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D:\LaRKi\"/>
    </mc:Choice>
  </mc:AlternateContent>
  <xr:revisionPtr revIDLastSave="0" documentId="13_ncr:1_{67081527-8FC8-4EE8-858A-511092C70991}" xr6:coauthVersionLast="43" xr6:coauthVersionMax="43" xr10:uidLastSave="{00000000-0000-0000-0000-000000000000}"/>
  <bookViews>
    <workbookView minimized="1" xWindow="7830" yWindow="2595" windowWidth="28380" windowHeight="12435" firstSheet="2" activeTab="9" xr2:uid="{00000000-000D-0000-FFFF-FFFF00000000}"/>
  </bookViews>
  <sheets>
    <sheet name="Egyéb tárgyak" sheetId="1" r:id="rId1"/>
    <sheet name="Ütő-zúzó fegyverk" sheetId="2" r:id="rId2"/>
    <sheet name="Távolsági fegyverek" sheetId="3" r:id="rId3"/>
    <sheet name="Szúró-vágó fegyverek" sheetId="4" r:id="rId4"/>
    <sheet name="Pajzsok" sheetId="5" r:id="rId5"/>
    <sheet name="Csizmák" sheetId="6" r:id="rId6"/>
    <sheet name="Páncélok" sheetId="7" r:id="rId7"/>
    <sheet name="Szörnyek" sheetId="8" r:id="rId8"/>
    <sheet name="Páncélok kompakt" sheetId="9" r:id="rId9"/>
    <sheet name="Összes vér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9020" i="10" l="1"/>
  <c r="D19019" i="10"/>
  <c r="D19018" i="10"/>
  <c r="A19009" i="10"/>
  <c r="D19003" i="10"/>
  <c r="D19002" i="10"/>
  <c r="D19001" i="10"/>
  <c r="A18992" i="10"/>
  <c r="D18986" i="10"/>
  <c r="D18985" i="10"/>
  <c r="D18984" i="10"/>
  <c r="A18975" i="10"/>
  <c r="D18969" i="10"/>
  <c r="D18968" i="10"/>
  <c r="D18967" i="10"/>
  <c r="A18958" i="10"/>
  <c r="D18952" i="10"/>
  <c r="D18951" i="10"/>
  <c r="D18950" i="10"/>
  <c r="A18941" i="10"/>
  <c r="D18935" i="10"/>
  <c r="D18934" i="10"/>
  <c r="D18933" i="10"/>
  <c r="A18924" i="10"/>
  <c r="D18918" i="10"/>
  <c r="D18917" i="10"/>
  <c r="D18916" i="10"/>
  <c r="A18907" i="10"/>
  <c r="D18901" i="10"/>
  <c r="D18900" i="10"/>
  <c r="D18899" i="10"/>
  <c r="A18890" i="10"/>
  <c r="D18884" i="10"/>
  <c r="D18883" i="10"/>
  <c r="D18882" i="10"/>
  <c r="A18873" i="10"/>
  <c r="D18867" i="10"/>
  <c r="D18866" i="10"/>
  <c r="D18865" i="10"/>
  <c r="A18856" i="10"/>
  <c r="D18850" i="10"/>
  <c r="D18849" i="10"/>
  <c r="D18848" i="10"/>
  <c r="A18839" i="10"/>
  <c r="D18833" i="10"/>
  <c r="D18832" i="10"/>
  <c r="D18831" i="10"/>
  <c r="A18822" i="10"/>
  <c r="D18816" i="10"/>
  <c r="D18815" i="10"/>
  <c r="D18814" i="10"/>
  <c r="A18805" i="10"/>
  <c r="D18799" i="10"/>
  <c r="D18798" i="10"/>
  <c r="D18797" i="10"/>
  <c r="A18788" i="10"/>
  <c r="D18782" i="10"/>
  <c r="D18781" i="10"/>
  <c r="D18780" i="10"/>
  <c r="A18771" i="10"/>
  <c r="D18765" i="10"/>
  <c r="D18764" i="10"/>
  <c r="D18763" i="10"/>
  <c r="A18754" i="10"/>
  <c r="D18748" i="10"/>
  <c r="D18747" i="10"/>
  <c r="D18746" i="10"/>
  <c r="A18737" i="10"/>
  <c r="D18731" i="10"/>
  <c r="D18730" i="10"/>
  <c r="D18729" i="10"/>
  <c r="A18720" i="10"/>
  <c r="D18714" i="10"/>
  <c r="D18713" i="10"/>
  <c r="D18712" i="10"/>
  <c r="A18703" i="10"/>
  <c r="D18697" i="10"/>
  <c r="D18696" i="10"/>
  <c r="D18695" i="10"/>
  <c r="A18686" i="10"/>
  <c r="D18680" i="10"/>
  <c r="D18679" i="10"/>
  <c r="D18678" i="10"/>
  <c r="A18669" i="10"/>
  <c r="D18663" i="10"/>
  <c r="D18662" i="10"/>
  <c r="D18661" i="10"/>
  <c r="A18652" i="10"/>
  <c r="D18646" i="10"/>
  <c r="D18645" i="10"/>
  <c r="D18644" i="10"/>
  <c r="A18635" i="10"/>
  <c r="D18629" i="10"/>
  <c r="D18628" i="10"/>
  <c r="D18627" i="10"/>
  <c r="A18618" i="10"/>
  <c r="D18612" i="10"/>
  <c r="D18611" i="10"/>
  <c r="D18610" i="10"/>
  <c r="A18601" i="10"/>
  <c r="D18595" i="10"/>
  <c r="D18594" i="10"/>
  <c r="D18593" i="10"/>
  <c r="A18584" i="10"/>
  <c r="D18578" i="10"/>
  <c r="D18577" i="10"/>
  <c r="D18576" i="10"/>
  <c r="A18567" i="10"/>
  <c r="D18561" i="10"/>
  <c r="D18560" i="10"/>
  <c r="D18559" i="10"/>
  <c r="A18550" i="10"/>
  <c r="D18544" i="10"/>
  <c r="D18543" i="10"/>
  <c r="D18542" i="10"/>
  <c r="A18533" i="10"/>
  <c r="D18527" i="10"/>
  <c r="D18526" i="10"/>
  <c r="D18525" i="10"/>
  <c r="A18516" i="10"/>
  <c r="D18510" i="10"/>
  <c r="D18509" i="10"/>
  <c r="D18508" i="10"/>
  <c r="A18499" i="10"/>
  <c r="D18493" i="10"/>
  <c r="D18492" i="10"/>
  <c r="D18491" i="10"/>
  <c r="A18482" i="10"/>
  <c r="D18476" i="10"/>
  <c r="D18475" i="10"/>
  <c r="D18474" i="10"/>
  <c r="A18465" i="10"/>
  <c r="D18459" i="10"/>
  <c r="D18458" i="10"/>
  <c r="D18457" i="10"/>
  <c r="A18448" i="10"/>
  <c r="D18442" i="10"/>
  <c r="D18441" i="10"/>
  <c r="D18440" i="10"/>
  <c r="A18431" i="10"/>
  <c r="D18425" i="10"/>
  <c r="D18424" i="10"/>
  <c r="D18423" i="10"/>
  <c r="A18414" i="10"/>
  <c r="D18408" i="10"/>
  <c r="D18407" i="10"/>
  <c r="D18406" i="10"/>
  <c r="A18397" i="10"/>
  <c r="D18391" i="10"/>
  <c r="D18390" i="10"/>
  <c r="D18389" i="10"/>
  <c r="A18380" i="10"/>
  <c r="D18374" i="10"/>
  <c r="D18373" i="10"/>
  <c r="D18372" i="10"/>
  <c r="A18363" i="10"/>
  <c r="D18357" i="10"/>
  <c r="D18356" i="10"/>
  <c r="D18355" i="10"/>
  <c r="A18346" i="10"/>
  <c r="D18340" i="10"/>
  <c r="D18339" i="10"/>
  <c r="D18338" i="10"/>
  <c r="A18329" i="10"/>
  <c r="D18323" i="10"/>
  <c r="D18322" i="10"/>
  <c r="D18321" i="10"/>
  <c r="A18312" i="10"/>
  <c r="D18306" i="10"/>
  <c r="D18305" i="10"/>
  <c r="D18304" i="10"/>
  <c r="A18295" i="10"/>
  <c r="D18289" i="10"/>
  <c r="D18288" i="10"/>
  <c r="D18287" i="10"/>
  <c r="A18278" i="10"/>
  <c r="D18272" i="10"/>
  <c r="D18271" i="10"/>
  <c r="D18270" i="10"/>
  <c r="A18261" i="10"/>
  <c r="D18255" i="10"/>
  <c r="D18254" i="10"/>
  <c r="D18253" i="10"/>
  <c r="A18244" i="10"/>
  <c r="D18238" i="10"/>
  <c r="D18237" i="10"/>
  <c r="D18236" i="10"/>
  <c r="A18227" i="10"/>
  <c r="D18221" i="10"/>
  <c r="D18220" i="10"/>
  <c r="D18219" i="10"/>
  <c r="A18210" i="10"/>
  <c r="D18204" i="10"/>
  <c r="D18203" i="10"/>
  <c r="D18202" i="10"/>
  <c r="A18193" i="10"/>
  <c r="D18187" i="10"/>
  <c r="D18186" i="10"/>
  <c r="D18185" i="10"/>
  <c r="A18176" i="10"/>
  <c r="D18170" i="10"/>
  <c r="D18169" i="10"/>
  <c r="D18168" i="10"/>
  <c r="A18159" i="10"/>
  <c r="D18153" i="10"/>
  <c r="D18152" i="10"/>
  <c r="D18151" i="10"/>
  <c r="A18142" i="10"/>
  <c r="D18136" i="10"/>
  <c r="D18135" i="10"/>
  <c r="D18134" i="10"/>
  <c r="A18125" i="10"/>
  <c r="D18119" i="10"/>
  <c r="D18118" i="10"/>
  <c r="D18117" i="10"/>
  <c r="A18108" i="10"/>
  <c r="D18102" i="10"/>
  <c r="D18101" i="10"/>
  <c r="D18100" i="10"/>
  <c r="A18091" i="10"/>
  <c r="D18085" i="10"/>
  <c r="D18084" i="10"/>
  <c r="D18083" i="10"/>
  <c r="A18074" i="10"/>
  <c r="D18068" i="10"/>
  <c r="D18067" i="10"/>
  <c r="D18066" i="10"/>
  <c r="A18057" i="10"/>
  <c r="D18051" i="10"/>
  <c r="D18050" i="10"/>
  <c r="D18049" i="10"/>
  <c r="A18040" i="10"/>
  <c r="D18034" i="10"/>
  <c r="D18033" i="10"/>
  <c r="D18032" i="10"/>
  <c r="A18023" i="10"/>
  <c r="D18017" i="10"/>
  <c r="D18016" i="10"/>
  <c r="D18015" i="10"/>
  <c r="A18006" i="10"/>
  <c r="D18000" i="10"/>
  <c r="D17999" i="10"/>
  <c r="D17998" i="10"/>
  <c r="A17989" i="10"/>
  <c r="D17983" i="10"/>
  <c r="D17982" i="10"/>
  <c r="D17981" i="10"/>
  <c r="A17972" i="10"/>
  <c r="D17966" i="10"/>
  <c r="D17965" i="10"/>
  <c r="D17964" i="10"/>
  <c r="A17955" i="10"/>
  <c r="D17949" i="10"/>
  <c r="D17948" i="10"/>
  <c r="D17947" i="10"/>
  <c r="A17938" i="10"/>
  <c r="D17932" i="10"/>
  <c r="D17931" i="10"/>
  <c r="D17930" i="10"/>
  <c r="A17921" i="10"/>
  <c r="D17915" i="10"/>
  <c r="D17914" i="10"/>
  <c r="D17913" i="10"/>
  <c r="A17904" i="10"/>
  <c r="D17898" i="10"/>
  <c r="D17897" i="10"/>
  <c r="D17896" i="10"/>
  <c r="A17887" i="10"/>
  <c r="D17881" i="10"/>
  <c r="D17880" i="10"/>
  <c r="D17879" i="10"/>
  <c r="A17870" i="10"/>
  <c r="D17864" i="10"/>
  <c r="D17863" i="10"/>
  <c r="D17862" i="10"/>
  <c r="A17853" i="10"/>
  <c r="D17847" i="10"/>
  <c r="D17846" i="10"/>
  <c r="D17845" i="10"/>
  <c r="A17836" i="10"/>
  <c r="D17830" i="10"/>
  <c r="D17829" i="10"/>
  <c r="D17828" i="10"/>
  <c r="A17819" i="10"/>
  <c r="D17813" i="10"/>
  <c r="D17812" i="10"/>
  <c r="D17811" i="10"/>
  <c r="A17802" i="10"/>
  <c r="D17796" i="10"/>
  <c r="D17795" i="10"/>
  <c r="D17794" i="10"/>
  <c r="A17785" i="10"/>
  <c r="D17779" i="10"/>
  <c r="D17778" i="10"/>
  <c r="D17777" i="10"/>
  <c r="A17768" i="10"/>
  <c r="D17762" i="10"/>
  <c r="D17761" i="10"/>
  <c r="D17760" i="10"/>
  <c r="A17751" i="10"/>
  <c r="D17745" i="10"/>
  <c r="D17744" i="10"/>
  <c r="D17743" i="10"/>
  <c r="A17734" i="10"/>
  <c r="D17728" i="10"/>
  <c r="D17727" i="10"/>
  <c r="D17726" i="10"/>
  <c r="A17717" i="10"/>
  <c r="D17711" i="10"/>
  <c r="D17710" i="10"/>
  <c r="D17709" i="10"/>
  <c r="A17700" i="10"/>
  <c r="D17694" i="10"/>
  <c r="D17693" i="10"/>
  <c r="D17692" i="10"/>
  <c r="A17683" i="10"/>
  <c r="D17677" i="10"/>
  <c r="D17676" i="10"/>
  <c r="D17675" i="10"/>
  <c r="A17666" i="10"/>
  <c r="D17660" i="10"/>
  <c r="D17659" i="10"/>
  <c r="D17658" i="10"/>
  <c r="A17649" i="10"/>
  <c r="D17643" i="10"/>
  <c r="D17642" i="10"/>
  <c r="D17641" i="10"/>
  <c r="A17632" i="10"/>
  <c r="D17626" i="10"/>
  <c r="D17625" i="10"/>
  <c r="D17624" i="10"/>
  <c r="A17615" i="10"/>
  <c r="D17609" i="10"/>
  <c r="D17608" i="10"/>
  <c r="D17607" i="10"/>
  <c r="A17598" i="10"/>
  <c r="D17592" i="10"/>
  <c r="D17591" i="10"/>
  <c r="D17590" i="10"/>
  <c r="A17581" i="10"/>
  <c r="D17575" i="10"/>
  <c r="D17574" i="10"/>
  <c r="D17573" i="10"/>
  <c r="A17564" i="10"/>
  <c r="D17558" i="10"/>
  <c r="D17557" i="10"/>
  <c r="D17556" i="10"/>
  <c r="A17547" i="10"/>
  <c r="D17541" i="10"/>
  <c r="D17540" i="10"/>
  <c r="D17539" i="10"/>
  <c r="A17530" i="10"/>
  <c r="D17524" i="10"/>
  <c r="D17523" i="10"/>
  <c r="D17522" i="10"/>
  <c r="A17513" i="10"/>
  <c r="D17507" i="10"/>
  <c r="D17506" i="10"/>
  <c r="D17505" i="10"/>
  <c r="A17496" i="10"/>
  <c r="D17490" i="10"/>
  <c r="D17489" i="10"/>
  <c r="D17488" i="10"/>
  <c r="A17479" i="10"/>
  <c r="D17473" i="10"/>
  <c r="D17472" i="10"/>
  <c r="D17471" i="10"/>
  <c r="A17462" i="10"/>
  <c r="D17456" i="10"/>
  <c r="D17455" i="10"/>
  <c r="D17454" i="10"/>
  <c r="A17445" i="10"/>
  <c r="D17439" i="10"/>
  <c r="D17438" i="10"/>
  <c r="D17437" i="10"/>
  <c r="A17428" i="10"/>
  <c r="D17422" i="10"/>
  <c r="D17421" i="10"/>
  <c r="D17420" i="10"/>
  <c r="A17411" i="10"/>
  <c r="D17405" i="10"/>
  <c r="D17404" i="10"/>
  <c r="D17403" i="10"/>
  <c r="A17394" i="10"/>
  <c r="D17388" i="10"/>
  <c r="D17387" i="10"/>
  <c r="D17386" i="10"/>
  <c r="A17377" i="10"/>
  <c r="D17371" i="10"/>
  <c r="D17370" i="10"/>
  <c r="D17369" i="10"/>
  <c r="A17360" i="10"/>
  <c r="D17354" i="10"/>
  <c r="D17353" i="10"/>
  <c r="D17352" i="10"/>
  <c r="A17343" i="10"/>
  <c r="D17337" i="10"/>
  <c r="D17336" i="10"/>
  <c r="D17335" i="10"/>
  <c r="A17326" i="10"/>
  <c r="D17320" i="10"/>
  <c r="D17319" i="10"/>
  <c r="D17318" i="10"/>
  <c r="A17309" i="10"/>
  <c r="D17303" i="10"/>
  <c r="D17302" i="10"/>
  <c r="D17301" i="10"/>
  <c r="A17292" i="10"/>
  <c r="D17286" i="10"/>
  <c r="D17285" i="10"/>
  <c r="D17284" i="10"/>
  <c r="A17275" i="10"/>
  <c r="D17269" i="10"/>
  <c r="D17268" i="10"/>
  <c r="D17267" i="10"/>
  <c r="A17258" i="10"/>
  <c r="D17252" i="10"/>
  <c r="D17251" i="10"/>
  <c r="D17250" i="10"/>
  <c r="A17241" i="10"/>
  <c r="D17235" i="10"/>
  <c r="D17234" i="10"/>
  <c r="D17233" i="10"/>
  <c r="A17224" i="10"/>
  <c r="D17218" i="10"/>
  <c r="D17217" i="10"/>
  <c r="D17216" i="10"/>
  <c r="A17207" i="10"/>
  <c r="D17201" i="10"/>
  <c r="D17200" i="10"/>
  <c r="D17199" i="10"/>
  <c r="A17190" i="10"/>
  <c r="D17184" i="10"/>
  <c r="D17183" i="10"/>
  <c r="D17182" i="10"/>
  <c r="A17173" i="10"/>
  <c r="D17167" i="10"/>
  <c r="D17166" i="10"/>
  <c r="D17165" i="10"/>
  <c r="A17156" i="10"/>
  <c r="D17150" i="10"/>
  <c r="D17149" i="10"/>
  <c r="D17148" i="10"/>
  <c r="A17139" i="10"/>
  <c r="D17133" i="10"/>
  <c r="D17132" i="10"/>
  <c r="D17131" i="10"/>
  <c r="A17122" i="10"/>
  <c r="D17116" i="10"/>
  <c r="D17115" i="10"/>
  <c r="D17114" i="10"/>
  <c r="A17105" i="10"/>
  <c r="D17099" i="10"/>
  <c r="D17098" i="10"/>
  <c r="D17097" i="10"/>
  <c r="A17088" i="10"/>
  <c r="D17082" i="10"/>
  <c r="D17081" i="10"/>
  <c r="D17080" i="10"/>
  <c r="A17071" i="10"/>
  <c r="D17065" i="10"/>
  <c r="D17064" i="10"/>
  <c r="D17063" i="10"/>
  <c r="A17054" i="10"/>
  <c r="D17048" i="10"/>
  <c r="D17047" i="10"/>
  <c r="D17046" i="10"/>
  <c r="A17037" i="10"/>
  <c r="D17031" i="10"/>
  <c r="D17030" i="10"/>
  <c r="D17029" i="10"/>
  <c r="A17020" i="10"/>
  <c r="D17014" i="10"/>
  <c r="D17013" i="10"/>
  <c r="D17012" i="10"/>
  <c r="A17003" i="10"/>
  <c r="D16997" i="10"/>
  <c r="D16996" i="10"/>
  <c r="D16995" i="10"/>
  <c r="A16986" i="10"/>
  <c r="D16980" i="10"/>
  <c r="D16979" i="10"/>
  <c r="D16978" i="10"/>
  <c r="A16969" i="10"/>
  <c r="D16963" i="10"/>
  <c r="D16962" i="10"/>
  <c r="D16961" i="10"/>
  <c r="A16952" i="10"/>
  <c r="D16946" i="10"/>
  <c r="D16945" i="10"/>
  <c r="D16944" i="10"/>
  <c r="A16935" i="10"/>
  <c r="D16929" i="10"/>
  <c r="D16928" i="10"/>
  <c r="D16927" i="10"/>
  <c r="A16918" i="10"/>
  <c r="D16912" i="10"/>
  <c r="D16911" i="10"/>
  <c r="D16910" i="10"/>
  <c r="A16901" i="10"/>
  <c r="D16895" i="10"/>
  <c r="D16894" i="10"/>
  <c r="D16893" i="10"/>
  <c r="A16884" i="10"/>
  <c r="D16878" i="10"/>
  <c r="D16877" i="10"/>
  <c r="D16876" i="10"/>
  <c r="A16867" i="10"/>
  <c r="D16861" i="10"/>
  <c r="D16860" i="10"/>
  <c r="D16859" i="10"/>
  <c r="A16850" i="10"/>
  <c r="D16844" i="10"/>
  <c r="D16843" i="10"/>
  <c r="D16842" i="10"/>
  <c r="A16833" i="10"/>
  <c r="D16827" i="10"/>
  <c r="D16826" i="10"/>
  <c r="D16825" i="10"/>
  <c r="A16816" i="10"/>
  <c r="D16810" i="10"/>
  <c r="D16809" i="10"/>
  <c r="D16808" i="10"/>
  <c r="A16799" i="10"/>
  <c r="D16793" i="10"/>
  <c r="D16792" i="10"/>
  <c r="D16791" i="10"/>
  <c r="A16782" i="10"/>
  <c r="D16776" i="10"/>
  <c r="D16775" i="10"/>
  <c r="D16774" i="10"/>
  <c r="A16765" i="10"/>
  <c r="D16759" i="10"/>
  <c r="D16758" i="10"/>
  <c r="D16757" i="10"/>
  <c r="A16748" i="10"/>
  <c r="D16742" i="10"/>
  <c r="D16741" i="10"/>
  <c r="D16740" i="10"/>
  <c r="A16731" i="10"/>
  <c r="D16725" i="10"/>
  <c r="D16724" i="10"/>
  <c r="D16723" i="10"/>
  <c r="A16714" i="10"/>
  <c r="D16708" i="10"/>
  <c r="D16707" i="10"/>
  <c r="D16706" i="10"/>
  <c r="A16697" i="10"/>
  <c r="D16691" i="10"/>
  <c r="D16690" i="10"/>
  <c r="D16689" i="10"/>
  <c r="A16680" i="10"/>
  <c r="D16674" i="10"/>
  <c r="D16673" i="10"/>
  <c r="D16672" i="10"/>
  <c r="A16663" i="10"/>
  <c r="D16657" i="10"/>
  <c r="D16656" i="10"/>
  <c r="D16655" i="10"/>
  <c r="A16646" i="10"/>
  <c r="D16640" i="10"/>
  <c r="D16639" i="10"/>
  <c r="D16638" i="10"/>
  <c r="A16629" i="10"/>
  <c r="D16623" i="10"/>
  <c r="D16622" i="10"/>
  <c r="D16621" i="10"/>
  <c r="A16612" i="10"/>
  <c r="D16606" i="10"/>
  <c r="D16605" i="10"/>
  <c r="D16604" i="10"/>
  <c r="A16595" i="10"/>
  <c r="D16589" i="10"/>
  <c r="D16588" i="10"/>
  <c r="D16587" i="10"/>
  <c r="A16578" i="10"/>
  <c r="D16572" i="10"/>
  <c r="D16571" i="10"/>
  <c r="D16570" i="10"/>
  <c r="A16561" i="10"/>
  <c r="D16555" i="10"/>
  <c r="D16554" i="10"/>
  <c r="D16553" i="10"/>
  <c r="A16544" i="10"/>
  <c r="D16538" i="10"/>
  <c r="D16537" i="10"/>
  <c r="D16536" i="10"/>
  <c r="A16527" i="10"/>
  <c r="D16521" i="10"/>
  <c r="D16520" i="10"/>
  <c r="D16519" i="10"/>
  <c r="A16510" i="10"/>
  <c r="D16504" i="10"/>
  <c r="D16503" i="10"/>
  <c r="D16502" i="10"/>
  <c r="A16493" i="10"/>
  <c r="D16487" i="10"/>
  <c r="D16486" i="10"/>
  <c r="D16485" i="10"/>
  <c r="A16476" i="10"/>
  <c r="D16470" i="10"/>
  <c r="D16469" i="10"/>
  <c r="D16468" i="10"/>
  <c r="A16459" i="10"/>
  <c r="D16453" i="10"/>
  <c r="D16452" i="10"/>
  <c r="D16451" i="10"/>
  <c r="A16442" i="10"/>
  <c r="D16436" i="10"/>
  <c r="D16435" i="10"/>
  <c r="D16434" i="10"/>
  <c r="A16425" i="10"/>
  <c r="D16419" i="10"/>
  <c r="D16418" i="10"/>
  <c r="D16417" i="10"/>
  <c r="A16408" i="10"/>
  <c r="D16402" i="10"/>
  <c r="D16401" i="10"/>
  <c r="D16400" i="10"/>
  <c r="A16391" i="10"/>
  <c r="D16385" i="10"/>
  <c r="D16384" i="10"/>
  <c r="D16383" i="10"/>
  <c r="A16374" i="10"/>
  <c r="D16368" i="10"/>
  <c r="D16367" i="10"/>
  <c r="D16366" i="10"/>
  <c r="A16357" i="10"/>
  <c r="D16351" i="10"/>
  <c r="D16350" i="10"/>
  <c r="D16349" i="10"/>
  <c r="A16340" i="10"/>
  <c r="D16334" i="10"/>
  <c r="D16333" i="10"/>
  <c r="D16332" i="10"/>
  <c r="A16323" i="10"/>
  <c r="D16317" i="10"/>
  <c r="D16316" i="10"/>
  <c r="D16315" i="10"/>
  <c r="A16306" i="10"/>
  <c r="D16300" i="10"/>
  <c r="D16299" i="10"/>
  <c r="D16298" i="10"/>
  <c r="A16289" i="10"/>
  <c r="D16283" i="10"/>
  <c r="D16282" i="10"/>
  <c r="D16281" i="10"/>
  <c r="A16272" i="10"/>
  <c r="D16266" i="10"/>
  <c r="D16265" i="10"/>
  <c r="D16264" i="10"/>
  <c r="A16255" i="10"/>
  <c r="D16249" i="10"/>
  <c r="D16248" i="10"/>
  <c r="D16247" i="10"/>
  <c r="A16238" i="10"/>
  <c r="D16232" i="10"/>
  <c r="D16231" i="10"/>
  <c r="D16230" i="10"/>
  <c r="A16221" i="10"/>
  <c r="D16215" i="10"/>
  <c r="D16214" i="10"/>
  <c r="D16213" i="10"/>
  <c r="A16204" i="10"/>
  <c r="D16198" i="10"/>
  <c r="D16197" i="10"/>
  <c r="D16196" i="10"/>
  <c r="A16187" i="10"/>
  <c r="D16181" i="10"/>
  <c r="D16180" i="10"/>
  <c r="D16179" i="10"/>
  <c r="A16170" i="10"/>
  <c r="D16164" i="10"/>
  <c r="D16163" i="10"/>
  <c r="D16162" i="10"/>
  <c r="A16153" i="10"/>
  <c r="D16147" i="10"/>
  <c r="D16146" i="10"/>
  <c r="D16145" i="10"/>
  <c r="A16136" i="10"/>
  <c r="D16130" i="10"/>
  <c r="D16129" i="10"/>
  <c r="D16128" i="10"/>
  <c r="A16119" i="10"/>
  <c r="D16113" i="10"/>
  <c r="D16112" i="10"/>
  <c r="D16111" i="10"/>
  <c r="A16102" i="10"/>
  <c r="D16096" i="10"/>
  <c r="D16095" i="10"/>
  <c r="D16094" i="10"/>
  <c r="A16085" i="10"/>
  <c r="D16079" i="10"/>
  <c r="D16078" i="10"/>
  <c r="D16077" i="10"/>
  <c r="A16068" i="10"/>
  <c r="D16062" i="10"/>
  <c r="D16061" i="10"/>
  <c r="D16060" i="10"/>
  <c r="A16051" i="10"/>
  <c r="D16045" i="10"/>
  <c r="D16044" i="10"/>
  <c r="D16043" i="10"/>
  <c r="A16034" i="10"/>
  <c r="D16028" i="10"/>
  <c r="D16027" i="10"/>
  <c r="D16026" i="10"/>
  <c r="A16017" i="10"/>
  <c r="D16011" i="10"/>
  <c r="D16010" i="10"/>
  <c r="D16009" i="10"/>
  <c r="A16000" i="10"/>
  <c r="D15994" i="10"/>
  <c r="D15993" i="10"/>
  <c r="D15992" i="10"/>
  <c r="A15983" i="10"/>
  <c r="D15977" i="10"/>
  <c r="D15976" i="10"/>
  <c r="D15975" i="10"/>
  <c r="A15966" i="10"/>
  <c r="D15960" i="10"/>
  <c r="D15959" i="10"/>
  <c r="D15958" i="10"/>
  <c r="A15949" i="10"/>
  <c r="D15943" i="10"/>
  <c r="D15942" i="10"/>
  <c r="D15941" i="10"/>
  <c r="A15932" i="10"/>
  <c r="D15926" i="10"/>
  <c r="D15925" i="10"/>
  <c r="D15924" i="10"/>
  <c r="A15915" i="10"/>
  <c r="D15909" i="10"/>
  <c r="D15908" i="10"/>
  <c r="D15907" i="10"/>
  <c r="A15898" i="10"/>
  <c r="D15892" i="10"/>
  <c r="D15891" i="10"/>
  <c r="D15890" i="10"/>
  <c r="A15881" i="10"/>
  <c r="D15875" i="10"/>
  <c r="D15874" i="10"/>
  <c r="D15873" i="10"/>
  <c r="A15864" i="10"/>
  <c r="D15858" i="10"/>
  <c r="D15857" i="10"/>
  <c r="D15856" i="10"/>
  <c r="A15847" i="10"/>
  <c r="D15841" i="10"/>
  <c r="D15840" i="10"/>
  <c r="D15839" i="10"/>
  <c r="A15830" i="10"/>
  <c r="D15824" i="10"/>
  <c r="D15823" i="10"/>
  <c r="D15822" i="10"/>
  <c r="A15813" i="10"/>
  <c r="D15807" i="10"/>
  <c r="D15806" i="10"/>
  <c r="D15805" i="10"/>
  <c r="A15796" i="10"/>
  <c r="D15790" i="10"/>
  <c r="D15789" i="10"/>
  <c r="D15788" i="10"/>
  <c r="A15779" i="10"/>
  <c r="D15773" i="10"/>
  <c r="D15772" i="10"/>
  <c r="D15771" i="10"/>
  <c r="A15762" i="10"/>
  <c r="D15756" i="10"/>
  <c r="D15755" i="10"/>
  <c r="D15754" i="10"/>
  <c r="A15745" i="10"/>
  <c r="D15739" i="10"/>
  <c r="D15738" i="10"/>
  <c r="D15737" i="10"/>
  <c r="A15728" i="10"/>
  <c r="D15722" i="10"/>
  <c r="D15721" i="10"/>
  <c r="D15720" i="10"/>
  <c r="A15711" i="10"/>
  <c r="D15705" i="10"/>
  <c r="D15704" i="10"/>
  <c r="D15703" i="10"/>
  <c r="A15694" i="10"/>
  <c r="D15688" i="10"/>
  <c r="D15687" i="10"/>
  <c r="D15686" i="10"/>
  <c r="A15677" i="10"/>
  <c r="D15671" i="10"/>
  <c r="D15670" i="10"/>
  <c r="D15669" i="10"/>
  <c r="A15660" i="10"/>
  <c r="D15654" i="10"/>
  <c r="D15653" i="10"/>
  <c r="D15652" i="10"/>
  <c r="A15643" i="10"/>
  <c r="D15637" i="10"/>
  <c r="D15636" i="10"/>
  <c r="D15635" i="10"/>
  <c r="A15626" i="10"/>
  <c r="D15620" i="10"/>
  <c r="D15619" i="10"/>
  <c r="D15618" i="10"/>
  <c r="A15609" i="10"/>
  <c r="D15603" i="10"/>
  <c r="D15602" i="10"/>
  <c r="D15601" i="10"/>
  <c r="A15592" i="10"/>
  <c r="D15586" i="10"/>
  <c r="D15585" i="10"/>
  <c r="D15584" i="10"/>
  <c r="A15575" i="10"/>
  <c r="D15569" i="10"/>
  <c r="D15568" i="10"/>
  <c r="D15567" i="10"/>
  <c r="A15558" i="10"/>
  <c r="D15552" i="10"/>
  <c r="D15551" i="10"/>
  <c r="D15550" i="10"/>
  <c r="A15541" i="10"/>
  <c r="D15535" i="10"/>
  <c r="D15534" i="10"/>
  <c r="D15533" i="10"/>
  <c r="A15524" i="10"/>
  <c r="D15518" i="10"/>
  <c r="D15517" i="10"/>
  <c r="D15516" i="10"/>
  <c r="A15507" i="10"/>
  <c r="D15501" i="10"/>
  <c r="D15500" i="10"/>
  <c r="D15499" i="10"/>
  <c r="A15490" i="10"/>
  <c r="D15484" i="10"/>
  <c r="D15483" i="10"/>
  <c r="D15482" i="10"/>
  <c r="A15473" i="10"/>
  <c r="D15467" i="10"/>
  <c r="D15466" i="10"/>
  <c r="D15465" i="10"/>
  <c r="A15456" i="10"/>
  <c r="D15450" i="10"/>
  <c r="D15449" i="10"/>
  <c r="D15448" i="10"/>
  <c r="A15439" i="10"/>
  <c r="D15433" i="10"/>
  <c r="D15432" i="10"/>
  <c r="D15431" i="10"/>
  <c r="A15422" i="10"/>
  <c r="D15416" i="10"/>
  <c r="D15415" i="10"/>
  <c r="D15414" i="10"/>
  <c r="A15405" i="10"/>
  <c r="D15399" i="10"/>
  <c r="D15398" i="10"/>
  <c r="D15397" i="10"/>
  <c r="A15388" i="10"/>
  <c r="D15382" i="10"/>
  <c r="D15381" i="10"/>
  <c r="D15380" i="10"/>
  <c r="A15371" i="10"/>
  <c r="D15365" i="10"/>
  <c r="D15364" i="10"/>
  <c r="D15363" i="10"/>
  <c r="A15354" i="10"/>
  <c r="D15348" i="10"/>
  <c r="D15347" i="10"/>
  <c r="D15346" i="10"/>
  <c r="A15337" i="10"/>
  <c r="D15331" i="10"/>
  <c r="D15330" i="10"/>
  <c r="D15329" i="10"/>
  <c r="A15320" i="10"/>
  <c r="D15314" i="10"/>
  <c r="D15313" i="10"/>
  <c r="D15312" i="10"/>
  <c r="A15303" i="10"/>
  <c r="D15297" i="10"/>
  <c r="D15296" i="10"/>
  <c r="D15295" i="10"/>
  <c r="A15286" i="10"/>
  <c r="D15280" i="10"/>
  <c r="D15279" i="10"/>
  <c r="D15278" i="10"/>
  <c r="A15269" i="10"/>
  <c r="D15263" i="10"/>
  <c r="D15262" i="10"/>
  <c r="D15261" i="10"/>
  <c r="A15252" i="10"/>
  <c r="D15246" i="10"/>
  <c r="D15245" i="10"/>
  <c r="D15244" i="10"/>
  <c r="A15235" i="10"/>
  <c r="D15229" i="10"/>
  <c r="D15228" i="10"/>
  <c r="D15227" i="10"/>
  <c r="A15218" i="10"/>
  <c r="D15212" i="10"/>
  <c r="D15211" i="10"/>
  <c r="D15210" i="10"/>
  <c r="A15201" i="10"/>
  <c r="D15195" i="10"/>
  <c r="D15194" i="10"/>
  <c r="D15193" i="10"/>
  <c r="A15184" i="10"/>
  <c r="D15178" i="10"/>
  <c r="D15177" i="10"/>
  <c r="D15176" i="10"/>
  <c r="A15167" i="10"/>
  <c r="D15161" i="10"/>
  <c r="D15160" i="10"/>
  <c r="D15159" i="10"/>
  <c r="A15150" i="10"/>
  <c r="D15144" i="10"/>
  <c r="D15143" i="10"/>
  <c r="D15142" i="10"/>
  <c r="A15133" i="10"/>
  <c r="D15127" i="10"/>
  <c r="D15126" i="10"/>
  <c r="D15125" i="10"/>
  <c r="A15116" i="10"/>
  <c r="D15110" i="10"/>
  <c r="D15109" i="10"/>
  <c r="D15108" i="10"/>
  <c r="A15099" i="10"/>
  <c r="D15093" i="10"/>
  <c r="D15092" i="10"/>
  <c r="D15091" i="10"/>
  <c r="A15082" i="10"/>
  <c r="D15076" i="10"/>
  <c r="D15075" i="10"/>
  <c r="D15074" i="10"/>
  <c r="A15065" i="10"/>
  <c r="D15059" i="10"/>
  <c r="D15058" i="10"/>
  <c r="D15057" i="10"/>
  <c r="A15048" i="10"/>
  <c r="D15042" i="10"/>
  <c r="D15041" i="10"/>
  <c r="D15040" i="10"/>
  <c r="A15031" i="10"/>
  <c r="D15025" i="10"/>
  <c r="D15024" i="10"/>
  <c r="D15023" i="10"/>
  <c r="A15014" i="10"/>
  <c r="D15008" i="10"/>
  <c r="D15007" i="10"/>
  <c r="D15006" i="10"/>
  <c r="A14997" i="10"/>
  <c r="D14991" i="10"/>
  <c r="D14990" i="10"/>
  <c r="D14989" i="10"/>
  <c r="A14980" i="10"/>
  <c r="D14974" i="10"/>
  <c r="D14973" i="10"/>
  <c r="D14972" i="10"/>
  <c r="A14963" i="10"/>
  <c r="D14957" i="10"/>
  <c r="D14956" i="10"/>
  <c r="D14955" i="10"/>
  <c r="A14946" i="10"/>
  <c r="D14940" i="10"/>
  <c r="D14939" i="10"/>
  <c r="D14938" i="10"/>
  <c r="A14929" i="10"/>
  <c r="D14923" i="10"/>
  <c r="D14922" i="10"/>
  <c r="D14921" i="10"/>
  <c r="A14912" i="10"/>
  <c r="D14906" i="10"/>
  <c r="D14905" i="10"/>
  <c r="D14904" i="10"/>
  <c r="A14895" i="10"/>
  <c r="D14889" i="10"/>
  <c r="D14888" i="10"/>
  <c r="D14887" i="10"/>
  <c r="A14878" i="10"/>
  <c r="D14872" i="10"/>
  <c r="D14871" i="10"/>
  <c r="D14870" i="10"/>
  <c r="A14861" i="10"/>
  <c r="D14855" i="10"/>
  <c r="D14854" i="10"/>
  <c r="D14853" i="10"/>
  <c r="A14844" i="10"/>
  <c r="D14838" i="10"/>
  <c r="D14837" i="10"/>
  <c r="D14836" i="10"/>
  <c r="A14827" i="10"/>
  <c r="D14821" i="10"/>
  <c r="D14820" i="10"/>
  <c r="D14819" i="10"/>
  <c r="A14810" i="10"/>
  <c r="D14804" i="10"/>
  <c r="D14803" i="10"/>
  <c r="D14802" i="10"/>
  <c r="A14793" i="10"/>
  <c r="D14787" i="10"/>
  <c r="D14786" i="10"/>
  <c r="D14785" i="10"/>
  <c r="A14776" i="10"/>
  <c r="D14770" i="10"/>
  <c r="D14769" i="10"/>
  <c r="D14768" i="10"/>
  <c r="A14759" i="10"/>
  <c r="D14753" i="10"/>
  <c r="D14752" i="10"/>
  <c r="D14751" i="10"/>
  <c r="A14742" i="10"/>
  <c r="D14736" i="10"/>
  <c r="D14735" i="10"/>
  <c r="D14734" i="10"/>
  <c r="A14725" i="10"/>
  <c r="D14719" i="10"/>
  <c r="D14718" i="10"/>
  <c r="D14717" i="10"/>
  <c r="A14708" i="10"/>
  <c r="D14702" i="10"/>
  <c r="D14701" i="10"/>
  <c r="D14700" i="10"/>
  <c r="A14691" i="10"/>
  <c r="D14685" i="10"/>
  <c r="D14684" i="10"/>
  <c r="D14683" i="10"/>
  <c r="A14674" i="10"/>
  <c r="D14668" i="10"/>
  <c r="D14667" i="10"/>
  <c r="D14666" i="10"/>
  <c r="A14657" i="10"/>
  <c r="D14651" i="10"/>
  <c r="D14650" i="10"/>
  <c r="D14649" i="10"/>
  <c r="A14640" i="10"/>
  <c r="D14634" i="10"/>
  <c r="D14633" i="10"/>
  <c r="D14632" i="10"/>
  <c r="A14623" i="10"/>
  <c r="D14617" i="10"/>
  <c r="D14616" i="10"/>
  <c r="D14615" i="10"/>
  <c r="A14606" i="10"/>
  <c r="D14600" i="10"/>
  <c r="D14599" i="10"/>
  <c r="D14598" i="10"/>
  <c r="A14589" i="10"/>
  <c r="D14583" i="10"/>
  <c r="D14582" i="10"/>
  <c r="D14581" i="10"/>
  <c r="A14572" i="10"/>
  <c r="D14566" i="10"/>
  <c r="D14565" i="10"/>
  <c r="D14564" i="10"/>
  <c r="A14555" i="10"/>
  <c r="D14549" i="10"/>
  <c r="D14548" i="10"/>
  <c r="D14547" i="10"/>
  <c r="A14538" i="10"/>
  <c r="D14532" i="10"/>
  <c r="D14531" i="10"/>
  <c r="D14530" i="10"/>
  <c r="A14521" i="10"/>
  <c r="D14515" i="10"/>
  <c r="D14514" i="10"/>
  <c r="D14513" i="10"/>
  <c r="A14504" i="10"/>
  <c r="D14498" i="10"/>
  <c r="D14497" i="10"/>
  <c r="D14496" i="10"/>
  <c r="A14487" i="10"/>
  <c r="D14481" i="10"/>
  <c r="D14480" i="10"/>
  <c r="D14479" i="10"/>
  <c r="A14470" i="10"/>
  <c r="D14464" i="10"/>
  <c r="D14463" i="10"/>
  <c r="D14462" i="10"/>
  <c r="A14453" i="10"/>
  <c r="D14447" i="10"/>
  <c r="D14446" i="10"/>
  <c r="D14445" i="10"/>
  <c r="A14436" i="10"/>
  <c r="D14430" i="10"/>
  <c r="D14429" i="10"/>
  <c r="D14428" i="10"/>
  <c r="A14419" i="10"/>
  <c r="D14413" i="10"/>
  <c r="D14412" i="10"/>
  <c r="D14411" i="10"/>
  <c r="A14402" i="10"/>
  <c r="D14396" i="10"/>
  <c r="D14395" i="10"/>
  <c r="D14394" i="10"/>
  <c r="A14385" i="10"/>
  <c r="D14379" i="10"/>
  <c r="D14378" i="10"/>
  <c r="D14377" i="10"/>
  <c r="A14368" i="10"/>
  <c r="D14362" i="10"/>
  <c r="D14361" i="10"/>
  <c r="D14360" i="10"/>
  <c r="A14351" i="10"/>
  <c r="D14345" i="10"/>
  <c r="D14344" i="10"/>
  <c r="D14343" i="10"/>
  <c r="A14334" i="10"/>
  <c r="D14328" i="10"/>
  <c r="D14327" i="10"/>
  <c r="D14326" i="10"/>
  <c r="A14317" i="10"/>
  <c r="D14311" i="10"/>
  <c r="D14310" i="10"/>
  <c r="D14309" i="10"/>
  <c r="A14300" i="10"/>
  <c r="D14294" i="10"/>
  <c r="D14293" i="10"/>
  <c r="D14292" i="10"/>
  <c r="A14283" i="10"/>
  <c r="D14277" i="10"/>
  <c r="D14276" i="10"/>
  <c r="D14275" i="10"/>
  <c r="A14266" i="10"/>
  <c r="D14260" i="10"/>
  <c r="D14259" i="10"/>
  <c r="D14258" i="10"/>
  <c r="A14249" i="10"/>
  <c r="D14243" i="10"/>
  <c r="D14242" i="10"/>
  <c r="D14241" i="10"/>
  <c r="A14232" i="10"/>
  <c r="D14226" i="10"/>
  <c r="D14225" i="10"/>
  <c r="D14224" i="10"/>
  <c r="A14215" i="10"/>
  <c r="D14209" i="10"/>
  <c r="D14208" i="10"/>
  <c r="D14207" i="10"/>
  <c r="A14198" i="10"/>
  <c r="D14192" i="10"/>
  <c r="D14191" i="10"/>
  <c r="D14190" i="10"/>
  <c r="A14181" i="10"/>
  <c r="D14175" i="10"/>
  <c r="D14174" i="10"/>
  <c r="D14173" i="10"/>
  <c r="A14164" i="10"/>
  <c r="D14158" i="10"/>
  <c r="D14157" i="10"/>
  <c r="D14156" i="10"/>
  <c r="A14147" i="10"/>
  <c r="D14141" i="10"/>
  <c r="D14140" i="10"/>
  <c r="D14139" i="10"/>
  <c r="A14130" i="10"/>
  <c r="D14124" i="10"/>
  <c r="D14123" i="10"/>
  <c r="D14122" i="10"/>
  <c r="A14113" i="10"/>
  <c r="D14107" i="10"/>
  <c r="D14106" i="10"/>
  <c r="D14105" i="10"/>
  <c r="A14096" i="10"/>
  <c r="D14090" i="10"/>
  <c r="D14089" i="10"/>
  <c r="D14088" i="10"/>
  <c r="A14079" i="10"/>
  <c r="D14073" i="10"/>
  <c r="D14072" i="10"/>
  <c r="D14071" i="10"/>
  <c r="A14062" i="10"/>
  <c r="D14056" i="10"/>
  <c r="D14055" i="10"/>
  <c r="D14054" i="10"/>
  <c r="A14045" i="10"/>
  <c r="D14039" i="10"/>
  <c r="D14038" i="10"/>
  <c r="D14037" i="10"/>
  <c r="A14028" i="10"/>
  <c r="D14022" i="10"/>
  <c r="D14021" i="10"/>
  <c r="D14020" i="10"/>
  <c r="A14011" i="10"/>
  <c r="D14005" i="10"/>
  <c r="D14004" i="10"/>
  <c r="D14003" i="10"/>
  <c r="A13994" i="10"/>
  <c r="D13988" i="10"/>
  <c r="D13987" i="10"/>
  <c r="D13986" i="10"/>
  <c r="A13977" i="10"/>
  <c r="D13971" i="10"/>
  <c r="D13970" i="10"/>
  <c r="D13969" i="10"/>
  <c r="A13960" i="10"/>
  <c r="D13954" i="10"/>
  <c r="D13953" i="10"/>
  <c r="D13952" i="10"/>
  <c r="A13943" i="10"/>
  <c r="D13937" i="10"/>
  <c r="D13936" i="10"/>
  <c r="D13935" i="10"/>
  <c r="A13926" i="10"/>
  <c r="D13920" i="10"/>
  <c r="D13919" i="10"/>
  <c r="D13918" i="10"/>
  <c r="A13909" i="10"/>
  <c r="D13903" i="10"/>
  <c r="D13902" i="10"/>
  <c r="D13901" i="10"/>
  <c r="A13892" i="10"/>
  <c r="D13886" i="10"/>
  <c r="D13885" i="10"/>
  <c r="D13884" i="10"/>
  <c r="A13875" i="10"/>
  <c r="D13869" i="10"/>
  <c r="D13868" i="10"/>
  <c r="D13867" i="10"/>
  <c r="A13858" i="10"/>
  <c r="D13852" i="10"/>
  <c r="D13851" i="10"/>
  <c r="D13850" i="10"/>
  <c r="A13841" i="10"/>
  <c r="D13835" i="10"/>
  <c r="D13834" i="10"/>
  <c r="D13833" i="10"/>
  <c r="A13824" i="10"/>
  <c r="D13818" i="10"/>
  <c r="D13817" i="10"/>
  <c r="D13816" i="10"/>
  <c r="A13807" i="10"/>
  <c r="D13801" i="10"/>
  <c r="D13800" i="10"/>
  <c r="D13799" i="10"/>
  <c r="A13790" i="10"/>
  <c r="D13784" i="10"/>
  <c r="D13783" i="10"/>
  <c r="D13782" i="10"/>
  <c r="A13773" i="10"/>
  <c r="D13767" i="10"/>
  <c r="D13766" i="10"/>
  <c r="D13765" i="10"/>
  <c r="A13756" i="10"/>
  <c r="D13750" i="10"/>
  <c r="D13749" i="10"/>
  <c r="D13748" i="10"/>
  <c r="A13739" i="10"/>
  <c r="D13733" i="10"/>
  <c r="D13732" i="10"/>
  <c r="D13731" i="10"/>
  <c r="A13722" i="10"/>
  <c r="D13716" i="10"/>
  <c r="D13715" i="10"/>
  <c r="D13714" i="10"/>
  <c r="A13705" i="10"/>
  <c r="D13699" i="10"/>
  <c r="D13698" i="10"/>
  <c r="D13697" i="10"/>
  <c r="A13688" i="10"/>
  <c r="D13682" i="10"/>
  <c r="D13681" i="10"/>
  <c r="D13680" i="10"/>
  <c r="A13671" i="10"/>
  <c r="D13665" i="10"/>
  <c r="D13664" i="10"/>
  <c r="D13663" i="10"/>
  <c r="A13654" i="10"/>
  <c r="D13648" i="10"/>
  <c r="D13647" i="10"/>
  <c r="D13646" i="10"/>
  <c r="A13637" i="10"/>
  <c r="D13631" i="10"/>
  <c r="D13630" i="10"/>
  <c r="D13629" i="10"/>
  <c r="A13620" i="10"/>
  <c r="D13614" i="10"/>
  <c r="D13613" i="10"/>
  <c r="D13612" i="10"/>
  <c r="A13603" i="10"/>
  <c r="D13597" i="10"/>
  <c r="D13596" i="10"/>
  <c r="D13595" i="10"/>
  <c r="A13586" i="10"/>
  <c r="D13580" i="10"/>
  <c r="D13579" i="10"/>
  <c r="D13578" i="10"/>
  <c r="A13569" i="10"/>
  <c r="D13563" i="10"/>
  <c r="D13562" i="10"/>
  <c r="D13561" i="10"/>
  <c r="A13552" i="10"/>
  <c r="D13546" i="10"/>
  <c r="D13545" i="10"/>
  <c r="D13544" i="10"/>
  <c r="A13535" i="10"/>
  <c r="D13529" i="10"/>
  <c r="D13528" i="10"/>
  <c r="D13527" i="10"/>
  <c r="A13518" i="10"/>
  <c r="D13512" i="10"/>
  <c r="D13511" i="10"/>
  <c r="D13510" i="10"/>
  <c r="A13501" i="10"/>
  <c r="D13495" i="10"/>
  <c r="D13494" i="10"/>
  <c r="D13493" i="10"/>
  <c r="A13484" i="10"/>
  <c r="D13478" i="10"/>
  <c r="D13477" i="10"/>
  <c r="D13476" i="10"/>
  <c r="A13467" i="10"/>
  <c r="D13461" i="10"/>
  <c r="D13460" i="10"/>
  <c r="D13459" i="10"/>
  <c r="A13450" i="10"/>
  <c r="D13444" i="10"/>
  <c r="D13443" i="10"/>
  <c r="D13442" i="10"/>
  <c r="A13433" i="10"/>
  <c r="D13427" i="10"/>
  <c r="D13426" i="10"/>
  <c r="D13425" i="10"/>
  <c r="A13416" i="10"/>
  <c r="D13410" i="10"/>
  <c r="D13409" i="10"/>
  <c r="D13408" i="10"/>
  <c r="A13399" i="10"/>
  <c r="D13393" i="10"/>
  <c r="D13392" i="10"/>
  <c r="D13391" i="10"/>
  <c r="A13382" i="10"/>
  <c r="D13376" i="10"/>
  <c r="D13375" i="10"/>
  <c r="D13374" i="10"/>
  <c r="A13365" i="10"/>
  <c r="D13359" i="10"/>
  <c r="D13358" i="10"/>
  <c r="D13357" i="10"/>
  <c r="A13348" i="10"/>
  <c r="D13342" i="10"/>
  <c r="D13341" i="10"/>
  <c r="D13340" i="10"/>
  <c r="A13331" i="10"/>
  <c r="D13325" i="10"/>
  <c r="D13324" i="10"/>
  <c r="D13323" i="10"/>
  <c r="A13314" i="10"/>
  <c r="D13308" i="10"/>
  <c r="D13307" i="10"/>
  <c r="D13306" i="10"/>
  <c r="A13297" i="10"/>
  <c r="D13291" i="10"/>
  <c r="D13290" i="10"/>
  <c r="D13289" i="10"/>
  <c r="A13280" i="10"/>
  <c r="D13274" i="10"/>
  <c r="D13273" i="10"/>
  <c r="D13272" i="10"/>
  <c r="A13263" i="10"/>
  <c r="D13257" i="10"/>
  <c r="D13256" i="10"/>
  <c r="D13255" i="10"/>
  <c r="A13246" i="10"/>
  <c r="D13240" i="10"/>
  <c r="D13239" i="10"/>
  <c r="D13238" i="10"/>
  <c r="A13229" i="10"/>
  <c r="D13223" i="10"/>
  <c r="D13222" i="10"/>
  <c r="D13221" i="10"/>
  <c r="A13212" i="10"/>
  <c r="D13206" i="10"/>
  <c r="D13205" i="10"/>
  <c r="D13204" i="10"/>
  <c r="A13195" i="10"/>
  <c r="D13189" i="10"/>
  <c r="D13188" i="10"/>
  <c r="D13187" i="10"/>
  <c r="A13178" i="10"/>
  <c r="D13172" i="10"/>
  <c r="D13171" i="10"/>
  <c r="D13170" i="10"/>
  <c r="A13161" i="10"/>
  <c r="D13155" i="10"/>
  <c r="D13154" i="10"/>
  <c r="D13153" i="10"/>
  <c r="A13144" i="10"/>
  <c r="D13138" i="10"/>
  <c r="D13137" i="10"/>
  <c r="D13136" i="10"/>
  <c r="A13127" i="10"/>
  <c r="D13121" i="10"/>
  <c r="D13120" i="10"/>
  <c r="D13119" i="10"/>
  <c r="A13110" i="10"/>
  <c r="D13104" i="10"/>
  <c r="D13103" i="10"/>
  <c r="D13102" i="10"/>
  <c r="A13093" i="10"/>
  <c r="D13087" i="10"/>
  <c r="D13086" i="10"/>
  <c r="D13085" i="10"/>
  <c r="A13076" i="10"/>
  <c r="D13070" i="10"/>
  <c r="D13069" i="10"/>
  <c r="D13068" i="10"/>
  <c r="A13059" i="10"/>
  <c r="D13053" i="10"/>
  <c r="D13052" i="10"/>
  <c r="D13051" i="10"/>
  <c r="A13042" i="10"/>
  <c r="D13036" i="10"/>
  <c r="D13035" i="10"/>
  <c r="D13034" i="10"/>
  <c r="A13025" i="10"/>
  <c r="D13019" i="10"/>
  <c r="D13018" i="10"/>
  <c r="D13017" i="10"/>
  <c r="A13008" i="10"/>
  <c r="D13002" i="10"/>
  <c r="D13001" i="10"/>
  <c r="D13000" i="10"/>
  <c r="A12991" i="10"/>
  <c r="D12985" i="10"/>
  <c r="D12984" i="10"/>
  <c r="D12983" i="10"/>
  <c r="A12974" i="10"/>
  <c r="D12968" i="10"/>
  <c r="D12967" i="10"/>
  <c r="D12966" i="10"/>
  <c r="A12957" i="10"/>
  <c r="D12951" i="10"/>
  <c r="D12950" i="10"/>
  <c r="D12949" i="10"/>
  <c r="A12940" i="10"/>
  <c r="D12934" i="10"/>
  <c r="D12933" i="10"/>
  <c r="D12932" i="10"/>
  <c r="A12923" i="10"/>
  <c r="D12917" i="10"/>
  <c r="D12916" i="10"/>
  <c r="D12915" i="10"/>
  <c r="A12906" i="10"/>
  <c r="D12900" i="10"/>
  <c r="D12899" i="10"/>
  <c r="D12898" i="10"/>
  <c r="A12889" i="10"/>
  <c r="D12883" i="10"/>
  <c r="D12882" i="10"/>
  <c r="D12881" i="10"/>
  <c r="A12872" i="10"/>
  <c r="D12866" i="10"/>
  <c r="D12865" i="10"/>
  <c r="D12864" i="10"/>
  <c r="A12855" i="10"/>
  <c r="D12849" i="10"/>
  <c r="D12848" i="10"/>
  <c r="D12847" i="10"/>
  <c r="A12838" i="10"/>
  <c r="D12832" i="10"/>
  <c r="D12831" i="10"/>
  <c r="D12830" i="10"/>
  <c r="A12821" i="10"/>
  <c r="D12815" i="10"/>
  <c r="D12814" i="10"/>
  <c r="D12813" i="10"/>
  <c r="A12804" i="10"/>
  <c r="D12798" i="10"/>
  <c r="D12797" i="10"/>
  <c r="D12796" i="10"/>
  <c r="A12787" i="10"/>
  <c r="D12781" i="10"/>
  <c r="D12780" i="10"/>
  <c r="D12779" i="10"/>
  <c r="A12770" i="10"/>
  <c r="D12764" i="10"/>
  <c r="D12763" i="10"/>
  <c r="D12762" i="10"/>
  <c r="A12753" i="10"/>
  <c r="D12747" i="10"/>
  <c r="D12746" i="10"/>
  <c r="D12745" i="10"/>
  <c r="A12736" i="10"/>
  <c r="D12730" i="10"/>
  <c r="D12729" i="10"/>
  <c r="D12728" i="10"/>
  <c r="A12719" i="10"/>
  <c r="D12713" i="10"/>
  <c r="D12712" i="10"/>
  <c r="D12711" i="10"/>
  <c r="A12702" i="10"/>
  <c r="D12696" i="10"/>
  <c r="D12695" i="10"/>
  <c r="D12694" i="10"/>
  <c r="A12685" i="10"/>
  <c r="D12679" i="10"/>
  <c r="D12678" i="10"/>
  <c r="D12677" i="10"/>
  <c r="A12668" i="10"/>
  <c r="D12662" i="10"/>
  <c r="D12661" i="10"/>
  <c r="D12660" i="10"/>
  <c r="A12651" i="10"/>
  <c r="D12645" i="10"/>
  <c r="D12644" i="10"/>
  <c r="D12643" i="10"/>
  <c r="A12634" i="10"/>
  <c r="D12628" i="10"/>
  <c r="D12627" i="10"/>
  <c r="D12626" i="10"/>
  <c r="A12617" i="10"/>
  <c r="D12611" i="10"/>
  <c r="D12610" i="10"/>
  <c r="D12609" i="10"/>
  <c r="A12600" i="10"/>
  <c r="D12594" i="10"/>
  <c r="D12593" i="10"/>
  <c r="D12592" i="10"/>
  <c r="A12583" i="10"/>
  <c r="D12577" i="10"/>
  <c r="D12576" i="10"/>
  <c r="D12575" i="10"/>
  <c r="A12566" i="10"/>
  <c r="D12560" i="10"/>
  <c r="D12559" i="10"/>
  <c r="D12558" i="10"/>
  <c r="A12549" i="10"/>
  <c r="D12543" i="10"/>
  <c r="D12542" i="10"/>
  <c r="D12541" i="10"/>
  <c r="A12532" i="10"/>
  <c r="D12526" i="10"/>
  <c r="D12525" i="10"/>
  <c r="D12524" i="10"/>
  <c r="A12515" i="10"/>
  <c r="D12509" i="10"/>
  <c r="D12508" i="10"/>
  <c r="D12507" i="10"/>
  <c r="A12498" i="10"/>
  <c r="D12492" i="10"/>
  <c r="D12491" i="10"/>
  <c r="D12490" i="10"/>
  <c r="A12481" i="10"/>
  <c r="D12475" i="10"/>
  <c r="D12474" i="10"/>
  <c r="D12473" i="10"/>
  <c r="A12464" i="10"/>
  <c r="D12458" i="10"/>
  <c r="D12457" i="10"/>
  <c r="D12456" i="10"/>
  <c r="A12447" i="10"/>
  <c r="D12441" i="10"/>
  <c r="D12440" i="10"/>
  <c r="D12439" i="10"/>
  <c r="A12430" i="10"/>
  <c r="D12424" i="10"/>
  <c r="D12423" i="10"/>
  <c r="D12422" i="10"/>
  <c r="A12413" i="10"/>
  <c r="D12407" i="10"/>
  <c r="D12406" i="10"/>
  <c r="D12405" i="10"/>
  <c r="A12396" i="10"/>
  <c r="D12390" i="10"/>
  <c r="D12389" i="10"/>
  <c r="D12388" i="10"/>
  <c r="A12379" i="10"/>
  <c r="D12373" i="10"/>
  <c r="D12372" i="10"/>
  <c r="D12371" i="10"/>
  <c r="A12362" i="10"/>
  <c r="D12356" i="10"/>
  <c r="D12355" i="10"/>
  <c r="D12354" i="10"/>
  <c r="A12345" i="10"/>
  <c r="D12339" i="10"/>
  <c r="D12338" i="10"/>
  <c r="D12337" i="10"/>
  <c r="A12328" i="10"/>
  <c r="D12322" i="10"/>
  <c r="D12321" i="10"/>
  <c r="D12320" i="10"/>
  <c r="A12311" i="10"/>
  <c r="D12305" i="10"/>
  <c r="D12304" i="10"/>
  <c r="D12303" i="10"/>
  <c r="A12294" i="10"/>
  <c r="D12288" i="10"/>
  <c r="D12287" i="10"/>
  <c r="D12286" i="10"/>
  <c r="A12277" i="10"/>
  <c r="D12271" i="10"/>
  <c r="D12270" i="10"/>
  <c r="D12269" i="10"/>
  <c r="A12260" i="10"/>
  <c r="D12254" i="10"/>
  <c r="D12253" i="10"/>
  <c r="D12252" i="10"/>
  <c r="A12243" i="10"/>
  <c r="D12237" i="10"/>
  <c r="D12236" i="10"/>
  <c r="D12235" i="10"/>
  <c r="A12226" i="10"/>
  <c r="D12220" i="10"/>
  <c r="D12219" i="10"/>
  <c r="D12218" i="10"/>
  <c r="A12209" i="10"/>
  <c r="D12203" i="10"/>
  <c r="D12202" i="10"/>
  <c r="D12201" i="10"/>
  <c r="A12192" i="10"/>
  <c r="D12186" i="10"/>
  <c r="D12185" i="10"/>
  <c r="D12184" i="10"/>
  <c r="A12175" i="10"/>
  <c r="D12169" i="10"/>
  <c r="D12168" i="10"/>
  <c r="D12167" i="10"/>
  <c r="A12158" i="10"/>
  <c r="D12152" i="10"/>
  <c r="D12151" i="10"/>
  <c r="D12150" i="10"/>
  <c r="A12141" i="10"/>
  <c r="D12135" i="10"/>
  <c r="D12134" i="10"/>
  <c r="D12133" i="10"/>
  <c r="A12124" i="10"/>
  <c r="D12118" i="10"/>
  <c r="D12117" i="10"/>
  <c r="D12116" i="10"/>
  <c r="A12107" i="10"/>
  <c r="D12101" i="10"/>
  <c r="D12100" i="10"/>
  <c r="D12099" i="10"/>
  <c r="A12090" i="10"/>
  <c r="D12084" i="10"/>
  <c r="D12083" i="10"/>
  <c r="D12082" i="10"/>
  <c r="A12073" i="10"/>
  <c r="D12067" i="10"/>
  <c r="D12066" i="10"/>
  <c r="D12065" i="10"/>
  <c r="A12056" i="10"/>
  <c r="D12050" i="10"/>
  <c r="D12049" i="10"/>
  <c r="D12048" i="10"/>
  <c r="A12039" i="10"/>
  <c r="D12033" i="10"/>
  <c r="D12032" i="10"/>
  <c r="D12031" i="10"/>
  <c r="A12022" i="10"/>
  <c r="D12016" i="10"/>
  <c r="D12015" i="10"/>
  <c r="D12014" i="10"/>
  <c r="A12005" i="10"/>
  <c r="D11999" i="10"/>
  <c r="D11998" i="10"/>
  <c r="D11997" i="10"/>
  <c r="A11988" i="10"/>
  <c r="D11982" i="10"/>
  <c r="D11981" i="10"/>
  <c r="D11980" i="10"/>
  <c r="A11971" i="10"/>
  <c r="D11965" i="10"/>
  <c r="D11964" i="10"/>
  <c r="D11963" i="10"/>
  <c r="A11954" i="10"/>
  <c r="D11948" i="10"/>
  <c r="D11947" i="10"/>
  <c r="D11946" i="10"/>
  <c r="A11937" i="10"/>
  <c r="D11931" i="10"/>
  <c r="D11930" i="10"/>
  <c r="D11929" i="10"/>
  <c r="A11920" i="10"/>
  <c r="D11914" i="10"/>
  <c r="D11913" i="10"/>
  <c r="D11912" i="10"/>
  <c r="A11903" i="10"/>
  <c r="D11897" i="10"/>
  <c r="D11896" i="10"/>
  <c r="D11895" i="10"/>
  <c r="A11886" i="10"/>
  <c r="D11880" i="10"/>
  <c r="D11879" i="10"/>
  <c r="D11878" i="10"/>
  <c r="A11869" i="10"/>
  <c r="D11863" i="10"/>
  <c r="D11862" i="10"/>
  <c r="D11861" i="10"/>
  <c r="A11852" i="10"/>
  <c r="D11846" i="10"/>
  <c r="D11845" i="10"/>
  <c r="D11844" i="10"/>
  <c r="A11835" i="10"/>
  <c r="D11829" i="10"/>
  <c r="D11828" i="10"/>
  <c r="D11827" i="10"/>
  <c r="A11818" i="10"/>
  <c r="D11812" i="10"/>
  <c r="D11811" i="10"/>
  <c r="D11810" i="10"/>
  <c r="A11801" i="10"/>
  <c r="D11795" i="10"/>
  <c r="D11794" i="10"/>
  <c r="D11793" i="10"/>
  <c r="A11784" i="10"/>
  <c r="D11778" i="10"/>
  <c r="D11777" i="10"/>
  <c r="D11776" i="10"/>
  <c r="A11767" i="10"/>
  <c r="D11761" i="10"/>
  <c r="D11760" i="10"/>
  <c r="D11759" i="10"/>
  <c r="A11750" i="10"/>
  <c r="D11744" i="10"/>
  <c r="D11743" i="10"/>
  <c r="D11742" i="10"/>
  <c r="A11733" i="10"/>
  <c r="D11727" i="10"/>
  <c r="D11726" i="10"/>
  <c r="D11725" i="10"/>
  <c r="A11716" i="10"/>
  <c r="D11710" i="10"/>
  <c r="D11709" i="10"/>
  <c r="D11708" i="10"/>
  <c r="A11699" i="10"/>
  <c r="D11693" i="10"/>
  <c r="D11692" i="10"/>
  <c r="D11691" i="10"/>
  <c r="A11682" i="10"/>
  <c r="D11676" i="10"/>
  <c r="D11675" i="10"/>
  <c r="D11674" i="10"/>
  <c r="A11665" i="10"/>
  <c r="D11659" i="10"/>
  <c r="D11658" i="10"/>
  <c r="D11657" i="10"/>
  <c r="A11648" i="10"/>
  <c r="D11642" i="10"/>
  <c r="D11641" i="10"/>
  <c r="D11640" i="10"/>
  <c r="A11631" i="10"/>
  <c r="D11625" i="10"/>
  <c r="D11624" i="10"/>
  <c r="D11623" i="10"/>
  <c r="A11614" i="10"/>
  <c r="D11608" i="10"/>
  <c r="D11607" i="10"/>
  <c r="D11606" i="10"/>
  <c r="A11597" i="10"/>
  <c r="D11591" i="10"/>
  <c r="D11590" i="10"/>
  <c r="D11589" i="10"/>
  <c r="A11580" i="10"/>
  <c r="D11574" i="10"/>
  <c r="D11573" i="10"/>
  <c r="D11572" i="10"/>
  <c r="A11563" i="10"/>
  <c r="D11557" i="10"/>
  <c r="D11556" i="10"/>
  <c r="D11555" i="10"/>
  <c r="A11546" i="10"/>
  <c r="D11540" i="10"/>
  <c r="D11539" i="10"/>
  <c r="D11538" i="10"/>
  <c r="A11529" i="10"/>
  <c r="D11523" i="10"/>
  <c r="D11522" i="10"/>
  <c r="D11521" i="10"/>
  <c r="A11512" i="10"/>
  <c r="D11506" i="10"/>
  <c r="D11505" i="10"/>
  <c r="D11504" i="10"/>
  <c r="A11495" i="10"/>
  <c r="D11489" i="10"/>
  <c r="D11488" i="10"/>
  <c r="D11487" i="10"/>
  <c r="A11478" i="10"/>
  <c r="D11472" i="10"/>
  <c r="D11471" i="10"/>
  <c r="D11470" i="10"/>
  <c r="A11461" i="10"/>
  <c r="D11455" i="10"/>
  <c r="D11454" i="10"/>
  <c r="D11453" i="10"/>
  <c r="A11444" i="10"/>
  <c r="D11438" i="10"/>
  <c r="D11437" i="10"/>
  <c r="D11436" i="10"/>
  <c r="A11427" i="10"/>
  <c r="D11421" i="10"/>
  <c r="D11420" i="10"/>
  <c r="D11419" i="10"/>
  <c r="A11410" i="10"/>
  <c r="D11404" i="10"/>
  <c r="D11403" i="10"/>
  <c r="D11402" i="10"/>
  <c r="A11393" i="10"/>
  <c r="D11387" i="10"/>
  <c r="D11386" i="10"/>
  <c r="D11385" i="10"/>
  <c r="A11376" i="10"/>
  <c r="D11370" i="10"/>
  <c r="D11369" i="10"/>
  <c r="D11368" i="10"/>
  <c r="A11359" i="10"/>
  <c r="D11353" i="10"/>
  <c r="D11352" i="10"/>
  <c r="D11351" i="10"/>
  <c r="A11342" i="10"/>
  <c r="D11336" i="10"/>
  <c r="D11335" i="10"/>
  <c r="D11334" i="10"/>
  <c r="A11325" i="10"/>
  <c r="D11319" i="10"/>
  <c r="D11318" i="10"/>
  <c r="D11317" i="10"/>
  <c r="A11308" i="10"/>
  <c r="D11302" i="10"/>
  <c r="D11301" i="10"/>
  <c r="D11300" i="10"/>
  <c r="A11291" i="10"/>
  <c r="D11285" i="10"/>
  <c r="D11284" i="10"/>
  <c r="D11283" i="10"/>
  <c r="A11274" i="10"/>
  <c r="D11268" i="10"/>
  <c r="D11267" i="10"/>
  <c r="D11266" i="10"/>
  <c r="A11257" i="10"/>
  <c r="D11251" i="10"/>
  <c r="D11250" i="10"/>
  <c r="D11249" i="10"/>
  <c r="A11240" i="10"/>
  <c r="D11234" i="10"/>
  <c r="D11233" i="10"/>
  <c r="D11232" i="10"/>
  <c r="A11223" i="10"/>
  <c r="D11217" i="10"/>
  <c r="D11216" i="10"/>
  <c r="D11215" i="10"/>
  <c r="A11206" i="10"/>
  <c r="D11200" i="10"/>
  <c r="D11199" i="10"/>
  <c r="D11198" i="10"/>
  <c r="A11189" i="10"/>
  <c r="D11183" i="10"/>
  <c r="D11182" i="10"/>
  <c r="D11181" i="10"/>
  <c r="A11172" i="10"/>
  <c r="D11166" i="10"/>
  <c r="D11165" i="10"/>
  <c r="D11164" i="10"/>
  <c r="A11155" i="10"/>
  <c r="D11149" i="10"/>
  <c r="D11148" i="10"/>
  <c r="D11147" i="10"/>
  <c r="A11138" i="10"/>
  <c r="D11132" i="10"/>
  <c r="D11131" i="10"/>
  <c r="D11130" i="10"/>
  <c r="A11121" i="10"/>
  <c r="D11115" i="10"/>
  <c r="D11114" i="10"/>
  <c r="D11113" i="10"/>
  <c r="A11104" i="10"/>
  <c r="D11098" i="10"/>
  <c r="D11097" i="10"/>
  <c r="D11096" i="10"/>
  <c r="A11087" i="10"/>
  <c r="D11081" i="10"/>
  <c r="D11080" i="10"/>
  <c r="D11079" i="10"/>
  <c r="A11070" i="10"/>
  <c r="D11064" i="10"/>
  <c r="D11063" i="10"/>
  <c r="D11062" i="10"/>
  <c r="A11053" i="10"/>
  <c r="D11047" i="10"/>
  <c r="D11046" i="10"/>
  <c r="D11045" i="10"/>
  <c r="A11036" i="10"/>
  <c r="D11030" i="10"/>
  <c r="D11029" i="10"/>
  <c r="D11028" i="10"/>
  <c r="A11019" i="10"/>
  <c r="D11013" i="10"/>
  <c r="D11012" i="10"/>
  <c r="D11011" i="10"/>
  <c r="A11002" i="10"/>
  <c r="D10996" i="10"/>
  <c r="D10995" i="10"/>
  <c r="D10994" i="10"/>
  <c r="A10985" i="10"/>
  <c r="D10979" i="10"/>
  <c r="D10978" i="10"/>
  <c r="D10977" i="10"/>
  <c r="A10968" i="10"/>
  <c r="D10962" i="10"/>
  <c r="D10961" i="10"/>
  <c r="D10960" i="10"/>
  <c r="A10951" i="10"/>
  <c r="D10945" i="10"/>
  <c r="D10944" i="10"/>
  <c r="D10943" i="10"/>
  <c r="A10934" i="10"/>
  <c r="D10928" i="10"/>
  <c r="D10927" i="10"/>
  <c r="D10926" i="10"/>
  <c r="A10917" i="10"/>
  <c r="D10911" i="10"/>
  <c r="D10910" i="10"/>
  <c r="D10909" i="10"/>
  <c r="A10900" i="10"/>
  <c r="D10894" i="10"/>
  <c r="D10893" i="10"/>
  <c r="D10892" i="10"/>
  <c r="A10883" i="10"/>
  <c r="D10877" i="10"/>
  <c r="D10876" i="10"/>
  <c r="D10875" i="10"/>
  <c r="A10866" i="10"/>
  <c r="D10860" i="10"/>
  <c r="D10859" i="10"/>
  <c r="D10858" i="10"/>
  <c r="A10849" i="10"/>
  <c r="D10843" i="10"/>
  <c r="D10842" i="10"/>
  <c r="D10841" i="10"/>
  <c r="A10832" i="10"/>
  <c r="D10826" i="10"/>
  <c r="D10825" i="10"/>
  <c r="D10824" i="10"/>
  <c r="A10815" i="10"/>
  <c r="D10809" i="10"/>
  <c r="D10808" i="10"/>
  <c r="D10807" i="10"/>
  <c r="A10798" i="10"/>
  <c r="D10792" i="10"/>
  <c r="D10791" i="10"/>
  <c r="D10790" i="10"/>
  <c r="A10781" i="10"/>
  <c r="D10775" i="10"/>
  <c r="D10774" i="10"/>
  <c r="D10773" i="10"/>
  <c r="A10764" i="10"/>
  <c r="D10758" i="10"/>
  <c r="D10757" i="10"/>
  <c r="D10756" i="10"/>
  <c r="A10747" i="10"/>
  <c r="D10741" i="10"/>
  <c r="D10740" i="10"/>
  <c r="D10739" i="10"/>
  <c r="A10730" i="10"/>
  <c r="D10724" i="10"/>
  <c r="D10723" i="10"/>
  <c r="D10722" i="10"/>
  <c r="A10713" i="10"/>
  <c r="D10707" i="10"/>
  <c r="D10706" i="10"/>
  <c r="D10705" i="10"/>
  <c r="A10696" i="10"/>
  <c r="D10690" i="10"/>
  <c r="D10689" i="10"/>
  <c r="D10688" i="10"/>
  <c r="A10679" i="10"/>
  <c r="D10673" i="10"/>
  <c r="D10672" i="10"/>
  <c r="D10671" i="10"/>
  <c r="A10662" i="10"/>
  <c r="D10656" i="10"/>
  <c r="D10655" i="10"/>
  <c r="D10654" i="10"/>
  <c r="A10645" i="10"/>
  <c r="D10639" i="10"/>
  <c r="D10638" i="10"/>
  <c r="D10637" i="10"/>
  <c r="A10628" i="10"/>
  <c r="D10622" i="10"/>
  <c r="D10621" i="10"/>
  <c r="D10620" i="10"/>
  <c r="A10611" i="10"/>
  <c r="D10605" i="10"/>
  <c r="D10604" i="10"/>
  <c r="D10603" i="10"/>
  <c r="A10594" i="10"/>
  <c r="D10588" i="10"/>
  <c r="D10587" i="10"/>
  <c r="D10586" i="10"/>
  <c r="A10577" i="10"/>
  <c r="D10571" i="10"/>
  <c r="D10570" i="10"/>
  <c r="D10569" i="10"/>
  <c r="A10560" i="10"/>
  <c r="D10554" i="10"/>
  <c r="D10553" i="10"/>
  <c r="D10552" i="10"/>
  <c r="A10543" i="10"/>
  <c r="D10537" i="10"/>
  <c r="D10536" i="10"/>
  <c r="D10535" i="10"/>
  <c r="A10526" i="10"/>
  <c r="D10520" i="10"/>
  <c r="D10519" i="10"/>
  <c r="D10518" i="10"/>
  <c r="A10509" i="10"/>
  <c r="D10503" i="10"/>
  <c r="D10502" i="10"/>
  <c r="D10501" i="10"/>
  <c r="A10492" i="10"/>
  <c r="D10486" i="10"/>
  <c r="D10485" i="10"/>
  <c r="D10484" i="10"/>
  <c r="A10475" i="10"/>
  <c r="D10469" i="10"/>
  <c r="D10468" i="10"/>
  <c r="D10467" i="10"/>
  <c r="A10458" i="10"/>
  <c r="D10452" i="10"/>
  <c r="D10451" i="10"/>
  <c r="D10450" i="10"/>
  <c r="A10441" i="10"/>
  <c r="D10435" i="10"/>
  <c r="D10434" i="10"/>
  <c r="D10433" i="10"/>
  <c r="A10424" i="10"/>
  <c r="D10418" i="10"/>
  <c r="D10417" i="10"/>
  <c r="D10416" i="10"/>
  <c r="A10407" i="10"/>
  <c r="D10401" i="10"/>
  <c r="D10400" i="10"/>
  <c r="D10399" i="10"/>
  <c r="A10390" i="10"/>
  <c r="D10384" i="10"/>
  <c r="D10383" i="10"/>
  <c r="D10382" i="10"/>
  <c r="A10373" i="10"/>
  <c r="D10367" i="10"/>
  <c r="D10366" i="10"/>
  <c r="D10365" i="10"/>
  <c r="A10356" i="10"/>
  <c r="D10350" i="10"/>
  <c r="D10349" i="10"/>
  <c r="D10348" i="10"/>
  <c r="A10339" i="10"/>
  <c r="D10333" i="10"/>
  <c r="D10332" i="10"/>
  <c r="D10331" i="10"/>
  <c r="A10322" i="10"/>
  <c r="D10316" i="10"/>
  <c r="D10315" i="10"/>
  <c r="D10314" i="10"/>
  <c r="A10305" i="10"/>
  <c r="D10299" i="10"/>
  <c r="D10298" i="10"/>
  <c r="D10297" i="10"/>
  <c r="A10288" i="10"/>
  <c r="D10282" i="10"/>
  <c r="D10281" i="10"/>
  <c r="D10280" i="10"/>
  <c r="A10271" i="10"/>
  <c r="D10265" i="10"/>
  <c r="D10264" i="10"/>
  <c r="D10263" i="10"/>
  <c r="A10254" i="10"/>
  <c r="D10248" i="10"/>
  <c r="D10247" i="10"/>
  <c r="D10246" i="10"/>
  <c r="A10237" i="10"/>
  <c r="D10231" i="10"/>
  <c r="D10230" i="10"/>
  <c r="D10229" i="10"/>
  <c r="A10220" i="10"/>
  <c r="D10214" i="10"/>
  <c r="D10213" i="10"/>
  <c r="D10212" i="10"/>
  <c r="A10203" i="10"/>
  <c r="D10197" i="10"/>
  <c r="D10196" i="10"/>
  <c r="D10195" i="10"/>
  <c r="A10186" i="10"/>
  <c r="D10180" i="10"/>
  <c r="D10179" i="10"/>
  <c r="D10178" i="10"/>
  <c r="A10169" i="10"/>
  <c r="D10163" i="10"/>
  <c r="D10162" i="10"/>
  <c r="D10161" i="10"/>
  <c r="A10152" i="10"/>
  <c r="D10146" i="10"/>
  <c r="D10145" i="10"/>
  <c r="D10144" i="10"/>
  <c r="A10135" i="10"/>
  <c r="D10129" i="10"/>
  <c r="D10128" i="10"/>
  <c r="D10127" i="10"/>
  <c r="A10118" i="10"/>
  <c r="D10112" i="10"/>
  <c r="D10111" i="10"/>
  <c r="D10110" i="10"/>
  <c r="A10101" i="10"/>
  <c r="D10095" i="10"/>
  <c r="D10094" i="10"/>
  <c r="D10093" i="10"/>
  <c r="A10084" i="10"/>
  <c r="D10078" i="10"/>
  <c r="D10077" i="10"/>
  <c r="D10076" i="10"/>
  <c r="A10067" i="10"/>
  <c r="D10061" i="10"/>
  <c r="D10060" i="10"/>
  <c r="D10059" i="10"/>
  <c r="A10050" i="10"/>
  <c r="D10044" i="10"/>
  <c r="D10043" i="10"/>
  <c r="D10042" i="10"/>
  <c r="A10033" i="10"/>
  <c r="D10027" i="10"/>
  <c r="D10026" i="10"/>
  <c r="D10025" i="10"/>
  <c r="A10016" i="10"/>
  <c r="D10010" i="10"/>
  <c r="D10009" i="10"/>
  <c r="D10008" i="10"/>
  <c r="A9999" i="10"/>
  <c r="D9993" i="10"/>
  <c r="D9992" i="10"/>
  <c r="D9991" i="10"/>
  <c r="A9982" i="10"/>
  <c r="D9976" i="10"/>
  <c r="D9975" i="10"/>
  <c r="D9974" i="10"/>
  <c r="A9965" i="10"/>
  <c r="D9959" i="10"/>
  <c r="D9958" i="10"/>
  <c r="D9957" i="10"/>
  <c r="A9948" i="10"/>
  <c r="D9942" i="10"/>
  <c r="D9941" i="10"/>
  <c r="D9940" i="10"/>
  <c r="A9931" i="10"/>
  <c r="D9925" i="10"/>
  <c r="D9924" i="10"/>
  <c r="D9923" i="10"/>
  <c r="A9914" i="10"/>
  <c r="D9908" i="10"/>
  <c r="D9907" i="10"/>
  <c r="D9906" i="10"/>
  <c r="A9897" i="10"/>
  <c r="D9891" i="10"/>
  <c r="D9890" i="10"/>
  <c r="D9889" i="10"/>
  <c r="A9880" i="10"/>
  <c r="D9874" i="10"/>
  <c r="D9873" i="10"/>
  <c r="D9872" i="10"/>
  <c r="A9863" i="10"/>
  <c r="D9857" i="10"/>
  <c r="D9856" i="10"/>
  <c r="D9855" i="10"/>
  <c r="A9846" i="10"/>
  <c r="D9840" i="10"/>
  <c r="D9839" i="10"/>
  <c r="D9838" i="10"/>
  <c r="A9829" i="10"/>
  <c r="D9823" i="10"/>
  <c r="D9822" i="10"/>
  <c r="D9821" i="10"/>
  <c r="A9812" i="10"/>
  <c r="D9806" i="10"/>
  <c r="D9805" i="10"/>
  <c r="D9804" i="10"/>
  <c r="A9795" i="10"/>
  <c r="D9789" i="10"/>
  <c r="D9788" i="10"/>
  <c r="D9787" i="10"/>
  <c r="A9778" i="10"/>
  <c r="D9772" i="10"/>
  <c r="D9771" i="10"/>
  <c r="D9770" i="10"/>
  <c r="A9761" i="10"/>
  <c r="D9755" i="10"/>
  <c r="D9754" i="10"/>
  <c r="D9753" i="10"/>
  <c r="A9744" i="10"/>
  <c r="D9738" i="10"/>
  <c r="D9737" i="10"/>
  <c r="D9736" i="10"/>
  <c r="A9727" i="10"/>
  <c r="D9721" i="10"/>
  <c r="D9720" i="10"/>
  <c r="D9719" i="10"/>
  <c r="A9710" i="10"/>
  <c r="D9704" i="10"/>
  <c r="D9703" i="10"/>
  <c r="D9702" i="10"/>
  <c r="A9693" i="10"/>
  <c r="D9687" i="10"/>
  <c r="D9686" i="10"/>
  <c r="D9685" i="10"/>
  <c r="A9676" i="10"/>
  <c r="D9670" i="10"/>
  <c r="D9669" i="10"/>
  <c r="D9668" i="10"/>
  <c r="A9659" i="10"/>
  <c r="D9653" i="10"/>
  <c r="D9652" i="10"/>
  <c r="D9651" i="10"/>
  <c r="A9642" i="10"/>
  <c r="D9636" i="10"/>
  <c r="D9635" i="10"/>
  <c r="D9634" i="10"/>
  <c r="A9625" i="10"/>
  <c r="D9619" i="10"/>
  <c r="D9618" i="10"/>
  <c r="D9617" i="10"/>
  <c r="A9608" i="10"/>
  <c r="D9602" i="10"/>
  <c r="D9601" i="10"/>
  <c r="D9600" i="10"/>
  <c r="A9591" i="10"/>
  <c r="D9585" i="10"/>
  <c r="D9584" i="10"/>
  <c r="D9583" i="10"/>
  <c r="A9574" i="10"/>
  <c r="D9568" i="10"/>
  <c r="D9567" i="10"/>
  <c r="D9566" i="10"/>
  <c r="A9557" i="10"/>
  <c r="D9551" i="10"/>
  <c r="D9550" i="10"/>
  <c r="D9549" i="10"/>
  <c r="A9540" i="10"/>
  <c r="D9534" i="10"/>
  <c r="D9533" i="10"/>
  <c r="D9532" i="10"/>
  <c r="A9523" i="10"/>
  <c r="D9517" i="10"/>
  <c r="D9516" i="10"/>
  <c r="D9515" i="10"/>
  <c r="A9506" i="10"/>
  <c r="D9500" i="10"/>
  <c r="D9499" i="10"/>
  <c r="D9498" i="10"/>
  <c r="A9489" i="10"/>
  <c r="D9483" i="10"/>
  <c r="D9482" i="10"/>
  <c r="D9481" i="10"/>
  <c r="A9472" i="10"/>
  <c r="D9466" i="10"/>
  <c r="D9465" i="10"/>
  <c r="D9464" i="10"/>
  <c r="A9455" i="10"/>
  <c r="D9449" i="10"/>
  <c r="D9448" i="10"/>
  <c r="D9447" i="10"/>
  <c r="A9438" i="10"/>
  <c r="D9432" i="10"/>
  <c r="D9431" i="10"/>
  <c r="D9430" i="10"/>
  <c r="A9421" i="10"/>
  <c r="D9415" i="10"/>
  <c r="D9414" i="10"/>
  <c r="D9413" i="10"/>
  <c r="A9404" i="10"/>
  <c r="D9398" i="10"/>
  <c r="D9397" i="10"/>
  <c r="D9396" i="10"/>
  <c r="A9387" i="10"/>
  <c r="D9381" i="10"/>
  <c r="D9380" i="10"/>
  <c r="D9379" i="10"/>
  <c r="A9370" i="10"/>
  <c r="D9364" i="10"/>
  <c r="D9363" i="10"/>
  <c r="D9362" i="10"/>
  <c r="A9353" i="10"/>
  <c r="D9347" i="10"/>
  <c r="D9346" i="10"/>
  <c r="D9345" i="10"/>
  <c r="A9336" i="10"/>
  <c r="D9330" i="10"/>
  <c r="D9329" i="10"/>
  <c r="D9328" i="10"/>
  <c r="A9319" i="10"/>
  <c r="D9313" i="10"/>
  <c r="D9312" i="10"/>
  <c r="D9311" i="10"/>
  <c r="A9302" i="10"/>
  <c r="D9296" i="10"/>
  <c r="D9295" i="10"/>
  <c r="D9294" i="10"/>
  <c r="A9285" i="10"/>
  <c r="D9279" i="10"/>
  <c r="D9278" i="10"/>
  <c r="D9277" i="10"/>
  <c r="A9268" i="10"/>
  <c r="D9262" i="10"/>
  <c r="D9261" i="10"/>
  <c r="D9260" i="10"/>
  <c r="A9251" i="10"/>
  <c r="D9245" i="10"/>
  <c r="D9244" i="10"/>
  <c r="D9243" i="10"/>
  <c r="A9234" i="10"/>
  <c r="D9228" i="10"/>
  <c r="D9227" i="10"/>
  <c r="D9226" i="10"/>
  <c r="A9217" i="10"/>
  <c r="D9211" i="10"/>
  <c r="D9210" i="10"/>
  <c r="D9209" i="10"/>
  <c r="A9200" i="10"/>
  <c r="D9194" i="10"/>
  <c r="D9193" i="10"/>
  <c r="D9192" i="10"/>
  <c r="A9183" i="10"/>
  <c r="D9177" i="10"/>
  <c r="D9176" i="10"/>
  <c r="D9175" i="10"/>
  <c r="A9166" i="10"/>
  <c r="D9160" i="10"/>
  <c r="D9159" i="10"/>
  <c r="D9158" i="10"/>
  <c r="A9149" i="10"/>
  <c r="D9143" i="10"/>
  <c r="D9142" i="10"/>
  <c r="D9141" i="10"/>
  <c r="A9132" i="10"/>
  <c r="D9126" i="10"/>
  <c r="D9125" i="10"/>
  <c r="D9124" i="10"/>
  <c r="A9115" i="10"/>
  <c r="D9109" i="10"/>
  <c r="D9108" i="10"/>
  <c r="D9107" i="10"/>
  <c r="A9098" i="10"/>
  <c r="D9092" i="10"/>
  <c r="D9091" i="10"/>
  <c r="D9090" i="10"/>
  <c r="A9081" i="10"/>
  <c r="D9075" i="10"/>
  <c r="D9074" i="10"/>
  <c r="D9073" i="10"/>
  <c r="A9064" i="10"/>
  <c r="D9058" i="10"/>
  <c r="D9057" i="10"/>
  <c r="D9056" i="10"/>
  <c r="A9047" i="10"/>
  <c r="D9041" i="10"/>
  <c r="D9040" i="10"/>
  <c r="D9039" i="10"/>
  <c r="A9030" i="10"/>
  <c r="D9024" i="10"/>
  <c r="D9023" i="10"/>
  <c r="D9022" i="10"/>
  <c r="A9013" i="10"/>
  <c r="D9007" i="10"/>
  <c r="D9006" i="10"/>
  <c r="D9005" i="10"/>
  <c r="A8996" i="10"/>
  <c r="D8990" i="10"/>
  <c r="D8989" i="10"/>
  <c r="D8988" i="10"/>
  <c r="A8979" i="10"/>
  <c r="D8973" i="10"/>
  <c r="D8972" i="10"/>
  <c r="D8971" i="10"/>
  <c r="A8962" i="10"/>
  <c r="D8956" i="10"/>
  <c r="D8955" i="10"/>
  <c r="D8954" i="10"/>
  <c r="A8945" i="10"/>
  <c r="D8939" i="10"/>
  <c r="D8938" i="10"/>
  <c r="D8937" i="10"/>
  <c r="A8928" i="10"/>
  <c r="D8922" i="10"/>
  <c r="D8921" i="10"/>
  <c r="D8920" i="10"/>
  <c r="A8911" i="10"/>
  <c r="D8905" i="10"/>
  <c r="D8904" i="10"/>
  <c r="D8903" i="10"/>
  <c r="A8894" i="10"/>
  <c r="D8888" i="10"/>
  <c r="D8887" i="10"/>
  <c r="D8886" i="10"/>
  <c r="A8877" i="10"/>
  <c r="D8871" i="10"/>
  <c r="D8870" i="10"/>
  <c r="D8869" i="10"/>
  <c r="A8860" i="10"/>
  <c r="D8854" i="10"/>
  <c r="D8853" i="10"/>
  <c r="D8852" i="10"/>
  <c r="A8843" i="10"/>
  <c r="D8837" i="10"/>
  <c r="D8836" i="10"/>
  <c r="D8835" i="10"/>
  <c r="A8826" i="10"/>
  <c r="D8820" i="10"/>
  <c r="D8819" i="10"/>
  <c r="D8818" i="10"/>
  <c r="A8809" i="10"/>
  <c r="D8803" i="10"/>
  <c r="D8802" i="10"/>
  <c r="D8801" i="10"/>
  <c r="A8792" i="10"/>
  <c r="D8786" i="10"/>
  <c r="D8785" i="10"/>
  <c r="D8784" i="10"/>
  <c r="A8775" i="10"/>
  <c r="D8769" i="10"/>
  <c r="D8768" i="10"/>
  <c r="D8767" i="10"/>
  <c r="A8758" i="10"/>
  <c r="D8752" i="10"/>
  <c r="D8751" i="10"/>
  <c r="D8750" i="10"/>
  <c r="A8741" i="10"/>
  <c r="D8735" i="10"/>
  <c r="D8734" i="10"/>
  <c r="D8733" i="10"/>
  <c r="A8724" i="10"/>
  <c r="D8718" i="10"/>
  <c r="D8717" i="10"/>
  <c r="D8716" i="10"/>
  <c r="A8707" i="10"/>
  <c r="D8701" i="10"/>
  <c r="D8700" i="10"/>
  <c r="D8699" i="10"/>
  <c r="A8690" i="10"/>
  <c r="D8684" i="10"/>
  <c r="D8683" i="10"/>
  <c r="D8682" i="10"/>
  <c r="A8673" i="10"/>
  <c r="D8667" i="10"/>
  <c r="D8666" i="10"/>
  <c r="D8665" i="10"/>
  <c r="A8656" i="10"/>
  <c r="D8650" i="10"/>
  <c r="D8649" i="10"/>
  <c r="D8648" i="10"/>
  <c r="A8639" i="10"/>
  <c r="D8633" i="10"/>
  <c r="D8632" i="10"/>
  <c r="D8631" i="10"/>
  <c r="A8622" i="10"/>
  <c r="D8616" i="10"/>
  <c r="D8615" i="10"/>
  <c r="D8614" i="10"/>
  <c r="A8605" i="10"/>
  <c r="D8599" i="10"/>
  <c r="D8598" i="10"/>
  <c r="D8597" i="10"/>
  <c r="A8588" i="10"/>
  <c r="D8582" i="10"/>
  <c r="D8581" i="10"/>
  <c r="D8580" i="10"/>
  <c r="A8571" i="10"/>
  <c r="D8565" i="10"/>
  <c r="D8564" i="10"/>
  <c r="D8563" i="10"/>
  <c r="A8554" i="10"/>
  <c r="D8548" i="10"/>
  <c r="D8547" i="10"/>
  <c r="D8546" i="10"/>
  <c r="A8537" i="10"/>
  <c r="D8531" i="10"/>
  <c r="D8530" i="10"/>
  <c r="D8529" i="10"/>
  <c r="A8520" i="10"/>
  <c r="D8514" i="10"/>
  <c r="D8513" i="10"/>
  <c r="D8512" i="10"/>
  <c r="A8503" i="10"/>
  <c r="D8497" i="10"/>
  <c r="D8496" i="10"/>
  <c r="D8495" i="10"/>
  <c r="A8486" i="10"/>
  <c r="D8480" i="10"/>
  <c r="D8479" i="10"/>
  <c r="D8478" i="10"/>
  <c r="A8469" i="10"/>
  <c r="D8463" i="10"/>
  <c r="D8462" i="10"/>
  <c r="D8461" i="10"/>
  <c r="A8452" i="10"/>
  <c r="D8446" i="10"/>
  <c r="D8445" i="10"/>
  <c r="D8444" i="10"/>
  <c r="A8435" i="10"/>
  <c r="D8429" i="10"/>
  <c r="D8428" i="10"/>
  <c r="D8427" i="10"/>
  <c r="A8418" i="10"/>
  <c r="D8412" i="10"/>
  <c r="D8411" i="10"/>
  <c r="D8410" i="10"/>
  <c r="A8401" i="10"/>
  <c r="D8395" i="10"/>
  <c r="D8394" i="10"/>
  <c r="D8393" i="10"/>
  <c r="A8384" i="10"/>
  <c r="D8378" i="10"/>
  <c r="D8377" i="10"/>
  <c r="D8376" i="10"/>
  <c r="A8367" i="10"/>
  <c r="D8361" i="10"/>
  <c r="D8360" i="10"/>
  <c r="D8359" i="10"/>
  <c r="A8350" i="10"/>
  <c r="D8344" i="10"/>
  <c r="D8343" i="10"/>
  <c r="D8342" i="10"/>
  <c r="A8333" i="10"/>
  <c r="D8327" i="10"/>
  <c r="D8326" i="10"/>
  <c r="D8325" i="10"/>
  <c r="A8316" i="10"/>
  <c r="D8310" i="10"/>
  <c r="D8309" i="10"/>
  <c r="D8308" i="10"/>
  <c r="A8299" i="10"/>
  <c r="D8293" i="10"/>
  <c r="D8292" i="10"/>
  <c r="D8291" i="10"/>
  <c r="A8282" i="10"/>
  <c r="D8276" i="10"/>
  <c r="D8275" i="10"/>
  <c r="D8274" i="10"/>
  <c r="A8265" i="10"/>
  <c r="D8259" i="10"/>
  <c r="D8258" i="10"/>
  <c r="D8257" i="10"/>
  <c r="A8248" i="10"/>
  <c r="D8242" i="10"/>
  <c r="D8241" i="10"/>
  <c r="D8240" i="10"/>
  <c r="A8231" i="10"/>
  <c r="D8225" i="10"/>
  <c r="D8224" i="10"/>
  <c r="D8223" i="10"/>
  <c r="A8214" i="10"/>
  <c r="D8208" i="10"/>
  <c r="D8207" i="10"/>
  <c r="D8206" i="10"/>
  <c r="A8197" i="10"/>
  <c r="D8191" i="10"/>
  <c r="D8190" i="10"/>
  <c r="D8189" i="10"/>
  <c r="A8180" i="10"/>
  <c r="D8174" i="10"/>
  <c r="D8173" i="10"/>
  <c r="D8172" i="10"/>
  <c r="A8163" i="10"/>
  <c r="D8157" i="10"/>
  <c r="D8156" i="10"/>
  <c r="D8155" i="10"/>
  <c r="A8146" i="10"/>
  <c r="D8140" i="10"/>
  <c r="D8139" i="10"/>
  <c r="D8138" i="10"/>
  <c r="A8129" i="10"/>
  <c r="D8123" i="10"/>
  <c r="D8122" i="10"/>
  <c r="D8121" i="10"/>
  <c r="A8112" i="10"/>
  <c r="D8106" i="10"/>
  <c r="D8105" i="10"/>
  <c r="D8104" i="10"/>
  <c r="A8095" i="10"/>
  <c r="D8089" i="10"/>
  <c r="D8088" i="10"/>
  <c r="D8087" i="10"/>
  <c r="A8078" i="10"/>
  <c r="D8072" i="10"/>
  <c r="D8071" i="10"/>
  <c r="D8070" i="10"/>
  <c r="A8061" i="10"/>
  <c r="D8055" i="10"/>
  <c r="D8054" i="10"/>
  <c r="D8053" i="10"/>
  <c r="A8044" i="10"/>
  <c r="D8038" i="10"/>
  <c r="D8037" i="10"/>
  <c r="D8036" i="10"/>
  <c r="A8027" i="10"/>
  <c r="D8021" i="10"/>
  <c r="D8020" i="10"/>
  <c r="D8019" i="10"/>
  <c r="A8010" i="10"/>
  <c r="D8004" i="10"/>
  <c r="D8003" i="10"/>
  <c r="D8002" i="10"/>
  <c r="A7993" i="10"/>
  <c r="D7987" i="10"/>
  <c r="D7986" i="10"/>
  <c r="D7985" i="10"/>
  <c r="A7976" i="10"/>
  <c r="D7970" i="10"/>
  <c r="D7969" i="10"/>
  <c r="D7968" i="10"/>
  <c r="A7959" i="10"/>
  <c r="D7953" i="10"/>
  <c r="D7952" i="10"/>
  <c r="D7951" i="10"/>
  <c r="A7942" i="10"/>
  <c r="D7936" i="10"/>
  <c r="D7935" i="10"/>
  <c r="D7934" i="10"/>
  <c r="A7925" i="10"/>
  <c r="D7919" i="10"/>
  <c r="D7918" i="10"/>
  <c r="D7917" i="10"/>
  <c r="A7908" i="10"/>
  <c r="D7902" i="10"/>
  <c r="D7901" i="10"/>
  <c r="D7900" i="10"/>
  <c r="A7891" i="10"/>
  <c r="D7885" i="10"/>
  <c r="D7884" i="10"/>
  <c r="D7883" i="10"/>
  <c r="A7874" i="10"/>
  <c r="D7868" i="10"/>
  <c r="D7867" i="10"/>
  <c r="D7866" i="10"/>
  <c r="A7857" i="10"/>
  <c r="D7851" i="10"/>
  <c r="D7850" i="10"/>
  <c r="D7849" i="10"/>
  <c r="A7840" i="10"/>
  <c r="D7834" i="10"/>
  <c r="D7833" i="10"/>
  <c r="D7832" i="10"/>
  <c r="A7823" i="10"/>
  <c r="D7817" i="10"/>
  <c r="D7816" i="10"/>
  <c r="D7815" i="10"/>
  <c r="A7806" i="10"/>
  <c r="D7800" i="10"/>
  <c r="D7799" i="10"/>
  <c r="D7798" i="10"/>
  <c r="A7789" i="10"/>
  <c r="D7783" i="10"/>
  <c r="D7782" i="10"/>
  <c r="D7781" i="10"/>
  <c r="A7772" i="10"/>
  <c r="D7766" i="10"/>
  <c r="D7765" i="10"/>
  <c r="D7764" i="10"/>
  <c r="A7755" i="10"/>
  <c r="D7749" i="10"/>
  <c r="D7748" i="10"/>
  <c r="D7747" i="10"/>
  <c r="A7738" i="10"/>
  <c r="D7732" i="10"/>
  <c r="D7731" i="10"/>
  <c r="D7730" i="10"/>
  <c r="A7721" i="10"/>
  <c r="D7715" i="10"/>
  <c r="D7714" i="10"/>
  <c r="D7713" i="10"/>
  <c r="A7704" i="10"/>
  <c r="D7698" i="10"/>
  <c r="D7697" i="10"/>
  <c r="D7696" i="10"/>
  <c r="A7687" i="10"/>
  <c r="D7681" i="10"/>
  <c r="D7680" i="10"/>
  <c r="D7679" i="10"/>
  <c r="A7670" i="10"/>
  <c r="D7664" i="10"/>
  <c r="D7663" i="10"/>
  <c r="D7662" i="10"/>
  <c r="A7653" i="10"/>
  <c r="D7647" i="10"/>
  <c r="D7646" i="10"/>
  <c r="D7645" i="10"/>
  <c r="A7636" i="10"/>
  <c r="D7630" i="10"/>
  <c r="D7629" i="10"/>
  <c r="D7628" i="10"/>
  <c r="A7619" i="10"/>
  <c r="D7613" i="10"/>
  <c r="D7612" i="10"/>
  <c r="D7611" i="10"/>
  <c r="A7602" i="10"/>
  <c r="D7596" i="10"/>
  <c r="D7595" i="10"/>
  <c r="D7594" i="10"/>
  <c r="A7585" i="10"/>
  <c r="D7579" i="10"/>
  <c r="D7578" i="10"/>
  <c r="D7577" i="10"/>
  <c r="A7568" i="10"/>
  <c r="D7562" i="10"/>
  <c r="D7561" i="10"/>
  <c r="D7560" i="10"/>
  <c r="A7551" i="10"/>
  <c r="D7545" i="10"/>
  <c r="D7544" i="10"/>
  <c r="D7543" i="10"/>
  <c r="A7534" i="10"/>
  <c r="D7528" i="10"/>
  <c r="D7527" i="10"/>
  <c r="D7526" i="10"/>
  <c r="A7517" i="10"/>
  <c r="D7511" i="10"/>
  <c r="D7510" i="10"/>
  <c r="D7509" i="10"/>
  <c r="A7500" i="10"/>
  <c r="D7494" i="10"/>
  <c r="D7493" i="10"/>
  <c r="D7492" i="10"/>
  <c r="A7483" i="10"/>
  <c r="D7477" i="10"/>
  <c r="D7476" i="10"/>
  <c r="D7475" i="10"/>
  <c r="A7466" i="10"/>
  <c r="D7460" i="10"/>
  <c r="D7459" i="10"/>
  <c r="D7458" i="10"/>
  <c r="A7449" i="10"/>
  <c r="D7443" i="10"/>
  <c r="D7442" i="10"/>
  <c r="D7441" i="10"/>
  <c r="A7432" i="10"/>
  <c r="D7426" i="10"/>
  <c r="D7425" i="10"/>
  <c r="D7424" i="10"/>
  <c r="A7415" i="10"/>
  <c r="D7409" i="10"/>
  <c r="D7408" i="10"/>
  <c r="D7407" i="10"/>
  <c r="A7398" i="10"/>
  <c r="D7392" i="10"/>
  <c r="D7391" i="10"/>
  <c r="D7390" i="10"/>
  <c r="A7381" i="10"/>
  <c r="D7375" i="10"/>
  <c r="D7374" i="10"/>
  <c r="D7373" i="10"/>
  <c r="A7364" i="10"/>
  <c r="D7358" i="10"/>
  <c r="D7357" i="10"/>
  <c r="D7356" i="10"/>
  <c r="A7347" i="10"/>
  <c r="D7341" i="10"/>
  <c r="D7340" i="10"/>
  <c r="D7339" i="10"/>
  <c r="A7330" i="10"/>
  <c r="D7324" i="10"/>
  <c r="D7323" i="10"/>
  <c r="D7322" i="10"/>
  <c r="A7313" i="10"/>
  <c r="D7307" i="10"/>
  <c r="D7306" i="10"/>
  <c r="D7305" i="10"/>
  <c r="A7296" i="10"/>
  <c r="D7290" i="10"/>
  <c r="D7289" i="10"/>
  <c r="D7288" i="10"/>
  <c r="A7279" i="10"/>
  <c r="D7273" i="10"/>
  <c r="D7272" i="10"/>
  <c r="D7271" i="10"/>
  <c r="A7262" i="10"/>
  <c r="D7256" i="10"/>
  <c r="D7255" i="10"/>
  <c r="D7254" i="10"/>
  <c r="A7245" i="10"/>
  <c r="D7239" i="10"/>
  <c r="D7238" i="10"/>
  <c r="D7237" i="10"/>
  <c r="A7228" i="10"/>
  <c r="D7222" i="10"/>
  <c r="D7221" i="10"/>
  <c r="D7220" i="10"/>
  <c r="A7211" i="10"/>
  <c r="D7205" i="10"/>
  <c r="D7204" i="10"/>
  <c r="D7203" i="10"/>
  <c r="A7194" i="10"/>
  <c r="D7188" i="10"/>
  <c r="D7187" i="10"/>
  <c r="D7186" i="10"/>
  <c r="A7177" i="10"/>
  <c r="D7171" i="10"/>
  <c r="D7170" i="10"/>
  <c r="D7169" i="10"/>
  <c r="A7160" i="10"/>
  <c r="D7154" i="10"/>
  <c r="D7153" i="10"/>
  <c r="D7152" i="10"/>
  <c r="A7143" i="10"/>
  <c r="D7137" i="10"/>
  <c r="D7136" i="10"/>
  <c r="D7135" i="10"/>
  <c r="A7126" i="10"/>
  <c r="D7120" i="10"/>
  <c r="D7119" i="10"/>
  <c r="D7118" i="10"/>
  <c r="A7109" i="10"/>
  <c r="D7103" i="10"/>
  <c r="D7102" i="10"/>
  <c r="D7101" i="10"/>
  <c r="A7092" i="10"/>
  <c r="D7086" i="10"/>
  <c r="D7085" i="10"/>
  <c r="D7084" i="10"/>
  <c r="A7075" i="10"/>
  <c r="D7069" i="10"/>
  <c r="D7068" i="10"/>
  <c r="D7067" i="10"/>
  <c r="A7058" i="10"/>
  <c r="D7052" i="10"/>
  <c r="D7051" i="10"/>
  <c r="D7050" i="10"/>
  <c r="A7041" i="10"/>
  <c r="D7035" i="10"/>
  <c r="D7034" i="10"/>
  <c r="D7033" i="10"/>
  <c r="A7024" i="10"/>
  <c r="D7018" i="10"/>
  <c r="D7017" i="10"/>
  <c r="D7016" i="10"/>
  <c r="A7007" i="10"/>
  <c r="D7001" i="10"/>
  <c r="D7000" i="10"/>
  <c r="D6999" i="10"/>
  <c r="A6990" i="10"/>
  <c r="D6984" i="10"/>
  <c r="D6983" i="10"/>
  <c r="D6982" i="10"/>
  <c r="A6973" i="10"/>
  <c r="D6967" i="10"/>
  <c r="D6966" i="10"/>
  <c r="D6965" i="10"/>
  <c r="A6956" i="10"/>
  <c r="D6950" i="10"/>
  <c r="D6949" i="10"/>
  <c r="D6948" i="10"/>
  <c r="A6939" i="10"/>
  <c r="D6933" i="10"/>
  <c r="D6932" i="10"/>
  <c r="D6931" i="10"/>
  <c r="A6922" i="10"/>
  <c r="D6916" i="10"/>
  <c r="D6915" i="10"/>
  <c r="D6914" i="10"/>
  <c r="A6905" i="10"/>
  <c r="D6899" i="10"/>
  <c r="D6898" i="10"/>
  <c r="D6897" i="10"/>
  <c r="A6888" i="10"/>
  <c r="D6882" i="10"/>
  <c r="D6881" i="10"/>
  <c r="D6880" i="10"/>
  <c r="A6871" i="10"/>
  <c r="D6865" i="10"/>
  <c r="D6864" i="10"/>
  <c r="D6863" i="10"/>
  <c r="A6854" i="10"/>
  <c r="D6848" i="10"/>
  <c r="D6847" i="10"/>
  <c r="D6846" i="10"/>
  <c r="A6837" i="10"/>
  <c r="D6831" i="10"/>
  <c r="D6830" i="10"/>
  <c r="D6829" i="10"/>
  <c r="A6820" i="10"/>
  <c r="D6814" i="10"/>
  <c r="D6813" i="10"/>
  <c r="D6812" i="10"/>
  <c r="A6803" i="10"/>
  <c r="D6797" i="10"/>
  <c r="D6796" i="10"/>
  <c r="D6795" i="10"/>
  <c r="A6786" i="10"/>
  <c r="D6780" i="10"/>
  <c r="D6779" i="10"/>
  <c r="D6778" i="10"/>
  <c r="A6769" i="10"/>
  <c r="D6763" i="10"/>
  <c r="D6762" i="10"/>
  <c r="D6761" i="10"/>
  <c r="A6752" i="10"/>
  <c r="D6746" i="10"/>
  <c r="D6745" i="10"/>
  <c r="D6744" i="10"/>
  <c r="A6735" i="10"/>
  <c r="D6729" i="10"/>
  <c r="D6728" i="10"/>
  <c r="D6727" i="10"/>
  <c r="A6718" i="10"/>
  <c r="D6712" i="10"/>
  <c r="D6711" i="10"/>
  <c r="D6710" i="10"/>
  <c r="A6701" i="10"/>
  <c r="D6695" i="10"/>
  <c r="D6694" i="10"/>
  <c r="D6693" i="10"/>
  <c r="A6684" i="10"/>
  <c r="D6678" i="10"/>
  <c r="D6677" i="10"/>
  <c r="D6676" i="10"/>
  <c r="A6667" i="10"/>
  <c r="D6661" i="10"/>
  <c r="D6660" i="10"/>
  <c r="D6659" i="10"/>
  <c r="A6650" i="10"/>
  <c r="D6644" i="10"/>
  <c r="D6643" i="10"/>
  <c r="D6642" i="10"/>
  <c r="A6633" i="10"/>
  <c r="D6627" i="10"/>
  <c r="D6626" i="10"/>
  <c r="D6625" i="10"/>
  <c r="A6616" i="10"/>
  <c r="D6610" i="10"/>
  <c r="D6609" i="10"/>
  <c r="D6608" i="10"/>
  <c r="A6599" i="10"/>
  <c r="D6593" i="10"/>
  <c r="D6592" i="10"/>
  <c r="D6591" i="10"/>
  <c r="A6582" i="10"/>
  <c r="D6576" i="10"/>
  <c r="D6575" i="10"/>
  <c r="D6574" i="10"/>
  <c r="A6565" i="10"/>
  <c r="D6559" i="10"/>
  <c r="D6558" i="10"/>
  <c r="D6557" i="10"/>
  <c r="A6548" i="10"/>
  <c r="D6542" i="10"/>
  <c r="D6541" i="10"/>
  <c r="D6540" i="10"/>
  <c r="A6531" i="10"/>
  <c r="D6525" i="10"/>
  <c r="D6524" i="10"/>
  <c r="D6523" i="10"/>
  <c r="A6514" i="10"/>
  <c r="D6508" i="10"/>
  <c r="D6507" i="10"/>
  <c r="D6506" i="10"/>
  <c r="A6497" i="10"/>
  <c r="D6491" i="10"/>
  <c r="D6490" i="10"/>
  <c r="D6489" i="10"/>
  <c r="A6480" i="10"/>
  <c r="D6474" i="10"/>
  <c r="D6473" i="10"/>
  <c r="D6472" i="10"/>
  <c r="A6463" i="10"/>
  <c r="D6457" i="10"/>
  <c r="D6456" i="10"/>
  <c r="D6455" i="10"/>
  <c r="A6446" i="10"/>
  <c r="D6440" i="10"/>
  <c r="D6439" i="10"/>
  <c r="D6438" i="10"/>
  <c r="A6429" i="10"/>
  <c r="D6423" i="10"/>
  <c r="D6422" i="10"/>
  <c r="D6421" i="10"/>
  <c r="A6412" i="10"/>
  <c r="D6406" i="10"/>
  <c r="D6405" i="10"/>
  <c r="D6404" i="10"/>
  <c r="A6395" i="10"/>
  <c r="D6389" i="10"/>
  <c r="D6388" i="10"/>
  <c r="D6387" i="10"/>
  <c r="A6378" i="10"/>
  <c r="D6372" i="10"/>
  <c r="D6371" i="10"/>
  <c r="D6370" i="10"/>
  <c r="A6361" i="10"/>
  <c r="D6355" i="10"/>
  <c r="D6354" i="10"/>
  <c r="D6353" i="10"/>
  <c r="A6344" i="10"/>
  <c r="D6338" i="10"/>
  <c r="D6337" i="10"/>
  <c r="D6336" i="10"/>
  <c r="A6327" i="10"/>
  <c r="D6321" i="10"/>
  <c r="D6320" i="10"/>
  <c r="D6319" i="10"/>
  <c r="A6310" i="10"/>
  <c r="D6304" i="10"/>
  <c r="D6303" i="10"/>
  <c r="D6302" i="10"/>
  <c r="A6293" i="10"/>
  <c r="D6287" i="10"/>
  <c r="D6286" i="10"/>
  <c r="D6285" i="10"/>
  <c r="A6276" i="10"/>
  <c r="D6270" i="10"/>
  <c r="D6269" i="10"/>
  <c r="D6268" i="10"/>
  <c r="A6259" i="10"/>
  <c r="D6253" i="10"/>
  <c r="D6252" i="10"/>
  <c r="D6251" i="10"/>
  <c r="A6242" i="10"/>
  <c r="D6236" i="10"/>
  <c r="D6235" i="10"/>
  <c r="D6234" i="10"/>
  <c r="A6225" i="10"/>
  <c r="D6219" i="10"/>
  <c r="D6218" i="10"/>
  <c r="D6217" i="10"/>
  <c r="A6208" i="10"/>
  <c r="D6202" i="10"/>
  <c r="D6201" i="10"/>
  <c r="D6200" i="10"/>
  <c r="A6191" i="10"/>
  <c r="D6185" i="10"/>
  <c r="D6184" i="10"/>
  <c r="D6183" i="10"/>
  <c r="A6174" i="10"/>
  <c r="D6168" i="10"/>
  <c r="D6167" i="10"/>
  <c r="D6166" i="10"/>
  <c r="A6157" i="10"/>
  <c r="D6151" i="10"/>
  <c r="D6150" i="10"/>
  <c r="D6149" i="10"/>
  <c r="A6140" i="10"/>
  <c r="D6134" i="10"/>
  <c r="D6133" i="10"/>
  <c r="D6132" i="10"/>
  <c r="A6123" i="10"/>
  <c r="D6117" i="10"/>
  <c r="D6116" i="10"/>
  <c r="D6115" i="10"/>
  <c r="A6106" i="10"/>
  <c r="D6100" i="10"/>
  <c r="D6099" i="10"/>
  <c r="D6098" i="10"/>
  <c r="A6089" i="10"/>
  <c r="D6083" i="10"/>
  <c r="D6082" i="10"/>
  <c r="D6081" i="10"/>
  <c r="A6072" i="10"/>
  <c r="D6066" i="10"/>
  <c r="D6065" i="10"/>
  <c r="D6064" i="10"/>
  <c r="A6055" i="10"/>
  <c r="D6049" i="10"/>
  <c r="D6048" i="10"/>
  <c r="D6047" i="10"/>
  <c r="A6038" i="10"/>
  <c r="D6032" i="10"/>
  <c r="D6031" i="10"/>
  <c r="D6030" i="10"/>
  <c r="A6021" i="10"/>
  <c r="D6015" i="10"/>
  <c r="D6014" i="10"/>
  <c r="D6013" i="10"/>
  <c r="A6004" i="10"/>
  <c r="D5998" i="10"/>
  <c r="D5997" i="10"/>
  <c r="D5996" i="10"/>
  <c r="A5987" i="10"/>
  <c r="D5981" i="10"/>
  <c r="D5980" i="10"/>
  <c r="D5979" i="10"/>
  <c r="A5970" i="10"/>
  <c r="D5964" i="10"/>
  <c r="D5963" i="10"/>
  <c r="D5962" i="10"/>
  <c r="A5953" i="10"/>
  <c r="D5947" i="10"/>
  <c r="D5946" i="10"/>
  <c r="D5945" i="10"/>
  <c r="A5936" i="10"/>
  <c r="D5930" i="10"/>
  <c r="D5929" i="10"/>
  <c r="D5928" i="10"/>
  <c r="A5919" i="10"/>
  <c r="D5913" i="10"/>
  <c r="D5912" i="10"/>
  <c r="D5911" i="10"/>
  <c r="A5902" i="10"/>
  <c r="D5896" i="10"/>
  <c r="D5895" i="10"/>
  <c r="D5894" i="10"/>
  <c r="A5885" i="10"/>
  <c r="D5879" i="10"/>
  <c r="D5878" i="10"/>
  <c r="D5877" i="10"/>
  <c r="A5868" i="10"/>
  <c r="D5862" i="10"/>
  <c r="D5861" i="10"/>
  <c r="D5860" i="10"/>
  <c r="A5851" i="10"/>
  <c r="D5845" i="10"/>
  <c r="D5844" i="10"/>
  <c r="D5843" i="10"/>
  <c r="A5834" i="10"/>
  <c r="D5828" i="10"/>
  <c r="D5827" i="10"/>
  <c r="D5826" i="10"/>
  <c r="A5817" i="10"/>
  <c r="D5811" i="10"/>
  <c r="D5810" i="10"/>
  <c r="D5809" i="10"/>
  <c r="A5800" i="10"/>
  <c r="D5794" i="10"/>
  <c r="D5793" i="10"/>
  <c r="D5792" i="10"/>
  <c r="A5783" i="10"/>
  <c r="D5777" i="10"/>
  <c r="D5776" i="10"/>
  <c r="D5775" i="10"/>
  <c r="A5766" i="10"/>
  <c r="D5760" i="10"/>
  <c r="D5759" i="10"/>
  <c r="D5758" i="10"/>
  <c r="A5749" i="10"/>
  <c r="D5743" i="10"/>
  <c r="D5742" i="10"/>
  <c r="D5741" i="10"/>
  <c r="A5732" i="10"/>
  <c r="D5726" i="10"/>
  <c r="D5725" i="10"/>
  <c r="D5724" i="10"/>
  <c r="A5715" i="10"/>
  <c r="D5709" i="10"/>
  <c r="D5708" i="10"/>
  <c r="D5707" i="10"/>
  <c r="A5698" i="10"/>
  <c r="D5692" i="10"/>
  <c r="D5691" i="10"/>
  <c r="D5690" i="10"/>
  <c r="A5681" i="10"/>
  <c r="D5675" i="10"/>
  <c r="D5674" i="10"/>
  <c r="D5673" i="10"/>
  <c r="A5664" i="10"/>
  <c r="D5658" i="10"/>
  <c r="D5657" i="10"/>
  <c r="D5656" i="10"/>
  <c r="A5647" i="10"/>
  <c r="D5641" i="10"/>
  <c r="D5640" i="10"/>
  <c r="D5639" i="10"/>
  <c r="A5630" i="10"/>
  <c r="D5624" i="10"/>
  <c r="D5623" i="10"/>
  <c r="D5622" i="10"/>
  <c r="A5613" i="10"/>
  <c r="D5607" i="10"/>
  <c r="D5606" i="10"/>
  <c r="D5605" i="10"/>
  <c r="A5596" i="10"/>
  <c r="D5590" i="10"/>
  <c r="D5589" i="10"/>
  <c r="D5588" i="10"/>
  <c r="A5579" i="10"/>
  <c r="D5573" i="10"/>
  <c r="D5572" i="10"/>
  <c r="D5571" i="10"/>
  <c r="A5562" i="10"/>
  <c r="D5556" i="10"/>
  <c r="D5555" i="10"/>
  <c r="D5554" i="10"/>
  <c r="A5545" i="10"/>
  <c r="D5539" i="10"/>
  <c r="D5538" i="10"/>
  <c r="D5537" i="10"/>
  <c r="A5528" i="10"/>
  <c r="D5522" i="10"/>
  <c r="D5521" i="10"/>
  <c r="D5520" i="10"/>
  <c r="A5511" i="10"/>
  <c r="D5505" i="10"/>
  <c r="D5504" i="10"/>
  <c r="D5503" i="10"/>
  <c r="A5494" i="10"/>
  <c r="D5488" i="10"/>
  <c r="D5487" i="10"/>
  <c r="D5486" i="10"/>
  <c r="A5477" i="10"/>
  <c r="D5471" i="10"/>
  <c r="D5470" i="10"/>
  <c r="D5469" i="10"/>
  <c r="A5460" i="10"/>
  <c r="D5454" i="10"/>
  <c r="D5453" i="10"/>
  <c r="D5452" i="10"/>
  <c r="A5443" i="10"/>
  <c r="D5437" i="10"/>
  <c r="D5436" i="10"/>
  <c r="D5435" i="10"/>
  <c r="A5426" i="10"/>
  <c r="D5420" i="10"/>
  <c r="D5419" i="10"/>
  <c r="D5418" i="10"/>
  <c r="A5409" i="10"/>
  <c r="D5403" i="10"/>
  <c r="D5402" i="10"/>
  <c r="D5401" i="10"/>
  <c r="A5392" i="10"/>
  <c r="D5386" i="10"/>
  <c r="D5385" i="10"/>
  <c r="D5384" i="10"/>
  <c r="A5375" i="10"/>
  <c r="D5369" i="10"/>
  <c r="D5368" i="10"/>
  <c r="D5367" i="10"/>
  <c r="A5358" i="10"/>
  <c r="D5352" i="10"/>
  <c r="D5351" i="10"/>
  <c r="D5350" i="10"/>
  <c r="A5341" i="10"/>
  <c r="D5335" i="10"/>
  <c r="D5334" i="10"/>
  <c r="D5333" i="10"/>
  <c r="A5324" i="10"/>
  <c r="D5318" i="10"/>
  <c r="D5317" i="10"/>
  <c r="D5316" i="10"/>
  <c r="A5307" i="10"/>
  <c r="D5301" i="10"/>
  <c r="D5300" i="10"/>
  <c r="D5299" i="10"/>
  <c r="A5290" i="10"/>
  <c r="D5284" i="10"/>
  <c r="D5283" i="10"/>
  <c r="D5282" i="10"/>
  <c r="A5273" i="10"/>
  <c r="D5267" i="10"/>
  <c r="D5266" i="10"/>
  <c r="D5265" i="10"/>
  <c r="A5256" i="10"/>
  <c r="D5250" i="10"/>
  <c r="D5249" i="10"/>
  <c r="D5248" i="10"/>
  <c r="A5239" i="10"/>
  <c r="D5233" i="10"/>
  <c r="D5232" i="10"/>
  <c r="D5231" i="10"/>
  <c r="A5222" i="10"/>
  <c r="A5207" i="10"/>
  <c r="D5201" i="10"/>
  <c r="D5200" i="10"/>
  <c r="D5199" i="10"/>
  <c r="A5190" i="10"/>
  <c r="D5184" i="10"/>
  <c r="D5183" i="10"/>
  <c r="D5182" i="10"/>
  <c r="A5173" i="10"/>
  <c r="D5167" i="10"/>
  <c r="D5166" i="10"/>
  <c r="D5165" i="10"/>
  <c r="A5156" i="10"/>
  <c r="D5150" i="10"/>
  <c r="D5149" i="10"/>
  <c r="D5148" i="10"/>
  <c r="A5139" i="10"/>
  <c r="D5133" i="10"/>
  <c r="D5132" i="10"/>
  <c r="D5131" i="10"/>
  <c r="A5122" i="10"/>
  <c r="D5116" i="10"/>
  <c r="D5115" i="10"/>
  <c r="D5114" i="10"/>
  <c r="A5105" i="10"/>
  <c r="D5099" i="10"/>
  <c r="D5098" i="10"/>
  <c r="D5097" i="10"/>
  <c r="A5088" i="10"/>
  <c r="D5082" i="10"/>
  <c r="D5081" i="10"/>
  <c r="D5080" i="10"/>
  <c r="A5071" i="10"/>
  <c r="D5065" i="10"/>
  <c r="D5064" i="10"/>
  <c r="D5063" i="10"/>
  <c r="A5054" i="10"/>
  <c r="D5048" i="10"/>
  <c r="D5047" i="10"/>
  <c r="D5046" i="10"/>
  <c r="A5037" i="10"/>
  <c r="D5031" i="10"/>
  <c r="D5030" i="10"/>
  <c r="D5029" i="10"/>
  <c r="A5020" i="10"/>
  <c r="D5014" i="10"/>
  <c r="D5013" i="10"/>
  <c r="D5012" i="10"/>
  <c r="A5003" i="10"/>
  <c r="D4997" i="10"/>
  <c r="D4996" i="10"/>
  <c r="D4995" i="10"/>
  <c r="A4986" i="10"/>
  <c r="D4980" i="10"/>
  <c r="D4979" i="10"/>
  <c r="D4978" i="10"/>
  <c r="A4969" i="10"/>
  <c r="D4963" i="10"/>
  <c r="D4962" i="10"/>
  <c r="D4961" i="10"/>
  <c r="A4952" i="10"/>
  <c r="D4946" i="10"/>
  <c r="D4945" i="10"/>
  <c r="D4944" i="10"/>
  <c r="A4935" i="10"/>
  <c r="D4929" i="10"/>
  <c r="D4928" i="10"/>
  <c r="D4927" i="10"/>
  <c r="A4918" i="10"/>
  <c r="D4912" i="10"/>
  <c r="D4911" i="10"/>
  <c r="D4910" i="10"/>
  <c r="A4901" i="10"/>
  <c r="D4895" i="10"/>
  <c r="D4894" i="10"/>
  <c r="D4893" i="10"/>
  <c r="A4884" i="10"/>
  <c r="D4878" i="10"/>
  <c r="D4877" i="10"/>
  <c r="D4876" i="10"/>
  <c r="A4867" i="10"/>
  <c r="D4861" i="10"/>
  <c r="D4860" i="10"/>
  <c r="D4859" i="10"/>
  <c r="A4850" i="10"/>
  <c r="D4844" i="10"/>
  <c r="D4843" i="10"/>
  <c r="D4842" i="10"/>
  <c r="A4833" i="10"/>
  <c r="D4827" i="10"/>
  <c r="D4826" i="10"/>
  <c r="D4825" i="10"/>
  <c r="A4816" i="10"/>
  <c r="D4810" i="10"/>
  <c r="D4809" i="10"/>
  <c r="D4808" i="10"/>
  <c r="A4799" i="10"/>
  <c r="D4793" i="10"/>
  <c r="D4792" i="10"/>
  <c r="D4791" i="10"/>
  <c r="A4782" i="10"/>
  <c r="D4776" i="10"/>
  <c r="D4775" i="10"/>
  <c r="D4774" i="10"/>
  <c r="A4765" i="10"/>
  <c r="D4759" i="10"/>
  <c r="D4758" i="10"/>
  <c r="D4757" i="10"/>
  <c r="A4748" i="10"/>
  <c r="D4742" i="10"/>
  <c r="D4741" i="10"/>
  <c r="D4740" i="10"/>
  <c r="A4731" i="10"/>
  <c r="D4725" i="10"/>
  <c r="D4724" i="10"/>
  <c r="D4723" i="10"/>
  <c r="A4714" i="10"/>
  <c r="D4708" i="10"/>
  <c r="D4707" i="10"/>
  <c r="D4706" i="10"/>
  <c r="A4697" i="10"/>
  <c r="D4691" i="10"/>
  <c r="D4690" i="10"/>
  <c r="D4689" i="10"/>
  <c r="A4680" i="10"/>
  <c r="D4674" i="10"/>
  <c r="D4673" i="10"/>
  <c r="D4672" i="10"/>
  <c r="A4663" i="10"/>
  <c r="D4657" i="10"/>
  <c r="D4656" i="10"/>
  <c r="D4655" i="10"/>
  <c r="A4646" i="10"/>
  <c r="D4640" i="10"/>
  <c r="D4639" i="10"/>
  <c r="D4638" i="10"/>
  <c r="A4629" i="10"/>
  <c r="D4623" i="10"/>
  <c r="D4622" i="10"/>
  <c r="D4621" i="10"/>
  <c r="A4612" i="10"/>
  <c r="D4606" i="10"/>
  <c r="D4605" i="10"/>
  <c r="D4604" i="10"/>
  <c r="A4595" i="10"/>
  <c r="D4589" i="10"/>
  <c r="D4588" i="10"/>
  <c r="D4587" i="10"/>
  <c r="A4578" i="10"/>
  <c r="D4572" i="10"/>
  <c r="D4571" i="10"/>
  <c r="D4570" i="10"/>
  <c r="A4561" i="10"/>
  <c r="D4555" i="10"/>
  <c r="D4554" i="10"/>
  <c r="D4553" i="10"/>
  <c r="A4544" i="10"/>
  <c r="D4538" i="10"/>
  <c r="D4537" i="10"/>
  <c r="D4536" i="10"/>
  <c r="A4527" i="10"/>
  <c r="D4521" i="10"/>
  <c r="D4520" i="10"/>
  <c r="D4519" i="10"/>
  <c r="A4510" i="10"/>
  <c r="D4504" i="10"/>
  <c r="D4503" i="10"/>
  <c r="D4502" i="10"/>
  <c r="A4493" i="10"/>
  <c r="D4487" i="10"/>
  <c r="D4486" i="10"/>
  <c r="D4485" i="10"/>
  <c r="A4476" i="10"/>
  <c r="D4470" i="10"/>
  <c r="D4469" i="10"/>
  <c r="D4468" i="10"/>
  <c r="A4459" i="10"/>
  <c r="D4453" i="10"/>
  <c r="D4452" i="10"/>
  <c r="D4451" i="10"/>
  <c r="A4442" i="10"/>
  <c r="D4436" i="10"/>
  <c r="D4435" i="10"/>
  <c r="D4434" i="10"/>
  <c r="A4425" i="10"/>
  <c r="D4419" i="10"/>
  <c r="D4418" i="10"/>
  <c r="D4417" i="10"/>
  <c r="A4408" i="10"/>
  <c r="D4402" i="10"/>
  <c r="D4401" i="10"/>
  <c r="D4400" i="10"/>
  <c r="A4391" i="10"/>
  <c r="D4385" i="10"/>
  <c r="D4384" i="10"/>
  <c r="D4383" i="10"/>
  <c r="A4374" i="10"/>
  <c r="D4368" i="10"/>
  <c r="D4367" i="10"/>
  <c r="D4366" i="10"/>
  <c r="A4357" i="10"/>
  <c r="D4351" i="10"/>
  <c r="D4350" i="10"/>
  <c r="D4349" i="10"/>
  <c r="A4340" i="10"/>
  <c r="D4334" i="10"/>
  <c r="D4333" i="10"/>
  <c r="D4332" i="10"/>
  <c r="A4323" i="10"/>
  <c r="D4317" i="10"/>
  <c r="D4316" i="10"/>
  <c r="D4315" i="10"/>
  <c r="A4306" i="10"/>
  <c r="D4300" i="10"/>
  <c r="D4299" i="10"/>
  <c r="D4298" i="10"/>
  <c r="A4289" i="10"/>
  <c r="D4283" i="10"/>
  <c r="D4282" i="10"/>
  <c r="D4281" i="10"/>
  <c r="A4272" i="10"/>
  <c r="D4266" i="10"/>
  <c r="D4265" i="10"/>
  <c r="D4264" i="10"/>
  <c r="A4255" i="10"/>
  <c r="D4249" i="10"/>
  <c r="D4248" i="10"/>
  <c r="D4247" i="10"/>
  <c r="A4238" i="10"/>
  <c r="D4232" i="10"/>
  <c r="D4231" i="10"/>
  <c r="D4230" i="10"/>
  <c r="A4221" i="10"/>
  <c r="D4215" i="10"/>
  <c r="D4214" i="10"/>
  <c r="D4213" i="10"/>
  <c r="A4204" i="10"/>
  <c r="D4198" i="10"/>
  <c r="D4197" i="10"/>
  <c r="D4196" i="10"/>
  <c r="A4187" i="10"/>
  <c r="D4181" i="10"/>
  <c r="D4180" i="10"/>
  <c r="D4179" i="10"/>
  <c r="A4170" i="10"/>
  <c r="D4164" i="10"/>
  <c r="D4163" i="10"/>
  <c r="D4162" i="10"/>
  <c r="A4153" i="10"/>
  <c r="D4147" i="10"/>
  <c r="D4146" i="10"/>
  <c r="D4145" i="10"/>
  <c r="A4136" i="10"/>
  <c r="D4130" i="10"/>
  <c r="D4129" i="10"/>
  <c r="D4128" i="10"/>
  <c r="A4119" i="10"/>
  <c r="D4113" i="10"/>
  <c r="D4112" i="10"/>
  <c r="D4111" i="10"/>
  <c r="A4102" i="10"/>
  <c r="D4096" i="10"/>
  <c r="D4095" i="10"/>
  <c r="D4094" i="10"/>
  <c r="A4085" i="10"/>
  <c r="D4079" i="10"/>
  <c r="D4078" i="10"/>
  <c r="D4077" i="10"/>
  <c r="A4068" i="10"/>
  <c r="D4062" i="10"/>
  <c r="D4061" i="10"/>
  <c r="D4060" i="10"/>
  <c r="A4051" i="10"/>
  <c r="D4045" i="10"/>
  <c r="D4044" i="10"/>
  <c r="D4043" i="10"/>
  <c r="A4034" i="10"/>
  <c r="D4028" i="10"/>
  <c r="D4027" i="10"/>
  <c r="D4026" i="10"/>
  <c r="A4017" i="10"/>
  <c r="D4011" i="10"/>
  <c r="D4010" i="10"/>
  <c r="D4009" i="10"/>
  <c r="A4000" i="10"/>
  <c r="D3994" i="10"/>
  <c r="D3993" i="10"/>
  <c r="D3992" i="10"/>
  <c r="A3983" i="10"/>
  <c r="D3977" i="10"/>
  <c r="D3976" i="10"/>
  <c r="D3975" i="10"/>
  <c r="A3966" i="10"/>
  <c r="D3960" i="10"/>
  <c r="D3959" i="10"/>
  <c r="D3958" i="10"/>
  <c r="A3949" i="10"/>
  <c r="D3943" i="10"/>
  <c r="D3942" i="10"/>
  <c r="D3941" i="10"/>
  <c r="A3932" i="10"/>
  <c r="D3926" i="10"/>
  <c r="D3925" i="10"/>
  <c r="D3924" i="10"/>
  <c r="A3915" i="10"/>
  <c r="D3909" i="10"/>
  <c r="D3908" i="10"/>
  <c r="D3907" i="10"/>
  <c r="A3898" i="10"/>
  <c r="D3892" i="10"/>
  <c r="D3891" i="10"/>
  <c r="D3890" i="10"/>
  <c r="A3881" i="10"/>
  <c r="D3875" i="10"/>
  <c r="D3874" i="10"/>
  <c r="D3873" i="10"/>
  <c r="A3864" i="10"/>
  <c r="D3858" i="10"/>
  <c r="D3857" i="10"/>
  <c r="D3856" i="10"/>
  <c r="A3847" i="10"/>
  <c r="D3841" i="10"/>
  <c r="D3840" i="10"/>
  <c r="D3839" i="10"/>
  <c r="A3830" i="10"/>
  <c r="D3824" i="10"/>
  <c r="D3823" i="10"/>
  <c r="D3822" i="10"/>
  <c r="A3813" i="10"/>
  <c r="D3807" i="10"/>
  <c r="D3806" i="10"/>
  <c r="D3805" i="10"/>
  <c r="A3796" i="10"/>
  <c r="D3790" i="10"/>
  <c r="D3789" i="10"/>
  <c r="D3788" i="10"/>
  <c r="A3779" i="10"/>
  <c r="D3773" i="10"/>
  <c r="D3772" i="10"/>
  <c r="D3771" i="10"/>
  <c r="A3762" i="10"/>
  <c r="D3756" i="10"/>
  <c r="D3755" i="10"/>
  <c r="D3754" i="10"/>
  <c r="A3745" i="10"/>
  <c r="D3739" i="10"/>
  <c r="D3738" i="10"/>
  <c r="D3737" i="10"/>
  <c r="A3728" i="10"/>
  <c r="D3722" i="10"/>
  <c r="D3721" i="10"/>
  <c r="D3720" i="10"/>
  <c r="A3711" i="10"/>
  <c r="D3705" i="10"/>
  <c r="D3704" i="10"/>
  <c r="D3703" i="10"/>
  <c r="A3694" i="10"/>
  <c r="D3688" i="10"/>
  <c r="D3687" i="10"/>
  <c r="D3686" i="10"/>
  <c r="A3677" i="10"/>
  <c r="D3671" i="10"/>
  <c r="D3670" i="10"/>
  <c r="D3669" i="10"/>
  <c r="A3660" i="10"/>
  <c r="D3654" i="10"/>
  <c r="D3653" i="10"/>
  <c r="D3652" i="10"/>
  <c r="A3643" i="10"/>
  <c r="D3637" i="10"/>
  <c r="D3636" i="10"/>
  <c r="D3635" i="10"/>
  <c r="A3626" i="10"/>
  <c r="D3620" i="10"/>
  <c r="D3619" i="10"/>
  <c r="D3618" i="10"/>
  <c r="A3609" i="10"/>
  <c r="D3603" i="10"/>
  <c r="D3602" i="10"/>
  <c r="D3601" i="10"/>
  <c r="A3592" i="10"/>
  <c r="D3586" i="10"/>
  <c r="D3585" i="10"/>
  <c r="D3584" i="10"/>
  <c r="A3575" i="10"/>
  <c r="D3569" i="10"/>
  <c r="D3568" i="10"/>
  <c r="D3567" i="10"/>
  <c r="A3558" i="10"/>
  <c r="D3552" i="10"/>
  <c r="D3551" i="10"/>
  <c r="D3550" i="10"/>
  <c r="A3541" i="10"/>
  <c r="D3535" i="10"/>
  <c r="D3534" i="10"/>
  <c r="D3533" i="10"/>
  <c r="A3524" i="10"/>
  <c r="D3518" i="10"/>
  <c r="D3517" i="10"/>
  <c r="D3516" i="10"/>
  <c r="A3507" i="10"/>
  <c r="D3501" i="10"/>
  <c r="D3500" i="10"/>
  <c r="D3499" i="10"/>
  <c r="A3490" i="10"/>
  <c r="D3484" i="10"/>
  <c r="D3483" i="10"/>
  <c r="D3482" i="10"/>
  <c r="A3473" i="10"/>
  <c r="D3467" i="10"/>
  <c r="D3466" i="10"/>
  <c r="D3465" i="10"/>
  <c r="A3456" i="10"/>
  <c r="D3450" i="10"/>
  <c r="D3449" i="10"/>
  <c r="D3448" i="10"/>
  <c r="A3439" i="10"/>
  <c r="D3433" i="10"/>
  <c r="D3432" i="10"/>
  <c r="D3431" i="10"/>
  <c r="A3422" i="10"/>
  <c r="D3416" i="10"/>
  <c r="D3415" i="10"/>
  <c r="D3414" i="10"/>
  <c r="A3405" i="10"/>
  <c r="D3399" i="10"/>
  <c r="D3398" i="10"/>
  <c r="D3397" i="10"/>
  <c r="A3388" i="10"/>
  <c r="D3382" i="10"/>
  <c r="D3381" i="10"/>
  <c r="D3380" i="10"/>
  <c r="A3371" i="10"/>
  <c r="D3365" i="10"/>
  <c r="D3364" i="10"/>
  <c r="D3363" i="10"/>
  <c r="A3354" i="10"/>
  <c r="D3348" i="10"/>
  <c r="D3347" i="10"/>
  <c r="D3346" i="10"/>
  <c r="A3337" i="10"/>
  <c r="D3331" i="10"/>
  <c r="D3330" i="10"/>
  <c r="D3329" i="10"/>
  <c r="A3320" i="10"/>
  <c r="D3314" i="10"/>
  <c r="D3313" i="10"/>
  <c r="D3312" i="10"/>
  <c r="A3303" i="10"/>
  <c r="D3297" i="10"/>
  <c r="D3296" i="10"/>
  <c r="D3295" i="10"/>
  <c r="A3286" i="10"/>
  <c r="D3280" i="10"/>
  <c r="D3279" i="10"/>
  <c r="D3278" i="10"/>
  <c r="A3269" i="10"/>
  <c r="D3263" i="10"/>
  <c r="D3262" i="10"/>
  <c r="D3261" i="10"/>
  <c r="A3252" i="10"/>
  <c r="D3246" i="10"/>
  <c r="D3245" i="10"/>
  <c r="D3244" i="10"/>
  <c r="A3235" i="10"/>
  <c r="D3229" i="10"/>
  <c r="D3228" i="10"/>
  <c r="D3227" i="10"/>
  <c r="A3218" i="10"/>
  <c r="D3212" i="10"/>
  <c r="D3211" i="10"/>
  <c r="D3210" i="10"/>
  <c r="A3201" i="10"/>
  <c r="D3195" i="10"/>
  <c r="D3194" i="10"/>
  <c r="D3193" i="10"/>
  <c r="A3184" i="10"/>
  <c r="D3178" i="10"/>
  <c r="D3177" i="10"/>
  <c r="D3176" i="10"/>
  <c r="A3167" i="10"/>
  <c r="D3161" i="10"/>
  <c r="D3160" i="10"/>
  <c r="D3159" i="10"/>
  <c r="A3150" i="10"/>
  <c r="D3144" i="10"/>
  <c r="D3143" i="10"/>
  <c r="D3142" i="10"/>
  <c r="A3133" i="10"/>
  <c r="D3127" i="10"/>
  <c r="D3126" i="10"/>
  <c r="D3125" i="10"/>
  <c r="A3116" i="10"/>
  <c r="D3110" i="10"/>
  <c r="D3109" i="10"/>
  <c r="D3108" i="10"/>
  <c r="A3099" i="10"/>
  <c r="D3093" i="10"/>
  <c r="D3092" i="10"/>
  <c r="D3091" i="10"/>
  <c r="A3082" i="10"/>
  <c r="D3076" i="10"/>
  <c r="D3075" i="10"/>
  <c r="D3074" i="10"/>
  <c r="A3065" i="10"/>
  <c r="D3059" i="10"/>
  <c r="D3058" i="10"/>
  <c r="D3057" i="10"/>
  <c r="A3048" i="10"/>
  <c r="D3042" i="10"/>
  <c r="D3041" i="10"/>
  <c r="D3040" i="10"/>
  <c r="A3031" i="10"/>
  <c r="D3025" i="10"/>
  <c r="D3024" i="10"/>
  <c r="D3023" i="10"/>
  <c r="A3014" i="10"/>
  <c r="D3008" i="10"/>
  <c r="D3007" i="10"/>
  <c r="D3006" i="10"/>
  <c r="A2997" i="10"/>
  <c r="D2991" i="10"/>
  <c r="D2990" i="10"/>
  <c r="D2989" i="10"/>
  <c r="A2980" i="10"/>
  <c r="D2974" i="10"/>
  <c r="D2973" i="10"/>
  <c r="D2972" i="10"/>
  <c r="A2963" i="10"/>
  <c r="D2957" i="10"/>
  <c r="D2956" i="10"/>
  <c r="D2955" i="10"/>
  <c r="A2946" i="10"/>
  <c r="D2940" i="10"/>
  <c r="D2939" i="10"/>
  <c r="D2938" i="10"/>
  <c r="A2929" i="10"/>
  <c r="D2923" i="10"/>
  <c r="D2922" i="10"/>
  <c r="D2921" i="10"/>
  <c r="A2912" i="10"/>
  <c r="D2906" i="10"/>
  <c r="D2905" i="10"/>
  <c r="D2904" i="10"/>
  <c r="A2895" i="10"/>
  <c r="D2889" i="10"/>
  <c r="D2888" i="10"/>
  <c r="D2887" i="10"/>
  <c r="A2878" i="10"/>
  <c r="D2872" i="10"/>
  <c r="D2871" i="10"/>
  <c r="D2870" i="10"/>
  <c r="A2861" i="10"/>
  <c r="D2855" i="10"/>
  <c r="D2854" i="10"/>
  <c r="D2853" i="10"/>
  <c r="A2844" i="10"/>
  <c r="D2838" i="10"/>
  <c r="D2837" i="10"/>
  <c r="D2836" i="10"/>
  <c r="A2827" i="10"/>
  <c r="D2821" i="10"/>
  <c r="D2820" i="10"/>
  <c r="D2819" i="10"/>
  <c r="A2810" i="10"/>
  <c r="D2804" i="10"/>
  <c r="D2803" i="10"/>
  <c r="D2802" i="10"/>
  <c r="A2793" i="10"/>
  <c r="D2787" i="10"/>
  <c r="D2786" i="10"/>
  <c r="D2785" i="10"/>
  <c r="A2776" i="10"/>
  <c r="D2770" i="10"/>
  <c r="D2769" i="10"/>
  <c r="D2768" i="10"/>
  <c r="A2759" i="10"/>
  <c r="D2753" i="10"/>
  <c r="D2752" i="10"/>
  <c r="D2751" i="10"/>
  <c r="A2742" i="10"/>
  <c r="D2736" i="10"/>
  <c r="D2735" i="10"/>
  <c r="D2734" i="10"/>
  <c r="A2725" i="10"/>
  <c r="D2719" i="10"/>
  <c r="D2718" i="10"/>
  <c r="D2717" i="10"/>
  <c r="A2708" i="10"/>
  <c r="D2702" i="10"/>
  <c r="D2701" i="10"/>
  <c r="D2700" i="10"/>
  <c r="A2691" i="10"/>
  <c r="D2685" i="10"/>
  <c r="D2684" i="10"/>
  <c r="D2683" i="10"/>
  <c r="A2674" i="10"/>
  <c r="D2668" i="10"/>
  <c r="D2667" i="10"/>
  <c r="D2666" i="10"/>
  <c r="A2657" i="10"/>
  <c r="D2651" i="10"/>
  <c r="D2650" i="10"/>
  <c r="D2649" i="10"/>
  <c r="A2640" i="10"/>
  <c r="D2634" i="10"/>
  <c r="D2633" i="10"/>
  <c r="D2632" i="10"/>
  <c r="A2623" i="10"/>
  <c r="D2617" i="10"/>
  <c r="D2616" i="10"/>
  <c r="D2615" i="10"/>
  <c r="A2606" i="10"/>
  <c r="D2600" i="10"/>
  <c r="D2599" i="10"/>
  <c r="D2598" i="10"/>
  <c r="A2589" i="10"/>
  <c r="D2583" i="10"/>
  <c r="D2582" i="10"/>
  <c r="D2581" i="10"/>
  <c r="A2572" i="10"/>
  <c r="D2566" i="10"/>
  <c r="D2565" i="10"/>
  <c r="D2564" i="10"/>
  <c r="A2555" i="10"/>
  <c r="D2549" i="10"/>
  <c r="D2548" i="10"/>
  <c r="D2547" i="10"/>
  <c r="A2538" i="10"/>
  <c r="D2532" i="10"/>
  <c r="D2531" i="10"/>
  <c r="D2530" i="10"/>
  <c r="A2521" i="10"/>
  <c r="A2506" i="10"/>
  <c r="D2500" i="10"/>
  <c r="D2499" i="10"/>
  <c r="D2498" i="10"/>
  <c r="A2489" i="10"/>
  <c r="D2483" i="10"/>
  <c r="D2482" i="10"/>
  <c r="D2481" i="10"/>
  <c r="A2472" i="10"/>
  <c r="D2466" i="10"/>
  <c r="D2465" i="10"/>
  <c r="D2464" i="10"/>
  <c r="A2455" i="10"/>
  <c r="D2449" i="10"/>
  <c r="D2448" i="10"/>
  <c r="D2447" i="10"/>
  <c r="A2438" i="10"/>
  <c r="D2432" i="10"/>
  <c r="D2431" i="10"/>
  <c r="D2430" i="10"/>
  <c r="A2421" i="10"/>
  <c r="D2415" i="10"/>
  <c r="D2414" i="10"/>
  <c r="D2413" i="10"/>
  <c r="A2404" i="10"/>
  <c r="D2398" i="10"/>
  <c r="D2397" i="10"/>
  <c r="D2396" i="10"/>
  <c r="A2387" i="10"/>
  <c r="D2381" i="10"/>
  <c r="D2380" i="10"/>
  <c r="D2379" i="10"/>
  <c r="A2370" i="10"/>
  <c r="D2364" i="10"/>
  <c r="D2363" i="10"/>
  <c r="D2362" i="10"/>
  <c r="A2353" i="10"/>
  <c r="D2347" i="10"/>
  <c r="D2346" i="10"/>
  <c r="D2345" i="10"/>
  <c r="A2336" i="10"/>
  <c r="D2330" i="10"/>
  <c r="D2329" i="10"/>
  <c r="D2328" i="10"/>
  <c r="A2319" i="10"/>
  <c r="D2313" i="10"/>
  <c r="D2312" i="10"/>
  <c r="D2311" i="10"/>
  <c r="A2302" i="10"/>
  <c r="D2296" i="10"/>
  <c r="D2295" i="10"/>
  <c r="D2294" i="10"/>
  <c r="A2285" i="10"/>
  <c r="D2279" i="10"/>
  <c r="D2278" i="10"/>
  <c r="D2277" i="10"/>
  <c r="A2268" i="10"/>
  <c r="D2262" i="10"/>
  <c r="D2261" i="10"/>
  <c r="D2260" i="10"/>
  <c r="A2251" i="10"/>
  <c r="A2236" i="10"/>
  <c r="D2230" i="10"/>
  <c r="D2229" i="10"/>
  <c r="D2228" i="10"/>
  <c r="A2219" i="10"/>
  <c r="D2213" i="10"/>
  <c r="D2212" i="10"/>
  <c r="D2211" i="10"/>
  <c r="A2202" i="10"/>
  <c r="D2196" i="10"/>
  <c r="D2195" i="10"/>
  <c r="D2194" i="10"/>
  <c r="A2185" i="10"/>
  <c r="D2179" i="10"/>
  <c r="D2178" i="10"/>
  <c r="D2177" i="10"/>
  <c r="A2168" i="10"/>
  <c r="D2162" i="10"/>
  <c r="D2161" i="10"/>
  <c r="D2160" i="10"/>
  <c r="A2151" i="10"/>
  <c r="D2145" i="10"/>
  <c r="D2144" i="10"/>
  <c r="D2143" i="10"/>
  <c r="A2134" i="10"/>
  <c r="A2119" i="10"/>
  <c r="A2104" i="10"/>
  <c r="D2098" i="10"/>
  <c r="D2097" i="10"/>
  <c r="D2096" i="10"/>
  <c r="A2087" i="10"/>
  <c r="D2081" i="10"/>
  <c r="D2080" i="10"/>
  <c r="D2079" i="10"/>
  <c r="A2070" i="10"/>
  <c r="D2064" i="10"/>
  <c r="D2063" i="10"/>
  <c r="D2062" i="10"/>
  <c r="A2053" i="10"/>
  <c r="D2047" i="10"/>
  <c r="D2046" i="10"/>
  <c r="D2045" i="10"/>
  <c r="A2036" i="10"/>
  <c r="D2030" i="10"/>
  <c r="D2029" i="10"/>
  <c r="D2028" i="10"/>
  <c r="A2019" i="10"/>
  <c r="D2013" i="10"/>
  <c r="D2012" i="10"/>
  <c r="D2011" i="10"/>
  <c r="A2002" i="10"/>
  <c r="A1987" i="10"/>
  <c r="D1981" i="10"/>
  <c r="D1980" i="10"/>
  <c r="D1979" i="10"/>
  <c r="A1970" i="10"/>
  <c r="D1964" i="10"/>
  <c r="D1963" i="10"/>
  <c r="D1962" i="10"/>
  <c r="A1953" i="10"/>
  <c r="D1947" i="10"/>
  <c r="D1946" i="10"/>
  <c r="D1945" i="10"/>
  <c r="A1936" i="10"/>
  <c r="D1930" i="10"/>
  <c r="D1929" i="10"/>
  <c r="D1928" i="10"/>
  <c r="A1919" i="10"/>
  <c r="D1913" i="10"/>
  <c r="D1912" i="10"/>
  <c r="D1911" i="10"/>
  <c r="A1902" i="10"/>
  <c r="D1896" i="10"/>
  <c r="D1895" i="10"/>
  <c r="D1894" i="10"/>
  <c r="A1885" i="10"/>
  <c r="A1870" i="10"/>
  <c r="D1864" i="10"/>
  <c r="D1863" i="10"/>
  <c r="D1862" i="10"/>
  <c r="A1853" i="10"/>
  <c r="D1847" i="10"/>
  <c r="D1846" i="10"/>
  <c r="D1845" i="10"/>
  <c r="A1836" i="10"/>
  <c r="D1830" i="10"/>
  <c r="D1829" i="10"/>
  <c r="D1828" i="10"/>
  <c r="A1819" i="10"/>
  <c r="D1813" i="10"/>
  <c r="D1812" i="10"/>
  <c r="D1811" i="10"/>
  <c r="A1802" i="10"/>
  <c r="D1796" i="10"/>
  <c r="D1795" i="10"/>
  <c r="D1794" i="10"/>
  <c r="A1785" i="10"/>
  <c r="D1779" i="10"/>
  <c r="D1778" i="10"/>
  <c r="D1777" i="10"/>
  <c r="A1768" i="10"/>
  <c r="D1762" i="10"/>
  <c r="D1761" i="10"/>
  <c r="D1760" i="10"/>
  <c r="A1751" i="10"/>
  <c r="D1745" i="10"/>
  <c r="D1744" i="10"/>
  <c r="D1743" i="10"/>
  <c r="A1734" i="10"/>
  <c r="D1728" i="10"/>
  <c r="D1727" i="10"/>
  <c r="D1726" i="10"/>
  <c r="A1717" i="10"/>
  <c r="D1711" i="10"/>
  <c r="D1710" i="10"/>
  <c r="D1709" i="10"/>
  <c r="A1700" i="10"/>
  <c r="D1694" i="10"/>
  <c r="D1693" i="10"/>
  <c r="D1692" i="10"/>
  <c r="A1683" i="10"/>
  <c r="D1677" i="10"/>
  <c r="D1676" i="10"/>
  <c r="D1675" i="10"/>
  <c r="A1666" i="10"/>
  <c r="D1660" i="10"/>
  <c r="D1659" i="10"/>
  <c r="D1658" i="10"/>
  <c r="A1649" i="10"/>
  <c r="D1643" i="10"/>
  <c r="D1642" i="10"/>
  <c r="D1641" i="10"/>
  <c r="A1632" i="10"/>
  <c r="D1626" i="10"/>
  <c r="D1625" i="10"/>
  <c r="D1624" i="10"/>
  <c r="A1615" i="10"/>
  <c r="D1609" i="10"/>
  <c r="D1608" i="10"/>
  <c r="D1607" i="10"/>
  <c r="A1598" i="10"/>
  <c r="D1592" i="10"/>
  <c r="D1591" i="10"/>
  <c r="D1590" i="10"/>
  <c r="A1581" i="10"/>
  <c r="A1566" i="10"/>
  <c r="D1560" i="10"/>
  <c r="D1559" i="10"/>
  <c r="D1558" i="10"/>
  <c r="A1549" i="10"/>
  <c r="D1543" i="10"/>
  <c r="D1542" i="10"/>
  <c r="D1541" i="10"/>
  <c r="A1532" i="10"/>
  <c r="D1526" i="10"/>
  <c r="D1525" i="10"/>
  <c r="D1524" i="10"/>
  <c r="A1515" i="10"/>
  <c r="D1509" i="10"/>
  <c r="D1508" i="10"/>
  <c r="D1507" i="10"/>
  <c r="A1498" i="10"/>
  <c r="D1492" i="10"/>
  <c r="D1491" i="10"/>
  <c r="D1490" i="10"/>
  <c r="A1481" i="10"/>
  <c r="D1475" i="10"/>
  <c r="D1474" i="10"/>
  <c r="D1473" i="10"/>
  <c r="A1464" i="10"/>
  <c r="D1458" i="10"/>
  <c r="D1457" i="10"/>
  <c r="D1456" i="10"/>
  <c r="A1447" i="10"/>
  <c r="D1441" i="10"/>
  <c r="D1440" i="10"/>
  <c r="D1439" i="10"/>
  <c r="A1430" i="10"/>
  <c r="D1424" i="10"/>
  <c r="D1423" i="10"/>
  <c r="D1422" i="10"/>
  <c r="A1413" i="10"/>
  <c r="D1407" i="10"/>
  <c r="D1406" i="10"/>
  <c r="D1405" i="10"/>
  <c r="A1396" i="10"/>
  <c r="A1381" i="10"/>
  <c r="D1375" i="10"/>
  <c r="D1374" i="10"/>
  <c r="D1373" i="10"/>
  <c r="A1364" i="10"/>
  <c r="D1358" i="10"/>
  <c r="D1357" i="10"/>
  <c r="D1356" i="10"/>
  <c r="A1347" i="10"/>
  <c r="D1341" i="10"/>
  <c r="D1340" i="10"/>
  <c r="D1339" i="10"/>
  <c r="A1330" i="10"/>
  <c r="D1324" i="10"/>
  <c r="D1323" i="10"/>
  <c r="D1322" i="10"/>
  <c r="A1313" i="10"/>
  <c r="A1298" i="10"/>
  <c r="D1292" i="10"/>
  <c r="D1291" i="10"/>
  <c r="D1290" i="10"/>
  <c r="A1281" i="10"/>
  <c r="D1275" i="10"/>
  <c r="D1274" i="10"/>
  <c r="D1273" i="10"/>
  <c r="A1264" i="10"/>
  <c r="D1258" i="10"/>
  <c r="D1257" i="10"/>
  <c r="D1256" i="10"/>
  <c r="A1247" i="10"/>
  <c r="D1241" i="10"/>
  <c r="D1240" i="10"/>
  <c r="D1239" i="10"/>
  <c r="A1230" i="10"/>
  <c r="D1224" i="10"/>
  <c r="D1223" i="10"/>
  <c r="D1222" i="10"/>
  <c r="A1213" i="10"/>
  <c r="D1207" i="10"/>
  <c r="D1206" i="10"/>
  <c r="D1205" i="10"/>
  <c r="A1196" i="10"/>
  <c r="D1190" i="10"/>
  <c r="D1189" i="10"/>
  <c r="D1188" i="10"/>
  <c r="A1179" i="10"/>
  <c r="D1173" i="10"/>
  <c r="D1172" i="10"/>
  <c r="D1171" i="10"/>
  <c r="A1162" i="10"/>
  <c r="A1147" i="10"/>
  <c r="D1141" i="10"/>
  <c r="D1140" i="10"/>
  <c r="D1139" i="10"/>
  <c r="A1130" i="10"/>
  <c r="D1124" i="10"/>
  <c r="D1123" i="10"/>
  <c r="D1122" i="10"/>
  <c r="A1113" i="10"/>
  <c r="D1107" i="10"/>
  <c r="D1106" i="10"/>
  <c r="D1105" i="10"/>
  <c r="A1096" i="10"/>
  <c r="D1090" i="10"/>
  <c r="D1089" i="10"/>
  <c r="D1088" i="10"/>
  <c r="A1079" i="10"/>
  <c r="D1073" i="10"/>
  <c r="D1072" i="10"/>
  <c r="D1071" i="10"/>
  <c r="A1062" i="10"/>
  <c r="D1056" i="10"/>
  <c r="D1055" i="10"/>
  <c r="D1054" i="10"/>
  <c r="A1045" i="10"/>
  <c r="A1030" i="10"/>
  <c r="D1024" i="10"/>
  <c r="D1023" i="10"/>
  <c r="D1022" i="10"/>
  <c r="A1013" i="10"/>
  <c r="D1007" i="10"/>
  <c r="D1006" i="10"/>
  <c r="D1005" i="10"/>
  <c r="A996" i="10"/>
  <c r="D990" i="10"/>
  <c r="D989" i="10"/>
  <c r="D988" i="10"/>
  <c r="A979" i="10"/>
  <c r="D973" i="10"/>
  <c r="D972" i="10"/>
  <c r="D971" i="10"/>
  <c r="A962" i="10"/>
  <c r="D956" i="10"/>
  <c r="D955" i="10"/>
  <c r="D954" i="10"/>
  <c r="A945" i="10"/>
  <c r="D939" i="10"/>
  <c r="D938" i="10"/>
  <c r="D937" i="10"/>
  <c r="A928" i="10"/>
  <c r="D922" i="10"/>
  <c r="D921" i="10"/>
  <c r="D920" i="10"/>
  <c r="A911" i="10"/>
  <c r="A896" i="10"/>
  <c r="A881" i="10"/>
  <c r="D875" i="10"/>
  <c r="D874" i="10"/>
  <c r="D873" i="10"/>
  <c r="A864" i="10"/>
  <c r="D858" i="10"/>
  <c r="D857" i="10"/>
  <c r="D856" i="10"/>
  <c r="A847" i="10"/>
  <c r="D841" i="10"/>
  <c r="D840" i="10"/>
  <c r="D839" i="10"/>
  <c r="A830" i="10"/>
  <c r="D824" i="10"/>
  <c r="D823" i="10"/>
  <c r="D822" i="10"/>
  <c r="A813" i="10"/>
  <c r="D807" i="10"/>
  <c r="D806" i="10"/>
  <c r="D805" i="10"/>
  <c r="A796" i="10"/>
  <c r="D790" i="10"/>
  <c r="D789" i="10"/>
  <c r="D788" i="10"/>
  <c r="A779" i="10"/>
  <c r="D773" i="10"/>
  <c r="D772" i="10"/>
  <c r="D771" i="10"/>
  <c r="A762" i="10"/>
  <c r="D756" i="10"/>
  <c r="D755" i="10"/>
  <c r="D754" i="10"/>
  <c r="A745" i="10"/>
  <c r="D739" i="10"/>
  <c r="D738" i="10"/>
  <c r="D737" i="10"/>
  <c r="A728" i="10"/>
  <c r="D722" i="10"/>
  <c r="D721" i="10"/>
  <c r="D720" i="10"/>
  <c r="A711" i="10"/>
  <c r="D705" i="10"/>
  <c r="D704" i="10"/>
  <c r="D703" i="10"/>
  <c r="A694" i="10"/>
  <c r="D688" i="10"/>
  <c r="D687" i="10"/>
  <c r="D686" i="10"/>
  <c r="A677" i="10"/>
  <c r="D671" i="10"/>
  <c r="D670" i="10"/>
  <c r="D669" i="10"/>
  <c r="A660" i="10"/>
  <c r="A645" i="10"/>
  <c r="D639" i="10"/>
  <c r="D638" i="10"/>
  <c r="D637" i="10"/>
  <c r="A628" i="10"/>
  <c r="D622" i="10"/>
  <c r="D621" i="10"/>
  <c r="D620" i="10"/>
  <c r="A611" i="10"/>
  <c r="A596" i="10"/>
  <c r="A581" i="10"/>
  <c r="D575" i="10"/>
  <c r="D574" i="10"/>
  <c r="D573" i="10"/>
  <c r="A564" i="10"/>
  <c r="A549" i="10"/>
  <c r="A534" i="10"/>
  <c r="D528" i="10"/>
  <c r="D527" i="10"/>
  <c r="D526" i="10"/>
  <c r="A517" i="10"/>
  <c r="A502" i="10"/>
  <c r="A487" i="10"/>
  <c r="D481" i="10"/>
  <c r="D480" i="10"/>
  <c r="D479" i="10"/>
  <c r="A470" i="10"/>
  <c r="D464" i="10"/>
  <c r="D463" i="10"/>
  <c r="D462" i="10"/>
  <c r="A453" i="10"/>
  <c r="D447" i="10"/>
  <c r="D446" i="10"/>
  <c r="D445" i="10"/>
  <c r="A436" i="10"/>
  <c r="D430" i="10"/>
  <c r="D429" i="10"/>
  <c r="D428" i="10"/>
  <c r="A419" i="10"/>
  <c r="A404" i="10"/>
  <c r="A389" i="10"/>
  <c r="D383" i="10"/>
  <c r="D382" i="10"/>
  <c r="D381" i="10"/>
  <c r="A372" i="10"/>
  <c r="D366" i="10"/>
  <c r="D365" i="10"/>
  <c r="D364" i="10"/>
  <c r="A355" i="10"/>
  <c r="A340" i="10"/>
  <c r="A325" i="10"/>
  <c r="A310" i="10"/>
  <c r="A295" i="10"/>
  <c r="D289" i="10"/>
  <c r="D288" i="10"/>
  <c r="D287" i="10"/>
  <c r="A278" i="10"/>
  <c r="A263" i="10"/>
  <c r="D257" i="10"/>
  <c r="D256" i="10"/>
  <c r="D255" i="10"/>
  <c r="A246" i="10"/>
  <c r="D240" i="10"/>
  <c r="D239" i="10"/>
  <c r="D238" i="10"/>
  <c r="A229" i="10"/>
  <c r="A214" i="10"/>
  <c r="A199" i="10"/>
  <c r="A184" i="10"/>
  <c r="D178" i="10"/>
  <c r="D177" i="10"/>
  <c r="D176" i="10"/>
  <c r="A167" i="10"/>
  <c r="D161" i="10"/>
  <c r="D160" i="10"/>
  <c r="D159" i="10"/>
  <c r="A150" i="10"/>
  <c r="D144" i="10"/>
  <c r="D143" i="10"/>
  <c r="D142" i="10"/>
  <c r="A133" i="10"/>
  <c r="D127" i="10"/>
  <c r="D126" i="10"/>
  <c r="D125" i="10"/>
  <c r="A116" i="10"/>
  <c r="D110" i="10"/>
  <c r="D109" i="10"/>
  <c r="D108" i="10"/>
  <c r="A99" i="10"/>
  <c r="D93" i="10"/>
  <c r="D92" i="10"/>
  <c r="D91" i="10"/>
  <c r="A82" i="10"/>
  <c r="D76" i="10"/>
  <c r="D75" i="10"/>
  <c r="D74" i="10"/>
  <c r="A65" i="10"/>
  <c r="D59" i="10"/>
  <c r="D58" i="10"/>
  <c r="D57" i="10"/>
  <c r="A48" i="10"/>
  <c r="D42" i="10"/>
  <c r="D41" i="10"/>
  <c r="D40" i="10"/>
  <c r="A31" i="10"/>
  <c r="A16" i="10"/>
  <c r="A1" i="10"/>
  <c r="D3687" i="9"/>
  <c r="D3686" i="9"/>
  <c r="D3685" i="9"/>
  <c r="A3676" i="9"/>
  <c r="D3670" i="9"/>
  <c r="D3669" i="9"/>
  <c r="D3668" i="9"/>
  <c r="A3659" i="9"/>
  <c r="D3653" i="9"/>
  <c r="D3652" i="9"/>
  <c r="D3651" i="9"/>
  <c r="A3642" i="9"/>
  <c r="D3636" i="9"/>
  <c r="D3635" i="9"/>
  <c r="D3634" i="9"/>
  <c r="A3625" i="9"/>
  <c r="D3619" i="9"/>
  <c r="D3618" i="9"/>
  <c r="D3617" i="9"/>
  <c r="A3608" i="9"/>
  <c r="D3602" i="9"/>
  <c r="D3601" i="9"/>
  <c r="D3600" i="9"/>
  <c r="A3591" i="9"/>
  <c r="D3585" i="9"/>
  <c r="D3584" i="9"/>
  <c r="D3583" i="9"/>
  <c r="A3574" i="9"/>
  <c r="D3568" i="9"/>
  <c r="D3567" i="9"/>
  <c r="D3566" i="9"/>
  <c r="A3557" i="9"/>
  <c r="D3551" i="9"/>
  <c r="D3550" i="9"/>
  <c r="D3549" i="9"/>
  <c r="A3540" i="9"/>
  <c r="D3534" i="9"/>
  <c r="D3533" i="9"/>
  <c r="D3532" i="9"/>
  <c r="A3523" i="9"/>
  <c r="D3517" i="9"/>
  <c r="D3516" i="9"/>
  <c r="D3515" i="9"/>
  <c r="A3506" i="9"/>
  <c r="D3500" i="9"/>
  <c r="D3499" i="9"/>
  <c r="D3498" i="9"/>
  <c r="A3489" i="9"/>
  <c r="D3483" i="9"/>
  <c r="D3482" i="9"/>
  <c r="D3481" i="9"/>
  <c r="A3472" i="9"/>
  <c r="D3466" i="9"/>
  <c r="D3465" i="9"/>
  <c r="D3464" i="9"/>
  <c r="A3455" i="9"/>
  <c r="D3449" i="9"/>
  <c r="D3448" i="9"/>
  <c r="D3447" i="9"/>
  <c r="A3438" i="9"/>
  <c r="D3432" i="9"/>
  <c r="D3431" i="9"/>
  <c r="D3430" i="9"/>
  <c r="A3421" i="9"/>
  <c r="D3415" i="9"/>
  <c r="D3414" i="9"/>
  <c r="D3413" i="9"/>
  <c r="A3404" i="9"/>
  <c r="D3398" i="9"/>
  <c r="D3397" i="9"/>
  <c r="D3396" i="9"/>
  <c r="A3387" i="9"/>
  <c r="D3381" i="9"/>
  <c r="D3380" i="9"/>
  <c r="D3379" i="9"/>
  <c r="A3370" i="9"/>
  <c r="D3364" i="9"/>
  <c r="D3363" i="9"/>
  <c r="D3362" i="9"/>
  <c r="A3353" i="9"/>
  <c r="D3347" i="9"/>
  <c r="D3346" i="9"/>
  <c r="D3345" i="9"/>
  <c r="A3336" i="9"/>
  <c r="D3330" i="9"/>
  <c r="D3329" i="9"/>
  <c r="D3328" i="9"/>
  <c r="A3319" i="9"/>
  <c r="D3313" i="9"/>
  <c r="D3312" i="9"/>
  <c r="D3311" i="9"/>
  <c r="A3302" i="9"/>
  <c r="D3296" i="9"/>
  <c r="D3295" i="9"/>
  <c r="D3294" i="9"/>
  <c r="A3285" i="9"/>
  <c r="D3279" i="9"/>
  <c r="D3278" i="9"/>
  <c r="D3277" i="9"/>
  <c r="A3268" i="9"/>
  <c r="D3262" i="9"/>
  <c r="D3261" i="9"/>
  <c r="D3260" i="9"/>
  <c r="A3251" i="9"/>
  <c r="D3245" i="9"/>
  <c r="D3244" i="9"/>
  <c r="D3243" i="9"/>
  <c r="A3234" i="9"/>
  <c r="D3228" i="9"/>
  <c r="D3227" i="9"/>
  <c r="D3226" i="9"/>
  <c r="A3217" i="9"/>
  <c r="D3211" i="9"/>
  <c r="D3210" i="9"/>
  <c r="D3209" i="9"/>
  <c r="A3200" i="9"/>
  <c r="D3194" i="9"/>
  <c r="D3193" i="9"/>
  <c r="D3192" i="9"/>
  <c r="A3183" i="9"/>
  <c r="D3177" i="9"/>
  <c r="D3176" i="9"/>
  <c r="D3175" i="9"/>
  <c r="A3166" i="9"/>
  <c r="D3160" i="9"/>
  <c r="D3159" i="9"/>
  <c r="D3158" i="9"/>
  <c r="A3149" i="9"/>
  <c r="D3143" i="9"/>
  <c r="D3142" i="9"/>
  <c r="D3141" i="9"/>
  <c r="A3132" i="9"/>
  <c r="D3126" i="9"/>
  <c r="D3125" i="9"/>
  <c r="D3124" i="9"/>
  <c r="A3115" i="9"/>
  <c r="D3109" i="9"/>
  <c r="D3108" i="9"/>
  <c r="D3107" i="9"/>
  <c r="A3098" i="9"/>
  <c r="D3092" i="9"/>
  <c r="D3091" i="9"/>
  <c r="D3090" i="9"/>
  <c r="A3081" i="9"/>
  <c r="D3075" i="9"/>
  <c r="D3074" i="9"/>
  <c r="D3073" i="9"/>
  <c r="A3064" i="9"/>
  <c r="D3058" i="9"/>
  <c r="D3057" i="9"/>
  <c r="D3056" i="9"/>
  <c r="A3047" i="9"/>
  <c r="D3041" i="9"/>
  <c r="D3040" i="9"/>
  <c r="D3039" i="9"/>
  <c r="A3030" i="9"/>
  <c r="D3024" i="9"/>
  <c r="D3023" i="9"/>
  <c r="D3022" i="9"/>
  <c r="A3013" i="9"/>
  <c r="D3007" i="9"/>
  <c r="D3006" i="9"/>
  <c r="D3005" i="9"/>
  <c r="A2996" i="9"/>
  <c r="D2990" i="9"/>
  <c r="D2989" i="9"/>
  <c r="D2988" i="9"/>
  <c r="A2979" i="9"/>
  <c r="D2973" i="9"/>
  <c r="D2972" i="9"/>
  <c r="D2971" i="9"/>
  <c r="A2962" i="9"/>
  <c r="D2956" i="9"/>
  <c r="D2955" i="9"/>
  <c r="D2954" i="9"/>
  <c r="A2945" i="9"/>
  <c r="D2939" i="9"/>
  <c r="D2938" i="9"/>
  <c r="D2937" i="9"/>
  <c r="A2928" i="9"/>
  <c r="D2922" i="9"/>
  <c r="D2921" i="9"/>
  <c r="D2920" i="9"/>
  <c r="A2911" i="9"/>
  <c r="D2905" i="9"/>
  <c r="D2904" i="9"/>
  <c r="D2903" i="9"/>
  <c r="A2894" i="9"/>
  <c r="D2888" i="9"/>
  <c r="D2887" i="9"/>
  <c r="D2886" i="9"/>
  <c r="A2877" i="9"/>
  <c r="D2871" i="9"/>
  <c r="D2870" i="9"/>
  <c r="D2869" i="9"/>
  <c r="A2860" i="9"/>
  <c r="D2854" i="9"/>
  <c r="D2853" i="9"/>
  <c r="D2852" i="9"/>
  <c r="A2843" i="9"/>
  <c r="D2837" i="9"/>
  <c r="D2836" i="9"/>
  <c r="D2835" i="9"/>
  <c r="A2826" i="9"/>
  <c r="D2820" i="9"/>
  <c r="D2819" i="9"/>
  <c r="D2818" i="9"/>
  <c r="A2809" i="9"/>
  <c r="D2803" i="9"/>
  <c r="D2802" i="9"/>
  <c r="D2801" i="9"/>
  <c r="A2792" i="9"/>
  <c r="D2786" i="9"/>
  <c r="D2785" i="9"/>
  <c r="D2784" i="9"/>
  <c r="A2775" i="9"/>
  <c r="D2769" i="9"/>
  <c r="D2768" i="9"/>
  <c r="D2767" i="9"/>
  <c r="A2758" i="9"/>
  <c r="D2752" i="9"/>
  <c r="D2751" i="9"/>
  <c r="D2750" i="9"/>
  <c r="A2741" i="9"/>
  <c r="D2735" i="9"/>
  <c r="D2734" i="9"/>
  <c r="D2733" i="9"/>
  <c r="A2724" i="9"/>
  <c r="D2718" i="9"/>
  <c r="D2717" i="9"/>
  <c r="D2716" i="9"/>
  <c r="A2707" i="9"/>
  <c r="D2701" i="9"/>
  <c r="D2700" i="9"/>
  <c r="D2699" i="9"/>
  <c r="A2690" i="9"/>
  <c r="D2684" i="9"/>
  <c r="D2683" i="9"/>
  <c r="D2682" i="9"/>
  <c r="A2673" i="9"/>
  <c r="D2667" i="9"/>
  <c r="D2666" i="9"/>
  <c r="D2665" i="9"/>
  <c r="A2656" i="9"/>
  <c r="D2650" i="9"/>
  <c r="D2649" i="9"/>
  <c r="D2648" i="9"/>
  <c r="A2639" i="9"/>
  <c r="D2633" i="9"/>
  <c r="D2632" i="9"/>
  <c r="D2631" i="9"/>
  <c r="A2622" i="9"/>
  <c r="D2616" i="9"/>
  <c r="D2615" i="9"/>
  <c r="D2614" i="9"/>
  <c r="A2605" i="9"/>
  <c r="D2599" i="9"/>
  <c r="D2598" i="9"/>
  <c r="D2597" i="9"/>
  <c r="A2588" i="9"/>
  <c r="D2582" i="9"/>
  <c r="D2581" i="9"/>
  <c r="D2580" i="9"/>
  <c r="A2571" i="9"/>
  <c r="D2565" i="9"/>
  <c r="D2564" i="9"/>
  <c r="D2563" i="9"/>
  <c r="A2554" i="9"/>
  <c r="D2548" i="9"/>
  <c r="D2547" i="9"/>
  <c r="D2546" i="9"/>
  <c r="A2537" i="9"/>
  <c r="D2531" i="9"/>
  <c r="D2530" i="9"/>
  <c r="D2529" i="9"/>
  <c r="A2520" i="9"/>
  <c r="D2514" i="9"/>
  <c r="D2513" i="9"/>
  <c r="D2512" i="9"/>
  <c r="A2503" i="9"/>
  <c r="D2497" i="9"/>
  <c r="D2496" i="9"/>
  <c r="D2495" i="9"/>
  <c r="A2486" i="9"/>
  <c r="D2480" i="9"/>
  <c r="D2479" i="9"/>
  <c r="D2478" i="9"/>
  <c r="A2469" i="9"/>
  <c r="D2463" i="9"/>
  <c r="D2462" i="9"/>
  <c r="D2461" i="9"/>
  <c r="A2452" i="9"/>
  <c r="D2446" i="9"/>
  <c r="D2445" i="9"/>
  <c r="D2444" i="9"/>
  <c r="A2435" i="9"/>
  <c r="D2429" i="9"/>
  <c r="D2428" i="9"/>
  <c r="D2427" i="9"/>
  <c r="A2418" i="9"/>
  <c r="D2412" i="9"/>
  <c r="D2411" i="9"/>
  <c r="D2410" i="9"/>
  <c r="A2401" i="9"/>
  <c r="D2395" i="9"/>
  <c r="D2394" i="9"/>
  <c r="D2393" i="9"/>
  <c r="A2384" i="9"/>
  <c r="D2378" i="9"/>
  <c r="D2377" i="9"/>
  <c r="D2376" i="9"/>
  <c r="A2367" i="9"/>
  <c r="D2361" i="9"/>
  <c r="D2360" i="9"/>
  <c r="D2359" i="9"/>
  <c r="A2350" i="9"/>
  <c r="D2344" i="9"/>
  <c r="D2343" i="9"/>
  <c r="D2342" i="9"/>
  <c r="A2333" i="9"/>
  <c r="D2327" i="9"/>
  <c r="D2326" i="9"/>
  <c r="D2325" i="9"/>
  <c r="A2316" i="9"/>
  <c r="D2310" i="9"/>
  <c r="D2309" i="9"/>
  <c r="D2308" i="9"/>
  <c r="A2299" i="9"/>
  <c r="D2293" i="9"/>
  <c r="D2292" i="9"/>
  <c r="D2291" i="9"/>
  <c r="A2282" i="9"/>
  <c r="D2276" i="9"/>
  <c r="D2275" i="9"/>
  <c r="D2274" i="9"/>
  <c r="A2265" i="9"/>
  <c r="D2259" i="9"/>
  <c r="D2258" i="9"/>
  <c r="D2257" i="9"/>
  <c r="A2248" i="9"/>
  <c r="D2242" i="9"/>
  <c r="D2241" i="9"/>
  <c r="D2240" i="9"/>
  <c r="A2231" i="9"/>
  <c r="D2225" i="9"/>
  <c r="D2224" i="9"/>
  <c r="D2223" i="9"/>
  <c r="A2214" i="9"/>
  <c r="D2208" i="9"/>
  <c r="D2207" i="9"/>
  <c r="D2206" i="9"/>
  <c r="A2197" i="9"/>
  <c r="D2191" i="9"/>
  <c r="D2190" i="9"/>
  <c r="D2189" i="9"/>
  <c r="A2180" i="9"/>
  <c r="D2174" i="9"/>
  <c r="D2173" i="9"/>
  <c r="D2172" i="9"/>
  <c r="A2163" i="9"/>
  <c r="D2157" i="9"/>
  <c r="D2156" i="9"/>
  <c r="D2155" i="9"/>
  <c r="A2146" i="9"/>
  <c r="D2140" i="9"/>
  <c r="D2139" i="9"/>
  <c r="D2138" i="9"/>
  <c r="A2129" i="9"/>
  <c r="D2123" i="9"/>
  <c r="D2122" i="9"/>
  <c r="D2121" i="9"/>
  <c r="A2112" i="9"/>
  <c r="D2106" i="9"/>
  <c r="D2105" i="9"/>
  <c r="D2104" i="9"/>
  <c r="A2095" i="9"/>
  <c r="D2089" i="9"/>
  <c r="D2088" i="9"/>
  <c r="D2087" i="9"/>
  <c r="A2078" i="9"/>
  <c r="D2072" i="9"/>
  <c r="D2071" i="9"/>
  <c r="D2070" i="9"/>
  <c r="A2061" i="9"/>
  <c r="D2055" i="9"/>
  <c r="D2054" i="9"/>
  <c r="D2053" i="9"/>
  <c r="A2044" i="9"/>
  <c r="D2038" i="9"/>
  <c r="D2037" i="9"/>
  <c r="D2036" i="9"/>
  <c r="A2027" i="9"/>
  <c r="D2021" i="9"/>
  <c r="D2020" i="9"/>
  <c r="D2019" i="9"/>
  <c r="A2010" i="9"/>
  <c r="D2004" i="9"/>
  <c r="D2003" i="9"/>
  <c r="D2002" i="9"/>
  <c r="A1993" i="9"/>
  <c r="D1987" i="9"/>
  <c r="D1986" i="9"/>
  <c r="D1985" i="9"/>
  <c r="A1976" i="9"/>
  <c r="D1970" i="9"/>
  <c r="D1969" i="9"/>
  <c r="D1968" i="9"/>
  <c r="A1959" i="9"/>
  <c r="D1953" i="9"/>
  <c r="D1952" i="9"/>
  <c r="D1951" i="9"/>
  <c r="A1942" i="9"/>
  <c r="D1936" i="9"/>
  <c r="D1935" i="9"/>
  <c r="D1934" i="9"/>
  <c r="A1925" i="9"/>
  <c r="D1919" i="9"/>
  <c r="D1918" i="9"/>
  <c r="D1917" i="9"/>
  <c r="A1908" i="9"/>
  <c r="D1902" i="9"/>
  <c r="D1901" i="9"/>
  <c r="D1900" i="9"/>
  <c r="A1891" i="9"/>
  <c r="D1885" i="9"/>
  <c r="D1884" i="9"/>
  <c r="D1883" i="9"/>
  <c r="A1874" i="9"/>
  <c r="D1868" i="9"/>
  <c r="D1867" i="9"/>
  <c r="D1866" i="9"/>
  <c r="A1857" i="9"/>
  <c r="D1851" i="9"/>
  <c r="D1850" i="9"/>
  <c r="D1849" i="9"/>
  <c r="A1840" i="9"/>
  <c r="D1834" i="9"/>
  <c r="D1833" i="9"/>
  <c r="D1832" i="9"/>
  <c r="A1823" i="9"/>
  <c r="D1817" i="9"/>
  <c r="D1816" i="9"/>
  <c r="D1815" i="9"/>
  <c r="A1806" i="9"/>
  <c r="D1800" i="9"/>
  <c r="D1799" i="9"/>
  <c r="D1798" i="9"/>
  <c r="A1789" i="9"/>
  <c r="D1783" i="9"/>
  <c r="D1782" i="9"/>
  <c r="D1781" i="9"/>
  <c r="A1772" i="9"/>
  <c r="D1766" i="9"/>
  <c r="D1765" i="9"/>
  <c r="D1764" i="9"/>
  <c r="A1755" i="9"/>
  <c r="D1749" i="9"/>
  <c r="D1748" i="9"/>
  <c r="D1747" i="9"/>
  <c r="A1738" i="9"/>
  <c r="D1732" i="9"/>
  <c r="D1731" i="9"/>
  <c r="D1730" i="9"/>
  <c r="A1721" i="9"/>
  <c r="D1715" i="9"/>
  <c r="D1714" i="9"/>
  <c r="D1713" i="9"/>
  <c r="A1704" i="9"/>
  <c r="D1698" i="9"/>
  <c r="D1697" i="9"/>
  <c r="D1696" i="9"/>
  <c r="A1687" i="9"/>
  <c r="D1681" i="9"/>
  <c r="D1680" i="9"/>
  <c r="D1679" i="9"/>
  <c r="A1670" i="9"/>
  <c r="D1664" i="9"/>
  <c r="D1663" i="9"/>
  <c r="D1662" i="9"/>
  <c r="A1653" i="9"/>
  <c r="D1647" i="9"/>
  <c r="D1646" i="9"/>
  <c r="D1645" i="9"/>
  <c r="A1636" i="9"/>
  <c r="D1630" i="9"/>
  <c r="D1629" i="9"/>
  <c r="D1628" i="9"/>
  <c r="A1619" i="9"/>
  <c r="D1613" i="9"/>
  <c r="D1612" i="9"/>
  <c r="D1611" i="9"/>
  <c r="A1602" i="9"/>
  <c r="D1596" i="9"/>
  <c r="D1595" i="9"/>
  <c r="D1594" i="9"/>
  <c r="A1585" i="9"/>
  <c r="D1579" i="9"/>
  <c r="D1578" i="9"/>
  <c r="D1577" i="9"/>
  <c r="A1568" i="9"/>
  <c r="D1562" i="9"/>
  <c r="D1561" i="9"/>
  <c r="D1560" i="9"/>
  <c r="A1551" i="9"/>
  <c r="D1545" i="9"/>
  <c r="D1544" i="9"/>
  <c r="D1543" i="9"/>
  <c r="A1534" i="9"/>
  <c r="D1528" i="9"/>
  <c r="D1527" i="9"/>
  <c r="D1526" i="9"/>
  <c r="A1517" i="9"/>
  <c r="D1511" i="9"/>
  <c r="D1510" i="9"/>
  <c r="D1509" i="9"/>
  <c r="A1500" i="9"/>
  <c r="D1494" i="9"/>
  <c r="D1493" i="9"/>
  <c r="D1492" i="9"/>
  <c r="A1483" i="9"/>
  <c r="D1477" i="9"/>
  <c r="D1476" i="9"/>
  <c r="D1475" i="9"/>
  <c r="A1466" i="9"/>
  <c r="D1460" i="9"/>
  <c r="D1459" i="9"/>
  <c r="D1458" i="9"/>
  <c r="A1449" i="9"/>
  <c r="D1443" i="9"/>
  <c r="D1442" i="9"/>
  <c r="D1441" i="9"/>
  <c r="A1432" i="9"/>
  <c r="D1426" i="9"/>
  <c r="D1425" i="9"/>
  <c r="D1424" i="9"/>
  <c r="A1415" i="9"/>
  <c r="D1409" i="9"/>
  <c r="D1408" i="9"/>
  <c r="D1407" i="9"/>
  <c r="A1398" i="9"/>
  <c r="D1392" i="9"/>
  <c r="D1391" i="9"/>
  <c r="D1390" i="9"/>
  <c r="A1381" i="9"/>
  <c r="D1375" i="9"/>
  <c r="D1374" i="9"/>
  <c r="D1373" i="9"/>
  <c r="A1364" i="9"/>
  <c r="D1358" i="9"/>
  <c r="D1357" i="9"/>
  <c r="D1356" i="9"/>
  <c r="A1347" i="9"/>
  <c r="D1341" i="9"/>
  <c r="D1340" i="9"/>
  <c r="D1339" i="9"/>
  <c r="A1330" i="9"/>
  <c r="D1324" i="9"/>
  <c r="D1323" i="9"/>
  <c r="D1322" i="9"/>
  <c r="A1313" i="9"/>
  <c r="D1307" i="9"/>
  <c r="D1306" i="9"/>
  <c r="D1305" i="9"/>
  <c r="A1296" i="9"/>
  <c r="D1290" i="9"/>
  <c r="D1289" i="9"/>
  <c r="D1288" i="9"/>
  <c r="A1279" i="9"/>
  <c r="D1273" i="9"/>
  <c r="D1272" i="9"/>
  <c r="D1271" i="9"/>
  <c r="A1262" i="9"/>
  <c r="D1256" i="9"/>
  <c r="D1255" i="9"/>
  <c r="D1254" i="9"/>
  <c r="A1245" i="9"/>
  <c r="D1239" i="9"/>
  <c r="D1238" i="9"/>
  <c r="D1237" i="9"/>
  <c r="A1228" i="9"/>
  <c r="D1222" i="9"/>
  <c r="D1221" i="9"/>
  <c r="D1220" i="9"/>
  <c r="A1211" i="9"/>
  <c r="D1205" i="9"/>
  <c r="D1204" i="9"/>
  <c r="D1203" i="9"/>
  <c r="A1194" i="9"/>
  <c r="D1188" i="9"/>
  <c r="D1187" i="9"/>
  <c r="D1186" i="9"/>
  <c r="A1177" i="9"/>
  <c r="D1171" i="9"/>
  <c r="D1170" i="9"/>
  <c r="D1169" i="9"/>
  <c r="A1160" i="9"/>
  <c r="D1154" i="9"/>
  <c r="D1153" i="9"/>
  <c r="D1152" i="9"/>
  <c r="A1143" i="9"/>
  <c r="D1137" i="9"/>
  <c r="D1136" i="9"/>
  <c r="D1135" i="9"/>
  <c r="A1126" i="9"/>
  <c r="D1120" i="9"/>
  <c r="D1119" i="9"/>
  <c r="D1118" i="9"/>
  <c r="A1109" i="9"/>
  <c r="D1103" i="9"/>
  <c r="D1102" i="9"/>
  <c r="D1101" i="9"/>
  <c r="A1092" i="9"/>
  <c r="D1086" i="9"/>
  <c r="D1085" i="9"/>
  <c r="D1084" i="9"/>
  <c r="A1075" i="9"/>
  <c r="D1069" i="9"/>
  <c r="D1068" i="9"/>
  <c r="D1067" i="9"/>
  <c r="A1058" i="9"/>
  <c r="D1052" i="9"/>
  <c r="D1051" i="9"/>
  <c r="D1050" i="9"/>
  <c r="A1041" i="9"/>
  <c r="D1035" i="9"/>
  <c r="D1034" i="9"/>
  <c r="D1033" i="9"/>
  <c r="A1024" i="9"/>
  <c r="D1018" i="9"/>
  <c r="D1017" i="9"/>
  <c r="D1016" i="9"/>
  <c r="A1007" i="9"/>
  <c r="D1001" i="9"/>
  <c r="D1000" i="9"/>
  <c r="D999" i="9"/>
  <c r="A990" i="9"/>
  <c r="D984" i="9"/>
  <c r="D983" i="9"/>
  <c r="D982" i="9"/>
  <c r="A973" i="9"/>
  <c r="D967" i="9"/>
  <c r="D966" i="9"/>
  <c r="D965" i="9"/>
  <c r="A956" i="9"/>
  <c r="D950" i="9"/>
  <c r="D949" i="9"/>
  <c r="D948" i="9"/>
  <c r="A939" i="9"/>
  <c r="D933" i="9"/>
  <c r="D932" i="9"/>
  <c r="D931" i="9"/>
  <c r="A922" i="9"/>
  <c r="D916" i="9"/>
  <c r="D915" i="9"/>
  <c r="D914" i="9"/>
  <c r="A905" i="9"/>
  <c r="D899" i="9"/>
  <c r="D898" i="9"/>
  <c r="D897" i="9"/>
  <c r="A888" i="9"/>
  <c r="D882" i="9"/>
  <c r="D881" i="9"/>
  <c r="D880" i="9"/>
  <c r="A871" i="9"/>
  <c r="D865" i="9"/>
  <c r="D864" i="9"/>
  <c r="D863" i="9"/>
  <c r="A854" i="9"/>
  <c r="D848" i="9"/>
  <c r="D847" i="9"/>
  <c r="D846" i="9"/>
  <c r="A837" i="9"/>
  <c r="D831" i="9"/>
  <c r="D830" i="9"/>
  <c r="D829" i="9"/>
  <c r="A820" i="9"/>
  <c r="D814" i="9"/>
  <c r="D813" i="9"/>
  <c r="D812" i="9"/>
  <c r="A803" i="9"/>
  <c r="D797" i="9"/>
  <c r="D796" i="9"/>
  <c r="D795" i="9"/>
  <c r="A786" i="9"/>
  <c r="D780" i="9"/>
  <c r="D779" i="9"/>
  <c r="D778" i="9"/>
  <c r="A769" i="9"/>
  <c r="D763" i="9"/>
  <c r="D762" i="9"/>
  <c r="D761" i="9"/>
  <c r="A752" i="9"/>
  <c r="D746" i="9"/>
  <c r="D745" i="9"/>
  <c r="D744" i="9"/>
  <c r="A735" i="9"/>
  <c r="D729" i="9"/>
  <c r="D728" i="9"/>
  <c r="D727" i="9"/>
  <c r="A718" i="9"/>
  <c r="D712" i="9"/>
  <c r="D711" i="9"/>
  <c r="D710" i="9"/>
  <c r="A701" i="9"/>
  <c r="D695" i="9"/>
  <c r="D694" i="9"/>
  <c r="D693" i="9"/>
  <c r="A684" i="9"/>
  <c r="D678" i="9"/>
  <c r="D677" i="9"/>
  <c r="D676" i="9"/>
  <c r="A667" i="9"/>
  <c r="D661" i="9"/>
  <c r="D660" i="9"/>
  <c r="D659" i="9"/>
  <c r="A650" i="9"/>
  <c r="D644" i="9"/>
  <c r="D643" i="9"/>
  <c r="D642" i="9"/>
  <c r="A633" i="9"/>
  <c r="D627" i="9"/>
  <c r="D626" i="9"/>
  <c r="D625" i="9"/>
  <c r="A616" i="9"/>
  <c r="D610" i="9"/>
  <c r="D609" i="9"/>
  <c r="D608" i="9"/>
  <c r="A599" i="9"/>
  <c r="D593" i="9"/>
  <c r="D592" i="9"/>
  <c r="D591" i="9"/>
  <c r="A582" i="9"/>
  <c r="D576" i="9"/>
  <c r="D575" i="9"/>
  <c r="D574" i="9"/>
  <c r="A565" i="9"/>
  <c r="D559" i="9"/>
  <c r="D558" i="9"/>
  <c r="D557" i="9"/>
  <c r="A548" i="9"/>
  <c r="D542" i="9"/>
  <c r="D541" i="9"/>
  <c r="D540" i="9"/>
  <c r="A531" i="9"/>
  <c r="D525" i="9"/>
  <c r="D524" i="9"/>
  <c r="D523" i="9"/>
  <c r="A514" i="9"/>
  <c r="D508" i="9"/>
  <c r="D507" i="9"/>
  <c r="D506" i="9"/>
  <c r="A497" i="9"/>
  <c r="D491" i="9"/>
  <c r="D490" i="9"/>
  <c r="D489" i="9"/>
  <c r="A480" i="9"/>
  <c r="D474" i="9"/>
  <c r="D473" i="9"/>
  <c r="D472" i="9"/>
  <c r="A463" i="9"/>
  <c r="D457" i="9"/>
  <c r="D456" i="9"/>
  <c r="D455" i="9"/>
  <c r="A446" i="9"/>
  <c r="D440" i="9"/>
  <c r="D439" i="9"/>
  <c r="D438" i="9"/>
  <c r="A429" i="9"/>
  <c r="D423" i="9"/>
  <c r="D422" i="9"/>
  <c r="D421" i="9"/>
  <c r="A412" i="9"/>
  <c r="D406" i="9"/>
  <c r="D405" i="9"/>
  <c r="D404" i="9"/>
  <c r="A395" i="9"/>
  <c r="D389" i="9"/>
  <c r="D388" i="9"/>
  <c r="D387" i="9"/>
  <c r="A378" i="9"/>
  <c r="D372" i="9"/>
  <c r="D371" i="9"/>
  <c r="D370" i="9"/>
  <c r="A361" i="9"/>
  <c r="D355" i="9"/>
  <c r="D354" i="9"/>
  <c r="D353" i="9"/>
  <c r="A344" i="9"/>
  <c r="D338" i="9"/>
  <c r="D337" i="9"/>
  <c r="D336" i="9"/>
  <c r="A327" i="9"/>
  <c r="D321" i="9"/>
  <c r="D320" i="9"/>
  <c r="D319" i="9"/>
  <c r="A310" i="9"/>
  <c r="D304" i="9"/>
  <c r="D303" i="9"/>
  <c r="D302" i="9"/>
  <c r="A293" i="9"/>
  <c r="D287" i="9"/>
  <c r="D286" i="9"/>
  <c r="D285" i="9"/>
  <c r="A276" i="9"/>
  <c r="D270" i="9"/>
  <c r="D269" i="9"/>
  <c r="D268" i="9"/>
  <c r="A259" i="9"/>
  <c r="D253" i="9"/>
  <c r="D252" i="9"/>
  <c r="D251" i="9"/>
  <c r="A242" i="9"/>
  <c r="D236" i="9"/>
  <c r="D235" i="9"/>
  <c r="D234" i="9"/>
  <c r="A225" i="9"/>
  <c r="D219" i="9"/>
  <c r="D218" i="9"/>
  <c r="D217" i="9"/>
  <c r="A208" i="9"/>
  <c r="D202" i="9"/>
  <c r="D201" i="9"/>
  <c r="D200" i="9"/>
  <c r="A191" i="9"/>
  <c r="D185" i="9"/>
  <c r="D184" i="9"/>
  <c r="D183" i="9"/>
  <c r="A174" i="9"/>
  <c r="A159" i="9"/>
  <c r="D153" i="9"/>
  <c r="D152" i="9"/>
  <c r="D151" i="9"/>
  <c r="A142" i="9"/>
  <c r="D136" i="9"/>
  <c r="D135" i="9"/>
  <c r="D134" i="9"/>
  <c r="D119" i="9"/>
  <c r="D118" i="9"/>
  <c r="D117" i="9"/>
  <c r="D72" i="9"/>
  <c r="D71" i="9"/>
  <c r="D70" i="9"/>
  <c r="D55" i="9"/>
  <c r="D54" i="9"/>
  <c r="D53" i="9"/>
  <c r="D23" i="9"/>
  <c r="D22" i="9"/>
  <c r="D21" i="9"/>
  <c r="D26030" i="8"/>
  <c r="D26029" i="8"/>
  <c r="D26028" i="8"/>
  <c r="D26015" i="8"/>
  <c r="D26002" i="8"/>
  <c r="D26001" i="8"/>
  <c r="D25988" i="8"/>
  <c r="D25987" i="8"/>
  <c r="D25986" i="8"/>
  <c r="D25973" i="8"/>
  <c r="D25960" i="8"/>
  <c r="D25959" i="8"/>
  <c r="D25958" i="8"/>
  <c r="D25945" i="8"/>
  <c r="D25944" i="8"/>
  <c r="D25931" i="8"/>
  <c r="D25930" i="8"/>
  <c r="D25891" i="8"/>
  <c r="D25878" i="8"/>
  <c r="D25865" i="8"/>
  <c r="D25864" i="8"/>
  <c r="D25851" i="8"/>
  <c r="D25838" i="8"/>
  <c r="D25825" i="8"/>
  <c r="D25824" i="8"/>
  <c r="D25811" i="8"/>
  <c r="D25810" i="8"/>
  <c r="D25809" i="8"/>
  <c r="D25796" i="8"/>
  <c r="D25757" i="8"/>
  <c r="D25756" i="8"/>
  <c r="D25755" i="8"/>
  <c r="D25742" i="8"/>
  <c r="D25729" i="8"/>
  <c r="D25716" i="8"/>
  <c r="D25703" i="8"/>
  <c r="D25690" i="8"/>
  <c r="D25689" i="8"/>
  <c r="D25676" i="8"/>
  <c r="D25675" i="8"/>
  <c r="D25674" i="8"/>
  <c r="D25661" i="8"/>
  <c r="D25660" i="8"/>
  <c r="D25621" i="8"/>
  <c r="D25608" i="8"/>
  <c r="D25595" i="8"/>
  <c r="D25582" i="8"/>
  <c r="D25569" i="8"/>
  <c r="D25556" i="8"/>
  <c r="D25555" i="8"/>
  <c r="D25542" i="8"/>
  <c r="D25541" i="8"/>
  <c r="D25540" i="8"/>
  <c r="D25527" i="8"/>
  <c r="D25526" i="8"/>
  <c r="D25513" i="8"/>
  <c r="D25512" i="8"/>
  <c r="D25473" i="8"/>
  <c r="D25472" i="8"/>
  <c r="D25459" i="8"/>
  <c r="D25446" i="8"/>
  <c r="D25433" i="8"/>
  <c r="D25420" i="8"/>
  <c r="D25407" i="8"/>
  <c r="D25406" i="8"/>
  <c r="D25393" i="8"/>
  <c r="D25380" i="8"/>
  <c r="D25379" i="8"/>
  <c r="D25340" i="8"/>
  <c r="D25327" i="8"/>
  <c r="D25314" i="8"/>
  <c r="D25301" i="8"/>
  <c r="D25288" i="8"/>
  <c r="D25287" i="8"/>
  <c r="D25274" i="8"/>
  <c r="D25261" i="8"/>
  <c r="D25248" i="8"/>
  <c r="D25235" i="8"/>
  <c r="D25183" i="8"/>
  <c r="D25182" i="8"/>
  <c r="D25169" i="8"/>
  <c r="D25156" i="8"/>
  <c r="D25143" i="8"/>
  <c r="D25130" i="8"/>
  <c r="D25117" i="8"/>
  <c r="D25104" i="8"/>
  <c r="D25103" i="8"/>
  <c r="D25090" i="8"/>
  <c r="D25038" i="8"/>
  <c r="D25025" i="8"/>
  <c r="D25012" i="8"/>
  <c r="D24999" i="8"/>
  <c r="D24986" i="8"/>
  <c r="D24985" i="8"/>
  <c r="D24972" i="8"/>
  <c r="D24959" i="8"/>
  <c r="D24946" i="8"/>
  <c r="D24945" i="8"/>
  <c r="D24893" i="8"/>
  <c r="D24892" i="8"/>
  <c r="D24879" i="8"/>
  <c r="D24866" i="8"/>
  <c r="D24853" i="8"/>
  <c r="D24840" i="8"/>
  <c r="D24827" i="8"/>
  <c r="D24801" i="8"/>
  <c r="D24749" i="8"/>
  <c r="D24736" i="8"/>
  <c r="D24723" i="8"/>
  <c r="D24710" i="8"/>
  <c r="D24697" i="8"/>
  <c r="D24696" i="8"/>
  <c r="D24683" i="8"/>
  <c r="D24682" i="8"/>
  <c r="D24669" i="8"/>
  <c r="D24656" i="8"/>
  <c r="D24604" i="8"/>
  <c r="D24591" i="8"/>
  <c r="D24578" i="8"/>
  <c r="D24565" i="8"/>
  <c r="D24552" i="8"/>
  <c r="D24539" i="8"/>
  <c r="D24526" i="8"/>
  <c r="D24513" i="8"/>
  <c r="D24448" i="8"/>
  <c r="D24435" i="8"/>
  <c r="D24422" i="8"/>
  <c r="D24409" i="8"/>
  <c r="D24396" i="8"/>
  <c r="D24395" i="8"/>
  <c r="D24369" i="8"/>
  <c r="D24356" i="8"/>
  <c r="D24343" i="8"/>
  <c r="D24342" i="8"/>
  <c r="D24277" i="8"/>
  <c r="D24264" i="8"/>
  <c r="D24251" i="8"/>
  <c r="D24238" i="8"/>
  <c r="D24225" i="8"/>
  <c r="D24212" i="8"/>
  <c r="D24199" i="8"/>
  <c r="D24186" i="8"/>
  <c r="D24173" i="8"/>
  <c r="D24160" i="8"/>
  <c r="D24147" i="8"/>
  <c r="D24134" i="8"/>
  <c r="D24121" i="8"/>
  <c r="D24108" i="8"/>
  <c r="D24095" i="8"/>
  <c r="D24082" i="8"/>
  <c r="D24081" i="8"/>
  <c r="D24016" i="8"/>
  <c r="D24003" i="8"/>
  <c r="D23990" i="8"/>
  <c r="D23977" i="8"/>
  <c r="D23964" i="8"/>
  <c r="D23951" i="8"/>
  <c r="D23938" i="8"/>
  <c r="D23925" i="8"/>
  <c r="D23924" i="8"/>
  <c r="D23923" i="8"/>
  <c r="D23922" i="8"/>
  <c r="D23857" i="8"/>
  <c r="D23844" i="8"/>
  <c r="D23831" i="8"/>
  <c r="D23818" i="8"/>
  <c r="D23805" i="8"/>
  <c r="D23792" i="8"/>
  <c r="D23779" i="8"/>
  <c r="D23778" i="8"/>
  <c r="D23765" i="8"/>
  <c r="D23700" i="8"/>
  <c r="D23687" i="8"/>
  <c r="D23674" i="8"/>
  <c r="D23661" i="8"/>
  <c r="D23648" i="8"/>
  <c r="D23635" i="8"/>
  <c r="D23622" i="8"/>
  <c r="D23609" i="8"/>
  <c r="D23596" i="8"/>
  <c r="D23595" i="8"/>
  <c r="D23530" i="8"/>
  <c r="D23517" i="8"/>
  <c r="D23504" i="8"/>
  <c r="D23503" i="8"/>
  <c r="D23490" i="8"/>
  <c r="D23477" i="8"/>
  <c r="D23464" i="8"/>
  <c r="D23451" i="8"/>
  <c r="D23438" i="8"/>
  <c r="D23437" i="8"/>
  <c r="D23372" i="8"/>
  <c r="D23371" i="8"/>
  <c r="D23358" i="8"/>
  <c r="D23357" i="8"/>
  <c r="D23344" i="8"/>
  <c r="D23343" i="8"/>
  <c r="D23330" i="8"/>
  <c r="D23329" i="8"/>
  <c r="D23316" i="8"/>
  <c r="D23303" i="8"/>
  <c r="D23290" i="8"/>
  <c r="D23277" i="8"/>
  <c r="D23212" i="8"/>
  <c r="D23199" i="8"/>
  <c r="D23198" i="8"/>
  <c r="D23185" i="8"/>
  <c r="D23172" i="8"/>
  <c r="D23171" i="8"/>
  <c r="D23158" i="8"/>
  <c r="D23157" i="8"/>
  <c r="D23144" i="8"/>
  <c r="D23143" i="8"/>
  <c r="D23130" i="8"/>
  <c r="D23117" i="8"/>
  <c r="D23116" i="8"/>
  <c r="D23051" i="8"/>
  <c r="D23050" i="8"/>
  <c r="D23037" i="8"/>
  <c r="D23024" i="8"/>
  <c r="D23023" i="8"/>
  <c r="D23010" i="8"/>
  <c r="D22997" i="8"/>
  <c r="D22996" i="8"/>
  <c r="D22983" i="8"/>
  <c r="D22970" i="8"/>
  <c r="D22957" i="8"/>
  <c r="D22944" i="8"/>
  <c r="D22943" i="8"/>
  <c r="D22865" i="8"/>
  <c r="D22852" i="8"/>
  <c r="D22851" i="8"/>
  <c r="D22850" i="8"/>
  <c r="D22837" i="8"/>
  <c r="D22836" i="8"/>
  <c r="D22835" i="8"/>
  <c r="D22822" i="8"/>
  <c r="D22809" i="8"/>
  <c r="D22808" i="8"/>
  <c r="D22795" i="8"/>
  <c r="D22782" i="8"/>
  <c r="D22769" i="8"/>
  <c r="D22704" i="8"/>
  <c r="D22703" i="8"/>
  <c r="D22690" i="8"/>
  <c r="D22677" i="8"/>
  <c r="D22664" i="8"/>
  <c r="D22663" i="8"/>
  <c r="D22662" i="8"/>
  <c r="D22649" i="8"/>
  <c r="D22648" i="8"/>
  <c r="D22635" i="8"/>
  <c r="D22622" i="8"/>
  <c r="D22609" i="8"/>
  <c r="D22544" i="8"/>
  <c r="D22531" i="8"/>
  <c r="D22518" i="8"/>
  <c r="D22505" i="8"/>
  <c r="D22504" i="8"/>
  <c r="D22503" i="8"/>
  <c r="D22490" i="8"/>
  <c r="D22477" i="8"/>
  <c r="D22464" i="8"/>
  <c r="D22451" i="8"/>
  <c r="D22386" i="8"/>
  <c r="D22373" i="8"/>
  <c r="D22360" i="8"/>
  <c r="D22347" i="8"/>
  <c r="D22334" i="8"/>
  <c r="D22269" i="8"/>
  <c r="D22256" i="8"/>
  <c r="D22243" i="8"/>
  <c r="D22230" i="8"/>
  <c r="D22217" i="8"/>
  <c r="D22216" i="8"/>
  <c r="D22164" i="8"/>
  <c r="D22125" i="8"/>
  <c r="D22112" i="8"/>
  <c r="D22111" i="8"/>
  <c r="D22098" i="8"/>
  <c r="D22085" i="8"/>
  <c r="D22072" i="8"/>
  <c r="D22059" i="8"/>
  <c r="D21994" i="8"/>
  <c r="D21981" i="8"/>
  <c r="D21968" i="8"/>
  <c r="D21967" i="8"/>
  <c r="D21966" i="8"/>
  <c r="D21965" i="8"/>
  <c r="D21964" i="8"/>
  <c r="D21951" i="8"/>
  <c r="D21938" i="8"/>
  <c r="D21925" i="8"/>
  <c r="D21886" i="8"/>
  <c r="D21885" i="8"/>
  <c r="D21846" i="8"/>
  <c r="D21833" i="8"/>
  <c r="D21807" i="8"/>
  <c r="D21794" i="8"/>
  <c r="D21781" i="8"/>
  <c r="D21716" i="8"/>
  <c r="D21703" i="8"/>
  <c r="D21702" i="8"/>
  <c r="D21689" i="8"/>
  <c r="D21676" i="8"/>
  <c r="D21663" i="8"/>
  <c r="D21662" i="8"/>
  <c r="D21649" i="8"/>
  <c r="D21648" i="8"/>
  <c r="D21596" i="8"/>
  <c r="D21583" i="8"/>
  <c r="D21570" i="8"/>
  <c r="D21557" i="8"/>
  <c r="D21544" i="8"/>
  <c r="D21531" i="8"/>
  <c r="D21530" i="8"/>
  <c r="D21517" i="8"/>
  <c r="D21516" i="8"/>
  <c r="D21515" i="8"/>
  <c r="D21514" i="8"/>
  <c r="D21501" i="8"/>
  <c r="D21500" i="8"/>
  <c r="D21435" i="8"/>
  <c r="D21422" i="8"/>
  <c r="D21421" i="8"/>
  <c r="D21408" i="8"/>
  <c r="D21395" i="8"/>
  <c r="D21394" i="8"/>
  <c r="D21381" i="8"/>
  <c r="D21380" i="8"/>
  <c r="D21379" i="8"/>
  <c r="D21378" i="8"/>
  <c r="D21365" i="8"/>
  <c r="D21364" i="8"/>
  <c r="D21351" i="8"/>
  <c r="D21350" i="8"/>
  <c r="D21337" i="8"/>
  <c r="D21272" i="8"/>
  <c r="D21271" i="8"/>
  <c r="D21258" i="8"/>
  <c r="D21257" i="8"/>
  <c r="D21244" i="8"/>
  <c r="D21243" i="8"/>
  <c r="D21230" i="8"/>
  <c r="D21229" i="8"/>
  <c r="D21216" i="8"/>
  <c r="D21215" i="8"/>
  <c r="D21202" i="8"/>
  <c r="D21189" i="8"/>
  <c r="D21188" i="8"/>
  <c r="D21175" i="8"/>
  <c r="D21174" i="8"/>
  <c r="D21109" i="8"/>
  <c r="D21108" i="8"/>
  <c r="D21095" i="8"/>
  <c r="D21094" i="8"/>
  <c r="D21081" i="8"/>
  <c r="D21080" i="8"/>
  <c r="D21067" i="8"/>
  <c r="D21066" i="8"/>
  <c r="D21053" i="8"/>
  <c r="D21052" i="8"/>
  <c r="D21039" i="8"/>
  <c r="D21038" i="8"/>
  <c r="D21025" i="8"/>
  <c r="D21024" i="8"/>
  <c r="D21023" i="8"/>
  <c r="D21010" i="8"/>
  <c r="D21009" i="8"/>
  <c r="D20944" i="8"/>
  <c r="D20943" i="8"/>
  <c r="D20930" i="8"/>
  <c r="D20929" i="8"/>
  <c r="D20916" i="8"/>
  <c r="D20915" i="8"/>
  <c r="D20914" i="8"/>
  <c r="D20901" i="8"/>
  <c r="D20900" i="8"/>
  <c r="D20887" i="8"/>
  <c r="D20886" i="8"/>
  <c r="D20885" i="8"/>
  <c r="D20872" i="8"/>
  <c r="D20871" i="8"/>
  <c r="D20858" i="8"/>
  <c r="D20857" i="8"/>
  <c r="D20856" i="8"/>
  <c r="D20843" i="8"/>
  <c r="D20842" i="8"/>
  <c r="D20777" i="8"/>
  <c r="D20776" i="8"/>
  <c r="D20763" i="8"/>
  <c r="D20750" i="8"/>
  <c r="D20749" i="8"/>
  <c r="D20736" i="8"/>
  <c r="D20723" i="8"/>
  <c r="D20710" i="8"/>
  <c r="D20709" i="8"/>
  <c r="D20696" i="8"/>
  <c r="D20695" i="8"/>
  <c r="D20682" i="8"/>
  <c r="D20681" i="8"/>
  <c r="D20616" i="8"/>
  <c r="D20615" i="8"/>
  <c r="D20602" i="8"/>
  <c r="D20601" i="8"/>
  <c r="D20588" i="8"/>
  <c r="D20587" i="8"/>
  <c r="D20574" i="8"/>
  <c r="D20573" i="8"/>
  <c r="D20560" i="8"/>
  <c r="D20559" i="8"/>
  <c r="D20558" i="8"/>
  <c r="D20545" i="8"/>
  <c r="D20532" i="8"/>
  <c r="D20531" i="8"/>
  <c r="D20518" i="8"/>
  <c r="D20517" i="8"/>
  <c r="D20491" i="8"/>
  <c r="D20490" i="8"/>
  <c r="D20477" i="8"/>
  <c r="D20425" i="8"/>
  <c r="D20424" i="8"/>
  <c r="D20411" i="8"/>
  <c r="D20410" i="8"/>
  <c r="D20397" i="8"/>
  <c r="D20384" i="8"/>
  <c r="D20383" i="8"/>
  <c r="D20370" i="8"/>
  <c r="D20369" i="8"/>
  <c r="D20356" i="8"/>
  <c r="D20355" i="8"/>
  <c r="D20354" i="8"/>
  <c r="D20341" i="8"/>
  <c r="D20340" i="8"/>
  <c r="D20339" i="8"/>
  <c r="D20326" i="8"/>
  <c r="D20261" i="8"/>
  <c r="D20260" i="8"/>
  <c r="D20247" i="8"/>
  <c r="D20246" i="8"/>
  <c r="D20233" i="8"/>
  <c r="D20232" i="8"/>
  <c r="D20219" i="8"/>
  <c r="D20218" i="8"/>
  <c r="D20205" i="8"/>
  <c r="D20204" i="8"/>
  <c r="D20191" i="8"/>
  <c r="D20190" i="8"/>
  <c r="D20177" i="8"/>
  <c r="D20176" i="8"/>
  <c r="D20163" i="8"/>
  <c r="D20098" i="8"/>
  <c r="D20085" i="8"/>
  <c r="D20084" i="8"/>
  <c r="D20071" i="8"/>
  <c r="D20070" i="8"/>
  <c r="D20069" i="8"/>
  <c r="D20056" i="8"/>
  <c r="D20055" i="8"/>
  <c r="D20042" i="8"/>
  <c r="D20029" i="8"/>
  <c r="D20028" i="8"/>
  <c r="D20027" i="8"/>
  <c r="D20014" i="8"/>
  <c r="D20001" i="8"/>
  <c r="D19936" i="8"/>
  <c r="D19935" i="8"/>
  <c r="D19922" i="8"/>
  <c r="D19921" i="8"/>
  <c r="D19908" i="8"/>
  <c r="D19895" i="8"/>
  <c r="D19894" i="8"/>
  <c r="D19881" i="8"/>
  <c r="D19868" i="8"/>
  <c r="D19867" i="8"/>
  <c r="D19854" i="8"/>
  <c r="D19841" i="8"/>
  <c r="D19750" i="8"/>
  <c r="D19749" i="8"/>
  <c r="D19736" i="8"/>
  <c r="D19723" i="8"/>
  <c r="D19710" i="8"/>
  <c r="D19697" i="8"/>
  <c r="D19684" i="8"/>
  <c r="D19683" i="8"/>
  <c r="D19670" i="8"/>
  <c r="D19669" i="8"/>
  <c r="D19668" i="8"/>
  <c r="D19667" i="8"/>
  <c r="D19654" i="8"/>
  <c r="D19589" i="8"/>
  <c r="D19588" i="8"/>
  <c r="D19575" i="8"/>
  <c r="D19574" i="8"/>
  <c r="D19573" i="8"/>
  <c r="D19560" i="8"/>
  <c r="D19547" i="8"/>
  <c r="D19534" i="8"/>
  <c r="D19521" i="8"/>
  <c r="D19508" i="8"/>
  <c r="D19495" i="8"/>
  <c r="D19430" i="8"/>
  <c r="D19429" i="8"/>
  <c r="D19416" i="8"/>
  <c r="D19415" i="8"/>
  <c r="D19414" i="8"/>
  <c r="D19401" i="8"/>
  <c r="D19388" i="8"/>
  <c r="D19375" i="8"/>
  <c r="D19362" i="8"/>
  <c r="D19361" i="8"/>
  <c r="D19348" i="8"/>
  <c r="D19335" i="8"/>
  <c r="D19270" i="8"/>
  <c r="D19257" i="8"/>
  <c r="D19256" i="8"/>
  <c r="D19243" i="8"/>
  <c r="D19230" i="8"/>
  <c r="D19217" i="8"/>
  <c r="D19204" i="8"/>
  <c r="D19203" i="8"/>
  <c r="D19190" i="8"/>
  <c r="D19177" i="8"/>
  <c r="D19164" i="8"/>
  <c r="D19163" i="8"/>
  <c r="D19098" i="8"/>
  <c r="D19085" i="8"/>
  <c r="D19084" i="8"/>
  <c r="D19083" i="8"/>
  <c r="D19070" i="8"/>
  <c r="D19057" i="8"/>
  <c r="D19044" i="8"/>
  <c r="D19031" i="8"/>
  <c r="D19030" i="8"/>
  <c r="D19017" i="8"/>
  <c r="D19004" i="8"/>
  <c r="D18939" i="8"/>
  <c r="D18926" i="8"/>
  <c r="D18913" i="8"/>
  <c r="D18900" i="8"/>
  <c r="D18887" i="8"/>
  <c r="D18874" i="8"/>
  <c r="D18873" i="8"/>
  <c r="D18860" i="8"/>
  <c r="D18847" i="8"/>
  <c r="D18821" i="8"/>
  <c r="D18769" i="8"/>
  <c r="D18768" i="8"/>
  <c r="D18755" i="8"/>
  <c r="D18742" i="8"/>
  <c r="D18729" i="8"/>
  <c r="D18716" i="8"/>
  <c r="D18703" i="8"/>
  <c r="D18690" i="8"/>
  <c r="D18677" i="8"/>
  <c r="D18676" i="8"/>
  <c r="D18624" i="8"/>
  <c r="D18611" i="8"/>
  <c r="D18610" i="8"/>
  <c r="D18597" i="8"/>
  <c r="D18584" i="8"/>
  <c r="D18571" i="8"/>
  <c r="D18558" i="8"/>
  <c r="D18545" i="8"/>
  <c r="D18532" i="8"/>
  <c r="D18467" i="8"/>
  <c r="D18466" i="8"/>
  <c r="D18453" i="8"/>
  <c r="D18440" i="8"/>
  <c r="D18427" i="8"/>
  <c r="D18414" i="8"/>
  <c r="D18401" i="8"/>
  <c r="D18400" i="8"/>
  <c r="D18387" i="8"/>
  <c r="D18374" i="8"/>
  <c r="D18373" i="8"/>
  <c r="D18308" i="8"/>
  <c r="D18307" i="8"/>
  <c r="D18294" i="8"/>
  <c r="D18293" i="8"/>
  <c r="D18280" i="8"/>
  <c r="D18267" i="8"/>
  <c r="D18254" i="8"/>
  <c r="D18241" i="8"/>
  <c r="D18228" i="8"/>
  <c r="D18215" i="8"/>
  <c r="D18214" i="8"/>
  <c r="D18136" i="8"/>
  <c r="D18123" i="8"/>
  <c r="D18122" i="8"/>
  <c r="D18109" i="8"/>
  <c r="D18096" i="8"/>
  <c r="D18083" i="8"/>
  <c r="D18082" i="8"/>
  <c r="D18069" i="8"/>
  <c r="D18056" i="8"/>
  <c r="D18043" i="8"/>
  <c r="D18042" i="8"/>
  <c r="D18003" i="8"/>
  <c r="D18002" i="8"/>
  <c r="D17976" i="8"/>
  <c r="D17963" i="8"/>
  <c r="D17950" i="8"/>
  <c r="D17949" i="8"/>
  <c r="D17936" i="8"/>
  <c r="D17923" i="8"/>
  <c r="D17910" i="8"/>
  <c r="D17858" i="8"/>
  <c r="D17857" i="8"/>
  <c r="D17831" i="8"/>
  <c r="D17830" i="8"/>
  <c r="D17817" i="8"/>
  <c r="D17816" i="8"/>
  <c r="D17803" i="8"/>
  <c r="D17790" i="8"/>
  <c r="D17777" i="8"/>
  <c r="D17776" i="8"/>
  <c r="D17763" i="8"/>
  <c r="D17762" i="8"/>
  <c r="D17749" i="8"/>
  <c r="D17736" i="8"/>
  <c r="D17735" i="8"/>
  <c r="D17670" i="8"/>
  <c r="D17669" i="8"/>
  <c r="D17668" i="8"/>
  <c r="D17655" i="8"/>
  <c r="D17654" i="8"/>
  <c r="D17641" i="8"/>
  <c r="D17628" i="8"/>
  <c r="D17615" i="8"/>
  <c r="D17614" i="8"/>
  <c r="D17601" i="8"/>
  <c r="D17600" i="8"/>
  <c r="D17587" i="8"/>
  <c r="D17574" i="8"/>
  <c r="D17573" i="8"/>
  <c r="D17508" i="8"/>
  <c r="D17507" i="8"/>
  <c r="D17506" i="8"/>
  <c r="D17493" i="8"/>
  <c r="D17492" i="8"/>
  <c r="D17479" i="8"/>
  <c r="D17466" i="8"/>
  <c r="D17453" i="8"/>
  <c r="D17452" i="8"/>
  <c r="D17439" i="8"/>
  <c r="D17438" i="8"/>
  <c r="D17425" i="8"/>
  <c r="D17412" i="8"/>
  <c r="D17347" i="8"/>
  <c r="D17346" i="8"/>
  <c r="D17333" i="8"/>
  <c r="D17332" i="8"/>
  <c r="D17319" i="8"/>
  <c r="D17306" i="8"/>
  <c r="D17293" i="8"/>
  <c r="D17292" i="8"/>
  <c r="D17279" i="8"/>
  <c r="D17266" i="8"/>
  <c r="D17253" i="8"/>
  <c r="D17240" i="8"/>
  <c r="D17175" i="8"/>
  <c r="D17174" i="8"/>
  <c r="D17161" i="8"/>
  <c r="D17148" i="8"/>
  <c r="D17135" i="8"/>
  <c r="D17122" i="8"/>
  <c r="D17109" i="8"/>
  <c r="D17108" i="8"/>
  <c r="D17095" i="8"/>
  <c r="D17082" i="8"/>
  <c r="D17081" i="8"/>
  <c r="D17080" i="8"/>
  <c r="D17015" i="8"/>
  <c r="D17014" i="8"/>
  <c r="D17001" i="8"/>
  <c r="D17000" i="8"/>
  <c r="D16987" i="8"/>
  <c r="D16974" i="8"/>
  <c r="D16961" i="8"/>
  <c r="D16948" i="8"/>
  <c r="D16947" i="8"/>
  <c r="D16934" i="8"/>
  <c r="D16921" i="8"/>
  <c r="D16920" i="8"/>
  <c r="D16855" i="8"/>
  <c r="D16854" i="8"/>
  <c r="D16853" i="8"/>
  <c r="D16840" i="8"/>
  <c r="D16839" i="8"/>
  <c r="D16826" i="8"/>
  <c r="D16813" i="8"/>
  <c r="D16800" i="8"/>
  <c r="D16787" i="8"/>
  <c r="D16786" i="8"/>
  <c r="D16773" i="8"/>
  <c r="D16760" i="8"/>
  <c r="D16759" i="8"/>
  <c r="D16694" i="8"/>
  <c r="D16693" i="8"/>
  <c r="D16680" i="8"/>
  <c r="D16679" i="8"/>
  <c r="D16666" i="8"/>
  <c r="D16653" i="8"/>
  <c r="D16640" i="8"/>
  <c r="D16627" i="8"/>
  <c r="D16626" i="8"/>
  <c r="D16613" i="8"/>
  <c r="D16600" i="8"/>
  <c r="D16599" i="8"/>
  <c r="D16547" i="8"/>
  <c r="D16546" i="8"/>
  <c r="D16520" i="8"/>
  <c r="D16519" i="8"/>
  <c r="D16506" i="8"/>
  <c r="D16505" i="8"/>
  <c r="D16492" i="8"/>
  <c r="D16479" i="8"/>
  <c r="D16466" i="8"/>
  <c r="D16453" i="8"/>
  <c r="D16452" i="8"/>
  <c r="D16439" i="8"/>
  <c r="D16426" i="8"/>
  <c r="D16425" i="8"/>
  <c r="D16360" i="8"/>
  <c r="D16359" i="8"/>
  <c r="D16346" i="8"/>
  <c r="D16345" i="8"/>
  <c r="D16332" i="8"/>
  <c r="D16331" i="8"/>
  <c r="D16330" i="8"/>
  <c r="D16317" i="8"/>
  <c r="D16304" i="8"/>
  <c r="D16303" i="8"/>
  <c r="D16290" i="8"/>
  <c r="D16289" i="8"/>
  <c r="D16276" i="8"/>
  <c r="D16275" i="8"/>
  <c r="D16262" i="8"/>
  <c r="D16261" i="8"/>
  <c r="D16196" i="8"/>
  <c r="D16195" i="8"/>
  <c r="D16182" i="8"/>
  <c r="D16181" i="8"/>
  <c r="D16168" i="8"/>
  <c r="D16167" i="8"/>
  <c r="D16154" i="8"/>
  <c r="D16141" i="8"/>
  <c r="D16140" i="8"/>
  <c r="D16127" i="8"/>
  <c r="D16126" i="8"/>
  <c r="D16113" i="8"/>
  <c r="D16112" i="8"/>
  <c r="D16099" i="8"/>
  <c r="D16098" i="8"/>
  <c r="D16033" i="8"/>
  <c r="D16032" i="8"/>
  <c r="D16019" i="8"/>
  <c r="D16018" i="8"/>
  <c r="D16005" i="8"/>
  <c r="D16004" i="8"/>
  <c r="D15991" i="8"/>
  <c r="D15990" i="8"/>
  <c r="D15977" i="8"/>
  <c r="D15976" i="8"/>
  <c r="D15963" i="8"/>
  <c r="D15962" i="8"/>
  <c r="D15949" i="8"/>
  <c r="D15948" i="8"/>
  <c r="D15935" i="8"/>
  <c r="D15870" i="8"/>
  <c r="D15869" i="8"/>
  <c r="D15856" i="8"/>
  <c r="D15855" i="8"/>
  <c r="D15842" i="8"/>
  <c r="D15841" i="8"/>
  <c r="D15828" i="8"/>
  <c r="D15827" i="8"/>
  <c r="D15814" i="8"/>
  <c r="D15813" i="8"/>
  <c r="D15812" i="8"/>
  <c r="D15799" i="8"/>
  <c r="D15798" i="8"/>
  <c r="D15785" i="8"/>
  <c r="D15784" i="8"/>
  <c r="D15771" i="8"/>
  <c r="D15719" i="8"/>
  <c r="D15718" i="8"/>
  <c r="D15705" i="8"/>
  <c r="D15704" i="8"/>
  <c r="D15691" i="8"/>
  <c r="D15690" i="8"/>
  <c r="D15677" i="8"/>
  <c r="D15676" i="8"/>
  <c r="D15663" i="8"/>
  <c r="D15662" i="8"/>
  <c r="D15649" i="8"/>
  <c r="D15648" i="8"/>
  <c r="D15635" i="8"/>
  <c r="D15634" i="8"/>
  <c r="D15621" i="8"/>
  <c r="D15582" i="8"/>
  <c r="D15543" i="8"/>
  <c r="D15542" i="8"/>
  <c r="D15529" i="8"/>
  <c r="D15528" i="8"/>
  <c r="D15515" i="8"/>
  <c r="D15514" i="8"/>
  <c r="D15501" i="8"/>
  <c r="D15500" i="8"/>
  <c r="D15487" i="8"/>
  <c r="D15486" i="8"/>
  <c r="D15473" i="8"/>
  <c r="D15472" i="8"/>
  <c r="D15459" i="8"/>
  <c r="D15458" i="8"/>
  <c r="D15445" i="8"/>
  <c r="D15444" i="8"/>
  <c r="D15379" i="8"/>
  <c r="D15378" i="8"/>
  <c r="D15365" i="8"/>
  <c r="D15364" i="8"/>
  <c r="D15351" i="8"/>
  <c r="D15338" i="8"/>
  <c r="D15337" i="8"/>
  <c r="D15324" i="8"/>
  <c r="D15323" i="8"/>
  <c r="D15310" i="8"/>
  <c r="D15309" i="8"/>
  <c r="D15296" i="8"/>
  <c r="D15295" i="8"/>
  <c r="D15282" i="8"/>
  <c r="D15217" i="8"/>
  <c r="D15216" i="8"/>
  <c r="D15203" i="8"/>
  <c r="D15202" i="8"/>
  <c r="D15189" i="8"/>
  <c r="D15188" i="8"/>
  <c r="D15175" i="8"/>
  <c r="D15174" i="8"/>
  <c r="D15161" i="8"/>
  <c r="D15160" i="8"/>
  <c r="D15147" i="8"/>
  <c r="D15146" i="8"/>
  <c r="D15133" i="8"/>
  <c r="D15132" i="8"/>
  <c r="D15119" i="8"/>
  <c r="D15118" i="8"/>
  <c r="D15105" i="8"/>
  <c r="D15027" i="8"/>
  <c r="D15014" i="8"/>
  <c r="D15013" i="8"/>
  <c r="D15000" i="8"/>
  <c r="D14987" i="8"/>
  <c r="D14986" i="8"/>
  <c r="D14973" i="8"/>
  <c r="D14960" i="8"/>
  <c r="D14959" i="8"/>
  <c r="D14946" i="8"/>
  <c r="D14945" i="8"/>
  <c r="D14932" i="8"/>
  <c r="D14931" i="8"/>
  <c r="D14840" i="8"/>
  <c r="D14827" i="8"/>
  <c r="D14826" i="8"/>
  <c r="D14813" i="8"/>
  <c r="D14812" i="8"/>
  <c r="D14799" i="8"/>
  <c r="D14798" i="8"/>
  <c r="D14785" i="8"/>
  <c r="D14784" i="8"/>
  <c r="D14771" i="8"/>
  <c r="D14770" i="8"/>
  <c r="D14757" i="8"/>
  <c r="D14756" i="8"/>
  <c r="D14743" i="8"/>
  <c r="D14742" i="8"/>
  <c r="D14677" i="8"/>
  <c r="D14664" i="8"/>
  <c r="D14663" i="8"/>
  <c r="D14650" i="8"/>
  <c r="D14649" i="8"/>
  <c r="D14636" i="8"/>
  <c r="D14635" i="8"/>
  <c r="D14634" i="8"/>
  <c r="D14621" i="8"/>
  <c r="D14620" i="8"/>
  <c r="D14607" i="8"/>
  <c r="D14606" i="8"/>
  <c r="D14593" i="8"/>
  <c r="D14580" i="8"/>
  <c r="D14579" i="8"/>
  <c r="D14514" i="8"/>
  <c r="D14501" i="8"/>
  <c r="D14500" i="8"/>
  <c r="D14487" i="8"/>
  <c r="D14486" i="8"/>
  <c r="D14473" i="8"/>
  <c r="D14472" i="8"/>
  <c r="D14471" i="8"/>
  <c r="D14458" i="8"/>
  <c r="D14457" i="8"/>
  <c r="D14456" i="8"/>
  <c r="D14443" i="8"/>
  <c r="D14442" i="8"/>
  <c r="D14441" i="8"/>
  <c r="D14428" i="8"/>
  <c r="D14427" i="8"/>
  <c r="D14426" i="8"/>
  <c r="D14425" i="8"/>
  <c r="D14412" i="8"/>
  <c r="D14347" i="8"/>
  <c r="D14334" i="8"/>
  <c r="D14321" i="8"/>
  <c r="D14320" i="8"/>
  <c r="D14307" i="8"/>
  <c r="D14306" i="8"/>
  <c r="D14305" i="8"/>
  <c r="D14292" i="8"/>
  <c r="D14279" i="8"/>
  <c r="D14266" i="8"/>
  <c r="D14253" i="8"/>
  <c r="D14252" i="8"/>
  <c r="D14187" i="8"/>
  <c r="D14174" i="8"/>
  <c r="D14161" i="8"/>
  <c r="D14148" i="8"/>
  <c r="D14147" i="8"/>
  <c r="D14134" i="8"/>
  <c r="D14121" i="8"/>
  <c r="D14120" i="8"/>
  <c r="D14107" i="8"/>
  <c r="D14094" i="8"/>
  <c r="D14093" i="8"/>
  <c r="D14028" i="8"/>
  <c r="D14015" i="8"/>
  <c r="D14014" i="8"/>
  <c r="D14001" i="8"/>
  <c r="D13988" i="8"/>
  <c r="D13975" i="8"/>
  <c r="D13962" i="8"/>
  <c r="D13949" i="8"/>
  <c r="D13936" i="8"/>
  <c r="D13897" i="8"/>
  <c r="D13884" i="8"/>
  <c r="D13883" i="8"/>
  <c r="D13831" i="8"/>
  <c r="D13818" i="8"/>
  <c r="D13805" i="8"/>
  <c r="D13804" i="8"/>
  <c r="D13791" i="8"/>
  <c r="D13778" i="8"/>
  <c r="D13765" i="8"/>
  <c r="D13764" i="8"/>
  <c r="D13751" i="8"/>
  <c r="D13686" i="8"/>
  <c r="D13673" i="8"/>
  <c r="D13660" i="8"/>
  <c r="D13647" i="8"/>
  <c r="D13646" i="8"/>
  <c r="D13633" i="8"/>
  <c r="D13620" i="8"/>
  <c r="D13607" i="8"/>
  <c r="D13594" i="8"/>
  <c r="D13593" i="8"/>
  <c r="D13528" i="8"/>
  <c r="D13515" i="8"/>
  <c r="D13502" i="8"/>
  <c r="D13489" i="8"/>
  <c r="D13476" i="8"/>
  <c r="D13463" i="8"/>
  <c r="D13450" i="8"/>
  <c r="D13449" i="8"/>
  <c r="D13436" i="8"/>
  <c r="D13435" i="8"/>
  <c r="D13370" i="8"/>
  <c r="D13357" i="8"/>
  <c r="D13344" i="8"/>
  <c r="D13331" i="8"/>
  <c r="D13318" i="8"/>
  <c r="D13305" i="8"/>
  <c r="D13292" i="8"/>
  <c r="D13279" i="8"/>
  <c r="D13201" i="8"/>
  <c r="D13188" i="8"/>
  <c r="D13175" i="8"/>
  <c r="D13162" i="8"/>
  <c r="D13149" i="8"/>
  <c r="D13136" i="8"/>
  <c r="D13123" i="8"/>
  <c r="D13110" i="8"/>
  <c r="D13109" i="8"/>
  <c r="D13044" i="8"/>
  <c r="D13018" i="8"/>
  <c r="D13005" i="8"/>
  <c r="D12992" i="8"/>
  <c r="D12979" i="8"/>
  <c r="D12966" i="8"/>
  <c r="D12953" i="8"/>
  <c r="D12888" i="8"/>
  <c r="D12875" i="8"/>
  <c r="D12874" i="8"/>
  <c r="D12861" i="8"/>
  <c r="D12848" i="8"/>
  <c r="D12835" i="8"/>
  <c r="D12822" i="8"/>
  <c r="D12809" i="8"/>
  <c r="D12808" i="8"/>
  <c r="D12795" i="8"/>
  <c r="D12730" i="8"/>
  <c r="D12717" i="8"/>
  <c r="D12704" i="8"/>
  <c r="D12691" i="8"/>
  <c r="D12678" i="8"/>
  <c r="D12677" i="8"/>
  <c r="D12664" i="8"/>
  <c r="D12651" i="8"/>
  <c r="D12638" i="8"/>
  <c r="D12637" i="8"/>
  <c r="D12611" i="8"/>
  <c r="D12610" i="8"/>
  <c r="D12558" i="8"/>
  <c r="D12545" i="8"/>
  <c r="D12532" i="8"/>
  <c r="D12519" i="8"/>
  <c r="D12506" i="8"/>
  <c r="D12493" i="8"/>
  <c r="D12467" i="8"/>
  <c r="D12402" i="8"/>
  <c r="D12389" i="8"/>
  <c r="D12376" i="8"/>
  <c r="D12363" i="8"/>
  <c r="D12350" i="8"/>
  <c r="D12337" i="8"/>
  <c r="D12336" i="8"/>
  <c r="D12323" i="8"/>
  <c r="D12310" i="8"/>
  <c r="D12284" i="8"/>
  <c r="D12232" i="8"/>
  <c r="D12219" i="8"/>
  <c r="D12218" i="8"/>
  <c r="D12205" i="8"/>
  <c r="D12179" i="8"/>
  <c r="D12166" i="8"/>
  <c r="D12165" i="8"/>
  <c r="D12152" i="8"/>
  <c r="D12139" i="8"/>
  <c r="D12087" i="8"/>
  <c r="D12074" i="8"/>
  <c r="D12073" i="8"/>
  <c r="D12060" i="8"/>
  <c r="D12047" i="8"/>
  <c r="D12046" i="8"/>
  <c r="D12033" i="8"/>
  <c r="D12020" i="8"/>
  <c r="D12007" i="8"/>
  <c r="D11994" i="8"/>
  <c r="D11993" i="8"/>
  <c r="D11928" i="8"/>
  <c r="D11915" i="8"/>
  <c r="D11902" i="8"/>
  <c r="D11889" i="8"/>
  <c r="D11876" i="8"/>
  <c r="D11863" i="8"/>
  <c r="D11862" i="8"/>
  <c r="D11849" i="8"/>
  <c r="D11836" i="8"/>
  <c r="D11771" i="8"/>
  <c r="D11758" i="8"/>
  <c r="D11745" i="8"/>
  <c r="D11744" i="8"/>
  <c r="D11731" i="8"/>
  <c r="D11730" i="8"/>
  <c r="D11717" i="8"/>
  <c r="D11704" i="8"/>
  <c r="D11703" i="8"/>
  <c r="D11690" i="8"/>
  <c r="D11677" i="8"/>
  <c r="D11676" i="8"/>
  <c r="D11611" i="8"/>
  <c r="D11598" i="8"/>
  <c r="D11597" i="8"/>
  <c r="D11584" i="8"/>
  <c r="D11583" i="8"/>
  <c r="D11570" i="8"/>
  <c r="D11569" i="8"/>
  <c r="D11556" i="8"/>
  <c r="D11555" i="8"/>
  <c r="D11542" i="8"/>
  <c r="D11541" i="8"/>
  <c r="D11528" i="8"/>
  <c r="D11527" i="8"/>
  <c r="D11514" i="8"/>
  <c r="D11513" i="8"/>
  <c r="D11448" i="8"/>
  <c r="D11435" i="8"/>
  <c r="D11434" i="8"/>
  <c r="D11421" i="8"/>
  <c r="D11408" i="8"/>
  <c r="D11382" i="8"/>
  <c r="D11381" i="8"/>
  <c r="D11368" i="8"/>
  <c r="D11367" i="8"/>
  <c r="D11354" i="8"/>
  <c r="D11353" i="8"/>
  <c r="D11314" i="8"/>
  <c r="D11313" i="8"/>
  <c r="D11274" i="8"/>
  <c r="D11261" i="8"/>
  <c r="D11248" i="8"/>
  <c r="D11247" i="8"/>
  <c r="D11234" i="8"/>
  <c r="D11233" i="8"/>
  <c r="D11220" i="8"/>
  <c r="D11207" i="8"/>
  <c r="D11206" i="8"/>
  <c r="D11193" i="8"/>
  <c r="D11180" i="8"/>
  <c r="D11179" i="8"/>
  <c r="D11114" i="8"/>
  <c r="D11101" i="8"/>
  <c r="D11088" i="8"/>
  <c r="D11087" i="8"/>
  <c r="D11074" i="8"/>
  <c r="D11048" i="8"/>
  <c r="D11047" i="8"/>
  <c r="D11034" i="8"/>
  <c r="D11021" i="8"/>
  <c r="D10956" i="8"/>
  <c r="D10955" i="8"/>
  <c r="D10942" i="8"/>
  <c r="D10929" i="8"/>
  <c r="D10916" i="8"/>
  <c r="D10915" i="8"/>
  <c r="D10902" i="8"/>
  <c r="D10889" i="8"/>
  <c r="D10876" i="8"/>
  <c r="D10863" i="8"/>
  <c r="D10862" i="8"/>
  <c r="D10797" i="8"/>
  <c r="D10771" i="8"/>
  <c r="D10770" i="8"/>
  <c r="D10757" i="8"/>
  <c r="D10744" i="8"/>
  <c r="D10731" i="8"/>
  <c r="D10718" i="8"/>
  <c r="D10705" i="8"/>
  <c r="D10704" i="8"/>
  <c r="D10652" i="8"/>
  <c r="D10639" i="8"/>
  <c r="D10626" i="8"/>
  <c r="D10613" i="8"/>
  <c r="D10612" i="8"/>
  <c r="D10599" i="8"/>
  <c r="D10573" i="8"/>
  <c r="D10560" i="8"/>
  <c r="D10547" i="8"/>
  <c r="D10469" i="8"/>
  <c r="D10456" i="8"/>
  <c r="D10443" i="8"/>
  <c r="D10430" i="8"/>
  <c r="D10417" i="8"/>
  <c r="D10404" i="8"/>
  <c r="D10403" i="8"/>
  <c r="D10390" i="8"/>
  <c r="D10377" i="8"/>
  <c r="D10299" i="8"/>
  <c r="D10286" i="8"/>
  <c r="D10273" i="8"/>
  <c r="D10260" i="8"/>
  <c r="D10247" i="8"/>
  <c r="D10234" i="8"/>
  <c r="D10221" i="8"/>
  <c r="D10208" i="8"/>
  <c r="D10130" i="8"/>
  <c r="D10117" i="8"/>
  <c r="D10104" i="8"/>
  <c r="D10091" i="8"/>
  <c r="D10078" i="8"/>
  <c r="D10065" i="8"/>
  <c r="D10052" i="8"/>
  <c r="D10039" i="8"/>
  <c r="D9974" i="8"/>
  <c r="D9973" i="8"/>
  <c r="D9934" i="8"/>
  <c r="D9921" i="8"/>
  <c r="D9908" i="8"/>
  <c r="D9895" i="8"/>
  <c r="D9882" i="8"/>
  <c r="D9869" i="8"/>
  <c r="D9868" i="8"/>
  <c r="D9855" i="8"/>
  <c r="D9842" i="8"/>
  <c r="D9751" i="8"/>
  <c r="D9738" i="8"/>
  <c r="D9725" i="8"/>
  <c r="D9712" i="8"/>
  <c r="D9699" i="8"/>
  <c r="D9698" i="8"/>
  <c r="D9685" i="8"/>
  <c r="D9672" i="8"/>
  <c r="D9594" i="8"/>
  <c r="D9581" i="8"/>
  <c r="D9568" i="8"/>
  <c r="D9555" i="8"/>
  <c r="D9542" i="8"/>
  <c r="D9529" i="8"/>
  <c r="D9516" i="8"/>
  <c r="D9515" i="8"/>
  <c r="D9502" i="8"/>
  <c r="D9411" i="8"/>
  <c r="D9398" i="8"/>
  <c r="D9397" i="8"/>
  <c r="D9384" i="8"/>
  <c r="D9371" i="8"/>
  <c r="D9358" i="8"/>
  <c r="D9357" i="8"/>
  <c r="D9344" i="8"/>
  <c r="D9331" i="8"/>
  <c r="D9318" i="8"/>
  <c r="D9227" i="8"/>
  <c r="D9214" i="8"/>
  <c r="D9213" i="8"/>
  <c r="D9200" i="8"/>
  <c r="D9187" i="8"/>
  <c r="D9174" i="8"/>
  <c r="D9161" i="8"/>
  <c r="D9148" i="8"/>
  <c r="D9135" i="8"/>
  <c r="D9031" i="8"/>
  <c r="D9018" i="8"/>
  <c r="D9017" i="8"/>
  <c r="D9004" i="8"/>
  <c r="D9003" i="8"/>
  <c r="D8990" i="8"/>
  <c r="D8977" i="8"/>
  <c r="D8964" i="8"/>
  <c r="D8963" i="8"/>
  <c r="D8950" i="8"/>
  <c r="D8937" i="8"/>
  <c r="D8936" i="8"/>
  <c r="D8897" i="8"/>
  <c r="D8832" i="8"/>
  <c r="D8819" i="8"/>
  <c r="D8793" i="8"/>
  <c r="D8792" i="8"/>
  <c r="D8779" i="8"/>
  <c r="D8778" i="8"/>
  <c r="D8765" i="8"/>
  <c r="D8764" i="8"/>
  <c r="D8751" i="8"/>
  <c r="D8750" i="8"/>
  <c r="D8737" i="8"/>
  <c r="D8646" i="8"/>
  <c r="D8633" i="8"/>
  <c r="D8620" i="8"/>
  <c r="D8619" i="8"/>
  <c r="D8606" i="8"/>
  <c r="D8605" i="8"/>
  <c r="D8592" i="8"/>
  <c r="D8591" i="8"/>
  <c r="D8578" i="8"/>
  <c r="D8565" i="8"/>
  <c r="D8552" i="8"/>
  <c r="D8539" i="8"/>
  <c r="D8500" i="8"/>
  <c r="D8499" i="8"/>
  <c r="D8486" i="8"/>
  <c r="D8421" i="8"/>
  <c r="D8408" i="8"/>
  <c r="D8395" i="8"/>
  <c r="D8382" i="8"/>
  <c r="D8381" i="8"/>
  <c r="D8368" i="8"/>
  <c r="D8355" i="8"/>
  <c r="D8342" i="8"/>
  <c r="D8329" i="8"/>
  <c r="D8316" i="8"/>
  <c r="D8277" i="8"/>
  <c r="D8264" i="8"/>
  <c r="D8251" i="8"/>
  <c r="D8238" i="8"/>
  <c r="D8225" i="8"/>
  <c r="D8199" i="8"/>
  <c r="D8186" i="8"/>
  <c r="D8185" i="8"/>
  <c r="D8094" i="8"/>
  <c r="D8081" i="8"/>
  <c r="D8068" i="8"/>
  <c r="D8055" i="8"/>
  <c r="D8042" i="8"/>
  <c r="D8041" i="8"/>
  <c r="D8028" i="8"/>
  <c r="D8015" i="8"/>
  <c r="D8014" i="8"/>
  <c r="D8001" i="8"/>
  <c r="D8000" i="8"/>
  <c r="D7987" i="8"/>
  <c r="D7986" i="8"/>
  <c r="D7973" i="8"/>
  <c r="D7869" i="8"/>
  <c r="D7868" i="8"/>
  <c r="D7855" i="8"/>
  <c r="D7854" i="8"/>
  <c r="D7841" i="8"/>
  <c r="D7828" i="8"/>
  <c r="D7827" i="8"/>
  <c r="D7814" i="8"/>
  <c r="D7813" i="8"/>
  <c r="D7800" i="8"/>
  <c r="D7787" i="8"/>
  <c r="D7786" i="8"/>
  <c r="D7773" i="8"/>
  <c r="D7669" i="8"/>
  <c r="D7668" i="8"/>
  <c r="D7655" i="8"/>
  <c r="D7654" i="8"/>
  <c r="D7641" i="8"/>
  <c r="D7628" i="8"/>
  <c r="D7615" i="8"/>
  <c r="D7602" i="8"/>
  <c r="D7589" i="8"/>
  <c r="D7576" i="8"/>
  <c r="D7485" i="8"/>
  <c r="D7472" i="8"/>
  <c r="D7459" i="8"/>
  <c r="D7446" i="8"/>
  <c r="D7445" i="8"/>
  <c r="D7432" i="8"/>
  <c r="D7419" i="8"/>
  <c r="D7406" i="8"/>
  <c r="D7405" i="8"/>
  <c r="D7392" i="8"/>
  <c r="D7301" i="8"/>
  <c r="D7288" i="8"/>
  <c r="D7275" i="8"/>
  <c r="D7262" i="8"/>
  <c r="D7249" i="8"/>
  <c r="D7236" i="8"/>
  <c r="D7223" i="8"/>
  <c r="D7210" i="8"/>
  <c r="D7106" i="8"/>
  <c r="D7080" i="8"/>
  <c r="D7067" i="8"/>
  <c r="D7066" i="8"/>
  <c r="D7053" i="8"/>
  <c r="D7040" i="8"/>
  <c r="D7039" i="8"/>
  <c r="D7026" i="8"/>
  <c r="D7025" i="8"/>
  <c r="D7012" i="8"/>
  <c r="D6921" i="8"/>
  <c r="D6908" i="8"/>
  <c r="D6907" i="8"/>
  <c r="D6894" i="8"/>
  <c r="D6893" i="8"/>
  <c r="D6880" i="8"/>
  <c r="D6867" i="8"/>
  <c r="D6854" i="8"/>
  <c r="D6853" i="8"/>
  <c r="D6840" i="8"/>
  <c r="D6827" i="8"/>
  <c r="D6814" i="8"/>
  <c r="D6801" i="8"/>
  <c r="D6800" i="8"/>
  <c r="D6709" i="8"/>
  <c r="D6696" i="8"/>
  <c r="D6695" i="8"/>
  <c r="D6682" i="8"/>
  <c r="D6681" i="8"/>
  <c r="D6668" i="8"/>
  <c r="D6655" i="8"/>
  <c r="D6654" i="8"/>
  <c r="D6653" i="8"/>
  <c r="D6640" i="8"/>
  <c r="D6639" i="8"/>
  <c r="D6626" i="8"/>
  <c r="D6625" i="8"/>
  <c r="D6612" i="8"/>
  <c r="D6611" i="8"/>
  <c r="D6520" i="8"/>
  <c r="D6507" i="8"/>
  <c r="D6494" i="8"/>
  <c r="D6493" i="8"/>
  <c r="D6480" i="8"/>
  <c r="D6467" i="8"/>
  <c r="D6466" i="8"/>
  <c r="D6465" i="8"/>
  <c r="D6452" i="8"/>
  <c r="D6451" i="8"/>
  <c r="D6450" i="8"/>
  <c r="D6437" i="8"/>
  <c r="D6436" i="8"/>
  <c r="D6423" i="8"/>
  <c r="D6422" i="8"/>
  <c r="D6331" i="8"/>
  <c r="D6318" i="8"/>
  <c r="D6305" i="8"/>
  <c r="D6292" i="8"/>
  <c r="D6291" i="8"/>
  <c r="D6278" i="8"/>
  <c r="D6277" i="8"/>
  <c r="D6264" i="8"/>
  <c r="D6251" i="8"/>
  <c r="D6250" i="8"/>
  <c r="D6249" i="8"/>
  <c r="D6236" i="8"/>
  <c r="D6235" i="8"/>
  <c r="D6118" i="8"/>
  <c r="D6105" i="8"/>
  <c r="D6104" i="8"/>
  <c r="D6091" i="8"/>
  <c r="D6078" i="8"/>
  <c r="D6065" i="8"/>
  <c r="D6064" i="8"/>
  <c r="D6063" i="8"/>
  <c r="D6050" i="8"/>
  <c r="D6049" i="8"/>
  <c r="D6048" i="8"/>
  <c r="D6035" i="8"/>
  <c r="D6034" i="8"/>
  <c r="D6021" i="8"/>
  <c r="D6020" i="8"/>
  <c r="D5929" i="8"/>
  <c r="D5916" i="8"/>
  <c r="D5903" i="8"/>
  <c r="D5890" i="8"/>
  <c r="D5877" i="8"/>
  <c r="D5876" i="8"/>
  <c r="D5863" i="8"/>
  <c r="D5862" i="8"/>
  <c r="D5849" i="8"/>
  <c r="D5848" i="8"/>
  <c r="D5835" i="8"/>
  <c r="D5744" i="8"/>
  <c r="D5731" i="8"/>
  <c r="D5730" i="8"/>
  <c r="D5717" i="8"/>
  <c r="D5704" i="8"/>
  <c r="D5703" i="8"/>
  <c r="D5690" i="8"/>
  <c r="D5677" i="8"/>
  <c r="D5664" i="8"/>
  <c r="D5651" i="8"/>
  <c r="D5650" i="8"/>
  <c r="D5546" i="8"/>
  <c r="D5533" i="8"/>
  <c r="D5520" i="8"/>
  <c r="D5519" i="8"/>
  <c r="D5506" i="8"/>
  <c r="D5505" i="8"/>
  <c r="D5492" i="8"/>
  <c r="D5479" i="8"/>
  <c r="D5478" i="8"/>
  <c r="D5465" i="8"/>
  <c r="D5452" i="8"/>
  <c r="D5361" i="8"/>
  <c r="D5360" i="8"/>
  <c r="D5347" i="8"/>
  <c r="D5334" i="8"/>
  <c r="D5321" i="8"/>
  <c r="D5320" i="8"/>
  <c r="D5307" i="8"/>
  <c r="D5294" i="8"/>
  <c r="D5293" i="8"/>
  <c r="D5280" i="8"/>
  <c r="D5267" i="8"/>
  <c r="D5266" i="8"/>
  <c r="D5253" i="8"/>
  <c r="D5162" i="8"/>
  <c r="D5149" i="8"/>
  <c r="D5136" i="8"/>
  <c r="D5123" i="8"/>
  <c r="D5110" i="8"/>
  <c r="D5097" i="8"/>
  <c r="D5084" i="8"/>
  <c r="D5071" i="8"/>
  <c r="D4993" i="8"/>
  <c r="D4980" i="8"/>
  <c r="D4967" i="8"/>
  <c r="D4954" i="8"/>
  <c r="D4941" i="8"/>
  <c r="D4928" i="8"/>
  <c r="D4915" i="8"/>
  <c r="D4902" i="8"/>
  <c r="D4889" i="8"/>
  <c r="D4785" i="8"/>
  <c r="D4772" i="8"/>
  <c r="D4759" i="8"/>
  <c r="D4746" i="8"/>
  <c r="D4745" i="8"/>
  <c r="D4732" i="8"/>
  <c r="D4719" i="8"/>
  <c r="D4718" i="8"/>
  <c r="D4705" i="8"/>
  <c r="D4692" i="8"/>
  <c r="D4679" i="8"/>
  <c r="D4601" i="8"/>
  <c r="D4588" i="8"/>
  <c r="D4575" i="8"/>
  <c r="D4562" i="8"/>
  <c r="D4549" i="8"/>
  <c r="D4548" i="8"/>
  <c r="D4535" i="8"/>
  <c r="D4522" i="8"/>
  <c r="D4509" i="8"/>
  <c r="D4508" i="8"/>
  <c r="D4443" i="8"/>
  <c r="D4430" i="8"/>
  <c r="D4417" i="8"/>
  <c r="D4404" i="8"/>
  <c r="D4403" i="8"/>
  <c r="D4390" i="8"/>
  <c r="D4377" i="8"/>
  <c r="D4376" i="8"/>
  <c r="D4363" i="8"/>
  <c r="D4362" i="8"/>
  <c r="D4349" i="8"/>
  <c r="D4271" i="8"/>
  <c r="D4258" i="8"/>
  <c r="D4245" i="8"/>
  <c r="D4232" i="8"/>
  <c r="D4219" i="8"/>
  <c r="D4206" i="8"/>
  <c r="D4193" i="8"/>
  <c r="D4180" i="8"/>
  <c r="D4128" i="8"/>
  <c r="D4102" i="8"/>
  <c r="D4089" i="8"/>
  <c r="D4076" i="8"/>
  <c r="D4063" i="8"/>
  <c r="D4050" i="8"/>
  <c r="D4037" i="8"/>
  <c r="D4036" i="8"/>
  <c r="D4023" i="8"/>
  <c r="D4010" i="8"/>
  <c r="D3958" i="8"/>
  <c r="D3957" i="8"/>
  <c r="D3944" i="8"/>
  <c r="D3943" i="8"/>
  <c r="D3930" i="8"/>
  <c r="D3917" i="8"/>
  <c r="D3904" i="8"/>
  <c r="D3891" i="8"/>
  <c r="D3890" i="8"/>
  <c r="D3889" i="8"/>
  <c r="D3876" i="8"/>
  <c r="D3863" i="8"/>
  <c r="D3862" i="8"/>
  <c r="D3849" i="8"/>
  <c r="D3836" i="8"/>
  <c r="D3835" i="8"/>
  <c r="D3731" i="8"/>
  <c r="D3730" i="8"/>
  <c r="D3729" i="8"/>
  <c r="D3728" i="8"/>
  <c r="D3715" i="8"/>
  <c r="D3702" i="8"/>
  <c r="D3689" i="8"/>
  <c r="D3676" i="8"/>
  <c r="D3663" i="8"/>
  <c r="D3650" i="8"/>
  <c r="D3637" i="8"/>
  <c r="D3585" i="8"/>
  <c r="D3572" i="8"/>
  <c r="D3571" i="8"/>
  <c r="D3570" i="8"/>
  <c r="D3557" i="8"/>
  <c r="D3556" i="8"/>
  <c r="D3555" i="8"/>
  <c r="D3542" i="8"/>
  <c r="D3541" i="8"/>
  <c r="D3540" i="8"/>
  <c r="D3527" i="8"/>
  <c r="D3526" i="8"/>
  <c r="D3525" i="8"/>
  <c r="D3512" i="8"/>
  <c r="D3511" i="8"/>
  <c r="D3510" i="8"/>
  <c r="D3497" i="8"/>
  <c r="D3484" i="8"/>
  <c r="D3483" i="8"/>
  <c r="D3482" i="8"/>
  <c r="D3430" i="8"/>
  <c r="D3429" i="8"/>
  <c r="D3416" i="8"/>
  <c r="D3415" i="8"/>
  <c r="D3414" i="8"/>
  <c r="D3401" i="8"/>
  <c r="D3400" i="8"/>
  <c r="D3399" i="8"/>
  <c r="D3386" i="8"/>
  <c r="D3385" i="8"/>
  <c r="D3384" i="8"/>
  <c r="D3371" i="8"/>
  <c r="D3370" i="8"/>
  <c r="D3357" i="8"/>
  <c r="D3356" i="8"/>
  <c r="D3355" i="8"/>
  <c r="D3354" i="8"/>
  <c r="D3353" i="8"/>
  <c r="D3340" i="8"/>
  <c r="D3339" i="8"/>
  <c r="D3326" i="8"/>
  <c r="D3287" i="8"/>
  <c r="D3274" i="8"/>
  <c r="D3261" i="8"/>
  <c r="D3260" i="8"/>
  <c r="D3247" i="8"/>
  <c r="D3246" i="8"/>
  <c r="D3233" i="8"/>
  <c r="D3232" i="8"/>
  <c r="D3231" i="8"/>
  <c r="D3218" i="8"/>
  <c r="D3217" i="8"/>
  <c r="D3204" i="8"/>
  <c r="D3203" i="8"/>
  <c r="D3202" i="8"/>
  <c r="D3189" i="8"/>
  <c r="D3188" i="8"/>
  <c r="D3187" i="8"/>
  <c r="D3174" i="8"/>
  <c r="D3173" i="8"/>
  <c r="D3160" i="8"/>
  <c r="D3159" i="8"/>
  <c r="D3107" i="8"/>
  <c r="D3106" i="8"/>
  <c r="D3093" i="8"/>
  <c r="D3092" i="8"/>
  <c r="D3079" i="8"/>
  <c r="D3066" i="8"/>
  <c r="D3065" i="8"/>
  <c r="D3052" i="8"/>
  <c r="D3039" i="8"/>
  <c r="D3026" i="8"/>
  <c r="D3013" i="8"/>
  <c r="D3012" i="8"/>
  <c r="D2973" i="8"/>
  <c r="D2972" i="8"/>
  <c r="D2971" i="8"/>
  <c r="D2958" i="8"/>
  <c r="D2945" i="8"/>
  <c r="D2932" i="8"/>
  <c r="D2931" i="8"/>
  <c r="D2930" i="8"/>
  <c r="D2917" i="8"/>
  <c r="D2916" i="8"/>
  <c r="D2915" i="8"/>
  <c r="D2902" i="8"/>
  <c r="D2889" i="8"/>
  <c r="D2888" i="8"/>
  <c r="D2887" i="8"/>
  <c r="D2874" i="8"/>
  <c r="D2873" i="8"/>
  <c r="D2872" i="8"/>
  <c r="D2729" i="8"/>
  <c r="D2728" i="8"/>
  <c r="D2727" i="8"/>
  <c r="D2714" i="8"/>
  <c r="D2713" i="8"/>
  <c r="D2712" i="8"/>
  <c r="D2699" i="8"/>
  <c r="D2698" i="8"/>
  <c r="D2697" i="8"/>
  <c r="D2684" i="8"/>
  <c r="D2671" i="8"/>
  <c r="D2670" i="8"/>
  <c r="D2669" i="8"/>
  <c r="D2656" i="8"/>
  <c r="D2643" i="8"/>
  <c r="D2630" i="8"/>
  <c r="D2617" i="8"/>
  <c r="D2616" i="8"/>
  <c r="D2615" i="8"/>
  <c r="D2602" i="8"/>
  <c r="D2550" i="8"/>
  <c r="D2549" i="8"/>
  <c r="D2536" i="8"/>
  <c r="D2523" i="8"/>
  <c r="D2510" i="8"/>
  <c r="D2509" i="8"/>
  <c r="D2508" i="8"/>
  <c r="D2495" i="8"/>
  <c r="D2494" i="8"/>
  <c r="D2493" i="8"/>
  <c r="D2480" i="8"/>
  <c r="D2467" i="8"/>
  <c r="D2466" i="8"/>
  <c r="D2453" i="8"/>
  <c r="D2452" i="8"/>
  <c r="D2439" i="8"/>
  <c r="D2426" i="8"/>
  <c r="D2425" i="8"/>
  <c r="D2412" i="8"/>
  <c r="D2399" i="8"/>
  <c r="D2373" i="8"/>
  <c r="D2360" i="8"/>
  <c r="D2359" i="8"/>
  <c r="D2346" i="8"/>
  <c r="D2345" i="8"/>
  <c r="D2332" i="8"/>
  <c r="D2319" i="8"/>
  <c r="D2318" i="8"/>
  <c r="D2317" i="8"/>
  <c r="D2304" i="8"/>
  <c r="D2291" i="8"/>
  <c r="D2278" i="8"/>
  <c r="D2277" i="8"/>
  <c r="D2276" i="8"/>
  <c r="D2275" i="8"/>
  <c r="D2262" i="8"/>
  <c r="D2249" i="8"/>
  <c r="D2210" i="8"/>
  <c r="D2209" i="8"/>
  <c r="D2196" i="8"/>
  <c r="D2195" i="8"/>
  <c r="D2182" i="8"/>
  <c r="D2181" i="8"/>
  <c r="D2180" i="8"/>
  <c r="D2167" i="8"/>
  <c r="D2166" i="8"/>
  <c r="D2165" i="8"/>
  <c r="D2152" i="8"/>
  <c r="D2139" i="8"/>
  <c r="D2138" i="8"/>
  <c r="D2125" i="8"/>
  <c r="D2112" i="8"/>
  <c r="D2111" i="8"/>
  <c r="D2098" i="8"/>
  <c r="D2097" i="8"/>
  <c r="D2096" i="8"/>
  <c r="D2083" i="8"/>
  <c r="D2070" i="8"/>
  <c r="D2057" i="8"/>
  <c r="D2018" i="8"/>
  <c r="D2017" i="8"/>
  <c r="D2004" i="8"/>
  <c r="D2003" i="8"/>
  <c r="D1990" i="8"/>
  <c r="D1989" i="8"/>
  <c r="D1976" i="8"/>
  <c r="D1975" i="8"/>
  <c r="D1962" i="8"/>
  <c r="D1961" i="8"/>
  <c r="D1960" i="8"/>
  <c r="D1947" i="8"/>
  <c r="D1946" i="8"/>
  <c r="D1933" i="8"/>
  <c r="D1932" i="8"/>
  <c r="D1919" i="8"/>
  <c r="D1918" i="8"/>
  <c r="D1905" i="8"/>
  <c r="D1904" i="8"/>
  <c r="D1891" i="8"/>
  <c r="D1865" i="8"/>
  <c r="D1852" i="8"/>
  <c r="D1839" i="8"/>
  <c r="D1826" i="8"/>
  <c r="D1813" i="8"/>
  <c r="D1800" i="8"/>
  <c r="D1787" i="8"/>
  <c r="D1618" i="8"/>
  <c r="D1617" i="8"/>
  <c r="D1604" i="8"/>
  <c r="D1603" i="8"/>
  <c r="D1590" i="8"/>
  <c r="D1589" i="8"/>
  <c r="D1576" i="8"/>
  <c r="D1575" i="8"/>
  <c r="D1574" i="8"/>
  <c r="D1561" i="8"/>
  <c r="D1548" i="8"/>
  <c r="D1535" i="8"/>
  <c r="D1522" i="8"/>
  <c r="D1509" i="8"/>
  <c r="D1496" i="8"/>
  <c r="D1483" i="8"/>
  <c r="D1470" i="8"/>
  <c r="D1457" i="8"/>
  <c r="D1456" i="8"/>
  <c r="D1455" i="8"/>
  <c r="D1442" i="8"/>
  <c r="D1429" i="8"/>
  <c r="D1416" i="8"/>
  <c r="D1403" i="8"/>
  <c r="D1390" i="8"/>
  <c r="D1377" i="8"/>
  <c r="D1364" i="8"/>
  <c r="D1351" i="8"/>
  <c r="D1338" i="8"/>
  <c r="D1325" i="8"/>
  <c r="D1312" i="8"/>
  <c r="D1299" i="8"/>
  <c r="D1286" i="8"/>
  <c r="D1273" i="8"/>
  <c r="D1260" i="8"/>
  <c r="D1247" i="8"/>
  <c r="D1234" i="8"/>
  <c r="D1221" i="8"/>
  <c r="D1208" i="8"/>
  <c r="D1207" i="8"/>
  <c r="D1194" i="8"/>
  <c r="D1181" i="8"/>
  <c r="D1168" i="8"/>
  <c r="D1155" i="8"/>
  <c r="D1142" i="8"/>
  <c r="D1129" i="8"/>
  <c r="D1116" i="8"/>
  <c r="D1115" i="8"/>
  <c r="D1102" i="8"/>
  <c r="D1089" i="8"/>
  <c r="D1076" i="8"/>
  <c r="D1075" i="8"/>
  <c r="D1062" i="8"/>
  <c r="D1049" i="8"/>
  <c r="D1036" i="8"/>
  <c r="D1023" i="8"/>
  <c r="D1022" i="8"/>
  <c r="D1009" i="8"/>
  <c r="D1008" i="8"/>
  <c r="D1007" i="8"/>
  <c r="D994" i="8"/>
  <c r="D993" i="8"/>
  <c r="D980" i="8"/>
  <c r="D967" i="8"/>
  <c r="D954" i="8"/>
  <c r="D941" i="8"/>
  <c r="D928" i="8"/>
  <c r="D915" i="8"/>
  <c r="D902" i="8"/>
  <c r="D901" i="8"/>
  <c r="D888" i="8"/>
  <c r="D875" i="8"/>
  <c r="D862" i="8"/>
  <c r="D849" i="8"/>
  <c r="D836" i="8"/>
  <c r="D823" i="8"/>
  <c r="D822" i="8"/>
  <c r="D809" i="8"/>
  <c r="D796" i="8"/>
  <c r="D783" i="8"/>
  <c r="D782" i="8"/>
  <c r="D769" i="8"/>
  <c r="D756" i="8"/>
  <c r="D743" i="8"/>
  <c r="D742" i="8"/>
  <c r="D741" i="8"/>
  <c r="D728" i="8"/>
  <c r="D715" i="8"/>
  <c r="D702" i="8"/>
  <c r="D689" i="8"/>
  <c r="D676" i="8"/>
  <c r="D675" i="8"/>
  <c r="D674" i="8"/>
  <c r="D661" i="8"/>
  <c r="D660" i="8"/>
  <c r="D659" i="8"/>
  <c r="D646" i="8"/>
  <c r="D645" i="8"/>
  <c r="D632" i="8"/>
  <c r="D631" i="8"/>
  <c r="D618" i="8"/>
  <c r="D617" i="8"/>
  <c r="D604" i="8"/>
  <c r="D591" i="8"/>
  <c r="D578" i="8"/>
  <c r="D565" i="8"/>
  <c r="D552" i="8"/>
  <c r="D539" i="8"/>
  <c r="D526" i="8"/>
  <c r="D513" i="8"/>
  <c r="D500" i="8"/>
  <c r="D499" i="8"/>
  <c r="D486" i="8"/>
  <c r="D473" i="8"/>
  <c r="D460" i="8"/>
  <c r="D447" i="8"/>
  <c r="D434" i="8"/>
  <c r="D408" i="8"/>
  <c r="D395" i="8"/>
  <c r="D382" i="8"/>
  <c r="D369" i="8"/>
  <c r="D356" i="8"/>
  <c r="D343" i="8"/>
  <c r="D342" i="8"/>
  <c r="D329" i="8"/>
  <c r="D316" i="8"/>
  <c r="D303" i="8"/>
  <c r="D302" i="8"/>
  <c r="D289" i="8"/>
  <c r="D263" i="8"/>
  <c r="D250" i="8"/>
  <c r="D237" i="8"/>
  <c r="D224" i="8"/>
  <c r="D211" i="8"/>
  <c r="D198" i="8"/>
  <c r="D185" i="8"/>
  <c r="D159" i="8"/>
  <c r="D158" i="8"/>
  <c r="D145" i="8"/>
  <c r="D132" i="8"/>
  <c r="D131" i="8"/>
  <c r="D118" i="8"/>
  <c r="D117" i="8"/>
  <c r="D104" i="8"/>
  <c r="D91" i="8"/>
  <c r="D78" i="8"/>
  <c r="D65" i="8"/>
  <c r="D64" i="8"/>
  <c r="D51" i="8"/>
  <c r="D38" i="8"/>
  <c r="D25" i="8"/>
  <c r="D24" i="8"/>
  <c r="D11" i="8"/>
  <c r="D3802" i="7"/>
  <c r="D3801" i="7"/>
  <c r="D3800" i="7"/>
  <c r="A3791" i="7"/>
  <c r="D3785" i="7"/>
  <c r="D3784" i="7"/>
  <c r="D3783" i="7"/>
  <c r="A3774" i="7"/>
  <c r="D3768" i="7"/>
  <c r="D3767" i="7"/>
  <c r="D3766" i="7"/>
  <c r="A3757" i="7"/>
  <c r="D3751" i="7"/>
  <c r="D3750" i="7"/>
  <c r="D3749" i="7"/>
  <c r="A3740" i="7"/>
  <c r="D3734" i="7"/>
  <c r="D3733" i="7"/>
  <c r="D3732" i="7"/>
  <c r="A3723" i="7"/>
  <c r="D3717" i="7"/>
  <c r="D3716" i="7"/>
  <c r="D3715" i="7"/>
  <c r="A3706" i="7"/>
  <c r="D3700" i="7"/>
  <c r="D3699" i="7"/>
  <c r="D3698" i="7"/>
  <c r="A3689" i="7"/>
  <c r="D3683" i="7"/>
  <c r="D3682" i="7"/>
  <c r="D3681" i="7"/>
  <c r="A3672" i="7"/>
  <c r="D3666" i="7"/>
  <c r="D3665" i="7"/>
  <c r="D3664" i="7"/>
  <c r="A3655" i="7"/>
  <c r="D3649" i="7"/>
  <c r="D3648" i="7"/>
  <c r="D3647" i="7"/>
  <c r="A3638" i="7"/>
  <c r="D3632" i="7"/>
  <c r="D3631" i="7"/>
  <c r="D3630" i="7"/>
  <c r="A3621" i="7"/>
  <c r="D3615" i="7"/>
  <c r="D3614" i="7"/>
  <c r="D3613" i="7"/>
  <c r="A3604" i="7"/>
  <c r="D3598" i="7"/>
  <c r="D3597" i="7"/>
  <c r="D3596" i="7"/>
  <c r="A3587" i="7"/>
  <c r="D3581" i="7"/>
  <c r="D3580" i="7"/>
  <c r="D3579" i="7"/>
  <c r="A3570" i="7"/>
  <c r="D3564" i="7"/>
  <c r="D3563" i="7"/>
  <c r="D3562" i="7"/>
  <c r="A3553" i="7"/>
  <c r="D3547" i="7"/>
  <c r="D3546" i="7"/>
  <c r="D3545" i="7"/>
  <c r="A3536" i="7"/>
  <c r="D3530" i="7"/>
  <c r="D3529" i="7"/>
  <c r="D3528" i="7"/>
  <c r="A3519" i="7"/>
  <c r="D3513" i="7"/>
  <c r="D3512" i="7"/>
  <c r="D3511" i="7"/>
  <c r="A3502" i="7"/>
  <c r="D3496" i="7"/>
  <c r="D3495" i="7"/>
  <c r="D3494" i="7"/>
  <c r="A3485" i="7"/>
  <c r="D3479" i="7"/>
  <c r="D3478" i="7"/>
  <c r="D3477" i="7"/>
  <c r="A3468" i="7"/>
  <c r="D3462" i="7"/>
  <c r="D3461" i="7"/>
  <c r="D3460" i="7"/>
  <c r="A3451" i="7"/>
  <c r="D3445" i="7"/>
  <c r="D3444" i="7"/>
  <c r="D3443" i="7"/>
  <c r="A3434" i="7"/>
  <c r="D3428" i="7"/>
  <c r="D3427" i="7"/>
  <c r="D3426" i="7"/>
  <c r="A3417" i="7"/>
  <c r="D3411" i="7"/>
  <c r="D3410" i="7"/>
  <c r="D3409" i="7"/>
  <c r="A3400" i="7"/>
  <c r="D3394" i="7"/>
  <c r="D3393" i="7"/>
  <c r="D3392" i="7"/>
  <c r="A3383" i="7"/>
  <c r="D3377" i="7"/>
  <c r="D3376" i="7"/>
  <c r="D3375" i="7"/>
  <c r="A3366" i="7"/>
  <c r="D3360" i="7"/>
  <c r="D3359" i="7"/>
  <c r="D3358" i="7"/>
  <c r="A3349" i="7"/>
  <c r="D3343" i="7"/>
  <c r="D3342" i="7"/>
  <c r="D3341" i="7"/>
  <c r="A3332" i="7"/>
  <c r="D3326" i="7"/>
  <c r="D3325" i="7"/>
  <c r="D3324" i="7"/>
  <c r="A3315" i="7"/>
  <c r="D3309" i="7"/>
  <c r="D3308" i="7"/>
  <c r="D3307" i="7"/>
  <c r="A3298" i="7"/>
  <c r="D3292" i="7"/>
  <c r="D3291" i="7"/>
  <c r="D3290" i="7"/>
  <c r="A3281" i="7"/>
  <c r="D3275" i="7"/>
  <c r="D3274" i="7"/>
  <c r="D3273" i="7"/>
  <c r="A3264" i="7"/>
  <c r="D3258" i="7"/>
  <c r="D3257" i="7"/>
  <c r="D3256" i="7"/>
  <c r="A3247" i="7"/>
  <c r="D3241" i="7"/>
  <c r="D3240" i="7"/>
  <c r="D3239" i="7"/>
  <c r="A3230" i="7"/>
  <c r="D3224" i="7"/>
  <c r="D3223" i="7"/>
  <c r="D3222" i="7"/>
  <c r="A3213" i="7"/>
  <c r="D3207" i="7"/>
  <c r="D3206" i="7"/>
  <c r="D3205" i="7"/>
  <c r="A3196" i="7"/>
  <c r="D3190" i="7"/>
  <c r="D3189" i="7"/>
  <c r="D3188" i="7"/>
  <c r="A3179" i="7"/>
  <c r="D3173" i="7"/>
  <c r="D3172" i="7"/>
  <c r="D3171" i="7"/>
  <c r="A3162" i="7"/>
  <c r="D3156" i="7"/>
  <c r="D3155" i="7"/>
  <c r="D3154" i="7"/>
  <c r="A3145" i="7"/>
  <c r="D3139" i="7"/>
  <c r="D3138" i="7"/>
  <c r="D3137" i="7"/>
  <c r="A3128" i="7"/>
  <c r="D3122" i="7"/>
  <c r="D3121" i="7"/>
  <c r="D3120" i="7"/>
  <c r="A3111" i="7"/>
  <c r="D3105" i="7"/>
  <c r="D3104" i="7"/>
  <c r="D3103" i="7"/>
  <c r="A3094" i="7"/>
  <c r="D3088" i="7"/>
  <c r="D3087" i="7"/>
  <c r="D3086" i="7"/>
  <c r="A3077" i="7"/>
  <c r="D3071" i="7"/>
  <c r="D3070" i="7"/>
  <c r="D3069" i="7"/>
  <c r="A3060" i="7"/>
  <c r="D3054" i="7"/>
  <c r="D3053" i="7"/>
  <c r="D3052" i="7"/>
  <c r="A3043" i="7"/>
  <c r="D3037" i="7"/>
  <c r="D3036" i="7"/>
  <c r="D3035" i="7"/>
  <c r="A3026" i="7"/>
  <c r="D3020" i="7"/>
  <c r="D3019" i="7"/>
  <c r="D3018" i="7"/>
  <c r="A3009" i="7"/>
  <c r="D3003" i="7"/>
  <c r="D3002" i="7"/>
  <c r="D3001" i="7"/>
  <c r="A2992" i="7"/>
  <c r="D2986" i="7"/>
  <c r="D2985" i="7"/>
  <c r="D2984" i="7"/>
  <c r="A2975" i="7"/>
  <c r="D2969" i="7"/>
  <c r="D2968" i="7"/>
  <c r="D2967" i="7"/>
  <c r="A2958" i="7"/>
  <c r="D2952" i="7"/>
  <c r="D2951" i="7"/>
  <c r="D2950" i="7"/>
  <c r="A2941" i="7"/>
  <c r="D2935" i="7"/>
  <c r="D2934" i="7"/>
  <c r="D2933" i="7"/>
  <c r="A2924" i="7"/>
  <c r="D2918" i="7"/>
  <c r="D2917" i="7"/>
  <c r="D2916" i="7"/>
  <c r="A2907" i="7"/>
  <c r="D2901" i="7"/>
  <c r="D2900" i="7"/>
  <c r="D2899" i="7"/>
  <c r="A2890" i="7"/>
  <c r="D2884" i="7"/>
  <c r="D2883" i="7"/>
  <c r="D2882" i="7"/>
  <c r="A2873" i="7"/>
  <c r="D2867" i="7"/>
  <c r="D2866" i="7"/>
  <c r="D2865" i="7"/>
  <c r="A2856" i="7"/>
  <c r="D2850" i="7"/>
  <c r="D2849" i="7"/>
  <c r="D2848" i="7"/>
  <c r="A2839" i="7"/>
  <c r="D2833" i="7"/>
  <c r="D2832" i="7"/>
  <c r="D2831" i="7"/>
  <c r="A2822" i="7"/>
  <c r="D2816" i="7"/>
  <c r="D2815" i="7"/>
  <c r="D2814" i="7"/>
  <c r="A2805" i="7"/>
  <c r="D2799" i="7"/>
  <c r="D2798" i="7"/>
  <c r="D2797" i="7"/>
  <c r="A2788" i="7"/>
  <c r="D2782" i="7"/>
  <c r="D2781" i="7"/>
  <c r="D2780" i="7"/>
  <c r="A2771" i="7"/>
  <c r="D2765" i="7"/>
  <c r="D2764" i="7"/>
  <c r="D2763" i="7"/>
  <c r="A2754" i="7"/>
  <c r="D2748" i="7"/>
  <c r="D2747" i="7"/>
  <c r="D2746" i="7"/>
  <c r="A2737" i="7"/>
  <c r="D2731" i="7"/>
  <c r="D2730" i="7"/>
  <c r="D2729" i="7"/>
  <c r="A2720" i="7"/>
  <c r="D2714" i="7"/>
  <c r="D2713" i="7"/>
  <c r="D2712" i="7"/>
  <c r="A2703" i="7"/>
  <c r="D2697" i="7"/>
  <c r="D2696" i="7"/>
  <c r="D2695" i="7"/>
  <c r="A2686" i="7"/>
  <c r="D2680" i="7"/>
  <c r="D2679" i="7"/>
  <c r="D2678" i="7"/>
  <c r="A2669" i="7"/>
  <c r="D2663" i="7"/>
  <c r="D2662" i="7"/>
  <c r="D2661" i="7"/>
  <c r="A2652" i="7"/>
  <c r="D2646" i="7"/>
  <c r="D2645" i="7"/>
  <c r="D2644" i="7"/>
  <c r="A2635" i="7"/>
  <c r="D2629" i="7"/>
  <c r="D2628" i="7"/>
  <c r="D2627" i="7"/>
  <c r="A2618" i="7"/>
  <c r="D2612" i="7"/>
  <c r="D2611" i="7"/>
  <c r="D2610" i="7"/>
  <c r="A2601" i="7"/>
  <c r="D2595" i="7"/>
  <c r="D2594" i="7"/>
  <c r="D2593" i="7"/>
  <c r="A2584" i="7"/>
  <c r="D2578" i="7"/>
  <c r="D2577" i="7"/>
  <c r="D2576" i="7"/>
  <c r="A2567" i="7"/>
  <c r="D2561" i="7"/>
  <c r="D2560" i="7"/>
  <c r="D2559" i="7"/>
  <c r="A2550" i="7"/>
  <c r="D2544" i="7"/>
  <c r="D2543" i="7"/>
  <c r="D2542" i="7"/>
  <c r="A2533" i="7"/>
  <c r="D2527" i="7"/>
  <c r="D2526" i="7"/>
  <c r="D2525" i="7"/>
  <c r="A2516" i="7"/>
  <c r="D2510" i="7"/>
  <c r="D2509" i="7"/>
  <c r="D2508" i="7"/>
  <c r="A2499" i="7"/>
  <c r="D2493" i="7"/>
  <c r="D2492" i="7"/>
  <c r="D2491" i="7"/>
  <c r="A2482" i="7"/>
  <c r="D2476" i="7"/>
  <c r="D2475" i="7"/>
  <c r="D2474" i="7"/>
  <c r="A2465" i="7"/>
  <c r="D2459" i="7"/>
  <c r="D2458" i="7"/>
  <c r="D2457" i="7"/>
  <c r="A2448" i="7"/>
  <c r="D2442" i="7"/>
  <c r="D2441" i="7"/>
  <c r="D2440" i="7"/>
  <c r="A2431" i="7"/>
  <c r="D2425" i="7"/>
  <c r="D2424" i="7"/>
  <c r="D2423" i="7"/>
  <c r="A2414" i="7"/>
  <c r="D2408" i="7"/>
  <c r="D2407" i="7"/>
  <c r="D2406" i="7"/>
  <c r="A2397" i="7"/>
  <c r="D2391" i="7"/>
  <c r="D2390" i="7"/>
  <c r="D2389" i="7"/>
  <c r="A2380" i="7"/>
  <c r="D2374" i="7"/>
  <c r="D2373" i="7"/>
  <c r="D2372" i="7"/>
  <c r="A2363" i="7"/>
  <c r="D2357" i="7"/>
  <c r="D2356" i="7"/>
  <c r="D2355" i="7"/>
  <c r="A2346" i="7"/>
  <c r="D2340" i="7"/>
  <c r="D2339" i="7"/>
  <c r="D2338" i="7"/>
  <c r="A2329" i="7"/>
  <c r="D2323" i="7"/>
  <c r="D2322" i="7"/>
  <c r="D2321" i="7"/>
  <c r="A2312" i="7"/>
  <c r="D2306" i="7"/>
  <c r="D2305" i="7"/>
  <c r="D2304" i="7"/>
  <c r="A2295" i="7"/>
  <c r="D2289" i="7"/>
  <c r="D2288" i="7"/>
  <c r="D2287" i="7"/>
  <c r="A2278" i="7"/>
  <c r="D2272" i="7"/>
  <c r="D2271" i="7"/>
  <c r="D2270" i="7"/>
  <c r="A2261" i="7"/>
  <c r="D2255" i="7"/>
  <c r="D2254" i="7"/>
  <c r="D2253" i="7"/>
  <c r="A2244" i="7"/>
  <c r="D2238" i="7"/>
  <c r="D2237" i="7"/>
  <c r="D2236" i="7"/>
  <c r="A2227" i="7"/>
  <c r="D2221" i="7"/>
  <c r="D2220" i="7"/>
  <c r="D2219" i="7"/>
  <c r="A2210" i="7"/>
  <c r="D2204" i="7"/>
  <c r="D2203" i="7"/>
  <c r="D2202" i="7"/>
  <c r="A2193" i="7"/>
  <c r="D2187" i="7"/>
  <c r="D2186" i="7"/>
  <c r="D2185" i="7"/>
  <c r="A2176" i="7"/>
  <c r="D2170" i="7"/>
  <c r="D2169" i="7"/>
  <c r="D2168" i="7"/>
  <c r="A2159" i="7"/>
  <c r="D2153" i="7"/>
  <c r="D2152" i="7"/>
  <c r="D2151" i="7"/>
  <c r="A2142" i="7"/>
  <c r="D2136" i="7"/>
  <c r="D2135" i="7"/>
  <c r="D2134" i="7"/>
  <c r="A2125" i="7"/>
  <c r="D2119" i="7"/>
  <c r="D2118" i="7"/>
  <c r="D2117" i="7"/>
  <c r="A2108" i="7"/>
  <c r="D2102" i="7"/>
  <c r="D2101" i="7"/>
  <c r="D2100" i="7"/>
  <c r="A2091" i="7"/>
  <c r="D2085" i="7"/>
  <c r="D2084" i="7"/>
  <c r="D2083" i="7"/>
  <c r="A2074" i="7"/>
  <c r="D2068" i="7"/>
  <c r="D2067" i="7"/>
  <c r="D2066" i="7"/>
  <c r="A2057" i="7"/>
  <c r="D2051" i="7"/>
  <c r="D2050" i="7"/>
  <c r="D2049" i="7"/>
  <c r="A2040" i="7"/>
  <c r="D2034" i="7"/>
  <c r="D2033" i="7"/>
  <c r="D2032" i="7"/>
  <c r="A2023" i="7"/>
  <c r="D2017" i="7"/>
  <c r="D2016" i="7"/>
  <c r="D2015" i="7"/>
  <c r="A2006" i="7"/>
  <c r="D2000" i="7"/>
  <c r="D1999" i="7"/>
  <c r="D1998" i="7"/>
  <c r="A1989" i="7"/>
  <c r="D1983" i="7"/>
  <c r="D1982" i="7"/>
  <c r="D1981" i="7"/>
  <c r="A1972" i="7"/>
  <c r="D1966" i="7"/>
  <c r="D1965" i="7"/>
  <c r="D1964" i="7"/>
  <c r="A1955" i="7"/>
  <c r="D1949" i="7"/>
  <c r="D1948" i="7"/>
  <c r="D1947" i="7"/>
  <c r="A1938" i="7"/>
  <c r="D1932" i="7"/>
  <c r="D1931" i="7"/>
  <c r="D1930" i="7"/>
  <c r="A1921" i="7"/>
  <c r="D1915" i="7"/>
  <c r="D1914" i="7"/>
  <c r="D1913" i="7"/>
  <c r="A1904" i="7"/>
  <c r="D1898" i="7"/>
  <c r="D1897" i="7"/>
  <c r="D1896" i="7"/>
  <c r="A1887" i="7"/>
  <c r="D1881" i="7"/>
  <c r="D1880" i="7"/>
  <c r="D1879" i="7"/>
  <c r="A1870" i="7"/>
  <c r="D1864" i="7"/>
  <c r="D1863" i="7"/>
  <c r="D1862" i="7"/>
  <c r="A1853" i="7"/>
  <c r="D1847" i="7"/>
  <c r="D1846" i="7"/>
  <c r="D1845" i="7"/>
  <c r="A1836" i="7"/>
  <c r="D1830" i="7"/>
  <c r="D1829" i="7"/>
  <c r="D1828" i="7"/>
  <c r="A1819" i="7"/>
  <c r="D1813" i="7"/>
  <c r="D1812" i="7"/>
  <c r="D1811" i="7"/>
  <c r="A1802" i="7"/>
  <c r="D1796" i="7"/>
  <c r="D1795" i="7"/>
  <c r="D1794" i="7"/>
  <c r="A1785" i="7"/>
  <c r="D1779" i="7"/>
  <c r="D1778" i="7"/>
  <c r="D1777" i="7"/>
  <c r="A1768" i="7"/>
  <c r="D1762" i="7"/>
  <c r="D1761" i="7"/>
  <c r="D1760" i="7"/>
  <c r="A1751" i="7"/>
  <c r="D1745" i="7"/>
  <c r="D1744" i="7"/>
  <c r="D1743" i="7"/>
  <c r="A1734" i="7"/>
  <c r="D1728" i="7"/>
  <c r="D1727" i="7"/>
  <c r="D1726" i="7"/>
  <c r="A1717" i="7"/>
  <c r="D1711" i="7"/>
  <c r="D1710" i="7"/>
  <c r="D1709" i="7"/>
  <c r="A1700" i="7"/>
  <c r="D1694" i="7"/>
  <c r="D1693" i="7"/>
  <c r="D1692" i="7"/>
  <c r="A1683" i="7"/>
  <c r="D1677" i="7"/>
  <c r="D1676" i="7"/>
  <c r="D1675" i="7"/>
  <c r="A1666" i="7"/>
  <c r="D1660" i="7"/>
  <c r="D1659" i="7"/>
  <c r="D1658" i="7"/>
  <c r="A1649" i="7"/>
  <c r="D1643" i="7"/>
  <c r="D1642" i="7"/>
  <c r="D1641" i="7"/>
  <c r="A1632" i="7"/>
  <c r="D1626" i="7"/>
  <c r="D1625" i="7"/>
  <c r="D1624" i="7"/>
  <c r="A1615" i="7"/>
  <c r="D1609" i="7"/>
  <c r="D1608" i="7"/>
  <c r="D1607" i="7"/>
  <c r="A1598" i="7"/>
  <c r="D1592" i="7"/>
  <c r="D1591" i="7"/>
  <c r="D1590" i="7"/>
  <c r="A1581" i="7"/>
  <c r="D1575" i="7"/>
  <c r="D1574" i="7"/>
  <c r="D1573" i="7"/>
  <c r="A1564" i="7"/>
  <c r="D1558" i="7"/>
  <c r="D1557" i="7"/>
  <c r="D1556" i="7"/>
  <c r="A1547" i="7"/>
  <c r="D1541" i="7"/>
  <c r="D1540" i="7"/>
  <c r="D1539" i="7"/>
  <c r="A1530" i="7"/>
  <c r="D1524" i="7"/>
  <c r="D1523" i="7"/>
  <c r="D1522" i="7"/>
  <c r="A1513" i="7"/>
  <c r="D1507" i="7"/>
  <c r="D1506" i="7"/>
  <c r="D1505" i="7"/>
  <c r="A1496" i="7"/>
  <c r="D1490" i="7"/>
  <c r="D1489" i="7"/>
  <c r="D1488" i="7"/>
  <c r="A1479" i="7"/>
  <c r="D1473" i="7"/>
  <c r="D1472" i="7"/>
  <c r="D1471" i="7"/>
  <c r="A1462" i="7"/>
  <c r="D1456" i="7"/>
  <c r="D1455" i="7"/>
  <c r="D1454" i="7"/>
  <c r="A1445" i="7"/>
  <c r="D1439" i="7"/>
  <c r="D1438" i="7"/>
  <c r="D1437" i="7"/>
  <c r="A1428" i="7"/>
  <c r="D1422" i="7"/>
  <c r="D1421" i="7"/>
  <c r="D1420" i="7"/>
  <c r="A1411" i="7"/>
  <c r="D1405" i="7"/>
  <c r="D1404" i="7"/>
  <c r="D1403" i="7"/>
  <c r="A1394" i="7"/>
  <c r="D1388" i="7"/>
  <c r="D1387" i="7"/>
  <c r="D1386" i="7"/>
  <c r="A1377" i="7"/>
  <c r="D1371" i="7"/>
  <c r="D1370" i="7"/>
  <c r="D1369" i="7"/>
  <c r="A1360" i="7"/>
  <c r="D1354" i="7"/>
  <c r="D1353" i="7"/>
  <c r="D1352" i="7"/>
  <c r="A1343" i="7"/>
  <c r="D1337" i="7"/>
  <c r="D1336" i="7"/>
  <c r="D1335" i="7"/>
  <c r="A1326" i="7"/>
  <c r="D1320" i="7"/>
  <c r="D1319" i="7"/>
  <c r="D1318" i="7"/>
  <c r="A1309" i="7"/>
  <c r="D1303" i="7"/>
  <c r="D1302" i="7"/>
  <c r="D1301" i="7"/>
  <c r="A1292" i="7"/>
  <c r="D1286" i="7"/>
  <c r="D1285" i="7"/>
  <c r="D1284" i="7"/>
  <c r="A1275" i="7"/>
  <c r="D1269" i="7"/>
  <c r="D1268" i="7"/>
  <c r="D1267" i="7"/>
  <c r="A1258" i="7"/>
  <c r="D1252" i="7"/>
  <c r="D1251" i="7"/>
  <c r="D1250" i="7"/>
  <c r="A1241" i="7"/>
  <c r="D1235" i="7"/>
  <c r="D1234" i="7"/>
  <c r="D1233" i="7"/>
  <c r="A1224" i="7"/>
  <c r="D1218" i="7"/>
  <c r="D1217" i="7"/>
  <c r="D1216" i="7"/>
  <c r="A1207" i="7"/>
  <c r="D1201" i="7"/>
  <c r="D1200" i="7"/>
  <c r="D1199" i="7"/>
  <c r="A1190" i="7"/>
  <c r="D1184" i="7"/>
  <c r="D1183" i="7"/>
  <c r="D1182" i="7"/>
  <c r="A1173" i="7"/>
  <c r="D1167" i="7"/>
  <c r="D1166" i="7"/>
  <c r="D1165" i="7"/>
  <c r="A1156" i="7"/>
  <c r="D1150" i="7"/>
  <c r="D1149" i="7"/>
  <c r="D1148" i="7"/>
  <c r="A1139" i="7"/>
  <c r="D1133" i="7"/>
  <c r="D1132" i="7"/>
  <c r="D1131" i="7"/>
  <c r="A1122" i="7"/>
  <c r="D1116" i="7"/>
  <c r="D1115" i="7"/>
  <c r="D1114" i="7"/>
  <c r="A1105" i="7"/>
  <c r="D1099" i="7"/>
  <c r="D1098" i="7"/>
  <c r="D1097" i="7"/>
  <c r="A1088" i="7"/>
  <c r="D1082" i="7"/>
  <c r="D1081" i="7"/>
  <c r="D1080" i="7"/>
  <c r="A1071" i="7"/>
  <c r="D1065" i="7"/>
  <c r="D1064" i="7"/>
  <c r="D1063" i="7"/>
  <c r="A1054" i="7"/>
  <c r="D1048" i="7"/>
  <c r="D1047" i="7"/>
  <c r="D1046" i="7"/>
  <c r="A1037" i="7"/>
  <c r="D1031" i="7"/>
  <c r="D1030" i="7"/>
  <c r="D1029" i="7"/>
  <c r="A1020" i="7"/>
  <c r="D1014" i="7"/>
  <c r="D1013" i="7"/>
  <c r="D1012" i="7"/>
  <c r="A1003" i="7"/>
  <c r="D997" i="7"/>
  <c r="D996" i="7"/>
  <c r="D995" i="7"/>
  <c r="A986" i="7"/>
  <c r="D980" i="7"/>
  <c r="D979" i="7"/>
  <c r="D978" i="7"/>
  <c r="A969" i="7"/>
  <c r="D963" i="7"/>
  <c r="D962" i="7"/>
  <c r="D961" i="7"/>
  <c r="A952" i="7"/>
  <c r="D946" i="7"/>
  <c r="D945" i="7"/>
  <c r="D944" i="7"/>
  <c r="A935" i="7"/>
  <c r="D929" i="7"/>
  <c r="D928" i="7"/>
  <c r="D927" i="7"/>
  <c r="A918" i="7"/>
  <c r="D912" i="7"/>
  <c r="D911" i="7"/>
  <c r="D910" i="7"/>
  <c r="A901" i="7"/>
  <c r="D895" i="7"/>
  <c r="D894" i="7"/>
  <c r="D893" i="7"/>
  <c r="A884" i="7"/>
  <c r="D878" i="7"/>
  <c r="D877" i="7"/>
  <c r="D876" i="7"/>
  <c r="A867" i="7"/>
  <c r="D861" i="7"/>
  <c r="D860" i="7"/>
  <c r="D859" i="7"/>
  <c r="A850" i="7"/>
  <c r="D844" i="7"/>
  <c r="D843" i="7"/>
  <c r="D842" i="7"/>
  <c r="A833" i="7"/>
  <c r="D827" i="7"/>
  <c r="D826" i="7"/>
  <c r="D825" i="7"/>
  <c r="A816" i="7"/>
  <c r="D810" i="7"/>
  <c r="D809" i="7"/>
  <c r="D808" i="7"/>
  <c r="A799" i="7"/>
  <c r="D793" i="7"/>
  <c r="D792" i="7"/>
  <c r="D791" i="7"/>
  <c r="A782" i="7"/>
  <c r="D776" i="7"/>
  <c r="D775" i="7"/>
  <c r="D774" i="7"/>
  <c r="A765" i="7"/>
  <c r="D759" i="7"/>
  <c r="D758" i="7"/>
  <c r="D757" i="7"/>
  <c r="A748" i="7"/>
  <c r="D742" i="7"/>
  <c r="D741" i="7"/>
  <c r="D740" i="7"/>
  <c r="A731" i="7"/>
  <c r="D725" i="7"/>
  <c r="D724" i="7"/>
  <c r="D723" i="7"/>
  <c r="A714" i="7"/>
  <c r="D708" i="7"/>
  <c r="D707" i="7"/>
  <c r="D706" i="7"/>
  <c r="A697" i="7"/>
  <c r="D691" i="7"/>
  <c r="D690" i="7"/>
  <c r="D689" i="7"/>
  <c r="A680" i="7"/>
  <c r="D674" i="7"/>
  <c r="D673" i="7"/>
  <c r="D672" i="7"/>
  <c r="A663" i="7"/>
  <c r="D657" i="7"/>
  <c r="D656" i="7"/>
  <c r="D655" i="7"/>
  <c r="A646" i="7"/>
  <c r="D640" i="7"/>
  <c r="D639" i="7"/>
  <c r="D638" i="7"/>
  <c r="A629" i="7"/>
  <c r="D623" i="7"/>
  <c r="D622" i="7"/>
  <c r="D621" i="7"/>
  <c r="A612" i="7"/>
  <c r="D606" i="7"/>
  <c r="D605" i="7"/>
  <c r="D604" i="7"/>
  <c r="A595" i="7"/>
  <c r="D589" i="7"/>
  <c r="D588" i="7"/>
  <c r="D587" i="7"/>
  <c r="A578" i="7"/>
  <c r="D572" i="7"/>
  <c r="D571" i="7"/>
  <c r="D570" i="7"/>
  <c r="A561" i="7"/>
  <c r="D555" i="7"/>
  <c r="D554" i="7"/>
  <c r="D553" i="7"/>
  <c r="A544" i="7"/>
  <c r="D538" i="7"/>
  <c r="D537" i="7"/>
  <c r="D536" i="7"/>
  <c r="A527" i="7"/>
  <c r="D521" i="7"/>
  <c r="D520" i="7"/>
  <c r="D519" i="7"/>
  <c r="A510" i="7"/>
  <c r="D504" i="7"/>
  <c r="D503" i="7"/>
  <c r="D502" i="7"/>
  <c r="A493" i="7"/>
  <c r="D487" i="7"/>
  <c r="D486" i="7"/>
  <c r="D485" i="7"/>
  <c r="A476" i="7"/>
  <c r="D470" i="7"/>
  <c r="D469" i="7"/>
  <c r="D468" i="7"/>
  <c r="A459" i="7"/>
  <c r="D453" i="7"/>
  <c r="D452" i="7"/>
  <c r="D451" i="7"/>
  <c r="A442" i="7"/>
  <c r="D436" i="7"/>
  <c r="D435" i="7"/>
  <c r="D434" i="7"/>
  <c r="A425" i="7"/>
  <c r="D419" i="7"/>
  <c r="D418" i="7"/>
  <c r="D417" i="7"/>
  <c r="A408" i="7"/>
  <c r="D402" i="7"/>
  <c r="D401" i="7"/>
  <c r="D400" i="7"/>
  <c r="A391" i="7"/>
  <c r="D385" i="7"/>
  <c r="D384" i="7"/>
  <c r="D383" i="7"/>
  <c r="A374" i="7"/>
  <c r="D368" i="7"/>
  <c r="D367" i="7"/>
  <c r="D366" i="7"/>
  <c r="A357" i="7"/>
  <c r="D351" i="7"/>
  <c r="D350" i="7"/>
  <c r="D349" i="7"/>
  <c r="A340" i="7"/>
  <c r="D334" i="7"/>
  <c r="D333" i="7"/>
  <c r="D332" i="7"/>
  <c r="A323" i="7"/>
  <c r="D317" i="7"/>
  <c r="D316" i="7"/>
  <c r="D315" i="7"/>
  <c r="A306" i="7"/>
  <c r="D300" i="7"/>
  <c r="D299" i="7"/>
  <c r="D298" i="7"/>
  <c r="A289" i="7"/>
  <c r="A274" i="7"/>
  <c r="D268" i="7"/>
  <c r="D267" i="7"/>
  <c r="D266" i="7"/>
  <c r="A257" i="7"/>
  <c r="D251" i="7"/>
  <c r="D250" i="7"/>
  <c r="D249" i="7"/>
  <c r="A240" i="7"/>
  <c r="D234" i="7"/>
  <c r="D233" i="7"/>
  <c r="D232" i="7"/>
  <c r="A223" i="7"/>
  <c r="A208" i="7"/>
  <c r="A193" i="7"/>
  <c r="D187" i="7"/>
  <c r="D186" i="7"/>
  <c r="D185" i="7"/>
  <c r="A176" i="7"/>
  <c r="D170" i="7"/>
  <c r="D169" i="7"/>
  <c r="D168" i="7"/>
  <c r="A159" i="7"/>
  <c r="A144" i="7"/>
  <c r="D138" i="7"/>
  <c r="D137" i="7"/>
  <c r="D136" i="7"/>
  <c r="A127" i="7"/>
  <c r="D121" i="7"/>
  <c r="D120" i="7"/>
  <c r="D119" i="7"/>
  <c r="A110" i="7"/>
  <c r="D104" i="7"/>
  <c r="D103" i="7"/>
  <c r="D102" i="7"/>
  <c r="A93" i="7"/>
  <c r="D87" i="7"/>
  <c r="D86" i="7"/>
  <c r="D85" i="7"/>
  <c r="A76" i="7"/>
  <c r="A61" i="7"/>
  <c r="A46" i="7"/>
  <c r="A31" i="7"/>
  <c r="A16" i="7"/>
  <c r="A1" i="7"/>
  <c r="D3804" i="6"/>
  <c r="D3803" i="6"/>
  <c r="D3802" i="6"/>
  <c r="A3793" i="6"/>
  <c r="D3787" i="6"/>
  <c r="D3786" i="6"/>
  <c r="D3785" i="6"/>
  <c r="A3776" i="6"/>
  <c r="D3770" i="6"/>
  <c r="D3769" i="6"/>
  <c r="D3768" i="6"/>
  <c r="A3759" i="6"/>
  <c r="D3753" i="6"/>
  <c r="D3752" i="6"/>
  <c r="D3751" i="6"/>
  <c r="A3742" i="6"/>
  <c r="D3736" i="6"/>
  <c r="D3735" i="6"/>
  <c r="D3734" i="6"/>
  <c r="A3725" i="6"/>
  <c r="D3719" i="6"/>
  <c r="D3718" i="6"/>
  <c r="D3717" i="6"/>
  <c r="A3708" i="6"/>
  <c r="D3702" i="6"/>
  <c r="D3701" i="6"/>
  <c r="D3700" i="6"/>
  <c r="A3691" i="6"/>
  <c r="D3685" i="6"/>
  <c r="D3684" i="6"/>
  <c r="D3683" i="6"/>
  <c r="A3674" i="6"/>
  <c r="D3668" i="6"/>
  <c r="D3667" i="6"/>
  <c r="D3666" i="6"/>
  <c r="A3657" i="6"/>
  <c r="D3651" i="6"/>
  <c r="D3650" i="6"/>
  <c r="D3649" i="6"/>
  <c r="A3640" i="6"/>
  <c r="D3634" i="6"/>
  <c r="D3633" i="6"/>
  <c r="D3632" i="6"/>
  <c r="A3623" i="6"/>
  <c r="D3617" i="6"/>
  <c r="D3616" i="6"/>
  <c r="D3615" i="6"/>
  <c r="A3606" i="6"/>
  <c r="D3600" i="6"/>
  <c r="D3599" i="6"/>
  <c r="D3598" i="6"/>
  <c r="A3589" i="6"/>
  <c r="D3583" i="6"/>
  <c r="D3582" i="6"/>
  <c r="D3581" i="6"/>
  <c r="A3572" i="6"/>
  <c r="D3566" i="6"/>
  <c r="D3565" i="6"/>
  <c r="D3564" i="6"/>
  <c r="A3555" i="6"/>
  <c r="D3549" i="6"/>
  <c r="D3548" i="6"/>
  <c r="D3547" i="6"/>
  <c r="A3538" i="6"/>
  <c r="D3532" i="6"/>
  <c r="D3531" i="6"/>
  <c r="D3530" i="6"/>
  <c r="A3521" i="6"/>
  <c r="D3515" i="6"/>
  <c r="D3514" i="6"/>
  <c r="D3513" i="6"/>
  <c r="A3504" i="6"/>
  <c r="D3498" i="6"/>
  <c r="D3497" i="6"/>
  <c r="D3496" i="6"/>
  <c r="A3487" i="6"/>
  <c r="D3481" i="6"/>
  <c r="D3480" i="6"/>
  <c r="D3479" i="6"/>
  <c r="A3470" i="6"/>
  <c r="D3464" i="6"/>
  <c r="D3463" i="6"/>
  <c r="D3462" i="6"/>
  <c r="A3453" i="6"/>
  <c r="D3447" i="6"/>
  <c r="D3446" i="6"/>
  <c r="D3445" i="6"/>
  <c r="A3436" i="6"/>
  <c r="D3430" i="6"/>
  <c r="D3429" i="6"/>
  <c r="D3428" i="6"/>
  <c r="A3419" i="6"/>
  <c r="D3413" i="6"/>
  <c r="D3412" i="6"/>
  <c r="D3411" i="6"/>
  <c r="A3402" i="6"/>
  <c r="D3396" i="6"/>
  <c r="D3395" i="6"/>
  <c r="D3394" i="6"/>
  <c r="A3385" i="6"/>
  <c r="D3379" i="6"/>
  <c r="D3378" i="6"/>
  <c r="D3377" i="6"/>
  <c r="A3368" i="6"/>
  <c r="D3362" i="6"/>
  <c r="D3361" i="6"/>
  <c r="D3360" i="6"/>
  <c r="A3351" i="6"/>
  <c r="D3345" i="6"/>
  <c r="D3344" i="6"/>
  <c r="D3343" i="6"/>
  <c r="A3334" i="6"/>
  <c r="D3328" i="6"/>
  <c r="D3327" i="6"/>
  <c r="D3326" i="6"/>
  <c r="A3317" i="6"/>
  <c r="D3311" i="6"/>
  <c r="D3310" i="6"/>
  <c r="D3309" i="6"/>
  <c r="A3300" i="6"/>
  <c r="D3294" i="6"/>
  <c r="D3293" i="6"/>
  <c r="D3292" i="6"/>
  <c r="A3283" i="6"/>
  <c r="D3277" i="6"/>
  <c r="D3276" i="6"/>
  <c r="D3275" i="6"/>
  <c r="A3266" i="6"/>
  <c r="D3260" i="6"/>
  <c r="D3259" i="6"/>
  <c r="D3258" i="6"/>
  <c r="A3249" i="6"/>
  <c r="D3243" i="6"/>
  <c r="D3242" i="6"/>
  <c r="D3241" i="6"/>
  <c r="A3232" i="6"/>
  <c r="D3226" i="6"/>
  <c r="D3225" i="6"/>
  <c r="D3224" i="6"/>
  <c r="A3215" i="6"/>
  <c r="D3209" i="6"/>
  <c r="D3208" i="6"/>
  <c r="D3207" i="6"/>
  <c r="A3198" i="6"/>
  <c r="D3192" i="6"/>
  <c r="D3191" i="6"/>
  <c r="D3190" i="6"/>
  <c r="A3181" i="6"/>
  <c r="D3175" i="6"/>
  <c r="D3174" i="6"/>
  <c r="D3173" i="6"/>
  <c r="A3164" i="6"/>
  <c r="D3158" i="6"/>
  <c r="D3157" i="6"/>
  <c r="D3156" i="6"/>
  <c r="A3147" i="6"/>
  <c r="D3141" i="6"/>
  <c r="D3140" i="6"/>
  <c r="D3139" i="6"/>
  <c r="A3130" i="6"/>
  <c r="D3124" i="6"/>
  <c r="D3123" i="6"/>
  <c r="D3122" i="6"/>
  <c r="A3113" i="6"/>
  <c r="D3107" i="6"/>
  <c r="D3106" i="6"/>
  <c r="D3105" i="6"/>
  <c r="A3096" i="6"/>
  <c r="D3090" i="6"/>
  <c r="D3089" i="6"/>
  <c r="D3088" i="6"/>
  <c r="A3079" i="6"/>
  <c r="D3073" i="6"/>
  <c r="D3072" i="6"/>
  <c r="D3071" i="6"/>
  <c r="A3062" i="6"/>
  <c r="D3056" i="6"/>
  <c r="D3055" i="6"/>
  <c r="D3054" i="6"/>
  <c r="A3045" i="6"/>
  <c r="D3039" i="6"/>
  <c r="D3038" i="6"/>
  <c r="D3037" i="6"/>
  <c r="A3028" i="6"/>
  <c r="D3022" i="6"/>
  <c r="D3021" i="6"/>
  <c r="D3020" i="6"/>
  <c r="A3011" i="6"/>
  <c r="D3005" i="6"/>
  <c r="D3004" i="6"/>
  <c r="D3003" i="6"/>
  <c r="A2994" i="6"/>
  <c r="D2988" i="6"/>
  <c r="D2987" i="6"/>
  <c r="D2986" i="6"/>
  <c r="A2977" i="6"/>
  <c r="D2971" i="6"/>
  <c r="D2970" i="6"/>
  <c r="D2969" i="6"/>
  <c r="A2960" i="6"/>
  <c r="D2954" i="6"/>
  <c r="D2953" i="6"/>
  <c r="D2952" i="6"/>
  <c r="A2943" i="6"/>
  <c r="D2937" i="6"/>
  <c r="D2936" i="6"/>
  <c r="D2935" i="6"/>
  <c r="A2926" i="6"/>
  <c r="D2920" i="6"/>
  <c r="D2919" i="6"/>
  <c r="D2918" i="6"/>
  <c r="A2909" i="6"/>
  <c r="D2903" i="6"/>
  <c r="D2902" i="6"/>
  <c r="D2901" i="6"/>
  <c r="A2892" i="6"/>
  <c r="D2886" i="6"/>
  <c r="D2885" i="6"/>
  <c r="D2884" i="6"/>
  <c r="A2875" i="6"/>
  <c r="D2869" i="6"/>
  <c r="D2868" i="6"/>
  <c r="D2867" i="6"/>
  <c r="A2858" i="6"/>
  <c r="D2852" i="6"/>
  <c r="D2851" i="6"/>
  <c r="D2850" i="6"/>
  <c r="A2841" i="6"/>
  <c r="D2835" i="6"/>
  <c r="D2834" i="6"/>
  <c r="D2833" i="6"/>
  <c r="A2824" i="6"/>
  <c r="D2818" i="6"/>
  <c r="D2817" i="6"/>
  <c r="D2816" i="6"/>
  <c r="A2807" i="6"/>
  <c r="D2801" i="6"/>
  <c r="D2800" i="6"/>
  <c r="D2799" i="6"/>
  <c r="A2790" i="6"/>
  <c r="D2784" i="6"/>
  <c r="D2783" i="6"/>
  <c r="D2782" i="6"/>
  <c r="A2773" i="6"/>
  <c r="D2767" i="6"/>
  <c r="D2766" i="6"/>
  <c r="D2765" i="6"/>
  <c r="A2756" i="6"/>
  <c r="D2750" i="6"/>
  <c r="D2749" i="6"/>
  <c r="D2748" i="6"/>
  <c r="A2739" i="6"/>
  <c r="D2733" i="6"/>
  <c r="D2732" i="6"/>
  <c r="D2731" i="6"/>
  <c r="A2722" i="6"/>
  <c r="D2716" i="6"/>
  <c r="D2715" i="6"/>
  <c r="D2714" i="6"/>
  <c r="A2705" i="6"/>
  <c r="D2699" i="6"/>
  <c r="D2698" i="6"/>
  <c r="D2697" i="6"/>
  <c r="A2688" i="6"/>
  <c r="D2682" i="6"/>
  <c r="D2681" i="6"/>
  <c r="D2680" i="6"/>
  <c r="A2671" i="6"/>
  <c r="D2665" i="6"/>
  <c r="D2664" i="6"/>
  <c r="D2663" i="6"/>
  <c r="A2654" i="6"/>
  <c r="D2648" i="6"/>
  <c r="D2647" i="6"/>
  <c r="D2646" i="6"/>
  <c r="A2637" i="6"/>
  <c r="D2631" i="6"/>
  <c r="D2630" i="6"/>
  <c r="D2629" i="6"/>
  <c r="A2620" i="6"/>
  <c r="D2614" i="6"/>
  <c r="D2613" i="6"/>
  <c r="D2612" i="6"/>
  <c r="A2603" i="6"/>
  <c r="D2597" i="6"/>
  <c r="D2596" i="6"/>
  <c r="D2595" i="6"/>
  <c r="A2586" i="6"/>
  <c r="D2580" i="6"/>
  <c r="D2579" i="6"/>
  <c r="D2578" i="6"/>
  <c r="A2569" i="6"/>
  <c r="D2563" i="6"/>
  <c r="D2562" i="6"/>
  <c r="D2561" i="6"/>
  <c r="A2552" i="6"/>
  <c r="D2546" i="6"/>
  <c r="D2545" i="6"/>
  <c r="D2544" i="6"/>
  <c r="A2535" i="6"/>
  <c r="D2529" i="6"/>
  <c r="D2528" i="6"/>
  <c r="D2527" i="6"/>
  <c r="A2518" i="6"/>
  <c r="D2512" i="6"/>
  <c r="D2511" i="6"/>
  <c r="D2510" i="6"/>
  <c r="A2501" i="6"/>
  <c r="D2495" i="6"/>
  <c r="D2494" i="6"/>
  <c r="D2493" i="6"/>
  <c r="A2484" i="6"/>
  <c r="D2478" i="6"/>
  <c r="D2477" i="6"/>
  <c r="D2476" i="6"/>
  <c r="A2467" i="6"/>
  <c r="D2461" i="6"/>
  <c r="D2460" i="6"/>
  <c r="D2459" i="6"/>
  <c r="A2450" i="6"/>
  <c r="D2444" i="6"/>
  <c r="D2443" i="6"/>
  <c r="D2442" i="6"/>
  <c r="A2433" i="6"/>
  <c r="D2427" i="6"/>
  <c r="D2426" i="6"/>
  <c r="D2425" i="6"/>
  <c r="A2416" i="6"/>
  <c r="D2410" i="6"/>
  <c r="D2409" i="6"/>
  <c r="D2408" i="6"/>
  <c r="A2399" i="6"/>
  <c r="D2393" i="6"/>
  <c r="D2392" i="6"/>
  <c r="D2391" i="6"/>
  <c r="A2382" i="6"/>
  <c r="D2376" i="6"/>
  <c r="D2375" i="6"/>
  <c r="D2374" i="6"/>
  <c r="A2365" i="6"/>
  <c r="D2359" i="6"/>
  <c r="D2358" i="6"/>
  <c r="D2357" i="6"/>
  <c r="A2348" i="6"/>
  <c r="D2342" i="6"/>
  <c r="D2341" i="6"/>
  <c r="D2340" i="6"/>
  <c r="A2331" i="6"/>
  <c r="D2325" i="6"/>
  <c r="D2324" i="6"/>
  <c r="D2323" i="6"/>
  <c r="A2314" i="6"/>
  <c r="D2308" i="6"/>
  <c r="D2307" i="6"/>
  <c r="D2306" i="6"/>
  <c r="A2297" i="6"/>
  <c r="D2291" i="6"/>
  <c r="D2290" i="6"/>
  <c r="D2289" i="6"/>
  <c r="A2280" i="6"/>
  <c r="D2274" i="6"/>
  <c r="D2273" i="6"/>
  <c r="D2272" i="6"/>
  <c r="A2263" i="6"/>
  <c r="D2257" i="6"/>
  <c r="D2256" i="6"/>
  <c r="D2255" i="6"/>
  <c r="A2246" i="6"/>
  <c r="D2240" i="6"/>
  <c r="D2239" i="6"/>
  <c r="D2238" i="6"/>
  <c r="A2229" i="6"/>
  <c r="D2223" i="6"/>
  <c r="D2222" i="6"/>
  <c r="D2221" i="6"/>
  <c r="A2212" i="6"/>
  <c r="D2206" i="6"/>
  <c r="D2205" i="6"/>
  <c r="D2204" i="6"/>
  <c r="A2195" i="6"/>
  <c r="D2189" i="6"/>
  <c r="D2188" i="6"/>
  <c r="D2187" i="6"/>
  <c r="A2178" i="6"/>
  <c r="D2172" i="6"/>
  <c r="D2171" i="6"/>
  <c r="D2170" i="6"/>
  <c r="A2161" i="6"/>
  <c r="D2155" i="6"/>
  <c r="D2154" i="6"/>
  <c r="D2153" i="6"/>
  <c r="A2144" i="6"/>
  <c r="D2138" i="6"/>
  <c r="D2137" i="6"/>
  <c r="D2136" i="6"/>
  <c r="A2127" i="6"/>
  <c r="D2121" i="6"/>
  <c r="D2120" i="6"/>
  <c r="D2119" i="6"/>
  <c r="A2110" i="6"/>
  <c r="D2104" i="6"/>
  <c r="D2103" i="6"/>
  <c r="D2102" i="6"/>
  <c r="A2093" i="6"/>
  <c r="D2087" i="6"/>
  <c r="D2086" i="6"/>
  <c r="D2085" i="6"/>
  <c r="A2076" i="6"/>
  <c r="D2070" i="6"/>
  <c r="D2069" i="6"/>
  <c r="D2068" i="6"/>
  <c r="A2059" i="6"/>
  <c r="D2053" i="6"/>
  <c r="D2052" i="6"/>
  <c r="D2051" i="6"/>
  <c r="A2042" i="6"/>
  <c r="D2036" i="6"/>
  <c r="D2035" i="6"/>
  <c r="D2034" i="6"/>
  <c r="A2025" i="6"/>
  <c r="D2019" i="6"/>
  <c r="D2018" i="6"/>
  <c r="D2017" i="6"/>
  <c r="A2008" i="6"/>
  <c r="D2002" i="6"/>
  <c r="D2001" i="6"/>
  <c r="D2000" i="6"/>
  <c r="A1991" i="6"/>
  <c r="D1985" i="6"/>
  <c r="D1984" i="6"/>
  <c r="D1983" i="6"/>
  <c r="A1974" i="6"/>
  <c r="D1968" i="6"/>
  <c r="D1967" i="6"/>
  <c r="D1966" i="6"/>
  <c r="A1957" i="6"/>
  <c r="D1951" i="6"/>
  <c r="D1950" i="6"/>
  <c r="D1949" i="6"/>
  <c r="A1940" i="6"/>
  <c r="D1934" i="6"/>
  <c r="D1933" i="6"/>
  <c r="D1932" i="6"/>
  <c r="A1923" i="6"/>
  <c r="D1917" i="6"/>
  <c r="D1916" i="6"/>
  <c r="D1915" i="6"/>
  <c r="A1906" i="6"/>
  <c r="D1900" i="6"/>
  <c r="D1899" i="6"/>
  <c r="D1898" i="6"/>
  <c r="A1889" i="6"/>
  <c r="D1883" i="6"/>
  <c r="D1882" i="6"/>
  <c r="D1881" i="6"/>
  <c r="A1872" i="6"/>
  <c r="D1866" i="6"/>
  <c r="D1865" i="6"/>
  <c r="D1864" i="6"/>
  <c r="A1855" i="6"/>
  <c r="D1849" i="6"/>
  <c r="D1848" i="6"/>
  <c r="D1847" i="6"/>
  <c r="A1838" i="6"/>
  <c r="D1832" i="6"/>
  <c r="D1831" i="6"/>
  <c r="D1830" i="6"/>
  <c r="A1821" i="6"/>
  <c r="D1815" i="6"/>
  <c r="D1814" i="6"/>
  <c r="D1813" i="6"/>
  <c r="A1804" i="6"/>
  <c r="D1798" i="6"/>
  <c r="D1797" i="6"/>
  <c r="D1796" i="6"/>
  <c r="A1787" i="6"/>
  <c r="D1781" i="6"/>
  <c r="D1780" i="6"/>
  <c r="D1779" i="6"/>
  <c r="A1770" i="6"/>
  <c r="D1764" i="6"/>
  <c r="D1763" i="6"/>
  <c r="D1762" i="6"/>
  <c r="A1753" i="6"/>
  <c r="D1747" i="6"/>
  <c r="D1746" i="6"/>
  <c r="D1745" i="6"/>
  <c r="A1736" i="6"/>
  <c r="D1730" i="6"/>
  <c r="D1729" i="6"/>
  <c r="D1728" i="6"/>
  <c r="A1719" i="6"/>
  <c r="D1713" i="6"/>
  <c r="D1712" i="6"/>
  <c r="D1711" i="6"/>
  <c r="A1702" i="6"/>
  <c r="D1696" i="6"/>
  <c r="D1695" i="6"/>
  <c r="D1694" i="6"/>
  <c r="A1685" i="6"/>
  <c r="D1679" i="6"/>
  <c r="D1678" i="6"/>
  <c r="D1677" i="6"/>
  <c r="A1668" i="6"/>
  <c r="D1662" i="6"/>
  <c r="D1661" i="6"/>
  <c r="D1660" i="6"/>
  <c r="A1651" i="6"/>
  <c r="D1645" i="6"/>
  <c r="D1644" i="6"/>
  <c r="D1643" i="6"/>
  <c r="A1634" i="6"/>
  <c r="D1628" i="6"/>
  <c r="D1627" i="6"/>
  <c r="D1626" i="6"/>
  <c r="A1617" i="6"/>
  <c r="D1611" i="6"/>
  <c r="D1610" i="6"/>
  <c r="D1609" i="6"/>
  <c r="A1600" i="6"/>
  <c r="D1594" i="6"/>
  <c r="D1593" i="6"/>
  <c r="D1592" i="6"/>
  <c r="A1583" i="6"/>
  <c r="D1577" i="6"/>
  <c r="D1576" i="6"/>
  <c r="D1575" i="6"/>
  <c r="A1566" i="6"/>
  <c r="D1560" i="6"/>
  <c r="D1559" i="6"/>
  <c r="D1558" i="6"/>
  <c r="A1549" i="6"/>
  <c r="D1543" i="6"/>
  <c r="D1542" i="6"/>
  <c r="D1541" i="6"/>
  <c r="A1532" i="6"/>
  <c r="D1526" i="6"/>
  <c r="D1525" i="6"/>
  <c r="D1524" i="6"/>
  <c r="A1515" i="6"/>
  <c r="D1509" i="6"/>
  <c r="D1508" i="6"/>
  <c r="D1507" i="6"/>
  <c r="A1498" i="6"/>
  <c r="D1492" i="6"/>
  <c r="D1491" i="6"/>
  <c r="D1490" i="6"/>
  <c r="A1481" i="6"/>
  <c r="D1475" i="6"/>
  <c r="D1474" i="6"/>
  <c r="D1473" i="6"/>
  <c r="A1464" i="6"/>
  <c r="D1458" i="6"/>
  <c r="D1457" i="6"/>
  <c r="D1456" i="6"/>
  <c r="A1447" i="6"/>
  <c r="D1441" i="6"/>
  <c r="D1440" i="6"/>
  <c r="D1439" i="6"/>
  <c r="A1430" i="6"/>
  <c r="D1424" i="6"/>
  <c r="D1423" i="6"/>
  <c r="D1422" i="6"/>
  <c r="A1413" i="6"/>
  <c r="D1407" i="6"/>
  <c r="D1406" i="6"/>
  <c r="D1405" i="6"/>
  <c r="A1396" i="6"/>
  <c r="D1390" i="6"/>
  <c r="D1389" i="6"/>
  <c r="D1388" i="6"/>
  <c r="A1379" i="6"/>
  <c r="D1373" i="6"/>
  <c r="D1372" i="6"/>
  <c r="D1371" i="6"/>
  <c r="A1362" i="6"/>
  <c r="D1356" i="6"/>
  <c r="D1355" i="6"/>
  <c r="D1354" i="6"/>
  <c r="A1345" i="6"/>
  <c r="D1339" i="6"/>
  <c r="D1338" i="6"/>
  <c r="D1337" i="6"/>
  <c r="A1328" i="6"/>
  <c r="D1322" i="6"/>
  <c r="D1321" i="6"/>
  <c r="D1320" i="6"/>
  <c r="A1311" i="6"/>
  <c r="D1305" i="6"/>
  <c r="D1304" i="6"/>
  <c r="D1303" i="6"/>
  <c r="A1294" i="6"/>
  <c r="D1288" i="6"/>
  <c r="D1287" i="6"/>
  <c r="D1286" i="6"/>
  <c r="A1277" i="6"/>
  <c r="D1271" i="6"/>
  <c r="D1270" i="6"/>
  <c r="D1269" i="6"/>
  <c r="A1260" i="6"/>
  <c r="D1254" i="6"/>
  <c r="D1253" i="6"/>
  <c r="D1252" i="6"/>
  <c r="A1243" i="6"/>
  <c r="D1237" i="6"/>
  <c r="D1236" i="6"/>
  <c r="D1235" i="6"/>
  <c r="A1226" i="6"/>
  <c r="D1220" i="6"/>
  <c r="D1219" i="6"/>
  <c r="D1218" i="6"/>
  <c r="A1209" i="6"/>
  <c r="D1203" i="6"/>
  <c r="D1202" i="6"/>
  <c r="D1201" i="6"/>
  <c r="A1192" i="6"/>
  <c r="D1186" i="6"/>
  <c r="D1185" i="6"/>
  <c r="D1184" i="6"/>
  <c r="A1175" i="6"/>
  <c r="D1169" i="6"/>
  <c r="D1168" i="6"/>
  <c r="D1167" i="6"/>
  <c r="A1158" i="6"/>
  <c r="D1152" i="6"/>
  <c r="D1151" i="6"/>
  <c r="D1150" i="6"/>
  <c r="A1141" i="6"/>
  <c r="D1135" i="6"/>
  <c r="D1134" i="6"/>
  <c r="D1133" i="6"/>
  <c r="A1124" i="6"/>
  <c r="D1118" i="6"/>
  <c r="D1117" i="6"/>
  <c r="D1116" i="6"/>
  <c r="A1107" i="6"/>
  <c r="D1101" i="6"/>
  <c r="D1100" i="6"/>
  <c r="D1099" i="6"/>
  <c r="A1090" i="6"/>
  <c r="D1084" i="6"/>
  <c r="D1083" i="6"/>
  <c r="D1082" i="6"/>
  <c r="A1073" i="6"/>
  <c r="D1067" i="6"/>
  <c r="D1066" i="6"/>
  <c r="D1065" i="6"/>
  <c r="A1056" i="6"/>
  <c r="D1050" i="6"/>
  <c r="D1049" i="6"/>
  <c r="D1048" i="6"/>
  <c r="A1039" i="6"/>
  <c r="D1033" i="6"/>
  <c r="D1032" i="6"/>
  <c r="D1031" i="6"/>
  <c r="A1022" i="6"/>
  <c r="D1016" i="6"/>
  <c r="D1015" i="6"/>
  <c r="D1014" i="6"/>
  <c r="A1005" i="6"/>
  <c r="D999" i="6"/>
  <c r="D998" i="6"/>
  <c r="D997" i="6"/>
  <c r="A988" i="6"/>
  <c r="D982" i="6"/>
  <c r="D981" i="6"/>
  <c r="D980" i="6"/>
  <c r="A971" i="6"/>
  <c r="D965" i="6"/>
  <c r="D964" i="6"/>
  <c r="D963" i="6"/>
  <c r="A954" i="6"/>
  <c r="D948" i="6"/>
  <c r="D947" i="6"/>
  <c r="D946" i="6"/>
  <c r="A937" i="6"/>
  <c r="D931" i="6"/>
  <c r="D930" i="6"/>
  <c r="D929" i="6"/>
  <c r="A920" i="6"/>
  <c r="D914" i="6"/>
  <c r="D913" i="6"/>
  <c r="D912" i="6"/>
  <c r="A903" i="6"/>
  <c r="D897" i="6"/>
  <c r="D896" i="6"/>
  <c r="D895" i="6"/>
  <c r="A886" i="6"/>
  <c r="D880" i="6"/>
  <c r="D879" i="6"/>
  <c r="D878" i="6"/>
  <c r="A869" i="6"/>
  <c r="D863" i="6"/>
  <c r="D862" i="6"/>
  <c r="D861" i="6"/>
  <c r="A852" i="6"/>
  <c r="D846" i="6"/>
  <c r="D845" i="6"/>
  <c r="D844" i="6"/>
  <c r="A835" i="6"/>
  <c r="D829" i="6"/>
  <c r="D828" i="6"/>
  <c r="D827" i="6"/>
  <c r="A818" i="6"/>
  <c r="D812" i="6"/>
  <c r="D811" i="6"/>
  <c r="D810" i="6"/>
  <c r="A801" i="6"/>
  <c r="D795" i="6"/>
  <c r="D794" i="6"/>
  <c r="D793" i="6"/>
  <c r="A784" i="6"/>
  <c r="D778" i="6"/>
  <c r="D777" i="6"/>
  <c r="D776" i="6"/>
  <c r="A767" i="6"/>
  <c r="D761" i="6"/>
  <c r="D760" i="6"/>
  <c r="D759" i="6"/>
  <c r="A750" i="6"/>
  <c r="D744" i="6"/>
  <c r="D743" i="6"/>
  <c r="D742" i="6"/>
  <c r="A733" i="6"/>
  <c r="D727" i="6"/>
  <c r="D726" i="6"/>
  <c r="D725" i="6"/>
  <c r="A716" i="6"/>
  <c r="D710" i="6"/>
  <c r="D709" i="6"/>
  <c r="D708" i="6"/>
  <c r="A699" i="6"/>
  <c r="D693" i="6"/>
  <c r="D692" i="6"/>
  <c r="D691" i="6"/>
  <c r="A682" i="6"/>
  <c r="D676" i="6"/>
  <c r="D675" i="6"/>
  <c r="D674" i="6"/>
  <c r="A665" i="6"/>
  <c r="D659" i="6"/>
  <c r="D658" i="6"/>
  <c r="D657" i="6"/>
  <c r="A648" i="6"/>
  <c r="D642" i="6"/>
  <c r="D641" i="6"/>
  <c r="D640" i="6"/>
  <c r="A631" i="6"/>
  <c r="D625" i="6"/>
  <c r="D624" i="6"/>
  <c r="D623" i="6"/>
  <c r="A614" i="6"/>
  <c r="D608" i="6"/>
  <c r="D607" i="6"/>
  <c r="D606" i="6"/>
  <c r="A597" i="6"/>
  <c r="D591" i="6"/>
  <c r="D590" i="6"/>
  <c r="D589" i="6"/>
  <c r="A580" i="6"/>
  <c r="D574" i="6"/>
  <c r="D573" i="6"/>
  <c r="D572" i="6"/>
  <c r="A563" i="6"/>
  <c r="D557" i="6"/>
  <c r="D556" i="6"/>
  <c r="D555" i="6"/>
  <c r="A546" i="6"/>
  <c r="D540" i="6"/>
  <c r="D539" i="6"/>
  <c r="D538" i="6"/>
  <c r="A529" i="6"/>
  <c r="D523" i="6"/>
  <c r="D522" i="6"/>
  <c r="D521" i="6"/>
  <c r="A512" i="6"/>
  <c r="D506" i="6"/>
  <c r="D505" i="6"/>
  <c r="D504" i="6"/>
  <c r="A495" i="6"/>
  <c r="D489" i="6"/>
  <c r="D488" i="6"/>
  <c r="D487" i="6"/>
  <c r="A478" i="6"/>
  <c r="D472" i="6"/>
  <c r="D471" i="6"/>
  <c r="D470" i="6"/>
  <c r="A461" i="6"/>
  <c r="D455" i="6"/>
  <c r="D454" i="6"/>
  <c r="D453" i="6"/>
  <c r="A444" i="6"/>
  <c r="D438" i="6"/>
  <c r="D437" i="6"/>
  <c r="D436" i="6"/>
  <c r="A427" i="6"/>
  <c r="D421" i="6"/>
  <c r="D420" i="6"/>
  <c r="D419" i="6"/>
  <c r="A410" i="6"/>
  <c r="D404" i="6"/>
  <c r="D403" i="6"/>
  <c r="D402" i="6"/>
  <c r="A393" i="6"/>
  <c r="D387" i="6"/>
  <c r="D386" i="6"/>
  <c r="D385" i="6"/>
  <c r="A376" i="6"/>
  <c r="D370" i="6"/>
  <c r="D369" i="6"/>
  <c r="D368" i="6"/>
  <c r="A359" i="6"/>
  <c r="D353" i="6"/>
  <c r="D352" i="6"/>
  <c r="D351" i="6"/>
  <c r="A342" i="6"/>
  <c r="D336" i="6"/>
  <c r="D335" i="6"/>
  <c r="D334" i="6"/>
  <c r="A325" i="6"/>
  <c r="D319" i="6"/>
  <c r="D318" i="6"/>
  <c r="D317" i="6"/>
  <c r="A308" i="6"/>
  <c r="D302" i="6"/>
  <c r="D301" i="6"/>
  <c r="D300" i="6"/>
  <c r="A291" i="6"/>
  <c r="D285" i="6"/>
  <c r="D284" i="6"/>
  <c r="D283" i="6"/>
  <c r="A274" i="6"/>
  <c r="A259" i="6"/>
  <c r="D253" i="6"/>
  <c r="D252" i="6"/>
  <c r="D251" i="6"/>
  <c r="A242" i="6"/>
  <c r="D236" i="6"/>
  <c r="D235" i="6"/>
  <c r="D234" i="6"/>
  <c r="A225" i="6"/>
  <c r="D219" i="6"/>
  <c r="D218" i="6"/>
  <c r="D217" i="6"/>
  <c r="A208" i="6"/>
  <c r="D202" i="6"/>
  <c r="D201" i="6"/>
  <c r="D200" i="6"/>
  <c r="A191" i="6"/>
  <c r="D185" i="6"/>
  <c r="D184" i="6"/>
  <c r="D183" i="6"/>
  <c r="A174" i="6"/>
  <c r="D168" i="6"/>
  <c r="D167" i="6"/>
  <c r="D166" i="6"/>
  <c r="A157" i="6"/>
  <c r="D151" i="6"/>
  <c r="D150" i="6"/>
  <c r="D149" i="6"/>
  <c r="A140" i="6"/>
  <c r="A125" i="6"/>
  <c r="D119" i="6"/>
  <c r="D118" i="6"/>
  <c r="D117" i="6"/>
  <c r="A108" i="6"/>
  <c r="D102" i="6"/>
  <c r="D101" i="6"/>
  <c r="D100" i="6"/>
  <c r="A91" i="6"/>
  <c r="A76" i="6"/>
  <c r="A61" i="6"/>
  <c r="A46" i="6"/>
  <c r="A31" i="6"/>
  <c r="A16" i="6"/>
  <c r="A1" i="6"/>
  <c r="D3808" i="5"/>
  <c r="D3807" i="5"/>
  <c r="D3806" i="5"/>
  <c r="A3797" i="5"/>
  <c r="D3791" i="5"/>
  <c r="D3790" i="5"/>
  <c r="D3789" i="5"/>
  <c r="A3780" i="5"/>
  <c r="D3774" i="5"/>
  <c r="D3773" i="5"/>
  <c r="D3772" i="5"/>
  <c r="A3763" i="5"/>
  <c r="D3757" i="5"/>
  <c r="D3756" i="5"/>
  <c r="D3755" i="5"/>
  <c r="A3746" i="5"/>
  <c r="D3740" i="5"/>
  <c r="D3739" i="5"/>
  <c r="D3738" i="5"/>
  <c r="A3729" i="5"/>
  <c r="D3723" i="5"/>
  <c r="D3722" i="5"/>
  <c r="D3721" i="5"/>
  <c r="A3712" i="5"/>
  <c r="D3706" i="5"/>
  <c r="D3705" i="5"/>
  <c r="D3704" i="5"/>
  <c r="A3695" i="5"/>
  <c r="D3689" i="5"/>
  <c r="D3688" i="5"/>
  <c r="D3687" i="5"/>
  <c r="A3678" i="5"/>
  <c r="D3672" i="5"/>
  <c r="D3671" i="5"/>
  <c r="D3670" i="5"/>
  <c r="A3661" i="5"/>
  <c r="D3655" i="5"/>
  <c r="D3654" i="5"/>
  <c r="D3653" i="5"/>
  <c r="A3644" i="5"/>
  <c r="D3638" i="5"/>
  <c r="D3637" i="5"/>
  <c r="D3636" i="5"/>
  <c r="A3627" i="5"/>
  <c r="D3621" i="5"/>
  <c r="D3620" i="5"/>
  <c r="D3619" i="5"/>
  <c r="A3610" i="5"/>
  <c r="D3604" i="5"/>
  <c r="D3603" i="5"/>
  <c r="D3602" i="5"/>
  <c r="A3593" i="5"/>
  <c r="D3587" i="5"/>
  <c r="D3586" i="5"/>
  <c r="D3585" i="5"/>
  <c r="A3576" i="5"/>
  <c r="D3570" i="5"/>
  <c r="D3569" i="5"/>
  <c r="D3568" i="5"/>
  <c r="A3559" i="5"/>
  <c r="D3553" i="5"/>
  <c r="D3552" i="5"/>
  <c r="D3551" i="5"/>
  <c r="A3542" i="5"/>
  <c r="D3536" i="5"/>
  <c r="D3535" i="5"/>
  <c r="D3534" i="5"/>
  <c r="A3525" i="5"/>
  <c r="D3519" i="5"/>
  <c r="D3518" i="5"/>
  <c r="D3517" i="5"/>
  <c r="A3508" i="5"/>
  <c r="D3502" i="5"/>
  <c r="D3501" i="5"/>
  <c r="D3500" i="5"/>
  <c r="A3491" i="5"/>
  <c r="D3485" i="5"/>
  <c r="D3484" i="5"/>
  <c r="D3483" i="5"/>
  <c r="A3474" i="5"/>
  <c r="D3468" i="5"/>
  <c r="D3467" i="5"/>
  <c r="D3466" i="5"/>
  <c r="A3457" i="5"/>
  <c r="D3451" i="5"/>
  <c r="D3450" i="5"/>
  <c r="D3449" i="5"/>
  <c r="A3440" i="5"/>
  <c r="D3434" i="5"/>
  <c r="D3433" i="5"/>
  <c r="D3432" i="5"/>
  <c r="A3423" i="5"/>
  <c r="D3417" i="5"/>
  <c r="D3416" i="5"/>
  <c r="D3415" i="5"/>
  <c r="A3406" i="5"/>
  <c r="D3400" i="5"/>
  <c r="D3399" i="5"/>
  <c r="D3398" i="5"/>
  <c r="A3389" i="5"/>
  <c r="D3383" i="5"/>
  <c r="D3382" i="5"/>
  <c r="D3381" i="5"/>
  <c r="A3372" i="5"/>
  <c r="D3366" i="5"/>
  <c r="D3365" i="5"/>
  <c r="D3364" i="5"/>
  <c r="A3355" i="5"/>
  <c r="D3349" i="5"/>
  <c r="D3348" i="5"/>
  <c r="D3347" i="5"/>
  <c r="A3338" i="5"/>
  <c r="D3332" i="5"/>
  <c r="D3331" i="5"/>
  <c r="D3330" i="5"/>
  <c r="A3321" i="5"/>
  <c r="D3315" i="5"/>
  <c r="D3314" i="5"/>
  <c r="D3313" i="5"/>
  <c r="A3304" i="5"/>
  <c r="D3298" i="5"/>
  <c r="D3297" i="5"/>
  <c r="D3296" i="5"/>
  <c r="A3287" i="5"/>
  <c r="D3281" i="5"/>
  <c r="D3280" i="5"/>
  <c r="D3279" i="5"/>
  <c r="A3270" i="5"/>
  <c r="D3264" i="5"/>
  <c r="D3263" i="5"/>
  <c r="D3262" i="5"/>
  <c r="A3253" i="5"/>
  <c r="D3247" i="5"/>
  <c r="D3246" i="5"/>
  <c r="D3245" i="5"/>
  <c r="A3236" i="5"/>
  <c r="D3230" i="5"/>
  <c r="D3229" i="5"/>
  <c r="D3228" i="5"/>
  <c r="A3219" i="5"/>
  <c r="D3213" i="5"/>
  <c r="D3212" i="5"/>
  <c r="D3211" i="5"/>
  <c r="A3202" i="5"/>
  <c r="D3196" i="5"/>
  <c r="D3195" i="5"/>
  <c r="D3194" i="5"/>
  <c r="A3185" i="5"/>
  <c r="D3179" i="5"/>
  <c r="D3178" i="5"/>
  <c r="D3177" i="5"/>
  <c r="A3168" i="5"/>
  <c r="D3162" i="5"/>
  <c r="D3161" i="5"/>
  <c r="D3160" i="5"/>
  <c r="A3151" i="5"/>
  <c r="D3145" i="5"/>
  <c r="D3144" i="5"/>
  <c r="D3143" i="5"/>
  <c r="A3134" i="5"/>
  <c r="D3128" i="5"/>
  <c r="D3127" i="5"/>
  <c r="D3126" i="5"/>
  <c r="A3117" i="5"/>
  <c r="D3111" i="5"/>
  <c r="D3110" i="5"/>
  <c r="D3109" i="5"/>
  <c r="A3100" i="5"/>
  <c r="D3094" i="5"/>
  <c r="D3093" i="5"/>
  <c r="D3092" i="5"/>
  <c r="A3083" i="5"/>
  <c r="D3077" i="5"/>
  <c r="D3076" i="5"/>
  <c r="D3075" i="5"/>
  <c r="A3066" i="5"/>
  <c r="D3060" i="5"/>
  <c r="D3059" i="5"/>
  <c r="D3058" i="5"/>
  <c r="A3049" i="5"/>
  <c r="D3043" i="5"/>
  <c r="D3042" i="5"/>
  <c r="D3041" i="5"/>
  <c r="A3032" i="5"/>
  <c r="D3026" i="5"/>
  <c r="D3025" i="5"/>
  <c r="D3024" i="5"/>
  <c r="A3015" i="5"/>
  <c r="D3009" i="5"/>
  <c r="D3008" i="5"/>
  <c r="D3007" i="5"/>
  <c r="A2998" i="5"/>
  <c r="D2992" i="5"/>
  <c r="D2991" i="5"/>
  <c r="D2990" i="5"/>
  <c r="A2981" i="5"/>
  <c r="D2975" i="5"/>
  <c r="D2974" i="5"/>
  <c r="D2973" i="5"/>
  <c r="A2964" i="5"/>
  <c r="D2958" i="5"/>
  <c r="D2957" i="5"/>
  <c r="D2956" i="5"/>
  <c r="A2947" i="5"/>
  <c r="D2941" i="5"/>
  <c r="D2940" i="5"/>
  <c r="D2939" i="5"/>
  <c r="A2930" i="5"/>
  <c r="D2924" i="5"/>
  <c r="D2923" i="5"/>
  <c r="D2922" i="5"/>
  <c r="A2913" i="5"/>
  <c r="D2907" i="5"/>
  <c r="D2906" i="5"/>
  <c r="D2905" i="5"/>
  <c r="A2896" i="5"/>
  <c r="D2890" i="5"/>
  <c r="D2889" i="5"/>
  <c r="D2888" i="5"/>
  <c r="A2879" i="5"/>
  <c r="D2873" i="5"/>
  <c r="D2872" i="5"/>
  <c r="D2871" i="5"/>
  <c r="A2862" i="5"/>
  <c r="D2856" i="5"/>
  <c r="D2855" i="5"/>
  <c r="D2854" i="5"/>
  <c r="A2845" i="5"/>
  <c r="D2839" i="5"/>
  <c r="D2838" i="5"/>
  <c r="D2837" i="5"/>
  <c r="A2828" i="5"/>
  <c r="D2822" i="5"/>
  <c r="D2821" i="5"/>
  <c r="D2820" i="5"/>
  <c r="A2811" i="5"/>
  <c r="D2805" i="5"/>
  <c r="D2804" i="5"/>
  <c r="D2803" i="5"/>
  <c r="A2794" i="5"/>
  <c r="D2788" i="5"/>
  <c r="D2787" i="5"/>
  <c r="D2786" i="5"/>
  <c r="A2777" i="5"/>
  <c r="D2771" i="5"/>
  <c r="D2770" i="5"/>
  <c r="D2769" i="5"/>
  <c r="A2760" i="5"/>
  <c r="D2754" i="5"/>
  <c r="D2753" i="5"/>
  <c r="D2752" i="5"/>
  <c r="A2743" i="5"/>
  <c r="D2737" i="5"/>
  <c r="D2736" i="5"/>
  <c r="D2735" i="5"/>
  <c r="A2726" i="5"/>
  <c r="D2720" i="5"/>
  <c r="D2719" i="5"/>
  <c r="D2718" i="5"/>
  <c r="A2709" i="5"/>
  <c r="D2703" i="5"/>
  <c r="D2702" i="5"/>
  <c r="D2701" i="5"/>
  <c r="A2692" i="5"/>
  <c r="D2686" i="5"/>
  <c r="D2685" i="5"/>
  <c r="D2684" i="5"/>
  <c r="A2675" i="5"/>
  <c r="D2669" i="5"/>
  <c r="D2668" i="5"/>
  <c r="D2667" i="5"/>
  <c r="A2658" i="5"/>
  <c r="D2652" i="5"/>
  <c r="D2651" i="5"/>
  <c r="D2650" i="5"/>
  <c r="A2641" i="5"/>
  <c r="D2635" i="5"/>
  <c r="D2634" i="5"/>
  <c r="D2633" i="5"/>
  <c r="A2624" i="5"/>
  <c r="D2618" i="5"/>
  <c r="D2617" i="5"/>
  <c r="D2616" i="5"/>
  <c r="A2607" i="5"/>
  <c r="D2601" i="5"/>
  <c r="D2600" i="5"/>
  <c r="D2599" i="5"/>
  <c r="A2590" i="5"/>
  <c r="D2584" i="5"/>
  <c r="D2583" i="5"/>
  <c r="D2582" i="5"/>
  <c r="A2573" i="5"/>
  <c r="D2567" i="5"/>
  <c r="D2566" i="5"/>
  <c r="D2565" i="5"/>
  <c r="A2556" i="5"/>
  <c r="D2550" i="5"/>
  <c r="D2549" i="5"/>
  <c r="D2548" i="5"/>
  <c r="A2539" i="5"/>
  <c r="D2533" i="5"/>
  <c r="D2532" i="5"/>
  <c r="D2531" i="5"/>
  <c r="A2522" i="5"/>
  <c r="D2516" i="5"/>
  <c r="D2515" i="5"/>
  <c r="D2514" i="5"/>
  <c r="A2505" i="5"/>
  <c r="D2499" i="5"/>
  <c r="D2498" i="5"/>
  <c r="D2497" i="5"/>
  <c r="A2488" i="5"/>
  <c r="D2482" i="5"/>
  <c r="D2481" i="5"/>
  <c r="D2480" i="5"/>
  <c r="A2471" i="5"/>
  <c r="D2465" i="5"/>
  <c r="D2464" i="5"/>
  <c r="D2463" i="5"/>
  <c r="A2454" i="5"/>
  <c r="D2448" i="5"/>
  <c r="D2447" i="5"/>
  <c r="D2446" i="5"/>
  <c r="A2437" i="5"/>
  <c r="D2431" i="5"/>
  <c r="D2430" i="5"/>
  <c r="D2429" i="5"/>
  <c r="A2420" i="5"/>
  <c r="D2414" i="5"/>
  <c r="D2413" i="5"/>
  <c r="D2412" i="5"/>
  <c r="A2403" i="5"/>
  <c r="D2397" i="5"/>
  <c r="D2396" i="5"/>
  <c r="D2395" i="5"/>
  <c r="A2386" i="5"/>
  <c r="D2380" i="5"/>
  <c r="D2379" i="5"/>
  <c r="D2378" i="5"/>
  <c r="A2369" i="5"/>
  <c r="D2363" i="5"/>
  <c r="D2362" i="5"/>
  <c r="D2361" i="5"/>
  <c r="A2352" i="5"/>
  <c r="D2346" i="5"/>
  <c r="D2345" i="5"/>
  <c r="D2344" i="5"/>
  <c r="A2335" i="5"/>
  <c r="D2329" i="5"/>
  <c r="D2328" i="5"/>
  <c r="D2327" i="5"/>
  <c r="A2318" i="5"/>
  <c r="D2312" i="5"/>
  <c r="D2311" i="5"/>
  <c r="D2310" i="5"/>
  <c r="A2301" i="5"/>
  <c r="D2295" i="5"/>
  <c r="D2294" i="5"/>
  <c r="D2293" i="5"/>
  <c r="A2284" i="5"/>
  <c r="D2278" i="5"/>
  <c r="D2277" i="5"/>
  <c r="D2276" i="5"/>
  <c r="A2267" i="5"/>
  <c r="D2261" i="5"/>
  <c r="D2260" i="5"/>
  <c r="D2259" i="5"/>
  <c r="A2250" i="5"/>
  <c r="D2244" i="5"/>
  <c r="D2243" i="5"/>
  <c r="D2242" i="5"/>
  <c r="A2233" i="5"/>
  <c r="D2227" i="5"/>
  <c r="D2226" i="5"/>
  <c r="D2225" i="5"/>
  <c r="A2216" i="5"/>
  <c r="D2210" i="5"/>
  <c r="D2209" i="5"/>
  <c r="D2208" i="5"/>
  <c r="A2199" i="5"/>
  <c r="D2193" i="5"/>
  <c r="D2192" i="5"/>
  <c r="D2191" i="5"/>
  <c r="A2182" i="5"/>
  <c r="D2176" i="5"/>
  <c r="D2175" i="5"/>
  <c r="D2174" i="5"/>
  <c r="A2165" i="5"/>
  <c r="D2159" i="5"/>
  <c r="D2158" i="5"/>
  <c r="D2157" i="5"/>
  <c r="A2148" i="5"/>
  <c r="D2142" i="5"/>
  <c r="D2141" i="5"/>
  <c r="D2140" i="5"/>
  <c r="A2131" i="5"/>
  <c r="D2125" i="5"/>
  <c r="D2124" i="5"/>
  <c r="D2123" i="5"/>
  <c r="A2114" i="5"/>
  <c r="D2108" i="5"/>
  <c r="D2107" i="5"/>
  <c r="D2106" i="5"/>
  <c r="A2097" i="5"/>
  <c r="D2091" i="5"/>
  <c r="D2090" i="5"/>
  <c r="D2089" i="5"/>
  <c r="A2080" i="5"/>
  <c r="D2074" i="5"/>
  <c r="D2073" i="5"/>
  <c r="D2072" i="5"/>
  <c r="A2063" i="5"/>
  <c r="D2057" i="5"/>
  <c r="D2056" i="5"/>
  <c r="D2055" i="5"/>
  <c r="A2046" i="5"/>
  <c r="D2040" i="5"/>
  <c r="D2039" i="5"/>
  <c r="D2038" i="5"/>
  <c r="A2029" i="5"/>
  <c r="D2023" i="5"/>
  <c r="D2022" i="5"/>
  <c r="D2021" i="5"/>
  <c r="A2012" i="5"/>
  <c r="D2006" i="5"/>
  <c r="D2005" i="5"/>
  <c r="D2004" i="5"/>
  <c r="A1995" i="5"/>
  <c r="D1989" i="5"/>
  <c r="D1988" i="5"/>
  <c r="D1987" i="5"/>
  <c r="A1978" i="5"/>
  <c r="D1972" i="5"/>
  <c r="D1971" i="5"/>
  <c r="D1970" i="5"/>
  <c r="A1961" i="5"/>
  <c r="D1955" i="5"/>
  <c r="D1954" i="5"/>
  <c r="D1953" i="5"/>
  <c r="A1944" i="5"/>
  <c r="D1938" i="5"/>
  <c r="D1937" i="5"/>
  <c r="D1936" i="5"/>
  <c r="A1927" i="5"/>
  <c r="D1921" i="5"/>
  <c r="D1920" i="5"/>
  <c r="D1919" i="5"/>
  <c r="A1910" i="5"/>
  <c r="D1904" i="5"/>
  <c r="D1903" i="5"/>
  <c r="D1902" i="5"/>
  <c r="A1893" i="5"/>
  <c r="D1887" i="5"/>
  <c r="D1886" i="5"/>
  <c r="D1885" i="5"/>
  <c r="A1876" i="5"/>
  <c r="D1870" i="5"/>
  <c r="D1869" i="5"/>
  <c r="D1868" i="5"/>
  <c r="A1859" i="5"/>
  <c r="D1853" i="5"/>
  <c r="D1852" i="5"/>
  <c r="D1851" i="5"/>
  <c r="A1842" i="5"/>
  <c r="D1836" i="5"/>
  <c r="D1835" i="5"/>
  <c r="D1834" i="5"/>
  <c r="A1825" i="5"/>
  <c r="D1819" i="5"/>
  <c r="D1818" i="5"/>
  <c r="D1817" i="5"/>
  <c r="A1808" i="5"/>
  <c r="D1802" i="5"/>
  <c r="D1801" i="5"/>
  <c r="D1800" i="5"/>
  <c r="A1791" i="5"/>
  <c r="D1785" i="5"/>
  <c r="D1784" i="5"/>
  <c r="D1783" i="5"/>
  <c r="A1774" i="5"/>
  <c r="D1768" i="5"/>
  <c r="D1767" i="5"/>
  <c r="D1766" i="5"/>
  <c r="A1757" i="5"/>
  <c r="D1751" i="5"/>
  <c r="D1750" i="5"/>
  <c r="D1749" i="5"/>
  <c r="A1740" i="5"/>
  <c r="D1734" i="5"/>
  <c r="D1733" i="5"/>
  <c r="D1732" i="5"/>
  <c r="A1723" i="5"/>
  <c r="D1717" i="5"/>
  <c r="D1716" i="5"/>
  <c r="D1715" i="5"/>
  <c r="A1706" i="5"/>
  <c r="D1700" i="5"/>
  <c r="D1699" i="5"/>
  <c r="D1698" i="5"/>
  <c r="A1689" i="5"/>
  <c r="D1683" i="5"/>
  <c r="D1682" i="5"/>
  <c r="D1681" i="5"/>
  <c r="A1672" i="5"/>
  <c r="D1666" i="5"/>
  <c r="D1665" i="5"/>
  <c r="D1664" i="5"/>
  <c r="A1655" i="5"/>
  <c r="D1649" i="5"/>
  <c r="D1648" i="5"/>
  <c r="D1647" i="5"/>
  <c r="A1638" i="5"/>
  <c r="D1632" i="5"/>
  <c r="D1631" i="5"/>
  <c r="D1630" i="5"/>
  <c r="A1621" i="5"/>
  <c r="D1615" i="5"/>
  <c r="D1614" i="5"/>
  <c r="D1613" i="5"/>
  <c r="A1604" i="5"/>
  <c r="D1598" i="5"/>
  <c r="D1597" i="5"/>
  <c r="D1596" i="5"/>
  <c r="A1587" i="5"/>
  <c r="D1581" i="5"/>
  <c r="D1580" i="5"/>
  <c r="D1579" i="5"/>
  <c r="A1570" i="5"/>
  <c r="D1564" i="5"/>
  <c r="D1563" i="5"/>
  <c r="D1562" i="5"/>
  <c r="A1553" i="5"/>
  <c r="D1547" i="5"/>
  <c r="D1546" i="5"/>
  <c r="D1545" i="5"/>
  <c r="A1536" i="5"/>
  <c r="D1530" i="5"/>
  <c r="D1529" i="5"/>
  <c r="D1528" i="5"/>
  <c r="A1519" i="5"/>
  <c r="D1513" i="5"/>
  <c r="D1512" i="5"/>
  <c r="D1511" i="5"/>
  <c r="A1502" i="5"/>
  <c r="D1496" i="5"/>
  <c r="D1495" i="5"/>
  <c r="D1494" i="5"/>
  <c r="A1485" i="5"/>
  <c r="D1479" i="5"/>
  <c r="D1478" i="5"/>
  <c r="D1477" i="5"/>
  <c r="A1468" i="5"/>
  <c r="D1462" i="5"/>
  <c r="D1461" i="5"/>
  <c r="D1460" i="5"/>
  <c r="A1451" i="5"/>
  <c r="D1445" i="5"/>
  <c r="D1444" i="5"/>
  <c r="D1443" i="5"/>
  <c r="A1434" i="5"/>
  <c r="D1428" i="5"/>
  <c r="D1427" i="5"/>
  <c r="D1426" i="5"/>
  <c r="A1417" i="5"/>
  <c r="D1411" i="5"/>
  <c r="D1410" i="5"/>
  <c r="D1409" i="5"/>
  <c r="A1400" i="5"/>
  <c r="D1394" i="5"/>
  <c r="D1393" i="5"/>
  <c r="D1392" i="5"/>
  <c r="A1383" i="5"/>
  <c r="D1377" i="5"/>
  <c r="D1376" i="5"/>
  <c r="D1375" i="5"/>
  <c r="A1366" i="5"/>
  <c r="D1360" i="5"/>
  <c r="D1359" i="5"/>
  <c r="D1358" i="5"/>
  <c r="A1349" i="5"/>
  <c r="D1343" i="5"/>
  <c r="D1342" i="5"/>
  <c r="D1341" i="5"/>
  <c r="A1332" i="5"/>
  <c r="D1326" i="5"/>
  <c r="D1325" i="5"/>
  <c r="D1324" i="5"/>
  <c r="A1315" i="5"/>
  <c r="D1309" i="5"/>
  <c r="D1308" i="5"/>
  <c r="D1307" i="5"/>
  <c r="A1298" i="5"/>
  <c r="D1292" i="5"/>
  <c r="D1291" i="5"/>
  <c r="D1290" i="5"/>
  <c r="A1281" i="5"/>
  <c r="D1275" i="5"/>
  <c r="D1274" i="5"/>
  <c r="D1273" i="5"/>
  <c r="A1264" i="5"/>
  <c r="D1258" i="5"/>
  <c r="D1257" i="5"/>
  <c r="D1256" i="5"/>
  <c r="A1247" i="5"/>
  <c r="D1241" i="5"/>
  <c r="D1240" i="5"/>
  <c r="D1239" i="5"/>
  <c r="A1230" i="5"/>
  <c r="D1224" i="5"/>
  <c r="D1223" i="5"/>
  <c r="D1222" i="5"/>
  <c r="A1213" i="5"/>
  <c r="D1207" i="5"/>
  <c r="D1206" i="5"/>
  <c r="D1205" i="5"/>
  <c r="A1196" i="5"/>
  <c r="D1190" i="5"/>
  <c r="D1189" i="5"/>
  <c r="D1188" i="5"/>
  <c r="A1179" i="5"/>
  <c r="D1173" i="5"/>
  <c r="D1172" i="5"/>
  <c r="D1171" i="5"/>
  <c r="A1162" i="5"/>
  <c r="D1156" i="5"/>
  <c r="D1155" i="5"/>
  <c r="D1154" i="5"/>
  <c r="A1145" i="5"/>
  <c r="D1139" i="5"/>
  <c r="D1138" i="5"/>
  <c r="D1137" i="5"/>
  <c r="A1128" i="5"/>
  <c r="D1122" i="5"/>
  <c r="D1121" i="5"/>
  <c r="D1120" i="5"/>
  <c r="A1111" i="5"/>
  <c r="D1105" i="5"/>
  <c r="D1104" i="5"/>
  <c r="D1103" i="5"/>
  <c r="A1094" i="5"/>
  <c r="D1088" i="5"/>
  <c r="D1087" i="5"/>
  <c r="D1086" i="5"/>
  <c r="A1077" i="5"/>
  <c r="D1071" i="5"/>
  <c r="D1070" i="5"/>
  <c r="D1069" i="5"/>
  <c r="A1060" i="5"/>
  <c r="D1054" i="5"/>
  <c r="D1053" i="5"/>
  <c r="D1052" i="5"/>
  <c r="A1043" i="5"/>
  <c r="D1037" i="5"/>
  <c r="D1036" i="5"/>
  <c r="D1035" i="5"/>
  <c r="A1026" i="5"/>
  <c r="D1020" i="5"/>
  <c r="D1019" i="5"/>
  <c r="D1018" i="5"/>
  <c r="A1009" i="5"/>
  <c r="D1003" i="5"/>
  <c r="D1002" i="5"/>
  <c r="D1001" i="5"/>
  <c r="A992" i="5"/>
  <c r="D986" i="5"/>
  <c r="D985" i="5"/>
  <c r="D984" i="5"/>
  <c r="A975" i="5"/>
  <c r="D969" i="5"/>
  <c r="D968" i="5"/>
  <c r="D967" i="5"/>
  <c r="A958" i="5"/>
  <c r="D952" i="5"/>
  <c r="D951" i="5"/>
  <c r="D950" i="5"/>
  <c r="A941" i="5"/>
  <c r="D935" i="5"/>
  <c r="D934" i="5"/>
  <c r="D933" i="5"/>
  <c r="A924" i="5"/>
  <c r="D918" i="5"/>
  <c r="D917" i="5"/>
  <c r="D916" i="5"/>
  <c r="A907" i="5"/>
  <c r="D901" i="5"/>
  <c r="D900" i="5"/>
  <c r="D899" i="5"/>
  <c r="A890" i="5"/>
  <c r="D884" i="5"/>
  <c r="D883" i="5"/>
  <c r="D882" i="5"/>
  <c r="A873" i="5"/>
  <c r="D867" i="5"/>
  <c r="D866" i="5"/>
  <c r="D865" i="5"/>
  <c r="A856" i="5"/>
  <c r="D850" i="5"/>
  <c r="D849" i="5"/>
  <c r="D848" i="5"/>
  <c r="A839" i="5"/>
  <c r="D833" i="5"/>
  <c r="D832" i="5"/>
  <c r="D831" i="5"/>
  <c r="A822" i="5"/>
  <c r="D816" i="5"/>
  <c r="D815" i="5"/>
  <c r="D814" i="5"/>
  <c r="A805" i="5"/>
  <c r="D799" i="5"/>
  <c r="D798" i="5"/>
  <c r="D797" i="5"/>
  <c r="A788" i="5"/>
  <c r="D782" i="5"/>
  <c r="D781" i="5"/>
  <c r="D780" i="5"/>
  <c r="A771" i="5"/>
  <c r="D765" i="5"/>
  <c r="D764" i="5"/>
  <c r="D763" i="5"/>
  <c r="A754" i="5"/>
  <c r="D748" i="5"/>
  <c r="D747" i="5"/>
  <c r="D746" i="5"/>
  <c r="A737" i="5"/>
  <c r="D731" i="5"/>
  <c r="D730" i="5"/>
  <c r="D729" i="5"/>
  <c r="A720" i="5"/>
  <c r="D714" i="5"/>
  <c r="D713" i="5"/>
  <c r="D712" i="5"/>
  <c r="A703" i="5"/>
  <c r="D697" i="5"/>
  <c r="D696" i="5"/>
  <c r="D695" i="5"/>
  <c r="A686" i="5"/>
  <c r="D680" i="5"/>
  <c r="D679" i="5"/>
  <c r="D678" i="5"/>
  <c r="A669" i="5"/>
  <c r="D663" i="5"/>
  <c r="D662" i="5"/>
  <c r="D661" i="5"/>
  <c r="A652" i="5"/>
  <c r="D646" i="5"/>
  <c r="D645" i="5"/>
  <c r="D644" i="5"/>
  <c r="A635" i="5"/>
  <c r="D629" i="5"/>
  <c r="D628" i="5"/>
  <c r="D627" i="5"/>
  <c r="A618" i="5"/>
  <c r="A603" i="5"/>
  <c r="D597" i="5"/>
  <c r="D596" i="5"/>
  <c r="D595" i="5"/>
  <c r="A586" i="5"/>
  <c r="D580" i="5"/>
  <c r="D579" i="5"/>
  <c r="D578" i="5"/>
  <c r="A569" i="5"/>
  <c r="D563" i="5"/>
  <c r="D562" i="5"/>
  <c r="D561" i="5"/>
  <c r="A552" i="5"/>
  <c r="D546" i="5"/>
  <c r="D545" i="5"/>
  <c r="D544" i="5"/>
  <c r="A535" i="5"/>
  <c r="D529" i="5"/>
  <c r="D528" i="5"/>
  <c r="D527" i="5"/>
  <c r="A518" i="5"/>
  <c r="D512" i="5"/>
  <c r="D511" i="5"/>
  <c r="D510" i="5"/>
  <c r="A501" i="5"/>
  <c r="D495" i="5"/>
  <c r="D494" i="5"/>
  <c r="D493" i="5"/>
  <c r="A484" i="5"/>
  <c r="D478" i="5"/>
  <c r="D477" i="5"/>
  <c r="D476" i="5"/>
  <c r="A467" i="5"/>
  <c r="D461" i="5"/>
  <c r="D460" i="5"/>
  <c r="D459" i="5"/>
  <c r="A450" i="5"/>
  <c r="D444" i="5"/>
  <c r="D443" i="5"/>
  <c r="D442" i="5"/>
  <c r="A433" i="5"/>
  <c r="D427" i="5"/>
  <c r="D426" i="5"/>
  <c r="D425" i="5"/>
  <c r="A416" i="5"/>
  <c r="D410" i="5"/>
  <c r="D409" i="5"/>
  <c r="D408" i="5"/>
  <c r="A399" i="5"/>
  <c r="D393" i="5"/>
  <c r="D392" i="5"/>
  <c r="D391" i="5"/>
  <c r="A382" i="5"/>
  <c r="A367" i="5"/>
  <c r="D361" i="5"/>
  <c r="D360" i="5"/>
  <c r="D359" i="5"/>
  <c r="A350" i="5"/>
  <c r="A335" i="5"/>
  <c r="D329" i="5"/>
  <c r="D328" i="5"/>
  <c r="D327" i="5"/>
  <c r="A318" i="5"/>
  <c r="D312" i="5"/>
  <c r="D311" i="5"/>
  <c r="D310" i="5"/>
  <c r="A301" i="5"/>
  <c r="D295" i="5"/>
  <c r="D294" i="5"/>
  <c r="D293" i="5"/>
  <c r="A284" i="5"/>
  <c r="D278" i="5"/>
  <c r="D277" i="5"/>
  <c r="D276" i="5"/>
  <c r="A267" i="5"/>
  <c r="D261" i="5"/>
  <c r="D260" i="5"/>
  <c r="D259" i="5"/>
  <c r="A250" i="5"/>
  <c r="D244" i="5"/>
  <c r="D243" i="5"/>
  <c r="D242" i="5"/>
  <c r="A233" i="5"/>
  <c r="A218" i="5"/>
  <c r="A203" i="5"/>
  <c r="D197" i="5"/>
  <c r="D196" i="5"/>
  <c r="D195" i="5"/>
  <c r="A186" i="5"/>
  <c r="D180" i="5"/>
  <c r="D179" i="5"/>
  <c r="D178" i="5"/>
  <c r="A169" i="5"/>
  <c r="D163" i="5"/>
  <c r="D162" i="5"/>
  <c r="D161" i="5"/>
  <c r="A152" i="5"/>
  <c r="A137" i="5"/>
  <c r="D131" i="5"/>
  <c r="D130" i="5"/>
  <c r="D129" i="5"/>
  <c r="A120" i="5"/>
  <c r="D114" i="5"/>
  <c r="D113" i="5"/>
  <c r="D112" i="5"/>
  <c r="A103" i="5"/>
  <c r="D97" i="5"/>
  <c r="D96" i="5"/>
  <c r="D95" i="5"/>
  <c r="A86" i="5"/>
  <c r="D80" i="5"/>
  <c r="D79" i="5"/>
  <c r="D78" i="5"/>
  <c r="A69" i="5"/>
  <c r="D63" i="5"/>
  <c r="D62" i="5"/>
  <c r="D61" i="5"/>
  <c r="A52" i="5"/>
  <c r="D46" i="5"/>
  <c r="D45" i="5"/>
  <c r="D44" i="5"/>
  <c r="A35" i="5"/>
  <c r="D29" i="5"/>
  <c r="D28" i="5"/>
  <c r="D27" i="5"/>
  <c r="A18" i="5"/>
  <c r="D12" i="5"/>
  <c r="D11" i="5"/>
  <c r="D10" i="5"/>
  <c r="A1" i="5"/>
  <c r="D6738" i="4"/>
  <c r="D6737" i="4"/>
  <c r="D6736" i="4"/>
  <c r="A6723" i="4"/>
  <c r="D6721" i="4"/>
  <c r="D6720" i="4"/>
  <c r="D6719" i="4"/>
  <c r="A6706" i="4"/>
  <c r="D6704" i="4"/>
  <c r="D6703" i="4"/>
  <c r="D6702" i="4"/>
  <c r="A6689" i="4"/>
  <c r="D6687" i="4"/>
  <c r="D6686" i="4"/>
  <c r="D6685" i="4"/>
  <c r="A6672" i="4"/>
  <c r="D6670" i="4"/>
  <c r="D6669" i="4"/>
  <c r="D6668" i="4"/>
  <c r="A6655" i="4"/>
  <c r="D6653" i="4"/>
  <c r="D6652" i="4"/>
  <c r="D6651" i="4"/>
  <c r="A6638" i="4"/>
  <c r="D6636" i="4"/>
  <c r="D6635" i="4"/>
  <c r="D6634" i="4"/>
  <c r="A6621" i="4"/>
  <c r="D6619" i="4"/>
  <c r="D6618" i="4"/>
  <c r="D6617" i="4"/>
  <c r="A6604" i="4"/>
  <c r="D6602" i="4"/>
  <c r="D6601" i="4"/>
  <c r="D6600" i="4"/>
  <c r="A6587" i="4"/>
  <c r="D6585" i="4"/>
  <c r="D6584" i="4"/>
  <c r="D6583" i="4"/>
  <c r="A6570" i="4"/>
  <c r="D6568" i="4"/>
  <c r="D6567" i="4"/>
  <c r="D6566" i="4"/>
  <c r="A6553" i="4"/>
  <c r="D6551" i="4"/>
  <c r="D6550" i="4"/>
  <c r="D6549" i="4"/>
  <c r="A6536" i="4"/>
  <c r="D6534" i="4"/>
  <c r="D6533" i="4"/>
  <c r="D6532" i="4"/>
  <c r="A6519" i="4"/>
  <c r="D6517" i="4"/>
  <c r="D6516" i="4"/>
  <c r="D6515" i="4"/>
  <c r="A6502" i="4"/>
  <c r="D6500" i="4"/>
  <c r="D6499" i="4"/>
  <c r="D6498" i="4"/>
  <c r="A6485" i="4"/>
  <c r="D6483" i="4"/>
  <c r="D6482" i="4"/>
  <c r="D6481" i="4"/>
  <c r="A6468" i="4"/>
  <c r="D6466" i="4"/>
  <c r="D6465" i="4"/>
  <c r="D6464" i="4"/>
  <c r="A6451" i="4"/>
  <c r="D6449" i="4"/>
  <c r="D6448" i="4"/>
  <c r="D6447" i="4"/>
  <c r="A6434" i="4"/>
  <c r="D6432" i="4"/>
  <c r="D6431" i="4"/>
  <c r="D6430" i="4"/>
  <c r="A6417" i="4"/>
  <c r="D6415" i="4"/>
  <c r="D6414" i="4"/>
  <c r="D6413" i="4"/>
  <c r="A6400" i="4"/>
  <c r="D6398" i="4"/>
  <c r="D6397" i="4"/>
  <c r="D6396" i="4"/>
  <c r="A6383" i="4"/>
  <c r="D6381" i="4"/>
  <c r="D6380" i="4"/>
  <c r="D6379" i="4"/>
  <c r="A6366" i="4"/>
  <c r="D6364" i="4"/>
  <c r="D6363" i="4"/>
  <c r="D6362" i="4"/>
  <c r="A6349" i="4"/>
  <c r="D6347" i="4"/>
  <c r="D6346" i="4"/>
  <c r="D6345" i="4"/>
  <c r="A6332" i="4"/>
  <c r="D6330" i="4"/>
  <c r="D6329" i="4"/>
  <c r="D6328" i="4"/>
  <c r="A6315" i="4"/>
  <c r="D6313" i="4"/>
  <c r="D6312" i="4"/>
  <c r="D6311" i="4"/>
  <c r="A6298" i="4"/>
  <c r="D6296" i="4"/>
  <c r="D6295" i="4"/>
  <c r="D6294" i="4"/>
  <c r="A6281" i="4"/>
  <c r="D6279" i="4"/>
  <c r="D6278" i="4"/>
  <c r="D6277" i="4"/>
  <c r="A6264" i="4"/>
  <c r="D6262" i="4"/>
  <c r="D6261" i="4"/>
  <c r="D6260" i="4"/>
  <c r="A6247" i="4"/>
  <c r="D6245" i="4"/>
  <c r="D6244" i="4"/>
  <c r="D6243" i="4"/>
  <c r="A6230" i="4"/>
  <c r="D6228" i="4"/>
  <c r="D6227" i="4"/>
  <c r="D6226" i="4"/>
  <c r="A6213" i="4"/>
  <c r="D6211" i="4"/>
  <c r="D6210" i="4"/>
  <c r="D6209" i="4"/>
  <c r="A6196" i="4"/>
  <c r="D6194" i="4"/>
  <c r="D6193" i="4"/>
  <c r="D6192" i="4"/>
  <c r="A6179" i="4"/>
  <c r="D6177" i="4"/>
  <c r="D6176" i="4"/>
  <c r="D6175" i="4"/>
  <c r="A6162" i="4"/>
  <c r="D6160" i="4"/>
  <c r="D6159" i="4"/>
  <c r="D6158" i="4"/>
  <c r="A6145" i="4"/>
  <c r="D6143" i="4"/>
  <c r="D6142" i="4"/>
  <c r="D6141" i="4"/>
  <c r="A6128" i="4"/>
  <c r="D6126" i="4"/>
  <c r="D6125" i="4"/>
  <c r="D6124" i="4"/>
  <c r="A6111" i="4"/>
  <c r="D6109" i="4"/>
  <c r="D6108" i="4"/>
  <c r="D6107" i="4"/>
  <c r="A6094" i="4"/>
  <c r="D6092" i="4"/>
  <c r="D6091" i="4"/>
  <c r="D6090" i="4"/>
  <c r="A6077" i="4"/>
  <c r="D6075" i="4"/>
  <c r="D6074" i="4"/>
  <c r="D6073" i="4"/>
  <c r="A6060" i="4"/>
  <c r="D6058" i="4"/>
  <c r="D6057" i="4"/>
  <c r="D6056" i="4"/>
  <c r="A6043" i="4"/>
  <c r="D6041" i="4"/>
  <c r="D6040" i="4"/>
  <c r="D6039" i="4"/>
  <c r="A6026" i="4"/>
  <c r="D6024" i="4"/>
  <c r="D6023" i="4"/>
  <c r="D6022" i="4"/>
  <c r="A6009" i="4"/>
  <c r="D6007" i="4"/>
  <c r="D6006" i="4"/>
  <c r="D6005" i="4"/>
  <c r="A5992" i="4"/>
  <c r="D5990" i="4"/>
  <c r="D5989" i="4"/>
  <c r="D5988" i="4"/>
  <c r="A5975" i="4"/>
  <c r="D5973" i="4"/>
  <c r="D5972" i="4"/>
  <c r="D5971" i="4"/>
  <c r="A5958" i="4"/>
  <c r="D5956" i="4"/>
  <c r="D5955" i="4"/>
  <c r="D5954" i="4"/>
  <c r="A5941" i="4"/>
  <c r="D5939" i="4"/>
  <c r="D5938" i="4"/>
  <c r="D5937" i="4"/>
  <c r="A5924" i="4"/>
  <c r="D5922" i="4"/>
  <c r="D5921" i="4"/>
  <c r="D5920" i="4"/>
  <c r="A5907" i="4"/>
  <c r="D5905" i="4"/>
  <c r="D5904" i="4"/>
  <c r="D5903" i="4"/>
  <c r="A5890" i="4"/>
  <c r="D5888" i="4"/>
  <c r="D5887" i="4"/>
  <c r="D5886" i="4"/>
  <c r="A5873" i="4"/>
  <c r="D5871" i="4"/>
  <c r="D5870" i="4"/>
  <c r="D5869" i="4"/>
  <c r="A5856" i="4"/>
  <c r="D5854" i="4"/>
  <c r="D5853" i="4"/>
  <c r="D5852" i="4"/>
  <c r="A5839" i="4"/>
  <c r="D5837" i="4"/>
  <c r="D5836" i="4"/>
  <c r="D5835" i="4"/>
  <c r="A5822" i="4"/>
  <c r="D5820" i="4"/>
  <c r="D5819" i="4"/>
  <c r="D5818" i="4"/>
  <c r="A5805" i="4"/>
  <c r="D5803" i="4"/>
  <c r="D5802" i="4"/>
  <c r="D5801" i="4"/>
  <c r="A5788" i="4"/>
  <c r="D5786" i="4"/>
  <c r="D5785" i="4"/>
  <c r="D5784" i="4"/>
  <c r="A5771" i="4"/>
  <c r="D5769" i="4"/>
  <c r="D5768" i="4"/>
  <c r="D5767" i="4"/>
  <c r="A5754" i="4"/>
  <c r="D5752" i="4"/>
  <c r="D5751" i="4"/>
  <c r="D5750" i="4"/>
  <c r="A5737" i="4"/>
  <c r="D5735" i="4"/>
  <c r="D5734" i="4"/>
  <c r="D5733" i="4"/>
  <c r="A5720" i="4"/>
  <c r="D5718" i="4"/>
  <c r="D5717" i="4"/>
  <c r="D5716" i="4"/>
  <c r="A5703" i="4"/>
  <c r="D5701" i="4"/>
  <c r="D5700" i="4"/>
  <c r="D5699" i="4"/>
  <c r="A5686" i="4"/>
  <c r="D5684" i="4"/>
  <c r="D5683" i="4"/>
  <c r="D5682" i="4"/>
  <c r="A5669" i="4"/>
  <c r="D5667" i="4"/>
  <c r="D5666" i="4"/>
  <c r="D5665" i="4"/>
  <c r="A5652" i="4"/>
  <c r="D5650" i="4"/>
  <c r="D5649" i="4"/>
  <c r="D5648" i="4"/>
  <c r="A5635" i="4"/>
  <c r="D5633" i="4"/>
  <c r="D5632" i="4"/>
  <c r="D5631" i="4"/>
  <c r="A5618" i="4"/>
  <c r="D5616" i="4"/>
  <c r="D5615" i="4"/>
  <c r="D5614" i="4"/>
  <c r="A5601" i="4"/>
  <c r="D5599" i="4"/>
  <c r="D5598" i="4"/>
  <c r="D5597" i="4"/>
  <c r="A5584" i="4"/>
  <c r="D5582" i="4"/>
  <c r="D5581" i="4"/>
  <c r="D5580" i="4"/>
  <c r="A5567" i="4"/>
  <c r="D5565" i="4"/>
  <c r="D5564" i="4"/>
  <c r="D5563" i="4"/>
  <c r="A5550" i="4"/>
  <c r="D5548" i="4"/>
  <c r="D5547" i="4"/>
  <c r="D5546" i="4"/>
  <c r="A5533" i="4"/>
  <c r="D5531" i="4"/>
  <c r="D5530" i="4"/>
  <c r="D5529" i="4"/>
  <c r="A5516" i="4"/>
  <c r="D5514" i="4"/>
  <c r="D5513" i="4"/>
  <c r="D5512" i="4"/>
  <c r="A5499" i="4"/>
  <c r="D5497" i="4"/>
  <c r="D5496" i="4"/>
  <c r="D5495" i="4"/>
  <c r="A5482" i="4"/>
  <c r="D5480" i="4"/>
  <c r="D5479" i="4"/>
  <c r="D5478" i="4"/>
  <c r="A5465" i="4"/>
  <c r="D5463" i="4"/>
  <c r="D5462" i="4"/>
  <c r="D5461" i="4"/>
  <c r="A5448" i="4"/>
  <c r="D5446" i="4"/>
  <c r="D5445" i="4"/>
  <c r="D5444" i="4"/>
  <c r="A5431" i="4"/>
  <c r="D5429" i="4"/>
  <c r="D5428" i="4"/>
  <c r="D5427" i="4"/>
  <c r="A5414" i="4"/>
  <c r="D5412" i="4"/>
  <c r="D5411" i="4"/>
  <c r="D5410" i="4"/>
  <c r="A5397" i="4"/>
  <c r="D5395" i="4"/>
  <c r="D5394" i="4"/>
  <c r="D5393" i="4"/>
  <c r="A5380" i="4"/>
  <c r="D5378" i="4"/>
  <c r="D5377" i="4"/>
  <c r="D5376" i="4"/>
  <c r="A5363" i="4"/>
  <c r="D5361" i="4"/>
  <c r="D5360" i="4"/>
  <c r="D5359" i="4"/>
  <c r="A5346" i="4"/>
  <c r="D5344" i="4"/>
  <c r="D5343" i="4"/>
  <c r="D5342" i="4"/>
  <c r="A5329" i="4"/>
  <c r="D5327" i="4"/>
  <c r="D5326" i="4"/>
  <c r="D5325" i="4"/>
  <c r="A5312" i="4"/>
  <c r="D5310" i="4"/>
  <c r="D5309" i="4"/>
  <c r="D5308" i="4"/>
  <c r="A5295" i="4"/>
  <c r="D5293" i="4"/>
  <c r="D5292" i="4"/>
  <c r="D5291" i="4"/>
  <c r="A5278" i="4"/>
  <c r="D5276" i="4"/>
  <c r="D5275" i="4"/>
  <c r="D5274" i="4"/>
  <c r="A5261" i="4"/>
  <c r="D5259" i="4"/>
  <c r="D5258" i="4"/>
  <c r="D5257" i="4"/>
  <c r="A5244" i="4"/>
  <c r="D5242" i="4"/>
  <c r="D5241" i="4"/>
  <c r="D5240" i="4"/>
  <c r="A5227" i="4"/>
  <c r="D5225" i="4"/>
  <c r="D5224" i="4"/>
  <c r="D5223" i="4"/>
  <c r="A5210" i="4"/>
  <c r="D5208" i="4"/>
  <c r="D5207" i="4"/>
  <c r="D5206" i="4"/>
  <c r="A5193" i="4"/>
  <c r="D5191" i="4"/>
  <c r="D5190" i="4"/>
  <c r="D5189" i="4"/>
  <c r="A5176" i="4"/>
  <c r="D5174" i="4"/>
  <c r="D5173" i="4"/>
  <c r="D5172" i="4"/>
  <c r="A5159" i="4"/>
  <c r="D5157" i="4"/>
  <c r="D5156" i="4"/>
  <c r="D5155" i="4"/>
  <c r="A5142" i="4"/>
  <c r="D5140" i="4"/>
  <c r="D5139" i="4"/>
  <c r="D5138" i="4"/>
  <c r="A5125" i="4"/>
  <c r="D5123" i="4"/>
  <c r="D5122" i="4"/>
  <c r="D5121" i="4"/>
  <c r="A5108" i="4"/>
  <c r="D5106" i="4"/>
  <c r="D5105" i="4"/>
  <c r="D5104" i="4"/>
  <c r="A5091" i="4"/>
  <c r="D5089" i="4"/>
  <c r="D5088" i="4"/>
  <c r="D5087" i="4"/>
  <c r="A5074" i="4"/>
  <c r="D5072" i="4"/>
  <c r="D5071" i="4"/>
  <c r="D5070" i="4"/>
  <c r="A5057" i="4"/>
  <c r="D5055" i="4"/>
  <c r="D5054" i="4"/>
  <c r="D5053" i="4"/>
  <c r="A5040" i="4"/>
  <c r="D5038" i="4"/>
  <c r="D5037" i="4"/>
  <c r="D5036" i="4"/>
  <c r="A5023" i="4"/>
  <c r="D5021" i="4"/>
  <c r="D5020" i="4"/>
  <c r="D5019" i="4"/>
  <c r="A5006" i="4"/>
  <c r="D5004" i="4"/>
  <c r="D5003" i="4"/>
  <c r="D5002" i="4"/>
  <c r="A4989" i="4"/>
  <c r="D4987" i="4"/>
  <c r="D4986" i="4"/>
  <c r="D4985" i="4"/>
  <c r="A4972" i="4"/>
  <c r="D4970" i="4"/>
  <c r="D4969" i="4"/>
  <c r="D4968" i="4"/>
  <c r="A4955" i="4"/>
  <c r="D4953" i="4"/>
  <c r="D4952" i="4"/>
  <c r="D4951" i="4"/>
  <c r="A4938" i="4"/>
  <c r="D4936" i="4"/>
  <c r="D4935" i="4"/>
  <c r="D4934" i="4"/>
  <c r="A4921" i="4"/>
  <c r="D4919" i="4"/>
  <c r="D4918" i="4"/>
  <c r="D4917" i="4"/>
  <c r="A4904" i="4"/>
  <c r="D4902" i="4"/>
  <c r="D4901" i="4"/>
  <c r="D4900" i="4"/>
  <c r="A4887" i="4"/>
  <c r="D4885" i="4"/>
  <c r="D4884" i="4"/>
  <c r="D4883" i="4"/>
  <c r="A4870" i="4"/>
  <c r="D4868" i="4"/>
  <c r="D4867" i="4"/>
  <c r="D4866" i="4"/>
  <c r="A4853" i="4"/>
  <c r="D4851" i="4"/>
  <c r="D4850" i="4"/>
  <c r="D4849" i="4"/>
  <c r="A4836" i="4"/>
  <c r="D4834" i="4"/>
  <c r="D4833" i="4"/>
  <c r="D4832" i="4"/>
  <c r="A4819" i="4"/>
  <c r="D4817" i="4"/>
  <c r="D4816" i="4"/>
  <c r="D4815" i="4"/>
  <c r="A4802" i="4"/>
  <c r="D4800" i="4"/>
  <c r="D4799" i="4"/>
  <c r="D4798" i="4"/>
  <c r="A4785" i="4"/>
  <c r="D4783" i="4"/>
  <c r="D4782" i="4"/>
  <c r="D4781" i="4"/>
  <c r="A4768" i="4"/>
  <c r="D4766" i="4"/>
  <c r="D4765" i="4"/>
  <c r="D4764" i="4"/>
  <c r="A4751" i="4"/>
  <c r="D4749" i="4"/>
  <c r="D4748" i="4"/>
  <c r="D4747" i="4"/>
  <c r="A4734" i="4"/>
  <c r="D4732" i="4"/>
  <c r="D4731" i="4"/>
  <c r="D4730" i="4"/>
  <c r="A4717" i="4"/>
  <c r="D4715" i="4"/>
  <c r="D4714" i="4"/>
  <c r="D4713" i="4"/>
  <c r="A4700" i="4"/>
  <c r="D4698" i="4"/>
  <c r="D4697" i="4"/>
  <c r="D4696" i="4"/>
  <c r="A4683" i="4"/>
  <c r="D4681" i="4"/>
  <c r="D4680" i="4"/>
  <c r="D4679" i="4"/>
  <c r="A4666" i="4"/>
  <c r="D4664" i="4"/>
  <c r="D4663" i="4"/>
  <c r="D4662" i="4"/>
  <c r="A4649" i="4"/>
  <c r="D4647" i="4"/>
  <c r="D4646" i="4"/>
  <c r="D4645" i="4"/>
  <c r="A4632" i="4"/>
  <c r="D4630" i="4"/>
  <c r="D4629" i="4"/>
  <c r="D4628" i="4"/>
  <c r="A4615" i="4"/>
  <c r="D4613" i="4"/>
  <c r="D4612" i="4"/>
  <c r="D4611" i="4"/>
  <c r="A4598" i="4"/>
  <c r="D4596" i="4"/>
  <c r="D4595" i="4"/>
  <c r="D4594" i="4"/>
  <c r="A4581" i="4"/>
  <c r="D4579" i="4"/>
  <c r="D4578" i="4"/>
  <c r="D4577" i="4"/>
  <c r="A4564" i="4"/>
  <c r="D4562" i="4"/>
  <c r="D4561" i="4"/>
  <c r="D4560" i="4"/>
  <c r="A4547" i="4"/>
  <c r="D4545" i="4"/>
  <c r="D4544" i="4"/>
  <c r="D4543" i="4"/>
  <c r="A4530" i="4"/>
  <c r="D4528" i="4"/>
  <c r="D4527" i="4"/>
  <c r="D4526" i="4"/>
  <c r="A4513" i="4"/>
  <c r="D4511" i="4"/>
  <c r="D4510" i="4"/>
  <c r="D4509" i="4"/>
  <c r="A4496" i="4"/>
  <c r="D4494" i="4"/>
  <c r="D4493" i="4"/>
  <c r="D4492" i="4"/>
  <c r="A4479" i="4"/>
  <c r="D4477" i="4"/>
  <c r="D4476" i="4"/>
  <c r="D4475" i="4"/>
  <c r="A4462" i="4"/>
  <c r="D4460" i="4"/>
  <c r="D4459" i="4"/>
  <c r="D4458" i="4"/>
  <c r="A4445" i="4"/>
  <c r="D4443" i="4"/>
  <c r="D4442" i="4"/>
  <c r="D4441" i="4"/>
  <c r="A4428" i="4"/>
  <c r="D4426" i="4"/>
  <c r="D4425" i="4"/>
  <c r="D4424" i="4"/>
  <c r="A4411" i="4"/>
  <c r="D4409" i="4"/>
  <c r="D4408" i="4"/>
  <c r="D4407" i="4"/>
  <c r="A4394" i="4"/>
  <c r="D4392" i="4"/>
  <c r="D4391" i="4"/>
  <c r="D4390" i="4"/>
  <c r="A4377" i="4"/>
  <c r="D4375" i="4"/>
  <c r="D4374" i="4"/>
  <c r="D4373" i="4"/>
  <c r="A4360" i="4"/>
  <c r="D4358" i="4"/>
  <c r="D4357" i="4"/>
  <c r="D4356" i="4"/>
  <c r="A4343" i="4"/>
  <c r="D4341" i="4"/>
  <c r="D4340" i="4"/>
  <c r="D4339" i="4"/>
  <c r="A4326" i="4"/>
  <c r="D4324" i="4"/>
  <c r="D4323" i="4"/>
  <c r="D4322" i="4"/>
  <c r="A4309" i="4"/>
  <c r="D4307" i="4"/>
  <c r="D4306" i="4"/>
  <c r="D4305" i="4"/>
  <c r="A4292" i="4"/>
  <c r="D4290" i="4"/>
  <c r="D4289" i="4"/>
  <c r="D4288" i="4"/>
  <c r="A4275" i="4"/>
  <c r="D4273" i="4"/>
  <c r="D4272" i="4"/>
  <c r="D4271" i="4"/>
  <c r="A4258" i="4"/>
  <c r="D4256" i="4"/>
  <c r="D4255" i="4"/>
  <c r="D4254" i="4"/>
  <c r="A4241" i="4"/>
  <c r="D4239" i="4"/>
  <c r="D4238" i="4"/>
  <c r="D4237" i="4"/>
  <c r="A4224" i="4"/>
  <c r="D4222" i="4"/>
  <c r="D4221" i="4"/>
  <c r="D4220" i="4"/>
  <c r="A4207" i="4"/>
  <c r="D4205" i="4"/>
  <c r="D4204" i="4"/>
  <c r="D4203" i="4"/>
  <c r="A4190" i="4"/>
  <c r="D4188" i="4"/>
  <c r="D4187" i="4"/>
  <c r="D4186" i="4"/>
  <c r="A4173" i="4"/>
  <c r="D4171" i="4"/>
  <c r="D4170" i="4"/>
  <c r="D4169" i="4"/>
  <c r="A4156" i="4"/>
  <c r="D4154" i="4"/>
  <c r="D4153" i="4"/>
  <c r="D4152" i="4"/>
  <c r="A4139" i="4"/>
  <c r="D4137" i="4"/>
  <c r="D4136" i="4"/>
  <c r="D4135" i="4"/>
  <c r="A4122" i="4"/>
  <c r="D4120" i="4"/>
  <c r="D4119" i="4"/>
  <c r="D4118" i="4"/>
  <c r="A4105" i="4"/>
  <c r="D4103" i="4"/>
  <c r="D4102" i="4"/>
  <c r="D4101" i="4"/>
  <c r="A4088" i="4"/>
  <c r="D4086" i="4"/>
  <c r="D4085" i="4"/>
  <c r="D4084" i="4"/>
  <c r="A4071" i="4"/>
  <c r="D4069" i="4"/>
  <c r="D4068" i="4"/>
  <c r="D4067" i="4"/>
  <c r="A4054" i="4"/>
  <c r="D4052" i="4"/>
  <c r="D4051" i="4"/>
  <c r="D4050" i="4"/>
  <c r="A4037" i="4"/>
  <c r="D4035" i="4"/>
  <c r="D4034" i="4"/>
  <c r="D4033" i="4"/>
  <c r="A4020" i="4"/>
  <c r="D4018" i="4"/>
  <c r="D4017" i="4"/>
  <c r="D4016" i="4"/>
  <c r="A4003" i="4"/>
  <c r="D4001" i="4"/>
  <c r="D4000" i="4"/>
  <c r="D3999" i="4"/>
  <c r="A3986" i="4"/>
  <c r="D3984" i="4"/>
  <c r="D3983" i="4"/>
  <c r="D3982" i="4"/>
  <c r="A3969" i="4"/>
  <c r="D3967" i="4"/>
  <c r="D3966" i="4"/>
  <c r="D3965" i="4"/>
  <c r="A3952" i="4"/>
  <c r="D3950" i="4"/>
  <c r="D3949" i="4"/>
  <c r="D3948" i="4"/>
  <c r="A3935" i="4"/>
  <c r="D3933" i="4"/>
  <c r="D3932" i="4"/>
  <c r="D3931" i="4"/>
  <c r="A3918" i="4"/>
  <c r="D3916" i="4"/>
  <c r="D3915" i="4"/>
  <c r="D3914" i="4"/>
  <c r="A3901" i="4"/>
  <c r="D3899" i="4"/>
  <c r="D3898" i="4"/>
  <c r="D3897" i="4"/>
  <c r="A3884" i="4"/>
  <c r="D3882" i="4"/>
  <c r="D3881" i="4"/>
  <c r="D3880" i="4"/>
  <c r="A3867" i="4"/>
  <c r="D3865" i="4"/>
  <c r="D3864" i="4"/>
  <c r="D3863" i="4"/>
  <c r="A3850" i="4"/>
  <c r="D3848" i="4"/>
  <c r="D3847" i="4"/>
  <c r="D3846" i="4"/>
  <c r="A3833" i="4"/>
  <c r="D3831" i="4"/>
  <c r="D3830" i="4"/>
  <c r="D3829" i="4"/>
  <c r="A3816" i="4"/>
  <c r="D3814" i="4"/>
  <c r="D3813" i="4"/>
  <c r="D3812" i="4"/>
  <c r="A3799" i="4"/>
  <c r="D3797" i="4"/>
  <c r="D3796" i="4"/>
  <c r="D3795" i="4"/>
  <c r="A3782" i="4"/>
  <c r="D3780" i="4"/>
  <c r="D3779" i="4"/>
  <c r="D3778" i="4"/>
  <c r="A3765" i="4"/>
  <c r="D3763" i="4"/>
  <c r="D3762" i="4"/>
  <c r="D3761" i="4"/>
  <c r="A3748" i="4"/>
  <c r="D3746" i="4"/>
  <c r="D3745" i="4"/>
  <c r="D3744" i="4"/>
  <c r="A3731" i="4"/>
  <c r="D3729" i="4"/>
  <c r="D3728" i="4"/>
  <c r="D3727" i="4"/>
  <c r="A3714" i="4"/>
  <c r="D3712" i="4"/>
  <c r="D3711" i="4"/>
  <c r="D3710" i="4"/>
  <c r="A3697" i="4"/>
  <c r="D3695" i="4"/>
  <c r="D3694" i="4"/>
  <c r="D3693" i="4"/>
  <c r="A3680" i="4"/>
  <c r="D3678" i="4"/>
  <c r="D3677" i="4"/>
  <c r="D3676" i="4"/>
  <c r="A3663" i="4"/>
  <c r="D3661" i="4"/>
  <c r="D3660" i="4"/>
  <c r="D3659" i="4"/>
  <c r="A3646" i="4"/>
  <c r="D3644" i="4"/>
  <c r="D3643" i="4"/>
  <c r="D3642" i="4"/>
  <c r="A3629" i="4"/>
  <c r="D3627" i="4"/>
  <c r="D3626" i="4"/>
  <c r="D3625" i="4"/>
  <c r="A3612" i="4"/>
  <c r="D3610" i="4"/>
  <c r="D3609" i="4"/>
  <c r="D3608" i="4"/>
  <c r="A3595" i="4"/>
  <c r="D3593" i="4"/>
  <c r="D3592" i="4"/>
  <c r="D3591" i="4"/>
  <c r="A3578" i="4"/>
  <c r="D3576" i="4"/>
  <c r="D3575" i="4"/>
  <c r="D3574" i="4"/>
  <c r="A3561" i="4"/>
  <c r="D3559" i="4"/>
  <c r="D3558" i="4"/>
  <c r="D3557" i="4"/>
  <c r="A3544" i="4"/>
  <c r="D3542" i="4"/>
  <c r="D3541" i="4"/>
  <c r="D3540" i="4"/>
  <c r="A3527" i="4"/>
  <c r="D3525" i="4"/>
  <c r="D3524" i="4"/>
  <c r="D3523" i="4"/>
  <c r="A3510" i="4"/>
  <c r="D3508" i="4"/>
  <c r="D3507" i="4"/>
  <c r="D3506" i="4"/>
  <c r="A3493" i="4"/>
  <c r="D3491" i="4"/>
  <c r="D3490" i="4"/>
  <c r="D3489" i="4"/>
  <c r="A3476" i="4"/>
  <c r="D3474" i="4"/>
  <c r="D3473" i="4"/>
  <c r="D3472" i="4"/>
  <c r="A3459" i="4"/>
  <c r="D3457" i="4"/>
  <c r="D3456" i="4"/>
  <c r="D3455" i="4"/>
  <c r="A3442" i="4"/>
  <c r="D3440" i="4"/>
  <c r="D3439" i="4"/>
  <c r="D3438" i="4"/>
  <c r="A3425" i="4"/>
  <c r="D3423" i="4"/>
  <c r="D3422" i="4"/>
  <c r="D3421" i="4"/>
  <c r="A3408" i="4"/>
  <c r="D3406" i="4"/>
  <c r="D3405" i="4"/>
  <c r="D3404" i="4"/>
  <c r="A3391" i="4"/>
  <c r="D3389" i="4"/>
  <c r="D3388" i="4"/>
  <c r="D3387" i="4"/>
  <c r="A3374" i="4"/>
  <c r="D3372" i="4"/>
  <c r="D3371" i="4"/>
  <c r="D3370" i="4"/>
  <c r="A3357" i="4"/>
  <c r="D3355" i="4"/>
  <c r="D3354" i="4"/>
  <c r="D3353" i="4"/>
  <c r="A3340" i="4"/>
  <c r="D3338" i="4"/>
  <c r="D3337" i="4"/>
  <c r="D3336" i="4"/>
  <c r="A3323" i="4"/>
  <c r="D3321" i="4"/>
  <c r="D3320" i="4"/>
  <c r="D3319" i="4"/>
  <c r="A3306" i="4"/>
  <c r="D3304" i="4"/>
  <c r="D3303" i="4"/>
  <c r="D3302" i="4"/>
  <c r="A3289" i="4"/>
  <c r="D3287" i="4"/>
  <c r="D3286" i="4"/>
  <c r="D3285" i="4"/>
  <c r="A3272" i="4"/>
  <c r="D3270" i="4"/>
  <c r="D3269" i="4"/>
  <c r="D3268" i="4"/>
  <c r="A3255" i="4"/>
  <c r="D3253" i="4"/>
  <c r="D3252" i="4"/>
  <c r="D3251" i="4"/>
  <c r="A3238" i="4"/>
  <c r="D3236" i="4"/>
  <c r="D3235" i="4"/>
  <c r="D3234" i="4"/>
  <c r="A3221" i="4"/>
  <c r="D3219" i="4"/>
  <c r="D3218" i="4"/>
  <c r="D3217" i="4"/>
  <c r="A3204" i="4"/>
  <c r="D3202" i="4"/>
  <c r="D3201" i="4"/>
  <c r="D3200" i="4"/>
  <c r="A3187" i="4"/>
  <c r="D3185" i="4"/>
  <c r="D3184" i="4"/>
  <c r="D3183" i="4"/>
  <c r="A3170" i="4"/>
  <c r="D3168" i="4"/>
  <c r="D3167" i="4"/>
  <c r="D3166" i="4"/>
  <c r="A3153" i="4"/>
  <c r="D3151" i="4"/>
  <c r="D3150" i="4"/>
  <c r="D3149" i="4"/>
  <c r="A3136" i="4"/>
  <c r="D3134" i="4"/>
  <c r="D3133" i="4"/>
  <c r="D3132" i="4"/>
  <c r="A3119" i="4"/>
  <c r="D3117" i="4"/>
  <c r="D3116" i="4"/>
  <c r="D3115" i="4"/>
  <c r="A3102" i="4"/>
  <c r="D3100" i="4"/>
  <c r="D3099" i="4"/>
  <c r="D3098" i="4"/>
  <c r="A3085" i="4"/>
  <c r="D3083" i="4"/>
  <c r="D3082" i="4"/>
  <c r="D3081" i="4"/>
  <c r="A3068" i="4"/>
  <c r="D3066" i="4"/>
  <c r="D3065" i="4"/>
  <c r="D3064" i="4"/>
  <c r="A3051" i="4"/>
  <c r="D3049" i="4"/>
  <c r="D3048" i="4"/>
  <c r="D3047" i="4"/>
  <c r="A3034" i="4"/>
  <c r="D3032" i="4"/>
  <c r="D3031" i="4"/>
  <c r="D3030" i="4"/>
  <c r="A3017" i="4"/>
  <c r="D3015" i="4"/>
  <c r="D3014" i="4"/>
  <c r="D3013" i="4"/>
  <c r="A3000" i="4"/>
  <c r="D2998" i="4"/>
  <c r="D2997" i="4"/>
  <c r="D2996" i="4"/>
  <c r="A2983" i="4"/>
  <c r="D2981" i="4"/>
  <c r="D2980" i="4"/>
  <c r="D2979" i="4"/>
  <c r="A2966" i="4"/>
  <c r="D2964" i="4"/>
  <c r="D2963" i="4"/>
  <c r="D2962" i="4"/>
  <c r="A2949" i="4"/>
  <c r="D2947" i="4"/>
  <c r="D2946" i="4"/>
  <c r="D2945" i="4"/>
  <c r="A2932" i="4"/>
  <c r="D2930" i="4"/>
  <c r="D2929" i="4"/>
  <c r="D2928" i="4"/>
  <c r="A2915" i="4"/>
  <c r="D2913" i="4"/>
  <c r="D2912" i="4"/>
  <c r="D2911" i="4"/>
  <c r="A2898" i="4"/>
  <c r="D2896" i="4"/>
  <c r="D2895" i="4"/>
  <c r="D2894" i="4"/>
  <c r="A2881" i="4"/>
  <c r="D2879" i="4"/>
  <c r="D2878" i="4"/>
  <c r="D2877" i="4"/>
  <c r="A2864" i="4"/>
  <c r="D2862" i="4"/>
  <c r="D2861" i="4"/>
  <c r="D2860" i="4"/>
  <c r="A2847" i="4"/>
  <c r="D2845" i="4"/>
  <c r="D2844" i="4"/>
  <c r="D2843" i="4"/>
  <c r="A2830" i="4"/>
  <c r="D2828" i="4"/>
  <c r="D2827" i="4"/>
  <c r="D2826" i="4"/>
  <c r="A2813" i="4"/>
  <c r="D2811" i="4"/>
  <c r="D2810" i="4"/>
  <c r="D2809" i="4"/>
  <c r="A2796" i="4"/>
  <c r="D2794" i="4"/>
  <c r="D2793" i="4"/>
  <c r="D2792" i="4"/>
  <c r="A2779" i="4"/>
  <c r="D2777" i="4"/>
  <c r="D2776" i="4"/>
  <c r="D2775" i="4"/>
  <c r="A2762" i="4"/>
  <c r="D2760" i="4"/>
  <c r="D2759" i="4"/>
  <c r="D2758" i="4"/>
  <c r="A2745" i="4"/>
  <c r="D2743" i="4"/>
  <c r="D2742" i="4"/>
  <c r="D2741" i="4"/>
  <c r="A2728" i="4"/>
  <c r="D2726" i="4"/>
  <c r="D2725" i="4"/>
  <c r="D2724" i="4"/>
  <c r="A2711" i="4"/>
  <c r="D2709" i="4"/>
  <c r="D2708" i="4"/>
  <c r="D2707" i="4"/>
  <c r="A2694" i="4"/>
  <c r="D2692" i="4"/>
  <c r="D2691" i="4"/>
  <c r="D2690" i="4"/>
  <c r="A2677" i="4"/>
  <c r="D2675" i="4"/>
  <c r="D2674" i="4"/>
  <c r="D2673" i="4"/>
  <c r="A2660" i="4"/>
  <c r="D2658" i="4"/>
  <c r="D2657" i="4"/>
  <c r="D2656" i="4"/>
  <c r="A2643" i="4"/>
  <c r="D2641" i="4"/>
  <c r="D2640" i="4"/>
  <c r="D2639" i="4"/>
  <c r="A2626" i="4"/>
  <c r="D2624" i="4"/>
  <c r="D2623" i="4"/>
  <c r="D2622" i="4"/>
  <c r="A2609" i="4"/>
  <c r="D2607" i="4"/>
  <c r="D2606" i="4"/>
  <c r="D2605" i="4"/>
  <c r="A2592" i="4"/>
  <c r="D2590" i="4"/>
  <c r="D2589" i="4"/>
  <c r="D2588" i="4"/>
  <c r="A2575" i="4"/>
  <c r="D2573" i="4"/>
  <c r="D2572" i="4"/>
  <c r="D2571" i="4"/>
  <c r="A2558" i="4"/>
  <c r="D2556" i="4"/>
  <c r="D2555" i="4"/>
  <c r="D2554" i="4"/>
  <c r="A2541" i="4"/>
  <c r="D2539" i="4"/>
  <c r="D2538" i="4"/>
  <c r="D2537" i="4"/>
  <c r="A2524" i="4"/>
  <c r="D2522" i="4"/>
  <c r="D2521" i="4"/>
  <c r="D2520" i="4"/>
  <c r="A2507" i="4"/>
  <c r="D2505" i="4"/>
  <c r="D2504" i="4"/>
  <c r="D2503" i="4"/>
  <c r="A2490" i="4"/>
  <c r="D2488" i="4"/>
  <c r="D2487" i="4"/>
  <c r="D2486" i="4"/>
  <c r="A2473" i="4"/>
  <c r="D2471" i="4"/>
  <c r="D2470" i="4"/>
  <c r="D2469" i="4"/>
  <c r="A2456" i="4"/>
  <c r="D2454" i="4"/>
  <c r="D2453" i="4"/>
  <c r="D2452" i="4"/>
  <c r="A2439" i="4"/>
  <c r="D2437" i="4"/>
  <c r="D2436" i="4"/>
  <c r="D2435" i="4"/>
  <c r="A2422" i="4"/>
  <c r="D2420" i="4"/>
  <c r="D2419" i="4"/>
  <c r="D2418" i="4"/>
  <c r="A2405" i="4"/>
  <c r="D2403" i="4"/>
  <c r="D2402" i="4"/>
  <c r="D2401" i="4"/>
  <c r="A2388" i="4"/>
  <c r="D2386" i="4"/>
  <c r="D2385" i="4"/>
  <c r="D2384" i="4"/>
  <c r="A2371" i="4"/>
  <c r="D2369" i="4"/>
  <c r="D2368" i="4"/>
  <c r="D2367" i="4"/>
  <c r="A2354" i="4"/>
  <c r="D2352" i="4"/>
  <c r="D2351" i="4"/>
  <c r="D2350" i="4"/>
  <c r="A2337" i="4"/>
  <c r="D2335" i="4"/>
  <c r="D2334" i="4"/>
  <c r="D2333" i="4"/>
  <c r="A2320" i="4"/>
  <c r="D2318" i="4"/>
  <c r="D2317" i="4"/>
  <c r="D2316" i="4"/>
  <c r="A2303" i="4"/>
  <c r="D2301" i="4"/>
  <c r="D2300" i="4"/>
  <c r="D2299" i="4"/>
  <c r="A2286" i="4"/>
  <c r="D2284" i="4"/>
  <c r="D2283" i="4"/>
  <c r="D2282" i="4"/>
  <c r="A2269" i="4"/>
  <c r="D2267" i="4"/>
  <c r="D2266" i="4"/>
  <c r="D2265" i="4"/>
  <c r="A2252" i="4"/>
  <c r="D2250" i="4"/>
  <c r="D2249" i="4"/>
  <c r="D2248" i="4"/>
  <c r="A2235" i="4"/>
  <c r="D2233" i="4"/>
  <c r="D2232" i="4"/>
  <c r="D2231" i="4"/>
  <c r="A2218" i="4"/>
  <c r="D2216" i="4"/>
  <c r="D2215" i="4"/>
  <c r="D2214" i="4"/>
  <c r="A2201" i="4"/>
  <c r="D2199" i="4"/>
  <c r="D2198" i="4"/>
  <c r="D2197" i="4"/>
  <c r="A2184" i="4"/>
  <c r="D2182" i="4"/>
  <c r="D2181" i="4"/>
  <c r="D2180" i="4"/>
  <c r="A2167" i="4"/>
  <c r="D2165" i="4"/>
  <c r="D2164" i="4"/>
  <c r="D2163" i="4"/>
  <c r="A2150" i="4"/>
  <c r="D2148" i="4"/>
  <c r="D2147" i="4"/>
  <c r="D2146" i="4"/>
  <c r="A2133" i="4"/>
  <c r="D2131" i="4"/>
  <c r="D2130" i="4"/>
  <c r="D2129" i="4"/>
  <c r="A2116" i="4"/>
  <c r="D2114" i="4"/>
  <c r="D2113" i="4"/>
  <c r="D2112" i="4"/>
  <c r="A2099" i="4"/>
  <c r="D2097" i="4"/>
  <c r="D2096" i="4"/>
  <c r="D2095" i="4"/>
  <c r="A2082" i="4"/>
  <c r="D2080" i="4"/>
  <c r="D2079" i="4"/>
  <c r="D2078" i="4"/>
  <c r="A2065" i="4"/>
  <c r="D2063" i="4"/>
  <c r="D2062" i="4"/>
  <c r="D2061" i="4"/>
  <c r="A2048" i="4"/>
  <c r="D2046" i="4"/>
  <c r="D2045" i="4"/>
  <c r="D2044" i="4"/>
  <c r="A2031" i="4"/>
  <c r="D2029" i="4"/>
  <c r="D2028" i="4"/>
  <c r="D2027" i="4"/>
  <c r="A2014" i="4"/>
  <c r="D2012" i="4"/>
  <c r="D2011" i="4"/>
  <c r="D2010" i="4"/>
  <c r="A1997" i="4"/>
  <c r="D1995" i="4"/>
  <c r="D1994" i="4"/>
  <c r="D1993" i="4"/>
  <c r="A1980" i="4"/>
  <c r="D1978" i="4"/>
  <c r="D1977" i="4"/>
  <c r="D1976" i="4"/>
  <c r="A1963" i="4"/>
  <c r="D1961" i="4"/>
  <c r="D1960" i="4"/>
  <c r="D1959" i="4"/>
  <c r="A1946" i="4"/>
  <c r="D1944" i="4"/>
  <c r="D1943" i="4"/>
  <c r="D1942" i="4"/>
  <c r="A1929" i="4"/>
  <c r="D1927" i="4"/>
  <c r="D1926" i="4"/>
  <c r="D1925" i="4"/>
  <c r="A1912" i="4"/>
  <c r="D1910" i="4"/>
  <c r="D1909" i="4"/>
  <c r="D1908" i="4"/>
  <c r="A1895" i="4"/>
  <c r="D1893" i="4"/>
  <c r="D1892" i="4"/>
  <c r="D1891" i="4"/>
  <c r="A1878" i="4"/>
  <c r="D1876" i="4"/>
  <c r="D1875" i="4"/>
  <c r="D1874" i="4"/>
  <c r="A1861" i="4"/>
  <c r="D1859" i="4"/>
  <c r="D1858" i="4"/>
  <c r="D1857" i="4"/>
  <c r="A1844" i="4"/>
  <c r="D1842" i="4"/>
  <c r="D1841" i="4"/>
  <c r="D1840" i="4"/>
  <c r="A1827" i="4"/>
  <c r="D1825" i="4"/>
  <c r="D1824" i="4"/>
  <c r="D1823" i="4"/>
  <c r="A1810" i="4"/>
  <c r="D1808" i="4"/>
  <c r="D1807" i="4"/>
  <c r="D1806" i="4"/>
  <c r="A1793" i="4"/>
  <c r="D1791" i="4"/>
  <c r="D1790" i="4"/>
  <c r="D1789" i="4"/>
  <c r="A1776" i="4"/>
  <c r="D1774" i="4"/>
  <c r="D1773" i="4"/>
  <c r="D1772" i="4"/>
  <c r="A1759" i="4"/>
  <c r="D1757" i="4"/>
  <c r="D1756" i="4"/>
  <c r="D1755" i="4"/>
  <c r="A1742" i="4"/>
  <c r="D1740" i="4"/>
  <c r="D1739" i="4"/>
  <c r="D1738" i="4"/>
  <c r="A1725" i="4"/>
  <c r="D1723" i="4"/>
  <c r="D1722" i="4"/>
  <c r="D1721" i="4"/>
  <c r="A1708" i="4"/>
  <c r="D1706" i="4"/>
  <c r="D1705" i="4"/>
  <c r="D1704" i="4"/>
  <c r="A1691" i="4"/>
  <c r="D1689" i="4"/>
  <c r="D1688" i="4"/>
  <c r="D1687" i="4"/>
  <c r="A1674" i="4"/>
  <c r="A1659" i="4"/>
  <c r="D1657" i="4"/>
  <c r="D1656" i="4"/>
  <c r="D1655" i="4"/>
  <c r="A1642" i="4"/>
  <c r="D1640" i="4"/>
  <c r="D1639" i="4"/>
  <c r="D1638" i="4"/>
  <c r="A1625" i="4"/>
  <c r="D1623" i="4"/>
  <c r="D1622" i="4"/>
  <c r="D1621" i="4"/>
  <c r="A1608" i="4"/>
  <c r="D1606" i="4"/>
  <c r="D1605" i="4"/>
  <c r="D1604" i="4"/>
  <c r="A1591" i="4"/>
  <c r="D1589" i="4"/>
  <c r="D1588" i="4"/>
  <c r="D1587" i="4"/>
  <c r="A1574" i="4"/>
  <c r="D1572" i="4"/>
  <c r="D1571" i="4"/>
  <c r="D1570" i="4"/>
  <c r="A1557" i="4"/>
  <c r="D1555" i="4"/>
  <c r="D1554" i="4"/>
  <c r="D1553" i="4"/>
  <c r="A1540" i="4"/>
  <c r="D1538" i="4"/>
  <c r="D1537" i="4"/>
  <c r="D1536" i="4"/>
  <c r="A1523" i="4"/>
  <c r="D1521" i="4"/>
  <c r="D1520" i="4"/>
  <c r="D1519" i="4"/>
  <c r="A1506" i="4"/>
  <c r="D1504" i="4"/>
  <c r="D1503" i="4"/>
  <c r="D1502" i="4"/>
  <c r="A1489" i="4"/>
  <c r="D1487" i="4"/>
  <c r="D1486" i="4"/>
  <c r="D1485" i="4"/>
  <c r="A1472" i="4"/>
  <c r="D1470" i="4"/>
  <c r="D1469" i="4"/>
  <c r="D1468" i="4"/>
  <c r="A1455" i="4"/>
  <c r="D1453" i="4"/>
  <c r="D1452" i="4"/>
  <c r="D1451" i="4"/>
  <c r="A1438" i="4"/>
  <c r="D1436" i="4"/>
  <c r="D1435" i="4"/>
  <c r="D1434" i="4"/>
  <c r="A1421" i="4"/>
  <c r="D1419" i="4"/>
  <c r="D1418" i="4"/>
  <c r="D1417" i="4"/>
  <c r="A1404" i="4"/>
  <c r="D1402" i="4"/>
  <c r="D1401" i="4"/>
  <c r="D1400" i="4"/>
  <c r="A1387" i="4"/>
  <c r="D1385" i="4"/>
  <c r="D1384" i="4"/>
  <c r="D1383" i="4"/>
  <c r="A1370" i="4"/>
  <c r="D1368" i="4"/>
  <c r="D1367" i="4"/>
  <c r="D1366" i="4"/>
  <c r="A1353" i="4"/>
  <c r="D1351" i="4"/>
  <c r="D1350" i="4"/>
  <c r="D1349" i="4"/>
  <c r="A1336" i="4"/>
  <c r="D1334" i="4"/>
  <c r="D1333" i="4"/>
  <c r="D1332" i="4"/>
  <c r="A1319" i="4"/>
  <c r="D1317" i="4"/>
  <c r="D1316" i="4"/>
  <c r="D1315" i="4"/>
  <c r="A1302" i="4"/>
  <c r="D1300" i="4"/>
  <c r="D1299" i="4"/>
  <c r="D1298" i="4"/>
  <c r="A1285" i="4"/>
  <c r="D1283" i="4"/>
  <c r="D1282" i="4"/>
  <c r="D1281" i="4"/>
  <c r="A1268" i="4"/>
  <c r="D1266" i="4"/>
  <c r="D1265" i="4"/>
  <c r="D1264" i="4"/>
  <c r="A1251" i="4"/>
  <c r="D1249" i="4"/>
  <c r="D1248" i="4"/>
  <c r="D1247" i="4"/>
  <c r="A1234" i="4"/>
  <c r="D1232" i="4"/>
  <c r="D1231" i="4"/>
  <c r="D1230" i="4"/>
  <c r="A1217" i="4"/>
  <c r="D1215" i="4"/>
  <c r="D1214" i="4"/>
  <c r="D1213" i="4"/>
  <c r="A1200" i="4"/>
  <c r="D1198" i="4"/>
  <c r="D1197" i="4"/>
  <c r="D1196" i="4"/>
  <c r="A1183" i="4"/>
  <c r="D1181" i="4"/>
  <c r="D1180" i="4"/>
  <c r="D1179" i="4"/>
  <c r="A1166" i="4"/>
  <c r="D1164" i="4"/>
  <c r="D1163" i="4"/>
  <c r="D1162" i="4"/>
  <c r="A1149" i="4"/>
  <c r="D1147" i="4"/>
  <c r="D1146" i="4"/>
  <c r="D1145" i="4"/>
  <c r="A1132" i="4"/>
  <c r="D1130" i="4"/>
  <c r="D1129" i="4"/>
  <c r="D1128" i="4"/>
  <c r="A1115" i="4"/>
  <c r="A1100" i="4"/>
  <c r="D1098" i="4"/>
  <c r="D1097" i="4"/>
  <c r="D1096" i="4"/>
  <c r="A1083" i="4"/>
  <c r="D1081" i="4"/>
  <c r="D1080" i="4"/>
  <c r="D1079" i="4"/>
  <c r="A1066" i="4"/>
  <c r="D1064" i="4"/>
  <c r="D1063" i="4"/>
  <c r="D1062" i="4"/>
  <c r="A1049" i="4"/>
  <c r="D1047" i="4"/>
  <c r="D1046" i="4"/>
  <c r="D1045" i="4"/>
  <c r="A1032" i="4"/>
  <c r="D1030" i="4"/>
  <c r="D1029" i="4"/>
  <c r="D1028" i="4"/>
  <c r="A1015" i="4"/>
  <c r="D1013" i="4"/>
  <c r="D1012" i="4"/>
  <c r="D1011" i="4"/>
  <c r="A998" i="4"/>
  <c r="D996" i="4"/>
  <c r="D995" i="4"/>
  <c r="D994" i="4"/>
  <c r="A981" i="4"/>
  <c r="A966" i="4"/>
  <c r="D964" i="4"/>
  <c r="D963" i="4"/>
  <c r="D962" i="4"/>
  <c r="A949" i="4"/>
  <c r="A934" i="4"/>
  <c r="D932" i="4"/>
  <c r="D931" i="4"/>
  <c r="D930" i="4"/>
  <c r="A917" i="4"/>
  <c r="D915" i="4"/>
  <c r="D914" i="4"/>
  <c r="D913" i="4"/>
  <c r="A900" i="4"/>
  <c r="D898" i="4"/>
  <c r="D897" i="4"/>
  <c r="D896" i="4"/>
  <c r="A883" i="4"/>
  <c r="D881" i="4"/>
  <c r="D880" i="4"/>
  <c r="D879" i="4"/>
  <c r="A866" i="4"/>
  <c r="A851" i="4"/>
  <c r="A836" i="4"/>
  <c r="D834" i="4"/>
  <c r="D833" i="4"/>
  <c r="D832" i="4"/>
  <c r="A819" i="4"/>
  <c r="D817" i="4"/>
  <c r="D816" i="4"/>
  <c r="D815" i="4"/>
  <c r="A802" i="4"/>
  <c r="D800" i="4"/>
  <c r="D799" i="4"/>
  <c r="D798" i="4"/>
  <c r="A785" i="4"/>
  <c r="D783" i="4"/>
  <c r="D782" i="4"/>
  <c r="D781" i="4"/>
  <c r="A768" i="4"/>
  <c r="D766" i="4"/>
  <c r="D765" i="4"/>
  <c r="D764" i="4"/>
  <c r="A751" i="4"/>
  <c r="D749" i="4"/>
  <c r="D748" i="4"/>
  <c r="D747" i="4"/>
  <c r="A734" i="4"/>
  <c r="A719" i="4"/>
  <c r="A704" i="4"/>
  <c r="A689" i="4"/>
  <c r="D687" i="4"/>
  <c r="D686" i="4"/>
  <c r="D685" i="4"/>
  <c r="A672" i="4"/>
  <c r="D670" i="4"/>
  <c r="D669" i="4"/>
  <c r="D668" i="4"/>
  <c r="A655" i="4"/>
  <c r="D653" i="4"/>
  <c r="D652" i="4"/>
  <c r="D651" i="4"/>
  <c r="A638" i="4"/>
  <c r="A623" i="4"/>
  <c r="D621" i="4"/>
  <c r="D620" i="4"/>
  <c r="D619" i="4"/>
  <c r="A606" i="4"/>
  <c r="D604" i="4"/>
  <c r="D603" i="4"/>
  <c r="D602" i="4"/>
  <c r="A589" i="4"/>
  <c r="D587" i="4"/>
  <c r="D586" i="4"/>
  <c r="D585" i="4"/>
  <c r="A572" i="4"/>
  <c r="D570" i="4"/>
  <c r="D569" i="4"/>
  <c r="D568" i="4"/>
  <c r="A555" i="4"/>
  <c r="A540" i="4"/>
  <c r="D538" i="4"/>
  <c r="D537" i="4"/>
  <c r="D536" i="4"/>
  <c r="A523" i="4"/>
  <c r="D521" i="4"/>
  <c r="D520" i="4"/>
  <c r="D519" i="4"/>
  <c r="A506" i="4"/>
  <c r="D504" i="4"/>
  <c r="D503" i="4"/>
  <c r="D502" i="4"/>
  <c r="A489" i="4"/>
  <c r="D487" i="4"/>
  <c r="D486" i="4"/>
  <c r="D485" i="4"/>
  <c r="A472" i="4"/>
  <c r="D470" i="4"/>
  <c r="D469" i="4"/>
  <c r="D468" i="4"/>
  <c r="A455" i="4"/>
  <c r="D453" i="4"/>
  <c r="D452" i="4"/>
  <c r="D451" i="4"/>
  <c r="A438" i="4"/>
  <c r="D436" i="4"/>
  <c r="D435" i="4"/>
  <c r="D434" i="4"/>
  <c r="A421" i="4"/>
  <c r="D419" i="4"/>
  <c r="D418" i="4"/>
  <c r="D417" i="4"/>
  <c r="A404" i="4"/>
  <c r="D402" i="4"/>
  <c r="D401" i="4"/>
  <c r="D400" i="4"/>
  <c r="A387" i="4"/>
  <c r="D385" i="4"/>
  <c r="D384" i="4"/>
  <c r="D383" i="4"/>
  <c r="A370" i="4"/>
  <c r="D368" i="4"/>
  <c r="D367" i="4"/>
  <c r="D366" i="4"/>
  <c r="A353" i="4"/>
  <c r="D351" i="4"/>
  <c r="D350" i="4"/>
  <c r="D349" i="4"/>
  <c r="A336" i="4"/>
  <c r="D334" i="4"/>
  <c r="D333" i="4"/>
  <c r="D332" i="4"/>
  <c r="A319" i="4"/>
  <c r="D317" i="4"/>
  <c r="D316" i="4"/>
  <c r="D315" i="4"/>
  <c r="A302" i="4"/>
  <c r="D300" i="4"/>
  <c r="D299" i="4"/>
  <c r="D298" i="4"/>
  <c r="A285" i="4"/>
  <c r="D283" i="4"/>
  <c r="D282" i="4"/>
  <c r="D281" i="4"/>
  <c r="A268" i="4"/>
  <c r="A253" i="4"/>
  <c r="A238" i="4"/>
  <c r="D236" i="4"/>
  <c r="D235" i="4"/>
  <c r="D234" i="4"/>
  <c r="A221" i="4"/>
  <c r="D219" i="4"/>
  <c r="D218" i="4"/>
  <c r="D217" i="4"/>
  <c r="A204" i="4"/>
  <c r="A189" i="4"/>
  <c r="A174" i="4"/>
  <c r="D172" i="4"/>
  <c r="D171" i="4"/>
  <c r="D170" i="4"/>
  <c r="A157" i="4"/>
  <c r="A142" i="4"/>
  <c r="A127" i="4"/>
  <c r="A112" i="4"/>
  <c r="D110" i="4"/>
  <c r="D109" i="4"/>
  <c r="D108" i="4"/>
  <c r="A95" i="4"/>
  <c r="D93" i="4"/>
  <c r="D92" i="4"/>
  <c r="D91" i="4"/>
  <c r="A78" i="4"/>
  <c r="D76" i="4"/>
  <c r="D75" i="4"/>
  <c r="D74" i="4"/>
  <c r="A61" i="4"/>
  <c r="A46" i="4"/>
  <c r="A31" i="4"/>
  <c r="A16" i="4"/>
  <c r="A1" i="4"/>
  <c r="D5226" i="3"/>
  <c r="D5225" i="3"/>
  <c r="D5224" i="3"/>
  <c r="A5211" i="3"/>
  <c r="D5209" i="3"/>
  <c r="D5208" i="3"/>
  <c r="D5207" i="3"/>
  <c r="A5194" i="3"/>
  <c r="D5192" i="3"/>
  <c r="D5191" i="3"/>
  <c r="D5190" i="3"/>
  <c r="A5177" i="3"/>
  <c r="D5175" i="3"/>
  <c r="D5174" i="3"/>
  <c r="D5173" i="3"/>
  <c r="A5160" i="3"/>
  <c r="D5158" i="3"/>
  <c r="D5157" i="3"/>
  <c r="D5156" i="3"/>
  <c r="A5143" i="3"/>
  <c r="D5141" i="3"/>
  <c r="D5140" i="3"/>
  <c r="D5139" i="3"/>
  <c r="A5126" i="3"/>
  <c r="D5124" i="3"/>
  <c r="D5123" i="3"/>
  <c r="D5122" i="3"/>
  <c r="A5109" i="3"/>
  <c r="D5107" i="3"/>
  <c r="D5106" i="3"/>
  <c r="D5105" i="3"/>
  <c r="A5092" i="3"/>
  <c r="D5090" i="3"/>
  <c r="D5089" i="3"/>
  <c r="D5088" i="3"/>
  <c r="A5075" i="3"/>
  <c r="D5073" i="3"/>
  <c r="D5072" i="3"/>
  <c r="D5071" i="3"/>
  <c r="A5058" i="3"/>
  <c r="D5056" i="3"/>
  <c r="D5055" i="3"/>
  <c r="D5054" i="3"/>
  <c r="A5041" i="3"/>
  <c r="D5039" i="3"/>
  <c r="D5038" i="3"/>
  <c r="D5037" i="3"/>
  <c r="A5024" i="3"/>
  <c r="D5022" i="3"/>
  <c r="D5021" i="3"/>
  <c r="D5020" i="3"/>
  <c r="A5007" i="3"/>
  <c r="D5005" i="3"/>
  <c r="D5004" i="3"/>
  <c r="D5003" i="3"/>
  <c r="A4990" i="3"/>
  <c r="D4988" i="3"/>
  <c r="D4987" i="3"/>
  <c r="D4986" i="3"/>
  <c r="A4973" i="3"/>
  <c r="D4971" i="3"/>
  <c r="D4970" i="3"/>
  <c r="D4969" i="3"/>
  <c r="A4956" i="3"/>
  <c r="D4954" i="3"/>
  <c r="D4953" i="3"/>
  <c r="D4952" i="3"/>
  <c r="A4939" i="3"/>
  <c r="D4937" i="3"/>
  <c r="D4936" i="3"/>
  <c r="D4935" i="3"/>
  <c r="A4922" i="3"/>
  <c r="D4920" i="3"/>
  <c r="D4919" i="3"/>
  <c r="D4918" i="3"/>
  <c r="A4905" i="3"/>
  <c r="D4903" i="3"/>
  <c r="D4902" i="3"/>
  <c r="D4901" i="3"/>
  <c r="A4888" i="3"/>
  <c r="D4886" i="3"/>
  <c r="D4885" i="3"/>
  <c r="D4884" i="3"/>
  <c r="A4871" i="3"/>
  <c r="D4869" i="3"/>
  <c r="D4868" i="3"/>
  <c r="D4867" i="3"/>
  <c r="A4854" i="3"/>
  <c r="D4852" i="3"/>
  <c r="D4851" i="3"/>
  <c r="D4850" i="3"/>
  <c r="A4837" i="3"/>
  <c r="D4835" i="3"/>
  <c r="D4834" i="3"/>
  <c r="D4833" i="3"/>
  <c r="A4820" i="3"/>
  <c r="D4818" i="3"/>
  <c r="D4817" i="3"/>
  <c r="D4816" i="3"/>
  <c r="A4803" i="3"/>
  <c r="D4801" i="3"/>
  <c r="D4800" i="3"/>
  <c r="D4799" i="3"/>
  <c r="A4786" i="3"/>
  <c r="D4784" i="3"/>
  <c r="D4783" i="3"/>
  <c r="D4782" i="3"/>
  <c r="A4769" i="3"/>
  <c r="D4767" i="3"/>
  <c r="D4766" i="3"/>
  <c r="D4765" i="3"/>
  <c r="A4752" i="3"/>
  <c r="D4750" i="3"/>
  <c r="D4749" i="3"/>
  <c r="D4748" i="3"/>
  <c r="A4735" i="3"/>
  <c r="D4733" i="3"/>
  <c r="D4732" i="3"/>
  <c r="D4731" i="3"/>
  <c r="A4718" i="3"/>
  <c r="D4716" i="3"/>
  <c r="D4715" i="3"/>
  <c r="D4714" i="3"/>
  <c r="A4701" i="3"/>
  <c r="D4699" i="3"/>
  <c r="D4698" i="3"/>
  <c r="D4697" i="3"/>
  <c r="A4684" i="3"/>
  <c r="D4682" i="3"/>
  <c r="D4681" i="3"/>
  <c r="D4680" i="3"/>
  <c r="A4667" i="3"/>
  <c r="D4665" i="3"/>
  <c r="D4664" i="3"/>
  <c r="D4663" i="3"/>
  <c r="A4650" i="3"/>
  <c r="D4648" i="3"/>
  <c r="D4647" i="3"/>
  <c r="D4646" i="3"/>
  <c r="A4633" i="3"/>
  <c r="D4631" i="3"/>
  <c r="D4630" i="3"/>
  <c r="D4629" i="3"/>
  <c r="A4616" i="3"/>
  <c r="D4614" i="3"/>
  <c r="D4613" i="3"/>
  <c r="D4612" i="3"/>
  <c r="A4599" i="3"/>
  <c r="D4597" i="3"/>
  <c r="D4596" i="3"/>
  <c r="D4595" i="3"/>
  <c r="A4582" i="3"/>
  <c r="D4580" i="3"/>
  <c r="D4579" i="3"/>
  <c r="D4578" i="3"/>
  <c r="A4565" i="3"/>
  <c r="D4563" i="3"/>
  <c r="D4562" i="3"/>
  <c r="D4561" i="3"/>
  <c r="A4548" i="3"/>
  <c r="D4546" i="3"/>
  <c r="D4545" i="3"/>
  <c r="D4544" i="3"/>
  <c r="A4531" i="3"/>
  <c r="D4529" i="3"/>
  <c r="D4528" i="3"/>
  <c r="D4527" i="3"/>
  <c r="A4514" i="3"/>
  <c r="D4512" i="3"/>
  <c r="D4511" i="3"/>
  <c r="D4510" i="3"/>
  <c r="A4497" i="3"/>
  <c r="D4495" i="3"/>
  <c r="D4494" i="3"/>
  <c r="D4493" i="3"/>
  <c r="A4480" i="3"/>
  <c r="D4478" i="3"/>
  <c r="D4477" i="3"/>
  <c r="D4476" i="3"/>
  <c r="A4463" i="3"/>
  <c r="D4461" i="3"/>
  <c r="D4460" i="3"/>
  <c r="D4459" i="3"/>
  <c r="A4446" i="3"/>
  <c r="D4444" i="3"/>
  <c r="D4443" i="3"/>
  <c r="D4442" i="3"/>
  <c r="A4429" i="3"/>
  <c r="D4427" i="3"/>
  <c r="D4426" i="3"/>
  <c r="D4425" i="3"/>
  <c r="A4412" i="3"/>
  <c r="D4410" i="3"/>
  <c r="D4409" i="3"/>
  <c r="D4408" i="3"/>
  <c r="A4395" i="3"/>
  <c r="D4393" i="3"/>
  <c r="D4392" i="3"/>
  <c r="D4391" i="3"/>
  <c r="A4378" i="3"/>
  <c r="D4376" i="3"/>
  <c r="D4375" i="3"/>
  <c r="D4374" i="3"/>
  <c r="A4361" i="3"/>
  <c r="D4359" i="3"/>
  <c r="D4358" i="3"/>
  <c r="D4357" i="3"/>
  <c r="A4344" i="3"/>
  <c r="D4342" i="3"/>
  <c r="D4341" i="3"/>
  <c r="D4340" i="3"/>
  <c r="A4327" i="3"/>
  <c r="D4325" i="3"/>
  <c r="D4324" i="3"/>
  <c r="D4323" i="3"/>
  <c r="A4310" i="3"/>
  <c r="D4308" i="3"/>
  <c r="D4307" i="3"/>
  <c r="D4306" i="3"/>
  <c r="A4293" i="3"/>
  <c r="D4291" i="3"/>
  <c r="D4290" i="3"/>
  <c r="D4289" i="3"/>
  <c r="A4276" i="3"/>
  <c r="D4274" i="3"/>
  <c r="D4273" i="3"/>
  <c r="D4272" i="3"/>
  <c r="A4259" i="3"/>
  <c r="D4257" i="3"/>
  <c r="D4256" i="3"/>
  <c r="D4255" i="3"/>
  <c r="A4242" i="3"/>
  <c r="D4240" i="3"/>
  <c r="D4239" i="3"/>
  <c r="D4238" i="3"/>
  <c r="A4225" i="3"/>
  <c r="D4223" i="3"/>
  <c r="D4222" i="3"/>
  <c r="D4221" i="3"/>
  <c r="A4208" i="3"/>
  <c r="D4206" i="3"/>
  <c r="D4205" i="3"/>
  <c r="D4204" i="3"/>
  <c r="A4191" i="3"/>
  <c r="D4189" i="3"/>
  <c r="D4188" i="3"/>
  <c r="D4187" i="3"/>
  <c r="A4174" i="3"/>
  <c r="D4172" i="3"/>
  <c r="D4171" i="3"/>
  <c r="D4170" i="3"/>
  <c r="A4157" i="3"/>
  <c r="D4155" i="3"/>
  <c r="D4154" i="3"/>
  <c r="D4153" i="3"/>
  <c r="A4140" i="3"/>
  <c r="D4138" i="3"/>
  <c r="D4137" i="3"/>
  <c r="D4136" i="3"/>
  <c r="A4123" i="3"/>
  <c r="D4121" i="3"/>
  <c r="D4120" i="3"/>
  <c r="D4119" i="3"/>
  <c r="A4106" i="3"/>
  <c r="D4104" i="3"/>
  <c r="D4103" i="3"/>
  <c r="D4102" i="3"/>
  <c r="A4089" i="3"/>
  <c r="D4087" i="3"/>
  <c r="D4086" i="3"/>
  <c r="D4085" i="3"/>
  <c r="A4072" i="3"/>
  <c r="D4070" i="3"/>
  <c r="D4069" i="3"/>
  <c r="D4068" i="3"/>
  <c r="A4055" i="3"/>
  <c r="D4053" i="3"/>
  <c r="D4052" i="3"/>
  <c r="D4051" i="3"/>
  <c r="A4038" i="3"/>
  <c r="D4036" i="3"/>
  <c r="D4035" i="3"/>
  <c r="D4034" i="3"/>
  <c r="A4021" i="3"/>
  <c r="D4019" i="3"/>
  <c r="D4018" i="3"/>
  <c r="D4017" i="3"/>
  <c r="A4004" i="3"/>
  <c r="D4002" i="3"/>
  <c r="D4001" i="3"/>
  <c r="D4000" i="3"/>
  <c r="A3987" i="3"/>
  <c r="D3985" i="3"/>
  <c r="D3984" i="3"/>
  <c r="D3983" i="3"/>
  <c r="A3970" i="3"/>
  <c r="D3968" i="3"/>
  <c r="D3967" i="3"/>
  <c r="D3966" i="3"/>
  <c r="A3953" i="3"/>
  <c r="D3951" i="3"/>
  <c r="D3950" i="3"/>
  <c r="D3949" i="3"/>
  <c r="A3936" i="3"/>
  <c r="D3934" i="3"/>
  <c r="D3933" i="3"/>
  <c r="D3932" i="3"/>
  <c r="A3919" i="3"/>
  <c r="D3917" i="3"/>
  <c r="D3916" i="3"/>
  <c r="D3915" i="3"/>
  <c r="A3902" i="3"/>
  <c r="D3900" i="3"/>
  <c r="D3899" i="3"/>
  <c r="D3898" i="3"/>
  <c r="A3885" i="3"/>
  <c r="D3883" i="3"/>
  <c r="D3882" i="3"/>
  <c r="D3881" i="3"/>
  <c r="A3868" i="3"/>
  <c r="D3866" i="3"/>
  <c r="D3865" i="3"/>
  <c r="D3864" i="3"/>
  <c r="A3851" i="3"/>
  <c r="D3849" i="3"/>
  <c r="D3848" i="3"/>
  <c r="D3847" i="3"/>
  <c r="A3834" i="3"/>
  <c r="D3832" i="3"/>
  <c r="D3831" i="3"/>
  <c r="D3830" i="3"/>
  <c r="A3817" i="3"/>
  <c r="D3815" i="3"/>
  <c r="D3814" i="3"/>
  <c r="D3813" i="3"/>
  <c r="A3800" i="3"/>
  <c r="D3798" i="3"/>
  <c r="D3797" i="3"/>
  <c r="D3796" i="3"/>
  <c r="A3783" i="3"/>
  <c r="D3781" i="3"/>
  <c r="D3780" i="3"/>
  <c r="D3779" i="3"/>
  <c r="A3766" i="3"/>
  <c r="D3764" i="3"/>
  <c r="D3763" i="3"/>
  <c r="D3762" i="3"/>
  <c r="A3749" i="3"/>
  <c r="D3747" i="3"/>
  <c r="D3746" i="3"/>
  <c r="D3745" i="3"/>
  <c r="A3732" i="3"/>
  <c r="D3730" i="3"/>
  <c r="D3729" i="3"/>
  <c r="D3728" i="3"/>
  <c r="A3715" i="3"/>
  <c r="D3713" i="3"/>
  <c r="D3712" i="3"/>
  <c r="D3711" i="3"/>
  <c r="A3698" i="3"/>
  <c r="D3696" i="3"/>
  <c r="D3695" i="3"/>
  <c r="D3694" i="3"/>
  <c r="A3681" i="3"/>
  <c r="D3679" i="3"/>
  <c r="D3678" i="3"/>
  <c r="D3677" i="3"/>
  <c r="A3664" i="3"/>
  <c r="D3662" i="3"/>
  <c r="D3661" i="3"/>
  <c r="D3660" i="3"/>
  <c r="A3647" i="3"/>
  <c r="D3645" i="3"/>
  <c r="D3644" i="3"/>
  <c r="D3643" i="3"/>
  <c r="A3630" i="3"/>
  <c r="D3628" i="3"/>
  <c r="D3627" i="3"/>
  <c r="D3626" i="3"/>
  <c r="A3613" i="3"/>
  <c r="D3611" i="3"/>
  <c r="D3610" i="3"/>
  <c r="D3609" i="3"/>
  <c r="A3596" i="3"/>
  <c r="D3594" i="3"/>
  <c r="D3593" i="3"/>
  <c r="D3592" i="3"/>
  <c r="A3579" i="3"/>
  <c r="D3577" i="3"/>
  <c r="D3576" i="3"/>
  <c r="D3575" i="3"/>
  <c r="A3562" i="3"/>
  <c r="D3560" i="3"/>
  <c r="D3559" i="3"/>
  <c r="D3558" i="3"/>
  <c r="A3545" i="3"/>
  <c r="D3543" i="3"/>
  <c r="D3542" i="3"/>
  <c r="D3541" i="3"/>
  <c r="A3528" i="3"/>
  <c r="D3526" i="3"/>
  <c r="D3525" i="3"/>
  <c r="D3524" i="3"/>
  <c r="A3511" i="3"/>
  <c r="D3509" i="3"/>
  <c r="D3508" i="3"/>
  <c r="D3507" i="3"/>
  <c r="A3494" i="3"/>
  <c r="D3492" i="3"/>
  <c r="D3491" i="3"/>
  <c r="D3490" i="3"/>
  <c r="A3477" i="3"/>
  <c r="D3475" i="3"/>
  <c r="D3474" i="3"/>
  <c r="D3473" i="3"/>
  <c r="A3460" i="3"/>
  <c r="D3458" i="3"/>
  <c r="D3457" i="3"/>
  <c r="D3456" i="3"/>
  <c r="A3443" i="3"/>
  <c r="D3441" i="3"/>
  <c r="D3440" i="3"/>
  <c r="D3439" i="3"/>
  <c r="A3426" i="3"/>
  <c r="D3424" i="3"/>
  <c r="D3423" i="3"/>
  <c r="D3422" i="3"/>
  <c r="A3409" i="3"/>
  <c r="D3407" i="3"/>
  <c r="D3406" i="3"/>
  <c r="D3405" i="3"/>
  <c r="A3392" i="3"/>
  <c r="D3390" i="3"/>
  <c r="D3389" i="3"/>
  <c r="D3388" i="3"/>
  <c r="A3375" i="3"/>
  <c r="D3373" i="3"/>
  <c r="D3372" i="3"/>
  <c r="D3371" i="3"/>
  <c r="A3358" i="3"/>
  <c r="D3356" i="3"/>
  <c r="D3355" i="3"/>
  <c r="D3354" i="3"/>
  <c r="A3341" i="3"/>
  <c r="D3339" i="3"/>
  <c r="D3338" i="3"/>
  <c r="D3337" i="3"/>
  <c r="A3324" i="3"/>
  <c r="D3322" i="3"/>
  <c r="D3321" i="3"/>
  <c r="D3320" i="3"/>
  <c r="A3307" i="3"/>
  <c r="D3305" i="3"/>
  <c r="D3304" i="3"/>
  <c r="D3303" i="3"/>
  <c r="A3290" i="3"/>
  <c r="D3288" i="3"/>
  <c r="D3287" i="3"/>
  <c r="D3286" i="3"/>
  <c r="A3273" i="3"/>
  <c r="D3271" i="3"/>
  <c r="D3270" i="3"/>
  <c r="D3269" i="3"/>
  <c r="A3256" i="3"/>
  <c r="D3254" i="3"/>
  <c r="D3253" i="3"/>
  <c r="D3252" i="3"/>
  <c r="A3239" i="3"/>
  <c r="D3237" i="3"/>
  <c r="D3236" i="3"/>
  <c r="D3235" i="3"/>
  <c r="A3222" i="3"/>
  <c r="D3220" i="3"/>
  <c r="D3219" i="3"/>
  <c r="D3218" i="3"/>
  <c r="A3205" i="3"/>
  <c r="D3203" i="3"/>
  <c r="D3202" i="3"/>
  <c r="D3201" i="3"/>
  <c r="A3188" i="3"/>
  <c r="D3186" i="3"/>
  <c r="D3185" i="3"/>
  <c r="D3184" i="3"/>
  <c r="A3171" i="3"/>
  <c r="D3169" i="3"/>
  <c r="D3168" i="3"/>
  <c r="D3167" i="3"/>
  <c r="A3154" i="3"/>
  <c r="D3152" i="3"/>
  <c r="D3151" i="3"/>
  <c r="D3150" i="3"/>
  <c r="A3137" i="3"/>
  <c r="D3135" i="3"/>
  <c r="D3134" i="3"/>
  <c r="D3133" i="3"/>
  <c r="A3120" i="3"/>
  <c r="D3118" i="3"/>
  <c r="D3117" i="3"/>
  <c r="D3116" i="3"/>
  <c r="A3103" i="3"/>
  <c r="D3101" i="3"/>
  <c r="D3100" i="3"/>
  <c r="D3099" i="3"/>
  <c r="A3086" i="3"/>
  <c r="D3084" i="3"/>
  <c r="D3083" i="3"/>
  <c r="D3082" i="3"/>
  <c r="A3069" i="3"/>
  <c r="D3067" i="3"/>
  <c r="D3066" i="3"/>
  <c r="D3065" i="3"/>
  <c r="A3052" i="3"/>
  <c r="D3050" i="3"/>
  <c r="D3049" i="3"/>
  <c r="D3048" i="3"/>
  <c r="A3035" i="3"/>
  <c r="D3033" i="3"/>
  <c r="D3032" i="3"/>
  <c r="D3031" i="3"/>
  <c r="A3018" i="3"/>
  <c r="D3016" i="3"/>
  <c r="D3015" i="3"/>
  <c r="D3014" i="3"/>
  <c r="A3001" i="3"/>
  <c r="D2999" i="3"/>
  <c r="D2998" i="3"/>
  <c r="D2997" i="3"/>
  <c r="A2984" i="3"/>
  <c r="D2982" i="3"/>
  <c r="D2981" i="3"/>
  <c r="D2980" i="3"/>
  <c r="A2967" i="3"/>
  <c r="D2965" i="3"/>
  <c r="D2964" i="3"/>
  <c r="D2963" i="3"/>
  <c r="A2950" i="3"/>
  <c r="D2948" i="3"/>
  <c r="D2947" i="3"/>
  <c r="D2946" i="3"/>
  <c r="A2933" i="3"/>
  <c r="D2931" i="3"/>
  <c r="D2930" i="3"/>
  <c r="D2929" i="3"/>
  <c r="A2916" i="3"/>
  <c r="D2914" i="3"/>
  <c r="D2913" i="3"/>
  <c r="D2912" i="3"/>
  <c r="A2899" i="3"/>
  <c r="D2897" i="3"/>
  <c r="D2896" i="3"/>
  <c r="D2895" i="3"/>
  <c r="A2882" i="3"/>
  <c r="D2880" i="3"/>
  <c r="D2879" i="3"/>
  <c r="D2878" i="3"/>
  <c r="A2865" i="3"/>
  <c r="D2863" i="3"/>
  <c r="D2862" i="3"/>
  <c r="D2861" i="3"/>
  <c r="A2848" i="3"/>
  <c r="D2846" i="3"/>
  <c r="D2845" i="3"/>
  <c r="D2844" i="3"/>
  <c r="A2831" i="3"/>
  <c r="D2829" i="3"/>
  <c r="D2828" i="3"/>
  <c r="D2827" i="3"/>
  <c r="A2814" i="3"/>
  <c r="D2812" i="3"/>
  <c r="D2811" i="3"/>
  <c r="D2810" i="3"/>
  <c r="A2797" i="3"/>
  <c r="D2795" i="3"/>
  <c r="D2794" i="3"/>
  <c r="D2793" i="3"/>
  <c r="A2780" i="3"/>
  <c r="D2778" i="3"/>
  <c r="D2777" i="3"/>
  <c r="D2776" i="3"/>
  <c r="A2763" i="3"/>
  <c r="D2761" i="3"/>
  <c r="D2760" i="3"/>
  <c r="D2759" i="3"/>
  <c r="A2746" i="3"/>
  <c r="D2744" i="3"/>
  <c r="D2743" i="3"/>
  <c r="D2742" i="3"/>
  <c r="A2729" i="3"/>
  <c r="D2727" i="3"/>
  <c r="D2726" i="3"/>
  <c r="D2725" i="3"/>
  <c r="A2712" i="3"/>
  <c r="D2710" i="3"/>
  <c r="D2709" i="3"/>
  <c r="D2708" i="3"/>
  <c r="A2695" i="3"/>
  <c r="D2693" i="3"/>
  <c r="D2692" i="3"/>
  <c r="D2691" i="3"/>
  <c r="A2678" i="3"/>
  <c r="D2676" i="3"/>
  <c r="D2675" i="3"/>
  <c r="D2674" i="3"/>
  <c r="A2661" i="3"/>
  <c r="D2659" i="3"/>
  <c r="D2658" i="3"/>
  <c r="D2657" i="3"/>
  <c r="A2644" i="3"/>
  <c r="D2642" i="3"/>
  <c r="D2641" i="3"/>
  <c r="D2640" i="3"/>
  <c r="A2627" i="3"/>
  <c r="D2625" i="3"/>
  <c r="D2624" i="3"/>
  <c r="D2623" i="3"/>
  <c r="A2610" i="3"/>
  <c r="D2608" i="3"/>
  <c r="D2607" i="3"/>
  <c r="D2606" i="3"/>
  <c r="A2593" i="3"/>
  <c r="D2591" i="3"/>
  <c r="D2590" i="3"/>
  <c r="D2589" i="3"/>
  <c r="A2576" i="3"/>
  <c r="D2574" i="3"/>
  <c r="D2573" i="3"/>
  <c r="D2572" i="3"/>
  <c r="A2559" i="3"/>
  <c r="D2557" i="3"/>
  <c r="D2556" i="3"/>
  <c r="D2555" i="3"/>
  <c r="A2542" i="3"/>
  <c r="D2540" i="3"/>
  <c r="D2539" i="3"/>
  <c r="D2538" i="3"/>
  <c r="A2525" i="3"/>
  <c r="D2523" i="3"/>
  <c r="D2522" i="3"/>
  <c r="D2521" i="3"/>
  <c r="A2508" i="3"/>
  <c r="D2506" i="3"/>
  <c r="D2505" i="3"/>
  <c r="D2504" i="3"/>
  <c r="A2491" i="3"/>
  <c r="D2489" i="3"/>
  <c r="D2488" i="3"/>
  <c r="D2487" i="3"/>
  <c r="A2474" i="3"/>
  <c r="D2472" i="3"/>
  <c r="D2471" i="3"/>
  <c r="D2470" i="3"/>
  <c r="A2457" i="3"/>
  <c r="D2455" i="3"/>
  <c r="D2454" i="3"/>
  <c r="D2453" i="3"/>
  <c r="A2440" i="3"/>
  <c r="D2438" i="3"/>
  <c r="D2437" i="3"/>
  <c r="D2436" i="3"/>
  <c r="A2423" i="3"/>
  <c r="D2421" i="3"/>
  <c r="D2420" i="3"/>
  <c r="D2419" i="3"/>
  <c r="A2406" i="3"/>
  <c r="D2404" i="3"/>
  <c r="D2403" i="3"/>
  <c r="D2402" i="3"/>
  <c r="A2389" i="3"/>
  <c r="D2387" i="3"/>
  <c r="D2386" i="3"/>
  <c r="D2385" i="3"/>
  <c r="A2372" i="3"/>
  <c r="D2370" i="3"/>
  <c r="D2369" i="3"/>
  <c r="D2368" i="3"/>
  <c r="A2355" i="3"/>
  <c r="D2353" i="3"/>
  <c r="D2352" i="3"/>
  <c r="D2351" i="3"/>
  <c r="A2338" i="3"/>
  <c r="D2336" i="3"/>
  <c r="D2335" i="3"/>
  <c r="D2334" i="3"/>
  <c r="A2321" i="3"/>
  <c r="D2319" i="3"/>
  <c r="D2318" i="3"/>
  <c r="D2317" i="3"/>
  <c r="A2304" i="3"/>
  <c r="D2302" i="3"/>
  <c r="D2301" i="3"/>
  <c r="D2300" i="3"/>
  <c r="A2287" i="3"/>
  <c r="D2285" i="3"/>
  <c r="D2284" i="3"/>
  <c r="D2283" i="3"/>
  <c r="A2270" i="3"/>
  <c r="D2268" i="3"/>
  <c r="D2267" i="3"/>
  <c r="D2266" i="3"/>
  <c r="A2253" i="3"/>
  <c r="D2251" i="3"/>
  <c r="D2250" i="3"/>
  <c r="D2249" i="3"/>
  <c r="A2236" i="3"/>
  <c r="D2234" i="3"/>
  <c r="D2233" i="3"/>
  <c r="D2232" i="3"/>
  <c r="A2219" i="3"/>
  <c r="D2217" i="3"/>
  <c r="D2216" i="3"/>
  <c r="D2215" i="3"/>
  <c r="A2202" i="3"/>
  <c r="D2200" i="3"/>
  <c r="D2199" i="3"/>
  <c r="D2198" i="3"/>
  <c r="A2185" i="3"/>
  <c r="D2183" i="3"/>
  <c r="D2182" i="3"/>
  <c r="D2181" i="3"/>
  <c r="A2168" i="3"/>
  <c r="D2166" i="3"/>
  <c r="D2165" i="3"/>
  <c r="D2164" i="3"/>
  <c r="A2151" i="3"/>
  <c r="D2149" i="3"/>
  <c r="D2148" i="3"/>
  <c r="D2147" i="3"/>
  <c r="A2134" i="3"/>
  <c r="D2132" i="3"/>
  <c r="D2131" i="3"/>
  <c r="D2130" i="3"/>
  <c r="A2117" i="3"/>
  <c r="D2115" i="3"/>
  <c r="D2114" i="3"/>
  <c r="D2113" i="3"/>
  <c r="A2100" i="3"/>
  <c r="D2098" i="3"/>
  <c r="D2097" i="3"/>
  <c r="D2096" i="3"/>
  <c r="A2083" i="3"/>
  <c r="D2081" i="3"/>
  <c r="D2080" i="3"/>
  <c r="D2079" i="3"/>
  <c r="A2066" i="3"/>
  <c r="D2064" i="3"/>
  <c r="D2063" i="3"/>
  <c r="D2062" i="3"/>
  <c r="A2049" i="3"/>
  <c r="D2047" i="3"/>
  <c r="D2046" i="3"/>
  <c r="D2045" i="3"/>
  <c r="A2032" i="3"/>
  <c r="D2030" i="3"/>
  <c r="D2029" i="3"/>
  <c r="D2028" i="3"/>
  <c r="A2015" i="3"/>
  <c r="D2013" i="3"/>
  <c r="D2012" i="3"/>
  <c r="D2011" i="3"/>
  <c r="A1998" i="3"/>
  <c r="D1996" i="3"/>
  <c r="D1995" i="3"/>
  <c r="D1994" i="3"/>
  <c r="A1981" i="3"/>
  <c r="D1979" i="3"/>
  <c r="D1978" i="3"/>
  <c r="D1977" i="3"/>
  <c r="A1964" i="3"/>
  <c r="D1962" i="3"/>
  <c r="D1961" i="3"/>
  <c r="D1960" i="3"/>
  <c r="A1947" i="3"/>
  <c r="D1945" i="3"/>
  <c r="D1944" i="3"/>
  <c r="D1943" i="3"/>
  <c r="A1930" i="3"/>
  <c r="D1928" i="3"/>
  <c r="D1927" i="3"/>
  <c r="D1926" i="3"/>
  <c r="A1913" i="3"/>
  <c r="D1911" i="3"/>
  <c r="D1910" i="3"/>
  <c r="D1909" i="3"/>
  <c r="A1896" i="3"/>
  <c r="D1894" i="3"/>
  <c r="D1893" i="3"/>
  <c r="D1892" i="3"/>
  <c r="A1879" i="3"/>
  <c r="D1877" i="3"/>
  <c r="D1876" i="3"/>
  <c r="D1875" i="3"/>
  <c r="A1862" i="3"/>
  <c r="D1860" i="3"/>
  <c r="D1859" i="3"/>
  <c r="D1858" i="3"/>
  <c r="A1845" i="3"/>
  <c r="D1843" i="3"/>
  <c r="D1842" i="3"/>
  <c r="D1841" i="3"/>
  <c r="A1828" i="3"/>
  <c r="D1826" i="3"/>
  <c r="D1825" i="3"/>
  <c r="D1824" i="3"/>
  <c r="A1811" i="3"/>
  <c r="D1809" i="3"/>
  <c r="D1808" i="3"/>
  <c r="D1807" i="3"/>
  <c r="A1794" i="3"/>
  <c r="D1792" i="3"/>
  <c r="D1791" i="3"/>
  <c r="D1790" i="3"/>
  <c r="A1777" i="3"/>
  <c r="D1775" i="3"/>
  <c r="D1774" i="3"/>
  <c r="D1773" i="3"/>
  <c r="A1760" i="3"/>
  <c r="D1758" i="3"/>
  <c r="D1757" i="3"/>
  <c r="D1756" i="3"/>
  <c r="A1743" i="3"/>
  <c r="D1741" i="3"/>
  <c r="D1740" i="3"/>
  <c r="D1739" i="3"/>
  <c r="A1726" i="3"/>
  <c r="D1724" i="3"/>
  <c r="D1723" i="3"/>
  <c r="D1722" i="3"/>
  <c r="A1709" i="3"/>
  <c r="D1707" i="3"/>
  <c r="D1706" i="3"/>
  <c r="D1705" i="3"/>
  <c r="A1692" i="3"/>
  <c r="D1690" i="3"/>
  <c r="D1689" i="3"/>
  <c r="D1688" i="3"/>
  <c r="A1675" i="3"/>
  <c r="D1673" i="3"/>
  <c r="D1672" i="3"/>
  <c r="D1671" i="3"/>
  <c r="A1658" i="3"/>
  <c r="D1656" i="3"/>
  <c r="D1655" i="3"/>
  <c r="D1654" i="3"/>
  <c r="A1641" i="3"/>
  <c r="D1639" i="3"/>
  <c r="D1638" i="3"/>
  <c r="D1637" i="3"/>
  <c r="A1624" i="3"/>
  <c r="D1622" i="3"/>
  <c r="D1621" i="3"/>
  <c r="D1620" i="3"/>
  <c r="A1607" i="3"/>
  <c r="D1605" i="3"/>
  <c r="D1604" i="3"/>
  <c r="D1603" i="3"/>
  <c r="A1590" i="3"/>
  <c r="D1588" i="3"/>
  <c r="D1587" i="3"/>
  <c r="D1586" i="3"/>
  <c r="A1573" i="3"/>
  <c r="D1571" i="3"/>
  <c r="D1570" i="3"/>
  <c r="D1569" i="3"/>
  <c r="A1556" i="3"/>
  <c r="D1554" i="3"/>
  <c r="D1553" i="3"/>
  <c r="D1552" i="3"/>
  <c r="A1539" i="3"/>
  <c r="D1537" i="3"/>
  <c r="D1536" i="3"/>
  <c r="D1535" i="3"/>
  <c r="A1522" i="3"/>
  <c r="D1520" i="3"/>
  <c r="D1519" i="3"/>
  <c r="D1518" i="3"/>
  <c r="A1505" i="3"/>
  <c r="D1503" i="3"/>
  <c r="D1502" i="3"/>
  <c r="D1501" i="3"/>
  <c r="A1488" i="3"/>
  <c r="D1486" i="3"/>
  <c r="D1485" i="3"/>
  <c r="D1484" i="3"/>
  <c r="A1471" i="3"/>
  <c r="D1469" i="3"/>
  <c r="D1468" i="3"/>
  <c r="D1467" i="3"/>
  <c r="A1454" i="3"/>
  <c r="D1452" i="3"/>
  <c r="D1451" i="3"/>
  <c r="D1450" i="3"/>
  <c r="A1437" i="3"/>
  <c r="D1435" i="3"/>
  <c r="D1434" i="3"/>
  <c r="D1433" i="3"/>
  <c r="A1420" i="3"/>
  <c r="D1418" i="3"/>
  <c r="D1417" i="3"/>
  <c r="D1416" i="3"/>
  <c r="A1403" i="3"/>
  <c r="D1401" i="3"/>
  <c r="D1400" i="3"/>
  <c r="D1399" i="3"/>
  <c r="A1386" i="3"/>
  <c r="D1384" i="3"/>
  <c r="D1383" i="3"/>
  <c r="D1382" i="3"/>
  <c r="A1369" i="3"/>
  <c r="D1367" i="3"/>
  <c r="D1366" i="3"/>
  <c r="D1365" i="3"/>
  <c r="A1352" i="3"/>
  <c r="D1350" i="3"/>
  <c r="D1349" i="3"/>
  <c r="D1348" i="3"/>
  <c r="A1335" i="3"/>
  <c r="D1333" i="3"/>
  <c r="D1332" i="3"/>
  <c r="D1331" i="3"/>
  <c r="A1318" i="3"/>
  <c r="D1316" i="3"/>
  <c r="D1315" i="3"/>
  <c r="D1314" i="3"/>
  <c r="A1301" i="3"/>
  <c r="D1299" i="3"/>
  <c r="D1298" i="3"/>
  <c r="D1297" i="3"/>
  <c r="A1284" i="3"/>
  <c r="D1282" i="3"/>
  <c r="D1281" i="3"/>
  <c r="D1280" i="3"/>
  <c r="A1267" i="3"/>
  <c r="D1265" i="3"/>
  <c r="D1264" i="3"/>
  <c r="D1263" i="3"/>
  <c r="A1250" i="3"/>
  <c r="D1248" i="3"/>
  <c r="D1247" i="3"/>
  <c r="D1246" i="3"/>
  <c r="A1233" i="3"/>
  <c r="D1231" i="3"/>
  <c r="D1230" i="3"/>
  <c r="D1229" i="3"/>
  <c r="A1216" i="3"/>
  <c r="D1214" i="3"/>
  <c r="D1213" i="3"/>
  <c r="D1212" i="3"/>
  <c r="A1199" i="3"/>
  <c r="D1197" i="3"/>
  <c r="D1196" i="3"/>
  <c r="D1195" i="3"/>
  <c r="A1182" i="3"/>
  <c r="D1180" i="3"/>
  <c r="D1179" i="3"/>
  <c r="D1178" i="3"/>
  <c r="A1165" i="3"/>
  <c r="D1163" i="3"/>
  <c r="D1162" i="3"/>
  <c r="D1161" i="3"/>
  <c r="A1148" i="3"/>
  <c r="D1146" i="3"/>
  <c r="D1145" i="3"/>
  <c r="D1144" i="3"/>
  <c r="A1131" i="3"/>
  <c r="D1129" i="3"/>
  <c r="D1128" i="3"/>
  <c r="D1127" i="3"/>
  <c r="A1114" i="3"/>
  <c r="D1112" i="3"/>
  <c r="D1111" i="3"/>
  <c r="D1110" i="3"/>
  <c r="A1097" i="3"/>
  <c r="D1095" i="3"/>
  <c r="D1094" i="3"/>
  <c r="D1093" i="3"/>
  <c r="A1080" i="3"/>
  <c r="D1078" i="3"/>
  <c r="D1077" i="3"/>
  <c r="D1076" i="3"/>
  <c r="A1063" i="3"/>
  <c r="D1061" i="3"/>
  <c r="D1060" i="3"/>
  <c r="D1059" i="3"/>
  <c r="A1046" i="3"/>
  <c r="D1044" i="3"/>
  <c r="D1043" i="3"/>
  <c r="D1042" i="3"/>
  <c r="A1029" i="3"/>
  <c r="D1027" i="3"/>
  <c r="D1026" i="3"/>
  <c r="D1025" i="3"/>
  <c r="A1012" i="3"/>
  <c r="D1010" i="3"/>
  <c r="D1009" i="3"/>
  <c r="D1008" i="3"/>
  <c r="A995" i="3"/>
  <c r="D993" i="3"/>
  <c r="D992" i="3"/>
  <c r="D991" i="3"/>
  <c r="A978" i="3"/>
  <c r="D976" i="3"/>
  <c r="D975" i="3"/>
  <c r="D974" i="3"/>
  <c r="A961" i="3"/>
  <c r="D959" i="3"/>
  <c r="D958" i="3"/>
  <c r="D957" i="3"/>
  <c r="A944" i="3"/>
  <c r="D942" i="3"/>
  <c r="D941" i="3"/>
  <c r="D940" i="3"/>
  <c r="A927" i="3"/>
  <c r="D925" i="3"/>
  <c r="D924" i="3"/>
  <c r="D923" i="3"/>
  <c r="A910" i="3"/>
  <c r="D908" i="3"/>
  <c r="D907" i="3"/>
  <c r="D906" i="3"/>
  <c r="A893" i="3"/>
  <c r="D891" i="3"/>
  <c r="D890" i="3"/>
  <c r="D889" i="3"/>
  <c r="A876" i="3"/>
  <c r="D874" i="3"/>
  <c r="D873" i="3"/>
  <c r="D872" i="3"/>
  <c r="A859" i="3"/>
  <c r="D857" i="3"/>
  <c r="D856" i="3"/>
  <c r="D855" i="3"/>
  <c r="A842" i="3"/>
  <c r="D840" i="3"/>
  <c r="D839" i="3"/>
  <c r="D838" i="3"/>
  <c r="A825" i="3"/>
  <c r="D823" i="3"/>
  <c r="D822" i="3"/>
  <c r="D821" i="3"/>
  <c r="A808" i="3"/>
  <c r="D806" i="3"/>
  <c r="D805" i="3"/>
  <c r="D804" i="3"/>
  <c r="A791" i="3"/>
  <c r="D789" i="3"/>
  <c r="D788" i="3"/>
  <c r="D787" i="3"/>
  <c r="A774" i="3"/>
  <c r="D772" i="3"/>
  <c r="D771" i="3"/>
  <c r="D770" i="3"/>
  <c r="A757" i="3"/>
  <c r="D755" i="3"/>
  <c r="D754" i="3"/>
  <c r="D753" i="3"/>
  <c r="A740" i="3"/>
  <c r="D738" i="3"/>
  <c r="D737" i="3"/>
  <c r="D736" i="3"/>
  <c r="A723" i="3"/>
  <c r="D721" i="3"/>
  <c r="D720" i="3"/>
  <c r="D719" i="3"/>
  <c r="A706" i="3"/>
  <c r="D704" i="3"/>
  <c r="D703" i="3"/>
  <c r="D702" i="3"/>
  <c r="A689" i="3"/>
  <c r="D687" i="3"/>
  <c r="D686" i="3"/>
  <c r="D685" i="3"/>
  <c r="A672" i="3"/>
  <c r="D670" i="3"/>
  <c r="D669" i="3"/>
  <c r="D668" i="3"/>
  <c r="A655" i="3"/>
  <c r="D653" i="3"/>
  <c r="D652" i="3"/>
  <c r="D651" i="3"/>
  <c r="A638" i="3"/>
  <c r="D636" i="3"/>
  <c r="D635" i="3"/>
  <c r="D634" i="3"/>
  <c r="A621" i="3"/>
  <c r="D619" i="3"/>
  <c r="D618" i="3"/>
  <c r="D617" i="3"/>
  <c r="A604" i="3"/>
  <c r="D602" i="3"/>
  <c r="D601" i="3"/>
  <c r="D600" i="3"/>
  <c r="A587" i="3"/>
  <c r="D585" i="3"/>
  <c r="D584" i="3"/>
  <c r="D583" i="3"/>
  <c r="A570" i="3"/>
  <c r="D568" i="3"/>
  <c r="D567" i="3"/>
  <c r="D566" i="3"/>
  <c r="A553" i="3"/>
  <c r="D551" i="3"/>
  <c r="D550" i="3"/>
  <c r="D549" i="3"/>
  <c r="A536" i="3"/>
  <c r="D534" i="3"/>
  <c r="D533" i="3"/>
  <c r="D532" i="3"/>
  <c r="A519" i="3"/>
  <c r="D517" i="3"/>
  <c r="D516" i="3"/>
  <c r="D515" i="3"/>
  <c r="A502" i="3"/>
  <c r="D500" i="3"/>
  <c r="D499" i="3"/>
  <c r="D498" i="3"/>
  <c r="A485" i="3"/>
  <c r="A470" i="3"/>
  <c r="D468" i="3"/>
  <c r="D467" i="3"/>
  <c r="D466" i="3"/>
  <c r="A453" i="3"/>
  <c r="D451" i="3"/>
  <c r="D450" i="3"/>
  <c r="D449" i="3"/>
  <c r="A436" i="3"/>
  <c r="D434" i="3"/>
  <c r="D433" i="3"/>
  <c r="D432" i="3"/>
  <c r="A419" i="3"/>
  <c r="D417" i="3"/>
  <c r="D416" i="3"/>
  <c r="D415" i="3"/>
  <c r="A402" i="3"/>
  <c r="A387" i="3"/>
  <c r="D385" i="3"/>
  <c r="D384" i="3"/>
  <c r="D383" i="3"/>
  <c r="A370" i="3"/>
  <c r="D368" i="3"/>
  <c r="D367" i="3"/>
  <c r="D366" i="3"/>
  <c r="A353" i="3"/>
  <c r="D351" i="3"/>
  <c r="D350" i="3"/>
  <c r="D349" i="3"/>
  <c r="A336" i="3"/>
  <c r="D334" i="3"/>
  <c r="D333" i="3"/>
  <c r="D332" i="3"/>
  <c r="A319" i="3"/>
  <c r="D317" i="3"/>
  <c r="D316" i="3"/>
  <c r="D315" i="3"/>
  <c r="A302" i="3"/>
  <c r="D300" i="3"/>
  <c r="D299" i="3"/>
  <c r="D298" i="3"/>
  <c r="A285" i="3"/>
  <c r="A270" i="3"/>
  <c r="A255" i="3"/>
  <c r="D253" i="3"/>
  <c r="D252" i="3"/>
  <c r="D251" i="3"/>
  <c r="A238" i="3"/>
  <c r="D236" i="3"/>
  <c r="D235" i="3"/>
  <c r="D234" i="3"/>
  <c r="A221" i="3"/>
  <c r="D219" i="3"/>
  <c r="D218" i="3"/>
  <c r="D217" i="3"/>
  <c r="A204" i="3"/>
  <c r="D202" i="3"/>
  <c r="D201" i="3"/>
  <c r="D200" i="3"/>
  <c r="A187" i="3"/>
  <c r="D185" i="3"/>
  <c r="D184" i="3"/>
  <c r="D183" i="3"/>
  <c r="A170" i="3"/>
  <c r="A155" i="3"/>
  <c r="D153" i="3"/>
  <c r="D152" i="3"/>
  <c r="D151" i="3"/>
  <c r="A138" i="3"/>
  <c r="A123" i="3"/>
  <c r="D121" i="3"/>
  <c r="D120" i="3"/>
  <c r="D119" i="3"/>
  <c r="A106" i="3"/>
  <c r="A91" i="3"/>
  <c r="A76" i="3"/>
  <c r="A61" i="3"/>
  <c r="A46" i="3"/>
  <c r="A31" i="3"/>
  <c r="A16" i="3"/>
  <c r="A1" i="3"/>
  <c r="D7036" i="2"/>
  <c r="D7035" i="2"/>
  <c r="D7034" i="2"/>
  <c r="A7021" i="2"/>
  <c r="D7019" i="2"/>
  <c r="D7018" i="2"/>
  <c r="D7017" i="2"/>
  <c r="A7004" i="2"/>
  <c r="D7002" i="2"/>
  <c r="D7001" i="2"/>
  <c r="D7000" i="2"/>
  <c r="A6987" i="2"/>
  <c r="D6985" i="2"/>
  <c r="D6984" i="2"/>
  <c r="D6983" i="2"/>
  <c r="A6970" i="2"/>
  <c r="D6968" i="2"/>
  <c r="D6967" i="2"/>
  <c r="D6966" i="2"/>
  <c r="A6953" i="2"/>
  <c r="D6951" i="2"/>
  <c r="D6950" i="2"/>
  <c r="D6949" i="2"/>
  <c r="A6936" i="2"/>
  <c r="D6934" i="2"/>
  <c r="D6933" i="2"/>
  <c r="D6932" i="2"/>
  <c r="A6919" i="2"/>
  <c r="D6917" i="2"/>
  <c r="D6916" i="2"/>
  <c r="D6915" i="2"/>
  <c r="A6902" i="2"/>
  <c r="D6900" i="2"/>
  <c r="D6899" i="2"/>
  <c r="D6898" i="2"/>
  <c r="A6885" i="2"/>
  <c r="D6883" i="2"/>
  <c r="D6882" i="2"/>
  <c r="D6881" i="2"/>
  <c r="A6868" i="2"/>
  <c r="D6866" i="2"/>
  <c r="D6865" i="2"/>
  <c r="D6864" i="2"/>
  <c r="A6851" i="2"/>
  <c r="D6849" i="2"/>
  <c r="D6848" i="2"/>
  <c r="D6847" i="2"/>
  <c r="A6834" i="2"/>
  <c r="D6832" i="2"/>
  <c r="D6831" i="2"/>
  <c r="D6830" i="2"/>
  <c r="A6817" i="2"/>
  <c r="D6815" i="2"/>
  <c r="D6814" i="2"/>
  <c r="D6813" i="2"/>
  <c r="A6800" i="2"/>
  <c r="D6798" i="2"/>
  <c r="D6797" i="2"/>
  <c r="D6796" i="2"/>
  <c r="A6783" i="2"/>
  <c r="D6781" i="2"/>
  <c r="D6780" i="2"/>
  <c r="D6779" i="2"/>
  <c r="A6766" i="2"/>
  <c r="D6764" i="2"/>
  <c r="D6763" i="2"/>
  <c r="D6762" i="2"/>
  <c r="A6749" i="2"/>
  <c r="D6747" i="2"/>
  <c r="D6746" i="2"/>
  <c r="D6745" i="2"/>
  <c r="A6732" i="2"/>
  <c r="D6730" i="2"/>
  <c r="D6729" i="2"/>
  <c r="D6728" i="2"/>
  <c r="A6715" i="2"/>
  <c r="D6713" i="2"/>
  <c r="D6712" i="2"/>
  <c r="D6711" i="2"/>
  <c r="A6698" i="2"/>
  <c r="D6696" i="2"/>
  <c r="D6695" i="2"/>
  <c r="D6694" i="2"/>
  <c r="A6681" i="2"/>
  <c r="D6679" i="2"/>
  <c r="D6678" i="2"/>
  <c r="D6677" i="2"/>
  <c r="A6664" i="2"/>
  <c r="D6662" i="2"/>
  <c r="D6661" i="2"/>
  <c r="D6660" i="2"/>
  <c r="A6647" i="2"/>
  <c r="D6645" i="2"/>
  <c r="D6644" i="2"/>
  <c r="D6643" i="2"/>
  <c r="A6630" i="2"/>
  <c r="D6628" i="2"/>
  <c r="D6627" i="2"/>
  <c r="D6626" i="2"/>
  <c r="A6613" i="2"/>
  <c r="D6611" i="2"/>
  <c r="D6610" i="2"/>
  <c r="D6609" i="2"/>
  <c r="A6596" i="2"/>
  <c r="D6594" i="2"/>
  <c r="D6593" i="2"/>
  <c r="D6592" i="2"/>
  <c r="A6579" i="2"/>
  <c r="D6577" i="2"/>
  <c r="D6576" i="2"/>
  <c r="D6575" i="2"/>
  <c r="A6562" i="2"/>
  <c r="D6560" i="2"/>
  <c r="D6559" i="2"/>
  <c r="D6558" i="2"/>
  <c r="A6545" i="2"/>
  <c r="D6543" i="2"/>
  <c r="D6542" i="2"/>
  <c r="D6541" i="2"/>
  <c r="A6528" i="2"/>
  <c r="D6526" i="2"/>
  <c r="D6525" i="2"/>
  <c r="D6524" i="2"/>
  <c r="A6511" i="2"/>
  <c r="D6509" i="2"/>
  <c r="D6508" i="2"/>
  <c r="D6507" i="2"/>
  <c r="A6494" i="2"/>
  <c r="D6492" i="2"/>
  <c r="D6491" i="2"/>
  <c r="D6490" i="2"/>
  <c r="A6477" i="2"/>
  <c r="D6475" i="2"/>
  <c r="D6474" i="2"/>
  <c r="D6473" i="2"/>
  <c r="A6460" i="2"/>
  <c r="D6458" i="2"/>
  <c r="D6457" i="2"/>
  <c r="D6456" i="2"/>
  <c r="A6443" i="2"/>
  <c r="D6441" i="2"/>
  <c r="D6440" i="2"/>
  <c r="D6439" i="2"/>
  <c r="A6426" i="2"/>
  <c r="D6424" i="2"/>
  <c r="D6423" i="2"/>
  <c r="D6422" i="2"/>
  <c r="A6409" i="2"/>
  <c r="D6407" i="2"/>
  <c r="D6406" i="2"/>
  <c r="D6405" i="2"/>
  <c r="A6392" i="2"/>
  <c r="D6390" i="2"/>
  <c r="D6389" i="2"/>
  <c r="D6388" i="2"/>
  <c r="A6375" i="2"/>
  <c r="D6373" i="2"/>
  <c r="D6372" i="2"/>
  <c r="D6371" i="2"/>
  <c r="A6358" i="2"/>
  <c r="D6356" i="2"/>
  <c r="D6355" i="2"/>
  <c r="D6354" i="2"/>
  <c r="A6341" i="2"/>
  <c r="D6339" i="2"/>
  <c r="D6338" i="2"/>
  <c r="D6337" i="2"/>
  <c r="A6324" i="2"/>
  <c r="D6322" i="2"/>
  <c r="D6321" i="2"/>
  <c r="D6320" i="2"/>
  <c r="A6307" i="2"/>
  <c r="D6305" i="2"/>
  <c r="D6304" i="2"/>
  <c r="D6303" i="2"/>
  <c r="A6290" i="2"/>
  <c r="D6288" i="2"/>
  <c r="D6287" i="2"/>
  <c r="D6286" i="2"/>
  <c r="A6273" i="2"/>
  <c r="D6271" i="2"/>
  <c r="D6270" i="2"/>
  <c r="D6269" i="2"/>
  <c r="A6256" i="2"/>
  <c r="D6254" i="2"/>
  <c r="D6253" i="2"/>
  <c r="D6252" i="2"/>
  <c r="A6239" i="2"/>
  <c r="D6237" i="2"/>
  <c r="D6236" i="2"/>
  <c r="D6235" i="2"/>
  <c r="A6222" i="2"/>
  <c r="D6220" i="2"/>
  <c r="D6219" i="2"/>
  <c r="D6218" i="2"/>
  <c r="A6205" i="2"/>
  <c r="D6203" i="2"/>
  <c r="D6202" i="2"/>
  <c r="D6201" i="2"/>
  <c r="A6188" i="2"/>
  <c r="D6186" i="2"/>
  <c r="D6185" i="2"/>
  <c r="D6184" i="2"/>
  <c r="A6171" i="2"/>
  <c r="D6169" i="2"/>
  <c r="D6168" i="2"/>
  <c r="D6167" i="2"/>
  <c r="A6154" i="2"/>
  <c r="D6152" i="2"/>
  <c r="D6151" i="2"/>
  <c r="D6150" i="2"/>
  <c r="A6137" i="2"/>
  <c r="D6135" i="2"/>
  <c r="D6134" i="2"/>
  <c r="D6133" i="2"/>
  <c r="A6120" i="2"/>
  <c r="D6118" i="2"/>
  <c r="D6117" i="2"/>
  <c r="D6116" i="2"/>
  <c r="A6103" i="2"/>
  <c r="D6101" i="2"/>
  <c r="D6100" i="2"/>
  <c r="D6099" i="2"/>
  <c r="A6086" i="2"/>
  <c r="D6084" i="2"/>
  <c r="D6083" i="2"/>
  <c r="D6082" i="2"/>
  <c r="A6069" i="2"/>
  <c r="D6067" i="2"/>
  <c r="D6066" i="2"/>
  <c r="D6065" i="2"/>
  <c r="A6052" i="2"/>
  <c r="D6050" i="2"/>
  <c r="D6049" i="2"/>
  <c r="D6048" i="2"/>
  <c r="A6035" i="2"/>
  <c r="D6033" i="2"/>
  <c r="D6032" i="2"/>
  <c r="D6031" i="2"/>
  <c r="A6018" i="2"/>
  <c r="D6016" i="2"/>
  <c r="D6015" i="2"/>
  <c r="D6014" i="2"/>
  <c r="A6001" i="2"/>
  <c r="D5999" i="2"/>
  <c r="D5998" i="2"/>
  <c r="D5997" i="2"/>
  <c r="A5984" i="2"/>
  <c r="D5982" i="2"/>
  <c r="D5981" i="2"/>
  <c r="D5980" i="2"/>
  <c r="A5967" i="2"/>
  <c r="D5965" i="2"/>
  <c r="D5964" i="2"/>
  <c r="D5963" i="2"/>
  <c r="A5950" i="2"/>
  <c r="D5948" i="2"/>
  <c r="D5947" i="2"/>
  <c r="D5946" i="2"/>
  <c r="A5933" i="2"/>
  <c r="D5931" i="2"/>
  <c r="D5930" i="2"/>
  <c r="D5929" i="2"/>
  <c r="A5916" i="2"/>
  <c r="D5914" i="2"/>
  <c r="D5913" i="2"/>
  <c r="D5912" i="2"/>
  <c r="A5899" i="2"/>
  <c r="D5897" i="2"/>
  <c r="D5896" i="2"/>
  <c r="D5895" i="2"/>
  <c r="A5882" i="2"/>
  <c r="D5880" i="2"/>
  <c r="D5879" i="2"/>
  <c r="D5878" i="2"/>
  <c r="A5865" i="2"/>
  <c r="D5863" i="2"/>
  <c r="D5862" i="2"/>
  <c r="D5861" i="2"/>
  <c r="A5848" i="2"/>
  <c r="D5846" i="2"/>
  <c r="D5845" i="2"/>
  <c r="D5844" i="2"/>
  <c r="A5831" i="2"/>
  <c r="D5829" i="2"/>
  <c r="D5828" i="2"/>
  <c r="D5827" i="2"/>
  <c r="A5814" i="2"/>
  <c r="D5812" i="2"/>
  <c r="D5811" i="2"/>
  <c r="D5810" i="2"/>
  <c r="A5797" i="2"/>
  <c r="D5795" i="2"/>
  <c r="D5794" i="2"/>
  <c r="D5793" i="2"/>
  <c r="A5780" i="2"/>
  <c r="D5778" i="2"/>
  <c r="D5777" i="2"/>
  <c r="D5776" i="2"/>
  <c r="A5763" i="2"/>
  <c r="D5761" i="2"/>
  <c r="D5760" i="2"/>
  <c r="D5759" i="2"/>
  <c r="A5746" i="2"/>
  <c r="D5744" i="2"/>
  <c r="D5743" i="2"/>
  <c r="D5742" i="2"/>
  <c r="A5729" i="2"/>
  <c r="D5727" i="2"/>
  <c r="D5726" i="2"/>
  <c r="D5725" i="2"/>
  <c r="A5712" i="2"/>
  <c r="D5710" i="2"/>
  <c r="D5709" i="2"/>
  <c r="D5708" i="2"/>
  <c r="A5695" i="2"/>
  <c r="D5693" i="2"/>
  <c r="D5692" i="2"/>
  <c r="D5691" i="2"/>
  <c r="A5678" i="2"/>
  <c r="D5676" i="2"/>
  <c r="D5675" i="2"/>
  <c r="D5674" i="2"/>
  <c r="A5661" i="2"/>
  <c r="D5659" i="2"/>
  <c r="D5658" i="2"/>
  <c r="D5657" i="2"/>
  <c r="A5644" i="2"/>
  <c r="D5642" i="2"/>
  <c r="D5641" i="2"/>
  <c r="D5640" i="2"/>
  <c r="A5627" i="2"/>
  <c r="D5625" i="2"/>
  <c r="D5624" i="2"/>
  <c r="D5623" i="2"/>
  <c r="A5610" i="2"/>
  <c r="D5608" i="2"/>
  <c r="D5607" i="2"/>
  <c r="D5606" i="2"/>
  <c r="A5593" i="2"/>
  <c r="D5591" i="2"/>
  <c r="D5590" i="2"/>
  <c r="D5589" i="2"/>
  <c r="A5576" i="2"/>
  <c r="D5574" i="2"/>
  <c r="D5573" i="2"/>
  <c r="D5572" i="2"/>
  <c r="A5559" i="2"/>
  <c r="D5557" i="2"/>
  <c r="D5556" i="2"/>
  <c r="D5555" i="2"/>
  <c r="A5542" i="2"/>
  <c r="D5540" i="2"/>
  <c r="D5539" i="2"/>
  <c r="D5538" i="2"/>
  <c r="A5525" i="2"/>
  <c r="D5523" i="2"/>
  <c r="D5522" i="2"/>
  <c r="D5521" i="2"/>
  <c r="A5508" i="2"/>
  <c r="D5506" i="2"/>
  <c r="D5505" i="2"/>
  <c r="D5504" i="2"/>
  <c r="A5491" i="2"/>
  <c r="D5489" i="2"/>
  <c r="D5488" i="2"/>
  <c r="D5487" i="2"/>
  <c r="A5474" i="2"/>
  <c r="D5472" i="2"/>
  <c r="D5471" i="2"/>
  <c r="D5470" i="2"/>
  <c r="A5457" i="2"/>
  <c r="D5455" i="2"/>
  <c r="D5454" i="2"/>
  <c r="D5453" i="2"/>
  <c r="A5440" i="2"/>
  <c r="D5438" i="2"/>
  <c r="D5437" i="2"/>
  <c r="D5436" i="2"/>
  <c r="A5423" i="2"/>
  <c r="D5421" i="2"/>
  <c r="D5420" i="2"/>
  <c r="D5419" i="2"/>
  <c r="A5406" i="2"/>
  <c r="D5404" i="2"/>
  <c r="D5403" i="2"/>
  <c r="D5402" i="2"/>
  <c r="A5389" i="2"/>
  <c r="D5387" i="2"/>
  <c r="D5386" i="2"/>
  <c r="D5385" i="2"/>
  <c r="A5372" i="2"/>
  <c r="D5370" i="2"/>
  <c r="D5369" i="2"/>
  <c r="D5368" i="2"/>
  <c r="A5355" i="2"/>
  <c r="D5353" i="2"/>
  <c r="D5352" i="2"/>
  <c r="D5351" i="2"/>
  <c r="A5338" i="2"/>
  <c r="D5336" i="2"/>
  <c r="D5335" i="2"/>
  <c r="D5334" i="2"/>
  <c r="A5321" i="2"/>
  <c r="D5319" i="2"/>
  <c r="D5318" i="2"/>
  <c r="D5317" i="2"/>
  <c r="A5304" i="2"/>
  <c r="D5302" i="2"/>
  <c r="D5301" i="2"/>
  <c r="D5300" i="2"/>
  <c r="A5287" i="2"/>
  <c r="D5285" i="2"/>
  <c r="D5284" i="2"/>
  <c r="D5283" i="2"/>
  <c r="A5270" i="2"/>
  <c r="D5268" i="2"/>
  <c r="D5267" i="2"/>
  <c r="D5266" i="2"/>
  <c r="A5253" i="2"/>
  <c r="D5251" i="2"/>
  <c r="D5250" i="2"/>
  <c r="D5249" i="2"/>
  <c r="A5236" i="2"/>
  <c r="D5234" i="2"/>
  <c r="D5233" i="2"/>
  <c r="D5232" i="2"/>
  <c r="A5219" i="2"/>
  <c r="D5217" i="2"/>
  <c r="D5216" i="2"/>
  <c r="D5215" i="2"/>
  <c r="A5202" i="2"/>
  <c r="D5200" i="2"/>
  <c r="D5199" i="2"/>
  <c r="D5198" i="2"/>
  <c r="A5185" i="2"/>
  <c r="D5183" i="2"/>
  <c r="D5182" i="2"/>
  <c r="D5181" i="2"/>
  <c r="A5168" i="2"/>
  <c r="D5166" i="2"/>
  <c r="D5165" i="2"/>
  <c r="D5164" i="2"/>
  <c r="A5151" i="2"/>
  <c r="D5149" i="2"/>
  <c r="D5148" i="2"/>
  <c r="D5147" i="2"/>
  <c r="A5134" i="2"/>
  <c r="D5132" i="2"/>
  <c r="D5131" i="2"/>
  <c r="D5130" i="2"/>
  <c r="A5117" i="2"/>
  <c r="D5115" i="2"/>
  <c r="D5114" i="2"/>
  <c r="D5113" i="2"/>
  <c r="A5100" i="2"/>
  <c r="D5098" i="2"/>
  <c r="D5097" i="2"/>
  <c r="D5096" i="2"/>
  <c r="A5083" i="2"/>
  <c r="D5081" i="2"/>
  <c r="D5080" i="2"/>
  <c r="D5079" i="2"/>
  <c r="A5066" i="2"/>
  <c r="D5064" i="2"/>
  <c r="D5063" i="2"/>
  <c r="D5062" i="2"/>
  <c r="A5049" i="2"/>
  <c r="D5047" i="2"/>
  <c r="D5046" i="2"/>
  <c r="D5045" i="2"/>
  <c r="A5032" i="2"/>
  <c r="D5030" i="2"/>
  <c r="D5029" i="2"/>
  <c r="D5028" i="2"/>
  <c r="A5015" i="2"/>
  <c r="D5013" i="2"/>
  <c r="D5012" i="2"/>
  <c r="D5011" i="2"/>
  <c r="A4998" i="2"/>
  <c r="D4996" i="2"/>
  <c r="D4995" i="2"/>
  <c r="D4994" i="2"/>
  <c r="A4981" i="2"/>
  <c r="D4979" i="2"/>
  <c r="D4978" i="2"/>
  <c r="D4977" i="2"/>
  <c r="A4964" i="2"/>
  <c r="D4962" i="2"/>
  <c r="D4961" i="2"/>
  <c r="D4960" i="2"/>
  <c r="A4947" i="2"/>
  <c r="D4945" i="2"/>
  <c r="D4944" i="2"/>
  <c r="D4943" i="2"/>
  <c r="A4930" i="2"/>
  <c r="D4928" i="2"/>
  <c r="D4927" i="2"/>
  <c r="D4926" i="2"/>
  <c r="A4913" i="2"/>
  <c r="D4911" i="2"/>
  <c r="D4910" i="2"/>
  <c r="D4909" i="2"/>
  <c r="A4896" i="2"/>
  <c r="D4894" i="2"/>
  <c r="D4893" i="2"/>
  <c r="D4892" i="2"/>
  <c r="A4879" i="2"/>
  <c r="D4877" i="2"/>
  <c r="D4876" i="2"/>
  <c r="D4875" i="2"/>
  <c r="A4862" i="2"/>
  <c r="D4860" i="2"/>
  <c r="D4859" i="2"/>
  <c r="D4858" i="2"/>
  <c r="A4845" i="2"/>
  <c r="D4843" i="2"/>
  <c r="D4842" i="2"/>
  <c r="D4841" i="2"/>
  <c r="A4828" i="2"/>
  <c r="D4826" i="2"/>
  <c r="D4825" i="2"/>
  <c r="D4824" i="2"/>
  <c r="A4811" i="2"/>
  <c r="D4809" i="2"/>
  <c r="D4808" i="2"/>
  <c r="D4807" i="2"/>
  <c r="A4794" i="2"/>
  <c r="D4792" i="2"/>
  <c r="D4791" i="2"/>
  <c r="D4790" i="2"/>
  <c r="A4777" i="2"/>
  <c r="D4775" i="2"/>
  <c r="D4774" i="2"/>
  <c r="D4773" i="2"/>
  <c r="A4760" i="2"/>
  <c r="D4758" i="2"/>
  <c r="D4757" i="2"/>
  <c r="D4756" i="2"/>
  <c r="A4743" i="2"/>
  <c r="D4741" i="2"/>
  <c r="D4740" i="2"/>
  <c r="D4739" i="2"/>
  <c r="A4726" i="2"/>
  <c r="D4724" i="2"/>
  <c r="D4723" i="2"/>
  <c r="D4722" i="2"/>
  <c r="A4709" i="2"/>
  <c r="D4707" i="2"/>
  <c r="D4706" i="2"/>
  <c r="D4705" i="2"/>
  <c r="A4692" i="2"/>
  <c r="D4690" i="2"/>
  <c r="D4689" i="2"/>
  <c r="D4688" i="2"/>
  <c r="A4675" i="2"/>
  <c r="D4673" i="2"/>
  <c r="D4672" i="2"/>
  <c r="D4671" i="2"/>
  <c r="A4658" i="2"/>
  <c r="D4656" i="2"/>
  <c r="D4655" i="2"/>
  <c r="D4654" i="2"/>
  <c r="A4641" i="2"/>
  <c r="D4639" i="2"/>
  <c r="D4638" i="2"/>
  <c r="D4637" i="2"/>
  <c r="A4624" i="2"/>
  <c r="D4622" i="2"/>
  <c r="D4621" i="2"/>
  <c r="D4620" i="2"/>
  <c r="A4607" i="2"/>
  <c r="D4605" i="2"/>
  <c r="D4604" i="2"/>
  <c r="D4603" i="2"/>
  <c r="A4590" i="2"/>
  <c r="D4588" i="2"/>
  <c r="D4587" i="2"/>
  <c r="D4586" i="2"/>
  <c r="A4573" i="2"/>
  <c r="D4571" i="2"/>
  <c r="D4570" i="2"/>
  <c r="D4569" i="2"/>
  <c r="A4556" i="2"/>
  <c r="D4554" i="2"/>
  <c r="D4553" i="2"/>
  <c r="D4552" i="2"/>
  <c r="A4539" i="2"/>
  <c r="D4537" i="2"/>
  <c r="D4536" i="2"/>
  <c r="D4535" i="2"/>
  <c r="A4522" i="2"/>
  <c r="D4520" i="2"/>
  <c r="D4519" i="2"/>
  <c r="D4518" i="2"/>
  <c r="A4505" i="2"/>
  <c r="D4503" i="2"/>
  <c r="D4502" i="2"/>
  <c r="D4501" i="2"/>
  <c r="A4488" i="2"/>
  <c r="D4486" i="2"/>
  <c r="D4485" i="2"/>
  <c r="D4484" i="2"/>
  <c r="A4471" i="2"/>
  <c r="D4469" i="2"/>
  <c r="D4468" i="2"/>
  <c r="D4467" i="2"/>
  <c r="A4454" i="2"/>
  <c r="D4452" i="2"/>
  <c r="D4451" i="2"/>
  <c r="D4450" i="2"/>
  <c r="A4437" i="2"/>
  <c r="D4435" i="2"/>
  <c r="D4434" i="2"/>
  <c r="D4433" i="2"/>
  <c r="A4420" i="2"/>
  <c r="D4418" i="2"/>
  <c r="D4417" i="2"/>
  <c r="D4416" i="2"/>
  <c r="A4403" i="2"/>
  <c r="D4401" i="2"/>
  <c r="D4400" i="2"/>
  <c r="D4399" i="2"/>
  <c r="A4386" i="2"/>
  <c r="D4384" i="2"/>
  <c r="D4383" i="2"/>
  <c r="D4382" i="2"/>
  <c r="A4369" i="2"/>
  <c r="D4367" i="2"/>
  <c r="D4366" i="2"/>
  <c r="D4365" i="2"/>
  <c r="A4352" i="2"/>
  <c r="D4350" i="2"/>
  <c r="D4349" i="2"/>
  <c r="D4348" i="2"/>
  <c r="A4335" i="2"/>
  <c r="D4333" i="2"/>
  <c r="D4332" i="2"/>
  <c r="D4331" i="2"/>
  <c r="A4318" i="2"/>
  <c r="D4316" i="2"/>
  <c r="D4315" i="2"/>
  <c r="D4314" i="2"/>
  <c r="A4301" i="2"/>
  <c r="D4299" i="2"/>
  <c r="D4298" i="2"/>
  <c r="D4297" i="2"/>
  <c r="A4284" i="2"/>
  <c r="D4282" i="2"/>
  <c r="D4281" i="2"/>
  <c r="D4280" i="2"/>
  <c r="A4267" i="2"/>
  <c r="D4265" i="2"/>
  <c r="D4264" i="2"/>
  <c r="D4263" i="2"/>
  <c r="A4250" i="2"/>
  <c r="D4248" i="2"/>
  <c r="D4247" i="2"/>
  <c r="D4246" i="2"/>
  <c r="A4233" i="2"/>
  <c r="D4231" i="2"/>
  <c r="D4230" i="2"/>
  <c r="D4229" i="2"/>
  <c r="A4216" i="2"/>
  <c r="D4214" i="2"/>
  <c r="D4213" i="2"/>
  <c r="D4212" i="2"/>
  <c r="A4199" i="2"/>
  <c r="D4197" i="2"/>
  <c r="D4196" i="2"/>
  <c r="D4195" i="2"/>
  <c r="A4182" i="2"/>
  <c r="D4180" i="2"/>
  <c r="D4179" i="2"/>
  <c r="D4178" i="2"/>
  <c r="A4165" i="2"/>
  <c r="D4163" i="2"/>
  <c r="D4162" i="2"/>
  <c r="D4161" i="2"/>
  <c r="A4148" i="2"/>
  <c r="D4146" i="2"/>
  <c r="D4145" i="2"/>
  <c r="D4144" i="2"/>
  <c r="A4131" i="2"/>
  <c r="D4129" i="2"/>
  <c r="D4128" i="2"/>
  <c r="D4127" i="2"/>
  <c r="A4114" i="2"/>
  <c r="D4112" i="2"/>
  <c r="D4111" i="2"/>
  <c r="D4110" i="2"/>
  <c r="A4097" i="2"/>
  <c r="D4095" i="2"/>
  <c r="D4094" i="2"/>
  <c r="D4093" i="2"/>
  <c r="A4080" i="2"/>
  <c r="D4078" i="2"/>
  <c r="D4077" i="2"/>
  <c r="D4076" i="2"/>
  <c r="A4063" i="2"/>
  <c r="D4061" i="2"/>
  <c r="D4060" i="2"/>
  <c r="D4059" i="2"/>
  <c r="A4046" i="2"/>
  <c r="D4044" i="2"/>
  <c r="D4043" i="2"/>
  <c r="D4042" i="2"/>
  <c r="A4029" i="2"/>
  <c r="D4027" i="2"/>
  <c r="D4026" i="2"/>
  <c r="D4025" i="2"/>
  <c r="A4012" i="2"/>
  <c r="D4010" i="2"/>
  <c r="D4009" i="2"/>
  <c r="D4008" i="2"/>
  <c r="A3995" i="2"/>
  <c r="D3993" i="2"/>
  <c r="D3992" i="2"/>
  <c r="D3991" i="2"/>
  <c r="A3978" i="2"/>
  <c r="D3976" i="2"/>
  <c r="D3975" i="2"/>
  <c r="D3974" i="2"/>
  <c r="A3961" i="2"/>
  <c r="D3959" i="2"/>
  <c r="D3958" i="2"/>
  <c r="D3957" i="2"/>
  <c r="A3944" i="2"/>
  <c r="D3942" i="2"/>
  <c r="D3941" i="2"/>
  <c r="D3940" i="2"/>
  <c r="A3927" i="2"/>
  <c r="D3925" i="2"/>
  <c r="D3924" i="2"/>
  <c r="D3923" i="2"/>
  <c r="A3910" i="2"/>
  <c r="D3908" i="2"/>
  <c r="D3907" i="2"/>
  <c r="D3906" i="2"/>
  <c r="A3893" i="2"/>
  <c r="D3891" i="2"/>
  <c r="D3890" i="2"/>
  <c r="D3889" i="2"/>
  <c r="A3876" i="2"/>
  <c r="D3874" i="2"/>
  <c r="D3873" i="2"/>
  <c r="D3872" i="2"/>
  <c r="A3859" i="2"/>
  <c r="D3857" i="2"/>
  <c r="D3856" i="2"/>
  <c r="D3855" i="2"/>
  <c r="A3842" i="2"/>
  <c r="D3840" i="2"/>
  <c r="D3839" i="2"/>
  <c r="D3838" i="2"/>
  <c r="A3825" i="2"/>
  <c r="D3823" i="2"/>
  <c r="D3822" i="2"/>
  <c r="D3821" i="2"/>
  <c r="A3808" i="2"/>
  <c r="D3806" i="2"/>
  <c r="D3805" i="2"/>
  <c r="D3804" i="2"/>
  <c r="A3791" i="2"/>
  <c r="D3789" i="2"/>
  <c r="D3788" i="2"/>
  <c r="D3787" i="2"/>
  <c r="A3774" i="2"/>
  <c r="D3772" i="2"/>
  <c r="D3771" i="2"/>
  <c r="D3770" i="2"/>
  <c r="A3757" i="2"/>
  <c r="D3755" i="2"/>
  <c r="D3754" i="2"/>
  <c r="D3753" i="2"/>
  <c r="A3740" i="2"/>
  <c r="D3738" i="2"/>
  <c r="D3737" i="2"/>
  <c r="D3736" i="2"/>
  <c r="A3723" i="2"/>
  <c r="D3721" i="2"/>
  <c r="D3720" i="2"/>
  <c r="D3719" i="2"/>
  <c r="A3706" i="2"/>
  <c r="D3704" i="2"/>
  <c r="D3703" i="2"/>
  <c r="D3702" i="2"/>
  <c r="A3689" i="2"/>
  <c r="D3687" i="2"/>
  <c r="D3686" i="2"/>
  <c r="D3685" i="2"/>
  <c r="A3672" i="2"/>
  <c r="D3670" i="2"/>
  <c r="D3669" i="2"/>
  <c r="D3668" i="2"/>
  <c r="A3655" i="2"/>
  <c r="D3653" i="2"/>
  <c r="D3652" i="2"/>
  <c r="D3651" i="2"/>
  <c r="A3638" i="2"/>
  <c r="D3636" i="2"/>
  <c r="D3635" i="2"/>
  <c r="D3634" i="2"/>
  <c r="A3621" i="2"/>
  <c r="D3619" i="2"/>
  <c r="D3618" i="2"/>
  <c r="D3617" i="2"/>
  <c r="A3604" i="2"/>
  <c r="D3602" i="2"/>
  <c r="D3601" i="2"/>
  <c r="D3600" i="2"/>
  <c r="A3587" i="2"/>
  <c r="D3585" i="2"/>
  <c r="D3584" i="2"/>
  <c r="D3583" i="2"/>
  <c r="A3570" i="2"/>
  <c r="D3568" i="2"/>
  <c r="D3567" i="2"/>
  <c r="D3566" i="2"/>
  <c r="A3553" i="2"/>
  <c r="D3551" i="2"/>
  <c r="D3550" i="2"/>
  <c r="D3549" i="2"/>
  <c r="A3536" i="2"/>
  <c r="D3534" i="2"/>
  <c r="D3533" i="2"/>
  <c r="D3532" i="2"/>
  <c r="A3519" i="2"/>
  <c r="D3517" i="2"/>
  <c r="D3516" i="2"/>
  <c r="D3515" i="2"/>
  <c r="A3502" i="2"/>
  <c r="D3500" i="2"/>
  <c r="D3499" i="2"/>
  <c r="D3498" i="2"/>
  <c r="A3485" i="2"/>
  <c r="D3483" i="2"/>
  <c r="D3482" i="2"/>
  <c r="D3481" i="2"/>
  <c r="A3468" i="2"/>
  <c r="D3466" i="2"/>
  <c r="D3465" i="2"/>
  <c r="D3464" i="2"/>
  <c r="A3451" i="2"/>
  <c r="D3449" i="2"/>
  <c r="D3448" i="2"/>
  <c r="D3447" i="2"/>
  <c r="A3434" i="2"/>
  <c r="D3432" i="2"/>
  <c r="D3431" i="2"/>
  <c r="D3430" i="2"/>
  <c r="A3417" i="2"/>
  <c r="D3415" i="2"/>
  <c r="D3414" i="2"/>
  <c r="D3413" i="2"/>
  <c r="A3400" i="2"/>
  <c r="D3398" i="2"/>
  <c r="D3397" i="2"/>
  <c r="D3396" i="2"/>
  <c r="A3383" i="2"/>
  <c r="D3381" i="2"/>
  <c r="D3380" i="2"/>
  <c r="D3379" i="2"/>
  <c r="A3366" i="2"/>
  <c r="D3364" i="2"/>
  <c r="D3363" i="2"/>
  <c r="D3362" i="2"/>
  <c r="A3349" i="2"/>
  <c r="D3347" i="2"/>
  <c r="D3346" i="2"/>
  <c r="D3345" i="2"/>
  <c r="A3332" i="2"/>
  <c r="D3330" i="2"/>
  <c r="D3329" i="2"/>
  <c r="D3328" i="2"/>
  <c r="A3315" i="2"/>
  <c r="D3313" i="2"/>
  <c r="D3312" i="2"/>
  <c r="D3311" i="2"/>
  <c r="A3298" i="2"/>
  <c r="D3296" i="2"/>
  <c r="D3295" i="2"/>
  <c r="D3294" i="2"/>
  <c r="A3281" i="2"/>
  <c r="D3279" i="2"/>
  <c r="D3278" i="2"/>
  <c r="D3277" i="2"/>
  <c r="A3264" i="2"/>
  <c r="D3262" i="2"/>
  <c r="D3261" i="2"/>
  <c r="D3260" i="2"/>
  <c r="A3247" i="2"/>
  <c r="D3245" i="2"/>
  <c r="D3244" i="2"/>
  <c r="D3243" i="2"/>
  <c r="A3230" i="2"/>
  <c r="D3228" i="2"/>
  <c r="D3227" i="2"/>
  <c r="D3226" i="2"/>
  <c r="A3213" i="2"/>
  <c r="D3211" i="2"/>
  <c r="D3210" i="2"/>
  <c r="D3209" i="2"/>
  <c r="A3196" i="2"/>
  <c r="D3194" i="2"/>
  <c r="D3193" i="2"/>
  <c r="D3192" i="2"/>
  <c r="A3179" i="2"/>
  <c r="D3177" i="2"/>
  <c r="D3176" i="2"/>
  <c r="D3175" i="2"/>
  <c r="A3162" i="2"/>
  <c r="D3160" i="2"/>
  <c r="D3159" i="2"/>
  <c r="D3158" i="2"/>
  <c r="A3145" i="2"/>
  <c r="D3143" i="2"/>
  <c r="D3142" i="2"/>
  <c r="D3141" i="2"/>
  <c r="A3128" i="2"/>
  <c r="D3126" i="2"/>
  <c r="D3125" i="2"/>
  <c r="D3124" i="2"/>
  <c r="A3111" i="2"/>
  <c r="D3109" i="2"/>
  <c r="D3108" i="2"/>
  <c r="D3107" i="2"/>
  <c r="A3094" i="2"/>
  <c r="D3092" i="2"/>
  <c r="D3091" i="2"/>
  <c r="D3090" i="2"/>
  <c r="A3077" i="2"/>
  <c r="D3075" i="2"/>
  <c r="D3074" i="2"/>
  <c r="D3073" i="2"/>
  <c r="A3060" i="2"/>
  <c r="D3058" i="2"/>
  <c r="D3057" i="2"/>
  <c r="D3056" i="2"/>
  <c r="A3043" i="2"/>
  <c r="D3041" i="2"/>
  <c r="D3040" i="2"/>
  <c r="D3039" i="2"/>
  <c r="A3026" i="2"/>
  <c r="D3024" i="2"/>
  <c r="D3023" i="2"/>
  <c r="D3022" i="2"/>
  <c r="A3009" i="2"/>
  <c r="D3007" i="2"/>
  <c r="D3006" i="2"/>
  <c r="D3005" i="2"/>
  <c r="A2992" i="2"/>
  <c r="D2990" i="2"/>
  <c r="D2989" i="2"/>
  <c r="D2988" i="2"/>
  <c r="A2975" i="2"/>
  <c r="D2973" i="2"/>
  <c r="D2972" i="2"/>
  <c r="D2971" i="2"/>
  <c r="A2958" i="2"/>
  <c r="D2956" i="2"/>
  <c r="D2955" i="2"/>
  <c r="D2954" i="2"/>
  <c r="A2941" i="2"/>
  <c r="D2939" i="2"/>
  <c r="D2938" i="2"/>
  <c r="D2937" i="2"/>
  <c r="A2924" i="2"/>
  <c r="D2922" i="2"/>
  <c r="D2921" i="2"/>
  <c r="D2920" i="2"/>
  <c r="A2907" i="2"/>
  <c r="D2905" i="2"/>
  <c r="D2904" i="2"/>
  <c r="D2903" i="2"/>
  <c r="A2890" i="2"/>
  <c r="D2888" i="2"/>
  <c r="D2887" i="2"/>
  <c r="D2886" i="2"/>
  <c r="A2873" i="2"/>
  <c r="D2871" i="2"/>
  <c r="D2870" i="2"/>
  <c r="D2869" i="2"/>
  <c r="A2856" i="2"/>
  <c r="D2854" i="2"/>
  <c r="D2853" i="2"/>
  <c r="D2852" i="2"/>
  <c r="A2839" i="2"/>
  <c r="D2837" i="2"/>
  <c r="D2836" i="2"/>
  <c r="D2835" i="2"/>
  <c r="A2822" i="2"/>
  <c r="D2820" i="2"/>
  <c r="D2819" i="2"/>
  <c r="D2818" i="2"/>
  <c r="A2805" i="2"/>
  <c r="D2803" i="2"/>
  <c r="D2802" i="2"/>
  <c r="D2801" i="2"/>
  <c r="A2788" i="2"/>
  <c r="D2786" i="2"/>
  <c r="D2785" i="2"/>
  <c r="D2784" i="2"/>
  <c r="A2771" i="2"/>
  <c r="D2769" i="2"/>
  <c r="D2768" i="2"/>
  <c r="D2767" i="2"/>
  <c r="A2754" i="2"/>
  <c r="D2752" i="2"/>
  <c r="D2751" i="2"/>
  <c r="D2750" i="2"/>
  <c r="A2737" i="2"/>
  <c r="D2735" i="2"/>
  <c r="D2734" i="2"/>
  <c r="D2733" i="2"/>
  <c r="A2720" i="2"/>
  <c r="D2718" i="2"/>
  <c r="D2717" i="2"/>
  <c r="D2716" i="2"/>
  <c r="A2703" i="2"/>
  <c r="D2701" i="2"/>
  <c r="D2700" i="2"/>
  <c r="D2699" i="2"/>
  <c r="A2686" i="2"/>
  <c r="D2684" i="2"/>
  <c r="D2683" i="2"/>
  <c r="D2682" i="2"/>
  <c r="A2669" i="2"/>
  <c r="D2667" i="2"/>
  <c r="D2666" i="2"/>
  <c r="D2665" i="2"/>
  <c r="A2652" i="2"/>
  <c r="D2650" i="2"/>
  <c r="D2649" i="2"/>
  <c r="D2648" i="2"/>
  <c r="A2635" i="2"/>
  <c r="D2633" i="2"/>
  <c r="D2632" i="2"/>
  <c r="D2631" i="2"/>
  <c r="A2618" i="2"/>
  <c r="D2616" i="2"/>
  <c r="D2615" i="2"/>
  <c r="D2614" i="2"/>
  <c r="A2601" i="2"/>
  <c r="D2599" i="2"/>
  <c r="D2598" i="2"/>
  <c r="D2597" i="2"/>
  <c r="A2584" i="2"/>
  <c r="D2582" i="2"/>
  <c r="D2581" i="2"/>
  <c r="D2580" i="2"/>
  <c r="A2567" i="2"/>
  <c r="D2565" i="2"/>
  <c r="D2564" i="2"/>
  <c r="D2563" i="2"/>
  <c r="A2550" i="2"/>
  <c r="D2548" i="2"/>
  <c r="D2547" i="2"/>
  <c r="D2546" i="2"/>
  <c r="A2533" i="2"/>
  <c r="D2531" i="2"/>
  <c r="D2530" i="2"/>
  <c r="D2529" i="2"/>
  <c r="A2516" i="2"/>
  <c r="D2514" i="2"/>
  <c r="D2513" i="2"/>
  <c r="D2512" i="2"/>
  <c r="A2499" i="2"/>
  <c r="D2497" i="2"/>
  <c r="D2496" i="2"/>
  <c r="D2495" i="2"/>
  <c r="A2482" i="2"/>
  <c r="D2480" i="2"/>
  <c r="D2479" i="2"/>
  <c r="D2478" i="2"/>
  <c r="A2465" i="2"/>
  <c r="D2463" i="2"/>
  <c r="D2462" i="2"/>
  <c r="D2461" i="2"/>
  <c r="A2448" i="2"/>
  <c r="D2446" i="2"/>
  <c r="D2445" i="2"/>
  <c r="D2444" i="2"/>
  <c r="A2431" i="2"/>
  <c r="D2429" i="2"/>
  <c r="D2428" i="2"/>
  <c r="D2427" i="2"/>
  <c r="A2414" i="2"/>
  <c r="D2412" i="2"/>
  <c r="D2411" i="2"/>
  <c r="D2410" i="2"/>
  <c r="A2397" i="2"/>
  <c r="D2395" i="2"/>
  <c r="D2394" i="2"/>
  <c r="D2393" i="2"/>
  <c r="A2380" i="2"/>
  <c r="D2378" i="2"/>
  <c r="D2377" i="2"/>
  <c r="D2376" i="2"/>
  <c r="A2363" i="2"/>
  <c r="D2361" i="2"/>
  <c r="D2360" i="2"/>
  <c r="D2359" i="2"/>
  <c r="A2346" i="2"/>
  <c r="D2344" i="2"/>
  <c r="D2343" i="2"/>
  <c r="D2342" i="2"/>
  <c r="A2329" i="2"/>
  <c r="D2327" i="2"/>
  <c r="D2326" i="2"/>
  <c r="D2325" i="2"/>
  <c r="A2312" i="2"/>
  <c r="D2310" i="2"/>
  <c r="D2309" i="2"/>
  <c r="D2308" i="2"/>
  <c r="A2295" i="2"/>
  <c r="D2293" i="2"/>
  <c r="D2292" i="2"/>
  <c r="D2291" i="2"/>
  <c r="A2278" i="2"/>
  <c r="D2276" i="2"/>
  <c r="D2275" i="2"/>
  <c r="D2274" i="2"/>
  <c r="A2261" i="2"/>
  <c r="D2259" i="2"/>
  <c r="D2258" i="2"/>
  <c r="D2257" i="2"/>
  <c r="A2244" i="2"/>
  <c r="D2242" i="2"/>
  <c r="D2241" i="2"/>
  <c r="D2240" i="2"/>
  <c r="A2227" i="2"/>
  <c r="D2225" i="2"/>
  <c r="D2224" i="2"/>
  <c r="D2223" i="2"/>
  <c r="A2210" i="2"/>
  <c r="D2208" i="2"/>
  <c r="D2207" i="2"/>
  <c r="D2206" i="2"/>
  <c r="A2193" i="2"/>
  <c r="D2191" i="2"/>
  <c r="D2190" i="2"/>
  <c r="D2189" i="2"/>
  <c r="A2176" i="2"/>
  <c r="D2174" i="2"/>
  <c r="D2173" i="2"/>
  <c r="D2172" i="2"/>
  <c r="A2159" i="2"/>
  <c r="D2157" i="2"/>
  <c r="D2156" i="2"/>
  <c r="D2155" i="2"/>
  <c r="A2142" i="2"/>
  <c r="D2140" i="2"/>
  <c r="D2139" i="2"/>
  <c r="D2138" i="2"/>
  <c r="A2125" i="2"/>
  <c r="D2123" i="2"/>
  <c r="D2122" i="2"/>
  <c r="D2121" i="2"/>
  <c r="A2108" i="2"/>
  <c r="D2106" i="2"/>
  <c r="D2105" i="2"/>
  <c r="D2104" i="2"/>
  <c r="A2091" i="2"/>
  <c r="D2089" i="2"/>
  <c r="D2088" i="2"/>
  <c r="D2087" i="2"/>
  <c r="A2074" i="2"/>
  <c r="D2072" i="2"/>
  <c r="D2071" i="2"/>
  <c r="D2070" i="2"/>
  <c r="A2057" i="2"/>
  <c r="D2055" i="2"/>
  <c r="D2054" i="2"/>
  <c r="D2053" i="2"/>
  <c r="A2040" i="2"/>
  <c r="D2038" i="2"/>
  <c r="D2037" i="2"/>
  <c r="D2036" i="2"/>
  <c r="A2023" i="2"/>
  <c r="D2021" i="2"/>
  <c r="D2020" i="2"/>
  <c r="D2019" i="2"/>
  <c r="A2006" i="2"/>
  <c r="D2004" i="2"/>
  <c r="D2003" i="2"/>
  <c r="D2002" i="2"/>
  <c r="A1989" i="2"/>
  <c r="D1987" i="2"/>
  <c r="D1986" i="2"/>
  <c r="D1985" i="2"/>
  <c r="A1972" i="2"/>
  <c r="D1970" i="2"/>
  <c r="D1969" i="2"/>
  <c r="D1968" i="2"/>
  <c r="A1955" i="2"/>
  <c r="D1953" i="2"/>
  <c r="D1952" i="2"/>
  <c r="D1951" i="2"/>
  <c r="A1938" i="2"/>
  <c r="D1936" i="2"/>
  <c r="D1935" i="2"/>
  <c r="D1934" i="2"/>
  <c r="A1921" i="2"/>
  <c r="D1919" i="2"/>
  <c r="D1918" i="2"/>
  <c r="D1917" i="2"/>
  <c r="A1904" i="2"/>
  <c r="D1902" i="2"/>
  <c r="D1901" i="2"/>
  <c r="D1900" i="2"/>
  <c r="A1887" i="2"/>
  <c r="D1885" i="2"/>
  <c r="D1884" i="2"/>
  <c r="D1883" i="2"/>
  <c r="A1870" i="2"/>
  <c r="D1868" i="2"/>
  <c r="D1867" i="2"/>
  <c r="D1866" i="2"/>
  <c r="A1853" i="2"/>
  <c r="D1851" i="2"/>
  <c r="D1850" i="2"/>
  <c r="D1849" i="2"/>
  <c r="A1836" i="2"/>
  <c r="D1834" i="2"/>
  <c r="D1833" i="2"/>
  <c r="D1832" i="2"/>
  <c r="A1819" i="2"/>
  <c r="D1817" i="2"/>
  <c r="D1816" i="2"/>
  <c r="D1815" i="2"/>
  <c r="A1802" i="2"/>
  <c r="D1800" i="2"/>
  <c r="D1799" i="2"/>
  <c r="D1798" i="2"/>
  <c r="A1785" i="2"/>
  <c r="D1783" i="2"/>
  <c r="D1782" i="2"/>
  <c r="D1781" i="2"/>
  <c r="A1768" i="2"/>
  <c r="D1766" i="2"/>
  <c r="D1765" i="2"/>
  <c r="D1764" i="2"/>
  <c r="A1751" i="2"/>
  <c r="D1749" i="2"/>
  <c r="D1748" i="2"/>
  <c r="D1747" i="2"/>
  <c r="A1734" i="2"/>
  <c r="D1732" i="2"/>
  <c r="D1731" i="2"/>
  <c r="D1730" i="2"/>
  <c r="A1717" i="2"/>
  <c r="D1715" i="2"/>
  <c r="D1714" i="2"/>
  <c r="D1713" i="2"/>
  <c r="A1700" i="2"/>
  <c r="D1698" i="2"/>
  <c r="D1697" i="2"/>
  <c r="D1696" i="2"/>
  <c r="A1683" i="2"/>
  <c r="D1681" i="2"/>
  <c r="D1680" i="2"/>
  <c r="D1679" i="2"/>
  <c r="A1666" i="2"/>
  <c r="D1664" i="2"/>
  <c r="D1663" i="2"/>
  <c r="D1662" i="2"/>
  <c r="A1649" i="2"/>
  <c r="D1647" i="2"/>
  <c r="D1646" i="2"/>
  <c r="D1645" i="2"/>
  <c r="A1632" i="2"/>
  <c r="D1630" i="2"/>
  <c r="D1629" i="2"/>
  <c r="D1628" i="2"/>
  <c r="A1615" i="2"/>
  <c r="D1613" i="2"/>
  <c r="D1612" i="2"/>
  <c r="D1611" i="2"/>
  <c r="A1598" i="2"/>
  <c r="D1596" i="2"/>
  <c r="D1595" i="2"/>
  <c r="D1594" i="2"/>
  <c r="A1581" i="2"/>
  <c r="D1579" i="2"/>
  <c r="D1578" i="2"/>
  <c r="D1577" i="2"/>
  <c r="A1564" i="2"/>
  <c r="D1562" i="2"/>
  <c r="D1561" i="2"/>
  <c r="D1560" i="2"/>
  <c r="A1547" i="2"/>
  <c r="D1545" i="2"/>
  <c r="D1544" i="2"/>
  <c r="D1543" i="2"/>
  <c r="A1530" i="2"/>
  <c r="D1528" i="2"/>
  <c r="D1527" i="2"/>
  <c r="D1526" i="2"/>
  <c r="A1513" i="2"/>
  <c r="D1511" i="2"/>
  <c r="D1510" i="2"/>
  <c r="D1509" i="2"/>
  <c r="A1496" i="2"/>
  <c r="D1494" i="2"/>
  <c r="D1493" i="2"/>
  <c r="D1492" i="2"/>
  <c r="A1479" i="2"/>
  <c r="D1477" i="2"/>
  <c r="D1476" i="2"/>
  <c r="D1475" i="2"/>
  <c r="A1462" i="2"/>
  <c r="D1460" i="2"/>
  <c r="D1459" i="2"/>
  <c r="D1458" i="2"/>
  <c r="A1445" i="2"/>
  <c r="D1443" i="2"/>
  <c r="D1442" i="2"/>
  <c r="D1441" i="2"/>
  <c r="A1428" i="2"/>
  <c r="D1426" i="2"/>
  <c r="D1425" i="2"/>
  <c r="D1424" i="2"/>
  <c r="A1411" i="2"/>
  <c r="D1409" i="2"/>
  <c r="D1408" i="2"/>
  <c r="D1407" i="2"/>
  <c r="A1394" i="2"/>
  <c r="D1392" i="2"/>
  <c r="D1391" i="2"/>
  <c r="D1390" i="2"/>
  <c r="A1377" i="2"/>
  <c r="D1375" i="2"/>
  <c r="D1374" i="2"/>
  <c r="D1373" i="2"/>
  <c r="A1360" i="2"/>
  <c r="D1358" i="2"/>
  <c r="D1357" i="2"/>
  <c r="D1356" i="2"/>
  <c r="A1343" i="2"/>
  <c r="D1341" i="2"/>
  <c r="D1340" i="2"/>
  <c r="D1339" i="2"/>
  <c r="A1326" i="2"/>
  <c r="D1324" i="2"/>
  <c r="D1323" i="2"/>
  <c r="D1322" i="2"/>
  <c r="A1309" i="2"/>
  <c r="D1307" i="2"/>
  <c r="D1306" i="2"/>
  <c r="D1305" i="2"/>
  <c r="A1292" i="2"/>
  <c r="D1290" i="2"/>
  <c r="D1289" i="2"/>
  <c r="D1288" i="2"/>
  <c r="A1275" i="2"/>
  <c r="D1273" i="2"/>
  <c r="D1272" i="2"/>
  <c r="D1271" i="2"/>
  <c r="A1258" i="2"/>
  <c r="D1256" i="2"/>
  <c r="D1255" i="2"/>
  <c r="D1254" i="2"/>
  <c r="A1241" i="2"/>
  <c r="D1239" i="2"/>
  <c r="D1238" i="2"/>
  <c r="D1237" i="2"/>
  <c r="A1224" i="2"/>
  <c r="D1222" i="2"/>
  <c r="D1221" i="2"/>
  <c r="D1220" i="2"/>
  <c r="A1207" i="2"/>
  <c r="D1205" i="2"/>
  <c r="D1204" i="2"/>
  <c r="D1203" i="2"/>
  <c r="A1190" i="2"/>
  <c r="D1188" i="2"/>
  <c r="D1187" i="2"/>
  <c r="D1186" i="2"/>
  <c r="A1173" i="2"/>
  <c r="D1171" i="2"/>
  <c r="D1170" i="2"/>
  <c r="D1169" i="2"/>
  <c r="A1156" i="2"/>
  <c r="D1154" i="2"/>
  <c r="D1153" i="2"/>
  <c r="D1152" i="2"/>
  <c r="A1139" i="2"/>
  <c r="D1137" i="2"/>
  <c r="D1136" i="2"/>
  <c r="D1135" i="2"/>
  <c r="A1122" i="2"/>
  <c r="D1120" i="2"/>
  <c r="D1119" i="2"/>
  <c r="D1118" i="2"/>
  <c r="A1105" i="2"/>
  <c r="D1103" i="2"/>
  <c r="D1102" i="2"/>
  <c r="D1101" i="2"/>
  <c r="A1088" i="2"/>
  <c r="D1086" i="2"/>
  <c r="D1085" i="2"/>
  <c r="D1084" i="2"/>
  <c r="A1071" i="2"/>
  <c r="D1069" i="2"/>
  <c r="D1068" i="2"/>
  <c r="D1067" i="2"/>
  <c r="A1054" i="2"/>
  <c r="D1052" i="2"/>
  <c r="D1051" i="2"/>
  <c r="D1050" i="2"/>
  <c r="A1037" i="2"/>
  <c r="D1035" i="2"/>
  <c r="D1034" i="2"/>
  <c r="D1033" i="2"/>
  <c r="A1020" i="2"/>
  <c r="D1018" i="2"/>
  <c r="D1017" i="2"/>
  <c r="D1016" i="2"/>
  <c r="A1003" i="2"/>
  <c r="D1001" i="2"/>
  <c r="D1000" i="2"/>
  <c r="D999" i="2"/>
  <c r="A986" i="2"/>
  <c r="D984" i="2"/>
  <c r="D983" i="2"/>
  <c r="D982" i="2"/>
  <c r="A969" i="2"/>
  <c r="A954" i="2"/>
  <c r="A939" i="2"/>
  <c r="A924" i="2"/>
  <c r="D922" i="2"/>
  <c r="D921" i="2"/>
  <c r="D920" i="2"/>
  <c r="A907" i="2"/>
  <c r="D905" i="2"/>
  <c r="D904" i="2"/>
  <c r="D903" i="2"/>
  <c r="A890" i="2"/>
  <c r="D888" i="2"/>
  <c r="D887" i="2"/>
  <c r="D886" i="2"/>
  <c r="A873" i="2"/>
  <c r="D871" i="2"/>
  <c r="D870" i="2"/>
  <c r="D869" i="2"/>
  <c r="A856" i="2"/>
  <c r="A841" i="2"/>
  <c r="A826" i="2"/>
  <c r="A811" i="2"/>
  <c r="D809" i="2"/>
  <c r="D808" i="2"/>
  <c r="D807" i="2"/>
  <c r="A794" i="2"/>
  <c r="D792" i="2"/>
  <c r="D791" i="2"/>
  <c r="D790" i="2"/>
  <c r="A777" i="2"/>
  <c r="D775" i="2"/>
  <c r="D774" i="2"/>
  <c r="D773" i="2"/>
  <c r="A760" i="2"/>
  <c r="D758" i="2"/>
  <c r="D757" i="2"/>
  <c r="D756" i="2"/>
  <c r="A743" i="2"/>
  <c r="D741" i="2"/>
  <c r="D740" i="2"/>
  <c r="D739" i="2"/>
  <c r="A726" i="2"/>
  <c r="D724" i="2"/>
  <c r="D723" i="2"/>
  <c r="D722" i="2"/>
  <c r="A709" i="2"/>
  <c r="D707" i="2"/>
  <c r="D706" i="2"/>
  <c r="D705" i="2"/>
  <c r="A692" i="2"/>
  <c r="D690" i="2"/>
  <c r="D689" i="2"/>
  <c r="D688" i="2"/>
  <c r="A675" i="2"/>
  <c r="A660" i="2"/>
  <c r="D658" i="2"/>
  <c r="D657" i="2"/>
  <c r="D656" i="2"/>
  <c r="A643" i="2"/>
  <c r="D641" i="2"/>
  <c r="D640" i="2"/>
  <c r="D639" i="2"/>
  <c r="A626" i="2"/>
  <c r="D624" i="2"/>
  <c r="D623" i="2"/>
  <c r="D622" i="2"/>
  <c r="A609" i="2"/>
  <c r="D607" i="2"/>
  <c r="D606" i="2"/>
  <c r="D605" i="2"/>
  <c r="A592" i="2"/>
  <c r="A577" i="2"/>
  <c r="D575" i="2"/>
  <c r="D574" i="2"/>
  <c r="D573" i="2"/>
  <c r="A560" i="2"/>
  <c r="D558" i="2"/>
  <c r="D557" i="2"/>
  <c r="D556" i="2"/>
  <c r="A543" i="2"/>
  <c r="A528" i="2"/>
  <c r="A513" i="2"/>
  <c r="D511" i="2"/>
  <c r="D510" i="2"/>
  <c r="D509" i="2"/>
  <c r="A496" i="2"/>
  <c r="D494" i="2"/>
  <c r="D493" i="2"/>
  <c r="D492" i="2"/>
  <c r="A479" i="2"/>
  <c r="D477" i="2"/>
  <c r="D476" i="2"/>
  <c r="D475" i="2"/>
  <c r="A462" i="2"/>
  <c r="D460" i="2"/>
  <c r="D459" i="2"/>
  <c r="D458" i="2"/>
  <c r="A445" i="2"/>
  <c r="D443" i="2"/>
  <c r="D442" i="2"/>
  <c r="D441" i="2"/>
  <c r="A428" i="2"/>
  <c r="A413" i="2"/>
  <c r="A398" i="2"/>
  <c r="A383" i="2"/>
  <c r="A368" i="2"/>
  <c r="D366" i="2"/>
  <c r="D365" i="2"/>
  <c r="D364" i="2"/>
  <c r="A351" i="2"/>
  <c r="D349" i="2"/>
  <c r="D348" i="2"/>
  <c r="D347" i="2"/>
  <c r="A334" i="2"/>
  <c r="D332" i="2"/>
  <c r="D331" i="2"/>
  <c r="D330" i="2"/>
  <c r="A317" i="2"/>
  <c r="D315" i="2"/>
  <c r="D314" i="2"/>
  <c r="D313" i="2"/>
  <c r="A300" i="2"/>
  <c r="A285" i="2"/>
  <c r="D283" i="2"/>
  <c r="D282" i="2"/>
  <c r="D281" i="2"/>
  <c r="A268" i="2"/>
  <c r="D266" i="2"/>
  <c r="D265" i="2"/>
  <c r="D264" i="2"/>
  <c r="A251" i="2"/>
  <c r="D249" i="2"/>
  <c r="D248" i="2"/>
  <c r="D247" i="2"/>
  <c r="A234" i="2"/>
  <c r="A219" i="2"/>
  <c r="D217" i="2"/>
  <c r="D216" i="2"/>
  <c r="D215" i="2"/>
  <c r="A202" i="2"/>
  <c r="A187" i="2"/>
  <c r="A172" i="2"/>
  <c r="A157" i="2"/>
  <c r="D155" i="2"/>
  <c r="D154" i="2"/>
  <c r="D153" i="2"/>
  <c r="A140" i="2"/>
  <c r="D138" i="2"/>
  <c r="D137" i="2"/>
  <c r="D136" i="2"/>
  <c r="A123" i="2"/>
  <c r="D121" i="2"/>
  <c r="D120" i="2"/>
  <c r="D119" i="2"/>
  <c r="A106" i="2"/>
  <c r="A91" i="2"/>
  <c r="A76" i="2"/>
  <c r="A61" i="2"/>
  <c r="A46" i="2"/>
  <c r="A31" i="2"/>
  <c r="A16" i="2"/>
  <c r="A1" i="2"/>
  <c r="E4801" i="1"/>
  <c r="E4800" i="1"/>
  <c r="E4799" i="1"/>
  <c r="E4798" i="1"/>
  <c r="E4797" i="1"/>
  <c r="A4796" i="1"/>
  <c r="E4796" i="1" s="1"/>
  <c r="E4795" i="1"/>
  <c r="E4794" i="1"/>
  <c r="E4793" i="1"/>
  <c r="E4792" i="1"/>
  <c r="E4791" i="1"/>
  <c r="E4790" i="1"/>
  <c r="A4789" i="1"/>
  <c r="E4789" i="1" s="1"/>
  <c r="E4788" i="1"/>
  <c r="E4787" i="1"/>
  <c r="E4786" i="1"/>
  <c r="E4785" i="1"/>
  <c r="E4784" i="1"/>
  <c r="A4783" i="1"/>
  <c r="E4783" i="1" s="1"/>
  <c r="E4782" i="1"/>
  <c r="E4781" i="1"/>
  <c r="E4780" i="1"/>
  <c r="E4779" i="1"/>
  <c r="E4778" i="1"/>
  <c r="E4777" i="1"/>
  <c r="A4776" i="1"/>
  <c r="E4776" i="1" s="1"/>
  <c r="E4775" i="1"/>
  <c r="E4774" i="1"/>
  <c r="E4773" i="1"/>
  <c r="E4772" i="1"/>
  <c r="E4771" i="1"/>
  <c r="E4770" i="1"/>
  <c r="A4770" i="1"/>
  <c r="E4769" i="1"/>
  <c r="E4768" i="1"/>
  <c r="E4767" i="1"/>
  <c r="E4766" i="1"/>
  <c r="E4765" i="1"/>
  <c r="E4764" i="1"/>
  <c r="E4763" i="1"/>
  <c r="A4763" i="1"/>
  <c r="E4762" i="1"/>
  <c r="E4761" i="1"/>
  <c r="E4760" i="1"/>
  <c r="E4759" i="1"/>
  <c r="E4758" i="1"/>
  <c r="A4757" i="1"/>
  <c r="E4757" i="1" s="1"/>
  <c r="E4756" i="1"/>
  <c r="E4755" i="1"/>
  <c r="E4754" i="1"/>
  <c r="E4753" i="1"/>
  <c r="E4752" i="1"/>
  <c r="A4751" i="1"/>
  <c r="E4751" i="1" s="1"/>
  <c r="E4750" i="1"/>
  <c r="E4749" i="1"/>
  <c r="E4748" i="1"/>
  <c r="E4747" i="1"/>
  <c r="E4746" i="1"/>
  <c r="A4745" i="1"/>
  <c r="E4745" i="1" s="1"/>
  <c r="E4744" i="1"/>
  <c r="E4743" i="1"/>
  <c r="E4742" i="1"/>
  <c r="E4741" i="1"/>
  <c r="E4740" i="1"/>
  <c r="A4739" i="1"/>
  <c r="E4739" i="1" s="1"/>
  <c r="E4738" i="1"/>
  <c r="E4737" i="1"/>
  <c r="E4736" i="1"/>
  <c r="E4735" i="1"/>
  <c r="E4734" i="1"/>
  <c r="E4733" i="1"/>
  <c r="A4732" i="1"/>
  <c r="E4732" i="1" s="1"/>
  <c r="E4731" i="1"/>
  <c r="E4730" i="1"/>
  <c r="E4729" i="1"/>
  <c r="E4728" i="1"/>
  <c r="E4727" i="1"/>
  <c r="A4726" i="1"/>
  <c r="E4726" i="1" s="1"/>
  <c r="E4725" i="1"/>
  <c r="E4724" i="1"/>
  <c r="E4723" i="1"/>
  <c r="E4722" i="1"/>
  <c r="E4721" i="1"/>
  <c r="E4720" i="1"/>
  <c r="A4719" i="1"/>
  <c r="E4719" i="1" s="1"/>
  <c r="E4718" i="1"/>
  <c r="E4717" i="1"/>
  <c r="E4716" i="1"/>
  <c r="E4715" i="1"/>
  <c r="E4714" i="1"/>
  <c r="A4713" i="1"/>
  <c r="E4713" i="1" s="1"/>
  <c r="E4712" i="1"/>
  <c r="E4711" i="1"/>
  <c r="E4710" i="1"/>
  <c r="E4709" i="1"/>
  <c r="E4708" i="1"/>
  <c r="A4707" i="1"/>
  <c r="E4707" i="1" s="1"/>
  <c r="E4706" i="1"/>
  <c r="E4705" i="1"/>
  <c r="E4704" i="1"/>
  <c r="E4703" i="1"/>
  <c r="E4702" i="1"/>
  <c r="A4701" i="1"/>
  <c r="E4701" i="1" s="1"/>
  <c r="E4700" i="1"/>
  <c r="E4699" i="1"/>
  <c r="E4698" i="1"/>
  <c r="E4697" i="1"/>
  <c r="E4696" i="1"/>
  <c r="A4695" i="1"/>
  <c r="E4695" i="1" s="1"/>
  <c r="E4694" i="1"/>
  <c r="E4693" i="1"/>
  <c r="E4692" i="1"/>
  <c r="E4691" i="1"/>
  <c r="E4690" i="1"/>
  <c r="E4689" i="1"/>
  <c r="A4689" i="1"/>
  <c r="E4688" i="1"/>
  <c r="E4687" i="1"/>
  <c r="E4686" i="1"/>
  <c r="E4685" i="1"/>
  <c r="E4684" i="1"/>
  <c r="A4683" i="1"/>
  <c r="E4683" i="1" s="1"/>
  <c r="E4682" i="1"/>
  <c r="E4681" i="1"/>
  <c r="E4680" i="1"/>
  <c r="E4679" i="1"/>
  <c r="E4678" i="1"/>
  <c r="E4677" i="1"/>
  <c r="A4676" i="1"/>
  <c r="E4676" i="1" s="1"/>
  <c r="E4675" i="1"/>
  <c r="E4674" i="1"/>
  <c r="E4673" i="1"/>
  <c r="E4672" i="1"/>
  <c r="E4671" i="1"/>
  <c r="E4670" i="1"/>
  <c r="A4670" i="1"/>
  <c r="E4669" i="1"/>
  <c r="E4668" i="1"/>
  <c r="E4667" i="1"/>
  <c r="E4666" i="1"/>
  <c r="E4665" i="1"/>
  <c r="E4664" i="1"/>
  <c r="A4663" i="1"/>
  <c r="E4663" i="1" s="1"/>
  <c r="E4662" i="1"/>
  <c r="E4661" i="1"/>
  <c r="E4660" i="1"/>
  <c r="E4659" i="1"/>
  <c r="E4658" i="1"/>
  <c r="A4657" i="1"/>
  <c r="E4657" i="1" s="1"/>
  <c r="E4656" i="1"/>
  <c r="E4655" i="1"/>
  <c r="E4654" i="1"/>
  <c r="E4653" i="1"/>
  <c r="E4652" i="1"/>
  <c r="A4651" i="1"/>
  <c r="E4651" i="1" s="1"/>
  <c r="E4650" i="1"/>
  <c r="D4650" i="1"/>
  <c r="E4649" i="1"/>
  <c r="E4648" i="1"/>
  <c r="E4647" i="1"/>
  <c r="E4646" i="1"/>
  <c r="E4645" i="1"/>
  <c r="A4644" i="1"/>
  <c r="E4644" i="1" s="1"/>
  <c r="E4643" i="1"/>
  <c r="E4642" i="1"/>
  <c r="E4641" i="1"/>
  <c r="E4640" i="1"/>
  <c r="E4639" i="1"/>
  <c r="E4638" i="1"/>
  <c r="A4637" i="1"/>
  <c r="E4637" i="1" s="1"/>
  <c r="E4636" i="1"/>
  <c r="E4635" i="1"/>
  <c r="E4634" i="1"/>
  <c r="E4633" i="1"/>
  <c r="E4632" i="1"/>
  <c r="A4631" i="1"/>
  <c r="E4631" i="1" s="1"/>
  <c r="E4630" i="1"/>
  <c r="E4629" i="1"/>
  <c r="E4628" i="1"/>
  <c r="E4627" i="1"/>
  <c r="E4626" i="1"/>
  <c r="A4625" i="1"/>
  <c r="E4625" i="1" s="1"/>
  <c r="E4624" i="1"/>
  <c r="E4623" i="1"/>
  <c r="E4622" i="1"/>
  <c r="E4621" i="1"/>
  <c r="E4620" i="1"/>
  <c r="A4619" i="1"/>
  <c r="E4619" i="1" s="1"/>
  <c r="E4618" i="1"/>
  <c r="E4617" i="1"/>
  <c r="E4616" i="1"/>
  <c r="E4615" i="1"/>
  <c r="E4614" i="1"/>
  <c r="A4613" i="1"/>
  <c r="E4613" i="1" s="1"/>
  <c r="E4612" i="1"/>
  <c r="E4611" i="1"/>
  <c r="E4610" i="1"/>
  <c r="E4609" i="1"/>
  <c r="E4608" i="1"/>
  <c r="A4607" i="1"/>
  <c r="E4607" i="1" s="1"/>
  <c r="E4606" i="1"/>
  <c r="E4605" i="1"/>
  <c r="E4604" i="1"/>
  <c r="E4603" i="1"/>
  <c r="E4602" i="1"/>
  <c r="A4601" i="1"/>
  <c r="E4601" i="1" s="1"/>
  <c r="E4600" i="1"/>
  <c r="E4599" i="1"/>
  <c r="E4598" i="1"/>
  <c r="E4597" i="1"/>
  <c r="E4596" i="1"/>
  <c r="A4595" i="1"/>
  <c r="E4595" i="1" s="1"/>
  <c r="E4594" i="1"/>
  <c r="E4593" i="1"/>
  <c r="E4592" i="1"/>
  <c r="E4591" i="1"/>
  <c r="E4590" i="1"/>
  <c r="A4589" i="1"/>
  <c r="E4589" i="1" s="1"/>
  <c r="E4588" i="1"/>
  <c r="E4587" i="1"/>
  <c r="E4586" i="1"/>
  <c r="E4585" i="1"/>
  <c r="E4584" i="1"/>
  <c r="A4583" i="1"/>
  <c r="E4583" i="1" s="1"/>
  <c r="E4582" i="1"/>
  <c r="E4581" i="1"/>
  <c r="E4580" i="1"/>
  <c r="E4579" i="1"/>
  <c r="E4578" i="1"/>
  <c r="A4577" i="1"/>
  <c r="E4577" i="1" s="1"/>
  <c r="E4576" i="1"/>
  <c r="E4575" i="1"/>
  <c r="E4574" i="1"/>
  <c r="E4573" i="1"/>
  <c r="E4572" i="1"/>
  <c r="A4571" i="1"/>
  <c r="E4571" i="1" s="1"/>
  <c r="E4570" i="1"/>
  <c r="E4569" i="1"/>
  <c r="E4568" i="1"/>
  <c r="E4567" i="1"/>
  <c r="E4566" i="1"/>
  <c r="A4565" i="1"/>
  <c r="E4565" i="1" s="1"/>
  <c r="E4564" i="1"/>
  <c r="E4563" i="1"/>
  <c r="E4562" i="1"/>
  <c r="E4561" i="1"/>
  <c r="E4560" i="1"/>
  <c r="A4559" i="1"/>
  <c r="E4559" i="1" s="1"/>
  <c r="E4558" i="1"/>
  <c r="E4557" i="1"/>
  <c r="E4556" i="1"/>
  <c r="E4555" i="1"/>
  <c r="E4554" i="1"/>
  <c r="A4553" i="1"/>
  <c r="E4553" i="1" s="1"/>
  <c r="E4552" i="1"/>
  <c r="E4551" i="1"/>
  <c r="E4550" i="1"/>
  <c r="E4549" i="1"/>
  <c r="E4548" i="1"/>
  <c r="A4547" i="1"/>
  <c r="E4547" i="1" s="1"/>
  <c r="E4546" i="1"/>
  <c r="E4545" i="1"/>
  <c r="E4544" i="1"/>
  <c r="E4543" i="1"/>
  <c r="E4542" i="1"/>
  <c r="E4541" i="1"/>
  <c r="A4540" i="1"/>
  <c r="E4540" i="1" s="1"/>
  <c r="E4539" i="1"/>
  <c r="E4538" i="1"/>
  <c r="E4537" i="1"/>
  <c r="E4536" i="1"/>
  <c r="E4535" i="1"/>
  <c r="A4534" i="1"/>
  <c r="E4534" i="1" s="1"/>
  <c r="E4533" i="1"/>
  <c r="E4532" i="1"/>
  <c r="E4531" i="1"/>
  <c r="E4530" i="1"/>
  <c r="E4529" i="1"/>
  <c r="A4528" i="1"/>
  <c r="E4528" i="1" s="1"/>
  <c r="E4527" i="1"/>
  <c r="E4526" i="1"/>
  <c r="E4525" i="1"/>
  <c r="E4524" i="1"/>
  <c r="E4523" i="1"/>
  <c r="E4522" i="1"/>
  <c r="A4521" i="1"/>
  <c r="E4521" i="1" s="1"/>
  <c r="E4520" i="1"/>
  <c r="E4519" i="1"/>
  <c r="E4518" i="1"/>
  <c r="E4517" i="1"/>
  <c r="E4516" i="1"/>
  <c r="A4515" i="1"/>
  <c r="E4515" i="1" s="1"/>
  <c r="E4514" i="1"/>
  <c r="E4513" i="1"/>
  <c r="E4512" i="1"/>
  <c r="E4511" i="1"/>
  <c r="E4510" i="1"/>
  <c r="A4509" i="1"/>
  <c r="E4509" i="1" s="1"/>
  <c r="E4508" i="1"/>
  <c r="E4507" i="1"/>
  <c r="E4506" i="1"/>
  <c r="E4505" i="1"/>
  <c r="E4504" i="1"/>
  <c r="E4503" i="1"/>
  <c r="A4503" i="1"/>
  <c r="E4502" i="1"/>
  <c r="E4501" i="1"/>
  <c r="E4500" i="1"/>
  <c r="E4499" i="1"/>
  <c r="E4498" i="1"/>
  <c r="A4497" i="1"/>
  <c r="E4497" i="1" s="1"/>
  <c r="E4496" i="1"/>
  <c r="E4495" i="1"/>
  <c r="E4494" i="1"/>
  <c r="E4493" i="1"/>
  <c r="E4492" i="1"/>
  <c r="A4491" i="1"/>
  <c r="E4491" i="1" s="1"/>
  <c r="E4490" i="1"/>
  <c r="E4489" i="1"/>
  <c r="E4488" i="1"/>
  <c r="E4487" i="1"/>
  <c r="E4486" i="1"/>
  <c r="A4485" i="1"/>
  <c r="E4485" i="1" s="1"/>
  <c r="E4484" i="1"/>
  <c r="E4483" i="1"/>
  <c r="E4482" i="1"/>
  <c r="E4481" i="1"/>
  <c r="E4480" i="1"/>
  <c r="A4479" i="1"/>
  <c r="E4479" i="1" s="1"/>
  <c r="E4478" i="1"/>
  <c r="E4477" i="1"/>
  <c r="E4476" i="1"/>
  <c r="E4475" i="1"/>
  <c r="E4474" i="1"/>
  <c r="A4473" i="1"/>
  <c r="E4473" i="1" s="1"/>
  <c r="E4472" i="1"/>
  <c r="E4471" i="1"/>
  <c r="E4470" i="1"/>
  <c r="E4469" i="1"/>
  <c r="E4468" i="1"/>
  <c r="A4467" i="1"/>
  <c r="E4467" i="1" s="1"/>
  <c r="E4466" i="1"/>
  <c r="E4465" i="1"/>
  <c r="E4464" i="1"/>
  <c r="E4463" i="1"/>
  <c r="E4462" i="1"/>
  <c r="A4461" i="1"/>
  <c r="E4461" i="1" s="1"/>
  <c r="E4460" i="1"/>
  <c r="E4459" i="1"/>
  <c r="E4458" i="1"/>
  <c r="E4457" i="1"/>
  <c r="E4456" i="1"/>
  <c r="A4455" i="1"/>
  <c r="E4455" i="1" s="1"/>
  <c r="E4454" i="1"/>
  <c r="E4453" i="1"/>
  <c r="E4452" i="1"/>
  <c r="E4451" i="1"/>
  <c r="E4450" i="1"/>
  <c r="A4449" i="1"/>
  <c r="E4449" i="1" s="1"/>
  <c r="E4448" i="1"/>
  <c r="E4447" i="1"/>
  <c r="E4446" i="1"/>
  <c r="E4445" i="1"/>
  <c r="E4444" i="1"/>
  <c r="A4443" i="1"/>
  <c r="E4443" i="1" s="1"/>
  <c r="E4442" i="1"/>
  <c r="E4441" i="1"/>
  <c r="E4440" i="1"/>
  <c r="E4439" i="1"/>
  <c r="E4438" i="1"/>
  <c r="A4437" i="1"/>
  <c r="E4437" i="1" s="1"/>
  <c r="E4436" i="1"/>
  <c r="E4435" i="1"/>
  <c r="E4434" i="1"/>
  <c r="E4433" i="1"/>
  <c r="E4432" i="1"/>
  <c r="A4431" i="1"/>
  <c r="E4431" i="1" s="1"/>
  <c r="E4430" i="1"/>
  <c r="E4429" i="1"/>
  <c r="E4428" i="1"/>
  <c r="E4427" i="1"/>
  <c r="E4426" i="1"/>
  <c r="E4425" i="1"/>
  <c r="A4424" i="1"/>
  <c r="E4424" i="1" s="1"/>
  <c r="E4423" i="1"/>
  <c r="E4422" i="1"/>
  <c r="E4421" i="1"/>
  <c r="E4420" i="1"/>
  <c r="E4419" i="1"/>
  <c r="A4418" i="1"/>
  <c r="E4418" i="1" s="1"/>
  <c r="E4417" i="1"/>
  <c r="E4416" i="1"/>
  <c r="E4415" i="1"/>
  <c r="E4414" i="1"/>
  <c r="E4413" i="1"/>
  <c r="A4412" i="1"/>
  <c r="E4412" i="1" s="1"/>
  <c r="E4411" i="1"/>
  <c r="E4410" i="1"/>
  <c r="E4409" i="1"/>
  <c r="E4408" i="1"/>
  <c r="E4407" i="1"/>
  <c r="A4406" i="1"/>
  <c r="E4406" i="1" s="1"/>
  <c r="E4405" i="1"/>
  <c r="E4404" i="1"/>
  <c r="E4403" i="1"/>
  <c r="E4402" i="1"/>
  <c r="E4401" i="1"/>
  <c r="A4400" i="1"/>
  <c r="E4400" i="1" s="1"/>
  <c r="E4399" i="1"/>
  <c r="E4398" i="1"/>
  <c r="E4397" i="1"/>
  <c r="E4396" i="1"/>
  <c r="E4395" i="1"/>
  <c r="A4394" i="1"/>
  <c r="E4394" i="1" s="1"/>
  <c r="E4393" i="1"/>
  <c r="E4392" i="1"/>
  <c r="E4391" i="1"/>
  <c r="E4390" i="1"/>
  <c r="E4389" i="1"/>
  <c r="A4388" i="1"/>
  <c r="E4388" i="1" s="1"/>
  <c r="E4387" i="1"/>
  <c r="E4386" i="1"/>
  <c r="E4385" i="1"/>
  <c r="E4384" i="1"/>
  <c r="E4383" i="1"/>
  <c r="A4382" i="1"/>
  <c r="E4382" i="1" s="1"/>
  <c r="E4381" i="1"/>
  <c r="E4380" i="1"/>
  <c r="E4379" i="1"/>
  <c r="E4378" i="1"/>
  <c r="E4377" i="1"/>
  <c r="A4376" i="1"/>
  <c r="E4376" i="1" s="1"/>
  <c r="E4375" i="1"/>
  <c r="E4374" i="1"/>
  <c r="E4373" i="1"/>
  <c r="E4372" i="1"/>
  <c r="E4371" i="1"/>
  <c r="A4370" i="1"/>
  <c r="E4370" i="1" s="1"/>
  <c r="E4369" i="1"/>
  <c r="E4368" i="1"/>
  <c r="E4367" i="1"/>
  <c r="E4366" i="1"/>
  <c r="E4365" i="1"/>
  <c r="A4364" i="1"/>
  <c r="E4364" i="1" s="1"/>
  <c r="E4363" i="1"/>
  <c r="E4362" i="1"/>
  <c r="E4361" i="1"/>
  <c r="E4360" i="1"/>
  <c r="E4359" i="1"/>
  <c r="A4358" i="1"/>
  <c r="E4358" i="1" s="1"/>
  <c r="E4357" i="1"/>
  <c r="E4356" i="1"/>
  <c r="E4355" i="1"/>
  <c r="E4354" i="1"/>
  <c r="E4353" i="1"/>
  <c r="E4352" i="1"/>
  <c r="A4351" i="1"/>
  <c r="E4351" i="1" s="1"/>
  <c r="E4350" i="1"/>
  <c r="E4349" i="1"/>
  <c r="E4348" i="1"/>
  <c r="E4347" i="1"/>
  <c r="E4346" i="1"/>
  <c r="E4345" i="1"/>
  <c r="A4344" i="1"/>
  <c r="E4344" i="1" s="1"/>
  <c r="E4343" i="1"/>
  <c r="E4342" i="1"/>
  <c r="E4341" i="1"/>
  <c r="E4340" i="1"/>
  <c r="E4339" i="1"/>
  <c r="E4338" i="1"/>
  <c r="A4337" i="1"/>
  <c r="E4337" i="1" s="1"/>
  <c r="E4336" i="1"/>
  <c r="E4335" i="1"/>
  <c r="E4334" i="1"/>
  <c r="E4333" i="1"/>
  <c r="E4332" i="1"/>
  <c r="A4331" i="1"/>
  <c r="E4331" i="1" s="1"/>
  <c r="E4330" i="1"/>
  <c r="E4329" i="1"/>
  <c r="E4328" i="1"/>
  <c r="E4327" i="1"/>
  <c r="E4326" i="1"/>
  <c r="E4325" i="1"/>
  <c r="A4324" i="1"/>
  <c r="E4324" i="1" s="1"/>
  <c r="E4323" i="1"/>
  <c r="E4322" i="1"/>
  <c r="E4321" i="1"/>
  <c r="E4320" i="1"/>
  <c r="E4319" i="1"/>
  <c r="E4318" i="1"/>
  <c r="A4317" i="1"/>
  <c r="E4317" i="1" s="1"/>
  <c r="E4316" i="1"/>
  <c r="E4315" i="1"/>
  <c r="E4314" i="1"/>
  <c r="E4313" i="1"/>
  <c r="E4312" i="1"/>
  <c r="E4311" i="1"/>
  <c r="A4310" i="1"/>
  <c r="E4310" i="1" s="1"/>
  <c r="E4309" i="1"/>
  <c r="E4308" i="1"/>
  <c r="E4307" i="1"/>
  <c r="E4306" i="1"/>
  <c r="E4305" i="1"/>
  <c r="A4304" i="1"/>
  <c r="E4304" i="1" s="1"/>
  <c r="E4303" i="1"/>
  <c r="E4302" i="1"/>
  <c r="E4301" i="1"/>
  <c r="E4300" i="1"/>
  <c r="E4299" i="1"/>
  <c r="A4298" i="1"/>
  <c r="E4298" i="1" s="1"/>
  <c r="E4297" i="1"/>
  <c r="E4296" i="1"/>
  <c r="E4295" i="1"/>
  <c r="E4294" i="1"/>
  <c r="E4293" i="1"/>
  <c r="A4292" i="1"/>
  <c r="E4292" i="1" s="1"/>
  <c r="E4291" i="1"/>
  <c r="E4290" i="1"/>
  <c r="E4289" i="1"/>
  <c r="E4288" i="1"/>
  <c r="E4287" i="1"/>
  <c r="A4286" i="1"/>
  <c r="E4286" i="1" s="1"/>
  <c r="E4285" i="1"/>
  <c r="E4284" i="1"/>
  <c r="E4283" i="1"/>
  <c r="E4282" i="1"/>
  <c r="E4281" i="1"/>
  <c r="A4280" i="1"/>
  <c r="E4280" i="1" s="1"/>
  <c r="E4279" i="1"/>
  <c r="E4278" i="1"/>
  <c r="E4277" i="1"/>
  <c r="E4276" i="1"/>
  <c r="E4275" i="1"/>
  <c r="A4274" i="1"/>
  <c r="E4274" i="1" s="1"/>
  <c r="E4273" i="1"/>
  <c r="E4272" i="1"/>
  <c r="E4271" i="1"/>
  <c r="E4270" i="1"/>
  <c r="E4269" i="1"/>
  <c r="E4268" i="1"/>
  <c r="A4268" i="1"/>
  <c r="E4267" i="1"/>
  <c r="E4266" i="1"/>
  <c r="E4265" i="1"/>
  <c r="E4264" i="1"/>
  <c r="E4263" i="1"/>
  <c r="A4262" i="1"/>
  <c r="E4262" i="1" s="1"/>
  <c r="E4261" i="1"/>
  <c r="E4260" i="1"/>
  <c r="E4259" i="1"/>
  <c r="E4258" i="1"/>
  <c r="E4257" i="1"/>
  <c r="E4256" i="1"/>
  <c r="E4255" i="1"/>
  <c r="A4255" i="1"/>
  <c r="E4254" i="1"/>
  <c r="E4253" i="1"/>
  <c r="E4252" i="1"/>
  <c r="E4251" i="1"/>
  <c r="E4250" i="1"/>
  <c r="A4249" i="1"/>
  <c r="E4249" i="1" s="1"/>
  <c r="E4248" i="1"/>
  <c r="E4247" i="1"/>
  <c r="E4246" i="1"/>
  <c r="E4245" i="1"/>
  <c r="E4244" i="1"/>
  <c r="A4243" i="1"/>
  <c r="E4243" i="1" s="1"/>
  <c r="E4242" i="1"/>
  <c r="E4241" i="1"/>
  <c r="E4240" i="1"/>
  <c r="E4239" i="1"/>
  <c r="E4238" i="1"/>
  <c r="A4237" i="1"/>
  <c r="E4237" i="1" s="1"/>
  <c r="E4236" i="1"/>
  <c r="E4235" i="1"/>
  <c r="E4234" i="1"/>
  <c r="E4233" i="1"/>
  <c r="E4232" i="1"/>
  <c r="A4231" i="1"/>
  <c r="E4231" i="1" s="1"/>
  <c r="E4230" i="1"/>
  <c r="E4229" i="1"/>
  <c r="E4228" i="1"/>
  <c r="E4227" i="1"/>
  <c r="E4226" i="1"/>
  <c r="A4225" i="1"/>
  <c r="E4225" i="1" s="1"/>
  <c r="E4224" i="1"/>
  <c r="E4223" i="1"/>
  <c r="E4222" i="1"/>
  <c r="E4221" i="1"/>
  <c r="E4220" i="1"/>
  <c r="A4219" i="1"/>
  <c r="E4219" i="1" s="1"/>
  <c r="E4218" i="1"/>
  <c r="E4217" i="1"/>
  <c r="E4216" i="1"/>
  <c r="E4215" i="1"/>
  <c r="E4214" i="1"/>
  <c r="E4213" i="1"/>
  <c r="A4212" i="1"/>
  <c r="E4212" i="1" s="1"/>
  <c r="E4211" i="1"/>
  <c r="E4210" i="1"/>
  <c r="E4209" i="1"/>
  <c r="E4208" i="1"/>
  <c r="E4207" i="1"/>
  <c r="A4206" i="1"/>
  <c r="E4206" i="1" s="1"/>
  <c r="E4205" i="1"/>
  <c r="E4204" i="1"/>
  <c r="E4203" i="1"/>
  <c r="E4202" i="1"/>
  <c r="E4201" i="1"/>
  <c r="E4200" i="1"/>
  <c r="A4199" i="1"/>
  <c r="E4199" i="1" s="1"/>
  <c r="E4198" i="1"/>
  <c r="E4197" i="1"/>
  <c r="E4196" i="1"/>
  <c r="E4195" i="1"/>
  <c r="E4194" i="1"/>
  <c r="A4193" i="1"/>
  <c r="E4193" i="1" s="1"/>
  <c r="E4192" i="1"/>
  <c r="E4191" i="1"/>
  <c r="E4190" i="1"/>
  <c r="E4189" i="1"/>
  <c r="E4188" i="1"/>
  <c r="A4187" i="1"/>
  <c r="E4187" i="1" s="1"/>
  <c r="E4186" i="1"/>
  <c r="E4185" i="1"/>
  <c r="E4184" i="1"/>
  <c r="E4183" i="1"/>
  <c r="E4182" i="1"/>
  <c r="A4181" i="1"/>
  <c r="E4181" i="1" s="1"/>
  <c r="E4180" i="1"/>
  <c r="E4179" i="1"/>
  <c r="E4178" i="1"/>
  <c r="E4177" i="1"/>
  <c r="E4176" i="1"/>
  <c r="A4175" i="1"/>
  <c r="E4175" i="1" s="1"/>
  <c r="E4174" i="1"/>
  <c r="E4173" i="1"/>
  <c r="E4172" i="1"/>
  <c r="E4171" i="1"/>
  <c r="E4170" i="1"/>
  <c r="A4169" i="1"/>
  <c r="E4169" i="1" s="1"/>
  <c r="E4168" i="1"/>
  <c r="E4167" i="1"/>
  <c r="E4166" i="1"/>
  <c r="E4165" i="1"/>
  <c r="E4164" i="1"/>
  <c r="A4163" i="1"/>
  <c r="E4163" i="1" s="1"/>
  <c r="E4162" i="1"/>
  <c r="E4161" i="1"/>
  <c r="E4160" i="1"/>
  <c r="E4159" i="1"/>
  <c r="E4158" i="1"/>
  <c r="A4157" i="1"/>
  <c r="E4157" i="1" s="1"/>
  <c r="E4156" i="1"/>
  <c r="E4155" i="1"/>
  <c r="E4154" i="1"/>
  <c r="E4153" i="1"/>
  <c r="E4152" i="1"/>
  <c r="A4151" i="1"/>
  <c r="E4151" i="1" s="1"/>
  <c r="E4150" i="1"/>
  <c r="E4149" i="1"/>
  <c r="E4148" i="1"/>
  <c r="E4147" i="1"/>
  <c r="E4146" i="1"/>
  <c r="A4145" i="1"/>
  <c r="E4145" i="1" s="1"/>
  <c r="E4144" i="1"/>
  <c r="E4143" i="1"/>
  <c r="E4142" i="1"/>
  <c r="E4141" i="1"/>
  <c r="E4140" i="1"/>
  <c r="A4139" i="1"/>
  <c r="E4139" i="1" s="1"/>
  <c r="E4138" i="1"/>
  <c r="E4137" i="1"/>
  <c r="E4136" i="1"/>
  <c r="E4135" i="1"/>
  <c r="E4134" i="1"/>
  <c r="A4133" i="1"/>
  <c r="E4133" i="1" s="1"/>
  <c r="E4132" i="1"/>
  <c r="E4131" i="1"/>
  <c r="E4130" i="1"/>
  <c r="E4129" i="1"/>
  <c r="E4128" i="1"/>
  <c r="A4127" i="1"/>
  <c r="E4127" i="1" s="1"/>
  <c r="E4126" i="1"/>
  <c r="E4125" i="1"/>
  <c r="E4124" i="1"/>
  <c r="E4123" i="1"/>
  <c r="E4122" i="1"/>
  <c r="E4121" i="1"/>
  <c r="A4121" i="1"/>
  <c r="E4120" i="1"/>
  <c r="E4119" i="1"/>
  <c r="E4118" i="1"/>
  <c r="E4117" i="1"/>
  <c r="E4116" i="1"/>
  <c r="A4115" i="1"/>
  <c r="E4115" i="1" s="1"/>
  <c r="E4114" i="1"/>
  <c r="E4113" i="1"/>
  <c r="E4112" i="1"/>
  <c r="E4111" i="1"/>
  <c r="E4110" i="1"/>
  <c r="A4109" i="1"/>
  <c r="E4109" i="1" s="1"/>
  <c r="E4108" i="1"/>
  <c r="E4107" i="1"/>
  <c r="E4106" i="1"/>
  <c r="E4105" i="1"/>
  <c r="E4104" i="1"/>
  <c r="E4103" i="1"/>
  <c r="A4103" i="1"/>
  <c r="E4102" i="1"/>
  <c r="E4101" i="1"/>
  <c r="E4100" i="1"/>
  <c r="E4099" i="1"/>
  <c r="E4098" i="1"/>
  <c r="A4097" i="1"/>
  <c r="E4097" i="1" s="1"/>
  <c r="E4096" i="1"/>
  <c r="E4095" i="1"/>
  <c r="E4094" i="1"/>
  <c r="E4093" i="1"/>
  <c r="E4092" i="1"/>
  <c r="A4091" i="1"/>
  <c r="E4091" i="1" s="1"/>
  <c r="E4090" i="1"/>
  <c r="E4089" i="1"/>
  <c r="E4088" i="1"/>
  <c r="E4087" i="1"/>
  <c r="E4086" i="1"/>
  <c r="A4085" i="1"/>
  <c r="E4085" i="1" s="1"/>
  <c r="E4084" i="1"/>
  <c r="E4083" i="1"/>
  <c r="E4082" i="1"/>
  <c r="E4081" i="1"/>
  <c r="E4080" i="1"/>
  <c r="A4079" i="1"/>
  <c r="E4079" i="1" s="1"/>
  <c r="E4078" i="1"/>
  <c r="E4077" i="1"/>
  <c r="E4076" i="1"/>
  <c r="E4075" i="1"/>
  <c r="E4074" i="1"/>
  <c r="E4073" i="1"/>
  <c r="A4073" i="1"/>
  <c r="E4072" i="1"/>
  <c r="E4071" i="1"/>
  <c r="E4070" i="1"/>
  <c r="E4069" i="1"/>
  <c r="E4068" i="1"/>
  <c r="A4067" i="1"/>
  <c r="E4067" i="1" s="1"/>
  <c r="E4066" i="1"/>
  <c r="E4065" i="1"/>
  <c r="E4064" i="1"/>
  <c r="E4063" i="1"/>
  <c r="E4062" i="1"/>
  <c r="A4061" i="1"/>
  <c r="E4061" i="1" s="1"/>
  <c r="E4060" i="1"/>
  <c r="E4059" i="1"/>
  <c r="E4058" i="1"/>
  <c r="E4057" i="1"/>
  <c r="E4056" i="1"/>
  <c r="A4055" i="1"/>
  <c r="E4055" i="1" s="1"/>
  <c r="E4054" i="1"/>
  <c r="E4053" i="1"/>
  <c r="E4052" i="1"/>
  <c r="E4051" i="1"/>
  <c r="E4050" i="1"/>
  <c r="A4049" i="1"/>
  <c r="E4049" i="1" s="1"/>
  <c r="E4048" i="1"/>
  <c r="E4047" i="1"/>
  <c r="E4046" i="1"/>
  <c r="E4045" i="1"/>
  <c r="E4044" i="1"/>
  <c r="A4043" i="1"/>
  <c r="E4043" i="1" s="1"/>
  <c r="E4042" i="1"/>
  <c r="E4041" i="1"/>
  <c r="E4040" i="1"/>
  <c r="E4039" i="1"/>
  <c r="E4038" i="1"/>
  <c r="A4037" i="1"/>
  <c r="E4037" i="1" s="1"/>
  <c r="E4036" i="1"/>
  <c r="E4035" i="1"/>
  <c r="E4034" i="1"/>
  <c r="E4033" i="1"/>
  <c r="E4032" i="1"/>
  <c r="A4031" i="1"/>
  <c r="E4031" i="1" s="1"/>
  <c r="E4030" i="1"/>
  <c r="E4029" i="1"/>
  <c r="E4028" i="1"/>
  <c r="E4027" i="1"/>
  <c r="E4026" i="1"/>
  <c r="A4025" i="1"/>
  <c r="E4025" i="1" s="1"/>
  <c r="E4024" i="1"/>
  <c r="E4023" i="1"/>
  <c r="E4022" i="1"/>
  <c r="E4021" i="1"/>
  <c r="E4020" i="1"/>
  <c r="A4019" i="1"/>
  <c r="E4019" i="1" s="1"/>
  <c r="E4018" i="1"/>
  <c r="E4017" i="1"/>
  <c r="E4016" i="1"/>
  <c r="E4015" i="1"/>
  <c r="E4014" i="1"/>
  <c r="A4013" i="1"/>
  <c r="E4013" i="1" s="1"/>
  <c r="E4012" i="1"/>
  <c r="E4011" i="1"/>
  <c r="E4010" i="1"/>
  <c r="E4009" i="1"/>
  <c r="E4008" i="1"/>
  <c r="E4007" i="1"/>
  <c r="A4007" i="1"/>
  <c r="E4006" i="1"/>
  <c r="E4005" i="1"/>
  <c r="E4004" i="1"/>
  <c r="E4003" i="1"/>
  <c r="E4002" i="1"/>
  <c r="A4001" i="1"/>
  <c r="E4001" i="1" s="1"/>
  <c r="E4000" i="1"/>
  <c r="E3999" i="1"/>
  <c r="E3998" i="1"/>
  <c r="E3997" i="1"/>
  <c r="E3996" i="1"/>
  <c r="E3995" i="1"/>
  <c r="A3994" i="1"/>
  <c r="E3994" i="1" s="1"/>
  <c r="E3993" i="1"/>
  <c r="E3992" i="1"/>
  <c r="E3991" i="1"/>
  <c r="E3990" i="1"/>
  <c r="E3989" i="1"/>
  <c r="A3988" i="1"/>
  <c r="E3988" i="1" s="1"/>
  <c r="E3987" i="1"/>
  <c r="E3986" i="1"/>
  <c r="E3985" i="1"/>
  <c r="E3984" i="1"/>
  <c r="E3983" i="1"/>
  <c r="A3982" i="1"/>
  <c r="E3982" i="1" s="1"/>
  <c r="E3981" i="1"/>
  <c r="E3980" i="1"/>
  <c r="E3979" i="1"/>
  <c r="E3978" i="1"/>
  <c r="E3977" i="1"/>
  <c r="A3976" i="1"/>
  <c r="E3976" i="1" s="1"/>
  <c r="E3975" i="1"/>
  <c r="E3974" i="1"/>
  <c r="E3973" i="1"/>
  <c r="E3972" i="1"/>
  <c r="E3971" i="1"/>
  <c r="E3970" i="1"/>
  <c r="A3969" i="1"/>
  <c r="E3969" i="1" s="1"/>
  <c r="E3968" i="1"/>
  <c r="E3967" i="1"/>
  <c r="E3966" i="1"/>
  <c r="E3965" i="1"/>
  <c r="E3964" i="1"/>
  <c r="A3963" i="1"/>
  <c r="E3963" i="1" s="1"/>
  <c r="E3962" i="1"/>
  <c r="E3961" i="1"/>
  <c r="E3960" i="1"/>
  <c r="E3959" i="1"/>
  <c r="E3958" i="1"/>
  <c r="A3957" i="1"/>
  <c r="E3957" i="1" s="1"/>
  <c r="E3956" i="1"/>
  <c r="E3955" i="1"/>
  <c r="E3954" i="1"/>
  <c r="E3953" i="1"/>
  <c r="E3952" i="1"/>
  <c r="A3951" i="1"/>
  <c r="E3951" i="1" s="1"/>
  <c r="E3950" i="1"/>
  <c r="E3949" i="1"/>
  <c r="E3948" i="1"/>
  <c r="E3947" i="1"/>
  <c r="E3946" i="1"/>
  <c r="E3945" i="1"/>
  <c r="A3944" i="1"/>
  <c r="E3944" i="1" s="1"/>
  <c r="E3943" i="1"/>
  <c r="E3942" i="1"/>
  <c r="E3941" i="1"/>
  <c r="E3940" i="1"/>
  <c r="E3939" i="1"/>
  <c r="A3938" i="1"/>
  <c r="E3938" i="1" s="1"/>
  <c r="E3937" i="1"/>
  <c r="E3936" i="1"/>
  <c r="E3935" i="1"/>
  <c r="E3934" i="1"/>
  <c r="E3933" i="1"/>
  <c r="A3932" i="1"/>
  <c r="E3932" i="1" s="1"/>
  <c r="E3931" i="1"/>
  <c r="E3930" i="1"/>
  <c r="E3929" i="1"/>
  <c r="E3928" i="1"/>
  <c r="E3927" i="1"/>
  <c r="A3926" i="1"/>
  <c r="E3926" i="1" s="1"/>
  <c r="E3925" i="1"/>
  <c r="E3924" i="1"/>
  <c r="E3923" i="1"/>
  <c r="E3922" i="1"/>
  <c r="E3921" i="1"/>
  <c r="E3920" i="1"/>
  <c r="A3919" i="1"/>
  <c r="E3919" i="1" s="1"/>
  <c r="E3918" i="1"/>
  <c r="E3917" i="1"/>
  <c r="E3916" i="1"/>
  <c r="E3915" i="1"/>
  <c r="E3914" i="1"/>
  <c r="A3913" i="1"/>
  <c r="E3913" i="1" s="1"/>
  <c r="E3912" i="1"/>
  <c r="E3911" i="1"/>
  <c r="E3910" i="1"/>
  <c r="E3909" i="1"/>
  <c r="E3908" i="1"/>
  <c r="A3907" i="1"/>
  <c r="E3907" i="1" s="1"/>
  <c r="E3906" i="1"/>
  <c r="E3905" i="1"/>
  <c r="E3904" i="1"/>
  <c r="E3903" i="1"/>
  <c r="E3902" i="1"/>
  <c r="A3901" i="1"/>
  <c r="E3901" i="1" s="1"/>
  <c r="E3900" i="1"/>
  <c r="E3899" i="1"/>
  <c r="E3898" i="1"/>
  <c r="E3897" i="1"/>
  <c r="E3896" i="1"/>
  <c r="A3895" i="1"/>
  <c r="E3895" i="1" s="1"/>
  <c r="E3894" i="1"/>
  <c r="E3893" i="1"/>
  <c r="E3892" i="1"/>
  <c r="E3891" i="1"/>
  <c r="E3890" i="1"/>
  <c r="A3889" i="1"/>
  <c r="E3889" i="1" s="1"/>
  <c r="E3888" i="1"/>
  <c r="E3887" i="1"/>
  <c r="E3886" i="1"/>
  <c r="E3885" i="1"/>
  <c r="E3884" i="1"/>
  <c r="A3883" i="1"/>
  <c r="E3883" i="1" s="1"/>
  <c r="E3882" i="1"/>
  <c r="E3881" i="1"/>
  <c r="E3880" i="1"/>
  <c r="E3879" i="1"/>
  <c r="E3878" i="1"/>
  <c r="A3877" i="1"/>
  <c r="E3877" i="1" s="1"/>
  <c r="E3876" i="1"/>
  <c r="E3875" i="1"/>
  <c r="E3874" i="1"/>
  <c r="E3873" i="1"/>
  <c r="E3872" i="1"/>
  <c r="E3871" i="1"/>
  <c r="A3871" i="1"/>
  <c r="E3870" i="1"/>
  <c r="E3869" i="1"/>
  <c r="E3868" i="1"/>
  <c r="E3867" i="1"/>
  <c r="E3866" i="1"/>
  <c r="E3865" i="1"/>
  <c r="E3864" i="1"/>
  <c r="A3864" i="1"/>
  <c r="E3863" i="1"/>
  <c r="E3862" i="1"/>
  <c r="E3861" i="1"/>
  <c r="E3860" i="1"/>
  <c r="E3859" i="1"/>
  <c r="E3858" i="1"/>
  <c r="E3857" i="1"/>
  <c r="A3857" i="1"/>
  <c r="E3856" i="1"/>
  <c r="E3855" i="1"/>
  <c r="E3854" i="1"/>
  <c r="E3853" i="1"/>
  <c r="E3852" i="1"/>
  <c r="A3851" i="1"/>
  <c r="E3851" i="1" s="1"/>
  <c r="E3850" i="1"/>
  <c r="E3849" i="1"/>
  <c r="E3848" i="1"/>
  <c r="E3847" i="1"/>
  <c r="E3846" i="1"/>
  <c r="E3845" i="1"/>
  <c r="A3845" i="1"/>
  <c r="E3844" i="1"/>
  <c r="E3843" i="1"/>
  <c r="E3842" i="1"/>
  <c r="E3841" i="1"/>
  <c r="E3840" i="1"/>
  <c r="A3839" i="1"/>
  <c r="E3839" i="1" s="1"/>
  <c r="E3838" i="1"/>
  <c r="E3837" i="1"/>
  <c r="E3836" i="1"/>
  <c r="E3835" i="1"/>
  <c r="E3834" i="1"/>
  <c r="E3833" i="1"/>
  <c r="A3832" i="1"/>
  <c r="E3832" i="1" s="1"/>
  <c r="E3831" i="1"/>
  <c r="E3830" i="1"/>
  <c r="E3829" i="1"/>
  <c r="E3828" i="1"/>
  <c r="E3827" i="1"/>
  <c r="A3826" i="1"/>
  <c r="E3826" i="1" s="1"/>
  <c r="E3825" i="1"/>
  <c r="E3824" i="1"/>
  <c r="E3823" i="1"/>
  <c r="E3822" i="1"/>
  <c r="E3821" i="1"/>
  <c r="A3820" i="1"/>
  <c r="E3820" i="1" s="1"/>
  <c r="E3819" i="1"/>
  <c r="E3818" i="1"/>
  <c r="E3817" i="1"/>
  <c r="E3816" i="1"/>
  <c r="E3815" i="1"/>
  <c r="A3814" i="1"/>
  <c r="E3814" i="1" s="1"/>
  <c r="E3813" i="1"/>
  <c r="E3812" i="1"/>
  <c r="E3811" i="1"/>
  <c r="E3810" i="1"/>
  <c r="E3809" i="1"/>
  <c r="A3808" i="1"/>
  <c r="E3808" i="1" s="1"/>
  <c r="E3807" i="1"/>
  <c r="E3806" i="1"/>
  <c r="E3805" i="1"/>
  <c r="E3804" i="1"/>
  <c r="E3803" i="1"/>
  <c r="A3802" i="1"/>
  <c r="E3802" i="1" s="1"/>
  <c r="E3801" i="1"/>
  <c r="E3800" i="1"/>
  <c r="E3799" i="1"/>
  <c r="E3798" i="1"/>
  <c r="E3797" i="1"/>
  <c r="A3796" i="1"/>
  <c r="E3796" i="1" s="1"/>
  <c r="E3795" i="1"/>
  <c r="E3794" i="1"/>
  <c r="E3793" i="1"/>
  <c r="E3792" i="1"/>
  <c r="E3791" i="1"/>
  <c r="A3790" i="1"/>
  <c r="E3790" i="1" s="1"/>
  <c r="E3789" i="1"/>
  <c r="E3788" i="1"/>
  <c r="E3787" i="1"/>
  <c r="E3786" i="1"/>
  <c r="E3785" i="1"/>
  <c r="A3784" i="1"/>
  <c r="E3784" i="1" s="1"/>
  <c r="E3783" i="1"/>
  <c r="E3782" i="1"/>
  <c r="E3781" i="1"/>
  <c r="E3780" i="1"/>
  <c r="E3779" i="1"/>
  <c r="A3778" i="1"/>
  <c r="E3778" i="1" s="1"/>
  <c r="E3777" i="1"/>
  <c r="E3776" i="1"/>
  <c r="E3775" i="1"/>
  <c r="E3774" i="1"/>
  <c r="E3773" i="1"/>
  <c r="A3772" i="1"/>
  <c r="E3772" i="1" s="1"/>
  <c r="E3771" i="1"/>
  <c r="E3770" i="1"/>
  <c r="E3769" i="1"/>
  <c r="E3768" i="1"/>
  <c r="E3767" i="1"/>
  <c r="E3766" i="1"/>
  <c r="A3766" i="1"/>
  <c r="E3765" i="1"/>
  <c r="E3764" i="1"/>
  <c r="E3763" i="1"/>
  <c r="E3762" i="1"/>
  <c r="E3761" i="1"/>
  <c r="A3760" i="1"/>
  <c r="E3760" i="1" s="1"/>
  <c r="E3759" i="1"/>
  <c r="E3758" i="1"/>
  <c r="E3757" i="1"/>
  <c r="E3756" i="1"/>
  <c r="E3755" i="1"/>
  <c r="A3754" i="1"/>
  <c r="E3754" i="1" s="1"/>
  <c r="E3753" i="1"/>
  <c r="E3752" i="1"/>
  <c r="E3751" i="1"/>
  <c r="E3750" i="1"/>
  <c r="E3749" i="1"/>
  <c r="A3748" i="1"/>
  <c r="E3748" i="1" s="1"/>
  <c r="E3747" i="1"/>
  <c r="E3746" i="1"/>
  <c r="E3745" i="1"/>
  <c r="E3744" i="1"/>
  <c r="E3743" i="1"/>
  <c r="E3742" i="1"/>
  <c r="A3742" i="1"/>
  <c r="E3741" i="1"/>
  <c r="E3740" i="1"/>
  <c r="E3739" i="1"/>
  <c r="E3738" i="1"/>
  <c r="E3737" i="1"/>
  <c r="E3736" i="1"/>
  <c r="A3735" i="1"/>
  <c r="E3735" i="1" s="1"/>
  <c r="E3734" i="1"/>
  <c r="E3733" i="1"/>
  <c r="E3732" i="1"/>
  <c r="E3731" i="1"/>
  <c r="E3730" i="1"/>
  <c r="A3729" i="1"/>
  <c r="E3729" i="1" s="1"/>
  <c r="E3728" i="1"/>
  <c r="E3727" i="1"/>
  <c r="E3726" i="1"/>
  <c r="E3725" i="1"/>
  <c r="E3724" i="1"/>
  <c r="A3723" i="1"/>
  <c r="E3723" i="1" s="1"/>
  <c r="E3722" i="1"/>
  <c r="E3721" i="1"/>
  <c r="E3720" i="1"/>
  <c r="E3719" i="1"/>
  <c r="E3718" i="1"/>
  <c r="A3717" i="1"/>
  <c r="E3717" i="1" s="1"/>
  <c r="E3716" i="1"/>
  <c r="E3715" i="1"/>
  <c r="E3714" i="1"/>
  <c r="E3713" i="1"/>
  <c r="E3712" i="1"/>
  <c r="E3711" i="1"/>
  <c r="A3711" i="1"/>
  <c r="E3710" i="1"/>
  <c r="E3709" i="1"/>
  <c r="E3708" i="1"/>
  <c r="E3707" i="1"/>
  <c r="E3706" i="1"/>
  <c r="E3705" i="1"/>
  <c r="E3704" i="1"/>
  <c r="A3704" i="1"/>
  <c r="E3703" i="1"/>
  <c r="E3702" i="1"/>
  <c r="E3701" i="1"/>
  <c r="E3700" i="1"/>
  <c r="E3699" i="1"/>
  <c r="A3698" i="1"/>
  <c r="E3698" i="1" s="1"/>
  <c r="E3697" i="1"/>
  <c r="E3696" i="1"/>
  <c r="E3695" i="1"/>
  <c r="E3694" i="1"/>
  <c r="E3693" i="1"/>
  <c r="A3692" i="1"/>
  <c r="E3692" i="1" s="1"/>
  <c r="E3691" i="1"/>
  <c r="E3690" i="1"/>
  <c r="E3689" i="1"/>
  <c r="E3688" i="1"/>
  <c r="E3687" i="1"/>
  <c r="A3686" i="1"/>
  <c r="E3686" i="1" s="1"/>
  <c r="E3685" i="1"/>
  <c r="E3684" i="1"/>
  <c r="E3683" i="1"/>
  <c r="E3682" i="1"/>
  <c r="E3681" i="1"/>
  <c r="A3680" i="1"/>
  <c r="E3680" i="1" s="1"/>
  <c r="E3679" i="1"/>
  <c r="E3678" i="1"/>
  <c r="E3677" i="1"/>
  <c r="E3676" i="1"/>
  <c r="E3675" i="1"/>
  <c r="E3674" i="1"/>
  <c r="A3674" i="1"/>
  <c r="E3673" i="1"/>
  <c r="E3672" i="1"/>
  <c r="E3671" i="1"/>
  <c r="E3670" i="1"/>
  <c r="E3669" i="1"/>
  <c r="A3668" i="1"/>
  <c r="E3668" i="1" s="1"/>
  <c r="E3667" i="1"/>
  <c r="E3666" i="1"/>
  <c r="E3665" i="1"/>
  <c r="E3664" i="1"/>
  <c r="E3663" i="1"/>
  <c r="A3662" i="1"/>
  <c r="E3662" i="1" s="1"/>
  <c r="E3661" i="1"/>
  <c r="E3660" i="1"/>
  <c r="E3659" i="1"/>
  <c r="E3658" i="1"/>
  <c r="E3657" i="1"/>
  <c r="A3656" i="1"/>
  <c r="E3656" i="1" s="1"/>
  <c r="E3655" i="1"/>
  <c r="E3654" i="1"/>
  <c r="E3653" i="1"/>
  <c r="E3652" i="1"/>
  <c r="E3651" i="1"/>
  <c r="A3650" i="1"/>
  <c r="E3650" i="1" s="1"/>
  <c r="E3649" i="1"/>
  <c r="E3648" i="1"/>
  <c r="E3647" i="1"/>
  <c r="E3646" i="1"/>
  <c r="E3645" i="1"/>
  <c r="E3644" i="1"/>
  <c r="A3644" i="1"/>
  <c r="E3643" i="1"/>
  <c r="E3642" i="1"/>
  <c r="E3641" i="1"/>
  <c r="E3640" i="1"/>
  <c r="E3639" i="1"/>
  <c r="A3638" i="1"/>
  <c r="E3638" i="1" s="1"/>
  <c r="E3637" i="1"/>
  <c r="E3636" i="1"/>
  <c r="E3635" i="1"/>
  <c r="E3634" i="1"/>
  <c r="E3633" i="1"/>
  <c r="A3632" i="1"/>
  <c r="E3632" i="1" s="1"/>
  <c r="E3631" i="1"/>
  <c r="E3630" i="1"/>
  <c r="E3629" i="1"/>
  <c r="E3628" i="1"/>
  <c r="E3627" i="1"/>
  <c r="A3626" i="1"/>
  <c r="E3626" i="1" s="1"/>
  <c r="E3625" i="1"/>
  <c r="E3624" i="1"/>
  <c r="E3623" i="1"/>
  <c r="E3622" i="1"/>
  <c r="E3621" i="1"/>
  <c r="A3620" i="1"/>
  <c r="E3620" i="1" s="1"/>
  <c r="E3619" i="1"/>
  <c r="E3618" i="1"/>
  <c r="E3617" i="1"/>
  <c r="E3616" i="1"/>
  <c r="E3615" i="1"/>
  <c r="A3614" i="1"/>
  <c r="E3614" i="1" s="1"/>
  <c r="E3613" i="1"/>
  <c r="E3612" i="1"/>
  <c r="E3611" i="1"/>
  <c r="E3610" i="1"/>
  <c r="E3609" i="1"/>
  <c r="E3608" i="1"/>
  <c r="A3608" i="1"/>
  <c r="E3607" i="1"/>
  <c r="E3606" i="1"/>
  <c r="E3605" i="1"/>
  <c r="E3604" i="1"/>
  <c r="E3603" i="1"/>
  <c r="A3602" i="1"/>
  <c r="E3602" i="1" s="1"/>
  <c r="E3601" i="1"/>
  <c r="E3600" i="1"/>
  <c r="E3599" i="1"/>
  <c r="E3598" i="1"/>
  <c r="E3597" i="1"/>
  <c r="E3596" i="1"/>
  <c r="A3595" i="1"/>
  <c r="E3595" i="1" s="1"/>
  <c r="E3594" i="1"/>
  <c r="E3593" i="1"/>
  <c r="E3592" i="1"/>
  <c r="E3591" i="1"/>
  <c r="E3590" i="1"/>
  <c r="E3589" i="1"/>
  <c r="A3589" i="1"/>
  <c r="E3588" i="1"/>
  <c r="E3587" i="1"/>
  <c r="E3586" i="1"/>
  <c r="E3585" i="1"/>
  <c r="E3584" i="1"/>
  <c r="A3583" i="1"/>
  <c r="E3583" i="1" s="1"/>
  <c r="E3582" i="1"/>
  <c r="E3581" i="1"/>
  <c r="E3580" i="1"/>
  <c r="E3579" i="1"/>
  <c r="E3578" i="1"/>
  <c r="E3577" i="1"/>
  <c r="A3577" i="1"/>
  <c r="E3576" i="1"/>
  <c r="E3575" i="1"/>
  <c r="E3574" i="1"/>
  <c r="E3573" i="1"/>
  <c r="E3572" i="1"/>
  <c r="A3571" i="1"/>
  <c r="E3571" i="1" s="1"/>
  <c r="E3570" i="1"/>
  <c r="E3569" i="1"/>
  <c r="E3568" i="1"/>
  <c r="E3567" i="1"/>
  <c r="E3566" i="1"/>
  <c r="A3565" i="1"/>
  <c r="E3565" i="1" s="1"/>
  <c r="E3564" i="1"/>
  <c r="E3563" i="1"/>
  <c r="E3562" i="1"/>
  <c r="E3561" i="1"/>
  <c r="E3560" i="1"/>
  <c r="A3559" i="1"/>
  <c r="E3559" i="1" s="1"/>
  <c r="E3558" i="1"/>
  <c r="E3557" i="1"/>
  <c r="E3556" i="1"/>
  <c r="E3555" i="1"/>
  <c r="E3554" i="1"/>
  <c r="A3553" i="1"/>
  <c r="E3553" i="1" s="1"/>
  <c r="E3552" i="1"/>
  <c r="E3551" i="1"/>
  <c r="E3550" i="1"/>
  <c r="E3549" i="1"/>
  <c r="E3548" i="1"/>
  <c r="E3547" i="1"/>
  <c r="A3546" i="1"/>
  <c r="E3546" i="1" s="1"/>
  <c r="E3545" i="1"/>
  <c r="E3544" i="1"/>
  <c r="E3543" i="1"/>
  <c r="E3542" i="1"/>
  <c r="E3541" i="1"/>
  <c r="A3540" i="1"/>
  <c r="E3540" i="1" s="1"/>
  <c r="E3539" i="1"/>
  <c r="E3538" i="1"/>
  <c r="E3537" i="1"/>
  <c r="E3536" i="1"/>
  <c r="E3535" i="1"/>
  <c r="A3534" i="1"/>
  <c r="E3534" i="1" s="1"/>
  <c r="E3533" i="1"/>
  <c r="E3532" i="1"/>
  <c r="E3531" i="1"/>
  <c r="E3530" i="1"/>
  <c r="E3529" i="1"/>
  <c r="A3528" i="1"/>
  <c r="E3528" i="1" s="1"/>
  <c r="E3527" i="1"/>
  <c r="E3526" i="1"/>
  <c r="E3525" i="1"/>
  <c r="E3524" i="1"/>
  <c r="E3523" i="1"/>
  <c r="A3522" i="1"/>
  <c r="E3522" i="1" s="1"/>
  <c r="E3521" i="1"/>
  <c r="E3520" i="1"/>
  <c r="E3519" i="1"/>
  <c r="E3518" i="1"/>
  <c r="E3517" i="1"/>
  <c r="A3516" i="1"/>
  <c r="E3516" i="1" s="1"/>
  <c r="E3515" i="1"/>
  <c r="E3514" i="1"/>
  <c r="E3513" i="1"/>
  <c r="E3512" i="1"/>
  <c r="E3511" i="1"/>
  <c r="A3510" i="1"/>
  <c r="E3510" i="1" s="1"/>
  <c r="E3509" i="1"/>
  <c r="E3508" i="1"/>
  <c r="E3507" i="1"/>
  <c r="E3506" i="1"/>
  <c r="E3505" i="1"/>
  <c r="A3504" i="1"/>
  <c r="E3504" i="1" s="1"/>
  <c r="E3503" i="1"/>
  <c r="E3502" i="1"/>
  <c r="E3501" i="1"/>
  <c r="E3500" i="1"/>
  <c r="E3499" i="1"/>
  <c r="E3498" i="1"/>
  <c r="A3498" i="1"/>
  <c r="E3497" i="1"/>
  <c r="E3496" i="1"/>
  <c r="E3495" i="1"/>
  <c r="E3494" i="1"/>
  <c r="E3493" i="1"/>
  <c r="A3492" i="1"/>
  <c r="E3492" i="1" s="1"/>
  <c r="E3491" i="1"/>
  <c r="E3490" i="1"/>
  <c r="E3489" i="1"/>
  <c r="E3488" i="1"/>
  <c r="E3487" i="1"/>
  <c r="A3486" i="1"/>
  <c r="E3486" i="1" s="1"/>
  <c r="E3485" i="1"/>
  <c r="E3484" i="1"/>
  <c r="E3483" i="1"/>
  <c r="E3482" i="1"/>
  <c r="E3481" i="1"/>
  <c r="A3480" i="1"/>
  <c r="E3480" i="1" s="1"/>
  <c r="E3479" i="1"/>
  <c r="E3478" i="1"/>
  <c r="E3477" i="1"/>
  <c r="E3476" i="1"/>
  <c r="E3475" i="1"/>
  <c r="A3474" i="1"/>
  <c r="E3474" i="1" s="1"/>
  <c r="E3473" i="1"/>
  <c r="E3472" i="1"/>
  <c r="E3471" i="1"/>
  <c r="E3470" i="1"/>
  <c r="E3469" i="1"/>
  <c r="E3468" i="1"/>
  <c r="A3467" i="1"/>
  <c r="E3467" i="1" s="1"/>
  <c r="E3466" i="1"/>
  <c r="E3465" i="1"/>
  <c r="E3464" i="1"/>
  <c r="E3463" i="1"/>
  <c r="E3462" i="1"/>
  <c r="A3461" i="1"/>
  <c r="E3461" i="1" s="1"/>
  <c r="E3460" i="1"/>
  <c r="E3459" i="1"/>
  <c r="E3458" i="1"/>
  <c r="E3457" i="1"/>
  <c r="E3456" i="1"/>
  <c r="A3455" i="1"/>
  <c r="E3455" i="1" s="1"/>
  <c r="E3454" i="1"/>
  <c r="E3453" i="1"/>
  <c r="E3452" i="1"/>
  <c r="E3451" i="1"/>
  <c r="E3450" i="1"/>
  <c r="E3449" i="1"/>
  <c r="A3448" i="1"/>
  <c r="E3448" i="1" s="1"/>
  <c r="E3447" i="1"/>
  <c r="E3446" i="1"/>
  <c r="E3445" i="1"/>
  <c r="E3444" i="1"/>
  <c r="E3443" i="1"/>
  <c r="A3442" i="1"/>
  <c r="E3442" i="1" s="1"/>
  <c r="E3441" i="1"/>
  <c r="E3440" i="1"/>
  <c r="E3439" i="1"/>
  <c r="E3438" i="1"/>
  <c r="E3437" i="1"/>
  <c r="A3436" i="1"/>
  <c r="E3436" i="1" s="1"/>
  <c r="E3435" i="1"/>
  <c r="E3434" i="1"/>
  <c r="E3433" i="1"/>
  <c r="E3432" i="1"/>
  <c r="E3431" i="1"/>
  <c r="A3430" i="1"/>
  <c r="E3430" i="1" s="1"/>
  <c r="E3429" i="1"/>
  <c r="E3428" i="1"/>
  <c r="E3427" i="1"/>
  <c r="E3426" i="1"/>
  <c r="E3425" i="1"/>
  <c r="E3424" i="1"/>
  <c r="A3423" i="1"/>
  <c r="E3423" i="1" s="1"/>
  <c r="E3422" i="1"/>
  <c r="E3421" i="1"/>
  <c r="E3420" i="1"/>
  <c r="E3419" i="1"/>
  <c r="E3418" i="1"/>
  <c r="A3417" i="1"/>
  <c r="E3417" i="1" s="1"/>
  <c r="E3416" i="1"/>
  <c r="E3415" i="1"/>
  <c r="E3414" i="1"/>
  <c r="E3413" i="1"/>
  <c r="E3412" i="1"/>
  <c r="A3411" i="1"/>
  <c r="E3411" i="1" s="1"/>
  <c r="E3410" i="1"/>
  <c r="E3409" i="1"/>
  <c r="E3408" i="1"/>
  <c r="E3407" i="1"/>
  <c r="E3406" i="1"/>
  <c r="A3405" i="1"/>
  <c r="E3405" i="1" s="1"/>
  <c r="E3404" i="1"/>
  <c r="E3403" i="1"/>
  <c r="E3402" i="1"/>
  <c r="E3401" i="1"/>
  <c r="E3400" i="1"/>
  <c r="A3399" i="1"/>
  <c r="E3399" i="1" s="1"/>
  <c r="E3398" i="1"/>
  <c r="E3397" i="1"/>
  <c r="E3396" i="1"/>
  <c r="E3395" i="1"/>
  <c r="E3394" i="1"/>
  <c r="A3393" i="1"/>
  <c r="E3393" i="1" s="1"/>
  <c r="E3392" i="1"/>
  <c r="E3391" i="1"/>
  <c r="E3390" i="1"/>
  <c r="E3389" i="1"/>
  <c r="E3388" i="1"/>
  <c r="A3387" i="1"/>
  <c r="E3387" i="1" s="1"/>
  <c r="E3386" i="1"/>
  <c r="E3385" i="1"/>
  <c r="E3384" i="1"/>
  <c r="E3383" i="1"/>
  <c r="E3382" i="1"/>
  <c r="A3381" i="1"/>
  <c r="E3381" i="1" s="1"/>
  <c r="E3380" i="1"/>
  <c r="E3379" i="1"/>
  <c r="E3378" i="1"/>
  <c r="E3377" i="1"/>
  <c r="E3376" i="1"/>
  <c r="E3375" i="1"/>
  <c r="A3374" i="1"/>
  <c r="E3374" i="1" s="1"/>
  <c r="E3373" i="1"/>
  <c r="E3372" i="1"/>
  <c r="E3371" i="1"/>
  <c r="E3370" i="1"/>
  <c r="E3369" i="1"/>
  <c r="E3368" i="1"/>
  <c r="A3367" i="1"/>
  <c r="E3367" i="1" s="1"/>
  <c r="E3366" i="1"/>
  <c r="E3365" i="1"/>
  <c r="E3364" i="1"/>
  <c r="E3363" i="1"/>
  <c r="E3362" i="1"/>
  <c r="A3361" i="1"/>
  <c r="E3361" i="1" s="1"/>
  <c r="E3360" i="1"/>
  <c r="E3359" i="1"/>
  <c r="E3358" i="1"/>
  <c r="E3357" i="1"/>
  <c r="E3356" i="1"/>
  <c r="A3355" i="1"/>
  <c r="E3355" i="1" s="1"/>
  <c r="E3354" i="1"/>
  <c r="E3353" i="1"/>
  <c r="E3352" i="1"/>
  <c r="E3351" i="1"/>
  <c r="E3350" i="1"/>
  <c r="A3349" i="1"/>
  <c r="E3349" i="1" s="1"/>
  <c r="E3348" i="1"/>
  <c r="E3347" i="1"/>
  <c r="E3346" i="1"/>
  <c r="E3345" i="1"/>
  <c r="E3344" i="1"/>
  <c r="E3343" i="1"/>
  <c r="A3342" i="1"/>
  <c r="E3342" i="1" s="1"/>
  <c r="E3341" i="1"/>
  <c r="E3340" i="1"/>
  <c r="E3339" i="1"/>
  <c r="E3338" i="1"/>
  <c r="E3337" i="1"/>
  <c r="E3336" i="1"/>
  <c r="A3335" i="1"/>
  <c r="E3335" i="1" s="1"/>
  <c r="E3334" i="1"/>
  <c r="E3333" i="1"/>
  <c r="E3332" i="1"/>
  <c r="E3331" i="1"/>
  <c r="E3330" i="1"/>
  <c r="E3329" i="1"/>
  <c r="A3328" i="1"/>
  <c r="E3328" i="1" s="1"/>
  <c r="E3327" i="1"/>
  <c r="E3326" i="1"/>
  <c r="E3325" i="1"/>
  <c r="E3324" i="1"/>
  <c r="E3323" i="1"/>
  <c r="A3322" i="1"/>
  <c r="E3322" i="1" s="1"/>
  <c r="E3321" i="1"/>
  <c r="E3320" i="1"/>
  <c r="E3319" i="1"/>
  <c r="E3318" i="1"/>
  <c r="E3317" i="1"/>
  <c r="A3316" i="1"/>
  <c r="E3316" i="1" s="1"/>
  <c r="E3315" i="1"/>
  <c r="E3314" i="1"/>
  <c r="E3313" i="1"/>
  <c r="E3312" i="1"/>
  <c r="E3311" i="1"/>
  <c r="A3310" i="1"/>
  <c r="E3310" i="1" s="1"/>
  <c r="E3309" i="1"/>
  <c r="E3308" i="1"/>
  <c r="E3307" i="1"/>
  <c r="E3306" i="1"/>
  <c r="E3305" i="1"/>
  <c r="A3304" i="1"/>
  <c r="E3304" i="1" s="1"/>
  <c r="E3303" i="1"/>
  <c r="E3302" i="1"/>
  <c r="E3301" i="1"/>
  <c r="E3300" i="1"/>
  <c r="E3299" i="1"/>
  <c r="E3298" i="1"/>
  <c r="A3297" i="1"/>
  <c r="E3297" i="1" s="1"/>
  <c r="E3296" i="1"/>
  <c r="E3295" i="1"/>
  <c r="E3294" i="1"/>
  <c r="E3293" i="1"/>
  <c r="E3292" i="1"/>
  <c r="A3291" i="1"/>
  <c r="E3291" i="1" s="1"/>
  <c r="E3290" i="1"/>
  <c r="E3289" i="1"/>
  <c r="E3288" i="1"/>
  <c r="E3287" i="1"/>
  <c r="E3286" i="1"/>
  <c r="A3285" i="1"/>
  <c r="E3285" i="1" s="1"/>
  <c r="E3284" i="1"/>
  <c r="E3283" i="1"/>
  <c r="E3282" i="1"/>
  <c r="E3281" i="1"/>
  <c r="E3280" i="1"/>
  <c r="A3279" i="1"/>
  <c r="E3279" i="1" s="1"/>
  <c r="E3278" i="1"/>
  <c r="E3277" i="1"/>
  <c r="E3276" i="1"/>
  <c r="E3275" i="1"/>
  <c r="E3274" i="1"/>
  <c r="A3273" i="1"/>
  <c r="E3273" i="1" s="1"/>
  <c r="E3272" i="1"/>
  <c r="E3271" i="1"/>
  <c r="E3270" i="1"/>
  <c r="E3269" i="1"/>
  <c r="E3268" i="1"/>
  <c r="A3267" i="1"/>
  <c r="E3267" i="1" s="1"/>
  <c r="E3266" i="1"/>
  <c r="E3265" i="1"/>
  <c r="E3264" i="1"/>
  <c r="E3263" i="1"/>
  <c r="E3262" i="1"/>
  <c r="A3261" i="1"/>
  <c r="E3261" i="1" s="1"/>
  <c r="E3260" i="1"/>
  <c r="E3259" i="1"/>
  <c r="E3258" i="1"/>
  <c r="E3257" i="1"/>
  <c r="E3256" i="1"/>
  <c r="A3255" i="1"/>
  <c r="E3255" i="1" s="1"/>
  <c r="E3254" i="1"/>
  <c r="E3253" i="1"/>
  <c r="E3252" i="1"/>
  <c r="E3251" i="1"/>
  <c r="E3250" i="1"/>
  <c r="A3249" i="1"/>
  <c r="E3249" i="1" s="1"/>
  <c r="E3248" i="1"/>
  <c r="E3247" i="1"/>
  <c r="E3246" i="1"/>
  <c r="E3245" i="1"/>
  <c r="E3244" i="1"/>
  <c r="E3243" i="1"/>
  <c r="A3242" i="1"/>
  <c r="E3242" i="1" s="1"/>
  <c r="E3241" i="1"/>
  <c r="E3240" i="1"/>
  <c r="E3239" i="1"/>
  <c r="E3238" i="1"/>
  <c r="E3237" i="1"/>
  <c r="A3236" i="1"/>
  <c r="E3236" i="1" s="1"/>
  <c r="E3235" i="1"/>
  <c r="E3234" i="1"/>
  <c r="E3233" i="1"/>
  <c r="E3232" i="1"/>
  <c r="E3231" i="1"/>
  <c r="A3230" i="1"/>
  <c r="E3230" i="1" s="1"/>
  <c r="E3229" i="1"/>
  <c r="E3228" i="1"/>
  <c r="E3227" i="1"/>
  <c r="E3226" i="1"/>
  <c r="E3225" i="1"/>
  <c r="A3224" i="1"/>
  <c r="E3224" i="1" s="1"/>
  <c r="E3223" i="1"/>
  <c r="E3222" i="1"/>
  <c r="E3221" i="1"/>
  <c r="E3220" i="1"/>
  <c r="E3219" i="1"/>
  <c r="E3218" i="1"/>
  <c r="A3217" i="1"/>
  <c r="E3217" i="1" s="1"/>
  <c r="E3216" i="1"/>
  <c r="E3215" i="1"/>
  <c r="E3214" i="1"/>
  <c r="E3213" i="1"/>
  <c r="E3212" i="1"/>
  <c r="A3211" i="1"/>
  <c r="E3211" i="1" s="1"/>
  <c r="E3210" i="1"/>
  <c r="E3209" i="1"/>
  <c r="E3208" i="1"/>
  <c r="E3207" i="1"/>
  <c r="E3206" i="1"/>
  <c r="E3205" i="1"/>
  <c r="A3204" i="1"/>
  <c r="E3204" i="1" s="1"/>
  <c r="E3203" i="1"/>
  <c r="E3202" i="1"/>
  <c r="E3201" i="1"/>
  <c r="E3200" i="1"/>
  <c r="E3199" i="1"/>
  <c r="A3198" i="1"/>
  <c r="E3198" i="1" s="1"/>
  <c r="E3197" i="1"/>
  <c r="E3196" i="1"/>
  <c r="E3195" i="1"/>
  <c r="E3194" i="1"/>
  <c r="E3193" i="1"/>
  <c r="A3192" i="1"/>
  <c r="E3192" i="1" s="1"/>
  <c r="E3191" i="1"/>
  <c r="E3190" i="1"/>
  <c r="E3189" i="1"/>
  <c r="E3188" i="1"/>
  <c r="E3187" i="1"/>
  <c r="A3186" i="1"/>
  <c r="E3186" i="1" s="1"/>
  <c r="E3185" i="1"/>
  <c r="E3184" i="1"/>
  <c r="E3183" i="1"/>
  <c r="E3182" i="1"/>
  <c r="E3181" i="1"/>
  <c r="A3180" i="1"/>
  <c r="E3180" i="1" s="1"/>
  <c r="E3179" i="1"/>
  <c r="E3178" i="1"/>
  <c r="E3177" i="1"/>
  <c r="E3176" i="1"/>
  <c r="E3175" i="1"/>
  <c r="A3174" i="1"/>
  <c r="E3174" i="1" s="1"/>
  <c r="E3173" i="1"/>
  <c r="E3172" i="1"/>
  <c r="E3171" i="1"/>
  <c r="E3170" i="1"/>
  <c r="E3169" i="1"/>
  <c r="A3168" i="1"/>
  <c r="E3168" i="1" s="1"/>
  <c r="E3167" i="1"/>
  <c r="E3166" i="1"/>
  <c r="E3165" i="1"/>
  <c r="E3164" i="1"/>
  <c r="E3163" i="1"/>
  <c r="A3162" i="1"/>
  <c r="E3162" i="1" s="1"/>
  <c r="E3161" i="1"/>
  <c r="E3160" i="1"/>
  <c r="E3159" i="1"/>
  <c r="E3158" i="1"/>
  <c r="E3157" i="1"/>
  <c r="A3156" i="1"/>
  <c r="E3156" i="1" s="1"/>
  <c r="E3155" i="1"/>
  <c r="E3154" i="1"/>
  <c r="E3153" i="1"/>
  <c r="E3152" i="1"/>
  <c r="E3151" i="1"/>
  <c r="A3150" i="1"/>
  <c r="E3150" i="1" s="1"/>
  <c r="E3149" i="1"/>
  <c r="E3148" i="1"/>
  <c r="E3147" i="1"/>
  <c r="E3146" i="1"/>
  <c r="E3145" i="1"/>
  <c r="E3144" i="1"/>
  <c r="A3143" i="1"/>
  <c r="E3143" i="1" s="1"/>
  <c r="E3142" i="1"/>
  <c r="E3141" i="1"/>
  <c r="E3140" i="1"/>
  <c r="E3139" i="1"/>
  <c r="E3138" i="1"/>
  <c r="A3137" i="1"/>
  <c r="E3137" i="1" s="1"/>
  <c r="E3136" i="1"/>
  <c r="E3135" i="1"/>
  <c r="E3134" i="1"/>
  <c r="E3133" i="1"/>
  <c r="E3132" i="1"/>
  <c r="A3131" i="1"/>
  <c r="E3131" i="1" s="1"/>
  <c r="E3130" i="1"/>
  <c r="E3129" i="1"/>
  <c r="E3128" i="1"/>
  <c r="E3127" i="1"/>
  <c r="E3126" i="1"/>
  <c r="A3125" i="1"/>
  <c r="E3125" i="1" s="1"/>
  <c r="E3124" i="1"/>
  <c r="E3123" i="1"/>
  <c r="E3122" i="1"/>
  <c r="E3121" i="1"/>
  <c r="E3120" i="1"/>
  <c r="A3119" i="1"/>
  <c r="E3119" i="1" s="1"/>
  <c r="E3118" i="1"/>
  <c r="E3117" i="1"/>
  <c r="E3116" i="1"/>
  <c r="E3115" i="1"/>
  <c r="E3114" i="1"/>
  <c r="A3113" i="1"/>
  <c r="E3113" i="1" s="1"/>
  <c r="E3112" i="1"/>
  <c r="E3111" i="1"/>
  <c r="E3110" i="1"/>
  <c r="E3109" i="1"/>
  <c r="E3108" i="1"/>
  <c r="A3107" i="1"/>
  <c r="E3107" i="1" s="1"/>
  <c r="E3106" i="1"/>
  <c r="E3105" i="1"/>
  <c r="E3104" i="1"/>
  <c r="E3103" i="1"/>
  <c r="E3102" i="1"/>
  <c r="A3101" i="1"/>
  <c r="E3101" i="1" s="1"/>
  <c r="E3100" i="1"/>
  <c r="E3099" i="1"/>
  <c r="E3098" i="1"/>
  <c r="E3097" i="1"/>
  <c r="E3096" i="1"/>
  <c r="A3095" i="1"/>
  <c r="E3095" i="1" s="1"/>
  <c r="E3094" i="1"/>
  <c r="E3093" i="1"/>
  <c r="E3092" i="1"/>
  <c r="E3091" i="1"/>
  <c r="E3090" i="1"/>
  <c r="A3089" i="1"/>
  <c r="E3089" i="1" s="1"/>
  <c r="E3088" i="1"/>
  <c r="E3087" i="1"/>
  <c r="E3086" i="1"/>
  <c r="E3085" i="1"/>
  <c r="E3084" i="1"/>
  <c r="A3083" i="1"/>
  <c r="E3083" i="1" s="1"/>
  <c r="E3082" i="1"/>
  <c r="E3081" i="1"/>
  <c r="E3080" i="1"/>
  <c r="E3079" i="1"/>
  <c r="E3078" i="1"/>
  <c r="A3077" i="1"/>
  <c r="E3077" i="1" s="1"/>
  <c r="E3076" i="1"/>
  <c r="E3075" i="1"/>
  <c r="E3074" i="1"/>
  <c r="E3073" i="1"/>
  <c r="E3072" i="1"/>
  <c r="E3071" i="1"/>
  <c r="A3071" i="1"/>
  <c r="E3070" i="1"/>
  <c r="E3069" i="1"/>
  <c r="E3068" i="1"/>
  <c r="E3067" i="1"/>
  <c r="E3066" i="1"/>
  <c r="A3065" i="1"/>
  <c r="E3065" i="1" s="1"/>
  <c r="E3064" i="1"/>
  <c r="E3063" i="1"/>
  <c r="E3062" i="1"/>
  <c r="E3061" i="1"/>
  <c r="E3060" i="1"/>
  <c r="A3059" i="1"/>
  <c r="E3059" i="1" s="1"/>
  <c r="E3058" i="1"/>
  <c r="E3057" i="1"/>
  <c r="E3056" i="1"/>
  <c r="E3055" i="1"/>
  <c r="E3054" i="1"/>
  <c r="A3053" i="1"/>
  <c r="E3053" i="1" s="1"/>
  <c r="E3052" i="1"/>
  <c r="E3051" i="1"/>
  <c r="E3050" i="1"/>
  <c r="E3049" i="1"/>
  <c r="E3048" i="1"/>
  <c r="A3047" i="1"/>
  <c r="E3047" i="1" s="1"/>
  <c r="E3046" i="1"/>
  <c r="E3045" i="1"/>
  <c r="E3044" i="1"/>
  <c r="E3043" i="1"/>
  <c r="E3042" i="1"/>
  <c r="A3041" i="1"/>
  <c r="E3041" i="1" s="1"/>
  <c r="E3040" i="1"/>
  <c r="E3039" i="1"/>
  <c r="E3038" i="1"/>
  <c r="E3037" i="1"/>
  <c r="E3036" i="1"/>
  <c r="A3035" i="1"/>
  <c r="E3035" i="1" s="1"/>
  <c r="E3034" i="1"/>
  <c r="E3033" i="1"/>
  <c r="E3032" i="1"/>
  <c r="E3031" i="1"/>
  <c r="E3030" i="1"/>
  <c r="A3029" i="1"/>
  <c r="E3029" i="1" s="1"/>
  <c r="E3028" i="1"/>
  <c r="E3027" i="1"/>
  <c r="E3026" i="1"/>
  <c r="E3025" i="1"/>
  <c r="E3024" i="1"/>
  <c r="E3023" i="1"/>
  <c r="A3023" i="1"/>
  <c r="E3022" i="1"/>
  <c r="E3021" i="1"/>
  <c r="E3020" i="1"/>
  <c r="E3019" i="1"/>
  <c r="E3018" i="1"/>
  <c r="A3017" i="1"/>
  <c r="E3017" i="1" s="1"/>
  <c r="E3016" i="1"/>
  <c r="E3015" i="1"/>
  <c r="E3014" i="1"/>
  <c r="E3013" i="1"/>
  <c r="E3012" i="1"/>
  <c r="A3011" i="1"/>
  <c r="E3011" i="1" s="1"/>
  <c r="E3010" i="1"/>
  <c r="E3009" i="1"/>
  <c r="E3008" i="1"/>
  <c r="E3007" i="1"/>
  <c r="E3006" i="1"/>
  <c r="A3005" i="1"/>
  <c r="E3005" i="1" s="1"/>
  <c r="E3004" i="1"/>
  <c r="E3003" i="1"/>
  <c r="E3002" i="1"/>
  <c r="E3001" i="1"/>
  <c r="E3000" i="1"/>
  <c r="A2999" i="1"/>
  <c r="E2999" i="1" s="1"/>
  <c r="E2998" i="1"/>
  <c r="E2997" i="1"/>
  <c r="E2996" i="1"/>
  <c r="E2995" i="1"/>
  <c r="E2994" i="1"/>
  <c r="E2993" i="1"/>
  <c r="A2993" i="1"/>
  <c r="E2992" i="1"/>
  <c r="E2991" i="1"/>
  <c r="E2990" i="1"/>
  <c r="E2989" i="1"/>
  <c r="E2988" i="1"/>
  <c r="A2987" i="1"/>
  <c r="E2987" i="1" s="1"/>
  <c r="E2986" i="1"/>
  <c r="E2985" i="1"/>
  <c r="E2984" i="1"/>
  <c r="E2983" i="1"/>
  <c r="E2982" i="1"/>
  <c r="E2981" i="1"/>
  <c r="A2980" i="1"/>
  <c r="E2980" i="1" s="1"/>
  <c r="E2979" i="1"/>
  <c r="E2978" i="1"/>
  <c r="E2977" i="1"/>
  <c r="E2976" i="1"/>
  <c r="E2975" i="1"/>
  <c r="A2974" i="1"/>
  <c r="E2974" i="1" s="1"/>
  <c r="E2973" i="1"/>
  <c r="E2972" i="1"/>
  <c r="E2971" i="1"/>
  <c r="E2970" i="1"/>
  <c r="E2969" i="1"/>
  <c r="A2968" i="1"/>
  <c r="E2968" i="1" s="1"/>
  <c r="E2967" i="1"/>
  <c r="E2966" i="1"/>
  <c r="E2965" i="1"/>
  <c r="E2964" i="1"/>
  <c r="E2963" i="1"/>
  <c r="E2962" i="1"/>
  <c r="A2961" i="1"/>
  <c r="E2961" i="1" s="1"/>
  <c r="E2960" i="1"/>
  <c r="E2959" i="1"/>
  <c r="E2958" i="1"/>
  <c r="E2957" i="1"/>
  <c r="E2956" i="1"/>
  <c r="E2955" i="1"/>
  <c r="A2954" i="1"/>
  <c r="E2954" i="1" s="1"/>
  <c r="E2953" i="1"/>
  <c r="E2952" i="1"/>
  <c r="E2951" i="1"/>
  <c r="E2950" i="1"/>
  <c r="E2949" i="1"/>
  <c r="E2948" i="1"/>
  <c r="A2947" i="1"/>
  <c r="E2947" i="1" s="1"/>
  <c r="E2946" i="1"/>
  <c r="E2945" i="1"/>
  <c r="E2944" i="1"/>
  <c r="E2943" i="1"/>
  <c r="E2942" i="1"/>
  <c r="E2941" i="1"/>
  <c r="A2940" i="1"/>
  <c r="E2940" i="1" s="1"/>
  <c r="E2939" i="1"/>
  <c r="E2938" i="1"/>
  <c r="E2937" i="1"/>
  <c r="E2936" i="1"/>
  <c r="E2935" i="1"/>
  <c r="E2934" i="1"/>
  <c r="A2934" i="1"/>
  <c r="E2933" i="1"/>
  <c r="E2932" i="1"/>
  <c r="E2931" i="1"/>
  <c r="E2930" i="1"/>
  <c r="E2929" i="1"/>
  <c r="A2928" i="1"/>
  <c r="E2928" i="1" s="1"/>
  <c r="E2927" i="1"/>
  <c r="E2926" i="1"/>
  <c r="E2925" i="1"/>
  <c r="E2924" i="1"/>
  <c r="E2923" i="1"/>
  <c r="A2922" i="1"/>
  <c r="E2922" i="1" s="1"/>
  <c r="E2921" i="1"/>
  <c r="E2920" i="1"/>
  <c r="E2919" i="1"/>
  <c r="E2918" i="1"/>
  <c r="E2917" i="1"/>
  <c r="A2916" i="1"/>
  <c r="E2916" i="1" s="1"/>
  <c r="E2915" i="1"/>
  <c r="E2914" i="1"/>
  <c r="E2913" i="1"/>
  <c r="E2912" i="1"/>
  <c r="E2911" i="1"/>
  <c r="A2910" i="1"/>
  <c r="E2910" i="1" s="1"/>
  <c r="E2909" i="1"/>
  <c r="E2908" i="1"/>
  <c r="E2907" i="1"/>
  <c r="E2906" i="1"/>
  <c r="E2905" i="1"/>
  <c r="A2904" i="1"/>
  <c r="E2904" i="1" s="1"/>
  <c r="E2903" i="1"/>
  <c r="E2902" i="1"/>
  <c r="E2901" i="1"/>
  <c r="E2900" i="1"/>
  <c r="E2899" i="1"/>
  <c r="E2898" i="1"/>
  <c r="A2897" i="1"/>
  <c r="E2897" i="1" s="1"/>
  <c r="E2896" i="1"/>
  <c r="E2895" i="1"/>
  <c r="E2894" i="1"/>
  <c r="E2893" i="1"/>
  <c r="E2892" i="1"/>
  <c r="A2891" i="1"/>
  <c r="E2891" i="1" s="1"/>
  <c r="E2890" i="1"/>
  <c r="E2889" i="1"/>
  <c r="E2888" i="1"/>
  <c r="E2887" i="1"/>
  <c r="E2886" i="1"/>
  <c r="A2885" i="1"/>
  <c r="E2885" i="1" s="1"/>
  <c r="E2884" i="1"/>
  <c r="E2883" i="1"/>
  <c r="E2882" i="1"/>
  <c r="E2881" i="1"/>
  <c r="E2880" i="1"/>
  <c r="E2879" i="1"/>
  <c r="A2878" i="1"/>
  <c r="E2878" i="1" s="1"/>
  <c r="E2877" i="1"/>
  <c r="E2876" i="1"/>
  <c r="E2875" i="1"/>
  <c r="E2874" i="1"/>
  <c r="E2873" i="1"/>
  <c r="A2872" i="1"/>
  <c r="E2872" i="1" s="1"/>
  <c r="E2871" i="1"/>
  <c r="E2870" i="1"/>
  <c r="E2869" i="1"/>
  <c r="E2868" i="1"/>
  <c r="E2867" i="1"/>
  <c r="E2866" i="1"/>
  <c r="A2866" i="1"/>
  <c r="E2865" i="1"/>
  <c r="E2864" i="1"/>
  <c r="E2863" i="1"/>
  <c r="E2862" i="1"/>
  <c r="E2861" i="1"/>
  <c r="A2860" i="1"/>
  <c r="E2860" i="1" s="1"/>
  <c r="E2859" i="1"/>
  <c r="E2858" i="1"/>
  <c r="E2857" i="1"/>
  <c r="E2856" i="1"/>
  <c r="E2855" i="1"/>
  <c r="A2854" i="1"/>
  <c r="E2854" i="1" s="1"/>
  <c r="E2853" i="1"/>
  <c r="E2852" i="1"/>
  <c r="E2851" i="1"/>
  <c r="E2850" i="1"/>
  <c r="E2849" i="1"/>
  <c r="A2848" i="1"/>
  <c r="E2848" i="1" s="1"/>
  <c r="E2847" i="1"/>
  <c r="E2846" i="1"/>
  <c r="E2845" i="1"/>
  <c r="E2844" i="1"/>
  <c r="E2843" i="1"/>
  <c r="E2842" i="1"/>
  <c r="A2841" i="1"/>
  <c r="E2841" i="1" s="1"/>
  <c r="E2840" i="1"/>
  <c r="E2839" i="1"/>
  <c r="E2838" i="1"/>
  <c r="E2837" i="1"/>
  <c r="E2836" i="1"/>
  <c r="A2835" i="1"/>
  <c r="E2835" i="1" s="1"/>
  <c r="E2834" i="1"/>
  <c r="E2833" i="1"/>
  <c r="E2832" i="1"/>
  <c r="E2831" i="1"/>
  <c r="E2830" i="1"/>
  <c r="A2829" i="1"/>
  <c r="E2829" i="1" s="1"/>
  <c r="E2828" i="1"/>
  <c r="E2827" i="1"/>
  <c r="E2826" i="1"/>
  <c r="E2825" i="1"/>
  <c r="E2824" i="1"/>
  <c r="E2823" i="1"/>
  <c r="A2823" i="1"/>
  <c r="E2822" i="1"/>
  <c r="E2821" i="1"/>
  <c r="E2820" i="1"/>
  <c r="E2819" i="1"/>
  <c r="E2818" i="1"/>
  <c r="A2817" i="1"/>
  <c r="E2817" i="1" s="1"/>
  <c r="E2816" i="1"/>
  <c r="E2815" i="1"/>
  <c r="E2814" i="1"/>
  <c r="E2813" i="1"/>
  <c r="E2812" i="1"/>
  <c r="A2811" i="1"/>
  <c r="E2811" i="1" s="1"/>
  <c r="E2810" i="1"/>
  <c r="E2809" i="1"/>
  <c r="E2808" i="1"/>
  <c r="E2807" i="1"/>
  <c r="E2806" i="1"/>
  <c r="A2805" i="1"/>
  <c r="E2805" i="1" s="1"/>
  <c r="E2804" i="1"/>
  <c r="E2803" i="1"/>
  <c r="E2802" i="1"/>
  <c r="E2801" i="1"/>
  <c r="E2800" i="1"/>
  <c r="E2799" i="1"/>
  <c r="A2798" i="1"/>
  <c r="E2798" i="1" s="1"/>
  <c r="E2797" i="1"/>
  <c r="E2796" i="1"/>
  <c r="E2795" i="1"/>
  <c r="E2794" i="1"/>
  <c r="E2793" i="1"/>
  <c r="A2792" i="1"/>
  <c r="E2792" i="1" s="1"/>
  <c r="E2791" i="1"/>
  <c r="E2790" i="1"/>
  <c r="E2789" i="1"/>
  <c r="E2788" i="1"/>
  <c r="E2787" i="1"/>
  <c r="A2786" i="1"/>
  <c r="E2786" i="1" s="1"/>
  <c r="E2785" i="1"/>
  <c r="E2784" i="1"/>
  <c r="E2783" i="1"/>
  <c r="E2782" i="1"/>
  <c r="E2781" i="1"/>
  <c r="A2780" i="1"/>
  <c r="E2780" i="1" s="1"/>
  <c r="E2779" i="1"/>
  <c r="E2778" i="1"/>
  <c r="E2777" i="1"/>
  <c r="E2776" i="1"/>
  <c r="E2775" i="1"/>
  <c r="E2774" i="1"/>
  <c r="A2773" i="1"/>
  <c r="E2773" i="1" s="1"/>
  <c r="E2772" i="1"/>
  <c r="E2771" i="1"/>
  <c r="E2770" i="1"/>
  <c r="E2769" i="1"/>
  <c r="E2768" i="1"/>
  <c r="A2767" i="1"/>
  <c r="E2767" i="1" s="1"/>
  <c r="E2766" i="1"/>
  <c r="E2765" i="1"/>
  <c r="E2764" i="1"/>
  <c r="E2763" i="1"/>
  <c r="E2762" i="1"/>
  <c r="A2761" i="1"/>
  <c r="E2761" i="1" s="1"/>
  <c r="E2760" i="1"/>
  <c r="E2759" i="1"/>
  <c r="E2758" i="1"/>
  <c r="E2757" i="1"/>
  <c r="E2756" i="1"/>
  <c r="A2755" i="1"/>
  <c r="E2755" i="1" s="1"/>
  <c r="E2754" i="1"/>
  <c r="D2754" i="1"/>
  <c r="E2753" i="1"/>
  <c r="E2752" i="1"/>
  <c r="E2751" i="1"/>
  <c r="E2750" i="1"/>
  <c r="A2749" i="1"/>
  <c r="E2749" i="1" s="1"/>
  <c r="E2748" i="1"/>
  <c r="E2747" i="1"/>
  <c r="E2746" i="1"/>
  <c r="E2745" i="1"/>
  <c r="E2744" i="1"/>
  <c r="A2743" i="1"/>
  <c r="E2743" i="1" s="1"/>
  <c r="E2742" i="1"/>
  <c r="E2741" i="1"/>
  <c r="E2740" i="1"/>
  <c r="E2739" i="1"/>
  <c r="E2738" i="1"/>
  <c r="A2737" i="1"/>
  <c r="E2737" i="1" s="1"/>
  <c r="E2736" i="1"/>
  <c r="E2735" i="1"/>
  <c r="E2734" i="1"/>
  <c r="E2733" i="1"/>
  <c r="E2732" i="1"/>
  <c r="A2731" i="1"/>
  <c r="E2731" i="1" s="1"/>
  <c r="E2730" i="1"/>
  <c r="E2729" i="1"/>
  <c r="E2728" i="1"/>
  <c r="E2727" i="1"/>
  <c r="E2726" i="1"/>
  <c r="A2725" i="1"/>
  <c r="E2725" i="1" s="1"/>
  <c r="E2724" i="1"/>
  <c r="E2723" i="1"/>
  <c r="E2722" i="1"/>
  <c r="E2721" i="1"/>
  <c r="E2720" i="1"/>
  <c r="A2719" i="1"/>
  <c r="E2719" i="1" s="1"/>
  <c r="E2718" i="1"/>
  <c r="D2718" i="1"/>
  <c r="E2717" i="1"/>
  <c r="E2716" i="1"/>
  <c r="E2715" i="1"/>
  <c r="E2714" i="1"/>
  <c r="E2713" i="1"/>
  <c r="A2712" i="1"/>
  <c r="E2712" i="1" s="1"/>
  <c r="E2711" i="1"/>
  <c r="E2710" i="1"/>
  <c r="E2709" i="1"/>
  <c r="E2708" i="1"/>
  <c r="E2707" i="1"/>
  <c r="E2706" i="1"/>
  <c r="A2706" i="1"/>
  <c r="E2705" i="1"/>
  <c r="E2704" i="1"/>
  <c r="E2703" i="1"/>
  <c r="E2702" i="1"/>
  <c r="E2701" i="1"/>
  <c r="A2700" i="1"/>
  <c r="E2700" i="1" s="1"/>
  <c r="E2699" i="1"/>
  <c r="E2698" i="1"/>
  <c r="E2697" i="1"/>
  <c r="E2696" i="1"/>
  <c r="E2695" i="1"/>
  <c r="A2694" i="1"/>
  <c r="E2694" i="1" s="1"/>
  <c r="E2693" i="1"/>
  <c r="E2692" i="1"/>
  <c r="E2691" i="1"/>
  <c r="E2690" i="1"/>
  <c r="E2689" i="1"/>
  <c r="A2688" i="1"/>
  <c r="E2688" i="1" s="1"/>
  <c r="E2687" i="1"/>
  <c r="E2686" i="1"/>
  <c r="E2685" i="1"/>
  <c r="E2684" i="1"/>
  <c r="E2683" i="1"/>
  <c r="A2682" i="1"/>
  <c r="E2682" i="1" s="1"/>
  <c r="E2681" i="1"/>
  <c r="E2680" i="1"/>
  <c r="E2679" i="1"/>
  <c r="E2678" i="1"/>
  <c r="E2677" i="1"/>
  <c r="A2676" i="1"/>
  <c r="E2676" i="1" s="1"/>
  <c r="E2675" i="1"/>
  <c r="E2674" i="1"/>
  <c r="E2673" i="1"/>
  <c r="E2672" i="1"/>
  <c r="E2671" i="1"/>
  <c r="E2670" i="1"/>
  <c r="A2670" i="1"/>
  <c r="E2669" i="1"/>
  <c r="E2668" i="1"/>
  <c r="E2667" i="1"/>
  <c r="E2666" i="1"/>
  <c r="E2665" i="1"/>
  <c r="A2664" i="1"/>
  <c r="E2664" i="1" s="1"/>
  <c r="E2663" i="1"/>
  <c r="E2662" i="1"/>
  <c r="E2661" i="1"/>
  <c r="E2660" i="1"/>
  <c r="E2659" i="1"/>
  <c r="A2658" i="1"/>
  <c r="E2658" i="1" s="1"/>
  <c r="E2657" i="1"/>
  <c r="E2656" i="1"/>
  <c r="E2655" i="1"/>
  <c r="E2654" i="1"/>
  <c r="E2653" i="1"/>
  <c r="A2652" i="1"/>
  <c r="E2652" i="1" s="1"/>
  <c r="E2651" i="1"/>
  <c r="E2650" i="1"/>
  <c r="E2649" i="1"/>
  <c r="E2648" i="1"/>
  <c r="E2647" i="1"/>
  <c r="E2646" i="1"/>
  <c r="A2646" i="1"/>
  <c r="E2645" i="1"/>
  <c r="E2644" i="1"/>
  <c r="E2643" i="1"/>
  <c r="E2642" i="1"/>
  <c r="E2641" i="1"/>
  <c r="A2640" i="1"/>
  <c r="E2640" i="1" s="1"/>
  <c r="E2639" i="1"/>
  <c r="E2638" i="1"/>
  <c r="E2637" i="1"/>
  <c r="E2636" i="1"/>
  <c r="E2635" i="1"/>
  <c r="A2634" i="1"/>
  <c r="E2634" i="1" s="1"/>
  <c r="E2633" i="1"/>
  <c r="E2632" i="1"/>
  <c r="E2631" i="1"/>
  <c r="E2630" i="1"/>
  <c r="E2629" i="1"/>
  <c r="A2628" i="1"/>
  <c r="E2628" i="1" s="1"/>
  <c r="E2627" i="1"/>
  <c r="E2626" i="1"/>
  <c r="E2625" i="1"/>
  <c r="E2624" i="1"/>
  <c r="E2623" i="1"/>
  <c r="A2622" i="1"/>
  <c r="E2622" i="1" s="1"/>
  <c r="E2621" i="1"/>
  <c r="E2620" i="1"/>
  <c r="E2619" i="1"/>
  <c r="E2618" i="1"/>
  <c r="E2617" i="1"/>
  <c r="A2616" i="1"/>
  <c r="E2616" i="1" s="1"/>
  <c r="E2615" i="1"/>
  <c r="E2614" i="1"/>
  <c r="E2613" i="1"/>
  <c r="E2612" i="1"/>
  <c r="E2611" i="1"/>
  <c r="A2610" i="1"/>
  <c r="E2610" i="1" s="1"/>
  <c r="E2609" i="1"/>
  <c r="E2608" i="1"/>
  <c r="E2607" i="1"/>
  <c r="E2606" i="1"/>
  <c r="E2605" i="1"/>
  <c r="A2604" i="1"/>
  <c r="E2604" i="1" s="1"/>
  <c r="E2603" i="1"/>
  <c r="E2602" i="1"/>
  <c r="E2601" i="1"/>
  <c r="E2600" i="1"/>
  <c r="E2599" i="1"/>
  <c r="A2598" i="1"/>
  <c r="E2598" i="1" s="1"/>
  <c r="E2597" i="1"/>
  <c r="E2596" i="1"/>
  <c r="E2595" i="1"/>
  <c r="E2594" i="1"/>
  <c r="E2593" i="1"/>
  <c r="E2592" i="1"/>
  <c r="A2592" i="1"/>
  <c r="E2591" i="1"/>
  <c r="E2590" i="1"/>
  <c r="E2589" i="1"/>
  <c r="E2588" i="1"/>
  <c r="E2587" i="1"/>
  <c r="A2586" i="1"/>
  <c r="E2586" i="1" s="1"/>
  <c r="E2585" i="1"/>
  <c r="E2584" i="1"/>
  <c r="E2583" i="1"/>
  <c r="E2582" i="1"/>
  <c r="E2581" i="1"/>
  <c r="A2580" i="1"/>
  <c r="E2580" i="1" s="1"/>
  <c r="E2579" i="1"/>
  <c r="E2578" i="1"/>
  <c r="E2577" i="1"/>
  <c r="E2576" i="1"/>
  <c r="E2575" i="1"/>
  <c r="A2574" i="1"/>
  <c r="E2574" i="1" s="1"/>
  <c r="E2573" i="1"/>
  <c r="E2572" i="1"/>
  <c r="E2571" i="1"/>
  <c r="E2570" i="1"/>
  <c r="E2569" i="1"/>
  <c r="A2568" i="1"/>
  <c r="E2568" i="1" s="1"/>
  <c r="E2567" i="1"/>
  <c r="E2566" i="1"/>
  <c r="E2565" i="1"/>
  <c r="E2564" i="1"/>
  <c r="E2563" i="1"/>
  <c r="E2562" i="1"/>
  <c r="A2562" i="1"/>
  <c r="E2561" i="1"/>
  <c r="E2560" i="1"/>
  <c r="E2559" i="1"/>
  <c r="E2558" i="1"/>
  <c r="E2557" i="1"/>
  <c r="E2556" i="1"/>
  <c r="E2555" i="1"/>
  <c r="A2555" i="1"/>
  <c r="E2554" i="1"/>
  <c r="E2553" i="1"/>
  <c r="E2552" i="1"/>
  <c r="E2551" i="1"/>
  <c r="E2550" i="1"/>
  <c r="A2549" i="1"/>
  <c r="E2549" i="1" s="1"/>
  <c r="E2548" i="1"/>
  <c r="E2547" i="1"/>
  <c r="E2546" i="1"/>
  <c r="E2545" i="1"/>
  <c r="E2544" i="1"/>
  <c r="E2543" i="1"/>
  <c r="A2543" i="1"/>
  <c r="E2542" i="1"/>
  <c r="E2541" i="1"/>
  <c r="E2540" i="1"/>
  <c r="E2539" i="1"/>
  <c r="E2538" i="1"/>
  <c r="E2537" i="1"/>
  <c r="A2537" i="1"/>
  <c r="E2536" i="1"/>
  <c r="E2535" i="1"/>
  <c r="E2534" i="1"/>
  <c r="E2533" i="1"/>
  <c r="E2532" i="1"/>
  <c r="A2531" i="1"/>
  <c r="E2531" i="1" s="1"/>
  <c r="E2530" i="1"/>
  <c r="E2529" i="1"/>
  <c r="E2528" i="1"/>
  <c r="E2527" i="1"/>
  <c r="E2526" i="1"/>
  <c r="A2525" i="1"/>
  <c r="E2525" i="1" s="1"/>
  <c r="E2524" i="1"/>
  <c r="E2523" i="1"/>
  <c r="E2522" i="1"/>
  <c r="E2521" i="1"/>
  <c r="E2520" i="1"/>
  <c r="E2519" i="1"/>
  <c r="A2519" i="1"/>
  <c r="E2518" i="1"/>
  <c r="E2517" i="1"/>
  <c r="E2516" i="1"/>
  <c r="E2515" i="1"/>
  <c r="E2514" i="1"/>
  <c r="A2513" i="1"/>
  <c r="E2513" i="1" s="1"/>
  <c r="E2512" i="1"/>
  <c r="E2511" i="1"/>
  <c r="E2510" i="1"/>
  <c r="E2509" i="1"/>
  <c r="E2508" i="1"/>
  <c r="E2507" i="1"/>
  <c r="A2507" i="1"/>
  <c r="E2506" i="1"/>
  <c r="E2505" i="1"/>
  <c r="E2504" i="1"/>
  <c r="E2503" i="1"/>
  <c r="E2502" i="1"/>
  <c r="A2501" i="1"/>
  <c r="E2501" i="1" s="1"/>
  <c r="E2500" i="1"/>
  <c r="E2499" i="1"/>
  <c r="E2498" i="1"/>
  <c r="E2497" i="1"/>
  <c r="E2496" i="1"/>
  <c r="A2495" i="1"/>
  <c r="E2495" i="1" s="1"/>
  <c r="E2494" i="1"/>
  <c r="E2493" i="1"/>
  <c r="E2492" i="1"/>
  <c r="E2491" i="1"/>
  <c r="E2490" i="1"/>
  <c r="A2489" i="1"/>
  <c r="E2489" i="1" s="1"/>
  <c r="E2488" i="1"/>
  <c r="E2487" i="1"/>
  <c r="E2486" i="1"/>
  <c r="E2485" i="1"/>
  <c r="E2484" i="1"/>
  <c r="A2483" i="1"/>
  <c r="E2483" i="1" s="1"/>
  <c r="E2482" i="1"/>
  <c r="E2481" i="1"/>
  <c r="E2480" i="1"/>
  <c r="E2479" i="1"/>
  <c r="E2478" i="1"/>
  <c r="A2477" i="1"/>
  <c r="E2477" i="1" s="1"/>
  <c r="E2476" i="1"/>
  <c r="E2475" i="1"/>
  <c r="E2474" i="1"/>
  <c r="E2473" i="1"/>
  <c r="E2472" i="1"/>
  <c r="A2471" i="1"/>
  <c r="E2471" i="1" s="1"/>
  <c r="E2470" i="1"/>
  <c r="E2469" i="1"/>
  <c r="E2468" i="1"/>
  <c r="E2467" i="1"/>
  <c r="E2466" i="1"/>
  <c r="A2465" i="1"/>
  <c r="E2465" i="1" s="1"/>
  <c r="E2464" i="1"/>
  <c r="E2463" i="1"/>
  <c r="E2462" i="1"/>
  <c r="E2461" i="1"/>
  <c r="E2460" i="1"/>
  <c r="A2459" i="1"/>
  <c r="E2459" i="1" s="1"/>
  <c r="E2458" i="1"/>
  <c r="E2457" i="1"/>
  <c r="E2456" i="1"/>
  <c r="E2455" i="1"/>
  <c r="E2454" i="1"/>
  <c r="A2453" i="1"/>
  <c r="E2453" i="1" s="1"/>
  <c r="E2452" i="1"/>
  <c r="E2451" i="1"/>
  <c r="E2450" i="1"/>
  <c r="E2449" i="1"/>
  <c r="E2448" i="1"/>
  <c r="E2447" i="1"/>
  <c r="A2447" i="1"/>
  <c r="E2446" i="1"/>
  <c r="E2445" i="1"/>
  <c r="E2444" i="1"/>
  <c r="E2443" i="1"/>
  <c r="E2442" i="1"/>
  <c r="A2441" i="1"/>
  <c r="E2441" i="1" s="1"/>
  <c r="E2440" i="1"/>
  <c r="E2439" i="1"/>
  <c r="E2438" i="1"/>
  <c r="E2437" i="1"/>
  <c r="E2436" i="1"/>
  <c r="A2435" i="1"/>
  <c r="E2435" i="1" s="1"/>
  <c r="E2434" i="1"/>
  <c r="E2433" i="1"/>
  <c r="E2432" i="1"/>
  <c r="E2431" i="1"/>
  <c r="E2430" i="1"/>
  <c r="A2429" i="1"/>
  <c r="E2429" i="1" s="1"/>
  <c r="E2428" i="1"/>
  <c r="E2427" i="1"/>
  <c r="E2426" i="1"/>
  <c r="E2425" i="1"/>
  <c r="E2424" i="1"/>
  <c r="E2423" i="1"/>
  <c r="A2423" i="1"/>
  <c r="E2422" i="1"/>
  <c r="E2421" i="1"/>
  <c r="E2420" i="1"/>
  <c r="E2419" i="1"/>
  <c r="E2418" i="1"/>
  <c r="E2417" i="1"/>
  <c r="E2416" i="1"/>
  <c r="A2416" i="1"/>
  <c r="E2415" i="1"/>
  <c r="E2414" i="1"/>
  <c r="E2413" i="1"/>
  <c r="E2412" i="1"/>
  <c r="E2411" i="1"/>
  <c r="A2410" i="1"/>
  <c r="E2410" i="1" s="1"/>
  <c r="E2409" i="1"/>
  <c r="E2408" i="1"/>
  <c r="E2407" i="1"/>
  <c r="E2406" i="1"/>
  <c r="E2405" i="1"/>
  <c r="A2404" i="1"/>
  <c r="E2404" i="1" s="1"/>
  <c r="E2403" i="1"/>
  <c r="E2402" i="1"/>
  <c r="E2401" i="1"/>
  <c r="E2400" i="1"/>
  <c r="E2399" i="1"/>
  <c r="A2398" i="1"/>
  <c r="E2398" i="1" s="1"/>
  <c r="E2397" i="1"/>
  <c r="E2396" i="1"/>
  <c r="E2395" i="1"/>
  <c r="E2394" i="1"/>
  <c r="E2393" i="1"/>
  <c r="E2392" i="1"/>
  <c r="A2391" i="1"/>
  <c r="E2391" i="1" s="1"/>
  <c r="E2390" i="1"/>
  <c r="E2389" i="1"/>
  <c r="E2388" i="1"/>
  <c r="E2387" i="1"/>
  <c r="E2386" i="1"/>
  <c r="E2385" i="1"/>
  <c r="A2385" i="1"/>
  <c r="E2384" i="1"/>
  <c r="E2383" i="1"/>
  <c r="E2382" i="1"/>
  <c r="E2381" i="1"/>
  <c r="E2380" i="1"/>
  <c r="A2379" i="1"/>
  <c r="E2379" i="1" s="1"/>
  <c r="E2378" i="1"/>
  <c r="E2377" i="1"/>
  <c r="E2376" i="1"/>
  <c r="E2375" i="1"/>
  <c r="E2374" i="1"/>
  <c r="E2373" i="1"/>
  <c r="A2372" i="1"/>
  <c r="E2372" i="1" s="1"/>
  <c r="E2371" i="1"/>
  <c r="E2370" i="1"/>
  <c r="E2369" i="1"/>
  <c r="E2368" i="1"/>
  <c r="E2367" i="1"/>
  <c r="A2366" i="1"/>
  <c r="E2366" i="1" s="1"/>
  <c r="E2365" i="1"/>
  <c r="E2364" i="1"/>
  <c r="E2363" i="1"/>
  <c r="E2362" i="1"/>
  <c r="E2361" i="1"/>
  <c r="A2360" i="1"/>
  <c r="E2360" i="1" s="1"/>
  <c r="E2359" i="1"/>
  <c r="E2358" i="1"/>
  <c r="E2357" i="1"/>
  <c r="E2356" i="1"/>
  <c r="E2355" i="1"/>
  <c r="A2354" i="1"/>
  <c r="E2354" i="1" s="1"/>
  <c r="E2353" i="1"/>
  <c r="E2352" i="1"/>
  <c r="E2351" i="1"/>
  <c r="E2350" i="1"/>
  <c r="E2349" i="1"/>
  <c r="A2348" i="1"/>
  <c r="E2348" i="1" s="1"/>
  <c r="E2347" i="1"/>
  <c r="E2346" i="1"/>
  <c r="E2345" i="1"/>
  <c r="E2344" i="1"/>
  <c r="E2343" i="1"/>
  <c r="A2342" i="1"/>
  <c r="E2342" i="1" s="1"/>
  <c r="E2341" i="1"/>
  <c r="E2340" i="1"/>
  <c r="E2339" i="1"/>
  <c r="E2338" i="1"/>
  <c r="E2337" i="1"/>
  <c r="E2336" i="1"/>
  <c r="A2335" i="1"/>
  <c r="E2335" i="1" s="1"/>
  <c r="E2334" i="1"/>
  <c r="E2333" i="1"/>
  <c r="E2332" i="1"/>
  <c r="E2331" i="1"/>
  <c r="E2330" i="1"/>
  <c r="A2329" i="1"/>
  <c r="E2329" i="1" s="1"/>
  <c r="E2328" i="1"/>
  <c r="E2327" i="1"/>
  <c r="E2326" i="1"/>
  <c r="E2325" i="1"/>
  <c r="E2324" i="1"/>
  <c r="A2323" i="1"/>
  <c r="E2323" i="1" s="1"/>
  <c r="E2322" i="1"/>
  <c r="E2321" i="1"/>
  <c r="E2320" i="1"/>
  <c r="E2319" i="1"/>
  <c r="E2318" i="1"/>
  <c r="A2317" i="1"/>
  <c r="E2317" i="1" s="1"/>
  <c r="E2316" i="1"/>
  <c r="E2315" i="1"/>
  <c r="E2314" i="1"/>
  <c r="E2313" i="1"/>
  <c r="E2312" i="1"/>
  <c r="E2311" i="1"/>
  <c r="A2310" i="1"/>
  <c r="E2310" i="1" s="1"/>
  <c r="E2309" i="1"/>
  <c r="E2308" i="1"/>
  <c r="E2307" i="1"/>
  <c r="E2306" i="1"/>
  <c r="E2305" i="1"/>
  <c r="A2304" i="1"/>
  <c r="E2304" i="1" s="1"/>
  <c r="E2303" i="1"/>
  <c r="E2302" i="1"/>
  <c r="E2301" i="1"/>
  <c r="E2300" i="1"/>
  <c r="E2299" i="1"/>
  <c r="A2298" i="1"/>
  <c r="E2298" i="1" s="1"/>
  <c r="E2297" i="1"/>
  <c r="E2296" i="1"/>
  <c r="E2295" i="1"/>
  <c r="E2294" i="1"/>
  <c r="E2293" i="1"/>
  <c r="E2292" i="1"/>
  <c r="A2291" i="1"/>
  <c r="E2291" i="1" s="1"/>
  <c r="E2290" i="1"/>
  <c r="E2289" i="1"/>
  <c r="E2288" i="1"/>
  <c r="E2287" i="1"/>
  <c r="E2286" i="1"/>
  <c r="A2285" i="1"/>
  <c r="E2285" i="1" s="1"/>
  <c r="E2284" i="1"/>
  <c r="E2283" i="1"/>
  <c r="E2282" i="1"/>
  <c r="E2281" i="1"/>
  <c r="E2280" i="1"/>
  <c r="E2279" i="1"/>
  <c r="A2278" i="1"/>
  <c r="E2278" i="1" s="1"/>
  <c r="E2277" i="1"/>
  <c r="E2276" i="1"/>
  <c r="E2275" i="1"/>
  <c r="E2274" i="1"/>
  <c r="E2273" i="1"/>
  <c r="E2272" i="1"/>
  <c r="A2271" i="1"/>
  <c r="E2271" i="1" s="1"/>
  <c r="E2270" i="1"/>
  <c r="E2269" i="1"/>
  <c r="E2268" i="1"/>
  <c r="E2267" i="1"/>
  <c r="E2266" i="1"/>
  <c r="E2265" i="1"/>
  <c r="A2264" i="1"/>
  <c r="E2264" i="1" s="1"/>
  <c r="E2263" i="1"/>
  <c r="E2262" i="1"/>
  <c r="E2261" i="1"/>
  <c r="E2260" i="1"/>
  <c r="E2259" i="1"/>
  <c r="A2258" i="1"/>
  <c r="E2258" i="1" s="1"/>
  <c r="E2257" i="1"/>
  <c r="E2256" i="1"/>
  <c r="E2255" i="1"/>
  <c r="E2254" i="1"/>
  <c r="E2253" i="1"/>
  <c r="E2252" i="1"/>
  <c r="A2251" i="1"/>
  <c r="E2251" i="1" s="1"/>
  <c r="E2250" i="1"/>
  <c r="E2249" i="1"/>
  <c r="E2248" i="1"/>
  <c r="E2247" i="1"/>
  <c r="E2246" i="1"/>
  <c r="A2245" i="1"/>
  <c r="E2245" i="1" s="1"/>
  <c r="E2244" i="1"/>
  <c r="E2243" i="1"/>
  <c r="E2242" i="1"/>
  <c r="E2241" i="1"/>
  <c r="E2240" i="1"/>
  <c r="A2239" i="1"/>
  <c r="E2239" i="1" s="1"/>
  <c r="E2238" i="1"/>
  <c r="E2237" i="1"/>
  <c r="E2236" i="1"/>
  <c r="E2235" i="1"/>
  <c r="E2234" i="1"/>
  <c r="A2233" i="1"/>
  <c r="E2233" i="1" s="1"/>
  <c r="E2232" i="1"/>
  <c r="E2231" i="1"/>
  <c r="E2230" i="1"/>
  <c r="E2229" i="1"/>
  <c r="E2228" i="1"/>
  <c r="E2227" i="1"/>
  <c r="A2226" i="1"/>
  <c r="E2226" i="1" s="1"/>
  <c r="E2225" i="1"/>
  <c r="D2225" i="1"/>
  <c r="E2224" i="1"/>
  <c r="E2223" i="1"/>
  <c r="E2222" i="1"/>
  <c r="E2221" i="1"/>
  <c r="E2220" i="1"/>
  <c r="A2219" i="1"/>
  <c r="E2219" i="1" s="1"/>
  <c r="E2218" i="1"/>
  <c r="E2217" i="1"/>
  <c r="E2216" i="1"/>
  <c r="E2215" i="1"/>
  <c r="E2214" i="1"/>
  <c r="A2213" i="1"/>
  <c r="E2213" i="1" s="1"/>
  <c r="E2212" i="1"/>
  <c r="E2211" i="1"/>
  <c r="E2210" i="1"/>
  <c r="E2209" i="1"/>
  <c r="E2208" i="1"/>
  <c r="A2207" i="1"/>
  <c r="E2207" i="1" s="1"/>
  <c r="E2206" i="1"/>
  <c r="E2205" i="1"/>
  <c r="E2204" i="1"/>
  <c r="E2203" i="1"/>
  <c r="E2202" i="1"/>
  <c r="A2201" i="1"/>
  <c r="E2201" i="1" s="1"/>
  <c r="E2200" i="1"/>
  <c r="E2199" i="1"/>
  <c r="E2198" i="1"/>
  <c r="E2197" i="1"/>
  <c r="E2196" i="1"/>
  <c r="A2195" i="1"/>
  <c r="E2195" i="1" s="1"/>
  <c r="E2194" i="1"/>
  <c r="E2193" i="1"/>
  <c r="E2192" i="1"/>
  <c r="E2191" i="1"/>
  <c r="E2190" i="1"/>
  <c r="E2189" i="1"/>
  <c r="A2188" i="1"/>
  <c r="E2188" i="1" s="1"/>
  <c r="E2187" i="1"/>
  <c r="E2186" i="1"/>
  <c r="E2185" i="1"/>
  <c r="E2184" i="1"/>
  <c r="E2183" i="1"/>
  <c r="A2182" i="1"/>
  <c r="E2182" i="1" s="1"/>
  <c r="E2181" i="1"/>
  <c r="E2180" i="1"/>
  <c r="E2179" i="1"/>
  <c r="E2178" i="1"/>
  <c r="E2177" i="1"/>
  <c r="E2176" i="1"/>
  <c r="A2175" i="1"/>
  <c r="E2175" i="1" s="1"/>
  <c r="E2174" i="1"/>
  <c r="E2173" i="1"/>
  <c r="E2172" i="1"/>
  <c r="E2171" i="1"/>
  <c r="E2170" i="1"/>
  <c r="A2169" i="1"/>
  <c r="E2169" i="1" s="1"/>
  <c r="E2168" i="1"/>
  <c r="E2167" i="1"/>
  <c r="E2166" i="1"/>
  <c r="E2165" i="1"/>
  <c r="E2164" i="1"/>
  <c r="E2163" i="1"/>
  <c r="A2162" i="1"/>
  <c r="E2162" i="1" s="1"/>
  <c r="E2161" i="1"/>
  <c r="E2160" i="1"/>
  <c r="E2159" i="1"/>
  <c r="E2158" i="1"/>
  <c r="E2157" i="1"/>
  <c r="A2156" i="1"/>
  <c r="E2156" i="1" s="1"/>
  <c r="E2155" i="1"/>
  <c r="E2154" i="1"/>
  <c r="E2153" i="1"/>
  <c r="E2152" i="1"/>
  <c r="E2151" i="1"/>
  <c r="A2150" i="1"/>
  <c r="E2150" i="1" s="1"/>
  <c r="E2149" i="1"/>
  <c r="E2148" i="1"/>
  <c r="E2147" i="1"/>
  <c r="E2146" i="1"/>
  <c r="E2145" i="1"/>
  <c r="A2144" i="1"/>
  <c r="E2144" i="1" s="1"/>
  <c r="E2143" i="1"/>
  <c r="E2142" i="1"/>
  <c r="E2141" i="1"/>
  <c r="E2140" i="1"/>
  <c r="E2139" i="1"/>
  <c r="A2138" i="1"/>
  <c r="E2138" i="1" s="1"/>
  <c r="E2137" i="1"/>
  <c r="E2136" i="1"/>
  <c r="E2135" i="1"/>
  <c r="E2134" i="1"/>
  <c r="E2133" i="1"/>
  <c r="A2132" i="1"/>
  <c r="E2132" i="1" s="1"/>
  <c r="E2131" i="1"/>
  <c r="E2130" i="1"/>
  <c r="E2129" i="1"/>
  <c r="E2128" i="1"/>
  <c r="E2127" i="1"/>
  <c r="A2126" i="1"/>
  <c r="E2126" i="1" s="1"/>
  <c r="E2125" i="1"/>
  <c r="E2124" i="1"/>
  <c r="E2123" i="1"/>
  <c r="E2122" i="1"/>
  <c r="E2121" i="1"/>
  <c r="E2120" i="1"/>
  <c r="A2120" i="1"/>
  <c r="E2119" i="1"/>
  <c r="E2118" i="1"/>
  <c r="E2117" i="1"/>
  <c r="E2116" i="1"/>
  <c r="E2115" i="1"/>
  <c r="A2114" i="1"/>
  <c r="E2114" i="1" s="1"/>
  <c r="E2113" i="1"/>
  <c r="E2112" i="1"/>
  <c r="E2111" i="1"/>
  <c r="E2110" i="1"/>
  <c r="E2109" i="1"/>
  <c r="E2108" i="1"/>
  <c r="A2107" i="1"/>
  <c r="E2107" i="1" s="1"/>
  <c r="E2106" i="1"/>
  <c r="E2105" i="1"/>
  <c r="E2104" i="1"/>
  <c r="E2103" i="1"/>
  <c r="E2102" i="1"/>
  <c r="A2101" i="1"/>
  <c r="E2101" i="1" s="1"/>
  <c r="E2100" i="1"/>
  <c r="E2099" i="1"/>
  <c r="E2098" i="1"/>
  <c r="E2097" i="1"/>
  <c r="E2096" i="1"/>
  <c r="E2095" i="1"/>
  <c r="A2094" i="1"/>
  <c r="E2094" i="1" s="1"/>
  <c r="E2093" i="1"/>
  <c r="E2092" i="1"/>
  <c r="E2091" i="1"/>
  <c r="E2090" i="1"/>
  <c r="E2089" i="1"/>
  <c r="A2088" i="1"/>
  <c r="E2088" i="1" s="1"/>
  <c r="E2087" i="1"/>
  <c r="E2086" i="1"/>
  <c r="E2085" i="1"/>
  <c r="E2084" i="1"/>
  <c r="E2083" i="1"/>
  <c r="A2082" i="1"/>
  <c r="E2082" i="1" s="1"/>
  <c r="E2081" i="1"/>
  <c r="E2080" i="1"/>
  <c r="E2079" i="1"/>
  <c r="E2078" i="1"/>
  <c r="E2077" i="1"/>
  <c r="A2076" i="1"/>
  <c r="E2076" i="1" s="1"/>
  <c r="E2075" i="1"/>
  <c r="E2074" i="1"/>
  <c r="E2073" i="1"/>
  <c r="E2072" i="1"/>
  <c r="E2071" i="1"/>
  <c r="A2070" i="1"/>
  <c r="E2070" i="1" s="1"/>
  <c r="E2069" i="1"/>
  <c r="E2068" i="1"/>
  <c r="E2067" i="1"/>
  <c r="E2066" i="1"/>
  <c r="E2065" i="1"/>
  <c r="A2064" i="1"/>
  <c r="E2064" i="1" s="1"/>
  <c r="E2063" i="1"/>
  <c r="E2062" i="1"/>
  <c r="E2061" i="1"/>
  <c r="E2060" i="1"/>
  <c r="E2059" i="1"/>
  <c r="E2058" i="1"/>
  <c r="A2057" i="1"/>
  <c r="E2057" i="1" s="1"/>
  <c r="E2056" i="1"/>
  <c r="E2055" i="1"/>
  <c r="E2054" i="1"/>
  <c r="E2053" i="1"/>
  <c r="E2052" i="1"/>
  <c r="E2051" i="1"/>
  <c r="A2050" i="1"/>
  <c r="E2050" i="1" s="1"/>
  <c r="E2049" i="1"/>
  <c r="E2048" i="1"/>
  <c r="E2047" i="1"/>
  <c r="E2046" i="1"/>
  <c r="E2045" i="1"/>
  <c r="E2044" i="1"/>
  <c r="A2044" i="1"/>
  <c r="E2043" i="1"/>
  <c r="E2042" i="1"/>
  <c r="E2041" i="1"/>
  <c r="E2040" i="1"/>
  <c r="E2039" i="1"/>
  <c r="A2038" i="1"/>
  <c r="E2038" i="1" s="1"/>
  <c r="E2037" i="1"/>
  <c r="E2036" i="1"/>
  <c r="E2035" i="1"/>
  <c r="E2034" i="1"/>
  <c r="E2033" i="1"/>
  <c r="A2032" i="1"/>
  <c r="E2032" i="1" s="1"/>
  <c r="E2031" i="1"/>
  <c r="E2030" i="1"/>
  <c r="E2029" i="1"/>
  <c r="E2028" i="1"/>
  <c r="E2027" i="1"/>
  <c r="A2026" i="1"/>
  <c r="E2026" i="1" s="1"/>
  <c r="E2025" i="1"/>
  <c r="E2024" i="1"/>
  <c r="E2023" i="1"/>
  <c r="E2022" i="1"/>
  <c r="E2021" i="1"/>
  <c r="A2020" i="1"/>
  <c r="E2020" i="1" s="1"/>
  <c r="E2019" i="1"/>
  <c r="E2018" i="1"/>
  <c r="E2017" i="1"/>
  <c r="E2016" i="1"/>
  <c r="E2015" i="1"/>
  <c r="E2014" i="1"/>
  <c r="A2014" i="1"/>
  <c r="E2013" i="1"/>
  <c r="E2012" i="1"/>
  <c r="E2011" i="1"/>
  <c r="E2010" i="1"/>
  <c r="E2009" i="1"/>
  <c r="A2008" i="1"/>
  <c r="E2008" i="1" s="1"/>
  <c r="E2007" i="1"/>
  <c r="E2006" i="1"/>
  <c r="E2005" i="1"/>
  <c r="E2004" i="1"/>
  <c r="E2003" i="1"/>
  <c r="A2002" i="1"/>
  <c r="E2002" i="1" s="1"/>
  <c r="E2001" i="1"/>
  <c r="E2000" i="1"/>
  <c r="E1999" i="1"/>
  <c r="E1998" i="1"/>
  <c r="E1997" i="1"/>
  <c r="A1996" i="1"/>
  <c r="E1996" i="1" s="1"/>
  <c r="E1995" i="1"/>
  <c r="E1994" i="1"/>
  <c r="E1993" i="1"/>
  <c r="E1992" i="1"/>
  <c r="E1991" i="1"/>
  <c r="A1990" i="1"/>
  <c r="E1990" i="1" s="1"/>
  <c r="E1989" i="1"/>
  <c r="E1988" i="1"/>
  <c r="E1987" i="1"/>
  <c r="E1986" i="1"/>
  <c r="E1985" i="1"/>
  <c r="A1984" i="1"/>
  <c r="E1984" i="1" s="1"/>
  <c r="E1983" i="1"/>
  <c r="E1982" i="1"/>
  <c r="E1981" i="1"/>
  <c r="E1980" i="1"/>
  <c r="E1979" i="1"/>
  <c r="E1978" i="1"/>
  <c r="E1977" i="1"/>
  <c r="A1977" i="1"/>
  <c r="E1976" i="1"/>
  <c r="E1975" i="1"/>
  <c r="E1974" i="1"/>
  <c r="E1973" i="1"/>
  <c r="E1972" i="1"/>
  <c r="A1971" i="1"/>
  <c r="E1971" i="1" s="1"/>
  <c r="E1970" i="1"/>
  <c r="E1969" i="1"/>
  <c r="E1968" i="1"/>
  <c r="E1967" i="1"/>
  <c r="E1966" i="1"/>
  <c r="A1965" i="1"/>
  <c r="E1965" i="1" s="1"/>
  <c r="E1964" i="1"/>
  <c r="E1963" i="1"/>
  <c r="E1962" i="1"/>
  <c r="E1961" i="1"/>
  <c r="E1960" i="1"/>
  <c r="A1959" i="1"/>
  <c r="E1959" i="1" s="1"/>
  <c r="E1958" i="1"/>
  <c r="E1957" i="1"/>
  <c r="E1956" i="1"/>
  <c r="E1955" i="1"/>
  <c r="E1954" i="1"/>
  <c r="A1953" i="1"/>
  <c r="E1953" i="1" s="1"/>
  <c r="E1952" i="1"/>
  <c r="E1951" i="1"/>
  <c r="E1950" i="1"/>
  <c r="E1949" i="1"/>
  <c r="E1948" i="1"/>
  <c r="A1947" i="1"/>
  <c r="E1947" i="1" s="1"/>
  <c r="E1946" i="1"/>
  <c r="E1945" i="1"/>
  <c r="E1944" i="1"/>
  <c r="E1943" i="1"/>
  <c r="E1942" i="1"/>
  <c r="A1941" i="1"/>
  <c r="E1941" i="1" s="1"/>
  <c r="E1940" i="1"/>
  <c r="E1939" i="1"/>
  <c r="E1938" i="1"/>
  <c r="E1937" i="1"/>
  <c r="E1936" i="1"/>
  <c r="A1935" i="1"/>
  <c r="E1935" i="1" s="1"/>
  <c r="E1934" i="1"/>
  <c r="E1933" i="1"/>
  <c r="E1932" i="1"/>
  <c r="E1931" i="1"/>
  <c r="E1930" i="1"/>
  <c r="A1929" i="1"/>
  <c r="E1929" i="1" s="1"/>
  <c r="E1928" i="1"/>
  <c r="E1927" i="1"/>
  <c r="E1926" i="1"/>
  <c r="E1925" i="1"/>
  <c r="E1924" i="1"/>
  <c r="A1923" i="1"/>
  <c r="E1923" i="1" s="1"/>
  <c r="E1922" i="1"/>
  <c r="E1921" i="1"/>
  <c r="E1920" i="1"/>
  <c r="E1919" i="1"/>
  <c r="E1918" i="1"/>
  <c r="A1917" i="1"/>
  <c r="E1917" i="1" s="1"/>
  <c r="E1916" i="1"/>
  <c r="E1915" i="1"/>
  <c r="E1914" i="1"/>
  <c r="E1913" i="1"/>
  <c r="E1912" i="1"/>
  <c r="A1911" i="1"/>
  <c r="E1911" i="1" s="1"/>
  <c r="E1910" i="1"/>
  <c r="E1909" i="1"/>
  <c r="E1908" i="1"/>
  <c r="E1907" i="1"/>
  <c r="E1906" i="1"/>
  <c r="A1905" i="1"/>
  <c r="E1905" i="1" s="1"/>
  <c r="E1904" i="1"/>
  <c r="E1903" i="1"/>
  <c r="E1902" i="1"/>
  <c r="E1901" i="1"/>
  <c r="E1900" i="1"/>
  <c r="A1899" i="1"/>
  <c r="E1899" i="1" s="1"/>
  <c r="E1898" i="1"/>
  <c r="E1897" i="1"/>
  <c r="E1896" i="1"/>
  <c r="E1895" i="1"/>
  <c r="E1894" i="1"/>
  <c r="A1893" i="1"/>
  <c r="E1893" i="1" s="1"/>
  <c r="E1892" i="1"/>
  <c r="E1891" i="1"/>
  <c r="E1890" i="1"/>
  <c r="E1889" i="1"/>
  <c r="E1888" i="1"/>
  <c r="A1887" i="1"/>
  <c r="E1887" i="1" s="1"/>
  <c r="E1886" i="1"/>
  <c r="E1885" i="1"/>
  <c r="E1884" i="1"/>
  <c r="E1883" i="1"/>
  <c r="E1882" i="1"/>
  <c r="A1881" i="1"/>
  <c r="E1881" i="1" s="1"/>
  <c r="E1880" i="1"/>
  <c r="E1879" i="1"/>
  <c r="E1878" i="1"/>
  <c r="E1877" i="1"/>
  <c r="E1876" i="1"/>
  <c r="A1875" i="1"/>
  <c r="E1875" i="1" s="1"/>
  <c r="E1874" i="1"/>
  <c r="E1873" i="1"/>
  <c r="E1872" i="1"/>
  <c r="E1871" i="1"/>
  <c r="E1870" i="1"/>
  <c r="E1869" i="1"/>
  <c r="A1869" i="1"/>
  <c r="E1868" i="1"/>
  <c r="E1867" i="1"/>
  <c r="E1866" i="1"/>
  <c r="E1865" i="1"/>
  <c r="E1864" i="1"/>
  <c r="A1863" i="1"/>
  <c r="E1863" i="1" s="1"/>
  <c r="E1862" i="1"/>
  <c r="E1861" i="1"/>
  <c r="E1860" i="1"/>
  <c r="E1859" i="1"/>
  <c r="E1858" i="1"/>
  <c r="E1857" i="1"/>
  <c r="A1856" i="1"/>
  <c r="E1856" i="1" s="1"/>
  <c r="E1855" i="1"/>
  <c r="E1854" i="1"/>
  <c r="E1853" i="1"/>
  <c r="E1852" i="1"/>
  <c r="E1851" i="1"/>
  <c r="A1850" i="1"/>
  <c r="E1850" i="1" s="1"/>
  <c r="E1849" i="1"/>
  <c r="E1848" i="1"/>
  <c r="E1847" i="1"/>
  <c r="E1846" i="1"/>
  <c r="E1845" i="1"/>
  <c r="A1844" i="1"/>
  <c r="E1844" i="1" s="1"/>
  <c r="E1843" i="1"/>
  <c r="E1842" i="1"/>
  <c r="E1841" i="1"/>
  <c r="E1840" i="1"/>
  <c r="E1839" i="1"/>
  <c r="E1838" i="1"/>
  <c r="A1838" i="1"/>
  <c r="E1837" i="1"/>
  <c r="E1836" i="1"/>
  <c r="E1835" i="1"/>
  <c r="E1834" i="1"/>
  <c r="E1833" i="1"/>
  <c r="A1832" i="1"/>
  <c r="E1832" i="1" s="1"/>
  <c r="E1831" i="1"/>
  <c r="E1830" i="1"/>
  <c r="E1829" i="1"/>
  <c r="E1828" i="1"/>
  <c r="E1827" i="1"/>
  <c r="A1826" i="1"/>
  <c r="E1826" i="1" s="1"/>
  <c r="E1825" i="1"/>
  <c r="E1824" i="1"/>
  <c r="E1823" i="1"/>
  <c r="E1822" i="1"/>
  <c r="E1821" i="1"/>
  <c r="A1820" i="1"/>
  <c r="E1820" i="1" s="1"/>
  <c r="E1819" i="1"/>
  <c r="E1818" i="1"/>
  <c r="E1817" i="1"/>
  <c r="E1816" i="1"/>
  <c r="E1815" i="1"/>
  <c r="A1814" i="1"/>
  <c r="E1814" i="1" s="1"/>
  <c r="E1813" i="1"/>
  <c r="E1812" i="1"/>
  <c r="E1811" i="1"/>
  <c r="E1810" i="1"/>
  <c r="E1809" i="1"/>
  <c r="A1808" i="1"/>
  <c r="E1808" i="1" s="1"/>
  <c r="E1807" i="1"/>
  <c r="E1806" i="1"/>
  <c r="E1805" i="1"/>
  <c r="E1804" i="1"/>
  <c r="E1803" i="1"/>
  <c r="A1802" i="1"/>
  <c r="E1802" i="1" s="1"/>
  <c r="E1801" i="1"/>
  <c r="E1800" i="1"/>
  <c r="E1799" i="1"/>
  <c r="E1798" i="1"/>
  <c r="E1797" i="1"/>
  <c r="E1796" i="1"/>
  <c r="A1795" i="1"/>
  <c r="E1795" i="1" s="1"/>
  <c r="E1794" i="1"/>
  <c r="E1793" i="1"/>
  <c r="E1792" i="1"/>
  <c r="E1791" i="1"/>
  <c r="E1790" i="1"/>
  <c r="A1789" i="1"/>
  <c r="E1789" i="1" s="1"/>
  <c r="E1788" i="1"/>
  <c r="E1787" i="1"/>
  <c r="E1786" i="1"/>
  <c r="E1785" i="1"/>
  <c r="E1784" i="1"/>
  <c r="E1783" i="1"/>
  <c r="A1783" i="1"/>
  <c r="E1782" i="1"/>
  <c r="E1781" i="1"/>
  <c r="E1780" i="1"/>
  <c r="E1779" i="1"/>
  <c r="E1778" i="1"/>
  <c r="A1777" i="1"/>
  <c r="E1777" i="1" s="1"/>
  <c r="E1776" i="1"/>
  <c r="E1775" i="1"/>
  <c r="E1774" i="1"/>
  <c r="E1773" i="1"/>
  <c r="E1772" i="1"/>
  <c r="A1771" i="1"/>
  <c r="E1771" i="1" s="1"/>
  <c r="E1770" i="1"/>
  <c r="E1769" i="1"/>
  <c r="E1768" i="1"/>
  <c r="E1767" i="1"/>
  <c r="E1766" i="1"/>
  <c r="A1765" i="1"/>
  <c r="E1765" i="1" s="1"/>
  <c r="E1764" i="1"/>
  <c r="E1763" i="1"/>
  <c r="E1762" i="1"/>
  <c r="E1761" i="1"/>
  <c r="E1760" i="1"/>
  <c r="A1759" i="1"/>
  <c r="E1759" i="1" s="1"/>
  <c r="E1758" i="1"/>
  <c r="E1757" i="1"/>
  <c r="E1756" i="1"/>
  <c r="E1755" i="1"/>
  <c r="E1754" i="1"/>
  <c r="A1753" i="1"/>
  <c r="E1753" i="1" s="1"/>
  <c r="E1752" i="1"/>
  <c r="E1751" i="1"/>
  <c r="E1750" i="1"/>
  <c r="E1749" i="1"/>
  <c r="E1748" i="1"/>
  <c r="A1747" i="1"/>
  <c r="E1747" i="1" s="1"/>
  <c r="E1746" i="1"/>
  <c r="E1745" i="1"/>
  <c r="E1744" i="1"/>
  <c r="E1743" i="1"/>
  <c r="E1742" i="1"/>
  <c r="A1741" i="1"/>
  <c r="E1741" i="1" s="1"/>
  <c r="E1740" i="1"/>
  <c r="E1739" i="1"/>
  <c r="E1738" i="1"/>
  <c r="E1737" i="1"/>
  <c r="E1736" i="1"/>
  <c r="E1735" i="1"/>
  <c r="A1735" i="1"/>
  <c r="E1734" i="1"/>
  <c r="E1733" i="1"/>
  <c r="E1732" i="1"/>
  <c r="E1731" i="1"/>
  <c r="E1730" i="1"/>
  <c r="A1729" i="1"/>
  <c r="E1729" i="1" s="1"/>
  <c r="E1728" i="1"/>
  <c r="E1727" i="1"/>
  <c r="E1726" i="1"/>
  <c r="E1725" i="1"/>
  <c r="E1724" i="1"/>
  <c r="A1723" i="1"/>
  <c r="E1723" i="1" s="1"/>
  <c r="E1722" i="1"/>
  <c r="D1722" i="1"/>
  <c r="E1721" i="1"/>
  <c r="E1720" i="1"/>
  <c r="E1719" i="1"/>
  <c r="E1718" i="1"/>
  <c r="E1717" i="1"/>
  <c r="A1716" i="1"/>
  <c r="E1716" i="1" s="1"/>
  <c r="E1715" i="1"/>
  <c r="E1714" i="1"/>
  <c r="E1713" i="1"/>
  <c r="E1712" i="1"/>
  <c r="E1711" i="1"/>
  <c r="A1710" i="1"/>
  <c r="E1710" i="1" s="1"/>
  <c r="E1709" i="1"/>
  <c r="E1708" i="1"/>
  <c r="E1707" i="1"/>
  <c r="E1706" i="1"/>
  <c r="E1705" i="1"/>
  <c r="A1704" i="1"/>
  <c r="E1704" i="1" s="1"/>
  <c r="E1703" i="1"/>
  <c r="E1702" i="1"/>
  <c r="E1701" i="1"/>
  <c r="E1700" i="1"/>
  <c r="E1699" i="1"/>
  <c r="A1698" i="1"/>
  <c r="E1698" i="1" s="1"/>
  <c r="E1697" i="1"/>
  <c r="E1696" i="1"/>
  <c r="E1695" i="1"/>
  <c r="E1694" i="1"/>
  <c r="E1693" i="1"/>
  <c r="E1692" i="1"/>
  <c r="E1691" i="1"/>
  <c r="A1691" i="1"/>
  <c r="E1690" i="1"/>
  <c r="E1689" i="1"/>
  <c r="E1688" i="1"/>
  <c r="E1687" i="1"/>
  <c r="E1686" i="1"/>
  <c r="E1685" i="1"/>
  <c r="A1684" i="1"/>
  <c r="E1684" i="1" s="1"/>
  <c r="E1683" i="1"/>
  <c r="E1682" i="1"/>
  <c r="E1681" i="1"/>
  <c r="E1680" i="1"/>
  <c r="E1679" i="1"/>
  <c r="E1678" i="1"/>
  <c r="A1677" i="1"/>
  <c r="E1677" i="1" s="1"/>
  <c r="E1676" i="1"/>
  <c r="E1675" i="1"/>
  <c r="E1674" i="1"/>
  <c r="E1673" i="1"/>
  <c r="E1672" i="1"/>
  <c r="A1671" i="1"/>
  <c r="E1671" i="1" s="1"/>
  <c r="E1670" i="1"/>
  <c r="E1669" i="1"/>
  <c r="E1668" i="1"/>
  <c r="E1667" i="1"/>
  <c r="E1666" i="1"/>
  <c r="A1665" i="1"/>
  <c r="E1665" i="1" s="1"/>
  <c r="E1664" i="1"/>
  <c r="E1663" i="1"/>
  <c r="E1662" i="1"/>
  <c r="E1661" i="1"/>
  <c r="E1660" i="1"/>
  <c r="A1659" i="1"/>
  <c r="E1659" i="1" s="1"/>
  <c r="E1658" i="1"/>
  <c r="E1657" i="1"/>
  <c r="E1656" i="1"/>
  <c r="E1655" i="1"/>
  <c r="E1654" i="1"/>
  <c r="A1653" i="1"/>
  <c r="E1653" i="1" s="1"/>
  <c r="E1652" i="1"/>
  <c r="E1651" i="1"/>
  <c r="E1650" i="1"/>
  <c r="E1649" i="1"/>
  <c r="E1648" i="1"/>
  <c r="A1647" i="1"/>
  <c r="E1647" i="1" s="1"/>
  <c r="E1646" i="1"/>
  <c r="E1645" i="1"/>
  <c r="E1644" i="1"/>
  <c r="E1643" i="1"/>
  <c r="E1642" i="1"/>
  <c r="A1641" i="1"/>
  <c r="E1641" i="1" s="1"/>
  <c r="E1640" i="1"/>
  <c r="E1639" i="1"/>
  <c r="E1638" i="1"/>
  <c r="E1637" i="1"/>
  <c r="E1636" i="1"/>
  <c r="E1635" i="1"/>
  <c r="A1634" i="1"/>
  <c r="E1634" i="1" s="1"/>
  <c r="E1633" i="1"/>
  <c r="E1632" i="1"/>
  <c r="E1631" i="1"/>
  <c r="E1630" i="1"/>
  <c r="E1629" i="1"/>
  <c r="A1628" i="1"/>
  <c r="E1628" i="1" s="1"/>
  <c r="E1627" i="1"/>
  <c r="E1626" i="1"/>
  <c r="E1625" i="1"/>
  <c r="E1624" i="1"/>
  <c r="E1623" i="1"/>
  <c r="A1622" i="1"/>
  <c r="E1622" i="1" s="1"/>
  <c r="E1621" i="1"/>
  <c r="E1620" i="1"/>
  <c r="E1619" i="1"/>
  <c r="E1618" i="1"/>
  <c r="E1617" i="1"/>
  <c r="A1616" i="1"/>
  <c r="E1616" i="1" s="1"/>
  <c r="E1615" i="1"/>
  <c r="E1614" i="1"/>
  <c r="E1613" i="1"/>
  <c r="E1612" i="1"/>
  <c r="E1611" i="1"/>
  <c r="A1610" i="1"/>
  <c r="E1610" i="1" s="1"/>
  <c r="E1609" i="1"/>
  <c r="E1608" i="1"/>
  <c r="E1607" i="1"/>
  <c r="E1606" i="1"/>
  <c r="E1605" i="1"/>
  <c r="A1604" i="1"/>
  <c r="E1604" i="1" s="1"/>
  <c r="E1603" i="1"/>
  <c r="E1602" i="1"/>
  <c r="E1601" i="1"/>
  <c r="E1600" i="1"/>
  <c r="E1599" i="1"/>
  <c r="A1598" i="1"/>
  <c r="E1598" i="1" s="1"/>
  <c r="E1597" i="1"/>
  <c r="E1596" i="1"/>
  <c r="E1595" i="1"/>
  <c r="E1594" i="1"/>
  <c r="E1593" i="1"/>
  <c r="A1592" i="1"/>
  <c r="E1592" i="1" s="1"/>
  <c r="E1591" i="1"/>
  <c r="E1590" i="1"/>
  <c r="E1589" i="1"/>
  <c r="E1588" i="1"/>
  <c r="E1587" i="1"/>
  <c r="A1586" i="1"/>
  <c r="E1586" i="1" s="1"/>
  <c r="E1585" i="1"/>
  <c r="E1584" i="1"/>
  <c r="E1583" i="1"/>
  <c r="E1582" i="1"/>
  <c r="E1581" i="1"/>
  <c r="A1580" i="1"/>
  <c r="E1580" i="1" s="1"/>
  <c r="E1579" i="1"/>
  <c r="E1578" i="1"/>
  <c r="E1577" i="1"/>
  <c r="E1576" i="1"/>
  <c r="E1575" i="1"/>
  <c r="A1574" i="1"/>
  <c r="E1574" i="1" s="1"/>
  <c r="E1573" i="1"/>
  <c r="E1572" i="1"/>
  <c r="E1571" i="1"/>
  <c r="E1570" i="1"/>
  <c r="E1569" i="1"/>
  <c r="A1568" i="1"/>
  <c r="E1568" i="1" s="1"/>
  <c r="E1567" i="1"/>
  <c r="E1566" i="1"/>
  <c r="E1565" i="1"/>
  <c r="E1564" i="1"/>
  <c r="E1563" i="1"/>
  <c r="A1562" i="1"/>
  <c r="E1562" i="1" s="1"/>
  <c r="E1561" i="1"/>
  <c r="E1560" i="1"/>
  <c r="E1559" i="1"/>
  <c r="E1558" i="1"/>
  <c r="E1557" i="1"/>
  <c r="A1556" i="1"/>
  <c r="E1556" i="1" s="1"/>
  <c r="E1555" i="1"/>
  <c r="E1554" i="1"/>
  <c r="E1553" i="1"/>
  <c r="E1552" i="1"/>
  <c r="E1551" i="1"/>
  <c r="A1550" i="1"/>
  <c r="E1550" i="1" s="1"/>
  <c r="E1549" i="1"/>
  <c r="E1548" i="1"/>
  <c r="E1547" i="1"/>
  <c r="E1546" i="1"/>
  <c r="E1545" i="1"/>
  <c r="A1544" i="1"/>
  <c r="E1544" i="1" s="1"/>
  <c r="E1543" i="1"/>
  <c r="E1542" i="1"/>
  <c r="E1541" i="1"/>
  <c r="E1540" i="1"/>
  <c r="E1539" i="1"/>
  <c r="A1538" i="1"/>
  <c r="E1538" i="1" s="1"/>
  <c r="E1537" i="1"/>
  <c r="E1536" i="1"/>
  <c r="E1535" i="1"/>
  <c r="E1534" i="1"/>
  <c r="E1533" i="1"/>
  <c r="A1532" i="1"/>
  <c r="E1532" i="1" s="1"/>
  <c r="E1531" i="1"/>
  <c r="E1530" i="1"/>
  <c r="E1529" i="1"/>
  <c r="E1528" i="1"/>
  <c r="E1527" i="1"/>
  <c r="A1526" i="1"/>
  <c r="E1526" i="1" s="1"/>
  <c r="E1525" i="1"/>
  <c r="E1524" i="1"/>
  <c r="E1523" i="1"/>
  <c r="E1522" i="1"/>
  <c r="E1521" i="1"/>
  <c r="A1520" i="1"/>
  <c r="E1520" i="1" s="1"/>
  <c r="E1519" i="1"/>
  <c r="E1518" i="1"/>
  <c r="E1517" i="1"/>
  <c r="E1516" i="1"/>
  <c r="E1515" i="1"/>
  <c r="A1514" i="1"/>
  <c r="E1514" i="1" s="1"/>
  <c r="E1513" i="1"/>
  <c r="E1512" i="1"/>
  <c r="E1511" i="1"/>
  <c r="E1510" i="1"/>
  <c r="E1509" i="1"/>
  <c r="A1508" i="1"/>
  <c r="E1508" i="1" s="1"/>
  <c r="E1507" i="1"/>
  <c r="E1506" i="1"/>
  <c r="E1505" i="1"/>
  <c r="E1504" i="1"/>
  <c r="E1503" i="1"/>
  <c r="A1502" i="1"/>
  <c r="E1502" i="1" s="1"/>
  <c r="E1501" i="1"/>
  <c r="E1500" i="1"/>
  <c r="E1499" i="1"/>
  <c r="E1498" i="1"/>
  <c r="E1497" i="1"/>
  <c r="A1496" i="1"/>
  <c r="E1496" i="1" s="1"/>
  <c r="E1495" i="1"/>
  <c r="E1494" i="1"/>
  <c r="E1493" i="1"/>
  <c r="E1492" i="1"/>
  <c r="E1491" i="1"/>
  <c r="A1490" i="1"/>
  <c r="E1490" i="1" s="1"/>
  <c r="E1489" i="1"/>
  <c r="E1488" i="1"/>
  <c r="E1487" i="1"/>
  <c r="E1486" i="1"/>
  <c r="E1485" i="1"/>
  <c r="A1484" i="1"/>
  <c r="E1484" i="1" s="1"/>
  <c r="E1483" i="1"/>
  <c r="E1482" i="1"/>
  <c r="E1481" i="1"/>
  <c r="E1480" i="1"/>
  <c r="E1479" i="1"/>
  <c r="A1478" i="1"/>
  <c r="E1478" i="1" s="1"/>
  <c r="E1477" i="1"/>
  <c r="E1476" i="1"/>
  <c r="E1475" i="1"/>
  <c r="E1474" i="1"/>
  <c r="E1473" i="1"/>
  <c r="E1472" i="1"/>
  <c r="A1471" i="1"/>
  <c r="E1471" i="1" s="1"/>
  <c r="E1470" i="1"/>
  <c r="E1469" i="1"/>
  <c r="E1468" i="1"/>
  <c r="E1467" i="1"/>
  <c r="E1466" i="1"/>
  <c r="A1465" i="1"/>
  <c r="E1465" i="1" s="1"/>
  <c r="E1464" i="1"/>
  <c r="E1463" i="1"/>
  <c r="E1462" i="1"/>
  <c r="E1461" i="1"/>
  <c r="E1460" i="1"/>
  <c r="A1459" i="1"/>
  <c r="E1459" i="1" s="1"/>
  <c r="E1458" i="1"/>
  <c r="E1457" i="1"/>
  <c r="E1456" i="1"/>
  <c r="E1455" i="1"/>
  <c r="E1454" i="1"/>
  <c r="E1453" i="1"/>
  <c r="A1452" i="1"/>
  <c r="E1452" i="1" s="1"/>
  <c r="E1451" i="1"/>
  <c r="E1450" i="1"/>
  <c r="E1449" i="1"/>
  <c r="E1448" i="1"/>
  <c r="E1447" i="1"/>
  <c r="A1446" i="1"/>
  <c r="E1446" i="1" s="1"/>
  <c r="E1445" i="1"/>
  <c r="E1444" i="1"/>
  <c r="E1443" i="1"/>
  <c r="E1442" i="1"/>
  <c r="E1441" i="1"/>
  <c r="A1440" i="1"/>
  <c r="E1440" i="1" s="1"/>
  <c r="E1439" i="1"/>
  <c r="E1438" i="1"/>
  <c r="E1437" i="1"/>
  <c r="E1436" i="1"/>
  <c r="E1435" i="1"/>
  <c r="A1434" i="1"/>
  <c r="E1434" i="1" s="1"/>
  <c r="E1433" i="1"/>
  <c r="E1432" i="1"/>
  <c r="E1431" i="1"/>
  <c r="E1430" i="1"/>
  <c r="E1429" i="1"/>
  <c r="E1428" i="1"/>
  <c r="A1428" i="1"/>
  <c r="E1427" i="1"/>
  <c r="E1426" i="1"/>
  <c r="E1425" i="1"/>
  <c r="E1424" i="1"/>
  <c r="E1423" i="1"/>
  <c r="A1422" i="1"/>
  <c r="E1422" i="1" s="1"/>
  <c r="E1421" i="1"/>
  <c r="E1420" i="1"/>
  <c r="E1419" i="1"/>
  <c r="E1418" i="1"/>
  <c r="E1417" i="1"/>
  <c r="A1416" i="1"/>
  <c r="E1416" i="1" s="1"/>
  <c r="E1415" i="1"/>
  <c r="E1414" i="1"/>
  <c r="E1413" i="1"/>
  <c r="E1412" i="1"/>
  <c r="E1411" i="1"/>
  <c r="A1410" i="1"/>
  <c r="E1410" i="1" s="1"/>
  <c r="E1409" i="1"/>
  <c r="E1408" i="1"/>
  <c r="E1407" i="1"/>
  <c r="E1406" i="1"/>
  <c r="E1405" i="1"/>
  <c r="A1404" i="1"/>
  <c r="E1404" i="1" s="1"/>
  <c r="E1403" i="1"/>
  <c r="E1402" i="1"/>
  <c r="E1401" i="1"/>
  <c r="E1400" i="1"/>
  <c r="E1399" i="1"/>
  <c r="A1398" i="1"/>
  <c r="E1398" i="1" s="1"/>
  <c r="E1397" i="1"/>
  <c r="E1396" i="1"/>
  <c r="E1395" i="1"/>
  <c r="E1394" i="1"/>
  <c r="E1393" i="1"/>
  <c r="A1392" i="1"/>
  <c r="E1392" i="1" s="1"/>
  <c r="E1391" i="1"/>
  <c r="E1390" i="1"/>
  <c r="E1389" i="1"/>
  <c r="E1388" i="1"/>
  <c r="E1387" i="1"/>
  <c r="E1386" i="1"/>
  <c r="A1385" i="1"/>
  <c r="E1385" i="1" s="1"/>
  <c r="E1384" i="1"/>
  <c r="E1383" i="1"/>
  <c r="E1382" i="1"/>
  <c r="E1381" i="1"/>
  <c r="E1380" i="1"/>
  <c r="E1379" i="1"/>
  <c r="A1378" i="1"/>
  <c r="E1378" i="1" s="1"/>
  <c r="E1377" i="1"/>
  <c r="E1376" i="1"/>
  <c r="E1375" i="1"/>
  <c r="E1374" i="1"/>
  <c r="E1373" i="1"/>
  <c r="E1372" i="1"/>
  <c r="A1371" i="1"/>
  <c r="E1371" i="1" s="1"/>
  <c r="E1370" i="1"/>
  <c r="E1369" i="1"/>
  <c r="E1368" i="1"/>
  <c r="E1367" i="1"/>
  <c r="E1366" i="1"/>
  <c r="E1365" i="1"/>
  <c r="A1364" i="1"/>
  <c r="E1364" i="1" s="1"/>
  <c r="E1363" i="1"/>
  <c r="E1362" i="1"/>
  <c r="E1361" i="1"/>
  <c r="E1360" i="1"/>
  <c r="E1359" i="1"/>
  <c r="A1358" i="1"/>
  <c r="E1358" i="1" s="1"/>
  <c r="E1357" i="1"/>
  <c r="E1356" i="1"/>
  <c r="E1355" i="1"/>
  <c r="E1354" i="1"/>
  <c r="E1353" i="1"/>
  <c r="E1352" i="1"/>
  <c r="A1351" i="1"/>
  <c r="E1351" i="1" s="1"/>
  <c r="E1350" i="1"/>
  <c r="E1349" i="1"/>
  <c r="E1348" i="1"/>
  <c r="E1347" i="1"/>
  <c r="E1346" i="1"/>
  <c r="A1345" i="1"/>
  <c r="E1345" i="1" s="1"/>
  <c r="E1344" i="1"/>
  <c r="E1343" i="1"/>
  <c r="E1342" i="1"/>
  <c r="E1341" i="1"/>
  <c r="E1340" i="1"/>
  <c r="A1339" i="1"/>
  <c r="E1339" i="1" s="1"/>
  <c r="E1338" i="1"/>
  <c r="E1337" i="1"/>
  <c r="E1336" i="1"/>
  <c r="E1335" i="1"/>
  <c r="E1334" i="1"/>
  <c r="A1333" i="1"/>
  <c r="E1333" i="1" s="1"/>
  <c r="E1332" i="1"/>
  <c r="E1331" i="1"/>
  <c r="E1330" i="1"/>
  <c r="E1329" i="1"/>
  <c r="E1328" i="1"/>
  <c r="E1327" i="1"/>
  <c r="A1327" i="1"/>
  <c r="E1326" i="1"/>
  <c r="E1325" i="1"/>
  <c r="E1324" i="1"/>
  <c r="E1323" i="1"/>
  <c r="E1322" i="1"/>
  <c r="E1321" i="1"/>
  <c r="A1320" i="1"/>
  <c r="E1320" i="1" s="1"/>
  <c r="E1319" i="1"/>
  <c r="E1318" i="1"/>
  <c r="E1317" i="1"/>
  <c r="E1316" i="1"/>
  <c r="E1315" i="1"/>
  <c r="E1314" i="1"/>
  <c r="E1313" i="1"/>
  <c r="A1313" i="1"/>
  <c r="E1312" i="1"/>
  <c r="E1311" i="1"/>
  <c r="E1310" i="1"/>
  <c r="E1309" i="1"/>
  <c r="E1308" i="1"/>
  <c r="A1307" i="1"/>
  <c r="E1307" i="1" s="1"/>
  <c r="E1306" i="1"/>
  <c r="E1305" i="1"/>
  <c r="E1304" i="1"/>
  <c r="E1303" i="1"/>
  <c r="E1302" i="1"/>
  <c r="E1301" i="1"/>
  <c r="A1300" i="1"/>
  <c r="E1300" i="1" s="1"/>
  <c r="E1299" i="1"/>
  <c r="E1298" i="1"/>
  <c r="E1297" i="1"/>
  <c r="E1296" i="1"/>
  <c r="E1295" i="1"/>
  <c r="E1294" i="1"/>
  <c r="A1293" i="1"/>
  <c r="E1293" i="1" s="1"/>
  <c r="E1292" i="1"/>
  <c r="E1291" i="1"/>
  <c r="E1290" i="1"/>
  <c r="E1289" i="1"/>
  <c r="E1288" i="1"/>
  <c r="E1287" i="1"/>
  <c r="A1286" i="1"/>
  <c r="E1286" i="1" s="1"/>
  <c r="E1285" i="1"/>
  <c r="E1284" i="1"/>
  <c r="E1283" i="1"/>
  <c r="E1282" i="1"/>
  <c r="E1281" i="1"/>
  <c r="A1280" i="1"/>
  <c r="E1280" i="1" s="1"/>
  <c r="E1279" i="1"/>
  <c r="E1278" i="1"/>
  <c r="E1277" i="1"/>
  <c r="E1276" i="1"/>
  <c r="E1275" i="1"/>
  <c r="A1274" i="1"/>
  <c r="E1274" i="1" s="1"/>
  <c r="E1273" i="1"/>
  <c r="E1272" i="1"/>
  <c r="E1271" i="1"/>
  <c r="E1270" i="1"/>
  <c r="E1269" i="1"/>
  <c r="A1268" i="1"/>
  <c r="E1268" i="1" s="1"/>
  <c r="E1267" i="1"/>
  <c r="D1267" i="1"/>
  <c r="E1266" i="1"/>
  <c r="E1265" i="1"/>
  <c r="E1264" i="1"/>
  <c r="E1263" i="1"/>
  <c r="E1262" i="1"/>
  <c r="A1261" i="1"/>
  <c r="E1261" i="1" s="1"/>
  <c r="E1260" i="1"/>
  <c r="E1259" i="1"/>
  <c r="E1258" i="1"/>
  <c r="E1257" i="1"/>
  <c r="E1256" i="1"/>
  <c r="A1255" i="1"/>
  <c r="E1255" i="1" s="1"/>
  <c r="E1254" i="1"/>
  <c r="E1253" i="1"/>
  <c r="E1252" i="1"/>
  <c r="E1251" i="1"/>
  <c r="E1250" i="1"/>
  <c r="A1249" i="1"/>
  <c r="E1249" i="1" s="1"/>
  <c r="E1248" i="1"/>
  <c r="E1247" i="1"/>
  <c r="E1246" i="1"/>
  <c r="E1245" i="1"/>
  <c r="E1244" i="1"/>
  <c r="E1243" i="1"/>
  <c r="A1242" i="1"/>
  <c r="E1242" i="1" s="1"/>
  <c r="E1241" i="1"/>
  <c r="E1240" i="1"/>
  <c r="E1239" i="1"/>
  <c r="E1238" i="1"/>
  <c r="E1237" i="1"/>
  <c r="A1236" i="1"/>
  <c r="E1236" i="1" s="1"/>
  <c r="E1235" i="1"/>
  <c r="E1234" i="1"/>
  <c r="E1233" i="1"/>
  <c r="E1232" i="1"/>
  <c r="E1231" i="1"/>
  <c r="A1230" i="1"/>
  <c r="E1230" i="1" s="1"/>
  <c r="E1229" i="1"/>
  <c r="E1228" i="1"/>
  <c r="E1227" i="1"/>
  <c r="E1226" i="1"/>
  <c r="E1225" i="1"/>
  <c r="E1224" i="1"/>
  <c r="A1223" i="1"/>
  <c r="E1223" i="1" s="1"/>
  <c r="E1222" i="1"/>
  <c r="E1221" i="1"/>
  <c r="E1220" i="1"/>
  <c r="E1219" i="1"/>
  <c r="E1218" i="1"/>
  <c r="E1217" i="1"/>
  <c r="A1217" i="1"/>
  <c r="E1216" i="1"/>
  <c r="E1215" i="1"/>
  <c r="E1214" i="1"/>
  <c r="E1213" i="1"/>
  <c r="E1212" i="1"/>
  <c r="A1211" i="1"/>
  <c r="E1211" i="1" s="1"/>
  <c r="E1210" i="1"/>
  <c r="E1209" i="1"/>
  <c r="E1208" i="1"/>
  <c r="E1207" i="1"/>
  <c r="E1206" i="1"/>
  <c r="A1205" i="1"/>
  <c r="E1205" i="1" s="1"/>
  <c r="E1204" i="1"/>
  <c r="E1203" i="1"/>
  <c r="E1202" i="1"/>
  <c r="E1201" i="1"/>
  <c r="E1200" i="1"/>
  <c r="A1199" i="1"/>
  <c r="E1199" i="1" s="1"/>
  <c r="E1198" i="1"/>
  <c r="E1197" i="1"/>
  <c r="E1196" i="1"/>
  <c r="E1195" i="1"/>
  <c r="E1194" i="1"/>
  <c r="E1193" i="1"/>
  <c r="A1192" i="1"/>
  <c r="E1192" i="1" s="1"/>
  <c r="E1191" i="1"/>
  <c r="E1190" i="1"/>
  <c r="E1189" i="1"/>
  <c r="E1188" i="1"/>
  <c r="E1187" i="1"/>
  <c r="A1186" i="1"/>
  <c r="E1186" i="1" s="1"/>
  <c r="E1185" i="1"/>
  <c r="E1184" i="1"/>
  <c r="E1183" i="1"/>
  <c r="E1182" i="1"/>
  <c r="E1181" i="1"/>
  <c r="A1180" i="1"/>
  <c r="E1180" i="1" s="1"/>
  <c r="E1179" i="1"/>
  <c r="E1178" i="1"/>
  <c r="E1177" i="1"/>
  <c r="E1176" i="1"/>
  <c r="E1175" i="1"/>
  <c r="A1174" i="1"/>
  <c r="E1174" i="1" s="1"/>
  <c r="E1173" i="1"/>
  <c r="E1172" i="1"/>
  <c r="E1171" i="1"/>
  <c r="E1170" i="1"/>
  <c r="E1169" i="1"/>
  <c r="A1168" i="1"/>
  <c r="E1168" i="1" s="1"/>
  <c r="E1167" i="1"/>
  <c r="E1166" i="1"/>
  <c r="E1165" i="1"/>
  <c r="E1164" i="1"/>
  <c r="E1163" i="1"/>
  <c r="A1162" i="1"/>
  <c r="E1162" i="1" s="1"/>
  <c r="E1161" i="1"/>
  <c r="E1160" i="1"/>
  <c r="E1159" i="1"/>
  <c r="E1158" i="1"/>
  <c r="E1157" i="1"/>
  <c r="A1156" i="1"/>
  <c r="E1156" i="1" s="1"/>
  <c r="E1155" i="1"/>
  <c r="E1154" i="1"/>
  <c r="E1153" i="1"/>
  <c r="E1152" i="1"/>
  <c r="E1151" i="1"/>
  <c r="A1150" i="1"/>
  <c r="E1150" i="1" s="1"/>
  <c r="E1149" i="1"/>
  <c r="E1148" i="1"/>
  <c r="E1147" i="1"/>
  <c r="E1146" i="1"/>
  <c r="E1145" i="1"/>
  <c r="E1144" i="1"/>
  <c r="A1143" i="1"/>
  <c r="E1143" i="1" s="1"/>
  <c r="E1142" i="1"/>
  <c r="E1141" i="1"/>
  <c r="E1140" i="1"/>
  <c r="E1139" i="1"/>
  <c r="E1138" i="1"/>
  <c r="A1137" i="1"/>
  <c r="E1137" i="1" s="1"/>
  <c r="E1136" i="1"/>
  <c r="E1135" i="1"/>
  <c r="E1134" i="1"/>
  <c r="E1133" i="1"/>
  <c r="E1132" i="1"/>
  <c r="A1131" i="1"/>
  <c r="E1131" i="1" s="1"/>
  <c r="E1130" i="1"/>
  <c r="E1129" i="1"/>
  <c r="E1128" i="1"/>
  <c r="E1127" i="1"/>
  <c r="E1126" i="1"/>
  <c r="E1125" i="1"/>
  <c r="A1124" i="1"/>
  <c r="E1124" i="1" s="1"/>
  <c r="E1123" i="1"/>
  <c r="E1122" i="1"/>
  <c r="E1121" i="1"/>
  <c r="E1120" i="1"/>
  <c r="E1119" i="1"/>
  <c r="A1118" i="1"/>
  <c r="E1118" i="1" s="1"/>
  <c r="E1117" i="1"/>
  <c r="E1116" i="1"/>
  <c r="E1115" i="1"/>
  <c r="E1114" i="1"/>
  <c r="E1113" i="1"/>
  <c r="A1112" i="1"/>
  <c r="E1112" i="1" s="1"/>
  <c r="E1111" i="1"/>
  <c r="E1110" i="1"/>
  <c r="E1109" i="1"/>
  <c r="E1108" i="1"/>
  <c r="E1107" i="1"/>
  <c r="A1106" i="1"/>
  <c r="E1106" i="1" s="1"/>
  <c r="E1105" i="1"/>
  <c r="E1104" i="1"/>
  <c r="E1103" i="1"/>
  <c r="E1102" i="1"/>
  <c r="E1101" i="1"/>
  <c r="A1100" i="1"/>
  <c r="E1100" i="1" s="1"/>
  <c r="E1099" i="1"/>
  <c r="E1098" i="1"/>
  <c r="E1097" i="1"/>
  <c r="E1096" i="1"/>
  <c r="E1095" i="1"/>
  <c r="A1094" i="1"/>
  <c r="E1094" i="1" s="1"/>
  <c r="E1093" i="1"/>
  <c r="E1092" i="1"/>
  <c r="E1091" i="1"/>
  <c r="E1090" i="1"/>
  <c r="E1089" i="1"/>
  <c r="A1088" i="1"/>
  <c r="E1088" i="1" s="1"/>
  <c r="E1087" i="1"/>
  <c r="E1086" i="1"/>
  <c r="E1085" i="1"/>
  <c r="E1084" i="1"/>
  <c r="E1083" i="1"/>
  <c r="A1082" i="1"/>
  <c r="E1082" i="1" s="1"/>
  <c r="E1081" i="1"/>
  <c r="E1080" i="1"/>
  <c r="E1079" i="1"/>
  <c r="E1078" i="1"/>
  <c r="E1077" i="1"/>
  <c r="E1076" i="1"/>
  <c r="A1075" i="1"/>
  <c r="E1075" i="1" s="1"/>
  <c r="E1074" i="1"/>
  <c r="E1073" i="1"/>
  <c r="E1072" i="1"/>
  <c r="E1071" i="1"/>
  <c r="E1070" i="1"/>
  <c r="A1069" i="1"/>
  <c r="E1069" i="1" s="1"/>
  <c r="E1068" i="1"/>
  <c r="E1067" i="1"/>
  <c r="E1066" i="1"/>
  <c r="E1065" i="1"/>
  <c r="E1064" i="1"/>
  <c r="A1063" i="1"/>
  <c r="E1063" i="1" s="1"/>
  <c r="E1062" i="1"/>
  <c r="E1061" i="1"/>
  <c r="E1060" i="1"/>
  <c r="E1059" i="1"/>
  <c r="E1058" i="1"/>
  <c r="A1057" i="1"/>
  <c r="E1057" i="1" s="1"/>
  <c r="E1056" i="1"/>
  <c r="E1055" i="1"/>
  <c r="E1054" i="1"/>
  <c r="E1053" i="1"/>
  <c r="E1052" i="1"/>
  <c r="A1051" i="1"/>
  <c r="E1051" i="1" s="1"/>
  <c r="E1050" i="1"/>
  <c r="E1049" i="1"/>
  <c r="E1048" i="1"/>
  <c r="E1047" i="1"/>
  <c r="E1046" i="1"/>
  <c r="A1045" i="1"/>
  <c r="E1045" i="1" s="1"/>
  <c r="E1044" i="1"/>
  <c r="E1043" i="1"/>
  <c r="E1042" i="1"/>
  <c r="E1041" i="1"/>
  <c r="E1040" i="1"/>
  <c r="E1039" i="1"/>
  <c r="A1038" i="1"/>
  <c r="E1038" i="1" s="1"/>
  <c r="E1037" i="1"/>
  <c r="E1036" i="1"/>
  <c r="E1035" i="1"/>
  <c r="E1034" i="1"/>
  <c r="E1033" i="1"/>
  <c r="E1032" i="1"/>
  <c r="A1031" i="1"/>
  <c r="E1031" i="1" s="1"/>
  <c r="E1030" i="1"/>
  <c r="E1029" i="1"/>
  <c r="E1028" i="1"/>
  <c r="E1027" i="1"/>
  <c r="E1026" i="1"/>
  <c r="A1025" i="1"/>
  <c r="E1025" i="1" s="1"/>
  <c r="E1024" i="1"/>
  <c r="E1023" i="1"/>
  <c r="E1022" i="1"/>
  <c r="E1021" i="1"/>
  <c r="E1020" i="1"/>
  <c r="E1019" i="1"/>
  <c r="A1018" i="1"/>
  <c r="E1018" i="1" s="1"/>
  <c r="E1017" i="1"/>
  <c r="E1016" i="1"/>
  <c r="E1015" i="1"/>
  <c r="E1014" i="1"/>
  <c r="E1013" i="1"/>
  <c r="A1012" i="1"/>
  <c r="E1012" i="1" s="1"/>
  <c r="E1011" i="1"/>
  <c r="E1010" i="1"/>
  <c r="E1009" i="1"/>
  <c r="E1008" i="1"/>
  <c r="E1007" i="1"/>
  <c r="A1006" i="1"/>
  <c r="E1006" i="1" s="1"/>
  <c r="E1005" i="1"/>
  <c r="E1004" i="1"/>
  <c r="E1003" i="1"/>
  <c r="E1002" i="1"/>
  <c r="E1001" i="1"/>
  <c r="A1000" i="1"/>
  <c r="E1000" i="1" s="1"/>
  <c r="E999" i="1"/>
  <c r="E998" i="1"/>
  <c r="E997" i="1"/>
  <c r="E996" i="1"/>
  <c r="E995" i="1"/>
  <c r="A994" i="1"/>
  <c r="E994" i="1" s="1"/>
  <c r="E993" i="1"/>
  <c r="E992" i="1"/>
  <c r="E991" i="1"/>
  <c r="E990" i="1"/>
  <c r="E989" i="1"/>
  <c r="A988" i="1"/>
  <c r="E988" i="1" s="1"/>
  <c r="E987" i="1"/>
  <c r="E986" i="1"/>
  <c r="E985" i="1"/>
  <c r="E984" i="1"/>
  <c r="E983" i="1"/>
  <c r="A982" i="1"/>
  <c r="E982" i="1" s="1"/>
  <c r="E981" i="1"/>
  <c r="E980" i="1"/>
  <c r="E979" i="1"/>
  <c r="E978" i="1"/>
  <c r="E977" i="1"/>
  <c r="A976" i="1"/>
  <c r="E976" i="1" s="1"/>
  <c r="E975" i="1"/>
  <c r="E974" i="1"/>
  <c r="E973" i="1"/>
  <c r="E972" i="1"/>
  <c r="E971" i="1"/>
  <c r="A970" i="1"/>
  <c r="E970" i="1" s="1"/>
  <c r="E969" i="1"/>
  <c r="E968" i="1"/>
  <c r="E967" i="1"/>
  <c r="E966" i="1"/>
  <c r="E965" i="1"/>
  <c r="A964" i="1"/>
  <c r="E964" i="1" s="1"/>
  <c r="E963" i="1"/>
  <c r="E962" i="1"/>
  <c r="E961" i="1"/>
  <c r="E960" i="1"/>
  <c r="E959" i="1"/>
  <c r="A958" i="1"/>
  <c r="E958" i="1" s="1"/>
  <c r="E957" i="1"/>
  <c r="E956" i="1"/>
  <c r="E955" i="1"/>
  <c r="E954" i="1"/>
  <c r="E953" i="1"/>
  <c r="E952" i="1"/>
  <c r="A951" i="1"/>
  <c r="E951" i="1" s="1"/>
  <c r="E950" i="1"/>
  <c r="E949" i="1"/>
  <c r="E948" i="1"/>
  <c r="E947" i="1"/>
  <c r="E946" i="1"/>
  <c r="A945" i="1"/>
  <c r="E945" i="1" s="1"/>
  <c r="E944" i="1"/>
  <c r="E943" i="1"/>
  <c r="E942" i="1"/>
  <c r="E941" i="1"/>
  <c r="E940" i="1"/>
  <c r="A939" i="1"/>
  <c r="E939" i="1" s="1"/>
  <c r="E938" i="1"/>
  <c r="E937" i="1"/>
  <c r="E936" i="1"/>
  <c r="E935" i="1"/>
  <c r="E934" i="1"/>
  <c r="A933" i="1"/>
  <c r="E933" i="1" s="1"/>
  <c r="E932" i="1"/>
  <c r="E931" i="1"/>
  <c r="E930" i="1"/>
  <c r="E929" i="1"/>
  <c r="E928" i="1"/>
  <c r="A927" i="1"/>
  <c r="E927" i="1" s="1"/>
  <c r="E926" i="1"/>
  <c r="E925" i="1"/>
  <c r="E924" i="1"/>
  <c r="E923" i="1"/>
  <c r="E922" i="1"/>
  <c r="E921" i="1"/>
  <c r="A920" i="1"/>
  <c r="E920" i="1" s="1"/>
  <c r="E919" i="1"/>
  <c r="E918" i="1"/>
  <c r="E917" i="1"/>
  <c r="E916" i="1"/>
  <c r="E915" i="1"/>
  <c r="A914" i="1"/>
  <c r="E914" i="1" s="1"/>
  <c r="E913" i="1"/>
  <c r="E912" i="1"/>
  <c r="E911" i="1"/>
  <c r="E910" i="1"/>
  <c r="E909" i="1"/>
  <c r="A908" i="1"/>
  <c r="E908" i="1" s="1"/>
  <c r="E907" i="1"/>
  <c r="E906" i="1"/>
  <c r="E905" i="1"/>
  <c r="E904" i="1"/>
  <c r="E903" i="1"/>
  <c r="A902" i="1"/>
  <c r="E902" i="1" s="1"/>
  <c r="E901" i="1"/>
  <c r="E900" i="1"/>
  <c r="E899" i="1"/>
  <c r="E898" i="1"/>
  <c r="E897" i="1"/>
  <c r="A896" i="1"/>
  <c r="E896" i="1" s="1"/>
  <c r="E895" i="1"/>
  <c r="E894" i="1"/>
  <c r="E893" i="1"/>
  <c r="E892" i="1"/>
  <c r="E891" i="1"/>
  <c r="A890" i="1"/>
  <c r="E890" i="1" s="1"/>
  <c r="E889" i="1"/>
  <c r="E888" i="1"/>
  <c r="E887" i="1"/>
  <c r="E886" i="1"/>
  <c r="E885" i="1"/>
  <c r="E884" i="1"/>
  <c r="A883" i="1"/>
  <c r="E883" i="1" s="1"/>
  <c r="E882" i="1"/>
  <c r="E881" i="1"/>
  <c r="E880" i="1"/>
  <c r="E879" i="1"/>
  <c r="E878" i="1"/>
  <c r="A877" i="1"/>
  <c r="E877" i="1" s="1"/>
  <c r="E876" i="1"/>
  <c r="E875" i="1"/>
  <c r="E874" i="1"/>
  <c r="E873" i="1"/>
  <c r="E872" i="1"/>
  <c r="A871" i="1"/>
  <c r="E871" i="1" s="1"/>
  <c r="E870" i="1"/>
  <c r="E869" i="1"/>
  <c r="E868" i="1"/>
  <c r="E867" i="1"/>
  <c r="E866" i="1"/>
  <c r="A865" i="1"/>
  <c r="E865" i="1" s="1"/>
  <c r="E864" i="1"/>
  <c r="E863" i="1"/>
  <c r="E862" i="1"/>
  <c r="E861" i="1"/>
  <c r="E860" i="1"/>
  <c r="A859" i="1"/>
  <c r="E859" i="1" s="1"/>
  <c r="E858" i="1"/>
  <c r="E857" i="1"/>
  <c r="E856" i="1"/>
  <c r="E855" i="1"/>
  <c r="E854" i="1"/>
  <c r="A853" i="1"/>
  <c r="E853" i="1" s="1"/>
  <c r="E852" i="1"/>
  <c r="E851" i="1"/>
  <c r="E850" i="1"/>
  <c r="E849" i="1"/>
  <c r="E848" i="1"/>
  <c r="A847" i="1"/>
  <c r="E847" i="1" s="1"/>
  <c r="E846" i="1"/>
  <c r="E845" i="1"/>
  <c r="E844" i="1"/>
  <c r="E843" i="1"/>
  <c r="E842" i="1"/>
  <c r="A841" i="1"/>
  <c r="E841" i="1" s="1"/>
  <c r="E840" i="1"/>
  <c r="E839" i="1"/>
  <c r="E838" i="1"/>
  <c r="E837" i="1"/>
  <c r="E836" i="1"/>
  <c r="A835" i="1"/>
  <c r="E835" i="1" s="1"/>
  <c r="E834" i="1"/>
  <c r="E833" i="1"/>
  <c r="E832" i="1"/>
  <c r="E831" i="1"/>
  <c r="E830" i="1"/>
  <c r="A829" i="1"/>
  <c r="E829" i="1" s="1"/>
  <c r="E828" i="1"/>
  <c r="E827" i="1"/>
  <c r="E826" i="1"/>
  <c r="E825" i="1"/>
  <c r="E824" i="1"/>
  <c r="A823" i="1"/>
  <c r="E823" i="1" s="1"/>
  <c r="E822" i="1"/>
  <c r="E821" i="1"/>
  <c r="E820" i="1"/>
  <c r="E819" i="1"/>
  <c r="E818" i="1"/>
  <c r="A817" i="1"/>
  <c r="E817" i="1" s="1"/>
  <c r="E816" i="1"/>
  <c r="E815" i="1"/>
  <c r="E814" i="1"/>
  <c r="E813" i="1"/>
  <c r="E812" i="1"/>
  <c r="A811" i="1"/>
  <c r="E811" i="1" s="1"/>
  <c r="E810" i="1"/>
  <c r="E809" i="1"/>
  <c r="E808" i="1"/>
  <c r="E807" i="1"/>
  <c r="E806" i="1"/>
  <c r="A805" i="1"/>
  <c r="E805" i="1" s="1"/>
  <c r="E804" i="1"/>
  <c r="E803" i="1"/>
  <c r="E802" i="1"/>
  <c r="E801" i="1"/>
  <c r="E800" i="1"/>
  <c r="A799" i="1"/>
  <c r="E799" i="1" s="1"/>
  <c r="E798" i="1"/>
  <c r="E797" i="1"/>
  <c r="E796" i="1"/>
  <c r="E795" i="1"/>
  <c r="E794" i="1"/>
  <c r="A793" i="1"/>
  <c r="E793" i="1" s="1"/>
  <c r="E792" i="1"/>
  <c r="E791" i="1"/>
  <c r="E790" i="1"/>
  <c r="E789" i="1"/>
  <c r="E788" i="1"/>
  <c r="A787" i="1"/>
  <c r="E787" i="1" s="1"/>
  <c r="E786" i="1"/>
  <c r="E785" i="1"/>
  <c r="E784" i="1"/>
  <c r="E783" i="1"/>
  <c r="E782" i="1"/>
  <c r="E781" i="1"/>
  <c r="A780" i="1"/>
  <c r="E780" i="1" s="1"/>
  <c r="E779" i="1"/>
  <c r="E778" i="1"/>
  <c r="E777" i="1"/>
  <c r="E776" i="1"/>
  <c r="E775" i="1"/>
  <c r="A774" i="1"/>
  <c r="E774" i="1" s="1"/>
  <c r="E773" i="1"/>
  <c r="E772" i="1"/>
  <c r="E771" i="1"/>
  <c r="E770" i="1"/>
  <c r="E769" i="1"/>
  <c r="E768" i="1"/>
  <c r="A767" i="1"/>
  <c r="E767" i="1" s="1"/>
  <c r="E766" i="1"/>
  <c r="E765" i="1"/>
  <c r="E764" i="1"/>
  <c r="E763" i="1"/>
  <c r="E762" i="1"/>
  <c r="A761" i="1"/>
  <c r="E761" i="1" s="1"/>
  <c r="E760" i="1"/>
  <c r="E759" i="1"/>
  <c r="E758" i="1"/>
  <c r="E757" i="1"/>
  <c r="E756" i="1"/>
  <c r="E755" i="1"/>
  <c r="A755" i="1"/>
  <c r="E754" i="1"/>
  <c r="E753" i="1"/>
  <c r="E752" i="1"/>
  <c r="E751" i="1"/>
  <c r="E750" i="1"/>
  <c r="E749" i="1"/>
  <c r="A748" i="1"/>
  <c r="E748" i="1" s="1"/>
  <c r="E747" i="1"/>
  <c r="E746" i="1"/>
  <c r="E745" i="1"/>
  <c r="E744" i="1"/>
  <c r="E743" i="1"/>
  <c r="A742" i="1"/>
  <c r="E742" i="1" s="1"/>
  <c r="E741" i="1"/>
  <c r="E740" i="1"/>
  <c r="E739" i="1"/>
  <c r="E738" i="1"/>
  <c r="E737" i="1"/>
  <c r="A736" i="1"/>
  <c r="E736" i="1" s="1"/>
  <c r="E735" i="1"/>
  <c r="E734" i="1"/>
  <c r="E733" i="1"/>
  <c r="E732" i="1"/>
  <c r="E731" i="1"/>
  <c r="A730" i="1"/>
  <c r="E730" i="1" s="1"/>
  <c r="E729" i="1"/>
  <c r="E728" i="1"/>
  <c r="E727" i="1"/>
  <c r="E726" i="1"/>
  <c r="E725" i="1"/>
  <c r="A724" i="1"/>
  <c r="E724" i="1" s="1"/>
  <c r="E723" i="1"/>
  <c r="E722" i="1"/>
  <c r="E721" i="1"/>
  <c r="E720" i="1"/>
  <c r="E719" i="1"/>
  <c r="A718" i="1"/>
  <c r="E718" i="1" s="1"/>
  <c r="E717" i="1"/>
  <c r="E716" i="1"/>
  <c r="E715" i="1"/>
  <c r="E714" i="1"/>
  <c r="E713" i="1"/>
  <c r="E712" i="1"/>
  <c r="A711" i="1"/>
  <c r="E711" i="1" s="1"/>
  <c r="E710" i="1"/>
  <c r="E709" i="1"/>
  <c r="E708" i="1"/>
  <c r="E707" i="1"/>
  <c r="E706" i="1"/>
  <c r="A705" i="1"/>
  <c r="E705" i="1" s="1"/>
  <c r="E704" i="1"/>
  <c r="E703" i="1"/>
  <c r="E702" i="1"/>
  <c r="E701" i="1"/>
  <c r="E700" i="1"/>
  <c r="A699" i="1"/>
  <c r="E699" i="1" s="1"/>
  <c r="E698" i="1"/>
  <c r="E697" i="1"/>
  <c r="E696" i="1"/>
  <c r="E695" i="1"/>
  <c r="E694" i="1"/>
  <c r="A693" i="1"/>
  <c r="E693" i="1" s="1"/>
  <c r="E692" i="1"/>
  <c r="E691" i="1"/>
  <c r="E690" i="1"/>
  <c r="E689" i="1"/>
  <c r="E688" i="1"/>
  <c r="A687" i="1"/>
  <c r="E687" i="1" s="1"/>
  <c r="E686" i="1"/>
  <c r="E685" i="1"/>
  <c r="E684" i="1"/>
  <c r="E683" i="1"/>
  <c r="E682" i="1"/>
  <c r="A681" i="1"/>
  <c r="E681" i="1" s="1"/>
  <c r="E680" i="1"/>
  <c r="E679" i="1"/>
  <c r="E678" i="1"/>
  <c r="E677" i="1"/>
  <c r="E676" i="1"/>
  <c r="E675" i="1"/>
  <c r="A674" i="1"/>
  <c r="E674" i="1" s="1"/>
  <c r="E673" i="1"/>
  <c r="E672" i="1"/>
  <c r="E671" i="1"/>
  <c r="E670" i="1"/>
  <c r="E669" i="1"/>
  <c r="E668" i="1"/>
  <c r="A667" i="1"/>
  <c r="E667" i="1" s="1"/>
  <c r="E666" i="1"/>
  <c r="E665" i="1"/>
  <c r="E664" i="1"/>
  <c r="E663" i="1"/>
  <c r="E662" i="1"/>
  <c r="A661" i="1"/>
  <c r="E661" i="1" s="1"/>
  <c r="E660" i="1"/>
  <c r="E659" i="1"/>
  <c r="E658" i="1"/>
  <c r="E657" i="1"/>
  <c r="E656" i="1"/>
  <c r="A655" i="1"/>
  <c r="E655" i="1" s="1"/>
  <c r="E654" i="1"/>
  <c r="E653" i="1"/>
  <c r="E652" i="1"/>
  <c r="E651" i="1"/>
  <c r="E650" i="1"/>
  <c r="A649" i="1"/>
  <c r="E649" i="1" s="1"/>
  <c r="E648" i="1"/>
  <c r="E647" i="1"/>
  <c r="E646" i="1"/>
  <c r="E645" i="1"/>
  <c r="E644" i="1"/>
  <c r="E643" i="1"/>
  <c r="A642" i="1"/>
  <c r="E642" i="1" s="1"/>
  <c r="E641" i="1"/>
  <c r="E640" i="1"/>
  <c r="E639" i="1"/>
  <c r="E638" i="1"/>
  <c r="E637" i="1"/>
  <c r="A636" i="1"/>
  <c r="E636" i="1" s="1"/>
  <c r="E635" i="1"/>
  <c r="E634" i="1"/>
  <c r="E633" i="1"/>
  <c r="E632" i="1"/>
  <c r="E631" i="1"/>
  <c r="E630" i="1"/>
  <c r="A629" i="1"/>
  <c r="E629" i="1" s="1"/>
  <c r="E628" i="1"/>
  <c r="E627" i="1"/>
  <c r="E626" i="1"/>
  <c r="E625" i="1"/>
  <c r="E624" i="1"/>
  <c r="A623" i="1"/>
  <c r="E623" i="1" s="1"/>
  <c r="E622" i="1"/>
  <c r="E621" i="1"/>
  <c r="E620" i="1"/>
  <c r="E619" i="1"/>
  <c r="E618" i="1"/>
  <c r="E617" i="1"/>
  <c r="A616" i="1"/>
  <c r="E616" i="1" s="1"/>
  <c r="E615" i="1"/>
  <c r="E614" i="1"/>
  <c r="E613" i="1"/>
  <c r="E612" i="1"/>
  <c r="E611" i="1"/>
  <c r="A610" i="1"/>
  <c r="E610" i="1" s="1"/>
  <c r="E609" i="1"/>
  <c r="E608" i="1"/>
  <c r="E607" i="1"/>
  <c r="E606" i="1"/>
  <c r="E605" i="1"/>
  <c r="E604" i="1"/>
  <c r="A603" i="1"/>
  <c r="E603" i="1" s="1"/>
  <c r="E602" i="1"/>
  <c r="E601" i="1"/>
  <c r="E600" i="1"/>
  <c r="E599" i="1"/>
  <c r="E598" i="1"/>
  <c r="A597" i="1"/>
  <c r="E597" i="1" s="1"/>
  <c r="E596" i="1"/>
  <c r="E595" i="1"/>
  <c r="E594" i="1"/>
  <c r="E593" i="1"/>
  <c r="E592" i="1"/>
  <c r="E591" i="1"/>
  <c r="A590" i="1"/>
  <c r="E590" i="1" s="1"/>
  <c r="E589" i="1"/>
  <c r="E588" i="1"/>
  <c r="E587" i="1"/>
  <c r="E586" i="1"/>
  <c r="E585" i="1"/>
  <c r="A584" i="1"/>
  <c r="E584" i="1" s="1"/>
  <c r="E583" i="1"/>
  <c r="E582" i="1"/>
  <c r="E581" i="1"/>
  <c r="E580" i="1"/>
  <c r="E579" i="1"/>
  <c r="A578" i="1"/>
  <c r="E578" i="1" s="1"/>
  <c r="E577" i="1"/>
  <c r="E576" i="1"/>
  <c r="E575" i="1"/>
  <c r="E574" i="1"/>
  <c r="E573" i="1"/>
  <c r="A572" i="1"/>
  <c r="E572" i="1" s="1"/>
  <c r="E571" i="1"/>
  <c r="E570" i="1"/>
  <c r="E569" i="1"/>
  <c r="E568" i="1"/>
  <c r="E567" i="1"/>
  <c r="A566" i="1"/>
  <c r="E566" i="1" s="1"/>
  <c r="E565" i="1"/>
  <c r="E564" i="1"/>
  <c r="E563" i="1"/>
  <c r="E562" i="1"/>
  <c r="E561" i="1"/>
  <c r="A560" i="1"/>
  <c r="E560" i="1" s="1"/>
  <c r="E559" i="1"/>
  <c r="E558" i="1"/>
  <c r="E557" i="1"/>
  <c r="E556" i="1"/>
  <c r="E555" i="1"/>
  <c r="A554" i="1"/>
  <c r="E554" i="1" s="1"/>
  <c r="E553" i="1"/>
  <c r="E552" i="1"/>
  <c r="E551" i="1"/>
  <c r="E550" i="1"/>
  <c r="E549" i="1"/>
  <c r="A548" i="1"/>
  <c r="E548" i="1" s="1"/>
  <c r="E547" i="1"/>
  <c r="E546" i="1"/>
  <c r="E545" i="1"/>
  <c r="E544" i="1"/>
  <c r="E543" i="1"/>
  <c r="E542" i="1"/>
  <c r="A541" i="1"/>
  <c r="E541" i="1" s="1"/>
  <c r="E540" i="1"/>
  <c r="E539" i="1"/>
  <c r="E538" i="1"/>
  <c r="E537" i="1"/>
  <c r="E536" i="1"/>
  <c r="E535" i="1"/>
  <c r="A534" i="1"/>
  <c r="E534" i="1" s="1"/>
  <c r="E533" i="1"/>
  <c r="E532" i="1"/>
  <c r="E531" i="1"/>
  <c r="E530" i="1"/>
  <c r="E529" i="1"/>
  <c r="E528" i="1"/>
  <c r="A527" i="1"/>
  <c r="E527" i="1" s="1"/>
  <c r="E526" i="1"/>
  <c r="E525" i="1"/>
  <c r="E524" i="1"/>
  <c r="E523" i="1"/>
  <c r="E522" i="1"/>
  <c r="A521" i="1"/>
  <c r="E521" i="1" s="1"/>
  <c r="E520" i="1"/>
  <c r="E519" i="1"/>
  <c r="E518" i="1"/>
  <c r="E517" i="1"/>
  <c r="E516" i="1"/>
  <c r="E515" i="1"/>
  <c r="A515" i="1"/>
  <c r="E514" i="1"/>
  <c r="E513" i="1"/>
  <c r="E512" i="1"/>
  <c r="E511" i="1"/>
  <c r="E510" i="1"/>
  <c r="A509" i="1"/>
  <c r="E509" i="1" s="1"/>
  <c r="E508" i="1"/>
  <c r="E507" i="1"/>
  <c r="E506" i="1"/>
  <c r="E505" i="1"/>
  <c r="E504" i="1"/>
  <c r="E503" i="1"/>
  <c r="A503" i="1"/>
  <c r="E502" i="1"/>
  <c r="E501" i="1"/>
  <c r="E500" i="1"/>
  <c r="E499" i="1"/>
  <c r="E498" i="1"/>
  <c r="A497" i="1"/>
  <c r="E497" i="1" s="1"/>
  <c r="E496" i="1"/>
  <c r="E495" i="1"/>
  <c r="E494" i="1"/>
  <c r="E493" i="1"/>
  <c r="E492" i="1"/>
  <c r="A491" i="1"/>
  <c r="E491" i="1" s="1"/>
  <c r="E490" i="1"/>
  <c r="E489" i="1"/>
  <c r="E488" i="1"/>
  <c r="E487" i="1"/>
  <c r="E486" i="1"/>
  <c r="A485" i="1"/>
  <c r="E485" i="1" s="1"/>
  <c r="E484" i="1"/>
  <c r="E483" i="1"/>
  <c r="E482" i="1"/>
  <c r="E481" i="1"/>
  <c r="E480" i="1"/>
  <c r="A479" i="1"/>
  <c r="E479" i="1" s="1"/>
  <c r="E478" i="1"/>
  <c r="E477" i="1"/>
  <c r="E476" i="1"/>
  <c r="E475" i="1"/>
  <c r="E474" i="1"/>
  <c r="A473" i="1"/>
  <c r="E473" i="1" s="1"/>
  <c r="E472" i="1"/>
  <c r="E471" i="1"/>
  <c r="E470" i="1"/>
  <c r="E469" i="1"/>
  <c r="E468" i="1"/>
  <c r="E467" i="1"/>
  <c r="A466" i="1"/>
  <c r="E466" i="1" s="1"/>
  <c r="E465" i="1"/>
  <c r="E464" i="1"/>
  <c r="E463" i="1"/>
  <c r="E462" i="1"/>
  <c r="E461" i="1"/>
  <c r="A460" i="1"/>
  <c r="E460" i="1" s="1"/>
  <c r="E459" i="1"/>
  <c r="E458" i="1"/>
  <c r="E457" i="1"/>
  <c r="E456" i="1"/>
  <c r="E455" i="1"/>
  <c r="E454" i="1"/>
  <c r="A453" i="1"/>
  <c r="E453" i="1" s="1"/>
  <c r="E452" i="1"/>
  <c r="E451" i="1"/>
  <c r="E450" i="1"/>
  <c r="E449" i="1"/>
  <c r="E448" i="1"/>
  <c r="E447" i="1"/>
  <c r="A446" i="1"/>
  <c r="E446" i="1" s="1"/>
  <c r="E445" i="1"/>
  <c r="E444" i="1"/>
  <c r="E443" i="1"/>
  <c r="E442" i="1"/>
  <c r="E441" i="1"/>
  <c r="E440" i="1"/>
  <c r="A439" i="1"/>
  <c r="E439" i="1" s="1"/>
  <c r="E438" i="1"/>
  <c r="E437" i="1"/>
  <c r="E436" i="1"/>
  <c r="E435" i="1"/>
  <c r="E434" i="1"/>
  <c r="E433" i="1"/>
  <c r="A433" i="1"/>
  <c r="E432" i="1"/>
  <c r="E431" i="1"/>
  <c r="E430" i="1"/>
  <c r="E429" i="1"/>
  <c r="E428" i="1"/>
  <c r="A427" i="1"/>
  <c r="E427" i="1" s="1"/>
  <c r="E426" i="1"/>
  <c r="E425" i="1"/>
  <c r="E424" i="1"/>
  <c r="E423" i="1"/>
  <c r="E422" i="1"/>
  <c r="A421" i="1"/>
  <c r="E421" i="1" s="1"/>
  <c r="E420" i="1"/>
  <c r="E419" i="1"/>
  <c r="E418" i="1"/>
  <c r="E417" i="1"/>
  <c r="E416" i="1"/>
  <c r="A415" i="1"/>
  <c r="E415" i="1" s="1"/>
  <c r="E414" i="1"/>
  <c r="E413" i="1"/>
  <c r="E412" i="1"/>
  <c r="E411" i="1"/>
  <c r="E410" i="1"/>
  <c r="A409" i="1"/>
  <c r="E409" i="1" s="1"/>
  <c r="E408" i="1"/>
  <c r="E407" i="1"/>
  <c r="E406" i="1"/>
  <c r="E405" i="1"/>
  <c r="E404" i="1"/>
  <c r="E403" i="1"/>
  <c r="A403" i="1"/>
  <c r="E402" i="1"/>
  <c r="E401" i="1"/>
  <c r="E400" i="1"/>
  <c r="E399" i="1"/>
  <c r="E398" i="1"/>
  <c r="A397" i="1"/>
  <c r="E397" i="1" s="1"/>
  <c r="E396" i="1"/>
  <c r="E395" i="1"/>
  <c r="E394" i="1"/>
  <c r="E393" i="1"/>
  <c r="E392" i="1"/>
  <c r="E391" i="1"/>
  <c r="A390" i="1"/>
  <c r="E390" i="1" s="1"/>
  <c r="E389" i="1"/>
  <c r="E388" i="1"/>
  <c r="E387" i="1"/>
  <c r="E386" i="1"/>
  <c r="E385" i="1"/>
  <c r="A384" i="1"/>
  <c r="E384" i="1" s="1"/>
  <c r="E383" i="1"/>
  <c r="E382" i="1"/>
  <c r="E381" i="1"/>
  <c r="E380" i="1"/>
  <c r="E379" i="1"/>
  <c r="A378" i="1"/>
  <c r="E378" i="1" s="1"/>
  <c r="E377" i="1"/>
  <c r="E376" i="1"/>
  <c r="E375" i="1"/>
  <c r="E374" i="1"/>
  <c r="E373" i="1"/>
  <c r="E372" i="1"/>
  <c r="A371" i="1"/>
  <c r="E371" i="1" s="1"/>
  <c r="E370" i="1"/>
  <c r="E369" i="1"/>
  <c r="E368" i="1"/>
  <c r="E367" i="1"/>
  <c r="E366" i="1"/>
  <c r="E365" i="1"/>
  <c r="A365" i="1"/>
  <c r="E364" i="1"/>
  <c r="E363" i="1"/>
  <c r="E362" i="1"/>
  <c r="E361" i="1"/>
  <c r="E360" i="1"/>
  <c r="E359" i="1"/>
  <c r="E358" i="1"/>
  <c r="A358" i="1"/>
  <c r="E357" i="1"/>
  <c r="E356" i="1"/>
  <c r="E355" i="1"/>
  <c r="E354" i="1"/>
  <c r="E353" i="1"/>
  <c r="E352" i="1"/>
  <c r="E351" i="1"/>
  <c r="A351" i="1"/>
  <c r="E350" i="1"/>
  <c r="E349" i="1"/>
  <c r="E348" i="1"/>
  <c r="E347" i="1"/>
  <c r="E346" i="1"/>
  <c r="E345" i="1"/>
  <c r="E344" i="1"/>
  <c r="A344" i="1"/>
  <c r="E343" i="1"/>
  <c r="E342" i="1"/>
  <c r="E341" i="1"/>
  <c r="E340" i="1"/>
  <c r="E339" i="1"/>
  <c r="E338" i="1"/>
  <c r="E337" i="1"/>
  <c r="A337" i="1"/>
  <c r="E336" i="1"/>
  <c r="E335" i="1"/>
  <c r="E334" i="1"/>
  <c r="E333" i="1"/>
  <c r="E332" i="1"/>
  <c r="E331" i="1"/>
  <c r="E330" i="1"/>
  <c r="A330" i="1"/>
  <c r="E329" i="1"/>
  <c r="E328" i="1"/>
  <c r="E327" i="1"/>
  <c r="E326" i="1"/>
  <c r="E325" i="1"/>
  <c r="E324" i="1"/>
  <c r="E323" i="1"/>
  <c r="A323" i="1"/>
  <c r="E322" i="1"/>
  <c r="E321" i="1"/>
  <c r="E320" i="1"/>
  <c r="E319" i="1"/>
  <c r="E318" i="1"/>
  <c r="E317" i="1"/>
  <c r="E316" i="1"/>
  <c r="A316" i="1"/>
  <c r="E315" i="1"/>
  <c r="E314" i="1"/>
  <c r="E313" i="1"/>
  <c r="E312" i="1"/>
  <c r="E311" i="1"/>
  <c r="E310" i="1"/>
  <c r="E309" i="1"/>
  <c r="A309" i="1"/>
  <c r="E308" i="1"/>
  <c r="E307" i="1"/>
  <c r="E306" i="1"/>
  <c r="E305" i="1"/>
  <c r="E304" i="1"/>
  <c r="E303" i="1"/>
  <c r="E302" i="1"/>
  <c r="A302" i="1"/>
  <c r="E301" i="1"/>
  <c r="E300" i="1"/>
  <c r="E299" i="1"/>
  <c r="E298" i="1"/>
  <c r="E297" i="1"/>
  <c r="E296" i="1"/>
  <c r="E295" i="1"/>
  <c r="A295" i="1"/>
  <c r="E294" i="1"/>
  <c r="E293" i="1"/>
  <c r="E292" i="1"/>
  <c r="E291" i="1"/>
  <c r="E290" i="1"/>
  <c r="E289" i="1"/>
  <c r="E288" i="1"/>
  <c r="A288" i="1"/>
  <c r="E287" i="1"/>
  <c r="E286" i="1"/>
  <c r="E285" i="1"/>
  <c r="E284" i="1"/>
  <c r="E283" i="1"/>
  <c r="E282" i="1"/>
  <c r="E281" i="1"/>
  <c r="A281" i="1"/>
  <c r="E280" i="1"/>
  <c r="E279" i="1"/>
  <c r="E278" i="1"/>
  <c r="E277" i="1"/>
  <c r="E276" i="1"/>
  <c r="E275" i="1"/>
  <c r="E274" i="1"/>
  <c r="A274" i="1"/>
  <c r="E273" i="1"/>
  <c r="D273" i="1"/>
  <c r="E272" i="1"/>
  <c r="E271" i="1"/>
  <c r="E270" i="1"/>
  <c r="E269" i="1"/>
  <c r="E268" i="1"/>
  <c r="A267" i="1"/>
  <c r="E267" i="1" s="1"/>
  <c r="E266" i="1"/>
  <c r="E265" i="1"/>
  <c r="E264" i="1"/>
  <c r="E263" i="1"/>
  <c r="E262" i="1"/>
  <c r="E261" i="1"/>
  <c r="A260" i="1"/>
  <c r="E260" i="1" s="1"/>
  <c r="E259" i="1"/>
  <c r="E258" i="1"/>
  <c r="E257" i="1"/>
  <c r="E256" i="1"/>
  <c r="E255" i="1"/>
  <c r="E254" i="1"/>
  <c r="A253" i="1"/>
  <c r="E253" i="1" s="1"/>
  <c r="E252" i="1"/>
  <c r="E251" i="1"/>
  <c r="E250" i="1"/>
  <c r="E249" i="1"/>
  <c r="E248" i="1"/>
  <c r="E247" i="1"/>
  <c r="A246" i="1"/>
  <c r="E246" i="1" s="1"/>
  <c r="E245" i="1"/>
  <c r="E244" i="1"/>
  <c r="E243" i="1"/>
  <c r="E242" i="1"/>
  <c r="E241" i="1"/>
  <c r="E240" i="1"/>
  <c r="A239" i="1"/>
  <c r="E239" i="1" s="1"/>
  <c r="E238" i="1"/>
  <c r="E237" i="1"/>
  <c r="E236" i="1"/>
  <c r="E235" i="1"/>
  <c r="E234" i="1"/>
  <c r="E233" i="1"/>
  <c r="A232" i="1"/>
  <c r="E232" i="1" s="1"/>
  <c r="E231" i="1"/>
  <c r="D231" i="1"/>
  <c r="E230" i="1"/>
  <c r="E229" i="1"/>
  <c r="E228" i="1"/>
  <c r="E227" i="1"/>
  <c r="E226" i="1"/>
  <c r="A225" i="1"/>
  <c r="E225" i="1" s="1"/>
  <c r="E224" i="1"/>
  <c r="D224" i="1"/>
  <c r="E223" i="1"/>
  <c r="E222" i="1"/>
  <c r="E221" i="1"/>
  <c r="E220" i="1"/>
  <c r="E219" i="1"/>
  <c r="A218" i="1"/>
  <c r="E218" i="1" s="1"/>
  <c r="E217" i="1"/>
  <c r="E216" i="1"/>
  <c r="E215" i="1"/>
  <c r="E214" i="1"/>
  <c r="E213" i="1"/>
  <c r="E212" i="1"/>
  <c r="A211" i="1"/>
  <c r="E211" i="1" s="1"/>
  <c r="E210" i="1"/>
  <c r="E209" i="1"/>
  <c r="E208" i="1"/>
  <c r="E207" i="1"/>
  <c r="E206" i="1"/>
  <c r="E205" i="1"/>
  <c r="A204" i="1"/>
  <c r="E204" i="1" s="1"/>
  <c r="E203" i="1"/>
  <c r="E202" i="1"/>
  <c r="E201" i="1"/>
  <c r="E200" i="1"/>
  <c r="E199" i="1"/>
  <c r="E198" i="1"/>
  <c r="A197" i="1"/>
  <c r="E197" i="1" s="1"/>
  <c r="E196" i="1"/>
  <c r="E195" i="1"/>
  <c r="E194" i="1"/>
  <c r="E193" i="1"/>
  <c r="E192" i="1"/>
  <c r="E191" i="1"/>
  <c r="A190" i="1"/>
  <c r="E190" i="1" s="1"/>
  <c r="E189" i="1"/>
  <c r="D189" i="1"/>
  <c r="E188" i="1"/>
  <c r="E187" i="1"/>
  <c r="E186" i="1"/>
  <c r="E185" i="1"/>
  <c r="E184" i="1"/>
  <c r="A183" i="1"/>
  <c r="E183" i="1" s="1"/>
  <c r="E182" i="1"/>
  <c r="E181" i="1"/>
  <c r="E180" i="1"/>
  <c r="E179" i="1"/>
  <c r="E178" i="1"/>
  <c r="E177" i="1"/>
  <c r="E176" i="1"/>
  <c r="A176" i="1"/>
  <c r="E175" i="1"/>
  <c r="D175" i="1"/>
  <c r="E174" i="1"/>
  <c r="E173" i="1"/>
  <c r="E172" i="1"/>
  <c r="E171" i="1"/>
  <c r="E170" i="1"/>
  <c r="A169" i="1"/>
  <c r="E169" i="1" s="1"/>
  <c r="E168" i="1"/>
  <c r="D168" i="1"/>
  <c r="E167" i="1"/>
  <c r="E166" i="1"/>
  <c r="E165" i="1"/>
  <c r="E164" i="1"/>
  <c r="E163" i="1"/>
  <c r="A162" i="1"/>
  <c r="E162" i="1" s="1"/>
  <c r="E161" i="1"/>
  <c r="E160" i="1"/>
  <c r="E159" i="1"/>
  <c r="E158" i="1"/>
  <c r="E157" i="1"/>
  <c r="E156" i="1"/>
  <c r="A155" i="1"/>
  <c r="E155" i="1" s="1"/>
  <c r="E154" i="1"/>
  <c r="E153" i="1"/>
  <c r="E152" i="1"/>
  <c r="E151" i="1"/>
  <c r="E150" i="1"/>
  <c r="E149" i="1"/>
  <c r="A148" i="1"/>
  <c r="E148" i="1" s="1"/>
  <c r="E147" i="1"/>
  <c r="E146" i="1"/>
  <c r="E145" i="1"/>
  <c r="E144" i="1"/>
  <c r="E143" i="1"/>
  <c r="E142" i="1"/>
  <c r="A141" i="1"/>
  <c r="E141" i="1" s="1"/>
  <c r="E140" i="1"/>
  <c r="E139" i="1"/>
  <c r="E138" i="1"/>
  <c r="E137" i="1"/>
  <c r="E136" i="1"/>
  <c r="E135" i="1"/>
  <c r="A134" i="1"/>
  <c r="E134" i="1" s="1"/>
  <c r="E133" i="1"/>
  <c r="E132" i="1"/>
  <c r="E131" i="1"/>
  <c r="E130" i="1"/>
  <c r="E129" i="1"/>
  <c r="E128" i="1"/>
  <c r="A127" i="1"/>
  <c r="E127" i="1" s="1"/>
  <c r="E126" i="1"/>
  <c r="E125" i="1"/>
  <c r="E124" i="1"/>
  <c r="E123" i="1"/>
  <c r="E122" i="1"/>
  <c r="E121" i="1"/>
  <c r="A120" i="1"/>
  <c r="E120" i="1" s="1"/>
  <c r="E119" i="1"/>
  <c r="E118" i="1"/>
  <c r="E117" i="1"/>
  <c r="E116" i="1"/>
  <c r="E115" i="1"/>
  <c r="E114" i="1"/>
  <c r="A113" i="1"/>
  <c r="E113" i="1" s="1"/>
  <c r="E112" i="1"/>
  <c r="E111" i="1"/>
  <c r="E110" i="1"/>
  <c r="E109" i="1"/>
  <c r="E108" i="1"/>
  <c r="E107" i="1"/>
  <c r="A106" i="1"/>
  <c r="E106" i="1" s="1"/>
  <c r="E105" i="1"/>
  <c r="E104" i="1"/>
  <c r="E103" i="1"/>
  <c r="E102" i="1"/>
  <c r="E101" i="1"/>
  <c r="E100" i="1"/>
  <c r="A99" i="1"/>
  <c r="E99" i="1" s="1"/>
  <c r="E98" i="1"/>
  <c r="E97" i="1"/>
  <c r="E96" i="1"/>
  <c r="E95" i="1"/>
  <c r="E94" i="1"/>
  <c r="E93" i="1"/>
  <c r="A92" i="1"/>
  <c r="E92" i="1" s="1"/>
  <c r="E91" i="1"/>
  <c r="E90" i="1"/>
  <c r="E89" i="1"/>
  <c r="E88" i="1"/>
  <c r="E87" i="1"/>
  <c r="E86" i="1"/>
  <c r="A85" i="1"/>
  <c r="E85" i="1" s="1"/>
  <c r="E84" i="1"/>
  <c r="E83" i="1"/>
  <c r="E82" i="1"/>
  <c r="E81" i="1"/>
  <c r="E80" i="1"/>
  <c r="E79" i="1"/>
  <c r="A78" i="1"/>
  <c r="E78" i="1" s="1"/>
  <c r="E77" i="1"/>
  <c r="E76" i="1"/>
  <c r="E75" i="1"/>
  <c r="E74" i="1"/>
  <c r="E73" i="1"/>
  <c r="E72" i="1"/>
  <c r="A71" i="1"/>
  <c r="E71" i="1" s="1"/>
  <c r="E70" i="1"/>
  <c r="E69" i="1"/>
  <c r="E68" i="1"/>
  <c r="E67" i="1"/>
  <c r="E66" i="1"/>
  <c r="E65" i="1"/>
  <c r="A64" i="1"/>
  <c r="E64" i="1" s="1"/>
  <c r="E63" i="1"/>
  <c r="E62" i="1"/>
  <c r="E61" i="1"/>
  <c r="E60" i="1"/>
  <c r="E59" i="1"/>
  <c r="E58" i="1"/>
  <c r="A57" i="1"/>
  <c r="E57" i="1" s="1"/>
  <c r="E56" i="1"/>
  <c r="E55" i="1"/>
  <c r="E54" i="1"/>
  <c r="E53" i="1"/>
  <c r="E52" i="1"/>
  <c r="E51" i="1"/>
  <c r="A50" i="1"/>
  <c r="E50" i="1" s="1"/>
  <c r="E49" i="1"/>
  <c r="E48" i="1"/>
  <c r="E47" i="1"/>
  <c r="E46" i="1"/>
  <c r="E45" i="1"/>
  <c r="E44" i="1"/>
  <c r="A43" i="1"/>
  <c r="E43" i="1" s="1"/>
  <c r="E42" i="1"/>
  <c r="E41" i="1"/>
  <c r="E40" i="1"/>
  <c r="E39" i="1"/>
  <c r="E38" i="1"/>
  <c r="E37" i="1"/>
  <c r="A36" i="1"/>
  <c r="E36" i="1" s="1"/>
  <c r="E35" i="1"/>
  <c r="E34" i="1"/>
  <c r="E33" i="1"/>
  <c r="E32" i="1"/>
  <c r="E31" i="1"/>
  <c r="E30" i="1"/>
  <c r="A29" i="1"/>
  <c r="E29" i="1" s="1"/>
  <c r="E28" i="1"/>
  <c r="E27" i="1"/>
  <c r="E26" i="1"/>
  <c r="E25" i="1"/>
  <c r="E24" i="1"/>
  <c r="E23" i="1"/>
  <c r="A22" i="1"/>
  <c r="E22" i="1" s="1"/>
  <c r="E21" i="1"/>
  <c r="E20" i="1"/>
  <c r="E19" i="1"/>
  <c r="E18" i="1"/>
  <c r="E17" i="1"/>
  <c r="E16" i="1"/>
  <c r="A15" i="1"/>
  <c r="E15" i="1" s="1"/>
  <c r="E14" i="1"/>
  <c r="E13" i="1"/>
  <c r="E12" i="1"/>
  <c r="E11" i="1"/>
  <c r="E10" i="1"/>
  <c r="E9" i="1"/>
  <c r="A8" i="1"/>
  <c r="E8" i="1" s="1"/>
  <c r="E7" i="1"/>
  <c r="E6" i="1"/>
  <c r="E5" i="1"/>
  <c r="E4" i="1"/>
  <c r="E3" i="1"/>
  <c r="E2" i="1"/>
  <c r="A1" i="1"/>
  <c r="E1" i="1" s="1"/>
</calcChain>
</file>

<file path=xl/sharedStrings.xml><?xml version="1.0" encoding="utf-8"?>
<sst xmlns="http://schemas.openxmlformats.org/spreadsheetml/2006/main" count="105987" uniqueCount="6901">
  <si>
    <t>Szint</t>
  </si>
  <si>
    <t>1</t>
  </si>
  <si>
    <t>Típus</t>
  </si>
  <si>
    <t>Távolsági</t>
  </si>
  <si>
    <t>Sebzés</t>
  </si>
  <si>
    <t>7</t>
  </si>
  <si>
    <t>Szórás</t>
  </si>
  <si>
    <t>4</t>
  </si>
  <si>
    <t>Átlag</t>
  </si>
  <si>
    <t>Súly</t>
  </si>
  <si>
    <t>0,3 kg</t>
  </si>
  <si>
    <t>Ár</t>
  </si>
  <si>
    <t>14 ezüst</t>
  </si>
  <si>
    <t>Mágikus</t>
  </si>
  <si>
    <t>NEM</t>
  </si>
  <si>
    <t>Vámpirizál</t>
  </si>
  <si>
    <t>Speciális</t>
  </si>
  <si>
    <t>Kapható</t>
  </si>
  <si>
    <t>Komponensek</t>
  </si>
  <si>
    <t>N/A</t>
  </si>
  <si>
    <t>7000</t>
  </si>
  <si>
    <t>0</t>
  </si>
  <si>
    <t>0,1 kg</t>
  </si>
  <si>
    <t>0 ezüst</t>
  </si>
  <si>
    <t>IGEN</t>
  </si>
  <si>
    <t>2</t>
  </si>
  <si>
    <t>6</t>
  </si>
  <si>
    <t>0,5 kg</t>
  </si>
  <si>
    <t>46 ezüst</t>
  </si>
  <si>
    <t>3</t>
  </si>
  <si>
    <t>0,7 kg</t>
  </si>
  <si>
    <t>40 ezüst</t>
  </si>
  <si>
    <t>23</t>
  </si>
  <si>
    <t>13</t>
  </si>
  <si>
    <t>82 ezüst</t>
  </si>
  <si>
    <t>28</t>
  </si>
  <si>
    <t>1,5 kg</t>
  </si>
  <si>
    <t>180 ezüst</t>
  </si>
  <si>
    <t>29</t>
  </si>
  <si>
    <t>150 ezüst</t>
  </si>
  <si>
    <t>8</t>
  </si>
  <si>
    <t>33</t>
  </si>
  <si>
    <t>1 kg</t>
  </si>
  <si>
    <t>2100 ezüst</t>
  </si>
  <si>
    <t>1 db </t>
  </si>
  <si>
    <t>210 db </t>
  </si>
  <si>
    <t>11</t>
  </si>
  <si>
    <t>54</t>
  </si>
  <si>
    <t>10</t>
  </si>
  <si>
    <t>3,5 kg</t>
  </si>
  <si>
    <t>364 ezüst</t>
  </si>
  <si>
    <t>12</t>
  </si>
  <si>
    <t>46</t>
  </si>
  <si>
    <t>0,2 kg</t>
  </si>
  <si>
    <t>400 ezüst</t>
  </si>
  <si>
    <t>4 db </t>
  </si>
  <si>
    <t>2 db </t>
  </si>
  <si>
    <t>3 db </t>
  </si>
  <si>
    <t>59</t>
  </si>
  <si>
    <t>470 ezüst</t>
  </si>
  <si>
    <t>62</t>
  </si>
  <si>
    <t>3,2 kg</t>
  </si>
  <si>
    <t>476 ezüst</t>
  </si>
  <si>
    <t>250 db </t>
  </si>
  <si>
    <t>15</t>
  </si>
  <si>
    <t>80</t>
  </si>
  <si>
    <t>976 ezüst</t>
  </si>
  <si>
    <t>10 db </t>
  </si>
  <si>
    <t>8 db </t>
  </si>
  <si>
    <t>77</t>
  </si>
  <si>
    <t>1,1 kg</t>
  </si>
  <si>
    <t>980 ezüst</t>
  </si>
  <si>
    <t>16</t>
  </si>
  <si>
    <t>88</t>
  </si>
  <si>
    <t>14</t>
  </si>
  <si>
    <t>4 kg</t>
  </si>
  <si>
    <t>1160 ezüst</t>
  </si>
  <si>
    <t>5 db </t>
  </si>
  <si>
    <t>87</t>
  </si>
  <si>
    <t>0,9 kg</t>
  </si>
  <si>
    <t>1178 ezüst</t>
  </si>
  <si>
    <t>255 db </t>
  </si>
  <si>
    <t>17</t>
  </si>
  <si>
    <t>96</t>
  </si>
  <si>
    <t>0,6 kg</t>
  </si>
  <si>
    <t>1268 ezüst</t>
  </si>
  <si>
    <t>18</t>
  </si>
  <si>
    <t>115</t>
  </si>
  <si>
    <t>24</t>
  </si>
  <si>
    <t>30000 ezüst</t>
  </si>
  <si>
    <t>19</t>
  </si>
  <si>
    <t>118</t>
  </si>
  <si>
    <t>20</t>
  </si>
  <si>
    <t>0,8 kg</t>
  </si>
  <si>
    <t>2420 ezüst</t>
  </si>
  <si>
    <t>123</t>
  </si>
  <si>
    <t>3,7 kg</t>
  </si>
  <si>
    <t>1820 ezüst</t>
  </si>
  <si>
    <t>15 db </t>
  </si>
  <si>
    <t>120</t>
  </si>
  <si>
    <t>21</t>
  </si>
  <si>
    <t>2540 ezüst</t>
  </si>
  <si>
    <t>13 db </t>
  </si>
  <si>
    <t>132</t>
  </si>
  <si>
    <t>0,55 kg</t>
  </si>
  <si>
    <t>2980 ezüst</t>
  </si>
  <si>
    <t>300 db </t>
  </si>
  <si>
    <t>40</t>
  </si>
  <si>
    <t>70000 ezüst</t>
  </si>
  <si>
    <t>160 db </t>
  </si>
  <si>
    <t>130</t>
  </si>
  <si>
    <t>7000 ezüst</t>
  </si>
  <si>
    <t>133</t>
  </si>
  <si>
    <t>2,6 kg</t>
  </si>
  <si>
    <t>7560 ezüst</t>
  </si>
  <si>
    <t>50</t>
  </si>
  <si>
    <t>80000 ezüst</t>
  </si>
  <si>
    <t>12 db </t>
  </si>
  <si>
    <t>22</t>
  </si>
  <si>
    <t>136</t>
  </si>
  <si>
    <t>4642 ezüst</t>
  </si>
  <si>
    <t>350 db </t>
  </si>
  <si>
    <t>Ütő/Zúzó</t>
  </si>
  <si>
    <t>5</t>
  </si>
  <si>
    <t>2 kg</t>
  </si>
  <si>
    <t>6 ezüst</t>
  </si>
  <si>
    <t>2,4 kg</t>
  </si>
  <si>
    <t>55</t>
  </si>
  <si>
    <t>9</t>
  </si>
  <si>
    <t>3 kg</t>
  </si>
  <si>
    <t>100 db </t>
  </si>
  <si>
    <t>5 kg</t>
  </si>
  <si>
    <t>14 db </t>
  </si>
  <si>
    <t>26 ezüst</t>
  </si>
  <si>
    <t>60</t>
  </si>
  <si>
    <t>2,2 kg</t>
  </si>
  <si>
    <t>32 ezüst</t>
  </si>
  <si>
    <t>0,4 kg</t>
  </si>
  <si>
    <t>90000 ezüst</t>
  </si>
  <si>
    <t>20 db </t>
  </si>
  <si>
    <t>5,5 kg</t>
  </si>
  <si>
    <t>76 ezüst</t>
  </si>
  <si>
    <t>7 db </t>
  </si>
  <si>
    <t>147</t>
  </si>
  <si>
    <t>8,5 kg</t>
  </si>
  <si>
    <t>6400 ezüst</t>
  </si>
  <si>
    <t>161</t>
  </si>
  <si>
    <t>1,3 kg</t>
  </si>
  <si>
    <t>6900 ezüst</t>
  </si>
  <si>
    <t>340 db </t>
  </si>
  <si>
    <t>185 db </t>
  </si>
  <si>
    <t>70</t>
  </si>
  <si>
    <t>100000 ezüst</t>
  </si>
  <si>
    <t>27</t>
  </si>
  <si>
    <t>90 ezüst</t>
  </si>
  <si>
    <t>25</t>
  </si>
  <si>
    <t>110000 ezüst</t>
  </si>
  <si>
    <t>32</t>
  </si>
  <si>
    <t>120 ezüst</t>
  </si>
  <si>
    <t>26</t>
  </si>
  <si>
    <t>54 ezüst</t>
  </si>
  <si>
    <t>90</t>
  </si>
  <si>
    <t>120000 ezüst</t>
  </si>
  <si>
    <t>40 db </t>
  </si>
  <si>
    <t>4,2 kg</t>
  </si>
  <si>
    <t>68 ezüst</t>
  </si>
  <si>
    <t>211</t>
  </si>
  <si>
    <t>63</t>
  </si>
  <si>
    <t>12000 ezüst</t>
  </si>
  <si>
    <t>2,9 kg</t>
  </si>
  <si>
    <t>4000 ezüst</t>
  </si>
  <si>
    <t>191</t>
  </si>
  <si>
    <t>1,2 kg</t>
  </si>
  <si>
    <t>1180 ezüst</t>
  </si>
  <si>
    <t>108 ezüst</t>
  </si>
  <si>
    <t>200</t>
  </si>
  <si>
    <t>6,3 kg</t>
  </si>
  <si>
    <t>15000 ezüst</t>
  </si>
  <si>
    <t>42</t>
  </si>
  <si>
    <t>6 kg</t>
  </si>
  <si>
    <t>194 ezüst</t>
  </si>
  <si>
    <t>100</t>
  </si>
  <si>
    <t>130000 ezüst</t>
  </si>
  <si>
    <t>190 ezüst</t>
  </si>
  <si>
    <t>70 db </t>
  </si>
  <si>
    <t>209</t>
  </si>
  <si>
    <t>18000 ezüst</t>
  </si>
  <si>
    <t>39</t>
  </si>
  <si>
    <t>170 db </t>
  </si>
  <si>
    <t>324 ezüst</t>
  </si>
  <si>
    <t>110</t>
  </si>
  <si>
    <t>140000 ezüst</t>
  </si>
  <si>
    <t>49</t>
  </si>
  <si>
    <t>30 db </t>
  </si>
  <si>
    <t>5,4 kg</t>
  </si>
  <si>
    <t>162 ezüst</t>
  </si>
  <si>
    <t>9 db </t>
  </si>
  <si>
    <t>220</t>
  </si>
  <si>
    <t>8 kg</t>
  </si>
  <si>
    <t>19200 ezüst</t>
  </si>
  <si>
    <t>2,5 kg</t>
  </si>
  <si>
    <t>250 ezüst</t>
  </si>
  <si>
    <t>1600 db </t>
  </si>
  <si>
    <t>150000 ezüst</t>
  </si>
  <si>
    <t>56</t>
  </si>
  <si>
    <t>360 ezüst</t>
  </si>
  <si>
    <t>30</t>
  </si>
  <si>
    <t>228</t>
  </si>
  <si>
    <t>7,7 kg</t>
  </si>
  <si>
    <t>22000 ezüst</t>
  </si>
  <si>
    <t>1,4 kg</t>
  </si>
  <si>
    <t>322 ezüst</t>
  </si>
  <si>
    <t>90 db </t>
  </si>
  <si>
    <t>58</t>
  </si>
  <si>
    <t>238 ezüst</t>
  </si>
  <si>
    <t>160000 ezüst</t>
  </si>
  <si>
    <t>52</t>
  </si>
  <si>
    <t>3,6 kg</t>
  </si>
  <si>
    <t>598 ezüst</t>
  </si>
  <si>
    <t>71</t>
  </si>
  <si>
    <t>330 ezüst</t>
  </si>
  <si>
    <t>31</t>
  </si>
  <si>
    <t>249</t>
  </si>
  <si>
    <t>65</t>
  </si>
  <si>
    <t>6,2 kg</t>
  </si>
  <si>
    <t>450 ezüst</t>
  </si>
  <si>
    <t>8,3 kg</t>
  </si>
  <si>
    <t>25000 ezüst</t>
  </si>
  <si>
    <t>17 db </t>
  </si>
  <si>
    <t>66</t>
  </si>
  <si>
    <t>140</t>
  </si>
  <si>
    <t>650 ezüst</t>
  </si>
  <si>
    <t>6 db </t>
  </si>
  <si>
    <t>2,7 kg</t>
  </si>
  <si>
    <t>796 ezüst</t>
  </si>
  <si>
    <t>263</t>
  </si>
  <si>
    <t>11 kg</t>
  </si>
  <si>
    <t>135 db </t>
  </si>
  <si>
    <t>29000 ezüst</t>
  </si>
  <si>
    <t>75</t>
  </si>
  <si>
    <t>19 db </t>
  </si>
  <si>
    <t>700 ezüst</t>
  </si>
  <si>
    <t>150</t>
  </si>
  <si>
    <t>170000 ezüst</t>
  </si>
  <si>
    <t>16 db </t>
  </si>
  <si>
    <t>78</t>
  </si>
  <si>
    <t>490 ezüst</t>
  </si>
  <si>
    <t>280</t>
  </si>
  <si>
    <t>73</t>
  </si>
  <si>
    <t>7 kg</t>
  </si>
  <si>
    <t>10 kg</t>
  </si>
  <si>
    <t>1500 ezüst</t>
  </si>
  <si>
    <t>37000 ezüst</t>
  </si>
  <si>
    <t>91</t>
  </si>
  <si>
    <t>600 ezüst</t>
  </si>
  <si>
    <t>98</t>
  </si>
  <si>
    <t>160</t>
  </si>
  <si>
    <t>6,5 kg</t>
  </si>
  <si>
    <t>1580 ezüst</t>
  </si>
  <si>
    <t>180000 ezüst</t>
  </si>
  <si>
    <t>34</t>
  </si>
  <si>
    <t>305</t>
  </si>
  <si>
    <t>12 kg</t>
  </si>
  <si>
    <t>45110 ezüst</t>
  </si>
  <si>
    <t>1220 ezüst</t>
  </si>
  <si>
    <t>22 db </t>
  </si>
  <si>
    <t>189 db </t>
  </si>
  <si>
    <t>170</t>
  </si>
  <si>
    <t>190000 ezüst</t>
  </si>
  <si>
    <t>18 db </t>
  </si>
  <si>
    <t>1351 ezüst</t>
  </si>
  <si>
    <t>150 db </t>
  </si>
  <si>
    <t>35</t>
  </si>
  <si>
    <t>335</t>
  </si>
  <si>
    <t>45</t>
  </si>
  <si>
    <t>89</t>
  </si>
  <si>
    <t>57000 ezüst</t>
  </si>
  <si>
    <t>1250 ezüst</t>
  </si>
  <si>
    <t>180</t>
  </si>
  <si>
    <t>200000 ezüst</t>
  </si>
  <si>
    <t>50 db </t>
  </si>
  <si>
    <t>99</t>
  </si>
  <si>
    <t>125 db </t>
  </si>
  <si>
    <t>1400 ezüst</t>
  </si>
  <si>
    <t>36</t>
  </si>
  <si>
    <t>350</t>
  </si>
  <si>
    <t>6000 db </t>
  </si>
  <si>
    <t>190</t>
  </si>
  <si>
    <t>1120 ezüst</t>
  </si>
  <si>
    <t>210000 ezüst</t>
  </si>
  <si>
    <t>24 db </t>
  </si>
  <si>
    <t>37</t>
  </si>
  <si>
    <t>364</t>
  </si>
  <si>
    <t>112</t>
  </si>
  <si>
    <t>2300 ezüst</t>
  </si>
  <si>
    <t>220000 ezüst</t>
  </si>
  <si>
    <t>21 db </t>
  </si>
  <si>
    <t>752 ezüst</t>
  </si>
  <si>
    <t>38</t>
  </si>
  <si>
    <t>394</t>
  </si>
  <si>
    <t>13 kg</t>
  </si>
  <si>
    <t>75000 ezüst</t>
  </si>
  <si>
    <t>97</t>
  </si>
  <si>
    <t>1560 ezüst</t>
  </si>
  <si>
    <t>210</t>
  </si>
  <si>
    <t>127</t>
  </si>
  <si>
    <t>2,3 kg</t>
  </si>
  <si>
    <t>230000 ezüst</t>
  </si>
  <si>
    <t>1630 ezüst</t>
  </si>
  <si>
    <t>25 db </t>
  </si>
  <si>
    <t>275 db </t>
  </si>
  <si>
    <t>419</t>
  </si>
  <si>
    <t>126</t>
  </si>
  <si>
    <t>85000 ezüst</t>
  </si>
  <si>
    <t>2268 ezüst</t>
  </si>
  <si>
    <t>240000 ezüst</t>
  </si>
  <si>
    <t>23 db </t>
  </si>
  <si>
    <t>4,1 kg</t>
  </si>
  <si>
    <t>440</t>
  </si>
  <si>
    <t>107</t>
  </si>
  <si>
    <t>479</t>
  </si>
  <si>
    <t>250000 ezüst</t>
  </si>
  <si>
    <t>110 db </t>
  </si>
  <si>
    <t>200 db </t>
  </si>
  <si>
    <t>41</t>
  </si>
  <si>
    <t>469</t>
  </si>
  <si>
    <t>2900 ezüst</t>
  </si>
  <si>
    <t>32 db </t>
  </si>
  <si>
    <t>490</t>
  </si>
  <si>
    <t>260000 ezüst</t>
  </si>
  <si>
    <t>142</t>
  </si>
  <si>
    <t>11 db </t>
  </si>
  <si>
    <t>2820 ezüst</t>
  </si>
  <si>
    <t>505</t>
  </si>
  <si>
    <t>310 db </t>
  </si>
  <si>
    <t>42 db </t>
  </si>
  <si>
    <t>124</t>
  </si>
  <si>
    <t>2700 ezüst</t>
  </si>
  <si>
    <t>518</t>
  </si>
  <si>
    <t>270000 ezüst</t>
  </si>
  <si>
    <t>43</t>
  </si>
  <si>
    <t>121</t>
  </si>
  <si>
    <t>532</t>
  </si>
  <si>
    <t>1,9 kg</t>
  </si>
  <si>
    <t>1610 ezüst</t>
  </si>
  <si>
    <t>143</t>
  </si>
  <si>
    <t>2600 ezüst</t>
  </si>
  <si>
    <t>125</t>
  </si>
  <si>
    <t>554</t>
  </si>
  <si>
    <t>4112 ezüst</t>
  </si>
  <si>
    <t>280000 ezüst</t>
  </si>
  <si>
    <t>156</t>
  </si>
  <si>
    <t>4024 ezüst</t>
  </si>
  <si>
    <t>44</t>
  </si>
  <si>
    <t>475 db </t>
  </si>
  <si>
    <t>565</t>
  </si>
  <si>
    <t>129</t>
  </si>
  <si>
    <t>4200 ezüst</t>
  </si>
  <si>
    <t>52 db </t>
  </si>
  <si>
    <t>584</t>
  </si>
  <si>
    <t>290000 ezüst</t>
  </si>
  <si>
    <t>152</t>
  </si>
  <si>
    <t>600</t>
  </si>
  <si>
    <t>5500 ezüst</t>
  </si>
  <si>
    <t>176</t>
  </si>
  <si>
    <t>619</t>
  </si>
  <si>
    <t>4,5 kg</t>
  </si>
  <si>
    <t>6020 ezüst</t>
  </si>
  <si>
    <t>300000 ezüst</t>
  </si>
  <si>
    <t>45 db </t>
  </si>
  <si>
    <t>500 db </t>
  </si>
  <si>
    <t>154</t>
  </si>
  <si>
    <t>632</t>
  </si>
  <si>
    <t>7222 ezüst</t>
  </si>
  <si>
    <t>1,8 kg</t>
  </si>
  <si>
    <t>193</t>
  </si>
  <si>
    <t>61</t>
  </si>
  <si>
    <t>9 kg</t>
  </si>
  <si>
    <t>9210 ezüst</t>
  </si>
  <si>
    <t>655</t>
  </si>
  <si>
    <t>6000 ezüst</t>
  </si>
  <si>
    <t>310000 ezüst</t>
  </si>
  <si>
    <t>60 db </t>
  </si>
  <si>
    <t>172</t>
  </si>
  <si>
    <t>7,8 kg</t>
  </si>
  <si>
    <t>47</t>
  </si>
  <si>
    <t>671</t>
  </si>
  <si>
    <t>NEM BESOROLT</t>
  </si>
  <si>
    <t>Külditárgy</t>
  </si>
  <si>
    <t>697</t>
  </si>
  <si>
    <t>315000 ezüst</t>
  </si>
  <si>
    <t>7200 ezüst</t>
  </si>
  <si>
    <t>48</t>
  </si>
  <si>
    <t>721</t>
  </si>
  <si>
    <t>50 kg</t>
  </si>
  <si>
    <t>50000 ezüst</t>
  </si>
  <si>
    <t>740</t>
  </si>
  <si>
    <t>320000 ezüst</t>
  </si>
  <si>
    <t>35 db </t>
  </si>
  <si>
    <t>201</t>
  </si>
  <si>
    <t>764</t>
  </si>
  <si>
    <t>17 kg</t>
  </si>
  <si>
    <t>9200 ezüst</t>
  </si>
  <si>
    <t>44 db </t>
  </si>
  <si>
    <t>0,01 kg</t>
  </si>
  <si>
    <t>787</t>
  </si>
  <si>
    <t>325000 ezüst</t>
  </si>
  <si>
    <t>197</t>
  </si>
  <si>
    <t>4,3 kg</t>
  </si>
  <si>
    <t>8220 ezüst</t>
  </si>
  <si>
    <t>809</t>
  </si>
  <si>
    <t>166</t>
  </si>
  <si>
    <t>7020 ezüst</t>
  </si>
  <si>
    <t>829</t>
  </si>
  <si>
    <t>330000 ezüst</t>
  </si>
  <si>
    <t>2,8 kg</t>
  </si>
  <si>
    <t>8400 ezüst</t>
  </si>
  <si>
    <t>51</t>
  </si>
  <si>
    <t>856</t>
  </si>
  <si>
    <t>10,2 kg</t>
  </si>
  <si>
    <t>33 db </t>
  </si>
  <si>
    <t>183</t>
  </si>
  <si>
    <t>871</t>
  </si>
  <si>
    <t>9000 ezüst</t>
  </si>
  <si>
    <t>335000 ezüst</t>
  </si>
  <si>
    <t>899</t>
  </si>
  <si>
    <t>218</t>
  </si>
  <si>
    <t>340000 ezüst</t>
  </si>
  <si>
    <t>4,8 kg</t>
  </si>
  <si>
    <t>11000 ezüst</t>
  </si>
  <si>
    <t>915</t>
  </si>
  <si>
    <t>99 db </t>
  </si>
  <si>
    <t>212</t>
  </si>
  <si>
    <t>5,6 kg</t>
  </si>
  <si>
    <t>10020 ezüst</t>
  </si>
  <si>
    <t>53</t>
  </si>
  <si>
    <t>937</t>
  </si>
  <si>
    <t>350000 ezüst</t>
  </si>
  <si>
    <t>560 db </t>
  </si>
  <si>
    <t>959</t>
  </si>
  <si>
    <t>Segíto</t>
  </si>
  <si>
    <t>0,75 kg</t>
  </si>
  <si>
    <t>345000 ezüst</t>
  </si>
  <si>
    <t>nnek a tárgynak a segítségével Larkinor szigetén dupla mennyiségű tárgy található a szörnyeknél, kivéve a démonszigetet és a küldetéseket. Egy darab 4% esélyt, kettő darab 9% esélyt, három darab 15% esélyt garantál a többlet tárgyakra.</t>
  </si>
  <si>
    <t>10400 ezüst</t>
  </si>
  <si>
    <t>azon mágus és harcos karakterek, melyek rendelkeznek eme kitüntetéssel, pontosabban sebeznek a harcban. A fegyverek/mágia szórását felezi, nem érdemes halmozni, egy darabbal is elérhető a hatás.</t>
  </si>
  <si>
    <t>986</t>
  </si>
  <si>
    <t>360000 ezüst</t>
  </si>
  <si>
    <t>196</t>
  </si>
  <si>
    <t>4978 ezüst</t>
  </si>
  <si>
    <t>1008</t>
  </si>
  <si>
    <t>a manaszívó szörnyeket meggátolja a varázspont elszívásban, amennyiben a karakter vp-je a maximálishoz képest 30% alá esik. Bár száma nincs limitálva, több készítése csak elemi térdarab pocsékolás.</t>
  </si>
  <si>
    <t>1038</t>
  </si>
  <si>
    <t>370000 ezüst</t>
  </si>
  <si>
    <t>1061</t>
  </si>
  <si>
    <t>195</t>
  </si>
  <si>
    <t>355000 ezüst</t>
  </si>
  <si>
    <t>8000 ezüst</t>
  </si>
  <si>
    <t>Alapanyag</t>
  </si>
  <si>
    <t>221</t>
  </si>
  <si>
    <t>szakíthatatlan szövetből szőtt háló</t>
  </si>
  <si>
    <t>1093</t>
  </si>
  <si>
    <t>5,7 kg</t>
  </si>
  <si>
    <t>12140 ezüst</t>
  </si>
  <si>
    <t>1,6 kg</t>
  </si>
  <si>
    <t>380000 ezüst</t>
  </si>
  <si>
    <t>1112</t>
  </si>
  <si>
    <t>12400 ezüst</t>
  </si>
  <si>
    <t>57</t>
  </si>
  <si>
    <t>1144</t>
  </si>
  <si>
    <t>390000 ezüst</t>
  </si>
  <si>
    <t>227</t>
  </si>
  <si>
    <t>60 kg</t>
  </si>
  <si>
    <t>55000 ezüst</t>
  </si>
  <si>
    <t>80 db </t>
  </si>
  <si>
    <t>1159</t>
  </si>
  <si>
    <t>213</t>
  </si>
  <si>
    <t>365000 ezüst</t>
  </si>
  <si>
    <t>8,8 kg</t>
  </si>
  <si>
    <t>14200 ezüst</t>
  </si>
  <si>
    <t>a szörnnyel való harcban életpontod 40% alá esik, megvéd a szörny további rontásaitól. Nem érdemes belőle több darabot gyártani.</t>
  </si>
  <si>
    <t>1191</t>
  </si>
  <si>
    <t>230</t>
  </si>
  <si>
    <t>400000 ezüst</t>
  </si>
  <si>
    <t>14400 ezüst</t>
  </si>
  <si>
    <t>1206</t>
  </si>
  <si>
    <t>10000 ezüst</t>
  </si>
  <si>
    <t>1233</t>
  </si>
  <si>
    <t>410000 ezüst</t>
  </si>
  <si>
    <t>214</t>
  </si>
  <si>
    <t>17000 ezüst</t>
  </si>
  <si>
    <t>1254</t>
  </si>
  <si>
    <t>375000 ezüst</t>
  </si>
  <si>
    <t>240</t>
  </si>
  <si>
    <t>120 db </t>
  </si>
  <si>
    <t>1280</t>
  </si>
  <si>
    <t>224</t>
  </si>
  <si>
    <t>420000 ezüst</t>
  </si>
  <si>
    <t>1302</t>
  </si>
  <si>
    <t>1333</t>
  </si>
  <si>
    <t>232</t>
  </si>
  <si>
    <t>430000 ezüst</t>
  </si>
  <si>
    <t>26180 ezüst</t>
  </si>
  <si>
    <t>1352</t>
  </si>
  <si>
    <t>250</t>
  </si>
  <si>
    <t>20000 ezüst</t>
  </si>
  <si>
    <t>385000 ezüst</t>
  </si>
  <si>
    <t>500 ezüst</t>
  </si>
  <si>
    <t>Segítségével nem kell etetni a szörnyet 3 lépésenként, hanem automatikusan ellátja azt. Tarisznyából mindig csak egyféle lehet náld, kivéve, ha van szubtetkód!</t>
  </si>
  <si>
    <t>0,06 kg</t>
  </si>
  <si>
    <t>1381</t>
  </si>
  <si>
    <t>5,3 kg</t>
  </si>
  <si>
    <t>29625 ezüst</t>
  </si>
  <si>
    <t>0,05 kg</t>
  </si>
  <si>
    <t>440000 ezüst</t>
  </si>
  <si>
    <t>3000 ezüst</t>
  </si>
  <si>
    <t>1401</t>
  </si>
  <si>
    <t>260</t>
  </si>
  <si>
    <t>70 kg</t>
  </si>
  <si>
    <t>60000 ezüst</t>
  </si>
  <si>
    <t>35000 ezüst</t>
  </si>
  <si>
    <t>1431</t>
  </si>
  <si>
    <t>255</t>
  </si>
  <si>
    <t>450000 ezüst</t>
  </si>
  <si>
    <t>15,5 kg</t>
  </si>
  <si>
    <t>124 ezüst</t>
  </si>
  <si>
    <t>0,025 kg</t>
  </si>
  <si>
    <t>58000 ezüst</t>
  </si>
  <si>
    <t>1452</t>
  </si>
  <si>
    <t>52000 ezüst</t>
  </si>
  <si>
    <t>36000 ezüst</t>
  </si>
  <si>
    <t>395000 ezüst</t>
  </si>
  <si>
    <t>64</t>
  </si>
  <si>
    <t>300</t>
  </si>
  <si>
    <t>1478</t>
  </si>
  <si>
    <t>40000 ezüst</t>
  </si>
  <si>
    <t>460000 ezüst</t>
  </si>
  <si>
    <t>Ha rendelkezel vele, akkor következő alakváltó a ahrcnál egy véletlnszerű szörny alakjában jelenik meg.</t>
  </si>
  <si>
    <t>1502</t>
  </si>
  <si>
    <t>281</t>
  </si>
  <si>
    <t>44442 ezüst</t>
  </si>
  <si>
    <t>1535</t>
  </si>
  <si>
    <t>470000 ezüst</t>
  </si>
  <si>
    <t>320</t>
  </si>
  <si>
    <t>3,9 kg</t>
  </si>
  <si>
    <t>52575 ezüst</t>
  </si>
  <si>
    <t>1554</t>
  </si>
  <si>
    <t>405000 ezüst</t>
  </si>
  <si>
    <t>330</t>
  </si>
  <si>
    <t>14 kg</t>
  </si>
  <si>
    <t>1588</t>
  </si>
  <si>
    <t>45000 ezüst</t>
  </si>
  <si>
    <t>480000 ezüst</t>
  </si>
  <si>
    <t>-20 kg</t>
  </si>
  <si>
    <t>299</t>
  </si>
  <si>
    <t>80 kg</t>
  </si>
  <si>
    <t>1605</t>
  </si>
  <si>
    <t>Ital</t>
  </si>
  <si>
    <t>365</t>
  </si>
  <si>
    <t>12,5 kg</t>
  </si>
  <si>
    <t>68000 ezüst</t>
  </si>
  <si>
    <t>32000 ezüst</t>
  </si>
  <si>
    <t>67</t>
  </si>
  <si>
    <t>1635</t>
  </si>
  <si>
    <t>Ásvány</t>
  </si>
  <si>
    <t>0,001 kg</t>
  </si>
  <si>
    <t>490000 ezüst</t>
  </si>
  <si>
    <t>20 ezüst</t>
  </si>
  <si>
    <t>390</t>
  </si>
  <si>
    <t>16 kg</t>
  </si>
  <si>
    <t>1657</t>
  </si>
  <si>
    <t>415000 ezüst</t>
  </si>
  <si>
    <t>355</t>
  </si>
  <si>
    <t>1,7 kg</t>
  </si>
  <si>
    <t>Küldetéstárgy alapanyaga!</t>
  </si>
  <si>
    <t>68</t>
  </si>
  <si>
    <t>1692</t>
  </si>
  <si>
    <t>240 ezüst</t>
  </si>
  <si>
    <t>495000 ezüst</t>
  </si>
  <si>
    <t>340</t>
  </si>
  <si>
    <t>20 kg</t>
  </si>
  <si>
    <t>1709</t>
  </si>
  <si>
    <t>0,12 kg</t>
  </si>
  <si>
    <t>400</t>
  </si>
  <si>
    <t>90 kg</t>
  </si>
  <si>
    <t>69</t>
  </si>
  <si>
    <t>1740</t>
  </si>
  <si>
    <t>500000 ezüst</t>
  </si>
  <si>
    <t>373</t>
  </si>
  <si>
    <t>34000 ezüst</t>
  </si>
  <si>
    <t>0,25 kg</t>
  </si>
  <si>
    <t>1762</t>
  </si>
  <si>
    <t>425000 ezüst</t>
  </si>
  <si>
    <t>370</t>
  </si>
  <si>
    <t>21 kg</t>
  </si>
  <si>
    <t>1798</t>
  </si>
  <si>
    <t>505000 ezüst</t>
  </si>
  <si>
    <t>95000 ezüst</t>
  </si>
  <si>
    <t>1817</t>
  </si>
  <si>
    <t>433</t>
  </si>
  <si>
    <t>17550 ezüst</t>
  </si>
  <si>
    <t>18 kg</t>
  </si>
  <si>
    <t>1855</t>
  </si>
  <si>
    <t>510000 ezüst</t>
  </si>
  <si>
    <t>102000 ezüst</t>
  </si>
  <si>
    <t>105000 ezüst</t>
  </si>
  <si>
    <t>424</t>
  </si>
  <si>
    <t>98 kg</t>
  </si>
  <si>
    <t>1876</t>
  </si>
  <si>
    <t>435000 ezüst</t>
  </si>
  <si>
    <t>12500 ezüst</t>
  </si>
  <si>
    <t>410</t>
  </si>
  <si>
    <t>23 kg</t>
  </si>
  <si>
    <t>72</t>
  </si>
  <si>
    <t>1920</t>
  </si>
  <si>
    <t>515000 ezüst</t>
  </si>
  <si>
    <t>484</t>
  </si>
  <si>
    <t>1935</t>
  </si>
  <si>
    <t>450</t>
  </si>
  <si>
    <t>142000 ezüst</t>
  </si>
  <si>
    <t>483</t>
  </si>
  <si>
    <t>165000 ezüst</t>
  </si>
  <si>
    <t>48 ezüst</t>
  </si>
  <si>
    <t>1974</t>
  </si>
  <si>
    <t>0,66 kg</t>
  </si>
  <si>
    <t>520000 ezüst</t>
  </si>
  <si>
    <t>0 kg</t>
  </si>
  <si>
    <t>487</t>
  </si>
  <si>
    <t>104 kg</t>
  </si>
  <si>
    <t>1995</t>
  </si>
  <si>
    <t>6,1 kg</t>
  </si>
  <si>
    <t>445000 ezüst</t>
  </si>
  <si>
    <t>66 db </t>
  </si>
  <si>
    <t>460</t>
  </si>
  <si>
    <t>25 kg</t>
  </si>
  <si>
    <t>74</t>
  </si>
  <si>
    <t>2037</t>
  </si>
  <si>
    <t>0,65 kg</t>
  </si>
  <si>
    <t>525000 ezüst</t>
  </si>
  <si>
    <t>44000 ezüst</t>
  </si>
  <si>
    <t>2055</t>
  </si>
  <si>
    <t>529</t>
  </si>
  <si>
    <t>2102</t>
  </si>
  <si>
    <t>22 kg</t>
  </si>
  <si>
    <t>0,64 kg</t>
  </si>
  <si>
    <t>530000 ezüst</t>
  </si>
  <si>
    <t>36600 ezüst</t>
  </si>
  <si>
    <t>547</t>
  </si>
  <si>
    <t>2121</t>
  </si>
  <si>
    <t>455000 ezüst</t>
  </si>
  <si>
    <t>40150 ezüst</t>
  </si>
  <si>
    <t>76</t>
  </si>
  <si>
    <t>2164</t>
  </si>
  <si>
    <t>535000 ezüst</t>
  </si>
  <si>
    <t>113 kg</t>
  </si>
  <si>
    <t>275000 ezüst</t>
  </si>
  <si>
    <t>2180</t>
  </si>
  <si>
    <t>515</t>
  </si>
  <si>
    <t>27 kg</t>
  </si>
  <si>
    <t>2223</t>
  </si>
  <si>
    <t>540000 ezüst</t>
  </si>
  <si>
    <t>559</t>
  </si>
  <si>
    <t>2238</t>
  </si>
  <si>
    <t>465000 ezüst</t>
  </si>
  <si>
    <t>2282</t>
  </si>
  <si>
    <t>0,63 kg</t>
  </si>
  <si>
    <t>545000 ezüst</t>
  </si>
  <si>
    <t>2297</t>
  </si>
  <si>
    <t>63 db </t>
  </si>
  <si>
    <t>609</t>
  </si>
  <si>
    <t>12300 ezüst</t>
  </si>
  <si>
    <t>79</t>
  </si>
  <si>
    <t>2338</t>
  </si>
  <si>
    <t>0,62 kg</t>
  </si>
  <si>
    <t>550000 ezüst</t>
  </si>
  <si>
    <t>616</t>
  </si>
  <si>
    <t>125 kg</t>
  </si>
  <si>
    <t>2397</t>
  </si>
  <si>
    <t>0,61 kg</t>
  </si>
  <si>
    <t>555000 ezüst</t>
  </si>
  <si>
    <t>81</t>
  </si>
  <si>
    <t>2450</t>
  </si>
  <si>
    <t>583</t>
  </si>
  <si>
    <t>29 kg</t>
  </si>
  <si>
    <t>560000 ezüst</t>
  </si>
  <si>
    <t>23000 ezüst</t>
  </si>
  <si>
    <t>2471</t>
  </si>
  <si>
    <t>633</t>
  </si>
  <si>
    <t>485000 ezüst</t>
  </si>
  <si>
    <t>5000 ezüst</t>
  </si>
  <si>
    <t>82</t>
  </si>
  <si>
    <t>2510</t>
  </si>
  <si>
    <t>0,59 kg</t>
  </si>
  <si>
    <t>565000 ezüst</t>
  </si>
  <si>
    <t>661</t>
  </si>
  <si>
    <t>1000 ezüst</t>
  </si>
  <si>
    <t>2529</t>
  </si>
  <si>
    <t>680</t>
  </si>
  <si>
    <t>0,0001 kg</t>
  </si>
  <si>
    <t>83</t>
  </si>
  <si>
    <t>2573</t>
  </si>
  <si>
    <t>0,58 kg</t>
  </si>
  <si>
    <t>570000 ezüst</t>
  </si>
  <si>
    <t>690</t>
  </si>
  <si>
    <t>0,02 kg</t>
  </si>
  <si>
    <t>135 kg</t>
  </si>
  <si>
    <t>2588</t>
  </si>
  <si>
    <t>1,32 kg</t>
  </si>
  <si>
    <t>30,2 kg</t>
  </si>
  <si>
    <t>84</t>
  </si>
  <si>
    <t>2625</t>
  </si>
  <si>
    <t>21000 ezüst</t>
  </si>
  <si>
    <t>0,53 kg</t>
  </si>
  <si>
    <t>575000 ezüst</t>
  </si>
  <si>
    <t>725</t>
  </si>
  <si>
    <t>2647</t>
  </si>
  <si>
    <t>1,31 kg</t>
  </si>
  <si>
    <t>750</t>
  </si>
  <si>
    <t>210 ezüst</t>
  </si>
  <si>
    <t>85</t>
  </si>
  <si>
    <t>2680</t>
  </si>
  <si>
    <t>65000 ezüst</t>
  </si>
  <si>
    <t>580000 ezüst</t>
  </si>
  <si>
    <t>767</t>
  </si>
  <si>
    <t>2,33 kg</t>
  </si>
  <si>
    <t>2704</t>
  </si>
  <si>
    <t>782</t>
  </si>
  <si>
    <t>141 kg</t>
  </si>
  <si>
    <t>86</t>
  </si>
  <si>
    <t>2743</t>
  </si>
  <si>
    <t>0,68 kg</t>
  </si>
  <si>
    <t>585000 ezüst</t>
  </si>
  <si>
    <t>17100 ezüst</t>
  </si>
  <si>
    <t>731</t>
  </si>
  <si>
    <t>30,6 kg</t>
  </si>
  <si>
    <t>2765</t>
  </si>
  <si>
    <t>810</t>
  </si>
  <si>
    <t>2807</t>
  </si>
  <si>
    <t>0,28 kg</t>
  </si>
  <si>
    <t>590000 ezüst</t>
  </si>
  <si>
    <t>9100 ezüst</t>
  </si>
  <si>
    <t>2825</t>
  </si>
  <si>
    <t>825</t>
  </si>
  <si>
    <t>2868</t>
  </si>
  <si>
    <t>1,96 kg</t>
  </si>
  <si>
    <t>595000 ezüst</t>
  </si>
  <si>
    <t>25500 ezüst</t>
  </si>
  <si>
    <t>860</t>
  </si>
  <si>
    <t>2886</t>
  </si>
  <si>
    <t>33000 ezüst</t>
  </si>
  <si>
    <t>853</t>
  </si>
  <si>
    <t>2926</t>
  </si>
  <si>
    <t>147 kg</t>
  </si>
  <si>
    <t>1,63 kg</t>
  </si>
  <si>
    <t>600000 ezüst</t>
  </si>
  <si>
    <t>36090 ezüst</t>
  </si>
  <si>
    <t>36 db </t>
  </si>
  <si>
    <t>2948</t>
  </si>
  <si>
    <t>828</t>
  </si>
  <si>
    <t>31 kg</t>
  </si>
  <si>
    <t>2991</t>
  </si>
  <si>
    <t>16500 ezüst</t>
  </si>
  <si>
    <t>0,46 kg</t>
  </si>
  <si>
    <t>605000 ezüst</t>
  </si>
  <si>
    <t>3010</t>
  </si>
  <si>
    <t>910</t>
  </si>
  <si>
    <t>30,1 kg</t>
  </si>
  <si>
    <t>178 ezüst</t>
  </si>
  <si>
    <t>3054</t>
  </si>
  <si>
    <t>0,11 kg</t>
  </si>
  <si>
    <t>610000 ezüst</t>
  </si>
  <si>
    <t>3073</t>
  </si>
  <si>
    <t>28 db </t>
  </si>
  <si>
    <t>92</t>
  </si>
  <si>
    <t>3117</t>
  </si>
  <si>
    <t>615000 ezüst</t>
  </si>
  <si>
    <t>93</t>
  </si>
  <si>
    <t>3177</t>
  </si>
  <si>
    <t>0,39 kg</t>
  </si>
  <si>
    <t>620000 ezüst</t>
  </si>
  <si>
    <t>26 db </t>
  </si>
  <si>
    <t>3200</t>
  </si>
  <si>
    <t>94</t>
  </si>
  <si>
    <t>3242</t>
  </si>
  <si>
    <t>1,28 kg</t>
  </si>
  <si>
    <t>625000 ezüst</t>
  </si>
  <si>
    <t>27 db </t>
  </si>
  <si>
    <t>3264</t>
  </si>
  <si>
    <t>942</t>
  </si>
  <si>
    <t>400 db </t>
  </si>
  <si>
    <t>95</t>
  </si>
  <si>
    <t>3306</t>
  </si>
  <si>
    <t>0,91 kg</t>
  </si>
  <si>
    <t>630000 ezüst</t>
  </si>
  <si>
    <t>962</t>
  </si>
  <si>
    <t>152 kg</t>
  </si>
  <si>
    <t>56 db </t>
  </si>
  <si>
    <t>105 db </t>
  </si>
  <si>
    <t>3329</t>
  </si>
  <si>
    <t>1,52 kg</t>
  </si>
  <si>
    <t>916</t>
  </si>
  <si>
    <t>170 ezüst</t>
  </si>
  <si>
    <t>31,4 kg</t>
  </si>
  <si>
    <t>600 db </t>
  </si>
  <si>
    <t>1,43 kg</t>
  </si>
  <si>
    <t>32750 ezüst</t>
  </si>
  <si>
    <t>3378</t>
  </si>
  <si>
    <t>635000 ezüst</t>
  </si>
  <si>
    <t>994</t>
  </si>
  <si>
    <t>29 db </t>
  </si>
  <si>
    <t>603 ezüst</t>
  </si>
  <si>
    <t>3394</t>
  </si>
  <si>
    <t>1,71 kg</t>
  </si>
  <si>
    <t>1005</t>
  </si>
  <si>
    <t>30,3 kg</t>
  </si>
  <si>
    <t>3442</t>
  </si>
  <si>
    <t>1,77 kg</t>
  </si>
  <si>
    <t>640000 ezüst</t>
  </si>
  <si>
    <t>1045</t>
  </si>
  <si>
    <t>3460</t>
  </si>
  <si>
    <t>0,45 kg</t>
  </si>
  <si>
    <t>27100 ezüst</t>
  </si>
  <si>
    <t>1060</t>
  </si>
  <si>
    <t>158 kg</t>
  </si>
  <si>
    <t>112 ezüst</t>
  </si>
  <si>
    <t>3504</t>
  </si>
  <si>
    <t>1,38 kg</t>
  </si>
  <si>
    <t>645000 ezüst</t>
  </si>
  <si>
    <t>1015</t>
  </si>
  <si>
    <t>31,8 kg</t>
  </si>
  <si>
    <t>33500 ezüst</t>
  </si>
  <si>
    <t>3526</t>
  </si>
  <si>
    <t>1091</t>
  </si>
  <si>
    <t>3569</t>
  </si>
  <si>
    <t>1,42 kg</t>
  </si>
  <si>
    <t>650000 ezüst</t>
  </si>
  <si>
    <t>1110</t>
  </si>
  <si>
    <t>30,5 kg</t>
  </si>
  <si>
    <t>100 ezüst</t>
  </si>
  <si>
    <t>1000000 ezüst</t>
  </si>
  <si>
    <t>3593</t>
  </si>
  <si>
    <t>-1 kg</t>
  </si>
  <si>
    <t>Speciális tárgy, csak a fejlesztőktől beszerezhető. Versenyek jutalma és további, speciális tárgyak alapanyaga!</t>
  </si>
  <si>
    <t>1140</t>
  </si>
  <si>
    <t>3637</t>
  </si>
  <si>
    <t>1,51 kg</t>
  </si>
  <si>
    <t>1149</t>
  </si>
  <si>
    <t>655000 ezüst</t>
  </si>
  <si>
    <t>164 kg</t>
  </si>
  <si>
    <t>50 ezüst</t>
  </si>
  <si>
    <t>3660</t>
  </si>
  <si>
    <t>1117</t>
  </si>
  <si>
    <t>32,2 kg</t>
  </si>
  <si>
    <t>101</t>
  </si>
  <si>
    <t>3705</t>
  </si>
  <si>
    <t>1190</t>
  </si>
  <si>
    <t>660000 ezüst</t>
  </si>
  <si>
    <t>3748</t>
  </si>
  <si>
    <t>1204</t>
  </si>
  <si>
    <t>30,7 kg</t>
  </si>
  <si>
    <t>1,075 kg</t>
  </si>
  <si>
    <t>45800 ezüst</t>
  </si>
  <si>
    <t>102</t>
  </si>
  <si>
    <t>3771</t>
  </si>
  <si>
    <t>1236</t>
  </si>
  <si>
    <t>1,54 kg</t>
  </si>
  <si>
    <t>665000 ezüst</t>
  </si>
  <si>
    <t>0,33 kg</t>
  </si>
  <si>
    <t>1244</t>
  </si>
  <si>
    <t>3815</t>
  </si>
  <si>
    <t>170 kg</t>
  </si>
  <si>
    <t>0,412 kg</t>
  </si>
  <si>
    <t>26800 ezüst</t>
  </si>
  <si>
    <t>Több VP-t regenerál, mint a hagyományos ital.</t>
  </si>
  <si>
    <t>103</t>
  </si>
  <si>
    <t>3841</t>
  </si>
  <si>
    <t>1211</t>
  </si>
  <si>
    <t>1,61 kg</t>
  </si>
  <si>
    <t>32,6 kg</t>
  </si>
  <si>
    <t>670000 ezüst</t>
  </si>
  <si>
    <t>3863</t>
  </si>
  <si>
    <t>30 ezüst</t>
  </si>
  <si>
    <t>1283</t>
  </si>
  <si>
    <t>104</t>
  </si>
  <si>
    <t>3913</t>
  </si>
  <si>
    <t>1299</t>
  </si>
  <si>
    <t>1,89 kg</t>
  </si>
  <si>
    <t>675000 ezüst</t>
  </si>
  <si>
    <t>30,9 kg</t>
  </si>
  <si>
    <t>263 ezüst</t>
  </si>
  <si>
    <t>5 ezüst</t>
  </si>
  <si>
    <t>3930</t>
  </si>
  <si>
    <t>1332</t>
  </si>
  <si>
    <t>300 ezüst</t>
  </si>
  <si>
    <t>38 db </t>
  </si>
  <si>
    <t>0,08 kg</t>
  </si>
  <si>
    <t>105</t>
  </si>
  <si>
    <t>3974</t>
  </si>
  <si>
    <t>1350</t>
  </si>
  <si>
    <t>1,97 kg</t>
  </si>
  <si>
    <t>176 kg</t>
  </si>
  <si>
    <t>680000 ezüst</t>
  </si>
  <si>
    <t>3998</t>
  </si>
  <si>
    <t>1306</t>
  </si>
  <si>
    <t>33 kg</t>
  </si>
  <si>
    <t>106</t>
  </si>
  <si>
    <t>4050</t>
  </si>
  <si>
    <t>1378</t>
  </si>
  <si>
    <t>1,14 kg</t>
  </si>
  <si>
    <t>685000 ezüst</t>
  </si>
  <si>
    <t>4065</t>
  </si>
  <si>
    <t>1396</t>
  </si>
  <si>
    <t>31,1 kg</t>
  </si>
  <si>
    <t>1,75 kg</t>
  </si>
  <si>
    <t>28358 ezüst</t>
  </si>
  <si>
    <t>4118</t>
  </si>
  <si>
    <t>1,33 kg</t>
  </si>
  <si>
    <t>690000 ezüst</t>
  </si>
  <si>
    <t>23600 ezüst</t>
  </si>
  <si>
    <t>1433</t>
  </si>
  <si>
    <t>37200 ezüst</t>
  </si>
  <si>
    <t>4123</t>
  </si>
  <si>
    <t>1455</t>
  </si>
  <si>
    <t>182 kg</t>
  </si>
  <si>
    <t>33300 ezüst</t>
  </si>
  <si>
    <t>0,302 kg</t>
  </si>
  <si>
    <t>108</t>
  </si>
  <si>
    <t>47500 ezüst</t>
  </si>
  <si>
    <t>4180</t>
  </si>
  <si>
    <t>695000 ezüst</t>
  </si>
  <si>
    <t>1403</t>
  </si>
  <si>
    <t>33,4 kg</t>
  </si>
  <si>
    <t>2500 ezüst</t>
  </si>
  <si>
    <t>4204</t>
  </si>
  <si>
    <t>3,4 kg</t>
  </si>
  <si>
    <t>1483</t>
  </si>
  <si>
    <t>39 db </t>
  </si>
  <si>
    <t>109</t>
  </si>
  <si>
    <t>4247</t>
  </si>
  <si>
    <t>700000 ezüst</t>
  </si>
  <si>
    <t>1495</t>
  </si>
  <si>
    <t>31,3 kg</t>
  </si>
  <si>
    <t>4278</t>
  </si>
  <si>
    <t>1,37 kg</t>
  </si>
  <si>
    <t>1538</t>
  </si>
  <si>
    <t>4313</t>
  </si>
  <si>
    <t>705000 ezüst</t>
  </si>
  <si>
    <t>1550</t>
  </si>
  <si>
    <t>188 kg</t>
  </si>
  <si>
    <t>4339</t>
  </si>
  <si>
    <t>48 db </t>
  </si>
  <si>
    <t>2000 db </t>
  </si>
  <si>
    <t>33,8 kg</t>
  </si>
  <si>
    <t>111</t>
  </si>
  <si>
    <t>4379</t>
  </si>
  <si>
    <t>1,18 kg</t>
  </si>
  <si>
    <t>710000 ezüst</t>
  </si>
  <si>
    <t>4398</t>
  </si>
  <si>
    <t>1,64 kg</t>
  </si>
  <si>
    <t>0,95 kg</t>
  </si>
  <si>
    <t>35675 ezüst</t>
  </si>
  <si>
    <t>4448</t>
  </si>
  <si>
    <t>2,1 kg</t>
  </si>
  <si>
    <t>715000 ezüst</t>
  </si>
  <si>
    <t>1584</t>
  </si>
  <si>
    <t>4480</t>
  </si>
  <si>
    <t>1597</t>
  </si>
  <si>
    <t>31,5 kg</t>
  </si>
  <si>
    <t>113</t>
  </si>
  <si>
    <t>0,03 kg</t>
  </si>
  <si>
    <t>4512</t>
  </si>
  <si>
    <t>10500 ezüst</t>
  </si>
  <si>
    <t>2,16 kg</t>
  </si>
  <si>
    <t>720000 ezüst</t>
  </si>
  <si>
    <t>19000 ezüst</t>
  </si>
  <si>
    <t>4533</t>
  </si>
  <si>
    <t>39000 ezüst</t>
  </si>
  <si>
    <t>1644</t>
  </si>
  <si>
    <t>114</t>
  </si>
  <si>
    <t>4579</t>
  </si>
  <si>
    <t>725000 ezüst</t>
  </si>
  <si>
    <t>0,15 kg</t>
  </si>
  <si>
    <t>1651</t>
  </si>
  <si>
    <t>194 kg</t>
  </si>
  <si>
    <t>4596</t>
  </si>
  <si>
    <t>1,57 kg</t>
  </si>
  <si>
    <t>2 ezüst</t>
  </si>
  <si>
    <t>98 ezüst</t>
  </si>
  <si>
    <t>31 db </t>
  </si>
  <si>
    <t>200 ezüst</t>
  </si>
  <si>
    <t>1604</t>
  </si>
  <si>
    <t>34,2 kg</t>
  </si>
  <si>
    <t>4650</t>
  </si>
  <si>
    <t>730000 ezüst</t>
  </si>
  <si>
    <t>54000 ezüst</t>
  </si>
  <si>
    <t>4662</t>
  </si>
  <si>
    <t>1,44 kg</t>
  </si>
  <si>
    <t>1688</t>
  </si>
  <si>
    <t>410 ezüst</t>
  </si>
  <si>
    <t>116</t>
  </si>
  <si>
    <t>4720</t>
  </si>
  <si>
    <t>0,89 kg</t>
  </si>
  <si>
    <t>735000 ezüst</t>
  </si>
  <si>
    <t>2000 ezüst</t>
  </si>
  <si>
    <t>Rablással, illetve Thord-Artinon való zsbeléssel szerezhető</t>
  </si>
  <si>
    <t>1701</t>
  </si>
  <si>
    <t>Ásó ami nem kopik el.</t>
  </si>
  <si>
    <t>31,7 kg</t>
  </si>
  <si>
    <t>4733</t>
  </si>
  <si>
    <t>1,59 kg</t>
  </si>
  <si>
    <t>10 ezüst</t>
  </si>
  <si>
    <t>1749</t>
  </si>
  <si>
    <t>117</t>
  </si>
  <si>
    <t>4786</t>
  </si>
  <si>
    <t>0,78 kg</t>
  </si>
  <si>
    <t>740000 ezüst</t>
  </si>
  <si>
    <t>1756</t>
  </si>
  <si>
    <t>200 kg</t>
  </si>
  <si>
    <t>Parszi gyöngyháló alapanyaga</t>
  </si>
  <si>
    <t>4751</t>
  </si>
  <si>
    <t>4,15 kg</t>
  </si>
  <si>
    <t>27000 ezüst</t>
  </si>
  <si>
    <t>1708</t>
  </si>
  <si>
    <t>34,6 kg</t>
  </si>
  <si>
    <t>4856</t>
  </si>
  <si>
    <t>0,51 kg</t>
  </si>
  <si>
    <t>745000 ezüst</t>
  </si>
  <si>
    <t>4824</t>
  </si>
  <si>
    <t>2,64 kg</t>
  </si>
  <si>
    <t>1050000 ezüst</t>
  </si>
  <si>
    <t>1803</t>
  </si>
  <si>
    <t>42000 ezüst</t>
  </si>
  <si>
    <t>119</t>
  </si>
  <si>
    <t>4917</t>
  </si>
  <si>
    <t>0,29 kg</t>
  </si>
  <si>
    <t>750000 ezüst</t>
  </si>
  <si>
    <t>1809</t>
  </si>
  <si>
    <t>31,9 kg</t>
  </si>
  <si>
    <t>4898</t>
  </si>
  <si>
    <t>3,01 kg</t>
  </si>
  <si>
    <t>1100000 ezüst</t>
  </si>
  <si>
    <t>4986</t>
  </si>
  <si>
    <t>1,48 kg</t>
  </si>
  <si>
    <t>755000 ezüst</t>
  </si>
  <si>
    <t>0,21 kg</t>
  </si>
  <si>
    <t>4972</t>
  </si>
  <si>
    <t>2,26 kg</t>
  </si>
  <si>
    <t>1150000 ezüst</t>
  </si>
  <si>
    <t>0,04 kg</t>
  </si>
  <si>
    <t>1861</t>
  </si>
  <si>
    <t>3200 ezüst</t>
  </si>
  <si>
    <t>1874</t>
  </si>
  <si>
    <t>5052</t>
  </si>
  <si>
    <t>206 kg</t>
  </si>
  <si>
    <t>1,49 kg</t>
  </si>
  <si>
    <t>760000 ezüst</t>
  </si>
  <si>
    <t>5047</t>
  </si>
  <si>
    <t>1816</t>
  </si>
  <si>
    <t>35 kg</t>
  </si>
  <si>
    <t>1200000 ezüst</t>
  </si>
  <si>
    <t>122</t>
  </si>
  <si>
    <t>5119</t>
  </si>
  <si>
    <t>765000 ezüst</t>
  </si>
  <si>
    <t>0,99 kg</t>
  </si>
  <si>
    <t>1911</t>
  </si>
  <si>
    <t>5122</t>
  </si>
  <si>
    <t>1250000 ezüst</t>
  </si>
  <si>
    <t>1927</t>
  </si>
  <si>
    <t>32 kg</t>
  </si>
  <si>
    <t>5191</t>
  </si>
  <si>
    <t>0,97 kg</t>
  </si>
  <si>
    <t>770000 ezüst</t>
  </si>
  <si>
    <t>13000 ezüst</t>
  </si>
  <si>
    <t>5198</t>
  </si>
  <si>
    <t>1,88 kg</t>
  </si>
  <si>
    <t>1300000 ezüst</t>
  </si>
  <si>
    <t>1981</t>
  </si>
  <si>
    <t>5254</t>
  </si>
  <si>
    <t>775000 ezüst</t>
  </si>
  <si>
    <t>25770 ezüst</t>
  </si>
  <si>
    <t>32320 ezüst</t>
  </si>
  <si>
    <t>5274</t>
  </si>
  <si>
    <t>212 kg</t>
  </si>
  <si>
    <t>1350000 ezüst</t>
  </si>
  <si>
    <t>24000 ezüst</t>
  </si>
  <si>
    <t>75 db </t>
  </si>
  <si>
    <t>1934</t>
  </si>
  <si>
    <t>5320</t>
  </si>
  <si>
    <t>35,4 kg</t>
  </si>
  <si>
    <t>0,48 kg</t>
  </si>
  <si>
    <t>780000 ezüst</t>
  </si>
  <si>
    <t>5351</t>
  </si>
  <si>
    <t>62000 ezüst</t>
  </si>
  <si>
    <t>1400000 ezüst</t>
  </si>
  <si>
    <t>2034</t>
  </si>
  <si>
    <t>5386</t>
  </si>
  <si>
    <t>0,26 kg</t>
  </si>
  <si>
    <t>785000 ezüst</t>
  </si>
  <si>
    <t>2051</t>
  </si>
  <si>
    <t>32,3 kg</t>
  </si>
  <si>
    <t>5012</t>
  </si>
  <si>
    <t>1450000 ezüst</t>
  </si>
  <si>
    <t>2105</t>
  </si>
  <si>
    <t>5460</t>
  </si>
  <si>
    <t>1,26 kg</t>
  </si>
  <si>
    <t>790000 ezüst</t>
  </si>
  <si>
    <t>218 kg</t>
  </si>
  <si>
    <t>5087</t>
  </si>
  <si>
    <t>2,45 kg</t>
  </si>
  <si>
    <t>1500000 ezüst</t>
  </si>
  <si>
    <t>2058</t>
  </si>
  <si>
    <t>35,8 kg</t>
  </si>
  <si>
    <t>1,25 kg</t>
  </si>
  <si>
    <t>55 db </t>
  </si>
  <si>
    <t>128</t>
  </si>
  <si>
    <t>5530</t>
  </si>
  <si>
    <t>2157</t>
  </si>
  <si>
    <t>795000 ezüst</t>
  </si>
  <si>
    <t>1,098 kg</t>
  </si>
  <si>
    <t>5162</t>
  </si>
  <si>
    <t>2176</t>
  </si>
  <si>
    <t>1550000 ezüst</t>
  </si>
  <si>
    <t>32,5 kg</t>
  </si>
  <si>
    <t>5600 ezüst</t>
  </si>
  <si>
    <t>5595</t>
  </si>
  <si>
    <t>800000 ezüst</t>
  </si>
  <si>
    <t>25750 ezüst</t>
  </si>
  <si>
    <t>2222</t>
  </si>
  <si>
    <t>0,007 kg</t>
  </si>
  <si>
    <t>27234 ezüst</t>
  </si>
  <si>
    <t>5238</t>
  </si>
  <si>
    <t>1600000 ezüst</t>
  </si>
  <si>
    <t>-0,05 kg</t>
  </si>
  <si>
    <t>2236</t>
  </si>
  <si>
    <t>224 kg</t>
  </si>
  <si>
    <t>5658</t>
  </si>
  <si>
    <t>805000 ezüst</t>
  </si>
  <si>
    <t>6200 ezüst</t>
  </si>
  <si>
    <t>2183</t>
  </si>
  <si>
    <t>36,1 kg</t>
  </si>
  <si>
    <t>5314</t>
  </si>
  <si>
    <t>1650000 ezüst</t>
  </si>
  <si>
    <t>131</t>
  </si>
  <si>
    <t>5730</t>
  </si>
  <si>
    <t>0,77 kg</t>
  </si>
  <si>
    <t>810000 ezüst</t>
  </si>
  <si>
    <t>2280</t>
  </si>
  <si>
    <t>5391</t>
  </si>
  <si>
    <t>1700000 ezüst</t>
  </si>
  <si>
    <t>2293</t>
  </si>
  <si>
    <t>32,7 kg</t>
  </si>
  <si>
    <t>5790</t>
  </si>
  <si>
    <t>1,73 kg</t>
  </si>
  <si>
    <t>815000 ezüst</t>
  </si>
  <si>
    <t>5468</t>
  </si>
  <si>
    <t>1750000 ezüst</t>
  </si>
  <si>
    <t>2340</t>
  </si>
  <si>
    <t>5855</t>
  </si>
  <si>
    <t>2351</t>
  </si>
  <si>
    <t>820000 ezüst</t>
  </si>
  <si>
    <t>230 kg</t>
  </si>
  <si>
    <t>5546</t>
  </si>
  <si>
    <t>2300</t>
  </si>
  <si>
    <t>1800000 ezüst</t>
  </si>
  <si>
    <t>36,6 kg</t>
  </si>
  <si>
    <t>134</t>
  </si>
  <si>
    <t>5921</t>
  </si>
  <si>
    <t>1,83 kg</t>
  </si>
  <si>
    <t>825000 ezüst</t>
  </si>
  <si>
    <t>2398</t>
  </si>
  <si>
    <t>5624</t>
  </si>
  <si>
    <t>1850000 ezüst</t>
  </si>
  <si>
    <t>2409</t>
  </si>
  <si>
    <t>32,9 kg</t>
  </si>
  <si>
    <t>135</t>
  </si>
  <si>
    <t>5990</t>
  </si>
  <si>
    <t>2,12 kg</t>
  </si>
  <si>
    <t>830000 ezüst</t>
  </si>
  <si>
    <t>2458</t>
  </si>
  <si>
    <t>5703</t>
  </si>
  <si>
    <t>1900000 ezüst</t>
  </si>
  <si>
    <t>2470</t>
  </si>
  <si>
    <t>236 kg</t>
  </si>
  <si>
    <t>6000</t>
  </si>
  <si>
    <t>2416</t>
  </si>
  <si>
    <t>37 kg</t>
  </si>
  <si>
    <t>39,65 kg</t>
  </si>
  <si>
    <t>2513</t>
  </si>
  <si>
    <t>6030</t>
  </si>
  <si>
    <t>2,13 kg</t>
  </si>
  <si>
    <t>850000 ezüst</t>
  </si>
  <si>
    <t>2525</t>
  </si>
  <si>
    <t>33,1 kg</t>
  </si>
  <si>
    <t>5782</t>
  </si>
  <si>
    <t>1950000 ezüst</t>
  </si>
  <si>
    <t>0,32 kg</t>
  </si>
  <si>
    <t>137</t>
  </si>
  <si>
    <t>24500 ezüst</t>
  </si>
  <si>
    <t>6121</t>
  </si>
  <si>
    <t>920000 ezüst</t>
  </si>
  <si>
    <t>2570</t>
  </si>
  <si>
    <t>5862</t>
  </si>
  <si>
    <t>2590</t>
  </si>
  <si>
    <t>2000000 ezüst</t>
  </si>
  <si>
    <t>242 kg</t>
  </si>
  <si>
    <t>2532</t>
  </si>
  <si>
    <t>37,4 kg</t>
  </si>
  <si>
    <t>138</t>
  </si>
  <si>
    <t>6207</t>
  </si>
  <si>
    <t>945000 ezüst</t>
  </si>
  <si>
    <t>20400 ezüst</t>
  </si>
  <si>
    <t>5942</t>
  </si>
  <si>
    <t>2627</t>
  </si>
  <si>
    <t>139</t>
  </si>
  <si>
    <t>6261</t>
  </si>
  <si>
    <t>3,125 kg</t>
  </si>
  <si>
    <t>960000 ezüst</t>
  </si>
  <si>
    <t>2643</t>
  </si>
  <si>
    <t>33,3 kg</t>
  </si>
  <si>
    <t>Felhasználva klónod az arénában rontásokat kld az ellenfelére</t>
  </si>
  <si>
    <t>6023</t>
  </si>
  <si>
    <t>6347</t>
  </si>
  <si>
    <t>2,875 kg</t>
  </si>
  <si>
    <t>985000 ezüst</t>
  </si>
  <si>
    <t>2688</t>
  </si>
  <si>
    <t>0,43 kg</t>
  </si>
  <si>
    <t>6104</t>
  </si>
  <si>
    <t>2050000 ezüst</t>
  </si>
  <si>
    <t>2709</t>
  </si>
  <si>
    <t>248 kg</t>
  </si>
  <si>
    <t>141</t>
  </si>
  <si>
    <t>6359</t>
  </si>
  <si>
    <t>2653</t>
  </si>
  <si>
    <t>37,8 kg</t>
  </si>
  <si>
    <t>6186</t>
  </si>
  <si>
    <t>2100000 ezüst</t>
  </si>
  <si>
    <t>6497</t>
  </si>
  <si>
    <t>4,85 kg</t>
  </si>
  <si>
    <t>21725 ezüst</t>
  </si>
  <si>
    <t>6268</t>
  </si>
  <si>
    <t>4 ezüst</t>
  </si>
  <si>
    <t>2150000 ezüst</t>
  </si>
  <si>
    <t>33,5 kg</t>
  </si>
  <si>
    <t>6545</t>
  </si>
  <si>
    <t>1055000 ezüst</t>
  </si>
  <si>
    <t>2808</t>
  </si>
  <si>
    <t>1,74 kg</t>
  </si>
  <si>
    <t>6351</t>
  </si>
  <si>
    <t>2200000 ezüst</t>
  </si>
  <si>
    <t>2828</t>
  </si>
  <si>
    <t>254 kg</t>
  </si>
  <si>
    <t>60 ezüst</t>
  </si>
  <si>
    <t>144</t>
  </si>
  <si>
    <t>6630</t>
  </si>
  <si>
    <t>2774</t>
  </si>
  <si>
    <t>3,1 kg</t>
  </si>
  <si>
    <t>38,2 kg</t>
  </si>
  <si>
    <t>1065000 ezüst</t>
  </si>
  <si>
    <t>2873</t>
  </si>
  <si>
    <t>6434</t>
  </si>
  <si>
    <t>56100 ezüst</t>
  </si>
  <si>
    <t>2250000 ezüst</t>
  </si>
  <si>
    <t>0,37 kg</t>
  </si>
  <si>
    <t>145</t>
  </si>
  <si>
    <t>6670</t>
  </si>
  <si>
    <t>11006 ezüst</t>
  </si>
  <si>
    <t>1075000 ezüst</t>
  </si>
  <si>
    <t>33,7 kg</t>
  </si>
  <si>
    <t>6518</t>
  </si>
  <si>
    <t>2300000 ezüst</t>
  </si>
  <si>
    <t>146</t>
  </si>
  <si>
    <t>6728</t>
  </si>
  <si>
    <t>2,15 kg</t>
  </si>
  <si>
    <t>1085000 ezüst</t>
  </si>
  <si>
    <t>2939</t>
  </si>
  <si>
    <t>6602</t>
  </si>
  <si>
    <t>2350000 ezüst</t>
  </si>
  <si>
    <t>260 kg</t>
  </si>
  <si>
    <t>6794</t>
  </si>
  <si>
    <t>3,14 kg</t>
  </si>
  <si>
    <t>2895</t>
  </si>
  <si>
    <t>38,6 kg</t>
  </si>
  <si>
    <t>6687</t>
  </si>
  <si>
    <t>2400000 ezüst</t>
  </si>
  <si>
    <t>148</t>
  </si>
  <si>
    <t>6861</t>
  </si>
  <si>
    <t>2,78 kg</t>
  </si>
  <si>
    <t>1125000 ezüst</t>
  </si>
  <si>
    <t>2988</t>
  </si>
  <si>
    <t>1,36 kg</t>
  </si>
  <si>
    <t>6772</t>
  </si>
  <si>
    <t>2450000 ezüst</t>
  </si>
  <si>
    <t>3011</t>
  </si>
  <si>
    <t>33,9 kg</t>
  </si>
  <si>
    <t>149</t>
  </si>
  <si>
    <t>6908</t>
  </si>
  <si>
    <t>14000 ezüst</t>
  </si>
  <si>
    <t>6858</t>
  </si>
  <si>
    <t>2500000 ezüst</t>
  </si>
  <si>
    <t>3064</t>
  </si>
  <si>
    <t>6970</t>
  </si>
  <si>
    <t>1175000 ezüst</t>
  </si>
  <si>
    <t>3079</t>
  </si>
  <si>
    <t>266 kg</t>
  </si>
  <si>
    <t>6944</t>
  </si>
  <si>
    <t>2550000 ezüst</t>
  </si>
  <si>
    <t>3020</t>
  </si>
  <si>
    <t>39 kg</t>
  </si>
  <si>
    <t>151</t>
  </si>
  <si>
    <t>7035</t>
  </si>
  <si>
    <t>2,75 kg</t>
  </si>
  <si>
    <t>7031</t>
  </si>
  <si>
    <t>2600000 ezüst</t>
  </si>
  <si>
    <t>3121</t>
  </si>
  <si>
    <t>7110</t>
  </si>
  <si>
    <t>1225000 ezüst</t>
  </si>
  <si>
    <t>3137</t>
  </si>
  <si>
    <t>34,1 kg</t>
  </si>
  <si>
    <t>7118</t>
  </si>
  <si>
    <t>2650000 ezüst</t>
  </si>
  <si>
    <t>3189</t>
  </si>
  <si>
    <t>0,71 kg</t>
  </si>
  <si>
    <t>153</t>
  </si>
  <si>
    <t>7161</t>
  </si>
  <si>
    <t>2,79 kg</t>
  </si>
  <si>
    <t>26000 ezüst</t>
  </si>
  <si>
    <t>3202</t>
  </si>
  <si>
    <t>272 kg</t>
  </si>
  <si>
    <t>7206</t>
  </si>
  <si>
    <t>2700000 ezüst</t>
  </si>
  <si>
    <t>3146</t>
  </si>
  <si>
    <t>39,4 kg</t>
  </si>
  <si>
    <t>7222</t>
  </si>
  <si>
    <t>5,2 kg</t>
  </si>
  <si>
    <t>1275000 ezüst</t>
  </si>
  <si>
    <t>42370 ezüst</t>
  </si>
  <si>
    <t>0,995 kg</t>
  </si>
  <si>
    <t>7294</t>
  </si>
  <si>
    <t>2750000 ezüst</t>
  </si>
  <si>
    <t>3241</t>
  </si>
  <si>
    <t>1,47 kg</t>
  </si>
  <si>
    <t>21600 ezüst</t>
  </si>
  <si>
    <t>155</t>
  </si>
  <si>
    <t>7359</t>
  </si>
  <si>
    <t>3265</t>
  </si>
  <si>
    <t>34,3 kg</t>
  </si>
  <si>
    <t>7383</t>
  </si>
  <si>
    <t>2800000 ezüst</t>
  </si>
  <si>
    <t>7455</t>
  </si>
  <si>
    <t>3321</t>
  </si>
  <si>
    <t>7472</t>
  </si>
  <si>
    <t>2850000 ezüst</t>
  </si>
  <si>
    <t>3335</t>
  </si>
  <si>
    <t>278 kg</t>
  </si>
  <si>
    <t>840000 ezüst</t>
  </si>
  <si>
    <t>157</t>
  </si>
  <si>
    <t>7538</t>
  </si>
  <si>
    <t>3274</t>
  </si>
  <si>
    <t>39,8 kg</t>
  </si>
  <si>
    <t>158</t>
  </si>
  <si>
    <t>7631</t>
  </si>
  <si>
    <t>0,003 kg</t>
  </si>
  <si>
    <t>159</t>
  </si>
  <si>
    <t>7726</t>
  </si>
  <si>
    <t>3397</t>
  </si>
  <si>
    <t>34,5 kg</t>
  </si>
  <si>
    <t>7809</t>
  </si>
  <si>
    <t>3451</t>
  </si>
  <si>
    <t>1,17 kg</t>
  </si>
  <si>
    <t>7907</t>
  </si>
  <si>
    <t>3465</t>
  </si>
  <si>
    <t>284 kg</t>
  </si>
  <si>
    <t>860000 ezüst</t>
  </si>
  <si>
    <t>162</t>
  </si>
  <si>
    <t>7956</t>
  </si>
  <si>
    <t>8,91 kg</t>
  </si>
  <si>
    <t>2400 ezüst</t>
  </si>
  <si>
    <t>3405</t>
  </si>
  <si>
    <t>40,2 kg</t>
  </si>
  <si>
    <t>1000 db </t>
  </si>
  <si>
    <t>+1 tulajdonságpontot ad elfogyasztva. Küldetésekben szerezhető!</t>
  </si>
  <si>
    <t>163</t>
  </si>
  <si>
    <t>8054</t>
  </si>
  <si>
    <t>5,67 kg</t>
  </si>
  <si>
    <t>64 db </t>
  </si>
  <si>
    <t>164</t>
  </si>
  <si>
    <t>8146</t>
  </si>
  <si>
    <t>6,48 kg</t>
  </si>
  <si>
    <t>72 db </t>
  </si>
  <si>
    <t>3000 db </t>
  </si>
  <si>
    <t>165</t>
  </si>
  <si>
    <t>8234</t>
  </si>
  <si>
    <t>4,86 kg</t>
  </si>
  <si>
    <t>3511</t>
  </si>
  <si>
    <t>37500 ezüst</t>
  </si>
  <si>
    <t>8336</t>
  </si>
  <si>
    <t>3529</t>
  </si>
  <si>
    <t>34,7 kg</t>
  </si>
  <si>
    <t>88 db </t>
  </si>
  <si>
    <t>110 ezüst</t>
  </si>
  <si>
    <t>167</t>
  </si>
  <si>
    <t>8424</t>
  </si>
  <si>
    <t>3579</t>
  </si>
  <si>
    <t>12575 ezüst</t>
  </si>
  <si>
    <t>2,02 kg</t>
  </si>
  <si>
    <t>96 db </t>
  </si>
  <si>
    <t>168</t>
  </si>
  <si>
    <t>8522</t>
  </si>
  <si>
    <t>4,05 kg</t>
  </si>
  <si>
    <t>3537</t>
  </si>
  <si>
    <t>40,6 kg</t>
  </si>
  <si>
    <t>104 db </t>
  </si>
  <si>
    <t>169</t>
  </si>
  <si>
    <t>8620</t>
  </si>
  <si>
    <t>3,24 kg</t>
  </si>
  <si>
    <t>3643</t>
  </si>
  <si>
    <t>112 db </t>
  </si>
  <si>
    <t>0,07 kg</t>
  </si>
  <si>
    <t>8500 ezüst</t>
  </si>
  <si>
    <t>8717</t>
  </si>
  <si>
    <t>3664</t>
  </si>
  <si>
    <t>34,9 kg</t>
  </si>
  <si>
    <t>171</t>
  </si>
  <si>
    <t>8847</t>
  </si>
  <si>
    <t>59100 ezüst</t>
  </si>
  <si>
    <t>2900000 ezüst</t>
  </si>
  <si>
    <t>128 db </t>
  </si>
  <si>
    <t>3718</t>
  </si>
  <si>
    <t>2,18 kg</t>
  </si>
  <si>
    <t>3672</t>
  </si>
  <si>
    <t>41 kg</t>
  </si>
  <si>
    <t>Hatása megegyezik a kocsmában vásárolhato diavovinóval. Seregszörnyektől, illetve a démonkockán állomásozó megszálló seregektől lehet szerezni.</t>
  </si>
  <si>
    <t>3782</t>
  </si>
  <si>
    <t>2,54 kg</t>
  </si>
  <si>
    <t>3799</t>
  </si>
  <si>
    <t>35,1 kg</t>
  </si>
  <si>
    <t>3851</t>
  </si>
  <si>
    <t>3807</t>
  </si>
  <si>
    <t>41,4 kg</t>
  </si>
  <si>
    <t>3915</t>
  </si>
  <si>
    <t>1,85 kg</t>
  </si>
  <si>
    <t>3934</t>
  </si>
  <si>
    <t>35,3 kg</t>
  </si>
  <si>
    <t>870000 ezüst</t>
  </si>
  <si>
    <t>3988</t>
  </si>
  <si>
    <t>1,99 kg</t>
  </si>
  <si>
    <t>3942</t>
  </si>
  <si>
    <t>41,8 kg</t>
  </si>
  <si>
    <t>4048</t>
  </si>
  <si>
    <t>4071</t>
  </si>
  <si>
    <t>35,5 kg</t>
  </si>
  <si>
    <t>890000 ezüst</t>
  </si>
  <si>
    <t>333</t>
  </si>
  <si>
    <t>4119</t>
  </si>
  <si>
    <t>2,27 kg</t>
  </si>
  <si>
    <t>4078</t>
  </si>
  <si>
    <t>42,2 kg</t>
  </si>
  <si>
    <t>4206</t>
  </si>
  <si>
    <t>35,7 kg</t>
  </si>
  <si>
    <t>910000 ezüst</t>
  </si>
  <si>
    <t>4260</t>
  </si>
  <si>
    <t>1,81 kg</t>
  </si>
  <si>
    <t>365 ezüst</t>
  </si>
  <si>
    <t>372 ezüst</t>
  </si>
  <si>
    <t>4213</t>
  </si>
  <si>
    <t>42,6 kg</t>
  </si>
  <si>
    <t>276 ezüst</t>
  </si>
  <si>
    <t>224 ezüst</t>
  </si>
  <si>
    <t>4322</t>
  </si>
  <si>
    <t>1,93 kg</t>
  </si>
  <si>
    <t>4342</t>
  </si>
  <si>
    <t>35,9 kg</t>
  </si>
  <si>
    <t>930000 ezüst</t>
  </si>
  <si>
    <t>4388</t>
  </si>
  <si>
    <t>4349</t>
  </si>
  <si>
    <t>43 kg</t>
  </si>
  <si>
    <t>4477</t>
  </si>
  <si>
    <t>950000 ezüst</t>
  </si>
  <si>
    <t>341</t>
  </si>
  <si>
    <t>4523</t>
  </si>
  <si>
    <t>Rabláshoz kell</t>
  </si>
  <si>
    <t>2,17 kg</t>
  </si>
  <si>
    <t>1,115 kg</t>
  </si>
  <si>
    <t>4484</t>
  </si>
  <si>
    <t>43,4 kg</t>
  </si>
  <si>
    <t>4583</t>
  </si>
  <si>
    <t>4611</t>
  </si>
  <si>
    <t>36,3 kg</t>
  </si>
  <si>
    <t>970000 ezüst</t>
  </si>
  <si>
    <t>23210 ezüst</t>
  </si>
  <si>
    <t>4656</t>
  </si>
  <si>
    <t>1,19 kg</t>
  </si>
  <si>
    <t>4618</t>
  </si>
  <si>
    <t>43,8 kg</t>
  </si>
  <si>
    <t>37 db </t>
  </si>
  <si>
    <t>4724</t>
  </si>
  <si>
    <t>1,86 kg</t>
  </si>
  <si>
    <t>186 ezüst</t>
  </si>
  <si>
    <t>4748</t>
  </si>
  <si>
    <t>36,5 kg</t>
  </si>
  <si>
    <t>990000 ezüst</t>
  </si>
  <si>
    <t>4792</t>
  </si>
  <si>
    <t>A megadott értéknél alacsonyabb árú ásott, vagy harcban szerzett tárgyakat züstté alakítja. hatásfoka 30%</t>
  </si>
  <si>
    <t>1,46 kg</t>
  </si>
  <si>
    <t>4754</t>
  </si>
  <si>
    <t>44,2 kg</t>
  </si>
  <si>
    <t>4860</t>
  </si>
  <si>
    <t>4883</t>
  </si>
  <si>
    <t>36,7 kg</t>
  </si>
  <si>
    <t>1010000 ezüst</t>
  </si>
  <si>
    <t>59250 ezüst</t>
  </si>
  <si>
    <t>21500 ezüst</t>
  </si>
  <si>
    <t>25760 ezüst</t>
  </si>
  <si>
    <t>4929</t>
  </si>
  <si>
    <t>4889</t>
  </si>
  <si>
    <t>44,6 kg</t>
  </si>
  <si>
    <t>4993</t>
  </si>
  <si>
    <t>1,98 kg</t>
  </si>
  <si>
    <t>5018</t>
  </si>
  <si>
    <t>36,9 kg</t>
  </si>
  <si>
    <t>1030000 ezüst</t>
  </si>
  <si>
    <t>0,09 kg</t>
  </si>
  <si>
    <t>16200 ezüst</t>
  </si>
  <si>
    <t>5067</t>
  </si>
  <si>
    <t>2,37 kg</t>
  </si>
  <si>
    <t>5024</t>
  </si>
  <si>
    <t>45 kg</t>
  </si>
  <si>
    <t>1,12 kg</t>
  </si>
  <si>
    <t>880000 ezüst</t>
  </si>
  <si>
    <t>Életpontot regenerál.</t>
  </si>
  <si>
    <t>0,575 kg</t>
  </si>
  <si>
    <t>51000 ezüst</t>
  </si>
  <si>
    <t>1,23 kg</t>
  </si>
  <si>
    <t>5152</t>
  </si>
  <si>
    <t>37,1 kg</t>
  </si>
  <si>
    <t>5193</t>
  </si>
  <si>
    <t>41 db </t>
  </si>
  <si>
    <t>5158</t>
  </si>
  <si>
    <t>45,4 kg</t>
  </si>
  <si>
    <t>1,01 kg</t>
  </si>
  <si>
    <t>5256</t>
  </si>
  <si>
    <t>39900 ezüst</t>
  </si>
  <si>
    <t>5286</t>
  </si>
  <si>
    <t>37,3 kg</t>
  </si>
  <si>
    <t>1070000 ezüst</t>
  </si>
  <si>
    <t>51 db </t>
  </si>
  <si>
    <t>5330</t>
  </si>
  <si>
    <t>41000 ezüst</t>
  </si>
  <si>
    <t>5292</t>
  </si>
  <si>
    <t>45,8 kg</t>
  </si>
  <si>
    <t>5397</t>
  </si>
  <si>
    <t>5423</t>
  </si>
  <si>
    <t>37,5 kg</t>
  </si>
  <si>
    <t>1090000 ezüst</t>
  </si>
  <si>
    <t>58 db </t>
  </si>
  <si>
    <t>5470</t>
  </si>
  <si>
    <t>5436</t>
  </si>
  <si>
    <t>46,2 kg</t>
  </si>
  <si>
    <t>343</t>
  </si>
  <si>
    <t>0,44 kg</t>
  </si>
  <si>
    <t>940000 ezüst</t>
  </si>
  <si>
    <t>5523</t>
  </si>
  <si>
    <t>2,44 kg</t>
  </si>
  <si>
    <t>5557</t>
  </si>
  <si>
    <t>37,7 kg</t>
  </si>
  <si>
    <t>1110000 ezüst</t>
  </si>
  <si>
    <t>82 db </t>
  </si>
  <si>
    <t>5598</t>
  </si>
  <si>
    <t>2,59 kg</t>
  </si>
  <si>
    <t>5565</t>
  </si>
  <si>
    <t>46,6 kg</t>
  </si>
  <si>
    <t>3 ezüst</t>
  </si>
  <si>
    <t>126 db </t>
  </si>
  <si>
    <t>5657</t>
  </si>
  <si>
    <t>0,005 kg</t>
  </si>
  <si>
    <t>5695</t>
  </si>
  <si>
    <t>37,9 kg</t>
  </si>
  <si>
    <t>1130000 ezüst</t>
  </si>
  <si>
    <t>70 ezüst</t>
  </si>
  <si>
    <t>514</t>
  </si>
  <si>
    <t>513</t>
  </si>
  <si>
    <t>526</t>
  </si>
  <si>
    <t>525</t>
  </si>
  <si>
    <t>5732</t>
  </si>
  <si>
    <t>1,69 kg</t>
  </si>
  <si>
    <t>33180 ezüst</t>
  </si>
  <si>
    <t>5701</t>
  </si>
  <si>
    <t>47,8 kg</t>
  </si>
  <si>
    <t>5791</t>
  </si>
  <si>
    <t>2,38 kg</t>
  </si>
  <si>
    <t>40200 ezüst</t>
  </si>
  <si>
    <t>5828</t>
  </si>
  <si>
    <t>38,1 kg</t>
  </si>
  <si>
    <t>1520 db </t>
  </si>
  <si>
    <t>5869</t>
  </si>
  <si>
    <t>2,56 kg</t>
  </si>
  <si>
    <t>340 ezüst</t>
  </si>
  <si>
    <t>5836</t>
  </si>
  <si>
    <t>Szúró/Vágó</t>
  </si>
  <si>
    <t>47,4 kg</t>
  </si>
  <si>
    <t>5929</t>
  </si>
  <si>
    <t>835000 ezüst</t>
  </si>
  <si>
    <t>42 ezüst</t>
  </si>
  <si>
    <t>36900 ezüst</t>
  </si>
  <si>
    <t>5960</t>
  </si>
  <si>
    <t>38,3 kg</t>
  </si>
  <si>
    <t>158 ezüst</t>
  </si>
  <si>
    <t>1170000 ezüst</t>
  </si>
  <si>
    <t>0,425 kg</t>
  </si>
  <si>
    <t>45795 ezüst</t>
  </si>
  <si>
    <t>2500 db </t>
  </si>
  <si>
    <t>6003</t>
  </si>
  <si>
    <t>2,97 kg</t>
  </si>
  <si>
    <t>166 db </t>
  </si>
  <si>
    <t>7,5 kg</t>
  </si>
  <si>
    <t>74 ezüst</t>
  </si>
  <si>
    <t>5970</t>
  </si>
  <si>
    <t>6,7 kg</t>
  </si>
  <si>
    <t>6066</t>
  </si>
  <si>
    <t>7,82 kg</t>
  </si>
  <si>
    <t>847500 ezüst</t>
  </si>
  <si>
    <t>Segítségével egyszerre két különböző típusú tarisznyát viselhetsz; Thord-artinon, az ellátmány sátorba nlehet vásárolni!</t>
  </si>
  <si>
    <t>6100</t>
  </si>
  <si>
    <t>30 kg</t>
  </si>
  <si>
    <t>Szigetfeltöltés kelléke, csak Larkinoron kívül ásható, de nem mindenhol. Legalább 50-es szerencse kell az ásásához.!</t>
  </si>
  <si>
    <t>370 ezüst</t>
  </si>
  <si>
    <t>6136</t>
  </si>
  <si>
    <t>4,7 kg</t>
  </si>
  <si>
    <t>900000 ezüst</t>
  </si>
  <si>
    <t>64 ezüst</t>
  </si>
  <si>
    <t>6163</t>
  </si>
  <si>
    <t>38 kg</t>
  </si>
  <si>
    <t>752000 ezüst</t>
  </si>
  <si>
    <t>156 ezüst</t>
  </si>
  <si>
    <t>6231</t>
  </si>
  <si>
    <t>935000 ezüst</t>
  </si>
  <si>
    <t>140 ezüst</t>
  </si>
  <si>
    <t>3,3 kg</t>
  </si>
  <si>
    <t>6278</t>
  </si>
  <si>
    <t>3,35 kg</t>
  </si>
  <si>
    <t>1,15 kg</t>
  </si>
  <si>
    <t>6311</t>
  </si>
  <si>
    <t>270 ezüst</t>
  </si>
  <si>
    <t>43,25 kg</t>
  </si>
  <si>
    <t>6392</t>
  </si>
  <si>
    <t>350 ezüst</t>
  </si>
  <si>
    <t>750 ezüst</t>
  </si>
  <si>
    <t>1800 ezüst</t>
  </si>
  <si>
    <t>810 ezüst</t>
  </si>
  <si>
    <t>3,8 kg</t>
  </si>
  <si>
    <t>6369</t>
  </si>
  <si>
    <t>965000 ezüst</t>
  </si>
  <si>
    <t>320 ezüst</t>
  </si>
  <si>
    <t>6350</t>
  </si>
  <si>
    <t>44,5 kg</t>
  </si>
  <si>
    <t>6438</t>
  </si>
  <si>
    <t>5,15 kg</t>
  </si>
  <si>
    <t>980000 ezüst</t>
  </si>
  <si>
    <t>524 ezüst</t>
  </si>
  <si>
    <t>6536</t>
  </si>
  <si>
    <t>21100 ezüst</t>
  </si>
  <si>
    <t>1299000 ezüst</t>
  </si>
  <si>
    <t>560 ezüst</t>
  </si>
  <si>
    <t>140 db </t>
  </si>
  <si>
    <t>6529</t>
  </si>
  <si>
    <t>4,95 kg</t>
  </si>
  <si>
    <t>0,19 kg</t>
  </si>
  <si>
    <t>19500 ezüst</t>
  </si>
  <si>
    <t>702 ezüst</t>
  </si>
  <si>
    <t>6575</t>
  </si>
  <si>
    <t>6,4 kg</t>
  </si>
  <si>
    <t>1015000 ezüst</t>
  </si>
  <si>
    <t>6647</t>
  </si>
  <si>
    <t>7,4 kg</t>
  </si>
  <si>
    <t>1020000 ezüst</t>
  </si>
  <si>
    <t>6711</t>
  </si>
  <si>
    <t>22,5 kg</t>
  </si>
  <si>
    <t>630 ezüst</t>
  </si>
  <si>
    <t>6696</t>
  </si>
  <si>
    <t>1550 ezüst</t>
  </si>
  <si>
    <t>6767</t>
  </si>
  <si>
    <t>6,74 kg</t>
  </si>
  <si>
    <t>0,015 kg</t>
  </si>
  <si>
    <t>960 ezüst</t>
  </si>
  <si>
    <t>6829</t>
  </si>
  <si>
    <t>29,29 kg</t>
  </si>
  <si>
    <t>1084 ezüst</t>
  </si>
  <si>
    <t>0,16 kg</t>
  </si>
  <si>
    <t>6834</t>
  </si>
  <si>
    <t>4,6 kg</t>
  </si>
  <si>
    <t>1176 ezüst</t>
  </si>
  <si>
    <t>6885</t>
  </si>
  <si>
    <t>1210 ezüst</t>
  </si>
  <si>
    <t>5,25 kg</t>
  </si>
  <si>
    <t>6952</t>
  </si>
  <si>
    <t>33,35 kg</t>
  </si>
  <si>
    <t>1468 ezüst</t>
  </si>
  <si>
    <t>6945</t>
  </si>
  <si>
    <t>4,4 kg</t>
  </si>
  <si>
    <t>240 db </t>
  </si>
  <si>
    <t>28900 ezüst</t>
  </si>
  <si>
    <t>1370 ezüst</t>
  </si>
  <si>
    <t>7,9 kg</t>
  </si>
  <si>
    <t>34500 ezüst</t>
  </si>
  <si>
    <t>1194 ezüst</t>
  </si>
  <si>
    <t>7105</t>
  </si>
  <si>
    <t>2410 ezüst</t>
  </si>
  <si>
    <t>7081</t>
  </si>
  <si>
    <t>5,55 kg</t>
  </si>
  <si>
    <t>1620 ezüst</t>
  </si>
  <si>
    <t>7153</t>
  </si>
  <si>
    <t>6,66 kg</t>
  </si>
  <si>
    <t>2002 ezüst</t>
  </si>
  <si>
    <t>7210</t>
  </si>
  <si>
    <t>7190</t>
  </si>
  <si>
    <t>5,9 kg</t>
  </si>
  <si>
    <t>2108 ezüst</t>
  </si>
  <si>
    <t>33330 ezüst</t>
  </si>
  <si>
    <t>1840 ezüst</t>
  </si>
  <si>
    <t>7260</t>
  </si>
  <si>
    <t>3822 ezüst</t>
  </si>
  <si>
    <t>7319</t>
  </si>
  <si>
    <t>26,97 kg</t>
  </si>
  <si>
    <t>16000 ezüst</t>
  </si>
  <si>
    <t>4220 ezüst</t>
  </si>
  <si>
    <t>7360</t>
  </si>
  <si>
    <t>7,2 kg</t>
  </si>
  <si>
    <t>5020 ezüst</t>
  </si>
  <si>
    <t>7450</t>
  </si>
  <si>
    <t>4,9 kg</t>
  </si>
  <si>
    <t>7470</t>
  </si>
  <si>
    <t>40,5 kg</t>
  </si>
  <si>
    <t>6220 ezüst</t>
  </si>
  <si>
    <t>7542</t>
  </si>
  <si>
    <t>8,4 kg</t>
  </si>
  <si>
    <t>40500 ezüst</t>
  </si>
  <si>
    <t>48 kg</t>
  </si>
  <si>
    <t>0,35 kg</t>
  </si>
  <si>
    <t>7637</t>
  </si>
  <si>
    <t>3026 ezüst</t>
  </si>
  <si>
    <t>175</t>
  </si>
  <si>
    <t>9300 ezüst</t>
  </si>
  <si>
    <t>7657</t>
  </si>
  <si>
    <t>40,7 kg</t>
  </si>
  <si>
    <t>7002 ezüst</t>
  </si>
  <si>
    <t>7720</t>
  </si>
  <si>
    <t>Alapanyag, nem keverendő össze az azonos nevű varázskulccsal, ami a labirintusokban nyitja a mágikus ajtókat!</t>
  </si>
  <si>
    <t>7140 ezüst</t>
  </si>
  <si>
    <t>Külditárgy alapanyaga!</t>
  </si>
  <si>
    <t>7816</t>
  </si>
  <si>
    <t>Építés kelléke, thord-artini seregszörnyek dobják.</t>
  </si>
  <si>
    <t>7836</t>
  </si>
  <si>
    <t>40,9 kg</t>
  </si>
  <si>
    <t>470 db </t>
  </si>
  <si>
    <t>7910</t>
  </si>
  <si>
    <t>6510 ezüst</t>
  </si>
  <si>
    <t>12 ezüst</t>
  </si>
  <si>
    <t>7957</t>
  </si>
  <si>
    <t>8020 ezüst</t>
  </si>
  <si>
    <t>440 db </t>
  </si>
  <si>
    <t>8049</t>
  </si>
  <si>
    <t>10220 ezüst</t>
  </si>
  <si>
    <t>8140</t>
  </si>
  <si>
    <t>10022 ezüst</t>
  </si>
  <si>
    <t>58 kg</t>
  </si>
  <si>
    <t>8241</t>
  </si>
  <si>
    <t>5,71 kg</t>
  </si>
  <si>
    <t>550 ezüst</t>
  </si>
  <si>
    <t>173</t>
  </si>
  <si>
    <t>8331</t>
  </si>
  <si>
    <t>199</t>
  </si>
  <si>
    <t>11800 ezüst</t>
  </si>
  <si>
    <t>8429</t>
  </si>
  <si>
    <t>203</t>
  </si>
  <si>
    <t>9112 ezüst</t>
  </si>
  <si>
    <t>8520</t>
  </si>
  <si>
    <t>25660 ezüst</t>
  </si>
  <si>
    <t>8614</t>
  </si>
  <si>
    <t>3510 ezüst</t>
  </si>
  <si>
    <t>3540 ezüst</t>
  </si>
  <si>
    <t>8713</t>
  </si>
  <si>
    <t>2950000 ezüst</t>
  </si>
  <si>
    <t>216</t>
  </si>
  <si>
    <t>8854</t>
  </si>
  <si>
    <t>290 ezüst</t>
  </si>
  <si>
    <t>3050000 ezüst</t>
  </si>
  <si>
    <t>204</t>
  </si>
  <si>
    <t>12020 ezüst</t>
  </si>
  <si>
    <t>229</t>
  </si>
  <si>
    <t>6,9 kg</t>
  </si>
  <si>
    <t>0,72 kg</t>
  </si>
  <si>
    <t>9900 ezüst</t>
  </si>
  <si>
    <t>219</t>
  </si>
  <si>
    <t>14020 ezüst</t>
  </si>
  <si>
    <t>520 db </t>
  </si>
  <si>
    <t>29750 ezüst</t>
  </si>
  <si>
    <t>391</t>
  </si>
  <si>
    <t>20200 ezüst</t>
  </si>
  <si>
    <t>208</t>
  </si>
  <si>
    <t>22400 ezüst</t>
  </si>
  <si>
    <t>246</t>
  </si>
  <si>
    <t>32620 ezüst</t>
  </si>
  <si>
    <t>235</t>
  </si>
  <si>
    <t>68 kg</t>
  </si>
  <si>
    <t>22500 ezüst</t>
  </si>
  <si>
    <t>248</t>
  </si>
  <si>
    <t>26020 ezüst</t>
  </si>
  <si>
    <t>710 db </t>
  </si>
  <si>
    <t>251</t>
  </si>
  <si>
    <t>28020 ezüst</t>
  </si>
  <si>
    <t>Építés kelléke, Thord-Artinon ásható csak!</t>
  </si>
  <si>
    <t>265</t>
  </si>
  <si>
    <t>271</t>
  </si>
  <si>
    <t>8 ezüst</t>
  </si>
  <si>
    <t>296</t>
  </si>
  <si>
    <t>48200 ezüst</t>
  </si>
  <si>
    <t>820 db </t>
  </si>
  <si>
    <t>283</t>
  </si>
  <si>
    <t>286</t>
  </si>
  <si>
    <t>78 kg</t>
  </si>
  <si>
    <t>48621 ezüst</t>
  </si>
  <si>
    <t>325</t>
  </si>
  <si>
    <t>64000 ezüst</t>
  </si>
  <si>
    <t>360</t>
  </si>
  <si>
    <t>15 kg</t>
  </si>
  <si>
    <t>0,008 kg</t>
  </si>
  <si>
    <t>88 kg</t>
  </si>
  <si>
    <t>72000 ezüst</t>
  </si>
  <si>
    <t>81000 ezüst</t>
  </si>
  <si>
    <t>405</t>
  </si>
  <si>
    <t>92000 ezüst</t>
  </si>
  <si>
    <t>95 kg</t>
  </si>
  <si>
    <t>420</t>
  </si>
  <si>
    <t>99000 ezüst</t>
  </si>
  <si>
    <t>461</t>
  </si>
  <si>
    <t>19 kg</t>
  </si>
  <si>
    <t>136000 ezüst</t>
  </si>
  <si>
    <t>465</t>
  </si>
  <si>
    <t>101 kg</t>
  </si>
  <si>
    <t>Pajzs</t>
  </si>
  <si>
    <t>Védelem</t>
  </si>
  <si>
    <t>-0,1 kg</t>
  </si>
  <si>
    <t>435</t>
  </si>
  <si>
    <t>24 kg</t>
  </si>
  <si>
    <t>10000 db </t>
  </si>
  <si>
    <t>0,14 kg</t>
  </si>
  <si>
    <t>432</t>
  </si>
  <si>
    <t>508</t>
  </si>
  <si>
    <t>108 kg</t>
  </si>
  <si>
    <t>900 ezüst</t>
  </si>
  <si>
    <t>499</t>
  </si>
  <si>
    <t>26 kg</t>
  </si>
  <si>
    <t>4000</t>
  </si>
  <si>
    <t>534</t>
  </si>
  <si>
    <t>590</t>
  </si>
  <si>
    <t>5000 db </t>
  </si>
  <si>
    <t>36 ezüst</t>
  </si>
  <si>
    <t>589</t>
  </si>
  <si>
    <t>120 kg</t>
  </si>
  <si>
    <t>553</t>
  </si>
  <si>
    <t>28 kg</t>
  </si>
  <si>
    <t>599</t>
  </si>
  <si>
    <t>625</t>
  </si>
  <si>
    <t>642</t>
  </si>
  <si>
    <t>658</t>
  </si>
  <si>
    <t>130 kg</t>
  </si>
  <si>
    <t>52 ezüst</t>
  </si>
  <si>
    <t>618</t>
  </si>
  <si>
    <t>130 ezüst</t>
  </si>
  <si>
    <t>703</t>
  </si>
  <si>
    <t>732</t>
  </si>
  <si>
    <t>138 kg</t>
  </si>
  <si>
    <t>692</t>
  </si>
  <si>
    <t>30,4 kg</t>
  </si>
  <si>
    <t>8,6 kg</t>
  </si>
  <si>
    <t>773</t>
  </si>
  <si>
    <t>797</t>
  </si>
  <si>
    <t>814</t>
  </si>
  <si>
    <t>831</t>
  </si>
  <si>
    <t>144 kg</t>
  </si>
  <si>
    <t>30,8 kg</t>
  </si>
  <si>
    <t>848</t>
  </si>
  <si>
    <t>865</t>
  </si>
  <si>
    <t>92 ezüst</t>
  </si>
  <si>
    <t>166 ezüst</t>
  </si>
  <si>
    <t>897</t>
  </si>
  <si>
    <t>332 ezüst</t>
  </si>
  <si>
    <t>802 ezüst</t>
  </si>
  <si>
    <t>898</t>
  </si>
  <si>
    <t>149 kg</t>
  </si>
  <si>
    <t>310 ezüst</t>
  </si>
  <si>
    <t>1608 ezüst</t>
  </si>
  <si>
    <t>872</t>
  </si>
  <si>
    <t>31,2 kg</t>
  </si>
  <si>
    <t>260 ezüst</t>
  </si>
  <si>
    <t>4251 ezüst</t>
  </si>
  <si>
    <t>460 ezüst</t>
  </si>
  <si>
    <t>3216 ezüst</t>
  </si>
  <si>
    <t>955</t>
  </si>
  <si>
    <t>995</t>
  </si>
  <si>
    <t>440 ezüst</t>
  </si>
  <si>
    <t>1021</t>
  </si>
  <si>
    <t>155 kg</t>
  </si>
  <si>
    <t>6534 ezüst</t>
  </si>
  <si>
    <t>961</t>
  </si>
  <si>
    <t>31,6 kg</t>
  </si>
  <si>
    <t>1039</t>
  </si>
  <si>
    <t>1,21 kg</t>
  </si>
  <si>
    <t>14261 ezüst</t>
  </si>
  <si>
    <t>1119</t>
  </si>
  <si>
    <t>161 kg</t>
  </si>
  <si>
    <t>2250 ezüst</t>
  </si>
  <si>
    <t>1067</t>
  </si>
  <si>
    <t>1700 ezüst</t>
  </si>
  <si>
    <t>1139</t>
  </si>
  <si>
    <t>1157</t>
  </si>
  <si>
    <t>9,1 kg</t>
  </si>
  <si>
    <t>1900 ezüst</t>
  </si>
  <si>
    <t>1308 ezüst</t>
  </si>
  <si>
    <t>125000 ezüst</t>
  </si>
  <si>
    <t>1194</t>
  </si>
  <si>
    <t>3500 ezüst</t>
  </si>
  <si>
    <t>1205</t>
  </si>
  <si>
    <t>167 kg</t>
  </si>
  <si>
    <t>1164</t>
  </si>
  <si>
    <t>32,4 kg</t>
  </si>
  <si>
    <t>9,5 kg</t>
  </si>
  <si>
    <t>3850 ezüst</t>
  </si>
  <si>
    <t>1237</t>
  </si>
  <si>
    <t>3100 ezüst</t>
  </si>
  <si>
    <t>1252</t>
  </si>
  <si>
    <t>1289</t>
  </si>
  <si>
    <t>173 kg</t>
  </si>
  <si>
    <t>1259</t>
  </si>
  <si>
    <t>32,8 kg</t>
  </si>
  <si>
    <t>4000 db </t>
  </si>
  <si>
    <t>0,18 kg</t>
  </si>
  <si>
    <t>25600 ezüst</t>
  </si>
  <si>
    <t>575500 ezüst</t>
  </si>
  <si>
    <t>8600 ezüst</t>
  </si>
  <si>
    <t>1285</t>
  </si>
  <si>
    <t>684000 ezüst</t>
  </si>
  <si>
    <t>1331</t>
  </si>
  <si>
    <t>1348</t>
  </si>
  <si>
    <t>7500 ezüst</t>
  </si>
  <si>
    <t>1386</t>
  </si>
  <si>
    <t>6430 ezüst</t>
  </si>
  <si>
    <t>179 kg</t>
  </si>
  <si>
    <t>1355</t>
  </si>
  <si>
    <t>33,2 kg</t>
  </si>
  <si>
    <t>4238 ezüst</t>
  </si>
  <si>
    <t>1432</t>
  </si>
  <si>
    <t>1446</t>
  </si>
  <si>
    <t>7,3 kg</t>
  </si>
  <si>
    <t>1482</t>
  </si>
  <si>
    <t>11500 ezüst</t>
  </si>
  <si>
    <t>185 kg</t>
  </si>
  <si>
    <t>47000 ezüst</t>
  </si>
  <si>
    <t>7342 ezüst</t>
  </si>
  <si>
    <t>1453</t>
  </si>
  <si>
    <t>33,6 kg</t>
  </si>
  <si>
    <t>13400 ezüst</t>
  </si>
  <si>
    <t>29500 ezüst</t>
  </si>
  <si>
    <t>1546</t>
  </si>
  <si>
    <t>13206 ezüst</t>
  </si>
  <si>
    <t>1602</t>
  </si>
  <si>
    <t>191 kg</t>
  </si>
  <si>
    <t>28000 ezüst</t>
  </si>
  <si>
    <t>1553</t>
  </si>
  <si>
    <t>34 kg</t>
  </si>
  <si>
    <t>1586</t>
  </si>
  <si>
    <t>1639</t>
  </si>
  <si>
    <t>4500 ezüst</t>
  </si>
  <si>
    <t>2,91 kg</t>
  </si>
  <si>
    <t>1649</t>
  </si>
  <si>
    <t>0,85 kg</t>
  </si>
  <si>
    <t>1690</t>
  </si>
  <si>
    <t>1706</t>
  </si>
  <si>
    <t>197 kg</t>
  </si>
  <si>
    <t>1656</t>
  </si>
  <si>
    <t>34,4 kg</t>
  </si>
  <si>
    <t>5200 ezüst</t>
  </si>
  <si>
    <t>1744</t>
  </si>
  <si>
    <t>1754</t>
  </si>
  <si>
    <t>1797</t>
  </si>
  <si>
    <t>39500 ezüst</t>
  </si>
  <si>
    <t>2,71 kg</t>
  </si>
  <si>
    <t>203 kg</t>
  </si>
  <si>
    <t>1761</t>
  </si>
  <si>
    <t>34,8 kg</t>
  </si>
  <si>
    <t>1860</t>
  </si>
  <si>
    <t>1,67 kg</t>
  </si>
  <si>
    <t>1868</t>
  </si>
  <si>
    <t>0,22 kg</t>
  </si>
  <si>
    <t>2,68 kg</t>
  </si>
  <si>
    <t>1930</t>
  </si>
  <si>
    <t>209 kg</t>
  </si>
  <si>
    <t>65 db </t>
  </si>
  <si>
    <t>1875</t>
  </si>
  <si>
    <t>35,2 kg</t>
  </si>
  <si>
    <t>1978</t>
  </si>
  <si>
    <t>0,23 kg</t>
  </si>
  <si>
    <t>1987</t>
  </si>
  <si>
    <t>2042</t>
  </si>
  <si>
    <t>38000 ezüst</t>
  </si>
  <si>
    <t>34 db </t>
  </si>
  <si>
    <t>2053</t>
  </si>
  <si>
    <t>215 kg</t>
  </si>
  <si>
    <t>1998</t>
  </si>
  <si>
    <t>35,6 kg</t>
  </si>
  <si>
    <t>0,24 kg</t>
  </si>
  <si>
    <t>2117</t>
  </si>
  <si>
    <t>2166</t>
  </si>
  <si>
    <t>2181</t>
  </si>
  <si>
    <t>221 kg</t>
  </si>
  <si>
    <t>2124</t>
  </si>
  <si>
    <t>36 kg</t>
  </si>
  <si>
    <t>2219</t>
  </si>
  <si>
    <t>2234</t>
  </si>
  <si>
    <t>2285</t>
  </si>
  <si>
    <t>2,31 kg</t>
  </si>
  <si>
    <t>2294</t>
  </si>
  <si>
    <t>227 kg</t>
  </si>
  <si>
    <t>2241</t>
  </si>
  <si>
    <t>36,4 kg</t>
  </si>
  <si>
    <t>0,27 kg</t>
  </si>
  <si>
    <t>2335</t>
  </si>
  <si>
    <t>2403</t>
  </si>
  <si>
    <t>233 kg</t>
  </si>
  <si>
    <t>2358</t>
  </si>
  <si>
    <t>36,8 kg</t>
  </si>
  <si>
    <t>2413</t>
  </si>
  <si>
    <t>2395</t>
  </si>
  <si>
    <t>2456</t>
  </si>
  <si>
    <t>0,31 kg</t>
  </si>
  <si>
    <t>2467</t>
  </si>
  <si>
    <t>2,36 kg</t>
  </si>
  <si>
    <t>2511</t>
  </si>
  <si>
    <t>2,14 kg</t>
  </si>
  <si>
    <t>2530</t>
  </si>
  <si>
    <t>239 kg</t>
  </si>
  <si>
    <t>174</t>
  </si>
  <si>
    <t>2474</t>
  </si>
  <si>
    <t>37,2 kg</t>
  </si>
  <si>
    <t>2564</t>
  </si>
  <si>
    <t>177</t>
  </si>
  <si>
    <t>2584</t>
  </si>
  <si>
    <t>2630</t>
  </si>
  <si>
    <t>1,68 kg</t>
  </si>
  <si>
    <t>1,41 kg</t>
  </si>
  <si>
    <t>0,34 kg</t>
  </si>
  <si>
    <t>2646</t>
  </si>
  <si>
    <t>245 kg</t>
  </si>
  <si>
    <t>2591</t>
  </si>
  <si>
    <t>37,6 kg</t>
  </si>
  <si>
    <t>186</t>
  </si>
  <si>
    <t>1,62 kg</t>
  </si>
  <si>
    <t>2690</t>
  </si>
  <si>
    <t>2,23 kg</t>
  </si>
  <si>
    <t>189</t>
  </si>
  <si>
    <t>0,74 kg</t>
  </si>
  <si>
    <t>2757</t>
  </si>
  <si>
    <t>2,41 kg</t>
  </si>
  <si>
    <t>402000 ezüst</t>
  </si>
  <si>
    <t>192</t>
  </si>
  <si>
    <t>2772</t>
  </si>
  <si>
    <t>251 kg</t>
  </si>
  <si>
    <t>2713</t>
  </si>
  <si>
    <t>2805</t>
  </si>
  <si>
    <t>198</t>
  </si>
  <si>
    <t>0,36 kg</t>
  </si>
  <si>
    <t>133 db </t>
  </si>
  <si>
    <t>2872</t>
  </si>
  <si>
    <t>2893</t>
  </si>
  <si>
    <t>257 kg</t>
  </si>
  <si>
    <t>2834</t>
  </si>
  <si>
    <t>38,4 kg</t>
  </si>
  <si>
    <t>0,38 kg</t>
  </si>
  <si>
    <t>207</t>
  </si>
  <si>
    <t>0,79 kg</t>
  </si>
  <si>
    <t>2,69 kg</t>
  </si>
  <si>
    <t>3000</t>
  </si>
  <si>
    <t>3017</t>
  </si>
  <si>
    <t>263 kg</t>
  </si>
  <si>
    <t>2957</t>
  </si>
  <si>
    <t>38,8 kg</t>
  </si>
  <si>
    <t>475000 ezüst</t>
  </si>
  <si>
    <t>225</t>
  </si>
  <si>
    <t>3060</t>
  </si>
  <si>
    <t>0,41 kg</t>
  </si>
  <si>
    <t>3074</t>
  </si>
  <si>
    <t>205</t>
  </si>
  <si>
    <t>0,42 kg</t>
  </si>
  <si>
    <t>222</t>
  </si>
  <si>
    <t>3119</t>
  </si>
  <si>
    <t>0,83 kg</t>
  </si>
  <si>
    <t>333366 ezüst</t>
  </si>
  <si>
    <t>3142</t>
  </si>
  <si>
    <t>269 kg</t>
  </si>
  <si>
    <t>3083</t>
  </si>
  <si>
    <t>39,2 kg</t>
  </si>
  <si>
    <t>231</t>
  </si>
  <si>
    <t>1,39 kg</t>
  </si>
  <si>
    <t>3178</t>
  </si>
  <si>
    <t>368076 ezüst</t>
  </si>
  <si>
    <t>1,24 kg</t>
  </si>
  <si>
    <t>3201</t>
  </si>
  <si>
    <t>234</t>
  </si>
  <si>
    <t>3253</t>
  </si>
  <si>
    <t>237</t>
  </si>
  <si>
    <t>0,88 kg</t>
  </si>
  <si>
    <t>275 kg</t>
  </si>
  <si>
    <t>3210</t>
  </si>
  <si>
    <t>39,6 kg</t>
  </si>
  <si>
    <t>396663 ezüst</t>
  </si>
  <si>
    <t>3316</t>
  </si>
  <si>
    <t>1,11 kg</t>
  </si>
  <si>
    <t>243</t>
  </si>
  <si>
    <t>1,22 kg</t>
  </si>
  <si>
    <t>1,92 kg</t>
  </si>
  <si>
    <t>3332</t>
  </si>
  <si>
    <t>1,35 kg</t>
  </si>
  <si>
    <t>3396</t>
  </si>
  <si>
    <t>281 kg</t>
  </si>
  <si>
    <t>399669 ezüst</t>
  </si>
  <si>
    <t>3340</t>
  </si>
  <si>
    <t>40 kg</t>
  </si>
  <si>
    <t>252</t>
  </si>
  <si>
    <t>3443</t>
  </si>
  <si>
    <t>3463</t>
  </si>
  <si>
    <t>258</t>
  </si>
  <si>
    <t>1,53 kg</t>
  </si>
  <si>
    <t>420072 ezüst</t>
  </si>
  <si>
    <t>3471</t>
  </si>
  <si>
    <t>40,4 kg</t>
  </si>
  <si>
    <t>261</t>
  </si>
  <si>
    <t>3576</t>
  </si>
  <si>
    <t>270</t>
  </si>
  <si>
    <t>3596</t>
  </si>
  <si>
    <t>264</t>
  </si>
  <si>
    <t>46 db </t>
  </si>
  <si>
    <t>267</t>
  </si>
  <si>
    <t>3604</t>
  </si>
  <si>
    <t>40,8 kg</t>
  </si>
  <si>
    <t>413030 ezüst</t>
  </si>
  <si>
    <t>273</t>
  </si>
  <si>
    <t>1,78 kg</t>
  </si>
  <si>
    <t>3715</t>
  </si>
  <si>
    <t>3732</t>
  </si>
  <si>
    <t>276</t>
  </si>
  <si>
    <t>3778</t>
  </si>
  <si>
    <t>3740</t>
  </si>
  <si>
    <t>41,2 kg</t>
  </si>
  <si>
    <t>285</t>
  </si>
  <si>
    <t>279</t>
  </si>
  <si>
    <t>2,25 kg</t>
  </si>
  <si>
    <t>3849</t>
  </si>
  <si>
    <t>1,82 kg</t>
  </si>
  <si>
    <t>282</t>
  </si>
  <si>
    <t>3867</t>
  </si>
  <si>
    <t>1040000 ezüst</t>
  </si>
  <si>
    <t>288</t>
  </si>
  <si>
    <t>3921</t>
  </si>
  <si>
    <t>291</t>
  </si>
  <si>
    <t>1060000 ezüst</t>
  </si>
  <si>
    <t>178</t>
  </si>
  <si>
    <t>3875</t>
  </si>
  <si>
    <t>41,6 kg</t>
  </si>
  <si>
    <t>292</t>
  </si>
  <si>
    <t>3983</t>
  </si>
  <si>
    <t>2,52 kg</t>
  </si>
  <si>
    <t>294</t>
  </si>
  <si>
    <t>4004</t>
  </si>
  <si>
    <t>181</t>
  </si>
  <si>
    <t>297</t>
  </si>
  <si>
    <t>1080000 ezüst</t>
  </si>
  <si>
    <t>4055</t>
  </si>
  <si>
    <t>0,96 kg</t>
  </si>
  <si>
    <t>4011</t>
  </si>
  <si>
    <t>184</t>
  </si>
  <si>
    <t>42 kg</t>
  </si>
  <si>
    <t>303</t>
  </si>
  <si>
    <t>540690 ezüst</t>
  </si>
  <si>
    <t>187</t>
  </si>
  <si>
    <t>1,58 kg</t>
  </si>
  <si>
    <t>306</t>
  </si>
  <si>
    <t>315</t>
  </si>
  <si>
    <t>4139</t>
  </si>
  <si>
    <t>309</t>
  </si>
  <si>
    <t>4187</t>
  </si>
  <si>
    <t>1120000 ezüst</t>
  </si>
  <si>
    <t>4146</t>
  </si>
  <si>
    <t>42,4 kg</t>
  </si>
  <si>
    <t>310</t>
  </si>
  <si>
    <t>68 db </t>
  </si>
  <si>
    <t>4245</t>
  </si>
  <si>
    <t>1,34 kg</t>
  </si>
  <si>
    <t>312</t>
  </si>
  <si>
    <t>4274</t>
  </si>
  <si>
    <t>670500 ezüst</t>
  </si>
  <si>
    <t>4319</t>
  </si>
  <si>
    <t>1140000 ezüst</t>
  </si>
  <si>
    <t>318</t>
  </si>
  <si>
    <t>1,87 kg</t>
  </si>
  <si>
    <t>4281</t>
  </si>
  <si>
    <t>42,8 kg</t>
  </si>
  <si>
    <t>194</t>
  </si>
  <si>
    <t>4385</t>
  </si>
  <si>
    <t>321</t>
  </si>
  <si>
    <t>2,43 kg</t>
  </si>
  <si>
    <t>1160000 ezüst</t>
  </si>
  <si>
    <t>4409</t>
  </si>
  <si>
    <t>696000 ezüst</t>
  </si>
  <si>
    <t>4461</t>
  </si>
  <si>
    <t>324</t>
  </si>
  <si>
    <t>4416</t>
  </si>
  <si>
    <t>43,2 kg</t>
  </si>
  <si>
    <t>327</t>
  </si>
  <si>
    <t>1180000 ezüst</t>
  </si>
  <si>
    <t>71 db </t>
  </si>
  <si>
    <t>202</t>
  </si>
  <si>
    <t>4522</t>
  </si>
  <si>
    <t>1190000 ezüst</t>
  </si>
  <si>
    <t>4544</t>
  </si>
  <si>
    <t>36,2 kg</t>
  </si>
  <si>
    <t>1,16 kg</t>
  </si>
  <si>
    <t>697500 ezüst</t>
  </si>
  <si>
    <t>4595</t>
  </si>
  <si>
    <t>0,49 kg</t>
  </si>
  <si>
    <t>0,98 kg</t>
  </si>
  <si>
    <t>4551</t>
  </si>
  <si>
    <t>345</t>
  </si>
  <si>
    <t>1210000 ezüst</t>
  </si>
  <si>
    <t>43,6 kg</t>
  </si>
  <si>
    <t>336</t>
  </si>
  <si>
    <t>2,76 kg</t>
  </si>
  <si>
    <t>4652</t>
  </si>
  <si>
    <t>1,27 kg</t>
  </si>
  <si>
    <t>4681</t>
  </si>
  <si>
    <t>339</t>
  </si>
  <si>
    <t>1227500 ezüst</t>
  </si>
  <si>
    <t>1,95 kg</t>
  </si>
  <si>
    <t>1232500 ezüst</t>
  </si>
  <si>
    <t>344</t>
  </si>
  <si>
    <t>0,47 kg</t>
  </si>
  <si>
    <t>1260000 ezüst</t>
  </si>
  <si>
    <t>4730</t>
  </si>
  <si>
    <t>1,45 kg</t>
  </si>
  <si>
    <t>217</t>
  </si>
  <si>
    <t>4687</t>
  </si>
  <si>
    <t>44 kg</t>
  </si>
  <si>
    <t>346</t>
  </si>
  <si>
    <t>1270000 ezüst</t>
  </si>
  <si>
    <t>2,49 kg</t>
  </si>
  <si>
    <t>4787</t>
  </si>
  <si>
    <t>4815</t>
  </si>
  <si>
    <t>352</t>
  </si>
  <si>
    <t>4,12 kg</t>
  </si>
  <si>
    <t>1285000 ezüst</t>
  </si>
  <si>
    <t>4865</t>
  </si>
  <si>
    <t>358</t>
  </si>
  <si>
    <t>1320000 ezüst</t>
  </si>
  <si>
    <t>4821</t>
  </si>
  <si>
    <t>361</t>
  </si>
  <si>
    <t>44,4 kg</t>
  </si>
  <si>
    <t>1340000 ezüst</t>
  </si>
  <si>
    <t>348</t>
  </si>
  <si>
    <t>1360000 ezüst</t>
  </si>
  <si>
    <t>4928</t>
  </si>
  <si>
    <t>367</t>
  </si>
  <si>
    <t>1380000 ezüst</t>
  </si>
  <si>
    <t>4950</t>
  </si>
  <si>
    <t>4996</t>
  </si>
  <si>
    <t>1,94 kg</t>
  </si>
  <si>
    <t>1420000 ezüst</t>
  </si>
  <si>
    <t>4956</t>
  </si>
  <si>
    <t>44,8 kg</t>
  </si>
  <si>
    <t>376</t>
  </si>
  <si>
    <t>1440000 ezüst</t>
  </si>
  <si>
    <t>5058</t>
  </si>
  <si>
    <t>379</t>
  </si>
  <si>
    <t>1460000 ezüst</t>
  </si>
  <si>
    <t>5085</t>
  </si>
  <si>
    <t>356</t>
  </si>
  <si>
    <t>382</t>
  </si>
  <si>
    <t>1480000 ezüst</t>
  </si>
  <si>
    <t>385</t>
  </si>
  <si>
    <t>2,87 kg</t>
  </si>
  <si>
    <t>5126</t>
  </si>
  <si>
    <t>388</t>
  </si>
  <si>
    <t>1520000 ezüst</t>
  </si>
  <si>
    <t>5091</t>
  </si>
  <si>
    <t>45,2 kg</t>
  </si>
  <si>
    <t>5194</t>
  </si>
  <si>
    <t>1540000 ezüst</t>
  </si>
  <si>
    <t>396</t>
  </si>
  <si>
    <t>5219</t>
  </si>
  <si>
    <t>5266</t>
  </si>
  <si>
    <t>5225</t>
  </si>
  <si>
    <t>45,6 kg</t>
  </si>
  <si>
    <t>5325</t>
  </si>
  <si>
    <t>5356</t>
  </si>
  <si>
    <t>5395</t>
  </si>
  <si>
    <t>5366</t>
  </si>
  <si>
    <t>46 kg</t>
  </si>
  <si>
    <t>256 db </t>
  </si>
  <si>
    <t>5462</t>
  </si>
  <si>
    <t>5493</t>
  </si>
  <si>
    <t>5532</t>
  </si>
  <si>
    <t>1500 db </t>
  </si>
  <si>
    <t>5498</t>
  </si>
  <si>
    <t>46,4 kg</t>
  </si>
  <si>
    <t>5596</t>
  </si>
  <si>
    <t>5627</t>
  </si>
  <si>
    <t>54 db </t>
  </si>
  <si>
    <t>5668</t>
  </si>
  <si>
    <t>5631</t>
  </si>
  <si>
    <t>46,8 kg</t>
  </si>
  <si>
    <t>220 db </t>
  </si>
  <si>
    <t>527</t>
  </si>
  <si>
    <t>5726</t>
  </si>
  <si>
    <t>5758</t>
  </si>
  <si>
    <t>Páncél</t>
  </si>
  <si>
    <t>5804</t>
  </si>
  <si>
    <t>28 ezüst</t>
  </si>
  <si>
    <t>5768</t>
  </si>
  <si>
    <t>47,2 kg</t>
  </si>
  <si>
    <t>55 ezüst</t>
  </si>
  <si>
    <t>72 ezüst</t>
  </si>
  <si>
    <t>5863</t>
  </si>
  <si>
    <t>5892</t>
  </si>
  <si>
    <t>268 ezüst</t>
  </si>
  <si>
    <t>5931</t>
  </si>
  <si>
    <t>1100 ezüst</t>
  </si>
  <si>
    <t>5902</t>
  </si>
  <si>
    <t>47,6 kg</t>
  </si>
  <si>
    <t>1310 ezüst</t>
  </si>
  <si>
    <t>2800 ezüst</t>
  </si>
  <si>
    <t>5997</t>
  </si>
  <si>
    <t>1,84 kg</t>
  </si>
  <si>
    <t>3800 ezüst</t>
  </si>
  <si>
    <t>6055</t>
  </si>
  <si>
    <t>852500 ezüst</t>
  </si>
  <si>
    <t>6076</t>
  </si>
  <si>
    <t>737500 ezüst</t>
  </si>
  <si>
    <t>6147</t>
  </si>
  <si>
    <t>1230000 ezüst</t>
  </si>
  <si>
    <t>6115</t>
  </si>
  <si>
    <t>6221</t>
  </si>
  <si>
    <t>932000 ezüst</t>
  </si>
  <si>
    <t>41,5 kg</t>
  </si>
  <si>
    <t>6289</t>
  </si>
  <si>
    <t>6254</t>
  </si>
  <si>
    <t>942000 ezüst</t>
  </si>
  <si>
    <t>2,98 kg</t>
  </si>
  <si>
    <t>6360</t>
  </si>
  <si>
    <t>971000 ezüst</t>
  </si>
  <si>
    <t>6459</t>
  </si>
  <si>
    <t>175000 ezüst</t>
  </si>
  <si>
    <t>6424</t>
  </si>
  <si>
    <t>2,57 kg</t>
  </si>
  <si>
    <t>185000 ezüst</t>
  </si>
  <si>
    <t>6421</t>
  </si>
  <si>
    <t>6505</t>
  </si>
  <si>
    <t>6,8 kg</t>
  </si>
  <si>
    <t>6560</t>
  </si>
  <si>
    <t>1002000 ezüst</t>
  </si>
  <si>
    <t>6666</t>
  </si>
  <si>
    <t>6621</t>
  </si>
  <si>
    <t>6673</t>
  </si>
  <si>
    <t>1025000 ezüst</t>
  </si>
  <si>
    <t>6765</t>
  </si>
  <si>
    <t>1375000 ezüst</t>
  </si>
  <si>
    <t>6742</t>
  </si>
  <si>
    <t>4,32 kg</t>
  </si>
  <si>
    <t>6800</t>
  </si>
  <si>
    <t>6900</t>
  </si>
  <si>
    <t>1425000 ezüst</t>
  </si>
  <si>
    <t>6852</t>
  </si>
  <si>
    <t>2,89 kg</t>
  </si>
  <si>
    <t>6918</t>
  </si>
  <si>
    <t>7010</t>
  </si>
  <si>
    <t>1475000 ezüst</t>
  </si>
  <si>
    <t>6984</t>
  </si>
  <si>
    <t>2,925 kg</t>
  </si>
  <si>
    <t>7043</t>
  </si>
  <si>
    <t>2,005 kg</t>
  </si>
  <si>
    <t>1525000 ezüst</t>
  </si>
  <si>
    <t>7104</t>
  </si>
  <si>
    <t>182</t>
  </si>
  <si>
    <t>7158</t>
  </si>
  <si>
    <t>7264</t>
  </si>
  <si>
    <t>1575000 ezüst</t>
  </si>
  <si>
    <t>7212</t>
  </si>
  <si>
    <t>4,78 kg</t>
  </si>
  <si>
    <t>188</t>
  </si>
  <si>
    <t>7380</t>
  </si>
  <si>
    <t>206</t>
  </si>
  <si>
    <t>7451</t>
  </si>
  <si>
    <t>7540</t>
  </si>
  <si>
    <t>7562</t>
  </si>
  <si>
    <t>7626</t>
  </si>
  <si>
    <t>2,85 kg</t>
  </si>
  <si>
    <t>7722</t>
  </si>
  <si>
    <t>7740</t>
  </si>
  <si>
    <t>7806</t>
  </si>
  <si>
    <t>7904</t>
  </si>
  <si>
    <t>236</t>
  </si>
  <si>
    <t>7930</t>
  </si>
  <si>
    <t>242</t>
  </si>
  <si>
    <t>7964</t>
  </si>
  <si>
    <t>3,26 kg</t>
  </si>
  <si>
    <t>2,08 kg</t>
  </si>
  <si>
    <t>259</t>
  </si>
  <si>
    <t>8154</t>
  </si>
  <si>
    <t>254</t>
  </si>
  <si>
    <t>8435</t>
  </si>
  <si>
    <t>8528</t>
  </si>
  <si>
    <t>266</t>
  </si>
  <si>
    <t>8628</t>
  </si>
  <si>
    <t>272</t>
  </si>
  <si>
    <t>8715</t>
  </si>
  <si>
    <t>289</t>
  </si>
  <si>
    <t>278</t>
  </si>
  <si>
    <t>8850</t>
  </si>
  <si>
    <t>284</t>
  </si>
  <si>
    <t>290</t>
  </si>
  <si>
    <t>302</t>
  </si>
  <si>
    <t>319</t>
  </si>
  <si>
    <t>308</t>
  </si>
  <si>
    <t>314</t>
  </si>
  <si>
    <t>Név</t>
  </si>
  <si>
    <t>Komp 1</t>
  </si>
  <si>
    <t>db</t>
  </si>
  <si>
    <t>Komp 2</t>
  </si>
  <si>
    <t>Komp 3</t>
  </si>
  <si>
    <t>gyémánt láncing</t>
  </si>
  <si>
    <t>326</t>
  </si>
  <si>
    <t>vászoning</t>
  </si>
  <si>
    <t>rézpáncél</t>
  </si>
  <si>
    <t>tuskópáncél</t>
  </si>
  <si>
    <t>bronzpáncél</t>
  </si>
  <si>
    <t>láncing</t>
  </si>
  <si>
    <t>vasérc</t>
  </si>
  <si>
    <t>óngoyó</t>
  </si>
  <si>
    <t>vaspáncél</t>
  </si>
  <si>
    <t>bőrpáncél</t>
  </si>
  <si>
    <t>vasárc</t>
  </si>
  <si>
    <t>óngolyó</t>
  </si>
  <si>
    <t>ezüst láncing</t>
  </si>
  <si>
    <t>ezüst</t>
  </si>
  <si>
    <t>arany</t>
  </si>
  <si>
    <t>aranyláncing</t>
  </si>
  <si>
    <t>332</t>
  </si>
  <si>
    <t>349</t>
  </si>
  <si>
    <t>2,51 kg</t>
  </si>
  <si>
    <t>Zamárdi felsője</t>
  </si>
  <si>
    <t>338</t>
  </si>
  <si>
    <t>ezüstpáncél</t>
  </si>
  <si>
    <t>aranypáncél</t>
  </si>
  <si>
    <t>rubin láncing</t>
  </si>
  <si>
    <t>smaragd láncing</t>
  </si>
  <si>
    <t>mágusköpeny</t>
  </si>
  <si>
    <t>362</t>
  </si>
  <si>
    <t>1,66 kg</t>
  </si>
  <si>
    <t>gyémántpáncél</t>
  </si>
  <si>
    <t>368</t>
  </si>
  <si>
    <t>374</t>
  </si>
  <si>
    <t>380</t>
  </si>
  <si>
    <t>386</t>
  </si>
  <si>
    <t>2,73 kg</t>
  </si>
  <si>
    <t>392</t>
  </si>
  <si>
    <t>409</t>
  </si>
  <si>
    <t>398</t>
  </si>
  <si>
    <t>404</t>
  </si>
  <si>
    <t>2,67 kg</t>
  </si>
  <si>
    <t>416</t>
  </si>
  <si>
    <t>333333 ezüst</t>
  </si>
  <si>
    <t>422</t>
  </si>
  <si>
    <t>439</t>
  </si>
  <si>
    <t>1,55 kg</t>
  </si>
  <si>
    <t>428</t>
  </si>
  <si>
    <t>434</t>
  </si>
  <si>
    <t>366066 ezüst</t>
  </si>
  <si>
    <t>446</t>
  </si>
  <si>
    <t>452</t>
  </si>
  <si>
    <t>2,19 kg</t>
  </si>
  <si>
    <t>458</t>
  </si>
  <si>
    <t>369076 ezüst</t>
  </si>
  <si>
    <t>464</t>
  </si>
  <si>
    <t>2,62 kg</t>
  </si>
  <si>
    <t>470</t>
  </si>
  <si>
    <t>2,95 kg</t>
  </si>
  <si>
    <t>476</t>
  </si>
  <si>
    <t>399366 ezüst</t>
  </si>
  <si>
    <t>482</t>
  </si>
  <si>
    <t>488</t>
  </si>
  <si>
    <t>2,92 kg</t>
  </si>
  <si>
    <t>494</t>
  </si>
  <si>
    <t>2,58 kg</t>
  </si>
  <si>
    <t>500</t>
  </si>
  <si>
    <t>506</t>
  </si>
  <si>
    <t>512</t>
  </si>
  <si>
    <t>411000 ezüst</t>
  </si>
  <si>
    <t>524</t>
  </si>
  <si>
    <t>530</t>
  </si>
  <si>
    <t>420081 ezüst</t>
  </si>
  <si>
    <t>536</t>
  </si>
  <si>
    <t>542</t>
  </si>
  <si>
    <t>2,32 kg</t>
  </si>
  <si>
    <t>548</t>
  </si>
  <si>
    <t>1,76 kg</t>
  </si>
  <si>
    <t>560</t>
  </si>
  <si>
    <t>566</t>
  </si>
  <si>
    <t>572</t>
  </si>
  <si>
    <t>578</t>
  </si>
  <si>
    <t>450081 ezüst</t>
  </si>
  <si>
    <t>596</t>
  </si>
  <si>
    <t>602</t>
  </si>
  <si>
    <t>650280 ezüst</t>
  </si>
  <si>
    <t>2,94 kg</t>
  </si>
  <si>
    <t>608</t>
  </si>
  <si>
    <t>614</t>
  </si>
  <si>
    <t>2,39 kg</t>
  </si>
  <si>
    <t>620</t>
  </si>
  <si>
    <t>626</t>
  </si>
  <si>
    <t>2,93 kg</t>
  </si>
  <si>
    <t>2,11 kg</t>
  </si>
  <si>
    <t>61 db </t>
  </si>
  <si>
    <t>649</t>
  </si>
  <si>
    <t>3,29 kg</t>
  </si>
  <si>
    <t>638</t>
  </si>
  <si>
    <t>644</t>
  </si>
  <si>
    <t>650</t>
  </si>
  <si>
    <t>656</t>
  </si>
  <si>
    <t>0,73 kg</t>
  </si>
  <si>
    <t>699900 ezüst</t>
  </si>
  <si>
    <t>679</t>
  </si>
  <si>
    <t>662</t>
  </si>
  <si>
    <t>666</t>
  </si>
  <si>
    <t>1215000 ezüst</t>
  </si>
  <si>
    <t>670</t>
  </si>
  <si>
    <t>1240000 ezüst</t>
  </si>
  <si>
    <t>674</t>
  </si>
  <si>
    <t>1280000 ezüst</t>
  </si>
  <si>
    <t>1255000 ezüst</t>
  </si>
  <si>
    <t>709</t>
  </si>
  <si>
    <t>2,72 kg</t>
  </si>
  <si>
    <t>677</t>
  </si>
  <si>
    <t>3,25 kg</t>
  </si>
  <si>
    <t>684</t>
  </si>
  <si>
    <t>3,75 kg</t>
  </si>
  <si>
    <t>696</t>
  </si>
  <si>
    <t>1410000 ezüst</t>
  </si>
  <si>
    <t>702</t>
  </si>
  <si>
    <t>708</t>
  </si>
  <si>
    <t>1470000 ezüst</t>
  </si>
  <si>
    <t>714</t>
  </si>
  <si>
    <t>720</t>
  </si>
  <si>
    <t>1530000 ezüst</t>
  </si>
  <si>
    <t>726</t>
  </si>
  <si>
    <t>1560000 ezüst</t>
  </si>
  <si>
    <t>4,17 kg</t>
  </si>
  <si>
    <t>1590000 ezüst</t>
  </si>
  <si>
    <t>738</t>
  </si>
  <si>
    <t>1620000 ezüst</t>
  </si>
  <si>
    <t>744</t>
  </si>
  <si>
    <t>3,64 kg</t>
  </si>
  <si>
    <t>3,57 kg</t>
  </si>
  <si>
    <t>1680000 ezüst</t>
  </si>
  <si>
    <t>756</t>
  </si>
  <si>
    <t>1710000 ezüst</t>
  </si>
  <si>
    <t>3,33 kg</t>
  </si>
  <si>
    <t>788</t>
  </si>
  <si>
    <t>794</t>
  </si>
  <si>
    <t>800</t>
  </si>
  <si>
    <t>3,43 kg</t>
  </si>
  <si>
    <t>806</t>
  </si>
  <si>
    <t>812</t>
  </si>
  <si>
    <t>2,86 kg</t>
  </si>
  <si>
    <t>818</t>
  </si>
  <si>
    <t>824</t>
  </si>
  <si>
    <t>830</t>
  </si>
  <si>
    <t>2,09 kg</t>
  </si>
  <si>
    <t>836</t>
  </si>
  <si>
    <t>842</t>
  </si>
  <si>
    <t>854</t>
  </si>
  <si>
    <t>3000000 ezüst</t>
  </si>
  <si>
    <t>3100000 ezüst</t>
  </si>
  <si>
    <t>866</t>
  </si>
  <si>
    <t>3200000 ezüst</t>
  </si>
  <si>
    <t>3300000 ezüst</t>
  </si>
  <si>
    <t>878</t>
  </si>
  <si>
    <t>3400000 ezüst</t>
  </si>
  <si>
    <t>0,125 kg</t>
  </si>
  <si>
    <t>1457 ezüst</t>
  </si>
  <si>
    <t>2538 ezüst</t>
  </si>
  <si>
    <t>4800 ezüst</t>
  </si>
  <si>
    <t>Egerészbagoly</t>
  </si>
  <si>
    <t>Életpont</t>
  </si>
  <si>
    <t>Tapasztalati pont</t>
  </si>
  <si>
    <t>Legjobban sebezhető</t>
  </si>
  <si>
    <t>Nem</t>
  </si>
  <si>
    <t>Előfordulás</t>
  </si>
  <si>
    <t>Larkinor</t>
  </si>
  <si>
    <t>Telepíthető</t>
  </si>
  <si>
    <t>Dobott tárgyak</t>
  </si>
  <si>
    <t>Utcapatkány</t>
  </si>
  <si>
    <t>Lúdtalpas százlábú</t>
  </si>
  <si>
    <t>Borzasdenevér</t>
  </si>
  <si>
    <t>Törpe csatasün</t>
  </si>
  <si>
    <t>Vérszomjas moszkitóraj</t>
  </si>
  <si>
    <t>Nyamvadt varázslótanonc</t>
  </si>
  <si>
    <t>Durranóvarangy</t>
  </si>
  <si>
    <t>Árokparti diótörőrák</t>
  </si>
  <si>
    <t>Csontváz</t>
  </si>
  <si>
    <t>Vicsorgó galóca</t>
  </si>
  <si>
    <t>Goblin felderítőcsapat</t>
  </si>
  <si>
    <t>Mammutlégy</t>
  </si>
  <si>
    <t>Laborpatkány pár</t>
  </si>
  <si>
    <t>Emberevő eszköz</t>
  </si>
  <si>
    <t>Büdöscsőrű keselyű</t>
  </si>
  <si>
    <t>Lódarázs</t>
  </si>
  <si>
    <t>Parafagólem</t>
  </si>
  <si>
    <t>Emberevő pitypang</t>
  </si>
  <si>
    <t>Goblin hadvezér</t>
  </si>
  <si>
    <t>Mocsár</t>
  </si>
  <si>
    <t>A kéz</t>
  </si>
  <si>
    <t>Vudumókus</t>
  </si>
  <si>
    <t>Harapós állkapocsteknős</t>
  </si>
  <si>
    <t>Mammutlégy lárva</t>
  </si>
  <si>
    <t>Göröngyhangya</t>
  </si>
  <si>
    <t>Szúrós dinnyehéj</t>
  </si>
  <si>
    <t>Sziklabarlangok</t>
  </si>
  <si>
    <t>Lapátmancsú vérvakond</t>
  </si>
  <si>
    <t>Gebe városi lándzsás</t>
  </si>
  <si>
    <t>Őrült bányásztörpe</t>
  </si>
  <si>
    <t>Kaméleon</t>
  </si>
  <si>
    <t>Tuskótörzs harcosa</t>
  </si>
  <si>
    <t>Poshadt zombi</t>
  </si>
  <si>
    <t>Temető</t>
  </si>
  <si>
    <t>Dagonyadisznó</t>
  </si>
  <si>
    <t>Erdő</t>
  </si>
  <si>
    <t>Szellőelementál</t>
  </si>
  <si>
    <t>Igen</t>
  </si>
  <si>
    <t>Vízcseppelementál</t>
  </si>
  <si>
    <t>Orrszarvúbogár</t>
  </si>
  <si>
    <t>Madárijesztő</t>
  </si>
  <si>
    <t>Mágus negyed</t>
  </si>
  <si>
    <t>Kövér városi őr</t>
  </si>
  <si>
    <t>Részeg matróz</t>
  </si>
  <si>
    <t>Sötét negyed</t>
  </si>
  <si>
    <t>2147 db </t>
  </si>
  <si>
    <t>Szúrós medvetalp</t>
  </si>
  <si>
    <t>Kacagó hiéna</t>
  </si>
  <si>
    <t>Magányos farkas</t>
  </si>
  <si>
    <t>Csontváz íjász</t>
  </si>
  <si>
    <t>389</t>
  </si>
  <si>
    <t>Goblin íjászok</t>
  </si>
  <si>
    <t>Szúrós óriásoszlop</t>
  </si>
  <si>
    <t>Zombi favágó</t>
  </si>
  <si>
    <t>Ork harcos</t>
  </si>
  <si>
    <t>Kezdő tűzvarázsló</t>
  </si>
  <si>
    <t>Ork lándzsahajító</t>
  </si>
  <si>
    <t>555</t>
  </si>
  <si>
    <t>Goblin patkánylovasok</t>
  </si>
  <si>
    <t>Tuskótörzs bérgyilkosa</t>
  </si>
  <si>
    <t>Csontvázlovas</t>
  </si>
  <si>
    <t>Fáklyaelementál</t>
  </si>
  <si>
    <t>540</t>
  </si>
  <si>
    <t>Kavicselementál</t>
  </si>
  <si>
    <t>Falánk ingaóra</t>
  </si>
  <si>
    <t>Éber rétisas</t>
  </si>
  <si>
    <t>Bolyhos tarantella</t>
  </si>
  <si>
    <t>610</t>
  </si>
  <si>
    <t>Óriás imádkozósáska</t>
  </si>
  <si>
    <t>645</t>
  </si>
  <si>
    <t>Donna Brutália</t>
  </si>
  <si>
    <t>580</t>
  </si>
  <si>
    <t>Kezdő negyed</t>
  </si>
  <si>
    <t>Tehetős kereskedő</t>
  </si>
  <si>
    <t>Erdei gorilla</t>
  </si>
  <si>
    <t>970</t>
  </si>
  <si>
    <t>Nemu</t>
  </si>
  <si>
    <t>914</t>
  </si>
  <si>
    <t>Csuklyás kobra</t>
  </si>
  <si>
    <t>Goblin harcművészek</t>
  </si>
  <si>
    <t>1111</t>
  </si>
  <si>
    <t>Agyszívólepke</t>
  </si>
  <si>
    <t>999</t>
  </si>
  <si>
    <t>Fűrészfogú posványalligátor</t>
  </si>
  <si>
    <t>1150</t>
  </si>
  <si>
    <t>Délszigeti csörgőkígyó</t>
  </si>
  <si>
    <t>1001</t>
  </si>
  <si>
    <t>Falusi bika</t>
  </si>
  <si>
    <t>Pegazus</t>
  </si>
  <si>
    <t>1300</t>
  </si>
  <si>
    <t>Piranharaj</t>
  </si>
  <si>
    <t>1219</t>
  </si>
  <si>
    <t>Csontork</t>
  </si>
  <si>
    <t>1230</t>
  </si>
  <si>
    <t>Elit városi lándzsás</t>
  </si>
  <si>
    <t>1399</t>
  </si>
  <si>
    <t>Démonjuh</t>
  </si>
  <si>
    <t>1410</t>
  </si>
  <si>
    <t>Démonnyúl</t>
  </si>
  <si>
    <t>1400</t>
  </si>
  <si>
    <t>Tuskófőnök</t>
  </si>
  <si>
    <t>Csápos kredenc</t>
  </si>
  <si>
    <t>1510</t>
  </si>
  <si>
    <t>Harcikutya-szelidítő</t>
  </si>
  <si>
    <t>1480</t>
  </si>
  <si>
    <t>Böhömpatkány</t>
  </si>
  <si>
    <t>1503</t>
  </si>
  <si>
    <t>Temető szellem</t>
  </si>
  <si>
    <t>1430</t>
  </si>
  <si>
    <t>Unikorn</t>
  </si>
  <si>
    <t>Pézsmabölény</t>
  </si>
  <si>
    <t>1572</t>
  </si>
  <si>
    <t>Halott lovag</t>
  </si>
  <si>
    <t>1632</t>
  </si>
  <si>
    <t>Törpe harcos</t>
  </si>
  <si>
    <t>1590</t>
  </si>
  <si>
    <t>Kapamagica</t>
  </si>
  <si>
    <t>225000 ezüst</t>
  </si>
  <si>
    <t>1670</t>
  </si>
  <si>
    <t>Ork pallosharcos</t>
  </si>
  <si>
    <t>1710</t>
  </si>
  <si>
    <t>Faun</t>
  </si>
  <si>
    <t>Csont minotaurusz</t>
  </si>
  <si>
    <t>1660</t>
  </si>
  <si>
    <t>Feketepárduc</t>
  </si>
  <si>
    <t>1801</t>
  </si>
  <si>
    <t>Fehér tigris</t>
  </si>
  <si>
    <t>1804</t>
  </si>
  <si>
    <t>Oroszlán</t>
  </si>
  <si>
    <t>179</t>
  </si>
  <si>
    <t>1810</t>
  </si>
  <si>
    <t>Halászmedve</t>
  </si>
  <si>
    <t>1800</t>
  </si>
  <si>
    <t>Harci elefánt</t>
  </si>
  <si>
    <t>2190</t>
  </si>
  <si>
    <t>Kérgestalpú orrszarvú</t>
  </si>
  <si>
    <t>2150</t>
  </si>
  <si>
    <t>Kezdő bérgyilkos</t>
  </si>
  <si>
    <t>2100</t>
  </si>
  <si>
    <t>Sziámi zombi</t>
  </si>
  <si>
    <t>1950</t>
  </si>
  <si>
    <t>Tucatszemlötyi</t>
  </si>
  <si>
    <t>2360</t>
  </si>
  <si>
    <t>Koponyadémon</t>
  </si>
  <si>
    <t>2390</t>
  </si>
  <si>
    <t>Erdőent</t>
  </si>
  <si>
    <t>2220</t>
  </si>
  <si>
    <t>Dongagólem</t>
  </si>
  <si>
    <t>2310</t>
  </si>
  <si>
    <t>Óriáskalmár</t>
  </si>
  <si>
    <t>2560</t>
  </si>
  <si>
    <t>Tuskósámán</t>
  </si>
  <si>
    <t>2624</t>
  </si>
  <si>
    <t>Páncélskorpió</t>
  </si>
  <si>
    <t>Harcias szénásszekér</t>
  </si>
  <si>
    <t>223</t>
  </si>
  <si>
    <t>Tajtékelementál</t>
  </si>
  <si>
    <t>3150</t>
  </si>
  <si>
    <t>Viharelementál</t>
  </si>
  <si>
    <t>3100</t>
  </si>
  <si>
    <t>Vasszűz</t>
  </si>
  <si>
    <t>2999</t>
  </si>
  <si>
    <t>Minotaurusz harcos</t>
  </si>
  <si>
    <t>244</t>
  </si>
  <si>
    <t>2780</t>
  </si>
  <si>
    <t>Goblin gyalogosezred</t>
  </si>
  <si>
    <t>287</t>
  </si>
  <si>
    <t>3550</t>
  </si>
  <si>
    <t>Drabális állat</t>
  </si>
  <si>
    <t>3390</t>
  </si>
  <si>
    <t>Ork sámán</t>
  </si>
  <si>
    <t>275</t>
  </si>
  <si>
    <t>3420</t>
  </si>
  <si>
    <t>Múmia</t>
  </si>
  <si>
    <t>3540</t>
  </si>
  <si>
    <t>Alakváltó</t>
  </si>
  <si>
    <t>298</t>
  </si>
  <si>
    <t>4740</t>
  </si>
  <si>
    <t>Bérgyilkos tetem</t>
  </si>
  <si>
    <t>4450</t>
  </si>
  <si>
    <t>200 éves vámpír</t>
  </si>
  <si>
    <t>4700</t>
  </si>
  <si>
    <t>Harcigolyógép</t>
  </si>
  <si>
    <t>4200</t>
  </si>
  <si>
    <t>Farkasember</t>
  </si>
  <si>
    <t>4100</t>
  </si>
  <si>
    <t>Szakadár gróf</t>
  </si>
  <si>
    <t>5777</t>
  </si>
  <si>
    <t>Nyünyürc</t>
  </si>
  <si>
    <t>5910</t>
  </si>
  <si>
    <t>Bérrabló</t>
  </si>
  <si>
    <t>5813</t>
  </si>
  <si>
    <t>Nyukug-kü</t>
  </si>
  <si>
    <t>5907</t>
  </si>
  <si>
    <t>73 db </t>
  </si>
  <si>
    <t>Bérgyilkos mester</t>
  </si>
  <si>
    <t>5820</t>
  </si>
  <si>
    <t>Bozóttűzelementál</t>
  </si>
  <si>
    <t>5710</t>
  </si>
  <si>
    <t>Kialuk a kertész</t>
  </si>
  <si>
    <t>2000</t>
  </si>
  <si>
    <t>Anufa a faun</t>
  </si>
  <si>
    <t>1970</t>
  </si>
  <si>
    <t>Minusz</t>
  </si>
  <si>
    <t>Tiorusz</t>
  </si>
  <si>
    <t>1900</t>
  </si>
  <si>
    <t>Ganja a bölény</t>
  </si>
  <si>
    <t>1880</t>
  </si>
  <si>
    <t>Sir Heckenast</t>
  </si>
  <si>
    <t>1820</t>
  </si>
  <si>
    <t>Vigyorgó mellszobor</t>
  </si>
  <si>
    <t>Bumpszlipatkány</t>
  </si>
  <si>
    <t>328</t>
  </si>
  <si>
    <t>1750</t>
  </si>
  <si>
    <t>Sirrabló szelleme</t>
  </si>
  <si>
    <t>1720</t>
  </si>
  <si>
    <t>Sanda Áfonya</t>
  </si>
  <si>
    <t>1700</t>
  </si>
  <si>
    <t>Démoncsirke</t>
  </si>
  <si>
    <t>1650</t>
  </si>
  <si>
    <t>Zabla a bika</t>
  </si>
  <si>
    <t>1600</t>
  </si>
  <si>
    <t>Sziklaelementál</t>
  </si>
  <si>
    <t>Csőrdémon</t>
  </si>
  <si>
    <t>311</t>
  </si>
  <si>
    <t>5950</t>
  </si>
  <si>
    <t>Lecsúszott gladiátor</t>
  </si>
  <si>
    <t>Gyakorlott vízmágus</t>
  </si>
  <si>
    <t>5900</t>
  </si>
  <si>
    <t>Gyakorlott légmágus</t>
  </si>
  <si>
    <t>5899</t>
  </si>
  <si>
    <t>Griffmadár</t>
  </si>
  <si>
    <t>5600</t>
  </si>
  <si>
    <t>Veszett guillotine</t>
  </si>
  <si>
    <t>307</t>
  </si>
  <si>
    <t>4999</t>
  </si>
  <si>
    <t>Nyonyora</t>
  </si>
  <si>
    <t>7700</t>
  </si>
  <si>
    <t>Bérbunkó tolvaj</t>
  </si>
  <si>
    <t>7803</t>
  </si>
  <si>
    <t>Nyeglenyelves démon</t>
  </si>
  <si>
    <t>337</t>
  </si>
  <si>
    <t>7711</t>
  </si>
  <si>
    <t>107 db </t>
  </si>
  <si>
    <t>Mélabús nyenyere</t>
  </si>
  <si>
    <t>331</t>
  </si>
  <si>
    <t>7612</t>
  </si>
  <si>
    <t>Gyakorlott földmágus</t>
  </si>
  <si>
    <t>7500</t>
  </si>
  <si>
    <t>Gyakorlott tűzmágus</t>
  </si>
  <si>
    <t>7311</t>
  </si>
  <si>
    <t>Gyakorlott nekromanta</t>
  </si>
  <si>
    <t>6550</t>
  </si>
  <si>
    <t>Légmágus mester</t>
  </si>
  <si>
    <t>Vízmágus mester</t>
  </si>
  <si>
    <t>6322</t>
  </si>
  <si>
    <t>Mameluk</t>
  </si>
  <si>
    <t>6212</t>
  </si>
  <si>
    <t>Harcos negyed</t>
  </si>
  <si>
    <t>Nyonyóc</t>
  </si>
  <si>
    <t>6001</t>
  </si>
  <si>
    <t>Szt. Ischten</t>
  </si>
  <si>
    <t>375</t>
  </si>
  <si>
    <t>11200</t>
  </si>
  <si>
    <t>Százszorszép</t>
  </si>
  <si>
    <t>9000</t>
  </si>
  <si>
    <t>Bébihidra</t>
  </si>
  <si>
    <t>9823</t>
  </si>
  <si>
    <t>400 éves vámpír</t>
  </si>
  <si>
    <t>9910</t>
  </si>
  <si>
    <t>Inkvizítor</t>
  </si>
  <si>
    <t>9780</t>
  </si>
  <si>
    <t>Klónölő</t>
  </si>
  <si>
    <t>363</t>
  </si>
  <si>
    <t>9679</t>
  </si>
  <si>
    <t>Városközpont</t>
  </si>
  <si>
    <t>Kardművész</t>
  </si>
  <si>
    <t>9510</t>
  </si>
  <si>
    <t>Sznakeliel</t>
  </si>
  <si>
    <t>9074</t>
  </si>
  <si>
    <t>Árnygyilkos</t>
  </si>
  <si>
    <t>353</t>
  </si>
  <si>
    <t>8923</t>
  </si>
  <si>
    <t>Dadacsiga</t>
  </si>
  <si>
    <t>8811</t>
  </si>
  <si>
    <t>Bugyuta barbár</t>
  </si>
  <si>
    <t>8657</t>
  </si>
  <si>
    <t>Tőrmester</t>
  </si>
  <si>
    <t>342</t>
  </si>
  <si>
    <t>8510</t>
  </si>
  <si>
    <t>Skivei orgyilkos</t>
  </si>
  <si>
    <t>397</t>
  </si>
  <si>
    <t>8350</t>
  </si>
  <si>
    <t>Fekete szűz</t>
  </si>
  <si>
    <t>347</t>
  </si>
  <si>
    <t>8101</t>
  </si>
  <si>
    <t>Tuskótotem</t>
  </si>
  <si>
    <t>65000</t>
  </si>
  <si>
    <t>Hanpa Zlaszt</t>
  </si>
  <si>
    <t>415</t>
  </si>
  <si>
    <t>13000</t>
  </si>
  <si>
    <t>Hurrikánelementál</t>
  </si>
  <si>
    <t>537</t>
  </si>
  <si>
    <t>11984</t>
  </si>
  <si>
    <t>Köpenyes koponya</t>
  </si>
  <si>
    <t>11627</t>
  </si>
  <si>
    <t>Vén villámvarázsló</t>
  </si>
  <si>
    <t>11821</t>
  </si>
  <si>
    <t>Szűzdémon</t>
  </si>
  <si>
    <t>10821</t>
  </si>
  <si>
    <t>Thord-artini rém</t>
  </si>
  <si>
    <t>384</t>
  </si>
  <si>
    <t>10672</t>
  </si>
  <si>
    <t>Nekromanta mester</t>
  </si>
  <si>
    <t>11342</t>
  </si>
  <si>
    <t>Bronzgólem</t>
  </si>
  <si>
    <t>381</t>
  </si>
  <si>
    <t>10561</t>
  </si>
  <si>
    <t>Tűzmágus mester</t>
  </si>
  <si>
    <t>372</t>
  </si>
  <si>
    <t>11121</t>
  </si>
  <si>
    <t>Földmágus mester</t>
  </si>
  <si>
    <t>11100</t>
  </si>
  <si>
    <t>Ősi király múmiája</t>
  </si>
  <si>
    <t>11000</t>
  </si>
  <si>
    <t>Ogoshi</t>
  </si>
  <si>
    <t>427</t>
  </si>
  <si>
    <t>15000</t>
  </si>
  <si>
    <t>Trójai bronzbika</t>
  </si>
  <si>
    <t>12477</t>
  </si>
  <si>
    <t>600 éves vámpír</t>
  </si>
  <si>
    <t>13926</t>
  </si>
  <si>
    <t>Fiatal mikrosárkányok</t>
  </si>
  <si>
    <t>277</t>
  </si>
  <si>
    <t>13783</t>
  </si>
  <si>
    <t>Vádlidémon</t>
  </si>
  <si>
    <t>13412</t>
  </si>
  <si>
    <t>Dzsinka harcos</t>
  </si>
  <si>
    <t>13105</t>
  </si>
  <si>
    <t>Kardmester</t>
  </si>
  <si>
    <t>402</t>
  </si>
  <si>
    <t>12713</t>
  </si>
  <si>
    <t>85 db </t>
  </si>
  <si>
    <t>Szembogár</t>
  </si>
  <si>
    <t>12032</t>
  </si>
  <si>
    <t>Fiatal nyomisárkány</t>
  </si>
  <si>
    <t>503</t>
  </si>
  <si>
    <t>12613</t>
  </si>
  <si>
    <t>Élőholt hadúr</t>
  </si>
  <si>
    <t>12327</t>
  </si>
  <si>
    <t>Hegyelementál</t>
  </si>
  <si>
    <t>12227</t>
  </si>
  <si>
    <t>Hullámelementál</t>
  </si>
  <si>
    <t>550</t>
  </si>
  <si>
    <t>12101</t>
  </si>
  <si>
    <t>Ködhínár</t>
  </si>
  <si>
    <t>510</t>
  </si>
  <si>
    <t>15477</t>
  </si>
  <si>
    <t>Tenger</t>
  </si>
  <si>
    <t>Rosszfiú</t>
  </si>
  <si>
    <t>60000</t>
  </si>
  <si>
    <t>Kék lándzsás</t>
  </si>
  <si>
    <t>399</t>
  </si>
  <si>
    <t>15582</t>
  </si>
  <si>
    <t>Thord-artin</t>
  </si>
  <si>
    <t>Nekrodénusz báró</t>
  </si>
  <si>
    <t>16500</t>
  </si>
  <si>
    <t>Éjharcos</t>
  </si>
  <si>
    <t>478</t>
  </si>
  <si>
    <t>14472</t>
  </si>
  <si>
    <t>Fiatal fagysárkány</t>
  </si>
  <si>
    <t>15472</t>
  </si>
  <si>
    <t>Démon hadúr</t>
  </si>
  <si>
    <t>502</t>
  </si>
  <si>
    <t>15389</t>
  </si>
  <si>
    <t>800 éves vámpír</t>
  </si>
  <si>
    <t>475</t>
  </si>
  <si>
    <t>15189</t>
  </si>
  <si>
    <t>84 db </t>
  </si>
  <si>
    <t>Magmaelementál</t>
  </si>
  <si>
    <t>564</t>
  </si>
  <si>
    <t>14989</t>
  </si>
  <si>
    <t>Fiatal lángsárkány</t>
  </si>
  <si>
    <t>511</t>
  </si>
  <si>
    <t>14727</t>
  </si>
  <si>
    <t>Lari tomboló</t>
  </si>
  <si>
    <t>14211</t>
  </si>
  <si>
    <t>Fiatal gránitsárkány</t>
  </si>
  <si>
    <t>14511</t>
  </si>
  <si>
    <t>Csontsárkány</t>
  </si>
  <si>
    <t>14311</t>
  </si>
  <si>
    <t>Fiatal varangysárkány</t>
  </si>
  <si>
    <t>14011</t>
  </si>
  <si>
    <t>18022</t>
  </si>
  <si>
    <t>Sárkányóvónő</t>
  </si>
  <si>
    <t>18500</t>
  </si>
  <si>
    <t>Griff fiókák</t>
  </si>
  <si>
    <t>5800</t>
  </si>
  <si>
    <t>Ork ostromgép</t>
  </si>
  <si>
    <t>Al-uh-minim</t>
  </si>
  <si>
    <t>3850</t>
  </si>
  <si>
    <t>Kompozitelementál</t>
  </si>
  <si>
    <t>3500</t>
  </si>
  <si>
    <t>Tel-ephon kagyló</t>
  </si>
  <si>
    <t>2950</t>
  </si>
  <si>
    <t>Debibebra</t>
  </si>
  <si>
    <t>2600</t>
  </si>
  <si>
    <t>Stiglic Rezső</t>
  </si>
  <si>
    <t>2400</t>
  </si>
  <si>
    <t>A ZSIRÁF</t>
  </si>
  <si>
    <t>Fiatal aranysárkány</t>
  </si>
  <si>
    <t>17933</t>
  </si>
  <si>
    <t>Fiatal 7-fejű sárkány</t>
  </si>
  <si>
    <t>17821</t>
  </si>
  <si>
    <t>Boszorkánymester</t>
  </si>
  <si>
    <t>497</t>
  </si>
  <si>
    <t>17467</t>
  </si>
  <si>
    <t>Ork törzsfőnök</t>
  </si>
  <si>
    <t>17131</t>
  </si>
  <si>
    <t>Fiatal árnysárkány</t>
  </si>
  <si>
    <t>517</t>
  </si>
  <si>
    <t>16931</t>
  </si>
  <si>
    <t>Küklopsz</t>
  </si>
  <si>
    <t>16731</t>
  </si>
  <si>
    <t>Fiatal baziliszkusz</t>
  </si>
  <si>
    <t>528</t>
  </si>
  <si>
    <t>16131</t>
  </si>
  <si>
    <t>Fiatal 3-fejű sárkány</t>
  </si>
  <si>
    <t>16001</t>
  </si>
  <si>
    <t>20281</t>
  </si>
  <si>
    <t>Allergiás Hablang</t>
  </si>
  <si>
    <t>552</t>
  </si>
  <si>
    <t>21000</t>
  </si>
  <si>
    <t>Dimenziósün</t>
  </si>
  <si>
    <t>504</t>
  </si>
  <si>
    <t>19813</t>
  </si>
  <si>
    <t>Kéttucatszemlötyi</t>
  </si>
  <si>
    <t>523</t>
  </si>
  <si>
    <t>19582</t>
  </si>
  <si>
    <t>Tucatszem lárva</t>
  </si>
  <si>
    <t>19340</t>
  </si>
  <si>
    <t>Fagyásponty</t>
  </si>
  <si>
    <t>932</t>
  </si>
  <si>
    <t>19090</t>
  </si>
  <si>
    <t>Kentaur harcos</t>
  </si>
  <si>
    <t>19110</t>
  </si>
  <si>
    <t>Forrásponty</t>
  </si>
  <si>
    <t>930</t>
  </si>
  <si>
    <t>18890</t>
  </si>
  <si>
    <t>Barlangi elf harcos</t>
  </si>
  <si>
    <t>18170</t>
  </si>
  <si>
    <t>Skivei boszorkány</t>
  </si>
  <si>
    <t>Lordon Bordon</t>
  </si>
  <si>
    <t>951</t>
  </si>
  <si>
    <t>150000</t>
  </si>
  <si>
    <t>1,65 kg</t>
  </si>
  <si>
    <t>22783</t>
  </si>
  <si>
    <t>Trágyagólem semlegesítő berendezés</t>
  </si>
  <si>
    <t>654</t>
  </si>
  <si>
    <t>23000</t>
  </si>
  <si>
    <t>Trójai ezüstsas</t>
  </si>
  <si>
    <t>1136</t>
  </si>
  <si>
    <t>20853</t>
  </si>
  <si>
    <t>Vízmágus nagymester</t>
  </si>
  <si>
    <t>22699</t>
  </si>
  <si>
    <t>130 db </t>
  </si>
  <si>
    <t>Trágyagólem</t>
  </si>
  <si>
    <t>1210</t>
  </si>
  <si>
    <t>22420</t>
  </si>
  <si>
    <t>Öreg nyomisárkány</t>
  </si>
  <si>
    <t>21310</t>
  </si>
  <si>
    <t>Öreg mikrosárkányok</t>
  </si>
  <si>
    <t>21030</t>
  </si>
  <si>
    <t>Öreg fagysárkány</t>
  </si>
  <si>
    <t>521</t>
  </si>
  <si>
    <t>21120</t>
  </si>
  <si>
    <t>Földmágus nagymester</t>
  </si>
  <si>
    <t>20810</t>
  </si>
  <si>
    <t>Csontgólem</t>
  </si>
  <si>
    <t>651</t>
  </si>
  <si>
    <t>20267</t>
  </si>
  <si>
    <t>Agyszívó</t>
  </si>
  <si>
    <t>20001</t>
  </si>
  <si>
    <t>24520</t>
  </si>
  <si>
    <t>26184</t>
  </si>
  <si>
    <t>Bárió</t>
  </si>
  <si>
    <t>27000</t>
  </si>
  <si>
    <t>Pukipú</t>
  </si>
  <si>
    <t>25450</t>
  </si>
  <si>
    <t>Tűzmágus nagymester</t>
  </si>
  <si>
    <t>24320</t>
  </si>
  <si>
    <t>Wendír boszorkány</t>
  </si>
  <si>
    <t>Légmágus nagymester</t>
  </si>
  <si>
    <t>520</t>
  </si>
  <si>
    <t>24120</t>
  </si>
  <si>
    <t>Öreg varangysárkány</t>
  </si>
  <si>
    <t>597</t>
  </si>
  <si>
    <t>23450</t>
  </si>
  <si>
    <t>Öreg 3-fejű sárkány</t>
  </si>
  <si>
    <t>593</t>
  </si>
  <si>
    <t>23310</t>
  </si>
  <si>
    <t>Öreg gránitsárkány</t>
  </si>
  <si>
    <t>23210</t>
  </si>
  <si>
    <t>Ocsmány amazon</t>
  </si>
  <si>
    <t>562</t>
  </si>
  <si>
    <t>23100</t>
  </si>
  <si>
    <t>Kék fejszés</t>
  </si>
  <si>
    <t>29874</t>
  </si>
  <si>
    <t>Vörös lándzsás</t>
  </si>
  <si>
    <t>29845</t>
  </si>
  <si>
    <t>Szelidített démon</t>
  </si>
  <si>
    <t>30000</t>
  </si>
  <si>
    <t>Mengorni boszorkány</t>
  </si>
  <si>
    <t>570</t>
  </si>
  <si>
    <t>28789</t>
  </si>
  <si>
    <t>Larkinori démonidomár</t>
  </si>
  <si>
    <t>412</t>
  </si>
  <si>
    <t>28544</t>
  </si>
  <si>
    <t>Nekromanta nagymester</t>
  </si>
  <si>
    <t>574</t>
  </si>
  <si>
    <t>28132</t>
  </si>
  <si>
    <t>Öreg aranysárkány</t>
  </si>
  <si>
    <t>27532</t>
  </si>
  <si>
    <t>Öreg lángsárkány</t>
  </si>
  <si>
    <t>606</t>
  </si>
  <si>
    <t>27132</t>
  </si>
  <si>
    <t>Öreg árnysárkány</t>
  </si>
  <si>
    <t>26810</t>
  </si>
  <si>
    <t>Öreg 7-fejű sárkány</t>
  </si>
  <si>
    <t>26350</t>
  </si>
  <si>
    <t>Óriás harcos</t>
  </si>
  <si>
    <t>1672</t>
  </si>
  <si>
    <t>26110</t>
  </si>
  <si>
    <t>Gólemgyártósor</t>
  </si>
  <si>
    <t>35000</t>
  </si>
  <si>
    <t>33278</t>
  </si>
  <si>
    <t>32244</t>
  </si>
  <si>
    <t>Üveggólem</t>
  </si>
  <si>
    <t>30940</t>
  </si>
  <si>
    <t>Ruhagólem</t>
  </si>
  <si>
    <t>613</t>
  </si>
  <si>
    <t>30740</t>
  </si>
  <si>
    <t>Bástyagólem</t>
  </si>
  <si>
    <t>1499</t>
  </si>
  <si>
    <t>30340</t>
  </si>
  <si>
    <t>Idegen civilizáció követe</t>
  </si>
  <si>
    <t>30040</t>
  </si>
  <si>
    <t>Húsgólem</t>
  </si>
  <si>
    <t>1630</t>
  </si>
  <si>
    <t>29999</t>
  </si>
  <si>
    <t>Hipopegazus</t>
  </si>
  <si>
    <t>605</t>
  </si>
  <si>
    <t>29765</t>
  </si>
  <si>
    <t>Felnőtt baziliszkusz</t>
  </si>
  <si>
    <t>29450</t>
  </si>
  <si>
    <t>Parszi boszorkány</t>
  </si>
  <si>
    <t>29300</t>
  </si>
  <si>
    <t>Barlangi elf isten</t>
  </si>
  <si>
    <t>911</t>
  </si>
  <si>
    <t>50000</t>
  </si>
  <si>
    <t>Barbár király</t>
  </si>
  <si>
    <t>38000</t>
  </si>
  <si>
    <t>Kentaur Antal</t>
  </si>
  <si>
    <t>37000</t>
  </si>
  <si>
    <t>Törpeóriás</t>
  </si>
  <si>
    <t>636</t>
  </si>
  <si>
    <t>36000</t>
  </si>
  <si>
    <t>Kék nekrolord</t>
  </si>
  <si>
    <t>438</t>
  </si>
  <si>
    <t>35916</t>
  </si>
  <si>
    <t>37217</t>
  </si>
  <si>
    <t>35862</t>
  </si>
  <si>
    <t>Trójai aranyrozmár</t>
  </si>
  <si>
    <t>1444</t>
  </si>
  <si>
    <t>33623</t>
  </si>
  <si>
    <t>Terrorbicikli</t>
  </si>
  <si>
    <t>701</t>
  </si>
  <si>
    <t>34339</t>
  </si>
  <si>
    <t>Óriás sámán</t>
  </si>
  <si>
    <t>1723</t>
  </si>
  <si>
    <t>35253</t>
  </si>
  <si>
    <t>Idegen civilizáció szóvivője</t>
  </si>
  <si>
    <t>33988</t>
  </si>
  <si>
    <t>Kentaur főnök</t>
  </si>
  <si>
    <t>691</t>
  </si>
  <si>
    <t>32110</t>
  </si>
  <si>
    <t>Kard nagymester</t>
  </si>
  <si>
    <t>695</t>
  </si>
  <si>
    <t>33888</t>
  </si>
  <si>
    <t>Kallandra</t>
  </si>
  <si>
    <t>34888</t>
  </si>
  <si>
    <t>Észak-skivei barbár</t>
  </si>
  <si>
    <t>32401</t>
  </si>
  <si>
    <t>Barlangi elf mágus</t>
  </si>
  <si>
    <t>622</t>
  </si>
  <si>
    <t>31500</t>
  </si>
  <si>
    <t>37388</t>
  </si>
  <si>
    <t>38913</t>
  </si>
  <si>
    <t>40637</t>
  </si>
  <si>
    <t>39526</t>
  </si>
  <si>
    <t>Óriás főnök</t>
  </si>
  <si>
    <t>Soktucatszemlötyi</t>
  </si>
  <si>
    <t>37378</t>
  </si>
  <si>
    <t>Kentaur sámán</t>
  </si>
  <si>
    <t>717</t>
  </si>
  <si>
    <t>37550</t>
  </si>
  <si>
    <t>Felnőtt varangysárkány</t>
  </si>
  <si>
    <t>37111</t>
  </si>
  <si>
    <t>Felnőtt 3-fejű sárkány</t>
  </si>
  <si>
    <t>36581</t>
  </si>
  <si>
    <t>Felnőtt fagysárkány</t>
  </si>
  <si>
    <t>37847</t>
  </si>
  <si>
    <t>Felnőtt nyomisárkány</t>
  </si>
  <si>
    <t>746</t>
  </si>
  <si>
    <t>36347</t>
  </si>
  <si>
    <t>Felnőtt mikrosárkányok</t>
  </si>
  <si>
    <t>35942</t>
  </si>
  <si>
    <t>Csukahorgász</t>
  </si>
  <si>
    <t>969</t>
  </si>
  <si>
    <t>55000</t>
  </si>
  <si>
    <t>Bodri</t>
  </si>
  <si>
    <t>777</t>
  </si>
  <si>
    <t>42827</t>
  </si>
  <si>
    <t>44150</t>
  </si>
  <si>
    <t>43345</t>
  </si>
  <si>
    <t>Sárkányjuhász</t>
  </si>
  <si>
    <t>395</t>
  </si>
  <si>
    <t>41275</t>
  </si>
  <si>
    <t>Bukott angyal</t>
  </si>
  <si>
    <t>40123</t>
  </si>
  <si>
    <t>Lari csuka</t>
  </si>
  <si>
    <t>839</t>
  </si>
  <si>
    <t>39150</t>
  </si>
  <si>
    <t>Felnőtt árnysárkány</t>
  </si>
  <si>
    <t>39999</t>
  </si>
  <si>
    <t>Felnőtt gránitsárkány</t>
  </si>
  <si>
    <t>705</t>
  </si>
  <si>
    <t>Felnőtt lángsárkány</t>
  </si>
  <si>
    <t>766</t>
  </si>
  <si>
    <t>38773</t>
  </si>
  <si>
    <t>Felnőtt 7-fejű sárkány</t>
  </si>
  <si>
    <t>730</t>
  </si>
  <si>
    <t>39911</t>
  </si>
  <si>
    <t>Toronygólem</t>
  </si>
  <si>
    <t>1599</t>
  </si>
  <si>
    <t>41873</t>
  </si>
  <si>
    <t>Terragalamb</t>
  </si>
  <si>
    <t>Kék máguslord</t>
  </si>
  <si>
    <t>45303</t>
  </si>
  <si>
    <t>46391</t>
  </si>
  <si>
    <t>Vörös fejszés</t>
  </si>
  <si>
    <t>929</t>
  </si>
  <si>
    <t>49174</t>
  </si>
  <si>
    <t>Fekete lándzsás</t>
  </si>
  <si>
    <t>699</t>
  </si>
  <si>
    <t>48727</t>
  </si>
  <si>
    <t>Leviatan</t>
  </si>
  <si>
    <t>1120</t>
  </si>
  <si>
    <t>45099</t>
  </si>
  <si>
    <t>Gigagalamb</t>
  </si>
  <si>
    <t>1878</t>
  </si>
  <si>
    <t>42928</t>
  </si>
  <si>
    <t>Gigateknős</t>
  </si>
  <si>
    <t>857</t>
  </si>
  <si>
    <t>44888</t>
  </si>
  <si>
    <t>Felnőtt aranysárkány</t>
  </si>
  <si>
    <t>47326</t>
  </si>
  <si>
    <t>Titán</t>
  </si>
  <si>
    <t>46001</t>
  </si>
  <si>
    <t>Orkavatár</t>
  </si>
  <si>
    <t>45315</t>
  </si>
  <si>
    <t>Tuskóavatár</t>
  </si>
  <si>
    <t>46666</t>
  </si>
  <si>
    <t>Undorfánt</t>
  </si>
  <si>
    <t>43872</t>
  </si>
  <si>
    <t>51143</t>
  </si>
  <si>
    <t>52616</t>
  </si>
  <si>
    <t>55043</t>
  </si>
  <si>
    <t>55050</t>
  </si>
  <si>
    <t>Óriásszemlötyi</t>
  </si>
  <si>
    <t>1251</t>
  </si>
  <si>
    <t>53086</t>
  </si>
  <si>
    <t>Agyszivacs</t>
  </si>
  <si>
    <t>883</t>
  </si>
  <si>
    <t>52418</t>
  </si>
  <si>
    <t>Hónaljkutya</t>
  </si>
  <si>
    <t>727</t>
  </si>
  <si>
    <t>52140</t>
  </si>
  <si>
    <t>Sziámi klón</t>
  </si>
  <si>
    <t>683</t>
  </si>
  <si>
    <t>51621</t>
  </si>
  <si>
    <t>Fejvesztett</t>
  </si>
  <si>
    <t>571</t>
  </si>
  <si>
    <t>50836</t>
  </si>
  <si>
    <t>Shurikenamőba</t>
  </si>
  <si>
    <t>366</t>
  </si>
  <si>
    <t>49249</t>
  </si>
  <si>
    <t>Fülkagyló</t>
  </si>
  <si>
    <t>48326</t>
  </si>
  <si>
    <t>Gömb</t>
  </si>
  <si>
    <t>47999</t>
  </si>
  <si>
    <t>Hangszaggató</t>
  </si>
  <si>
    <t>944</t>
  </si>
  <si>
    <t>70000</t>
  </si>
  <si>
    <t>58713</t>
  </si>
  <si>
    <t>Vörös nekrolord</t>
  </si>
  <si>
    <t>567</t>
  </si>
  <si>
    <t>58963</t>
  </si>
  <si>
    <t>60882</t>
  </si>
  <si>
    <t>59057</t>
  </si>
  <si>
    <t>Óriáspók</t>
  </si>
  <si>
    <t>58325</t>
  </si>
  <si>
    <t>Zulgwän</t>
  </si>
  <si>
    <t>57531</t>
  </si>
  <si>
    <t>Fénycsavaró</t>
  </si>
  <si>
    <t>926</t>
  </si>
  <si>
    <t>56826</t>
  </si>
  <si>
    <t>Sikolyzombi</t>
  </si>
  <si>
    <t>700</t>
  </si>
  <si>
    <t>56499</t>
  </si>
  <si>
    <t>Ol-ló</t>
  </si>
  <si>
    <t>55681</t>
  </si>
  <si>
    <t>Rugóspattantyú</t>
  </si>
  <si>
    <t>387</t>
  </si>
  <si>
    <t>54513</t>
  </si>
  <si>
    <t>Gyémánt bányászcsiga</t>
  </si>
  <si>
    <t>54200</t>
  </si>
  <si>
    <t>Idegen civilizáció tudósa</t>
  </si>
  <si>
    <t>53631</t>
  </si>
  <si>
    <t>Magotriceratopsz</t>
  </si>
  <si>
    <t>1380</t>
  </si>
  <si>
    <t>75000</t>
  </si>
  <si>
    <t>Nekromakhosz király</t>
  </si>
  <si>
    <t>888</t>
  </si>
  <si>
    <t>80000</t>
  </si>
  <si>
    <t>Idegen főnök</t>
  </si>
  <si>
    <t>Kék démonlovag</t>
  </si>
  <si>
    <t>1606</t>
  </si>
  <si>
    <t>68271</t>
  </si>
  <si>
    <t>65086</t>
  </si>
  <si>
    <t>66494</t>
  </si>
  <si>
    <t>68798</t>
  </si>
  <si>
    <t>66366</t>
  </si>
  <si>
    <t>Magoszaurusz</t>
  </si>
  <si>
    <t>65238</t>
  </si>
  <si>
    <t>Sehellő</t>
  </si>
  <si>
    <t>1235</t>
  </si>
  <si>
    <t>64821</t>
  </si>
  <si>
    <t>Nyakigláb</t>
  </si>
  <si>
    <t>64438</t>
  </si>
  <si>
    <t>Vámpírlord</t>
  </si>
  <si>
    <t>834</t>
  </si>
  <si>
    <t>63100</t>
  </si>
  <si>
    <t>Fityisz</t>
  </si>
  <si>
    <t>811</t>
  </si>
  <si>
    <t>62395</t>
  </si>
  <si>
    <t>Básztet szolgája</t>
  </si>
  <si>
    <t>61777</t>
  </si>
  <si>
    <t>Varázskönyv</t>
  </si>
  <si>
    <t>60682</t>
  </si>
  <si>
    <t>Varázstekercs</t>
  </si>
  <si>
    <t>59540</t>
  </si>
  <si>
    <t>68300</t>
  </si>
  <si>
    <t>78006</t>
  </si>
  <si>
    <t>72710</t>
  </si>
  <si>
    <t>74027</t>
  </si>
  <si>
    <t>77189</t>
  </si>
  <si>
    <t>75160</t>
  </si>
  <si>
    <t>Földmágia könyve</t>
  </si>
  <si>
    <t>2299</t>
  </si>
  <si>
    <t>73888</t>
  </si>
  <si>
    <t>Vízmágia könyve</t>
  </si>
  <si>
    <t>1542</t>
  </si>
  <si>
    <t>72648</t>
  </si>
  <si>
    <t>Tűzmágia könyve</t>
  </si>
  <si>
    <t>922</t>
  </si>
  <si>
    <t>71009</t>
  </si>
  <si>
    <t>Légmágia könyve</t>
  </si>
  <si>
    <t>900</t>
  </si>
  <si>
    <t>70345</t>
  </si>
  <si>
    <t>Földmágia tekercse</t>
  </si>
  <si>
    <t>69950</t>
  </si>
  <si>
    <t>Vízmágia tekercse</t>
  </si>
  <si>
    <t>68000</t>
  </si>
  <si>
    <t>Tűzmágia tekercse</t>
  </si>
  <si>
    <t>67327</t>
  </si>
  <si>
    <t>Légmágia tekercse</t>
  </si>
  <si>
    <t>66666</t>
  </si>
  <si>
    <t>Kék hadúr</t>
  </si>
  <si>
    <t>84160</t>
  </si>
  <si>
    <t>89026</t>
  </si>
  <si>
    <t>Vörös máguslord</t>
  </si>
  <si>
    <t>430</t>
  </si>
  <si>
    <t>80026</t>
  </si>
  <si>
    <t>84057</t>
  </si>
  <si>
    <t>Fekete fejszés</t>
  </si>
  <si>
    <t>1143</t>
  </si>
  <si>
    <t>86521</t>
  </si>
  <si>
    <t>Ezüst lándzsás</t>
  </si>
  <si>
    <t>85037</t>
  </si>
  <si>
    <t>Zsírpuncs</t>
  </si>
  <si>
    <t>82800</t>
  </si>
  <si>
    <t>Dombmelák</t>
  </si>
  <si>
    <t>1999</t>
  </si>
  <si>
    <t>81265</t>
  </si>
  <si>
    <t>Szirti sás</t>
  </si>
  <si>
    <t>975</t>
  </si>
  <si>
    <t>80001</t>
  </si>
  <si>
    <t>Paddli sah lila lovagja</t>
  </si>
  <si>
    <t>941</t>
  </si>
  <si>
    <t>79999</t>
  </si>
  <si>
    <t>Képláda</t>
  </si>
  <si>
    <t>863</t>
  </si>
  <si>
    <t>78787</t>
  </si>
  <si>
    <t>Phue-Moucha zöld lovagja</t>
  </si>
  <si>
    <t>792</t>
  </si>
  <si>
    <t>77650</t>
  </si>
  <si>
    <t>Gúzsszalag</t>
  </si>
  <si>
    <t>403</t>
  </si>
  <si>
    <t>76123</t>
  </si>
  <si>
    <t>Gyémántszárnyú denevér</t>
  </si>
  <si>
    <t>245</t>
  </si>
  <si>
    <t>91087</t>
  </si>
  <si>
    <t>91584</t>
  </si>
  <si>
    <t>97909</t>
  </si>
  <si>
    <t>87815</t>
  </si>
  <si>
    <t>90112</t>
  </si>
  <si>
    <t>95369</t>
  </si>
  <si>
    <t>94606</t>
  </si>
  <si>
    <t>Zsírpuncs király</t>
  </si>
  <si>
    <t>5000</t>
  </si>
  <si>
    <t>120000</t>
  </si>
  <si>
    <t>Zsírpuncs varázsló</t>
  </si>
  <si>
    <t>91047</t>
  </si>
  <si>
    <t>Pa Rádzsa vörös lovagja</t>
  </si>
  <si>
    <t>90195</t>
  </si>
  <si>
    <t>Magoszaurusz Rex</t>
  </si>
  <si>
    <t>956</t>
  </si>
  <si>
    <t>89452</t>
  </si>
  <si>
    <t>Lélekölő</t>
  </si>
  <si>
    <t>87840</t>
  </si>
  <si>
    <t>Frigid`R kék lovagja</t>
  </si>
  <si>
    <t>823</t>
  </si>
  <si>
    <t>86555</t>
  </si>
  <si>
    <t>Álcamester</t>
  </si>
  <si>
    <t>455</t>
  </si>
  <si>
    <t>84309</t>
  </si>
  <si>
    <t>Konzervált jófej</t>
  </si>
  <si>
    <t>83654</t>
  </si>
  <si>
    <t>102646</t>
  </si>
  <si>
    <t>105766</t>
  </si>
  <si>
    <t>97649</t>
  </si>
  <si>
    <t>Fekete nekrolord</t>
  </si>
  <si>
    <t>687</t>
  </si>
  <si>
    <t>100669</t>
  </si>
  <si>
    <t>105151</t>
  </si>
  <si>
    <t>105278</t>
  </si>
  <si>
    <t>Flegmocsok</t>
  </si>
  <si>
    <t>100512</t>
  </si>
  <si>
    <t>Ágyúagyú</t>
  </si>
  <si>
    <t>1610</t>
  </si>
  <si>
    <t>99300</t>
  </si>
  <si>
    <t>Hóhér</t>
  </si>
  <si>
    <t>1040</t>
  </si>
  <si>
    <t>97491</t>
  </si>
  <si>
    <t>Homo kitinusz</t>
  </si>
  <si>
    <t>96710</t>
  </si>
  <si>
    <t>Barlangi elf király</t>
  </si>
  <si>
    <t>95692</t>
  </si>
  <si>
    <t>Homo elasticus</t>
  </si>
  <si>
    <t>94873</t>
  </si>
  <si>
    <t>100 éves hulla</t>
  </si>
  <si>
    <t>425</t>
  </si>
  <si>
    <t>93257</t>
  </si>
  <si>
    <t>Rémgibbon</t>
  </si>
  <si>
    <t>92329</t>
  </si>
  <si>
    <t>113725</t>
  </si>
  <si>
    <t>Vörös démonlovag</t>
  </si>
  <si>
    <t>1856</t>
  </si>
  <si>
    <t>117145</t>
  </si>
  <si>
    <t>112095</t>
  </si>
  <si>
    <t>112800</t>
  </si>
  <si>
    <t>116294</t>
  </si>
  <si>
    <t>112932</t>
  </si>
  <si>
    <t>Szfinx</t>
  </si>
  <si>
    <t>2860</t>
  </si>
  <si>
    <t>111763</t>
  </si>
  <si>
    <t>Animált kezdőház</t>
  </si>
  <si>
    <t>110014</t>
  </si>
  <si>
    <t>Fiatal zabagép</t>
  </si>
  <si>
    <t>1050</t>
  </si>
  <si>
    <t>108595</t>
  </si>
  <si>
    <t>Pallosharcos</t>
  </si>
  <si>
    <t>1024</t>
  </si>
  <si>
    <t>107214</t>
  </si>
  <si>
    <t>Medúza</t>
  </si>
  <si>
    <t>936</t>
  </si>
  <si>
    <t>106666</t>
  </si>
  <si>
    <t>1000 éves hulla</t>
  </si>
  <si>
    <t>105974</t>
  </si>
  <si>
    <t>Nekro tekercs</t>
  </si>
  <si>
    <t>477</t>
  </si>
  <si>
    <t>104821</t>
  </si>
  <si>
    <t>Futó kaland</t>
  </si>
  <si>
    <t>102564</t>
  </si>
  <si>
    <t>126469</t>
  </si>
  <si>
    <t>129135</t>
  </si>
  <si>
    <t>122784</t>
  </si>
  <si>
    <t>125694</t>
  </si>
  <si>
    <t>129853</t>
  </si>
  <si>
    <t>125401</t>
  </si>
  <si>
    <t>Fiatal makrosárkány</t>
  </si>
  <si>
    <t>4500</t>
  </si>
  <si>
    <t>142000</t>
  </si>
  <si>
    <t>Animált tolvajfészek</t>
  </si>
  <si>
    <t>124000</t>
  </si>
  <si>
    <t>Animált harcosszoba</t>
  </si>
  <si>
    <t>122222</t>
  </si>
  <si>
    <t>Animált toronyszoba</t>
  </si>
  <si>
    <t>1051</t>
  </si>
  <si>
    <t>120333</t>
  </si>
  <si>
    <t>Naga</t>
  </si>
  <si>
    <t>960</t>
  </si>
  <si>
    <t>118500</t>
  </si>
  <si>
    <t>5000 éves hulla</t>
  </si>
  <si>
    <t>116666</t>
  </si>
  <si>
    <t>Fiatal fejetlensárkány</t>
  </si>
  <si>
    <t>114740</t>
  </si>
  <si>
    <t>Ifjú dzsinn</t>
  </si>
  <si>
    <t>112854</t>
  </si>
  <si>
    <t>Gebe</t>
  </si>
  <si>
    <t>155000</t>
  </si>
  <si>
    <t>Mók</t>
  </si>
  <si>
    <t>Vörös hadúr</t>
  </si>
  <si>
    <t>985</t>
  </si>
  <si>
    <t>143594</t>
  </si>
  <si>
    <t>147851</t>
  </si>
  <si>
    <t>Fekete máguslord</t>
  </si>
  <si>
    <t>492</t>
  </si>
  <si>
    <t>137450</t>
  </si>
  <si>
    <t>140223</t>
  </si>
  <si>
    <t>Ezüst fejszés</t>
  </si>
  <si>
    <t>1310</t>
  </si>
  <si>
    <t>145989</t>
  </si>
  <si>
    <t>Arany lándzsás</t>
  </si>
  <si>
    <t>142310</t>
  </si>
  <si>
    <t>Animált tolvajlakás</t>
  </si>
  <si>
    <t>140000</t>
  </si>
  <si>
    <t>Animált máguslakás</t>
  </si>
  <si>
    <t>138010</t>
  </si>
  <si>
    <t>Démonfogász</t>
  </si>
  <si>
    <t>136136</t>
  </si>
  <si>
    <t>Fiatal sárkánykígyó</t>
  </si>
  <si>
    <t>1075</t>
  </si>
  <si>
    <t>134341</t>
  </si>
  <si>
    <t>Öreg fejetlensárkány</t>
  </si>
  <si>
    <t>1000</t>
  </si>
  <si>
    <t>132654</t>
  </si>
  <si>
    <t>10000 éves hulla</t>
  </si>
  <si>
    <t>943</t>
  </si>
  <si>
    <t>130986</t>
  </si>
  <si>
    <t>Felnőtt dzsinn</t>
  </si>
  <si>
    <t>128432</t>
  </si>
  <si>
    <t>Villámcsiga</t>
  </si>
  <si>
    <t>126762</t>
  </si>
  <si>
    <t>159512</t>
  </si>
  <si>
    <t>169343</t>
  </si>
  <si>
    <t>151823</t>
  </si>
  <si>
    <t>159796</t>
  </si>
  <si>
    <t>164232</t>
  </si>
  <si>
    <t>161591</t>
  </si>
  <si>
    <t>Öreg makrosárkány</t>
  </si>
  <si>
    <t>5500</t>
  </si>
  <si>
    <t>200000</t>
  </si>
  <si>
    <t>Felnőtt zabagép</t>
  </si>
  <si>
    <t>157777</t>
  </si>
  <si>
    <t>Animált mágustorony</t>
  </si>
  <si>
    <t>1166</t>
  </si>
  <si>
    <t>155545</t>
  </si>
  <si>
    <t>Animált harcoslakás</t>
  </si>
  <si>
    <t>153530</t>
  </si>
  <si>
    <t>Homo kubulus</t>
  </si>
  <si>
    <t>1012</t>
  </si>
  <si>
    <t>151311</t>
  </si>
  <si>
    <t>Öreg sárkánykígyó</t>
  </si>
  <si>
    <t>149451</t>
  </si>
  <si>
    <t>Nekro könyv</t>
  </si>
  <si>
    <t>444</t>
  </si>
  <si>
    <t>146746</t>
  </si>
  <si>
    <t>Pókhas</t>
  </si>
  <si>
    <t>143889</t>
  </si>
  <si>
    <t>185295</t>
  </si>
  <si>
    <t>191005</t>
  </si>
  <si>
    <t>178138</t>
  </si>
  <si>
    <t>Ezüst nekrolord</t>
  </si>
  <si>
    <t>781</t>
  </si>
  <si>
    <t>175696</t>
  </si>
  <si>
    <t>185657</t>
  </si>
  <si>
    <t>184373</t>
  </si>
  <si>
    <t>Felnőtt makrosárkány</t>
  </si>
  <si>
    <t>6500</t>
  </si>
  <si>
    <t>240000</t>
  </si>
  <si>
    <t>Öreg zabagép</t>
  </si>
  <si>
    <t>178940</t>
  </si>
  <si>
    <t>47 db </t>
  </si>
  <si>
    <t>Animált tolvajtanya</t>
  </si>
  <si>
    <t>1200</t>
  </si>
  <si>
    <t>175860</t>
  </si>
  <si>
    <t>Animált harcosház</t>
  </si>
  <si>
    <t>1100</t>
  </si>
  <si>
    <t>172800</t>
  </si>
  <si>
    <t>Mantikór</t>
  </si>
  <si>
    <t>169720</t>
  </si>
  <si>
    <t>Felnőtt sárkánykígyó</t>
  </si>
  <si>
    <t>166660</t>
  </si>
  <si>
    <t>Felnőtt fejetlensárkány</t>
  </si>
  <si>
    <t>163500</t>
  </si>
  <si>
    <t>Öreg dzsinn</t>
  </si>
  <si>
    <t>160340</t>
  </si>
  <si>
    <t>208108</t>
  </si>
  <si>
    <t>Fekete démonlovag</t>
  </si>
  <si>
    <t>220131</t>
  </si>
  <si>
    <t>198170</t>
  </si>
  <si>
    <t>204722</t>
  </si>
  <si>
    <t>213506</t>
  </si>
  <si>
    <t>205609</t>
  </si>
  <si>
    <t>Sörelementál</t>
  </si>
  <si>
    <t>2640</t>
  </si>
  <si>
    <t>212900</t>
  </si>
  <si>
    <t>Szemtelen</t>
  </si>
  <si>
    <t>1888</t>
  </si>
  <si>
    <t>208787</t>
  </si>
  <si>
    <t>Yeti</t>
  </si>
  <si>
    <t>1188</t>
  </si>
  <si>
    <t>204832</t>
  </si>
  <si>
    <t>Démonvadász</t>
  </si>
  <si>
    <t>1057</t>
  </si>
  <si>
    <t>200001</t>
  </si>
  <si>
    <t>Négyszemközt</t>
  </si>
  <si>
    <t>964</t>
  </si>
  <si>
    <t>195213</t>
  </si>
  <si>
    <t>Szutyokjáró</t>
  </si>
  <si>
    <t>190237</t>
  </si>
  <si>
    <t>Izompacsirta</t>
  </si>
  <si>
    <t>467</t>
  </si>
  <si>
    <t>185678</t>
  </si>
  <si>
    <t>Szúróláng</t>
  </si>
  <si>
    <t>180421</t>
  </si>
  <si>
    <t>1919</t>
  </si>
  <si>
    <t>238989</t>
  </si>
  <si>
    <t>474</t>
  </si>
  <si>
    <t>220605</t>
  </si>
  <si>
    <t>243882</t>
  </si>
  <si>
    <t>250081</t>
  </si>
  <si>
    <t>238668</t>
  </si>
  <si>
    <t>240654</t>
  </si>
  <si>
    <t>251462</t>
  </si>
  <si>
    <t>240837</t>
  </si>
  <si>
    <t>Férfifaló</t>
  </si>
  <si>
    <t>2325</t>
  </si>
  <si>
    <t>250000</t>
  </si>
  <si>
    <t>Yeti sámán</t>
  </si>
  <si>
    <t>238888</t>
  </si>
  <si>
    <t>Lélekvadász</t>
  </si>
  <si>
    <t>1217</t>
  </si>
  <si>
    <t>234284</t>
  </si>
  <si>
    <t>Ork kommandós</t>
  </si>
  <si>
    <t>1088</t>
  </si>
  <si>
    <t>230284</t>
  </si>
  <si>
    <t>Pokolkutya</t>
  </si>
  <si>
    <t>227716</t>
  </si>
  <si>
    <t>Bébifőnix</t>
  </si>
  <si>
    <t>867</t>
  </si>
  <si>
    <t>223901</t>
  </si>
  <si>
    <t>Orrontó</t>
  </si>
  <si>
    <t>220529</t>
  </si>
  <si>
    <t>Hárpia</t>
  </si>
  <si>
    <t>262</t>
  </si>
  <si>
    <t>216666</t>
  </si>
  <si>
    <t>Démonmester</t>
  </si>
  <si>
    <t>1243</t>
  </si>
  <si>
    <t>260724</t>
  </si>
  <si>
    <t>Fekete hadúr</t>
  </si>
  <si>
    <t>1145</t>
  </si>
  <si>
    <t>278164</t>
  </si>
  <si>
    <t>285065</t>
  </si>
  <si>
    <t>Ezüst máguslord</t>
  </si>
  <si>
    <t>270324</t>
  </si>
  <si>
    <t>271598</t>
  </si>
  <si>
    <t>Arany fejszés</t>
  </si>
  <si>
    <t>1522</t>
  </si>
  <si>
    <t>286031</t>
  </si>
  <si>
    <t>Gyémánt lándzsás</t>
  </si>
  <si>
    <t>276530</t>
  </si>
  <si>
    <t>Kulcsmester</t>
  </si>
  <si>
    <t>7777</t>
  </si>
  <si>
    <t>350000</t>
  </si>
  <si>
    <t>Ellenőr</t>
  </si>
  <si>
    <t>2500</t>
  </si>
  <si>
    <t>269999</t>
  </si>
  <si>
    <t>Homo esteticus</t>
  </si>
  <si>
    <t>1224</t>
  </si>
  <si>
    <t>265562</t>
  </si>
  <si>
    <t>Ördöglakat</t>
  </si>
  <si>
    <t>1105</t>
  </si>
  <si>
    <t>261783</t>
  </si>
  <si>
    <t>Szöcskedémon</t>
  </si>
  <si>
    <t>1011</t>
  </si>
  <si>
    <t>258840</t>
  </si>
  <si>
    <t>Gyakorlott teleportmágus</t>
  </si>
  <si>
    <t>875</t>
  </si>
  <si>
    <t>255461</t>
  </si>
  <si>
    <t>Korhatárdémon</t>
  </si>
  <si>
    <t>252344</t>
  </si>
  <si>
    <t>Widjory</t>
  </si>
  <si>
    <t>249333</t>
  </si>
  <si>
    <t>314701</t>
  </si>
  <si>
    <t>325199</t>
  </si>
  <si>
    <t>297374</t>
  </si>
  <si>
    <t>308237</t>
  </si>
  <si>
    <t>320423</t>
  </si>
  <si>
    <t>312689</t>
  </si>
  <si>
    <t>Alkoholcsiga</t>
  </si>
  <si>
    <t>2383</t>
  </si>
  <si>
    <t>308626</t>
  </si>
  <si>
    <t>Füstelementál</t>
  </si>
  <si>
    <t>1765</t>
  </si>
  <si>
    <t>304117</t>
  </si>
  <si>
    <t>Korhatárdémon pár</t>
  </si>
  <si>
    <t>1245</t>
  </si>
  <si>
    <t>300529</t>
  </si>
  <si>
    <t>Teleportmágus mester</t>
  </si>
  <si>
    <t>1122</t>
  </si>
  <si>
    <t>295939</t>
  </si>
  <si>
    <t>Tükördémon</t>
  </si>
  <si>
    <t>1032</t>
  </si>
  <si>
    <t>290693</t>
  </si>
  <si>
    <t>Vérfolt</t>
  </si>
  <si>
    <t>285928</t>
  </si>
  <si>
    <t>Démonlárva</t>
  </si>
  <si>
    <t>280125</t>
  </si>
  <si>
    <t>Démonlégy</t>
  </si>
  <si>
    <t>275245</t>
  </si>
  <si>
    <t>346050</t>
  </si>
  <si>
    <t>361307</t>
  </si>
  <si>
    <t>329691</t>
  </si>
  <si>
    <t>Arany nekrolord</t>
  </si>
  <si>
    <t>902</t>
  </si>
  <si>
    <t>347712</t>
  </si>
  <si>
    <t>356825</t>
  </si>
  <si>
    <t>351471</t>
  </si>
  <si>
    <t>Kalamona</t>
  </si>
  <si>
    <t>3696</t>
  </si>
  <si>
    <t>400000</t>
  </si>
  <si>
    <t>Morózus pöffeteg</t>
  </si>
  <si>
    <t>1799</t>
  </si>
  <si>
    <t>339948</t>
  </si>
  <si>
    <t>Pestisjárat</t>
  </si>
  <si>
    <t>1262</t>
  </si>
  <si>
    <t>335746</t>
  </si>
  <si>
    <t>Szökött manadémon</t>
  </si>
  <si>
    <t>1147</t>
  </si>
  <si>
    <t>330000</t>
  </si>
  <si>
    <t>Görcs</t>
  </si>
  <si>
    <t>325087</t>
  </si>
  <si>
    <t>Bolhazsák</t>
  </si>
  <si>
    <t>320670</t>
  </si>
  <si>
    <t>Animált varázsszék</t>
  </si>
  <si>
    <t>496</t>
  </si>
  <si>
    <t>316687</t>
  </si>
  <si>
    <t>Parányi tivornya</t>
  </si>
  <si>
    <t>312567</t>
  </si>
  <si>
    <t>Ősmágus</t>
  </si>
  <si>
    <t>1620</t>
  </si>
  <si>
    <t>401284</t>
  </si>
  <si>
    <t>392780</t>
  </si>
  <si>
    <t>Ezüst démonlovag</t>
  </si>
  <si>
    <t>2426</t>
  </si>
  <si>
    <t>410843</t>
  </si>
  <si>
    <t>382170</t>
  </si>
  <si>
    <t>377702</t>
  </si>
  <si>
    <t>398498</t>
  </si>
  <si>
    <t>396173</t>
  </si>
  <si>
    <t>Konyhamalac</t>
  </si>
  <si>
    <t>4018</t>
  </si>
  <si>
    <t>450000</t>
  </si>
  <si>
    <t>Medvecsapda</t>
  </si>
  <si>
    <t>2566</t>
  </si>
  <si>
    <t>382623</t>
  </si>
  <si>
    <t>Teleportmágus nagymester</t>
  </si>
  <si>
    <t>375625</t>
  </si>
  <si>
    <t>Vari harcos</t>
  </si>
  <si>
    <t>1169</t>
  </si>
  <si>
    <t>369936</t>
  </si>
  <si>
    <t>Vari sámán</t>
  </si>
  <si>
    <t>1078</t>
  </si>
  <si>
    <t>363434</t>
  </si>
  <si>
    <t>Méregfelhő</t>
  </si>
  <si>
    <t>357188</t>
  </si>
  <si>
    <t>Nótázó tivornya</t>
  </si>
  <si>
    <t>366666</t>
  </si>
  <si>
    <t>Kótyagos tivornya</t>
  </si>
  <si>
    <t>351655</t>
  </si>
  <si>
    <t>Vírus</t>
  </si>
  <si>
    <t>301</t>
  </si>
  <si>
    <t>345120</t>
  </si>
  <si>
    <t>431366</t>
  </si>
  <si>
    <t>457938</t>
  </si>
  <si>
    <t>411167</t>
  </si>
  <si>
    <t>425639</t>
  </si>
  <si>
    <t>443220</t>
  </si>
  <si>
    <t>427302</t>
  </si>
  <si>
    <t>Arach Nóra</t>
  </si>
  <si>
    <t>1152</t>
  </si>
  <si>
    <t>407691</t>
  </si>
  <si>
    <t>Virsligólem</t>
  </si>
  <si>
    <t>4444</t>
  </si>
  <si>
    <t>500000</t>
  </si>
  <si>
    <t>Részeg aranysárkány</t>
  </si>
  <si>
    <t>2666</t>
  </si>
  <si>
    <t>423925</t>
  </si>
  <si>
    <t>Zombi mágus</t>
  </si>
  <si>
    <t>1313</t>
  </si>
  <si>
    <t>417812</t>
  </si>
  <si>
    <t>Mutátor</t>
  </si>
  <si>
    <t>1187</t>
  </si>
  <si>
    <t>412486</t>
  </si>
  <si>
    <t>Gátlástalan tivornya</t>
  </si>
  <si>
    <t>1094</t>
  </si>
  <si>
    <t>402025</t>
  </si>
  <si>
    <t>Ostormester</t>
  </si>
  <si>
    <t>397148</t>
  </si>
  <si>
    <t>Mocsári öbledék</t>
  </si>
  <si>
    <t>392029</t>
  </si>
  <si>
    <t>Prémszem</t>
  </si>
  <si>
    <t>387441</t>
  </si>
  <si>
    <t>Részeg kocsmáros</t>
  </si>
  <si>
    <t>351</t>
  </si>
  <si>
    <t>46899</t>
  </si>
  <si>
    <t>Kék zsarnok</t>
  </si>
  <si>
    <t>1016</t>
  </si>
  <si>
    <t>479869</t>
  </si>
  <si>
    <t>Ezüst hadúr</t>
  </si>
  <si>
    <t>1270</t>
  </si>
  <si>
    <t>484758</t>
  </si>
  <si>
    <t>498893</t>
  </si>
  <si>
    <t>Arany máguslord</t>
  </si>
  <si>
    <t>635</t>
  </si>
  <si>
    <t>474865</t>
  </si>
  <si>
    <t>479784</t>
  </si>
  <si>
    <t>Gyémánt fejszés</t>
  </si>
  <si>
    <t>1689</t>
  </si>
  <si>
    <t>500569</t>
  </si>
  <si>
    <t>Légkalózhajó</t>
  </si>
  <si>
    <t>10000</t>
  </si>
  <si>
    <t>750000</t>
  </si>
  <si>
    <t>Búgó csiga</t>
  </si>
  <si>
    <t>2750</t>
  </si>
  <si>
    <t>466929</t>
  </si>
  <si>
    <t>Tübleny</t>
  </si>
  <si>
    <t>1343</t>
  </si>
  <si>
    <t>460088</t>
  </si>
  <si>
    <t>Élőholt szemlötyi</t>
  </si>
  <si>
    <t>1220</t>
  </si>
  <si>
    <t>454751</t>
  </si>
  <si>
    <t>Naga here</t>
  </si>
  <si>
    <t>448638</t>
  </si>
  <si>
    <t>Rook-sthar</t>
  </si>
  <si>
    <t>845</t>
  </si>
  <si>
    <t>442942</t>
  </si>
  <si>
    <t>Teknős Béla</t>
  </si>
  <si>
    <t>533</t>
  </si>
  <si>
    <t>436153</t>
  </si>
  <si>
    <t>Zordon</t>
  </si>
  <si>
    <t>430341</t>
  </si>
  <si>
    <t>526839</t>
  </si>
  <si>
    <t>533977</t>
  </si>
  <si>
    <t>Bikazus</t>
  </si>
  <si>
    <t>1199</t>
  </si>
  <si>
    <t>Óriás galóca</t>
  </si>
  <si>
    <t>514409</t>
  </si>
  <si>
    <t>Gigababa</t>
  </si>
  <si>
    <t>508261</t>
  </si>
  <si>
    <t>Isten ujja</t>
  </si>
  <si>
    <t>1363</t>
  </si>
  <si>
    <t>502170</t>
  </si>
  <si>
    <t>Édes-Savanya</t>
  </si>
  <si>
    <t>1250</t>
  </si>
  <si>
    <t>496260</t>
  </si>
  <si>
    <t>Hidegelementál</t>
  </si>
  <si>
    <t>1137</t>
  </si>
  <si>
    <t>490799</t>
  </si>
  <si>
    <t>Balzaboor</t>
  </si>
  <si>
    <t>861</t>
  </si>
  <si>
    <t>484809</t>
  </si>
  <si>
    <t>Koponyányi manó</t>
  </si>
  <si>
    <t>478509</t>
  </si>
  <si>
    <t>Nyúlpók</t>
  </si>
  <si>
    <t>472347</t>
  </si>
  <si>
    <t>549219</t>
  </si>
  <si>
    <t>519438</t>
  </si>
  <si>
    <t>522951</t>
  </si>
  <si>
    <t>552996</t>
  </si>
  <si>
    <t>Dra-Cool</t>
  </si>
  <si>
    <t>1391</t>
  </si>
  <si>
    <t>555555</t>
  </si>
  <si>
    <t>3636</t>
  </si>
  <si>
    <t>554634</t>
  </si>
  <si>
    <t>583373</t>
  </si>
  <si>
    <t>591708</t>
  </si>
  <si>
    <t>Gyalog Gyula</t>
  </si>
  <si>
    <t>540191</t>
  </si>
  <si>
    <t>Vérlappantyú</t>
  </si>
  <si>
    <t>554134</t>
  </si>
  <si>
    <t>Kém-ény</t>
  </si>
  <si>
    <t>549081</t>
  </si>
  <si>
    <t>R`ho?da kopottas lovagja</t>
  </si>
  <si>
    <t>1389</t>
  </si>
  <si>
    <t>545575</t>
  </si>
  <si>
    <t>Magisztőr</t>
  </si>
  <si>
    <t>1275</t>
  </si>
  <si>
    <t>541604</t>
  </si>
  <si>
    <t>Hoppmester</t>
  </si>
  <si>
    <t>538337</t>
  </si>
  <si>
    <t>Idült tivornya</t>
  </si>
  <si>
    <t>532717</t>
  </si>
  <si>
    <t>Tudatszonda</t>
  </si>
  <si>
    <t>561</t>
  </si>
  <si>
    <t>526953</t>
  </si>
  <si>
    <t>Ellenszellem</t>
  </si>
  <si>
    <t>520778</t>
  </si>
  <si>
    <t>613652</t>
  </si>
  <si>
    <t>559665</t>
  </si>
  <si>
    <t>Gyémánt nekrolord</t>
  </si>
  <si>
    <t>996</t>
  </si>
  <si>
    <t>576735</t>
  </si>
  <si>
    <t>588758</t>
  </si>
  <si>
    <t>639713</t>
  </si>
  <si>
    <t>641053</t>
  </si>
  <si>
    <t>Arctalan tömeg</t>
  </si>
  <si>
    <t>700000</t>
  </si>
  <si>
    <t>Melegelementál</t>
  </si>
  <si>
    <t>2548</t>
  </si>
  <si>
    <t>600000</t>
  </si>
  <si>
    <t>Rou?a díszes lovagja</t>
  </si>
  <si>
    <t>1411</t>
  </si>
  <si>
    <t>583259</t>
  </si>
  <si>
    <t>Bürokrata</t>
  </si>
  <si>
    <t>1284</t>
  </si>
  <si>
    <t>579186</t>
  </si>
  <si>
    <t>Magikopter</t>
  </si>
  <si>
    <t>1168</t>
  </si>
  <si>
    <t>573756</t>
  </si>
  <si>
    <t>Penge</t>
  </si>
  <si>
    <t>567354</t>
  </si>
  <si>
    <t>Okádék</t>
  </si>
  <si>
    <t>576</t>
  </si>
  <si>
    <t>561645</t>
  </si>
  <si>
    <t>Baci</t>
  </si>
  <si>
    <t>Arany démonlovag</t>
  </si>
  <si>
    <t>2676</t>
  </si>
  <si>
    <t>671756</t>
  </si>
  <si>
    <t>617895</t>
  </si>
  <si>
    <t>641660</t>
  </si>
  <si>
    <t>652035</t>
  </si>
  <si>
    <t>1436</t>
  </si>
  <si>
    <t>627904</t>
  </si>
  <si>
    <t>694032</t>
  </si>
  <si>
    <t>714343</t>
  </si>
  <si>
    <t>Csontkovács</t>
  </si>
  <si>
    <t>3999</t>
  </si>
  <si>
    <t>725000</t>
  </si>
  <si>
    <t>Csókos</t>
  </si>
  <si>
    <t>2645</t>
  </si>
  <si>
    <t>650000</t>
  </si>
  <si>
    <t>Kezdő morfmágus</t>
  </si>
  <si>
    <t>627894</t>
  </si>
  <si>
    <t>Szervüzér</t>
  </si>
  <si>
    <t>1301</t>
  </si>
  <si>
    <t>620152</t>
  </si>
  <si>
    <t>Homo fóbius</t>
  </si>
  <si>
    <t>1184</t>
  </si>
  <si>
    <t>613603</t>
  </si>
  <si>
    <t>Kezdő kronomágus</t>
  </si>
  <si>
    <t>913</t>
  </si>
  <si>
    <t>606657</t>
  </si>
  <si>
    <t>Eszméletlen tivornya</t>
  </si>
  <si>
    <t>599319</t>
  </si>
  <si>
    <t>Homo octopus</t>
  </si>
  <si>
    <t>592300</t>
  </si>
  <si>
    <t>739695</t>
  </si>
  <si>
    <t>673605</t>
  </si>
  <si>
    <t>703664</t>
  </si>
  <si>
    <t>721539</t>
  </si>
  <si>
    <t>Kék manatipró</t>
  </si>
  <si>
    <t>816204</t>
  </si>
  <si>
    <t>Vörös zsarnok</t>
  </si>
  <si>
    <t>785183</t>
  </si>
  <si>
    <t>Arany hadúr</t>
  </si>
  <si>
    <t>1360</t>
  </si>
  <si>
    <t>788587</t>
  </si>
  <si>
    <t>Sajtgólem</t>
  </si>
  <si>
    <t>5555</t>
  </si>
  <si>
    <t>800000</t>
  </si>
  <si>
    <t>Mángor-ló</t>
  </si>
  <si>
    <t>2382</t>
  </si>
  <si>
    <t>Kalózkapitány</t>
  </si>
  <si>
    <t>1454</t>
  </si>
  <si>
    <t>680514</t>
  </si>
  <si>
    <t>185</t>
  </si>
  <si>
    <t>Csirkefogó</t>
  </si>
  <si>
    <t>1317</t>
  </si>
  <si>
    <t>672213</t>
  </si>
  <si>
    <t>Vámpírmajom</t>
  </si>
  <si>
    <t>1202</t>
  </si>
  <si>
    <t>664127</t>
  </si>
  <si>
    <t>Horogféreg</t>
  </si>
  <si>
    <t>656275</t>
  </si>
  <si>
    <t>Zsírszúnyog</t>
  </si>
  <si>
    <t>601</t>
  </si>
  <si>
    <t>648935</t>
  </si>
  <si>
    <t>Kronotekercs</t>
  </si>
  <si>
    <t>640145</t>
  </si>
  <si>
    <t>827085</t>
  </si>
  <si>
    <t>Gyémánt máguslord</t>
  </si>
  <si>
    <t>748121</t>
  </si>
  <si>
    <t>771706</t>
  </si>
  <si>
    <t>869347</t>
  </si>
  <si>
    <t>864502</t>
  </si>
  <si>
    <t>852281</t>
  </si>
  <si>
    <t>Yetianya</t>
  </si>
  <si>
    <t>6323</t>
  </si>
  <si>
    <t>1000000</t>
  </si>
  <si>
    <t>Csigarend harcosa</t>
  </si>
  <si>
    <t>Homo sanctus</t>
  </si>
  <si>
    <t>1470</t>
  </si>
  <si>
    <t>728503</t>
  </si>
  <si>
    <t>Gyakorlott morfmágus</t>
  </si>
  <si>
    <t>720588</t>
  </si>
  <si>
    <t>Vérhörcsög</t>
  </si>
  <si>
    <t>1223</t>
  </si>
  <si>
    <t>712241</t>
  </si>
  <si>
    <t>Gyakorlott kronomágus</t>
  </si>
  <si>
    <t>704140</t>
  </si>
  <si>
    <t>Ráspolyos</t>
  </si>
  <si>
    <t>615</t>
  </si>
  <si>
    <t>696808</t>
  </si>
  <si>
    <t>Morftekercs</t>
  </si>
  <si>
    <t>688322</t>
  </si>
  <si>
    <t>903611</t>
  </si>
  <si>
    <t>831258</t>
  </si>
  <si>
    <t>851350</t>
  </si>
  <si>
    <t>960887</t>
  </si>
  <si>
    <t>941344</t>
  </si>
  <si>
    <t>952593</t>
  </si>
  <si>
    <t>Uborkagólem</t>
  </si>
  <si>
    <t>950000</t>
  </si>
  <si>
    <t>Otromba Ridikül</t>
  </si>
  <si>
    <t>2974</t>
  </si>
  <si>
    <t>Horogmester</t>
  </si>
  <si>
    <t>1500</t>
  </si>
  <si>
    <t>788596</t>
  </si>
  <si>
    <t>Szimat</t>
  </si>
  <si>
    <t>1357</t>
  </si>
  <si>
    <t>782772</t>
  </si>
  <si>
    <t>Kaszás</t>
  </si>
  <si>
    <t>776634</t>
  </si>
  <si>
    <t>Imitátor</t>
  </si>
  <si>
    <t>770831</t>
  </si>
  <si>
    <t>Kronokönyv</t>
  </si>
  <si>
    <t>624</t>
  </si>
  <si>
    <t>764011</t>
  </si>
  <si>
    <t>Saslik</t>
  </si>
  <si>
    <t>393</t>
  </si>
  <si>
    <t>758146</t>
  </si>
  <si>
    <t>986850</t>
  </si>
  <si>
    <t>916701</t>
  </si>
  <si>
    <t>1077711</t>
  </si>
  <si>
    <t>1019233</t>
  </si>
  <si>
    <t>1022871</t>
  </si>
  <si>
    <t>Zombikirály</t>
  </si>
  <si>
    <t>9999</t>
  </si>
  <si>
    <t>1200000</t>
  </si>
  <si>
    <t>Piranhaúsztató</t>
  </si>
  <si>
    <t>850000</t>
  </si>
  <si>
    <t>Morfmágus mester</t>
  </si>
  <si>
    <t>835540</t>
  </si>
  <si>
    <t>Dimenziófaragó</t>
  </si>
  <si>
    <t>1375</t>
  </si>
  <si>
    <t>828170</t>
  </si>
  <si>
    <t>Kronomágus mester</t>
  </si>
  <si>
    <t>1247</t>
  </si>
  <si>
    <t>822324</t>
  </si>
  <si>
    <t>Homo luxus</t>
  </si>
  <si>
    <t>816323</t>
  </si>
  <si>
    <t>Morfkönyv</t>
  </si>
  <si>
    <t>631</t>
  </si>
  <si>
    <t>810099</t>
  </si>
  <si>
    <t>Ősvírus</t>
  </si>
  <si>
    <t>804007</t>
  </si>
  <si>
    <t>Gyémánt démonlovag</t>
  </si>
  <si>
    <t>2784</t>
  </si>
  <si>
    <t>1087915</t>
  </si>
  <si>
    <t>985957</t>
  </si>
  <si>
    <t>1095966</t>
  </si>
  <si>
    <t>1046978</t>
  </si>
  <si>
    <t>1055658</t>
  </si>
  <si>
    <t>Alabástrom gólem</t>
  </si>
  <si>
    <t>1250000</t>
  </si>
  <si>
    <t>Oglubsotetenje</t>
  </si>
  <si>
    <t>3620</t>
  </si>
  <si>
    <t>910944</t>
  </si>
  <si>
    <t>Révész</t>
  </si>
  <si>
    <t>1543</t>
  </si>
  <si>
    <t>900000</t>
  </si>
  <si>
    <t>Szárazföldi cápa</t>
  </si>
  <si>
    <t>1390</t>
  </si>
  <si>
    <t>892216</t>
  </si>
  <si>
    <t>Bölcselő</t>
  </si>
  <si>
    <t>884691</t>
  </si>
  <si>
    <t>Vakbélféreg</t>
  </si>
  <si>
    <t>876199</t>
  </si>
  <si>
    <t>GY. I. K.</t>
  </si>
  <si>
    <t>868307</t>
  </si>
  <si>
    <t>Homo Naivus</t>
  </si>
  <si>
    <t>408</t>
  </si>
  <si>
    <t>860300</t>
  </si>
  <si>
    <t>1115741</t>
  </si>
  <si>
    <t>1021636</t>
  </si>
  <si>
    <t>2875</t>
  </si>
  <si>
    <t>985469</t>
  </si>
  <si>
    <t>Kék lidércúr</t>
  </si>
  <si>
    <t>1036977</t>
  </si>
  <si>
    <t>Vörös manatipró</t>
  </si>
  <si>
    <t>2260</t>
  </si>
  <si>
    <t>1149720</t>
  </si>
  <si>
    <t>Fekete zsarnok</t>
  </si>
  <si>
    <t>1130</t>
  </si>
  <si>
    <t>1091787</t>
  </si>
  <si>
    <t>Gyémánt hadúr</t>
  </si>
  <si>
    <t>1413</t>
  </si>
  <si>
    <t>1110420</t>
  </si>
  <si>
    <t>Arachnoszaurusz</t>
  </si>
  <si>
    <t>1300000</t>
  </si>
  <si>
    <t>Kacifánt</t>
  </si>
  <si>
    <t>985466</t>
  </si>
  <si>
    <t>Töltőtroll</t>
  </si>
  <si>
    <t>1567</t>
  </si>
  <si>
    <t>974197</t>
  </si>
  <si>
    <t>Rémszarvas</t>
  </si>
  <si>
    <t>963974</t>
  </si>
  <si>
    <t>Jobbhorog</t>
  </si>
  <si>
    <t>1266</t>
  </si>
  <si>
    <t>952950</t>
  </si>
  <si>
    <t>Pernahajder</t>
  </si>
  <si>
    <t>983</t>
  </si>
  <si>
    <t>941087</t>
  </si>
  <si>
    <t>Kulcsember</t>
  </si>
  <si>
    <t>930328</t>
  </si>
  <si>
    <t>Vérszipoly</t>
  </si>
  <si>
    <t>413</t>
  </si>
  <si>
    <t>919441</t>
  </si>
  <si>
    <t>1157235</t>
  </si>
  <si>
    <t>1071457</t>
  </si>
  <si>
    <t>1197548</t>
  </si>
  <si>
    <t>1124160</t>
  </si>
  <si>
    <t>1165415</t>
  </si>
  <si>
    <t>Golyóstroll</t>
  </si>
  <si>
    <t>Kis varázsmecha</t>
  </si>
  <si>
    <t>2424</t>
  </si>
  <si>
    <t>1045037</t>
  </si>
  <si>
    <t>Morfmágus nagymester</t>
  </si>
  <si>
    <t>1573</t>
  </si>
  <si>
    <t>1036508</t>
  </si>
  <si>
    <t>Mocskos fantázia</t>
  </si>
  <si>
    <t>1435</t>
  </si>
  <si>
    <t>1027433</t>
  </si>
  <si>
    <t>Kronomágus nagymester</t>
  </si>
  <si>
    <t>1018779</t>
  </si>
  <si>
    <t>Ronin</t>
  </si>
  <si>
    <t>1009490</t>
  </si>
  <si>
    <t>Kezdő fórumzsoké</t>
  </si>
  <si>
    <t>659</t>
  </si>
  <si>
    <t>Derékszög</t>
  </si>
  <si>
    <t>418</t>
  </si>
  <si>
    <t>993422</t>
  </si>
  <si>
    <t>1198588</t>
  </si>
  <si>
    <t>1119445</t>
  </si>
  <si>
    <t>1221477</t>
  </si>
  <si>
    <t>1210153</t>
  </si>
  <si>
    <t>1226630</t>
  </si>
  <si>
    <t>Ihletlopó</t>
  </si>
  <si>
    <t>1500000</t>
  </si>
  <si>
    <t>Varadar</t>
  </si>
  <si>
    <t>2735</t>
  </si>
  <si>
    <t>1040065</t>
  </si>
  <si>
    <t>Barlangi elf avatár</t>
  </si>
  <si>
    <t>1583</t>
  </si>
  <si>
    <t>1125776</t>
  </si>
  <si>
    <t>Nünüke harcos</t>
  </si>
  <si>
    <t>1111861</t>
  </si>
  <si>
    <t>Torokgyulladás</t>
  </si>
  <si>
    <t>1288</t>
  </si>
  <si>
    <t>1099036</t>
  </si>
  <si>
    <t>Kezdő magnetológus</t>
  </si>
  <si>
    <t>1088657</t>
  </si>
  <si>
    <t>Ezerarcú rém</t>
  </si>
  <si>
    <t>1077512</t>
  </si>
  <si>
    <t>Borotvaéles táncoló</t>
  </si>
  <si>
    <t>1066555</t>
  </si>
  <si>
    <t>1256715</t>
  </si>
  <si>
    <t>1248806</t>
  </si>
  <si>
    <t>1315533</t>
  </si>
  <si>
    <t>1292116</t>
  </si>
  <si>
    <t>1316140</t>
  </si>
  <si>
    <t>Gyalogbálna</t>
  </si>
  <si>
    <t>12000</t>
  </si>
  <si>
    <t>2000000</t>
  </si>
  <si>
    <t>Fejlesztett varázsmecha</t>
  </si>
  <si>
    <t>2928</t>
  </si>
  <si>
    <t>1220468</t>
  </si>
  <si>
    <t>Medvefatty</t>
  </si>
  <si>
    <t>1210429</t>
  </si>
  <si>
    <t>Kezdő dezintegrátor</t>
  </si>
  <si>
    <t>1200993</t>
  </si>
  <si>
    <t>Neszójjábe</t>
  </si>
  <si>
    <t>1296</t>
  </si>
  <si>
    <t>1190901</t>
  </si>
  <si>
    <t>Tűz kardja</t>
  </si>
  <si>
    <t>1175205</t>
  </si>
  <si>
    <t>Kezdő álommágus</t>
  </si>
  <si>
    <t>673</t>
  </si>
  <si>
    <t>1160413</t>
  </si>
  <si>
    <t>Holtdog</t>
  </si>
  <si>
    <t>431</t>
  </si>
  <si>
    <t>1145224</t>
  </si>
  <si>
    <t>3457</t>
  </si>
  <si>
    <t>1313575</t>
  </si>
  <si>
    <t>1293067</t>
  </si>
  <si>
    <t>1437055</t>
  </si>
  <si>
    <t>1346614</t>
  </si>
  <si>
    <t>Földavatár</t>
  </si>
  <si>
    <t>2100000</t>
  </si>
  <si>
    <t>Atomgomba</t>
  </si>
  <si>
    <t>1313542</t>
  </si>
  <si>
    <t>Nünüke sámán</t>
  </si>
  <si>
    <t>1302275</t>
  </si>
  <si>
    <t>Naplopó</t>
  </si>
  <si>
    <t>1466</t>
  </si>
  <si>
    <t>1291381</t>
  </si>
  <si>
    <t>Kentauravatár</t>
  </si>
  <si>
    <t>1280929</t>
  </si>
  <si>
    <t>Víz kardja</t>
  </si>
  <si>
    <t>1018</t>
  </si>
  <si>
    <t>1265790</t>
  </si>
  <si>
    <t>Csublagambla</t>
  </si>
  <si>
    <t>1250246</t>
  </si>
  <si>
    <t>Gumimaci</t>
  </si>
  <si>
    <t>1235034</t>
  </si>
  <si>
    <t>1395451</t>
  </si>
  <si>
    <t>Kék kínherceg</t>
  </si>
  <si>
    <t>1812</t>
  </si>
  <si>
    <t>1493924</t>
  </si>
  <si>
    <t>Vörös lidércúr</t>
  </si>
  <si>
    <t>604</t>
  </si>
  <si>
    <t>1429802</t>
  </si>
  <si>
    <t>Szuperpáncélos</t>
  </si>
  <si>
    <t>100000</t>
  </si>
  <si>
    <t>Entavatár</t>
  </si>
  <si>
    <t>2222222</t>
  </si>
  <si>
    <t>Isten lába</t>
  </si>
  <si>
    <t>3455</t>
  </si>
  <si>
    <t>1423578</t>
  </si>
  <si>
    <t>Szekuriti</t>
  </si>
  <si>
    <t>1407817</t>
  </si>
  <si>
    <t>Gyakorlott magnetológus</t>
  </si>
  <si>
    <t>1473</t>
  </si>
  <si>
    <t>1391886</t>
  </si>
  <si>
    <t>Kos fanatikus</t>
  </si>
  <si>
    <t>1312</t>
  </si>
  <si>
    <t>1375559</t>
  </si>
  <si>
    <t>Csendorzó</t>
  </si>
  <si>
    <t>1025</t>
  </si>
  <si>
    <t>1359961</t>
  </si>
  <si>
    <t>Zérus</t>
  </si>
  <si>
    <t>1343922</t>
  </si>
  <si>
    <t>Levegő kardja</t>
  </si>
  <si>
    <t>1327040</t>
  </si>
  <si>
    <t>Fekete manatipró</t>
  </si>
  <si>
    <t>1560460</t>
  </si>
  <si>
    <t>Ezüst zsarnok</t>
  </si>
  <si>
    <t>0,56 kg</t>
  </si>
  <si>
    <t>1208</t>
  </si>
  <si>
    <t>1487254</t>
  </si>
  <si>
    <t>1620869</t>
  </si>
  <si>
    <t>1525095</t>
  </si>
  <si>
    <t>Gigacsiga</t>
  </si>
  <si>
    <t>16000</t>
  </si>
  <si>
    <t>3000000</t>
  </si>
  <si>
    <t>Tökéletesített varázsmecha</t>
  </si>
  <si>
    <t>3283</t>
  </si>
  <si>
    <t>1521321</t>
  </si>
  <si>
    <t>Oroszlán fanatikus</t>
  </si>
  <si>
    <t>1507852</t>
  </si>
  <si>
    <t>Gyakorlott dezintegrátor</t>
  </si>
  <si>
    <t>1493912</t>
  </si>
  <si>
    <t>Nünüke főnök</t>
  </si>
  <si>
    <t>1322</t>
  </si>
  <si>
    <t>1479631</t>
  </si>
  <si>
    <t>Föld kardja</t>
  </si>
  <si>
    <t>1033</t>
  </si>
  <si>
    <t>1465730</t>
  </si>
  <si>
    <t>Észkombájn</t>
  </si>
  <si>
    <t>688</t>
  </si>
  <si>
    <t>1451011</t>
  </si>
  <si>
    <t>Sárkányprotkó</t>
  </si>
  <si>
    <t>1437696</t>
  </si>
  <si>
    <t>1627378</t>
  </si>
  <si>
    <t>1583188</t>
  </si>
  <si>
    <t>1750590</t>
  </si>
  <si>
    <t>1631130</t>
  </si>
  <si>
    <t>Elefánt fanatikus</t>
  </si>
  <si>
    <t>2200000</t>
  </si>
  <si>
    <t>Isten kardja</t>
  </si>
  <si>
    <t>3333</t>
  </si>
  <si>
    <t>1621866</t>
  </si>
  <si>
    <t>Tűzavatár</t>
  </si>
  <si>
    <t>1638</t>
  </si>
  <si>
    <t>1607685</t>
  </si>
  <si>
    <t>Magnetológus mester</t>
  </si>
  <si>
    <t>1512</t>
  </si>
  <si>
    <t>1593573</t>
  </si>
  <si>
    <t>215</t>
  </si>
  <si>
    <t>Mesterboszorkány</t>
  </si>
  <si>
    <t>1335</t>
  </si>
  <si>
    <t>1579203</t>
  </si>
  <si>
    <t>Agyszívó avatár</t>
  </si>
  <si>
    <t>1041</t>
  </si>
  <si>
    <t>1565560</t>
  </si>
  <si>
    <t>Gyakorlott álommágus</t>
  </si>
  <si>
    <t>694</t>
  </si>
  <si>
    <t>1551113</t>
  </si>
  <si>
    <t>Hályogkovács</t>
  </si>
  <si>
    <t>1537614</t>
  </si>
  <si>
    <t>1762857</t>
  </si>
  <si>
    <t>1700375</t>
  </si>
  <si>
    <t>1731476</t>
  </si>
  <si>
    <t>1866001</t>
  </si>
  <si>
    <t>1708510</t>
  </si>
  <si>
    <t>Undóriás</t>
  </si>
  <si>
    <t>8888</t>
  </si>
  <si>
    <t>2600000</t>
  </si>
  <si>
    <t>Légavatar</t>
  </si>
  <si>
    <t>1721426</t>
  </si>
  <si>
    <t>Bukott arkangyal</t>
  </si>
  <si>
    <t>1652</t>
  </si>
  <si>
    <t>1707127</t>
  </si>
  <si>
    <t>Dezintegrátor mester</t>
  </si>
  <si>
    <t>1526</t>
  </si>
  <si>
    <t>1693378</t>
  </si>
  <si>
    <t>Kannibál</t>
  </si>
  <si>
    <t>1679556</t>
  </si>
  <si>
    <t>226</t>
  </si>
  <si>
    <t>100000 éves hulla</t>
  </si>
  <si>
    <t>1048</t>
  </si>
  <si>
    <t>1665038</t>
  </si>
  <si>
    <t>Káró katona</t>
  </si>
  <si>
    <t>1651862</t>
  </si>
  <si>
    <t>Végtelen vipera</t>
  </si>
  <si>
    <t>1637028</t>
  </si>
  <si>
    <t>1868127</t>
  </si>
  <si>
    <t>1819018</t>
  </si>
  <si>
    <t>1947570</t>
  </si>
  <si>
    <t>1828803</t>
  </si>
  <si>
    <t>Animált kocsma</t>
  </si>
  <si>
    <t>2700000</t>
  </si>
  <si>
    <t>Tűzköpő</t>
  </si>
  <si>
    <t>3222</t>
  </si>
  <si>
    <t>1819687</t>
  </si>
  <si>
    <t>Villámköpő</t>
  </si>
  <si>
    <t>1669</t>
  </si>
  <si>
    <t>1805767</t>
  </si>
  <si>
    <t>Sziklaköpő</t>
  </si>
  <si>
    <t>1540</t>
  </si>
  <si>
    <t>1791679</t>
  </si>
  <si>
    <t>Vízköpő</t>
  </si>
  <si>
    <t>1362</t>
  </si>
  <si>
    <t>1777454</t>
  </si>
  <si>
    <t>Kezdő rúnamágus</t>
  </si>
  <si>
    <t>1055</t>
  </si>
  <si>
    <t>1763614</t>
  </si>
  <si>
    <t>Homo megmondó</t>
  </si>
  <si>
    <t>707</t>
  </si>
  <si>
    <t>1749985</t>
  </si>
  <si>
    <t>Filctroll</t>
  </si>
  <si>
    <t>1735539</t>
  </si>
  <si>
    <t>1972818</t>
  </si>
  <si>
    <t>1939116</t>
  </si>
  <si>
    <t>Vörös kínherceg</t>
  </si>
  <si>
    <t>1918</t>
  </si>
  <si>
    <t>2040880</t>
  </si>
  <si>
    <t>Fekete lidércúr</t>
  </si>
  <si>
    <t>639</t>
  </si>
  <si>
    <t>1951295</t>
  </si>
  <si>
    <t>Animált erőd</t>
  </si>
  <si>
    <t>7217</t>
  </si>
  <si>
    <t>2900000</t>
  </si>
  <si>
    <t>Ragacszselé</t>
  </si>
  <si>
    <t>3429</t>
  </si>
  <si>
    <t>1922640</t>
  </si>
  <si>
    <t>Savköpő</t>
  </si>
  <si>
    <t>1679</t>
  </si>
  <si>
    <t>1908470</t>
  </si>
  <si>
    <t>Szaggató</t>
  </si>
  <si>
    <t>1894827</t>
  </si>
  <si>
    <t>Méregköpő</t>
  </si>
  <si>
    <t>1880132</t>
  </si>
  <si>
    <t>Vízavatár</t>
  </si>
  <si>
    <t>1063</t>
  </si>
  <si>
    <t>1866799</t>
  </si>
  <si>
    <t>Hypnopata</t>
  </si>
  <si>
    <t>711</t>
  </si>
  <si>
    <t>1852278</t>
  </si>
  <si>
    <t>0,52 kg</t>
  </si>
  <si>
    <t>Precizíós varázsmecha</t>
  </si>
  <si>
    <t>462</t>
  </si>
  <si>
    <t>1838071</t>
  </si>
  <si>
    <t>Ezüst manatipró</t>
  </si>
  <si>
    <t>2558</t>
  </si>
  <si>
    <t>2076933</t>
  </si>
  <si>
    <t>Arany zsarnok</t>
  </si>
  <si>
    <t>1279</t>
  </si>
  <si>
    <t>1979349</t>
  </si>
  <si>
    <t>2132624</t>
  </si>
  <si>
    <t>629</t>
  </si>
  <si>
    <t>1990386</t>
  </si>
  <si>
    <t>Bamba behemót</t>
  </si>
  <si>
    <t>12500</t>
  </si>
  <si>
    <t>Szájasfejű</t>
  </si>
  <si>
    <t>3555</t>
  </si>
  <si>
    <t>2020782</t>
  </si>
  <si>
    <t>Ezüstfarkas</t>
  </si>
  <si>
    <t>1691</t>
  </si>
  <si>
    <t>2006270</t>
  </si>
  <si>
    <t>Kezdő éjmágus</t>
  </si>
  <si>
    <t>1568</t>
  </si>
  <si>
    <t>1992301</t>
  </si>
  <si>
    <t>Fallabda</t>
  </si>
  <si>
    <t>1978407</t>
  </si>
  <si>
    <t>Éjféreg</t>
  </si>
  <si>
    <t>1072</t>
  </si>
  <si>
    <t>1964030</t>
  </si>
  <si>
    <t>1,91 kg</t>
  </si>
  <si>
    <t>Pamacs</t>
  </si>
  <si>
    <t>1950368</t>
  </si>
  <si>
    <t>Nikkelbolha</t>
  </si>
  <si>
    <t>1936311</t>
  </si>
  <si>
    <t>2518</t>
  </si>
  <si>
    <t>2214443</t>
  </si>
  <si>
    <t>2098077</t>
  </si>
  <si>
    <t>2256444</t>
  </si>
  <si>
    <t>2156927</t>
  </si>
  <si>
    <t>Rézangyal</t>
  </si>
  <si>
    <t>Homo negatívus</t>
  </si>
  <si>
    <t>3353</t>
  </si>
  <si>
    <t>2125139</t>
  </si>
  <si>
    <t>Pamacsvadász</t>
  </si>
  <si>
    <t>1699</t>
  </si>
  <si>
    <t>2110666</t>
  </si>
  <si>
    <t>Kezdő fénymágus</t>
  </si>
  <si>
    <t>1575</t>
  </si>
  <si>
    <t>2095481</t>
  </si>
  <si>
    <t>Zsírsörény</t>
  </si>
  <si>
    <t>1392</t>
  </si>
  <si>
    <t>2080536</t>
  </si>
  <si>
    <t>Bibikri</t>
  </si>
  <si>
    <t>1077</t>
  </si>
  <si>
    <t>2065433</t>
  </si>
  <si>
    <t>Ezüstrája</t>
  </si>
  <si>
    <t>2050487</t>
  </si>
  <si>
    <t>Szrtyong</t>
  </si>
  <si>
    <t>468</t>
  </si>
  <si>
    <t>2035517</t>
  </si>
  <si>
    <t>2319101</t>
  </si>
  <si>
    <t>2218260</t>
  </si>
  <si>
    <t>2382969</t>
  </si>
  <si>
    <t>Hengerpalást</t>
  </si>
  <si>
    <t>5888</t>
  </si>
  <si>
    <t>3200000</t>
  </si>
  <si>
    <t>Vízhatlan medúza</t>
  </si>
  <si>
    <t>3434</t>
  </si>
  <si>
    <t>2237327</t>
  </si>
  <si>
    <t>Pókfanatikus</t>
  </si>
  <si>
    <t>1717</t>
  </si>
  <si>
    <t>2221706</t>
  </si>
  <si>
    <t>Magnetológus nagymester</t>
  </si>
  <si>
    <t>1585</t>
  </si>
  <si>
    <t>2205154</t>
  </si>
  <si>
    <t>Ínségszaru</t>
  </si>
  <si>
    <t>1398</t>
  </si>
  <si>
    <t>2189995</t>
  </si>
  <si>
    <t>Sir Csomó</t>
  </si>
  <si>
    <t>1081</t>
  </si>
  <si>
    <t>2173662</t>
  </si>
  <si>
    <t>Rémvarangy</t>
  </si>
  <si>
    <t>724</t>
  </si>
  <si>
    <t>2157634</t>
  </si>
  <si>
    <t>H&amp;rk&amp;l</t>
  </si>
  <si>
    <t>2141864</t>
  </si>
  <si>
    <t>2194645</t>
  </si>
  <si>
    <t>2428689</t>
  </si>
  <si>
    <t>2345217</t>
  </si>
  <si>
    <t>728</t>
  </si>
  <si>
    <t>2265877</t>
  </si>
  <si>
    <t>2520796</t>
  </si>
  <si>
    <t>Integető rém</t>
  </si>
  <si>
    <t>3333333</t>
  </si>
  <si>
    <t>Álommágus mester</t>
  </si>
  <si>
    <t>3258</t>
  </si>
  <si>
    <t>2340615</t>
  </si>
  <si>
    <t>Aranyfarkas</t>
  </si>
  <si>
    <t>1725</t>
  </si>
  <si>
    <t>2325461</t>
  </si>
  <si>
    <t>Kardnyelő</t>
  </si>
  <si>
    <t>1592</t>
  </si>
  <si>
    <t>2310725</t>
  </si>
  <si>
    <t>Alkusz</t>
  </si>
  <si>
    <t>1405</t>
  </si>
  <si>
    <t>2295897</t>
  </si>
  <si>
    <t>Bajusz</t>
  </si>
  <si>
    <t>1086</t>
  </si>
  <si>
    <t>2280476</t>
  </si>
  <si>
    <t>G@rv@ng</t>
  </si>
  <si>
    <t>2265777</t>
  </si>
  <si>
    <t>Fejfúró</t>
  </si>
  <si>
    <t>473</t>
  </si>
  <si>
    <t>2250217</t>
  </si>
  <si>
    <t>2329584</t>
  </si>
  <si>
    <t>2543163</t>
  </si>
  <si>
    <t>2479056</t>
  </si>
  <si>
    <t>Fekete kínherceg</t>
  </si>
  <si>
    <t>1941</t>
  </si>
  <si>
    <t>2621574</t>
  </si>
  <si>
    <t>Hőember</t>
  </si>
  <si>
    <t>0,82 kg</t>
  </si>
  <si>
    <t>8000</t>
  </si>
  <si>
    <t>Dezintegrátor nagymester</t>
  </si>
  <si>
    <t>2445659</t>
  </si>
  <si>
    <t>Gyakorlott fénymágus</t>
  </si>
  <si>
    <t>1737</t>
  </si>
  <si>
    <t>2430691</t>
  </si>
  <si>
    <t>Gyakorlott éjmágus</t>
  </si>
  <si>
    <t>2415898</t>
  </si>
  <si>
    <t>Motolla</t>
  </si>
  <si>
    <t>238</t>
  </si>
  <si>
    <t>2400853</t>
  </si>
  <si>
    <t>Harmatporlasztó</t>
  </si>
  <si>
    <t>2385102</t>
  </si>
  <si>
    <t>Inverz teknős</t>
  </si>
  <si>
    <t>2370643</t>
  </si>
  <si>
    <t>Horognyúl</t>
  </si>
  <si>
    <t>2355857</t>
  </si>
  <si>
    <t>Ezüst lidércúr</t>
  </si>
  <si>
    <t>647</t>
  </si>
  <si>
    <t>2466941</t>
  </si>
  <si>
    <t>Arany manatipró</t>
  </si>
  <si>
    <t>2657001</t>
  </si>
  <si>
    <t>Gyémánt zsarnok</t>
  </si>
  <si>
    <t>1294</t>
  </si>
  <si>
    <t>2510706</t>
  </si>
  <si>
    <t>3489</t>
  </si>
  <si>
    <t>2564765</t>
  </si>
  <si>
    <t>2736726</t>
  </si>
  <si>
    <t>Óriás avatár</t>
  </si>
  <si>
    <t>2,65 kg</t>
  </si>
  <si>
    <t>25000</t>
  </si>
  <si>
    <t>5000000</t>
  </si>
  <si>
    <t>Minotaurusz sámán</t>
  </si>
  <si>
    <t>2564060</t>
  </si>
  <si>
    <t>Királyi gárdista</t>
  </si>
  <si>
    <t>2547157</t>
  </si>
  <si>
    <t>Fiatal trónörökös</t>
  </si>
  <si>
    <t>2530197</t>
  </si>
  <si>
    <t>Gyakorlott rúnamágus</t>
  </si>
  <si>
    <t>1419</t>
  </si>
  <si>
    <t>2513552</t>
  </si>
  <si>
    <t>Fűrészsügér</t>
  </si>
  <si>
    <t>1096</t>
  </si>
  <si>
    <t>2496648</t>
  </si>
  <si>
    <t>Sárdobáló</t>
  </si>
  <si>
    <t>735</t>
  </si>
  <si>
    <t>2479871</t>
  </si>
  <si>
    <t>Okostojás</t>
  </si>
  <si>
    <t>0,93 kg</t>
  </si>
  <si>
    <t>2462099</t>
  </si>
  <si>
    <t>2622142</t>
  </si>
  <si>
    <t>241</t>
  </si>
  <si>
    <t>2829913</t>
  </si>
  <si>
    <t>2658677</t>
  </si>
  <si>
    <t>2849919</t>
  </si>
  <si>
    <t>Kvargli</t>
  </si>
  <si>
    <t>480</t>
  </si>
  <si>
    <t>2580518</t>
  </si>
  <si>
    <t>Terrorszekér</t>
  </si>
  <si>
    <t>7999</t>
  </si>
  <si>
    <t>3700000</t>
  </si>
  <si>
    <t>Szivárványdémon</t>
  </si>
  <si>
    <t>3499</t>
  </si>
  <si>
    <t>2682830</t>
  </si>
  <si>
    <t>Eszkimó</t>
  </si>
  <si>
    <t>1757</t>
  </si>
  <si>
    <t>2665274</t>
  </si>
  <si>
    <t>Álommágus nagymester</t>
  </si>
  <si>
    <t>1619</t>
  </si>
  <si>
    <t>2648162</t>
  </si>
  <si>
    <t>Áldozópap</t>
  </si>
  <si>
    <t>1424</t>
  </si>
  <si>
    <t>2631972</t>
  </si>
  <si>
    <t>Rubin farkas</t>
  </si>
  <si>
    <t>2614947</t>
  </si>
  <si>
    <t>Sajtkukac</t>
  </si>
  <si>
    <t>2597228</t>
  </si>
  <si>
    <t>2721562</t>
  </si>
  <si>
    <t>2960909</t>
  </si>
  <si>
    <t>2808468</t>
  </si>
  <si>
    <t>3045351</t>
  </si>
  <si>
    <t>Falnyűvő</t>
  </si>
  <si>
    <t>6959</t>
  </si>
  <si>
    <t>3800000</t>
  </si>
  <si>
    <t>Betonpiton</t>
  </si>
  <si>
    <t>3553</t>
  </si>
  <si>
    <t>2807221</t>
  </si>
  <si>
    <t>Lemezlovas</t>
  </si>
  <si>
    <t>1778</t>
  </si>
  <si>
    <t>2789032</t>
  </si>
  <si>
    <t>Éjmágus mester</t>
  </si>
  <si>
    <t>1631</t>
  </si>
  <si>
    <t>2771045</t>
  </si>
  <si>
    <t>Feltaláló</t>
  </si>
  <si>
    <t>2753215</t>
  </si>
  <si>
    <t>247</t>
  </si>
  <si>
    <t>Hisztérika</t>
  </si>
  <si>
    <t>1106</t>
  </si>
  <si>
    <t>2735778</t>
  </si>
  <si>
    <t>Kódexmoly</t>
  </si>
  <si>
    <t>742</t>
  </si>
  <si>
    <t>2717043</t>
  </si>
  <si>
    <t>Teleporttekercs</t>
  </si>
  <si>
    <t>2699095</t>
  </si>
  <si>
    <t>2879526</t>
  </si>
  <si>
    <t>3091184</t>
  </si>
  <si>
    <t>2960077</t>
  </si>
  <si>
    <t>3163785</t>
  </si>
  <si>
    <t>Minotaurusz király</t>
  </si>
  <si>
    <t>7575</t>
  </si>
  <si>
    <t>4000000</t>
  </si>
  <si>
    <t>Homokfutó</t>
  </si>
  <si>
    <t>3586</t>
  </si>
  <si>
    <t>2939276</t>
  </si>
  <si>
    <t>Álommágus pár</t>
  </si>
  <si>
    <t>1793</t>
  </si>
  <si>
    <t>2920661</t>
  </si>
  <si>
    <t>Rémantilop</t>
  </si>
  <si>
    <t>2901524</t>
  </si>
  <si>
    <t>Szabo-tőr</t>
  </si>
  <si>
    <t>1447</t>
  </si>
  <si>
    <t>2882263</t>
  </si>
  <si>
    <t>Bolondgomba</t>
  </si>
  <si>
    <t>233</t>
  </si>
  <si>
    <t>2863037</t>
  </si>
  <si>
    <t>Fésün</t>
  </si>
  <si>
    <t>2844784</t>
  </si>
  <si>
    <t>Dezoxiribonulkeinsav</t>
  </si>
  <si>
    <t>485</t>
  </si>
  <si>
    <t>2825492</t>
  </si>
  <si>
    <t>2920031</t>
  </si>
  <si>
    <t>3226242</t>
  </si>
  <si>
    <t>3118828</t>
  </si>
  <si>
    <t>Kék szellemzsoldos</t>
  </si>
  <si>
    <t>2840</t>
  </si>
  <si>
    <t>3409067</t>
  </si>
  <si>
    <t>Ezüst kínherceg</t>
  </si>
  <si>
    <t>3329203</t>
  </si>
  <si>
    <t>Manapulátor</t>
  </si>
  <si>
    <t>4500000</t>
  </si>
  <si>
    <t>Hátszarvú</t>
  </si>
  <si>
    <t>3616</t>
  </si>
  <si>
    <t>3071548</t>
  </si>
  <si>
    <t>Rúnamágus mester</t>
  </si>
  <si>
    <t>363366 ezüst</t>
  </si>
  <si>
    <t>3052934</t>
  </si>
  <si>
    <t>Fénymágus mester</t>
  </si>
  <si>
    <t>1655</t>
  </si>
  <si>
    <t>3033664</t>
  </si>
  <si>
    <t>Kígyóbűvölő</t>
  </si>
  <si>
    <t>3014411</t>
  </si>
  <si>
    <t>Serteperte</t>
  </si>
  <si>
    <t>1116</t>
  </si>
  <si>
    <t>2995521</t>
  </si>
  <si>
    <t>Liliomtipró</t>
  </si>
  <si>
    <t>2976977</t>
  </si>
  <si>
    <t>Csavarhúzó</t>
  </si>
  <si>
    <t>2957002</t>
  </si>
  <si>
    <t>Arany lidércúr</t>
  </si>
  <si>
    <t>665</t>
  </si>
  <si>
    <t>3083236</t>
  </si>
  <si>
    <t>Gyémánt manatipró</t>
  </si>
  <si>
    <t>2660</t>
  </si>
  <si>
    <t>3360549</t>
  </si>
  <si>
    <t>3655403</t>
  </si>
  <si>
    <t>3466447</t>
  </si>
  <si>
    <t>Bálnaszörp</t>
  </si>
  <si>
    <t>6000000</t>
  </si>
  <si>
    <t>253</t>
  </si>
  <si>
    <t>Nekroavatár</t>
  </si>
  <si>
    <t>3656</t>
  </si>
  <si>
    <t>3211288</t>
  </si>
  <si>
    <t>Orrgazda</t>
  </si>
  <si>
    <t>1825</t>
  </si>
  <si>
    <t>3191936</t>
  </si>
  <si>
    <t>Lékhajós</t>
  </si>
  <si>
    <t>1671</t>
  </si>
  <si>
    <t>3171636</t>
  </si>
  <si>
    <t>Homo átverő</t>
  </si>
  <si>
    <t>1462</t>
  </si>
  <si>
    <t>3151769</t>
  </si>
  <si>
    <t>Mellőzött tehetség</t>
  </si>
  <si>
    <t>1121</t>
  </si>
  <si>
    <t>3131308</t>
  </si>
  <si>
    <t>Térhasító</t>
  </si>
  <si>
    <t>754</t>
  </si>
  <si>
    <t>3111454</t>
  </si>
  <si>
    <t>Fiatal ember</t>
  </si>
  <si>
    <t>3091285</t>
  </si>
  <si>
    <t>3259485</t>
  </si>
  <si>
    <t>3502101</t>
  </si>
  <si>
    <t>3817298</t>
  </si>
  <si>
    <t>3622942</t>
  </si>
  <si>
    <t>Mackósajt</t>
  </si>
  <si>
    <t>7890</t>
  </si>
  <si>
    <t>4700000</t>
  </si>
  <si>
    <t>Zombiavatár</t>
  </si>
  <si>
    <t>3681</t>
  </si>
  <si>
    <t>3358914</t>
  </si>
  <si>
    <t>Éjmágus nagymester</t>
  </si>
  <si>
    <t>1840</t>
  </si>
  <si>
    <t>3337219</t>
  </si>
  <si>
    <t>Ördögfióka</t>
  </si>
  <si>
    <t>1683</t>
  </si>
  <si>
    <t>3316167</t>
  </si>
  <si>
    <t>239</t>
  </si>
  <si>
    <t>Rémharcsa</t>
  </si>
  <si>
    <t>1468</t>
  </si>
  <si>
    <t>3295646</t>
  </si>
  <si>
    <t>Agresszív hajcsat</t>
  </si>
  <si>
    <t>1125</t>
  </si>
  <si>
    <t>3274880</t>
  </si>
  <si>
    <t>Depressziós hátizsák</t>
  </si>
  <si>
    <t>757</t>
  </si>
  <si>
    <t>3253205</t>
  </si>
  <si>
    <t>Fiatal szipirtyo</t>
  </si>
  <si>
    <t>3232110</t>
  </si>
  <si>
    <t>256</t>
  </si>
  <si>
    <t>3463405</t>
  </si>
  <si>
    <t>3701653</t>
  </si>
  <si>
    <t>4001077</t>
  </si>
  <si>
    <t>3733536</t>
  </si>
  <si>
    <t>Homokféreg</t>
  </si>
  <si>
    <t>9898</t>
  </si>
  <si>
    <t>4900000</t>
  </si>
  <si>
    <t>Minotaurusz bajnok</t>
  </si>
  <si>
    <t>3713</t>
  </si>
  <si>
    <t>3512048</t>
  </si>
  <si>
    <t>Csigaszemű juhász</t>
  </si>
  <si>
    <t>3490807</t>
  </si>
  <si>
    <t>Vaskalapos</t>
  </si>
  <si>
    <t>1697</t>
  </si>
  <si>
    <t>3468502</t>
  </si>
  <si>
    <t>Smaragdfarkas</t>
  </si>
  <si>
    <t>3446329</t>
  </si>
  <si>
    <t>Felnőtt ember</t>
  </si>
  <si>
    <t>1129</t>
  </si>
  <si>
    <t>3424673</t>
  </si>
  <si>
    <t>Teleportkönyv</t>
  </si>
  <si>
    <t>760</t>
  </si>
  <si>
    <t>3402643</t>
  </si>
  <si>
    <t>Aktakukac</t>
  </si>
  <si>
    <t>3380651</t>
  </si>
  <si>
    <t>3594205</t>
  </si>
  <si>
    <t>3874701</t>
  </si>
  <si>
    <t>3742</t>
  </si>
  <si>
    <t>3637939</t>
  </si>
  <si>
    <t>1133</t>
  </si>
  <si>
    <t>3571366</t>
  </si>
  <si>
    <t>4165946</t>
  </si>
  <si>
    <t>3918169</t>
  </si>
  <si>
    <t>Szélmalom harcos</t>
  </si>
  <si>
    <t>Barbarpapi</t>
  </si>
  <si>
    <t>3636932</t>
  </si>
  <si>
    <t>Tökfilkó</t>
  </si>
  <si>
    <t>1867</t>
  </si>
  <si>
    <t>3619882</t>
  </si>
  <si>
    <t>Krampstrucc</t>
  </si>
  <si>
    <t>3602967</t>
  </si>
  <si>
    <t>Felnőtt szipirtyó</t>
  </si>
  <si>
    <t>3585345</t>
  </si>
  <si>
    <t>Homo elrontó</t>
  </si>
  <si>
    <t>3568366</t>
  </si>
  <si>
    <t>Nünükeavatár</t>
  </si>
  <si>
    <t>763</t>
  </si>
  <si>
    <t>3551885</t>
  </si>
  <si>
    <t>Bombanő</t>
  </si>
  <si>
    <t>3534827</t>
  </si>
  <si>
    <t>3729577</t>
  </si>
  <si>
    <t>4055280</t>
  </si>
  <si>
    <t>Kék sellődémon</t>
  </si>
  <si>
    <t>2705</t>
  </si>
  <si>
    <t>4165836</t>
  </si>
  <si>
    <t>Vörös szellemzsoldos</t>
  </si>
  <si>
    <t>2896</t>
  </si>
  <si>
    <t>4367122</t>
  </si>
  <si>
    <t>Tömény bálnaszörp</t>
  </si>
  <si>
    <t>7000000</t>
  </si>
  <si>
    <t>Művelt barbár</t>
  </si>
  <si>
    <t>3766</t>
  </si>
  <si>
    <t>3783476</t>
  </si>
  <si>
    <t>Krokodildémon</t>
  </si>
  <si>
    <t>1883</t>
  </si>
  <si>
    <t>3762258</t>
  </si>
  <si>
    <t>Wattakukac</t>
  </si>
  <si>
    <t>1722</t>
  </si>
  <si>
    <t>3741313</t>
  </si>
  <si>
    <t>Hétfejű pocok</t>
  </si>
  <si>
    <t>1485</t>
  </si>
  <si>
    <t>3720523</t>
  </si>
  <si>
    <t>Ámbráskeszeg</t>
  </si>
  <si>
    <t>3699248</t>
  </si>
  <si>
    <t>396366 ezüst</t>
  </si>
  <si>
    <t>Boroskólika</t>
  </si>
  <si>
    <t>3678146</t>
  </si>
  <si>
    <t>Pörköltdémon</t>
  </si>
  <si>
    <t>498</t>
  </si>
  <si>
    <t>3657271</t>
  </si>
  <si>
    <t>Arany kínherceg</t>
  </si>
  <si>
    <t>2049</t>
  </si>
  <si>
    <t>4102124</t>
  </si>
  <si>
    <t>Gyémánt lidércúr</t>
  </si>
  <si>
    <t>3870512</t>
  </si>
  <si>
    <t>4371178</t>
  </si>
  <si>
    <t>4489421</t>
  </si>
  <si>
    <t>Hagymagólem</t>
  </si>
  <si>
    <t>40000</t>
  </si>
  <si>
    <t>10000000</t>
  </si>
  <si>
    <t>Barbárdoktor</t>
  </si>
  <si>
    <t>4062</t>
  </si>
  <si>
    <t>4216953</t>
  </si>
  <si>
    <t>Lékhajóskapitány</t>
  </si>
  <si>
    <t>2186</t>
  </si>
  <si>
    <t>4185835</t>
  </si>
  <si>
    <t>Rúnamágus nagymester</t>
  </si>
  <si>
    <t>1870</t>
  </si>
  <si>
    <t>4175461</t>
  </si>
  <si>
    <t>Fiatal zsáksárkány</t>
  </si>
  <si>
    <t>1274</t>
  </si>
  <si>
    <t>4152539</t>
  </si>
  <si>
    <t>Krokodilavatár</t>
  </si>
  <si>
    <t>1178</t>
  </si>
  <si>
    <t>4121149</t>
  </si>
  <si>
    <t>Kifejlett szipirtyó</t>
  </si>
  <si>
    <t>769</t>
  </si>
  <si>
    <t>4111311</t>
  </si>
  <si>
    <t>Prémfélszem</t>
  </si>
  <si>
    <t>4021762</t>
  </si>
  <si>
    <t>4299585</t>
  </si>
  <si>
    <t>3995462</t>
  </si>
  <si>
    <t>4461587</t>
  </si>
  <si>
    <t>4582928</t>
  </si>
  <si>
    <t>Fejlett homokféreg</t>
  </si>
  <si>
    <t>10094</t>
  </si>
  <si>
    <t>9873541</t>
  </si>
  <si>
    <t>Trágyaavatár</t>
  </si>
  <si>
    <t>4075</t>
  </si>
  <si>
    <t>4522249</t>
  </si>
  <si>
    <t>Párnacsatahajó</t>
  </si>
  <si>
    <t>2202</t>
  </si>
  <si>
    <t>4484290</t>
  </si>
  <si>
    <t>Éjmágus-avatár</t>
  </si>
  <si>
    <t>4471482</t>
  </si>
  <si>
    <t>Öreg zsáksárkány</t>
  </si>
  <si>
    <t>1287</t>
  </si>
  <si>
    <t>4444373</t>
  </si>
  <si>
    <t>Csigabika</t>
  </si>
  <si>
    <t>4412611</t>
  </si>
  <si>
    <t>Aszott vízmágus</t>
  </si>
  <si>
    <t>772</t>
  </si>
  <si>
    <t>4399448</t>
  </si>
  <si>
    <t>Köldökféreg</t>
  </si>
  <si>
    <t>4308136</t>
  </si>
  <si>
    <t>4398891</t>
  </si>
  <si>
    <t>4574448</t>
  </si>
  <si>
    <t>4799915</t>
  </si>
  <si>
    <t>4831057</t>
  </si>
  <si>
    <t>Mamutent</t>
  </si>
  <si>
    <t>11111</t>
  </si>
  <si>
    <t>10498237</t>
  </si>
  <si>
    <t>Kobold harcos</t>
  </si>
  <si>
    <t>268</t>
  </si>
  <si>
    <t>4080</t>
  </si>
  <si>
    <t>4875232</t>
  </si>
  <si>
    <t>Kezdő csapdamester</t>
  </si>
  <si>
    <t>2205</t>
  </si>
  <si>
    <t>4840204</t>
  </si>
  <si>
    <t>Trollmester</t>
  </si>
  <si>
    <t>1889</t>
  </si>
  <si>
    <t>4829695</t>
  </si>
  <si>
    <t>Felnőtt zsáksárkány</t>
  </si>
  <si>
    <t>4802658</t>
  </si>
  <si>
    <t>Kezdő zombológus</t>
  </si>
  <si>
    <t>1193</t>
  </si>
  <si>
    <t>4768948</t>
  </si>
  <si>
    <t>Gemini-harcos</t>
  </si>
  <si>
    <t>775</t>
  </si>
  <si>
    <t>4756087</t>
  </si>
  <si>
    <t>Homokfúvó</t>
  </si>
  <si>
    <t>4663837</t>
  </si>
  <si>
    <t>4742003</t>
  </si>
  <si>
    <t>4791892</t>
  </si>
  <si>
    <t>4959923</t>
  </si>
  <si>
    <t>5064951</t>
  </si>
  <si>
    <t>Érett mackósajt</t>
  </si>
  <si>
    <t>9902</t>
  </si>
  <si>
    <t>9654672</t>
  </si>
  <si>
    <t>Kobold bányász</t>
  </si>
  <si>
    <t>4094</t>
  </si>
  <si>
    <t>5270008</t>
  </si>
  <si>
    <t>Gyakorlott csapdamester</t>
  </si>
  <si>
    <t>2208</t>
  </si>
  <si>
    <t>5234866</t>
  </si>
  <si>
    <t>Fénymágus nagymester</t>
  </si>
  <si>
    <t>1893</t>
  </si>
  <si>
    <t>5216456</t>
  </si>
  <si>
    <t>Kis randomisten</t>
  </si>
  <si>
    <t>5185522</t>
  </si>
  <si>
    <t>Zombológus mester</t>
  </si>
  <si>
    <t>1192</t>
  </si>
  <si>
    <t>5149943</t>
  </si>
  <si>
    <t>Gemini-mágus</t>
  </si>
  <si>
    <t>778</t>
  </si>
  <si>
    <t>5139176</t>
  </si>
  <si>
    <t>Átoktekercs</t>
  </si>
  <si>
    <t>5045902</t>
  </si>
  <si>
    <t>4810625</t>
  </si>
  <si>
    <t>5088835</t>
  </si>
  <si>
    <t>5378412</t>
  </si>
  <si>
    <t>Kék sárkánylovas</t>
  </si>
  <si>
    <t>5088735</t>
  </si>
  <si>
    <t>Vörös sellődémon</t>
  </si>
  <si>
    <t>2867</t>
  </si>
  <si>
    <t>5566718</t>
  </si>
  <si>
    <t>Fekete szellemzsoldos</t>
  </si>
  <si>
    <t>3078</t>
  </si>
  <si>
    <t>5376791</t>
  </si>
  <si>
    <t>Köpönyegforgató</t>
  </si>
  <si>
    <t>257</t>
  </si>
  <si>
    <t>21302</t>
  </si>
  <si>
    <t>0,87 kg</t>
  </si>
  <si>
    <t>10354678</t>
  </si>
  <si>
    <t>Észbontó</t>
  </si>
  <si>
    <t>5545871</t>
  </si>
  <si>
    <t>Kezdő grafikus</t>
  </si>
  <si>
    <t>5508440</t>
  </si>
  <si>
    <t>Öreg vaskalapos</t>
  </si>
  <si>
    <t>1899</t>
  </si>
  <si>
    <t>5495761</t>
  </si>
  <si>
    <t>274</t>
  </si>
  <si>
    <t>Kiégett tűzdémon</t>
  </si>
  <si>
    <t>5469397</t>
  </si>
  <si>
    <t>Töpörödött ördög</t>
  </si>
  <si>
    <t>0,67 kg</t>
  </si>
  <si>
    <t>5434159</t>
  </si>
  <si>
    <t>Kis mágnesfaló</t>
  </si>
  <si>
    <t>798</t>
  </si>
  <si>
    <t>5421031</t>
  </si>
  <si>
    <t>Átokkönyv</t>
  </si>
  <si>
    <t>5328293</t>
  </si>
  <si>
    <t>Gyémánt kínherceg</t>
  </si>
  <si>
    <t>5259368</t>
  </si>
  <si>
    <t>5378391</t>
  </si>
  <si>
    <t>5558917</t>
  </si>
  <si>
    <t>5416894</t>
  </si>
  <si>
    <t>5661240</t>
  </si>
  <si>
    <t>Erődparancsnok</t>
  </si>
  <si>
    <t>32322</t>
  </si>
  <si>
    <t>10901044</t>
  </si>
  <si>
    <t>Kezdő monsztalógus</t>
  </si>
  <si>
    <t>4108</t>
  </si>
  <si>
    <t>5628427</t>
  </si>
  <si>
    <t>Gyakorlott grafikus</t>
  </si>
  <si>
    <t>5595722</t>
  </si>
  <si>
    <t>Nagy randomisten</t>
  </si>
  <si>
    <t>1906</t>
  </si>
  <si>
    <t>5584104</t>
  </si>
  <si>
    <t>Átképzett démonherceg</t>
  </si>
  <si>
    <t>5558566</t>
  </si>
  <si>
    <t>Zombológus nagymester</t>
  </si>
  <si>
    <t>1203</t>
  </si>
  <si>
    <t>5521510</t>
  </si>
  <si>
    <t>Nagy mágnesfaló</t>
  </si>
  <si>
    <t>822</t>
  </si>
  <si>
    <t>5508715</t>
  </si>
  <si>
    <t>399399 ezüst</t>
  </si>
  <si>
    <t>Goblinavatár</t>
  </si>
  <si>
    <t>573</t>
  </si>
  <si>
    <t>5413799</t>
  </si>
  <si>
    <t>4113</t>
  </si>
  <si>
    <t>5825678</t>
  </si>
  <si>
    <t>5616009</t>
  </si>
  <si>
    <t>5749539</t>
  </si>
  <si>
    <t>5689178</t>
  </si>
  <si>
    <t>5878162</t>
  </si>
  <si>
    <t>Thordi száműzött</t>
  </si>
  <si>
    <t>34122</t>
  </si>
  <si>
    <t>11101000</t>
  </si>
  <si>
    <t>Gyakorlott monsztalógus</t>
  </si>
  <si>
    <t>5823677</t>
  </si>
  <si>
    <t>Csapdanagymester</t>
  </si>
  <si>
    <t>5791958</t>
  </si>
  <si>
    <t>0,69 kg</t>
  </si>
  <si>
    <t>Rémkígyó</t>
  </si>
  <si>
    <t>1907</t>
  </si>
  <si>
    <t>5779312</t>
  </si>
  <si>
    <t>Gyilokjáró</t>
  </si>
  <si>
    <t>5757678</t>
  </si>
  <si>
    <t>Hapszichológus</t>
  </si>
  <si>
    <t>1212</t>
  </si>
  <si>
    <t>5723458</t>
  </si>
  <si>
    <t>Kezdő álcamester</t>
  </si>
  <si>
    <t>905</t>
  </si>
  <si>
    <t>5709707</t>
  </si>
  <si>
    <t>Veszett fejsze</t>
  </si>
  <si>
    <t>5618146</t>
  </si>
  <si>
    <t>5986805</t>
  </si>
  <si>
    <t>5995398</t>
  </si>
  <si>
    <t>5929138</t>
  </si>
  <si>
    <t>6058168</t>
  </si>
  <si>
    <t>Királyi adószedő</t>
  </si>
  <si>
    <t>41878</t>
  </si>
  <si>
    <t>12221200</t>
  </si>
  <si>
    <t>1111 db </t>
  </si>
  <si>
    <t>Monsztalógus mester</t>
  </si>
  <si>
    <t>4124</t>
  </si>
  <si>
    <t>6030417</t>
  </si>
  <si>
    <t>Lidércfénymester</t>
  </si>
  <si>
    <t>2243</t>
  </si>
  <si>
    <t>5991967</t>
  </si>
  <si>
    <t>Ködsárkány</t>
  </si>
  <si>
    <t>5975859</t>
  </si>
  <si>
    <t>Gyilokjárgány</t>
  </si>
  <si>
    <t>5951792</t>
  </si>
  <si>
    <t>Fejvadász</t>
  </si>
  <si>
    <t>5921068</t>
  </si>
  <si>
    <t>Gyakorlott álcamester</t>
  </si>
  <si>
    <t>5904839</t>
  </si>
  <si>
    <t>Lávamőba</t>
  </si>
  <si>
    <t>594</t>
  </si>
  <si>
    <t>5807699</t>
  </si>
  <si>
    <t>6222030</t>
  </si>
  <si>
    <t>6155397</t>
  </si>
  <si>
    <t>43344</t>
  </si>
  <si>
    <t>13911205</t>
  </si>
  <si>
    <t>269</t>
  </si>
  <si>
    <t>6011835</t>
  </si>
  <si>
    <t>6208761</t>
  </si>
  <si>
    <t>Hencegnő</t>
  </si>
  <si>
    <t>13821200</t>
  </si>
  <si>
    <t>Monsztalógus nagymester</t>
  </si>
  <si>
    <t>4132</t>
  </si>
  <si>
    <t>6259937</t>
  </si>
  <si>
    <t>Rémregész</t>
  </si>
  <si>
    <t>2246</t>
  </si>
  <si>
    <t>6224230</t>
  </si>
  <si>
    <t>Tértorzító</t>
  </si>
  <si>
    <t>1924</t>
  </si>
  <si>
    <t>6208836</t>
  </si>
  <si>
    <t>Gyémántfarkas</t>
  </si>
  <si>
    <t>1320</t>
  </si>
  <si>
    <t>6181067</t>
  </si>
  <si>
    <t>Pormacsek</t>
  </si>
  <si>
    <t>1215</t>
  </si>
  <si>
    <t>6146989</t>
  </si>
  <si>
    <t>Álcanagymester</t>
  </si>
  <si>
    <t>891</t>
  </si>
  <si>
    <t>6137726</t>
  </si>
  <si>
    <t>Thordi mágus</t>
  </si>
  <si>
    <t>6045259</t>
  </si>
  <si>
    <t>Kék zombitüzér</t>
  </si>
  <si>
    <t>2264</t>
  </si>
  <si>
    <t>6357660</t>
  </si>
  <si>
    <t>Vörös sárkánylovas</t>
  </si>
  <si>
    <t>743</t>
  </si>
  <si>
    <t>6298743</t>
  </si>
  <si>
    <t>Fekete sellődémon</t>
  </si>
  <si>
    <t>3094</t>
  </si>
  <si>
    <t>6309610</t>
  </si>
  <si>
    <t>Málnagólem</t>
  </si>
  <si>
    <t>44840</t>
  </si>
  <si>
    <t>14268308</t>
  </si>
  <si>
    <t>Vas utas</t>
  </si>
  <si>
    <t>4143</t>
  </si>
  <si>
    <t>6440724</t>
  </si>
  <si>
    <t>Taposó malom</t>
  </si>
  <si>
    <t>2253</t>
  </si>
  <si>
    <t>6409058</t>
  </si>
  <si>
    <t>Szélkakas</t>
  </si>
  <si>
    <t>1933</t>
  </si>
  <si>
    <t>6391384</t>
  </si>
  <si>
    <t>Gyilokkopter</t>
  </si>
  <si>
    <t>1324</t>
  </si>
  <si>
    <t>6362874</t>
  </si>
  <si>
    <t>Portigris</t>
  </si>
  <si>
    <t>6325555</t>
  </si>
  <si>
    <t>Thordi harcos</t>
  </si>
  <si>
    <t>869</t>
  </si>
  <si>
    <t>6315993</t>
  </si>
  <si>
    <t>Manabitorló</t>
  </si>
  <si>
    <t>612</t>
  </si>
  <si>
    <t>6219477</t>
  </si>
  <si>
    <t>Ezüst szellemzsoldos</t>
  </si>
  <si>
    <t>4217</t>
  </si>
  <si>
    <t>6291837</t>
  </si>
  <si>
    <t>6477621</t>
  </si>
  <si>
    <t>6557091</t>
  </si>
  <si>
    <t>6474987</t>
  </si>
  <si>
    <t>Hadastyán</t>
  </si>
  <si>
    <t>44878</t>
  </si>
  <si>
    <t>14828370</t>
  </si>
  <si>
    <t>Turmixdémon</t>
  </si>
  <si>
    <t>4148</t>
  </si>
  <si>
    <t>6504662</t>
  </si>
  <si>
    <t>789000 ezüst</t>
  </si>
  <si>
    <t>Goblindeszant</t>
  </si>
  <si>
    <t>2263</t>
  </si>
  <si>
    <t>6465363</t>
  </si>
  <si>
    <t>Triklopsz</t>
  </si>
  <si>
    <t>6450549</t>
  </si>
  <si>
    <t>Baltavető</t>
  </si>
  <si>
    <t>6424027</t>
  </si>
  <si>
    <t>Göbölő</t>
  </si>
  <si>
    <t>6388752</t>
  </si>
  <si>
    <t>Hasábfázó</t>
  </si>
  <si>
    <t>870</t>
  </si>
  <si>
    <t>6378134</t>
  </si>
  <si>
    <t>Agyaggalamb</t>
  </si>
  <si>
    <t>6284465</t>
  </si>
  <si>
    <t>295</t>
  </si>
  <si>
    <t>6319884</t>
  </si>
  <si>
    <t>6908766</t>
  </si>
  <si>
    <t>6788350</t>
  </si>
  <si>
    <t>6873937</t>
  </si>
  <si>
    <t>Banángólem</t>
  </si>
  <si>
    <t>51831</t>
  </si>
  <si>
    <t>16075897</t>
  </si>
  <si>
    <t>Özönvízöntő</t>
  </si>
  <si>
    <t>6985729</t>
  </si>
  <si>
    <t>Röpteki</t>
  </si>
  <si>
    <t>6950090</t>
  </si>
  <si>
    <t>Goblin hajós</t>
  </si>
  <si>
    <t>1972</t>
  </si>
  <si>
    <t>6932893</t>
  </si>
  <si>
    <t>Úrkaparó</t>
  </si>
  <si>
    <t>1366</t>
  </si>
  <si>
    <t>6907750</t>
  </si>
  <si>
    <t>Légicápa</t>
  </si>
  <si>
    <t>6870979</t>
  </si>
  <si>
    <t>Aranyrája</t>
  </si>
  <si>
    <t>893</t>
  </si>
  <si>
    <t>6857463</t>
  </si>
  <si>
    <t>Démonzsebész</t>
  </si>
  <si>
    <t>6764847</t>
  </si>
  <si>
    <t>6948085</t>
  </si>
  <si>
    <t>0,76 kg</t>
  </si>
  <si>
    <t>7188546</t>
  </si>
  <si>
    <t>7179041</t>
  </si>
  <si>
    <t>7139471</t>
  </si>
  <si>
    <t>Morgantyú</t>
  </si>
  <si>
    <t>49799</t>
  </si>
  <si>
    <t>16809844</t>
  </si>
  <si>
    <t>Hídfoglaló</t>
  </si>
  <si>
    <t>4195</t>
  </si>
  <si>
    <t>7097167</t>
  </si>
  <si>
    <t>Hírnévvadász</t>
  </si>
  <si>
    <t>2309</t>
  </si>
  <si>
    <t>7064064</t>
  </si>
  <si>
    <t>Mókamester</t>
  </si>
  <si>
    <t>1988</t>
  </si>
  <si>
    <t>7050741</t>
  </si>
  <si>
    <t>Szeszkazán</t>
  </si>
  <si>
    <t>1374</t>
  </si>
  <si>
    <t>7028113</t>
  </si>
  <si>
    <t>Majomavatár</t>
  </si>
  <si>
    <t>1292</t>
  </si>
  <si>
    <t>6998882</t>
  </si>
  <si>
    <t>Rubinrája</t>
  </si>
  <si>
    <t>909</t>
  </si>
  <si>
    <t>6989034</t>
  </si>
  <si>
    <t>Vegyértékelő</t>
  </si>
  <si>
    <t>6893329</t>
  </si>
  <si>
    <t>7207365</t>
  </si>
  <si>
    <t>7160547</t>
  </si>
  <si>
    <t>7180587</t>
  </si>
  <si>
    <t>7199125</t>
  </si>
  <si>
    <t>Hegymedúza</t>
  </si>
  <si>
    <t>49733</t>
  </si>
  <si>
    <t>17111450</t>
  </si>
  <si>
    <t>Dezertált vörös fejszés</t>
  </si>
  <si>
    <t>4214</t>
  </si>
  <si>
    <t>7223796</t>
  </si>
  <si>
    <t>Macerátor</t>
  </si>
  <si>
    <t>7191473</t>
  </si>
  <si>
    <t>111 db </t>
  </si>
  <si>
    <t>Dezertált kék fejszés</t>
  </si>
  <si>
    <t>7180027</t>
  </si>
  <si>
    <t>Dezertált vörös ládzsás</t>
  </si>
  <si>
    <t>7158967</t>
  </si>
  <si>
    <t>Dezertált kék ládzsás</t>
  </si>
  <si>
    <t>1291</t>
  </si>
  <si>
    <t>7123118</t>
  </si>
  <si>
    <t>Smaragdrája</t>
  </si>
  <si>
    <t>7106402</t>
  </si>
  <si>
    <t>Bozontos rekettye</t>
  </si>
  <si>
    <t>7012559</t>
  </si>
  <si>
    <t>7287434</t>
  </si>
  <si>
    <t>4218</t>
  </si>
  <si>
    <t>7296726</t>
  </si>
  <si>
    <t>Vörös zombitüzér</t>
  </si>
  <si>
    <t>7238740</t>
  </si>
  <si>
    <t>Fekete sárkánylovas</t>
  </si>
  <si>
    <t>7188809</t>
  </si>
  <si>
    <t>Ezüst sellődémon</t>
  </si>
  <si>
    <t>7205121</t>
  </si>
  <si>
    <t>Zaklaty</t>
  </si>
  <si>
    <t>304</t>
  </si>
  <si>
    <t>49745</t>
  </si>
  <si>
    <t>13,5 kg</t>
  </si>
  <si>
    <t>17266966</t>
  </si>
  <si>
    <t>Dezertált kék máguslord</t>
  </si>
  <si>
    <t>7296705</t>
  </si>
  <si>
    <t>Valor</t>
  </si>
  <si>
    <t>7264207</t>
  </si>
  <si>
    <t>Dezertált fekete fejszés</t>
  </si>
  <si>
    <t>1993</t>
  </si>
  <si>
    <t>7247504</t>
  </si>
  <si>
    <t>Dezertált kék nekrolord</t>
  </si>
  <si>
    <t>1376</t>
  </si>
  <si>
    <t>7219131</t>
  </si>
  <si>
    <t>Dezertált fekete ládzsás</t>
  </si>
  <si>
    <t>1304</t>
  </si>
  <si>
    <t>7190208</t>
  </si>
  <si>
    <t>Gyémántrája</t>
  </si>
  <si>
    <t>912</t>
  </si>
  <si>
    <t>7177928</t>
  </si>
  <si>
    <t>Animált rekettye</t>
  </si>
  <si>
    <t>7079876</t>
  </si>
  <si>
    <t>Arany szellemzsoldos</t>
  </si>
  <si>
    <t>7245874</t>
  </si>
  <si>
    <t>7240393</t>
  </si>
  <si>
    <t>7199346</t>
  </si>
  <si>
    <t>7211396</t>
  </si>
  <si>
    <t>Putybang</t>
  </si>
  <si>
    <t>49839</t>
  </si>
  <si>
    <t>17316448</t>
  </si>
  <si>
    <t>Dezertált vörös máguslord</t>
  </si>
  <si>
    <t>4221</t>
  </si>
  <si>
    <t>7317440</t>
  </si>
  <si>
    <t>Bűvészinas</t>
  </si>
  <si>
    <t>2327</t>
  </si>
  <si>
    <t>7280711</t>
  </si>
  <si>
    <t>Dezertált ezüst fejszés</t>
  </si>
  <si>
    <t>2003</t>
  </si>
  <si>
    <t>7269929</t>
  </si>
  <si>
    <t>Dezertált vörös nekrolord</t>
  </si>
  <si>
    <t>293</t>
  </si>
  <si>
    <t>7239501</t>
  </si>
  <si>
    <t>Dezertált ezüst lándzsás</t>
  </si>
  <si>
    <t>1307</t>
  </si>
  <si>
    <t>7210152</t>
  </si>
  <si>
    <t>Aranyangyal</t>
  </si>
  <si>
    <t>7199907</t>
  </si>
  <si>
    <t>Rekettyeavatár</t>
  </si>
  <si>
    <t>7105807</t>
  </si>
  <si>
    <t>7280304</t>
  </si>
  <si>
    <t>7264015</t>
  </si>
  <si>
    <t>7242537</t>
  </si>
  <si>
    <t>7300838</t>
  </si>
  <si>
    <t>Szakadár zászlós</t>
  </si>
  <si>
    <t>49758</t>
  </si>
  <si>
    <t>17403631</t>
  </si>
  <si>
    <t>Dezertált fekete máguslord</t>
  </si>
  <si>
    <t>4226</t>
  </si>
  <si>
    <t>7356234</t>
  </si>
  <si>
    <t>Mesterbűvész</t>
  </si>
  <si>
    <t>2346</t>
  </si>
  <si>
    <t>7323684</t>
  </si>
  <si>
    <t>Dezertált arany fejszés</t>
  </si>
  <si>
    <t>2008</t>
  </si>
  <si>
    <t>7310705</t>
  </si>
  <si>
    <t>Dezertált fekete nekrolord</t>
  </si>
  <si>
    <t>1384</t>
  </si>
  <si>
    <t>7286030</t>
  </si>
  <si>
    <t>Dezertált arany lándzsás</t>
  </si>
  <si>
    <t>1309</t>
  </si>
  <si>
    <t>7248565</t>
  </si>
  <si>
    <t>Gyémántangyal</t>
  </si>
  <si>
    <t>7232382</t>
  </si>
  <si>
    <t>Törperozmár</t>
  </si>
  <si>
    <t>664</t>
  </si>
  <si>
    <t>7138871</t>
  </si>
  <si>
    <t>313</t>
  </si>
  <si>
    <t>7351061</t>
  </si>
  <si>
    <t>7364247</t>
  </si>
  <si>
    <t>7344803</t>
  </si>
  <si>
    <t>7330141</t>
  </si>
  <si>
    <t>Rekettyedémon</t>
  </si>
  <si>
    <t>432081 ezüst</t>
  </si>
  <si>
    <t>49655</t>
  </si>
  <si>
    <t>17422482</t>
  </si>
  <si>
    <t>Dezertált ezüst máguslord</t>
  </si>
  <si>
    <t>4237</t>
  </si>
  <si>
    <t>7355167</t>
  </si>
  <si>
    <t>Pilledt pille</t>
  </si>
  <si>
    <t>7320162</t>
  </si>
  <si>
    <t>Dezertált gyémánt fejszés</t>
  </si>
  <si>
    <t>2022</t>
  </si>
  <si>
    <t>7305878</t>
  </si>
  <si>
    <t>Dezertált ezüst nekrolord</t>
  </si>
  <si>
    <t>1404</t>
  </si>
  <si>
    <t>7283142</t>
  </si>
  <si>
    <t>Dezertált gyémánt lándzsás</t>
  </si>
  <si>
    <t>7247913</t>
  </si>
  <si>
    <t>Petrice</t>
  </si>
  <si>
    <t>7238928</t>
  </si>
  <si>
    <t>Sápadt rozmár</t>
  </si>
  <si>
    <t>7140781</t>
  </si>
  <si>
    <t>7391684</t>
  </si>
  <si>
    <t>7405227</t>
  </si>
  <si>
    <t>7391879</t>
  </si>
  <si>
    <t>7364515</t>
  </si>
  <si>
    <t>7333233</t>
  </si>
  <si>
    <t>Pakkman</t>
  </si>
  <si>
    <t>49632</t>
  </si>
  <si>
    <t>17495527</t>
  </si>
  <si>
    <t>Dezertált arany máguslord</t>
  </si>
  <si>
    <t>4257</t>
  </si>
  <si>
    <t>7390020</t>
  </si>
  <si>
    <t>Méregkeverő</t>
  </si>
  <si>
    <t>7356072</t>
  </si>
  <si>
    <t>Dezertált kék hadúr</t>
  </si>
  <si>
    <t>2018</t>
  </si>
  <si>
    <t>7345291</t>
  </si>
  <si>
    <t>Dezertált arany nekrolord</t>
  </si>
  <si>
    <t>7323736</t>
  </si>
  <si>
    <t>Dezertált kék démonlovag</t>
  </si>
  <si>
    <t>7288767</t>
  </si>
  <si>
    <t>316</t>
  </si>
  <si>
    <t>12,2 kg</t>
  </si>
  <si>
    <t>Kalap-ács</t>
  </si>
  <si>
    <t>931</t>
  </si>
  <si>
    <t>7278382</t>
  </si>
  <si>
    <t>Tomboló rozmár</t>
  </si>
  <si>
    <t>667</t>
  </si>
  <si>
    <t>7184144</t>
  </si>
  <si>
    <t>7424651</t>
  </si>
  <si>
    <t>Fekete zombitüzér</t>
  </si>
  <si>
    <t>7419596</t>
  </si>
  <si>
    <t>Ezüst sárkánylovas</t>
  </si>
  <si>
    <t>7418445</t>
  </si>
  <si>
    <t>Arany sellődémon</t>
  </si>
  <si>
    <t>7400100</t>
  </si>
  <si>
    <t>Bicskanyitogató</t>
  </si>
  <si>
    <t>49630</t>
  </si>
  <si>
    <t>17630179</t>
  </si>
  <si>
    <t>Dezertált gyémánt máguslord</t>
  </si>
  <si>
    <t>4256</t>
  </si>
  <si>
    <t>7450161</t>
  </si>
  <si>
    <t>Képlény</t>
  </si>
  <si>
    <t>2368</t>
  </si>
  <si>
    <t>7414067</t>
  </si>
  <si>
    <t>Dezertált vörös hadúr</t>
  </si>
  <si>
    <t>2029</t>
  </si>
  <si>
    <t>7396557</t>
  </si>
  <si>
    <t>Dezertált gyémánt nekrolord</t>
  </si>
  <si>
    <t>1414</t>
  </si>
  <si>
    <t>7371808</t>
  </si>
  <si>
    <t>Dezertált vörös démonlovag</t>
  </si>
  <si>
    <t>1326</t>
  </si>
  <si>
    <t>7341868</t>
  </si>
  <si>
    <t>Hálószemező</t>
  </si>
  <si>
    <t>7330800</t>
  </si>
  <si>
    <t>Vérrozmár</t>
  </si>
  <si>
    <t>7235286</t>
  </si>
  <si>
    <t>Gyémánt szellemzsoldos</t>
  </si>
  <si>
    <t>7421650</t>
  </si>
  <si>
    <t>7424934</t>
  </si>
  <si>
    <t>7420434</t>
  </si>
  <si>
    <t>7423674</t>
  </si>
  <si>
    <t>Lyukasztó</t>
  </si>
  <si>
    <t>49628</t>
  </si>
  <si>
    <t>17731598</t>
  </si>
  <si>
    <t>Dezertált kék zsarnok</t>
  </si>
  <si>
    <t>4266</t>
  </si>
  <si>
    <t>7486830</t>
  </si>
  <si>
    <t>Ikerbika</t>
  </si>
  <si>
    <t>7483915</t>
  </si>
  <si>
    <t>Dezertált fekete hadúr</t>
  </si>
  <si>
    <t>2031</t>
  </si>
  <si>
    <t>7438712</t>
  </si>
  <si>
    <t>Dezertált kék manatipró</t>
  </si>
  <si>
    <t>1418</t>
  </si>
  <si>
    <t>7412873</t>
  </si>
  <si>
    <t>Dezertált fekete démonlovag</t>
  </si>
  <si>
    <t>1328</t>
  </si>
  <si>
    <t>7377681</t>
  </si>
  <si>
    <t>Hálóvető</t>
  </si>
  <si>
    <t>7359695</t>
  </si>
  <si>
    <t>322</t>
  </si>
  <si>
    <t>Rozmáristen</t>
  </si>
  <si>
    <t>672</t>
  </si>
  <si>
    <t>7269238</t>
  </si>
  <si>
    <t>7528540</t>
  </si>
  <si>
    <t>7464533</t>
  </si>
  <si>
    <t>513030 ezüst</t>
  </si>
  <si>
    <t>7497275</t>
  </si>
  <si>
    <t>7501442</t>
  </si>
  <si>
    <t>Kifejlett ol-ló</t>
  </si>
  <si>
    <t>49656</t>
  </si>
  <si>
    <t>17781552</t>
  </si>
  <si>
    <t>Dezertált vörös zsarnok</t>
  </si>
  <si>
    <t>4276</t>
  </si>
  <si>
    <t>7512493</t>
  </si>
  <si>
    <t>Kapzsi kalmár</t>
  </si>
  <si>
    <t>2381</t>
  </si>
  <si>
    <t>7473483</t>
  </si>
  <si>
    <t>Dezertált ezüst hadúr</t>
  </si>
  <si>
    <t>2038</t>
  </si>
  <si>
    <t>7457188</t>
  </si>
  <si>
    <t>Dezertált vörös manatipró</t>
  </si>
  <si>
    <t>1427</t>
  </si>
  <si>
    <t>7430536</t>
  </si>
  <si>
    <t>Dezertált ezüst démonlovag</t>
  </si>
  <si>
    <t>7397211</t>
  </si>
  <si>
    <t>Antimágus</t>
  </si>
  <si>
    <t>933</t>
  </si>
  <si>
    <t>7386824</t>
  </si>
  <si>
    <t>0,84 kg</t>
  </si>
  <si>
    <t>Észfacsaró</t>
  </si>
  <si>
    <t>7288808</t>
  </si>
  <si>
    <t>7539938</t>
  </si>
  <si>
    <t>4293</t>
  </si>
  <si>
    <t>7527535</t>
  </si>
  <si>
    <t>7501467</t>
  </si>
  <si>
    <t>7518383</t>
  </si>
  <si>
    <t>7520067</t>
  </si>
  <si>
    <t>Bizgerály</t>
  </si>
  <si>
    <t>49712</t>
  </si>
  <si>
    <t>17807072</t>
  </si>
  <si>
    <t>Dezertált fekete zsarnok</t>
  </si>
  <si>
    <t>7526538</t>
  </si>
  <si>
    <t>Nyitott elme</t>
  </si>
  <si>
    <t>7490966</t>
  </si>
  <si>
    <t>Dezertált arany hadúr</t>
  </si>
  <si>
    <t>2047</t>
  </si>
  <si>
    <t>7479971</t>
  </si>
  <si>
    <t>Dezertált fekete manatipró</t>
  </si>
  <si>
    <t>7457221</t>
  </si>
  <si>
    <t>Dezertált arany démonlovag</t>
  </si>
  <si>
    <t>7422304</t>
  </si>
  <si>
    <t>Félember</t>
  </si>
  <si>
    <t>7405504</t>
  </si>
  <si>
    <t>Korbácsol-ló</t>
  </si>
  <si>
    <t>7310037</t>
  </si>
  <si>
    <t>7540389</t>
  </si>
  <si>
    <t>7550303</t>
  </si>
  <si>
    <t>Szívtipró</t>
  </si>
  <si>
    <t>49679</t>
  </si>
  <si>
    <t>17838136</t>
  </si>
  <si>
    <t>2,74 kg</t>
  </si>
  <si>
    <t>Dezertált ezüst zsarnok</t>
  </si>
  <si>
    <t>4291</t>
  </si>
  <si>
    <t>7539361</t>
  </si>
  <si>
    <t>Kezdő robbantómester</t>
  </si>
  <si>
    <t>2396</t>
  </si>
  <si>
    <t>7502100</t>
  </si>
  <si>
    <t>Dezertált gyémánt hadúr</t>
  </si>
  <si>
    <t>2060</t>
  </si>
  <si>
    <t>7492098</t>
  </si>
  <si>
    <t>Dezertált ezüst manatipró</t>
  </si>
  <si>
    <t>7462412</t>
  </si>
  <si>
    <t>Dezertált gyémánt démonlovag</t>
  </si>
  <si>
    <t>1349</t>
  </si>
  <si>
    <t>7428391</t>
  </si>
  <si>
    <t>Kövibölcs</t>
  </si>
  <si>
    <t>950</t>
  </si>
  <si>
    <t>7410425</t>
  </si>
  <si>
    <t>Rombusz</t>
  </si>
  <si>
    <t>685</t>
  </si>
  <si>
    <t>7313765</t>
  </si>
  <si>
    <t>7552020</t>
  </si>
  <si>
    <t>7560017</t>
  </si>
  <si>
    <t>7566253</t>
  </si>
  <si>
    <t>Kék szellemvitéz</t>
  </si>
  <si>
    <t>7502580</t>
  </si>
  <si>
    <t>Ezüst zombitüzér</t>
  </si>
  <si>
    <t>7441707</t>
  </si>
  <si>
    <t>Tippantyú</t>
  </si>
  <si>
    <t>49700</t>
  </si>
  <si>
    <t>17966900</t>
  </si>
  <si>
    <t>0,86 kg</t>
  </si>
  <si>
    <t>Dezertált arany zsarnok</t>
  </si>
  <si>
    <t>4309</t>
  </si>
  <si>
    <t>59 db </t>
  </si>
  <si>
    <t>7561704</t>
  </si>
  <si>
    <t>Gyakorlott robbantómester</t>
  </si>
  <si>
    <t>650313 ezüst</t>
  </si>
  <si>
    <t>7524872</t>
  </si>
  <si>
    <t>Dezertált kék kínherceg</t>
  </si>
  <si>
    <t>2057</t>
  </si>
  <si>
    <t>7507174</t>
  </si>
  <si>
    <t>Dezertált arany manatipró</t>
  </si>
  <si>
    <t>7483376</t>
  </si>
  <si>
    <t>Dezertált kék lidércúr</t>
  </si>
  <si>
    <t>7449250</t>
  </si>
  <si>
    <t>Démonfaló</t>
  </si>
  <si>
    <t>947</t>
  </si>
  <si>
    <t>7435536</t>
  </si>
  <si>
    <t>317</t>
  </si>
  <si>
    <t>Fellegsárkány</t>
  </si>
  <si>
    <t>682</t>
  </si>
  <si>
    <t>7344116</t>
  </si>
  <si>
    <t>Arany sárkánylovas</t>
  </si>
  <si>
    <t>7431629</t>
  </si>
  <si>
    <t>Gyémánt sellődémon</t>
  </si>
  <si>
    <t>7474017</t>
  </si>
  <si>
    <t>334</t>
  </si>
  <si>
    <t>7515104</t>
  </si>
  <si>
    <t>7452458</t>
  </si>
  <si>
    <t>Katyvasztó</t>
  </si>
  <si>
    <t>49796</t>
  </si>
  <si>
    <t>18004809</t>
  </si>
  <si>
    <t>Dezertált gyémánt zsarnok</t>
  </si>
  <si>
    <t>4307</t>
  </si>
  <si>
    <t>7577567</t>
  </si>
  <si>
    <t>Törpególem</t>
  </si>
  <si>
    <t>2411</t>
  </si>
  <si>
    <t>7544859</t>
  </si>
  <si>
    <t>Dezertált vörös kínherceg</t>
  </si>
  <si>
    <t>2068</t>
  </si>
  <si>
    <t>7527039</t>
  </si>
  <si>
    <t>Dezertált gyémánt manatipró</t>
  </si>
  <si>
    <t>7496496</t>
  </si>
  <si>
    <t>Dezertált vörös lidércúr</t>
  </si>
  <si>
    <t>7460078</t>
  </si>
  <si>
    <t>Futószőnyeg</t>
  </si>
  <si>
    <t>946</t>
  </si>
  <si>
    <t>7448682</t>
  </si>
  <si>
    <t>Viharsárkány</t>
  </si>
  <si>
    <t>7349442</t>
  </si>
  <si>
    <t>1220000 ezüst</t>
  </si>
  <si>
    <t>7433150</t>
  </si>
  <si>
    <t>7483999</t>
  </si>
  <si>
    <t>7546932</t>
  </si>
  <si>
    <t>7492535</t>
  </si>
  <si>
    <t>Haragcsapda</t>
  </si>
  <si>
    <t>49790</t>
  </si>
  <si>
    <t>18109095</t>
  </si>
  <si>
    <t>889000 ezüst</t>
  </si>
  <si>
    <t>Dezertált kék sellődémon</t>
  </si>
  <si>
    <t>4317</t>
  </si>
  <si>
    <t>7620369</t>
  </si>
  <si>
    <t>Esőverő</t>
  </si>
  <si>
    <t>2419</t>
  </si>
  <si>
    <t>7588332</t>
  </si>
  <si>
    <t>Dezertált fekete kínherceg</t>
  </si>
  <si>
    <t>7569668</t>
  </si>
  <si>
    <t>323</t>
  </si>
  <si>
    <t>Dezertált kék szellemzsoldos</t>
  </si>
  <si>
    <t>1449</t>
  </si>
  <si>
    <t>7539654</t>
  </si>
  <si>
    <t>Dezertált fekete lidércúr</t>
  </si>
  <si>
    <t>7501914</t>
  </si>
  <si>
    <t>Rémlobbantó</t>
  </si>
  <si>
    <t>957</t>
  </si>
  <si>
    <t>7482626</t>
  </si>
  <si>
    <t>Vicsorkánya</t>
  </si>
  <si>
    <t>689</t>
  </si>
  <si>
    <t>7384519</t>
  </si>
  <si>
    <t>0,81 kg</t>
  </si>
  <si>
    <t>7473037</t>
  </si>
  <si>
    <t>7522307</t>
  </si>
  <si>
    <t>7561153</t>
  </si>
  <si>
    <t>Pikavető</t>
  </si>
  <si>
    <t>49788</t>
  </si>
  <si>
    <t>18040418</t>
  </si>
  <si>
    <t>Dezertált vörös sellődémon</t>
  </si>
  <si>
    <t>4328</t>
  </si>
  <si>
    <t>7606980</t>
  </si>
  <si>
    <t>Pörgekő</t>
  </si>
  <si>
    <t>2420</t>
  </si>
  <si>
    <t>7572160</t>
  </si>
  <si>
    <t>Dezertált ezüst kínherceg</t>
  </si>
  <si>
    <t>2077</t>
  </si>
  <si>
    <t>7560032</t>
  </si>
  <si>
    <t>Dezertált vörös szellemzsoldos</t>
  </si>
  <si>
    <t>1451</t>
  </si>
  <si>
    <t>7534908</t>
  </si>
  <si>
    <t>Dezertált ezüst lidércúr</t>
  </si>
  <si>
    <t>7499839</t>
  </si>
  <si>
    <t>Kezdő doboló</t>
  </si>
  <si>
    <t>7484285</t>
  </si>
  <si>
    <t>Rézrája</t>
  </si>
  <si>
    <t>7392458</t>
  </si>
  <si>
    <t>7499562</t>
  </si>
  <si>
    <t>7484678</t>
  </si>
  <si>
    <t>7531755</t>
  </si>
  <si>
    <t>4330</t>
  </si>
  <si>
    <t>7625276</t>
  </si>
  <si>
    <t>4,48 kg</t>
  </si>
  <si>
    <t>7582427</t>
  </si>
  <si>
    <t>Rablólovag</t>
  </si>
  <si>
    <t>49742</t>
  </si>
  <si>
    <t>18123169</t>
  </si>
  <si>
    <t>Dezertált fekete sellődémon</t>
  </si>
  <si>
    <t>Vízrém</t>
  </si>
  <si>
    <t>2446</t>
  </si>
  <si>
    <t>7588594</t>
  </si>
  <si>
    <t>Dezertált arany kínherceg</t>
  </si>
  <si>
    <t>1994</t>
  </si>
  <si>
    <t>7576534</t>
  </si>
  <si>
    <t>Dezertált fekete szellemzsoldos</t>
  </si>
  <si>
    <t>7548500</t>
  </si>
  <si>
    <t>Dezertált arany lidércúr</t>
  </si>
  <si>
    <t>1379</t>
  </si>
  <si>
    <t>7517331</t>
  </si>
  <si>
    <t>Gyakorlott doboló</t>
  </si>
  <si>
    <t>906</t>
  </si>
  <si>
    <t>7504201</t>
  </si>
  <si>
    <t>329</t>
  </si>
  <si>
    <t>Részeges szerzetes</t>
  </si>
  <si>
    <t>7425310</t>
  </si>
  <si>
    <t>7520048</t>
  </si>
  <si>
    <t>7505978</t>
  </si>
  <si>
    <t>7556601</t>
  </si>
  <si>
    <t>12,9 kg</t>
  </si>
  <si>
    <t>Kék vastáltos</t>
  </si>
  <si>
    <t>3614</t>
  </si>
  <si>
    <t>7569566</t>
  </si>
  <si>
    <t>Gyémánttolvaj</t>
  </si>
  <si>
    <t>50351</t>
  </si>
  <si>
    <t>18203480</t>
  </si>
  <si>
    <t>Dezertált ezüst sellődémon</t>
  </si>
  <si>
    <t>7659919</t>
  </si>
  <si>
    <t>Légrém</t>
  </si>
  <si>
    <t>2477</t>
  </si>
  <si>
    <t>7625384</t>
  </si>
  <si>
    <t>Dezertált gyémánt kínherceg</t>
  </si>
  <si>
    <t>2064</t>
  </si>
  <si>
    <t>7606050</t>
  </si>
  <si>
    <t>Dezertált ezüst szellemzsoldos</t>
  </si>
  <si>
    <t>1557</t>
  </si>
  <si>
    <t>7574026</t>
  </si>
  <si>
    <t>Dezertált gyémánt lidércúr</t>
  </si>
  <si>
    <t>7544793</t>
  </si>
  <si>
    <t>Kezdő reanimátor</t>
  </si>
  <si>
    <t>965</t>
  </si>
  <si>
    <t>7533286</t>
  </si>
  <si>
    <t>Csontváz-szerzetes</t>
  </si>
  <si>
    <t>7440634</t>
  </si>
  <si>
    <t>Vörös szellemvitéz</t>
  </si>
  <si>
    <t>4467</t>
  </si>
  <si>
    <t>7598501</t>
  </si>
  <si>
    <t>Arany zombitüzér</t>
  </si>
  <si>
    <t>2454</t>
  </si>
  <si>
    <t>7531494</t>
  </si>
  <si>
    <t>Gyémánt sárkánylovas</t>
  </si>
  <si>
    <t>7517432</t>
  </si>
  <si>
    <t>7582846</t>
  </si>
  <si>
    <t>4553</t>
  </si>
  <si>
    <t>7668741</t>
  </si>
  <si>
    <t>53 db </t>
  </si>
  <si>
    <t>Homokszárító</t>
  </si>
  <si>
    <t>50360</t>
  </si>
  <si>
    <t>18222547</t>
  </si>
  <si>
    <t>0,92 kg</t>
  </si>
  <si>
    <t>Dezertált arany sellődémon</t>
  </si>
  <si>
    <t>7668739</t>
  </si>
  <si>
    <t>Tűzrém</t>
  </si>
  <si>
    <t>2494</t>
  </si>
  <si>
    <t>7634192</t>
  </si>
  <si>
    <t>699000 ezüst</t>
  </si>
  <si>
    <t>Dezertált kék zombitüzér</t>
  </si>
  <si>
    <t>2118</t>
  </si>
  <si>
    <t>7615323</t>
  </si>
  <si>
    <t>Dezertált arany szellemzsoldos</t>
  </si>
  <si>
    <t>1531</t>
  </si>
  <si>
    <t>7586276</t>
  </si>
  <si>
    <t>Dezertált kék sárkánylovas</t>
  </si>
  <si>
    <t>1458</t>
  </si>
  <si>
    <t>7551577</t>
  </si>
  <si>
    <t>Mesterdoboló</t>
  </si>
  <si>
    <t>992</t>
  </si>
  <si>
    <t>7538439</t>
  </si>
  <si>
    <t>2,35 kg</t>
  </si>
  <si>
    <t>Élőholt szerzetes</t>
  </si>
  <si>
    <t>7443219</t>
  </si>
  <si>
    <t>7613406</t>
  </si>
  <si>
    <t>7549637</t>
  </si>
  <si>
    <t>7532423</t>
  </si>
  <si>
    <t>7596652</t>
  </si>
  <si>
    <t>Szélgépész</t>
  </si>
  <si>
    <t>50368</t>
  </si>
  <si>
    <t>18303048</t>
  </si>
  <si>
    <t>Dezertált gyémánt sellődémon</t>
  </si>
  <si>
    <t>4546</t>
  </si>
  <si>
    <t>7698587</t>
  </si>
  <si>
    <t>Földrém</t>
  </si>
  <si>
    <t>7666661</t>
  </si>
  <si>
    <t>Dezertált vörös zombitüzér</t>
  </si>
  <si>
    <t>2137</t>
  </si>
  <si>
    <t>7654557</t>
  </si>
  <si>
    <t>Dezertált gyémánt szellemzsoldos</t>
  </si>
  <si>
    <t>7622367</t>
  </si>
  <si>
    <t>Dezertált vörös sárkánylovas</t>
  </si>
  <si>
    <t>1445</t>
  </si>
  <si>
    <t>7591859</t>
  </si>
  <si>
    <t>Gyakorlott reanimátor</t>
  </si>
  <si>
    <t>1034</t>
  </si>
  <si>
    <t>7578946</t>
  </si>
  <si>
    <t>Tűzfelhő</t>
  </si>
  <si>
    <t>805</t>
  </si>
  <si>
    <t>7480036</t>
  </si>
  <si>
    <t>7621722</t>
  </si>
  <si>
    <t>7560766</t>
  </si>
  <si>
    <t>7541334</t>
  </si>
  <si>
    <t>7611295</t>
  </si>
  <si>
    <t>Fülbemászó</t>
  </si>
  <si>
    <t>50446</t>
  </si>
  <si>
    <t>18303131</t>
  </si>
  <si>
    <t>Élőholt denevér</t>
  </si>
  <si>
    <t>4563</t>
  </si>
  <si>
    <t>7695552</t>
  </si>
  <si>
    <t>Trójai bádognyúl</t>
  </si>
  <si>
    <t>2497</t>
  </si>
  <si>
    <t>7660279</t>
  </si>
  <si>
    <t>Dezertált fekete zombitüzér</t>
  </si>
  <si>
    <t>2094</t>
  </si>
  <si>
    <t>7643884</t>
  </si>
  <si>
    <t>1098000 ezüst</t>
  </si>
  <si>
    <t>Dezertált kék szellemvitéz</t>
  </si>
  <si>
    <t>1544</t>
  </si>
  <si>
    <t>7616370</t>
  </si>
  <si>
    <t>Dezertált fekete sárkánylovas</t>
  </si>
  <si>
    <t>1426</t>
  </si>
  <si>
    <t>7583624</t>
  </si>
  <si>
    <t>Reanimátor mester</t>
  </si>
  <si>
    <t>7572531</t>
  </si>
  <si>
    <t>Kezdő kombinátor</t>
  </si>
  <si>
    <t>816</t>
  </si>
  <si>
    <t>7478749</t>
  </si>
  <si>
    <t>7634878</t>
  </si>
  <si>
    <t>7577994</t>
  </si>
  <si>
    <t>7559176</t>
  </si>
  <si>
    <t>7633904</t>
  </si>
  <si>
    <t>Penészgomba</t>
  </si>
  <si>
    <t>50432</t>
  </si>
  <si>
    <t>18355431</t>
  </si>
  <si>
    <t>Hoolgi fürkészdandár</t>
  </si>
  <si>
    <t>4558</t>
  </si>
  <si>
    <t>7723396</t>
  </si>
  <si>
    <t>622 db </t>
  </si>
  <si>
    <t>Zombipatkány</t>
  </si>
  <si>
    <t>2519</t>
  </si>
  <si>
    <t>7686181</t>
  </si>
  <si>
    <t>Dezertált ezüst zombitüzér</t>
  </si>
  <si>
    <t>2103</t>
  </si>
  <si>
    <t>7674966</t>
  </si>
  <si>
    <t>Dezertált vörös szellemvitéz</t>
  </si>
  <si>
    <t>14,1 kg</t>
  </si>
  <si>
    <t>1576</t>
  </si>
  <si>
    <t>7642554</t>
  </si>
  <si>
    <t>Dezertált ezüst sárkánylovas</t>
  </si>
  <si>
    <t>1461</t>
  </si>
  <si>
    <t>7608531</t>
  </si>
  <si>
    <t>1290000 ezüst</t>
  </si>
  <si>
    <t>Győztes hullajelölt</t>
  </si>
  <si>
    <t>1017</t>
  </si>
  <si>
    <t>7593474</t>
  </si>
  <si>
    <t>U.H.U.</t>
  </si>
  <si>
    <t>719900 ezüst</t>
  </si>
  <si>
    <t>7495545</t>
  </si>
  <si>
    <t>7657327</t>
  </si>
  <si>
    <t>7598751</t>
  </si>
  <si>
    <t>7588139</t>
  </si>
  <si>
    <t>Kék démonsárkány</t>
  </si>
  <si>
    <t>7621023</t>
  </si>
  <si>
    <t>Vörös vastáltos</t>
  </si>
  <si>
    <t>3651</t>
  </si>
  <si>
    <t>7665719</t>
  </si>
  <si>
    <t>Fekete szellemvitéz</t>
  </si>
  <si>
    <t>7691731</t>
  </si>
  <si>
    <t>Kezdő pillangó</t>
  </si>
  <si>
    <t>50414</t>
  </si>
  <si>
    <t>18371467</t>
  </si>
  <si>
    <t>Hoolgi békabomba</t>
  </si>
  <si>
    <t>4577</t>
  </si>
  <si>
    <t>7725202</t>
  </si>
  <si>
    <t>Csilag Patrik</t>
  </si>
  <si>
    <t>6,43 kg</t>
  </si>
  <si>
    <t>2508</t>
  </si>
  <si>
    <t>7694460</t>
  </si>
  <si>
    <t>Füstpamacs</t>
  </si>
  <si>
    <t>2142</t>
  </si>
  <si>
    <t>7678995</t>
  </si>
  <si>
    <t>Gyakorlott kombinátor</t>
  </si>
  <si>
    <t>7655292</t>
  </si>
  <si>
    <t>Macskaforgó</t>
  </si>
  <si>
    <t>1441</t>
  </si>
  <si>
    <t>7617830</t>
  </si>
  <si>
    <t>Paprikás csirke</t>
  </si>
  <si>
    <t>1010</t>
  </si>
  <si>
    <t>7605581</t>
  </si>
  <si>
    <t>1222000 ezüst</t>
  </si>
  <si>
    <t>Kincsgólem</t>
  </si>
  <si>
    <t>7513306</t>
  </si>
  <si>
    <t>Gyémánt zombitüzér</t>
  </si>
  <si>
    <t>7633283</t>
  </si>
  <si>
    <t>7618515</t>
  </si>
  <si>
    <t>7672141</t>
  </si>
  <si>
    <t>7699017</t>
  </si>
  <si>
    <t>Hoolgi csatakopter</t>
  </si>
  <si>
    <t>50429</t>
  </si>
  <si>
    <t>18482659</t>
  </si>
  <si>
    <t>Nyelvelő</t>
  </si>
  <si>
    <t>4571</t>
  </si>
  <si>
    <t>7777676</t>
  </si>
  <si>
    <t>Hoolgi békekövet</t>
  </si>
  <si>
    <t>2524</t>
  </si>
  <si>
    <t>7737847</t>
  </si>
  <si>
    <t>Porcica</t>
  </si>
  <si>
    <t>2172</t>
  </si>
  <si>
    <t>7719601</t>
  </si>
  <si>
    <t>Balláb</t>
  </si>
  <si>
    <t>1578</t>
  </si>
  <si>
    <t>7692280</t>
  </si>
  <si>
    <t>Hoolgi tábornok</t>
  </si>
  <si>
    <t>7661865</t>
  </si>
  <si>
    <t>Rókafogó</t>
  </si>
  <si>
    <t>7642530</t>
  </si>
  <si>
    <t>Mester kombinátor</t>
  </si>
  <si>
    <t>7551074</t>
  </si>
  <si>
    <t>7635633</t>
  </si>
  <si>
    <t>7647365</t>
  </si>
  <si>
    <t>7693949</t>
  </si>
  <si>
    <t>7724465</t>
  </si>
  <si>
    <t>Agresszív konyhamalac</t>
  </si>
  <si>
    <t>50493</t>
  </si>
  <si>
    <t>18523010</t>
  </si>
  <si>
    <t>Depressziós varázsmecha</t>
  </si>
  <si>
    <t>4580</t>
  </si>
  <si>
    <t>7795970</t>
  </si>
  <si>
    <t>Alagútfúrót</t>
  </si>
  <si>
    <t>2551</t>
  </si>
  <si>
    <t>7756839</t>
  </si>
  <si>
    <t>1265000 ezüst</t>
  </si>
  <si>
    <t>Hoolgi vízjel</t>
  </si>
  <si>
    <t>2155</t>
  </si>
  <si>
    <t>7740508</t>
  </si>
  <si>
    <t>Nagymester kombinátor</t>
  </si>
  <si>
    <t>1613</t>
  </si>
  <si>
    <t>7710011</t>
  </si>
  <si>
    <t>369</t>
  </si>
  <si>
    <t>1330000 ezüst</t>
  </si>
  <si>
    <t>Hoolgi homokhangya</t>
  </si>
  <si>
    <t>7679631</t>
  </si>
  <si>
    <t>Agresszív káposzta</t>
  </si>
  <si>
    <t>1037</t>
  </si>
  <si>
    <t>7666450</t>
  </si>
  <si>
    <t>2,22 kg</t>
  </si>
  <si>
    <t>Hoolgi széllovas</t>
  </si>
  <si>
    <t>7572759</t>
  </si>
  <si>
    <t>7661324</t>
  </si>
  <si>
    <t>7628980</t>
  </si>
  <si>
    <t>7671921</t>
  </si>
  <si>
    <t>7698037</t>
  </si>
  <si>
    <t>Szivacs Róbert</t>
  </si>
  <si>
    <t>50450</t>
  </si>
  <si>
    <t>18487565</t>
  </si>
  <si>
    <t>Paprika Jancsi</t>
  </si>
  <si>
    <t>4603</t>
  </si>
  <si>
    <t>7778238</t>
  </si>
  <si>
    <t>Hoolgi harcos</t>
  </si>
  <si>
    <t>2534</t>
  </si>
  <si>
    <t>7739203</t>
  </si>
  <si>
    <t>Hoolgi igeszóró</t>
  </si>
  <si>
    <t>2113</t>
  </si>
  <si>
    <t>7723366</t>
  </si>
  <si>
    <t>354</t>
  </si>
  <si>
    <t>2,125 kg</t>
  </si>
  <si>
    <t>Larki légycsapó</t>
  </si>
  <si>
    <t>7695798</t>
  </si>
  <si>
    <t>Kivert kutya</t>
  </si>
  <si>
    <t>1494</t>
  </si>
  <si>
    <t>7665775</t>
  </si>
  <si>
    <t>Hoolgi fejvadász</t>
  </si>
  <si>
    <t>7651179</t>
  </si>
  <si>
    <t>1345000 ezüst</t>
  </si>
  <si>
    <t>Hoolgi tűznyelő</t>
  </si>
  <si>
    <t>813</t>
  </si>
  <si>
    <t>7559663</t>
  </si>
  <si>
    <t>7638009</t>
  </si>
  <si>
    <t>7686988</t>
  </si>
  <si>
    <t>7738495</t>
  </si>
  <si>
    <t>2528</t>
  </si>
  <si>
    <t>7759640</t>
  </si>
  <si>
    <t>4622</t>
  </si>
  <si>
    <t>7767470</t>
  </si>
  <si>
    <t>7767570</t>
  </si>
  <si>
    <t>Ragadozó</t>
  </si>
  <si>
    <t>50472</t>
  </si>
  <si>
    <t>18530338</t>
  </si>
  <si>
    <t>Tükörszoba</t>
  </si>
  <si>
    <t>7796701</t>
  </si>
  <si>
    <t>Hoolgi mesterlövész</t>
  </si>
  <si>
    <t>7759840</t>
  </si>
  <si>
    <t>3,425 kg</t>
  </si>
  <si>
    <t>Haláli hulla</t>
  </si>
  <si>
    <t>7742282</t>
  </si>
  <si>
    <t>377</t>
  </si>
  <si>
    <t>3,87 kg</t>
  </si>
  <si>
    <t>Szelíd kaktusz</t>
  </si>
  <si>
    <t>1612</t>
  </si>
  <si>
    <t>7711751</t>
  </si>
  <si>
    <t>Hoolgi bérgyilkos</t>
  </si>
  <si>
    <t>7678346</t>
  </si>
  <si>
    <t>Hoolgi sámán</t>
  </si>
  <si>
    <t>7660650</t>
  </si>
  <si>
    <t>Hoolgi földszörfös</t>
  </si>
  <si>
    <t>7565351</t>
  </si>
  <si>
    <t>1385000 ezüst</t>
  </si>
  <si>
    <t>7700477</t>
  </si>
  <si>
    <t>Kék vallató</t>
  </si>
  <si>
    <t>1264</t>
  </si>
  <si>
    <t>7892453</t>
  </si>
  <si>
    <t>Vörös démonsárkány</t>
  </si>
  <si>
    <t>7765344</t>
  </si>
  <si>
    <t>Fekete vastáltos</t>
  </si>
  <si>
    <t>3721</t>
  </si>
  <si>
    <t>7818197</t>
  </si>
  <si>
    <t>Trójai vályogpapagáj</t>
  </si>
  <si>
    <t>50421</t>
  </si>
  <si>
    <t>18584420</t>
  </si>
  <si>
    <t>Félszemű kobra</t>
  </si>
  <si>
    <t>4631</t>
  </si>
  <si>
    <t>7817471</t>
  </si>
  <si>
    <t>Hoolgi lándzsaerdő</t>
  </si>
  <si>
    <t>2535</t>
  </si>
  <si>
    <t>7777207</t>
  </si>
  <si>
    <t>383</t>
  </si>
  <si>
    <t>Sarki pókháló</t>
  </si>
  <si>
    <t>7761946</t>
  </si>
  <si>
    <t>Édes Anna</t>
  </si>
  <si>
    <t>1594</t>
  </si>
  <si>
    <t>7736474</t>
  </si>
  <si>
    <t>Trollcsomó</t>
  </si>
  <si>
    <t>1507</t>
  </si>
  <si>
    <t>7706589</t>
  </si>
  <si>
    <t>Kaszáska</t>
  </si>
  <si>
    <t>1029</t>
  </si>
  <si>
    <t>7689152</t>
  </si>
  <si>
    <t>Hoolgi lovas</t>
  </si>
  <si>
    <t>7598584</t>
  </si>
  <si>
    <t>Ezüst szellemvitéz</t>
  </si>
  <si>
    <t>4717</t>
  </si>
  <si>
    <t>7804398</t>
  </si>
  <si>
    <t>7951872</t>
  </si>
  <si>
    <t>7802650</t>
  </si>
  <si>
    <t>4,125 kg</t>
  </si>
  <si>
    <t>1435000 ezüst</t>
  </si>
  <si>
    <t>7920114</t>
  </si>
  <si>
    <t>Kacsacsőrű műemlős</t>
  </si>
  <si>
    <t>50514</t>
  </si>
  <si>
    <t>18574744</t>
  </si>
  <si>
    <t>Cirkuszi majom</t>
  </si>
  <si>
    <t>4621</t>
  </si>
  <si>
    <t>7815429</t>
  </si>
  <si>
    <t>Csontroll</t>
  </si>
  <si>
    <t>2543</t>
  </si>
  <si>
    <t>7777659</t>
  </si>
  <si>
    <t>4,25 kg</t>
  </si>
  <si>
    <t>Szamurája</t>
  </si>
  <si>
    <t>2173</t>
  </si>
  <si>
    <t>7759372</t>
  </si>
  <si>
    <t>Szárnyaló hülyeség</t>
  </si>
  <si>
    <t>1617</t>
  </si>
  <si>
    <t>7731892</t>
  </si>
  <si>
    <t>Hoolgi építőmester</t>
  </si>
  <si>
    <t>7696742</t>
  </si>
  <si>
    <t>7,285 kg</t>
  </si>
  <si>
    <t>Krokodili</t>
  </si>
  <si>
    <t>1485000 ezüst</t>
  </si>
  <si>
    <t>7682559</t>
  </si>
  <si>
    <t>Folyami sikló</t>
  </si>
  <si>
    <t>7590826</t>
  </si>
  <si>
    <t>7899641</t>
  </si>
  <si>
    <t>8031982</t>
  </si>
  <si>
    <t>7968995</t>
  </si>
  <si>
    <t>378</t>
  </si>
  <si>
    <t>7934637</t>
  </si>
  <si>
    <t>Nünüke falu</t>
  </si>
  <si>
    <t>50485</t>
  </si>
  <si>
    <t>18643770</t>
  </si>
  <si>
    <t>Hoolgi stratéga</t>
  </si>
  <si>
    <t>7845558</t>
  </si>
  <si>
    <t>5,1 kg</t>
  </si>
  <si>
    <t>1510000 ezüst</t>
  </si>
  <si>
    <t>Homo mechanicus</t>
  </si>
  <si>
    <t>7811487</t>
  </si>
  <si>
    <t>Akasztó fa</t>
  </si>
  <si>
    <t>2189</t>
  </si>
  <si>
    <t>7798996</t>
  </si>
  <si>
    <t>Halott csillag</t>
  </si>
  <si>
    <t>1633</t>
  </si>
  <si>
    <t>7774809</t>
  </si>
  <si>
    <t>Artini testőr</t>
  </si>
  <si>
    <t>1465</t>
  </si>
  <si>
    <t>7739592</t>
  </si>
  <si>
    <t>Elkésett húsvéti nyuszi</t>
  </si>
  <si>
    <t>7722134</t>
  </si>
  <si>
    <t>1535000 ezüst</t>
  </si>
  <si>
    <t>Banános Ló</t>
  </si>
  <si>
    <t>837</t>
  </si>
  <si>
    <t>7629290</t>
  </si>
  <si>
    <t>7997231</t>
  </si>
  <si>
    <t>8102667</t>
  </si>
  <si>
    <t>8076887</t>
  </si>
  <si>
    <t>8018999</t>
  </si>
  <si>
    <t>Csatabika</t>
  </si>
  <si>
    <t>50466</t>
  </si>
  <si>
    <t>18610561</t>
  </si>
  <si>
    <t>Szőrdög</t>
  </si>
  <si>
    <t>4628</t>
  </si>
  <si>
    <t>7825335</t>
  </si>
  <si>
    <t>Zselés troll</t>
  </si>
  <si>
    <t>2583</t>
  </si>
  <si>
    <t>7789963</t>
  </si>
  <si>
    <t>Eccarwú</t>
  </si>
  <si>
    <t>7774173</t>
  </si>
  <si>
    <t>Rattus Maximus</t>
  </si>
  <si>
    <t>1636</t>
  </si>
  <si>
    <t>7749065</t>
  </si>
  <si>
    <t>Terrorbuldózer</t>
  </si>
  <si>
    <t>7718054</t>
  </si>
  <si>
    <t>E. D.</t>
  </si>
  <si>
    <t>7703576</t>
  </si>
  <si>
    <t>Bárányfelhő</t>
  </si>
  <si>
    <t>847</t>
  </si>
  <si>
    <t>7608990</t>
  </si>
  <si>
    <t>8069211</t>
  </si>
  <si>
    <t>1585000 ezüst</t>
  </si>
  <si>
    <t>8192791</t>
  </si>
  <si>
    <t>8143396</t>
  </si>
  <si>
    <t>8100023</t>
  </si>
  <si>
    <t>Elszabadult kék vastáltos</t>
  </si>
  <si>
    <t>7817496</t>
  </si>
  <si>
    <t>Dezertált arany zombitüzér</t>
  </si>
  <si>
    <t>7811058</t>
  </si>
  <si>
    <t>1610000 ezüst</t>
  </si>
  <si>
    <t>Dezertált fekete szellemvitéz</t>
  </si>
  <si>
    <t>7825783</t>
  </si>
  <si>
    <t>Dezertált arany sárkánylovas</t>
  </si>
  <si>
    <t>1548</t>
  </si>
  <si>
    <t>7758987</t>
  </si>
  <si>
    <t>3,21 kg</t>
  </si>
  <si>
    <t>Cápali</t>
  </si>
  <si>
    <t>7806972</t>
  </si>
  <si>
    <t>3500 db </t>
  </si>
  <si>
    <t>411</t>
  </si>
  <si>
    <t>6,22 kg</t>
  </si>
  <si>
    <t>1635000 ezüst</t>
  </si>
  <si>
    <t>Libabőrdémon</t>
  </si>
  <si>
    <t>49782</t>
  </si>
  <si>
    <t>12354789</t>
  </si>
  <si>
    <t>Fafej</t>
  </si>
  <si>
    <t>1341</t>
  </si>
  <si>
    <t>7813210</t>
  </si>
  <si>
    <t>Bébi lombik</t>
  </si>
  <si>
    <t>7802546</t>
  </si>
  <si>
    <t>8104944</t>
  </si>
  <si>
    <t>Vörös vallató</t>
  </si>
  <si>
    <t>8259794</t>
  </si>
  <si>
    <t>Fekete démonsárkány</t>
  </si>
  <si>
    <t>8237493</t>
  </si>
  <si>
    <t>414</t>
  </si>
  <si>
    <t>Ezüst vastáltos</t>
  </si>
  <si>
    <t>3,92 kg</t>
  </si>
  <si>
    <t>1660000 ezüst</t>
  </si>
  <si>
    <t>3765</t>
  </si>
  <si>
    <t>8145230</t>
  </si>
  <si>
    <t>Dezertált gyémánt zombitüzér</t>
  </si>
  <si>
    <t>401</t>
  </si>
  <si>
    <t>8097512</t>
  </si>
  <si>
    <t>Dezertált gyémánt sárkánylovas</t>
  </si>
  <si>
    <t>8001755</t>
  </si>
  <si>
    <t>Dezertált ezüst szellemvitéz</t>
  </si>
  <si>
    <t>4578</t>
  </si>
  <si>
    <t>8127410</t>
  </si>
  <si>
    <t>Elszabadult vörös vastáltos</t>
  </si>
  <si>
    <t>8056674</t>
  </si>
  <si>
    <t>3,19 kg</t>
  </si>
  <si>
    <t>Magából kikelt tojás</t>
  </si>
  <si>
    <t>8101467</t>
  </si>
  <si>
    <t>Csapatszellem</t>
  </si>
  <si>
    <t>53127</t>
  </si>
  <si>
    <t>12497584</t>
  </si>
  <si>
    <t>Keljfel-torony</t>
  </si>
  <si>
    <t>8055974</t>
  </si>
  <si>
    <t>Öreg lombik</t>
  </si>
  <si>
    <t>3458</t>
  </si>
  <si>
    <t>421</t>
  </si>
  <si>
    <t>8034811</t>
  </si>
  <si>
    <t>Arany szellemvitéz</t>
  </si>
  <si>
    <t>4528</t>
  </si>
  <si>
    <t>8172429</t>
  </si>
  <si>
    <t>8334941</t>
  </si>
  <si>
    <t>8324694</t>
  </si>
  <si>
    <t>Dérrém</t>
  </si>
  <si>
    <t>1845</t>
  </si>
  <si>
    <t>8193875</t>
  </si>
  <si>
    <t>407</t>
  </si>
  <si>
    <t>Kígyónő</t>
  </si>
  <si>
    <t>2401</t>
  </si>
  <si>
    <t>8198737</t>
  </si>
  <si>
    <t>Elefánk</t>
  </si>
  <si>
    <t>34218</t>
  </si>
  <si>
    <t>18645752</t>
  </si>
  <si>
    <t>2,24 kg</t>
  </si>
  <si>
    <t>Idegen civilizáció deszantosa</t>
  </si>
  <si>
    <t>8214742</t>
  </si>
  <si>
    <t>Animált szökőkút</t>
  </si>
  <si>
    <t>8119432</t>
  </si>
  <si>
    <t>Felnőtt lombik</t>
  </si>
  <si>
    <t>2801</t>
  </si>
  <si>
    <t>8120954</t>
  </si>
  <si>
    <t>8183080</t>
  </si>
  <si>
    <t>8202435</t>
  </si>
  <si>
    <t>8410088</t>
  </si>
  <si>
    <t>8411894</t>
  </si>
  <si>
    <t>Anomália</t>
  </si>
  <si>
    <t>2112</t>
  </si>
  <si>
    <t>8209871</t>
  </si>
  <si>
    <t>Démonteve</t>
  </si>
  <si>
    <t>52101</t>
  </si>
  <si>
    <t>16751289</t>
  </si>
  <si>
    <t>1459</t>
  </si>
  <si>
    <t>8212337</t>
  </si>
  <si>
    <t>Kvaklopsz</t>
  </si>
  <si>
    <t>1509</t>
  </si>
  <si>
    <t>9529327</t>
  </si>
  <si>
    <t>Idegen civilizáció papja</t>
  </si>
  <si>
    <t>8257731</t>
  </si>
  <si>
    <t>Lazzac</t>
  </si>
  <si>
    <t>2423</t>
  </si>
  <si>
    <t>8210489</t>
  </si>
  <si>
    <t>8220931</t>
  </si>
  <si>
    <t>8232442</t>
  </si>
  <si>
    <t>2406</t>
  </si>
  <si>
    <t>8201835</t>
  </si>
  <si>
    <t>8485235</t>
  </si>
  <si>
    <t>8499095</t>
  </si>
  <si>
    <t>Rozsdás szifon</t>
  </si>
  <si>
    <t>1712</t>
  </si>
  <si>
    <t>8254628</t>
  </si>
  <si>
    <t>Napkitörés</t>
  </si>
  <si>
    <t>8243745</t>
  </si>
  <si>
    <t>Cédrus</t>
  </si>
  <si>
    <t>8252111</t>
  </si>
  <si>
    <t>Harcifánt</t>
  </si>
  <si>
    <t>78000</t>
  </si>
  <si>
    <t>20000000</t>
  </si>
  <si>
    <t>Békebéka</t>
  </si>
  <si>
    <t>8219737</t>
  </si>
  <si>
    <t>Majomkenyérfa</t>
  </si>
  <si>
    <t>3,06 kg</t>
  </si>
  <si>
    <t>2379</t>
  </si>
  <si>
    <t>8220351</t>
  </si>
  <si>
    <t>8258782</t>
  </si>
  <si>
    <t>8262449</t>
  </si>
  <si>
    <t>8560382</t>
  </si>
  <si>
    <t>8586295</t>
  </si>
  <si>
    <t>Villanypásztor</t>
  </si>
  <si>
    <t>2139</t>
  </si>
  <si>
    <t>8351617</t>
  </si>
  <si>
    <t>Bőregér</t>
  </si>
  <si>
    <t>8347235</t>
  </si>
  <si>
    <t>Középpont</t>
  </si>
  <si>
    <t>8374648</t>
  </si>
  <si>
    <t>Olvadásponty</t>
  </si>
  <si>
    <t>69721</t>
  </si>
  <si>
    <t>17546399</t>
  </si>
  <si>
    <t>Hidráf</t>
  </si>
  <si>
    <t>1611</t>
  </si>
  <si>
    <t>8326415</t>
  </si>
  <si>
    <t>Fekete lyuk</t>
  </si>
  <si>
    <t>11850973</t>
  </si>
  <si>
    <t>8396633</t>
  </si>
  <si>
    <t>8302455</t>
  </si>
  <si>
    <t>436</t>
  </si>
  <si>
    <t>2250</t>
  </si>
  <si>
    <t>8361751</t>
  </si>
  <si>
    <t>Fekete vallató</t>
  </si>
  <si>
    <t>1747</t>
  </si>
  <si>
    <t>8635529</t>
  </si>
  <si>
    <t>Ezüst démonsárkány</t>
  </si>
  <si>
    <t>8673496</t>
  </si>
  <si>
    <t>Arany vastáltos</t>
  </si>
  <si>
    <t>3816</t>
  </si>
  <si>
    <t>8534483</t>
  </si>
  <si>
    <t>Diszknó</t>
  </si>
  <si>
    <t>32845</t>
  </si>
  <si>
    <t>17899971</t>
  </si>
  <si>
    <t>2068 db </t>
  </si>
  <si>
    <t>Gejzírisz</t>
  </si>
  <si>
    <t>1901</t>
  </si>
  <si>
    <t>8437275</t>
  </si>
  <si>
    <t>Párnacsata</t>
  </si>
  <si>
    <t>1472</t>
  </si>
  <si>
    <t>8443576</t>
  </si>
  <si>
    <t>Korángután</t>
  </si>
  <si>
    <t>8393671</t>
  </si>
  <si>
    <t>Haragvarangy</t>
  </si>
  <si>
    <t>1345</t>
  </si>
  <si>
    <t>8403875</t>
  </si>
  <si>
    <t>417</t>
  </si>
  <si>
    <t>Gyémánt szellemvitéz</t>
  </si>
  <si>
    <t>4617</t>
  </si>
  <si>
    <t>8372462</t>
  </si>
  <si>
    <t>8710676</t>
  </si>
  <si>
    <t>8760696</t>
  </si>
  <si>
    <t>8672334</t>
  </si>
  <si>
    <t>Trójai platinaharcsa</t>
  </si>
  <si>
    <t>108450</t>
  </si>
  <si>
    <t>19193875</t>
  </si>
  <si>
    <t>Agyrém</t>
  </si>
  <si>
    <t>1711</t>
  </si>
  <si>
    <t>8593891</t>
  </si>
  <si>
    <t>Malamamut</t>
  </si>
  <si>
    <t>1624</t>
  </si>
  <si>
    <t>8501211</t>
  </si>
  <si>
    <t>Guppipi</t>
  </si>
  <si>
    <t>8524836</t>
  </si>
  <si>
    <t>Pandax</t>
  </si>
  <si>
    <t>1321</t>
  </si>
  <si>
    <t>8541837</t>
  </si>
  <si>
    <t>8402468</t>
  </si>
  <si>
    <t>8785823</t>
  </si>
  <si>
    <t>8847897</t>
  </si>
  <si>
    <t>8710185</t>
  </si>
  <si>
    <t>Lari összeesküvő</t>
  </si>
  <si>
    <t>8706520</t>
  </si>
  <si>
    <t>Skívei bárdos</t>
  </si>
  <si>
    <t>1951</t>
  </si>
  <si>
    <t>8699133</t>
  </si>
  <si>
    <t>Fiatal mengorni mágus</t>
  </si>
  <si>
    <t>2200</t>
  </si>
  <si>
    <t>8675421</t>
  </si>
  <si>
    <t>442</t>
  </si>
  <si>
    <t>Sárga bögre</t>
  </si>
  <si>
    <t>18752</t>
  </si>
  <si>
    <t>19458742</t>
  </si>
  <si>
    <t>Gőzrém</t>
  </si>
  <si>
    <t>8693891</t>
  </si>
  <si>
    <t>Szemérem</t>
  </si>
  <si>
    <t>1135</t>
  </si>
  <si>
    <t>8600910</t>
  </si>
  <si>
    <t>Úri muri</t>
  </si>
  <si>
    <t>1,03 kg</t>
  </si>
  <si>
    <t>8611000</t>
  </si>
  <si>
    <t>Tőrmók</t>
  </si>
  <si>
    <t>456</t>
  </si>
  <si>
    <t>8682309</t>
  </si>
  <si>
    <t>8532475</t>
  </si>
  <si>
    <t>8860971</t>
  </si>
  <si>
    <t>8935097</t>
  </si>
  <si>
    <t>423</t>
  </si>
  <si>
    <t>8848036</t>
  </si>
  <si>
    <t>Lari felkelő</t>
  </si>
  <si>
    <t>1358</t>
  </si>
  <si>
    <t>8745645</t>
  </si>
  <si>
    <t>445</t>
  </si>
  <si>
    <t>Skívei sámán</t>
  </si>
  <si>
    <t>8790196</t>
  </si>
  <si>
    <t>Tapasztalt megnorni mágus</t>
  </si>
  <si>
    <t>8789243</t>
  </si>
  <si>
    <t>Életrekelt sarokkő</t>
  </si>
  <si>
    <t>2012</t>
  </si>
  <si>
    <t>8777777</t>
  </si>
  <si>
    <t>Magmarém</t>
  </si>
  <si>
    <t>8741458</t>
  </si>
  <si>
    <t>Őrültek háza</t>
  </si>
  <si>
    <t>35391</t>
  </si>
  <si>
    <t>18764156</t>
  </si>
  <si>
    <t>Szőrszálhasogató</t>
  </si>
  <si>
    <t>8716864</t>
  </si>
  <si>
    <t>Érctragacs</t>
  </si>
  <si>
    <t>426</t>
  </si>
  <si>
    <t>1574</t>
  </si>
  <si>
    <t>8712000</t>
  </si>
  <si>
    <t>8662482</t>
  </si>
  <si>
    <t>8936118</t>
  </si>
  <si>
    <t>9022298</t>
  </si>
  <si>
    <t>8985886</t>
  </si>
  <si>
    <t>Parszi matróz</t>
  </si>
  <si>
    <t>1829</t>
  </si>
  <si>
    <t>8874894</t>
  </si>
  <si>
    <t>448</t>
  </si>
  <si>
    <t>Skívei csatakecske</t>
  </si>
  <si>
    <t>45305</t>
  </si>
  <si>
    <t>19899003</t>
  </si>
  <si>
    <t>Mengorni csatamágus</t>
  </si>
  <si>
    <t>1979</t>
  </si>
  <si>
    <t>8886421</t>
  </si>
  <si>
    <t>Félapó</t>
  </si>
  <si>
    <t>1099</t>
  </si>
  <si>
    <t>8890966</t>
  </si>
  <si>
    <t>Hódtündér</t>
  </si>
  <si>
    <t>8833779</t>
  </si>
  <si>
    <t>Sárrém</t>
  </si>
  <si>
    <t>2641</t>
  </si>
  <si>
    <t>8834576</t>
  </si>
  <si>
    <t>Légkalózhajó flotta</t>
  </si>
  <si>
    <t>8891920</t>
  </si>
  <si>
    <t>Őrültek palotája</t>
  </si>
  <si>
    <t>1666</t>
  </si>
  <si>
    <t>8888115</t>
  </si>
  <si>
    <t>8792488</t>
  </si>
  <si>
    <t>429</t>
  </si>
  <si>
    <t>Kék szellemidéző</t>
  </si>
  <si>
    <t>1456</t>
  </si>
  <si>
    <t>9023737</t>
  </si>
  <si>
    <t>Ezüst vallató</t>
  </si>
  <si>
    <t>1783</t>
  </si>
  <si>
    <t>9011265</t>
  </si>
  <si>
    <t>Arany démonsárkány</t>
  </si>
  <si>
    <t>9109498</t>
  </si>
  <si>
    <t>451</t>
  </si>
  <si>
    <t>Gyémánt vastáltos</t>
  </si>
  <si>
    <t>3791</t>
  </si>
  <si>
    <t>Rablógyilkos</t>
  </si>
  <si>
    <t>1634</t>
  </si>
  <si>
    <t>9065432</t>
  </si>
  <si>
    <t>2832 db </t>
  </si>
  <si>
    <t>Parszi hajótiszt</t>
  </si>
  <si>
    <t>2002</t>
  </si>
  <si>
    <t>9005000</t>
  </si>
  <si>
    <t>Skívei törzsfő</t>
  </si>
  <si>
    <t>2345</t>
  </si>
  <si>
    <t>437</t>
  </si>
  <si>
    <t>9078200</t>
  </si>
  <si>
    <t>Kézfej</t>
  </si>
  <si>
    <t>581</t>
  </si>
  <si>
    <t>9012580</t>
  </si>
  <si>
    <t>Kezdő istentanonc</t>
  </si>
  <si>
    <t>1534</t>
  </si>
  <si>
    <t>8999663</t>
  </si>
  <si>
    <t>Holtbiztos</t>
  </si>
  <si>
    <t>8997156</t>
  </si>
  <si>
    <t>Kék elemirém</t>
  </si>
  <si>
    <t>1770</t>
  </si>
  <si>
    <t>9090909</t>
  </si>
  <si>
    <t>454</t>
  </si>
  <si>
    <t>Hódfogyatkozás</t>
  </si>
  <si>
    <t>29580</t>
  </si>
  <si>
    <t>9000000</t>
  </si>
  <si>
    <t>9065154</t>
  </si>
  <si>
    <t>9114525</t>
  </si>
  <si>
    <t>9086412</t>
  </si>
  <si>
    <t>9196699</t>
  </si>
  <si>
    <t>9161588</t>
  </si>
  <si>
    <t>Korpás cipó</t>
  </si>
  <si>
    <t>41571</t>
  </si>
  <si>
    <t>19185319</t>
  </si>
  <si>
    <t>Parszi navigátor</t>
  </si>
  <si>
    <t>9200000</t>
  </si>
  <si>
    <t>Mengorni papmágus</t>
  </si>
  <si>
    <t>9199883</t>
  </si>
  <si>
    <t>47 fillér</t>
  </si>
  <si>
    <t>9175315</t>
  </si>
  <si>
    <t>457</t>
  </si>
  <si>
    <t>Vörös elemirém</t>
  </si>
  <si>
    <t>9165444</t>
  </si>
  <si>
    <t>Hasfal</t>
  </si>
  <si>
    <t>1555</t>
  </si>
  <si>
    <t>9123568</t>
  </si>
  <si>
    <t>Haladó istengyakornok</t>
  </si>
  <si>
    <t>1764</t>
  </si>
  <si>
    <t>9164666</t>
  </si>
  <si>
    <t>443</t>
  </si>
  <si>
    <t>Hódkóros</t>
  </si>
  <si>
    <t>1928</t>
  </si>
  <si>
    <t>9100569</t>
  </si>
  <si>
    <t>9193038</t>
  </si>
  <si>
    <t>9161559</t>
  </si>
  <si>
    <t>9283899</t>
  </si>
  <si>
    <t>9299439</t>
  </si>
  <si>
    <t>Lari pajzsmester</t>
  </si>
  <si>
    <t>9320301</t>
  </si>
  <si>
    <t>Skívei boszorkánymester</t>
  </si>
  <si>
    <t>9301586</t>
  </si>
  <si>
    <t>Parszi hálófonó</t>
  </si>
  <si>
    <t>9237892</t>
  </si>
  <si>
    <t>Kezeslábas</t>
  </si>
  <si>
    <t>44035</t>
  </si>
  <si>
    <t>19354651</t>
  </si>
  <si>
    <t>Szivattyúk</t>
  </si>
  <si>
    <t>9276841</t>
  </si>
  <si>
    <t>441</t>
  </si>
  <si>
    <t>Szingliving</t>
  </si>
  <si>
    <t>9297531</t>
  </si>
  <si>
    <t>Kvintrém</t>
  </si>
  <si>
    <t>9300000</t>
  </si>
  <si>
    <t>463</t>
  </si>
  <si>
    <t>Tapasztalt isten</t>
  </si>
  <si>
    <t>2030</t>
  </si>
  <si>
    <t>9256451</t>
  </si>
  <si>
    <t>3500000 ezüst</t>
  </si>
  <si>
    <t>449</t>
  </si>
  <si>
    <t>9279734</t>
  </si>
  <si>
    <t>9236706</t>
  </si>
  <si>
    <t>9371100</t>
  </si>
  <si>
    <t>9437289</t>
  </si>
  <si>
    <t>Lari tolvajmester</t>
  </si>
  <si>
    <t>9532106</t>
  </si>
  <si>
    <t>153 db </t>
  </si>
  <si>
    <t>Skívei zászlólengető</t>
  </si>
  <si>
    <t>9512587</t>
  </si>
  <si>
    <t>Parszi inas</t>
  </si>
  <si>
    <t>9498971</t>
  </si>
  <si>
    <t>466</t>
  </si>
  <si>
    <t>Könyvarc</t>
  </si>
  <si>
    <t>3400</t>
  </si>
  <si>
    <t>9500650</t>
  </si>
  <si>
    <t>Orrvérzés</t>
  </si>
  <si>
    <t>9399850</t>
  </si>
  <si>
    <t>3600000 ezüst</t>
  </si>
  <si>
    <t>Istenmester</t>
  </si>
  <si>
    <t>59000</t>
  </si>
  <si>
    <t>Négykézláb</t>
  </si>
  <si>
    <t>9458710</t>
  </si>
  <si>
    <t>Kezdő sárkányölő</t>
  </si>
  <si>
    <t>1771</t>
  </si>
  <si>
    <t>9465200</t>
  </si>
  <si>
    <t>9364384</t>
  </si>
  <si>
    <t>9311853</t>
  </si>
  <si>
    <t>9458300</t>
  </si>
  <si>
    <t>9575140</t>
  </si>
  <si>
    <t>Mengorni főmágus</t>
  </si>
  <si>
    <t>1680</t>
  </si>
  <si>
    <t>9764584</t>
  </si>
  <si>
    <t>Háborgó söpredék</t>
  </si>
  <si>
    <t>1940</t>
  </si>
  <si>
    <t>9777766</t>
  </si>
  <si>
    <t>Parszi léghajóács</t>
  </si>
  <si>
    <t>9725864</t>
  </si>
  <si>
    <t>Faunikorn</t>
  </si>
  <si>
    <t>1833</t>
  </si>
  <si>
    <t>9776489</t>
  </si>
  <si>
    <t>Lángoló jégcsap</t>
  </si>
  <si>
    <t>9723584</t>
  </si>
  <si>
    <t>Idegen civilizáció deszant</t>
  </si>
  <si>
    <t>9702281</t>
  </si>
  <si>
    <t>Homlokféreg</t>
  </si>
  <si>
    <t>63672</t>
  </si>
  <si>
    <t>19992058</t>
  </si>
  <si>
    <t>Gyakorlott sárkányölő</t>
  </si>
  <si>
    <t>1865</t>
  </si>
  <si>
    <t>9632051</t>
  </si>
  <si>
    <t>9758464</t>
  </si>
  <si>
    <t>Kék Mágiafaló</t>
  </si>
  <si>
    <t>3404</t>
  </si>
  <si>
    <t>9420035</t>
  </si>
  <si>
    <t>Vörös szellemidéző</t>
  </si>
  <si>
    <t>9449035</t>
  </si>
  <si>
    <t>Arany vallató</t>
  </si>
  <si>
    <t>1811</t>
  </si>
  <si>
    <t>9387000</t>
  </si>
  <si>
    <t>Gyémánt démonsárkány</t>
  </si>
  <si>
    <t>9545501</t>
  </si>
  <si>
    <t>Skívei berzerker</t>
  </si>
  <si>
    <t>9900411</t>
  </si>
  <si>
    <t>Lari rablóvezér</t>
  </si>
  <si>
    <t>9897996</t>
  </si>
  <si>
    <t>Parszi időjós</t>
  </si>
  <si>
    <t>9900333</t>
  </si>
  <si>
    <t>Holttündér</t>
  </si>
  <si>
    <t>1648</t>
  </si>
  <si>
    <t>9876421</t>
  </si>
  <si>
    <t>Hadíbíldeer</t>
  </si>
  <si>
    <t>9902548</t>
  </si>
  <si>
    <t>Agymenés</t>
  </si>
  <si>
    <t>1964</t>
  </si>
  <si>
    <t>9864572</t>
  </si>
  <si>
    <t>Szemétdombmelák</t>
  </si>
  <si>
    <t>52362</t>
  </si>
  <si>
    <t>21123008</t>
  </si>
  <si>
    <t>Sárkányölőmester</t>
  </si>
  <si>
    <t>9890000</t>
  </si>
  <si>
    <t>9533045</t>
  </si>
  <si>
    <t>9533685</t>
  </si>
  <si>
    <t>9462147</t>
  </si>
  <si>
    <t>9632701</t>
  </si>
  <si>
    <t>Dezertált mengorni nekromanta</t>
  </si>
  <si>
    <t>11112310</t>
  </si>
  <si>
    <t>Tagbaszakadt tüntető</t>
  </si>
  <si>
    <t>1674</t>
  </si>
  <si>
    <t>10887690</t>
  </si>
  <si>
    <t>Parszi admirális</t>
  </si>
  <si>
    <t>10987341</t>
  </si>
  <si>
    <t>Mindkettő</t>
  </si>
  <si>
    <t>22222</t>
  </si>
  <si>
    <t>22222222</t>
  </si>
  <si>
    <t>Tengeralattjáró</t>
  </si>
  <si>
    <t>11000000</t>
  </si>
  <si>
    <t>Gyűrűsféreg</t>
  </si>
  <si>
    <t>10978154</t>
  </si>
  <si>
    <t>Tenyérbemászó</t>
  </si>
  <si>
    <t>10633407</t>
  </si>
  <si>
    <t>Diszkópatkány</t>
  </si>
  <si>
    <t>2287</t>
  </si>
  <si>
    <t>10235688</t>
  </si>
  <si>
    <t>9650535</t>
  </si>
  <si>
    <t>9618336</t>
  </si>
  <si>
    <t>9537294</t>
  </si>
  <si>
    <t>9719902</t>
  </si>
  <si>
    <t>Lari merénylő</t>
  </si>
  <si>
    <t>2048</t>
  </si>
  <si>
    <t>12875611</t>
  </si>
  <si>
    <t>2325 db </t>
  </si>
  <si>
    <t>Skívei hadüzenő</t>
  </si>
  <si>
    <t>2315</t>
  </si>
  <si>
    <t>12564120</t>
  </si>
  <si>
    <t>Bíborbanszületett bevándorló</t>
  </si>
  <si>
    <t>12387569</t>
  </si>
  <si>
    <t>Parszi korvett</t>
  </si>
  <si>
    <t>63013</t>
  </si>
  <si>
    <t>22304899</t>
  </si>
  <si>
    <t>Palotalidérc</t>
  </si>
  <si>
    <t>12271682</t>
  </si>
  <si>
    <t>Mérges kígyó</t>
  </si>
  <si>
    <t>12165899</t>
  </si>
  <si>
    <t>Diszkópatkány fivérek</t>
  </si>
  <si>
    <t>11989763</t>
  </si>
  <si>
    <t>Sárkányölő avatár</t>
  </si>
  <si>
    <t>1681</t>
  </si>
  <si>
    <t>12034820</t>
  </si>
  <si>
    <t>Szemöldöklő</t>
  </si>
  <si>
    <t>3551</t>
  </si>
  <si>
    <t>12165651</t>
  </si>
  <si>
    <t>Szakállas poén</t>
  </si>
  <si>
    <t>1406</t>
  </si>
  <si>
    <t>12140739</t>
  </si>
  <si>
    <t>Szmáj Lí</t>
  </si>
  <si>
    <t>4153</t>
  </si>
  <si>
    <t>12123362</t>
  </si>
  <si>
    <t>Rossz csont</t>
  </si>
  <si>
    <t>745</t>
  </si>
  <si>
    <t>12080260</t>
  </si>
  <si>
    <t>Befli</t>
  </si>
  <si>
    <t>3804</t>
  </si>
  <si>
    <t>12125504</t>
  </si>
  <si>
    <t>Árnyékszék</t>
  </si>
  <si>
    <t>2302</t>
  </si>
  <si>
    <t>11996855</t>
  </si>
  <si>
    <t>Kezdő Csendmágus</t>
  </si>
  <si>
    <t>1641</t>
  </si>
  <si>
    <t>12071977</t>
  </si>
  <si>
    <t>Tejbepapi</t>
  </si>
  <si>
    <t>25525631</t>
  </si>
  <si>
    <t>9765038</t>
  </si>
  <si>
    <t>9702986</t>
  </si>
  <si>
    <t>9612442</t>
  </si>
  <si>
    <t>9807102</t>
  </si>
  <si>
    <t>3971</t>
  </si>
  <si>
    <t>11041341</t>
  </si>
  <si>
    <t>Körszakállas poén</t>
  </si>
  <si>
    <t>4937</t>
  </si>
  <si>
    <t>12773934</t>
  </si>
  <si>
    <t>Szívlapát</t>
  </si>
  <si>
    <t>3578</t>
  </si>
  <si>
    <t>12747776</t>
  </si>
  <si>
    <t>Dezintegráló mező</t>
  </si>
  <si>
    <t>2354</t>
  </si>
  <si>
    <t>12729530</t>
  </si>
  <si>
    <t>Furgonoszaurusz</t>
  </si>
  <si>
    <t>9648</t>
  </si>
  <si>
    <t>26801913</t>
  </si>
  <si>
    <t>Árnyékkarosszék</t>
  </si>
  <si>
    <t>2675</t>
  </si>
  <si>
    <t>12731780</t>
  </si>
  <si>
    <t>Gyakorlott Csendmágus</t>
  </si>
  <si>
    <t>12596698</t>
  </si>
  <si>
    <t>Zsömfel</t>
  </si>
  <si>
    <t>4548</t>
  </si>
  <si>
    <t>12675576</t>
  </si>
  <si>
    <t>Savmágia tekercse</t>
  </si>
  <si>
    <t>12684273</t>
  </si>
  <si>
    <t>9880288</t>
  </si>
  <si>
    <t>9787637</t>
  </si>
  <si>
    <t>9687589</t>
  </si>
  <si>
    <t>9894303</t>
  </si>
  <si>
    <t>Brainstrom</t>
  </si>
  <si>
    <t>13412630</t>
  </si>
  <si>
    <t>Vágtázó Halott Kémek</t>
  </si>
  <si>
    <t>3516</t>
  </si>
  <si>
    <t>13385165</t>
  </si>
  <si>
    <t>Fás Lí</t>
  </si>
  <si>
    <t>5481</t>
  </si>
  <si>
    <t>13366006</t>
  </si>
  <si>
    <t>Chőőő</t>
  </si>
  <si>
    <t>13318487</t>
  </si>
  <si>
    <t>Savmágia könyve</t>
  </si>
  <si>
    <t>13368369</t>
  </si>
  <si>
    <t>Árnyékfotel</t>
  </si>
  <si>
    <t>5132</t>
  </si>
  <si>
    <t>13226533</t>
  </si>
  <si>
    <t>Csendmágus mester</t>
  </si>
  <si>
    <t>2046</t>
  </si>
  <si>
    <t>13309355</t>
  </si>
  <si>
    <t>Tejbemami</t>
  </si>
  <si>
    <t>68045</t>
  </si>
  <si>
    <t>28142008</t>
  </si>
  <si>
    <t>Vörös Mágiafaló</t>
  </si>
  <si>
    <t>9995538</t>
  </si>
  <si>
    <t>Fekete szellemidéző</t>
  </si>
  <si>
    <t>1703</t>
  </si>
  <si>
    <t>9872287</t>
  </si>
  <si>
    <t>Gyémánt vallató</t>
  </si>
  <si>
    <t>9762736</t>
  </si>
  <si>
    <t>Bús megálló</t>
  </si>
  <si>
    <t>14083262</t>
  </si>
  <si>
    <t>Felhőszakadás</t>
  </si>
  <si>
    <t>2489</t>
  </si>
  <si>
    <t>14054423</t>
  </si>
  <si>
    <t>Rubin kocka</t>
  </si>
  <si>
    <t>4864</t>
  </si>
  <si>
    <t>14034306</t>
  </si>
  <si>
    <t>129 db </t>
  </si>
  <si>
    <t>Vontatoszaurusz</t>
  </si>
  <si>
    <t>29549109</t>
  </si>
  <si>
    <t>Árnyéktrón</t>
  </si>
  <si>
    <t>2485</t>
  </si>
  <si>
    <t>14036787</t>
  </si>
  <si>
    <t>Head-szett</t>
  </si>
  <si>
    <t>5486</t>
  </si>
  <si>
    <t>13887860</t>
  </si>
  <si>
    <t>Csendmágus nagymester</t>
  </si>
  <si>
    <t>3957</t>
  </si>
  <si>
    <t>13974823</t>
  </si>
  <si>
    <t>Jégmágia tekercse</t>
  </si>
  <si>
    <t>13984411</t>
  </si>
  <si>
    <t>10110788</t>
  </si>
  <si>
    <t>9956938</t>
  </si>
  <si>
    <t>9837883</t>
  </si>
  <si>
    <t>Csúszó Pénzérme</t>
  </si>
  <si>
    <t>1985</t>
  </si>
  <si>
    <t>14787425</t>
  </si>
  <si>
    <t>Ugró Deszka</t>
  </si>
  <si>
    <t>2785</t>
  </si>
  <si>
    <t>14757145</t>
  </si>
  <si>
    <t>Smirg Lí</t>
  </si>
  <si>
    <t>3845</t>
  </si>
  <si>
    <t>14736022</t>
  </si>
  <si>
    <t>Trigonometria</t>
  </si>
  <si>
    <t>14683632</t>
  </si>
  <si>
    <t>Vajszív</t>
  </si>
  <si>
    <t>5975</t>
  </si>
  <si>
    <t>14738626</t>
  </si>
  <si>
    <t>Jégmágia könyve</t>
  </si>
  <si>
    <t>2578</t>
  </si>
  <si>
    <t>14582253</t>
  </si>
  <si>
    <t>Poló Márka</t>
  </si>
  <si>
    <t>4219</t>
  </si>
  <si>
    <t>14673564</t>
  </si>
  <si>
    <t>Zsírpuncs kondás</t>
  </si>
  <si>
    <t>54321</t>
  </si>
  <si>
    <t>31026564</t>
  </si>
  <si>
    <t>10226038</t>
  </si>
  <si>
    <t>10041588</t>
  </si>
  <si>
    <t>9913030</t>
  </si>
  <si>
    <t>Istenbarma</t>
  </si>
  <si>
    <t>15526796</t>
  </si>
  <si>
    <t>Örömlegény</t>
  </si>
  <si>
    <t>15495002</t>
  </si>
  <si>
    <t>Tomboló trambulin</t>
  </si>
  <si>
    <t>2587</t>
  </si>
  <si>
    <t>15472823</t>
  </si>
  <si>
    <t>Kamionoszaurusz</t>
  </si>
  <si>
    <t>32577893</t>
  </si>
  <si>
    <t>Rétes Tészta</t>
  </si>
  <si>
    <t>1895</t>
  </si>
  <si>
    <t>15475558</t>
  </si>
  <si>
    <t>Telefonbetyár</t>
  </si>
  <si>
    <t>3685</t>
  </si>
  <si>
    <t>15311365</t>
  </si>
  <si>
    <t>Nagykabátos</t>
  </si>
  <si>
    <t>2754</t>
  </si>
  <si>
    <t>15407242</t>
  </si>
  <si>
    <t>4500 db </t>
  </si>
  <si>
    <t>Árnymágia tekercse</t>
  </si>
  <si>
    <t>491</t>
  </si>
  <si>
    <t>15417813</t>
  </si>
  <si>
    <t>10341288</t>
  </si>
  <si>
    <t>10126239</t>
  </si>
  <si>
    <t>9988177</t>
  </si>
  <si>
    <t>Grafikusz Micimusz</t>
  </si>
  <si>
    <t>1258</t>
  </si>
  <si>
    <t>16303136</t>
  </si>
  <si>
    <t>Kriptaszökevény</t>
  </si>
  <si>
    <t>3475</t>
  </si>
  <si>
    <t>16269752</t>
  </si>
  <si>
    <t>Sin Tan Cos</t>
  </si>
  <si>
    <t>4586</t>
  </si>
  <si>
    <t>16246464</t>
  </si>
  <si>
    <t>Promotátor</t>
  </si>
  <si>
    <t>16188704</t>
  </si>
  <si>
    <t>Kőcsepp</t>
  </si>
  <si>
    <t>16249336</t>
  </si>
  <si>
    <t>Árnymágia könyve</t>
  </si>
  <si>
    <t>2486</t>
  </si>
  <si>
    <t>16076933</t>
  </si>
  <si>
    <t>Utolsó szint</t>
  </si>
  <si>
    <t>5485</t>
  </si>
  <si>
    <t>16177604</t>
  </si>
  <si>
    <t>Mozdonyoszaurusz</t>
  </si>
  <si>
    <t>34206787</t>
  </si>
  <si>
    <t>10456538</t>
  </si>
  <si>
    <t>10210889</t>
  </si>
  <si>
    <t>10063324</t>
  </si>
  <si>
    <t>16933607</t>
  </si>
  <si>
    <t>Hajhagyma</t>
  </si>
  <si>
    <t>17118293</t>
  </si>
  <si>
    <t>Trikornis</t>
  </si>
  <si>
    <t>2864</t>
  </si>
  <si>
    <t>17083240</t>
  </si>
  <si>
    <t>Hegyi vadász</t>
  </si>
  <si>
    <t>2356</t>
  </si>
  <si>
    <t>17058787</t>
  </si>
  <si>
    <t>Pufóka</t>
  </si>
  <si>
    <t>35917127</t>
  </si>
  <si>
    <t>Fény kisebb angyala</t>
  </si>
  <si>
    <t>3486</t>
  </si>
  <si>
    <t>17061802</t>
  </si>
  <si>
    <t>Kezdő adóvevő</t>
  </si>
  <si>
    <t>16880780</t>
  </si>
  <si>
    <t>Ajtón álló</t>
  </si>
  <si>
    <t>16986484</t>
  </si>
  <si>
    <t>Fénymágia tekercse</t>
  </si>
  <si>
    <t>16998139</t>
  </si>
  <si>
    <t>Fekete Mágiafaló</t>
  </si>
  <si>
    <t>3580</t>
  </si>
  <si>
    <t>10571788</t>
  </si>
  <si>
    <t>Ezüst szellemidéző</t>
  </si>
  <si>
    <t>1848</t>
  </si>
  <si>
    <t>10295540</t>
  </si>
  <si>
    <t>Orrbamászó</t>
  </si>
  <si>
    <t>4210</t>
  </si>
  <si>
    <t>17974208</t>
  </si>
  <si>
    <t>Tomporella</t>
  </si>
  <si>
    <t>3657</t>
  </si>
  <si>
    <t>17937402</t>
  </si>
  <si>
    <t>Kezdő átkozó</t>
  </si>
  <si>
    <t>1954</t>
  </si>
  <si>
    <t>17911727</t>
  </si>
  <si>
    <t>Késhal</t>
  </si>
  <si>
    <t>17848046</t>
  </si>
  <si>
    <t>Banánosztó</t>
  </si>
  <si>
    <t>17914893</t>
  </si>
  <si>
    <t>Úton álló</t>
  </si>
  <si>
    <t>2753</t>
  </si>
  <si>
    <t>17724819</t>
  </si>
  <si>
    <t>Fénymágia könyve</t>
  </si>
  <si>
    <t>4521</t>
  </si>
  <si>
    <t>17835808</t>
  </si>
  <si>
    <t>Buszaurusz</t>
  </si>
  <si>
    <t>37712983</t>
  </si>
  <si>
    <t>10687038</t>
  </si>
  <si>
    <t>10380190</t>
  </si>
  <si>
    <t>4482</t>
  </si>
  <si>
    <t>17643571</t>
  </si>
  <si>
    <t>Karban tartó</t>
  </si>
  <si>
    <t>18872918</t>
  </si>
  <si>
    <t>Topográfus</t>
  </si>
  <si>
    <t>2986</t>
  </si>
  <si>
    <t>18834272</t>
  </si>
  <si>
    <t>Várzabáló</t>
  </si>
  <si>
    <t>3568</t>
  </si>
  <si>
    <t>18807313</t>
  </si>
  <si>
    <t>Hórihorgas Fogas</t>
  </si>
  <si>
    <t>9857</t>
  </si>
  <si>
    <t>39598632</t>
  </si>
  <si>
    <t>Fény nagyobb angyala</t>
  </si>
  <si>
    <t>3890</t>
  </si>
  <si>
    <t>18810637</t>
  </si>
  <si>
    <t>Gyakorlott adóvevő</t>
  </si>
  <si>
    <t>2863</t>
  </si>
  <si>
    <t>18611060</t>
  </si>
  <si>
    <t>Jót álló</t>
  </si>
  <si>
    <t>1487</t>
  </si>
  <si>
    <t>18727599</t>
  </si>
  <si>
    <t>Ködmágia tekercse</t>
  </si>
  <si>
    <t>18740449</t>
  </si>
  <si>
    <t>10802288</t>
  </si>
  <si>
    <t>10464841</t>
  </si>
  <si>
    <t>Bukott szerzetes</t>
  </si>
  <si>
    <t>1278</t>
  </si>
  <si>
    <t>19816564</t>
  </si>
  <si>
    <t>Eső felhő</t>
  </si>
  <si>
    <t>19775985</t>
  </si>
  <si>
    <t>Gyakorlott átkozó</t>
  </si>
  <si>
    <t>4685</t>
  </si>
  <si>
    <t>19747678</t>
  </si>
  <si>
    <t>Tőrhal</t>
  </si>
  <si>
    <t>19677471</t>
  </si>
  <si>
    <t>Tetőfedő</t>
  </si>
  <si>
    <t>1963</t>
  </si>
  <si>
    <t>19751169</t>
  </si>
  <si>
    <t>Talpon álló</t>
  </si>
  <si>
    <t>19541613</t>
  </si>
  <si>
    <t>Ködmágia könyve</t>
  </si>
  <si>
    <t>4386</t>
  </si>
  <si>
    <t>19663979</t>
  </si>
  <si>
    <t>Csukló buszaurusz</t>
  </si>
  <si>
    <t>41578564</t>
  </si>
  <si>
    <t>10917538</t>
  </si>
  <si>
    <t>10549491</t>
  </si>
  <si>
    <t>QQRIQ</t>
  </si>
  <si>
    <t>1835</t>
  </si>
  <si>
    <t>20807392</t>
  </si>
  <si>
    <t>Bökő</t>
  </si>
  <si>
    <t>2951</t>
  </si>
  <si>
    <t>20764784</t>
  </si>
  <si>
    <t>Bukott próféta</t>
  </si>
  <si>
    <t>3678</t>
  </si>
  <si>
    <t>20735062</t>
  </si>
  <si>
    <t>Alkolompos</t>
  </si>
  <si>
    <t>34000</t>
  </si>
  <si>
    <t>43657492</t>
  </si>
  <si>
    <t>Fény óriás angyala</t>
  </si>
  <si>
    <t>2865</t>
  </si>
  <si>
    <t>20738727</t>
  </si>
  <si>
    <t>Adóvevő mester</t>
  </si>
  <si>
    <t>1385</t>
  </si>
  <si>
    <t>20518694</t>
  </si>
  <si>
    <t>Palotaőr</t>
  </si>
  <si>
    <t>2758</t>
  </si>
  <si>
    <t>20647178</t>
  </si>
  <si>
    <t>Antimágia tekercse</t>
  </si>
  <si>
    <t>20661345</t>
  </si>
  <si>
    <t>11032788</t>
  </si>
  <si>
    <t>10634142</t>
  </si>
  <si>
    <t>Hanghordozó</t>
  </si>
  <si>
    <t>3456</t>
  </si>
  <si>
    <t>21847762</t>
  </si>
  <si>
    <t>Bukott püspök</t>
  </si>
  <si>
    <t>1968</t>
  </si>
  <si>
    <t>21803024</t>
  </si>
  <si>
    <t>Átkozó mester</t>
  </si>
  <si>
    <t>21771816</t>
  </si>
  <si>
    <t>Kardhal</t>
  </si>
  <si>
    <t>21694412</t>
  </si>
  <si>
    <t>Palackozott dzsinn</t>
  </si>
  <si>
    <t>3976</t>
  </si>
  <si>
    <t>21775664</t>
  </si>
  <si>
    <t>Elit palotaőr</t>
  </si>
  <si>
    <t>21544628</t>
  </si>
  <si>
    <t>Antimágia könyve</t>
  </si>
  <si>
    <t>21679537</t>
  </si>
  <si>
    <t>Daruszaurusz</t>
  </si>
  <si>
    <t>39856</t>
  </si>
  <si>
    <t>45840366</t>
  </si>
  <si>
    <t>Ezüst Mágiafaló</t>
  </si>
  <si>
    <t>3789</t>
  </si>
  <si>
    <t>11148038</t>
  </si>
  <si>
    <t>Arany szellemidéző</t>
  </si>
  <si>
    <t>1956</t>
  </si>
  <si>
    <t>10718792</t>
  </si>
  <si>
    <t>172k kellene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</si>
</sst>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u/>
      <sz val="10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color rgb="FF0000FF"/>
      <name val="Arial"/>
      <family val="2"/>
      <charset val="238"/>
    </font>
    <font>
      <sz val="10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3" fontId="2" fillId="0" borderId="0" xfId="0" applyNumberFormat="1" applyFont="1" applyAlignment="1"/>
    <xf numFmtId="3" fontId="2" fillId="0" borderId="0" xfId="0" applyNumberFormat="1" applyFont="1" applyAlignment="1">
      <alignment wrapText="1"/>
    </xf>
    <xf numFmtId="3" fontId="0" fillId="0" borderId="0" xfId="0" applyNumberFormat="1" applyFont="1" applyAlignment="1">
      <alignment wrapText="1"/>
    </xf>
    <xf numFmtId="3" fontId="0" fillId="0" borderId="0" xfId="0" applyNumberFormat="1" applyFont="1" applyAlignment="1"/>
    <xf numFmtId="0" fontId="4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304800</xdr:colOff>
      <xdr:row>2</xdr:row>
      <xdr:rowOff>152400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9</xdr:row>
      <xdr:rowOff>152400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23</xdr:row>
      <xdr:rowOff>152400</xdr:rowOff>
    </xdr:to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37</xdr:row>
      <xdr:rowOff>152400</xdr:rowOff>
    </xdr:to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44</xdr:row>
      <xdr:rowOff>152400</xdr:rowOff>
    </xdr:to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51</xdr:row>
      <xdr:rowOff>152400</xdr:rowOff>
    </xdr:to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58</xdr:row>
      <xdr:rowOff>152400</xdr:rowOff>
    </xdr:to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65</xdr:row>
      <xdr:rowOff>152400</xdr:rowOff>
    </xdr:to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72</xdr:row>
      <xdr:rowOff>152400</xdr:rowOff>
    </xdr:to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79</xdr:row>
      <xdr:rowOff>152400</xdr:rowOff>
    </xdr:to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86</xdr:row>
      <xdr:rowOff>152400</xdr:rowOff>
    </xdr:to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93</xdr:row>
      <xdr:rowOff>152400</xdr:rowOff>
    </xdr:to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152400</xdr:rowOff>
    </xdr:to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152400</xdr:rowOff>
    </xdr:to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152400</xdr:rowOff>
    </xdr:to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152400</xdr:rowOff>
    </xdr:to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152400</xdr:rowOff>
    </xdr:to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152400</xdr:rowOff>
    </xdr:to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152400</xdr:rowOff>
    </xdr:to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152400</xdr:rowOff>
    </xdr:to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152400</xdr:rowOff>
    </xdr:to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152400</xdr:rowOff>
    </xdr:to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152400</xdr:rowOff>
    </xdr:to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152400</xdr:rowOff>
    </xdr:to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152400</xdr:rowOff>
    </xdr:to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152400</xdr:rowOff>
    </xdr:to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152400</xdr:rowOff>
    </xdr:to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152400</xdr:rowOff>
    </xdr:to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152400</xdr:rowOff>
    </xdr:to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219</xdr:row>
      <xdr:rowOff>152400</xdr:rowOff>
    </xdr:to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152400</xdr:rowOff>
    </xdr:to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233</xdr:row>
      <xdr:rowOff>152400</xdr:rowOff>
    </xdr:to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152400</xdr:rowOff>
    </xdr:to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247</xdr:row>
      <xdr:rowOff>152400</xdr:rowOff>
    </xdr:to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152400</xdr:rowOff>
    </xdr:to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152400</xdr:rowOff>
    </xdr:to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268</xdr:row>
      <xdr:rowOff>152400</xdr:rowOff>
    </xdr:to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152400</xdr:rowOff>
    </xdr:to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152400</xdr:rowOff>
    </xdr:to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152400</xdr:rowOff>
    </xdr:to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152400</xdr:rowOff>
    </xdr:to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152400</xdr:rowOff>
    </xdr:to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152400</xdr:rowOff>
    </xdr:to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152400</xdr:rowOff>
    </xdr:to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324</xdr:row>
      <xdr:rowOff>152400</xdr:rowOff>
    </xdr:to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331</xdr:row>
      <xdr:rowOff>152400</xdr:rowOff>
    </xdr:to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338</xdr:row>
      <xdr:rowOff>152400</xdr:rowOff>
    </xdr:to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345</xdr:row>
      <xdr:rowOff>152400</xdr:rowOff>
    </xdr:to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352</xdr:row>
      <xdr:rowOff>152400</xdr:rowOff>
    </xdr:to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359</xdr:row>
      <xdr:rowOff>152400</xdr:rowOff>
    </xdr:to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4796</xdr:row>
      <xdr:rowOff>0</xdr:rowOff>
    </xdr:from>
    <xdr:to>
      <xdr:col>0</xdr:col>
      <xdr:colOff>304800</xdr:colOff>
      <xdr:row>4797</xdr:row>
      <xdr:rowOff>152400</xdr:rowOff>
    </xdr:to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366</xdr:row>
      <xdr:rowOff>152400</xdr:rowOff>
    </xdr:to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372</xdr:row>
      <xdr:rowOff>152400</xdr:rowOff>
    </xdr:to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379</xdr:row>
      <xdr:rowOff>152400</xdr:rowOff>
    </xdr:to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385</xdr:row>
      <xdr:rowOff>152400</xdr:rowOff>
    </xdr:to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391</xdr:row>
      <xdr:rowOff>152400</xdr:rowOff>
    </xdr:to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398</xdr:row>
      <xdr:rowOff>152400</xdr:rowOff>
    </xdr:to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404</xdr:row>
      <xdr:rowOff>152400</xdr:rowOff>
    </xdr:to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410</xdr:row>
      <xdr:rowOff>152400</xdr:rowOff>
    </xdr:to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416</xdr:row>
      <xdr:rowOff>152400</xdr:rowOff>
    </xdr:to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422</xdr:row>
      <xdr:rowOff>152400</xdr:rowOff>
    </xdr:to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428</xdr:row>
      <xdr:rowOff>152400</xdr:rowOff>
    </xdr:to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434</xdr:row>
      <xdr:rowOff>152400</xdr:rowOff>
    </xdr:to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440</xdr:row>
      <xdr:rowOff>152400</xdr:rowOff>
    </xdr:to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447</xdr:row>
      <xdr:rowOff>152400</xdr:rowOff>
    </xdr:to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454</xdr:row>
      <xdr:rowOff>152400</xdr:rowOff>
    </xdr:to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461</xdr:row>
      <xdr:rowOff>152400</xdr:rowOff>
    </xdr:to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467</xdr:row>
      <xdr:rowOff>152400</xdr:rowOff>
    </xdr:to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474</xdr:row>
      <xdr:rowOff>152400</xdr:rowOff>
    </xdr:to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480</xdr:row>
      <xdr:rowOff>152400</xdr:rowOff>
    </xdr:to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486</xdr:row>
      <xdr:rowOff>152400</xdr:rowOff>
    </xdr:to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492</xdr:row>
      <xdr:rowOff>152400</xdr:rowOff>
    </xdr:to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498</xdr:row>
      <xdr:rowOff>152400</xdr:rowOff>
    </xdr:to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504</xdr:row>
      <xdr:rowOff>152400</xdr:rowOff>
    </xdr:to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510</xdr:row>
      <xdr:rowOff>152400</xdr:rowOff>
    </xdr:to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516</xdr:row>
      <xdr:rowOff>152400</xdr:rowOff>
    </xdr:to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522</xdr:row>
      <xdr:rowOff>152400</xdr:rowOff>
    </xdr:to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528</xdr:row>
      <xdr:rowOff>152400</xdr:rowOff>
    </xdr:to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535</xdr:row>
      <xdr:rowOff>152400</xdr:rowOff>
    </xdr:to>
    <xdr:sp macro="" textlink="">
      <xdr:nvSpPr>
        <xdr:cNvPr id="82" name="Shape 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542</xdr:row>
      <xdr:rowOff>152400</xdr:rowOff>
    </xdr:to>
    <xdr:sp macro="" textlink="">
      <xdr:nvSpPr>
        <xdr:cNvPr id="83" name="Shape 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549</xdr:row>
      <xdr:rowOff>152400</xdr:rowOff>
    </xdr:to>
    <xdr:sp macro="" textlink="">
      <xdr:nvSpPr>
        <xdr:cNvPr id="84" name="Shape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555</xdr:row>
      <xdr:rowOff>152400</xdr:rowOff>
    </xdr:to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561</xdr:row>
      <xdr:rowOff>152400</xdr:rowOff>
    </xdr:to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567</xdr:row>
      <xdr:rowOff>152400</xdr:rowOff>
    </xdr:to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573</xdr:row>
      <xdr:rowOff>152400</xdr:rowOff>
    </xdr:to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579</xdr:row>
      <xdr:rowOff>152400</xdr:rowOff>
    </xdr:to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584</xdr:row>
      <xdr:rowOff>0</xdr:rowOff>
    </xdr:from>
    <xdr:to>
      <xdr:col>0</xdr:col>
      <xdr:colOff>304800</xdr:colOff>
      <xdr:row>585</xdr:row>
      <xdr:rowOff>152400</xdr:rowOff>
    </xdr:to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590</xdr:row>
      <xdr:rowOff>0</xdr:rowOff>
    </xdr:from>
    <xdr:to>
      <xdr:col>0</xdr:col>
      <xdr:colOff>304800</xdr:colOff>
      <xdr:row>591</xdr:row>
      <xdr:rowOff>152400</xdr:rowOff>
    </xdr:to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598</xdr:row>
      <xdr:rowOff>152400</xdr:rowOff>
    </xdr:to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604</xdr:row>
      <xdr:rowOff>152400</xdr:rowOff>
    </xdr:to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611</xdr:row>
      <xdr:rowOff>152400</xdr:rowOff>
    </xdr:to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617</xdr:row>
      <xdr:rowOff>152400</xdr:rowOff>
    </xdr:to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624</xdr:row>
      <xdr:rowOff>152400</xdr:rowOff>
    </xdr:to>
    <xdr:sp macro="" textlink="">
      <xdr:nvSpPr>
        <xdr:cNvPr id="96" name="Shape 3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630</xdr:row>
      <xdr:rowOff>152400</xdr:rowOff>
    </xdr:to>
    <xdr:sp macro="" textlink="">
      <xdr:nvSpPr>
        <xdr:cNvPr id="97" name="Shape 3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636</xdr:row>
      <xdr:rowOff>0</xdr:rowOff>
    </xdr:from>
    <xdr:to>
      <xdr:col>0</xdr:col>
      <xdr:colOff>304800</xdr:colOff>
      <xdr:row>637</xdr:row>
      <xdr:rowOff>152400</xdr:rowOff>
    </xdr:to>
    <xdr:sp macro="" textlink="">
      <xdr:nvSpPr>
        <xdr:cNvPr id="98" name="Shape 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642</xdr:row>
      <xdr:rowOff>0</xdr:rowOff>
    </xdr:from>
    <xdr:to>
      <xdr:col>0</xdr:col>
      <xdr:colOff>304800</xdr:colOff>
      <xdr:row>643</xdr:row>
      <xdr:rowOff>152400</xdr:rowOff>
    </xdr:to>
    <xdr:sp macro="" textlink="">
      <xdr:nvSpPr>
        <xdr:cNvPr id="99" name="Shape 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649</xdr:row>
      <xdr:rowOff>0</xdr:rowOff>
    </xdr:from>
    <xdr:to>
      <xdr:col>0</xdr:col>
      <xdr:colOff>304800</xdr:colOff>
      <xdr:row>650</xdr:row>
      <xdr:rowOff>152400</xdr:rowOff>
    </xdr:to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655</xdr:row>
      <xdr:rowOff>0</xdr:rowOff>
    </xdr:from>
    <xdr:to>
      <xdr:col>0</xdr:col>
      <xdr:colOff>304800</xdr:colOff>
      <xdr:row>656</xdr:row>
      <xdr:rowOff>152400</xdr:rowOff>
    </xdr:to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661</xdr:row>
      <xdr:rowOff>0</xdr:rowOff>
    </xdr:from>
    <xdr:to>
      <xdr:col>0</xdr:col>
      <xdr:colOff>304800</xdr:colOff>
      <xdr:row>662</xdr:row>
      <xdr:rowOff>152400</xdr:rowOff>
    </xdr:to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667</xdr:row>
      <xdr:rowOff>0</xdr:rowOff>
    </xdr:from>
    <xdr:to>
      <xdr:col>0</xdr:col>
      <xdr:colOff>304800</xdr:colOff>
      <xdr:row>668</xdr:row>
      <xdr:rowOff>152400</xdr:rowOff>
    </xdr:to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674</xdr:row>
      <xdr:rowOff>0</xdr:rowOff>
    </xdr:from>
    <xdr:to>
      <xdr:col>0</xdr:col>
      <xdr:colOff>304800</xdr:colOff>
      <xdr:row>675</xdr:row>
      <xdr:rowOff>152400</xdr:rowOff>
    </xdr:to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681</xdr:row>
      <xdr:rowOff>0</xdr:rowOff>
    </xdr:from>
    <xdr:to>
      <xdr:col>0</xdr:col>
      <xdr:colOff>304800</xdr:colOff>
      <xdr:row>682</xdr:row>
      <xdr:rowOff>152400</xdr:rowOff>
    </xdr:to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687</xdr:row>
      <xdr:rowOff>0</xdr:rowOff>
    </xdr:from>
    <xdr:to>
      <xdr:col>0</xdr:col>
      <xdr:colOff>304800</xdr:colOff>
      <xdr:row>688</xdr:row>
      <xdr:rowOff>152400</xdr:rowOff>
    </xdr:to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693</xdr:row>
      <xdr:rowOff>0</xdr:rowOff>
    </xdr:from>
    <xdr:to>
      <xdr:col>0</xdr:col>
      <xdr:colOff>304800</xdr:colOff>
      <xdr:row>694</xdr:row>
      <xdr:rowOff>152400</xdr:rowOff>
    </xdr:to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699</xdr:row>
      <xdr:rowOff>0</xdr:rowOff>
    </xdr:from>
    <xdr:to>
      <xdr:col>0</xdr:col>
      <xdr:colOff>304800</xdr:colOff>
      <xdr:row>700</xdr:row>
      <xdr:rowOff>152400</xdr:rowOff>
    </xdr:to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705</xdr:row>
      <xdr:rowOff>0</xdr:rowOff>
    </xdr:from>
    <xdr:to>
      <xdr:col>0</xdr:col>
      <xdr:colOff>304800</xdr:colOff>
      <xdr:row>706</xdr:row>
      <xdr:rowOff>152400</xdr:rowOff>
    </xdr:to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711</xdr:row>
      <xdr:rowOff>0</xdr:rowOff>
    </xdr:from>
    <xdr:to>
      <xdr:col>0</xdr:col>
      <xdr:colOff>304800</xdr:colOff>
      <xdr:row>712</xdr:row>
      <xdr:rowOff>152400</xdr:rowOff>
    </xdr:to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718</xdr:row>
      <xdr:rowOff>0</xdr:rowOff>
    </xdr:from>
    <xdr:to>
      <xdr:col>0</xdr:col>
      <xdr:colOff>304800</xdr:colOff>
      <xdr:row>719</xdr:row>
      <xdr:rowOff>152400</xdr:rowOff>
    </xdr:to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724</xdr:row>
      <xdr:rowOff>0</xdr:rowOff>
    </xdr:from>
    <xdr:to>
      <xdr:col>0</xdr:col>
      <xdr:colOff>304800</xdr:colOff>
      <xdr:row>725</xdr:row>
      <xdr:rowOff>152400</xdr:rowOff>
    </xdr:to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730</xdr:row>
      <xdr:rowOff>0</xdr:rowOff>
    </xdr:from>
    <xdr:to>
      <xdr:col>0</xdr:col>
      <xdr:colOff>304800</xdr:colOff>
      <xdr:row>731</xdr:row>
      <xdr:rowOff>152400</xdr:rowOff>
    </xdr:to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736</xdr:row>
      <xdr:rowOff>0</xdr:rowOff>
    </xdr:from>
    <xdr:to>
      <xdr:col>0</xdr:col>
      <xdr:colOff>304800</xdr:colOff>
      <xdr:row>737</xdr:row>
      <xdr:rowOff>152400</xdr:rowOff>
    </xdr:to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742</xdr:row>
      <xdr:rowOff>0</xdr:rowOff>
    </xdr:from>
    <xdr:to>
      <xdr:col>0</xdr:col>
      <xdr:colOff>304800</xdr:colOff>
      <xdr:row>743</xdr:row>
      <xdr:rowOff>152400</xdr:rowOff>
    </xdr:to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748</xdr:row>
      <xdr:rowOff>0</xdr:rowOff>
    </xdr:from>
    <xdr:to>
      <xdr:col>0</xdr:col>
      <xdr:colOff>304800</xdr:colOff>
      <xdr:row>749</xdr:row>
      <xdr:rowOff>152400</xdr:rowOff>
    </xdr:to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755</xdr:row>
      <xdr:rowOff>0</xdr:rowOff>
    </xdr:from>
    <xdr:to>
      <xdr:col>0</xdr:col>
      <xdr:colOff>304800</xdr:colOff>
      <xdr:row>756</xdr:row>
      <xdr:rowOff>152400</xdr:rowOff>
    </xdr:to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761</xdr:row>
      <xdr:rowOff>0</xdr:rowOff>
    </xdr:from>
    <xdr:to>
      <xdr:col>0</xdr:col>
      <xdr:colOff>304800</xdr:colOff>
      <xdr:row>762</xdr:row>
      <xdr:rowOff>152400</xdr:rowOff>
    </xdr:to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767</xdr:row>
      <xdr:rowOff>0</xdr:rowOff>
    </xdr:from>
    <xdr:to>
      <xdr:col>0</xdr:col>
      <xdr:colOff>304800</xdr:colOff>
      <xdr:row>768</xdr:row>
      <xdr:rowOff>152400</xdr:rowOff>
    </xdr:to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774</xdr:row>
      <xdr:rowOff>0</xdr:rowOff>
    </xdr:from>
    <xdr:to>
      <xdr:col>0</xdr:col>
      <xdr:colOff>304800</xdr:colOff>
      <xdr:row>775</xdr:row>
      <xdr:rowOff>152400</xdr:rowOff>
    </xdr:to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780</xdr:row>
      <xdr:rowOff>0</xdr:rowOff>
    </xdr:from>
    <xdr:to>
      <xdr:col>0</xdr:col>
      <xdr:colOff>304800</xdr:colOff>
      <xdr:row>781</xdr:row>
      <xdr:rowOff>152400</xdr:rowOff>
    </xdr:to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787</xdr:row>
      <xdr:rowOff>0</xdr:rowOff>
    </xdr:from>
    <xdr:to>
      <xdr:col>0</xdr:col>
      <xdr:colOff>304800</xdr:colOff>
      <xdr:row>788</xdr:row>
      <xdr:rowOff>152400</xdr:rowOff>
    </xdr:to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793</xdr:row>
      <xdr:rowOff>0</xdr:rowOff>
    </xdr:from>
    <xdr:to>
      <xdr:col>0</xdr:col>
      <xdr:colOff>304800</xdr:colOff>
      <xdr:row>794</xdr:row>
      <xdr:rowOff>152400</xdr:rowOff>
    </xdr:to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799</xdr:row>
      <xdr:rowOff>0</xdr:rowOff>
    </xdr:from>
    <xdr:to>
      <xdr:col>0</xdr:col>
      <xdr:colOff>304800</xdr:colOff>
      <xdr:row>800</xdr:row>
      <xdr:rowOff>152400</xdr:rowOff>
    </xdr:to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805</xdr:row>
      <xdr:rowOff>0</xdr:rowOff>
    </xdr:from>
    <xdr:to>
      <xdr:col>0</xdr:col>
      <xdr:colOff>304800</xdr:colOff>
      <xdr:row>806</xdr:row>
      <xdr:rowOff>152400</xdr:rowOff>
    </xdr:to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811</xdr:row>
      <xdr:rowOff>0</xdr:rowOff>
    </xdr:from>
    <xdr:to>
      <xdr:col>0</xdr:col>
      <xdr:colOff>304800</xdr:colOff>
      <xdr:row>812</xdr:row>
      <xdr:rowOff>152400</xdr:rowOff>
    </xdr:to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817</xdr:row>
      <xdr:rowOff>0</xdr:rowOff>
    </xdr:from>
    <xdr:to>
      <xdr:col>0</xdr:col>
      <xdr:colOff>304800</xdr:colOff>
      <xdr:row>818</xdr:row>
      <xdr:rowOff>152400</xdr:rowOff>
    </xdr:to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823</xdr:row>
      <xdr:rowOff>0</xdr:rowOff>
    </xdr:from>
    <xdr:to>
      <xdr:col>0</xdr:col>
      <xdr:colOff>304800</xdr:colOff>
      <xdr:row>824</xdr:row>
      <xdr:rowOff>152400</xdr:rowOff>
    </xdr:to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829</xdr:row>
      <xdr:rowOff>0</xdr:rowOff>
    </xdr:from>
    <xdr:to>
      <xdr:col>0</xdr:col>
      <xdr:colOff>304800</xdr:colOff>
      <xdr:row>830</xdr:row>
      <xdr:rowOff>152400</xdr:rowOff>
    </xdr:to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835</xdr:row>
      <xdr:rowOff>0</xdr:rowOff>
    </xdr:from>
    <xdr:to>
      <xdr:col>0</xdr:col>
      <xdr:colOff>304800</xdr:colOff>
      <xdr:row>836</xdr:row>
      <xdr:rowOff>152400</xdr:rowOff>
    </xdr:to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841</xdr:row>
      <xdr:rowOff>0</xdr:rowOff>
    </xdr:from>
    <xdr:to>
      <xdr:col>0</xdr:col>
      <xdr:colOff>304800</xdr:colOff>
      <xdr:row>842</xdr:row>
      <xdr:rowOff>152400</xdr:rowOff>
    </xdr:to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847</xdr:row>
      <xdr:rowOff>0</xdr:rowOff>
    </xdr:from>
    <xdr:to>
      <xdr:col>0</xdr:col>
      <xdr:colOff>304800</xdr:colOff>
      <xdr:row>848</xdr:row>
      <xdr:rowOff>152400</xdr:rowOff>
    </xdr:to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853</xdr:row>
      <xdr:rowOff>0</xdr:rowOff>
    </xdr:from>
    <xdr:to>
      <xdr:col>0</xdr:col>
      <xdr:colOff>304800</xdr:colOff>
      <xdr:row>854</xdr:row>
      <xdr:rowOff>152400</xdr:rowOff>
    </xdr:to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859</xdr:row>
      <xdr:rowOff>0</xdr:rowOff>
    </xdr:from>
    <xdr:to>
      <xdr:col>0</xdr:col>
      <xdr:colOff>304800</xdr:colOff>
      <xdr:row>860</xdr:row>
      <xdr:rowOff>152400</xdr:rowOff>
    </xdr:to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865</xdr:row>
      <xdr:rowOff>0</xdr:rowOff>
    </xdr:from>
    <xdr:to>
      <xdr:col>0</xdr:col>
      <xdr:colOff>304800</xdr:colOff>
      <xdr:row>866</xdr:row>
      <xdr:rowOff>152400</xdr:rowOff>
    </xdr:to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871</xdr:row>
      <xdr:rowOff>0</xdr:rowOff>
    </xdr:from>
    <xdr:to>
      <xdr:col>0</xdr:col>
      <xdr:colOff>304800</xdr:colOff>
      <xdr:row>872</xdr:row>
      <xdr:rowOff>152400</xdr:rowOff>
    </xdr:to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877</xdr:row>
      <xdr:rowOff>0</xdr:rowOff>
    </xdr:from>
    <xdr:to>
      <xdr:col>0</xdr:col>
      <xdr:colOff>304800</xdr:colOff>
      <xdr:row>878</xdr:row>
      <xdr:rowOff>152400</xdr:rowOff>
    </xdr:to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883</xdr:row>
      <xdr:rowOff>0</xdr:rowOff>
    </xdr:from>
    <xdr:to>
      <xdr:col>0</xdr:col>
      <xdr:colOff>304800</xdr:colOff>
      <xdr:row>884</xdr:row>
      <xdr:rowOff>152400</xdr:rowOff>
    </xdr:to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890</xdr:row>
      <xdr:rowOff>0</xdr:rowOff>
    </xdr:from>
    <xdr:to>
      <xdr:col>0</xdr:col>
      <xdr:colOff>304800</xdr:colOff>
      <xdr:row>891</xdr:row>
      <xdr:rowOff>152400</xdr:rowOff>
    </xdr:to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896</xdr:row>
      <xdr:rowOff>0</xdr:rowOff>
    </xdr:from>
    <xdr:to>
      <xdr:col>0</xdr:col>
      <xdr:colOff>304800</xdr:colOff>
      <xdr:row>897</xdr:row>
      <xdr:rowOff>152400</xdr:rowOff>
    </xdr:to>
    <xdr:sp macro="" textlink="">
      <xdr:nvSpPr>
        <xdr:cNvPr id="140" name="Shape 3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902</xdr:row>
      <xdr:rowOff>0</xdr:rowOff>
    </xdr:from>
    <xdr:to>
      <xdr:col>0</xdr:col>
      <xdr:colOff>304800</xdr:colOff>
      <xdr:row>903</xdr:row>
      <xdr:rowOff>152400</xdr:rowOff>
    </xdr:to>
    <xdr:sp macro="" textlink="">
      <xdr:nvSpPr>
        <xdr:cNvPr id="141" name="Shape 3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908</xdr:row>
      <xdr:rowOff>0</xdr:rowOff>
    </xdr:from>
    <xdr:to>
      <xdr:col>0</xdr:col>
      <xdr:colOff>304800</xdr:colOff>
      <xdr:row>909</xdr:row>
      <xdr:rowOff>152400</xdr:rowOff>
    </xdr:to>
    <xdr:sp macro="" textlink="">
      <xdr:nvSpPr>
        <xdr:cNvPr id="142" name="Shape 3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914</xdr:row>
      <xdr:rowOff>0</xdr:rowOff>
    </xdr:from>
    <xdr:to>
      <xdr:col>0</xdr:col>
      <xdr:colOff>304800</xdr:colOff>
      <xdr:row>915</xdr:row>
      <xdr:rowOff>152400</xdr:rowOff>
    </xdr:to>
    <xdr:sp macro="" textlink="">
      <xdr:nvSpPr>
        <xdr:cNvPr id="143" name="Shape 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920</xdr:row>
      <xdr:rowOff>0</xdr:rowOff>
    </xdr:from>
    <xdr:to>
      <xdr:col>0</xdr:col>
      <xdr:colOff>304800</xdr:colOff>
      <xdr:row>921</xdr:row>
      <xdr:rowOff>152400</xdr:rowOff>
    </xdr:to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927</xdr:row>
      <xdr:rowOff>0</xdr:rowOff>
    </xdr:from>
    <xdr:to>
      <xdr:col>0</xdr:col>
      <xdr:colOff>304800</xdr:colOff>
      <xdr:row>928</xdr:row>
      <xdr:rowOff>152400</xdr:rowOff>
    </xdr:to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933</xdr:row>
      <xdr:rowOff>0</xdr:rowOff>
    </xdr:from>
    <xdr:to>
      <xdr:col>0</xdr:col>
      <xdr:colOff>304800</xdr:colOff>
      <xdr:row>934</xdr:row>
      <xdr:rowOff>152400</xdr:rowOff>
    </xdr:to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939</xdr:row>
      <xdr:rowOff>0</xdr:rowOff>
    </xdr:from>
    <xdr:to>
      <xdr:col>0</xdr:col>
      <xdr:colOff>304800</xdr:colOff>
      <xdr:row>940</xdr:row>
      <xdr:rowOff>152400</xdr:rowOff>
    </xdr:to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945</xdr:row>
      <xdr:rowOff>0</xdr:rowOff>
    </xdr:from>
    <xdr:to>
      <xdr:col>0</xdr:col>
      <xdr:colOff>304800</xdr:colOff>
      <xdr:row>946</xdr:row>
      <xdr:rowOff>152400</xdr:rowOff>
    </xdr:to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951</xdr:row>
      <xdr:rowOff>0</xdr:rowOff>
    </xdr:from>
    <xdr:to>
      <xdr:col>0</xdr:col>
      <xdr:colOff>304800</xdr:colOff>
      <xdr:row>952</xdr:row>
      <xdr:rowOff>152400</xdr:rowOff>
    </xdr:to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958</xdr:row>
      <xdr:rowOff>0</xdr:rowOff>
    </xdr:from>
    <xdr:to>
      <xdr:col>0</xdr:col>
      <xdr:colOff>304800</xdr:colOff>
      <xdr:row>959</xdr:row>
      <xdr:rowOff>152400</xdr:rowOff>
    </xdr:to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964</xdr:row>
      <xdr:rowOff>0</xdr:rowOff>
    </xdr:from>
    <xdr:to>
      <xdr:col>0</xdr:col>
      <xdr:colOff>304800</xdr:colOff>
      <xdr:row>965</xdr:row>
      <xdr:rowOff>152400</xdr:rowOff>
    </xdr:to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970</xdr:row>
      <xdr:rowOff>0</xdr:rowOff>
    </xdr:from>
    <xdr:to>
      <xdr:col>0</xdr:col>
      <xdr:colOff>304800</xdr:colOff>
      <xdr:row>971</xdr:row>
      <xdr:rowOff>152400</xdr:rowOff>
    </xdr:to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976</xdr:row>
      <xdr:rowOff>0</xdr:rowOff>
    </xdr:from>
    <xdr:to>
      <xdr:col>0</xdr:col>
      <xdr:colOff>304800</xdr:colOff>
      <xdr:row>977</xdr:row>
      <xdr:rowOff>152400</xdr:rowOff>
    </xdr:to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982</xdr:row>
      <xdr:rowOff>0</xdr:rowOff>
    </xdr:from>
    <xdr:to>
      <xdr:col>0</xdr:col>
      <xdr:colOff>304800</xdr:colOff>
      <xdr:row>983</xdr:row>
      <xdr:rowOff>152400</xdr:rowOff>
    </xdr:to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988</xdr:row>
      <xdr:rowOff>0</xdr:rowOff>
    </xdr:from>
    <xdr:to>
      <xdr:col>0</xdr:col>
      <xdr:colOff>304800</xdr:colOff>
      <xdr:row>989</xdr:row>
      <xdr:rowOff>152400</xdr:rowOff>
    </xdr:to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994</xdr:row>
      <xdr:rowOff>0</xdr:rowOff>
    </xdr:from>
    <xdr:to>
      <xdr:col>0</xdr:col>
      <xdr:colOff>304800</xdr:colOff>
      <xdr:row>995</xdr:row>
      <xdr:rowOff>152400</xdr:rowOff>
    </xdr:to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1000</xdr:row>
      <xdr:rowOff>0</xdr:rowOff>
    </xdr:from>
    <xdr:to>
      <xdr:col>0</xdr:col>
      <xdr:colOff>304800</xdr:colOff>
      <xdr:row>1001</xdr:row>
      <xdr:rowOff>152400</xdr:rowOff>
    </xdr:to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1006</xdr:row>
      <xdr:rowOff>0</xdr:rowOff>
    </xdr:from>
    <xdr:to>
      <xdr:col>0</xdr:col>
      <xdr:colOff>304800</xdr:colOff>
      <xdr:row>1007</xdr:row>
      <xdr:rowOff>152400</xdr:rowOff>
    </xdr:to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1012</xdr:row>
      <xdr:rowOff>0</xdr:rowOff>
    </xdr:from>
    <xdr:to>
      <xdr:col>0</xdr:col>
      <xdr:colOff>304800</xdr:colOff>
      <xdr:row>1013</xdr:row>
      <xdr:rowOff>152400</xdr:rowOff>
    </xdr:to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1018</xdr:row>
      <xdr:rowOff>0</xdr:rowOff>
    </xdr:from>
    <xdr:to>
      <xdr:col>0</xdr:col>
      <xdr:colOff>304800</xdr:colOff>
      <xdr:row>1019</xdr:row>
      <xdr:rowOff>152400</xdr:rowOff>
    </xdr:to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1025</xdr:row>
      <xdr:rowOff>0</xdr:rowOff>
    </xdr:from>
    <xdr:to>
      <xdr:col>0</xdr:col>
      <xdr:colOff>304800</xdr:colOff>
      <xdr:row>1026</xdr:row>
      <xdr:rowOff>152400</xdr:rowOff>
    </xdr:to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1031</xdr:row>
      <xdr:rowOff>0</xdr:rowOff>
    </xdr:from>
    <xdr:to>
      <xdr:col>0</xdr:col>
      <xdr:colOff>304800</xdr:colOff>
      <xdr:row>1032</xdr:row>
      <xdr:rowOff>152400</xdr:rowOff>
    </xdr:to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1038</xdr:row>
      <xdr:rowOff>0</xdr:rowOff>
    </xdr:from>
    <xdr:to>
      <xdr:col>0</xdr:col>
      <xdr:colOff>304800</xdr:colOff>
      <xdr:row>1039</xdr:row>
      <xdr:rowOff>152400</xdr:rowOff>
    </xdr:to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1045</xdr:row>
      <xdr:rowOff>0</xdr:rowOff>
    </xdr:from>
    <xdr:to>
      <xdr:col>0</xdr:col>
      <xdr:colOff>304800</xdr:colOff>
      <xdr:row>1046</xdr:row>
      <xdr:rowOff>152400</xdr:rowOff>
    </xdr:to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1051</xdr:row>
      <xdr:rowOff>0</xdr:rowOff>
    </xdr:from>
    <xdr:to>
      <xdr:col>0</xdr:col>
      <xdr:colOff>304800</xdr:colOff>
      <xdr:row>1052</xdr:row>
      <xdr:rowOff>152400</xdr:rowOff>
    </xdr:to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1057</xdr:row>
      <xdr:rowOff>0</xdr:rowOff>
    </xdr:from>
    <xdr:to>
      <xdr:col>0</xdr:col>
      <xdr:colOff>304800</xdr:colOff>
      <xdr:row>1058</xdr:row>
      <xdr:rowOff>152400</xdr:rowOff>
    </xdr:to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1063</xdr:row>
      <xdr:rowOff>0</xdr:rowOff>
    </xdr:from>
    <xdr:to>
      <xdr:col>0</xdr:col>
      <xdr:colOff>304800</xdr:colOff>
      <xdr:row>1064</xdr:row>
      <xdr:rowOff>152400</xdr:rowOff>
    </xdr:to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1069</xdr:row>
      <xdr:rowOff>0</xdr:rowOff>
    </xdr:from>
    <xdr:to>
      <xdr:col>0</xdr:col>
      <xdr:colOff>304800</xdr:colOff>
      <xdr:row>1070</xdr:row>
      <xdr:rowOff>152400</xdr:rowOff>
    </xdr:to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1075</xdr:row>
      <xdr:rowOff>0</xdr:rowOff>
    </xdr:from>
    <xdr:to>
      <xdr:col>0</xdr:col>
      <xdr:colOff>304800</xdr:colOff>
      <xdr:row>1076</xdr:row>
      <xdr:rowOff>152400</xdr:rowOff>
    </xdr:to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1082</xdr:row>
      <xdr:rowOff>0</xdr:rowOff>
    </xdr:from>
    <xdr:to>
      <xdr:col>0</xdr:col>
      <xdr:colOff>304800</xdr:colOff>
      <xdr:row>1083</xdr:row>
      <xdr:rowOff>152400</xdr:rowOff>
    </xdr:to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1088</xdr:row>
      <xdr:rowOff>0</xdr:rowOff>
    </xdr:from>
    <xdr:to>
      <xdr:col>0</xdr:col>
      <xdr:colOff>304800</xdr:colOff>
      <xdr:row>1089</xdr:row>
      <xdr:rowOff>152400</xdr:rowOff>
    </xdr:to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1094</xdr:row>
      <xdr:rowOff>0</xdr:rowOff>
    </xdr:from>
    <xdr:to>
      <xdr:col>0</xdr:col>
      <xdr:colOff>304800</xdr:colOff>
      <xdr:row>1095</xdr:row>
      <xdr:rowOff>152400</xdr:rowOff>
    </xdr:to>
    <xdr:sp macro="" textlink="">
      <xdr:nvSpPr>
        <xdr:cNvPr id="172" name="Shape 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1100</xdr:row>
      <xdr:rowOff>0</xdr:rowOff>
    </xdr:from>
    <xdr:to>
      <xdr:col>0</xdr:col>
      <xdr:colOff>304800</xdr:colOff>
      <xdr:row>1101</xdr:row>
      <xdr:rowOff>152400</xdr:rowOff>
    </xdr:to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1106</xdr:row>
      <xdr:rowOff>0</xdr:rowOff>
    </xdr:from>
    <xdr:to>
      <xdr:col>0</xdr:col>
      <xdr:colOff>304800</xdr:colOff>
      <xdr:row>1107</xdr:row>
      <xdr:rowOff>152400</xdr:rowOff>
    </xdr:to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1112</xdr:row>
      <xdr:rowOff>0</xdr:rowOff>
    </xdr:from>
    <xdr:to>
      <xdr:col>0</xdr:col>
      <xdr:colOff>304800</xdr:colOff>
      <xdr:row>1113</xdr:row>
      <xdr:rowOff>152400</xdr:rowOff>
    </xdr:to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1118</xdr:row>
      <xdr:rowOff>0</xdr:rowOff>
    </xdr:from>
    <xdr:to>
      <xdr:col>0</xdr:col>
      <xdr:colOff>304800</xdr:colOff>
      <xdr:row>1119</xdr:row>
      <xdr:rowOff>152400</xdr:rowOff>
    </xdr:to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1124</xdr:row>
      <xdr:rowOff>0</xdr:rowOff>
    </xdr:from>
    <xdr:to>
      <xdr:col>0</xdr:col>
      <xdr:colOff>304800</xdr:colOff>
      <xdr:row>1125</xdr:row>
      <xdr:rowOff>152400</xdr:rowOff>
    </xdr:to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1131</xdr:row>
      <xdr:rowOff>0</xdr:rowOff>
    </xdr:from>
    <xdr:to>
      <xdr:col>0</xdr:col>
      <xdr:colOff>304800</xdr:colOff>
      <xdr:row>1132</xdr:row>
      <xdr:rowOff>152400</xdr:rowOff>
    </xdr:to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1137</xdr:row>
      <xdr:rowOff>0</xdr:rowOff>
    </xdr:from>
    <xdr:to>
      <xdr:col>0</xdr:col>
      <xdr:colOff>304800</xdr:colOff>
      <xdr:row>1138</xdr:row>
      <xdr:rowOff>152400</xdr:rowOff>
    </xdr:to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1143</xdr:row>
      <xdr:rowOff>0</xdr:rowOff>
    </xdr:from>
    <xdr:to>
      <xdr:col>0</xdr:col>
      <xdr:colOff>304800</xdr:colOff>
      <xdr:row>1144</xdr:row>
      <xdr:rowOff>152400</xdr:rowOff>
    </xdr:to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1150</xdr:row>
      <xdr:rowOff>0</xdr:rowOff>
    </xdr:from>
    <xdr:to>
      <xdr:col>0</xdr:col>
      <xdr:colOff>304800</xdr:colOff>
      <xdr:row>1151</xdr:row>
      <xdr:rowOff>152400</xdr:rowOff>
    </xdr:to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1156</xdr:row>
      <xdr:rowOff>0</xdr:rowOff>
    </xdr:from>
    <xdr:to>
      <xdr:col>0</xdr:col>
      <xdr:colOff>304800</xdr:colOff>
      <xdr:row>1157</xdr:row>
      <xdr:rowOff>152400</xdr:rowOff>
    </xdr:to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1162</xdr:row>
      <xdr:rowOff>0</xdr:rowOff>
    </xdr:from>
    <xdr:to>
      <xdr:col>0</xdr:col>
      <xdr:colOff>304800</xdr:colOff>
      <xdr:row>1163</xdr:row>
      <xdr:rowOff>152400</xdr:rowOff>
    </xdr:to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1168</xdr:row>
      <xdr:rowOff>0</xdr:rowOff>
    </xdr:from>
    <xdr:to>
      <xdr:col>0</xdr:col>
      <xdr:colOff>304800</xdr:colOff>
      <xdr:row>1169</xdr:row>
      <xdr:rowOff>152400</xdr:rowOff>
    </xdr:to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1174</xdr:row>
      <xdr:rowOff>0</xdr:rowOff>
    </xdr:from>
    <xdr:to>
      <xdr:col>0</xdr:col>
      <xdr:colOff>304800</xdr:colOff>
      <xdr:row>1175</xdr:row>
      <xdr:rowOff>152400</xdr:rowOff>
    </xdr:to>
    <xdr:sp macro="" textlink="">
      <xdr:nvSpPr>
        <xdr:cNvPr id="185" name="Shape 3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1180</xdr:row>
      <xdr:rowOff>0</xdr:rowOff>
    </xdr:from>
    <xdr:to>
      <xdr:col>0</xdr:col>
      <xdr:colOff>304800</xdr:colOff>
      <xdr:row>1181</xdr:row>
      <xdr:rowOff>152400</xdr:rowOff>
    </xdr:to>
    <xdr:sp macro="" textlink="">
      <xdr:nvSpPr>
        <xdr:cNvPr id="186" name="Shape 3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1186</xdr:row>
      <xdr:rowOff>0</xdr:rowOff>
    </xdr:from>
    <xdr:to>
      <xdr:col>0</xdr:col>
      <xdr:colOff>304800</xdr:colOff>
      <xdr:row>1187</xdr:row>
      <xdr:rowOff>152400</xdr:rowOff>
    </xdr:to>
    <xdr:sp macro="" textlink="">
      <xdr:nvSpPr>
        <xdr:cNvPr id="187" name="Shape 3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1192</xdr:row>
      <xdr:rowOff>0</xdr:rowOff>
    </xdr:from>
    <xdr:to>
      <xdr:col>0</xdr:col>
      <xdr:colOff>304800</xdr:colOff>
      <xdr:row>1193</xdr:row>
      <xdr:rowOff>152400</xdr:rowOff>
    </xdr:to>
    <xdr:sp macro="" textlink="">
      <xdr:nvSpPr>
        <xdr:cNvPr id="188" name="Shape 3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1199</xdr:row>
      <xdr:rowOff>0</xdr:rowOff>
    </xdr:from>
    <xdr:to>
      <xdr:col>0</xdr:col>
      <xdr:colOff>304800</xdr:colOff>
      <xdr:row>1200</xdr:row>
      <xdr:rowOff>152400</xdr:rowOff>
    </xdr:to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1205</xdr:row>
      <xdr:rowOff>0</xdr:rowOff>
    </xdr:from>
    <xdr:to>
      <xdr:col>0</xdr:col>
      <xdr:colOff>304800</xdr:colOff>
      <xdr:row>1206</xdr:row>
      <xdr:rowOff>152400</xdr:rowOff>
    </xdr:to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1211</xdr:row>
      <xdr:rowOff>0</xdr:rowOff>
    </xdr:from>
    <xdr:to>
      <xdr:col>0</xdr:col>
      <xdr:colOff>304800</xdr:colOff>
      <xdr:row>1212</xdr:row>
      <xdr:rowOff>152400</xdr:rowOff>
    </xdr:to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1217</xdr:row>
      <xdr:rowOff>0</xdr:rowOff>
    </xdr:from>
    <xdr:to>
      <xdr:col>0</xdr:col>
      <xdr:colOff>304800</xdr:colOff>
      <xdr:row>1218</xdr:row>
      <xdr:rowOff>152400</xdr:rowOff>
    </xdr:to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1223</xdr:row>
      <xdr:rowOff>0</xdr:rowOff>
    </xdr:from>
    <xdr:to>
      <xdr:col>0</xdr:col>
      <xdr:colOff>304800</xdr:colOff>
      <xdr:row>1224</xdr:row>
      <xdr:rowOff>152400</xdr:rowOff>
    </xdr:to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1230</xdr:row>
      <xdr:rowOff>0</xdr:rowOff>
    </xdr:from>
    <xdr:to>
      <xdr:col>0</xdr:col>
      <xdr:colOff>304800</xdr:colOff>
      <xdr:row>1231</xdr:row>
      <xdr:rowOff>152400</xdr:rowOff>
    </xdr:to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1236</xdr:row>
      <xdr:rowOff>0</xdr:rowOff>
    </xdr:from>
    <xdr:to>
      <xdr:col>0</xdr:col>
      <xdr:colOff>304800</xdr:colOff>
      <xdr:row>1237</xdr:row>
      <xdr:rowOff>152400</xdr:rowOff>
    </xdr:to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1242</xdr:row>
      <xdr:rowOff>0</xdr:rowOff>
    </xdr:from>
    <xdr:to>
      <xdr:col>0</xdr:col>
      <xdr:colOff>304800</xdr:colOff>
      <xdr:row>1243</xdr:row>
      <xdr:rowOff>152400</xdr:rowOff>
    </xdr:to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1249</xdr:row>
      <xdr:rowOff>0</xdr:rowOff>
    </xdr:from>
    <xdr:to>
      <xdr:col>0</xdr:col>
      <xdr:colOff>304800</xdr:colOff>
      <xdr:row>1250</xdr:row>
      <xdr:rowOff>152400</xdr:rowOff>
    </xdr:to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1255</xdr:row>
      <xdr:rowOff>0</xdr:rowOff>
    </xdr:from>
    <xdr:to>
      <xdr:col>0</xdr:col>
      <xdr:colOff>304800</xdr:colOff>
      <xdr:row>1256</xdr:row>
      <xdr:rowOff>152400</xdr:rowOff>
    </xdr:to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1261</xdr:row>
      <xdr:rowOff>0</xdr:rowOff>
    </xdr:from>
    <xdr:to>
      <xdr:col>0</xdr:col>
      <xdr:colOff>304800</xdr:colOff>
      <xdr:row>1262</xdr:row>
      <xdr:rowOff>152400</xdr:rowOff>
    </xdr:to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1268</xdr:row>
      <xdr:rowOff>0</xdr:rowOff>
    </xdr:from>
    <xdr:to>
      <xdr:col>0</xdr:col>
      <xdr:colOff>304800</xdr:colOff>
      <xdr:row>1269</xdr:row>
      <xdr:rowOff>152400</xdr:rowOff>
    </xdr:to>
    <xdr:sp macro="" textlink="">
      <xdr:nvSpPr>
        <xdr:cNvPr id="200" name="Shape 3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1274</xdr:row>
      <xdr:rowOff>0</xdr:rowOff>
    </xdr:from>
    <xdr:to>
      <xdr:col>0</xdr:col>
      <xdr:colOff>304800</xdr:colOff>
      <xdr:row>1275</xdr:row>
      <xdr:rowOff>152400</xdr:rowOff>
    </xdr:to>
    <xdr:sp macro="" textlink="">
      <xdr:nvSpPr>
        <xdr:cNvPr id="201" name="Shape 3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1280</xdr:row>
      <xdr:rowOff>0</xdr:rowOff>
    </xdr:from>
    <xdr:to>
      <xdr:col>0</xdr:col>
      <xdr:colOff>304800</xdr:colOff>
      <xdr:row>1281</xdr:row>
      <xdr:rowOff>152400</xdr:rowOff>
    </xdr:to>
    <xdr:sp macro="" textlink="">
      <xdr:nvSpPr>
        <xdr:cNvPr id="202" name="Shape 3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1286</xdr:row>
      <xdr:rowOff>0</xdr:rowOff>
    </xdr:from>
    <xdr:to>
      <xdr:col>0</xdr:col>
      <xdr:colOff>304800</xdr:colOff>
      <xdr:row>1287</xdr:row>
      <xdr:rowOff>152400</xdr:rowOff>
    </xdr:to>
    <xdr:sp macro="" textlink="">
      <xdr:nvSpPr>
        <xdr:cNvPr id="203" name="Shape 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1293</xdr:row>
      <xdr:rowOff>0</xdr:rowOff>
    </xdr:from>
    <xdr:to>
      <xdr:col>0</xdr:col>
      <xdr:colOff>304800</xdr:colOff>
      <xdr:row>1294</xdr:row>
      <xdr:rowOff>152400</xdr:rowOff>
    </xdr:to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1300</xdr:row>
      <xdr:rowOff>0</xdr:rowOff>
    </xdr:from>
    <xdr:to>
      <xdr:col>0</xdr:col>
      <xdr:colOff>304800</xdr:colOff>
      <xdr:row>1301</xdr:row>
      <xdr:rowOff>152400</xdr:rowOff>
    </xdr:to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1307</xdr:row>
      <xdr:rowOff>0</xdr:rowOff>
    </xdr:from>
    <xdr:to>
      <xdr:col>0</xdr:col>
      <xdr:colOff>304800</xdr:colOff>
      <xdr:row>1308</xdr:row>
      <xdr:rowOff>152400</xdr:rowOff>
    </xdr:to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1313</xdr:row>
      <xdr:rowOff>0</xdr:rowOff>
    </xdr:from>
    <xdr:to>
      <xdr:col>0</xdr:col>
      <xdr:colOff>304800</xdr:colOff>
      <xdr:row>1314</xdr:row>
      <xdr:rowOff>152400</xdr:rowOff>
    </xdr:to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1320</xdr:row>
      <xdr:rowOff>0</xdr:rowOff>
    </xdr:from>
    <xdr:to>
      <xdr:col>0</xdr:col>
      <xdr:colOff>304800</xdr:colOff>
      <xdr:row>1321</xdr:row>
      <xdr:rowOff>152400</xdr:rowOff>
    </xdr:to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1327</xdr:row>
      <xdr:rowOff>0</xdr:rowOff>
    </xdr:from>
    <xdr:to>
      <xdr:col>0</xdr:col>
      <xdr:colOff>304800</xdr:colOff>
      <xdr:row>1328</xdr:row>
      <xdr:rowOff>152400</xdr:rowOff>
    </xdr:to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1333</xdr:row>
      <xdr:rowOff>0</xdr:rowOff>
    </xdr:from>
    <xdr:to>
      <xdr:col>0</xdr:col>
      <xdr:colOff>304800</xdr:colOff>
      <xdr:row>1334</xdr:row>
      <xdr:rowOff>152400</xdr:rowOff>
    </xdr:to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1339</xdr:row>
      <xdr:rowOff>0</xdr:rowOff>
    </xdr:from>
    <xdr:to>
      <xdr:col>0</xdr:col>
      <xdr:colOff>304800</xdr:colOff>
      <xdr:row>1340</xdr:row>
      <xdr:rowOff>152400</xdr:rowOff>
    </xdr:to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1345</xdr:row>
      <xdr:rowOff>0</xdr:rowOff>
    </xdr:from>
    <xdr:to>
      <xdr:col>0</xdr:col>
      <xdr:colOff>304800</xdr:colOff>
      <xdr:row>1346</xdr:row>
      <xdr:rowOff>152400</xdr:rowOff>
    </xdr:to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1351</xdr:row>
      <xdr:rowOff>0</xdr:rowOff>
    </xdr:from>
    <xdr:to>
      <xdr:col>0</xdr:col>
      <xdr:colOff>304800</xdr:colOff>
      <xdr:row>1352</xdr:row>
      <xdr:rowOff>152400</xdr:rowOff>
    </xdr:to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1358</xdr:row>
      <xdr:rowOff>0</xdr:rowOff>
    </xdr:from>
    <xdr:to>
      <xdr:col>0</xdr:col>
      <xdr:colOff>304800</xdr:colOff>
      <xdr:row>1359</xdr:row>
      <xdr:rowOff>152400</xdr:rowOff>
    </xdr:to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1364</xdr:row>
      <xdr:rowOff>0</xdr:rowOff>
    </xdr:from>
    <xdr:to>
      <xdr:col>0</xdr:col>
      <xdr:colOff>304800</xdr:colOff>
      <xdr:row>1365</xdr:row>
      <xdr:rowOff>152400</xdr:rowOff>
    </xdr:to>
    <xdr:sp macro="" textlink="">
      <xdr:nvSpPr>
        <xdr:cNvPr id="215" name="Shape 3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1371</xdr:row>
      <xdr:rowOff>0</xdr:rowOff>
    </xdr:from>
    <xdr:to>
      <xdr:col>0</xdr:col>
      <xdr:colOff>304800</xdr:colOff>
      <xdr:row>1372</xdr:row>
      <xdr:rowOff>152400</xdr:rowOff>
    </xdr:to>
    <xdr:sp macro="" textlink="">
      <xdr:nvSpPr>
        <xdr:cNvPr id="216" name="Shape 3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1378</xdr:row>
      <xdr:rowOff>0</xdr:rowOff>
    </xdr:from>
    <xdr:to>
      <xdr:col>0</xdr:col>
      <xdr:colOff>304800</xdr:colOff>
      <xdr:row>1379</xdr:row>
      <xdr:rowOff>152400</xdr:rowOff>
    </xdr:to>
    <xdr:sp macro="" textlink="">
      <xdr:nvSpPr>
        <xdr:cNvPr id="217" name="Shape 3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1385</xdr:row>
      <xdr:rowOff>0</xdr:rowOff>
    </xdr:from>
    <xdr:to>
      <xdr:col>0</xdr:col>
      <xdr:colOff>304800</xdr:colOff>
      <xdr:row>1386</xdr:row>
      <xdr:rowOff>152400</xdr:rowOff>
    </xdr:to>
    <xdr:sp macro="" textlink="">
      <xdr:nvSpPr>
        <xdr:cNvPr id="218" name="Shape 3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1392</xdr:row>
      <xdr:rowOff>0</xdr:rowOff>
    </xdr:from>
    <xdr:to>
      <xdr:col>0</xdr:col>
      <xdr:colOff>304800</xdr:colOff>
      <xdr:row>1393</xdr:row>
      <xdr:rowOff>152400</xdr:rowOff>
    </xdr:to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1398</xdr:row>
      <xdr:rowOff>0</xdr:rowOff>
    </xdr:from>
    <xdr:to>
      <xdr:col>0</xdr:col>
      <xdr:colOff>304800</xdr:colOff>
      <xdr:row>1399</xdr:row>
      <xdr:rowOff>152400</xdr:rowOff>
    </xdr:to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1404</xdr:row>
      <xdr:rowOff>0</xdr:rowOff>
    </xdr:from>
    <xdr:to>
      <xdr:col>0</xdr:col>
      <xdr:colOff>304800</xdr:colOff>
      <xdr:row>1405</xdr:row>
      <xdr:rowOff>152400</xdr:rowOff>
    </xdr:to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1410</xdr:row>
      <xdr:rowOff>0</xdr:rowOff>
    </xdr:from>
    <xdr:to>
      <xdr:col>0</xdr:col>
      <xdr:colOff>304800</xdr:colOff>
      <xdr:row>1411</xdr:row>
      <xdr:rowOff>152400</xdr:rowOff>
    </xdr:to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1416</xdr:row>
      <xdr:rowOff>0</xdr:rowOff>
    </xdr:from>
    <xdr:to>
      <xdr:col>0</xdr:col>
      <xdr:colOff>304800</xdr:colOff>
      <xdr:row>1417</xdr:row>
      <xdr:rowOff>152400</xdr:rowOff>
    </xdr:to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1422</xdr:row>
      <xdr:rowOff>0</xdr:rowOff>
    </xdr:from>
    <xdr:to>
      <xdr:col>0</xdr:col>
      <xdr:colOff>304800</xdr:colOff>
      <xdr:row>1423</xdr:row>
      <xdr:rowOff>152400</xdr:rowOff>
    </xdr:to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1428</xdr:row>
      <xdr:rowOff>0</xdr:rowOff>
    </xdr:from>
    <xdr:to>
      <xdr:col>0</xdr:col>
      <xdr:colOff>304800</xdr:colOff>
      <xdr:row>1429</xdr:row>
      <xdr:rowOff>152400</xdr:rowOff>
    </xdr:to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1434</xdr:row>
      <xdr:rowOff>0</xdr:rowOff>
    </xdr:from>
    <xdr:to>
      <xdr:col>0</xdr:col>
      <xdr:colOff>304800</xdr:colOff>
      <xdr:row>1435</xdr:row>
      <xdr:rowOff>152400</xdr:rowOff>
    </xdr:to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1440</xdr:row>
      <xdr:rowOff>0</xdr:rowOff>
    </xdr:from>
    <xdr:to>
      <xdr:col>0</xdr:col>
      <xdr:colOff>304800</xdr:colOff>
      <xdr:row>1441</xdr:row>
      <xdr:rowOff>152400</xdr:rowOff>
    </xdr:to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1446</xdr:row>
      <xdr:rowOff>0</xdr:rowOff>
    </xdr:from>
    <xdr:to>
      <xdr:col>0</xdr:col>
      <xdr:colOff>304800</xdr:colOff>
      <xdr:row>1447</xdr:row>
      <xdr:rowOff>152400</xdr:rowOff>
    </xdr:to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1452</xdr:row>
      <xdr:rowOff>0</xdr:rowOff>
    </xdr:from>
    <xdr:to>
      <xdr:col>0</xdr:col>
      <xdr:colOff>304800</xdr:colOff>
      <xdr:row>1453</xdr:row>
      <xdr:rowOff>152400</xdr:rowOff>
    </xdr:to>
    <xdr:sp macro="" textlink="">
      <xdr:nvSpPr>
        <xdr:cNvPr id="229" name="Shape 3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1459</xdr:row>
      <xdr:rowOff>0</xdr:rowOff>
    </xdr:from>
    <xdr:to>
      <xdr:col>0</xdr:col>
      <xdr:colOff>304800</xdr:colOff>
      <xdr:row>1460</xdr:row>
      <xdr:rowOff>152400</xdr:rowOff>
    </xdr:to>
    <xdr:sp macro="" textlink="">
      <xdr:nvSpPr>
        <xdr:cNvPr id="230" name="Shape 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1465</xdr:row>
      <xdr:rowOff>0</xdr:rowOff>
    </xdr:from>
    <xdr:to>
      <xdr:col>0</xdr:col>
      <xdr:colOff>304800</xdr:colOff>
      <xdr:row>1466</xdr:row>
      <xdr:rowOff>152400</xdr:rowOff>
    </xdr:to>
    <xdr:sp macro="" textlink="">
      <xdr:nvSpPr>
        <xdr:cNvPr id="231" name="Shape 3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1471</xdr:row>
      <xdr:rowOff>0</xdr:rowOff>
    </xdr:from>
    <xdr:to>
      <xdr:col>0</xdr:col>
      <xdr:colOff>304800</xdr:colOff>
      <xdr:row>1472</xdr:row>
      <xdr:rowOff>152400</xdr:rowOff>
    </xdr:to>
    <xdr:sp macro="" textlink="">
      <xdr:nvSpPr>
        <xdr:cNvPr id="232" name="Shape 3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1478</xdr:row>
      <xdr:rowOff>0</xdr:rowOff>
    </xdr:from>
    <xdr:to>
      <xdr:col>0</xdr:col>
      <xdr:colOff>304800</xdr:colOff>
      <xdr:row>1479</xdr:row>
      <xdr:rowOff>152400</xdr:rowOff>
    </xdr:to>
    <xdr:sp macro="" textlink="">
      <xdr:nvSpPr>
        <xdr:cNvPr id="233" name="Shape 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1484</xdr:row>
      <xdr:rowOff>0</xdr:rowOff>
    </xdr:from>
    <xdr:to>
      <xdr:col>0</xdr:col>
      <xdr:colOff>304800</xdr:colOff>
      <xdr:row>1485</xdr:row>
      <xdr:rowOff>152400</xdr:rowOff>
    </xdr:to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1490</xdr:row>
      <xdr:rowOff>0</xdr:rowOff>
    </xdr:from>
    <xdr:to>
      <xdr:col>0</xdr:col>
      <xdr:colOff>304800</xdr:colOff>
      <xdr:row>1491</xdr:row>
      <xdr:rowOff>152400</xdr:rowOff>
    </xdr:to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1496</xdr:row>
      <xdr:rowOff>0</xdr:rowOff>
    </xdr:from>
    <xdr:to>
      <xdr:col>0</xdr:col>
      <xdr:colOff>304800</xdr:colOff>
      <xdr:row>1497</xdr:row>
      <xdr:rowOff>152400</xdr:rowOff>
    </xdr:to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1502</xdr:row>
      <xdr:rowOff>0</xdr:rowOff>
    </xdr:from>
    <xdr:to>
      <xdr:col>0</xdr:col>
      <xdr:colOff>304800</xdr:colOff>
      <xdr:row>1503</xdr:row>
      <xdr:rowOff>152400</xdr:rowOff>
    </xdr:to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1508</xdr:row>
      <xdr:rowOff>0</xdr:rowOff>
    </xdr:from>
    <xdr:to>
      <xdr:col>0</xdr:col>
      <xdr:colOff>304800</xdr:colOff>
      <xdr:row>1509</xdr:row>
      <xdr:rowOff>152400</xdr:rowOff>
    </xdr:to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1514</xdr:row>
      <xdr:rowOff>0</xdr:rowOff>
    </xdr:from>
    <xdr:to>
      <xdr:col>0</xdr:col>
      <xdr:colOff>304800</xdr:colOff>
      <xdr:row>1515</xdr:row>
      <xdr:rowOff>152400</xdr:rowOff>
    </xdr:to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1520</xdr:row>
      <xdr:rowOff>0</xdr:rowOff>
    </xdr:from>
    <xdr:to>
      <xdr:col>0</xdr:col>
      <xdr:colOff>304800</xdr:colOff>
      <xdr:row>1521</xdr:row>
      <xdr:rowOff>152400</xdr:rowOff>
    </xdr:to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1526</xdr:row>
      <xdr:rowOff>0</xdr:rowOff>
    </xdr:from>
    <xdr:to>
      <xdr:col>0</xdr:col>
      <xdr:colOff>304800</xdr:colOff>
      <xdr:row>1527</xdr:row>
      <xdr:rowOff>152400</xdr:rowOff>
    </xdr:to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1532</xdr:row>
      <xdr:rowOff>0</xdr:rowOff>
    </xdr:from>
    <xdr:to>
      <xdr:col>0</xdr:col>
      <xdr:colOff>304800</xdr:colOff>
      <xdr:row>1533</xdr:row>
      <xdr:rowOff>152400</xdr:rowOff>
    </xdr:to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1538</xdr:row>
      <xdr:rowOff>0</xdr:rowOff>
    </xdr:from>
    <xdr:to>
      <xdr:col>0</xdr:col>
      <xdr:colOff>304800</xdr:colOff>
      <xdr:row>1539</xdr:row>
      <xdr:rowOff>152400</xdr:rowOff>
    </xdr:to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1544</xdr:row>
      <xdr:rowOff>0</xdr:rowOff>
    </xdr:from>
    <xdr:to>
      <xdr:col>0</xdr:col>
      <xdr:colOff>304800</xdr:colOff>
      <xdr:row>1545</xdr:row>
      <xdr:rowOff>152400</xdr:rowOff>
    </xdr:to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1550</xdr:row>
      <xdr:rowOff>0</xdr:rowOff>
    </xdr:from>
    <xdr:to>
      <xdr:col>0</xdr:col>
      <xdr:colOff>304800</xdr:colOff>
      <xdr:row>1551</xdr:row>
      <xdr:rowOff>152400</xdr:rowOff>
    </xdr:to>
    <xdr:sp macro="" textlink="">
      <xdr:nvSpPr>
        <xdr:cNvPr id="245" name="Shape 3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1556</xdr:row>
      <xdr:rowOff>0</xdr:rowOff>
    </xdr:from>
    <xdr:to>
      <xdr:col>0</xdr:col>
      <xdr:colOff>304800</xdr:colOff>
      <xdr:row>1557</xdr:row>
      <xdr:rowOff>152400</xdr:rowOff>
    </xdr:to>
    <xdr:sp macro="" textlink="">
      <xdr:nvSpPr>
        <xdr:cNvPr id="246" name="Shape 3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1562</xdr:row>
      <xdr:rowOff>0</xdr:rowOff>
    </xdr:from>
    <xdr:to>
      <xdr:col>0</xdr:col>
      <xdr:colOff>304800</xdr:colOff>
      <xdr:row>1563</xdr:row>
      <xdr:rowOff>152400</xdr:rowOff>
    </xdr:to>
    <xdr:sp macro="" textlink="">
      <xdr:nvSpPr>
        <xdr:cNvPr id="247" name="Shape 3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1568</xdr:row>
      <xdr:rowOff>0</xdr:rowOff>
    </xdr:from>
    <xdr:to>
      <xdr:col>0</xdr:col>
      <xdr:colOff>304800</xdr:colOff>
      <xdr:row>1569</xdr:row>
      <xdr:rowOff>152400</xdr:rowOff>
    </xdr:to>
    <xdr:sp macro="" textlink="">
      <xdr:nvSpPr>
        <xdr:cNvPr id="248" name="Shape 3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1574</xdr:row>
      <xdr:rowOff>0</xdr:rowOff>
    </xdr:from>
    <xdr:to>
      <xdr:col>0</xdr:col>
      <xdr:colOff>304800</xdr:colOff>
      <xdr:row>1575</xdr:row>
      <xdr:rowOff>152400</xdr:rowOff>
    </xdr:to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1580</xdr:row>
      <xdr:rowOff>0</xdr:rowOff>
    </xdr:from>
    <xdr:to>
      <xdr:col>0</xdr:col>
      <xdr:colOff>304800</xdr:colOff>
      <xdr:row>1581</xdr:row>
      <xdr:rowOff>152400</xdr:rowOff>
    </xdr:to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1586</xdr:row>
      <xdr:rowOff>0</xdr:rowOff>
    </xdr:from>
    <xdr:to>
      <xdr:col>0</xdr:col>
      <xdr:colOff>304800</xdr:colOff>
      <xdr:row>1587</xdr:row>
      <xdr:rowOff>152400</xdr:rowOff>
    </xdr:to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1592</xdr:row>
      <xdr:rowOff>0</xdr:rowOff>
    </xdr:from>
    <xdr:to>
      <xdr:col>0</xdr:col>
      <xdr:colOff>304800</xdr:colOff>
      <xdr:row>1593</xdr:row>
      <xdr:rowOff>152400</xdr:rowOff>
    </xdr:to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1598</xdr:row>
      <xdr:rowOff>0</xdr:rowOff>
    </xdr:from>
    <xdr:to>
      <xdr:col>0</xdr:col>
      <xdr:colOff>304800</xdr:colOff>
      <xdr:row>1599</xdr:row>
      <xdr:rowOff>152400</xdr:rowOff>
    </xdr:to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1604</xdr:row>
      <xdr:rowOff>0</xdr:rowOff>
    </xdr:from>
    <xdr:to>
      <xdr:col>0</xdr:col>
      <xdr:colOff>304800</xdr:colOff>
      <xdr:row>1605</xdr:row>
      <xdr:rowOff>152400</xdr:rowOff>
    </xdr:to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1610</xdr:row>
      <xdr:rowOff>0</xdr:rowOff>
    </xdr:from>
    <xdr:to>
      <xdr:col>0</xdr:col>
      <xdr:colOff>304800</xdr:colOff>
      <xdr:row>1611</xdr:row>
      <xdr:rowOff>152400</xdr:rowOff>
    </xdr:to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1616</xdr:row>
      <xdr:rowOff>0</xdr:rowOff>
    </xdr:from>
    <xdr:to>
      <xdr:col>0</xdr:col>
      <xdr:colOff>304800</xdr:colOff>
      <xdr:row>1617</xdr:row>
      <xdr:rowOff>152400</xdr:rowOff>
    </xdr:to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1622</xdr:row>
      <xdr:rowOff>0</xdr:rowOff>
    </xdr:from>
    <xdr:to>
      <xdr:col>0</xdr:col>
      <xdr:colOff>304800</xdr:colOff>
      <xdr:row>1623</xdr:row>
      <xdr:rowOff>152400</xdr:rowOff>
    </xdr:to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1628</xdr:row>
      <xdr:rowOff>0</xdr:rowOff>
    </xdr:from>
    <xdr:to>
      <xdr:col>0</xdr:col>
      <xdr:colOff>304800</xdr:colOff>
      <xdr:row>1629</xdr:row>
      <xdr:rowOff>152400</xdr:rowOff>
    </xdr:to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1634</xdr:row>
      <xdr:rowOff>0</xdr:rowOff>
    </xdr:from>
    <xdr:to>
      <xdr:col>0</xdr:col>
      <xdr:colOff>304800</xdr:colOff>
      <xdr:row>1635</xdr:row>
      <xdr:rowOff>152400</xdr:rowOff>
    </xdr:to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1641</xdr:row>
      <xdr:rowOff>0</xdr:rowOff>
    </xdr:from>
    <xdr:to>
      <xdr:col>0</xdr:col>
      <xdr:colOff>304800</xdr:colOff>
      <xdr:row>1642</xdr:row>
      <xdr:rowOff>152400</xdr:rowOff>
    </xdr:to>
    <xdr:sp macro="" textlink="">
      <xdr:nvSpPr>
        <xdr:cNvPr id="260" name="Shape 3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1647</xdr:row>
      <xdr:rowOff>0</xdr:rowOff>
    </xdr:from>
    <xdr:to>
      <xdr:col>0</xdr:col>
      <xdr:colOff>304800</xdr:colOff>
      <xdr:row>1648</xdr:row>
      <xdr:rowOff>152400</xdr:rowOff>
    </xdr:to>
    <xdr:sp macro="" textlink="">
      <xdr:nvSpPr>
        <xdr:cNvPr id="261" name="Shape 3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1653</xdr:row>
      <xdr:rowOff>0</xdr:rowOff>
    </xdr:from>
    <xdr:to>
      <xdr:col>0</xdr:col>
      <xdr:colOff>304800</xdr:colOff>
      <xdr:row>1654</xdr:row>
      <xdr:rowOff>152400</xdr:rowOff>
    </xdr:to>
    <xdr:sp macro="" textlink="">
      <xdr:nvSpPr>
        <xdr:cNvPr id="262" name="Shape 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1659</xdr:row>
      <xdr:rowOff>0</xdr:rowOff>
    </xdr:from>
    <xdr:to>
      <xdr:col>0</xdr:col>
      <xdr:colOff>304800</xdr:colOff>
      <xdr:row>1660</xdr:row>
      <xdr:rowOff>152400</xdr:rowOff>
    </xdr:to>
    <xdr:sp macro="" textlink="">
      <xdr:nvSpPr>
        <xdr:cNvPr id="263" name="Shape 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1665</xdr:row>
      <xdr:rowOff>0</xdr:rowOff>
    </xdr:from>
    <xdr:to>
      <xdr:col>0</xdr:col>
      <xdr:colOff>304800</xdr:colOff>
      <xdr:row>1666</xdr:row>
      <xdr:rowOff>152400</xdr:rowOff>
    </xdr:to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1671</xdr:row>
      <xdr:rowOff>0</xdr:rowOff>
    </xdr:from>
    <xdr:to>
      <xdr:col>0</xdr:col>
      <xdr:colOff>304800</xdr:colOff>
      <xdr:row>1672</xdr:row>
      <xdr:rowOff>152400</xdr:rowOff>
    </xdr:to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1677</xdr:row>
      <xdr:rowOff>0</xdr:rowOff>
    </xdr:from>
    <xdr:to>
      <xdr:col>0</xdr:col>
      <xdr:colOff>304800</xdr:colOff>
      <xdr:row>1678</xdr:row>
      <xdr:rowOff>152400</xdr:rowOff>
    </xdr:to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1684</xdr:row>
      <xdr:rowOff>0</xdr:rowOff>
    </xdr:from>
    <xdr:to>
      <xdr:col>0</xdr:col>
      <xdr:colOff>304800</xdr:colOff>
      <xdr:row>1685</xdr:row>
      <xdr:rowOff>152400</xdr:rowOff>
    </xdr:to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1691</xdr:row>
      <xdr:rowOff>0</xdr:rowOff>
    </xdr:from>
    <xdr:to>
      <xdr:col>0</xdr:col>
      <xdr:colOff>304800</xdr:colOff>
      <xdr:row>1692</xdr:row>
      <xdr:rowOff>152400</xdr:rowOff>
    </xdr:to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1698</xdr:row>
      <xdr:rowOff>0</xdr:rowOff>
    </xdr:from>
    <xdr:to>
      <xdr:col>0</xdr:col>
      <xdr:colOff>304800</xdr:colOff>
      <xdr:row>1699</xdr:row>
      <xdr:rowOff>152400</xdr:rowOff>
    </xdr:to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1704</xdr:row>
      <xdr:rowOff>0</xdr:rowOff>
    </xdr:from>
    <xdr:to>
      <xdr:col>0</xdr:col>
      <xdr:colOff>304800</xdr:colOff>
      <xdr:row>1705</xdr:row>
      <xdr:rowOff>152400</xdr:rowOff>
    </xdr:to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1710</xdr:row>
      <xdr:rowOff>0</xdr:rowOff>
    </xdr:from>
    <xdr:to>
      <xdr:col>0</xdr:col>
      <xdr:colOff>304800</xdr:colOff>
      <xdr:row>1711</xdr:row>
      <xdr:rowOff>152400</xdr:rowOff>
    </xdr:to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1716</xdr:row>
      <xdr:rowOff>0</xdr:rowOff>
    </xdr:from>
    <xdr:to>
      <xdr:col>0</xdr:col>
      <xdr:colOff>304800</xdr:colOff>
      <xdr:row>1717</xdr:row>
      <xdr:rowOff>152400</xdr:rowOff>
    </xdr:to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1723</xdr:row>
      <xdr:rowOff>0</xdr:rowOff>
    </xdr:from>
    <xdr:to>
      <xdr:col>0</xdr:col>
      <xdr:colOff>304800</xdr:colOff>
      <xdr:row>1724</xdr:row>
      <xdr:rowOff>152400</xdr:rowOff>
    </xdr:to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1729</xdr:row>
      <xdr:rowOff>0</xdr:rowOff>
    </xdr:from>
    <xdr:to>
      <xdr:col>0</xdr:col>
      <xdr:colOff>304800</xdr:colOff>
      <xdr:row>1730</xdr:row>
      <xdr:rowOff>152400</xdr:rowOff>
    </xdr:to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1735</xdr:row>
      <xdr:rowOff>0</xdr:rowOff>
    </xdr:from>
    <xdr:to>
      <xdr:col>0</xdr:col>
      <xdr:colOff>304800</xdr:colOff>
      <xdr:row>1736</xdr:row>
      <xdr:rowOff>152400</xdr:rowOff>
    </xdr:to>
    <xdr:sp macro="" textlink="">
      <xdr:nvSpPr>
        <xdr:cNvPr id="275" name="Shape 3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1741</xdr:row>
      <xdr:rowOff>0</xdr:rowOff>
    </xdr:from>
    <xdr:to>
      <xdr:col>0</xdr:col>
      <xdr:colOff>304800</xdr:colOff>
      <xdr:row>1742</xdr:row>
      <xdr:rowOff>152400</xdr:rowOff>
    </xdr:to>
    <xdr:sp macro="" textlink="">
      <xdr:nvSpPr>
        <xdr:cNvPr id="276" name="Shape 3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1747</xdr:row>
      <xdr:rowOff>0</xdr:rowOff>
    </xdr:from>
    <xdr:to>
      <xdr:col>0</xdr:col>
      <xdr:colOff>304800</xdr:colOff>
      <xdr:row>1748</xdr:row>
      <xdr:rowOff>152400</xdr:rowOff>
    </xdr:to>
    <xdr:sp macro="" textlink="">
      <xdr:nvSpPr>
        <xdr:cNvPr id="277" name="Shape 3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1753</xdr:row>
      <xdr:rowOff>0</xdr:rowOff>
    </xdr:from>
    <xdr:to>
      <xdr:col>0</xdr:col>
      <xdr:colOff>304800</xdr:colOff>
      <xdr:row>1754</xdr:row>
      <xdr:rowOff>152400</xdr:rowOff>
    </xdr:to>
    <xdr:sp macro="" textlink="">
      <xdr:nvSpPr>
        <xdr:cNvPr id="278" name="Shape 3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1759</xdr:row>
      <xdr:rowOff>0</xdr:rowOff>
    </xdr:from>
    <xdr:to>
      <xdr:col>0</xdr:col>
      <xdr:colOff>304800</xdr:colOff>
      <xdr:row>1760</xdr:row>
      <xdr:rowOff>152400</xdr:rowOff>
    </xdr:to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1765</xdr:row>
      <xdr:rowOff>0</xdr:rowOff>
    </xdr:from>
    <xdr:to>
      <xdr:col>0</xdr:col>
      <xdr:colOff>304800</xdr:colOff>
      <xdr:row>1766</xdr:row>
      <xdr:rowOff>152400</xdr:rowOff>
    </xdr:to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1771</xdr:row>
      <xdr:rowOff>0</xdr:rowOff>
    </xdr:from>
    <xdr:to>
      <xdr:col>0</xdr:col>
      <xdr:colOff>304800</xdr:colOff>
      <xdr:row>1772</xdr:row>
      <xdr:rowOff>152400</xdr:rowOff>
    </xdr:to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1777</xdr:row>
      <xdr:rowOff>0</xdr:rowOff>
    </xdr:from>
    <xdr:to>
      <xdr:col>0</xdr:col>
      <xdr:colOff>304800</xdr:colOff>
      <xdr:row>1778</xdr:row>
      <xdr:rowOff>152400</xdr:rowOff>
    </xdr:to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1783</xdr:row>
      <xdr:rowOff>0</xdr:rowOff>
    </xdr:from>
    <xdr:to>
      <xdr:col>0</xdr:col>
      <xdr:colOff>304800</xdr:colOff>
      <xdr:row>1784</xdr:row>
      <xdr:rowOff>152400</xdr:rowOff>
    </xdr:to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1789</xdr:row>
      <xdr:rowOff>0</xdr:rowOff>
    </xdr:from>
    <xdr:to>
      <xdr:col>0</xdr:col>
      <xdr:colOff>304800</xdr:colOff>
      <xdr:row>1790</xdr:row>
      <xdr:rowOff>152400</xdr:rowOff>
    </xdr:to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1795</xdr:row>
      <xdr:rowOff>0</xdr:rowOff>
    </xdr:from>
    <xdr:to>
      <xdr:col>0</xdr:col>
      <xdr:colOff>304800</xdr:colOff>
      <xdr:row>1796</xdr:row>
      <xdr:rowOff>152400</xdr:rowOff>
    </xdr:to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1802</xdr:row>
      <xdr:rowOff>0</xdr:rowOff>
    </xdr:from>
    <xdr:to>
      <xdr:col>0</xdr:col>
      <xdr:colOff>304800</xdr:colOff>
      <xdr:row>1803</xdr:row>
      <xdr:rowOff>152400</xdr:rowOff>
    </xdr:to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1808</xdr:row>
      <xdr:rowOff>0</xdr:rowOff>
    </xdr:from>
    <xdr:to>
      <xdr:col>0</xdr:col>
      <xdr:colOff>304800</xdr:colOff>
      <xdr:row>1809</xdr:row>
      <xdr:rowOff>152400</xdr:rowOff>
    </xdr:to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1814</xdr:row>
      <xdr:rowOff>0</xdr:rowOff>
    </xdr:from>
    <xdr:to>
      <xdr:col>0</xdr:col>
      <xdr:colOff>304800</xdr:colOff>
      <xdr:row>1815</xdr:row>
      <xdr:rowOff>152400</xdr:rowOff>
    </xdr:to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1820</xdr:row>
      <xdr:rowOff>0</xdr:rowOff>
    </xdr:from>
    <xdr:to>
      <xdr:col>0</xdr:col>
      <xdr:colOff>304800</xdr:colOff>
      <xdr:row>1821</xdr:row>
      <xdr:rowOff>152400</xdr:rowOff>
    </xdr:to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1826</xdr:row>
      <xdr:rowOff>0</xdr:rowOff>
    </xdr:from>
    <xdr:to>
      <xdr:col>0</xdr:col>
      <xdr:colOff>304800</xdr:colOff>
      <xdr:row>1827</xdr:row>
      <xdr:rowOff>152400</xdr:rowOff>
    </xdr:to>
    <xdr:sp macro="" textlink="">
      <xdr:nvSpPr>
        <xdr:cNvPr id="290" name="Shape 3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1832</xdr:row>
      <xdr:rowOff>0</xdr:rowOff>
    </xdr:from>
    <xdr:to>
      <xdr:col>0</xdr:col>
      <xdr:colOff>304800</xdr:colOff>
      <xdr:row>1833</xdr:row>
      <xdr:rowOff>152400</xdr:rowOff>
    </xdr:to>
    <xdr:sp macro="" textlink="">
      <xdr:nvSpPr>
        <xdr:cNvPr id="291" name="Shape 3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1838</xdr:row>
      <xdr:rowOff>0</xdr:rowOff>
    </xdr:from>
    <xdr:to>
      <xdr:col>0</xdr:col>
      <xdr:colOff>304800</xdr:colOff>
      <xdr:row>1839</xdr:row>
      <xdr:rowOff>152400</xdr:rowOff>
    </xdr:to>
    <xdr:sp macro="" textlink="">
      <xdr:nvSpPr>
        <xdr:cNvPr id="292" name="Shape 3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1844</xdr:row>
      <xdr:rowOff>0</xdr:rowOff>
    </xdr:from>
    <xdr:to>
      <xdr:col>0</xdr:col>
      <xdr:colOff>304800</xdr:colOff>
      <xdr:row>1845</xdr:row>
      <xdr:rowOff>152400</xdr:rowOff>
    </xdr:to>
    <xdr:sp macro="" textlink="">
      <xdr:nvSpPr>
        <xdr:cNvPr id="293" name="Shape 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1850</xdr:row>
      <xdr:rowOff>0</xdr:rowOff>
    </xdr:from>
    <xdr:to>
      <xdr:col>0</xdr:col>
      <xdr:colOff>304800</xdr:colOff>
      <xdr:row>1851</xdr:row>
      <xdr:rowOff>152400</xdr:rowOff>
    </xdr:to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1856</xdr:row>
      <xdr:rowOff>0</xdr:rowOff>
    </xdr:from>
    <xdr:to>
      <xdr:col>0</xdr:col>
      <xdr:colOff>304800</xdr:colOff>
      <xdr:row>1857</xdr:row>
      <xdr:rowOff>152400</xdr:rowOff>
    </xdr:to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1863</xdr:row>
      <xdr:rowOff>0</xdr:rowOff>
    </xdr:from>
    <xdr:to>
      <xdr:col>0</xdr:col>
      <xdr:colOff>304800</xdr:colOff>
      <xdr:row>1864</xdr:row>
      <xdr:rowOff>152400</xdr:rowOff>
    </xdr:to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1869</xdr:row>
      <xdr:rowOff>0</xdr:rowOff>
    </xdr:from>
    <xdr:to>
      <xdr:col>0</xdr:col>
      <xdr:colOff>304800</xdr:colOff>
      <xdr:row>1870</xdr:row>
      <xdr:rowOff>152400</xdr:rowOff>
    </xdr:to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1875</xdr:row>
      <xdr:rowOff>0</xdr:rowOff>
    </xdr:from>
    <xdr:to>
      <xdr:col>0</xdr:col>
      <xdr:colOff>304800</xdr:colOff>
      <xdr:row>1876</xdr:row>
      <xdr:rowOff>152400</xdr:rowOff>
    </xdr:to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1881</xdr:row>
      <xdr:rowOff>0</xdr:rowOff>
    </xdr:from>
    <xdr:to>
      <xdr:col>0</xdr:col>
      <xdr:colOff>304800</xdr:colOff>
      <xdr:row>1882</xdr:row>
      <xdr:rowOff>152400</xdr:rowOff>
    </xdr:to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1887</xdr:row>
      <xdr:rowOff>0</xdr:rowOff>
    </xdr:from>
    <xdr:to>
      <xdr:col>0</xdr:col>
      <xdr:colOff>304800</xdr:colOff>
      <xdr:row>1888</xdr:row>
      <xdr:rowOff>152400</xdr:rowOff>
    </xdr:to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1893</xdr:row>
      <xdr:rowOff>0</xdr:rowOff>
    </xdr:from>
    <xdr:to>
      <xdr:col>0</xdr:col>
      <xdr:colOff>304800</xdr:colOff>
      <xdr:row>1894</xdr:row>
      <xdr:rowOff>152400</xdr:rowOff>
    </xdr:to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1899</xdr:row>
      <xdr:rowOff>0</xdr:rowOff>
    </xdr:from>
    <xdr:to>
      <xdr:col>0</xdr:col>
      <xdr:colOff>304800</xdr:colOff>
      <xdr:row>1900</xdr:row>
      <xdr:rowOff>152400</xdr:rowOff>
    </xdr:to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1905</xdr:row>
      <xdr:rowOff>0</xdr:rowOff>
    </xdr:from>
    <xdr:to>
      <xdr:col>0</xdr:col>
      <xdr:colOff>304800</xdr:colOff>
      <xdr:row>1906</xdr:row>
      <xdr:rowOff>152400</xdr:rowOff>
    </xdr:to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1911</xdr:row>
      <xdr:rowOff>0</xdr:rowOff>
    </xdr:from>
    <xdr:to>
      <xdr:col>0</xdr:col>
      <xdr:colOff>304800</xdr:colOff>
      <xdr:row>1912</xdr:row>
      <xdr:rowOff>152400</xdr:rowOff>
    </xdr:to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1917</xdr:row>
      <xdr:rowOff>0</xdr:rowOff>
    </xdr:from>
    <xdr:to>
      <xdr:col>0</xdr:col>
      <xdr:colOff>304800</xdr:colOff>
      <xdr:row>1918</xdr:row>
      <xdr:rowOff>152400</xdr:rowOff>
    </xdr:to>
    <xdr:sp macro="" textlink="">
      <xdr:nvSpPr>
        <xdr:cNvPr id="305" name="Shape 3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1923</xdr:row>
      <xdr:rowOff>0</xdr:rowOff>
    </xdr:from>
    <xdr:to>
      <xdr:col>0</xdr:col>
      <xdr:colOff>304800</xdr:colOff>
      <xdr:row>1924</xdr:row>
      <xdr:rowOff>152400</xdr:rowOff>
    </xdr:to>
    <xdr:sp macro="" textlink="">
      <xdr:nvSpPr>
        <xdr:cNvPr id="306" name="Shape 3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1929</xdr:row>
      <xdr:rowOff>0</xdr:rowOff>
    </xdr:from>
    <xdr:to>
      <xdr:col>0</xdr:col>
      <xdr:colOff>304800</xdr:colOff>
      <xdr:row>1930</xdr:row>
      <xdr:rowOff>152400</xdr:rowOff>
    </xdr:to>
    <xdr:sp macro="" textlink="">
      <xdr:nvSpPr>
        <xdr:cNvPr id="307" name="Shape 3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1935</xdr:row>
      <xdr:rowOff>0</xdr:rowOff>
    </xdr:from>
    <xdr:to>
      <xdr:col>0</xdr:col>
      <xdr:colOff>304800</xdr:colOff>
      <xdr:row>1936</xdr:row>
      <xdr:rowOff>152400</xdr:rowOff>
    </xdr:to>
    <xdr:sp macro="" textlink="">
      <xdr:nvSpPr>
        <xdr:cNvPr id="308" name="Shape 3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1941</xdr:row>
      <xdr:rowOff>0</xdr:rowOff>
    </xdr:from>
    <xdr:to>
      <xdr:col>0</xdr:col>
      <xdr:colOff>304800</xdr:colOff>
      <xdr:row>1942</xdr:row>
      <xdr:rowOff>152400</xdr:rowOff>
    </xdr:to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1947</xdr:row>
      <xdr:rowOff>0</xdr:rowOff>
    </xdr:from>
    <xdr:to>
      <xdr:col>0</xdr:col>
      <xdr:colOff>304800</xdr:colOff>
      <xdr:row>1948</xdr:row>
      <xdr:rowOff>152400</xdr:rowOff>
    </xdr:to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1953</xdr:row>
      <xdr:rowOff>0</xdr:rowOff>
    </xdr:from>
    <xdr:to>
      <xdr:col>0</xdr:col>
      <xdr:colOff>304800</xdr:colOff>
      <xdr:row>1954</xdr:row>
      <xdr:rowOff>152400</xdr:rowOff>
    </xdr:to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1959</xdr:row>
      <xdr:rowOff>0</xdr:rowOff>
    </xdr:from>
    <xdr:to>
      <xdr:col>0</xdr:col>
      <xdr:colOff>304800</xdr:colOff>
      <xdr:row>1960</xdr:row>
      <xdr:rowOff>152400</xdr:rowOff>
    </xdr:to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1965</xdr:row>
      <xdr:rowOff>0</xdr:rowOff>
    </xdr:from>
    <xdr:to>
      <xdr:col>0</xdr:col>
      <xdr:colOff>304800</xdr:colOff>
      <xdr:row>1966</xdr:row>
      <xdr:rowOff>152400</xdr:rowOff>
    </xdr:to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1971</xdr:row>
      <xdr:rowOff>0</xdr:rowOff>
    </xdr:from>
    <xdr:to>
      <xdr:col>0</xdr:col>
      <xdr:colOff>304800</xdr:colOff>
      <xdr:row>1972</xdr:row>
      <xdr:rowOff>152400</xdr:rowOff>
    </xdr:to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1977</xdr:row>
      <xdr:rowOff>0</xdr:rowOff>
    </xdr:from>
    <xdr:to>
      <xdr:col>0</xdr:col>
      <xdr:colOff>304800</xdr:colOff>
      <xdr:row>1978</xdr:row>
      <xdr:rowOff>152400</xdr:rowOff>
    </xdr:to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1984</xdr:row>
      <xdr:rowOff>0</xdr:rowOff>
    </xdr:from>
    <xdr:to>
      <xdr:col>0</xdr:col>
      <xdr:colOff>304800</xdr:colOff>
      <xdr:row>1985</xdr:row>
      <xdr:rowOff>152400</xdr:rowOff>
    </xdr:to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1990</xdr:row>
      <xdr:rowOff>0</xdr:rowOff>
    </xdr:from>
    <xdr:to>
      <xdr:col>0</xdr:col>
      <xdr:colOff>304800</xdr:colOff>
      <xdr:row>1991</xdr:row>
      <xdr:rowOff>152400</xdr:rowOff>
    </xdr:to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1996</xdr:row>
      <xdr:rowOff>0</xdr:rowOff>
    </xdr:from>
    <xdr:to>
      <xdr:col>0</xdr:col>
      <xdr:colOff>304800</xdr:colOff>
      <xdr:row>1997</xdr:row>
      <xdr:rowOff>152400</xdr:rowOff>
    </xdr:to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2002</xdr:row>
      <xdr:rowOff>0</xdr:rowOff>
    </xdr:from>
    <xdr:to>
      <xdr:col>0</xdr:col>
      <xdr:colOff>304800</xdr:colOff>
      <xdr:row>2003</xdr:row>
      <xdr:rowOff>152400</xdr:rowOff>
    </xdr:to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2008</xdr:row>
      <xdr:rowOff>0</xdr:rowOff>
    </xdr:from>
    <xdr:to>
      <xdr:col>0</xdr:col>
      <xdr:colOff>304800</xdr:colOff>
      <xdr:row>2009</xdr:row>
      <xdr:rowOff>152400</xdr:rowOff>
    </xdr:to>
    <xdr:sp macro="" textlink="">
      <xdr:nvSpPr>
        <xdr:cNvPr id="320" name="Shape 3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2014</xdr:row>
      <xdr:rowOff>0</xdr:rowOff>
    </xdr:from>
    <xdr:to>
      <xdr:col>0</xdr:col>
      <xdr:colOff>304800</xdr:colOff>
      <xdr:row>2015</xdr:row>
      <xdr:rowOff>152400</xdr:rowOff>
    </xdr:to>
    <xdr:sp macro="" textlink="">
      <xdr:nvSpPr>
        <xdr:cNvPr id="321" name="Shape 3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2020</xdr:row>
      <xdr:rowOff>0</xdr:rowOff>
    </xdr:from>
    <xdr:to>
      <xdr:col>0</xdr:col>
      <xdr:colOff>304800</xdr:colOff>
      <xdr:row>2021</xdr:row>
      <xdr:rowOff>152400</xdr:rowOff>
    </xdr:to>
    <xdr:sp macro="" textlink="">
      <xdr:nvSpPr>
        <xdr:cNvPr id="322" name="Shape 3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2026</xdr:row>
      <xdr:rowOff>0</xdr:rowOff>
    </xdr:from>
    <xdr:to>
      <xdr:col>0</xdr:col>
      <xdr:colOff>304800</xdr:colOff>
      <xdr:row>2027</xdr:row>
      <xdr:rowOff>152400</xdr:rowOff>
    </xdr:to>
    <xdr:sp macro="" textlink="">
      <xdr:nvSpPr>
        <xdr:cNvPr id="323" name="Shape 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2032</xdr:row>
      <xdr:rowOff>0</xdr:rowOff>
    </xdr:from>
    <xdr:to>
      <xdr:col>0</xdr:col>
      <xdr:colOff>304800</xdr:colOff>
      <xdr:row>2033</xdr:row>
      <xdr:rowOff>152400</xdr:rowOff>
    </xdr:to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2038</xdr:row>
      <xdr:rowOff>0</xdr:rowOff>
    </xdr:from>
    <xdr:to>
      <xdr:col>0</xdr:col>
      <xdr:colOff>304800</xdr:colOff>
      <xdr:row>2039</xdr:row>
      <xdr:rowOff>152400</xdr:rowOff>
    </xdr:to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2044</xdr:row>
      <xdr:rowOff>0</xdr:rowOff>
    </xdr:from>
    <xdr:to>
      <xdr:col>0</xdr:col>
      <xdr:colOff>304800</xdr:colOff>
      <xdr:row>2045</xdr:row>
      <xdr:rowOff>152400</xdr:rowOff>
    </xdr:to>
    <xdr:sp macro="" textlink="">
      <xdr:nvSpPr>
        <xdr:cNvPr id="326" name="Shape 3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2050</xdr:row>
      <xdr:rowOff>0</xdr:rowOff>
    </xdr:from>
    <xdr:to>
      <xdr:col>0</xdr:col>
      <xdr:colOff>304800</xdr:colOff>
      <xdr:row>2051</xdr:row>
      <xdr:rowOff>152400</xdr:rowOff>
    </xdr:to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2057</xdr:row>
      <xdr:rowOff>0</xdr:rowOff>
    </xdr:from>
    <xdr:to>
      <xdr:col>0</xdr:col>
      <xdr:colOff>304800</xdr:colOff>
      <xdr:row>2058</xdr:row>
      <xdr:rowOff>152400</xdr:rowOff>
    </xdr:to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2064</xdr:row>
      <xdr:rowOff>0</xdr:rowOff>
    </xdr:from>
    <xdr:to>
      <xdr:col>0</xdr:col>
      <xdr:colOff>304800</xdr:colOff>
      <xdr:row>2065</xdr:row>
      <xdr:rowOff>152400</xdr:rowOff>
    </xdr:to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2070</xdr:row>
      <xdr:rowOff>0</xdr:rowOff>
    </xdr:from>
    <xdr:to>
      <xdr:col>0</xdr:col>
      <xdr:colOff>304800</xdr:colOff>
      <xdr:row>2071</xdr:row>
      <xdr:rowOff>152400</xdr:rowOff>
    </xdr:to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2076</xdr:row>
      <xdr:rowOff>0</xdr:rowOff>
    </xdr:from>
    <xdr:to>
      <xdr:col>0</xdr:col>
      <xdr:colOff>304800</xdr:colOff>
      <xdr:row>2077</xdr:row>
      <xdr:rowOff>152400</xdr:rowOff>
    </xdr:to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2082</xdr:row>
      <xdr:rowOff>0</xdr:rowOff>
    </xdr:from>
    <xdr:to>
      <xdr:col>0</xdr:col>
      <xdr:colOff>304800</xdr:colOff>
      <xdr:row>2083</xdr:row>
      <xdr:rowOff>152400</xdr:rowOff>
    </xdr:to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2088</xdr:row>
      <xdr:rowOff>0</xdr:rowOff>
    </xdr:from>
    <xdr:to>
      <xdr:col>0</xdr:col>
      <xdr:colOff>304800</xdr:colOff>
      <xdr:row>2089</xdr:row>
      <xdr:rowOff>152400</xdr:rowOff>
    </xdr:to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2094</xdr:row>
      <xdr:rowOff>0</xdr:rowOff>
    </xdr:from>
    <xdr:to>
      <xdr:col>0</xdr:col>
      <xdr:colOff>304800</xdr:colOff>
      <xdr:row>2095</xdr:row>
      <xdr:rowOff>152400</xdr:rowOff>
    </xdr:to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2101</xdr:row>
      <xdr:rowOff>0</xdr:rowOff>
    </xdr:from>
    <xdr:to>
      <xdr:col>0</xdr:col>
      <xdr:colOff>304800</xdr:colOff>
      <xdr:row>2102</xdr:row>
      <xdr:rowOff>152400</xdr:rowOff>
    </xdr:to>
    <xdr:sp macro="" textlink="">
      <xdr:nvSpPr>
        <xdr:cNvPr id="335" name="Shape 3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2107</xdr:row>
      <xdr:rowOff>0</xdr:rowOff>
    </xdr:from>
    <xdr:to>
      <xdr:col>0</xdr:col>
      <xdr:colOff>304800</xdr:colOff>
      <xdr:row>2108</xdr:row>
      <xdr:rowOff>152400</xdr:rowOff>
    </xdr:to>
    <xdr:sp macro="" textlink="">
      <xdr:nvSpPr>
        <xdr:cNvPr id="336" name="Shape 3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2114</xdr:row>
      <xdr:rowOff>0</xdr:rowOff>
    </xdr:from>
    <xdr:to>
      <xdr:col>0</xdr:col>
      <xdr:colOff>304800</xdr:colOff>
      <xdr:row>2115</xdr:row>
      <xdr:rowOff>152400</xdr:rowOff>
    </xdr:to>
    <xdr:sp macro="" textlink="">
      <xdr:nvSpPr>
        <xdr:cNvPr id="337" name="Shape 3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2120</xdr:row>
      <xdr:rowOff>0</xdr:rowOff>
    </xdr:from>
    <xdr:to>
      <xdr:col>0</xdr:col>
      <xdr:colOff>304800</xdr:colOff>
      <xdr:row>2121</xdr:row>
      <xdr:rowOff>152400</xdr:rowOff>
    </xdr:to>
    <xdr:sp macro="" textlink="">
      <xdr:nvSpPr>
        <xdr:cNvPr id="338" name="Shape 3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2126</xdr:row>
      <xdr:rowOff>0</xdr:rowOff>
    </xdr:from>
    <xdr:to>
      <xdr:col>0</xdr:col>
      <xdr:colOff>304800</xdr:colOff>
      <xdr:row>2127</xdr:row>
      <xdr:rowOff>152400</xdr:rowOff>
    </xdr:to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2132</xdr:row>
      <xdr:rowOff>0</xdr:rowOff>
    </xdr:from>
    <xdr:to>
      <xdr:col>0</xdr:col>
      <xdr:colOff>304800</xdr:colOff>
      <xdr:row>2133</xdr:row>
      <xdr:rowOff>152400</xdr:rowOff>
    </xdr:to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2138</xdr:row>
      <xdr:rowOff>0</xdr:rowOff>
    </xdr:from>
    <xdr:to>
      <xdr:col>0</xdr:col>
      <xdr:colOff>304800</xdr:colOff>
      <xdr:row>2139</xdr:row>
      <xdr:rowOff>152400</xdr:rowOff>
    </xdr:to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2144</xdr:row>
      <xdr:rowOff>0</xdr:rowOff>
    </xdr:from>
    <xdr:to>
      <xdr:col>0</xdr:col>
      <xdr:colOff>304800</xdr:colOff>
      <xdr:row>2145</xdr:row>
      <xdr:rowOff>152400</xdr:rowOff>
    </xdr:to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2150</xdr:row>
      <xdr:rowOff>0</xdr:rowOff>
    </xdr:from>
    <xdr:to>
      <xdr:col>0</xdr:col>
      <xdr:colOff>304800</xdr:colOff>
      <xdr:row>2151</xdr:row>
      <xdr:rowOff>152400</xdr:rowOff>
    </xdr:to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2156</xdr:row>
      <xdr:rowOff>0</xdr:rowOff>
    </xdr:from>
    <xdr:to>
      <xdr:col>0</xdr:col>
      <xdr:colOff>304800</xdr:colOff>
      <xdr:row>2157</xdr:row>
      <xdr:rowOff>152400</xdr:rowOff>
    </xdr:to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2162</xdr:row>
      <xdr:rowOff>0</xdr:rowOff>
    </xdr:from>
    <xdr:to>
      <xdr:col>0</xdr:col>
      <xdr:colOff>304800</xdr:colOff>
      <xdr:row>2163</xdr:row>
      <xdr:rowOff>152400</xdr:rowOff>
    </xdr:to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2169</xdr:row>
      <xdr:rowOff>0</xdr:rowOff>
    </xdr:from>
    <xdr:to>
      <xdr:col>0</xdr:col>
      <xdr:colOff>304800</xdr:colOff>
      <xdr:row>2170</xdr:row>
      <xdr:rowOff>152400</xdr:rowOff>
    </xdr:to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2175</xdr:row>
      <xdr:rowOff>0</xdr:rowOff>
    </xdr:from>
    <xdr:to>
      <xdr:col>0</xdr:col>
      <xdr:colOff>304800</xdr:colOff>
      <xdr:row>2176</xdr:row>
      <xdr:rowOff>152400</xdr:rowOff>
    </xdr:to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2182</xdr:row>
      <xdr:rowOff>0</xdr:rowOff>
    </xdr:from>
    <xdr:to>
      <xdr:col>0</xdr:col>
      <xdr:colOff>304800</xdr:colOff>
      <xdr:row>2183</xdr:row>
      <xdr:rowOff>152400</xdr:rowOff>
    </xdr:to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2188</xdr:row>
      <xdr:rowOff>0</xdr:rowOff>
    </xdr:from>
    <xdr:to>
      <xdr:col>0</xdr:col>
      <xdr:colOff>304800</xdr:colOff>
      <xdr:row>2189</xdr:row>
      <xdr:rowOff>152400</xdr:rowOff>
    </xdr:to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2195</xdr:row>
      <xdr:rowOff>0</xdr:rowOff>
    </xdr:from>
    <xdr:to>
      <xdr:col>0</xdr:col>
      <xdr:colOff>304800</xdr:colOff>
      <xdr:row>2196</xdr:row>
      <xdr:rowOff>152400</xdr:rowOff>
    </xdr:to>
    <xdr:sp macro="" textlink="">
      <xdr:nvSpPr>
        <xdr:cNvPr id="350" name="Shape 3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2201</xdr:row>
      <xdr:rowOff>0</xdr:rowOff>
    </xdr:from>
    <xdr:to>
      <xdr:col>0</xdr:col>
      <xdr:colOff>304800</xdr:colOff>
      <xdr:row>2202</xdr:row>
      <xdr:rowOff>152400</xdr:rowOff>
    </xdr:to>
    <xdr:sp macro="" textlink="">
      <xdr:nvSpPr>
        <xdr:cNvPr id="351" name="Shape 3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2207</xdr:row>
      <xdr:rowOff>0</xdr:rowOff>
    </xdr:from>
    <xdr:to>
      <xdr:col>0</xdr:col>
      <xdr:colOff>304800</xdr:colOff>
      <xdr:row>2208</xdr:row>
      <xdr:rowOff>152400</xdr:rowOff>
    </xdr:to>
    <xdr:sp macro="" textlink="">
      <xdr:nvSpPr>
        <xdr:cNvPr id="352" name="Shape 3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2213</xdr:row>
      <xdr:rowOff>0</xdr:rowOff>
    </xdr:from>
    <xdr:to>
      <xdr:col>0</xdr:col>
      <xdr:colOff>304800</xdr:colOff>
      <xdr:row>2214</xdr:row>
      <xdr:rowOff>152400</xdr:rowOff>
    </xdr:to>
    <xdr:sp macro="" textlink="">
      <xdr:nvSpPr>
        <xdr:cNvPr id="353" name="Shape 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2219</xdr:row>
      <xdr:rowOff>0</xdr:rowOff>
    </xdr:from>
    <xdr:to>
      <xdr:col>0</xdr:col>
      <xdr:colOff>304800</xdr:colOff>
      <xdr:row>2220</xdr:row>
      <xdr:rowOff>152400</xdr:rowOff>
    </xdr:to>
    <xdr:sp macro="" textlink="">
      <xdr:nvSpPr>
        <xdr:cNvPr id="354" name="Shape 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2226</xdr:row>
      <xdr:rowOff>0</xdr:rowOff>
    </xdr:from>
    <xdr:to>
      <xdr:col>0</xdr:col>
      <xdr:colOff>304800</xdr:colOff>
      <xdr:row>2227</xdr:row>
      <xdr:rowOff>152400</xdr:rowOff>
    </xdr:to>
    <xdr:sp macro="" textlink="">
      <xdr:nvSpPr>
        <xdr:cNvPr id="355" name="Shape 3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2233</xdr:row>
      <xdr:rowOff>0</xdr:rowOff>
    </xdr:from>
    <xdr:to>
      <xdr:col>0</xdr:col>
      <xdr:colOff>304800</xdr:colOff>
      <xdr:row>2234</xdr:row>
      <xdr:rowOff>152400</xdr:rowOff>
    </xdr:to>
    <xdr:sp macro="" textlink="">
      <xdr:nvSpPr>
        <xdr:cNvPr id="356" name="Shape 3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2239</xdr:row>
      <xdr:rowOff>0</xdr:rowOff>
    </xdr:from>
    <xdr:to>
      <xdr:col>0</xdr:col>
      <xdr:colOff>304800</xdr:colOff>
      <xdr:row>2240</xdr:row>
      <xdr:rowOff>152400</xdr:rowOff>
    </xdr:to>
    <xdr:sp macro="" textlink="">
      <xdr:nvSpPr>
        <xdr:cNvPr id="357" name="Shape 3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2245</xdr:row>
      <xdr:rowOff>0</xdr:rowOff>
    </xdr:from>
    <xdr:to>
      <xdr:col>0</xdr:col>
      <xdr:colOff>304800</xdr:colOff>
      <xdr:row>2246</xdr:row>
      <xdr:rowOff>152400</xdr:rowOff>
    </xdr:to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2251</xdr:row>
      <xdr:rowOff>0</xdr:rowOff>
    </xdr:from>
    <xdr:to>
      <xdr:col>0</xdr:col>
      <xdr:colOff>304800</xdr:colOff>
      <xdr:row>2252</xdr:row>
      <xdr:rowOff>152400</xdr:rowOff>
    </xdr:to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2258</xdr:row>
      <xdr:rowOff>0</xdr:rowOff>
    </xdr:from>
    <xdr:to>
      <xdr:col>0</xdr:col>
      <xdr:colOff>304800</xdr:colOff>
      <xdr:row>2259</xdr:row>
      <xdr:rowOff>152400</xdr:rowOff>
    </xdr:to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2264</xdr:row>
      <xdr:rowOff>0</xdr:rowOff>
    </xdr:from>
    <xdr:to>
      <xdr:col>0</xdr:col>
      <xdr:colOff>304800</xdr:colOff>
      <xdr:row>2265</xdr:row>
      <xdr:rowOff>152400</xdr:rowOff>
    </xdr:to>
    <xdr:sp macro="" textlink="">
      <xdr:nvSpPr>
        <xdr:cNvPr id="361" name="Shape 3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2271</xdr:row>
      <xdr:rowOff>0</xdr:rowOff>
    </xdr:from>
    <xdr:to>
      <xdr:col>0</xdr:col>
      <xdr:colOff>304800</xdr:colOff>
      <xdr:row>2272</xdr:row>
      <xdr:rowOff>152400</xdr:rowOff>
    </xdr:to>
    <xdr:sp macro="" textlink="">
      <xdr:nvSpPr>
        <xdr:cNvPr id="362" name="Shape 3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2278</xdr:row>
      <xdr:rowOff>0</xdr:rowOff>
    </xdr:from>
    <xdr:to>
      <xdr:col>0</xdr:col>
      <xdr:colOff>304800</xdr:colOff>
      <xdr:row>2279</xdr:row>
      <xdr:rowOff>152400</xdr:rowOff>
    </xdr:to>
    <xdr:sp macro="" textlink="">
      <xdr:nvSpPr>
        <xdr:cNvPr id="363" name="Shape 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2285</xdr:row>
      <xdr:rowOff>0</xdr:rowOff>
    </xdr:from>
    <xdr:to>
      <xdr:col>0</xdr:col>
      <xdr:colOff>304800</xdr:colOff>
      <xdr:row>2286</xdr:row>
      <xdr:rowOff>152400</xdr:rowOff>
    </xdr:to>
    <xdr:sp macro="" textlink="">
      <xdr:nvSpPr>
        <xdr:cNvPr id="364" name="Shape 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2291</xdr:row>
      <xdr:rowOff>0</xdr:rowOff>
    </xdr:from>
    <xdr:to>
      <xdr:col>0</xdr:col>
      <xdr:colOff>304800</xdr:colOff>
      <xdr:row>2292</xdr:row>
      <xdr:rowOff>152400</xdr:rowOff>
    </xdr:to>
    <xdr:sp macro="" textlink="">
      <xdr:nvSpPr>
        <xdr:cNvPr id="365" name="Shape 3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2298</xdr:row>
      <xdr:rowOff>0</xdr:rowOff>
    </xdr:from>
    <xdr:to>
      <xdr:col>0</xdr:col>
      <xdr:colOff>304800</xdr:colOff>
      <xdr:row>2299</xdr:row>
      <xdr:rowOff>152400</xdr:rowOff>
    </xdr:to>
    <xdr:sp macro="" textlink="">
      <xdr:nvSpPr>
        <xdr:cNvPr id="366" name="Shape 3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2304</xdr:row>
      <xdr:rowOff>0</xdr:rowOff>
    </xdr:from>
    <xdr:to>
      <xdr:col>0</xdr:col>
      <xdr:colOff>304800</xdr:colOff>
      <xdr:row>2305</xdr:row>
      <xdr:rowOff>152400</xdr:rowOff>
    </xdr:to>
    <xdr:sp macro="" textlink="">
      <xdr:nvSpPr>
        <xdr:cNvPr id="367" name="Shape 3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2310</xdr:row>
      <xdr:rowOff>0</xdr:rowOff>
    </xdr:from>
    <xdr:to>
      <xdr:col>0</xdr:col>
      <xdr:colOff>304800</xdr:colOff>
      <xdr:row>2311</xdr:row>
      <xdr:rowOff>152400</xdr:rowOff>
    </xdr:to>
    <xdr:sp macro="" textlink="">
      <xdr:nvSpPr>
        <xdr:cNvPr id="368" name="Shape 3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2317</xdr:row>
      <xdr:rowOff>0</xdr:rowOff>
    </xdr:from>
    <xdr:to>
      <xdr:col>0</xdr:col>
      <xdr:colOff>304800</xdr:colOff>
      <xdr:row>2318</xdr:row>
      <xdr:rowOff>152400</xdr:rowOff>
    </xdr:to>
    <xdr:sp macro="" textlink="">
      <xdr:nvSpPr>
        <xdr:cNvPr id="369" name="Shape 3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2323</xdr:row>
      <xdr:rowOff>0</xdr:rowOff>
    </xdr:from>
    <xdr:to>
      <xdr:col>0</xdr:col>
      <xdr:colOff>304800</xdr:colOff>
      <xdr:row>2324</xdr:row>
      <xdr:rowOff>152400</xdr:rowOff>
    </xdr:to>
    <xdr:sp macro="" textlink="">
      <xdr:nvSpPr>
        <xdr:cNvPr id="370" name="Shape 3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2329</xdr:row>
      <xdr:rowOff>0</xdr:rowOff>
    </xdr:from>
    <xdr:to>
      <xdr:col>0</xdr:col>
      <xdr:colOff>304800</xdr:colOff>
      <xdr:row>2330</xdr:row>
      <xdr:rowOff>152400</xdr:rowOff>
    </xdr:to>
    <xdr:sp macro="" textlink="">
      <xdr:nvSpPr>
        <xdr:cNvPr id="371" name="Shape 3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2335</xdr:row>
      <xdr:rowOff>0</xdr:rowOff>
    </xdr:from>
    <xdr:to>
      <xdr:col>0</xdr:col>
      <xdr:colOff>304800</xdr:colOff>
      <xdr:row>2336</xdr:row>
      <xdr:rowOff>152400</xdr:rowOff>
    </xdr:to>
    <xdr:sp macro="" textlink="">
      <xdr:nvSpPr>
        <xdr:cNvPr id="372" name="Shape 3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2342</xdr:row>
      <xdr:rowOff>0</xdr:rowOff>
    </xdr:from>
    <xdr:to>
      <xdr:col>0</xdr:col>
      <xdr:colOff>304800</xdr:colOff>
      <xdr:row>2343</xdr:row>
      <xdr:rowOff>152400</xdr:rowOff>
    </xdr:to>
    <xdr:sp macro="" textlink="">
      <xdr:nvSpPr>
        <xdr:cNvPr id="373" name="Shape 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2348</xdr:row>
      <xdr:rowOff>0</xdr:rowOff>
    </xdr:from>
    <xdr:to>
      <xdr:col>0</xdr:col>
      <xdr:colOff>304800</xdr:colOff>
      <xdr:row>2349</xdr:row>
      <xdr:rowOff>152400</xdr:rowOff>
    </xdr:to>
    <xdr:sp macro="" textlink="">
      <xdr:nvSpPr>
        <xdr:cNvPr id="374" name="Shape 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2354</xdr:row>
      <xdr:rowOff>0</xdr:rowOff>
    </xdr:from>
    <xdr:to>
      <xdr:col>0</xdr:col>
      <xdr:colOff>304800</xdr:colOff>
      <xdr:row>2355</xdr:row>
      <xdr:rowOff>152400</xdr:rowOff>
    </xdr:to>
    <xdr:sp macro="" textlink="">
      <xdr:nvSpPr>
        <xdr:cNvPr id="375" name="Shape 3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2360</xdr:row>
      <xdr:rowOff>0</xdr:rowOff>
    </xdr:from>
    <xdr:to>
      <xdr:col>0</xdr:col>
      <xdr:colOff>304800</xdr:colOff>
      <xdr:row>2361</xdr:row>
      <xdr:rowOff>152400</xdr:rowOff>
    </xdr:to>
    <xdr:sp macro="" textlink="">
      <xdr:nvSpPr>
        <xdr:cNvPr id="376" name="Shape 3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2366</xdr:row>
      <xdr:rowOff>0</xdr:rowOff>
    </xdr:from>
    <xdr:to>
      <xdr:col>0</xdr:col>
      <xdr:colOff>304800</xdr:colOff>
      <xdr:row>2367</xdr:row>
      <xdr:rowOff>152400</xdr:rowOff>
    </xdr:to>
    <xdr:sp macro="" textlink="">
      <xdr:nvSpPr>
        <xdr:cNvPr id="377" name="Shape 3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2372</xdr:row>
      <xdr:rowOff>0</xdr:rowOff>
    </xdr:from>
    <xdr:to>
      <xdr:col>0</xdr:col>
      <xdr:colOff>304800</xdr:colOff>
      <xdr:row>2373</xdr:row>
      <xdr:rowOff>152400</xdr:rowOff>
    </xdr:to>
    <xdr:sp macro="" textlink="">
      <xdr:nvSpPr>
        <xdr:cNvPr id="378" name="Shape 3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2379</xdr:row>
      <xdr:rowOff>0</xdr:rowOff>
    </xdr:from>
    <xdr:to>
      <xdr:col>0</xdr:col>
      <xdr:colOff>304800</xdr:colOff>
      <xdr:row>2380</xdr:row>
      <xdr:rowOff>152400</xdr:rowOff>
    </xdr:to>
    <xdr:sp macro="" textlink="">
      <xdr:nvSpPr>
        <xdr:cNvPr id="379" name="Shape 3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2385</xdr:row>
      <xdr:rowOff>0</xdr:rowOff>
    </xdr:from>
    <xdr:to>
      <xdr:col>0</xdr:col>
      <xdr:colOff>304800</xdr:colOff>
      <xdr:row>2386</xdr:row>
      <xdr:rowOff>152400</xdr:rowOff>
    </xdr:to>
    <xdr:sp macro="" textlink="">
      <xdr:nvSpPr>
        <xdr:cNvPr id="380" name="Shape 3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2391</xdr:row>
      <xdr:rowOff>0</xdr:rowOff>
    </xdr:from>
    <xdr:to>
      <xdr:col>0</xdr:col>
      <xdr:colOff>304800</xdr:colOff>
      <xdr:row>2392</xdr:row>
      <xdr:rowOff>152400</xdr:rowOff>
    </xdr:to>
    <xdr:sp macro="" textlink="">
      <xdr:nvSpPr>
        <xdr:cNvPr id="381" name="Shape 3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2398</xdr:row>
      <xdr:rowOff>0</xdr:rowOff>
    </xdr:from>
    <xdr:to>
      <xdr:col>0</xdr:col>
      <xdr:colOff>304800</xdr:colOff>
      <xdr:row>2399</xdr:row>
      <xdr:rowOff>152400</xdr:rowOff>
    </xdr:to>
    <xdr:sp macro="" textlink="">
      <xdr:nvSpPr>
        <xdr:cNvPr id="382" name="Shape 3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2404</xdr:row>
      <xdr:rowOff>0</xdr:rowOff>
    </xdr:from>
    <xdr:to>
      <xdr:col>0</xdr:col>
      <xdr:colOff>304800</xdr:colOff>
      <xdr:row>2405</xdr:row>
      <xdr:rowOff>152400</xdr:rowOff>
    </xdr:to>
    <xdr:sp macro="" textlink="">
      <xdr:nvSpPr>
        <xdr:cNvPr id="383" name="Shape 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2410</xdr:row>
      <xdr:rowOff>0</xdr:rowOff>
    </xdr:from>
    <xdr:to>
      <xdr:col>0</xdr:col>
      <xdr:colOff>304800</xdr:colOff>
      <xdr:row>2411</xdr:row>
      <xdr:rowOff>152400</xdr:rowOff>
    </xdr:to>
    <xdr:sp macro="" textlink="">
      <xdr:nvSpPr>
        <xdr:cNvPr id="384" name="Shape 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2416</xdr:row>
      <xdr:rowOff>0</xdr:rowOff>
    </xdr:from>
    <xdr:to>
      <xdr:col>0</xdr:col>
      <xdr:colOff>304800</xdr:colOff>
      <xdr:row>2417</xdr:row>
      <xdr:rowOff>152400</xdr:rowOff>
    </xdr:to>
    <xdr:sp macro="" textlink="">
      <xdr:nvSpPr>
        <xdr:cNvPr id="385" name="Shape 3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2423</xdr:row>
      <xdr:rowOff>0</xdr:rowOff>
    </xdr:from>
    <xdr:to>
      <xdr:col>0</xdr:col>
      <xdr:colOff>304800</xdr:colOff>
      <xdr:row>2424</xdr:row>
      <xdr:rowOff>152400</xdr:rowOff>
    </xdr:to>
    <xdr:sp macro="" textlink="">
      <xdr:nvSpPr>
        <xdr:cNvPr id="386" name="Shape 3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2429</xdr:row>
      <xdr:rowOff>0</xdr:rowOff>
    </xdr:from>
    <xdr:to>
      <xdr:col>0</xdr:col>
      <xdr:colOff>304800</xdr:colOff>
      <xdr:row>2430</xdr:row>
      <xdr:rowOff>152400</xdr:rowOff>
    </xdr:to>
    <xdr:sp macro="" textlink="">
      <xdr:nvSpPr>
        <xdr:cNvPr id="387" name="Shape 3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2435</xdr:row>
      <xdr:rowOff>0</xdr:rowOff>
    </xdr:from>
    <xdr:to>
      <xdr:col>0</xdr:col>
      <xdr:colOff>304800</xdr:colOff>
      <xdr:row>2436</xdr:row>
      <xdr:rowOff>152400</xdr:rowOff>
    </xdr:to>
    <xdr:sp macro="" textlink="">
      <xdr:nvSpPr>
        <xdr:cNvPr id="388" name="Shape 3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2441</xdr:row>
      <xdr:rowOff>0</xdr:rowOff>
    </xdr:from>
    <xdr:to>
      <xdr:col>0</xdr:col>
      <xdr:colOff>304800</xdr:colOff>
      <xdr:row>2442</xdr:row>
      <xdr:rowOff>152400</xdr:rowOff>
    </xdr:to>
    <xdr:sp macro="" textlink="">
      <xdr:nvSpPr>
        <xdr:cNvPr id="389" name="Shape 3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2447</xdr:row>
      <xdr:rowOff>0</xdr:rowOff>
    </xdr:from>
    <xdr:to>
      <xdr:col>0</xdr:col>
      <xdr:colOff>304800</xdr:colOff>
      <xdr:row>2448</xdr:row>
      <xdr:rowOff>152400</xdr:rowOff>
    </xdr:to>
    <xdr:sp macro="" textlink="">
      <xdr:nvSpPr>
        <xdr:cNvPr id="390" name="Shape 3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2453</xdr:row>
      <xdr:rowOff>0</xdr:rowOff>
    </xdr:from>
    <xdr:to>
      <xdr:col>0</xdr:col>
      <xdr:colOff>304800</xdr:colOff>
      <xdr:row>2454</xdr:row>
      <xdr:rowOff>152400</xdr:rowOff>
    </xdr:to>
    <xdr:sp macro="" textlink="">
      <xdr:nvSpPr>
        <xdr:cNvPr id="391" name="Shape 3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2459</xdr:row>
      <xdr:rowOff>0</xdr:rowOff>
    </xdr:from>
    <xdr:to>
      <xdr:col>0</xdr:col>
      <xdr:colOff>304800</xdr:colOff>
      <xdr:row>2460</xdr:row>
      <xdr:rowOff>152400</xdr:rowOff>
    </xdr:to>
    <xdr:sp macro="" textlink="">
      <xdr:nvSpPr>
        <xdr:cNvPr id="392" name="Shape 3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2465</xdr:row>
      <xdr:rowOff>0</xdr:rowOff>
    </xdr:from>
    <xdr:to>
      <xdr:col>0</xdr:col>
      <xdr:colOff>304800</xdr:colOff>
      <xdr:row>2466</xdr:row>
      <xdr:rowOff>152400</xdr:rowOff>
    </xdr:to>
    <xdr:sp macro="" textlink="">
      <xdr:nvSpPr>
        <xdr:cNvPr id="393" name="Shape 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2471</xdr:row>
      <xdr:rowOff>0</xdr:rowOff>
    </xdr:from>
    <xdr:to>
      <xdr:col>0</xdr:col>
      <xdr:colOff>304800</xdr:colOff>
      <xdr:row>2472</xdr:row>
      <xdr:rowOff>152400</xdr:rowOff>
    </xdr:to>
    <xdr:sp macro="" textlink="">
      <xdr:nvSpPr>
        <xdr:cNvPr id="394" name="Shape 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2477</xdr:row>
      <xdr:rowOff>0</xdr:rowOff>
    </xdr:from>
    <xdr:to>
      <xdr:col>0</xdr:col>
      <xdr:colOff>304800</xdr:colOff>
      <xdr:row>2478</xdr:row>
      <xdr:rowOff>152400</xdr:rowOff>
    </xdr:to>
    <xdr:sp macro="" textlink="">
      <xdr:nvSpPr>
        <xdr:cNvPr id="395" name="Shape 3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2483</xdr:row>
      <xdr:rowOff>0</xdr:rowOff>
    </xdr:from>
    <xdr:to>
      <xdr:col>0</xdr:col>
      <xdr:colOff>304800</xdr:colOff>
      <xdr:row>2484</xdr:row>
      <xdr:rowOff>152400</xdr:rowOff>
    </xdr:to>
    <xdr:sp macro="" textlink="">
      <xdr:nvSpPr>
        <xdr:cNvPr id="396" name="Shape 3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2489</xdr:row>
      <xdr:rowOff>0</xdr:rowOff>
    </xdr:from>
    <xdr:to>
      <xdr:col>0</xdr:col>
      <xdr:colOff>304800</xdr:colOff>
      <xdr:row>2490</xdr:row>
      <xdr:rowOff>152400</xdr:rowOff>
    </xdr:to>
    <xdr:sp macro="" textlink="">
      <xdr:nvSpPr>
        <xdr:cNvPr id="397" name="Shape 3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2495</xdr:row>
      <xdr:rowOff>0</xdr:rowOff>
    </xdr:from>
    <xdr:to>
      <xdr:col>0</xdr:col>
      <xdr:colOff>304800</xdr:colOff>
      <xdr:row>2496</xdr:row>
      <xdr:rowOff>152400</xdr:rowOff>
    </xdr:to>
    <xdr:sp macro="" textlink="">
      <xdr:nvSpPr>
        <xdr:cNvPr id="398" name="Shape 3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2501</xdr:row>
      <xdr:rowOff>0</xdr:rowOff>
    </xdr:from>
    <xdr:to>
      <xdr:col>0</xdr:col>
      <xdr:colOff>304800</xdr:colOff>
      <xdr:row>2502</xdr:row>
      <xdr:rowOff>152400</xdr:rowOff>
    </xdr:to>
    <xdr:sp macro="" textlink="">
      <xdr:nvSpPr>
        <xdr:cNvPr id="399" name="Shape 3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2507</xdr:row>
      <xdr:rowOff>0</xdr:rowOff>
    </xdr:from>
    <xdr:to>
      <xdr:col>0</xdr:col>
      <xdr:colOff>304800</xdr:colOff>
      <xdr:row>2508</xdr:row>
      <xdr:rowOff>152400</xdr:rowOff>
    </xdr:to>
    <xdr:sp macro="" textlink="">
      <xdr:nvSpPr>
        <xdr:cNvPr id="400" name="Shape 3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2513</xdr:row>
      <xdr:rowOff>0</xdr:rowOff>
    </xdr:from>
    <xdr:to>
      <xdr:col>0</xdr:col>
      <xdr:colOff>304800</xdr:colOff>
      <xdr:row>2514</xdr:row>
      <xdr:rowOff>152400</xdr:rowOff>
    </xdr:to>
    <xdr:sp macro="" textlink="">
      <xdr:nvSpPr>
        <xdr:cNvPr id="401" name="Shape 3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2519</xdr:row>
      <xdr:rowOff>0</xdr:rowOff>
    </xdr:from>
    <xdr:to>
      <xdr:col>0</xdr:col>
      <xdr:colOff>304800</xdr:colOff>
      <xdr:row>2520</xdr:row>
      <xdr:rowOff>152400</xdr:rowOff>
    </xdr:to>
    <xdr:sp macro="" textlink="">
      <xdr:nvSpPr>
        <xdr:cNvPr id="402" name="Shape 3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2525</xdr:row>
      <xdr:rowOff>0</xdr:rowOff>
    </xdr:from>
    <xdr:to>
      <xdr:col>0</xdr:col>
      <xdr:colOff>304800</xdr:colOff>
      <xdr:row>2526</xdr:row>
      <xdr:rowOff>152400</xdr:rowOff>
    </xdr:to>
    <xdr:sp macro="" textlink="">
      <xdr:nvSpPr>
        <xdr:cNvPr id="403" name="Shape 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2531</xdr:row>
      <xdr:rowOff>0</xdr:rowOff>
    </xdr:from>
    <xdr:to>
      <xdr:col>0</xdr:col>
      <xdr:colOff>304800</xdr:colOff>
      <xdr:row>2532</xdr:row>
      <xdr:rowOff>152400</xdr:rowOff>
    </xdr:to>
    <xdr:sp macro="" textlink="">
      <xdr:nvSpPr>
        <xdr:cNvPr id="404" name="Shape 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2537</xdr:row>
      <xdr:rowOff>0</xdr:rowOff>
    </xdr:from>
    <xdr:to>
      <xdr:col>0</xdr:col>
      <xdr:colOff>304800</xdr:colOff>
      <xdr:row>2538</xdr:row>
      <xdr:rowOff>152400</xdr:rowOff>
    </xdr:to>
    <xdr:sp macro="" textlink="">
      <xdr:nvSpPr>
        <xdr:cNvPr id="405" name="Shape 3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2543</xdr:row>
      <xdr:rowOff>0</xdr:rowOff>
    </xdr:from>
    <xdr:to>
      <xdr:col>0</xdr:col>
      <xdr:colOff>304800</xdr:colOff>
      <xdr:row>2544</xdr:row>
      <xdr:rowOff>152400</xdr:rowOff>
    </xdr:to>
    <xdr:sp macro="" textlink="">
      <xdr:nvSpPr>
        <xdr:cNvPr id="406" name="Shape 3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2549</xdr:row>
      <xdr:rowOff>0</xdr:rowOff>
    </xdr:from>
    <xdr:to>
      <xdr:col>0</xdr:col>
      <xdr:colOff>304800</xdr:colOff>
      <xdr:row>2550</xdr:row>
      <xdr:rowOff>152400</xdr:rowOff>
    </xdr:to>
    <xdr:sp macro="" textlink="">
      <xdr:nvSpPr>
        <xdr:cNvPr id="407" name="Shape 3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2555</xdr:row>
      <xdr:rowOff>0</xdr:rowOff>
    </xdr:from>
    <xdr:to>
      <xdr:col>0</xdr:col>
      <xdr:colOff>304800</xdr:colOff>
      <xdr:row>2556</xdr:row>
      <xdr:rowOff>152400</xdr:rowOff>
    </xdr:to>
    <xdr:sp macro="" textlink="">
      <xdr:nvSpPr>
        <xdr:cNvPr id="408" name="Shape 3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2562</xdr:row>
      <xdr:rowOff>0</xdr:rowOff>
    </xdr:from>
    <xdr:to>
      <xdr:col>0</xdr:col>
      <xdr:colOff>304800</xdr:colOff>
      <xdr:row>2563</xdr:row>
      <xdr:rowOff>152400</xdr:rowOff>
    </xdr:to>
    <xdr:sp macro="" textlink="">
      <xdr:nvSpPr>
        <xdr:cNvPr id="409" name="Shape 3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2568</xdr:row>
      <xdr:rowOff>0</xdr:rowOff>
    </xdr:from>
    <xdr:to>
      <xdr:col>0</xdr:col>
      <xdr:colOff>304800</xdr:colOff>
      <xdr:row>2569</xdr:row>
      <xdr:rowOff>152400</xdr:rowOff>
    </xdr:to>
    <xdr:sp macro="" textlink="">
      <xdr:nvSpPr>
        <xdr:cNvPr id="410" name="Shape 3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2574</xdr:row>
      <xdr:rowOff>0</xdr:rowOff>
    </xdr:from>
    <xdr:to>
      <xdr:col>0</xdr:col>
      <xdr:colOff>304800</xdr:colOff>
      <xdr:row>2575</xdr:row>
      <xdr:rowOff>152400</xdr:rowOff>
    </xdr:to>
    <xdr:sp macro="" textlink="">
      <xdr:nvSpPr>
        <xdr:cNvPr id="411" name="Shape 3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2580</xdr:row>
      <xdr:rowOff>0</xdr:rowOff>
    </xdr:from>
    <xdr:to>
      <xdr:col>0</xdr:col>
      <xdr:colOff>304800</xdr:colOff>
      <xdr:row>2581</xdr:row>
      <xdr:rowOff>152400</xdr:rowOff>
    </xdr:to>
    <xdr:sp macro="" textlink="">
      <xdr:nvSpPr>
        <xdr:cNvPr id="412" name="Shape 3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2586</xdr:row>
      <xdr:rowOff>0</xdr:rowOff>
    </xdr:from>
    <xdr:to>
      <xdr:col>0</xdr:col>
      <xdr:colOff>304800</xdr:colOff>
      <xdr:row>2587</xdr:row>
      <xdr:rowOff>152400</xdr:rowOff>
    </xdr:to>
    <xdr:sp macro="" textlink="">
      <xdr:nvSpPr>
        <xdr:cNvPr id="413" name="Shape 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2592</xdr:row>
      <xdr:rowOff>0</xdr:rowOff>
    </xdr:from>
    <xdr:to>
      <xdr:col>0</xdr:col>
      <xdr:colOff>304800</xdr:colOff>
      <xdr:row>2593</xdr:row>
      <xdr:rowOff>152400</xdr:rowOff>
    </xdr:to>
    <xdr:sp macro="" textlink="">
      <xdr:nvSpPr>
        <xdr:cNvPr id="414" name="Shape 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2598</xdr:row>
      <xdr:rowOff>0</xdr:rowOff>
    </xdr:from>
    <xdr:to>
      <xdr:col>0</xdr:col>
      <xdr:colOff>304800</xdr:colOff>
      <xdr:row>2599</xdr:row>
      <xdr:rowOff>152400</xdr:rowOff>
    </xdr:to>
    <xdr:sp macro="" textlink="">
      <xdr:nvSpPr>
        <xdr:cNvPr id="415" name="Shape 3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2604</xdr:row>
      <xdr:rowOff>0</xdr:rowOff>
    </xdr:from>
    <xdr:to>
      <xdr:col>0</xdr:col>
      <xdr:colOff>304800</xdr:colOff>
      <xdr:row>2605</xdr:row>
      <xdr:rowOff>152400</xdr:rowOff>
    </xdr:to>
    <xdr:sp macro="" textlink="">
      <xdr:nvSpPr>
        <xdr:cNvPr id="416" name="Shape 3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2610</xdr:row>
      <xdr:rowOff>0</xdr:rowOff>
    </xdr:from>
    <xdr:to>
      <xdr:col>0</xdr:col>
      <xdr:colOff>304800</xdr:colOff>
      <xdr:row>2611</xdr:row>
      <xdr:rowOff>152400</xdr:rowOff>
    </xdr:to>
    <xdr:sp macro="" textlink="">
      <xdr:nvSpPr>
        <xdr:cNvPr id="417" name="Shape 3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2616</xdr:row>
      <xdr:rowOff>0</xdr:rowOff>
    </xdr:from>
    <xdr:to>
      <xdr:col>0</xdr:col>
      <xdr:colOff>304800</xdr:colOff>
      <xdr:row>2617</xdr:row>
      <xdr:rowOff>152400</xdr:rowOff>
    </xdr:to>
    <xdr:sp macro="" textlink="">
      <xdr:nvSpPr>
        <xdr:cNvPr id="418" name="Shape 3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2622</xdr:row>
      <xdr:rowOff>0</xdr:rowOff>
    </xdr:from>
    <xdr:to>
      <xdr:col>0</xdr:col>
      <xdr:colOff>304800</xdr:colOff>
      <xdr:row>2623</xdr:row>
      <xdr:rowOff>152400</xdr:rowOff>
    </xdr:to>
    <xdr:sp macro="" textlink="">
      <xdr:nvSpPr>
        <xdr:cNvPr id="419" name="Shape 3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2628</xdr:row>
      <xdr:rowOff>0</xdr:rowOff>
    </xdr:from>
    <xdr:to>
      <xdr:col>0</xdr:col>
      <xdr:colOff>304800</xdr:colOff>
      <xdr:row>2629</xdr:row>
      <xdr:rowOff>152400</xdr:rowOff>
    </xdr:to>
    <xdr:sp macro="" textlink="">
      <xdr:nvSpPr>
        <xdr:cNvPr id="420" name="Shape 3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2634</xdr:row>
      <xdr:rowOff>0</xdr:rowOff>
    </xdr:from>
    <xdr:to>
      <xdr:col>0</xdr:col>
      <xdr:colOff>304800</xdr:colOff>
      <xdr:row>2635</xdr:row>
      <xdr:rowOff>152400</xdr:rowOff>
    </xdr:to>
    <xdr:sp macro="" textlink="">
      <xdr:nvSpPr>
        <xdr:cNvPr id="421" name="Shape 3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2640</xdr:row>
      <xdr:rowOff>0</xdr:rowOff>
    </xdr:from>
    <xdr:to>
      <xdr:col>0</xdr:col>
      <xdr:colOff>304800</xdr:colOff>
      <xdr:row>2641</xdr:row>
      <xdr:rowOff>152400</xdr:rowOff>
    </xdr:to>
    <xdr:sp macro="" textlink="">
      <xdr:nvSpPr>
        <xdr:cNvPr id="422" name="Shape 3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2646</xdr:row>
      <xdr:rowOff>0</xdr:rowOff>
    </xdr:from>
    <xdr:to>
      <xdr:col>0</xdr:col>
      <xdr:colOff>304800</xdr:colOff>
      <xdr:row>2647</xdr:row>
      <xdr:rowOff>152400</xdr:rowOff>
    </xdr:to>
    <xdr:sp macro="" textlink="">
      <xdr:nvSpPr>
        <xdr:cNvPr id="423" name="Shape 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2652</xdr:row>
      <xdr:rowOff>0</xdr:rowOff>
    </xdr:from>
    <xdr:to>
      <xdr:col>0</xdr:col>
      <xdr:colOff>304800</xdr:colOff>
      <xdr:row>2653</xdr:row>
      <xdr:rowOff>152400</xdr:rowOff>
    </xdr:to>
    <xdr:sp macro="" textlink="">
      <xdr:nvSpPr>
        <xdr:cNvPr id="424" name="Shape 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2658</xdr:row>
      <xdr:rowOff>0</xdr:rowOff>
    </xdr:from>
    <xdr:to>
      <xdr:col>0</xdr:col>
      <xdr:colOff>304800</xdr:colOff>
      <xdr:row>2659</xdr:row>
      <xdr:rowOff>152400</xdr:rowOff>
    </xdr:to>
    <xdr:sp macro="" textlink="">
      <xdr:nvSpPr>
        <xdr:cNvPr id="425" name="Shape 3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2664</xdr:row>
      <xdr:rowOff>0</xdr:rowOff>
    </xdr:from>
    <xdr:to>
      <xdr:col>0</xdr:col>
      <xdr:colOff>304800</xdr:colOff>
      <xdr:row>2665</xdr:row>
      <xdr:rowOff>152400</xdr:rowOff>
    </xdr:to>
    <xdr:sp macro="" textlink="">
      <xdr:nvSpPr>
        <xdr:cNvPr id="426" name="Shape 3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2670</xdr:row>
      <xdr:rowOff>0</xdr:rowOff>
    </xdr:from>
    <xdr:to>
      <xdr:col>0</xdr:col>
      <xdr:colOff>304800</xdr:colOff>
      <xdr:row>2671</xdr:row>
      <xdr:rowOff>152400</xdr:rowOff>
    </xdr:to>
    <xdr:sp macro="" textlink="">
      <xdr:nvSpPr>
        <xdr:cNvPr id="427" name="Shape 3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2676</xdr:row>
      <xdr:rowOff>0</xdr:rowOff>
    </xdr:from>
    <xdr:to>
      <xdr:col>0</xdr:col>
      <xdr:colOff>304800</xdr:colOff>
      <xdr:row>2677</xdr:row>
      <xdr:rowOff>152400</xdr:rowOff>
    </xdr:to>
    <xdr:sp macro="" textlink="">
      <xdr:nvSpPr>
        <xdr:cNvPr id="428" name="Shape 3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2682</xdr:row>
      <xdr:rowOff>0</xdr:rowOff>
    </xdr:from>
    <xdr:to>
      <xdr:col>0</xdr:col>
      <xdr:colOff>304800</xdr:colOff>
      <xdr:row>2683</xdr:row>
      <xdr:rowOff>152400</xdr:rowOff>
    </xdr:to>
    <xdr:sp macro="" textlink="">
      <xdr:nvSpPr>
        <xdr:cNvPr id="429" name="Shape 3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2688</xdr:row>
      <xdr:rowOff>0</xdr:rowOff>
    </xdr:from>
    <xdr:to>
      <xdr:col>0</xdr:col>
      <xdr:colOff>304800</xdr:colOff>
      <xdr:row>2689</xdr:row>
      <xdr:rowOff>152400</xdr:rowOff>
    </xdr:to>
    <xdr:sp macro="" textlink="">
      <xdr:nvSpPr>
        <xdr:cNvPr id="430" name="Shape 3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2694</xdr:row>
      <xdr:rowOff>0</xdr:rowOff>
    </xdr:from>
    <xdr:to>
      <xdr:col>0</xdr:col>
      <xdr:colOff>304800</xdr:colOff>
      <xdr:row>2695</xdr:row>
      <xdr:rowOff>152400</xdr:rowOff>
    </xdr:to>
    <xdr:sp macro="" textlink="">
      <xdr:nvSpPr>
        <xdr:cNvPr id="431" name="Shape 3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2700</xdr:row>
      <xdr:rowOff>0</xdr:rowOff>
    </xdr:from>
    <xdr:to>
      <xdr:col>0</xdr:col>
      <xdr:colOff>304800</xdr:colOff>
      <xdr:row>2701</xdr:row>
      <xdr:rowOff>152400</xdr:rowOff>
    </xdr:to>
    <xdr:sp macro="" textlink="">
      <xdr:nvSpPr>
        <xdr:cNvPr id="432" name="Shape 3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2706</xdr:row>
      <xdr:rowOff>0</xdr:rowOff>
    </xdr:from>
    <xdr:to>
      <xdr:col>0</xdr:col>
      <xdr:colOff>304800</xdr:colOff>
      <xdr:row>2707</xdr:row>
      <xdr:rowOff>152400</xdr:rowOff>
    </xdr:to>
    <xdr:sp macro="" textlink="">
      <xdr:nvSpPr>
        <xdr:cNvPr id="433" name="Shape 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2712</xdr:row>
      <xdr:rowOff>0</xdr:rowOff>
    </xdr:from>
    <xdr:to>
      <xdr:col>0</xdr:col>
      <xdr:colOff>304800</xdr:colOff>
      <xdr:row>2713</xdr:row>
      <xdr:rowOff>152400</xdr:rowOff>
    </xdr:to>
    <xdr:sp macro="" textlink="">
      <xdr:nvSpPr>
        <xdr:cNvPr id="434" name="Shape 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2719</xdr:row>
      <xdr:rowOff>0</xdr:rowOff>
    </xdr:from>
    <xdr:to>
      <xdr:col>0</xdr:col>
      <xdr:colOff>304800</xdr:colOff>
      <xdr:row>2720</xdr:row>
      <xdr:rowOff>152400</xdr:rowOff>
    </xdr:to>
    <xdr:sp macro="" textlink="">
      <xdr:nvSpPr>
        <xdr:cNvPr id="435" name="Shape 3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2725</xdr:row>
      <xdr:rowOff>0</xdr:rowOff>
    </xdr:from>
    <xdr:to>
      <xdr:col>0</xdr:col>
      <xdr:colOff>304800</xdr:colOff>
      <xdr:row>2726</xdr:row>
      <xdr:rowOff>152400</xdr:rowOff>
    </xdr:to>
    <xdr:sp macro="" textlink="">
      <xdr:nvSpPr>
        <xdr:cNvPr id="436" name="Shape 3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2731</xdr:row>
      <xdr:rowOff>0</xdr:rowOff>
    </xdr:from>
    <xdr:to>
      <xdr:col>0</xdr:col>
      <xdr:colOff>304800</xdr:colOff>
      <xdr:row>2732</xdr:row>
      <xdr:rowOff>152400</xdr:rowOff>
    </xdr:to>
    <xdr:sp macro="" textlink="">
      <xdr:nvSpPr>
        <xdr:cNvPr id="437" name="Shape 3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2737</xdr:row>
      <xdr:rowOff>0</xdr:rowOff>
    </xdr:from>
    <xdr:to>
      <xdr:col>0</xdr:col>
      <xdr:colOff>304800</xdr:colOff>
      <xdr:row>2738</xdr:row>
      <xdr:rowOff>152400</xdr:rowOff>
    </xdr:to>
    <xdr:sp macro="" textlink="">
      <xdr:nvSpPr>
        <xdr:cNvPr id="438" name="Shape 3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2743</xdr:row>
      <xdr:rowOff>0</xdr:rowOff>
    </xdr:from>
    <xdr:to>
      <xdr:col>0</xdr:col>
      <xdr:colOff>304800</xdr:colOff>
      <xdr:row>2744</xdr:row>
      <xdr:rowOff>152400</xdr:rowOff>
    </xdr:to>
    <xdr:sp macro="" textlink="">
      <xdr:nvSpPr>
        <xdr:cNvPr id="439" name="Shape 3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2749</xdr:row>
      <xdr:rowOff>0</xdr:rowOff>
    </xdr:from>
    <xdr:to>
      <xdr:col>0</xdr:col>
      <xdr:colOff>304800</xdr:colOff>
      <xdr:row>2750</xdr:row>
      <xdr:rowOff>152400</xdr:rowOff>
    </xdr:to>
    <xdr:sp macro="" textlink="">
      <xdr:nvSpPr>
        <xdr:cNvPr id="440" name="Shape 3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2755</xdr:row>
      <xdr:rowOff>0</xdr:rowOff>
    </xdr:from>
    <xdr:to>
      <xdr:col>0</xdr:col>
      <xdr:colOff>304800</xdr:colOff>
      <xdr:row>2756</xdr:row>
      <xdr:rowOff>152400</xdr:rowOff>
    </xdr:to>
    <xdr:sp macro="" textlink="">
      <xdr:nvSpPr>
        <xdr:cNvPr id="441" name="Shape 3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2761</xdr:row>
      <xdr:rowOff>0</xdr:rowOff>
    </xdr:from>
    <xdr:to>
      <xdr:col>0</xdr:col>
      <xdr:colOff>304800</xdr:colOff>
      <xdr:row>2762</xdr:row>
      <xdr:rowOff>152400</xdr:rowOff>
    </xdr:to>
    <xdr:sp macro="" textlink="">
      <xdr:nvSpPr>
        <xdr:cNvPr id="442" name="Shape 3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2767</xdr:row>
      <xdr:rowOff>0</xdr:rowOff>
    </xdr:from>
    <xdr:to>
      <xdr:col>0</xdr:col>
      <xdr:colOff>304800</xdr:colOff>
      <xdr:row>2768</xdr:row>
      <xdr:rowOff>152400</xdr:rowOff>
    </xdr:to>
    <xdr:sp macro="" textlink="">
      <xdr:nvSpPr>
        <xdr:cNvPr id="443" name="Shape 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2773</xdr:row>
      <xdr:rowOff>0</xdr:rowOff>
    </xdr:from>
    <xdr:to>
      <xdr:col>0</xdr:col>
      <xdr:colOff>304800</xdr:colOff>
      <xdr:row>2774</xdr:row>
      <xdr:rowOff>152400</xdr:rowOff>
    </xdr:to>
    <xdr:sp macro="" textlink="">
      <xdr:nvSpPr>
        <xdr:cNvPr id="444" name="Shape 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2780</xdr:row>
      <xdr:rowOff>0</xdr:rowOff>
    </xdr:from>
    <xdr:to>
      <xdr:col>0</xdr:col>
      <xdr:colOff>304800</xdr:colOff>
      <xdr:row>2781</xdr:row>
      <xdr:rowOff>152400</xdr:rowOff>
    </xdr:to>
    <xdr:sp macro="" textlink="">
      <xdr:nvSpPr>
        <xdr:cNvPr id="445" name="Shape 3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2786</xdr:row>
      <xdr:rowOff>0</xdr:rowOff>
    </xdr:from>
    <xdr:to>
      <xdr:col>0</xdr:col>
      <xdr:colOff>304800</xdr:colOff>
      <xdr:row>2787</xdr:row>
      <xdr:rowOff>152400</xdr:rowOff>
    </xdr:to>
    <xdr:sp macro="" textlink="">
      <xdr:nvSpPr>
        <xdr:cNvPr id="446" name="Shape 3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2792</xdr:row>
      <xdr:rowOff>0</xdr:rowOff>
    </xdr:from>
    <xdr:to>
      <xdr:col>0</xdr:col>
      <xdr:colOff>304800</xdr:colOff>
      <xdr:row>2793</xdr:row>
      <xdr:rowOff>152400</xdr:rowOff>
    </xdr:to>
    <xdr:sp macro="" textlink="">
      <xdr:nvSpPr>
        <xdr:cNvPr id="447" name="Shape 3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2798</xdr:row>
      <xdr:rowOff>0</xdr:rowOff>
    </xdr:from>
    <xdr:to>
      <xdr:col>0</xdr:col>
      <xdr:colOff>304800</xdr:colOff>
      <xdr:row>2799</xdr:row>
      <xdr:rowOff>152400</xdr:rowOff>
    </xdr:to>
    <xdr:sp macro="" textlink="">
      <xdr:nvSpPr>
        <xdr:cNvPr id="448" name="Shape 3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2805</xdr:row>
      <xdr:rowOff>0</xdr:rowOff>
    </xdr:from>
    <xdr:to>
      <xdr:col>0</xdr:col>
      <xdr:colOff>304800</xdr:colOff>
      <xdr:row>2806</xdr:row>
      <xdr:rowOff>152400</xdr:rowOff>
    </xdr:to>
    <xdr:sp macro="" textlink="">
      <xdr:nvSpPr>
        <xdr:cNvPr id="449" name="Shape 3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2811</xdr:row>
      <xdr:rowOff>0</xdr:rowOff>
    </xdr:from>
    <xdr:to>
      <xdr:col>0</xdr:col>
      <xdr:colOff>304800</xdr:colOff>
      <xdr:row>2812</xdr:row>
      <xdr:rowOff>152400</xdr:rowOff>
    </xdr:to>
    <xdr:sp macro="" textlink="">
      <xdr:nvSpPr>
        <xdr:cNvPr id="450" name="Shape 3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2817</xdr:row>
      <xdr:rowOff>0</xdr:rowOff>
    </xdr:from>
    <xdr:to>
      <xdr:col>0</xdr:col>
      <xdr:colOff>304800</xdr:colOff>
      <xdr:row>2818</xdr:row>
      <xdr:rowOff>152400</xdr:rowOff>
    </xdr:to>
    <xdr:sp macro="" textlink="">
      <xdr:nvSpPr>
        <xdr:cNvPr id="451" name="Shape 3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2823</xdr:row>
      <xdr:rowOff>0</xdr:rowOff>
    </xdr:from>
    <xdr:to>
      <xdr:col>0</xdr:col>
      <xdr:colOff>304800</xdr:colOff>
      <xdr:row>2824</xdr:row>
      <xdr:rowOff>152400</xdr:rowOff>
    </xdr:to>
    <xdr:sp macro="" textlink="">
      <xdr:nvSpPr>
        <xdr:cNvPr id="452" name="Shape 3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2829</xdr:row>
      <xdr:rowOff>0</xdr:rowOff>
    </xdr:from>
    <xdr:to>
      <xdr:col>0</xdr:col>
      <xdr:colOff>304800</xdr:colOff>
      <xdr:row>2830</xdr:row>
      <xdr:rowOff>152400</xdr:rowOff>
    </xdr:to>
    <xdr:sp macro="" textlink="">
      <xdr:nvSpPr>
        <xdr:cNvPr id="453" name="Shape 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2835</xdr:row>
      <xdr:rowOff>0</xdr:rowOff>
    </xdr:from>
    <xdr:to>
      <xdr:col>0</xdr:col>
      <xdr:colOff>304800</xdr:colOff>
      <xdr:row>2836</xdr:row>
      <xdr:rowOff>152400</xdr:rowOff>
    </xdr:to>
    <xdr:sp macro="" textlink="">
      <xdr:nvSpPr>
        <xdr:cNvPr id="454" name="Shape 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2841</xdr:row>
      <xdr:rowOff>0</xdr:rowOff>
    </xdr:from>
    <xdr:to>
      <xdr:col>0</xdr:col>
      <xdr:colOff>304800</xdr:colOff>
      <xdr:row>2842</xdr:row>
      <xdr:rowOff>152400</xdr:rowOff>
    </xdr:to>
    <xdr:sp macro="" textlink="">
      <xdr:nvSpPr>
        <xdr:cNvPr id="455" name="Shape 3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2848</xdr:row>
      <xdr:rowOff>0</xdr:rowOff>
    </xdr:from>
    <xdr:to>
      <xdr:col>0</xdr:col>
      <xdr:colOff>304800</xdr:colOff>
      <xdr:row>2849</xdr:row>
      <xdr:rowOff>152400</xdr:rowOff>
    </xdr:to>
    <xdr:sp macro="" textlink="">
      <xdr:nvSpPr>
        <xdr:cNvPr id="456" name="Shape 3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2854</xdr:row>
      <xdr:rowOff>0</xdr:rowOff>
    </xdr:from>
    <xdr:to>
      <xdr:col>0</xdr:col>
      <xdr:colOff>304800</xdr:colOff>
      <xdr:row>2855</xdr:row>
      <xdr:rowOff>152400</xdr:rowOff>
    </xdr:to>
    <xdr:sp macro="" textlink="">
      <xdr:nvSpPr>
        <xdr:cNvPr id="457" name="Shape 3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2860</xdr:row>
      <xdr:rowOff>0</xdr:rowOff>
    </xdr:from>
    <xdr:to>
      <xdr:col>0</xdr:col>
      <xdr:colOff>304800</xdr:colOff>
      <xdr:row>2861</xdr:row>
      <xdr:rowOff>152400</xdr:rowOff>
    </xdr:to>
    <xdr:sp macro="" textlink="">
      <xdr:nvSpPr>
        <xdr:cNvPr id="458" name="Shape 3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2866</xdr:row>
      <xdr:rowOff>0</xdr:rowOff>
    </xdr:from>
    <xdr:to>
      <xdr:col>0</xdr:col>
      <xdr:colOff>304800</xdr:colOff>
      <xdr:row>2867</xdr:row>
      <xdr:rowOff>152400</xdr:rowOff>
    </xdr:to>
    <xdr:sp macro="" textlink="">
      <xdr:nvSpPr>
        <xdr:cNvPr id="459" name="Shape 3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2872</xdr:row>
      <xdr:rowOff>0</xdr:rowOff>
    </xdr:from>
    <xdr:to>
      <xdr:col>0</xdr:col>
      <xdr:colOff>304800</xdr:colOff>
      <xdr:row>2873</xdr:row>
      <xdr:rowOff>152400</xdr:rowOff>
    </xdr:to>
    <xdr:sp macro="" textlink="">
      <xdr:nvSpPr>
        <xdr:cNvPr id="460" name="Shape 3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2878</xdr:row>
      <xdr:rowOff>0</xdr:rowOff>
    </xdr:from>
    <xdr:to>
      <xdr:col>0</xdr:col>
      <xdr:colOff>304800</xdr:colOff>
      <xdr:row>2879</xdr:row>
      <xdr:rowOff>152400</xdr:rowOff>
    </xdr:to>
    <xdr:sp macro="" textlink="">
      <xdr:nvSpPr>
        <xdr:cNvPr id="461" name="Shape 3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2885</xdr:row>
      <xdr:rowOff>0</xdr:rowOff>
    </xdr:from>
    <xdr:to>
      <xdr:col>0</xdr:col>
      <xdr:colOff>304800</xdr:colOff>
      <xdr:row>2886</xdr:row>
      <xdr:rowOff>152400</xdr:rowOff>
    </xdr:to>
    <xdr:sp macro="" textlink="">
      <xdr:nvSpPr>
        <xdr:cNvPr id="462" name="Shape 3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2891</xdr:row>
      <xdr:rowOff>0</xdr:rowOff>
    </xdr:from>
    <xdr:to>
      <xdr:col>0</xdr:col>
      <xdr:colOff>304800</xdr:colOff>
      <xdr:row>2892</xdr:row>
      <xdr:rowOff>152400</xdr:rowOff>
    </xdr:to>
    <xdr:sp macro="" textlink="">
      <xdr:nvSpPr>
        <xdr:cNvPr id="463" name="Shape 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2897</xdr:row>
      <xdr:rowOff>0</xdr:rowOff>
    </xdr:from>
    <xdr:to>
      <xdr:col>0</xdr:col>
      <xdr:colOff>304800</xdr:colOff>
      <xdr:row>2898</xdr:row>
      <xdr:rowOff>152400</xdr:rowOff>
    </xdr:to>
    <xdr:sp macro="" textlink="">
      <xdr:nvSpPr>
        <xdr:cNvPr id="464" name="Shape 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2904</xdr:row>
      <xdr:rowOff>0</xdr:rowOff>
    </xdr:from>
    <xdr:to>
      <xdr:col>0</xdr:col>
      <xdr:colOff>304800</xdr:colOff>
      <xdr:row>2905</xdr:row>
      <xdr:rowOff>152400</xdr:rowOff>
    </xdr:to>
    <xdr:sp macro="" textlink="">
      <xdr:nvSpPr>
        <xdr:cNvPr id="465" name="Shape 3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2910</xdr:row>
      <xdr:rowOff>0</xdr:rowOff>
    </xdr:from>
    <xdr:to>
      <xdr:col>0</xdr:col>
      <xdr:colOff>304800</xdr:colOff>
      <xdr:row>2911</xdr:row>
      <xdr:rowOff>152400</xdr:rowOff>
    </xdr:to>
    <xdr:sp macro="" textlink="">
      <xdr:nvSpPr>
        <xdr:cNvPr id="466" name="Shape 3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2916</xdr:row>
      <xdr:rowOff>0</xdr:rowOff>
    </xdr:from>
    <xdr:to>
      <xdr:col>0</xdr:col>
      <xdr:colOff>304800</xdr:colOff>
      <xdr:row>2917</xdr:row>
      <xdr:rowOff>152400</xdr:rowOff>
    </xdr:to>
    <xdr:sp macro="" textlink="">
      <xdr:nvSpPr>
        <xdr:cNvPr id="467" name="Shape 3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2922</xdr:row>
      <xdr:rowOff>0</xdr:rowOff>
    </xdr:from>
    <xdr:to>
      <xdr:col>0</xdr:col>
      <xdr:colOff>304800</xdr:colOff>
      <xdr:row>2923</xdr:row>
      <xdr:rowOff>152400</xdr:rowOff>
    </xdr:to>
    <xdr:sp macro="" textlink="">
      <xdr:nvSpPr>
        <xdr:cNvPr id="468" name="Shape 3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2928</xdr:row>
      <xdr:rowOff>0</xdr:rowOff>
    </xdr:from>
    <xdr:to>
      <xdr:col>0</xdr:col>
      <xdr:colOff>304800</xdr:colOff>
      <xdr:row>2929</xdr:row>
      <xdr:rowOff>152400</xdr:rowOff>
    </xdr:to>
    <xdr:sp macro="" textlink="">
      <xdr:nvSpPr>
        <xdr:cNvPr id="469" name="Shape 3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2934</xdr:row>
      <xdr:rowOff>0</xdr:rowOff>
    </xdr:from>
    <xdr:to>
      <xdr:col>0</xdr:col>
      <xdr:colOff>304800</xdr:colOff>
      <xdr:row>2935</xdr:row>
      <xdr:rowOff>152400</xdr:rowOff>
    </xdr:to>
    <xdr:sp macro="" textlink="">
      <xdr:nvSpPr>
        <xdr:cNvPr id="470" name="Shape 3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2940</xdr:row>
      <xdr:rowOff>0</xdr:rowOff>
    </xdr:from>
    <xdr:to>
      <xdr:col>0</xdr:col>
      <xdr:colOff>304800</xdr:colOff>
      <xdr:row>2941</xdr:row>
      <xdr:rowOff>152400</xdr:rowOff>
    </xdr:to>
    <xdr:sp macro="" textlink="">
      <xdr:nvSpPr>
        <xdr:cNvPr id="471" name="Shape 3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2947</xdr:row>
      <xdr:rowOff>0</xdr:rowOff>
    </xdr:from>
    <xdr:to>
      <xdr:col>0</xdr:col>
      <xdr:colOff>304800</xdr:colOff>
      <xdr:row>2948</xdr:row>
      <xdr:rowOff>152400</xdr:rowOff>
    </xdr:to>
    <xdr:sp macro="" textlink="">
      <xdr:nvSpPr>
        <xdr:cNvPr id="472" name="Shape 3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2954</xdr:row>
      <xdr:rowOff>0</xdr:rowOff>
    </xdr:from>
    <xdr:to>
      <xdr:col>0</xdr:col>
      <xdr:colOff>304800</xdr:colOff>
      <xdr:row>2955</xdr:row>
      <xdr:rowOff>152400</xdr:rowOff>
    </xdr:to>
    <xdr:sp macro="" textlink="">
      <xdr:nvSpPr>
        <xdr:cNvPr id="473" name="Shape 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2961</xdr:row>
      <xdr:rowOff>0</xdr:rowOff>
    </xdr:from>
    <xdr:to>
      <xdr:col>0</xdr:col>
      <xdr:colOff>304800</xdr:colOff>
      <xdr:row>2962</xdr:row>
      <xdr:rowOff>152400</xdr:rowOff>
    </xdr:to>
    <xdr:sp macro="" textlink="">
      <xdr:nvSpPr>
        <xdr:cNvPr id="474" name="Shape 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2968</xdr:row>
      <xdr:rowOff>0</xdr:rowOff>
    </xdr:from>
    <xdr:to>
      <xdr:col>0</xdr:col>
      <xdr:colOff>304800</xdr:colOff>
      <xdr:row>2969</xdr:row>
      <xdr:rowOff>152400</xdr:rowOff>
    </xdr:to>
    <xdr:sp macro="" textlink="">
      <xdr:nvSpPr>
        <xdr:cNvPr id="475" name="Shape 3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2974</xdr:row>
      <xdr:rowOff>0</xdr:rowOff>
    </xdr:from>
    <xdr:to>
      <xdr:col>0</xdr:col>
      <xdr:colOff>304800</xdr:colOff>
      <xdr:row>2975</xdr:row>
      <xdr:rowOff>152400</xdr:rowOff>
    </xdr:to>
    <xdr:sp macro="" textlink="">
      <xdr:nvSpPr>
        <xdr:cNvPr id="476" name="Shape 3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2980</xdr:row>
      <xdr:rowOff>0</xdr:rowOff>
    </xdr:from>
    <xdr:to>
      <xdr:col>0</xdr:col>
      <xdr:colOff>304800</xdr:colOff>
      <xdr:row>2981</xdr:row>
      <xdr:rowOff>152400</xdr:rowOff>
    </xdr:to>
    <xdr:sp macro="" textlink="">
      <xdr:nvSpPr>
        <xdr:cNvPr id="477" name="Shape 3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2987</xdr:row>
      <xdr:rowOff>0</xdr:rowOff>
    </xdr:from>
    <xdr:to>
      <xdr:col>0</xdr:col>
      <xdr:colOff>304800</xdr:colOff>
      <xdr:row>2988</xdr:row>
      <xdr:rowOff>152400</xdr:rowOff>
    </xdr:to>
    <xdr:sp macro="" textlink="">
      <xdr:nvSpPr>
        <xdr:cNvPr id="478" name="Shape 3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2993</xdr:row>
      <xdr:rowOff>0</xdr:rowOff>
    </xdr:from>
    <xdr:to>
      <xdr:col>0</xdr:col>
      <xdr:colOff>304800</xdr:colOff>
      <xdr:row>2994</xdr:row>
      <xdr:rowOff>152400</xdr:rowOff>
    </xdr:to>
    <xdr:sp macro="" textlink="">
      <xdr:nvSpPr>
        <xdr:cNvPr id="479" name="Shape 3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2999</xdr:row>
      <xdr:rowOff>0</xdr:rowOff>
    </xdr:from>
    <xdr:to>
      <xdr:col>0</xdr:col>
      <xdr:colOff>304800</xdr:colOff>
      <xdr:row>3000</xdr:row>
      <xdr:rowOff>152400</xdr:rowOff>
    </xdr:to>
    <xdr:sp macro="" textlink="">
      <xdr:nvSpPr>
        <xdr:cNvPr id="480" name="Shape 3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3005</xdr:row>
      <xdr:rowOff>0</xdr:rowOff>
    </xdr:from>
    <xdr:to>
      <xdr:col>0</xdr:col>
      <xdr:colOff>304800</xdr:colOff>
      <xdr:row>3006</xdr:row>
      <xdr:rowOff>152400</xdr:rowOff>
    </xdr:to>
    <xdr:sp macro="" textlink="">
      <xdr:nvSpPr>
        <xdr:cNvPr id="481" name="Shape 3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3011</xdr:row>
      <xdr:rowOff>0</xdr:rowOff>
    </xdr:from>
    <xdr:to>
      <xdr:col>0</xdr:col>
      <xdr:colOff>304800</xdr:colOff>
      <xdr:row>3012</xdr:row>
      <xdr:rowOff>152400</xdr:rowOff>
    </xdr:to>
    <xdr:sp macro="" textlink="">
      <xdr:nvSpPr>
        <xdr:cNvPr id="482" name="Shape 3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3017</xdr:row>
      <xdr:rowOff>0</xdr:rowOff>
    </xdr:from>
    <xdr:to>
      <xdr:col>0</xdr:col>
      <xdr:colOff>304800</xdr:colOff>
      <xdr:row>3018</xdr:row>
      <xdr:rowOff>152400</xdr:rowOff>
    </xdr:to>
    <xdr:sp macro="" textlink="">
      <xdr:nvSpPr>
        <xdr:cNvPr id="483" name="Shape 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3023</xdr:row>
      <xdr:rowOff>0</xdr:rowOff>
    </xdr:from>
    <xdr:to>
      <xdr:col>0</xdr:col>
      <xdr:colOff>304800</xdr:colOff>
      <xdr:row>3024</xdr:row>
      <xdr:rowOff>152400</xdr:rowOff>
    </xdr:to>
    <xdr:sp macro="" textlink="">
      <xdr:nvSpPr>
        <xdr:cNvPr id="484" name="Shape 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3029</xdr:row>
      <xdr:rowOff>0</xdr:rowOff>
    </xdr:from>
    <xdr:to>
      <xdr:col>0</xdr:col>
      <xdr:colOff>304800</xdr:colOff>
      <xdr:row>3030</xdr:row>
      <xdr:rowOff>152400</xdr:rowOff>
    </xdr:to>
    <xdr:sp macro="" textlink="">
      <xdr:nvSpPr>
        <xdr:cNvPr id="485" name="Shape 3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3035</xdr:row>
      <xdr:rowOff>0</xdr:rowOff>
    </xdr:from>
    <xdr:to>
      <xdr:col>0</xdr:col>
      <xdr:colOff>304800</xdr:colOff>
      <xdr:row>3036</xdr:row>
      <xdr:rowOff>152400</xdr:rowOff>
    </xdr:to>
    <xdr:sp macro="" textlink="">
      <xdr:nvSpPr>
        <xdr:cNvPr id="486" name="Shape 3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3041</xdr:row>
      <xdr:rowOff>0</xdr:rowOff>
    </xdr:from>
    <xdr:to>
      <xdr:col>0</xdr:col>
      <xdr:colOff>304800</xdr:colOff>
      <xdr:row>3042</xdr:row>
      <xdr:rowOff>152400</xdr:rowOff>
    </xdr:to>
    <xdr:sp macro="" textlink="">
      <xdr:nvSpPr>
        <xdr:cNvPr id="487" name="Shape 3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3047</xdr:row>
      <xdr:rowOff>0</xdr:rowOff>
    </xdr:from>
    <xdr:to>
      <xdr:col>0</xdr:col>
      <xdr:colOff>304800</xdr:colOff>
      <xdr:row>3048</xdr:row>
      <xdr:rowOff>152400</xdr:rowOff>
    </xdr:to>
    <xdr:sp macro="" textlink="">
      <xdr:nvSpPr>
        <xdr:cNvPr id="488" name="Shape 3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3053</xdr:row>
      <xdr:rowOff>0</xdr:rowOff>
    </xdr:from>
    <xdr:to>
      <xdr:col>0</xdr:col>
      <xdr:colOff>304800</xdr:colOff>
      <xdr:row>3054</xdr:row>
      <xdr:rowOff>152400</xdr:rowOff>
    </xdr:to>
    <xdr:sp macro="" textlink="">
      <xdr:nvSpPr>
        <xdr:cNvPr id="489" name="Shape 3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3059</xdr:row>
      <xdr:rowOff>0</xdr:rowOff>
    </xdr:from>
    <xdr:to>
      <xdr:col>0</xdr:col>
      <xdr:colOff>304800</xdr:colOff>
      <xdr:row>3060</xdr:row>
      <xdr:rowOff>152400</xdr:rowOff>
    </xdr:to>
    <xdr:sp macro="" textlink="">
      <xdr:nvSpPr>
        <xdr:cNvPr id="490" name="Shape 3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3065</xdr:row>
      <xdr:rowOff>0</xdr:rowOff>
    </xdr:from>
    <xdr:to>
      <xdr:col>0</xdr:col>
      <xdr:colOff>304800</xdr:colOff>
      <xdr:row>3066</xdr:row>
      <xdr:rowOff>152400</xdr:rowOff>
    </xdr:to>
    <xdr:sp macro="" textlink="">
      <xdr:nvSpPr>
        <xdr:cNvPr id="491" name="Shape 3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3071</xdr:row>
      <xdr:rowOff>0</xdr:rowOff>
    </xdr:from>
    <xdr:to>
      <xdr:col>0</xdr:col>
      <xdr:colOff>304800</xdr:colOff>
      <xdr:row>3072</xdr:row>
      <xdr:rowOff>152400</xdr:rowOff>
    </xdr:to>
    <xdr:sp macro="" textlink="">
      <xdr:nvSpPr>
        <xdr:cNvPr id="492" name="Shape 3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3077</xdr:row>
      <xdr:rowOff>0</xdr:rowOff>
    </xdr:from>
    <xdr:to>
      <xdr:col>0</xdr:col>
      <xdr:colOff>304800</xdr:colOff>
      <xdr:row>3078</xdr:row>
      <xdr:rowOff>152400</xdr:rowOff>
    </xdr:to>
    <xdr:sp macro="" textlink="">
      <xdr:nvSpPr>
        <xdr:cNvPr id="493" name="Shape 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3083</xdr:row>
      <xdr:rowOff>0</xdr:rowOff>
    </xdr:from>
    <xdr:to>
      <xdr:col>0</xdr:col>
      <xdr:colOff>304800</xdr:colOff>
      <xdr:row>3084</xdr:row>
      <xdr:rowOff>152400</xdr:rowOff>
    </xdr:to>
    <xdr:sp macro="" textlink="">
      <xdr:nvSpPr>
        <xdr:cNvPr id="494" name="Shape 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3089</xdr:row>
      <xdr:rowOff>0</xdr:rowOff>
    </xdr:from>
    <xdr:to>
      <xdr:col>0</xdr:col>
      <xdr:colOff>304800</xdr:colOff>
      <xdr:row>3090</xdr:row>
      <xdr:rowOff>152400</xdr:rowOff>
    </xdr:to>
    <xdr:sp macro="" textlink="">
      <xdr:nvSpPr>
        <xdr:cNvPr id="495" name="Shape 3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3095</xdr:row>
      <xdr:rowOff>0</xdr:rowOff>
    </xdr:from>
    <xdr:to>
      <xdr:col>0</xdr:col>
      <xdr:colOff>304800</xdr:colOff>
      <xdr:row>3096</xdr:row>
      <xdr:rowOff>152400</xdr:rowOff>
    </xdr:to>
    <xdr:sp macro="" textlink="">
      <xdr:nvSpPr>
        <xdr:cNvPr id="496" name="Shape 3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3101</xdr:row>
      <xdr:rowOff>0</xdr:rowOff>
    </xdr:from>
    <xdr:to>
      <xdr:col>0</xdr:col>
      <xdr:colOff>304800</xdr:colOff>
      <xdr:row>3102</xdr:row>
      <xdr:rowOff>152400</xdr:rowOff>
    </xdr:to>
    <xdr:sp macro="" textlink="">
      <xdr:nvSpPr>
        <xdr:cNvPr id="497" name="Shape 3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3107</xdr:row>
      <xdr:rowOff>0</xdr:rowOff>
    </xdr:from>
    <xdr:to>
      <xdr:col>0</xdr:col>
      <xdr:colOff>304800</xdr:colOff>
      <xdr:row>3108</xdr:row>
      <xdr:rowOff>152400</xdr:rowOff>
    </xdr:to>
    <xdr:sp macro="" textlink="">
      <xdr:nvSpPr>
        <xdr:cNvPr id="498" name="Shape 3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3113</xdr:row>
      <xdr:rowOff>0</xdr:rowOff>
    </xdr:from>
    <xdr:to>
      <xdr:col>0</xdr:col>
      <xdr:colOff>304800</xdr:colOff>
      <xdr:row>3114</xdr:row>
      <xdr:rowOff>152400</xdr:rowOff>
    </xdr:to>
    <xdr:sp macro="" textlink="">
      <xdr:nvSpPr>
        <xdr:cNvPr id="499" name="Shape 3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3119</xdr:row>
      <xdr:rowOff>0</xdr:rowOff>
    </xdr:from>
    <xdr:to>
      <xdr:col>0</xdr:col>
      <xdr:colOff>304800</xdr:colOff>
      <xdr:row>3120</xdr:row>
      <xdr:rowOff>152400</xdr:rowOff>
    </xdr:to>
    <xdr:sp macro="" textlink="">
      <xdr:nvSpPr>
        <xdr:cNvPr id="500" name="Shape 3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3125</xdr:row>
      <xdr:rowOff>0</xdr:rowOff>
    </xdr:from>
    <xdr:to>
      <xdr:col>0</xdr:col>
      <xdr:colOff>304800</xdr:colOff>
      <xdr:row>3126</xdr:row>
      <xdr:rowOff>152400</xdr:rowOff>
    </xdr:to>
    <xdr:sp macro="" textlink="">
      <xdr:nvSpPr>
        <xdr:cNvPr id="501" name="Shape 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3131</xdr:row>
      <xdr:rowOff>0</xdr:rowOff>
    </xdr:from>
    <xdr:to>
      <xdr:col>0</xdr:col>
      <xdr:colOff>304800</xdr:colOff>
      <xdr:row>3132</xdr:row>
      <xdr:rowOff>152400</xdr:rowOff>
    </xdr:to>
    <xdr:sp macro="" textlink="">
      <xdr:nvSpPr>
        <xdr:cNvPr id="502" name="Shape 3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3137</xdr:row>
      <xdr:rowOff>0</xdr:rowOff>
    </xdr:from>
    <xdr:to>
      <xdr:col>0</xdr:col>
      <xdr:colOff>304800</xdr:colOff>
      <xdr:row>3138</xdr:row>
      <xdr:rowOff>152400</xdr:rowOff>
    </xdr:to>
    <xdr:sp macro="" textlink="">
      <xdr:nvSpPr>
        <xdr:cNvPr id="503" name="Shape 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3143</xdr:row>
      <xdr:rowOff>0</xdr:rowOff>
    </xdr:from>
    <xdr:to>
      <xdr:col>0</xdr:col>
      <xdr:colOff>304800</xdr:colOff>
      <xdr:row>3144</xdr:row>
      <xdr:rowOff>152400</xdr:rowOff>
    </xdr:to>
    <xdr:sp macro="" textlink="">
      <xdr:nvSpPr>
        <xdr:cNvPr id="504" name="Shape 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3150</xdr:row>
      <xdr:rowOff>0</xdr:rowOff>
    </xdr:from>
    <xdr:to>
      <xdr:col>0</xdr:col>
      <xdr:colOff>304800</xdr:colOff>
      <xdr:row>3151</xdr:row>
      <xdr:rowOff>152400</xdr:rowOff>
    </xdr:to>
    <xdr:sp macro="" textlink="">
      <xdr:nvSpPr>
        <xdr:cNvPr id="505" name="Shape 3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3156</xdr:row>
      <xdr:rowOff>0</xdr:rowOff>
    </xdr:from>
    <xdr:to>
      <xdr:col>0</xdr:col>
      <xdr:colOff>304800</xdr:colOff>
      <xdr:row>3157</xdr:row>
      <xdr:rowOff>152400</xdr:rowOff>
    </xdr:to>
    <xdr:sp macro="" textlink="">
      <xdr:nvSpPr>
        <xdr:cNvPr id="506" name="Shape 3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3162</xdr:row>
      <xdr:rowOff>0</xdr:rowOff>
    </xdr:from>
    <xdr:to>
      <xdr:col>0</xdr:col>
      <xdr:colOff>304800</xdr:colOff>
      <xdr:row>3163</xdr:row>
      <xdr:rowOff>152400</xdr:rowOff>
    </xdr:to>
    <xdr:sp macro="" textlink="">
      <xdr:nvSpPr>
        <xdr:cNvPr id="507" name="Shape 3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3168</xdr:row>
      <xdr:rowOff>0</xdr:rowOff>
    </xdr:from>
    <xdr:to>
      <xdr:col>0</xdr:col>
      <xdr:colOff>304800</xdr:colOff>
      <xdr:row>3169</xdr:row>
      <xdr:rowOff>152400</xdr:rowOff>
    </xdr:to>
    <xdr:sp macro="" textlink="">
      <xdr:nvSpPr>
        <xdr:cNvPr id="508" name="Shape 3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3174</xdr:row>
      <xdr:rowOff>0</xdr:rowOff>
    </xdr:from>
    <xdr:to>
      <xdr:col>0</xdr:col>
      <xdr:colOff>304800</xdr:colOff>
      <xdr:row>3175</xdr:row>
      <xdr:rowOff>152400</xdr:rowOff>
    </xdr:to>
    <xdr:sp macro="" textlink="">
      <xdr:nvSpPr>
        <xdr:cNvPr id="509" name="Shape 3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3180</xdr:row>
      <xdr:rowOff>0</xdr:rowOff>
    </xdr:from>
    <xdr:to>
      <xdr:col>0</xdr:col>
      <xdr:colOff>304800</xdr:colOff>
      <xdr:row>3181</xdr:row>
      <xdr:rowOff>152400</xdr:rowOff>
    </xdr:to>
    <xdr:sp macro="" textlink="">
      <xdr:nvSpPr>
        <xdr:cNvPr id="510" name="Shape 3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3186</xdr:row>
      <xdr:rowOff>0</xdr:rowOff>
    </xdr:from>
    <xdr:to>
      <xdr:col>0</xdr:col>
      <xdr:colOff>304800</xdr:colOff>
      <xdr:row>3187</xdr:row>
      <xdr:rowOff>152400</xdr:rowOff>
    </xdr:to>
    <xdr:sp macro="" textlink="">
      <xdr:nvSpPr>
        <xdr:cNvPr id="511" name="Shape 3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3192</xdr:row>
      <xdr:rowOff>0</xdr:rowOff>
    </xdr:from>
    <xdr:to>
      <xdr:col>0</xdr:col>
      <xdr:colOff>304800</xdr:colOff>
      <xdr:row>3193</xdr:row>
      <xdr:rowOff>152400</xdr:rowOff>
    </xdr:to>
    <xdr:sp macro="" textlink="">
      <xdr:nvSpPr>
        <xdr:cNvPr id="512" name="Shape 3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3198</xdr:row>
      <xdr:rowOff>0</xdr:rowOff>
    </xdr:from>
    <xdr:to>
      <xdr:col>0</xdr:col>
      <xdr:colOff>304800</xdr:colOff>
      <xdr:row>3199</xdr:row>
      <xdr:rowOff>152400</xdr:rowOff>
    </xdr:to>
    <xdr:sp macro="" textlink="">
      <xdr:nvSpPr>
        <xdr:cNvPr id="513" name="Shape 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3204</xdr:row>
      <xdr:rowOff>0</xdr:rowOff>
    </xdr:from>
    <xdr:to>
      <xdr:col>0</xdr:col>
      <xdr:colOff>304800</xdr:colOff>
      <xdr:row>3205</xdr:row>
      <xdr:rowOff>152400</xdr:rowOff>
    </xdr:to>
    <xdr:sp macro="" textlink="">
      <xdr:nvSpPr>
        <xdr:cNvPr id="514" name="Shape 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3211</xdr:row>
      <xdr:rowOff>0</xdr:rowOff>
    </xdr:from>
    <xdr:to>
      <xdr:col>0</xdr:col>
      <xdr:colOff>304800</xdr:colOff>
      <xdr:row>3212</xdr:row>
      <xdr:rowOff>152400</xdr:rowOff>
    </xdr:to>
    <xdr:sp macro="" textlink="">
      <xdr:nvSpPr>
        <xdr:cNvPr id="515" name="Shape 3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3217</xdr:row>
      <xdr:rowOff>0</xdr:rowOff>
    </xdr:from>
    <xdr:to>
      <xdr:col>0</xdr:col>
      <xdr:colOff>304800</xdr:colOff>
      <xdr:row>3218</xdr:row>
      <xdr:rowOff>152400</xdr:rowOff>
    </xdr:to>
    <xdr:sp macro="" textlink="">
      <xdr:nvSpPr>
        <xdr:cNvPr id="516" name="Shape 3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3224</xdr:row>
      <xdr:rowOff>0</xdr:rowOff>
    </xdr:from>
    <xdr:to>
      <xdr:col>0</xdr:col>
      <xdr:colOff>304800</xdr:colOff>
      <xdr:row>3225</xdr:row>
      <xdr:rowOff>152400</xdr:rowOff>
    </xdr:to>
    <xdr:sp macro="" textlink="">
      <xdr:nvSpPr>
        <xdr:cNvPr id="517" name="Shape 3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3230</xdr:row>
      <xdr:rowOff>0</xdr:rowOff>
    </xdr:from>
    <xdr:to>
      <xdr:col>0</xdr:col>
      <xdr:colOff>304800</xdr:colOff>
      <xdr:row>3231</xdr:row>
      <xdr:rowOff>152400</xdr:rowOff>
    </xdr:to>
    <xdr:sp macro="" textlink="">
      <xdr:nvSpPr>
        <xdr:cNvPr id="518" name="Shape 3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3236</xdr:row>
      <xdr:rowOff>0</xdr:rowOff>
    </xdr:from>
    <xdr:to>
      <xdr:col>0</xdr:col>
      <xdr:colOff>304800</xdr:colOff>
      <xdr:row>3237</xdr:row>
      <xdr:rowOff>152400</xdr:rowOff>
    </xdr:to>
    <xdr:sp macro="" textlink="">
      <xdr:nvSpPr>
        <xdr:cNvPr id="519" name="Shape 3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3242</xdr:row>
      <xdr:rowOff>0</xdr:rowOff>
    </xdr:from>
    <xdr:to>
      <xdr:col>0</xdr:col>
      <xdr:colOff>304800</xdr:colOff>
      <xdr:row>3243</xdr:row>
      <xdr:rowOff>152400</xdr:rowOff>
    </xdr:to>
    <xdr:sp macro="" textlink="">
      <xdr:nvSpPr>
        <xdr:cNvPr id="520" name="Shape 3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3249</xdr:row>
      <xdr:rowOff>0</xdr:rowOff>
    </xdr:from>
    <xdr:to>
      <xdr:col>0</xdr:col>
      <xdr:colOff>304800</xdr:colOff>
      <xdr:row>3250</xdr:row>
      <xdr:rowOff>152400</xdr:rowOff>
    </xdr:to>
    <xdr:sp macro="" textlink="">
      <xdr:nvSpPr>
        <xdr:cNvPr id="521" name="Shape 3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3255</xdr:row>
      <xdr:rowOff>0</xdr:rowOff>
    </xdr:from>
    <xdr:to>
      <xdr:col>0</xdr:col>
      <xdr:colOff>304800</xdr:colOff>
      <xdr:row>3256</xdr:row>
      <xdr:rowOff>152400</xdr:rowOff>
    </xdr:to>
    <xdr:sp macro="" textlink="">
      <xdr:nvSpPr>
        <xdr:cNvPr id="522" name="Shape 3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3261</xdr:row>
      <xdr:rowOff>0</xdr:rowOff>
    </xdr:from>
    <xdr:to>
      <xdr:col>0</xdr:col>
      <xdr:colOff>304800</xdr:colOff>
      <xdr:row>3262</xdr:row>
      <xdr:rowOff>152400</xdr:rowOff>
    </xdr:to>
    <xdr:sp macro="" textlink="">
      <xdr:nvSpPr>
        <xdr:cNvPr id="523" name="Shape 3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3267</xdr:row>
      <xdr:rowOff>0</xdr:rowOff>
    </xdr:from>
    <xdr:to>
      <xdr:col>0</xdr:col>
      <xdr:colOff>304800</xdr:colOff>
      <xdr:row>3268</xdr:row>
      <xdr:rowOff>152400</xdr:rowOff>
    </xdr:to>
    <xdr:sp macro="" textlink="">
      <xdr:nvSpPr>
        <xdr:cNvPr id="524" name="Shape 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3273</xdr:row>
      <xdr:rowOff>0</xdr:rowOff>
    </xdr:from>
    <xdr:to>
      <xdr:col>0</xdr:col>
      <xdr:colOff>304800</xdr:colOff>
      <xdr:row>3274</xdr:row>
      <xdr:rowOff>152400</xdr:rowOff>
    </xdr:to>
    <xdr:sp macro="" textlink="">
      <xdr:nvSpPr>
        <xdr:cNvPr id="525" name="Shape 3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3279</xdr:row>
      <xdr:rowOff>0</xdr:rowOff>
    </xdr:from>
    <xdr:to>
      <xdr:col>0</xdr:col>
      <xdr:colOff>304800</xdr:colOff>
      <xdr:row>3280</xdr:row>
      <xdr:rowOff>152400</xdr:rowOff>
    </xdr:to>
    <xdr:sp macro="" textlink="">
      <xdr:nvSpPr>
        <xdr:cNvPr id="526" name="Shape 3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3285</xdr:row>
      <xdr:rowOff>0</xdr:rowOff>
    </xdr:from>
    <xdr:to>
      <xdr:col>0</xdr:col>
      <xdr:colOff>304800</xdr:colOff>
      <xdr:row>3286</xdr:row>
      <xdr:rowOff>152400</xdr:rowOff>
    </xdr:to>
    <xdr:sp macro="" textlink="">
      <xdr:nvSpPr>
        <xdr:cNvPr id="527" name="Shape 3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3291</xdr:row>
      <xdr:rowOff>0</xdr:rowOff>
    </xdr:from>
    <xdr:to>
      <xdr:col>0</xdr:col>
      <xdr:colOff>304800</xdr:colOff>
      <xdr:row>3292</xdr:row>
      <xdr:rowOff>152400</xdr:rowOff>
    </xdr:to>
    <xdr:sp macro="" textlink="">
      <xdr:nvSpPr>
        <xdr:cNvPr id="528" name="Shape 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3297</xdr:row>
      <xdr:rowOff>0</xdr:rowOff>
    </xdr:from>
    <xdr:to>
      <xdr:col>0</xdr:col>
      <xdr:colOff>304800</xdr:colOff>
      <xdr:row>3298</xdr:row>
      <xdr:rowOff>152400</xdr:rowOff>
    </xdr:to>
    <xdr:sp macro="" textlink="">
      <xdr:nvSpPr>
        <xdr:cNvPr id="529" name="Shape 3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3304</xdr:row>
      <xdr:rowOff>0</xdr:rowOff>
    </xdr:from>
    <xdr:to>
      <xdr:col>0</xdr:col>
      <xdr:colOff>304800</xdr:colOff>
      <xdr:row>3305</xdr:row>
      <xdr:rowOff>152400</xdr:rowOff>
    </xdr:to>
    <xdr:sp macro="" textlink="">
      <xdr:nvSpPr>
        <xdr:cNvPr id="530" name="Shape 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3310</xdr:row>
      <xdr:rowOff>0</xdr:rowOff>
    </xdr:from>
    <xdr:to>
      <xdr:col>0</xdr:col>
      <xdr:colOff>304800</xdr:colOff>
      <xdr:row>3311</xdr:row>
      <xdr:rowOff>152400</xdr:rowOff>
    </xdr:to>
    <xdr:sp macro="" textlink="">
      <xdr:nvSpPr>
        <xdr:cNvPr id="531" name="Shape 3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3316</xdr:row>
      <xdr:rowOff>0</xdr:rowOff>
    </xdr:from>
    <xdr:to>
      <xdr:col>0</xdr:col>
      <xdr:colOff>304800</xdr:colOff>
      <xdr:row>3317</xdr:row>
      <xdr:rowOff>152400</xdr:rowOff>
    </xdr:to>
    <xdr:sp macro="" textlink="">
      <xdr:nvSpPr>
        <xdr:cNvPr id="532" name="Shape 3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3322</xdr:row>
      <xdr:rowOff>0</xdr:rowOff>
    </xdr:from>
    <xdr:to>
      <xdr:col>0</xdr:col>
      <xdr:colOff>304800</xdr:colOff>
      <xdr:row>3323</xdr:row>
      <xdr:rowOff>152400</xdr:rowOff>
    </xdr:to>
    <xdr:sp macro="" textlink="">
      <xdr:nvSpPr>
        <xdr:cNvPr id="533" name="Shape 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3328</xdr:row>
      <xdr:rowOff>0</xdr:rowOff>
    </xdr:from>
    <xdr:to>
      <xdr:col>0</xdr:col>
      <xdr:colOff>304800</xdr:colOff>
      <xdr:row>3329</xdr:row>
      <xdr:rowOff>152400</xdr:rowOff>
    </xdr:to>
    <xdr:sp macro="" textlink="">
      <xdr:nvSpPr>
        <xdr:cNvPr id="534" name="Shape 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3335</xdr:row>
      <xdr:rowOff>0</xdr:rowOff>
    </xdr:from>
    <xdr:to>
      <xdr:col>0</xdr:col>
      <xdr:colOff>304800</xdr:colOff>
      <xdr:row>3336</xdr:row>
      <xdr:rowOff>152400</xdr:rowOff>
    </xdr:to>
    <xdr:sp macro="" textlink="">
      <xdr:nvSpPr>
        <xdr:cNvPr id="535" name="Shape 3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3342</xdr:row>
      <xdr:rowOff>0</xdr:rowOff>
    </xdr:from>
    <xdr:to>
      <xdr:col>0</xdr:col>
      <xdr:colOff>304800</xdr:colOff>
      <xdr:row>3343</xdr:row>
      <xdr:rowOff>152400</xdr:rowOff>
    </xdr:to>
    <xdr:sp macro="" textlink="">
      <xdr:nvSpPr>
        <xdr:cNvPr id="536" name="Shape 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3349</xdr:row>
      <xdr:rowOff>0</xdr:rowOff>
    </xdr:from>
    <xdr:to>
      <xdr:col>0</xdr:col>
      <xdr:colOff>304800</xdr:colOff>
      <xdr:row>3350</xdr:row>
      <xdr:rowOff>152400</xdr:rowOff>
    </xdr:to>
    <xdr:sp macro="" textlink="">
      <xdr:nvSpPr>
        <xdr:cNvPr id="537" name="Shape 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3355</xdr:row>
      <xdr:rowOff>0</xdr:rowOff>
    </xdr:from>
    <xdr:to>
      <xdr:col>0</xdr:col>
      <xdr:colOff>304800</xdr:colOff>
      <xdr:row>3356</xdr:row>
      <xdr:rowOff>152400</xdr:rowOff>
    </xdr:to>
    <xdr:sp macro="" textlink="">
      <xdr:nvSpPr>
        <xdr:cNvPr id="538" name="Shape 3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3361</xdr:row>
      <xdr:rowOff>0</xdr:rowOff>
    </xdr:from>
    <xdr:to>
      <xdr:col>0</xdr:col>
      <xdr:colOff>304800</xdr:colOff>
      <xdr:row>3362</xdr:row>
      <xdr:rowOff>152400</xdr:rowOff>
    </xdr:to>
    <xdr:sp macro="" textlink="">
      <xdr:nvSpPr>
        <xdr:cNvPr id="539" name="Shape 3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3367</xdr:row>
      <xdr:rowOff>0</xdr:rowOff>
    </xdr:from>
    <xdr:to>
      <xdr:col>0</xdr:col>
      <xdr:colOff>304800</xdr:colOff>
      <xdr:row>3368</xdr:row>
      <xdr:rowOff>152400</xdr:rowOff>
    </xdr:to>
    <xdr:sp macro="" textlink="">
      <xdr:nvSpPr>
        <xdr:cNvPr id="540" name="Shape 3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3374</xdr:row>
      <xdr:rowOff>0</xdr:rowOff>
    </xdr:from>
    <xdr:to>
      <xdr:col>0</xdr:col>
      <xdr:colOff>304800</xdr:colOff>
      <xdr:row>3375</xdr:row>
      <xdr:rowOff>152400</xdr:rowOff>
    </xdr:to>
    <xdr:sp macro="" textlink="">
      <xdr:nvSpPr>
        <xdr:cNvPr id="541" name="Shape 3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3381</xdr:row>
      <xdr:rowOff>0</xdr:rowOff>
    </xdr:from>
    <xdr:to>
      <xdr:col>0</xdr:col>
      <xdr:colOff>304800</xdr:colOff>
      <xdr:row>3382</xdr:row>
      <xdr:rowOff>152400</xdr:rowOff>
    </xdr:to>
    <xdr:sp macro="" textlink="">
      <xdr:nvSpPr>
        <xdr:cNvPr id="542" name="Shape 3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3387</xdr:row>
      <xdr:rowOff>0</xdr:rowOff>
    </xdr:from>
    <xdr:to>
      <xdr:col>0</xdr:col>
      <xdr:colOff>304800</xdr:colOff>
      <xdr:row>3388</xdr:row>
      <xdr:rowOff>152400</xdr:rowOff>
    </xdr:to>
    <xdr:sp macro="" textlink="">
      <xdr:nvSpPr>
        <xdr:cNvPr id="543" name="Shape 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3393</xdr:row>
      <xdr:rowOff>0</xdr:rowOff>
    </xdr:from>
    <xdr:to>
      <xdr:col>0</xdr:col>
      <xdr:colOff>304800</xdr:colOff>
      <xdr:row>3394</xdr:row>
      <xdr:rowOff>152400</xdr:rowOff>
    </xdr:to>
    <xdr:sp macro="" textlink="">
      <xdr:nvSpPr>
        <xdr:cNvPr id="544" name="Shape 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3399</xdr:row>
      <xdr:rowOff>0</xdr:rowOff>
    </xdr:from>
    <xdr:to>
      <xdr:col>0</xdr:col>
      <xdr:colOff>304800</xdr:colOff>
      <xdr:row>3400</xdr:row>
      <xdr:rowOff>152400</xdr:rowOff>
    </xdr:to>
    <xdr:sp macro="" textlink="">
      <xdr:nvSpPr>
        <xdr:cNvPr id="545" name="Shape 3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3405</xdr:row>
      <xdr:rowOff>0</xdr:rowOff>
    </xdr:from>
    <xdr:to>
      <xdr:col>0</xdr:col>
      <xdr:colOff>304800</xdr:colOff>
      <xdr:row>3406</xdr:row>
      <xdr:rowOff>152400</xdr:rowOff>
    </xdr:to>
    <xdr:sp macro="" textlink="">
      <xdr:nvSpPr>
        <xdr:cNvPr id="546" name="Shape 3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3411</xdr:row>
      <xdr:rowOff>0</xdr:rowOff>
    </xdr:from>
    <xdr:to>
      <xdr:col>0</xdr:col>
      <xdr:colOff>304800</xdr:colOff>
      <xdr:row>3412</xdr:row>
      <xdr:rowOff>152400</xdr:rowOff>
    </xdr:to>
    <xdr:sp macro="" textlink="">
      <xdr:nvSpPr>
        <xdr:cNvPr id="547" name="Shape 3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3417</xdr:row>
      <xdr:rowOff>0</xdr:rowOff>
    </xdr:from>
    <xdr:to>
      <xdr:col>0</xdr:col>
      <xdr:colOff>304800</xdr:colOff>
      <xdr:row>3418</xdr:row>
      <xdr:rowOff>152400</xdr:rowOff>
    </xdr:to>
    <xdr:sp macro="" textlink="">
      <xdr:nvSpPr>
        <xdr:cNvPr id="548" name="Shape 3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3423</xdr:row>
      <xdr:rowOff>0</xdr:rowOff>
    </xdr:from>
    <xdr:to>
      <xdr:col>0</xdr:col>
      <xdr:colOff>304800</xdr:colOff>
      <xdr:row>3424</xdr:row>
      <xdr:rowOff>152400</xdr:rowOff>
    </xdr:to>
    <xdr:sp macro="" textlink="">
      <xdr:nvSpPr>
        <xdr:cNvPr id="549" name="Shape 3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3430</xdr:row>
      <xdr:rowOff>0</xdr:rowOff>
    </xdr:from>
    <xdr:to>
      <xdr:col>0</xdr:col>
      <xdr:colOff>304800</xdr:colOff>
      <xdr:row>3431</xdr:row>
      <xdr:rowOff>152400</xdr:rowOff>
    </xdr:to>
    <xdr:sp macro="" textlink="">
      <xdr:nvSpPr>
        <xdr:cNvPr id="550" name="Shape 3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3436</xdr:row>
      <xdr:rowOff>0</xdr:rowOff>
    </xdr:from>
    <xdr:to>
      <xdr:col>0</xdr:col>
      <xdr:colOff>304800</xdr:colOff>
      <xdr:row>3437</xdr:row>
      <xdr:rowOff>152400</xdr:rowOff>
    </xdr:to>
    <xdr:sp macro="" textlink="">
      <xdr:nvSpPr>
        <xdr:cNvPr id="551" name="Shape 3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3442</xdr:row>
      <xdr:rowOff>0</xdr:rowOff>
    </xdr:from>
    <xdr:to>
      <xdr:col>0</xdr:col>
      <xdr:colOff>304800</xdr:colOff>
      <xdr:row>3443</xdr:row>
      <xdr:rowOff>152400</xdr:rowOff>
    </xdr:to>
    <xdr:sp macro="" textlink="">
      <xdr:nvSpPr>
        <xdr:cNvPr id="552" name="Shape 3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3448</xdr:row>
      <xdr:rowOff>0</xdr:rowOff>
    </xdr:from>
    <xdr:to>
      <xdr:col>0</xdr:col>
      <xdr:colOff>304800</xdr:colOff>
      <xdr:row>3449</xdr:row>
      <xdr:rowOff>152400</xdr:rowOff>
    </xdr:to>
    <xdr:sp macro="" textlink="">
      <xdr:nvSpPr>
        <xdr:cNvPr id="553" name="Shape 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3455</xdr:row>
      <xdr:rowOff>0</xdr:rowOff>
    </xdr:from>
    <xdr:to>
      <xdr:col>0</xdr:col>
      <xdr:colOff>304800</xdr:colOff>
      <xdr:row>3456</xdr:row>
      <xdr:rowOff>152400</xdr:rowOff>
    </xdr:to>
    <xdr:sp macro="" textlink="">
      <xdr:nvSpPr>
        <xdr:cNvPr id="554" name="Shape 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3461</xdr:row>
      <xdr:rowOff>0</xdr:rowOff>
    </xdr:from>
    <xdr:to>
      <xdr:col>0</xdr:col>
      <xdr:colOff>304800</xdr:colOff>
      <xdr:row>3462</xdr:row>
      <xdr:rowOff>152400</xdr:rowOff>
    </xdr:to>
    <xdr:sp macro="" textlink="">
      <xdr:nvSpPr>
        <xdr:cNvPr id="555" name="Shape 3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3467</xdr:row>
      <xdr:rowOff>0</xdr:rowOff>
    </xdr:from>
    <xdr:to>
      <xdr:col>0</xdr:col>
      <xdr:colOff>304800</xdr:colOff>
      <xdr:row>3468</xdr:row>
      <xdr:rowOff>152400</xdr:rowOff>
    </xdr:to>
    <xdr:sp macro="" textlink="">
      <xdr:nvSpPr>
        <xdr:cNvPr id="556" name="Shape 3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3474</xdr:row>
      <xdr:rowOff>0</xdr:rowOff>
    </xdr:from>
    <xdr:to>
      <xdr:col>0</xdr:col>
      <xdr:colOff>304800</xdr:colOff>
      <xdr:row>3475</xdr:row>
      <xdr:rowOff>152400</xdr:rowOff>
    </xdr:to>
    <xdr:sp macro="" textlink="">
      <xdr:nvSpPr>
        <xdr:cNvPr id="557" name="Shape 3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3480</xdr:row>
      <xdr:rowOff>0</xdr:rowOff>
    </xdr:from>
    <xdr:to>
      <xdr:col>0</xdr:col>
      <xdr:colOff>304800</xdr:colOff>
      <xdr:row>3481</xdr:row>
      <xdr:rowOff>152400</xdr:rowOff>
    </xdr:to>
    <xdr:sp macro="" textlink="">
      <xdr:nvSpPr>
        <xdr:cNvPr id="558" name="Shape 3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3486</xdr:row>
      <xdr:rowOff>0</xdr:rowOff>
    </xdr:from>
    <xdr:to>
      <xdr:col>0</xdr:col>
      <xdr:colOff>304800</xdr:colOff>
      <xdr:row>3487</xdr:row>
      <xdr:rowOff>152400</xdr:rowOff>
    </xdr:to>
    <xdr:sp macro="" textlink="">
      <xdr:nvSpPr>
        <xdr:cNvPr id="559" name="Shape 3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3492</xdr:row>
      <xdr:rowOff>0</xdr:rowOff>
    </xdr:from>
    <xdr:to>
      <xdr:col>0</xdr:col>
      <xdr:colOff>304800</xdr:colOff>
      <xdr:row>3493</xdr:row>
      <xdr:rowOff>152400</xdr:rowOff>
    </xdr:to>
    <xdr:sp macro="" textlink="">
      <xdr:nvSpPr>
        <xdr:cNvPr id="560" name="Shape 3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3498</xdr:row>
      <xdr:rowOff>0</xdr:rowOff>
    </xdr:from>
    <xdr:to>
      <xdr:col>0</xdr:col>
      <xdr:colOff>304800</xdr:colOff>
      <xdr:row>3499</xdr:row>
      <xdr:rowOff>152400</xdr:rowOff>
    </xdr:to>
    <xdr:sp macro="" textlink="">
      <xdr:nvSpPr>
        <xdr:cNvPr id="561" name="Shape 3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3504</xdr:row>
      <xdr:rowOff>0</xdr:rowOff>
    </xdr:from>
    <xdr:to>
      <xdr:col>0</xdr:col>
      <xdr:colOff>304800</xdr:colOff>
      <xdr:row>3505</xdr:row>
      <xdr:rowOff>152400</xdr:rowOff>
    </xdr:to>
    <xdr:sp macro="" textlink="">
      <xdr:nvSpPr>
        <xdr:cNvPr id="562" name="Shape 3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3510</xdr:row>
      <xdr:rowOff>0</xdr:rowOff>
    </xdr:from>
    <xdr:to>
      <xdr:col>0</xdr:col>
      <xdr:colOff>304800</xdr:colOff>
      <xdr:row>3511</xdr:row>
      <xdr:rowOff>152400</xdr:rowOff>
    </xdr:to>
    <xdr:sp macro="" textlink="">
      <xdr:nvSpPr>
        <xdr:cNvPr id="563" name="Shape 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3516</xdr:row>
      <xdr:rowOff>0</xdr:rowOff>
    </xdr:from>
    <xdr:to>
      <xdr:col>0</xdr:col>
      <xdr:colOff>304800</xdr:colOff>
      <xdr:row>3517</xdr:row>
      <xdr:rowOff>152400</xdr:rowOff>
    </xdr:to>
    <xdr:sp macro="" textlink="">
      <xdr:nvSpPr>
        <xdr:cNvPr id="564" name="Shape 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3522</xdr:row>
      <xdr:rowOff>0</xdr:rowOff>
    </xdr:from>
    <xdr:to>
      <xdr:col>0</xdr:col>
      <xdr:colOff>304800</xdr:colOff>
      <xdr:row>3523</xdr:row>
      <xdr:rowOff>152400</xdr:rowOff>
    </xdr:to>
    <xdr:sp macro="" textlink="">
      <xdr:nvSpPr>
        <xdr:cNvPr id="565" name="Shape 3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3528</xdr:row>
      <xdr:rowOff>0</xdr:rowOff>
    </xdr:from>
    <xdr:to>
      <xdr:col>0</xdr:col>
      <xdr:colOff>304800</xdr:colOff>
      <xdr:row>3529</xdr:row>
      <xdr:rowOff>152400</xdr:rowOff>
    </xdr:to>
    <xdr:sp macro="" textlink="">
      <xdr:nvSpPr>
        <xdr:cNvPr id="566" name="Shape 3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3534</xdr:row>
      <xdr:rowOff>0</xdr:rowOff>
    </xdr:from>
    <xdr:to>
      <xdr:col>0</xdr:col>
      <xdr:colOff>304800</xdr:colOff>
      <xdr:row>3535</xdr:row>
      <xdr:rowOff>152400</xdr:rowOff>
    </xdr:to>
    <xdr:sp macro="" textlink="">
      <xdr:nvSpPr>
        <xdr:cNvPr id="567" name="Shape 3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3540</xdr:row>
      <xdr:rowOff>0</xdr:rowOff>
    </xdr:from>
    <xdr:to>
      <xdr:col>0</xdr:col>
      <xdr:colOff>304800</xdr:colOff>
      <xdr:row>3541</xdr:row>
      <xdr:rowOff>152400</xdr:rowOff>
    </xdr:to>
    <xdr:sp macro="" textlink="">
      <xdr:nvSpPr>
        <xdr:cNvPr id="568" name="Shape 3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3546</xdr:row>
      <xdr:rowOff>0</xdr:rowOff>
    </xdr:from>
    <xdr:to>
      <xdr:col>0</xdr:col>
      <xdr:colOff>304800</xdr:colOff>
      <xdr:row>3547</xdr:row>
      <xdr:rowOff>152400</xdr:rowOff>
    </xdr:to>
    <xdr:sp macro="" textlink="">
      <xdr:nvSpPr>
        <xdr:cNvPr id="569" name="Shape 3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3553</xdr:row>
      <xdr:rowOff>0</xdr:rowOff>
    </xdr:from>
    <xdr:to>
      <xdr:col>0</xdr:col>
      <xdr:colOff>304800</xdr:colOff>
      <xdr:row>3554</xdr:row>
      <xdr:rowOff>152400</xdr:rowOff>
    </xdr:to>
    <xdr:sp macro="" textlink="">
      <xdr:nvSpPr>
        <xdr:cNvPr id="570" name="Shape 3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3559</xdr:row>
      <xdr:rowOff>0</xdr:rowOff>
    </xdr:from>
    <xdr:to>
      <xdr:col>0</xdr:col>
      <xdr:colOff>304800</xdr:colOff>
      <xdr:row>3560</xdr:row>
      <xdr:rowOff>152400</xdr:rowOff>
    </xdr:to>
    <xdr:sp macro="" textlink="">
      <xdr:nvSpPr>
        <xdr:cNvPr id="571" name="Shape 3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3565</xdr:row>
      <xdr:rowOff>0</xdr:rowOff>
    </xdr:from>
    <xdr:to>
      <xdr:col>0</xdr:col>
      <xdr:colOff>304800</xdr:colOff>
      <xdr:row>3566</xdr:row>
      <xdr:rowOff>152400</xdr:rowOff>
    </xdr:to>
    <xdr:sp macro="" textlink="">
      <xdr:nvSpPr>
        <xdr:cNvPr id="572" name="Shape 3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3571</xdr:row>
      <xdr:rowOff>0</xdr:rowOff>
    </xdr:from>
    <xdr:to>
      <xdr:col>0</xdr:col>
      <xdr:colOff>304800</xdr:colOff>
      <xdr:row>3572</xdr:row>
      <xdr:rowOff>152400</xdr:rowOff>
    </xdr:to>
    <xdr:sp macro="" textlink="">
      <xdr:nvSpPr>
        <xdr:cNvPr id="573" name="Shape 3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3577</xdr:row>
      <xdr:rowOff>0</xdr:rowOff>
    </xdr:from>
    <xdr:to>
      <xdr:col>0</xdr:col>
      <xdr:colOff>304800</xdr:colOff>
      <xdr:row>3578</xdr:row>
      <xdr:rowOff>152400</xdr:rowOff>
    </xdr:to>
    <xdr:sp macro="" textlink="">
      <xdr:nvSpPr>
        <xdr:cNvPr id="574" name="Shape 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3583</xdr:row>
      <xdr:rowOff>0</xdr:rowOff>
    </xdr:from>
    <xdr:to>
      <xdr:col>0</xdr:col>
      <xdr:colOff>304800</xdr:colOff>
      <xdr:row>3584</xdr:row>
      <xdr:rowOff>152400</xdr:rowOff>
    </xdr:to>
    <xdr:sp macro="" textlink="">
      <xdr:nvSpPr>
        <xdr:cNvPr id="575" name="Shape 3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3589</xdr:row>
      <xdr:rowOff>0</xdr:rowOff>
    </xdr:from>
    <xdr:to>
      <xdr:col>0</xdr:col>
      <xdr:colOff>304800</xdr:colOff>
      <xdr:row>3590</xdr:row>
      <xdr:rowOff>152400</xdr:rowOff>
    </xdr:to>
    <xdr:sp macro="" textlink="">
      <xdr:nvSpPr>
        <xdr:cNvPr id="576" name="Shape 3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3595</xdr:row>
      <xdr:rowOff>0</xdr:rowOff>
    </xdr:from>
    <xdr:to>
      <xdr:col>0</xdr:col>
      <xdr:colOff>304800</xdr:colOff>
      <xdr:row>3596</xdr:row>
      <xdr:rowOff>152400</xdr:rowOff>
    </xdr:to>
    <xdr:sp macro="" textlink="">
      <xdr:nvSpPr>
        <xdr:cNvPr id="577" name="Shape 3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3602</xdr:row>
      <xdr:rowOff>0</xdr:rowOff>
    </xdr:from>
    <xdr:to>
      <xdr:col>0</xdr:col>
      <xdr:colOff>304800</xdr:colOff>
      <xdr:row>3603</xdr:row>
      <xdr:rowOff>152400</xdr:rowOff>
    </xdr:to>
    <xdr:sp macro="" textlink="">
      <xdr:nvSpPr>
        <xdr:cNvPr id="578" name="Shape 3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3608</xdr:row>
      <xdr:rowOff>0</xdr:rowOff>
    </xdr:from>
    <xdr:to>
      <xdr:col>0</xdr:col>
      <xdr:colOff>304800</xdr:colOff>
      <xdr:row>3609</xdr:row>
      <xdr:rowOff>152400</xdr:rowOff>
    </xdr:to>
    <xdr:sp macro="" textlink="">
      <xdr:nvSpPr>
        <xdr:cNvPr id="579" name="Shape 3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3614</xdr:row>
      <xdr:rowOff>0</xdr:rowOff>
    </xdr:from>
    <xdr:to>
      <xdr:col>0</xdr:col>
      <xdr:colOff>304800</xdr:colOff>
      <xdr:row>3615</xdr:row>
      <xdr:rowOff>152400</xdr:rowOff>
    </xdr:to>
    <xdr:sp macro="" textlink="">
      <xdr:nvSpPr>
        <xdr:cNvPr id="580" name="Shape 3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3620</xdr:row>
      <xdr:rowOff>0</xdr:rowOff>
    </xdr:from>
    <xdr:to>
      <xdr:col>0</xdr:col>
      <xdr:colOff>304800</xdr:colOff>
      <xdr:row>3621</xdr:row>
      <xdr:rowOff>152400</xdr:rowOff>
    </xdr:to>
    <xdr:sp macro="" textlink="">
      <xdr:nvSpPr>
        <xdr:cNvPr id="581" name="Shape 3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3626</xdr:row>
      <xdr:rowOff>0</xdr:rowOff>
    </xdr:from>
    <xdr:to>
      <xdr:col>0</xdr:col>
      <xdr:colOff>304800</xdr:colOff>
      <xdr:row>3627</xdr:row>
      <xdr:rowOff>152400</xdr:rowOff>
    </xdr:to>
    <xdr:sp macro="" textlink="">
      <xdr:nvSpPr>
        <xdr:cNvPr id="582" name="Shape 3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3632</xdr:row>
      <xdr:rowOff>0</xdr:rowOff>
    </xdr:from>
    <xdr:to>
      <xdr:col>0</xdr:col>
      <xdr:colOff>304800</xdr:colOff>
      <xdr:row>3633</xdr:row>
      <xdr:rowOff>152400</xdr:rowOff>
    </xdr:to>
    <xdr:sp macro="" textlink="">
      <xdr:nvSpPr>
        <xdr:cNvPr id="583" name="Shape 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3638</xdr:row>
      <xdr:rowOff>0</xdr:rowOff>
    </xdr:from>
    <xdr:to>
      <xdr:col>0</xdr:col>
      <xdr:colOff>304800</xdr:colOff>
      <xdr:row>3639</xdr:row>
      <xdr:rowOff>152400</xdr:rowOff>
    </xdr:to>
    <xdr:sp macro="" textlink="">
      <xdr:nvSpPr>
        <xdr:cNvPr id="584" name="Shape 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3644</xdr:row>
      <xdr:rowOff>0</xdr:rowOff>
    </xdr:from>
    <xdr:to>
      <xdr:col>0</xdr:col>
      <xdr:colOff>304800</xdr:colOff>
      <xdr:row>3645</xdr:row>
      <xdr:rowOff>152400</xdr:rowOff>
    </xdr:to>
    <xdr:sp macro="" textlink="">
      <xdr:nvSpPr>
        <xdr:cNvPr id="585" name="Shape 3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3650</xdr:row>
      <xdr:rowOff>0</xdr:rowOff>
    </xdr:from>
    <xdr:to>
      <xdr:col>0</xdr:col>
      <xdr:colOff>304800</xdr:colOff>
      <xdr:row>3651</xdr:row>
      <xdr:rowOff>152400</xdr:rowOff>
    </xdr:to>
    <xdr:sp macro="" textlink="">
      <xdr:nvSpPr>
        <xdr:cNvPr id="586" name="Shape 3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3656</xdr:row>
      <xdr:rowOff>0</xdr:rowOff>
    </xdr:from>
    <xdr:to>
      <xdr:col>0</xdr:col>
      <xdr:colOff>304800</xdr:colOff>
      <xdr:row>3657</xdr:row>
      <xdr:rowOff>152400</xdr:rowOff>
    </xdr:to>
    <xdr:sp macro="" textlink="">
      <xdr:nvSpPr>
        <xdr:cNvPr id="587" name="Shape 3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3662</xdr:row>
      <xdr:rowOff>0</xdr:rowOff>
    </xdr:from>
    <xdr:to>
      <xdr:col>0</xdr:col>
      <xdr:colOff>304800</xdr:colOff>
      <xdr:row>3663</xdr:row>
      <xdr:rowOff>152400</xdr:rowOff>
    </xdr:to>
    <xdr:sp macro="" textlink="">
      <xdr:nvSpPr>
        <xdr:cNvPr id="588" name="Shape 3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3668</xdr:row>
      <xdr:rowOff>0</xdr:rowOff>
    </xdr:from>
    <xdr:to>
      <xdr:col>0</xdr:col>
      <xdr:colOff>304800</xdr:colOff>
      <xdr:row>3669</xdr:row>
      <xdr:rowOff>152400</xdr:rowOff>
    </xdr:to>
    <xdr:sp macro="" textlink="">
      <xdr:nvSpPr>
        <xdr:cNvPr id="589" name="Shape 3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3674</xdr:row>
      <xdr:rowOff>0</xdr:rowOff>
    </xdr:from>
    <xdr:to>
      <xdr:col>0</xdr:col>
      <xdr:colOff>304800</xdr:colOff>
      <xdr:row>3675</xdr:row>
      <xdr:rowOff>152400</xdr:rowOff>
    </xdr:to>
    <xdr:sp macro="" textlink="">
      <xdr:nvSpPr>
        <xdr:cNvPr id="590" name="Shape 3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3680</xdr:row>
      <xdr:rowOff>0</xdr:rowOff>
    </xdr:from>
    <xdr:to>
      <xdr:col>0</xdr:col>
      <xdr:colOff>304800</xdr:colOff>
      <xdr:row>3681</xdr:row>
      <xdr:rowOff>152400</xdr:rowOff>
    </xdr:to>
    <xdr:sp macro="" textlink="">
      <xdr:nvSpPr>
        <xdr:cNvPr id="591" name="Shape 3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3686</xdr:row>
      <xdr:rowOff>0</xdr:rowOff>
    </xdr:from>
    <xdr:to>
      <xdr:col>0</xdr:col>
      <xdr:colOff>304800</xdr:colOff>
      <xdr:row>3687</xdr:row>
      <xdr:rowOff>152400</xdr:rowOff>
    </xdr:to>
    <xdr:sp macro="" textlink="">
      <xdr:nvSpPr>
        <xdr:cNvPr id="592" name="Shape 3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3692</xdr:row>
      <xdr:rowOff>0</xdr:rowOff>
    </xdr:from>
    <xdr:to>
      <xdr:col>0</xdr:col>
      <xdr:colOff>304800</xdr:colOff>
      <xdr:row>3693</xdr:row>
      <xdr:rowOff>152400</xdr:rowOff>
    </xdr:to>
    <xdr:sp macro="" textlink="">
      <xdr:nvSpPr>
        <xdr:cNvPr id="593" name="Shape 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3698</xdr:row>
      <xdr:rowOff>0</xdr:rowOff>
    </xdr:from>
    <xdr:to>
      <xdr:col>0</xdr:col>
      <xdr:colOff>304800</xdr:colOff>
      <xdr:row>3699</xdr:row>
      <xdr:rowOff>152400</xdr:rowOff>
    </xdr:to>
    <xdr:sp macro="" textlink="">
      <xdr:nvSpPr>
        <xdr:cNvPr id="594" name="Shape 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3704</xdr:row>
      <xdr:rowOff>0</xdr:rowOff>
    </xdr:from>
    <xdr:to>
      <xdr:col>0</xdr:col>
      <xdr:colOff>304800</xdr:colOff>
      <xdr:row>3705</xdr:row>
      <xdr:rowOff>152400</xdr:rowOff>
    </xdr:to>
    <xdr:sp macro="" textlink="">
      <xdr:nvSpPr>
        <xdr:cNvPr id="595" name="Shape 3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3711</xdr:row>
      <xdr:rowOff>0</xdr:rowOff>
    </xdr:from>
    <xdr:to>
      <xdr:col>0</xdr:col>
      <xdr:colOff>304800</xdr:colOff>
      <xdr:row>3712</xdr:row>
      <xdr:rowOff>152400</xdr:rowOff>
    </xdr:to>
    <xdr:sp macro="" textlink="">
      <xdr:nvSpPr>
        <xdr:cNvPr id="596" name="Shape 3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3717</xdr:row>
      <xdr:rowOff>0</xdr:rowOff>
    </xdr:from>
    <xdr:to>
      <xdr:col>0</xdr:col>
      <xdr:colOff>304800</xdr:colOff>
      <xdr:row>3718</xdr:row>
      <xdr:rowOff>152400</xdr:rowOff>
    </xdr:to>
    <xdr:sp macro="" textlink="">
      <xdr:nvSpPr>
        <xdr:cNvPr id="597" name="Shape 3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3723</xdr:row>
      <xdr:rowOff>0</xdr:rowOff>
    </xdr:from>
    <xdr:to>
      <xdr:col>0</xdr:col>
      <xdr:colOff>304800</xdr:colOff>
      <xdr:row>3724</xdr:row>
      <xdr:rowOff>152400</xdr:rowOff>
    </xdr:to>
    <xdr:sp macro="" textlink="">
      <xdr:nvSpPr>
        <xdr:cNvPr id="598" name="Shape 3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3729</xdr:row>
      <xdr:rowOff>0</xdr:rowOff>
    </xdr:from>
    <xdr:to>
      <xdr:col>0</xdr:col>
      <xdr:colOff>304800</xdr:colOff>
      <xdr:row>3730</xdr:row>
      <xdr:rowOff>152400</xdr:rowOff>
    </xdr:to>
    <xdr:sp macro="" textlink="">
      <xdr:nvSpPr>
        <xdr:cNvPr id="599" name="Shape 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3735</xdr:row>
      <xdr:rowOff>0</xdr:rowOff>
    </xdr:from>
    <xdr:to>
      <xdr:col>0</xdr:col>
      <xdr:colOff>304800</xdr:colOff>
      <xdr:row>3736</xdr:row>
      <xdr:rowOff>152400</xdr:rowOff>
    </xdr:to>
    <xdr:sp macro="" textlink="">
      <xdr:nvSpPr>
        <xdr:cNvPr id="600" name="Shape 3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3742</xdr:row>
      <xdr:rowOff>0</xdr:rowOff>
    </xdr:from>
    <xdr:to>
      <xdr:col>0</xdr:col>
      <xdr:colOff>304800</xdr:colOff>
      <xdr:row>3743</xdr:row>
      <xdr:rowOff>152400</xdr:rowOff>
    </xdr:to>
    <xdr:sp macro="" textlink="">
      <xdr:nvSpPr>
        <xdr:cNvPr id="601" name="Shape 3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3748</xdr:row>
      <xdr:rowOff>0</xdr:rowOff>
    </xdr:from>
    <xdr:to>
      <xdr:col>0</xdr:col>
      <xdr:colOff>304800</xdr:colOff>
      <xdr:row>3749</xdr:row>
      <xdr:rowOff>152400</xdr:rowOff>
    </xdr:to>
    <xdr:sp macro="" textlink="">
      <xdr:nvSpPr>
        <xdr:cNvPr id="602" name="Shape 3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3754</xdr:row>
      <xdr:rowOff>0</xdr:rowOff>
    </xdr:from>
    <xdr:to>
      <xdr:col>0</xdr:col>
      <xdr:colOff>304800</xdr:colOff>
      <xdr:row>3755</xdr:row>
      <xdr:rowOff>152400</xdr:rowOff>
    </xdr:to>
    <xdr:sp macro="" textlink="">
      <xdr:nvSpPr>
        <xdr:cNvPr id="603" name="Shape 3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3760</xdr:row>
      <xdr:rowOff>0</xdr:rowOff>
    </xdr:from>
    <xdr:to>
      <xdr:col>0</xdr:col>
      <xdr:colOff>304800</xdr:colOff>
      <xdr:row>3761</xdr:row>
      <xdr:rowOff>152400</xdr:rowOff>
    </xdr:to>
    <xdr:sp macro="" textlink="">
      <xdr:nvSpPr>
        <xdr:cNvPr id="604" name="Shape 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3766</xdr:row>
      <xdr:rowOff>0</xdr:rowOff>
    </xdr:from>
    <xdr:to>
      <xdr:col>0</xdr:col>
      <xdr:colOff>304800</xdr:colOff>
      <xdr:row>3767</xdr:row>
      <xdr:rowOff>152400</xdr:rowOff>
    </xdr:to>
    <xdr:sp macro="" textlink="">
      <xdr:nvSpPr>
        <xdr:cNvPr id="605" name="Shape 3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3772</xdr:row>
      <xdr:rowOff>0</xdr:rowOff>
    </xdr:from>
    <xdr:to>
      <xdr:col>0</xdr:col>
      <xdr:colOff>304800</xdr:colOff>
      <xdr:row>3773</xdr:row>
      <xdr:rowOff>152400</xdr:rowOff>
    </xdr:to>
    <xdr:sp macro="" textlink="">
      <xdr:nvSpPr>
        <xdr:cNvPr id="606" name="Shape 3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3778</xdr:row>
      <xdr:rowOff>0</xdr:rowOff>
    </xdr:from>
    <xdr:to>
      <xdr:col>0</xdr:col>
      <xdr:colOff>304800</xdr:colOff>
      <xdr:row>3779</xdr:row>
      <xdr:rowOff>152400</xdr:rowOff>
    </xdr:to>
    <xdr:sp macro="" textlink="">
      <xdr:nvSpPr>
        <xdr:cNvPr id="607" name="Shape 3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3784</xdr:row>
      <xdr:rowOff>0</xdr:rowOff>
    </xdr:from>
    <xdr:to>
      <xdr:col>0</xdr:col>
      <xdr:colOff>304800</xdr:colOff>
      <xdr:row>3785</xdr:row>
      <xdr:rowOff>152400</xdr:rowOff>
    </xdr:to>
    <xdr:sp macro="" textlink="">
      <xdr:nvSpPr>
        <xdr:cNvPr id="608" name="Shape 3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3790</xdr:row>
      <xdr:rowOff>0</xdr:rowOff>
    </xdr:from>
    <xdr:to>
      <xdr:col>0</xdr:col>
      <xdr:colOff>304800</xdr:colOff>
      <xdr:row>3791</xdr:row>
      <xdr:rowOff>152400</xdr:rowOff>
    </xdr:to>
    <xdr:sp macro="" textlink="">
      <xdr:nvSpPr>
        <xdr:cNvPr id="609" name="Shape 3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3796</xdr:row>
      <xdr:rowOff>0</xdr:rowOff>
    </xdr:from>
    <xdr:to>
      <xdr:col>0</xdr:col>
      <xdr:colOff>304800</xdr:colOff>
      <xdr:row>3797</xdr:row>
      <xdr:rowOff>152400</xdr:rowOff>
    </xdr:to>
    <xdr:sp macro="" textlink="">
      <xdr:nvSpPr>
        <xdr:cNvPr id="610" name="Shape 3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3802</xdr:row>
      <xdr:rowOff>0</xdr:rowOff>
    </xdr:from>
    <xdr:to>
      <xdr:col>0</xdr:col>
      <xdr:colOff>304800</xdr:colOff>
      <xdr:row>3803</xdr:row>
      <xdr:rowOff>152400</xdr:rowOff>
    </xdr:to>
    <xdr:sp macro="" textlink="">
      <xdr:nvSpPr>
        <xdr:cNvPr id="611" name="Shape 3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3808</xdr:row>
      <xdr:rowOff>0</xdr:rowOff>
    </xdr:from>
    <xdr:to>
      <xdr:col>0</xdr:col>
      <xdr:colOff>304800</xdr:colOff>
      <xdr:row>3809</xdr:row>
      <xdr:rowOff>152400</xdr:rowOff>
    </xdr:to>
    <xdr:sp macro="" textlink="">
      <xdr:nvSpPr>
        <xdr:cNvPr id="612" name="Shape 3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3814</xdr:row>
      <xdr:rowOff>0</xdr:rowOff>
    </xdr:from>
    <xdr:to>
      <xdr:col>0</xdr:col>
      <xdr:colOff>304800</xdr:colOff>
      <xdr:row>3815</xdr:row>
      <xdr:rowOff>152400</xdr:rowOff>
    </xdr:to>
    <xdr:sp macro="" textlink="">
      <xdr:nvSpPr>
        <xdr:cNvPr id="613" name="Shape 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3820</xdr:row>
      <xdr:rowOff>0</xdr:rowOff>
    </xdr:from>
    <xdr:to>
      <xdr:col>0</xdr:col>
      <xdr:colOff>304800</xdr:colOff>
      <xdr:row>3821</xdr:row>
      <xdr:rowOff>152400</xdr:rowOff>
    </xdr:to>
    <xdr:sp macro="" textlink="">
      <xdr:nvSpPr>
        <xdr:cNvPr id="614" name="Shape 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3826</xdr:row>
      <xdr:rowOff>0</xdr:rowOff>
    </xdr:from>
    <xdr:to>
      <xdr:col>0</xdr:col>
      <xdr:colOff>304800</xdr:colOff>
      <xdr:row>3827</xdr:row>
      <xdr:rowOff>152400</xdr:rowOff>
    </xdr:to>
    <xdr:sp macro="" textlink="">
      <xdr:nvSpPr>
        <xdr:cNvPr id="615" name="Shape 3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3832</xdr:row>
      <xdr:rowOff>0</xdr:rowOff>
    </xdr:from>
    <xdr:to>
      <xdr:col>0</xdr:col>
      <xdr:colOff>304800</xdr:colOff>
      <xdr:row>3833</xdr:row>
      <xdr:rowOff>152400</xdr:rowOff>
    </xdr:to>
    <xdr:sp macro="" textlink="">
      <xdr:nvSpPr>
        <xdr:cNvPr id="616" name="Shape 3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3839</xdr:row>
      <xdr:rowOff>0</xdr:rowOff>
    </xdr:from>
    <xdr:to>
      <xdr:col>0</xdr:col>
      <xdr:colOff>304800</xdr:colOff>
      <xdr:row>3840</xdr:row>
      <xdr:rowOff>152400</xdr:rowOff>
    </xdr:to>
    <xdr:sp macro="" textlink="">
      <xdr:nvSpPr>
        <xdr:cNvPr id="617" name="Shape 3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3845</xdr:row>
      <xdr:rowOff>0</xdr:rowOff>
    </xdr:from>
    <xdr:to>
      <xdr:col>0</xdr:col>
      <xdr:colOff>304800</xdr:colOff>
      <xdr:row>3846</xdr:row>
      <xdr:rowOff>152400</xdr:rowOff>
    </xdr:to>
    <xdr:sp macro="" textlink="">
      <xdr:nvSpPr>
        <xdr:cNvPr id="618" name="Shape 3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3851</xdr:row>
      <xdr:rowOff>0</xdr:rowOff>
    </xdr:from>
    <xdr:to>
      <xdr:col>0</xdr:col>
      <xdr:colOff>304800</xdr:colOff>
      <xdr:row>3852</xdr:row>
      <xdr:rowOff>152400</xdr:rowOff>
    </xdr:to>
    <xdr:sp macro="" textlink="">
      <xdr:nvSpPr>
        <xdr:cNvPr id="619" name="Shape 3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3857</xdr:row>
      <xdr:rowOff>0</xdr:rowOff>
    </xdr:from>
    <xdr:to>
      <xdr:col>0</xdr:col>
      <xdr:colOff>304800</xdr:colOff>
      <xdr:row>3858</xdr:row>
      <xdr:rowOff>152400</xdr:rowOff>
    </xdr:to>
    <xdr:sp macro="" textlink="">
      <xdr:nvSpPr>
        <xdr:cNvPr id="620" name="Shape 3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3864</xdr:row>
      <xdr:rowOff>0</xdr:rowOff>
    </xdr:from>
    <xdr:to>
      <xdr:col>0</xdr:col>
      <xdr:colOff>304800</xdr:colOff>
      <xdr:row>3865</xdr:row>
      <xdr:rowOff>152400</xdr:rowOff>
    </xdr:to>
    <xdr:sp macro="" textlink="">
      <xdr:nvSpPr>
        <xdr:cNvPr id="621" name="Shape 3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3871</xdr:row>
      <xdr:rowOff>0</xdr:rowOff>
    </xdr:from>
    <xdr:to>
      <xdr:col>0</xdr:col>
      <xdr:colOff>304800</xdr:colOff>
      <xdr:row>3872</xdr:row>
      <xdr:rowOff>152400</xdr:rowOff>
    </xdr:to>
    <xdr:sp macro="" textlink="">
      <xdr:nvSpPr>
        <xdr:cNvPr id="622" name="Shape 3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3877</xdr:row>
      <xdr:rowOff>0</xdr:rowOff>
    </xdr:from>
    <xdr:to>
      <xdr:col>0</xdr:col>
      <xdr:colOff>304800</xdr:colOff>
      <xdr:row>3878</xdr:row>
      <xdr:rowOff>152400</xdr:rowOff>
    </xdr:to>
    <xdr:sp macro="" textlink="">
      <xdr:nvSpPr>
        <xdr:cNvPr id="623" name="Shape 3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3883</xdr:row>
      <xdr:rowOff>0</xdr:rowOff>
    </xdr:from>
    <xdr:to>
      <xdr:col>0</xdr:col>
      <xdr:colOff>304800</xdr:colOff>
      <xdr:row>3884</xdr:row>
      <xdr:rowOff>152400</xdr:rowOff>
    </xdr:to>
    <xdr:sp macro="" textlink="">
      <xdr:nvSpPr>
        <xdr:cNvPr id="624" name="Shape 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3889</xdr:row>
      <xdr:rowOff>0</xdr:rowOff>
    </xdr:from>
    <xdr:to>
      <xdr:col>0</xdr:col>
      <xdr:colOff>304800</xdr:colOff>
      <xdr:row>3890</xdr:row>
      <xdr:rowOff>152400</xdr:rowOff>
    </xdr:to>
    <xdr:sp macro="" textlink="">
      <xdr:nvSpPr>
        <xdr:cNvPr id="625" name="Shape 3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3895</xdr:row>
      <xdr:rowOff>0</xdr:rowOff>
    </xdr:from>
    <xdr:to>
      <xdr:col>0</xdr:col>
      <xdr:colOff>304800</xdr:colOff>
      <xdr:row>3896</xdr:row>
      <xdr:rowOff>152400</xdr:rowOff>
    </xdr:to>
    <xdr:sp macro="" textlink="">
      <xdr:nvSpPr>
        <xdr:cNvPr id="626" name="Shape 3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3901</xdr:row>
      <xdr:rowOff>0</xdr:rowOff>
    </xdr:from>
    <xdr:to>
      <xdr:col>0</xdr:col>
      <xdr:colOff>304800</xdr:colOff>
      <xdr:row>3902</xdr:row>
      <xdr:rowOff>152400</xdr:rowOff>
    </xdr:to>
    <xdr:sp macro="" textlink="">
      <xdr:nvSpPr>
        <xdr:cNvPr id="627" name="Shape 3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3907</xdr:row>
      <xdr:rowOff>0</xdr:rowOff>
    </xdr:from>
    <xdr:to>
      <xdr:col>0</xdr:col>
      <xdr:colOff>304800</xdr:colOff>
      <xdr:row>3908</xdr:row>
      <xdr:rowOff>152400</xdr:rowOff>
    </xdr:to>
    <xdr:sp macro="" textlink="">
      <xdr:nvSpPr>
        <xdr:cNvPr id="628" name="Shape 3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3913</xdr:row>
      <xdr:rowOff>0</xdr:rowOff>
    </xdr:from>
    <xdr:to>
      <xdr:col>0</xdr:col>
      <xdr:colOff>304800</xdr:colOff>
      <xdr:row>3914</xdr:row>
      <xdr:rowOff>152400</xdr:rowOff>
    </xdr:to>
    <xdr:sp macro="" textlink="">
      <xdr:nvSpPr>
        <xdr:cNvPr id="629" name="Shape 3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3919</xdr:row>
      <xdr:rowOff>0</xdr:rowOff>
    </xdr:from>
    <xdr:to>
      <xdr:col>0</xdr:col>
      <xdr:colOff>304800</xdr:colOff>
      <xdr:row>3920</xdr:row>
      <xdr:rowOff>152400</xdr:rowOff>
    </xdr:to>
    <xdr:sp macro="" textlink="">
      <xdr:nvSpPr>
        <xdr:cNvPr id="630" name="Shape 3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3926</xdr:row>
      <xdr:rowOff>0</xdr:rowOff>
    </xdr:from>
    <xdr:to>
      <xdr:col>0</xdr:col>
      <xdr:colOff>304800</xdr:colOff>
      <xdr:row>3927</xdr:row>
      <xdr:rowOff>152400</xdr:rowOff>
    </xdr:to>
    <xdr:sp macro="" textlink="">
      <xdr:nvSpPr>
        <xdr:cNvPr id="631" name="Shape 3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3932</xdr:row>
      <xdr:rowOff>0</xdr:rowOff>
    </xdr:from>
    <xdr:to>
      <xdr:col>0</xdr:col>
      <xdr:colOff>304800</xdr:colOff>
      <xdr:row>3933</xdr:row>
      <xdr:rowOff>152400</xdr:rowOff>
    </xdr:to>
    <xdr:sp macro="" textlink="">
      <xdr:nvSpPr>
        <xdr:cNvPr id="632" name="Shape 3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3938</xdr:row>
      <xdr:rowOff>0</xdr:rowOff>
    </xdr:from>
    <xdr:to>
      <xdr:col>0</xdr:col>
      <xdr:colOff>304800</xdr:colOff>
      <xdr:row>3939</xdr:row>
      <xdr:rowOff>152400</xdr:rowOff>
    </xdr:to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3944</xdr:row>
      <xdr:rowOff>0</xdr:rowOff>
    </xdr:from>
    <xdr:to>
      <xdr:col>0</xdr:col>
      <xdr:colOff>304800</xdr:colOff>
      <xdr:row>3945</xdr:row>
      <xdr:rowOff>152400</xdr:rowOff>
    </xdr:to>
    <xdr:sp macro="" textlink="">
      <xdr:nvSpPr>
        <xdr:cNvPr id="634" name="Shape 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3951</xdr:row>
      <xdr:rowOff>0</xdr:rowOff>
    </xdr:from>
    <xdr:to>
      <xdr:col>0</xdr:col>
      <xdr:colOff>304800</xdr:colOff>
      <xdr:row>3952</xdr:row>
      <xdr:rowOff>152400</xdr:rowOff>
    </xdr:to>
    <xdr:sp macro="" textlink="">
      <xdr:nvSpPr>
        <xdr:cNvPr id="635" name="Shape 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3957</xdr:row>
      <xdr:rowOff>0</xdr:rowOff>
    </xdr:from>
    <xdr:to>
      <xdr:col>0</xdr:col>
      <xdr:colOff>304800</xdr:colOff>
      <xdr:row>3958</xdr:row>
      <xdr:rowOff>152400</xdr:rowOff>
    </xdr:to>
    <xdr:sp macro="" textlink="">
      <xdr:nvSpPr>
        <xdr:cNvPr id="636" name="Shape 3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3963</xdr:row>
      <xdr:rowOff>0</xdr:rowOff>
    </xdr:from>
    <xdr:to>
      <xdr:col>0</xdr:col>
      <xdr:colOff>304800</xdr:colOff>
      <xdr:row>3964</xdr:row>
      <xdr:rowOff>152400</xdr:rowOff>
    </xdr:to>
    <xdr:sp macro="" textlink="">
      <xdr:nvSpPr>
        <xdr:cNvPr id="637" name="Shape 3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3969</xdr:row>
      <xdr:rowOff>0</xdr:rowOff>
    </xdr:from>
    <xdr:to>
      <xdr:col>0</xdr:col>
      <xdr:colOff>304800</xdr:colOff>
      <xdr:row>3970</xdr:row>
      <xdr:rowOff>152400</xdr:rowOff>
    </xdr:to>
    <xdr:sp macro="" textlink="">
      <xdr:nvSpPr>
        <xdr:cNvPr id="638" name="Shape 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3976</xdr:row>
      <xdr:rowOff>0</xdr:rowOff>
    </xdr:from>
    <xdr:to>
      <xdr:col>0</xdr:col>
      <xdr:colOff>304800</xdr:colOff>
      <xdr:row>3977</xdr:row>
      <xdr:rowOff>152400</xdr:rowOff>
    </xdr:to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3982</xdr:row>
      <xdr:rowOff>0</xdr:rowOff>
    </xdr:from>
    <xdr:to>
      <xdr:col>0</xdr:col>
      <xdr:colOff>304800</xdr:colOff>
      <xdr:row>3983</xdr:row>
      <xdr:rowOff>152400</xdr:rowOff>
    </xdr:to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3988</xdr:row>
      <xdr:rowOff>0</xdr:rowOff>
    </xdr:from>
    <xdr:to>
      <xdr:col>0</xdr:col>
      <xdr:colOff>304800</xdr:colOff>
      <xdr:row>3989</xdr:row>
      <xdr:rowOff>152400</xdr:rowOff>
    </xdr:to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3994</xdr:row>
      <xdr:rowOff>0</xdr:rowOff>
    </xdr:from>
    <xdr:to>
      <xdr:col>0</xdr:col>
      <xdr:colOff>304800</xdr:colOff>
      <xdr:row>3995</xdr:row>
      <xdr:rowOff>152400</xdr:rowOff>
    </xdr:to>
    <xdr:sp macro="" textlink="">
      <xdr:nvSpPr>
        <xdr:cNvPr id="642" name="Shape 3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4001</xdr:row>
      <xdr:rowOff>0</xdr:rowOff>
    </xdr:from>
    <xdr:to>
      <xdr:col>0</xdr:col>
      <xdr:colOff>304800</xdr:colOff>
      <xdr:row>4002</xdr:row>
      <xdr:rowOff>152400</xdr:rowOff>
    </xdr:to>
    <xdr:sp macro="" textlink="">
      <xdr:nvSpPr>
        <xdr:cNvPr id="643" name="Shape 3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4007</xdr:row>
      <xdr:rowOff>0</xdr:rowOff>
    </xdr:from>
    <xdr:to>
      <xdr:col>0</xdr:col>
      <xdr:colOff>304800</xdr:colOff>
      <xdr:row>4008</xdr:row>
      <xdr:rowOff>152400</xdr:rowOff>
    </xdr:to>
    <xdr:sp macro="" textlink="">
      <xdr:nvSpPr>
        <xdr:cNvPr id="644" name="Shape 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4013</xdr:row>
      <xdr:rowOff>0</xdr:rowOff>
    </xdr:from>
    <xdr:to>
      <xdr:col>0</xdr:col>
      <xdr:colOff>304800</xdr:colOff>
      <xdr:row>4014</xdr:row>
      <xdr:rowOff>152400</xdr:rowOff>
    </xdr:to>
    <xdr:sp macro="" textlink="">
      <xdr:nvSpPr>
        <xdr:cNvPr id="645" name="Shape 3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4019</xdr:row>
      <xdr:rowOff>0</xdr:rowOff>
    </xdr:from>
    <xdr:to>
      <xdr:col>0</xdr:col>
      <xdr:colOff>304800</xdr:colOff>
      <xdr:row>4020</xdr:row>
      <xdr:rowOff>152400</xdr:rowOff>
    </xdr:to>
    <xdr:sp macro="" textlink="">
      <xdr:nvSpPr>
        <xdr:cNvPr id="646" name="Shape 3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4025</xdr:row>
      <xdr:rowOff>0</xdr:rowOff>
    </xdr:from>
    <xdr:to>
      <xdr:col>0</xdr:col>
      <xdr:colOff>304800</xdr:colOff>
      <xdr:row>4026</xdr:row>
      <xdr:rowOff>152400</xdr:rowOff>
    </xdr:to>
    <xdr:sp macro="" textlink="">
      <xdr:nvSpPr>
        <xdr:cNvPr id="647" name="Shape 3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4031</xdr:row>
      <xdr:rowOff>0</xdr:rowOff>
    </xdr:from>
    <xdr:to>
      <xdr:col>0</xdr:col>
      <xdr:colOff>304800</xdr:colOff>
      <xdr:row>4032</xdr:row>
      <xdr:rowOff>152400</xdr:rowOff>
    </xdr:to>
    <xdr:sp macro="" textlink="">
      <xdr:nvSpPr>
        <xdr:cNvPr id="648" name="Shape 3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4037</xdr:row>
      <xdr:rowOff>0</xdr:rowOff>
    </xdr:from>
    <xdr:to>
      <xdr:col>0</xdr:col>
      <xdr:colOff>304800</xdr:colOff>
      <xdr:row>4038</xdr:row>
      <xdr:rowOff>152400</xdr:rowOff>
    </xdr:to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4043</xdr:row>
      <xdr:rowOff>0</xdr:rowOff>
    </xdr:from>
    <xdr:to>
      <xdr:col>0</xdr:col>
      <xdr:colOff>304800</xdr:colOff>
      <xdr:row>4044</xdr:row>
      <xdr:rowOff>152400</xdr:rowOff>
    </xdr:to>
    <xdr:sp macro="" textlink="">
      <xdr:nvSpPr>
        <xdr:cNvPr id="650" name="Shape 3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4049</xdr:row>
      <xdr:rowOff>0</xdr:rowOff>
    </xdr:from>
    <xdr:to>
      <xdr:col>0</xdr:col>
      <xdr:colOff>304800</xdr:colOff>
      <xdr:row>4050</xdr:row>
      <xdr:rowOff>152400</xdr:rowOff>
    </xdr:to>
    <xdr:sp macro="" textlink="">
      <xdr:nvSpPr>
        <xdr:cNvPr id="651" name="Shape 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4055</xdr:row>
      <xdr:rowOff>0</xdr:rowOff>
    </xdr:from>
    <xdr:to>
      <xdr:col>0</xdr:col>
      <xdr:colOff>304800</xdr:colOff>
      <xdr:row>4056</xdr:row>
      <xdr:rowOff>152400</xdr:rowOff>
    </xdr:to>
    <xdr:sp macro="" textlink="">
      <xdr:nvSpPr>
        <xdr:cNvPr id="652" name="Shape 3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4061</xdr:row>
      <xdr:rowOff>0</xdr:rowOff>
    </xdr:from>
    <xdr:to>
      <xdr:col>0</xdr:col>
      <xdr:colOff>304800</xdr:colOff>
      <xdr:row>4062</xdr:row>
      <xdr:rowOff>152400</xdr:rowOff>
    </xdr:to>
    <xdr:sp macro="" textlink="">
      <xdr:nvSpPr>
        <xdr:cNvPr id="653" name="Shape 3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4067</xdr:row>
      <xdr:rowOff>0</xdr:rowOff>
    </xdr:from>
    <xdr:to>
      <xdr:col>0</xdr:col>
      <xdr:colOff>304800</xdr:colOff>
      <xdr:row>4068</xdr:row>
      <xdr:rowOff>152400</xdr:rowOff>
    </xdr:to>
    <xdr:sp macro="" textlink="">
      <xdr:nvSpPr>
        <xdr:cNvPr id="654" name="Shape 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4073</xdr:row>
      <xdr:rowOff>0</xdr:rowOff>
    </xdr:from>
    <xdr:to>
      <xdr:col>0</xdr:col>
      <xdr:colOff>304800</xdr:colOff>
      <xdr:row>4074</xdr:row>
      <xdr:rowOff>152400</xdr:rowOff>
    </xdr:to>
    <xdr:sp macro="" textlink="">
      <xdr:nvSpPr>
        <xdr:cNvPr id="655" name="Shape 3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4079</xdr:row>
      <xdr:rowOff>0</xdr:rowOff>
    </xdr:from>
    <xdr:to>
      <xdr:col>0</xdr:col>
      <xdr:colOff>304800</xdr:colOff>
      <xdr:row>4080</xdr:row>
      <xdr:rowOff>152400</xdr:rowOff>
    </xdr:to>
    <xdr:sp macro="" textlink="">
      <xdr:nvSpPr>
        <xdr:cNvPr id="656" name="Shape 3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4085</xdr:row>
      <xdr:rowOff>0</xdr:rowOff>
    </xdr:from>
    <xdr:to>
      <xdr:col>0</xdr:col>
      <xdr:colOff>304800</xdr:colOff>
      <xdr:row>4086</xdr:row>
      <xdr:rowOff>152400</xdr:rowOff>
    </xdr:to>
    <xdr:sp macro="" textlink="">
      <xdr:nvSpPr>
        <xdr:cNvPr id="657" name="Shape 3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4091</xdr:row>
      <xdr:rowOff>0</xdr:rowOff>
    </xdr:from>
    <xdr:to>
      <xdr:col>0</xdr:col>
      <xdr:colOff>304800</xdr:colOff>
      <xdr:row>4092</xdr:row>
      <xdr:rowOff>152400</xdr:rowOff>
    </xdr:to>
    <xdr:sp macro="" textlink="">
      <xdr:nvSpPr>
        <xdr:cNvPr id="658" name="Shape 3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4097</xdr:row>
      <xdr:rowOff>0</xdr:rowOff>
    </xdr:from>
    <xdr:to>
      <xdr:col>0</xdr:col>
      <xdr:colOff>304800</xdr:colOff>
      <xdr:row>4098</xdr:row>
      <xdr:rowOff>152400</xdr:rowOff>
    </xdr:to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4103</xdr:row>
      <xdr:rowOff>0</xdr:rowOff>
    </xdr:from>
    <xdr:to>
      <xdr:col>0</xdr:col>
      <xdr:colOff>304800</xdr:colOff>
      <xdr:row>4104</xdr:row>
      <xdr:rowOff>152400</xdr:rowOff>
    </xdr:to>
    <xdr:sp macro="" textlink="">
      <xdr:nvSpPr>
        <xdr:cNvPr id="660" name="Shape 3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4109</xdr:row>
      <xdr:rowOff>0</xdr:rowOff>
    </xdr:from>
    <xdr:to>
      <xdr:col>0</xdr:col>
      <xdr:colOff>304800</xdr:colOff>
      <xdr:row>4110</xdr:row>
      <xdr:rowOff>152400</xdr:rowOff>
    </xdr:to>
    <xdr:sp macro="" textlink="">
      <xdr:nvSpPr>
        <xdr:cNvPr id="661" name="Shape 3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4115</xdr:row>
      <xdr:rowOff>0</xdr:rowOff>
    </xdr:from>
    <xdr:to>
      <xdr:col>0</xdr:col>
      <xdr:colOff>304800</xdr:colOff>
      <xdr:row>4116</xdr:row>
      <xdr:rowOff>152400</xdr:rowOff>
    </xdr:to>
    <xdr:sp macro="" textlink="">
      <xdr:nvSpPr>
        <xdr:cNvPr id="662" name="Shape 3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4121</xdr:row>
      <xdr:rowOff>0</xdr:rowOff>
    </xdr:from>
    <xdr:to>
      <xdr:col>0</xdr:col>
      <xdr:colOff>304800</xdr:colOff>
      <xdr:row>4122</xdr:row>
      <xdr:rowOff>152400</xdr:rowOff>
    </xdr:to>
    <xdr:sp macro="" textlink="">
      <xdr:nvSpPr>
        <xdr:cNvPr id="663" name="Shape 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4127</xdr:row>
      <xdr:rowOff>0</xdr:rowOff>
    </xdr:from>
    <xdr:to>
      <xdr:col>0</xdr:col>
      <xdr:colOff>304800</xdr:colOff>
      <xdr:row>4128</xdr:row>
      <xdr:rowOff>152400</xdr:rowOff>
    </xdr:to>
    <xdr:sp macro="" textlink="">
      <xdr:nvSpPr>
        <xdr:cNvPr id="664" name="Shape 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4133</xdr:row>
      <xdr:rowOff>0</xdr:rowOff>
    </xdr:from>
    <xdr:to>
      <xdr:col>0</xdr:col>
      <xdr:colOff>304800</xdr:colOff>
      <xdr:row>4134</xdr:row>
      <xdr:rowOff>152400</xdr:rowOff>
    </xdr:to>
    <xdr:sp macro="" textlink="">
      <xdr:nvSpPr>
        <xdr:cNvPr id="665" name="Shape 3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4139</xdr:row>
      <xdr:rowOff>0</xdr:rowOff>
    </xdr:from>
    <xdr:to>
      <xdr:col>0</xdr:col>
      <xdr:colOff>304800</xdr:colOff>
      <xdr:row>4140</xdr:row>
      <xdr:rowOff>152400</xdr:rowOff>
    </xdr:to>
    <xdr:sp macro="" textlink="">
      <xdr:nvSpPr>
        <xdr:cNvPr id="666" name="Shape 3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4145</xdr:row>
      <xdr:rowOff>0</xdr:rowOff>
    </xdr:from>
    <xdr:to>
      <xdr:col>0</xdr:col>
      <xdr:colOff>304800</xdr:colOff>
      <xdr:row>4146</xdr:row>
      <xdr:rowOff>152400</xdr:rowOff>
    </xdr:to>
    <xdr:sp macro="" textlink="">
      <xdr:nvSpPr>
        <xdr:cNvPr id="667" name="Shape 3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4151</xdr:row>
      <xdr:rowOff>0</xdr:rowOff>
    </xdr:from>
    <xdr:to>
      <xdr:col>0</xdr:col>
      <xdr:colOff>304800</xdr:colOff>
      <xdr:row>4152</xdr:row>
      <xdr:rowOff>152400</xdr:rowOff>
    </xdr:to>
    <xdr:sp macro="" textlink="">
      <xdr:nvSpPr>
        <xdr:cNvPr id="668" name="Shape 3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4157</xdr:row>
      <xdr:rowOff>0</xdr:rowOff>
    </xdr:from>
    <xdr:to>
      <xdr:col>0</xdr:col>
      <xdr:colOff>304800</xdr:colOff>
      <xdr:row>4158</xdr:row>
      <xdr:rowOff>152400</xdr:rowOff>
    </xdr:to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4163</xdr:row>
      <xdr:rowOff>0</xdr:rowOff>
    </xdr:from>
    <xdr:to>
      <xdr:col>0</xdr:col>
      <xdr:colOff>304800</xdr:colOff>
      <xdr:row>4164</xdr:row>
      <xdr:rowOff>152400</xdr:rowOff>
    </xdr:to>
    <xdr:sp macro="" textlink="">
      <xdr:nvSpPr>
        <xdr:cNvPr id="670" name="Shape 3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4169</xdr:row>
      <xdr:rowOff>0</xdr:rowOff>
    </xdr:from>
    <xdr:to>
      <xdr:col>0</xdr:col>
      <xdr:colOff>304800</xdr:colOff>
      <xdr:row>4170</xdr:row>
      <xdr:rowOff>152400</xdr:rowOff>
    </xdr:to>
    <xdr:sp macro="" textlink="">
      <xdr:nvSpPr>
        <xdr:cNvPr id="671" name="Shape 3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4175</xdr:row>
      <xdr:rowOff>0</xdr:rowOff>
    </xdr:from>
    <xdr:to>
      <xdr:col>0</xdr:col>
      <xdr:colOff>304800</xdr:colOff>
      <xdr:row>4176</xdr:row>
      <xdr:rowOff>152400</xdr:rowOff>
    </xdr:to>
    <xdr:sp macro="" textlink="">
      <xdr:nvSpPr>
        <xdr:cNvPr id="672" name="Shape 3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4181</xdr:row>
      <xdr:rowOff>0</xdr:rowOff>
    </xdr:from>
    <xdr:to>
      <xdr:col>0</xdr:col>
      <xdr:colOff>304800</xdr:colOff>
      <xdr:row>4182</xdr:row>
      <xdr:rowOff>152400</xdr:rowOff>
    </xdr:to>
    <xdr:sp macro="" textlink="">
      <xdr:nvSpPr>
        <xdr:cNvPr id="673" name="Shape 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4187</xdr:row>
      <xdr:rowOff>0</xdr:rowOff>
    </xdr:from>
    <xdr:to>
      <xdr:col>0</xdr:col>
      <xdr:colOff>304800</xdr:colOff>
      <xdr:row>4188</xdr:row>
      <xdr:rowOff>152400</xdr:rowOff>
    </xdr:to>
    <xdr:sp macro="" textlink="">
      <xdr:nvSpPr>
        <xdr:cNvPr id="674" name="Shape 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4193</xdr:row>
      <xdr:rowOff>0</xdr:rowOff>
    </xdr:from>
    <xdr:to>
      <xdr:col>0</xdr:col>
      <xdr:colOff>304800</xdr:colOff>
      <xdr:row>4194</xdr:row>
      <xdr:rowOff>152400</xdr:rowOff>
    </xdr:to>
    <xdr:sp macro="" textlink="">
      <xdr:nvSpPr>
        <xdr:cNvPr id="675" name="Shape 3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4199</xdr:row>
      <xdr:rowOff>0</xdr:rowOff>
    </xdr:from>
    <xdr:to>
      <xdr:col>0</xdr:col>
      <xdr:colOff>304800</xdr:colOff>
      <xdr:row>4200</xdr:row>
      <xdr:rowOff>152400</xdr:rowOff>
    </xdr:to>
    <xdr:sp macro="" textlink="">
      <xdr:nvSpPr>
        <xdr:cNvPr id="676" name="Shape 3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4206</xdr:row>
      <xdr:rowOff>0</xdr:rowOff>
    </xdr:from>
    <xdr:to>
      <xdr:col>0</xdr:col>
      <xdr:colOff>304800</xdr:colOff>
      <xdr:row>4207</xdr:row>
      <xdr:rowOff>152400</xdr:rowOff>
    </xdr:to>
    <xdr:sp macro="" textlink="">
      <xdr:nvSpPr>
        <xdr:cNvPr id="677" name="Shape 3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4212</xdr:row>
      <xdr:rowOff>0</xdr:rowOff>
    </xdr:from>
    <xdr:to>
      <xdr:col>0</xdr:col>
      <xdr:colOff>304800</xdr:colOff>
      <xdr:row>4213</xdr:row>
      <xdr:rowOff>152400</xdr:rowOff>
    </xdr:to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4219</xdr:row>
      <xdr:rowOff>0</xdr:rowOff>
    </xdr:from>
    <xdr:to>
      <xdr:col>0</xdr:col>
      <xdr:colOff>304800</xdr:colOff>
      <xdr:row>4220</xdr:row>
      <xdr:rowOff>152400</xdr:rowOff>
    </xdr:to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4225</xdr:row>
      <xdr:rowOff>0</xdr:rowOff>
    </xdr:from>
    <xdr:to>
      <xdr:col>0</xdr:col>
      <xdr:colOff>304800</xdr:colOff>
      <xdr:row>4226</xdr:row>
      <xdr:rowOff>152400</xdr:rowOff>
    </xdr:to>
    <xdr:sp macro="" textlink="">
      <xdr:nvSpPr>
        <xdr:cNvPr id="680" name="Shape 3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4231</xdr:row>
      <xdr:rowOff>0</xdr:rowOff>
    </xdr:from>
    <xdr:to>
      <xdr:col>0</xdr:col>
      <xdr:colOff>304800</xdr:colOff>
      <xdr:row>4232</xdr:row>
      <xdr:rowOff>152400</xdr:rowOff>
    </xdr:to>
    <xdr:sp macro="" textlink="">
      <xdr:nvSpPr>
        <xdr:cNvPr id="681" name="Shape 3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4237</xdr:row>
      <xdr:rowOff>0</xdr:rowOff>
    </xdr:from>
    <xdr:to>
      <xdr:col>0</xdr:col>
      <xdr:colOff>304800</xdr:colOff>
      <xdr:row>4238</xdr:row>
      <xdr:rowOff>152400</xdr:rowOff>
    </xdr:to>
    <xdr:sp macro="" textlink="">
      <xdr:nvSpPr>
        <xdr:cNvPr id="682" name="Shape 3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4243</xdr:row>
      <xdr:rowOff>0</xdr:rowOff>
    </xdr:from>
    <xdr:to>
      <xdr:col>0</xdr:col>
      <xdr:colOff>304800</xdr:colOff>
      <xdr:row>4244</xdr:row>
      <xdr:rowOff>152400</xdr:rowOff>
    </xdr:to>
    <xdr:sp macro="" textlink="">
      <xdr:nvSpPr>
        <xdr:cNvPr id="683" name="Shape 3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4249</xdr:row>
      <xdr:rowOff>0</xdr:rowOff>
    </xdr:from>
    <xdr:to>
      <xdr:col>0</xdr:col>
      <xdr:colOff>304800</xdr:colOff>
      <xdr:row>4250</xdr:row>
      <xdr:rowOff>152400</xdr:rowOff>
    </xdr:to>
    <xdr:sp macro="" textlink="">
      <xdr:nvSpPr>
        <xdr:cNvPr id="684" name="Shape 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4255</xdr:row>
      <xdr:rowOff>0</xdr:rowOff>
    </xdr:from>
    <xdr:to>
      <xdr:col>0</xdr:col>
      <xdr:colOff>304800</xdr:colOff>
      <xdr:row>4256</xdr:row>
      <xdr:rowOff>152400</xdr:rowOff>
    </xdr:to>
    <xdr:sp macro="" textlink="">
      <xdr:nvSpPr>
        <xdr:cNvPr id="685" name="Shape 3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4262</xdr:row>
      <xdr:rowOff>0</xdr:rowOff>
    </xdr:from>
    <xdr:to>
      <xdr:col>0</xdr:col>
      <xdr:colOff>304800</xdr:colOff>
      <xdr:row>4263</xdr:row>
      <xdr:rowOff>152400</xdr:rowOff>
    </xdr:to>
    <xdr:sp macro="" textlink="">
      <xdr:nvSpPr>
        <xdr:cNvPr id="686" name="Shape 3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4268</xdr:row>
      <xdr:rowOff>0</xdr:rowOff>
    </xdr:from>
    <xdr:to>
      <xdr:col>0</xdr:col>
      <xdr:colOff>304800</xdr:colOff>
      <xdr:row>4269</xdr:row>
      <xdr:rowOff>152400</xdr:rowOff>
    </xdr:to>
    <xdr:sp macro="" textlink="">
      <xdr:nvSpPr>
        <xdr:cNvPr id="687" name="Shape 3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4274</xdr:row>
      <xdr:rowOff>0</xdr:rowOff>
    </xdr:from>
    <xdr:to>
      <xdr:col>0</xdr:col>
      <xdr:colOff>304800</xdr:colOff>
      <xdr:row>4275</xdr:row>
      <xdr:rowOff>152400</xdr:rowOff>
    </xdr:to>
    <xdr:sp macro="" textlink="">
      <xdr:nvSpPr>
        <xdr:cNvPr id="688" name="Shape 3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4280</xdr:row>
      <xdr:rowOff>0</xdr:rowOff>
    </xdr:from>
    <xdr:to>
      <xdr:col>0</xdr:col>
      <xdr:colOff>304800</xdr:colOff>
      <xdr:row>4281</xdr:row>
      <xdr:rowOff>152400</xdr:rowOff>
    </xdr:to>
    <xdr:sp macro="" textlink="">
      <xdr:nvSpPr>
        <xdr:cNvPr id="689" name="Shape 3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4286</xdr:row>
      <xdr:rowOff>0</xdr:rowOff>
    </xdr:from>
    <xdr:to>
      <xdr:col>0</xdr:col>
      <xdr:colOff>304800</xdr:colOff>
      <xdr:row>4287</xdr:row>
      <xdr:rowOff>152400</xdr:rowOff>
    </xdr:to>
    <xdr:sp macro="" textlink="">
      <xdr:nvSpPr>
        <xdr:cNvPr id="690" name="Shape 3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4292</xdr:row>
      <xdr:rowOff>0</xdr:rowOff>
    </xdr:from>
    <xdr:to>
      <xdr:col>0</xdr:col>
      <xdr:colOff>304800</xdr:colOff>
      <xdr:row>4293</xdr:row>
      <xdr:rowOff>152400</xdr:rowOff>
    </xdr:to>
    <xdr:sp macro="" textlink="">
      <xdr:nvSpPr>
        <xdr:cNvPr id="691" name="Shape 3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4298</xdr:row>
      <xdr:rowOff>0</xdr:rowOff>
    </xdr:from>
    <xdr:to>
      <xdr:col>0</xdr:col>
      <xdr:colOff>304800</xdr:colOff>
      <xdr:row>4299</xdr:row>
      <xdr:rowOff>152400</xdr:rowOff>
    </xdr:to>
    <xdr:sp macro="" textlink="">
      <xdr:nvSpPr>
        <xdr:cNvPr id="692" name="Shape 3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4304</xdr:row>
      <xdr:rowOff>0</xdr:rowOff>
    </xdr:from>
    <xdr:to>
      <xdr:col>0</xdr:col>
      <xdr:colOff>304800</xdr:colOff>
      <xdr:row>4305</xdr:row>
      <xdr:rowOff>152400</xdr:rowOff>
    </xdr:to>
    <xdr:sp macro="" textlink="">
      <xdr:nvSpPr>
        <xdr:cNvPr id="693" name="Shape 3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4310</xdr:row>
      <xdr:rowOff>0</xdr:rowOff>
    </xdr:from>
    <xdr:to>
      <xdr:col>0</xdr:col>
      <xdr:colOff>304800</xdr:colOff>
      <xdr:row>4311</xdr:row>
      <xdr:rowOff>152400</xdr:rowOff>
    </xdr:to>
    <xdr:sp macro="" textlink="">
      <xdr:nvSpPr>
        <xdr:cNvPr id="694" name="Shape 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4317</xdr:row>
      <xdr:rowOff>0</xdr:rowOff>
    </xdr:from>
    <xdr:to>
      <xdr:col>0</xdr:col>
      <xdr:colOff>304800</xdr:colOff>
      <xdr:row>4318</xdr:row>
      <xdr:rowOff>152400</xdr:rowOff>
    </xdr:to>
    <xdr:sp macro="" textlink="">
      <xdr:nvSpPr>
        <xdr:cNvPr id="695" name="Shape 3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4324</xdr:row>
      <xdr:rowOff>0</xdr:rowOff>
    </xdr:from>
    <xdr:to>
      <xdr:col>0</xdr:col>
      <xdr:colOff>304800</xdr:colOff>
      <xdr:row>4325</xdr:row>
      <xdr:rowOff>152400</xdr:rowOff>
    </xdr:to>
    <xdr:sp macro="" textlink="">
      <xdr:nvSpPr>
        <xdr:cNvPr id="696" name="Shape 3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4331</xdr:row>
      <xdr:rowOff>0</xdr:rowOff>
    </xdr:from>
    <xdr:to>
      <xdr:col>0</xdr:col>
      <xdr:colOff>304800</xdr:colOff>
      <xdr:row>4332</xdr:row>
      <xdr:rowOff>152400</xdr:rowOff>
    </xdr:to>
    <xdr:sp macro="" textlink="">
      <xdr:nvSpPr>
        <xdr:cNvPr id="697" name="Shape 3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4337</xdr:row>
      <xdr:rowOff>0</xdr:rowOff>
    </xdr:from>
    <xdr:to>
      <xdr:col>0</xdr:col>
      <xdr:colOff>304800</xdr:colOff>
      <xdr:row>4338</xdr:row>
      <xdr:rowOff>152400</xdr:rowOff>
    </xdr:to>
    <xdr:sp macro="" textlink="">
      <xdr:nvSpPr>
        <xdr:cNvPr id="698" name="Shape 3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4344</xdr:row>
      <xdr:rowOff>0</xdr:rowOff>
    </xdr:from>
    <xdr:to>
      <xdr:col>0</xdr:col>
      <xdr:colOff>304800</xdr:colOff>
      <xdr:row>4345</xdr:row>
      <xdr:rowOff>152400</xdr:rowOff>
    </xdr:to>
    <xdr:sp macro="" textlink="">
      <xdr:nvSpPr>
        <xdr:cNvPr id="699" name="Shape 3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4351</xdr:row>
      <xdr:rowOff>0</xdr:rowOff>
    </xdr:from>
    <xdr:to>
      <xdr:col>0</xdr:col>
      <xdr:colOff>304800</xdr:colOff>
      <xdr:row>4352</xdr:row>
      <xdr:rowOff>152400</xdr:rowOff>
    </xdr:to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4358</xdr:row>
      <xdr:rowOff>0</xdr:rowOff>
    </xdr:from>
    <xdr:to>
      <xdr:col>0</xdr:col>
      <xdr:colOff>304800</xdr:colOff>
      <xdr:row>4359</xdr:row>
      <xdr:rowOff>152400</xdr:rowOff>
    </xdr:to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4364</xdr:row>
      <xdr:rowOff>0</xdr:rowOff>
    </xdr:from>
    <xdr:to>
      <xdr:col>0</xdr:col>
      <xdr:colOff>304800</xdr:colOff>
      <xdr:row>4365</xdr:row>
      <xdr:rowOff>152400</xdr:rowOff>
    </xdr:to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4370</xdr:row>
      <xdr:rowOff>0</xdr:rowOff>
    </xdr:from>
    <xdr:to>
      <xdr:col>0</xdr:col>
      <xdr:colOff>304800</xdr:colOff>
      <xdr:row>4371</xdr:row>
      <xdr:rowOff>152400</xdr:rowOff>
    </xdr:to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4376</xdr:row>
      <xdr:rowOff>0</xdr:rowOff>
    </xdr:from>
    <xdr:to>
      <xdr:col>0</xdr:col>
      <xdr:colOff>304800</xdr:colOff>
      <xdr:row>4377</xdr:row>
      <xdr:rowOff>152400</xdr:rowOff>
    </xdr:to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4382</xdr:row>
      <xdr:rowOff>0</xdr:rowOff>
    </xdr:from>
    <xdr:to>
      <xdr:col>0</xdr:col>
      <xdr:colOff>304800</xdr:colOff>
      <xdr:row>4383</xdr:row>
      <xdr:rowOff>152400</xdr:rowOff>
    </xdr:to>
    <xdr:sp macro="" textlink="">
      <xdr:nvSpPr>
        <xdr:cNvPr id="705" name="Shape 3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4388</xdr:row>
      <xdr:rowOff>0</xdr:rowOff>
    </xdr:from>
    <xdr:to>
      <xdr:col>0</xdr:col>
      <xdr:colOff>304800</xdr:colOff>
      <xdr:row>4389</xdr:row>
      <xdr:rowOff>152400</xdr:rowOff>
    </xdr:to>
    <xdr:sp macro="" textlink="">
      <xdr:nvSpPr>
        <xdr:cNvPr id="706" name="Shape 3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4394</xdr:row>
      <xdr:rowOff>0</xdr:rowOff>
    </xdr:from>
    <xdr:to>
      <xdr:col>0</xdr:col>
      <xdr:colOff>304800</xdr:colOff>
      <xdr:row>4395</xdr:row>
      <xdr:rowOff>152400</xdr:rowOff>
    </xdr:to>
    <xdr:sp macro="" textlink="">
      <xdr:nvSpPr>
        <xdr:cNvPr id="707" name="Shape 3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4400</xdr:row>
      <xdr:rowOff>0</xdr:rowOff>
    </xdr:from>
    <xdr:to>
      <xdr:col>0</xdr:col>
      <xdr:colOff>304800</xdr:colOff>
      <xdr:row>4401</xdr:row>
      <xdr:rowOff>152400</xdr:rowOff>
    </xdr:to>
    <xdr:sp macro="" textlink="">
      <xdr:nvSpPr>
        <xdr:cNvPr id="708" name="Shape 3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4406</xdr:row>
      <xdr:rowOff>0</xdr:rowOff>
    </xdr:from>
    <xdr:to>
      <xdr:col>0</xdr:col>
      <xdr:colOff>304800</xdr:colOff>
      <xdr:row>4407</xdr:row>
      <xdr:rowOff>152400</xdr:rowOff>
    </xdr:to>
    <xdr:sp macro="" textlink="">
      <xdr:nvSpPr>
        <xdr:cNvPr id="709" name="Shape 3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4412</xdr:row>
      <xdr:rowOff>0</xdr:rowOff>
    </xdr:from>
    <xdr:to>
      <xdr:col>0</xdr:col>
      <xdr:colOff>304800</xdr:colOff>
      <xdr:row>4413</xdr:row>
      <xdr:rowOff>152400</xdr:rowOff>
    </xdr:to>
    <xdr:sp macro="" textlink="">
      <xdr:nvSpPr>
        <xdr:cNvPr id="710" name="Shape 3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4418</xdr:row>
      <xdr:rowOff>0</xdr:rowOff>
    </xdr:from>
    <xdr:to>
      <xdr:col>0</xdr:col>
      <xdr:colOff>304800</xdr:colOff>
      <xdr:row>4419</xdr:row>
      <xdr:rowOff>152400</xdr:rowOff>
    </xdr:to>
    <xdr:sp macro="" textlink="">
      <xdr:nvSpPr>
        <xdr:cNvPr id="711" name="Shape 3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4424</xdr:row>
      <xdr:rowOff>0</xdr:rowOff>
    </xdr:from>
    <xdr:to>
      <xdr:col>0</xdr:col>
      <xdr:colOff>304800</xdr:colOff>
      <xdr:row>4425</xdr:row>
      <xdr:rowOff>152400</xdr:rowOff>
    </xdr:to>
    <xdr:sp macro="" textlink="">
      <xdr:nvSpPr>
        <xdr:cNvPr id="712" name="Shape 3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4431</xdr:row>
      <xdr:rowOff>0</xdr:rowOff>
    </xdr:from>
    <xdr:to>
      <xdr:col>0</xdr:col>
      <xdr:colOff>304800</xdr:colOff>
      <xdr:row>4432</xdr:row>
      <xdr:rowOff>152400</xdr:rowOff>
    </xdr:to>
    <xdr:sp macro="" textlink="">
      <xdr:nvSpPr>
        <xdr:cNvPr id="713" name="Shape 3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4437</xdr:row>
      <xdr:rowOff>0</xdr:rowOff>
    </xdr:from>
    <xdr:to>
      <xdr:col>0</xdr:col>
      <xdr:colOff>304800</xdr:colOff>
      <xdr:row>4438</xdr:row>
      <xdr:rowOff>152400</xdr:rowOff>
    </xdr:to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4443</xdr:row>
      <xdr:rowOff>0</xdr:rowOff>
    </xdr:from>
    <xdr:to>
      <xdr:col>0</xdr:col>
      <xdr:colOff>304800</xdr:colOff>
      <xdr:row>4444</xdr:row>
      <xdr:rowOff>152400</xdr:rowOff>
    </xdr:to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4449</xdr:row>
      <xdr:rowOff>0</xdr:rowOff>
    </xdr:from>
    <xdr:to>
      <xdr:col>0</xdr:col>
      <xdr:colOff>304800</xdr:colOff>
      <xdr:row>4450</xdr:row>
      <xdr:rowOff>152400</xdr:rowOff>
    </xdr:to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4455</xdr:row>
      <xdr:rowOff>0</xdr:rowOff>
    </xdr:from>
    <xdr:to>
      <xdr:col>0</xdr:col>
      <xdr:colOff>304800</xdr:colOff>
      <xdr:row>4456</xdr:row>
      <xdr:rowOff>152400</xdr:rowOff>
    </xdr:to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4461</xdr:row>
      <xdr:rowOff>0</xdr:rowOff>
    </xdr:from>
    <xdr:to>
      <xdr:col>0</xdr:col>
      <xdr:colOff>304800</xdr:colOff>
      <xdr:row>4462</xdr:row>
      <xdr:rowOff>152400</xdr:rowOff>
    </xdr:to>
    <xdr:sp macro="" textlink="">
      <xdr:nvSpPr>
        <xdr:cNvPr id="718" name="Shape 3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4467</xdr:row>
      <xdr:rowOff>0</xdr:rowOff>
    </xdr:from>
    <xdr:to>
      <xdr:col>0</xdr:col>
      <xdr:colOff>304800</xdr:colOff>
      <xdr:row>4468</xdr:row>
      <xdr:rowOff>152400</xdr:rowOff>
    </xdr:to>
    <xdr:sp macro="" textlink="">
      <xdr:nvSpPr>
        <xdr:cNvPr id="719" name="Shape 3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4473</xdr:row>
      <xdr:rowOff>0</xdr:rowOff>
    </xdr:from>
    <xdr:to>
      <xdr:col>0</xdr:col>
      <xdr:colOff>304800</xdr:colOff>
      <xdr:row>4474</xdr:row>
      <xdr:rowOff>152400</xdr:rowOff>
    </xdr:to>
    <xdr:sp macro="" textlink="">
      <xdr:nvSpPr>
        <xdr:cNvPr id="720" name="Shape 3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4479</xdr:row>
      <xdr:rowOff>0</xdr:rowOff>
    </xdr:from>
    <xdr:to>
      <xdr:col>0</xdr:col>
      <xdr:colOff>304800</xdr:colOff>
      <xdr:row>4480</xdr:row>
      <xdr:rowOff>152400</xdr:rowOff>
    </xdr:to>
    <xdr:sp macro="" textlink="">
      <xdr:nvSpPr>
        <xdr:cNvPr id="721" name="Shape 3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4485</xdr:row>
      <xdr:rowOff>0</xdr:rowOff>
    </xdr:from>
    <xdr:to>
      <xdr:col>0</xdr:col>
      <xdr:colOff>304800</xdr:colOff>
      <xdr:row>4486</xdr:row>
      <xdr:rowOff>152400</xdr:rowOff>
    </xdr:to>
    <xdr:sp macro="" textlink="">
      <xdr:nvSpPr>
        <xdr:cNvPr id="722" name="Shape 3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4491</xdr:row>
      <xdr:rowOff>0</xdr:rowOff>
    </xdr:from>
    <xdr:to>
      <xdr:col>0</xdr:col>
      <xdr:colOff>304800</xdr:colOff>
      <xdr:row>4492</xdr:row>
      <xdr:rowOff>152400</xdr:rowOff>
    </xdr:to>
    <xdr:sp macro="" textlink="">
      <xdr:nvSpPr>
        <xdr:cNvPr id="723" name="Shape 3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4497</xdr:row>
      <xdr:rowOff>0</xdr:rowOff>
    </xdr:from>
    <xdr:to>
      <xdr:col>0</xdr:col>
      <xdr:colOff>304800</xdr:colOff>
      <xdr:row>4498</xdr:row>
      <xdr:rowOff>152400</xdr:rowOff>
    </xdr:to>
    <xdr:sp macro="" textlink="">
      <xdr:nvSpPr>
        <xdr:cNvPr id="724" name="Shape 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4503</xdr:row>
      <xdr:rowOff>0</xdr:rowOff>
    </xdr:from>
    <xdr:to>
      <xdr:col>0</xdr:col>
      <xdr:colOff>304800</xdr:colOff>
      <xdr:row>4504</xdr:row>
      <xdr:rowOff>152400</xdr:rowOff>
    </xdr:to>
    <xdr:sp macro="" textlink="">
      <xdr:nvSpPr>
        <xdr:cNvPr id="725" name="Shape 3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4509</xdr:row>
      <xdr:rowOff>0</xdr:rowOff>
    </xdr:from>
    <xdr:to>
      <xdr:col>0</xdr:col>
      <xdr:colOff>304800</xdr:colOff>
      <xdr:row>4510</xdr:row>
      <xdr:rowOff>152400</xdr:rowOff>
    </xdr:to>
    <xdr:sp macro="" textlink="">
      <xdr:nvSpPr>
        <xdr:cNvPr id="726" name="Shape 3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4515</xdr:row>
      <xdr:rowOff>0</xdr:rowOff>
    </xdr:from>
    <xdr:to>
      <xdr:col>0</xdr:col>
      <xdr:colOff>304800</xdr:colOff>
      <xdr:row>4516</xdr:row>
      <xdr:rowOff>152400</xdr:rowOff>
    </xdr:to>
    <xdr:sp macro="" textlink="">
      <xdr:nvSpPr>
        <xdr:cNvPr id="727" name="Shape 3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4521</xdr:row>
      <xdr:rowOff>0</xdr:rowOff>
    </xdr:from>
    <xdr:to>
      <xdr:col>0</xdr:col>
      <xdr:colOff>304800</xdr:colOff>
      <xdr:row>4522</xdr:row>
      <xdr:rowOff>152400</xdr:rowOff>
    </xdr:to>
    <xdr:sp macro="" textlink="">
      <xdr:nvSpPr>
        <xdr:cNvPr id="728" name="Shape 3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4528</xdr:row>
      <xdr:rowOff>0</xdr:rowOff>
    </xdr:from>
    <xdr:to>
      <xdr:col>0</xdr:col>
      <xdr:colOff>304800</xdr:colOff>
      <xdr:row>4529</xdr:row>
      <xdr:rowOff>152400</xdr:rowOff>
    </xdr:to>
    <xdr:sp macro="" textlink="">
      <xdr:nvSpPr>
        <xdr:cNvPr id="729" name="Shape 3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4534</xdr:row>
      <xdr:rowOff>0</xdr:rowOff>
    </xdr:from>
    <xdr:to>
      <xdr:col>0</xdr:col>
      <xdr:colOff>304800</xdr:colOff>
      <xdr:row>4535</xdr:row>
      <xdr:rowOff>152400</xdr:rowOff>
    </xdr:to>
    <xdr:sp macro="" textlink="">
      <xdr:nvSpPr>
        <xdr:cNvPr id="730" name="Shape 3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4540</xdr:row>
      <xdr:rowOff>0</xdr:rowOff>
    </xdr:from>
    <xdr:to>
      <xdr:col>0</xdr:col>
      <xdr:colOff>304800</xdr:colOff>
      <xdr:row>4541</xdr:row>
      <xdr:rowOff>152400</xdr:rowOff>
    </xdr:to>
    <xdr:sp macro="" textlink="">
      <xdr:nvSpPr>
        <xdr:cNvPr id="731" name="Shape 3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4547</xdr:row>
      <xdr:rowOff>0</xdr:rowOff>
    </xdr:from>
    <xdr:to>
      <xdr:col>0</xdr:col>
      <xdr:colOff>304800</xdr:colOff>
      <xdr:row>4548</xdr:row>
      <xdr:rowOff>152400</xdr:rowOff>
    </xdr:to>
    <xdr:sp macro="" textlink="">
      <xdr:nvSpPr>
        <xdr:cNvPr id="732" name="Shape 3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4553</xdr:row>
      <xdr:rowOff>0</xdr:rowOff>
    </xdr:from>
    <xdr:to>
      <xdr:col>0</xdr:col>
      <xdr:colOff>304800</xdr:colOff>
      <xdr:row>4554</xdr:row>
      <xdr:rowOff>152400</xdr:rowOff>
    </xdr:to>
    <xdr:sp macro="" textlink="">
      <xdr:nvSpPr>
        <xdr:cNvPr id="733" name="Shape 3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4559</xdr:row>
      <xdr:rowOff>0</xdr:rowOff>
    </xdr:from>
    <xdr:to>
      <xdr:col>0</xdr:col>
      <xdr:colOff>304800</xdr:colOff>
      <xdr:row>4560</xdr:row>
      <xdr:rowOff>152400</xdr:rowOff>
    </xdr:to>
    <xdr:sp macro="" textlink="">
      <xdr:nvSpPr>
        <xdr:cNvPr id="734" name="Shape 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4565</xdr:row>
      <xdr:rowOff>0</xdr:rowOff>
    </xdr:from>
    <xdr:to>
      <xdr:col>0</xdr:col>
      <xdr:colOff>304800</xdr:colOff>
      <xdr:row>4566</xdr:row>
      <xdr:rowOff>152400</xdr:rowOff>
    </xdr:to>
    <xdr:sp macro="" textlink="">
      <xdr:nvSpPr>
        <xdr:cNvPr id="735" name="Shape 3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4571</xdr:row>
      <xdr:rowOff>0</xdr:rowOff>
    </xdr:from>
    <xdr:to>
      <xdr:col>0</xdr:col>
      <xdr:colOff>304800</xdr:colOff>
      <xdr:row>4572</xdr:row>
      <xdr:rowOff>152400</xdr:rowOff>
    </xdr:to>
    <xdr:sp macro="" textlink="">
      <xdr:nvSpPr>
        <xdr:cNvPr id="736" name="Shape 3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4577</xdr:row>
      <xdr:rowOff>0</xdr:rowOff>
    </xdr:from>
    <xdr:to>
      <xdr:col>0</xdr:col>
      <xdr:colOff>304800</xdr:colOff>
      <xdr:row>4578</xdr:row>
      <xdr:rowOff>152400</xdr:rowOff>
    </xdr:to>
    <xdr:sp macro="" textlink="">
      <xdr:nvSpPr>
        <xdr:cNvPr id="737" name="Shape 3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4583</xdr:row>
      <xdr:rowOff>0</xdr:rowOff>
    </xdr:from>
    <xdr:to>
      <xdr:col>0</xdr:col>
      <xdr:colOff>304800</xdr:colOff>
      <xdr:row>4584</xdr:row>
      <xdr:rowOff>152400</xdr:rowOff>
    </xdr:to>
    <xdr:sp macro="" textlink="">
      <xdr:nvSpPr>
        <xdr:cNvPr id="738" name="Shape 3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4589</xdr:row>
      <xdr:rowOff>0</xdr:rowOff>
    </xdr:from>
    <xdr:to>
      <xdr:col>0</xdr:col>
      <xdr:colOff>304800</xdr:colOff>
      <xdr:row>4590</xdr:row>
      <xdr:rowOff>152400</xdr:rowOff>
    </xdr:to>
    <xdr:sp macro="" textlink="">
      <xdr:nvSpPr>
        <xdr:cNvPr id="739" name="Shape 3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4595</xdr:row>
      <xdr:rowOff>0</xdr:rowOff>
    </xdr:from>
    <xdr:to>
      <xdr:col>0</xdr:col>
      <xdr:colOff>304800</xdr:colOff>
      <xdr:row>4596</xdr:row>
      <xdr:rowOff>152400</xdr:rowOff>
    </xdr:to>
    <xdr:sp macro="" textlink="">
      <xdr:nvSpPr>
        <xdr:cNvPr id="740" name="Shape 3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4601</xdr:row>
      <xdr:rowOff>0</xdr:rowOff>
    </xdr:from>
    <xdr:to>
      <xdr:col>0</xdr:col>
      <xdr:colOff>304800</xdr:colOff>
      <xdr:row>4602</xdr:row>
      <xdr:rowOff>152400</xdr:rowOff>
    </xdr:to>
    <xdr:sp macro="" textlink="">
      <xdr:nvSpPr>
        <xdr:cNvPr id="741" name="Shape 3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4607</xdr:row>
      <xdr:rowOff>0</xdr:rowOff>
    </xdr:from>
    <xdr:to>
      <xdr:col>0</xdr:col>
      <xdr:colOff>304800</xdr:colOff>
      <xdr:row>4608</xdr:row>
      <xdr:rowOff>152400</xdr:rowOff>
    </xdr:to>
    <xdr:sp macro="" textlink="">
      <xdr:nvSpPr>
        <xdr:cNvPr id="742" name="Shape 3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4613</xdr:row>
      <xdr:rowOff>0</xdr:rowOff>
    </xdr:from>
    <xdr:to>
      <xdr:col>0</xdr:col>
      <xdr:colOff>304800</xdr:colOff>
      <xdr:row>4614</xdr:row>
      <xdr:rowOff>152400</xdr:rowOff>
    </xdr:to>
    <xdr:sp macro="" textlink="">
      <xdr:nvSpPr>
        <xdr:cNvPr id="743" name="Shape 3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4619</xdr:row>
      <xdr:rowOff>0</xdr:rowOff>
    </xdr:from>
    <xdr:to>
      <xdr:col>0</xdr:col>
      <xdr:colOff>304800</xdr:colOff>
      <xdr:row>4620</xdr:row>
      <xdr:rowOff>152400</xdr:rowOff>
    </xdr:to>
    <xdr:sp macro="" textlink="">
      <xdr:nvSpPr>
        <xdr:cNvPr id="744" name="Shape 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4625</xdr:row>
      <xdr:rowOff>0</xdr:rowOff>
    </xdr:from>
    <xdr:to>
      <xdr:col>0</xdr:col>
      <xdr:colOff>304800</xdr:colOff>
      <xdr:row>4626</xdr:row>
      <xdr:rowOff>152400</xdr:rowOff>
    </xdr:to>
    <xdr:sp macro="" textlink="">
      <xdr:nvSpPr>
        <xdr:cNvPr id="745" name="Shape 3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4631</xdr:row>
      <xdr:rowOff>0</xdr:rowOff>
    </xdr:from>
    <xdr:to>
      <xdr:col>0</xdr:col>
      <xdr:colOff>304800</xdr:colOff>
      <xdr:row>4632</xdr:row>
      <xdr:rowOff>152400</xdr:rowOff>
    </xdr:to>
    <xdr:sp macro="" textlink="">
      <xdr:nvSpPr>
        <xdr:cNvPr id="746" name="Shape 3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4637</xdr:row>
      <xdr:rowOff>0</xdr:rowOff>
    </xdr:from>
    <xdr:to>
      <xdr:col>0</xdr:col>
      <xdr:colOff>304800</xdr:colOff>
      <xdr:row>4638</xdr:row>
      <xdr:rowOff>152400</xdr:rowOff>
    </xdr:to>
    <xdr:sp macro="" textlink="">
      <xdr:nvSpPr>
        <xdr:cNvPr id="747" name="Shape 3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4644</xdr:row>
      <xdr:rowOff>0</xdr:rowOff>
    </xdr:from>
    <xdr:to>
      <xdr:col>0</xdr:col>
      <xdr:colOff>304800</xdr:colOff>
      <xdr:row>4645</xdr:row>
      <xdr:rowOff>152400</xdr:rowOff>
    </xdr:to>
    <xdr:sp macro="" textlink="">
      <xdr:nvSpPr>
        <xdr:cNvPr id="748" name="Shape 3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4651</xdr:row>
      <xdr:rowOff>0</xdr:rowOff>
    </xdr:from>
    <xdr:to>
      <xdr:col>0</xdr:col>
      <xdr:colOff>304800</xdr:colOff>
      <xdr:row>4652</xdr:row>
      <xdr:rowOff>152400</xdr:rowOff>
    </xdr:to>
    <xdr:sp macro="" textlink="">
      <xdr:nvSpPr>
        <xdr:cNvPr id="749" name="Shape 3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4657</xdr:row>
      <xdr:rowOff>0</xdr:rowOff>
    </xdr:from>
    <xdr:to>
      <xdr:col>0</xdr:col>
      <xdr:colOff>304800</xdr:colOff>
      <xdr:row>4658</xdr:row>
      <xdr:rowOff>152400</xdr:rowOff>
    </xdr:to>
    <xdr:sp macro="" textlink="">
      <xdr:nvSpPr>
        <xdr:cNvPr id="750" name="Shape 3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4663</xdr:row>
      <xdr:rowOff>0</xdr:rowOff>
    </xdr:from>
    <xdr:to>
      <xdr:col>0</xdr:col>
      <xdr:colOff>304800</xdr:colOff>
      <xdr:row>4664</xdr:row>
      <xdr:rowOff>152400</xdr:rowOff>
    </xdr:to>
    <xdr:sp macro="" textlink="">
      <xdr:nvSpPr>
        <xdr:cNvPr id="751" name="Shape 3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4670</xdr:row>
      <xdr:rowOff>0</xdr:rowOff>
    </xdr:from>
    <xdr:to>
      <xdr:col>0</xdr:col>
      <xdr:colOff>304800</xdr:colOff>
      <xdr:row>4671</xdr:row>
      <xdr:rowOff>152400</xdr:rowOff>
    </xdr:to>
    <xdr:sp macro="" textlink="">
      <xdr:nvSpPr>
        <xdr:cNvPr id="752" name="Shape 3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4676</xdr:row>
      <xdr:rowOff>0</xdr:rowOff>
    </xdr:from>
    <xdr:to>
      <xdr:col>0</xdr:col>
      <xdr:colOff>304800</xdr:colOff>
      <xdr:row>4677</xdr:row>
      <xdr:rowOff>152400</xdr:rowOff>
    </xdr:to>
    <xdr:sp macro="" textlink="">
      <xdr:nvSpPr>
        <xdr:cNvPr id="753" name="Shape 3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4683</xdr:row>
      <xdr:rowOff>0</xdr:rowOff>
    </xdr:from>
    <xdr:to>
      <xdr:col>0</xdr:col>
      <xdr:colOff>304800</xdr:colOff>
      <xdr:row>4684</xdr:row>
      <xdr:rowOff>152400</xdr:rowOff>
    </xdr:to>
    <xdr:sp macro="" textlink="">
      <xdr:nvSpPr>
        <xdr:cNvPr id="754" name="Shape 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4689</xdr:row>
      <xdr:rowOff>0</xdr:rowOff>
    </xdr:from>
    <xdr:to>
      <xdr:col>0</xdr:col>
      <xdr:colOff>304800</xdr:colOff>
      <xdr:row>4690</xdr:row>
      <xdr:rowOff>152400</xdr:rowOff>
    </xdr:to>
    <xdr:sp macro="" textlink="">
      <xdr:nvSpPr>
        <xdr:cNvPr id="755" name="Shape 3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4695</xdr:row>
      <xdr:rowOff>0</xdr:rowOff>
    </xdr:from>
    <xdr:to>
      <xdr:col>0</xdr:col>
      <xdr:colOff>304800</xdr:colOff>
      <xdr:row>4696</xdr:row>
      <xdr:rowOff>152400</xdr:rowOff>
    </xdr:to>
    <xdr:sp macro="" textlink="">
      <xdr:nvSpPr>
        <xdr:cNvPr id="756" name="Shape 3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4701</xdr:row>
      <xdr:rowOff>0</xdr:rowOff>
    </xdr:from>
    <xdr:to>
      <xdr:col>0</xdr:col>
      <xdr:colOff>304800</xdr:colOff>
      <xdr:row>4702</xdr:row>
      <xdr:rowOff>152400</xdr:rowOff>
    </xdr:to>
    <xdr:sp macro="" textlink="">
      <xdr:nvSpPr>
        <xdr:cNvPr id="757" name="Shape 3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4707</xdr:row>
      <xdr:rowOff>0</xdr:rowOff>
    </xdr:from>
    <xdr:to>
      <xdr:col>0</xdr:col>
      <xdr:colOff>304800</xdr:colOff>
      <xdr:row>4708</xdr:row>
      <xdr:rowOff>152400</xdr:rowOff>
    </xdr:to>
    <xdr:sp macro="" textlink="">
      <xdr:nvSpPr>
        <xdr:cNvPr id="758" name="Shape 3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4713</xdr:row>
      <xdr:rowOff>0</xdr:rowOff>
    </xdr:from>
    <xdr:to>
      <xdr:col>0</xdr:col>
      <xdr:colOff>304800</xdr:colOff>
      <xdr:row>4714</xdr:row>
      <xdr:rowOff>152400</xdr:rowOff>
    </xdr:to>
    <xdr:sp macro="" textlink="">
      <xdr:nvSpPr>
        <xdr:cNvPr id="759" name="Shape 3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4719</xdr:row>
      <xdr:rowOff>0</xdr:rowOff>
    </xdr:from>
    <xdr:to>
      <xdr:col>0</xdr:col>
      <xdr:colOff>304800</xdr:colOff>
      <xdr:row>4720</xdr:row>
      <xdr:rowOff>152400</xdr:rowOff>
    </xdr:to>
    <xdr:sp macro="" textlink="">
      <xdr:nvSpPr>
        <xdr:cNvPr id="760" name="Shape 3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4726</xdr:row>
      <xdr:rowOff>0</xdr:rowOff>
    </xdr:from>
    <xdr:to>
      <xdr:col>0</xdr:col>
      <xdr:colOff>304800</xdr:colOff>
      <xdr:row>4727</xdr:row>
      <xdr:rowOff>152400</xdr:rowOff>
    </xdr:to>
    <xdr:sp macro="" textlink="">
      <xdr:nvSpPr>
        <xdr:cNvPr id="761" name="Shape 3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4732</xdr:row>
      <xdr:rowOff>0</xdr:rowOff>
    </xdr:from>
    <xdr:to>
      <xdr:col>0</xdr:col>
      <xdr:colOff>304800</xdr:colOff>
      <xdr:row>4733</xdr:row>
      <xdr:rowOff>152400</xdr:rowOff>
    </xdr:to>
    <xdr:sp macro="" textlink="">
      <xdr:nvSpPr>
        <xdr:cNvPr id="762" name="Shape 3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4739</xdr:row>
      <xdr:rowOff>0</xdr:rowOff>
    </xdr:from>
    <xdr:to>
      <xdr:col>0</xdr:col>
      <xdr:colOff>304800</xdr:colOff>
      <xdr:row>4740</xdr:row>
      <xdr:rowOff>152400</xdr:rowOff>
    </xdr:to>
    <xdr:sp macro="" textlink="">
      <xdr:nvSpPr>
        <xdr:cNvPr id="763" name="Shape 3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4745</xdr:row>
      <xdr:rowOff>0</xdr:rowOff>
    </xdr:from>
    <xdr:to>
      <xdr:col>0</xdr:col>
      <xdr:colOff>304800</xdr:colOff>
      <xdr:row>4746</xdr:row>
      <xdr:rowOff>152400</xdr:rowOff>
    </xdr:to>
    <xdr:sp macro="" textlink="">
      <xdr:nvSpPr>
        <xdr:cNvPr id="764" name="Shape 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4751</xdr:row>
      <xdr:rowOff>0</xdr:rowOff>
    </xdr:from>
    <xdr:to>
      <xdr:col>0</xdr:col>
      <xdr:colOff>304800</xdr:colOff>
      <xdr:row>4752</xdr:row>
      <xdr:rowOff>152400</xdr:rowOff>
    </xdr:to>
    <xdr:sp macro="" textlink="">
      <xdr:nvSpPr>
        <xdr:cNvPr id="765" name="Shape 3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4757</xdr:row>
      <xdr:rowOff>0</xdr:rowOff>
    </xdr:from>
    <xdr:to>
      <xdr:col>0</xdr:col>
      <xdr:colOff>304800</xdr:colOff>
      <xdr:row>4758</xdr:row>
      <xdr:rowOff>152400</xdr:rowOff>
    </xdr:to>
    <xdr:sp macro="" textlink="">
      <xdr:nvSpPr>
        <xdr:cNvPr id="766" name="Shape 3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4763</xdr:row>
      <xdr:rowOff>0</xdr:rowOff>
    </xdr:from>
    <xdr:to>
      <xdr:col>0</xdr:col>
      <xdr:colOff>304800</xdr:colOff>
      <xdr:row>4764</xdr:row>
      <xdr:rowOff>152400</xdr:rowOff>
    </xdr:to>
    <xdr:sp macro="" textlink="">
      <xdr:nvSpPr>
        <xdr:cNvPr id="767" name="Shape 3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4770</xdr:row>
      <xdr:rowOff>0</xdr:rowOff>
    </xdr:from>
    <xdr:to>
      <xdr:col>0</xdr:col>
      <xdr:colOff>304800</xdr:colOff>
      <xdr:row>4771</xdr:row>
      <xdr:rowOff>152400</xdr:rowOff>
    </xdr:to>
    <xdr:sp macro="" textlink="">
      <xdr:nvSpPr>
        <xdr:cNvPr id="768" name="Shape 3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4776</xdr:row>
      <xdr:rowOff>0</xdr:rowOff>
    </xdr:from>
    <xdr:to>
      <xdr:col>0</xdr:col>
      <xdr:colOff>304800</xdr:colOff>
      <xdr:row>4777</xdr:row>
      <xdr:rowOff>152400</xdr:rowOff>
    </xdr:to>
    <xdr:sp macro="" textlink="">
      <xdr:nvSpPr>
        <xdr:cNvPr id="769" name="Shape 3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4783</xdr:row>
      <xdr:rowOff>0</xdr:rowOff>
    </xdr:from>
    <xdr:to>
      <xdr:col>0</xdr:col>
      <xdr:colOff>304800</xdr:colOff>
      <xdr:row>4784</xdr:row>
      <xdr:rowOff>152400</xdr:rowOff>
    </xdr:to>
    <xdr:sp macro="" textlink="">
      <xdr:nvSpPr>
        <xdr:cNvPr id="770" name="Shape 3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  <xdr:twoCellAnchor>
    <xdr:from>
      <xdr:col>0</xdr:col>
      <xdr:colOff>0</xdr:colOff>
      <xdr:row>4789</xdr:row>
      <xdr:rowOff>0</xdr:rowOff>
    </xdr:from>
    <xdr:to>
      <xdr:col>0</xdr:col>
      <xdr:colOff>304800</xdr:colOff>
      <xdr:row>4790</xdr:row>
      <xdr:rowOff>152400</xdr:rowOff>
    </xdr:to>
    <xdr:sp macro="" textlink="">
      <xdr:nvSpPr>
        <xdr:cNvPr id="771" name="Shape 3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buNone/>
          </a:pPr>
          <a:endParaRPr sz="14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02"/>
  <sheetViews>
    <sheetView topLeftCell="A1771" workbookViewId="0">
      <selection activeCell="A1771" sqref="A1771"/>
    </sheetView>
  </sheetViews>
  <sheetFormatPr defaultColWidth="14.42578125" defaultRowHeight="15" customHeight="1" x14ac:dyDescent="0.2"/>
  <cols>
    <col min="1" max="1" width="23.42578125" customWidth="1"/>
    <col min="2" max="2" width="12.85546875" customWidth="1"/>
    <col min="3" max="3" width="137.7109375" customWidth="1"/>
    <col min="4" max="4" width="14.140625" customWidth="1"/>
    <col min="5" max="5" width="9.140625" customWidth="1"/>
    <col min="6" max="6" width="8" customWidth="1"/>
  </cols>
  <sheetData>
    <row r="1" spans="1:5" ht="12.75" customHeight="1" x14ac:dyDescent="0.2">
      <c r="A1" s="1" t="str">
        <f>HYPERLINK("javascript:void(0)","61küldi")</f>
        <v>61küldi</v>
      </c>
      <c r="B1" s="1"/>
      <c r="C1" s="1"/>
      <c r="D1" s="2"/>
      <c r="E1" s="2" t="e">
        <f t="shared" ref="E1:E4801" si="0">IF(A1+B1&lt;&gt;" ",B1,"")</f>
        <v>#VALUE!</v>
      </c>
    </row>
    <row r="2" spans="1:5" ht="12.75" customHeight="1" x14ac:dyDescent="0.2">
      <c r="A2" s="3"/>
      <c r="B2" s="3" t="s">
        <v>0</v>
      </c>
      <c r="C2" s="3" t="s">
        <v>21</v>
      </c>
      <c r="D2" s="2"/>
      <c r="E2" s="2" t="e">
        <f t="shared" si="0"/>
        <v>#VALUE!</v>
      </c>
    </row>
    <row r="3" spans="1:5" ht="12.75" customHeight="1" x14ac:dyDescent="0.2">
      <c r="A3" s="3"/>
      <c r="B3" s="3" t="s">
        <v>2</v>
      </c>
      <c r="C3" s="3" t="s">
        <v>387</v>
      </c>
      <c r="D3" s="2"/>
      <c r="E3" s="2" t="e">
        <f t="shared" si="0"/>
        <v>#VALUE!</v>
      </c>
    </row>
    <row r="4" spans="1:5" ht="12.75" customHeight="1" x14ac:dyDescent="0.2">
      <c r="A4" s="3"/>
      <c r="B4" s="3" t="s">
        <v>9</v>
      </c>
      <c r="C4" s="3" t="s">
        <v>27</v>
      </c>
      <c r="D4" s="2"/>
      <c r="E4" s="2" t="e">
        <f t="shared" si="0"/>
        <v>#VALUE!</v>
      </c>
    </row>
    <row r="5" spans="1:5" ht="12.75" customHeight="1" x14ac:dyDescent="0.2">
      <c r="A5" s="3"/>
      <c r="B5" s="3" t="s">
        <v>11</v>
      </c>
      <c r="C5" s="3" t="s">
        <v>23</v>
      </c>
      <c r="D5" s="2"/>
      <c r="E5" s="2" t="e">
        <f t="shared" si="0"/>
        <v>#VALUE!</v>
      </c>
    </row>
    <row r="6" spans="1:5" ht="12.75" customHeight="1" x14ac:dyDescent="0.2">
      <c r="A6" s="3"/>
      <c r="B6" s="3" t="s">
        <v>16</v>
      </c>
      <c r="C6" s="3" t="s">
        <v>388</v>
      </c>
      <c r="D6" s="2"/>
      <c r="E6" s="2" t="e">
        <f t="shared" si="0"/>
        <v>#VALUE!</v>
      </c>
    </row>
    <row r="7" spans="1:5" ht="12.75" customHeight="1" x14ac:dyDescent="0.2">
      <c r="A7" s="3"/>
      <c r="B7" s="3" t="s">
        <v>18</v>
      </c>
      <c r="C7" s="4" t="s">
        <v>19</v>
      </c>
      <c r="D7" s="2"/>
      <c r="E7" s="2" t="e">
        <f t="shared" si="0"/>
        <v>#VALUE!</v>
      </c>
    </row>
    <row r="8" spans="1:5" ht="12.75" customHeight="1" x14ac:dyDescent="0.2">
      <c r="A8" s="1" t="str">
        <f>HYPERLINK("javascript:void(0)","62küldi")</f>
        <v>62küldi</v>
      </c>
      <c r="B8" s="1"/>
      <c r="C8" s="1"/>
      <c r="D8" s="2"/>
      <c r="E8" s="2" t="e">
        <f t="shared" si="0"/>
        <v>#VALUE!</v>
      </c>
    </row>
    <row r="9" spans="1:5" ht="12.75" customHeight="1" x14ac:dyDescent="0.2">
      <c r="A9" s="3"/>
      <c r="B9" s="3" t="s">
        <v>0</v>
      </c>
      <c r="C9" s="3" t="s">
        <v>21</v>
      </c>
      <c r="D9" s="2"/>
      <c r="E9" s="2" t="e">
        <f t="shared" si="0"/>
        <v>#VALUE!</v>
      </c>
    </row>
    <row r="10" spans="1:5" ht="12.75" customHeight="1" x14ac:dyDescent="0.2">
      <c r="A10" s="3"/>
      <c r="B10" s="3" t="s">
        <v>2</v>
      </c>
      <c r="C10" s="3" t="s">
        <v>387</v>
      </c>
      <c r="D10" s="2"/>
      <c r="E10" s="2" t="e">
        <f t="shared" si="0"/>
        <v>#VALUE!</v>
      </c>
    </row>
    <row r="11" spans="1:5" ht="12.75" customHeight="1" x14ac:dyDescent="0.2">
      <c r="A11" s="3"/>
      <c r="B11" s="3" t="s">
        <v>9</v>
      </c>
      <c r="C11" s="3" t="s">
        <v>27</v>
      </c>
      <c r="D11" s="2"/>
      <c r="E11" s="2" t="e">
        <f t="shared" si="0"/>
        <v>#VALUE!</v>
      </c>
    </row>
    <row r="12" spans="1:5" ht="12.75" customHeight="1" x14ac:dyDescent="0.2">
      <c r="A12" s="3"/>
      <c r="B12" s="3" t="s">
        <v>11</v>
      </c>
      <c r="C12" s="3" t="s">
        <v>23</v>
      </c>
      <c r="D12" s="2"/>
      <c r="E12" s="2" t="e">
        <f t="shared" si="0"/>
        <v>#VALUE!</v>
      </c>
    </row>
    <row r="13" spans="1:5" ht="12.75" customHeight="1" x14ac:dyDescent="0.2">
      <c r="A13" s="3"/>
      <c r="B13" s="3" t="s">
        <v>16</v>
      </c>
      <c r="C13" s="3" t="s">
        <v>388</v>
      </c>
      <c r="D13" s="2"/>
      <c r="E13" s="2" t="e">
        <f t="shared" si="0"/>
        <v>#VALUE!</v>
      </c>
    </row>
    <row r="14" spans="1:5" ht="12.75" customHeight="1" x14ac:dyDescent="0.2">
      <c r="A14" s="3"/>
      <c r="B14" s="3" t="s">
        <v>18</v>
      </c>
      <c r="C14" s="4" t="s">
        <v>19</v>
      </c>
      <c r="D14" s="2"/>
      <c r="E14" s="2" t="e">
        <f t="shared" si="0"/>
        <v>#VALUE!</v>
      </c>
    </row>
    <row r="15" spans="1:5" ht="12.75" customHeight="1" x14ac:dyDescent="0.2">
      <c r="A15" s="1" t="str">
        <f>HYPERLINK("javascript:void(0)","64küldi")</f>
        <v>64küldi</v>
      </c>
      <c r="B15" s="1"/>
      <c r="C15" s="1"/>
      <c r="D15" s="2"/>
      <c r="E15" s="2" t="e">
        <f t="shared" si="0"/>
        <v>#VALUE!</v>
      </c>
    </row>
    <row r="16" spans="1:5" ht="12.75" customHeight="1" x14ac:dyDescent="0.2">
      <c r="A16" s="3"/>
      <c r="B16" s="3" t="s">
        <v>0</v>
      </c>
      <c r="C16" s="3" t="s">
        <v>21</v>
      </c>
      <c r="D16" s="2"/>
      <c r="E16" s="2" t="e">
        <f t="shared" si="0"/>
        <v>#VALUE!</v>
      </c>
    </row>
    <row r="17" spans="1:5" ht="12.75" customHeight="1" x14ac:dyDescent="0.2">
      <c r="A17" s="3"/>
      <c r="B17" s="3" t="s">
        <v>2</v>
      </c>
      <c r="C17" s="3" t="s">
        <v>387</v>
      </c>
      <c r="D17" s="2"/>
      <c r="E17" s="2" t="e">
        <f t="shared" si="0"/>
        <v>#VALUE!</v>
      </c>
    </row>
    <row r="18" spans="1:5" ht="12.75" customHeight="1" x14ac:dyDescent="0.2">
      <c r="A18" s="3"/>
      <c r="B18" s="3" t="s">
        <v>9</v>
      </c>
      <c r="C18" s="3" t="s">
        <v>27</v>
      </c>
      <c r="D18" s="2"/>
      <c r="E18" s="2" t="e">
        <f t="shared" si="0"/>
        <v>#VALUE!</v>
      </c>
    </row>
    <row r="19" spans="1:5" ht="12.75" customHeight="1" x14ac:dyDescent="0.2">
      <c r="A19" s="3"/>
      <c r="B19" s="3" t="s">
        <v>11</v>
      </c>
      <c r="C19" s="3" t="s">
        <v>23</v>
      </c>
      <c r="D19" s="2"/>
      <c r="E19" s="2" t="e">
        <f t="shared" si="0"/>
        <v>#VALUE!</v>
      </c>
    </row>
    <row r="20" spans="1:5" ht="12.75" customHeight="1" x14ac:dyDescent="0.2">
      <c r="A20" s="3"/>
      <c r="B20" s="3" t="s">
        <v>16</v>
      </c>
      <c r="C20" s="3" t="s">
        <v>388</v>
      </c>
      <c r="D20" s="2"/>
      <c r="E20" s="2" t="e">
        <f t="shared" si="0"/>
        <v>#VALUE!</v>
      </c>
    </row>
    <row r="21" spans="1:5" ht="12.75" customHeight="1" x14ac:dyDescent="0.2">
      <c r="A21" s="3"/>
      <c r="B21" s="3" t="s">
        <v>18</v>
      </c>
      <c r="C21" s="4" t="s">
        <v>19</v>
      </c>
      <c r="D21" s="2"/>
      <c r="E21" s="2" t="e">
        <f t="shared" si="0"/>
        <v>#VALUE!</v>
      </c>
    </row>
    <row r="22" spans="1:5" ht="12.75" customHeight="1" x14ac:dyDescent="0.2">
      <c r="A22" s="1" t="str">
        <f>HYPERLINK("javascript:void(0)","65küldi")</f>
        <v>65küldi</v>
      </c>
      <c r="B22" s="1"/>
      <c r="C22" s="1"/>
      <c r="D22" s="2"/>
      <c r="E22" s="2" t="e">
        <f t="shared" si="0"/>
        <v>#VALUE!</v>
      </c>
    </row>
    <row r="23" spans="1:5" ht="12.75" customHeight="1" x14ac:dyDescent="0.2">
      <c r="A23" s="3"/>
      <c r="B23" s="3" t="s">
        <v>0</v>
      </c>
      <c r="C23" s="3" t="s">
        <v>21</v>
      </c>
      <c r="D23" s="2"/>
      <c r="E23" s="2" t="e">
        <f t="shared" si="0"/>
        <v>#VALUE!</v>
      </c>
    </row>
    <row r="24" spans="1:5" ht="12.75" customHeight="1" x14ac:dyDescent="0.2">
      <c r="A24" s="3"/>
      <c r="B24" s="3" t="s">
        <v>2</v>
      </c>
      <c r="C24" s="3" t="s">
        <v>387</v>
      </c>
      <c r="D24" s="2"/>
      <c r="E24" s="2" t="e">
        <f t="shared" si="0"/>
        <v>#VALUE!</v>
      </c>
    </row>
    <row r="25" spans="1:5" ht="12.75" customHeight="1" x14ac:dyDescent="0.2">
      <c r="A25" s="3"/>
      <c r="B25" s="3" t="s">
        <v>9</v>
      </c>
      <c r="C25" s="3" t="s">
        <v>27</v>
      </c>
      <c r="D25" s="2"/>
      <c r="E25" s="2" t="e">
        <f t="shared" si="0"/>
        <v>#VALUE!</v>
      </c>
    </row>
    <row r="26" spans="1:5" ht="12.75" customHeight="1" x14ac:dyDescent="0.2">
      <c r="A26" s="3"/>
      <c r="B26" s="3" t="s">
        <v>11</v>
      </c>
      <c r="C26" s="3" t="s">
        <v>23</v>
      </c>
      <c r="D26" s="2"/>
      <c r="E26" s="2" t="e">
        <f t="shared" si="0"/>
        <v>#VALUE!</v>
      </c>
    </row>
    <row r="27" spans="1:5" ht="12.75" customHeight="1" x14ac:dyDescent="0.2">
      <c r="A27" s="3"/>
      <c r="B27" s="3" t="s">
        <v>16</v>
      </c>
      <c r="C27" s="3" t="s">
        <v>388</v>
      </c>
      <c r="D27" s="2"/>
      <c r="E27" s="2" t="e">
        <f t="shared" si="0"/>
        <v>#VALUE!</v>
      </c>
    </row>
    <row r="28" spans="1:5" ht="12.75" customHeight="1" x14ac:dyDescent="0.2">
      <c r="A28" s="3"/>
      <c r="B28" s="3" t="s">
        <v>18</v>
      </c>
      <c r="C28" s="4" t="s">
        <v>19</v>
      </c>
      <c r="D28" s="2"/>
      <c r="E28" s="2" t="e">
        <f t="shared" si="0"/>
        <v>#VALUE!</v>
      </c>
    </row>
    <row r="29" spans="1:5" ht="12.75" customHeight="1" x14ac:dyDescent="0.2">
      <c r="A29" s="1" t="str">
        <f>HYPERLINK("javascript:void(0)","66küldi")</f>
        <v>66küldi</v>
      </c>
      <c r="B29" s="1"/>
      <c r="C29" s="1"/>
      <c r="D29" s="2"/>
      <c r="E29" s="2" t="e">
        <f t="shared" si="0"/>
        <v>#VALUE!</v>
      </c>
    </row>
    <row r="30" spans="1:5" ht="12.75" customHeight="1" x14ac:dyDescent="0.2">
      <c r="A30" s="3"/>
      <c r="B30" s="3" t="s">
        <v>0</v>
      </c>
      <c r="C30" s="3" t="s">
        <v>21</v>
      </c>
      <c r="D30" s="2"/>
      <c r="E30" s="2" t="e">
        <f t="shared" si="0"/>
        <v>#VALUE!</v>
      </c>
    </row>
    <row r="31" spans="1:5" ht="12.75" customHeight="1" x14ac:dyDescent="0.2">
      <c r="A31" s="3"/>
      <c r="B31" s="3" t="s">
        <v>2</v>
      </c>
      <c r="C31" s="3" t="s">
        <v>387</v>
      </c>
      <c r="D31" s="2"/>
      <c r="E31" s="2" t="e">
        <f t="shared" si="0"/>
        <v>#VALUE!</v>
      </c>
    </row>
    <row r="32" spans="1:5" ht="12.75" customHeight="1" x14ac:dyDescent="0.2">
      <c r="A32" s="3"/>
      <c r="B32" s="3" t="s">
        <v>9</v>
      </c>
      <c r="C32" s="3" t="s">
        <v>27</v>
      </c>
      <c r="D32" s="2"/>
      <c r="E32" s="2" t="e">
        <f t="shared" si="0"/>
        <v>#VALUE!</v>
      </c>
    </row>
    <row r="33" spans="1:5" ht="12.75" customHeight="1" x14ac:dyDescent="0.2">
      <c r="A33" s="3"/>
      <c r="B33" s="3" t="s">
        <v>11</v>
      </c>
      <c r="C33" s="3" t="s">
        <v>23</v>
      </c>
      <c r="D33" s="2"/>
      <c r="E33" s="2" t="e">
        <f t="shared" si="0"/>
        <v>#VALUE!</v>
      </c>
    </row>
    <row r="34" spans="1:5" ht="12.75" customHeight="1" x14ac:dyDescent="0.2">
      <c r="A34" s="3"/>
      <c r="B34" s="3" t="s">
        <v>16</v>
      </c>
      <c r="C34" s="3" t="s">
        <v>388</v>
      </c>
      <c r="D34" s="2"/>
      <c r="E34" s="2" t="e">
        <f t="shared" si="0"/>
        <v>#VALUE!</v>
      </c>
    </row>
    <row r="35" spans="1:5" ht="12.75" customHeight="1" x14ac:dyDescent="0.2">
      <c r="A35" s="3"/>
      <c r="B35" s="3" t="s">
        <v>18</v>
      </c>
      <c r="C35" s="4" t="s">
        <v>19</v>
      </c>
      <c r="D35" s="2"/>
      <c r="E35" s="2" t="e">
        <f t="shared" si="0"/>
        <v>#VALUE!</v>
      </c>
    </row>
    <row r="36" spans="1:5" ht="12.75" customHeight="1" x14ac:dyDescent="0.2">
      <c r="A36" s="1" t="str">
        <f>HYPERLINK("javascript:void(0)","69küldi")</f>
        <v>69küldi</v>
      </c>
      <c r="B36" s="1"/>
      <c r="C36" s="1"/>
      <c r="D36" s="2"/>
      <c r="E36" s="2" t="e">
        <f t="shared" si="0"/>
        <v>#VALUE!</v>
      </c>
    </row>
    <row r="37" spans="1:5" ht="12.75" customHeight="1" x14ac:dyDescent="0.2">
      <c r="A37" s="3"/>
      <c r="B37" s="3" t="s">
        <v>0</v>
      </c>
      <c r="C37" s="3" t="s">
        <v>21</v>
      </c>
      <c r="D37" s="2"/>
      <c r="E37" s="2" t="e">
        <f t="shared" si="0"/>
        <v>#VALUE!</v>
      </c>
    </row>
    <row r="38" spans="1:5" ht="12.75" customHeight="1" x14ac:dyDescent="0.2">
      <c r="A38" s="3"/>
      <c r="B38" s="3" t="s">
        <v>2</v>
      </c>
      <c r="C38" s="3" t="s">
        <v>387</v>
      </c>
      <c r="D38" s="2"/>
      <c r="E38" s="2" t="e">
        <f t="shared" si="0"/>
        <v>#VALUE!</v>
      </c>
    </row>
    <row r="39" spans="1:5" ht="12.75" customHeight="1" x14ac:dyDescent="0.2">
      <c r="A39" s="3"/>
      <c r="B39" s="3" t="s">
        <v>9</v>
      </c>
      <c r="C39" s="3" t="s">
        <v>27</v>
      </c>
      <c r="D39" s="2"/>
      <c r="E39" s="2" t="e">
        <f t="shared" si="0"/>
        <v>#VALUE!</v>
      </c>
    </row>
    <row r="40" spans="1:5" ht="12.75" customHeight="1" x14ac:dyDescent="0.2">
      <c r="A40" s="3"/>
      <c r="B40" s="3" t="s">
        <v>11</v>
      </c>
      <c r="C40" s="3" t="s">
        <v>23</v>
      </c>
      <c r="D40" s="2"/>
      <c r="E40" s="2" t="e">
        <f t="shared" si="0"/>
        <v>#VALUE!</v>
      </c>
    </row>
    <row r="41" spans="1:5" ht="12.75" customHeight="1" x14ac:dyDescent="0.2">
      <c r="A41" s="3"/>
      <c r="B41" s="3" t="s">
        <v>16</v>
      </c>
      <c r="C41" s="3" t="s">
        <v>388</v>
      </c>
      <c r="D41" s="2"/>
      <c r="E41" s="2" t="e">
        <f t="shared" si="0"/>
        <v>#VALUE!</v>
      </c>
    </row>
    <row r="42" spans="1:5" ht="12.75" customHeight="1" x14ac:dyDescent="0.2">
      <c r="A42" s="3"/>
      <c r="B42" s="3" t="s">
        <v>18</v>
      </c>
      <c r="C42" s="4" t="s">
        <v>19</v>
      </c>
      <c r="D42" s="2"/>
      <c r="E42" s="2" t="e">
        <f t="shared" si="0"/>
        <v>#VALUE!</v>
      </c>
    </row>
    <row r="43" spans="1:5" ht="12.75" customHeight="1" x14ac:dyDescent="0.2">
      <c r="A43" s="1" t="str">
        <f>HYPERLINK("javascript:void(0)","70küldi")</f>
        <v>70küldi</v>
      </c>
      <c r="B43" s="1"/>
      <c r="C43" s="1"/>
      <c r="D43" s="2"/>
      <c r="E43" s="2" t="e">
        <f t="shared" si="0"/>
        <v>#VALUE!</v>
      </c>
    </row>
    <row r="44" spans="1:5" ht="12.75" customHeight="1" x14ac:dyDescent="0.2">
      <c r="A44" s="3"/>
      <c r="B44" s="3" t="s">
        <v>0</v>
      </c>
      <c r="C44" s="3" t="s">
        <v>21</v>
      </c>
      <c r="D44" s="2"/>
      <c r="E44" s="2" t="e">
        <f t="shared" si="0"/>
        <v>#VALUE!</v>
      </c>
    </row>
    <row r="45" spans="1:5" ht="12.75" customHeight="1" x14ac:dyDescent="0.2">
      <c r="A45" s="3"/>
      <c r="B45" s="3" t="s">
        <v>2</v>
      </c>
      <c r="C45" s="3" t="s">
        <v>387</v>
      </c>
      <c r="D45" s="2"/>
      <c r="E45" s="2" t="e">
        <f t="shared" si="0"/>
        <v>#VALUE!</v>
      </c>
    </row>
    <row r="46" spans="1:5" ht="12.75" customHeight="1" x14ac:dyDescent="0.2">
      <c r="A46" s="3"/>
      <c r="B46" s="3" t="s">
        <v>9</v>
      </c>
      <c r="C46" s="3" t="s">
        <v>27</v>
      </c>
      <c r="D46" s="2"/>
      <c r="E46" s="2" t="e">
        <f t="shared" si="0"/>
        <v>#VALUE!</v>
      </c>
    </row>
    <row r="47" spans="1:5" ht="12.75" customHeight="1" x14ac:dyDescent="0.2">
      <c r="A47" s="3"/>
      <c r="B47" s="3" t="s">
        <v>11</v>
      </c>
      <c r="C47" s="3" t="s">
        <v>23</v>
      </c>
      <c r="D47" s="2"/>
      <c r="E47" s="2" t="e">
        <f t="shared" si="0"/>
        <v>#VALUE!</v>
      </c>
    </row>
    <row r="48" spans="1:5" ht="12.75" customHeight="1" x14ac:dyDescent="0.2">
      <c r="A48" s="3"/>
      <c r="B48" s="3" t="s">
        <v>16</v>
      </c>
      <c r="C48" s="3" t="s">
        <v>388</v>
      </c>
      <c r="D48" s="2"/>
      <c r="E48" s="2" t="e">
        <f t="shared" si="0"/>
        <v>#VALUE!</v>
      </c>
    </row>
    <row r="49" spans="1:5" ht="12.75" customHeight="1" x14ac:dyDescent="0.2">
      <c r="A49" s="3"/>
      <c r="B49" s="3" t="s">
        <v>18</v>
      </c>
      <c r="C49" s="4" t="s">
        <v>19</v>
      </c>
      <c r="D49" s="2"/>
      <c r="E49" s="2" t="e">
        <f t="shared" si="0"/>
        <v>#VALUE!</v>
      </c>
    </row>
    <row r="50" spans="1:5" ht="12.75" customHeight="1" x14ac:dyDescent="0.2">
      <c r="A50" s="1" t="str">
        <f>HYPERLINK("javascript:void(0)","A király hullája")</f>
        <v>A király hullája</v>
      </c>
      <c r="B50" s="1"/>
      <c r="C50" s="1"/>
      <c r="D50" s="2"/>
      <c r="E50" s="2" t="e">
        <f t="shared" si="0"/>
        <v>#VALUE!</v>
      </c>
    </row>
    <row r="51" spans="1:5" ht="12.75" customHeight="1" x14ac:dyDescent="0.2">
      <c r="A51" s="3"/>
      <c r="B51" s="3" t="s">
        <v>0</v>
      </c>
      <c r="C51" s="3" t="s">
        <v>21</v>
      </c>
      <c r="D51" s="2"/>
      <c r="E51" s="2" t="e">
        <f t="shared" si="0"/>
        <v>#VALUE!</v>
      </c>
    </row>
    <row r="52" spans="1:5" ht="12.75" customHeight="1" x14ac:dyDescent="0.2">
      <c r="A52" s="3"/>
      <c r="B52" s="3" t="s">
        <v>2</v>
      </c>
      <c r="C52" s="3" t="s">
        <v>387</v>
      </c>
      <c r="D52" s="2"/>
      <c r="E52" s="2" t="e">
        <f t="shared" si="0"/>
        <v>#VALUE!</v>
      </c>
    </row>
    <row r="53" spans="1:5" ht="12.75" customHeight="1" x14ac:dyDescent="0.2">
      <c r="A53" s="3"/>
      <c r="B53" s="3" t="s">
        <v>9</v>
      </c>
      <c r="C53" s="3" t="s">
        <v>27</v>
      </c>
      <c r="D53" s="2"/>
      <c r="E53" s="2" t="e">
        <f t="shared" si="0"/>
        <v>#VALUE!</v>
      </c>
    </row>
    <row r="54" spans="1:5" ht="12.75" customHeight="1" x14ac:dyDescent="0.2">
      <c r="A54" s="3"/>
      <c r="B54" s="3" t="s">
        <v>11</v>
      </c>
      <c r="C54" s="3" t="s">
        <v>23</v>
      </c>
      <c r="D54" s="2"/>
      <c r="E54" s="2" t="e">
        <f t="shared" si="0"/>
        <v>#VALUE!</v>
      </c>
    </row>
    <row r="55" spans="1:5" ht="12.75" customHeight="1" x14ac:dyDescent="0.2">
      <c r="A55" s="3"/>
      <c r="B55" s="3" t="s">
        <v>16</v>
      </c>
      <c r="C55" s="3" t="s">
        <v>388</v>
      </c>
      <c r="D55" s="2"/>
      <c r="E55" s="2" t="e">
        <f t="shared" si="0"/>
        <v>#VALUE!</v>
      </c>
    </row>
    <row r="56" spans="1:5" ht="12.75" customHeight="1" x14ac:dyDescent="0.2">
      <c r="A56" s="3"/>
      <c r="B56" s="3" t="s">
        <v>18</v>
      </c>
      <c r="C56" s="4" t="s">
        <v>19</v>
      </c>
      <c r="D56" s="2"/>
      <c r="E56" s="2" t="e">
        <f t="shared" si="0"/>
        <v>#VALUE!</v>
      </c>
    </row>
    <row r="57" spans="1:5" ht="12.75" customHeight="1" x14ac:dyDescent="0.2">
      <c r="A57" s="1" t="str">
        <f>HYPERLINK("javascript:void(0)","Ambro varázskönyve")</f>
        <v>Ambro varázskönyve</v>
      </c>
      <c r="B57" s="1"/>
      <c r="C57" s="1"/>
      <c r="D57" s="2"/>
      <c r="E57" s="2" t="e">
        <f t="shared" si="0"/>
        <v>#VALUE!</v>
      </c>
    </row>
    <row r="58" spans="1:5" ht="12.75" customHeight="1" x14ac:dyDescent="0.2">
      <c r="A58" s="3"/>
      <c r="B58" s="3" t="s">
        <v>0</v>
      </c>
      <c r="C58" s="3" t="s">
        <v>21</v>
      </c>
      <c r="D58" s="2"/>
      <c r="E58" s="2" t="e">
        <f t="shared" si="0"/>
        <v>#VALUE!</v>
      </c>
    </row>
    <row r="59" spans="1:5" ht="12.75" customHeight="1" x14ac:dyDescent="0.2">
      <c r="A59" s="3"/>
      <c r="B59" s="3" t="s">
        <v>2</v>
      </c>
      <c r="C59" s="3" t="s">
        <v>387</v>
      </c>
      <c r="D59" s="2"/>
      <c r="E59" s="2" t="e">
        <f t="shared" si="0"/>
        <v>#VALUE!</v>
      </c>
    </row>
    <row r="60" spans="1:5" ht="12.75" customHeight="1" x14ac:dyDescent="0.2">
      <c r="A60" s="3"/>
      <c r="B60" s="3" t="s">
        <v>9</v>
      </c>
      <c r="C60" s="3" t="s">
        <v>27</v>
      </c>
      <c r="D60" s="2"/>
      <c r="E60" s="2" t="e">
        <f t="shared" si="0"/>
        <v>#VALUE!</v>
      </c>
    </row>
    <row r="61" spans="1:5" ht="12.75" customHeight="1" x14ac:dyDescent="0.2">
      <c r="A61" s="3"/>
      <c r="B61" s="3" t="s">
        <v>11</v>
      </c>
      <c r="C61" s="3" t="s">
        <v>23</v>
      </c>
      <c r="D61" s="2"/>
      <c r="E61" s="2" t="e">
        <f t="shared" si="0"/>
        <v>#VALUE!</v>
      </c>
    </row>
    <row r="62" spans="1:5" ht="12.75" customHeight="1" x14ac:dyDescent="0.2">
      <c r="A62" s="3"/>
      <c r="B62" s="3" t="s">
        <v>16</v>
      </c>
      <c r="C62" s="3" t="s">
        <v>388</v>
      </c>
      <c r="D62" s="2"/>
      <c r="E62" s="2" t="e">
        <f t="shared" si="0"/>
        <v>#VALUE!</v>
      </c>
    </row>
    <row r="63" spans="1:5" ht="12.75" customHeight="1" x14ac:dyDescent="0.2">
      <c r="A63" s="3"/>
      <c r="B63" s="3" t="s">
        <v>18</v>
      </c>
      <c r="C63" s="4" t="s">
        <v>19</v>
      </c>
      <c r="D63" s="2"/>
      <c r="E63" s="2" t="e">
        <f t="shared" si="0"/>
        <v>#VALUE!</v>
      </c>
    </row>
    <row r="64" spans="1:5" ht="12.75" customHeight="1" x14ac:dyDescent="0.2">
      <c r="A64" s="1" t="str">
        <f>HYPERLINK("javascript:void(0)","Banki Üzleti Szabályzat")</f>
        <v>Banki Üzleti Szabályzat</v>
      </c>
      <c r="B64" s="1"/>
      <c r="C64" s="1"/>
      <c r="D64" s="2"/>
      <c r="E64" s="2" t="e">
        <f t="shared" si="0"/>
        <v>#VALUE!</v>
      </c>
    </row>
    <row r="65" spans="1:5" ht="12.75" customHeight="1" x14ac:dyDescent="0.2">
      <c r="A65" s="3"/>
      <c r="B65" s="3" t="s">
        <v>0</v>
      </c>
      <c r="C65" s="3" t="s">
        <v>21</v>
      </c>
      <c r="D65" s="2"/>
      <c r="E65" s="2" t="e">
        <f t="shared" si="0"/>
        <v>#VALUE!</v>
      </c>
    </row>
    <row r="66" spans="1:5" ht="12.75" customHeight="1" x14ac:dyDescent="0.2">
      <c r="A66" s="3"/>
      <c r="B66" s="3" t="s">
        <v>2</v>
      </c>
      <c r="C66" s="3" t="s">
        <v>387</v>
      </c>
      <c r="D66" s="2"/>
      <c r="E66" s="2" t="e">
        <f t="shared" si="0"/>
        <v>#VALUE!</v>
      </c>
    </row>
    <row r="67" spans="1:5" ht="12.75" customHeight="1" x14ac:dyDescent="0.2">
      <c r="A67" s="3"/>
      <c r="B67" s="3" t="s">
        <v>9</v>
      </c>
      <c r="C67" s="3" t="s">
        <v>404</v>
      </c>
      <c r="D67" s="2"/>
      <c r="E67" s="2" t="e">
        <f t="shared" si="0"/>
        <v>#VALUE!</v>
      </c>
    </row>
    <row r="68" spans="1:5" ht="12.75" customHeight="1" x14ac:dyDescent="0.2">
      <c r="A68" s="3"/>
      <c r="B68" s="3" t="s">
        <v>11</v>
      </c>
      <c r="C68" s="3" t="s">
        <v>23</v>
      </c>
      <c r="D68" s="2"/>
      <c r="E68" s="2" t="e">
        <f t="shared" si="0"/>
        <v>#VALUE!</v>
      </c>
    </row>
    <row r="69" spans="1:5" ht="12.75" customHeight="1" x14ac:dyDescent="0.2">
      <c r="A69" s="3"/>
      <c r="B69" s="3" t="s">
        <v>16</v>
      </c>
      <c r="C69" s="3" t="s">
        <v>388</v>
      </c>
      <c r="D69" s="2"/>
      <c r="E69" s="2" t="e">
        <f t="shared" si="0"/>
        <v>#VALUE!</v>
      </c>
    </row>
    <row r="70" spans="1:5" ht="12.75" customHeight="1" x14ac:dyDescent="0.2">
      <c r="A70" s="3"/>
      <c r="B70" s="3" t="s">
        <v>18</v>
      </c>
      <c r="C70" s="4" t="s">
        <v>19</v>
      </c>
      <c r="D70" s="2"/>
      <c r="E70" s="2" t="e">
        <f t="shared" si="0"/>
        <v>#VALUE!</v>
      </c>
    </row>
    <row r="71" spans="1:5" ht="12.75" customHeight="1" x14ac:dyDescent="0.2">
      <c r="A71" s="1" t="str">
        <f>HYPERLINK("javascript:void(0)","Davvid feje")</f>
        <v>Davvid feje</v>
      </c>
      <c r="B71" s="1"/>
      <c r="C71" s="1"/>
      <c r="D71" s="2"/>
      <c r="E71" s="2" t="e">
        <f t="shared" si="0"/>
        <v>#VALUE!</v>
      </c>
    </row>
    <row r="72" spans="1:5" ht="12.75" customHeight="1" x14ac:dyDescent="0.2">
      <c r="A72" s="3"/>
      <c r="B72" s="3" t="s">
        <v>0</v>
      </c>
      <c r="C72" s="3" t="s">
        <v>21</v>
      </c>
      <c r="D72" s="2"/>
      <c r="E72" s="2" t="e">
        <f t="shared" si="0"/>
        <v>#VALUE!</v>
      </c>
    </row>
    <row r="73" spans="1:5" ht="12.75" customHeight="1" x14ac:dyDescent="0.2">
      <c r="A73" s="3"/>
      <c r="B73" s="3" t="s">
        <v>2</v>
      </c>
      <c r="C73" s="3" t="s">
        <v>387</v>
      </c>
      <c r="D73" s="2"/>
      <c r="E73" s="2" t="e">
        <f t="shared" si="0"/>
        <v>#VALUE!</v>
      </c>
    </row>
    <row r="74" spans="1:5" ht="12.75" customHeight="1" x14ac:dyDescent="0.2">
      <c r="A74" s="3"/>
      <c r="B74" s="3" t="s">
        <v>9</v>
      </c>
      <c r="C74" s="3" t="s">
        <v>27</v>
      </c>
      <c r="D74" s="2"/>
      <c r="E74" s="2" t="e">
        <f t="shared" si="0"/>
        <v>#VALUE!</v>
      </c>
    </row>
    <row r="75" spans="1:5" ht="12.75" customHeight="1" x14ac:dyDescent="0.2">
      <c r="A75" s="3"/>
      <c r="B75" s="3" t="s">
        <v>11</v>
      </c>
      <c r="C75" s="3" t="s">
        <v>23</v>
      </c>
      <c r="D75" s="2"/>
      <c r="E75" s="2" t="e">
        <f t="shared" si="0"/>
        <v>#VALUE!</v>
      </c>
    </row>
    <row r="76" spans="1:5" ht="12.75" customHeight="1" x14ac:dyDescent="0.2">
      <c r="A76" s="3"/>
      <c r="B76" s="3" t="s">
        <v>16</v>
      </c>
      <c r="C76" s="3" t="s">
        <v>388</v>
      </c>
      <c r="D76" s="2"/>
      <c r="E76" s="2" t="e">
        <f t="shared" si="0"/>
        <v>#VALUE!</v>
      </c>
    </row>
    <row r="77" spans="1:5" ht="12.75" customHeight="1" x14ac:dyDescent="0.2">
      <c r="A77" s="3"/>
      <c r="B77" s="3" t="s">
        <v>18</v>
      </c>
      <c r="C77" s="4" t="s">
        <v>19</v>
      </c>
      <c r="D77" s="2"/>
      <c r="E77" s="2" t="e">
        <f t="shared" si="0"/>
        <v>#VALUE!</v>
      </c>
    </row>
    <row r="78" spans="1:5" ht="12.75" customHeight="1" x14ac:dyDescent="0.2">
      <c r="A78" s="1" t="str">
        <f>HYPERLINK("javascript:void(0)","Enforcer kedvence")</f>
        <v>Enforcer kedvence</v>
      </c>
      <c r="B78" s="1"/>
      <c r="C78" s="1"/>
      <c r="D78" s="2"/>
      <c r="E78" s="2" t="e">
        <f t="shared" si="0"/>
        <v>#VALUE!</v>
      </c>
    </row>
    <row r="79" spans="1:5" ht="12.75" customHeight="1" x14ac:dyDescent="0.2">
      <c r="A79" s="3"/>
      <c r="B79" s="3" t="s">
        <v>0</v>
      </c>
      <c r="C79" s="3" t="s">
        <v>21</v>
      </c>
      <c r="D79" s="2"/>
      <c r="E79" s="2" t="e">
        <f t="shared" si="0"/>
        <v>#VALUE!</v>
      </c>
    </row>
    <row r="80" spans="1:5" ht="12.75" customHeight="1" x14ac:dyDescent="0.2">
      <c r="A80" s="3"/>
      <c r="B80" s="3" t="s">
        <v>2</v>
      </c>
      <c r="C80" s="3" t="s">
        <v>387</v>
      </c>
      <c r="D80" s="2"/>
      <c r="E80" s="2" t="e">
        <f t="shared" si="0"/>
        <v>#VALUE!</v>
      </c>
    </row>
    <row r="81" spans="1:5" ht="12.75" customHeight="1" x14ac:dyDescent="0.2">
      <c r="A81" s="3"/>
      <c r="B81" s="3" t="s">
        <v>9</v>
      </c>
      <c r="C81" s="3" t="s">
        <v>27</v>
      </c>
      <c r="D81" s="2"/>
      <c r="E81" s="2" t="e">
        <f t="shared" si="0"/>
        <v>#VALUE!</v>
      </c>
    </row>
    <row r="82" spans="1:5" ht="12.75" customHeight="1" x14ac:dyDescent="0.2">
      <c r="A82" s="3"/>
      <c r="B82" s="3" t="s">
        <v>11</v>
      </c>
      <c r="C82" s="3" t="s">
        <v>23</v>
      </c>
      <c r="D82" s="2"/>
      <c r="E82" s="2" t="e">
        <f t="shared" si="0"/>
        <v>#VALUE!</v>
      </c>
    </row>
    <row r="83" spans="1:5" ht="12.75" customHeight="1" x14ac:dyDescent="0.2">
      <c r="A83" s="3"/>
      <c r="B83" s="3" t="s">
        <v>16</v>
      </c>
      <c r="C83" s="3" t="s">
        <v>388</v>
      </c>
      <c r="D83" s="2"/>
      <c r="E83" s="2" t="e">
        <f t="shared" si="0"/>
        <v>#VALUE!</v>
      </c>
    </row>
    <row r="84" spans="1:5" ht="12.75" customHeight="1" x14ac:dyDescent="0.2">
      <c r="A84" s="3"/>
      <c r="B84" s="3" t="s">
        <v>18</v>
      </c>
      <c r="C84" s="4" t="s">
        <v>19</v>
      </c>
      <c r="D84" s="2"/>
      <c r="E84" s="2" t="e">
        <f t="shared" si="0"/>
        <v>#VALUE!</v>
      </c>
    </row>
    <row r="85" spans="1:5" ht="12.75" customHeight="1" x14ac:dyDescent="0.2">
      <c r="A85" s="1" t="str">
        <f>HYPERLINK("javascript:void(0)","Goubhla szobor")</f>
        <v>Goubhla szobor</v>
      </c>
      <c r="B85" s="1"/>
      <c r="C85" s="1"/>
      <c r="D85" s="2"/>
      <c r="E85" s="2" t="e">
        <f t="shared" si="0"/>
        <v>#VALUE!</v>
      </c>
    </row>
    <row r="86" spans="1:5" ht="12.75" customHeight="1" x14ac:dyDescent="0.2">
      <c r="A86" s="3"/>
      <c r="B86" s="3" t="s">
        <v>0</v>
      </c>
      <c r="C86" s="3" t="s">
        <v>21</v>
      </c>
      <c r="D86" s="2"/>
      <c r="E86" s="2" t="e">
        <f t="shared" si="0"/>
        <v>#VALUE!</v>
      </c>
    </row>
    <row r="87" spans="1:5" ht="12.75" customHeight="1" x14ac:dyDescent="0.2">
      <c r="A87" s="3"/>
      <c r="B87" s="3" t="s">
        <v>2</v>
      </c>
      <c r="C87" s="3" t="s">
        <v>387</v>
      </c>
      <c r="D87" s="2"/>
      <c r="E87" s="2" t="e">
        <f t="shared" si="0"/>
        <v>#VALUE!</v>
      </c>
    </row>
    <row r="88" spans="1:5" ht="12.75" customHeight="1" x14ac:dyDescent="0.2">
      <c r="A88" s="3"/>
      <c r="B88" s="3" t="s">
        <v>9</v>
      </c>
      <c r="C88" s="3" t="s">
        <v>200</v>
      </c>
      <c r="D88" s="2"/>
      <c r="E88" s="2" t="e">
        <f t="shared" si="0"/>
        <v>#VALUE!</v>
      </c>
    </row>
    <row r="89" spans="1:5" ht="12.75" customHeight="1" x14ac:dyDescent="0.2">
      <c r="A89" s="3"/>
      <c r="B89" s="3" t="s">
        <v>11</v>
      </c>
      <c r="C89" s="3" t="s">
        <v>23</v>
      </c>
      <c r="D89" s="2"/>
      <c r="E89" s="2" t="e">
        <f t="shared" si="0"/>
        <v>#VALUE!</v>
      </c>
    </row>
    <row r="90" spans="1:5" ht="12.75" customHeight="1" x14ac:dyDescent="0.2">
      <c r="A90" s="3"/>
      <c r="B90" s="3" t="s">
        <v>16</v>
      </c>
      <c r="C90" s="3" t="s">
        <v>388</v>
      </c>
      <c r="D90" s="2"/>
      <c r="E90" s="2" t="e">
        <f t="shared" si="0"/>
        <v>#VALUE!</v>
      </c>
    </row>
    <row r="91" spans="1:5" ht="12.75" customHeight="1" x14ac:dyDescent="0.2">
      <c r="A91" s="3"/>
      <c r="B91" s="3" t="s">
        <v>18</v>
      </c>
      <c r="C91" s="4" t="s">
        <v>19</v>
      </c>
      <c r="D91" s="2"/>
      <c r="E91" s="2" t="e">
        <f t="shared" si="0"/>
        <v>#VALUE!</v>
      </c>
    </row>
    <row r="92" spans="1:5" ht="12.75" customHeight="1" x14ac:dyDescent="0.2">
      <c r="A92" s="1" t="str">
        <f>HYPERLINK("javascript:void(0)","Hablang csipája")</f>
        <v>Hablang csipája</v>
      </c>
      <c r="B92" s="1"/>
      <c r="C92" s="1"/>
      <c r="D92" s="2"/>
      <c r="E92" s="2" t="e">
        <f t="shared" si="0"/>
        <v>#VALUE!</v>
      </c>
    </row>
    <row r="93" spans="1:5" ht="12.75" customHeight="1" x14ac:dyDescent="0.2">
      <c r="A93" s="3"/>
      <c r="B93" s="3" t="s">
        <v>0</v>
      </c>
      <c r="C93" s="3" t="s">
        <v>21</v>
      </c>
      <c r="D93" s="2"/>
      <c r="E93" s="2" t="e">
        <f t="shared" si="0"/>
        <v>#VALUE!</v>
      </c>
    </row>
    <row r="94" spans="1:5" ht="12.75" customHeight="1" x14ac:dyDescent="0.2">
      <c r="A94" s="3"/>
      <c r="B94" s="3" t="s">
        <v>2</v>
      </c>
      <c r="C94" s="3" t="s">
        <v>387</v>
      </c>
      <c r="D94" s="2"/>
      <c r="E94" s="2" t="e">
        <f t="shared" si="0"/>
        <v>#VALUE!</v>
      </c>
    </row>
    <row r="95" spans="1:5" ht="12.75" customHeight="1" x14ac:dyDescent="0.2">
      <c r="A95" s="3"/>
      <c r="B95" s="3" t="s">
        <v>9</v>
      </c>
      <c r="C95" s="3" t="s">
        <v>131</v>
      </c>
      <c r="D95" s="2"/>
      <c r="E95" s="2" t="e">
        <f t="shared" si="0"/>
        <v>#VALUE!</v>
      </c>
    </row>
    <row r="96" spans="1:5" ht="12.75" customHeight="1" x14ac:dyDescent="0.2">
      <c r="A96" s="3"/>
      <c r="B96" s="3" t="s">
        <v>11</v>
      </c>
      <c r="C96" s="3" t="s">
        <v>23</v>
      </c>
      <c r="D96" s="2"/>
      <c r="E96" s="2" t="e">
        <f t="shared" si="0"/>
        <v>#VALUE!</v>
      </c>
    </row>
    <row r="97" spans="1:5" ht="12.75" customHeight="1" x14ac:dyDescent="0.2">
      <c r="A97" s="3"/>
      <c r="B97" s="3" t="s">
        <v>16</v>
      </c>
      <c r="C97" s="3" t="s">
        <v>388</v>
      </c>
      <c r="D97" s="2"/>
      <c r="E97" s="2" t="e">
        <f t="shared" si="0"/>
        <v>#VALUE!</v>
      </c>
    </row>
    <row r="98" spans="1:5" ht="12.75" customHeight="1" x14ac:dyDescent="0.2">
      <c r="A98" s="3"/>
      <c r="B98" s="3" t="s">
        <v>18</v>
      </c>
      <c r="C98" s="4" t="s">
        <v>19</v>
      </c>
      <c r="D98" s="2"/>
      <c r="E98" s="2" t="e">
        <f t="shared" si="0"/>
        <v>#VALUE!</v>
      </c>
    </row>
    <row r="99" spans="1:5" ht="12.75" customHeight="1" x14ac:dyDescent="0.2">
      <c r="A99" s="1" t="str">
        <f>HYPERLINK("javascript:void(0)","Hanpa sisak")</f>
        <v>Hanpa sisak</v>
      </c>
      <c r="B99" s="1"/>
      <c r="C99" s="1"/>
      <c r="D99" s="2"/>
      <c r="E99" s="2" t="e">
        <f t="shared" si="0"/>
        <v>#VALUE!</v>
      </c>
    </row>
    <row r="100" spans="1:5" ht="12.75" customHeight="1" x14ac:dyDescent="0.2">
      <c r="A100" s="3"/>
      <c r="B100" s="3" t="s">
        <v>0</v>
      </c>
      <c r="C100" s="3" t="s">
        <v>21</v>
      </c>
      <c r="D100" s="2"/>
      <c r="E100" s="2" t="e">
        <f t="shared" si="0"/>
        <v>#VALUE!</v>
      </c>
    </row>
    <row r="101" spans="1:5" ht="12.75" customHeight="1" x14ac:dyDescent="0.2">
      <c r="A101" s="3"/>
      <c r="B101" s="3" t="s">
        <v>2</v>
      </c>
      <c r="C101" s="3" t="s">
        <v>387</v>
      </c>
      <c r="D101" s="2"/>
      <c r="E101" s="2" t="e">
        <f t="shared" si="0"/>
        <v>#VALUE!</v>
      </c>
    </row>
    <row r="102" spans="1:5" ht="12.75" customHeight="1" x14ac:dyDescent="0.2">
      <c r="A102" s="3"/>
      <c r="B102" s="3" t="s">
        <v>9</v>
      </c>
      <c r="C102" s="3" t="s">
        <v>415</v>
      </c>
      <c r="D102" s="2"/>
      <c r="E102" s="2" t="e">
        <f t="shared" si="0"/>
        <v>#VALUE!</v>
      </c>
    </row>
    <row r="103" spans="1:5" ht="12.75" customHeight="1" x14ac:dyDescent="0.2">
      <c r="A103" s="3"/>
      <c r="B103" s="3" t="s">
        <v>11</v>
      </c>
      <c r="C103" s="3" t="s">
        <v>23</v>
      </c>
      <c r="D103" s="2"/>
      <c r="E103" s="2" t="e">
        <f t="shared" si="0"/>
        <v>#VALUE!</v>
      </c>
    </row>
    <row r="104" spans="1:5" ht="12.75" customHeight="1" x14ac:dyDescent="0.2">
      <c r="A104" s="3"/>
      <c r="B104" s="3" t="s">
        <v>16</v>
      </c>
      <c r="C104" s="3" t="s">
        <v>388</v>
      </c>
      <c r="D104" s="2"/>
      <c r="E104" s="2" t="e">
        <f t="shared" si="0"/>
        <v>#VALUE!</v>
      </c>
    </row>
    <row r="105" spans="1:5" ht="12.75" customHeight="1" x14ac:dyDescent="0.2">
      <c r="A105" s="3"/>
      <c r="B105" s="3" t="s">
        <v>18</v>
      </c>
      <c r="C105" s="4" t="s">
        <v>19</v>
      </c>
      <c r="D105" s="2"/>
      <c r="E105" s="2" t="e">
        <f t="shared" si="0"/>
        <v>#VALUE!</v>
      </c>
    </row>
    <row r="106" spans="1:5" ht="12.75" customHeight="1" x14ac:dyDescent="0.2">
      <c r="A106" s="1" t="str">
        <f>HYPERLINK("javascript:void(0)","Heckenast páncélja")</f>
        <v>Heckenast páncélja</v>
      </c>
      <c r="B106" s="1"/>
      <c r="C106" s="1"/>
      <c r="D106" s="2"/>
      <c r="E106" s="2" t="e">
        <f t="shared" si="0"/>
        <v>#VALUE!</v>
      </c>
    </row>
    <row r="107" spans="1:5" ht="12.75" customHeight="1" x14ac:dyDescent="0.2">
      <c r="A107" s="3"/>
      <c r="B107" s="3" t="s">
        <v>0</v>
      </c>
      <c r="C107" s="3" t="s">
        <v>21</v>
      </c>
      <c r="D107" s="2"/>
      <c r="E107" s="2" t="e">
        <f t="shared" si="0"/>
        <v>#VALUE!</v>
      </c>
    </row>
    <row r="108" spans="1:5" ht="12.75" customHeight="1" x14ac:dyDescent="0.2">
      <c r="A108" s="3"/>
      <c r="B108" s="3" t="s">
        <v>2</v>
      </c>
      <c r="C108" s="3" t="s">
        <v>387</v>
      </c>
      <c r="D108" s="2"/>
      <c r="E108" s="2" t="e">
        <f t="shared" si="0"/>
        <v>#VALUE!</v>
      </c>
    </row>
    <row r="109" spans="1:5" ht="12.75" customHeight="1" x14ac:dyDescent="0.2">
      <c r="A109" s="3"/>
      <c r="B109" s="3" t="s">
        <v>9</v>
      </c>
      <c r="C109" s="3" t="s">
        <v>419</v>
      </c>
      <c r="D109" s="2"/>
      <c r="E109" s="2" t="e">
        <f t="shared" si="0"/>
        <v>#VALUE!</v>
      </c>
    </row>
    <row r="110" spans="1:5" ht="12.75" customHeight="1" x14ac:dyDescent="0.2">
      <c r="A110" s="3"/>
      <c r="B110" s="3" t="s">
        <v>11</v>
      </c>
      <c r="C110" s="3" t="s">
        <v>23</v>
      </c>
      <c r="D110" s="2"/>
      <c r="E110" s="2" t="e">
        <f t="shared" si="0"/>
        <v>#VALUE!</v>
      </c>
    </row>
    <row r="111" spans="1:5" ht="12.75" customHeight="1" x14ac:dyDescent="0.2">
      <c r="A111" s="3"/>
      <c r="B111" s="3" t="s">
        <v>16</v>
      </c>
      <c r="C111" s="3" t="s">
        <v>388</v>
      </c>
      <c r="D111" s="2"/>
      <c r="E111" s="2" t="e">
        <f t="shared" si="0"/>
        <v>#VALUE!</v>
      </c>
    </row>
    <row r="112" spans="1:5" ht="12.75" customHeight="1" x14ac:dyDescent="0.2">
      <c r="A112" s="3"/>
      <c r="B112" s="3" t="s">
        <v>18</v>
      </c>
      <c r="C112" s="4" t="s">
        <v>19</v>
      </c>
      <c r="D112" s="2"/>
      <c r="E112" s="2" t="e">
        <f t="shared" si="0"/>
        <v>#VALUE!</v>
      </c>
    </row>
    <row r="113" spans="1:5" ht="12.75" customHeight="1" x14ac:dyDescent="0.2">
      <c r="A113" s="1" t="str">
        <f>HYPERLINK("javascript:void(0)","Hieuglifan démoni itala")</f>
        <v>Hieuglifan démoni itala</v>
      </c>
      <c r="B113" s="1"/>
      <c r="C113" s="1"/>
      <c r="D113" s="2"/>
      <c r="E113" s="2" t="e">
        <f t="shared" si="0"/>
        <v>#VALUE!</v>
      </c>
    </row>
    <row r="114" spans="1:5" ht="12.75" customHeight="1" x14ac:dyDescent="0.2">
      <c r="A114" s="3"/>
      <c r="B114" s="3" t="s">
        <v>0</v>
      </c>
      <c r="C114" s="3" t="s">
        <v>21</v>
      </c>
      <c r="D114" s="2"/>
      <c r="E114" s="2" t="e">
        <f t="shared" si="0"/>
        <v>#VALUE!</v>
      </c>
    </row>
    <row r="115" spans="1:5" ht="12.75" customHeight="1" x14ac:dyDescent="0.2">
      <c r="A115" s="3"/>
      <c r="B115" s="3" t="s">
        <v>2</v>
      </c>
      <c r="C115" s="3" t="s">
        <v>387</v>
      </c>
      <c r="D115" s="2"/>
      <c r="E115" s="2" t="e">
        <f t="shared" si="0"/>
        <v>#VALUE!</v>
      </c>
    </row>
    <row r="116" spans="1:5" ht="12.75" customHeight="1" x14ac:dyDescent="0.2">
      <c r="A116" s="3"/>
      <c r="B116" s="3" t="s">
        <v>9</v>
      </c>
      <c r="C116" s="3" t="s">
        <v>27</v>
      </c>
      <c r="D116" s="2"/>
      <c r="E116" s="2" t="e">
        <f t="shared" si="0"/>
        <v>#VALUE!</v>
      </c>
    </row>
    <row r="117" spans="1:5" ht="12.75" customHeight="1" x14ac:dyDescent="0.2">
      <c r="A117" s="3"/>
      <c r="B117" s="3" t="s">
        <v>11</v>
      </c>
      <c r="C117" s="3" t="s">
        <v>23</v>
      </c>
      <c r="D117" s="2"/>
      <c r="E117" s="2" t="e">
        <f t="shared" si="0"/>
        <v>#VALUE!</v>
      </c>
    </row>
    <row r="118" spans="1:5" ht="12.75" customHeight="1" x14ac:dyDescent="0.2">
      <c r="A118" s="3"/>
      <c r="B118" s="3" t="s">
        <v>16</v>
      </c>
      <c r="C118" s="3" t="s">
        <v>388</v>
      </c>
      <c r="D118" s="2"/>
      <c r="E118" s="2" t="e">
        <f t="shared" si="0"/>
        <v>#VALUE!</v>
      </c>
    </row>
    <row r="119" spans="1:5" ht="12.75" customHeight="1" x14ac:dyDescent="0.2">
      <c r="A119" s="3"/>
      <c r="B119" s="3" t="s">
        <v>18</v>
      </c>
      <c r="C119" s="4" t="s">
        <v>19</v>
      </c>
      <c r="D119" s="2"/>
      <c r="E119" s="2" t="e">
        <f t="shared" si="0"/>
        <v>#VALUE!</v>
      </c>
    </row>
    <row r="120" spans="1:5" ht="12.75" customHeight="1" x14ac:dyDescent="0.2">
      <c r="A120" s="1" t="str">
        <f>HYPERLINK("javascript:void(0)","Hintbusz seprűje")</f>
        <v>Hintbusz seprűje</v>
      </c>
      <c r="B120" s="1"/>
      <c r="C120" s="1"/>
      <c r="D120" s="2"/>
      <c r="E120" s="2" t="e">
        <f t="shared" si="0"/>
        <v>#VALUE!</v>
      </c>
    </row>
    <row r="121" spans="1:5" ht="12.75" customHeight="1" x14ac:dyDescent="0.2">
      <c r="A121" s="3"/>
      <c r="B121" s="3" t="s">
        <v>0</v>
      </c>
      <c r="C121" s="3" t="s">
        <v>21</v>
      </c>
      <c r="D121" s="2"/>
      <c r="E121" s="2" t="e">
        <f t="shared" si="0"/>
        <v>#VALUE!</v>
      </c>
    </row>
    <row r="122" spans="1:5" ht="12.75" customHeight="1" x14ac:dyDescent="0.2">
      <c r="A122" s="3"/>
      <c r="B122" s="3" t="s">
        <v>2</v>
      </c>
      <c r="C122" s="3" t="s">
        <v>387</v>
      </c>
      <c r="D122" s="2"/>
      <c r="E122" s="2" t="e">
        <f t="shared" si="0"/>
        <v>#VALUE!</v>
      </c>
    </row>
    <row r="123" spans="1:5" ht="12.75" customHeight="1" x14ac:dyDescent="0.2">
      <c r="A123" s="3"/>
      <c r="B123" s="3" t="s">
        <v>9</v>
      </c>
      <c r="C123" s="3" t="s">
        <v>42</v>
      </c>
      <c r="D123" s="2"/>
      <c r="E123" s="2" t="e">
        <f t="shared" si="0"/>
        <v>#VALUE!</v>
      </c>
    </row>
    <row r="124" spans="1:5" ht="12.75" customHeight="1" x14ac:dyDescent="0.2">
      <c r="A124" s="3"/>
      <c r="B124" s="3" t="s">
        <v>11</v>
      </c>
      <c r="C124" s="3" t="s">
        <v>23</v>
      </c>
      <c r="D124" s="2"/>
      <c r="E124" s="2" t="e">
        <f t="shared" si="0"/>
        <v>#VALUE!</v>
      </c>
    </row>
    <row r="125" spans="1:5" ht="12.75" customHeight="1" x14ac:dyDescent="0.2">
      <c r="A125" s="3"/>
      <c r="B125" s="3" t="s">
        <v>16</v>
      </c>
      <c r="C125" s="3" t="s">
        <v>388</v>
      </c>
      <c r="D125" s="2"/>
      <c r="E125" s="2" t="e">
        <f t="shared" si="0"/>
        <v>#VALUE!</v>
      </c>
    </row>
    <row r="126" spans="1:5" ht="12.75" customHeight="1" x14ac:dyDescent="0.2">
      <c r="A126" s="3"/>
      <c r="B126" s="3" t="s">
        <v>18</v>
      </c>
      <c r="C126" s="4" t="s">
        <v>19</v>
      </c>
      <c r="D126" s="2"/>
      <c r="E126" s="2" t="e">
        <f t="shared" si="0"/>
        <v>#VALUE!</v>
      </c>
    </row>
    <row r="127" spans="1:5" ht="12.75" customHeight="1" x14ac:dyDescent="0.2">
      <c r="A127" s="1" t="str">
        <f>HYPERLINK("javascript:void(0)","I.E.G. medálja")</f>
        <v>I.E.G. medálja</v>
      </c>
      <c r="B127" s="1"/>
      <c r="C127" s="1"/>
      <c r="D127" s="2"/>
      <c r="E127" s="2" t="e">
        <f t="shared" si="0"/>
        <v>#VALUE!</v>
      </c>
    </row>
    <row r="128" spans="1:5" ht="12.75" customHeight="1" x14ac:dyDescent="0.2">
      <c r="A128" s="3"/>
      <c r="B128" s="3" t="s">
        <v>0</v>
      </c>
      <c r="C128" s="3" t="s">
        <v>21</v>
      </c>
      <c r="D128" s="2"/>
      <c r="E128" s="2" t="e">
        <f t="shared" si="0"/>
        <v>#VALUE!</v>
      </c>
    </row>
    <row r="129" spans="1:5" ht="12.75" customHeight="1" x14ac:dyDescent="0.2">
      <c r="A129" s="3"/>
      <c r="B129" s="3" t="s">
        <v>2</v>
      </c>
      <c r="C129" s="3" t="s">
        <v>387</v>
      </c>
      <c r="D129" s="2"/>
      <c r="E129" s="2" t="e">
        <f t="shared" si="0"/>
        <v>#VALUE!</v>
      </c>
    </row>
    <row r="130" spans="1:5" ht="12.75" customHeight="1" x14ac:dyDescent="0.2">
      <c r="A130" s="3"/>
      <c r="B130" s="3" t="s">
        <v>9</v>
      </c>
      <c r="C130" s="3" t="s">
        <v>27</v>
      </c>
      <c r="D130" s="2"/>
      <c r="E130" s="2" t="e">
        <f t="shared" si="0"/>
        <v>#VALUE!</v>
      </c>
    </row>
    <row r="131" spans="1:5" ht="12.75" customHeight="1" x14ac:dyDescent="0.2">
      <c r="A131" s="3"/>
      <c r="B131" s="3" t="s">
        <v>11</v>
      </c>
      <c r="C131" s="3" t="s">
        <v>23</v>
      </c>
      <c r="D131" s="2"/>
      <c r="E131" s="2" t="e">
        <f t="shared" si="0"/>
        <v>#VALUE!</v>
      </c>
    </row>
    <row r="132" spans="1:5" ht="12.75" customHeight="1" x14ac:dyDescent="0.2">
      <c r="A132" s="3"/>
      <c r="B132" s="3" t="s">
        <v>16</v>
      </c>
      <c r="C132" s="3" t="s">
        <v>388</v>
      </c>
      <c r="D132" s="2"/>
      <c r="E132" s="2" t="e">
        <f t="shared" si="0"/>
        <v>#VALUE!</v>
      </c>
    </row>
    <row r="133" spans="1:5" ht="12.75" customHeight="1" x14ac:dyDescent="0.2">
      <c r="A133" s="3"/>
      <c r="B133" s="3" t="s">
        <v>18</v>
      </c>
      <c r="C133" s="4" t="s">
        <v>19</v>
      </c>
      <c r="D133" s="2"/>
      <c r="E133" s="2" t="e">
        <f t="shared" si="0"/>
        <v>#VALUE!</v>
      </c>
    </row>
    <row r="134" spans="1:5" ht="12.75" customHeight="1" x14ac:dyDescent="0.2">
      <c r="A134" s="1" t="str">
        <f>HYPERLINK("javascript:void(0)","Istenek fegyverzete")</f>
        <v>Istenek fegyverzete</v>
      </c>
      <c r="B134" s="1"/>
      <c r="C134" s="1"/>
      <c r="D134" s="2"/>
      <c r="E134" s="2" t="e">
        <f t="shared" si="0"/>
        <v>#VALUE!</v>
      </c>
    </row>
    <row r="135" spans="1:5" ht="12.75" customHeight="1" x14ac:dyDescent="0.2">
      <c r="A135" s="3"/>
      <c r="B135" s="3" t="s">
        <v>0</v>
      </c>
      <c r="C135" s="3" t="s">
        <v>21</v>
      </c>
      <c r="D135" s="2"/>
      <c r="E135" s="2" t="e">
        <f t="shared" si="0"/>
        <v>#VALUE!</v>
      </c>
    </row>
    <row r="136" spans="1:5" ht="12.75" customHeight="1" x14ac:dyDescent="0.2">
      <c r="A136" s="3"/>
      <c r="B136" s="3" t="s">
        <v>2</v>
      </c>
      <c r="C136" s="3" t="s">
        <v>387</v>
      </c>
      <c r="D136" s="2"/>
      <c r="E136" s="2" t="e">
        <f t="shared" si="0"/>
        <v>#VALUE!</v>
      </c>
    </row>
    <row r="137" spans="1:5" ht="12.75" customHeight="1" x14ac:dyDescent="0.2">
      <c r="A137" s="3"/>
      <c r="B137" s="3" t="s">
        <v>9</v>
      </c>
      <c r="C137" s="3" t="s">
        <v>27</v>
      </c>
      <c r="D137" s="2"/>
      <c r="E137" s="2" t="e">
        <f t="shared" si="0"/>
        <v>#VALUE!</v>
      </c>
    </row>
    <row r="138" spans="1:5" ht="12.75" customHeight="1" x14ac:dyDescent="0.2">
      <c r="A138" s="3"/>
      <c r="B138" s="3" t="s">
        <v>11</v>
      </c>
      <c r="C138" s="3" t="s">
        <v>23</v>
      </c>
      <c r="D138" s="2"/>
      <c r="E138" s="2" t="e">
        <f t="shared" si="0"/>
        <v>#VALUE!</v>
      </c>
    </row>
    <row r="139" spans="1:5" ht="12.75" customHeight="1" x14ac:dyDescent="0.2">
      <c r="A139" s="3"/>
      <c r="B139" s="3" t="s">
        <v>16</v>
      </c>
      <c r="C139" s="3" t="s">
        <v>388</v>
      </c>
      <c r="D139" s="2"/>
      <c r="E139" s="2" t="e">
        <f t="shared" si="0"/>
        <v>#VALUE!</v>
      </c>
    </row>
    <row r="140" spans="1:5" ht="12.75" customHeight="1" x14ac:dyDescent="0.2">
      <c r="A140" s="3"/>
      <c r="B140" s="3" t="s">
        <v>18</v>
      </c>
      <c r="C140" s="4" t="s">
        <v>19</v>
      </c>
      <c r="D140" s="2"/>
      <c r="E140" s="2" t="e">
        <f t="shared" si="0"/>
        <v>#VALUE!</v>
      </c>
    </row>
    <row r="141" spans="1:5" ht="12.75" customHeight="1" x14ac:dyDescent="0.2">
      <c r="A141" s="1" t="str">
        <f>HYPERLINK("javascript:void(0)","K. varázspálcája")</f>
        <v>K. varázspálcája</v>
      </c>
      <c r="B141" s="1"/>
      <c r="C141" s="1"/>
      <c r="D141" s="2"/>
      <c r="E141" s="2" t="e">
        <f t="shared" si="0"/>
        <v>#VALUE!</v>
      </c>
    </row>
    <row r="142" spans="1:5" ht="12.75" customHeight="1" x14ac:dyDescent="0.2">
      <c r="A142" s="3"/>
      <c r="B142" s="3" t="s">
        <v>0</v>
      </c>
      <c r="C142" s="3" t="s">
        <v>21</v>
      </c>
      <c r="D142" s="2"/>
      <c r="E142" s="2" t="e">
        <f t="shared" si="0"/>
        <v>#VALUE!</v>
      </c>
    </row>
    <row r="143" spans="1:5" ht="12.75" customHeight="1" x14ac:dyDescent="0.2">
      <c r="A143" s="3"/>
      <c r="B143" s="3" t="s">
        <v>2</v>
      </c>
      <c r="C143" s="3" t="s">
        <v>387</v>
      </c>
      <c r="D143" s="2"/>
      <c r="E143" s="2" t="e">
        <f t="shared" si="0"/>
        <v>#VALUE!</v>
      </c>
    </row>
    <row r="144" spans="1:5" ht="12.75" customHeight="1" x14ac:dyDescent="0.2">
      <c r="A144" s="3"/>
      <c r="B144" s="3" t="s">
        <v>9</v>
      </c>
      <c r="C144" s="3" t="s">
        <v>374</v>
      </c>
      <c r="D144" s="2"/>
      <c r="E144" s="2" t="e">
        <f t="shared" si="0"/>
        <v>#VALUE!</v>
      </c>
    </row>
    <row r="145" spans="1:5" ht="12.75" customHeight="1" x14ac:dyDescent="0.2">
      <c r="A145" s="3"/>
      <c r="B145" s="3" t="s">
        <v>11</v>
      </c>
      <c r="C145" s="3" t="s">
        <v>23</v>
      </c>
      <c r="D145" s="2"/>
      <c r="E145" s="2" t="e">
        <f t="shared" si="0"/>
        <v>#VALUE!</v>
      </c>
    </row>
    <row r="146" spans="1:5" ht="12.75" customHeight="1" x14ac:dyDescent="0.2">
      <c r="A146" s="3"/>
      <c r="B146" s="3" t="s">
        <v>16</v>
      </c>
      <c r="C146" s="3" t="s">
        <v>388</v>
      </c>
      <c r="D146" s="2"/>
      <c r="E146" s="2" t="e">
        <f t="shared" si="0"/>
        <v>#VALUE!</v>
      </c>
    </row>
    <row r="147" spans="1:5" ht="12.75" customHeight="1" x14ac:dyDescent="0.2">
      <c r="A147" s="3"/>
      <c r="B147" s="3" t="s">
        <v>18</v>
      </c>
      <c r="C147" s="4" t="s">
        <v>19</v>
      </c>
      <c r="D147" s="2"/>
      <c r="E147" s="2" t="e">
        <f t="shared" si="0"/>
        <v>#VALUE!</v>
      </c>
    </row>
    <row r="148" spans="1:5" ht="12.75" customHeight="1" x14ac:dyDescent="0.2">
      <c r="A148" s="1" t="str">
        <f>HYPERLINK("javascript:void(0)","Kot-sonya recept")</f>
        <v>Kot-sonya recept</v>
      </c>
      <c r="B148" s="1"/>
      <c r="C148" s="1"/>
      <c r="D148" s="2"/>
      <c r="E148" s="2" t="e">
        <f t="shared" si="0"/>
        <v>#VALUE!</v>
      </c>
    </row>
    <row r="149" spans="1:5" ht="12.75" customHeight="1" x14ac:dyDescent="0.2">
      <c r="A149" s="3"/>
      <c r="B149" s="3" t="s">
        <v>0</v>
      </c>
      <c r="C149" s="3" t="s">
        <v>21</v>
      </c>
      <c r="D149" s="2"/>
      <c r="E149" s="2" t="e">
        <f t="shared" si="0"/>
        <v>#VALUE!</v>
      </c>
    </row>
    <row r="150" spans="1:5" ht="12.75" customHeight="1" x14ac:dyDescent="0.2">
      <c r="A150" s="3"/>
      <c r="B150" s="3" t="s">
        <v>2</v>
      </c>
      <c r="C150" s="3" t="s">
        <v>387</v>
      </c>
      <c r="D150" s="2"/>
      <c r="E150" s="2" t="e">
        <f t="shared" si="0"/>
        <v>#VALUE!</v>
      </c>
    </row>
    <row r="151" spans="1:5" ht="12.75" customHeight="1" x14ac:dyDescent="0.2">
      <c r="A151" s="3"/>
      <c r="B151" s="3" t="s">
        <v>9</v>
      </c>
      <c r="C151" s="3" t="s">
        <v>27</v>
      </c>
      <c r="D151" s="2"/>
      <c r="E151" s="2" t="e">
        <f t="shared" si="0"/>
        <v>#VALUE!</v>
      </c>
    </row>
    <row r="152" spans="1:5" ht="12.75" customHeight="1" x14ac:dyDescent="0.2">
      <c r="A152" s="3"/>
      <c r="B152" s="3" t="s">
        <v>11</v>
      </c>
      <c r="C152" s="3" t="s">
        <v>23</v>
      </c>
      <c r="D152" s="2"/>
      <c r="E152" s="2" t="e">
        <f t="shared" si="0"/>
        <v>#VALUE!</v>
      </c>
    </row>
    <row r="153" spans="1:5" ht="12.75" customHeight="1" x14ac:dyDescent="0.2">
      <c r="A153" s="3"/>
      <c r="B153" s="3" t="s">
        <v>16</v>
      </c>
      <c r="C153" s="3" t="s">
        <v>388</v>
      </c>
      <c r="D153" s="2"/>
      <c r="E153" s="2" t="e">
        <f t="shared" si="0"/>
        <v>#VALUE!</v>
      </c>
    </row>
    <row r="154" spans="1:5" ht="12.75" customHeight="1" x14ac:dyDescent="0.2">
      <c r="A154" s="3"/>
      <c r="B154" s="3" t="s">
        <v>18</v>
      </c>
      <c r="C154" s="4" t="s">
        <v>19</v>
      </c>
      <c r="D154" s="2"/>
      <c r="E154" s="2" t="e">
        <f t="shared" si="0"/>
        <v>#VALUE!</v>
      </c>
    </row>
    <row r="155" spans="1:5" ht="12.75" customHeight="1" x14ac:dyDescent="0.2">
      <c r="A155" s="1" t="str">
        <f>HYPERLINK("javascript:void(0)","Kócos paróka")</f>
        <v>Kócos paróka</v>
      </c>
      <c r="B155" s="1"/>
      <c r="C155" s="1"/>
      <c r="D155" s="2"/>
      <c r="E155" s="2" t="e">
        <f t="shared" si="0"/>
        <v>#VALUE!</v>
      </c>
    </row>
    <row r="156" spans="1:5" ht="12.75" customHeight="1" x14ac:dyDescent="0.2">
      <c r="A156" s="3"/>
      <c r="B156" s="3" t="s">
        <v>0</v>
      </c>
      <c r="C156" s="3" t="s">
        <v>21</v>
      </c>
      <c r="D156" s="2"/>
      <c r="E156" s="2" t="e">
        <f t="shared" si="0"/>
        <v>#VALUE!</v>
      </c>
    </row>
    <row r="157" spans="1:5" ht="12.75" customHeight="1" x14ac:dyDescent="0.2">
      <c r="A157" s="3"/>
      <c r="B157" s="3" t="s">
        <v>2</v>
      </c>
      <c r="C157" s="3" t="s">
        <v>387</v>
      </c>
      <c r="D157" s="2"/>
      <c r="E157" s="2" t="e">
        <f t="shared" si="0"/>
        <v>#VALUE!</v>
      </c>
    </row>
    <row r="158" spans="1:5" ht="12.75" customHeight="1" x14ac:dyDescent="0.2">
      <c r="A158" s="3"/>
      <c r="B158" s="3" t="s">
        <v>9</v>
      </c>
      <c r="C158" s="3" t="s">
        <v>42</v>
      </c>
      <c r="D158" s="2"/>
      <c r="E158" s="2" t="e">
        <f t="shared" si="0"/>
        <v>#VALUE!</v>
      </c>
    </row>
    <row r="159" spans="1:5" ht="12.75" customHeight="1" x14ac:dyDescent="0.2">
      <c r="A159" s="3"/>
      <c r="B159" s="3" t="s">
        <v>11</v>
      </c>
      <c r="C159" s="3" t="s">
        <v>23</v>
      </c>
      <c r="D159" s="2"/>
      <c r="E159" s="2" t="e">
        <f t="shared" si="0"/>
        <v>#VALUE!</v>
      </c>
    </row>
    <row r="160" spans="1:5" ht="12.75" customHeight="1" x14ac:dyDescent="0.2">
      <c r="A160" s="3"/>
      <c r="B160" s="3" t="s">
        <v>16</v>
      </c>
      <c r="C160" s="3" t="s">
        <v>388</v>
      </c>
      <c r="D160" s="2"/>
      <c r="E160" s="2" t="e">
        <f t="shared" si="0"/>
        <v>#VALUE!</v>
      </c>
    </row>
    <row r="161" spans="1:5" ht="12.75" customHeight="1" x14ac:dyDescent="0.2">
      <c r="A161" s="3"/>
      <c r="B161" s="3" t="s">
        <v>18</v>
      </c>
      <c r="C161" s="4" t="s">
        <v>19</v>
      </c>
      <c r="D161" s="2"/>
      <c r="E161" s="2" t="e">
        <f t="shared" si="0"/>
        <v>#VALUE!</v>
      </c>
    </row>
    <row r="162" spans="1:5" ht="12.75" customHeight="1" x14ac:dyDescent="0.2">
      <c r="A162" s="1" t="str">
        <f>HYPERLINK("javascript:void(0)","Lari szonda")</f>
        <v>Lari szonda</v>
      </c>
      <c r="B162" s="1"/>
      <c r="C162" s="1"/>
      <c r="D162" s="1"/>
      <c r="E162" s="2" t="e">
        <f t="shared" si="0"/>
        <v>#VALUE!</v>
      </c>
    </row>
    <row r="163" spans="1:5" ht="12.75" customHeight="1" x14ac:dyDescent="0.2">
      <c r="A163" s="3"/>
      <c r="B163" s="3" t="s">
        <v>0</v>
      </c>
      <c r="C163" s="3" t="s">
        <v>21</v>
      </c>
      <c r="D163" s="3"/>
      <c r="E163" s="2" t="e">
        <f t="shared" si="0"/>
        <v>#VALUE!</v>
      </c>
    </row>
    <row r="164" spans="1:5" ht="12.75" customHeight="1" x14ac:dyDescent="0.2">
      <c r="A164" s="3"/>
      <c r="B164" s="3" t="s">
        <v>2</v>
      </c>
      <c r="C164" s="3" t="s">
        <v>440</v>
      </c>
      <c r="D164" s="3"/>
      <c r="E164" s="2" t="e">
        <f t="shared" si="0"/>
        <v>#VALUE!</v>
      </c>
    </row>
    <row r="165" spans="1:5" ht="12.75" customHeight="1" x14ac:dyDescent="0.2">
      <c r="A165" s="3"/>
      <c r="B165" s="3" t="s">
        <v>9</v>
      </c>
      <c r="C165" s="3" t="s">
        <v>441</v>
      </c>
      <c r="D165" s="3"/>
      <c r="E165" s="2" t="e">
        <f t="shared" si="0"/>
        <v>#VALUE!</v>
      </c>
    </row>
    <row r="166" spans="1:5" ht="12.75" customHeight="1" x14ac:dyDescent="0.2">
      <c r="A166" s="3"/>
      <c r="B166" s="3" t="s">
        <v>11</v>
      </c>
      <c r="C166" s="3" t="s">
        <v>23</v>
      </c>
      <c r="D166" s="3"/>
      <c r="E166" s="2" t="e">
        <f t="shared" si="0"/>
        <v>#VALUE!</v>
      </c>
    </row>
    <row r="167" spans="1:5" ht="165.75" customHeight="1" x14ac:dyDescent="0.2">
      <c r="A167" s="3"/>
      <c r="B167" s="3" t="s">
        <v>16</v>
      </c>
      <c r="C167" s="3" t="s">
        <v>443</v>
      </c>
      <c r="D167" s="3"/>
      <c r="E167" s="2" t="e">
        <f t="shared" si="0"/>
        <v>#VALUE!</v>
      </c>
    </row>
    <row r="168" spans="1:5" ht="12.75" customHeight="1" x14ac:dyDescent="0.2">
      <c r="A168" s="3"/>
      <c r="B168" s="3" t="s">
        <v>18</v>
      </c>
      <c r="C168" s="4" t="s">
        <v>44</v>
      </c>
      <c r="D168" s="6" t="str">
        <f>HYPERLINK("javascript:void(0)","elemi térdarab")</f>
        <v>elemi térdarab</v>
      </c>
      <c r="E168" s="2" t="e">
        <f t="shared" si="0"/>
        <v>#VALUE!</v>
      </c>
    </row>
    <row r="169" spans="1:5" ht="12.75" customHeight="1" x14ac:dyDescent="0.2">
      <c r="A169" s="1" t="str">
        <f>HYPERLINK("javascript:void(0)","Lari-chu fekete öv")</f>
        <v>Lari-chu fekete öv</v>
      </c>
      <c r="B169" s="1"/>
      <c r="C169" s="1"/>
      <c r="D169" s="1"/>
      <c r="E169" s="2" t="e">
        <f t="shared" si="0"/>
        <v>#VALUE!</v>
      </c>
    </row>
    <row r="170" spans="1:5" ht="12.75" customHeight="1" x14ac:dyDescent="0.2">
      <c r="A170" s="3"/>
      <c r="B170" s="3" t="s">
        <v>0</v>
      </c>
      <c r="C170" s="3" t="s">
        <v>21</v>
      </c>
      <c r="D170" s="3"/>
      <c r="E170" s="2" t="e">
        <f t="shared" si="0"/>
        <v>#VALUE!</v>
      </c>
    </row>
    <row r="171" spans="1:5" ht="12.75" customHeight="1" x14ac:dyDescent="0.2">
      <c r="A171" s="3"/>
      <c r="B171" s="3" t="s">
        <v>2</v>
      </c>
      <c r="C171" s="3" t="s">
        <v>440</v>
      </c>
      <c r="D171" s="3"/>
      <c r="E171" s="2" t="e">
        <f t="shared" si="0"/>
        <v>#VALUE!</v>
      </c>
    </row>
    <row r="172" spans="1:5" ht="12.75" customHeight="1" x14ac:dyDescent="0.2">
      <c r="A172" s="3"/>
      <c r="B172" s="3" t="s">
        <v>9</v>
      </c>
      <c r="C172" s="3" t="s">
        <v>10</v>
      </c>
      <c r="D172" s="3"/>
      <c r="E172" s="2" t="e">
        <f t="shared" si="0"/>
        <v>#VALUE!</v>
      </c>
    </row>
    <row r="173" spans="1:5" ht="12.75" customHeight="1" x14ac:dyDescent="0.2">
      <c r="A173" s="3"/>
      <c r="B173" s="3" t="s">
        <v>11</v>
      </c>
      <c r="C173" s="3" t="s">
        <v>23</v>
      </c>
      <c r="D173" s="3"/>
      <c r="E173" s="2" t="e">
        <f t="shared" si="0"/>
        <v>#VALUE!</v>
      </c>
    </row>
    <row r="174" spans="1:5" ht="140.25" customHeight="1" x14ac:dyDescent="0.2">
      <c r="A174" s="3"/>
      <c r="B174" s="3" t="s">
        <v>16</v>
      </c>
      <c r="C174" s="3" t="s">
        <v>445</v>
      </c>
      <c r="D174" s="3"/>
      <c r="E174" s="2" t="e">
        <f t="shared" si="0"/>
        <v>#VALUE!</v>
      </c>
    </row>
    <row r="175" spans="1:5" ht="12.75" customHeight="1" x14ac:dyDescent="0.2">
      <c r="A175" s="3"/>
      <c r="B175" s="3" t="s">
        <v>18</v>
      </c>
      <c r="C175" s="4" t="s">
        <v>44</v>
      </c>
      <c r="D175" s="6" t="str">
        <f>HYPERLINK("javascript:void(0)","elemi térdarab")</f>
        <v>elemi térdarab</v>
      </c>
      <c r="E175" s="2" t="e">
        <f t="shared" si="0"/>
        <v>#VALUE!</v>
      </c>
    </row>
    <row r="176" spans="1:5" ht="12.75" customHeight="1" x14ac:dyDescent="0.2">
      <c r="A176" s="1" t="str">
        <f>HYPERLINK("javascript:void(0)","Lorden pallosa")</f>
        <v>Lorden pallosa</v>
      </c>
      <c r="B176" s="1"/>
      <c r="C176" s="1"/>
      <c r="D176" s="2"/>
      <c r="E176" s="2" t="e">
        <f t="shared" si="0"/>
        <v>#VALUE!</v>
      </c>
    </row>
    <row r="177" spans="1:5" ht="12.75" customHeight="1" x14ac:dyDescent="0.2">
      <c r="A177" s="3"/>
      <c r="B177" s="3" t="s">
        <v>0</v>
      </c>
      <c r="C177" s="3" t="s">
        <v>21</v>
      </c>
      <c r="D177" s="2"/>
      <c r="E177" s="2" t="e">
        <f t="shared" si="0"/>
        <v>#VALUE!</v>
      </c>
    </row>
    <row r="178" spans="1:5" ht="12.75" customHeight="1" x14ac:dyDescent="0.2">
      <c r="A178" s="3"/>
      <c r="B178" s="3" t="s">
        <v>2</v>
      </c>
      <c r="C178" s="3" t="s">
        <v>387</v>
      </c>
      <c r="D178" s="2"/>
      <c r="E178" s="2" t="e">
        <f t="shared" si="0"/>
        <v>#VALUE!</v>
      </c>
    </row>
    <row r="179" spans="1:5" ht="12.75" customHeight="1" x14ac:dyDescent="0.2">
      <c r="A179" s="3"/>
      <c r="B179" s="3" t="s">
        <v>9</v>
      </c>
      <c r="C179" s="3" t="s">
        <v>27</v>
      </c>
      <c r="D179" s="2"/>
      <c r="E179" s="2" t="e">
        <f t="shared" si="0"/>
        <v>#VALUE!</v>
      </c>
    </row>
    <row r="180" spans="1:5" ht="12.75" customHeight="1" x14ac:dyDescent="0.2">
      <c r="A180" s="3"/>
      <c r="B180" s="3" t="s">
        <v>11</v>
      </c>
      <c r="C180" s="3" t="s">
        <v>23</v>
      </c>
      <c r="D180" s="2"/>
      <c r="E180" s="2" t="e">
        <f t="shared" si="0"/>
        <v>#VALUE!</v>
      </c>
    </row>
    <row r="181" spans="1:5" ht="12.75" customHeight="1" x14ac:dyDescent="0.2">
      <c r="A181" s="3"/>
      <c r="B181" s="3" t="s">
        <v>16</v>
      </c>
      <c r="C181" s="3" t="s">
        <v>388</v>
      </c>
      <c r="D181" s="2"/>
      <c r="E181" s="2" t="e">
        <f t="shared" si="0"/>
        <v>#VALUE!</v>
      </c>
    </row>
    <row r="182" spans="1:5" ht="12.75" customHeight="1" x14ac:dyDescent="0.2">
      <c r="A182" s="3"/>
      <c r="B182" s="3" t="s">
        <v>18</v>
      </c>
      <c r="C182" s="4" t="s">
        <v>19</v>
      </c>
      <c r="D182" s="2"/>
      <c r="E182" s="2" t="e">
        <f t="shared" si="0"/>
        <v>#VALUE!</v>
      </c>
    </row>
    <row r="183" spans="1:5" ht="12.75" customHeight="1" x14ac:dyDescent="0.2">
      <c r="A183" s="1" t="str">
        <f>HYPERLINK("javascript:void(0)","Mengorni managömb")</f>
        <v>Mengorni managömb</v>
      </c>
      <c r="B183" s="1"/>
      <c r="C183" s="1"/>
      <c r="D183" s="1"/>
      <c r="E183" s="2" t="e">
        <f t="shared" si="0"/>
        <v>#VALUE!</v>
      </c>
    </row>
    <row r="184" spans="1:5" ht="12.75" customHeight="1" x14ac:dyDescent="0.2">
      <c r="A184" s="3"/>
      <c r="B184" s="3" t="s">
        <v>0</v>
      </c>
      <c r="C184" s="3" t="s">
        <v>21</v>
      </c>
      <c r="D184" s="3"/>
      <c r="E184" s="2" t="e">
        <f t="shared" si="0"/>
        <v>#VALUE!</v>
      </c>
    </row>
    <row r="185" spans="1:5" ht="12.75" customHeight="1" x14ac:dyDescent="0.2">
      <c r="A185" s="3"/>
      <c r="B185" s="3" t="s">
        <v>2</v>
      </c>
      <c r="C185" s="3" t="s">
        <v>440</v>
      </c>
      <c r="D185" s="3"/>
      <c r="E185" s="2" t="e">
        <f t="shared" si="0"/>
        <v>#VALUE!</v>
      </c>
    </row>
    <row r="186" spans="1:5" ht="12.75" customHeight="1" x14ac:dyDescent="0.2">
      <c r="A186" s="3"/>
      <c r="B186" s="3" t="s">
        <v>9</v>
      </c>
      <c r="C186" s="3" t="s">
        <v>172</v>
      </c>
      <c r="D186" s="3"/>
      <c r="E186" s="2" t="e">
        <f t="shared" si="0"/>
        <v>#VALUE!</v>
      </c>
    </row>
    <row r="187" spans="1:5" ht="12.75" customHeight="1" x14ac:dyDescent="0.2">
      <c r="A187" s="3"/>
      <c r="B187" s="3" t="s">
        <v>11</v>
      </c>
      <c r="C187" s="3" t="s">
        <v>23</v>
      </c>
      <c r="D187" s="3"/>
      <c r="E187" s="2" t="e">
        <f t="shared" si="0"/>
        <v>#VALUE!</v>
      </c>
    </row>
    <row r="188" spans="1:5" ht="165.75" customHeight="1" x14ac:dyDescent="0.2">
      <c r="A188" s="3"/>
      <c r="B188" s="3" t="s">
        <v>16</v>
      </c>
      <c r="C188" s="3" t="s">
        <v>451</v>
      </c>
      <c r="D188" s="3"/>
      <c r="E188" s="2" t="e">
        <f t="shared" si="0"/>
        <v>#VALUE!</v>
      </c>
    </row>
    <row r="189" spans="1:5" ht="12.75" customHeight="1" x14ac:dyDescent="0.2">
      <c r="A189" s="3"/>
      <c r="B189" s="3" t="s">
        <v>18</v>
      </c>
      <c r="C189" s="4" t="s">
        <v>44</v>
      </c>
      <c r="D189" s="6" t="str">
        <f>HYPERLINK("javascript:void(0)","elemi térdarab")</f>
        <v>elemi térdarab</v>
      </c>
      <c r="E189" s="2" t="e">
        <f t="shared" si="0"/>
        <v>#VALUE!</v>
      </c>
    </row>
    <row r="190" spans="1:5" ht="12.75" customHeight="1" x14ac:dyDescent="0.2">
      <c r="A190" s="1" t="str">
        <f>HYPERLINK("javascript:void(0)","NaFFJoP")</f>
        <v>NaFFJoP</v>
      </c>
      <c r="B190" s="1"/>
      <c r="C190" s="1"/>
      <c r="D190" s="2"/>
      <c r="E190" s="2" t="e">
        <f t="shared" si="0"/>
        <v>#VALUE!</v>
      </c>
    </row>
    <row r="191" spans="1:5" ht="12.75" customHeight="1" x14ac:dyDescent="0.2">
      <c r="A191" s="3"/>
      <c r="B191" s="3" t="s">
        <v>0</v>
      </c>
      <c r="C191" s="3" t="s">
        <v>21</v>
      </c>
      <c r="D191" s="2"/>
      <c r="E191" s="2" t="e">
        <f t="shared" si="0"/>
        <v>#VALUE!</v>
      </c>
    </row>
    <row r="192" spans="1:5" ht="12.75" customHeight="1" x14ac:dyDescent="0.2">
      <c r="A192" s="3"/>
      <c r="B192" s="3" t="s">
        <v>2</v>
      </c>
      <c r="C192" s="3" t="s">
        <v>387</v>
      </c>
      <c r="D192" s="2"/>
      <c r="E192" s="2" t="e">
        <f t="shared" si="0"/>
        <v>#VALUE!</v>
      </c>
    </row>
    <row r="193" spans="1:5" ht="12.75" customHeight="1" x14ac:dyDescent="0.2">
      <c r="A193" s="3"/>
      <c r="B193" s="3" t="s">
        <v>9</v>
      </c>
      <c r="C193" s="3" t="s">
        <v>27</v>
      </c>
      <c r="D193" s="2"/>
      <c r="E193" s="2" t="e">
        <f t="shared" si="0"/>
        <v>#VALUE!</v>
      </c>
    </row>
    <row r="194" spans="1:5" ht="12.75" customHeight="1" x14ac:dyDescent="0.2">
      <c r="A194" s="3"/>
      <c r="B194" s="3" t="s">
        <v>11</v>
      </c>
      <c r="C194" s="3" t="s">
        <v>23</v>
      </c>
      <c r="D194" s="2"/>
      <c r="E194" s="2" t="e">
        <f t="shared" si="0"/>
        <v>#VALUE!</v>
      </c>
    </row>
    <row r="195" spans="1:5" ht="12.75" customHeight="1" x14ac:dyDescent="0.2">
      <c r="A195" s="3"/>
      <c r="B195" s="3" t="s">
        <v>16</v>
      </c>
      <c r="C195" s="3" t="s">
        <v>388</v>
      </c>
      <c r="D195" s="2"/>
      <c r="E195" s="2" t="e">
        <f t="shared" si="0"/>
        <v>#VALUE!</v>
      </c>
    </row>
    <row r="196" spans="1:5" ht="12.75" customHeight="1" x14ac:dyDescent="0.2">
      <c r="A196" s="3"/>
      <c r="B196" s="3" t="s">
        <v>18</v>
      </c>
      <c r="C196" s="4" t="s">
        <v>19</v>
      </c>
      <c r="D196" s="2"/>
      <c r="E196" s="2" t="e">
        <f t="shared" si="0"/>
        <v>#VALUE!</v>
      </c>
    </row>
    <row r="197" spans="1:5" ht="12.75" customHeight="1" x14ac:dyDescent="0.2">
      <c r="A197" s="1" t="str">
        <f>HYPERLINK("javascript:void(0)","Nilrem tőre")</f>
        <v>Nilrem tőre</v>
      </c>
      <c r="B197" s="1"/>
      <c r="C197" s="1"/>
      <c r="D197" s="2"/>
      <c r="E197" s="2" t="e">
        <f t="shared" si="0"/>
        <v>#VALUE!</v>
      </c>
    </row>
    <row r="198" spans="1:5" ht="12.75" customHeight="1" x14ac:dyDescent="0.2">
      <c r="A198" s="3"/>
      <c r="B198" s="3" t="s">
        <v>0</v>
      </c>
      <c r="C198" s="3" t="s">
        <v>21</v>
      </c>
      <c r="D198" s="2"/>
      <c r="E198" s="2" t="e">
        <f t="shared" si="0"/>
        <v>#VALUE!</v>
      </c>
    </row>
    <row r="199" spans="1:5" ht="12.75" customHeight="1" x14ac:dyDescent="0.2">
      <c r="A199" s="3"/>
      <c r="B199" s="3" t="s">
        <v>2</v>
      </c>
      <c r="C199" s="3" t="s">
        <v>387</v>
      </c>
      <c r="D199" s="2"/>
      <c r="E199" s="2" t="e">
        <f t="shared" si="0"/>
        <v>#VALUE!</v>
      </c>
    </row>
    <row r="200" spans="1:5" ht="12.75" customHeight="1" x14ac:dyDescent="0.2">
      <c r="A200" s="3"/>
      <c r="B200" s="3" t="s">
        <v>9</v>
      </c>
      <c r="C200" s="3" t="s">
        <v>27</v>
      </c>
      <c r="D200" s="2"/>
      <c r="E200" s="2" t="e">
        <f t="shared" si="0"/>
        <v>#VALUE!</v>
      </c>
    </row>
    <row r="201" spans="1:5" ht="12.75" customHeight="1" x14ac:dyDescent="0.2">
      <c r="A201" s="3"/>
      <c r="B201" s="3" t="s">
        <v>11</v>
      </c>
      <c r="C201" s="3" t="s">
        <v>23</v>
      </c>
      <c r="D201" s="2"/>
      <c r="E201" s="2" t="e">
        <f t="shared" si="0"/>
        <v>#VALUE!</v>
      </c>
    </row>
    <row r="202" spans="1:5" ht="12.75" customHeight="1" x14ac:dyDescent="0.2">
      <c r="A202" s="3"/>
      <c r="B202" s="3" t="s">
        <v>16</v>
      </c>
      <c r="C202" s="3" t="s">
        <v>388</v>
      </c>
      <c r="D202" s="2"/>
      <c r="E202" s="2" t="e">
        <f t="shared" si="0"/>
        <v>#VALUE!</v>
      </c>
    </row>
    <row r="203" spans="1:5" ht="12.75" customHeight="1" x14ac:dyDescent="0.2">
      <c r="A203" s="3"/>
      <c r="B203" s="3" t="s">
        <v>18</v>
      </c>
      <c r="C203" s="4" t="s">
        <v>19</v>
      </c>
      <c r="D203" s="2"/>
      <c r="E203" s="2" t="e">
        <f t="shared" si="0"/>
        <v>#VALUE!</v>
      </c>
    </row>
    <row r="204" spans="1:5" ht="12.75" customHeight="1" x14ac:dyDescent="0.2">
      <c r="A204" s="1" t="str">
        <f>HYPERLINK("javascript:void(0)","Nyonyora mancsa")</f>
        <v>Nyonyora mancsa</v>
      </c>
      <c r="B204" s="1"/>
      <c r="C204" s="1"/>
      <c r="D204" s="2"/>
      <c r="E204" s="2" t="e">
        <f t="shared" si="0"/>
        <v>#VALUE!</v>
      </c>
    </row>
    <row r="205" spans="1:5" ht="12.75" customHeight="1" x14ac:dyDescent="0.2">
      <c r="A205" s="3"/>
      <c r="B205" s="3" t="s">
        <v>0</v>
      </c>
      <c r="C205" s="3" t="s">
        <v>21</v>
      </c>
      <c r="D205" s="2"/>
      <c r="E205" s="2" t="e">
        <f t="shared" si="0"/>
        <v>#VALUE!</v>
      </c>
    </row>
    <row r="206" spans="1:5" ht="12.75" customHeight="1" x14ac:dyDescent="0.2">
      <c r="A206" s="3"/>
      <c r="B206" s="3" t="s">
        <v>2</v>
      </c>
      <c r="C206" s="3" t="s">
        <v>387</v>
      </c>
      <c r="D206" s="2"/>
      <c r="E206" s="2" t="e">
        <f t="shared" si="0"/>
        <v>#VALUE!</v>
      </c>
    </row>
    <row r="207" spans="1:5" ht="12.75" customHeight="1" x14ac:dyDescent="0.2">
      <c r="A207" s="3"/>
      <c r="B207" s="3" t="s">
        <v>9</v>
      </c>
      <c r="C207" s="3" t="s">
        <v>75</v>
      </c>
      <c r="D207" s="2"/>
      <c r="E207" s="2" t="e">
        <f t="shared" si="0"/>
        <v>#VALUE!</v>
      </c>
    </row>
    <row r="208" spans="1:5" ht="12.75" customHeight="1" x14ac:dyDescent="0.2">
      <c r="A208" s="3"/>
      <c r="B208" s="3" t="s">
        <v>11</v>
      </c>
      <c r="C208" s="3" t="s">
        <v>23</v>
      </c>
      <c r="D208" s="2"/>
      <c r="E208" s="2" t="e">
        <f t="shared" si="0"/>
        <v>#VALUE!</v>
      </c>
    </row>
    <row r="209" spans="1:5" ht="12.75" customHeight="1" x14ac:dyDescent="0.2">
      <c r="A209" s="3"/>
      <c r="B209" s="3" t="s">
        <v>16</v>
      </c>
      <c r="C209" s="3" t="s">
        <v>388</v>
      </c>
      <c r="D209" s="2"/>
      <c r="E209" s="2" t="e">
        <f t="shared" si="0"/>
        <v>#VALUE!</v>
      </c>
    </row>
    <row r="210" spans="1:5" ht="12.75" customHeight="1" x14ac:dyDescent="0.2">
      <c r="A210" s="3"/>
      <c r="B210" s="3" t="s">
        <v>18</v>
      </c>
      <c r="C210" s="4" t="s">
        <v>19</v>
      </c>
      <c r="D210" s="2"/>
      <c r="E210" s="2" t="e">
        <f t="shared" si="0"/>
        <v>#VALUE!</v>
      </c>
    </row>
    <row r="211" spans="1:5" ht="12.75" customHeight="1" x14ac:dyDescent="0.2">
      <c r="A211" s="1" t="str">
        <f>HYPERLINK("javascript:void(0)","Ogoshi keresztvasa")</f>
        <v>Ogoshi keresztvasa</v>
      </c>
      <c r="B211" s="1"/>
      <c r="C211" s="1"/>
      <c r="D211" s="2"/>
      <c r="E211" s="2" t="e">
        <f t="shared" si="0"/>
        <v>#VALUE!</v>
      </c>
    </row>
    <row r="212" spans="1:5" ht="12.75" customHeight="1" x14ac:dyDescent="0.2">
      <c r="A212" s="3"/>
      <c r="B212" s="3" t="s">
        <v>0</v>
      </c>
      <c r="C212" s="3" t="s">
        <v>21</v>
      </c>
      <c r="D212" s="2"/>
      <c r="E212" s="2" t="e">
        <f t="shared" si="0"/>
        <v>#VALUE!</v>
      </c>
    </row>
    <row r="213" spans="1:5" ht="12.75" customHeight="1" x14ac:dyDescent="0.2">
      <c r="A213" s="3"/>
      <c r="B213" s="3" t="s">
        <v>2</v>
      </c>
      <c r="C213" s="3" t="s">
        <v>387</v>
      </c>
      <c r="D213" s="2"/>
      <c r="E213" s="2" t="e">
        <f t="shared" si="0"/>
        <v>#VALUE!</v>
      </c>
    </row>
    <row r="214" spans="1:5" ht="12.75" customHeight="1" x14ac:dyDescent="0.2">
      <c r="A214" s="3"/>
      <c r="B214" s="3" t="s">
        <v>9</v>
      </c>
      <c r="C214" s="3" t="s">
        <v>172</v>
      </c>
      <c r="D214" s="2"/>
      <c r="E214" s="2" t="e">
        <f t="shared" si="0"/>
        <v>#VALUE!</v>
      </c>
    </row>
    <row r="215" spans="1:5" ht="12.75" customHeight="1" x14ac:dyDescent="0.2">
      <c r="A215" s="3"/>
      <c r="B215" s="3" t="s">
        <v>11</v>
      </c>
      <c r="C215" s="3" t="s">
        <v>23</v>
      </c>
      <c r="D215" s="2"/>
      <c r="E215" s="2" t="e">
        <f t="shared" si="0"/>
        <v>#VALUE!</v>
      </c>
    </row>
    <row r="216" spans="1:5" ht="12.75" customHeight="1" x14ac:dyDescent="0.2">
      <c r="A216" s="3"/>
      <c r="B216" s="3" t="s">
        <v>16</v>
      </c>
      <c r="C216" s="3" t="s">
        <v>388</v>
      </c>
      <c r="D216" s="2"/>
      <c r="E216" s="2" t="e">
        <f t="shared" si="0"/>
        <v>#VALUE!</v>
      </c>
    </row>
    <row r="217" spans="1:5" ht="12.75" customHeight="1" x14ac:dyDescent="0.2">
      <c r="A217" s="3"/>
      <c r="B217" s="3" t="s">
        <v>18</v>
      </c>
      <c r="C217" s="4" t="s">
        <v>19</v>
      </c>
      <c r="D217" s="2"/>
      <c r="E217" s="2" t="e">
        <f t="shared" si="0"/>
        <v>#VALUE!</v>
      </c>
    </row>
    <row r="218" spans="1:5" ht="12.75" customHeight="1" x14ac:dyDescent="0.2">
      <c r="A218" s="1" t="str">
        <f>HYPERLINK("javascript:void(0)","Ogoshi üvegkardja")</f>
        <v>Ogoshi üvegkardja</v>
      </c>
      <c r="B218" s="1"/>
      <c r="C218" s="1"/>
      <c r="D218" s="1"/>
      <c r="E218" s="2" t="e">
        <f t="shared" si="0"/>
        <v>#VALUE!</v>
      </c>
    </row>
    <row r="219" spans="1:5" ht="12.75" customHeight="1" x14ac:dyDescent="0.2">
      <c r="A219" s="3"/>
      <c r="B219" s="3" t="s">
        <v>0</v>
      </c>
      <c r="C219" s="3" t="s">
        <v>21</v>
      </c>
      <c r="D219" s="3"/>
      <c r="E219" s="2" t="e">
        <f t="shared" si="0"/>
        <v>#VALUE!</v>
      </c>
    </row>
    <row r="220" spans="1:5" ht="12.75" customHeight="1" x14ac:dyDescent="0.2">
      <c r="A220" s="3"/>
      <c r="B220" s="3" t="s">
        <v>2</v>
      </c>
      <c r="C220" s="3" t="s">
        <v>387</v>
      </c>
      <c r="D220" s="3"/>
      <c r="E220" s="2" t="e">
        <f t="shared" si="0"/>
        <v>#VALUE!</v>
      </c>
    </row>
    <row r="221" spans="1:5" ht="12.75" customHeight="1" x14ac:dyDescent="0.2">
      <c r="A221" s="3"/>
      <c r="B221" s="3" t="s">
        <v>9</v>
      </c>
      <c r="C221" s="3" t="s">
        <v>374</v>
      </c>
      <c r="D221" s="3"/>
      <c r="E221" s="2" t="e">
        <f t="shared" si="0"/>
        <v>#VALUE!</v>
      </c>
    </row>
    <row r="222" spans="1:5" ht="12.75" customHeight="1" x14ac:dyDescent="0.2">
      <c r="A222" s="3"/>
      <c r="B222" s="3" t="s">
        <v>11</v>
      </c>
      <c r="C222" s="3" t="s">
        <v>23</v>
      </c>
      <c r="D222" s="3"/>
      <c r="E222" s="2" t="e">
        <f t="shared" si="0"/>
        <v>#VALUE!</v>
      </c>
    </row>
    <row r="223" spans="1:5" ht="12.75" customHeight="1" x14ac:dyDescent="0.2">
      <c r="A223" s="3"/>
      <c r="B223" s="3" t="s">
        <v>16</v>
      </c>
      <c r="C223" s="3" t="s">
        <v>388</v>
      </c>
      <c r="D223" s="3"/>
      <c r="E223" s="2" t="e">
        <f t="shared" si="0"/>
        <v>#VALUE!</v>
      </c>
    </row>
    <row r="224" spans="1:5" ht="12.75" customHeight="1" x14ac:dyDescent="0.2">
      <c r="A224" s="3"/>
      <c r="B224" s="3" t="s">
        <v>18</v>
      </c>
      <c r="C224" s="4" t="s">
        <v>68</v>
      </c>
      <c r="D224" s="6" t="str">
        <f>HYPERLINK("javascript:void(0)","lélegző sarokkő")</f>
        <v>lélegző sarokkő</v>
      </c>
      <c r="E224" s="2" t="e">
        <f t="shared" si="0"/>
        <v>#VALUE!</v>
      </c>
    </row>
    <row r="225" spans="1:5" ht="12.75" customHeight="1" x14ac:dyDescent="0.2">
      <c r="A225" s="1" t="str">
        <f>HYPERLINK("javascript:void(0)","Parszi gyöngyháló")</f>
        <v>Parszi gyöngyháló</v>
      </c>
      <c r="B225" s="1"/>
      <c r="C225" s="1"/>
      <c r="D225" s="1"/>
      <c r="E225" s="2" t="e">
        <f t="shared" si="0"/>
        <v>#VALUE!</v>
      </c>
    </row>
    <row r="226" spans="1:5" ht="12.75" customHeight="1" x14ac:dyDescent="0.2">
      <c r="A226" s="3"/>
      <c r="B226" s="3" t="s">
        <v>0</v>
      </c>
      <c r="C226" s="3" t="s">
        <v>21</v>
      </c>
      <c r="D226" s="3"/>
      <c r="E226" s="2" t="e">
        <f t="shared" si="0"/>
        <v>#VALUE!</v>
      </c>
    </row>
    <row r="227" spans="1:5" ht="12.75" customHeight="1" x14ac:dyDescent="0.2">
      <c r="A227" s="3"/>
      <c r="B227" s="3" t="s">
        <v>2</v>
      </c>
      <c r="C227" s="3" t="s">
        <v>458</v>
      </c>
      <c r="D227" s="3"/>
      <c r="E227" s="2" t="e">
        <f t="shared" si="0"/>
        <v>#VALUE!</v>
      </c>
    </row>
    <row r="228" spans="1:5" ht="12.75" customHeight="1" x14ac:dyDescent="0.2">
      <c r="A228" s="3"/>
      <c r="B228" s="3" t="s">
        <v>9</v>
      </c>
      <c r="C228" s="3" t="s">
        <v>129</v>
      </c>
      <c r="D228" s="3"/>
      <c r="E228" s="2" t="e">
        <f t="shared" si="0"/>
        <v>#VALUE!</v>
      </c>
    </row>
    <row r="229" spans="1:5" ht="12.75" customHeight="1" x14ac:dyDescent="0.2">
      <c r="A229" s="3"/>
      <c r="B229" s="3" t="s">
        <v>11</v>
      </c>
      <c r="C229" s="3" t="s">
        <v>23</v>
      </c>
      <c r="D229" s="3"/>
      <c r="E229" s="2" t="e">
        <f t="shared" si="0"/>
        <v>#VALUE!</v>
      </c>
    </row>
    <row r="230" spans="1:5" ht="25.5" customHeight="1" x14ac:dyDescent="0.2">
      <c r="A230" s="3"/>
      <c r="B230" s="3" t="s">
        <v>16</v>
      </c>
      <c r="C230" s="3" t="s">
        <v>460</v>
      </c>
      <c r="D230" s="3"/>
      <c r="E230" s="2" t="e">
        <f t="shared" si="0"/>
        <v>#VALUE!</v>
      </c>
    </row>
    <row r="231" spans="1:5" ht="12.75" customHeight="1" x14ac:dyDescent="0.2">
      <c r="A231" s="3"/>
      <c r="B231" s="3" t="s">
        <v>18</v>
      </c>
      <c r="C231" s="4" t="s">
        <v>44</v>
      </c>
      <c r="D231" s="6" t="str">
        <f>HYPERLINK("javascript:void(0)","elemi térdarab")</f>
        <v>elemi térdarab</v>
      </c>
      <c r="E231" s="2" t="e">
        <f t="shared" si="0"/>
        <v>#VALUE!</v>
      </c>
    </row>
    <row r="232" spans="1:5" ht="12.75" customHeight="1" x14ac:dyDescent="0.2">
      <c r="A232" s="1" t="str">
        <f>HYPERLINK("javascript:void(0)","Purgáló kereszt")</f>
        <v>Purgáló kereszt</v>
      </c>
      <c r="B232" s="1"/>
      <c r="C232" s="1"/>
      <c r="D232" s="2"/>
      <c r="E232" s="2" t="e">
        <f t="shared" si="0"/>
        <v>#VALUE!</v>
      </c>
    </row>
    <row r="233" spans="1:5" ht="12.75" customHeight="1" x14ac:dyDescent="0.2">
      <c r="A233" s="3"/>
      <c r="B233" s="3" t="s">
        <v>0</v>
      </c>
      <c r="C233" s="3" t="s">
        <v>21</v>
      </c>
      <c r="D233" s="2"/>
      <c r="E233" s="2" t="e">
        <f t="shared" si="0"/>
        <v>#VALUE!</v>
      </c>
    </row>
    <row r="234" spans="1:5" ht="12.75" customHeight="1" x14ac:dyDescent="0.2">
      <c r="A234" s="3"/>
      <c r="B234" s="3" t="s">
        <v>2</v>
      </c>
      <c r="C234" s="3" t="s">
        <v>387</v>
      </c>
      <c r="D234" s="2"/>
      <c r="E234" s="2" t="e">
        <f t="shared" si="0"/>
        <v>#VALUE!</v>
      </c>
    </row>
    <row r="235" spans="1:5" ht="12.75" customHeight="1" x14ac:dyDescent="0.2">
      <c r="A235" s="3"/>
      <c r="B235" s="3" t="s">
        <v>9</v>
      </c>
      <c r="C235" s="3" t="s">
        <v>172</v>
      </c>
      <c r="D235" s="2"/>
      <c r="E235" s="2" t="e">
        <f t="shared" si="0"/>
        <v>#VALUE!</v>
      </c>
    </row>
    <row r="236" spans="1:5" ht="12.75" customHeight="1" x14ac:dyDescent="0.2">
      <c r="A236" s="3"/>
      <c r="B236" s="3" t="s">
        <v>11</v>
      </c>
      <c r="C236" s="3" t="s">
        <v>23</v>
      </c>
      <c r="D236" s="2"/>
      <c r="E236" s="2" t="e">
        <f t="shared" si="0"/>
        <v>#VALUE!</v>
      </c>
    </row>
    <row r="237" spans="1:5" ht="12.75" customHeight="1" x14ac:dyDescent="0.2">
      <c r="A237" s="3"/>
      <c r="B237" s="3" t="s">
        <v>16</v>
      </c>
      <c r="C237" s="3" t="s">
        <v>388</v>
      </c>
      <c r="D237" s="2"/>
      <c r="E237" s="2" t="e">
        <f t="shared" si="0"/>
        <v>#VALUE!</v>
      </c>
    </row>
    <row r="238" spans="1:5" ht="12.75" customHeight="1" x14ac:dyDescent="0.2">
      <c r="A238" s="3"/>
      <c r="B238" s="3" t="s">
        <v>18</v>
      </c>
      <c r="C238" s="4" t="s">
        <v>19</v>
      </c>
      <c r="D238" s="2"/>
      <c r="E238" s="2" t="e">
        <f t="shared" si="0"/>
        <v>#VALUE!</v>
      </c>
    </row>
    <row r="239" spans="1:5" ht="12.75" customHeight="1" x14ac:dyDescent="0.2">
      <c r="A239" s="1" t="str">
        <f>HYPERLINK("javascript:void(0)","Ravinor medálja")</f>
        <v>Ravinor medálja</v>
      </c>
      <c r="B239" s="1"/>
      <c r="C239" s="1"/>
      <c r="D239" s="2"/>
      <c r="E239" s="2" t="e">
        <f t="shared" si="0"/>
        <v>#VALUE!</v>
      </c>
    </row>
    <row r="240" spans="1:5" ht="12.75" customHeight="1" x14ac:dyDescent="0.2">
      <c r="A240" s="3"/>
      <c r="B240" s="3" t="s">
        <v>0</v>
      </c>
      <c r="C240" s="3" t="s">
        <v>21</v>
      </c>
      <c r="D240" s="2"/>
      <c r="E240" s="2" t="e">
        <f t="shared" si="0"/>
        <v>#VALUE!</v>
      </c>
    </row>
    <row r="241" spans="1:5" ht="12.75" customHeight="1" x14ac:dyDescent="0.2">
      <c r="A241" s="3"/>
      <c r="B241" s="3" t="s">
        <v>2</v>
      </c>
      <c r="C241" s="3" t="s">
        <v>387</v>
      </c>
      <c r="D241" s="2"/>
      <c r="E241" s="2" t="e">
        <f t="shared" si="0"/>
        <v>#VALUE!</v>
      </c>
    </row>
    <row r="242" spans="1:5" ht="12.75" customHeight="1" x14ac:dyDescent="0.2">
      <c r="A242" s="3"/>
      <c r="B242" s="3" t="s">
        <v>9</v>
      </c>
      <c r="C242" s="3" t="s">
        <v>22</v>
      </c>
      <c r="D242" s="2"/>
      <c r="E242" s="2" t="e">
        <f t="shared" si="0"/>
        <v>#VALUE!</v>
      </c>
    </row>
    <row r="243" spans="1:5" ht="12.75" customHeight="1" x14ac:dyDescent="0.2">
      <c r="A243" s="3"/>
      <c r="B243" s="3" t="s">
        <v>11</v>
      </c>
      <c r="C243" s="3" t="s">
        <v>23</v>
      </c>
      <c r="D243" s="2"/>
      <c r="E243" s="2" t="e">
        <f t="shared" si="0"/>
        <v>#VALUE!</v>
      </c>
    </row>
    <row r="244" spans="1:5" ht="12.75" customHeight="1" x14ac:dyDescent="0.2">
      <c r="A244" s="3"/>
      <c r="B244" s="3" t="s">
        <v>16</v>
      </c>
      <c r="C244" s="3" t="s">
        <v>388</v>
      </c>
      <c r="D244" s="2"/>
      <c r="E244" s="2" t="e">
        <f t="shared" si="0"/>
        <v>#VALUE!</v>
      </c>
    </row>
    <row r="245" spans="1:5" ht="12.75" customHeight="1" x14ac:dyDescent="0.2">
      <c r="A245" s="3"/>
      <c r="B245" s="3" t="s">
        <v>18</v>
      </c>
      <c r="C245" s="4" t="s">
        <v>19</v>
      </c>
      <c r="D245" s="2"/>
      <c r="E245" s="2" t="e">
        <f t="shared" si="0"/>
        <v>#VALUE!</v>
      </c>
    </row>
    <row r="246" spans="1:5" ht="12.75" customHeight="1" x14ac:dyDescent="0.2">
      <c r="A246" s="1" t="str">
        <f>HYPERLINK("javascript:void(0)","Rhu-bick kocka")</f>
        <v>Rhu-bick kocka</v>
      </c>
      <c r="B246" s="1"/>
      <c r="C246" s="1"/>
      <c r="D246" s="2"/>
      <c r="E246" s="2" t="e">
        <f t="shared" si="0"/>
        <v>#VALUE!</v>
      </c>
    </row>
    <row r="247" spans="1:5" ht="12.75" customHeight="1" x14ac:dyDescent="0.2">
      <c r="A247" s="3"/>
      <c r="B247" s="3" t="s">
        <v>0</v>
      </c>
      <c r="C247" s="3" t="s">
        <v>21</v>
      </c>
      <c r="D247" s="2"/>
      <c r="E247" s="2" t="e">
        <f t="shared" si="0"/>
        <v>#VALUE!</v>
      </c>
    </row>
    <row r="248" spans="1:5" ht="12.75" customHeight="1" x14ac:dyDescent="0.2">
      <c r="A248" s="3"/>
      <c r="B248" s="3" t="s">
        <v>2</v>
      </c>
      <c r="C248" s="3" t="s">
        <v>387</v>
      </c>
      <c r="D248" s="2"/>
      <c r="E248" s="2" t="e">
        <f t="shared" si="0"/>
        <v>#VALUE!</v>
      </c>
    </row>
    <row r="249" spans="1:5" ht="12.75" customHeight="1" x14ac:dyDescent="0.2">
      <c r="A249" s="3"/>
      <c r="B249" s="3" t="s">
        <v>9</v>
      </c>
      <c r="C249" s="3" t="s">
        <v>27</v>
      </c>
      <c r="D249" s="2"/>
      <c r="E249" s="2" t="e">
        <f t="shared" si="0"/>
        <v>#VALUE!</v>
      </c>
    </row>
    <row r="250" spans="1:5" ht="12.75" customHeight="1" x14ac:dyDescent="0.2">
      <c r="A250" s="3"/>
      <c r="B250" s="3" t="s">
        <v>11</v>
      </c>
      <c r="C250" s="3" t="s">
        <v>23</v>
      </c>
      <c r="D250" s="2"/>
      <c r="E250" s="2" t="e">
        <f t="shared" si="0"/>
        <v>#VALUE!</v>
      </c>
    </row>
    <row r="251" spans="1:5" ht="12.75" customHeight="1" x14ac:dyDescent="0.2">
      <c r="A251" s="3"/>
      <c r="B251" s="3" t="s">
        <v>16</v>
      </c>
      <c r="C251" s="3" t="s">
        <v>388</v>
      </c>
      <c r="D251" s="2"/>
      <c r="E251" s="2" t="e">
        <f t="shared" si="0"/>
        <v>#VALUE!</v>
      </c>
    </row>
    <row r="252" spans="1:5" ht="12.75" customHeight="1" x14ac:dyDescent="0.2">
      <c r="A252" s="3"/>
      <c r="B252" s="3" t="s">
        <v>18</v>
      </c>
      <c r="C252" s="4" t="s">
        <v>19</v>
      </c>
      <c r="D252" s="2"/>
      <c r="E252" s="2" t="e">
        <f t="shared" si="0"/>
        <v>#VALUE!</v>
      </c>
    </row>
    <row r="253" spans="1:5" ht="12.75" customHeight="1" x14ac:dyDescent="0.2">
      <c r="A253" s="1" t="str">
        <f>HYPERLINK("javascript:void(0)","Számlanyitó Űrlap")</f>
        <v>Számlanyitó Űrlap</v>
      </c>
      <c r="B253" s="1"/>
      <c r="C253" s="1"/>
      <c r="D253" s="2"/>
      <c r="E253" s="2" t="e">
        <f t="shared" si="0"/>
        <v>#VALUE!</v>
      </c>
    </row>
    <row r="254" spans="1:5" ht="12.75" customHeight="1" x14ac:dyDescent="0.2">
      <c r="A254" s="3"/>
      <c r="B254" s="3" t="s">
        <v>0</v>
      </c>
      <c r="C254" s="3" t="s">
        <v>21</v>
      </c>
      <c r="D254" s="2"/>
      <c r="E254" s="2" t="e">
        <f t="shared" si="0"/>
        <v>#VALUE!</v>
      </c>
    </row>
    <row r="255" spans="1:5" ht="12.75" customHeight="1" x14ac:dyDescent="0.2">
      <c r="A255" s="3"/>
      <c r="B255" s="3" t="s">
        <v>2</v>
      </c>
      <c r="C255" s="3" t="s">
        <v>387</v>
      </c>
      <c r="D255" s="2"/>
      <c r="E255" s="2" t="e">
        <f t="shared" si="0"/>
        <v>#VALUE!</v>
      </c>
    </row>
    <row r="256" spans="1:5" ht="12.75" customHeight="1" x14ac:dyDescent="0.2">
      <c r="A256" s="3"/>
      <c r="B256" s="3" t="s">
        <v>9</v>
      </c>
      <c r="C256" s="3" t="s">
        <v>404</v>
      </c>
      <c r="D256" s="2"/>
      <c r="E256" s="2" t="e">
        <f t="shared" si="0"/>
        <v>#VALUE!</v>
      </c>
    </row>
    <row r="257" spans="1:5" ht="12.75" customHeight="1" x14ac:dyDescent="0.2">
      <c r="A257" s="3"/>
      <c r="B257" s="3" t="s">
        <v>11</v>
      </c>
      <c r="C257" s="3" t="s">
        <v>23</v>
      </c>
      <c r="D257" s="2"/>
      <c r="E257" s="2" t="e">
        <f t="shared" si="0"/>
        <v>#VALUE!</v>
      </c>
    </row>
    <row r="258" spans="1:5" ht="12.75" customHeight="1" x14ac:dyDescent="0.2">
      <c r="A258" s="3"/>
      <c r="B258" s="3" t="s">
        <v>16</v>
      </c>
      <c r="C258" s="3" t="s">
        <v>388</v>
      </c>
      <c r="D258" s="2"/>
      <c r="E258" s="2" t="e">
        <f t="shared" si="0"/>
        <v>#VALUE!</v>
      </c>
    </row>
    <row r="259" spans="1:5" ht="12.75" customHeight="1" x14ac:dyDescent="0.2">
      <c r="A259" s="3"/>
      <c r="B259" s="3" t="s">
        <v>18</v>
      </c>
      <c r="C259" s="4" t="s">
        <v>19</v>
      </c>
      <c r="D259" s="2"/>
      <c r="E259" s="2" t="e">
        <f t="shared" si="0"/>
        <v>#VALUE!</v>
      </c>
    </row>
    <row r="260" spans="1:5" ht="12.75" customHeight="1" x14ac:dyDescent="0.2">
      <c r="A260" s="1" t="str">
        <f>HYPERLINK("javascript:void(0)","Sárkánygömb")</f>
        <v>Sárkánygömb</v>
      </c>
      <c r="B260" s="1"/>
      <c r="C260" s="1"/>
      <c r="D260" s="2"/>
      <c r="E260" s="2" t="e">
        <f t="shared" si="0"/>
        <v>#VALUE!</v>
      </c>
    </row>
    <row r="261" spans="1:5" ht="12.75" customHeight="1" x14ac:dyDescent="0.2">
      <c r="A261" s="3"/>
      <c r="B261" s="3" t="s">
        <v>0</v>
      </c>
      <c r="C261" s="3" t="s">
        <v>21</v>
      </c>
      <c r="D261" s="2"/>
      <c r="E261" s="2" t="e">
        <f t="shared" si="0"/>
        <v>#VALUE!</v>
      </c>
    </row>
    <row r="262" spans="1:5" ht="12.75" customHeight="1" x14ac:dyDescent="0.2">
      <c r="A262" s="3"/>
      <c r="B262" s="3" t="s">
        <v>2</v>
      </c>
      <c r="C262" s="3" t="s">
        <v>387</v>
      </c>
      <c r="D262" s="2"/>
      <c r="E262" s="2" t="e">
        <f t="shared" si="0"/>
        <v>#VALUE!</v>
      </c>
    </row>
    <row r="263" spans="1:5" ht="12.75" customHeight="1" x14ac:dyDescent="0.2">
      <c r="A263" s="3"/>
      <c r="B263" s="3" t="s">
        <v>9</v>
      </c>
      <c r="C263" s="3" t="s">
        <v>27</v>
      </c>
      <c r="D263" s="2"/>
      <c r="E263" s="2" t="e">
        <f t="shared" si="0"/>
        <v>#VALUE!</v>
      </c>
    </row>
    <row r="264" spans="1:5" ht="12.75" customHeight="1" x14ac:dyDescent="0.2">
      <c r="A264" s="3"/>
      <c r="B264" s="3" t="s">
        <v>11</v>
      </c>
      <c r="C264" s="3" t="s">
        <v>23</v>
      </c>
      <c r="D264" s="2"/>
      <c r="E264" s="2" t="e">
        <f t="shared" si="0"/>
        <v>#VALUE!</v>
      </c>
    </row>
    <row r="265" spans="1:5" ht="12.75" customHeight="1" x14ac:dyDescent="0.2">
      <c r="A265" s="3"/>
      <c r="B265" s="3" t="s">
        <v>16</v>
      </c>
      <c r="C265" s="3" t="s">
        <v>388</v>
      </c>
      <c r="D265" s="2"/>
      <c r="E265" s="2" t="e">
        <f t="shared" si="0"/>
        <v>#VALUE!</v>
      </c>
    </row>
    <row r="266" spans="1:5" ht="12.75" customHeight="1" x14ac:dyDescent="0.2">
      <c r="A266" s="3"/>
      <c r="B266" s="3" t="s">
        <v>18</v>
      </c>
      <c r="C266" s="4" t="s">
        <v>19</v>
      </c>
      <c r="D266" s="2"/>
      <c r="E266" s="2" t="e">
        <f t="shared" si="0"/>
        <v>#VALUE!</v>
      </c>
    </row>
    <row r="267" spans="1:5" ht="12.75" customHeight="1" x14ac:dyDescent="0.2">
      <c r="A267" s="1" t="str">
        <f>HYPERLINK("javascript:void(0)","Thordi talizmán")</f>
        <v>Thordi talizmán</v>
      </c>
      <c r="B267" s="1"/>
      <c r="C267" s="1"/>
      <c r="D267" s="1"/>
      <c r="E267" s="2" t="e">
        <f t="shared" si="0"/>
        <v>#VALUE!</v>
      </c>
    </row>
    <row r="268" spans="1:5" ht="12.75" customHeight="1" x14ac:dyDescent="0.2">
      <c r="A268" s="3"/>
      <c r="B268" s="3" t="s">
        <v>0</v>
      </c>
      <c r="C268" s="3" t="s">
        <v>21</v>
      </c>
      <c r="D268" s="3"/>
      <c r="E268" s="2" t="e">
        <f t="shared" si="0"/>
        <v>#VALUE!</v>
      </c>
    </row>
    <row r="269" spans="1:5" ht="12.75" customHeight="1" x14ac:dyDescent="0.2">
      <c r="A269" s="3"/>
      <c r="B269" s="3" t="s">
        <v>2</v>
      </c>
      <c r="C269" s="3" t="s">
        <v>440</v>
      </c>
      <c r="D269" s="3"/>
      <c r="E269" s="2" t="e">
        <f t="shared" si="0"/>
        <v>#VALUE!</v>
      </c>
    </row>
    <row r="270" spans="1:5" ht="12.75" customHeight="1" x14ac:dyDescent="0.2">
      <c r="A270" s="3"/>
      <c r="B270" s="3" t="s">
        <v>9</v>
      </c>
      <c r="C270" s="3" t="s">
        <v>53</v>
      </c>
      <c r="D270" s="3"/>
      <c r="E270" s="2" t="e">
        <f t="shared" si="0"/>
        <v>#VALUE!</v>
      </c>
    </row>
    <row r="271" spans="1:5" ht="12.75" customHeight="1" x14ac:dyDescent="0.2">
      <c r="A271" s="3"/>
      <c r="B271" s="3" t="s">
        <v>11</v>
      </c>
      <c r="C271" s="3" t="s">
        <v>23</v>
      </c>
      <c r="D271" s="3"/>
      <c r="E271" s="2" t="e">
        <f t="shared" si="0"/>
        <v>#VALUE!</v>
      </c>
    </row>
    <row r="272" spans="1:5" ht="102" customHeight="1" x14ac:dyDescent="0.2">
      <c r="A272" s="3"/>
      <c r="B272" s="3" t="s">
        <v>16</v>
      </c>
      <c r="C272" s="3" t="s">
        <v>480</v>
      </c>
      <c r="D272" s="3"/>
      <c r="E272" s="2" t="e">
        <f t="shared" si="0"/>
        <v>#VALUE!</v>
      </c>
    </row>
    <row r="273" spans="1:5" ht="12.75" customHeight="1" x14ac:dyDescent="0.2">
      <c r="A273" s="3"/>
      <c r="B273" s="3" t="s">
        <v>18</v>
      </c>
      <c r="C273" s="4" t="s">
        <v>44</v>
      </c>
      <c r="D273" s="6" t="str">
        <f>HYPERLINK("javascript:void(0)","elemi térdarab")</f>
        <v>elemi térdarab</v>
      </c>
      <c r="E273" s="2" t="e">
        <f t="shared" si="0"/>
        <v>#VALUE!</v>
      </c>
    </row>
    <row r="274" spans="1:5" ht="12.75" customHeight="1" x14ac:dyDescent="0.2">
      <c r="A274" s="1" t="str">
        <f>HYPERLINK("javascript:void(0)","Thordus botja")</f>
        <v>Thordus botja</v>
      </c>
      <c r="B274" s="1"/>
      <c r="C274" s="1"/>
      <c r="D274" s="2"/>
      <c r="E274" s="2" t="e">
        <f t="shared" si="0"/>
        <v>#VALUE!</v>
      </c>
    </row>
    <row r="275" spans="1:5" ht="12.75" customHeight="1" x14ac:dyDescent="0.2">
      <c r="A275" s="3"/>
      <c r="B275" s="3" t="s">
        <v>0</v>
      </c>
      <c r="C275" s="3" t="s">
        <v>21</v>
      </c>
      <c r="D275" s="2"/>
      <c r="E275" s="2" t="e">
        <f t="shared" si="0"/>
        <v>#VALUE!</v>
      </c>
    </row>
    <row r="276" spans="1:5" ht="12.75" customHeight="1" x14ac:dyDescent="0.2">
      <c r="A276" s="3"/>
      <c r="B276" s="3" t="s">
        <v>2</v>
      </c>
      <c r="C276" s="3" t="s">
        <v>387</v>
      </c>
      <c r="D276" s="2"/>
      <c r="E276" s="2" t="e">
        <f t="shared" si="0"/>
        <v>#VALUE!</v>
      </c>
    </row>
    <row r="277" spans="1:5" ht="12.75" customHeight="1" x14ac:dyDescent="0.2">
      <c r="A277" s="3"/>
      <c r="B277" s="3" t="s">
        <v>9</v>
      </c>
      <c r="C277" s="3" t="s">
        <v>27</v>
      </c>
      <c r="D277" s="2"/>
      <c r="E277" s="2" t="e">
        <f t="shared" si="0"/>
        <v>#VALUE!</v>
      </c>
    </row>
    <row r="278" spans="1:5" ht="12.75" customHeight="1" x14ac:dyDescent="0.2">
      <c r="A278" s="3"/>
      <c r="B278" s="3" t="s">
        <v>11</v>
      </c>
      <c r="C278" s="3" t="s">
        <v>23</v>
      </c>
      <c r="D278" s="2"/>
      <c r="E278" s="2" t="e">
        <f t="shared" si="0"/>
        <v>#VALUE!</v>
      </c>
    </row>
    <row r="279" spans="1:5" ht="12.75" customHeight="1" x14ac:dyDescent="0.2">
      <c r="A279" s="3"/>
      <c r="B279" s="3" t="s">
        <v>16</v>
      </c>
      <c r="C279" s="3" t="s">
        <v>388</v>
      </c>
      <c r="D279" s="2"/>
      <c r="E279" s="2" t="e">
        <f t="shared" si="0"/>
        <v>#VALUE!</v>
      </c>
    </row>
    <row r="280" spans="1:5" ht="12.75" customHeight="1" x14ac:dyDescent="0.2">
      <c r="A280" s="3"/>
      <c r="B280" s="3" t="s">
        <v>18</v>
      </c>
      <c r="C280" s="4" t="s">
        <v>19</v>
      </c>
      <c r="D280" s="2"/>
      <c r="E280" s="2" t="e">
        <f t="shared" si="0"/>
        <v>#VALUE!</v>
      </c>
    </row>
    <row r="281" spans="1:5" ht="12.75" customHeight="1" x14ac:dyDescent="0.2">
      <c r="A281" s="1" t="str">
        <f>HYPERLINK("javascript:void(0)","Vulidorma tallárja")</f>
        <v>Vulidorma tallárja</v>
      </c>
      <c r="B281" s="1"/>
      <c r="C281" s="1"/>
      <c r="D281" s="2"/>
      <c r="E281" s="2" t="e">
        <f t="shared" si="0"/>
        <v>#VALUE!</v>
      </c>
    </row>
    <row r="282" spans="1:5" ht="12.75" customHeight="1" x14ac:dyDescent="0.2">
      <c r="A282" s="3"/>
      <c r="B282" s="3" t="s">
        <v>0</v>
      </c>
      <c r="C282" s="3" t="s">
        <v>21</v>
      </c>
      <c r="D282" s="2"/>
      <c r="E282" s="2" t="e">
        <f t="shared" si="0"/>
        <v>#VALUE!</v>
      </c>
    </row>
    <row r="283" spans="1:5" ht="12.75" customHeight="1" x14ac:dyDescent="0.2">
      <c r="A283" s="3"/>
      <c r="B283" s="3" t="s">
        <v>2</v>
      </c>
      <c r="C283" s="3" t="s">
        <v>387</v>
      </c>
      <c r="D283" s="2"/>
      <c r="E283" s="2" t="e">
        <f t="shared" si="0"/>
        <v>#VALUE!</v>
      </c>
    </row>
    <row r="284" spans="1:5" ht="12.75" customHeight="1" x14ac:dyDescent="0.2">
      <c r="A284" s="3"/>
      <c r="B284" s="3" t="s">
        <v>9</v>
      </c>
      <c r="C284" s="3" t="s">
        <v>36</v>
      </c>
      <c r="D284" s="2"/>
      <c r="E284" s="2" t="e">
        <f t="shared" si="0"/>
        <v>#VALUE!</v>
      </c>
    </row>
    <row r="285" spans="1:5" ht="12.75" customHeight="1" x14ac:dyDescent="0.2">
      <c r="A285" s="3"/>
      <c r="B285" s="3" t="s">
        <v>11</v>
      </c>
      <c r="C285" s="3" t="s">
        <v>23</v>
      </c>
      <c r="D285" s="2"/>
      <c r="E285" s="2" t="e">
        <f t="shared" si="0"/>
        <v>#VALUE!</v>
      </c>
    </row>
    <row r="286" spans="1:5" ht="12.75" customHeight="1" x14ac:dyDescent="0.2">
      <c r="A286" s="3"/>
      <c r="B286" s="3" t="s">
        <v>16</v>
      </c>
      <c r="C286" s="3" t="s">
        <v>388</v>
      </c>
      <c r="D286" s="2"/>
      <c r="E286" s="2" t="e">
        <f t="shared" si="0"/>
        <v>#VALUE!</v>
      </c>
    </row>
    <row r="287" spans="1:5" ht="12.75" customHeight="1" x14ac:dyDescent="0.2">
      <c r="A287" s="3"/>
      <c r="B287" s="3" t="s">
        <v>18</v>
      </c>
      <c r="C287" s="4" t="s">
        <v>19</v>
      </c>
      <c r="D287" s="2"/>
      <c r="E287" s="2" t="e">
        <f t="shared" si="0"/>
        <v>#VALUE!</v>
      </c>
    </row>
    <row r="288" spans="1:5" ht="12.75" customHeight="1" x14ac:dyDescent="0.2">
      <c r="A288" s="1" t="str">
        <f>HYPERLINK("javascript:void(0)","Wyndorn varázskönyve")</f>
        <v>Wyndorn varázskönyve</v>
      </c>
      <c r="B288" s="1"/>
      <c r="C288" s="1"/>
      <c r="D288" s="2"/>
      <c r="E288" s="2" t="e">
        <f t="shared" si="0"/>
        <v>#VALUE!</v>
      </c>
    </row>
    <row r="289" spans="1:5" ht="12.75" customHeight="1" x14ac:dyDescent="0.2">
      <c r="A289" s="3"/>
      <c r="B289" s="3" t="s">
        <v>0</v>
      </c>
      <c r="C289" s="3" t="s">
        <v>21</v>
      </c>
      <c r="D289" s="2"/>
      <c r="E289" s="2" t="e">
        <f t="shared" si="0"/>
        <v>#VALUE!</v>
      </c>
    </row>
    <row r="290" spans="1:5" ht="12.75" customHeight="1" x14ac:dyDescent="0.2">
      <c r="A290" s="3"/>
      <c r="B290" s="3" t="s">
        <v>2</v>
      </c>
      <c r="C290" s="3" t="s">
        <v>387</v>
      </c>
      <c r="D290" s="2"/>
      <c r="E290" s="2" t="e">
        <f t="shared" si="0"/>
        <v>#VALUE!</v>
      </c>
    </row>
    <row r="291" spans="1:5" ht="12.75" customHeight="1" x14ac:dyDescent="0.2">
      <c r="A291" s="3"/>
      <c r="B291" s="3" t="s">
        <v>9</v>
      </c>
      <c r="C291" s="3" t="s">
        <v>27</v>
      </c>
      <c r="D291" s="2"/>
      <c r="E291" s="2" t="e">
        <f t="shared" si="0"/>
        <v>#VALUE!</v>
      </c>
    </row>
    <row r="292" spans="1:5" ht="12.75" customHeight="1" x14ac:dyDescent="0.2">
      <c r="A292" s="3"/>
      <c r="B292" s="3" t="s">
        <v>11</v>
      </c>
      <c r="C292" s="3" t="s">
        <v>23</v>
      </c>
      <c r="D292" s="2"/>
      <c r="E292" s="2" t="e">
        <f t="shared" si="0"/>
        <v>#VALUE!</v>
      </c>
    </row>
    <row r="293" spans="1:5" ht="12.75" customHeight="1" x14ac:dyDescent="0.2">
      <c r="A293" s="3"/>
      <c r="B293" s="3" t="s">
        <v>16</v>
      </c>
      <c r="C293" s="3" t="s">
        <v>388</v>
      </c>
      <c r="D293" s="2"/>
      <c r="E293" s="2" t="e">
        <f t="shared" si="0"/>
        <v>#VALUE!</v>
      </c>
    </row>
    <row r="294" spans="1:5" ht="12.75" customHeight="1" x14ac:dyDescent="0.2">
      <c r="A294" s="3"/>
      <c r="B294" s="3" t="s">
        <v>18</v>
      </c>
      <c r="C294" s="4" t="s">
        <v>19</v>
      </c>
      <c r="D294" s="2"/>
      <c r="E294" s="2" t="e">
        <f t="shared" si="0"/>
        <v>#VALUE!</v>
      </c>
    </row>
    <row r="295" spans="1:5" ht="12.75" customHeight="1" x14ac:dyDescent="0.2">
      <c r="A295" s="1" t="str">
        <f>HYPERLINK("javascript:void(0)","a Föld oltárának darabja")</f>
        <v>a Föld oltárának darabja</v>
      </c>
      <c r="B295" s="1"/>
      <c r="C295" s="1"/>
      <c r="D295" s="2"/>
      <c r="E295" s="2" t="e">
        <f t="shared" si="0"/>
        <v>#VALUE!</v>
      </c>
    </row>
    <row r="296" spans="1:5" ht="12.75" customHeight="1" x14ac:dyDescent="0.2">
      <c r="A296" s="3"/>
      <c r="B296" s="3" t="s">
        <v>0</v>
      </c>
      <c r="C296" s="3" t="s">
        <v>21</v>
      </c>
      <c r="D296" s="2"/>
      <c r="E296" s="2" t="e">
        <f t="shared" si="0"/>
        <v>#VALUE!</v>
      </c>
    </row>
    <row r="297" spans="1:5" ht="12.75" customHeight="1" x14ac:dyDescent="0.2">
      <c r="A297" s="3"/>
      <c r="B297" s="3" t="s">
        <v>2</v>
      </c>
      <c r="C297" s="3" t="s">
        <v>387</v>
      </c>
      <c r="D297" s="2"/>
      <c r="E297" s="2" t="e">
        <f t="shared" si="0"/>
        <v>#VALUE!</v>
      </c>
    </row>
    <row r="298" spans="1:5" ht="12.75" customHeight="1" x14ac:dyDescent="0.2">
      <c r="A298" s="3"/>
      <c r="B298" s="3" t="s">
        <v>9</v>
      </c>
      <c r="C298" s="3" t="s">
        <v>129</v>
      </c>
      <c r="D298" s="2"/>
      <c r="E298" s="2" t="e">
        <f t="shared" si="0"/>
        <v>#VALUE!</v>
      </c>
    </row>
    <row r="299" spans="1:5" ht="12.75" customHeight="1" x14ac:dyDescent="0.2">
      <c r="A299" s="3"/>
      <c r="B299" s="3" t="s">
        <v>11</v>
      </c>
      <c r="C299" s="3" t="s">
        <v>23</v>
      </c>
      <c r="D299" s="2"/>
      <c r="E299" s="2" t="e">
        <f t="shared" si="0"/>
        <v>#VALUE!</v>
      </c>
    </row>
    <row r="300" spans="1:5" ht="12.75" customHeight="1" x14ac:dyDescent="0.2">
      <c r="A300" s="3"/>
      <c r="B300" s="3" t="s">
        <v>16</v>
      </c>
      <c r="C300" s="3" t="s">
        <v>388</v>
      </c>
      <c r="D300" s="2"/>
      <c r="E300" s="2" t="e">
        <f t="shared" si="0"/>
        <v>#VALUE!</v>
      </c>
    </row>
    <row r="301" spans="1:5" ht="12.75" customHeight="1" x14ac:dyDescent="0.2">
      <c r="A301" s="3"/>
      <c r="B301" s="3" t="s">
        <v>18</v>
      </c>
      <c r="C301" s="4" t="s">
        <v>19</v>
      </c>
      <c r="D301" s="2"/>
      <c r="E301" s="2" t="e">
        <f t="shared" si="0"/>
        <v>#VALUE!</v>
      </c>
    </row>
    <row r="302" spans="1:5" ht="12.75" customHeight="1" x14ac:dyDescent="0.2">
      <c r="A302" s="1" t="str">
        <f>HYPERLINK("javascript:void(0)","a Levegő oltárának darabja")</f>
        <v>a Levegő oltárának darabja</v>
      </c>
      <c r="B302" s="1"/>
      <c r="C302" s="1"/>
      <c r="D302" s="2"/>
      <c r="E302" s="2" t="e">
        <f t="shared" si="0"/>
        <v>#VALUE!</v>
      </c>
    </row>
    <row r="303" spans="1:5" ht="12.75" customHeight="1" x14ac:dyDescent="0.2">
      <c r="A303" s="3"/>
      <c r="B303" s="3" t="s">
        <v>0</v>
      </c>
      <c r="C303" s="3" t="s">
        <v>21</v>
      </c>
      <c r="D303" s="2"/>
      <c r="E303" s="2" t="e">
        <f t="shared" si="0"/>
        <v>#VALUE!</v>
      </c>
    </row>
    <row r="304" spans="1:5" ht="12.75" customHeight="1" x14ac:dyDescent="0.2">
      <c r="A304" s="3"/>
      <c r="B304" s="3" t="s">
        <v>2</v>
      </c>
      <c r="C304" s="3" t="s">
        <v>387</v>
      </c>
      <c r="D304" s="2"/>
      <c r="E304" s="2" t="e">
        <f t="shared" si="0"/>
        <v>#VALUE!</v>
      </c>
    </row>
    <row r="305" spans="1:5" ht="12.75" customHeight="1" x14ac:dyDescent="0.2">
      <c r="A305" s="3"/>
      <c r="B305" s="3" t="s">
        <v>9</v>
      </c>
      <c r="C305" s="3" t="s">
        <v>129</v>
      </c>
      <c r="D305" s="2"/>
      <c r="E305" s="2" t="e">
        <f t="shared" si="0"/>
        <v>#VALUE!</v>
      </c>
    </row>
    <row r="306" spans="1:5" ht="12.75" customHeight="1" x14ac:dyDescent="0.2">
      <c r="A306" s="3"/>
      <c r="B306" s="3" t="s">
        <v>11</v>
      </c>
      <c r="C306" s="3" t="s">
        <v>23</v>
      </c>
      <c r="D306" s="2"/>
      <c r="E306" s="2" t="e">
        <f t="shared" si="0"/>
        <v>#VALUE!</v>
      </c>
    </row>
    <row r="307" spans="1:5" ht="12.75" customHeight="1" x14ac:dyDescent="0.2">
      <c r="A307" s="3"/>
      <c r="B307" s="3" t="s">
        <v>16</v>
      </c>
      <c r="C307" s="3" t="s">
        <v>388</v>
      </c>
      <c r="D307" s="2"/>
      <c r="E307" s="2" t="e">
        <f t="shared" si="0"/>
        <v>#VALUE!</v>
      </c>
    </row>
    <row r="308" spans="1:5" ht="12.75" customHeight="1" x14ac:dyDescent="0.2">
      <c r="A308" s="3"/>
      <c r="B308" s="3" t="s">
        <v>18</v>
      </c>
      <c r="C308" s="4" t="s">
        <v>19</v>
      </c>
      <c r="D308" s="2"/>
      <c r="E308" s="2" t="e">
        <f t="shared" si="0"/>
        <v>#VALUE!</v>
      </c>
    </row>
    <row r="309" spans="1:5" ht="12.75" customHeight="1" x14ac:dyDescent="0.2">
      <c r="A309" s="1" t="str">
        <f>HYPERLINK("javascript:void(0)","a Tűz oltárának darabja")</f>
        <v>a Tűz oltárának darabja</v>
      </c>
      <c r="B309" s="1"/>
      <c r="C309" s="1"/>
      <c r="D309" s="2"/>
      <c r="E309" s="2" t="e">
        <f t="shared" si="0"/>
        <v>#VALUE!</v>
      </c>
    </row>
    <row r="310" spans="1:5" ht="12.75" customHeight="1" x14ac:dyDescent="0.2">
      <c r="A310" s="3"/>
      <c r="B310" s="3" t="s">
        <v>0</v>
      </c>
      <c r="C310" s="3" t="s">
        <v>21</v>
      </c>
      <c r="D310" s="2"/>
      <c r="E310" s="2" t="e">
        <f t="shared" si="0"/>
        <v>#VALUE!</v>
      </c>
    </row>
    <row r="311" spans="1:5" ht="12.75" customHeight="1" x14ac:dyDescent="0.2">
      <c r="A311" s="3"/>
      <c r="B311" s="3" t="s">
        <v>2</v>
      </c>
      <c r="C311" s="3" t="s">
        <v>387</v>
      </c>
      <c r="D311" s="2"/>
      <c r="E311" s="2" t="e">
        <f t="shared" si="0"/>
        <v>#VALUE!</v>
      </c>
    </row>
    <row r="312" spans="1:5" ht="12.75" customHeight="1" x14ac:dyDescent="0.2">
      <c r="A312" s="3"/>
      <c r="B312" s="3" t="s">
        <v>9</v>
      </c>
      <c r="C312" s="3" t="s">
        <v>129</v>
      </c>
      <c r="D312" s="2"/>
      <c r="E312" s="2" t="e">
        <f t="shared" si="0"/>
        <v>#VALUE!</v>
      </c>
    </row>
    <row r="313" spans="1:5" ht="12.75" customHeight="1" x14ac:dyDescent="0.2">
      <c r="A313" s="3"/>
      <c r="B313" s="3" t="s">
        <v>11</v>
      </c>
      <c r="C313" s="3" t="s">
        <v>23</v>
      </c>
      <c r="D313" s="2"/>
      <c r="E313" s="2" t="e">
        <f t="shared" si="0"/>
        <v>#VALUE!</v>
      </c>
    </row>
    <row r="314" spans="1:5" ht="12.75" customHeight="1" x14ac:dyDescent="0.2">
      <c r="A314" s="3"/>
      <c r="B314" s="3" t="s">
        <v>16</v>
      </c>
      <c r="C314" s="3" t="s">
        <v>388</v>
      </c>
      <c r="D314" s="2"/>
      <c r="E314" s="2" t="e">
        <f t="shared" si="0"/>
        <v>#VALUE!</v>
      </c>
    </row>
    <row r="315" spans="1:5" ht="12.75" customHeight="1" x14ac:dyDescent="0.2">
      <c r="A315" s="3"/>
      <c r="B315" s="3" t="s">
        <v>18</v>
      </c>
      <c r="C315" s="4" t="s">
        <v>19</v>
      </c>
      <c r="D315" s="2"/>
      <c r="E315" s="2" t="e">
        <f t="shared" si="0"/>
        <v>#VALUE!</v>
      </c>
    </row>
    <row r="316" spans="1:5" ht="12.75" customHeight="1" x14ac:dyDescent="0.2">
      <c r="A316" s="1" t="str">
        <f>HYPERLINK("javascript:void(0)","a Víz oltárának darabja")</f>
        <v>a Víz oltárának darabja</v>
      </c>
      <c r="B316" s="1"/>
      <c r="C316" s="1"/>
      <c r="D316" s="2"/>
      <c r="E316" s="2" t="e">
        <f t="shared" si="0"/>
        <v>#VALUE!</v>
      </c>
    </row>
    <row r="317" spans="1:5" ht="12.75" customHeight="1" x14ac:dyDescent="0.2">
      <c r="A317" s="3"/>
      <c r="B317" s="3" t="s">
        <v>0</v>
      </c>
      <c r="C317" s="3" t="s">
        <v>21</v>
      </c>
      <c r="D317" s="2"/>
      <c r="E317" s="2" t="e">
        <f t="shared" si="0"/>
        <v>#VALUE!</v>
      </c>
    </row>
    <row r="318" spans="1:5" ht="12.75" customHeight="1" x14ac:dyDescent="0.2">
      <c r="A318" s="3"/>
      <c r="B318" s="3" t="s">
        <v>2</v>
      </c>
      <c r="C318" s="3" t="s">
        <v>387</v>
      </c>
      <c r="D318" s="2"/>
      <c r="E318" s="2" t="e">
        <f t="shared" si="0"/>
        <v>#VALUE!</v>
      </c>
    </row>
    <row r="319" spans="1:5" ht="12.75" customHeight="1" x14ac:dyDescent="0.2">
      <c r="A319" s="3"/>
      <c r="B319" s="3" t="s">
        <v>9</v>
      </c>
      <c r="C319" s="3" t="s">
        <v>129</v>
      </c>
      <c r="D319" s="2"/>
      <c r="E319" s="2" t="e">
        <f t="shared" si="0"/>
        <v>#VALUE!</v>
      </c>
    </row>
    <row r="320" spans="1:5" ht="12.75" customHeight="1" x14ac:dyDescent="0.2">
      <c r="A320" s="3"/>
      <c r="B320" s="3" t="s">
        <v>11</v>
      </c>
      <c r="C320" s="3" t="s">
        <v>23</v>
      </c>
      <c r="D320" s="2"/>
      <c r="E320" s="2" t="e">
        <f t="shared" si="0"/>
        <v>#VALUE!</v>
      </c>
    </row>
    <row r="321" spans="1:5" ht="12.75" customHeight="1" x14ac:dyDescent="0.2">
      <c r="A321" s="3"/>
      <c r="B321" s="3" t="s">
        <v>16</v>
      </c>
      <c r="C321" s="3" t="s">
        <v>388</v>
      </c>
      <c r="D321" s="2"/>
      <c r="E321" s="2" t="e">
        <f t="shared" si="0"/>
        <v>#VALUE!</v>
      </c>
    </row>
    <row r="322" spans="1:5" ht="12.75" customHeight="1" x14ac:dyDescent="0.2">
      <c r="A322" s="3"/>
      <c r="B322" s="3" t="s">
        <v>18</v>
      </c>
      <c r="C322" s="4" t="s">
        <v>19</v>
      </c>
      <c r="D322" s="2"/>
      <c r="E322" s="2" t="e">
        <f t="shared" si="0"/>
        <v>#VALUE!</v>
      </c>
    </row>
    <row r="323" spans="1:5" ht="12.75" customHeight="1" x14ac:dyDescent="0.2">
      <c r="A323" s="1" t="str">
        <f>HYPERLINK("javascript:void(0)","a hatalom gyűrűje")</f>
        <v>a hatalom gyűrűje</v>
      </c>
      <c r="B323" s="1"/>
      <c r="C323" s="1"/>
      <c r="D323" s="2"/>
      <c r="E323" s="2" t="e">
        <f t="shared" si="0"/>
        <v>#VALUE!</v>
      </c>
    </row>
    <row r="324" spans="1:5" ht="12.75" customHeight="1" x14ac:dyDescent="0.2">
      <c r="A324" s="3"/>
      <c r="B324" s="3" t="s">
        <v>0</v>
      </c>
      <c r="C324" s="3" t="s">
        <v>21</v>
      </c>
      <c r="D324" s="2"/>
      <c r="E324" s="2" t="e">
        <f t="shared" si="0"/>
        <v>#VALUE!</v>
      </c>
    </row>
    <row r="325" spans="1:5" ht="12.75" customHeight="1" x14ac:dyDescent="0.2">
      <c r="A325" s="3"/>
      <c r="B325" s="3" t="s">
        <v>2</v>
      </c>
      <c r="C325" s="3" t="s">
        <v>387</v>
      </c>
      <c r="D325" s="2"/>
      <c r="E325" s="2" t="e">
        <f t="shared" si="0"/>
        <v>#VALUE!</v>
      </c>
    </row>
    <row r="326" spans="1:5" ht="12.75" customHeight="1" x14ac:dyDescent="0.2">
      <c r="A326" s="3"/>
      <c r="B326" s="3" t="s">
        <v>9</v>
      </c>
      <c r="C326" s="3" t="s">
        <v>22</v>
      </c>
      <c r="D326" s="2"/>
      <c r="E326" s="2" t="e">
        <f t="shared" si="0"/>
        <v>#VALUE!</v>
      </c>
    </row>
    <row r="327" spans="1:5" ht="12.75" customHeight="1" x14ac:dyDescent="0.2">
      <c r="A327" s="3"/>
      <c r="B327" s="3" t="s">
        <v>11</v>
      </c>
      <c r="C327" s="3" t="s">
        <v>23</v>
      </c>
      <c r="D327" s="2"/>
      <c r="E327" s="2" t="e">
        <f t="shared" si="0"/>
        <v>#VALUE!</v>
      </c>
    </row>
    <row r="328" spans="1:5" ht="12.75" customHeight="1" x14ac:dyDescent="0.2">
      <c r="A328" s="3"/>
      <c r="B328" s="3" t="s">
        <v>16</v>
      </c>
      <c r="C328" s="3" t="s">
        <v>388</v>
      </c>
      <c r="D328" s="2"/>
      <c r="E328" s="2" t="e">
        <f t="shared" si="0"/>
        <v>#VALUE!</v>
      </c>
    </row>
    <row r="329" spans="1:5" ht="12.75" customHeight="1" x14ac:dyDescent="0.2">
      <c r="A329" s="3"/>
      <c r="B329" s="3" t="s">
        <v>18</v>
      </c>
      <c r="C329" s="4" t="s">
        <v>19</v>
      </c>
      <c r="D329" s="2"/>
      <c r="E329" s="2" t="e">
        <f t="shared" si="0"/>
        <v>#VALUE!</v>
      </c>
    </row>
    <row r="330" spans="1:5" ht="12.75" customHeight="1" x14ac:dyDescent="0.2">
      <c r="A330" s="1" t="str">
        <f>HYPERLINK("javascript:void(0)","a herceg pajzsa")</f>
        <v>a herceg pajzsa</v>
      </c>
      <c r="B330" s="1"/>
      <c r="C330" s="1"/>
      <c r="D330" s="2"/>
      <c r="E330" s="2" t="e">
        <f t="shared" si="0"/>
        <v>#VALUE!</v>
      </c>
    </row>
    <row r="331" spans="1:5" ht="12.75" customHeight="1" x14ac:dyDescent="0.2">
      <c r="A331" s="3"/>
      <c r="B331" s="3" t="s">
        <v>0</v>
      </c>
      <c r="C331" s="3" t="s">
        <v>21</v>
      </c>
      <c r="D331" s="2"/>
      <c r="E331" s="2" t="e">
        <f t="shared" si="0"/>
        <v>#VALUE!</v>
      </c>
    </row>
    <row r="332" spans="1:5" ht="12.75" customHeight="1" x14ac:dyDescent="0.2">
      <c r="A332" s="3"/>
      <c r="B332" s="3" t="s">
        <v>2</v>
      </c>
      <c r="C332" s="3" t="s">
        <v>387</v>
      </c>
      <c r="D332" s="2"/>
      <c r="E332" s="2" t="e">
        <f t="shared" si="0"/>
        <v>#VALUE!</v>
      </c>
    </row>
    <row r="333" spans="1:5" ht="12.75" customHeight="1" x14ac:dyDescent="0.2">
      <c r="A333" s="3"/>
      <c r="B333" s="3" t="s">
        <v>9</v>
      </c>
      <c r="C333" s="3" t="s">
        <v>27</v>
      </c>
      <c r="D333" s="2"/>
      <c r="E333" s="2" t="e">
        <f t="shared" si="0"/>
        <v>#VALUE!</v>
      </c>
    </row>
    <row r="334" spans="1:5" ht="12.75" customHeight="1" x14ac:dyDescent="0.2">
      <c r="A334" s="3"/>
      <c r="B334" s="3" t="s">
        <v>11</v>
      </c>
      <c r="C334" s="3" t="s">
        <v>23</v>
      </c>
      <c r="D334" s="2"/>
      <c r="E334" s="2" t="e">
        <f t="shared" si="0"/>
        <v>#VALUE!</v>
      </c>
    </row>
    <row r="335" spans="1:5" ht="12.75" customHeight="1" x14ac:dyDescent="0.2">
      <c r="A335" s="3"/>
      <c r="B335" s="3" t="s">
        <v>16</v>
      </c>
      <c r="C335" s="3" t="s">
        <v>388</v>
      </c>
      <c r="D335" s="2"/>
      <c r="E335" s="2" t="e">
        <f t="shared" si="0"/>
        <v>#VALUE!</v>
      </c>
    </row>
    <row r="336" spans="1:5" ht="12.75" customHeight="1" x14ac:dyDescent="0.2">
      <c r="A336" s="3"/>
      <c r="B336" s="3" t="s">
        <v>18</v>
      </c>
      <c r="C336" s="4" t="s">
        <v>19</v>
      </c>
      <c r="D336" s="2"/>
      <c r="E336" s="2" t="e">
        <f t="shared" si="0"/>
        <v>#VALUE!</v>
      </c>
    </row>
    <row r="337" spans="1:5" ht="12.75" customHeight="1" x14ac:dyDescent="0.2">
      <c r="A337" s="1" t="str">
        <f>HYPERLINK("javascript:void(0)","a kapitány kincsesládája")</f>
        <v>a kapitány kincsesládája</v>
      </c>
      <c r="B337" s="1"/>
      <c r="C337" s="1"/>
      <c r="D337" s="2"/>
      <c r="E337" s="2" t="e">
        <f t="shared" si="0"/>
        <v>#VALUE!</v>
      </c>
    </row>
    <row r="338" spans="1:5" ht="12.75" customHeight="1" x14ac:dyDescent="0.2">
      <c r="A338" s="3"/>
      <c r="B338" s="3" t="s">
        <v>0</v>
      </c>
      <c r="C338" s="3" t="s">
        <v>21</v>
      </c>
      <c r="D338" s="2"/>
      <c r="E338" s="2" t="e">
        <f t="shared" si="0"/>
        <v>#VALUE!</v>
      </c>
    </row>
    <row r="339" spans="1:5" ht="12.75" customHeight="1" x14ac:dyDescent="0.2">
      <c r="A339" s="3"/>
      <c r="B339" s="3" t="s">
        <v>2</v>
      </c>
      <c r="C339" s="3" t="s">
        <v>387</v>
      </c>
      <c r="D339" s="2"/>
      <c r="E339" s="2" t="e">
        <f t="shared" si="0"/>
        <v>#VALUE!</v>
      </c>
    </row>
    <row r="340" spans="1:5" ht="12.75" customHeight="1" x14ac:dyDescent="0.2">
      <c r="A340" s="3"/>
      <c r="B340" s="3" t="s">
        <v>9</v>
      </c>
      <c r="C340" s="3" t="s">
        <v>27</v>
      </c>
      <c r="D340" s="2"/>
      <c r="E340" s="2" t="e">
        <f t="shared" si="0"/>
        <v>#VALUE!</v>
      </c>
    </row>
    <row r="341" spans="1:5" ht="12.75" customHeight="1" x14ac:dyDescent="0.2">
      <c r="A341" s="3"/>
      <c r="B341" s="3" t="s">
        <v>11</v>
      </c>
      <c r="C341" s="3" t="s">
        <v>23</v>
      </c>
      <c r="D341" s="2"/>
      <c r="E341" s="2" t="e">
        <f t="shared" si="0"/>
        <v>#VALUE!</v>
      </c>
    </row>
    <row r="342" spans="1:5" ht="12.75" customHeight="1" x14ac:dyDescent="0.2">
      <c r="A342" s="3"/>
      <c r="B342" s="3" t="s">
        <v>16</v>
      </c>
      <c r="C342" s="3" t="s">
        <v>388</v>
      </c>
      <c r="D342" s="2"/>
      <c r="E342" s="2" t="e">
        <f t="shared" si="0"/>
        <v>#VALUE!</v>
      </c>
    </row>
    <row r="343" spans="1:5" ht="12.75" customHeight="1" x14ac:dyDescent="0.2">
      <c r="A343" s="3"/>
      <c r="B343" s="3" t="s">
        <v>18</v>
      </c>
      <c r="C343" s="4" t="s">
        <v>19</v>
      </c>
      <c r="D343" s="2"/>
      <c r="E343" s="2" t="e">
        <f t="shared" si="0"/>
        <v>#VALUE!</v>
      </c>
    </row>
    <row r="344" spans="1:5" ht="12.75" customHeight="1" x14ac:dyDescent="0.2">
      <c r="A344" s="1" t="str">
        <f>HYPERLINK("javascript:void(0)","a király lánya")</f>
        <v>a király lánya</v>
      </c>
      <c r="B344" s="1"/>
      <c r="C344" s="1"/>
      <c r="D344" s="2"/>
      <c r="E344" s="2" t="e">
        <f t="shared" si="0"/>
        <v>#VALUE!</v>
      </c>
    </row>
    <row r="345" spans="1:5" ht="12.75" customHeight="1" x14ac:dyDescent="0.2">
      <c r="A345" s="3"/>
      <c r="B345" s="3" t="s">
        <v>0</v>
      </c>
      <c r="C345" s="3" t="s">
        <v>21</v>
      </c>
      <c r="D345" s="2"/>
      <c r="E345" s="2" t="e">
        <f t="shared" si="0"/>
        <v>#VALUE!</v>
      </c>
    </row>
    <row r="346" spans="1:5" ht="12.75" customHeight="1" x14ac:dyDescent="0.2">
      <c r="A346" s="3"/>
      <c r="B346" s="3" t="s">
        <v>2</v>
      </c>
      <c r="C346" s="3" t="s">
        <v>387</v>
      </c>
      <c r="D346" s="2"/>
      <c r="E346" s="2" t="e">
        <f t="shared" si="0"/>
        <v>#VALUE!</v>
      </c>
    </row>
    <row r="347" spans="1:5" ht="12.75" customHeight="1" x14ac:dyDescent="0.2">
      <c r="A347" s="3"/>
      <c r="B347" s="3" t="s">
        <v>9</v>
      </c>
      <c r="C347" s="3" t="s">
        <v>27</v>
      </c>
      <c r="D347" s="2"/>
      <c r="E347" s="2" t="e">
        <f t="shared" si="0"/>
        <v>#VALUE!</v>
      </c>
    </row>
    <row r="348" spans="1:5" ht="12.75" customHeight="1" x14ac:dyDescent="0.2">
      <c r="A348" s="3"/>
      <c r="B348" s="3" t="s">
        <v>11</v>
      </c>
      <c r="C348" s="3" t="s">
        <v>23</v>
      </c>
      <c r="D348" s="2"/>
      <c r="E348" s="2" t="e">
        <f t="shared" si="0"/>
        <v>#VALUE!</v>
      </c>
    </row>
    <row r="349" spans="1:5" ht="12.75" customHeight="1" x14ac:dyDescent="0.2">
      <c r="A349" s="3"/>
      <c r="B349" s="3" t="s">
        <v>16</v>
      </c>
      <c r="C349" s="3" t="s">
        <v>388</v>
      </c>
      <c r="D349" s="2"/>
      <c r="E349" s="2" t="e">
        <f t="shared" si="0"/>
        <v>#VALUE!</v>
      </c>
    </row>
    <row r="350" spans="1:5" ht="12.75" customHeight="1" x14ac:dyDescent="0.2">
      <c r="A350" s="3"/>
      <c r="B350" s="3" t="s">
        <v>18</v>
      </c>
      <c r="C350" s="4" t="s">
        <v>19</v>
      </c>
      <c r="D350" s="2"/>
      <c r="E350" s="2" t="e">
        <f t="shared" si="0"/>
        <v>#VALUE!</v>
      </c>
    </row>
    <row r="351" spans="1:5" ht="12.75" customHeight="1" x14ac:dyDescent="0.2">
      <c r="A351" s="1" t="str">
        <f>HYPERLINK("javascript:void(0)","a tréfamester könyve")</f>
        <v>a tréfamester könyve</v>
      </c>
      <c r="B351" s="1"/>
      <c r="C351" s="1"/>
      <c r="D351" s="2"/>
      <c r="E351" s="2" t="e">
        <f t="shared" si="0"/>
        <v>#VALUE!</v>
      </c>
    </row>
    <row r="352" spans="1:5" ht="12.75" customHeight="1" x14ac:dyDescent="0.2">
      <c r="A352" s="3"/>
      <c r="B352" s="3" t="s">
        <v>0</v>
      </c>
      <c r="C352" s="3" t="s">
        <v>21</v>
      </c>
      <c r="D352" s="2"/>
      <c r="E352" s="2" t="e">
        <f t="shared" si="0"/>
        <v>#VALUE!</v>
      </c>
    </row>
    <row r="353" spans="1:5" ht="12.75" customHeight="1" x14ac:dyDescent="0.2">
      <c r="A353" s="3"/>
      <c r="B353" s="3" t="s">
        <v>2</v>
      </c>
      <c r="C353" s="3" t="s">
        <v>387</v>
      </c>
      <c r="D353" s="2"/>
      <c r="E353" s="2" t="e">
        <f t="shared" si="0"/>
        <v>#VALUE!</v>
      </c>
    </row>
    <row r="354" spans="1:5" ht="12.75" customHeight="1" x14ac:dyDescent="0.2">
      <c r="A354" s="3"/>
      <c r="B354" s="3" t="s">
        <v>9</v>
      </c>
      <c r="C354" s="3" t="s">
        <v>27</v>
      </c>
      <c r="D354" s="2"/>
      <c r="E354" s="2" t="e">
        <f t="shared" si="0"/>
        <v>#VALUE!</v>
      </c>
    </row>
    <row r="355" spans="1:5" ht="12.75" customHeight="1" x14ac:dyDescent="0.2">
      <c r="A355" s="3"/>
      <c r="B355" s="3" t="s">
        <v>11</v>
      </c>
      <c r="C355" s="3" t="s">
        <v>23</v>
      </c>
      <c r="D355" s="2"/>
      <c r="E355" s="2" t="e">
        <f t="shared" si="0"/>
        <v>#VALUE!</v>
      </c>
    </row>
    <row r="356" spans="1:5" ht="12.75" customHeight="1" x14ac:dyDescent="0.2">
      <c r="A356" s="3"/>
      <c r="B356" s="3" t="s">
        <v>16</v>
      </c>
      <c r="C356" s="3" t="s">
        <v>388</v>
      </c>
      <c r="D356" s="2"/>
      <c r="E356" s="2" t="e">
        <f t="shared" si="0"/>
        <v>#VALUE!</v>
      </c>
    </row>
    <row r="357" spans="1:5" ht="12.75" customHeight="1" x14ac:dyDescent="0.2">
      <c r="A357" s="3"/>
      <c r="B357" s="3" t="s">
        <v>18</v>
      </c>
      <c r="C357" s="4" t="s">
        <v>19</v>
      </c>
      <c r="D357" s="2"/>
      <c r="E357" s="2" t="e">
        <f t="shared" si="0"/>
        <v>#VALUE!</v>
      </c>
    </row>
    <row r="358" spans="1:5" ht="12.75" customHeight="1" x14ac:dyDescent="0.2">
      <c r="A358" s="1" t="str">
        <f>HYPERLINK("javascript:void(0)","a tudás makkja")</f>
        <v>a tudás makkja</v>
      </c>
      <c r="B358" s="1"/>
      <c r="C358" s="1"/>
      <c r="D358" s="2"/>
      <c r="E358" s="2" t="e">
        <f t="shared" si="0"/>
        <v>#VALUE!</v>
      </c>
    </row>
    <row r="359" spans="1:5" ht="12.75" customHeight="1" x14ac:dyDescent="0.2">
      <c r="A359" s="3"/>
      <c r="B359" s="3" t="s">
        <v>0</v>
      </c>
      <c r="C359" s="3" t="s">
        <v>21</v>
      </c>
      <c r="D359" s="2"/>
      <c r="E359" s="2" t="e">
        <f t="shared" si="0"/>
        <v>#VALUE!</v>
      </c>
    </row>
    <row r="360" spans="1:5" ht="12.75" customHeight="1" x14ac:dyDescent="0.2">
      <c r="A360" s="3"/>
      <c r="B360" s="3" t="s">
        <v>2</v>
      </c>
      <c r="C360" s="3" t="s">
        <v>387</v>
      </c>
      <c r="D360" s="2"/>
      <c r="E360" s="2" t="e">
        <f t="shared" si="0"/>
        <v>#VALUE!</v>
      </c>
    </row>
    <row r="361" spans="1:5" ht="12.75" customHeight="1" x14ac:dyDescent="0.2">
      <c r="A361" s="3"/>
      <c r="B361" s="3" t="s">
        <v>9</v>
      </c>
      <c r="C361" s="3" t="s">
        <v>27</v>
      </c>
      <c r="D361" s="2"/>
      <c r="E361" s="2" t="e">
        <f t="shared" si="0"/>
        <v>#VALUE!</v>
      </c>
    </row>
    <row r="362" spans="1:5" ht="12.75" customHeight="1" x14ac:dyDescent="0.2">
      <c r="A362" s="3"/>
      <c r="B362" s="3" t="s">
        <v>11</v>
      </c>
      <c r="C362" s="3" t="s">
        <v>23</v>
      </c>
      <c r="D362" s="2"/>
      <c r="E362" s="2" t="e">
        <f t="shared" si="0"/>
        <v>#VALUE!</v>
      </c>
    </row>
    <row r="363" spans="1:5" ht="12.75" customHeight="1" x14ac:dyDescent="0.2">
      <c r="A363" s="3"/>
      <c r="B363" s="3" t="s">
        <v>16</v>
      </c>
      <c r="C363" s="3" t="s">
        <v>388</v>
      </c>
      <c r="D363" s="2"/>
      <c r="E363" s="2" t="e">
        <f t="shared" si="0"/>
        <v>#VALUE!</v>
      </c>
    </row>
    <row r="364" spans="1:5" ht="12.75" customHeight="1" x14ac:dyDescent="0.2">
      <c r="A364" s="3"/>
      <c r="B364" s="3" t="s">
        <v>18</v>
      </c>
      <c r="C364" s="4" t="s">
        <v>19</v>
      </c>
      <c r="D364" s="2"/>
      <c r="E364" s="2" t="e">
        <f t="shared" si="0"/>
        <v>#VALUE!</v>
      </c>
    </row>
    <row r="365" spans="1:5" ht="12.75" customHeight="1" x14ac:dyDescent="0.2">
      <c r="A365" s="1" t="str">
        <f>HYPERLINK("javascript:void(0)","abrak")</f>
        <v>abrak</v>
      </c>
      <c r="B365" s="1"/>
      <c r="C365" s="1"/>
      <c r="D365" s="2"/>
      <c r="E365" s="2" t="e">
        <f t="shared" si="0"/>
        <v>#VALUE!</v>
      </c>
    </row>
    <row r="366" spans="1:5" ht="12.75" customHeight="1" x14ac:dyDescent="0.2">
      <c r="A366" s="3"/>
      <c r="B366" s="3" t="s">
        <v>0</v>
      </c>
      <c r="C366" s="3" t="s">
        <v>21</v>
      </c>
      <c r="D366" s="2"/>
      <c r="E366" s="2" t="e">
        <f t="shared" si="0"/>
        <v>#VALUE!</v>
      </c>
    </row>
    <row r="367" spans="1:5" ht="12.75" customHeight="1" x14ac:dyDescent="0.2">
      <c r="A367" s="3"/>
      <c r="B367" s="3" t="s">
        <v>2</v>
      </c>
      <c r="C367" s="3" t="s">
        <v>458</v>
      </c>
      <c r="D367" s="2"/>
      <c r="E367" s="2" t="e">
        <f t="shared" si="0"/>
        <v>#VALUE!</v>
      </c>
    </row>
    <row r="368" spans="1:5" ht="12.75" customHeight="1" x14ac:dyDescent="0.2">
      <c r="A368" s="3"/>
      <c r="B368" s="3" t="s">
        <v>9</v>
      </c>
      <c r="C368" s="3" t="s">
        <v>27</v>
      </c>
      <c r="D368" s="2"/>
      <c r="E368" s="2" t="e">
        <f t="shared" si="0"/>
        <v>#VALUE!</v>
      </c>
    </row>
    <row r="369" spans="1:5" ht="12.75" customHeight="1" x14ac:dyDescent="0.2">
      <c r="A369" s="3"/>
      <c r="B369" s="3" t="s">
        <v>11</v>
      </c>
      <c r="C369" s="3" t="s">
        <v>507</v>
      </c>
      <c r="D369" s="2"/>
      <c r="E369" s="2" t="e">
        <f t="shared" si="0"/>
        <v>#VALUE!</v>
      </c>
    </row>
    <row r="370" spans="1:5" ht="12.75" customHeight="1" x14ac:dyDescent="0.2">
      <c r="A370" s="3"/>
      <c r="B370" s="3" t="s">
        <v>18</v>
      </c>
      <c r="C370" s="4" t="s">
        <v>19</v>
      </c>
      <c r="D370" s="2"/>
      <c r="E370" s="2" t="e">
        <f t="shared" si="0"/>
        <v>#VALUE!</v>
      </c>
    </row>
    <row r="371" spans="1:5" ht="12.75" customHeight="1" x14ac:dyDescent="0.2">
      <c r="A371" s="1" t="str">
        <f>HYPERLINK("javascript:void(0)","abraktarisznya")</f>
        <v>abraktarisznya</v>
      </c>
      <c r="B371" s="1"/>
      <c r="C371" s="1"/>
      <c r="D371" s="2"/>
      <c r="E371" s="2" t="e">
        <f t="shared" si="0"/>
        <v>#VALUE!</v>
      </c>
    </row>
    <row r="372" spans="1:5" ht="12.75" customHeight="1" x14ac:dyDescent="0.2">
      <c r="A372" s="3"/>
      <c r="B372" s="3" t="s">
        <v>0</v>
      </c>
      <c r="C372" s="3" t="s">
        <v>21</v>
      </c>
      <c r="D372" s="2"/>
      <c r="E372" s="2" t="e">
        <f t="shared" si="0"/>
        <v>#VALUE!</v>
      </c>
    </row>
    <row r="373" spans="1:5" ht="12.75" customHeight="1" x14ac:dyDescent="0.2">
      <c r="A373" s="3"/>
      <c r="B373" s="3" t="s">
        <v>2</v>
      </c>
      <c r="C373" s="3" t="s">
        <v>458</v>
      </c>
      <c r="D373" s="2"/>
      <c r="E373" s="2" t="e">
        <f t="shared" si="0"/>
        <v>#VALUE!</v>
      </c>
    </row>
    <row r="374" spans="1:5" ht="12.75" customHeight="1" x14ac:dyDescent="0.2">
      <c r="A374" s="3"/>
      <c r="B374" s="3" t="s">
        <v>9</v>
      </c>
      <c r="C374" s="3" t="s">
        <v>250</v>
      </c>
      <c r="D374" s="2"/>
      <c r="E374" s="2" t="e">
        <f t="shared" si="0"/>
        <v>#VALUE!</v>
      </c>
    </row>
    <row r="375" spans="1:5" ht="12.75" customHeight="1" x14ac:dyDescent="0.2">
      <c r="A375" s="3"/>
      <c r="B375" s="3" t="s">
        <v>11</v>
      </c>
      <c r="C375" s="3" t="s">
        <v>395</v>
      </c>
      <c r="D375" s="2"/>
      <c r="E375" s="2" t="e">
        <f t="shared" si="0"/>
        <v>#VALUE!</v>
      </c>
    </row>
    <row r="376" spans="1:5" ht="12.75" customHeight="1" x14ac:dyDescent="0.2">
      <c r="A376" s="3"/>
      <c r="B376" s="3" t="s">
        <v>16</v>
      </c>
      <c r="C376" s="3" t="s">
        <v>508</v>
      </c>
      <c r="D376" s="2"/>
      <c r="E376" s="2" t="e">
        <f t="shared" si="0"/>
        <v>#VALUE!</v>
      </c>
    </row>
    <row r="377" spans="1:5" ht="12.75" customHeight="1" x14ac:dyDescent="0.2">
      <c r="A377" s="3"/>
      <c r="B377" s="3" t="s">
        <v>18</v>
      </c>
      <c r="C377" s="4" t="s">
        <v>19</v>
      </c>
      <c r="D377" s="2"/>
      <c r="E377" s="2" t="e">
        <f t="shared" si="0"/>
        <v>#VALUE!</v>
      </c>
    </row>
    <row r="378" spans="1:5" ht="12.75" customHeight="1" x14ac:dyDescent="0.2">
      <c r="A378" s="1" t="str">
        <f>HYPERLINK("javascript:void(0)","acélrugó")</f>
        <v>acélrugó</v>
      </c>
      <c r="B378" s="1"/>
      <c r="C378" s="1"/>
      <c r="D378" s="2"/>
      <c r="E378" s="2" t="e">
        <f t="shared" si="0"/>
        <v>#VALUE!</v>
      </c>
    </row>
    <row r="379" spans="1:5" ht="12.75" customHeight="1" x14ac:dyDescent="0.2">
      <c r="A379" s="3"/>
      <c r="B379" s="3" t="s">
        <v>0</v>
      </c>
      <c r="C379" s="3" t="s">
        <v>21</v>
      </c>
      <c r="D379" s="2"/>
      <c r="E379" s="2" t="e">
        <f t="shared" si="0"/>
        <v>#VALUE!</v>
      </c>
    </row>
    <row r="380" spans="1:5" ht="12.75" customHeight="1" x14ac:dyDescent="0.2">
      <c r="A380" s="3"/>
      <c r="B380" s="3" t="s">
        <v>2</v>
      </c>
      <c r="C380" s="3" t="s">
        <v>387</v>
      </c>
      <c r="D380" s="2"/>
      <c r="E380" s="2" t="e">
        <f t="shared" si="0"/>
        <v>#VALUE!</v>
      </c>
    </row>
    <row r="381" spans="1:5" ht="12.75" customHeight="1" x14ac:dyDescent="0.2">
      <c r="A381" s="3"/>
      <c r="B381" s="3" t="s">
        <v>9</v>
      </c>
      <c r="C381" s="3" t="s">
        <v>509</v>
      </c>
      <c r="D381" s="2"/>
      <c r="E381" s="2" t="e">
        <f t="shared" si="0"/>
        <v>#VALUE!</v>
      </c>
    </row>
    <row r="382" spans="1:5" ht="12.75" customHeight="1" x14ac:dyDescent="0.2">
      <c r="A382" s="3"/>
      <c r="B382" s="3" t="s">
        <v>11</v>
      </c>
      <c r="C382" s="3" t="s">
        <v>125</v>
      </c>
      <c r="D382" s="2"/>
      <c r="E382" s="2" t="e">
        <f t="shared" si="0"/>
        <v>#VALUE!</v>
      </c>
    </row>
    <row r="383" spans="1:5" ht="12.75" customHeight="1" x14ac:dyDescent="0.2">
      <c r="A383" s="3"/>
      <c r="B383" s="3" t="s">
        <v>18</v>
      </c>
      <c r="C383" s="4" t="s">
        <v>19</v>
      </c>
      <c r="D383" s="2"/>
      <c r="E383" s="2" t="e">
        <f t="shared" si="0"/>
        <v>#VALUE!</v>
      </c>
    </row>
    <row r="384" spans="1:5" ht="12.75" customHeight="1" x14ac:dyDescent="0.2">
      <c r="A384" s="1" t="str">
        <f>HYPERLINK("javascript:void(0)","adattekercs")</f>
        <v>adattekercs</v>
      </c>
      <c r="B384" s="1"/>
      <c r="C384" s="1"/>
      <c r="D384" s="2"/>
      <c r="E384" s="2" t="e">
        <f t="shared" si="0"/>
        <v>#VALUE!</v>
      </c>
    </row>
    <row r="385" spans="1:5" ht="12.75" customHeight="1" x14ac:dyDescent="0.2">
      <c r="A385" s="3"/>
      <c r="B385" s="3" t="s">
        <v>0</v>
      </c>
      <c r="C385" s="3" t="s">
        <v>21</v>
      </c>
      <c r="D385" s="2"/>
      <c r="E385" s="2" t="e">
        <f t="shared" si="0"/>
        <v>#VALUE!</v>
      </c>
    </row>
    <row r="386" spans="1:5" ht="12.75" customHeight="1" x14ac:dyDescent="0.2">
      <c r="A386" s="3"/>
      <c r="B386" s="3" t="s">
        <v>2</v>
      </c>
      <c r="C386" s="3" t="s">
        <v>458</v>
      </c>
      <c r="D386" s="2"/>
      <c r="E386" s="2" t="e">
        <f t="shared" si="0"/>
        <v>#VALUE!</v>
      </c>
    </row>
    <row r="387" spans="1:5" ht="12.75" customHeight="1" x14ac:dyDescent="0.2">
      <c r="A387" s="3"/>
      <c r="B387" s="3" t="s">
        <v>9</v>
      </c>
      <c r="C387" s="3" t="s">
        <v>513</v>
      </c>
      <c r="D387" s="2"/>
      <c r="E387" s="2" t="e">
        <f t="shared" si="0"/>
        <v>#VALUE!</v>
      </c>
    </row>
    <row r="388" spans="1:5" ht="12.75" customHeight="1" x14ac:dyDescent="0.2">
      <c r="A388" s="3"/>
      <c r="B388" s="3" t="s">
        <v>11</v>
      </c>
      <c r="C388" s="3" t="s">
        <v>515</v>
      </c>
      <c r="D388" s="2"/>
      <c r="E388" s="2" t="e">
        <f t="shared" si="0"/>
        <v>#VALUE!</v>
      </c>
    </row>
    <row r="389" spans="1:5" ht="12.75" customHeight="1" x14ac:dyDescent="0.2">
      <c r="A389" s="3"/>
      <c r="B389" s="3" t="s">
        <v>18</v>
      </c>
      <c r="C389" s="4" t="s">
        <v>19</v>
      </c>
      <c r="D389" s="2"/>
      <c r="E389" s="2" t="e">
        <f t="shared" si="0"/>
        <v>#VALUE!</v>
      </c>
    </row>
    <row r="390" spans="1:5" ht="12.75" customHeight="1" x14ac:dyDescent="0.2">
      <c r="A390" s="1" t="str">
        <f>HYPERLINK("javascript:void(0)","adibook-gatya")</f>
        <v>adibook-gatya</v>
      </c>
      <c r="B390" s="1"/>
      <c r="C390" s="1"/>
      <c r="D390" s="2"/>
      <c r="E390" s="2" t="e">
        <f t="shared" si="0"/>
        <v>#VALUE!</v>
      </c>
    </row>
    <row r="391" spans="1:5" ht="12.75" customHeight="1" x14ac:dyDescent="0.2">
      <c r="A391" s="3"/>
      <c r="B391" s="3" t="s">
        <v>0</v>
      </c>
      <c r="C391" s="3" t="s">
        <v>21</v>
      </c>
      <c r="D391" s="2"/>
      <c r="E391" s="2" t="e">
        <f t="shared" si="0"/>
        <v>#VALUE!</v>
      </c>
    </row>
    <row r="392" spans="1:5" ht="12.75" customHeight="1" x14ac:dyDescent="0.2">
      <c r="A392" s="3"/>
      <c r="B392" s="3" t="s">
        <v>2</v>
      </c>
      <c r="C392" s="3" t="s">
        <v>387</v>
      </c>
      <c r="D392" s="2"/>
      <c r="E392" s="2" t="e">
        <f t="shared" si="0"/>
        <v>#VALUE!</v>
      </c>
    </row>
    <row r="393" spans="1:5" ht="12.75" customHeight="1" x14ac:dyDescent="0.2">
      <c r="A393" s="3"/>
      <c r="B393" s="3" t="s">
        <v>9</v>
      </c>
      <c r="C393" s="3" t="s">
        <v>42</v>
      </c>
      <c r="D393" s="2"/>
      <c r="E393" s="2" t="e">
        <f t="shared" si="0"/>
        <v>#VALUE!</v>
      </c>
    </row>
    <row r="394" spans="1:5" ht="12.75" customHeight="1" x14ac:dyDescent="0.2">
      <c r="A394" s="3"/>
      <c r="B394" s="3" t="s">
        <v>11</v>
      </c>
      <c r="C394" s="3" t="s">
        <v>23</v>
      </c>
      <c r="D394" s="2"/>
      <c r="E394" s="2" t="e">
        <f t="shared" si="0"/>
        <v>#VALUE!</v>
      </c>
    </row>
    <row r="395" spans="1:5" ht="12.75" customHeight="1" x14ac:dyDescent="0.2">
      <c r="A395" s="3"/>
      <c r="B395" s="3" t="s">
        <v>16</v>
      </c>
      <c r="C395" s="3" t="s">
        <v>388</v>
      </c>
      <c r="D395" s="2"/>
      <c r="E395" s="2" t="e">
        <f t="shared" si="0"/>
        <v>#VALUE!</v>
      </c>
    </row>
    <row r="396" spans="1:5" ht="12.75" customHeight="1" x14ac:dyDescent="0.2">
      <c r="A396" s="3"/>
      <c r="B396" s="3" t="s">
        <v>18</v>
      </c>
      <c r="C396" s="4" t="s">
        <v>19</v>
      </c>
      <c r="D396" s="2"/>
      <c r="E396" s="2" t="e">
        <f t="shared" si="0"/>
        <v>#VALUE!</v>
      </c>
    </row>
    <row r="397" spans="1:5" ht="12.75" customHeight="1" x14ac:dyDescent="0.2">
      <c r="A397" s="1" t="str">
        <f>HYPERLINK("javascript:void(0)","agyagkalap")</f>
        <v>agyagkalap</v>
      </c>
      <c r="B397" s="1"/>
      <c r="C397" s="1"/>
      <c r="D397" s="2"/>
      <c r="E397" s="2" t="e">
        <f t="shared" si="0"/>
        <v>#VALUE!</v>
      </c>
    </row>
    <row r="398" spans="1:5" ht="12.75" customHeight="1" x14ac:dyDescent="0.2">
      <c r="A398" s="3"/>
      <c r="B398" s="3" t="s">
        <v>0</v>
      </c>
      <c r="C398" s="3" t="s">
        <v>21</v>
      </c>
      <c r="D398" s="2"/>
      <c r="E398" s="2" t="e">
        <f t="shared" si="0"/>
        <v>#VALUE!</v>
      </c>
    </row>
    <row r="399" spans="1:5" ht="12.75" customHeight="1" x14ac:dyDescent="0.2">
      <c r="A399" s="3"/>
      <c r="B399" s="3" t="s">
        <v>2</v>
      </c>
      <c r="C399" s="3" t="s">
        <v>458</v>
      </c>
      <c r="D399" s="2"/>
      <c r="E399" s="2" t="e">
        <f t="shared" si="0"/>
        <v>#VALUE!</v>
      </c>
    </row>
    <row r="400" spans="1:5" ht="12.75" customHeight="1" x14ac:dyDescent="0.2">
      <c r="A400" s="3"/>
      <c r="B400" s="3" t="s">
        <v>9</v>
      </c>
      <c r="C400" s="3" t="s">
        <v>22</v>
      </c>
      <c r="D400" s="2"/>
      <c r="E400" s="2" t="e">
        <f t="shared" si="0"/>
        <v>#VALUE!</v>
      </c>
    </row>
    <row r="401" spans="1:5" ht="12.75" customHeight="1" x14ac:dyDescent="0.2">
      <c r="A401" s="3"/>
      <c r="B401" s="3" t="s">
        <v>11</v>
      </c>
      <c r="C401" s="3" t="s">
        <v>162</v>
      </c>
      <c r="D401" s="2"/>
      <c r="E401" s="2" t="e">
        <f t="shared" si="0"/>
        <v>#VALUE!</v>
      </c>
    </row>
    <row r="402" spans="1:5" ht="12.75" customHeight="1" x14ac:dyDescent="0.2">
      <c r="A402" s="3"/>
      <c r="B402" s="3" t="s">
        <v>18</v>
      </c>
      <c r="C402" s="4" t="s">
        <v>19</v>
      </c>
      <c r="D402" s="2"/>
      <c r="E402" s="2" t="e">
        <f t="shared" si="0"/>
        <v>#VALUE!</v>
      </c>
    </row>
    <row r="403" spans="1:5" ht="12.75" customHeight="1" x14ac:dyDescent="0.2">
      <c r="A403" s="1" t="str">
        <f>HYPERLINK("javascript:void(0)","agyagszárny")</f>
        <v>agyagszárny</v>
      </c>
      <c r="B403" s="1"/>
      <c r="C403" s="1"/>
      <c r="D403" s="2"/>
      <c r="E403" s="2" t="e">
        <f t="shared" si="0"/>
        <v>#VALUE!</v>
      </c>
    </row>
    <row r="404" spans="1:5" ht="12.75" customHeight="1" x14ac:dyDescent="0.2">
      <c r="A404" s="3"/>
      <c r="B404" s="3" t="s">
        <v>0</v>
      </c>
      <c r="C404" s="3" t="s">
        <v>21</v>
      </c>
      <c r="D404" s="2"/>
      <c r="E404" s="2" t="e">
        <f t="shared" si="0"/>
        <v>#VALUE!</v>
      </c>
    </row>
    <row r="405" spans="1:5" ht="12.75" customHeight="1" x14ac:dyDescent="0.2">
      <c r="A405" s="3"/>
      <c r="B405" s="3" t="s">
        <v>2</v>
      </c>
      <c r="C405" s="3" t="s">
        <v>458</v>
      </c>
      <c r="D405" s="2"/>
      <c r="E405" s="2" t="e">
        <f t="shared" si="0"/>
        <v>#VALUE!</v>
      </c>
    </row>
    <row r="406" spans="1:5" ht="12.75" customHeight="1" x14ac:dyDescent="0.2">
      <c r="A406" s="3"/>
      <c r="B406" s="3" t="s">
        <v>9</v>
      </c>
      <c r="C406" s="3" t="s">
        <v>93</v>
      </c>
      <c r="D406" s="2"/>
      <c r="E406" s="2" t="e">
        <f t="shared" si="0"/>
        <v>#VALUE!</v>
      </c>
    </row>
    <row r="407" spans="1:5" ht="12.75" customHeight="1" x14ac:dyDescent="0.2">
      <c r="A407" s="3"/>
      <c r="B407" s="3" t="s">
        <v>11</v>
      </c>
      <c r="C407" s="3" t="s">
        <v>520</v>
      </c>
      <c r="D407" s="2"/>
      <c r="E407" s="2" t="e">
        <f t="shared" si="0"/>
        <v>#VALUE!</v>
      </c>
    </row>
    <row r="408" spans="1:5" ht="12.75" customHeight="1" x14ac:dyDescent="0.2">
      <c r="A408" s="3"/>
      <c r="B408" s="3" t="s">
        <v>18</v>
      </c>
      <c r="C408" s="4" t="s">
        <v>19</v>
      </c>
      <c r="D408" s="2"/>
      <c r="E408" s="2" t="e">
        <f t="shared" si="0"/>
        <v>#VALUE!</v>
      </c>
    </row>
    <row r="409" spans="1:5" ht="12.75" customHeight="1" x14ac:dyDescent="0.2">
      <c r="A409" s="1" t="str">
        <f>HYPERLINK("javascript:void(0)","agyar")</f>
        <v>agyar</v>
      </c>
      <c r="B409" s="1"/>
      <c r="C409" s="1"/>
      <c r="D409" s="2"/>
      <c r="E409" s="2" t="e">
        <f t="shared" si="0"/>
        <v>#VALUE!</v>
      </c>
    </row>
    <row r="410" spans="1:5" ht="12.75" customHeight="1" x14ac:dyDescent="0.2">
      <c r="A410" s="3"/>
      <c r="B410" s="3" t="s">
        <v>0</v>
      </c>
      <c r="C410" s="3" t="s">
        <v>21</v>
      </c>
      <c r="D410" s="2"/>
      <c r="E410" s="2" t="e">
        <f t="shared" si="0"/>
        <v>#VALUE!</v>
      </c>
    </row>
    <row r="411" spans="1:5" ht="12.75" customHeight="1" x14ac:dyDescent="0.2">
      <c r="A411" s="3"/>
      <c r="B411" s="3" t="s">
        <v>2</v>
      </c>
      <c r="C411" s="3" t="s">
        <v>458</v>
      </c>
      <c r="D411" s="2"/>
      <c r="E411" s="2" t="e">
        <f t="shared" si="0"/>
        <v>#VALUE!</v>
      </c>
    </row>
    <row r="412" spans="1:5" ht="12.75" customHeight="1" x14ac:dyDescent="0.2">
      <c r="A412" s="3"/>
      <c r="B412" s="3" t="s">
        <v>9</v>
      </c>
      <c r="C412" s="3" t="s">
        <v>75</v>
      </c>
      <c r="D412" s="2"/>
      <c r="E412" s="2" t="e">
        <f t="shared" si="0"/>
        <v>#VALUE!</v>
      </c>
    </row>
    <row r="413" spans="1:5" ht="12.75" customHeight="1" x14ac:dyDescent="0.2">
      <c r="A413" s="3"/>
      <c r="B413" s="3" t="s">
        <v>11</v>
      </c>
      <c r="C413" s="3" t="s">
        <v>525</v>
      </c>
      <c r="D413" s="2"/>
      <c r="E413" s="2" t="e">
        <f t="shared" si="0"/>
        <v>#VALUE!</v>
      </c>
    </row>
    <row r="414" spans="1:5" ht="12.75" customHeight="1" x14ac:dyDescent="0.2">
      <c r="A414" s="3"/>
      <c r="B414" s="3" t="s">
        <v>18</v>
      </c>
      <c r="C414" s="4" t="s">
        <v>19</v>
      </c>
      <c r="D414" s="2"/>
      <c r="E414" s="2" t="e">
        <f t="shared" si="0"/>
        <v>#VALUE!</v>
      </c>
    </row>
    <row r="415" spans="1:5" ht="12.75" customHeight="1" x14ac:dyDescent="0.2">
      <c r="A415" s="1" t="str">
        <f>HYPERLINK("javascript:void(0)","agydúc")</f>
        <v>agydúc</v>
      </c>
      <c r="B415" s="1"/>
      <c r="C415" s="1"/>
      <c r="D415" s="2"/>
      <c r="E415" s="2" t="e">
        <f t="shared" si="0"/>
        <v>#VALUE!</v>
      </c>
    </row>
    <row r="416" spans="1:5" ht="12.75" customHeight="1" x14ac:dyDescent="0.2">
      <c r="A416" s="3"/>
      <c r="B416" s="3" t="s">
        <v>0</v>
      </c>
      <c r="C416" s="3" t="s">
        <v>21</v>
      </c>
      <c r="D416" s="2"/>
      <c r="E416" s="2" t="e">
        <f t="shared" si="0"/>
        <v>#VALUE!</v>
      </c>
    </row>
    <row r="417" spans="1:5" ht="12.75" customHeight="1" x14ac:dyDescent="0.2">
      <c r="A417" s="3"/>
      <c r="B417" s="3" t="s">
        <v>2</v>
      </c>
      <c r="C417" s="3" t="s">
        <v>458</v>
      </c>
      <c r="D417" s="2"/>
      <c r="E417" s="2" t="e">
        <f t="shared" si="0"/>
        <v>#VALUE!</v>
      </c>
    </row>
    <row r="418" spans="1:5" ht="12.75" customHeight="1" x14ac:dyDescent="0.2">
      <c r="A418" s="3"/>
      <c r="B418" s="3" t="s">
        <v>9</v>
      </c>
      <c r="C418" s="3" t="s">
        <v>526</v>
      </c>
      <c r="D418" s="2"/>
      <c r="E418" s="2" t="e">
        <f t="shared" si="0"/>
        <v>#VALUE!</v>
      </c>
    </row>
    <row r="419" spans="1:5" ht="12.75" customHeight="1" x14ac:dyDescent="0.2">
      <c r="A419" s="3"/>
      <c r="B419" s="3" t="s">
        <v>11</v>
      </c>
      <c r="C419" s="3" t="s">
        <v>527</v>
      </c>
      <c r="D419" s="2"/>
      <c r="E419" s="2" t="e">
        <f t="shared" si="0"/>
        <v>#VALUE!</v>
      </c>
    </row>
    <row r="420" spans="1:5" ht="12.75" customHeight="1" x14ac:dyDescent="0.2">
      <c r="A420" s="3"/>
      <c r="B420" s="3" t="s">
        <v>18</v>
      </c>
      <c r="C420" s="4" t="s">
        <v>19</v>
      </c>
      <c r="D420" s="2"/>
      <c r="E420" s="2" t="e">
        <f t="shared" si="0"/>
        <v>#VALUE!</v>
      </c>
    </row>
    <row r="421" spans="1:5" ht="12.75" customHeight="1" x14ac:dyDescent="0.2">
      <c r="A421" s="1" t="str">
        <f>HYPERLINK("javascript:void(0)","agyvihar")</f>
        <v>agyvihar</v>
      </c>
      <c r="B421" s="1"/>
      <c r="C421" s="1"/>
      <c r="D421" s="2"/>
      <c r="E421" s="2" t="e">
        <f t="shared" si="0"/>
        <v>#VALUE!</v>
      </c>
    </row>
    <row r="422" spans="1:5" ht="12.75" customHeight="1" x14ac:dyDescent="0.2">
      <c r="A422" s="3"/>
      <c r="B422" s="3" t="s">
        <v>0</v>
      </c>
      <c r="C422" s="3" t="s">
        <v>21</v>
      </c>
      <c r="D422" s="2"/>
      <c r="E422" s="2" t="e">
        <f t="shared" si="0"/>
        <v>#VALUE!</v>
      </c>
    </row>
    <row r="423" spans="1:5" ht="12.75" customHeight="1" x14ac:dyDescent="0.2">
      <c r="A423" s="3"/>
      <c r="B423" s="3" t="s">
        <v>2</v>
      </c>
      <c r="C423" s="3" t="s">
        <v>458</v>
      </c>
      <c r="D423" s="2"/>
      <c r="E423" s="2" t="e">
        <f t="shared" si="0"/>
        <v>#VALUE!</v>
      </c>
    </row>
    <row r="424" spans="1:5" ht="12.75" customHeight="1" x14ac:dyDescent="0.2">
      <c r="A424" s="3"/>
      <c r="B424" s="3" t="s">
        <v>9</v>
      </c>
      <c r="C424" s="3" t="s">
        <v>22</v>
      </c>
      <c r="D424" s="2"/>
      <c r="E424" s="2" t="e">
        <f t="shared" si="0"/>
        <v>#VALUE!</v>
      </c>
    </row>
    <row r="425" spans="1:5" ht="12.75" customHeight="1" x14ac:dyDescent="0.2">
      <c r="A425" s="3"/>
      <c r="B425" s="3" t="s">
        <v>11</v>
      </c>
      <c r="C425" s="3" t="s">
        <v>529</v>
      </c>
      <c r="D425" s="2"/>
      <c r="E425" s="2" t="e">
        <f t="shared" si="0"/>
        <v>#VALUE!</v>
      </c>
    </row>
    <row r="426" spans="1:5" ht="12.75" customHeight="1" x14ac:dyDescent="0.2">
      <c r="A426" s="3"/>
      <c r="B426" s="3" t="s">
        <v>18</v>
      </c>
      <c r="C426" s="4" t="s">
        <v>19</v>
      </c>
      <c r="D426" s="2"/>
      <c r="E426" s="2" t="e">
        <f t="shared" si="0"/>
        <v>#VALUE!</v>
      </c>
    </row>
    <row r="427" spans="1:5" ht="12.75" customHeight="1" x14ac:dyDescent="0.2">
      <c r="A427" s="1" t="str">
        <f>HYPERLINK("javascript:void(0)","akasztó")</f>
        <v>akasztó</v>
      </c>
      <c r="B427" s="1"/>
      <c r="C427" s="1"/>
      <c r="D427" s="2"/>
      <c r="E427" s="2" t="e">
        <f t="shared" si="0"/>
        <v>#VALUE!</v>
      </c>
    </row>
    <row r="428" spans="1:5" ht="12.75" customHeight="1" x14ac:dyDescent="0.2">
      <c r="A428" s="3"/>
      <c r="B428" s="3" t="s">
        <v>0</v>
      </c>
      <c r="C428" s="3" t="s">
        <v>21</v>
      </c>
      <c r="D428" s="2"/>
      <c r="E428" s="2" t="e">
        <f t="shared" si="0"/>
        <v>#VALUE!</v>
      </c>
    </row>
    <row r="429" spans="1:5" ht="12.75" customHeight="1" x14ac:dyDescent="0.2">
      <c r="A429" s="3"/>
      <c r="B429" s="3" t="s">
        <v>2</v>
      </c>
      <c r="C429" s="3" t="s">
        <v>458</v>
      </c>
      <c r="D429" s="2"/>
      <c r="E429" s="2" t="e">
        <f t="shared" si="0"/>
        <v>#VALUE!</v>
      </c>
    </row>
    <row r="430" spans="1:5" ht="12.75" customHeight="1" x14ac:dyDescent="0.2">
      <c r="A430" s="3"/>
      <c r="B430" s="3" t="s">
        <v>9</v>
      </c>
      <c r="C430" s="3" t="s">
        <v>22</v>
      </c>
      <c r="D430" s="2"/>
      <c r="E430" s="2" t="e">
        <f t="shared" si="0"/>
        <v>#VALUE!</v>
      </c>
    </row>
    <row r="431" spans="1:5" ht="12.75" customHeight="1" x14ac:dyDescent="0.2">
      <c r="A431" s="3"/>
      <c r="B431" s="3" t="s">
        <v>11</v>
      </c>
      <c r="C431" s="3" t="s">
        <v>89</v>
      </c>
      <c r="D431" s="2"/>
      <c r="E431" s="2" t="e">
        <f t="shared" si="0"/>
        <v>#VALUE!</v>
      </c>
    </row>
    <row r="432" spans="1:5" ht="12.75" customHeight="1" x14ac:dyDescent="0.2">
      <c r="A432" s="3"/>
      <c r="B432" s="3" t="s">
        <v>18</v>
      </c>
      <c r="C432" s="4" t="s">
        <v>19</v>
      </c>
      <c r="D432" s="2"/>
      <c r="E432" s="2" t="e">
        <f t="shared" si="0"/>
        <v>#VALUE!</v>
      </c>
    </row>
    <row r="433" spans="1:5" ht="12.75" customHeight="1" x14ac:dyDescent="0.2">
      <c r="A433" s="1" t="str">
        <f>HYPERLINK("javascript:void(0)","akna")</f>
        <v>akna</v>
      </c>
      <c r="B433" s="1"/>
      <c r="C433" s="1"/>
      <c r="D433" s="2"/>
      <c r="E433" s="2" t="e">
        <f t="shared" si="0"/>
        <v>#VALUE!</v>
      </c>
    </row>
    <row r="434" spans="1:5" ht="12.75" customHeight="1" x14ac:dyDescent="0.2">
      <c r="A434" s="3"/>
      <c r="B434" s="3" t="s">
        <v>0</v>
      </c>
      <c r="C434" s="3" t="s">
        <v>21</v>
      </c>
      <c r="D434" s="2"/>
      <c r="E434" s="2" t="e">
        <f t="shared" si="0"/>
        <v>#VALUE!</v>
      </c>
    </row>
    <row r="435" spans="1:5" ht="12.75" customHeight="1" x14ac:dyDescent="0.2">
      <c r="A435" s="3"/>
      <c r="B435" s="3" t="s">
        <v>2</v>
      </c>
      <c r="C435" s="3" t="s">
        <v>458</v>
      </c>
      <c r="D435" s="2"/>
      <c r="E435" s="2" t="e">
        <f t="shared" si="0"/>
        <v>#VALUE!</v>
      </c>
    </row>
    <row r="436" spans="1:5" ht="12.75" customHeight="1" x14ac:dyDescent="0.2">
      <c r="A436" s="3"/>
      <c r="B436" s="3" t="s">
        <v>9</v>
      </c>
      <c r="C436" s="3" t="s">
        <v>22</v>
      </c>
      <c r="D436" s="2"/>
      <c r="E436" s="2" t="e">
        <f t="shared" si="0"/>
        <v>#VALUE!</v>
      </c>
    </row>
    <row r="437" spans="1:5" ht="12.75" customHeight="1" x14ac:dyDescent="0.2">
      <c r="A437" s="3"/>
      <c r="B437" s="3" t="s">
        <v>11</v>
      </c>
      <c r="C437" s="3" t="s">
        <v>301</v>
      </c>
      <c r="D437" s="2"/>
      <c r="E437" s="2" t="e">
        <f t="shared" si="0"/>
        <v>#VALUE!</v>
      </c>
    </row>
    <row r="438" spans="1:5" ht="12.75" customHeight="1" x14ac:dyDescent="0.2">
      <c r="A438" s="3"/>
      <c r="B438" s="3" t="s">
        <v>18</v>
      </c>
      <c r="C438" s="4" t="s">
        <v>19</v>
      </c>
      <c r="D438" s="2"/>
      <c r="E438" s="2" t="e">
        <f t="shared" si="0"/>
        <v>#VALUE!</v>
      </c>
    </row>
    <row r="439" spans="1:5" ht="12.75" customHeight="1" x14ac:dyDescent="0.2">
      <c r="A439" s="1" t="str">
        <f>HYPERLINK("javascript:void(0)","alakváltókő")</f>
        <v>alakváltókő</v>
      </c>
      <c r="B439" s="1"/>
      <c r="C439" s="1"/>
      <c r="D439" s="2"/>
      <c r="E439" s="2" t="e">
        <f t="shared" si="0"/>
        <v>#VALUE!</v>
      </c>
    </row>
    <row r="440" spans="1:5" ht="12.75" customHeight="1" x14ac:dyDescent="0.2">
      <c r="A440" s="3"/>
      <c r="B440" s="3" t="s">
        <v>0</v>
      </c>
      <c r="C440" s="3" t="s">
        <v>48</v>
      </c>
      <c r="D440" s="2"/>
      <c r="E440" s="2" t="e">
        <f t="shared" si="0"/>
        <v>#VALUE!</v>
      </c>
    </row>
    <row r="441" spans="1:5" ht="12.75" customHeight="1" x14ac:dyDescent="0.2">
      <c r="A441" s="3"/>
      <c r="B441" s="3" t="s">
        <v>2</v>
      </c>
      <c r="C441" s="3" t="s">
        <v>387</v>
      </c>
      <c r="D441" s="2"/>
      <c r="E441" s="2" t="e">
        <f t="shared" si="0"/>
        <v>#VALUE!</v>
      </c>
    </row>
    <row r="442" spans="1:5" ht="12.75" customHeight="1" x14ac:dyDescent="0.2">
      <c r="A442" s="3"/>
      <c r="B442" s="3" t="s">
        <v>9</v>
      </c>
      <c r="C442" s="3" t="s">
        <v>42</v>
      </c>
      <c r="D442" s="2"/>
      <c r="E442" s="2" t="e">
        <f t="shared" si="0"/>
        <v>#VALUE!</v>
      </c>
    </row>
    <row r="443" spans="1:5" ht="12.75" customHeight="1" x14ac:dyDescent="0.2">
      <c r="A443" s="3"/>
      <c r="B443" s="3" t="s">
        <v>11</v>
      </c>
      <c r="C443" s="3" t="s">
        <v>23</v>
      </c>
      <c r="D443" s="2"/>
      <c r="E443" s="2" t="e">
        <f t="shared" si="0"/>
        <v>#VALUE!</v>
      </c>
    </row>
    <row r="444" spans="1:5" ht="12.75" customHeight="1" x14ac:dyDescent="0.2">
      <c r="A444" s="3"/>
      <c r="B444" s="3" t="s">
        <v>16</v>
      </c>
      <c r="C444" s="3" t="s">
        <v>537</v>
      </c>
      <c r="D444" s="2"/>
      <c r="E444" s="2" t="e">
        <f t="shared" si="0"/>
        <v>#VALUE!</v>
      </c>
    </row>
    <row r="445" spans="1:5" ht="12.75" customHeight="1" x14ac:dyDescent="0.2">
      <c r="A445" s="3"/>
      <c r="B445" s="3" t="s">
        <v>18</v>
      </c>
      <c r="C445" s="4" t="s">
        <v>19</v>
      </c>
      <c r="D445" s="2"/>
      <c r="E445" s="2" t="e">
        <f t="shared" si="0"/>
        <v>#VALUE!</v>
      </c>
    </row>
    <row r="446" spans="1:5" ht="12.75" customHeight="1" x14ac:dyDescent="0.2">
      <c r="A446" s="1" t="str">
        <f>HYPERLINK("javascript:void(0)","alapfokú larkivizsga")</f>
        <v>alapfokú larkivizsga</v>
      </c>
      <c r="B446" s="1"/>
      <c r="C446" s="1"/>
      <c r="D446" s="2"/>
      <c r="E446" s="2" t="e">
        <f t="shared" si="0"/>
        <v>#VALUE!</v>
      </c>
    </row>
    <row r="447" spans="1:5" ht="12.75" customHeight="1" x14ac:dyDescent="0.2">
      <c r="A447" s="3"/>
      <c r="B447" s="3" t="s">
        <v>0</v>
      </c>
      <c r="C447" s="3" t="s">
        <v>21</v>
      </c>
      <c r="D447" s="2"/>
      <c r="E447" s="2" t="e">
        <f t="shared" si="0"/>
        <v>#VALUE!</v>
      </c>
    </row>
    <row r="448" spans="1:5" ht="12.75" customHeight="1" x14ac:dyDescent="0.2">
      <c r="A448" s="3"/>
      <c r="B448" s="3" t="s">
        <v>2</v>
      </c>
      <c r="C448" s="3" t="s">
        <v>387</v>
      </c>
      <c r="D448" s="2"/>
      <c r="E448" s="2" t="e">
        <f t="shared" si="0"/>
        <v>#VALUE!</v>
      </c>
    </row>
    <row r="449" spans="1:5" ht="12.75" customHeight="1" x14ac:dyDescent="0.2">
      <c r="A449" s="3"/>
      <c r="B449" s="3" t="s">
        <v>9</v>
      </c>
      <c r="C449" s="3" t="s">
        <v>53</v>
      </c>
      <c r="D449" s="2"/>
      <c r="E449" s="2" t="e">
        <f t="shared" si="0"/>
        <v>#VALUE!</v>
      </c>
    </row>
    <row r="450" spans="1:5" ht="12.75" customHeight="1" x14ac:dyDescent="0.2">
      <c r="A450" s="3"/>
      <c r="B450" s="3" t="s">
        <v>11</v>
      </c>
      <c r="C450" s="3" t="s">
        <v>23</v>
      </c>
      <c r="D450" s="2"/>
      <c r="E450" s="2" t="e">
        <f t="shared" si="0"/>
        <v>#VALUE!</v>
      </c>
    </row>
    <row r="451" spans="1:5" ht="12.75" customHeight="1" x14ac:dyDescent="0.2">
      <c r="A451" s="3"/>
      <c r="B451" s="3" t="s">
        <v>16</v>
      </c>
      <c r="C451" s="3" t="s">
        <v>388</v>
      </c>
      <c r="D451" s="2"/>
      <c r="E451" s="2" t="e">
        <f t="shared" si="0"/>
        <v>#VALUE!</v>
      </c>
    </row>
    <row r="452" spans="1:5" ht="12.75" customHeight="1" x14ac:dyDescent="0.2">
      <c r="A452" s="3"/>
      <c r="B452" s="3" t="s">
        <v>18</v>
      </c>
      <c r="C452" s="4" t="s">
        <v>19</v>
      </c>
      <c r="D452" s="2"/>
      <c r="E452" s="2" t="e">
        <f t="shared" si="0"/>
        <v>#VALUE!</v>
      </c>
    </row>
    <row r="453" spans="1:5" ht="12.75" customHeight="1" x14ac:dyDescent="0.2">
      <c r="A453" s="1" t="str">
        <f>HYPERLINK("javascript:void(0)","alapító oklevél")</f>
        <v>alapító oklevél</v>
      </c>
      <c r="B453" s="1"/>
      <c r="C453" s="1"/>
      <c r="D453" s="2"/>
      <c r="E453" s="2" t="e">
        <f t="shared" si="0"/>
        <v>#VALUE!</v>
      </c>
    </row>
    <row r="454" spans="1:5" ht="12.75" customHeight="1" x14ac:dyDescent="0.2">
      <c r="A454" s="3"/>
      <c r="B454" s="3" t="s">
        <v>0</v>
      </c>
      <c r="C454" s="3" t="s">
        <v>21</v>
      </c>
      <c r="D454" s="2"/>
      <c r="E454" s="2" t="e">
        <f t="shared" si="0"/>
        <v>#VALUE!</v>
      </c>
    </row>
    <row r="455" spans="1:5" ht="12.75" customHeight="1" x14ac:dyDescent="0.2">
      <c r="A455" s="3"/>
      <c r="B455" s="3" t="s">
        <v>2</v>
      </c>
      <c r="C455" s="3" t="s">
        <v>387</v>
      </c>
      <c r="D455" s="2"/>
      <c r="E455" s="2" t="e">
        <f t="shared" si="0"/>
        <v>#VALUE!</v>
      </c>
    </row>
    <row r="456" spans="1:5" ht="12.75" customHeight="1" x14ac:dyDescent="0.2">
      <c r="A456" s="3"/>
      <c r="B456" s="3" t="s">
        <v>9</v>
      </c>
      <c r="C456" s="3" t="s">
        <v>27</v>
      </c>
      <c r="D456" s="2"/>
      <c r="E456" s="2" t="e">
        <f t="shared" si="0"/>
        <v>#VALUE!</v>
      </c>
    </row>
    <row r="457" spans="1:5" ht="12.75" customHeight="1" x14ac:dyDescent="0.2">
      <c r="A457" s="3"/>
      <c r="B457" s="3" t="s">
        <v>11</v>
      </c>
      <c r="C457" s="3" t="s">
        <v>23</v>
      </c>
      <c r="D457" s="2"/>
      <c r="E457" s="2" t="e">
        <f t="shared" si="0"/>
        <v>#VALUE!</v>
      </c>
    </row>
    <row r="458" spans="1:5" ht="12.75" customHeight="1" x14ac:dyDescent="0.2">
      <c r="A458" s="3"/>
      <c r="B458" s="3" t="s">
        <v>16</v>
      </c>
      <c r="C458" s="3" t="s">
        <v>388</v>
      </c>
      <c r="D458" s="2"/>
      <c r="E458" s="2" t="e">
        <f t="shared" si="0"/>
        <v>#VALUE!</v>
      </c>
    </row>
    <row r="459" spans="1:5" ht="12.75" customHeight="1" x14ac:dyDescent="0.2">
      <c r="A459" s="3"/>
      <c r="B459" s="3" t="s">
        <v>18</v>
      </c>
      <c r="C459" s="4" t="s">
        <v>19</v>
      </c>
      <c r="D459" s="2"/>
      <c r="E459" s="2" t="e">
        <f t="shared" si="0"/>
        <v>#VALUE!</v>
      </c>
    </row>
    <row r="460" spans="1:5" ht="12.75" customHeight="1" x14ac:dyDescent="0.2">
      <c r="A460" s="1" t="str">
        <f>HYPERLINK("javascript:void(0)","alkutárgy")</f>
        <v>alkutárgy</v>
      </c>
      <c r="B460" s="1"/>
      <c r="C460" s="1"/>
      <c r="D460" s="2"/>
      <c r="E460" s="2" t="e">
        <f t="shared" si="0"/>
        <v>#VALUE!</v>
      </c>
    </row>
    <row r="461" spans="1:5" ht="12.75" customHeight="1" x14ac:dyDescent="0.2">
      <c r="A461" s="3"/>
      <c r="B461" s="3" t="s">
        <v>0</v>
      </c>
      <c r="C461" s="3" t="s">
        <v>21</v>
      </c>
      <c r="D461" s="2"/>
      <c r="E461" s="2" t="e">
        <f t="shared" si="0"/>
        <v>#VALUE!</v>
      </c>
    </row>
    <row r="462" spans="1:5" ht="12.75" customHeight="1" x14ac:dyDescent="0.2">
      <c r="A462" s="3"/>
      <c r="B462" s="3" t="s">
        <v>2</v>
      </c>
      <c r="C462" s="3" t="s">
        <v>458</v>
      </c>
      <c r="D462" s="2"/>
      <c r="E462" s="2" t="e">
        <f t="shared" si="0"/>
        <v>#VALUE!</v>
      </c>
    </row>
    <row r="463" spans="1:5" ht="12.75" customHeight="1" x14ac:dyDescent="0.2">
      <c r="A463" s="3"/>
      <c r="B463" s="3" t="s">
        <v>9</v>
      </c>
      <c r="C463" s="3" t="s">
        <v>22</v>
      </c>
      <c r="D463" s="2"/>
      <c r="E463" s="2" t="e">
        <f t="shared" si="0"/>
        <v>#VALUE!</v>
      </c>
    </row>
    <row r="464" spans="1:5" ht="12.75" customHeight="1" x14ac:dyDescent="0.2">
      <c r="A464" s="3"/>
      <c r="B464" s="3" t="s">
        <v>11</v>
      </c>
      <c r="C464" s="3" t="s">
        <v>162</v>
      </c>
      <c r="D464" s="2"/>
      <c r="E464" s="2" t="e">
        <f t="shared" si="0"/>
        <v>#VALUE!</v>
      </c>
    </row>
    <row r="465" spans="1:5" ht="12.75" customHeight="1" x14ac:dyDescent="0.2">
      <c r="A465" s="3"/>
      <c r="B465" s="3" t="s">
        <v>18</v>
      </c>
      <c r="C465" s="4" t="s">
        <v>19</v>
      </c>
      <c r="D465" s="2"/>
      <c r="E465" s="2" t="e">
        <f t="shared" si="0"/>
        <v>#VALUE!</v>
      </c>
    </row>
    <row r="466" spans="1:5" ht="12.75" customHeight="1" x14ac:dyDescent="0.2">
      <c r="A466" s="1" t="str">
        <f>HYPERLINK("javascript:void(0)","almacsutka")</f>
        <v>almacsutka</v>
      </c>
      <c r="B466" s="1"/>
      <c r="C466" s="1"/>
      <c r="D466" s="2"/>
      <c r="E466" s="2" t="e">
        <f t="shared" si="0"/>
        <v>#VALUE!</v>
      </c>
    </row>
    <row r="467" spans="1:5" ht="12.75" customHeight="1" x14ac:dyDescent="0.2">
      <c r="A467" s="3"/>
      <c r="B467" s="3" t="s">
        <v>0</v>
      </c>
      <c r="C467" s="3" t="s">
        <v>21</v>
      </c>
      <c r="D467" s="2"/>
      <c r="E467" s="2" t="e">
        <f t="shared" si="0"/>
        <v>#VALUE!</v>
      </c>
    </row>
    <row r="468" spans="1:5" ht="12.75" customHeight="1" x14ac:dyDescent="0.2">
      <c r="A468" s="3"/>
      <c r="B468" s="3" t="s">
        <v>2</v>
      </c>
      <c r="C468" s="3" t="s">
        <v>387</v>
      </c>
      <c r="D468" s="2"/>
      <c r="E468" s="2" t="e">
        <f t="shared" si="0"/>
        <v>#VALUE!</v>
      </c>
    </row>
    <row r="469" spans="1:5" ht="12.75" customHeight="1" x14ac:dyDescent="0.2">
      <c r="A469" s="3"/>
      <c r="B469" s="3" t="s">
        <v>9</v>
      </c>
      <c r="C469" s="3" t="s">
        <v>27</v>
      </c>
      <c r="D469" s="2"/>
      <c r="E469" s="2" t="e">
        <f t="shared" si="0"/>
        <v>#VALUE!</v>
      </c>
    </row>
    <row r="470" spans="1:5" ht="12.75" customHeight="1" x14ac:dyDescent="0.2">
      <c r="A470" s="3"/>
      <c r="B470" s="3" t="s">
        <v>11</v>
      </c>
      <c r="C470" s="3" t="s">
        <v>23</v>
      </c>
      <c r="D470" s="2"/>
      <c r="E470" s="2" t="e">
        <f t="shared" si="0"/>
        <v>#VALUE!</v>
      </c>
    </row>
    <row r="471" spans="1:5" ht="12.75" customHeight="1" x14ac:dyDescent="0.2">
      <c r="A471" s="3"/>
      <c r="B471" s="3" t="s">
        <v>16</v>
      </c>
      <c r="C471" s="3" t="s">
        <v>388</v>
      </c>
      <c r="D471" s="2"/>
      <c r="E471" s="2" t="e">
        <f t="shared" si="0"/>
        <v>#VALUE!</v>
      </c>
    </row>
    <row r="472" spans="1:5" ht="12.75" customHeight="1" x14ac:dyDescent="0.2">
      <c r="A472" s="3"/>
      <c r="B472" s="3" t="s">
        <v>18</v>
      </c>
      <c r="C472" s="4" t="s">
        <v>19</v>
      </c>
      <c r="D472" s="2"/>
      <c r="E472" s="2" t="e">
        <f t="shared" si="0"/>
        <v>#VALUE!</v>
      </c>
    </row>
    <row r="473" spans="1:5" ht="12.75" customHeight="1" x14ac:dyDescent="0.2">
      <c r="A473" s="1" t="str">
        <f>HYPERLINK("javascript:void(0)","angyalhaj")</f>
        <v>angyalhaj</v>
      </c>
      <c r="B473" s="1"/>
      <c r="C473" s="1"/>
      <c r="D473" s="2"/>
      <c r="E473" s="2" t="e">
        <f t="shared" si="0"/>
        <v>#VALUE!</v>
      </c>
    </row>
    <row r="474" spans="1:5" ht="12.75" customHeight="1" x14ac:dyDescent="0.2">
      <c r="A474" s="3"/>
      <c r="B474" s="3" t="s">
        <v>0</v>
      </c>
      <c r="C474" s="3" t="s">
        <v>21</v>
      </c>
      <c r="D474" s="2"/>
      <c r="E474" s="2" t="e">
        <f t="shared" si="0"/>
        <v>#VALUE!</v>
      </c>
    </row>
    <row r="475" spans="1:5" ht="12.75" customHeight="1" x14ac:dyDescent="0.2">
      <c r="A475" s="3"/>
      <c r="B475" s="3" t="s">
        <v>2</v>
      </c>
      <c r="C475" s="3" t="s">
        <v>458</v>
      </c>
      <c r="D475" s="2"/>
      <c r="E475" s="2" t="e">
        <f t="shared" si="0"/>
        <v>#VALUE!</v>
      </c>
    </row>
    <row r="476" spans="1:5" ht="12.75" customHeight="1" x14ac:dyDescent="0.2">
      <c r="A476" s="3"/>
      <c r="B476" s="3" t="s">
        <v>9</v>
      </c>
      <c r="C476" s="3" t="s">
        <v>513</v>
      </c>
      <c r="D476" s="2"/>
      <c r="E476" s="2" t="e">
        <f t="shared" si="0"/>
        <v>#VALUE!</v>
      </c>
    </row>
    <row r="477" spans="1:5" ht="12.75" customHeight="1" x14ac:dyDescent="0.2">
      <c r="A477" s="3"/>
      <c r="B477" s="3" t="s">
        <v>11</v>
      </c>
      <c r="C477" s="3" t="s">
        <v>209</v>
      </c>
      <c r="D477" s="2"/>
      <c r="E477" s="2" t="e">
        <f t="shared" si="0"/>
        <v>#VALUE!</v>
      </c>
    </row>
    <row r="478" spans="1:5" ht="12.75" customHeight="1" x14ac:dyDescent="0.2">
      <c r="A478" s="3"/>
      <c r="B478" s="3" t="s">
        <v>18</v>
      </c>
      <c r="C478" s="4" t="s">
        <v>19</v>
      </c>
      <c r="D478" s="2"/>
      <c r="E478" s="2" t="e">
        <f t="shared" si="0"/>
        <v>#VALUE!</v>
      </c>
    </row>
    <row r="479" spans="1:5" ht="12.75" customHeight="1" x14ac:dyDescent="0.2">
      <c r="A479" s="1" t="str">
        <f>HYPERLINK("javascript:void(0)","animált ige")</f>
        <v>animált ige</v>
      </c>
      <c r="B479" s="1"/>
      <c r="C479" s="1"/>
      <c r="D479" s="2"/>
      <c r="E479" s="2" t="e">
        <f t="shared" si="0"/>
        <v>#VALUE!</v>
      </c>
    </row>
    <row r="480" spans="1:5" ht="12.75" customHeight="1" x14ac:dyDescent="0.2">
      <c r="A480" s="3"/>
      <c r="B480" s="3" t="s">
        <v>0</v>
      </c>
      <c r="C480" s="3" t="s">
        <v>21</v>
      </c>
      <c r="D480" s="2"/>
      <c r="E480" s="2" t="e">
        <f t="shared" si="0"/>
        <v>#VALUE!</v>
      </c>
    </row>
    <row r="481" spans="1:5" ht="12.75" customHeight="1" x14ac:dyDescent="0.2">
      <c r="A481" s="3"/>
      <c r="B481" s="3" t="s">
        <v>2</v>
      </c>
      <c r="C481" s="3" t="s">
        <v>458</v>
      </c>
      <c r="D481" s="2"/>
      <c r="E481" s="2" t="e">
        <f t="shared" si="0"/>
        <v>#VALUE!</v>
      </c>
    </row>
    <row r="482" spans="1:5" ht="12.75" customHeight="1" x14ac:dyDescent="0.2">
      <c r="A482" s="3"/>
      <c r="B482" s="3" t="s">
        <v>9</v>
      </c>
      <c r="C482" s="3" t="s">
        <v>22</v>
      </c>
      <c r="D482" s="2"/>
      <c r="E482" s="2" t="e">
        <f t="shared" si="0"/>
        <v>#VALUE!</v>
      </c>
    </row>
    <row r="483" spans="1:5" ht="12.75" customHeight="1" x14ac:dyDescent="0.2">
      <c r="A483" s="3"/>
      <c r="B483" s="3" t="s">
        <v>11</v>
      </c>
      <c r="C483" s="3" t="s">
        <v>108</v>
      </c>
      <c r="D483" s="2"/>
      <c r="E483" s="2" t="e">
        <f t="shared" si="0"/>
        <v>#VALUE!</v>
      </c>
    </row>
    <row r="484" spans="1:5" ht="12.75" customHeight="1" x14ac:dyDescent="0.2">
      <c r="A484" s="3"/>
      <c r="B484" s="3" t="s">
        <v>18</v>
      </c>
      <c r="C484" s="4" t="s">
        <v>19</v>
      </c>
      <c r="D484" s="2"/>
      <c r="E484" s="2" t="e">
        <f t="shared" si="0"/>
        <v>#VALUE!</v>
      </c>
    </row>
    <row r="485" spans="1:5" ht="12.75" customHeight="1" x14ac:dyDescent="0.2">
      <c r="A485" s="1" t="str">
        <f>HYPERLINK("javascript:void(0)","animátum")</f>
        <v>animátum</v>
      </c>
      <c r="B485" s="1"/>
      <c r="C485" s="1"/>
      <c r="D485" s="2"/>
      <c r="E485" s="2" t="e">
        <f t="shared" si="0"/>
        <v>#VALUE!</v>
      </c>
    </row>
    <row r="486" spans="1:5" ht="12.75" customHeight="1" x14ac:dyDescent="0.2">
      <c r="A486" s="3"/>
      <c r="B486" s="3" t="s">
        <v>0</v>
      </c>
      <c r="C486" s="3" t="s">
        <v>21</v>
      </c>
      <c r="D486" s="2"/>
      <c r="E486" s="2" t="e">
        <f t="shared" si="0"/>
        <v>#VALUE!</v>
      </c>
    </row>
    <row r="487" spans="1:5" ht="12.75" customHeight="1" x14ac:dyDescent="0.2">
      <c r="A487" s="3"/>
      <c r="B487" s="3" t="s">
        <v>2</v>
      </c>
      <c r="C487" s="3" t="s">
        <v>458</v>
      </c>
      <c r="D487" s="2"/>
      <c r="E487" s="2" t="e">
        <f t="shared" si="0"/>
        <v>#VALUE!</v>
      </c>
    </row>
    <row r="488" spans="1:5" ht="12.75" customHeight="1" x14ac:dyDescent="0.2">
      <c r="A488" s="3"/>
      <c r="B488" s="3" t="s">
        <v>9</v>
      </c>
      <c r="C488" s="3" t="s">
        <v>129</v>
      </c>
      <c r="D488" s="2"/>
      <c r="E488" s="2" t="e">
        <f t="shared" si="0"/>
        <v>#VALUE!</v>
      </c>
    </row>
    <row r="489" spans="1:5" ht="12.75" customHeight="1" x14ac:dyDescent="0.2">
      <c r="A489" s="3"/>
      <c r="B489" s="3" t="s">
        <v>11</v>
      </c>
      <c r="C489" s="3" t="s">
        <v>551</v>
      </c>
      <c r="D489" s="2"/>
      <c r="E489" s="2" t="e">
        <f t="shared" si="0"/>
        <v>#VALUE!</v>
      </c>
    </row>
    <row r="490" spans="1:5" ht="12.75" customHeight="1" x14ac:dyDescent="0.2">
      <c r="A490" s="3"/>
      <c r="B490" s="3" t="s">
        <v>18</v>
      </c>
      <c r="C490" s="4" t="s">
        <v>19</v>
      </c>
      <c r="D490" s="2"/>
      <c r="E490" s="2" t="e">
        <f t="shared" si="0"/>
        <v>#VALUE!</v>
      </c>
    </row>
    <row r="491" spans="1:5" ht="12.75" customHeight="1" x14ac:dyDescent="0.2">
      <c r="A491" s="1" t="str">
        <f>HYPERLINK("javascript:void(0)","antiballaszt")</f>
        <v>antiballaszt</v>
      </c>
      <c r="B491" s="1"/>
      <c r="C491" s="1"/>
      <c r="D491" s="2"/>
      <c r="E491" s="2" t="e">
        <f t="shared" si="0"/>
        <v>#VALUE!</v>
      </c>
    </row>
    <row r="492" spans="1:5" ht="12.75" customHeight="1" x14ac:dyDescent="0.2">
      <c r="A492" s="3"/>
      <c r="B492" s="3" t="s">
        <v>0</v>
      </c>
      <c r="C492" s="3" t="s">
        <v>21</v>
      </c>
      <c r="D492" s="2"/>
      <c r="E492" s="2" t="e">
        <f t="shared" si="0"/>
        <v>#VALUE!</v>
      </c>
    </row>
    <row r="493" spans="1:5" ht="12.75" customHeight="1" x14ac:dyDescent="0.2">
      <c r="A493" s="3"/>
      <c r="B493" s="3" t="s">
        <v>2</v>
      </c>
      <c r="C493" s="3" t="s">
        <v>458</v>
      </c>
      <c r="D493" s="2"/>
      <c r="E493" s="2" t="e">
        <f t="shared" si="0"/>
        <v>#VALUE!</v>
      </c>
    </row>
    <row r="494" spans="1:5" ht="12.75" customHeight="1" x14ac:dyDescent="0.2">
      <c r="A494" s="3"/>
      <c r="B494" s="3" t="s">
        <v>9</v>
      </c>
      <c r="C494" s="3" t="s">
        <v>553</v>
      </c>
      <c r="D494" s="2"/>
      <c r="E494" s="2" t="e">
        <f t="shared" si="0"/>
        <v>#VALUE!</v>
      </c>
    </row>
    <row r="495" spans="1:5" ht="12.75" customHeight="1" x14ac:dyDescent="0.2">
      <c r="A495" s="3"/>
      <c r="B495" s="3" t="s">
        <v>11</v>
      </c>
      <c r="C495" s="3" t="s">
        <v>23</v>
      </c>
      <c r="D495" s="2"/>
      <c r="E495" s="2" t="e">
        <f t="shared" si="0"/>
        <v>#VALUE!</v>
      </c>
    </row>
    <row r="496" spans="1:5" ht="12.75" customHeight="1" x14ac:dyDescent="0.2">
      <c r="A496" s="3"/>
      <c r="B496" s="3" t="s">
        <v>18</v>
      </c>
      <c r="C496" s="4" t="s">
        <v>19</v>
      </c>
      <c r="D496" s="2"/>
      <c r="E496" s="2" t="e">
        <f t="shared" si="0"/>
        <v>#VALUE!</v>
      </c>
    </row>
    <row r="497" spans="1:5" ht="12.75" customHeight="1" x14ac:dyDescent="0.2">
      <c r="A497" s="1" t="str">
        <f>HYPERLINK("javascript:void(0)","antiige")</f>
        <v>antiige</v>
      </c>
      <c r="B497" s="1"/>
      <c r="C497" s="1"/>
      <c r="D497" s="2"/>
      <c r="E497" s="2" t="e">
        <f t="shared" si="0"/>
        <v>#VALUE!</v>
      </c>
    </row>
    <row r="498" spans="1:5" ht="12.75" customHeight="1" x14ac:dyDescent="0.2">
      <c r="A498" s="3"/>
      <c r="B498" s="3" t="s">
        <v>0</v>
      </c>
      <c r="C498" s="3" t="s">
        <v>21</v>
      </c>
      <c r="D498" s="2"/>
      <c r="E498" s="2" t="e">
        <f t="shared" si="0"/>
        <v>#VALUE!</v>
      </c>
    </row>
    <row r="499" spans="1:5" ht="12.75" customHeight="1" x14ac:dyDescent="0.2">
      <c r="A499" s="3"/>
      <c r="B499" s="3" t="s">
        <v>2</v>
      </c>
      <c r="C499" s="3" t="s">
        <v>458</v>
      </c>
      <c r="D499" s="2"/>
      <c r="E499" s="2" t="e">
        <f t="shared" si="0"/>
        <v>#VALUE!</v>
      </c>
    </row>
    <row r="500" spans="1:5" ht="12.75" customHeight="1" x14ac:dyDescent="0.2">
      <c r="A500" s="3"/>
      <c r="B500" s="3" t="s">
        <v>9</v>
      </c>
      <c r="C500" s="3" t="s">
        <v>42</v>
      </c>
      <c r="D500" s="2"/>
      <c r="E500" s="2" t="e">
        <f t="shared" si="0"/>
        <v>#VALUE!</v>
      </c>
    </row>
    <row r="501" spans="1:5" ht="12.75" customHeight="1" x14ac:dyDescent="0.2">
      <c r="A501" s="3"/>
      <c r="B501" s="3" t="s">
        <v>11</v>
      </c>
      <c r="C501" s="3" t="s">
        <v>535</v>
      </c>
      <c r="D501" s="2"/>
      <c r="E501" s="2" t="e">
        <f t="shared" si="0"/>
        <v>#VALUE!</v>
      </c>
    </row>
    <row r="502" spans="1:5" ht="12.75" customHeight="1" x14ac:dyDescent="0.2">
      <c r="A502" s="3"/>
      <c r="B502" s="3" t="s">
        <v>18</v>
      </c>
      <c r="C502" s="4" t="s">
        <v>19</v>
      </c>
      <c r="D502" s="2"/>
      <c r="E502" s="2" t="e">
        <f t="shared" si="0"/>
        <v>#VALUE!</v>
      </c>
    </row>
    <row r="503" spans="1:5" ht="12.75" customHeight="1" x14ac:dyDescent="0.2">
      <c r="A503" s="1" t="str">
        <f>HYPERLINK("javascript:void(0)","antipatkó")</f>
        <v>antipatkó</v>
      </c>
      <c r="B503" s="1"/>
      <c r="C503" s="1"/>
      <c r="D503" s="2"/>
      <c r="E503" s="2" t="e">
        <f t="shared" si="0"/>
        <v>#VALUE!</v>
      </c>
    </row>
    <row r="504" spans="1:5" ht="12.75" customHeight="1" x14ac:dyDescent="0.2">
      <c r="A504" s="3"/>
      <c r="B504" s="3" t="s">
        <v>0</v>
      </c>
      <c r="C504" s="3" t="s">
        <v>21</v>
      </c>
      <c r="D504" s="2"/>
      <c r="E504" s="2" t="e">
        <f t="shared" si="0"/>
        <v>#VALUE!</v>
      </c>
    </row>
    <row r="505" spans="1:5" ht="12.75" customHeight="1" x14ac:dyDescent="0.2">
      <c r="A505" s="3"/>
      <c r="B505" s="3" t="s">
        <v>2</v>
      </c>
      <c r="C505" s="3" t="s">
        <v>458</v>
      </c>
      <c r="D505" s="2"/>
      <c r="E505" s="2" t="e">
        <f t="shared" si="0"/>
        <v>#VALUE!</v>
      </c>
    </row>
    <row r="506" spans="1:5" ht="12.75" customHeight="1" x14ac:dyDescent="0.2">
      <c r="A506" s="3"/>
      <c r="B506" s="3" t="s">
        <v>9</v>
      </c>
      <c r="C506" s="3" t="s">
        <v>22</v>
      </c>
      <c r="D506" s="2"/>
      <c r="E506" s="2" t="e">
        <f t="shared" si="0"/>
        <v>#VALUE!</v>
      </c>
    </row>
    <row r="507" spans="1:5" ht="12.75" customHeight="1" x14ac:dyDescent="0.2">
      <c r="A507" s="3"/>
      <c r="B507" s="3" t="s">
        <v>11</v>
      </c>
      <c r="C507" s="3" t="s">
        <v>535</v>
      </c>
      <c r="D507" s="2"/>
      <c r="E507" s="2" t="e">
        <f t="shared" si="0"/>
        <v>#VALUE!</v>
      </c>
    </row>
    <row r="508" spans="1:5" ht="12.75" customHeight="1" x14ac:dyDescent="0.2">
      <c r="A508" s="3"/>
      <c r="B508" s="3" t="s">
        <v>18</v>
      </c>
      <c r="C508" s="4" t="s">
        <v>19</v>
      </c>
      <c r="D508" s="2"/>
      <c r="E508" s="2" t="e">
        <f t="shared" si="0"/>
        <v>#VALUE!</v>
      </c>
    </row>
    <row r="509" spans="1:5" ht="12.75" customHeight="1" x14ac:dyDescent="0.2">
      <c r="A509" s="1" t="str">
        <f>HYPERLINK("javascript:void(0)","aqua dei")</f>
        <v>aqua dei</v>
      </c>
      <c r="B509" s="1"/>
      <c r="C509" s="1"/>
      <c r="D509" s="2"/>
      <c r="E509" s="2" t="e">
        <f t="shared" si="0"/>
        <v>#VALUE!</v>
      </c>
    </row>
    <row r="510" spans="1:5" ht="12.75" customHeight="1" x14ac:dyDescent="0.2">
      <c r="A510" s="3"/>
      <c r="B510" s="3" t="s">
        <v>0</v>
      </c>
      <c r="C510" s="3" t="s">
        <v>21</v>
      </c>
      <c r="D510" s="2"/>
      <c r="E510" s="2" t="e">
        <f t="shared" si="0"/>
        <v>#VALUE!</v>
      </c>
    </row>
    <row r="511" spans="1:5" ht="12.75" customHeight="1" x14ac:dyDescent="0.2">
      <c r="A511" s="3"/>
      <c r="B511" s="3" t="s">
        <v>2</v>
      </c>
      <c r="C511" s="3" t="s">
        <v>557</v>
      </c>
      <c r="D511" s="2"/>
      <c r="E511" s="2" t="e">
        <f t="shared" si="0"/>
        <v>#VALUE!</v>
      </c>
    </row>
    <row r="512" spans="1:5" ht="12.75" customHeight="1" x14ac:dyDescent="0.2">
      <c r="A512" s="3"/>
      <c r="B512" s="3" t="s">
        <v>9</v>
      </c>
      <c r="C512" s="3" t="s">
        <v>513</v>
      </c>
      <c r="D512" s="2"/>
      <c r="E512" s="2" t="e">
        <f t="shared" si="0"/>
        <v>#VALUE!</v>
      </c>
    </row>
    <row r="513" spans="1:5" ht="12.75" customHeight="1" x14ac:dyDescent="0.2">
      <c r="A513" s="3"/>
      <c r="B513" s="3" t="s">
        <v>11</v>
      </c>
      <c r="C513" s="3" t="s">
        <v>507</v>
      </c>
      <c r="D513" s="2"/>
      <c r="E513" s="2" t="e">
        <f t="shared" si="0"/>
        <v>#VALUE!</v>
      </c>
    </row>
    <row r="514" spans="1:5" ht="12.75" customHeight="1" x14ac:dyDescent="0.2">
      <c r="A514" s="3"/>
      <c r="B514" s="3" t="s">
        <v>18</v>
      </c>
      <c r="C514" s="4" t="s">
        <v>19</v>
      </c>
      <c r="D514" s="2"/>
      <c r="E514" s="2" t="e">
        <f t="shared" si="0"/>
        <v>#VALUE!</v>
      </c>
    </row>
    <row r="515" spans="1:5" ht="12.75" customHeight="1" x14ac:dyDescent="0.2">
      <c r="A515" s="1" t="str">
        <f>HYPERLINK("javascript:void(0)","aquaakta")</f>
        <v>aquaakta</v>
      </c>
      <c r="B515" s="1"/>
      <c r="C515" s="1"/>
      <c r="D515" s="2"/>
      <c r="E515" s="2" t="e">
        <f t="shared" si="0"/>
        <v>#VALUE!</v>
      </c>
    </row>
    <row r="516" spans="1:5" ht="12.75" customHeight="1" x14ac:dyDescent="0.2">
      <c r="A516" s="3"/>
      <c r="B516" s="3" t="s">
        <v>0</v>
      </c>
      <c r="C516" s="3" t="s">
        <v>21</v>
      </c>
      <c r="D516" s="2"/>
      <c r="E516" s="2" t="e">
        <f t="shared" si="0"/>
        <v>#VALUE!</v>
      </c>
    </row>
    <row r="517" spans="1:5" ht="12.75" customHeight="1" x14ac:dyDescent="0.2">
      <c r="A517" s="3"/>
      <c r="B517" s="3" t="s">
        <v>2</v>
      </c>
      <c r="C517" s="3" t="s">
        <v>458</v>
      </c>
      <c r="D517" s="2"/>
      <c r="E517" s="2" t="e">
        <f t="shared" si="0"/>
        <v>#VALUE!</v>
      </c>
    </row>
    <row r="518" spans="1:5" ht="12.75" customHeight="1" x14ac:dyDescent="0.2">
      <c r="A518" s="3"/>
      <c r="B518" s="3" t="s">
        <v>9</v>
      </c>
      <c r="C518" s="3" t="s">
        <v>10</v>
      </c>
      <c r="D518" s="2"/>
      <c r="E518" s="2" t="e">
        <f t="shared" si="0"/>
        <v>#VALUE!</v>
      </c>
    </row>
    <row r="519" spans="1:5" ht="12.75" customHeight="1" x14ac:dyDescent="0.2">
      <c r="A519" s="3"/>
      <c r="B519" s="3" t="s">
        <v>11</v>
      </c>
      <c r="C519" s="3" t="s">
        <v>561</v>
      </c>
      <c r="D519" s="2"/>
      <c r="E519" s="2" t="e">
        <f t="shared" si="0"/>
        <v>#VALUE!</v>
      </c>
    </row>
    <row r="520" spans="1:5" ht="12.75" customHeight="1" x14ac:dyDescent="0.2">
      <c r="A520" s="3"/>
      <c r="B520" s="3" t="s">
        <v>18</v>
      </c>
      <c r="C520" s="4" t="s">
        <v>19</v>
      </c>
      <c r="D520" s="2"/>
      <c r="E520" s="2" t="e">
        <f t="shared" si="0"/>
        <v>#VALUE!</v>
      </c>
    </row>
    <row r="521" spans="1:5" ht="12.75" customHeight="1" x14ac:dyDescent="0.2">
      <c r="A521" s="1" t="str">
        <f>HYPERLINK("javascript:void(0)","arany")</f>
        <v>arany</v>
      </c>
      <c r="B521" s="1"/>
      <c r="C521" s="1"/>
      <c r="D521" s="2"/>
      <c r="E521" s="2" t="e">
        <f t="shared" si="0"/>
        <v>#VALUE!</v>
      </c>
    </row>
    <row r="522" spans="1:5" ht="12.75" customHeight="1" x14ac:dyDescent="0.2">
      <c r="A522" s="3"/>
      <c r="B522" s="3" t="s">
        <v>0</v>
      </c>
      <c r="C522" s="3" t="s">
        <v>21</v>
      </c>
      <c r="D522" s="2"/>
      <c r="E522" s="2" t="e">
        <f t="shared" si="0"/>
        <v>#VALUE!</v>
      </c>
    </row>
    <row r="523" spans="1:5" ht="12.75" customHeight="1" x14ac:dyDescent="0.2">
      <c r="A523" s="3"/>
      <c r="B523" s="3" t="s">
        <v>2</v>
      </c>
      <c r="C523" s="3" t="s">
        <v>564</v>
      </c>
      <c r="D523" s="2"/>
      <c r="E523" s="2" t="e">
        <f t="shared" si="0"/>
        <v>#VALUE!</v>
      </c>
    </row>
    <row r="524" spans="1:5" ht="12.75" customHeight="1" x14ac:dyDescent="0.2">
      <c r="A524" s="3"/>
      <c r="B524" s="3" t="s">
        <v>9</v>
      </c>
      <c r="C524" s="3" t="s">
        <v>565</v>
      </c>
      <c r="D524" s="2"/>
      <c r="E524" s="2" t="e">
        <f t="shared" si="0"/>
        <v>#VALUE!</v>
      </c>
    </row>
    <row r="525" spans="1:5" ht="12.75" customHeight="1" x14ac:dyDescent="0.2">
      <c r="A525" s="3"/>
      <c r="B525" s="3" t="s">
        <v>11</v>
      </c>
      <c r="C525" s="3" t="s">
        <v>567</v>
      </c>
      <c r="D525" s="2"/>
      <c r="E525" s="2" t="e">
        <f t="shared" si="0"/>
        <v>#VALUE!</v>
      </c>
    </row>
    <row r="526" spans="1:5" ht="12.75" customHeight="1" x14ac:dyDescent="0.2">
      <c r="A526" s="3"/>
      <c r="B526" s="3" t="s">
        <v>18</v>
      </c>
      <c r="C526" s="4" t="s">
        <v>19</v>
      </c>
      <c r="D526" s="2"/>
      <c r="E526" s="2" t="e">
        <f t="shared" si="0"/>
        <v>#VALUE!</v>
      </c>
    </row>
    <row r="527" spans="1:5" ht="12.75" customHeight="1" x14ac:dyDescent="0.2">
      <c r="A527" s="1" t="str">
        <f>HYPERLINK("javascript:void(0)","aranyfog")</f>
        <v>aranyfog</v>
      </c>
      <c r="B527" s="1"/>
      <c r="C527" s="1"/>
      <c r="D527" s="2"/>
      <c r="E527" s="2" t="e">
        <f t="shared" si="0"/>
        <v>#VALUE!</v>
      </c>
    </row>
    <row r="528" spans="1:5" ht="12.75" customHeight="1" x14ac:dyDescent="0.2">
      <c r="A528" s="3"/>
      <c r="B528" s="3" t="s">
        <v>0</v>
      </c>
      <c r="C528" s="3" t="s">
        <v>21</v>
      </c>
      <c r="D528" s="2"/>
      <c r="E528" s="2" t="e">
        <f t="shared" si="0"/>
        <v>#VALUE!</v>
      </c>
    </row>
    <row r="529" spans="1:5" ht="12.75" customHeight="1" x14ac:dyDescent="0.2">
      <c r="A529" s="3"/>
      <c r="B529" s="3" t="s">
        <v>2</v>
      </c>
      <c r="C529" s="3" t="s">
        <v>387</v>
      </c>
      <c r="D529" s="2"/>
      <c r="E529" s="2" t="e">
        <f t="shared" si="0"/>
        <v>#VALUE!</v>
      </c>
    </row>
    <row r="530" spans="1:5" ht="12.75" customHeight="1" x14ac:dyDescent="0.2">
      <c r="A530" s="3"/>
      <c r="B530" s="3" t="s">
        <v>9</v>
      </c>
      <c r="C530" s="3" t="s">
        <v>513</v>
      </c>
      <c r="D530" s="2"/>
      <c r="E530" s="2" t="e">
        <f t="shared" si="0"/>
        <v>#VALUE!</v>
      </c>
    </row>
    <row r="531" spans="1:5" ht="12.75" customHeight="1" x14ac:dyDescent="0.2">
      <c r="A531" s="3"/>
      <c r="B531" s="3" t="s">
        <v>11</v>
      </c>
      <c r="C531" s="3" t="s">
        <v>23</v>
      </c>
      <c r="D531" s="2"/>
      <c r="E531" s="2" t="e">
        <f t="shared" si="0"/>
        <v>#VALUE!</v>
      </c>
    </row>
    <row r="532" spans="1:5" ht="12.75" customHeight="1" x14ac:dyDescent="0.2">
      <c r="A532" s="3"/>
      <c r="B532" s="3" t="s">
        <v>16</v>
      </c>
      <c r="C532" s="3" t="s">
        <v>388</v>
      </c>
      <c r="D532" s="2"/>
      <c r="E532" s="2" t="e">
        <f t="shared" si="0"/>
        <v>#VALUE!</v>
      </c>
    </row>
    <row r="533" spans="1:5" ht="12.75" customHeight="1" x14ac:dyDescent="0.2">
      <c r="A533" s="3"/>
      <c r="B533" s="3" t="s">
        <v>18</v>
      </c>
      <c r="C533" s="4" t="s">
        <v>19</v>
      </c>
      <c r="D533" s="2"/>
      <c r="E533" s="2" t="e">
        <f t="shared" si="0"/>
        <v>#VALUE!</v>
      </c>
    </row>
    <row r="534" spans="1:5" ht="12.75" customHeight="1" x14ac:dyDescent="0.2">
      <c r="A534" s="1" t="str">
        <f>HYPERLINK("javascript:void(0)","aranyköröm")</f>
        <v>aranyköröm</v>
      </c>
      <c r="B534" s="1"/>
      <c r="C534" s="1"/>
      <c r="D534" s="2"/>
      <c r="E534" s="2" t="e">
        <f t="shared" si="0"/>
        <v>#VALUE!</v>
      </c>
    </row>
    <row r="535" spans="1:5" ht="12.75" customHeight="1" x14ac:dyDescent="0.2">
      <c r="A535" s="3"/>
      <c r="B535" s="3" t="s">
        <v>0</v>
      </c>
      <c r="C535" s="3" t="s">
        <v>21</v>
      </c>
      <c r="D535" s="2"/>
      <c r="E535" s="2" t="e">
        <f t="shared" si="0"/>
        <v>#VALUE!</v>
      </c>
    </row>
    <row r="536" spans="1:5" ht="12.75" customHeight="1" x14ac:dyDescent="0.2">
      <c r="A536" s="3"/>
      <c r="B536" s="3" t="s">
        <v>2</v>
      </c>
      <c r="C536" s="3" t="s">
        <v>387</v>
      </c>
      <c r="D536" s="2"/>
      <c r="E536" s="2" t="e">
        <f t="shared" si="0"/>
        <v>#VALUE!</v>
      </c>
    </row>
    <row r="537" spans="1:5" ht="12.75" customHeight="1" x14ac:dyDescent="0.2">
      <c r="A537" s="3"/>
      <c r="B537" s="3" t="s">
        <v>9</v>
      </c>
      <c r="C537" s="3" t="s">
        <v>10</v>
      </c>
      <c r="D537" s="2"/>
      <c r="E537" s="2" t="e">
        <f t="shared" si="0"/>
        <v>#VALUE!</v>
      </c>
    </row>
    <row r="538" spans="1:5" ht="12.75" customHeight="1" x14ac:dyDescent="0.2">
      <c r="A538" s="3"/>
      <c r="B538" s="3" t="s">
        <v>11</v>
      </c>
      <c r="C538" s="3" t="s">
        <v>23</v>
      </c>
      <c r="D538" s="2"/>
      <c r="E538" s="2" t="e">
        <f t="shared" si="0"/>
        <v>#VALUE!</v>
      </c>
    </row>
    <row r="539" spans="1:5" ht="12.75" customHeight="1" x14ac:dyDescent="0.2">
      <c r="A539" s="3"/>
      <c r="B539" s="3" t="s">
        <v>16</v>
      </c>
      <c r="C539" s="3" t="s">
        <v>388</v>
      </c>
      <c r="D539" s="2"/>
      <c r="E539" s="2" t="e">
        <f t="shared" si="0"/>
        <v>#VALUE!</v>
      </c>
    </row>
    <row r="540" spans="1:5" ht="12.75" customHeight="1" x14ac:dyDescent="0.2">
      <c r="A540" s="3"/>
      <c r="B540" s="3" t="s">
        <v>18</v>
      </c>
      <c r="C540" s="4" t="s">
        <v>19</v>
      </c>
      <c r="D540" s="2"/>
      <c r="E540" s="2" t="e">
        <f t="shared" si="0"/>
        <v>#VALUE!</v>
      </c>
    </row>
    <row r="541" spans="1:5" ht="12.75" customHeight="1" x14ac:dyDescent="0.2">
      <c r="A541" s="1" t="str">
        <f>HYPERLINK("javascript:void(0)","aranypikkely")</f>
        <v>aranypikkely</v>
      </c>
      <c r="B541" s="1"/>
      <c r="C541" s="1"/>
      <c r="D541" s="2"/>
      <c r="E541" s="2" t="e">
        <f t="shared" si="0"/>
        <v>#VALUE!</v>
      </c>
    </row>
    <row r="542" spans="1:5" ht="12.75" customHeight="1" x14ac:dyDescent="0.2">
      <c r="A542" s="3"/>
      <c r="B542" s="3" t="s">
        <v>0</v>
      </c>
      <c r="C542" s="3" t="s">
        <v>21</v>
      </c>
      <c r="D542" s="2"/>
      <c r="E542" s="2" t="e">
        <f t="shared" si="0"/>
        <v>#VALUE!</v>
      </c>
    </row>
    <row r="543" spans="1:5" ht="12.75" customHeight="1" x14ac:dyDescent="0.2">
      <c r="A543" s="3"/>
      <c r="B543" s="3" t="s">
        <v>2</v>
      </c>
      <c r="C543" s="3" t="s">
        <v>458</v>
      </c>
      <c r="D543" s="2"/>
      <c r="E543" s="2" t="e">
        <f t="shared" si="0"/>
        <v>#VALUE!</v>
      </c>
    </row>
    <row r="544" spans="1:5" ht="12.75" customHeight="1" x14ac:dyDescent="0.2">
      <c r="A544" s="3"/>
      <c r="B544" s="3" t="s">
        <v>9</v>
      </c>
      <c r="C544" s="3" t="s">
        <v>22</v>
      </c>
      <c r="D544" s="2"/>
      <c r="E544" s="2" t="e">
        <f t="shared" si="0"/>
        <v>#VALUE!</v>
      </c>
    </row>
    <row r="545" spans="1:5" ht="12.75" customHeight="1" x14ac:dyDescent="0.2">
      <c r="A545" s="3"/>
      <c r="B545" s="3" t="s">
        <v>11</v>
      </c>
      <c r="C545" s="3" t="s">
        <v>23</v>
      </c>
      <c r="D545" s="2"/>
      <c r="E545" s="2" t="e">
        <f t="shared" si="0"/>
        <v>#VALUE!</v>
      </c>
    </row>
    <row r="546" spans="1:5" ht="12.75" customHeight="1" x14ac:dyDescent="0.2">
      <c r="A546" s="3"/>
      <c r="B546" s="3" t="s">
        <v>16</v>
      </c>
      <c r="C546" s="3" t="s">
        <v>574</v>
      </c>
      <c r="D546" s="2"/>
      <c r="E546" s="2" t="e">
        <f t="shared" si="0"/>
        <v>#VALUE!</v>
      </c>
    </row>
    <row r="547" spans="1:5" ht="12.75" customHeight="1" x14ac:dyDescent="0.2">
      <c r="A547" s="3"/>
      <c r="B547" s="3" t="s">
        <v>18</v>
      </c>
      <c r="C547" s="4" t="s">
        <v>19</v>
      </c>
      <c r="D547" s="2"/>
      <c r="E547" s="2" t="e">
        <f t="shared" si="0"/>
        <v>#VALUE!</v>
      </c>
    </row>
    <row r="548" spans="1:5" ht="12.75" customHeight="1" x14ac:dyDescent="0.2">
      <c r="A548" s="1" t="str">
        <f>HYPERLINK("javascript:void(0)","aranyzsanér")</f>
        <v>aranyzsanér</v>
      </c>
      <c r="B548" s="1"/>
      <c r="C548" s="1"/>
      <c r="D548" s="2"/>
      <c r="E548" s="2" t="e">
        <f t="shared" si="0"/>
        <v>#VALUE!</v>
      </c>
    </row>
    <row r="549" spans="1:5" ht="12.75" customHeight="1" x14ac:dyDescent="0.2">
      <c r="A549" s="3"/>
      <c r="B549" s="3" t="s">
        <v>0</v>
      </c>
      <c r="C549" s="3" t="s">
        <v>21</v>
      </c>
      <c r="D549" s="2"/>
      <c r="E549" s="2" t="e">
        <f t="shared" si="0"/>
        <v>#VALUE!</v>
      </c>
    </row>
    <row r="550" spans="1:5" ht="12.75" customHeight="1" x14ac:dyDescent="0.2">
      <c r="A550" s="3"/>
      <c r="B550" s="3" t="s">
        <v>2</v>
      </c>
      <c r="C550" s="3" t="s">
        <v>458</v>
      </c>
      <c r="D550" s="2"/>
      <c r="E550" s="2" t="e">
        <f t="shared" si="0"/>
        <v>#VALUE!</v>
      </c>
    </row>
    <row r="551" spans="1:5" ht="12.75" customHeight="1" x14ac:dyDescent="0.2">
      <c r="A551" s="3"/>
      <c r="B551" s="3" t="s">
        <v>9</v>
      </c>
      <c r="C551" s="3" t="s">
        <v>10</v>
      </c>
      <c r="D551" s="2"/>
      <c r="E551" s="2" t="e">
        <f t="shared" si="0"/>
        <v>#VALUE!</v>
      </c>
    </row>
    <row r="552" spans="1:5" ht="12.75" customHeight="1" x14ac:dyDescent="0.2">
      <c r="A552" s="3"/>
      <c r="B552" s="3" t="s">
        <v>11</v>
      </c>
      <c r="C552" s="3" t="s">
        <v>577</v>
      </c>
      <c r="D552" s="2"/>
      <c r="E552" s="2" t="e">
        <f t="shared" si="0"/>
        <v>#VALUE!</v>
      </c>
    </row>
    <row r="553" spans="1:5" ht="12.75" customHeight="1" x14ac:dyDescent="0.2">
      <c r="A553" s="3"/>
      <c r="B553" s="3" t="s">
        <v>18</v>
      </c>
      <c r="C553" s="4" t="s">
        <v>19</v>
      </c>
      <c r="D553" s="2"/>
      <c r="E553" s="2" t="e">
        <f t="shared" si="0"/>
        <v>#VALUE!</v>
      </c>
    </row>
    <row r="554" spans="1:5" ht="12.75" customHeight="1" x14ac:dyDescent="0.2">
      <c r="A554" s="1" t="str">
        <f>HYPERLINK("javascript:void(0)","aszályige")</f>
        <v>aszályige</v>
      </c>
      <c r="B554" s="1"/>
      <c r="C554" s="1"/>
      <c r="D554" s="2"/>
      <c r="E554" s="2" t="e">
        <f t="shared" si="0"/>
        <v>#VALUE!</v>
      </c>
    </row>
    <row r="555" spans="1:5" ht="12.75" customHeight="1" x14ac:dyDescent="0.2">
      <c r="A555" s="3"/>
      <c r="B555" s="3" t="s">
        <v>0</v>
      </c>
      <c r="C555" s="3" t="s">
        <v>21</v>
      </c>
      <c r="D555" s="2"/>
      <c r="E555" s="2" t="e">
        <f t="shared" si="0"/>
        <v>#VALUE!</v>
      </c>
    </row>
    <row r="556" spans="1:5" ht="12.75" customHeight="1" x14ac:dyDescent="0.2">
      <c r="A556" s="3"/>
      <c r="B556" s="3" t="s">
        <v>2</v>
      </c>
      <c r="C556" s="3" t="s">
        <v>458</v>
      </c>
      <c r="D556" s="2"/>
      <c r="E556" s="2" t="e">
        <f t="shared" si="0"/>
        <v>#VALUE!</v>
      </c>
    </row>
    <row r="557" spans="1:5" ht="12.75" customHeight="1" x14ac:dyDescent="0.2">
      <c r="A557" s="3"/>
      <c r="B557" s="3" t="s">
        <v>9</v>
      </c>
      <c r="C557" s="3" t="s">
        <v>93</v>
      </c>
      <c r="D557" s="2"/>
      <c r="E557" s="2" t="e">
        <f t="shared" si="0"/>
        <v>#VALUE!</v>
      </c>
    </row>
    <row r="558" spans="1:5" ht="12.75" customHeight="1" x14ac:dyDescent="0.2">
      <c r="A558" s="3"/>
      <c r="B558" s="3" t="s">
        <v>11</v>
      </c>
      <c r="C558" s="3" t="s">
        <v>227</v>
      </c>
      <c r="D558" s="2"/>
      <c r="E558" s="2" t="e">
        <f t="shared" si="0"/>
        <v>#VALUE!</v>
      </c>
    </row>
    <row r="559" spans="1:5" ht="12.75" customHeight="1" x14ac:dyDescent="0.2">
      <c r="A559" s="3"/>
      <c r="B559" s="3" t="s">
        <v>18</v>
      </c>
      <c r="C559" s="4" t="s">
        <v>19</v>
      </c>
      <c r="D559" s="2"/>
      <c r="E559" s="2" t="e">
        <f t="shared" si="0"/>
        <v>#VALUE!</v>
      </c>
    </row>
    <row r="560" spans="1:5" ht="12.75" customHeight="1" x14ac:dyDescent="0.2">
      <c r="A560" s="1" t="str">
        <f>HYPERLINK("javascript:void(0)","bajuszkötő")</f>
        <v>bajuszkötő</v>
      </c>
      <c r="B560" s="1"/>
      <c r="C560" s="1"/>
      <c r="D560" s="2"/>
      <c r="E560" s="2" t="e">
        <f t="shared" si="0"/>
        <v>#VALUE!</v>
      </c>
    </row>
    <row r="561" spans="1:5" ht="12.75" customHeight="1" x14ac:dyDescent="0.2">
      <c r="A561" s="3"/>
      <c r="B561" s="3" t="s">
        <v>0</v>
      </c>
      <c r="C561" s="3" t="s">
        <v>21</v>
      </c>
      <c r="D561" s="2"/>
      <c r="E561" s="2" t="e">
        <f t="shared" si="0"/>
        <v>#VALUE!</v>
      </c>
    </row>
    <row r="562" spans="1:5" ht="12.75" customHeight="1" x14ac:dyDescent="0.2">
      <c r="A562" s="3"/>
      <c r="B562" s="3" t="s">
        <v>2</v>
      </c>
      <c r="C562" s="3" t="s">
        <v>458</v>
      </c>
      <c r="D562" s="2"/>
      <c r="E562" s="2" t="e">
        <f t="shared" si="0"/>
        <v>#VALUE!</v>
      </c>
    </row>
    <row r="563" spans="1:5" ht="12.75" customHeight="1" x14ac:dyDescent="0.2">
      <c r="A563" s="3"/>
      <c r="B563" s="3" t="s">
        <v>9</v>
      </c>
      <c r="C563" s="3" t="s">
        <v>582</v>
      </c>
      <c r="D563" s="2"/>
      <c r="E563" s="2" t="e">
        <f t="shared" si="0"/>
        <v>#VALUE!</v>
      </c>
    </row>
    <row r="564" spans="1:5" ht="12.75" customHeight="1" x14ac:dyDescent="0.2">
      <c r="A564" s="3"/>
      <c r="B564" s="3" t="s">
        <v>11</v>
      </c>
      <c r="C564" s="3" t="s">
        <v>227</v>
      </c>
      <c r="D564" s="2"/>
      <c r="E564" s="2" t="e">
        <f t="shared" si="0"/>
        <v>#VALUE!</v>
      </c>
    </row>
    <row r="565" spans="1:5" ht="12.75" customHeight="1" x14ac:dyDescent="0.2">
      <c r="A565" s="3"/>
      <c r="B565" s="3" t="s">
        <v>18</v>
      </c>
      <c r="C565" s="4" t="s">
        <v>19</v>
      </c>
      <c r="D565" s="2"/>
      <c r="E565" s="2" t="e">
        <f t="shared" si="0"/>
        <v>#VALUE!</v>
      </c>
    </row>
    <row r="566" spans="1:5" ht="12.75" customHeight="1" x14ac:dyDescent="0.2">
      <c r="A566" s="1" t="str">
        <f>HYPERLINK("javascript:void(0)","bambulás")</f>
        <v>bambulás</v>
      </c>
      <c r="B566" s="1"/>
      <c r="C566" s="1"/>
      <c r="D566" s="2"/>
      <c r="E566" s="2" t="e">
        <f t="shared" si="0"/>
        <v>#VALUE!</v>
      </c>
    </row>
    <row r="567" spans="1:5" ht="12.75" customHeight="1" x14ac:dyDescent="0.2">
      <c r="A567" s="3"/>
      <c r="B567" s="3" t="s">
        <v>0</v>
      </c>
      <c r="C567" s="3" t="s">
        <v>21</v>
      </c>
      <c r="D567" s="2"/>
      <c r="E567" s="2" t="e">
        <f t="shared" si="0"/>
        <v>#VALUE!</v>
      </c>
    </row>
    <row r="568" spans="1:5" ht="12.75" customHeight="1" x14ac:dyDescent="0.2">
      <c r="A568" s="3"/>
      <c r="B568" s="3" t="s">
        <v>2</v>
      </c>
      <c r="C568" s="3" t="s">
        <v>458</v>
      </c>
      <c r="D568" s="2"/>
      <c r="E568" s="2" t="e">
        <f t="shared" si="0"/>
        <v>#VALUE!</v>
      </c>
    </row>
    <row r="569" spans="1:5" ht="12.75" customHeight="1" x14ac:dyDescent="0.2">
      <c r="A569" s="3"/>
      <c r="B569" s="3" t="s">
        <v>9</v>
      </c>
      <c r="C569" s="3" t="s">
        <v>22</v>
      </c>
      <c r="D569" s="2"/>
      <c r="E569" s="2" t="e">
        <f t="shared" si="0"/>
        <v>#VALUE!</v>
      </c>
    </row>
    <row r="570" spans="1:5" ht="12.75" customHeight="1" x14ac:dyDescent="0.2">
      <c r="A570" s="3"/>
      <c r="B570" s="3" t="s">
        <v>11</v>
      </c>
      <c r="C570" s="3" t="s">
        <v>395</v>
      </c>
      <c r="D570" s="2"/>
      <c r="E570" s="2" t="e">
        <f t="shared" si="0"/>
        <v>#VALUE!</v>
      </c>
    </row>
    <row r="571" spans="1:5" ht="12.75" customHeight="1" x14ac:dyDescent="0.2">
      <c r="A571" s="3"/>
      <c r="B571" s="3" t="s">
        <v>18</v>
      </c>
      <c r="C571" s="4" t="s">
        <v>19</v>
      </c>
      <c r="D571" s="2"/>
      <c r="E571" s="2" t="e">
        <f t="shared" si="0"/>
        <v>#VALUE!</v>
      </c>
    </row>
    <row r="572" spans="1:5" ht="12.75" customHeight="1" x14ac:dyDescent="0.2">
      <c r="A572" s="1" t="str">
        <f>HYPERLINK("javascript:void(0)","banánbomba")</f>
        <v>banánbomba</v>
      </c>
      <c r="B572" s="1"/>
      <c r="C572" s="1"/>
      <c r="D572" s="2"/>
      <c r="E572" s="2" t="e">
        <f t="shared" si="0"/>
        <v>#VALUE!</v>
      </c>
    </row>
    <row r="573" spans="1:5" ht="12.75" customHeight="1" x14ac:dyDescent="0.2">
      <c r="A573" s="3"/>
      <c r="B573" s="3" t="s">
        <v>0</v>
      </c>
      <c r="C573" s="3" t="s">
        <v>21</v>
      </c>
      <c r="D573" s="2"/>
      <c r="E573" s="2" t="e">
        <f t="shared" si="0"/>
        <v>#VALUE!</v>
      </c>
    </row>
    <row r="574" spans="1:5" ht="12.75" customHeight="1" x14ac:dyDescent="0.2">
      <c r="A574" s="3"/>
      <c r="B574" s="3" t="s">
        <v>2</v>
      </c>
      <c r="C574" s="3" t="s">
        <v>458</v>
      </c>
      <c r="D574" s="2"/>
      <c r="E574" s="2" t="e">
        <f t="shared" si="0"/>
        <v>#VALUE!</v>
      </c>
    </row>
    <row r="575" spans="1:5" ht="12.75" customHeight="1" x14ac:dyDescent="0.2">
      <c r="A575" s="3"/>
      <c r="B575" s="3" t="s">
        <v>9</v>
      </c>
      <c r="C575" s="3" t="s">
        <v>22</v>
      </c>
      <c r="D575" s="2"/>
      <c r="E575" s="2" t="e">
        <f t="shared" si="0"/>
        <v>#VALUE!</v>
      </c>
    </row>
    <row r="576" spans="1:5" ht="12.75" customHeight="1" x14ac:dyDescent="0.2">
      <c r="A576" s="3"/>
      <c r="B576" s="3" t="s">
        <v>11</v>
      </c>
      <c r="C576" s="3" t="s">
        <v>89</v>
      </c>
      <c r="D576" s="2"/>
      <c r="E576" s="2" t="e">
        <f t="shared" si="0"/>
        <v>#VALUE!</v>
      </c>
    </row>
    <row r="577" spans="1:5" ht="12.75" customHeight="1" x14ac:dyDescent="0.2">
      <c r="A577" s="3"/>
      <c r="B577" s="3" t="s">
        <v>18</v>
      </c>
      <c r="C577" s="4" t="s">
        <v>19</v>
      </c>
      <c r="D577" s="2"/>
      <c r="E577" s="2" t="e">
        <f t="shared" si="0"/>
        <v>#VALUE!</v>
      </c>
    </row>
    <row r="578" spans="1:5" ht="12.75" customHeight="1" x14ac:dyDescent="0.2">
      <c r="A578" s="1" t="str">
        <f>HYPERLINK("javascript:void(0)","banánhéj")</f>
        <v>banánhéj</v>
      </c>
      <c r="B578" s="1"/>
      <c r="C578" s="1"/>
      <c r="D578" s="2"/>
      <c r="E578" s="2" t="e">
        <f t="shared" si="0"/>
        <v>#VALUE!</v>
      </c>
    </row>
    <row r="579" spans="1:5" ht="12.75" customHeight="1" x14ac:dyDescent="0.2">
      <c r="A579" s="3"/>
      <c r="B579" s="3" t="s">
        <v>0</v>
      </c>
      <c r="C579" s="3" t="s">
        <v>21</v>
      </c>
      <c r="D579" s="2"/>
      <c r="E579" s="2" t="e">
        <f t="shared" si="0"/>
        <v>#VALUE!</v>
      </c>
    </row>
    <row r="580" spans="1:5" ht="12.75" customHeight="1" x14ac:dyDescent="0.2">
      <c r="A580" s="3"/>
      <c r="B580" s="3" t="s">
        <v>2</v>
      </c>
      <c r="C580" s="3" t="s">
        <v>458</v>
      </c>
      <c r="D580" s="2"/>
      <c r="E580" s="2" t="e">
        <f t="shared" si="0"/>
        <v>#VALUE!</v>
      </c>
    </row>
    <row r="581" spans="1:5" ht="12.75" customHeight="1" x14ac:dyDescent="0.2">
      <c r="A581" s="3"/>
      <c r="B581" s="3" t="s">
        <v>9</v>
      </c>
      <c r="C581" s="3" t="s">
        <v>22</v>
      </c>
      <c r="D581" s="2"/>
      <c r="E581" s="2" t="e">
        <f t="shared" si="0"/>
        <v>#VALUE!</v>
      </c>
    </row>
    <row r="582" spans="1:5" ht="12.75" customHeight="1" x14ac:dyDescent="0.2">
      <c r="A582" s="3"/>
      <c r="B582" s="3" t="s">
        <v>11</v>
      </c>
      <c r="C582" s="3" t="s">
        <v>589</v>
      </c>
      <c r="D582" s="2"/>
      <c r="E582" s="2" t="e">
        <f t="shared" si="0"/>
        <v>#VALUE!</v>
      </c>
    </row>
    <row r="583" spans="1:5" ht="12.75" customHeight="1" x14ac:dyDescent="0.2">
      <c r="A583" s="3"/>
      <c r="B583" s="3" t="s">
        <v>18</v>
      </c>
      <c r="C583" s="4" t="s">
        <v>19</v>
      </c>
      <c r="D583" s="2"/>
      <c r="E583" s="2" t="e">
        <f t="shared" si="0"/>
        <v>#VALUE!</v>
      </c>
    </row>
    <row r="584" spans="1:5" ht="12.75" customHeight="1" x14ac:dyDescent="0.2">
      <c r="A584" s="1" t="str">
        <f>HYPERLINK("javascript:void(0)","barbár firka")</f>
        <v>barbár firka</v>
      </c>
      <c r="B584" s="1"/>
      <c r="C584" s="1"/>
      <c r="D584" s="2"/>
      <c r="E584" s="2" t="e">
        <f t="shared" si="0"/>
        <v>#VALUE!</v>
      </c>
    </row>
    <row r="585" spans="1:5" ht="12.75" customHeight="1" x14ac:dyDescent="0.2">
      <c r="A585" s="3"/>
      <c r="B585" s="3" t="s">
        <v>0</v>
      </c>
      <c r="C585" s="3" t="s">
        <v>21</v>
      </c>
      <c r="D585" s="2"/>
      <c r="E585" s="2" t="e">
        <f t="shared" si="0"/>
        <v>#VALUE!</v>
      </c>
    </row>
    <row r="586" spans="1:5" ht="12.75" customHeight="1" x14ac:dyDescent="0.2">
      <c r="A586" s="3"/>
      <c r="B586" s="3" t="s">
        <v>2</v>
      </c>
      <c r="C586" s="3" t="s">
        <v>458</v>
      </c>
      <c r="D586" s="2"/>
      <c r="E586" s="2" t="e">
        <f t="shared" si="0"/>
        <v>#VALUE!</v>
      </c>
    </row>
    <row r="587" spans="1:5" ht="12.75" customHeight="1" x14ac:dyDescent="0.2">
      <c r="A587" s="3"/>
      <c r="B587" s="3" t="s">
        <v>9</v>
      </c>
      <c r="C587" s="3" t="s">
        <v>590</v>
      </c>
      <c r="D587" s="2"/>
      <c r="E587" s="2" t="e">
        <f t="shared" si="0"/>
        <v>#VALUE!</v>
      </c>
    </row>
    <row r="588" spans="1:5" ht="12.75" customHeight="1" x14ac:dyDescent="0.2">
      <c r="A588" s="3"/>
      <c r="B588" s="3" t="s">
        <v>11</v>
      </c>
      <c r="C588" s="3" t="s">
        <v>505</v>
      </c>
      <c r="D588" s="2"/>
      <c r="E588" s="2" t="e">
        <f t="shared" si="0"/>
        <v>#VALUE!</v>
      </c>
    </row>
    <row r="589" spans="1:5" ht="12.75" customHeight="1" x14ac:dyDescent="0.2">
      <c r="A589" s="3"/>
      <c r="B589" s="3" t="s">
        <v>18</v>
      </c>
      <c r="C589" s="4" t="s">
        <v>19</v>
      </c>
      <c r="D589" s="2"/>
      <c r="E589" s="2" t="e">
        <f t="shared" si="0"/>
        <v>#VALUE!</v>
      </c>
    </row>
    <row r="590" spans="1:5" ht="12.75" customHeight="1" x14ac:dyDescent="0.2">
      <c r="A590" s="1" t="str">
        <f>HYPERLINK("javascript:void(0)","bazaltpikkely")</f>
        <v>bazaltpikkely</v>
      </c>
      <c r="B590" s="1"/>
      <c r="C590" s="1"/>
      <c r="D590" s="2"/>
      <c r="E590" s="2" t="e">
        <f t="shared" si="0"/>
        <v>#VALUE!</v>
      </c>
    </row>
    <row r="591" spans="1:5" ht="12.75" customHeight="1" x14ac:dyDescent="0.2">
      <c r="A591" s="3"/>
      <c r="B591" s="3" t="s">
        <v>0</v>
      </c>
      <c r="C591" s="3" t="s">
        <v>21</v>
      </c>
      <c r="D591" s="2"/>
      <c r="E591" s="2" t="e">
        <f t="shared" si="0"/>
        <v>#VALUE!</v>
      </c>
    </row>
    <row r="592" spans="1:5" ht="12.75" customHeight="1" x14ac:dyDescent="0.2">
      <c r="A592" s="3"/>
      <c r="B592" s="3" t="s">
        <v>2</v>
      </c>
      <c r="C592" s="3" t="s">
        <v>458</v>
      </c>
      <c r="D592" s="2"/>
      <c r="E592" s="2" t="e">
        <f t="shared" si="0"/>
        <v>#VALUE!</v>
      </c>
    </row>
    <row r="593" spans="1:5" ht="12.75" customHeight="1" x14ac:dyDescent="0.2">
      <c r="A593" s="3"/>
      <c r="B593" s="3" t="s">
        <v>9</v>
      </c>
      <c r="C593" s="3" t="s">
        <v>22</v>
      </c>
      <c r="D593" s="2"/>
      <c r="E593" s="2" t="e">
        <f t="shared" si="0"/>
        <v>#VALUE!</v>
      </c>
    </row>
    <row r="594" spans="1:5" ht="12.75" customHeight="1" x14ac:dyDescent="0.2">
      <c r="A594" s="3"/>
      <c r="B594" s="3" t="s">
        <v>11</v>
      </c>
      <c r="C594" s="3" t="s">
        <v>23</v>
      </c>
      <c r="D594" s="2"/>
      <c r="E594" s="2" t="e">
        <f t="shared" si="0"/>
        <v>#VALUE!</v>
      </c>
    </row>
    <row r="595" spans="1:5" ht="12.75" customHeight="1" x14ac:dyDescent="0.2">
      <c r="A595" s="3"/>
      <c r="B595" s="3" t="s">
        <v>16</v>
      </c>
      <c r="C595" s="3" t="s">
        <v>574</v>
      </c>
      <c r="D595" s="2"/>
      <c r="E595" s="2" t="e">
        <f t="shared" si="0"/>
        <v>#VALUE!</v>
      </c>
    </row>
    <row r="596" spans="1:5" ht="12.75" customHeight="1" x14ac:dyDescent="0.2">
      <c r="A596" s="3"/>
      <c r="B596" s="3" t="s">
        <v>18</v>
      </c>
      <c r="C596" s="4" t="s">
        <v>19</v>
      </c>
      <c r="D596" s="2"/>
      <c r="E596" s="2" t="e">
        <f t="shared" si="0"/>
        <v>#VALUE!</v>
      </c>
    </row>
    <row r="597" spans="1:5" ht="12.75" customHeight="1" x14ac:dyDescent="0.2">
      <c r="A597" s="1" t="str">
        <f>HYPERLINK("javascript:void(0)","bazihorog")</f>
        <v>bazihorog</v>
      </c>
      <c r="B597" s="1"/>
      <c r="C597" s="1"/>
      <c r="D597" s="2"/>
      <c r="E597" s="2" t="e">
        <f t="shared" si="0"/>
        <v>#VALUE!</v>
      </c>
    </row>
    <row r="598" spans="1:5" ht="12.75" customHeight="1" x14ac:dyDescent="0.2">
      <c r="A598" s="3"/>
      <c r="B598" s="3" t="s">
        <v>0</v>
      </c>
      <c r="C598" s="3" t="s">
        <v>21</v>
      </c>
      <c r="D598" s="2"/>
      <c r="E598" s="2" t="e">
        <f t="shared" si="0"/>
        <v>#VALUE!</v>
      </c>
    </row>
    <row r="599" spans="1:5" ht="12.75" customHeight="1" x14ac:dyDescent="0.2">
      <c r="A599" s="3"/>
      <c r="B599" s="3" t="s">
        <v>2</v>
      </c>
      <c r="C599" s="3" t="s">
        <v>458</v>
      </c>
      <c r="D599" s="2"/>
      <c r="E599" s="2" t="e">
        <f t="shared" si="0"/>
        <v>#VALUE!</v>
      </c>
    </row>
    <row r="600" spans="1:5" ht="12.75" customHeight="1" x14ac:dyDescent="0.2">
      <c r="A600" s="3"/>
      <c r="B600" s="3" t="s">
        <v>9</v>
      </c>
      <c r="C600" s="3" t="s">
        <v>22</v>
      </c>
      <c r="D600" s="2"/>
      <c r="E600" s="2" t="e">
        <f t="shared" si="0"/>
        <v>#VALUE!</v>
      </c>
    </row>
    <row r="601" spans="1:5" ht="12.75" customHeight="1" x14ac:dyDescent="0.2">
      <c r="A601" s="3"/>
      <c r="B601" s="3" t="s">
        <v>11</v>
      </c>
      <c r="C601" s="3" t="s">
        <v>156</v>
      </c>
      <c r="D601" s="2"/>
      <c r="E601" s="2" t="e">
        <f t="shared" si="0"/>
        <v>#VALUE!</v>
      </c>
    </row>
    <row r="602" spans="1:5" ht="12.75" customHeight="1" x14ac:dyDescent="0.2">
      <c r="A602" s="3"/>
      <c r="B602" s="3" t="s">
        <v>18</v>
      </c>
      <c r="C602" s="4" t="s">
        <v>19</v>
      </c>
      <c r="D602" s="2"/>
      <c r="E602" s="2" t="e">
        <f t="shared" si="0"/>
        <v>#VALUE!</v>
      </c>
    </row>
    <row r="603" spans="1:5" ht="12.75" customHeight="1" x14ac:dyDescent="0.2">
      <c r="A603" s="1" t="str">
        <f>HYPERLINK("javascript:void(0)","beszélő dughagymák")</f>
        <v>beszélő dughagymák</v>
      </c>
      <c r="B603" s="1"/>
      <c r="C603" s="1"/>
      <c r="D603" s="2"/>
      <c r="E603" s="2" t="e">
        <f t="shared" si="0"/>
        <v>#VALUE!</v>
      </c>
    </row>
    <row r="604" spans="1:5" ht="12.75" customHeight="1" x14ac:dyDescent="0.2">
      <c r="A604" s="3"/>
      <c r="B604" s="3" t="s">
        <v>0</v>
      </c>
      <c r="C604" s="3" t="s">
        <v>21</v>
      </c>
      <c r="D604" s="2"/>
      <c r="E604" s="2" t="e">
        <f t="shared" si="0"/>
        <v>#VALUE!</v>
      </c>
    </row>
    <row r="605" spans="1:5" ht="12.75" customHeight="1" x14ac:dyDescent="0.2">
      <c r="A605" s="3"/>
      <c r="B605" s="3" t="s">
        <v>2</v>
      </c>
      <c r="C605" s="3" t="s">
        <v>387</v>
      </c>
      <c r="D605" s="2"/>
      <c r="E605" s="2" t="e">
        <f t="shared" si="0"/>
        <v>#VALUE!</v>
      </c>
    </row>
    <row r="606" spans="1:5" ht="12.75" customHeight="1" x14ac:dyDescent="0.2">
      <c r="A606" s="3"/>
      <c r="B606" s="3" t="s">
        <v>9</v>
      </c>
      <c r="C606" s="3" t="s">
        <v>42</v>
      </c>
      <c r="D606" s="2"/>
      <c r="E606" s="2" t="e">
        <f t="shared" si="0"/>
        <v>#VALUE!</v>
      </c>
    </row>
    <row r="607" spans="1:5" ht="12.75" customHeight="1" x14ac:dyDescent="0.2">
      <c r="A607" s="3"/>
      <c r="B607" s="3" t="s">
        <v>11</v>
      </c>
      <c r="C607" s="3" t="s">
        <v>23</v>
      </c>
      <c r="D607" s="2"/>
      <c r="E607" s="2" t="e">
        <f t="shared" si="0"/>
        <v>#VALUE!</v>
      </c>
    </row>
    <row r="608" spans="1:5" ht="12.75" customHeight="1" x14ac:dyDescent="0.2">
      <c r="A608" s="3"/>
      <c r="B608" s="3" t="s">
        <v>16</v>
      </c>
      <c r="C608" s="3" t="s">
        <v>388</v>
      </c>
      <c r="D608" s="2"/>
      <c r="E608" s="2" t="e">
        <f t="shared" si="0"/>
        <v>#VALUE!</v>
      </c>
    </row>
    <row r="609" spans="1:5" ht="12.75" customHeight="1" x14ac:dyDescent="0.2">
      <c r="A609" s="3"/>
      <c r="B609" s="3" t="s">
        <v>18</v>
      </c>
      <c r="C609" s="4" t="s">
        <v>19</v>
      </c>
      <c r="D609" s="2"/>
      <c r="E609" s="2" t="e">
        <f t="shared" si="0"/>
        <v>#VALUE!</v>
      </c>
    </row>
    <row r="610" spans="1:5" ht="12.75" customHeight="1" x14ac:dyDescent="0.2">
      <c r="A610" s="1" t="str">
        <f>HYPERLINK("javascript:void(0)","betűszám")</f>
        <v>betűszám</v>
      </c>
      <c r="B610" s="1"/>
      <c r="C610" s="1"/>
      <c r="D610" s="2"/>
      <c r="E610" s="2" t="e">
        <f t="shared" si="0"/>
        <v>#VALUE!</v>
      </c>
    </row>
    <row r="611" spans="1:5" ht="12.75" customHeight="1" x14ac:dyDescent="0.2">
      <c r="A611" s="3"/>
      <c r="B611" s="3" t="s">
        <v>0</v>
      </c>
      <c r="C611" s="3" t="s">
        <v>21</v>
      </c>
      <c r="D611" s="2"/>
      <c r="E611" s="2" t="e">
        <f t="shared" si="0"/>
        <v>#VALUE!</v>
      </c>
    </row>
    <row r="612" spans="1:5" ht="12.75" customHeight="1" x14ac:dyDescent="0.2">
      <c r="A612" s="3"/>
      <c r="B612" s="3" t="s">
        <v>2</v>
      </c>
      <c r="C612" s="3" t="s">
        <v>458</v>
      </c>
      <c r="D612" s="2"/>
      <c r="E612" s="2" t="e">
        <f t="shared" si="0"/>
        <v>#VALUE!</v>
      </c>
    </row>
    <row r="613" spans="1:5" ht="12.75" customHeight="1" x14ac:dyDescent="0.2">
      <c r="A613" s="3"/>
      <c r="B613" s="3" t="s">
        <v>9</v>
      </c>
      <c r="C613" s="3" t="s">
        <v>22</v>
      </c>
      <c r="D613" s="2"/>
      <c r="E613" s="2" t="e">
        <f t="shared" si="0"/>
        <v>#VALUE!</v>
      </c>
    </row>
    <row r="614" spans="1:5" ht="12.75" customHeight="1" x14ac:dyDescent="0.2">
      <c r="A614" s="3"/>
      <c r="B614" s="3" t="s">
        <v>11</v>
      </c>
      <c r="C614" s="3" t="s">
        <v>395</v>
      </c>
      <c r="D614" s="2"/>
      <c r="E614" s="2" t="e">
        <f t="shared" si="0"/>
        <v>#VALUE!</v>
      </c>
    </row>
    <row r="615" spans="1:5" ht="12.75" customHeight="1" x14ac:dyDescent="0.2">
      <c r="A615" s="3"/>
      <c r="B615" s="3" t="s">
        <v>18</v>
      </c>
      <c r="C615" s="4" t="s">
        <v>19</v>
      </c>
      <c r="D615" s="2"/>
      <c r="E615" s="2" t="e">
        <f t="shared" si="0"/>
        <v>#VALUE!</v>
      </c>
    </row>
    <row r="616" spans="1:5" ht="12.75" customHeight="1" x14ac:dyDescent="0.2">
      <c r="A616" s="1" t="str">
        <f>HYPERLINK("javascript:void(0)","bevándorlók listája")</f>
        <v>bevándorlók listája</v>
      </c>
      <c r="B616" s="1"/>
      <c r="C616" s="1"/>
      <c r="D616" s="2"/>
      <c r="E616" s="2" t="e">
        <f t="shared" si="0"/>
        <v>#VALUE!</v>
      </c>
    </row>
    <row r="617" spans="1:5" ht="12.75" customHeight="1" x14ac:dyDescent="0.2">
      <c r="A617" s="3"/>
      <c r="B617" s="3" t="s">
        <v>0</v>
      </c>
      <c r="C617" s="3" t="s">
        <v>21</v>
      </c>
      <c r="D617" s="2"/>
      <c r="E617" s="2" t="e">
        <f t="shared" si="0"/>
        <v>#VALUE!</v>
      </c>
    </row>
    <row r="618" spans="1:5" ht="12.75" customHeight="1" x14ac:dyDescent="0.2">
      <c r="A618" s="3"/>
      <c r="B618" s="3" t="s">
        <v>2</v>
      </c>
      <c r="C618" s="3" t="s">
        <v>387</v>
      </c>
      <c r="D618" s="2"/>
      <c r="E618" s="2" t="e">
        <f t="shared" si="0"/>
        <v>#VALUE!</v>
      </c>
    </row>
    <row r="619" spans="1:5" ht="12.75" customHeight="1" x14ac:dyDescent="0.2">
      <c r="A619" s="3"/>
      <c r="B619" s="3" t="s">
        <v>9</v>
      </c>
      <c r="C619" s="3" t="s">
        <v>10</v>
      </c>
      <c r="D619" s="2"/>
      <c r="E619" s="2" t="e">
        <f t="shared" si="0"/>
        <v>#VALUE!</v>
      </c>
    </row>
    <row r="620" spans="1:5" ht="12.75" customHeight="1" x14ac:dyDescent="0.2">
      <c r="A620" s="3"/>
      <c r="B620" s="3" t="s">
        <v>11</v>
      </c>
      <c r="C620" s="3" t="s">
        <v>23</v>
      </c>
      <c r="D620" s="2"/>
      <c r="E620" s="2" t="e">
        <f t="shared" si="0"/>
        <v>#VALUE!</v>
      </c>
    </row>
    <row r="621" spans="1:5" ht="12.75" customHeight="1" x14ac:dyDescent="0.2">
      <c r="A621" s="3"/>
      <c r="B621" s="3" t="s">
        <v>16</v>
      </c>
      <c r="C621" s="3" t="s">
        <v>388</v>
      </c>
      <c r="D621" s="2"/>
      <c r="E621" s="2" t="e">
        <f t="shared" si="0"/>
        <v>#VALUE!</v>
      </c>
    </row>
    <row r="622" spans="1:5" ht="12.75" customHeight="1" x14ac:dyDescent="0.2">
      <c r="A622" s="3"/>
      <c r="B622" s="3" t="s">
        <v>18</v>
      </c>
      <c r="C622" s="4" t="s">
        <v>19</v>
      </c>
      <c r="D622" s="2"/>
      <c r="E622" s="2" t="e">
        <f t="shared" si="0"/>
        <v>#VALUE!</v>
      </c>
    </row>
    <row r="623" spans="1:5" ht="12.75" customHeight="1" x14ac:dyDescent="0.2">
      <c r="A623" s="1" t="str">
        <f>HYPERLINK("javascript:void(0)","bigapata")</f>
        <v>bigapata</v>
      </c>
      <c r="B623" s="1"/>
      <c r="C623" s="1"/>
      <c r="D623" s="2"/>
      <c r="E623" s="2" t="e">
        <f t="shared" si="0"/>
        <v>#VALUE!</v>
      </c>
    </row>
    <row r="624" spans="1:5" ht="12.75" customHeight="1" x14ac:dyDescent="0.2">
      <c r="A624" s="3"/>
      <c r="B624" s="3" t="s">
        <v>0</v>
      </c>
      <c r="C624" s="3" t="s">
        <v>21</v>
      </c>
      <c r="D624" s="2"/>
      <c r="E624" s="2" t="e">
        <f t="shared" si="0"/>
        <v>#VALUE!</v>
      </c>
    </row>
    <row r="625" spans="1:5" ht="12.75" customHeight="1" x14ac:dyDescent="0.2">
      <c r="A625" s="3"/>
      <c r="B625" s="3" t="s">
        <v>2</v>
      </c>
      <c r="C625" s="3" t="s">
        <v>458</v>
      </c>
      <c r="D625" s="2"/>
      <c r="E625" s="2" t="e">
        <f t="shared" si="0"/>
        <v>#VALUE!</v>
      </c>
    </row>
    <row r="626" spans="1:5" ht="12.75" customHeight="1" x14ac:dyDescent="0.2">
      <c r="A626" s="3"/>
      <c r="B626" s="3" t="s">
        <v>9</v>
      </c>
      <c r="C626" s="3" t="s">
        <v>93</v>
      </c>
      <c r="D626" s="2"/>
      <c r="E626" s="2" t="e">
        <f t="shared" si="0"/>
        <v>#VALUE!</v>
      </c>
    </row>
    <row r="627" spans="1:5" ht="12.75" customHeight="1" x14ac:dyDescent="0.2">
      <c r="A627" s="3"/>
      <c r="B627" s="3" t="s">
        <v>11</v>
      </c>
      <c r="C627" s="3" t="s">
        <v>600</v>
      </c>
      <c r="D627" s="2"/>
      <c r="E627" s="2" t="e">
        <f t="shared" si="0"/>
        <v>#VALUE!</v>
      </c>
    </row>
    <row r="628" spans="1:5" ht="12.75" customHeight="1" x14ac:dyDescent="0.2">
      <c r="A628" s="3"/>
      <c r="B628" s="3" t="s">
        <v>18</v>
      </c>
      <c r="C628" s="4" t="s">
        <v>19</v>
      </c>
      <c r="D628" s="2"/>
      <c r="E628" s="2" t="e">
        <f t="shared" si="0"/>
        <v>#VALUE!</v>
      </c>
    </row>
    <row r="629" spans="1:5" ht="12.75" customHeight="1" x14ac:dyDescent="0.2">
      <c r="A629" s="1" t="str">
        <f>HYPERLINK("javascript:void(0)","bikakonty")</f>
        <v>bikakonty</v>
      </c>
      <c r="B629" s="1"/>
      <c r="C629" s="1"/>
      <c r="D629" s="2"/>
      <c r="E629" s="2" t="e">
        <f t="shared" si="0"/>
        <v>#VALUE!</v>
      </c>
    </row>
    <row r="630" spans="1:5" ht="12.75" customHeight="1" x14ac:dyDescent="0.2">
      <c r="A630" s="3"/>
      <c r="B630" s="3" t="s">
        <v>0</v>
      </c>
      <c r="C630" s="3" t="s">
        <v>21</v>
      </c>
      <c r="D630" s="2"/>
      <c r="E630" s="2" t="e">
        <f t="shared" si="0"/>
        <v>#VALUE!</v>
      </c>
    </row>
    <row r="631" spans="1:5" ht="12.75" customHeight="1" x14ac:dyDescent="0.2">
      <c r="A631" s="3"/>
      <c r="B631" s="3" t="s">
        <v>2</v>
      </c>
      <c r="C631" s="3" t="s">
        <v>387</v>
      </c>
      <c r="D631" s="2"/>
      <c r="E631" s="2" t="e">
        <f t="shared" si="0"/>
        <v>#VALUE!</v>
      </c>
    </row>
    <row r="632" spans="1:5" ht="12.75" customHeight="1" x14ac:dyDescent="0.2">
      <c r="A632" s="3"/>
      <c r="B632" s="3" t="s">
        <v>9</v>
      </c>
      <c r="C632" s="3" t="s">
        <v>27</v>
      </c>
      <c r="D632" s="2"/>
      <c r="E632" s="2" t="e">
        <f t="shared" si="0"/>
        <v>#VALUE!</v>
      </c>
    </row>
    <row r="633" spans="1:5" ht="12.75" customHeight="1" x14ac:dyDescent="0.2">
      <c r="A633" s="3"/>
      <c r="B633" s="3" t="s">
        <v>11</v>
      </c>
      <c r="C633" s="3" t="s">
        <v>23</v>
      </c>
      <c r="D633" s="2"/>
      <c r="E633" s="2" t="e">
        <f t="shared" si="0"/>
        <v>#VALUE!</v>
      </c>
    </row>
    <row r="634" spans="1:5" ht="12.75" customHeight="1" x14ac:dyDescent="0.2">
      <c r="A634" s="3"/>
      <c r="B634" s="3" t="s">
        <v>16</v>
      </c>
      <c r="C634" s="3" t="s">
        <v>388</v>
      </c>
      <c r="D634" s="2"/>
      <c r="E634" s="2" t="e">
        <f t="shared" si="0"/>
        <v>#VALUE!</v>
      </c>
    </row>
    <row r="635" spans="1:5" ht="12.75" customHeight="1" x14ac:dyDescent="0.2">
      <c r="A635" s="3"/>
      <c r="B635" s="3" t="s">
        <v>18</v>
      </c>
      <c r="C635" s="4" t="s">
        <v>19</v>
      </c>
      <c r="D635" s="2"/>
      <c r="E635" s="2" t="e">
        <f t="shared" si="0"/>
        <v>#VALUE!</v>
      </c>
    </row>
    <row r="636" spans="1:5" ht="12.75" customHeight="1" x14ac:dyDescent="0.2">
      <c r="A636" s="1" t="str">
        <f>HYPERLINK("javascript:void(0)","bikapipa")</f>
        <v>bikapipa</v>
      </c>
      <c r="B636" s="1"/>
      <c r="C636" s="1"/>
      <c r="D636" s="2"/>
      <c r="E636" s="2" t="e">
        <f t="shared" si="0"/>
        <v>#VALUE!</v>
      </c>
    </row>
    <row r="637" spans="1:5" ht="12.75" customHeight="1" x14ac:dyDescent="0.2">
      <c r="A637" s="3"/>
      <c r="B637" s="3" t="s">
        <v>0</v>
      </c>
      <c r="C637" s="3" t="s">
        <v>21</v>
      </c>
      <c r="D637" s="2"/>
      <c r="E637" s="2" t="e">
        <f t="shared" si="0"/>
        <v>#VALUE!</v>
      </c>
    </row>
    <row r="638" spans="1:5" ht="12.75" customHeight="1" x14ac:dyDescent="0.2">
      <c r="A638" s="3"/>
      <c r="B638" s="3" t="s">
        <v>2</v>
      </c>
      <c r="C638" s="3" t="s">
        <v>458</v>
      </c>
      <c r="D638" s="2"/>
      <c r="E638" s="2" t="e">
        <f t="shared" si="0"/>
        <v>#VALUE!</v>
      </c>
    </row>
    <row r="639" spans="1:5" ht="12.75" customHeight="1" x14ac:dyDescent="0.2">
      <c r="A639" s="3"/>
      <c r="B639" s="3" t="s">
        <v>9</v>
      </c>
      <c r="C639" s="3" t="s">
        <v>22</v>
      </c>
      <c r="D639" s="2"/>
      <c r="E639" s="2" t="e">
        <f t="shared" si="0"/>
        <v>#VALUE!</v>
      </c>
    </row>
    <row r="640" spans="1:5" ht="12.75" customHeight="1" x14ac:dyDescent="0.2">
      <c r="A640" s="3"/>
      <c r="B640" s="3" t="s">
        <v>11</v>
      </c>
      <c r="C640" s="3" t="s">
        <v>605</v>
      </c>
      <c r="D640" s="2"/>
      <c r="E640" s="2" t="e">
        <f t="shared" si="0"/>
        <v>#VALUE!</v>
      </c>
    </row>
    <row r="641" spans="1:5" ht="12.75" customHeight="1" x14ac:dyDescent="0.2">
      <c r="A641" s="3"/>
      <c r="B641" s="3" t="s">
        <v>18</v>
      </c>
      <c r="C641" s="4" t="s">
        <v>19</v>
      </c>
      <c r="D641" s="2"/>
      <c r="E641" s="2" t="e">
        <f t="shared" si="0"/>
        <v>#VALUE!</v>
      </c>
    </row>
    <row r="642" spans="1:5" ht="12.75" customHeight="1" x14ac:dyDescent="0.2">
      <c r="A642" s="1" t="str">
        <f>HYPERLINK("javascript:void(0)","birtokpecsét")</f>
        <v>birtokpecsét</v>
      </c>
      <c r="B642" s="1"/>
      <c r="C642" s="1"/>
      <c r="D642" s="2"/>
      <c r="E642" s="2" t="e">
        <f t="shared" si="0"/>
        <v>#VALUE!</v>
      </c>
    </row>
    <row r="643" spans="1:5" ht="12.75" customHeight="1" x14ac:dyDescent="0.2">
      <c r="A643" s="3"/>
      <c r="B643" s="3" t="s">
        <v>0</v>
      </c>
      <c r="C643" s="3" t="s">
        <v>21</v>
      </c>
      <c r="D643" s="2"/>
      <c r="E643" s="2" t="e">
        <f t="shared" si="0"/>
        <v>#VALUE!</v>
      </c>
    </row>
    <row r="644" spans="1:5" ht="12.75" customHeight="1" x14ac:dyDescent="0.2">
      <c r="A644" s="3"/>
      <c r="B644" s="3" t="s">
        <v>2</v>
      </c>
      <c r="C644" s="3" t="s">
        <v>387</v>
      </c>
      <c r="D644" s="2"/>
      <c r="E644" s="2" t="e">
        <f t="shared" si="0"/>
        <v>#VALUE!</v>
      </c>
    </row>
    <row r="645" spans="1:5" ht="12.75" customHeight="1" x14ac:dyDescent="0.2">
      <c r="A645" s="3"/>
      <c r="B645" s="3" t="s">
        <v>9</v>
      </c>
      <c r="C645" s="3" t="s">
        <v>27</v>
      </c>
      <c r="D645" s="2"/>
      <c r="E645" s="2" t="e">
        <f t="shared" si="0"/>
        <v>#VALUE!</v>
      </c>
    </row>
    <row r="646" spans="1:5" ht="12.75" customHeight="1" x14ac:dyDescent="0.2">
      <c r="A646" s="3"/>
      <c r="B646" s="3" t="s">
        <v>11</v>
      </c>
      <c r="C646" s="3" t="s">
        <v>23</v>
      </c>
      <c r="D646" s="2"/>
      <c r="E646" s="2" t="e">
        <f t="shared" si="0"/>
        <v>#VALUE!</v>
      </c>
    </row>
    <row r="647" spans="1:5" ht="12.75" customHeight="1" x14ac:dyDescent="0.2">
      <c r="A647" s="3"/>
      <c r="B647" s="3" t="s">
        <v>16</v>
      </c>
      <c r="C647" s="3" t="s">
        <v>388</v>
      </c>
      <c r="D647" s="2"/>
      <c r="E647" s="2" t="e">
        <f t="shared" si="0"/>
        <v>#VALUE!</v>
      </c>
    </row>
    <row r="648" spans="1:5" ht="12.75" customHeight="1" x14ac:dyDescent="0.2">
      <c r="A648" s="3"/>
      <c r="B648" s="3" t="s">
        <v>18</v>
      </c>
      <c r="C648" s="4" t="s">
        <v>19</v>
      </c>
      <c r="D648" s="2"/>
      <c r="E648" s="2" t="e">
        <f t="shared" si="0"/>
        <v>#VALUE!</v>
      </c>
    </row>
    <row r="649" spans="1:5" ht="12.75" customHeight="1" x14ac:dyDescent="0.2">
      <c r="A649" s="1" t="str">
        <f>HYPERLINK("javascript:void(0)","bolondgomba")</f>
        <v>bolondgomba</v>
      </c>
      <c r="B649" s="1"/>
      <c r="C649" s="1"/>
      <c r="D649" s="2"/>
      <c r="E649" s="2" t="e">
        <f t="shared" si="0"/>
        <v>#VALUE!</v>
      </c>
    </row>
    <row r="650" spans="1:5" ht="12.75" customHeight="1" x14ac:dyDescent="0.2">
      <c r="A650" s="3"/>
      <c r="B650" s="3" t="s">
        <v>0</v>
      </c>
      <c r="C650" s="3" t="s">
        <v>21</v>
      </c>
      <c r="D650" s="2"/>
      <c r="E650" s="2" t="e">
        <f t="shared" si="0"/>
        <v>#VALUE!</v>
      </c>
    </row>
    <row r="651" spans="1:5" ht="12.75" customHeight="1" x14ac:dyDescent="0.2">
      <c r="A651" s="3"/>
      <c r="B651" s="3" t="s">
        <v>2</v>
      </c>
      <c r="C651" s="3" t="s">
        <v>458</v>
      </c>
      <c r="D651" s="2"/>
      <c r="E651" s="2" t="e">
        <f t="shared" si="0"/>
        <v>#VALUE!</v>
      </c>
    </row>
    <row r="652" spans="1:5" ht="12.75" customHeight="1" x14ac:dyDescent="0.2">
      <c r="A652" s="3"/>
      <c r="B652" s="3" t="s">
        <v>9</v>
      </c>
      <c r="C652" s="3" t="s">
        <v>84</v>
      </c>
      <c r="D652" s="2"/>
      <c r="E652" s="2" t="e">
        <f t="shared" si="0"/>
        <v>#VALUE!</v>
      </c>
    </row>
    <row r="653" spans="1:5" ht="12.75" customHeight="1" x14ac:dyDescent="0.2">
      <c r="A653" s="3"/>
      <c r="B653" s="3" t="s">
        <v>11</v>
      </c>
      <c r="C653" s="3" t="s">
        <v>610</v>
      </c>
      <c r="D653" s="2"/>
      <c r="E653" s="2" t="e">
        <f t="shared" si="0"/>
        <v>#VALUE!</v>
      </c>
    </row>
    <row r="654" spans="1:5" ht="12.75" customHeight="1" x14ac:dyDescent="0.2">
      <c r="A654" s="3"/>
      <c r="B654" s="3" t="s">
        <v>18</v>
      </c>
      <c r="C654" s="4" t="s">
        <v>19</v>
      </c>
      <c r="D654" s="2"/>
      <c r="E654" s="2" t="e">
        <f t="shared" si="0"/>
        <v>#VALUE!</v>
      </c>
    </row>
    <row r="655" spans="1:5" ht="12.75" customHeight="1" x14ac:dyDescent="0.2">
      <c r="A655" s="1" t="str">
        <f>HYPERLINK("javascript:void(0)","bosszú")</f>
        <v>bosszú</v>
      </c>
      <c r="B655" s="1"/>
      <c r="C655" s="1"/>
      <c r="D655" s="2"/>
      <c r="E655" s="2" t="e">
        <f t="shared" si="0"/>
        <v>#VALUE!</v>
      </c>
    </row>
    <row r="656" spans="1:5" ht="12.75" customHeight="1" x14ac:dyDescent="0.2">
      <c r="A656" s="3"/>
      <c r="B656" s="3" t="s">
        <v>0</v>
      </c>
      <c r="C656" s="3" t="s">
        <v>21</v>
      </c>
      <c r="D656" s="2"/>
      <c r="E656" s="2" t="e">
        <f t="shared" si="0"/>
        <v>#VALUE!</v>
      </c>
    </row>
    <row r="657" spans="1:5" ht="12.75" customHeight="1" x14ac:dyDescent="0.2">
      <c r="A657" s="3"/>
      <c r="B657" s="3" t="s">
        <v>2</v>
      </c>
      <c r="C657" s="3" t="s">
        <v>458</v>
      </c>
      <c r="D657" s="2"/>
      <c r="E657" s="2" t="e">
        <f t="shared" si="0"/>
        <v>#VALUE!</v>
      </c>
    </row>
    <row r="658" spans="1:5" ht="12.75" customHeight="1" x14ac:dyDescent="0.2">
      <c r="A658" s="3"/>
      <c r="B658" s="3" t="s">
        <v>9</v>
      </c>
      <c r="C658" s="3" t="s">
        <v>22</v>
      </c>
      <c r="D658" s="2"/>
      <c r="E658" s="2" t="e">
        <f t="shared" si="0"/>
        <v>#VALUE!</v>
      </c>
    </row>
    <row r="659" spans="1:5" ht="12.75" customHeight="1" x14ac:dyDescent="0.2">
      <c r="A659" s="3"/>
      <c r="B659" s="3" t="s">
        <v>11</v>
      </c>
      <c r="C659" s="3" t="s">
        <v>138</v>
      </c>
      <c r="D659" s="2"/>
      <c r="E659" s="2" t="e">
        <f t="shared" si="0"/>
        <v>#VALUE!</v>
      </c>
    </row>
    <row r="660" spans="1:5" ht="12.75" customHeight="1" x14ac:dyDescent="0.2">
      <c r="A660" s="3"/>
      <c r="B660" s="3" t="s">
        <v>18</v>
      </c>
      <c r="C660" s="4" t="s">
        <v>19</v>
      </c>
      <c r="D660" s="2"/>
      <c r="E660" s="2" t="e">
        <f t="shared" si="0"/>
        <v>#VALUE!</v>
      </c>
    </row>
    <row r="661" spans="1:5" ht="12.75" customHeight="1" x14ac:dyDescent="0.2">
      <c r="A661" s="1" t="str">
        <f>HYPERLINK("javascript:void(0)","boszorkányige")</f>
        <v>boszorkányige</v>
      </c>
      <c r="B661" s="1"/>
      <c r="C661" s="1"/>
      <c r="D661" s="2"/>
      <c r="E661" s="2" t="e">
        <f t="shared" si="0"/>
        <v>#VALUE!</v>
      </c>
    </row>
    <row r="662" spans="1:5" ht="12.75" customHeight="1" x14ac:dyDescent="0.2">
      <c r="A662" s="3"/>
      <c r="B662" s="3" t="s">
        <v>0</v>
      </c>
      <c r="C662" s="3" t="s">
        <v>21</v>
      </c>
      <c r="D662" s="2"/>
      <c r="E662" s="2" t="e">
        <f t="shared" si="0"/>
        <v>#VALUE!</v>
      </c>
    </row>
    <row r="663" spans="1:5" ht="12.75" customHeight="1" x14ac:dyDescent="0.2">
      <c r="A663" s="3"/>
      <c r="B663" s="3" t="s">
        <v>2</v>
      </c>
      <c r="C663" s="3" t="s">
        <v>458</v>
      </c>
      <c r="D663" s="2"/>
      <c r="E663" s="2" t="e">
        <f t="shared" si="0"/>
        <v>#VALUE!</v>
      </c>
    </row>
    <row r="664" spans="1:5" ht="12.75" customHeight="1" x14ac:dyDescent="0.2">
      <c r="A664" s="3"/>
      <c r="B664" s="3" t="s">
        <v>9</v>
      </c>
      <c r="C664" s="3" t="s">
        <v>22</v>
      </c>
      <c r="D664" s="2"/>
      <c r="E664" s="2" t="e">
        <f t="shared" si="0"/>
        <v>#VALUE!</v>
      </c>
    </row>
    <row r="665" spans="1:5" ht="12.75" customHeight="1" x14ac:dyDescent="0.2">
      <c r="A665" s="3"/>
      <c r="B665" s="3" t="s">
        <v>11</v>
      </c>
      <c r="C665" s="3" t="s">
        <v>597</v>
      </c>
      <c r="D665" s="2"/>
      <c r="E665" s="2" t="e">
        <f t="shared" si="0"/>
        <v>#VALUE!</v>
      </c>
    </row>
    <row r="666" spans="1:5" ht="12.75" customHeight="1" x14ac:dyDescent="0.2">
      <c r="A666" s="3"/>
      <c r="B666" s="3" t="s">
        <v>18</v>
      </c>
      <c r="C666" s="4" t="s">
        <v>19</v>
      </c>
      <c r="D666" s="2"/>
      <c r="E666" s="2" t="e">
        <f t="shared" si="0"/>
        <v>#VALUE!</v>
      </c>
    </row>
    <row r="667" spans="1:5" ht="12.75" customHeight="1" x14ac:dyDescent="0.2">
      <c r="A667" s="1" t="str">
        <f>HYPERLINK("javascript:void(0)","brandy-s üveg")</f>
        <v>brandy-s üveg</v>
      </c>
      <c r="B667" s="1"/>
      <c r="C667" s="1"/>
      <c r="D667" s="2"/>
      <c r="E667" s="2" t="e">
        <f t="shared" si="0"/>
        <v>#VALUE!</v>
      </c>
    </row>
    <row r="668" spans="1:5" ht="12.75" customHeight="1" x14ac:dyDescent="0.2">
      <c r="A668" s="3"/>
      <c r="B668" s="3" t="s">
        <v>0</v>
      </c>
      <c r="C668" s="3" t="s">
        <v>21</v>
      </c>
      <c r="D668" s="2"/>
      <c r="E668" s="2" t="e">
        <f t="shared" si="0"/>
        <v>#VALUE!</v>
      </c>
    </row>
    <row r="669" spans="1:5" ht="12.75" customHeight="1" x14ac:dyDescent="0.2">
      <c r="A669" s="3"/>
      <c r="B669" s="3" t="s">
        <v>2</v>
      </c>
      <c r="C669" s="3" t="s">
        <v>387</v>
      </c>
      <c r="D669" s="2"/>
      <c r="E669" s="2" t="e">
        <f t="shared" si="0"/>
        <v>#VALUE!</v>
      </c>
    </row>
    <row r="670" spans="1:5" ht="12.75" customHeight="1" x14ac:dyDescent="0.2">
      <c r="A670" s="3"/>
      <c r="B670" s="3" t="s">
        <v>9</v>
      </c>
      <c r="C670" s="3" t="s">
        <v>22</v>
      </c>
      <c r="D670" s="2"/>
      <c r="E670" s="2" t="e">
        <f t="shared" si="0"/>
        <v>#VALUE!</v>
      </c>
    </row>
    <row r="671" spans="1:5" ht="12.75" customHeight="1" x14ac:dyDescent="0.2">
      <c r="A671" s="3"/>
      <c r="B671" s="3" t="s">
        <v>11</v>
      </c>
      <c r="C671" s="3" t="s">
        <v>23</v>
      </c>
      <c r="D671" s="2"/>
      <c r="E671" s="2" t="e">
        <f t="shared" si="0"/>
        <v>#VALUE!</v>
      </c>
    </row>
    <row r="672" spans="1:5" ht="12.75" customHeight="1" x14ac:dyDescent="0.2">
      <c r="A672" s="3"/>
      <c r="B672" s="3" t="s">
        <v>16</v>
      </c>
      <c r="C672" s="3" t="s">
        <v>388</v>
      </c>
      <c r="D672" s="2"/>
      <c r="E672" s="2" t="e">
        <f t="shared" si="0"/>
        <v>#VALUE!</v>
      </c>
    </row>
    <row r="673" spans="1:5" ht="12.75" customHeight="1" x14ac:dyDescent="0.2">
      <c r="A673" s="3"/>
      <c r="B673" s="3" t="s">
        <v>18</v>
      </c>
      <c r="C673" s="4" t="s">
        <v>19</v>
      </c>
      <c r="D673" s="2"/>
      <c r="E673" s="2" t="e">
        <f t="shared" si="0"/>
        <v>#VALUE!</v>
      </c>
    </row>
    <row r="674" spans="1:5" ht="12.75" customHeight="1" x14ac:dyDescent="0.2">
      <c r="A674" s="1" t="str">
        <f>HYPERLINK("javascript:void(0)","bronzpikkely")</f>
        <v>bronzpikkely</v>
      </c>
      <c r="B674" s="1"/>
      <c r="C674" s="1"/>
      <c r="D674" s="2"/>
      <c r="E674" s="2" t="e">
        <f t="shared" si="0"/>
        <v>#VALUE!</v>
      </c>
    </row>
    <row r="675" spans="1:5" ht="12.75" customHeight="1" x14ac:dyDescent="0.2">
      <c r="A675" s="3"/>
      <c r="B675" s="3" t="s">
        <v>0</v>
      </c>
      <c r="C675" s="3" t="s">
        <v>21</v>
      </c>
      <c r="D675" s="2"/>
      <c r="E675" s="2" t="e">
        <f t="shared" si="0"/>
        <v>#VALUE!</v>
      </c>
    </row>
    <row r="676" spans="1:5" ht="12.75" customHeight="1" x14ac:dyDescent="0.2">
      <c r="A676" s="3"/>
      <c r="B676" s="3" t="s">
        <v>2</v>
      </c>
      <c r="C676" s="3" t="s">
        <v>458</v>
      </c>
      <c r="D676" s="2"/>
      <c r="E676" s="2" t="e">
        <f t="shared" si="0"/>
        <v>#VALUE!</v>
      </c>
    </row>
    <row r="677" spans="1:5" ht="12.75" customHeight="1" x14ac:dyDescent="0.2">
      <c r="A677" s="3"/>
      <c r="B677" s="3" t="s">
        <v>9</v>
      </c>
      <c r="C677" s="3" t="s">
        <v>22</v>
      </c>
      <c r="D677" s="2"/>
      <c r="E677" s="2" t="e">
        <f t="shared" si="0"/>
        <v>#VALUE!</v>
      </c>
    </row>
    <row r="678" spans="1:5" ht="12.75" customHeight="1" x14ac:dyDescent="0.2">
      <c r="A678" s="3"/>
      <c r="B678" s="3" t="s">
        <v>11</v>
      </c>
      <c r="C678" s="3" t="s">
        <v>23</v>
      </c>
      <c r="D678" s="2"/>
      <c r="E678" s="2" t="e">
        <f t="shared" si="0"/>
        <v>#VALUE!</v>
      </c>
    </row>
    <row r="679" spans="1:5" ht="12.75" customHeight="1" x14ac:dyDescent="0.2">
      <c r="A679" s="3"/>
      <c r="B679" s="3" t="s">
        <v>16</v>
      </c>
      <c r="C679" s="3" t="s">
        <v>574</v>
      </c>
      <c r="D679" s="2"/>
      <c r="E679" s="2" t="e">
        <f t="shared" si="0"/>
        <v>#VALUE!</v>
      </c>
    </row>
    <row r="680" spans="1:5" ht="12.75" customHeight="1" x14ac:dyDescent="0.2">
      <c r="A680" s="3"/>
      <c r="B680" s="3" t="s">
        <v>18</v>
      </c>
      <c r="C680" s="4" t="s">
        <v>19</v>
      </c>
      <c r="D680" s="2"/>
      <c r="E680" s="2" t="e">
        <f t="shared" si="0"/>
        <v>#VALUE!</v>
      </c>
    </row>
    <row r="681" spans="1:5" ht="12.75" customHeight="1" x14ac:dyDescent="0.2">
      <c r="A681" s="1" t="str">
        <f>HYPERLINK("javascript:void(0)","brummogás")</f>
        <v>brummogás</v>
      </c>
      <c r="B681" s="1"/>
      <c r="C681" s="1"/>
      <c r="D681" s="2"/>
      <c r="E681" s="2" t="e">
        <f t="shared" si="0"/>
        <v>#VALUE!</v>
      </c>
    </row>
    <row r="682" spans="1:5" ht="12.75" customHeight="1" x14ac:dyDescent="0.2">
      <c r="A682" s="3"/>
      <c r="B682" s="3" t="s">
        <v>0</v>
      </c>
      <c r="C682" s="3" t="s">
        <v>21</v>
      </c>
      <c r="D682" s="2"/>
      <c r="E682" s="2" t="e">
        <f t="shared" si="0"/>
        <v>#VALUE!</v>
      </c>
    </row>
    <row r="683" spans="1:5" ht="12.75" customHeight="1" x14ac:dyDescent="0.2">
      <c r="A683" s="3"/>
      <c r="B683" s="3" t="s">
        <v>2</v>
      </c>
      <c r="C683" s="3" t="s">
        <v>458</v>
      </c>
      <c r="D683" s="2"/>
      <c r="E683" s="2" t="e">
        <f t="shared" si="0"/>
        <v>#VALUE!</v>
      </c>
    </row>
    <row r="684" spans="1:5" ht="12.75" customHeight="1" x14ac:dyDescent="0.2">
      <c r="A684" s="3"/>
      <c r="B684" s="3" t="s">
        <v>9</v>
      </c>
      <c r="C684" s="3" t="s">
        <v>404</v>
      </c>
      <c r="D684" s="2"/>
      <c r="E684" s="2" t="e">
        <f t="shared" si="0"/>
        <v>#VALUE!</v>
      </c>
    </row>
    <row r="685" spans="1:5" ht="12.75" customHeight="1" x14ac:dyDescent="0.2">
      <c r="A685" s="3"/>
      <c r="B685" s="3" t="s">
        <v>11</v>
      </c>
      <c r="C685" s="3" t="s">
        <v>227</v>
      </c>
      <c r="D685" s="2"/>
      <c r="E685" s="2" t="e">
        <f t="shared" si="0"/>
        <v>#VALUE!</v>
      </c>
    </row>
    <row r="686" spans="1:5" ht="12.75" customHeight="1" x14ac:dyDescent="0.2">
      <c r="A686" s="3"/>
      <c r="B686" s="3" t="s">
        <v>18</v>
      </c>
      <c r="C686" s="4" t="s">
        <v>19</v>
      </c>
      <c r="D686" s="2"/>
      <c r="E686" s="2" t="e">
        <f t="shared" si="0"/>
        <v>#VALUE!</v>
      </c>
    </row>
    <row r="687" spans="1:5" ht="12.75" customHeight="1" x14ac:dyDescent="0.2">
      <c r="A687" s="1" t="str">
        <f>HYPERLINK("javascript:void(0)","bubi")</f>
        <v>bubi</v>
      </c>
      <c r="B687" s="1"/>
      <c r="C687" s="1"/>
      <c r="D687" s="2"/>
      <c r="E687" s="2" t="e">
        <f t="shared" si="0"/>
        <v>#VALUE!</v>
      </c>
    </row>
    <row r="688" spans="1:5" ht="12.75" customHeight="1" x14ac:dyDescent="0.2">
      <c r="A688" s="3"/>
      <c r="B688" s="3" t="s">
        <v>0</v>
      </c>
      <c r="C688" s="3" t="s">
        <v>21</v>
      </c>
      <c r="D688" s="2"/>
      <c r="E688" s="2" t="e">
        <f t="shared" si="0"/>
        <v>#VALUE!</v>
      </c>
    </row>
    <row r="689" spans="1:5" ht="12.75" customHeight="1" x14ac:dyDescent="0.2">
      <c r="A689" s="3"/>
      <c r="B689" s="3" t="s">
        <v>2</v>
      </c>
      <c r="C689" s="3" t="s">
        <v>458</v>
      </c>
      <c r="D689" s="2"/>
      <c r="E689" s="2" t="e">
        <f t="shared" si="0"/>
        <v>#VALUE!</v>
      </c>
    </row>
    <row r="690" spans="1:5" ht="12.75" customHeight="1" x14ac:dyDescent="0.2">
      <c r="A690" s="3"/>
      <c r="B690" s="3" t="s">
        <v>9</v>
      </c>
      <c r="C690" s="3" t="s">
        <v>22</v>
      </c>
      <c r="D690" s="2"/>
      <c r="E690" s="2" t="e">
        <f t="shared" si="0"/>
        <v>#VALUE!</v>
      </c>
    </row>
    <row r="691" spans="1:5" ht="12.75" customHeight="1" x14ac:dyDescent="0.2">
      <c r="A691" s="3"/>
      <c r="B691" s="3" t="s">
        <v>11</v>
      </c>
      <c r="C691" s="3" t="s">
        <v>605</v>
      </c>
      <c r="D691" s="2"/>
      <c r="E691" s="2" t="e">
        <f t="shared" si="0"/>
        <v>#VALUE!</v>
      </c>
    </row>
    <row r="692" spans="1:5" ht="12.75" customHeight="1" x14ac:dyDescent="0.2">
      <c r="A692" s="3"/>
      <c r="B692" s="3" t="s">
        <v>18</v>
      </c>
      <c r="C692" s="4" t="s">
        <v>19</v>
      </c>
      <c r="D692" s="2"/>
      <c r="E692" s="2" t="e">
        <f t="shared" si="0"/>
        <v>#VALUE!</v>
      </c>
    </row>
    <row r="693" spans="1:5" ht="12.75" customHeight="1" x14ac:dyDescent="0.2">
      <c r="A693" s="1" t="str">
        <f>HYPERLINK("javascript:void(0)","bulldogbendő")</f>
        <v>bulldogbendő</v>
      </c>
      <c r="B693" s="1"/>
      <c r="C693" s="1"/>
      <c r="D693" s="2"/>
      <c r="E693" s="2" t="e">
        <f t="shared" si="0"/>
        <v>#VALUE!</v>
      </c>
    </row>
    <row r="694" spans="1:5" ht="12.75" customHeight="1" x14ac:dyDescent="0.2">
      <c r="A694" s="3"/>
      <c r="B694" s="3" t="s">
        <v>0</v>
      </c>
      <c r="C694" s="3" t="s">
        <v>21</v>
      </c>
      <c r="D694" s="2"/>
      <c r="E694" s="2" t="e">
        <f t="shared" si="0"/>
        <v>#VALUE!</v>
      </c>
    </row>
    <row r="695" spans="1:5" ht="12.75" customHeight="1" x14ac:dyDescent="0.2">
      <c r="A695" s="3"/>
      <c r="B695" s="3" t="s">
        <v>2</v>
      </c>
      <c r="C695" s="3" t="s">
        <v>387</v>
      </c>
      <c r="D695" s="2"/>
      <c r="E695" s="2" t="e">
        <f t="shared" si="0"/>
        <v>#VALUE!</v>
      </c>
    </row>
    <row r="696" spans="1:5" ht="12.75" customHeight="1" x14ac:dyDescent="0.2">
      <c r="A696" s="3"/>
      <c r="B696" s="3" t="s">
        <v>9</v>
      </c>
      <c r="C696" s="3" t="s">
        <v>147</v>
      </c>
      <c r="D696" s="2"/>
      <c r="E696" s="2" t="e">
        <f t="shared" si="0"/>
        <v>#VALUE!</v>
      </c>
    </row>
    <row r="697" spans="1:5" ht="12.75" customHeight="1" x14ac:dyDescent="0.2">
      <c r="A697" s="3"/>
      <c r="B697" s="3" t="s">
        <v>11</v>
      </c>
      <c r="C697" s="3" t="s">
        <v>622</v>
      </c>
      <c r="D697" s="2"/>
      <c r="E697" s="2" t="e">
        <f t="shared" si="0"/>
        <v>#VALUE!</v>
      </c>
    </row>
    <row r="698" spans="1:5" ht="12.75" customHeight="1" x14ac:dyDescent="0.2">
      <c r="A698" s="3"/>
      <c r="B698" s="3" t="s">
        <v>18</v>
      </c>
      <c r="C698" s="4" t="s">
        <v>19</v>
      </c>
      <c r="D698" s="2"/>
      <c r="E698" s="2" t="e">
        <f t="shared" si="0"/>
        <v>#VALUE!</v>
      </c>
    </row>
    <row r="699" spans="1:5" ht="12.75" customHeight="1" x14ac:dyDescent="0.2">
      <c r="A699" s="1" t="str">
        <f>HYPERLINK("javascript:void(0)","bázispár")</f>
        <v>bázispár</v>
      </c>
      <c r="B699" s="1"/>
      <c r="C699" s="1"/>
      <c r="D699" s="2"/>
      <c r="E699" s="2" t="e">
        <f t="shared" si="0"/>
        <v>#VALUE!</v>
      </c>
    </row>
    <row r="700" spans="1:5" ht="12.75" customHeight="1" x14ac:dyDescent="0.2">
      <c r="A700" s="3"/>
      <c r="B700" s="3" t="s">
        <v>0</v>
      </c>
      <c r="C700" s="3" t="s">
        <v>21</v>
      </c>
      <c r="D700" s="2"/>
      <c r="E700" s="2" t="e">
        <f t="shared" si="0"/>
        <v>#VALUE!</v>
      </c>
    </row>
    <row r="701" spans="1:5" ht="12.75" customHeight="1" x14ac:dyDescent="0.2">
      <c r="A701" s="3"/>
      <c r="B701" s="3" t="s">
        <v>2</v>
      </c>
      <c r="C701" s="3" t="s">
        <v>458</v>
      </c>
      <c r="D701" s="2"/>
      <c r="E701" s="2" t="e">
        <f t="shared" si="0"/>
        <v>#VALUE!</v>
      </c>
    </row>
    <row r="702" spans="1:5" ht="12.75" customHeight="1" x14ac:dyDescent="0.2">
      <c r="A702" s="3"/>
      <c r="B702" s="3" t="s">
        <v>9</v>
      </c>
      <c r="C702" s="3" t="s">
        <v>626</v>
      </c>
      <c r="D702" s="2"/>
      <c r="E702" s="2" t="e">
        <f t="shared" si="0"/>
        <v>#VALUE!</v>
      </c>
    </row>
    <row r="703" spans="1:5" ht="12.75" customHeight="1" x14ac:dyDescent="0.2">
      <c r="A703" s="3"/>
      <c r="B703" s="3" t="s">
        <v>11</v>
      </c>
      <c r="C703" s="3" t="s">
        <v>168</v>
      </c>
      <c r="D703" s="2"/>
      <c r="E703" s="2" t="e">
        <f t="shared" si="0"/>
        <v>#VALUE!</v>
      </c>
    </row>
    <row r="704" spans="1:5" ht="12.75" customHeight="1" x14ac:dyDescent="0.2">
      <c r="A704" s="3"/>
      <c r="B704" s="3" t="s">
        <v>18</v>
      </c>
      <c r="C704" s="4" t="s">
        <v>19</v>
      </c>
      <c r="D704" s="2"/>
      <c r="E704" s="2" t="e">
        <f t="shared" si="0"/>
        <v>#VALUE!</v>
      </c>
    </row>
    <row r="705" spans="1:5" ht="12.75" customHeight="1" x14ac:dyDescent="0.2">
      <c r="A705" s="1" t="str">
        <f>HYPERLINK("javascript:void(0)","bébibogyó")</f>
        <v>bébibogyó</v>
      </c>
      <c r="B705" s="1"/>
      <c r="C705" s="1"/>
      <c r="D705" s="2"/>
      <c r="E705" s="2" t="e">
        <f t="shared" si="0"/>
        <v>#VALUE!</v>
      </c>
    </row>
    <row r="706" spans="1:5" ht="12.75" customHeight="1" x14ac:dyDescent="0.2">
      <c r="A706" s="3"/>
      <c r="B706" s="3" t="s">
        <v>0</v>
      </c>
      <c r="C706" s="3" t="s">
        <v>21</v>
      </c>
      <c r="D706" s="2"/>
      <c r="E706" s="2" t="e">
        <f t="shared" si="0"/>
        <v>#VALUE!</v>
      </c>
    </row>
    <row r="707" spans="1:5" ht="12.75" customHeight="1" x14ac:dyDescent="0.2">
      <c r="A707" s="3"/>
      <c r="B707" s="3" t="s">
        <v>2</v>
      </c>
      <c r="C707" s="3" t="s">
        <v>458</v>
      </c>
      <c r="D707" s="2"/>
      <c r="E707" s="2" t="e">
        <f t="shared" si="0"/>
        <v>#VALUE!</v>
      </c>
    </row>
    <row r="708" spans="1:5" ht="12.75" customHeight="1" x14ac:dyDescent="0.2">
      <c r="A708" s="3"/>
      <c r="B708" s="3" t="s">
        <v>9</v>
      </c>
      <c r="C708" s="3" t="s">
        <v>22</v>
      </c>
      <c r="D708" s="2"/>
      <c r="E708" s="2" t="e">
        <f t="shared" si="0"/>
        <v>#VALUE!</v>
      </c>
    </row>
    <row r="709" spans="1:5" ht="12.75" customHeight="1" x14ac:dyDescent="0.2">
      <c r="A709" s="3"/>
      <c r="B709" s="3" t="s">
        <v>11</v>
      </c>
      <c r="C709" s="3" t="s">
        <v>597</v>
      </c>
      <c r="D709" s="2"/>
      <c r="E709" s="2" t="e">
        <f t="shared" si="0"/>
        <v>#VALUE!</v>
      </c>
    </row>
    <row r="710" spans="1:5" ht="12.75" customHeight="1" x14ac:dyDescent="0.2">
      <c r="A710" s="3"/>
      <c r="B710" s="3" t="s">
        <v>18</v>
      </c>
      <c r="C710" s="4" t="s">
        <v>19</v>
      </c>
      <c r="D710" s="2"/>
      <c r="E710" s="2" t="e">
        <f t="shared" si="0"/>
        <v>#VALUE!</v>
      </c>
    </row>
    <row r="711" spans="1:5" ht="12.75" customHeight="1" x14ac:dyDescent="0.2">
      <c r="A711" s="1" t="str">
        <f>HYPERLINK("javascript:void(0)","bébigorilla")</f>
        <v>bébigorilla</v>
      </c>
      <c r="B711" s="1"/>
      <c r="C711" s="1"/>
      <c r="D711" s="2"/>
      <c r="E711" s="2" t="e">
        <f t="shared" si="0"/>
        <v>#VALUE!</v>
      </c>
    </row>
    <row r="712" spans="1:5" ht="12.75" customHeight="1" x14ac:dyDescent="0.2">
      <c r="A712" s="3"/>
      <c r="B712" s="3" t="s">
        <v>0</v>
      </c>
      <c r="C712" s="3" t="s">
        <v>21</v>
      </c>
      <c r="D712" s="2"/>
      <c r="E712" s="2" t="e">
        <f t="shared" si="0"/>
        <v>#VALUE!</v>
      </c>
    </row>
    <row r="713" spans="1:5" ht="12.75" customHeight="1" x14ac:dyDescent="0.2">
      <c r="A713" s="3"/>
      <c r="B713" s="3" t="s">
        <v>2</v>
      </c>
      <c r="C713" s="3" t="s">
        <v>387</v>
      </c>
      <c r="D713" s="2"/>
      <c r="E713" s="2" t="e">
        <f t="shared" si="0"/>
        <v>#VALUE!</v>
      </c>
    </row>
    <row r="714" spans="1:5" ht="12.75" customHeight="1" x14ac:dyDescent="0.2">
      <c r="A714" s="3"/>
      <c r="B714" s="3" t="s">
        <v>9</v>
      </c>
      <c r="C714" s="3" t="s">
        <v>630</v>
      </c>
      <c r="D714" s="2"/>
      <c r="E714" s="2" t="e">
        <f t="shared" si="0"/>
        <v>#VALUE!</v>
      </c>
    </row>
    <row r="715" spans="1:5" ht="12.75" customHeight="1" x14ac:dyDescent="0.2">
      <c r="A715" s="3"/>
      <c r="B715" s="3" t="s">
        <v>11</v>
      </c>
      <c r="C715" s="3" t="s">
        <v>23</v>
      </c>
      <c r="D715" s="2"/>
      <c r="E715" s="2" t="e">
        <f t="shared" si="0"/>
        <v>#VALUE!</v>
      </c>
    </row>
    <row r="716" spans="1:5" ht="12.75" customHeight="1" x14ac:dyDescent="0.2">
      <c r="A716" s="3"/>
      <c r="B716" s="3" t="s">
        <v>16</v>
      </c>
      <c r="C716" s="3" t="s">
        <v>388</v>
      </c>
      <c r="D716" s="2"/>
      <c r="E716" s="2" t="e">
        <f t="shared" si="0"/>
        <v>#VALUE!</v>
      </c>
    </row>
    <row r="717" spans="1:5" ht="12.75" customHeight="1" x14ac:dyDescent="0.2">
      <c r="A717" s="3"/>
      <c r="B717" s="3" t="s">
        <v>18</v>
      </c>
      <c r="C717" s="4" t="s">
        <v>19</v>
      </c>
      <c r="D717" s="2"/>
      <c r="E717" s="2" t="e">
        <f t="shared" si="0"/>
        <v>#VALUE!</v>
      </c>
    </row>
    <row r="718" spans="1:5" ht="12.75" customHeight="1" x14ac:dyDescent="0.2">
      <c r="A718" s="1" t="str">
        <f>HYPERLINK("javascript:void(0)","bébipata")</f>
        <v>bébipata</v>
      </c>
      <c r="B718" s="1"/>
      <c r="C718" s="1"/>
      <c r="D718" s="2"/>
      <c r="E718" s="2" t="e">
        <f t="shared" si="0"/>
        <v>#VALUE!</v>
      </c>
    </row>
    <row r="719" spans="1:5" ht="12.75" customHeight="1" x14ac:dyDescent="0.2">
      <c r="A719" s="3"/>
      <c r="B719" s="3" t="s">
        <v>0</v>
      </c>
      <c r="C719" s="3" t="s">
        <v>21</v>
      </c>
      <c r="D719" s="2"/>
      <c r="E719" s="2" t="e">
        <f t="shared" si="0"/>
        <v>#VALUE!</v>
      </c>
    </row>
    <row r="720" spans="1:5" ht="12.75" customHeight="1" x14ac:dyDescent="0.2">
      <c r="A720" s="3"/>
      <c r="B720" s="3" t="s">
        <v>2</v>
      </c>
      <c r="C720" s="3" t="s">
        <v>458</v>
      </c>
      <c r="D720" s="2"/>
      <c r="E720" s="2" t="e">
        <f t="shared" si="0"/>
        <v>#VALUE!</v>
      </c>
    </row>
    <row r="721" spans="1:5" ht="12.75" customHeight="1" x14ac:dyDescent="0.2">
      <c r="A721" s="3"/>
      <c r="B721" s="3" t="s">
        <v>9</v>
      </c>
      <c r="C721" s="3" t="s">
        <v>22</v>
      </c>
      <c r="D721" s="2"/>
      <c r="E721" s="2" t="e">
        <f t="shared" si="0"/>
        <v>#VALUE!</v>
      </c>
    </row>
    <row r="722" spans="1:5" ht="12.75" customHeight="1" x14ac:dyDescent="0.2">
      <c r="A722" s="3"/>
      <c r="B722" s="3" t="s">
        <v>11</v>
      </c>
      <c r="C722" s="3" t="s">
        <v>156</v>
      </c>
      <c r="D722" s="2"/>
      <c r="E722" s="2" t="e">
        <f t="shared" si="0"/>
        <v>#VALUE!</v>
      </c>
    </row>
    <row r="723" spans="1:5" ht="12.75" customHeight="1" x14ac:dyDescent="0.2">
      <c r="A723" s="3"/>
      <c r="B723" s="3" t="s">
        <v>18</v>
      </c>
      <c r="C723" s="4" t="s">
        <v>19</v>
      </c>
      <c r="D723" s="2"/>
      <c r="E723" s="2" t="e">
        <f t="shared" si="0"/>
        <v>#VALUE!</v>
      </c>
    </row>
    <row r="724" spans="1:5" ht="12.75" customHeight="1" x14ac:dyDescent="0.2">
      <c r="A724" s="1" t="str">
        <f>HYPERLINK("javascript:void(0)","békeszellem")</f>
        <v>békeszellem</v>
      </c>
      <c r="B724" s="1"/>
      <c r="C724" s="1"/>
      <c r="D724" s="2"/>
      <c r="E724" s="2" t="e">
        <f t="shared" si="0"/>
        <v>#VALUE!</v>
      </c>
    </row>
    <row r="725" spans="1:5" ht="12.75" customHeight="1" x14ac:dyDescent="0.2">
      <c r="A725" s="3"/>
      <c r="B725" s="3" t="s">
        <v>0</v>
      </c>
      <c r="C725" s="3" t="s">
        <v>21</v>
      </c>
      <c r="D725" s="2"/>
      <c r="E725" s="2" t="e">
        <f t="shared" si="0"/>
        <v>#VALUE!</v>
      </c>
    </row>
    <row r="726" spans="1:5" ht="12.75" customHeight="1" x14ac:dyDescent="0.2">
      <c r="A726" s="3"/>
      <c r="B726" s="3" t="s">
        <v>2</v>
      </c>
      <c r="C726" s="3" t="s">
        <v>458</v>
      </c>
      <c r="D726" s="2"/>
      <c r="E726" s="2" t="e">
        <f t="shared" si="0"/>
        <v>#VALUE!</v>
      </c>
    </row>
    <row r="727" spans="1:5" ht="12.75" customHeight="1" x14ac:dyDescent="0.2">
      <c r="A727" s="3"/>
      <c r="B727" s="3" t="s">
        <v>9</v>
      </c>
      <c r="C727" s="3" t="s">
        <v>626</v>
      </c>
      <c r="D727" s="2"/>
      <c r="E727" s="2" t="e">
        <f t="shared" si="0"/>
        <v>#VALUE!</v>
      </c>
    </row>
    <row r="728" spans="1:5" ht="12.75" customHeight="1" x14ac:dyDescent="0.2">
      <c r="A728" s="3"/>
      <c r="B728" s="3" t="s">
        <v>11</v>
      </c>
      <c r="C728" s="3" t="s">
        <v>23</v>
      </c>
      <c r="D728" s="2"/>
      <c r="E728" s="2" t="e">
        <f t="shared" si="0"/>
        <v>#VALUE!</v>
      </c>
    </row>
    <row r="729" spans="1:5" ht="12.75" customHeight="1" x14ac:dyDescent="0.2">
      <c r="A729" s="3"/>
      <c r="B729" s="3" t="s">
        <v>18</v>
      </c>
      <c r="C729" s="4" t="s">
        <v>19</v>
      </c>
      <c r="D729" s="2"/>
      <c r="E729" s="2" t="e">
        <f t="shared" si="0"/>
        <v>#VALUE!</v>
      </c>
    </row>
    <row r="730" spans="1:5" ht="12.75" customHeight="1" x14ac:dyDescent="0.2">
      <c r="A730" s="1" t="str">
        <f>HYPERLINK("javascript:void(0)","békítő")</f>
        <v>békítő</v>
      </c>
      <c r="B730" s="1"/>
      <c r="C730" s="1"/>
      <c r="D730" s="2"/>
      <c r="E730" s="2" t="e">
        <f t="shared" si="0"/>
        <v>#VALUE!</v>
      </c>
    </row>
    <row r="731" spans="1:5" ht="12.75" customHeight="1" x14ac:dyDescent="0.2">
      <c r="A731" s="3"/>
      <c r="B731" s="3" t="s">
        <v>0</v>
      </c>
      <c r="C731" s="3" t="s">
        <v>21</v>
      </c>
      <c r="D731" s="2"/>
      <c r="E731" s="2" t="e">
        <f t="shared" si="0"/>
        <v>#VALUE!</v>
      </c>
    </row>
    <row r="732" spans="1:5" ht="12.75" customHeight="1" x14ac:dyDescent="0.2">
      <c r="A732" s="3"/>
      <c r="B732" s="3" t="s">
        <v>2</v>
      </c>
      <c r="C732" s="3" t="s">
        <v>458</v>
      </c>
      <c r="D732" s="2"/>
      <c r="E732" s="2" t="e">
        <f t="shared" si="0"/>
        <v>#VALUE!</v>
      </c>
    </row>
    <row r="733" spans="1:5" ht="12.75" customHeight="1" x14ac:dyDescent="0.2">
      <c r="A733" s="3"/>
      <c r="B733" s="3" t="s">
        <v>9</v>
      </c>
      <c r="C733" s="3" t="s">
        <v>27</v>
      </c>
      <c r="D733" s="2"/>
      <c r="E733" s="2" t="e">
        <f t="shared" si="0"/>
        <v>#VALUE!</v>
      </c>
    </row>
    <row r="734" spans="1:5" ht="12.75" customHeight="1" x14ac:dyDescent="0.2">
      <c r="A734" s="3"/>
      <c r="B734" s="3" t="s">
        <v>11</v>
      </c>
      <c r="C734" s="3" t="s">
        <v>639</v>
      </c>
      <c r="D734" s="2"/>
      <c r="E734" s="2" t="e">
        <f t="shared" si="0"/>
        <v>#VALUE!</v>
      </c>
    </row>
    <row r="735" spans="1:5" ht="12.75" customHeight="1" x14ac:dyDescent="0.2">
      <c r="A735" s="3"/>
      <c r="B735" s="3" t="s">
        <v>18</v>
      </c>
      <c r="C735" s="4" t="s">
        <v>19</v>
      </c>
      <c r="D735" s="2"/>
      <c r="E735" s="2" t="e">
        <f t="shared" si="0"/>
        <v>#VALUE!</v>
      </c>
    </row>
    <row r="736" spans="1:5" ht="12.75" customHeight="1" x14ac:dyDescent="0.2">
      <c r="A736" s="1" t="str">
        <f>HYPERLINK("javascript:void(0)","bélás")</f>
        <v>bélás</v>
      </c>
      <c r="B736" s="1"/>
      <c r="C736" s="1"/>
      <c r="D736" s="2"/>
      <c r="E736" s="2" t="e">
        <f t="shared" si="0"/>
        <v>#VALUE!</v>
      </c>
    </row>
    <row r="737" spans="1:5" ht="12.75" customHeight="1" x14ac:dyDescent="0.2">
      <c r="A737" s="3"/>
      <c r="B737" s="3" t="s">
        <v>0</v>
      </c>
      <c r="C737" s="3" t="s">
        <v>21</v>
      </c>
      <c r="D737" s="2"/>
      <c r="E737" s="2" t="e">
        <f t="shared" si="0"/>
        <v>#VALUE!</v>
      </c>
    </row>
    <row r="738" spans="1:5" ht="12.75" customHeight="1" x14ac:dyDescent="0.2">
      <c r="A738" s="3"/>
      <c r="B738" s="3" t="s">
        <v>2</v>
      </c>
      <c r="C738" s="3" t="s">
        <v>458</v>
      </c>
      <c r="D738" s="2"/>
      <c r="E738" s="2" t="e">
        <f t="shared" si="0"/>
        <v>#VALUE!</v>
      </c>
    </row>
    <row r="739" spans="1:5" ht="12.75" customHeight="1" x14ac:dyDescent="0.2">
      <c r="A739" s="3"/>
      <c r="B739" s="3" t="s">
        <v>9</v>
      </c>
      <c r="C739" s="3" t="s">
        <v>75</v>
      </c>
      <c r="D739" s="2"/>
      <c r="E739" s="2" t="e">
        <f t="shared" si="0"/>
        <v>#VALUE!</v>
      </c>
    </row>
    <row r="740" spans="1:5" ht="12.75" customHeight="1" x14ac:dyDescent="0.2">
      <c r="A740" s="3"/>
      <c r="B740" s="3" t="s">
        <v>11</v>
      </c>
      <c r="C740" s="3" t="s">
        <v>551</v>
      </c>
      <c r="D740" s="2"/>
      <c r="E740" s="2" t="e">
        <f t="shared" si="0"/>
        <v>#VALUE!</v>
      </c>
    </row>
    <row r="741" spans="1:5" ht="12.75" customHeight="1" x14ac:dyDescent="0.2">
      <c r="A741" s="3"/>
      <c r="B741" s="3" t="s">
        <v>18</v>
      </c>
      <c r="C741" s="4" t="s">
        <v>19</v>
      </c>
      <c r="D741" s="2"/>
      <c r="E741" s="2" t="e">
        <f t="shared" si="0"/>
        <v>#VALUE!</v>
      </c>
    </row>
    <row r="742" spans="1:5" ht="12.75" customHeight="1" x14ac:dyDescent="0.2">
      <c r="A742" s="1" t="str">
        <f>HYPERLINK("javascript:void(0)","bölényszakáll")</f>
        <v>bölényszakáll</v>
      </c>
      <c r="B742" s="1"/>
      <c r="C742" s="1"/>
      <c r="D742" s="2"/>
      <c r="E742" s="2" t="e">
        <f t="shared" si="0"/>
        <v>#VALUE!</v>
      </c>
    </row>
    <row r="743" spans="1:5" ht="12.75" customHeight="1" x14ac:dyDescent="0.2">
      <c r="A743" s="3"/>
      <c r="B743" s="3" t="s">
        <v>0</v>
      </c>
      <c r="C743" s="3" t="s">
        <v>21</v>
      </c>
      <c r="D743" s="2"/>
      <c r="E743" s="2" t="e">
        <f t="shared" si="0"/>
        <v>#VALUE!</v>
      </c>
    </row>
    <row r="744" spans="1:5" ht="12.75" customHeight="1" x14ac:dyDescent="0.2">
      <c r="A744" s="3"/>
      <c r="B744" s="3" t="s">
        <v>2</v>
      </c>
      <c r="C744" s="3" t="s">
        <v>387</v>
      </c>
      <c r="D744" s="2"/>
      <c r="E744" s="2" t="e">
        <f t="shared" si="0"/>
        <v>#VALUE!</v>
      </c>
    </row>
    <row r="745" spans="1:5" ht="12.75" customHeight="1" x14ac:dyDescent="0.2">
      <c r="A745" s="3"/>
      <c r="B745" s="3" t="s">
        <v>9</v>
      </c>
      <c r="C745" s="3" t="s">
        <v>404</v>
      </c>
      <c r="D745" s="2"/>
      <c r="E745" s="2" t="e">
        <f t="shared" si="0"/>
        <v>#VALUE!</v>
      </c>
    </row>
    <row r="746" spans="1:5" ht="12.75" customHeight="1" x14ac:dyDescent="0.2">
      <c r="A746" s="3"/>
      <c r="B746" s="3" t="s">
        <v>11</v>
      </c>
      <c r="C746" s="3" t="s">
        <v>31</v>
      </c>
      <c r="D746" s="2"/>
      <c r="E746" s="2" t="e">
        <f t="shared" si="0"/>
        <v>#VALUE!</v>
      </c>
    </row>
    <row r="747" spans="1:5" ht="12.75" customHeight="1" x14ac:dyDescent="0.2">
      <c r="A747" s="3"/>
      <c r="B747" s="3" t="s">
        <v>18</v>
      </c>
      <c r="C747" s="4" t="s">
        <v>19</v>
      </c>
      <c r="D747" s="2"/>
      <c r="E747" s="2" t="e">
        <f t="shared" si="0"/>
        <v>#VALUE!</v>
      </c>
    </row>
    <row r="748" spans="1:5" ht="12.75" customHeight="1" x14ac:dyDescent="0.2">
      <c r="A748" s="1" t="str">
        <f>HYPERLINK("javascript:void(0)","bölényszarvak")</f>
        <v>bölényszarvak</v>
      </c>
      <c r="B748" s="1"/>
      <c r="C748" s="1"/>
      <c r="D748" s="2"/>
      <c r="E748" s="2" t="e">
        <f t="shared" si="0"/>
        <v>#VALUE!</v>
      </c>
    </row>
    <row r="749" spans="1:5" ht="12.75" customHeight="1" x14ac:dyDescent="0.2">
      <c r="A749" s="3"/>
      <c r="B749" s="3" t="s">
        <v>0</v>
      </c>
      <c r="C749" s="3" t="s">
        <v>21</v>
      </c>
      <c r="D749" s="2"/>
      <c r="E749" s="2" t="e">
        <f t="shared" si="0"/>
        <v>#VALUE!</v>
      </c>
    </row>
    <row r="750" spans="1:5" ht="12.75" customHeight="1" x14ac:dyDescent="0.2">
      <c r="A750" s="3"/>
      <c r="B750" s="3" t="s">
        <v>2</v>
      </c>
      <c r="C750" s="3" t="s">
        <v>387</v>
      </c>
      <c r="D750" s="2"/>
      <c r="E750" s="2" t="e">
        <f t="shared" si="0"/>
        <v>#VALUE!</v>
      </c>
    </row>
    <row r="751" spans="1:5" ht="12.75" customHeight="1" x14ac:dyDescent="0.2">
      <c r="A751" s="3"/>
      <c r="B751" s="3" t="s">
        <v>9</v>
      </c>
      <c r="C751" s="3" t="s">
        <v>200</v>
      </c>
      <c r="D751" s="2"/>
      <c r="E751" s="2" t="e">
        <f t="shared" si="0"/>
        <v>#VALUE!</v>
      </c>
    </row>
    <row r="752" spans="1:5" ht="12.75" customHeight="1" x14ac:dyDescent="0.2">
      <c r="A752" s="3"/>
      <c r="B752" s="3" t="s">
        <v>11</v>
      </c>
      <c r="C752" s="3" t="s">
        <v>23</v>
      </c>
      <c r="D752" s="2"/>
      <c r="E752" s="2" t="e">
        <f t="shared" si="0"/>
        <v>#VALUE!</v>
      </c>
    </row>
    <row r="753" spans="1:5" ht="12.75" customHeight="1" x14ac:dyDescent="0.2">
      <c r="A753" s="3"/>
      <c r="B753" s="3" t="s">
        <v>16</v>
      </c>
      <c r="C753" s="3" t="s">
        <v>388</v>
      </c>
      <c r="D753" s="2"/>
      <c r="E753" s="2" t="e">
        <f t="shared" si="0"/>
        <v>#VALUE!</v>
      </c>
    </row>
    <row r="754" spans="1:5" ht="12.75" customHeight="1" x14ac:dyDescent="0.2">
      <c r="A754" s="3"/>
      <c r="B754" s="3" t="s">
        <v>18</v>
      </c>
      <c r="C754" s="4" t="s">
        <v>19</v>
      </c>
      <c r="D754" s="2"/>
      <c r="E754" s="2" t="e">
        <f t="shared" si="0"/>
        <v>#VALUE!</v>
      </c>
    </row>
    <row r="755" spans="1:5" ht="12.75" customHeight="1" x14ac:dyDescent="0.2">
      <c r="A755" s="1" t="str">
        <f>HYPERLINK("javascript:void(0)","bőrcsont")</f>
        <v>bőrcsont</v>
      </c>
      <c r="B755" s="1"/>
      <c r="C755" s="1"/>
      <c r="D755" s="2"/>
      <c r="E755" s="2" t="e">
        <f t="shared" si="0"/>
        <v>#VALUE!</v>
      </c>
    </row>
    <row r="756" spans="1:5" ht="12.75" customHeight="1" x14ac:dyDescent="0.2">
      <c r="A756" s="3"/>
      <c r="B756" s="3" t="s">
        <v>0</v>
      </c>
      <c r="C756" s="3" t="s">
        <v>21</v>
      </c>
      <c r="D756" s="2"/>
      <c r="E756" s="2" t="e">
        <f t="shared" si="0"/>
        <v>#VALUE!</v>
      </c>
    </row>
    <row r="757" spans="1:5" ht="12.75" customHeight="1" x14ac:dyDescent="0.2">
      <c r="A757" s="3"/>
      <c r="B757" s="3" t="s">
        <v>2</v>
      </c>
      <c r="C757" s="3" t="s">
        <v>458</v>
      </c>
      <c r="D757" s="2"/>
      <c r="E757" s="2" t="e">
        <f t="shared" si="0"/>
        <v>#VALUE!</v>
      </c>
    </row>
    <row r="758" spans="1:5" ht="12.75" customHeight="1" x14ac:dyDescent="0.2">
      <c r="A758" s="3"/>
      <c r="B758" s="3" t="s">
        <v>9</v>
      </c>
      <c r="C758" s="3" t="s">
        <v>27</v>
      </c>
      <c r="D758" s="2"/>
      <c r="E758" s="2" t="e">
        <f t="shared" si="0"/>
        <v>#VALUE!</v>
      </c>
    </row>
    <row r="759" spans="1:5" ht="12.75" customHeight="1" x14ac:dyDescent="0.2">
      <c r="A759" s="3"/>
      <c r="B759" s="3" t="s">
        <v>11</v>
      </c>
      <c r="C759" s="3" t="s">
        <v>646</v>
      </c>
      <c r="D759" s="2"/>
      <c r="E759" s="2" t="e">
        <f t="shared" si="0"/>
        <v>#VALUE!</v>
      </c>
    </row>
    <row r="760" spans="1:5" ht="12.75" customHeight="1" x14ac:dyDescent="0.2">
      <c r="A760" s="3"/>
      <c r="B760" s="3" t="s">
        <v>18</v>
      </c>
      <c r="C760" s="4" t="s">
        <v>19</v>
      </c>
      <c r="D760" s="2"/>
      <c r="E760" s="2" t="e">
        <f t="shared" si="0"/>
        <v>#VALUE!</v>
      </c>
    </row>
    <row r="761" spans="1:5" ht="12.75" customHeight="1" x14ac:dyDescent="0.2">
      <c r="A761" s="1" t="str">
        <f>HYPERLINK("javascript:void(0)","bőrszárny")</f>
        <v>bőrszárny</v>
      </c>
      <c r="B761" s="1"/>
      <c r="C761" s="1"/>
      <c r="D761" s="2"/>
      <c r="E761" s="2" t="e">
        <f t="shared" si="0"/>
        <v>#VALUE!</v>
      </c>
    </row>
    <row r="762" spans="1:5" ht="12.75" customHeight="1" x14ac:dyDescent="0.2">
      <c r="A762" s="3"/>
      <c r="B762" s="3" t="s">
        <v>0</v>
      </c>
      <c r="C762" s="3" t="s">
        <v>21</v>
      </c>
      <c r="D762" s="2"/>
      <c r="E762" s="2" t="e">
        <f t="shared" si="0"/>
        <v>#VALUE!</v>
      </c>
    </row>
    <row r="763" spans="1:5" ht="12.75" customHeight="1" x14ac:dyDescent="0.2">
      <c r="A763" s="3"/>
      <c r="B763" s="3" t="s">
        <v>2</v>
      </c>
      <c r="C763" s="3" t="s">
        <v>458</v>
      </c>
      <c r="D763" s="2"/>
      <c r="E763" s="2" t="e">
        <f t="shared" si="0"/>
        <v>#VALUE!</v>
      </c>
    </row>
    <row r="764" spans="1:5" ht="12.75" customHeight="1" x14ac:dyDescent="0.2">
      <c r="A764" s="3"/>
      <c r="B764" s="3" t="s">
        <v>9</v>
      </c>
      <c r="C764" s="3" t="s">
        <v>84</v>
      </c>
      <c r="D764" s="2"/>
      <c r="E764" s="2" t="e">
        <f t="shared" si="0"/>
        <v>#VALUE!</v>
      </c>
    </row>
    <row r="765" spans="1:5" ht="12.75" customHeight="1" x14ac:dyDescent="0.2">
      <c r="A765" s="3"/>
      <c r="B765" s="3" t="s">
        <v>11</v>
      </c>
      <c r="C765" s="3" t="s">
        <v>650</v>
      </c>
      <c r="D765" s="2"/>
      <c r="E765" s="2" t="e">
        <f t="shared" si="0"/>
        <v>#VALUE!</v>
      </c>
    </row>
    <row r="766" spans="1:5" ht="12.75" customHeight="1" x14ac:dyDescent="0.2">
      <c r="A766" s="3"/>
      <c r="B766" s="3" t="s">
        <v>18</v>
      </c>
      <c r="C766" s="4" t="s">
        <v>19</v>
      </c>
      <c r="D766" s="2"/>
      <c r="E766" s="2" t="e">
        <f t="shared" si="0"/>
        <v>#VALUE!</v>
      </c>
    </row>
    <row r="767" spans="1:5" ht="12.75" customHeight="1" x14ac:dyDescent="0.2">
      <c r="A767" s="1" t="str">
        <f>HYPERLINK("javascript:void(0)","bűvös pánsíp")</f>
        <v>bűvös pánsíp</v>
      </c>
      <c r="B767" s="1"/>
      <c r="C767" s="1"/>
      <c r="D767" s="2"/>
      <c r="E767" s="2" t="e">
        <f t="shared" si="0"/>
        <v>#VALUE!</v>
      </c>
    </row>
    <row r="768" spans="1:5" ht="12.75" customHeight="1" x14ac:dyDescent="0.2">
      <c r="A768" s="3"/>
      <c r="B768" s="3" t="s">
        <v>0</v>
      </c>
      <c r="C768" s="3" t="s">
        <v>21</v>
      </c>
      <c r="D768" s="2"/>
      <c r="E768" s="2" t="e">
        <f t="shared" si="0"/>
        <v>#VALUE!</v>
      </c>
    </row>
    <row r="769" spans="1:5" ht="12.75" customHeight="1" x14ac:dyDescent="0.2">
      <c r="A769" s="3"/>
      <c r="B769" s="3" t="s">
        <v>2</v>
      </c>
      <c r="C769" s="3" t="s">
        <v>387</v>
      </c>
      <c r="D769" s="2"/>
      <c r="E769" s="2" t="e">
        <f t="shared" si="0"/>
        <v>#VALUE!</v>
      </c>
    </row>
    <row r="770" spans="1:5" ht="12.75" customHeight="1" x14ac:dyDescent="0.2">
      <c r="A770" s="3"/>
      <c r="B770" s="3" t="s">
        <v>9</v>
      </c>
      <c r="C770" s="3" t="s">
        <v>70</v>
      </c>
      <c r="D770" s="2"/>
      <c r="E770" s="2" t="e">
        <f t="shared" si="0"/>
        <v>#VALUE!</v>
      </c>
    </row>
    <row r="771" spans="1:5" ht="12.75" customHeight="1" x14ac:dyDescent="0.2">
      <c r="A771" s="3"/>
      <c r="B771" s="3" t="s">
        <v>11</v>
      </c>
      <c r="C771" s="3" t="s">
        <v>23</v>
      </c>
      <c r="D771" s="2"/>
      <c r="E771" s="2" t="e">
        <f t="shared" si="0"/>
        <v>#VALUE!</v>
      </c>
    </row>
    <row r="772" spans="1:5" ht="12.75" customHeight="1" x14ac:dyDescent="0.2">
      <c r="A772" s="3"/>
      <c r="B772" s="3" t="s">
        <v>16</v>
      </c>
      <c r="C772" s="3" t="s">
        <v>388</v>
      </c>
      <c r="D772" s="2"/>
      <c r="E772" s="2" t="e">
        <f t="shared" si="0"/>
        <v>#VALUE!</v>
      </c>
    </row>
    <row r="773" spans="1:5" ht="12.75" customHeight="1" x14ac:dyDescent="0.2">
      <c r="A773" s="3"/>
      <c r="B773" s="3" t="s">
        <v>18</v>
      </c>
      <c r="C773" s="4" t="s">
        <v>19</v>
      </c>
      <c r="D773" s="2"/>
      <c r="E773" s="2" t="e">
        <f t="shared" si="0"/>
        <v>#VALUE!</v>
      </c>
    </row>
    <row r="774" spans="1:5" ht="12.75" customHeight="1" x14ac:dyDescent="0.2">
      <c r="A774" s="1" t="str">
        <f>HYPERLINK("javascript:void(0)","bűzmirigy")</f>
        <v>bűzmirigy</v>
      </c>
      <c r="B774" s="1"/>
      <c r="C774" s="1"/>
      <c r="D774" s="2"/>
      <c r="E774" s="2" t="e">
        <f t="shared" si="0"/>
        <v>#VALUE!</v>
      </c>
    </row>
    <row r="775" spans="1:5" ht="12.75" customHeight="1" x14ac:dyDescent="0.2">
      <c r="A775" s="3"/>
      <c r="B775" s="3" t="s">
        <v>0</v>
      </c>
      <c r="C775" s="3" t="s">
        <v>21</v>
      </c>
      <c r="D775" s="2"/>
      <c r="E775" s="2" t="e">
        <f t="shared" si="0"/>
        <v>#VALUE!</v>
      </c>
    </row>
    <row r="776" spans="1:5" ht="12.75" customHeight="1" x14ac:dyDescent="0.2">
      <c r="A776" s="3"/>
      <c r="B776" s="3" t="s">
        <v>2</v>
      </c>
      <c r="C776" s="3" t="s">
        <v>458</v>
      </c>
      <c r="D776" s="2"/>
      <c r="E776" s="2" t="e">
        <f t="shared" si="0"/>
        <v>#VALUE!</v>
      </c>
    </row>
    <row r="777" spans="1:5" ht="12.75" customHeight="1" x14ac:dyDescent="0.2">
      <c r="A777" s="3"/>
      <c r="B777" s="3" t="s">
        <v>9</v>
      </c>
      <c r="C777" s="3" t="s">
        <v>172</v>
      </c>
      <c r="D777" s="2"/>
      <c r="E777" s="2" t="e">
        <f t="shared" si="0"/>
        <v>#VALUE!</v>
      </c>
    </row>
    <row r="778" spans="1:5" ht="12.75" customHeight="1" x14ac:dyDescent="0.2">
      <c r="A778" s="3"/>
      <c r="B778" s="3" t="s">
        <v>11</v>
      </c>
      <c r="C778" s="3" t="s">
        <v>391</v>
      </c>
      <c r="D778" s="2"/>
      <c r="E778" s="2" t="e">
        <f t="shared" si="0"/>
        <v>#VALUE!</v>
      </c>
    </row>
    <row r="779" spans="1:5" ht="12.75" customHeight="1" x14ac:dyDescent="0.2">
      <c r="A779" s="3"/>
      <c r="B779" s="3" t="s">
        <v>18</v>
      </c>
      <c r="C779" s="4" t="s">
        <v>19</v>
      </c>
      <c r="D779" s="2"/>
      <c r="E779" s="2" t="e">
        <f t="shared" si="0"/>
        <v>#VALUE!</v>
      </c>
    </row>
    <row r="780" spans="1:5" ht="12.75" customHeight="1" x14ac:dyDescent="0.2">
      <c r="A780" s="1" t="str">
        <f>HYPERLINK("javascript:void(0)","centrata tőr")</f>
        <v>centrata tőr</v>
      </c>
      <c r="B780" s="1"/>
      <c r="C780" s="1"/>
      <c r="D780" s="2"/>
      <c r="E780" s="2" t="e">
        <f t="shared" si="0"/>
        <v>#VALUE!</v>
      </c>
    </row>
    <row r="781" spans="1:5" ht="12.75" customHeight="1" x14ac:dyDescent="0.2">
      <c r="A781" s="3"/>
      <c r="B781" s="3" t="s">
        <v>0</v>
      </c>
      <c r="C781" s="3" t="s">
        <v>21</v>
      </c>
      <c r="D781" s="2"/>
      <c r="E781" s="2" t="e">
        <f t="shared" si="0"/>
        <v>#VALUE!</v>
      </c>
    </row>
    <row r="782" spans="1:5" ht="12.75" customHeight="1" x14ac:dyDescent="0.2">
      <c r="A782" s="3"/>
      <c r="B782" s="3" t="s">
        <v>2</v>
      </c>
      <c r="C782" s="3" t="s">
        <v>387</v>
      </c>
      <c r="D782" s="2"/>
      <c r="E782" s="2" t="e">
        <f t="shared" si="0"/>
        <v>#VALUE!</v>
      </c>
    </row>
    <row r="783" spans="1:5" ht="12.75" customHeight="1" x14ac:dyDescent="0.2">
      <c r="A783" s="3"/>
      <c r="B783" s="3" t="s">
        <v>9</v>
      </c>
      <c r="C783" s="3" t="s">
        <v>172</v>
      </c>
      <c r="D783" s="2"/>
      <c r="E783" s="2" t="e">
        <f t="shared" si="0"/>
        <v>#VALUE!</v>
      </c>
    </row>
    <row r="784" spans="1:5" ht="12.75" customHeight="1" x14ac:dyDescent="0.2">
      <c r="A784" s="3"/>
      <c r="B784" s="3" t="s">
        <v>11</v>
      </c>
      <c r="C784" s="3" t="s">
        <v>23</v>
      </c>
      <c r="D784" s="2"/>
      <c r="E784" s="2" t="e">
        <f t="shared" si="0"/>
        <v>#VALUE!</v>
      </c>
    </row>
    <row r="785" spans="1:5" ht="12.75" customHeight="1" x14ac:dyDescent="0.2">
      <c r="A785" s="3"/>
      <c r="B785" s="3" t="s">
        <v>16</v>
      </c>
      <c r="C785" s="3" t="s">
        <v>388</v>
      </c>
      <c r="D785" s="2"/>
      <c r="E785" s="2" t="e">
        <f t="shared" si="0"/>
        <v>#VALUE!</v>
      </c>
    </row>
    <row r="786" spans="1:5" ht="12.75" customHeight="1" x14ac:dyDescent="0.2">
      <c r="A786" s="3"/>
      <c r="B786" s="3" t="s">
        <v>18</v>
      </c>
      <c r="C786" s="4" t="s">
        <v>19</v>
      </c>
      <c r="D786" s="2"/>
      <c r="E786" s="2" t="e">
        <f t="shared" si="0"/>
        <v>#VALUE!</v>
      </c>
    </row>
    <row r="787" spans="1:5" ht="12.75" customHeight="1" x14ac:dyDescent="0.2">
      <c r="A787" s="1" t="str">
        <f>HYPERLINK("javascript:void(0)","centrolium")</f>
        <v>centrolium</v>
      </c>
      <c r="B787" s="1"/>
      <c r="C787" s="1"/>
      <c r="D787" s="2"/>
      <c r="E787" s="2" t="e">
        <f t="shared" si="0"/>
        <v>#VALUE!</v>
      </c>
    </row>
    <row r="788" spans="1:5" ht="12.75" customHeight="1" x14ac:dyDescent="0.2">
      <c r="A788" s="3"/>
      <c r="B788" s="3" t="s">
        <v>0</v>
      </c>
      <c r="C788" s="3" t="s">
        <v>21</v>
      </c>
      <c r="D788" s="2"/>
      <c r="E788" s="2" t="e">
        <f t="shared" si="0"/>
        <v>#VALUE!</v>
      </c>
    </row>
    <row r="789" spans="1:5" ht="12.75" customHeight="1" x14ac:dyDescent="0.2">
      <c r="A789" s="3"/>
      <c r="B789" s="3" t="s">
        <v>2</v>
      </c>
      <c r="C789" s="3" t="s">
        <v>458</v>
      </c>
      <c r="D789" s="2"/>
      <c r="E789" s="2" t="e">
        <f t="shared" si="0"/>
        <v>#VALUE!</v>
      </c>
    </row>
    <row r="790" spans="1:5" ht="12.75" customHeight="1" x14ac:dyDescent="0.2">
      <c r="A790" s="3"/>
      <c r="B790" s="3" t="s">
        <v>9</v>
      </c>
      <c r="C790" s="3" t="s">
        <v>10</v>
      </c>
      <c r="D790" s="2"/>
      <c r="E790" s="2" t="e">
        <f t="shared" si="0"/>
        <v>#VALUE!</v>
      </c>
    </row>
    <row r="791" spans="1:5" ht="12.75" customHeight="1" x14ac:dyDescent="0.2">
      <c r="A791" s="3"/>
      <c r="B791" s="3" t="s">
        <v>11</v>
      </c>
      <c r="C791" s="3" t="s">
        <v>486</v>
      </c>
      <c r="D791" s="2"/>
      <c r="E791" s="2" t="e">
        <f t="shared" si="0"/>
        <v>#VALUE!</v>
      </c>
    </row>
    <row r="792" spans="1:5" ht="12.75" customHeight="1" x14ac:dyDescent="0.2">
      <c r="A792" s="3"/>
      <c r="B792" s="3" t="s">
        <v>18</v>
      </c>
      <c r="C792" s="4" t="s">
        <v>19</v>
      </c>
      <c r="D792" s="2"/>
      <c r="E792" s="2" t="e">
        <f t="shared" si="0"/>
        <v>#VALUE!</v>
      </c>
    </row>
    <row r="793" spans="1:5" ht="12.75" customHeight="1" x14ac:dyDescent="0.2">
      <c r="A793" s="1" t="str">
        <f>HYPERLINK("javascript:void(0)","cerka")</f>
        <v>cerka</v>
      </c>
      <c r="B793" s="1"/>
      <c r="C793" s="1"/>
      <c r="D793" s="2"/>
      <c r="E793" s="2" t="e">
        <f t="shared" si="0"/>
        <v>#VALUE!</v>
      </c>
    </row>
    <row r="794" spans="1:5" ht="12.75" customHeight="1" x14ac:dyDescent="0.2">
      <c r="A794" s="3"/>
      <c r="B794" s="3" t="s">
        <v>0</v>
      </c>
      <c r="C794" s="3" t="s">
        <v>21</v>
      </c>
      <c r="D794" s="2"/>
      <c r="E794" s="2" t="e">
        <f t="shared" si="0"/>
        <v>#VALUE!</v>
      </c>
    </row>
    <row r="795" spans="1:5" ht="12.75" customHeight="1" x14ac:dyDescent="0.2">
      <c r="A795" s="3"/>
      <c r="B795" s="3" t="s">
        <v>2</v>
      </c>
      <c r="C795" s="3" t="s">
        <v>458</v>
      </c>
      <c r="D795" s="2"/>
      <c r="E795" s="2" t="e">
        <f t="shared" si="0"/>
        <v>#VALUE!</v>
      </c>
    </row>
    <row r="796" spans="1:5" ht="12.75" customHeight="1" x14ac:dyDescent="0.2">
      <c r="A796" s="3"/>
      <c r="B796" s="3" t="s">
        <v>9</v>
      </c>
      <c r="C796" s="3" t="s">
        <v>22</v>
      </c>
      <c r="D796" s="2"/>
      <c r="E796" s="2" t="e">
        <f t="shared" si="0"/>
        <v>#VALUE!</v>
      </c>
    </row>
    <row r="797" spans="1:5" ht="12.75" customHeight="1" x14ac:dyDescent="0.2">
      <c r="A797" s="3"/>
      <c r="B797" s="3" t="s">
        <v>11</v>
      </c>
      <c r="C797" s="3" t="s">
        <v>561</v>
      </c>
      <c r="D797" s="2"/>
      <c r="E797" s="2" t="e">
        <f t="shared" si="0"/>
        <v>#VALUE!</v>
      </c>
    </row>
    <row r="798" spans="1:5" ht="12.75" customHeight="1" x14ac:dyDescent="0.2">
      <c r="A798" s="3"/>
      <c r="B798" s="3" t="s">
        <v>18</v>
      </c>
      <c r="C798" s="4" t="s">
        <v>19</v>
      </c>
      <c r="D798" s="2"/>
      <c r="E798" s="2" t="e">
        <f t="shared" si="0"/>
        <v>#VALUE!</v>
      </c>
    </row>
    <row r="799" spans="1:5" ht="12.75" customHeight="1" x14ac:dyDescent="0.2">
      <c r="A799" s="1" t="str">
        <f>HYPERLINK("javascript:void(0)","cingulum")</f>
        <v>cingulum</v>
      </c>
      <c r="B799" s="1"/>
      <c r="C799" s="1"/>
      <c r="D799" s="2"/>
      <c r="E799" s="2" t="e">
        <f t="shared" si="0"/>
        <v>#VALUE!</v>
      </c>
    </row>
    <row r="800" spans="1:5" ht="12.75" customHeight="1" x14ac:dyDescent="0.2">
      <c r="A800" s="3"/>
      <c r="B800" s="3" t="s">
        <v>0</v>
      </c>
      <c r="C800" s="3" t="s">
        <v>21</v>
      </c>
      <c r="D800" s="2"/>
      <c r="E800" s="2" t="e">
        <f t="shared" si="0"/>
        <v>#VALUE!</v>
      </c>
    </row>
    <row r="801" spans="1:5" ht="12.75" customHeight="1" x14ac:dyDescent="0.2">
      <c r="A801" s="3"/>
      <c r="B801" s="3" t="s">
        <v>2</v>
      </c>
      <c r="C801" s="3" t="s">
        <v>458</v>
      </c>
      <c r="D801" s="2"/>
      <c r="E801" s="2" t="e">
        <f t="shared" si="0"/>
        <v>#VALUE!</v>
      </c>
    </row>
    <row r="802" spans="1:5" ht="12.75" customHeight="1" x14ac:dyDescent="0.2">
      <c r="A802" s="3"/>
      <c r="B802" s="3" t="s">
        <v>9</v>
      </c>
      <c r="C802" s="3" t="s">
        <v>10</v>
      </c>
      <c r="D802" s="2"/>
      <c r="E802" s="2" t="e">
        <f t="shared" si="0"/>
        <v>#VALUE!</v>
      </c>
    </row>
    <row r="803" spans="1:5" ht="12.75" customHeight="1" x14ac:dyDescent="0.2">
      <c r="A803" s="3"/>
      <c r="B803" s="3" t="s">
        <v>11</v>
      </c>
      <c r="C803" s="3" t="s">
        <v>589</v>
      </c>
      <c r="D803" s="2"/>
      <c r="E803" s="2" t="e">
        <f t="shared" si="0"/>
        <v>#VALUE!</v>
      </c>
    </row>
    <row r="804" spans="1:5" ht="12.75" customHeight="1" x14ac:dyDescent="0.2">
      <c r="A804" s="3"/>
      <c r="B804" s="3" t="s">
        <v>18</v>
      </c>
      <c r="C804" s="4" t="s">
        <v>19</v>
      </c>
      <c r="D804" s="2"/>
      <c r="E804" s="2" t="e">
        <f t="shared" si="0"/>
        <v>#VALUE!</v>
      </c>
    </row>
    <row r="805" spans="1:5" ht="12.75" customHeight="1" x14ac:dyDescent="0.2">
      <c r="A805" s="1" t="str">
        <f>HYPERLINK("javascript:void(0)","cordionium")</f>
        <v>cordionium</v>
      </c>
      <c r="B805" s="1"/>
      <c r="C805" s="1"/>
      <c r="D805" s="2"/>
      <c r="E805" s="2" t="e">
        <f t="shared" si="0"/>
        <v>#VALUE!</v>
      </c>
    </row>
    <row r="806" spans="1:5" ht="12.75" customHeight="1" x14ac:dyDescent="0.2">
      <c r="A806" s="3"/>
      <c r="B806" s="3" t="s">
        <v>0</v>
      </c>
      <c r="C806" s="3" t="s">
        <v>21</v>
      </c>
      <c r="D806" s="2"/>
      <c r="E806" s="2" t="e">
        <f t="shared" si="0"/>
        <v>#VALUE!</v>
      </c>
    </row>
    <row r="807" spans="1:5" ht="12.75" customHeight="1" x14ac:dyDescent="0.2">
      <c r="A807" s="3"/>
      <c r="B807" s="3" t="s">
        <v>2</v>
      </c>
      <c r="C807" s="3" t="s">
        <v>564</v>
      </c>
      <c r="D807" s="2"/>
      <c r="E807" s="2" t="e">
        <f t="shared" si="0"/>
        <v>#VALUE!</v>
      </c>
    </row>
    <row r="808" spans="1:5" ht="12.75" customHeight="1" x14ac:dyDescent="0.2">
      <c r="A808" s="3"/>
      <c r="B808" s="3" t="s">
        <v>9</v>
      </c>
      <c r="C808" s="3" t="s">
        <v>22</v>
      </c>
      <c r="D808" s="2"/>
      <c r="E808" s="2" t="e">
        <f t="shared" si="0"/>
        <v>#VALUE!</v>
      </c>
    </row>
    <row r="809" spans="1:5" ht="12.75" customHeight="1" x14ac:dyDescent="0.2">
      <c r="A809" s="3"/>
      <c r="B809" s="3" t="s">
        <v>11</v>
      </c>
      <c r="C809" s="3" t="s">
        <v>177</v>
      </c>
      <c r="D809" s="2"/>
      <c r="E809" s="2" t="e">
        <f t="shared" si="0"/>
        <v>#VALUE!</v>
      </c>
    </row>
    <row r="810" spans="1:5" ht="12.75" customHeight="1" x14ac:dyDescent="0.2">
      <c r="A810" s="3"/>
      <c r="B810" s="3" t="s">
        <v>18</v>
      </c>
      <c r="C810" s="4" t="s">
        <v>19</v>
      </c>
      <c r="D810" s="2"/>
      <c r="E810" s="2" t="e">
        <f t="shared" si="0"/>
        <v>#VALUE!</v>
      </c>
    </row>
    <row r="811" spans="1:5" ht="12.75" customHeight="1" x14ac:dyDescent="0.2">
      <c r="A811" s="1" t="str">
        <f>HYPERLINK("javascript:void(0)","csapdaszeg")</f>
        <v>csapdaszeg</v>
      </c>
      <c r="B811" s="1"/>
      <c r="C811" s="1"/>
      <c r="D811" s="2"/>
      <c r="E811" s="2" t="e">
        <f t="shared" si="0"/>
        <v>#VALUE!</v>
      </c>
    </row>
    <row r="812" spans="1:5" ht="12.75" customHeight="1" x14ac:dyDescent="0.2">
      <c r="A812" s="3"/>
      <c r="B812" s="3" t="s">
        <v>0</v>
      </c>
      <c r="C812" s="3" t="s">
        <v>21</v>
      </c>
      <c r="D812" s="2"/>
      <c r="E812" s="2" t="e">
        <f t="shared" si="0"/>
        <v>#VALUE!</v>
      </c>
    </row>
    <row r="813" spans="1:5" ht="12.75" customHeight="1" x14ac:dyDescent="0.2">
      <c r="A813" s="3"/>
      <c r="B813" s="3" t="s">
        <v>2</v>
      </c>
      <c r="C813" s="3" t="s">
        <v>458</v>
      </c>
      <c r="D813" s="2"/>
      <c r="E813" s="2" t="e">
        <f t="shared" si="0"/>
        <v>#VALUE!</v>
      </c>
    </row>
    <row r="814" spans="1:5" ht="12.75" customHeight="1" x14ac:dyDescent="0.2">
      <c r="A814" s="3"/>
      <c r="B814" s="3" t="s">
        <v>9</v>
      </c>
      <c r="C814" s="3" t="s">
        <v>10</v>
      </c>
      <c r="D814" s="2"/>
      <c r="E814" s="2" t="e">
        <f t="shared" si="0"/>
        <v>#VALUE!</v>
      </c>
    </row>
    <row r="815" spans="1:5" ht="12.75" customHeight="1" x14ac:dyDescent="0.2">
      <c r="A815" s="3"/>
      <c r="B815" s="3" t="s">
        <v>11</v>
      </c>
      <c r="C815" s="3" t="s">
        <v>89</v>
      </c>
      <c r="D815" s="2"/>
      <c r="E815" s="2" t="e">
        <f t="shared" si="0"/>
        <v>#VALUE!</v>
      </c>
    </row>
    <row r="816" spans="1:5" ht="12.75" customHeight="1" x14ac:dyDescent="0.2">
      <c r="A816" s="3"/>
      <c r="B816" s="3" t="s">
        <v>18</v>
      </c>
      <c r="C816" s="4" t="s">
        <v>19</v>
      </c>
      <c r="D816" s="2"/>
      <c r="E816" s="2" t="e">
        <f t="shared" si="0"/>
        <v>#VALUE!</v>
      </c>
    </row>
    <row r="817" spans="1:5" ht="12.75" customHeight="1" x14ac:dyDescent="0.2">
      <c r="A817" s="1" t="str">
        <f>HYPERLINK("javascript:void(0)","csatapata")</f>
        <v>csatapata</v>
      </c>
      <c r="B817" s="1"/>
      <c r="C817" s="1"/>
      <c r="D817" s="2"/>
      <c r="E817" s="2" t="e">
        <f t="shared" si="0"/>
        <v>#VALUE!</v>
      </c>
    </row>
    <row r="818" spans="1:5" ht="12.75" customHeight="1" x14ac:dyDescent="0.2">
      <c r="A818" s="3"/>
      <c r="B818" s="3" t="s">
        <v>0</v>
      </c>
      <c r="C818" s="3" t="s">
        <v>21</v>
      </c>
      <c r="D818" s="2"/>
      <c r="E818" s="2" t="e">
        <f t="shared" si="0"/>
        <v>#VALUE!</v>
      </c>
    </row>
    <row r="819" spans="1:5" ht="12.75" customHeight="1" x14ac:dyDescent="0.2">
      <c r="A819" s="3"/>
      <c r="B819" s="3" t="s">
        <v>2</v>
      </c>
      <c r="C819" s="3" t="s">
        <v>458</v>
      </c>
      <c r="D819" s="2"/>
      <c r="E819" s="2" t="e">
        <f t="shared" si="0"/>
        <v>#VALUE!</v>
      </c>
    </row>
    <row r="820" spans="1:5" ht="12.75" customHeight="1" x14ac:dyDescent="0.2">
      <c r="A820" s="3"/>
      <c r="B820" s="3" t="s">
        <v>9</v>
      </c>
      <c r="C820" s="3" t="s">
        <v>113</v>
      </c>
      <c r="D820" s="2"/>
      <c r="E820" s="2" t="e">
        <f t="shared" si="0"/>
        <v>#VALUE!</v>
      </c>
    </row>
    <row r="821" spans="1:5" ht="12.75" customHeight="1" x14ac:dyDescent="0.2">
      <c r="A821" s="3"/>
      <c r="B821" s="3" t="s">
        <v>11</v>
      </c>
      <c r="C821" s="3" t="s">
        <v>519</v>
      </c>
      <c r="D821" s="2"/>
      <c r="E821" s="2" t="e">
        <f t="shared" si="0"/>
        <v>#VALUE!</v>
      </c>
    </row>
    <row r="822" spans="1:5" ht="12.75" customHeight="1" x14ac:dyDescent="0.2">
      <c r="A822" s="3"/>
      <c r="B822" s="3" t="s">
        <v>18</v>
      </c>
      <c r="C822" s="4" t="s">
        <v>19</v>
      </c>
      <c r="D822" s="2"/>
      <c r="E822" s="2" t="e">
        <f t="shared" si="0"/>
        <v>#VALUE!</v>
      </c>
    </row>
    <row r="823" spans="1:5" ht="12.75" customHeight="1" x14ac:dyDescent="0.2">
      <c r="A823" s="1" t="str">
        <f>HYPERLINK("javascript:void(0)","csatatüske")</f>
        <v>csatatüske</v>
      </c>
      <c r="B823" s="1"/>
      <c r="C823" s="1"/>
      <c r="D823" s="2"/>
      <c r="E823" s="2" t="e">
        <f t="shared" si="0"/>
        <v>#VALUE!</v>
      </c>
    </row>
    <row r="824" spans="1:5" ht="12.75" customHeight="1" x14ac:dyDescent="0.2">
      <c r="A824" s="3"/>
      <c r="B824" s="3" t="s">
        <v>0</v>
      </c>
      <c r="C824" s="3" t="s">
        <v>21</v>
      </c>
      <c r="D824" s="2"/>
      <c r="E824" s="2" t="e">
        <f t="shared" si="0"/>
        <v>#VALUE!</v>
      </c>
    </row>
    <row r="825" spans="1:5" ht="12.75" customHeight="1" x14ac:dyDescent="0.2">
      <c r="A825" s="3"/>
      <c r="B825" s="3" t="s">
        <v>2</v>
      </c>
      <c r="C825" s="3" t="s">
        <v>458</v>
      </c>
      <c r="D825" s="2"/>
      <c r="E825" s="2" t="e">
        <f t="shared" si="0"/>
        <v>#VALUE!</v>
      </c>
    </row>
    <row r="826" spans="1:5" ht="12.75" customHeight="1" x14ac:dyDescent="0.2">
      <c r="A826" s="3"/>
      <c r="B826" s="3" t="s">
        <v>9</v>
      </c>
      <c r="C826" s="3" t="s">
        <v>53</v>
      </c>
      <c r="D826" s="2"/>
      <c r="E826" s="2" t="e">
        <f t="shared" si="0"/>
        <v>#VALUE!</v>
      </c>
    </row>
    <row r="827" spans="1:5" ht="12.75" customHeight="1" x14ac:dyDescent="0.2">
      <c r="A827" s="3"/>
      <c r="B827" s="3" t="s">
        <v>11</v>
      </c>
      <c r="C827" s="3" t="s">
        <v>670</v>
      </c>
      <c r="D827" s="2"/>
      <c r="E827" s="2" t="e">
        <f t="shared" si="0"/>
        <v>#VALUE!</v>
      </c>
    </row>
    <row r="828" spans="1:5" ht="12.75" customHeight="1" x14ac:dyDescent="0.2">
      <c r="A828" s="3"/>
      <c r="B828" s="3" t="s">
        <v>18</v>
      </c>
      <c r="C828" s="4" t="s">
        <v>19</v>
      </c>
      <c r="D828" s="2"/>
      <c r="E828" s="2" t="e">
        <f t="shared" si="0"/>
        <v>#VALUE!</v>
      </c>
    </row>
    <row r="829" spans="1:5" ht="12.75" customHeight="1" x14ac:dyDescent="0.2">
      <c r="A829" s="1" t="str">
        <f>HYPERLINK("javascript:void(0)","csempe")</f>
        <v>csempe</v>
      </c>
      <c r="B829" s="1"/>
      <c r="C829" s="1"/>
      <c r="D829" s="2"/>
      <c r="E829" s="2" t="e">
        <f t="shared" si="0"/>
        <v>#VALUE!</v>
      </c>
    </row>
    <row r="830" spans="1:5" ht="12.75" customHeight="1" x14ac:dyDescent="0.2">
      <c r="A830" s="3"/>
      <c r="B830" s="3" t="s">
        <v>0</v>
      </c>
      <c r="C830" s="3" t="s">
        <v>21</v>
      </c>
      <c r="D830" s="2"/>
      <c r="E830" s="2" t="e">
        <f t="shared" si="0"/>
        <v>#VALUE!</v>
      </c>
    </row>
    <row r="831" spans="1:5" ht="12.75" customHeight="1" x14ac:dyDescent="0.2">
      <c r="A831" s="3"/>
      <c r="B831" s="3" t="s">
        <v>2</v>
      </c>
      <c r="C831" s="3" t="s">
        <v>458</v>
      </c>
      <c r="D831" s="2"/>
      <c r="E831" s="2" t="e">
        <f t="shared" si="0"/>
        <v>#VALUE!</v>
      </c>
    </row>
    <row r="832" spans="1:5" ht="12.75" customHeight="1" x14ac:dyDescent="0.2">
      <c r="A832" s="3"/>
      <c r="B832" s="3" t="s">
        <v>9</v>
      </c>
      <c r="C832" s="3" t="s">
        <v>22</v>
      </c>
      <c r="D832" s="2"/>
      <c r="E832" s="2" t="e">
        <f t="shared" si="0"/>
        <v>#VALUE!</v>
      </c>
    </row>
    <row r="833" spans="1:5" ht="12.75" customHeight="1" x14ac:dyDescent="0.2">
      <c r="A833" s="3"/>
      <c r="B833" s="3" t="s">
        <v>11</v>
      </c>
      <c r="C833" s="3" t="s">
        <v>177</v>
      </c>
      <c r="D833" s="2"/>
      <c r="E833" s="2" t="e">
        <f t="shared" si="0"/>
        <v>#VALUE!</v>
      </c>
    </row>
    <row r="834" spans="1:5" ht="12.75" customHeight="1" x14ac:dyDescent="0.2">
      <c r="A834" s="3"/>
      <c r="B834" s="3" t="s">
        <v>18</v>
      </c>
      <c r="C834" s="4" t="s">
        <v>19</v>
      </c>
      <c r="D834" s="2"/>
      <c r="E834" s="2" t="e">
        <f t="shared" si="0"/>
        <v>#VALUE!</v>
      </c>
    </row>
    <row r="835" spans="1:5" ht="12.75" customHeight="1" x14ac:dyDescent="0.2">
      <c r="A835" s="1" t="str">
        <f>HYPERLINK("javascript:void(0)","csendige")</f>
        <v>csendige</v>
      </c>
      <c r="B835" s="1"/>
      <c r="C835" s="1"/>
      <c r="D835" s="2"/>
      <c r="E835" s="2" t="e">
        <f t="shared" si="0"/>
        <v>#VALUE!</v>
      </c>
    </row>
    <row r="836" spans="1:5" ht="12.75" customHeight="1" x14ac:dyDescent="0.2">
      <c r="A836" s="3"/>
      <c r="B836" s="3" t="s">
        <v>0</v>
      </c>
      <c r="C836" s="3" t="s">
        <v>21</v>
      </c>
      <c r="D836" s="2"/>
      <c r="E836" s="2" t="e">
        <f t="shared" si="0"/>
        <v>#VALUE!</v>
      </c>
    </row>
    <row r="837" spans="1:5" ht="12.75" customHeight="1" x14ac:dyDescent="0.2">
      <c r="A837" s="3"/>
      <c r="B837" s="3" t="s">
        <v>2</v>
      </c>
      <c r="C837" s="3" t="s">
        <v>458</v>
      </c>
      <c r="D837" s="2"/>
      <c r="E837" s="2" t="e">
        <f t="shared" si="0"/>
        <v>#VALUE!</v>
      </c>
    </row>
    <row r="838" spans="1:5" ht="12.75" customHeight="1" x14ac:dyDescent="0.2">
      <c r="A838" s="3"/>
      <c r="B838" s="3" t="s">
        <v>9</v>
      </c>
      <c r="C838" s="3" t="s">
        <v>22</v>
      </c>
      <c r="D838" s="2"/>
      <c r="E838" s="2" t="e">
        <f t="shared" si="0"/>
        <v>#VALUE!</v>
      </c>
    </row>
    <row r="839" spans="1:5" ht="12.75" customHeight="1" x14ac:dyDescent="0.2">
      <c r="A839" s="3"/>
      <c r="B839" s="3" t="s">
        <v>11</v>
      </c>
      <c r="C839" s="3" t="s">
        <v>116</v>
      </c>
      <c r="D839" s="2"/>
      <c r="E839" s="2" t="e">
        <f t="shared" si="0"/>
        <v>#VALUE!</v>
      </c>
    </row>
    <row r="840" spans="1:5" ht="12.75" customHeight="1" x14ac:dyDescent="0.2">
      <c r="A840" s="3"/>
      <c r="B840" s="3" t="s">
        <v>18</v>
      </c>
      <c r="C840" s="4" t="s">
        <v>19</v>
      </c>
      <c r="D840" s="2"/>
      <c r="E840" s="2" t="e">
        <f t="shared" si="0"/>
        <v>#VALUE!</v>
      </c>
    </row>
    <row r="841" spans="1:5" ht="12.75" customHeight="1" x14ac:dyDescent="0.2">
      <c r="A841" s="1" t="str">
        <f>HYPERLINK("javascript:void(0)","cseppkő")</f>
        <v>cseppkő</v>
      </c>
      <c r="B841" s="1"/>
      <c r="C841" s="1"/>
      <c r="D841" s="2"/>
      <c r="E841" s="2" t="e">
        <f t="shared" si="0"/>
        <v>#VALUE!</v>
      </c>
    </row>
    <row r="842" spans="1:5" ht="12.75" customHeight="1" x14ac:dyDescent="0.2">
      <c r="A842" s="3"/>
      <c r="B842" s="3" t="s">
        <v>0</v>
      </c>
      <c r="C842" s="3" t="s">
        <v>21</v>
      </c>
      <c r="D842" s="2"/>
      <c r="E842" s="2" t="e">
        <f t="shared" si="0"/>
        <v>#VALUE!</v>
      </c>
    </row>
    <row r="843" spans="1:5" ht="12.75" customHeight="1" x14ac:dyDescent="0.2">
      <c r="A843" s="3"/>
      <c r="B843" s="3" t="s">
        <v>2</v>
      </c>
      <c r="C843" s="3" t="s">
        <v>458</v>
      </c>
      <c r="D843" s="2"/>
      <c r="E843" s="2" t="e">
        <f t="shared" si="0"/>
        <v>#VALUE!</v>
      </c>
    </row>
    <row r="844" spans="1:5" ht="12.75" customHeight="1" x14ac:dyDescent="0.2">
      <c r="A844" s="3"/>
      <c r="B844" s="3" t="s">
        <v>9</v>
      </c>
      <c r="C844" s="3" t="s">
        <v>22</v>
      </c>
      <c r="D844" s="2"/>
      <c r="E844" s="2" t="e">
        <f t="shared" si="0"/>
        <v>#VALUE!</v>
      </c>
    </row>
    <row r="845" spans="1:5" ht="12.75" customHeight="1" x14ac:dyDescent="0.2">
      <c r="A845" s="3"/>
      <c r="B845" s="3" t="s">
        <v>11</v>
      </c>
      <c r="C845" s="3" t="s">
        <v>276</v>
      </c>
      <c r="D845" s="2"/>
      <c r="E845" s="2" t="e">
        <f t="shared" si="0"/>
        <v>#VALUE!</v>
      </c>
    </row>
    <row r="846" spans="1:5" ht="12.75" customHeight="1" x14ac:dyDescent="0.2">
      <c r="A846" s="3"/>
      <c r="B846" s="3" t="s">
        <v>18</v>
      </c>
      <c r="C846" s="4" t="s">
        <v>19</v>
      </c>
      <c r="D846" s="2"/>
      <c r="E846" s="2" t="e">
        <f t="shared" si="0"/>
        <v>#VALUE!</v>
      </c>
    </row>
    <row r="847" spans="1:5" ht="12.75" customHeight="1" x14ac:dyDescent="0.2">
      <c r="A847" s="1" t="str">
        <f>HYPERLINK("javascript:void(0)","csigaház")</f>
        <v>csigaház</v>
      </c>
      <c r="B847" s="1"/>
      <c r="C847" s="1"/>
      <c r="D847" s="2"/>
      <c r="E847" s="2" t="e">
        <f t="shared" si="0"/>
        <v>#VALUE!</v>
      </c>
    </row>
    <row r="848" spans="1:5" ht="12.75" customHeight="1" x14ac:dyDescent="0.2">
      <c r="A848" s="3"/>
      <c r="B848" s="3" t="s">
        <v>0</v>
      </c>
      <c r="C848" s="3" t="s">
        <v>21</v>
      </c>
      <c r="D848" s="2"/>
      <c r="E848" s="2" t="e">
        <f t="shared" si="0"/>
        <v>#VALUE!</v>
      </c>
    </row>
    <row r="849" spans="1:5" ht="12.75" customHeight="1" x14ac:dyDescent="0.2">
      <c r="A849" s="3"/>
      <c r="B849" s="3" t="s">
        <v>2</v>
      </c>
      <c r="C849" s="3" t="s">
        <v>458</v>
      </c>
      <c r="D849" s="2"/>
      <c r="E849" s="2" t="e">
        <f t="shared" si="0"/>
        <v>#VALUE!</v>
      </c>
    </row>
    <row r="850" spans="1:5" ht="12.75" customHeight="1" x14ac:dyDescent="0.2">
      <c r="A850" s="3"/>
      <c r="B850" s="3" t="s">
        <v>9</v>
      </c>
      <c r="C850" s="3" t="s">
        <v>210</v>
      </c>
      <c r="D850" s="2"/>
      <c r="E850" s="2" t="e">
        <f t="shared" si="0"/>
        <v>#VALUE!</v>
      </c>
    </row>
    <row r="851" spans="1:5" ht="12.75" customHeight="1" x14ac:dyDescent="0.2">
      <c r="A851" s="3"/>
      <c r="B851" s="3" t="s">
        <v>11</v>
      </c>
      <c r="C851" s="3" t="s">
        <v>685</v>
      </c>
      <c r="D851" s="2"/>
      <c r="E851" s="2" t="e">
        <f t="shared" si="0"/>
        <v>#VALUE!</v>
      </c>
    </row>
    <row r="852" spans="1:5" ht="12.75" customHeight="1" x14ac:dyDescent="0.2">
      <c r="A852" s="3"/>
      <c r="B852" s="3" t="s">
        <v>18</v>
      </c>
      <c r="C852" s="4" t="s">
        <v>19</v>
      </c>
      <c r="D852" s="2"/>
      <c r="E852" s="2" t="e">
        <f t="shared" si="0"/>
        <v>#VALUE!</v>
      </c>
    </row>
    <row r="853" spans="1:5" ht="12.75" customHeight="1" x14ac:dyDescent="0.2">
      <c r="A853" s="1" t="str">
        <f>HYPERLINK("javascript:void(0)","csigaszem")</f>
        <v>csigaszem</v>
      </c>
      <c r="B853" s="1"/>
      <c r="C853" s="1"/>
      <c r="D853" s="2"/>
      <c r="E853" s="2" t="e">
        <f t="shared" si="0"/>
        <v>#VALUE!</v>
      </c>
    </row>
    <row r="854" spans="1:5" ht="12.75" customHeight="1" x14ac:dyDescent="0.2">
      <c r="A854" s="3"/>
      <c r="B854" s="3" t="s">
        <v>0</v>
      </c>
      <c r="C854" s="3" t="s">
        <v>21</v>
      </c>
      <c r="D854" s="2"/>
      <c r="E854" s="2" t="e">
        <f t="shared" si="0"/>
        <v>#VALUE!</v>
      </c>
    </row>
    <row r="855" spans="1:5" ht="12.75" customHeight="1" x14ac:dyDescent="0.2">
      <c r="A855" s="3"/>
      <c r="B855" s="3" t="s">
        <v>2</v>
      </c>
      <c r="C855" s="3" t="s">
        <v>458</v>
      </c>
      <c r="D855" s="2"/>
      <c r="E855" s="2" t="e">
        <f t="shared" si="0"/>
        <v>#VALUE!</v>
      </c>
    </row>
    <row r="856" spans="1:5" ht="12.75" customHeight="1" x14ac:dyDescent="0.2">
      <c r="A856" s="3"/>
      <c r="B856" s="3" t="s">
        <v>9</v>
      </c>
      <c r="C856" s="3" t="s">
        <v>404</v>
      </c>
      <c r="D856" s="2"/>
      <c r="E856" s="2" t="e">
        <f t="shared" si="0"/>
        <v>#VALUE!</v>
      </c>
    </row>
    <row r="857" spans="1:5" ht="12.75" customHeight="1" x14ac:dyDescent="0.2">
      <c r="A857" s="3"/>
      <c r="B857" s="3" t="s">
        <v>11</v>
      </c>
      <c r="C857" s="3" t="s">
        <v>168</v>
      </c>
      <c r="D857" s="2"/>
      <c r="E857" s="2" t="e">
        <f t="shared" si="0"/>
        <v>#VALUE!</v>
      </c>
    </row>
    <row r="858" spans="1:5" ht="12.75" customHeight="1" x14ac:dyDescent="0.2">
      <c r="A858" s="3"/>
      <c r="B858" s="3" t="s">
        <v>18</v>
      </c>
      <c r="C858" s="4" t="s">
        <v>19</v>
      </c>
      <c r="D858" s="2"/>
      <c r="E858" s="2" t="e">
        <f t="shared" si="0"/>
        <v>#VALUE!</v>
      </c>
    </row>
    <row r="859" spans="1:5" ht="12.75" customHeight="1" x14ac:dyDescent="0.2">
      <c r="A859" s="1" t="str">
        <f>HYPERLINK("javascript:void(0)","csigaterelő")</f>
        <v>csigaterelő</v>
      </c>
      <c r="B859" s="1"/>
      <c r="C859" s="1"/>
      <c r="D859" s="2"/>
      <c r="E859" s="2" t="e">
        <f t="shared" si="0"/>
        <v>#VALUE!</v>
      </c>
    </row>
    <row r="860" spans="1:5" ht="12.75" customHeight="1" x14ac:dyDescent="0.2">
      <c r="A860" s="3"/>
      <c r="B860" s="3" t="s">
        <v>0</v>
      </c>
      <c r="C860" s="3" t="s">
        <v>21</v>
      </c>
      <c r="D860" s="2"/>
      <c r="E860" s="2" t="e">
        <f t="shared" si="0"/>
        <v>#VALUE!</v>
      </c>
    </row>
    <row r="861" spans="1:5" ht="12.75" customHeight="1" x14ac:dyDescent="0.2">
      <c r="A861" s="3"/>
      <c r="B861" s="3" t="s">
        <v>2</v>
      </c>
      <c r="C861" s="3" t="s">
        <v>458</v>
      </c>
      <c r="D861" s="2"/>
      <c r="E861" s="2" t="e">
        <f t="shared" si="0"/>
        <v>#VALUE!</v>
      </c>
    </row>
    <row r="862" spans="1:5" ht="12.75" customHeight="1" x14ac:dyDescent="0.2">
      <c r="A862" s="3"/>
      <c r="B862" s="3" t="s">
        <v>9</v>
      </c>
      <c r="C862" s="3" t="s">
        <v>22</v>
      </c>
      <c r="D862" s="2"/>
      <c r="E862" s="2" t="e">
        <f t="shared" si="0"/>
        <v>#VALUE!</v>
      </c>
    </row>
    <row r="863" spans="1:5" ht="12.75" customHeight="1" x14ac:dyDescent="0.2">
      <c r="A863" s="3"/>
      <c r="B863" s="3" t="s">
        <v>11</v>
      </c>
      <c r="C863" s="3" t="s">
        <v>152</v>
      </c>
      <c r="D863" s="2"/>
      <c r="E863" s="2" t="e">
        <f t="shared" si="0"/>
        <v>#VALUE!</v>
      </c>
    </row>
    <row r="864" spans="1:5" ht="12.75" customHeight="1" x14ac:dyDescent="0.2">
      <c r="A864" s="3"/>
      <c r="B864" s="3" t="s">
        <v>18</v>
      </c>
      <c r="C864" s="4" t="s">
        <v>19</v>
      </c>
      <c r="D864" s="2"/>
      <c r="E864" s="2" t="e">
        <f t="shared" si="0"/>
        <v>#VALUE!</v>
      </c>
    </row>
    <row r="865" spans="1:5" ht="12.75" customHeight="1" x14ac:dyDescent="0.2">
      <c r="A865" s="1" t="str">
        <f>HYPERLINK("javascript:void(0)","csillagszirom")</f>
        <v>csillagszirom</v>
      </c>
      <c r="B865" s="1"/>
      <c r="C865" s="1"/>
      <c r="D865" s="2"/>
      <c r="E865" s="2" t="e">
        <f t="shared" si="0"/>
        <v>#VALUE!</v>
      </c>
    </row>
    <row r="866" spans="1:5" ht="12.75" customHeight="1" x14ac:dyDescent="0.2">
      <c r="A866" s="3"/>
      <c r="B866" s="3" t="s">
        <v>0</v>
      </c>
      <c r="C866" s="3" t="s">
        <v>21</v>
      </c>
      <c r="D866" s="2"/>
      <c r="E866" s="2" t="e">
        <f t="shared" si="0"/>
        <v>#VALUE!</v>
      </c>
    </row>
    <row r="867" spans="1:5" ht="12.75" customHeight="1" x14ac:dyDescent="0.2">
      <c r="A867" s="3"/>
      <c r="B867" s="3" t="s">
        <v>2</v>
      </c>
      <c r="C867" s="3" t="s">
        <v>458</v>
      </c>
      <c r="D867" s="2"/>
      <c r="E867" s="2" t="e">
        <f t="shared" si="0"/>
        <v>#VALUE!</v>
      </c>
    </row>
    <row r="868" spans="1:5" ht="12.75" customHeight="1" x14ac:dyDescent="0.2">
      <c r="A868" s="3"/>
      <c r="B868" s="3" t="s">
        <v>9</v>
      </c>
      <c r="C868" s="3" t="s">
        <v>22</v>
      </c>
      <c r="D868" s="2"/>
      <c r="E868" s="2" t="e">
        <f t="shared" si="0"/>
        <v>#VALUE!</v>
      </c>
    </row>
    <row r="869" spans="1:5" ht="12.75" customHeight="1" x14ac:dyDescent="0.2">
      <c r="A869" s="3"/>
      <c r="B869" s="3" t="s">
        <v>11</v>
      </c>
      <c r="C869" s="3" t="s">
        <v>689</v>
      </c>
      <c r="D869" s="2"/>
      <c r="E869" s="2" t="e">
        <f t="shared" si="0"/>
        <v>#VALUE!</v>
      </c>
    </row>
    <row r="870" spans="1:5" ht="12.75" customHeight="1" x14ac:dyDescent="0.2">
      <c r="A870" s="3"/>
      <c r="B870" s="3" t="s">
        <v>18</v>
      </c>
      <c r="C870" s="4" t="s">
        <v>19</v>
      </c>
      <c r="D870" s="2"/>
      <c r="E870" s="2" t="e">
        <f t="shared" si="0"/>
        <v>#VALUE!</v>
      </c>
    </row>
    <row r="871" spans="1:5" ht="12.75" customHeight="1" x14ac:dyDescent="0.2">
      <c r="A871" s="1" t="str">
        <f>HYPERLINK("javascript:void(0)","csodaflaska")</f>
        <v>csodaflaska</v>
      </c>
      <c r="B871" s="1"/>
      <c r="C871" s="1"/>
      <c r="D871" s="2"/>
      <c r="E871" s="2" t="e">
        <f t="shared" si="0"/>
        <v>#VALUE!</v>
      </c>
    </row>
    <row r="872" spans="1:5" ht="12.75" customHeight="1" x14ac:dyDescent="0.2">
      <c r="A872" s="3"/>
      <c r="B872" s="3" t="s">
        <v>0</v>
      </c>
      <c r="C872" s="3" t="s">
        <v>21</v>
      </c>
      <c r="D872" s="2"/>
      <c r="E872" s="2" t="e">
        <f t="shared" si="0"/>
        <v>#VALUE!</v>
      </c>
    </row>
    <row r="873" spans="1:5" ht="12.75" customHeight="1" x14ac:dyDescent="0.2">
      <c r="A873" s="3"/>
      <c r="B873" s="3" t="s">
        <v>2</v>
      </c>
      <c r="C873" s="3" t="s">
        <v>458</v>
      </c>
      <c r="D873" s="2"/>
      <c r="E873" s="2" t="e">
        <f t="shared" si="0"/>
        <v>#VALUE!</v>
      </c>
    </row>
    <row r="874" spans="1:5" ht="12.75" customHeight="1" x14ac:dyDescent="0.2">
      <c r="A874" s="3"/>
      <c r="B874" s="3" t="s">
        <v>9</v>
      </c>
      <c r="C874" s="3" t="s">
        <v>22</v>
      </c>
      <c r="D874" s="2"/>
      <c r="E874" s="2" t="e">
        <f t="shared" si="0"/>
        <v>#VALUE!</v>
      </c>
    </row>
    <row r="875" spans="1:5" ht="12.75" customHeight="1" x14ac:dyDescent="0.2">
      <c r="A875" s="3"/>
      <c r="B875" s="3" t="s">
        <v>11</v>
      </c>
      <c r="C875" s="3" t="s">
        <v>23</v>
      </c>
      <c r="D875" s="2"/>
      <c r="E875" s="2" t="e">
        <f t="shared" si="0"/>
        <v>#VALUE!</v>
      </c>
    </row>
    <row r="876" spans="1:5" ht="12.75" customHeight="1" x14ac:dyDescent="0.2">
      <c r="A876" s="3"/>
      <c r="B876" s="3" t="s">
        <v>18</v>
      </c>
      <c r="C876" s="4" t="s">
        <v>19</v>
      </c>
      <c r="D876" s="2"/>
      <c r="E876" s="2" t="e">
        <f t="shared" si="0"/>
        <v>#VALUE!</v>
      </c>
    </row>
    <row r="877" spans="1:5" ht="12.75" customHeight="1" x14ac:dyDescent="0.2">
      <c r="A877" s="1" t="str">
        <f>HYPERLINK("javascript:void(0)","csodatarisznya")</f>
        <v>csodatarisznya</v>
      </c>
      <c r="B877" s="1"/>
      <c r="C877" s="1"/>
      <c r="D877" s="2"/>
      <c r="E877" s="2" t="e">
        <f t="shared" si="0"/>
        <v>#VALUE!</v>
      </c>
    </row>
    <row r="878" spans="1:5" ht="12.75" customHeight="1" x14ac:dyDescent="0.2">
      <c r="A878" s="3"/>
      <c r="B878" s="3" t="s">
        <v>0</v>
      </c>
      <c r="C878" s="3" t="s">
        <v>21</v>
      </c>
      <c r="D878" s="2"/>
      <c r="E878" s="2" t="e">
        <f t="shared" si="0"/>
        <v>#VALUE!</v>
      </c>
    </row>
    <row r="879" spans="1:5" ht="12.75" customHeight="1" x14ac:dyDescent="0.2">
      <c r="A879" s="3"/>
      <c r="B879" s="3" t="s">
        <v>2</v>
      </c>
      <c r="C879" s="3" t="s">
        <v>557</v>
      </c>
      <c r="D879" s="2"/>
      <c r="E879" s="2" t="e">
        <f t="shared" si="0"/>
        <v>#VALUE!</v>
      </c>
    </row>
    <row r="880" spans="1:5" ht="12.75" customHeight="1" x14ac:dyDescent="0.2">
      <c r="A880" s="3"/>
      <c r="B880" s="3" t="s">
        <v>9</v>
      </c>
      <c r="C880" s="3" t="s">
        <v>75</v>
      </c>
      <c r="D880" s="2"/>
      <c r="E880" s="2" t="e">
        <f t="shared" si="0"/>
        <v>#VALUE!</v>
      </c>
    </row>
    <row r="881" spans="1:5" ht="12.75" customHeight="1" x14ac:dyDescent="0.2">
      <c r="A881" s="3"/>
      <c r="B881" s="3" t="s">
        <v>11</v>
      </c>
      <c r="C881" s="3" t="s">
        <v>695</v>
      </c>
      <c r="D881" s="2"/>
      <c r="E881" s="2" t="e">
        <f t="shared" si="0"/>
        <v>#VALUE!</v>
      </c>
    </row>
    <row r="882" spans="1:5" ht="12.75" customHeight="1" x14ac:dyDescent="0.2">
      <c r="A882" s="3"/>
      <c r="B882" s="3" t="s">
        <v>18</v>
      </c>
      <c r="C882" s="4" t="s">
        <v>19</v>
      </c>
      <c r="D882" s="2"/>
      <c r="E882" s="2" t="e">
        <f t="shared" si="0"/>
        <v>#VALUE!</v>
      </c>
    </row>
    <row r="883" spans="1:5" ht="12.75" customHeight="1" x14ac:dyDescent="0.2">
      <c r="A883" s="1" t="str">
        <f>HYPERLINK("javascript:void(0)","csodatojás")</f>
        <v>csodatojás</v>
      </c>
      <c r="B883" s="1"/>
      <c r="C883" s="1"/>
      <c r="D883" s="2"/>
      <c r="E883" s="2" t="e">
        <f t="shared" si="0"/>
        <v>#VALUE!</v>
      </c>
    </row>
    <row r="884" spans="1:5" ht="12.75" customHeight="1" x14ac:dyDescent="0.2">
      <c r="A884" s="3"/>
      <c r="B884" s="3" t="s">
        <v>0</v>
      </c>
      <c r="C884" s="3" t="s">
        <v>21</v>
      </c>
      <c r="D884" s="2"/>
      <c r="E884" s="2" t="e">
        <f t="shared" si="0"/>
        <v>#VALUE!</v>
      </c>
    </row>
    <row r="885" spans="1:5" ht="12.75" customHeight="1" x14ac:dyDescent="0.2">
      <c r="A885" s="3"/>
      <c r="B885" s="3" t="s">
        <v>2</v>
      </c>
      <c r="C885" s="3" t="s">
        <v>387</v>
      </c>
      <c r="D885" s="2"/>
      <c r="E885" s="2" t="e">
        <f t="shared" si="0"/>
        <v>#VALUE!</v>
      </c>
    </row>
    <row r="886" spans="1:5" ht="12.75" customHeight="1" x14ac:dyDescent="0.2">
      <c r="A886" s="3"/>
      <c r="B886" s="3" t="s">
        <v>9</v>
      </c>
      <c r="C886" s="3" t="s">
        <v>42</v>
      </c>
      <c r="D886" s="2"/>
      <c r="E886" s="2" t="e">
        <f t="shared" si="0"/>
        <v>#VALUE!</v>
      </c>
    </row>
    <row r="887" spans="1:5" ht="12.75" customHeight="1" x14ac:dyDescent="0.2">
      <c r="A887" s="3"/>
      <c r="B887" s="3" t="s">
        <v>11</v>
      </c>
      <c r="C887" s="3" t="s">
        <v>23</v>
      </c>
      <c r="D887" s="2"/>
      <c r="E887" s="2" t="e">
        <f t="shared" si="0"/>
        <v>#VALUE!</v>
      </c>
    </row>
    <row r="888" spans="1:5" ht="12.75" customHeight="1" x14ac:dyDescent="0.2">
      <c r="A888" s="3"/>
      <c r="B888" s="3" t="s">
        <v>16</v>
      </c>
      <c r="C888" s="3" t="s">
        <v>16</v>
      </c>
      <c r="D888" s="2"/>
      <c r="E888" s="2" t="e">
        <f t="shared" si="0"/>
        <v>#VALUE!</v>
      </c>
    </row>
    <row r="889" spans="1:5" ht="12.75" customHeight="1" x14ac:dyDescent="0.2">
      <c r="A889" s="3"/>
      <c r="B889" s="3" t="s">
        <v>18</v>
      </c>
      <c r="C889" s="4" t="s">
        <v>19</v>
      </c>
      <c r="D889" s="2"/>
      <c r="E889" s="2" t="e">
        <f t="shared" si="0"/>
        <v>#VALUE!</v>
      </c>
    </row>
    <row r="890" spans="1:5" ht="12.75" customHeight="1" x14ac:dyDescent="0.2">
      <c r="A890" s="1" t="str">
        <f>HYPERLINK("javascript:void(0)","csodatojás")</f>
        <v>csodatojás</v>
      </c>
      <c r="B890" s="1"/>
      <c r="C890" s="1"/>
      <c r="D890" s="2"/>
      <c r="E890" s="2" t="e">
        <f t="shared" si="0"/>
        <v>#VALUE!</v>
      </c>
    </row>
    <row r="891" spans="1:5" ht="12.75" customHeight="1" x14ac:dyDescent="0.2">
      <c r="A891" s="3"/>
      <c r="B891" s="3" t="s">
        <v>0</v>
      </c>
      <c r="C891" s="3" t="s">
        <v>21</v>
      </c>
      <c r="D891" s="2"/>
      <c r="E891" s="2" t="e">
        <f t="shared" si="0"/>
        <v>#VALUE!</v>
      </c>
    </row>
    <row r="892" spans="1:5" ht="12.75" customHeight="1" x14ac:dyDescent="0.2">
      <c r="A892" s="3"/>
      <c r="B892" s="3" t="s">
        <v>2</v>
      </c>
      <c r="C892" s="3" t="s">
        <v>458</v>
      </c>
      <c r="D892" s="2"/>
      <c r="E892" s="2" t="e">
        <f t="shared" si="0"/>
        <v>#VALUE!</v>
      </c>
    </row>
    <row r="893" spans="1:5" ht="12.75" customHeight="1" x14ac:dyDescent="0.2">
      <c r="A893" s="3"/>
      <c r="B893" s="3" t="s">
        <v>9</v>
      </c>
      <c r="C893" s="3" t="s">
        <v>698</v>
      </c>
      <c r="D893" s="2"/>
      <c r="E893" s="2" t="e">
        <f t="shared" si="0"/>
        <v>#VALUE!</v>
      </c>
    </row>
    <row r="894" spans="1:5" ht="12.75" customHeight="1" x14ac:dyDescent="0.2">
      <c r="A894" s="3"/>
      <c r="B894" s="3" t="s">
        <v>11</v>
      </c>
      <c r="C894" s="3" t="s">
        <v>23</v>
      </c>
      <c r="D894" s="2"/>
      <c r="E894" s="2" t="e">
        <f t="shared" si="0"/>
        <v>#VALUE!</v>
      </c>
    </row>
    <row r="895" spans="1:5" ht="12.75" customHeight="1" x14ac:dyDescent="0.2">
      <c r="A895" s="3"/>
      <c r="B895" s="3" t="s">
        <v>18</v>
      </c>
      <c r="C895" s="4" t="s">
        <v>19</v>
      </c>
      <c r="D895" s="2"/>
      <c r="E895" s="2" t="e">
        <f t="shared" si="0"/>
        <v>#VALUE!</v>
      </c>
    </row>
    <row r="896" spans="1:5" ht="12.75" customHeight="1" x14ac:dyDescent="0.2">
      <c r="A896" s="1" t="str">
        <f>HYPERLINK("javascript:void(0)","csontszilánk")</f>
        <v>csontszilánk</v>
      </c>
      <c r="B896" s="1"/>
      <c r="C896" s="1"/>
      <c r="D896" s="2"/>
      <c r="E896" s="2" t="e">
        <f t="shared" si="0"/>
        <v>#VALUE!</v>
      </c>
    </row>
    <row r="897" spans="1:5" ht="12.75" customHeight="1" x14ac:dyDescent="0.2">
      <c r="A897" s="3"/>
      <c r="B897" s="3" t="s">
        <v>0</v>
      </c>
      <c r="C897" s="3" t="s">
        <v>21</v>
      </c>
      <c r="D897" s="2"/>
      <c r="E897" s="2" t="e">
        <f t="shared" si="0"/>
        <v>#VALUE!</v>
      </c>
    </row>
    <row r="898" spans="1:5" ht="12.75" customHeight="1" x14ac:dyDescent="0.2">
      <c r="A898" s="3"/>
      <c r="B898" s="3" t="s">
        <v>2</v>
      </c>
      <c r="C898" s="3" t="s">
        <v>458</v>
      </c>
      <c r="D898" s="2"/>
      <c r="E898" s="2" t="e">
        <f t="shared" si="0"/>
        <v>#VALUE!</v>
      </c>
    </row>
    <row r="899" spans="1:5" ht="12.75" customHeight="1" x14ac:dyDescent="0.2">
      <c r="A899" s="3"/>
      <c r="B899" s="3" t="s">
        <v>9</v>
      </c>
      <c r="C899" s="3" t="s">
        <v>704</v>
      </c>
      <c r="D899" s="2"/>
      <c r="E899" s="2" t="e">
        <f t="shared" si="0"/>
        <v>#VALUE!</v>
      </c>
    </row>
    <row r="900" spans="1:5" ht="12.75" customHeight="1" x14ac:dyDescent="0.2">
      <c r="A900" s="3"/>
      <c r="B900" s="3" t="s">
        <v>11</v>
      </c>
      <c r="C900" s="3" t="s">
        <v>689</v>
      </c>
      <c r="D900" s="2"/>
      <c r="E900" s="2" t="e">
        <f t="shared" si="0"/>
        <v>#VALUE!</v>
      </c>
    </row>
    <row r="901" spans="1:5" ht="12.75" customHeight="1" x14ac:dyDescent="0.2">
      <c r="A901" s="3"/>
      <c r="B901" s="3" t="s">
        <v>18</v>
      </c>
      <c r="C901" s="4" t="s">
        <v>19</v>
      </c>
      <c r="D901" s="2"/>
      <c r="E901" s="2" t="e">
        <f t="shared" si="0"/>
        <v>#VALUE!</v>
      </c>
    </row>
    <row r="902" spans="1:5" ht="12.75" customHeight="1" x14ac:dyDescent="0.2">
      <c r="A902" s="1" t="str">
        <f>HYPERLINK("javascript:void(0)","csonttoll")</f>
        <v>csonttoll</v>
      </c>
      <c r="B902" s="1"/>
      <c r="C902" s="1"/>
      <c r="D902" s="2"/>
      <c r="E902" s="2" t="e">
        <f t="shared" si="0"/>
        <v>#VALUE!</v>
      </c>
    </row>
    <row r="903" spans="1:5" ht="12.75" customHeight="1" x14ac:dyDescent="0.2">
      <c r="A903" s="3"/>
      <c r="B903" s="3" t="s">
        <v>0</v>
      </c>
      <c r="C903" s="3" t="s">
        <v>21</v>
      </c>
      <c r="D903" s="2"/>
      <c r="E903" s="2" t="e">
        <f t="shared" si="0"/>
        <v>#VALUE!</v>
      </c>
    </row>
    <row r="904" spans="1:5" ht="12.75" customHeight="1" x14ac:dyDescent="0.2">
      <c r="A904" s="3"/>
      <c r="B904" s="3" t="s">
        <v>2</v>
      </c>
      <c r="C904" s="3" t="s">
        <v>458</v>
      </c>
      <c r="D904" s="2"/>
      <c r="E904" s="2" t="e">
        <f t="shared" si="0"/>
        <v>#VALUE!</v>
      </c>
    </row>
    <row r="905" spans="1:5" ht="12.75" customHeight="1" x14ac:dyDescent="0.2">
      <c r="A905" s="3"/>
      <c r="B905" s="3" t="s">
        <v>9</v>
      </c>
      <c r="C905" s="3" t="s">
        <v>22</v>
      </c>
      <c r="D905" s="2"/>
      <c r="E905" s="2" t="e">
        <f t="shared" si="0"/>
        <v>#VALUE!</v>
      </c>
    </row>
    <row r="906" spans="1:5" ht="12.75" customHeight="1" x14ac:dyDescent="0.2">
      <c r="A906" s="3"/>
      <c r="B906" s="3" t="s">
        <v>11</v>
      </c>
      <c r="C906" s="3" t="s">
        <v>199</v>
      </c>
      <c r="D906" s="2"/>
      <c r="E906" s="2" t="e">
        <f t="shared" si="0"/>
        <v>#VALUE!</v>
      </c>
    </row>
    <row r="907" spans="1:5" ht="12.75" customHeight="1" x14ac:dyDescent="0.2">
      <c r="A907" s="3"/>
      <c r="B907" s="3" t="s">
        <v>18</v>
      </c>
      <c r="C907" s="4" t="s">
        <v>19</v>
      </c>
      <c r="D907" s="2"/>
      <c r="E907" s="2" t="e">
        <f t="shared" si="0"/>
        <v>#VALUE!</v>
      </c>
    </row>
    <row r="908" spans="1:5" ht="12.75" customHeight="1" x14ac:dyDescent="0.2">
      <c r="A908" s="1" t="str">
        <f>HYPERLINK("javascript:void(0)","csákópikkely")</f>
        <v>csákópikkely</v>
      </c>
      <c r="B908" s="1"/>
      <c r="C908" s="1"/>
      <c r="D908" s="2"/>
      <c r="E908" s="2" t="e">
        <f t="shared" si="0"/>
        <v>#VALUE!</v>
      </c>
    </row>
    <row r="909" spans="1:5" ht="12.75" customHeight="1" x14ac:dyDescent="0.2">
      <c r="A909" s="3"/>
      <c r="B909" s="3" t="s">
        <v>0</v>
      </c>
      <c r="C909" s="3" t="s">
        <v>21</v>
      </c>
      <c r="D909" s="2"/>
      <c r="E909" s="2" t="e">
        <f t="shared" si="0"/>
        <v>#VALUE!</v>
      </c>
    </row>
    <row r="910" spans="1:5" ht="12.75" customHeight="1" x14ac:dyDescent="0.2">
      <c r="A910" s="3"/>
      <c r="B910" s="3" t="s">
        <v>2</v>
      </c>
      <c r="C910" s="3" t="s">
        <v>458</v>
      </c>
      <c r="D910" s="2"/>
      <c r="E910" s="2" t="e">
        <f t="shared" si="0"/>
        <v>#VALUE!</v>
      </c>
    </row>
    <row r="911" spans="1:5" ht="12.75" customHeight="1" x14ac:dyDescent="0.2">
      <c r="A911" s="3"/>
      <c r="B911" s="3" t="s">
        <v>9</v>
      </c>
      <c r="C911" s="3" t="s">
        <v>22</v>
      </c>
      <c r="D911" s="2"/>
      <c r="E911" s="2" t="e">
        <f t="shared" si="0"/>
        <v>#VALUE!</v>
      </c>
    </row>
    <row r="912" spans="1:5" ht="12.75" customHeight="1" x14ac:dyDescent="0.2">
      <c r="A912" s="3"/>
      <c r="B912" s="3" t="s">
        <v>11</v>
      </c>
      <c r="C912" s="3" t="s">
        <v>162</v>
      </c>
      <c r="D912" s="2"/>
      <c r="E912" s="2" t="e">
        <f t="shared" si="0"/>
        <v>#VALUE!</v>
      </c>
    </row>
    <row r="913" spans="1:5" ht="12.75" customHeight="1" x14ac:dyDescent="0.2">
      <c r="A913" s="3"/>
      <c r="B913" s="3" t="s">
        <v>18</v>
      </c>
      <c r="C913" s="4" t="s">
        <v>19</v>
      </c>
      <c r="D913" s="2"/>
      <c r="E913" s="2" t="e">
        <f t="shared" si="0"/>
        <v>#VALUE!</v>
      </c>
    </row>
    <row r="914" spans="1:5" ht="12.75" customHeight="1" x14ac:dyDescent="0.2">
      <c r="A914" s="1" t="str">
        <f>HYPERLINK("javascript:void(0)","csáphárító")</f>
        <v>csáphárító</v>
      </c>
      <c r="B914" s="1"/>
      <c r="C914" s="1"/>
      <c r="D914" s="2"/>
      <c r="E914" s="2" t="e">
        <f t="shared" si="0"/>
        <v>#VALUE!</v>
      </c>
    </row>
    <row r="915" spans="1:5" ht="12.75" customHeight="1" x14ac:dyDescent="0.2">
      <c r="A915" s="3"/>
      <c r="B915" s="3" t="s">
        <v>0</v>
      </c>
      <c r="C915" s="3" t="s">
        <v>21</v>
      </c>
      <c r="D915" s="2"/>
      <c r="E915" s="2" t="e">
        <f t="shared" si="0"/>
        <v>#VALUE!</v>
      </c>
    </row>
    <row r="916" spans="1:5" ht="12.75" customHeight="1" x14ac:dyDescent="0.2">
      <c r="A916" s="3"/>
      <c r="B916" s="3" t="s">
        <v>2</v>
      </c>
      <c r="C916" s="3" t="s">
        <v>458</v>
      </c>
      <c r="D916" s="2"/>
      <c r="E916" s="2" t="e">
        <f t="shared" si="0"/>
        <v>#VALUE!</v>
      </c>
    </row>
    <row r="917" spans="1:5" ht="12.75" customHeight="1" x14ac:dyDescent="0.2">
      <c r="A917" s="3"/>
      <c r="B917" s="3" t="s">
        <v>9</v>
      </c>
      <c r="C917" s="3" t="s">
        <v>22</v>
      </c>
      <c r="D917" s="2"/>
      <c r="E917" s="2" t="e">
        <f t="shared" si="0"/>
        <v>#VALUE!</v>
      </c>
    </row>
    <row r="918" spans="1:5" ht="12.75" customHeight="1" x14ac:dyDescent="0.2">
      <c r="A918" s="3"/>
      <c r="B918" s="3" t="s">
        <v>11</v>
      </c>
      <c r="C918" s="3" t="s">
        <v>711</v>
      </c>
      <c r="D918" s="2"/>
      <c r="E918" s="2" t="e">
        <f t="shared" si="0"/>
        <v>#VALUE!</v>
      </c>
    </row>
    <row r="919" spans="1:5" ht="12.75" customHeight="1" x14ac:dyDescent="0.2">
      <c r="A919" s="3"/>
      <c r="B919" s="3" t="s">
        <v>18</v>
      </c>
      <c r="C919" s="4" t="s">
        <v>19</v>
      </c>
      <c r="D919" s="2"/>
      <c r="E919" s="2" t="e">
        <f t="shared" si="0"/>
        <v>#VALUE!</v>
      </c>
    </row>
    <row r="920" spans="1:5" ht="12.75" customHeight="1" x14ac:dyDescent="0.2">
      <c r="A920" s="1" t="str">
        <f>HYPERLINK("javascript:void(0)","csörgő")</f>
        <v>csörgő</v>
      </c>
      <c r="B920" s="1"/>
      <c r="C920" s="1"/>
      <c r="D920" s="2"/>
      <c r="E920" s="2" t="e">
        <f t="shared" si="0"/>
        <v>#VALUE!</v>
      </c>
    </row>
    <row r="921" spans="1:5" ht="12.75" customHeight="1" x14ac:dyDescent="0.2">
      <c r="A921" s="3"/>
      <c r="B921" s="3" t="s">
        <v>0</v>
      </c>
      <c r="C921" s="3" t="s">
        <v>21</v>
      </c>
      <c r="D921" s="2"/>
      <c r="E921" s="2" t="e">
        <f t="shared" si="0"/>
        <v>#VALUE!</v>
      </c>
    </row>
    <row r="922" spans="1:5" ht="12.75" customHeight="1" x14ac:dyDescent="0.2">
      <c r="A922" s="3"/>
      <c r="B922" s="3" t="s">
        <v>2</v>
      </c>
      <c r="C922" s="3" t="s">
        <v>387</v>
      </c>
      <c r="D922" s="2"/>
      <c r="E922" s="2" t="e">
        <f t="shared" si="0"/>
        <v>#VALUE!</v>
      </c>
    </row>
    <row r="923" spans="1:5" ht="12.75" customHeight="1" x14ac:dyDescent="0.2">
      <c r="A923" s="3"/>
      <c r="B923" s="3" t="s">
        <v>9</v>
      </c>
      <c r="C923" s="3" t="s">
        <v>10</v>
      </c>
      <c r="D923" s="2"/>
      <c r="E923" s="2" t="e">
        <f t="shared" si="0"/>
        <v>#VALUE!</v>
      </c>
    </row>
    <row r="924" spans="1:5" ht="12.75" customHeight="1" x14ac:dyDescent="0.2">
      <c r="A924" s="3"/>
      <c r="B924" s="3" t="s">
        <v>11</v>
      </c>
      <c r="C924" s="3" t="s">
        <v>23</v>
      </c>
      <c r="D924" s="2"/>
      <c r="E924" s="2" t="e">
        <f t="shared" si="0"/>
        <v>#VALUE!</v>
      </c>
    </row>
    <row r="925" spans="1:5" ht="12.75" customHeight="1" x14ac:dyDescent="0.2">
      <c r="A925" s="3"/>
      <c r="B925" s="3" t="s">
        <v>16</v>
      </c>
      <c r="C925" s="3" t="s">
        <v>388</v>
      </c>
      <c r="D925" s="2"/>
      <c r="E925" s="2" t="e">
        <f t="shared" si="0"/>
        <v>#VALUE!</v>
      </c>
    </row>
    <row r="926" spans="1:5" ht="12.75" customHeight="1" x14ac:dyDescent="0.2">
      <c r="A926" s="3"/>
      <c r="B926" s="3" t="s">
        <v>18</v>
      </c>
      <c r="C926" s="4" t="s">
        <v>19</v>
      </c>
      <c r="D926" s="2"/>
      <c r="E926" s="2" t="e">
        <f t="shared" si="0"/>
        <v>#VALUE!</v>
      </c>
    </row>
    <row r="927" spans="1:5" ht="12.75" customHeight="1" x14ac:dyDescent="0.2">
      <c r="A927" s="1" t="str">
        <f>HYPERLINK("javascript:void(0)","cölöp")</f>
        <v>cölöp</v>
      </c>
      <c r="B927" s="1"/>
      <c r="C927" s="1"/>
      <c r="D927" s="2"/>
      <c r="E927" s="2" t="e">
        <f t="shared" si="0"/>
        <v>#VALUE!</v>
      </c>
    </row>
    <row r="928" spans="1:5" ht="12.75" customHeight="1" x14ac:dyDescent="0.2">
      <c r="A928" s="3"/>
      <c r="B928" s="3" t="s">
        <v>0</v>
      </c>
      <c r="C928" s="3" t="s">
        <v>21</v>
      </c>
      <c r="D928" s="2"/>
      <c r="E928" s="2" t="e">
        <f t="shared" si="0"/>
        <v>#VALUE!</v>
      </c>
    </row>
    <row r="929" spans="1:5" ht="12.75" customHeight="1" x14ac:dyDescent="0.2">
      <c r="A929" s="3"/>
      <c r="B929" s="3" t="s">
        <v>2</v>
      </c>
      <c r="C929" s="3" t="s">
        <v>458</v>
      </c>
      <c r="D929" s="2"/>
      <c r="E929" s="2" t="e">
        <f t="shared" si="0"/>
        <v>#VALUE!</v>
      </c>
    </row>
    <row r="930" spans="1:5" ht="12.75" customHeight="1" x14ac:dyDescent="0.2">
      <c r="A930" s="3"/>
      <c r="B930" s="3" t="s">
        <v>9</v>
      </c>
      <c r="C930" s="3" t="s">
        <v>22</v>
      </c>
      <c r="D930" s="2"/>
      <c r="E930" s="2" t="e">
        <f t="shared" si="0"/>
        <v>#VALUE!</v>
      </c>
    </row>
    <row r="931" spans="1:5" ht="12.75" customHeight="1" x14ac:dyDescent="0.2">
      <c r="A931" s="3"/>
      <c r="B931" s="3" t="s">
        <v>11</v>
      </c>
      <c r="C931" s="3" t="s">
        <v>486</v>
      </c>
      <c r="D931" s="2"/>
      <c r="E931" s="2" t="e">
        <f t="shared" si="0"/>
        <v>#VALUE!</v>
      </c>
    </row>
    <row r="932" spans="1:5" ht="12.75" customHeight="1" x14ac:dyDescent="0.2">
      <c r="A932" s="3"/>
      <c r="B932" s="3" t="s">
        <v>18</v>
      </c>
      <c r="C932" s="4" t="s">
        <v>19</v>
      </c>
      <c r="D932" s="2"/>
      <c r="E932" s="2" t="e">
        <f t="shared" si="0"/>
        <v>#VALUE!</v>
      </c>
    </row>
    <row r="933" spans="1:5" ht="12.75" customHeight="1" x14ac:dyDescent="0.2">
      <c r="A933" s="1" t="str">
        <f>HYPERLINK("javascript:void(0)","dadacsiganyál")</f>
        <v>dadacsiganyál</v>
      </c>
      <c r="B933" s="1"/>
      <c r="C933" s="1"/>
      <c r="D933" s="2"/>
      <c r="E933" s="2" t="e">
        <f t="shared" si="0"/>
        <v>#VALUE!</v>
      </c>
    </row>
    <row r="934" spans="1:5" ht="12.75" customHeight="1" x14ac:dyDescent="0.2">
      <c r="A934" s="3"/>
      <c r="B934" s="3" t="s">
        <v>0</v>
      </c>
      <c r="C934" s="3" t="s">
        <v>21</v>
      </c>
      <c r="D934" s="2"/>
      <c r="E934" s="2" t="e">
        <f t="shared" si="0"/>
        <v>#VALUE!</v>
      </c>
    </row>
    <row r="935" spans="1:5" ht="12.75" customHeight="1" x14ac:dyDescent="0.2">
      <c r="A935" s="3"/>
      <c r="B935" s="3" t="s">
        <v>2</v>
      </c>
      <c r="C935" s="3" t="s">
        <v>458</v>
      </c>
      <c r="D935" s="2"/>
      <c r="E935" s="2" t="e">
        <f t="shared" si="0"/>
        <v>#VALUE!</v>
      </c>
    </row>
    <row r="936" spans="1:5" ht="12.75" customHeight="1" x14ac:dyDescent="0.2">
      <c r="A936" s="3"/>
      <c r="B936" s="3" t="s">
        <v>9</v>
      </c>
      <c r="C936" s="3" t="s">
        <v>513</v>
      </c>
      <c r="D936" s="2"/>
      <c r="E936" s="2" t="e">
        <f t="shared" si="0"/>
        <v>#VALUE!</v>
      </c>
    </row>
    <row r="937" spans="1:5" ht="12.75" customHeight="1" x14ac:dyDescent="0.2">
      <c r="A937" s="3"/>
      <c r="B937" s="3" t="s">
        <v>11</v>
      </c>
      <c r="C937" s="3" t="s">
        <v>718</v>
      </c>
      <c r="D937" s="2"/>
      <c r="E937" s="2" t="e">
        <f t="shared" si="0"/>
        <v>#VALUE!</v>
      </c>
    </row>
    <row r="938" spans="1:5" ht="12.75" customHeight="1" x14ac:dyDescent="0.2">
      <c r="A938" s="3"/>
      <c r="B938" s="3" t="s">
        <v>18</v>
      </c>
      <c r="C938" s="4" t="s">
        <v>19</v>
      </c>
      <c r="D938" s="2"/>
      <c r="E938" s="2" t="e">
        <f t="shared" si="0"/>
        <v>#VALUE!</v>
      </c>
    </row>
    <row r="939" spans="1:5" ht="12.75" customHeight="1" x14ac:dyDescent="0.2">
      <c r="A939" s="1" t="str">
        <f>HYPERLINK("javascript:void(0)","darunyak")</f>
        <v>darunyak</v>
      </c>
      <c r="B939" s="1"/>
      <c r="C939" s="1"/>
      <c r="D939" s="2"/>
      <c r="E939" s="2" t="e">
        <f t="shared" si="0"/>
        <v>#VALUE!</v>
      </c>
    </row>
    <row r="940" spans="1:5" ht="12.75" customHeight="1" x14ac:dyDescent="0.2">
      <c r="A940" s="3"/>
      <c r="B940" s="3" t="s">
        <v>0</v>
      </c>
      <c r="C940" s="3" t="s">
        <v>21</v>
      </c>
      <c r="D940" s="2"/>
      <c r="E940" s="2" t="e">
        <f t="shared" si="0"/>
        <v>#VALUE!</v>
      </c>
    </row>
    <row r="941" spans="1:5" ht="12.75" customHeight="1" x14ac:dyDescent="0.2">
      <c r="A941" s="3"/>
      <c r="B941" s="3" t="s">
        <v>2</v>
      </c>
      <c r="C941" s="3" t="s">
        <v>458</v>
      </c>
      <c r="D941" s="2"/>
      <c r="E941" s="2" t="e">
        <f t="shared" si="0"/>
        <v>#VALUE!</v>
      </c>
    </row>
    <row r="942" spans="1:5" ht="12.75" customHeight="1" x14ac:dyDescent="0.2">
      <c r="A942" s="3"/>
      <c r="B942" s="3" t="s">
        <v>9</v>
      </c>
      <c r="C942" s="3" t="s">
        <v>22</v>
      </c>
      <c r="D942" s="2"/>
      <c r="E942" s="2" t="e">
        <f t="shared" si="0"/>
        <v>#VALUE!</v>
      </c>
    </row>
    <row r="943" spans="1:5" ht="12.75" customHeight="1" x14ac:dyDescent="0.2">
      <c r="A943" s="3"/>
      <c r="B943" s="3" t="s">
        <v>11</v>
      </c>
      <c r="C943" s="3" t="s">
        <v>721</v>
      </c>
      <c r="D943" s="2"/>
      <c r="E943" s="2" t="e">
        <f t="shared" si="0"/>
        <v>#VALUE!</v>
      </c>
    </row>
    <row r="944" spans="1:5" ht="12.75" customHeight="1" x14ac:dyDescent="0.2">
      <c r="A944" s="3"/>
      <c r="B944" s="3" t="s">
        <v>18</v>
      </c>
      <c r="C944" s="4" t="s">
        <v>19</v>
      </c>
      <c r="D944" s="2"/>
      <c r="E944" s="2" t="e">
        <f t="shared" si="0"/>
        <v>#VALUE!</v>
      </c>
    </row>
    <row r="945" spans="1:5" ht="12.75" customHeight="1" x14ac:dyDescent="0.2">
      <c r="A945" s="1" t="str">
        <f>HYPERLINK("javascript:void(0)","darázsige")</f>
        <v>darázsige</v>
      </c>
      <c r="B945" s="1"/>
      <c r="C945" s="1"/>
      <c r="D945" s="2"/>
      <c r="E945" s="2" t="e">
        <f t="shared" si="0"/>
        <v>#VALUE!</v>
      </c>
    </row>
    <row r="946" spans="1:5" ht="12.75" customHeight="1" x14ac:dyDescent="0.2">
      <c r="A946" s="3"/>
      <c r="B946" s="3" t="s">
        <v>0</v>
      </c>
      <c r="C946" s="3" t="s">
        <v>21</v>
      </c>
      <c r="D946" s="2"/>
      <c r="E946" s="2" t="e">
        <f t="shared" si="0"/>
        <v>#VALUE!</v>
      </c>
    </row>
    <row r="947" spans="1:5" ht="12.75" customHeight="1" x14ac:dyDescent="0.2">
      <c r="A947" s="3"/>
      <c r="B947" s="3" t="s">
        <v>2</v>
      </c>
      <c r="C947" s="3" t="s">
        <v>458</v>
      </c>
      <c r="D947" s="2"/>
      <c r="E947" s="2" t="e">
        <f t="shared" si="0"/>
        <v>#VALUE!</v>
      </c>
    </row>
    <row r="948" spans="1:5" ht="12.75" customHeight="1" x14ac:dyDescent="0.2">
      <c r="A948" s="3"/>
      <c r="B948" s="3" t="s">
        <v>9</v>
      </c>
      <c r="C948" s="3" t="s">
        <v>22</v>
      </c>
      <c r="D948" s="2"/>
      <c r="E948" s="2" t="e">
        <f t="shared" si="0"/>
        <v>#VALUE!</v>
      </c>
    </row>
    <row r="949" spans="1:5" ht="12.75" customHeight="1" x14ac:dyDescent="0.2">
      <c r="A949" s="3"/>
      <c r="B949" s="3" t="s">
        <v>11</v>
      </c>
      <c r="C949" s="3" t="s">
        <v>162</v>
      </c>
      <c r="D949" s="2"/>
      <c r="E949" s="2" t="e">
        <f t="shared" si="0"/>
        <v>#VALUE!</v>
      </c>
    </row>
    <row r="950" spans="1:5" ht="12.75" customHeight="1" x14ac:dyDescent="0.2">
      <c r="A950" s="3"/>
      <c r="B950" s="3" t="s">
        <v>18</v>
      </c>
      <c r="C950" s="4" t="s">
        <v>19</v>
      </c>
      <c r="D950" s="2"/>
      <c r="E950" s="2" t="e">
        <f t="shared" si="0"/>
        <v>#VALUE!</v>
      </c>
    </row>
    <row r="951" spans="1:5" ht="12.75" customHeight="1" x14ac:dyDescent="0.2">
      <c r="A951" s="1" t="str">
        <f>HYPERLINK("javascript:void(0)","denevér bajusz")</f>
        <v>denevér bajusz</v>
      </c>
      <c r="B951" s="1"/>
      <c r="C951" s="1"/>
      <c r="D951" s="2"/>
      <c r="E951" s="2" t="e">
        <f t="shared" si="0"/>
        <v>#VALUE!</v>
      </c>
    </row>
    <row r="952" spans="1:5" ht="12.75" customHeight="1" x14ac:dyDescent="0.2">
      <c r="A952" s="3"/>
      <c r="B952" s="3" t="s">
        <v>0</v>
      </c>
      <c r="C952" s="3" t="s">
        <v>21</v>
      </c>
      <c r="D952" s="2"/>
      <c r="E952" s="2" t="e">
        <f t="shared" si="0"/>
        <v>#VALUE!</v>
      </c>
    </row>
    <row r="953" spans="1:5" ht="12.75" customHeight="1" x14ac:dyDescent="0.2">
      <c r="A953" s="3"/>
      <c r="B953" s="3" t="s">
        <v>2</v>
      </c>
      <c r="C953" s="3" t="s">
        <v>387</v>
      </c>
      <c r="D953" s="2"/>
      <c r="E953" s="2" t="e">
        <f t="shared" si="0"/>
        <v>#VALUE!</v>
      </c>
    </row>
    <row r="954" spans="1:5" ht="12.75" customHeight="1" x14ac:dyDescent="0.2">
      <c r="A954" s="3"/>
      <c r="B954" s="3" t="s">
        <v>9</v>
      </c>
      <c r="C954" s="3" t="s">
        <v>27</v>
      </c>
      <c r="D954" s="2"/>
      <c r="E954" s="2" t="e">
        <f t="shared" si="0"/>
        <v>#VALUE!</v>
      </c>
    </row>
    <row r="955" spans="1:5" ht="12.75" customHeight="1" x14ac:dyDescent="0.2">
      <c r="A955" s="3"/>
      <c r="B955" s="3" t="s">
        <v>11</v>
      </c>
      <c r="C955" s="3" t="s">
        <v>23</v>
      </c>
      <c r="D955" s="2"/>
      <c r="E955" s="2" t="e">
        <f t="shared" si="0"/>
        <v>#VALUE!</v>
      </c>
    </row>
    <row r="956" spans="1:5" ht="12.75" customHeight="1" x14ac:dyDescent="0.2">
      <c r="A956" s="3"/>
      <c r="B956" s="3" t="s">
        <v>16</v>
      </c>
      <c r="C956" s="3" t="s">
        <v>388</v>
      </c>
      <c r="D956" s="2"/>
      <c r="E956" s="2" t="e">
        <f t="shared" si="0"/>
        <v>#VALUE!</v>
      </c>
    </row>
    <row r="957" spans="1:5" ht="12.75" customHeight="1" x14ac:dyDescent="0.2">
      <c r="A957" s="3"/>
      <c r="B957" s="3" t="s">
        <v>18</v>
      </c>
      <c r="C957" s="4" t="s">
        <v>19</v>
      </c>
      <c r="D957" s="2"/>
      <c r="E957" s="2" t="e">
        <f t="shared" si="0"/>
        <v>#VALUE!</v>
      </c>
    </row>
    <row r="958" spans="1:5" ht="12.75" customHeight="1" x14ac:dyDescent="0.2">
      <c r="A958" s="1" t="str">
        <f>HYPERLINK("javascript:void(0)","dia")</f>
        <v>dia</v>
      </c>
      <c r="B958" s="1"/>
      <c r="C958" s="1"/>
      <c r="D958" s="2"/>
      <c r="E958" s="2" t="e">
        <f t="shared" si="0"/>
        <v>#VALUE!</v>
      </c>
    </row>
    <row r="959" spans="1:5" ht="12.75" customHeight="1" x14ac:dyDescent="0.2">
      <c r="A959" s="3"/>
      <c r="B959" s="3" t="s">
        <v>0</v>
      </c>
      <c r="C959" s="3" t="s">
        <v>21</v>
      </c>
      <c r="D959" s="2"/>
      <c r="E959" s="2" t="e">
        <f t="shared" si="0"/>
        <v>#VALUE!</v>
      </c>
    </row>
    <row r="960" spans="1:5" ht="12.75" customHeight="1" x14ac:dyDescent="0.2">
      <c r="A960" s="3"/>
      <c r="B960" s="3" t="s">
        <v>2</v>
      </c>
      <c r="C960" s="3" t="s">
        <v>458</v>
      </c>
      <c r="D960" s="2"/>
      <c r="E960" s="2" t="e">
        <f t="shared" si="0"/>
        <v>#VALUE!</v>
      </c>
    </row>
    <row r="961" spans="1:5" ht="12.75" customHeight="1" x14ac:dyDescent="0.2">
      <c r="A961" s="3"/>
      <c r="B961" s="3" t="s">
        <v>9</v>
      </c>
      <c r="C961" s="3" t="s">
        <v>22</v>
      </c>
      <c r="D961" s="2"/>
      <c r="E961" s="2" t="e">
        <f t="shared" si="0"/>
        <v>#VALUE!</v>
      </c>
    </row>
    <row r="962" spans="1:5" ht="12.75" customHeight="1" x14ac:dyDescent="0.2">
      <c r="A962" s="3"/>
      <c r="B962" s="3" t="s">
        <v>11</v>
      </c>
      <c r="C962" s="3" t="s">
        <v>152</v>
      </c>
      <c r="D962" s="2"/>
      <c r="E962" s="2" t="e">
        <f t="shared" si="0"/>
        <v>#VALUE!</v>
      </c>
    </row>
    <row r="963" spans="1:5" ht="12.75" customHeight="1" x14ac:dyDescent="0.2">
      <c r="A963" s="3"/>
      <c r="B963" s="3" t="s">
        <v>18</v>
      </c>
      <c r="C963" s="4" t="s">
        <v>19</v>
      </c>
      <c r="D963" s="2"/>
      <c r="E963" s="2" t="e">
        <f t="shared" si="0"/>
        <v>#VALUE!</v>
      </c>
    </row>
    <row r="964" spans="1:5" ht="12.75" customHeight="1" x14ac:dyDescent="0.2">
      <c r="A964" s="1" t="str">
        <f>HYPERLINK("javascript:void(0)","diffuzionit")</f>
        <v>diffuzionit</v>
      </c>
      <c r="B964" s="1"/>
      <c r="C964" s="1"/>
      <c r="D964" s="2"/>
      <c r="E964" s="2" t="e">
        <f t="shared" si="0"/>
        <v>#VALUE!</v>
      </c>
    </row>
    <row r="965" spans="1:5" ht="12.75" customHeight="1" x14ac:dyDescent="0.2">
      <c r="A965" s="3"/>
      <c r="B965" s="3" t="s">
        <v>0</v>
      </c>
      <c r="C965" s="3" t="s">
        <v>21</v>
      </c>
      <c r="D965" s="2"/>
      <c r="E965" s="2" t="e">
        <f t="shared" si="0"/>
        <v>#VALUE!</v>
      </c>
    </row>
    <row r="966" spans="1:5" ht="12.75" customHeight="1" x14ac:dyDescent="0.2">
      <c r="A966" s="3"/>
      <c r="B966" s="3" t="s">
        <v>2</v>
      </c>
      <c r="C966" s="3" t="s">
        <v>564</v>
      </c>
      <c r="D966" s="2"/>
      <c r="E966" s="2" t="e">
        <f t="shared" si="0"/>
        <v>#VALUE!</v>
      </c>
    </row>
    <row r="967" spans="1:5" ht="12.75" customHeight="1" x14ac:dyDescent="0.2">
      <c r="A967" s="3"/>
      <c r="B967" s="3" t="s">
        <v>9</v>
      </c>
      <c r="C967" s="3" t="s">
        <v>22</v>
      </c>
      <c r="D967" s="2"/>
      <c r="E967" s="2" t="e">
        <f t="shared" si="0"/>
        <v>#VALUE!</v>
      </c>
    </row>
    <row r="968" spans="1:5" ht="12.75" customHeight="1" x14ac:dyDescent="0.2">
      <c r="A968" s="3"/>
      <c r="B968" s="3" t="s">
        <v>11</v>
      </c>
      <c r="C968" s="3" t="s">
        <v>732</v>
      </c>
      <c r="D968" s="2"/>
      <c r="E968" s="2" t="e">
        <f t="shared" si="0"/>
        <v>#VALUE!</v>
      </c>
    </row>
    <row r="969" spans="1:5" ht="12.75" customHeight="1" x14ac:dyDescent="0.2">
      <c r="A969" s="3"/>
      <c r="B969" s="3" t="s">
        <v>18</v>
      </c>
      <c r="C969" s="4" t="s">
        <v>19</v>
      </c>
      <c r="D969" s="2"/>
      <c r="E969" s="2" t="e">
        <f t="shared" si="0"/>
        <v>#VALUE!</v>
      </c>
    </row>
    <row r="970" spans="1:5" ht="12.75" customHeight="1" x14ac:dyDescent="0.2">
      <c r="A970" s="1" t="str">
        <f>HYPERLINK("javascript:void(0)","dimenzióforgács")</f>
        <v>dimenzióforgács</v>
      </c>
      <c r="B970" s="1"/>
      <c r="C970" s="1"/>
      <c r="D970" s="2"/>
      <c r="E970" s="2" t="e">
        <f t="shared" si="0"/>
        <v>#VALUE!</v>
      </c>
    </row>
    <row r="971" spans="1:5" ht="12.75" customHeight="1" x14ac:dyDescent="0.2">
      <c r="A971" s="3"/>
      <c r="B971" s="3" t="s">
        <v>0</v>
      </c>
      <c r="C971" s="3" t="s">
        <v>21</v>
      </c>
      <c r="D971" s="2"/>
      <c r="E971" s="2" t="e">
        <f t="shared" si="0"/>
        <v>#VALUE!</v>
      </c>
    </row>
    <row r="972" spans="1:5" ht="12.75" customHeight="1" x14ac:dyDescent="0.2">
      <c r="A972" s="3"/>
      <c r="B972" s="3" t="s">
        <v>2</v>
      </c>
      <c r="C972" s="3" t="s">
        <v>458</v>
      </c>
      <c r="D972" s="2"/>
      <c r="E972" s="2" t="e">
        <f t="shared" si="0"/>
        <v>#VALUE!</v>
      </c>
    </row>
    <row r="973" spans="1:5" ht="12.75" customHeight="1" x14ac:dyDescent="0.2">
      <c r="A973" s="3"/>
      <c r="B973" s="3" t="s">
        <v>9</v>
      </c>
      <c r="C973" s="3" t="s">
        <v>53</v>
      </c>
      <c r="D973" s="2"/>
      <c r="E973" s="2" t="e">
        <f t="shared" si="0"/>
        <v>#VALUE!</v>
      </c>
    </row>
    <row r="974" spans="1:5" ht="12.75" customHeight="1" x14ac:dyDescent="0.2">
      <c r="A974" s="3"/>
      <c r="B974" s="3" t="s">
        <v>11</v>
      </c>
      <c r="C974" s="3" t="s">
        <v>505</v>
      </c>
      <c r="D974" s="2"/>
      <c r="E974" s="2" t="e">
        <f t="shared" si="0"/>
        <v>#VALUE!</v>
      </c>
    </row>
    <row r="975" spans="1:5" ht="12.75" customHeight="1" x14ac:dyDescent="0.2">
      <c r="A975" s="3"/>
      <c r="B975" s="3" t="s">
        <v>18</v>
      </c>
      <c r="C975" s="4" t="s">
        <v>19</v>
      </c>
      <c r="D975" s="2"/>
      <c r="E975" s="2" t="e">
        <f t="shared" si="0"/>
        <v>#VALUE!</v>
      </c>
    </row>
    <row r="976" spans="1:5" ht="12.75" customHeight="1" x14ac:dyDescent="0.2">
      <c r="A976" s="1" t="str">
        <f>HYPERLINK("javascript:void(0)","diszprózium")</f>
        <v>diszprózium</v>
      </c>
      <c r="B976" s="1"/>
      <c r="C976" s="1"/>
      <c r="D976" s="2"/>
      <c r="E976" s="2" t="e">
        <f t="shared" si="0"/>
        <v>#VALUE!</v>
      </c>
    </row>
    <row r="977" spans="1:5" ht="12.75" customHeight="1" x14ac:dyDescent="0.2">
      <c r="A977" s="3"/>
      <c r="B977" s="3" t="s">
        <v>0</v>
      </c>
      <c r="C977" s="3" t="s">
        <v>21</v>
      </c>
      <c r="D977" s="2"/>
      <c r="E977" s="2" t="e">
        <f t="shared" si="0"/>
        <v>#VALUE!</v>
      </c>
    </row>
    <row r="978" spans="1:5" ht="12.75" customHeight="1" x14ac:dyDescent="0.2">
      <c r="A978" s="3"/>
      <c r="B978" s="3" t="s">
        <v>2</v>
      </c>
      <c r="C978" s="3" t="s">
        <v>458</v>
      </c>
      <c r="D978" s="2"/>
      <c r="E978" s="2" t="e">
        <f t="shared" si="0"/>
        <v>#VALUE!</v>
      </c>
    </row>
    <row r="979" spans="1:5" ht="12.75" customHeight="1" x14ac:dyDescent="0.2">
      <c r="A979" s="3"/>
      <c r="B979" s="3" t="s">
        <v>9</v>
      </c>
      <c r="C979" s="3" t="s">
        <v>27</v>
      </c>
      <c r="D979" s="2"/>
      <c r="E979" s="2" t="e">
        <f t="shared" si="0"/>
        <v>#VALUE!</v>
      </c>
    </row>
    <row r="980" spans="1:5" ht="12.75" customHeight="1" x14ac:dyDescent="0.2">
      <c r="A980" s="3"/>
      <c r="B980" s="3" t="s">
        <v>11</v>
      </c>
      <c r="C980" s="3" t="s">
        <v>689</v>
      </c>
      <c r="D980" s="2"/>
      <c r="E980" s="2" t="e">
        <f t="shared" si="0"/>
        <v>#VALUE!</v>
      </c>
    </row>
    <row r="981" spans="1:5" ht="12.75" customHeight="1" x14ac:dyDescent="0.2">
      <c r="A981" s="3"/>
      <c r="B981" s="3" t="s">
        <v>18</v>
      </c>
      <c r="C981" s="4" t="s">
        <v>19</v>
      </c>
      <c r="D981" s="2"/>
      <c r="E981" s="2" t="e">
        <f t="shared" si="0"/>
        <v>#VALUE!</v>
      </c>
    </row>
    <row r="982" spans="1:5" ht="12.75" customHeight="1" x14ac:dyDescent="0.2">
      <c r="A982" s="1" t="str">
        <f>HYPERLINK("javascript:void(0)","dióda")</f>
        <v>dióda</v>
      </c>
      <c r="B982" s="1"/>
      <c r="C982" s="1"/>
      <c r="D982" s="2"/>
      <c r="E982" s="2" t="e">
        <f t="shared" si="0"/>
        <v>#VALUE!</v>
      </c>
    </row>
    <row r="983" spans="1:5" ht="12.75" customHeight="1" x14ac:dyDescent="0.2">
      <c r="A983" s="3"/>
      <c r="B983" s="3" t="s">
        <v>0</v>
      </c>
      <c r="C983" s="3" t="s">
        <v>21</v>
      </c>
      <c r="D983" s="2"/>
      <c r="E983" s="2" t="e">
        <f t="shared" si="0"/>
        <v>#VALUE!</v>
      </c>
    </row>
    <row r="984" spans="1:5" ht="12.75" customHeight="1" x14ac:dyDescent="0.2">
      <c r="A984" s="3"/>
      <c r="B984" s="3" t="s">
        <v>2</v>
      </c>
      <c r="C984" s="3" t="s">
        <v>458</v>
      </c>
      <c r="D984" s="2"/>
      <c r="E984" s="2" t="e">
        <f t="shared" si="0"/>
        <v>#VALUE!</v>
      </c>
    </row>
    <row r="985" spans="1:5" ht="12.75" customHeight="1" x14ac:dyDescent="0.2">
      <c r="A985" s="3"/>
      <c r="B985" s="3" t="s">
        <v>9</v>
      </c>
      <c r="C985" s="3" t="s">
        <v>22</v>
      </c>
      <c r="D985" s="2"/>
      <c r="E985" s="2" t="e">
        <f t="shared" si="0"/>
        <v>#VALUE!</v>
      </c>
    </row>
    <row r="986" spans="1:5" ht="12.75" customHeight="1" x14ac:dyDescent="0.2">
      <c r="A986" s="3"/>
      <c r="B986" s="3" t="s">
        <v>11</v>
      </c>
      <c r="C986" s="3" t="s">
        <v>395</v>
      </c>
      <c r="D986" s="2"/>
      <c r="E986" s="2" t="e">
        <f t="shared" si="0"/>
        <v>#VALUE!</v>
      </c>
    </row>
    <row r="987" spans="1:5" ht="12.75" customHeight="1" x14ac:dyDescent="0.2">
      <c r="A987" s="3"/>
      <c r="B987" s="3" t="s">
        <v>18</v>
      </c>
      <c r="C987" s="4" t="s">
        <v>19</v>
      </c>
      <c r="D987" s="2"/>
      <c r="E987" s="2" t="e">
        <f t="shared" si="0"/>
        <v>#VALUE!</v>
      </c>
    </row>
    <row r="988" spans="1:5" ht="12.75" customHeight="1" x14ac:dyDescent="0.2">
      <c r="A988" s="1" t="str">
        <f>HYPERLINK("javascript:void(0)","dobhártya")</f>
        <v>dobhártya</v>
      </c>
      <c r="B988" s="1"/>
      <c r="C988" s="1"/>
      <c r="D988" s="2"/>
      <c r="E988" s="2" t="e">
        <f t="shared" si="0"/>
        <v>#VALUE!</v>
      </c>
    </row>
    <row r="989" spans="1:5" ht="12.75" customHeight="1" x14ac:dyDescent="0.2">
      <c r="A989" s="3"/>
      <c r="B989" s="3" t="s">
        <v>0</v>
      </c>
      <c r="C989" s="3" t="s">
        <v>21</v>
      </c>
      <c r="D989" s="2"/>
      <c r="E989" s="2" t="e">
        <f t="shared" si="0"/>
        <v>#VALUE!</v>
      </c>
    </row>
    <row r="990" spans="1:5" ht="12.75" customHeight="1" x14ac:dyDescent="0.2">
      <c r="A990" s="3"/>
      <c r="B990" s="3" t="s">
        <v>2</v>
      </c>
      <c r="C990" s="3" t="s">
        <v>458</v>
      </c>
      <c r="D990" s="2"/>
      <c r="E990" s="2" t="e">
        <f t="shared" si="0"/>
        <v>#VALUE!</v>
      </c>
    </row>
    <row r="991" spans="1:5" ht="12.75" customHeight="1" x14ac:dyDescent="0.2">
      <c r="A991" s="3"/>
      <c r="B991" s="3" t="s">
        <v>9</v>
      </c>
      <c r="C991" s="3" t="s">
        <v>53</v>
      </c>
      <c r="D991" s="2"/>
      <c r="E991" s="2" t="e">
        <f t="shared" si="0"/>
        <v>#VALUE!</v>
      </c>
    </row>
    <row r="992" spans="1:5" ht="12.75" customHeight="1" x14ac:dyDescent="0.2">
      <c r="A992" s="3"/>
      <c r="B992" s="3" t="s">
        <v>11</v>
      </c>
      <c r="C992" s="3" t="s">
        <v>740</v>
      </c>
      <c r="D992" s="2"/>
      <c r="E992" s="2" t="e">
        <f t="shared" si="0"/>
        <v>#VALUE!</v>
      </c>
    </row>
    <row r="993" spans="1:5" ht="12.75" customHeight="1" x14ac:dyDescent="0.2">
      <c r="A993" s="3"/>
      <c r="B993" s="3" t="s">
        <v>18</v>
      </c>
      <c r="C993" s="4" t="s">
        <v>19</v>
      </c>
      <c r="D993" s="2"/>
      <c r="E993" s="2" t="e">
        <f t="shared" si="0"/>
        <v>#VALUE!</v>
      </c>
    </row>
    <row r="994" spans="1:5" ht="12.75" customHeight="1" x14ac:dyDescent="0.2">
      <c r="A994" s="1" t="str">
        <f>HYPERLINK("javascript:void(0)","dobkarika")</f>
        <v>dobkarika</v>
      </c>
      <c r="B994" s="1"/>
      <c r="C994" s="1"/>
      <c r="D994" s="2"/>
      <c r="E994" s="2" t="e">
        <f t="shared" si="0"/>
        <v>#VALUE!</v>
      </c>
    </row>
    <row r="995" spans="1:5" ht="12.75" customHeight="1" x14ac:dyDescent="0.2">
      <c r="A995" s="3"/>
      <c r="B995" s="3" t="s">
        <v>0</v>
      </c>
      <c r="C995" s="3" t="s">
        <v>21</v>
      </c>
      <c r="D995" s="2"/>
      <c r="E995" s="2" t="e">
        <f t="shared" si="0"/>
        <v>#VALUE!</v>
      </c>
    </row>
    <row r="996" spans="1:5" ht="12.75" customHeight="1" x14ac:dyDescent="0.2">
      <c r="A996" s="3"/>
      <c r="B996" s="3" t="s">
        <v>2</v>
      </c>
      <c r="C996" s="3" t="s">
        <v>458</v>
      </c>
      <c r="D996" s="2"/>
      <c r="E996" s="2" t="e">
        <f t="shared" si="0"/>
        <v>#VALUE!</v>
      </c>
    </row>
    <row r="997" spans="1:5" ht="12.75" customHeight="1" x14ac:dyDescent="0.2">
      <c r="A997" s="3"/>
      <c r="B997" s="3" t="s">
        <v>9</v>
      </c>
      <c r="C997" s="3" t="s">
        <v>27</v>
      </c>
      <c r="D997" s="2"/>
      <c r="E997" s="2" t="e">
        <f t="shared" si="0"/>
        <v>#VALUE!</v>
      </c>
    </row>
    <row r="998" spans="1:5" ht="12.75" customHeight="1" x14ac:dyDescent="0.2">
      <c r="A998" s="3"/>
      <c r="B998" s="3" t="s">
        <v>11</v>
      </c>
      <c r="C998" s="3" t="s">
        <v>530</v>
      </c>
      <c r="D998" s="2"/>
      <c r="E998" s="2" t="e">
        <f t="shared" si="0"/>
        <v>#VALUE!</v>
      </c>
    </row>
    <row r="999" spans="1:5" ht="12.75" customHeight="1" x14ac:dyDescent="0.2">
      <c r="A999" s="3"/>
      <c r="B999" s="3" t="s">
        <v>18</v>
      </c>
      <c r="C999" s="4" t="s">
        <v>19</v>
      </c>
      <c r="D999" s="2"/>
      <c r="E999" s="2" t="e">
        <f t="shared" si="0"/>
        <v>#VALUE!</v>
      </c>
    </row>
    <row r="1000" spans="1:5" ht="12.75" customHeight="1" x14ac:dyDescent="0.2">
      <c r="A1000" s="1" t="str">
        <f>HYPERLINK("javascript:void(0)","dobogás")</f>
        <v>dobogás</v>
      </c>
      <c r="B1000" s="1"/>
      <c r="C1000" s="1"/>
      <c r="D1000" s="2"/>
      <c r="E1000" s="2" t="e">
        <f t="shared" si="0"/>
        <v>#VALUE!</v>
      </c>
    </row>
    <row r="1001" spans="1:5" ht="12.75" customHeight="1" x14ac:dyDescent="0.2">
      <c r="A1001" s="3"/>
      <c r="B1001" s="3" t="s">
        <v>0</v>
      </c>
      <c r="C1001" s="3" t="s">
        <v>21</v>
      </c>
      <c r="D1001" s="2"/>
      <c r="E1001" s="2" t="e">
        <f t="shared" si="0"/>
        <v>#VALUE!</v>
      </c>
    </row>
    <row r="1002" spans="1:5" ht="12.75" customHeight="1" x14ac:dyDescent="0.2">
      <c r="A1002" s="3"/>
      <c r="B1002" s="3" t="s">
        <v>2</v>
      </c>
      <c r="C1002" s="3" t="s">
        <v>458</v>
      </c>
      <c r="D1002" s="2"/>
      <c r="E1002" s="2" t="e">
        <f t="shared" si="0"/>
        <v>#VALUE!</v>
      </c>
    </row>
    <row r="1003" spans="1:5" ht="12.75" customHeight="1" x14ac:dyDescent="0.2">
      <c r="A1003" s="3"/>
      <c r="B1003" s="3" t="s">
        <v>9</v>
      </c>
      <c r="C1003" s="3" t="s">
        <v>22</v>
      </c>
      <c r="D1003" s="2"/>
      <c r="E1003" s="2" t="e">
        <f t="shared" si="0"/>
        <v>#VALUE!</v>
      </c>
    </row>
    <row r="1004" spans="1:5" ht="12.75" customHeight="1" x14ac:dyDescent="0.2">
      <c r="A1004" s="3"/>
      <c r="B1004" s="3" t="s">
        <v>11</v>
      </c>
      <c r="C1004" s="3" t="s">
        <v>395</v>
      </c>
      <c r="D1004" s="2"/>
      <c r="E1004" s="2" t="e">
        <f t="shared" si="0"/>
        <v>#VALUE!</v>
      </c>
    </row>
    <row r="1005" spans="1:5" ht="12.75" customHeight="1" x14ac:dyDescent="0.2">
      <c r="A1005" s="3"/>
      <c r="B1005" s="3" t="s">
        <v>18</v>
      </c>
      <c r="C1005" s="4" t="s">
        <v>19</v>
      </c>
      <c r="D1005" s="2"/>
      <c r="E1005" s="2" t="e">
        <f t="shared" si="0"/>
        <v>#VALUE!</v>
      </c>
    </row>
    <row r="1006" spans="1:5" ht="12.75" customHeight="1" x14ac:dyDescent="0.2">
      <c r="A1006" s="1" t="str">
        <f>HYPERLINK("javascript:void(0)","dobverő")</f>
        <v>dobverő</v>
      </c>
      <c r="B1006" s="1"/>
      <c r="C1006" s="1"/>
      <c r="D1006" s="2"/>
      <c r="E1006" s="2" t="e">
        <f t="shared" si="0"/>
        <v>#VALUE!</v>
      </c>
    </row>
    <row r="1007" spans="1:5" ht="12.75" customHeight="1" x14ac:dyDescent="0.2">
      <c r="A1007" s="3"/>
      <c r="B1007" s="3" t="s">
        <v>0</v>
      </c>
      <c r="C1007" s="3" t="s">
        <v>21</v>
      </c>
      <c r="D1007" s="2"/>
      <c r="E1007" s="2" t="e">
        <f t="shared" si="0"/>
        <v>#VALUE!</v>
      </c>
    </row>
    <row r="1008" spans="1:5" ht="12.75" customHeight="1" x14ac:dyDescent="0.2">
      <c r="A1008" s="3"/>
      <c r="B1008" s="3" t="s">
        <v>2</v>
      </c>
      <c r="C1008" s="3" t="s">
        <v>458</v>
      </c>
      <c r="D1008" s="2"/>
      <c r="E1008" s="2" t="e">
        <f t="shared" si="0"/>
        <v>#VALUE!</v>
      </c>
    </row>
    <row r="1009" spans="1:5" ht="12.75" customHeight="1" x14ac:dyDescent="0.2">
      <c r="A1009" s="3"/>
      <c r="B1009" s="3" t="s">
        <v>9</v>
      </c>
      <c r="C1009" s="3" t="s">
        <v>53</v>
      </c>
      <c r="D1009" s="2"/>
      <c r="E1009" s="2" t="e">
        <f t="shared" si="0"/>
        <v>#VALUE!</v>
      </c>
    </row>
    <row r="1010" spans="1:5" ht="12.75" customHeight="1" x14ac:dyDescent="0.2">
      <c r="A1010" s="3"/>
      <c r="B1010" s="3" t="s">
        <v>11</v>
      </c>
      <c r="C1010" s="3" t="s">
        <v>746</v>
      </c>
      <c r="D1010" s="2"/>
      <c r="E1010" s="2" t="e">
        <f t="shared" si="0"/>
        <v>#VALUE!</v>
      </c>
    </row>
    <row r="1011" spans="1:5" ht="12.75" customHeight="1" x14ac:dyDescent="0.2">
      <c r="A1011" s="3"/>
      <c r="B1011" s="3" t="s">
        <v>18</v>
      </c>
      <c r="C1011" s="4" t="s">
        <v>19</v>
      </c>
      <c r="D1011" s="2"/>
      <c r="E1011" s="2" t="e">
        <f t="shared" si="0"/>
        <v>#VALUE!</v>
      </c>
    </row>
    <row r="1012" spans="1:5" ht="12.75" customHeight="1" x14ac:dyDescent="0.2">
      <c r="A1012" s="1" t="str">
        <f>HYPERLINK("javascript:void(0)","dobókocka")</f>
        <v>dobókocka</v>
      </c>
      <c r="B1012" s="1"/>
      <c r="C1012" s="1"/>
      <c r="D1012" s="2"/>
      <c r="E1012" s="2" t="e">
        <f t="shared" si="0"/>
        <v>#VALUE!</v>
      </c>
    </row>
    <row r="1013" spans="1:5" ht="12.75" customHeight="1" x14ac:dyDescent="0.2">
      <c r="A1013" s="3"/>
      <c r="B1013" s="3" t="s">
        <v>0</v>
      </c>
      <c r="C1013" s="3" t="s">
        <v>21</v>
      </c>
      <c r="D1013" s="2"/>
      <c r="E1013" s="2" t="e">
        <f t="shared" si="0"/>
        <v>#VALUE!</v>
      </c>
    </row>
    <row r="1014" spans="1:5" ht="12.75" customHeight="1" x14ac:dyDescent="0.2">
      <c r="A1014" s="3"/>
      <c r="B1014" s="3" t="s">
        <v>2</v>
      </c>
      <c r="C1014" s="3" t="s">
        <v>458</v>
      </c>
      <c r="D1014" s="2"/>
      <c r="E1014" s="2" t="e">
        <f t="shared" si="0"/>
        <v>#VALUE!</v>
      </c>
    </row>
    <row r="1015" spans="1:5" ht="12.75" customHeight="1" x14ac:dyDescent="0.2">
      <c r="A1015" s="3"/>
      <c r="B1015" s="3" t="s">
        <v>9</v>
      </c>
      <c r="C1015" s="3" t="s">
        <v>53</v>
      </c>
      <c r="D1015" s="2"/>
      <c r="E1015" s="2" t="e">
        <f t="shared" si="0"/>
        <v>#VALUE!</v>
      </c>
    </row>
    <row r="1016" spans="1:5" ht="12.75" customHeight="1" x14ac:dyDescent="0.2">
      <c r="A1016" s="3"/>
      <c r="B1016" s="3" t="s">
        <v>11</v>
      </c>
      <c r="C1016" s="3" t="s">
        <v>749</v>
      </c>
      <c r="D1016" s="2"/>
      <c r="E1016" s="2" t="e">
        <f t="shared" si="0"/>
        <v>#VALUE!</v>
      </c>
    </row>
    <row r="1017" spans="1:5" ht="12.75" customHeight="1" x14ac:dyDescent="0.2">
      <c r="A1017" s="3"/>
      <c r="B1017" s="3" t="s">
        <v>18</v>
      </c>
      <c r="C1017" s="4" t="s">
        <v>19</v>
      </c>
      <c r="D1017" s="2"/>
      <c r="E1017" s="2" t="e">
        <f t="shared" si="0"/>
        <v>#VALUE!</v>
      </c>
    </row>
    <row r="1018" spans="1:5" ht="12.75" customHeight="1" x14ac:dyDescent="0.2">
      <c r="A1018" s="1" t="str">
        <f>HYPERLINK("javascript:void(0)","dolomitpikkely")</f>
        <v>dolomitpikkely</v>
      </c>
      <c r="B1018" s="1"/>
      <c r="C1018" s="1"/>
      <c r="D1018" s="2"/>
      <c r="E1018" s="2" t="e">
        <f t="shared" si="0"/>
        <v>#VALUE!</v>
      </c>
    </row>
    <row r="1019" spans="1:5" ht="12.75" customHeight="1" x14ac:dyDescent="0.2">
      <c r="A1019" s="3"/>
      <c r="B1019" s="3" t="s">
        <v>0</v>
      </c>
      <c r="C1019" s="3" t="s">
        <v>21</v>
      </c>
      <c r="D1019" s="2"/>
      <c r="E1019" s="2" t="e">
        <f t="shared" si="0"/>
        <v>#VALUE!</v>
      </c>
    </row>
    <row r="1020" spans="1:5" ht="12.75" customHeight="1" x14ac:dyDescent="0.2">
      <c r="A1020" s="3"/>
      <c r="B1020" s="3" t="s">
        <v>2</v>
      </c>
      <c r="C1020" s="3" t="s">
        <v>458</v>
      </c>
      <c r="D1020" s="2"/>
      <c r="E1020" s="2" t="e">
        <f t="shared" si="0"/>
        <v>#VALUE!</v>
      </c>
    </row>
    <row r="1021" spans="1:5" ht="12.75" customHeight="1" x14ac:dyDescent="0.2">
      <c r="A1021" s="3"/>
      <c r="B1021" s="3" t="s">
        <v>9</v>
      </c>
      <c r="C1021" s="3" t="s">
        <v>22</v>
      </c>
      <c r="D1021" s="2"/>
      <c r="E1021" s="2" t="e">
        <f t="shared" si="0"/>
        <v>#VALUE!</v>
      </c>
    </row>
    <row r="1022" spans="1:5" ht="12.75" customHeight="1" x14ac:dyDescent="0.2">
      <c r="A1022" s="3"/>
      <c r="B1022" s="3" t="s">
        <v>11</v>
      </c>
      <c r="C1022" s="3" t="s">
        <v>23</v>
      </c>
      <c r="D1022" s="2"/>
      <c r="E1022" s="2" t="e">
        <f t="shared" si="0"/>
        <v>#VALUE!</v>
      </c>
    </row>
    <row r="1023" spans="1:5" ht="12.75" customHeight="1" x14ac:dyDescent="0.2">
      <c r="A1023" s="3"/>
      <c r="B1023" s="3" t="s">
        <v>16</v>
      </c>
      <c r="C1023" s="3" t="s">
        <v>574</v>
      </c>
      <c r="D1023" s="2"/>
      <c r="E1023" s="2" t="e">
        <f t="shared" si="0"/>
        <v>#VALUE!</v>
      </c>
    </row>
    <row r="1024" spans="1:5" ht="12.75" customHeight="1" x14ac:dyDescent="0.2">
      <c r="A1024" s="3"/>
      <c r="B1024" s="3" t="s">
        <v>18</v>
      </c>
      <c r="C1024" s="4" t="s">
        <v>19</v>
      </c>
      <c r="D1024" s="2"/>
      <c r="E1024" s="2" t="e">
        <f t="shared" si="0"/>
        <v>#VALUE!</v>
      </c>
    </row>
    <row r="1025" spans="1:5" ht="12.75" customHeight="1" x14ac:dyDescent="0.2">
      <c r="A1025" s="1" t="str">
        <f>HYPERLINK("javascript:void(0)","drótkosár")</f>
        <v>drótkosár</v>
      </c>
      <c r="B1025" s="1"/>
      <c r="C1025" s="1"/>
      <c r="D1025" s="2"/>
      <c r="E1025" s="2" t="e">
        <f t="shared" si="0"/>
        <v>#VALUE!</v>
      </c>
    </row>
    <row r="1026" spans="1:5" ht="12.75" customHeight="1" x14ac:dyDescent="0.2">
      <c r="A1026" s="3"/>
      <c r="B1026" s="3" t="s">
        <v>0</v>
      </c>
      <c r="C1026" s="3" t="s">
        <v>21</v>
      </c>
      <c r="D1026" s="2"/>
      <c r="E1026" s="2" t="e">
        <f t="shared" si="0"/>
        <v>#VALUE!</v>
      </c>
    </row>
    <row r="1027" spans="1:5" ht="12.75" customHeight="1" x14ac:dyDescent="0.2">
      <c r="A1027" s="3"/>
      <c r="B1027" s="3" t="s">
        <v>2</v>
      </c>
      <c r="C1027" s="3" t="s">
        <v>458</v>
      </c>
      <c r="D1027" s="2"/>
      <c r="E1027" s="2" t="e">
        <f t="shared" si="0"/>
        <v>#VALUE!</v>
      </c>
    </row>
    <row r="1028" spans="1:5" ht="12.75" customHeight="1" x14ac:dyDescent="0.2">
      <c r="A1028" s="3"/>
      <c r="B1028" s="3" t="s">
        <v>9</v>
      </c>
      <c r="C1028" s="3" t="s">
        <v>10</v>
      </c>
      <c r="D1028" s="2"/>
      <c r="E1028" s="2" t="e">
        <f t="shared" si="0"/>
        <v>#VALUE!</v>
      </c>
    </row>
    <row r="1029" spans="1:5" ht="12.75" customHeight="1" x14ac:dyDescent="0.2">
      <c r="A1029" s="3"/>
      <c r="B1029" s="3" t="s">
        <v>11</v>
      </c>
      <c r="C1029" s="3" t="s">
        <v>755</v>
      </c>
      <c r="D1029" s="2"/>
      <c r="E1029" s="2" t="e">
        <f t="shared" si="0"/>
        <v>#VALUE!</v>
      </c>
    </row>
    <row r="1030" spans="1:5" ht="12.75" customHeight="1" x14ac:dyDescent="0.2">
      <c r="A1030" s="3"/>
      <c r="B1030" s="3" t="s">
        <v>18</v>
      </c>
      <c r="C1030" s="4" t="s">
        <v>19</v>
      </c>
      <c r="D1030" s="2"/>
      <c r="E1030" s="2" t="e">
        <f t="shared" si="0"/>
        <v>#VALUE!</v>
      </c>
    </row>
    <row r="1031" spans="1:5" ht="12.75" customHeight="1" x14ac:dyDescent="0.2">
      <c r="A1031" s="1" t="str">
        <f>HYPERLINK("javascript:void(0)","démon lélekkő")</f>
        <v>démon lélekkő</v>
      </c>
      <c r="B1031" s="1"/>
      <c r="C1031" s="1"/>
      <c r="D1031" s="2"/>
      <c r="E1031" s="2" t="e">
        <f t="shared" si="0"/>
        <v>#VALUE!</v>
      </c>
    </row>
    <row r="1032" spans="1:5" ht="12.75" customHeight="1" x14ac:dyDescent="0.2">
      <c r="A1032" s="3"/>
      <c r="B1032" s="3" t="s">
        <v>0</v>
      </c>
      <c r="C1032" s="3" t="s">
        <v>21</v>
      </c>
      <c r="D1032" s="2"/>
      <c r="E1032" s="2" t="e">
        <f t="shared" si="0"/>
        <v>#VALUE!</v>
      </c>
    </row>
    <row r="1033" spans="1:5" ht="12.75" customHeight="1" x14ac:dyDescent="0.2">
      <c r="A1033" s="3"/>
      <c r="B1033" s="3" t="s">
        <v>2</v>
      </c>
      <c r="C1033" s="3" t="s">
        <v>387</v>
      </c>
      <c r="D1033" s="2"/>
      <c r="E1033" s="2" t="e">
        <f t="shared" si="0"/>
        <v>#VALUE!</v>
      </c>
    </row>
    <row r="1034" spans="1:5" ht="12.75" customHeight="1" x14ac:dyDescent="0.2">
      <c r="A1034" s="3"/>
      <c r="B1034" s="3" t="s">
        <v>9</v>
      </c>
      <c r="C1034" s="3" t="s">
        <v>27</v>
      </c>
      <c r="D1034" s="2"/>
      <c r="E1034" s="2" t="e">
        <f t="shared" si="0"/>
        <v>#VALUE!</v>
      </c>
    </row>
    <row r="1035" spans="1:5" ht="12.75" customHeight="1" x14ac:dyDescent="0.2">
      <c r="A1035" s="3"/>
      <c r="B1035" s="3" t="s">
        <v>11</v>
      </c>
      <c r="C1035" s="3" t="s">
        <v>23</v>
      </c>
      <c r="D1035" s="2"/>
      <c r="E1035" s="2" t="e">
        <f t="shared" si="0"/>
        <v>#VALUE!</v>
      </c>
    </row>
    <row r="1036" spans="1:5" ht="12.75" customHeight="1" x14ac:dyDescent="0.2">
      <c r="A1036" s="3"/>
      <c r="B1036" s="3" t="s">
        <v>16</v>
      </c>
      <c r="C1036" s="3" t="s">
        <v>388</v>
      </c>
      <c r="D1036" s="2"/>
      <c r="E1036" s="2" t="e">
        <f t="shared" si="0"/>
        <v>#VALUE!</v>
      </c>
    </row>
    <row r="1037" spans="1:5" ht="12.75" customHeight="1" x14ac:dyDescent="0.2">
      <c r="A1037" s="3"/>
      <c r="B1037" s="3" t="s">
        <v>18</v>
      </c>
      <c r="C1037" s="4" t="s">
        <v>19</v>
      </c>
      <c r="D1037" s="2"/>
      <c r="E1037" s="2" t="e">
        <f t="shared" si="0"/>
        <v>#VALUE!</v>
      </c>
    </row>
    <row r="1038" spans="1:5" ht="12.75" customHeight="1" x14ac:dyDescent="0.2">
      <c r="A1038" s="1" t="str">
        <f>HYPERLINK("javascript:void(0)","démon-fogó háló")</f>
        <v>démon-fogó háló</v>
      </c>
      <c r="B1038" s="1"/>
      <c r="C1038" s="1"/>
      <c r="D1038" s="2"/>
      <c r="E1038" s="2" t="e">
        <f t="shared" si="0"/>
        <v>#VALUE!</v>
      </c>
    </row>
    <row r="1039" spans="1:5" ht="12.75" customHeight="1" x14ac:dyDescent="0.2">
      <c r="A1039" s="3"/>
      <c r="B1039" s="3" t="s">
        <v>0</v>
      </c>
      <c r="C1039" s="3" t="s">
        <v>21</v>
      </c>
      <c r="D1039" s="2"/>
      <c r="E1039" s="2" t="e">
        <f t="shared" si="0"/>
        <v>#VALUE!</v>
      </c>
    </row>
    <row r="1040" spans="1:5" ht="12.75" customHeight="1" x14ac:dyDescent="0.2">
      <c r="A1040" s="3"/>
      <c r="B1040" s="3" t="s">
        <v>2</v>
      </c>
      <c r="C1040" s="3" t="s">
        <v>387</v>
      </c>
      <c r="D1040" s="2"/>
      <c r="E1040" s="2" t="e">
        <f t="shared" si="0"/>
        <v>#VALUE!</v>
      </c>
    </row>
    <row r="1041" spans="1:5" ht="12.75" customHeight="1" x14ac:dyDescent="0.2">
      <c r="A1041" s="3"/>
      <c r="B1041" s="3" t="s">
        <v>9</v>
      </c>
      <c r="C1041" s="3" t="s">
        <v>27</v>
      </c>
      <c r="D1041" s="2"/>
      <c r="E1041" s="2" t="e">
        <f t="shared" si="0"/>
        <v>#VALUE!</v>
      </c>
    </row>
    <row r="1042" spans="1:5" ht="12.75" customHeight="1" x14ac:dyDescent="0.2">
      <c r="A1042" s="3"/>
      <c r="B1042" s="3" t="s">
        <v>11</v>
      </c>
      <c r="C1042" s="3" t="s">
        <v>23</v>
      </c>
      <c r="D1042" s="2"/>
      <c r="E1042" s="2" t="e">
        <f t="shared" si="0"/>
        <v>#VALUE!</v>
      </c>
    </row>
    <row r="1043" spans="1:5" ht="12.75" customHeight="1" x14ac:dyDescent="0.2">
      <c r="A1043" s="3"/>
      <c r="B1043" s="3" t="s">
        <v>16</v>
      </c>
      <c r="C1043" s="3" t="s">
        <v>388</v>
      </c>
      <c r="D1043" s="2"/>
      <c r="E1043" s="2" t="e">
        <f t="shared" si="0"/>
        <v>#VALUE!</v>
      </c>
    </row>
    <row r="1044" spans="1:5" ht="12.75" customHeight="1" x14ac:dyDescent="0.2">
      <c r="A1044" s="3"/>
      <c r="B1044" s="3" t="s">
        <v>18</v>
      </c>
      <c r="C1044" s="4" t="s">
        <v>19</v>
      </c>
      <c r="D1044" s="2"/>
      <c r="E1044" s="2" t="e">
        <f t="shared" si="0"/>
        <v>#VALUE!</v>
      </c>
    </row>
    <row r="1045" spans="1:5" ht="12.75" customHeight="1" x14ac:dyDescent="0.2">
      <c r="A1045" s="1" t="str">
        <f>HYPERLINK("javascript:void(0)","démonamulett")</f>
        <v>démonamulett</v>
      </c>
      <c r="B1045" s="1"/>
      <c r="C1045" s="1"/>
      <c r="D1045" s="2"/>
      <c r="E1045" s="2" t="e">
        <f t="shared" si="0"/>
        <v>#VALUE!</v>
      </c>
    </row>
    <row r="1046" spans="1:5" ht="12.75" customHeight="1" x14ac:dyDescent="0.2">
      <c r="A1046" s="3"/>
      <c r="B1046" s="3" t="s">
        <v>0</v>
      </c>
      <c r="C1046" s="3" t="s">
        <v>21</v>
      </c>
      <c r="D1046" s="2"/>
      <c r="E1046" s="2" t="e">
        <f t="shared" si="0"/>
        <v>#VALUE!</v>
      </c>
    </row>
    <row r="1047" spans="1:5" ht="12.75" customHeight="1" x14ac:dyDescent="0.2">
      <c r="A1047" s="3"/>
      <c r="B1047" s="3" t="s">
        <v>2</v>
      </c>
      <c r="C1047" s="3" t="s">
        <v>458</v>
      </c>
      <c r="D1047" s="2"/>
      <c r="E1047" s="2" t="e">
        <f t="shared" si="0"/>
        <v>#VALUE!</v>
      </c>
    </row>
    <row r="1048" spans="1:5" ht="12.75" customHeight="1" x14ac:dyDescent="0.2">
      <c r="A1048" s="3"/>
      <c r="B1048" s="3" t="s">
        <v>9</v>
      </c>
      <c r="C1048" s="3" t="s">
        <v>22</v>
      </c>
      <c r="D1048" s="2"/>
      <c r="E1048" s="2" t="e">
        <f t="shared" si="0"/>
        <v>#VALUE!</v>
      </c>
    </row>
    <row r="1049" spans="1:5" ht="12.75" customHeight="1" x14ac:dyDescent="0.2">
      <c r="A1049" s="3"/>
      <c r="B1049" s="3" t="s">
        <v>11</v>
      </c>
      <c r="C1049" s="3" t="s">
        <v>761</v>
      </c>
      <c r="D1049" s="2"/>
      <c r="E1049" s="2" t="e">
        <f t="shared" si="0"/>
        <v>#VALUE!</v>
      </c>
    </row>
    <row r="1050" spans="1:5" ht="12.75" customHeight="1" x14ac:dyDescent="0.2">
      <c r="A1050" s="3"/>
      <c r="B1050" s="3" t="s">
        <v>18</v>
      </c>
      <c r="C1050" s="4" t="s">
        <v>19</v>
      </c>
      <c r="D1050" s="2"/>
      <c r="E1050" s="2" t="e">
        <f t="shared" si="0"/>
        <v>#VALUE!</v>
      </c>
    </row>
    <row r="1051" spans="1:5" ht="12.75" customHeight="1" x14ac:dyDescent="0.2">
      <c r="A1051" s="1" t="str">
        <f>HYPERLINK("javascript:void(0)","démonbendő")</f>
        <v>démonbendő</v>
      </c>
      <c r="B1051" s="1"/>
      <c r="C1051" s="1"/>
      <c r="D1051" s="2"/>
      <c r="E1051" s="2" t="e">
        <f t="shared" si="0"/>
        <v>#VALUE!</v>
      </c>
    </row>
    <row r="1052" spans="1:5" ht="12.75" customHeight="1" x14ac:dyDescent="0.2">
      <c r="A1052" s="3"/>
      <c r="B1052" s="3" t="s">
        <v>0</v>
      </c>
      <c r="C1052" s="3" t="s">
        <v>21</v>
      </c>
      <c r="D1052" s="2"/>
      <c r="E1052" s="2" t="e">
        <f t="shared" si="0"/>
        <v>#VALUE!</v>
      </c>
    </row>
    <row r="1053" spans="1:5" ht="12.75" customHeight="1" x14ac:dyDescent="0.2">
      <c r="A1053" s="3"/>
      <c r="B1053" s="3" t="s">
        <v>2</v>
      </c>
      <c r="C1053" s="3" t="s">
        <v>458</v>
      </c>
      <c r="D1053" s="2"/>
      <c r="E1053" s="2" t="e">
        <f t="shared" si="0"/>
        <v>#VALUE!</v>
      </c>
    </row>
    <row r="1054" spans="1:5" ht="12.75" customHeight="1" x14ac:dyDescent="0.2">
      <c r="A1054" s="3"/>
      <c r="B1054" s="3" t="s">
        <v>9</v>
      </c>
      <c r="C1054" s="3" t="s">
        <v>22</v>
      </c>
      <c r="D1054" s="2"/>
      <c r="E1054" s="2" t="e">
        <f t="shared" si="0"/>
        <v>#VALUE!</v>
      </c>
    </row>
    <row r="1055" spans="1:5" ht="12.75" customHeight="1" x14ac:dyDescent="0.2">
      <c r="A1055" s="3"/>
      <c r="B1055" s="3" t="s">
        <v>11</v>
      </c>
      <c r="C1055" s="3" t="s">
        <v>162</v>
      </c>
      <c r="D1055" s="2"/>
      <c r="E1055" s="2" t="e">
        <f t="shared" si="0"/>
        <v>#VALUE!</v>
      </c>
    </row>
    <row r="1056" spans="1:5" ht="12.75" customHeight="1" x14ac:dyDescent="0.2">
      <c r="A1056" s="3"/>
      <c r="B1056" s="3" t="s">
        <v>18</v>
      </c>
      <c r="C1056" s="4" t="s">
        <v>19</v>
      </c>
      <c r="D1056" s="2"/>
      <c r="E1056" s="2" t="e">
        <f t="shared" si="0"/>
        <v>#VALUE!</v>
      </c>
    </row>
    <row r="1057" spans="1:5" ht="12.75" customHeight="1" x14ac:dyDescent="0.2">
      <c r="A1057" s="1" t="str">
        <f>HYPERLINK("javascript:void(0)","démoncsőr")</f>
        <v>démoncsőr</v>
      </c>
      <c r="B1057" s="1"/>
      <c r="C1057" s="1"/>
      <c r="D1057" s="2"/>
      <c r="E1057" s="2" t="e">
        <f t="shared" si="0"/>
        <v>#VALUE!</v>
      </c>
    </row>
    <row r="1058" spans="1:5" ht="12.75" customHeight="1" x14ac:dyDescent="0.2">
      <c r="A1058" s="3"/>
      <c r="B1058" s="3" t="s">
        <v>0</v>
      </c>
      <c r="C1058" s="3" t="s">
        <v>21</v>
      </c>
      <c r="D1058" s="2"/>
      <c r="E1058" s="2" t="e">
        <f t="shared" si="0"/>
        <v>#VALUE!</v>
      </c>
    </row>
    <row r="1059" spans="1:5" ht="12.75" customHeight="1" x14ac:dyDescent="0.2">
      <c r="A1059" s="3"/>
      <c r="B1059" s="3" t="s">
        <v>2</v>
      </c>
      <c r="C1059" s="3" t="s">
        <v>458</v>
      </c>
      <c r="D1059" s="2"/>
      <c r="E1059" s="2" t="e">
        <f t="shared" si="0"/>
        <v>#VALUE!</v>
      </c>
    </row>
    <row r="1060" spans="1:5" ht="12.75" customHeight="1" x14ac:dyDescent="0.2">
      <c r="A1060" s="3"/>
      <c r="B1060" s="3" t="s">
        <v>9</v>
      </c>
      <c r="C1060" s="3" t="s">
        <v>49</v>
      </c>
      <c r="D1060" s="2"/>
      <c r="E1060" s="2" t="e">
        <f t="shared" si="0"/>
        <v>#VALUE!</v>
      </c>
    </row>
    <row r="1061" spans="1:5" ht="12.75" customHeight="1" x14ac:dyDescent="0.2">
      <c r="A1061" s="3"/>
      <c r="B1061" s="3" t="s">
        <v>11</v>
      </c>
      <c r="C1061" s="3" t="s">
        <v>201</v>
      </c>
      <c r="D1061" s="2"/>
      <c r="E1061" s="2" t="e">
        <f t="shared" si="0"/>
        <v>#VALUE!</v>
      </c>
    </row>
    <row r="1062" spans="1:5" ht="12.75" customHeight="1" x14ac:dyDescent="0.2">
      <c r="A1062" s="3"/>
      <c r="B1062" s="3" t="s">
        <v>18</v>
      </c>
      <c r="C1062" s="4" t="s">
        <v>19</v>
      </c>
      <c r="D1062" s="2"/>
      <c r="E1062" s="2" t="e">
        <f t="shared" si="0"/>
        <v>#VALUE!</v>
      </c>
    </row>
    <row r="1063" spans="1:5" ht="12.75" customHeight="1" x14ac:dyDescent="0.2">
      <c r="A1063" s="1" t="str">
        <f>HYPERLINK("javascript:void(0)","démonfog")</f>
        <v>démonfog</v>
      </c>
      <c r="B1063" s="1"/>
      <c r="C1063" s="1"/>
      <c r="D1063" s="2"/>
      <c r="E1063" s="2" t="e">
        <f t="shared" si="0"/>
        <v>#VALUE!</v>
      </c>
    </row>
    <row r="1064" spans="1:5" ht="12.75" customHeight="1" x14ac:dyDescent="0.2">
      <c r="A1064" s="3"/>
      <c r="B1064" s="3" t="s">
        <v>0</v>
      </c>
      <c r="C1064" s="3" t="s">
        <v>21</v>
      </c>
      <c r="D1064" s="2"/>
      <c r="E1064" s="2" t="e">
        <f t="shared" si="0"/>
        <v>#VALUE!</v>
      </c>
    </row>
    <row r="1065" spans="1:5" ht="12.75" customHeight="1" x14ac:dyDescent="0.2">
      <c r="A1065" s="3"/>
      <c r="B1065" s="3" t="s">
        <v>2</v>
      </c>
      <c r="C1065" s="3" t="s">
        <v>458</v>
      </c>
      <c r="D1065" s="2"/>
      <c r="E1065" s="2" t="e">
        <f t="shared" si="0"/>
        <v>#VALUE!</v>
      </c>
    </row>
    <row r="1066" spans="1:5" ht="12.75" customHeight="1" x14ac:dyDescent="0.2">
      <c r="A1066" s="3"/>
      <c r="B1066" s="3" t="s">
        <v>9</v>
      </c>
      <c r="C1066" s="3" t="s">
        <v>10</v>
      </c>
      <c r="D1066" s="2"/>
      <c r="E1066" s="2" t="e">
        <f t="shared" si="0"/>
        <v>#VALUE!</v>
      </c>
    </row>
    <row r="1067" spans="1:5" ht="12.75" customHeight="1" x14ac:dyDescent="0.2">
      <c r="A1067" s="3"/>
      <c r="B1067" s="3" t="s">
        <v>11</v>
      </c>
      <c r="C1067" s="3" t="s">
        <v>711</v>
      </c>
      <c r="D1067" s="2"/>
      <c r="E1067" s="2" t="e">
        <f t="shared" si="0"/>
        <v>#VALUE!</v>
      </c>
    </row>
    <row r="1068" spans="1:5" ht="12.75" customHeight="1" x14ac:dyDescent="0.2">
      <c r="A1068" s="3"/>
      <c r="B1068" s="3" t="s">
        <v>18</v>
      </c>
      <c r="C1068" s="4" t="s">
        <v>19</v>
      </c>
      <c r="D1068" s="2"/>
      <c r="E1068" s="2" t="e">
        <f t="shared" si="0"/>
        <v>#VALUE!</v>
      </c>
    </row>
    <row r="1069" spans="1:5" ht="12.75" customHeight="1" x14ac:dyDescent="0.2">
      <c r="A1069" s="1" t="str">
        <f>HYPERLINK("javascript:void(0)","démongyapjú")</f>
        <v>démongyapjú</v>
      </c>
      <c r="B1069" s="1"/>
      <c r="C1069" s="1"/>
      <c r="D1069" s="2"/>
      <c r="E1069" s="2" t="e">
        <f t="shared" si="0"/>
        <v>#VALUE!</v>
      </c>
    </row>
    <row r="1070" spans="1:5" ht="12.75" customHeight="1" x14ac:dyDescent="0.2">
      <c r="A1070" s="3"/>
      <c r="B1070" s="3" t="s">
        <v>0</v>
      </c>
      <c r="C1070" s="3" t="s">
        <v>21</v>
      </c>
      <c r="D1070" s="2"/>
      <c r="E1070" s="2" t="e">
        <f t="shared" si="0"/>
        <v>#VALUE!</v>
      </c>
    </row>
    <row r="1071" spans="1:5" ht="12.75" customHeight="1" x14ac:dyDescent="0.2">
      <c r="A1071" s="3"/>
      <c r="B1071" s="3" t="s">
        <v>2</v>
      </c>
      <c r="C1071" s="3" t="s">
        <v>387</v>
      </c>
      <c r="D1071" s="2"/>
      <c r="E1071" s="2" t="e">
        <f t="shared" si="0"/>
        <v>#VALUE!</v>
      </c>
    </row>
    <row r="1072" spans="1:5" ht="12.75" customHeight="1" x14ac:dyDescent="0.2">
      <c r="A1072" s="3"/>
      <c r="B1072" s="3" t="s">
        <v>9</v>
      </c>
      <c r="C1072" s="3" t="s">
        <v>172</v>
      </c>
      <c r="D1072" s="2"/>
      <c r="E1072" s="2" t="e">
        <f t="shared" si="0"/>
        <v>#VALUE!</v>
      </c>
    </row>
    <row r="1073" spans="1:5" ht="12.75" customHeight="1" x14ac:dyDescent="0.2">
      <c r="A1073" s="3"/>
      <c r="B1073" s="3" t="s">
        <v>11</v>
      </c>
      <c r="C1073" s="3" t="s">
        <v>767</v>
      </c>
      <c r="D1073" s="2"/>
      <c r="E1073" s="2" t="e">
        <f t="shared" si="0"/>
        <v>#VALUE!</v>
      </c>
    </row>
    <row r="1074" spans="1:5" ht="12.75" customHeight="1" x14ac:dyDescent="0.2">
      <c r="A1074" s="3"/>
      <c r="B1074" s="3" t="s">
        <v>18</v>
      </c>
      <c r="C1074" s="4" t="s">
        <v>19</v>
      </c>
      <c r="D1074" s="2"/>
      <c r="E1074" s="2" t="e">
        <f t="shared" si="0"/>
        <v>#VALUE!</v>
      </c>
    </row>
    <row r="1075" spans="1:5" ht="12.75" customHeight="1" x14ac:dyDescent="0.2">
      <c r="A1075" s="1" t="str">
        <f>HYPERLINK("javascript:void(0)","démonmester köpenye")</f>
        <v>démonmester köpenye</v>
      </c>
      <c r="B1075" s="1"/>
      <c r="C1075" s="1"/>
      <c r="D1075" s="2"/>
      <c r="E1075" s="2" t="e">
        <f t="shared" si="0"/>
        <v>#VALUE!</v>
      </c>
    </row>
    <row r="1076" spans="1:5" ht="12.75" customHeight="1" x14ac:dyDescent="0.2">
      <c r="A1076" s="3"/>
      <c r="B1076" s="3" t="s">
        <v>0</v>
      </c>
      <c r="C1076" s="3" t="s">
        <v>21</v>
      </c>
      <c r="D1076" s="2"/>
      <c r="E1076" s="2" t="e">
        <f t="shared" si="0"/>
        <v>#VALUE!</v>
      </c>
    </row>
    <row r="1077" spans="1:5" ht="12.75" customHeight="1" x14ac:dyDescent="0.2">
      <c r="A1077" s="3"/>
      <c r="B1077" s="3" t="s">
        <v>2</v>
      </c>
      <c r="C1077" s="3" t="s">
        <v>387</v>
      </c>
      <c r="D1077" s="2"/>
      <c r="E1077" s="2" t="e">
        <f t="shared" si="0"/>
        <v>#VALUE!</v>
      </c>
    </row>
    <row r="1078" spans="1:5" ht="12.75" customHeight="1" x14ac:dyDescent="0.2">
      <c r="A1078" s="3"/>
      <c r="B1078" s="3" t="s">
        <v>9</v>
      </c>
      <c r="C1078" s="3" t="s">
        <v>53</v>
      </c>
      <c r="D1078" s="2"/>
      <c r="E1078" s="2" t="e">
        <f t="shared" si="0"/>
        <v>#VALUE!</v>
      </c>
    </row>
    <row r="1079" spans="1:5" ht="12.75" customHeight="1" x14ac:dyDescent="0.2">
      <c r="A1079" s="3"/>
      <c r="B1079" s="3" t="s">
        <v>11</v>
      </c>
      <c r="C1079" s="3" t="s">
        <v>23</v>
      </c>
      <c r="D1079" s="2"/>
      <c r="E1079" s="2" t="e">
        <f t="shared" si="0"/>
        <v>#VALUE!</v>
      </c>
    </row>
    <row r="1080" spans="1:5" ht="12.75" customHeight="1" x14ac:dyDescent="0.2">
      <c r="A1080" s="3"/>
      <c r="B1080" s="3" t="s">
        <v>16</v>
      </c>
      <c r="C1080" s="3" t="s">
        <v>388</v>
      </c>
      <c r="D1080" s="2"/>
      <c r="E1080" s="2" t="e">
        <f t="shared" si="0"/>
        <v>#VALUE!</v>
      </c>
    </row>
    <row r="1081" spans="1:5" ht="12.75" customHeight="1" x14ac:dyDescent="0.2">
      <c r="A1081" s="3"/>
      <c r="B1081" s="3" t="s">
        <v>18</v>
      </c>
      <c r="C1081" s="4" t="s">
        <v>19</v>
      </c>
      <c r="D1081" s="2"/>
      <c r="E1081" s="2" t="e">
        <f t="shared" si="0"/>
        <v>#VALUE!</v>
      </c>
    </row>
    <row r="1082" spans="1:5" ht="12.75" customHeight="1" x14ac:dyDescent="0.2">
      <c r="A1082" s="1" t="str">
        <f>HYPERLINK("javascript:void(0)","démonnyúlmáj")</f>
        <v>démonnyúlmáj</v>
      </c>
      <c r="B1082" s="1"/>
      <c r="C1082" s="1"/>
      <c r="D1082" s="2"/>
      <c r="E1082" s="2" t="e">
        <f t="shared" si="0"/>
        <v>#VALUE!</v>
      </c>
    </row>
    <row r="1083" spans="1:5" ht="12.75" customHeight="1" x14ac:dyDescent="0.2">
      <c r="A1083" s="3"/>
      <c r="B1083" s="3" t="s">
        <v>0</v>
      </c>
      <c r="C1083" s="3" t="s">
        <v>21</v>
      </c>
      <c r="D1083" s="2"/>
      <c r="E1083" s="2" t="e">
        <f t="shared" si="0"/>
        <v>#VALUE!</v>
      </c>
    </row>
    <row r="1084" spans="1:5" ht="12.75" customHeight="1" x14ac:dyDescent="0.2">
      <c r="A1084" s="3"/>
      <c r="B1084" s="3" t="s">
        <v>2</v>
      </c>
      <c r="C1084" s="3" t="s">
        <v>387</v>
      </c>
      <c r="D1084" s="2"/>
      <c r="E1084" s="2" t="e">
        <f t="shared" si="0"/>
        <v>#VALUE!</v>
      </c>
    </row>
    <row r="1085" spans="1:5" ht="12.75" customHeight="1" x14ac:dyDescent="0.2">
      <c r="A1085" s="3"/>
      <c r="B1085" s="3" t="s">
        <v>9</v>
      </c>
      <c r="C1085" s="3" t="s">
        <v>137</v>
      </c>
      <c r="D1085" s="2"/>
      <c r="E1085" s="2" t="e">
        <f t="shared" si="0"/>
        <v>#VALUE!</v>
      </c>
    </row>
    <row r="1086" spans="1:5" ht="12.75" customHeight="1" x14ac:dyDescent="0.2">
      <c r="A1086" s="3"/>
      <c r="B1086" s="3" t="s">
        <v>11</v>
      </c>
      <c r="C1086" s="3" t="s">
        <v>801</v>
      </c>
      <c r="D1086" s="2"/>
      <c r="E1086" s="2" t="e">
        <f t="shared" si="0"/>
        <v>#VALUE!</v>
      </c>
    </row>
    <row r="1087" spans="1:5" ht="12.75" customHeight="1" x14ac:dyDescent="0.2">
      <c r="A1087" s="3"/>
      <c r="B1087" s="3" t="s">
        <v>18</v>
      </c>
      <c r="C1087" s="4" t="s">
        <v>19</v>
      </c>
      <c r="D1087" s="2"/>
      <c r="E1087" s="2" t="e">
        <f t="shared" si="0"/>
        <v>#VALUE!</v>
      </c>
    </row>
    <row r="1088" spans="1:5" ht="12.75" customHeight="1" x14ac:dyDescent="0.2">
      <c r="A1088" s="1" t="str">
        <f>HYPERLINK("javascript:void(0)","démonszárny")</f>
        <v>démonszárny</v>
      </c>
      <c r="B1088" s="1"/>
      <c r="C1088" s="1"/>
      <c r="D1088" s="2"/>
      <c r="E1088" s="2" t="e">
        <f t="shared" si="0"/>
        <v>#VALUE!</v>
      </c>
    </row>
    <row r="1089" spans="1:5" ht="12.75" customHeight="1" x14ac:dyDescent="0.2">
      <c r="A1089" s="3"/>
      <c r="B1089" s="3" t="s">
        <v>0</v>
      </c>
      <c r="C1089" s="3" t="s">
        <v>21</v>
      </c>
      <c r="D1089" s="2"/>
      <c r="E1089" s="2" t="e">
        <f t="shared" si="0"/>
        <v>#VALUE!</v>
      </c>
    </row>
    <row r="1090" spans="1:5" ht="12.75" customHeight="1" x14ac:dyDescent="0.2">
      <c r="A1090" s="3"/>
      <c r="B1090" s="3" t="s">
        <v>2</v>
      </c>
      <c r="C1090" s="3" t="s">
        <v>458</v>
      </c>
      <c r="D1090" s="2"/>
      <c r="E1090" s="2" t="e">
        <f t="shared" si="0"/>
        <v>#VALUE!</v>
      </c>
    </row>
    <row r="1091" spans="1:5" ht="12.75" customHeight="1" x14ac:dyDescent="0.2">
      <c r="A1091" s="3"/>
      <c r="B1091" s="3" t="s">
        <v>9</v>
      </c>
      <c r="C1091" s="3" t="s">
        <v>804</v>
      </c>
      <c r="D1091" s="2"/>
      <c r="E1091" s="2" t="e">
        <f t="shared" si="0"/>
        <v>#VALUE!</v>
      </c>
    </row>
    <row r="1092" spans="1:5" ht="12.75" customHeight="1" x14ac:dyDescent="0.2">
      <c r="A1092" s="3"/>
      <c r="B1092" s="3" t="s">
        <v>11</v>
      </c>
      <c r="C1092" s="3" t="s">
        <v>805</v>
      </c>
      <c r="D1092" s="2"/>
      <c r="E1092" s="2" t="e">
        <f t="shared" si="0"/>
        <v>#VALUE!</v>
      </c>
    </row>
    <row r="1093" spans="1:5" ht="12.75" customHeight="1" x14ac:dyDescent="0.2">
      <c r="A1093" s="3"/>
      <c r="B1093" s="3" t="s">
        <v>18</v>
      </c>
      <c r="C1093" s="4" t="s">
        <v>19</v>
      </c>
      <c r="D1093" s="2"/>
      <c r="E1093" s="2" t="e">
        <f t="shared" si="0"/>
        <v>#VALUE!</v>
      </c>
    </row>
    <row r="1094" spans="1:5" ht="12.75" customHeight="1" x14ac:dyDescent="0.2">
      <c r="A1094" s="1" t="str">
        <f>HYPERLINK("javascript:void(0)","démontoll")</f>
        <v>démontoll</v>
      </c>
      <c r="B1094" s="1"/>
      <c r="C1094" s="1"/>
      <c r="D1094" s="2"/>
      <c r="E1094" s="2" t="e">
        <f t="shared" si="0"/>
        <v>#VALUE!</v>
      </c>
    </row>
    <row r="1095" spans="1:5" ht="12.75" customHeight="1" x14ac:dyDescent="0.2">
      <c r="A1095" s="3"/>
      <c r="B1095" s="3" t="s">
        <v>0</v>
      </c>
      <c r="C1095" s="3" t="s">
        <v>21</v>
      </c>
      <c r="D1095" s="2"/>
      <c r="E1095" s="2" t="e">
        <f t="shared" si="0"/>
        <v>#VALUE!</v>
      </c>
    </row>
    <row r="1096" spans="1:5" ht="12.75" customHeight="1" x14ac:dyDescent="0.2">
      <c r="A1096" s="3"/>
      <c r="B1096" s="3" t="s">
        <v>2</v>
      </c>
      <c r="C1096" s="3" t="s">
        <v>458</v>
      </c>
      <c r="D1096" s="2"/>
      <c r="E1096" s="2" t="e">
        <f t="shared" si="0"/>
        <v>#VALUE!</v>
      </c>
    </row>
    <row r="1097" spans="1:5" ht="12.75" customHeight="1" x14ac:dyDescent="0.2">
      <c r="A1097" s="3"/>
      <c r="B1097" s="3" t="s">
        <v>9</v>
      </c>
      <c r="C1097" s="3" t="s">
        <v>22</v>
      </c>
      <c r="D1097" s="2"/>
      <c r="E1097" s="2" t="e">
        <f t="shared" si="0"/>
        <v>#VALUE!</v>
      </c>
    </row>
    <row r="1098" spans="1:5" ht="12.75" customHeight="1" x14ac:dyDescent="0.2">
      <c r="A1098" s="3"/>
      <c r="B1098" s="3" t="s">
        <v>11</v>
      </c>
      <c r="C1098" s="3" t="s">
        <v>610</v>
      </c>
      <c r="D1098" s="2"/>
      <c r="E1098" s="2" t="e">
        <f t="shared" si="0"/>
        <v>#VALUE!</v>
      </c>
    </row>
    <row r="1099" spans="1:5" ht="12.75" customHeight="1" x14ac:dyDescent="0.2">
      <c r="A1099" s="3"/>
      <c r="B1099" s="3" t="s">
        <v>18</v>
      </c>
      <c r="C1099" s="4" t="s">
        <v>19</v>
      </c>
      <c r="D1099" s="2"/>
      <c r="E1099" s="2" t="e">
        <f t="shared" si="0"/>
        <v>#VALUE!</v>
      </c>
    </row>
    <row r="1100" spans="1:5" ht="12.75" customHeight="1" x14ac:dyDescent="0.2">
      <c r="A1100" s="1" t="str">
        <f>HYPERLINK("javascript:void(0)","démonvádli")</f>
        <v>démonvádli</v>
      </c>
      <c r="B1100" s="1"/>
      <c r="C1100" s="1"/>
      <c r="D1100" s="2"/>
      <c r="E1100" s="2" t="e">
        <f t="shared" si="0"/>
        <v>#VALUE!</v>
      </c>
    </row>
    <row r="1101" spans="1:5" ht="12.75" customHeight="1" x14ac:dyDescent="0.2">
      <c r="A1101" s="3"/>
      <c r="B1101" s="3" t="s">
        <v>0</v>
      </c>
      <c r="C1101" s="3" t="s">
        <v>21</v>
      </c>
      <c r="D1101" s="2"/>
      <c r="E1101" s="2" t="e">
        <f t="shared" si="0"/>
        <v>#VALUE!</v>
      </c>
    </row>
    <row r="1102" spans="1:5" ht="12.75" customHeight="1" x14ac:dyDescent="0.2">
      <c r="A1102" s="3"/>
      <c r="B1102" s="3" t="s">
        <v>2</v>
      </c>
      <c r="C1102" s="3" t="s">
        <v>458</v>
      </c>
      <c r="D1102" s="2"/>
      <c r="E1102" s="2" t="e">
        <f t="shared" si="0"/>
        <v>#VALUE!</v>
      </c>
    </row>
    <row r="1103" spans="1:5" ht="12.75" customHeight="1" x14ac:dyDescent="0.2">
      <c r="A1103" s="3"/>
      <c r="B1103" s="3" t="s">
        <v>9</v>
      </c>
      <c r="C1103" s="3" t="s">
        <v>147</v>
      </c>
      <c r="D1103" s="2"/>
      <c r="E1103" s="2" t="e">
        <f t="shared" si="0"/>
        <v>#VALUE!</v>
      </c>
    </row>
    <row r="1104" spans="1:5" ht="12.75" customHeight="1" x14ac:dyDescent="0.2">
      <c r="A1104" s="3"/>
      <c r="B1104" s="3" t="s">
        <v>11</v>
      </c>
      <c r="C1104" s="3" t="s">
        <v>810</v>
      </c>
      <c r="D1104" s="2"/>
      <c r="E1104" s="2" t="e">
        <f t="shared" si="0"/>
        <v>#VALUE!</v>
      </c>
    </row>
    <row r="1105" spans="1:5" ht="12.75" customHeight="1" x14ac:dyDescent="0.2">
      <c r="A1105" s="3"/>
      <c r="B1105" s="3" t="s">
        <v>18</v>
      </c>
      <c r="C1105" s="4" t="s">
        <v>19</v>
      </c>
      <c r="D1105" s="2"/>
      <c r="E1105" s="2" t="e">
        <f t="shared" si="0"/>
        <v>#VALUE!</v>
      </c>
    </row>
    <row r="1106" spans="1:5" ht="12.75" customHeight="1" x14ac:dyDescent="0.2">
      <c r="A1106" s="1" t="str">
        <f>HYPERLINK("javascript:void(0)","démonzanza")</f>
        <v>démonzanza</v>
      </c>
      <c r="B1106" s="1"/>
      <c r="C1106" s="1"/>
      <c r="D1106" s="2"/>
      <c r="E1106" s="2" t="e">
        <f t="shared" si="0"/>
        <v>#VALUE!</v>
      </c>
    </row>
    <row r="1107" spans="1:5" ht="12.75" customHeight="1" x14ac:dyDescent="0.2">
      <c r="A1107" s="3"/>
      <c r="B1107" s="3" t="s">
        <v>0</v>
      </c>
      <c r="C1107" s="3" t="s">
        <v>21</v>
      </c>
      <c r="D1107" s="2"/>
      <c r="E1107" s="2" t="e">
        <f t="shared" si="0"/>
        <v>#VALUE!</v>
      </c>
    </row>
    <row r="1108" spans="1:5" ht="12.75" customHeight="1" x14ac:dyDescent="0.2">
      <c r="A1108" s="3"/>
      <c r="B1108" s="3" t="s">
        <v>2</v>
      </c>
      <c r="C1108" s="3" t="s">
        <v>458</v>
      </c>
      <c r="D1108" s="2"/>
      <c r="E1108" s="2" t="e">
        <f t="shared" si="0"/>
        <v>#VALUE!</v>
      </c>
    </row>
    <row r="1109" spans="1:5" ht="12.75" customHeight="1" x14ac:dyDescent="0.2">
      <c r="A1109" s="3"/>
      <c r="B1109" s="3" t="s">
        <v>9</v>
      </c>
      <c r="C1109" s="3" t="s">
        <v>53</v>
      </c>
      <c r="D1109" s="2"/>
      <c r="E1109" s="2" t="e">
        <f t="shared" si="0"/>
        <v>#VALUE!</v>
      </c>
    </row>
    <row r="1110" spans="1:5" ht="12.75" customHeight="1" x14ac:dyDescent="0.2">
      <c r="A1110" s="3"/>
      <c r="B1110" s="3" t="s">
        <v>11</v>
      </c>
      <c r="C1110" s="3" t="s">
        <v>209</v>
      </c>
      <c r="D1110" s="2"/>
      <c r="E1110" s="2" t="e">
        <f t="shared" si="0"/>
        <v>#VALUE!</v>
      </c>
    </row>
    <row r="1111" spans="1:5" ht="12.75" customHeight="1" x14ac:dyDescent="0.2">
      <c r="A1111" s="3"/>
      <c r="B1111" s="3" t="s">
        <v>18</v>
      </c>
      <c r="C1111" s="4" t="s">
        <v>19</v>
      </c>
      <c r="D1111" s="2"/>
      <c r="E1111" s="2" t="e">
        <f t="shared" si="0"/>
        <v>#VALUE!</v>
      </c>
    </row>
    <row r="1112" spans="1:5" ht="12.75" customHeight="1" x14ac:dyDescent="0.2">
      <c r="A1112" s="1" t="str">
        <f>HYPERLINK("javascript:void(0)","dínófog")</f>
        <v>dínófog</v>
      </c>
      <c r="B1112" s="1"/>
      <c r="C1112" s="1"/>
      <c r="D1112" s="2"/>
      <c r="E1112" s="2" t="e">
        <f t="shared" si="0"/>
        <v>#VALUE!</v>
      </c>
    </row>
    <row r="1113" spans="1:5" ht="12.75" customHeight="1" x14ac:dyDescent="0.2">
      <c r="A1113" s="3"/>
      <c r="B1113" s="3" t="s">
        <v>0</v>
      </c>
      <c r="C1113" s="3" t="s">
        <v>21</v>
      </c>
      <c r="D1113" s="2"/>
      <c r="E1113" s="2" t="e">
        <f t="shared" si="0"/>
        <v>#VALUE!</v>
      </c>
    </row>
    <row r="1114" spans="1:5" ht="12.75" customHeight="1" x14ac:dyDescent="0.2">
      <c r="A1114" s="3"/>
      <c r="B1114" s="3" t="s">
        <v>2</v>
      </c>
      <c r="C1114" s="3" t="s">
        <v>458</v>
      </c>
      <c r="D1114" s="2"/>
      <c r="E1114" s="2" t="e">
        <f t="shared" si="0"/>
        <v>#VALUE!</v>
      </c>
    </row>
    <row r="1115" spans="1:5" ht="12.75" customHeight="1" x14ac:dyDescent="0.2">
      <c r="A1115" s="3"/>
      <c r="B1115" s="3" t="s">
        <v>9</v>
      </c>
      <c r="C1115" s="3" t="s">
        <v>10</v>
      </c>
      <c r="D1115" s="2"/>
      <c r="E1115" s="2" t="e">
        <f t="shared" si="0"/>
        <v>#VALUE!</v>
      </c>
    </row>
    <row r="1116" spans="1:5" ht="12.75" customHeight="1" x14ac:dyDescent="0.2">
      <c r="A1116" s="3"/>
      <c r="B1116" s="3" t="s">
        <v>11</v>
      </c>
      <c r="C1116" s="3" t="s">
        <v>473</v>
      </c>
      <c r="D1116" s="2"/>
      <c r="E1116" s="2" t="e">
        <f t="shared" si="0"/>
        <v>#VALUE!</v>
      </c>
    </row>
    <row r="1117" spans="1:5" ht="12.75" customHeight="1" x14ac:dyDescent="0.2">
      <c r="A1117" s="3"/>
      <c r="B1117" s="3" t="s">
        <v>18</v>
      </c>
      <c r="C1117" s="4" t="s">
        <v>19</v>
      </c>
      <c r="D1117" s="2"/>
      <c r="E1117" s="2" t="e">
        <f t="shared" si="0"/>
        <v>#VALUE!</v>
      </c>
    </row>
    <row r="1118" spans="1:5" ht="12.75" customHeight="1" x14ac:dyDescent="0.2">
      <c r="A1118" s="1" t="str">
        <f>HYPERLINK("javascript:void(0)","dühítés")</f>
        <v>dühítés</v>
      </c>
      <c r="B1118" s="1"/>
      <c r="C1118" s="1"/>
      <c r="D1118" s="2"/>
      <c r="E1118" s="2" t="e">
        <f t="shared" si="0"/>
        <v>#VALUE!</v>
      </c>
    </row>
    <row r="1119" spans="1:5" ht="12.75" customHeight="1" x14ac:dyDescent="0.2">
      <c r="A1119" s="3"/>
      <c r="B1119" s="3" t="s">
        <v>0</v>
      </c>
      <c r="C1119" s="3" t="s">
        <v>21</v>
      </c>
      <c r="D1119" s="2"/>
      <c r="E1119" s="2" t="e">
        <f t="shared" si="0"/>
        <v>#VALUE!</v>
      </c>
    </row>
    <row r="1120" spans="1:5" ht="12.75" customHeight="1" x14ac:dyDescent="0.2">
      <c r="A1120" s="3"/>
      <c r="B1120" s="3" t="s">
        <v>2</v>
      </c>
      <c r="C1120" s="3" t="s">
        <v>458</v>
      </c>
      <c r="D1120" s="2"/>
      <c r="E1120" s="2" t="e">
        <f t="shared" si="0"/>
        <v>#VALUE!</v>
      </c>
    </row>
    <row r="1121" spans="1:5" ht="12.75" customHeight="1" x14ac:dyDescent="0.2">
      <c r="A1121" s="3"/>
      <c r="B1121" s="3" t="s">
        <v>9</v>
      </c>
      <c r="C1121" s="3" t="s">
        <v>22</v>
      </c>
      <c r="D1121" s="2"/>
      <c r="E1121" s="2" t="e">
        <f t="shared" si="0"/>
        <v>#VALUE!</v>
      </c>
    </row>
    <row r="1122" spans="1:5" ht="12.75" customHeight="1" x14ac:dyDescent="0.2">
      <c r="A1122" s="3"/>
      <c r="B1122" s="3" t="s">
        <v>11</v>
      </c>
      <c r="C1122" s="3" t="s">
        <v>152</v>
      </c>
      <c r="D1122" s="2"/>
      <c r="E1122" s="2" t="e">
        <f t="shared" si="0"/>
        <v>#VALUE!</v>
      </c>
    </row>
    <row r="1123" spans="1:5" ht="12.75" customHeight="1" x14ac:dyDescent="0.2">
      <c r="A1123" s="3"/>
      <c r="B1123" s="3" t="s">
        <v>18</v>
      </c>
      <c r="C1123" s="4" t="s">
        <v>19</v>
      </c>
      <c r="D1123" s="2"/>
      <c r="E1123" s="2" t="e">
        <f t="shared" si="0"/>
        <v>#VALUE!</v>
      </c>
    </row>
    <row r="1124" spans="1:5" ht="12.75" customHeight="1" x14ac:dyDescent="0.2">
      <c r="A1124" s="1" t="str">
        <f>HYPERLINK("javascript:void(0)","e. kvinteszencia")</f>
        <v>e. kvinteszencia</v>
      </c>
      <c r="B1124" s="1"/>
      <c r="C1124" s="1"/>
      <c r="D1124" s="2"/>
      <c r="E1124" s="2" t="e">
        <f t="shared" si="0"/>
        <v>#VALUE!</v>
      </c>
    </row>
    <row r="1125" spans="1:5" ht="12.75" customHeight="1" x14ac:dyDescent="0.2">
      <c r="A1125" s="3"/>
      <c r="B1125" s="3" t="s">
        <v>0</v>
      </c>
      <c r="C1125" s="3" t="s">
        <v>21</v>
      </c>
      <c r="D1125" s="2"/>
      <c r="E1125" s="2" t="e">
        <f t="shared" si="0"/>
        <v>#VALUE!</v>
      </c>
    </row>
    <row r="1126" spans="1:5" ht="12.75" customHeight="1" x14ac:dyDescent="0.2">
      <c r="A1126" s="3"/>
      <c r="B1126" s="3" t="s">
        <v>2</v>
      </c>
      <c r="C1126" s="3" t="s">
        <v>387</v>
      </c>
      <c r="D1126" s="2"/>
      <c r="E1126" s="2" t="e">
        <f t="shared" si="0"/>
        <v>#VALUE!</v>
      </c>
    </row>
    <row r="1127" spans="1:5" ht="12.75" customHeight="1" x14ac:dyDescent="0.2">
      <c r="A1127" s="3"/>
      <c r="B1127" s="3" t="s">
        <v>9</v>
      </c>
      <c r="C1127" s="3" t="s">
        <v>27</v>
      </c>
      <c r="D1127" s="2"/>
      <c r="E1127" s="2" t="e">
        <f t="shared" si="0"/>
        <v>#VALUE!</v>
      </c>
    </row>
    <row r="1128" spans="1:5" ht="12.75" customHeight="1" x14ac:dyDescent="0.2">
      <c r="A1128" s="3"/>
      <c r="B1128" s="3" t="s">
        <v>11</v>
      </c>
      <c r="C1128" s="3" t="s">
        <v>23</v>
      </c>
      <c r="D1128" s="2"/>
      <c r="E1128" s="2" t="e">
        <f t="shared" si="0"/>
        <v>#VALUE!</v>
      </c>
    </row>
    <row r="1129" spans="1:5" ht="12.75" customHeight="1" x14ac:dyDescent="0.2">
      <c r="A1129" s="3"/>
      <c r="B1129" s="3" t="s">
        <v>16</v>
      </c>
      <c r="C1129" s="3" t="s">
        <v>388</v>
      </c>
      <c r="D1129" s="2"/>
      <c r="E1129" s="2" t="e">
        <f t="shared" si="0"/>
        <v>#VALUE!</v>
      </c>
    </row>
    <row r="1130" spans="1:5" ht="12.75" customHeight="1" x14ac:dyDescent="0.2">
      <c r="A1130" s="3"/>
      <c r="B1130" s="3" t="s">
        <v>18</v>
      </c>
      <c r="C1130" s="4" t="s">
        <v>19</v>
      </c>
      <c r="D1130" s="2"/>
      <c r="E1130" s="2" t="e">
        <f t="shared" si="0"/>
        <v>#VALUE!</v>
      </c>
    </row>
    <row r="1131" spans="1:5" ht="12.75" customHeight="1" x14ac:dyDescent="0.2">
      <c r="A1131" s="1" t="str">
        <f>HYPERLINK("javascript:void(0)","ectokinézis")</f>
        <v>ectokinézis</v>
      </c>
      <c r="B1131" s="1"/>
      <c r="C1131" s="1"/>
      <c r="D1131" s="2"/>
      <c r="E1131" s="2" t="e">
        <f t="shared" si="0"/>
        <v>#VALUE!</v>
      </c>
    </row>
    <row r="1132" spans="1:5" ht="12.75" customHeight="1" x14ac:dyDescent="0.2">
      <c r="A1132" s="3"/>
      <c r="B1132" s="3" t="s">
        <v>0</v>
      </c>
      <c r="C1132" s="3" t="s">
        <v>21</v>
      </c>
      <c r="D1132" s="2"/>
      <c r="E1132" s="2" t="e">
        <f t="shared" si="0"/>
        <v>#VALUE!</v>
      </c>
    </row>
    <row r="1133" spans="1:5" ht="12.75" customHeight="1" x14ac:dyDescent="0.2">
      <c r="A1133" s="3"/>
      <c r="B1133" s="3" t="s">
        <v>2</v>
      </c>
      <c r="C1133" s="3" t="s">
        <v>458</v>
      </c>
      <c r="D1133" s="2"/>
      <c r="E1133" s="2" t="e">
        <f t="shared" si="0"/>
        <v>#VALUE!</v>
      </c>
    </row>
    <row r="1134" spans="1:5" ht="12.75" customHeight="1" x14ac:dyDescent="0.2">
      <c r="A1134" s="3"/>
      <c r="B1134" s="3" t="s">
        <v>9</v>
      </c>
      <c r="C1134" s="3" t="s">
        <v>820</v>
      </c>
      <c r="D1134" s="2"/>
      <c r="E1134" s="2" t="e">
        <f t="shared" si="0"/>
        <v>#VALUE!</v>
      </c>
    </row>
    <row r="1135" spans="1:5" ht="12.75" customHeight="1" x14ac:dyDescent="0.2">
      <c r="A1135" s="3"/>
      <c r="B1135" s="3" t="s">
        <v>11</v>
      </c>
      <c r="C1135" s="3" t="s">
        <v>821</v>
      </c>
      <c r="D1135" s="2"/>
      <c r="E1135" s="2" t="e">
        <f t="shared" si="0"/>
        <v>#VALUE!</v>
      </c>
    </row>
    <row r="1136" spans="1:5" ht="12.75" customHeight="1" x14ac:dyDescent="0.2">
      <c r="A1136" s="3"/>
      <c r="B1136" s="3" t="s">
        <v>18</v>
      </c>
      <c r="C1136" s="4" t="s">
        <v>19</v>
      </c>
      <c r="D1136" s="2"/>
      <c r="E1136" s="2" t="e">
        <f t="shared" si="0"/>
        <v>#VALUE!</v>
      </c>
    </row>
    <row r="1137" spans="1:5" ht="12.75" customHeight="1" x14ac:dyDescent="0.2">
      <c r="A1137" s="1" t="str">
        <f>HYPERLINK("javascript:void(0)","egoplazma")</f>
        <v>egoplazma</v>
      </c>
      <c r="B1137" s="1"/>
      <c r="C1137" s="1"/>
      <c r="D1137" s="2"/>
      <c r="E1137" s="2" t="e">
        <f t="shared" si="0"/>
        <v>#VALUE!</v>
      </c>
    </row>
    <row r="1138" spans="1:5" ht="12.75" customHeight="1" x14ac:dyDescent="0.2">
      <c r="A1138" s="3"/>
      <c r="B1138" s="3" t="s">
        <v>0</v>
      </c>
      <c r="C1138" s="3" t="s">
        <v>21</v>
      </c>
      <c r="D1138" s="2"/>
      <c r="E1138" s="2" t="e">
        <f t="shared" si="0"/>
        <v>#VALUE!</v>
      </c>
    </row>
    <row r="1139" spans="1:5" ht="12.75" customHeight="1" x14ac:dyDescent="0.2">
      <c r="A1139" s="3"/>
      <c r="B1139" s="3" t="s">
        <v>2</v>
      </c>
      <c r="C1139" s="3" t="s">
        <v>387</v>
      </c>
      <c r="D1139" s="2"/>
      <c r="E1139" s="2" t="e">
        <f t="shared" si="0"/>
        <v>#VALUE!</v>
      </c>
    </row>
    <row r="1140" spans="1:5" ht="12.75" customHeight="1" x14ac:dyDescent="0.2">
      <c r="A1140" s="3"/>
      <c r="B1140" s="3" t="s">
        <v>9</v>
      </c>
      <c r="C1140" s="3" t="s">
        <v>42</v>
      </c>
      <c r="D1140" s="2"/>
      <c r="E1140" s="2" t="e">
        <f t="shared" si="0"/>
        <v>#VALUE!</v>
      </c>
    </row>
    <row r="1141" spans="1:5" ht="12.75" customHeight="1" x14ac:dyDescent="0.2">
      <c r="A1141" s="3"/>
      <c r="B1141" s="3" t="s">
        <v>11</v>
      </c>
      <c r="C1141" s="3" t="s">
        <v>824</v>
      </c>
      <c r="D1141" s="2"/>
      <c r="E1141" s="2" t="e">
        <f t="shared" si="0"/>
        <v>#VALUE!</v>
      </c>
    </row>
    <row r="1142" spans="1:5" ht="12.75" customHeight="1" x14ac:dyDescent="0.2">
      <c r="A1142" s="3"/>
      <c r="B1142" s="3" t="s">
        <v>18</v>
      </c>
      <c r="C1142" s="4" t="s">
        <v>19</v>
      </c>
      <c r="D1142" s="2"/>
      <c r="E1142" s="2" t="e">
        <f t="shared" si="0"/>
        <v>#VALUE!</v>
      </c>
    </row>
    <row r="1143" spans="1:5" ht="12.75" customHeight="1" x14ac:dyDescent="0.2">
      <c r="A1143" s="1" t="str">
        <f>HYPERLINK("javascript:void(0)","egy kosár lepkebáb")</f>
        <v>egy kosár lepkebáb</v>
      </c>
      <c r="B1143" s="1"/>
      <c r="C1143" s="1"/>
      <c r="D1143" s="2"/>
      <c r="E1143" s="2" t="e">
        <f t="shared" si="0"/>
        <v>#VALUE!</v>
      </c>
    </row>
    <row r="1144" spans="1:5" ht="12.75" customHeight="1" x14ac:dyDescent="0.2">
      <c r="A1144" s="3"/>
      <c r="B1144" s="3" t="s">
        <v>0</v>
      </c>
      <c r="C1144" s="3" t="s">
        <v>21</v>
      </c>
      <c r="D1144" s="2"/>
      <c r="E1144" s="2" t="e">
        <f t="shared" si="0"/>
        <v>#VALUE!</v>
      </c>
    </row>
    <row r="1145" spans="1:5" ht="12.75" customHeight="1" x14ac:dyDescent="0.2">
      <c r="A1145" s="3"/>
      <c r="B1145" s="3" t="s">
        <v>2</v>
      </c>
      <c r="C1145" s="3" t="s">
        <v>387</v>
      </c>
      <c r="D1145" s="2"/>
      <c r="E1145" s="2" t="e">
        <f t="shared" si="0"/>
        <v>#VALUE!</v>
      </c>
    </row>
    <row r="1146" spans="1:5" ht="12.75" customHeight="1" x14ac:dyDescent="0.2">
      <c r="A1146" s="3"/>
      <c r="B1146" s="3" t="s">
        <v>9</v>
      </c>
      <c r="C1146" s="3" t="s">
        <v>36</v>
      </c>
      <c r="D1146" s="2"/>
      <c r="E1146" s="2" t="e">
        <f t="shared" si="0"/>
        <v>#VALUE!</v>
      </c>
    </row>
    <row r="1147" spans="1:5" ht="12.75" customHeight="1" x14ac:dyDescent="0.2">
      <c r="A1147" s="3"/>
      <c r="B1147" s="3" t="s">
        <v>11</v>
      </c>
      <c r="C1147" s="3" t="s">
        <v>23</v>
      </c>
      <c r="D1147" s="2"/>
      <c r="E1147" s="2" t="e">
        <f t="shared" si="0"/>
        <v>#VALUE!</v>
      </c>
    </row>
    <row r="1148" spans="1:5" ht="12.75" customHeight="1" x14ac:dyDescent="0.2">
      <c r="A1148" s="3"/>
      <c r="B1148" s="3" t="s">
        <v>16</v>
      </c>
      <c r="C1148" s="3" t="s">
        <v>388</v>
      </c>
      <c r="D1148" s="2"/>
      <c r="E1148" s="2" t="e">
        <f t="shared" si="0"/>
        <v>#VALUE!</v>
      </c>
    </row>
    <row r="1149" spans="1:5" ht="12.75" customHeight="1" x14ac:dyDescent="0.2">
      <c r="A1149" s="3"/>
      <c r="B1149" s="3" t="s">
        <v>18</v>
      </c>
      <c r="C1149" s="4" t="s">
        <v>19</v>
      </c>
      <c r="D1149" s="2"/>
      <c r="E1149" s="2" t="e">
        <f t="shared" si="0"/>
        <v>#VALUE!</v>
      </c>
    </row>
    <row r="1150" spans="1:5" ht="12.75" customHeight="1" x14ac:dyDescent="0.2">
      <c r="A1150" s="1" t="str">
        <f>HYPERLINK("javascript:void(0)","ejtőernyő")</f>
        <v>ejtőernyő</v>
      </c>
      <c r="B1150" s="1"/>
      <c r="C1150" s="1"/>
      <c r="D1150" s="2"/>
      <c r="E1150" s="2" t="e">
        <f t="shared" si="0"/>
        <v>#VALUE!</v>
      </c>
    </row>
    <row r="1151" spans="1:5" ht="12.75" customHeight="1" x14ac:dyDescent="0.2">
      <c r="A1151" s="3"/>
      <c r="B1151" s="3" t="s">
        <v>0</v>
      </c>
      <c r="C1151" s="3" t="s">
        <v>21</v>
      </c>
      <c r="D1151" s="2"/>
      <c r="E1151" s="2" t="e">
        <f t="shared" si="0"/>
        <v>#VALUE!</v>
      </c>
    </row>
    <row r="1152" spans="1:5" ht="12.75" customHeight="1" x14ac:dyDescent="0.2">
      <c r="A1152" s="3"/>
      <c r="B1152" s="3" t="s">
        <v>2</v>
      </c>
      <c r="C1152" s="3" t="s">
        <v>458</v>
      </c>
      <c r="D1152" s="2"/>
      <c r="E1152" s="2" t="e">
        <f t="shared" si="0"/>
        <v>#VALUE!</v>
      </c>
    </row>
    <row r="1153" spans="1:5" ht="12.75" customHeight="1" x14ac:dyDescent="0.2">
      <c r="A1153" s="3"/>
      <c r="B1153" s="3" t="s">
        <v>9</v>
      </c>
      <c r="C1153" s="3" t="s">
        <v>137</v>
      </c>
      <c r="D1153" s="2"/>
      <c r="E1153" s="2" t="e">
        <f t="shared" si="0"/>
        <v>#VALUE!</v>
      </c>
    </row>
    <row r="1154" spans="1:5" ht="12.75" customHeight="1" x14ac:dyDescent="0.2">
      <c r="A1154" s="3"/>
      <c r="B1154" s="3" t="s">
        <v>11</v>
      </c>
      <c r="C1154" s="3" t="s">
        <v>830</v>
      </c>
      <c r="D1154" s="2"/>
      <c r="E1154" s="2" t="e">
        <f t="shared" si="0"/>
        <v>#VALUE!</v>
      </c>
    </row>
    <row r="1155" spans="1:5" ht="12.75" customHeight="1" x14ac:dyDescent="0.2">
      <c r="A1155" s="3"/>
      <c r="B1155" s="3" t="s">
        <v>18</v>
      </c>
      <c r="C1155" s="4" t="s">
        <v>19</v>
      </c>
      <c r="D1155" s="2"/>
      <c r="E1155" s="2" t="e">
        <f t="shared" si="0"/>
        <v>#VALUE!</v>
      </c>
    </row>
    <row r="1156" spans="1:5" ht="12.75" customHeight="1" x14ac:dyDescent="0.2">
      <c r="A1156" s="1" t="str">
        <f>HYPERLINK("javascript:void(0)","ektoplazma")</f>
        <v>ektoplazma</v>
      </c>
      <c r="B1156" s="1"/>
      <c r="C1156" s="1"/>
      <c r="D1156" s="2"/>
      <c r="E1156" s="2" t="e">
        <f t="shared" si="0"/>
        <v>#VALUE!</v>
      </c>
    </row>
    <row r="1157" spans="1:5" ht="12.75" customHeight="1" x14ac:dyDescent="0.2">
      <c r="A1157" s="3"/>
      <c r="B1157" s="3" t="s">
        <v>0</v>
      </c>
      <c r="C1157" s="3" t="s">
        <v>21</v>
      </c>
      <c r="D1157" s="2"/>
      <c r="E1157" s="2" t="e">
        <f t="shared" si="0"/>
        <v>#VALUE!</v>
      </c>
    </row>
    <row r="1158" spans="1:5" ht="12.75" customHeight="1" x14ac:dyDescent="0.2">
      <c r="A1158" s="3"/>
      <c r="B1158" s="3" t="s">
        <v>2</v>
      </c>
      <c r="C1158" s="3" t="s">
        <v>458</v>
      </c>
      <c r="D1158" s="2"/>
      <c r="E1158" s="2" t="e">
        <f t="shared" si="0"/>
        <v>#VALUE!</v>
      </c>
    </row>
    <row r="1159" spans="1:5" ht="12.75" customHeight="1" x14ac:dyDescent="0.2">
      <c r="A1159" s="3"/>
      <c r="B1159" s="3" t="s">
        <v>9</v>
      </c>
      <c r="C1159" s="3" t="s">
        <v>22</v>
      </c>
      <c r="D1159" s="2"/>
      <c r="E1159" s="2" t="e">
        <f t="shared" si="0"/>
        <v>#VALUE!</v>
      </c>
    </row>
    <row r="1160" spans="1:5" ht="12.75" customHeight="1" x14ac:dyDescent="0.2">
      <c r="A1160" s="3"/>
      <c r="B1160" s="3" t="s">
        <v>11</v>
      </c>
      <c r="C1160" s="3" t="s">
        <v>162</v>
      </c>
      <c r="D1160" s="2"/>
      <c r="E1160" s="2" t="e">
        <f t="shared" si="0"/>
        <v>#VALUE!</v>
      </c>
    </row>
    <row r="1161" spans="1:5" ht="12.75" customHeight="1" x14ac:dyDescent="0.2">
      <c r="A1161" s="3"/>
      <c r="B1161" s="3" t="s">
        <v>18</v>
      </c>
      <c r="C1161" s="4" t="s">
        <v>19</v>
      </c>
      <c r="D1161" s="2"/>
      <c r="E1161" s="2" t="e">
        <f t="shared" si="0"/>
        <v>#VALUE!</v>
      </c>
    </row>
    <row r="1162" spans="1:5" ht="12.75" customHeight="1" x14ac:dyDescent="0.2">
      <c r="A1162" s="1" t="str">
        <f>HYPERLINK("javascript:void(0)","eledel")</f>
        <v>eledel</v>
      </c>
      <c r="B1162" s="1"/>
      <c r="C1162" s="1"/>
      <c r="D1162" s="2"/>
      <c r="E1162" s="2" t="e">
        <f t="shared" si="0"/>
        <v>#VALUE!</v>
      </c>
    </row>
    <row r="1163" spans="1:5" ht="12.75" customHeight="1" x14ac:dyDescent="0.2">
      <c r="A1163" s="3"/>
      <c r="B1163" s="3" t="s">
        <v>0</v>
      </c>
      <c r="C1163" s="3" t="s">
        <v>21</v>
      </c>
      <c r="D1163" s="2"/>
      <c r="E1163" s="2" t="e">
        <f t="shared" si="0"/>
        <v>#VALUE!</v>
      </c>
    </row>
    <row r="1164" spans="1:5" ht="12.75" customHeight="1" x14ac:dyDescent="0.2">
      <c r="A1164" s="3"/>
      <c r="B1164" s="3" t="s">
        <v>2</v>
      </c>
      <c r="C1164" s="3" t="s">
        <v>458</v>
      </c>
      <c r="D1164" s="2"/>
      <c r="E1164" s="2" t="e">
        <f t="shared" si="0"/>
        <v>#VALUE!</v>
      </c>
    </row>
    <row r="1165" spans="1:5" ht="12.75" customHeight="1" x14ac:dyDescent="0.2">
      <c r="A1165" s="3"/>
      <c r="B1165" s="3" t="s">
        <v>9</v>
      </c>
      <c r="C1165" s="3" t="s">
        <v>172</v>
      </c>
      <c r="D1165" s="2"/>
      <c r="E1165" s="2" t="e">
        <f t="shared" si="0"/>
        <v>#VALUE!</v>
      </c>
    </row>
    <row r="1166" spans="1:5" ht="12.75" customHeight="1" x14ac:dyDescent="0.2">
      <c r="A1166" s="3"/>
      <c r="B1166" s="3" t="s">
        <v>11</v>
      </c>
      <c r="C1166" s="3" t="s">
        <v>89</v>
      </c>
      <c r="D1166" s="2"/>
      <c r="E1166" s="2" t="e">
        <f t="shared" si="0"/>
        <v>#VALUE!</v>
      </c>
    </row>
    <row r="1167" spans="1:5" ht="12.75" customHeight="1" x14ac:dyDescent="0.2">
      <c r="A1167" s="3"/>
      <c r="B1167" s="3" t="s">
        <v>18</v>
      </c>
      <c r="C1167" s="4" t="s">
        <v>19</v>
      </c>
      <c r="D1167" s="2"/>
      <c r="E1167" s="2" t="e">
        <f t="shared" si="0"/>
        <v>#VALUE!</v>
      </c>
    </row>
    <row r="1168" spans="1:5" ht="12.75" customHeight="1" x14ac:dyDescent="0.2">
      <c r="A1168" s="1" t="str">
        <f>HYPERLINK("javascript:void(0)","elefántbendő")</f>
        <v>elefántbendő</v>
      </c>
      <c r="B1168" s="1"/>
      <c r="C1168" s="1"/>
      <c r="D1168" s="2"/>
      <c r="E1168" s="2" t="e">
        <f t="shared" si="0"/>
        <v>#VALUE!</v>
      </c>
    </row>
    <row r="1169" spans="1:5" ht="12.75" customHeight="1" x14ac:dyDescent="0.2">
      <c r="A1169" s="3"/>
      <c r="B1169" s="3" t="s">
        <v>0</v>
      </c>
      <c r="C1169" s="3" t="s">
        <v>21</v>
      </c>
      <c r="D1169" s="2"/>
      <c r="E1169" s="2" t="e">
        <f t="shared" si="0"/>
        <v>#VALUE!</v>
      </c>
    </row>
    <row r="1170" spans="1:5" ht="12.75" customHeight="1" x14ac:dyDescent="0.2">
      <c r="A1170" s="3"/>
      <c r="B1170" s="3" t="s">
        <v>2</v>
      </c>
      <c r="C1170" s="3" t="s">
        <v>458</v>
      </c>
      <c r="D1170" s="2"/>
      <c r="E1170" s="2" t="e">
        <f t="shared" si="0"/>
        <v>#VALUE!</v>
      </c>
    </row>
    <row r="1171" spans="1:5" ht="12.75" customHeight="1" x14ac:dyDescent="0.2">
      <c r="A1171" s="3"/>
      <c r="B1171" s="3" t="s">
        <v>9</v>
      </c>
      <c r="C1171" s="3" t="s">
        <v>22</v>
      </c>
      <c r="D1171" s="2"/>
      <c r="E1171" s="2" t="e">
        <f t="shared" si="0"/>
        <v>#VALUE!</v>
      </c>
    </row>
    <row r="1172" spans="1:5" ht="12.75" customHeight="1" x14ac:dyDescent="0.2">
      <c r="A1172" s="3"/>
      <c r="B1172" s="3" t="s">
        <v>11</v>
      </c>
      <c r="C1172" s="3" t="s">
        <v>156</v>
      </c>
      <c r="D1172" s="2"/>
      <c r="E1172" s="2" t="e">
        <f t="shared" si="0"/>
        <v>#VALUE!</v>
      </c>
    </row>
    <row r="1173" spans="1:5" ht="12.75" customHeight="1" x14ac:dyDescent="0.2">
      <c r="A1173" s="3"/>
      <c r="B1173" s="3" t="s">
        <v>18</v>
      </c>
      <c r="C1173" s="4" t="s">
        <v>19</v>
      </c>
      <c r="D1173" s="2"/>
      <c r="E1173" s="2" t="e">
        <f t="shared" si="0"/>
        <v>#VALUE!</v>
      </c>
    </row>
    <row r="1174" spans="1:5" ht="12.75" customHeight="1" x14ac:dyDescent="0.2">
      <c r="A1174" s="1" t="str">
        <f>HYPERLINK("javascript:void(0)","elefántcsont")</f>
        <v>elefántcsont</v>
      </c>
      <c r="B1174" s="1"/>
      <c r="C1174" s="1"/>
      <c r="D1174" s="2"/>
      <c r="E1174" s="2" t="e">
        <f t="shared" si="0"/>
        <v>#VALUE!</v>
      </c>
    </row>
    <row r="1175" spans="1:5" ht="12.75" customHeight="1" x14ac:dyDescent="0.2">
      <c r="A1175" s="3"/>
      <c r="B1175" s="3" t="s">
        <v>0</v>
      </c>
      <c r="C1175" s="3" t="s">
        <v>21</v>
      </c>
      <c r="D1175" s="2"/>
      <c r="E1175" s="2" t="e">
        <f t="shared" si="0"/>
        <v>#VALUE!</v>
      </c>
    </row>
    <row r="1176" spans="1:5" ht="12.75" customHeight="1" x14ac:dyDescent="0.2">
      <c r="A1176" s="3"/>
      <c r="B1176" s="3" t="s">
        <v>2</v>
      </c>
      <c r="C1176" s="3" t="s">
        <v>458</v>
      </c>
      <c r="D1176" s="2"/>
      <c r="E1176" s="2" t="e">
        <f t="shared" si="0"/>
        <v>#VALUE!</v>
      </c>
    </row>
    <row r="1177" spans="1:5" ht="12.75" customHeight="1" x14ac:dyDescent="0.2">
      <c r="A1177" s="3"/>
      <c r="B1177" s="3" t="s">
        <v>9</v>
      </c>
      <c r="C1177" s="3" t="s">
        <v>144</v>
      </c>
      <c r="D1177" s="2"/>
      <c r="E1177" s="2" t="e">
        <f t="shared" si="0"/>
        <v>#VALUE!</v>
      </c>
    </row>
    <row r="1178" spans="1:5" ht="12.75" customHeight="1" x14ac:dyDescent="0.2">
      <c r="A1178" s="3"/>
      <c r="B1178" s="3" t="s">
        <v>11</v>
      </c>
      <c r="C1178" s="3" t="s">
        <v>301</v>
      </c>
      <c r="D1178" s="2"/>
      <c r="E1178" s="2" t="e">
        <f t="shared" si="0"/>
        <v>#VALUE!</v>
      </c>
    </row>
    <row r="1179" spans="1:5" ht="12.75" customHeight="1" x14ac:dyDescent="0.2">
      <c r="A1179" s="3"/>
      <c r="B1179" s="3" t="s">
        <v>18</v>
      </c>
      <c r="C1179" s="4" t="s">
        <v>19</v>
      </c>
      <c r="D1179" s="2"/>
      <c r="E1179" s="2" t="e">
        <f t="shared" si="0"/>
        <v>#VALUE!</v>
      </c>
    </row>
    <row r="1180" spans="1:5" ht="12.75" customHeight="1" x14ac:dyDescent="0.2">
      <c r="A1180" s="1" t="str">
        <f>HYPERLINK("javascript:void(0)","elementál eszencia")</f>
        <v>elementál eszencia</v>
      </c>
      <c r="B1180" s="1"/>
      <c r="C1180" s="1"/>
      <c r="D1180" s="2"/>
      <c r="E1180" s="2" t="e">
        <f t="shared" si="0"/>
        <v>#VALUE!</v>
      </c>
    </row>
    <row r="1181" spans="1:5" ht="12.75" customHeight="1" x14ac:dyDescent="0.2">
      <c r="A1181" s="3"/>
      <c r="B1181" s="3" t="s">
        <v>0</v>
      </c>
      <c r="C1181" s="3" t="s">
        <v>1</v>
      </c>
      <c r="D1181" s="2"/>
      <c r="E1181" s="2" t="e">
        <f t="shared" si="0"/>
        <v>#VALUE!</v>
      </c>
    </row>
    <row r="1182" spans="1:5" ht="12.75" customHeight="1" x14ac:dyDescent="0.2">
      <c r="A1182" s="3"/>
      <c r="B1182" s="3" t="s">
        <v>2</v>
      </c>
      <c r="C1182" s="3" t="s">
        <v>387</v>
      </c>
      <c r="D1182" s="2"/>
      <c r="E1182" s="2" t="e">
        <f t="shared" si="0"/>
        <v>#VALUE!</v>
      </c>
    </row>
    <row r="1183" spans="1:5" ht="12.75" customHeight="1" x14ac:dyDescent="0.2">
      <c r="A1183" s="3"/>
      <c r="B1183" s="3" t="s">
        <v>9</v>
      </c>
      <c r="C1183" s="3" t="s">
        <v>124</v>
      </c>
      <c r="D1183" s="2"/>
      <c r="E1183" s="2" t="e">
        <f t="shared" si="0"/>
        <v>#VALUE!</v>
      </c>
    </row>
    <row r="1184" spans="1:5" ht="12.75" customHeight="1" x14ac:dyDescent="0.2">
      <c r="A1184" s="3"/>
      <c r="B1184" s="3" t="s">
        <v>11</v>
      </c>
      <c r="C1184" s="3" t="s">
        <v>838</v>
      </c>
      <c r="D1184" s="2"/>
      <c r="E1184" s="2" t="e">
        <f t="shared" si="0"/>
        <v>#VALUE!</v>
      </c>
    </row>
    <row r="1185" spans="1:5" ht="12.75" customHeight="1" x14ac:dyDescent="0.2">
      <c r="A1185" s="3"/>
      <c r="B1185" s="3" t="s">
        <v>18</v>
      </c>
      <c r="C1185" s="4" t="s">
        <v>19</v>
      </c>
      <c r="D1185" s="2"/>
      <c r="E1185" s="2" t="e">
        <f t="shared" si="0"/>
        <v>#VALUE!</v>
      </c>
    </row>
    <row r="1186" spans="1:5" ht="12.75" customHeight="1" x14ac:dyDescent="0.2">
      <c r="A1186" s="1" t="str">
        <f>HYPERLINK("javascript:void(0)","elemi köpet")</f>
        <v>elemi köpet</v>
      </c>
      <c r="B1186" s="1"/>
      <c r="C1186" s="1"/>
      <c r="D1186" s="2"/>
      <c r="E1186" s="2" t="e">
        <f t="shared" si="0"/>
        <v>#VALUE!</v>
      </c>
    </row>
    <row r="1187" spans="1:5" ht="12.75" customHeight="1" x14ac:dyDescent="0.2">
      <c r="A1187" s="3"/>
      <c r="B1187" s="3" t="s">
        <v>0</v>
      </c>
      <c r="C1187" s="3" t="s">
        <v>21</v>
      </c>
      <c r="D1187" s="2"/>
      <c r="E1187" s="2" t="e">
        <f t="shared" si="0"/>
        <v>#VALUE!</v>
      </c>
    </row>
    <row r="1188" spans="1:5" ht="12.75" customHeight="1" x14ac:dyDescent="0.2">
      <c r="A1188" s="3"/>
      <c r="B1188" s="3" t="s">
        <v>2</v>
      </c>
      <c r="C1188" s="3" t="s">
        <v>458</v>
      </c>
      <c r="D1188" s="2"/>
      <c r="E1188" s="2" t="e">
        <f t="shared" si="0"/>
        <v>#VALUE!</v>
      </c>
    </row>
    <row r="1189" spans="1:5" ht="12.75" customHeight="1" x14ac:dyDescent="0.2">
      <c r="A1189" s="3"/>
      <c r="B1189" s="3" t="s">
        <v>9</v>
      </c>
      <c r="C1189" s="3" t="s">
        <v>10</v>
      </c>
      <c r="D1189" s="2"/>
      <c r="E1189" s="2" t="e">
        <f t="shared" si="0"/>
        <v>#VALUE!</v>
      </c>
    </row>
    <row r="1190" spans="1:5" ht="12.75" customHeight="1" x14ac:dyDescent="0.2">
      <c r="A1190" s="3"/>
      <c r="B1190" s="3" t="s">
        <v>11</v>
      </c>
      <c r="C1190" s="3" t="s">
        <v>839</v>
      </c>
      <c r="D1190" s="2"/>
      <c r="E1190" s="2" t="e">
        <f t="shared" si="0"/>
        <v>#VALUE!</v>
      </c>
    </row>
    <row r="1191" spans="1:5" ht="12.75" customHeight="1" x14ac:dyDescent="0.2">
      <c r="A1191" s="3"/>
      <c r="B1191" s="3" t="s">
        <v>18</v>
      </c>
      <c r="C1191" s="4" t="s">
        <v>19</v>
      </c>
      <c r="D1191" s="2"/>
      <c r="E1191" s="2" t="e">
        <f t="shared" si="0"/>
        <v>#VALUE!</v>
      </c>
    </row>
    <row r="1192" spans="1:5" ht="12.75" customHeight="1" x14ac:dyDescent="0.2">
      <c r="A1192" s="1" t="str">
        <f>HYPERLINK("javascript:void(0)","elemi térdarab")</f>
        <v>elemi térdarab</v>
      </c>
      <c r="B1192" s="1"/>
      <c r="C1192" s="1"/>
      <c r="D1192" s="2"/>
      <c r="E1192" s="2" t="e">
        <f t="shared" si="0"/>
        <v>#VALUE!</v>
      </c>
    </row>
    <row r="1193" spans="1:5" ht="12.75" customHeight="1" x14ac:dyDescent="0.2">
      <c r="A1193" s="3"/>
      <c r="B1193" s="3" t="s">
        <v>0</v>
      </c>
      <c r="C1193" s="3" t="s">
        <v>21</v>
      </c>
      <c r="D1193" s="2"/>
      <c r="E1193" s="2" t="e">
        <f t="shared" si="0"/>
        <v>#VALUE!</v>
      </c>
    </row>
    <row r="1194" spans="1:5" ht="12.75" customHeight="1" x14ac:dyDescent="0.2">
      <c r="A1194" s="3"/>
      <c r="B1194" s="3" t="s">
        <v>2</v>
      </c>
      <c r="C1194" s="3" t="s">
        <v>458</v>
      </c>
      <c r="D1194" s="2"/>
      <c r="E1194" s="2" t="e">
        <f t="shared" si="0"/>
        <v>#VALUE!</v>
      </c>
    </row>
    <row r="1195" spans="1:5" ht="12.75" customHeight="1" x14ac:dyDescent="0.2">
      <c r="A1195" s="3"/>
      <c r="B1195" s="3" t="s">
        <v>9</v>
      </c>
      <c r="C1195" s="3" t="s">
        <v>841</v>
      </c>
      <c r="D1195" s="2"/>
      <c r="E1195" s="2" t="e">
        <f t="shared" si="0"/>
        <v>#VALUE!</v>
      </c>
    </row>
    <row r="1196" spans="1:5" ht="12.75" customHeight="1" x14ac:dyDescent="0.2">
      <c r="A1196" s="3"/>
      <c r="B1196" s="3" t="s">
        <v>11</v>
      </c>
      <c r="C1196" s="3" t="s">
        <v>23</v>
      </c>
      <c r="D1196" s="2"/>
      <c r="E1196" s="2" t="e">
        <f t="shared" si="0"/>
        <v>#VALUE!</v>
      </c>
    </row>
    <row r="1197" spans="1:5" ht="12.75" customHeight="1" x14ac:dyDescent="0.2">
      <c r="A1197" s="3"/>
      <c r="B1197" s="3" t="s">
        <v>16</v>
      </c>
      <c r="C1197" s="3" t="s">
        <v>842</v>
      </c>
      <c r="D1197" s="2"/>
      <c r="E1197" s="2" t="e">
        <f t="shared" si="0"/>
        <v>#VALUE!</v>
      </c>
    </row>
    <row r="1198" spans="1:5" ht="12.75" customHeight="1" x14ac:dyDescent="0.2">
      <c r="A1198" s="3"/>
      <c r="B1198" s="3" t="s">
        <v>18</v>
      </c>
      <c r="C1198" s="4" t="s">
        <v>19</v>
      </c>
      <c r="D1198" s="2"/>
      <c r="E1198" s="2" t="e">
        <f t="shared" si="0"/>
        <v>#VALUE!</v>
      </c>
    </row>
    <row r="1199" spans="1:5" ht="12.75" customHeight="1" x14ac:dyDescent="0.2">
      <c r="A1199" s="1" t="str">
        <f>HYPERLINK("javascript:void(0)","elemige")</f>
        <v>elemige</v>
      </c>
      <c r="B1199" s="1"/>
      <c r="C1199" s="1"/>
      <c r="D1199" s="2"/>
      <c r="E1199" s="2" t="e">
        <f t="shared" si="0"/>
        <v>#VALUE!</v>
      </c>
    </row>
    <row r="1200" spans="1:5" ht="12.75" customHeight="1" x14ac:dyDescent="0.2">
      <c r="A1200" s="3"/>
      <c r="B1200" s="3" t="s">
        <v>0</v>
      </c>
      <c r="C1200" s="3" t="s">
        <v>21</v>
      </c>
      <c r="D1200" s="2"/>
      <c r="E1200" s="2" t="e">
        <f t="shared" si="0"/>
        <v>#VALUE!</v>
      </c>
    </row>
    <row r="1201" spans="1:5" ht="12.75" customHeight="1" x14ac:dyDescent="0.2">
      <c r="A1201" s="3"/>
      <c r="B1201" s="3" t="s">
        <v>2</v>
      </c>
      <c r="C1201" s="3" t="s">
        <v>458</v>
      </c>
      <c r="D1201" s="2"/>
      <c r="E1201" s="2" t="e">
        <f t="shared" si="0"/>
        <v>#VALUE!</v>
      </c>
    </row>
    <row r="1202" spans="1:5" ht="12.75" customHeight="1" x14ac:dyDescent="0.2">
      <c r="A1202" s="3"/>
      <c r="B1202" s="3" t="s">
        <v>9</v>
      </c>
      <c r="C1202" s="3" t="s">
        <v>626</v>
      </c>
      <c r="D1202" s="2"/>
      <c r="E1202" s="2" t="e">
        <f t="shared" si="0"/>
        <v>#VALUE!</v>
      </c>
    </row>
    <row r="1203" spans="1:5" ht="12.75" customHeight="1" x14ac:dyDescent="0.2">
      <c r="A1203" s="3"/>
      <c r="B1203" s="3" t="s">
        <v>11</v>
      </c>
      <c r="C1203" s="3" t="s">
        <v>313</v>
      </c>
      <c r="D1203" s="2"/>
      <c r="E1203" s="2" t="e">
        <f t="shared" si="0"/>
        <v>#VALUE!</v>
      </c>
    </row>
    <row r="1204" spans="1:5" ht="12.75" customHeight="1" x14ac:dyDescent="0.2">
      <c r="A1204" s="3"/>
      <c r="B1204" s="3" t="s">
        <v>18</v>
      </c>
      <c r="C1204" s="4" t="s">
        <v>19</v>
      </c>
      <c r="D1204" s="2"/>
      <c r="E1204" s="2" t="e">
        <f t="shared" si="0"/>
        <v>#VALUE!</v>
      </c>
    </row>
    <row r="1205" spans="1:5" ht="12.75" customHeight="1" x14ac:dyDescent="0.2">
      <c r="A1205" s="1" t="str">
        <f>HYPERLINK("javascript:void(0)","ellenige")</f>
        <v>ellenige</v>
      </c>
      <c r="B1205" s="1"/>
      <c r="C1205" s="1"/>
      <c r="D1205" s="2"/>
      <c r="E1205" s="2" t="e">
        <f t="shared" si="0"/>
        <v>#VALUE!</v>
      </c>
    </row>
    <row r="1206" spans="1:5" ht="12.75" customHeight="1" x14ac:dyDescent="0.2">
      <c r="A1206" s="3"/>
      <c r="B1206" s="3" t="s">
        <v>0</v>
      </c>
      <c r="C1206" s="3" t="s">
        <v>21</v>
      </c>
      <c r="D1206" s="2"/>
      <c r="E1206" s="2" t="e">
        <f t="shared" si="0"/>
        <v>#VALUE!</v>
      </c>
    </row>
    <row r="1207" spans="1:5" ht="12.75" customHeight="1" x14ac:dyDescent="0.2">
      <c r="A1207" s="3"/>
      <c r="B1207" s="3" t="s">
        <v>2</v>
      </c>
      <c r="C1207" s="3" t="s">
        <v>458</v>
      </c>
      <c r="D1207" s="2"/>
      <c r="E1207" s="2" t="e">
        <f t="shared" si="0"/>
        <v>#VALUE!</v>
      </c>
    </row>
    <row r="1208" spans="1:5" ht="12.75" customHeight="1" x14ac:dyDescent="0.2">
      <c r="A1208" s="3"/>
      <c r="B1208" s="3" t="s">
        <v>9</v>
      </c>
      <c r="C1208" s="3" t="s">
        <v>22</v>
      </c>
      <c r="D1208" s="2"/>
      <c r="E1208" s="2" t="e">
        <f t="shared" si="0"/>
        <v>#VALUE!</v>
      </c>
    </row>
    <row r="1209" spans="1:5" ht="12.75" customHeight="1" x14ac:dyDescent="0.2">
      <c r="A1209" s="3"/>
      <c r="B1209" s="3" t="s">
        <v>11</v>
      </c>
      <c r="C1209" s="3" t="s">
        <v>721</v>
      </c>
      <c r="D1209" s="2"/>
      <c r="E1209" s="2" t="e">
        <f t="shared" si="0"/>
        <v>#VALUE!</v>
      </c>
    </row>
    <row r="1210" spans="1:5" ht="12.75" customHeight="1" x14ac:dyDescent="0.2">
      <c r="A1210" s="3"/>
      <c r="B1210" s="3" t="s">
        <v>18</v>
      </c>
      <c r="C1210" s="4" t="s">
        <v>19</v>
      </c>
      <c r="D1210" s="2"/>
      <c r="E1210" s="2" t="e">
        <f t="shared" si="0"/>
        <v>#VALUE!</v>
      </c>
    </row>
    <row r="1211" spans="1:5" ht="12.75" customHeight="1" x14ac:dyDescent="0.2">
      <c r="A1211" s="1" t="str">
        <f>HYPERLINK("javascript:void(0)","ellenszérum")</f>
        <v>ellenszérum</v>
      </c>
      <c r="B1211" s="1"/>
      <c r="C1211" s="1"/>
      <c r="D1211" s="2"/>
      <c r="E1211" s="2" t="e">
        <f t="shared" si="0"/>
        <v>#VALUE!</v>
      </c>
    </row>
    <row r="1212" spans="1:5" ht="12.75" customHeight="1" x14ac:dyDescent="0.2">
      <c r="A1212" s="3"/>
      <c r="B1212" s="3" t="s">
        <v>0</v>
      </c>
      <c r="C1212" s="3" t="s">
        <v>21</v>
      </c>
      <c r="D1212" s="2"/>
      <c r="E1212" s="2" t="e">
        <f t="shared" si="0"/>
        <v>#VALUE!</v>
      </c>
    </row>
    <row r="1213" spans="1:5" ht="12.75" customHeight="1" x14ac:dyDescent="0.2">
      <c r="A1213" s="3"/>
      <c r="B1213" s="3" t="s">
        <v>2</v>
      </c>
      <c r="C1213" s="3" t="s">
        <v>557</v>
      </c>
      <c r="D1213" s="2"/>
      <c r="E1213" s="2" t="e">
        <f t="shared" si="0"/>
        <v>#VALUE!</v>
      </c>
    </row>
    <row r="1214" spans="1:5" ht="12.75" customHeight="1" x14ac:dyDescent="0.2">
      <c r="A1214" s="3"/>
      <c r="B1214" s="3" t="s">
        <v>9</v>
      </c>
      <c r="C1214" s="3" t="s">
        <v>22</v>
      </c>
      <c r="D1214" s="2"/>
      <c r="E1214" s="2" t="e">
        <f t="shared" si="0"/>
        <v>#VALUE!</v>
      </c>
    </row>
    <row r="1215" spans="1:5" ht="12.75" customHeight="1" x14ac:dyDescent="0.2">
      <c r="A1215" s="3"/>
      <c r="B1215" s="3" t="s">
        <v>11</v>
      </c>
      <c r="C1215" s="3" t="s">
        <v>849</v>
      </c>
      <c r="D1215" s="2"/>
      <c r="E1215" s="2" t="e">
        <f t="shared" si="0"/>
        <v>#VALUE!</v>
      </c>
    </row>
    <row r="1216" spans="1:5" ht="12.75" customHeight="1" x14ac:dyDescent="0.2">
      <c r="A1216" s="3"/>
      <c r="B1216" s="3" t="s">
        <v>18</v>
      </c>
      <c r="C1216" s="4" t="s">
        <v>19</v>
      </c>
      <c r="D1216" s="2"/>
      <c r="E1216" s="2" t="e">
        <f t="shared" si="0"/>
        <v>#VALUE!</v>
      </c>
    </row>
    <row r="1217" spans="1:5" ht="12.75" customHeight="1" x14ac:dyDescent="0.2">
      <c r="A1217" s="1" t="str">
        <f>HYPERLINK("javascript:void(0)","ellensúly")</f>
        <v>ellensúly</v>
      </c>
      <c r="B1217" s="1"/>
      <c r="C1217" s="1"/>
      <c r="D1217" s="2"/>
      <c r="E1217" s="2" t="e">
        <f t="shared" si="0"/>
        <v>#VALUE!</v>
      </c>
    </row>
    <row r="1218" spans="1:5" ht="12.75" customHeight="1" x14ac:dyDescent="0.2">
      <c r="A1218" s="3"/>
      <c r="B1218" s="3" t="s">
        <v>0</v>
      </c>
      <c r="C1218" s="3" t="s">
        <v>21</v>
      </c>
      <c r="D1218" s="2"/>
      <c r="E1218" s="2" t="e">
        <f t="shared" si="0"/>
        <v>#VALUE!</v>
      </c>
    </row>
    <row r="1219" spans="1:5" ht="12.75" customHeight="1" x14ac:dyDescent="0.2">
      <c r="A1219" s="3"/>
      <c r="B1219" s="3" t="s">
        <v>2</v>
      </c>
      <c r="C1219" s="3" t="s">
        <v>458</v>
      </c>
      <c r="D1219" s="2"/>
      <c r="E1219" s="2" t="e">
        <f t="shared" si="0"/>
        <v>#VALUE!</v>
      </c>
    </row>
    <row r="1220" spans="1:5" ht="12.75" customHeight="1" x14ac:dyDescent="0.2">
      <c r="A1220" s="3"/>
      <c r="B1220" s="3" t="s">
        <v>9</v>
      </c>
      <c r="C1220" s="3" t="s">
        <v>366</v>
      </c>
      <c r="D1220" s="2"/>
      <c r="E1220" s="2" t="e">
        <f t="shared" si="0"/>
        <v>#VALUE!</v>
      </c>
    </row>
    <row r="1221" spans="1:5" ht="12.75" customHeight="1" x14ac:dyDescent="0.2">
      <c r="A1221" s="3"/>
      <c r="B1221" s="3" t="s">
        <v>11</v>
      </c>
      <c r="C1221" s="3" t="s">
        <v>209</v>
      </c>
      <c r="D1221" s="2"/>
      <c r="E1221" s="2" t="e">
        <f t="shared" si="0"/>
        <v>#VALUE!</v>
      </c>
    </row>
    <row r="1222" spans="1:5" ht="12.75" customHeight="1" x14ac:dyDescent="0.2">
      <c r="A1222" s="3"/>
      <c r="B1222" s="3" t="s">
        <v>18</v>
      </c>
      <c r="C1222" s="4" t="s">
        <v>19</v>
      </c>
      <c r="D1222" s="2"/>
      <c r="E1222" s="2" t="e">
        <f t="shared" si="0"/>
        <v>#VALUE!</v>
      </c>
    </row>
    <row r="1223" spans="1:5" ht="12.75" customHeight="1" x14ac:dyDescent="0.2">
      <c r="A1223" s="1" t="str">
        <f>HYPERLINK("javascript:void(0)","ellenállók lobogója")</f>
        <v>ellenállók lobogója</v>
      </c>
      <c r="B1223" s="1"/>
      <c r="C1223" s="1"/>
      <c r="D1223" s="2"/>
      <c r="E1223" s="2" t="e">
        <f t="shared" si="0"/>
        <v>#VALUE!</v>
      </c>
    </row>
    <row r="1224" spans="1:5" ht="12.75" customHeight="1" x14ac:dyDescent="0.2">
      <c r="A1224" s="3"/>
      <c r="B1224" s="3" t="s">
        <v>0</v>
      </c>
      <c r="C1224" s="3" t="s">
        <v>21</v>
      </c>
      <c r="D1224" s="2"/>
      <c r="E1224" s="2" t="e">
        <f t="shared" si="0"/>
        <v>#VALUE!</v>
      </c>
    </row>
    <row r="1225" spans="1:5" ht="12.75" customHeight="1" x14ac:dyDescent="0.2">
      <c r="A1225" s="3"/>
      <c r="B1225" s="3" t="s">
        <v>2</v>
      </c>
      <c r="C1225" s="3" t="s">
        <v>387</v>
      </c>
      <c r="D1225" s="2"/>
      <c r="E1225" s="2" t="e">
        <f t="shared" si="0"/>
        <v>#VALUE!</v>
      </c>
    </row>
    <row r="1226" spans="1:5" ht="12.75" customHeight="1" x14ac:dyDescent="0.2">
      <c r="A1226" s="3"/>
      <c r="B1226" s="3" t="s">
        <v>9</v>
      </c>
      <c r="C1226" s="3" t="s">
        <v>27</v>
      </c>
      <c r="D1226" s="2"/>
      <c r="E1226" s="2" t="e">
        <f t="shared" si="0"/>
        <v>#VALUE!</v>
      </c>
    </row>
    <row r="1227" spans="1:5" ht="12.75" customHeight="1" x14ac:dyDescent="0.2">
      <c r="A1227" s="3"/>
      <c r="B1227" s="3" t="s">
        <v>11</v>
      </c>
      <c r="C1227" s="3" t="s">
        <v>23</v>
      </c>
      <c r="D1227" s="2"/>
      <c r="E1227" s="2" t="e">
        <f t="shared" si="0"/>
        <v>#VALUE!</v>
      </c>
    </row>
    <row r="1228" spans="1:5" ht="12.75" customHeight="1" x14ac:dyDescent="0.2">
      <c r="A1228" s="3"/>
      <c r="B1228" s="3" t="s">
        <v>16</v>
      </c>
      <c r="C1228" s="3" t="s">
        <v>388</v>
      </c>
      <c r="D1228" s="2"/>
      <c r="E1228" s="2" t="e">
        <f t="shared" si="0"/>
        <v>#VALUE!</v>
      </c>
    </row>
    <row r="1229" spans="1:5" ht="12.75" customHeight="1" x14ac:dyDescent="0.2">
      <c r="A1229" s="3"/>
      <c r="B1229" s="3" t="s">
        <v>18</v>
      </c>
      <c r="C1229" s="4" t="s">
        <v>19</v>
      </c>
      <c r="D1229" s="2"/>
      <c r="E1229" s="2" t="e">
        <f t="shared" si="0"/>
        <v>#VALUE!</v>
      </c>
    </row>
    <row r="1230" spans="1:5" ht="12.75" customHeight="1" x14ac:dyDescent="0.2">
      <c r="A1230" s="1" t="str">
        <f>HYPERLINK("javascript:void(0)","emberség")</f>
        <v>emberség</v>
      </c>
      <c r="B1230" s="1"/>
      <c r="C1230" s="1"/>
      <c r="D1230" s="2"/>
      <c r="E1230" s="2" t="e">
        <f t="shared" si="0"/>
        <v>#VALUE!</v>
      </c>
    </row>
    <row r="1231" spans="1:5" ht="12.75" customHeight="1" x14ac:dyDescent="0.2">
      <c r="A1231" s="3"/>
      <c r="B1231" s="3" t="s">
        <v>0</v>
      </c>
      <c r="C1231" s="3" t="s">
        <v>21</v>
      </c>
      <c r="D1231" s="2"/>
      <c r="E1231" s="2" t="e">
        <f t="shared" si="0"/>
        <v>#VALUE!</v>
      </c>
    </row>
    <row r="1232" spans="1:5" ht="12.75" customHeight="1" x14ac:dyDescent="0.2">
      <c r="A1232" s="3"/>
      <c r="B1232" s="3" t="s">
        <v>2</v>
      </c>
      <c r="C1232" s="3" t="s">
        <v>458</v>
      </c>
      <c r="D1232" s="2"/>
      <c r="E1232" s="2" t="e">
        <f t="shared" si="0"/>
        <v>#VALUE!</v>
      </c>
    </row>
    <row r="1233" spans="1:5" ht="12.75" customHeight="1" x14ac:dyDescent="0.2">
      <c r="A1233" s="3"/>
      <c r="B1233" s="3" t="s">
        <v>9</v>
      </c>
      <c r="C1233" s="3" t="s">
        <v>626</v>
      </c>
      <c r="D1233" s="2"/>
      <c r="E1233" s="2" t="e">
        <f t="shared" si="0"/>
        <v>#VALUE!</v>
      </c>
    </row>
    <row r="1234" spans="1:5" ht="12.75" customHeight="1" x14ac:dyDescent="0.2">
      <c r="A1234" s="3"/>
      <c r="B1234" s="3" t="s">
        <v>11</v>
      </c>
      <c r="C1234" s="3" t="s">
        <v>156</v>
      </c>
      <c r="D1234" s="2"/>
      <c r="E1234" s="2" t="e">
        <f t="shared" si="0"/>
        <v>#VALUE!</v>
      </c>
    </row>
    <row r="1235" spans="1:5" ht="12.75" customHeight="1" x14ac:dyDescent="0.2">
      <c r="A1235" s="3"/>
      <c r="B1235" s="3" t="s">
        <v>18</v>
      </c>
      <c r="C1235" s="4" t="s">
        <v>19</v>
      </c>
      <c r="D1235" s="2"/>
      <c r="E1235" s="2" t="e">
        <f t="shared" si="0"/>
        <v>#VALUE!</v>
      </c>
    </row>
    <row r="1236" spans="1:5" ht="12.75" customHeight="1" x14ac:dyDescent="0.2">
      <c r="A1236" s="1" t="str">
        <f>HYPERLINK("javascript:void(0)","emelkedés")</f>
        <v>emelkedés</v>
      </c>
      <c r="B1236" s="1"/>
      <c r="C1236" s="1"/>
      <c r="D1236" s="2"/>
      <c r="E1236" s="2" t="e">
        <f t="shared" si="0"/>
        <v>#VALUE!</v>
      </c>
    </row>
    <row r="1237" spans="1:5" ht="12.75" customHeight="1" x14ac:dyDescent="0.2">
      <c r="A1237" s="3"/>
      <c r="B1237" s="3" t="s">
        <v>0</v>
      </c>
      <c r="C1237" s="3" t="s">
        <v>21</v>
      </c>
      <c r="D1237" s="2"/>
      <c r="E1237" s="2" t="e">
        <f t="shared" si="0"/>
        <v>#VALUE!</v>
      </c>
    </row>
    <row r="1238" spans="1:5" ht="12.75" customHeight="1" x14ac:dyDescent="0.2">
      <c r="A1238" s="3"/>
      <c r="B1238" s="3" t="s">
        <v>2</v>
      </c>
      <c r="C1238" s="3" t="s">
        <v>458</v>
      </c>
      <c r="D1238" s="2"/>
      <c r="E1238" s="2" t="e">
        <f t="shared" si="0"/>
        <v>#VALUE!</v>
      </c>
    </row>
    <row r="1239" spans="1:5" ht="12.75" customHeight="1" x14ac:dyDescent="0.2">
      <c r="A1239" s="3"/>
      <c r="B1239" s="3" t="s">
        <v>9</v>
      </c>
      <c r="C1239" s="3" t="s">
        <v>626</v>
      </c>
      <c r="D1239" s="2"/>
      <c r="E1239" s="2" t="e">
        <f t="shared" si="0"/>
        <v>#VALUE!</v>
      </c>
    </row>
    <row r="1240" spans="1:5" ht="12.75" customHeight="1" x14ac:dyDescent="0.2">
      <c r="A1240" s="3"/>
      <c r="B1240" s="3" t="s">
        <v>11</v>
      </c>
      <c r="C1240" s="3" t="s">
        <v>116</v>
      </c>
      <c r="D1240" s="2"/>
      <c r="E1240" s="2" t="e">
        <f t="shared" si="0"/>
        <v>#VALUE!</v>
      </c>
    </row>
    <row r="1241" spans="1:5" ht="12.75" customHeight="1" x14ac:dyDescent="0.2">
      <c r="A1241" s="3"/>
      <c r="B1241" s="3" t="s">
        <v>18</v>
      </c>
      <c r="C1241" s="4" t="s">
        <v>19</v>
      </c>
      <c r="D1241" s="2"/>
      <c r="E1241" s="2" t="e">
        <f t="shared" si="0"/>
        <v>#VALUE!</v>
      </c>
    </row>
    <row r="1242" spans="1:5" ht="12.75" customHeight="1" x14ac:dyDescent="0.2">
      <c r="A1242" s="1" t="str">
        <f>HYPERLINK("javascript:void(0)","ent-makk")</f>
        <v>ent-makk</v>
      </c>
      <c r="B1242" s="1"/>
      <c r="C1242" s="1"/>
      <c r="D1242" s="2"/>
      <c r="E1242" s="2" t="e">
        <f t="shared" si="0"/>
        <v>#VALUE!</v>
      </c>
    </row>
    <row r="1243" spans="1:5" ht="12.75" customHeight="1" x14ac:dyDescent="0.2">
      <c r="A1243" s="3"/>
      <c r="B1243" s="3" t="s">
        <v>0</v>
      </c>
      <c r="C1243" s="3" t="s">
        <v>21</v>
      </c>
      <c r="D1243" s="2"/>
      <c r="E1243" s="2" t="e">
        <f t="shared" si="0"/>
        <v>#VALUE!</v>
      </c>
    </row>
    <row r="1244" spans="1:5" ht="12.75" customHeight="1" x14ac:dyDescent="0.2">
      <c r="A1244" s="3"/>
      <c r="B1244" s="3" t="s">
        <v>2</v>
      </c>
      <c r="C1244" s="3" t="s">
        <v>387</v>
      </c>
      <c r="D1244" s="2"/>
      <c r="E1244" s="2" t="e">
        <f t="shared" si="0"/>
        <v>#VALUE!</v>
      </c>
    </row>
    <row r="1245" spans="1:5" ht="12.75" customHeight="1" x14ac:dyDescent="0.2">
      <c r="A1245" s="3"/>
      <c r="B1245" s="3" t="s">
        <v>9</v>
      </c>
      <c r="C1245" s="3" t="s">
        <v>53</v>
      </c>
      <c r="D1245" s="2"/>
      <c r="E1245" s="2" t="e">
        <f t="shared" si="0"/>
        <v>#VALUE!</v>
      </c>
    </row>
    <row r="1246" spans="1:5" ht="12.75" customHeight="1" x14ac:dyDescent="0.2">
      <c r="A1246" s="3"/>
      <c r="B1246" s="3" t="s">
        <v>11</v>
      </c>
      <c r="C1246" s="3" t="s">
        <v>23</v>
      </c>
      <c r="D1246" s="2"/>
      <c r="E1246" s="2" t="e">
        <f t="shared" si="0"/>
        <v>#VALUE!</v>
      </c>
    </row>
    <row r="1247" spans="1:5" ht="12.75" customHeight="1" x14ac:dyDescent="0.2">
      <c r="A1247" s="3"/>
      <c r="B1247" s="3" t="s">
        <v>16</v>
      </c>
      <c r="C1247" s="3" t="s">
        <v>388</v>
      </c>
      <c r="D1247" s="2"/>
      <c r="E1247" s="2" t="e">
        <f t="shared" si="0"/>
        <v>#VALUE!</v>
      </c>
    </row>
    <row r="1248" spans="1:5" ht="12.75" customHeight="1" x14ac:dyDescent="0.2">
      <c r="A1248" s="3"/>
      <c r="B1248" s="3" t="s">
        <v>18</v>
      </c>
      <c r="C1248" s="4" t="s">
        <v>19</v>
      </c>
      <c r="D1248" s="2"/>
      <c r="E1248" s="2" t="e">
        <f t="shared" si="0"/>
        <v>#VALUE!</v>
      </c>
    </row>
    <row r="1249" spans="1:5" ht="12.75" customHeight="1" x14ac:dyDescent="0.2">
      <c r="A1249" s="1" t="str">
        <f>HYPERLINK("javascript:void(0)","epicentrum")</f>
        <v>epicentrum</v>
      </c>
      <c r="B1249" s="1"/>
      <c r="C1249" s="1"/>
      <c r="D1249" s="2"/>
      <c r="E1249" s="2" t="e">
        <f t="shared" si="0"/>
        <v>#VALUE!</v>
      </c>
    </row>
    <row r="1250" spans="1:5" ht="12.75" customHeight="1" x14ac:dyDescent="0.2">
      <c r="A1250" s="3"/>
      <c r="B1250" s="3" t="s">
        <v>0</v>
      </c>
      <c r="C1250" s="3" t="s">
        <v>21</v>
      </c>
      <c r="D1250" s="2"/>
      <c r="E1250" s="2" t="e">
        <f t="shared" si="0"/>
        <v>#VALUE!</v>
      </c>
    </row>
    <row r="1251" spans="1:5" ht="12.75" customHeight="1" x14ac:dyDescent="0.2">
      <c r="A1251" s="3"/>
      <c r="B1251" s="3" t="s">
        <v>2</v>
      </c>
      <c r="C1251" s="3" t="s">
        <v>458</v>
      </c>
      <c r="D1251" s="2"/>
      <c r="E1251" s="2" t="e">
        <f t="shared" si="0"/>
        <v>#VALUE!</v>
      </c>
    </row>
    <row r="1252" spans="1:5" ht="12.75" customHeight="1" x14ac:dyDescent="0.2">
      <c r="A1252" s="3"/>
      <c r="B1252" s="3" t="s">
        <v>9</v>
      </c>
      <c r="C1252" s="3" t="s">
        <v>860</v>
      </c>
      <c r="D1252" s="2"/>
      <c r="E1252" s="2" t="e">
        <f t="shared" si="0"/>
        <v>#VALUE!</v>
      </c>
    </row>
    <row r="1253" spans="1:5" ht="12.75" customHeight="1" x14ac:dyDescent="0.2">
      <c r="A1253" s="3"/>
      <c r="B1253" s="3" t="s">
        <v>11</v>
      </c>
      <c r="C1253" s="3" t="s">
        <v>861</v>
      </c>
      <c r="D1253" s="2"/>
      <c r="E1253" s="2" t="e">
        <f t="shared" si="0"/>
        <v>#VALUE!</v>
      </c>
    </row>
    <row r="1254" spans="1:5" ht="12.75" customHeight="1" x14ac:dyDescent="0.2">
      <c r="A1254" s="3"/>
      <c r="B1254" s="3" t="s">
        <v>18</v>
      </c>
      <c r="C1254" s="4" t="s">
        <v>19</v>
      </c>
      <c r="D1254" s="2"/>
      <c r="E1254" s="2" t="e">
        <f t="shared" si="0"/>
        <v>#VALUE!</v>
      </c>
    </row>
    <row r="1255" spans="1:5" ht="12.75" customHeight="1" x14ac:dyDescent="0.2">
      <c r="A1255" s="1" t="str">
        <f>HYPERLINK("javascript:void(0)","eretnekség")</f>
        <v>eretnekség</v>
      </c>
      <c r="B1255" s="1"/>
      <c r="C1255" s="1"/>
      <c r="D1255" s="2"/>
      <c r="E1255" s="2" t="e">
        <f t="shared" si="0"/>
        <v>#VALUE!</v>
      </c>
    </row>
    <row r="1256" spans="1:5" ht="12.75" customHeight="1" x14ac:dyDescent="0.2">
      <c r="A1256" s="3"/>
      <c r="B1256" s="3" t="s">
        <v>0</v>
      </c>
      <c r="C1256" s="3" t="s">
        <v>21</v>
      </c>
      <c r="D1256" s="2"/>
      <c r="E1256" s="2" t="e">
        <f t="shared" si="0"/>
        <v>#VALUE!</v>
      </c>
    </row>
    <row r="1257" spans="1:5" ht="12.75" customHeight="1" x14ac:dyDescent="0.2">
      <c r="A1257" s="3"/>
      <c r="B1257" s="3" t="s">
        <v>2</v>
      </c>
      <c r="C1257" s="3" t="s">
        <v>458</v>
      </c>
      <c r="D1257" s="2"/>
      <c r="E1257" s="2" t="e">
        <f t="shared" si="0"/>
        <v>#VALUE!</v>
      </c>
    </row>
    <row r="1258" spans="1:5" ht="12.75" customHeight="1" x14ac:dyDescent="0.2">
      <c r="A1258" s="3"/>
      <c r="B1258" s="3" t="s">
        <v>9</v>
      </c>
      <c r="C1258" s="3" t="s">
        <v>626</v>
      </c>
      <c r="D1258" s="2"/>
      <c r="E1258" s="2" t="e">
        <f t="shared" si="0"/>
        <v>#VALUE!</v>
      </c>
    </row>
    <row r="1259" spans="1:5" ht="12.75" customHeight="1" x14ac:dyDescent="0.2">
      <c r="A1259" s="3"/>
      <c r="B1259" s="3" t="s">
        <v>11</v>
      </c>
      <c r="C1259" s="3" t="s">
        <v>721</v>
      </c>
      <c r="D1259" s="2"/>
      <c r="E1259" s="2" t="e">
        <f t="shared" si="0"/>
        <v>#VALUE!</v>
      </c>
    </row>
    <row r="1260" spans="1:5" ht="12.75" customHeight="1" x14ac:dyDescent="0.2">
      <c r="A1260" s="3"/>
      <c r="B1260" s="3" t="s">
        <v>18</v>
      </c>
      <c r="C1260" s="4" t="s">
        <v>19</v>
      </c>
      <c r="D1260" s="2"/>
      <c r="E1260" s="2" t="e">
        <f t="shared" si="0"/>
        <v>#VALUE!</v>
      </c>
    </row>
    <row r="1261" spans="1:5" ht="12.75" customHeight="1" x14ac:dyDescent="0.2">
      <c r="A1261" s="1" t="str">
        <f>HYPERLINK("javascript:void(0)","esszencia-kövecske")</f>
        <v>esszencia-kövecske</v>
      </c>
      <c r="B1261" s="1"/>
      <c r="C1261" s="1"/>
      <c r="D1261" s="1"/>
      <c r="E1261" s="2" t="e">
        <f t="shared" si="0"/>
        <v>#VALUE!</v>
      </c>
    </row>
    <row r="1262" spans="1:5" ht="12.75" customHeight="1" x14ac:dyDescent="0.2">
      <c r="A1262" s="3"/>
      <c r="B1262" s="3" t="s">
        <v>0</v>
      </c>
      <c r="C1262" s="3" t="s">
        <v>21</v>
      </c>
      <c r="D1262" s="3"/>
      <c r="E1262" s="2" t="e">
        <f t="shared" si="0"/>
        <v>#VALUE!</v>
      </c>
    </row>
    <row r="1263" spans="1:5" ht="12.75" customHeight="1" x14ac:dyDescent="0.2">
      <c r="A1263" s="3"/>
      <c r="B1263" s="3" t="s">
        <v>2</v>
      </c>
      <c r="C1263" s="3" t="s">
        <v>387</v>
      </c>
      <c r="D1263" s="3"/>
      <c r="E1263" s="2" t="e">
        <f t="shared" si="0"/>
        <v>#VALUE!</v>
      </c>
    </row>
    <row r="1264" spans="1:5" ht="12.75" customHeight="1" x14ac:dyDescent="0.2">
      <c r="A1264" s="3"/>
      <c r="B1264" s="3" t="s">
        <v>9</v>
      </c>
      <c r="C1264" s="3" t="s">
        <v>27</v>
      </c>
      <c r="D1264" s="3"/>
      <c r="E1264" s="2" t="e">
        <f t="shared" si="0"/>
        <v>#VALUE!</v>
      </c>
    </row>
    <row r="1265" spans="1:5" ht="12.75" customHeight="1" x14ac:dyDescent="0.2">
      <c r="A1265" s="3"/>
      <c r="B1265" s="3" t="s">
        <v>11</v>
      </c>
      <c r="C1265" s="3" t="s">
        <v>23</v>
      </c>
      <c r="D1265" s="3"/>
      <c r="E1265" s="2" t="e">
        <f t="shared" si="0"/>
        <v>#VALUE!</v>
      </c>
    </row>
    <row r="1266" spans="1:5" ht="12.75" customHeight="1" x14ac:dyDescent="0.2">
      <c r="A1266" s="3"/>
      <c r="B1266" s="3" t="s">
        <v>16</v>
      </c>
      <c r="C1266" s="3" t="s">
        <v>388</v>
      </c>
      <c r="D1266" s="3"/>
      <c r="E1266" s="2" t="e">
        <f t="shared" si="0"/>
        <v>#VALUE!</v>
      </c>
    </row>
    <row r="1267" spans="1:5" ht="12.75" customHeight="1" x14ac:dyDescent="0.2">
      <c r="A1267" s="3"/>
      <c r="B1267" s="3" t="s">
        <v>18</v>
      </c>
      <c r="C1267" s="4" t="s">
        <v>196</v>
      </c>
      <c r="D1267" s="6" t="str">
        <f>HYPERLINK("javascript:void(0)","vámpírherbium")</f>
        <v>vámpírherbium</v>
      </c>
      <c r="E1267" s="2" t="e">
        <f t="shared" si="0"/>
        <v>#VALUE!</v>
      </c>
    </row>
    <row r="1268" spans="1:5" ht="12.75" customHeight="1" x14ac:dyDescent="0.2">
      <c r="A1268" s="1" t="str">
        <f>HYPERLINK("javascript:void(0)","eszmeiség")</f>
        <v>eszmeiség</v>
      </c>
      <c r="B1268" s="1"/>
      <c r="C1268" s="1"/>
      <c r="D1268" s="2"/>
      <c r="E1268" s="2" t="e">
        <f t="shared" si="0"/>
        <v>#VALUE!</v>
      </c>
    </row>
    <row r="1269" spans="1:5" ht="12.75" customHeight="1" x14ac:dyDescent="0.2">
      <c r="A1269" s="3"/>
      <c r="B1269" s="3" t="s">
        <v>0</v>
      </c>
      <c r="C1269" s="3" t="s">
        <v>21</v>
      </c>
      <c r="D1269" s="2"/>
      <c r="E1269" s="2" t="e">
        <f t="shared" si="0"/>
        <v>#VALUE!</v>
      </c>
    </row>
    <row r="1270" spans="1:5" ht="12.75" customHeight="1" x14ac:dyDescent="0.2">
      <c r="A1270" s="3"/>
      <c r="B1270" s="3" t="s">
        <v>2</v>
      </c>
      <c r="C1270" s="3" t="s">
        <v>458</v>
      </c>
      <c r="D1270" s="2"/>
      <c r="E1270" s="2" t="e">
        <f t="shared" si="0"/>
        <v>#VALUE!</v>
      </c>
    </row>
    <row r="1271" spans="1:5" ht="12.75" customHeight="1" x14ac:dyDescent="0.2">
      <c r="A1271" s="3"/>
      <c r="B1271" s="3" t="s">
        <v>9</v>
      </c>
      <c r="C1271" s="3" t="s">
        <v>626</v>
      </c>
      <c r="D1271" s="2"/>
      <c r="E1271" s="2" t="e">
        <f t="shared" si="0"/>
        <v>#VALUE!</v>
      </c>
    </row>
    <row r="1272" spans="1:5" ht="12.75" customHeight="1" x14ac:dyDescent="0.2">
      <c r="A1272" s="3"/>
      <c r="B1272" s="3" t="s">
        <v>11</v>
      </c>
      <c r="C1272" s="3" t="s">
        <v>162</v>
      </c>
      <c r="D1272" s="2"/>
      <c r="E1272" s="2" t="e">
        <f t="shared" si="0"/>
        <v>#VALUE!</v>
      </c>
    </row>
    <row r="1273" spans="1:5" ht="12.75" customHeight="1" x14ac:dyDescent="0.2">
      <c r="A1273" s="3"/>
      <c r="B1273" s="3" t="s">
        <v>18</v>
      </c>
      <c r="C1273" s="4" t="s">
        <v>19</v>
      </c>
      <c r="D1273" s="2"/>
      <c r="E1273" s="2" t="e">
        <f t="shared" si="0"/>
        <v>#VALUE!</v>
      </c>
    </row>
    <row r="1274" spans="1:5" ht="12.75" customHeight="1" x14ac:dyDescent="0.2">
      <c r="A1274" s="1" t="str">
        <f>HYPERLINK("javascript:void(0)","esztétikum")</f>
        <v>esztétikum</v>
      </c>
      <c r="B1274" s="1"/>
      <c r="C1274" s="1"/>
      <c r="D1274" s="2"/>
      <c r="E1274" s="2" t="e">
        <f t="shared" si="0"/>
        <v>#VALUE!</v>
      </c>
    </row>
    <row r="1275" spans="1:5" ht="12.75" customHeight="1" x14ac:dyDescent="0.2">
      <c r="A1275" s="3"/>
      <c r="B1275" s="3" t="s">
        <v>0</v>
      </c>
      <c r="C1275" s="3" t="s">
        <v>21</v>
      </c>
      <c r="D1275" s="2"/>
      <c r="E1275" s="2" t="e">
        <f t="shared" si="0"/>
        <v>#VALUE!</v>
      </c>
    </row>
    <row r="1276" spans="1:5" ht="12.75" customHeight="1" x14ac:dyDescent="0.2">
      <c r="A1276" s="3"/>
      <c r="B1276" s="3" t="s">
        <v>2</v>
      </c>
      <c r="C1276" s="3" t="s">
        <v>458</v>
      </c>
      <c r="D1276" s="2"/>
      <c r="E1276" s="2" t="e">
        <f t="shared" si="0"/>
        <v>#VALUE!</v>
      </c>
    </row>
    <row r="1277" spans="1:5" ht="12.75" customHeight="1" x14ac:dyDescent="0.2">
      <c r="A1277" s="3"/>
      <c r="B1277" s="3" t="s">
        <v>9</v>
      </c>
      <c r="C1277" s="3" t="s">
        <v>867</v>
      </c>
      <c r="D1277" s="2"/>
      <c r="E1277" s="2" t="e">
        <f t="shared" si="0"/>
        <v>#VALUE!</v>
      </c>
    </row>
    <row r="1278" spans="1:5" ht="12.75" customHeight="1" x14ac:dyDescent="0.2">
      <c r="A1278" s="3"/>
      <c r="B1278" s="3" t="s">
        <v>11</v>
      </c>
      <c r="C1278" s="3" t="s">
        <v>209</v>
      </c>
      <c r="D1278" s="2"/>
      <c r="E1278" s="2" t="e">
        <f t="shared" si="0"/>
        <v>#VALUE!</v>
      </c>
    </row>
    <row r="1279" spans="1:5" ht="12.75" customHeight="1" x14ac:dyDescent="0.2">
      <c r="A1279" s="3"/>
      <c r="B1279" s="3" t="s">
        <v>18</v>
      </c>
      <c r="C1279" s="4" t="s">
        <v>19</v>
      </c>
      <c r="D1279" s="2"/>
      <c r="E1279" s="2" t="e">
        <f t="shared" si="0"/>
        <v>#VALUE!</v>
      </c>
    </row>
    <row r="1280" spans="1:5" ht="12.75" customHeight="1" x14ac:dyDescent="0.2">
      <c r="A1280" s="1" t="str">
        <f>HYPERLINK("javascript:void(0)","exorcium draconum")</f>
        <v>exorcium draconum</v>
      </c>
      <c r="B1280" s="1"/>
      <c r="C1280" s="1"/>
      <c r="D1280" s="2"/>
      <c r="E1280" s="2" t="e">
        <f t="shared" si="0"/>
        <v>#VALUE!</v>
      </c>
    </row>
    <row r="1281" spans="1:5" ht="12.75" customHeight="1" x14ac:dyDescent="0.2">
      <c r="A1281" s="3"/>
      <c r="B1281" s="3" t="s">
        <v>0</v>
      </c>
      <c r="C1281" s="3" t="s">
        <v>21</v>
      </c>
      <c r="D1281" s="2"/>
      <c r="E1281" s="2" t="e">
        <f t="shared" si="0"/>
        <v>#VALUE!</v>
      </c>
    </row>
    <row r="1282" spans="1:5" ht="12.75" customHeight="1" x14ac:dyDescent="0.2">
      <c r="A1282" s="3"/>
      <c r="B1282" s="3" t="s">
        <v>2</v>
      </c>
      <c r="C1282" s="3" t="s">
        <v>458</v>
      </c>
      <c r="D1282" s="2"/>
      <c r="E1282" s="2" t="e">
        <f t="shared" si="0"/>
        <v>#VALUE!</v>
      </c>
    </row>
    <row r="1283" spans="1:5" ht="12.75" customHeight="1" x14ac:dyDescent="0.2">
      <c r="A1283" s="3"/>
      <c r="B1283" s="3" t="s">
        <v>9</v>
      </c>
      <c r="C1283" s="3" t="s">
        <v>871</v>
      </c>
      <c r="D1283" s="2"/>
      <c r="E1283" s="2" t="e">
        <f t="shared" si="0"/>
        <v>#VALUE!</v>
      </c>
    </row>
    <row r="1284" spans="1:5" ht="12.75" customHeight="1" x14ac:dyDescent="0.2">
      <c r="A1284" s="3"/>
      <c r="B1284" s="3" t="s">
        <v>11</v>
      </c>
      <c r="C1284" s="3" t="s">
        <v>872</v>
      </c>
      <c r="D1284" s="2"/>
      <c r="E1284" s="2" t="e">
        <f t="shared" si="0"/>
        <v>#VALUE!</v>
      </c>
    </row>
    <row r="1285" spans="1:5" ht="12.75" customHeight="1" x14ac:dyDescent="0.2">
      <c r="A1285" s="3"/>
      <c r="B1285" s="3" t="s">
        <v>18</v>
      </c>
      <c r="C1285" s="4" t="s">
        <v>19</v>
      </c>
      <c r="D1285" s="2"/>
      <c r="E1285" s="2" t="e">
        <f t="shared" si="0"/>
        <v>#VALUE!</v>
      </c>
    </row>
    <row r="1286" spans="1:5" ht="12.75" customHeight="1" x14ac:dyDescent="0.2">
      <c r="A1286" s="1" t="str">
        <f>HYPERLINK("javascript:void(0)","extra manaital")</f>
        <v>extra manaital</v>
      </c>
      <c r="B1286" s="1"/>
      <c r="C1286" s="1"/>
      <c r="D1286" s="2"/>
      <c r="E1286" s="2" t="e">
        <f t="shared" si="0"/>
        <v>#VALUE!</v>
      </c>
    </row>
    <row r="1287" spans="1:5" ht="12.75" customHeight="1" x14ac:dyDescent="0.2">
      <c r="A1287" s="3"/>
      <c r="B1287" s="3" t="s">
        <v>0</v>
      </c>
      <c r="C1287" s="3" t="s">
        <v>21</v>
      </c>
      <c r="D1287" s="2"/>
      <c r="E1287" s="2" t="e">
        <f t="shared" si="0"/>
        <v>#VALUE!</v>
      </c>
    </row>
    <row r="1288" spans="1:5" ht="12.75" customHeight="1" x14ac:dyDescent="0.2">
      <c r="A1288" s="3"/>
      <c r="B1288" s="3" t="s">
        <v>2</v>
      </c>
      <c r="C1288" s="3" t="s">
        <v>557</v>
      </c>
      <c r="D1288" s="2"/>
      <c r="E1288" s="2" t="e">
        <f t="shared" si="0"/>
        <v>#VALUE!</v>
      </c>
    </row>
    <row r="1289" spans="1:5" ht="12.75" customHeight="1" x14ac:dyDescent="0.2">
      <c r="A1289" s="3"/>
      <c r="B1289" s="3" t="s">
        <v>9</v>
      </c>
      <c r="C1289" s="3" t="s">
        <v>53</v>
      </c>
      <c r="D1289" s="2"/>
      <c r="E1289" s="2" t="e">
        <f t="shared" si="0"/>
        <v>#VALUE!</v>
      </c>
    </row>
    <row r="1290" spans="1:5" ht="12.75" customHeight="1" x14ac:dyDescent="0.2">
      <c r="A1290" s="3"/>
      <c r="B1290" s="3" t="s">
        <v>11</v>
      </c>
      <c r="C1290" s="3" t="s">
        <v>23</v>
      </c>
      <c r="D1290" s="2"/>
      <c r="E1290" s="2" t="e">
        <f t="shared" si="0"/>
        <v>#VALUE!</v>
      </c>
    </row>
    <row r="1291" spans="1:5" ht="12.75" customHeight="1" x14ac:dyDescent="0.2">
      <c r="A1291" s="3"/>
      <c r="B1291" s="3" t="s">
        <v>16</v>
      </c>
      <c r="C1291" s="3" t="s">
        <v>873</v>
      </c>
      <c r="D1291" s="2"/>
      <c r="E1291" s="2" t="e">
        <f t="shared" si="0"/>
        <v>#VALUE!</v>
      </c>
    </row>
    <row r="1292" spans="1:5" ht="12.75" customHeight="1" x14ac:dyDescent="0.2">
      <c r="A1292" s="3"/>
      <c r="B1292" s="3" t="s">
        <v>18</v>
      </c>
      <c r="C1292" s="4" t="s">
        <v>19</v>
      </c>
      <c r="D1292" s="2"/>
      <c r="E1292" s="2" t="e">
        <f t="shared" si="0"/>
        <v>#VALUE!</v>
      </c>
    </row>
    <row r="1293" spans="1:5" ht="12.75" customHeight="1" x14ac:dyDescent="0.2">
      <c r="A1293" s="1" t="str">
        <f>HYPERLINK("javascript:void(0)","ezüst cvekker")</f>
        <v>ezüst cvekker</v>
      </c>
      <c r="B1293" s="1"/>
      <c r="C1293" s="1"/>
      <c r="D1293" s="2"/>
      <c r="E1293" s="2" t="e">
        <f t="shared" si="0"/>
        <v>#VALUE!</v>
      </c>
    </row>
    <row r="1294" spans="1:5" ht="12.75" customHeight="1" x14ac:dyDescent="0.2">
      <c r="A1294" s="3"/>
      <c r="B1294" s="3" t="s">
        <v>0</v>
      </c>
      <c r="C1294" s="3" t="s">
        <v>21</v>
      </c>
      <c r="D1294" s="2"/>
      <c r="E1294" s="2" t="e">
        <f t="shared" si="0"/>
        <v>#VALUE!</v>
      </c>
    </row>
    <row r="1295" spans="1:5" ht="12.75" customHeight="1" x14ac:dyDescent="0.2">
      <c r="A1295" s="3"/>
      <c r="B1295" s="3" t="s">
        <v>2</v>
      </c>
      <c r="C1295" s="3" t="s">
        <v>387</v>
      </c>
      <c r="D1295" s="2"/>
      <c r="E1295" s="2" t="e">
        <f t="shared" si="0"/>
        <v>#VALUE!</v>
      </c>
    </row>
    <row r="1296" spans="1:5" ht="12.75" customHeight="1" x14ac:dyDescent="0.2">
      <c r="A1296" s="3"/>
      <c r="B1296" s="3" t="s">
        <v>9</v>
      </c>
      <c r="C1296" s="3" t="s">
        <v>27</v>
      </c>
      <c r="D1296" s="2"/>
      <c r="E1296" s="2" t="e">
        <f t="shared" si="0"/>
        <v>#VALUE!</v>
      </c>
    </row>
    <row r="1297" spans="1:5" ht="12.75" customHeight="1" x14ac:dyDescent="0.2">
      <c r="A1297" s="3"/>
      <c r="B1297" s="3" t="s">
        <v>11</v>
      </c>
      <c r="C1297" s="3" t="s">
        <v>23</v>
      </c>
      <c r="D1297" s="2"/>
      <c r="E1297" s="2" t="e">
        <f t="shared" si="0"/>
        <v>#VALUE!</v>
      </c>
    </row>
    <row r="1298" spans="1:5" ht="12.75" customHeight="1" x14ac:dyDescent="0.2">
      <c r="A1298" s="3"/>
      <c r="B1298" s="3" t="s">
        <v>16</v>
      </c>
      <c r="C1298" s="3" t="s">
        <v>388</v>
      </c>
      <c r="D1298" s="2"/>
      <c r="E1298" s="2" t="e">
        <f t="shared" si="0"/>
        <v>#VALUE!</v>
      </c>
    </row>
    <row r="1299" spans="1:5" ht="12.75" customHeight="1" x14ac:dyDescent="0.2">
      <c r="A1299" s="3"/>
      <c r="B1299" s="3" t="s">
        <v>18</v>
      </c>
      <c r="C1299" s="4" t="s">
        <v>19</v>
      </c>
      <c r="D1299" s="2"/>
      <c r="E1299" s="2" t="e">
        <f t="shared" si="0"/>
        <v>#VALUE!</v>
      </c>
    </row>
    <row r="1300" spans="1:5" ht="12.75" customHeight="1" x14ac:dyDescent="0.2">
      <c r="A1300" s="1" t="str">
        <f>HYPERLINK("javascript:void(0)","ezüst kígyó")</f>
        <v>ezüst kígyó</v>
      </c>
      <c r="B1300" s="1"/>
      <c r="C1300" s="1"/>
      <c r="D1300" s="2"/>
      <c r="E1300" s="2" t="e">
        <f t="shared" si="0"/>
        <v>#VALUE!</v>
      </c>
    </row>
    <row r="1301" spans="1:5" ht="12.75" customHeight="1" x14ac:dyDescent="0.2">
      <c r="A1301" s="3"/>
      <c r="B1301" s="3" t="s">
        <v>0</v>
      </c>
      <c r="C1301" s="3" t="s">
        <v>21</v>
      </c>
      <c r="D1301" s="2"/>
      <c r="E1301" s="2" t="e">
        <f t="shared" si="0"/>
        <v>#VALUE!</v>
      </c>
    </row>
    <row r="1302" spans="1:5" ht="12.75" customHeight="1" x14ac:dyDescent="0.2">
      <c r="A1302" s="3"/>
      <c r="B1302" s="3" t="s">
        <v>2</v>
      </c>
      <c r="C1302" s="3" t="s">
        <v>387</v>
      </c>
      <c r="D1302" s="2"/>
      <c r="E1302" s="2" t="e">
        <f t="shared" si="0"/>
        <v>#VALUE!</v>
      </c>
    </row>
    <row r="1303" spans="1:5" ht="12.75" customHeight="1" x14ac:dyDescent="0.2">
      <c r="A1303" s="3"/>
      <c r="B1303" s="3" t="s">
        <v>9</v>
      </c>
      <c r="C1303" s="3" t="s">
        <v>10</v>
      </c>
      <c r="D1303" s="2"/>
      <c r="E1303" s="2" t="e">
        <f t="shared" si="0"/>
        <v>#VALUE!</v>
      </c>
    </row>
    <row r="1304" spans="1:5" ht="12.75" customHeight="1" x14ac:dyDescent="0.2">
      <c r="A1304" s="3"/>
      <c r="B1304" s="3" t="s">
        <v>11</v>
      </c>
      <c r="C1304" s="3" t="s">
        <v>23</v>
      </c>
      <c r="D1304" s="2"/>
      <c r="E1304" s="2" t="e">
        <f t="shared" si="0"/>
        <v>#VALUE!</v>
      </c>
    </row>
    <row r="1305" spans="1:5" ht="12.75" customHeight="1" x14ac:dyDescent="0.2">
      <c r="A1305" s="3"/>
      <c r="B1305" s="3" t="s">
        <v>16</v>
      </c>
      <c r="C1305" s="3" t="s">
        <v>388</v>
      </c>
      <c r="D1305" s="2"/>
      <c r="E1305" s="2" t="e">
        <f t="shared" si="0"/>
        <v>#VALUE!</v>
      </c>
    </row>
    <row r="1306" spans="1:5" ht="12.75" customHeight="1" x14ac:dyDescent="0.2">
      <c r="A1306" s="3"/>
      <c r="B1306" s="3" t="s">
        <v>18</v>
      </c>
      <c r="C1306" s="4" t="s">
        <v>19</v>
      </c>
      <c r="D1306" s="2"/>
      <c r="E1306" s="2" t="e">
        <f t="shared" si="0"/>
        <v>#VALUE!</v>
      </c>
    </row>
    <row r="1307" spans="1:5" ht="12.75" customHeight="1" x14ac:dyDescent="0.2">
      <c r="A1307" s="1" t="str">
        <f>HYPERLINK("javascript:void(0)","ezüst patkó")</f>
        <v>ezüst patkó</v>
      </c>
      <c r="B1307" s="1"/>
      <c r="C1307" s="1"/>
      <c r="D1307" s="2"/>
      <c r="E1307" s="2" t="e">
        <f t="shared" si="0"/>
        <v>#VALUE!</v>
      </c>
    </row>
    <row r="1308" spans="1:5" ht="12.75" customHeight="1" x14ac:dyDescent="0.2">
      <c r="A1308" s="3"/>
      <c r="B1308" s="3" t="s">
        <v>0</v>
      </c>
      <c r="C1308" s="3" t="s">
        <v>21</v>
      </c>
      <c r="D1308" s="2"/>
      <c r="E1308" s="2" t="e">
        <f t="shared" si="0"/>
        <v>#VALUE!</v>
      </c>
    </row>
    <row r="1309" spans="1:5" ht="12.75" customHeight="1" x14ac:dyDescent="0.2">
      <c r="A1309" s="3"/>
      <c r="B1309" s="3" t="s">
        <v>2</v>
      </c>
      <c r="C1309" s="3" t="s">
        <v>458</v>
      </c>
      <c r="D1309" s="2"/>
      <c r="E1309" s="2" t="e">
        <f t="shared" si="0"/>
        <v>#VALUE!</v>
      </c>
    </row>
    <row r="1310" spans="1:5" ht="12.75" customHeight="1" x14ac:dyDescent="0.2">
      <c r="A1310" s="3"/>
      <c r="B1310" s="3" t="s">
        <v>9</v>
      </c>
      <c r="C1310" s="3" t="s">
        <v>10</v>
      </c>
      <c r="D1310" s="2"/>
      <c r="E1310" s="2" t="e">
        <f t="shared" si="0"/>
        <v>#VALUE!</v>
      </c>
    </row>
    <row r="1311" spans="1:5" ht="12.75" customHeight="1" x14ac:dyDescent="0.2">
      <c r="A1311" s="3"/>
      <c r="B1311" s="3" t="s">
        <v>11</v>
      </c>
      <c r="C1311" s="3" t="s">
        <v>881</v>
      </c>
      <c r="D1311" s="2"/>
      <c r="E1311" s="2" t="e">
        <f t="shared" si="0"/>
        <v>#VALUE!</v>
      </c>
    </row>
    <row r="1312" spans="1:5" ht="12.75" customHeight="1" x14ac:dyDescent="0.2">
      <c r="A1312" s="3"/>
      <c r="B1312" s="3" t="s">
        <v>18</v>
      </c>
      <c r="C1312" s="4" t="s">
        <v>19</v>
      </c>
      <c r="D1312" s="2"/>
      <c r="E1312" s="2" t="e">
        <f t="shared" si="0"/>
        <v>#VALUE!</v>
      </c>
    </row>
    <row r="1313" spans="1:5" ht="12.75" customHeight="1" x14ac:dyDescent="0.2">
      <c r="A1313" s="1" t="str">
        <f>HYPERLINK("javascript:void(0)","ezüst skarabeusz")</f>
        <v>ezüst skarabeusz</v>
      </c>
      <c r="B1313" s="1"/>
      <c r="C1313" s="1"/>
      <c r="D1313" s="2"/>
      <c r="E1313" s="2" t="e">
        <f t="shared" si="0"/>
        <v>#VALUE!</v>
      </c>
    </row>
    <row r="1314" spans="1:5" ht="12.75" customHeight="1" x14ac:dyDescent="0.2">
      <c r="A1314" s="3"/>
      <c r="B1314" s="3" t="s">
        <v>0</v>
      </c>
      <c r="C1314" s="3" t="s">
        <v>21</v>
      </c>
      <c r="D1314" s="2"/>
      <c r="E1314" s="2" t="e">
        <f t="shared" si="0"/>
        <v>#VALUE!</v>
      </c>
    </row>
    <row r="1315" spans="1:5" ht="12.75" customHeight="1" x14ac:dyDescent="0.2">
      <c r="A1315" s="3"/>
      <c r="B1315" s="3" t="s">
        <v>2</v>
      </c>
      <c r="C1315" s="3" t="s">
        <v>387</v>
      </c>
      <c r="D1315" s="2"/>
      <c r="E1315" s="2" t="e">
        <f t="shared" si="0"/>
        <v>#VALUE!</v>
      </c>
    </row>
    <row r="1316" spans="1:5" ht="12.75" customHeight="1" x14ac:dyDescent="0.2">
      <c r="A1316" s="3"/>
      <c r="B1316" s="3" t="s">
        <v>9</v>
      </c>
      <c r="C1316" s="3" t="s">
        <v>27</v>
      </c>
      <c r="D1316" s="2"/>
      <c r="E1316" s="2" t="e">
        <f t="shared" si="0"/>
        <v>#VALUE!</v>
      </c>
    </row>
    <row r="1317" spans="1:5" ht="12.75" customHeight="1" x14ac:dyDescent="0.2">
      <c r="A1317" s="3"/>
      <c r="B1317" s="3" t="s">
        <v>11</v>
      </c>
      <c r="C1317" s="3" t="s">
        <v>23</v>
      </c>
      <c r="D1317" s="2"/>
      <c r="E1317" s="2" t="e">
        <f t="shared" si="0"/>
        <v>#VALUE!</v>
      </c>
    </row>
    <row r="1318" spans="1:5" ht="12.75" customHeight="1" x14ac:dyDescent="0.2">
      <c r="A1318" s="3"/>
      <c r="B1318" s="3" t="s">
        <v>16</v>
      </c>
      <c r="C1318" s="3" t="s">
        <v>388</v>
      </c>
      <c r="D1318" s="2"/>
      <c r="E1318" s="2" t="e">
        <f t="shared" si="0"/>
        <v>#VALUE!</v>
      </c>
    </row>
    <row r="1319" spans="1:5" ht="12.75" customHeight="1" x14ac:dyDescent="0.2">
      <c r="A1319" s="3"/>
      <c r="B1319" s="3" t="s">
        <v>18</v>
      </c>
      <c r="C1319" s="4" t="s">
        <v>19</v>
      </c>
      <c r="D1319" s="2"/>
      <c r="E1319" s="2" t="e">
        <f t="shared" si="0"/>
        <v>#VALUE!</v>
      </c>
    </row>
    <row r="1320" spans="1:5" ht="12.75" customHeight="1" x14ac:dyDescent="0.2">
      <c r="A1320" s="1" t="str">
        <f>HYPERLINK("javascript:void(0)","ezüst sárkánybajusz")</f>
        <v>ezüst sárkánybajusz</v>
      </c>
      <c r="B1320" s="1"/>
      <c r="C1320" s="1"/>
      <c r="D1320" s="2"/>
      <c r="E1320" s="2" t="e">
        <f t="shared" si="0"/>
        <v>#VALUE!</v>
      </c>
    </row>
    <row r="1321" spans="1:5" ht="12.75" customHeight="1" x14ac:dyDescent="0.2">
      <c r="A1321" s="3"/>
      <c r="B1321" s="3" t="s">
        <v>0</v>
      </c>
      <c r="C1321" s="3" t="s">
        <v>21</v>
      </c>
      <c r="D1321" s="2"/>
      <c r="E1321" s="2" t="e">
        <f t="shared" si="0"/>
        <v>#VALUE!</v>
      </c>
    </row>
    <row r="1322" spans="1:5" ht="12.75" customHeight="1" x14ac:dyDescent="0.2">
      <c r="A1322" s="3"/>
      <c r="B1322" s="3" t="s">
        <v>2</v>
      </c>
      <c r="C1322" s="3" t="s">
        <v>387</v>
      </c>
      <c r="D1322" s="2"/>
      <c r="E1322" s="2" t="e">
        <f t="shared" si="0"/>
        <v>#VALUE!</v>
      </c>
    </row>
    <row r="1323" spans="1:5" ht="12.75" customHeight="1" x14ac:dyDescent="0.2">
      <c r="A1323" s="3"/>
      <c r="B1323" s="3" t="s">
        <v>9</v>
      </c>
      <c r="C1323" s="3" t="s">
        <v>27</v>
      </c>
      <c r="D1323" s="2"/>
      <c r="E1323" s="2" t="e">
        <f t="shared" si="0"/>
        <v>#VALUE!</v>
      </c>
    </row>
    <row r="1324" spans="1:5" ht="12.75" customHeight="1" x14ac:dyDescent="0.2">
      <c r="A1324" s="3"/>
      <c r="B1324" s="3" t="s">
        <v>11</v>
      </c>
      <c r="C1324" s="3" t="s">
        <v>23</v>
      </c>
      <c r="D1324" s="2"/>
      <c r="E1324" s="2" t="e">
        <f t="shared" si="0"/>
        <v>#VALUE!</v>
      </c>
    </row>
    <row r="1325" spans="1:5" ht="12.75" customHeight="1" x14ac:dyDescent="0.2">
      <c r="A1325" s="3"/>
      <c r="B1325" s="3" t="s">
        <v>16</v>
      </c>
      <c r="C1325" s="3" t="s">
        <v>388</v>
      </c>
      <c r="D1325" s="2"/>
      <c r="E1325" s="2" t="e">
        <f t="shared" si="0"/>
        <v>#VALUE!</v>
      </c>
    </row>
    <row r="1326" spans="1:5" ht="12.75" customHeight="1" x14ac:dyDescent="0.2">
      <c r="A1326" s="3"/>
      <c r="B1326" s="3" t="s">
        <v>18</v>
      </c>
      <c r="C1326" s="4" t="s">
        <v>19</v>
      </c>
      <c r="D1326" s="2"/>
      <c r="E1326" s="2" t="e">
        <f t="shared" si="0"/>
        <v>#VALUE!</v>
      </c>
    </row>
    <row r="1327" spans="1:5" ht="12.75" customHeight="1" x14ac:dyDescent="0.2">
      <c r="A1327" s="1" t="str">
        <f>HYPERLINK("javascript:void(0)","ezüstagyar")</f>
        <v>ezüstagyar</v>
      </c>
      <c r="B1327" s="1"/>
      <c r="C1327" s="1"/>
      <c r="D1327" s="2"/>
      <c r="E1327" s="2" t="e">
        <f t="shared" si="0"/>
        <v>#VALUE!</v>
      </c>
    </row>
    <row r="1328" spans="1:5" ht="12.75" customHeight="1" x14ac:dyDescent="0.2">
      <c r="A1328" s="3"/>
      <c r="B1328" s="3" t="s">
        <v>0</v>
      </c>
      <c r="C1328" s="3" t="s">
        <v>21</v>
      </c>
      <c r="D1328" s="2"/>
      <c r="E1328" s="2" t="e">
        <f t="shared" si="0"/>
        <v>#VALUE!</v>
      </c>
    </row>
    <row r="1329" spans="1:5" ht="12.75" customHeight="1" x14ac:dyDescent="0.2">
      <c r="A1329" s="3"/>
      <c r="B1329" s="3" t="s">
        <v>2</v>
      </c>
      <c r="C1329" s="3" t="s">
        <v>458</v>
      </c>
      <c r="D1329" s="2"/>
      <c r="E1329" s="2" t="e">
        <f t="shared" si="0"/>
        <v>#VALUE!</v>
      </c>
    </row>
    <row r="1330" spans="1:5" ht="12.75" customHeight="1" x14ac:dyDescent="0.2">
      <c r="A1330" s="3"/>
      <c r="B1330" s="3" t="s">
        <v>9</v>
      </c>
      <c r="C1330" s="3" t="s">
        <v>22</v>
      </c>
      <c r="D1330" s="2"/>
      <c r="E1330" s="2" t="e">
        <f t="shared" si="0"/>
        <v>#VALUE!</v>
      </c>
    </row>
    <row r="1331" spans="1:5" ht="12.75" customHeight="1" x14ac:dyDescent="0.2">
      <c r="A1331" s="3"/>
      <c r="B1331" s="3" t="s">
        <v>11</v>
      </c>
      <c r="C1331" s="3" t="s">
        <v>889</v>
      </c>
      <c r="D1331" s="2"/>
      <c r="E1331" s="2" t="e">
        <f t="shared" si="0"/>
        <v>#VALUE!</v>
      </c>
    </row>
    <row r="1332" spans="1:5" ht="12.75" customHeight="1" x14ac:dyDescent="0.2">
      <c r="A1332" s="3"/>
      <c r="B1332" s="3" t="s">
        <v>18</v>
      </c>
      <c r="C1332" s="4" t="s">
        <v>19</v>
      </c>
      <c r="D1332" s="2"/>
      <c r="E1332" s="2" t="e">
        <f t="shared" si="0"/>
        <v>#VALUE!</v>
      </c>
    </row>
    <row r="1333" spans="1:5" ht="12.75" customHeight="1" x14ac:dyDescent="0.2">
      <c r="A1333" s="1" t="str">
        <f>HYPERLINK("javascript:void(0)","ezüstfullánk")</f>
        <v>ezüstfullánk</v>
      </c>
      <c r="B1333" s="1"/>
      <c r="C1333" s="1"/>
      <c r="D1333" s="2"/>
      <c r="E1333" s="2" t="e">
        <f t="shared" si="0"/>
        <v>#VALUE!</v>
      </c>
    </row>
    <row r="1334" spans="1:5" ht="12.75" customHeight="1" x14ac:dyDescent="0.2">
      <c r="A1334" s="3"/>
      <c r="B1334" s="3" t="s">
        <v>0</v>
      </c>
      <c r="C1334" s="3" t="s">
        <v>1</v>
      </c>
      <c r="D1334" s="2"/>
      <c r="E1334" s="2" t="e">
        <f t="shared" si="0"/>
        <v>#VALUE!</v>
      </c>
    </row>
    <row r="1335" spans="1:5" ht="12.75" customHeight="1" x14ac:dyDescent="0.2">
      <c r="A1335" s="3"/>
      <c r="B1335" s="3" t="s">
        <v>2</v>
      </c>
      <c r="C1335" s="3" t="s">
        <v>387</v>
      </c>
      <c r="D1335" s="2"/>
      <c r="E1335" s="2" t="e">
        <f t="shared" si="0"/>
        <v>#VALUE!</v>
      </c>
    </row>
    <row r="1336" spans="1:5" ht="12.75" customHeight="1" x14ac:dyDescent="0.2">
      <c r="A1336" s="3"/>
      <c r="B1336" s="3" t="s">
        <v>9</v>
      </c>
      <c r="C1336" s="3" t="s">
        <v>404</v>
      </c>
      <c r="D1336" s="2"/>
      <c r="E1336" s="2" t="e">
        <f t="shared" si="0"/>
        <v>#VALUE!</v>
      </c>
    </row>
    <row r="1337" spans="1:5" ht="12.75" customHeight="1" x14ac:dyDescent="0.2">
      <c r="A1337" s="3"/>
      <c r="B1337" s="3" t="s">
        <v>11</v>
      </c>
      <c r="C1337" s="3" t="s">
        <v>890</v>
      </c>
      <c r="D1337" s="2"/>
      <c r="E1337" s="2" t="e">
        <f t="shared" si="0"/>
        <v>#VALUE!</v>
      </c>
    </row>
    <row r="1338" spans="1:5" ht="12.75" customHeight="1" x14ac:dyDescent="0.2">
      <c r="A1338" s="3"/>
      <c r="B1338" s="3" t="s">
        <v>18</v>
      </c>
      <c r="C1338" s="4" t="s">
        <v>19</v>
      </c>
      <c r="D1338" s="2"/>
      <c r="E1338" s="2" t="e">
        <f t="shared" si="0"/>
        <v>#VALUE!</v>
      </c>
    </row>
    <row r="1339" spans="1:5" ht="12.75" customHeight="1" x14ac:dyDescent="0.2">
      <c r="A1339" s="1" t="str">
        <f>HYPERLINK("javascript:void(0)","ezüstgerinc")</f>
        <v>ezüstgerinc</v>
      </c>
      <c r="B1339" s="1"/>
      <c r="C1339" s="1"/>
      <c r="D1339" s="2"/>
      <c r="E1339" s="2" t="e">
        <f t="shared" si="0"/>
        <v>#VALUE!</v>
      </c>
    </row>
    <row r="1340" spans="1:5" ht="12.75" customHeight="1" x14ac:dyDescent="0.2">
      <c r="A1340" s="3"/>
      <c r="B1340" s="3" t="s">
        <v>0</v>
      </c>
      <c r="C1340" s="3" t="s">
        <v>21</v>
      </c>
      <c r="D1340" s="2"/>
      <c r="E1340" s="2" t="e">
        <f t="shared" si="0"/>
        <v>#VALUE!</v>
      </c>
    </row>
    <row r="1341" spans="1:5" ht="12.75" customHeight="1" x14ac:dyDescent="0.2">
      <c r="A1341" s="3"/>
      <c r="B1341" s="3" t="s">
        <v>2</v>
      </c>
      <c r="C1341" s="3" t="s">
        <v>458</v>
      </c>
      <c r="D1341" s="2"/>
      <c r="E1341" s="2" t="e">
        <f t="shared" si="0"/>
        <v>#VALUE!</v>
      </c>
    </row>
    <row r="1342" spans="1:5" ht="12.75" customHeight="1" x14ac:dyDescent="0.2">
      <c r="A1342" s="3"/>
      <c r="B1342" s="3" t="s">
        <v>9</v>
      </c>
      <c r="C1342" s="3" t="s">
        <v>124</v>
      </c>
      <c r="D1342" s="2"/>
      <c r="E1342" s="2" t="e">
        <f t="shared" si="0"/>
        <v>#VALUE!</v>
      </c>
    </row>
    <row r="1343" spans="1:5" ht="12.75" customHeight="1" x14ac:dyDescent="0.2">
      <c r="A1343" s="3"/>
      <c r="B1343" s="3" t="s">
        <v>11</v>
      </c>
      <c r="C1343" s="3" t="s">
        <v>893</v>
      </c>
      <c r="D1343" s="2"/>
      <c r="E1343" s="2" t="e">
        <f t="shared" si="0"/>
        <v>#VALUE!</v>
      </c>
    </row>
    <row r="1344" spans="1:5" ht="12.75" customHeight="1" x14ac:dyDescent="0.2">
      <c r="A1344" s="3"/>
      <c r="B1344" s="3" t="s">
        <v>18</v>
      </c>
      <c r="C1344" s="4" t="s">
        <v>19</v>
      </c>
      <c r="D1344" s="2"/>
      <c r="E1344" s="2" t="e">
        <f t="shared" si="0"/>
        <v>#VALUE!</v>
      </c>
    </row>
    <row r="1345" spans="1:5" ht="12.75" customHeight="1" x14ac:dyDescent="0.2">
      <c r="A1345" s="1" t="str">
        <f>HYPERLINK("javascript:void(0)","ezüstgyűrű")</f>
        <v>ezüstgyűrű</v>
      </c>
      <c r="B1345" s="1"/>
      <c r="C1345" s="1"/>
      <c r="D1345" s="2"/>
      <c r="E1345" s="2" t="e">
        <f t="shared" si="0"/>
        <v>#VALUE!</v>
      </c>
    </row>
    <row r="1346" spans="1:5" ht="12.75" customHeight="1" x14ac:dyDescent="0.2">
      <c r="A1346" s="3"/>
      <c r="B1346" s="3" t="s">
        <v>0</v>
      </c>
      <c r="C1346" s="3" t="s">
        <v>1</v>
      </c>
      <c r="D1346" s="2"/>
      <c r="E1346" s="2" t="e">
        <f t="shared" si="0"/>
        <v>#VALUE!</v>
      </c>
    </row>
    <row r="1347" spans="1:5" ht="12.75" customHeight="1" x14ac:dyDescent="0.2">
      <c r="A1347" s="3"/>
      <c r="B1347" s="3" t="s">
        <v>2</v>
      </c>
      <c r="C1347" s="3" t="s">
        <v>387</v>
      </c>
      <c r="D1347" s="2"/>
      <c r="E1347" s="2" t="e">
        <f t="shared" si="0"/>
        <v>#VALUE!</v>
      </c>
    </row>
    <row r="1348" spans="1:5" ht="12.75" customHeight="1" x14ac:dyDescent="0.2">
      <c r="A1348" s="3"/>
      <c r="B1348" s="3" t="s">
        <v>9</v>
      </c>
      <c r="C1348" s="3" t="s">
        <v>895</v>
      </c>
      <c r="D1348" s="2"/>
      <c r="E1348" s="2" t="e">
        <f t="shared" si="0"/>
        <v>#VALUE!</v>
      </c>
    </row>
    <row r="1349" spans="1:5" ht="12.75" customHeight="1" x14ac:dyDescent="0.2">
      <c r="A1349" s="3"/>
      <c r="B1349" s="3" t="s">
        <v>11</v>
      </c>
      <c r="C1349" s="3" t="s">
        <v>890</v>
      </c>
      <c r="D1349" s="2"/>
      <c r="E1349" s="2" t="e">
        <f t="shared" si="0"/>
        <v>#VALUE!</v>
      </c>
    </row>
    <row r="1350" spans="1:5" ht="12.75" customHeight="1" x14ac:dyDescent="0.2">
      <c r="A1350" s="3"/>
      <c r="B1350" s="3" t="s">
        <v>18</v>
      </c>
      <c r="C1350" s="4" t="s">
        <v>19</v>
      </c>
      <c r="D1350" s="2"/>
      <c r="E1350" s="2" t="e">
        <f t="shared" si="0"/>
        <v>#VALUE!</v>
      </c>
    </row>
    <row r="1351" spans="1:5" ht="12.75" customHeight="1" x14ac:dyDescent="0.2">
      <c r="A1351" s="1" t="str">
        <f>HYPERLINK("javascript:void(0)","ezüsthörcsög")</f>
        <v>ezüsthörcsög</v>
      </c>
      <c r="B1351" s="1"/>
      <c r="C1351" s="1"/>
      <c r="D1351" s="2"/>
      <c r="E1351" s="2" t="e">
        <f t="shared" si="0"/>
        <v>#VALUE!</v>
      </c>
    </row>
    <row r="1352" spans="1:5" ht="12.75" customHeight="1" x14ac:dyDescent="0.2">
      <c r="A1352" s="3"/>
      <c r="B1352" s="3" t="s">
        <v>0</v>
      </c>
      <c r="C1352" s="3" t="s">
        <v>21</v>
      </c>
      <c r="D1352" s="2"/>
      <c r="E1352" s="2" t="e">
        <f t="shared" si="0"/>
        <v>#VALUE!</v>
      </c>
    </row>
    <row r="1353" spans="1:5" ht="12.75" customHeight="1" x14ac:dyDescent="0.2">
      <c r="A1353" s="3"/>
      <c r="B1353" s="3" t="s">
        <v>2</v>
      </c>
      <c r="C1353" s="3" t="s">
        <v>387</v>
      </c>
      <c r="D1353" s="2"/>
      <c r="E1353" s="2" t="e">
        <f t="shared" si="0"/>
        <v>#VALUE!</v>
      </c>
    </row>
    <row r="1354" spans="1:5" ht="12.75" customHeight="1" x14ac:dyDescent="0.2">
      <c r="A1354" s="3"/>
      <c r="B1354" s="3" t="s">
        <v>9</v>
      </c>
      <c r="C1354" s="3" t="s">
        <v>27</v>
      </c>
      <c r="D1354" s="2"/>
      <c r="E1354" s="2" t="e">
        <f t="shared" si="0"/>
        <v>#VALUE!</v>
      </c>
    </row>
    <row r="1355" spans="1:5" ht="12.75" customHeight="1" x14ac:dyDescent="0.2">
      <c r="A1355" s="3"/>
      <c r="B1355" s="3" t="s">
        <v>11</v>
      </c>
      <c r="C1355" s="3" t="s">
        <v>23</v>
      </c>
      <c r="D1355" s="2"/>
      <c r="E1355" s="2" t="e">
        <f t="shared" si="0"/>
        <v>#VALUE!</v>
      </c>
    </row>
    <row r="1356" spans="1:5" ht="12.75" customHeight="1" x14ac:dyDescent="0.2">
      <c r="A1356" s="3"/>
      <c r="B1356" s="3" t="s">
        <v>16</v>
      </c>
      <c r="C1356" s="3" t="s">
        <v>388</v>
      </c>
      <c r="D1356" s="2"/>
      <c r="E1356" s="2" t="e">
        <f t="shared" si="0"/>
        <v>#VALUE!</v>
      </c>
    </row>
    <row r="1357" spans="1:5" ht="12.75" customHeight="1" x14ac:dyDescent="0.2">
      <c r="A1357" s="3"/>
      <c r="B1357" s="3" t="s">
        <v>18</v>
      </c>
      <c r="C1357" s="4" t="s">
        <v>19</v>
      </c>
      <c r="D1357" s="2"/>
      <c r="E1357" s="2" t="e">
        <f t="shared" si="0"/>
        <v>#VALUE!</v>
      </c>
    </row>
    <row r="1358" spans="1:5" ht="12.75" customHeight="1" x14ac:dyDescent="0.2">
      <c r="A1358" s="1" t="str">
        <f>HYPERLINK("javascript:void(0)","ezüstpajszer")</f>
        <v>ezüstpajszer</v>
      </c>
      <c r="B1358" s="1"/>
      <c r="C1358" s="1"/>
      <c r="D1358" s="2"/>
      <c r="E1358" s="2" t="e">
        <f t="shared" si="0"/>
        <v>#VALUE!</v>
      </c>
    </row>
    <row r="1359" spans="1:5" ht="12.75" customHeight="1" x14ac:dyDescent="0.2">
      <c r="A1359" s="3"/>
      <c r="B1359" s="3" t="s">
        <v>0</v>
      </c>
      <c r="C1359" s="3" t="s">
        <v>21</v>
      </c>
      <c r="D1359" s="2"/>
      <c r="E1359" s="2" t="e">
        <f t="shared" si="0"/>
        <v>#VALUE!</v>
      </c>
    </row>
    <row r="1360" spans="1:5" ht="12.75" customHeight="1" x14ac:dyDescent="0.2">
      <c r="A1360" s="3"/>
      <c r="B1360" s="3" t="s">
        <v>2</v>
      </c>
      <c r="C1360" s="3" t="s">
        <v>458</v>
      </c>
      <c r="D1360" s="2"/>
      <c r="E1360" s="2" t="e">
        <f t="shared" si="0"/>
        <v>#VALUE!</v>
      </c>
    </row>
    <row r="1361" spans="1:5" ht="12.75" customHeight="1" x14ac:dyDescent="0.2">
      <c r="A1361" s="3"/>
      <c r="B1361" s="3" t="s">
        <v>9</v>
      </c>
      <c r="C1361" s="3" t="s">
        <v>36</v>
      </c>
      <c r="D1361" s="2"/>
      <c r="E1361" s="2" t="e">
        <f t="shared" si="0"/>
        <v>#VALUE!</v>
      </c>
    </row>
    <row r="1362" spans="1:5" ht="12.75" customHeight="1" x14ac:dyDescent="0.2">
      <c r="A1362" s="3"/>
      <c r="B1362" s="3" t="s">
        <v>11</v>
      </c>
      <c r="C1362" s="3" t="s">
        <v>23</v>
      </c>
      <c r="D1362" s="2"/>
      <c r="E1362" s="2" t="e">
        <f t="shared" si="0"/>
        <v>#VALUE!</v>
      </c>
    </row>
    <row r="1363" spans="1:5" ht="12.75" customHeight="1" x14ac:dyDescent="0.2">
      <c r="A1363" s="3"/>
      <c r="B1363" s="3" t="s">
        <v>18</v>
      </c>
      <c r="C1363" s="4" t="s">
        <v>19</v>
      </c>
      <c r="D1363" s="2"/>
      <c r="E1363" s="2" t="e">
        <f t="shared" si="0"/>
        <v>#VALUE!</v>
      </c>
    </row>
    <row r="1364" spans="1:5" ht="12.75" customHeight="1" x14ac:dyDescent="0.2">
      <c r="A1364" s="1" t="str">
        <f>HYPERLINK("javascript:void(0)","ezüstpikkely")</f>
        <v>ezüstpikkely</v>
      </c>
      <c r="B1364" s="1"/>
      <c r="C1364" s="1"/>
      <c r="D1364" s="2"/>
      <c r="E1364" s="2" t="e">
        <f t="shared" si="0"/>
        <v>#VALUE!</v>
      </c>
    </row>
    <row r="1365" spans="1:5" ht="12.75" customHeight="1" x14ac:dyDescent="0.2">
      <c r="A1365" s="3"/>
      <c r="B1365" s="3" t="s">
        <v>0</v>
      </c>
      <c r="C1365" s="3" t="s">
        <v>21</v>
      </c>
      <c r="D1365" s="2"/>
      <c r="E1365" s="2" t="e">
        <f t="shared" si="0"/>
        <v>#VALUE!</v>
      </c>
    </row>
    <row r="1366" spans="1:5" ht="12.75" customHeight="1" x14ac:dyDescent="0.2">
      <c r="A1366" s="3"/>
      <c r="B1366" s="3" t="s">
        <v>2</v>
      </c>
      <c r="C1366" s="3" t="s">
        <v>458</v>
      </c>
      <c r="D1366" s="2"/>
      <c r="E1366" s="2" t="e">
        <f t="shared" si="0"/>
        <v>#VALUE!</v>
      </c>
    </row>
    <row r="1367" spans="1:5" ht="12.75" customHeight="1" x14ac:dyDescent="0.2">
      <c r="A1367" s="3"/>
      <c r="B1367" s="3" t="s">
        <v>9</v>
      </c>
      <c r="C1367" s="3" t="s">
        <v>22</v>
      </c>
      <c r="D1367" s="2"/>
      <c r="E1367" s="2" t="e">
        <f t="shared" si="0"/>
        <v>#VALUE!</v>
      </c>
    </row>
    <row r="1368" spans="1:5" ht="12.75" customHeight="1" x14ac:dyDescent="0.2">
      <c r="A1368" s="3"/>
      <c r="B1368" s="3" t="s">
        <v>11</v>
      </c>
      <c r="C1368" s="3" t="s">
        <v>23</v>
      </c>
      <c r="D1368" s="2"/>
      <c r="E1368" s="2" t="e">
        <f t="shared" si="0"/>
        <v>#VALUE!</v>
      </c>
    </row>
    <row r="1369" spans="1:5" ht="12.75" customHeight="1" x14ac:dyDescent="0.2">
      <c r="A1369" s="3"/>
      <c r="B1369" s="3" t="s">
        <v>16</v>
      </c>
      <c r="C1369" s="3" t="s">
        <v>574</v>
      </c>
      <c r="D1369" s="2"/>
      <c r="E1369" s="2" t="e">
        <f t="shared" si="0"/>
        <v>#VALUE!</v>
      </c>
    </row>
    <row r="1370" spans="1:5" ht="12.75" customHeight="1" x14ac:dyDescent="0.2">
      <c r="A1370" s="3"/>
      <c r="B1370" s="3" t="s">
        <v>18</v>
      </c>
      <c r="C1370" s="4" t="s">
        <v>19</v>
      </c>
      <c r="D1370" s="2"/>
      <c r="E1370" s="2" t="e">
        <f t="shared" si="0"/>
        <v>#VALUE!</v>
      </c>
    </row>
    <row r="1371" spans="1:5" ht="12.75" customHeight="1" x14ac:dyDescent="0.2">
      <c r="A1371" s="1" t="str">
        <f>HYPERLINK("javascript:void(0)","ezüsttál")</f>
        <v>ezüsttál</v>
      </c>
      <c r="B1371" s="1"/>
      <c r="C1371" s="1"/>
      <c r="D1371" s="2"/>
      <c r="E1371" s="2" t="e">
        <f t="shared" si="0"/>
        <v>#VALUE!</v>
      </c>
    </row>
    <row r="1372" spans="1:5" ht="12.75" customHeight="1" x14ac:dyDescent="0.2">
      <c r="A1372" s="3"/>
      <c r="B1372" s="3" t="s">
        <v>0</v>
      </c>
      <c r="C1372" s="3" t="s">
        <v>21</v>
      </c>
      <c r="D1372" s="2"/>
      <c r="E1372" s="2" t="e">
        <f t="shared" si="0"/>
        <v>#VALUE!</v>
      </c>
    </row>
    <row r="1373" spans="1:5" ht="12.75" customHeight="1" x14ac:dyDescent="0.2">
      <c r="A1373" s="3"/>
      <c r="B1373" s="3" t="s">
        <v>2</v>
      </c>
      <c r="C1373" s="3" t="s">
        <v>387</v>
      </c>
      <c r="D1373" s="2"/>
      <c r="E1373" s="2" t="e">
        <f t="shared" si="0"/>
        <v>#VALUE!</v>
      </c>
    </row>
    <row r="1374" spans="1:5" ht="12.75" customHeight="1" x14ac:dyDescent="0.2">
      <c r="A1374" s="3"/>
      <c r="B1374" s="3" t="s">
        <v>9</v>
      </c>
      <c r="C1374" s="3" t="s">
        <v>137</v>
      </c>
      <c r="D1374" s="2"/>
      <c r="E1374" s="2" t="e">
        <f t="shared" si="0"/>
        <v>#VALUE!</v>
      </c>
    </row>
    <row r="1375" spans="1:5" ht="12.75" customHeight="1" x14ac:dyDescent="0.2">
      <c r="A1375" s="3"/>
      <c r="B1375" s="3" t="s">
        <v>11</v>
      </c>
      <c r="C1375" s="3" t="s">
        <v>23</v>
      </c>
      <c r="D1375" s="2"/>
      <c r="E1375" s="2" t="e">
        <f t="shared" si="0"/>
        <v>#VALUE!</v>
      </c>
    </row>
    <row r="1376" spans="1:5" ht="12.75" customHeight="1" x14ac:dyDescent="0.2">
      <c r="A1376" s="3"/>
      <c r="B1376" s="3" t="s">
        <v>16</v>
      </c>
      <c r="C1376" s="3" t="s">
        <v>388</v>
      </c>
      <c r="D1376" s="2"/>
      <c r="E1376" s="2" t="e">
        <f t="shared" si="0"/>
        <v>#VALUE!</v>
      </c>
    </row>
    <row r="1377" spans="1:5" ht="12.75" customHeight="1" x14ac:dyDescent="0.2">
      <c r="A1377" s="3"/>
      <c r="B1377" s="3" t="s">
        <v>18</v>
      </c>
      <c r="C1377" s="4" t="s">
        <v>19</v>
      </c>
      <c r="D1377" s="2"/>
      <c r="E1377" s="2" t="e">
        <f t="shared" si="0"/>
        <v>#VALUE!</v>
      </c>
    </row>
    <row r="1378" spans="1:5" ht="12.75" customHeight="1" x14ac:dyDescent="0.2">
      <c r="A1378" s="1" t="str">
        <f>HYPERLINK("javascript:void(0)","ezüstöv")</f>
        <v>ezüstöv</v>
      </c>
      <c r="B1378" s="1"/>
      <c r="C1378" s="1"/>
      <c r="D1378" s="2"/>
      <c r="E1378" s="2" t="e">
        <f t="shared" si="0"/>
        <v>#VALUE!</v>
      </c>
    </row>
    <row r="1379" spans="1:5" ht="12.75" customHeight="1" x14ac:dyDescent="0.2">
      <c r="A1379" s="3"/>
      <c r="B1379" s="3" t="s">
        <v>0</v>
      </c>
      <c r="C1379" s="3" t="s">
        <v>21</v>
      </c>
      <c r="D1379" s="2"/>
      <c r="E1379" s="2" t="e">
        <f t="shared" si="0"/>
        <v>#VALUE!</v>
      </c>
    </row>
    <row r="1380" spans="1:5" ht="12.75" customHeight="1" x14ac:dyDescent="0.2">
      <c r="A1380" s="3"/>
      <c r="B1380" s="3" t="s">
        <v>2</v>
      </c>
      <c r="C1380" s="3" t="s">
        <v>387</v>
      </c>
      <c r="D1380" s="2"/>
      <c r="E1380" s="2" t="e">
        <f t="shared" si="0"/>
        <v>#VALUE!</v>
      </c>
    </row>
    <row r="1381" spans="1:5" ht="12.75" customHeight="1" x14ac:dyDescent="0.2">
      <c r="A1381" s="3"/>
      <c r="B1381" s="3" t="s">
        <v>9</v>
      </c>
      <c r="C1381" s="3" t="s">
        <v>79</v>
      </c>
      <c r="D1381" s="2"/>
      <c r="E1381" s="2" t="e">
        <f t="shared" si="0"/>
        <v>#VALUE!</v>
      </c>
    </row>
    <row r="1382" spans="1:5" ht="12.75" customHeight="1" x14ac:dyDescent="0.2">
      <c r="A1382" s="3"/>
      <c r="B1382" s="3" t="s">
        <v>11</v>
      </c>
      <c r="C1382" s="3" t="s">
        <v>23</v>
      </c>
      <c r="D1382" s="2"/>
      <c r="E1382" s="2" t="e">
        <f t="shared" si="0"/>
        <v>#VALUE!</v>
      </c>
    </row>
    <row r="1383" spans="1:5" ht="12.75" customHeight="1" x14ac:dyDescent="0.2">
      <c r="A1383" s="3"/>
      <c r="B1383" s="3" t="s">
        <v>16</v>
      </c>
      <c r="C1383" s="3" t="s">
        <v>388</v>
      </c>
      <c r="D1383" s="2"/>
      <c r="E1383" s="2" t="e">
        <f t="shared" si="0"/>
        <v>#VALUE!</v>
      </c>
    </row>
    <row r="1384" spans="1:5" ht="12.75" customHeight="1" x14ac:dyDescent="0.2">
      <c r="A1384" s="3"/>
      <c r="B1384" s="3" t="s">
        <v>18</v>
      </c>
      <c r="C1384" s="4" t="s">
        <v>19</v>
      </c>
      <c r="D1384" s="2"/>
      <c r="E1384" s="2" t="e">
        <f t="shared" si="0"/>
        <v>#VALUE!</v>
      </c>
    </row>
    <row r="1385" spans="1:5" ht="12.75" customHeight="1" x14ac:dyDescent="0.2">
      <c r="A1385" s="1" t="str">
        <f>HYPERLINK("javascript:void(0)","farokbojt")</f>
        <v>farokbojt</v>
      </c>
      <c r="B1385" s="1"/>
      <c r="C1385" s="1"/>
      <c r="D1385" s="2"/>
      <c r="E1385" s="2" t="e">
        <f t="shared" si="0"/>
        <v>#VALUE!</v>
      </c>
    </row>
    <row r="1386" spans="1:5" ht="12.75" customHeight="1" x14ac:dyDescent="0.2">
      <c r="A1386" s="3"/>
      <c r="B1386" s="3" t="s">
        <v>0</v>
      </c>
      <c r="C1386" s="3" t="s">
        <v>21</v>
      </c>
      <c r="D1386" s="2"/>
      <c r="E1386" s="2" t="e">
        <f t="shared" si="0"/>
        <v>#VALUE!</v>
      </c>
    </row>
    <row r="1387" spans="1:5" ht="12.75" customHeight="1" x14ac:dyDescent="0.2">
      <c r="A1387" s="3"/>
      <c r="B1387" s="3" t="s">
        <v>2</v>
      </c>
      <c r="C1387" s="3" t="s">
        <v>387</v>
      </c>
      <c r="D1387" s="2"/>
      <c r="E1387" s="2" t="e">
        <f t="shared" si="0"/>
        <v>#VALUE!</v>
      </c>
    </row>
    <row r="1388" spans="1:5" ht="12.75" customHeight="1" x14ac:dyDescent="0.2">
      <c r="A1388" s="3"/>
      <c r="B1388" s="3" t="s">
        <v>9</v>
      </c>
      <c r="C1388" s="3" t="s">
        <v>53</v>
      </c>
      <c r="D1388" s="2"/>
      <c r="E1388" s="2" t="e">
        <f t="shared" si="0"/>
        <v>#VALUE!</v>
      </c>
    </row>
    <row r="1389" spans="1:5" ht="12.75" customHeight="1" x14ac:dyDescent="0.2">
      <c r="A1389" s="3"/>
      <c r="B1389" s="3" t="s">
        <v>11</v>
      </c>
      <c r="C1389" s="3" t="s">
        <v>23</v>
      </c>
      <c r="D1389" s="2"/>
      <c r="E1389" s="2" t="e">
        <f t="shared" si="0"/>
        <v>#VALUE!</v>
      </c>
    </row>
    <row r="1390" spans="1:5" ht="12.75" customHeight="1" x14ac:dyDescent="0.2">
      <c r="A1390" s="3"/>
      <c r="B1390" s="3" t="s">
        <v>16</v>
      </c>
      <c r="C1390" s="3" t="s">
        <v>388</v>
      </c>
      <c r="D1390" s="2"/>
      <c r="E1390" s="2" t="e">
        <f t="shared" si="0"/>
        <v>#VALUE!</v>
      </c>
    </row>
    <row r="1391" spans="1:5" ht="12.75" customHeight="1" x14ac:dyDescent="0.2">
      <c r="A1391" s="3"/>
      <c r="B1391" s="3" t="s">
        <v>18</v>
      </c>
      <c r="C1391" s="4" t="s">
        <v>19</v>
      </c>
      <c r="D1391" s="2"/>
      <c r="E1391" s="2" t="e">
        <f t="shared" si="0"/>
        <v>#VALUE!</v>
      </c>
    </row>
    <row r="1392" spans="1:5" ht="12.75" customHeight="1" x14ac:dyDescent="0.2">
      <c r="A1392" s="1" t="str">
        <f>HYPERLINK("javascript:void(0)","fartroll")</f>
        <v>fartroll</v>
      </c>
      <c r="B1392" s="1"/>
      <c r="C1392" s="1"/>
      <c r="D1392" s="2"/>
      <c r="E1392" s="2" t="e">
        <f t="shared" si="0"/>
        <v>#VALUE!</v>
      </c>
    </row>
    <row r="1393" spans="1:5" ht="12.75" customHeight="1" x14ac:dyDescent="0.2">
      <c r="A1393" s="3"/>
      <c r="B1393" s="3" t="s">
        <v>0</v>
      </c>
      <c r="C1393" s="3" t="s">
        <v>21</v>
      </c>
      <c r="D1393" s="2"/>
      <c r="E1393" s="2" t="e">
        <f t="shared" si="0"/>
        <v>#VALUE!</v>
      </c>
    </row>
    <row r="1394" spans="1:5" ht="12.75" customHeight="1" x14ac:dyDescent="0.2">
      <c r="A1394" s="3"/>
      <c r="B1394" s="3" t="s">
        <v>2</v>
      </c>
      <c r="C1394" s="3" t="s">
        <v>458</v>
      </c>
      <c r="D1394" s="2"/>
      <c r="E1394" s="2" t="e">
        <f t="shared" si="0"/>
        <v>#VALUE!</v>
      </c>
    </row>
    <row r="1395" spans="1:5" ht="12.75" customHeight="1" x14ac:dyDescent="0.2">
      <c r="A1395" s="3"/>
      <c r="B1395" s="3" t="s">
        <v>9</v>
      </c>
      <c r="C1395" s="3" t="s">
        <v>22</v>
      </c>
      <c r="D1395" s="2"/>
      <c r="E1395" s="2" t="e">
        <f t="shared" si="0"/>
        <v>#VALUE!</v>
      </c>
    </row>
    <row r="1396" spans="1:5" ht="12.75" customHeight="1" x14ac:dyDescent="0.2">
      <c r="A1396" s="3"/>
      <c r="B1396" s="3" t="s">
        <v>11</v>
      </c>
      <c r="C1396" s="3" t="s">
        <v>605</v>
      </c>
      <c r="D1396" s="2"/>
      <c r="E1396" s="2" t="e">
        <f t="shared" si="0"/>
        <v>#VALUE!</v>
      </c>
    </row>
    <row r="1397" spans="1:5" ht="12.75" customHeight="1" x14ac:dyDescent="0.2">
      <c r="A1397" s="3"/>
      <c r="B1397" s="3" t="s">
        <v>18</v>
      </c>
      <c r="C1397" s="4" t="s">
        <v>19</v>
      </c>
      <c r="D1397" s="2"/>
      <c r="E1397" s="2" t="e">
        <f t="shared" si="0"/>
        <v>#VALUE!</v>
      </c>
    </row>
    <row r="1398" spans="1:5" ht="12.75" customHeight="1" x14ac:dyDescent="0.2">
      <c r="A1398" s="1" t="str">
        <f>HYPERLINK("javascript:void(0)","fatális hiba")</f>
        <v>fatális hiba</v>
      </c>
      <c r="B1398" s="1"/>
      <c r="C1398" s="1"/>
      <c r="D1398" s="2"/>
      <c r="E1398" s="2" t="e">
        <f t="shared" si="0"/>
        <v>#VALUE!</v>
      </c>
    </row>
    <row r="1399" spans="1:5" ht="12.75" customHeight="1" x14ac:dyDescent="0.2">
      <c r="A1399" s="3"/>
      <c r="B1399" s="3" t="s">
        <v>0</v>
      </c>
      <c r="C1399" s="3" t="s">
        <v>21</v>
      </c>
      <c r="D1399" s="2"/>
      <c r="E1399" s="2" t="e">
        <f t="shared" si="0"/>
        <v>#VALUE!</v>
      </c>
    </row>
    <row r="1400" spans="1:5" ht="12.75" customHeight="1" x14ac:dyDescent="0.2">
      <c r="A1400" s="3"/>
      <c r="B1400" s="3" t="s">
        <v>2</v>
      </c>
      <c r="C1400" s="3" t="s">
        <v>458</v>
      </c>
      <c r="D1400" s="2"/>
      <c r="E1400" s="2" t="e">
        <f t="shared" si="0"/>
        <v>#VALUE!</v>
      </c>
    </row>
    <row r="1401" spans="1:5" ht="12.75" customHeight="1" x14ac:dyDescent="0.2">
      <c r="A1401" s="3"/>
      <c r="B1401" s="3" t="s">
        <v>9</v>
      </c>
      <c r="C1401" s="3" t="s">
        <v>913</v>
      </c>
      <c r="D1401" s="2"/>
      <c r="E1401" s="2" t="e">
        <f t="shared" si="0"/>
        <v>#VALUE!</v>
      </c>
    </row>
    <row r="1402" spans="1:5" ht="12.75" customHeight="1" x14ac:dyDescent="0.2">
      <c r="A1402" s="3"/>
      <c r="B1402" s="3" t="s">
        <v>11</v>
      </c>
      <c r="C1402" s="3" t="s">
        <v>914</v>
      </c>
      <c r="D1402" s="2"/>
      <c r="E1402" s="2" t="e">
        <f t="shared" si="0"/>
        <v>#VALUE!</v>
      </c>
    </row>
    <row r="1403" spans="1:5" ht="12.75" customHeight="1" x14ac:dyDescent="0.2">
      <c r="A1403" s="3"/>
      <c r="B1403" s="3" t="s">
        <v>18</v>
      </c>
      <c r="C1403" s="4" t="s">
        <v>19</v>
      </c>
      <c r="D1403" s="2"/>
      <c r="E1403" s="2" t="e">
        <f t="shared" si="0"/>
        <v>#VALUE!</v>
      </c>
    </row>
    <row r="1404" spans="1:5" ht="12.75" customHeight="1" x14ac:dyDescent="0.2">
      <c r="A1404" s="1" t="str">
        <f>HYPERLINK("javascript:void(0)","faunszarv")</f>
        <v>faunszarv</v>
      </c>
      <c r="B1404" s="1"/>
      <c r="C1404" s="1"/>
      <c r="D1404" s="2"/>
      <c r="E1404" s="2" t="e">
        <f t="shared" si="0"/>
        <v>#VALUE!</v>
      </c>
    </row>
    <row r="1405" spans="1:5" ht="12.75" customHeight="1" x14ac:dyDescent="0.2">
      <c r="A1405" s="3"/>
      <c r="B1405" s="3" t="s">
        <v>0</v>
      </c>
      <c r="C1405" s="3" t="s">
        <v>21</v>
      </c>
      <c r="D1405" s="2"/>
      <c r="E1405" s="2" t="e">
        <f t="shared" si="0"/>
        <v>#VALUE!</v>
      </c>
    </row>
    <row r="1406" spans="1:5" ht="12.75" customHeight="1" x14ac:dyDescent="0.2">
      <c r="A1406" s="3"/>
      <c r="B1406" s="3" t="s">
        <v>2</v>
      </c>
      <c r="C1406" s="3" t="s">
        <v>458</v>
      </c>
      <c r="D1406" s="2"/>
      <c r="E1406" s="2" t="e">
        <f t="shared" si="0"/>
        <v>#VALUE!</v>
      </c>
    </row>
    <row r="1407" spans="1:5" ht="12.75" customHeight="1" x14ac:dyDescent="0.2">
      <c r="A1407" s="3"/>
      <c r="B1407" s="3" t="s">
        <v>9</v>
      </c>
      <c r="C1407" s="3" t="s">
        <v>93</v>
      </c>
      <c r="D1407" s="2"/>
      <c r="E1407" s="2" t="e">
        <f t="shared" si="0"/>
        <v>#VALUE!</v>
      </c>
    </row>
    <row r="1408" spans="1:5" ht="12.75" customHeight="1" x14ac:dyDescent="0.2">
      <c r="A1408" s="3"/>
      <c r="B1408" s="3" t="s">
        <v>11</v>
      </c>
      <c r="C1408" s="3" t="s">
        <v>918</v>
      </c>
      <c r="D1408" s="2"/>
      <c r="E1408" s="2" t="e">
        <f t="shared" si="0"/>
        <v>#VALUE!</v>
      </c>
    </row>
    <row r="1409" spans="1:5" ht="12.75" customHeight="1" x14ac:dyDescent="0.2">
      <c r="A1409" s="3"/>
      <c r="B1409" s="3" t="s">
        <v>18</v>
      </c>
      <c r="C1409" s="4" t="s">
        <v>19</v>
      </c>
      <c r="D1409" s="2"/>
      <c r="E1409" s="2" t="e">
        <f t="shared" si="0"/>
        <v>#VALUE!</v>
      </c>
    </row>
    <row r="1410" spans="1:5" ht="12.75" customHeight="1" x14ac:dyDescent="0.2">
      <c r="A1410" s="1" t="str">
        <f>HYPERLINK("javascript:void(0)","fejlik")</f>
        <v>fejlik</v>
      </c>
      <c r="B1410" s="1"/>
      <c r="C1410" s="1"/>
      <c r="D1410" s="2"/>
      <c r="E1410" s="2" t="e">
        <f t="shared" si="0"/>
        <v>#VALUE!</v>
      </c>
    </row>
    <row r="1411" spans="1:5" ht="12.75" customHeight="1" x14ac:dyDescent="0.2">
      <c r="A1411" s="3"/>
      <c r="B1411" s="3" t="s">
        <v>0</v>
      </c>
      <c r="C1411" s="3" t="s">
        <v>21</v>
      </c>
      <c r="D1411" s="2"/>
      <c r="E1411" s="2" t="e">
        <f t="shared" si="0"/>
        <v>#VALUE!</v>
      </c>
    </row>
    <row r="1412" spans="1:5" ht="12.75" customHeight="1" x14ac:dyDescent="0.2">
      <c r="A1412" s="3"/>
      <c r="B1412" s="3" t="s">
        <v>2</v>
      </c>
      <c r="C1412" s="3" t="s">
        <v>458</v>
      </c>
      <c r="D1412" s="2"/>
      <c r="E1412" s="2" t="e">
        <f t="shared" si="0"/>
        <v>#VALUE!</v>
      </c>
    </row>
    <row r="1413" spans="1:5" ht="12.75" customHeight="1" x14ac:dyDescent="0.2">
      <c r="A1413" s="3"/>
      <c r="B1413" s="3" t="s">
        <v>9</v>
      </c>
      <c r="C1413" s="3" t="s">
        <v>27</v>
      </c>
      <c r="D1413" s="2"/>
      <c r="E1413" s="2" t="e">
        <f t="shared" si="0"/>
        <v>#VALUE!</v>
      </c>
    </row>
    <row r="1414" spans="1:5" ht="12.75" customHeight="1" x14ac:dyDescent="0.2">
      <c r="A1414" s="3"/>
      <c r="B1414" s="3" t="s">
        <v>11</v>
      </c>
      <c r="C1414" s="3" t="s">
        <v>920</v>
      </c>
      <c r="D1414" s="2"/>
      <c r="E1414" s="2" t="e">
        <f t="shared" si="0"/>
        <v>#VALUE!</v>
      </c>
    </row>
    <row r="1415" spans="1:5" ht="12.75" customHeight="1" x14ac:dyDescent="0.2">
      <c r="A1415" s="3"/>
      <c r="B1415" s="3" t="s">
        <v>18</v>
      </c>
      <c r="C1415" s="4" t="s">
        <v>19</v>
      </c>
      <c r="D1415" s="2"/>
      <c r="E1415" s="2" t="e">
        <f t="shared" si="0"/>
        <v>#VALUE!</v>
      </c>
    </row>
    <row r="1416" spans="1:5" ht="12.75" customHeight="1" x14ac:dyDescent="0.2">
      <c r="A1416" s="1" t="str">
        <f>HYPERLINK("javascript:void(0)","fejlámpa")</f>
        <v>fejlámpa</v>
      </c>
      <c r="B1416" s="1"/>
      <c r="C1416" s="1"/>
      <c r="D1416" s="2"/>
      <c r="E1416" s="2" t="e">
        <f t="shared" si="0"/>
        <v>#VALUE!</v>
      </c>
    </row>
    <row r="1417" spans="1:5" ht="12.75" customHeight="1" x14ac:dyDescent="0.2">
      <c r="A1417" s="3"/>
      <c r="B1417" s="3" t="s">
        <v>0</v>
      </c>
      <c r="C1417" s="3" t="s">
        <v>21</v>
      </c>
      <c r="D1417" s="2"/>
      <c r="E1417" s="2" t="e">
        <f t="shared" si="0"/>
        <v>#VALUE!</v>
      </c>
    </row>
    <row r="1418" spans="1:5" ht="12.75" customHeight="1" x14ac:dyDescent="0.2">
      <c r="A1418" s="3"/>
      <c r="B1418" s="3" t="s">
        <v>2</v>
      </c>
      <c r="C1418" s="3" t="s">
        <v>458</v>
      </c>
      <c r="D1418" s="2"/>
      <c r="E1418" s="2" t="e">
        <f t="shared" si="0"/>
        <v>#VALUE!</v>
      </c>
    </row>
    <row r="1419" spans="1:5" ht="12.75" customHeight="1" x14ac:dyDescent="0.2">
      <c r="A1419" s="3"/>
      <c r="B1419" s="3" t="s">
        <v>9</v>
      </c>
      <c r="C1419" s="3" t="s">
        <v>22</v>
      </c>
      <c r="D1419" s="2"/>
      <c r="E1419" s="2" t="e">
        <f t="shared" si="0"/>
        <v>#VALUE!</v>
      </c>
    </row>
    <row r="1420" spans="1:5" ht="12.75" customHeight="1" x14ac:dyDescent="0.2">
      <c r="A1420" s="3"/>
      <c r="B1420" s="3" t="s">
        <v>11</v>
      </c>
      <c r="C1420" s="3" t="s">
        <v>162</v>
      </c>
      <c r="D1420" s="2"/>
      <c r="E1420" s="2" t="e">
        <f t="shared" si="0"/>
        <v>#VALUE!</v>
      </c>
    </row>
    <row r="1421" spans="1:5" ht="12.75" customHeight="1" x14ac:dyDescent="0.2">
      <c r="A1421" s="3"/>
      <c r="B1421" s="3" t="s">
        <v>18</v>
      </c>
      <c r="C1421" s="4" t="s">
        <v>19</v>
      </c>
      <c r="D1421" s="2"/>
      <c r="E1421" s="2" t="e">
        <f t="shared" si="0"/>
        <v>#VALUE!</v>
      </c>
    </row>
    <row r="1422" spans="1:5" ht="12.75" customHeight="1" x14ac:dyDescent="0.2">
      <c r="A1422" s="1" t="str">
        <f>HYPERLINK("javascript:void(0)","feketetem")</f>
        <v>feketetem</v>
      </c>
      <c r="B1422" s="1"/>
      <c r="C1422" s="1"/>
      <c r="D1422" s="2"/>
      <c r="E1422" s="2" t="e">
        <f t="shared" si="0"/>
        <v>#VALUE!</v>
      </c>
    </row>
    <row r="1423" spans="1:5" ht="12.75" customHeight="1" x14ac:dyDescent="0.2">
      <c r="A1423" s="3"/>
      <c r="B1423" s="3" t="s">
        <v>0</v>
      </c>
      <c r="C1423" s="3" t="s">
        <v>21</v>
      </c>
      <c r="D1423" s="2"/>
      <c r="E1423" s="2" t="e">
        <f t="shared" si="0"/>
        <v>#VALUE!</v>
      </c>
    </row>
    <row r="1424" spans="1:5" ht="12.75" customHeight="1" x14ac:dyDescent="0.2">
      <c r="A1424" s="3"/>
      <c r="B1424" s="3" t="s">
        <v>2</v>
      </c>
      <c r="C1424" s="3" t="s">
        <v>458</v>
      </c>
      <c r="D1424" s="2"/>
      <c r="E1424" s="2" t="e">
        <f t="shared" si="0"/>
        <v>#VALUE!</v>
      </c>
    </row>
    <row r="1425" spans="1:5" ht="12.75" customHeight="1" x14ac:dyDescent="0.2">
      <c r="A1425" s="3"/>
      <c r="B1425" s="3" t="s">
        <v>9</v>
      </c>
      <c r="C1425" s="3" t="s">
        <v>22</v>
      </c>
      <c r="D1425" s="2"/>
      <c r="E1425" s="2" t="e">
        <f t="shared" si="0"/>
        <v>#VALUE!</v>
      </c>
    </row>
    <row r="1426" spans="1:5" ht="12.75" customHeight="1" x14ac:dyDescent="0.2">
      <c r="A1426" s="3"/>
      <c r="B1426" s="3" t="s">
        <v>11</v>
      </c>
      <c r="C1426" s="3" t="s">
        <v>162</v>
      </c>
      <c r="D1426" s="2"/>
      <c r="E1426" s="2" t="e">
        <f t="shared" si="0"/>
        <v>#VALUE!</v>
      </c>
    </row>
    <row r="1427" spans="1:5" ht="12.75" customHeight="1" x14ac:dyDescent="0.2">
      <c r="A1427" s="3"/>
      <c r="B1427" s="3" t="s">
        <v>18</v>
      </c>
      <c r="C1427" s="4" t="s">
        <v>19</v>
      </c>
      <c r="D1427" s="2"/>
      <c r="E1427" s="2" t="e">
        <f t="shared" si="0"/>
        <v>#VALUE!</v>
      </c>
    </row>
    <row r="1428" spans="1:5" ht="12.75" customHeight="1" x14ac:dyDescent="0.2">
      <c r="A1428" s="1" t="str">
        <f>HYPERLINK("javascript:void(0)","felhő-szkóp")</f>
        <v>felhő-szkóp</v>
      </c>
      <c r="B1428" s="1"/>
      <c r="C1428" s="1"/>
      <c r="D1428" s="2"/>
      <c r="E1428" s="2" t="e">
        <f t="shared" si="0"/>
        <v>#VALUE!</v>
      </c>
    </row>
    <row r="1429" spans="1:5" ht="12.75" customHeight="1" x14ac:dyDescent="0.2">
      <c r="A1429" s="3"/>
      <c r="B1429" s="3" t="s">
        <v>0</v>
      </c>
      <c r="C1429" s="3" t="s">
        <v>21</v>
      </c>
      <c r="D1429" s="2"/>
      <c r="E1429" s="2" t="e">
        <f t="shared" si="0"/>
        <v>#VALUE!</v>
      </c>
    </row>
    <row r="1430" spans="1:5" ht="12.75" customHeight="1" x14ac:dyDescent="0.2">
      <c r="A1430" s="3"/>
      <c r="B1430" s="3" t="s">
        <v>2</v>
      </c>
      <c r="C1430" s="3" t="s">
        <v>458</v>
      </c>
      <c r="D1430" s="2"/>
      <c r="E1430" s="2" t="e">
        <f t="shared" si="0"/>
        <v>#VALUE!</v>
      </c>
    </row>
    <row r="1431" spans="1:5" ht="12.75" customHeight="1" x14ac:dyDescent="0.2">
      <c r="A1431" s="3"/>
      <c r="B1431" s="3" t="s">
        <v>9</v>
      </c>
      <c r="C1431" s="3" t="s">
        <v>124</v>
      </c>
      <c r="D1431" s="2"/>
      <c r="E1431" s="2" t="e">
        <f t="shared" si="0"/>
        <v>#VALUE!</v>
      </c>
    </row>
    <row r="1432" spans="1:5" ht="12.75" customHeight="1" x14ac:dyDescent="0.2">
      <c r="A1432" s="3"/>
      <c r="B1432" s="3" t="s">
        <v>11</v>
      </c>
      <c r="C1432" s="3" t="s">
        <v>924</v>
      </c>
      <c r="D1432" s="2"/>
      <c r="E1432" s="2" t="e">
        <f t="shared" si="0"/>
        <v>#VALUE!</v>
      </c>
    </row>
    <row r="1433" spans="1:5" ht="12.75" customHeight="1" x14ac:dyDescent="0.2">
      <c r="A1433" s="3"/>
      <c r="B1433" s="3" t="s">
        <v>18</v>
      </c>
      <c r="C1433" s="4" t="s">
        <v>19</v>
      </c>
      <c r="D1433" s="2"/>
      <c r="E1433" s="2" t="e">
        <f t="shared" si="0"/>
        <v>#VALUE!</v>
      </c>
    </row>
    <row r="1434" spans="1:5" ht="12.75" customHeight="1" x14ac:dyDescent="0.2">
      <c r="A1434" s="1" t="str">
        <f>HYPERLINK("javascript:void(0)","felhőgyapjú")</f>
        <v>felhőgyapjú</v>
      </c>
      <c r="B1434" s="1"/>
      <c r="C1434" s="1"/>
      <c r="D1434" s="2"/>
      <c r="E1434" s="2" t="e">
        <f t="shared" si="0"/>
        <v>#VALUE!</v>
      </c>
    </row>
    <row r="1435" spans="1:5" ht="12.75" customHeight="1" x14ac:dyDescent="0.2">
      <c r="A1435" s="3"/>
      <c r="B1435" s="3" t="s">
        <v>0</v>
      </c>
      <c r="C1435" s="3" t="s">
        <v>21</v>
      </c>
      <c r="D1435" s="2"/>
      <c r="E1435" s="2" t="e">
        <f t="shared" si="0"/>
        <v>#VALUE!</v>
      </c>
    </row>
    <row r="1436" spans="1:5" ht="12.75" customHeight="1" x14ac:dyDescent="0.2">
      <c r="A1436" s="3"/>
      <c r="B1436" s="3" t="s">
        <v>2</v>
      </c>
      <c r="C1436" s="3" t="s">
        <v>458</v>
      </c>
      <c r="D1436" s="2"/>
      <c r="E1436" s="2" t="e">
        <f t="shared" si="0"/>
        <v>#VALUE!</v>
      </c>
    </row>
    <row r="1437" spans="1:5" ht="12.75" customHeight="1" x14ac:dyDescent="0.2">
      <c r="A1437" s="3"/>
      <c r="B1437" s="3" t="s">
        <v>9</v>
      </c>
      <c r="C1437" s="3" t="s">
        <v>925</v>
      </c>
      <c r="D1437" s="2"/>
      <c r="E1437" s="2" t="e">
        <f t="shared" si="0"/>
        <v>#VALUE!</v>
      </c>
    </row>
    <row r="1438" spans="1:5" ht="12.75" customHeight="1" x14ac:dyDescent="0.2">
      <c r="A1438" s="3"/>
      <c r="B1438" s="3" t="s">
        <v>11</v>
      </c>
      <c r="C1438" s="3" t="s">
        <v>927</v>
      </c>
      <c r="D1438" s="2"/>
      <c r="E1438" s="2" t="e">
        <f t="shared" si="0"/>
        <v>#VALUE!</v>
      </c>
    </row>
    <row r="1439" spans="1:5" ht="12.75" customHeight="1" x14ac:dyDescent="0.2">
      <c r="A1439" s="3"/>
      <c r="B1439" s="3" t="s">
        <v>18</v>
      </c>
      <c r="C1439" s="4" t="s">
        <v>19</v>
      </c>
      <c r="D1439" s="2"/>
      <c r="E1439" s="2" t="e">
        <f t="shared" si="0"/>
        <v>#VALUE!</v>
      </c>
    </row>
    <row r="1440" spans="1:5" ht="12.75" customHeight="1" x14ac:dyDescent="0.2">
      <c r="A1440" s="1" t="str">
        <f>HYPERLINK("javascript:void(0)","felhőszelet")</f>
        <v>felhőszelet</v>
      </c>
      <c r="B1440" s="1"/>
      <c r="C1440" s="1"/>
      <c r="D1440" s="2"/>
      <c r="E1440" s="2" t="e">
        <f t="shared" si="0"/>
        <v>#VALUE!</v>
      </c>
    </row>
    <row r="1441" spans="1:5" ht="12.75" customHeight="1" x14ac:dyDescent="0.2">
      <c r="A1441" s="3"/>
      <c r="B1441" s="3" t="s">
        <v>0</v>
      </c>
      <c r="C1441" s="3" t="s">
        <v>21</v>
      </c>
      <c r="D1441" s="2"/>
      <c r="E1441" s="2" t="e">
        <f t="shared" si="0"/>
        <v>#VALUE!</v>
      </c>
    </row>
    <row r="1442" spans="1:5" ht="12.75" customHeight="1" x14ac:dyDescent="0.2">
      <c r="A1442" s="3"/>
      <c r="B1442" s="3" t="s">
        <v>2</v>
      </c>
      <c r="C1442" s="3" t="s">
        <v>458</v>
      </c>
      <c r="D1442" s="2"/>
      <c r="E1442" s="2" t="e">
        <f t="shared" si="0"/>
        <v>#VALUE!</v>
      </c>
    </row>
    <row r="1443" spans="1:5" ht="12.75" customHeight="1" x14ac:dyDescent="0.2">
      <c r="A1443" s="3"/>
      <c r="B1443" s="3" t="s">
        <v>9</v>
      </c>
      <c r="C1443" s="3" t="s">
        <v>626</v>
      </c>
      <c r="D1443" s="2"/>
      <c r="E1443" s="2" t="e">
        <f t="shared" si="0"/>
        <v>#VALUE!</v>
      </c>
    </row>
    <row r="1444" spans="1:5" ht="12.75" customHeight="1" x14ac:dyDescent="0.2">
      <c r="A1444" s="3"/>
      <c r="B1444" s="3" t="s">
        <v>11</v>
      </c>
      <c r="C1444" s="3" t="s">
        <v>395</v>
      </c>
      <c r="D1444" s="2"/>
      <c r="E1444" s="2" t="e">
        <f t="shared" si="0"/>
        <v>#VALUE!</v>
      </c>
    </row>
    <row r="1445" spans="1:5" ht="12.75" customHeight="1" x14ac:dyDescent="0.2">
      <c r="A1445" s="3"/>
      <c r="B1445" s="3" t="s">
        <v>18</v>
      </c>
      <c r="C1445" s="4" t="s">
        <v>19</v>
      </c>
      <c r="D1445" s="2"/>
      <c r="E1445" s="2" t="e">
        <f t="shared" si="0"/>
        <v>#VALUE!</v>
      </c>
    </row>
    <row r="1446" spans="1:5" ht="12.75" customHeight="1" x14ac:dyDescent="0.2">
      <c r="A1446" s="1" t="str">
        <f>HYPERLINK("javascript:void(0)","feslett háló")</f>
        <v>feslett háló</v>
      </c>
      <c r="B1446" s="1"/>
      <c r="C1446" s="1"/>
      <c r="D1446" s="2"/>
      <c r="E1446" s="2" t="e">
        <f t="shared" si="0"/>
        <v>#VALUE!</v>
      </c>
    </row>
    <row r="1447" spans="1:5" ht="12.75" customHeight="1" x14ac:dyDescent="0.2">
      <c r="A1447" s="3"/>
      <c r="B1447" s="3" t="s">
        <v>0</v>
      </c>
      <c r="C1447" s="3" t="s">
        <v>21</v>
      </c>
      <c r="D1447" s="2"/>
      <c r="E1447" s="2" t="e">
        <f t="shared" si="0"/>
        <v>#VALUE!</v>
      </c>
    </row>
    <row r="1448" spans="1:5" ht="12.75" customHeight="1" x14ac:dyDescent="0.2">
      <c r="A1448" s="3"/>
      <c r="B1448" s="3" t="s">
        <v>2</v>
      </c>
      <c r="C1448" s="3" t="s">
        <v>458</v>
      </c>
      <c r="D1448" s="2"/>
      <c r="E1448" s="2" t="e">
        <f t="shared" si="0"/>
        <v>#VALUE!</v>
      </c>
    </row>
    <row r="1449" spans="1:5" ht="12.75" customHeight="1" x14ac:dyDescent="0.2">
      <c r="A1449" s="3"/>
      <c r="B1449" s="3" t="s">
        <v>9</v>
      </c>
      <c r="C1449" s="3" t="s">
        <v>179</v>
      </c>
      <c r="D1449" s="2"/>
      <c r="E1449" s="2" t="e">
        <f t="shared" si="0"/>
        <v>#VALUE!</v>
      </c>
    </row>
    <row r="1450" spans="1:5" ht="12.75" customHeight="1" x14ac:dyDescent="0.2">
      <c r="A1450" s="3"/>
      <c r="B1450" s="3" t="s">
        <v>11</v>
      </c>
      <c r="C1450" s="3" t="s">
        <v>932</v>
      </c>
      <c r="D1450" s="2"/>
      <c r="E1450" s="2" t="e">
        <f t="shared" si="0"/>
        <v>#VALUE!</v>
      </c>
    </row>
    <row r="1451" spans="1:5" ht="12.75" customHeight="1" x14ac:dyDescent="0.2">
      <c r="A1451" s="3"/>
      <c r="B1451" s="3" t="s">
        <v>18</v>
      </c>
      <c r="C1451" s="4" t="s">
        <v>19</v>
      </c>
      <c r="D1451" s="2"/>
      <c r="E1451" s="2" t="e">
        <f t="shared" si="0"/>
        <v>#VALUE!</v>
      </c>
    </row>
    <row r="1452" spans="1:5" ht="12.75" customHeight="1" x14ac:dyDescent="0.2">
      <c r="A1452" s="1" t="str">
        <f>HYPERLINK("javascript:void(0)","festmény")</f>
        <v>festmény</v>
      </c>
      <c r="B1452" s="1"/>
      <c r="C1452" s="1"/>
      <c r="D1452" s="2"/>
      <c r="E1452" s="2" t="e">
        <f t="shared" si="0"/>
        <v>#VALUE!</v>
      </c>
    </row>
    <row r="1453" spans="1:5" ht="12.75" customHeight="1" x14ac:dyDescent="0.2">
      <c r="A1453" s="3"/>
      <c r="B1453" s="3" t="s">
        <v>0</v>
      </c>
      <c r="C1453" s="3" t="s">
        <v>21</v>
      </c>
      <c r="D1453" s="2"/>
      <c r="E1453" s="2" t="e">
        <f t="shared" si="0"/>
        <v>#VALUE!</v>
      </c>
    </row>
    <row r="1454" spans="1:5" ht="12.75" customHeight="1" x14ac:dyDescent="0.2">
      <c r="A1454" s="3"/>
      <c r="B1454" s="3" t="s">
        <v>2</v>
      </c>
      <c r="C1454" s="3" t="s">
        <v>387</v>
      </c>
      <c r="D1454" s="2"/>
      <c r="E1454" s="2" t="e">
        <f t="shared" si="0"/>
        <v>#VALUE!</v>
      </c>
    </row>
    <row r="1455" spans="1:5" ht="12.75" customHeight="1" x14ac:dyDescent="0.2">
      <c r="A1455" s="3"/>
      <c r="B1455" s="3" t="s">
        <v>9</v>
      </c>
      <c r="C1455" s="3" t="s">
        <v>934</v>
      </c>
      <c r="D1455" s="2"/>
      <c r="E1455" s="2" t="e">
        <f t="shared" si="0"/>
        <v>#VALUE!</v>
      </c>
    </row>
    <row r="1456" spans="1:5" ht="12.75" customHeight="1" x14ac:dyDescent="0.2">
      <c r="A1456" s="3"/>
      <c r="B1456" s="3" t="s">
        <v>11</v>
      </c>
      <c r="C1456" s="3" t="s">
        <v>23</v>
      </c>
      <c r="D1456" s="2"/>
      <c r="E1456" s="2" t="e">
        <f t="shared" si="0"/>
        <v>#VALUE!</v>
      </c>
    </row>
    <row r="1457" spans="1:5" ht="12.75" customHeight="1" x14ac:dyDescent="0.2">
      <c r="A1457" s="3"/>
      <c r="B1457" s="3" t="s">
        <v>16</v>
      </c>
      <c r="C1457" s="3" t="s">
        <v>388</v>
      </c>
      <c r="D1457" s="2"/>
      <c r="E1457" s="2" t="e">
        <f t="shared" si="0"/>
        <v>#VALUE!</v>
      </c>
    </row>
    <row r="1458" spans="1:5" ht="12.75" customHeight="1" x14ac:dyDescent="0.2">
      <c r="A1458" s="3"/>
      <c r="B1458" s="3" t="s">
        <v>18</v>
      </c>
      <c r="C1458" s="4" t="s">
        <v>19</v>
      </c>
      <c r="D1458" s="2"/>
      <c r="E1458" s="2" t="e">
        <f t="shared" si="0"/>
        <v>#VALUE!</v>
      </c>
    </row>
    <row r="1459" spans="1:5" ht="12.75" customHeight="1" x14ac:dyDescent="0.2">
      <c r="A1459" s="1" t="str">
        <f>HYPERLINK("javascript:void(0)","fiola")</f>
        <v>fiola</v>
      </c>
      <c r="B1459" s="1"/>
      <c r="C1459" s="1"/>
      <c r="D1459" s="2"/>
      <c r="E1459" s="2" t="e">
        <f t="shared" si="0"/>
        <v>#VALUE!</v>
      </c>
    </row>
    <row r="1460" spans="1:5" ht="12.75" customHeight="1" x14ac:dyDescent="0.2">
      <c r="A1460" s="3"/>
      <c r="B1460" s="3" t="s">
        <v>0</v>
      </c>
      <c r="C1460" s="3" t="s">
        <v>21</v>
      </c>
      <c r="D1460" s="2"/>
      <c r="E1460" s="2" t="e">
        <f t="shared" si="0"/>
        <v>#VALUE!</v>
      </c>
    </row>
    <row r="1461" spans="1:5" ht="12.75" customHeight="1" x14ac:dyDescent="0.2">
      <c r="A1461" s="3"/>
      <c r="B1461" s="3" t="s">
        <v>2</v>
      </c>
      <c r="C1461" s="3" t="s">
        <v>458</v>
      </c>
      <c r="D1461" s="2"/>
      <c r="E1461" s="2" t="e">
        <f t="shared" si="0"/>
        <v>#VALUE!</v>
      </c>
    </row>
    <row r="1462" spans="1:5" ht="12.75" customHeight="1" x14ac:dyDescent="0.2">
      <c r="A1462" s="3"/>
      <c r="B1462" s="3" t="s">
        <v>9</v>
      </c>
      <c r="C1462" s="3" t="s">
        <v>10</v>
      </c>
      <c r="D1462" s="2"/>
      <c r="E1462" s="2" t="e">
        <f t="shared" si="0"/>
        <v>#VALUE!</v>
      </c>
    </row>
    <row r="1463" spans="1:5" ht="12.75" customHeight="1" x14ac:dyDescent="0.2">
      <c r="A1463" s="3"/>
      <c r="B1463" s="3" t="s">
        <v>11</v>
      </c>
      <c r="C1463" s="3" t="s">
        <v>530</v>
      </c>
      <c r="D1463" s="2"/>
      <c r="E1463" s="2" t="e">
        <f t="shared" si="0"/>
        <v>#VALUE!</v>
      </c>
    </row>
    <row r="1464" spans="1:5" ht="12.75" customHeight="1" x14ac:dyDescent="0.2">
      <c r="A1464" s="3"/>
      <c r="B1464" s="3" t="s">
        <v>18</v>
      </c>
      <c r="C1464" s="4" t="s">
        <v>19</v>
      </c>
      <c r="D1464" s="2"/>
      <c r="E1464" s="2" t="e">
        <f t="shared" si="0"/>
        <v>#VALUE!</v>
      </c>
    </row>
    <row r="1465" spans="1:5" ht="12.75" customHeight="1" x14ac:dyDescent="0.2">
      <c r="A1465" s="1" t="str">
        <f>HYPERLINK("javascript:void(0)","foglalat")</f>
        <v>foglalat</v>
      </c>
      <c r="B1465" s="1"/>
      <c r="C1465" s="1"/>
      <c r="D1465" s="2"/>
      <c r="E1465" s="2" t="e">
        <f t="shared" si="0"/>
        <v>#VALUE!</v>
      </c>
    </row>
    <row r="1466" spans="1:5" ht="12.75" customHeight="1" x14ac:dyDescent="0.2">
      <c r="A1466" s="3"/>
      <c r="B1466" s="3" t="s">
        <v>0</v>
      </c>
      <c r="C1466" s="3" t="s">
        <v>21</v>
      </c>
      <c r="D1466" s="2"/>
      <c r="E1466" s="2" t="e">
        <f t="shared" si="0"/>
        <v>#VALUE!</v>
      </c>
    </row>
    <row r="1467" spans="1:5" ht="12.75" customHeight="1" x14ac:dyDescent="0.2">
      <c r="A1467" s="3"/>
      <c r="B1467" s="3" t="s">
        <v>2</v>
      </c>
      <c r="C1467" s="3" t="s">
        <v>458</v>
      </c>
      <c r="D1467" s="2"/>
      <c r="E1467" s="2" t="e">
        <f t="shared" si="0"/>
        <v>#VALUE!</v>
      </c>
    </row>
    <row r="1468" spans="1:5" ht="12.75" customHeight="1" x14ac:dyDescent="0.2">
      <c r="A1468" s="3"/>
      <c r="B1468" s="3" t="s">
        <v>9</v>
      </c>
      <c r="C1468" s="3" t="s">
        <v>10</v>
      </c>
      <c r="D1468" s="2"/>
      <c r="E1468" s="2" t="e">
        <f t="shared" si="0"/>
        <v>#VALUE!</v>
      </c>
    </row>
    <row r="1469" spans="1:5" ht="12.75" customHeight="1" x14ac:dyDescent="0.2">
      <c r="A1469" s="3"/>
      <c r="B1469" s="3" t="s">
        <v>11</v>
      </c>
      <c r="C1469" s="3" t="s">
        <v>238</v>
      </c>
      <c r="D1469" s="2"/>
      <c r="E1469" s="2" t="e">
        <f t="shared" si="0"/>
        <v>#VALUE!</v>
      </c>
    </row>
    <row r="1470" spans="1:5" ht="12.75" customHeight="1" x14ac:dyDescent="0.2">
      <c r="A1470" s="3"/>
      <c r="B1470" s="3" t="s">
        <v>18</v>
      </c>
      <c r="C1470" s="4" t="s">
        <v>19</v>
      </c>
      <c r="D1470" s="2"/>
      <c r="E1470" s="2" t="e">
        <f t="shared" si="0"/>
        <v>#VALUE!</v>
      </c>
    </row>
    <row r="1471" spans="1:5" ht="12.75" customHeight="1" x14ac:dyDescent="0.2">
      <c r="A1471" s="1" t="str">
        <f>HYPERLINK("javascript:void(0)","fontos tartozék")</f>
        <v>fontos tartozék</v>
      </c>
      <c r="B1471" s="1"/>
      <c r="C1471" s="1"/>
      <c r="D1471" s="2"/>
      <c r="E1471" s="2" t="e">
        <f t="shared" si="0"/>
        <v>#VALUE!</v>
      </c>
    </row>
    <row r="1472" spans="1:5" ht="12.75" customHeight="1" x14ac:dyDescent="0.2">
      <c r="A1472" s="3"/>
      <c r="B1472" s="3" t="s">
        <v>0</v>
      </c>
      <c r="C1472" s="3" t="s">
        <v>21</v>
      </c>
      <c r="D1472" s="2"/>
      <c r="E1472" s="2" t="e">
        <f t="shared" si="0"/>
        <v>#VALUE!</v>
      </c>
    </row>
    <row r="1473" spans="1:5" ht="12.75" customHeight="1" x14ac:dyDescent="0.2">
      <c r="A1473" s="3"/>
      <c r="B1473" s="3" t="s">
        <v>2</v>
      </c>
      <c r="C1473" s="3" t="s">
        <v>387</v>
      </c>
      <c r="D1473" s="2"/>
      <c r="E1473" s="2" t="e">
        <f t="shared" si="0"/>
        <v>#VALUE!</v>
      </c>
    </row>
    <row r="1474" spans="1:5" ht="12.75" customHeight="1" x14ac:dyDescent="0.2">
      <c r="A1474" s="3"/>
      <c r="B1474" s="3" t="s">
        <v>9</v>
      </c>
      <c r="C1474" s="3" t="s">
        <v>306</v>
      </c>
      <c r="D1474" s="2"/>
      <c r="E1474" s="2" t="e">
        <f t="shared" si="0"/>
        <v>#VALUE!</v>
      </c>
    </row>
    <row r="1475" spans="1:5" ht="12.75" customHeight="1" x14ac:dyDescent="0.2">
      <c r="A1475" s="3"/>
      <c r="B1475" s="3" t="s">
        <v>11</v>
      </c>
      <c r="C1475" s="3" t="s">
        <v>23</v>
      </c>
      <c r="D1475" s="2"/>
      <c r="E1475" s="2" t="e">
        <f t="shared" si="0"/>
        <v>#VALUE!</v>
      </c>
    </row>
    <row r="1476" spans="1:5" ht="12.75" customHeight="1" x14ac:dyDescent="0.2">
      <c r="A1476" s="3"/>
      <c r="B1476" s="3" t="s">
        <v>16</v>
      </c>
      <c r="C1476" s="3" t="s">
        <v>388</v>
      </c>
      <c r="D1476" s="2"/>
      <c r="E1476" s="2" t="e">
        <f t="shared" si="0"/>
        <v>#VALUE!</v>
      </c>
    </row>
    <row r="1477" spans="1:5" ht="12.75" customHeight="1" x14ac:dyDescent="0.2">
      <c r="A1477" s="3"/>
      <c r="B1477" s="3" t="s">
        <v>18</v>
      </c>
      <c r="C1477" s="4" t="s">
        <v>19</v>
      </c>
      <c r="D1477" s="2"/>
      <c r="E1477" s="2" t="e">
        <f t="shared" si="0"/>
        <v>#VALUE!</v>
      </c>
    </row>
    <row r="1478" spans="1:5" ht="12.75" customHeight="1" x14ac:dyDescent="0.2">
      <c r="A1478" s="1" t="str">
        <f>HYPERLINK("javascript:void(0)","fotogén")</f>
        <v>fotogén</v>
      </c>
      <c r="B1478" s="1"/>
      <c r="C1478" s="1"/>
      <c r="D1478" s="2"/>
      <c r="E1478" s="2" t="e">
        <f t="shared" si="0"/>
        <v>#VALUE!</v>
      </c>
    </row>
    <row r="1479" spans="1:5" ht="12.75" customHeight="1" x14ac:dyDescent="0.2">
      <c r="A1479" s="3"/>
      <c r="B1479" s="3" t="s">
        <v>0</v>
      </c>
      <c r="C1479" s="3" t="s">
        <v>21</v>
      </c>
      <c r="D1479" s="2"/>
      <c r="E1479" s="2" t="e">
        <f t="shared" si="0"/>
        <v>#VALUE!</v>
      </c>
    </row>
    <row r="1480" spans="1:5" ht="12.75" customHeight="1" x14ac:dyDescent="0.2">
      <c r="A1480" s="3"/>
      <c r="B1480" s="3" t="s">
        <v>2</v>
      </c>
      <c r="C1480" s="3" t="s">
        <v>458</v>
      </c>
      <c r="D1480" s="2"/>
      <c r="E1480" s="2" t="e">
        <f t="shared" si="0"/>
        <v>#VALUE!</v>
      </c>
    </row>
    <row r="1481" spans="1:5" ht="12.75" customHeight="1" x14ac:dyDescent="0.2">
      <c r="A1481" s="3"/>
      <c r="B1481" s="3" t="s">
        <v>9</v>
      </c>
      <c r="C1481" s="3" t="s">
        <v>53</v>
      </c>
      <c r="D1481" s="2"/>
      <c r="E1481" s="2" t="e">
        <f t="shared" si="0"/>
        <v>#VALUE!</v>
      </c>
    </row>
    <row r="1482" spans="1:5" ht="12.75" customHeight="1" x14ac:dyDescent="0.2">
      <c r="A1482" s="3"/>
      <c r="B1482" s="3" t="s">
        <v>11</v>
      </c>
      <c r="C1482" s="3" t="s">
        <v>505</v>
      </c>
      <c r="D1482" s="2"/>
      <c r="E1482" s="2" t="e">
        <f t="shared" si="0"/>
        <v>#VALUE!</v>
      </c>
    </row>
    <row r="1483" spans="1:5" ht="12.75" customHeight="1" x14ac:dyDescent="0.2">
      <c r="A1483" s="3"/>
      <c r="B1483" s="3" t="s">
        <v>18</v>
      </c>
      <c r="C1483" s="4" t="s">
        <v>19</v>
      </c>
      <c r="D1483" s="2"/>
      <c r="E1483" s="2" t="e">
        <f t="shared" si="0"/>
        <v>#VALUE!</v>
      </c>
    </row>
    <row r="1484" spans="1:5" ht="12.75" customHeight="1" x14ac:dyDescent="0.2">
      <c r="A1484" s="1" t="str">
        <f>HYPERLINK("javascript:void(0)","futrinka")</f>
        <v>futrinka</v>
      </c>
      <c r="B1484" s="1"/>
      <c r="C1484" s="1"/>
      <c r="D1484" s="2"/>
      <c r="E1484" s="2" t="e">
        <f t="shared" si="0"/>
        <v>#VALUE!</v>
      </c>
    </row>
    <row r="1485" spans="1:5" ht="12.75" customHeight="1" x14ac:dyDescent="0.2">
      <c r="A1485" s="3"/>
      <c r="B1485" s="3" t="s">
        <v>0</v>
      </c>
      <c r="C1485" s="3" t="s">
        <v>21</v>
      </c>
      <c r="D1485" s="2"/>
      <c r="E1485" s="2" t="e">
        <f t="shared" si="0"/>
        <v>#VALUE!</v>
      </c>
    </row>
    <row r="1486" spans="1:5" ht="12.75" customHeight="1" x14ac:dyDescent="0.2">
      <c r="A1486" s="3"/>
      <c r="B1486" s="3" t="s">
        <v>2</v>
      </c>
      <c r="C1486" s="3" t="s">
        <v>458</v>
      </c>
      <c r="D1486" s="2"/>
      <c r="E1486" s="2" t="e">
        <f t="shared" si="0"/>
        <v>#VALUE!</v>
      </c>
    </row>
    <row r="1487" spans="1:5" ht="12.75" customHeight="1" x14ac:dyDescent="0.2">
      <c r="A1487" s="3"/>
      <c r="B1487" s="3" t="s">
        <v>9</v>
      </c>
      <c r="C1487" s="3" t="s">
        <v>22</v>
      </c>
      <c r="D1487" s="2"/>
      <c r="E1487" s="2" t="e">
        <f t="shared" si="0"/>
        <v>#VALUE!</v>
      </c>
    </row>
    <row r="1488" spans="1:5" ht="12.75" customHeight="1" x14ac:dyDescent="0.2">
      <c r="A1488" s="3"/>
      <c r="B1488" s="3" t="s">
        <v>11</v>
      </c>
      <c r="C1488" s="3" t="s">
        <v>535</v>
      </c>
      <c r="D1488" s="2"/>
      <c r="E1488" s="2" t="e">
        <f t="shared" si="0"/>
        <v>#VALUE!</v>
      </c>
    </row>
    <row r="1489" spans="1:5" ht="12.75" customHeight="1" x14ac:dyDescent="0.2">
      <c r="A1489" s="3"/>
      <c r="B1489" s="3" t="s">
        <v>18</v>
      </c>
      <c r="C1489" s="4" t="s">
        <v>19</v>
      </c>
      <c r="D1489" s="2"/>
      <c r="E1489" s="2" t="e">
        <f t="shared" si="0"/>
        <v>#VALUE!</v>
      </c>
    </row>
    <row r="1490" spans="1:5" ht="12.75" customHeight="1" x14ac:dyDescent="0.2">
      <c r="A1490" s="1" t="str">
        <f>HYPERLINK("javascript:void(0)","félhód")</f>
        <v>félhód</v>
      </c>
      <c r="B1490" s="1"/>
      <c r="C1490" s="1"/>
      <c r="D1490" s="2"/>
      <c r="E1490" s="2" t="e">
        <f t="shared" si="0"/>
        <v>#VALUE!</v>
      </c>
    </row>
    <row r="1491" spans="1:5" ht="12.75" customHeight="1" x14ac:dyDescent="0.2">
      <c r="A1491" s="3"/>
      <c r="B1491" s="3" t="s">
        <v>0</v>
      </c>
      <c r="C1491" s="3" t="s">
        <v>21</v>
      </c>
      <c r="D1491" s="2"/>
      <c r="E1491" s="2" t="e">
        <f t="shared" si="0"/>
        <v>#VALUE!</v>
      </c>
    </row>
    <row r="1492" spans="1:5" ht="12.75" customHeight="1" x14ac:dyDescent="0.2">
      <c r="A1492" s="3"/>
      <c r="B1492" s="3" t="s">
        <v>2</v>
      </c>
      <c r="C1492" s="3" t="s">
        <v>458</v>
      </c>
      <c r="D1492" s="2"/>
      <c r="E1492" s="2" t="e">
        <f t="shared" si="0"/>
        <v>#VALUE!</v>
      </c>
    </row>
    <row r="1493" spans="1:5" ht="12.75" customHeight="1" x14ac:dyDescent="0.2">
      <c r="A1493" s="3"/>
      <c r="B1493" s="3" t="s">
        <v>9</v>
      </c>
      <c r="C1493" s="3" t="s">
        <v>249</v>
      </c>
      <c r="D1493" s="2"/>
      <c r="E1493" s="2" t="e">
        <f t="shared" si="0"/>
        <v>#VALUE!</v>
      </c>
    </row>
    <row r="1494" spans="1:5" ht="12.75" customHeight="1" x14ac:dyDescent="0.2">
      <c r="A1494" s="3"/>
      <c r="B1494" s="3" t="s">
        <v>11</v>
      </c>
      <c r="C1494" s="3" t="s">
        <v>561</v>
      </c>
      <c r="D1494" s="2"/>
      <c r="E1494" s="2" t="e">
        <f t="shared" si="0"/>
        <v>#VALUE!</v>
      </c>
    </row>
    <row r="1495" spans="1:5" ht="12.75" customHeight="1" x14ac:dyDescent="0.2">
      <c r="A1495" s="3"/>
      <c r="B1495" s="3" t="s">
        <v>18</v>
      </c>
      <c r="C1495" s="4" t="s">
        <v>19</v>
      </c>
      <c r="D1495" s="2"/>
      <c r="E1495" s="2" t="e">
        <f t="shared" si="0"/>
        <v>#VALUE!</v>
      </c>
    </row>
    <row r="1496" spans="1:5" ht="12.75" customHeight="1" x14ac:dyDescent="0.2">
      <c r="A1496" s="1" t="str">
        <f>HYPERLINK("javascript:void(0)","félszemkendő")</f>
        <v>félszemkendő</v>
      </c>
      <c r="B1496" s="1"/>
      <c r="C1496" s="1"/>
      <c r="D1496" s="2"/>
      <c r="E1496" s="2" t="e">
        <f t="shared" si="0"/>
        <v>#VALUE!</v>
      </c>
    </row>
    <row r="1497" spans="1:5" ht="12.75" customHeight="1" x14ac:dyDescent="0.2">
      <c r="A1497" s="3"/>
      <c r="B1497" s="3" t="s">
        <v>0</v>
      </c>
      <c r="C1497" s="3" t="s">
        <v>21</v>
      </c>
      <c r="D1497" s="2"/>
      <c r="E1497" s="2" t="e">
        <f t="shared" si="0"/>
        <v>#VALUE!</v>
      </c>
    </row>
    <row r="1498" spans="1:5" ht="12.75" customHeight="1" x14ac:dyDescent="0.2">
      <c r="A1498" s="3"/>
      <c r="B1498" s="3" t="s">
        <v>2</v>
      </c>
      <c r="C1498" s="3" t="s">
        <v>458</v>
      </c>
      <c r="D1498" s="2"/>
      <c r="E1498" s="2" t="e">
        <f t="shared" si="0"/>
        <v>#VALUE!</v>
      </c>
    </row>
    <row r="1499" spans="1:5" ht="12.75" customHeight="1" x14ac:dyDescent="0.2">
      <c r="A1499" s="3"/>
      <c r="B1499" s="3" t="s">
        <v>9</v>
      </c>
      <c r="C1499" s="3" t="s">
        <v>22</v>
      </c>
      <c r="D1499" s="2"/>
      <c r="E1499" s="2" t="e">
        <f t="shared" si="0"/>
        <v>#VALUE!</v>
      </c>
    </row>
    <row r="1500" spans="1:5" ht="12.75" customHeight="1" x14ac:dyDescent="0.2">
      <c r="A1500" s="3"/>
      <c r="B1500" s="3" t="s">
        <v>11</v>
      </c>
      <c r="C1500" s="3" t="s">
        <v>162</v>
      </c>
      <c r="D1500" s="2"/>
      <c r="E1500" s="2" t="e">
        <f t="shared" si="0"/>
        <v>#VALUE!</v>
      </c>
    </row>
    <row r="1501" spans="1:5" ht="12.75" customHeight="1" x14ac:dyDescent="0.2">
      <c r="A1501" s="3"/>
      <c r="B1501" s="3" t="s">
        <v>18</v>
      </c>
      <c r="C1501" s="4" t="s">
        <v>19</v>
      </c>
      <c r="D1501" s="2"/>
      <c r="E1501" s="2" t="e">
        <f t="shared" si="0"/>
        <v>#VALUE!</v>
      </c>
    </row>
    <row r="1502" spans="1:5" ht="12.75" customHeight="1" x14ac:dyDescent="0.2">
      <c r="A1502" s="1" t="str">
        <f>HYPERLINK("javascript:void(0)","fényige")</f>
        <v>fényige</v>
      </c>
      <c r="B1502" s="1"/>
      <c r="C1502" s="1"/>
      <c r="D1502" s="2"/>
      <c r="E1502" s="2" t="e">
        <f t="shared" si="0"/>
        <v>#VALUE!</v>
      </c>
    </row>
    <row r="1503" spans="1:5" ht="12.75" customHeight="1" x14ac:dyDescent="0.2">
      <c r="A1503" s="3"/>
      <c r="B1503" s="3" t="s">
        <v>0</v>
      </c>
      <c r="C1503" s="3" t="s">
        <v>21</v>
      </c>
      <c r="D1503" s="2"/>
      <c r="E1503" s="2" t="e">
        <f t="shared" si="0"/>
        <v>#VALUE!</v>
      </c>
    </row>
    <row r="1504" spans="1:5" ht="12.75" customHeight="1" x14ac:dyDescent="0.2">
      <c r="A1504" s="3"/>
      <c r="B1504" s="3" t="s">
        <v>2</v>
      </c>
      <c r="C1504" s="3" t="s">
        <v>458</v>
      </c>
      <c r="D1504" s="2"/>
      <c r="E1504" s="2" t="e">
        <f t="shared" si="0"/>
        <v>#VALUE!</v>
      </c>
    </row>
    <row r="1505" spans="1:5" ht="12.75" customHeight="1" x14ac:dyDescent="0.2">
      <c r="A1505" s="3"/>
      <c r="B1505" s="3" t="s">
        <v>9</v>
      </c>
      <c r="C1505" s="3" t="s">
        <v>626</v>
      </c>
      <c r="D1505" s="2"/>
      <c r="E1505" s="2" t="e">
        <f t="shared" si="0"/>
        <v>#VALUE!</v>
      </c>
    </row>
    <row r="1506" spans="1:5" ht="12.75" customHeight="1" x14ac:dyDescent="0.2">
      <c r="A1506" s="3"/>
      <c r="B1506" s="3" t="s">
        <v>11</v>
      </c>
      <c r="C1506" s="3" t="s">
        <v>473</v>
      </c>
      <c r="D1506" s="2"/>
      <c r="E1506" s="2" t="e">
        <f t="shared" si="0"/>
        <v>#VALUE!</v>
      </c>
    </row>
    <row r="1507" spans="1:5" ht="12.75" customHeight="1" x14ac:dyDescent="0.2">
      <c r="A1507" s="3"/>
      <c r="B1507" s="3" t="s">
        <v>18</v>
      </c>
      <c r="C1507" s="4" t="s">
        <v>19</v>
      </c>
      <c r="D1507" s="2"/>
      <c r="E1507" s="2" t="e">
        <f t="shared" si="0"/>
        <v>#VALUE!</v>
      </c>
    </row>
    <row r="1508" spans="1:5" ht="12.75" customHeight="1" x14ac:dyDescent="0.2">
      <c r="A1508" s="1" t="str">
        <f>HYPERLINK("javascript:void(0)","fénykapu")</f>
        <v>fénykapu</v>
      </c>
      <c r="B1508" s="1"/>
      <c r="C1508" s="1"/>
      <c r="D1508" s="2"/>
      <c r="E1508" s="2" t="e">
        <f t="shared" si="0"/>
        <v>#VALUE!</v>
      </c>
    </row>
    <row r="1509" spans="1:5" ht="12.75" customHeight="1" x14ac:dyDescent="0.2">
      <c r="A1509" s="3"/>
      <c r="B1509" s="3" t="s">
        <v>0</v>
      </c>
      <c r="C1509" s="3" t="s">
        <v>21</v>
      </c>
      <c r="D1509" s="2"/>
      <c r="E1509" s="2" t="e">
        <f t="shared" si="0"/>
        <v>#VALUE!</v>
      </c>
    </row>
    <row r="1510" spans="1:5" ht="12.75" customHeight="1" x14ac:dyDescent="0.2">
      <c r="A1510" s="3"/>
      <c r="B1510" s="3" t="s">
        <v>2</v>
      </c>
      <c r="C1510" s="3" t="s">
        <v>458</v>
      </c>
      <c r="D1510" s="2"/>
      <c r="E1510" s="2" t="e">
        <f t="shared" si="0"/>
        <v>#VALUE!</v>
      </c>
    </row>
    <row r="1511" spans="1:5" ht="12.75" customHeight="1" x14ac:dyDescent="0.2">
      <c r="A1511" s="3"/>
      <c r="B1511" s="3" t="s">
        <v>9</v>
      </c>
      <c r="C1511" s="3" t="s">
        <v>22</v>
      </c>
      <c r="D1511" s="2"/>
      <c r="E1511" s="2" t="e">
        <f t="shared" si="0"/>
        <v>#VALUE!</v>
      </c>
    </row>
    <row r="1512" spans="1:5" ht="12.75" customHeight="1" x14ac:dyDescent="0.2">
      <c r="A1512" s="3"/>
      <c r="B1512" s="3" t="s">
        <v>11</v>
      </c>
      <c r="C1512" s="3" t="s">
        <v>156</v>
      </c>
      <c r="D1512" s="2"/>
      <c r="E1512" s="2" t="e">
        <f t="shared" si="0"/>
        <v>#VALUE!</v>
      </c>
    </row>
    <row r="1513" spans="1:5" ht="12.75" customHeight="1" x14ac:dyDescent="0.2">
      <c r="A1513" s="3"/>
      <c r="B1513" s="3" t="s">
        <v>18</v>
      </c>
      <c r="C1513" s="4" t="s">
        <v>19</v>
      </c>
      <c r="D1513" s="2"/>
      <c r="E1513" s="2" t="e">
        <f t="shared" si="0"/>
        <v>#VALUE!</v>
      </c>
    </row>
    <row r="1514" spans="1:5" ht="12.75" customHeight="1" x14ac:dyDescent="0.2">
      <c r="A1514" s="1" t="str">
        <f>HYPERLINK("javascript:void(0)","fénynyaláb")</f>
        <v>fénynyaláb</v>
      </c>
      <c r="B1514" s="1"/>
      <c r="C1514" s="1"/>
      <c r="D1514" s="2"/>
      <c r="E1514" s="2" t="e">
        <f t="shared" si="0"/>
        <v>#VALUE!</v>
      </c>
    </row>
    <row r="1515" spans="1:5" ht="12.75" customHeight="1" x14ac:dyDescent="0.2">
      <c r="A1515" s="3"/>
      <c r="B1515" s="3" t="s">
        <v>0</v>
      </c>
      <c r="C1515" s="3" t="s">
        <v>21</v>
      </c>
      <c r="D1515" s="2"/>
      <c r="E1515" s="2" t="e">
        <f t="shared" si="0"/>
        <v>#VALUE!</v>
      </c>
    </row>
    <row r="1516" spans="1:5" ht="12.75" customHeight="1" x14ac:dyDescent="0.2">
      <c r="A1516" s="3"/>
      <c r="B1516" s="3" t="s">
        <v>2</v>
      </c>
      <c r="C1516" s="3" t="s">
        <v>458</v>
      </c>
      <c r="D1516" s="2"/>
      <c r="E1516" s="2" t="e">
        <f t="shared" si="0"/>
        <v>#VALUE!</v>
      </c>
    </row>
    <row r="1517" spans="1:5" ht="12.75" customHeight="1" x14ac:dyDescent="0.2">
      <c r="A1517" s="3"/>
      <c r="B1517" s="3" t="s">
        <v>9</v>
      </c>
      <c r="C1517" s="3" t="s">
        <v>626</v>
      </c>
      <c r="D1517" s="2"/>
      <c r="E1517" s="2" t="e">
        <f t="shared" si="0"/>
        <v>#VALUE!</v>
      </c>
    </row>
    <row r="1518" spans="1:5" ht="12.75" customHeight="1" x14ac:dyDescent="0.2">
      <c r="A1518" s="3"/>
      <c r="B1518" s="3" t="s">
        <v>11</v>
      </c>
      <c r="C1518" s="3" t="s">
        <v>429</v>
      </c>
      <c r="D1518" s="2"/>
      <c r="E1518" s="2" t="e">
        <f t="shared" si="0"/>
        <v>#VALUE!</v>
      </c>
    </row>
    <row r="1519" spans="1:5" ht="12.75" customHeight="1" x14ac:dyDescent="0.2">
      <c r="A1519" s="3"/>
      <c r="B1519" s="3" t="s">
        <v>18</v>
      </c>
      <c r="C1519" s="4" t="s">
        <v>19</v>
      </c>
      <c r="D1519" s="2"/>
      <c r="E1519" s="2" t="e">
        <f t="shared" si="0"/>
        <v>#VALUE!</v>
      </c>
    </row>
    <row r="1520" spans="1:5" ht="12.75" customHeight="1" x14ac:dyDescent="0.2">
      <c r="A1520" s="1" t="str">
        <f>HYPERLINK("javascript:void(0)","fényszem")</f>
        <v>fényszem</v>
      </c>
      <c r="B1520" s="1"/>
      <c r="C1520" s="1"/>
      <c r="D1520" s="2"/>
      <c r="E1520" s="2" t="e">
        <f t="shared" si="0"/>
        <v>#VALUE!</v>
      </c>
    </row>
    <row r="1521" spans="1:5" ht="12.75" customHeight="1" x14ac:dyDescent="0.2">
      <c r="A1521" s="3"/>
      <c r="B1521" s="3" t="s">
        <v>0</v>
      </c>
      <c r="C1521" s="3" t="s">
        <v>21</v>
      </c>
      <c r="D1521" s="2"/>
      <c r="E1521" s="2" t="e">
        <f t="shared" si="0"/>
        <v>#VALUE!</v>
      </c>
    </row>
    <row r="1522" spans="1:5" ht="12.75" customHeight="1" x14ac:dyDescent="0.2">
      <c r="A1522" s="3"/>
      <c r="B1522" s="3" t="s">
        <v>2</v>
      </c>
      <c r="C1522" s="3" t="s">
        <v>458</v>
      </c>
      <c r="D1522" s="2"/>
      <c r="E1522" s="2" t="e">
        <f t="shared" si="0"/>
        <v>#VALUE!</v>
      </c>
    </row>
    <row r="1523" spans="1:5" ht="12.75" customHeight="1" x14ac:dyDescent="0.2">
      <c r="A1523" s="3"/>
      <c r="B1523" s="3" t="s">
        <v>9</v>
      </c>
      <c r="C1523" s="3" t="s">
        <v>626</v>
      </c>
      <c r="D1523" s="2"/>
      <c r="E1523" s="2" t="e">
        <f t="shared" si="0"/>
        <v>#VALUE!</v>
      </c>
    </row>
    <row r="1524" spans="1:5" ht="12.75" customHeight="1" x14ac:dyDescent="0.2">
      <c r="A1524" s="3"/>
      <c r="B1524" s="3" t="s">
        <v>11</v>
      </c>
      <c r="C1524" s="3" t="s">
        <v>152</v>
      </c>
      <c r="D1524" s="2"/>
      <c r="E1524" s="2" t="e">
        <f t="shared" si="0"/>
        <v>#VALUE!</v>
      </c>
    </row>
    <row r="1525" spans="1:5" ht="12.75" customHeight="1" x14ac:dyDescent="0.2">
      <c r="A1525" s="3"/>
      <c r="B1525" s="3" t="s">
        <v>18</v>
      </c>
      <c r="C1525" s="4" t="s">
        <v>19</v>
      </c>
      <c r="D1525" s="2"/>
      <c r="E1525" s="2" t="e">
        <f t="shared" si="0"/>
        <v>#VALUE!</v>
      </c>
    </row>
    <row r="1526" spans="1:5" ht="12.75" customHeight="1" x14ac:dyDescent="0.2">
      <c r="A1526" s="1" t="str">
        <f>HYPERLINK("javascript:void(0)","féregfark")</f>
        <v>féregfark</v>
      </c>
      <c r="B1526" s="1"/>
      <c r="C1526" s="1"/>
      <c r="D1526" s="2"/>
      <c r="E1526" s="2" t="e">
        <f t="shared" si="0"/>
        <v>#VALUE!</v>
      </c>
    </row>
    <row r="1527" spans="1:5" ht="12.75" customHeight="1" x14ac:dyDescent="0.2">
      <c r="A1527" s="3"/>
      <c r="B1527" s="3" t="s">
        <v>0</v>
      </c>
      <c r="C1527" s="3" t="s">
        <v>21</v>
      </c>
      <c r="D1527" s="2"/>
      <c r="E1527" s="2" t="e">
        <f t="shared" si="0"/>
        <v>#VALUE!</v>
      </c>
    </row>
    <row r="1528" spans="1:5" ht="12.75" customHeight="1" x14ac:dyDescent="0.2">
      <c r="A1528" s="3"/>
      <c r="B1528" s="3" t="s">
        <v>2</v>
      </c>
      <c r="C1528" s="3" t="s">
        <v>458</v>
      </c>
      <c r="D1528" s="2"/>
      <c r="E1528" s="2" t="e">
        <f t="shared" si="0"/>
        <v>#VALUE!</v>
      </c>
    </row>
    <row r="1529" spans="1:5" ht="12.75" customHeight="1" x14ac:dyDescent="0.2">
      <c r="A1529" s="3"/>
      <c r="B1529" s="3" t="s">
        <v>9</v>
      </c>
      <c r="C1529" s="3" t="s">
        <v>22</v>
      </c>
      <c r="D1529" s="2"/>
      <c r="E1529" s="2" t="e">
        <f t="shared" si="0"/>
        <v>#VALUE!</v>
      </c>
    </row>
    <row r="1530" spans="1:5" ht="12.75" customHeight="1" x14ac:dyDescent="0.2">
      <c r="A1530" s="3"/>
      <c r="B1530" s="3" t="s">
        <v>11</v>
      </c>
      <c r="C1530" s="3" t="s">
        <v>152</v>
      </c>
      <c r="D1530" s="2"/>
      <c r="E1530" s="2" t="e">
        <f t="shared" si="0"/>
        <v>#VALUE!</v>
      </c>
    </row>
    <row r="1531" spans="1:5" ht="12.75" customHeight="1" x14ac:dyDescent="0.2">
      <c r="A1531" s="3"/>
      <c r="B1531" s="3" t="s">
        <v>18</v>
      </c>
      <c r="C1531" s="4" t="s">
        <v>19</v>
      </c>
      <c r="D1531" s="2"/>
      <c r="E1531" s="2" t="e">
        <f t="shared" si="0"/>
        <v>#VALUE!</v>
      </c>
    </row>
    <row r="1532" spans="1:5" ht="12.75" customHeight="1" x14ac:dyDescent="0.2">
      <c r="A1532" s="1" t="str">
        <f>HYPERLINK("javascript:void(0)","féreggyűrű")</f>
        <v>féreggyűrű</v>
      </c>
      <c r="B1532" s="1"/>
      <c r="C1532" s="1"/>
      <c r="D1532" s="2"/>
      <c r="E1532" s="2" t="e">
        <f t="shared" si="0"/>
        <v>#VALUE!</v>
      </c>
    </row>
    <row r="1533" spans="1:5" ht="12.75" customHeight="1" x14ac:dyDescent="0.2">
      <c r="A1533" s="3"/>
      <c r="B1533" s="3" t="s">
        <v>0</v>
      </c>
      <c r="C1533" s="3" t="s">
        <v>21</v>
      </c>
      <c r="D1533" s="2"/>
      <c r="E1533" s="2" t="e">
        <f t="shared" si="0"/>
        <v>#VALUE!</v>
      </c>
    </row>
    <row r="1534" spans="1:5" ht="12.75" customHeight="1" x14ac:dyDescent="0.2">
      <c r="A1534" s="3"/>
      <c r="B1534" s="3" t="s">
        <v>2</v>
      </c>
      <c r="C1534" s="3" t="s">
        <v>458</v>
      </c>
      <c r="D1534" s="2"/>
      <c r="E1534" s="2" t="e">
        <f t="shared" si="0"/>
        <v>#VALUE!</v>
      </c>
    </row>
    <row r="1535" spans="1:5" ht="12.75" customHeight="1" x14ac:dyDescent="0.2">
      <c r="A1535" s="3"/>
      <c r="B1535" s="3" t="s">
        <v>9</v>
      </c>
      <c r="C1535" s="3" t="s">
        <v>959</v>
      </c>
      <c r="D1535" s="2"/>
      <c r="E1535" s="2" t="e">
        <f t="shared" si="0"/>
        <v>#VALUE!</v>
      </c>
    </row>
    <row r="1536" spans="1:5" ht="12.75" customHeight="1" x14ac:dyDescent="0.2">
      <c r="A1536" s="3"/>
      <c r="B1536" s="3" t="s">
        <v>11</v>
      </c>
      <c r="C1536" s="3" t="s">
        <v>960</v>
      </c>
      <c r="D1536" s="2"/>
      <c r="E1536" s="2" t="e">
        <f t="shared" si="0"/>
        <v>#VALUE!</v>
      </c>
    </row>
    <row r="1537" spans="1:5" ht="12.75" customHeight="1" x14ac:dyDescent="0.2">
      <c r="A1537" s="3"/>
      <c r="B1537" s="3" t="s">
        <v>18</v>
      </c>
      <c r="C1537" s="4" t="s">
        <v>19</v>
      </c>
      <c r="D1537" s="2"/>
      <c r="E1537" s="2" t="e">
        <f t="shared" si="0"/>
        <v>#VALUE!</v>
      </c>
    </row>
    <row r="1538" spans="1:5" ht="12.75" customHeight="1" x14ac:dyDescent="0.2">
      <c r="A1538" s="1" t="str">
        <f>HYPERLINK("javascript:void(0)","fésütő")</f>
        <v>fésütő</v>
      </c>
      <c r="B1538" s="1"/>
      <c r="C1538" s="1"/>
      <c r="D1538" s="2"/>
      <c r="E1538" s="2" t="e">
        <f t="shared" si="0"/>
        <v>#VALUE!</v>
      </c>
    </row>
    <row r="1539" spans="1:5" ht="12.75" customHeight="1" x14ac:dyDescent="0.2">
      <c r="A1539" s="3"/>
      <c r="B1539" s="3" t="s">
        <v>0</v>
      </c>
      <c r="C1539" s="3" t="s">
        <v>21</v>
      </c>
      <c r="D1539" s="2"/>
      <c r="E1539" s="2" t="e">
        <f t="shared" si="0"/>
        <v>#VALUE!</v>
      </c>
    </row>
    <row r="1540" spans="1:5" ht="12.75" customHeight="1" x14ac:dyDescent="0.2">
      <c r="A1540" s="3"/>
      <c r="B1540" s="3" t="s">
        <v>2</v>
      </c>
      <c r="C1540" s="3" t="s">
        <v>458</v>
      </c>
      <c r="D1540" s="2"/>
      <c r="E1540" s="2" t="e">
        <f t="shared" si="0"/>
        <v>#VALUE!</v>
      </c>
    </row>
    <row r="1541" spans="1:5" ht="12.75" customHeight="1" x14ac:dyDescent="0.2">
      <c r="A1541" s="3"/>
      <c r="B1541" s="3" t="s">
        <v>9</v>
      </c>
      <c r="C1541" s="3" t="s">
        <v>22</v>
      </c>
      <c r="D1541" s="2"/>
      <c r="E1541" s="2" t="e">
        <f t="shared" si="0"/>
        <v>#VALUE!</v>
      </c>
    </row>
    <row r="1542" spans="1:5" ht="12.75" customHeight="1" x14ac:dyDescent="0.2">
      <c r="A1542" s="3"/>
      <c r="B1542" s="3" t="s">
        <v>11</v>
      </c>
      <c r="C1542" s="3" t="s">
        <v>162</v>
      </c>
      <c r="D1542" s="2"/>
      <c r="E1542" s="2" t="e">
        <f t="shared" si="0"/>
        <v>#VALUE!</v>
      </c>
    </row>
    <row r="1543" spans="1:5" ht="12.75" customHeight="1" x14ac:dyDescent="0.2">
      <c r="A1543" s="3"/>
      <c r="B1543" s="3" t="s">
        <v>18</v>
      </c>
      <c r="C1543" s="4" t="s">
        <v>19</v>
      </c>
      <c r="D1543" s="2"/>
      <c r="E1543" s="2" t="e">
        <f t="shared" si="0"/>
        <v>#VALUE!</v>
      </c>
    </row>
    <row r="1544" spans="1:5" ht="12.75" customHeight="1" x14ac:dyDescent="0.2">
      <c r="A1544" s="1" t="str">
        <f>HYPERLINK("javascript:void(0)","fókaprém")</f>
        <v>fókaprém</v>
      </c>
      <c r="B1544" s="1"/>
      <c r="C1544" s="1"/>
      <c r="D1544" s="2"/>
      <c r="E1544" s="2" t="e">
        <f t="shared" si="0"/>
        <v>#VALUE!</v>
      </c>
    </row>
    <row r="1545" spans="1:5" ht="12.75" customHeight="1" x14ac:dyDescent="0.2">
      <c r="A1545" s="3"/>
      <c r="B1545" s="3" t="s">
        <v>0</v>
      </c>
      <c r="C1545" s="3" t="s">
        <v>21</v>
      </c>
      <c r="D1545" s="2"/>
      <c r="E1545" s="2" t="e">
        <f t="shared" si="0"/>
        <v>#VALUE!</v>
      </c>
    </row>
    <row r="1546" spans="1:5" ht="12.75" customHeight="1" x14ac:dyDescent="0.2">
      <c r="A1546" s="3"/>
      <c r="B1546" s="3" t="s">
        <v>2</v>
      </c>
      <c r="C1546" s="3" t="s">
        <v>458</v>
      </c>
      <c r="D1546" s="2"/>
      <c r="E1546" s="2" t="e">
        <f t="shared" si="0"/>
        <v>#VALUE!</v>
      </c>
    </row>
    <row r="1547" spans="1:5" ht="12.75" customHeight="1" x14ac:dyDescent="0.2">
      <c r="A1547" s="3"/>
      <c r="B1547" s="3" t="s">
        <v>9</v>
      </c>
      <c r="C1547" s="3" t="s">
        <v>10</v>
      </c>
      <c r="D1547" s="2"/>
      <c r="E1547" s="2" t="e">
        <f t="shared" si="0"/>
        <v>#VALUE!</v>
      </c>
    </row>
    <row r="1548" spans="1:5" ht="12.75" customHeight="1" x14ac:dyDescent="0.2">
      <c r="A1548" s="3"/>
      <c r="B1548" s="3" t="s">
        <v>11</v>
      </c>
      <c r="C1548" s="3" t="s">
        <v>227</v>
      </c>
      <c r="D1548" s="2"/>
      <c r="E1548" s="2" t="e">
        <f t="shared" si="0"/>
        <v>#VALUE!</v>
      </c>
    </row>
    <row r="1549" spans="1:5" ht="12.75" customHeight="1" x14ac:dyDescent="0.2">
      <c r="A1549" s="3"/>
      <c r="B1549" s="3" t="s">
        <v>18</v>
      </c>
      <c r="C1549" s="4" t="s">
        <v>19</v>
      </c>
      <c r="D1549" s="2"/>
      <c r="E1549" s="2" t="e">
        <f t="shared" si="0"/>
        <v>#VALUE!</v>
      </c>
    </row>
    <row r="1550" spans="1:5" ht="12.75" customHeight="1" x14ac:dyDescent="0.2">
      <c r="A1550" s="1" t="str">
        <f>HYPERLINK("javascript:void(0)","földige")</f>
        <v>földige</v>
      </c>
      <c r="B1550" s="1"/>
      <c r="C1550" s="1"/>
      <c r="D1550" s="2"/>
      <c r="E1550" s="2" t="e">
        <f t="shared" si="0"/>
        <v>#VALUE!</v>
      </c>
    </row>
    <row r="1551" spans="1:5" ht="12.75" customHeight="1" x14ac:dyDescent="0.2">
      <c r="A1551" s="3"/>
      <c r="B1551" s="3" t="s">
        <v>0</v>
      </c>
      <c r="C1551" s="3" t="s">
        <v>21</v>
      </c>
      <c r="D1551" s="2"/>
      <c r="E1551" s="2" t="e">
        <f t="shared" si="0"/>
        <v>#VALUE!</v>
      </c>
    </row>
    <row r="1552" spans="1:5" ht="12.75" customHeight="1" x14ac:dyDescent="0.2">
      <c r="A1552" s="3"/>
      <c r="B1552" s="3" t="s">
        <v>2</v>
      </c>
      <c r="C1552" s="3" t="s">
        <v>458</v>
      </c>
      <c r="D1552" s="2"/>
      <c r="E1552" s="2" t="e">
        <f t="shared" si="0"/>
        <v>#VALUE!</v>
      </c>
    </row>
    <row r="1553" spans="1:5" ht="12.75" customHeight="1" x14ac:dyDescent="0.2">
      <c r="A1553" s="3"/>
      <c r="B1553" s="3" t="s">
        <v>9</v>
      </c>
      <c r="C1553" s="3" t="s">
        <v>42</v>
      </c>
      <c r="D1553" s="2"/>
      <c r="E1553" s="2" t="e">
        <f t="shared" si="0"/>
        <v>#VALUE!</v>
      </c>
    </row>
    <row r="1554" spans="1:5" ht="12.75" customHeight="1" x14ac:dyDescent="0.2">
      <c r="A1554" s="3"/>
      <c r="B1554" s="3" t="s">
        <v>11</v>
      </c>
      <c r="C1554" s="3" t="s">
        <v>505</v>
      </c>
      <c r="D1554" s="2"/>
      <c r="E1554" s="2" t="e">
        <f t="shared" si="0"/>
        <v>#VALUE!</v>
      </c>
    </row>
    <row r="1555" spans="1:5" ht="12.75" customHeight="1" x14ac:dyDescent="0.2">
      <c r="A1555" s="3"/>
      <c r="B1555" s="3" t="s">
        <v>18</v>
      </c>
      <c r="C1555" s="4" t="s">
        <v>19</v>
      </c>
      <c r="D1555" s="2"/>
      <c r="E1555" s="2" t="e">
        <f t="shared" si="0"/>
        <v>#VALUE!</v>
      </c>
    </row>
    <row r="1556" spans="1:5" ht="12.75" customHeight="1" x14ac:dyDescent="0.2">
      <c r="A1556" s="1" t="str">
        <f>HYPERLINK("javascript:void(0)","fúrófej")</f>
        <v>fúrófej</v>
      </c>
      <c r="B1556" s="1"/>
      <c r="C1556" s="1"/>
      <c r="D1556" s="2"/>
      <c r="E1556" s="2" t="e">
        <f t="shared" si="0"/>
        <v>#VALUE!</v>
      </c>
    </row>
    <row r="1557" spans="1:5" ht="12.75" customHeight="1" x14ac:dyDescent="0.2">
      <c r="A1557" s="3"/>
      <c r="B1557" s="3" t="s">
        <v>0</v>
      </c>
      <c r="C1557" s="3" t="s">
        <v>21</v>
      </c>
      <c r="D1557" s="2"/>
      <c r="E1557" s="2" t="e">
        <f t="shared" si="0"/>
        <v>#VALUE!</v>
      </c>
    </row>
    <row r="1558" spans="1:5" ht="12.75" customHeight="1" x14ac:dyDescent="0.2">
      <c r="A1558" s="3"/>
      <c r="B1558" s="3" t="s">
        <v>2</v>
      </c>
      <c r="C1558" s="3" t="s">
        <v>458</v>
      </c>
      <c r="D1558" s="2"/>
      <c r="E1558" s="2" t="e">
        <f t="shared" si="0"/>
        <v>#VALUE!</v>
      </c>
    </row>
    <row r="1559" spans="1:5" ht="12.75" customHeight="1" x14ac:dyDescent="0.2">
      <c r="A1559" s="3"/>
      <c r="B1559" s="3" t="s">
        <v>9</v>
      </c>
      <c r="C1559" s="3" t="s">
        <v>27</v>
      </c>
      <c r="D1559" s="2"/>
      <c r="E1559" s="2" t="e">
        <f t="shared" si="0"/>
        <v>#VALUE!</v>
      </c>
    </row>
    <row r="1560" spans="1:5" ht="12.75" customHeight="1" x14ac:dyDescent="0.2">
      <c r="A1560" s="3"/>
      <c r="B1560" s="3" t="s">
        <v>11</v>
      </c>
      <c r="C1560" s="3" t="s">
        <v>227</v>
      </c>
      <c r="D1560" s="2"/>
      <c r="E1560" s="2" t="e">
        <f t="shared" si="0"/>
        <v>#VALUE!</v>
      </c>
    </row>
    <row r="1561" spans="1:5" ht="12.75" customHeight="1" x14ac:dyDescent="0.2">
      <c r="A1561" s="3"/>
      <c r="B1561" s="3" t="s">
        <v>18</v>
      </c>
      <c r="C1561" s="4" t="s">
        <v>19</v>
      </c>
      <c r="D1561" s="2"/>
      <c r="E1561" s="2" t="e">
        <f t="shared" si="0"/>
        <v>#VALUE!</v>
      </c>
    </row>
    <row r="1562" spans="1:5" ht="12.75" customHeight="1" x14ac:dyDescent="0.2">
      <c r="A1562" s="1" t="str">
        <f>HYPERLINK("javascript:void(0)","fügetövis")</f>
        <v>fügetövis</v>
      </c>
      <c r="B1562" s="1"/>
      <c r="C1562" s="1"/>
      <c r="D1562" s="2"/>
      <c r="E1562" s="2" t="e">
        <f t="shared" si="0"/>
        <v>#VALUE!</v>
      </c>
    </row>
    <row r="1563" spans="1:5" ht="12.75" customHeight="1" x14ac:dyDescent="0.2">
      <c r="A1563" s="3"/>
      <c r="B1563" s="3" t="s">
        <v>0</v>
      </c>
      <c r="C1563" s="3" t="s">
        <v>21</v>
      </c>
      <c r="D1563" s="2"/>
      <c r="E1563" s="2" t="e">
        <f t="shared" si="0"/>
        <v>#VALUE!</v>
      </c>
    </row>
    <row r="1564" spans="1:5" ht="12.75" customHeight="1" x14ac:dyDescent="0.2">
      <c r="A1564" s="3"/>
      <c r="B1564" s="3" t="s">
        <v>2</v>
      </c>
      <c r="C1564" s="3" t="s">
        <v>458</v>
      </c>
      <c r="D1564" s="2"/>
      <c r="E1564" s="2" t="e">
        <f t="shared" si="0"/>
        <v>#VALUE!</v>
      </c>
    </row>
    <row r="1565" spans="1:5" ht="12.75" customHeight="1" x14ac:dyDescent="0.2">
      <c r="A1565" s="3"/>
      <c r="B1565" s="3" t="s">
        <v>9</v>
      </c>
      <c r="C1565" s="3" t="s">
        <v>969</v>
      </c>
      <c r="D1565" s="2"/>
      <c r="E1565" s="2" t="e">
        <f t="shared" si="0"/>
        <v>#VALUE!</v>
      </c>
    </row>
    <row r="1566" spans="1:5" ht="12.75" customHeight="1" x14ac:dyDescent="0.2">
      <c r="A1566" s="3"/>
      <c r="B1566" s="3" t="s">
        <v>11</v>
      </c>
      <c r="C1566" s="3" t="s">
        <v>971</v>
      </c>
      <c r="D1566" s="2"/>
      <c r="E1566" s="2" t="e">
        <f t="shared" si="0"/>
        <v>#VALUE!</v>
      </c>
    </row>
    <row r="1567" spans="1:5" ht="12.75" customHeight="1" x14ac:dyDescent="0.2">
      <c r="A1567" s="3"/>
      <c r="B1567" s="3" t="s">
        <v>18</v>
      </c>
      <c r="C1567" s="4" t="s">
        <v>19</v>
      </c>
      <c r="D1567" s="2"/>
      <c r="E1567" s="2" t="e">
        <f t="shared" si="0"/>
        <v>#VALUE!</v>
      </c>
    </row>
    <row r="1568" spans="1:5" ht="12.75" customHeight="1" x14ac:dyDescent="0.2">
      <c r="A1568" s="1" t="str">
        <f>HYPERLINK("javascript:void(0)","függérték")</f>
        <v>függérték</v>
      </c>
      <c r="B1568" s="1"/>
      <c r="C1568" s="1"/>
      <c r="D1568" s="2"/>
      <c r="E1568" s="2" t="e">
        <f t="shared" si="0"/>
        <v>#VALUE!</v>
      </c>
    </row>
    <row r="1569" spans="1:5" ht="12.75" customHeight="1" x14ac:dyDescent="0.2">
      <c r="A1569" s="3"/>
      <c r="B1569" s="3" t="s">
        <v>0</v>
      </c>
      <c r="C1569" s="3" t="s">
        <v>21</v>
      </c>
      <c r="D1569" s="2"/>
      <c r="E1569" s="2" t="e">
        <f t="shared" si="0"/>
        <v>#VALUE!</v>
      </c>
    </row>
    <row r="1570" spans="1:5" ht="12.75" customHeight="1" x14ac:dyDescent="0.2">
      <c r="A1570" s="3"/>
      <c r="B1570" s="3" t="s">
        <v>2</v>
      </c>
      <c r="C1570" s="3" t="s">
        <v>458</v>
      </c>
      <c r="D1570" s="2"/>
      <c r="E1570" s="2" t="e">
        <f t="shared" si="0"/>
        <v>#VALUE!</v>
      </c>
    </row>
    <row r="1571" spans="1:5" ht="12.75" customHeight="1" x14ac:dyDescent="0.2">
      <c r="A1571" s="3"/>
      <c r="B1571" s="3" t="s">
        <v>9</v>
      </c>
      <c r="C1571" s="3" t="s">
        <v>22</v>
      </c>
      <c r="D1571" s="2"/>
      <c r="E1571" s="2" t="e">
        <f t="shared" si="0"/>
        <v>#VALUE!</v>
      </c>
    </row>
    <row r="1572" spans="1:5" ht="12.75" customHeight="1" x14ac:dyDescent="0.2">
      <c r="A1572" s="3"/>
      <c r="B1572" s="3" t="s">
        <v>11</v>
      </c>
      <c r="C1572" s="3" t="s">
        <v>974</v>
      </c>
      <c r="D1572" s="2"/>
      <c r="E1572" s="2" t="e">
        <f t="shared" si="0"/>
        <v>#VALUE!</v>
      </c>
    </row>
    <row r="1573" spans="1:5" ht="12.75" customHeight="1" x14ac:dyDescent="0.2">
      <c r="A1573" s="3"/>
      <c r="B1573" s="3" t="s">
        <v>18</v>
      </c>
      <c r="C1573" s="4" t="s">
        <v>19</v>
      </c>
      <c r="D1573" s="2"/>
      <c r="E1573" s="2" t="e">
        <f t="shared" si="0"/>
        <v>#VALUE!</v>
      </c>
    </row>
    <row r="1574" spans="1:5" ht="12.75" customHeight="1" x14ac:dyDescent="0.2">
      <c r="A1574" s="1" t="str">
        <f>HYPERLINK("javascript:void(0)","fülcsáp")</f>
        <v>fülcsáp</v>
      </c>
      <c r="B1574" s="1"/>
      <c r="C1574" s="1"/>
      <c r="D1574" s="2"/>
      <c r="E1574" s="2" t="e">
        <f t="shared" si="0"/>
        <v>#VALUE!</v>
      </c>
    </row>
    <row r="1575" spans="1:5" ht="12.75" customHeight="1" x14ac:dyDescent="0.2">
      <c r="A1575" s="3"/>
      <c r="B1575" s="3" t="s">
        <v>0</v>
      </c>
      <c r="C1575" s="3" t="s">
        <v>21</v>
      </c>
      <c r="D1575" s="2"/>
      <c r="E1575" s="2" t="e">
        <f t="shared" si="0"/>
        <v>#VALUE!</v>
      </c>
    </row>
    <row r="1576" spans="1:5" ht="12.75" customHeight="1" x14ac:dyDescent="0.2">
      <c r="A1576" s="3"/>
      <c r="B1576" s="3" t="s">
        <v>2</v>
      </c>
      <c r="C1576" s="3" t="s">
        <v>458</v>
      </c>
      <c r="D1576" s="2"/>
      <c r="E1576" s="2" t="e">
        <f t="shared" si="0"/>
        <v>#VALUE!</v>
      </c>
    </row>
    <row r="1577" spans="1:5" ht="12.75" customHeight="1" x14ac:dyDescent="0.2">
      <c r="A1577" s="3"/>
      <c r="B1577" s="3" t="s">
        <v>9</v>
      </c>
      <c r="C1577" s="3" t="s">
        <v>10</v>
      </c>
      <c r="D1577" s="2"/>
      <c r="E1577" s="2" t="e">
        <f t="shared" si="0"/>
        <v>#VALUE!</v>
      </c>
    </row>
    <row r="1578" spans="1:5" ht="12.75" customHeight="1" x14ac:dyDescent="0.2">
      <c r="A1578" s="3"/>
      <c r="B1578" s="3" t="s">
        <v>11</v>
      </c>
      <c r="C1578" s="3" t="s">
        <v>976</v>
      </c>
      <c r="D1578" s="2"/>
      <c r="E1578" s="2" t="e">
        <f t="shared" si="0"/>
        <v>#VALUE!</v>
      </c>
    </row>
    <row r="1579" spans="1:5" ht="12.75" customHeight="1" x14ac:dyDescent="0.2">
      <c r="A1579" s="3"/>
      <c r="B1579" s="3" t="s">
        <v>18</v>
      </c>
      <c r="C1579" s="4" t="s">
        <v>19</v>
      </c>
      <c r="D1579" s="2"/>
      <c r="E1579" s="2" t="e">
        <f t="shared" si="0"/>
        <v>#VALUE!</v>
      </c>
    </row>
    <row r="1580" spans="1:5" ht="12.75" customHeight="1" x14ac:dyDescent="0.2">
      <c r="A1580" s="1" t="str">
        <f>HYPERLINK("javascript:void(0)","főnixtoll")</f>
        <v>főnixtoll</v>
      </c>
      <c r="B1580" s="1"/>
      <c r="C1580" s="1"/>
      <c r="D1580" s="2"/>
      <c r="E1580" s="2" t="e">
        <f t="shared" si="0"/>
        <v>#VALUE!</v>
      </c>
    </row>
    <row r="1581" spans="1:5" ht="12.75" customHeight="1" x14ac:dyDescent="0.2">
      <c r="A1581" s="3"/>
      <c r="B1581" s="3" t="s">
        <v>0</v>
      </c>
      <c r="C1581" s="3" t="s">
        <v>21</v>
      </c>
      <c r="D1581" s="2"/>
      <c r="E1581" s="2" t="e">
        <f t="shared" si="0"/>
        <v>#VALUE!</v>
      </c>
    </row>
    <row r="1582" spans="1:5" ht="12.75" customHeight="1" x14ac:dyDescent="0.2">
      <c r="A1582" s="3"/>
      <c r="B1582" s="3" t="s">
        <v>2</v>
      </c>
      <c r="C1582" s="3" t="s">
        <v>458</v>
      </c>
      <c r="D1582" s="2"/>
      <c r="E1582" s="2" t="e">
        <f t="shared" si="0"/>
        <v>#VALUE!</v>
      </c>
    </row>
    <row r="1583" spans="1:5" ht="12.75" customHeight="1" x14ac:dyDescent="0.2">
      <c r="A1583" s="3"/>
      <c r="B1583" s="3" t="s">
        <v>9</v>
      </c>
      <c r="C1583" s="3" t="s">
        <v>513</v>
      </c>
      <c r="D1583" s="2"/>
      <c r="E1583" s="2" t="e">
        <f t="shared" si="0"/>
        <v>#VALUE!</v>
      </c>
    </row>
    <row r="1584" spans="1:5" ht="12.75" customHeight="1" x14ac:dyDescent="0.2">
      <c r="A1584" s="3"/>
      <c r="B1584" s="3" t="s">
        <v>11</v>
      </c>
      <c r="C1584" s="3" t="s">
        <v>457</v>
      </c>
      <c r="D1584" s="2"/>
      <c r="E1584" s="2" t="e">
        <f t="shared" si="0"/>
        <v>#VALUE!</v>
      </c>
    </row>
    <row r="1585" spans="1:5" ht="12.75" customHeight="1" x14ac:dyDescent="0.2">
      <c r="A1585" s="3"/>
      <c r="B1585" s="3" t="s">
        <v>18</v>
      </c>
      <c r="C1585" s="4" t="s">
        <v>19</v>
      </c>
      <c r="D1585" s="2"/>
      <c r="E1585" s="2" t="e">
        <f t="shared" si="0"/>
        <v>#VALUE!</v>
      </c>
    </row>
    <row r="1586" spans="1:5" ht="12.75" customHeight="1" x14ac:dyDescent="0.2">
      <c r="A1586" s="1" t="str">
        <f>HYPERLINK("javascript:void(0)","fűrészfog")</f>
        <v>fűrészfog</v>
      </c>
      <c r="B1586" s="1"/>
      <c r="C1586" s="1"/>
      <c r="D1586" s="2"/>
      <c r="E1586" s="2" t="e">
        <f t="shared" si="0"/>
        <v>#VALUE!</v>
      </c>
    </row>
    <row r="1587" spans="1:5" ht="12.75" customHeight="1" x14ac:dyDescent="0.2">
      <c r="A1587" s="3"/>
      <c r="B1587" s="3" t="s">
        <v>0</v>
      </c>
      <c r="C1587" s="3" t="s">
        <v>21</v>
      </c>
      <c r="D1587" s="2"/>
      <c r="E1587" s="2" t="e">
        <f t="shared" si="0"/>
        <v>#VALUE!</v>
      </c>
    </row>
    <row r="1588" spans="1:5" ht="12.75" customHeight="1" x14ac:dyDescent="0.2">
      <c r="A1588" s="3"/>
      <c r="B1588" s="3" t="s">
        <v>2</v>
      </c>
      <c r="C1588" s="3" t="s">
        <v>458</v>
      </c>
      <c r="D1588" s="2"/>
      <c r="E1588" s="2" t="e">
        <f t="shared" si="0"/>
        <v>#VALUE!</v>
      </c>
    </row>
    <row r="1589" spans="1:5" ht="12.75" customHeight="1" x14ac:dyDescent="0.2">
      <c r="A1589" s="3"/>
      <c r="B1589" s="3" t="s">
        <v>9</v>
      </c>
      <c r="C1589" s="3" t="s">
        <v>513</v>
      </c>
      <c r="D1589" s="2"/>
      <c r="E1589" s="2" t="e">
        <f t="shared" si="0"/>
        <v>#VALUE!</v>
      </c>
    </row>
    <row r="1590" spans="1:5" ht="12.75" customHeight="1" x14ac:dyDescent="0.2">
      <c r="A1590" s="3"/>
      <c r="B1590" s="3" t="s">
        <v>11</v>
      </c>
      <c r="C1590" s="3" t="s">
        <v>689</v>
      </c>
      <c r="D1590" s="2"/>
      <c r="E1590" s="2" t="e">
        <f t="shared" si="0"/>
        <v>#VALUE!</v>
      </c>
    </row>
    <row r="1591" spans="1:5" ht="12.75" customHeight="1" x14ac:dyDescent="0.2">
      <c r="A1591" s="3"/>
      <c r="B1591" s="3" t="s">
        <v>18</v>
      </c>
      <c r="C1591" s="4" t="s">
        <v>19</v>
      </c>
      <c r="D1591" s="2"/>
      <c r="E1591" s="2" t="e">
        <f t="shared" si="0"/>
        <v>#VALUE!</v>
      </c>
    </row>
    <row r="1592" spans="1:5" ht="12.75" customHeight="1" x14ac:dyDescent="0.2">
      <c r="A1592" s="1" t="str">
        <f>HYPERLINK("javascript:void(0)","gigacsigaház")</f>
        <v>gigacsigaház</v>
      </c>
      <c r="B1592" s="1"/>
      <c r="C1592" s="1"/>
      <c r="D1592" s="2"/>
      <c r="E1592" s="2" t="e">
        <f t="shared" si="0"/>
        <v>#VALUE!</v>
      </c>
    </row>
    <row r="1593" spans="1:5" ht="12.75" customHeight="1" x14ac:dyDescent="0.2">
      <c r="A1593" s="3"/>
      <c r="B1593" s="3" t="s">
        <v>0</v>
      </c>
      <c r="C1593" s="3" t="s">
        <v>21</v>
      </c>
      <c r="D1593" s="2"/>
      <c r="E1593" s="2" t="e">
        <f t="shared" si="0"/>
        <v>#VALUE!</v>
      </c>
    </row>
    <row r="1594" spans="1:5" ht="12.75" customHeight="1" x14ac:dyDescent="0.2">
      <c r="A1594" s="3"/>
      <c r="B1594" s="3" t="s">
        <v>2</v>
      </c>
      <c r="C1594" s="3" t="s">
        <v>458</v>
      </c>
      <c r="D1594" s="2"/>
      <c r="E1594" s="2" t="e">
        <f t="shared" si="0"/>
        <v>#VALUE!</v>
      </c>
    </row>
    <row r="1595" spans="1:5" ht="12.75" customHeight="1" x14ac:dyDescent="0.2">
      <c r="A1595" s="3"/>
      <c r="B1595" s="3" t="s">
        <v>9</v>
      </c>
      <c r="C1595" s="3" t="s">
        <v>22</v>
      </c>
      <c r="D1595" s="2"/>
      <c r="E1595" s="2" t="e">
        <f t="shared" si="0"/>
        <v>#VALUE!</v>
      </c>
    </row>
    <row r="1596" spans="1:5" ht="12.75" customHeight="1" x14ac:dyDescent="0.2">
      <c r="A1596" s="3"/>
      <c r="B1596" s="3" t="s">
        <v>11</v>
      </c>
      <c r="C1596" s="3" t="s">
        <v>395</v>
      </c>
      <c r="D1596" s="2"/>
      <c r="E1596" s="2" t="e">
        <f t="shared" si="0"/>
        <v>#VALUE!</v>
      </c>
    </row>
    <row r="1597" spans="1:5" ht="12.75" customHeight="1" x14ac:dyDescent="0.2">
      <c r="A1597" s="3"/>
      <c r="B1597" s="3" t="s">
        <v>18</v>
      </c>
      <c r="C1597" s="4" t="s">
        <v>19</v>
      </c>
      <c r="D1597" s="2"/>
      <c r="E1597" s="2" t="e">
        <f t="shared" si="0"/>
        <v>#VALUE!</v>
      </c>
    </row>
    <row r="1598" spans="1:5" ht="12.75" customHeight="1" x14ac:dyDescent="0.2">
      <c r="A1598" s="1" t="str">
        <f>HYPERLINK("javascript:void(0)","gigacsáp")</f>
        <v>gigacsáp</v>
      </c>
      <c r="B1598" s="1"/>
      <c r="C1598" s="1"/>
      <c r="D1598" s="2"/>
      <c r="E1598" s="2" t="e">
        <f t="shared" si="0"/>
        <v>#VALUE!</v>
      </c>
    </row>
    <row r="1599" spans="1:5" ht="12.75" customHeight="1" x14ac:dyDescent="0.2">
      <c r="A1599" s="3"/>
      <c r="B1599" s="3" t="s">
        <v>0</v>
      </c>
      <c r="C1599" s="3" t="s">
        <v>21</v>
      </c>
      <c r="D1599" s="2"/>
      <c r="E1599" s="2" t="e">
        <f t="shared" si="0"/>
        <v>#VALUE!</v>
      </c>
    </row>
    <row r="1600" spans="1:5" ht="12.75" customHeight="1" x14ac:dyDescent="0.2">
      <c r="A1600" s="3"/>
      <c r="B1600" s="3" t="s">
        <v>2</v>
      </c>
      <c r="C1600" s="3" t="s">
        <v>458</v>
      </c>
      <c r="D1600" s="2"/>
      <c r="E1600" s="2" t="e">
        <f t="shared" si="0"/>
        <v>#VALUE!</v>
      </c>
    </row>
    <row r="1601" spans="1:5" ht="12.75" customHeight="1" x14ac:dyDescent="0.2">
      <c r="A1601" s="3"/>
      <c r="B1601" s="3" t="s">
        <v>9</v>
      </c>
      <c r="C1601" s="3" t="s">
        <v>137</v>
      </c>
      <c r="D1601" s="2"/>
      <c r="E1601" s="2" t="e">
        <f t="shared" si="0"/>
        <v>#VALUE!</v>
      </c>
    </row>
    <row r="1602" spans="1:5" ht="12.75" customHeight="1" x14ac:dyDescent="0.2">
      <c r="A1602" s="3"/>
      <c r="B1602" s="3" t="s">
        <v>11</v>
      </c>
      <c r="C1602" s="3" t="s">
        <v>610</v>
      </c>
      <c r="D1602" s="2"/>
      <c r="E1602" s="2" t="e">
        <f t="shared" si="0"/>
        <v>#VALUE!</v>
      </c>
    </row>
    <row r="1603" spans="1:5" ht="12.75" customHeight="1" x14ac:dyDescent="0.2">
      <c r="A1603" s="3"/>
      <c r="B1603" s="3" t="s">
        <v>18</v>
      </c>
      <c r="C1603" s="4" t="s">
        <v>19</v>
      </c>
      <c r="D1603" s="2"/>
      <c r="E1603" s="2" t="e">
        <f t="shared" si="0"/>
        <v>#VALUE!</v>
      </c>
    </row>
    <row r="1604" spans="1:5" ht="12.75" customHeight="1" x14ac:dyDescent="0.2">
      <c r="A1604" s="1" t="str">
        <f>HYPERLINK("javascript:void(0)","gigaköröm")</f>
        <v>gigaköröm</v>
      </c>
      <c r="B1604" s="1"/>
      <c r="C1604" s="1"/>
      <c r="D1604" s="2"/>
      <c r="E1604" s="2" t="e">
        <f t="shared" si="0"/>
        <v>#VALUE!</v>
      </c>
    </row>
    <row r="1605" spans="1:5" ht="12.75" customHeight="1" x14ac:dyDescent="0.2">
      <c r="A1605" s="3"/>
      <c r="B1605" s="3" t="s">
        <v>0</v>
      </c>
      <c r="C1605" s="3" t="s">
        <v>21</v>
      </c>
      <c r="D1605" s="2"/>
      <c r="E1605" s="2" t="e">
        <f t="shared" si="0"/>
        <v>#VALUE!</v>
      </c>
    </row>
    <row r="1606" spans="1:5" ht="12.75" customHeight="1" x14ac:dyDescent="0.2">
      <c r="A1606" s="3"/>
      <c r="B1606" s="3" t="s">
        <v>2</v>
      </c>
      <c r="C1606" s="3" t="s">
        <v>458</v>
      </c>
      <c r="D1606" s="2"/>
      <c r="E1606" s="2" t="e">
        <f t="shared" si="0"/>
        <v>#VALUE!</v>
      </c>
    </row>
    <row r="1607" spans="1:5" ht="12.75" customHeight="1" x14ac:dyDescent="0.2">
      <c r="A1607" s="3"/>
      <c r="B1607" s="3" t="s">
        <v>9</v>
      </c>
      <c r="C1607" s="3" t="s">
        <v>981</v>
      </c>
      <c r="D1607" s="2"/>
      <c r="E1607" s="2" t="e">
        <f t="shared" si="0"/>
        <v>#VALUE!</v>
      </c>
    </row>
    <row r="1608" spans="1:5" ht="12.75" customHeight="1" x14ac:dyDescent="0.2">
      <c r="A1608" s="3"/>
      <c r="B1608" s="3" t="s">
        <v>11</v>
      </c>
      <c r="C1608" s="3" t="s">
        <v>515</v>
      </c>
      <c r="D1608" s="2"/>
      <c r="E1608" s="2" t="e">
        <f t="shared" si="0"/>
        <v>#VALUE!</v>
      </c>
    </row>
    <row r="1609" spans="1:5" ht="12.75" customHeight="1" x14ac:dyDescent="0.2">
      <c r="A1609" s="3"/>
      <c r="B1609" s="3" t="s">
        <v>18</v>
      </c>
      <c r="C1609" s="4" t="s">
        <v>19</v>
      </c>
      <c r="D1609" s="2"/>
      <c r="E1609" s="2" t="e">
        <f t="shared" si="0"/>
        <v>#VALUE!</v>
      </c>
    </row>
    <row r="1610" spans="1:5" ht="12.75" customHeight="1" x14ac:dyDescent="0.2">
      <c r="A1610" s="1" t="str">
        <f>HYPERLINK("javascript:void(0)","gillpenge")</f>
        <v>gillpenge</v>
      </c>
      <c r="B1610" s="1"/>
      <c r="C1610" s="1"/>
      <c r="D1610" s="2"/>
      <c r="E1610" s="2" t="e">
        <f t="shared" si="0"/>
        <v>#VALUE!</v>
      </c>
    </row>
    <row r="1611" spans="1:5" ht="12.75" customHeight="1" x14ac:dyDescent="0.2">
      <c r="A1611" s="3"/>
      <c r="B1611" s="3" t="s">
        <v>0</v>
      </c>
      <c r="C1611" s="3" t="s">
        <v>21</v>
      </c>
      <c r="D1611" s="2"/>
      <c r="E1611" s="2" t="e">
        <f t="shared" si="0"/>
        <v>#VALUE!</v>
      </c>
    </row>
    <row r="1612" spans="1:5" ht="12.75" customHeight="1" x14ac:dyDescent="0.2">
      <c r="A1612" s="3"/>
      <c r="B1612" s="3" t="s">
        <v>2</v>
      </c>
      <c r="C1612" s="3" t="s">
        <v>458</v>
      </c>
      <c r="D1612" s="2"/>
      <c r="E1612" s="2" t="e">
        <f t="shared" si="0"/>
        <v>#VALUE!</v>
      </c>
    </row>
    <row r="1613" spans="1:5" ht="12.75" customHeight="1" x14ac:dyDescent="0.2">
      <c r="A1613" s="3"/>
      <c r="B1613" s="3" t="s">
        <v>9</v>
      </c>
      <c r="C1613" s="3" t="s">
        <v>129</v>
      </c>
      <c r="D1613" s="2"/>
      <c r="E1613" s="2" t="e">
        <f t="shared" si="0"/>
        <v>#VALUE!</v>
      </c>
    </row>
    <row r="1614" spans="1:5" ht="12.75" customHeight="1" x14ac:dyDescent="0.2">
      <c r="A1614" s="3"/>
      <c r="B1614" s="3" t="s">
        <v>11</v>
      </c>
      <c r="C1614" s="3" t="s">
        <v>225</v>
      </c>
      <c r="D1614" s="2"/>
      <c r="E1614" s="2" t="e">
        <f t="shared" si="0"/>
        <v>#VALUE!</v>
      </c>
    </row>
    <row r="1615" spans="1:5" ht="12.75" customHeight="1" x14ac:dyDescent="0.2">
      <c r="A1615" s="3"/>
      <c r="B1615" s="3" t="s">
        <v>18</v>
      </c>
      <c r="C1615" s="4" t="s">
        <v>19</v>
      </c>
      <c r="D1615" s="2"/>
      <c r="E1615" s="2" t="e">
        <f t="shared" si="0"/>
        <v>#VALUE!</v>
      </c>
    </row>
    <row r="1616" spans="1:5" ht="12.75" customHeight="1" x14ac:dyDescent="0.2">
      <c r="A1616" s="1" t="str">
        <f>HYPERLINK("javascript:void(0)","goblinbatka")</f>
        <v>goblinbatka</v>
      </c>
      <c r="B1616" s="1"/>
      <c r="C1616" s="1"/>
      <c r="D1616" s="2"/>
      <c r="E1616" s="2" t="e">
        <f t="shared" si="0"/>
        <v>#VALUE!</v>
      </c>
    </row>
    <row r="1617" spans="1:5" ht="12.75" customHeight="1" x14ac:dyDescent="0.2">
      <c r="A1617" s="3"/>
      <c r="B1617" s="3" t="s">
        <v>0</v>
      </c>
      <c r="C1617" s="3" t="s">
        <v>21</v>
      </c>
      <c r="D1617" s="2"/>
      <c r="E1617" s="2" t="e">
        <f t="shared" si="0"/>
        <v>#VALUE!</v>
      </c>
    </row>
    <row r="1618" spans="1:5" ht="12.75" customHeight="1" x14ac:dyDescent="0.2">
      <c r="A1618" s="3"/>
      <c r="B1618" s="3" t="s">
        <v>2</v>
      </c>
      <c r="C1618" s="3" t="s">
        <v>458</v>
      </c>
      <c r="D1618" s="2"/>
      <c r="E1618" s="2" t="e">
        <f t="shared" si="0"/>
        <v>#VALUE!</v>
      </c>
    </row>
    <row r="1619" spans="1:5" ht="12.75" customHeight="1" x14ac:dyDescent="0.2">
      <c r="A1619" s="3"/>
      <c r="B1619" s="3" t="s">
        <v>9</v>
      </c>
      <c r="C1619" s="3" t="s">
        <v>404</v>
      </c>
      <c r="D1619" s="2"/>
      <c r="E1619" s="2" t="e">
        <f t="shared" si="0"/>
        <v>#VALUE!</v>
      </c>
    </row>
    <row r="1620" spans="1:5" ht="12.75" customHeight="1" x14ac:dyDescent="0.2">
      <c r="A1620" s="3"/>
      <c r="B1620" s="3" t="s">
        <v>11</v>
      </c>
      <c r="C1620" s="3" t="s">
        <v>986</v>
      </c>
      <c r="D1620" s="2"/>
      <c r="E1620" s="2" t="e">
        <f t="shared" si="0"/>
        <v>#VALUE!</v>
      </c>
    </row>
    <row r="1621" spans="1:5" ht="12.75" customHeight="1" x14ac:dyDescent="0.2">
      <c r="A1621" s="3"/>
      <c r="B1621" s="3" t="s">
        <v>18</v>
      </c>
      <c r="C1621" s="4" t="s">
        <v>19</v>
      </c>
      <c r="D1621" s="2"/>
      <c r="E1621" s="2" t="e">
        <f t="shared" si="0"/>
        <v>#VALUE!</v>
      </c>
    </row>
    <row r="1622" spans="1:5" ht="12.75" customHeight="1" x14ac:dyDescent="0.2">
      <c r="A1622" s="1" t="str">
        <f>HYPERLINK("javascript:void(0)","gorillanyelv")</f>
        <v>gorillanyelv</v>
      </c>
      <c r="B1622" s="1"/>
      <c r="C1622" s="1"/>
      <c r="D1622" s="2"/>
      <c r="E1622" s="2" t="e">
        <f t="shared" si="0"/>
        <v>#VALUE!</v>
      </c>
    </row>
    <row r="1623" spans="1:5" ht="12.75" customHeight="1" x14ac:dyDescent="0.2">
      <c r="A1623" s="3"/>
      <c r="B1623" s="3" t="s">
        <v>0</v>
      </c>
      <c r="C1623" s="3" t="s">
        <v>21</v>
      </c>
      <c r="D1623" s="2"/>
      <c r="E1623" s="2" t="e">
        <f t="shared" si="0"/>
        <v>#VALUE!</v>
      </c>
    </row>
    <row r="1624" spans="1:5" ht="12.75" customHeight="1" x14ac:dyDescent="0.2">
      <c r="A1624" s="3"/>
      <c r="B1624" s="3" t="s">
        <v>2</v>
      </c>
      <c r="C1624" s="3" t="s">
        <v>387</v>
      </c>
      <c r="D1624" s="2"/>
      <c r="E1624" s="2" t="e">
        <f t="shared" si="0"/>
        <v>#VALUE!</v>
      </c>
    </row>
    <row r="1625" spans="1:5" ht="12.75" customHeight="1" x14ac:dyDescent="0.2">
      <c r="A1625" s="3"/>
      <c r="B1625" s="3" t="s">
        <v>9</v>
      </c>
      <c r="C1625" s="3" t="s">
        <v>137</v>
      </c>
      <c r="D1625" s="2"/>
      <c r="E1625" s="2" t="e">
        <f t="shared" si="0"/>
        <v>#VALUE!</v>
      </c>
    </row>
    <row r="1626" spans="1:5" ht="12.75" customHeight="1" x14ac:dyDescent="0.2">
      <c r="A1626" s="3"/>
      <c r="B1626" s="3" t="s">
        <v>11</v>
      </c>
      <c r="C1626" s="3" t="s">
        <v>987</v>
      </c>
      <c r="D1626" s="2"/>
      <c r="E1626" s="2" t="e">
        <f t="shared" si="0"/>
        <v>#VALUE!</v>
      </c>
    </row>
    <row r="1627" spans="1:5" ht="12.75" customHeight="1" x14ac:dyDescent="0.2">
      <c r="A1627" s="3"/>
      <c r="B1627" s="3" t="s">
        <v>18</v>
      </c>
      <c r="C1627" s="4" t="s">
        <v>19</v>
      </c>
      <c r="D1627" s="2"/>
      <c r="E1627" s="2" t="e">
        <f t="shared" si="0"/>
        <v>#VALUE!</v>
      </c>
    </row>
    <row r="1628" spans="1:5" ht="12.75" customHeight="1" x14ac:dyDescent="0.2">
      <c r="A1628" s="1" t="str">
        <f>HYPERLINK("javascript:void(0)","grifftoll")</f>
        <v>grifftoll</v>
      </c>
      <c r="B1628" s="1"/>
      <c r="C1628" s="1"/>
      <c r="D1628" s="2"/>
      <c r="E1628" s="2" t="e">
        <f t="shared" si="0"/>
        <v>#VALUE!</v>
      </c>
    </row>
    <row r="1629" spans="1:5" ht="12.75" customHeight="1" x14ac:dyDescent="0.2">
      <c r="A1629" s="3"/>
      <c r="B1629" s="3" t="s">
        <v>0</v>
      </c>
      <c r="C1629" s="3" t="s">
        <v>21</v>
      </c>
      <c r="D1629" s="2"/>
      <c r="E1629" s="2" t="e">
        <f t="shared" si="0"/>
        <v>#VALUE!</v>
      </c>
    </row>
    <row r="1630" spans="1:5" ht="12.75" customHeight="1" x14ac:dyDescent="0.2">
      <c r="A1630" s="3"/>
      <c r="B1630" s="3" t="s">
        <v>2</v>
      </c>
      <c r="C1630" s="3" t="s">
        <v>458</v>
      </c>
      <c r="D1630" s="2"/>
      <c r="E1630" s="2" t="e">
        <f t="shared" si="0"/>
        <v>#VALUE!</v>
      </c>
    </row>
    <row r="1631" spans="1:5" ht="12.75" customHeight="1" x14ac:dyDescent="0.2">
      <c r="A1631" s="3"/>
      <c r="B1631" s="3" t="s">
        <v>9</v>
      </c>
      <c r="C1631" s="3" t="s">
        <v>22</v>
      </c>
      <c r="D1631" s="2"/>
      <c r="E1631" s="2" t="e">
        <f t="shared" si="0"/>
        <v>#VALUE!</v>
      </c>
    </row>
    <row r="1632" spans="1:5" ht="12.75" customHeight="1" x14ac:dyDescent="0.2">
      <c r="A1632" s="3"/>
      <c r="B1632" s="3" t="s">
        <v>11</v>
      </c>
      <c r="C1632" s="3" t="s">
        <v>989</v>
      </c>
      <c r="D1632" s="2"/>
      <c r="E1632" s="2" t="e">
        <f t="shared" si="0"/>
        <v>#VALUE!</v>
      </c>
    </row>
    <row r="1633" spans="1:5" ht="12.75" customHeight="1" x14ac:dyDescent="0.2">
      <c r="A1633" s="3"/>
      <c r="B1633" s="3" t="s">
        <v>18</v>
      </c>
      <c r="C1633" s="4" t="s">
        <v>19</v>
      </c>
      <c r="D1633" s="2"/>
      <c r="E1633" s="2" t="e">
        <f t="shared" si="0"/>
        <v>#VALUE!</v>
      </c>
    </row>
    <row r="1634" spans="1:5" ht="12.75" customHeight="1" x14ac:dyDescent="0.2">
      <c r="A1634" s="1" t="str">
        <f>HYPERLINK("javascript:void(0)","gránitpikkely")</f>
        <v>gránitpikkely</v>
      </c>
      <c r="B1634" s="1"/>
      <c r="C1634" s="1"/>
      <c r="D1634" s="2"/>
      <c r="E1634" s="2" t="e">
        <f t="shared" si="0"/>
        <v>#VALUE!</v>
      </c>
    </row>
    <row r="1635" spans="1:5" ht="12.75" customHeight="1" x14ac:dyDescent="0.2">
      <c r="A1635" s="3"/>
      <c r="B1635" s="3" t="s">
        <v>0</v>
      </c>
      <c r="C1635" s="3" t="s">
        <v>21</v>
      </c>
      <c r="D1635" s="2"/>
      <c r="E1635" s="2" t="e">
        <f t="shared" si="0"/>
        <v>#VALUE!</v>
      </c>
    </row>
    <row r="1636" spans="1:5" ht="12.75" customHeight="1" x14ac:dyDescent="0.2">
      <c r="A1636" s="3"/>
      <c r="B1636" s="3" t="s">
        <v>2</v>
      </c>
      <c r="C1636" s="3" t="s">
        <v>458</v>
      </c>
      <c r="D1636" s="2"/>
      <c r="E1636" s="2" t="e">
        <f t="shared" si="0"/>
        <v>#VALUE!</v>
      </c>
    </row>
    <row r="1637" spans="1:5" ht="12.75" customHeight="1" x14ac:dyDescent="0.2">
      <c r="A1637" s="3"/>
      <c r="B1637" s="3" t="s">
        <v>9</v>
      </c>
      <c r="C1637" s="3" t="s">
        <v>22</v>
      </c>
      <c r="D1637" s="2"/>
      <c r="E1637" s="2" t="e">
        <f t="shared" si="0"/>
        <v>#VALUE!</v>
      </c>
    </row>
    <row r="1638" spans="1:5" ht="12.75" customHeight="1" x14ac:dyDescent="0.2">
      <c r="A1638" s="3"/>
      <c r="B1638" s="3" t="s">
        <v>11</v>
      </c>
      <c r="C1638" s="3" t="s">
        <v>23</v>
      </c>
      <c r="D1638" s="2"/>
      <c r="E1638" s="2" t="e">
        <f t="shared" si="0"/>
        <v>#VALUE!</v>
      </c>
    </row>
    <row r="1639" spans="1:5" ht="12.75" customHeight="1" x14ac:dyDescent="0.2">
      <c r="A1639" s="3"/>
      <c r="B1639" s="3" t="s">
        <v>16</v>
      </c>
      <c r="C1639" s="3" t="s">
        <v>574</v>
      </c>
      <c r="D1639" s="2"/>
      <c r="E1639" s="2" t="e">
        <f t="shared" si="0"/>
        <v>#VALUE!</v>
      </c>
    </row>
    <row r="1640" spans="1:5" ht="12.75" customHeight="1" x14ac:dyDescent="0.2">
      <c r="A1640" s="3"/>
      <c r="B1640" s="3" t="s">
        <v>18</v>
      </c>
      <c r="C1640" s="4" t="s">
        <v>19</v>
      </c>
      <c r="D1640" s="2"/>
      <c r="E1640" s="2" t="e">
        <f t="shared" si="0"/>
        <v>#VALUE!</v>
      </c>
    </row>
    <row r="1641" spans="1:5" ht="12.75" customHeight="1" x14ac:dyDescent="0.2">
      <c r="A1641" s="1" t="str">
        <f>HYPERLINK("javascript:void(0)","gumicucore")</f>
        <v>gumicucore</v>
      </c>
      <c r="B1641" s="1"/>
      <c r="C1641" s="1"/>
      <c r="D1641" s="2"/>
      <c r="E1641" s="2" t="e">
        <f t="shared" si="0"/>
        <v>#VALUE!</v>
      </c>
    </row>
    <row r="1642" spans="1:5" ht="12.75" customHeight="1" x14ac:dyDescent="0.2">
      <c r="A1642" s="3"/>
      <c r="B1642" s="3" t="s">
        <v>0</v>
      </c>
      <c r="C1642" s="3" t="s">
        <v>21</v>
      </c>
      <c r="D1642" s="2"/>
      <c r="E1642" s="2" t="e">
        <f t="shared" si="0"/>
        <v>#VALUE!</v>
      </c>
    </row>
    <row r="1643" spans="1:5" ht="12.75" customHeight="1" x14ac:dyDescent="0.2">
      <c r="A1643" s="3"/>
      <c r="B1643" s="3" t="s">
        <v>2</v>
      </c>
      <c r="C1643" s="3" t="s">
        <v>458</v>
      </c>
      <c r="D1643" s="2"/>
      <c r="E1643" s="2" t="e">
        <f t="shared" si="0"/>
        <v>#VALUE!</v>
      </c>
    </row>
    <row r="1644" spans="1:5" ht="12.75" customHeight="1" x14ac:dyDescent="0.2">
      <c r="A1644" s="3"/>
      <c r="B1644" s="3" t="s">
        <v>9</v>
      </c>
      <c r="C1644" s="3" t="s">
        <v>22</v>
      </c>
      <c r="D1644" s="2"/>
      <c r="E1644" s="2" t="e">
        <f t="shared" si="0"/>
        <v>#VALUE!</v>
      </c>
    </row>
    <row r="1645" spans="1:5" ht="12.75" customHeight="1" x14ac:dyDescent="0.2">
      <c r="A1645" s="3"/>
      <c r="B1645" s="3" t="s">
        <v>11</v>
      </c>
      <c r="C1645" s="3" t="s">
        <v>89</v>
      </c>
      <c r="D1645" s="2"/>
      <c r="E1645" s="2" t="e">
        <f t="shared" si="0"/>
        <v>#VALUE!</v>
      </c>
    </row>
    <row r="1646" spans="1:5" ht="12.75" customHeight="1" x14ac:dyDescent="0.2">
      <c r="A1646" s="3"/>
      <c r="B1646" s="3" t="s">
        <v>18</v>
      </c>
      <c r="C1646" s="4" t="s">
        <v>19</v>
      </c>
      <c r="D1646" s="2"/>
      <c r="E1646" s="2" t="e">
        <f t="shared" si="0"/>
        <v>#VALUE!</v>
      </c>
    </row>
    <row r="1647" spans="1:5" ht="12.75" customHeight="1" x14ac:dyDescent="0.2">
      <c r="A1647" s="1" t="str">
        <f>HYPERLINK("javascript:void(0)","gumilepedő")</f>
        <v>gumilepedő</v>
      </c>
      <c r="B1647" s="1"/>
      <c r="C1647" s="1"/>
      <c r="D1647" s="2"/>
      <c r="E1647" s="2" t="e">
        <f t="shared" si="0"/>
        <v>#VALUE!</v>
      </c>
    </row>
    <row r="1648" spans="1:5" ht="12.75" customHeight="1" x14ac:dyDescent="0.2">
      <c r="A1648" s="3"/>
      <c r="B1648" s="3" t="s">
        <v>0</v>
      </c>
      <c r="C1648" s="3" t="s">
        <v>21</v>
      </c>
      <c r="D1648" s="2"/>
      <c r="E1648" s="2" t="e">
        <f t="shared" si="0"/>
        <v>#VALUE!</v>
      </c>
    </row>
    <row r="1649" spans="1:5" ht="12.75" customHeight="1" x14ac:dyDescent="0.2">
      <c r="A1649" s="3"/>
      <c r="B1649" s="3" t="s">
        <v>2</v>
      </c>
      <c r="C1649" s="3" t="s">
        <v>458</v>
      </c>
      <c r="D1649" s="2"/>
      <c r="E1649" s="2" t="e">
        <f t="shared" si="0"/>
        <v>#VALUE!</v>
      </c>
    </row>
    <row r="1650" spans="1:5" ht="12.75" customHeight="1" x14ac:dyDescent="0.2">
      <c r="A1650" s="3"/>
      <c r="B1650" s="3" t="s">
        <v>9</v>
      </c>
      <c r="C1650" s="3" t="s">
        <v>22</v>
      </c>
      <c r="D1650" s="2"/>
      <c r="E1650" s="2" t="e">
        <f t="shared" si="0"/>
        <v>#VALUE!</v>
      </c>
    </row>
    <row r="1651" spans="1:5" ht="12.75" customHeight="1" x14ac:dyDescent="0.2">
      <c r="A1651" s="3"/>
      <c r="B1651" s="3" t="s">
        <v>11</v>
      </c>
      <c r="C1651" s="3" t="s">
        <v>994</v>
      </c>
      <c r="D1651" s="2"/>
      <c r="E1651" s="2" t="e">
        <f t="shared" si="0"/>
        <v>#VALUE!</v>
      </c>
    </row>
    <row r="1652" spans="1:5" ht="12.75" customHeight="1" x14ac:dyDescent="0.2">
      <c r="A1652" s="3"/>
      <c r="B1652" s="3" t="s">
        <v>18</v>
      </c>
      <c r="C1652" s="4" t="s">
        <v>19</v>
      </c>
      <c r="D1652" s="2"/>
      <c r="E1652" s="2" t="e">
        <f t="shared" si="0"/>
        <v>#VALUE!</v>
      </c>
    </row>
    <row r="1653" spans="1:5" ht="12.75" customHeight="1" x14ac:dyDescent="0.2">
      <c r="A1653" s="1" t="str">
        <f>HYPERLINK("javascript:void(0)","gyomorgörcs")</f>
        <v>gyomorgörcs</v>
      </c>
      <c r="B1653" s="1"/>
      <c r="C1653" s="1"/>
      <c r="D1653" s="2"/>
      <c r="E1653" s="2" t="e">
        <f t="shared" si="0"/>
        <v>#VALUE!</v>
      </c>
    </row>
    <row r="1654" spans="1:5" ht="12.75" customHeight="1" x14ac:dyDescent="0.2">
      <c r="A1654" s="3"/>
      <c r="B1654" s="3" t="s">
        <v>0</v>
      </c>
      <c r="C1654" s="3" t="s">
        <v>21</v>
      </c>
      <c r="D1654" s="2"/>
      <c r="E1654" s="2" t="e">
        <f t="shared" si="0"/>
        <v>#VALUE!</v>
      </c>
    </row>
    <row r="1655" spans="1:5" ht="12.75" customHeight="1" x14ac:dyDescent="0.2">
      <c r="A1655" s="3"/>
      <c r="B1655" s="3" t="s">
        <v>2</v>
      </c>
      <c r="C1655" s="3" t="s">
        <v>458</v>
      </c>
      <c r="D1655" s="2"/>
      <c r="E1655" s="2" t="e">
        <f t="shared" si="0"/>
        <v>#VALUE!</v>
      </c>
    </row>
    <row r="1656" spans="1:5" ht="12.75" customHeight="1" x14ac:dyDescent="0.2">
      <c r="A1656" s="3"/>
      <c r="B1656" s="3" t="s">
        <v>9</v>
      </c>
      <c r="C1656" s="3" t="s">
        <v>981</v>
      </c>
      <c r="D1656" s="2"/>
      <c r="E1656" s="2" t="e">
        <f t="shared" si="0"/>
        <v>#VALUE!</v>
      </c>
    </row>
    <row r="1657" spans="1:5" ht="12.75" customHeight="1" x14ac:dyDescent="0.2">
      <c r="A1657" s="3"/>
      <c r="B1657" s="3" t="s">
        <v>11</v>
      </c>
      <c r="C1657" s="3" t="s">
        <v>227</v>
      </c>
      <c r="D1657" s="2"/>
      <c r="E1657" s="2" t="e">
        <f t="shared" si="0"/>
        <v>#VALUE!</v>
      </c>
    </row>
    <row r="1658" spans="1:5" ht="12.75" customHeight="1" x14ac:dyDescent="0.2">
      <c r="A1658" s="3"/>
      <c r="B1658" s="3" t="s">
        <v>18</v>
      </c>
      <c r="C1658" s="4" t="s">
        <v>19</v>
      </c>
      <c r="D1658" s="2"/>
      <c r="E1658" s="2" t="e">
        <f t="shared" si="0"/>
        <v>#VALUE!</v>
      </c>
    </row>
    <row r="1659" spans="1:5" ht="12.75" customHeight="1" x14ac:dyDescent="0.2">
      <c r="A1659" s="1" t="str">
        <f>HYPERLINK("javascript:void(0)","gyutacs")</f>
        <v>gyutacs</v>
      </c>
      <c r="B1659" s="1"/>
      <c r="C1659" s="1"/>
      <c r="D1659" s="2"/>
      <c r="E1659" s="2" t="e">
        <f t="shared" si="0"/>
        <v>#VALUE!</v>
      </c>
    </row>
    <row r="1660" spans="1:5" ht="12.75" customHeight="1" x14ac:dyDescent="0.2">
      <c r="A1660" s="3"/>
      <c r="B1660" s="3" t="s">
        <v>0</v>
      </c>
      <c r="C1660" s="3" t="s">
        <v>21</v>
      </c>
      <c r="D1660" s="2"/>
      <c r="E1660" s="2" t="e">
        <f t="shared" si="0"/>
        <v>#VALUE!</v>
      </c>
    </row>
    <row r="1661" spans="1:5" ht="12.75" customHeight="1" x14ac:dyDescent="0.2">
      <c r="A1661" s="3"/>
      <c r="B1661" s="3" t="s">
        <v>2</v>
      </c>
      <c r="C1661" s="3" t="s">
        <v>458</v>
      </c>
      <c r="D1661" s="2"/>
      <c r="E1661" s="2" t="e">
        <f t="shared" si="0"/>
        <v>#VALUE!</v>
      </c>
    </row>
    <row r="1662" spans="1:5" ht="12.75" customHeight="1" x14ac:dyDescent="0.2">
      <c r="A1662" s="3"/>
      <c r="B1662" s="3" t="s">
        <v>9</v>
      </c>
      <c r="C1662" s="3" t="s">
        <v>53</v>
      </c>
      <c r="D1662" s="2"/>
      <c r="E1662" s="2" t="e">
        <f t="shared" si="0"/>
        <v>#VALUE!</v>
      </c>
    </row>
    <row r="1663" spans="1:5" ht="12.75" customHeight="1" x14ac:dyDescent="0.2">
      <c r="A1663" s="3"/>
      <c r="B1663" s="3" t="s">
        <v>11</v>
      </c>
      <c r="C1663" s="3" t="s">
        <v>976</v>
      </c>
      <c r="D1663" s="2"/>
      <c r="E1663" s="2" t="e">
        <f t="shared" si="0"/>
        <v>#VALUE!</v>
      </c>
    </row>
    <row r="1664" spans="1:5" ht="12.75" customHeight="1" x14ac:dyDescent="0.2">
      <c r="A1664" s="3"/>
      <c r="B1664" s="3" t="s">
        <v>18</v>
      </c>
      <c r="C1664" s="4" t="s">
        <v>19</v>
      </c>
      <c r="D1664" s="2"/>
      <c r="E1664" s="2" t="e">
        <f t="shared" si="0"/>
        <v>#VALUE!</v>
      </c>
    </row>
    <row r="1665" spans="1:5" ht="12.75" customHeight="1" x14ac:dyDescent="0.2">
      <c r="A1665" s="1" t="str">
        <f>HYPERLINK("javascript:void(0)","gyémánt")</f>
        <v>gyémánt</v>
      </c>
      <c r="B1665" s="1"/>
      <c r="C1665" s="1"/>
      <c r="D1665" s="2"/>
      <c r="E1665" s="2" t="e">
        <f t="shared" si="0"/>
        <v>#VALUE!</v>
      </c>
    </row>
    <row r="1666" spans="1:5" ht="12.75" customHeight="1" x14ac:dyDescent="0.2">
      <c r="A1666" s="3"/>
      <c r="B1666" s="3" t="s">
        <v>0</v>
      </c>
      <c r="C1666" s="3" t="s">
        <v>21</v>
      </c>
      <c r="D1666" s="2"/>
      <c r="E1666" s="2" t="e">
        <f t="shared" si="0"/>
        <v>#VALUE!</v>
      </c>
    </row>
    <row r="1667" spans="1:5" ht="12.75" customHeight="1" x14ac:dyDescent="0.2">
      <c r="A1667" s="3"/>
      <c r="B1667" s="3" t="s">
        <v>2</v>
      </c>
      <c r="C1667" s="3" t="s">
        <v>564</v>
      </c>
      <c r="D1667" s="2"/>
      <c r="E1667" s="2" t="e">
        <f t="shared" si="0"/>
        <v>#VALUE!</v>
      </c>
    </row>
    <row r="1668" spans="1:5" ht="12.75" customHeight="1" x14ac:dyDescent="0.2">
      <c r="A1668" s="3"/>
      <c r="B1668" s="3" t="s">
        <v>9</v>
      </c>
      <c r="C1668" s="3" t="s">
        <v>565</v>
      </c>
      <c r="D1668" s="2"/>
      <c r="E1668" s="2" t="e">
        <f t="shared" si="0"/>
        <v>#VALUE!</v>
      </c>
    </row>
    <row r="1669" spans="1:5" ht="12.75" customHeight="1" x14ac:dyDescent="0.2">
      <c r="A1669" s="3"/>
      <c r="B1669" s="3" t="s">
        <v>11</v>
      </c>
      <c r="C1669" s="3" t="s">
        <v>695</v>
      </c>
      <c r="D1669" s="2"/>
      <c r="E1669" s="2" t="e">
        <f t="shared" si="0"/>
        <v>#VALUE!</v>
      </c>
    </row>
    <row r="1670" spans="1:5" ht="12.75" customHeight="1" x14ac:dyDescent="0.2">
      <c r="A1670" s="3"/>
      <c r="B1670" s="3" t="s">
        <v>18</v>
      </c>
      <c r="C1670" s="4" t="s">
        <v>19</v>
      </c>
      <c r="D1670" s="2"/>
      <c r="E1670" s="2" t="e">
        <f t="shared" si="0"/>
        <v>#VALUE!</v>
      </c>
    </row>
    <row r="1671" spans="1:5" ht="12.75" customHeight="1" x14ac:dyDescent="0.2">
      <c r="A1671" s="1" t="str">
        <f>HYPERLINK("javascript:void(0)","gyémántkarika")</f>
        <v>gyémántkarika</v>
      </c>
      <c r="B1671" s="1"/>
      <c r="C1671" s="1"/>
      <c r="D1671" s="2"/>
      <c r="E1671" s="2" t="e">
        <f t="shared" si="0"/>
        <v>#VALUE!</v>
      </c>
    </row>
    <row r="1672" spans="1:5" ht="12.75" customHeight="1" x14ac:dyDescent="0.2">
      <c r="A1672" s="3"/>
      <c r="B1672" s="3" t="s">
        <v>0</v>
      </c>
      <c r="C1672" s="3" t="s">
        <v>21</v>
      </c>
      <c r="D1672" s="2"/>
      <c r="E1672" s="2" t="e">
        <f t="shared" si="0"/>
        <v>#VALUE!</v>
      </c>
    </row>
    <row r="1673" spans="1:5" ht="12.75" customHeight="1" x14ac:dyDescent="0.2">
      <c r="A1673" s="3"/>
      <c r="B1673" s="3" t="s">
        <v>2</v>
      </c>
      <c r="C1673" s="3" t="s">
        <v>458</v>
      </c>
      <c r="D1673" s="2"/>
      <c r="E1673" s="2" t="e">
        <f t="shared" si="0"/>
        <v>#VALUE!</v>
      </c>
    </row>
    <row r="1674" spans="1:5" ht="12.75" customHeight="1" x14ac:dyDescent="0.2">
      <c r="A1674" s="3"/>
      <c r="B1674" s="3" t="s">
        <v>9</v>
      </c>
      <c r="C1674" s="3" t="s">
        <v>22</v>
      </c>
      <c r="D1674" s="2"/>
      <c r="E1674" s="2" t="e">
        <f t="shared" si="0"/>
        <v>#VALUE!</v>
      </c>
    </row>
    <row r="1675" spans="1:5" ht="12.75" customHeight="1" x14ac:dyDescent="0.2">
      <c r="A1675" s="3"/>
      <c r="B1675" s="3" t="s">
        <v>11</v>
      </c>
      <c r="C1675" s="3" t="s">
        <v>998</v>
      </c>
      <c r="D1675" s="2"/>
      <c r="E1675" s="2" t="e">
        <f t="shared" si="0"/>
        <v>#VALUE!</v>
      </c>
    </row>
    <row r="1676" spans="1:5" ht="12.75" customHeight="1" x14ac:dyDescent="0.2">
      <c r="A1676" s="3"/>
      <c r="B1676" s="3" t="s">
        <v>18</v>
      </c>
      <c r="C1676" s="4" t="s">
        <v>19</v>
      </c>
      <c r="D1676" s="2"/>
      <c r="E1676" s="2" t="e">
        <f t="shared" si="0"/>
        <v>#VALUE!</v>
      </c>
    </row>
    <row r="1677" spans="1:5" ht="12.75" customHeight="1" x14ac:dyDescent="0.2">
      <c r="A1677" s="1" t="str">
        <f>HYPERLINK("javascript:void(0)","gyémántpikkely")</f>
        <v>gyémántpikkely</v>
      </c>
      <c r="B1677" s="1"/>
      <c r="C1677" s="1"/>
      <c r="D1677" s="2"/>
      <c r="E1677" s="2" t="e">
        <f t="shared" si="0"/>
        <v>#VALUE!</v>
      </c>
    </row>
    <row r="1678" spans="1:5" ht="12.75" customHeight="1" x14ac:dyDescent="0.2">
      <c r="A1678" s="3"/>
      <c r="B1678" s="3" t="s">
        <v>0</v>
      </c>
      <c r="C1678" s="3" t="s">
        <v>21</v>
      </c>
      <c r="D1678" s="2"/>
      <c r="E1678" s="2" t="e">
        <f t="shared" si="0"/>
        <v>#VALUE!</v>
      </c>
    </row>
    <row r="1679" spans="1:5" ht="12.75" customHeight="1" x14ac:dyDescent="0.2">
      <c r="A1679" s="3"/>
      <c r="B1679" s="3" t="s">
        <v>2</v>
      </c>
      <c r="C1679" s="3" t="s">
        <v>458</v>
      </c>
      <c r="D1679" s="2"/>
      <c r="E1679" s="2" t="e">
        <f t="shared" si="0"/>
        <v>#VALUE!</v>
      </c>
    </row>
    <row r="1680" spans="1:5" ht="12.75" customHeight="1" x14ac:dyDescent="0.2">
      <c r="A1680" s="3"/>
      <c r="B1680" s="3" t="s">
        <v>9</v>
      </c>
      <c r="C1680" s="3" t="s">
        <v>22</v>
      </c>
      <c r="D1680" s="2"/>
      <c r="E1680" s="2" t="e">
        <f t="shared" si="0"/>
        <v>#VALUE!</v>
      </c>
    </row>
    <row r="1681" spans="1:5" ht="12.75" customHeight="1" x14ac:dyDescent="0.2">
      <c r="A1681" s="3"/>
      <c r="B1681" s="3" t="s">
        <v>11</v>
      </c>
      <c r="C1681" s="3" t="s">
        <v>23</v>
      </c>
      <c r="D1681" s="2"/>
      <c r="E1681" s="2" t="e">
        <f t="shared" si="0"/>
        <v>#VALUE!</v>
      </c>
    </row>
    <row r="1682" spans="1:5" ht="12.75" customHeight="1" x14ac:dyDescent="0.2">
      <c r="A1682" s="3"/>
      <c r="B1682" s="3" t="s">
        <v>16</v>
      </c>
      <c r="C1682" s="3" t="s">
        <v>574</v>
      </c>
      <c r="D1682" s="2"/>
      <c r="E1682" s="2" t="e">
        <f t="shared" si="0"/>
        <v>#VALUE!</v>
      </c>
    </row>
    <row r="1683" spans="1:5" ht="12.75" customHeight="1" x14ac:dyDescent="0.2">
      <c r="A1683" s="3"/>
      <c r="B1683" s="3" t="s">
        <v>18</v>
      </c>
      <c r="C1683" s="4" t="s">
        <v>19</v>
      </c>
      <c r="D1683" s="2"/>
      <c r="E1683" s="2" t="e">
        <f t="shared" si="0"/>
        <v>#VALUE!</v>
      </c>
    </row>
    <row r="1684" spans="1:5" ht="12.75" customHeight="1" x14ac:dyDescent="0.2">
      <c r="A1684" s="1" t="str">
        <f>HYPERLINK("javascript:void(0)","gyémántszeg")</f>
        <v>gyémántszeg</v>
      </c>
      <c r="B1684" s="1"/>
      <c r="C1684" s="1"/>
      <c r="D1684" s="2"/>
      <c r="E1684" s="2" t="e">
        <f t="shared" si="0"/>
        <v>#VALUE!</v>
      </c>
    </row>
    <row r="1685" spans="1:5" ht="12.75" customHeight="1" x14ac:dyDescent="0.2">
      <c r="A1685" s="3"/>
      <c r="B1685" s="3" t="s">
        <v>0</v>
      </c>
      <c r="C1685" s="3" t="s">
        <v>21</v>
      </c>
      <c r="D1685" s="2"/>
      <c r="E1685" s="2" t="e">
        <f t="shared" si="0"/>
        <v>#VALUE!</v>
      </c>
    </row>
    <row r="1686" spans="1:5" ht="12.75" customHeight="1" x14ac:dyDescent="0.2">
      <c r="A1686" s="3"/>
      <c r="B1686" s="3" t="s">
        <v>2</v>
      </c>
      <c r="C1686" s="3" t="s">
        <v>458</v>
      </c>
      <c r="D1686" s="2"/>
      <c r="E1686" s="2" t="e">
        <f t="shared" si="0"/>
        <v>#VALUE!</v>
      </c>
    </row>
    <row r="1687" spans="1:5" ht="12.75" customHeight="1" x14ac:dyDescent="0.2">
      <c r="A1687" s="3"/>
      <c r="B1687" s="3" t="s">
        <v>9</v>
      </c>
      <c r="C1687" s="3" t="s">
        <v>10</v>
      </c>
      <c r="D1687" s="2"/>
      <c r="E1687" s="2" t="e">
        <f t="shared" si="0"/>
        <v>#VALUE!</v>
      </c>
    </row>
    <row r="1688" spans="1:5" ht="12.75" customHeight="1" x14ac:dyDescent="0.2">
      <c r="A1688" s="3"/>
      <c r="B1688" s="3" t="s">
        <v>11</v>
      </c>
      <c r="C1688" s="3" t="s">
        <v>1003</v>
      </c>
      <c r="D1688" s="2"/>
      <c r="E1688" s="2" t="e">
        <f t="shared" si="0"/>
        <v>#VALUE!</v>
      </c>
    </row>
    <row r="1689" spans="1:5" ht="12.75" customHeight="1" x14ac:dyDescent="0.2">
      <c r="A1689" s="3"/>
      <c r="B1689" s="3" t="s">
        <v>16</v>
      </c>
      <c r="C1689" s="3" t="s">
        <v>1004</v>
      </c>
      <c r="D1689" s="2"/>
      <c r="E1689" s="2" t="e">
        <f t="shared" si="0"/>
        <v>#VALUE!</v>
      </c>
    </row>
    <row r="1690" spans="1:5" ht="12.75" customHeight="1" x14ac:dyDescent="0.2">
      <c r="A1690" s="3"/>
      <c r="B1690" s="3" t="s">
        <v>18</v>
      </c>
      <c r="C1690" s="4" t="s">
        <v>19</v>
      </c>
      <c r="D1690" s="2"/>
      <c r="E1690" s="2" t="e">
        <f t="shared" si="0"/>
        <v>#VALUE!</v>
      </c>
    </row>
    <row r="1691" spans="1:5" ht="12.75" customHeight="1" x14ac:dyDescent="0.2">
      <c r="A1691" s="1" t="str">
        <f>HYPERLINK("javascript:void(0)","gyémántásó")</f>
        <v>gyémántásó</v>
      </c>
      <c r="B1691" s="1"/>
      <c r="C1691" s="1"/>
      <c r="D1691" s="2"/>
      <c r="E1691" s="2" t="e">
        <f t="shared" si="0"/>
        <v>#VALUE!</v>
      </c>
    </row>
    <row r="1692" spans="1:5" ht="12.75" customHeight="1" x14ac:dyDescent="0.2">
      <c r="A1692" s="3"/>
      <c r="B1692" s="3" t="s">
        <v>0</v>
      </c>
      <c r="C1692" s="3" t="s">
        <v>21</v>
      </c>
      <c r="D1692" s="2"/>
      <c r="E1692" s="2" t="e">
        <f t="shared" si="0"/>
        <v>#VALUE!</v>
      </c>
    </row>
    <row r="1693" spans="1:5" ht="12.75" customHeight="1" x14ac:dyDescent="0.2">
      <c r="A1693" s="3"/>
      <c r="B1693" s="3" t="s">
        <v>2</v>
      </c>
      <c r="C1693" s="3" t="s">
        <v>387</v>
      </c>
      <c r="D1693" s="2"/>
      <c r="E1693" s="2" t="e">
        <f t="shared" si="0"/>
        <v>#VALUE!</v>
      </c>
    </row>
    <row r="1694" spans="1:5" ht="12.75" customHeight="1" x14ac:dyDescent="0.2">
      <c r="A1694" s="3"/>
      <c r="B1694" s="3" t="s">
        <v>9</v>
      </c>
      <c r="C1694" s="3" t="s">
        <v>42</v>
      </c>
      <c r="D1694" s="2"/>
      <c r="E1694" s="2" t="e">
        <f t="shared" si="0"/>
        <v>#VALUE!</v>
      </c>
    </row>
    <row r="1695" spans="1:5" ht="12.75" customHeight="1" x14ac:dyDescent="0.2">
      <c r="A1695" s="3"/>
      <c r="B1695" s="3" t="s">
        <v>11</v>
      </c>
      <c r="C1695" s="3" t="s">
        <v>23</v>
      </c>
      <c r="D1695" s="2"/>
      <c r="E1695" s="2" t="e">
        <f t="shared" si="0"/>
        <v>#VALUE!</v>
      </c>
    </row>
    <row r="1696" spans="1:5" ht="12.75" customHeight="1" x14ac:dyDescent="0.2">
      <c r="A1696" s="3"/>
      <c r="B1696" s="3" t="s">
        <v>16</v>
      </c>
      <c r="C1696" s="3" t="s">
        <v>1006</v>
      </c>
      <c r="D1696" s="2"/>
      <c r="E1696" s="2" t="e">
        <f t="shared" si="0"/>
        <v>#VALUE!</v>
      </c>
    </row>
    <row r="1697" spans="1:5" ht="12.75" customHeight="1" x14ac:dyDescent="0.2">
      <c r="A1697" s="3"/>
      <c r="B1697" s="3" t="s">
        <v>18</v>
      </c>
      <c r="C1697" s="4" t="s">
        <v>19</v>
      </c>
      <c r="D1697" s="2"/>
      <c r="E1697" s="2" t="e">
        <f t="shared" si="0"/>
        <v>#VALUE!</v>
      </c>
    </row>
    <row r="1698" spans="1:5" ht="12.75" customHeight="1" x14ac:dyDescent="0.2">
      <c r="A1698" s="1" t="str">
        <f>HYPERLINK("javascript:void(0)","gyíkbőr")</f>
        <v>gyíkbőr</v>
      </c>
      <c r="B1698" s="1"/>
      <c r="C1698" s="1"/>
      <c r="D1698" s="2"/>
      <c r="E1698" s="2" t="e">
        <f t="shared" si="0"/>
        <v>#VALUE!</v>
      </c>
    </row>
    <row r="1699" spans="1:5" ht="12.75" customHeight="1" x14ac:dyDescent="0.2">
      <c r="A1699" s="3"/>
      <c r="B1699" s="3" t="s">
        <v>0</v>
      </c>
      <c r="C1699" s="3" t="s">
        <v>1</v>
      </c>
      <c r="D1699" s="2"/>
      <c r="E1699" s="2" t="e">
        <f t="shared" si="0"/>
        <v>#VALUE!</v>
      </c>
    </row>
    <row r="1700" spans="1:5" ht="12.75" customHeight="1" x14ac:dyDescent="0.2">
      <c r="A1700" s="3"/>
      <c r="B1700" s="3" t="s">
        <v>2</v>
      </c>
      <c r="C1700" s="3" t="s">
        <v>387</v>
      </c>
      <c r="D1700" s="2"/>
      <c r="E1700" s="2" t="e">
        <f t="shared" si="0"/>
        <v>#VALUE!</v>
      </c>
    </row>
    <row r="1701" spans="1:5" ht="12.75" customHeight="1" x14ac:dyDescent="0.2">
      <c r="A1701" s="3"/>
      <c r="B1701" s="3" t="s">
        <v>9</v>
      </c>
      <c r="C1701" s="3" t="s">
        <v>53</v>
      </c>
      <c r="D1701" s="2"/>
      <c r="E1701" s="2" t="e">
        <f t="shared" si="0"/>
        <v>#VALUE!</v>
      </c>
    </row>
    <row r="1702" spans="1:5" ht="12.75" customHeight="1" x14ac:dyDescent="0.2">
      <c r="A1702" s="3"/>
      <c r="B1702" s="3" t="s">
        <v>11</v>
      </c>
      <c r="C1702" s="3" t="s">
        <v>1010</v>
      </c>
      <c r="D1702" s="2"/>
      <c r="E1702" s="2" t="e">
        <f t="shared" si="0"/>
        <v>#VALUE!</v>
      </c>
    </row>
    <row r="1703" spans="1:5" ht="12.75" customHeight="1" x14ac:dyDescent="0.2">
      <c r="A1703" s="3"/>
      <c r="B1703" s="3" t="s">
        <v>18</v>
      </c>
      <c r="C1703" s="4" t="s">
        <v>19</v>
      </c>
      <c r="D1703" s="2"/>
      <c r="E1703" s="2" t="e">
        <f t="shared" si="0"/>
        <v>#VALUE!</v>
      </c>
    </row>
    <row r="1704" spans="1:5" ht="12.75" customHeight="1" x14ac:dyDescent="0.2">
      <c r="A1704" s="1" t="str">
        <f>HYPERLINK("javascript:void(0)","gyógyital")</f>
        <v>gyógyital</v>
      </c>
      <c r="B1704" s="1"/>
      <c r="C1704" s="1"/>
      <c r="D1704" s="2"/>
      <c r="E1704" s="2" t="e">
        <f t="shared" si="0"/>
        <v>#VALUE!</v>
      </c>
    </row>
    <row r="1705" spans="1:5" ht="12.75" customHeight="1" x14ac:dyDescent="0.2">
      <c r="A1705" s="3"/>
      <c r="B1705" s="3" t="s">
        <v>0</v>
      </c>
      <c r="C1705" s="3" t="s">
        <v>21</v>
      </c>
      <c r="D1705" s="2"/>
      <c r="E1705" s="2" t="e">
        <f t="shared" si="0"/>
        <v>#VALUE!</v>
      </c>
    </row>
    <row r="1706" spans="1:5" ht="12.75" customHeight="1" x14ac:dyDescent="0.2">
      <c r="A1706" s="3"/>
      <c r="B1706" s="3" t="s">
        <v>2</v>
      </c>
      <c r="C1706" s="3" t="s">
        <v>557</v>
      </c>
      <c r="D1706" s="2"/>
      <c r="E1706" s="2" t="e">
        <f t="shared" si="0"/>
        <v>#VALUE!</v>
      </c>
    </row>
    <row r="1707" spans="1:5" ht="12.75" customHeight="1" x14ac:dyDescent="0.2">
      <c r="A1707" s="3"/>
      <c r="B1707" s="3" t="s">
        <v>9</v>
      </c>
      <c r="C1707" s="3" t="s">
        <v>22</v>
      </c>
      <c r="D1707" s="2"/>
      <c r="E1707" s="2" t="e">
        <f t="shared" si="0"/>
        <v>#VALUE!</v>
      </c>
    </row>
    <row r="1708" spans="1:5" ht="12.75" customHeight="1" x14ac:dyDescent="0.2">
      <c r="A1708" s="3"/>
      <c r="B1708" s="3" t="s">
        <v>11</v>
      </c>
      <c r="C1708" s="3" t="s">
        <v>849</v>
      </c>
      <c r="D1708" s="2"/>
      <c r="E1708" s="2" t="e">
        <f t="shared" si="0"/>
        <v>#VALUE!</v>
      </c>
    </row>
    <row r="1709" spans="1:5" ht="12.75" customHeight="1" x14ac:dyDescent="0.2">
      <c r="A1709" s="3"/>
      <c r="B1709" s="3" t="s">
        <v>18</v>
      </c>
      <c r="C1709" s="4" t="s">
        <v>19</v>
      </c>
      <c r="D1709" s="2"/>
      <c r="E1709" s="2" t="e">
        <f t="shared" si="0"/>
        <v>#VALUE!</v>
      </c>
    </row>
    <row r="1710" spans="1:5" ht="12.75" customHeight="1" x14ac:dyDescent="0.2">
      <c r="A1710" s="1" t="str">
        <f>HYPERLINK("javascript:void(0)","gyöngy")</f>
        <v>gyöngy</v>
      </c>
      <c r="B1710" s="1"/>
      <c r="C1710" s="1"/>
      <c r="D1710" s="2"/>
      <c r="E1710" s="2" t="e">
        <f t="shared" si="0"/>
        <v>#VALUE!</v>
      </c>
    </row>
    <row r="1711" spans="1:5" ht="12.75" customHeight="1" x14ac:dyDescent="0.2">
      <c r="A1711" s="3"/>
      <c r="B1711" s="3" t="s">
        <v>0</v>
      </c>
      <c r="C1711" s="3" t="s">
        <v>21</v>
      </c>
      <c r="D1711" s="2"/>
      <c r="E1711" s="2" t="e">
        <f t="shared" si="0"/>
        <v>#VALUE!</v>
      </c>
    </row>
    <row r="1712" spans="1:5" ht="12.75" customHeight="1" x14ac:dyDescent="0.2">
      <c r="A1712" s="3"/>
      <c r="B1712" s="3" t="s">
        <v>2</v>
      </c>
      <c r="C1712" s="3" t="s">
        <v>564</v>
      </c>
      <c r="D1712" s="2"/>
      <c r="E1712" s="2" t="e">
        <f t="shared" si="0"/>
        <v>#VALUE!</v>
      </c>
    </row>
    <row r="1713" spans="1:5" ht="12.75" customHeight="1" x14ac:dyDescent="0.2">
      <c r="A1713" s="3"/>
      <c r="B1713" s="3" t="s">
        <v>9</v>
      </c>
      <c r="C1713" s="3" t="s">
        <v>404</v>
      </c>
      <c r="D1713" s="2"/>
      <c r="E1713" s="2" t="e">
        <f t="shared" si="0"/>
        <v>#VALUE!</v>
      </c>
    </row>
    <row r="1714" spans="1:5" ht="12.75" customHeight="1" x14ac:dyDescent="0.2">
      <c r="A1714" s="3"/>
      <c r="B1714" s="3" t="s">
        <v>11</v>
      </c>
      <c r="C1714" s="3" t="s">
        <v>1010</v>
      </c>
      <c r="D1714" s="2"/>
      <c r="E1714" s="2" t="e">
        <f t="shared" si="0"/>
        <v>#VALUE!</v>
      </c>
    </row>
    <row r="1715" spans="1:5" ht="12.75" customHeight="1" x14ac:dyDescent="0.2">
      <c r="A1715" s="3"/>
      <c r="B1715" s="3" t="s">
        <v>18</v>
      </c>
      <c r="C1715" s="4" t="s">
        <v>19</v>
      </c>
      <c r="D1715" s="2"/>
      <c r="E1715" s="2" t="e">
        <f t="shared" si="0"/>
        <v>#VALUE!</v>
      </c>
    </row>
    <row r="1716" spans="1:5" ht="12.75" customHeight="1" x14ac:dyDescent="0.2">
      <c r="A1716" s="1" t="str">
        <f>HYPERLINK("javascript:void(0)","gyöngyfonal")</f>
        <v>gyöngyfonal</v>
      </c>
      <c r="B1716" s="1"/>
      <c r="C1716" s="1"/>
      <c r="D1716" s="1"/>
      <c r="E1716" s="2" t="e">
        <f t="shared" si="0"/>
        <v>#VALUE!</v>
      </c>
    </row>
    <row r="1717" spans="1:5" ht="12.75" customHeight="1" x14ac:dyDescent="0.2">
      <c r="A1717" s="3"/>
      <c r="B1717" s="3" t="s">
        <v>0</v>
      </c>
      <c r="C1717" s="3" t="s">
        <v>21</v>
      </c>
      <c r="D1717" s="3"/>
      <c r="E1717" s="2" t="e">
        <f t="shared" si="0"/>
        <v>#VALUE!</v>
      </c>
    </row>
    <row r="1718" spans="1:5" ht="12.75" customHeight="1" x14ac:dyDescent="0.2">
      <c r="A1718" s="3"/>
      <c r="B1718" s="3" t="s">
        <v>2</v>
      </c>
      <c r="C1718" s="3" t="s">
        <v>458</v>
      </c>
      <c r="D1718" s="3"/>
      <c r="E1718" s="2" t="e">
        <f t="shared" si="0"/>
        <v>#VALUE!</v>
      </c>
    </row>
    <row r="1719" spans="1:5" ht="12.75" customHeight="1" x14ac:dyDescent="0.2">
      <c r="A1719" s="3"/>
      <c r="B1719" s="3" t="s">
        <v>9</v>
      </c>
      <c r="C1719" s="3" t="s">
        <v>526</v>
      </c>
      <c r="D1719" s="3"/>
      <c r="E1719" s="2" t="e">
        <f t="shared" si="0"/>
        <v>#VALUE!</v>
      </c>
    </row>
    <row r="1720" spans="1:5" ht="12.75" customHeight="1" x14ac:dyDescent="0.2">
      <c r="A1720" s="3"/>
      <c r="B1720" s="3" t="s">
        <v>11</v>
      </c>
      <c r="C1720" s="3" t="s">
        <v>932</v>
      </c>
      <c r="D1720" s="3"/>
      <c r="E1720" s="2" t="e">
        <f t="shared" si="0"/>
        <v>#VALUE!</v>
      </c>
    </row>
    <row r="1721" spans="1:5" ht="25.5" customHeight="1" x14ac:dyDescent="0.2">
      <c r="A1721" s="3"/>
      <c r="B1721" s="3" t="s">
        <v>16</v>
      </c>
      <c r="C1721" s="3" t="s">
        <v>1018</v>
      </c>
      <c r="D1721" s="3"/>
      <c r="E1721" s="2" t="e">
        <f t="shared" si="0"/>
        <v>#VALUE!</v>
      </c>
    </row>
    <row r="1722" spans="1:5" ht="12.75" customHeight="1" x14ac:dyDescent="0.2">
      <c r="A1722" s="3"/>
      <c r="B1722" s="3" t="s">
        <v>18</v>
      </c>
      <c r="C1722" s="4" t="s">
        <v>77</v>
      </c>
      <c r="D1722" s="6" t="str">
        <f>HYPERLINK("javascript:void(0)","hínárgyöngy")</f>
        <v>hínárgyöngy</v>
      </c>
      <c r="E1722" s="2" t="e">
        <f t="shared" si="0"/>
        <v>#VALUE!</v>
      </c>
    </row>
    <row r="1723" spans="1:5" ht="12.75" customHeight="1" x14ac:dyDescent="0.2">
      <c r="A1723" s="1" t="str">
        <f>HYPERLINK("javascript:void(0)","gyűrű")</f>
        <v>gyűrű</v>
      </c>
      <c r="B1723" s="1"/>
      <c r="C1723" s="1"/>
      <c r="D1723" s="2"/>
      <c r="E1723" s="2" t="e">
        <f t="shared" si="0"/>
        <v>#VALUE!</v>
      </c>
    </row>
    <row r="1724" spans="1:5" ht="12.75" customHeight="1" x14ac:dyDescent="0.2">
      <c r="A1724" s="3"/>
      <c r="B1724" s="3" t="s">
        <v>0</v>
      </c>
      <c r="C1724" s="3" t="s">
        <v>21</v>
      </c>
      <c r="D1724" s="2"/>
      <c r="E1724" s="2" t="e">
        <f t="shared" si="0"/>
        <v>#VALUE!</v>
      </c>
    </row>
    <row r="1725" spans="1:5" ht="12.75" customHeight="1" x14ac:dyDescent="0.2">
      <c r="A1725" s="3"/>
      <c r="B1725" s="3" t="s">
        <v>2</v>
      </c>
      <c r="C1725" s="3" t="s">
        <v>458</v>
      </c>
      <c r="D1725" s="2"/>
      <c r="E1725" s="2" t="e">
        <f t="shared" si="0"/>
        <v>#VALUE!</v>
      </c>
    </row>
    <row r="1726" spans="1:5" ht="12.75" customHeight="1" x14ac:dyDescent="0.2">
      <c r="A1726" s="3"/>
      <c r="B1726" s="3" t="s">
        <v>9</v>
      </c>
      <c r="C1726" s="3" t="s">
        <v>22</v>
      </c>
      <c r="D1726" s="2"/>
      <c r="E1726" s="2" t="e">
        <f t="shared" si="0"/>
        <v>#VALUE!</v>
      </c>
    </row>
    <row r="1727" spans="1:5" ht="12.75" customHeight="1" x14ac:dyDescent="0.2">
      <c r="A1727" s="3"/>
      <c r="B1727" s="3" t="s">
        <v>11</v>
      </c>
      <c r="C1727" s="3" t="s">
        <v>1021</v>
      </c>
      <c r="D1727" s="2"/>
      <c r="E1727" s="2" t="e">
        <f t="shared" si="0"/>
        <v>#VALUE!</v>
      </c>
    </row>
    <row r="1728" spans="1:5" ht="12.75" customHeight="1" x14ac:dyDescent="0.2">
      <c r="A1728" s="3"/>
      <c r="B1728" s="3" t="s">
        <v>18</v>
      </c>
      <c r="C1728" s="4" t="s">
        <v>19</v>
      </c>
      <c r="D1728" s="2"/>
      <c r="E1728" s="2" t="e">
        <f t="shared" si="0"/>
        <v>#VALUE!</v>
      </c>
    </row>
    <row r="1729" spans="1:5" ht="12.75" customHeight="1" x14ac:dyDescent="0.2">
      <c r="A1729" s="1" t="str">
        <f>HYPERLINK("javascript:void(0)","gépelés")</f>
        <v>gépelés</v>
      </c>
      <c r="B1729" s="1"/>
      <c r="C1729" s="1"/>
      <c r="D1729" s="2"/>
      <c r="E1729" s="2" t="e">
        <f t="shared" si="0"/>
        <v>#VALUE!</v>
      </c>
    </row>
    <row r="1730" spans="1:5" ht="12.75" customHeight="1" x14ac:dyDescent="0.2">
      <c r="A1730" s="3"/>
      <c r="B1730" s="3" t="s">
        <v>0</v>
      </c>
      <c r="C1730" s="3" t="s">
        <v>21</v>
      </c>
      <c r="D1730" s="2"/>
      <c r="E1730" s="2" t="e">
        <f t="shared" si="0"/>
        <v>#VALUE!</v>
      </c>
    </row>
    <row r="1731" spans="1:5" ht="12.75" customHeight="1" x14ac:dyDescent="0.2">
      <c r="A1731" s="3"/>
      <c r="B1731" s="3" t="s">
        <v>2</v>
      </c>
      <c r="C1731" s="3" t="s">
        <v>458</v>
      </c>
      <c r="D1731" s="2"/>
      <c r="E1731" s="2" t="e">
        <f t="shared" si="0"/>
        <v>#VALUE!</v>
      </c>
    </row>
    <row r="1732" spans="1:5" ht="12.75" customHeight="1" x14ac:dyDescent="0.2">
      <c r="A1732" s="3"/>
      <c r="B1732" s="3" t="s">
        <v>9</v>
      </c>
      <c r="C1732" s="3" t="s">
        <v>22</v>
      </c>
      <c r="D1732" s="2"/>
      <c r="E1732" s="2" t="e">
        <f t="shared" si="0"/>
        <v>#VALUE!</v>
      </c>
    </row>
    <row r="1733" spans="1:5" ht="12.75" customHeight="1" x14ac:dyDescent="0.2">
      <c r="A1733" s="3"/>
      <c r="B1733" s="3" t="s">
        <v>11</v>
      </c>
      <c r="C1733" s="3" t="s">
        <v>721</v>
      </c>
      <c r="D1733" s="2"/>
      <c r="E1733" s="2" t="e">
        <f t="shared" si="0"/>
        <v>#VALUE!</v>
      </c>
    </row>
    <row r="1734" spans="1:5" ht="12.75" customHeight="1" x14ac:dyDescent="0.2">
      <c r="A1734" s="3"/>
      <c r="B1734" s="3" t="s">
        <v>18</v>
      </c>
      <c r="C1734" s="4" t="s">
        <v>19</v>
      </c>
      <c r="D1734" s="2"/>
      <c r="E1734" s="2" t="e">
        <f t="shared" si="0"/>
        <v>#VALUE!</v>
      </c>
    </row>
    <row r="1735" spans="1:5" ht="12.75" customHeight="1" x14ac:dyDescent="0.2">
      <c r="A1735" s="1" t="str">
        <f>HYPERLINK("javascript:void(0)","gólemamulett")</f>
        <v>gólemamulett</v>
      </c>
      <c r="B1735" s="1"/>
      <c r="C1735" s="1"/>
      <c r="D1735" s="2"/>
      <c r="E1735" s="2" t="e">
        <f t="shared" si="0"/>
        <v>#VALUE!</v>
      </c>
    </row>
    <row r="1736" spans="1:5" ht="12.75" customHeight="1" x14ac:dyDescent="0.2">
      <c r="A1736" s="3"/>
      <c r="B1736" s="3" t="s">
        <v>0</v>
      </c>
      <c r="C1736" s="3" t="s">
        <v>21</v>
      </c>
      <c r="D1736" s="2"/>
      <c r="E1736" s="2" t="e">
        <f t="shared" si="0"/>
        <v>#VALUE!</v>
      </c>
    </row>
    <row r="1737" spans="1:5" ht="12.75" customHeight="1" x14ac:dyDescent="0.2">
      <c r="A1737" s="3"/>
      <c r="B1737" s="3" t="s">
        <v>2</v>
      </c>
      <c r="C1737" s="3" t="s">
        <v>458</v>
      </c>
      <c r="D1737" s="2"/>
      <c r="E1737" s="2" t="e">
        <f t="shared" si="0"/>
        <v>#VALUE!</v>
      </c>
    </row>
    <row r="1738" spans="1:5" ht="12.75" customHeight="1" x14ac:dyDescent="0.2">
      <c r="A1738" s="3"/>
      <c r="B1738" s="3" t="s">
        <v>9</v>
      </c>
      <c r="C1738" s="3" t="s">
        <v>27</v>
      </c>
      <c r="D1738" s="2"/>
      <c r="E1738" s="2" t="e">
        <f t="shared" si="0"/>
        <v>#VALUE!</v>
      </c>
    </row>
    <row r="1739" spans="1:5" ht="12.75" customHeight="1" x14ac:dyDescent="0.2">
      <c r="A1739" s="3"/>
      <c r="B1739" s="3" t="s">
        <v>11</v>
      </c>
      <c r="C1739" s="3" t="s">
        <v>530</v>
      </c>
      <c r="D1739" s="2"/>
      <c r="E1739" s="2" t="e">
        <f t="shared" si="0"/>
        <v>#VALUE!</v>
      </c>
    </row>
    <row r="1740" spans="1:5" ht="12.75" customHeight="1" x14ac:dyDescent="0.2">
      <c r="A1740" s="3"/>
      <c r="B1740" s="3" t="s">
        <v>18</v>
      </c>
      <c r="C1740" s="4" t="s">
        <v>19</v>
      </c>
      <c r="D1740" s="2"/>
      <c r="E1740" s="2" t="e">
        <f t="shared" si="0"/>
        <v>#VALUE!</v>
      </c>
    </row>
    <row r="1741" spans="1:5" ht="12.75" customHeight="1" x14ac:dyDescent="0.2">
      <c r="A1741" s="1" t="str">
        <f>HYPERLINK("javascript:void(0)","göb")</f>
        <v>göb</v>
      </c>
      <c r="B1741" s="1"/>
      <c r="C1741" s="1"/>
      <c r="D1741" s="2"/>
      <c r="E1741" s="2" t="e">
        <f t="shared" si="0"/>
        <v>#VALUE!</v>
      </c>
    </row>
    <row r="1742" spans="1:5" ht="12.75" customHeight="1" x14ac:dyDescent="0.2">
      <c r="A1742" s="3"/>
      <c r="B1742" s="3" t="s">
        <v>0</v>
      </c>
      <c r="C1742" s="3" t="s">
        <v>21</v>
      </c>
      <c r="D1742" s="2"/>
      <c r="E1742" s="2" t="e">
        <f t="shared" si="0"/>
        <v>#VALUE!</v>
      </c>
    </row>
    <row r="1743" spans="1:5" ht="12.75" customHeight="1" x14ac:dyDescent="0.2">
      <c r="A1743" s="3"/>
      <c r="B1743" s="3" t="s">
        <v>2</v>
      </c>
      <c r="C1743" s="3" t="s">
        <v>458</v>
      </c>
      <c r="D1743" s="2"/>
      <c r="E1743" s="2" t="e">
        <f t="shared" si="0"/>
        <v>#VALUE!</v>
      </c>
    </row>
    <row r="1744" spans="1:5" ht="12.75" customHeight="1" x14ac:dyDescent="0.2">
      <c r="A1744" s="3"/>
      <c r="B1744" s="3" t="s">
        <v>9</v>
      </c>
      <c r="C1744" s="3" t="s">
        <v>10</v>
      </c>
      <c r="D1744" s="2"/>
      <c r="E1744" s="2" t="e">
        <f t="shared" si="0"/>
        <v>#VALUE!</v>
      </c>
    </row>
    <row r="1745" spans="1:5" ht="12.75" customHeight="1" x14ac:dyDescent="0.2">
      <c r="A1745" s="3"/>
      <c r="B1745" s="3" t="s">
        <v>11</v>
      </c>
      <c r="C1745" s="3" t="s">
        <v>685</v>
      </c>
      <c r="D1745" s="2"/>
      <c r="E1745" s="2" t="e">
        <f t="shared" si="0"/>
        <v>#VALUE!</v>
      </c>
    </row>
    <row r="1746" spans="1:5" ht="12.75" customHeight="1" x14ac:dyDescent="0.2">
      <c r="A1746" s="3"/>
      <c r="B1746" s="3" t="s">
        <v>18</v>
      </c>
      <c r="C1746" s="4" t="s">
        <v>19</v>
      </c>
      <c r="D1746" s="2"/>
      <c r="E1746" s="2" t="e">
        <f t="shared" si="0"/>
        <v>#VALUE!</v>
      </c>
    </row>
    <row r="1747" spans="1:5" ht="12.75" customHeight="1" x14ac:dyDescent="0.2">
      <c r="A1747" s="1" t="str">
        <f>HYPERLINK("javascript:void(0)","gőg")</f>
        <v>gőg</v>
      </c>
      <c r="B1747" s="1"/>
      <c r="C1747" s="1"/>
      <c r="D1747" s="2"/>
      <c r="E1747" s="2" t="e">
        <f t="shared" si="0"/>
        <v>#VALUE!</v>
      </c>
    </row>
    <row r="1748" spans="1:5" ht="12.75" customHeight="1" x14ac:dyDescent="0.2">
      <c r="A1748" s="3"/>
      <c r="B1748" s="3" t="s">
        <v>0</v>
      </c>
      <c r="C1748" s="3" t="s">
        <v>21</v>
      </c>
      <c r="D1748" s="2"/>
      <c r="E1748" s="2" t="e">
        <f t="shared" si="0"/>
        <v>#VALUE!</v>
      </c>
    </row>
    <row r="1749" spans="1:5" ht="12.75" customHeight="1" x14ac:dyDescent="0.2">
      <c r="A1749" s="3"/>
      <c r="B1749" s="3" t="s">
        <v>2</v>
      </c>
      <c r="C1749" s="3" t="s">
        <v>458</v>
      </c>
      <c r="D1749" s="2"/>
      <c r="E1749" s="2" t="e">
        <f t="shared" si="0"/>
        <v>#VALUE!</v>
      </c>
    </row>
    <row r="1750" spans="1:5" ht="12.75" customHeight="1" x14ac:dyDescent="0.2">
      <c r="A1750" s="3"/>
      <c r="B1750" s="3" t="s">
        <v>9</v>
      </c>
      <c r="C1750" s="3" t="s">
        <v>404</v>
      </c>
      <c r="D1750" s="2"/>
      <c r="E1750" s="2" t="e">
        <f t="shared" si="0"/>
        <v>#VALUE!</v>
      </c>
    </row>
    <row r="1751" spans="1:5" ht="12.75" customHeight="1" x14ac:dyDescent="0.2">
      <c r="A1751" s="3"/>
      <c r="B1751" s="3" t="s">
        <v>11</v>
      </c>
      <c r="C1751" s="3" t="s">
        <v>227</v>
      </c>
      <c r="D1751" s="2"/>
      <c r="E1751" s="2" t="e">
        <f t="shared" si="0"/>
        <v>#VALUE!</v>
      </c>
    </row>
    <row r="1752" spans="1:5" ht="12.75" customHeight="1" x14ac:dyDescent="0.2">
      <c r="A1752" s="3"/>
      <c r="B1752" s="3" t="s">
        <v>18</v>
      </c>
      <c r="C1752" s="4" t="s">
        <v>19</v>
      </c>
      <c r="D1752" s="2"/>
      <c r="E1752" s="2" t="e">
        <f t="shared" si="0"/>
        <v>#VALUE!</v>
      </c>
    </row>
    <row r="1753" spans="1:5" ht="12.75" customHeight="1" x14ac:dyDescent="0.2">
      <c r="A1753" s="1" t="str">
        <f>HYPERLINK("javascript:void(0)","habléc")</f>
        <v>habléc</v>
      </c>
      <c r="B1753" s="1"/>
      <c r="C1753" s="1"/>
      <c r="D1753" s="2"/>
      <c r="E1753" s="2" t="e">
        <f t="shared" si="0"/>
        <v>#VALUE!</v>
      </c>
    </row>
    <row r="1754" spans="1:5" ht="12.75" customHeight="1" x14ac:dyDescent="0.2">
      <c r="A1754" s="3"/>
      <c r="B1754" s="3" t="s">
        <v>0</v>
      </c>
      <c r="C1754" s="3" t="s">
        <v>21</v>
      </c>
      <c r="D1754" s="2"/>
      <c r="E1754" s="2" t="e">
        <f t="shared" si="0"/>
        <v>#VALUE!</v>
      </c>
    </row>
    <row r="1755" spans="1:5" ht="12.75" customHeight="1" x14ac:dyDescent="0.2">
      <c r="A1755" s="3"/>
      <c r="B1755" s="3" t="s">
        <v>2</v>
      </c>
      <c r="C1755" s="3" t="s">
        <v>458</v>
      </c>
      <c r="D1755" s="2"/>
      <c r="E1755" s="2" t="e">
        <f t="shared" si="0"/>
        <v>#VALUE!</v>
      </c>
    </row>
    <row r="1756" spans="1:5" ht="12.75" customHeight="1" x14ac:dyDescent="0.2">
      <c r="A1756" s="3"/>
      <c r="B1756" s="3" t="s">
        <v>9</v>
      </c>
      <c r="C1756" s="3" t="s">
        <v>42</v>
      </c>
      <c r="D1756" s="2"/>
      <c r="E1756" s="2" t="e">
        <f t="shared" si="0"/>
        <v>#VALUE!</v>
      </c>
    </row>
    <row r="1757" spans="1:5" ht="12.75" customHeight="1" x14ac:dyDescent="0.2">
      <c r="A1757" s="3"/>
      <c r="B1757" s="3" t="s">
        <v>11</v>
      </c>
      <c r="C1757" s="3" t="s">
        <v>1031</v>
      </c>
      <c r="D1757" s="2"/>
      <c r="E1757" s="2" t="e">
        <f t="shared" si="0"/>
        <v>#VALUE!</v>
      </c>
    </row>
    <row r="1758" spans="1:5" ht="12.75" customHeight="1" x14ac:dyDescent="0.2">
      <c r="A1758" s="3"/>
      <c r="B1758" s="3" t="s">
        <v>18</v>
      </c>
      <c r="C1758" s="4" t="s">
        <v>19</v>
      </c>
      <c r="D1758" s="2"/>
      <c r="E1758" s="2" t="e">
        <f t="shared" si="0"/>
        <v>#VALUE!</v>
      </c>
    </row>
    <row r="1759" spans="1:5" ht="12.75" customHeight="1" x14ac:dyDescent="0.2">
      <c r="A1759" s="1" t="str">
        <f>HYPERLINK("javascript:void(0)","hacuka")</f>
        <v>hacuka</v>
      </c>
      <c r="B1759" s="1"/>
      <c r="C1759" s="1"/>
      <c r="D1759" s="2"/>
      <c r="E1759" s="2" t="e">
        <f t="shared" si="0"/>
        <v>#VALUE!</v>
      </c>
    </row>
    <row r="1760" spans="1:5" ht="12.75" customHeight="1" x14ac:dyDescent="0.2">
      <c r="A1760" s="3"/>
      <c r="B1760" s="3" t="s">
        <v>0</v>
      </c>
      <c r="C1760" s="3" t="s">
        <v>21</v>
      </c>
      <c r="D1760" s="2"/>
      <c r="E1760" s="2" t="e">
        <f t="shared" si="0"/>
        <v>#VALUE!</v>
      </c>
    </row>
    <row r="1761" spans="1:5" ht="12.75" customHeight="1" x14ac:dyDescent="0.2">
      <c r="A1761" s="3"/>
      <c r="B1761" s="3" t="s">
        <v>2</v>
      </c>
      <c r="C1761" s="3" t="s">
        <v>458</v>
      </c>
      <c r="D1761" s="2"/>
      <c r="E1761" s="2" t="e">
        <f t="shared" si="0"/>
        <v>#VALUE!</v>
      </c>
    </row>
    <row r="1762" spans="1:5" ht="12.75" customHeight="1" x14ac:dyDescent="0.2">
      <c r="A1762" s="3"/>
      <c r="B1762" s="3" t="s">
        <v>9</v>
      </c>
      <c r="C1762" s="3" t="s">
        <v>10</v>
      </c>
      <c r="D1762" s="2"/>
      <c r="E1762" s="2" t="e">
        <f t="shared" si="0"/>
        <v>#VALUE!</v>
      </c>
    </row>
    <row r="1763" spans="1:5" ht="12.75" customHeight="1" x14ac:dyDescent="0.2">
      <c r="A1763" s="3"/>
      <c r="B1763" s="3" t="s">
        <v>11</v>
      </c>
      <c r="C1763" s="3" t="s">
        <v>227</v>
      </c>
      <c r="D1763" s="2"/>
      <c r="E1763" s="2" t="e">
        <f t="shared" si="0"/>
        <v>#VALUE!</v>
      </c>
    </row>
    <row r="1764" spans="1:5" ht="12.75" customHeight="1" x14ac:dyDescent="0.2">
      <c r="A1764" s="3"/>
      <c r="B1764" s="3" t="s">
        <v>18</v>
      </c>
      <c r="C1764" s="4" t="s">
        <v>19</v>
      </c>
      <c r="D1764" s="2"/>
      <c r="E1764" s="2" t="e">
        <f t="shared" si="0"/>
        <v>#VALUE!</v>
      </c>
    </row>
    <row r="1765" spans="1:5" ht="12.75" customHeight="1" x14ac:dyDescent="0.2">
      <c r="A1765" s="1" t="str">
        <f>HYPERLINK("javascript:void(0)","hagymapikkely")</f>
        <v>hagymapikkely</v>
      </c>
      <c r="B1765" s="1"/>
      <c r="C1765" s="1"/>
      <c r="D1765" s="2"/>
      <c r="E1765" s="2" t="e">
        <f t="shared" si="0"/>
        <v>#VALUE!</v>
      </c>
    </row>
    <row r="1766" spans="1:5" ht="12.75" customHeight="1" x14ac:dyDescent="0.2">
      <c r="A1766" s="3"/>
      <c r="B1766" s="3" t="s">
        <v>0</v>
      </c>
      <c r="C1766" s="3" t="s">
        <v>21</v>
      </c>
      <c r="D1766" s="2"/>
      <c r="E1766" s="2" t="e">
        <f t="shared" si="0"/>
        <v>#VALUE!</v>
      </c>
    </row>
    <row r="1767" spans="1:5" ht="12.75" customHeight="1" x14ac:dyDescent="0.2">
      <c r="A1767" s="3"/>
      <c r="B1767" s="3" t="s">
        <v>2</v>
      </c>
      <c r="C1767" s="3" t="s">
        <v>458</v>
      </c>
      <c r="D1767" s="2"/>
      <c r="E1767" s="2" t="e">
        <f t="shared" si="0"/>
        <v>#VALUE!</v>
      </c>
    </row>
    <row r="1768" spans="1:5" ht="12.75" customHeight="1" x14ac:dyDescent="0.2">
      <c r="A1768" s="3"/>
      <c r="B1768" s="3" t="s">
        <v>9</v>
      </c>
      <c r="C1768" s="3" t="s">
        <v>137</v>
      </c>
      <c r="D1768" s="2"/>
      <c r="E1768" s="2" t="e">
        <f t="shared" si="0"/>
        <v>#VALUE!</v>
      </c>
    </row>
    <row r="1769" spans="1:5" ht="12.75" customHeight="1" x14ac:dyDescent="0.2">
      <c r="A1769" s="3"/>
      <c r="B1769" s="3" t="s">
        <v>11</v>
      </c>
      <c r="C1769" s="3" t="s">
        <v>490</v>
      </c>
      <c r="D1769" s="2"/>
      <c r="E1769" s="2" t="e">
        <f t="shared" si="0"/>
        <v>#VALUE!</v>
      </c>
    </row>
    <row r="1770" spans="1:5" ht="12.75" customHeight="1" x14ac:dyDescent="0.2">
      <c r="A1770" s="3"/>
      <c r="B1770" s="3" t="s">
        <v>18</v>
      </c>
      <c r="C1770" s="4" t="s">
        <v>19</v>
      </c>
      <c r="D1770" s="2"/>
      <c r="E1770" s="2" t="e">
        <f t="shared" si="0"/>
        <v>#VALUE!</v>
      </c>
    </row>
    <row r="1771" spans="1:5" ht="12.75" customHeight="1" x14ac:dyDescent="0.2">
      <c r="A1771" s="1" t="str">
        <f>HYPERLINK("javascript:void(0)","halcsont")</f>
        <v>halcsont</v>
      </c>
      <c r="B1771" s="1"/>
      <c r="C1771" s="1"/>
      <c r="D1771" s="2"/>
      <c r="E1771" s="2" t="e">
        <f t="shared" si="0"/>
        <v>#VALUE!</v>
      </c>
    </row>
    <row r="1772" spans="1:5" ht="12.75" customHeight="1" x14ac:dyDescent="0.2">
      <c r="A1772" s="3"/>
      <c r="B1772" s="3" t="s">
        <v>0</v>
      </c>
      <c r="C1772" s="3" t="s">
        <v>21</v>
      </c>
      <c r="D1772" s="2"/>
      <c r="E1772" s="2" t="e">
        <f t="shared" si="0"/>
        <v>#VALUE!</v>
      </c>
    </row>
    <row r="1773" spans="1:5" ht="12.75" customHeight="1" x14ac:dyDescent="0.2">
      <c r="A1773" s="3"/>
      <c r="B1773" s="3" t="s">
        <v>2</v>
      </c>
      <c r="C1773" s="3" t="s">
        <v>387</v>
      </c>
      <c r="D1773" s="2"/>
      <c r="E1773" s="2" t="e">
        <f t="shared" si="0"/>
        <v>#VALUE!</v>
      </c>
    </row>
    <row r="1774" spans="1:5" ht="12.75" customHeight="1" x14ac:dyDescent="0.2">
      <c r="A1774" s="3"/>
      <c r="B1774" s="3" t="s">
        <v>9</v>
      </c>
      <c r="C1774" s="3" t="s">
        <v>53</v>
      </c>
      <c r="D1774" s="2"/>
      <c r="E1774" s="2" t="e">
        <f t="shared" si="0"/>
        <v>#VALUE!</v>
      </c>
    </row>
    <row r="1775" spans="1:5" ht="12.75" customHeight="1" x14ac:dyDescent="0.2">
      <c r="A1775" s="3"/>
      <c r="B1775" s="3" t="s">
        <v>11</v>
      </c>
      <c r="C1775" s="3" t="s">
        <v>31</v>
      </c>
      <c r="D1775" s="2"/>
      <c r="E1775" s="2" t="e">
        <f t="shared" si="0"/>
        <v>#VALUE!</v>
      </c>
    </row>
    <row r="1776" spans="1:5" ht="12.75" customHeight="1" x14ac:dyDescent="0.2">
      <c r="A1776" s="3"/>
      <c r="B1776" s="3" t="s">
        <v>18</v>
      </c>
      <c r="C1776" s="4" t="s">
        <v>19</v>
      </c>
      <c r="D1776" s="2"/>
      <c r="E1776" s="2" t="e">
        <f t="shared" si="0"/>
        <v>#VALUE!</v>
      </c>
    </row>
    <row r="1777" spans="1:5" ht="12.75" customHeight="1" x14ac:dyDescent="0.2">
      <c r="A1777" s="1" t="str">
        <f>HYPERLINK("javascript:void(0)","hamvadt tetem")</f>
        <v>hamvadt tetem</v>
      </c>
      <c r="B1777" s="1"/>
      <c r="C1777" s="1"/>
      <c r="D1777" s="2"/>
      <c r="E1777" s="2" t="e">
        <f t="shared" si="0"/>
        <v>#VALUE!</v>
      </c>
    </row>
    <row r="1778" spans="1:5" ht="12.75" customHeight="1" x14ac:dyDescent="0.2">
      <c r="A1778" s="3"/>
      <c r="B1778" s="3" t="s">
        <v>0</v>
      </c>
      <c r="C1778" s="3" t="s">
        <v>21</v>
      </c>
      <c r="D1778" s="2"/>
      <c r="E1778" s="2" t="e">
        <f t="shared" si="0"/>
        <v>#VALUE!</v>
      </c>
    </row>
    <row r="1779" spans="1:5" ht="12.75" customHeight="1" x14ac:dyDescent="0.2">
      <c r="A1779" s="3"/>
      <c r="B1779" s="3" t="s">
        <v>2</v>
      </c>
      <c r="C1779" s="3" t="s">
        <v>458</v>
      </c>
      <c r="D1779" s="2"/>
      <c r="E1779" s="2" t="e">
        <f t="shared" si="0"/>
        <v>#VALUE!</v>
      </c>
    </row>
    <row r="1780" spans="1:5" ht="12.75" customHeight="1" x14ac:dyDescent="0.2">
      <c r="A1780" s="3"/>
      <c r="B1780" s="3" t="s">
        <v>9</v>
      </c>
      <c r="C1780" s="3" t="s">
        <v>1044</v>
      </c>
      <c r="D1780" s="2"/>
      <c r="E1780" s="2" t="e">
        <f t="shared" si="0"/>
        <v>#VALUE!</v>
      </c>
    </row>
    <row r="1781" spans="1:5" ht="12.75" customHeight="1" x14ac:dyDescent="0.2">
      <c r="A1781" s="3"/>
      <c r="B1781" s="3" t="s">
        <v>11</v>
      </c>
      <c r="C1781" s="3" t="s">
        <v>1003</v>
      </c>
      <c r="D1781" s="2"/>
      <c r="E1781" s="2" t="e">
        <f t="shared" si="0"/>
        <v>#VALUE!</v>
      </c>
    </row>
    <row r="1782" spans="1:5" ht="12.75" customHeight="1" x14ac:dyDescent="0.2">
      <c r="A1782" s="3"/>
      <c r="B1782" s="3" t="s">
        <v>18</v>
      </c>
      <c r="C1782" s="4" t="s">
        <v>19</v>
      </c>
      <c r="D1782" s="2"/>
      <c r="E1782" s="2" t="e">
        <f t="shared" si="0"/>
        <v>#VALUE!</v>
      </c>
    </row>
    <row r="1783" spans="1:5" ht="12.75" customHeight="1" x14ac:dyDescent="0.2">
      <c r="A1783" s="1" t="str">
        <f>HYPERLINK("javascript:void(0)","hangfogó")</f>
        <v>hangfogó</v>
      </c>
      <c r="B1783" s="1"/>
      <c r="C1783" s="1"/>
      <c r="D1783" s="2"/>
      <c r="E1783" s="2" t="e">
        <f t="shared" si="0"/>
        <v>#VALUE!</v>
      </c>
    </row>
    <row r="1784" spans="1:5" ht="12.75" customHeight="1" x14ac:dyDescent="0.2">
      <c r="A1784" s="3"/>
      <c r="B1784" s="3" t="s">
        <v>0</v>
      </c>
      <c r="C1784" s="3" t="s">
        <v>21</v>
      </c>
      <c r="D1784" s="2"/>
      <c r="E1784" s="2" t="e">
        <f t="shared" si="0"/>
        <v>#VALUE!</v>
      </c>
    </row>
    <row r="1785" spans="1:5" ht="12.75" customHeight="1" x14ac:dyDescent="0.2">
      <c r="A1785" s="3"/>
      <c r="B1785" s="3" t="s">
        <v>2</v>
      </c>
      <c r="C1785" s="3" t="s">
        <v>458</v>
      </c>
      <c r="D1785" s="2"/>
      <c r="E1785" s="2" t="e">
        <f t="shared" si="0"/>
        <v>#VALUE!</v>
      </c>
    </row>
    <row r="1786" spans="1:5" ht="12.75" customHeight="1" x14ac:dyDescent="0.2">
      <c r="A1786" s="3"/>
      <c r="B1786" s="3" t="s">
        <v>9</v>
      </c>
      <c r="C1786" s="3" t="s">
        <v>22</v>
      </c>
      <c r="D1786" s="2"/>
      <c r="E1786" s="2" t="e">
        <f t="shared" si="0"/>
        <v>#VALUE!</v>
      </c>
    </row>
    <row r="1787" spans="1:5" ht="12.75" customHeight="1" x14ac:dyDescent="0.2">
      <c r="A1787" s="3"/>
      <c r="B1787" s="3" t="s">
        <v>11</v>
      </c>
      <c r="C1787" s="3" t="s">
        <v>89</v>
      </c>
      <c r="D1787" s="2"/>
      <c r="E1787" s="2" t="e">
        <f t="shared" si="0"/>
        <v>#VALUE!</v>
      </c>
    </row>
    <row r="1788" spans="1:5" ht="12.75" customHeight="1" x14ac:dyDescent="0.2">
      <c r="A1788" s="3"/>
      <c r="B1788" s="3" t="s">
        <v>18</v>
      </c>
      <c r="C1788" s="4" t="s">
        <v>19</v>
      </c>
      <c r="D1788" s="2"/>
      <c r="E1788" s="2" t="e">
        <f t="shared" si="0"/>
        <v>#VALUE!</v>
      </c>
    </row>
    <row r="1789" spans="1:5" ht="12.75" customHeight="1" x14ac:dyDescent="0.2">
      <c r="A1789" s="1" t="str">
        <f>HYPERLINK("javascript:void(0)","hangjegy")</f>
        <v>hangjegy</v>
      </c>
      <c r="B1789" s="1"/>
      <c r="C1789" s="1"/>
      <c r="D1789" s="2"/>
      <c r="E1789" s="2" t="e">
        <f t="shared" si="0"/>
        <v>#VALUE!</v>
      </c>
    </row>
    <row r="1790" spans="1:5" ht="12.75" customHeight="1" x14ac:dyDescent="0.2">
      <c r="A1790" s="3"/>
      <c r="B1790" s="3" t="s">
        <v>0</v>
      </c>
      <c r="C1790" s="3" t="s">
        <v>21</v>
      </c>
      <c r="D1790" s="2"/>
      <c r="E1790" s="2" t="e">
        <f t="shared" si="0"/>
        <v>#VALUE!</v>
      </c>
    </row>
    <row r="1791" spans="1:5" ht="12.75" customHeight="1" x14ac:dyDescent="0.2">
      <c r="A1791" s="3"/>
      <c r="B1791" s="3" t="s">
        <v>2</v>
      </c>
      <c r="C1791" s="3" t="s">
        <v>458</v>
      </c>
      <c r="D1791" s="2"/>
      <c r="E1791" s="2" t="e">
        <f t="shared" si="0"/>
        <v>#VALUE!</v>
      </c>
    </row>
    <row r="1792" spans="1:5" ht="12.75" customHeight="1" x14ac:dyDescent="0.2">
      <c r="A1792" s="3"/>
      <c r="B1792" s="3" t="s">
        <v>9</v>
      </c>
      <c r="C1792" s="3" t="s">
        <v>1048</v>
      </c>
      <c r="D1792" s="2"/>
      <c r="E1792" s="2" t="e">
        <f t="shared" si="0"/>
        <v>#VALUE!</v>
      </c>
    </row>
    <row r="1793" spans="1:5" ht="12.75" customHeight="1" x14ac:dyDescent="0.2">
      <c r="A1793" s="3"/>
      <c r="B1793" s="3" t="s">
        <v>11</v>
      </c>
      <c r="C1793" s="3" t="s">
        <v>1050</v>
      </c>
      <c r="D1793" s="2"/>
      <c r="E1793" s="2" t="e">
        <f t="shared" si="0"/>
        <v>#VALUE!</v>
      </c>
    </row>
    <row r="1794" spans="1:5" ht="12.75" customHeight="1" x14ac:dyDescent="0.2">
      <c r="A1794" s="3"/>
      <c r="B1794" s="3" t="s">
        <v>18</v>
      </c>
      <c r="C1794" s="4" t="s">
        <v>19</v>
      </c>
      <c r="D1794" s="2"/>
      <c r="E1794" s="2" t="e">
        <f t="shared" si="0"/>
        <v>#VALUE!</v>
      </c>
    </row>
    <row r="1795" spans="1:5" ht="12.75" customHeight="1" x14ac:dyDescent="0.2">
      <c r="A1795" s="1" t="str">
        <f>HYPERLINK("javascript:void(0)","hangvilla")</f>
        <v>hangvilla</v>
      </c>
      <c r="B1795" s="1"/>
      <c r="C1795" s="1"/>
      <c r="D1795" s="2"/>
      <c r="E1795" s="2" t="e">
        <f t="shared" si="0"/>
        <v>#VALUE!</v>
      </c>
    </row>
    <row r="1796" spans="1:5" ht="12.75" customHeight="1" x14ac:dyDescent="0.2">
      <c r="A1796" s="3"/>
      <c r="B1796" s="3" t="s">
        <v>0</v>
      </c>
      <c r="C1796" s="3" t="s">
        <v>21</v>
      </c>
      <c r="D1796" s="2"/>
      <c r="E1796" s="2" t="e">
        <f t="shared" si="0"/>
        <v>#VALUE!</v>
      </c>
    </row>
    <row r="1797" spans="1:5" ht="12.75" customHeight="1" x14ac:dyDescent="0.2">
      <c r="A1797" s="3"/>
      <c r="B1797" s="3" t="s">
        <v>2</v>
      </c>
      <c r="C1797" s="3" t="s">
        <v>387</v>
      </c>
      <c r="D1797" s="2"/>
      <c r="E1797" s="2" t="e">
        <f t="shared" si="0"/>
        <v>#VALUE!</v>
      </c>
    </row>
    <row r="1798" spans="1:5" ht="12.75" customHeight="1" x14ac:dyDescent="0.2">
      <c r="A1798" s="3"/>
      <c r="B1798" s="3" t="s">
        <v>9</v>
      </c>
      <c r="C1798" s="3" t="s">
        <v>22</v>
      </c>
      <c r="D1798" s="2"/>
      <c r="E1798" s="2" t="e">
        <f t="shared" si="0"/>
        <v>#VALUE!</v>
      </c>
    </row>
    <row r="1799" spans="1:5" ht="12.75" customHeight="1" x14ac:dyDescent="0.2">
      <c r="A1799" s="3"/>
      <c r="B1799" s="3" t="s">
        <v>11</v>
      </c>
      <c r="C1799" s="3" t="s">
        <v>23</v>
      </c>
      <c r="D1799" s="2"/>
      <c r="E1799" s="2" t="e">
        <f t="shared" si="0"/>
        <v>#VALUE!</v>
      </c>
    </row>
    <row r="1800" spans="1:5" ht="12.75" customHeight="1" x14ac:dyDescent="0.2">
      <c r="A1800" s="3"/>
      <c r="B1800" s="3" t="s">
        <v>16</v>
      </c>
      <c r="C1800" s="3" t="s">
        <v>388</v>
      </c>
      <c r="D1800" s="2"/>
      <c r="E1800" s="2" t="e">
        <f t="shared" si="0"/>
        <v>#VALUE!</v>
      </c>
    </row>
    <row r="1801" spans="1:5" ht="12.75" customHeight="1" x14ac:dyDescent="0.2">
      <c r="A1801" s="3"/>
      <c r="B1801" s="3" t="s">
        <v>18</v>
      </c>
      <c r="C1801" s="4" t="s">
        <v>19</v>
      </c>
      <c r="D1801" s="2"/>
      <c r="E1801" s="2" t="e">
        <f t="shared" si="0"/>
        <v>#VALUE!</v>
      </c>
    </row>
    <row r="1802" spans="1:5" ht="12.75" customHeight="1" x14ac:dyDescent="0.2">
      <c r="A1802" s="1" t="str">
        <f>HYPERLINK("javascript:void(0)","hangyacsáp")</f>
        <v>hangyacsáp</v>
      </c>
      <c r="B1802" s="1"/>
      <c r="C1802" s="1"/>
      <c r="D1802" s="2"/>
      <c r="E1802" s="2" t="e">
        <f t="shared" si="0"/>
        <v>#VALUE!</v>
      </c>
    </row>
    <row r="1803" spans="1:5" ht="12.75" customHeight="1" x14ac:dyDescent="0.2">
      <c r="A1803" s="3"/>
      <c r="B1803" s="3" t="s">
        <v>0</v>
      </c>
      <c r="C1803" s="3" t="s">
        <v>21</v>
      </c>
      <c r="D1803" s="2"/>
      <c r="E1803" s="2" t="e">
        <f t="shared" si="0"/>
        <v>#VALUE!</v>
      </c>
    </row>
    <row r="1804" spans="1:5" ht="12.75" customHeight="1" x14ac:dyDescent="0.2">
      <c r="A1804" s="3"/>
      <c r="B1804" s="3" t="s">
        <v>2</v>
      </c>
      <c r="C1804" s="3" t="s">
        <v>458</v>
      </c>
      <c r="D1804" s="2"/>
      <c r="E1804" s="2" t="e">
        <f t="shared" si="0"/>
        <v>#VALUE!</v>
      </c>
    </row>
    <row r="1805" spans="1:5" ht="12.75" customHeight="1" x14ac:dyDescent="0.2">
      <c r="A1805" s="3"/>
      <c r="B1805" s="3" t="s">
        <v>9</v>
      </c>
      <c r="C1805" s="3" t="s">
        <v>22</v>
      </c>
      <c r="D1805" s="2"/>
      <c r="E1805" s="2" t="e">
        <f t="shared" si="0"/>
        <v>#VALUE!</v>
      </c>
    </row>
    <row r="1806" spans="1:5" ht="12.75" customHeight="1" x14ac:dyDescent="0.2">
      <c r="A1806" s="3"/>
      <c r="B1806" s="3" t="s">
        <v>11</v>
      </c>
      <c r="C1806" s="3" t="s">
        <v>395</v>
      </c>
      <c r="D1806" s="2"/>
      <c r="E1806" s="2" t="e">
        <f t="shared" si="0"/>
        <v>#VALUE!</v>
      </c>
    </row>
    <row r="1807" spans="1:5" ht="12.75" customHeight="1" x14ac:dyDescent="0.2">
      <c r="A1807" s="3"/>
      <c r="B1807" s="3" t="s">
        <v>18</v>
      </c>
      <c r="C1807" s="4" t="s">
        <v>19</v>
      </c>
      <c r="D1807" s="2"/>
      <c r="E1807" s="2" t="e">
        <f t="shared" si="0"/>
        <v>#VALUE!</v>
      </c>
    </row>
    <row r="1808" spans="1:5" ht="12.75" customHeight="1" x14ac:dyDescent="0.2">
      <c r="A1808" s="1" t="str">
        <f>HYPERLINK("javascript:void(0)","harmatcsepp")</f>
        <v>harmatcsepp</v>
      </c>
      <c r="B1808" s="1"/>
      <c r="C1808" s="1"/>
      <c r="D1808" s="2"/>
      <c r="E1808" s="2" t="e">
        <f t="shared" si="0"/>
        <v>#VALUE!</v>
      </c>
    </row>
    <row r="1809" spans="1:5" ht="12.75" customHeight="1" x14ac:dyDescent="0.2">
      <c r="A1809" s="3"/>
      <c r="B1809" s="3" t="s">
        <v>0</v>
      </c>
      <c r="C1809" s="3" t="s">
        <v>21</v>
      </c>
      <c r="D1809" s="2"/>
      <c r="E1809" s="2" t="e">
        <f t="shared" si="0"/>
        <v>#VALUE!</v>
      </c>
    </row>
    <row r="1810" spans="1:5" ht="12.75" customHeight="1" x14ac:dyDescent="0.2">
      <c r="A1810" s="3"/>
      <c r="B1810" s="3" t="s">
        <v>2</v>
      </c>
      <c r="C1810" s="3" t="s">
        <v>458</v>
      </c>
      <c r="D1810" s="2"/>
      <c r="E1810" s="2" t="e">
        <f t="shared" si="0"/>
        <v>#VALUE!</v>
      </c>
    </row>
    <row r="1811" spans="1:5" ht="12.75" customHeight="1" x14ac:dyDescent="0.2">
      <c r="A1811" s="3"/>
      <c r="B1811" s="3" t="s">
        <v>9</v>
      </c>
      <c r="C1811" s="3" t="s">
        <v>565</v>
      </c>
      <c r="D1811" s="2"/>
      <c r="E1811" s="2" t="e">
        <f t="shared" si="0"/>
        <v>#VALUE!</v>
      </c>
    </row>
    <row r="1812" spans="1:5" ht="12.75" customHeight="1" x14ac:dyDescent="0.2">
      <c r="A1812" s="3"/>
      <c r="B1812" s="3" t="s">
        <v>11</v>
      </c>
      <c r="C1812" s="3" t="s">
        <v>380</v>
      </c>
      <c r="D1812" s="2"/>
      <c r="E1812" s="2" t="e">
        <f t="shared" si="0"/>
        <v>#VALUE!</v>
      </c>
    </row>
    <row r="1813" spans="1:5" ht="12.75" customHeight="1" x14ac:dyDescent="0.2">
      <c r="A1813" s="3"/>
      <c r="B1813" s="3" t="s">
        <v>18</v>
      </c>
      <c r="C1813" s="4" t="s">
        <v>19</v>
      </c>
      <c r="D1813" s="2"/>
      <c r="E1813" s="2" t="e">
        <f t="shared" si="0"/>
        <v>#VALUE!</v>
      </c>
    </row>
    <row r="1814" spans="1:5" ht="12.75" customHeight="1" x14ac:dyDescent="0.2">
      <c r="A1814" s="1" t="str">
        <f>HYPERLINK("javascript:void(0)","haspók")</f>
        <v>haspók</v>
      </c>
      <c r="B1814" s="1"/>
      <c r="C1814" s="1"/>
      <c r="D1814" s="2"/>
      <c r="E1814" s="2" t="e">
        <f t="shared" si="0"/>
        <v>#VALUE!</v>
      </c>
    </row>
    <row r="1815" spans="1:5" ht="12.75" customHeight="1" x14ac:dyDescent="0.2">
      <c r="A1815" s="3"/>
      <c r="B1815" s="3" t="s">
        <v>0</v>
      </c>
      <c r="C1815" s="3" t="s">
        <v>21</v>
      </c>
      <c r="D1815" s="2"/>
      <c r="E1815" s="2" t="e">
        <f t="shared" si="0"/>
        <v>#VALUE!</v>
      </c>
    </row>
    <row r="1816" spans="1:5" ht="12.75" customHeight="1" x14ac:dyDescent="0.2">
      <c r="A1816" s="3"/>
      <c r="B1816" s="3" t="s">
        <v>2</v>
      </c>
      <c r="C1816" s="3" t="s">
        <v>458</v>
      </c>
      <c r="D1816" s="2"/>
      <c r="E1816" s="2" t="e">
        <f t="shared" si="0"/>
        <v>#VALUE!</v>
      </c>
    </row>
    <row r="1817" spans="1:5" ht="12.75" customHeight="1" x14ac:dyDescent="0.2">
      <c r="A1817" s="3"/>
      <c r="B1817" s="3" t="s">
        <v>9</v>
      </c>
      <c r="C1817" s="3" t="s">
        <v>27</v>
      </c>
      <c r="D1817" s="2"/>
      <c r="E1817" s="2" t="e">
        <f t="shared" si="0"/>
        <v>#VALUE!</v>
      </c>
    </row>
    <row r="1818" spans="1:5" ht="12.75" customHeight="1" x14ac:dyDescent="0.2">
      <c r="A1818" s="3"/>
      <c r="B1818" s="3" t="s">
        <v>11</v>
      </c>
      <c r="C1818" s="3" t="s">
        <v>711</v>
      </c>
      <c r="D1818" s="2"/>
      <c r="E1818" s="2" t="e">
        <f t="shared" si="0"/>
        <v>#VALUE!</v>
      </c>
    </row>
    <row r="1819" spans="1:5" ht="12.75" customHeight="1" x14ac:dyDescent="0.2">
      <c r="A1819" s="3"/>
      <c r="B1819" s="3" t="s">
        <v>18</v>
      </c>
      <c r="C1819" s="4" t="s">
        <v>19</v>
      </c>
      <c r="D1819" s="2"/>
      <c r="E1819" s="2" t="e">
        <f t="shared" si="0"/>
        <v>#VALUE!</v>
      </c>
    </row>
    <row r="1820" spans="1:5" ht="12.75" customHeight="1" x14ac:dyDescent="0.2">
      <c r="A1820" s="1" t="str">
        <f>HYPERLINK("javascript:void(0)","haszontalanság")</f>
        <v>haszontalanság</v>
      </c>
      <c r="B1820" s="1"/>
      <c r="C1820" s="1"/>
      <c r="D1820" s="2"/>
      <c r="E1820" s="2" t="e">
        <f t="shared" si="0"/>
        <v>#VALUE!</v>
      </c>
    </row>
    <row r="1821" spans="1:5" ht="12.75" customHeight="1" x14ac:dyDescent="0.2">
      <c r="A1821" s="3"/>
      <c r="B1821" s="3" t="s">
        <v>0</v>
      </c>
      <c r="C1821" s="3" t="s">
        <v>21</v>
      </c>
      <c r="D1821" s="2"/>
      <c r="E1821" s="2" t="e">
        <f t="shared" si="0"/>
        <v>#VALUE!</v>
      </c>
    </row>
    <row r="1822" spans="1:5" ht="12.75" customHeight="1" x14ac:dyDescent="0.2">
      <c r="A1822" s="3"/>
      <c r="B1822" s="3" t="s">
        <v>2</v>
      </c>
      <c r="C1822" s="3" t="s">
        <v>458</v>
      </c>
      <c r="D1822" s="2"/>
      <c r="E1822" s="2" t="e">
        <f t="shared" si="0"/>
        <v>#VALUE!</v>
      </c>
    </row>
    <row r="1823" spans="1:5" ht="12.75" customHeight="1" x14ac:dyDescent="0.2">
      <c r="A1823" s="3"/>
      <c r="B1823" s="3" t="s">
        <v>9</v>
      </c>
      <c r="C1823" s="3" t="s">
        <v>1063</v>
      </c>
      <c r="D1823" s="2"/>
      <c r="E1823" s="2" t="e">
        <f t="shared" si="0"/>
        <v>#VALUE!</v>
      </c>
    </row>
    <row r="1824" spans="1:5" ht="12.75" customHeight="1" x14ac:dyDescent="0.2">
      <c r="A1824" s="3"/>
      <c r="B1824" s="3" t="s">
        <v>11</v>
      </c>
      <c r="C1824" s="3" t="s">
        <v>486</v>
      </c>
      <c r="D1824" s="2"/>
      <c r="E1824" s="2" t="e">
        <f t="shared" si="0"/>
        <v>#VALUE!</v>
      </c>
    </row>
    <row r="1825" spans="1:5" ht="12.75" customHeight="1" x14ac:dyDescent="0.2">
      <c r="A1825" s="3"/>
      <c r="B1825" s="3" t="s">
        <v>18</v>
      </c>
      <c r="C1825" s="4" t="s">
        <v>19</v>
      </c>
      <c r="D1825" s="2"/>
      <c r="E1825" s="2" t="e">
        <f t="shared" si="0"/>
        <v>#VALUE!</v>
      </c>
    </row>
    <row r="1826" spans="1:5" ht="12.75" customHeight="1" x14ac:dyDescent="0.2">
      <c r="A1826" s="1" t="str">
        <f>HYPERLINK("javascript:void(0)","helyezés")</f>
        <v>helyezés</v>
      </c>
      <c r="B1826" s="1"/>
      <c r="C1826" s="1"/>
      <c r="D1826" s="2"/>
      <c r="E1826" s="2" t="e">
        <f t="shared" si="0"/>
        <v>#VALUE!</v>
      </c>
    </row>
    <row r="1827" spans="1:5" ht="12.75" customHeight="1" x14ac:dyDescent="0.2">
      <c r="A1827" s="3"/>
      <c r="B1827" s="3" t="s">
        <v>0</v>
      </c>
      <c r="C1827" s="3" t="s">
        <v>21</v>
      </c>
      <c r="D1827" s="2"/>
      <c r="E1827" s="2" t="e">
        <f t="shared" si="0"/>
        <v>#VALUE!</v>
      </c>
    </row>
    <row r="1828" spans="1:5" ht="12.75" customHeight="1" x14ac:dyDescent="0.2">
      <c r="A1828" s="3"/>
      <c r="B1828" s="3" t="s">
        <v>2</v>
      </c>
      <c r="C1828" s="3" t="s">
        <v>458</v>
      </c>
      <c r="D1828" s="2"/>
      <c r="E1828" s="2" t="e">
        <f t="shared" si="0"/>
        <v>#VALUE!</v>
      </c>
    </row>
    <row r="1829" spans="1:5" ht="12.75" customHeight="1" x14ac:dyDescent="0.2">
      <c r="A1829" s="3"/>
      <c r="B1829" s="3" t="s">
        <v>9</v>
      </c>
      <c r="C1829" s="3" t="s">
        <v>22</v>
      </c>
      <c r="D1829" s="2"/>
      <c r="E1829" s="2" t="e">
        <f t="shared" si="0"/>
        <v>#VALUE!</v>
      </c>
    </row>
    <row r="1830" spans="1:5" ht="12.75" customHeight="1" x14ac:dyDescent="0.2">
      <c r="A1830" s="3"/>
      <c r="B1830" s="3" t="s">
        <v>11</v>
      </c>
      <c r="C1830" s="3" t="s">
        <v>89</v>
      </c>
      <c r="D1830" s="2"/>
      <c r="E1830" s="2" t="e">
        <f t="shared" si="0"/>
        <v>#VALUE!</v>
      </c>
    </row>
    <row r="1831" spans="1:5" ht="12.75" customHeight="1" x14ac:dyDescent="0.2">
      <c r="A1831" s="3"/>
      <c r="B1831" s="3" t="s">
        <v>18</v>
      </c>
      <c r="C1831" s="4" t="s">
        <v>19</v>
      </c>
      <c r="D1831" s="2"/>
      <c r="E1831" s="2" t="e">
        <f t="shared" si="0"/>
        <v>#VALUE!</v>
      </c>
    </row>
    <row r="1832" spans="1:5" ht="12.75" customHeight="1" x14ac:dyDescent="0.2">
      <c r="A1832" s="1" t="str">
        <f>HYPERLINK("javascript:void(0)","hemoglobin")</f>
        <v>hemoglobin</v>
      </c>
      <c r="B1832" s="1"/>
      <c r="C1832" s="1"/>
      <c r="D1832" s="2"/>
      <c r="E1832" s="2" t="e">
        <f t="shared" si="0"/>
        <v>#VALUE!</v>
      </c>
    </row>
    <row r="1833" spans="1:5" ht="12.75" customHeight="1" x14ac:dyDescent="0.2">
      <c r="A1833" s="3"/>
      <c r="B1833" s="3" t="s">
        <v>0</v>
      </c>
      <c r="C1833" s="3" t="s">
        <v>21</v>
      </c>
      <c r="D1833" s="2"/>
      <c r="E1833" s="2" t="e">
        <f t="shared" si="0"/>
        <v>#VALUE!</v>
      </c>
    </row>
    <row r="1834" spans="1:5" ht="12.75" customHeight="1" x14ac:dyDescent="0.2">
      <c r="A1834" s="3"/>
      <c r="B1834" s="3" t="s">
        <v>2</v>
      </c>
      <c r="C1834" s="3" t="s">
        <v>458</v>
      </c>
      <c r="D1834" s="2"/>
      <c r="E1834" s="2" t="e">
        <f t="shared" si="0"/>
        <v>#VALUE!</v>
      </c>
    </row>
    <row r="1835" spans="1:5" ht="12.75" customHeight="1" x14ac:dyDescent="0.2">
      <c r="A1835" s="3"/>
      <c r="B1835" s="3" t="s">
        <v>9</v>
      </c>
      <c r="C1835" s="3" t="s">
        <v>404</v>
      </c>
      <c r="D1835" s="2"/>
      <c r="E1835" s="2" t="e">
        <f t="shared" si="0"/>
        <v>#VALUE!</v>
      </c>
    </row>
    <row r="1836" spans="1:5" ht="12.75" customHeight="1" x14ac:dyDescent="0.2">
      <c r="A1836" s="3"/>
      <c r="B1836" s="3" t="s">
        <v>11</v>
      </c>
      <c r="C1836" s="3" t="s">
        <v>209</v>
      </c>
      <c r="D1836" s="2"/>
      <c r="E1836" s="2" t="e">
        <f t="shared" si="0"/>
        <v>#VALUE!</v>
      </c>
    </row>
    <row r="1837" spans="1:5" ht="12.75" customHeight="1" x14ac:dyDescent="0.2">
      <c r="A1837" s="3"/>
      <c r="B1837" s="3" t="s">
        <v>18</v>
      </c>
      <c r="C1837" s="4" t="s">
        <v>19</v>
      </c>
      <c r="D1837" s="2"/>
      <c r="E1837" s="2" t="e">
        <f t="shared" si="0"/>
        <v>#VALUE!</v>
      </c>
    </row>
    <row r="1838" spans="1:5" ht="12.75" customHeight="1" x14ac:dyDescent="0.2">
      <c r="A1838" s="1" t="str">
        <f>HYPERLINK("javascript:void(0)","hidrafej")</f>
        <v>hidrafej</v>
      </c>
      <c r="B1838" s="1"/>
      <c r="C1838" s="1"/>
      <c r="D1838" s="2"/>
      <c r="E1838" s="2" t="e">
        <f t="shared" si="0"/>
        <v>#VALUE!</v>
      </c>
    </row>
    <row r="1839" spans="1:5" ht="12.75" customHeight="1" x14ac:dyDescent="0.2">
      <c r="A1839" s="3"/>
      <c r="B1839" s="3" t="s">
        <v>0</v>
      </c>
      <c r="C1839" s="3" t="s">
        <v>21</v>
      </c>
      <c r="D1839" s="2"/>
      <c r="E1839" s="2" t="e">
        <f t="shared" si="0"/>
        <v>#VALUE!</v>
      </c>
    </row>
    <row r="1840" spans="1:5" ht="12.75" customHeight="1" x14ac:dyDescent="0.2">
      <c r="A1840" s="3"/>
      <c r="B1840" s="3" t="s">
        <v>2</v>
      </c>
      <c r="C1840" s="3" t="s">
        <v>458</v>
      </c>
      <c r="D1840" s="2"/>
      <c r="E1840" s="2" t="e">
        <f t="shared" si="0"/>
        <v>#VALUE!</v>
      </c>
    </row>
    <row r="1841" spans="1:5" ht="12.75" customHeight="1" x14ac:dyDescent="0.2">
      <c r="A1841" s="3"/>
      <c r="B1841" s="3" t="s">
        <v>9</v>
      </c>
      <c r="C1841" s="3" t="s">
        <v>22</v>
      </c>
      <c r="D1841" s="2"/>
      <c r="E1841" s="2" t="e">
        <f t="shared" si="0"/>
        <v>#VALUE!</v>
      </c>
    </row>
    <row r="1842" spans="1:5" ht="12.75" customHeight="1" x14ac:dyDescent="0.2">
      <c r="A1842" s="3"/>
      <c r="B1842" s="3" t="s">
        <v>11</v>
      </c>
      <c r="C1842" s="3" t="s">
        <v>689</v>
      </c>
      <c r="D1842" s="2"/>
      <c r="E1842" s="2" t="e">
        <f t="shared" si="0"/>
        <v>#VALUE!</v>
      </c>
    </row>
    <row r="1843" spans="1:5" ht="12.75" customHeight="1" x14ac:dyDescent="0.2">
      <c r="A1843" s="3"/>
      <c r="B1843" s="3" t="s">
        <v>18</v>
      </c>
      <c r="C1843" s="4" t="s">
        <v>19</v>
      </c>
      <c r="D1843" s="2"/>
      <c r="E1843" s="2" t="e">
        <f t="shared" si="0"/>
        <v>#VALUE!</v>
      </c>
    </row>
    <row r="1844" spans="1:5" ht="12.75" customHeight="1" x14ac:dyDescent="0.2">
      <c r="A1844" s="1" t="str">
        <f>HYPERLINK("javascript:void(0)","hiperium")</f>
        <v>hiperium</v>
      </c>
      <c r="B1844" s="1"/>
      <c r="C1844" s="1"/>
      <c r="D1844" s="2"/>
      <c r="E1844" s="2" t="e">
        <f t="shared" si="0"/>
        <v>#VALUE!</v>
      </c>
    </row>
    <row r="1845" spans="1:5" ht="12.75" customHeight="1" x14ac:dyDescent="0.2">
      <c r="A1845" s="3"/>
      <c r="B1845" s="3" t="s">
        <v>0</v>
      </c>
      <c r="C1845" s="3" t="s">
        <v>21</v>
      </c>
      <c r="D1845" s="2"/>
      <c r="E1845" s="2" t="e">
        <f t="shared" si="0"/>
        <v>#VALUE!</v>
      </c>
    </row>
    <row r="1846" spans="1:5" ht="12.75" customHeight="1" x14ac:dyDescent="0.2">
      <c r="A1846" s="3"/>
      <c r="B1846" s="3" t="s">
        <v>2</v>
      </c>
      <c r="C1846" s="3" t="s">
        <v>458</v>
      </c>
      <c r="D1846" s="2"/>
      <c r="E1846" s="2" t="e">
        <f t="shared" si="0"/>
        <v>#VALUE!</v>
      </c>
    </row>
    <row r="1847" spans="1:5" ht="12.75" customHeight="1" x14ac:dyDescent="0.2">
      <c r="A1847" s="3"/>
      <c r="B1847" s="3" t="s">
        <v>9</v>
      </c>
      <c r="C1847" s="3" t="s">
        <v>22</v>
      </c>
      <c r="D1847" s="2"/>
      <c r="E1847" s="2" t="e">
        <f t="shared" si="0"/>
        <v>#VALUE!</v>
      </c>
    </row>
    <row r="1848" spans="1:5" ht="12.75" customHeight="1" x14ac:dyDescent="0.2">
      <c r="A1848" s="3"/>
      <c r="B1848" s="3" t="s">
        <v>11</v>
      </c>
      <c r="C1848" s="3" t="s">
        <v>1072</v>
      </c>
      <c r="D1848" s="2"/>
      <c r="E1848" s="2" t="e">
        <f t="shared" si="0"/>
        <v>#VALUE!</v>
      </c>
    </row>
    <row r="1849" spans="1:5" ht="12.75" customHeight="1" x14ac:dyDescent="0.2">
      <c r="A1849" s="3"/>
      <c r="B1849" s="3" t="s">
        <v>18</v>
      </c>
      <c r="C1849" s="4" t="s">
        <v>19</v>
      </c>
      <c r="D1849" s="2"/>
      <c r="E1849" s="2" t="e">
        <f t="shared" si="0"/>
        <v>#VALUE!</v>
      </c>
    </row>
    <row r="1850" spans="1:5" ht="12.75" customHeight="1" x14ac:dyDescent="0.2">
      <c r="A1850" s="1" t="str">
        <f>HYPERLINK("javascript:void(0)","hiperzsír")</f>
        <v>hiperzsír</v>
      </c>
      <c r="B1850" s="1"/>
      <c r="C1850" s="1"/>
      <c r="D1850" s="2"/>
      <c r="E1850" s="2" t="e">
        <f t="shared" si="0"/>
        <v>#VALUE!</v>
      </c>
    </row>
    <row r="1851" spans="1:5" ht="12.75" customHeight="1" x14ac:dyDescent="0.2">
      <c r="A1851" s="3"/>
      <c r="B1851" s="3" t="s">
        <v>0</v>
      </c>
      <c r="C1851" s="3" t="s">
        <v>21</v>
      </c>
      <c r="D1851" s="2"/>
      <c r="E1851" s="2" t="e">
        <f t="shared" si="0"/>
        <v>#VALUE!</v>
      </c>
    </row>
    <row r="1852" spans="1:5" ht="12.75" customHeight="1" x14ac:dyDescent="0.2">
      <c r="A1852" s="3"/>
      <c r="B1852" s="3" t="s">
        <v>2</v>
      </c>
      <c r="C1852" s="3" t="s">
        <v>458</v>
      </c>
      <c r="D1852" s="2"/>
      <c r="E1852" s="2" t="e">
        <f t="shared" si="0"/>
        <v>#VALUE!</v>
      </c>
    </row>
    <row r="1853" spans="1:5" ht="12.75" customHeight="1" x14ac:dyDescent="0.2">
      <c r="A1853" s="3"/>
      <c r="B1853" s="3" t="s">
        <v>9</v>
      </c>
      <c r="C1853" s="3" t="s">
        <v>70</v>
      </c>
      <c r="D1853" s="2"/>
      <c r="E1853" s="2" t="e">
        <f t="shared" si="0"/>
        <v>#VALUE!</v>
      </c>
    </row>
    <row r="1854" spans="1:5" ht="12.75" customHeight="1" x14ac:dyDescent="0.2">
      <c r="A1854" s="3"/>
      <c r="B1854" s="3" t="s">
        <v>11</v>
      </c>
      <c r="C1854" s="3" t="s">
        <v>177</v>
      </c>
      <c r="D1854" s="2"/>
      <c r="E1854" s="2" t="e">
        <f t="shared" si="0"/>
        <v>#VALUE!</v>
      </c>
    </row>
    <row r="1855" spans="1:5" ht="12.75" customHeight="1" x14ac:dyDescent="0.2">
      <c r="A1855" s="3"/>
      <c r="B1855" s="3" t="s">
        <v>18</v>
      </c>
      <c r="C1855" s="4" t="s">
        <v>19</v>
      </c>
      <c r="D1855" s="2"/>
      <c r="E1855" s="2" t="e">
        <f t="shared" si="0"/>
        <v>#VALUE!</v>
      </c>
    </row>
    <row r="1856" spans="1:5" ht="12.75" customHeight="1" x14ac:dyDescent="0.2">
      <c r="A1856" s="1" t="str">
        <f>HYPERLINK("javascript:void(0)","holdak pecsétgyűrűje")</f>
        <v>holdak pecsétgyűrűje</v>
      </c>
      <c r="B1856" s="1"/>
      <c r="C1856" s="1"/>
      <c r="D1856" s="2"/>
      <c r="E1856" s="2" t="e">
        <f t="shared" si="0"/>
        <v>#VALUE!</v>
      </c>
    </row>
    <row r="1857" spans="1:5" ht="12.75" customHeight="1" x14ac:dyDescent="0.2">
      <c r="A1857" s="3"/>
      <c r="B1857" s="3" t="s">
        <v>0</v>
      </c>
      <c r="C1857" s="3" t="s">
        <v>21</v>
      </c>
      <c r="D1857" s="2"/>
      <c r="E1857" s="2" t="e">
        <f t="shared" si="0"/>
        <v>#VALUE!</v>
      </c>
    </row>
    <row r="1858" spans="1:5" ht="12.75" customHeight="1" x14ac:dyDescent="0.2">
      <c r="A1858" s="3"/>
      <c r="B1858" s="3" t="s">
        <v>2</v>
      </c>
      <c r="C1858" s="3" t="s">
        <v>387</v>
      </c>
      <c r="D1858" s="2"/>
      <c r="E1858" s="2" t="e">
        <f t="shared" si="0"/>
        <v>#VALUE!</v>
      </c>
    </row>
    <row r="1859" spans="1:5" ht="12.75" customHeight="1" x14ac:dyDescent="0.2">
      <c r="A1859" s="3"/>
      <c r="B1859" s="3" t="s">
        <v>9</v>
      </c>
      <c r="C1859" s="3" t="s">
        <v>27</v>
      </c>
      <c r="D1859" s="2"/>
      <c r="E1859" s="2" t="e">
        <f t="shared" si="0"/>
        <v>#VALUE!</v>
      </c>
    </row>
    <row r="1860" spans="1:5" ht="12.75" customHeight="1" x14ac:dyDescent="0.2">
      <c r="A1860" s="3"/>
      <c r="B1860" s="3" t="s">
        <v>11</v>
      </c>
      <c r="C1860" s="3" t="s">
        <v>23</v>
      </c>
      <c r="D1860" s="2"/>
      <c r="E1860" s="2" t="e">
        <f t="shared" si="0"/>
        <v>#VALUE!</v>
      </c>
    </row>
    <row r="1861" spans="1:5" ht="12.75" customHeight="1" x14ac:dyDescent="0.2">
      <c r="A1861" s="3"/>
      <c r="B1861" s="3" t="s">
        <v>16</v>
      </c>
      <c r="C1861" s="3" t="s">
        <v>388</v>
      </c>
      <c r="D1861" s="2"/>
      <c r="E1861" s="2" t="e">
        <f t="shared" si="0"/>
        <v>#VALUE!</v>
      </c>
    </row>
    <row r="1862" spans="1:5" ht="12.75" customHeight="1" x14ac:dyDescent="0.2">
      <c r="A1862" s="3"/>
      <c r="B1862" s="3" t="s">
        <v>18</v>
      </c>
      <c r="C1862" s="4" t="s">
        <v>19</v>
      </c>
      <c r="D1862" s="2"/>
      <c r="E1862" s="2" t="e">
        <f t="shared" si="0"/>
        <v>#VALUE!</v>
      </c>
    </row>
    <row r="1863" spans="1:5" ht="12.75" customHeight="1" x14ac:dyDescent="0.2">
      <c r="A1863" s="1" t="str">
        <f>HYPERLINK("javascript:void(0)","holtprizma")</f>
        <v>holtprizma</v>
      </c>
      <c r="B1863" s="1"/>
      <c r="C1863" s="1"/>
      <c r="D1863" s="2"/>
      <c r="E1863" s="2" t="e">
        <f t="shared" si="0"/>
        <v>#VALUE!</v>
      </c>
    </row>
    <row r="1864" spans="1:5" ht="12.75" customHeight="1" x14ac:dyDescent="0.2">
      <c r="A1864" s="3"/>
      <c r="B1864" s="3" t="s">
        <v>0</v>
      </c>
      <c r="C1864" s="3" t="s">
        <v>21</v>
      </c>
      <c r="D1864" s="2"/>
      <c r="E1864" s="2" t="e">
        <f t="shared" si="0"/>
        <v>#VALUE!</v>
      </c>
    </row>
    <row r="1865" spans="1:5" ht="12.75" customHeight="1" x14ac:dyDescent="0.2">
      <c r="A1865" s="3"/>
      <c r="B1865" s="3" t="s">
        <v>2</v>
      </c>
      <c r="C1865" s="3" t="s">
        <v>458</v>
      </c>
      <c r="D1865" s="2"/>
      <c r="E1865" s="2" t="e">
        <f t="shared" si="0"/>
        <v>#VALUE!</v>
      </c>
    </row>
    <row r="1866" spans="1:5" ht="12.75" customHeight="1" x14ac:dyDescent="0.2">
      <c r="A1866" s="3"/>
      <c r="B1866" s="3" t="s">
        <v>9</v>
      </c>
      <c r="C1866" s="3" t="s">
        <v>820</v>
      </c>
      <c r="D1866" s="2"/>
      <c r="E1866" s="2" t="e">
        <f t="shared" si="0"/>
        <v>#VALUE!</v>
      </c>
    </row>
    <row r="1867" spans="1:5" ht="12.75" customHeight="1" x14ac:dyDescent="0.2">
      <c r="A1867" s="3"/>
      <c r="B1867" s="3" t="s">
        <v>11</v>
      </c>
      <c r="C1867" s="3" t="s">
        <v>1079</v>
      </c>
      <c r="D1867" s="2"/>
      <c r="E1867" s="2" t="e">
        <f t="shared" si="0"/>
        <v>#VALUE!</v>
      </c>
    </row>
    <row r="1868" spans="1:5" ht="12.75" customHeight="1" x14ac:dyDescent="0.2">
      <c r="A1868" s="3"/>
      <c r="B1868" s="3" t="s">
        <v>18</v>
      </c>
      <c r="C1868" s="4" t="s">
        <v>19</v>
      </c>
      <c r="D1868" s="2"/>
      <c r="E1868" s="2" t="e">
        <f t="shared" si="0"/>
        <v>#VALUE!</v>
      </c>
    </row>
    <row r="1869" spans="1:5" ht="12.75" customHeight="1" x14ac:dyDescent="0.2">
      <c r="A1869" s="1" t="str">
        <f>HYPERLINK("javascript:void(0)","homlokránc")</f>
        <v>homlokránc</v>
      </c>
      <c r="B1869" s="1"/>
      <c r="C1869" s="1"/>
      <c r="D1869" s="2"/>
      <c r="E1869" s="2" t="e">
        <f t="shared" si="0"/>
        <v>#VALUE!</v>
      </c>
    </row>
    <row r="1870" spans="1:5" ht="12.75" customHeight="1" x14ac:dyDescent="0.2">
      <c r="A1870" s="3"/>
      <c r="B1870" s="3" t="s">
        <v>0</v>
      </c>
      <c r="C1870" s="3" t="s">
        <v>21</v>
      </c>
      <c r="D1870" s="2"/>
      <c r="E1870" s="2" t="e">
        <f t="shared" si="0"/>
        <v>#VALUE!</v>
      </c>
    </row>
    <row r="1871" spans="1:5" ht="12.75" customHeight="1" x14ac:dyDescent="0.2">
      <c r="A1871" s="3"/>
      <c r="B1871" s="3" t="s">
        <v>2</v>
      </c>
      <c r="C1871" s="3" t="s">
        <v>458</v>
      </c>
      <c r="D1871" s="2"/>
      <c r="E1871" s="2" t="e">
        <f t="shared" si="0"/>
        <v>#VALUE!</v>
      </c>
    </row>
    <row r="1872" spans="1:5" ht="12.75" customHeight="1" x14ac:dyDescent="0.2">
      <c r="A1872" s="3"/>
      <c r="B1872" s="3" t="s">
        <v>9</v>
      </c>
      <c r="C1872" s="3" t="s">
        <v>1044</v>
      </c>
      <c r="D1872" s="2"/>
      <c r="E1872" s="2" t="e">
        <f t="shared" si="0"/>
        <v>#VALUE!</v>
      </c>
    </row>
    <row r="1873" spans="1:5" ht="12.75" customHeight="1" x14ac:dyDescent="0.2">
      <c r="A1873" s="3"/>
      <c r="B1873" s="3" t="s">
        <v>11</v>
      </c>
      <c r="C1873" s="3" t="s">
        <v>1080</v>
      </c>
      <c r="D1873" s="2"/>
      <c r="E1873" s="2" t="e">
        <f t="shared" si="0"/>
        <v>#VALUE!</v>
      </c>
    </row>
    <row r="1874" spans="1:5" ht="12.75" customHeight="1" x14ac:dyDescent="0.2">
      <c r="A1874" s="3"/>
      <c r="B1874" s="3" t="s">
        <v>18</v>
      </c>
      <c r="C1874" s="4" t="s">
        <v>19</v>
      </c>
      <c r="D1874" s="2"/>
      <c r="E1874" s="2" t="e">
        <f t="shared" si="0"/>
        <v>#VALUE!</v>
      </c>
    </row>
    <row r="1875" spans="1:5" ht="12.75" customHeight="1" x14ac:dyDescent="0.2">
      <c r="A1875" s="1" t="str">
        <f>HYPERLINK("javascript:void(0)","homokóra")</f>
        <v>homokóra</v>
      </c>
      <c r="B1875" s="1"/>
      <c r="C1875" s="1"/>
      <c r="D1875" s="2"/>
      <c r="E1875" s="2" t="e">
        <f t="shared" si="0"/>
        <v>#VALUE!</v>
      </c>
    </row>
    <row r="1876" spans="1:5" ht="12.75" customHeight="1" x14ac:dyDescent="0.2">
      <c r="A1876" s="3"/>
      <c r="B1876" s="3" t="s">
        <v>0</v>
      </c>
      <c r="C1876" s="3" t="s">
        <v>21</v>
      </c>
      <c r="D1876" s="2"/>
      <c r="E1876" s="2" t="e">
        <f t="shared" si="0"/>
        <v>#VALUE!</v>
      </c>
    </row>
    <row r="1877" spans="1:5" ht="12.75" customHeight="1" x14ac:dyDescent="0.2">
      <c r="A1877" s="3"/>
      <c r="B1877" s="3" t="s">
        <v>2</v>
      </c>
      <c r="C1877" s="3" t="s">
        <v>458</v>
      </c>
      <c r="D1877" s="2"/>
      <c r="E1877" s="2" t="e">
        <f t="shared" si="0"/>
        <v>#VALUE!</v>
      </c>
    </row>
    <row r="1878" spans="1:5" ht="12.75" customHeight="1" x14ac:dyDescent="0.2">
      <c r="A1878" s="3"/>
      <c r="B1878" s="3" t="s">
        <v>9</v>
      </c>
      <c r="C1878" s="3" t="s">
        <v>53</v>
      </c>
      <c r="D1878" s="2"/>
      <c r="E1878" s="2" t="e">
        <f t="shared" si="0"/>
        <v>#VALUE!</v>
      </c>
    </row>
    <row r="1879" spans="1:5" ht="12.75" customHeight="1" x14ac:dyDescent="0.2">
      <c r="A1879" s="3"/>
      <c r="B1879" s="3" t="s">
        <v>11</v>
      </c>
      <c r="C1879" s="3" t="s">
        <v>1084</v>
      </c>
      <c r="D1879" s="2"/>
      <c r="E1879" s="2" t="e">
        <f t="shared" si="0"/>
        <v>#VALUE!</v>
      </c>
    </row>
    <row r="1880" spans="1:5" ht="12.75" customHeight="1" x14ac:dyDescent="0.2">
      <c r="A1880" s="3"/>
      <c r="B1880" s="3" t="s">
        <v>18</v>
      </c>
      <c r="C1880" s="4" t="s">
        <v>19</v>
      </c>
      <c r="D1880" s="2"/>
      <c r="E1880" s="2" t="e">
        <f t="shared" si="0"/>
        <v>#VALUE!</v>
      </c>
    </row>
    <row r="1881" spans="1:5" ht="12.75" customHeight="1" x14ac:dyDescent="0.2">
      <c r="A1881" s="1" t="str">
        <f>HYPERLINK("javascript:void(0)","hordócsap")</f>
        <v>hordócsap</v>
      </c>
      <c r="B1881" s="1"/>
      <c r="C1881" s="1"/>
      <c r="D1881" s="2"/>
      <c r="E1881" s="2" t="e">
        <f t="shared" si="0"/>
        <v>#VALUE!</v>
      </c>
    </row>
    <row r="1882" spans="1:5" ht="12.75" customHeight="1" x14ac:dyDescent="0.2">
      <c r="A1882" s="3"/>
      <c r="B1882" s="3" t="s">
        <v>0</v>
      </c>
      <c r="C1882" s="3" t="s">
        <v>21</v>
      </c>
      <c r="D1882" s="2"/>
      <c r="E1882" s="2" t="e">
        <f t="shared" si="0"/>
        <v>#VALUE!</v>
      </c>
    </row>
    <row r="1883" spans="1:5" ht="12.75" customHeight="1" x14ac:dyDescent="0.2">
      <c r="A1883" s="3"/>
      <c r="B1883" s="3" t="s">
        <v>2</v>
      </c>
      <c r="C1883" s="3" t="s">
        <v>458</v>
      </c>
      <c r="D1883" s="2"/>
      <c r="E1883" s="2" t="e">
        <f t="shared" si="0"/>
        <v>#VALUE!</v>
      </c>
    </row>
    <row r="1884" spans="1:5" ht="12.75" customHeight="1" x14ac:dyDescent="0.2">
      <c r="A1884" s="3"/>
      <c r="B1884" s="3" t="s">
        <v>9</v>
      </c>
      <c r="C1884" s="3" t="s">
        <v>84</v>
      </c>
      <c r="D1884" s="2"/>
      <c r="E1884" s="2" t="e">
        <f t="shared" si="0"/>
        <v>#VALUE!</v>
      </c>
    </row>
    <row r="1885" spans="1:5" ht="12.75" customHeight="1" x14ac:dyDescent="0.2">
      <c r="A1885" s="3"/>
      <c r="B1885" s="3" t="s">
        <v>11</v>
      </c>
      <c r="C1885" s="3" t="s">
        <v>209</v>
      </c>
      <c r="D1885" s="2"/>
      <c r="E1885" s="2" t="e">
        <f t="shared" si="0"/>
        <v>#VALUE!</v>
      </c>
    </row>
    <row r="1886" spans="1:5" ht="12.75" customHeight="1" x14ac:dyDescent="0.2">
      <c r="A1886" s="3"/>
      <c r="B1886" s="3" t="s">
        <v>18</v>
      </c>
      <c r="C1886" s="4" t="s">
        <v>19</v>
      </c>
      <c r="D1886" s="2"/>
      <c r="E1886" s="2" t="e">
        <f t="shared" si="0"/>
        <v>#VALUE!</v>
      </c>
    </row>
    <row r="1887" spans="1:5" ht="12.75" customHeight="1" x14ac:dyDescent="0.2">
      <c r="A1887" s="1" t="str">
        <f>HYPERLINK("javascript:void(0)","horog")</f>
        <v>horog</v>
      </c>
      <c r="B1887" s="1"/>
      <c r="C1887" s="1"/>
      <c r="D1887" s="2"/>
      <c r="E1887" s="2" t="e">
        <f t="shared" si="0"/>
        <v>#VALUE!</v>
      </c>
    </row>
    <row r="1888" spans="1:5" ht="12.75" customHeight="1" x14ac:dyDescent="0.2">
      <c r="A1888" s="3"/>
      <c r="B1888" s="3" t="s">
        <v>0</v>
      </c>
      <c r="C1888" s="3" t="s">
        <v>21</v>
      </c>
      <c r="D1888" s="2"/>
      <c r="E1888" s="2" t="e">
        <f t="shared" si="0"/>
        <v>#VALUE!</v>
      </c>
    </row>
    <row r="1889" spans="1:5" ht="12.75" customHeight="1" x14ac:dyDescent="0.2">
      <c r="A1889" s="3"/>
      <c r="B1889" s="3" t="s">
        <v>2</v>
      </c>
      <c r="C1889" s="3" t="s">
        <v>458</v>
      </c>
      <c r="D1889" s="2"/>
      <c r="E1889" s="2" t="e">
        <f t="shared" si="0"/>
        <v>#VALUE!</v>
      </c>
    </row>
    <row r="1890" spans="1:5" ht="12.75" customHeight="1" x14ac:dyDescent="0.2">
      <c r="A1890" s="3"/>
      <c r="B1890" s="3" t="s">
        <v>9</v>
      </c>
      <c r="C1890" s="3" t="s">
        <v>969</v>
      </c>
      <c r="D1890" s="2"/>
      <c r="E1890" s="2" t="e">
        <f t="shared" si="0"/>
        <v>#VALUE!</v>
      </c>
    </row>
    <row r="1891" spans="1:5" ht="12.75" customHeight="1" x14ac:dyDescent="0.2">
      <c r="A1891" s="3"/>
      <c r="B1891" s="3" t="s">
        <v>11</v>
      </c>
      <c r="C1891" s="3" t="s">
        <v>505</v>
      </c>
      <c r="D1891" s="2"/>
      <c r="E1891" s="2" t="e">
        <f t="shared" si="0"/>
        <v>#VALUE!</v>
      </c>
    </row>
    <row r="1892" spans="1:5" ht="12.75" customHeight="1" x14ac:dyDescent="0.2">
      <c r="A1892" s="3"/>
      <c r="B1892" s="3" t="s">
        <v>18</v>
      </c>
      <c r="C1892" s="4" t="s">
        <v>19</v>
      </c>
      <c r="D1892" s="2"/>
      <c r="E1892" s="2" t="e">
        <f t="shared" si="0"/>
        <v>#VALUE!</v>
      </c>
    </row>
    <row r="1893" spans="1:5" ht="12.75" customHeight="1" x14ac:dyDescent="0.2">
      <c r="A1893" s="1" t="str">
        <f>HYPERLINK("javascript:void(0)","hukkantás")</f>
        <v>hukkantás</v>
      </c>
      <c r="B1893" s="1"/>
      <c r="C1893" s="1"/>
      <c r="D1893" s="2"/>
      <c r="E1893" s="2" t="e">
        <f t="shared" si="0"/>
        <v>#VALUE!</v>
      </c>
    </row>
    <row r="1894" spans="1:5" ht="12.75" customHeight="1" x14ac:dyDescent="0.2">
      <c r="A1894" s="3"/>
      <c r="B1894" s="3" t="s">
        <v>0</v>
      </c>
      <c r="C1894" s="3" t="s">
        <v>21</v>
      </c>
      <c r="D1894" s="2"/>
      <c r="E1894" s="2" t="e">
        <f t="shared" si="0"/>
        <v>#VALUE!</v>
      </c>
    </row>
    <row r="1895" spans="1:5" ht="12.75" customHeight="1" x14ac:dyDescent="0.2">
      <c r="A1895" s="3"/>
      <c r="B1895" s="3" t="s">
        <v>2</v>
      </c>
      <c r="C1895" s="3" t="s">
        <v>458</v>
      </c>
      <c r="D1895" s="2"/>
      <c r="E1895" s="2" t="e">
        <f t="shared" si="0"/>
        <v>#VALUE!</v>
      </c>
    </row>
    <row r="1896" spans="1:5" ht="12.75" customHeight="1" x14ac:dyDescent="0.2">
      <c r="A1896" s="3"/>
      <c r="B1896" s="3" t="s">
        <v>9</v>
      </c>
      <c r="C1896" s="3" t="s">
        <v>22</v>
      </c>
      <c r="D1896" s="2"/>
      <c r="E1896" s="2" t="e">
        <f t="shared" si="0"/>
        <v>#VALUE!</v>
      </c>
    </row>
    <row r="1897" spans="1:5" ht="12.75" customHeight="1" x14ac:dyDescent="0.2">
      <c r="A1897" s="3"/>
      <c r="B1897" s="3" t="s">
        <v>11</v>
      </c>
      <c r="C1897" s="3" t="s">
        <v>1092</v>
      </c>
      <c r="D1897" s="2"/>
      <c r="E1897" s="2" t="e">
        <f t="shared" si="0"/>
        <v>#VALUE!</v>
      </c>
    </row>
    <row r="1898" spans="1:5" ht="12.75" customHeight="1" x14ac:dyDescent="0.2">
      <c r="A1898" s="3"/>
      <c r="B1898" s="3" t="s">
        <v>18</v>
      </c>
      <c r="C1898" s="4" t="s">
        <v>19</v>
      </c>
      <c r="D1898" s="2"/>
      <c r="E1898" s="2" t="e">
        <f t="shared" si="0"/>
        <v>#VALUE!</v>
      </c>
    </row>
    <row r="1899" spans="1:5" ht="12.75" customHeight="1" x14ac:dyDescent="0.2">
      <c r="A1899" s="1" t="str">
        <f>HYPERLINK("javascript:void(0)","hullahó")</f>
        <v>hullahó</v>
      </c>
      <c r="B1899" s="1"/>
      <c r="C1899" s="1"/>
      <c r="D1899" s="2"/>
      <c r="E1899" s="2" t="e">
        <f t="shared" si="0"/>
        <v>#VALUE!</v>
      </c>
    </row>
    <row r="1900" spans="1:5" ht="12.75" customHeight="1" x14ac:dyDescent="0.2">
      <c r="A1900" s="3"/>
      <c r="B1900" s="3" t="s">
        <v>0</v>
      </c>
      <c r="C1900" s="3" t="s">
        <v>21</v>
      </c>
      <c r="D1900" s="2"/>
      <c r="E1900" s="2" t="e">
        <f t="shared" si="0"/>
        <v>#VALUE!</v>
      </c>
    </row>
    <row r="1901" spans="1:5" ht="12.75" customHeight="1" x14ac:dyDescent="0.2">
      <c r="A1901" s="3"/>
      <c r="B1901" s="3" t="s">
        <v>2</v>
      </c>
      <c r="C1901" s="3" t="s">
        <v>458</v>
      </c>
      <c r="D1901" s="2"/>
      <c r="E1901" s="2" t="e">
        <f t="shared" si="0"/>
        <v>#VALUE!</v>
      </c>
    </row>
    <row r="1902" spans="1:5" ht="12.75" customHeight="1" x14ac:dyDescent="0.2">
      <c r="A1902" s="3"/>
      <c r="B1902" s="3" t="s">
        <v>9</v>
      </c>
      <c r="C1902" s="3" t="s">
        <v>404</v>
      </c>
      <c r="D1902" s="2"/>
      <c r="E1902" s="2" t="e">
        <f t="shared" si="0"/>
        <v>#VALUE!</v>
      </c>
    </row>
    <row r="1903" spans="1:5" ht="12.75" customHeight="1" x14ac:dyDescent="0.2">
      <c r="A1903" s="3"/>
      <c r="B1903" s="3" t="s">
        <v>11</v>
      </c>
      <c r="C1903" s="3" t="s">
        <v>395</v>
      </c>
      <c r="D1903" s="2"/>
      <c r="E1903" s="2" t="e">
        <f t="shared" si="0"/>
        <v>#VALUE!</v>
      </c>
    </row>
    <row r="1904" spans="1:5" ht="12.75" customHeight="1" x14ac:dyDescent="0.2">
      <c r="A1904" s="3"/>
      <c r="B1904" s="3" t="s">
        <v>18</v>
      </c>
      <c r="C1904" s="4" t="s">
        <v>19</v>
      </c>
      <c r="D1904" s="2"/>
      <c r="E1904" s="2" t="e">
        <f t="shared" si="0"/>
        <v>#VALUE!</v>
      </c>
    </row>
    <row r="1905" spans="1:5" ht="12.75" customHeight="1" x14ac:dyDescent="0.2">
      <c r="A1905" s="1" t="str">
        <f>HYPERLINK("javascript:void(0)","hurka")</f>
        <v>hurka</v>
      </c>
      <c r="B1905" s="1"/>
      <c r="C1905" s="1"/>
      <c r="D1905" s="2"/>
      <c r="E1905" s="2" t="e">
        <f t="shared" si="0"/>
        <v>#VALUE!</v>
      </c>
    </row>
    <row r="1906" spans="1:5" ht="12.75" customHeight="1" x14ac:dyDescent="0.2">
      <c r="A1906" s="3"/>
      <c r="B1906" s="3" t="s">
        <v>0</v>
      </c>
      <c r="C1906" s="3" t="s">
        <v>21</v>
      </c>
      <c r="D1906" s="2"/>
      <c r="E1906" s="2" t="e">
        <f t="shared" si="0"/>
        <v>#VALUE!</v>
      </c>
    </row>
    <row r="1907" spans="1:5" ht="12.75" customHeight="1" x14ac:dyDescent="0.2">
      <c r="A1907" s="3"/>
      <c r="B1907" s="3" t="s">
        <v>2</v>
      </c>
      <c r="C1907" s="3" t="s">
        <v>458</v>
      </c>
      <c r="D1907" s="2"/>
      <c r="E1907" s="2" t="e">
        <f t="shared" si="0"/>
        <v>#VALUE!</v>
      </c>
    </row>
    <row r="1908" spans="1:5" ht="12.75" customHeight="1" x14ac:dyDescent="0.2">
      <c r="A1908" s="3"/>
      <c r="B1908" s="3" t="s">
        <v>9</v>
      </c>
      <c r="C1908" s="3" t="s">
        <v>22</v>
      </c>
      <c r="D1908" s="2"/>
      <c r="E1908" s="2" t="e">
        <f t="shared" si="0"/>
        <v>#VALUE!</v>
      </c>
    </row>
    <row r="1909" spans="1:5" ht="12.75" customHeight="1" x14ac:dyDescent="0.2">
      <c r="A1909" s="3"/>
      <c r="B1909" s="3" t="s">
        <v>11</v>
      </c>
      <c r="C1909" s="3" t="s">
        <v>597</v>
      </c>
      <c r="D1909" s="2"/>
      <c r="E1909" s="2" t="e">
        <f t="shared" si="0"/>
        <v>#VALUE!</v>
      </c>
    </row>
    <row r="1910" spans="1:5" ht="12.75" customHeight="1" x14ac:dyDescent="0.2">
      <c r="A1910" s="3"/>
      <c r="B1910" s="3" t="s">
        <v>18</v>
      </c>
      <c r="C1910" s="4" t="s">
        <v>19</v>
      </c>
      <c r="D1910" s="2"/>
      <c r="E1910" s="2" t="e">
        <f t="shared" si="0"/>
        <v>#VALUE!</v>
      </c>
    </row>
    <row r="1911" spans="1:5" ht="12.75" customHeight="1" x14ac:dyDescent="0.2">
      <c r="A1911" s="1" t="str">
        <f>HYPERLINK("javascript:void(0)","hypnogén")</f>
        <v>hypnogén</v>
      </c>
      <c r="B1911" s="1"/>
      <c r="C1911" s="1"/>
      <c r="D1911" s="2"/>
      <c r="E1911" s="2" t="e">
        <f t="shared" si="0"/>
        <v>#VALUE!</v>
      </c>
    </row>
    <row r="1912" spans="1:5" ht="12.75" customHeight="1" x14ac:dyDescent="0.2">
      <c r="A1912" s="3"/>
      <c r="B1912" s="3" t="s">
        <v>0</v>
      </c>
      <c r="C1912" s="3" t="s">
        <v>21</v>
      </c>
      <c r="D1912" s="2"/>
      <c r="E1912" s="2" t="e">
        <f t="shared" si="0"/>
        <v>#VALUE!</v>
      </c>
    </row>
    <row r="1913" spans="1:5" ht="12.75" customHeight="1" x14ac:dyDescent="0.2">
      <c r="A1913" s="3"/>
      <c r="B1913" s="3" t="s">
        <v>2</v>
      </c>
      <c r="C1913" s="3" t="s">
        <v>458</v>
      </c>
      <c r="D1913" s="2"/>
      <c r="E1913" s="2" t="e">
        <f t="shared" si="0"/>
        <v>#VALUE!</v>
      </c>
    </row>
    <row r="1914" spans="1:5" ht="12.75" customHeight="1" x14ac:dyDescent="0.2">
      <c r="A1914" s="3"/>
      <c r="B1914" s="3" t="s">
        <v>9</v>
      </c>
      <c r="C1914" s="3" t="s">
        <v>22</v>
      </c>
      <c r="D1914" s="2"/>
      <c r="E1914" s="2" t="e">
        <f t="shared" si="0"/>
        <v>#VALUE!</v>
      </c>
    </row>
    <row r="1915" spans="1:5" ht="12.75" customHeight="1" x14ac:dyDescent="0.2">
      <c r="A1915" s="3"/>
      <c r="B1915" s="3" t="s">
        <v>11</v>
      </c>
      <c r="C1915" s="3" t="s">
        <v>227</v>
      </c>
      <c r="D1915" s="2"/>
      <c r="E1915" s="2" t="e">
        <f t="shared" si="0"/>
        <v>#VALUE!</v>
      </c>
    </row>
    <row r="1916" spans="1:5" ht="12.75" customHeight="1" x14ac:dyDescent="0.2">
      <c r="A1916" s="3"/>
      <c r="B1916" s="3" t="s">
        <v>18</v>
      </c>
      <c r="C1916" s="4" t="s">
        <v>19</v>
      </c>
      <c r="D1916" s="2"/>
      <c r="E1916" s="2" t="e">
        <f t="shared" si="0"/>
        <v>#VALUE!</v>
      </c>
    </row>
    <row r="1917" spans="1:5" ht="12.75" customHeight="1" x14ac:dyDescent="0.2">
      <c r="A1917" s="1" t="str">
        <f>HYPERLINK("javascript:void(0)","háló")</f>
        <v>háló</v>
      </c>
      <c r="B1917" s="1"/>
      <c r="C1917" s="1"/>
      <c r="D1917" s="2"/>
      <c r="E1917" s="2" t="e">
        <f t="shared" si="0"/>
        <v>#VALUE!</v>
      </c>
    </row>
    <row r="1918" spans="1:5" ht="12.75" customHeight="1" x14ac:dyDescent="0.2">
      <c r="A1918" s="3"/>
      <c r="B1918" s="3" t="s">
        <v>0</v>
      </c>
      <c r="C1918" s="3" t="s">
        <v>21</v>
      </c>
      <c r="D1918" s="2"/>
      <c r="E1918" s="2" t="e">
        <f t="shared" si="0"/>
        <v>#VALUE!</v>
      </c>
    </row>
    <row r="1919" spans="1:5" ht="12.75" customHeight="1" x14ac:dyDescent="0.2">
      <c r="A1919" s="3"/>
      <c r="B1919" s="3" t="s">
        <v>2</v>
      </c>
      <c r="C1919" s="3" t="s">
        <v>440</v>
      </c>
      <c r="D1919" s="2"/>
      <c r="E1919" s="2" t="e">
        <f t="shared" si="0"/>
        <v>#VALUE!</v>
      </c>
    </row>
    <row r="1920" spans="1:5" ht="12.75" customHeight="1" x14ac:dyDescent="0.2">
      <c r="A1920" s="3"/>
      <c r="B1920" s="3" t="s">
        <v>9</v>
      </c>
      <c r="C1920" s="3" t="s">
        <v>124</v>
      </c>
      <c r="D1920" s="2"/>
      <c r="E1920" s="2" t="e">
        <f t="shared" si="0"/>
        <v>#VALUE!</v>
      </c>
    </row>
    <row r="1921" spans="1:5" ht="12.75" customHeight="1" x14ac:dyDescent="0.2">
      <c r="A1921" s="3"/>
      <c r="B1921" s="3" t="s">
        <v>11</v>
      </c>
      <c r="C1921" s="3" t="s">
        <v>881</v>
      </c>
      <c r="D1921" s="2"/>
      <c r="E1921" s="2" t="e">
        <f t="shared" si="0"/>
        <v>#VALUE!</v>
      </c>
    </row>
    <row r="1922" spans="1:5" ht="12.75" customHeight="1" x14ac:dyDescent="0.2">
      <c r="A1922" s="3"/>
      <c r="B1922" s="3" t="s">
        <v>18</v>
      </c>
      <c r="C1922" s="4" t="s">
        <v>19</v>
      </c>
      <c r="D1922" s="2"/>
      <c r="E1922" s="2" t="e">
        <f t="shared" si="0"/>
        <v>#VALUE!</v>
      </c>
    </row>
    <row r="1923" spans="1:5" ht="12.75" customHeight="1" x14ac:dyDescent="0.2">
      <c r="A1923" s="1" t="str">
        <f>HYPERLINK("javascript:void(0)","hálószem")</f>
        <v>hálószem</v>
      </c>
      <c r="B1923" s="1"/>
      <c r="C1923" s="1"/>
      <c r="D1923" s="2"/>
      <c r="E1923" s="2" t="e">
        <f t="shared" si="0"/>
        <v>#VALUE!</v>
      </c>
    </row>
    <row r="1924" spans="1:5" ht="12.75" customHeight="1" x14ac:dyDescent="0.2">
      <c r="A1924" s="3"/>
      <c r="B1924" s="3" t="s">
        <v>0</v>
      </c>
      <c r="C1924" s="3" t="s">
        <v>21</v>
      </c>
      <c r="D1924" s="2"/>
      <c r="E1924" s="2" t="e">
        <f t="shared" si="0"/>
        <v>#VALUE!</v>
      </c>
    </row>
    <row r="1925" spans="1:5" ht="12.75" customHeight="1" x14ac:dyDescent="0.2">
      <c r="A1925" s="3"/>
      <c r="B1925" s="3" t="s">
        <v>2</v>
      </c>
      <c r="C1925" s="3" t="s">
        <v>458</v>
      </c>
      <c r="D1925" s="2"/>
      <c r="E1925" s="2" t="e">
        <f t="shared" si="0"/>
        <v>#VALUE!</v>
      </c>
    </row>
    <row r="1926" spans="1:5" ht="12.75" customHeight="1" x14ac:dyDescent="0.2">
      <c r="A1926" s="3"/>
      <c r="B1926" s="3" t="s">
        <v>9</v>
      </c>
      <c r="C1926" s="3" t="s">
        <v>22</v>
      </c>
      <c r="D1926" s="2"/>
      <c r="E1926" s="2" t="e">
        <f t="shared" si="0"/>
        <v>#VALUE!</v>
      </c>
    </row>
    <row r="1927" spans="1:5" ht="12.75" customHeight="1" x14ac:dyDescent="0.2">
      <c r="A1927" s="3"/>
      <c r="B1927" s="3" t="s">
        <v>11</v>
      </c>
      <c r="C1927" s="3" t="s">
        <v>976</v>
      </c>
      <c r="D1927" s="2"/>
      <c r="E1927" s="2" t="e">
        <f t="shared" si="0"/>
        <v>#VALUE!</v>
      </c>
    </row>
    <row r="1928" spans="1:5" ht="12.75" customHeight="1" x14ac:dyDescent="0.2">
      <c r="A1928" s="3"/>
      <c r="B1928" s="3" t="s">
        <v>18</v>
      </c>
      <c r="C1928" s="4" t="s">
        <v>19</v>
      </c>
      <c r="D1928" s="2"/>
      <c r="E1928" s="2" t="e">
        <f t="shared" si="0"/>
        <v>#VALUE!</v>
      </c>
    </row>
    <row r="1929" spans="1:5" ht="12.75" customHeight="1" x14ac:dyDescent="0.2">
      <c r="A1929" s="1" t="str">
        <f>HYPERLINK("javascript:void(0)","hárpia copf")</f>
        <v>hárpia copf</v>
      </c>
      <c r="B1929" s="1"/>
      <c r="C1929" s="1"/>
      <c r="D1929" s="2"/>
      <c r="E1929" s="2" t="e">
        <f t="shared" si="0"/>
        <v>#VALUE!</v>
      </c>
    </row>
    <row r="1930" spans="1:5" ht="12.75" customHeight="1" x14ac:dyDescent="0.2">
      <c r="A1930" s="3"/>
      <c r="B1930" s="3" t="s">
        <v>0</v>
      </c>
      <c r="C1930" s="3" t="s">
        <v>21</v>
      </c>
      <c r="D1930" s="2"/>
      <c r="E1930" s="2" t="e">
        <f t="shared" si="0"/>
        <v>#VALUE!</v>
      </c>
    </row>
    <row r="1931" spans="1:5" ht="12.75" customHeight="1" x14ac:dyDescent="0.2">
      <c r="A1931" s="3"/>
      <c r="B1931" s="3" t="s">
        <v>2</v>
      </c>
      <c r="C1931" s="3" t="s">
        <v>458</v>
      </c>
      <c r="D1931" s="2"/>
      <c r="E1931" s="2" t="e">
        <f t="shared" si="0"/>
        <v>#VALUE!</v>
      </c>
    </row>
    <row r="1932" spans="1:5" ht="12.75" customHeight="1" x14ac:dyDescent="0.2">
      <c r="A1932" s="3"/>
      <c r="B1932" s="3" t="s">
        <v>9</v>
      </c>
      <c r="C1932" s="3" t="s">
        <v>53</v>
      </c>
      <c r="D1932" s="2"/>
      <c r="E1932" s="2" t="e">
        <f t="shared" si="0"/>
        <v>#VALUE!</v>
      </c>
    </row>
    <row r="1933" spans="1:5" ht="12.75" customHeight="1" x14ac:dyDescent="0.2">
      <c r="A1933" s="3"/>
      <c r="B1933" s="3" t="s">
        <v>11</v>
      </c>
      <c r="C1933" s="3" t="s">
        <v>209</v>
      </c>
      <c r="D1933" s="2"/>
      <c r="E1933" s="2" t="e">
        <f t="shared" si="0"/>
        <v>#VALUE!</v>
      </c>
    </row>
    <row r="1934" spans="1:5" ht="12.75" customHeight="1" x14ac:dyDescent="0.2">
      <c r="A1934" s="3"/>
      <c r="B1934" s="3" t="s">
        <v>18</v>
      </c>
      <c r="C1934" s="4" t="s">
        <v>19</v>
      </c>
      <c r="D1934" s="2"/>
      <c r="E1934" s="2" t="e">
        <f t="shared" si="0"/>
        <v>#VALUE!</v>
      </c>
    </row>
    <row r="1935" spans="1:5" ht="12.75" customHeight="1" x14ac:dyDescent="0.2">
      <c r="A1935" s="1" t="str">
        <f>HYPERLINK("javascript:void(0)","hátszarv")</f>
        <v>hátszarv</v>
      </c>
      <c r="B1935" s="1"/>
      <c r="C1935" s="1"/>
      <c r="D1935" s="2"/>
      <c r="E1935" s="2" t="e">
        <f t="shared" si="0"/>
        <v>#VALUE!</v>
      </c>
    </row>
    <row r="1936" spans="1:5" ht="12.75" customHeight="1" x14ac:dyDescent="0.2">
      <c r="A1936" s="3"/>
      <c r="B1936" s="3" t="s">
        <v>0</v>
      </c>
      <c r="C1936" s="3" t="s">
        <v>21</v>
      </c>
      <c r="D1936" s="2"/>
      <c r="E1936" s="2" t="e">
        <f t="shared" si="0"/>
        <v>#VALUE!</v>
      </c>
    </row>
    <row r="1937" spans="1:5" ht="12.75" customHeight="1" x14ac:dyDescent="0.2">
      <c r="A1937" s="3"/>
      <c r="B1937" s="3" t="s">
        <v>2</v>
      </c>
      <c r="C1937" s="3" t="s">
        <v>458</v>
      </c>
      <c r="D1937" s="2"/>
      <c r="E1937" s="2" t="e">
        <f t="shared" si="0"/>
        <v>#VALUE!</v>
      </c>
    </row>
    <row r="1938" spans="1:5" ht="12.75" customHeight="1" x14ac:dyDescent="0.2">
      <c r="A1938" s="3"/>
      <c r="B1938" s="3" t="s">
        <v>9</v>
      </c>
      <c r="C1938" s="3" t="s">
        <v>137</v>
      </c>
      <c r="D1938" s="2"/>
      <c r="E1938" s="2" t="e">
        <f t="shared" si="0"/>
        <v>#VALUE!</v>
      </c>
    </row>
    <row r="1939" spans="1:5" ht="12.75" customHeight="1" x14ac:dyDescent="0.2">
      <c r="A1939" s="3"/>
      <c r="B1939" s="3" t="s">
        <v>11</v>
      </c>
      <c r="C1939" s="3" t="s">
        <v>227</v>
      </c>
      <c r="D1939" s="2"/>
      <c r="E1939" s="2" t="e">
        <f t="shared" si="0"/>
        <v>#VALUE!</v>
      </c>
    </row>
    <row r="1940" spans="1:5" ht="12.75" customHeight="1" x14ac:dyDescent="0.2">
      <c r="A1940" s="3"/>
      <c r="B1940" s="3" t="s">
        <v>18</v>
      </c>
      <c r="C1940" s="4" t="s">
        <v>19</v>
      </c>
      <c r="D1940" s="2"/>
      <c r="E1940" s="2" t="e">
        <f t="shared" si="0"/>
        <v>#VALUE!</v>
      </c>
    </row>
    <row r="1941" spans="1:5" ht="12.75" customHeight="1" x14ac:dyDescent="0.2">
      <c r="A1941" s="1" t="str">
        <f>HYPERLINK("javascript:void(0)","hínárgyöngy")</f>
        <v>hínárgyöngy</v>
      </c>
      <c r="B1941" s="1"/>
      <c r="C1941" s="1"/>
      <c r="D1941" s="2"/>
      <c r="E1941" s="2" t="e">
        <f t="shared" si="0"/>
        <v>#VALUE!</v>
      </c>
    </row>
    <row r="1942" spans="1:5" ht="12.75" customHeight="1" x14ac:dyDescent="0.2">
      <c r="A1942" s="3"/>
      <c r="B1942" s="3" t="s">
        <v>0</v>
      </c>
      <c r="C1942" s="3" t="s">
        <v>21</v>
      </c>
      <c r="D1942" s="2"/>
      <c r="E1942" s="2" t="e">
        <f t="shared" si="0"/>
        <v>#VALUE!</v>
      </c>
    </row>
    <row r="1943" spans="1:5" ht="12.75" customHeight="1" x14ac:dyDescent="0.2">
      <c r="A1943" s="3"/>
      <c r="B1943" s="3" t="s">
        <v>2</v>
      </c>
      <c r="C1943" s="3" t="s">
        <v>458</v>
      </c>
      <c r="D1943" s="2"/>
      <c r="E1943" s="2" t="e">
        <f t="shared" si="0"/>
        <v>#VALUE!</v>
      </c>
    </row>
    <row r="1944" spans="1:5" ht="12.75" customHeight="1" x14ac:dyDescent="0.2">
      <c r="A1944" s="3"/>
      <c r="B1944" s="3" t="s">
        <v>9</v>
      </c>
      <c r="C1944" s="3" t="s">
        <v>404</v>
      </c>
      <c r="D1944" s="2"/>
      <c r="E1944" s="2" t="e">
        <f t="shared" si="0"/>
        <v>#VALUE!</v>
      </c>
    </row>
    <row r="1945" spans="1:5" ht="12.75" customHeight="1" x14ac:dyDescent="0.2">
      <c r="A1945" s="3"/>
      <c r="B1945" s="3" t="s">
        <v>11</v>
      </c>
      <c r="C1945" s="3" t="s">
        <v>279</v>
      </c>
      <c r="D1945" s="2"/>
      <c r="E1945" s="2" t="e">
        <f t="shared" si="0"/>
        <v>#VALUE!</v>
      </c>
    </row>
    <row r="1946" spans="1:5" ht="12.75" customHeight="1" x14ac:dyDescent="0.2">
      <c r="A1946" s="3"/>
      <c r="B1946" s="3" t="s">
        <v>18</v>
      </c>
      <c r="C1946" s="4" t="s">
        <v>19</v>
      </c>
      <c r="D1946" s="2"/>
      <c r="E1946" s="2" t="e">
        <f t="shared" si="0"/>
        <v>#VALUE!</v>
      </c>
    </row>
    <row r="1947" spans="1:5" ht="12.75" customHeight="1" x14ac:dyDescent="0.2">
      <c r="A1947" s="1" t="str">
        <f>HYPERLINK("javascript:void(0)","hódeszencia")</f>
        <v>hódeszencia</v>
      </c>
      <c r="B1947" s="1"/>
      <c r="C1947" s="1"/>
      <c r="D1947" s="2"/>
      <c r="E1947" s="2" t="e">
        <f t="shared" si="0"/>
        <v>#VALUE!</v>
      </c>
    </row>
    <row r="1948" spans="1:5" ht="12.75" customHeight="1" x14ac:dyDescent="0.2">
      <c r="A1948" s="3"/>
      <c r="B1948" s="3" t="s">
        <v>0</v>
      </c>
      <c r="C1948" s="3" t="s">
        <v>21</v>
      </c>
      <c r="D1948" s="2"/>
      <c r="E1948" s="2" t="e">
        <f t="shared" si="0"/>
        <v>#VALUE!</v>
      </c>
    </row>
    <row r="1949" spans="1:5" ht="12.75" customHeight="1" x14ac:dyDescent="0.2">
      <c r="A1949" s="3"/>
      <c r="B1949" s="3" t="s">
        <v>2</v>
      </c>
      <c r="C1949" s="3" t="s">
        <v>458</v>
      </c>
      <c r="D1949" s="2"/>
      <c r="E1949" s="2" t="e">
        <f t="shared" si="0"/>
        <v>#VALUE!</v>
      </c>
    </row>
    <row r="1950" spans="1:5" ht="12.75" customHeight="1" x14ac:dyDescent="0.2">
      <c r="A1950" s="3"/>
      <c r="B1950" s="3" t="s">
        <v>9</v>
      </c>
      <c r="C1950" s="3" t="s">
        <v>1108</v>
      </c>
      <c r="D1950" s="2"/>
      <c r="E1950" s="2" t="e">
        <f t="shared" si="0"/>
        <v>#VALUE!</v>
      </c>
    </row>
    <row r="1951" spans="1:5" ht="12.75" customHeight="1" x14ac:dyDescent="0.2">
      <c r="A1951" s="3"/>
      <c r="B1951" s="3" t="s">
        <v>11</v>
      </c>
      <c r="C1951" s="3" t="s">
        <v>976</v>
      </c>
      <c r="D1951" s="2"/>
      <c r="E1951" s="2" t="e">
        <f t="shared" si="0"/>
        <v>#VALUE!</v>
      </c>
    </row>
    <row r="1952" spans="1:5" ht="12.75" customHeight="1" x14ac:dyDescent="0.2">
      <c r="A1952" s="3"/>
      <c r="B1952" s="3" t="s">
        <v>18</v>
      </c>
      <c r="C1952" s="4" t="s">
        <v>19</v>
      </c>
      <c r="D1952" s="2"/>
      <c r="E1952" s="2" t="e">
        <f t="shared" si="0"/>
        <v>#VALUE!</v>
      </c>
    </row>
    <row r="1953" spans="1:5" ht="12.75" customHeight="1" x14ac:dyDescent="0.2">
      <c r="A1953" s="1" t="str">
        <f>HYPERLINK("javascript:void(0)","hódprizma")</f>
        <v>hódprizma</v>
      </c>
      <c r="B1953" s="1"/>
      <c r="C1953" s="1"/>
      <c r="D1953" s="2"/>
      <c r="E1953" s="2" t="e">
        <f t="shared" si="0"/>
        <v>#VALUE!</v>
      </c>
    </row>
    <row r="1954" spans="1:5" ht="12.75" customHeight="1" x14ac:dyDescent="0.2">
      <c r="A1954" s="3"/>
      <c r="B1954" s="3" t="s">
        <v>0</v>
      </c>
      <c r="C1954" s="3" t="s">
        <v>21</v>
      </c>
      <c r="D1954" s="2"/>
      <c r="E1954" s="2" t="e">
        <f t="shared" si="0"/>
        <v>#VALUE!</v>
      </c>
    </row>
    <row r="1955" spans="1:5" ht="12.75" customHeight="1" x14ac:dyDescent="0.2">
      <c r="A1955" s="3"/>
      <c r="B1955" s="3" t="s">
        <v>2</v>
      </c>
      <c r="C1955" s="3" t="s">
        <v>458</v>
      </c>
      <c r="D1955" s="2"/>
      <c r="E1955" s="2" t="e">
        <f t="shared" si="0"/>
        <v>#VALUE!</v>
      </c>
    </row>
    <row r="1956" spans="1:5" ht="12.75" customHeight="1" x14ac:dyDescent="0.2">
      <c r="A1956" s="3"/>
      <c r="B1956" s="3" t="s">
        <v>9</v>
      </c>
      <c r="C1956" s="3" t="s">
        <v>1112</v>
      </c>
      <c r="D1956" s="2"/>
      <c r="E1956" s="2" t="e">
        <f t="shared" si="0"/>
        <v>#VALUE!</v>
      </c>
    </row>
    <row r="1957" spans="1:5" ht="12.75" customHeight="1" x14ac:dyDescent="0.2">
      <c r="A1957" s="3"/>
      <c r="B1957" s="3" t="s">
        <v>11</v>
      </c>
      <c r="C1957" s="3" t="s">
        <v>927</v>
      </c>
      <c r="D1957" s="2"/>
      <c r="E1957" s="2" t="e">
        <f t="shared" si="0"/>
        <v>#VALUE!</v>
      </c>
    </row>
    <row r="1958" spans="1:5" ht="12.75" customHeight="1" x14ac:dyDescent="0.2">
      <c r="A1958" s="3"/>
      <c r="B1958" s="3" t="s">
        <v>18</v>
      </c>
      <c r="C1958" s="4" t="s">
        <v>19</v>
      </c>
      <c r="D1958" s="2"/>
      <c r="E1958" s="2" t="e">
        <f t="shared" si="0"/>
        <v>#VALUE!</v>
      </c>
    </row>
    <row r="1959" spans="1:5" ht="12.75" customHeight="1" x14ac:dyDescent="0.2">
      <c r="A1959" s="1" t="str">
        <f>HYPERLINK("javascript:void(0)","hörcsögagyar")</f>
        <v>hörcsögagyar</v>
      </c>
      <c r="B1959" s="1"/>
      <c r="C1959" s="1"/>
      <c r="D1959" s="2"/>
      <c r="E1959" s="2" t="e">
        <f t="shared" si="0"/>
        <v>#VALUE!</v>
      </c>
    </row>
    <row r="1960" spans="1:5" ht="12.75" customHeight="1" x14ac:dyDescent="0.2">
      <c r="A1960" s="3"/>
      <c r="B1960" s="3" t="s">
        <v>0</v>
      </c>
      <c r="C1960" s="3" t="s">
        <v>21</v>
      </c>
      <c r="D1960" s="2"/>
      <c r="E1960" s="2" t="e">
        <f t="shared" si="0"/>
        <v>#VALUE!</v>
      </c>
    </row>
    <row r="1961" spans="1:5" ht="12.75" customHeight="1" x14ac:dyDescent="0.2">
      <c r="A1961" s="3"/>
      <c r="B1961" s="3" t="s">
        <v>2</v>
      </c>
      <c r="C1961" s="3" t="s">
        <v>458</v>
      </c>
      <c r="D1961" s="2"/>
      <c r="E1961" s="2" t="e">
        <f t="shared" si="0"/>
        <v>#VALUE!</v>
      </c>
    </row>
    <row r="1962" spans="1:5" ht="12.75" customHeight="1" x14ac:dyDescent="0.2">
      <c r="A1962" s="3"/>
      <c r="B1962" s="3" t="s">
        <v>9</v>
      </c>
      <c r="C1962" s="3" t="s">
        <v>53</v>
      </c>
      <c r="D1962" s="2"/>
      <c r="E1962" s="2" t="e">
        <f t="shared" si="0"/>
        <v>#VALUE!</v>
      </c>
    </row>
    <row r="1963" spans="1:5" ht="12.75" customHeight="1" x14ac:dyDescent="0.2">
      <c r="A1963" s="3"/>
      <c r="B1963" s="3" t="s">
        <v>11</v>
      </c>
      <c r="C1963" s="3" t="s">
        <v>168</v>
      </c>
      <c r="D1963" s="2"/>
      <c r="E1963" s="2" t="e">
        <f t="shared" si="0"/>
        <v>#VALUE!</v>
      </c>
    </row>
    <row r="1964" spans="1:5" ht="12.75" customHeight="1" x14ac:dyDescent="0.2">
      <c r="A1964" s="3"/>
      <c r="B1964" s="3" t="s">
        <v>18</v>
      </c>
      <c r="C1964" s="4" t="s">
        <v>19</v>
      </c>
      <c r="D1964" s="2"/>
      <c r="E1964" s="2" t="e">
        <f t="shared" si="0"/>
        <v>#VALUE!</v>
      </c>
    </row>
    <row r="1965" spans="1:5" ht="12.75" customHeight="1" x14ac:dyDescent="0.2">
      <c r="A1965" s="1" t="str">
        <f>HYPERLINK("javascript:void(0)","hőgolyó")</f>
        <v>hőgolyó</v>
      </c>
      <c r="B1965" s="1"/>
      <c r="C1965" s="1"/>
      <c r="D1965" s="2"/>
      <c r="E1965" s="2" t="e">
        <f t="shared" si="0"/>
        <v>#VALUE!</v>
      </c>
    </row>
    <row r="1966" spans="1:5" ht="12.75" customHeight="1" x14ac:dyDescent="0.2">
      <c r="A1966" s="3"/>
      <c r="B1966" s="3" t="s">
        <v>0</v>
      </c>
      <c r="C1966" s="3" t="s">
        <v>21</v>
      </c>
      <c r="D1966" s="2"/>
      <c r="E1966" s="2" t="e">
        <f t="shared" si="0"/>
        <v>#VALUE!</v>
      </c>
    </row>
    <row r="1967" spans="1:5" ht="12.75" customHeight="1" x14ac:dyDescent="0.2">
      <c r="A1967" s="3"/>
      <c r="B1967" s="3" t="s">
        <v>2</v>
      </c>
      <c r="C1967" s="3" t="s">
        <v>458</v>
      </c>
      <c r="D1967" s="2"/>
      <c r="E1967" s="2" t="e">
        <f t="shared" si="0"/>
        <v>#VALUE!</v>
      </c>
    </row>
    <row r="1968" spans="1:5" ht="12.75" customHeight="1" x14ac:dyDescent="0.2">
      <c r="A1968" s="3"/>
      <c r="B1968" s="3" t="s">
        <v>9</v>
      </c>
      <c r="C1968" s="3" t="s">
        <v>53</v>
      </c>
      <c r="D1968" s="2"/>
      <c r="E1968" s="2" t="e">
        <f t="shared" si="0"/>
        <v>#VALUE!</v>
      </c>
    </row>
    <row r="1969" spans="1:5" ht="12.75" customHeight="1" x14ac:dyDescent="0.2">
      <c r="A1969" s="3"/>
      <c r="B1969" s="3" t="s">
        <v>11</v>
      </c>
      <c r="C1969" s="3" t="s">
        <v>227</v>
      </c>
      <c r="D1969" s="2"/>
      <c r="E1969" s="2" t="e">
        <f t="shared" si="0"/>
        <v>#VALUE!</v>
      </c>
    </row>
    <row r="1970" spans="1:5" ht="12.75" customHeight="1" x14ac:dyDescent="0.2">
      <c r="A1970" s="3"/>
      <c r="B1970" s="3" t="s">
        <v>18</v>
      </c>
      <c r="C1970" s="4" t="s">
        <v>19</v>
      </c>
      <c r="D1970" s="2"/>
      <c r="E1970" s="2" t="e">
        <f t="shared" si="0"/>
        <v>#VALUE!</v>
      </c>
    </row>
    <row r="1971" spans="1:5" ht="12.75" customHeight="1" x14ac:dyDescent="0.2">
      <c r="A1971" s="1" t="str">
        <f>HYPERLINK("javascript:void(0)","hőzöngcsörgő")</f>
        <v>hőzöngcsörgő</v>
      </c>
      <c r="B1971" s="1"/>
      <c r="C1971" s="1"/>
      <c r="D1971" s="2"/>
      <c r="E1971" s="2" t="e">
        <f t="shared" si="0"/>
        <v>#VALUE!</v>
      </c>
    </row>
    <row r="1972" spans="1:5" ht="12.75" customHeight="1" x14ac:dyDescent="0.2">
      <c r="A1972" s="3"/>
      <c r="B1972" s="3" t="s">
        <v>0</v>
      </c>
      <c r="C1972" s="3" t="s">
        <v>21</v>
      </c>
      <c r="D1972" s="2"/>
      <c r="E1972" s="2" t="e">
        <f t="shared" si="0"/>
        <v>#VALUE!</v>
      </c>
    </row>
    <row r="1973" spans="1:5" ht="12.75" customHeight="1" x14ac:dyDescent="0.2">
      <c r="A1973" s="3"/>
      <c r="B1973" s="3" t="s">
        <v>2</v>
      </c>
      <c r="C1973" s="3" t="s">
        <v>458</v>
      </c>
      <c r="D1973" s="2"/>
      <c r="E1973" s="2" t="e">
        <f t="shared" si="0"/>
        <v>#VALUE!</v>
      </c>
    </row>
    <row r="1974" spans="1:5" ht="12.75" customHeight="1" x14ac:dyDescent="0.2">
      <c r="A1974" s="3"/>
      <c r="B1974" s="3" t="s">
        <v>9</v>
      </c>
      <c r="C1974" s="3" t="s">
        <v>1118</v>
      </c>
      <c r="D1974" s="2"/>
      <c r="E1974" s="2" t="e">
        <f t="shared" si="0"/>
        <v>#VALUE!</v>
      </c>
    </row>
    <row r="1975" spans="1:5" ht="12.75" customHeight="1" x14ac:dyDescent="0.2">
      <c r="A1975" s="3"/>
      <c r="B1975" s="3" t="s">
        <v>11</v>
      </c>
      <c r="C1975" s="3" t="s">
        <v>589</v>
      </c>
      <c r="D1975" s="2"/>
      <c r="E1975" s="2" t="e">
        <f t="shared" si="0"/>
        <v>#VALUE!</v>
      </c>
    </row>
    <row r="1976" spans="1:5" ht="12.75" customHeight="1" x14ac:dyDescent="0.2">
      <c r="A1976" s="3"/>
      <c r="B1976" s="3" t="s">
        <v>18</v>
      </c>
      <c r="C1976" s="4" t="s">
        <v>19</v>
      </c>
      <c r="D1976" s="2"/>
      <c r="E1976" s="2" t="e">
        <f t="shared" si="0"/>
        <v>#VALUE!</v>
      </c>
    </row>
    <row r="1977" spans="1:5" ht="12.75" customHeight="1" x14ac:dyDescent="0.2">
      <c r="A1977" s="1" t="str">
        <f>HYPERLINK("javascript:void(0)","idegen bizbasz")</f>
        <v>idegen bizbasz</v>
      </c>
      <c r="B1977" s="1"/>
      <c r="C1977" s="1"/>
      <c r="D1977" s="2"/>
      <c r="E1977" s="2" t="e">
        <f t="shared" si="0"/>
        <v>#VALUE!</v>
      </c>
    </row>
    <row r="1978" spans="1:5" ht="12.75" customHeight="1" x14ac:dyDescent="0.2">
      <c r="A1978" s="3"/>
      <c r="B1978" s="3" t="s">
        <v>0</v>
      </c>
      <c r="C1978" s="3" t="s">
        <v>21</v>
      </c>
      <c r="D1978" s="2"/>
      <c r="E1978" s="2" t="e">
        <f t="shared" si="0"/>
        <v>#VALUE!</v>
      </c>
    </row>
    <row r="1979" spans="1:5" ht="12.75" customHeight="1" x14ac:dyDescent="0.2">
      <c r="A1979" s="3"/>
      <c r="B1979" s="3" t="s">
        <v>2</v>
      </c>
      <c r="C1979" s="3" t="s">
        <v>387</v>
      </c>
      <c r="D1979" s="2"/>
      <c r="E1979" s="2" t="e">
        <f t="shared" si="0"/>
        <v>#VALUE!</v>
      </c>
    </row>
    <row r="1980" spans="1:5" ht="12.75" customHeight="1" x14ac:dyDescent="0.2">
      <c r="A1980" s="3"/>
      <c r="B1980" s="3" t="s">
        <v>9</v>
      </c>
      <c r="C1980" s="3" t="s">
        <v>27</v>
      </c>
      <c r="D1980" s="2"/>
      <c r="E1980" s="2" t="e">
        <f t="shared" si="0"/>
        <v>#VALUE!</v>
      </c>
    </row>
    <row r="1981" spans="1:5" ht="12.75" customHeight="1" x14ac:dyDescent="0.2">
      <c r="A1981" s="3"/>
      <c r="B1981" s="3" t="s">
        <v>11</v>
      </c>
      <c r="C1981" s="3" t="s">
        <v>23</v>
      </c>
      <c r="D1981" s="2"/>
      <c r="E1981" s="2" t="e">
        <f t="shared" si="0"/>
        <v>#VALUE!</v>
      </c>
    </row>
    <row r="1982" spans="1:5" ht="12.75" customHeight="1" x14ac:dyDescent="0.2">
      <c r="A1982" s="3"/>
      <c r="B1982" s="3" t="s">
        <v>16</v>
      </c>
      <c r="C1982" s="3" t="s">
        <v>388</v>
      </c>
      <c r="D1982" s="2"/>
      <c r="E1982" s="2" t="e">
        <f t="shared" si="0"/>
        <v>#VALUE!</v>
      </c>
    </row>
    <row r="1983" spans="1:5" ht="12.75" customHeight="1" x14ac:dyDescent="0.2">
      <c r="A1983" s="3"/>
      <c r="B1983" s="3" t="s">
        <v>18</v>
      </c>
      <c r="C1983" s="4" t="s">
        <v>19</v>
      </c>
      <c r="D1983" s="2"/>
      <c r="E1983" s="2" t="e">
        <f t="shared" si="0"/>
        <v>#VALUE!</v>
      </c>
    </row>
    <row r="1984" spans="1:5" ht="12.75" customHeight="1" x14ac:dyDescent="0.2">
      <c r="A1984" s="1" t="str">
        <f>HYPERLINK("javascript:void(0)","idegen bizgentyű")</f>
        <v>idegen bizgentyű</v>
      </c>
      <c r="B1984" s="1"/>
      <c r="C1984" s="1"/>
      <c r="D1984" s="2"/>
      <c r="E1984" s="2" t="e">
        <f t="shared" si="0"/>
        <v>#VALUE!</v>
      </c>
    </row>
    <row r="1985" spans="1:5" ht="12.75" customHeight="1" x14ac:dyDescent="0.2">
      <c r="A1985" s="3"/>
      <c r="B1985" s="3" t="s">
        <v>0</v>
      </c>
      <c r="C1985" s="3" t="s">
        <v>21</v>
      </c>
      <c r="D1985" s="2"/>
      <c r="E1985" s="2" t="e">
        <f t="shared" si="0"/>
        <v>#VALUE!</v>
      </c>
    </row>
    <row r="1986" spans="1:5" ht="12.75" customHeight="1" x14ac:dyDescent="0.2">
      <c r="A1986" s="3"/>
      <c r="B1986" s="3" t="s">
        <v>2</v>
      </c>
      <c r="C1986" s="3" t="s">
        <v>458</v>
      </c>
      <c r="D1986" s="2"/>
      <c r="E1986" s="2" t="e">
        <f t="shared" si="0"/>
        <v>#VALUE!</v>
      </c>
    </row>
    <row r="1987" spans="1:5" ht="12.75" customHeight="1" x14ac:dyDescent="0.2">
      <c r="A1987" s="3"/>
      <c r="B1987" s="3" t="s">
        <v>9</v>
      </c>
      <c r="C1987" s="3" t="s">
        <v>30</v>
      </c>
      <c r="D1987" s="2"/>
      <c r="E1987" s="2" t="e">
        <f t="shared" si="0"/>
        <v>#VALUE!</v>
      </c>
    </row>
    <row r="1988" spans="1:5" ht="12.75" customHeight="1" x14ac:dyDescent="0.2">
      <c r="A1988" s="3"/>
      <c r="B1988" s="3" t="s">
        <v>11</v>
      </c>
      <c r="C1988" s="3" t="s">
        <v>1123</v>
      </c>
      <c r="D1988" s="2"/>
      <c r="E1988" s="2" t="e">
        <f t="shared" si="0"/>
        <v>#VALUE!</v>
      </c>
    </row>
    <row r="1989" spans="1:5" ht="12.75" customHeight="1" x14ac:dyDescent="0.2">
      <c r="A1989" s="3"/>
      <c r="B1989" s="3" t="s">
        <v>18</v>
      </c>
      <c r="C1989" s="4" t="s">
        <v>19</v>
      </c>
      <c r="D1989" s="2"/>
      <c r="E1989" s="2" t="e">
        <f t="shared" si="0"/>
        <v>#VALUE!</v>
      </c>
    </row>
    <row r="1990" spans="1:5" ht="12.75" customHeight="1" x14ac:dyDescent="0.2">
      <c r="A1990" s="1" t="str">
        <f>HYPERLINK("javascript:void(0)","idegen herkentyű")</f>
        <v>idegen herkentyű</v>
      </c>
      <c r="B1990" s="1"/>
      <c r="C1990" s="1"/>
      <c r="D1990" s="2"/>
      <c r="E1990" s="2" t="e">
        <f t="shared" si="0"/>
        <v>#VALUE!</v>
      </c>
    </row>
    <row r="1991" spans="1:5" ht="12.75" customHeight="1" x14ac:dyDescent="0.2">
      <c r="A1991" s="3"/>
      <c r="B1991" s="3" t="s">
        <v>0</v>
      </c>
      <c r="C1991" s="3" t="s">
        <v>21</v>
      </c>
      <c r="D1991" s="2"/>
      <c r="E1991" s="2" t="e">
        <f t="shared" si="0"/>
        <v>#VALUE!</v>
      </c>
    </row>
    <row r="1992" spans="1:5" ht="12.75" customHeight="1" x14ac:dyDescent="0.2">
      <c r="A1992" s="3"/>
      <c r="B1992" s="3" t="s">
        <v>2</v>
      </c>
      <c r="C1992" s="3" t="s">
        <v>458</v>
      </c>
      <c r="D1992" s="2"/>
      <c r="E1992" s="2" t="e">
        <f t="shared" si="0"/>
        <v>#VALUE!</v>
      </c>
    </row>
    <row r="1993" spans="1:5" ht="12.75" customHeight="1" x14ac:dyDescent="0.2">
      <c r="A1993" s="3"/>
      <c r="B1993" s="3" t="s">
        <v>9</v>
      </c>
      <c r="C1993" s="3" t="s">
        <v>704</v>
      </c>
      <c r="D1993" s="2"/>
      <c r="E1993" s="2" t="e">
        <f t="shared" si="0"/>
        <v>#VALUE!</v>
      </c>
    </row>
    <row r="1994" spans="1:5" ht="12.75" customHeight="1" x14ac:dyDescent="0.2">
      <c r="A1994" s="3"/>
      <c r="B1994" s="3" t="s">
        <v>11</v>
      </c>
      <c r="C1994" s="3" t="s">
        <v>1126</v>
      </c>
      <c r="D1994" s="2"/>
      <c r="E1994" s="2" t="e">
        <f t="shared" si="0"/>
        <v>#VALUE!</v>
      </c>
    </row>
    <row r="1995" spans="1:5" ht="12.75" customHeight="1" x14ac:dyDescent="0.2">
      <c r="A1995" s="3"/>
      <c r="B1995" s="3" t="s">
        <v>18</v>
      </c>
      <c r="C1995" s="4" t="s">
        <v>19</v>
      </c>
      <c r="D1995" s="2"/>
      <c r="E1995" s="2" t="e">
        <f t="shared" si="0"/>
        <v>#VALUE!</v>
      </c>
    </row>
    <row r="1996" spans="1:5" ht="12.75" customHeight="1" x14ac:dyDescent="0.2">
      <c r="A1996" s="1" t="str">
        <f>HYPERLINK("javascript:void(0)","idegen ketyere")</f>
        <v>idegen ketyere</v>
      </c>
      <c r="B1996" s="1"/>
      <c r="C1996" s="1"/>
      <c r="D1996" s="2"/>
      <c r="E1996" s="2" t="e">
        <f t="shared" si="0"/>
        <v>#VALUE!</v>
      </c>
    </row>
    <row r="1997" spans="1:5" ht="12.75" customHeight="1" x14ac:dyDescent="0.2">
      <c r="A1997" s="3"/>
      <c r="B1997" s="3" t="s">
        <v>0</v>
      </c>
      <c r="C1997" s="3" t="s">
        <v>21</v>
      </c>
      <c r="D1997" s="2"/>
      <c r="E1997" s="2" t="e">
        <f t="shared" si="0"/>
        <v>#VALUE!</v>
      </c>
    </row>
    <row r="1998" spans="1:5" ht="12.75" customHeight="1" x14ac:dyDescent="0.2">
      <c r="A1998" s="3"/>
      <c r="B1998" s="3" t="s">
        <v>2</v>
      </c>
      <c r="C1998" s="3" t="s">
        <v>458</v>
      </c>
      <c r="D1998" s="2"/>
      <c r="E1998" s="2" t="e">
        <f t="shared" si="0"/>
        <v>#VALUE!</v>
      </c>
    </row>
    <row r="1999" spans="1:5" ht="12.75" customHeight="1" x14ac:dyDescent="0.2">
      <c r="A1999" s="3"/>
      <c r="B1999" s="3" t="s">
        <v>9</v>
      </c>
      <c r="C1999" s="3" t="s">
        <v>1128</v>
      </c>
      <c r="D1999" s="2"/>
      <c r="E1999" s="2" t="e">
        <f t="shared" si="0"/>
        <v>#VALUE!</v>
      </c>
    </row>
    <row r="2000" spans="1:5" ht="12.75" customHeight="1" x14ac:dyDescent="0.2">
      <c r="A2000" s="3"/>
      <c r="B2000" s="3" t="s">
        <v>11</v>
      </c>
      <c r="C2000" s="3" t="s">
        <v>1129</v>
      </c>
      <c r="D2000" s="2"/>
      <c r="E2000" s="2" t="e">
        <f t="shared" si="0"/>
        <v>#VALUE!</v>
      </c>
    </row>
    <row r="2001" spans="1:5" ht="12.75" customHeight="1" x14ac:dyDescent="0.2">
      <c r="A2001" s="3"/>
      <c r="B2001" s="3" t="s">
        <v>18</v>
      </c>
      <c r="C2001" s="4" t="s">
        <v>19</v>
      </c>
      <c r="D2001" s="2"/>
      <c r="E2001" s="2" t="e">
        <f t="shared" si="0"/>
        <v>#VALUE!</v>
      </c>
    </row>
    <row r="2002" spans="1:5" ht="12.75" customHeight="1" x14ac:dyDescent="0.2">
      <c r="A2002" s="1" t="str">
        <f>HYPERLINK("javascript:void(0)","idegen kütyü")</f>
        <v>idegen kütyü</v>
      </c>
      <c r="B2002" s="1"/>
      <c r="C2002" s="1"/>
      <c r="D2002" s="2"/>
      <c r="E2002" s="2" t="e">
        <f t="shared" si="0"/>
        <v>#VALUE!</v>
      </c>
    </row>
    <row r="2003" spans="1:5" ht="12.75" customHeight="1" x14ac:dyDescent="0.2">
      <c r="A2003" s="3"/>
      <c r="B2003" s="3" t="s">
        <v>0</v>
      </c>
      <c r="C2003" s="3" t="s">
        <v>21</v>
      </c>
      <c r="D2003" s="2"/>
      <c r="E2003" s="2" t="e">
        <f t="shared" si="0"/>
        <v>#VALUE!</v>
      </c>
    </row>
    <row r="2004" spans="1:5" ht="12.75" customHeight="1" x14ac:dyDescent="0.2">
      <c r="A2004" s="3"/>
      <c r="B2004" s="3" t="s">
        <v>2</v>
      </c>
      <c r="C2004" s="3" t="s">
        <v>458</v>
      </c>
      <c r="D2004" s="2"/>
      <c r="E2004" s="2" t="e">
        <f t="shared" si="0"/>
        <v>#VALUE!</v>
      </c>
    </row>
    <row r="2005" spans="1:5" ht="12.75" customHeight="1" x14ac:dyDescent="0.2">
      <c r="A2005" s="3"/>
      <c r="B2005" s="3" t="s">
        <v>9</v>
      </c>
      <c r="C2005" s="3" t="s">
        <v>1132</v>
      </c>
      <c r="D2005" s="2"/>
      <c r="E2005" s="2" t="e">
        <f t="shared" si="0"/>
        <v>#VALUE!</v>
      </c>
    </row>
    <row r="2006" spans="1:5" ht="12.75" customHeight="1" x14ac:dyDescent="0.2">
      <c r="A2006" s="3"/>
      <c r="B2006" s="3" t="s">
        <v>11</v>
      </c>
      <c r="C2006" s="3" t="s">
        <v>23</v>
      </c>
      <c r="D2006" s="2"/>
      <c r="E2006" s="2" t="e">
        <f t="shared" si="0"/>
        <v>#VALUE!</v>
      </c>
    </row>
    <row r="2007" spans="1:5" ht="12.75" customHeight="1" x14ac:dyDescent="0.2">
      <c r="A2007" s="3"/>
      <c r="B2007" s="3" t="s">
        <v>18</v>
      </c>
      <c r="C2007" s="4" t="s">
        <v>19</v>
      </c>
      <c r="D2007" s="2"/>
      <c r="E2007" s="2" t="e">
        <f t="shared" si="0"/>
        <v>#VALUE!</v>
      </c>
    </row>
    <row r="2008" spans="1:5" ht="12.75" customHeight="1" x14ac:dyDescent="0.2">
      <c r="A2008" s="1" t="str">
        <f>HYPERLINK("javascript:void(0)","idegen mütyüge")</f>
        <v>idegen mütyüge</v>
      </c>
      <c r="B2008" s="1"/>
      <c r="C2008" s="1"/>
      <c r="D2008" s="2"/>
      <c r="E2008" s="2" t="e">
        <f t="shared" si="0"/>
        <v>#VALUE!</v>
      </c>
    </row>
    <row r="2009" spans="1:5" ht="12.75" customHeight="1" x14ac:dyDescent="0.2">
      <c r="A2009" s="3"/>
      <c r="B2009" s="3" t="s">
        <v>0</v>
      </c>
      <c r="C2009" s="3" t="s">
        <v>21</v>
      </c>
      <c r="D2009" s="2"/>
      <c r="E2009" s="2" t="e">
        <f t="shared" si="0"/>
        <v>#VALUE!</v>
      </c>
    </row>
    <row r="2010" spans="1:5" ht="12.75" customHeight="1" x14ac:dyDescent="0.2">
      <c r="A2010" s="3"/>
      <c r="B2010" s="3" t="s">
        <v>2</v>
      </c>
      <c r="C2010" s="3" t="s">
        <v>458</v>
      </c>
      <c r="D2010" s="2"/>
      <c r="E2010" s="2" t="e">
        <f t="shared" si="0"/>
        <v>#VALUE!</v>
      </c>
    </row>
    <row r="2011" spans="1:5" ht="12.75" customHeight="1" x14ac:dyDescent="0.2">
      <c r="A2011" s="3"/>
      <c r="B2011" s="3" t="s">
        <v>9</v>
      </c>
      <c r="C2011" s="3" t="s">
        <v>565</v>
      </c>
      <c r="D2011" s="2"/>
      <c r="E2011" s="2" t="e">
        <f t="shared" si="0"/>
        <v>#VALUE!</v>
      </c>
    </row>
    <row r="2012" spans="1:5" ht="12.75" customHeight="1" x14ac:dyDescent="0.2">
      <c r="A2012" s="3"/>
      <c r="B2012" s="3" t="s">
        <v>11</v>
      </c>
      <c r="C2012" s="3" t="s">
        <v>505</v>
      </c>
      <c r="D2012" s="2"/>
      <c r="E2012" s="2" t="e">
        <f t="shared" si="0"/>
        <v>#VALUE!</v>
      </c>
    </row>
    <row r="2013" spans="1:5" ht="12.75" customHeight="1" x14ac:dyDescent="0.2">
      <c r="A2013" s="3"/>
      <c r="B2013" s="3" t="s">
        <v>18</v>
      </c>
      <c r="C2013" s="4" t="s">
        <v>19</v>
      </c>
      <c r="D2013" s="2"/>
      <c r="E2013" s="2" t="e">
        <f t="shared" si="0"/>
        <v>#VALUE!</v>
      </c>
    </row>
    <row r="2014" spans="1:5" ht="12.75" customHeight="1" x14ac:dyDescent="0.2">
      <c r="A2014" s="1" t="str">
        <f>HYPERLINK("javascript:void(0)","idegen szerkentyű")</f>
        <v>idegen szerkentyű</v>
      </c>
      <c r="B2014" s="1"/>
      <c r="C2014" s="1"/>
      <c r="D2014" s="2"/>
      <c r="E2014" s="2" t="e">
        <f t="shared" si="0"/>
        <v>#VALUE!</v>
      </c>
    </row>
    <row r="2015" spans="1:5" ht="12.75" customHeight="1" x14ac:dyDescent="0.2">
      <c r="A2015" s="3"/>
      <c r="B2015" s="3" t="s">
        <v>0</v>
      </c>
      <c r="C2015" s="3" t="s">
        <v>21</v>
      </c>
      <c r="D2015" s="2"/>
      <c r="E2015" s="2" t="e">
        <f t="shared" si="0"/>
        <v>#VALUE!</v>
      </c>
    </row>
    <row r="2016" spans="1:5" ht="12.75" customHeight="1" x14ac:dyDescent="0.2">
      <c r="A2016" s="3"/>
      <c r="B2016" s="3" t="s">
        <v>2</v>
      </c>
      <c r="C2016" s="3" t="s">
        <v>458</v>
      </c>
      <c r="D2016" s="2"/>
      <c r="E2016" s="2" t="e">
        <f t="shared" si="0"/>
        <v>#VALUE!</v>
      </c>
    </row>
    <row r="2017" spans="1:5" ht="12.75" customHeight="1" x14ac:dyDescent="0.2">
      <c r="A2017" s="3"/>
      <c r="B2017" s="3" t="s">
        <v>9</v>
      </c>
      <c r="C2017" s="3" t="s">
        <v>210</v>
      </c>
      <c r="D2017" s="2"/>
      <c r="E2017" s="2" t="e">
        <f t="shared" si="0"/>
        <v>#VALUE!</v>
      </c>
    </row>
    <row r="2018" spans="1:5" ht="12.75" customHeight="1" x14ac:dyDescent="0.2">
      <c r="A2018" s="3"/>
      <c r="B2018" s="3" t="s">
        <v>11</v>
      </c>
      <c r="C2018" s="3" t="s">
        <v>1137</v>
      </c>
      <c r="D2018" s="2"/>
      <c r="E2018" s="2" t="e">
        <f t="shared" si="0"/>
        <v>#VALUE!</v>
      </c>
    </row>
    <row r="2019" spans="1:5" ht="12.75" customHeight="1" x14ac:dyDescent="0.2">
      <c r="A2019" s="3"/>
      <c r="B2019" s="3" t="s">
        <v>18</v>
      </c>
      <c r="C2019" s="4" t="s">
        <v>19</v>
      </c>
      <c r="D2019" s="2"/>
      <c r="E2019" s="2" t="e">
        <f t="shared" si="0"/>
        <v>#VALUE!</v>
      </c>
    </row>
    <row r="2020" spans="1:5" ht="12.75" customHeight="1" x14ac:dyDescent="0.2">
      <c r="A2020" s="1" t="str">
        <f>HYPERLINK("javascript:void(0)","igazolvány")</f>
        <v>igazolvány</v>
      </c>
      <c r="B2020" s="1"/>
      <c r="C2020" s="1"/>
      <c r="D2020" s="2"/>
      <c r="E2020" s="2" t="e">
        <f t="shared" si="0"/>
        <v>#VALUE!</v>
      </c>
    </row>
    <row r="2021" spans="1:5" ht="12.75" customHeight="1" x14ac:dyDescent="0.2">
      <c r="A2021" s="3"/>
      <c r="B2021" s="3" t="s">
        <v>0</v>
      </c>
      <c r="C2021" s="3" t="s">
        <v>21</v>
      </c>
      <c r="D2021" s="2"/>
      <c r="E2021" s="2" t="e">
        <f t="shared" si="0"/>
        <v>#VALUE!</v>
      </c>
    </row>
    <row r="2022" spans="1:5" ht="12.75" customHeight="1" x14ac:dyDescent="0.2">
      <c r="A2022" s="3"/>
      <c r="B2022" s="3" t="s">
        <v>2</v>
      </c>
      <c r="C2022" s="3" t="s">
        <v>458</v>
      </c>
      <c r="D2022" s="2"/>
      <c r="E2022" s="2" t="e">
        <f t="shared" si="0"/>
        <v>#VALUE!</v>
      </c>
    </row>
    <row r="2023" spans="1:5" ht="12.75" customHeight="1" x14ac:dyDescent="0.2">
      <c r="A2023" s="3"/>
      <c r="B2023" s="3" t="s">
        <v>9</v>
      </c>
      <c r="C2023" s="3" t="s">
        <v>27</v>
      </c>
      <c r="D2023" s="2"/>
      <c r="E2023" s="2" t="e">
        <f t="shared" si="0"/>
        <v>#VALUE!</v>
      </c>
    </row>
    <row r="2024" spans="1:5" ht="12.75" customHeight="1" x14ac:dyDescent="0.2">
      <c r="A2024" s="3"/>
      <c r="B2024" s="3" t="s">
        <v>11</v>
      </c>
      <c r="C2024" s="3" t="s">
        <v>177</v>
      </c>
      <c r="D2024" s="2"/>
      <c r="E2024" s="2" t="e">
        <f t="shared" si="0"/>
        <v>#VALUE!</v>
      </c>
    </row>
    <row r="2025" spans="1:5" ht="12.75" customHeight="1" x14ac:dyDescent="0.2">
      <c r="A2025" s="3"/>
      <c r="B2025" s="3" t="s">
        <v>18</v>
      </c>
      <c r="C2025" s="4" t="s">
        <v>19</v>
      </c>
      <c r="D2025" s="2"/>
      <c r="E2025" s="2" t="e">
        <f t="shared" si="0"/>
        <v>#VALUE!</v>
      </c>
    </row>
    <row r="2026" spans="1:5" ht="12.75" customHeight="1" x14ac:dyDescent="0.2">
      <c r="A2026" s="1" t="str">
        <f>HYPERLINK("javascript:void(0)","igeidő")</f>
        <v>igeidő</v>
      </c>
      <c r="B2026" s="1"/>
      <c r="C2026" s="1"/>
      <c r="D2026" s="2"/>
      <c r="E2026" s="2" t="e">
        <f t="shared" si="0"/>
        <v>#VALUE!</v>
      </c>
    </row>
    <row r="2027" spans="1:5" ht="12.75" customHeight="1" x14ac:dyDescent="0.2">
      <c r="A2027" s="3"/>
      <c r="B2027" s="3" t="s">
        <v>0</v>
      </c>
      <c r="C2027" s="3" t="s">
        <v>21</v>
      </c>
      <c r="D2027" s="2"/>
      <c r="E2027" s="2" t="e">
        <f t="shared" si="0"/>
        <v>#VALUE!</v>
      </c>
    </row>
    <row r="2028" spans="1:5" ht="12.75" customHeight="1" x14ac:dyDescent="0.2">
      <c r="A2028" s="3"/>
      <c r="B2028" s="3" t="s">
        <v>2</v>
      </c>
      <c r="C2028" s="3" t="s">
        <v>458</v>
      </c>
      <c r="D2028" s="2"/>
      <c r="E2028" s="2" t="e">
        <f t="shared" si="0"/>
        <v>#VALUE!</v>
      </c>
    </row>
    <row r="2029" spans="1:5" ht="12.75" customHeight="1" x14ac:dyDescent="0.2">
      <c r="A2029" s="3"/>
      <c r="B2029" s="3" t="s">
        <v>9</v>
      </c>
      <c r="C2029" s="3" t="s">
        <v>626</v>
      </c>
      <c r="D2029" s="2"/>
      <c r="E2029" s="2" t="e">
        <f t="shared" si="0"/>
        <v>#VALUE!</v>
      </c>
    </row>
    <row r="2030" spans="1:5" ht="12.75" customHeight="1" x14ac:dyDescent="0.2">
      <c r="A2030" s="3"/>
      <c r="B2030" s="3" t="s">
        <v>11</v>
      </c>
      <c r="C2030" s="3" t="s">
        <v>23</v>
      </c>
      <c r="D2030" s="2"/>
      <c r="E2030" s="2" t="e">
        <f t="shared" si="0"/>
        <v>#VALUE!</v>
      </c>
    </row>
    <row r="2031" spans="1:5" ht="12.75" customHeight="1" x14ac:dyDescent="0.2">
      <c r="A2031" s="3"/>
      <c r="B2031" s="3" t="s">
        <v>18</v>
      </c>
      <c r="C2031" s="4" t="s">
        <v>19</v>
      </c>
      <c r="D2031" s="2"/>
      <c r="E2031" s="2" t="e">
        <f t="shared" si="0"/>
        <v>#VALUE!</v>
      </c>
    </row>
    <row r="2032" spans="1:5" ht="12.75" customHeight="1" x14ac:dyDescent="0.2">
      <c r="A2032" s="1" t="str">
        <f>HYPERLINK("javascript:void(0)","ikerkristály")</f>
        <v>ikerkristály</v>
      </c>
      <c r="B2032" s="1"/>
      <c r="C2032" s="1"/>
      <c r="D2032" s="2"/>
      <c r="E2032" s="2" t="e">
        <f t="shared" si="0"/>
        <v>#VALUE!</v>
      </c>
    </row>
    <row r="2033" spans="1:5" ht="12.75" customHeight="1" x14ac:dyDescent="0.2">
      <c r="A2033" s="3"/>
      <c r="B2033" s="3" t="s">
        <v>0</v>
      </c>
      <c r="C2033" s="3" t="s">
        <v>21</v>
      </c>
      <c r="D2033" s="2"/>
      <c r="E2033" s="2" t="e">
        <f t="shared" si="0"/>
        <v>#VALUE!</v>
      </c>
    </row>
    <row r="2034" spans="1:5" ht="12.75" customHeight="1" x14ac:dyDescent="0.2">
      <c r="A2034" s="3"/>
      <c r="B2034" s="3" t="s">
        <v>2</v>
      </c>
      <c r="C2034" s="3" t="s">
        <v>458</v>
      </c>
      <c r="D2034" s="2"/>
      <c r="E2034" s="2" t="e">
        <f t="shared" si="0"/>
        <v>#VALUE!</v>
      </c>
    </row>
    <row r="2035" spans="1:5" ht="12.75" customHeight="1" x14ac:dyDescent="0.2">
      <c r="A2035" s="3"/>
      <c r="B2035" s="3" t="s">
        <v>9</v>
      </c>
      <c r="C2035" s="3" t="s">
        <v>27</v>
      </c>
      <c r="D2035" s="2"/>
      <c r="E2035" s="2" t="e">
        <f t="shared" si="0"/>
        <v>#VALUE!</v>
      </c>
    </row>
    <row r="2036" spans="1:5" ht="12.75" customHeight="1" x14ac:dyDescent="0.2">
      <c r="A2036" s="3"/>
      <c r="B2036" s="3" t="s">
        <v>11</v>
      </c>
      <c r="C2036" s="3" t="s">
        <v>89</v>
      </c>
      <c r="D2036" s="2"/>
      <c r="E2036" s="2" t="e">
        <f t="shared" si="0"/>
        <v>#VALUE!</v>
      </c>
    </row>
    <row r="2037" spans="1:5" ht="12.75" customHeight="1" x14ac:dyDescent="0.2">
      <c r="A2037" s="3"/>
      <c r="B2037" s="3" t="s">
        <v>18</v>
      </c>
      <c r="C2037" s="4" t="s">
        <v>19</v>
      </c>
      <c r="D2037" s="2"/>
      <c r="E2037" s="2" t="e">
        <f t="shared" si="0"/>
        <v>#VALUE!</v>
      </c>
    </row>
    <row r="2038" spans="1:5" ht="12.75" customHeight="1" x14ac:dyDescent="0.2">
      <c r="A2038" s="1" t="str">
        <f>HYPERLINK("javascript:void(0)","imamalom")</f>
        <v>imamalom</v>
      </c>
      <c r="B2038" s="1"/>
      <c r="C2038" s="1"/>
      <c r="D2038" s="2"/>
      <c r="E2038" s="2" t="e">
        <f t="shared" si="0"/>
        <v>#VALUE!</v>
      </c>
    </row>
    <row r="2039" spans="1:5" ht="12.75" customHeight="1" x14ac:dyDescent="0.2">
      <c r="A2039" s="3"/>
      <c r="B2039" s="3" t="s">
        <v>0</v>
      </c>
      <c r="C2039" s="3" t="s">
        <v>21</v>
      </c>
      <c r="D2039" s="2"/>
      <c r="E2039" s="2" t="e">
        <f t="shared" si="0"/>
        <v>#VALUE!</v>
      </c>
    </row>
    <row r="2040" spans="1:5" ht="12.75" customHeight="1" x14ac:dyDescent="0.2">
      <c r="A2040" s="3"/>
      <c r="B2040" s="3" t="s">
        <v>2</v>
      </c>
      <c r="C2040" s="3" t="s">
        <v>440</v>
      </c>
      <c r="D2040" s="2"/>
      <c r="E2040" s="2" t="e">
        <f t="shared" si="0"/>
        <v>#VALUE!</v>
      </c>
    </row>
    <row r="2041" spans="1:5" ht="12.75" customHeight="1" x14ac:dyDescent="0.2">
      <c r="A2041" s="3"/>
      <c r="B2041" s="3" t="s">
        <v>9</v>
      </c>
      <c r="C2041" s="3" t="s">
        <v>131</v>
      </c>
      <c r="D2041" s="2"/>
      <c r="E2041" s="2" t="e">
        <f t="shared" si="0"/>
        <v>#VALUE!</v>
      </c>
    </row>
    <row r="2042" spans="1:5" ht="12.75" customHeight="1" x14ac:dyDescent="0.2">
      <c r="A2042" s="3"/>
      <c r="B2042" s="3" t="s">
        <v>11</v>
      </c>
      <c r="C2042" s="3" t="s">
        <v>39</v>
      </c>
      <c r="D2042" s="2"/>
      <c r="E2042" s="2" t="e">
        <f t="shared" si="0"/>
        <v>#VALUE!</v>
      </c>
    </row>
    <row r="2043" spans="1:5" ht="12.75" customHeight="1" x14ac:dyDescent="0.2">
      <c r="A2043" s="3"/>
      <c r="B2043" s="3" t="s">
        <v>18</v>
      </c>
      <c r="C2043" s="4" t="s">
        <v>19</v>
      </c>
      <c r="D2043" s="2"/>
      <c r="E2043" s="2" t="e">
        <f t="shared" si="0"/>
        <v>#VALUE!</v>
      </c>
    </row>
    <row r="2044" spans="1:5" ht="12.75" customHeight="1" x14ac:dyDescent="0.2">
      <c r="A2044" s="1" t="str">
        <f>HYPERLINK("javascript:void(0)","imázs")</f>
        <v>imázs</v>
      </c>
      <c r="B2044" s="1"/>
      <c r="C2044" s="1"/>
      <c r="D2044" s="2"/>
      <c r="E2044" s="2" t="e">
        <f t="shared" si="0"/>
        <v>#VALUE!</v>
      </c>
    </row>
    <row r="2045" spans="1:5" ht="12.75" customHeight="1" x14ac:dyDescent="0.2">
      <c r="A2045" s="3"/>
      <c r="B2045" s="3" t="s">
        <v>0</v>
      </c>
      <c r="C2045" s="3" t="s">
        <v>21</v>
      </c>
      <c r="D2045" s="2"/>
      <c r="E2045" s="2" t="e">
        <f t="shared" si="0"/>
        <v>#VALUE!</v>
      </c>
    </row>
    <row r="2046" spans="1:5" ht="12.75" customHeight="1" x14ac:dyDescent="0.2">
      <c r="A2046" s="3"/>
      <c r="B2046" s="3" t="s">
        <v>2</v>
      </c>
      <c r="C2046" s="3" t="s">
        <v>458</v>
      </c>
      <c r="D2046" s="2"/>
      <c r="E2046" s="2" t="e">
        <f t="shared" si="0"/>
        <v>#VALUE!</v>
      </c>
    </row>
    <row r="2047" spans="1:5" ht="12.75" customHeight="1" x14ac:dyDescent="0.2">
      <c r="A2047" s="3"/>
      <c r="B2047" s="3" t="s">
        <v>9</v>
      </c>
      <c r="C2047" s="3" t="s">
        <v>53</v>
      </c>
      <c r="D2047" s="2"/>
      <c r="E2047" s="2" t="e">
        <f t="shared" si="0"/>
        <v>#VALUE!</v>
      </c>
    </row>
    <row r="2048" spans="1:5" ht="12.75" customHeight="1" x14ac:dyDescent="0.2">
      <c r="A2048" s="3"/>
      <c r="B2048" s="3" t="s">
        <v>11</v>
      </c>
      <c r="C2048" s="3" t="s">
        <v>505</v>
      </c>
      <c r="D2048" s="2"/>
      <c r="E2048" s="2" t="e">
        <f t="shared" si="0"/>
        <v>#VALUE!</v>
      </c>
    </row>
    <row r="2049" spans="1:5" ht="12.75" customHeight="1" x14ac:dyDescent="0.2">
      <c r="A2049" s="3"/>
      <c r="B2049" s="3" t="s">
        <v>18</v>
      </c>
      <c r="C2049" s="4" t="s">
        <v>19</v>
      </c>
      <c r="D2049" s="2"/>
      <c r="E2049" s="2" t="e">
        <f t="shared" si="0"/>
        <v>#VALUE!</v>
      </c>
    </row>
    <row r="2050" spans="1:5" ht="12.75" customHeight="1" x14ac:dyDescent="0.2">
      <c r="A2050" s="1" t="str">
        <f>HYPERLINK("javascript:void(0)","inaktív bumm-baa")</f>
        <v>inaktív bumm-baa</v>
      </c>
      <c r="B2050" s="1"/>
      <c r="C2050" s="1"/>
      <c r="D2050" s="2"/>
      <c r="E2050" s="2" t="e">
        <f t="shared" si="0"/>
        <v>#VALUE!</v>
      </c>
    </row>
    <row r="2051" spans="1:5" ht="12.75" customHeight="1" x14ac:dyDescent="0.2">
      <c r="A2051" s="3"/>
      <c r="B2051" s="3" t="s">
        <v>0</v>
      </c>
      <c r="C2051" s="3" t="s">
        <v>21</v>
      </c>
      <c r="D2051" s="2"/>
      <c r="E2051" s="2" t="e">
        <f t="shared" si="0"/>
        <v>#VALUE!</v>
      </c>
    </row>
    <row r="2052" spans="1:5" ht="12.75" customHeight="1" x14ac:dyDescent="0.2">
      <c r="A2052" s="3"/>
      <c r="B2052" s="3" t="s">
        <v>2</v>
      </c>
      <c r="C2052" s="3" t="s">
        <v>387</v>
      </c>
      <c r="D2052" s="2"/>
      <c r="E2052" s="2" t="e">
        <f t="shared" si="0"/>
        <v>#VALUE!</v>
      </c>
    </row>
    <row r="2053" spans="1:5" ht="12.75" customHeight="1" x14ac:dyDescent="0.2">
      <c r="A2053" s="3"/>
      <c r="B2053" s="3" t="s">
        <v>9</v>
      </c>
      <c r="C2053" s="3" t="s">
        <v>27</v>
      </c>
      <c r="D2053" s="2"/>
      <c r="E2053" s="2" t="e">
        <f t="shared" si="0"/>
        <v>#VALUE!</v>
      </c>
    </row>
    <row r="2054" spans="1:5" ht="12.75" customHeight="1" x14ac:dyDescent="0.2">
      <c r="A2054" s="3"/>
      <c r="B2054" s="3" t="s">
        <v>11</v>
      </c>
      <c r="C2054" s="3" t="s">
        <v>23</v>
      </c>
      <c r="D2054" s="2"/>
      <c r="E2054" s="2" t="e">
        <f t="shared" si="0"/>
        <v>#VALUE!</v>
      </c>
    </row>
    <row r="2055" spans="1:5" ht="12.75" customHeight="1" x14ac:dyDescent="0.2">
      <c r="A2055" s="3"/>
      <c r="B2055" s="3" t="s">
        <v>16</v>
      </c>
      <c r="C2055" s="3" t="s">
        <v>388</v>
      </c>
      <c r="D2055" s="2"/>
      <c r="E2055" s="2" t="e">
        <f t="shared" si="0"/>
        <v>#VALUE!</v>
      </c>
    </row>
    <row r="2056" spans="1:5" ht="12.75" customHeight="1" x14ac:dyDescent="0.2">
      <c r="A2056" s="3"/>
      <c r="B2056" s="3" t="s">
        <v>18</v>
      </c>
      <c r="C2056" s="4" t="s">
        <v>19</v>
      </c>
      <c r="D2056" s="2"/>
      <c r="E2056" s="2" t="e">
        <f t="shared" si="0"/>
        <v>#VALUE!</v>
      </c>
    </row>
    <row r="2057" spans="1:5" ht="12.75" customHeight="1" x14ac:dyDescent="0.2">
      <c r="A2057" s="1" t="str">
        <f>HYPERLINK("javascript:void(0)","ipari méretű söröskorsó")</f>
        <v>ipari méretű söröskorsó</v>
      </c>
      <c r="B2057" s="1"/>
      <c r="C2057" s="1"/>
      <c r="D2057" s="2"/>
      <c r="E2057" s="2" t="e">
        <f t="shared" si="0"/>
        <v>#VALUE!</v>
      </c>
    </row>
    <row r="2058" spans="1:5" ht="12.75" customHeight="1" x14ac:dyDescent="0.2">
      <c r="A2058" s="3"/>
      <c r="B2058" s="3" t="s">
        <v>0</v>
      </c>
      <c r="C2058" s="3" t="s">
        <v>21</v>
      </c>
      <c r="D2058" s="2"/>
      <c r="E2058" s="2" t="e">
        <f t="shared" si="0"/>
        <v>#VALUE!</v>
      </c>
    </row>
    <row r="2059" spans="1:5" ht="12.75" customHeight="1" x14ac:dyDescent="0.2">
      <c r="A2059" s="3"/>
      <c r="B2059" s="3" t="s">
        <v>2</v>
      </c>
      <c r="C2059" s="3" t="s">
        <v>387</v>
      </c>
      <c r="D2059" s="2"/>
      <c r="E2059" s="2" t="e">
        <f t="shared" si="0"/>
        <v>#VALUE!</v>
      </c>
    </row>
    <row r="2060" spans="1:5" ht="12.75" customHeight="1" x14ac:dyDescent="0.2">
      <c r="A2060" s="3"/>
      <c r="B2060" s="3" t="s">
        <v>9</v>
      </c>
      <c r="C2060" s="3" t="s">
        <v>200</v>
      </c>
      <c r="D2060" s="2"/>
      <c r="E2060" s="2" t="e">
        <f t="shared" si="0"/>
        <v>#VALUE!</v>
      </c>
    </row>
    <row r="2061" spans="1:5" ht="12.75" customHeight="1" x14ac:dyDescent="0.2">
      <c r="A2061" s="3"/>
      <c r="B2061" s="3" t="s">
        <v>11</v>
      </c>
      <c r="C2061" s="3" t="s">
        <v>23</v>
      </c>
      <c r="D2061" s="2"/>
      <c r="E2061" s="2" t="e">
        <f t="shared" si="0"/>
        <v>#VALUE!</v>
      </c>
    </row>
    <row r="2062" spans="1:5" ht="12.75" customHeight="1" x14ac:dyDescent="0.2">
      <c r="A2062" s="3"/>
      <c r="B2062" s="3" t="s">
        <v>16</v>
      </c>
      <c r="C2062" s="3" t="s">
        <v>388</v>
      </c>
      <c r="D2062" s="2"/>
      <c r="E2062" s="2" t="e">
        <f t="shared" si="0"/>
        <v>#VALUE!</v>
      </c>
    </row>
    <row r="2063" spans="1:5" ht="12.75" customHeight="1" x14ac:dyDescent="0.2">
      <c r="A2063" s="3"/>
      <c r="B2063" s="3" t="s">
        <v>18</v>
      </c>
      <c r="C2063" s="4" t="s">
        <v>19</v>
      </c>
      <c r="D2063" s="2"/>
      <c r="E2063" s="2" t="e">
        <f t="shared" si="0"/>
        <v>#VALUE!</v>
      </c>
    </row>
    <row r="2064" spans="1:5" ht="12.75" customHeight="1" x14ac:dyDescent="0.2">
      <c r="A2064" s="1" t="str">
        <f>HYPERLINK("javascript:void(0)","irtás")</f>
        <v>irtás</v>
      </c>
      <c r="B2064" s="1"/>
      <c r="C2064" s="1"/>
      <c r="D2064" s="2"/>
      <c r="E2064" s="2" t="e">
        <f t="shared" si="0"/>
        <v>#VALUE!</v>
      </c>
    </row>
    <row r="2065" spans="1:5" ht="12.75" customHeight="1" x14ac:dyDescent="0.2">
      <c r="A2065" s="3"/>
      <c r="B2065" s="3" t="s">
        <v>0</v>
      </c>
      <c r="C2065" s="3" t="s">
        <v>21</v>
      </c>
      <c r="D2065" s="2"/>
      <c r="E2065" s="2" t="e">
        <f t="shared" si="0"/>
        <v>#VALUE!</v>
      </c>
    </row>
    <row r="2066" spans="1:5" ht="12.75" customHeight="1" x14ac:dyDescent="0.2">
      <c r="A2066" s="3"/>
      <c r="B2066" s="3" t="s">
        <v>2</v>
      </c>
      <c r="C2066" s="3" t="s">
        <v>458</v>
      </c>
      <c r="D2066" s="2"/>
      <c r="E2066" s="2" t="e">
        <f t="shared" si="0"/>
        <v>#VALUE!</v>
      </c>
    </row>
    <row r="2067" spans="1:5" ht="12.75" customHeight="1" x14ac:dyDescent="0.2">
      <c r="A2067" s="3"/>
      <c r="B2067" s="3" t="s">
        <v>9</v>
      </c>
      <c r="C2067" s="3" t="s">
        <v>22</v>
      </c>
      <c r="D2067" s="2"/>
      <c r="E2067" s="2" t="e">
        <f t="shared" si="0"/>
        <v>#VALUE!</v>
      </c>
    </row>
    <row r="2068" spans="1:5" ht="12.75" customHeight="1" x14ac:dyDescent="0.2">
      <c r="A2068" s="3"/>
      <c r="B2068" s="3" t="s">
        <v>11</v>
      </c>
      <c r="C2068" s="3" t="s">
        <v>156</v>
      </c>
      <c r="D2068" s="2"/>
      <c r="E2068" s="2" t="e">
        <f t="shared" si="0"/>
        <v>#VALUE!</v>
      </c>
    </row>
    <row r="2069" spans="1:5" ht="12.75" customHeight="1" x14ac:dyDescent="0.2">
      <c r="A2069" s="3"/>
      <c r="B2069" s="3" t="s">
        <v>18</v>
      </c>
      <c r="C2069" s="4" t="s">
        <v>19</v>
      </c>
      <c r="D2069" s="2"/>
      <c r="E2069" s="2" t="e">
        <f t="shared" si="0"/>
        <v>#VALUE!</v>
      </c>
    </row>
    <row r="2070" spans="1:5" ht="12.75" customHeight="1" x14ac:dyDescent="0.2">
      <c r="A2070" s="1" t="str">
        <f>HYPERLINK("javascript:void(0)","iránytű")</f>
        <v>iránytű</v>
      </c>
      <c r="B2070" s="1"/>
      <c r="C2070" s="1"/>
      <c r="D2070" s="2"/>
      <c r="E2070" s="2" t="e">
        <f t="shared" si="0"/>
        <v>#VALUE!</v>
      </c>
    </row>
    <row r="2071" spans="1:5" ht="12.75" customHeight="1" x14ac:dyDescent="0.2">
      <c r="A2071" s="3"/>
      <c r="B2071" s="3" t="s">
        <v>0</v>
      </c>
      <c r="C2071" s="3" t="s">
        <v>21</v>
      </c>
      <c r="D2071" s="2"/>
      <c r="E2071" s="2" t="e">
        <f t="shared" si="0"/>
        <v>#VALUE!</v>
      </c>
    </row>
    <row r="2072" spans="1:5" ht="12.75" customHeight="1" x14ac:dyDescent="0.2">
      <c r="A2072" s="3"/>
      <c r="B2072" s="3" t="s">
        <v>2</v>
      </c>
      <c r="C2072" s="3" t="s">
        <v>458</v>
      </c>
      <c r="D2072" s="2"/>
      <c r="E2072" s="2" t="e">
        <f t="shared" si="0"/>
        <v>#VALUE!</v>
      </c>
    </row>
    <row r="2073" spans="1:5" ht="12.75" customHeight="1" x14ac:dyDescent="0.2">
      <c r="A2073" s="3"/>
      <c r="B2073" s="3" t="s">
        <v>9</v>
      </c>
      <c r="C2073" s="3" t="s">
        <v>84</v>
      </c>
      <c r="D2073" s="2"/>
      <c r="E2073" s="2" t="e">
        <f t="shared" si="0"/>
        <v>#VALUE!</v>
      </c>
    </row>
    <row r="2074" spans="1:5" ht="12.75" customHeight="1" x14ac:dyDescent="0.2">
      <c r="A2074" s="3"/>
      <c r="B2074" s="3" t="s">
        <v>11</v>
      </c>
      <c r="C2074" s="3" t="s">
        <v>830</v>
      </c>
      <c r="D2074" s="2"/>
      <c r="E2074" s="2" t="e">
        <f t="shared" si="0"/>
        <v>#VALUE!</v>
      </c>
    </row>
    <row r="2075" spans="1:5" ht="12.75" customHeight="1" x14ac:dyDescent="0.2">
      <c r="A2075" s="3"/>
      <c r="B2075" s="3" t="s">
        <v>18</v>
      </c>
      <c r="C2075" s="4" t="s">
        <v>19</v>
      </c>
      <c r="D2075" s="2"/>
      <c r="E2075" s="2" t="e">
        <f t="shared" si="0"/>
        <v>#VALUE!</v>
      </c>
    </row>
    <row r="2076" spans="1:5" ht="12.75" customHeight="1" x14ac:dyDescent="0.2">
      <c r="A2076" s="1" t="str">
        <f>HYPERLINK("javascript:void(0)","istenköröm")</f>
        <v>istenköröm</v>
      </c>
      <c r="B2076" s="1"/>
      <c r="C2076" s="1"/>
      <c r="D2076" s="2"/>
      <c r="E2076" s="2" t="e">
        <f t="shared" si="0"/>
        <v>#VALUE!</v>
      </c>
    </row>
    <row r="2077" spans="1:5" ht="12.75" customHeight="1" x14ac:dyDescent="0.2">
      <c r="A2077" s="3"/>
      <c r="B2077" s="3" t="s">
        <v>0</v>
      </c>
      <c r="C2077" s="3" t="s">
        <v>21</v>
      </c>
      <c r="D2077" s="2"/>
      <c r="E2077" s="2" t="e">
        <f t="shared" si="0"/>
        <v>#VALUE!</v>
      </c>
    </row>
    <row r="2078" spans="1:5" ht="12.75" customHeight="1" x14ac:dyDescent="0.2">
      <c r="A2078" s="3"/>
      <c r="B2078" s="3" t="s">
        <v>2</v>
      </c>
      <c r="C2078" s="3" t="s">
        <v>458</v>
      </c>
      <c r="D2078" s="2"/>
      <c r="E2078" s="2" t="e">
        <f t="shared" si="0"/>
        <v>#VALUE!</v>
      </c>
    </row>
    <row r="2079" spans="1:5" ht="12.75" customHeight="1" x14ac:dyDescent="0.2">
      <c r="A2079" s="3"/>
      <c r="B2079" s="3" t="s">
        <v>9</v>
      </c>
      <c r="C2079" s="3" t="s">
        <v>30</v>
      </c>
      <c r="D2079" s="2"/>
      <c r="E2079" s="2" t="e">
        <f t="shared" si="0"/>
        <v>#VALUE!</v>
      </c>
    </row>
    <row r="2080" spans="1:5" ht="12.75" customHeight="1" x14ac:dyDescent="0.2">
      <c r="A2080" s="3"/>
      <c r="B2080" s="3" t="s">
        <v>11</v>
      </c>
      <c r="C2080" s="3" t="s">
        <v>1084</v>
      </c>
      <c r="D2080" s="2"/>
      <c r="E2080" s="2" t="e">
        <f t="shared" si="0"/>
        <v>#VALUE!</v>
      </c>
    </row>
    <row r="2081" spans="1:5" ht="12.75" customHeight="1" x14ac:dyDescent="0.2">
      <c r="A2081" s="3"/>
      <c r="B2081" s="3" t="s">
        <v>18</v>
      </c>
      <c r="C2081" s="4" t="s">
        <v>19</v>
      </c>
      <c r="D2081" s="2"/>
      <c r="E2081" s="2" t="e">
        <f t="shared" si="0"/>
        <v>#VALUE!</v>
      </c>
    </row>
    <row r="2082" spans="1:5" ht="12.75" customHeight="1" x14ac:dyDescent="0.2">
      <c r="A2082" s="1" t="str">
        <f>HYPERLINK("javascript:void(0)","istenpenge")</f>
        <v>istenpenge</v>
      </c>
      <c r="B2082" s="1"/>
      <c r="C2082" s="1"/>
      <c r="D2082" s="2"/>
      <c r="E2082" s="2" t="e">
        <f t="shared" si="0"/>
        <v>#VALUE!</v>
      </c>
    </row>
    <row r="2083" spans="1:5" ht="12.75" customHeight="1" x14ac:dyDescent="0.2">
      <c r="A2083" s="3"/>
      <c r="B2083" s="3" t="s">
        <v>0</v>
      </c>
      <c r="C2083" s="3" t="s">
        <v>21</v>
      </c>
      <c r="D2083" s="2"/>
      <c r="E2083" s="2" t="e">
        <f t="shared" si="0"/>
        <v>#VALUE!</v>
      </c>
    </row>
    <row r="2084" spans="1:5" ht="12.75" customHeight="1" x14ac:dyDescent="0.2">
      <c r="A2084" s="3"/>
      <c r="B2084" s="3" t="s">
        <v>2</v>
      </c>
      <c r="C2084" s="3" t="s">
        <v>458</v>
      </c>
      <c r="D2084" s="2"/>
      <c r="E2084" s="2" t="e">
        <f t="shared" si="0"/>
        <v>#VALUE!</v>
      </c>
    </row>
    <row r="2085" spans="1:5" ht="12.75" customHeight="1" x14ac:dyDescent="0.2">
      <c r="A2085" s="3"/>
      <c r="B2085" s="3" t="s">
        <v>9</v>
      </c>
      <c r="C2085" s="3" t="s">
        <v>124</v>
      </c>
      <c r="D2085" s="2"/>
      <c r="E2085" s="2" t="e">
        <f t="shared" si="0"/>
        <v>#VALUE!</v>
      </c>
    </row>
    <row r="2086" spans="1:5" ht="12.75" customHeight="1" x14ac:dyDescent="0.2">
      <c r="A2086" s="3"/>
      <c r="B2086" s="3" t="s">
        <v>11</v>
      </c>
      <c r="C2086" s="3" t="s">
        <v>227</v>
      </c>
      <c r="D2086" s="2"/>
      <c r="E2086" s="2" t="e">
        <f t="shared" si="0"/>
        <v>#VALUE!</v>
      </c>
    </row>
    <row r="2087" spans="1:5" ht="12.75" customHeight="1" x14ac:dyDescent="0.2">
      <c r="A2087" s="3"/>
      <c r="B2087" s="3" t="s">
        <v>18</v>
      </c>
      <c r="C2087" s="4" t="s">
        <v>19</v>
      </c>
      <c r="D2087" s="2"/>
      <c r="E2087" s="2" t="e">
        <f t="shared" si="0"/>
        <v>#VALUE!</v>
      </c>
    </row>
    <row r="2088" spans="1:5" ht="12.75" customHeight="1" x14ac:dyDescent="0.2">
      <c r="A2088" s="1" t="str">
        <f>HYPERLINK("javascript:void(0)","izébizé")</f>
        <v>izébizé</v>
      </c>
      <c r="B2088" s="1"/>
      <c r="C2088" s="1"/>
      <c r="D2088" s="2"/>
      <c r="E2088" s="2" t="e">
        <f t="shared" si="0"/>
        <v>#VALUE!</v>
      </c>
    </row>
    <row r="2089" spans="1:5" ht="12.75" customHeight="1" x14ac:dyDescent="0.2">
      <c r="A2089" s="3"/>
      <c r="B2089" s="3" t="s">
        <v>0</v>
      </c>
      <c r="C2089" s="3" t="s">
        <v>21</v>
      </c>
      <c r="D2089" s="2"/>
      <c r="E2089" s="2" t="e">
        <f t="shared" si="0"/>
        <v>#VALUE!</v>
      </c>
    </row>
    <row r="2090" spans="1:5" ht="12.75" customHeight="1" x14ac:dyDescent="0.2">
      <c r="A2090" s="3"/>
      <c r="B2090" s="3" t="s">
        <v>2</v>
      </c>
      <c r="C2090" s="3" t="s">
        <v>458</v>
      </c>
      <c r="D2090" s="2"/>
      <c r="E2090" s="2" t="e">
        <f t="shared" si="0"/>
        <v>#VALUE!</v>
      </c>
    </row>
    <row r="2091" spans="1:5" ht="12.75" customHeight="1" x14ac:dyDescent="0.2">
      <c r="A2091" s="3"/>
      <c r="B2091" s="3" t="s">
        <v>9</v>
      </c>
      <c r="C2091" s="3" t="s">
        <v>22</v>
      </c>
      <c r="D2091" s="2"/>
      <c r="E2091" s="2" t="e">
        <f t="shared" si="0"/>
        <v>#VALUE!</v>
      </c>
    </row>
    <row r="2092" spans="1:5" ht="12.75" customHeight="1" x14ac:dyDescent="0.2">
      <c r="A2092" s="3"/>
      <c r="B2092" s="3" t="s">
        <v>11</v>
      </c>
      <c r="C2092" s="3" t="s">
        <v>721</v>
      </c>
      <c r="D2092" s="2"/>
      <c r="E2092" s="2" t="e">
        <f t="shared" si="0"/>
        <v>#VALUE!</v>
      </c>
    </row>
    <row r="2093" spans="1:5" ht="12.75" customHeight="1" x14ac:dyDescent="0.2">
      <c r="A2093" s="3"/>
      <c r="B2093" s="3" t="s">
        <v>18</v>
      </c>
      <c r="C2093" s="4" t="s">
        <v>19</v>
      </c>
      <c r="D2093" s="2"/>
      <c r="E2093" s="2" t="e">
        <f t="shared" si="0"/>
        <v>#VALUE!</v>
      </c>
    </row>
    <row r="2094" spans="1:5" ht="12.75" customHeight="1" x14ac:dyDescent="0.2">
      <c r="A2094" s="1" t="str">
        <f>HYPERLINK("javascript:void(0)","javíthatatlan antiballaszt")</f>
        <v>javíthatatlan antiballaszt</v>
      </c>
      <c r="B2094" s="1"/>
      <c r="C2094" s="1"/>
      <c r="D2094" s="2"/>
      <c r="E2094" s="2" t="e">
        <f t="shared" si="0"/>
        <v>#VALUE!</v>
      </c>
    </row>
    <row r="2095" spans="1:5" ht="12.75" customHeight="1" x14ac:dyDescent="0.2">
      <c r="A2095" s="3"/>
      <c r="B2095" s="3" t="s">
        <v>0</v>
      </c>
      <c r="C2095" s="3" t="s">
        <v>21</v>
      </c>
      <c r="D2095" s="2"/>
      <c r="E2095" s="2" t="e">
        <f t="shared" si="0"/>
        <v>#VALUE!</v>
      </c>
    </row>
    <row r="2096" spans="1:5" ht="12.75" customHeight="1" x14ac:dyDescent="0.2">
      <c r="A2096" s="3"/>
      <c r="B2096" s="3" t="s">
        <v>2</v>
      </c>
      <c r="C2096" s="3" t="s">
        <v>387</v>
      </c>
      <c r="D2096" s="2"/>
      <c r="E2096" s="2" t="e">
        <f t="shared" si="0"/>
        <v>#VALUE!</v>
      </c>
    </row>
    <row r="2097" spans="1:5" ht="12.75" customHeight="1" x14ac:dyDescent="0.2">
      <c r="A2097" s="3"/>
      <c r="B2097" s="3" t="s">
        <v>9</v>
      </c>
      <c r="C2097" s="3" t="s">
        <v>626</v>
      </c>
      <c r="D2097" s="2"/>
      <c r="E2097" s="2" t="e">
        <f t="shared" si="0"/>
        <v>#VALUE!</v>
      </c>
    </row>
    <row r="2098" spans="1:5" ht="12.75" customHeight="1" x14ac:dyDescent="0.2">
      <c r="A2098" s="3"/>
      <c r="B2098" s="3" t="s">
        <v>11</v>
      </c>
      <c r="C2098" s="3" t="s">
        <v>23</v>
      </c>
      <c r="D2098" s="2"/>
      <c r="E2098" s="2" t="e">
        <f t="shared" si="0"/>
        <v>#VALUE!</v>
      </c>
    </row>
    <row r="2099" spans="1:5" ht="12.75" customHeight="1" x14ac:dyDescent="0.2">
      <c r="A2099" s="3"/>
      <c r="B2099" s="3" t="s">
        <v>16</v>
      </c>
      <c r="C2099" s="3" t="s">
        <v>388</v>
      </c>
      <c r="D2099" s="2"/>
      <c r="E2099" s="2" t="e">
        <f t="shared" si="0"/>
        <v>#VALUE!</v>
      </c>
    </row>
    <row r="2100" spans="1:5" ht="12.75" customHeight="1" x14ac:dyDescent="0.2">
      <c r="A2100" s="3"/>
      <c r="B2100" s="3" t="s">
        <v>18</v>
      </c>
      <c r="C2100" s="4" t="s">
        <v>19</v>
      </c>
      <c r="D2100" s="2"/>
      <c r="E2100" s="2" t="e">
        <f t="shared" si="0"/>
        <v>#VALUE!</v>
      </c>
    </row>
    <row r="2101" spans="1:5" ht="12.75" customHeight="1" x14ac:dyDescent="0.2">
      <c r="A2101" s="1" t="str">
        <f>HYPERLINK("javascript:void(0)","jáspis")</f>
        <v>jáspis</v>
      </c>
      <c r="B2101" s="1"/>
      <c r="C2101" s="1"/>
      <c r="D2101" s="2"/>
      <c r="E2101" s="2" t="e">
        <f t="shared" si="0"/>
        <v>#VALUE!</v>
      </c>
    </row>
    <row r="2102" spans="1:5" ht="12.75" customHeight="1" x14ac:dyDescent="0.2">
      <c r="A2102" s="3"/>
      <c r="B2102" s="3" t="s">
        <v>0</v>
      </c>
      <c r="C2102" s="3" t="s">
        <v>21</v>
      </c>
      <c r="D2102" s="2"/>
      <c r="E2102" s="2" t="e">
        <f t="shared" si="0"/>
        <v>#VALUE!</v>
      </c>
    </row>
    <row r="2103" spans="1:5" ht="12.75" customHeight="1" x14ac:dyDescent="0.2">
      <c r="A2103" s="3"/>
      <c r="B2103" s="3" t="s">
        <v>2</v>
      </c>
      <c r="C2103" s="3" t="s">
        <v>564</v>
      </c>
      <c r="D2103" s="2"/>
      <c r="E2103" s="2" t="e">
        <f t="shared" si="0"/>
        <v>#VALUE!</v>
      </c>
    </row>
    <row r="2104" spans="1:5" ht="12.75" customHeight="1" x14ac:dyDescent="0.2">
      <c r="A2104" s="3"/>
      <c r="B2104" s="3" t="s">
        <v>9</v>
      </c>
      <c r="C2104" s="3" t="s">
        <v>1048</v>
      </c>
      <c r="D2104" s="2"/>
      <c r="E2104" s="2" t="e">
        <f t="shared" si="0"/>
        <v>#VALUE!</v>
      </c>
    </row>
    <row r="2105" spans="1:5" ht="12.75" customHeight="1" x14ac:dyDescent="0.2">
      <c r="A2105" s="3"/>
      <c r="B2105" s="3" t="s">
        <v>11</v>
      </c>
      <c r="C2105" s="3" t="s">
        <v>849</v>
      </c>
      <c r="D2105" s="2"/>
      <c r="E2105" s="2" t="e">
        <f t="shared" si="0"/>
        <v>#VALUE!</v>
      </c>
    </row>
    <row r="2106" spans="1:5" ht="12.75" customHeight="1" x14ac:dyDescent="0.2">
      <c r="A2106" s="3"/>
      <c r="B2106" s="3" t="s">
        <v>18</v>
      </c>
      <c r="C2106" s="4" t="s">
        <v>19</v>
      </c>
      <c r="D2106" s="2"/>
      <c r="E2106" s="2" t="e">
        <f t="shared" si="0"/>
        <v>#VALUE!</v>
      </c>
    </row>
    <row r="2107" spans="1:5" ht="12.75" customHeight="1" x14ac:dyDescent="0.2">
      <c r="A2107" s="1" t="str">
        <f>HYPERLINK("javascript:void(0)","játékvasút")</f>
        <v>játékvasút</v>
      </c>
      <c r="B2107" s="1"/>
      <c r="C2107" s="1"/>
      <c r="D2107" s="2"/>
      <c r="E2107" s="2" t="e">
        <f t="shared" si="0"/>
        <v>#VALUE!</v>
      </c>
    </row>
    <row r="2108" spans="1:5" ht="12.75" customHeight="1" x14ac:dyDescent="0.2">
      <c r="A2108" s="3"/>
      <c r="B2108" s="3" t="s">
        <v>0</v>
      </c>
      <c r="C2108" s="3" t="s">
        <v>21</v>
      </c>
      <c r="D2108" s="2"/>
      <c r="E2108" s="2" t="e">
        <f t="shared" si="0"/>
        <v>#VALUE!</v>
      </c>
    </row>
    <row r="2109" spans="1:5" ht="12.75" customHeight="1" x14ac:dyDescent="0.2">
      <c r="A2109" s="3"/>
      <c r="B2109" s="3" t="s">
        <v>2</v>
      </c>
      <c r="C2109" s="3" t="s">
        <v>387</v>
      </c>
      <c r="D2109" s="2"/>
      <c r="E2109" s="2" t="e">
        <f t="shared" si="0"/>
        <v>#VALUE!</v>
      </c>
    </row>
    <row r="2110" spans="1:5" ht="12.75" customHeight="1" x14ac:dyDescent="0.2">
      <c r="A2110" s="3"/>
      <c r="B2110" s="3" t="s">
        <v>9</v>
      </c>
      <c r="C2110" s="3" t="s">
        <v>27</v>
      </c>
      <c r="D2110" s="2"/>
      <c r="E2110" s="2" t="e">
        <f t="shared" si="0"/>
        <v>#VALUE!</v>
      </c>
    </row>
    <row r="2111" spans="1:5" ht="12.75" customHeight="1" x14ac:dyDescent="0.2">
      <c r="A2111" s="3"/>
      <c r="B2111" s="3" t="s">
        <v>11</v>
      </c>
      <c r="C2111" s="3" t="s">
        <v>23</v>
      </c>
      <c r="D2111" s="2"/>
      <c r="E2111" s="2" t="e">
        <f t="shared" si="0"/>
        <v>#VALUE!</v>
      </c>
    </row>
    <row r="2112" spans="1:5" ht="12.75" customHeight="1" x14ac:dyDescent="0.2">
      <c r="A2112" s="3"/>
      <c r="B2112" s="3" t="s">
        <v>16</v>
      </c>
      <c r="C2112" s="3" t="s">
        <v>388</v>
      </c>
      <c r="D2112" s="2"/>
      <c r="E2112" s="2" t="e">
        <f t="shared" si="0"/>
        <v>#VALUE!</v>
      </c>
    </row>
    <row r="2113" spans="1:5" ht="12.75" customHeight="1" x14ac:dyDescent="0.2">
      <c r="A2113" s="3"/>
      <c r="B2113" s="3" t="s">
        <v>18</v>
      </c>
      <c r="C2113" s="4" t="s">
        <v>19</v>
      </c>
      <c r="D2113" s="2"/>
      <c r="E2113" s="2" t="e">
        <f t="shared" si="0"/>
        <v>#VALUE!</v>
      </c>
    </row>
    <row r="2114" spans="1:5" ht="12.75" customHeight="1" x14ac:dyDescent="0.2">
      <c r="A2114" s="1" t="str">
        <f>HYPERLINK("javascript:void(0)","jégcsap")</f>
        <v>jégcsap</v>
      </c>
      <c r="B2114" s="1"/>
      <c r="C2114" s="1"/>
      <c r="D2114" s="2"/>
      <c r="E2114" s="2" t="e">
        <f t="shared" si="0"/>
        <v>#VALUE!</v>
      </c>
    </row>
    <row r="2115" spans="1:5" ht="12.75" customHeight="1" x14ac:dyDescent="0.2">
      <c r="A2115" s="3"/>
      <c r="B2115" s="3" t="s">
        <v>0</v>
      </c>
      <c r="C2115" s="3" t="s">
        <v>21</v>
      </c>
      <c r="D2115" s="2"/>
      <c r="E2115" s="2" t="e">
        <f t="shared" si="0"/>
        <v>#VALUE!</v>
      </c>
    </row>
    <row r="2116" spans="1:5" ht="12.75" customHeight="1" x14ac:dyDescent="0.2">
      <c r="A2116" s="3"/>
      <c r="B2116" s="3" t="s">
        <v>2</v>
      </c>
      <c r="C2116" s="3" t="s">
        <v>458</v>
      </c>
      <c r="D2116" s="2"/>
      <c r="E2116" s="2" t="e">
        <f t="shared" si="0"/>
        <v>#VALUE!</v>
      </c>
    </row>
    <row r="2117" spans="1:5" ht="12.75" customHeight="1" x14ac:dyDescent="0.2">
      <c r="A2117" s="3"/>
      <c r="B2117" s="3" t="s">
        <v>9</v>
      </c>
      <c r="C2117" s="3" t="s">
        <v>22</v>
      </c>
      <c r="D2117" s="2"/>
      <c r="E2117" s="2" t="e">
        <f t="shared" si="0"/>
        <v>#VALUE!</v>
      </c>
    </row>
    <row r="2118" spans="1:5" ht="12.75" customHeight="1" x14ac:dyDescent="0.2">
      <c r="A2118" s="3"/>
      <c r="B2118" s="3" t="s">
        <v>11</v>
      </c>
      <c r="C2118" s="3" t="s">
        <v>395</v>
      </c>
      <c r="D2118" s="2"/>
      <c r="E2118" s="2" t="e">
        <f t="shared" si="0"/>
        <v>#VALUE!</v>
      </c>
    </row>
    <row r="2119" spans="1:5" ht="12.75" customHeight="1" x14ac:dyDescent="0.2">
      <c r="A2119" s="3"/>
      <c r="B2119" s="3" t="s">
        <v>18</v>
      </c>
      <c r="C2119" s="4" t="s">
        <v>19</v>
      </c>
      <c r="D2119" s="2"/>
      <c r="E2119" s="2" t="e">
        <f t="shared" si="0"/>
        <v>#VALUE!</v>
      </c>
    </row>
    <row r="2120" spans="1:5" ht="12.75" customHeight="1" x14ac:dyDescent="0.2">
      <c r="A2120" s="1" t="str">
        <f>HYPERLINK("javascript:void(0)","jégige")</f>
        <v>jégige</v>
      </c>
      <c r="B2120" s="1"/>
      <c r="C2120" s="1"/>
      <c r="D2120" s="2"/>
      <c r="E2120" s="2" t="e">
        <f t="shared" si="0"/>
        <v>#VALUE!</v>
      </c>
    </row>
    <row r="2121" spans="1:5" ht="12.75" customHeight="1" x14ac:dyDescent="0.2">
      <c r="A2121" s="3"/>
      <c r="B2121" s="3" t="s">
        <v>0</v>
      </c>
      <c r="C2121" s="3" t="s">
        <v>21</v>
      </c>
      <c r="D2121" s="2"/>
      <c r="E2121" s="2" t="e">
        <f t="shared" si="0"/>
        <v>#VALUE!</v>
      </c>
    </row>
    <row r="2122" spans="1:5" ht="12.75" customHeight="1" x14ac:dyDescent="0.2">
      <c r="A2122" s="3"/>
      <c r="B2122" s="3" t="s">
        <v>2</v>
      </c>
      <c r="C2122" s="3" t="s">
        <v>458</v>
      </c>
      <c r="D2122" s="2"/>
      <c r="E2122" s="2" t="e">
        <f t="shared" si="0"/>
        <v>#VALUE!</v>
      </c>
    </row>
    <row r="2123" spans="1:5" ht="12.75" customHeight="1" x14ac:dyDescent="0.2">
      <c r="A2123" s="3"/>
      <c r="B2123" s="3" t="s">
        <v>9</v>
      </c>
      <c r="C2123" s="3" t="s">
        <v>22</v>
      </c>
      <c r="D2123" s="2"/>
      <c r="E2123" s="2" t="e">
        <f t="shared" si="0"/>
        <v>#VALUE!</v>
      </c>
    </row>
    <row r="2124" spans="1:5" ht="12.75" customHeight="1" x14ac:dyDescent="0.2">
      <c r="A2124" s="3"/>
      <c r="B2124" s="3" t="s">
        <v>11</v>
      </c>
      <c r="C2124" s="3" t="s">
        <v>551</v>
      </c>
      <c r="D2124" s="2"/>
      <c r="E2124" s="2" t="e">
        <f t="shared" si="0"/>
        <v>#VALUE!</v>
      </c>
    </row>
    <row r="2125" spans="1:5" ht="12.75" customHeight="1" x14ac:dyDescent="0.2">
      <c r="A2125" s="3"/>
      <c r="B2125" s="3" t="s">
        <v>18</v>
      </c>
      <c r="C2125" s="4" t="s">
        <v>19</v>
      </c>
      <c r="D2125" s="2"/>
      <c r="E2125" s="2" t="e">
        <f t="shared" si="0"/>
        <v>#VALUE!</v>
      </c>
    </row>
    <row r="2126" spans="1:5" ht="12.75" customHeight="1" x14ac:dyDescent="0.2">
      <c r="A2126" s="1" t="str">
        <f>HYPERLINK("javascript:void(0)","kacat")</f>
        <v>kacat</v>
      </c>
      <c r="B2126" s="1"/>
      <c r="C2126" s="1"/>
      <c r="D2126" s="2"/>
      <c r="E2126" s="2" t="e">
        <f t="shared" si="0"/>
        <v>#VALUE!</v>
      </c>
    </row>
    <row r="2127" spans="1:5" ht="12.75" customHeight="1" x14ac:dyDescent="0.2">
      <c r="A2127" s="3"/>
      <c r="B2127" s="3" t="s">
        <v>0</v>
      </c>
      <c r="C2127" s="3" t="s">
        <v>21</v>
      </c>
      <c r="D2127" s="2"/>
      <c r="E2127" s="2" t="e">
        <f t="shared" si="0"/>
        <v>#VALUE!</v>
      </c>
    </row>
    <row r="2128" spans="1:5" ht="12.75" customHeight="1" x14ac:dyDescent="0.2">
      <c r="A2128" s="3"/>
      <c r="B2128" s="3" t="s">
        <v>2</v>
      </c>
      <c r="C2128" s="3" t="s">
        <v>458</v>
      </c>
      <c r="D2128" s="2"/>
      <c r="E2128" s="2" t="e">
        <f t="shared" si="0"/>
        <v>#VALUE!</v>
      </c>
    </row>
    <row r="2129" spans="1:5" ht="12.75" customHeight="1" x14ac:dyDescent="0.2">
      <c r="A2129" s="3"/>
      <c r="B2129" s="3" t="s">
        <v>9</v>
      </c>
      <c r="C2129" s="3" t="s">
        <v>53</v>
      </c>
      <c r="D2129" s="2"/>
      <c r="E2129" s="2" t="e">
        <f t="shared" si="0"/>
        <v>#VALUE!</v>
      </c>
    </row>
    <row r="2130" spans="1:5" ht="12.75" customHeight="1" x14ac:dyDescent="0.2">
      <c r="A2130" s="3"/>
      <c r="B2130" s="3" t="s">
        <v>11</v>
      </c>
      <c r="C2130" s="3" t="s">
        <v>505</v>
      </c>
      <c r="D2130" s="2"/>
      <c r="E2130" s="2" t="e">
        <f t="shared" si="0"/>
        <v>#VALUE!</v>
      </c>
    </row>
    <row r="2131" spans="1:5" ht="12.75" customHeight="1" x14ac:dyDescent="0.2">
      <c r="A2131" s="3"/>
      <c r="B2131" s="3" t="s">
        <v>18</v>
      </c>
      <c r="C2131" s="4" t="s">
        <v>19</v>
      </c>
      <c r="D2131" s="2"/>
      <c r="E2131" s="2" t="e">
        <f t="shared" si="0"/>
        <v>#VALUE!</v>
      </c>
    </row>
    <row r="2132" spans="1:5" ht="12.75" customHeight="1" x14ac:dyDescent="0.2">
      <c r="A2132" s="1" t="str">
        <f>HYPERLINK("javascript:void(0)","kacsaláb")</f>
        <v>kacsaláb</v>
      </c>
      <c r="B2132" s="1"/>
      <c r="C2132" s="1"/>
      <c r="D2132" s="2"/>
      <c r="E2132" s="2" t="e">
        <f t="shared" si="0"/>
        <v>#VALUE!</v>
      </c>
    </row>
    <row r="2133" spans="1:5" ht="12.75" customHeight="1" x14ac:dyDescent="0.2">
      <c r="A2133" s="3"/>
      <c r="B2133" s="3" t="s">
        <v>0</v>
      </c>
      <c r="C2133" s="3" t="s">
        <v>21</v>
      </c>
      <c r="D2133" s="2"/>
      <c r="E2133" s="2" t="e">
        <f t="shared" si="0"/>
        <v>#VALUE!</v>
      </c>
    </row>
    <row r="2134" spans="1:5" ht="12.75" customHeight="1" x14ac:dyDescent="0.2">
      <c r="A2134" s="3"/>
      <c r="B2134" s="3" t="s">
        <v>2</v>
      </c>
      <c r="C2134" s="3" t="s">
        <v>458</v>
      </c>
      <c r="D2134" s="2"/>
      <c r="E2134" s="2" t="e">
        <f t="shared" si="0"/>
        <v>#VALUE!</v>
      </c>
    </row>
    <row r="2135" spans="1:5" ht="12.75" customHeight="1" x14ac:dyDescent="0.2">
      <c r="A2135" s="3"/>
      <c r="B2135" s="3" t="s">
        <v>9</v>
      </c>
      <c r="C2135" s="3" t="s">
        <v>22</v>
      </c>
      <c r="D2135" s="2"/>
      <c r="E2135" s="2" t="e">
        <f t="shared" si="0"/>
        <v>#VALUE!</v>
      </c>
    </row>
    <row r="2136" spans="1:5" ht="12.75" customHeight="1" x14ac:dyDescent="0.2">
      <c r="A2136" s="3"/>
      <c r="B2136" s="3" t="s">
        <v>11</v>
      </c>
      <c r="C2136" s="3" t="s">
        <v>89</v>
      </c>
      <c r="D2136" s="2"/>
      <c r="E2136" s="2" t="e">
        <f t="shared" si="0"/>
        <v>#VALUE!</v>
      </c>
    </row>
    <row r="2137" spans="1:5" ht="12.75" customHeight="1" x14ac:dyDescent="0.2">
      <c r="A2137" s="3"/>
      <c r="B2137" s="3" t="s">
        <v>18</v>
      </c>
      <c r="C2137" s="4" t="s">
        <v>19</v>
      </c>
      <c r="D2137" s="2"/>
      <c r="E2137" s="2" t="e">
        <f t="shared" si="0"/>
        <v>#VALUE!</v>
      </c>
    </row>
    <row r="2138" spans="1:5" ht="12.75" customHeight="1" x14ac:dyDescent="0.2">
      <c r="A2138" s="1" t="str">
        <f>HYPERLINK("javascript:void(0)","kaja")</f>
        <v>kaja</v>
      </c>
      <c r="B2138" s="1"/>
      <c r="C2138" s="1"/>
      <c r="D2138" s="2"/>
      <c r="E2138" s="2" t="e">
        <f t="shared" si="0"/>
        <v>#VALUE!</v>
      </c>
    </row>
    <row r="2139" spans="1:5" ht="12.75" customHeight="1" x14ac:dyDescent="0.2">
      <c r="A2139" s="3"/>
      <c r="B2139" s="3" t="s">
        <v>0</v>
      </c>
      <c r="C2139" s="3" t="s">
        <v>21</v>
      </c>
      <c r="D2139" s="2"/>
      <c r="E2139" s="2" t="e">
        <f t="shared" si="0"/>
        <v>#VALUE!</v>
      </c>
    </row>
    <row r="2140" spans="1:5" ht="12.75" customHeight="1" x14ac:dyDescent="0.2">
      <c r="A2140" s="3"/>
      <c r="B2140" s="3" t="s">
        <v>2</v>
      </c>
      <c r="C2140" s="3" t="s">
        <v>440</v>
      </c>
      <c r="D2140" s="2"/>
      <c r="E2140" s="2" t="e">
        <f t="shared" si="0"/>
        <v>#VALUE!</v>
      </c>
    </row>
    <row r="2141" spans="1:5" ht="12.75" customHeight="1" x14ac:dyDescent="0.2">
      <c r="A2141" s="3"/>
      <c r="B2141" s="3" t="s">
        <v>9</v>
      </c>
      <c r="C2141" s="3" t="s">
        <v>137</v>
      </c>
      <c r="D2141" s="2"/>
      <c r="E2141" s="2" t="e">
        <f t="shared" si="0"/>
        <v>#VALUE!</v>
      </c>
    </row>
    <row r="2142" spans="1:5" ht="12.75" customHeight="1" x14ac:dyDescent="0.2">
      <c r="A2142" s="3"/>
      <c r="B2142" s="3" t="s">
        <v>11</v>
      </c>
      <c r="C2142" s="3" t="s">
        <v>986</v>
      </c>
      <c r="D2142" s="2"/>
      <c r="E2142" s="2" t="e">
        <f t="shared" si="0"/>
        <v>#VALUE!</v>
      </c>
    </row>
    <row r="2143" spans="1:5" ht="12.75" customHeight="1" x14ac:dyDescent="0.2">
      <c r="A2143" s="3"/>
      <c r="B2143" s="3" t="s">
        <v>18</v>
      </c>
      <c r="C2143" s="4" t="s">
        <v>19</v>
      </c>
      <c r="D2143" s="2"/>
      <c r="E2143" s="2" t="e">
        <f t="shared" si="0"/>
        <v>#VALUE!</v>
      </c>
    </row>
    <row r="2144" spans="1:5" ht="12.75" customHeight="1" x14ac:dyDescent="0.2">
      <c r="A2144" s="1" t="str">
        <f>HYPERLINK("javascript:void(0)","kalap")</f>
        <v>kalap</v>
      </c>
      <c r="B2144" s="1"/>
      <c r="C2144" s="1"/>
      <c r="D2144" s="2"/>
      <c r="E2144" s="2" t="e">
        <f t="shared" si="0"/>
        <v>#VALUE!</v>
      </c>
    </row>
    <row r="2145" spans="1:5" ht="12.75" customHeight="1" x14ac:dyDescent="0.2">
      <c r="A2145" s="3"/>
      <c r="B2145" s="3" t="s">
        <v>0</v>
      </c>
      <c r="C2145" s="3" t="s">
        <v>21</v>
      </c>
      <c r="D2145" s="2"/>
      <c r="E2145" s="2" t="e">
        <f t="shared" si="0"/>
        <v>#VALUE!</v>
      </c>
    </row>
    <row r="2146" spans="1:5" ht="12.75" customHeight="1" x14ac:dyDescent="0.2">
      <c r="A2146" s="3"/>
      <c r="B2146" s="3" t="s">
        <v>2</v>
      </c>
      <c r="C2146" s="3" t="s">
        <v>458</v>
      </c>
      <c r="D2146" s="2"/>
      <c r="E2146" s="2" t="e">
        <f t="shared" si="0"/>
        <v>#VALUE!</v>
      </c>
    </row>
    <row r="2147" spans="1:5" ht="12.75" customHeight="1" x14ac:dyDescent="0.2">
      <c r="A2147" s="3"/>
      <c r="B2147" s="3" t="s">
        <v>9</v>
      </c>
      <c r="C2147" s="3" t="s">
        <v>22</v>
      </c>
      <c r="D2147" s="2"/>
      <c r="E2147" s="2" t="e">
        <f t="shared" si="0"/>
        <v>#VALUE!</v>
      </c>
    </row>
    <row r="2148" spans="1:5" ht="12.75" customHeight="1" x14ac:dyDescent="0.2">
      <c r="A2148" s="3"/>
      <c r="B2148" s="3" t="s">
        <v>11</v>
      </c>
      <c r="C2148" s="3" t="s">
        <v>505</v>
      </c>
      <c r="D2148" s="2"/>
      <c r="E2148" s="2" t="e">
        <f t="shared" si="0"/>
        <v>#VALUE!</v>
      </c>
    </row>
    <row r="2149" spans="1:5" ht="12.75" customHeight="1" x14ac:dyDescent="0.2">
      <c r="A2149" s="3"/>
      <c r="B2149" s="3" t="s">
        <v>18</v>
      </c>
      <c r="C2149" s="4" t="s">
        <v>19</v>
      </c>
      <c r="D2149" s="2"/>
      <c r="E2149" s="2" t="e">
        <f t="shared" si="0"/>
        <v>#VALUE!</v>
      </c>
    </row>
    <row r="2150" spans="1:5" ht="12.75" customHeight="1" x14ac:dyDescent="0.2">
      <c r="A2150" s="1" t="str">
        <f>HYPERLINK("javascript:void(0)","kalaptű")</f>
        <v>kalaptű</v>
      </c>
      <c r="B2150" s="1"/>
      <c r="C2150" s="1"/>
      <c r="D2150" s="2"/>
      <c r="E2150" s="2" t="e">
        <f t="shared" si="0"/>
        <v>#VALUE!</v>
      </c>
    </row>
    <row r="2151" spans="1:5" ht="12.75" customHeight="1" x14ac:dyDescent="0.2">
      <c r="A2151" s="3"/>
      <c r="B2151" s="3" t="s">
        <v>0</v>
      </c>
      <c r="C2151" s="3" t="s">
        <v>21</v>
      </c>
      <c r="D2151" s="2"/>
      <c r="E2151" s="2" t="e">
        <f t="shared" si="0"/>
        <v>#VALUE!</v>
      </c>
    </row>
    <row r="2152" spans="1:5" ht="12.75" customHeight="1" x14ac:dyDescent="0.2">
      <c r="A2152" s="3"/>
      <c r="B2152" s="3" t="s">
        <v>2</v>
      </c>
      <c r="C2152" s="3" t="s">
        <v>458</v>
      </c>
      <c r="D2152" s="2"/>
      <c r="E2152" s="2" t="e">
        <f t="shared" si="0"/>
        <v>#VALUE!</v>
      </c>
    </row>
    <row r="2153" spans="1:5" ht="12.75" customHeight="1" x14ac:dyDescent="0.2">
      <c r="A2153" s="3"/>
      <c r="B2153" s="3" t="s">
        <v>9</v>
      </c>
      <c r="C2153" s="3" t="s">
        <v>10</v>
      </c>
      <c r="D2153" s="2"/>
      <c r="E2153" s="2" t="e">
        <f t="shared" si="0"/>
        <v>#VALUE!</v>
      </c>
    </row>
    <row r="2154" spans="1:5" ht="12.75" customHeight="1" x14ac:dyDescent="0.2">
      <c r="A2154" s="3"/>
      <c r="B2154" s="3" t="s">
        <v>11</v>
      </c>
      <c r="C2154" s="3" t="s">
        <v>530</v>
      </c>
      <c r="D2154" s="2"/>
      <c r="E2154" s="2" t="e">
        <f t="shared" si="0"/>
        <v>#VALUE!</v>
      </c>
    </row>
    <row r="2155" spans="1:5" ht="12.75" customHeight="1" x14ac:dyDescent="0.2">
      <c r="A2155" s="3"/>
      <c r="B2155" s="3" t="s">
        <v>18</v>
      </c>
      <c r="C2155" s="4" t="s">
        <v>19</v>
      </c>
      <c r="D2155" s="2"/>
      <c r="E2155" s="2" t="e">
        <f t="shared" si="0"/>
        <v>#VALUE!</v>
      </c>
    </row>
    <row r="2156" spans="1:5" ht="12.75" customHeight="1" x14ac:dyDescent="0.2">
      <c r="A2156" s="1" t="str">
        <f>HYPERLINK("javascript:void(0)","kampó")</f>
        <v>kampó</v>
      </c>
      <c r="B2156" s="1"/>
      <c r="C2156" s="1"/>
      <c r="D2156" s="2"/>
      <c r="E2156" s="2" t="e">
        <f t="shared" si="0"/>
        <v>#VALUE!</v>
      </c>
    </row>
    <row r="2157" spans="1:5" ht="12.75" customHeight="1" x14ac:dyDescent="0.2">
      <c r="A2157" s="3"/>
      <c r="B2157" s="3" t="s">
        <v>0</v>
      </c>
      <c r="C2157" s="3" t="s">
        <v>21</v>
      </c>
      <c r="D2157" s="2"/>
      <c r="E2157" s="2" t="e">
        <f t="shared" si="0"/>
        <v>#VALUE!</v>
      </c>
    </row>
    <row r="2158" spans="1:5" ht="12.75" customHeight="1" x14ac:dyDescent="0.2">
      <c r="A2158" s="3"/>
      <c r="B2158" s="3" t="s">
        <v>2</v>
      </c>
      <c r="C2158" s="3" t="s">
        <v>458</v>
      </c>
      <c r="D2158" s="2"/>
      <c r="E2158" s="2" t="e">
        <f t="shared" si="0"/>
        <v>#VALUE!</v>
      </c>
    </row>
    <row r="2159" spans="1:5" ht="12.75" customHeight="1" x14ac:dyDescent="0.2">
      <c r="A2159" s="3"/>
      <c r="B2159" s="3" t="s">
        <v>9</v>
      </c>
      <c r="C2159" s="3" t="s">
        <v>22</v>
      </c>
      <c r="D2159" s="2"/>
      <c r="E2159" s="2" t="e">
        <f t="shared" si="0"/>
        <v>#VALUE!</v>
      </c>
    </row>
    <row r="2160" spans="1:5" ht="12.75" customHeight="1" x14ac:dyDescent="0.2">
      <c r="A2160" s="3"/>
      <c r="B2160" s="3" t="s">
        <v>11</v>
      </c>
      <c r="C2160" s="3" t="s">
        <v>89</v>
      </c>
      <c r="D2160" s="2"/>
      <c r="E2160" s="2" t="e">
        <f t="shared" si="0"/>
        <v>#VALUE!</v>
      </c>
    </row>
    <row r="2161" spans="1:5" ht="12.75" customHeight="1" x14ac:dyDescent="0.2">
      <c r="A2161" s="3"/>
      <c r="B2161" s="3" t="s">
        <v>18</v>
      </c>
      <c r="C2161" s="4" t="s">
        <v>19</v>
      </c>
      <c r="D2161" s="2"/>
      <c r="E2161" s="2" t="e">
        <f t="shared" si="0"/>
        <v>#VALUE!</v>
      </c>
    </row>
    <row r="2162" spans="1:5" ht="12.75" customHeight="1" x14ac:dyDescent="0.2">
      <c r="A2162" s="1" t="str">
        <f>HYPERLINK("javascript:void(0)","kastélytérkép")</f>
        <v>kastélytérkép</v>
      </c>
      <c r="B2162" s="1"/>
      <c r="C2162" s="1"/>
      <c r="D2162" s="2"/>
      <c r="E2162" s="2" t="e">
        <f t="shared" si="0"/>
        <v>#VALUE!</v>
      </c>
    </row>
    <row r="2163" spans="1:5" ht="12.75" customHeight="1" x14ac:dyDescent="0.2">
      <c r="A2163" s="3"/>
      <c r="B2163" s="3" t="s">
        <v>0</v>
      </c>
      <c r="C2163" s="3" t="s">
        <v>21</v>
      </c>
      <c r="D2163" s="2"/>
      <c r="E2163" s="2" t="e">
        <f t="shared" si="0"/>
        <v>#VALUE!</v>
      </c>
    </row>
    <row r="2164" spans="1:5" ht="12.75" customHeight="1" x14ac:dyDescent="0.2">
      <c r="A2164" s="3"/>
      <c r="B2164" s="3" t="s">
        <v>2</v>
      </c>
      <c r="C2164" s="3" t="s">
        <v>387</v>
      </c>
      <c r="D2164" s="2"/>
      <c r="E2164" s="2" t="e">
        <f t="shared" si="0"/>
        <v>#VALUE!</v>
      </c>
    </row>
    <row r="2165" spans="1:5" ht="12.75" customHeight="1" x14ac:dyDescent="0.2">
      <c r="A2165" s="3"/>
      <c r="B2165" s="3" t="s">
        <v>9</v>
      </c>
      <c r="C2165" s="3" t="s">
        <v>27</v>
      </c>
      <c r="D2165" s="2"/>
      <c r="E2165" s="2" t="e">
        <f t="shared" si="0"/>
        <v>#VALUE!</v>
      </c>
    </row>
    <row r="2166" spans="1:5" ht="12.75" customHeight="1" x14ac:dyDescent="0.2">
      <c r="A2166" s="3"/>
      <c r="B2166" s="3" t="s">
        <v>11</v>
      </c>
      <c r="C2166" s="3" t="s">
        <v>23</v>
      </c>
      <c r="D2166" s="2"/>
      <c r="E2166" s="2" t="e">
        <f t="shared" si="0"/>
        <v>#VALUE!</v>
      </c>
    </row>
    <row r="2167" spans="1:5" ht="12.75" customHeight="1" x14ac:dyDescent="0.2">
      <c r="A2167" s="3"/>
      <c r="B2167" s="3" t="s">
        <v>16</v>
      </c>
      <c r="C2167" s="3" t="s">
        <v>388</v>
      </c>
      <c r="D2167" s="2"/>
      <c r="E2167" s="2" t="e">
        <f t="shared" si="0"/>
        <v>#VALUE!</v>
      </c>
    </row>
    <row r="2168" spans="1:5" ht="12.75" customHeight="1" x14ac:dyDescent="0.2">
      <c r="A2168" s="3"/>
      <c r="B2168" s="3" t="s">
        <v>18</v>
      </c>
      <c r="C2168" s="4" t="s">
        <v>19</v>
      </c>
      <c r="D2168" s="2"/>
      <c r="E2168" s="2" t="e">
        <f t="shared" si="0"/>
        <v>#VALUE!</v>
      </c>
    </row>
    <row r="2169" spans="1:5" ht="12.75" customHeight="1" x14ac:dyDescent="0.2">
      <c r="A2169" s="1" t="str">
        <f>HYPERLINK("javascript:void(0)","keljfeljancsi")</f>
        <v>keljfeljancsi</v>
      </c>
      <c r="B2169" s="1"/>
      <c r="C2169" s="1"/>
      <c r="D2169" s="2"/>
      <c r="E2169" s="2" t="e">
        <f t="shared" si="0"/>
        <v>#VALUE!</v>
      </c>
    </row>
    <row r="2170" spans="1:5" ht="12.75" customHeight="1" x14ac:dyDescent="0.2">
      <c r="A2170" s="3"/>
      <c r="B2170" s="3" t="s">
        <v>0</v>
      </c>
      <c r="C2170" s="3" t="s">
        <v>21</v>
      </c>
      <c r="D2170" s="2"/>
      <c r="E2170" s="2" t="e">
        <f t="shared" si="0"/>
        <v>#VALUE!</v>
      </c>
    </row>
    <row r="2171" spans="1:5" ht="12.75" customHeight="1" x14ac:dyDescent="0.2">
      <c r="A2171" s="3"/>
      <c r="B2171" s="3" t="s">
        <v>2</v>
      </c>
      <c r="C2171" s="3" t="s">
        <v>458</v>
      </c>
      <c r="D2171" s="2"/>
      <c r="E2171" s="2" t="e">
        <f t="shared" si="0"/>
        <v>#VALUE!</v>
      </c>
    </row>
    <row r="2172" spans="1:5" ht="12.75" customHeight="1" x14ac:dyDescent="0.2">
      <c r="A2172" s="3"/>
      <c r="B2172" s="3" t="s">
        <v>9</v>
      </c>
      <c r="C2172" s="3" t="s">
        <v>131</v>
      </c>
      <c r="D2172" s="2"/>
      <c r="E2172" s="2" t="e">
        <f t="shared" si="0"/>
        <v>#VALUE!</v>
      </c>
    </row>
    <row r="2173" spans="1:5" ht="12.75" customHeight="1" x14ac:dyDescent="0.2">
      <c r="A2173" s="3"/>
      <c r="B2173" s="3" t="s">
        <v>11</v>
      </c>
      <c r="C2173" s="3" t="s">
        <v>301</v>
      </c>
      <c r="D2173" s="2"/>
      <c r="E2173" s="2" t="e">
        <f t="shared" si="0"/>
        <v>#VALUE!</v>
      </c>
    </row>
    <row r="2174" spans="1:5" ht="12.75" customHeight="1" x14ac:dyDescent="0.2">
      <c r="A2174" s="3"/>
      <c r="B2174" s="3" t="s">
        <v>18</v>
      </c>
      <c r="C2174" s="4" t="s">
        <v>19</v>
      </c>
      <c r="D2174" s="2"/>
      <c r="E2174" s="2" t="e">
        <f t="shared" si="0"/>
        <v>#VALUE!</v>
      </c>
    </row>
    <row r="2175" spans="1:5" ht="12.75" customHeight="1" x14ac:dyDescent="0.2">
      <c r="A2175" s="1" t="str">
        <f>HYPERLINK("javascript:void(0)","kentaurok könyve")</f>
        <v>kentaurok könyve</v>
      </c>
      <c r="B2175" s="1"/>
      <c r="C2175" s="1"/>
      <c r="D2175" s="2"/>
      <c r="E2175" s="2" t="e">
        <f t="shared" si="0"/>
        <v>#VALUE!</v>
      </c>
    </row>
    <row r="2176" spans="1:5" ht="12.75" customHeight="1" x14ac:dyDescent="0.2">
      <c r="A2176" s="3"/>
      <c r="B2176" s="3" t="s">
        <v>0</v>
      </c>
      <c r="C2176" s="3" t="s">
        <v>21</v>
      </c>
      <c r="D2176" s="2"/>
      <c r="E2176" s="2" t="e">
        <f t="shared" si="0"/>
        <v>#VALUE!</v>
      </c>
    </row>
    <row r="2177" spans="1:5" ht="12.75" customHeight="1" x14ac:dyDescent="0.2">
      <c r="A2177" s="3"/>
      <c r="B2177" s="3" t="s">
        <v>2</v>
      </c>
      <c r="C2177" s="3" t="s">
        <v>387</v>
      </c>
      <c r="D2177" s="2"/>
      <c r="E2177" s="2" t="e">
        <f t="shared" si="0"/>
        <v>#VALUE!</v>
      </c>
    </row>
    <row r="2178" spans="1:5" ht="12.75" customHeight="1" x14ac:dyDescent="0.2">
      <c r="A2178" s="3"/>
      <c r="B2178" s="3" t="s">
        <v>9</v>
      </c>
      <c r="C2178" s="3" t="s">
        <v>441</v>
      </c>
      <c r="D2178" s="2"/>
      <c r="E2178" s="2" t="e">
        <f t="shared" si="0"/>
        <v>#VALUE!</v>
      </c>
    </row>
    <row r="2179" spans="1:5" ht="12.75" customHeight="1" x14ac:dyDescent="0.2">
      <c r="A2179" s="3"/>
      <c r="B2179" s="3" t="s">
        <v>11</v>
      </c>
      <c r="C2179" s="3" t="s">
        <v>23</v>
      </c>
      <c r="D2179" s="2"/>
      <c r="E2179" s="2" t="e">
        <f t="shared" si="0"/>
        <v>#VALUE!</v>
      </c>
    </row>
    <row r="2180" spans="1:5" ht="12.75" customHeight="1" x14ac:dyDescent="0.2">
      <c r="A2180" s="3"/>
      <c r="B2180" s="3" t="s">
        <v>16</v>
      </c>
      <c r="C2180" s="3" t="s">
        <v>388</v>
      </c>
      <c r="D2180" s="2"/>
      <c r="E2180" s="2" t="e">
        <f t="shared" si="0"/>
        <v>#VALUE!</v>
      </c>
    </row>
    <row r="2181" spans="1:5" ht="12.75" customHeight="1" x14ac:dyDescent="0.2">
      <c r="A2181" s="3"/>
      <c r="B2181" s="3" t="s">
        <v>18</v>
      </c>
      <c r="C2181" s="4" t="s">
        <v>19</v>
      </c>
      <c r="D2181" s="2"/>
      <c r="E2181" s="2" t="e">
        <f t="shared" si="0"/>
        <v>#VALUE!</v>
      </c>
    </row>
    <row r="2182" spans="1:5" ht="12.75" customHeight="1" x14ac:dyDescent="0.2">
      <c r="A2182" s="1" t="str">
        <f>HYPERLINK("javascript:void(0)","kenyérhéj")</f>
        <v>kenyérhéj</v>
      </c>
      <c r="B2182" s="1"/>
      <c r="C2182" s="1"/>
      <c r="D2182" s="2"/>
      <c r="E2182" s="2" t="e">
        <f t="shared" si="0"/>
        <v>#VALUE!</v>
      </c>
    </row>
    <row r="2183" spans="1:5" ht="12.75" customHeight="1" x14ac:dyDescent="0.2">
      <c r="A2183" s="3"/>
      <c r="B2183" s="3" t="s">
        <v>0</v>
      </c>
      <c r="C2183" s="3" t="s">
        <v>21</v>
      </c>
      <c r="D2183" s="2"/>
      <c r="E2183" s="2" t="e">
        <f t="shared" si="0"/>
        <v>#VALUE!</v>
      </c>
    </row>
    <row r="2184" spans="1:5" ht="12.75" customHeight="1" x14ac:dyDescent="0.2">
      <c r="A2184" s="3"/>
      <c r="B2184" s="3" t="s">
        <v>2</v>
      </c>
      <c r="C2184" s="3" t="s">
        <v>458</v>
      </c>
      <c r="D2184" s="2"/>
      <c r="E2184" s="2" t="e">
        <f t="shared" si="0"/>
        <v>#VALUE!</v>
      </c>
    </row>
    <row r="2185" spans="1:5" ht="12.75" customHeight="1" x14ac:dyDescent="0.2">
      <c r="A2185" s="3"/>
      <c r="B2185" s="3" t="s">
        <v>9</v>
      </c>
      <c r="C2185" s="3" t="s">
        <v>53</v>
      </c>
      <c r="D2185" s="2"/>
      <c r="E2185" s="2" t="e">
        <f t="shared" si="0"/>
        <v>#VALUE!</v>
      </c>
    </row>
    <row r="2186" spans="1:5" ht="12.75" customHeight="1" x14ac:dyDescent="0.2">
      <c r="A2186" s="3"/>
      <c r="B2186" s="3" t="s">
        <v>11</v>
      </c>
      <c r="C2186" s="3" t="s">
        <v>689</v>
      </c>
      <c r="D2186" s="2"/>
      <c r="E2186" s="2" t="e">
        <f t="shared" si="0"/>
        <v>#VALUE!</v>
      </c>
    </row>
    <row r="2187" spans="1:5" ht="12.75" customHeight="1" x14ac:dyDescent="0.2">
      <c r="A2187" s="3"/>
      <c r="B2187" s="3" t="s">
        <v>18</v>
      </c>
      <c r="C2187" s="4" t="s">
        <v>19</v>
      </c>
      <c r="D2187" s="2"/>
      <c r="E2187" s="2" t="e">
        <f t="shared" si="0"/>
        <v>#VALUE!</v>
      </c>
    </row>
    <row r="2188" spans="1:5" ht="12.75" customHeight="1" x14ac:dyDescent="0.2">
      <c r="A2188" s="1" t="str">
        <f>HYPERLINK("javascript:void(0)","kereskedő lánya")</f>
        <v>kereskedő lánya</v>
      </c>
      <c r="B2188" s="1"/>
      <c r="C2188" s="1"/>
      <c r="D2188" s="2"/>
      <c r="E2188" s="2" t="e">
        <f t="shared" si="0"/>
        <v>#VALUE!</v>
      </c>
    </row>
    <row r="2189" spans="1:5" ht="12.75" customHeight="1" x14ac:dyDescent="0.2">
      <c r="A2189" s="3"/>
      <c r="B2189" s="3" t="s">
        <v>0</v>
      </c>
      <c r="C2189" s="3" t="s">
        <v>21</v>
      </c>
      <c r="D2189" s="2"/>
      <c r="E2189" s="2" t="e">
        <f t="shared" si="0"/>
        <v>#VALUE!</v>
      </c>
    </row>
    <row r="2190" spans="1:5" ht="12.75" customHeight="1" x14ac:dyDescent="0.2">
      <c r="A2190" s="3"/>
      <c r="B2190" s="3" t="s">
        <v>2</v>
      </c>
      <c r="C2190" s="3" t="s">
        <v>387</v>
      </c>
      <c r="D2190" s="2"/>
      <c r="E2190" s="2" t="e">
        <f t="shared" si="0"/>
        <v>#VALUE!</v>
      </c>
    </row>
    <row r="2191" spans="1:5" ht="12.75" customHeight="1" x14ac:dyDescent="0.2">
      <c r="A2191" s="3"/>
      <c r="B2191" s="3" t="s">
        <v>9</v>
      </c>
      <c r="C2191" s="3" t="s">
        <v>27</v>
      </c>
      <c r="D2191" s="2"/>
      <c r="E2191" s="2" t="e">
        <f t="shared" si="0"/>
        <v>#VALUE!</v>
      </c>
    </row>
    <row r="2192" spans="1:5" ht="12.75" customHeight="1" x14ac:dyDescent="0.2">
      <c r="A2192" s="3"/>
      <c r="B2192" s="3" t="s">
        <v>11</v>
      </c>
      <c r="C2192" s="3" t="s">
        <v>23</v>
      </c>
      <c r="D2192" s="2"/>
      <c r="E2192" s="2" t="e">
        <f t="shared" si="0"/>
        <v>#VALUE!</v>
      </c>
    </row>
    <row r="2193" spans="1:5" ht="12.75" customHeight="1" x14ac:dyDescent="0.2">
      <c r="A2193" s="3"/>
      <c r="B2193" s="3" t="s">
        <v>16</v>
      </c>
      <c r="C2193" s="3" t="s">
        <v>388</v>
      </c>
      <c r="D2193" s="2"/>
      <c r="E2193" s="2" t="e">
        <f t="shared" si="0"/>
        <v>#VALUE!</v>
      </c>
    </row>
    <row r="2194" spans="1:5" ht="12.75" customHeight="1" x14ac:dyDescent="0.2">
      <c r="A2194" s="3"/>
      <c r="B2194" s="3" t="s">
        <v>18</v>
      </c>
      <c r="C2194" s="4" t="s">
        <v>19</v>
      </c>
      <c r="D2194" s="2"/>
      <c r="E2194" s="2" t="e">
        <f t="shared" si="0"/>
        <v>#VALUE!</v>
      </c>
    </row>
    <row r="2195" spans="1:5" ht="12.75" customHeight="1" x14ac:dyDescent="0.2">
      <c r="A2195" s="1" t="str">
        <f>HYPERLINK("javascript:void(0)","kifordultság")</f>
        <v>kifordultság</v>
      </c>
      <c r="B2195" s="1"/>
      <c r="C2195" s="1"/>
      <c r="D2195" s="2"/>
      <c r="E2195" s="2" t="e">
        <f t="shared" si="0"/>
        <v>#VALUE!</v>
      </c>
    </row>
    <row r="2196" spans="1:5" ht="12.75" customHeight="1" x14ac:dyDescent="0.2">
      <c r="A2196" s="3"/>
      <c r="B2196" s="3" t="s">
        <v>0</v>
      </c>
      <c r="C2196" s="3" t="s">
        <v>21</v>
      </c>
      <c r="D2196" s="2"/>
      <c r="E2196" s="2" t="e">
        <f t="shared" si="0"/>
        <v>#VALUE!</v>
      </c>
    </row>
    <row r="2197" spans="1:5" ht="12.75" customHeight="1" x14ac:dyDescent="0.2">
      <c r="A2197" s="3"/>
      <c r="B2197" s="3" t="s">
        <v>2</v>
      </c>
      <c r="C2197" s="3" t="s">
        <v>458</v>
      </c>
      <c r="D2197" s="2"/>
      <c r="E2197" s="2" t="e">
        <f t="shared" si="0"/>
        <v>#VALUE!</v>
      </c>
    </row>
    <row r="2198" spans="1:5" ht="12.75" customHeight="1" x14ac:dyDescent="0.2">
      <c r="A2198" s="3"/>
      <c r="B2198" s="3" t="s">
        <v>9</v>
      </c>
      <c r="C2198" s="3" t="s">
        <v>22</v>
      </c>
      <c r="D2198" s="2"/>
      <c r="E2198" s="2" t="e">
        <f t="shared" si="0"/>
        <v>#VALUE!</v>
      </c>
    </row>
    <row r="2199" spans="1:5" ht="12.75" customHeight="1" x14ac:dyDescent="0.2">
      <c r="A2199" s="3"/>
      <c r="B2199" s="3" t="s">
        <v>11</v>
      </c>
      <c r="C2199" s="3" t="s">
        <v>395</v>
      </c>
      <c r="D2199" s="2"/>
      <c r="E2199" s="2" t="e">
        <f t="shared" si="0"/>
        <v>#VALUE!</v>
      </c>
    </row>
    <row r="2200" spans="1:5" ht="12.75" customHeight="1" x14ac:dyDescent="0.2">
      <c r="A2200" s="3"/>
      <c r="B2200" s="3" t="s">
        <v>18</v>
      </c>
      <c r="C2200" s="4" t="s">
        <v>19</v>
      </c>
      <c r="D2200" s="2"/>
      <c r="E2200" s="2" t="e">
        <f t="shared" si="0"/>
        <v>#VALUE!</v>
      </c>
    </row>
    <row r="2201" spans="1:5" ht="12.75" customHeight="1" x14ac:dyDescent="0.2">
      <c r="A2201" s="1" t="str">
        <f>HYPERLINK("javascript:void(0)","kihunyt glória")</f>
        <v>kihunyt glória</v>
      </c>
      <c r="B2201" s="1"/>
      <c r="C2201" s="1"/>
      <c r="D2201" s="2"/>
      <c r="E2201" s="2" t="e">
        <f t="shared" si="0"/>
        <v>#VALUE!</v>
      </c>
    </row>
    <row r="2202" spans="1:5" ht="12.75" customHeight="1" x14ac:dyDescent="0.2">
      <c r="A2202" s="3"/>
      <c r="B2202" s="3" t="s">
        <v>0</v>
      </c>
      <c r="C2202" s="3" t="s">
        <v>21</v>
      </c>
      <c r="D2202" s="2"/>
      <c r="E2202" s="2" t="e">
        <f t="shared" si="0"/>
        <v>#VALUE!</v>
      </c>
    </row>
    <row r="2203" spans="1:5" ht="12.75" customHeight="1" x14ac:dyDescent="0.2">
      <c r="A2203" s="3"/>
      <c r="B2203" s="3" t="s">
        <v>2</v>
      </c>
      <c r="C2203" s="3" t="s">
        <v>458</v>
      </c>
      <c r="D2203" s="2"/>
      <c r="E2203" s="2" t="e">
        <f t="shared" si="0"/>
        <v>#VALUE!</v>
      </c>
    </row>
    <row r="2204" spans="1:5" ht="12.75" customHeight="1" x14ac:dyDescent="0.2">
      <c r="A2204" s="3"/>
      <c r="B2204" s="3" t="s">
        <v>9</v>
      </c>
      <c r="C2204" s="3" t="s">
        <v>210</v>
      </c>
      <c r="D2204" s="2"/>
      <c r="E2204" s="2" t="e">
        <f t="shared" si="0"/>
        <v>#VALUE!</v>
      </c>
    </row>
    <row r="2205" spans="1:5" ht="12.75" customHeight="1" x14ac:dyDescent="0.2">
      <c r="A2205" s="3"/>
      <c r="B2205" s="3" t="s">
        <v>11</v>
      </c>
      <c r="C2205" s="3" t="s">
        <v>974</v>
      </c>
      <c r="D2205" s="2"/>
      <c r="E2205" s="2" t="e">
        <f t="shared" si="0"/>
        <v>#VALUE!</v>
      </c>
    </row>
    <row r="2206" spans="1:5" ht="12.75" customHeight="1" x14ac:dyDescent="0.2">
      <c r="A2206" s="3"/>
      <c r="B2206" s="3" t="s">
        <v>18</v>
      </c>
      <c r="C2206" s="4" t="s">
        <v>19</v>
      </c>
      <c r="D2206" s="2"/>
      <c r="E2206" s="2" t="e">
        <f t="shared" si="0"/>
        <v>#VALUE!</v>
      </c>
    </row>
    <row r="2207" spans="1:5" ht="12.75" customHeight="1" x14ac:dyDescent="0.2">
      <c r="A2207" s="1" t="str">
        <f>HYPERLINK("javascript:void(0)","kikelet")</f>
        <v>kikelet</v>
      </c>
      <c r="B2207" s="1"/>
      <c r="C2207" s="1"/>
      <c r="D2207" s="2"/>
      <c r="E2207" s="2" t="e">
        <f t="shared" si="0"/>
        <v>#VALUE!</v>
      </c>
    </row>
    <row r="2208" spans="1:5" ht="12.75" customHeight="1" x14ac:dyDescent="0.2">
      <c r="A2208" s="3"/>
      <c r="B2208" s="3" t="s">
        <v>0</v>
      </c>
      <c r="C2208" s="3" t="s">
        <v>21</v>
      </c>
      <c r="D2208" s="2"/>
      <c r="E2208" s="2" t="e">
        <f t="shared" si="0"/>
        <v>#VALUE!</v>
      </c>
    </row>
    <row r="2209" spans="1:5" ht="12.75" customHeight="1" x14ac:dyDescent="0.2">
      <c r="A2209" s="3"/>
      <c r="B2209" s="3" t="s">
        <v>2</v>
      </c>
      <c r="C2209" s="3" t="s">
        <v>458</v>
      </c>
      <c r="D2209" s="2"/>
      <c r="E2209" s="2" t="e">
        <f t="shared" si="0"/>
        <v>#VALUE!</v>
      </c>
    </row>
    <row r="2210" spans="1:5" ht="12.75" customHeight="1" x14ac:dyDescent="0.2">
      <c r="A2210" s="3"/>
      <c r="B2210" s="3" t="s">
        <v>9</v>
      </c>
      <c r="C2210" s="3" t="s">
        <v>1195</v>
      </c>
      <c r="D2210" s="2"/>
      <c r="E2210" s="2" t="e">
        <f t="shared" si="0"/>
        <v>#VALUE!</v>
      </c>
    </row>
    <row r="2211" spans="1:5" ht="12.75" customHeight="1" x14ac:dyDescent="0.2">
      <c r="A2211" s="3"/>
      <c r="B2211" s="3" t="s">
        <v>11</v>
      </c>
      <c r="C2211" s="3" t="s">
        <v>1197</v>
      </c>
      <c r="D2211" s="2"/>
      <c r="E2211" s="2" t="e">
        <f t="shared" si="0"/>
        <v>#VALUE!</v>
      </c>
    </row>
    <row r="2212" spans="1:5" ht="12.75" customHeight="1" x14ac:dyDescent="0.2">
      <c r="A2212" s="3"/>
      <c r="B2212" s="3" t="s">
        <v>18</v>
      </c>
      <c r="C2212" s="4" t="s">
        <v>19</v>
      </c>
      <c r="D2212" s="2"/>
      <c r="E2212" s="2" t="e">
        <f t="shared" si="0"/>
        <v>#VALUE!</v>
      </c>
    </row>
    <row r="2213" spans="1:5" ht="12.75" customHeight="1" x14ac:dyDescent="0.2">
      <c r="A2213" s="1" t="str">
        <f>HYPERLINK("javascript:void(0)","kincs")</f>
        <v>kincs</v>
      </c>
      <c r="B2213" s="1"/>
      <c r="C2213" s="1"/>
      <c r="D2213" s="2"/>
      <c r="E2213" s="2" t="e">
        <f t="shared" si="0"/>
        <v>#VALUE!</v>
      </c>
    </row>
    <row r="2214" spans="1:5" ht="12.75" customHeight="1" x14ac:dyDescent="0.2">
      <c r="A2214" s="3"/>
      <c r="B2214" s="3" t="s">
        <v>0</v>
      </c>
      <c r="C2214" s="3" t="s">
        <v>21</v>
      </c>
      <c r="D2214" s="2"/>
      <c r="E2214" s="2" t="e">
        <f t="shared" si="0"/>
        <v>#VALUE!</v>
      </c>
    </row>
    <row r="2215" spans="1:5" ht="12.75" customHeight="1" x14ac:dyDescent="0.2">
      <c r="A2215" s="3"/>
      <c r="B2215" s="3" t="s">
        <v>2</v>
      </c>
      <c r="C2215" s="3" t="s">
        <v>458</v>
      </c>
      <c r="D2215" s="2"/>
      <c r="E2215" s="2" t="e">
        <f t="shared" si="0"/>
        <v>#VALUE!</v>
      </c>
    </row>
    <row r="2216" spans="1:5" ht="12.75" customHeight="1" x14ac:dyDescent="0.2">
      <c r="A2216" s="3"/>
      <c r="B2216" s="3" t="s">
        <v>9</v>
      </c>
      <c r="C2216" s="3" t="s">
        <v>565</v>
      </c>
      <c r="D2216" s="2"/>
      <c r="E2216" s="2" t="e">
        <f t="shared" si="0"/>
        <v>#VALUE!</v>
      </c>
    </row>
    <row r="2217" spans="1:5" ht="12.75" customHeight="1" x14ac:dyDescent="0.2">
      <c r="A2217" s="3"/>
      <c r="B2217" s="3" t="s">
        <v>11</v>
      </c>
      <c r="C2217" s="3" t="s">
        <v>695</v>
      </c>
      <c r="D2217" s="2"/>
      <c r="E2217" s="2" t="e">
        <f t="shared" si="0"/>
        <v>#VALUE!</v>
      </c>
    </row>
    <row r="2218" spans="1:5" ht="12.75" customHeight="1" x14ac:dyDescent="0.2">
      <c r="A2218" s="3"/>
      <c r="B2218" s="3" t="s">
        <v>18</v>
      </c>
      <c r="C2218" s="4" t="s">
        <v>19</v>
      </c>
      <c r="D2218" s="2"/>
      <c r="E2218" s="2" t="e">
        <f t="shared" si="0"/>
        <v>#VALUE!</v>
      </c>
    </row>
    <row r="2219" spans="1:5" ht="12.75" customHeight="1" x14ac:dyDescent="0.2">
      <c r="A2219" s="1" t="str">
        <f>HYPERLINK("javascript:void(0)","kincses tetőcserép")</f>
        <v>kincses tetőcserép</v>
      </c>
      <c r="B2219" s="1"/>
      <c r="C2219" s="1"/>
      <c r="D2219" s="1"/>
      <c r="E2219" s="2" t="e">
        <f t="shared" si="0"/>
        <v>#VALUE!</v>
      </c>
    </row>
    <row r="2220" spans="1:5" ht="12.75" customHeight="1" x14ac:dyDescent="0.2">
      <c r="A2220" s="3"/>
      <c r="B2220" s="3" t="s">
        <v>0</v>
      </c>
      <c r="C2220" s="3" t="s">
        <v>21</v>
      </c>
      <c r="D2220" s="3"/>
      <c r="E2220" s="2" t="e">
        <f t="shared" si="0"/>
        <v>#VALUE!</v>
      </c>
    </row>
    <row r="2221" spans="1:5" ht="12.75" customHeight="1" x14ac:dyDescent="0.2">
      <c r="A2221" s="3"/>
      <c r="B2221" s="3" t="s">
        <v>2</v>
      </c>
      <c r="C2221" s="3" t="s">
        <v>387</v>
      </c>
      <c r="D2221" s="3"/>
      <c r="E2221" s="2" t="e">
        <f t="shared" si="0"/>
        <v>#VALUE!</v>
      </c>
    </row>
    <row r="2222" spans="1:5" ht="12.75" customHeight="1" x14ac:dyDescent="0.2">
      <c r="A2222" s="3"/>
      <c r="B2222" s="3" t="s">
        <v>9</v>
      </c>
      <c r="C2222" s="3" t="s">
        <v>1112</v>
      </c>
      <c r="D2222" s="3"/>
      <c r="E2222" s="2" t="e">
        <f t="shared" si="0"/>
        <v>#VALUE!</v>
      </c>
    </row>
    <row r="2223" spans="1:5" ht="12.75" customHeight="1" x14ac:dyDescent="0.2">
      <c r="A2223" s="3"/>
      <c r="B2223" s="3" t="s">
        <v>11</v>
      </c>
      <c r="C2223" s="3" t="s">
        <v>23</v>
      </c>
      <c r="D2223" s="3"/>
      <c r="E2223" s="2" t="e">
        <f t="shared" si="0"/>
        <v>#VALUE!</v>
      </c>
    </row>
    <row r="2224" spans="1:5" ht="12.75" customHeight="1" x14ac:dyDescent="0.2">
      <c r="A2224" s="3"/>
      <c r="B2224" s="3" t="s">
        <v>16</v>
      </c>
      <c r="C2224" s="3" t="s">
        <v>388</v>
      </c>
      <c r="D2224" s="3"/>
      <c r="E2224" s="2" t="e">
        <f t="shared" si="0"/>
        <v>#VALUE!</v>
      </c>
    </row>
    <row r="2225" spans="1:5" ht="12.75" customHeight="1" x14ac:dyDescent="0.2">
      <c r="A2225" s="3"/>
      <c r="B2225" s="3" t="s">
        <v>18</v>
      </c>
      <c r="C2225" s="4" t="s">
        <v>57</v>
      </c>
      <c r="D2225" s="6" t="str">
        <f>HYPERLINK("javascript:void(0)","kincsgúla")</f>
        <v>kincsgúla</v>
      </c>
      <c r="E2225" s="2" t="e">
        <f t="shared" si="0"/>
        <v>#VALUE!</v>
      </c>
    </row>
    <row r="2226" spans="1:5" ht="12.75" customHeight="1" x14ac:dyDescent="0.2">
      <c r="A2226" s="1" t="str">
        <f>HYPERLINK("javascript:void(0)","király gyűrűje")</f>
        <v>király gyűrűje</v>
      </c>
      <c r="B2226" s="1"/>
      <c r="C2226" s="1"/>
      <c r="D2226" s="2"/>
      <c r="E2226" s="2" t="e">
        <f t="shared" si="0"/>
        <v>#VALUE!</v>
      </c>
    </row>
    <row r="2227" spans="1:5" ht="12.75" customHeight="1" x14ac:dyDescent="0.2">
      <c r="A2227" s="3"/>
      <c r="B2227" s="3" t="s">
        <v>0</v>
      </c>
      <c r="C2227" s="3" t="s">
        <v>21</v>
      </c>
      <c r="D2227" s="2"/>
      <c r="E2227" s="2" t="e">
        <f t="shared" si="0"/>
        <v>#VALUE!</v>
      </c>
    </row>
    <row r="2228" spans="1:5" ht="12.75" customHeight="1" x14ac:dyDescent="0.2">
      <c r="A2228" s="3"/>
      <c r="B2228" s="3" t="s">
        <v>2</v>
      </c>
      <c r="C2228" s="3" t="s">
        <v>387</v>
      </c>
      <c r="D2228" s="2"/>
      <c r="E2228" s="2" t="e">
        <f t="shared" si="0"/>
        <v>#VALUE!</v>
      </c>
    </row>
    <row r="2229" spans="1:5" ht="12.75" customHeight="1" x14ac:dyDescent="0.2">
      <c r="A2229" s="3"/>
      <c r="B2229" s="3" t="s">
        <v>9</v>
      </c>
      <c r="C2229" s="3" t="s">
        <v>53</v>
      </c>
      <c r="D2229" s="2"/>
      <c r="E2229" s="2" t="e">
        <f t="shared" si="0"/>
        <v>#VALUE!</v>
      </c>
    </row>
    <row r="2230" spans="1:5" ht="12.75" customHeight="1" x14ac:dyDescent="0.2">
      <c r="A2230" s="3"/>
      <c r="B2230" s="3" t="s">
        <v>11</v>
      </c>
      <c r="C2230" s="3" t="s">
        <v>23</v>
      </c>
      <c r="D2230" s="2"/>
      <c r="E2230" s="2" t="e">
        <f t="shared" si="0"/>
        <v>#VALUE!</v>
      </c>
    </row>
    <row r="2231" spans="1:5" ht="12.75" customHeight="1" x14ac:dyDescent="0.2">
      <c r="A2231" s="3"/>
      <c r="B2231" s="3" t="s">
        <v>16</v>
      </c>
      <c r="C2231" s="3" t="s">
        <v>388</v>
      </c>
      <c r="D2231" s="2"/>
      <c r="E2231" s="2" t="e">
        <f t="shared" si="0"/>
        <v>#VALUE!</v>
      </c>
    </row>
    <row r="2232" spans="1:5" ht="12.75" customHeight="1" x14ac:dyDescent="0.2">
      <c r="A2232" s="3"/>
      <c r="B2232" s="3" t="s">
        <v>18</v>
      </c>
      <c r="C2232" s="4" t="s">
        <v>19</v>
      </c>
      <c r="D2232" s="2"/>
      <c r="E2232" s="2" t="e">
        <f t="shared" si="0"/>
        <v>#VALUE!</v>
      </c>
    </row>
    <row r="2233" spans="1:5" ht="12.75" customHeight="1" x14ac:dyDescent="0.2">
      <c r="A2233" s="1" t="str">
        <f>HYPERLINK("javascript:void(0)","kispárna")</f>
        <v>kispárna</v>
      </c>
      <c r="B2233" s="1"/>
      <c r="C2233" s="1"/>
      <c r="D2233" s="2"/>
      <c r="E2233" s="2" t="e">
        <f t="shared" si="0"/>
        <v>#VALUE!</v>
      </c>
    </row>
    <row r="2234" spans="1:5" ht="12.75" customHeight="1" x14ac:dyDescent="0.2">
      <c r="A2234" s="3"/>
      <c r="B2234" s="3" t="s">
        <v>0</v>
      </c>
      <c r="C2234" s="3" t="s">
        <v>21</v>
      </c>
      <c r="D2234" s="2"/>
      <c r="E2234" s="2" t="e">
        <f t="shared" si="0"/>
        <v>#VALUE!</v>
      </c>
    </row>
    <row r="2235" spans="1:5" ht="12.75" customHeight="1" x14ac:dyDescent="0.2">
      <c r="A2235" s="3"/>
      <c r="B2235" s="3" t="s">
        <v>2</v>
      </c>
      <c r="C2235" s="3" t="s">
        <v>458</v>
      </c>
      <c r="D2235" s="2"/>
      <c r="E2235" s="2" t="e">
        <f t="shared" si="0"/>
        <v>#VALUE!</v>
      </c>
    </row>
    <row r="2236" spans="1:5" ht="12.75" customHeight="1" x14ac:dyDescent="0.2">
      <c r="A2236" s="3"/>
      <c r="B2236" s="3" t="s">
        <v>9</v>
      </c>
      <c r="C2236" s="3" t="s">
        <v>590</v>
      </c>
      <c r="D2236" s="2"/>
      <c r="E2236" s="2" t="e">
        <f t="shared" si="0"/>
        <v>#VALUE!</v>
      </c>
    </row>
    <row r="2237" spans="1:5" ht="12.75" customHeight="1" x14ac:dyDescent="0.2">
      <c r="A2237" s="3"/>
      <c r="B2237" s="3" t="s">
        <v>11</v>
      </c>
      <c r="C2237" s="3" t="s">
        <v>227</v>
      </c>
      <c r="D2237" s="2"/>
      <c r="E2237" s="2" t="e">
        <f t="shared" si="0"/>
        <v>#VALUE!</v>
      </c>
    </row>
    <row r="2238" spans="1:5" ht="12.75" customHeight="1" x14ac:dyDescent="0.2">
      <c r="A2238" s="3"/>
      <c r="B2238" s="3" t="s">
        <v>18</v>
      </c>
      <c r="C2238" s="4" t="s">
        <v>19</v>
      </c>
      <c r="D2238" s="2"/>
      <c r="E2238" s="2" t="e">
        <f t="shared" si="0"/>
        <v>#VALUE!</v>
      </c>
    </row>
    <row r="2239" spans="1:5" ht="12.75" customHeight="1" x14ac:dyDescent="0.2">
      <c r="A2239" s="1" t="str">
        <f>HYPERLINK("javascript:void(0)","kithrill")</f>
        <v>kithrill</v>
      </c>
      <c r="B2239" s="1"/>
      <c r="C2239" s="1"/>
      <c r="D2239" s="2"/>
      <c r="E2239" s="2" t="e">
        <f t="shared" si="0"/>
        <v>#VALUE!</v>
      </c>
    </row>
    <row r="2240" spans="1:5" ht="12.75" customHeight="1" x14ac:dyDescent="0.2">
      <c r="A2240" s="3"/>
      <c r="B2240" s="3" t="s">
        <v>0</v>
      </c>
      <c r="C2240" s="3" t="s">
        <v>21</v>
      </c>
      <c r="D2240" s="2"/>
      <c r="E2240" s="2" t="e">
        <f t="shared" si="0"/>
        <v>#VALUE!</v>
      </c>
    </row>
    <row r="2241" spans="1:5" ht="12.75" customHeight="1" x14ac:dyDescent="0.2">
      <c r="A2241" s="3"/>
      <c r="B2241" s="3" t="s">
        <v>2</v>
      </c>
      <c r="C2241" s="3" t="s">
        <v>458</v>
      </c>
      <c r="D2241" s="2"/>
      <c r="E2241" s="2" t="e">
        <f t="shared" si="0"/>
        <v>#VALUE!</v>
      </c>
    </row>
    <row r="2242" spans="1:5" ht="12.75" customHeight="1" x14ac:dyDescent="0.2">
      <c r="A2242" s="3"/>
      <c r="B2242" s="3" t="s">
        <v>9</v>
      </c>
      <c r="C2242" s="3" t="s">
        <v>137</v>
      </c>
      <c r="D2242" s="2"/>
      <c r="E2242" s="2" t="e">
        <f t="shared" si="0"/>
        <v>#VALUE!</v>
      </c>
    </row>
    <row r="2243" spans="1:5" ht="12.75" customHeight="1" x14ac:dyDescent="0.2">
      <c r="A2243" s="3"/>
      <c r="B2243" s="3" t="s">
        <v>11</v>
      </c>
      <c r="C2243" s="3" t="s">
        <v>457</v>
      </c>
      <c r="D2243" s="2"/>
      <c r="E2243" s="2" t="e">
        <f t="shared" si="0"/>
        <v>#VALUE!</v>
      </c>
    </row>
    <row r="2244" spans="1:5" ht="12.75" customHeight="1" x14ac:dyDescent="0.2">
      <c r="A2244" s="3"/>
      <c r="B2244" s="3" t="s">
        <v>18</v>
      </c>
      <c r="C2244" s="4" t="s">
        <v>19</v>
      </c>
      <c r="D2244" s="2"/>
      <c r="E2244" s="2" t="e">
        <f t="shared" si="0"/>
        <v>#VALUE!</v>
      </c>
    </row>
    <row r="2245" spans="1:5" ht="12.75" customHeight="1" x14ac:dyDescent="0.2">
      <c r="A2245" s="1" t="str">
        <f>HYPERLINK("javascript:void(0)","kitintüske")</f>
        <v>kitintüske</v>
      </c>
      <c r="B2245" s="1"/>
      <c r="C2245" s="1"/>
      <c r="D2245" s="2"/>
      <c r="E2245" s="2" t="e">
        <f t="shared" si="0"/>
        <v>#VALUE!</v>
      </c>
    </row>
    <row r="2246" spans="1:5" ht="12.75" customHeight="1" x14ac:dyDescent="0.2">
      <c r="A2246" s="3"/>
      <c r="B2246" s="3" t="s">
        <v>0</v>
      </c>
      <c r="C2246" s="3" t="s">
        <v>21</v>
      </c>
      <c r="D2246" s="2"/>
      <c r="E2246" s="2" t="e">
        <f t="shared" si="0"/>
        <v>#VALUE!</v>
      </c>
    </row>
    <row r="2247" spans="1:5" ht="12.75" customHeight="1" x14ac:dyDescent="0.2">
      <c r="A2247" s="3"/>
      <c r="B2247" s="3" t="s">
        <v>2</v>
      </c>
      <c r="C2247" s="3" t="s">
        <v>458</v>
      </c>
      <c r="D2247" s="2"/>
      <c r="E2247" s="2" t="e">
        <f t="shared" si="0"/>
        <v>#VALUE!</v>
      </c>
    </row>
    <row r="2248" spans="1:5" ht="12.75" customHeight="1" x14ac:dyDescent="0.2">
      <c r="A2248" s="3"/>
      <c r="B2248" s="3" t="s">
        <v>9</v>
      </c>
      <c r="C2248" s="3" t="s">
        <v>704</v>
      </c>
      <c r="D2248" s="2"/>
      <c r="E2248" s="2" t="e">
        <f t="shared" si="0"/>
        <v>#VALUE!</v>
      </c>
    </row>
    <row r="2249" spans="1:5" ht="12.75" customHeight="1" x14ac:dyDescent="0.2">
      <c r="A2249" s="3"/>
      <c r="B2249" s="3" t="s">
        <v>11</v>
      </c>
      <c r="C2249" s="3" t="s">
        <v>1210</v>
      </c>
      <c r="D2249" s="2"/>
      <c r="E2249" s="2" t="e">
        <f t="shared" si="0"/>
        <v>#VALUE!</v>
      </c>
    </row>
    <row r="2250" spans="1:5" ht="12.75" customHeight="1" x14ac:dyDescent="0.2">
      <c r="A2250" s="3"/>
      <c r="B2250" s="3" t="s">
        <v>18</v>
      </c>
      <c r="C2250" s="4" t="s">
        <v>19</v>
      </c>
      <c r="D2250" s="2"/>
      <c r="E2250" s="2" t="e">
        <f t="shared" si="0"/>
        <v>#VALUE!</v>
      </c>
    </row>
    <row r="2251" spans="1:5" ht="12.75" customHeight="1" x14ac:dyDescent="0.2">
      <c r="A2251" s="1" t="str">
        <f>HYPERLINK("javascript:void(0)","kiáltvány")</f>
        <v>kiáltvány</v>
      </c>
      <c r="B2251" s="1"/>
      <c r="C2251" s="1"/>
      <c r="D2251" s="2"/>
      <c r="E2251" s="2" t="e">
        <f t="shared" si="0"/>
        <v>#VALUE!</v>
      </c>
    </row>
    <row r="2252" spans="1:5" ht="12.75" customHeight="1" x14ac:dyDescent="0.2">
      <c r="A2252" s="3"/>
      <c r="B2252" s="3" t="s">
        <v>0</v>
      </c>
      <c r="C2252" s="3" t="s">
        <v>21</v>
      </c>
      <c r="D2252" s="2"/>
      <c r="E2252" s="2" t="e">
        <f t="shared" si="0"/>
        <v>#VALUE!</v>
      </c>
    </row>
    <row r="2253" spans="1:5" ht="12.75" customHeight="1" x14ac:dyDescent="0.2">
      <c r="A2253" s="3"/>
      <c r="B2253" s="3" t="s">
        <v>2</v>
      </c>
      <c r="C2253" s="3" t="s">
        <v>387</v>
      </c>
      <c r="D2253" s="2"/>
      <c r="E2253" s="2" t="e">
        <f t="shared" si="0"/>
        <v>#VALUE!</v>
      </c>
    </row>
    <row r="2254" spans="1:5" ht="12.75" customHeight="1" x14ac:dyDescent="0.2">
      <c r="A2254" s="3"/>
      <c r="B2254" s="3" t="s">
        <v>9</v>
      </c>
      <c r="C2254" s="3" t="s">
        <v>137</v>
      </c>
      <c r="D2254" s="2"/>
      <c r="E2254" s="2" t="e">
        <f t="shared" si="0"/>
        <v>#VALUE!</v>
      </c>
    </row>
    <row r="2255" spans="1:5" ht="12.75" customHeight="1" x14ac:dyDescent="0.2">
      <c r="A2255" s="3"/>
      <c r="B2255" s="3" t="s">
        <v>11</v>
      </c>
      <c r="C2255" s="3" t="s">
        <v>23</v>
      </c>
      <c r="D2255" s="2"/>
      <c r="E2255" s="2" t="e">
        <f t="shared" si="0"/>
        <v>#VALUE!</v>
      </c>
    </row>
    <row r="2256" spans="1:5" ht="12.75" customHeight="1" x14ac:dyDescent="0.2">
      <c r="A2256" s="3"/>
      <c r="B2256" s="3" t="s">
        <v>16</v>
      </c>
      <c r="C2256" s="3" t="s">
        <v>388</v>
      </c>
      <c r="D2256" s="2"/>
      <c r="E2256" s="2" t="e">
        <f t="shared" si="0"/>
        <v>#VALUE!</v>
      </c>
    </row>
    <row r="2257" spans="1:5" ht="12.75" customHeight="1" x14ac:dyDescent="0.2">
      <c r="A2257" s="3"/>
      <c r="B2257" s="3" t="s">
        <v>18</v>
      </c>
      <c r="C2257" s="4" t="s">
        <v>19</v>
      </c>
      <c r="D2257" s="2"/>
      <c r="E2257" s="2" t="e">
        <f t="shared" si="0"/>
        <v>#VALUE!</v>
      </c>
    </row>
    <row r="2258" spans="1:5" ht="12.75" customHeight="1" x14ac:dyDescent="0.2">
      <c r="A2258" s="1" t="str">
        <f>HYPERLINK("javascript:void(0)","klopfoló henger")</f>
        <v>klopfoló henger</v>
      </c>
      <c r="B2258" s="1"/>
      <c r="C2258" s="1"/>
      <c r="D2258" s="2"/>
      <c r="E2258" s="2" t="e">
        <f t="shared" si="0"/>
        <v>#VALUE!</v>
      </c>
    </row>
    <row r="2259" spans="1:5" ht="12.75" customHeight="1" x14ac:dyDescent="0.2">
      <c r="A2259" s="3"/>
      <c r="B2259" s="3" t="s">
        <v>0</v>
      </c>
      <c r="C2259" s="3" t="s">
        <v>21</v>
      </c>
      <c r="D2259" s="2"/>
      <c r="E2259" s="2" t="e">
        <f t="shared" si="0"/>
        <v>#VALUE!</v>
      </c>
    </row>
    <row r="2260" spans="1:5" ht="12.75" customHeight="1" x14ac:dyDescent="0.2">
      <c r="A2260" s="3"/>
      <c r="B2260" s="3" t="s">
        <v>2</v>
      </c>
      <c r="C2260" s="3" t="s">
        <v>458</v>
      </c>
      <c r="D2260" s="2"/>
      <c r="E2260" s="2" t="e">
        <f t="shared" si="0"/>
        <v>#VALUE!</v>
      </c>
    </row>
    <row r="2261" spans="1:5" ht="12.75" customHeight="1" x14ac:dyDescent="0.2">
      <c r="A2261" s="3"/>
      <c r="B2261" s="3" t="s">
        <v>9</v>
      </c>
      <c r="C2261" s="3" t="s">
        <v>249</v>
      </c>
      <c r="D2261" s="2"/>
      <c r="E2261" s="2" t="e">
        <f t="shared" si="0"/>
        <v>#VALUE!</v>
      </c>
    </row>
    <row r="2262" spans="1:5" ht="12.75" customHeight="1" x14ac:dyDescent="0.2">
      <c r="A2262" s="3"/>
      <c r="B2262" s="3" t="s">
        <v>11</v>
      </c>
      <c r="C2262" s="3" t="s">
        <v>610</v>
      </c>
      <c r="D2262" s="2"/>
      <c r="E2262" s="2" t="e">
        <f t="shared" si="0"/>
        <v>#VALUE!</v>
      </c>
    </row>
    <row r="2263" spans="1:5" ht="12.75" customHeight="1" x14ac:dyDescent="0.2">
      <c r="A2263" s="3"/>
      <c r="B2263" s="3" t="s">
        <v>18</v>
      </c>
      <c r="C2263" s="4" t="s">
        <v>19</v>
      </c>
      <c r="D2263" s="2"/>
      <c r="E2263" s="2" t="e">
        <f t="shared" si="0"/>
        <v>#VALUE!</v>
      </c>
    </row>
    <row r="2264" spans="1:5" ht="12.75" customHeight="1" x14ac:dyDescent="0.2">
      <c r="A2264" s="1" t="str">
        <f>HYPERLINK("javascript:void(0)","klánház alapköve")</f>
        <v>klánház alapköve</v>
      </c>
      <c r="B2264" s="1"/>
      <c r="C2264" s="1"/>
      <c r="D2264" s="2"/>
      <c r="E2264" s="2" t="e">
        <f t="shared" si="0"/>
        <v>#VALUE!</v>
      </c>
    </row>
    <row r="2265" spans="1:5" ht="12.75" customHeight="1" x14ac:dyDescent="0.2">
      <c r="A2265" s="3"/>
      <c r="B2265" s="3" t="s">
        <v>0</v>
      </c>
      <c r="C2265" s="3" t="s">
        <v>21</v>
      </c>
      <c r="D2265" s="2"/>
      <c r="E2265" s="2" t="e">
        <f t="shared" si="0"/>
        <v>#VALUE!</v>
      </c>
    </row>
    <row r="2266" spans="1:5" ht="12.75" customHeight="1" x14ac:dyDescent="0.2">
      <c r="A2266" s="3"/>
      <c r="B2266" s="3" t="s">
        <v>2</v>
      </c>
      <c r="C2266" s="3" t="s">
        <v>387</v>
      </c>
      <c r="D2266" s="2"/>
      <c r="E2266" s="2" t="e">
        <f t="shared" si="0"/>
        <v>#VALUE!</v>
      </c>
    </row>
    <row r="2267" spans="1:5" ht="12.75" customHeight="1" x14ac:dyDescent="0.2">
      <c r="A2267" s="3"/>
      <c r="B2267" s="3" t="s">
        <v>9</v>
      </c>
      <c r="C2267" s="3" t="s">
        <v>250</v>
      </c>
      <c r="D2267" s="2"/>
      <c r="E2267" s="2" t="e">
        <f t="shared" si="0"/>
        <v>#VALUE!</v>
      </c>
    </row>
    <row r="2268" spans="1:5" ht="12.75" customHeight="1" x14ac:dyDescent="0.2">
      <c r="A2268" s="3"/>
      <c r="B2268" s="3" t="s">
        <v>11</v>
      </c>
      <c r="C2268" s="3" t="s">
        <v>23</v>
      </c>
      <c r="D2268" s="2"/>
      <c r="E2268" s="2" t="e">
        <f t="shared" si="0"/>
        <v>#VALUE!</v>
      </c>
    </row>
    <row r="2269" spans="1:5" ht="12.75" customHeight="1" x14ac:dyDescent="0.2">
      <c r="A2269" s="3"/>
      <c r="B2269" s="3" t="s">
        <v>16</v>
      </c>
      <c r="C2269" s="3" t="s">
        <v>388</v>
      </c>
      <c r="D2269" s="2"/>
      <c r="E2269" s="2" t="e">
        <f t="shared" si="0"/>
        <v>#VALUE!</v>
      </c>
    </row>
    <row r="2270" spans="1:5" ht="12.75" customHeight="1" x14ac:dyDescent="0.2">
      <c r="A2270" s="3"/>
      <c r="B2270" s="3" t="s">
        <v>18</v>
      </c>
      <c r="C2270" s="4" t="s">
        <v>19</v>
      </c>
      <c r="D2270" s="2"/>
      <c r="E2270" s="2" t="e">
        <f t="shared" si="0"/>
        <v>#VALUE!</v>
      </c>
    </row>
    <row r="2271" spans="1:5" ht="12.75" customHeight="1" x14ac:dyDescent="0.2">
      <c r="A2271" s="1" t="str">
        <f>HYPERLINK("javascript:void(0)","klónkő")</f>
        <v>klónkő</v>
      </c>
      <c r="B2271" s="1"/>
      <c r="C2271" s="1"/>
      <c r="D2271" s="2"/>
      <c r="E2271" s="2" t="e">
        <f t="shared" si="0"/>
        <v>#VALUE!</v>
      </c>
    </row>
    <row r="2272" spans="1:5" ht="12.75" customHeight="1" x14ac:dyDescent="0.2">
      <c r="A2272" s="3"/>
      <c r="B2272" s="3" t="s">
        <v>0</v>
      </c>
      <c r="C2272" s="3" t="s">
        <v>21</v>
      </c>
      <c r="D2272" s="2"/>
      <c r="E2272" s="2" t="e">
        <f t="shared" si="0"/>
        <v>#VALUE!</v>
      </c>
    </row>
    <row r="2273" spans="1:5" ht="12.75" customHeight="1" x14ac:dyDescent="0.2">
      <c r="A2273" s="3"/>
      <c r="B2273" s="3" t="s">
        <v>2</v>
      </c>
      <c r="C2273" s="3" t="s">
        <v>440</v>
      </c>
      <c r="D2273" s="2"/>
      <c r="E2273" s="2" t="e">
        <f t="shared" si="0"/>
        <v>#VALUE!</v>
      </c>
    </row>
    <row r="2274" spans="1:5" ht="12.75" customHeight="1" x14ac:dyDescent="0.2">
      <c r="A2274" s="3"/>
      <c r="B2274" s="3" t="s">
        <v>9</v>
      </c>
      <c r="C2274" s="3" t="s">
        <v>84</v>
      </c>
      <c r="D2274" s="2"/>
      <c r="E2274" s="2" t="e">
        <f t="shared" si="0"/>
        <v>#VALUE!</v>
      </c>
    </row>
    <row r="2275" spans="1:5" ht="12.75" customHeight="1" x14ac:dyDescent="0.2">
      <c r="A2275" s="3"/>
      <c r="B2275" s="3" t="s">
        <v>11</v>
      </c>
      <c r="C2275" s="3" t="s">
        <v>31</v>
      </c>
      <c r="D2275" s="2"/>
      <c r="E2275" s="2" t="e">
        <f t="shared" si="0"/>
        <v>#VALUE!</v>
      </c>
    </row>
    <row r="2276" spans="1:5" ht="12.75" customHeight="1" x14ac:dyDescent="0.2">
      <c r="A2276" s="3"/>
      <c r="B2276" s="3" t="s">
        <v>16</v>
      </c>
      <c r="C2276" s="3" t="s">
        <v>1219</v>
      </c>
      <c r="D2276" s="2"/>
      <c r="E2276" s="2" t="e">
        <f t="shared" si="0"/>
        <v>#VALUE!</v>
      </c>
    </row>
    <row r="2277" spans="1:5" ht="12.75" customHeight="1" x14ac:dyDescent="0.2">
      <c r="A2277" s="3"/>
      <c r="B2277" s="3" t="s">
        <v>18</v>
      </c>
      <c r="C2277" s="4" t="s">
        <v>19</v>
      </c>
      <c r="D2277" s="2"/>
      <c r="E2277" s="2" t="e">
        <f t="shared" si="0"/>
        <v>#VALUE!</v>
      </c>
    </row>
    <row r="2278" spans="1:5" ht="12.75" customHeight="1" x14ac:dyDescent="0.2">
      <c r="A2278" s="1" t="str">
        <f>HYPERLINK("javascript:void(0)","kobaltpikkely")</f>
        <v>kobaltpikkely</v>
      </c>
      <c r="B2278" s="1"/>
      <c r="C2278" s="1"/>
      <c r="D2278" s="2"/>
      <c r="E2278" s="2" t="e">
        <f t="shared" si="0"/>
        <v>#VALUE!</v>
      </c>
    </row>
    <row r="2279" spans="1:5" ht="12.75" customHeight="1" x14ac:dyDescent="0.2">
      <c r="A2279" s="3"/>
      <c r="B2279" s="3" t="s">
        <v>0</v>
      </c>
      <c r="C2279" s="3" t="s">
        <v>21</v>
      </c>
      <c r="D2279" s="2"/>
      <c r="E2279" s="2" t="e">
        <f t="shared" si="0"/>
        <v>#VALUE!</v>
      </c>
    </row>
    <row r="2280" spans="1:5" ht="12.75" customHeight="1" x14ac:dyDescent="0.2">
      <c r="A2280" s="3"/>
      <c r="B2280" s="3" t="s">
        <v>2</v>
      </c>
      <c r="C2280" s="3" t="s">
        <v>458</v>
      </c>
      <c r="D2280" s="2"/>
      <c r="E2280" s="2" t="e">
        <f t="shared" si="0"/>
        <v>#VALUE!</v>
      </c>
    </row>
    <row r="2281" spans="1:5" ht="12.75" customHeight="1" x14ac:dyDescent="0.2">
      <c r="A2281" s="3"/>
      <c r="B2281" s="3" t="s">
        <v>9</v>
      </c>
      <c r="C2281" s="3" t="s">
        <v>22</v>
      </c>
      <c r="D2281" s="2"/>
      <c r="E2281" s="2" t="e">
        <f t="shared" si="0"/>
        <v>#VALUE!</v>
      </c>
    </row>
    <row r="2282" spans="1:5" ht="12.75" customHeight="1" x14ac:dyDescent="0.2">
      <c r="A2282" s="3"/>
      <c r="B2282" s="3" t="s">
        <v>11</v>
      </c>
      <c r="C2282" s="3" t="s">
        <v>23</v>
      </c>
      <c r="D2282" s="2"/>
      <c r="E2282" s="2" t="e">
        <f t="shared" si="0"/>
        <v>#VALUE!</v>
      </c>
    </row>
    <row r="2283" spans="1:5" ht="12.75" customHeight="1" x14ac:dyDescent="0.2">
      <c r="A2283" s="3"/>
      <c r="B2283" s="3" t="s">
        <v>16</v>
      </c>
      <c r="C2283" s="3" t="s">
        <v>574</v>
      </c>
      <c r="D2283" s="2"/>
      <c r="E2283" s="2" t="e">
        <f t="shared" si="0"/>
        <v>#VALUE!</v>
      </c>
    </row>
    <row r="2284" spans="1:5" ht="12.75" customHeight="1" x14ac:dyDescent="0.2">
      <c r="A2284" s="3"/>
      <c r="B2284" s="3" t="s">
        <v>18</v>
      </c>
      <c r="C2284" s="4" t="s">
        <v>19</v>
      </c>
      <c r="D2284" s="2"/>
      <c r="E2284" s="2" t="e">
        <f t="shared" si="0"/>
        <v>#VALUE!</v>
      </c>
    </row>
    <row r="2285" spans="1:5" ht="12.75" customHeight="1" x14ac:dyDescent="0.2">
      <c r="A2285" s="1" t="str">
        <f>HYPERLINK("javascript:void(0)","koboldszív")</f>
        <v>koboldszív</v>
      </c>
      <c r="B2285" s="1"/>
      <c r="C2285" s="1"/>
      <c r="D2285" s="2"/>
      <c r="E2285" s="2" t="e">
        <f t="shared" si="0"/>
        <v>#VALUE!</v>
      </c>
    </row>
    <row r="2286" spans="1:5" ht="12.75" customHeight="1" x14ac:dyDescent="0.2">
      <c r="A2286" s="3"/>
      <c r="B2286" s="3" t="s">
        <v>0</v>
      </c>
      <c r="C2286" s="3" t="s">
        <v>21</v>
      </c>
      <c r="D2286" s="2"/>
      <c r="E2286" s="2" t="e">
        <f t="shared" si="0"/>
        <v>#VALUE!</v>
      </c>
    </row>
    <row r="2287" spans="1:5" ht="12.75" customHeight="1" x14ac:dyDescent="0.2">
      <c r="A2287" s="3"/>
      <c r="B2287" s="3" t="s">
        <v>2</v>
      </c>
      <c r="C2287" s="3" t="s">
        <v>458</v>
      </c>
      <c r="D2287" s="2"/>
      <c r="E2287" s="2" t="e">
        <f t="shared" si="0"/>
        <v>#VALUE!</v>
      </c>
    </row>
    <row r="2288" spans="1:5" ht="12.75" customHeight="1" x14ac:dyDescent="0.2">
      <c r="A2288" s="3"/>
      <c r="B2288" s="3" t="s">
        <v>9</v>
      </c>
      <c r="C2288" s="3" t="s">
        <v>22</v>
      </c>
      <c r="D2288" s="2"/>
      <c r="E2288" s="2" t="e">
        <f t="shared" si="0"/>
        <v>#VALUE!</v>
      </c>
    </row>
    <row r="2289" spans="1:5" ht="12.75" customHeight="1" x14ac:dyDescent="0.2">
      <c r="A2289" s="3"/>
      <c r="B2289" s="3" t="s">
        <v>11</v>
      </c>
      <c r="C2289" s="3" t="s">
        <v>519</v>
      </c>
      <c r="D2289" s="2"/>
      <c r="E2289" s="2" t="e">
        <f t="shared" si="0"/>
        <v>#VALUE!</v>
      </c>
    </row>
    <row r="2290" spans="1:5" ht="12.75" customHeight="1" x14ac:dyDescent="0.2">
      <c r="A2290" s="3"/>
      <c r="B2290" s="3" t="s">
        <v>18</v>
      </c>
      <c r="C2290" s="4" t="s">
        <v>19</v>
      </c>
      <c r="D2290" s="2"/>
      <c r="E2290" s="2" t="e">
        <f t="shared" si="0"/>
        <v>#VALUE!</v>
      </c>
    </row>
    <row r="2291" spans="1:5" ht="12.75" customHeight="1" x14ac:dyDescent="0.2">
      <c r="A2291" s="1" t="str">
        <f>HYPERLINK("javascript:void(0)","kobrafog")</f>
        <v>kobrafog</v>
      </c>
      <c r="B2291" s="1"/>
      <c r="C2291" s="1"/>
      <c r="D2291" s="2"/>
      <c r="E2291" s="2" t="e">
        <f t="shared" si="0"/>
        <v>#VALUE!</v>
      </c>
    </row>
    <row r="2292" spans="1:5" ht="12.75" customHeight="1" x14ac:dyDescent="0.2">
      <c r="A2292" s="3"/>
      <c r="B2292" s="3" t="s">
        <v>0</v>
      </c>
      <c r="C2292" s="3" t="s">
        <v>21</v>
      </c>
      <c r="D2292" s="2"/>
      <c r="E2292" s="2" t="e">
        <f t="shared" si="0"/>
        <v>#VALUE!</v>
      </c>
    </row>
    <row r="2293" spans="1:5" ht="12.75" customHeight="1" x14ac:dyDescent="0.2">
      <c r="A2293" s="3"/>
      <c r="B2293" s="3" t="s">
        <v>2</v>
      </c>
      <c r="C2293" s="3" t="s">
        <v>387</v>
      </c>
      <c r="D2293" s="2"/>
      <c r="E2293" s="2" t="e">
        <f t="shared" si="0"/>
        <v>#VALUE!</v>
      </c>
    </row>
    <row r="2294" spans="1:5" ht="12.75" customHeight="1" x14ac:dyDescent="0.2">
      <c r="A2294" s="3"/>
      <c r="B2294" s="3" t="s">
        <v>9</v>
      </c>
      <c r="C2294" s="3" t="s">
        <v>22</v>
      </c>
      <c r="D2294" s="2"/>
      <c r="E2294" s="2" t="e">
        <f t="shared" si="0"/>
        <v>#VALUE!</v>
      </c>
    </row>
    <row r="2295" spans="1:5" ht="12.75" customHeight="1" x14ac:dyDescent="0.2">
      <c r="A2295" s="3"/>
      <c r="B2295" s="3" t="s">
        <v>11</v>
      </c>
      <c r="C2295" s="3" t="s">
        <v>23</v>
      </c>
      <c r="D2295" s="2"/>
      <c r="E2295" s="2" t="e">
        <f t="shared" si="0"/>
        <v>#VALUE!</v>
      </c>
    </row>
    <row r="2296" spans="1:5" ht="12.75" customHeight="1" x14ac:dyDescent="0.2">
      <c r="A2296" s="3"/>
      <c r="B2296" s="3" t="s">
        <v>16</v>
      </c>
      <c r="C2296" s="3" t="s">
        <v>388</v>
      </c>
      <c r="D2296" s="2"/>
      <c r="E2296" s="2" t="e">
        <f t="shared" si="0"/>
        <v>#VALUE!</v>
      </c>
    </row>
    <row r="2297" spans="1:5" ht="12.75" customHeight="1" x14ac:dyDescent="0.2">
      <c r="A2297" s="3"/>
      <c r="B2297" s="3" t="s">
        <v>18</v>
      </c>
      <c r="C2297" s="4" t="s">
        <v>19</v>
      </c>
      <c r="D2297" s="2"/>
      <c r="E2297" s="2" t="e">
        <f t="shared" si="0"/>
        <v>#VALUE!</v>
      </c>
    </row>
    <row r="2298" spans="1:5" ht="12.75" customHeight="1" x14ac:dyDescent="0.2">
      <c r="A2298" s="1" t="str">
        <f>HYPERLINK("javascript:void(0)","kocka")</f>
        <v>kocka</v>
      </c>
      <c r="B2298" s="1"/>
      <c r="C2298" s="1"/>
      <c r="D2298" s="2"/>
      <c r="E2298" s="2" t="e">
        <f t="shared" si="0"/>
        <v>#VALUE!</v>
      </c>
    </row>
    <row r="2299" spans="1:5" ht="12.75" customHeight="1" x14ac:dyDescent="0.2">
      <c r="A2299" s="3"/>
      <c r="B2299" s="3" t="s">
        <v>0</v>
      </c>
      <c r="C2299" s="3" t="s">
        <v>21</v>
      </c>
      <c r="D2299" s="2"/>
      <c r="E2299" s="2" t="e">
        <f t="shared" si="0"/>
        <v>#VALUE!</v>
      </c>
    </row>
    <row r="2300" spans="1:5" ht="12.75" customHeight="1" x14ac:dyDescent="0.2">
      <c r="A2300" s="3"/>
      <c r="B2300" s="3" t="s">
        <v>2</v>
      </c>
      <c r="C2300" s="3" t="s">
        <v>458</v>
      </c>
      <c r="D2300" s="2"/>
      <c r="E2300" s="2" t="e">
        <f t="shared" si="0"/>
        <v>#VALUE!</v>
      </c>
    </row>
    <row r="2301" spans="1:5" ht="12.75" customHeight="1" x14ac:dyDescent="0.2">
      <c r="A2301" s="3"/>
      <c r="B2301" s="3" t="s">
        <v>9</v>
      </c>
      <c r="C2301" s="3" t="s">
        <v>53</v>
      </c>
      <c r="D2301" s="2"/>
      <c r="E2301" s="2" t="e">
        <f t="shared" si="0"/>
        <v>#VALUE!</v>
      </c>
    </row>
    <row r="2302" spans="1:5" ht="12.75" customHeight="1" x14ac:dyDescent="0.2">
      <c r="A2302" s="3"/>
      <c r="B2302" s="3" t="s">
        <v>11</v>
      </c>
      <c r="C2302" s="3" t="s">
        <v>711</v>
      </c>
      <c r="D2302" s="2"/>
      <c r="E2302" s="2" t="e">
        <f t="shared" si="0"/>
        <v>#VALUE!</v>
      </c>
    </row>
    <row r="2303" spans="1:5" ht="12.75" customHeight="1" x14ac:dyDescent="0.2">
      <c r="A2303" s="3"/>
      <c r="B2303" s="3" t="s">
        <v>18</v>
      </c>
      <c r="C2303" s="4" t="s">
        <v>19</v>
      </c>
      <c r="D2303" s="2"/>
      <c r="E2303" s="2" t="e">
        <f t="shared" si="0"/>
        <v>#VALUE!</v>
      </c>
    </row>
    <row r="2304" spans="1:5" ht="12.75" customHeight="1" x14ac:dyDescent="0.2">
      <c r="A2304" s="1" t="str">
        <f>HYPERLINK("javascript:void(0)","kokszkeksz")</f>
        <v>kokszkeksz</v>
      </c>
      <c r="B2304" s="1"/>
      <c r="C2304" s="1"/>
      <c r="D2304" s="2"/>
      <c r="E2304" s="2" t="e">
        <f t="shared" si="0"/>
        <v>#VALUE!</v>
      </c>
    </row>
    <row r="2305" spans="1:5" ht="12.75" customHeight="1" x14ac:dyDescent="0.2">
      <c r="A2305" s="3"/>
      <c r="B2305" s="3" t="s">
        <v>0</v>
      </c>
      <c r="C2305" s="3" t="s">
        <v>21</v>
      </c>
      <c r="D2305" s="2"/>
      <c r="E2305" s="2" t="e">
        <f t="shared" si="0"/>
        <v>#VALUE!</v>
      </c>
    </row>
    <row r="2306" spans="1:5" ht="12.75" customHeight="1" x14ac:dyDescent="0.2">
      <c r="A2306" s="3"/>
      <c r="B2306" s="3" t="s">
        <v>2</v>
      </c>
      <c r="C2306" s="3" t="s">
        <v>458</v>
      </c>
      <c r="D2306" s="2"/>
      <c r="E2306" s="2" t="e">
        <f t="shared" si="0"/>
        <v>#VALUE!</v>
      </c>
    </row>
    <row r="2307" spans="1:5" ht="12.75" customHeight="1" x14ac:dyDescent="0.2">
      <c r="A2307" s="3"/>
      <c r="B2307" s="3" t="s">
        <v>9</v>
      </c>
      <c r="C2307" s="3" t="s">
        <v>84</v>
      </c>
      <c r="D2307" s="2"/>
      <c r="E2307" s="2" t="e">
        <f t="shared" si="0"/>
        <v>#VALUE!</v>
      </c>
    </row>
    <row r="2308" spans="1:5" ht="12.75" customHeight="1" x14ac:dyDescent="0.2">
      <c r="A2308" s="3"/>
      <c r="B2308" s="3" t="s">
        <v>11</v>
      </c>
      <c r="C2308" s="3" t="s">
        <v>515</v>
      </c>
      <c r="D2308" s="2"/>
      <c r="E2308" s="2" t="e">
        <f t="shared" si="0"/>
        <v>#VALUE!</v>
      </c>
    </row>
    <row r="2309" spans="1:5" ht="12.75" customHeight="1" x14ac:dyDescent="0.2">
      <c r="A2309" s="3"/>
      <c r="B2309" s="3" t="s">
        <v>18</v>
      </c>
      <c r="C2309" s="4" t="s">
        <v>19</v>
      </c>
      <c r="D2309" s="2"/>
      <c r="E2309" s="2" t="e">
        <f t="shared" si="0"/>
        <v>#VALUE!</v>
      </c>
    </row>
    <row r="2310" spans="1:5" ht="12.75" customHeight="1" x14ac:dyDescent="0.2">
      <c r="A2310" s="1" t="str">
        <f>HYPERLINK("javascript:void(0)","kol-ostor")</f>
        <v>kol-ostor</v>
      </c>
      <c r="B2310" s="1"/>
      <c r="C2310" s="1"/>
      <c r="D2310" s="2"/>
      <c r="E2310" s="2" t="e">
        <f t="shared" si="0"/>
        <v>#VALUE!</v>
      </c>
    </row>
    <row r="2311" spans="1:5" ht="12.75" customHeight="1" x14ac:dyDescent="0.2">
      <c r="A2311" s="3"/>
      <c r="B2311" s="3" t="s">
        <v>0</v>
      </c>
      <c r="C2311" s="3" t="s">
        <v>21</v>
      </c>
      <c r="D2311" s="2"/>
      <c r="E2311" s="2" t="e">
        <f t="shared" si="0"/>
        <v>#VALUE!</v>
      </c>
    </row>
    <row r="2312" spans="1:5" ht="12.75" customHeight="1" x14ac:dyDescent="0.2">
      <c r="A2312" s="3"/>
      <c r="B2312" s="3" t="s">
        <v>2</v>
      </c>
      <c r="C2312" s="3" t="s">
        <v>387</v>
      </c>
      <c r="D2312" s="2"/>
      <c r="E2312" s="2" t="e">
        <f t="shared" si="0"/>
        <v>#VALUE!</v>
      </c>
    </row>
    <row r="2313" spans="1:5" ht="12.75" customHeight="1" x14ac:dyDescent="0.2">
      <c r="A2313" s="3"/>
      <c r="B2313" s="3" t="s">
        <v>9</v>
      </c>
      <c r="C2313" s="3" t="s">
        <v>27</v>
      </c>
      <c r="D2313" s="2"/>
      <c r="E2313" s="2" t="e">
        <f t="shared" si="0"/>
        <v>#VALUE!</v>
      </c>
    </row>
    <row r="2314" spans="1:5" ht="12.75" customHeight="1" x14ac:dyDescent="0.2">
      <c r="A2314" s="3"/>
      <c r="B2314" s="3" t="s">
        <v>11</v>
      </c>
      <c r="C2314" s="3" t="s">
        <v>23</v>
      </c>
      <c r="D2314" s="2"/>
      <c r="E2314" s="2" t="e">
        <f t="shared" si="0"/>
        <v>#VALUE!</v>
      </c>
    </row>
    <row r="2315" spans="1:5" ht="12.75" customHeight="1" x14ac:dyDescent="0.2">
      <c r="A2315" s="3"/>
      <c r="B2315" s="3" t="s">
        <v>16</v>
      </c>
      <c r="C2315" s="3" t="s">
        <v>388</v>
      </c>
      <c r="D2315" s="2"/>
      <c r="E2315" s="2" t="e">
        <f t="shared" si="0"/>
        <v>#VALUE!</v>
      </c>
    </row>
    <row r="2316" spans="1:5" ht="12.75" customHeight="1" x14ac:dyDescent="0.2">
      <c r="A2316" s="3"/>
      <c r="B2316" s="3" t="s">
        <v>18</v>
      </c>
      <c r="C2316" s="4" t="s">
        <v>19</v>
      </c>
      <c r="D2316" s="2"/>
      <c r="E2316" s="2" t="e">
        <f t="shared" si="0"/>
        <v>#VALUE!</v>
      </c>
    </row>
    <row r="2317" spans="1:5" ht="12.75" customHeight="1" x14ac:dyDescent="0.2">
      <c r="A2317" s="1" t="str">
        <f>HYPERLINK("javascript:void(0)","kolibriszárny")</f>
        <v>kolibriszárny</v>
      </c>
      <c r="B2317" s="1"/>
      <c r="C2317" s="1"/>
      <c r="D2317" s="2"/>
      <c r="E2317" s="2" t="e">
        <f t="shared" si="0"/>
        <v>#VALUE!</v>
      </c>
    </row>
    <row r="2318" spans="1:5" ht="12.75" customHeight="1" x14ac:dyDescent="0.2">
      <c r="A2318" s="3"/>
      <c r="B2318" s="3" t="s">
        <v>0</v>
      </c>
      <c r="C2318" s="3" t="s">
        <v>21</v>
      </c>
      <c r="D2318" s="2"/>
      <c r="E2318" s="2" t="e">
        <f t="shared" si="0"/>
        <v>#VALUE!</v>
      </c>
    </row>
    <row r="2319" spans="1:5" ht="12.75" customHeight="1" x14ac:dyDescent="0.2">
      <c r="A2319" s="3"/>
      <c r="B2319" s="3" t="s">
        <v>2</v>
      </c>
      <c r="C2319" s="3" t="s">
        <v>458</v>
      </c>
      <c r="D2319" s="2"/>
      <c r="E2319" s="2" t="e">
        <f t="shared" si="0"/>
        <v>#VALUE!</v>
      </c>
    </row>
    <row r="2320" spans="1:5" ht="12.75" customHeight="1" x14ac:dyDescent="0.2">
      <c r="A2320" s="3"/>
      <c r="B2320" s="3" t="s">
        <v>9</v>
      </c>
      <c r="C2320" s="3" t="s">
        <v>22</v>
      </c>
      <c r="D2320" s="2"/>
      <c r="E2320" s="2" t="e">
        <f t="shared" si="0"/>
        <v>#VALUE!</v>
      </c>
    </row>
    <row r="2321" spans="1:5" ht="12.75" customHeight="1" x14ac:dyDescent="0.2">
      <c r="A2321" s="3"/>
      <c r="B2321" s="3" t="s">
        <v>11</v>
      </c>
      <c r="C2321" s="3" t="s">
        <v>519</v>
      </c>
      <c r="D2321" s="2"/>
      <c r="E2321" s="2" t="e">
        <f t="shared" si="0"/>
        <v>#VALUE!</v>
      </c>
    </row>
    <row r="2322" spans="1:5" ht="12.75" customHeight="1" x14ac:dyDescent="0.2">
      <c r="A2322" s="3"/>
      <c r="B2322" s="3" t="s">
        <v>18</v>
      </c>
      <c r="C2322" s="4" t="s">
        <v>19</v>
      </c>
      <c r="D2322" s="2"/>
      <c r="E2322" s="2" t="e">
        <f t="shared" si="0"/>
        <v>#VALUE!</v>
      </c>
    </row>
    <row r="2323" spans="1:5" ht="12.75" customHeight="1" x14ac:dyDescent="0.2">
      <c r="A2323" s="1" t="str">
        <f>HYPERLINK("javascript:void(0)","kolomp")</f>
        <v>kolomp</v>
      </c>
      <c r="B2323" s="1"/>
      <c r="C2323" s="1"/>
      <c r="D2323" s="2"/>
      <c r="E2323" s="2" t="e">
        <f t="shared" si="0"/>
        <v>#VALUE!</v>
      </c>
    </row>
    <row r="2324" spans="1:5" ht="12.75" customHeight="1" x14ac:dyDescent="0.2">
      <c r="A2324" s="3"/>
      <c r="B2324" s="3" t="s">
        <v>0</v>
      </c>
      <c r="C2324" s="3" t="s">
        <v>21</v>
      </c>
      <c r="D2324" s="2"/>
      <c r="E2324" s="2" t="e">
        <f t="shared" si="0"/>
        <v>#VALUE!</v>
      </c>
    </row>
    <row r="2325" spans="1:5" ht="12.75" customHeight="1" x14ac:dyDescent="0.2">
      <c r="A2325" s="3"/>
      <c r="B2325" s="3" t="s">
        <v>2</v>
      </c>
      <c r="C2325" s="3" t="s">
        <v>458</v>
      </c>
      <c r="D2325" s="2"/>
      <c r="E2325" s="2" t="e">
        <f t="shared" si="0"/>
        <v>#VALUE!</v>
      </c>
    </row>
    <row r="2326" spans="1:5" ht="12.75" customHeight="1" x14ac:dyDescent="0.2">
      <c r="A2326" s="3"/>
      <c r="B2326" s="3" t="s">
        <v>9</v>
      </c>
      <c r="C2326" s="3" t="s">
        <v>22</v>
      </c>
      <c r="D2326" s="2"/>
      <c r="E2326" s="2" t="e">
        <f t="shared" si="0"/>
        <v>#VALUE!</v>
      </c>
    </row>
    <row r="2327" spans="1:5" ht="12.75" customHeight="1" x14ac:dyDescent="0.2">
      <c r="A2327" s="3"/>
      <c r="B2327" s="3" t="s">
        <v>11</v>
      </c>
      <c r="C2327" s="3" t="s">
        <v>721</v>
      </c>
      <c r="D2327" s="2"/>
      <c r="E2327" s="2" t="e">
        <f t="shared" si="0"/>
        <v>#VALUE!</v>
      </c>
    </row>
    <row r="2328" spans="1:5" ht="12.75" customHeight="1" x14ac:dyDescent="0.2">
      <c r="A2328" s="3"/>
      <c r="B2328" s="3" t="s">
        <v>18</v>
      </c>
      <c r="C2328" s="4" t="s">
        <v>19</v>
      </c>
      <c r="D2328" s="2"/>
      <c r="E2328" s="2" t="e">
        <f t="shared" si="0"/>
        <v>#VALUE!</v>
      </c>
    </row>
    <row r="2329" spans="1:5" ht="12.75" customHeight="1" x14ac:dyDescent="0.2">
      <c r="A2329" s="1" t="str">
        <f>HYPERLINK("javascript:void(0)","kommunikációképtelenség")</f>
        <v>kommunikációképtelenség</v>
      </c>
      <c r="B2329" s="1"/>
      <c r="C2329" s="1"/>
      <c r="D2329" s="2"/>
      <c r="E2329" s="2" t="e">
        <f t="shared" si="0"/>
        <v>#VALUE!</v>
      </c>
    </row>
    <row r="2330" spans="1:5" ht="12.75" customHeight="1" x14ac:dyDescent="0.2">
      <c r="A2330" s="3"/>
      <c r="B2330" s="3" t="s">
        <v>0</v>
      </c>
      <c r="C2330" s="3" t="s">
        <v>21</v>
      </c>
      <c r="D2330" s="2"/>
      <c r="E2330" s="2" t="e">
        <f t="shared" si="0"/>
        <v>#VALUE!</v>
      </c>
    </row>
    <row r="2331" spans="1:5" ht="12.75" customHeight="1" x14ac:dyDescent="0.2">
      <c r="A2331" s="3"/>
      <c r="B2331" s="3" t="s">
        <v>2</v>
      </c>
      <c r="C2331" s="3" t="s">
        <v>458</v>
      </c>
      <c r="D2331" s="2"/>
      <c r="E2331" s="2" t="e">
        <f t="shared" si="0"/>
        <v>#VALUE!</v>
      </c>
    </row>
    <row r="2332" spans="1:5" ht="12.75" customHeight="1" x14ac:dyDescent="0.2">
      <c r="A2332" s="3"/>
      <c r="B2332" s="3" t="s">
        <v>9</v>
      </c>
      <c r="C2332" s="3" t="s">
        <v>22</v>
      </c>
      <c r="D2332" s="2"/>
      <c r="E2332" s="2" t="e">
        <f t="shared" si="0"/>
        <v>#VALUE!</v>
      </c>
    </row>
    <row r="2333" spans="1:5" ht="12.75" customHeight="1" x14ac:dyDescent="0.2">
      <c r="A2333" s="3"/>
      <c r="B2333" s="3" t="s">
        <v>11</v>
      </c>
      <c r="C2333" s="3" t="s">
        <v>551</v>
      </c>
      <c r="D2333" s="2"/>
      <c r="E2333" s="2" t="e">
        <f t="shared" si="0"/>
        <v>#VALUE!</v>
      </c>
    </row>
    <row r="2334" spans="1:5" ht="12.75" customHeight="1" x14ac:dyDescent="0.2">
      <c r="A2334" s="3"/>
      <c r="B2334" s="3" t="s">
        <v>18</v>
      </c>
      <c r="C2334" s="4" t="s">
        <v>19</v>
      </c>
      <c r="D2334" s="2"/>
      <c r="E2334" s="2" t="e">
        <f t="shared" si="0"/>
        <v>#VALUE!</v>
      </c>
    </row>
    <row r="2335" spans="1:5" ht="12.75" customHeight="1" x14ac:dyDescent="0.2">
      <c r="A2335" s="1" t="str">
        <f>HYPERLINK("javascript:void(0)","komponens")</f>
        <v>komponens</v>
      </c>
      <c r="B2335" s="1"/>
      <c r="C2335" s="1"/>
      <c r="D2335" s="2"/>
      <c r="E2335" s="2" t="e">
        <f t="shared" si="0"/>
        <v>#VALUE!</v>
      </c>
    </row>
    <row r="2336" spans="1:5" ht="12.75" customHeight="1" x14ac:dyDescent="0.2">
      <c r="A2336" s="3"/>
      <c r="B2336" s="3" t="s">
        <v>0</v>
      </c>
      <c r="C2336" s="3" t="s">
        <v>21</v>
      </c>
      <c r="D2336" s="2"/>
      <c r="E2336" s="2" t="e">
        <f t="shared" si="0"/>
        <v>#VALUE!</v>
      </c>
    </row>
    <row r="2337" spans="1:5" ht="12.75" customHeight="1" x14ac:dyDescent="0.2">
      <c r="A2337" s="3"/>
      <c r="B2337" s="3" t="s">
        <v>2</v>
      </c>
      <c r="C2337" s="3" t="s">
        <v>387</v>
      </c>
      <c r="D2337" s="2"/>
      <c r="E2337" s="2" t="e">
        <f t="shared" si="0"/>
        <v>#VALUE!</v>
      </c>
    </row>
    <row r="2338" spans="1:5" ht="12.75" customHeight="1" x14ac:dyDescent="0.2">
      <c r="A2338" s="3"/>
      <c r="B2338" s="3" t="s">
        <v>9</v>
      </c>
      <c r="C2338" s="3" t="s">
        <v>27</v>
      </c>
      <c r="D2338" s="2"/>
      <c r="E2338" s="2" t="e">
        <f t="shared" si="0"/>
        <v>#VALUE!</v>
      </c>
    </row>
    <row r="2339" spans="1:5" ht="12.75" customHeight="1" x14ac:dyDescent="0.2">
      <c r="A2339" s="3"/>
      <c r="B2339" s="3" t="s">
        <v>11</v>
      </c>
      <c r="C2339" s="3" t="s">
        <v>23</v>
      </c>
      <c r="D2339" s="2"/>
      <c r="E2339" s="2" t="e">
        <f t="shared" si="0"/>
        <v>#VALUE!</v>
      </c>
    </row>
    <row r="2340" spans="1:5" ht="12.75" customHeight="1" x14ac:dyDescent="0.2">
      <c r="A2340" s="3"/>
      <c r="B2340" s="3" t="s">
        <v>16</v>
      </c>
      <c r="C2340" s="3" t="s">
        <v>388</v>
      </c>
      <c r="D2340" s="2"/>
      <c r="E2340" s="2" t="e">
        <f t="shared" si="0"/>
        <v>#VALUE!</v>
      </c>
    </row>
    <row r="2341" spans="1:5" ht="12.75" customHeight="1" x14ac:dyDescent="0.2">
      <c r="A2341" s="3"/>
      <c r="B2341" s="3" t="s">
        <v>18</v>
      </c>
      <c r="C2341" s="4" t="s">
        <v>19</v>
      </c>
      <c r="D2341" s="2"/>
      <c r="E2341" s="2" t="e">
        <f t="shared" si="0"/>
        <v>#VALUE!</v>
      </c>
    </row>
    <row r="2342" spans="1:5" ht="12.75" customHeight="1" x14ac:dyDescent="0.2">
      <c r="A2342" s="1" t="str">
        <f>HYPERLINK("javascript:void(0)","kopoltyú")</f>
        <v>kopoltyú</v>
      </c>
      <c r="B2342" s="1"/>
      <c r="C2342" s="1"/>
      <c r="D2342" s="2"/>
      <c r="E2342" s="2" t="e">
        <f t="shared" si="0"/>
        <v>#VALUE!</v>
      </c>
    </row>
    <row r="2343" spans="1:5" ht="12.75" customHeight="1" x14ac:dyDescent="0.2">
      <c r="A2343" s="3"/>
      <c r="B2343" s="3" t="s">
        <v>0</v>
      </c>
      <c r="C2343" s="3" t="s">
        <v>21</v>
      </c>
      <c r="D2343" s="2"/>
      <c r="E2343" s="2" t="e">
        <f t="shared" si="0"/>
        <v>#VALUE!</v>
      </c>
    </row>
    <row r="2344" spans="1:5" ht="12.75" customHeight="1" x14ac:dyDescent="0.2">
      <c r="A2344" s="3"/>
      <c r="B2344" s="3" t="s">
        <v>2</v>
      </c>
      <c r="C2344" s="3" t="s">
        <v>458</v>
      </c>
      <c r="D2344" s="2"/>
      <c r="E2344" s="2" t="e">
        <f t="shared" si="0"/>
        <v>#VALUE!</v>
      </c>
    </row>
    <row r="2345" spans="1:5" ht="12.75" customHeight="1" x14ac:dyDescent="0.2">
      <c r="A2345" s="3"/>
      <c r="B2345" s="3" t="s">
        <v>9</v>
      </c>
      <c r="C2345" s="3" t="s">
        <v>637</v>
      </c>
      <c r="D2345" s="2"/>
      <c r="E2345" s="2" t="e">
        <f t="shared" si="0"/>
        <v>#VALUE!</v>
      </c>
    </row>
    <row r="2346" spans="1:5" ht="12.75" customHeight="1" x14ac:dyDescent="0.2">
      <c r="A2346" s="3"/>
      <c r="B2346" s="3" t="s">
        <v>11</v>
      </c>
      <c r="C2346" s="3" t="s">
        <v>1238</v>
      </c>
      <c r="D2346" s="2"/>
      <c r="E2346" s="2" t="e">
        <f t="shared" si="0"/>
        <v>#VALUE!</v>
      </c>
    </row>
    <row r="2347" spans="1:5" ht="12.75" customHeight="1" x14ac:dyDescent="0.2">
      <c r="A2347" s="3"/>
      <c r="B2347" s="3" t="s">
        <v>18</v>
      </c>
      <c r="C2347" s="4" t="s">
        <v>19</v>
      </c>
      <c r="D2347" s="2"/>
      <c r="E2347" s="2" t="e">
        <f t="shared" si="0"/>
        <v>#VALUE!</v>
      </c>
    </row>
    <row r="2348" spans="1:5" ht="12.75" customHeight="1" x14ac:dyDescent="0.2">
      <c r="A2348" s="1" t="str">
        <f>HYPERLINK("javascript:void(0)","koponya")</f>
        <v>koponya</v>
      </c>
      <c r="B2348" s="1"/>
      <c r="C2348" s="1"/>
      <c r="D2348" s="2"/>
      <c r="E2348" s="2" t="e">
        <f t="shared" si="0"/>
        <v>#VALUE!</v>
      </c>
    </row>
    <row r="2349" spans="1:5" ht="12.75" customHeight="1" x14ac:dyDescent="0.2">
      <c r="A2349" s="3"/>
      <c r="B2349" s="3" t="s">
        <v>0</v>
      </c>
      <c r="C2349" s="3" t="s">
        <v>21</v>
      </c>
      <c r="D2349" s="2"/>
      <c r="E2349" s="2" t="e">
        <f t="shared" si="0"/>
        <v>#VALUE!</v>
      </c>
    </row>
    <row r="2350" spans="1:5" ht="12.75" customHeight="1" x14ac:dyDescent="0.2">
      <c r="A2350" s="3"/>
      <c r="B2350" s="3" t="s">
        <v>2</v>
      </c>
      <c r="C2350" s="3" t="s">
        <v>387</v>
      </c>
      <c r="D2350" s="2"/>
      <c r="E2350" s="2" t="e">
        <f t="shared" si="0"/>
        <v>#VALUE!</v>
      </c>
    </row>
    <row r="2351" spans="1:5" ht="12.75" customHeight="1" x14ac:dyDescent="0.2">
      <c r="A2351" s="3"/>
      <c r="B2351" s="3" t="s">
        <v>9</v>
      </c>
      <c r="C2351" s="3" t="s">
        <v>27</v>
      </c>
      <c r="D2351" s="2"/>
      <c r="E2351" s="2" t="e">
        <f t="shared" si="0"/>
        <v>#VALUE!</v>
      </c>
    </row>
    <row r="2352" spans="1:5" ht="12.75" customHeight="1" x14ac:dyDescent="0.2">
      <c r="A2352" s="3"/>
      <c r="B2352" s="3" t="s">
        <v>11</v>
      </c>
      <c r="C2352" s="3" t="s">
        <v>1240</v>
      </c>
      <c r="D2352" s="2"/>
      <c r="E2352" s="2" t="e">
        <f t="shared" si="0"/>
        <v>#VALUE!</v>
      </c>
    </row>
    <row r="2353" spans="1:5" ht="12.75" customHeight="1" x14ac:dyDescent="0.2">
      <c r="A2353" s="3"/>
      <c r="B2353" s="3" t="s">
        <v>18</v>
      </c>
      <c r="C2353" s="4" t="s">
        <v>19</v>
      </c>
      <c r="D2353" s="2"/>
      <c r="E2353" s="2" t="e">
        <f t="shared" si="0"/>
        <v>#VALUE!</v>
      </c>
    </row>
    <row r="2354" spans="1:5" ht="12.75" customHeight="1" x14ac:dyDescent="0.2">
      <c r="A2354" s="1" t="str">
        <f>HYPERLINK("javascript:void(0)","koporsó")</f>
        <v>koporsó</v>
      </c>
      <c r="B2354" s="1"/>
      <c r="C2354" s="1"/>
      <c r="D2354" s="2"/>
      <c r="E2354" s="2" t="e">
        <f t="shared" si="0"/>
        <v>#VALUE!</v>
      </c>
    </row>
    <row r="2355" spans="1:5" ht="12.75" customHeight="1" x14ac:dyDescent="0.2">
      <c r="A2355" s="3"/>
      <c r="B2355" s="3" t="s">
        <v>0</v>
      </c>
      <c r="C2355" s="3" t="s">
        <v>21</v>
      </c>
      <c r="D2355" s="2"/>
      <c r="E2355" s="2" t="e">
        <f t="shared" si="0"/>
        <v>#VALUE!</v>
      </c>
    </row>
    <row r="2356" spans="1:5" ht="12.75" customHeight="1" x14ac:dyDescent="0.2">
      <c r="A2356" s="3"/>
      <c r="B2356" s="3" t="s">
        <v>2</v>
      </c>
      <c r="C2356" s="3" t="s">
        <v>458</v>
      </c>
      <c r="D2356" s="2"/>
      <c r="E2356" s="2" t="e">
        <f t="shared" si="0"/>
        <v>#VALUE!</v>
      </c>
    </row>
    <row r="2357" spans="1:5" ht="12.75" customHeight="1" x14ac:dyDescent="0.2">
      <c r="A2357" s="3"/>
      <c r="B2357" s="3" t="s">
        <v>9</v>
      </c>
      <c r="C2357" s="3" t="s">
        <v>22</v>
      </c>
      <c r="D2357" s="2"/>
      <c r="E2357" s="2" t="e">
        <f t="shared" si="0"/>
        <v>#VALUE!</v>
      </c>
    </row>
    <row r="2358" spans="1:5" ht="12.75" customHeight="1" x14ac:dyDescent="0.2">
      <c r="A2358" s="3"/>
      <c r="B2358" s="3" t="s">
        <v>11</v>
      </c>
      <c r="C2358" s="3" t="s">
        <v>276</v>
      </c>
      <c r="D2358" s="2"/>
      <c r="E2358" s="2" t="e">
        <f t="shared" si="0"/>
        <v>#VALUE!</v>
      </c>
    </row>
    <row r="2359" spans="1:5" ht="12.75" customHeight="1" x14ac:dyDescent="0.2">
      <c r="A2359" s="3"/>
      <c r="B2359" s="3" t="s">
        <v>18</v>
      </c>
      <c r="C2359" s="4" t="s">
        <v>19</v>
      </c>
      <c r="D2359" s="2"/>
      <c r="E2359" s="2" t="e">
        <f t="shared" si="0"/>
        <v>#VALUE!</v>
      </c>
    </row>
    <row r="2360" spans="1:5" ht="12.75" customHeight="1" x14ac:dyDescent="0.2">
      <c r="A2360" s="1" t="str">
        <f>HYPERLINK("javascript:void(0)","korallág")</f>
        <v>korallág</v>
      </c>
      <c r="B2360" s="1"/>
      <c r="C2360" s="1"/>
      <c r="D2360" s="2"/>
      <c r="E2360" s="2" t="e">
        <f t="shared" si="0"/>
        <v>#VALUE!</v>
      </c>
    </row>
    <row r="2361" spans="1:5" ht="12.75" customHeight="1" x14ac:dyDescent="0.2">
      <c r="A2361" s="3"/>
      <c r="B2361" s="3" t="s">
        <v>0</v>
      </c>
      <c r="C2361" s="3" t="s">
        <v>21</v>
      </c>
      <c r="D2361" s="2"/>
      <c r="E2361" s="2" t="e">
        <f t="shared" si="0"/>
        <v>#VALUE!</v>
      </c>
    </row>
    <row r="2362" spans="1:5" ht="12.75" customHeight="1" x14ac:dyDescent="0.2">
      <c r="A2362" s="3"/>
      <c r="B2362" s="3" t="s">
        <v>2</v>
      </c>
      <c r="C2362" s="3" t="s">
        <v>458</v>
      </c>
      <c r="D2362" s="2"/>
      <c r="E2362" s="2" t="e">
        <f t="shared" si="0"/>
        <v>#VALUE!</v>
      </c>
    </row>
    <row r="2363" spans="1:5" ht="12.75" customHeight="1" x14ac:dyDescent="0.2">
      <c r="A2363" s="3"/>
      <c r="B2363" s="3" t="s">
        <v>9</v>
      </c>
      <c r="C2363" s="3" t="s">
        <v>22</v>
      </c>
      <c r="D2363" s="2"/>
      <c r="E2363" s="2" t="e">
        <f t="shared" si="0"/>
        <v>#VALUE!</v>
      </c>
    </row>
    <row r="2364" spans="1:5" ht="12.75" customHeight="1" x14ac:dyDescent="0.2">
      <c r="A2364" s="3"/>
      <c r="B2364" s="3" t="s">
        <v>11</v>
      </c>
      <c r="C2364" s="3" t="s">
        <v>689</v>
      </c>
      <c r="D2364" s="2"/>
      <c r="E2364" s="2" t="e">
        <f t="shared" si="0"/>
        <v>#VALUE!</v>
      </c>
    </row>
    <row r="2365" spans="1:5" ht="12.75" customHeight="1" x14ac:dyDescent="0.2">
      <c r="A2365" s="3"/>
      <c r="B2365" s="3" t="s">
        <v>18</v>
      </c>
      <c r="C2365" s="4" t="s">
        <v>19</v>
      </c>
      <c r="D2365" s="2"/>
      <c r="E2365" s="2" t="e">
        <f t="shared" si="0"/>
        <v>#VALUE!</v>
      </c>
    </row>
    <row r="2366" spans="1:5" ht="12.75" customHeight="1" x14ac:dyDescent="0.2">
      <c r="A2366" s="1" t="str">
        <f>HYPERLINK("javascript:void(0)","korong")</f>
        <v>korong</v>
      </c>
      <c r="B2366" s="1"/>
      <c r="C2366" s="1"/>
      <c r="D2366" s="2"/>
      <c r="E2366" s="2" t="e">
        <f t="shared" si="0"/>
        <v>#VALUE!</v>
      </c>
    </row>
    <row r="2367" spans="1:5" ht="12.75" customHeight="1" x14ac:dyDescent="0.2">
      <c r="A2367" s="3"/>
      <c r="B2367" s="3" t="s">
        <v>0</v>
      </c>
      <c r="C2367" s="3" t="s">
        <v>21</v>
      </c>
      <c r="D2367" s="2"/>
      <c r="E2367" s="2" t="e">
        <f t="shared" si="0"/>
        <v>#VALUE!</v>
      </c>
    </row>
    <row r="2368" spans="1:5" ht="12.75" customHeight="1" x14ac:dyDescent="0.2">
      <c r="A2368" s="3"/>
      <c r="B2368" s="3" t="s">
        <v>2</v>
      </c>
      <c r="C2368" s="3" t="s">
        <v>458</v>
      </c>
      <c r="D2368" s="2"/>
      <c r="E2368" s="2" t="e">
        <f t="shared" si="0"/>
        <v>#VALUE!</v>
      </c>
    </row>
    <row r="2369" spans="1:5" ht="12.75" customHeight="1" x14ac:dyDescent="0.2">
      <c r="A2369" s="3"/>
      <c r="B2369" s="3" t="s">
        <v>9</v>
      </c>
      <c r="C2369" s="3" t="s">
        <v>22</v>
      </c>
      <c r="D2369" s="2"/>
      <c r="E2369" s="2" t="e">
        <f t="shared" si="0"/>
        <v>#VALUE!</v>
      </c>
    </row>
    <row r="2370" spans="1:5" ht="12.75" customHeight="1" x14ac:dyDescent="0.2">
      <c r="A2370" s="3"/>
      <c r="B2370" s="3" t="s">
        <v>11</v>
      </c>
      <c r="C2370" s="3" t="s">
        <v>162</v>
      </c>
      <c r="D2370" s="2"/>
      <c r="E2370" s="2" t="e">
        <f t="shared" si="0"/>
        <v>#VALUE!</v>
      </c>
    </row>
    <row r="2371" spans="1:5" ht="12.75" customHeight="1" x14ac:dyDescent="0.2">
      <c r="A2371" s="3"/>
      <c r="B2371" s="3" t="s">
        <v>18</v>
      </c>
      <c r="C2371" s="4" t="s">
        <v>19</v>
      </c>
      <c r="D2371" s="2"/>
      <c r="E2371" s="2" t="e">
        <f t="shared" si="0"/>
        <v>#VALUE!</v>
      </c>
    </row>
    <row r="2372" spans="1:5" ht="12.75" customHeight="1" x14ac:dyDescent="0.2">
      <c r="A2372" s="1" t="str">
        <f>HYPERLINK("javascript:void(0)","kristályamulett")</f>
        <v>kristályamulett</v>
      </c>
      <c r="B2372" s="1"/>
      <c r="C2372" s="1"/>
      <c r="D2372" s="2"/>
      <c r="E2372" s="2" t="e">
        <f t="shared" si="0"/>
        <v>#VALUE!</v>
      </c>
    </row>
    <row r="2373" spans="1:5" ht="12.75" customHeight="1" x14ac:dyDescent="0.2">
      <c r="A2373" s="3"/>
      <c r="B2373" s="3" t="s">
        <v>0</v>
      </c>
      <c r="C2373" s="3" t="s">
        <v>21</v>
      </c>
      <c r="D2373" s="2"/>
      <c r="E2373" s="2" t="e">
        <f t="shared" si="0"/>
        <v>#VALUE!</v>
      </c>
    </row>
    <row r="2374" spans="1:5" ht="12.75" customHeight="1" x14ac:dyDescent="0.2">
      <c r="A2374" s="3"/>
      <c r="B2374" s="3" t="s">
        <v>2</v>
      </c>
      <c r="C2374" s="3" t="s">
        <v>387</v>
      </c>
      <c r="D2374" s="2"/>
      <c r="E2374" s="2" t="e">
        <f t="shared" si="0"/>
        <v>#VALUE!</v>
      </c>
    </row>
    <row r="2375" spans="1:5" ht="12.75" customHeight="1" x14ac:dyDescent="0.2">
      <c r="A2375" s="3"/>
      <c r="B2375" s="3" t="s">
        <v>9</v>
      </c>
      <c r="C2375" s="3" t="s">
        <v>981</v>
      </c>
      <c r="D2375" s="2"/>
      <c r="E2375" s="2" t="e">
        <f t="shared" si="0"/>
        <v>#VALUE!</v>
      </c>
    </row>
    <row r="2376" spans="1:5" ht="12.75" customHeight="1" x14ac:dyDescent="0.2">
      <c r="A2376" s="3"/>
      <c r="B2376" s="3" t="s">
        <v>11</v>
      </c>
      <c r="C2376" s="3" t="s">
        <v>23</v>
      </c>
      <c r="D2376" s="2"/>
      <c r="E2376" s="2" t="e">
        <f t="shared" si="0"/>
        <v>#VALUE!</v>
      </c>
    </row>
    <row r="2377" spans="1:5" ht="12.75" customHeight="1" x14ac:dyDescent="0.2">
      <c r="A2377" s="3"/>
      <c r="B2377" s="3" t="s">
        <v>16</v>
      </c>
      <c r="C2377" s="3" t="s">
        <v>388</v>
      </c>
      <c r="D2377" s="2"/>
      <c r="E2377" s="2" t="e">
        <f t="shared" si="0"/>
        <v>#VALUE!</v>
      </c>
    </row>
    <row r="2378" spans="1:5" ht="12.75" customHeight="1" x14ac:dyDescent="0.2">
      <c r="A2378" s="3"/>
      <c r="B2378" s="3" t="s">
        <v>18</v>
      </c>
      <c r="C2378" s="4" t="s">
        <v>19</v>
      </c>
      <c r="D2378" s="2"/>
      <c r="E2378" s="2" t="e">
        <f t="shared" si="0"/>
        <v>#VALUE!</v>
      </c>
    </row>
    <row r="2379" spans="1:5" ht="12.75" customHeight="1" x14ac:dyDescent="0.2">
      <c r="A2379" s="1" t="str">
        <f>HYPERLINK("javascript:void(0)","kristályfolyadék")</f>
        <v>kristályfolyadék</v>
      </c>
      <c r="B2379" s="1"/>
      <c r="C2379" s="1"/>
      <c r="D2379" s="2"/>
      <c r="E2379" s="2" t="e">
        <f t="shared" si="0"/>
        <v>#VALUE!</v>
      </c>
    </row>
    <row r="2380" spans="1:5" ht="12.75" customHeight="1" x14ac:dyDescent="0.2">
      <c r="A2380" s="3"/>
      <c r="B2380" s="3" t="s">
        <v>0</v>
      </c>
      <c r="C2380" s="3" t="s">
        <v>21</v>
      </c>
      <c r="D2380" s="2"/>
      <c r="E2380" s="2" t="e">
        <f t="shared" si="0"/>
        <v>#VALUE!</v>
      </c>
    </row>
    <row r="2381" spans="1:5" ht="12.75" customHeight="1" x14ac:dyDescent="0.2">
      <c r="A2381" s="3"/>
      <c r="B2381" s="3" t="s">
        <v>2</v>
      </c>
      <c r="C2381" s="3" t="s">
        <v>458</v>
      </c>
      <c r="D2381" s="2"/>
      <c r="E2381" s="2" t="e">
        <f t="shared" si="0"/>
        <v>#VALUE!</v>
      </c>
    </row>
    <row r="2382" spans="1:5" ht="12.75" customHeight="1" x14ac:dyDescent="0.2">
      <c r="A2382" s="3"/>
      <c r="B2382" s="3" t="s">
        <v>9</v>
      </c>
      <c r="C2382" s="3" t="s">
        <v>969</v>
      </c>
      <c r="D2382" s="2"/>
      <c r="E2382" s="2" t="e">
        <f t="shared" si="0"/>
        <v>#VALUE!</v>
      </c>
    </row>
    <row r="2383" spans="1:5" ht="12.75" customHeight="1" x14ac:dyDescent="0.2">
      <c r="A2383" s="3"/>
      <c r="B2383" s="3" t="s">
        <v>11</v>
      </c>
      <c r="C2383" s="3" t="s">
        <v>1251</v>
      </c>
      <c r="D2383" s="2"/>
      <c r="E2383" s="2" t="e">
        <f t="shared" si="0"/>
        <v>#VALUE!</v>
      </c>
    </row>
    <row r="2384" spans="1:5" ht="12.75" customHeight="1" x14ac:dyDescent="0.2">
      <c r="A2384" s="3"/>
      <c r="B2384" s="3" t="s">
        <v>18</v>
      </c>
      <c r="C2384" s="4" t="s">
        <v>19</v>
      </c>
      <c r="D2384" s="2"/>
      <c r="E2384" s="2" t="e">
        <f t="shared" si="0"/>
        <v>#VALUE!</v>
      </c>
    </row>
    <row r="2385" spans="1:5" ht="12.75" customHeight="1" x14ac:dyDescent="0.2">
      <c r="A2385" s="1" t="str">
        <f>HYPERLINK("javascript:void(0)","kristálylap")</f>
        <v>kristálylap</v>
      </c>
      <c r="B2385" s="1"/>
      <c r="C2385" s="1"/>
      <c r="D2385" s="2"/>
      <c r="E2385" s="2" t="e">
        <f t="shared" si="0"/>
        <v>#VALUE!</v>
      </c>
    </row>
    <row r="2386" spans="1:5" ht="12.75" customHeight="1" x14ac:dyDescent="0.2">
      <c r="A2386" s="3"/>
      <c r="B2386" s="3" t="s">
        <v>0</v>
      </c>
      <c r="C2386" s="3" t="s">
        <v>21</v>
      </c>
      <c r="D2386" s="2"/>
      <c r="E2386" s="2" t="e">
        <f t="shared" si="0"/>
        <v>#VALUE!</v>
      </c>
    </row>
    <row r="2387" spans="1:5" ht="12.75" customHeight="1" x14ac:dyDescent="0.2">
      <c r="A2387" s="3"/>
      <c r="B2387" s="3" t="s">
        <v>2</v>
      </c>
      <c r="C2387" s="3" t="s">
        <v>387</v>
      </c>
      <c r="D2387" s="2"/>
      <c r="E2387" s="2" t="e">
        <f t="shared" si="0"/>
        <v>#VALUE!</v>
      </c>
    </row>
    <row r="2388" spans="1:5" ht="12.75" customHeight="1" x14ac:dyDescent="0.2">
      <c r="A2388" s="3"/>
      <c r="B2388" s="3" t="s">
        <v>9</v>
      </c>
      <c r="C2388" s="3" t="s">
        <v>42</v>
      </c>
      <c r="D2388" s="2"/>
      <c r="E2388" s="2" t="e">
        <f t="shared" si="0"/>
        <v>#VALUE!</v>
      </c>
    </row>
    <row r="2389" spans="1:5" ht="12.75" customHeight="1" x14ac:dyDescent="0.2">
      <c r="A2389" s="3"/>
      <c r="B2389" s="3" t="s">
        <v>11</v>
      </c>
      <c r="C2389" s="3" t="s">
        <v>39</v>
      </c>
      <c r="D2389" s="2"/>
      <c r="E2389" s="2" t="e">
        <f t="shared" si="0"/>
        <v>#VALUE!</v>
      </c>
    </row>
    <row r="2390" spans="1:5" ht="12.75" customHeight="1" x14ac:dyDescent="0.2">
      <c r="A2390" s="3"/>
      <c r="B2390" s="3" t="s">
        <v>18</v>
      </c>
      <c r="C2390" s="4" t="s">
        <v>19</v>
      </c>
      <c r="D2390" s="2"/>
      <c r="E2390" s="2" t="e">
        <f t="shared" si="0"/>
        <v>#VALUE!</v>
      </c>
    </row>
    <row r="2391" spans="1:5" ht="12.75" customHeight="1" x14ac:dyDescent="0.2">
      <c r="A2391" s="1" t="str">
        <f>HYPERLINK("javascript:void(0)","kristálypikkely")</f>
        <v>kristálypikkely</v>
      </c>
      <c r="B2391" s="1"/>
      <c r="C2391" s="1"/>
      <c r="D2391" s="2"/>
      <c r="E2391" s="2" t="e">
        <f t="shared" si="0"/>
        <v>#VALUE!</v>
      </c>
    </row>
    <row r="2392" spans="1:5" ht="12.75" customHeight="1" x14ac:dyDescent="0.2">
      <c r="A2392" s="3"/>
      <c r="B2392" s="3" t="s">
        <v>0</v>
      </c>
      <c r="C2392" s="3" t="s">
        <v>21</v>
      </c>
      <c r="D2392" s="2"/>
      <c r="E2392" s="2" t="e">
        <f t="shared" si="0"/>
        <v>#VALUE!</v>
      </c>
    </row>
    <row r="2393" spans="1:5" ht="12.75" customHeight="1" x14ac:dyDescent="0.2">
      <c r="A2393" s="3"/>
      <c r="B2393" s="3" t="s">
        <v>2</v>
      </c>
      <c r="C2393" s="3" t="s">
        <v>458</v>
      </c>
      <c r="D2393" s="2"/>
      <c r="E2393" s="2" t="e">
        <f t="shared" si="0"/>
        <v>#VALUE!</v>
      </c>
    </row>
    <row r="2394" spans="1:5" ht="12.75" customHeight="1" x14ac:dyDescent="0.2">
      <c r="A2394" s="3"/>
      <c r="B2394" s="3" t="s">
        <v>9</v>
      </c>
      <c r="C2394" s="3" t="s">
        <v>22</v>
      </c>
      <c r="D2394" s="2"/>
      <c r="E2394" s="2" t="e">
        <f t="shared" si="0"/>
        <v>#VALUE!</v>
      </c>
    </row>
    <row r="2395" spans="1:5" ht="12.75" customHeight="1" x14ac:dyDescent="0.2">
      <c r="A2395" s="3"/>
      <c r="B2395" s="3" t="s">
        <v>11</v>
      </c>
      <c r="C2395" s="3" t="s">
        <v>23</v>
      </c>
      <c r="D2395" s="2"/>
      <c r="E2395" s="2" t="e">
        <f t="shared" si="0"/>
        <v>#VALUE!</v>
      </c>
    </row>
    <row r="2396" spans="1:5" ht="12.75" customHeight="1" x14ac:dyDescent="0.2">
      <c r="A2396" s="3"/>
      <c r="B2396" s="3" t="s">
        <v>16</v>
      </c>
      <c r="C2396" s="3" t="s">
        <v>574</v>
      </c>
      <c r="D2396" s="2"/>
      <c r="E2396" s="2" t="e">
        <f t="shared" si="0"/>
        <v>#VALUE!</v>
      </c>
    </row>
    <row r="2397" spans="1:5" ht="12.75" customHeight="1" x14ac:dyDescent="0.2">
      <c r="A2397" s="3"/>
      <c r="B2397" s="3" t="s">
        <v>18</v>
      </c>
      <c r="C2397" s="4" t="s">
        <v>19</v>
      </c>
      <c r="D2397" s="2"/>
      <c r="E2397" s="2" t="e">
        <f t="shared" si="0"/>
        <v>#VALUE!</v>
      </c>
    </row>
    <row r="2398" spans="1:5" ht="12.75" customHeight="1" x14ac:dyDescent="0.2">
      <c r="A2398" s="1" t="str">
        <f>HYPERLINK("javascript:void(0)","krokodilbőr")</f>
        <v>krokodilbőr</v>
      </c>
      <c r="B2398" s="1"/>
      <c r="C2398" s="1"/>
      <c r="D2398" s="2"/>
      <c r="E2398" s="2" t="e">
        <f t="shared" si="0"/>
        <v>#VALUE!</v>
      </c>
    </row>
    <row r="2399" spans="1:5" ht="12.75" customHeight="1" x14ac:dyDescent="0.2">
      <c r="A2399" s="3"/>
      <c r="B2399" s="3" t="s">
        <v>0</v>
      </c>
      <c r="C2399" s="3" t="s">
        <v>21</v>
      </c>
      <c r="D2399" s="2"/>
      <c r="E2399" s="2" t="e">
        <f t="shared" si="0"/>
        <v>#VALUE!</v>
      </c>
    </row>
    <row r="2400" spans="1:5" ht="12.75" customHeight="1" x14ac:dyDescent="0.2">
      <c r="A2400" s="3"/>
      <c r="B2400" s="3" t="s">
        <v>2</v>
      </c>
      <c r="C2400" s="3" t="s">
        <v>387</v>
      </c>
      <c r="D2400" s="2"/>
      <c r="E2400" s="2" t="e">
        <f t="shared" si="0"/>
        <v>#VALUE!</v>
      </c>
    </row>
    <row r="2401" spans="1:5" ht="12.75" customHeight="1" x14ac:dyDescent="0.2">
      <c r="A2401" s="3"/>
      <c r="B2401" s="3" t="s">
        <v>9</v>
      </c>
      <c r="C2401" s="3" t="s">
        <v>131</v>
      </c>
      <c r="D2401" s="2"/>
      <c r="E2401" s="2" t="e">
        <f t="shared" si="0"/>
        <v>#VALUE!</v>
      </c>
    </row>
    <row r="2402" spans="1:5" ht="12.75" customHeight="1" x14ac:dyDescent="0.2">
      <c r="A2402" s="3"/>
      <c r="B2402" s="3" t="s">
        <v>11</v>
      </c>
      <c r="C2402" s="3" t="s">
        <v>838</v>
      </c>
      <c r="D2402" s="2"/>
      <c r="E2402" s="2" t="e">
        <f t="shared" si="0"/>
        <v>#VALUE!</v>
      </c>
    </row>
    <row r="2403" spans="1:5" ht="12.75" customHeight="1" x14ac:dyDescent="0.2">
      <c r="A2403" s="3"/>
      <c r="B2403" s="3" t="s">
        <v>18</v>
      </c>
      <c r="C2403" s="4" t="s">
        <v>19</v>
      </c>
      <c r="D2403" s="2"/>
      <c r="E2403" s="2" t="e">
        <f t="shared" si="0"/>
        <v>#VALUE!</v>
      </c>
    </row>
    <row r="2404" spans="1:5" ht="12.75" customHeight="1" x14ac:dyDescent="0.2">
      <c r="A2404" s="1" t="str">
        <f>HYPERLINK("javascript:void(0)","kutyasíp")</f>
        <v>kutyasíp</v>
      </c>
      <c r="B2404" s="1"/>
      <c r="C2404" s="1"/>
      <c r="D2404" s="2"/>
      <c r="E2404" s="2" t="e">
        <f t="shared" si="0"/>
        <v>#VALUE!</v>
      </c>
    </row>
    <row r="2405" spans="1:5" ht="12.75" customHeight="1" x14ac:dyDescent="0.2">
      <c r="A2405" s="3"/>
      <c r="B2405" s="3" t="s">
        <v>0</v>
      </c>
      <c r="C2405" s="3" t="s">
        <v>21</v>
      </c>
      <c r="D2405" s="2"/>
      <c r="E2405" s="2" t="e">
        <f t="shared" si="0"/>
        <v>#VALUE!</v>
      </c>
    </row>
    <row r="2406" spans="1:5" ht="12.75" customHeight="1" x14ac:dyDescent="0.2">
      <c r="A2406" s="3"/>
      <c r="B2406" s="3" t="s">
        <v>2</v>
      </c>
      <c r="C2406" s="3" t="s">
        <v>458</v>
      </c>
      <c r="D2406" s="2"/>
      <c r="E2406" s="2" t="e">
        <f t="shared" si="0"/>
        <v>#VALUE!</v>
      </c>
    </row>
    <row r="2407" spans="1:5" ht="12.75" customHeight="1" x14ac:dyDescent="0.2">
      <c r="A2407" s="3"/>
      <c r="B2407" s="3" t="s">
        <v>9</v>
      </c>
      <c r="C2407" s="3" t="s">
        <v>53</v>
      </c>
      <c r="D2407" s="2"/>
      <c r="E2407" s="2" t="e">
        <f t="shared" si="0"/>
        <v>#VALUE!</v>
      </c>
    </row>
    <row r="2408" spans="1:5" ht="12.75" customHeight="1" x14ac:dyDescent="0.2">
      <c r="A2408" s="3"/>
      <c r="B2408" s="3" t="s">
        <v>11</v>
      </c>
      <c r="C2408" s="3" t="s">
        <v>1260</v>
      </c>
      <c r="D2408" s="2"/>
      <c r="E2408" s="2" t="e">
        <f t="shared" si="0"/>
        <v>#VALUE!</v>
      </c>
    </row>
    <row r="2409" spans="1:5" ht="12.75" customHeight="1" x14ac:dyDescent="0.2">
      <c r="A2409" s="3"/>
      <c r="B2409" s="3" t="s">
        <v>18</v>
      </c>
      <c r="C2409" s="4" t="s">
        <v>19</v>
      </c>
      <c r="D2409" s="2"/>
      <c r="E2409" s="2" t="e">
        <f t="shared" si="0"/>
        <v>#VALUE!</v>
      </c>
    </row>
    <row r="2410" spans="1:5" ht="12.75" customHeight="1" x14ac:dyDescent="0.2">
      <c r="A2410" s="1" t="str">
        <f>HYPERLINK("javascript:void(0)","kvarc")</f>
        <v>kvarc</v>
      </c>
      <c r="B2410" s="1"/>
      <c r="C2410" s="1"/>
      <c r="D2410" s="2"/>
      <c r="E2410" s="2" t="e">
        <f t="shared" si="0"/>
        <v>#VALUE!</v>
      </c>
    </row>
    <row r="2411" spans="1:5" ht="12.75" customHeight="1" x14ac:dyDescent="0.2">
      <c r="A2411" s="3"/>
      <c r="B2411" s="3" t="s">
        <v>0</v>
      </c>
      <c r="C2411" s="3" t="s">
        <v>21</v>
      </c>
      <c r="D2411" s="2"/>
      <c r="E2411" s="2" t="e">
        <f t="shared" si="0"/>
        <v>#VALUE!</v>
      </c>
    </row>
    <row r="2412" spans="1:5" ht="12.75" customHeight="1" x14ac:dyDescent="0.2">
      <c r="A2412" s="3"/>
      <c r="B2412" s="3" t="s">
        <v>2</v>
      </c>
      <c r="C2412" s="3" t="s">
        <v>458</v>
      </c>
      <c r="D2412" s="2"/>
      <c r="E2412" s="2" t="e">
        <f t="shared" si="0"/>
        <v>#VALUE!</v>
      </c>
    </row>
    <row r="2413" spans="1:5" ht="12.75" customHeight="1" x14ac:dyDescent="0.2">
      <c r="A2413" s="3"/>
      <c r="B2413" s="3" t="s">
        <v>9</v>
      </c>
      <c r="C2413" s="3" t="s">
        <v>53</v>
      </c>
      <c r="D2413" s="2"/>
      <c r="E2413" s="2" t="e">
        <f t="shared" si="0"/>
        <v>#VALUE!</v>
      </c>
    </row>
    <row r="2414" spans="1:5" ht="12.75" customHeight="1" x14ac:dyDescent="0.2">
      <c r="A2414" s="3"/>
      <c r="B2414" s="3" t="s">
        <v>11</v>
      </c>
      <c r="C2414" s="3" t="s">
        <v>1265</v>
      </c>
      <c r="D2414" s="2"/>
      <c r="E2414" s="2" t="e">
        <f t="shared" si="0"/>
        <v>#VALUE!</v>
      </c>
    </row>
    <row r="2415" spans="1:5" ht="12.75" customHeight="1" x14ac:dyDescent="0.2">
      <c r="A2415" s="3"/>
      <c r="B2415" s="3" t="s">
        <v>18</v>
      </c>
      <c r="C2415" s="4" t="s">
        <v>19</v>
      </c>
      <c r="D2415" s="2"/>
      <c r="E2415" s="2" t="e">
        <f t="shared" si="0"/>
        <v>#VALUE!</v>
      </c>
    </row>
    <row r="2416" spans="1:5" ht="12.75" customHeight="1" x14ac:dyDescent="0.2">
      <c r="A2416" s="1" t="str">
        <f>HYPERLINK("javascript:void(0)","káoszpite")</f>
        <v>káoszpite</v>
      </c>
      <c r="B2416" s="1"/>
      <c r="C2416" s="1"/>
      <c r="D2416" s="2"/>
      <c r="E2416" s="2" t="e">
        <f t="shared" si="0"/>
        <v>#VALUE!</v>
      </c>
    </row>
    <row r="2417" spans="1:5" ht="12.75" customHeight="1" x14ac:dyDescent="0.2">
      <c r="A2417" s="3"/>
      <c r="B2417" s="3" t="s">
        <v>0</v>
      </c>
      <c r="C2417" s="3" t="s">
        <v>21</v>
      </c>
      <c r="D2417" s="2"/>
      <c r="E2417" s="2" t="e">
        <f t="shared" si="0"/>
        <v>#VALUE!</v>
      </c>
    </row>
    <row r="2418" spans="1:5" ht="12.75" customHeight="1" x14ac:dyDescent="0.2">
      <c r="A2418" s="3"/>
      <c r="B2418" s="3" t="s">
        <v>2</v>
      </c>
      <c r="C2418" s="3" t="s">
        <v>387</v>
      </c>
      <c r="D2418" s="2"/>
      <c r="E2418" s="2" t="e">
        <f t="shared" si="0"/>
        <v>#VALUE!</v>
      </c>
    </row>
    <row r="2419" spans="1:5" ht="12.75" customHeight="1" x14ac:dyDescent="0.2">
      <c r="A2419" s="3"/>
      <c r="B2419" s="3" t="s">
        <v>9</v>
      </c>
      <c r="C2419" s="3" t="s">
        <v>27</v>
      </c>
      <c r="D2419" s="2"/>
      <c r="E2419" s="2" t="e">
        <f t="shared" si="0"/>
        <v>#VALUE!</v>
      </c>
    </row>
    <row r="2420" spans="1:5" ht="12.75" customHeight="1" x14ac:dyDescent="0.2">
      <c r="A2420" s="3"/>
      <c r="B2420" s="3" t="s">
        <v>11</v>
      </c>
      <c r="C2420" s="3" t="s">
        <v>23</v>
      </c>
      <c r="D2420" s="2"/>
      <c r="E2420" s="2" t="e">
        <f t="shared" si="0"/>
        <v>#VALUE!</v>
      </c>
    </row>
    <row r="2421" spans="1:5" ht="12.75" customHeight="1" x14ac:dyDescent="0.2">
      <c r="A2421" s="3"/>
      <c r="B2421" s="3" t="s">
        <v>16</v>
      </c>
      <c r="C2421" s="3" t="s">
        <v>388</v>
      </c>
      <c r="D2421" s="2"/>
      <c r="E2421" s="2" t="e">
        <f t="shared" si="0"/>
        <v>#VALUE!</v>
      </c>
    </row>
    <row r="2422" spans="1:5" ht="12.75" customHeight="1" x14ac:dyDescent="0.2">
      <c r="A2422" s="3"/>
      <c r="B2422" s="3" t="s">
        <v>18</v>
      </c>
      <c r="C2422" s="4" t="s">
        <v>19</v>
      </c>
      <c r="D2422" s="2"/>
      <c r="E2422" s="2" t="e">
        <f t="shared" si="0"/>
        <v>#VALUE!</v>
      </c>
    </row>
    <row r="2423" spans="1:5" ht="12.75" customHeight="1" x14ac:dyDescent="0.2">
      <c r="A2423" s="1" t="str">
        <f>HYPERLINK("javascript:void(0)","káoszárny")</f>
        <v>káoszárny</v>
      </c>
      <c r="B2423" s="1"/>
      <c r="C2423" s="1"/>
      <c r="D2423" s="2"/>
      <c r="E2423" s="2" t="e">
        <f t="shared" si="0"/>
        <v>#VALUE!</v>
      </c>
    </row>
    <row r="2424" spans="1:5" ht="12.75" customHeight="1" x14ac:dyDescent="0.2">
      <c r="A2424" s="3"/>
      <c r="B2424" s="3" t="s">
        <v>0</v>
      </c>
      <c r="C2424" s="3" t="s">
        <v>21</v>
      </c>
      <c r="D2424" s="2"/>
      <c r="E2424" s="2" t="e">
        <f t="shared" si="0"/>
        <v>#VALUE!</v>
      </c>
    </row>
    <row r="2425" spans="1:5" ht="12.75" customHeight="1" x14ac:dyDescent="0.2">
      <c r="A2425" s="3"/>
      <c r="B2425" s="3" t="s">
        <v>2</v>
      </c>
      <c r="C2425" s="3" t="s">
        <v>458</v>
      </c>
      <c r="D2425" s="2"/>
      <c r="E2425" s="2" t="e">
        <f t="shared" si="0"/>
        <v>#VALUE!</v>
      </c>
    </row>
    <row r="2426" spans="1:5" ht="12.75" customHeight="1" x14ac:dyDescent="0.2">
      <c r="A2426" s="3"/>
      <c r="B2426" s="3" t="s">
        <v>9</v>
      </c>
      <c r="C2426" s="3" t="s">
        <v>22</v>
      </c>
      <c r="D2426" s="2"/>
      <c r="E2426" s="2" t="e">
        <f t="shared" si="0"/>
        <v>#VALUE!</v>
      </c>
    </row>
    <row r="2427" spans="1:5" ht="12.75" customHeight="1" x14ac:dyDescent="0.2">
      <c r="A2427" s="3"/>
      <c r="B2427" s="3" t="s">
        <v>11</v>
      </c>
      <c r="C2427" s="3" t="s">
        <v>162</v>
      </c>
      <c r="D2427" s="2"/>
      <c r="E2427" s="2" t="e">
        <f t="shared" si="0"/>
        <v>#VALUE!</v>
      </c>
    </row>
    <row r="2428" spans="1:5" ht="12.75" customHeight="1" x14ac:dyDescent="0.2">
      <c r="A2428" s="3"/>
      <c r="B2428" s="3" t="s">
        <v>18</v>
      </c>
      <c r="C2428" s="4" t="s">
        <v>19</v>
      </c>
      <c r="D2428" s="2"/>
      <c r="E2428" s="2" t="e">
        <f t="shared" si="0"/>
        <v>#VALUE!</v>
      </c>
    </row>
    <row r="2429" spans="1:5" ht="12.75" customHeight="1" x14ac:dyDescent="0.2">
      <c r="A2429" s="1" t="str">
        <f>HYPERLINK("javascript:void(0)","kártyalap")</f>
        <v>kártyalap</v>
      </c>
      <c r="B2429" s="1"/>
      <c r="C2429" s="1"/>
      <c r="D2429" s="2"/>
      <c r="E2429" s="2" t="e">
        <f t="shared" si="0"/>
        <v>#VALUE!</v>
      </c>
    </row>
    <row r="2430" spans="1:5" ht="12.75" customHeight="1" x14ac:dyDescent="0.2">
      <c r="A2430" s="3"/>
      <c r="B2430" s="3" t="s">
        <v>0</v>
      </c>
      <c r="C2430" s="3" t="s">
        <v>21</v>
      </c>
      <c r="D2430" s="2"/>
      <c r="E2430" s="2" t="e">
        <f t="shared" si="0"/>
        <v>#VALUE!</v>
      </c>
    </row>
    <row r="2431" spans="1:5" ht="12.75" customHeight="1" x14ac:dyDescent="0.2">
      <c r="A2431" s="3"/>
      <c r="B2431" s="3" t="s">
        <v>2</v>
      </c>
      <c r="C2431" s="3" t="s">
        <v>458</v>
      </c>
      <c r="D2431" s="2"/>
      <c r="E2431" s="2" t="e">
        <f t="shared" si="0"/>
        <v>#VALUE!</v>
      </c>
    </row>
    <row r="2432" spans="1:5" ht="12.75" customHeight="1" x14ac:dyDescent="0.2">
      <c r="A2432" s="3"/>
      <c r="B2432" s="3" t="s">
        <v>9</v>
      </c>
      <c r="C2432" s="3" t="s">
        <v>22</v>
      </c>
      <c r="D2432" s="2"/>
      <c r="E2432" s="2" t="e">
        <f t="shared" si="0"/>
        <v>#VALUE!</v>
      </c>
    </row>
    <row r="2433" spans="1:5" ht="12.75" customHeight="1" x14ac:dyDescent="0.2">
      <c r="A2433" s="3"/>
      <c r="B2433" s="3" t="s">
        <v>11</v>
      </c>
      <c r="C2433" s="3" t="s">
        <v>520</v>
      </c>
      <c r="D2433" s="2"/>
      <c r="E2433" s="2" t="e">
        <f t="shared" si="0"/>
        <v>#VALUE!</v>
      </c>
    </row>
    <row r="2434" spans="1:5" ht="12.75" customHeight="1" x14ac:dyDescent="0.2">
      <c r="A2434" s="3"/>
      <c r="B2434" s="3" t="s">
        <v>18</v>
      </c>
      <c r="C2434" s="4" t="s">
        <v>19</v>
      </c>
      <c r="D2434" s="2"/>
      <c r="E2434" s="2" t="e">
        <f t="shared" si="0"/>
        <v>#VALUE!</v>
      </c>
    </row>
    <row r="2435" spans="1:5" ht="12.75" customHeight="1" x14ac:dyDescent="0.2">
      <c r="A2435" s="1" t="str">
        <f>HYPERLINK("javascript:void(0)","kárópikkely")</f>
        <v>kárópikkely</v>
      </c>
      <c r="B2435" s="1"/>
      <c r="C2435" s="1"/>
      <c r="D2435" s="2"/>
      <c r="E2435" s="2" t="e">
        <f t="shared" si="0"/>
        <v>#VALUE!</v>
      </c>
    </row>
    <row r="2436" spans="1:5" ht="12.75" customHeight="1" x14ac:dyDescent="0.2">
      <c r="A2436" s="3"/>
      <c r="B2436" s="3" t="s">
        <v>0</v>
      </c>
      <c r="C2436" s="3" t="s">
        <v>21</v>
      </c>
      <c r="D2436" s="2"/>
      <c r="E2436" s="2" t="e">
        <f t="shared" si="0"/>
        <v>#VALUE!</v>
      </c>
    </row>
    <row r="2437" spans="1:5" ht="12.75" customHeight="1" x14ac:dyDescent="0.2">
      <c r="A2437" s="3"/>
      <c r="B2437" s="3" t="s">
        <v>2</v>
      </c>
      <c r="C2437" s="3" t="s">
        <v>458</v>
      </c>
      <c r="D2437" s="2"/>
      <c r="E2437" s="2" t="e">
        <f t="shared" si="0"/>
        <v>#VALUE!</v>
      </c>
    </row>
    <row r="2438" spans="1:5" ht="12.75" customHeight="1" x14ac:dyDescent="0.2">
      <c r="A2438" s="3"/>
      <c r="B2438" s="3" t="s">
        <v>9</v>
      </c>
      <c r="C2438" s="3" t="s">
        <v>22</v>
      </c>
      <c r="D2438" s="2"/>
      <c r="E2438" s="2" t="e">
        <f t="shared" si="0"/>
        <v>#VALUE!</v>
      </c>
    </row>
    <row r="2439" spans="1:5" ht="12.75" customHeight="1" x14ac:dyDescent="0.2">
      <c r="A2439" s="3"/>
      <c r="B2439" s="3" t="s">
        <v>11</v>
      </c>
      <c r="C2439" s="3" t="s">
        <v>227</v>
      </c>
      <c r="D2439" s="2"/>
      <c r="E2439" s="2" t="e">
        <f t="shared" si="0"/>
        <v>#VALUE!</v>
      </c>
    </row>
    <row r="2440" spans="1:5" ht="12.75" customHeight="1" x14ac:dyDescent="0.2">
      <c r="A2440" s="3"/>
      <c r="B2440" s="3" t="s">
        <v>18</v>
      </c>
      <c r="C2440" s="4" t="s">
        <v>19</v>
      </c>
      <c r="D2440" s="2"/>
      <c r="E2440" s="2" t="e">
        <f t="shared" si="0"/>
        <v>#VALUE!</v>
      </c>
    </row>
    <row r="2441" spans="1:5" ht="12.75" customHeight="1" x14ac:dyDescent="0.2">
      <c r="A2441" s="1" t="str">
        <f>HYPERLINK("javascript:void(0)","kátrányszárny")</f>
        <v>kátrányszárny</v>
      </c>
      <c r="B2441" s="1"/>
      <c r="C2441" s="1"/>
      <c r="D2441" s="2"/>
      <c r="E2441" s="2" t="e">
        <f t="shared" si="0"/>
        <v>#VALUE!</v>
      </c>
    </row>
    <row r="2442" spans="1:5" ht="12.75" customHeight="1" x14ac:dyDescent="0.2">
      <c r="A2442" s="3"/>
      <c r="B2442" s="3" t="s">
        <v>0</v>
      </c>
      <c r="C2442" s="3" t="s">
        <v>21</v>
      </c>
      <c r="D2442" s="2"/>
      <c r="E2442" s="2" t="e">
        <f t="shared" si="0"/>
        <v>#VALUE!</v>
      </c>
    </row>
    <row r="2443" spans="1:5" ht="12.75" customHeight="1" x14ac:dyDescent="0.2">
      <c r="A2443" s="3"/>
      <c r="B2443" s="3" t="s">
        <v>2</v>
      </c>
      <c r="C2443" s="3" t="s">
        <v>458</v>
      </c>
      <c r="D2443" s="2"/>
      <c r="E2443" s="2" t="e">
        <f t="shared" si="0"/>
        <v>#VALUE!</v>
      </c>
    </row>
    <row r="2444" spans="1:5" ht="12.75" customHeight="1" x14ac:dyDescent="0.2">
      <c r="A2444" s="3"/>
      <c r="B2444" s="3" t="s">
        <v>9</v>
      </c>
      <c r="C2444" s="3" t="s">
        <v>22</v>
      </c>
      <c r="D2444" s="2"/>
      <c r="E2444" s="2" t="e">
        <f t="shared" si="0"/>
        <v>#VALUE!</v>
      </c>
    </row>
    <row r="2445" spans="1:5" ht="12.75" customHeight="1" x14ac:dyDescent="0.2">
      <c r="A2445" s="3"/>
      <c r="B2445" s="3" t="s">
        <v>11</v>
      </c>
      <c r="C2445" s="3" t="s">
        <v>162</v>
      </c>
      <c r="D2445" s="2"/>
      <c r="E2445" s="2" t="e">
        <f t="shared" si="0"/>
        <v>#VALUE!</v>
      </c>
    </row>
    <row r="2446" spans="1:5" ht="12.75" customHeight="1" x14ac:dyDescent="0.2">
      <c r="A2446" s="3"/>
      <c r="B2446" s="3" t="s">
        <v>18</v>
      </c>
      <c r="C2446" s="4" t="s">
        <v>19</v>
      </c>
      <c r="D2446" s="2"/>
      <c r="E2446" s="2" t="e">
        <f t="shared" si="0"/>
        <v>#VALUE!</v>
      </c>
    </row>
    <row r="2447" spans="1:5" ht="12.75" customHeight="1" x14ac:dyDescent="0.2">
      <c r="A2447" s="1" t="str">
        <f>HYPERLINK("javascript:void(0)","képcső")</f>
        <v>képcső</v>
      </c>
      <c r="B2447" s="1"/>
      <c r="C2447" s="1"/>
      <c r="D2447" s="2"/>
      <c r="E2447" s="2" t="e">
        <f t="shared" si="0"/>
        <v>#VALUE!</v>
      </c>
    </row>
    <row r="2448" spans="1:5" ht="12.75" customHeight="1" x14ac:dyDescent="0.2">
      <c r="A2448" s="3"/>
      <c r="B2448" s="3" t="s">
        <v>0</v>
      </c>
      <c r="C2448" s="3" t="s">
        <v>21</v>
      </c>
      <c r="D2448" s="2"/>
      <c r="E2448" s="2" t="e">
        <f t="shared" si="0"/>
        <v>#VALUE!</v>
      </c>
    </row>
    <row r="2449" spans="1:5" ht="12.75" customHeight="1" x14ac:dyDescent="0.2">
      <c r="A2449" s="3"/>
      <c r="B2449" s="3" t="s">
        <v>2</v>
      </c>
      <c r="C2449" s="3" t="s">
        <v>458</v>
      </c>
      <c r="D2449" s="2"/>
      <c r="E2449" s="2" t="e">
        <f t="shared" si="0"/>
        <v>#VALUE!</v>
      </c>
    </row>
    <row r="2450" spans="1:5" ht="12.75" customHeight="1" x14ac:dyDescent="0.2">
      <c r="A2450" s="3"/>
      <c r="B2450" s="3" t="s">
        <v>9</v>
      </c>
      <c r="C2450" s="3" t="s">
        <v>84</v>
      </c>
      <c r="D2450" s="2"/>
      <c r="E2450" s="2" t="e">
        <f t="shared" si="0"/>
        <v>#VALUE!</v>
      </c>
    </row>
    <row r="2451" spans="1:5" ht="12.75" customHeight="1" x14ac:dyDescent="0.2">
      <c r="A2451" s="3"/>
      <c r="B2451" s="3" t="s">
        <v>11</v>
      </c>
      <c r="C2451" s="3" t="s">
        <v>490</v>
      </c>
      <c r="D2451" s="2"/>
      <c r="E2451" s="2" t="e">
        <f t="shared" si="0"/>
        <v>#VALUE!</v>
      </c>
    </row>
    <row r="2452" spans="1:5" ht="12.75" customHeight="1" x14ac:dyDescent="0.2">
      <c r="A2452" s="3"/>
      <c r="B2452" s="3" t="s">
        <v>18</v>
      </c>
      <c r="C2452" s="4" t="s">
        <v>19</v>
      </c>
      <c r="D2452" s="2"/>
      <c r="E2452" s="2" t="e">
        <f t="shared" si="0"/>
        <v>#VALUE!</v>
      </c>
    </row>
    <row r="2453" spans="1:5" ht="12.75" customHeight="1" x14ac:dyDescent="0.2">
      <c r="A2453" s="1" t="str">
        <f>HYPERLINK("javascript:void(0)","képszél")</f>
        <v>képszél</v>
      </c>
      <c r="B2453" s="1"/>
      <c r="C2453" s="1"/>
      <c r="D2453" s="2"/>
      <c r="E2453" s="2" t="e">
        <f t="shared" si="0"/>
        <v>#VALUE!</v>
      </c>
    </row>
    <row r="2454" spans="1:5" ht="12.75" customHeight="1" x14ac:dyDescent="0.2">
      <c r="A2454" s="3"/>
      <c r="B2454" s="3" t="s">
        <v>0</v>
      </c>
      <c r="C2454" s="3" t="s">
        <v>21</v>
      </c>
      <c r="D2454" s="2"/>
      <c r="E2454" s="2" t="e">
        <f t="shared" si="0"/>
        <v>#VALUE!</v>
      </c>
    </row>
    <row r="2455" spans="1:5" ht="12.75" customHeight="1" x14ac:dyDescent="0.2">
      <c r="A2455" s="3"/>
      <c r="B2455" s="3" t="s">
        <v>2</v>
      </c>
      <c r="C2455" s="3" t="s">
        <v>458</v>
      </c>
      <c r="D2455" s="2"/>
      <c r="E2455" s="2" t="e">
        <f t="shared" si="0"/>
        <v>#VALUE!</v>
      </c>
    </row>
    <row r="2456" spans="1:5" ht="12.75" customHeight="1" x14ac:dyDescent="0.2">
      <c r="A2456" s="3"/>
      <c r="B2456" s="3" t="s">
        <v>9</v>
      </c>
      <c r="C2456" s="3" t="s">
        <v>10</v>
      </c>
      <c r="D2456" s="2"/>
      <c r="E2456" s="2" t="e">
        <f t="shared" si="0"/>
        <v>#VALUE!</v>
      </c>
    </row>
    <row r="2457" spans="1:5" ht="12.75" customHeight="1" x14ac:dyDescent="0.2">
      <c r="A2457" s="3"/>
      <c r="B2457" s="3" t="s">
        <v>11</v>
      </c>
      <c r="C2457" s="3" t="s">
        <v>646</v>
      </c>
      <c r="D2457" s="2"/>
      <c r="E2457" s="2" t="e">
        <f t="shared" si="0"/>
        <v>#VALUE!</v>
      </c>
    </row>
    <row r="2458" spans="1:5" ht="12.75" customHeight="1" x14ac:dyDescent="0.2">
      <c r="A2458" s="3"/>
      <c r="B2458" s="3" t="s">
        <v>18</v>
      </c>
      <c r="C2458" s="4" t="s">
        <v>19</v>
      </c>
      <c r="D2458" s="2"/>
      <c r="E2458" s="2" t="e">
        <f t="shared" si="0"/>
        <v>#VALUE!</v>
      </c>
    </row>
    <row r="2459" spans="1:5" ht="12.75" customHeight="1" x14ac:dyDescent="0.2">
      <c r="A2459" s="1" t="str">
        <f>HYPERLINK("javascript:void(0)","kéreg")</f>
        <v>kéreg</v>
      </c>
      <c r="B2459" s="1"/>
      <c r="C2459" s="1"/>
      <c r="D2459" s="2"/>
      <c r="E2459" s="2" t="e">
        <f t="shared" si="0"/>
        <v>#VALUE!</v>
      </c>
    </row>
    <row r="2460" spans="1:5" ht="12.75" customHeight="1" x14ac:dyDescent="0.2">
      <c r="A2460" s="3"/>
      <c r="B2460" s="3" t="s">
        <v>0</v>
      </c>
      <c r="C2460" s="3" t="s">
        <v>21</v>
      </c>
      <c r="D2460" s="2"/>
      <c r="E2460" s="2" t="e">
        <f t="shared" si="0"/>
        <v>#VALUE!</v>
      </c>
    </row>
    <row r="2461" spans="1:5" ht="12.75" customHeight="1" x14ac:dyDescent="0.2">
      <c r="A2461" s="3"/>
      <c r="B2461" s="3" t="s">
        <v>2</v>
      </c>
      <c r="C2461" s="3" t="s">
        <v>458</v>
      </c>
      <c r="D2461" s="2"/>
      <c r="E2461" s="2" t="e">
        <f t="shared" si="0"/>
        <v>#VALUE!</v>
      </c>
    </row>
    <row r="2462" spans="1:5" ht="12.75" customHeight="1" x14ac:dyDescent="0.2">
      <c r="A2462" s="3"/>
      <c r="B2462" s="3" t="s">
        <v>9</v>
      </c>
      <c r="C2462" s="3" t="s">
        <v>210</v>
      </c>
      <c r="D2462" s="2"/>
      <c r="E2462" s="2" t="e">
        <f t="shared" si="0"/>
        <v>#VALUE!</v>
      </c>
    </row>
    <row r="2463" spans="1:5" ht="12.75" customHeight="1" x14ac:dyDescent="0.2">
      <c r="A2463" s="3"/>
      <c r="B2463" s="3" t="s">
        <v>11</v>
      </c>
      <c r="C2463" s="3" t="s">
        <v>89</v>
      </c>
      <c r="D2463" s="2"/>
      <c r="E2463" s="2" t="e">
        <f t="shared" si="0"/>
        <v>#VALUE!</v>
      </c>
    </row>
    <row r="2464" spans="1:5" ht="12.75" customHeight="1" x14ac:dyDescent="0.2">
      <c r="A2464" s="3"/>
      <c r="B2464" s="3" t="s">
        <v>18</v>
      </c>
      <c r="C2464" s="4" t="s">
        <v>19</v>
      </c>
      <c r="D2464" s="2"/>
      <c r="E2464" s="2" t="e">
        <f t="shared" si="0"/>
        <v>#VALUE!</v>
      </c>
    </row>
    <row r="2465" spans="1:5" ht="12.75" customHeight="1" x14ac:dyDescent="0.2">
      <c r="A2465" s="1" t="str">
        <f>HYPERLINK("javascript:void(0)","kígyóborda")</f>
        <v>kígyóborda</v>
      </c>
      <c r="B2465" s="1"/>
      <c r="C2465" s="1"/>
      <c r="D2465" s="2"/>
      <c r="E2465" s="2" t="e">
        <f t="shared" si="0"/>
        <v>#VALUE!</v>
      </c>
    </row>
    <row r="2466" spans="1:5" ht="12.75" customHeight="1" x14ac:dyDescent="0.2">
      <c r="A2466" s="3"/>
      <c r="B2466" s="3" t="s">
        <v>0</v>
      </c>
      <c r="C2466" s="3" t="s">
        <v>21</v>
      </c>
      <c r="D2466" s="2"/>
      <c r="E2466" s="2" t="e">
        <f t="shared" si="0"/>
        <v>#VALUE!</v>
      </c>
    </row>
    <row r="2467" spans="1:5" ht="12.75" customHeight="1" x14ac:dyDescent="0.2">
      <c r="A2467" s="3"/>
      <c r="B2467" s="3" t="s">
        <v>2</v>
      </c>
      <c r="C2467" s="3" t="s">
        <v>458</v>
      </c>
      <c r="D2467" s="2"/>
      <c r="E2467" s="2" t="e">
        <f t="shared" si="0"/>
        <v>#VALUE!</v>
      </c>
    </row>
    <row r="2468" spans="1:5" ht="12.75" customHeight="1" x14ac:dyDescent="0.2">
      <c r="A2468" s="3"/>
      <c r="B2468" s="3" t="s">
        <v>9</v>
      </c>
      <c r="C2468" s="3" t="s">
        <v>22</v>
      </c>
      <c r="D2468" s="2"/>
      <c r="E2468" s="2" t="e">
        <f t="shared" si="0"/>
        <v>#VALUE!</v>
      </c>
    </row>
    <row r="2469" spans="1:5" ht="12.75" customHeight="1" x14ac:dyDescent="0.2">
      <c r="A2469" s="3"/>
      <c r="B2469" s="3" t="s">
        <v>11</v>
      </c>
      <c r="C2469" s="3" t="s">
        <v>761</v>
      </c>
      <c r="D2469" s="2"/>
      <c r="E2469" s="2" t="e">
        <f t="shared" si="0"/>
        <v>#VALUE!</v>
      </c>
    </row>
    <row r="2470" spans="1:5" ht="12.75" customHeight="1" x14ac:dyDescent="0.2">
      <c r="A2470" s="3"/>
      <c r="B2470" s="3" t="s">
        <v>18</v>
      </c>
      <c r="C2470" s="4" t="s">
        <v>19</v>
      </c>
      <c r="D2470" s="2"/>
      <c r="E2470" s="2" t="e">
        <f t="shared" si="0"/>
        <v>#VALUE!</v>
      </c>
    </row>
    <row r="2471" spans="1:5" ht="12.75" customHeight="1" x14ac:dyDescent="0.2">
      <c r="A2471" s="1" t="str">
        <f>HYPERLINK("javascript:void(0)","kígyócsörgő")</f>
        <v>kígyócsörgő</v>
      </c>
      <c r="B2471" s="1"/>
      <c r="C2471" s="1"/>
      <c r="D2471" s="2"/>
      <c r="E2471" s="2" t="e">
        <f t="shared" si="0"/>
        <v>#VALUE!</v>
      </c>
    </row>
    <row r="2472" spans="1:5" ht="12.75" customHeight="1" x14ac:dyDescent="0.2">
      <c r="A2472" s="3"/>
      <c r="B2472" s="3" t="s">
        <v>0</v>
      </c>
      <c r="C2472" s="3" t="s">
        <v>21</v>
      </c>
      <c r="D2472" s="2"/>
      <c r="E2472" s="2" t="e">
        <f t="shared" si="0"/>
        <v>#VALUE!</v>
      </c>
    </row>
    <row r="2473" spans="1:5" ht="12.75" customHeight="1" x14ac:dyDescent="0.2">
      <c r="A2473" s="3"/>
      <c r="B2473" s="3" t="s">
        <v>2</v>
      </c>
      <c r="C2473" s="3" t="s">
        <v>458</v>
      </c>
      <c r="D2473" s="2"/>
      <c r="E2473" s="2" t="e">
        <f t="shared" si="0"/>
        <v>#VALUE!</v>
      </c>
    </row>
    <row r="2474" spans="1:5" ht="12.75" customHeight="1" x14ac:dyDescent="0.2">
      <c r="A2474" s="3"/>
      <c r="B2474" s="3" t="s">
        <v>9</v>
      </c>
      <c r="C2474" s="3" t="s">
        <v>137</v>
      </c>
      <c r="D2474" s="2"/>
      <c r="E2474" s="2" t="e">
        <f t="shared" si="0"/>
        <v>#VALUE!</v>
      </c>
    </row>
    <row r="2475" spans="1:5" ht="12.75" customHeight="1" x14ac:dyDescent="0.2">
      <c r="A2475" s="3"/>
      <c r="B2475" s="3" t="s">
        <v>11</v>
      </c>
      <c r="C2475" s="3" t="s">
        <v>505</v>
      </c>
      <c r="D2475" s="2"/>
      <c r="E2475" s="2" t="e">
        <f t="shared" si="0"/>
        <v>#VALUE!</v>
      </c>
    </row>
    <row r="2476" spans="1:5" ht="12.75" customHeight="1" x14ac:dyDescent="0.2">
      <c r="A2476" s="3"/>
      <c r="B2476" s="3" t="s">
        <v>18</v>
      </c>
      <c r="C2476" s="4" t="s">
        <v>19</v>
      </c>
      <c r="D2476" s="2"/>
      <c r="E2476" s="2" t="e">
        <f t="shared" si="0"/>
        <v>#VALUE!</v>
      </c>
    </row>
    <row r="2477" spans="1:5" ht="12.75" customHeight="1" x14ac:dyDescent="0.2">
      <c r="A2477" s="1" t="str">
        <f>HYPERLINK("javascript:void(0)","kígyópikkely")</f>
        <v>kígyópikkely</v>
      </c>
      <c r="B2477" s="1"/>
      <c r="C2477" s="1"/>
      <c r="D2477" s="2"/>
      <c r="E2477" s="2" t="e">
        <f t="shared" si="0"/>
        <v>#VALUE!</v>
      </c>
    </row>
    <row r="2478" spans="1:5" ht="12.75" customHeight="1" x14ac:dyDescent="0.2">
      <c r="A2478" s="3"/>
      <c r="B2478" s="3" t="s">
        <v>0</v>
      </c>
      <c r="C2478" s="3" t="s">
        <v>21</v>
      </c>
      <c r="D2478" s="2"/>
      <c r="E2478" s="2" t="e">
        <f t="shared" si="0"/>
        <v>#VALUE!</v>
      </c>
    </row>
    <row r="2479" spans="1:5" ht="12.75" customHeight="1" x14ac:dyDescent="0.2">
      <c r="A2479" s="3"/>
      <c r="B2479" s="3" t="s">
        <v>2</v>
      </c>
      <c r="C2479" s="3" t="s">
        <v>458</v>
      </c>
      <c r="D2479" s="2"/>
      <c r="E2479" s="2" t="e">
        <f t="shared" si="0"/>
        <v>#VALUE!</v>
      </c>
    </row>
    <row r="2480" spans="1:5" ht="12.75" customHeight="1" x14ac:dyDescent="0.2">
      <c r="A2480" s="3"/>
      <c r="B2480" s="3" t="s">
        <v>9</v>
      </c>
      <c r="C2480" s="3" t="s">
        <v>1001</v>
      </c>
      <c r="D2480" s="2"/>
      <c r="E2480" s="2" t="e">
        <f t="shared" si="0"/>
        <v>#VALUE!</v>
      </c>
    </row>
    <row r="2481" spans="1:5" ht="12.75" customHeight="1" x14ac:dyDescent="0.2">
      <c r="A2481" s="3"/>
      <c r="B2481" s="3" t="s">
        <v>11</v>
      </c>
      <c r="C2481" s="3" t="s">
        <v>520</v>
      </c>
      <c r="D2481" s="2"/>
      <c r="E2481" s="2" t="e">
        <f t="shared" si="0"/>
        <v>#VALUE!</v>
      </c>
    </row>
    <row r="2482" spans="1:5" ht="12.75" customHeight="1" x14ac:dyDescent="0.2">
      <c r="A2482" s="3"/>
      <c r="B2482" s="3" t="s">
        <v>18</v>
      </c>
      <c r="C2482" s="4" t="s">
        <v>19</v>
      </c>
      <c r="D2482" s="2"/>
      <c r="E2482" s="2" t="e">
        <f t="shared" si="0"/>
        <v>#VALUE!</v>
      </c>
    </row>
    <row r="2483" spans="1:5" ht="12.75" customHeight="1" x14ac:dyDescent="0.2">
      <c r="A2483" s="1" t="str">
        <f>HYPERLINK("javascript:void(0)","kívánság")</f>
        <v>kívánság</v>
      </c>
      <c r="B2483" s="1"/>
      <c r="C2483" s="1"/>
      <c r="D2483" s="2"/>
      <c r="E2483" s="2" t="e">
        <f t="shared" si="0"/>
        <v>#VALUE!</v>
      </c>
    </row>
    <row r="2484" spans="1:5" ht="12.75" customHeight="1" x14ac:dyDescent="0.2">
      <c r="A2484" s="3"/>
      <c r="B2484" s="3" t="s">
        <v>0</v>
      </c>
      <c r="C2484" s="3" t="s">
        <v>21</v>
      </c>
      <c r="D2484" s="2"/>
      <c r="E2484" s="2" t="e">
        <f t="shared" si="0"/>
        <v>#VALUE!</v>
      </c>
    </row>
    <row r="2485" spans="1:5" ht="12.75" customHeight="1" x14ac:dyDescent="0.2">
      <c r="A2485" s="3"/>
      <c r="B2485" s="3" t="s">
        <v>2</v>
      </c>
      <c r="C2485" s="3" t="s">
        <v>458</v>
      </c>
      <c r="D2485" s="2"/>
      <c r="E2485" s="2" t="e">
        <f t="shared" si="0"/>
        <v>#VALUE!</v>
      </c>
    </row>
    <row r="2486" spans="1:5" ht="12.75" customHeight="1" x14ac:dyDescent="0.2">
      <c r="A2486" s="3"/>
      <c r="B2486" s="3" t="s">
        <v>9</v>
      </c>
      <c r="C2486" s="3" t="s">
        <v>22</v>
      </c>
      <c r="D2486" s="2"/>
      <c r="E2486" s="2" t="e">
        <f t="shared" si="0"/>
        <v>#VALUE!</v>
      </c>
    </row>
    <row r="2487" spans="1:5" ht="12.75" customHeight="1" x14ac:dyDescent="0.2">
      <c r="A2487" s="3"/>
      <c r="B2487" s="3" t="s">
        <v>11</v>
      </c>
      <c r="C2487" s="3" t="s">
        <v>721</v>
      </c>
      <c r="D2487" s="2"/>
      <c r="E2487" s="2" t="e">
        <f t="shared" si="0"/>
        <v>#VALUE!</v>
      </c>
    </row>
    <row r="2488" spans="1:5" ht="12.75" customHeight="1" x14ac:dyDescent="0.2">
      <c r="A2488" s="3"/>
      <c r="B2488" s="3" t="s">
        <v>18</v>
      </c>
      <c r="C2488" s="4" t="s">
        <v>19</v>
      </c>
      <c r="D2488" s="2"/>
      <c r="E2488" s="2" t="e">
        <f t="shared" si="0"/>
        <v>#VALUE!</v>
      </c>
    </row>
    <row r="2489" spans="1:5" ht="12.75" customHeight="1" x14ac:dyDescent="0.2">
      <c r="A2489" s="1" t="str">
        <f>HYPERLINK("javascript:void(0)","kócsagtoll")</f>
        <v>kócsagtoll</v>
      </c>
      <c r="B2489" s="1"/>
      <c r="C2489" s="1"/>
      <c r="D2489" s="2"/>
      <c r="E2489" s="2" t="e">
        <f t="shared" si="0"/>
        <v>#VALUE!</v>
      </c>
    </row>
    <row r="2490" spans="1:5" ht="12.75" customHeight="1" x14ac:dyDescent="0.2">
      <c r="A2490" s="3"/>
      <c r="B2490" s="3" t="s">
        <v>0</v>
      </c>
      <c r="C2490" s="3" t="s">
        <v>21</v>
      </c>
      <c r="D2490" s="2"/>
      <c r="E2490" s="2" t="e">
        <f t="shared" si="0"/>
        <v>#VALUE!</v>
      </c>
    </row>
    <row r="2491" spans="1:5" ht="12.75" customHeight="1" x14ac:dyDescent="0.2">
      <c r="A2491" s="3"/>
      <c r="B2491" s="3" t="s">
        <v>2</v>
      </c>
      <c r="C2491" s="3" t="s">
        <v>458</v>
      </c>
      <c r="D2491" s="2"/>
      <c r="E2491" s="2" t="e">
        <f t="shared" si="0"/>
        <v>#VALUE!</v>
      </c>
    </row>
    <row r="2492" spans="1:5" ht="12.75" customHeight="1" x14ac:dyDescent="0.2">
      <c r="A2492" s="3"/>
      <c r="B2492" s="3" t="s">
        <v>9</v>
      </c>
      <c r="C2492" s="3" t="s">
        <v>22</v>
      </c>
      <c r="D2492" s="2"/>
      <c r="E2492" s="2" t="e">
        <f t="shared" si="0"/>
        <v>#VALUE!</v>
      </c>
    </row>
    <row r="2493" spans="1:5" ht="12.75" customHeight="1" x14ac:dyDescent="0.2">
      <c r="A2493" s="3"/>
      <c r="B2493" s="3" t="s">
        <v>11</v>
      </c>
      <c r="C2493" s="3" t="s">
        <v>519</v>
      </c>
      <c r="D2493" s="2"/>
      <c r="E2493" s="2" t="e">
        <f t="shared" si="0"/>
        <v>#VALUE!</v>
      </c>
    </row>
    <row r="2494" spans="1:5" ht="12.75" customHeight="1" x14ac:dyDescent="0.2">
      <c r="A2494" s="3"/>
      <c r="B2494" s="3" t="s">
        <v>18</v>
      </c>
      <c r="C2494" s="4" t="s">
        <v>19</v>
      </c>
      <c r="D2494" s="2"/>
      <c r="E2494" s="2" t="e">
        <f t="shared" si="0"/>
        <v>#VALUE!</v>
      </c>
    </row>
    <row r="2495" spans="1:5" ht="12.75" customHeight="1" x14ac:dyDescent="0.2">
      <c r="A2495" s="1" t="str">
        <f>HYPERLINK("javascript:void(0)","kókuszpor")</f>
        <v>kókuszpor</v>
      </c>
      <c r="B2495" s="1"/>
      <c r="C2495" s="1"/>
      <c r="D2495" s="2"/>
      <c r="E2495" s="2" t="e">
        <f t="shared" si="0"/>
        <v>#VALUE!</v>
      </c>
    </row>
    <row r="2496" spans="1:5" ht="12.75" customHeight="1" x14ac:dyDescent="0.2">
      <c r="A2496" s="3"/>
      <c r="B2496" s="3" t="s">
        <v>0</v>
      </c>
      <c r="C2496" s="3" t="s">
        <v>21</v>
      </c>
      <c r="D2496" s="2"/>
      <c r="E2496" s="2" t="e">
        <f t="shared" si="0"/>
        <v>#VALUE!</v>
      </c>
    </row>
    <row r="2497" spans="1:5" ht="12.75" customHeight="1" x14ac:dyDescent="0.2">
      <c r="A2497" s="3"/>
      <c r="B2497" s="3" t="s">
        <v>2</v>
      </c>
      <c r="C2497" s="3" t="s">
        <v>458</v>
      </c>
      <c r="D2497" s="2"/>
      <c r="E2497" s="2" t="e">
        <f t="shared" si="0"/>
        <v>#VALUE!</v>
      </c>
    </row>
    <row r="2498" spans="1:5" ht="12.75" customHeight="1" x14ac:dyDescent="0.2">
      <c r="A2498" s="3"/>
      <c r="B2498" s="3" t="s">
        <v>9</v>
      </c>
      <c r="C2498" s="3" t="s">
        <v>22</v>
      </c>
      <c r="D2498" s="2"/>
      <c r="E2498" s="2" t="e">
        <f t="shared" si="0"/>
        <v>#VALUE!</v>
      </c>
    </row>
    <row r="2499" spans="1:5" ht="12.75" customHeight="1" x14ac:dyDescent="0.2">
      <c r="A2499" s="3"/>
      <c r="B2499" s="3" t="s">
        <v>11</v>
      </c>
      <c r="C2499" s="3" t="s">
        <v>505</v>
      </c>
      <c r="D2499" s="2"/>
      <c r="E2499" s="2" t="e">
        <f t="shared" si="0"/>
        <v>#VALUE!</v>
      </c>
    </row>
    <row r="2500" spans="1:5" ht="12.75" customHeight="1" x14ac:dyDescent="0.2">
      <c r="A2500" s="3"/>
      <c r="B2500" s="3" t="s">
        <v>18</v>
      </c>
      <c r="C2500" s="4" t="s">
        <v>19</v>
      </c>
      <c r="D2500" s="2"/>
      <c r="E2500" s="2" t="e">
        <f t="shared" si="0"/>
        <v>#VALUE!</v>
      </c>
    </row>
    <row r="2501" spans="1:5" ht="12.75" customHeight="1" x14ac:dyDescent="0.2">
      <c r="A2501" s="1" t="str">
        <f>HYPERLINK("javascript:void(0)","kónya")</f>
        <v>kónya</v>
      </c>
      <c r="B2501" s="1"/>
      <c r="C2501" s="1"/>
      <c r="D2501" s="2"/>
      <c r="E2501" s="2" t="e">
        <f t="shared" si="0"/>
        <v>#VALUE!</v>
      </c>
    </row>
    <row r="2502" spans="1:5" ht="12.75" customHeight="1" x14ac:dyDescent="0.2">
      <c r="A2502" s="3"/>
      <c r="B2502" s="3" t="s">
        <v>0</v>
      </c>
      <c r="C2502" s="3" t="s">
        <v>21</v>
      </c>
      <c r="D2502" s="2"/>
      <c r="E2502" s="2" t="e">
        <f t="shared" si="0"/>
        <v>#VALUE!</v>
      </c>
    </row>
    <row r="2503" spans="1:5" ht="12.75" customHeight="1" x14ac:dyDescent="0.2">
      <c r="A2503" s="3"/>
      <c r="B2503" s="3" t="s">
        <v>2</v>
      </c>
      <c r="C2503" s="3" t="s">
        <v>458</v>
      </c>
      <c r="D2503" s="2"/>
      <c r="E2503" s="2" t="e">
        <f t="shared" si="0"/>
        <v>#VALUE!</v>
      </c>
    </row>
    <row r="2504" spans="1:5" ht="12.75" customHeight="1" x14ac:dyDescent="0.2">
      <c r="A2504" s="3"/>
      <c r="B2504" s="3" t="s">
        <v>9</v>
      </c>
      <c r="C2504" s="3" t="s">
        <v>22</v>
      </c>
      <c r="D2504" s="2"/>
      <c r="E2504" s="2" t="e">
        <f t="shared" si="0"/>
        <v>#VALUE!</v>
      </c>
    </row>
    <row r="2505" spans="1:5" ht="12.75" customHeight="1" x14ac:dyDescent="0.2">
      <c r="A2505" s="3"/>
      <c r="B2505" s="3" t="s">
        <v>11</v>
      </c>
      <c r="C2505" s="3" t="s">
        <v>749</v>
      </c>
      <c r="D2505" s="2"/>
      <c r="E2505" s="2" t="e">
        <f t="shared" si="0"/>
        <v>#VALUE!</v>
      </c>
    </row>
    <row r="2506" spans="1:5" ht="12.75" customHeight="1" x14ac:dyDescent="0.2">
      <c r="A2506" s="3"/>
      <c r="B2506" s="3" t="s">
        <v>18</v>
      </c>
      <c r="C2506" s="4" t="s">
        <v>19</v>
      </c>
      <c r="D2506" s="2"/>
      <c r="E2506" s="2" t="e">
        <f t="shared" si="0"/>
        <v>#VALUE!</v>
      </c>
    </row>
    <row r="2507" spans="1:5" ht="12.75" customHeight="1" x14ac:dyDescent="0.2">
      <c r="A2507" s="1" t="str">
        <f>HYPERLINK("javascript:void(0)","ködige")</f>
        <v>ködige</v>
      </c>
      <c r="B2507" s="1"/>
      <c r="C2507" s="1"/>
      <c r="D2507" s="2"/>
      <c r="E2507" s="2" t="e">
        <f t="shared" si="0"/>
        <v>#VALUE!</v>
      </c>
    </row>
    <row r="2508" spans="1:5" ht="12.75" customHeight="1" x14ac:dyDescent="0.2">
      <c r="A2508" s="3"/>
      <c r="B2508" s="3" t="s">
        <v>0</v>
      </c>
      <c r="C2508" s="3" t="s">
        <v>21</v>
      </c>
      <c r="D2508" s="2"/>
      <c r="E2508" s="2" t="e">
        <f t="shared" si="0"/>
        <v>#VALUE!</v>
      </c>
    </row>
    <row r="2509" spans="1:5" ht="12.75" customHeight="1" x14ac:dyDescent="0.2">
      <c r="A2509" s="3"/>
      <c r="B2509" s="3" t="s">
        <v>2</v>
      </c>
      <c r="C2509" s="3" t="s">
        <v>458</v>
      </c>
      <c r="D2509" s="2"/>
      <c r="E2509" s="2" t="e">
        <f t="shared" si="0"/>
        <v>#VALUE!</v>
      </c>
    </row>
    <row r="2510" spans="1:5" ht="12.75" customHeight="1" x14ac:dyDescent="0.2">
      <c r="A2510" s="3"/>
      <c r="B2510" s="3" t="s">
        <v>9</v>
      </c>
      <c r="C2510" s="3" t="s">
        <v>626</v>
      </c>
      <c r="D2510" s="2"/>
      <c r="E2510" s="2" t="e">
        <f t="shared" si="0"/>
        <v>#VALUE!</v>
      </c>
    </row>
    <row r="2511" spans="1:5" ht="12.75" customHeight="1" x14ac:dyDescent="0.2">
      <c r="A2511" s="3"/>
      <c r="B2511" s="3" t="s">
        <v>11</v>
      </c>
      <c r="C2511" s="3" t="s">
        <v>519</v>
      </c>
      <c r="D2511" s="2"/>
      <c r="E2511" s="2" t="e">
        <f t="shared" si="0"/>
        <v>#VALUE!</v>
      </c>
    </row>
    <row r="2512" spans="1:5" ht="12.75" customHeight="1" x14ac:dyDescent="0.2">
      <c r="A2512" s="3"/>
      <c r="B2512" s="3" t="s">
        <v>18</v>
      </c>
      <c r="C2512" s="4" t="s">
        <v>19</v>
      </c>
      <c r="D2512" s="2"/>
      <c r="E2512" s="2" t="e">
        <f t="shared" si="0"/>
        <v>#VALUE!</v>
      </c>
    </row>
    <row r="2513" spans="1:5" ht="12.75" customHeight="1" x14ac:dyDescent="0.2">
      <c r="A2513" s="1" t="str">
        <f>HYPERLINK("javascript:void(0)","ködpikkely")</f>
        <v>ködpikkely</v>
      </c>
      <c r="B2513" s="1"/>
      <c r="C2513" s="1"/>
      <c r="D2513" s="2"/>
      <c r="E2513" s="2" t="e">
        <f t="shared" si="0"/>
        <v>#VALUE!</v>
      </c>
    </row>
    <row r="2514" spans="1:5" ht="12.75" customHeight="1" x14ac:dyDescent="0.2">
      <c r="A2514" s="3"/>
      <c r="B2514" s="3" t="s">
        <v>0</v>
      </c>
      <c r="C2514" s="3" t="s">
        <v>21</v>
      </c>
      <c r="D2514" s="2"/>
      <c r="E2514" s="2" t="e">
        <f t="shared" si="0"/>
        <v>#VALUE!</v>
      </c>
    </row>
    <row r="2515" spans="1:5" ht="12.75" customHeight="1" x14ac:dyDescent="0.2">
      <c r="A2515" s="3"/>
      <c r="B2515" s="3" t="s">
        <v>2</v>
      </c>
      <c r="C2515" s="3" t="s">
        <v>458</v>
      </c>
      <c r="D2515" s="2"/>
      <c r="E2515" s="2" t="e">
        <f t="shared" si="0"/>
        <v>#VALUE!</v>
      </c>
    </row>
    <row r="2516" spans="1:5" ht="12.75" customHeight="1" x14ac:dyDescent="0.2">
      <c r="A2516" s="3"/>
      <c r="B2516" s="3" t="s">
        <v>9</v>
      </c>
      <c r="C2516" s="3" t="s">
        <v>22</v>
      </c>
      <c r="D2516" s="2"/>
      <c r="E2516" s="2" t="e">
        <f t="shared" si="0"/>
        <v>#VALUE!</v>
      </c>
    </row>
    <row r="2517" spans="1:5" ht="12.75" customHeight="1" x14ac:dyDescent="0.2">
      <c r="A2517" s="3"/>
      <c r="B2517" s="3" t="s">
        <v>11</v>
      </c>
      <c r="C2517" s="3" t="s">
        <v>1296</v>
      </c>
      <c r="D2517" s="2"/>
      <c r="E2517" s="2" t="e">
        <f t="shared" si="0"/>
        <v>#VALUE!</v>
      </c>
    </row>
    <row r="2518" spans="1:5" ht="12.75" customHeight="1" x14ac:dyDescent="0.2">
      <c r="A2518" s="3"/>
      <c r="B2518" s="3" t="s">
        <v>18</v>
      </c>
      <c r="C2518" s="4" t="s">
        <v>19</v>
      </c>
      <c r="D2518" s="2"/>
      <c r="E2518" s="2" t="e">
        <f t="shared" si="0"/>
        <v>#VALUE!</v>
      </c>
    </row>
    <row r="2519" spans="1:5" ht="12.75" customHeight="1" x14ac:dyDescent="0.2">
      <c r="A2519" s="1" t="str">
        <f>HYPERLINK("javascript:void(0)","ködvitorla")</f>
        <v>ködvitorla</v>
      </c>
      <c r="B2519" s="1"/>
      <c r="C2519" s="1"/>
      <c r="D2519" s="2"/>
      <c r="E2519" s="2" t="e">
        <f t="shared" si="0"/>
        <v>#VALUE!</v>
      </c>
    </row>
    <row r="2520" spans="1:5" ht="12.75" customHeight="1" x14ac:dyDescent="0.2">
      <c r="A2520" s="3"/>
      <c r="B2520" s="3" t="s">
        <v>0</v>
      </c>
      <c r="C2520" s="3" t="s">
        <v>21</v>
      </c>
      <c r="D2520" s="2"/>
      <c r="E2520" s="2" t="e">
        <f t="shared" si="0"/>
        <v>#VALUE!</v>
      </c>
    </row>
    <row r="2521" spans="1:5" ht="12.75" customHeight="1" x14ac:dyDescent="0.2">
      <c r="A2521" s="3"/>
      <c r="B2521" s="3" t="s">
        <v>2</v>
      </c>
      <c r="C2521" s="3" t="s">
        <v>458</v>
      </c>
      <c r="D2521" s="2"/>
      <c r="E2521" s="2" t="e">
        <f t="shared" si="0"/>
        <v>#VALUE!</v>
      </c>
    </row>
    <row r="2522" spans="1:5" ht="12.75" customHeight="1" x14ac:dyDescent="0.2">
      <c r="A2522" s="3"/>
      <c r="B2522" s="3" t="s">
        <v>9</v>
      </c>
      <c r="C2522" s="3" t="s">
        <v>626</v>
      </c>
      <c r="D2522" s="2"/>
      <c r="E2522" s="2" t="e">
        <f t="shared" si="0"/>
        <v>#VALUE!</v>
      </c>
    </row>
    <row r="2523" spans="1:5" ht="12.75" customHeight="1" x14ac:dyDescent="0.2">
      <c r="A2523" s="3"/>
      <c r="B2523" s="3" t="s">
        <v>11</v>
      </c>
      <c r="C2523" s="3" t="s">
        <v>23</v>
      </c>
      <c r="D2523" s="2"/>
      <c r="E2523" s="2" t="e">
        <f t="shared" si="0"/>
        <v>#VALUE!</v>
      </c>
    </row>
    <row r="2524" spans="1:5" ht="12.75" customHeight="1" x14ac:dyDescent="0.2">
      <c r="A2524" s="3"/>
      <c r="B2524" s="3" t="s">
        <v>18</v>
      </c>
      <c r="C2524" s="4" t="s">
        <v>19</v>
      </c>
      <c r="D2524" s="2"/>
      <c r="E2524" s="2" t="e">
        <f t="shared" si="0"/>
        <v>#VALUE!</v>
      </c>
    </row>
    <row r="2525" spans="1:5" ht="12.75" customHeight="1" x14ac:dyDescent="0.2">
      <c r="A2525" s="1" t="str">
        <f>HYPERLINK("javascript:void(0)","körhallgató")</f>
        <v>körhallgató</v>
      </c>
      <c r="B2525" s="1"/>
      <c r="C2525" s="1"/>
      <c r="D2525" s="2"/>
      <c r="E2525" s="2" t="e">
        <f t="shared" si="0"/>
        <v>#VALUE!</v>
      </c>
    </row>
    <row r="2526" spans="1:5" ht="12.75" customHeight="1" x14ac:dyDescent="0.2">
      <c r="A2526" s="3"/>
      <c r="B2526" s="3" t="s">
        <v>0</v>
      </c>
      <c r="C2526" s="3" t="s">
        <v>21</v>
      </c>
      <c r="D2526" s="2"/>
      <c r="E2526" s="2" t="e">
        <f t="shared" si="0"/>
        <v>#VALUE!</v>
      </c>
    </row>
    <row r="2527" spans="1:5" ht="12.75" customHeight="1" x14ac:dyDescent="0.2">
      <c r="A2527" s="3"/>
      <c r="B2527" s="3" t="s">
        <v>2</v>
      </c>
      <c r="C2527" s="3" t="s">
        <v>458</v>
      </c>
      <c r="D2527" s="2"/>
      <c r="E2527" s="2" t="e">
        <f t="shared" si="0"/>
        <v>#VALUE!</v>
      </c>
    </row>
    <row r="2528" spans="1:5" ht="12.75" customHeight="1" x14ac:dyDescent="0.2">
      <c r="A2528" s="3"/>
      <c r="B2528" s="3" t="s">
        <v>9</v>
      </c>
      <c r="C2528" s="3" t="s">
        <v>22</v>
      </c>
      <c r="D2528" s="2"/>
      <c r="E2528" s="2" t="e">
        <f t="shared" si="0"/>
        <v>#VALUE!</v>
      </c>
    </row>
    <row r="2529" spans="1:5" ht="12.75" customHeight="1" x14ac:dyDescent="0.2">
      <c r="A2529" s="3"/>
      <c r="B2529" s="3" t="s">
        <v>11</v>
      </c>
      <c r="C2529" s="3" t="s">
        <v>89</v>
      </c>
      <c r="D2529" s="2"/>
      <c r="E2529" s="2" t="e">
        <f t="shared" si="0"/>
        <v>#VALUE!</v>
      </c>
    </row>
    <row r="2530" spans="1:5" ht="12.75" customHeight="1" x14ac:dyDescent="0.2">
      <c r="A2530" s="3"/>
      <c r="B2530" s="3" t="s">
        <v>18</v>
      </c>
      <c r="C2530" s="4" t="s">
        <v>19</v>
      </c>
      <c r="D2530" s="2"/>
      <c r="E2530" s="2" t="e">
        <f t="shared" si="0"/>
        <v>#VALUE!</v>
      </c>
    </row>
    <row r="2531" spans="1:5" ht="12.75" customHeight="1" x14ac:dyDescent="0.2">
      <c r="A2531" s="1" t="str">
        <f>HYPERLINK("javascript:void(0)","körömszem")</f>
        <v>körömszem</v>
      </c>
      <c r="B2531" s="1"/>
      <c r="C2531" s="1"/>
      <c r="D2531" s="2"/>
      <c r="E2531" s="2" t="e">
        <f t="shared" si="0"/>
        <v>#VALUE!</v>
      </c>
    </row>
    <row r="2532" spans="1:5" ht="12.75" customHeight="1" x14ac:dyDescent="0.2">
      <c r="A2532" s="3"/>
      <c r="B2532" s="3" t="s">
        <v>0</v>
      </c>
      <c r="C2532" s="3" t="s">
        <v>21</v>
      </c>
      <c r="D2532" s="2"/>
      <c r="E2532" s="2" t="e">
        <f t="shared" si="0"/>
        <v>#VALUE!</v>
      </c>
    </row>
    <row r="2533" spans="1:5" ht="12.75" customHeight="1" x14ac:dyDescent="0.2">
      <c r="A2533" s="3"/>
      <c r="B2533" s="3" t="s">
        <v>2</v>
      </c>
      <c r="C2533" s="3" t="s">
        <v>458</v>
      </c>
      <c r="D2533" s="2"/>
      <c r="E2533" s="2" t="e">
        <f t="shared" si="0"/>
        <v>#VALUE!</v>
      </c>
    </row>
    <row r="2534" spans="1:5" ht="12.75" customHeight="1" x14ac:dyDescent="0.2">
      <c r="A2534" s="3"/>
      <c r="B2534" s="3" t="s">
        <v>9</v>
      </c>
      <c r="C2534" s="3" t="s">
        <v>916</v>
      </c>
      <c r="D2534" s="2"/>
      <c r="E2534" s="2" t="e">
        <f t="shared" si="0"/>
        <v>#VALUE!</v>
      </c>
    </row>
    <row r="2535" spans="1:5" ht="12.75" customHeight="1" x14ac:dyDescent="0.2">
      <c r="A2535" s="3"/>
      <c r="B2535" s="3" t="s">
        <v>11</v>
      </c>
      <c r="C2535" s="3" t="s">
        <v>520</v>
      </c>
      <c r="D2535" s="2"/>
      <c r="E2535" s="2" t="e">
        <f t="shared" si="0"/>
        <v>#VALUE!</v>
      </c>
    </row>
    <row r="2536" spans="1:5" ht="12.75" customHeight="1" x14ac:dyDescent="0.2">
      <c r="A2536" s="3"/>
      <c r="B2536" s="3" t="s">
        <v>18</v>
      </c>
      <c r="C2536" s="4" t="s">
        <v>19</v>
      </c>
      <c r="D2536" s="2"/>
      <c r="E2536" s="2" t="e">
        <f t="shared" si="0"/>
        <v>#VALUE!</v>
      </c>
    </row>
    <row r="2537" spans="1:5" ht="12.75" customHeight="1" x14ac:dyDescent="0.2">
      <c r="A2537" s="1" t="str">
        <f>HYPERLINK("javascript:void(0)","kötényke")</f>
        <v>kötényke</v>
      </c>
      <c r="B2537" s="1"/>
      <c r="C2537" s="1"/>
      <c r="D2537" s="2"/>
      <c r="E2537" s="2" t="e">
        <f t="shared" si="0"/>
        <v>#VALUE!</v>
      </c>
    </row>
    <row r="2538" spans="1:5" ht="12.75" customHeight="1" x14ac:dyDescent="0.2">
      <c r="A2538" s="3"/>
      <c r="B2538" s="3" t="s">
        <v>0</v>
      </c>
      <c r="C2538" s="3" t="s">
        <v>21</v>
      </c>
      <c r="D2538" s="2"/>
      <c r="E2538" s="2" t="e">
        <f t="shared" si="0"/>
        <v>#VALUE!</v>
      </c>
    </row>
    <row r="2539" spans="1:5" ht="12.75" customHeight="1" x14ac:dyDescent="0.2">
      <c r="A2539" s="3"/>
      <c r="B2539" s="3" t="s">
        <v>2</v>
      </c>
      <c r="C2539" s="3" t="s">
        <v>458</v>
      </c>
      <c r="D2539" s="2"/>
      <c r="E2539" s="2" t="e">
        <f t="shared" si="0"/>
        <v>#VALUE!</v>
      </c>
    </row>
    <row r="2540" spans="1:5" ht="12.75" customHeight="1" x14ac:dyDescent="0.2">
      <c r="A2540" s="3"/>
      <c r="B2540" s="3" t="s">
        <v>9</v>
      </c>
      <c r="C2540" s="3" t="s">
        <v>626</v>
      </c>
      <c r="D2540" s="2"/>
      <c r="E2540" s="2" t="e">
        <f t="shared" si="0"/>
        <v>#VALUE!</v>
      </c>
    </row>
    <row r="2541" spans="1:5" ht="12.75" customHeight="1" x14ac:dyDescent="0.2">
      <c r="A2541" s="3"/>
      <c r="B2541" s="3" t="s">
        <v>11</v>
      </c>
      <c r="C2541" s="3" t="s">
        <v>89</v>
      </c>
      <c r="D2541" s="2"/>
      <c r="E2541" s="2" t="e">
        <f t="shared" si="0"/>
        <v>#VALUE!</v>
      </c>
    </row>
    <row r="2542" spans="1:5" ht="12.75" customHeight="1" x14ac:dyDescent="0.2">
      <c r="A2542" s="3"/>
      <c r="B2542" s="3" t="s">
        <v>18</v>
      </c>
      <c r="C2542" s="4" t="s">
        <v>19</v>
      </c>
      <c r="D2542" s="2"/>
      <c r="E2542" s="2" t="e">
        <f t="shared" si="0"/>
        <v>#VALUE!</v>
      </c>
    </row>
    <row r="2543" spans="1:5" ht="12.75" customHeight="1" x14ac:dyDescent="0.2">
      <c r="A2543" s="1" t="str">
        <f>HYPERLINK("javascript:void(0)","kőfaragvány")</f>
        <v>kőfaragvány</v>
      </c>
      <c r="B2543" s="1"/>
      <c r="C2543" s="1"/>
      <c r="D2543" s="2"/>
      <c r="E2543" s="2" t="e">
        <f t="shared" si="0"/>
        <v>#VALUE!</v>
      </c>
    </row>
    <row r="2544" spans="1:5" ht="12.75" customHeight="1" x14ac:dyDescent="0.2">
      <c r="A2544" s="3"/>
      <c r="B2544" s="3" t="s">
        <v>0</v>
      </c>
      <c r="C2544" s="3" t="s">
        <v>21</v>
      </c>
      <c r="D2544" s="2"/>
      <c r="E2544" s="2" t="e">
        <f t="shared" si="0"/>
        <v>#VALUE!</v>
      </c>
    </row>
    <row r="2545" spans="1:5" ht="12.75" customHeight="1" x14ac:dyDescent="0.2">
      <c r="A2545" s="3"/>
      <c r="B2545" s="3" t="s">
        <v>2</v>
      </c>
      <c r="C2545" s="3" t="s">
        <v>458</v>
      </c>
      <c r="D2545" s="2"/>
      <c r="E2545" s="2" t="e">
        <f t="shared" si="0"/>
        <v>#VALUE!</v>
      </c>
    </row>
    <row r="2546" spans="1:5" ht="12.75" customHeight="1" x14ac:dyDescent="0.2">
      <c r="A2546" s="3"/>
      <c r="B2546" s="3" t="s">
        <v>9</v>
      </c>
      <c r="C2546" s="3" t="s">
        <v>53</v>
      </c>
      <c r="D2546" s="2"/>
      <c r="E2546" s="2" t="e">
        <f t="shared" si="0"/>
        <v>#VALUE!</v>
      </c>
    </row>
    <row r="2547" spans="1:5" ht="12.75" customHeight="1" x14ac:dyDescent="0.2">
      <c r="A2547" s="3"/>
      <c r="B2547" s="3" t="s">
        <v>11</v>
      </c>
      <c r="C2547" s="3" t="s">
        <v>177</v>
      </c>
      <c r="D2547" s="2"/>
      <c r="E2547" s="2" t="e">
        <f t="shared" si="0"/>
        <v>#VALUE!</v>
      </c>
    </row>
    <row r="2548" spans="1:5" ht="12.75" customHeight="1" x14ac:dyDescent="0.2">
      <c r="A2548" s="3"/>
      <c r="B2548" s="3" t="s">
        <v>18</v>
      </c>
      <c r="C2548" s="4" t="s">
        <v>19</v>
      </c>
      <c r="D2548" s="2"/>
      <c r="E2548" s="2" t="e">
        <f t="shared" si="0"/>
        <v>#VALUE!</v>
      </c>
    </row>
    <row r="2549" spans="1:5" ht="12.75" customHeight="1" x14ac:dyDescent="0.2">
      <c r="A2549" s="1" t="str">
        <f>HYPERLINK("javascript:void(0)","kőgolyó")</f>
        <v>kőgolyó</v>
      </c>
      <c r="B2549" s="1"/>
      <c r="C2549" s="1"/>
      <c r="D2549" s="2"/>
      <c r="E2549" s="2" t="e">
        <f t="shared" si="0"/>
        <v>#VALUE!</v>
      </c>
    </row>
    <row r="2550" spans="1:5" ht="12.75" customHeight="1" x14ac:dyDescent="0.2">
      <c r="A2550" s="3"/>
      <c r="B2550" s="3" t="s">
        <v>0</v>
      </c>
      <c r="C2550" s="3" t="s">
        <v>21</v>
      </c>
      <c r="D2550" s="2"/>
      <c r="E2550" s="2" t="e">
        <f t="shared" si="0"/>
        <v>#VALUE!</v>
      </c>
    </row>
    <row r="2551" spans="1:5" ht="12.75" customHeight="1" x14ac:dyDescent="0.2">
      <c r="A2551" s="3"/>
      <c r="B2551" s="3" t="s">
        <v>2</v>
      </c>
      <c r="C2551" s="3" t="s">
        <v>458</v>
      </c>
      <c r="D2551" s="2"/>
      <c r="E2551" s="2" t="e">
        <f t="shared" si="0"/>
        <v>#VALUE!</v>
      </c>
    </row>
    <row r="2552" spans="1:5" ht="12.75" customHeight="1" x14ac:dyDescent="0.2">
      <c r="A2552" s="3"/>
      <c r="B2552" s="3" t="s">
        <v>9</v>
      </c>
      <c r="C2552" s="3" t="s">
        <v>22</v>
      </c>
      <c r="D2552" s="2"/>
      <c r="E2552" s="2" t="e">
        <f t="shared" si="0"/>
        <v>#VALUE!</v>
      </c>
    </row>
    <row r="2553" spans="1:5" ht="12.75" customHeight="1" x14ac:dyDescent="0.2">
      <c r="A2553" s="3"/>
      <c r="B2553" s="3" t="s">
        <v>11</v>
      </c>
      <c r="C2553" s="3" t="s">
        <v>156</v>
      </c>
      <c r="D2553" s="2"/>
      <c r="E2553" s="2" t="e">
        <f t="shared" si="0"/>
        <v>#VALUE!</v>
      </c>
    </row>
    <row r="2554" spans="1:5" ht="12.75" customHeight="1" x14ac:dyDescent="0.2">
      <c r="A2554" s="3"/>
      <c r="B2554" s="3" t="s">
        <v>18</v>
      </c>
      <c r="C2554" s="4" t="s">
        <v>19</v>
      </c>
      <c r="D2554" s="2"/>
      <c r="E2554" s="2" t="e">
        <f t="shared" si="0"/>
        <v>#VALUE!</v>
      </c>
    </row>
    <row r="2555" spans="1:5" ht="12.75" customHeight="1" x14ac:dyDescent="0.2">
      <c r="A2555" s="1" t="str">
        <f>HYPERLINK("javascript:void(0)","kőkemény koksz")</f>
        <v>kőkemény koksz</v>
      </c>
      <c r="B2555" s="1"/>
      <c r="C2555" s="1"/>
      <c r="D2555" s="2"/>
      <c r="E2555" s="2" t="e">
        <f t="shared" si="0"/>
        <v>#VALUE!</v>
      </c>
    </row>
    <row r="2556" spans="1:5" ht="12.75" customHeight="1" x14ac:dyDescent="0.2">
      <c r="A2556" s="3"/>
      <c r="B2556" s="3" t="s">
        <v>0</v>
      </c>
      <c r="C2556" s="3" t="s">
        <v>21</v>
      </c>
      <c r="D2556" s="2"/>
      <c r="E2556" s="2" t="e">
        <f t="shared" si="0"/>
        <v>#VALUE!</v>
      </c>
    </row>
    <row r="2557" spans="1:5" ht="12.75" customHeight="1" x14ac:dyDescent="0.2">
      <c r="A2557" s="3"/>
      <c r="B2557" s="3" t="s">
        <v>2</v>
      </c>
      <c r="C2557" s="3" t="s">
        <v>387</v>
      </c>
      <c r="D2557" s="2"/>
      <c r="E2557" s="2" t="e">
        <f t="shared" si="0"/>
        <v>#VALUE!</v>
      </c>
    </row>
    <row r="2558" spans="1:5" ht="12.75" customHeight="1" x14ac:dyDescent="0.2">
      <c r="A2558" s="3"/>
      <c r="B2558" s="3" t="s">
        <v>9</v>
      </c>
      <c r="C2558" s="3" t="s">
        <v>42</v>
      </c>
      <c r="D2558" s="2"/>
      <c r="E2558" s="2" t="e">
        <f t="shared" si="0"/>
        <v>#VALUE!</v>
      </c>
    </row>
    <row r="2559" spans="1:5" ht="12.75" customHeight="1" x14ac:dyDescent="0.2">
      <c r="A2559" s="3"/>
      <c r="B2559" s="3" t="s">
        <v>11</v>
      </c>
      <c r="C2559" s="3" t="s">
        <v>23</v>
      </c>
      <c r="D2559" s="2"/>
      <c r="E2559" s="2" t="e">
        <f t="shared" si="0"/>
        <v>#VALUE!</v>
      </c>
    </row>
    <row r="2560" spans="1:5" ht="12.75" customHeight="1" x14ac:dyDescent="0.2">
      <c r="A2560" s="3"/>
      <c r="B2560" s="3" t="s">
        <v>16</v>
      </c>
      <c r="C2560" s="3" t="s">
        <v>388</v>
      </c>
      <c r="D2560" s="2"/>
      <c r="E2560" s="2" t="e">
        <f t="shared" si="0"/>
        <v>#VALUE!</v>
      </c>
    </row>
    <row r="2561" spans="1:5" ht="12.75" customHeight="1" x14ac:dyDescent="0.2">
      <c r="A2561" s="3"/>
      <c r="B2561" s="3" t="s">
        <v>18</v>
      </c>
      <c r="C2561" s="4" t="s">
        <v>19</v>
      </c>
      <c r="D2561" s="2"/>
      <c r="E2561" s="2" t="e">
        <f t="shared" si="0"/>
        <v>#VALUE!</v>
      </c>
    </row>
    <row r="2562" spans="1:5" ht="12.75" customHeight="1" x14ac:dyDescent="0.2">
      <c r="A2562" s="1" t="str">
        <f>HYPERLINK("javascript:void(0)","laszti")</f>
        <v>laszti</v>
      </c>
      <c r="B2562" s="1"/>
      <c r="C2562" s="1"/>
      <c r="D2562" s="2"/>
      <c r="E2562" s="2" t="e">
        <f t="shared" si="0"/>
        <v>#VALUE!</v>
      </c>
    </row>
    <row r="2563" spans="1:5" ht="12.75" customHeight="1" x14ac:dyDescent="0.2">
      <c r="A2563" s="3"/>
      <c r="B2563" s="3" t="s">
        <v>0</v>
      </c>
      <c r="C2563" s="3" t="s">
        <v>21</v>
      </c>
      <c r="D2563" s="2"/>
      <c r="E2563" s="2" t="e">
        <f t="shared" si="0"/>
        <v>#VALUE!</v>
      </c>
    </row>
    <row r="2564" spans="1:5" ht="12.75" customHeight="1" x14ac:dyDescent="0.2">
      <c r="A2564" s="3"/>
      <c r="B2564" s="3" t="s">
        <v>2</v>
      </c>
      <c r="C2564" s="3" t="s">
        <v>458</v>
      </c>
      <c r="D2564" s="2"/>
      <c r="E2564" s="2" t="e">
        <f t="shared" si="0"/>
        <v>#VALUE!</v>
      </c>
    </row>
    <row r="2565" spans="1:5" ht="12.75" customHeight="1" x14ac:dyDescent="0.2">
      <c r="A2565" s="3"/>
      <c r="B2565" s="3" t="s">
        <v>9</v>
      </c>
      <c r="C2565" s="3" t="s">
        <v>22</v>
      </c>
      <c r="D2565" s="2"/>
      <c r="E2565" s="2" t="e">
        <f t="shared" si="0"/>
        <v>#VALUE!</v>
      </c>
    </row>
    <row r="2566" spans="1:5" ht="12.75" customHeight="1" x14ac:dyDescent="0.2">
      <c r="A2566" s="3"/>
      <c r="B2566" s="3" t="s">
        <v>11</v>
      </c>
      <c r="C2566" s="3" t="s">
        <v>395</v>
      </c>
      <c r="D2566" s="2"/>
      <c r="E2566" s="2" t="e">
        <f t="shared" si="0"/>
        <v>#VALUE!</v>
      </c>
    </row>
    <row r="2567" spans="1:5" ht="12.75" customHeight="1" x14ac:dyDescent="0.2">
      <c r="A2567" s="3"/>
      <c r="B2567" s="3" t="s">
        <v>18</v>
      </c>
      <c r="C2567" s="4" t="s">
        <v>19</v>
      </c>
      <c r="D2567" s="2"/>
      <c r="E2567" s="2" t="e">
        <f t="shared" si="0"/>
        <v>#VALUE!</v>
      </c>
    </row>
    <row r="2568" spans="1:5" ht="12.75" customHeight="1" x14ac:dyDescent="0.2">
      <c r="A2568" s="1" t="str">
        <f>HYPERLINK("javascript:void(0)","lepkeszárny")</f>
        <v>lepkeszárny</v>
      </c>
      <c r="B2568" s="1"/>
      <c r="C2568" s="1"/>
      <c r="D2568" s="2"/>
      <c r="E2568" s="2" t="e">
        <f t="shared" si="0"/>
        <v>#VALUE!</v>
      </c>
    </row>
    <row r="2569" spans="1:5" ht="12.75" customHeight="1" x14ac:dyDescent="0.2">
      <c r="A2569" s="3"/>
      <c r="B2569" s="3" t="s">
        <v>0</v>
      </c>
      <c r="C2569" s="3" t="s">
        <v>21</v>
      </c>
      <c r="D2569" s="2"/>
      <c r="E2569" s="2" t="e">
        <f t="shared" si="0"/>
        <v>#VALUE!</v>
      </c>
    </row>
    <row r="2570" spans="1:5" ht="12.75" customHeight="1" x14ac:dyDescent="0.2">
      <c r="A2570" s="3"/>
      <c r="B2570" s="3" t="s">
        <v>2</v>
      </c>
      <c r="C2570" s="3" t="s">
        <v>387</v>
      </c>
      <c r="D2570" s="2"/>
      <c r="E2570" s="2" t="e">
        <f t="shared" si="0"/>
        <v>#VALUE!</v>
      </c>
    </row>
    <row r="2571" spans="1:5" ht="12.75" customHeight="1" x14ac:dyDescent="0.2">
      <c r="A2571" s="3"/>
      <c r="B2571" s="3" t="s">
        <v>9</v>
      </c>
      <c r="C2571" s="3" t="s">
        <v>969</v>
      </c>
      <c r="D2571" s="2"/>
      <c r="E2571" s="2" t="e">
        <f t="shared" si="0"/>
        <v>#VALUE!</v>
      </c>
    </row>
    <row r="2572" spans="1:5" ht="12.75" customHeight="1" x14ac:dyDescent="0.2">
      <c r="A2572" s="3"/>
      <c r="B2572" s="3" t="s">
        <v>11</v>
      </c>
      <c r="C2572" s="3" t="s">
        <v>160</v>
      </c>
      <c r="D2572" s="2"/>
      <c r="E2572" s="2" t="e">
        <f t="shared" si="0"/>
        <v>#VALUE!</v>
      </c>
    </row>
    <row r="2573" spans="1:5" ht="12.75" customHeight="1" x14ac:dyDescent="0.2">
      <c r="A2573" s="3"/>
      <c r="B2573" s="3" t="s">
        <v>18</v>
      </c>
      <c r="C2573" s="4" t="s">
        <v>19</v>
      </c>
      <c r="D2573" s="2"/>
      <c r="E2573" s="2" t="e">
        <f t="shared" si="0"/>
        <v>#VALUE!</v>
      </c>
    </row>
    <row r="2574" spans="1:5" ht="12.75" customHeight="1" x14ac:dyDescent="0.2">
      <c r="A2574" s="1" t="str">
        <f>HYPERLINK("javascript:void(0)","lepény")</f>
        <v>lepény</v>
      </c>
      <c r="B2574" s="1"/>
      <c r="C2574" s="1"/>
      <c r="D2574" s="2"/>
      <c r="E2574" s="2" t="e">
        <f t="shared" si="0"/>
        <v>#VALUE!</v>
      </c>
    </row>
    <row r="2575" spans="1:5" ht="12.75" customHeight="1" x14ac:dyDescent="0.2">
      <c r="A2575" s="3"/>
      <c r="B2575" s="3" t="s">
        <v>0</v>
      </c>
      <c r="C2575" s="3" t="s">
        <v>21</v>
      </c>
      <c r="D2575" s="2"/>
      <c r="E2575" s="2" t="e">
        <f t="shared" si="0"/>
        <v>#VALUE!</v>
      </c>
    </row>
    <row r="2576" spans="1:5" ht="12.75" customHeight="1" x14ac:dyDescent="0.2">
      <c r="A2576" s="3"/>
      <c r="B2576" s="3" t="s">
        <v>2</v>
      </c>
      <c r="C2576" s="3" t="s">
        <v>458</v>
      </c>
      <c r="D2576" s="2"/>
      <c r="E2576" s="2" t="e">
        <f t="shared" si="0"/>
        <v>#VALUE!</v>
      </c>
    </row>
    <row r="2577" spans="1:5" ht="12.75" customHeight="1" x14ac:dyDescent="0.2">
      <c r="A2577" s="3"/>
      <c r="B2577" s="3" t="s">
        <v>9</v>
      </c>
      <c r="C2577" s="3" t="s">
        <v>22</v>
      </c>
      <c r="D2577" s="2"/>
      <c r="E2577" s="2" t="e">
        <f t="shared" si="0"/>
        <v>#VALUE!</v>
      </c>
    </row>
    <row r="2578" spans="1:5" ht="12.75" customHeight="1" x14ac:dyDescent="0.2">
      <c r="A2578" s="3"/>
      <c r="B2578" s="3" t="s">
        <v>11</v>
      </c>
      <c r="C2578" s="3" t="s">
        <v>162</v>
      </c>
      <c r="D2578" s="2"/>
      <c r="E2578" s="2" t="e">
        <f t="shared" si="0"/>
        <v>#VALUE!</v>
      </c>
    </row>
    <row r="2579" spans="1:5" ht="12.75" customHeight="1" x14ac:dyDescent="0.2">
      <c r="A2579" s="3"/>
      <c r="B2579" s="3" t="s">
        <v>18</v>
      </c>
      <c r="C2579" s="4" t="s">
        <v>19</v>
      </c>
      <c r="D2579" s="2"/>
      <c r="E2579" s="2" t="e">
        <f t="shared" si="0"/>
        <v>#VALUE!</v>
      </c>
    </row>
    <row r="2580" spans="1:5" ht="12.75" customHeight="1" x14ac:dyDescent="0.2">
      <c r="A2580" s="1" t="str">
        <f>HYPERLINK("javascript:void(0)","levél")</f>
        <v>levél</v>
      </c>
      <c r="B2580" s="1"/>
      <c r="C2580" s="1"/>
      <c r="D2580" s="2"/>
      <c r="E2580" s="2" t="e">
        <f t="shared" si="0"/>
        <v>#VALUE!</v>
      </c>
    </row>
    <row r="2581" spans="1:5" ht="12.75" customHeight="1" x14ac:dyDescent="0.2">
      <c r="A2581" s="3"/>
      <c r="B2581" s="3" t="s">
        <v>0</v>
      </c>
      <c r="C2581" s="3" t="s">
        <v>21</v>
      </c>
      <c r="D2581" s="2"/>
      <c r="E2581" s="2" t="e">
        <f t="shared" si="0"/>
        <v>#VALUE!</v>
      </c>
    </row>
    <row r="2582" spans="1:5" ht="12.75" customHeight="1" x14ac:dyDescent="0.2">
      <c r="A2582" s="3"/>
      <c r="B2582" s="3" t="s">
        <v>2</v>
      </c>
      <c r="C2582" s="3" t="s">
        <v>458</v>
      </c>
      <c r="D2582" s="2"/>
      <c r="E2582" s="2" t="e">
        <f t="shared" si="0"/>
        <v>#VALUE!</v>
      </c>
    </row>
    <row r="2583" spans="1:5" ht="12.75" customHeight="1" x14ac:dyDescent="0.2">
      <c r="A2583" s="3"/>
      <c r="B2583" s="3" t="s">
        <v>9</v>
      </c>
      <c r="C2583" s="3" t="s">
        <v>22</v>
      </c>
      <c r="D2583" s="2"/>
      <c r="E2583" s="2" t="e">
        <f t="shared" si="0"/>
        <v>#VALUE!</v>
      </c>
    </row>
    <row r="2584" spans="1:5" ht="12.75" customHeight="1" x14ac:dyDescent="0.2">
      <c r="A2584" s="3"/>
      <c r="B2584" s="3" t="s">
        <v>11</v>
      </c>
      <c r="C2584" s="3" t="s">
        <v>505</v>
      </c>
      <c r="D2584" s="2"/>
      <c r="E2584" s="2" t="e">
        <f t="shared" si="0"/>
        <v>#VALUE!</v>
      </c>
    </row>
    <row r="2585" spans="1:5" ht="12.75" customHeight="1" x14ac:dyDescent="0.2">
      <c r="A2585" s="3"/>
      <c r="B2585" s="3" t="s">
        <v>18</v>
      </c>
      <c r="C2585" s="4" t="s">
        <v>19</v>
      </c>
      <c r="D2585" s="2"/>
      <c r="E2585" s="2" t="e">
        <f t="shared" si="0"/>
        <v>#VALUE!</v>
      </c>
    </row>
    <row r="2586" spans="1:5" ht="12.75" customHeight="1" x14ac:dyDescent="0.2">
      <c r="A2586" s="1" t="str">
        <f>HYPERLINK("javascript:void(0)","lexikon")</f>
        <v>lexikon</v>
      </c>
      <c r="B2586" s="1"/>
      <c r="C2586" s="1"/>
      <c r="D2586" s="2"/>
      <c r="E2586" s="2" t="e">
        <f t="shared" si="0"/>
        <v>#VALUE!</v>
      </c>
    </row>
    <row r="2587" spans="1:5" ht="12.75" customHeight="1" x14ac:dyDescent="0.2">
      <c r="A2587" s="3"/>
      <c r="B2587" s="3" t="s">
        <v>0</v>
      </c>
      <c r="C2587" s="3" t="s">
        <v>21</v>
      </c>
      <c r="D2587" s="2"/>
      <c r="E2587" s="2" t="e">
        <f t="shared" si="0"/>
        <v>#VALUE!</v>
      </c>
    </row>
    <row r="2588" spans="1:5" ht="12.75" customHeight="1" x14ac:dyDescent="0.2">
      <c r="A2588" s="3"/>
      <c r="B2588" s="3" t="s">
        <v>2</v>
      </c>
      <c r="C2588" s="3" t="s">
        <v>458</v>
      </c>
      <c r="D2588" s="2"/>
      <c r="E2588" s="2" t="e">
        <f t="shared" si="0"/>
        <v>#VALUE!</v>
      </c>
    </row>
    <row r="2589" spans="1:5" ht="12.75" customHeight="1" x14ac:dyDescent="0.2">
      <c r="A2589" s="3"/>
      <c r="B2589" s="3" t="s">
        <v>9</v>
      </c>
      <c r="C2589" s="3" t="s">
        <v>124</v>
      </c>
      <c r="D2589" s="2"/>
      <c r="E2589" s="2" t="e">
        <f t="shared" si="0"/>
        <v>#VALUE!</v>
      </c>
    </row>
    <row r="2590" spans="1:5" ht="12.75" customHeight="1" x14ac:dyDescent="0.2">
      <c r="A2590" s="3"/>
      <c r="B2590" s="3" t="s">
        <v>11</v>
      </c>
      <c r="C2590" s="3" t="s">
        <v>227</v>
      </c>
      <c r="D2590" s="2"/>
      <c r="E2590" s="2" t="e">
        <f t="shared" si="0"/>
        <v>#VALUE!</v>
      </c>
    </row>
    <row r="2591" spans="1:5" ht="12.75" customHeight="1" x14ac:dyDescent="0.2">
      <c r="A2591" s="3"/>
      <c r="B2591" s="3" t="s">
        <v>18</v>
      </c>
      <c r="C2591" s="4" t="s">
        <v>19</v>
      </c>
      <c r="D2591" s="2"/>
      <c r="E2591" s="2" t="e">
        <f t="shared" si="0"/>
        <v>#VALUE!</v>
      </c>
    </row>
    <row r="2592" spans="1:5" ht="12.75" customHeight="1" x14ac:dyDescent="0.2">
      <c r="A2592" s="1" t="str">
        <f>HYPERLINK("javascript:void(0)","lidérc érc")</f>
        <v>lidérc érc</v>
      </c>
      <c r="B2592" s="1"/>
      <c r="C2592" s="1"/>
      <c r="D2592" s="2"/>
      <c r="E2592" s="2" t="e">
        <f t="shared" si="0"/>
        <v>#VALUE!</v>
      </c>
    </row>
    <row r="2593" spans="1:5" ht="12.75" customHeight="1" x14ac:dyDescent="0.2">
      <c r="A2593" s="3"/>
      <c r="B2593" s="3" t="s">
        <v>0</v>
      </c>
      <c r="C2593" s="3" t="s">
        <v>21</v>
      </c>
      <c r="D2593" s="2"/>
      <c r="E2593" s="2" t="e">
        <f t="shared" si="0"/>
        <v>#VALUE!</v>
      </c>
    </row>
    <row r="2594" spans="1:5" ht="12.75" customHeight="1" x14ac:dyDescent="0.2">
      <c r="A2594" s="3"/>
      <c r="B2594" s="3" t="s">
        <v>2</v>
      </c>
      <c r="C2594" s="3" t="s">
        <v>458</v>
      </c>
      <c r="D2594" s="2"/>
      <c r="E2594" s="2" t="e">
        <f t="shared" si="0"/>
        <v>#VALUE!</v>
      </c>
    </row>
    <row r="2595" spans="1:5" ht="12.75" customHeight="1" x14ac:dyDescent="0.2">
      <c r="A2595" s="3"/>
      <c r="B2595" s="3" t="s">
        <v>9</v>
      </c>
      <c r="C2595" s="3" t="s">
        <v>30</v>
      </c>
      <c r="D2595" s="2"/>
      <c r="E2595" s="2" t="e">
        <f t="shared" si="0"/>
        <v>#VALUE!</v>
      </c>
    </row>
    <row r="2596" spans="1:5" ht="12.75" customHeight="1" x14ac:dyDescent="0.2">
      <c r="A2596" s="3"/>
      <c r="B2596" s="3" t="s">
        <v>11</v>
      </c>
      <c r="C2596" s="3" t="s">
        <v>551</v>
      </c>
      <c r="D2596" s="2"/>
      <c r="E2596" s="2" t="e">
        <f t="shared" si="0"/>
        <v>#VALUE!</v>
      </c>
    </row>
    <row r="2597" spans="1:5" ht="12.75" customHeight="1" x14ac:dyDescent="0.2">
      <c r="A2597" s="3"/>
      <c r="B2597" s="3" t="s">
        <v>18</v>
      </c>
      <c r="C2597" s="4" t="s">
        <v>19</v>
      </c>
      <c r="D2597" s="2"/>
      <c r="E2597" s="2" t="e">
        <f t="shared" si="0"/>
        <v>#VALUE!</v>
      </c>
    </row>
    <row r="2598" spans="1:5" ht="12.75" customHeight="1" x14ac:dyDescent="0.2">
      <c r="A2598" s="1" t="str">
        <f>HYPERLINK("javascript:void(0)","lidérclámpás")</f>
        <v>lidérclámpás</v>
      </c>
      <c r="B2598" s="1"/>
      <c r="C2598" s="1"/>
      <c r="D2598" s="2"/>
      <c r="E2598" s="2" t="e">
        <f t="shared" si="0"/>
        <v>#VALUE!</v>
      </c>
    </row>
    <row r="2599" spans="1:5" ht="12.75" customHeight="1" x14ac:dyDescent="0.2">
      <c r="A2599" s="3"/>
      <c r="B2599" s="3" t="s">
        <v>0</v>
      </c>
      <c r="C2599" s="3" t="s">
        <v>21</v>
      </c>
      <c r="D2599" s="2"/>
      <c r="E2599" s="2" t="e">
        <f t="shared" si="0"/>
        <v>#VALUE!</v>
      </c>
    </row>
    <row r="2600" spans="1:5" ht="12.75" customHeight="1" x14ac:dyDescent="0.2">
      <c r="A2600" s="3"/>
      <c r="B2600" s="3" t="s">
        <v>2</v>
      </c>
      <c r="C2600" s="3" t="s">
        <v>458</v>
      </c>
      <c r="D2600" s="2"/>
      <c r="E2600" s="2" t="e">
        <f t="shared" si="0"/>
        <v>#VALUE!</v>
      </c>
    </row>
    <row r="2601" spans="1:5" ht="12.75" customHeight="1" x14ac:dyDescent="0.2">
      <c r="A2601" s="3"/>
      <c r="B2601" s="3" t="s">
        <v>9</v>
      </c>
      <c r="C2601" s="3" t="s">
        <v>93</v>
      </c>
      <c r="D2601" s="2"/>
      <c r="E2601" s="2" t="e">
        <f t="shared" si="0"/>
        <v>#VALUE!</v>
      </c>
    </row>
    <row r="2602" spans="1:5" ht="12.75" customHeight="1" x14ac:dyDescent="0.2">
      <c r="A2602" s="3"/>
      <c r="B2602" s="3" t="s">
        <v>11</v>
      </c>
      <c r="C2602" s="3" t="s">
        <v>89</v>
      </c>
      <c r="D2602" s="2"/>
      <c r="E2602" s="2" t="e">
        <f t="shared" si="0"/>
        <v>#VALUE!</v>
      </c>
    </row>
    <row r="2603" spans="1:5" ht="12.75" customHeight="1" x14ac:dyDescent="0.2">
      <c r="A2603" s="3"/>
      <c r="B2603" s="3" t="s">
        <v>18</v>
      </c>
      <c r="C2603" s="4" t="s">
        <v>19</v>
      </c>
      <c r="D2603" s="2"/>
      <c r="E2603" s="2" t="e">
        <f t="shared" si="0"/>
        <v>#VALUE!</v>
      </c>
    </row>
    <row r="2604" spans="1:5" ht="12.75" customHeight="1" x14ac:dyDescent="0.2">
      <c r="A2604" s="1" t="str">
        <f>HYPERLINK("javascript:void(0)","lomb")</f>
        <v>lomb</v>
      </c>
      <c r="B2604" s="1"/>
      <c r="C2604" s="1"/>
      <c r="D2604" s="2"/>
      <c r="E2604" s="2" t="e">
        <f t="shared" si="0"/>
        <v>#VALUE!</v>
      </c>
    </row>
    <row r="2605" spans="1:5" ht="12.75" customHeight="1" x14ac:dyDescent="0.2">
      <c r="A2605" s="3"/>
      <c r="B2605" s="3" t="s">
        <v>0</v>
      </c>
      <c r="C2605" s="3" t="s">
        <v>21</v>
      </c>
      <c r="D2605" s="2"/>
      <c r="E2605" s="2" t="e">
        <f t="shared" si="0"/>
        <v>#VALUE!</v>
      </c>
    </row>
    <row r="2606" spans="1:5" ht="12.75" customHeight="1" x14ac:dyDescent="0.2">
      <c r="A2606" s="3"/>
      <c r="B2606" s="3" t="s">
        <v>2</v>
      </c>
      <c r="C2606" s="3" t="s">
        <v>458</v>
      </c>
      <c r="D2606" s="2"/>
      <c r="E2606" s="2" t="e">
        <f t="shared" si="0"/>
        <v>#VALUE!</v>
      </c>
    </row>
    <row r="2607" spans="1:5" ht="12.75" customHeight="1" x14ac:dyDescent="0.2">
      <c r="A2607" s="3"/>
      <c r="B2607" s="3" t="s">
        <v>9</v>
      </c>
      <c r="C2607" s="3" t="s">
        <v>104</v>
      </c>
      <c r="D2607" s="2"/>
      <c r="E2607" s="2" t="e">
        <f t="shared" si="0"/>
        <v>#VALUE!</v>
      </c>
    </row>
    <row r="2608" spans="1:5" ht="12.75" customHeight="1" x14ac:dyDescent="0.2">
      <c r="A2608" s="3"/>
      <c r="B2608" s="3" t="s">
        <v>11</v>
      </c>
      <c r="C2608" s="3" t="s">
        <v>610</v>
      </c>
      <c r="D2608" s="2"/>
      <c r="E2608" s="2" t="e">
        <f t="shared" si="0"/>
        <v>#VALUE!</v>
      </c>
    </row>
    <row r="2609" spans="1:5" ht="12.75" customHeight="1" x14ac:dyDescent="0.2">
      <c r="A2609" s="3"/>
      <c r="B2609" s="3" t="s">
        <v>18</v>
      </c>
      <c r="C2609" s="4" t="s">
        <v>19</v>
      </c>
      <c r="D2609" s="2"/>
      <c r="E2609" s="2" t="e">
        <f t="shared" si="0"/>
        <v>#VALUE!</v>
      </c>
    </row>
    <row r="2610" spans="1:5" ht="12.75" customHeight="1" x14ac:dyDescent="0.2">
      <c r="A2610" s="1" t="str">
        <f>HYPERLINK("javascript:void(0)","lombik")</f>
        <v>lombik</v>
      </c>
      <c r="B2610" s="1"/>
      <c r="C2610" s="1"/>
      <c r="D2610" s="2"/>
      <c r="E2610" s="2" t="e">
        <f t="shared" si="0"/>
        <v>#VALUE!</v>
      </c>
    </row>
    <row r="2611" spans="1:5" ht="12.75" customHeight="1" x14ac:dyDescent="0.2">
      <c r="A2611" s="3"/>
      <c r="B2611" s="3" t="s">
        <v>0</v>
      </c>
      <c r="C2611" s="3" t="s">
        <v>21</v>
      </c>
      <c r="D2611" s="2"/>
      <c r="E2611" s="2" t="e">
        <f t="shared" si="0"/>
        <v>#VALUE!</v>
      </c>
    </row>
    <row r="2612" spans="1:5" ht="12.75" customHeight="1" x14ac:dyDescent="0.2">
      <c r="A2612" s="3"/>
      <c r="B2612" s="3" t="s">
        <v>2</v>
      </c>
      <c r="C2612" s="3" t="s">
        <v>458</v>
      </c>
      <c r="D2612" s="2"/>
      <c r="E2612" s="2" t="e">
        <f t="shared" si="0"/>
        <v>#VALUE!</v>
      </c>
    </row>
    <row r="2613" spans="1:5" ht="12.75" customHeight="1" x14ac:dyDescent="0.2">
      <c r="A2613" s="3"/>
      <c r="B2613" s="3" t="s">
        <v>9</v>
      </c>
      <c r="C2613" s="3" t="s">
        <v>590</v>
      </c>
      <c r="D2613" s="2"/>
      <c r="E2613" s="2" t="e">
        <f t="shared" si="0"/>
        <v>#VALUE!</v>
      </c>
    </row>
    <row r="2614" spans="1:5" ht="12.75" customHeight="1" x14ac:dyDescent="0.2">
      <c r="A2614" s="3"/>
      <c r="B2614" s="3" t="s">
        <v>11</v>
      </c>
      <c r="C2614" s="3" t="s">
        <v>1325</v>
      </c>
      <c r="D2614" s="2"/>
      <c r="E2614" s="2" t="e">
        <f t="shared" si="0"/>
        <v>#VALUE!</v>
      </c>
    </row>
    <row r="2615" spans="1:5" ht="12.75" customHeight="1" x14ac:dyDescent="0.2">
      <c r="A2615" s="3"/>
      <c r="B2615" s="3" t="s">
        <v>18</v>
      </c>
      <c r="C2615" s="4" t="s">
        <v>19</v>
      </c>
      <c r="D2615" s="2"/>
      <c r="E2615" s="2" t="e">
        <f t="shared" si="0"/>
        <v>#VALUE!</v>
      </c>
    </row>
    <row r="2616" spans="1:5" ht="12.75" customHeight="1" x14ac:dyDescent="0.2">
      <c r="A2616" s="1" t="str">
        <f>HYPERLINK("javascript:void(0)","lux")</f>
        <v>lux</v>
      </c>
      <c r="B2616" s="1"/>
      <c r="C2616" s="1"/>
      <c r="D2616" s="2"/>
      <c r="E2616" s="2" t="e">
        <f t="shared" si="0"/>
        <v>#VALUE!</v>
      </c>
    </row>
    <row r="2617" spans="1:5" ht="12.75" customHeight="1" x14ac:dyDescent="0.2">
      <c r="A2617" s="3"/>
      <c r="B2617" s="3" t="s">
        <v>0</v>
      </c>
      <c r="C2617" s="3" t="s">
        <v>21</v>
      </c>
      <c r="D2617" s="2"/>
      <c r="E2617" s="2" t="e">
        <f t="shared" si="0"/>
        <v>#VALUE!</v>
      </c>
    </row>
    <row r="2618" spans="1:5" ht="12.75" customHeight="1" x14ac:dyDescent="0.2">
      <c r="A2618" s="3"/>
      <c r="B2618" s="3" t="s">
        <v>2</v>
      </c>
      <c r="C2618" s="3" t="s">
        <v>458</v>
      </c>
      <c r="D2618" s="2"/>
      <c r="E2618" s="2" t="e">
        <f t="shared" si="0"/>
        <v>#VALUE!</v>
      </c>
    </row>
    <row r="2619" spans="1:5" ht="12.75" customHeight="1" x14ac:dyDescent="0.2">
      <c r="A2619" s="3"/>
      <c r="B2619" s="3" t="s">
        <v>9</v>
      </c>
      <c r="C2619" s="3" t="s">
        <v>626</v>
      </c>
      <c r="D2619" s="2"/>
      <c r="E2619" s="2" t="e">
        <f t="shared" si="0"/>
        <v>#VALUE!</v>
      </c>
    </row>
    <row r="2620" spans="1:5" ht="12.75" customHeight="1" x14ac:dyDescent="0.2">
      <c r="A2620" s="3"/>
      <c r="B2620" s="3" t="s">
        <v>11</v>
      </c>
      <c r="C2620" s="3" t="s">
        <v>227</v>
      </c>
      <c r="D2620" s="2"/>
      <c r="E2620" s="2" t="e">
        <f t="shared" si="0"/>
        <v>#VALUE!</v>
      </c>
    </row>
    <row r="2621" spans="1:5" ht="12.75" customHeight="1" x14ac:dyDescent="0.2">
      <c r="A2621" s="3"/>
      <c r="B2621" s="3" t="s">
        <v>18</v>
      </c>
      <c r="C2621" s="4" t="s">
        <v>19</v>
      </c>
      <c r="D2621" s="2"/>
      <c r="E2621" s="2" t="e">
        <f t="shared" si="0"/>
        <v>#VALUE!</v>
      </c>
    </row>
    <row r="2622" spans="1:5" ht="12.75" customHeight="1" x14ac:dyDescent="0.2">
      <c r="A2622" s="1" t="str">
        <f>HYPERLINK("javascript:void(0)","lábkarcsont")</f>
        <v>lábkarcsont</v>
      </c>
      <c r="B2622" s="1"/>
      <c r="C2622" s="1"/>
      <c r="D2622" s="2"/>
      <c r="E2622" s="2" t="e">
        <f t="shared" si="0"/>
        <v>#VALUE!</v>
      </c>
    </row>
    <row r="2623" spans="1:5" ht="12.75" customHeight="1" x14ac:dyDescent="0.2">
      <c r="A2623" s="3"/>
      <c r="B2623" s="3" t="s">
        <v>0</v>
      </c>
      <c r="C2623" s="3" t="s">
        <v>21</v>
      </c>
      <c r="D2623" s="2"/>
      <c r="E2623" s="2" t="e">
        <f t="shared" si="0"/>
        <v>#VALUE!</v>
      </c>
    </row>
    <row r="2624" spans="1:5" ht="12.75" customHeight="1" x14ac:dyDescent="0.2">
      <c r="A2624" s="3"/>
      <c r="B2624" s="3" t="s">
        <v>2</v>
      </c>
      <c r="C2624" s="3" t="s">
        <v>458</v>
      </c>
      <c r="D2624" s="2"/>
      <c r="E2624" s="2" t="e">
        <f t="shared" si="0"/>
        <v>#VALUE!</v>
      </c>
    </row>
    <row r="2625" spans="1:5" ht="12.75" customHeight="1" x14ac:dyDescent="0.2">
      <c r="A2625" s="3"/>
      <c r="B2625" s="3" t="s">
        <v>9</v>
      </c>
      <c r="C2625" s="3" t="s">
        <v>129</v>
      </c>
      <c r="D2625" s="2"/>
      <c r="E2625" s="2" t="e">
        <f t="shared" si="0"/>
        <v>#VALUE!</v>
      </c>
    </row>
    <row r="2626" spans="1:5" ht="12.75" customHeight="1" x14ac:dyDescent="0.2">
      <c r="A2626" s="3"/>
      <c r="B2626" s="3" t="s">
        <v>11</v>
      </c>
      <c r="C2626" s="3" t="s">
        <v>238</v>
      </c>
      <c r="D2626" s="2"/>
      <c r="E2626" s="2" t="e">
        <f t="shared" si="0"/>
        <v>#VALUE!</v>
      </c>
    </row>
    <row r="2627" spans="1:5" ht="12.75" customHeight="1" x14ac:dyDescent="0.2">
      <c r="A2627" s="3"/>
      <c r="B2627" s="3" t="s">
        <v>18</v>
      </c>
      <c r="C2627" s="4" t="s">
        <v>19</v>
      </c>
      <c r="D2627" s="2"/>
      <c r="E2627" s="2" t="e">
        <f t="shared" si="0"/>
        <v>#VALUE!</v>
      </c>
    </row>
    <row r="2628" spans="1:5" ht="12.75" customHeight="1" x14ac:dyDescent="0.2">
      <c r="A2628" s="1" t="str">
        <f>HYPERLINK("javascript:void(0)","lábszárcsont")</f>
        <v>lábszárcsont</v>
      </c>
      <c r="B2628" s="1"/>
      <c r="C2628" s="1"/>
      <c r="D2628" s="2"/>
      <c r="E2628" s="2" t="e">
        <f t="shared" si="0"/>
        <v>#VALUE!</v>
      </c>
    </row>
    <row r="2629" spans="1:5" ht="12.75" customHeight="1" x14ac:dyDescent="0.2">
      <c r="A2629" s="3"/>
      <c r="B2629" s="3" t="s">
        <v>0</v>
      </c>
      <c r="C2629" s="3" t="s">
        <v>21</v>
      </c>
      <c r="D2629" s="2"/>
      <c r="E2629" s="2" t="e">
        <f t="shared" si="0"/>
        <v>#VALUE!</v>
      </c>
    </row>
    <row r="2630" spans="1:5" ht="12.75" customHeight="1" x14ac:dyDescent="0.2">
      <c r="A2630" s="3"/>
      <c r="B2630" s="3" t="s">
        <v>2</v>
      </c>
      <c r="C2630" s="3" t="s">
        <v>387</v>
      </c>
      <c r="D2630" s="2"/>
      <c r="E2630" s="2" t="e">
        <f t="shared" si="0"/>
        <v>#VALUE!</v>
      </c>
    </row>
    <row r="2631" spans="1:5" ht="12.75" customHeight="1" x14ac:dyDescent="0.2">
      <c r="A2631" s="3"/>
      <c r="B2631" s="3" t="s">
        <v>9</v>
      </c>
      <c r="C2631" s="3" t="s">
        <v>42</v>
      </c>
      <c r="D2631" s="2"/>
      <c r="E2631" s="2" t="e">
        <f t="shared" si="0"/>
        <v>#VALUE!</v>
      </c>
    </row>
    <row r="2632" spans="1:5" ht="12.75" customHeight="1" x14ac:dyDescent="0.2">
      <c r="A2632" s="3"/>
      <c r="B2632" s="3" t="s">
        <v>11</v>
      </c>
      <c r="C2632" s="3" t="s">
        <v>986</v>
      </c>
      <c r="D2632" s="2"/>
      <c r="E2632" s="2" t="e">
        <f t="shared" si="0"/>
        <v>#VALUE!</v>
      </c>
    </row>
    <row r="2633" spans="1:5" ht="12.75" customHeight="1" x14ac:dyDescent="0.2">
      <c r="A2633" s="3"/>
      <c r="B2633" s="3" t="s">
        <v>18</v>
      </c>
      <c r="C2633" s="4" t="s">
        <v>19</v>
      </c>
      <c r="D2633" s="2"/>
      <c r="E2633" s="2" t="e">
        <f t="shared" si="0"/>
        <v>#VALUE!</v>
      </c>
    </row>
    <row r="2634" spans="1:5" ht="12.75" customHeight="1" x14ac:dyDescent="0.2">
      <c r="A2634" s="1" t="str">
        <f>HYPERLINK("javascript:void(0)","lámpás")</f>
        <v>lámpás</v>
      </c>
      <c r="B2634" s="1"/>
      <c r="C2634" s="1"/>
      <c r="D2634" s="2"/>
      <c r="E2634" s="2" t="e">
        <f t="shared" si="0"/>
        <v>#VALUE!</v>
      </c>
    </row>
    <row r="2635" spans="1:5" ht="12.75" customHeight="1" x14ac:dyDescent="0.2">
      <c r="A2635" s="3"/>
      <c r="B2635" s="3" t="s">
        <v>0</v>
      </c>
      <c r="C2635" s="3" t="s">
        <v>21</v>
      </c>
      <c r="D2635" s="2"/>
      <c r="E2635" s="2" t="e">
        <f t="shared" si="0"/>
        <v>#VALUE!</v>
      </c>
    </row>
    <row r="2636" spans="1:5" ht="12.75" customHeight="1" x14ac:dyDescent="0.2">
      <c r="A2636" s="3"/>
      <c r="B2636" s="3" t="s">
        <v>2</v>
      </c>
      <c r="C2636" s="3" t="s">
        <v>458</v>
      </c>
      <c r="D2636" s="2"/>
      <c r="E2636" s="2" t="e">
        <f t="shared" si="0"/>
        <v>#VALUE!</v>
      </c>
    </row>
    <row r="2637" spans="1:5" ht="12.75" customHeight="1" x14ac:dyDescent="0.2">
      <c r="A2637" s="3"/>
      <c r="B2637" s="3" t="s">
        <v>9</v>
      </c>
      <c r="C2637" s="3" t="s">
        <v>84</v>
      </c>
      <c r="D2637" s="2"/>
      <c r="E2637" s="2" t="e">
        <f t="shared" si="0"/>
        <v>#VALUE!</v>
      </c>
    </row>
    <row r="2638" spans="1:5" ht="12.75" customHeight="1" x14ac:dyDescent="0.2">
      <c r="A2638" s="3"/>
      <c r="B2638" s="3" t="s">
        <v>11</v>
      </c>
      <c r="C2638" s="3" t="s">
        <v>505</v>
      </c>
      <c r="D2638" s="2"/>
      <c r="E2638" s="2" t="e">
        <f t="shared" si="0"/>
        <v>#VALUE!</v>
      </c>
    </row>
    <row r="2639" spans="1:5" ht="12.75" customHeight="1" x14ac:dyDescent="0.2">
      <c r="A2639" s="3"/>
      <c r="B2639" s="3" t="s">
        <v>18</v>
      </c>
      <c r="C2639" s="4" t="s">
        <v>19</v>
      </c>
      <c r="D2639" s="2"/>
      <c r="E2639" s="2" t="e">
        <f t="shared" si="0"/>
        <v>#VALUE!</v>
      </c>
    </row>
    <row r="2640" spans="1:5" ht="12.75" customHeight="1" x14ac:dyDescent="0.2">
      <c r="A2640" s="1" t="str">
        <f>HYPERLINK("javascript:void(0)","lángpehely")</f>
        <v>lángpehely</v>
      </c>
      <c r="B2640" s="1"/>
      <c r="C2640" s="1"/>
      <c r="D2640" s="2"/>
      <c r="E2640" s="2" t="e">
        <f t="shared" si="0"/>
        <v>#VALUE!</v>
      </c>
    </row>
    <row r="2641" spans="1:5" ht="12.75" customHeight="1" x14ac:dyDescent="0.2">
      <c r="A2641" s="3"/>
      <c r="B2641" s="3" t="s">
        <v>0</v>
      </c>
      <c r="C2641" s="3" t="s">
        <v>21</v>
      </c>
      <c r="D2641" s="2"/>
      <c r="E2641" s="2" t="e">
        <f t="shared" si="0"/>
        <v>#VALUE!</v>
      </c>
    </row>
    <row r="2642" spans="1:5" ht="12.75" customHeight="1" x14ac:dyDescent="0.2">
      <c r="A2642" s="3"/>
      <c r="B2642" s="3" t="s">
        <v>2</v>
      </c>
      <c r="C2642" s="3" t="s">
        <v>458</v>
      </c>
      <c r="D2642" s="2"/>
      <c r="E2642" s="2" t="e">
        <f t="shared" si="0"/>
        <v>#VALUE!</v>
      </c>
    </row>
    <row r="2643" spans="1:5" ht="12.75" customHeight="1" x14ac:dyDescent="0.2">
      <c r="A2643" s="3"/>
      <c r="B2643" s="3" t="s">
        <v>9</v>
      </c>
      <c r="C2643" s="3" t="s">
        <v>981</v>
      </c>
      <c r="D2643" s="2"/>
      <c r="E2643" s="2" t="e">
        <f t="shared" si="0"/>
        <v>#VALUE!</v>
      </c>
    </row>
    <row r="2644" spans="1:5" ht="12.75" customHeight="1" x14ac:dyDescent="0.2">
      <c r="A2644" s="3"/>
      <c r="B2644" s="3" t="s">
        <v>11</v>
      </c>
      <c r="C2644" s="3" t="s">
        <v>1335</v>
      </c>
      <c r="D2644" s="2"/>
      <c r="E2644" s="2" t="e">
        <f t="shared" si="0"/>
        <v>#VALUE!</v>
      </c>
    </row>
    <row r="2645" spans="1:5" ht="12.75" customHeight="1" x14ac:dyDescent="0.2">
      <c r="A2645" s="3"/>
      <c r="B2645" s="3" t="s">
        <v>18</v>
      </c>
      <c r="C2645" s="4" t="s">
        <v>19</v>
      </c>
      <c r="D2645" s="2"/>
      <c r="E2645" s="2" t="e">
        <f t="shared" si="0"/>
        <v>#VALUE!</v>
      </c>
    </row>
    <row r="2646" spans="1:5" ht="12.75" customHeight="1" x14ac:dyDescent="0.2">
      <c r="A2646" s="1" t="str">
        <f>HYPERLINK("javascript:void(0)","léghajóvászon")</f>
        <v>léghajóvászon</v>
      </c>
      <c r="B2646" s="1"/>
      <c r="C2646" s="1"/>
      <c r="D2646" s="2"/>
      <c r="E2646" s="2" t="e">
        <f t="shared" si="0"/>
        <v>#VALUE!</v>
      </c>
    </row>
    <row r="2647" spans="1:5" ht="12.75" customHeight="1" x14ac:dyDescent="0.2">
      <c r="A2647" s="3"/>
      <c r="B2647" s="3" t="s">
        <v>0</v>
      </c>
      <c r="C2647" s="3" t="s">
        <v>21</v>
      </c>
      <c r="D2647" s="2"/>
      <c r="E2647" s="2" t="e">
        <f t="shared" si="0"/>
        <v>#VALUE!</v>
      </c>
    </row>
    <row r="2648" spans="1:5" ht="12.75" customHeight="1" x14ac:dyDescent="0.2">
      <c r="A2648" s="3"/>
      <c r="B2648" s="3" t="s">
        <v>2</v>
      </c>
      <c r="C2648" s="3" t="s">
        <v>458</v>
      </c>
      <c r="D2648" s="2"/>
      <c r="E2648" s="2" t="e">
        <f t="shared" si="0"/>
        <v>#VALUE!</v>
      </c>
    </row>
    <row r="2649" spans="1:5" ht="12.75" customHeight="1" x14ac:dyDescent="0.2">
      <c r="A2649" s="3"/>
      <c r="B2649" s="3" t="s">
        <v>9</v>
      </c>
      <c r="C2649" s="3" t="s">
        <v>1336</v>
      </c>
      <c r="D2649" s="2"/>
      <c r="E2649" s="2" t="e">
        <f t="shared" si="0"/>
        <v>#VALUE!</v>
      </c>
    </row>
    <row r="2650" spans="1:5" ht="12.75" customHeight="1" x14ac:dyDescent="0.2">
      <c r="A2650" s="3"/>
      <c r="B2650" s="3" t="s">
        <v>11</v>
      </c>
      <c r="C2650" s="3" t="s">
        <v>535</v>
      </c>
      <c r="D2650" s="2"/>
      <c r="E2650" s="2" t="e">
        <f t="shared" si="0"/>
        <v>#VALUE!</v>
      </c>
    </row>
    <row r="2651" spans="1:5" ht="12.75" customHeight="1" x14ac:dyDescent="0.2">
      <c r="A2651" s="3"/>
      <c r="B2651" s="3" t="s">
        <v>18</v>
      </c>
      <c r="C2651" s="4" t="s">
        <v>19</v>
      </c>
      <c r="D2651" s="2"/>
      <c r="E2651" s="2" t="e">
        <f t="shared" si="0"/>
        <v>#VALUE!</v>
      </c>
    </row>
    <row r="2652" spans="1:5" ht="12.75" customHeight="1" x14ac:dyDescent="0.2">
      <c r="A2652" s="1" t="str">
        <f>HYPERLINK("javascript:void(0)","légige")</f>
        <v>légige</v>
      </c>
      <c r="B2652" s="1"/>
      <c r="C2652" s="1"/>
      <c r="D2652" s="2"/>
      <c r="E2652" s="2" t="e">
        <f t="shared" si="0"/>
        <v>#VALUE!</v>
      </c>
    </row>
    <row r="2653" spans="1:5" ht="12.75" customHeight="1" x14ac:dyDescent="0.2">
      <c r="A2653" s="3"/>
      <c r="B2653" s="3" t="s">
        <v>0</v>
      </c>
      <c r="C2653" s="3" t="s">
        <v>21</v>
      </c>
      <c r="D2653" s="2"/>
      <c r="E2653" s="2" t="e">
        <f t="shared" si="0"/>
        <v>#VALUE!</v>
      </c>
    </row>
    <row r="2654" spans="1:5" ht="12.75" customHeight="1" x14ac:dyDescent="0.2">
      <c r="A2654" s="3"/>
      <c r="B2654" s="3" t="s">
        <v>2</v>
      </c>
      <c r="C2654" s="3" t="s">
        <v>458</v>
      </c>
      <c r="D2654" s="2"/>
      <c r="E2654" s="2" t="e">
        <f t="shared" si="0"/>
        <v>#VALUE!</v>
      </c>
    </row>
    <row r="2655" spans="1:5" ht="12.75" customHeight="1" x14ac:dyDescent="0.2">
      <c r="A2655" s="3"/>
      <c r="B2655" s="3" t="s">
        <v>9</v>
      </c>
      <c r="C2655" s="3" t="s">
        <v>404</v>
      </c>
      <c r="D2655" s="2"/>
      <c r="E2655" s="2" t="e">
        <f t="shared" si="0"/>
        <v>#VALUE!</v>
      </c>
    </row>
    <row r="2656" spans="1:5" ht="12.75" customHeight="1" x14ac:dyDescent="0.2">
      <c r="A2656" s="3"/>
      <c r="B2656" s="3" t="s">
        <v>11</v>
      </c>
      <c r="C2656" s="3" t="s">
        <v>505</v>
      </c>
      <c r="D2656" s="2"/>
      <c r="E2656" s="2" t="e">
        <f t="shared" si="0"/>
        <v>#VALUE!</v>
      </c>
    </row>
    <row r="2657" spans="1:5" ht="12.75" customHeight="1" x14ac:dyDescent="0.2">
      <c r="A2657" s="3"/>
      <c r="B2657" s="3" t="s">
        <v>18</v>
      </c>
      <c r="C2657" s="4" t="s">
        <v>19</v>
      </c>
      <c r="D2657" s="2"/>
      <c r="E2657" s="2" t="e">
        <f t="shared" si="0"/>
        <v>#VALUE!</v>
      </c>
    </row>
    <row r="2658" spans="1:5" ht="12.75" customHeight="1" x14ac:dyDescent="0.2">
      <c r="A2658" s="1" t="str">
        <f>HYPERLINK("javascript:void(0)","légpatkó")</f>
        <v>légpatkó</v>
      </c>
      <c r="B2658" s="1"/>
      <c r="C2658" s="1"/>
      <c r="D2658" s="2"/>
      <c r="E2658" s="2" t="e">
        <f t="shared" si="0"/>
        <v>#VALUE!</v>
      </c>
    </row>
    <row r="2659" spans="1:5" ht="12.75" customHeight="1" x14ac:dyDescent="0.2">
      <c r="A2659" s="3"/>
      <c r="B2659" s="3" t="s">
        <v>0</v>
      </c>
      <c r="C2659" s="3" t="s">
        <v>21</v>
      </c>
      <c r="D2659" s="2"/>
      <c r="E2659" s="2" t="e">
        <f t="shared" si="0"/>
        <v>#VALUE!</v>
      </c>
    </row>
    <row r="2660" spans="1:5" ht="12.75" customHeight="1" x14ac:dyDescent="0.2">
      <c r="A2660" s="3"/>
      <c r="B2660" s="3" t="s">
        <v>2</v>
      </c>
      <c r="C2660" s="3" t="s">
        <v>458</v>
      </c>
      <c r="D2660" s="2"/>
      <c r="E2660" s="2" t="e">
        <f t="shared" si="0"/>
        <v>#VALUE!</v>
      </c>
    </row>
    <row r="2661" spans="1:5" ht="12.75" customHeight="1" x14ac:dyDescent="0.2">
      <c r="A2661" s="3"/>
      <c r="B2661" s="3" t="s">
        <v>9</v>
      </c>
      <c r="C2661" s="3" t="s">
        <v>590</v>
      </c>
      <c r="D2661" s="2"/>
      <c r="E2661" s="2" t="e">
        <f t="shared" si="0"/>
        <v>#VALUE!</v>
      </c>
    </row>
    <row r="2662" spans="1:5" ht="12.75" customHeight="1" x14ac:dyDescent="0.2">
      <c r="A2662" s="3"/>
      <c r="B2662" s="3" t="s">
        <v>11</v>
      </c>
      <c r="C2662" s="3" t="s">
        <v>1341</v>
      </c>
      <c r="D2662" s="2"/>
      <c r="E2662" s="2" t="e">
        <f t="shared" si="0"/>
        <v>#VALUE!</v>
      </c>
    </row>
    <row r="2663" spans="1:5" ht="12.75" customHeight="1" x14ac:dyDescent="0.2">
      <c r="A2663" s="3"/>
      <c r="B2663" s="3" t="s">
        <v>18</v>
      </c>
      <c r="C2663" s="4" t="s">
        <v>19</v>
      </c>
      <c r="D2663" s="2"/>
      <c r="E2663" s="2" t="e">
        <f t="shared" si="0"/>
        <v>#VALUE!</v>
      </c>
    </row>
    <row r="2664" spans="1:5" ht="12.75" customHeight="1" x14ac:dyDescent="0.2">
      <c r="A2664" s="1" t="str">
        <f>HYPERLINK("javascript:void(0)","légytetem")</f>
        <v>légytetem</v>
      </c>
      <c r="B2664" s="1"/>
      <c r="C2664" s="1"/>
      <c r="D2664" s="2"/>
      <c r="E2664" s="2" t="e">
        <f t="shared" si="0"/>
        <v>#VALUE!</v>
      </c>
    </row>
    <row r="2665" spans="1:5" ht="12.75" customHeight="1" x14ac:dyDescent="0.2">
      <c r="A2665" s="3"/>
      <c r="B2665" s="3" t="s">
        <v>0</v>
      </c>
      <c r="C2665" s="3" t="s">
        <v>21</v>
      </c>
      <c r="D2665" s="2"/>
      <c r="E2665" s="2" t="e">
        <f t="shared" si="0"/>
        <v>#VALUE!</v>
      </c>
    </row>
    <row r="2666" spans="1:5" ht="12.75" customHeight="1" x14ac:dyDescent="0.2">
      <c r="A2666" s="3"/>
      <c r="B2666" s="3" t="s">
        <v>2</v>
      </c>
      <c r="C2666" s="3" t="s">
        <v>458</v>
      </c>
      <c r="D2666" s="2"/>
      <c r="E2666" s="2" t="e">
        <f t="shared" si="0"/>
        <v>#VALUE!</v>
      </c>
    </row>
    <row r="2667" spans="1:5" ht="12.75" customHeight="1" x14ac:dyDescent="0.2">
      <c r="A2667" s="3"/>
      <c r="B2667" s="3" t="s">
        <v>9</v>
      </c>
      <c r="C2667" s="3" t="s">
        <v>22</v>
      </c>
      <c r="D2667" s="2"/>
      <c r="E2667" s="2" t="e">
        <f t="shared" si="0"/>
        <v>#VALUE!</v>
      </c>
    </row>
    <row r="2668" spans="1:5" ht="12.75" customHeight="1" x14ac:dyDescent="0.2">
      <c r="A2668" s="3"/>
      <c r="B2668" s="3" t="s">
        <v>11</v>
      </c>
      <c r="C2668" s="3" t="s">
        <v>395</v>
      </c>
      <c r="D2668" s="2"/>
      <c r="E2668" s="2" t="e">
        <f t="shared" si="0"/>
        <v>#VALUE!</v>
      </c>
    </row>
    <row r="2669" spans="1:5" ht="12.75" customHeight="1" x14ac:dyDescent="0.2">
      <c r="A2669" s="3"/>
      <c r="B2669" s="3" t="s">
        <v>18</v>
      </c>
      <c r="C2669" s="4" t="s">
        <v>19</v>
      </c>
      <c r="D2669" s="2"/>
      <c r="E2669" s="2" t="e">
        <f t="shared" si="0"/>
        <v>#VALUE!</v>
      </c>
    </row>
    <row r="2670" spans="1:5" ht="12.75" customHeight="1" x14ac:dyDescent="0.2">
      <c r="A2670" s="1" t="str">
        <f>HYPERLINK("javascript:void(0)","légzsák")</f>
        <v>légzsák</v>
      </c>
      <c r="B2670" s="1"/>
      <c r="C2670" s="1"/>
      <c r="D2670" s="2"/>
      <c r="E2670" s="2" t="e">
        <f t="shared" si="0"/>
        <v>#VALUE!</v>
      </c>
    </row>
    <row r="2671" spans="1:5" ht="12.75" customHeight="1" x14ac:dyDescent="0.2">
      <c r="A2671" s="3"/>
      <c r="B2671" s="3" t="s">
        <v>0</v>
      </c>
      <c r="C2671" s="3" t="s">
        <v>21</v>
      </c>
      <c r="D2671" s="2"/>
      <c r="E2671" s="2" t="e">
        <f t="shared" si="0"/>
        <v>#VALUE!</v>
      </c>
    </row>
    <row r="2672" spans="1:5" ht="12.75" customHeight="1" x14ac:dyDescent="0.2">
      <c r="A2672" s="3"/>
      <c r="B2672" s="3" t="s">
        <v>2</v>
      </c>
      <c r="C2672" s="3" t="s">
        <v>458</v>
      </c>
      <c r="D2672" s="2"/>
      <c r="E2672" s="2" t="e">
        <f t="shared" si="0"/>
        <v>#VALUE!</v>
      </c>
    </row>
    <row r="2673" spans="1:5" ht="12.75" customHeight="1" x14ac:dyDescent="0.2">
      <c r="A2673" s="3"/>
      <c r="B2673" s="3" t="s">
        <v>9</v>
      </c>
      <c r="C2673" s="3" t="s">
        <v>626</v>
      </c>
      <c r="D2673" s="2"/>
      <c r="E2673" s="2" t="e">
        <f t="shared" si="0"/>
        <v>#VALUE!</v>
      </c>
    </row>
    <row r="2674" spans="1:5" ht="12.75" customHeight="1" x14ac:dyDescent="0.2">
      <c r="A2674" s="3"/>
      <c r="B2674" s="3" t="s">
        <v>11</v>
      </c>
      <c r="C2674" s="3" t="s">
        <v>380</v>
      </c>
      <c r="D2674" s="2"/>
      <c r="E2674" s="2" t="e">
        <f t="shared" si="0"/>
        <v>#VALUE!</v>
      </c>
    </row>
    <row r="2675" spans="1:5" ht="12.75" customHeight="1" x14ac:dyDescent="0.2">
      <c r="A2675" s="3"/>
      <c r="B2675" s="3" t="s">
        <v>18</v>
      </c>
      <c r="C2675" s="4" t="s">
        <v>19</v>
      </c>
      <c r="D2675" s="2"/>
      <c r="E2675" s="2" t="e">
        <f t="shared" si="0"/>
        <v>#VALUE!</v>
      </c>
    </row>
    <row r="2676" spans="1:5" ht="12.75" customHeight="1" x14ac:dyDescent="0.2">
      <c r="A2676" s="1" t="str">
        <f>HYPERLINK("javascript:void(0)","lékék")</f>
        <v>lékék</v>
      </c>
      <c r="B2676" s="1"/>
      <c r="C2676" s="1"/>
      <c r="D2676" s="2"/>
      <c r="E2676" s="2" t="e">
        <f t="shared" si="0"/>
        <v>#VALUE!</v>
      </c>
    </row>
    <row r="2677" spans="1:5" ht="12.75" customHeight="1" x14ac:dyDescent="0.2">
      <c r="A2677" s="3"/>
      <c r="B2677" s="3" t="s">
        <v>0</v>
      </c>
      <c r="C2677" s="3" t="s">
        <v>21</v>
      </c>
      <c r="D2677" s="2"/>
      <c r="E2677" s="2" t="e">
        <f t="shared" si="0"/>
        <v>#VALUE!</v>
      </c>
    </row>
    <row r="2678" spans="1:5" ht="12.75" customHeight="1" x14ac:dyDescent="0.2">
      <c r="A2678" s="3"/>
      <c r="B2678" s="3" t="s">
        <v>2</v>
      </c>
      <c r="C2678" s="3" t="s">
        <v>458</v>
      </c>
      <c r="D2678" s="2"/>
      <c r="E2678" s="2" t="e">
        <f t="shared" si="0"/>
        <v>#VALUE!</v>
      </c>
    </row>
    <row r="2679" spans="1:5" ht="12.75" customHeight="1" x14ac:dyDescent="0.2">
      <c r="A2679" s="3"/>
      <c r="B2679" s="3" t="s">
        <v>9</v>
      </c>
      <c r="C2679" s="3" t="s">
        <v>84</v>
      </c>
      <c r="D2679" s="2"/>
      <c r="E2679" s="2" t="e">
        <f t="shared" si="0"/>
        <v>#VALUE!</v>
      </c>
    </row>
    <row r="2680" spans="1:5" ht="12.75" customHeight="1" x14ac:dyDescent="0.2">
      <c r="A2680" s="3"/>
      <c r="B2680" s="3" t="s">
        <v>11</v>
      </c>
      <c r="C2680" s="3" t="s">
        <v>976</v>
      </c>
      <c r="D2680" s="2"/>
      <c r="E2680" s="2" t="e">
        <f t="shared" si="0"/>
        <v>#VALUE!</v>
      </c>
    </row>
    <row r="2681" spans="1:5" ht="12.75" customHeight="1" x14ac:dyDescent="0.2">
      <c r="A2681" s="3"/>
      <c r="B2681" s="3" t="s">
        <v>18</v>
      </c>
      <c r="C2681" s="4" t="s">
        <v>19</v>
      </c>
      <c r="D2681" s="2"/>
      <c r="E2681" s="2" t="e">
        <f t="shared" si="0"/>
        <v>#VALUE!</v>
      </c>
    </row>
    <row r="2682" spans="1:5" ht="12.75" customHeight="1" x14ac:dyDescent="0.2">
      <c r="A2682" s="1" t="str">
        <f>HYPERLINK("javascript:void(0)","lélegző sarokkő")</f>
        <v>lélegző sarokkő</v>
      </c>
      <c r="B2682" s="1"/>
      <c r="C2682" s="1"/>
      <c r="D2682" s="2"/>
      <c r="E2682" s="2" t="e">
        <f t="shared" si="0"/>
        <v>#VALUE!</v>
      </c>
    </row>
    <row r="2683" spans="1:5" ht="12.75" customHeight="1" x14ac:dyDescent="0.2">
      <c r="A2683" s="3"/>
      <c r="B2683" s="3" t="s">
        <v>0</v>
      </c>
      <c r="C2683" s="3" t="s">
        <v>21</v>
      </c>
      <c r="D2683" s="2"/>
      <c r="E2683" s="2" t="e">
        <f t="shared" si="0"/>
        <v>#VALUE!</v>
      </c>
    </row>
    <row r="2684" spans="1:5" ht="12.75" customHeight="1" x14ac:dyDescent="0.2">
      <c r="A2684" s="3"/>
      <c r="B2684" s="3" t="s">
        <v>2</v>
      </c>
      <c r="C2684" s="3" t="s">
        <v>458</v>
      </c>
      <c r="D2684" s="2"/>
      <c r="E2684" s="2" t="e">
        <f t="shared" si="0"/>
        <v>#VALUE!</v>
      </c>
    </row>
    <row r="2685" spans="1:5" ht="12.75" customHeight="1" x14ac:dyDescent="0.2">
      <c r="A2685" s="3"/>
      <c r="B2685" s="3" t="s">
        <v>9</v>
      </c>
      <c r="C2685" s="3" t="s">
        <v>179</v>
      </c>
      <c r="D2685" s="2"/>
      <c r="E2685" s="2" t="e">
        <f t="shared" si="0"/>
        <v>#VALUE!</v>
      </c>
    </row>
    <row r="2686" spans="1:5" ht="12.75" customHeight="1" x14ac:dyDescent="0.2">
      <c r="A2686" s="3"/>
      <c r="B2686" s="3" t="s">
        <v>11</v>
      </c>
      <c r="C2686" s="3" t="s">
        <v>429</v>
      </c>
      <c r="D2686" s="2"/>
      <c r="E2686" s="2" t="e">
        <f t="shared" si="0"/>
        <v>#VALUE!</v>
      </c>
    </row>
    <row r="2687" spans="1:5" ht="12.75" customHeight="1" x14ac:dyDescent="0.2">
      <c r="A2687" s="3"/>
      <c r="B2687" s="3" t="s">
        <v>18</v>
      </c>
      <c r="C2687" s="4" t="s">
        <v>19</v>
      </c>
      <c r="D2687" s="2"/>
      <c r="E2687" s="2" t="e">
        <f t="shared" si="0"/>
        <v>#VALUE!</v>
      </c>
    </row>
    <row r="2688" spans="1:5" ht="12.75" customHeight="1" x14ac:dyDescent="0.2">
      <c r="A2688" s="1" t="str">
        <f>HYPERLINK("javascript:void(0)","lélegző torony")</f>
        <v>lélegző torony</v>
      </c>
      <c r="B2688" s="1"/>
      <c r="C2688" s="1"/>
      <c r="D2688" s="2"/>
      <c r="E2688" s="2" t="e">
        <f t="shared" si="0"/>
        <v>#VALUE!</v>
      </c>
    </row>
    <row r="2689" spans="1:5" ht="12.75" customHeight="1" x14ac:dyDescent="0.2">
      <c r="A2689" s="3"/>
      <c r="B2689" s="3" t="s">
        <v>0</v>
      </c>
      <c r="C2689" s="3" t="s">
        <v>21</v>
      </c>
      <c r="D2689" s="2"/>
      <c r="E2689" s="2" t="e">
        <f t="shared" si="0"/>
        <v>#VALUE!</v>
      </c>
    </row>
    <row r="2690" spans="1:5" ht="12.75" customHeight="1" x14ac:dyDescent="0.2">
      <c r="A2690" s="3"/>
      <c r="B2690" s="3" t="s">
        <v>2</v>
      </c>
      <c r="C2690" s="3" t="s">
        <v>458</v>
      </c>
      <c r="D2690" s="2"/>
      <c r="E2690" s="2" t="e">
        <f t="shared" si="0"/>
        <v>#VALUE!</v>
      </c>
    </row>
    <row r="2691" spans="1:5" ht="12.75" customHeight="1" x14ac:dyDescent="0.2">
      <c r="A2691" s="3"/>
      <c r="B2691" s="3" t="s">
        <v>9</v>
      </c>
      <c r="C2691" s="3" t="s">
        <v>22</v>
      </c>
      <c r="D2691" s="2"/>
      <c r="E2691" s="2" t="e">
        <f t="shared" si="0"/>
        <v>#VALUE!</v>
      </c>
    </row>
    <row r="2692" spans="1:5" ht="12.75" customHeight="1" x14ac:dyDescent="0.2">
      <c r="A2692" s="3"/>
      <c r="B2692" s="3" t="s">
        <v>11</v>
      </c>
      <c r="C2692" s="3" t="s">
        <v>535</v>
      </c>
      <c r="D2692" s="2"/>
      <c r="E2692" s="2" t="e">
        <f t="shared" si="0"/>
        <v>#VALUE!</v>
      </c>
    </row>
    <row r="2693" spans="1:5" ht="12.75" customHeight="1" x14ac:dyDescent="0.2">
      <c r="A2693" s="3"/>
      <c r="B2693" s="3" t="s">
        <v>18</v>
      </c>
      <c r="C2693" s="4" t="s">
        <v>19</v>
      </c>
      <c r="D2693" s="2"/>
      <c r="E2693" s="2" t="e">
        <f t="shared" si="0"/>
        <v>#VALUE!</v>
      </c>
    </row>
    <row r="2694" spans="1:5" ht="12.75" customHeight="1" x14ac:dyDescent="0.2">
      <c r="A2694" s="1" t="str">
        <f>HYPERLINK("javascript:void(0)","lélekfodor")</f>
        <v>lélekfodor</v>
      </c>
      <c r="B2694" s="1"/>
      <c r="C2694" s="1"/>
      <c r="D2694" s="2"/>
      <c r="E2694" s="2" t="e">
        <f t="shared" si="0"/>
        <v>#VALUE!</v>
      </c>
    </row>
    <row r="2695" spans="1:5" ht="12.75" customHeight="1" x14ac:dyDescent="0.2">
      <c r="A2695" s="3"/>
      <c r="B2695" s="3" t="s">
        <v>0</v>
      </c>
      <c r="C2695" s="3" t="s">
        <v>21</v>
      </c>
      <c r="D2695" s="2"/>
      <c r="E2695" s="2" t="e">
        <f t="shared" si="0"/>
        <v>#VALUE!</v>
      </c>
    </row>
    <row r="2696" spans="1:5" ht="12.75" customHeight="1" x14ac:dyDescent="0.2">
      <c r="A2696" s="3"/>
      <c r="B2696" s="3" t="s">
        <v>2</v>
      </c>
      <c r="C2696" s="3" t="s">
        <v>458</v>
      </c>
      <c r="D2696" s="2"/>
      <c r="E2696" s="2" t="e">
        <f t="shared" si="0"/>
        <v>#VALUE!</v>
      </c>
    </row>
    <row r="2697" spans="1:5" ht="12.75" customHeight="1" x14ac:dyDescent="0.2">
      <c r="A2697" s="3"/>
      <c r="B2697" s="3" t="s">
        <v>9</v>
      </c>
      <c r="C2697" s="3" t="s">
        <v>53</v>
      </c>
      <c r="D2697" s="2"/>
      <c r="E2697" s="2" t="e">
        <f t="shared" si="0"/>
        <v>#VALUE!</v>
      </c>
    </row>
    <row r="2698" spans="1:5" ht="12.75" customHeight="1" x14ac:dyDescent="0.2">
      <c r="A2698" s="3"/>
      <c r="B2698" s="3" t="s">
        <v>11</v>
      </c>
      <c r="C2698" s="3" t="s">
        <v>1325</v>
      </c>
      <c r="D2698" s="2"/>
      <c r="E2698" s="2" t="e">
        <f t="shared" si="0"/>
        <v>#VALUE!</v>
      </c>
    </row>
    <row r="2699" spans="1:5" ht="12.75" customHeight="1" x14ac:dyDescent="0.2">
      <c r="A2699" s="3"/>
      <c r="B2699" s="3" t="s">
        <v>18</v>
      </c>
      <c r="C2699" s="4" t="s">
        <v>19</v>
      </c>
      <c r="D2699" s="2"/>
      <c r="E2699" s="2" t="e">
        <f t="shared" si="0"/>
        <v>#VALUE!</v>
      </c>
    </row>
    <row r="2700" spans="1:5" ht="12.75" customHeight="1" x14ac:dyDescent="0.2">
      <c r="A2700" s="1" t="str">
        <f>HYPERLINK("javascript:void(0)","lélekjelenlét")</f>
        <v>lélekjelenlét</v>
      </c>
      <c r="B2700" s="1"/>
      <c r="C2700" s="1"/>
      <c r="D2700" s="2"/>
      <c r="E2700" s="2" t="e">
        <f t="shared" si="0"/>
        <v>#VALUE!</v>
      </c>
    </row>
    <row r="2701" spans="1:5" ht="12.75" customHeight="1" x14ac:dyDescent="0.2">
      <c r="A2701" s="3"/>
      <c r="B2701" s="3" t="s">
        <v>0</v>
      </c>
      <c r="C2701" s="3" t="s">
        <v>21</v>
      </c>
      <c r="D2701" s="2"/>
      <c r="E2701" s="2" t="e">
        <f t="shared" si="0"/>
        <v>#VALUE!</v>
      </c>
    </row>
    <row r="2702" spans="1:5" ht="12.75" customHeight="1" x14ac:dyDescent="0.2">
      <c r="A2702" s="3"/>
      <c r="B2702" s="3" t="s">
        <v>2</v>
      </c>
      <c r="C2702" s="3" t="s">
        <v>458</v>
      </c>
      <c r="D2702" s="2"/>
      <c r="E2702" s="2" t="e">
        <f t="shared" si="0"/>
        <v>#VALUE!</v>
      </c>
    </row>
    <row r="2703" spans="1:5" ht="12.75" customHeight="1" x14ac:dyDescent="0.2">
      <c r="A2703" s="3"/>
      <c r="B2703" s="3" t="s">
        <v>9</v>
      </c>
      <c r="C2703" s="3" t="s">
        <v>626</v>
      </c>
      <c r="D2703" s="2"/>
      <c r="E2703" s="2" t="e">
        <f t="shared" si="0"/>
        <v>#VALUE!</v>
      </c>
    </row>
    <row r="2704" spans="1:5" ht="12.75" customHeight="1" x14ac:dyDescent="0.2">
      <c r="A2704" s="3"/>
      <c r="B2704" s="3" t="s">
        <v>11</v>
      </c>
      <c r="C2704" s="3" t="s">
        <v>156</v>
      </c>
      <c r="D2704" s="2"/>
      <c r="E2704" s="2" t="e">
        <f t="shared" si="0"/>
        <v>#VALUE!</v>
      </c>
    </row>
    <row r="2705" spans="1:5" ht="12.75" customHeight="1" x14ac:dyDescent="0.2">
      <c r="A2705" s="3"/>
      <c r="B2705" s="3" t="s">
        <v>18</v>
      </c>
      <c r="C2705" s="4" t="s">
        <v>19</v>
      </c>
      <c r="D2705" s="2"/>
      <c r="E2705" s="2" t="e">
        <f t="shared" si="0"/>
        <v>#VALUE!</v>
      </c>
    </row>
    <row r="2706" spans="1:5" ht="12.75" customHeight="1" x14ac:dyDescent="0.2">
      <c r="A2706" s="1" t="str">
        <f>HYPERLINK("javascript:void(0)","lélekkristály")</f>
        <v>lélekkristály</v>
      </c>
      <c r="B2706" s="1"/>
      <c r="C2706" s="1"/>
      <c r="D2706" s="2"/>
      <c r="E2706" s="2" t="e">
        <f t="shared" si="0"/>
        <v>#VALUE!</v>
      </c>
    </row>
    <row r="2707" spans="1:5" ht="12.75" customHeight="1" x14ac:dyDescent="0.2">
      <c r="A2707" s="3"/>
      <c r="B2707" s="3" t="s">
        <v>0</v>
      </c>
      <c r="C2707" s="3" t="s">
        <v>21</v>
      </c>
      <c r="D2707" s="2"/>
      <c r="E2707" s="2" t="e">
        <f t="shared" si="0"/>
        <v>#VALUE!</v>
      </c>
    </row>
    <row r="2708" spans="1:5" ht="12.75" customHeight="1" x14ac:dyDescent="0.2">
      <c r="A2708" s="3"/>
      <c r="B2708" s="3" t="s">
        <v>2</v>
      </c>
      <c r="C2708" s="3" t="s">
        <v>458</v>
      </c>
      <c r="D2708" s="2"/>
      <c r="E2708" s="2" t="e">
        <f t="shared" si="0"/>
        <v>#VALUE!</v>
      </c>
    </row>
    <row r="2709" spans="1:5" ht="12.75" customHeight="1" x14ac:dyDescent="0.2">
      <c r="A2709" s="3"/>
      <c r="B2709" s="3" t="s">
        <v>9</v>
      </c>
      <c r="C2709" s="3" t="s">
        <v>637</v>
      </c>
      <c r="D2709" s="2"/>
      <c r="E2709" s="2" t="e">
        <f t="shared" si="0"/>
        <v>#VALUE!</v>
      </c>
    </row>
    <row r="2710" spans="1:5" ht="12.75" customHeight="1" x14ac:dyDescent="0.2">
      <c r="A2710" s="3"/>
      <c r="B2710" s="3" t="s">
        <v>11</v>
      </c>
      <c r="C2710" s="3" t="s">
        <v>551</v>
      </c>
      <c r="D2710" s="2"/>
      <c r="E2710" s="2" t="e">
        <f t="shared" si="0"/>
        <v>#VALUE!</v>
      </c>
    </row>
    <row r="2711" spans="1:5" ht="12.75" customHeight="1" x14ac:dyDescent="0.2">
      <c r="A2711" s="3"/>
      <c r="B2711" s="3" t="s">
        <v>18</v>
      </c>
      <c r="C2711" s="4" t="s">
        <v>19</v>
      </c>
      <c r="D2711" s="2"/>
      <c r="E2711" s="2" t="e">
        <f t="shared" si="0"/>
        <v>#VALUE!</v>
      </c>
    </row>
    <row r="2712" spans="1:5" ht="12.75" customHeight="1" x14ac:dyDescent="0.2">
      <c r="A2712" s="1" t="str">
        <f>HYPERLINK("javascript:void(0)","lélekmalter")</f>
        <v>lélekmalter</v>
      </c>
      <c r="B2712" s="1"/>
      <c r="C2712" s="1"/>
      <c r="D2712" s="1"/>
      <c r="E2712" s="2" t="e">
        <f t="shared" si="0"/>
        <v>#VALUE!</v>
      </c>
    </row>
    <row r="2713" spans="1:5" ht="12.75" customHeight="1" x14ac:dyDescent="0.2">
      <c r="A2713" s="3"/>
      <c r="B2713" s="3" t="s">
        <v>0</v>
      </c>
      <c r="C2713" s="3" t="s">
        <v>21</v>
      </c>
      <c r="D2713" s="3"/>
      <c r="E2713" s="2" t="e">
        <f t="shared" si="0"/>
        <v>#VALUE!</v>
      </c>
    </row>
    <row r="2714" spans="1:5" ht="12.75" customHeight="1" x14ac:dyDescent="0.2">
      <c r="A2714" s="3"/>
      <c r="B2714" s="3" t="s">
        <v>2</v>
      </c>
      <c r="C2714" s="3" t="s">
        <v>387</v>
      </c>
      <c r="D2714" s="3"/>
      <c r="E2714" s="2" t="e">
        <f t="shared" si="0"/>
        <v>#VALUE!</v>
      </c>
    </row>
    <row r="2715" spans="1:5" ht="12.75" customHeight="1" x14ac:dyDescent="0.2">
      <c r="A2715" s="3"/>
      <c r="B2715" s="3" t="s">
        <v>9</v>
      </c>
      <c r="C2715" s="3" t="s">
        <v>93</v>
      </c>
      <c r="D2715" s="3"/>
      <c r="E2715" s="2" t="e">
        <f t="shared" si="0"/>
        <v>#VALUE!</v>
      </c>
    </row>
    <row r="2716" spans="1:5" ht="12.75" customHeight="1" x14ac:dyDescent="0.2">
      <c r="A2716" s="3"/>
      <c r="B2716" s="3" t="s">
        <v>11</v>
      </c>
      <c r="C2716" s="3" t="s">
        <v>23</v>
      </c>
      <c r="D2716" s="3"/>
      <c r="E2716" s="2" t="e">
        <f t="shared" si="0"/>
        <v>#VALUE!</v>
      </c>
    </row>
    <row r="2717" spans="1:5" ht="12.75" customHeight="1" x14ac:dyDescent="0.2">
      <c r="A2717" s="3"/>
      <c r="B2717" s="3" t="s">
        <v>16</v>
      </c>
      <c r="C2717" s="3" t="s">
        <v>388</v>
      </c>
      <c r="D2717" s="3"/>
      <c r="E2717" s="2" t="e">
        <f t="shared" si="0"/>
        <v>#VALUE!</v>
      </c>
    </row>
    <row r="2718" spans="1:5" ht="12.75" customHeight="1" x14ac:dyDescent="0.2">
      <c r="A2718" s="3"/>
      <c r="B2718" s="3" t="s">
        <v>18</v>
      </c>
      <c r="C2718" s="4" t="s">
        <v>77</v>
      </c>
      <c r="D2718" s="6" t="str">
        <f>HYPERLINK("javascript:void(0)","földige")</f>
        <v>földige</v>
      </c>
      <c r="E2718" s="2" t="e">
        <f t="shared" si="0"/>
        <v>#VALUE!</v>
      </c>
    </row>
    <row r="2719" spans="1:5" ht="12.75" customHeight="1" x14ac:dyDescent="0.2">
      <c r="A2719" s="1" t="str">
        <f>HYPERLINK("javascript:void(0)","madártoll")</f>
        <v>madártoll</v>
      </c>
      <c r="B2719" s="1"/>
      <c r="C2719" s="1"/>
      <c r="D2719" s="2"/>
      <c r="E2719" s="2" t="e">
        <f t="shared" si="0"/>
        <v>#VALUE!</v>
      </c>
    </row>
    <row r="2720" spans="1:5" ht="12.75" customHeight="1" x14ac:dyDescent="0.2">
      <c r="A2720" s="3"/>
      <c r="B2720" s="3" t="s">
        <v>0</v>
      </c>
      <c r="C2720" s="3" t="s">
        <v>21</v>
      </c>
      <c r="D2720" s="2"/>
      <c r="E2720" s="2" t="e">
        <f t="shared" si="0"/>
        <v>#VALUE!</v>
      </c>
    </row>
    <row r="2721" spans="1:5" ht="12.75" customHeight="1" x14ac:dyDescent="0.2">
      <c r="A2721" s="3"/>
      <c r="B2721" s="3" t="s">
        <v>2</v>
      </c>
      <c r="C2721" s="3" t="s">
        <v>387</v>
      </c>
      <c r="D2721" s="2"/>
      <c r="E2721" s="2" t="e">
        <f t="shared" si="0"/>
        <v>#VALUE!</v>
      </c>
    </row>
    <row r="2722" spans="1:5" ht="12.75" customHeight="1" x14ac:dyDescent="0.2">
      <c r="A2722" s="3"/>
      <c r="B2722" s="3" t="s">
        <v>9</v>
      </c>
      <c r="C2722" s="3" t="s">
        <v>1361</v>
      </c>
      <c r="D2722" s="2"/>
      <c r="E2722" s="2" t="e">
        <f t="shared" si="0"/>
        <v>#VALUE!</v>
      </c>
    </row>
    <row r="2723" spans="1:5" ht="12.75" customHeight="1" x14ac:dyDescent="0.2">
      <c r="A2723" s="3"/>
      <c r="B2723" s="3" t="s">
        <v>11</v>
      </c>
      <c r="C2723" s="3" t="s">
        <v>1240</v>
      </c>
      <c r="D2723" s="2"/>
      <c r="E2723" s="2" t="e">
        <f t="shared" si="0"/>
        <v>#VALUE!</v>
      </c>
    </row>
    <row r="2724" spans="1:5" ht="12.75" customHeight="1" x14ac:dyDescent="0.2">
      <c r="A2724" s="3"/>
      <c r="B2724" s="3" t="s">
        <v>18</v>
      </c>
      <c r="C2724" s="4" t="s">
        <v>19</v>
      </c>
      <c r="D2724" s="2"/>
      <c r="E2724" s="2" t="e">
        <f t="shared" si="0"/>
        <v>#VALUE!</v>
      </c>
    </row>
    <row r="2725" spans="1:5" ht="12.75" customHeight="1" x14ac:dyDescent="0.2">
      <c r="A2725" s="1" t="str">
        <f>HYPERLINK("javascript:void(0)","magmacsepp")</f>
        <v>magmacsepp</v>
      </c>
      <c r="B2725" s="1"/>
      <c r="C2725" s="1"/>
      <c r="D2725" s="2"/>
      <c r="E2725" s="2" t="e">
        <f t="shared" si="0"/>
        <v>#VALUE!</v>
      </c>
    </row>
    <row r="2726" spans="1:5" ht="12.75" customHeight="1" x14ac:dyDescent="0.2">
      <c r="A2726" s="3"/>
      <c r="B2726" s="3" t="s">
        <v>0</v>
      </c>
      <c r="C2726" s="3" t="s">
        <v>21</v>
      </c>
      <c r="D2726" s="2"/>
      <c r="E2726" s="2" t="e">
        <f t="shared" si="0"/>
        <v>#VALUE!</v>
      </c>
    </row>
    <row r="2727" spans="1:5" ht="12.75" customHeight="1" x14ac:dyDescent="0.2">
      <c r="A2727" s="3"/>
      <c r="B2727" s="3" t="s">
        <v>2</v>
      </c>
      <c r="C2727" s="3" t="s">
        <v>458</v>
      </c>
      <c r="D2727" s="2"/>
      <c r="E2727" s="2" t="e">
        <f t="shared" si="0"/>
        <v>#VALUE!</v>
      </c>
    </row>
    <row r="2728" spans="1:5" ht="12.75" customHeight="1" x14ac:dyDescent="0.2">
      <c r="A2728" s="3"/>
      <c r="B2728" s="3" t="s">
        <v>9</v>
      </c>
      <c r="C2728" s="3" t="s">
        <v>22</v>
      </c>
      <c r="D2728" s="2"/>
      <c r="E2728" s="2" t="e">
        <f t="shared" si="0"/>
        <v>#VALUE!</v>
      </c>
    </row>
    <row r="2729" spans="1:5" ht="12.75" customHeight="1" x14ac:dyDescent="0.2">
      <c r="A2729" s="3"/>
      <c r="B2729" s="3" t="s">
        <v>11</v>
      </c>
      <c r="C2729" s="3" t="s">
        <v>89</v>
      </c>
      <c r="D2729" s="2"/>
      <c r="E2729" s="2" t="e">
        <f t="shared" si="0"/>
        <v>#VALUE!</v>
      </c>
    </row>
    <row r="2730" spans="1:5" ht="12.75" customHeight="1" x14ac:dyDescent="0.2">
      <c r="A2730" s="3"/>
      <c r="B2730" s="3" t="s">
        <v>18</v>
      </c>
      <c r="C2730" s="4" t="s">
        <v>19</v>
      </c>
      <c r="D2730" s="2"/>
      <c r="E2730" s="2" t="e">
        <f t="shared" si="0"/>
        <v>#VALUE!</v>
      </c>
    </row>
    <row r="2731" spans="1:5" ht="12.75" customHeight="1" x14ac:dyDescent="0.2">
      <c r="A2731" s="1" t="str">
        <f>HYPERLINK("javascript:void(0)","malacorr")</f>
        <v>malacorr</v>
      </c>
      <c r="B2731" s="1"/>
      <c r="C2731" s="1"/>
      <c r="D2731" s="2"/>
      <c r="E2731" s="2" t="e">
        <f t="shared" si="0"/>
        <v>#VALUE!</v>
      </c>
    </row>
    <row r="2732" spans="1:5" ht="12.75" customHeight="1" x14ac:dyDescent="0.2">
      <c r="A2732" s="3"/>
      <c r="B2732" s="3" t="s">
        <v>0</v>
      </c>
      <c r="C2732" s="3" t="s">
        <v>21</v>
      </c>
      <c r="D2732" s="2"/>
      <c r="E2732" s="2" t="e">
        <f t="shared" si="0"/>
        <v>#VALUE!</v>
      </c>
    </row>
    <row r="2733" spans="1:5" ht="12.75" customHeight="1" x14ac:dyDescent="0.2">
      <c r="A2733" s="3"/>
      <c r="B2733" s="3" t="s">
        <v>2</v>
      </c>
      <c r="C2733" s="3" t="s">
        <v>458</v>
      </c>
      <c r="D2733" s="2"/>
      <c r="E2733" s="2" t="e">
        <f t="shared" si="0"/>
        <v>#VALUE!</v>
      </c>
    </row>
    <row r="2734" spans="1:5" ht="12.75" customHeight="1" x14ac:dyDescent="0.2">
      <c r="A2734" s="3"/>
      <c r="B2734" s="3" t="s">
        <v>9</v>
      </c>
      <c r="C2734" s="3" t="s">
        <v>137</v>
      </c>
      <c r="D2734" s="2"/>
      <c r="E2734" s="2" t="e">
        <f t="shared" si="0"/>
        <v>#VALUE!</v>
      </c>
    </row>
    <row r="2735" spans="1:5" ht="12.75" customHeight="1" x14ac:dyDescent="0.2">
      <c r="A2735" s="3"/>
      <c r="B2735" s="3" t="s">
        <v>11</v>
      </c>
      <c r="C2735" s="3" t="s">
        <v>685</v>
      </c>
      <c r="D2735" s="2"/>
      <c r="E2735" s="2" t="e">
        <f t="shared" si="0"/>
        <v>#VALUE!</v>
      </c>
    </row>
    <row r="2736" spans="1:5" ht="12.75" customHeight="1" x14ac:dyDescent="0.2">
      <c r="A2736" s="3"/>
      <c r="B2736" s="3" t="s">
        <v>18</v>
      </c>
      <c r="C2736" s="4" t="s">
        <v>19</v>
      </c>
      <c r="D2736" s="2"/>
      <c r="E2736" s="2" t="e">
        <f t="shared" si="0"/>
        <v>#VALUE!</v>
      </c>
    </row>
    <row r="2737" spans="1:5" ht="12.75" customHeight="1" x14ac:dyDescent="0.2">
      <c r="A2737" s="1" t="str">
        <f>HYPERLINK("javascript:void(0)","managöb")</f>
        <v>managöb</v>
      </c>
      <c r="B2737" s="1"/>
      <c r="C2737" s="1"/>
      <c r="D2737" s="2"/>
      <c r="E2737" s="2" t="e">
        <f t="shared" si="0"/>
        <v>#VALUE!</v>
      </c>
    </row>
    <row r="2738" spans="1:5" ht="12.75" customHeight="1" x14ac:dyDescent="0.2">
      <c r="A2738" s="3"/>
      <c r="B2738" s="3" t="s">
        <v>0</v>
      </c>
      <c r="C2738" s="3" t="s">
        <v>21</v>
      </c>
      <c r="D2738" s="2"/>
      <c r="E2738" s="2" t="e">
        <f t="shared" si="0"/>
        <v>#VALUE!</v>
      </c>
    </row>
    <row r="2739" spans="1:5" ht="12.75" customHeight="1" x14ac:dyDescent="0.2">
      <c r="A2739" s="3"/>
      <c r="B2739" s="3" t="s">
        <v>2</v>
      </c>
      <c r="C2739" s="3" t="s">
        <v>458</v>
      </c>
      <c r="D2739" s="2"/>
      <c r="E2739" s="2" t="e">
        <f t="shared" si="0"/>
        <v>#VALUE!</v>
      </c>
    </row>
    <row r="2740" spans="1:5" ht="12.75" customHeight="1" x14ac:dyDescent="0.2">
      <c r="A2740" s="3"/>
      <c r="B2740" s="3" t="s">
        <v>9</v>
      </c>
      <c r="C2740" s="3" t="s">
        <v>22</v>
      </c>
      <c r="D2740" s="2"/>
      <c r="E2740" s="2" t="e">
        <f t="shared" si="0"/>
        <v>#VALUE!</v>
      </c>
    </row>
    <row r="2741" spans="1:5" ht="12.75" customHeight="1" x14ac:dyDescent="0.2">
      <c r="A2741" s="3"/>
      <c r="B2741" s="3" t="s">
        <v>11</v>
      </c>
      <c r="C2741" s="3" t="s">
        <v>535</v>
      </c>
      <c r="D2741" s="2"/>
      <c r="E2741" s="2" t="e">
        <f t="shared" si="0"/>
        <v>#VALUE!</v>
      </c>
    </row>
    <row r="2742" spans="1:5" ht="12.75" customHeight="1" x14ac:dyDescent="0.2">
      <c r="A2742" s="3"/>
      <c r="B2742" s="3" t="s">
        <v>18</v>
      </c>
      <c r="C2742" s="4" t="s">
        <v>19</v>
      </c>
      <c r="D2742" s="2"/>
      <c r="E2742" s="2" t="e">
        <f t="shared" si="0"/>
        <v>#VALUE!</v>
      </c>
    </row>
    <row r="2743" spans="1:5" ht="12.75" customHeight="1" x14ac:dyDescent="0.2">
      <c r="A2743" s="1" t="str">
        <f>HYPERLINK("javascript:void(0)","manaital")</f>
        <v>manaital</v>
      </c>
      <c r="B2743" s="1"/>
      <c r="C2743" s="1"/>
      <c r="D2743" s="2"/>
      <c r="E2743" s="2" t="e">
        <f t="shared" si="0"/>
        <v>#VALUE!</v>
      </c>
    </row>
    <row r="2744" spans="1:5" ht="12.75" customHeight="1" x14ac:dyDescent="0.2">
      <c r="A2744" s="3"/>
      <c r="B2744" s="3" t="s">
        <v>0</v>
      </c>
      <c r="C2744" s="3" t="s">
        <v>21</v>
      </c>
      <c r="D2744" s="2"/>
      <c r="E2744" s="2" t="e">
        <f t="shared" si="0"/>
        <v>#VALUE!</v>
      </c>
    </row>
    <row r="2745" spans="1:5" ht="12.75" customHeight="1" x14ac:dyDescent="0.2">
      <c r="A2745" s="3"/>
      <c r="B2745" s="3" t="s">
        <v>2</v>
      </c>
      <c r="C2745" s="3" t="s">
        <v>557</v>
      </c>
      <c r="D2745" s="2"/>
      <c r="E2745" s="2" t="e">
        <f t="shared" si="0"/>
        <v>#VALUE!</v>
      </c>
    </row>
    <row r="2746" spans="1:5" ht="12.75" customHeight="1" x14ac:dyDescent="0.2">
      <c r="A2746" s="3"/>
      <c r="B2746" s="3" t="s">
        <v>9</v>
      </c>
      <c r="C2746" s="3" t="s">
        <v>53</v>
      </c>
      <c r="D2746" s="2"/>
      <c r="E2746" s="2" t="e">
        <f t="shared" si="0"/>
        <v>#VALUE!</v>
      </c>
    </row>
    <row r="2747" spans="1:5" ht="12.75" customHeight="1" x14ac:dyDescent="0.2">
      <c r="A2747" s="3"/>
      <c r="B2747" s="3" t="s">
        <v>11</v>
      </c>
      <c r="C2747" s="3" t="s">
        <v>37</v>
      </c>
      <c r="D2747" s="2"/>
      <c r="E2747" s="2" t="e">
        <f t="shared" si="0"/>
        <v>#VALUE!</v>
      </c>
    </row>
    <row r="2748" spans="1:5" ht="12.75" customHeight="1" x14ac:dyDescent="0.2">
      <c r="A2748" s="3"/>
      <c r="B2748" s="3" t="s">
        <v>18</v>
      </c>
      <c r="C2748" s="4" t="s">
        <v>19</v>
      </c>
      <c r="D2748" s="2"/>
      <c r="E2748" s="2" t="e">
        <f t="shared" si="0"/>
        <v>#VALUE!</v>
      </c>
    </row>
    <row r="2749" spans="1:5" ht="12.75" customHeight="1" x14ac:dyDescent="0.2">
      <c r="A2749" s="1" t="str">
        <f>HYPERLINK("javascript:void(0)","mananektár")</f>
        <v>mananektár</v>
      </c>
      <c r="B2749" s="1"/>
      <c r="C2749" s="1"/>
      <c r="D2749" s="1"/>
      <c r="E2749" s="2" t="e">
        <f t="shared" si="0"/>
        <v>#VALUE!</v>
      </c>
    </row>
    <row r="2750" spans="1:5" ht="12.75" customHeight="1" x14ac:dyDescent="0.2">
      <c r="A2750" s="3"/>
      <c r="B2750" s="3" t="s">
        <v>0</v>
      </c>
      <c r="C2750" s="3" t="s">
        <v>48</v>
      </c>
      <c r="D2750" s="3"/>
      <c r="E2750" s="2" t="e">
        <f t="shared" si="0"/>
        <v>#VALUE!</v>
      </c>
    </row>
    <row r="2751" spans="1:5" ht="12.75" customHeight="1" x14ac:dyDescent="0.2">
      <c r="A2751" s="3"/>
      <c r="B2751" s="3" t="s">
        <v>2</v>
      </c>
      <c r="C2751" s="3" t="s">
        <v>557</v>
      </c>
      <c r="D2751" s="3"/>
      <c r="E2751" s="2" t="e">
        <f t="shared" si="0"/>
        <v>#VALUE!</v>
      </c>
    </row>
    <row r="2752" spans="1:5" ht="12.75" customHeight="1" x14ac:dyDescent="0.2">
      <c r="A2752" s="3"/>
      <c r="B2752" s="3" t="s">
        <v>9</v>
      </c>
      <c r="C2752" s="3" t="s">
        <v>590</v>
      </c>
      <c r="D2752" s="3"/>
      <c r="E2752" s="2" t="e">
        <f t="shared" si="0"/>
        <v>#VALUE!</v>
      </c>
    </row>
    <row r="2753" spans="1:5" ht="12.75" customHeight="1" x14ac:dyDescent="0.2">
      <c r="A2753" s="3"/>
      <c r="B2753" s="3" t="s">
        <v>11</v>
      </c>
      <c r="C2753" s="3" t="s">
        <v>1003</v>
      </c>
      <c r="D2753" s="3"/>
      <c r="E2753" s="2" t="e">
        <f t="shared" si="0"/>
        <v>#VALUE!</v>
      </c>
    </row>
    <row r="2754" spans="1:5" ht="12.75" customHeight="1" x14ac:dyDescent="0.2">
      <c r="A2754" s="3"/>
      <c r="B2754" s="3" t="s">
        <v>18</v>
      </c>
      <c r="C2754" s="4" t="s">
        <v>57</v>
      </c>
      <c r="D2754" s="6" t="str">
        <f>HYPERLINK("javascript:void(0)","extra manaital")</f>
        <v>extra manaital</v>
      </c>
      <c r="E2754" s="2" t="e">
        <f t="shared" si="0"/>
        <v>#VALUE!</v>
      </c>
    </row>
    <row r="2755" spans="1:5" ht="12.75" customHeight="1" x14ac:dyDescent="0.2">
      <c r="A2755" s="1" t="str">
        <f>HYPERLINK("javascript:void(0)","manlobogó")</f>
        <v>manlobogó</v>
      </c>
      <c r="B2755" s="1"/>
      <c r="C2755" s="1"/>
      <c r="D2755" s="2"/>
      <c r="E2755" s="2" t="e">
        <f t="shared" si="0"/>
        <v>#VALUE!</v>
      </c>
    </row>
    <row r="2756" spans="1:5" ht="12.75" customHeight="1" x14ac:dyDescent="0.2">
      <c r="A2756" s="3"/>
      <c r="B2756" s="3" t="s">
        <v>0</v>
      </c>
      <c r="C2756" s="3" t="s">
        <v>21</v>
      </c>
      <c r="D2756" s="2"/>
      <c r="E2756" s="2" t="e">
        <f t="shared" si="0"/>
        <v>#VALUE!</v>
      </c>
    </row>
    <row r="2757" spans="1:5" ht="12.75" customHeight="1" x14ac:dyDescent="0.2">
      <c r="A2757" s="3"/>
      <c r="B2757" s="3" t="s">
        <v>2</v>
      </c>
      <c r="C2757" s="3" t="s">
        <v>458</v>
      </c>
      <c r="D2757" s="2"/>
      <c r="E2757" s="2" t="e">
        <f t="shared" si="0"/>
        <v>#VALUE!</v>
      </c>
    </row>
    <row r="2758" spans="1:5" ht="12.75" customHeight="1" x14ac:dyDescent="0.2">
      <c r="A2758" s="3"/>
      <c r="B2758" s="3" t="s">
        <v>9</v>
      </c>
      <c r="C2758" s="3" t="s">
        <v>22</v>
      </c>
      <c r="D2758" s="2"/>
      <c r="E2758" s="2" t="e">
        <f t="shared" si="0"/>
        <v>#VALUE!</v>
      </c>
    </row>
    <row r="2759" spans="1:5" ht="12.75" customHeight="1" x14ac:dyDescent="0.2">
      <c r="A2759" s="3"/>
      <c r="B2759" s="3" t="s">
        <v>11</v>
      </c>
      <c r="C2759" s="3" t="s">
        <v>138</v>
      </c>
      <c r="D2759" s="2"/>
      <c r="E2759" s="2" t="e">
        <f t="shared" si="0"/>
        <v>#VALUE!</v>
      </c>
    </row>
    <row r="2760" spans="1:5" ht="12.75" customHeight="1" x14ac:dyDescent="0.2">
      <c r="A2760" s="3"/>
      <c r="B2760" s="3" t="s">
        <v>18</v>
      </c>
      <c r="C2760" s="4" t="s">
        <v>19</v>
      </c>
      <c r="D2760" s="2"/>
      <c r="E2760" s="2" t="e">
        <f t="shared" si="0"/>
        <v>#VALUE!</v>
      </c>
    </row>
    <row r="2761" spans="1:5" ht="12.75" customHeight="1" x14ac:dyDescent="0.2">
      <c r="A2761" s="1" t="str">
        <f>HYPERLINK("javascript:void(0)","manorr")</f>
        <v>manorr</v>
      </c>
      <c r="B2761" s="1"/>
      <c r="C2761" s="1"/>
      <c r="D2761" s="2"/>
      <c r="E2761" s="2" t="e">
        <f t="shared" si="0"/>
        <v>#VALUE!</v>
      </c>
    </row>
    <row r="2762" spans="1:5" ht="12.75" customHeight="1" x14ac:dyDescent="0.2">
      <c r="A2762" s="3"/>
      <c r="B2762" s="3" t="s">
        <v>0</v>
      </c>
      <c r="C2762" s="3" t="s">
        <v>21</v>
      </c>
      <c r="D2762" s="2"/>
      <c r="E2762" s="2" t="e">
        <f t="shared" si="0"/>
        <v>#VALUE!</v>
      </c>
    </row>
    <row r="2763" spans="1:5" ht="12.75" customHeight="1" x14ac:dyDescent="0.2">
      <c r="A2763" s="3"/>
      <c r="B2763" s="3" t="s">
        <v>2</v>
      </c>
      <c r="C2763" s="3" t="s">
        <v>458</v>
      </c>
      <c r="D2763" s="2"/>
      <c r="E2763" s="2" t="e">
        <f t="shared" si="0"/>
        <v>#VALUE!</v>
      </c>
    </row>
    <row r="2764" spans="1:5" ht="12.75" customHeight="1" x14ac:dyDescent="0.2">
      <c r="A2764" s="3"/>
      <c r="B2764" s="3" t="s">
        <v>9</v>
      </c>
      <c r="C2764" s="3" t="s">
        <v>22</v>
      </c>
      <c r="D2764" s="2"/>
      <c r="E2764" s="2" t="e">
        <f t="shared" si="0"/>
        <v>#VALUE!</v>
      </c>
    </row>
    <row r="2765" spans="1:5" ht="12.75" customHeight="1" x14ac:dyDescent="0.2">
      <c r="A2765" s="3"/>
      <c r="B2765" s="3" t="s">
        <v>11</v>
      </c>
      <c r="C2765" s="3" t="s">
        <v>1003</v>
      </c>
      <c r="D2765" s="2"/>
      <c r="E2765" s="2" t="e">
        <f t="shared" si="0"/>
        <v>#VALUE!</v>
      </c>
    </row>
    <row r="2766" spans="1:5" ht="12.75" customHeight="1" x14ac:dyDescent="0.2">
      <c r="A2766" s="3"/>
      <c r="B2766" s="3" t="s">
        <v>18</v>
      </c>
      <c r="C2766" s="4" t="s">
        <v>19</v>
      </c>
      <c r="D2766" s="2"/>
      <c r="E2766" s="2" t="e">
        <f t="shared" si="0"/>
        <v>#VALUE!</v>
      </c>
    </row>
    <row r="2767" spans="1:5" ht="12.75" customHeight="1" x14ac:dyDescent="0.2">
      <c r="A2767" s="1" t="str">
        <f>HYPERLINK("javascript:void(0)","mantüske")</f>
        <v>mantüske</v>
      </c>
      <c r="B2767" s="1"/>
      <c r="C2767" s="1"/>
      <c r="D2767" s="2"/>
      <c r="E2767" s="2" t="e">
        <f t="shared" si="0"/>
        <v>#VALUE!</v>
      </c>
    </row>
    <row r="2768" spans="1:5" ht="12.75" customHeight="1" x14ac:dyDescent="0.2">
      <c r="A2768" s="3"/>
      <c r="B2768" s="3" t="s">
        <v>0</v>
      </c>
      <c r="C2768" s="3" t="s">
        <v>21</v>
      </c>
      <c r="D2768" s="2"/>
      <c r="E2768" s="2" t="e">
        <f t="shared" si="0"/>
        <v>#VALUE!</v>
      </c>
    </row>
    <row r="2769" spans="1:5" ht="12.75" customHeight="1" x14ac:dyDescent="0.2">
      <c r="A2769" s="3"/>
      <c r="B2769" s="3" t="s">
        <v>2</v>
      </c>
      <c r="C2769" s="3" t="s">
        <v>458</v>
      </c>
      <c r="D2769" s="2"/>
      <c r="E2769" s="2" t="e">
        <f t="shared" si="0"/>
        <v>#VALUE!</v>
      </c>
    </row>
    <row r="2770" spans="1:5" ht="12.75" customHeight="1" x14ac:dyDescent="0.2">
      <c r="A2770" s="3"/>
      <c r="B2770" s="3" t="s">
        <v>9</v>
      </c>
      <c r="C2770" s="3" t="s">
        <v>704</v>
      </c>
      <c r="D2770" s="2"/>
      <c r="E2770" s="2" t="e">
        <f t="shared" si="0"/>
        <v>#VALUE!</v>
      </c>
    </row>
    <row r="2771" spans="1:5" ht="12.75" customHeight="1" x14ac:dyDescent="0.2">
      <c r="A2771" s="3"/>
      <c r="B2771" s="3" t="s">
        <v>11</v>
      </c>
      <c r="C2771" s="3" t="s">
        <v>1376</v>
      </c>
      <c r="D2771" s="2"/>
      <c r="E2771" s="2" t="e">
        <f t="shared" si="0"/>
        <v>#VALUE!</v>
      </c>
    </row>
    <row r="2772" spans="1:5" ht="12.75" customHeight="1" x14ac:dyDescent="0.2">
      <c r="A2772" s="3"/>
      <c r="B2772" s="3" t="s">
        <v>18</v>
      </c>
      <c r="C2772" s="4" t="s">
        <v>19</v>
      </c>
      <c r="D2772" s="2"/>
      <c r="E2772" s="2" t="e">
        <f t="shared" si="0"/>
        <v>#VALUE!</v>
      </c>
    </row>
    <row r="2773" spans="1:5" ht="12.75" customHeight="1" x14ac:dyDescent="0.2">
      <c r="A2773" s="1" t="str">
        <f>HYPERLINK("javascript:void(0)","manógomba")</f>
        <v>manógomba</v>
      </c>
      <c r="B2773" s="1"/>
      <c r="C2773" s="1"/>
      <c r="D2773" s="2"/>
      <c r="E2773" s="2" t="e">
        <f t="shared" si="0"/>
        <v>#VALUE!</v>
      </c>
    </row>
    <row r="2774" spans="1:5" ht="12.75" customHeight="1" x14ac:dyDescent="0.2">
      <c r="A2774" s="3"/>
      <c r="B2774" s="3" t="s">
        <v>0</v>
      </c>
      <c r="C2774" s="3" t="s">
        <v>21</v>
      </c>
      <c r="D2774" s="2"/>
      <c r="E2774" s="2" t="e">
        <f t="shared" si="0"/>
        <v>#VALUE!</v>
      </c>
    </row>
    <row r="2775" spans="1:5" ht="12.75" customHeight="1" x14ac:dyDescent="0.2">
      <c r="A2775" s="3"/>
      <c r="B2775" s="3" t="s">
        <v>2</v>
      </c>
      <c r="C2775" s="3" t="s">
        <v>440</v>
      </c>
      <c r="D2775" s="2"/>
      <c r="E2775" s="2" t="e">
        <f t="shared" si="0"/>
        <v>#VALUE!</v>
      </c>
    </row>
    <row r="2776" spans="1:5" ht="12.75" customHeight="1" x14ac:dyDescent="0.2">
      <c r="A2776" s="3"/>
      <c r="B2776" s="3" t="s">
        <v>9</v>
      </c>
      <c r="C2776" s="3" t="s">
        <v>42</v>
      </c>
      <c r="D2776" s="2"/>
      <c r="E2776" s="2" t="e">
        <f t="shared" si="0"/>
        <v>#VALUE!</v>
      </c>
    </row>
    <row r="2777" spans="1:5" ht="12.75" customHeight="1" x14ac:dyDescent="0.2">
      <c r="A2777" s="3"/>
      <c r="B2777" s="3" t="s">
        <v>11</v>
      </c>
      <c r="C2777" s="3" t="s">
        <v>23</v>
      </c>
      <c r="D2777" s="2"/>
      <c r="E2777" s="2" t="e">
        <f t="shared" si="0"/>
        <v>#VALUE!</v>
      </c>
    </row>
    <row r="2778" spans="1:5" ht="12.75" customHeight="1" x14ac:dyDescent="0.2">
      <c r="A2778" s="3"/>
      <c r="B2778" s="3" t="s">
        <v>16</v>
      </c>
      <c r="C2778" s="3" t="s">
        <v>1380</v>
      </c>
      <c r="D2778" s="2"/>
      <c r="E2778" s="2" t="e">
        <f t="shared" si="0"/>
        <v>#VALUE!</v>
      </c>
    </row>
    <row r="2779" spans="1:5" ht="12.75" customHeight="1" x14ac:dyDescent="0.2">
      <c r="A2779" s="3"/>
      <c r="B2779" s="3" t="s">
        <v>18</v>
      </c>
      <c r="C2779" s="4" t="s">
        <v>19</v>
      </c>
      <c r="D2779" s="2"/>
      <c r="E2779" s="2" t="e">
        <f t="shared" si="0"/>
        <v>#VALUE!</v>
      </c>
    </row>
    <row r="2780" spans="1:5" ht="12.75" customHeight="1" x14ac:dyDescent="0.2">
      <c r="A2780" s="1" t="str">
        <f>HYPERLINK("javascript:void(0)","manókoponya")</f>
        <v>manókoponya</v>
      </c>
      <c r="B2780" s="1"/>
      <c r="C2780" s="1"/>
      <c r="D2780" s="2"/>
      <c r="E2780" s="2" t="e">
        <f t="shared" si="0"/>
        <v>#VALUE!</v>
      </c>
    </row>
    <row r="2781" spans="1:5" ht="12.75" customHeight="1" x14ac:dyDescent="0.2">
      <c r="A2781" s="3"/>
      <c r="B2781" s="3" t="s">
        <v>0</v>
      </c>
      <c r="C2781" s="3" t="s">
        <v>21</v>
      </c>
      <c r="D2781" s="2"/>
      <c r="E2781" s="2" t="e">
        <f t="shared" si="0"/>
        <v>#VALUE!</v>
      </c>
    </row>
    <row r="2782" spans="1:5" ht="12.75" customHeight="1" x14ac:dyDescent="0.2">
      <c r="A2782" s="3"/>
      <c r="B2782" s="3" t="s">
        <v>2</v>
      </c>
      <c r="C2782" s="3" t="s">
        <v>458</v>
      </c>
      <c r="D2782" s="2"/>
      <c r="E2782" s="2" t="e">
        <f t="shared" si="0"/>
        <v>#VALUE!</v>
      </c>
    </row>
    <row r="2783" spans="1:5" ht="12.75" customHeight="1" x14ac:dyDescent="0.2">
      <c r="A2783" s="3"/>
      <c r="B2783" s="3" t="s">
        <v>9</v>
      </c>
      <c r="C2783" s="3" t="s">
        <v>10</v>
      </c>
      <c r="D2783" s="2"/>
      <c r="E2783" s="2" t="e">
        <f t="shared" si="0"/>
        <v>#VALUE!</v>
      </c>
    </row>
    <row r="2784" spans="1:5" ht="12.75" customHeight="1" x14ac:dyDescent="0.2">
      <c r="A2784" s="3"/>
      <c r="B2784" s="3" t="s">
        <v>11</v>
      </c>
      <c r="C2784" s="3" t="s">
        <v>1084</v>
      </c>
      <c r="D2784" s="2"/>
      <c r="E2784" s="2" t="e">
        <f t="shared" si="0"/>
        <v>#VALUE!</v>
      </c>
    </row>
    <row r="2785" spans="1:5" ht="12.75" customHeight="1" x14ac:dyDescent="0.2">
      <c r="A2785" s="3"/>
      <c r="B2785" s="3" t="s">
        <v>18</v>
      </c>
      <c r="C2785" s="4" t="s">
        <v>19</v>
      </c>
      <c r="D2785" s="2"/>
      <c r="E2785" s="2" t="e">
        <f t="shared" si="0"/>
        <v>#VALUE!</v>
      </c>
    </row>
    <row r="2786" spans="1:5" ht="12.75" customHeight="1" x14ac:dyDescent="0.2">
      <c r="A2786" s="1" t="str">
        <f>HYPERLINK("javascript:void(0)","manókorona")</f>
        <v>manókorona</v>
      </c>
      <c r="B2786" s="1"/>
      <c r="C2786" s="1"/>
      <c r="D2786" s="2"/>
      <c r="E2786" s="2" t="e">
        <f t="shared" si="0"/>
        <v>#VALUE!</v>
      </c>
    </row>
    <row r="2787" spans="1:5" ht="12.75" customHeight="1" x14ac:dyDescent="0.2">
      <c r="A2787" s="3"/>
      <c r="B2787" s="3" t="s">
        <v>0</v>
      </c>
      <c r="C2787" s="3" t="s">
        <v>21</v>
      </c>
      <c r="D2787" s="2"/>
      <c r="E2787" s="2" t="e">
        <f t="shared" si="0"/>
        <v>#VALUE!</v>
      </c>
    </row>
    <row r="2788" spans="1:5" ht="12.75" customHeight="1" x14ac:dyDescent="0.2">
      <c r="A2788" s="3"/>
      <c r="B2788" s="3" t="s">
        <v>2</v>
      </c>
      <c r="C2788" s="3" t="s">
        <v>458</v>
      </c>
      <c r="D2788" s="2"/>
      <c r="E2788" s="2" t="e">
        <f t="shared" si="0"/>
        <v>#VALUE!</v>
      </c>
    </row>
    <row r="2789" spans="1:5" ht="12.75" customHeight="1" x14ac:dyDescent="0.2">
      <c r="A2789" s="3"/>
      <c r="B2789" s="3" t="s">
        <v>9</v>
      </c>
      <c r="C2789" s="3" t="s">
        <v>22</v>
      </c>
      <c r="D2789" s="2"/>
      <c r="E2789" s="2" t="e">
        <f t="shared" si="0"/>
        <v>#VALUE!</v>
      </c>
    </row>
    <row r="2790" spans="1:5" ht="12.75" customHeight="1" x14ac:dyDescent="0.2">
      <c r="A2790" s="3"/>
      <c r="B2790" s="3" t="s">
        <v>11</v>
      </c>
      <c r="C2790" s="3" t="s">
        <v>156</v>
      </c>
      <c r="D2790" s="2"/>
      <c r="E2790" s="2" t="e">
        <f t="shared" si="0"/>
        <v>#VALUE!</v>
      </c>
    </row>
    <row r="2791" spans="1:5" ht="12.75" customHeight="1" x14ac:dyDescent="0.2">
      <c r="A2791" s="3"/>
      <c r="B2791" s="3" t="s">
        <v>18</v>
      </c>
      <c r="C2791" s="4" t="s">
        <v>19</v>
      </c>
      <c r="D2791" s="2"/>
      <c r="E2791" s="2" t="e">
        <f t="shared" si="0"/>
        <v>#VALUE!</v>
      </c>
    </row>
    <row r="2792" spans="1:5" ht="12.75" customHeight="1" x14ac:dyDescent="0.2">
      <c r="A2792" s="1" t="str">
        <f>HYPERLINK("javascript:void(0)","manótotem")</f>
        <v>manótotem</v>
      </c>
      <c r="B2792" s="1"/>
      <c r="C2792" s="1"/>
      <c r="D2792" s="2"/>
      <c r="E2792" s="2" t="e">
        <f t="shared" si="0"/>
        <v>#VALUE!</v>
      </c>
    </row>
    <row r="2793" spans="1:5" ht="12.75" customHeight="1" x14ac:dyDescent="0.2">
      <c r="A2793" s="3"/>
      <c r="B2793" s="3" t="s">
        <v>0</v>
      </c>
      <c r="C2793" s="3" t="s">
        <v>21</v>
      </c>
      <c r="D2793" s="2"/>
      <c r="E2793" s="2" t="e">
        <f t="shared" si="0"/>
        <v>#VALUE!</v>
      </c>
    </row>
    <row r="2794" spans="1:5" ht="12.75" customHeight="1" x14ac:dyDescent="0.2">
      <c r="A2794" s="3"/>
      <c r="B2794" s="3" t="s">
        <v>2</v>
      </c>
      <c r="C2794" s="3" t="s">
        <v>458</v>
      </c>
      <c r="D2794" s="2"/>
      <c r="E2794" s="2" t="e">
        <f t="shared" si="0"/>
        <v>#VALUE!</v>
      </c>
    </row>
    <row r="2795" spans="1:5" ht="12.75" customHeight="1" x14ac:dyDescent="0.2">
      <c r="A2795" s="3"/>
      <c r="B2795" s="3" t="s">
        <v>9</v>
      </c>
      <c r="C2795" s="3" t="s">
        <v>22</v>
      </c>
      <c r="D2795" s="2"/>
      <c r="E2795" s="2" t="e">
        <f t="shared" si="0"/>
        <v>#VALUE!</v>
      </c>
    </row>
    <row r="2796" spans="1:5" ht="12.75" customHeight="1" x14ac:dyDescent="0.2">
      <c r="A2796" s="3"/>
      <c r="B2796" s="3" t="s">
        <v>11</v>
      </c>
      <c r="C2796" s="3" t="s">
        <v>156</v>
      </c>
      <c r="D2796" s="2"/>
      <c r="E2796" s="2" t="e">
        <f t="shared" si="0"/>
        <v>#VALUE!</v>
      </c>
    </row>
    <row r="2797" spans="1:5" ht="12.75" customHeight="1" x14ac:dyDescent="0.2">
      <c r="A2797" s="3"/>
      <c r="B2797" s="3" t="s">
        <v>18</v>
      </c>
      <c r="C2797" s="4" t="s">
        <v>19</v>
      </c>
      <c r="D2797" s="2"/>
      <c r="E2797" s="2" t="e">
        <f t="shared" si="0"/>
        <v>#VALUE!</v>
      </c>
    </row>
    <row r="2798" spans="1:5" ht="12.75" customHeight="1" x14ac:dyDescent="0.2">
      <c r="A2798" s="1" t="str">
        <f>HYPERLINK("javascript:void(0)","marketing kézikönyv")</f>
        <v>marketing kézikönyv</v>
      </c>
      <c r="B2798" s="1"/>
      <c r="C2798" s="1"/>
      <c r="D2798" s="2"/>
      <c r="E2798" s="2" t="e">
        <f t="shared" si="0"/>
        <v>#VALUE!</v>
      </c>
    </row>
    <row r="2799" spans="1:5" ht="12.75" customHeight="1" x14ac:dyDescent="0.2">
      <c r="A2799" s="3"/>
      <c r="B2799" s="3" t="s">
        <v>0</v>
      </c>
      <c r="C2799" s="3" t="s">
        <v>21</v>
      </c>
      <c r="D2799" s="2"/>
      <c r="E2799" s="2" t="e">
        <f t="shared" si="0"/>
        <v>#VALUE!</v>
      </c>
    </row>
    <row r="2800" spans="1:5" ht="12.75" customHeight="1" x14ac:dyDescent="0.2">
      <c r="A2800" s="3"/>
      <c r="B2800" s="3" t="s">
        <v>2</v>
      </c>
      <c r="C2800" s="3" t="s">
        <v>387</v>
      </c>
      <c r="D2800" s="2"/>
      <c r="E2800" s="2" t="e">
        <f t="shared" si="0"/>
        <v>#VALUE!</v>
      </c>
    </row>
    <row r="2801" spans="1:5" ht="12.75" customHeight="1" x14ac:dyDescent="0.2">
      <c r="A2801" s="3"/>
      <c r="B2801" s="3" t="s">
        <v>9</v>
      </c>
      <c r="C2801" s="3" t="s">
        <v>27</v>
      </c>
      <c r="D2801" s="2"/>
      <c r="E2801" s="2" t="e">
        <f t="shared" si="0"/>
        <v>#VALUE!</v>
      </c>
    </row>
    <row r="2802" spans="1:5" ht="12.75" customHeight="1" x14ac:dyDescent="0.2">
      <c r="A2802" s="3"/>
      <c r="B2802" s="3" t="s">
        <v>11</v>
      </c>
      <c r="C2802" s="3" t="s">
        <v>23</v>
      </c>
      <c r="D2802" s="2"/>
      <c r="E2802" s="2" t="e">
        <f t="shared" si="0"/>
        <v>#VALUE!</v>
      </c>
    </row>
    <row r="2803" spans="1:5" ht="12.75" customHeight="1" x14ac:dyDescent="0.2">
      <c r="A2803" s="3"/>
      <c r="B2803" s="3" t="s">
        <v>16</v>
      </c>
      <c r="C2803" s="3" t="s">
        <v>388</v>
      </c>
      <c r="D2803" s="2"/>
      <c r="E2803" s="2" t="e">
        <f t="shared" si="0"/>
        <v>#VALUE!</v>
      </c>
    </row>
    <row r="2804" spans="1:5" ht="12.75" customHeight="1" x14ac:dyDescent="0.2">
      <c r="A2804" s="3"/>
      <c r="B2804" s="3" t="s">
        <v>18</v>
      </c>
      <c r="C2804" s="4" t="s">
        <v>19</v>
      </c>
      <c r="D2804" s="2"/>
      <c r="E2804" s="2" t="e">
        <f t="shared" si="0"/>
        <v>#VALUE!</v>
      </c>
    </row>
    <row r="2805" spans="1:5" ht="12.75" customHeight="1" x14ac:dyDescent="0.2">
      <c r="A2805" s="1" t="str">
        <f>HYPERLINK("javascript:void(0)","massza")</f>
        <v>massza</v>
      </c>
      <c r="B2805" s="1"/>
      <c r="C2805" s="1"/>
      <c r="D2805" s="2"/>
      <c r="E2805" s="2" t="e">
        <f t="shared" si="0"/>
        <v>#VALUE!</v>
      </c>
    </row>
    <row r="2806" spans="1:5" ht="12.75" customHeight="1" x14ac:dyDescent="0.2">
      <c r="A2806" s="3"/>
      <c r="B2806" s="3" t="s">
        <v>0</v>
      </c>
      <c r="C2806" s="3" t="s">
        <v>21</v>
      </c>
      <c r="D2806" s="2"/>
      <c r="E2806" s="2" t="e">
        <f t="shared" si="0"/>
        <v>#VALUE!</v>
      </c>
    </row>
    <row r="2807" spans="1:5" ht="12.75" customHeight="1" x14ac:dyDescent="0.2">
      <c r="A2807" s="3"/>
      <c r="B2807" s="3" t="s">
        <v>2</v>
      </c>
      <c r="C2807" s="3" t="s">
        <v>458</v>
      </c>
      <c r="D2807" s="2"/>
      <c r="E2807" s="2" t="e">
        <f t="shared" si="0"/>
        <v>#VALUE!</v>
      </c>
    </row>
    <row r="2808" spans="1:5" ht="12.75" customHeight="1" x14ac:dyDescent="0.2">
      <c r="A2808" s="3"/>
      <c r="B2808" s="3" t="s">
        <v>9</v>
      </c>
      <c r="C2808" s="3" t="s">
        <v>22</v>
      </c>
      <c r="D2808" s="2"/>
      <c r="E2808" s="2" t="e">
        <f t="shared" si="0"/>
        <v>#VALUE!</v>
      </c>
    </row>
    <row r="2809" spans="1:5" ht="12.75" customHeight="1" x14ac:dyDescent="0.2">
      <c r="A2809" s="3"/>
      <c r="B2809" s="3" t="s">
        <v>11</v>
      </c>
      <c r="C2809" s="3" t="s">
        <v>395</v>
      </c>
      <c r="D2809" s="2"/>
      <c r="E2809" s="2" t="e">
        <f t="shared" si="0"/>
        <v>#VALUE!</v>
      </c>
    </row>
    <row r="2810" spans="1:5" ht="12.75" customHeight="1" x14ac:dyDescent="0.2">
      <c r="A2810" s="3"/>
      <c r="B2810" s="3" t="s">
        <v>18</v>
      </c>
      <c r="C2810" s="4" t="s">
        <v>19</v>
      </c>
      <c r="D2810" s="2"/>
      <c r="E2810" s="2" t="e">
        <f t="shared" si="0"/>
        <v>#VALUE!</v>
      </c>
    </row>
    <row r="2811" spans="1:5" ht="12.75" customHeight="1" x14ac:dyDescent="0.2">
      <c r="A2811" s="1" t="str">
        <f>HYPERLINK("javascript:void(0)","maxilla")</f>
        <v>maxilla</v>
      </c>
      <c r="B2811" s="1"/>
      <c r="C2811" s="1"/>
      <c r="D2811" s="2"/>
      <c r="E2811" s="2" t="e">
        <f t="shared" si="0"/>
        <v>#VALUE!</v>
      </c>
    </row>
    <row r="2812" spans="1:5" ht="12.75" customHeight="1" x14ac:dyDescent="0.2">
      <c r="A2812" s="3"/>
      <c r="B2812" s="3" t="s">
        <v>0</v>
      </c>
      <c r="C2812" s="3" t="s">
        <v>21</v>
      </c>
      <c r="D2812" s="2"/>
      <c r="E2812" s="2" t="e">
        <f t="shared" si="0"/>
        <v>#VALUE!</v>
      </c>
    </row>
    <row r="2813" spans="1:5" ht="12.75" customHeight="1" x14ac:dyDescent="0.2">
      <c r="A2813" s="3"/>
      <c r="B2813" s="3" t="s">
        <v>2</v>
      </c>
      <c r="C2813" s="3" t="s">
        <v>458</v>
      </c>
      <c r="D2813" s="2"/>
      <c r="E2813" s="2" t="e">
        <f t="shared" si="0"/>
        <v>#VALUE!</v>
      </c>
    </row>
    <row r="2814" spans="1:5" ht="12.75" customHeight="1" x14ac:dyDescent="0.2">
      <c r="A2814" s="3"/>
      <c r="B2814" s="3" t="s">
        <v>9</v>
      </c>
      <c r="C2814" s="3" t="s">
        <v>53</v>
      </c>
      <c r="D2814" s="2"/>
      <c r="E2814" s="2" t="e">
        <f t="shared" si="0"/>
        <v>#VALUE!</v>
      </c>
    </row>
    <row r="2815" spans="1:5" ht="12.75" customHeight="1" x14ac:dyDescent="0.2">
      <c r="A2815" s="3"/>
      <c r="B2815" s="3" t="s">
        <v>11</v>
      </c>
      <c r="C2815" s="3" t="s">
        <v>1394</v>
      </c>
      <c r="D2815" s="2"/>
      <c r="E2815" s="2" t="e">
        <f t="shared" si="0"/>
        <v>#VALUE!</v>
      </c>
    </row>
    <row r="2816" spans="1:5" ht="12.75" customHeight="1" x14ac:dyDescent="0.2">
      <c r="A2816" s="3"/>
      <c r="B2816" s="3" t="s">
        <v>18</v>
      </c>
      <c r="C2816" s="4" t="s">
        <v>19</v>
      </c>
      <c r="D2816" s="2"/>
      <c r="E2816" s="2" t="e">
        <f t="shared" si="0"/>
        <v>#VALUE!</v>
      </c>
    </row>
    <row r="2817" spans="1:5" ht="12.75" customHeight="1" x14ac:dyDescent="0.2">
      <c r="A2817" s="1" t="str">
        <f>HYPERLINK("javascript:void(0)","mechodron")</f>
        <v>mechodron</v>
      </c>
      <c r="B2817" s="1"/>
      <c r="C2817" s="1"/>
      <c r="D2817" s="2"/>
      <c r="E2817" s="2" t="e">
        <f t="shared" si="0"/>
        <v>#VALUE!</v>
      </c>
    </row>
    <row r="2818" spans="1:5" ht="12.75" customHeight="1" x14ac:dyDescent="0.2">
      <c r="A2818" s="3"/>
      <c r="B2818" s="3" t="s">
        <v>0</v>
      </c>
      <c r="C2818" s="3" t="s">
        <v>21</v>
      </c>
      <c r="D2818" s="2"/>
      <c r="E2818" s="2" t="e">
        <f t="shared" si="0"/>
        <v>#VALUE!</v>
      </c>
    </row>
    <row r="2819" spans="1:5" ht="12.75" customHeight="1" x14ac:dyDescent="0.2">
      <c r="A2819" s="3"/>
      <c r="B2819" s="3" t="s">
        <v>2</v>
      </c>
      <c r="C2819" s="3" t="s">
        <v>458</v>
      </c>
      <c r="D2819" s="2"/>
      <c r="E2819" s="2" t="e">
        <f t="shared" si="0"/>
        <v>#VALUE!</v>
      </c>
    </row>
    <row r="2820" spans="1:5" ht="12.75" customHeight="1" x14ac:dyDescent="0.2">
      <c r="A2820" s="3"/>
      <c r="B2820" s="3" t="s">
        <v>9</v>
      </c>
      <c r="C2820" s="3" t="s">
        <v>137</v>
      </c>
      <c r="D2820" s="2"/>
      <c r="E2820" s="2" t="e">
        <f t="shared" si="0"/>
        <v>#VALUE!</v>
      </c>
    </row>
    <row r="2821" spans="1:5" ht="12.75" customHeight="1" x14ac:dyDescent="0.2">
      <c r="A2821" s="3"/>
      <c r="B2821" s="3" t="s">
        <v>11</v>
      </c>
      <c r="C2821" s="3" t="s">
        <v>227</v>
      </c>
      <c r="D2821" s="2"/>
      <c r="E2821" s="2" t="e">
        <f t="shared" si="0"/>
        <v>#VALUE!</v>
      </c>
    </row>
    <row r="2822" spans="1:5" ht="12.75" customHeight="1" x14ac:dyDescent="0.2">
      <c r="A2822" s="3"/>
      <c r="B2822" s="3" t="s">
        <v>18</v>
      </c>
      <c r="C2822" s="4" t="s">
        <v>19</v>
      </c>
      <c r="D2822" s="2"/>
      <c r="E2822" s="2" t="e">
        <f t="shared" si="0"/>
        <v>#VALUE!</v>
      </c>
    </row>
    <row r="2823" spans="1:5" ht="12.75" customHeight="1" x14ac:dyDescent="0.2">
      <c r="A2823" s="1" t="str">
        <f>HYPERLINK("javascript:void(0)","medvepúp")</f>
        <v>medvepúp</v>
      </c>
      <c r="B2823" s="1"/>
      <c r="C2823" s="1"/>
      <c r="D2823" s="2"/>
      <c r="E2823" s="2" t="e">
        <f t="shared" si="0"/>
        <v>#VALUE!</v>
      </c>
    </row>
    <row r="2824" spans="1:5" ht="12.75" customHeight="1" x14ac:dyDescent="0.2">
      <c r="A2824" s="3"/>
      <c r="B2824" s="3" t="s">
        <v>0</v>
      </c>
      <c r="C2824" s="3" t="s">
        <v>21</v>
      </c>
      <c r="D2824" s="2"/>
      <c r="E2824" s="2" t="e">
        <f t="shared" si="0"/>
        <v>#VALUE!</v>
      </c>
    </row>
    <row r="2825" spans="1:5" ht="12.75" customHeight="1" x14ac:dyDescent="0.2">
      <c r="A2825" s="3"/>
      <c r="B2825" s="3" t="s">
        <v>2</v>
      </c>
      <c r="C2825" s="3" t="s">
        <v>458</v>
      </c>
      <c r="D2825" s="2"/>
      <c r="E2825" s="2" t="e">
        <f t="shared" si="0"/>
        <v>#VALUE!</v>
      </c>
    </row>
    <row r="2826" spans="1:5" ht="12.75" customHeight="1" x14ac:dyDescent="0.2">
      <c r="A2826" s="3"/>
      <c r="B2826" s="3" t="s">
        <v>9</v>
      </c>
      <c r="C2826" s="3" t="s">
        <v>75</v>
      </c>
      <c r="D2826" s="2"/>
      <c r="E2826" s="2" t="e">
        <f t="shared" si="0"/>
        <v>#VALUE!</v>
      </c>
    </row>
    <row r="2827" spans="1:5" ht="12.75" customHeight="1" x14ac:dyDescent="0.2">
      <c r="A2827" s="3"/>
      <c r="B2827" s="3" t="s">
        <v>11</v>
      </c>
      <c r="C2827" s="3" t="s">
        <v>1399</v>
      </c>
      <c r="D2827" s="2"/>
      <c r="E2827" s="2" t="e">
        <f t="shared" si="0"/>
        <v>#VALUE!</v>
      </c>
    </row>
    <row r="2828" spans="1:5" ht="12.75" customHeight="1" x14ac:dyDescent="0.2">
      <c r="A2828" s="3"/>
      <c r="B2828" s="3" t="s">
        <v>18</v>
      </c>
      <c r="C2828" s="4" t="s">
        <v>19</v>
      </c>
      <c r="D2828" s="2"/>
      <c r="E2828" s="2" t="e">
        <f t="shared" si="0"/>
        <v>#VALUE!</v>
      </c>
    </row>
    <row r="2829" spans="1:5" ht="12.75" customHeight="1" x14ac:dyDescent="0.2">
      <c r="A2829" s="1" t="str">
        <f>HYPERLINK("javascript:void(0)","medál")</f>
        <v>medál</v>
      </c>
      <c r="B2829" s="1"/>
      <c r="C2829" s="1"/>
      <c r="D2829" s="2"/>
      <c r="E2829" s="2" t="e">
        <f t="shared" si="0"/>
        <v>#VALUE!</v>
      </c>
    </row>
    <row r="2830" spans="1:5" ht="12.75" customHeight="1" x14ac:dyDescent="0.2">
      <c r="A2830" s="3"/>
      <c r="B2830" s="3" t="s">
        <v>0</v>
      </c>
      <c r="C2830" s="3" t="s">
        <v>21</v>
      </c>
      <c r="D2830" s="2"/>
      <c r="E2830" s="2" t="e">
        <f t="shared" si="0"/>
        <v>#VALUE!</v>
      </c>
    </row>
    <row r="2831" spans="1:5" ht="12.75" customHeight="1" x14ac:dyDescent="0.2">
      <c r="A2831" s="3"/>
      <c r="B2831" s="3" t="s">
        <v>2</v>
      </c>
      <c r="C2831" s="3" t="s">
        <v>458</v>
      </c>
      <c r="D2831" s="2"/>
      <c r="E2831" s="2" t="e">
        <f t="shared" si="0"/>
        <v>#VALUE!</v>
      </c>
    </row>
    <row r="2832" spans="1:5" ht="12.75" customHeight="1" x14ac:dyDescent="0.2">
      <c r="A2832" s="3"/>
      <c r="B2832" s="3" t="s">
        <v>9</v>
      </c>
      <c r="C2832" s="3" t="s">
        <v>1272</v>
      </c>
      <c r="D2832" s="2"/>
      <c r="E2832" s="2" t="e">
        <f t="shared" si="0"/>
        <v>#VALUE!</v>
      </c>
    </row>
    <row r="2833" spans="1:5" ht="12.75" customHeight="1" x14ac:dyDescent="0.2">
      <c r="A2833" s="3"/>
      <c r="B2833" s="3" t="s">
        <v>11</v>
      </c>
      <c r="C2833" s="3" t="s">
        <v>1403</v>
      </c>
      <c r="D2833" s="2"/>
      <c r="E2833" s="2" t="e">
        <f t="shared" si="0"/>
        <v>#VALUE!</v>
      </c>
    </row>
    <row r="2834" spans="1:5" ht="12.75" customHeight="1" x14ac:dyDescent="0.2">
      <c r="A2834" s="3"/>
      <c r="B2834" s="3" t="s">
        <v>18</v>
      </c>
      <c r="C2834" s="4" t="s">
        <v>19</v>
      </c>
      <c r="D2834" s="2"/>
      <c r="E2834" s="2" t="e">
        <f t="shared" si="0"/>
        <v>#VALUE!</v>
      </c>
    </row>
    <row r="2835" spans="1:5" ht="12.75" customHeight="1" x14ac:dyDescent="0.2">
      <c r="A2835" s="1" t="str">
        <f>HYPERLINK("javascript:void(0)","medúza csáp")</f>
        <v>medúza csáp</v>
      </c>
      <c r="B2835" s="1"/>
      <c r="C2835" s="1"/>
      <c r="D2835" s="2"/>
      <c r="E2835" s="2" t="e">
        <f t="shared" si="0"/>
        <v>#VALUE!</v>
      </c>
    </row>
    <row r="2836" spans="1:5" ht="12.75" customHeight="1" x14ac:dyDescent="0.2">
      <c r="A2836" s="3"/>
      <c r="B2836" s="3" t="s">
        <v>0</v>
      </c>
      <c r="C2836" s="3" t="s">
        <v>21</v>
      </c>
      <c r="D2836" s="2"/>
      <c r="E2836" s="2" t="e">
        <f t="shared" si="0"/>
        <v>#VALUE!</v>
      </c>
    </row>
    <row r="2837" spans="1:5" ht="12.75" customHeight="1" x14ac:dyDescent="0.2">
      <c r="A2837" s="3"/>
      <c r="B2837" s="3" t="s">
        <v>2</v>
      </c>
      <c r="C2837" s="3" t="s">
        <v>458</v>
      </c>
      <c r="D2837" s="2"/>
      <c r="E2837" s="2" t="e">
        <f t="shared" si="0"/>
        <v>#VALUE!</v>
      </c>
    </row>
    <row r="2838" spans="1:5" ht="12.75" customHeight="1" x14ac:dyDescent="0.2">
      <c r="A2838" s="3"/>
      <c r="B2838" s="3" t="s">
        <v>9</v>
      </c>
      <c r="C2838" s="3" t="s">
        <v>1048</v>
      </c>
      <c r="D2838" s="2"/>
      <c r="E2838" s="2" t="e">
        <f t="shared" si="0"/>
        <v>#VALUE!</v>
      </c>
    </row>
    <row r="2839" spans="1:5" ht="12.75" customHeight="1" x14ac:dyDescent="0.2">
      <c r="A2839" s="3"/>
      <c r="B2839" s="3" t="s">
        <v>11</v>
      </c>
      <c r="C2839" s="3" t="s">
        <v>457</v>
      </c>
      <c r="D2839" s="2"/>
      <c r="E2839" s="2" t="e">
        <f t="shared" si="0"/>
        <v>#VALUE!</v>
      </c>
    </row>
    <row r="2840" spans="1:5" ht="12.75" customHeight="1" x14ac:dyDescent="0.2">
      <c r="A2840" s="3"/>
      <c r="B2840" s="3" t="s">
        <v>18</v>
      </c>
      <c r="C2840" s="4" t="s">
        <v>19</v>
      </c>
      <c r="D2840" s="2"/>
      <c r="E2840" s="2" t="e">
        <f t="shared" si="0"/>
        <v>#VALUE!</v>
      </c>
    </row>
    <row r="2841" spans="1:5" ht="12.75" customHeight="1" x14ac:dyDescent="0.2">
      <c r="A2841" s="1" t="str">
        <f>HYPERLINK("javascript:void(0)","megbízólevél")</f>
        <v>megbízólevél</v>
      </c>
      <c r="B2841" s="1"/>
      <c r="C2841" s="1"/>
      <c r="D2841" s="2"/>
      <c r="E2841" s="2" t="e">
        <f t="shared" si="0"/>
        <v>#VALUE!</v>
      </c>
    </row>
    <row r="2842" spans="1:5" ht="12.75" customHeight="1" x14ac:dyDescent="0.2">
      <c r="A2842" s="3"/>
      <c r="B2842" s="3" t="s">
        <v>0</v>
      </c>
      <c r="C2842" s="3" t="s">
        <v>21</v>
      </c>
      <c r="D2842" s="2"/>
      <c r="E2842" s="2" t="e">
        <f t="shared" si="0"/>
        <v>#VALUE!</v>
      </c>
    </row>
    <row r="2843" spans="1:5" ht="12.75" customHeight="1" x14ac:dyDescent="0.2">
      <c r="A2843" s="3"/>
      <c r="B2843" s="3" t="s">
        <v>2</v>
      </c>
      <c r="C2843" s="3" t="s">
        <v>387</v>
      </c>
      <c r="D2843" s="2"/>
      <c r="E2843" s="2" t="e">
        <f t="shared" si="0"/>
        <v>#VALUE!</v>
      </c>
    </row>
    <row r="2844" spans="1:5" ht="12.75" customHeight="1" x14ac:dyDescent="0.2">
      <c r="A2844" s="3"/>
      <c r="B2844" s="3" t="s">
        <v>9</v>
      </c>
      <c r="C2844" s="3" t="s">
        <v>27</v>
      </c>
      <c r="D2844" s="2"/>
      <c r="E2844" s="2" t="e">
        <f t="shared" si="0"/>
        <v>#VALUE!</v>
      </c>
    </row>
    <row r="2845" spans="1:5" ht="12.75" customHeight="1" x14ac:dyDescent="0.2">
      <c r="A2845" s="3"/>
      <c r="B2845" s="3" t="s">
        <v>11</v>
      </c>
      <c r="C2845" s="3" t="s">
        <v>23</v>
      </c>
      <c r="D2845" s="2"/>
      <c r="E2845" s="2" t="e">
        <f t="shared" si="0"/>
        <v>#VALUE!</v>
      </c>
    </row>
    <row r="2846" spans="1:5" ht="12.75" customHeight="1" x14ac:dyDescent="0.2">
      <c r="A2846" s="3"/>
      <c r="B2846" s="3" t="s">
        <v>16</v>
      </c>
      <c r="C2846" s="3" t="s">
        <v>388</v>
      </c>
      <c r="D2846" s="2"/>
      <c r="E2846" s="2" t="e">
        <f t="shared" si="0"/>
        <v>#VALUE!</v>
      </c>
    </row>
    <row r="2847" spans="1:5" ht="12.75" customHeight="1" x14ac:dyDescent="0.2">
      <c r="A2847" s="3"/>
      <c r="B2847" s="3" t="s">
        <v>18</v>
      </c>
      <c r="C2847" s="4" t="s">
        <v>19</v>
      </c>
      <c r="D2847" s="2"/>
      <c r="E2847" s="2" t="e">
        <f t="shared" si="0"/>
        <v>#VALUE!</v>
      </c>
    </row>
    <row r="2848" spans="1:5" ht="12.75" customHeight="1" x14ac:dyDescent="0.2">
      <c r="A2848" s="1" t="str">
        <f>HYPERLINK("javascript:void(0)","megmentő")</f>
        <v>megmentő</v>
      </c>
      <c r="B2848" s="1"/>
      <c r="C2848" s="1"/>
      <c r="D2848" s="2"/>
      <c r="E2848" s="2" t="e">
        <f t="shared" si="0"/>
        <v>#VALUE!</v>
      </c>
    </row>
    <row r="2849" spans="1:5" ht="12.75" customHeight="1" x14ac:dyDescent="0.2">
      <c r="A2849" s="3"/>
      <c r="B2849" s="3" t="s">
        <v>0</v>
      </c>
      <c r="C2849" s="3" t="s">
        <v>21</v>
      </c>
      <c r="D2849" s="2"/>
      <c r="E2849" s="2" t="e">
        <f t="shared" si="0"/>
        <v>#VALUE!</v>
      </c>
    </row>
    <row r="2850" spans="1:5" ht="12.75" customHeight="1" x14ac:dyDescent="0.2">
      <c r="A2850" s="3"/>
      <c r="B2850" s="3" t="s">
        <v>2</v>
      </c>
      <c r="C2850" s="3" t="s">
        <v>458</v>
      </c>
      <c r="D2850" s="2"/>
      <c r="E2850" s="2" t="e">
        <f t="shared" si="0"/>
        <v>#VALUE!</v>
      </c>
    </row>
    <row r="2851" spans="1:5" ht="12.75" customHeight="1" x14ac:dyDescent="0.2">
      <c r="A2851" s="3"/>
      <c r="B2851" s="3" t="s">
        <v>9</v>
      </c>
      <c r="C2851" s="3" t="s">
        <v>22</v>
      </c>
      <c r="D2851" s="2"/>
      <c r="E2851" s="2" t="e">
        <f t="shared" si="0"/>
        <v>#VALUE!</v>
      </c>
    </row>
    <row r="2852" spans="1:5" ht="12.75" customHeight="1" x14ac:dyDescent="0.2">
      <c r="A2852" s="3"/>
      <c r="B2852" s="3" t="s">
        <v>11</v>
      </c>
      <c r="C2852" s="3" t="s">
        <v>605</v>
      </c>
      <c r="D2852" s="2"/>
      <c r="E2852" s="2" t="e">
        <f t="shared" si="0"/>
        <v>#VALUE!</v>
      </c>
    </row>
    <row r="2853" spans="1:5" ht="12.75" customHeight="1" x14ac:dyDescent="0.2">
      <c r="A2853" s="3"/>
      <c r="B2853" s="3" t="s">
        <v>18</v>
      </c>
      <c r="C2853" s="4" t="s">
        <v>19</v>
      </c>
      <c r="D2853" s="2"/>
      <c r="E2853" s="2" t="e">
        <f t="shared" si="0"/>
        <v>#VALUE!</v>
      </c>
    </row>
    <row r="2854" spans="1:5" ht="12.75" customHeight="1" x14ac:dyDescent="0.2">
      <c r="A2854" s="1" t="str">
        <f>HYPERLINK("javascript:void(0)","mellkantár")</f>
        <v>mellkantár</v>
      </c>
      <c r="B2854" s="1"/>
      <c r="C2854" s="1"/>
      <c r="D2854" s="2"/>
      <c r="E2854" s="2" t="e">
        <f t="shared" si="0"/>
        <v>#VALUE!</v>
      </c>
    </row>
    <row r="2855" spans="1:5" ht="12.75" customHeight="1" x14ac:dyDescent="0.2">
      <c r="A2855" s="3"/>
      <c r="B2855" s="3" t="s">
        <v>0</v>
      </c>
      <c r="C2855" s="3" t="s">
        <v>21</v>
      </c>
      <c r="D2855" s="2"/>
      <c r="E2855" s="2" t="e">
        <f t="shared" si="0"/>
        <v>#VALUE!</v>
      </c>
    </row>
    <row r="2856" spans="1:5" ht="12.75" customHeight="1" x14ac:dyDescent="0.2">
      <c r="A2856" s="3"/>
      <c r="B2856" s="3" t="s">
        <v>2</v>
      </c>
      <c r="C2856" s="3" t="s">
        <v>458</v>
      </c>
      <c r="D2856" s="2"/>
      <c r="E2856" s="2" t="e">
        <f t="shared" si="0"/>
        <v>#VALUE!</v>
      </c>
    </row>
    <row r="2857" spans="1:5" ht="12.75" customHeight="1" x14ac:dyDescent="0.2">
      <c r="A2857" s="3"/>
      <c r="B2857" s="3" t="s">
        <v>9</v>
      </c>
      <c r="C2857" s="3" t="s">
        <v>22</v>
      </c>
      <c r="D2857" s="2"/>
      <c r="E2857" s="2" t="e">
        <f t="shared" si="0"/>
        <v>#VALUE!</v>
      </c>
    </row>
    <row r="2858" spans="1:5" ht="12.75" customHeight="1" x14ac:dyDescent="0.2">
      <c r="A2858" s="3"/>
      <c r="B2858" s="3" t="s">
        <v>11</v>
      </c>
      <c r="C2858" s="3" t="s">
        <v>395</v>
      </c>
      <c r="D2858" s="2"/>
      <c r="E2858" s="2" t="e">
        <f t="shared" si="0"/>
        <v>#VALUE!</v>
      </c>
    </row>
    <row r="2859" spans="1:5" ht="12.75" customHeight="1" x14ac:dyDescent="0.2">
      <c r="A2859" s="3"/>
      <c r="B2859" s="3" t="s">
        <v>18</v>
      </c>
      <c r="C2859" s="4" t="s">
        <v>19</v>
      </c>
      <c r="D2859" s="2"/>
      <c r="E2859" s="2" t="e">
        <f t="shared" si="0"/>
        <v>#VALUE!</v>
      </c>
    </row>
    <row r="2860" spans="1:5" ht="12.75" customHeight="1" x14ac:dyDescent="0.2">
      <c r="A2860" s="1" t="str">
        <f>HYPERLINK("javascript:void(0)","membránplazma")</f>
        <v>membránplazma</v>
      </c>
      <c r="B2860" s="1"/>
      <c r="C2860" s="1"/>
      <c r="D2860" s="2"/>
      <c r="E2860" s="2" t="e">
        <f t="shared" si="0"/>
        <v>#VALUE!</v>
      </c>
    </row>
    <row r="2861" spans="1:5" ht="12.75" customHeight="1" x14ac:dyDescent="0.2">
      <c r="A2861" s="3"/>
      <c r="B2861" s="3" t="s">
        <v>0</v>
      </c>
      <c r="C2861" s="3" t="s">
        <v>21</v>
      </c>
      <c r="D2861" s="2"/>
      <c r="E2861" s="2" t="e">
        <f t="shared" si="0"/>
        <v>#VALUE!</v>
      </c>
    </row>
    <row r="2862" spans="1:5" ht="12.75" customHeight="1" x14ac:dyDescent="0.2">
      <c r="A2862" s="3"/>
      <c r="B2862" s="3" t="s">
        <v>2</v>
      </c>
      <c r="C2862" s="3" t="s">
        <v>458</v>
      </c>
      <c r="D2862" s="2"/>
      <c r="E2862" s="2" t="e">
        <f t="shared" si="0"/>
        <v>#VALUE!</v>
      </c>
    </row>
    <row r="2863" spans="1:5" ht="12.75" customHeight="1" x14ac:dyDescent="0.2">
      <c r="A2863" s="3"/>
      <c r="B2863" s="3" t="s">
        <v>9</v>
      </c>
      <c r="C2863" s="3" t="s">
        <v>1417</v>
      </c>
      <c r="D2863" s="2"/>
      <c r="E2863" s="2" t="e">
        <f t="shared" si="0"/>
        <v>#VALUE!</v>
      </c>
    </row>
    <row r="2864" spans="1:5" ht="12.75" customHeight="1" x14ac:dyDescent="0.2">
      <c r="A2864" s="3"/>
      <c r="B2864" s="3" t="s">
        <v>11</v>
      </c>
      <c r="C2864" s="3" t="s">
        <v>1418</v>
      </c>
      <c r="D2864" s="2"/>
      <c r="E2864" s="2" t="e">
        <f t="shared" si="0"/>
        <v>#VALUE!</v>
      </c>
    </row>
    <row r="2865" spans="1:5" ht="12.75" customHeight="1" x14ac:dyDescent="0.2">
      <c r="A2865" s="3"/>
      <c r="B2865" s="3" t="s">
        <v>18</v>
      </c>
      <c r="C2865" s="4" t="s">
        <v>19</v>
      </c>
      <c r="D2865" s="2"/>
      <c r="E2865" s="2" t="e">
        <f t="shared" si="0"/>
        <v>#VALUE!</v>
      </c>
    </row>
    <row r="2866" spans="1:5" ht="12.75" customHeight="1" x14ac:dyDescent="0.2">
      <c r="A2866" s="1" t="str">
        <f>HYPERLINK("javascript:void(0)","menta")</f>
        <v>menta</v>
      </c>
      <c r="B2866" s="1"/>
      <c r="C2866" s="1"/>
      <c r="D2866" s="2"/>
      <c r="E2866" s="2" t="e">
        <f t="shared" si="0"/>
        <v>#VALUE!</v>
      </c>
    </row>
    <row r="2867" spans="1:5" ht="12.75" customHeight="1" x14ac:dyDescent="0.2">
      <c r="A2867" s="3"/>
      <c r="B2867" s="3" t="s">
        <v>0</v>
      </c>
      <c r="C2867" s="3" t="s">
        <v>21</v>
      </c>
      <c r="D2867" s="2"/>
      <c r="E2867" s="2" t="e">
        <f t="shared" si="0"/>
        <v>#VALUE!</v>
      </c>
    </row>
    <row r="2868" spans="1:5" ht="12.75" customHeight="1" x14ac:dyDescent="0.2">
      <c r="A2868" s="3"/>
      <c r="B2868" s="3" t="s">
        <v>2</v>
      </c>
      <c r="C2868" s="3" t="s">
        <v>458</v>
      </c>
      <c r="D2868" s="2"/>
      <c r="E2868" s="2" t="e">
        <f t="shared" si="0"/>
        <v>#VALUE!</v>
      </c>
    </row>
    <row r="2869" spans="1:5" ht="12.75" customHeight="1" x14ac:dyDescent="0.2">
      <c r="A2869" s="3"/>
      <c r="B2869" s="3" t="s">
        <v>9</v>
      </c>
      <c r="C2869" s="3" t="s">
        <v>22</v>
      </c>
      <c r="D2869" s="2"/>
      <c r="E2869" s="2" t="e">
        <f t="shared" si="0"/>
        <v>#VALUE!</v>
      </c>
    </row>
    <row r="2870" spans="1:5" ht="12.75" customHeight="1" x14ac:dyDescent="0.2">
      <c r="A2870" s="3"/>
      <c r="B2870" s="3" t="s">
        <v>11</v>
      </c>
      <c r="C2870" s="3" t="s">
        <v>486</v>
      </c>
      <c r="D2870" s="2"/>
      <c r="E2870" s="2" t="e">
        <f t="shared" si="0"/>
        <v>#VALUE!</v>
      </c>
    </row>
    <row r="2871" spans="1:5" ht="12.75" customHeight="1" x14ac:dyDescent="0.2">
      <c r="A2871" s="3"/>
      <c r="B2871" s="3" t="s">
        <v>18</v>
      </c>
      <c r="C2871" s="4" t="s">
        <v>19</v>
      </c>
      <c r="D2871" s="2"/>
      <c r="E2871" s="2" t="e">
        <f t="shared" si="0"/>
        <v>#VALUE!</v>
      </c>
    </row>
    <row r="2872" spans="1:5" ht="12.75" customHeight="1" x14ac:dyDescent="0.2">
      <c r="A2872" s="1" t="str">
        <f>HYPERLINK("javascript:void(0)","merkantid")</f>
        <v>merkantid</v>
      </c>
      <c r="B2872" s="1"/>
      <c r="C2872" s="1"/>
      <c r="D2872" s="2"/>
      <c r="E2872" s="2" t="e">
        <f t="shared" si="0"/>
        <v>#VALUE!</v>
      </c>
    </row>
    <row r="2873" spans="1:5" ht="12.75" customHeight="1" x14ac:dyDescent="0.2">
      <c r="A2873" s="3"/>
      <c r="B2873" s="3" t="s">
        <v>0</v>
      </c>
      <c r="C2873" s="3" t="s">
        <v>21</v>
      </c>
      <c r="D2873" s="2"/>
      <c r="E2873" s="2" t="e">
        <f t="shared" si="0"/>
        <v>#VALUE!</v>
      </c>
    </row>
    <row r="2874" spans="1:5" ht="12.75" customHeight="1" x14ac:dyDescent="0.2">
      <c r="A2874" s="3"/>
      <c r="B2874" s="3" t="s">
        <v>2</v>
      </c>
      <c r="C2874" s="3" t="s">
        <v>458</v>
      </c>
      <c r="D2874" s="2"/>
      <c r="E2874" s="2" t="e">
        <f t="shared" si="0"/>
        <v>#VALUE!</v>
      </c>
    </row>
    <row r="2875" spans="1:5" ht="12.75" customHeight="1" x14ac:dyDescent="0.2">
      <c r="A2875" s="3"/>
      <c r="B2875" s="3" t="s">
        <v>9</v>
      </c>
      <c r="C2875" s="3" t="s">
        <v>22</v>
      </c>
      <c r="D2875" s="2"/>
      <c r="E2875" s="2" t="e">
        <f t="shared" si="0"/>
        <v>#VALUE!</v>
      </c>
    </row>
    <row r="2876" spans="1:5" ht="12.75" customHeight="1" x14ac:dyDescent="0.2">
      <c r="A2876" s="3"/>
      <c r="B2876" s="3" t="s">
        <v>11</v>
      </c>
      <c r="C2876" s="3" t="s">
        <v>1424</v>
      </c>
      <c r="D2876" s="2"/>
      <c r="E2876" s="2" t="e">
        <f t="shared" si="0"/>
        <v>#VALUE!</v>
      </c>
    </row>
    <row r="2877" spans="1:5" ht="12.75" customHeight="1" x14ac:dyDescent="0.2">
      <c r="A2877" s="3"/>
      <c r="B2877" s="3" t="s">
        <v>18</v>
      </c>
      <c r="C2877" s="4" t="s">
        <v>19</v>
      </c>
      <c r="D2877" s="2"/>
      <c r="E2877" s="2" t="e">
        <f t="shared" si="0"/>
        <v>#VALUE!</v>
      </c>
    </row>
    <row r="2878" spans="1:5" ht="12.75" customHeight="1" x14ac:dyDescent="0.2">
      <c r="A2878" s="1" t="str">
        <f>HYPERLINK("javascript:void(0)","minotaurusz koponya")</f>
        <v>minotaurusz koponya</v>
      </c>
      <c r="B2878" s="1"/>
      <c r="C2878" s="1"/>
      <c r="D2878" s="2"/>
      <c r="E2878" s="2" t="e">
        <f t="shared" si="0"/>
        <v>#VALUE!</v>
      </c>
    </row>
    <row r="2879" spans="1:5" ht="12.75" customHeight="1" x14ac:dyDescent="0.2">
      <c r="A2879" s="3"/>
      <c r="B2879" s="3" t="s">
        <v>0</v>
      </c>
      <c r="C2879" s="3" t="s">
        <v>21</v>
      </c>
      <c r="D2879" s="2"/>
      <c r="E2879" s="2" t="e">
        <f t="shared" si="0"/>
        <v>#VALUE!</v>
      </c>
    </row>
    <row r="2880" spans="1:5" ht="12.75" customHeight="1" x14ac:dyDescent="0.2">
      <c r="A2880" s="3"/>
      <c r="B2880" s="3" t="s">
        <v>2</v>
      </c>
      <c r="C2880" s="3" t="s">
        <v>387</v>
      </c>
      <c r="D2880" s="2"/>
      <c r="E2880" s="2" t="e">
        <f t="shared" si="0"/>
        <v>#VALUE!</v>
      </c>
    </row>
    <row r="2881" spans="1:5" ht="12.75" customHeight="1" x14ac:dyDescent="0.2">
      <c r="A2881" s="3"/>
      <c r="B2881" s="3" t="s">
        <v>9</v>
      </c>
      <c r="C2881" s="3" t="s">
        <v>49</v>
      </c>
      <c r="D2881" s="2"/>
      <c r="E2881" s="2" t="e">
        <f t="shared" si="0"/>
        <v>#VALUE!</v>
      </c>
    </row>
    <row r="2882" spans="1:5" ht="12.75" customHeight="1" x14ac:dyDescent="0.2">
      <c r="A2882" s="3"/>
      <c r="B2882" s="3" t="s">
        <v>11</v>
      </c>
      <c r="C2882" s="3" t="s">
        <v>23</v>
      </c>
      <c r="D2882" s="2"/>
      <c r="E2882" s="2" t="e">
        <f t="shared" si="0"/>
        <v>#VALUE!</v>
      </c>
    </row>
    <row r="2883" spans="1:5" ht="12.75" customHeight="1" x14ac:dyDescent="0.2">
      <c r="A2883" s="3"/>
      <c r="B2883" s="3" t="s">
        <v>16</v>
      </c>
      <c r="C2883" s="3" t="s">
        <v>388</v>
      </c>
      <c r="D2883" s="2"/>
      <c r="E2883" s="2" t="e">
        <f t="shared" si="0"/>
        <v>#VALUE!</v>
      </c>
    </row>
    <row r="2884" spans="1:5" ht="12.75" customHeight="1" x14ac:dyDescent="0.2">
      <c r="A2884" s="3"/>
      <c r="B2884" s="3" t="s">
        <v>18</v>
      </c>
      <c r="C2884" s="4" t="s">
        <v>19</v>
      </c>
      <c r="D2884" s="2"/>
      <c r="E2884" s="2" t="e">
        <f t="shared" si="0"/>
        <v>#VALUE!</v>
      </c>
    </row>
    <row r="2885" spans="1:5" ht="12.75" customHeight="1" x14ac:dyDescent="0.2">
      <c r="A2885" s="1" t="str">
        <f>HYPERLINK("javascript:void(0)","minta")</f>
        <v>minta</v>
      </c>
      <c r="B2885" s="1"/>
      <c r="C2885" s="1"/>
      <c r="D2885" s="2"/>
      <c r="E2885" s="2" t="e">
        <f t="shared" si="0"/>
        <v>#VALUE!</v>
      </c>
    </row>
    <row r="2886" spans="1:5" ht="12.75" customHeight="1" x14ac:dyDescent="0.2">
      <c r="A2886" s="3"/>
      <c r="B2886" s="3" t="s">
        <v>0</v>
      </c>
      <c r="C2886" s="3" t="s">
        <v>21</v>
      </c>
      <c r="D2886" s="2"/>
      <c r="E2886" s="2" t="e">
        <f t="shared" si="0"/>
        <v>#VALUE!</v>
      </c>
    </row>
    <row r="2887" spans="1:5" ht="12.75" customHeight="1" x14ac:dyDescent="0.2">
      <c r="A2887" s="3"/>
      <c r="B2887" s="3" t="s">
        <v>2</v>
      </c>
      <c r="C2887" s="3" t="s">
        <v>458</v>
      </c>
      <c r="D2887" s="2"/>
      <c r="E2887" s="2" t="e">
        <f t="shared" si="0"/>
        <v>#VALUE!</v>
      </c>
    </row>
    <row r="2888" spans="1:5" ht="12.75" customHeight="1" x14ac:dyDescent="0.2">
      <c r="A2888" s="3"/>
      <c r="B2888" s="3" t="s">
        <v>9</v>
      </c>
      <c r="C2888" s="3" t="s">
        <v>22</v>
      </c>
      <c r="D2888" s="2"/>
      <c r="E2888" s="2" t="e">
        <f t="shared" si="0"/>
        <v>#VALUE!</v>
      </c>
    </row>
    <row r="2889" spans="1:5" ht="12.75" customHeight="1" x14ac:dyDescent="0.2">
      <c r="A2889" s="3"/>
      <c r="B2889" s="3" t="s">
        <v>11</v>
      </c>
      <c r="C2889" s="3" t="s">
        <v>276</v>
      </c>
      <c r="D2889" s="2"/>
      <c r="E2889" s="2" t="e">
        <f t="shared" si="0"/>
        <v>#VALUE!</v>
      </c>
    </row>
    <row r="2890" spans="1:5" ht="12.75" customHeight="1" x14ac:dyDescent="0.2">
      <c r="A2890" s="3"/>
      <c r="B2890" s="3" t="s">
        <v>18</v>
      </c>
      <c r="C2890" s="4" t="s">
        <v>19</v>
      </c>
      <c r="D2890" s="2"/>
      <c r="E2890" s="2" t="e">
        <f t="shared" si="0"/>
        <v>#VALUE!</v>
      </c>
    </row>
    <row r="2891" spans="1:5" ht="12.75" customHeight="1" x14ac:dyDescent="0.2">
      <c r="A2891" s="1" t="str">
        <f>HYPERLINK("javascript:void(0)","mobilidoxin")</f>
        <v>mobilidoxin</v>
      </c>
      <c r="B2891" s="1"/>
      <c r="C2891" s="1"/>
      <c r="D2891" s="2"/>
      <c r="E2891" s="2" t="e">
        <f t="shared" si="0"/>
        <v>#VALUE!</v>
      </c>
    </row>
    <row r="2892" spans="1:5" ht="12.75" customHeight="1" x14ac:dyDescent="0.2">
      <c r="A2892" s="3"/>
      <c r="B2892" s="3" t="s">
        <v>0</v>
      </c>
      <c r="C2892" s="3" t="s">
        <v>21</v>
      </c>
      <c r="D2892" s="2"/>
      <c r="E2892" s="2" t="e">
        <f t="shared" si="0"/>
        <v>#VALUE!</v>
      </c>
    </row>
    <row r="2893" spans="1:5" ht="12.75" customHeight="1" x14ac:dyDescent="0.2">
      <c r="A2893" s="3"/>
      <c r="B2893" s="3" t="s">
        <v>2</v>
      </c>
      <c r="C2893" s="3" t="s">
        <v>557</v>
      </c>
      <c r="D2893" s="2"/>
      <c r="E2893" s="2" t="e">
        <f t="shared" si="0"/>
        <v>#VALUE!</v>
      </c>
    </row>
    <row r="2894" spans="1:5" ht="12.75" customHeight="1" x14ac:dyDescent="0.2">
      <c r="A2894" s="3"/>
      <c r="B2894" s="3" t="s">
        <v>9</v>
      </c>
      <c r="C2894" s="3" t="s">
        <v>22</v>
      </c>
      <c r="D2894" s="2"/>
      <c r="E2894" s="2" t="e">
        <f t="shared" si="0"/>
        <v>#VALUE!</v>
      </c>
    </row>
    <row r="2895" spans="1:5" ht="12.75" customHeight="1" x14ac:dyDescent="0.2">
      <c r="A2895" s="3"/>
      <c r="B2895" s="3" t="s">
        <v>11</v>
      </c>
      <c r="C2895" s="3" t="s">
        <v>849</v>
      </c>
      <c r="D2895" s="2"/>
      <c r="E2895" s="2" t="e">
        <f t="shared" si="0"/>
        <v>#VALUE!</v>
      </c>
    </row>
    <row r="2896" spans="1:5" ht="12.75" customHeight="1" x14ac:dyDescent="0.2">
      <c r="A2896" s="3"/>
      <c r="B2896" s="3" t="s">
        <v>18</v>
      </c>
      <c r="C2896" s="4" t="s">
        <v>19</v>
      </c>
      <c r="D2896" s="2"/>
      <c r="E2896" s="2" t="e">
        <f t="shared" si="0"/>
        <v>#VALUE!</v>
      </c>
    </row>
    <row r="2897" spans="1:5" ht="12.75" customHeight="1" x14ac:dyDescent="0.2">
      <c r="A2897" s="1" t="str">
        <f>HYPERLINK("javascript:void(0)","mobilo diavovino")</f>
        <v>mobilo diavovino</v>
      </c>
      <c r="B2897" s="1"/>
      <c r="C2897" s="1"/>
      <c r="D2897" s="2"/>
      <c r="E2897" s="2" t="e">
        <f t="shared" si="0"/>
        <v>#VALUE!</v>
      </c>
    </row>
    <row r="2898" spans="1:5" ht="12.75" customHeight="1" x14ac:dyDescent="0.2">
      <c r="A2898" s="3"/>
      <c r="B2898" s="3" t="s">
        <v>0</v>
      </c>
      <c r="C2898" s="3" t="s">
        <v>21</v>
      </c>
      <c r="D2898" s="2"/>
      <c r="E2898" s="2" t="e">
        <f t="shared" si="0"/>
        <v>#VALUE!</v>
      </c>
    </row>
    <row r="2899" spans="1:5" ht="12.75" customHeight="1" x14ac:dyDescent="0.2">
      <c r="A2899" s="3"/>
      <c r="B2899" s="3" t="s">
        <v>2</v>
      </c>
      <c r="C2899" s="3" t="s">
        <v>557</v>
      </c>
      <c r="D2899" s="2"/>
      <c r="E2899" s="2" t="e">
        <f t="shared" si="0"/>
        <v>#VALUE!</v>
      </c>
    </row>
    <row r="2900" spans="1:5" ht="12.75" customHeight="1" x14ac:dyDescent="0.2">
      <c r="A2900" s="3"/>
      <c r="B2900" s="3" t="s">
        <v>9</v>
      </c>
      <c r="C2900" s="3" t="s">
        <v>22</v>
      </c>
      <c r="D2900" s="2"/>
      <c r="E2900" s="2" t="e">
        <f t="shared" si="0"/>
        <v>#VALUE!</v>
      </c>
    </row>
    <row r="2901" spans="1:5" ht="12.75" customHeight="1" x14ac:dyDescent="0.2">
      <c r="A2901" s="3"/>
      <c r="B2901" s="3" t="s">
        <v>11</v>
      </c>
      <c r="C2901" s="3" t="s">
        <v>23</v>
      </c>
      <c r="D2901" s="2"/>
      <c r="E2901" s="2" t="e">
        <f t="shared" si="0"/>
        <v>#VALUE!</v>
      </c>
    </row>
    <row r="2902" spans="1:5" ht="12.75" customHeight="1" x14ac:dyDescent="0.2">
      <c r="A2902" s="3"/>
      <c r="B2902" s="3" t="s">
        <v>16</v>
      </c>
      <c r="C2902" s="3" t="s">
        <v>1431</v>
      </c>
      <c r="D2902" s="2"/>
      <c r="E2902" s="2" t="e">
        <f t="shared" si="0"/>
        <v>#VALUE!</v>
      </c>
    </row>
    <row r="2903" spans="1:5" ht="12.75" customHeight="1" x14ac:dyDescent="0.2">
      <c r="A2903" s="3"/>
      <c r="B2903" s="3" t="s">
        <v>18</v>
      </c>
      <c r="C2903" s="4" t="s">
        <v>19</v>
      </c>
      <c r="D2903" s="2"/>
      <c r="E2903" s="2" t="e">
        <f t="shared" si="0"/>
        <v>#VALUE!</v>
      </c>
    </row>
    <row r="2904" spans="1:5" ht="12.75" customHeight="1" x14ac:dyDescent="0.2">
      <c r="A2904" s="1" t="str">
        <f>HYPERLINK("javascript:void(0)","mogorv")</f>
        <v>mogorv</v>
      </c>
      <c r="B2904" s="1"/>
      <c r="C2904" s="1"/>
      <c r="D2904" s="2"/>
      <c r="E2904" s="2" t="e">
        <f t="shared" si="0"/>
        <v>#VALUE!</v>
      </c>
    </row>
    <row r="2905" spans="1:5" ht="12.75" customHeight="1" x14ac:dyDescent="0.2">
      <c r="A2905" s="3"/>
      <c r="B2905" s="3" t="s">
        <v>0</v>
      </c>
      <c r="C2905" s="3" t="s">
        <v>21</v>
      </c>
      <c r="D2905" s="2"/>
      <c r="E2905" s="2" t="e">
        <f t="shared" si="0"/>
        <v>#VALUE!</v>
      </c>
    </row>
    <row r="2906" spans="1:5" ht="12.75" customHeight="1" x14ac:dyDescent="0.2">
      <c r="A2906" s="3"/>
      <c r="B2906" s="3" t="s">
        <v>2</v>
      </c>
      <c r="C2906" s="3" t="s">
        <v>458</v>
      </c>
      <c r="D2906" s="2"/>
      <c r="E2906" s="2" t="e">
        <f t="shared" si="0"/>
        <v>#VALUE!</v>
      </c>
    </row>
    <row r="2907" spans="1:5" ht="12.75" customHeight="1" x14ac:dyDescent="0.2">
      <c r="A2907" s="3"/>
      <c r="B2907" s="3" t="s">
        <v>9</v>
      </c>
      <c r="C2907" s="3" t="s">
        <v>53</v>
      </c>
      <c r="D2907" s="2"/>
      <c r="E2907" s="2" t="e">
        <f t="shared" si="0"/>
        <v>#VALUE!</v>
      </c>
    </row>
    <row r="2908" spans="1:5" ht="12.75" customHeight="1" x14ac:dyDescent="0.2">
      <c r="A2908" s="3"/>
      <c r="B2908" s="3" t="s">
        <v>11</v>
      </c>
      <c r="C2908" s="3" t="s">
        <v>535</v>
      </c>
      <c r="D2908" s="2"/>
      <c r="E2908" s="2" t="e">
        <f t="shared" si="0"/>
        <v>#VALUE!</v>
      </c>
    </row>
    <row r="2909" spans="1:5" ht="12.75" customHeight="1" x14ac:dyDescent="0.2">
      <c r="A2909" s="3"/>
      <c r="B2909" s="3" t="s">
        <v>18</v>
      </c>
      <c r="C2909" s="4" t="s">
        <v>19</v>
      </c>
      <c r="D2909" s="2"/>
      <c r="E2909" s="2" t="e">
        <f t="shared" si="0"/>
        <v>#VALUE!</v>
      </c>
    </row>
    <row r="2910" spans="1:5" ht="12.75" customHeight="1" x14ac:dyDescent="0.2">
      <c r="A2910" s="1" t="str">
        <f>HYPERLINK("javascript:void(0)","molekula")</f>
        <v>molekula</v>
      </c>
      <c r="B2910" s="1"/>
      <c r="C2910" s="1"/>
      <c r="D2910" s="2"/>
      <c r="E2910" s="2" t="e">
        <f t="shared" si="0"/>
        <v>#VALUE!</v>
      </c>
    </row>
    <row r="2911" spans="1:5" ht="12.75" customHeight="1" x14ac:dyDescent="0.2">
      <c r="A2911" s="3"/>
      <c r="B2911" s="3" t="s">
        <v>0</v>
      </c>
      <c r="C2911" s="3" t="s">
        <v>21</v>
      </c>
      <c r="D2911" s="2"/>
      <c r="E2911" s="2" t="e">
        <f t="shared" si="0"/>
        <v>#VALUE!</v>
      </c>
    </row>
    <row r="2912" spans="1:5" ht="12.75" customHeight="1" x14ac:dyDescent="0.2">
      <c r="A2912" s="3"/>
      <c r="B2912" s="3" t="s">
        <v>2</v>
      </c>
      <c r="C2912" s="3" t="s">
        <v>458</v>
      </c>
      <c r="D2912" s="2"/>
      <c r="E2912" s="2" t="e">
        <f t="shared" si="0"/>
        <v>#VALUE!</v>
      </c>
    </row>
    <row r="2913" spans="1:5" ht="12.75" customHeight="1" x14ac:dyDescent="0.2">
      <c r="A2913" s="3"/>
      <c r="B2913" s="3" t="s">
        <v>9</v>
      </c>
      <c r="C2913" s="3" t="s">
        <v>27</v>
      </c>
      <c r="D2913" s="2"/>
      <c r="E2913" s="2" t="e">
        <f t="shared" si="0"/>
        <v>#VALUE!</v>
      </c>
    </row>
    <row r="2914" spans="1:5" ht="12.75" customHeight="1" x14ac:dyDescent="0.2">
      <c r="A2914" s="3"/>
      <c r="B2914" s="3" t="s">
        <v>11</v>
      </c>
      <c r="C2914" s="3" t="s">
        <v>520</v>
      </c>
      <c r="D2914" s="2"/>
      <c r="E2914" s="2" t="e">
        <f t="shared" si="0"/>
        <v>#VALUE!</v>
      </c>
    </row>
    <row r="2915" spans="1:5" ht="12.75" customHeight="1" x14ac:dyDescent="0.2">
      <c r="A2915" s="3"/>
      <c r="B2915" s="3" t="s">
        <v>18</v>
      </c>
      <c r="C2915" s="4" t="s">
        <v>19</v>
      </c>
      <c r="D2915" s="2"/>
      <c r="E2915" s="2" t="e">
        <f t="shared" si="0"/>
        <v>#VALUE!</v>
      </c>
    </row>
    <row r="2916" spans="1:5" ht="12.75" customHeight="1" x14ac:dyDescent="0.2">
      <c r="A2916" s="1" t="str">
        <f>HYPERLINK("javascript:void(0)","monda")</f>
        <v>monda</v>
      </c>
      <c r="B2916" s="1"/>
      <c r="C2916" s="1"/>
      <c r="D2916" s="2"/>
      <c r="E2916" s="2" t="e">
        <f t="shared" si="0"/>
        <v>#VALUE!</v>
      </c>
    </row>
    <row r="2917" spans="1:5" ht="12.75" customHeight="1" x14ac:dyDescent="0.2">
      <c r="A2917" s="3"/>
      <c r="B2917" s="3" t="s">
        <v>0</v>
      </c>
      <c r="C2917" s="3" t="s">
        <v>21</v>
      </c>
      <c r="D2917" s="2"/>
      <c r="E2917" s="2" t="e">
        <f t="shared" si="0"/>
        <v>#VALUE!</v>
      </c>
    </row>
    <row r="2918" spans="1:5" ht="12.75" customHeight="1" x14ac:dyDescent="0.2">
      <c r="A2918" s="3"/>
      <c r="B2918" s="3" t="s">
        <v>2</v>
      </c>
      <c r="C2918" s="3" t="s">
        <v>458</v>
      </c>
      <c r="D2918" s="2"/>
      <c r="E2918" s="2" t="e">
        <f t="shared" si="0"/>
        <v>#VALUE!</v>
      </c>
    </row>
    <row r="2919" spans="1:5" ht="12.75" customHeight="1" x14ac:dyDescent="0.2">
      <c r="A2919" s="3"/>
      <c r="B2919" s="3" t="s">
        <v>9</v>
      </c>
      <c r="C2919" s="3" t="s">
        <v>22</v>
      </c>
      <c r="D2919" s="2"/>
      <c r="E2919" s="2" t="e">
        <f t="shared" si="0"/>
        <v>#VALUE!</v>
      </c>
    </row>
    <row r="2920" spans="1:5" ht="12.75" customHeight="1" x14ac:dyDescent="0.2">
      <c r="A2920" s="3"/>
      <c r="B2920" s="3" t="s">
        <v>11</v>
      </c>
      <c r="C2920" s="3" t="s">
        <v>116</v>
      </c>
      <c r="D2920" s="2"/>
      <c r="E2920" s="2" t="e">
        <f t="shared" si="0"/>
        <v>#VALUE!</v>
      </c>
    </row>
    <row r="2921" spans="1:5" ht="12.75" customHeight="1" x14ac:dyDescent="0.2">
      <c r="A2921" s="3"/>
      <c r="B2921" s="3" t="s">
        <v>18</v>
      </c>
      <c r="C2921" s="4" t="s">
        <v>19</v>
      </c>
      <c r="D2921" s="2"/>
      <c r="E2921" s="2" t="e">
        <f t="shared" si="0"/>
        <v>#VALUE!</v>
      </c>
    </row>
    <row r="2922" spans="1:5" ht="12.75" customHeight="1" x14ac:dyDescent="0.2">
      <c r="A2922" s="1" t="str">
        <f>HYPERLINK("javascript:void(0)","monsztabéklyó")</f>
        <v>monsztabéklyó</v>
      </c>
      <c r="B2922" s="1"/>
      <c r="C2922" s="1"/>
      <c r="D2922" s="2"/>
      <c r="E2922" s="2" t="e">
        <f t="shared" si="0"/>
        <v>#VALUE!</v>
      </c>
    </row>
    <row r="2923" spans="1:5" ht="12.75" customHeight="1" x14ac:dyDescent="0.2">
      <c r="A2923" s="3"/>
      <c r="B2923" s="3" t="s">
        <v>0</v>
      </c>
      <c r="C2923" s="3" t="s">
        <v>21</v>
      </c>
      <c r="D2923" s="2"/>
      <c r="E2923" s="2" t="e">
        <f t="shared" si="0"/>
        <v>#VALUE!</v>
      </c>
    </row>
    <row r="2924" spans="1:5" ht="12.75" customHeight="1" x14ac:dyDescent="0.2">
      <c r="A2924" s="3"/>
      <c r="B2924" s="3" t="s">
        <v>2</v>
      </c>
      <c r="C2924" s="3" t="s">
        <v>458</v>
      </c>
      <c r="D2924" s="2"/>
      <c r="E2924" s="2" t="e">
        <f t="shared" si="0"/>
        <v>#VALUE!</v>
      </c>
    </row>
    <row r="2925" spans="1:5" ht="12.75" customHeight="1" x14ac:dyDescent="0.2">
      <c r="A2925" s="3"/>
      <c r="B2925" s="3" t="s">
        <v>9</v>
      </c>
      <c r="C2925" s="3" t="s">
        <v>124</v>
      </c>
      <c r="D2925" s="2"/>
      <c r="E2925" s="2" t="e">
        <f t="shared" si="0"/>
        <v>#VALUE!</v>
      </c>
    </row>
    <row r="2926" spans="1:5" ht="12.75" customHeight="1" x14ac:dyDescent="0.2">
      <c r="A2926" s="3"/>
      <c r="B2926" s="3" t="s">
        <v>11</v>
      </c>
      <c r="C2926" s="3" t="s">
        <v>89</v>
      </c>
      <c r="D2926" s="2"/>
      <c r="E2926" s="2" t="e">
        <f t="shared" si="0"/>
        <v>#VALUE!</v>
      </c>
    </row>
    <row r="2927" spans="1:5" ht="12.75" customHeight="1" x14ac:dyDescent="0.2">
      <c r="A2927" s="3"/>
      <c r="B2927" s="3" t="s">
        <v>18</v>
      </c>
      <c r="C2927" s="4" t="s">
        <v>19</v>
      </c>
      <c r="D2927" s="2"/>
      <c r="E2927" s="2" t="e">
        <f t="shared" si="0"/>
        <v>#VALUE!</v>
      </c>
    </row>
    <row r="2928" spans="1:5" ht="12.75" customHeight="1" x14ac:dyDescent="0.2">
      <c r="A2928" s="1" t="str">
        <f>HYPERLINK("javascript:void(0)","monsztaige")</f>
        <v>monsztaige</v>
      </c>
      <c r="B2928" s="1"/>
      <c r="C2928" s="1"/>
      <c r="D2928" s="2"/>
      <c r="E2928" s="2" t="e">
        <f t="shared" si="0"/>
        <v>#VALUE!</v>
      </c>
    </row>
    <row r="2929" spans="1:5" ht="12.75" customHeight="1" x14ac:dyDescent="0.2">
      <c r="A2929" s="3"/>
      <c r="B2929" s="3" t="s">
        <v>0</v>
      </c>
      <c r="C2929" s="3" t="s">
        <v>21</v>
      </c>
      <c r="D2929" s="2"/>
      <c r="E2929" s="2" t="e">
        <f t="shared" si="0"/>
        <v>#VALUE!</v>
      </c>
    </row>
    <row r="2930" spans="1:5" ht="12.75" customHeight="1" x14ac:dyDescent="0.2">
      <c r="A2930" s="3"/>
      <c r="B2930" s="3" t="s">
        <v>2</v>
      </c>
      <c r="C2930" s="3" t="s">
        <v>458</v>
      </c>
      <c r="D2930" s="2"/>
      <c r="E2930" s="2" t="e">
        <f t="shared" si="0"/>
        <v>#VALUE!</v>
      </c>
    </row>
    <row r="2931" spans="1:5" ht="12.75" customHeight="1" x14ac:dyDescent="0.2">
      <c r="A2931" s="3"/>
      <c r="B2931" s="3" t="s">
        <v>9</v>
      </c>
      <c r="C2931" s="3" t="s">
        <v>22</v>
      </c>
      <c r="D2931" s="2"/>
      <c r="E2931" s="2" t="e">
        <f t="shared" si="0"/>
        <v>#VALUE!</v>
      </c>
    </row>
    <row r="2932" spans="1:5" ht="12.75" customHeight="1" x14ac:dyDescent="0.2">
      <c r="A2932" s="3"/>
      <c r="B2932" s="3" t="s">
        <v>11</v>
      </c>
      <c r="C2932" s="3" t="s">
        <v>301</v>
      </c>
      <c r="D2932" s="2"/>
      <c r="E2932" s="2" t="e">
        <f t="shared" si="0"/>
        <v>#VALUE!</v>
      </c>
    </row>
    <row r="2933" spans="1:5" ht="12.75" customHeight="1" x14ac:dyDescent="0.2">
      <c r="A2933" s="3"/>
      <c r="B2933" s="3" t="s">
        <v>18</v>
      </c>
      <c r="C2933" s="4" t="s">
        <v>19</v>
      </c>
      <c r="D2933" s="2"/>
      <c r="E2933" s="2" t="e">
        <f t="shared" si="0"/>
        <v>#VALUE!</v>
      </c>
    </row>
    <row r="2934" spans="1:5" ht="12.75" customHeight="1" x14ac:dyDescent="0.2">
      <c r="A2934" s="1" t="str">
        <f>HYPERLINK("javascript:void(0)","morfige")</f>
        <v>morfige</v>
      </c>
      <c r="B2934" s="1"/>
      <c r="C2934" s="1"/>
      <c r="D2934" s="2"/>
      <c r="E2934" s="2" t="e">
        <f t="shared" si="0"/>
        <v>#VALUE!</v>
      </c>
    </row>
    <row r="2935" spans="1:5" ht="12.75" customHeight="1" x14ac:dyDescent="0.2">
      <c r="A2935" s="3"/>
      <c r="B2935" s="3" t="s">
        <v>0</v>
      </c>
      <c r="C2935" s="3" t="s">
        <v>21</v>
      </c>
      <c r="D2935" s="2"/>
      <c r="E2935" s="2" t="e">
        <f t="shared" si="0"/>
        <v>#VALUE!</v>
      </c>
    </row>
    <row r="2936" spans="1:5" ht="12.75" customHeight="1" x14ac:dyDescent="0.2">
      <c r="A2936" s="3"/>
      <c r="B2936" s="3" t="s">
        <v>2</v>
      </c>
      <c r="C2936" s="3" t="s">
        <v>458</v>
      </c>
      <c r="D2936" s="2"/>
      <c r="E2936" s="2" t="e">
        <f t="shared" si="0"/>
        <v>#VALUE!</v>
      </c>
    </row>
    <row r="2937" spans="1:5" ht="12.75" customHeight="1" x14ac:dyDescent="0.2">
      <c r="A2937" s="3"/>
      <c r="B2937" s="3" t="s">
        <v>9</v>
      </c>
      <c r="C2937" s="3" t="s">
        <v>53</v>
      </c>
      <c r="D2937" s="2"/>
      <c r="E2937" s="2" t="e">
        <f t="shared" si="0"/>
        <v>#VALUE!</v>
      </c>
    </row>
    <row r="2938" spans="1:5" ht="12.75" customHeight="1" x14ac:dyDescent="0.2">
      <c r="A2938" s="3"/>
      <c r="B2938" s="3" t="s">
        <v>11</v>
      </c>
      <c r="C2938" s="3" t="s">
        <v>505</v>
      </c>
      <c r="D2938" s="2"/>
      <c r="E2938" s="2" t="e">
        <f t="shared" si="0"/>
        <v>#VALUE!</v>
      </c>
    </row>
    <row r="2939" spans="1:5" ht="12.75" customHeight="1" x14ac:dyDescent="0.2">
      <c r="A2939" s="3"/>
      <c r="B2939" s="3" t="s">
        <v>18</v>
      </c>
      <c r="C2939" s="4" t="s">
        <v>19</v>
      </c>
      <c r="D2939" s="2"/>
      <c r="E2939" s="2" t="e">
        <f t="shared" si="0"/>
        <v>#VALUE!</v>
      </c>
    </row>
    <row r="2940" spans="1:5" ht="12.75" customHeight="1" x14ac:dyDescent="0.2">
      <c r="A2940" s="1" t="str">
        <f>HYPERLINK("javascript:void(0)","munkakönyvek")</f>
        <v>munkakönyvek</v>
      </c>
      <c r="B2940" s="1"/>
      <c r="C2940" s="1"/>
      <c r="D2940" s="2"/>
      <c r="E2940" s="2" t="e">
        <f t="shared" si="0"/>
        <v>#VALUE!</v>
      </c>
    </row>
    <row r="2941" spans="1:5" ht="12.75" customHeight="1" x14ac:dyDescent="0.2">
      <c r="A2941" s="3"/>
      <c r="B2941" s="3" t="s">
        <v>0</v>
      </c>
      <c r="C2941" s="3" t="s">
        <v>21</v>
      </c>
      <c r="D2941" s="2"/>
      <c r="E2941" s="2" t="e">
        <f t="shared" si="0"/>
        <v>#VALUE!</v>
      </c>
    </row>
    <row r="2942" spans="1:5" ht="12.75" customHeight="1" x14ac:dyDescent="0.2">
      <c r="A2942" s="3"/>
      <c r="B2942" s="3" t="s">
        <v>2</v>
      </c>
      <c r="C2942" s="3" t="s">
        <v>387</v>
      </c>
      <c r="D2942" s="2"/>
      <c r="E2942" s="2" t="e">
        <f t="shared" si="0"/>
        <v>#VALUE!</v>
      </c>
    </row>
    <row r="2943" spans="1:5" ht="12.75" customHeight="1" x14ac:dyDescent="0.2">
      <c r="A2943" s="3"/>
      <c r="B2943" s="3" t="s">
        <v>9</v>
      </c>
      <c r="C2943" s="3" t="s">
        <v>179</v>
      </c>
      <c r="D2943" s="2"/>
      <c r="E2943" s="2" t="e">
        <f t="shared" si="0"/>
        <v>#VALUE!</v>
      </c>
    </row>
    <row r="2944" spans="1:5" ht="12.75" customHeight="1" x14ac:dyDescent="0.2">
      <c r="A2944" s="3"/>
      <c r="B2944" s="3" t="s">
        <v>11</v>
      </c>
      <c r="C2944" s="3" t="s">
        <v>23</v>
      </c>
      <c r="D2944" s="2"/>
      <c r="E2944" s="2" t="e">
        <f t="shared" si="0"/>
        <v>#VALUE!</v>
      </c>
    </row>
    <row r="2945" spans="1:5" ht="12.75" customHeight="1" x14ac:dyDescent="0.2">
      <c r="A2945" s="3"/>
      <c r="B2945" s="3" t="s">
        <v>16</v>
      </c>
      <c r="C2945" s="3" t="s">
        <v>388</v>
      </c>
      <c r="D2945" s="2"/>
      <c r="E2945" s="2" t="e">
        <f t="shared" si="0"/>
        <v>#VALUE!</v>
      </c>
    </row>
    <row r="2946" spans="1:5" ht="12.75" customHeight="1" x14ac:dyDescent="0.2">
      <c r="A2946" s="3"/>
      <c r="B2946" s="3" t="s">
        <v>18</v>
      </c>
      <c r="C2946" s="4" t="s">
        <v>19</v>
      </c>
      <c r="D2946" s="2"/>
      <c r="E2946" s="2" t="e">
        <f t="shared" si="0"/>
        <v>#VALUE!</v>
      </c>
    </row>
    <row r="2947" spans="1:5" ht="12.75" customHeight="1" x14ac:dyDescent="0.2">
      <c r="A2947" s="1" t="str">
        <f>HYPERLINK("javascript:void(0)","mágikus fekete öv")</f>
        <v>mágikus fekete öv</v>
      </c>
      <c r="B2947" s="1"/>
      <c r="C2947" s="1"/>
      <c r="D2947" s="2"/>
      <c r="E2947" s="2" t="e">
        <f t="shared" si="0"/>
        <v>#VALUE!</v>
      </c>
    </row>
    <row r="2948" spans="1:5" ht="12.75" customHeight="1" x14ac:dyDescent="0.2">
      <c r="A2948" s="3"/>
      <c r="B2948" s="3" t="s">
        <v>0</v>
      </c>
      <c r="C2948" s="3" t="s">
        <v>21</v>
      </c>
      <c r="D2948" s="2"/>
      <c r="E2948" s="2" t="e">
        <f t="shared" si="0"/>
        <v>#VALUE!</v>
      </c>
    </row>
    <row r="2949" spans="1:5" ht="12.75" customHeight="1" x14ac:dyDescent="0.2">
      <c r="A2949" s="3"/>
      <c r="B2949" s="3" t="s">
        <v>2</v>
      </c>
      <c r="C2949" s="3" t="s">
        <v>387</v>
      </c>
      <c r="D2949" s="2"/>
      <c r="E2949" s="2" t="e">
        <f t="shared" si="0"/>
        <v>#VALUE!</v>
      </c>
    </row>
    <row r="2950" spans="1:5" ht="12.75" customHeight="1" x14ac:dyDescent="0.2">
      <c r="A2950" s="3"/>
      <c r="B2950" s="3" t="s">
        <v>9</v>
      </c>
      <c r="C2950" s="3" t="s">
        <v>27</v>
      </c>
      <c r="D2950" s="2"/>
      <c r="E2950" s="2" t="e">
        <f t="shared" si="0"/>
        <v>#VALUE!</v>
      </c>
    </row>
    <row r="2951" spans="1:5" ht="12.75" customHeight="1" x14ac:dyDescent="0.2">
      <c r="A2951" s="3"/>
      <c r="B2951" s="3" t="s">
        <v>11</v>
      </c>
      <c r="C2951" s="3" t="s">
        <v>23</v>
      </c>
      <c r="D2951" s="2"/>
      <c r="E2951" s="2" t="e">
        <f t="shared" si="0"/>
        <v>#VALUE!</v>
      </c>
    </row>
    <row r="2952" spans="1:5" ht="12.75" customHeight="1" x14ac:dyDescent="0.2">
      <c r="A2952" s="3"/>
      <c r="B2952" s="3" t="s">
        <v>16</v>
      </c>
      <c r="C2952" s="3" t="s">
        <v>388</v>
      </c>
      <c r="D2952" s="2"/>
      <c r="E2952" s="2" t="e">
        <f t="shared" si="0"/>
        <v>#VALUE!</v>
      </c>
    </row>
    <row r="2953" spans="1:5" ht="12.75" customHeight="1" x14ac:dyDescent="0.2">
      <c r="A2953" s="3"/>
      <c r="B2953" s="3" t="s">
        <v>18</v>
      </c>
      <c r="C2953" s="4" t="s">
        <v>19</v>
      </c>
      <c r="D2953" s="2"/>
      <c r="E2953" s="2" t="e">
        <f t="shared" si="0"/>
        <v>#VALUE!</v>
      </c>
    </row>
    <row r="2954" spans="1:5" ht="12.75" customHeight="1" x14ac:dyDescent="0.2">
      <c r="A2954" s="1" t="str">
        <f>HYPERLINK("javascript:void(0)","mágikus gyeplő")</f>
        <v>mágikus gyeplő</v>
      </c>
      <c r="B2954" s="1"/>
      <c r="C2954" s="1"/>
      <c r="D2954" s="2"/>
      <c r="E2954" s="2" t="e">
        <f t="shared" si="0"/>
        <v>#VALUE!</v>
      </c>
    </row>
    <row r="2955" spans="1:5" ht="12.75" customHeight="1" x14ac:dyDescent="0.2">
      <c r="A2955" s="3"/>
      <c r="B2955" s="3" t="s">
        <v>0</v>
      </c>
      <c r="C2955" s="3" t="s">
        <v>21</v>
      </c>
      <c r="D2955" s="2"/>
      <c r="E2955" s="2" t="e">
        <f t="shared" si="0"/>
        <v>#VALUE!</v>
      </c>
    </row>
    <row r="2956" spans="1:5" ht="12.75" customHeight="1" x14ac:dyDescent="0.2">
      <c r="A2956" s="3"/>
      <c r="B2956" s="3" t="s">
        <v>2</v>
      </c>
      <c r="C2956" s="3" t="s">
        <v>387</v>
      </c>
      <c r="D2956" s="2"/>
      <c r="E2956" s="2" t="e">
        <f t="shared" si="0"/>
        <v>#VALUE!</v>
      </c>
    </row>
    <row r="2957" spans="1:5" ht="12.75" customHeight="1" x14ac:dyDescent="0.2">
      <c r="A2957" s="3"/>
      <c r="B2957" s="3" t="s">
        <v>9</v>
      </c>
      <c r="C2957" s="3" t="s">
        <v>27</v>
      </c>
      <c r="D2957" s="2"/>
      <c r="E2957" s="2" t="e">
        <f t="shared" si="0"/>
        <v>#VALUE!</v>
      </c>
    </row>
    <row r="2958" spans="1:5" ht="12.75" customHeight="1" x14ac:dyDescent="0.2">
      <c r="A2958" s="3"/>
      <c r="B2958" s="3" t="s">
        <v>11</v>
      </c>
      <c r="C2958" s="3" t="s">
        <v>23</v>
      </c>
      <c r="D2958" s="2"/>
      <c r="E2958" s="2" t="e">
        <f t="shared" si="0"/>
        <v>#VALUE!</v>
      </c>
    </row>
    <row r="2959" spans="1:5" ht="12.75" customHeight="1" x14ac:dyDescent="0.2">
      <c r="A2959" s="3"/>
      <c r="B2959" s="3" t="s">
        <v>16</v>
      </c>
      <c r="C2959" s="3" t="s">
        <v>388</v>
      </c>
      <c r="D2959" s="2"/>
      <c r="E2959" s="2" t="e">
        <f t="shared" si="0"/>
        <v>#VALUE!</v>
      </c>
    </row>
    <row r="2960" spans="1:5" ht="12.75" customHeight="1" x14ac:dyDescent="0.2">
      <c r="A2960" s="3"/>
      <c r="B2960" s="3" t="s">
        <v>18</v>
      </c>
      <c r="C2960" s="4" t="s">
        <v>19</v>
      </c>
      <c r="D2960" s="2"/>
      <c r="E2960" s="2" t="e">
        <f t="shared" si="0"/>
        <v>#VALUE!</v>
      </c>
    </row>
    <row r="2961" spans="1:5" ht="12.75" customHeight="1" x14ac:dyDescent="0.2">
      <c r="A2961" s="1" t="str">
        <f>HYPERLINK("javascript:void(0)","mágikus tollpihe")</f>
        <v>mágikus tollpihe</v>
      </c>
      <c r="B2961" s="1"/>
      <c r="C2961" s="1"/>
      <c r="D2961" s="2"/>
      <c r="E2961" s="2" t="e">
        <f t="shared" si="0"/>
        <v>#VALUE!</v>
      </c>
    </row>
    <row r="2962" spans="1:5" ht="12.75" customHeight="1" x14ac:dyDescent="0.2">
      <c r="A2962" s="3"/>
      <c r="B2962" s="3" t="s">
        <v>0</v>
      </c>
      <c r="C2962" s="3" t="s">
        <v>21</v>
      </c>
      <c r="D2962" s="2"/>
      <c r="E2962" s="2" t="e">
        <f t="shared" si="0"/>
        <v>#VALUE!</v>
      </c>
    </row>
    <row r="2963" spans="1:5" ht="12.75" customHeight="1" x14ac:dyDescent="0.2">
      <c r="A2963" s="3"/>
      <c r="B2963" s="3" t="s">
        <v>2</v>
      </c>
      <c r="C2963" s="3" t="s">
        <v>387</v>
      </c>
      <c r="D2963" s="2"/>
      <c r="E2963" s="2" t="e">
        <f t="shared" si="0"/>
        <v>#VALUE!</v>
      </c>
    </row>
    <row r="2964" spans="1:5" ht="12.75" customHeight="1" x14ac:dyDescent="0.2">
      <c r="A2964" s="3"/>
      <c r="B2964" s="3" t="s">
        <v>9</v>
      </c>
      <c r="C2964" s="3" t="s">
        <v>626</v>
      </c>
      <c r="D2964" s="2"/>
      <c r="E2964" s="2" t="e">
        <f t="shared" si="0"/>
        <v>#VALUE!</v>
      </c>
    </row>
    <row r="2965" spans="1:5" ht="12.75" customHeight="1" x14ac:dyDescent="0.2">
      <c r="A2965" s="3"/>
      <c r="B2965" s="3" t="s">
        <v>11</v>
      </c>
      <c r="C2965" s="3" t="s">
        <v>23</v>
      </c>
      <c r="D2965" s="2"/>
      <c r="E2965" s="2" t="e">
        <f t="shared" si="0"/>
        <v>#VALUE!</v>
      </c>
    </row>
    <row r="2966" spans="1:5" ht="12.75" customHeight="1" x14ac:dyDescent="0.2">
      <c r="A2966" s="3"/>
      <c r="B2966" s="3" t="s">
        <v>16</v>
      </c>
      <c r="C2966" s="3" t="s">
        <v>388</v>
      </c>
      <c r="D2966" s="2"/>
      <c r="E2966" s="2" t="e">
        <f t="shared" si="0"/>
        <v>#VALUE!</v>
      </c>
    </row>
    <row r="2967" spans="1:5" ht="12.75" customHeight="1" x14ac:dyDescent="0.2">
      <c r="A2967" s="3"/>
      <c r="B2967" s="3" t="s">
        <v>18</v>
      </c>
      <c r="C2967" s="4" t="s">
        <v>19</v>
      </c>
      <c r="D2967" s="2"/>
      <c r="E2967" s="2" t="e">
        <f t="shared" si="0"/>
        <v>#VALUE!</v>
      </c>
    </row>
    <row r="2968" spans="1:5" ht="12.75" customHeight="1" x14ac:dyDescent="0.2">
      <c r="A2968" s="1" t="str">
        <f>HYPERLINK("javascript:void(0)","máglyarakás")</f>
        <v>máglyarakás</v>
      </c>
      <c r="B2968" s="1"/>
      <c r="C2968" s="1"/>
      <c r="D2968" s="2"/>
      <c r="E2968" s="2" t="e">
        <f t="shared" si="0"/>
        <v>#VALUE!</v>
      </c>
    </row>
    <row r="2969" spans="1:5" ht="12.75" customHeight="1" x14ac:dyDescent="0.2">
      <c r="A2969" s="3"/>
      <c r="B2969" s="3" t="s">
        <v>0</v>
      </c>
      <c r="C2969" s="3" t="s">
        <v>21</v>
      </c>
      <c r="D2969" s="2"/>
      <c r="E2969" s="2" t="e">
        <f t="shared" si="0"/>
        <v>#VALUE!</v>
      </c>
    </row>
    <row r="2970" spans="1:5" ht="12.75" customHeight="1" x14ac:dyDescent="0.2">
      <c r="A2970" s="3"/>
      <c r="B2970" s="3" t="s">
        <v>2</v>
      </c>
      <c r="C2970" s="3" t="s">
        <v>458</v>
      </c>
      <c r="D2970" s="2"/>
      <c r="E2970" s="2" t="e">
        <f t="shared" si="0"/>
        <v>#VALUE!</v>
      </c>
    </row>
    <row r="2971" spans="1:5" ht="12.75" customHeight="1" x14ac:dyDescent="0.2">
      <c r="A2971" s="3"/>
      <c r="B2971" s="3" t="s">
        <v>9</v>
      </c>
      <c r="C2971" s="3" t="s">
        <v>22</v>
      </c>
      <c r="D2971" s="2"/>
      <c r="E2971" s="2" t="e">
        <f t="shared" si="0"/>
        <v>#VALUE!</v>
      </c>
    </row>
    <row r="2972" spans="1:5" ht="12.75" customHeight="1" x14ac:dyDescent="0.2">
      <c r="A2972" s="3"/>
      <c r="B2972" s="3" t="s">
        <v>11</v>
      </c>
      <c r="C2972" s="3" t="s">
        <v>156</v>
      </c>
      <c r="D2972" s="2"/>
      <c r="E2972" s="2" t="e">
        <f t="shared" si="0"/>
        <v>#VALUE!</v>
      </c>
    </row>
    <row r="2973" spans="1:5" ht="12.75" customHeight="1" x14ac:dyDescent="0.2">
      <c r="A2973" s="3"/>
      <c r="B2973" s="3" t="s">
        <v>18</v>
      </c>
      <c r="C2973" s="4" t="s">
        <v>19</v>
      </c>
      <c r="D2973" s="2"/>
      <c r="E2973" s="2" t="e">
        <f t="shared" si="0"/>
        <v>#VALUE!</v>
      </c>
    </row>
    <row r="2974" spans="1:5" ht="12.75" customHeight="1" x14ac:dyDescent="0.2">
      <c r="A2974" s="1" t="str">
        <f>HYPERLINK("javascript:void(0)","mágnes")</f>
        <v>mágnes</v>
      </c>
      <c r="B2974" s="1"/>
      <c r="C2974" s="1"/>
      <c r="D2974" s="2"/>
      <c r="E2974" s="2" t="e">
        <f t="shared" si="0"/>
        <v>#VALUE!</v>
      </c>
    </row>
    <row r="2975" spans="1:5" ht="12.75" customHeight="1" x14ac:dyDescent="0.2">
      <c r="A2975" s="3"/>
      <c r="B2975" s="3" t="s">
        <v>0</v>
      </c>
      <c r="C2975" s="3" t="s">
        <v>21</v>
      </c>
      <c r="D2975" s="2"/>
      <c r="E2975" s="2" t="e">
        <f t="shared" si="0"/>
        <v>#VALUE!</v>
      </c>
    </row>
    <row r="2976" spans="1:5" ht="12.75" customHeight="1" x14ac:dyDescent="0.2">
      <c r="A2976" s="3"/>
      <c r="B2976" s="3" t="s">
        <v>2</v>
      </c>
      <c r="C2976" s="3" t="s">
        <v>458</v>
      </c>
      <c r="D2976" s="2"/>
      <c r="E2976" s="2" t="e">
        <f t="shared" si="0"/>
        <v>#VALUE!</v>
      </c>
    </row>
    <row r="2977" spans="1:5" ht="12.75" customHeight="1" x14ac:dyDescent="0.2">
      <c r="A2977" s="3"/>
      <c r="B2977" s="3" t="s">
        <v>9</v>
      </c>
      <c r="C2977" s="3" t="s">
        <v>867</v>
      </c>
      <c r="D2977" s="2"/>
      <c r="E2977" s="2" t="e">
        <f t="shared" si="0"/>
        <v>#VALUE!</v>
      </c>
    </row>
    <row r="2978" spans="1:5" ht="12.75" customHeight="1" x14ac:dyDescent="0.2">
      <c r="A2978" s="3"/>
      <c r="B2978" s="3" t="s">
        <v>11</v>
      </c>
      <c r="C2978" s="3" t="s">
        <v>227</v>
      </c>
      <c r="D2978" s="2"/>
      <c r="E2978" s="2" t="e">
        <f t="shared" si="0"/>
        <v>#VALUE!</v>
      </c>
    </row>
    <row r="2979" spans="1:5" ht="12.75" customHeight="1" x14ac:dyDescent="0.2">
      <c r="A2979" s="3"/>
      <c r="B2979" s="3" t="s">
        <v>18</v>
      </c>
      <c r="C2979" s="4" t="s">
        <v>19</v>
      </c>
      <c r="D2979" s="2"/>
      <c r="E2979" s="2" t="e">
        <f t="shared" si="0"/>
        <v>#VALUE!</v>
      </c>
    </row>
    <row r="2980" spans="1:5" ht="12.75" customHeight="1" x14ac:dyDescent="0.2">
      <c r="A2980" s="1" t="str">
        <f>HYPERLINK("javascript:void(0)","mágusdiploma")</f>
        <v>mágusdiploma</v>
      </c>
      <c r="B2980" s="1"/>
      <c r="C2980" s="1"/>
      <c r="D2980" s="2"/>
      <c r="E2980" s="2" t="e">
        <f t="shared" si="0"/>
        <v>#VALUE!</v>
      </c>
    </row>
    <row r="2981" spans="1:5" ht="12.75" customHeight="1" x14ac:dyDescent="0.2">
      <c r="A2981" s="3"/>
      <c r="B2981" s="3" t="s">
        <v>0</v>
      </c>
      <c r="C2981" s="3" t="s">
        <v>21</v>
      </c>
      <c r="D2981" s="2"/>
      <c r="E2981" s="2" t="e">
        <f t="shared" si="0"/>
        <v>#VALUE!</v>
      </c>
    </row>
    <row r="2982" spans="1:5" ht="12.75" customHeight="1" x14ac:dyDescent="0.2">
      <c r="A2982" s="3"/>
      <c r="B2982" s="3" t="s">
        <v>2</v>
      </c>
      <c r="C2982" s="3" t="s">
        <v>387</v>
      </c>
      <c r="D2982" s="2"/>
      <c r="E2982" s="2" t="e">
        <f t="shared" si="0"/>
        <v>#VALUE!</v>
      </c>
    </row>
    <row r="2983" spans="1:5" ht="12.75" customHeight="1" x14ac:dyDescent="0.2">
      <c r="A2983" s="3"/>
      <c r="B2983" s="3" t="s">
        <v>9</v>
      </c>
      <c r="C2983" s="3" t="s">
        <v>27</v>
      </c>
      <c r="D2983" s="2"/>
      <c r="E2983" s="2" t="e">
        <f t="shared" si="0"/>
        <v>#VALUE!</v>
      </c>
    </row>
    <row r="2984" spans="1:5" ht="12.75" customHeight="1" x14ac:dyDescent="0.2">
      <c r="A2984" s="3"/>
      <c r="B2984" s="3" t="s">
        <v>11</v>
      </c>
      <c r="C2984" s="3" t="s">
        <v>23</v>
      </c>
      <c r="D2984" s="2"/>
      <c r="E2984" s="2" t="e">
        <f t="shared" si="0"/>
        <v>#VALUE!</v>
      </c>
    </row>
    <row r="2985" spans="1:5" ht="12.75" customHeight="1" x14ac:dyDescent="0.2">
      <c r="A2985" s="3"/>
      <c r="B2985" s="3" t="s">
        <v>16</v>
      </c>
      <c r="C2985" s="3" t="s">
        <v>388</v>
      </c>
      <c r="D2985" s="2"/>
      <c r="E2985" s="2" t="e">
        <f t="shared" si="0"/>
        <v>#VALUE!</v>
      </c>
    </row>
    <row r="2986" spans="1:5" ht="12.75" customHeight="1" x14ac:dyDescent="0.2">
      <c r="A2986" s="3"/>
      <c r="B2986" s="3" t="s">
        <v>18</v>
      </c>
      <c r="C2986" s="4" t="s">
        <v>19</v>
      </c>
      <c r="D2986" s="2"/>
      <c r="E2986" s="2" t="e">
        <f t="shared" si="0"/>
        <v>#VALUE!</v>
      </c>
    </row>
    <row r="2987" spans="1:5" ht="12.75" customHeight="1" x14ac:dyDescent="0.2">
      <c r="A2987" s="1" t="str">
        <f>HYPERLINK("javascript:void(0)","mágustarisznya")</f>
        <v>mágustarisznya</v>
      </c>
      <c r="B2987" s="1"/>
      <c r="C2987" s="1"/>
      <c r="D2987" s="2"/>
      <c r="E2987" s="2" t="e">
        <f t="shared" si="0"/>
        <v>#VALUE!</v>
      </c>
    </row>
    <row r="2988" spans="1:5" ht="12.75" customHeight="1" x14ac:dyDescent="0.2">
      <c r="A2988" s="3"/>
      <c r="B2988" s="3" t="s">
        <v>0</v>
      </c>
      <c r="C2988" s="3" t="s">
        <v>21</v>
      </c>
      <c r="D2988" s="2"/>
      <c r="E2988" s="2" t="e">
        <f t="shared" si="0"/>
        <v>#VALUE!</v>
      </c>
    </row>
    <row r="2989" spans="1:5" ht="12.75" customHeight="1" x14ac:dyDescent="0.2">
      <c r="A2989" s="3"/>
      <c r="B2989" s="3" t="s">
        <v>2</v>
      </c>
      <c r="C2989" s="3" t="s">
        <v>458</v>
      </c>
      <c r="D2989" s="2"/>
      <c r="E2989" s="2" t="e">
        <f t="shared" si="0"/>
        <v>#VALUE!</v>
      </c>
    </row>
    <row r="2990" spans="1:5" ht="12.75" customHeight="1" x14ac:dyDescent="0.2">
      <c r="A2990" s="3"/>
      <c r="B2990" s="3" t="s">
        <v>9</v>
      </c>
      <c r="C2990" s="3" t="s">
        <v>75</v>
      </c>
      <c r="D2990" s="2"/>
      <c r="E2990" s="2" t="e">
        <f t="shared" si="0"/>
        <v>#VALUE!</v>
      </c>
    </row>
    <row r="2991" spans="1:5" ht="12.75" customHeight="1" x14ac:dyDescent="0.2">
      <c r="A2991" s="3"/>
      <c r="B2991" s="3" t="s">
        <v>11</v>
      </c>
      <c r="C2991" s="3" t="s">
        <v>457</v>
      </c>
      <c r="D2991" s="2"/>
      <c r="E2991" s="2" t="e">
        <f t="shared" si="0"/>
        <v>#VALUE!</v>
      </c>
    </row>
    <row r="2992" spans="1:5" ht="12.75" customHeight="1" x14ac:dyDescent="0.2">
      <c r="A2992" s="3"/>
      <c r="B2992" s="3" t="s">
        <v>18</v>
      </c>
      <c r="C2992" s="4" t="s">
        <v>19</v>
      </c>
      <c r="D2992" s="2"/>
      <c r="E2992" s="2" t="e">
        <f t="shared" si="0"/>
        <v>#VALUE!</v>
      </c>
    </row>
    <row r="2993" spans="1:5" ht="12.75" customHeight="1" x14ac:dyDescent="0.2">
      <c r="A2993" s="1" t="str">
        <f>HYPERLINK("javascript:void(0)","méregcsepp")</f>
        <v>méregcsepp</v>
      </c>
      <c r="B2993" s="1"/>
      <c r="C2993" s="1"/>
      <c r="D2993" s="2"/>
      <c r="E2993" s="2" t="e">
        <f t="shared" si="0"/>
        <v>#VALUE!</v>
      </c>
    </row>
    <row r="2994" spans="1:5" ht="12.75" customHeight="1" x14ac:dyDescent="0.2">
      <c r="A2994" s="3"/>
      <c r="B2994" s="3" t="s">
        <v>0</v>
      </c>
      <c r="C2994" s="3" t="s">
        <v>21</v>
      </c>
      <c r="D2994" s="2"/>
      <c r="E2994" s="2" t="e">
        <f t="shared" si="0"/>
        <v>#VALUE!</v>
      </c>
    </row>
    <row r="2995" spans="1:5" ht="12.75" customHeight="1" x14ac:dyDescent="0.2">
      <c r="A2995" s="3"/>
      <c r="B2995" s="3" t="s">
        <v>2</v>
      </c>
      <c r="C2995" s="3" t="s">
        <v>458</v>
      </c>
      <c r="D2995" s="2"/>
      <c r="E2995" s="2" t="e">
        <f t="shared" si="0"/>
        <v>#VALUE!</v>
      </c>
    </row>
    <row r="2996" spans="1:5" ht="12.75" customHeight="1" x14ac:dyDescent="0.2">
      <c r="A2996" s="3"/>
      <c r="B2996" s="3" t="s">
        <v>9</v>
      </c>
      <c r="C2996" s="3" t="s">
        <v>704</v>
      </c>
      <c r="D2996" s="2"/>
      <c r="E2996" s="2" t="e">
        <f t="shared" si="0"/>
        <v>#VALUE!</v>
      </c>
    </row>
    <row r="2997" spans="1:5" ht="12.75" customHeight="1" x14ac:dyDescent="0.2">
      <c r="A2997" s="3"/>
      <c r="B2997" s="3" t="s">
        <v>11</v>
      </c>
      <c r="C2997" s="3" t="s">
        <v>670</v>
      </c>
      <c r="D2997" s="2"/>
      <c r="E2997" s="2" t="e">
        <f t="shared" si="0"/>
        <v>#VALUE!</v>
      </c>
    </row>
    <row r="2998" spans="1:5" ht="12.75" customHeight="1" x14ac:dyDescent="0.2">
      <c r="A2998" s="3"/>
      <c r="B2998" s="3" t="s">
        <v>18</v>
      </c>
      <c r="C2998" s="4" t="s">
        <v>19</v>
      </c>
      <c r="D2998" s="2"/>
      <c r="E2998" s="2" t="e">
        <f t="shared" si="0"/>
        <v>#VALUE!</v>
      </c>
    </row>
    <row r="2999" spans="1:5" ht="12.75" customHeight="1" x14ac:dyDescent="0.2">
      <c r="A2999" s="1" t="str">
        <f>HYPERLINK("javascript:void(0)","méregfog")</f>
        <v>méregfog</v>
      </c>
      <c r="B2999" s="1"/>
      <c r="C2999" s="1"/>
      <c r="D2999" s="2"/>
      <c r="E2999" s="2" t="e">
        <f t="shared" si="0"/>
        <v>#VALUE!</v>
      </c>
    </row>
    <row r="3000" spans="1:5" ht="12.75" customHeight="1" x14ac:dyDescent="0.2">
      <c r="A3000" s="3"/>
      <c r="B3000" s="3" t="s">
        <v>0</v>
      </c>
      <c r="C3000" s="3" t="s">
        <v>21</v>
      </c>
      <c r="D3000" s="2"/>
      <c r="E3000" s="2" t="e">
        <f t="shared" si="0"/>
        <v>#VALUE!</v>
      </c>
    </row>
    <row r="3001" spans="1:5" ht="12.75" customHeight="1" x14ac:dyDescent="0.2">
      <c r="A3001" s="3"/>
      <c r="B3001" s="3" t="s">
        <v>2</v>
      </c>
      <c r="C3001" s="3" t="s">
        <v>458</v>
      </c>
      <c r="D3001" s="2"/>
      <c r="E3001" s="2" t="e">
        <f t="shared" si="0"/>
        <v>#VALUE!</v>
      </c>
    </row>
    <row r="3002" spans="1:5" ht="12.75" customHeight="1" x14ac:dyDescent="0.2">
      <c r="A3002" s="3"/>
      <c r="B3002" s="3" t="s">
        <v>9</v>
      </c>
      <c r="C3002" s="3" t="s">
        <v>233</v>
      </c>
      <c r="D3002" s="2"/>
      <c r="E3002" s="2" t="e">
        <f t="shared" si="0"/>
        <v>#VALUE!</v>
      </c>
    </row>
    <row r="3003" spans="1:5" ht="12.75" customHeight="1" x14ac:dyDescent="0.2">
      <c r="A3003" s="3"/>
      <c r="B3003" s="3" t="s">
        <v>11</v>
      </c>
      <c r="C3003" s="3" t="s">
        <v>520</v>
      </c>
      <c r="D3003" s="2"/>
      <c r="E3003" s="2" t="e">
        <f t="shared" si="0"/>
        <v>#VALUE!</v>
      </c>
    </row>
    <row r="3004" spans="1:5" ht="12.75" customHeight="1" x14ac:dyDescent="0.2">
      <c r="A3004" s="3"/>
      <c r="B3004" s="3" t="s">
        <v>18</v>
      </c>
      <c r="C3004" s="4" t="s">
        <v>19</v>
      </c>
      <c r="D3004" s="2"/>
      <c r="E3004" s="2" t="e">
        <f t="shared" si="0"/>
        <v>#VALUE!</v>
      </c>
    </row>
    <row r="3005" spans="1:5" ht="12.75" customHeight="1" x14ac:dyDescent="0.2">
      <c r="A3005" s="1" t="str">
        <f>HYPERLINK("javascript:void(0)","méregmirigy")</f>
        <v>méregmirigy</v>
      </c>
      <c r="B3005" s="1"/>
      <c r="C3005" s="1"/>
      <c r="D3005" s="2"/>
      <c r="E3005" s="2" t="e">
        <f t="shared" si="0"/>
        <v>#VALUE!</v>
      </c>
    </row>
    <row r="3006" spans="1:5" ht="12.75" customHeight="1" x14ac:dyDescent="0.2">
      <c r="A3006" s="3"/>
      <c r="B3006" s="3" t="s">
        <v>0</v>
      </c>
      <c r="C3006" s="3" t="s">
        <v>21</v>
      </c>
      <c r="D3006" s="2"/>
      <c r="E3006" s="2" t="e">
        <f t="shared" si="0"/>
        <v>#VALUE!</v>
      </c>
    </row>
    <row r="3007" spans="1:5" ht="12.75" customHeight="1" x14ac:dyDescent="0.2">
      <c r="A3007" s="3"/>
      <c r="B3007" s="3" t="s">
        <v>2</v>
      </c>
      <c r="C3007" s="3" t="s">
        <v>458</v>
      </c>
      <c r="D3007" s="2"/>
      <c r="E3007" s="2" t="e">
        <f t="shared" si="0"/>
        <v>#VALUE!</v>
      </c>
    </row>
    <row r="3008" spans="1:5" ht="12.75" customHeight="1" x14ac:dyDescent="0.2">
      <c r="A3008" s="3"/>
      <c r="B3008" s="3" t="s">
        <v>9</v>
      </c>
      <c r="C3008" s="3" t="s">
        <v>137</v>
      </c>
      <c r="D3008" s="2"/>
      <c r="E3008" s="2" t="e">
        <f t="shared" si="0"/>
        <v>#VALUE!</v>
      </c>
    </row>
    <row r="3009" spans="1:5" ht="12.75" customHeight="1" x14ac:dyDescent="0.2">
      <c r="A3009" s="3"/>
      <c r="B3009" s="3" t="s">
        <v>11</v>
      </c>
      <c r="C3009" s="3" t="s">
        <v>893</v>
      </c>
      <c r="D3009" s="2"/>
      <c r="E3009" s="2" t="e">
        <f t="shared" si="0"/>
        <v>#VALUE!</v>
      </c>
    </row>
    <row r="3010" spans="1:5" ht="12.75" customHeight="1" x14ac:dyDescent="0.2">
      <c r="A3010" s="3"/>
      <c r="B3010" s="3" t="s">
        <v>18</v>
      </c>
      <c r="C3010" s="4" t="s">
        <v>19</v>
      </c>
      <c r="D3010" s="2"/>
      <c r="E3010" s="2" t="e">
        <f t="shared" si="0"/>
        <v>#VALUE!</v>
      </c>
    </row>
    <row r="3011" spans="1:5" ht="12.75" customHeight="1" x14ac:dyDescent="0.2">
      <c r="A3011" s="1" t="str">
        <f>HYPERLINK("javascript:void(0)","méregzacskó")</f>
        <v>méregzacskó</v>
      </c>
      <c r="B3011" s="1"/>
      <c r="C3011" s="1"/>
      <c r="D3011" s="2"/>
      <c r="E3011" s="2" t="e">
        <f t="shared" si="0"/>
        <v>#VALUE!</v>
      </c>
    </row>
    <row r="3012" spans="1:5" ht="12.75" customHeight="1" x14ac:dyDescent="0.2">
      <c r="A3012" s="3"/>
      <c r="B3012" s="3" t="s">
        <v>0</v>
      </c>
      <c r="C3012" s="3" t="s">
        <v>21</v>
      </c>
      <c r="D3012" s="2"/>
      <c r="E3012" s="2" t="e">
        <f t="shared" si="0"/>
        <v>#VALUE!</v>
      </c>
    </row>
    <row r="3013" spans="1:5" ht="12.75" customHeight="1" x14ac:dyDescent="0.2">
      <c r="A3013" s="3"/>
      <c r="B3013" s="3" t="s">
        <v>2</v>
      </c>
      <c r="C3013" s="3" t="s">
        <v>458</v>
      </c>
      <c r="D3013" s="2"/>
      <c r="E3013" s="2" t="e">
        <f t="shared" si="0"/>
        <v>#VALUE!</v>
      </c>
    </row>
    <row r="3014" spans="1:5" ht="12.75" customHeight="1" x14ac:dyDescent="0.2">
      <c r="A3014" s="3"/>
      <c r="B3014" s="3" t="s">
        <v>9</v>
      </c>
      <c r="C3014" s="3" t="s">
        <v>137</v>
      </c>
      <c r="D3014" s="2"/>
      <c r="E3014" s="2" t="e">
        <f t="shared" si="0"/>
        <v>#VALUE!</v>
      </c>
    </row>
    <row r="3015" spans="1:5" ht="12.75" customHeight="1" x14ac:dyDescent="0.2">
      <c r="A3015" s="3"/>
      <c r="B3015" s="3" t="s">
        <v>11</v>
      </c>
      <c r="C3015" s="3" t="s">
        <v>1251</v>
      </c>
      <c r="D3015" s="2"/>
      <c r="E3015" s="2" t="e">
        <f t="shared" si="0"/>
        <v>#VALUE!</v>
      </c>
    </row>
    <row r="3016" spans="1:5" ht="12.75" customHeight="1" x14ac:dyDescent="0.2">
      <c r="A3016" s="3"/>
      <c r="B3016" s="3" t="s">
        <v>18</v>
      </c>
      <c r="C3016" s="4" t="s">
        <v>19</v>
      </c>
      <c r="D3016" s="2"/>
      <c r="E3016" s="2" t="e">
        <f t="shared" si="0"/>
        <v>#VALUE!</v>
      </c>
    </row>
    <row r="3017" spans="1:5" ht="12.75" customHeight="1" x14ac:dyDescent="0.2">
      <c r="A3017" s="1" t="str">
        <f>HYPERLINK("javascript:void(0)","mészfelhő")</f>
        <v>mészfelhő</v>
      </c>
      <c r="B3017" s="1"/>
      <c r="C3017" s="1"/>
      <c r="D3017" s="2"/>
      <c r="E3017" s="2" t="e">
        <f t="shared" si="0"/>
        <v>#VALUE!</v>
      </c>
    </row>
    <row r="3018" spans="1:5" ht="12.75" customHeight="1" x14ac:dyDescent="0.2">
      <c r="A3018" s="3"/>
      <c r="B3018" s="3" t="s">
        <v>0</v>
      </c>
      <c r="C3018" s="3" t="s">
        <v>21</v>
      </c>
      <c r="D3018" s="2"/>
      <c r="E3018" s="2" t="e">
        <f t="shared" si="0"/>
        <v>#VALUE!</v>
      </c>
    </row>
    <row r="3019" spans="1:5" ht="12.75" customHeight="1" x14ac:dyDescent="0.2">
      <c r="A3019" s="3"/>
      <c r="B3019" s="3" t="s">
        <v>2</v>
      </c>
      <c r="C3019" s="3" t="s">
        <v>458</v>
      </c>
      <c r="D3019" s="2"/>
      <c r="E3019" s="2" t="e">
        <f t="shared" si="0"/>
        <v>#VALUE!</v>
      </c>
    </row>
    <row r="3020" spans="1:5" ht="12.75" customHeight="1" x14ac:dyDescent="0.2">
      <c r="A3020" s="3"/>
      <c r="B3020" s="3" t="s">
        <v>9</v>
      </c>
      <c r="C3020" s="3" t="s">
        <v>22</v>
      </c>
      <c r="D3020" s="2"/>
      <c r="E3020" s="2" t="e">
        <f t="shared" si="0"/>
        <v>#VALUE!</v>
      </c>
    </row>
    <row r="3021" spans="1:5" ht="12.75" customHeight="1" x14ac:dyDescent="0.2">
      <c r="A3021" s="3"/>
      <c r="B3021" s="3" t="s">
        <v>11</v>
      </c>
      <c r="C3021" s="3" t="s">
        <v>162</v>
      </c>
      <c r="D3021" s="2"/>
      <c r="E3021" s="2" t="e">
        <f t="shared" si="0"/>
        <v>#VALUE!</v>
      </c>
    </row>
    <row r="3022" spans="1:5" ht="12.75" customHeight="1" x14ac:dyDescent="0.2">
      <c r="A3022" s="3"/>
      <c r="B3022" s="3" t="s">
        <v>18</v>
      </c>
      <c r="C3022" s="4" t="s">
        <v>19</v>
      </c>
      <c r="D3022" s="2"/>
      <c r="E3022" s="2" t="e">
        <f t="shared" si="0"/>
        <v>#VALUE!</v>
      </c>
    </row>
    <row r="3023" spans="1:5" ht="12.75" customHeight="1" x14ac:dyDescent="0.2">
      <c r="A3023" s="1" t="str">
        <f>HYPERLINK("javascript:void(0)","mészragacs")</f>
        <v>mészragacs</v>
      </c>
      <c r="B3023" s="1"/>
      <c r="C3023" s="1"/>
      <c r="D3023" s="2"/>
      <c r="E3023" s="2" t="e">
        <f t="shared" si="0"/>
        <v>#VALUE!</v>
      </c>
    </row>
    <row r="3024" spans="1:5" ht="12.75" customHeight="1" x14ac:dyDescent="0.2">
      <c r="A3024" s="3"/>
      <c r="B3024" s="3" t="s">
        <v>0</v>
      </c>
      <c r="C3024" s="3" t="s">
        <v>21</v>
      </c>
      <c r="D3024" s="2"/>
      <c r="E3024" s="2" t="e">
        <f t="shared" si="0"/>
        <v>#VALUE!</v>
      </c>
    </row>
    <row r="3025" spans="1:5" ht="12.75" customHeight="1" x14ac:dyDescent="0.2">
      <c r="A3025" s="3"/>
      <c r="B3025" s="3" t="s">
        <v>2</v>
      </c>
      <c r="C3025" s="3" t="s">
        <v>458</v>
      </c>
      <c r="D3025" s="2"/>
      <c r="E3025" s="2" t="e">
        <f t="shared" si="0"/>
        <v>#VALUE!</v>
      </c>
    </row>
    <row r="3026" spans="1:5" ht="12.75" customHeight="1" x14ac:dyDescent="0.2">
      <c r="A3026" s="3"/>
      <c r="B3026" s="3" t="s">
        <v>9</v>
      </c>
      <c r="C3026" s="3" t="s">
        <v>22</v>
      </c>
      <c r="D3026" s="2"/>
      <c r="E3026" s="2" t="e">
        <f t="shared" si="0"/>
        <v>#VALUE!</v>
      </c>
    </row>
    <row r="3027" spans="1:5" ht="12.75" customHeight="1" x14ac:dyDescent="0.2">
      <c r="A3027" s="3"/>
      <c r="B3027" s="3" t="s">
        <v>11</v>
      </c>
      <c r="C3027" s="3" t="s">
        <v>535</v>
      </c>
      <c r="D3027" s="2"/>
      <c r="E3027" s="2" t="e">
        <f t="shared" si="0"/>
        <v>#VALUE!</v>
      </c>
    </row>
    <row r="3028" spans="1:5" ht="12.75" customHeight="1" x14ac:dyDescent="0.2">
      <c r="A3028" s="3"/>
      <c r="B3028" s="3" t="s">
        <v>18</v>
      </c>
      <c r="C3028" s="4" t="s">
        <v>19</v>
      </c>
      <c r="D3028" s="2"/>
      <c r="E3028" s="2" t="e">
        <f t="shared" si="0"/>
        <v>#VALUE!</v>
      </c>
    </row>
    <row r="3029" spans="1:5" ht="12.75" customHeight="1" x14ac:dyDescent="0.2">
      <c r="A3029" s="1" t="str">
        <f>HYPERLINK("javascript:void(0)","mézbalzsam")</f>
        <v>mézbalzsam</v>
      </c>
      <c r="B3029" s="1"/>
      <c r="C3029" s="1"/>
      <c r="D3029" s="2"/>
      <c r="E3029" s="2" t="e">
        <f t="shared" si="0"/>
        <v>#VALUE!</v>
      </c>
    </row>
    <row r="3030" spans="1:5" ht="12.75" customHeight="1" x14ac:dyDescent="0.2">
      <c r="A3030" s="3"/>
      <c r="B3030" s="3" t="s">
        <v>0</v>
      </c>
      <c r="C3030" s="3" t="s">
        <v>21</v>
      </c>
      <c r="D3030" s="2"/>
      <c r="E3030" s="2" t="e">
        <f t="shared" si="0"/>
        <v>#VALUE!</v>
      </c>
    </row>
    <row r="3031" spans="1:5" ht="12.75" customHeight="1" x14ac:dyDescent="0.2">
      <c r="A3031" s="3"/>
      <c r="B3031" s="3" t="s">
        <v>2</v>
      </c>
      <c r="C3031" s="3" t="s">
        <v>458</v>
      </c>
      <c r="D3031" s="2"/>
      <c r="E3031" s="2" t="e">
        <f t="shared" si="0"/>
        <v>#VALUE!</v>
      </c>
    </row>
    <row r="3032" spans="1:5" ht="12.75" customHeight="1" x14ac:dyDescent="0.2">
      <c r="A3032" s="3"/>
      <c r="B3032" s="3" t="s">
        <v>9</v>
      </c>
      <c r="C3032" s="3" t="s">
        <v>513</v>
      </c>
      <c r="D3032" s="2"/>
      <c r="E3032" s="2" t="e">
        <f t="shared" si="0"/>
        <v>#VALUE!</v>
      </c>
    </row>
    <row r="3033" spans="1:5" ht="12.75" customHeight="1" x14ac:dyDescent="0.2">
      <c r="A3033" s="3"/>
      <c r="B3033" s="3" t="s">
        <v>11</v>
      </c>
      <c r="C3033" s="3" t="s">
        <v>1251</v>
      </c>
      <c r="D3033" s="2"/>
      <c r="E3033" s="2" t="e">
        <f t="shared" si="0"/>
        <v>#VALUE!</v>
      </c>
    </row>
    <row r="3034" spans="1:5" ht="12.75" customHeight="1" x14ac:dyDescent="0.2">
      <c r="A3034" s="3"/>
      <c r="B3034" s="3" t="s">
        <v>18</v>
      </c>
      <c r="C3034" s="4" t="s">
        <v>19</v>
      </c>
      <c r="D3034" s="2"/>
      <c r="E3034" s="2" t="e">
        <f t="shared" si="0"/>
        <v>#VALUE!</v>
      </c>
    </row>
    <row r="3035" spans="1:5" ht="12.75" customHeight="1" x14ac:dyDescent="0.2">
      <c r="A3035" s="1" t="str">
        <f>HYPERLINK("javascript:void(0)","mütyür")</f>
        <v>mütyür</v>
      </c>
      <c r="B3035" s="1"/>
      <c r="C3035" s="1"/>
      <c r="D3035" s="2"/>
      <c r="E3035" s="2" t="e">
        <f t="shared" si="0"/>
        <v>#VALUE!</v>
      </c>
    </row>
    <row r="3036" spans="1:5" ht="12.75" customHeight="1" x14ac:dyDescent="0.2">
      <c r="A3036" s="3"/>
      <c r="B3036" s="3" t="s">
        <v>0</v>
      </c>
      <c r="C3036" s="3" t="s">
        <v>21</v>
      </c>
      <c r="D3036" s="2"/>
      <c r="E3036" s="2" t="e">
        <f t="shared" si="0"/>
        <v>#VALUE!</v>
      </c>
    </row>
    <row r="3037" spans="1:5" ht="12.75" customHeight="1" x14ac:dyDescent="0.2">
      <c r="A3037" s="3"/>
      <c r="B3037" s="3" t="s">
        <v>2</v>
      </c>
      <c r="C3037" s="3" t="s">
        <v>458</v>
      </c>
      <c r="D3037" s="2"/>
      <c r="E3037" s="2" t="e">
        <f t="shared" si="0"/>
        <v>#VALUE!</v>
      </c>
    </row>
    <row r="3038" spans="1:5" ht="12.75" customHeight="1" x14ac:dyDescent="0.2">
      <c r="A3038" s="3"/>
      <c r="B3038" s="3" t="s">
        <v>9</v>
      </c>
      <c r="C3038" s="3" t="s">
        <v>22</v>
      </c>
      <c r="D3038" s="2"/>
      <c r="E3038" s="2" t="e">
        <f t="shared" si="0"/>
        <v>#VALUE!</v>
      </c>
    </row>
    <row r="3039" spans="1:5" ht="12.75" customHeight="1" x14ac:dyDescent="0.2">
      <c r="A3039" s="3"/>
      <c r="B3039" s="3" t="s">
        <v>11</v>
      </c>
      <c r="C3039" s="3" t="s">
        <v>535</v>
      </c>
      <c r="D3039" s="2"/>
      <c r="E3039" s="2" t="e">
        <f t="shared" si="0"/>
        <v>#VALUE!</v>
      </c>
    </row>
    <row r="3040" spans="1:5" ht="12.75" customHeight="1" x14ac:dyDescent="0.2">
      <c r="A3040" s="3"/>
      <c r="B3040" s="3" t="s">
        <v>18</v>
      </c>
      <c r="C3040" s="4" t="s">
        <v>19</v>
      </c>
      <c r="D3040" s="2"/>
      <c r="E3040" s="2" t="e">
        <f t="shared" si="0"/>
        <v>#VALUE!</v>
      </c>
    </row>
    <row r="3041" spans="1:5" ht="12.75" customHeight="1" x14ac:dyDescent="0.2">
      <c r="A3041" s="1" t="str">
        <f>HYPERLINK("javascript:void(0)","nagylemez")</f>
        <v>nagylemez</v>
      </c>
      <c r="B3041" s="1"/>
      <c r="C3041" s="1"/>
      <c r="D3041" s="2"/>
      <c r="E3041" s="2" t="e">
        <f t="shared" si="0"/>
        <v>#VALUE!</v>
      </c>
    </row>
    <row r="3042" spans="1:5" ht="12.75" customHeight="1" x14ac:dyDescent="0.2">
      <c r="A3042" s="3"/>
      <c r="B3042" s="3" t="s">
        <v>0</v>
      </c>
      <c r="C3042" s="3" t="s">
        <v>21</v>
      </c>
      <c r="D3042" s="2"/>
      <c r="E3042" s="2" t="e">
        <f t="shared" si="0"/>
        <v>#VALUE!</v>
      </c>
    </row>
    <row r="3043" spans="1:5" ht="12.75" customHeight="1" x14ac:dyDescent="0.2">
      <c r="A3043" s="3"/>
      <c r="B3043" s="3" t="s">
        <v>2</v>
      </c>
      <c r="C3043" s="3" t="s">
        <v>458</v>
      </c>
      <c r="D3043" s="2"/>
      <c r="E3043" s="2" t="e">
        <f t="shared" si="0"/>
        <v>#VALUE!</v>
      </c>
    </row>
    <row r="3044" spans="1:5" ht="12.75" customHeight="1" x14ac:dyDescent="0.2">
      <c r="A3044" s="3"/>
      <c r="B3044" s="3" t="s">
        <v>9</v>
      </c>
      <c r="C3044" s="3" t="s">
        <v>27</v>
      </c>
      <c r="D3044" s="2"/>
      <c r="E3044" s="2" t="e">
        <f t="shared" si="0"/>
        <v>#VALUE!</v>
      </c>
    </row>
    <row r="3045" spans="1:5" ht="12.75" customHeight="1" x14ac:dyDescent="0.2">
      <c r="A3045" s="3"/>
      <c r="B3045" s="3" t="s">
        <v>11</v>
      </c>
      <c r="C3045" s="3" t="s">
        <v>227</v>
      </c>
      <c r="D3045" s="2"/>
      <c r="E3045" s="2" t="e">
        <f t="shared" si="0"/>
        <v>#VALUE!</v>
      </c>
    </row>
    <row r="3046" spans="1:5" ht="12.75" customHeight="1" x14ac:dyDescent="0.2">
      <c r="A3046" s="3"/>
      <c r="B3046" s="3" t="s">
        <v>18</v>
      </c>
      <c r="C3046" s="4" t="s">
        <v>19</v>
      </c>
      <c r="D3046" s="2"/>
      <c r="E3046" s="2" t="e">
        <f t="shared" si="0"/>
        <v>#VALUE!</v>
      </c>
    </row>
    <row r="3047" spans="1:5" ht="12.75" customHeight="1" x14ac:dyDescent="0.2">
      <c r="A3047" s="1" t="str">
        <f>HYPERLINK("javascript:void(0)","napenergia")</f>
        <v>napenergia</v>
      </c>
      <c r="B3047" s="1"/>
      <c r="C3047" s="1"/>
      <c r="D3047" s="2"/>
      <c r="E3047" s="2" t="e">
        <f t="shared" si="0"/>
        <v>#VALUE!</v>
      </c>
    </row>
    <row r="3048" spans="1:5" ht="12.75" customHeight="1" x14ac:dyDescent="0.2">
      <c r="A3048" s="3"/>
      <c r="B3048" s="3" t="s">
        <v>0</v>
      </c>
      <c r="C3048" s="3" t="s">
        <v>21</v>
      </c>
      <c r="D3048" s="2"/>
      <c r="E3048" s="2" t="e">
        <f t="shared" si="0"/>
        <v>#VALUE!</v>
      </c>
    </row>
    <row r="3049" spans="1:5" ht="12.75" customHeight="1" x14ac:dyDescent="0.2">
      <c r="A3049" s="3"/>
      <c r="B3049" s="3" t="s">
        <v>2</v>
      </c>
      <c r="C3049" s="3" t="s">
        <v>458</v>
      </c>
      <c r="D3049" s="2"/>
      <c r="E3049" s="2" t="e">
        <f t="shared" si="0"/>
        <v>#VALUE!</v>
      </c>
    </row>
    <row r="3050" spans="1:5" ht="12.75" customHeight="1" x14ac:dyDescent="0.2">
      <c r="A3050" s="3"/>
      <c r="B3050" s="3" t="s">
        <v>9</v>
      </c>
      <c r="C3050" s="3" t="s">
        <v>626</v>
      </c>
      <c r="D3050" s="2"/>
      <c r="E3050" s="2" t="e">
        <f t="shared" si="0"/>
        <v>#VALUE!</v>
      </c>
    </row>
    <row r="3051" spans="1:5" ht="12.75" customHeight="1" x14ac:dyDescent="0.2">
      <c r="A3051" s="3"/>
      <c r="B3051" s="3" t="s">
        <v>11</v>
      </c>
      <c r="C3051" s="3" t="s">
        <v>23</v>
      </c>
      <c r="D3051" s="2"/>
      <c r="E3051" s="2" t="e">
        <f t="shared" si="0"/>
        <v>#VALUE!</v>
      </c>
    </row>
    <row r="3052" spans="1:5" ht="12.75" customHeight="1" x14ac:dyDescent="0.2">
      <c r="A3052" s="3"/>
      <c r="B3052" s="3" t="s">
        <v>18</v>
      </c>
      <c r="C3052" s="4" t="s">
        <v>19</v>
      </c>
      <c r="D3052" s="2"/>
      <c r="E3052" s="2" t="e">
        <f t="shared" si="0"/>
        <v>#VALUE!</v>
      </c>
    </row>
    <row r="3053" spans="1:5" ht="12.75" customHeight="1" x14ac:dyDescent="0.2">
      <c r="A3053" s="1" t="str">
        <f>HYPERLINK("javascript:void(0)","napfolt")</f>
        <v>napfolt</v>
      </c>
      <c r="B3053" s="1"/>
      <c r="C3053" s="1"/>
      <c r="D3053" s="2"/>
      <c r="E3053" s="2" t="e">
        <f t="shared" si="0"/>
        <v>#VALUE!</v>
      </c>
    </row>
    <row r="3054" spans="1:5" ht="12.75" customHeight="1" x14ac:dyDescent="0.2">
      <c r="A3054" s="3"/>
      <c r="B3054" s="3" t="s">
        <v>0</v>
      </c>
      <c r="C3054" s="3" t="s">
        <v>21</v>
      </c>
      <c r="D3054" s="2"/>
      <c r="E3054" s="2" t="e">
        <f t="shared" si="0"/>
        <v>#VALUE!</v>
      </c>
    </row>
    <row r="3055" spans="1:5" ht="12.75" customHeight="1" x14ac:dyDescent="0.2">
      <c r="A3055" s="3"/>
      <c r="B3055" s="3" t="s">
        <v>2</v>
      </c>
      <c r="C3055" s="3" t="s">
        <v>458</v>
      </c>
      <c r="D3055" s="2"/>
      <c r="E3055" s="2" t="e">
        <f t="shared" si="0"/>
        <v>#VALUE!</v>
      </c>
    </row>
    <row r="3056" spans="1:5" ht="12.75" customHeight="1" x14ac:dyDescent="0.2">
      <c r="A3056" s="3"/>
      <c r="B3056" s="3" t="s">
        <v>9</v>
      </c>
      <c r="C3056" s="3" t="s">
        <v>22</v>
      </c>
      <c r="D3056" s="2"/>
      <c r="E3056" s="2" t="e">
        <f t="shared" si="0"/>
        <v>#VALUE!</v>
      </c>
    </row>
    <row r="3057" spans="1:5" ht="12.75" customHeight="1" x14ac:dyDescent="0.2">
      <c r="A3057" s="3"/>
      <c r="B3057" s="3" t="s">
        <v>11</v>
      </c>
      <c r="C3057" s="3" t="s">
        <v>227</v>
      </c>
      <c r="D3057" s="2"/>
      <c r="E3057" s="2" t="e">
        <f t="shared" si="0"/>
        <v>#VALUE!</v>
      </c>
    </row>
    <row r="3058" spans="1:5" ht="12.75" customHeight="1" x14ac:dyDescent="0.2">
      <c r="A3058" s="3"/>
      <c r="B3058" s="3" t="s">
        <v>18</v>
      </c>
      <c r="C3058" s="4" t="s">
        <v>19</v>
      </c>
      <c r="D3058" s="2"/>
      <c r="E3058" s="2" t="e">
        <f t="shared" si="0"/>
        <v>#VALUE!</v>
      </c>
    </row>
    <row r="3059" spans="1:5" ht="12.75" customHeight="1" x14ac:dyDescent="0.2">
      <c r="A3059" s="1" t="str">
        <f>HYPERLINK("javascript:void(0)","negatívum")</f>
        <v>negatívum</v>
      </c>
      <c r="B3059" s="1"/>
      <c r="C3059" s="1"/>
      <c r="D3059" s="2"/>
      <c r="E3059" s="2" t="e">
        <f t="shared" si="0"/>
        <v>#VALUE!</v>
      </c>
    </row>
    <row r="3060" spans="1:5" ht="12.75" customHeight="1" x14ac:dyDescent="0.2">
      <c r="A3060" s="3"/>
      <c r="B3060" s="3" t="s">
        <v>0</v>
      </c>
      <c r="C3060" s="3" t="s">
        <v>21</v>
      </c>
      <c r="D3060" s="2"/>
      <c r="E3060" s="2" t="e">
        <f t="shared" si="0"/>
        <v>#VALUE!</v>
      </c>
    </row>
    <row r="3061" spans="1:5" ht="12.75" customHeight="1" x14ac:dyDescent="0.2">
      <c r="A3061" s="3"/>
      <c r="B3061" s="3" t="s">
        <v>2</v>
      </c>
      <c r="C3061" s="3" t="s">
        <v>458</v>
      </c>
      <c r="D3061" s="2"/>
      <c r="E3061" s="2" t="e">
        <f t="shared" si="0"/>
        <v>#VALUE!</v>
      </c>
    </row>
    <row r="3062" spans="1:5" ht="12.75" customHeight="1" x14ac:dyDescent="0.2">
      <c r="A3062" s="3"/>
      <c r="B3062" s="3" t="s">
        <v>9</v>
      </c>
      <c r="C3062" s="3" t="s">
        <v>10</v>
      </c>
      <c r="D3062" s="2"/>
      <c r="E3062" s="2" t="e">
        <f t="shared" si="0"/>
        <v>#VALUE!</v>
      </c>
    </row>
    <row r="3063" spans="1:5" ht="12.75" customHeight="1" x14ac:dyDescent="0.2">
      <c r="A3063" s="3"/>
      <c r="B3063" s="3" t="s">
        <v>11</v>
      </c>
      <c r="C3063" s="3" t="s">
        <v>227</v>
      </c>
      <c r="D3063" s="2"/>
      <c r="E3063" s="2" t="e">
        <f t="shared" si="0"/>
        <v>#VALUE!</v>
      </c>
    </row>
    <row r="3064" spans="1:5" ht="12.75" customHeight="1" x14ac:dyDescent="0.2">
      <c r="A3064" s="3"/>
      <c r="B3064" s="3" t="s">
        <v>18</v>
      </c>
      <c r="C3064" s="4" t="s">
        <v>19</v>
      </c>
      <c r="D3064" s="2"/>
      <c r="E3064" s="2" t="e">
        <f t="shared" si="0"/>
        <v>#VALUE!</v>
      </c>
    </row>
    <row r="3065" spans="1:5" ht="12.75" customHeight="1" x14ac:dyDescent="0.2">
      <c r="A3065" s="1" t="str">
        <f>HYPERLINK("javascript:void(0)","nehézvíz")</f>
        <v>nehézvíz</v>
      </c>
      <c r="B3065" s="1"/>
      <c r="C3065" s="1"/>
      <c r="D3065" s="2"/>
      <c r="E3065" s="2" t="e">
        <f t="shared" si="0"/>
        <v>#VALUE!</v>
      </c>
    </row>
    <row r="3066" spans="1:5" ht="12.75" customHeight="1" x14ac:dyDescent="0.2">
      <c r="A3066" s="3"/>
      <c r="B3066" s="3" t="s">
        <v>0</v>
      </c>
      <c r="C3066" s="3" t="s">
        <v>21</v>
      </c>
      <c r="D3066" s="2"/>
      <c r="E3066" s="2" t="e">
        <f t="shared" si="0"/>
        <v>#VALUE!</v>
      </c>
    </row>
    <row r="3067" spans="1:5" ht="12.75" customHeight="1" x14ac:dyDescent="0.2">
      <c r="A3067" s="3"/>
      <c r="B3067" s="3" t="s">
        <v>2</v>
      </c>
      <c r="C3067" s="3" t="s">
        <v>458</v>
      </c>
      <c r="D3067" s="2"/>
      <c r="E3067" s="2" t="e">
        <f t="shared" si="0"/>
        <v>#VALUE!</v>
      </c>
    </row>
    <row r="3068" spans="1:5" ht="12.75" customHeight="1" x14ac:dyDescent="0.2">
      <c r="A3068" s="3"/>
      <c r="B3068" s="3" t="s">
        <v>9</v>
      </c>
      <c r="C3068" s="3" t="s">
        <v>42</v>
      </c>
      <c r="D3068" s="2"/>
      <c r="E3068" s="2" t="e">
        <f t="shared" si="0"/>
        <v>#VALUE!</v>
      </c>
    </row>
    <row r="3069" spans="1:5" ht="12.75" customHeight="1" x14ac:dyDescent="0.2">
      <c r="A3069" s="3"/>
      <c r="B3069" s="3" t="s">
        <v>11</v>
      </c>
      <c r="C3069" s="3" t="s">
        <v>505</v>
      </c>
      <c r="D3069" s="2"/>
      <c r="E3069" s="2" t="e">
        <f t="shared" si="0"/>
        <v>#VALUE!</v>
      </c>
    </row>
    <row r="3070" spans="1:5" ht="12.75" customHeight="1" x14ac:dyDescent="0.2">
      <c r="A3070" s="3"/>
      <c r="B3070" s="3" t="s">
        <v>18</v>
      </c>
      <c r="C3070" s="4" t="s">
        <v>19</v>
      </c>
      <c r="D3070" s="2"/>
      <c r="E3070" s="2" t="e">
        <f t="shared" si="0"/>
        <v>#VALUE!</v>
      </c>
    </row>
    <row r="3071" spans="1:5" ht="12.75" customHeight="1" x14ac:dyDescent="0.2">
      <c r="A3071" s="1" t="str">
        <f>HYPERLINK("javascript:void(0)","nekroige")</f>
        <v>nekroige</v>
      </c>
      <c r="B3071" s="1"/>
      <c r="C3071" s="1"/>
      <c r="D3071" s="2"/>
      <c r="E3071" s="2" t="e">
        <f t="shared" si="0"/>
        <v>#VALUE!</v>
      </c>
    </row>
    <row r="3072" spans="1:5" ht="12.75" customHeight="1" x14ac:dyDescent="0.2">
      <c r="A3072" s="3"/>
      <c r="B3072" s="3" t="s">
        <v>0</v>
      </c>
      <c r="C3072" s="3" t="s">
        <v>21</v>
      </c>
      <c r="D3072" s="2"/>
      <c r="E3072" s="2" t="e">
        <f t="shared" si="0"/>
        <v>#VALUE!</v>
      </c>
    </row>
    <row r="3073" spans="1:5" ht="12.75" customHeight="1" x14ac:dyDescent="0.2">
      <c r="A3073" s="3"/>
      <c r="B3073" s="3" t="s">
        <v>2</v>
      </c>
      <c r="C3073" s="3" t="s">
        <v>458</v>
      </c>
      <c r="D3073" s="2"/>
      <c r="E3073" s="2" t="e">
        <f t="shared" si="0"/>
        <v>#VALUE!</v>
      </c>
    </row>
    <row r="3074" spans="1:5" ht="12.75" customHeight="1" x14ac:dyDescent="0.2">
      <c r="A3074" s="3"/>
      <c r="B3074" s="3" t="s">
        <v>9</v>
      </c>
      <c r="C3074" s="3" t="s">
        <v>10</v>
      </c>
      <c r="D3074" s="2"/>
      <c r="E3074" s="2" t="e">
        <f t="shared" si="0"/>
        <v>#VALUE!</v>
      </c>
    </row>
    <row r="3075" spans="1:5" ht="12.75" customHeight="1" x14ac:dyDescent="0.2">
      <c r="A3075" s="3"/>
      <c r="B3075" s="3" t="s">
        <v>11</v>
      </c>
      <c r="C3075" s="3" t="s">
        <v>505</v>
      </c>
      <c r="D3075" s="2"/>
      <c r="E3075" s="2" t="e">
        <f t="shared" si="0"/>
        <v>#VALUE!</v>
      </c>
    </row>
    <row r="3076" spans="1:5" ht="12.75" customHeight="1" x14ac:dyDescent="0.2">
      <c r="A3076" s="3"/>
      <c r="B3076" s="3" t="s">
        <v>18</v>
      </c>
      <c r="C3076" s="4" t="s">
        <v>19</v>
      </c>
      <c r="D3076" s="2"/>
      <c r="E3076" s="2" t="e">
        <f t="shared" si="0"/>
        <v>#VALUE!</v>
      </c>
    </row>
    <row r="3077" spans="1:5" ht="12.75" customHeight="1" x14ac:dyDescent="0.2">
      <c r="A3077" s="1" t="str">
        <f>HYPERLINK("javascript:void(0)","nukleon")</f>
        <v>nukleon</v>
      </c>
      <c r="B3077" s="1"/>
      <c r="C3077" s="1"/>
      <c r="D3077" s="2"/>
      <c r="E3077" s="2" t="e">
        <f t="shared" si="0"/>
        <v>#VALUE!</v>
      </c>
    </row>
    <row r="3078" spans="1:5" ht="12.75" customHeight="1" x14ac:dyDescent="0.2">
      <c r="A3078" s="3"/>
      <c r="B3078" s="3" t="s">
        <v>0</v>
      </c>
      <c r="C3078" s="3" t="s">
        <v>21</v>
      </c>
      <c r="D3078" s="2"/>
      <c r="E3078" s="2" t="e">
        <f t="shared" si="0"/>
        <v>#VALUE!</v>
      </c>
    </row>
    <row r="3079" spans="1:5" ht="12.75" customHeight="1" x14ac:dyDescent="0.2">
      <c r="A3079" s="3"/>
      <c r="B3079" s="3" t="s">
        <v>2</v>
      </c>
      <c r="C3079" s="3" t="s">
        <v>458</v>
      </c>
      <c r="D3079" s="2"/>
      <c r="E3079" s="2" t="e">
        <f t="shared" si="0"/>
        <v>#VALUE!</v>
      </c>
    </row>
    <row r="3080" spans="1:5" ht="12.75" customHeight="1" x14ac:dyDescent="0.2">
      <c r="A3080" s="3"/>
      <c r="B3080" s="3" t="s">
        <v>9</v>
      </c>
      <c r="C3080" s="3" t="s">
        <v>626</v>
      </c>
      <c r="D3080" s="2"/>
      <c r="E3080" s="2" t="e">
        <f t="shared" si="0"/>
        <v>#VALUE!</v>
      </c>
    </row>
    <row r="3081" spans="1:5" ht="12.75" customHeight="1" x14ac:dyDescent="0.2">
      <c r="A3081" s="3"/>
      <c r="B3081" s="3" t="s">
        <v>11</v>
      </c>
      <c r="C3081" s="3" t="s">
        <v>689</v>
      </c>
      <c r="D3081" s="2"/>
      <c r="E3081" s="2" t="e">
        <f t="shared" si="0"/>
        <v>#VALUE!</v>
      </c>
    </row>
    <row r="3082" spans="1:5" ht="12.75" customHeight="1" x14ac:dyDescent="0.2">
      <c r="A3082" s="3"/>
      <c r="B3082" s="3" t="s">
        <v>18</v>
      </c>
      <c r="C3082" s="4" t="s">
        <v>19</v>
      </c>
      <c r="D3082" s="2"/>
      <c r="E3082" s="2" t="e">
        <f t="shared" si="0"/>
        <v>#VALUE!</v>
      </c>
    </row>
    <row r="3083" spans="1:5" ht="12.75" customHeight="1" x14ac:dyDescent="0.2">
      <c r="A3083" s="1" t="str">
        <f>HYPERLINK("javascript:void(0)","nullgravita")</f>
        <v>nullgravita</v>
      </c>
      <c r="B3083" s="1"/>
      <c r="C3083" s="1"/>
      <c r="D3083" s="2"/>
      <c r="E3083" s="2" t="e">
        <f t="shared" si="0"/>
        <v>#VALUE!</v>
      </c>
    </row>
    <row r="3084" spans="1:5" ht="12.75" customHeight="1" x14ac:dyDescent="0.2">
      <c r="A3084" s="3"/>
      <c r="B3084" s="3" t="s">
        <v>0</v>
      </c>
      <c r="C3084" s="3" t="s">
        <v>21</v>
      </c>
      <c r="D3084" s="2"/>
      <c r="E3084" s="2" t="e">
        <f t="shared" si="0"/>
        <v>#VALUE!</v>
      </c>
    </row>
    <row r="3085" spans="1:5" ht="12.75" customHeight="1" x14ac:dyDescent="0.2">
      <c r="A3085" s="3"/>
      <c r="B3085" s="3" t="s">
        <v>2</v>
      </c>
      <c r="C3085" s="3" t="s">
        <v>458</v>
      </c>
      <c r="D3085" s="2"/>
      <c r="E3085" s="2" t="e">
        <f t="shared" si="0"/>
        <v>#VALUE!</v>
      </c>
    </row>
    <row r="3086" spans="1:5" ht="12.75" customHeight="1" x14ac:dyDescent="0.2">
      <c r="A3086" s="3"/>
      <c r="B3086" s="3" t="s">
        <v>9</v>
      </c>
      <c r="C3086" s="3" t="s">
        <v>626</v>
      </c>
      <c r="D3086" s="2"/>
      <c r="E3086" s="2" t="e">
        <f t="shared" si="0"/>
        <v>#VALUE!</v>
      </c>
    </row>
    <row r="3087" spans="1:5" ht="12.75" customHeight="1" x14ac:dyDescent="0.2">
      <c r="A3087" s="3"/>
      <c r="B3087" s="3" t="s">
        <v>11</v>
      </c>
      <c r="C3087" s="3" t="s">
        <v>1092</v>
      </c>
      <c r="D3087" s="2"/>
      <c r="E3087" s="2" t="e">
        <f t="shared" si="0"/>
        <v>#VALUE!</v>
      </c>
    </row>
    <row r="3088" spans="1:5" ht="12.75" customHeight="1" x14ac:dyDescent="0.2">
      <c r="A3088" s="3"/>
      <c r="B3088" s="3" t="s">
        <v>18</v>
      </c>
      <c r="C3088" s="4" t="s">
        <v>19</v>
      </c>
      <c r="D3088" s="2"/>
      <c r="E3088" s="2" t="e">
        <f t="shared" si="0"/>
        <v>#VALUE!</v>
      </c>
    </row>
    <row r="3089" spans="1:5" ht="12.75" customHeight="1" x14ac:dyDescent="0.2">
      <c r="A3089" s="1" t="str">
        <f>HYPERLINK("javascript:void(0)","nyeglenyelv")</f>
        <v>nyeglenyelv</v>
      </c>
      <c r="B3089" s="1"/>
      <c r="C3089" s="1"/>
      <c r="D3089" s="2"/>
      <c r="E3089" s="2" t="e">
        <f t="shared" si="0"/>
        <v>#VALUE!</v>
      </c>
    </row>
    <row r="3090" spans="1:5" ht="12.75" customHeight="1" x14ac:dyDescent="0.2">
      <c r="A3090" s="3"/>
      <c r="B3090" s="3" t="s">
        <v>0</v>
      </c>
      <c r="C3090" s="3" t="s">
        <v>21</v>
      </c>
      <c r="D3090" s="2"/>
      <c r="E3090" s="2" t="e">
        <f t="shared" si="0"/>
        <v>#VALUE!</v>
      </c>
    </row>
    <row r="3091" spans="1:5" ht="12.75" customHeight="1" x14ac:dyDescent="0.2">
      <c r="A3091" s="3"/>
      <c r="B3091" s="3" t="s">
        <v>2</v>
      </c>
      <c r="C3091" s="3" t="s">
        <v>458</v>
      </c>
      <c r="D3091" s="2"/>
      <c r="E3091" s="2" t="e">
        <f t="shared" si="0"/>
        <v>#VALUE!</v>
      </c>
    </row>
    <row r="3092" spans="1:5" ht="12.75" customHeight="1" x14ac:dyDescent="0.2">
      <c r="A3092" s="3"/>
      <c r="B3092" s="3" t="s">
        <v>9</v>
      </c>
      <c r="C3092" s="3" t="s">
        <v>42</v>
      </c>
      <c r="D3092" s="2"/>
      <c r="E3092" s="2" t="e">
        <f t="shared" si="0"/>
        <v>#VALUE!</v>
      </c>
    </row>
    <row r="3093" spans="1:5" ht="12.75" customHeight="1" x14ac:dyDescent="0.2">
      <c r="A3093" s="3"/>
      <c r="B3093" s="3" t="s">
        <v>11</v>
      </c>
      <c r="C3093" s="3" t="s">
        <v>1462</v>
      </c>
      <c r="D3093" s="2"/>
      <c r="E3093" s="2" t="e">
        <f t="shared" si="0"/>
        <v>#VALUE!</v>
      </c>
    </row>
    <row r="3094" spans="1:5" ht="12.75" customHeight="1" x14ac:dyDescent="0.2">
      <c r="A3094" s="3"/>
      <c r="B3094" s="3" t="s">
        <v>18</v>
      </c>
      <c r="C3094" s="4" t="s">
        <v>19</v>
      </c>
      <c r="D3094" s="2"/>
      <c r="E3094" s="2" t="e">
        <f t="shared" si="0"/>
        <v>#VALUE!</v>
      </c>
    </row>
    <row r="3095" spans="1:5" ht="12.75" customHeight="1" x14ac:dyDescent="0.2">
      <c r="A3095" s="1" t="str">
        <f>HYPERLINK("javascript:void(0)","nyenyere nyak")</f>
        <v>nyenyere nyak</v>
      </c>
      <c r="B3095" s="1"/>
      <c r="C3095" s="1"/>
      <c r="D3095" s="2"/>
      <c r="E3095" s="2" t="e">
        <f t="shared" si="0"/>
        <v>#VALUE!</v>
      </c>
    </row>
    <row r="3096" spans="1:5" ht="12.75" customHeight="1" x14ac:dyDescent="0.2">
      <c r="A3096" s="3"/>
      <c r="B3096" s="3" t="s">
        <v>0</v>
      </c>
      <c r="C3096" s="3" t="s">
        <v>21</v>
      </c>
      <c r="D3096" s="2"/>
      <c r="E3096" s="2" t="e">
        <f t="shared" si="0"/>
        <v>#VALUE!</v>
      </c>
    </row>
    <row r="3097" spans="1:5" ht="12.75" customHeight="1" x14ac:dyDescent="0.2">
      <c r="A3097" s="3"/>
      <c r="B3097" s="3" t="s">
        <v>2</v>
      </c>
      <c r="C3097" s="3" t="s">
        <v>458</v>
      </c>
      <c r="D3097" s="2"/>
      <c r="E3097" s="2" t="e">
        <f t="shared" si="0"/>
        <v>#VALUE!</v>
      </c>
    </row>
    <row r="3098" spans="1:5" ht="12.75" customHeight="1" x14ac:dyDescent="0.2">
      <c r="A3098" s="3"/>
      <c r="B3098" s="3" t="s">
        <v>9</v>
      </c>
      <c r="C3098" s="3" t="s">
        <v>36</v>
      </c>
      <c r="D3098" s="2"/>
      <c r="E3098" s="2" t="e">
        <f t="shared" si="0"/>
        <v>#VALUE!</v>
      </c>
    </row>
    <row r="3099" spans="1:5" ht="12.75" customHeight="1" x14ac:dyDescent="0.2">
      <c r="A3099" s="3"/>
      <c r="B3099" s="3" t="s">
        <v>11</v>
      </c>
      <c r="C3099" s="3" t="s">
        <v>1463</v>
      </c>
      <c r="D3099" s="2"/>
      <c r="E3099" s="2" t="e">
        <f t="shared" si="0"/>
        <v>#VALUE!</v>
      </c>
    </row>
    <row r="3100" spans="1:5" ht="12.75" customHeight="1" x14ac:dyDescent="0.2">
      <c r="A3100" s="3"/>
      <c r="B3100" s="3" t="s">
        <v>18</v>
      </c>
      <c r="C3100" s="4" t="s">
        <v>19</v>
      </c>
      <c r="D3100" s="2"/>
      <c r="E3100" s="2" t="e">
        <f t="shared" si="0"/>
        <v>#VALUE!</v>
      </c>
    </row>
    <row r="3101" spans="1:5" ht="12.75" customHeight="1" x14ac:dyDescent="0.2">
      <c r="A3101" s="1" t="str">
        <f>HYPERLINK("javascript:void(0)","nyigolya")</f>
        <v>nyigolya</v>
      </c>
      <c r="B3101" s="1"/>
      <c r="C3101" s="1"/>
      <c r="D3101" s="2"/>
      <c r="E3101" s="2" t="e">
        <f t="shared" si="0"/>
        <v>#VALUE!</v>
      </c>
    </row>
    <row r="3102" spans="1:5" ht="12.75" customHeight="1" x14ac:dyDescent="0.2">
      <c r="A3102" s="3"/>
      <c r="B3102" s="3" t="s">
        <v>0</v>
      </c>
      <c r="C3102" s="3" t="s">
        <v>21</v>
      </c>
      <c r="D3102" s="2"/>
      <c r="E3102" s="2" t="e">
        <f t="shared" si="0"/>
        <v>#VALUE!</v>
      </c>
    </row>
    <row r="3103" spans="1:5" ht="12.75" customHeight="1" x14ac:dyDescent="0.2">
      <c r="A3103" s="3"/>
      <c r="B3103" s="3" t="s">
        <v>2</v>
      </c>
      <c r="C3103" s="3" t="s">
        <v>458</v>
      </c>
      <c r="D3103" s="2"/>
      <c r="E3103" s="2" t="e">
        <f t="shared" si="0"/>
        <v>#VALUE!</v>
      </c>
    </row>
    <row r="3104" spans="1:5" ht="12.75" customHeight="1" x14ac:dyDescent="0.2">
      <c r="A3104" s="3"/>
      <c r="B3104" s="3" t="s">
        <v>9</v>
      </c>
      <c r="C3104" s="3" t="s">
        <v>22</v>
      </c>
      <c r="D3104" s="2"/>
      <c r="E3104" s="2" t="e">
        <f t="shared" si="0"/>
        <v>#VALUE!</v>
      </c>
    </row>
    <row r="3105" spans="1:5" ht="12.75" customHeight="1" x14ac:dyDescent="0.2">
      <c r="A3105" s="3"/>
      <c r="B3105" s="3" t="s">
        <v>11</v>
      </c>
      <c r="C3105" s="3" t="s">
        <v>89</v>
      </c>
      <c r="D3105" s="2"/>
      <c r="E3105" s="2" t="e">
        <f t="shared" si="0"/>
        <v>#VALUE!</v>
      </c>
    </row>
    <row r="3106" spans="1:5" ht="12.75" customHeight="1" x14ac:dyDescent="0.2">
      <c r="A3106" s="3"/>
      <c r="B3106" s="3" t="s">
        <v>18</v>
      </c>
      <c r="C3106" s="4" t="s">
        <v>19</v>
      </c>
      <c r="D3106" s="2"/>
      <c r="E3106" s="2" t="e">
        <f t="shared" si="0"/>
        <v>#VALUE!</v>
      </c>
    </row>
    <row r="3107" spans="1:5" ht="12.75" customHeight="1" x14ac:dyDescent="0.2">
      <c r="A3107" s="1" t="str">
        <f>HYPERLINK("javascript:void(0)","nyonyóc fog")</f>
        <v>nyonyóc fog</v>
      </c>
      <c r="B3107" s="1"/>
      <c r="C3107" s="1"/>
      <c r="D3107" s="2"/>
      <c r="E3107" s="2" t="e">
        <f t="shared" si="0"/>
        <v>#VALUE!</v>
      </c>
    </row>
    <row r="3108" spans="1:5" ht="12.75" customHeight="1" x14ac:dyDescent="0.2">
      <c r="A3108" s="3"/>
      <c r="B3108" s="3" t="s">
        <v>0</v>
      </c>
      <c r="C3108" s="3" t="s">
        <v>21</v>
      </c>
      <c r="D3108" s="2"/>
      <c r="E3108" s="2" t="e">
        <f t="shared" si="0"/>
        <v>#VALUE!</v>
      </c>
    </row>
    <row r="3109" spans="1:5" ht="12.75" customHeight="1" x14ac:dyDescent="0.2">
      <c r="A3109" s="3"/>
      <c r="B3109" s="3" t="s">
        <v>2</v>
      </c>
      <c r="C3109" s="3" t="s">
        <v>458</v>
      </c>
      <c r="D3109" s="2"/>
      <c r="E3109" s="2" t="e">
        <f t="shared" si="0"/>
        <v>#VALUE!</v>
      </c>
    </row>
    <row r="3110" spans="1:5" ht="12.75" customHeight="1" x14ac:dyDescent="0.2">
      <c r="A3110" s="3"/>
      <c r="B3110" s="3" t="s">
        <v>9</v>
      </c>
      <c r="C3110" s="3" t="s">
        <v>137</v>
      </c>
      <c r="D3110" s="2"/>
      <c r="E3110" s="2" t="e">
        <f t="shared" si="0"/>
        <v>#VALUE!</v>
      </c>
    </row>
    <row r="3111" spans="1:5" ht="12.75" customHeight="1" x14ac:dyDescent="0.2">
      <c r="A3111" s="3"/>
      <c r="B3111" s="3" t="s">
        <v>11</v>
      </c>
      <c r="C3111" s="3" t="s">
        <v>1466</v>
      </c>
      <c r="D3111" s="2"/>
      <c r="E3111" s="2" t="e">
        <f t="shared" si="0"/>
        <v>#VALUE!</v>
      </c>
    </row>
    <row r="3112" spans="1:5" ht="12.75" customHeight="1" x14ac:dyDescent="0.2">
      <c r="A3112" s="3"/>
      <c r="B3112" s="3" t="s">
        <v>18</v>
      </c>
      <c r="C3112" s="4" t="s">
        <v>19</v>
      </c>
      <c r="D3112" s="2"/>
      <c r="E3112" s="2" t="e">
        <f t="shared" si="0"/>
        <v>#VALUE!</v>
      </c>
    </row>
    <row r="3113" spans="1:5" ht="12.75" customHeight="1" x14ac:dyDescent="0.2">
      <c r="A3113" s="1" t="str">
        <f>HYPERLINK("javascript:void(0)","nyukug bajusz")</f>
        <v>nyukug bajusz</v>
      </c>
      <c r="B3113" s="1"/>
      <c r="C3113" s="1"/>
      <c r="D3113" s="2"/>
      <c r="E3113" s="2" t="e">
        <f t="shared" si="0"/>
        <v>#VALUE!</v>
      </c>
    </row>
    <row r="3114" spans="1:5" ht="12.75" customHeight="1" x14ac:dyDescent="0.2">
      <c r="A3114" s="3"/>
      <c r="B3114" s="3" t="s">
        <v>0</v>
      </c>
      <c r="C3114" s="3" t="s">
        <v>21</v>
      </c>
      <c r="D3114" s="2"/>
      <c r="E3114" s="2" t="e">
        <f t="shared" si="0"/>
        <v>#VALUE!</v>
      </c>
    </row>
    <row r="3115" spans="1:5" ht="12.75" customHeight="1" x14ac:dyDescent="0.2">
      <c r="A3115" s="3"/>
      <c r="B3115" s="3" t="s">
        <v>2</v>
      </c>
      <c r="C3115" s="3" t="s">
        <v>458</v>
      </c>
      <c r="D3115" s="2"/>
      <c r="E3115" s="2" t="e">
        <f t="shared" si="0"/>
        <v>#VALUE!</v>
      </c>
    </row>
    <row r="3116" spans="1:5" ht="12.75" customHeight="1" x14ac:dyDescent="0.2">
      <c r="A3116" s="3"/>
      <c r="B3116" s="3" t="s">
        <v>9</v>
      </c>
      <c r="C3116" s="3" t="s">
        <v>10</v>
      </c>
      <c r="D3116" s="2"/>
      <c r="E3116" s="2" t="e">
        <f t="shared" si="0"/>
        <v>#VALUE!</v>
      </c>
    </row>
    <row r="3117" spans="1:5" ht="12.75" customHeight="1" x14ac:dyDescent="0.2">
      <c r="A3117" s="3"/>
      <c r="B3117" s="3" t="s">
        <v>11</v>
      </c>
      <c r="C3117" s="3" t="s">
        <v>1467</v>
      </c>
      <c r="D3117" s="2"/>
      <c r="E3117" s="2" t="e">
        <f t="shared" si="0"/>
        <v>#VALUE!</v>
      </c>
    </row>
    <row r="3118" spans="1:5" ht="12.75" customHeight="1" x14ac:dyDescent="0.2">
      <c r="A3118" s="3"/>
      <c r="B3118" s="3" t="s">
        <v>18</v>
      </c>
      <c r="C3118" s="4" t="s">
        <v>19</v>
      </c>
      <c r="D3118" s="2"/>
      <c r="E3118" s="2" t="e">
        <f t="shared" si="0"/>
        <v>#VALUE!</v>
      </c>
    </row>
    <row r="3119" spans="1:5" ht="12.75" customHeight="1" x14ac:dyDescent="0.2">
      <c r="A3119" s="1" t="str">
        <f>HYPERLINK("javascript:void(0)","nyávogás")</f>
        <v>nyávogás</v>
      </c>
      <c r="B3119" s="1"/>
      <c r="C3119" s="1"/>
      <c r="D3119" s="2"/>
      <c r="E3119" s="2" t="e">
        <f t="shared" si="0"/>
        <v>#VALUE!</v>
      </c>
    </row>
    <row r="3120" spans="1:5" ht="12.75" customHeight="1" x14ac:dyDescent="0.2">
      <c r="A3120" s="3"/>
      <c r="B3120" s="3" t="s">
        <v>0</v>
      </c>
      <c r="C3120" s="3" t="s">
        <v>21</v>
      </c>
      <c r="D3120" s="2"/>
      <c r="E3120" s="2" t="e">
        <f t="shared" si="0"/>
        <v>#VALUE!</v>
      </c>
    </row>
    <row r="3121" spans="1:5" ht="12.75" customHeight="1" x14ac:dyDescent="0.2">
      <c r="A3121" s="3"/>
      <c r="B3121" s="3" t="s">
        <v>2</v>
      </c>
      <c r="C3121" s="3" t="s">
        <v>458</v>
      </c>
      <c r="D3121" s="2"/>
      <c r="E3121" s="2" t="e">
        <f t="shared" si="0"/>
        <v>#VALUE!</v>
      </c>
    </row>
    <row r="3122" spans="1:5" ht="12.75" customHeight="1" x14ac:dyDescent="0.2">
      <c r="A3122" s="3"/>
      <c r="B3122" s="3" t="s">
        <v>9</v>
      </c>
      <c r="C3122" s="3" t="s">
        <v>22</v>
      </c>
      <c r="D3122" s="2"/>
      <c r="E3122" s="2" t="e">
        <f t="shared" si="0"/>
        <v>#VALUE!</v>
      </c>
    </row>
    <row r="3123" spans="1:5" ht="12.75" customHeight="1" x14ac:dyDescent="0.2">
      <c r="A3123" s="3"/>
      <c r="B3123" s="3" t="s">
        <v>11</v>
      </c>
      <c r="C3123" s="3" t="s">
        <v>605</v>
      </c>
      <c r="D3123" s="2"/>
      <c r="E3123" s="2" t="e">
        <f t="shared" si="0"/>
        <v>#VALUE!</v>
      </c>
    </row>
    <row r="3124" spans="1:5" ht="12.75" customHeight="1" x14ac:dyDescent="0.2">
      <c r="A3124" s="3"/>
      <c r="B3124" s="3" t="s">
        <v>18</v>
      </c>
      <c r="C3124" s="4" t="s">
        <v>19</v>
      </c>
      <c r="D3124" s="2"/>
      <c r="E3124" s="2" t="e">
        <f t="shared" si="0"/>
        <v>#VALUE!</v>
      </c>
    </row>
    <row r="3125" spans="1:5" ht="12.75" customHeight="1" x14ac:dyDescent="0.2">
      <c r="A3125" s="1" t="str">
        <f>HYPERLINK("javascript:void(0)","nyújtózás")</f>
        <v>nyújtózás</v>
      </c>
      <c r="B3125" s="1"/>
      <c r="C3125" s="1"/>
      <c r="D3125" s="2"/>
      <c r="E3125" s="2" t="e">
        <f t="shared" si="0"/>
        <v>#VALUE!</v>
      </c>
    </row>
    <row r="3126" spans="1:5" ht="12.75" customHeight="1" x14ac:dyDescent="0.2">
      <c r="A3126" s="3"/>
      <c r="B3126" s="3" t="s">
        <v>0</v>
      </c>
      <c r="C3126" s="3" t="s">
        <v>21</v>
      </c>
      <c r="D3126" s="2"/>
      <c r="E3126" s="2" t="e">
        <f t="shared" si="0"/>
        <v>#VALUE!</v>
      </c>
    </row>
    <row r="3127" spans="1:5" ht="12.75" customHeight="1" x14ac:dyDescent="0.2">
      <c r="A3127" s="3"/>
      <c r="B3127" s="3" t="s">
        <v>2</v>
      </c>
      <c r="C3127" s="3" t="s">
        <v>458</v>
      </c>
      <c r="D3127" s="2"/>
      <c r="E3127" s="2" t="e">
        <f t="shared" si="0"/>
        <v>#VALUE!</v>
      </c>
    </row>
    <row r="3128" spans="1:5" ht="12.75" customHeight="1" x14ac:dyDescent="0.2">
      <c r="A3128" s="3"/>
      <c r="B3128" s="3" t="s">
        <v>9</v>
      </c>
      <c r="C3128" s="3" t="s">
        <v>22</v>
      </c>
      <c r="D3128" s="2"/>
      <c r="E3128" s="2" t="e">
        <f t="shared" si="0"/>
        <v>#VALUE!</v>
      </c>
    </row>
    <row r="3129" spans="1:5" ht="12.75" customHeight="1" x14ac:dyDescent="0.2">
      <c r="A3129" s="3"/>
      <c r="B3129" s="3" t="s">
        <v>11</v>
      </c>
      <c r="C3129" s="3" t="s">
        <v>1021</v>
      </c>
      <c r="D3129" s="2"/>
      <c r="E3129" s="2" t="e">
        <f t="shared" si="0"/>
        <v>#VALUE!</v>
      </c>
    </row>
    <row r="3130" spans="1:5" ht="12.75" customHeight="1" x14ac:dyDescent="0.2">
      <c r="A3130" s="3"/>
      <c r="B3130" s="3" t="s">
        <v>18</v>
      </c>
      <c r="C3130" s="4" t="s">
        <v>19</v>
      </c>
      <c r="D3130" s="2"/>
      <c r="E3130" s="2" t="e">
        <f t="shared" si="0"/>
        <v>#VALUE!</v>
      </c>
    </row>
    <row r="3131" spans="1:5" ht="12.75" customHeight="1" x14ac:dyDescent="0.2">
      <c r="A3131" s="1" t="str">
        <f>HYPERLINK("javascript:void(0)","négyél")</f>
        <v>négyél</v>
      </c>
      <c r="B3131" s="1"/>
      <c r="C3131" s="1"/>
      <c r="D3131" s="2"/>
      <c r="E3131" s="2" t="e">
        <f t="shared" si="0"/>
        <v>#VALUE!</v>
      </c>
    </row>
    <row r="3132" spans="1:5" ht="12.75" customHeight="1" x14ac:dyDescent="0.2">
      <c r="A3132" s="3"/>
      <c r="B3132" s="3" t="s">
        <v>0</v>
      </c>
      <c r="C3132" s="3" t="s">
        <v>21</v>
      </c>
      <c r="D3132" s="2"/>
      <c r="E3132" s="2" t="e">
        <f t="shared" si="0"/>
        <v>#VALUE!</v>
      </c>
    </row>
    <row r="3133" spans="1:5" ht="12.75" customHeight="1" x14ac:dyDescent="0.2">
      <c r="A3133" s="3"/>
      <c r="B3133" s="3" t="s">
        <v>2</v>
      </c>
      <c r="C3133" s="3" t="s">
        <v>458</v>
      </c>
      <c r="D3133" s="2"/>
      <c r="E3133" s="2" t="e">
        <f t="shared" si="0"/>
        <v>#VALUE!</v>
      </c>
    </row>
    <row r="3134" spans="1:5" ht="12.75" customHeight="1" x14ac:dyDescent="0.2">
      <c r="A3134" s="3"/>
      <c r="B3134" s="3" t="s">
        <v>9</v>
      </c>
      <c r="C3134" s="3" t="s">
        <v>137</v>
      </c>
      <c r="D3134" s="2"/>
      <c r="E3134" s="2" t="e">
        <f t="shared" si="0"/>
        <v>#VALUE!</v>
      </c>
    </row>
    <row r="3135" spans="1:5" ht="12.75" customHeight="1" x14ac:dyDescent="0.2">
      <c r="A3135" s="3"/>
      <c r="B3135" s="3" t="s">
        <v>11</v>
      </c>
      <c r="C3135" s="3" t="s">
        <v>976</v>
      </c>
      <c r="D3135" s="2"/>
      <c r="E3135" s="2" t="e">
        <f t="shared" si="0"/>
        <v>#VALUE!</v>
      </c>
    </row>
    <row r="3136" spans="1:5" ht="12.75" customHeight="1" x14ac:dyDescent="0.2">
      <c r="A3136" s="3"/>
      <c r="B3136" s="3" t="s">
        <v>18</v>
      </c>
      <c r="C3136" s="4" t="s">
        <v>19</v>
      </c>
      <c r="D3136" s="2"/>
      <c r="E3136" s="2" t="e">
        <f t="shared" si="0"/>
        <v>#VALUE!</v>
      </c>
    </row>
    <row r="3137" spans="1:5" ht="12.75" customHeight="1" x14ac:dyDescent="0.2">
      <c r="A3137" s="1" t="str">
        <f>HYPERLINK("javascript:void(0)","névtelenség")</f>
        <v>névtelenség</v>
      </c>
      <c r="B3137" s="1"/>
      <c r="C3137" s="1"/>
      <c r="D3137" s="2"/>
      <c r="E3137" s="2" t="e">
        <f t="shared" si="0"/>
        <v>#VALUE!</v>
      </c>
    </row>
    <row r="3138" spans="1:5" ht="12.75" customHeight="1" x14ac:dyDescent="0.2">
      <c r="A3138" s="3"/>
      <c r="B3138" s="3" t="s">
        <v>0</v>
      </c>
      <c r="C3138" s="3" t="s">
        <v>21</v>
      </c>
      <c r="D3138" s="2"/>
      <c r="E3138" s="2" t="e">
        <f t="shared" si="0"/>
        <v>#VALUE!</v>
      </c>
    </row>
    <row r="3139" spans="1:5" ht="12.75" customHeight="1" x14ac:dyDescent="0.2">
      <c r="A3139" s="3"/>
      <c r="B3139" s="3" t="s">
        <v>2</v>
      </c>
      <c r="C3139" s="3" t="s">
        <v>458</v>
      </c>
      <c r="D3139" s="2"/>
      <c r="E3139" s="2" t="e">
        <f t="shared" si="0"/>
        <v>#VALUE!</v>
      </c>
    </row>
    <row r="3140" spans="1:5" ht="12.75" customHeight="1" x14ac:dyDescent="0.2">
      <c r="A3140" s="3"/>
      <c r="B3140" s="3" t="s">
        <v>9</v>
      </c>
      <c r="C3140" s="3" t="s">
        <v>22</v>
      </c>
      <c r="D3140" s="2"/>
      <c r="E3140" s="2" t="e">
        <f t="shared" si="0"/>
        <v>#VALUE!</v>
      </c>
    </row>
    <row r="3141" spans="1:5" ht="12.75" customHeight="1" x14ac:dyDescent="0.2">
      <c r="A3141" s="3"/>
      <c r="B3141" s="3" t="s">
        <v>11</v>
      </c>
      <c r="C3141" s="3" t="s">
        <v>162</v>
      </c>
      <c r="D3141" s="2"/>
      <c r="E3141" s="2" t="e">
        <f t="shared" si="0"/>
        <v>#VALUE!</v>
      </c>
    </row>
    <row r="3142" spans="1:5" ht="12.75" customHeight="1" x14ac:dyDescent="0.2">
      <c r="A3142" s="3"/>
      <c r="B3142" s="3" t="s">
        <v>18</v>
      </c>
      <c r="C3142" s="4" t="s">
        <v>19</v>
      </c>
      <c r="D3142" s="2"/>
      <c r="E3142" s="2" t="e">
        <f t="shared" si="0"/>
        <v>#VALUE!</v>
      </c>
    </row>
    <row r="3143" spans="1:5" ht="12.75" customHeight="1" x14ac:dyDescent="0.2">
      <c r="A3143" s="1" t="str">
        <f>HYPERLINK("javascript:void(0)","obszidiánpikkely")</f>
        <v>obszidiánpikkely</v>
      </c>
      <c r="B3143" s="1"/>
      <c r="C3143" s="1"/>
      <c r="D3143" s="2"/>
      <c r="E3143" s="2" t="e">
        <f t="shared" si="0"/>
        <v>#VALUE!</v>
      </c>
    </row>
    <row r="3144" spans="1:5" ht="12.75" customHeight="1" x14ac:dyDescent="0.2">
      <c r="A3144" s="3"/>
      <c r="B3144" s="3" t="s">
        <v>0</v>
      </c>
      <c r="C3144" s="3" t="s">
        <v>21</v>
      </c>
      <c r="D3144" s="2"/>
      <c r="E3144" s="2" t="e">
        <f t="shared" si="0"/>
        <v>#VALUE!</v>
      </c>
    </row>
    <row r="3145" spans="1:5" ht="12.75" customHeight="1" x14ac:dyDescent="0.2">
      <c r="A3145" s="3"/>
      <c r="B3145" s="3" t="s">
        <v>2</v>
      </c>
      <c r="C3145" s="3" t="s">
        <v>458</v>
      </c>
      <c r="D3145" s="2"/>
      <c r="E3145" s="2" t="e">
        <f t="shared" si="0"/>
        <v>#VALUE!</v>
      </c>
    </row>
    <row r="3146" spans="1:5" ht="12.75" customHeight="1" x14ac:dyDescent="0.2">
      <c r="A3146" s="3"/>
      <c r="B3146" s="3" t="s">
        <v>9</v>
      </c>
      <c r="C3146" s="3" t="s">
        <v>22</v>
      </c>
      <c r="D3146" s="2"/>
      <c r="E3146" s="2" t="e">
        <f t="shared" si="0"/>
        <v>#VALUE!</v>
      </c>
    </row>
    <row r="3147" spans="1:5" ht="12.75" customHeight="1" x14ac:dyDescent="0.2">
      <c r="A3147" s="3"/>
      <c r="B3147" s="3" t="s">
        <v>11</v>
      </c>
      <c r="C3147" s="3" t="s">
        <v>23</v>
      </c>
      <c r="D3147" s="2"/>
      <c r="E3147" s="2" t="e">
        <f t="shared" si="0"/>
        <v>#VALUE!</v>
      </c>
    </row>
    <row r="3148" spans="1:5" ht="12.75" customHeight="1" x14ac:dyDescent="0.2">
      <c r="A3148" s="3"/>
      <c r="B3148" s="3" t="s">
        <v>16</v>
      </c>
      <c r="C3148" s="3" t="s">
        <v>574</v>
      </c>
      <c r="D3148" s="2"/>
      <c r="E3148" s="2" t="e">
        <f t="shared" si="0"/>
        <v>#VALUE!</v>
      </c>
    </row>
    <row r="3149" spans="1:5" ht="12.75" customHeight="1" x14ac:dyDescent="0.2">
      <c r="A3149" s="3"/>
      <c r="B3149" s="3" t="s">
        <v>18</v>
      </c>
      <c r="C3149" s="4" t="s">
        <v>19</v>
      </c>
      <c r="D3149" s="2"/>
      <c r="E3149" s="2" t="e">
        <f t="shared" si="0"/>
        <v>#VALUE!</v>
      </c>
    </row>
    <row r="3150" spans="1:5" ht="12.75" customHeight="1" x14ac:dyDescent="0.2">
      <c r="A3150" s="1" t="str">
        <f>HYPERLINK("javascript:void(0)","okuláré")</f>
        <v>okuláré</v>
      </c>
      <c r="B3150" s="1"/>
      <c r="C3150" s="1"/>
      <c r="D3150" s="2"/>
      <c r="E3150" s="2" t="e">
        <f t="shared" si="0"/>
        <v>#VALUE!</v>
      </c>
    </row>
    <row r="3151" spans="1:5" ht="12.75" customHeight="1" x14ac:dyDescent="0.2">
      <c r="A3151" s="3"/>
      <c r="B3151" s="3" t="s">
        <v>0</v>
      </c>
      <c r="C3151" s="3" t="s">
        <v>21</v>
      </c>
      <c r="D3151" s="2"/>
      <c r="E3151" s="2" t="e">
        <f t="shared" si="0"/>
        <v>#VALUE!</v>
      </c>
    </row>
    <row r="3152" spans="1:5" ht="12.75" customHeight="1" x14ac:dyDescent="0.2">
      <c r="A3152" s="3"/>
      <c r="B3152" s="3" t="s">
        <v>2</v>
      </c>
      <c r="C3152" s="3" t="s">
        <v>458</v>
      </c>
      <c r="D3152" s="2"/>
      <c r="E3152" s="2" t="e">
        <f t="shared" si="0"/>
        <v>#VALUE!</v>
      </c>
    </row>
    <row r="3153" spans="1:5" ht="12.75" customHeight="1" x14ac:dyDescent="0.2">
      <c r="A3153" s="3"/>
      <c r="B3153" s="3" t="s">
        <v>9</v>
      </c>
      <c r="C3153" s="3" t="s">
        <v>27</v>
      </c>
      <c r="D3153" s="2"/>
      <c r="E3153" s="2" t="e">
        <f t="shared" si="0"/>
        <v>#VALUE!</v>
      </c>
    </row>
    <row r="3154" spans="1:5" ht="12.75" customHeight="1" x14ac:dyDescent="0.2">
      <c r="A3154" s="3"/>
      <c r="B3154" s="3" t="s">
        <v>11</v>
      </c>
      <c r="C3154" s="3" t="s">
        <v>520</v>
      </c>
      <c r="D3154" s="2"/>
      <c r="E3154" s="2" t="e">
        <f t="shared" si="0"/>
        <v>#VALUE!</v>
      </c>
    </row>
    <row r="3155" spans="1:5" ht="12.75" customHeight="1" x14ac:dyDescent="0.2">
      <c r="A3155" s="3"/>
      <c r="B3155" s="3" t="s">
        <v>18</v>
      </c>
      <c r="C3155" s="4" t="s">
        <v>19</v>
      </c>
      <c r="D3155" s="2"/>
      <c r="E3155" s="2" t="e">
        <f t="shared" si="0"/>
        <v>#VALUE!</v>
      </c>
    </row>
    <row r="3156" spans="1:5" ht="12.75" customHeight="1" x14ac:dyDescent="0.2">
      <c r="A3156" s="1" t="str">
        <f>HYPERLINK("javascript:void(0)","olvadás")</f>
        <v>olvadás</v>
      </c>
      <c r="B3156" s="1"/>
      <c r="C3156" s="1"/>
      <c r="D3156" s="2"/>
      <c r="E3156" s="2" t="e">
        <f t="shared" si="0"/>
        <v>#VALUE!</v>
      </c>
    </row>
    <row r="3157" spans="1:5" ht="12.75" customHeight="1" x14ac:dyDescent="0.2">
      <c r="A3157" s="3"/>
      <c r="B3157" s="3" t="s">
        <v>0</v>
      </c>
      <c r="C3157" s="3" t="s">
        <v>21</v>
      </c>
      <c r="D3157" s="2"/>
      <c r="E3157" s="2" t="e">
        <f t="shared" si="0"/>
        <v>#VALUE!</v>
      </c>
    </row>
    <row r="3158" spans="1:5" ht="12.75" customHeight="1" x14ac:dyDescent="0.2">
      <c r="A3158" s="3"/>
      <c r="B3158" s="3" t="s">
        <v>2</v>
      </c>
      <c r="C3158" s="3" t="s">
        <v>458</v>
      </c>
      <c r="D3158" s="2"/>
      <c r="E3158" s="2" t="e">
        <f t="shared" si="0"/>
        <v>#VALUE!</v>
      </c>
    </row>
    <row r="3159" spans="1:5" ht="12.75" customHeight="1" x14ac:dyDescent="0.2">
      <c r="A3159" s="3"/>
      <c r="B3159" s="3" t="s">
        <v>9</v>
      </c>
      <c r="C3159" s="3" t="s">
        <v>22</v>
      </c>
      <c r="D3159" s="2"/>
      <c r="E3159" s="2" t="e">
        <f t="shared" si="0"/>
        <v>#VALUE!</v>
      </c>
    </row>
    <row r="3160" spans="1:5" ht="12.75" customHeight="1" x14ac:dyDescent="0.2">
      <c r="A3160" s="3"/>
      <c r="B3160" s="3" t="s">
        <v>11</v>
      </c>
      <c r="C3160" s="3" t="s">
        <v>529</v>
      </c>
      <c r="D3160" s="2"/>
      <c r="E3160" s="2" t="e">
        <f t="shared" si="0"/>
        <v>#VALUE!</v>
      </c>
    </row>
    <row r="3161" spans="1:5" ht="12.75" customHeight="1" x14ac:dyDescent="0.2">
      <c r="A3161" s="3"/>
      <c r="B3161" s="3" t="s">
        <v>18</v>
      </c>
      <c r="C3161" s="4" t="s">
        <v>19</v>
      </c>
      <c r="D3161" s="2"/>
      <c r="E3161" s="2" t="e">
        <f t="shared" si="0"/>
        <v>#VALUE!</v>
      </c>
    </row>
    <row r="3162" spans="1:5" ht="12.75" customHeight="1" x14ac:dyDescent="0.2">
      <c r="A3162" s="1" t="str">
        <f>HYPERLINK("javascript:void(0)","opál")</f>
        <v>opál</v>
      </c>
      <c r="B3162" s="1"/>
      <c r="C3162" s="1"/>
      <c r="D3162" s="2"/>
      <c r="E3162" s="2" t="e">
        <f t="shared" si="0"/>
        <v>#VALUE!</v>
      </c>
    </row>
    <row r="3163" spans="1:5" ht="12.75" customHeight="1" x14ac:dyDescent="0.2">
      <c r="A3163" s="3"/>
      <c r="B3163" s="3" t="s">
        <v>0</v>
      </c>
      <c r="C3163" s="3" t="s">
        <v>21</v>
      </c>
      <c r="D3163" s="2"/>
      <c r="E3163" s="2" t="e">
        <f t="shared" si="0"/>
        <v>#VALUE!</v>
      </c>
    </row>
    <row r="3164" spans="1:5" ht="12.75" customHeight="1" x14ac:dyDescent="0.2">
      <c r="A3164" s="3"/>
      <c r="B3164" s="3" t="s">
        <v>2</v>
      </c>
      <c r="C3164" s="3" t="s">
        <v>564</v>
      </c>
      <c r="D3164" s="2"/>
      <c r="E3164" s="2" t="e">
        <f t="shared" si="0"/>
        <v>#VALUE!</v>
      </c>
    </row>
    <row r="3165" spans="1:5" ht="12.75" customHeight="1" x14ac:dyDescent="0.2">
      <c r="A3165" s="3"/>
      <c r="B3165" s="3" t="s">
        <v>9</v>
      </c>
      <c r="C3165" s="3" t="s">
        <v>513</v>
      </c>
      <c r="D3165" s="2"/>
      <c r="E3165" s="2" t="e">
        <f t="shared" si="0"/>
        <v>#VALUE!</v>
      </c>
    </row>
    <row r="3166" spans="1:5" ht="12.75" customHeight="1" x14ac:dyDescent="0.2">
      <c r="A3166" s="3"/>
      <c r="B3166" s="3" t="s">
        <v>11</v>
      </c>
      <c r="C3166" s="3" t="s">
        <v>567</v>
      </c>
      <c r="D3166" s="2"/>
      <c r="E3166" s="2" t="e">
        <f t="shared" si="0"/>
        <v>#VALUE!</v>
      </c>
    </row>
    <row r="3167" spans="1:5" ht="12.75" customHeight="1" x14ac:dyDescent="0.2">
      <c r="A3167" s="3"/>
      <c r="B3167" s="3" t="s">
        <v>18</v>
      </c>
      <c r="C3167" s="4" t="s">
        <v>19</v>
      </c>
      <c r="D3167" s="2"/>
      <c r="E3167" s="2" t="e">
        <f t="shared" si="0"/>
        <v>#VALUE!</v>
      </c>
    </row>
    <row r="3168" spans="1:5" ht="12.75" customHeight="1" x14ac:dyDescent="0.2">
      <c r="A3168" s="1" t="str">
        <f>HYPERLINK("javascript:void(0)","oroszlánbajusz")</f>
        <v>oroszlánbajusz</v>
      </c>
      <c r="B3168" s="1"/>
      <c r="C3168" s="1"/>
      <c r="D3168" s="2"/>
      <c r="E3168" s="2" t="e">
        <f t="shared" si="0"/>
        <v>#VALUE!</v>
      </c>
    </row>
    <row r="3169" spans="1:5" ht="12.75" customHeight="1" x14ac:dyDescent="0.2">
      <c r="A3169" s="3"/>
      <c r="B3169" s="3" t="s">
        <v>0</v>
      </c>
      <c r="C3169" s="3" t="s">
        <v>21</v>
      </c>
      <c r="D3169" s="2"/>
      <c r="E3169" s="2" t="e">
        <f t="shared" si="0"/>
        <v>#VALUE!</v>
      </c>
    </row>
    <row r="3170" spans="1:5" ht="12.75" customHeight="1" x14ac:dyDescent="0.2">
      <c r="A3170" s="3"/>
      <c r="B3170" s="3" t="s">
        <v>2</v>
      </c>
      <c r="C3170" s="3" t="s">
        <v>458</v>
      </c>
      <c r="D3170" s="2"/>
      <c r="E3170" s="2" t="e">
        <f t="shared" si="0"/>
        <v>#VALUE!</v>
      </c>
    </row>
    <row r="3171" spans="1:5" ht="12.75" customHeight="1" x14ac:dyDescent="0.2">
      <c r="A3171" s="3"/>
      <c r="B3171" s="3" t="s">
        <v>9</v>
      </c>
      <c r="C3171" s="3" t="s">
        <v>1361</v>
      </c>
      <c r="D3171" s="2"/>
      <c r="E3171" s="2" t="e">
        <f t="shared" si="0"/>
        <v>#VALUE!</v>
      </c>
    </row>
    <row r="3172" spans="1:5" ht="12.75" customHeight="1" x14ac:dyDescent="0.2">
      <c r="A3172" s="3"/>
      <c r="B3172" s="3" t="s">
        <v>11</v>
      </c>
      <c r="C3172" s="3" t="s">
        <v>849</v>
      </c>
      <c r="D3172" s="2"/>
      <c r="E3172" s="2" t="e">
        <f t="shared" si="0"/>
        <v>#VALUE!</v>
      </c>
    </row>
    <row r="3173" spans="1:5" ht="12.75" customHeight="1" x14ac:dyDescent="0.2">
      <c r="A3173" s="3"/>
      <c r="B3173" s="3" t="s">
        <v>18</v>
      </c>
      <c r="C3173" s="4" t="s">
        <v>19</v>
      </c>
      <c r="D3173" s="2"/>
      <c r="E3173" s="2" t="e">
        <f t="shared" si="0"/>
        <v>#VALUE!</v>
      </c>
    </row>
    <row r="3174" spans="1:5" ht="12.75" customHeight="1" x14ac:dyDescent="0.2">
      <c r="A3174" s="1" t="str">
        <f>HYPERLINK("javascript:void(0)","orr")</f>
        <v>orr</v>
      </c>
      <c r="B3174" s="1"/>
      <c r="C3174" s="1"/>
      <c r="D3174" s="2"/>
      <c r="E3174" s="2" t="e">
        <f t="shared" si="0"/>
        <v>#VALUE!</v>
      </c>
    </row>
    <row r="3175" spans="1:5" ht="12.75" customHeight="1" x14ac:dyDescent="0.2">
      <c r="A3175" s="3"/>
      <c r="B3175" s="3" t="s">
        <v>0</v>
      </c>
      <c r="C3175" s="3" t="s">
        <v>21</v>
      </c>
      <c r="D3175" s="2"/>
      <c r="E3175" s="2" t="e">
        <f t="shared" si="0"/>
        <v>#VALUE!</v>
      </c>
    </row>
    <row r="3176" spans="1:5" ht="12.75" customHeight="1" x14ac:dyDescent="0.2">
      <c r="A3176" s="3"/>
      <c r="B3176" s="3" t="s">
        <v>2</v>
      </c>
      <c r="C3176" s="3" t="s">
        <v>458</v>
      </c>
      <c r="D3176" s="2"/>
      <c r="E3176" s="2" t="e">
        <f t="shared" si="0"/>
        <v>#VALUE!</v>
      </c>
    </row>
    <row r="3177" spans="1:5" ht="12.75" customHeight="1" x14ac:dyDescent="0.2">
      <c r="A3177" s="3"/>
      <c r="B3177" s="3" t="s">
        <v>9</v>
      </c>
      <c r="C3177" s="3" t="s">
        <v>53</v>
      </c>
      <c r="D3177" s="2"/>
      <c r="E3177" s="2" t="e">
        <f t="shared" si="0"/>
        <v>#VALUE!</v>
      </c>
    </row>
    <row r="3178" spans="1:5" ht="12.75" customHeight="1" x14ac:dyDescent="0.2">
      <c r="A3178" s="3"/>
      <c r="B3178" s="3" t="s">
        <v>11</v>
      </c>
      <c r="C3178" s="3" t="s">
        <v>380</v>
      </c>
      <c r="D3178" s="2"/>
      <c r="E3178" s="2" t="e">
        <f t="shared" si="0"/>
        <v>#VALUE!</v>
      </c>
    </row>
    <row r="3179" spans="1:5" ht="12.75" customHeight="1" x14ac:dyDescent="0.2">
      <c r="A3179" s="3"/>
      <c r="B3179" s="3" t="s">
        <v>18</v>
      </c>
      <c r="C3179" s="4" t="s">
        <v>19</v>
      </c>
      <c r="D3179" s="2"/>
      <c r="E3179" s="2" t="e">
        <f t="shared" si="0"/>
        <v>#VALUE!</v>
      </c>
    </row>
    <row r="3180" spans="1:5" ht="12.75" customHeight="1" x14ac:dyDescent="0.2">
      <c r="A3180" s="1" t="str">
        <f>HYPERLINK("javascript:void(0)","orrkarika")</f>
        <v>orrkarika</v>
      </c>
      <c r="B3180" s="1"/>
      <c r="C3180" s="1"/>
      <c r="D3180" s="2"/>
      <c r="E3180" s="2" t="e">
        <f t="shared" si="0"/>
        <v>#VALUE!</v>
      </c>
    </row>
    <row r="3181" spans="1:5" ht="12.75" customHeight="1" x14ac:dyDescent="0.2">
      <c r="A3181" s="3"/>
      <c r="B3181" s="3" t="s">
        <v>0</v>
      </c>
      <c r="C3181" s="3" t="s">
        <v>21</v>
      </c>
      <c r="D3181" s="2"/>
      <c r="E3181" s="2" t="e">
        <f t="shared" si="0"/>
        <v>#VALUE!</v>
      </c>
    </row>
    <row r="3182" spans="1:5" ht="12.75" customHeight="1" x14ac:dyDescent="0.2">
      <c r="A3182" s="3"/>
      <c r="B3182" s="3" t="s">
        <v>2</v>
      </c>
      <c r="C3182" s="3" t="s">
        <v>458</v>
      </c>
      <c r="D3182" s="2"/>
      <c r="E3182" s="2" t="e">
        <f t="shared" si="0"/>
        <v>#VALUE!</v>
      </c>
    </row>
    <row r="3183" spans="1:5" ht="12.75" customHeight="1" x14ac:dyDescent="0.2">
      <c r="A3183" s="3"/>
      <c r="B3183" s="3" t="s">
        <v>9</v>
      </c>
      <c r="C3183" s="3" t="s">
        <v>10</v>
      </c>
      <c r="D3183" s="2"/>
      <c r="E3183" s="2" t="e">
        <f t="shared" si="0"/>
        <v>#VALUE!</v>
      </c>
    </row>
    <row r="3184" spans="1:5" ht="12.75" customHeight="1" x14ac:dyDescent="0.2">
      <c r="A3184" s="3"/>
      <c r="B3184" s="3" t="s">
        <v>11</v>
      </c>
      <c r="C3184" s="3" t="s">
        <v>530</v>
      </c>
      <c r="D3184" s="2"/>
      <c r="E3184" s="2" t="e">
        <f t="shared" si="0"/>
        <v>#VALUE!</v>
      </c>
    </row>
    <row r="3185" spans="1:5" ht="12.75" customHeight="1" x14ac:dyDescent="0.2">
      <c r="A3185" s="3"/>
      <c r="B3185" s="3" t="s">
        <v>18</v>
      </c>
      <c r="C3185" s="4" t="s">
        <v>19</v>
      </c>
      <c r="D3185" s="2"/>
      <c r="E3185" s="2" t="e">
        <f t="shared" si="0"/>
        <v>#VALUE!</v>
      </c>
    </row>
    <row r="3186" spans="1:5" ht="12.75" customHeight="1" x14ac:dyDescent="0.2">
      <c r="A3186" s="1" t="str">
        <f>HYPERLINK("javascript:void(0)","orrmányprém")</f>
        <v>orrmányprém</v>
      </c>
      <c r="B3186" s="1"/>
      <c r="C3186" s="1"/>
      <c r="D3186" s="2"/>
      <c r="E3186" s="2" t="e">
        <f t="shared" si="0"/>
        <v>#VALUE!</v>
      </c>
    </row>
    <row r="3187" spans="1:5" ht="12.75" customHeight="1" x14ac:dyDescent="0.2">
      <c r="A3187" s="3"/>
      <c r="B3187" s="3" t="s">
        <v>0</v>
      </c>
      <c r="C3187" s="3" t="s">
        <v>21</v>
      </c>
      <c r="D3187" s="2"/>
      <c r="E3187" s="2" t="e">
        <f t="shared" si="0"/>
        <v>#VALUE!</v>
      </c>
    </row>
    <row r="3188" spans="1:5" ht="12.75" customHeight="1" x14ac:dyDescent="0.2">
      <c r="A3188" s="3"/>
      <c r="B3188" s="3" t="s">
        <v>2</v>
      </c>
      <c r="C3188" s="3" t="s">
        <v>458</v>
      </c>
      <c r="D3188" s="2"/>
      <c r="E3188" s="2" t="e">
        <f t="shared" si="0"/>
        <v>#VALUE!</v>
      </c>
    </row>
    <row r="3189" spans="1:5" ht="12.75" customHeight="1" x14ac:dyDescent="0.2">
      <c r="A3189" s="3"/>
      <c r="B3189" s="3" t="s">
        <v>9</v>
      </c>
      <c r="C3189" s="3" t="s">
        <v>84</v>
      </c>
      <c r="D3189" s="2"/>
      <c r="E3189" s="2" t="e">
        <f t="shared" si="0"/>
        <v>#VALUE!</v>
      </c>
    </row>
    <row r="3190" spans="1:5" ht="12.75" customHeight="1" x14ac:dyDescent="0.2">
      <c r="A3190" s="3"/>
      <c r="B3190" s="3" t="s">
        <v>11</v>
      </c>
      <c r="C3190" s="3" t="s">
        <v>650</v>
      </c>
      <c r="D3190" s="2"/>
      <c r="E3190" s="2" t="e">
        <f t="shared" si="0"/>
        <v>#VALUE!</v>
      </c>
    </row>
    <row r="3191" spans="1:5" ht="12.75" customHeight="1" x14ac:dyDescent="0.2">
      <c r="A3191" s="3"/>
      <c r="B3191" s="3" t="s">
        <v>18</v>
      </c>
      <c r="C3191" s="4" t="s">
        <v>19</v>
      </c>
      <c r="D3191" s="2"/>
      <c r="E3191" s="2" t="e">
        <f t="shared" si="0"/>
        <v>#VALUE!</v>
      </c>
    </row>
    <row r="3192" spans="1:5" ht="12.75" customHeight="1" x14ac:dyDescent="0.2">
      <c r="A3192" s="1" t="str">
        <f>HYPERLINK("javascript:void(0)","orrszarv")</f>
        <v>orrszarv</v>
      </c>
      <c r="B3192" s="1"/>
      <c r="C3192" s="1"/>
      <c r="D3192" s="2"/>
      <c r="E3192" s="2" t="e">
        <f t="shared" si="0"/>
        <v>#VALUE!</v>
      </c>
    </row>
    <row r="3193" spans="1:5" ht="12.75" customHeight="1" x14ac:dyDescent="0.2">
      <c r="A3193" s="3"/>
      <c r="B3193" s="3" t="s">
        <v>0</v>
      </c>
      <c r="C3193" s="3" t="s">
        <v>21</v>
      </c>
      <c r="D3193" s="2"/>
      <c r="E3193" s="2" t="e">
        <f t="shared" si="0"/>
        <v>#VALUE!</v>
      </c>
    </row>
    <row r="3194" spans="1:5" ht="12.75" customHeight="1" x14ac:dyDescent="0.2">
      <c r="A3194" s="3"/>
      <c r="B3194" s="3" t="s">
        <v>2</v>
      </c>
      <c r="C3194" s="3" t="s">
        <v>458</v>
      </c>
      <c r="D3194" s="2"/>
      <c r="E3194" s="2" t="e">
        <f t="shared" si="0"/>
        <v>#VALUE!</v>
      </c>
    </row>
    <row r="3195" spans="1:5" ht="12.75" customHeight="1" x14ac:dyDescent="0.2">
      <c r="A3195" s="3"/>
      <c r="B3195" s="3" t="s">
        <v>9</v>
      </c>
      <c r="C3195" s="3" t="s">
        <v>124</v>
      </c>
      <c r="D3195" s="2"/>
      <c r="E3195" s="2" t="e">
        <f t="shared" si="0"/>
        <v>#VALUE!</v>
      </c>
    </row>
    <row r="3196" spans="1:5" ht="12.75" customHeight="1" x14ac:dyDescent="0.2">
      <c r="A3196" s="3"/>
      <c r="B3196" s="3" t="s">
        <v>11</v>
      </c>
      <c r="C3196" s="3" t="s">
        <v>767</v>
      </c>
      <c r="D3196" s="2"/>
      <c r="E3196" s="2" t="e">
        <f t="shared" si="0"/>
        <v>#VALUE!</v>
      </c>
    </row>
    <row r="3197" spans="1:5" ht="12.75" customHeight="1" x14ac:dyDescent="0.2">
      <c r="A3197" s="3"/>
      <c r="B3197" s="3" t="s">
        <v>18</v>
      </c>
      <c r="C3197" s="4" t="s">
        <v>19</v>
      </c>
      <c r="D3197" s="2"/>
      <c r="E3197" s="2" t="e">
        <f t="shared" si="0"/>
        <v>#VALUE!</v>
      </c>
    </row>
    <row r="3198" spans="1:5" ht="12.75" customHeight="1" x14ac:dyDescent="0.2">
      <c r="A3198" s="1" t="str">
        <f>HYPERLINK("javascript:void(0)","ostornyelv")</f>
        <v>ostornyelv</v>
      </c>
      <c r="B3198" s="1"/>
      <c r="C3198" s="1"/>
      <c r="D3198" s="2"/>
      <c r="E3198" s="2" t="e">
        <f t="shared" si="0"/>
        <v>#VALUE!</v>
      </c>
    </row>
    <row r="3199" spans="1:5" ht="12.75" customHeight="1" x14ac:dyDescent="0.2">
      <c r="A3199" s="3"/>
      <c r="B3199" s="3" t="s">
        <v>0</v>
      </c>
      <c r="C3199" s="3" t="s">
        <v>21</v>
      </c>
      <c r="D3199" s="2"/>
      <c r="E3199" s="2" t="e">
        <f t="shared" si="0"/>
        <v>#VALUE!</v>
      </c>
    </row>
    <row r="3200" spans="1:5" ht="12.75" customHeight="1" x14ac:dyDescent="0.2">
      <c r="A3200" s="3"/>
      <c r="B3200" s="3" t="s">
        <v>2</v>
      </c>
      <c r="C3200" s="3" t="s">
        <v>458</v>
      </c>
      <c r="D3200" s="2"/>
      <c r="E3200" s="2" t="e">
        <f t="shared" si="0"/>
        <v>#VALUE!</v>
      </c>
    </row>
    <row r="3201" spans="1:5" ht="12.75" customHeight="1" x14ac:dyDescent="0.2">
      <c r="A3201" s="3"/>
      <c r="B3201" s="3" t="s">
        <v>9</v>
      </c>
      <c r="C3201" s="3" t="s">
        <v>10</v>
      </c>
      <c r="D3201" s="2"/>
      <c r="E3201" s="2" t="e">
        <f t="shared" si="0"/>
        <v>#VALUE!</v>
      </c>
    </row>
    <row r="3202" spans="1:5" ht="12.75" customHeight="1" x14ac:dyDescent="0.2">
      <c r="A3202" s="3"/>
      <c r="B3202" s="3" t="s">
        <v>11</v>
      </c>
      <c r="C3202" s="3" t="s">
        <v>924</v>
      </c>
      <c r="D3202" s="2"/>
      <c r="E3202" s="2" t="e">
        <f t="shared" si="0"/>
        <v>#VALUE!</v>
      </c>
    </row>
    <row r="3203" spans="1:5" ht="12.75" customHeight="1" x14ac:dyDescent="0.2">
      <c r="A3203" s="3"/>
      <c r="B3203" s="3" t="s">
        <v>18</v>
      </c>
      <c r="C3203" s="4" t="s">
        <v>19</v>
      </c>
      <c r="D3203" s="2"/>
      <c r="E3203" s="2" t="e">
        <f t="shared" si="0"/>
        <v>#VALUE!</v>
      </c>
    </row>
    <row r="3204" spans="1:5" ht="12.75" customHeight="1" x14ac:dyDescent="0.2">
      <c r="A3204" s="1" t="str">
        <f>HYPERLINK("javascript:void(0)","ostromgép darab")</f>
        <v>ostromgép darab</v>
      </c>
      <c r="B3204" s="1"/>
      <c r="C3204" s="1"/>
      <c r="D3204" s="2"/>
      <c r="E3204" s="2" t="e">
        <f t="shared" si="0"/>
        <v>#VALUE!</v>
      </c>
    </row>
    <row r="3205" spans="1:5" ht="12.75" customHeight="1" x14ac:dyDescent="0.2">
      <c r="A3205" s="3"/>
      <c r="B3205" s="3" t="s">
        <v>0</v>
      </c>
      <c r="C3205" s="3" t="s">
        <v>21</v>
      </c>
      <c r="D3205" s="2"/>
      <c r="E3205" s="2" t="e">
        <f t="shared" si="0"/>
        <v>#VALUE!</v>
      </c>
    </row>
    <row r="3206" spans="1:5" ht="12.75" customHeight="1" x14ac:dyDescent="0.2">
      <c r="A3206" s="3"/>
      <c r="B3206" s="3" t="s">
        <v>2</v>
      </c>
      <c r="C3206" s="3" t="s">
        <v>387</v>
      </c>
      <c r="D3206" s="2"/>
      <c r="E3206" s="2" t="e">
        <f t="shared" si="0"/>
        <v>#VALUE!</v>
      </c>
    </row>
    <row r="3207" spans="1:5" ht="12.75" customHeight="1" x14ac:dyDescent="0.2">
      <c r="A3207" s="3"/>
      <c r="B3207" s="3" t="s">
        <v>9</v>
      </c>
      <c r="C3207" s="3" t="s">
        <v>147</v>
      </c>
      <c r="D3207" s="2"/>
      <c r="E3207" s="2" t="e">
        <f t="shared" si="0"/>
        <v>#VALUE!</v>
      </c>
    </row>
    <row r="3208" spans="1:5" ht="12.75" customHeight="1" x14ac:dyDescent="0.2">
      <c r="A3208" s="3"/>
      <c r="B3208" s="3" t="s">
        <v>11</v>
      </c>
      <c r="C3208" s="3" t="s">
        <v>23</v>
      </c>
      <c r="D3208" s="2"/>
      <c r="E3208" s="2" t="e">
        <f t="shared" si="0"/>
        <v>#VALUE!</v>
      </c>
    </row>
    <row r="3209" spans="1:5" ht="12.75" customHeight="1" x14ac:dyDescent="0.2">
      <c r="A3209" s="3"/>
      <c r="B3209" s="3" t="s">
        <v>16</v>
      </c>
      <c r="C3209" s="3" t="s">
        <v>388</v>
      </c>
      <c r="D3209" s="2"/>
      <c r="E3209" s="2" t="e">
        <f t="shared" si="0"/>
        <v>#VALUE!</v>
      </c>
    </row>
    <row r="3210" spans="1:5" ht="12.75" customHeight="1" x14ac:dyDescent="0.2">
      <c r="A3210" s="3"/>
      <c r="B3210" s="3" t="s">
        <v>18</v>
      </c>
      <c r="C3210" s="4" t="s">
        <v>19</v>
      </c>
      <c r="D3210" s="2"/>
      <c r="E3210" s="2" t="e">
        <f t="shared" si="0"/>
        <v>#VALUE!</v>
      </c>
    </row>
    <row r="3211" spans="1:5" ht="12.75" customHeight="1" x14ac:dyDescent="0.2">
      <c r="A3211" s="1" t="str">
        <f>HYPERLINK("javascript:void(0)","oszlopszilánk")</f>
        <v>oszlopszilánk</v>
      </c>
      <c r="B3211" s="1"/>
      <c r="C3211" s="1"/>
      <c r="D3211" s="2"/>
      <c r="E3211" s="2" t="e">
        <f t="shared" si="0"/>
        <v>#VALUE!</v>
      </c>
    </row>
    <row r="3212" spans="1:5" ht="12.75" customHeight="1" x14ac:dyDescent="0.2">
      <c r="A3212" s="3"/>
      <c r="B3212" s="3" t="s">
        <v>0</v>
      </c>
      <c r="C3212" s="3" t="s">
        <v>21</v>
      </c>
      <c r="D3212" s="2"/>
      <c r="E3212" s="2" t="e">
        <f t="shared" si="0"/>
        <v>#VALUE!</v>
      </c>
    </row>
    <row r="3213" spans="1:5" ht="12.75" customHeight="1" x14ac:dyDescent="0.2">
      <c r="A3213" s="3"/>
      <c r="B3213" s="3" t="s">
        <v>2</v>
      </c>
      <c r="C3213" s="3" t="s">
        <v>458</v>
      </c>
      <c r="D3213" s="2"/>
      <c r="E3213" s="2" t="e">
        <f t="shared" si="0"/>
        <v>#VALUE!</v>
      </c>
    </row>
    <row r="3214" spans="1:5" ht="12.75" customHeight="1" x14ac:dyDescent="0.2">
      <c r="A3214" s="3"/>
      <c r="B3214" s="3" t="s">
        <v>9</v>
      </c>
      <c r="C3214" s="3" t="s">
        <v>22</v>
      </c>
      <c r="D3214" s="2"/>
      <c r="E3214" s="2" t="e">
        <f t="shared" si="0"/>
        <v>#VALUE!</v>
      </c>
    </row>
    <row r="3215" spans="1:5" ht="12.75" customHeight="1" x14ac:dyDescent="0.2">
      <c r="A3215" s="3"/>
      <c r="B3215" s="3" t="s">
        <v>11</v>
      </c>
      <c r="C3215" s="3" t="s">
        <v>162</v>
      </c>
      <c r="D3215" s="2"/>
      <c r="E3215" s="2" t="e">
        <f t="shared" si="0"/>
        <v>#VALUE!</v>
      </c>
    </row>
    <row r="3216" spans="1:5" ht="12.75" customHeight="1" x14ac:dyDescent="0.2">
      <c r="A3216" s="3"/>
      <c r="B3216" s="3" t="s">
        <v>18</v>
      </c>
      <c r="C3216" s="4" t="s">
        <v>19</v>
      </c>
      <c r="D3216" s="2"/>
      <c r="E3216" s="2" t="e">
        <f t="shared" si="0"/>
        <v>#VALUE!</v>
      </c>
    </row>
    <row r="3217" spans="1:5" ht="12.75" customHeight="1" x14ac:dyDescent="0.2">
      <c r="A3217" s="1" t="str">
        <f>HYPERLINK("javascript:void(0)","pajszer")</f>
        <v>pajszer</v>
      </c>
      <c r="B3217" s="1"/>
      <c r="C3217" s="1"/>
      <c r="D3217" s="2"/>
      <c r="E3217" s="2" t="e">
        <f t="shared" si="0"/>
        <v>#VALUE!</v>
      </c>
    </row>
    <row r="3218" spans="1:5" ht="12.75" customHeight="1" x14ac:dyDescent="0.2">
      <c r="A3218" s="3"/>
      <c r="B3218" s="3" t="s">
        <v>0</v>
      </c>
      <c r="C3218" s="3" t="s">
        <v>21</v>
      </c>
      <c r="D3218" s="2"/>
      <c r="E3218" s="2" t="e">
        <f t="shared" si="0"/>
        <v>#VALUE!</v>
      </c>
    </row>
    <row r="3219" spans="1:5" ht="12.75" customHeight="1" x14ac:dyDescent="0.2">
      <c r="A3219" s="3"/>
      <c r="B3219" s="3" t="s">
        <v>2</v>
      </c>
      <c r="C3219" s="3" t="s">
        <v>440</v>
      </c>
      <c r="D3219" s="2"/>
      <c r="E3219" s="2" t="e">
        <f t="shared" si="0"/>
        <v>#VALUE!</v>
      </c>
    </row>
    <row r="3220" spans="1:5" ht="12.75" customHeight="1" x14ac:dyDescent="0.2">
      <c r="A3220" s="3"/>
      <c r="B3220" s="3" t="s">
        <v>9</v>
      </c>
      <c r="C3220" s="3" t="s">
        <v>124</v>
      </c>
      <c r="D3220" s="2"/>
      <c r="E3220" s="2" t="e">
        <f t="shared" si="0"/>
        <v>#VALUE!</v>
      </c>
    </row>
    <row r="3221" spans="1:5" ht="12.75" customHeight="1" x14ac:dyDescent="0.2">
      <c r="A3221" s="3"/>
      <c r="B3221" s="3" t="s">
        <v>11</v>
      </c>
      <c r="C3221" s="3" t="s">
        <v>849</v>
      </c>
      <c r="D3221" s="2"/>
      <c r="E3221" s="2" t="e">
        <f t="shared" si="0"/>
        <v>#VALUE!</v>
      </c>
    </row>
    <row r="3222" spans="1:5" ht="12.75" customHeight="1" x14ac:dyDescent="0.2">
      <c r="A3222" s="3"/>
      <c r="B3222" s="3" t="s">
        <v>16</v>
      </c>
      <c r="C3222" s="3" t="s">
        <v>1480</v>
      </c>
      <c r="D3222" s="2"/>
      <c r="E3222" s="2" t="e">
        <f t="shared" si="0"/>
        <v>#VALUE!</v>
      </c>
    </row>
    <row r="3223" spans="1:5" ht="12.75" customHeight="1" x14ac:dyDescent="0.2">
      <c r="A3223" s="3"/>
      <c r="B3223" s="3" t="s">
        <v>18</v>
      </c>
      <c r="C3223" s="4" t="s">
        <v>19</v>
      </c>
      <c r="D3223" s="2"/>
      <c r="E3223" s="2" t="e">
        <f t="shared" si="0"/>
        <v>#VALUE!</v>
      </c>
    </row>
    <row r="3224" spans="1:5" ht="12.75" customHeight="1" x14ac:dyDescent="0.2">
      <c r="A3224" s="1" t="str">
        <f>HYPERLINK("javascript:void(0)","pajzskeret")</f>
        <v>pajzskeret</v>
      </c>
      <c r="B3224" s="1"/>
      <c r="C3224" s="1"/>
      <c r="D3224" s="2"/>
      <c r="E3224" s="2" t="e">
        <f t="shared" si="0"/>
        <v>#VALUE!</v>
      </c>
    </row>
    <row r="3225" spans="1:5" ht="12.75" customHeight="1" x14ac:dyDescent="0.2">
      <c r="A3225" s="3"/>
      <c r="B3225" s="3" t="s">
        <v>0</v>
      </c>
      <c r="C3225" s="3" t="s">
        <v>21</v>
      </c>
      <c r="D3225" s="2"/>
      <c r="E3225" s="2" t="e">
        <f t="shared" si="0"/>
        <v>#VALUE!</v>
      </c>
    </row>
    <row r="3226" spans="1:5" ht="12.75" customHeight="1" x14ac:dyDescent="0.2">
      <c r="A3226" s="3"/>
      <c r="B3226" s="3" t="s">
        <v>2</v>
      </c>
      <c r="C3226" s="3" t="s">
        <v>458</v>
      </c>
      <c r="D3226" s="2"/>
      <c r="E3226" s="2" t="e">
        <f t="shared" si="0"/>
        <v>#VALUE!</v>
      </c>
    </row>
    <row r="3227" spans="1:5" ht="12.75" customHeight="1" x14ac:dyDescent="0.2">
      <c r="A3227" s="3"/>
      <c r="B3227" s="3" t="s">
        <v>9</v>
      </c>
      <c r="C3227" s="3" t="s">
        <v>1482</v>
      </c>
      <c r="D3227" s="2"/>
      <c r="E3227" s="2" t="e">
        <f t="shared" si="0"/>
        <v>#VALUE!</v>
      </c>
    </row>
    <row r="3228" spans="1:5" ht="12.75" customHeight="1" x14ac:dyDescent="0.2">
      <c r="A3228" s="3"/>
      <c r="B3228" s="3" t="s">
        <v>11</v>
      </c>
      <c r="C3228" s="3" t="s">
        <v>746</v>
      </c>
      <c r="D3228" s="2"/>
      <c r="E3228" s="2" t="e">
        <f t="shared" si="0"/>
        <v>#VALUE!</v>
      </c>
    </row>
    <row r="3229" spans="1:5" ht="12.75" customHeight="1" x14ac:dyDescent="0.2">
      <c r="A3229" s="3"/>
      <c r="B3229" s="3" t="s">
        <v>18</v>
      </c>
      <c r="C3229" s="4" t="s">
        <v>19</v>
      </c>
      <c r="D3229" s="2"/>
      <c r="E3229" s="2" t="e">
        <f t="shared" si="0"/>
        <v>#VALUE!</v>
      </c>
    </row>
    <row r="3230" spans="1:5" ht="12.75" customHeight="1" x14ac:dyDescent="0.2">
      <c r="A3230" s="1" t="str">
        <f>HYPERLINK("javascript:void(0)","pala")</f>
        <v>pala</v>
      </c>
      <c r="B3230" s="1"/>
      <c r="C3230" s="1"/>
      <c r="D3230" s="2"/>
      <c r="E3230" s="2" t="e">
        <f t="shared" si="0"/>
        <v>#VALUE!</v>
      </c>
    </row>
    <row r="3231" spans="1:5" ht="12.75" customHeight="1" x14ac:dyDescent="0.2">
      <c r="A3231" s="3"/>
      <c r="B3231" s="3" t="s">
        <v>0</v>
      </c>
      <c r="C3231" s="3" t="s">
        <v>21</v>
      </c>
      <c r="D3231" s="2"/>
      <c r="E3231" s="2" t="e">
        <f t="shared" si="0"/>
        <v>#VALUE!</v>
      </c>
    </row>
    <row r="3232" spans="1:5" ht="12.75" customHeight="1" x14ac:dyDescent="0.2">
      <c r="A3232" s="3"/>
      <c r="B3232" s="3" t="s">
        <v>2</v>
      </c>
      <c r="C3232" s="3" t="s">
        <v>458</v>
      </c>
      <c r="D3232" s="2"/>
      <c r="E3232" s="2" t="e">
        <f t="shared" si="0"/>
        <v>#VALUE!</v>
      </c>
    </row>
    <row r="3233" spans="1:5" ht="12.75" customHeight="1" x14ac:dyDescent="0.2">
      <c r="A3233" s="3"/>
      <c r="B3233" s="3" t="s">
        <v>9</v>
      </c>
      <c r="C3233" s="3" t="s">
        <v>22</v>
      </c>
      <c r="D3233" s="2"/>
      <c r="E3233" s="2" t="e">
        <f t="shared" si="0"/>
        <v>#VALUE!</v>
      </c>
    </row>
    <row r="3234" spans="1:5" ht="12.75" customHeight="1" x14ac:dyDescent="0.2">
      <c r="A3234" s="3"/>
      <c r="B3234" s="3" t="s">
        <v>11</v>
      </c>
      <c r="C3234" s="3" t="s">
        <v>1092</v>
      </c>
      <c r="D3234" s="2"/>
      <c r="E3234" s="2" t="e">
        <f t="shared" si="0"/>
        <v>#VALUE!</v>
      </c>
    </row>
    <row r="3235" spans="1:5" ht="12.75" customHeight="1" x14ac:dyDescent="0.2">
      <c r="A3235" s="3"/>
      <c r="B3235" s="3" t="s">
        <v>18</v>
      </c>
      <c r="C3235" s="4" t="s">
        <v>19</v>
      </c>
      <c r="D3235" s="2"/>
      <c r="E3235" s="2" t="e">
        <f t="shared" si="0"/>
        <v>#VALUE!</v>
      </c>
    </row>
    <row r="3236" spans="1:5" ht="12.75" customHeight="1" x14ac:dyDescent="0.2">
      <c r="A3236" s="1" t="str">
        <f>HYPERLINK("javascript:void(0)","pamacsprém")</f>
        <v>pamacsprém</v>
      </c>
      <c r="B3236" s="1"/>
      <c r="C3236" s="1"/>
      <c r="D3236" s="2"/>
      <c r="E3236" s="2" t="e">
        <f t="shared" si="0"/>
        <v>#VALUE!</v>
      </c>
    </row>
    <row r="3237" spans="1:5" ht="12.75" customHeight="1" x14ac:dyDescent="0.2">
      <c r="A3237" s="3"/>
      <c r="B3237" s="3" t="s">
        <v>0</v>
      </c>
      <c r="C3237" s="3" t="s">
        <v>21</v>
      </c>
      <c r="D3237" s="2"/>
      <c r="E3237" s="2" t="e">
        <f t="shared" si="0"/>
        <v>#VALUE!</v>
      </c>
    </row>
    <row r="3238" spans="1:5" ht="12.75" customHeight="1" x14ac:dyDescent="0.2">
      <c r="A3238" s="3"/>
      <c r="B3238" s="3" t="s">
        <v>2</v>
      </c>
      <c r="C3238" s="3" t="s">
        <v>458</v>
      </c>
      <c r="D3238" s="2"/>
      <c r="E3238" s="2" t="e">
        <f t="shared" si="0"/>
        <v>#VALUE!</v>
      </c>
    </row>
    <row r="3239" spans="1:5" ht="12.75" customHeight="1" x14ac:dyDescent="0.2">
      <c r="A3239" s="3"/>
      <c r="B3239" s="3" t="s">
        <v>9</v>
      </c>
      <c r="C3239" s="3" t="s">
        <v>53</v>
      </c>
      <c r="D3239" s="2"/>
      <c r="E3239" s="2" t="e">
        <f t="shared" si="0"/>
        <v>#VALUE!</v>
      </c>
    </row>
    <row r="3240" spans="1:5" ht="12.75" customHeight="1" x14ac:dyDescent="0.2">
      <c r="A3240" s="3"/>
      <c r="B3240" s="3" t="s">
        <v>11</v>
      </c>
      <c r="C3240" s="3" t="s">
        <v>227</v>
      </c>
      <c r="D3240" s="2"/>
      <c r="E3240" s="2" t="e">
        <f t="shared" si="0"/>
        <v>#VALUE!</v>
      </c>
    </row>
    <row r="3241" spans="1:5" ht="12.75" customHeight="1" x14ac:dyDescent="0.2">
      <c r="A3241" s="3"/>
      <c r="B3241" s="3" t="s">
        <v>18</v>
      </c>
      <c r="C3241" s="4" t="s">
        <v>19</v>
      </c>
      <c r="D3241" s="2"/>
      <c r="E3241" s="2" t="e">
        <f t="shared" si="0"/>
        <v>#VALUE!</v>
      </c>
    </row>
    <row r="3242" spans="1:5" ht="12.75" customHeight="1" x14ac:dyDescent="0.2">
      <c r="A3242" s="1" t="str">
        <f>HYPERLINK("javascript:void(0)","papirusztekercs")</f>
        <v>papirusztekercs</v>
      </c>
      <c r="B3242" s="1"/>
      <c r="C3242" s="1"/>
      <c r="D3242" s="2"/>
      <c r="E3242" s="2" t="e">
        <f t="shared" si="0"/>
        <v>#VALUE!</v>
      </c>
    </row>
    <row r="3243" spans="1:5" ht="12.75" customHeight="1" x14ac:dyDescent="0.2">
      <c r="A3243" s="3"/>
      <c r="B3243" s="3" t="s">
        <v>0</v>
      </c>
      <c r="C3243" s="3" t="s">
        <v>21</v>
      </c>
      <c r="D3243" s="2"/>
      <c r="E3243" s="2" t="e">
        <f t="shared" si="0"/>
        <v>#VALUE!</v>
      </c>
    </row>
    <row r="3244" spans="1:5" ht="12.75" customHeight="1" x14ac:dyDescent="0.2">
      <c r="A3244" s="3"/>
      <c r="B3244" s="3" t="s">
        <v>2</v>
      </c>
      <c r="C3244" s="3" t="s">
        <v>387</v>
      </c>
      <c r="D3244" s="2"/>
      <c r="E3244" s="2" t="e">
        <f t="shared" si="0"/>
        <v>#VALUE!</v>
      </c>
    </row>
    <row r="3245" spans="1:5" ht="12.75" customHeight="1" x14ac:dyDescent="0.2">
      <c r="A3245" s="3"/>
      <c r="B3245" s="3" t="s">
        <v>9</v>
      </c>
      <c r="C3245" s="3" t="s">
        <v>10</v>
      </c>
      <c r="D3245" s="2"/>
      <c r="E3245" s="2" t="e">
        <f t="shared" si="0"/>
        <v>#VALUE!</v>
      </c>
    </row>
    <row r="3246" spans="1:5" ht="12.75" customHeight="1" x14ac:dyDescent="0.2">
      <c r="A3246" s="3"/>
      <c r="B3246" s="3" t="s">
        <v>11</v>
      </c>
      <c r="C3246" s="3" t="s">
        <v>23</v>
      </c>
      <c r="D3246" s="2"/>
      <c r="E3246" s="2" t="e">
        <f t="shared" si="0"/>
        <v>#VALUE!</v>
      </c>
    </row>
    <row r="3247" spans="1:5" ht="12.75" customHeight="1" x14ac:dyDescent="0.2">
      <c r="A3247" s="3"/>
      <c r="B3247" s="3" t="s">
        <v>16</v>
      </c>
      <c r="C3247" s="3" t="s">
        <v>388</v>
      </c>
      <c r="D3247" s="2"/>
      <c r="E3247" s="2" t="e">
        <f t="shared" si="0"/>
        <v>#VALUE!</v>
      </c>
    </row>
    <row r="3248" spans="1:5" ht="12.75" customHeight="1" x14ac:dyDescent="0.2">
      <c r="A3248" s="3"/>
      <c r="B3248" s="3" t="s">
        <v>18</v>
      </c>
      <c r="C3248" s="4" t="s">
        <v>19</v>
      </c>
      <c r="D3248" s="2"/>
      <c r="E3248" s="2" t="e">
        <f t="shared" si="0"/>
        <v>#VALUE!</v>
      </c>
    </row>
    <row r="3249" spans="1:5" ht="12.75" customHeight="1" x14ac:dyDescent="0.2">
      <c r="A3249" s="1" t="str">
        <f>HYPERLINK("javascript:void(0)","partnerlista")</f>
        <v>partnerlista</v>
      </c>
      <c r="B3249" s="1"/>
      <c r="C3249" s="1"/>
      <c r="D3249" s="2"/>
      <c r="E3249" s="2" t="e">
        <f t="shared" si="0"/>
        <v>#VALUE!</v>
      </c>
    </row>
    <row r="3250" spans="1:5" ht="12.75" customHeight="1" x14ac:dyDescent="0.2">
      <c r="A3250" s="3"/>
      <c r="B3250" s="3" t="s">
        <v>0</v>
      </c>
      <c r="C3250" s="3" t="s">
        <v>21</v>
      </c>
      <c r="D3250" s="2"/>
      <c r="E3250" s="2" t="e">
        <f t="shared" si="0"/>
        <v>#VALUE!</v>
      </c>
    </row>
    <row r="3251" spans="1:5" ht="12.75" customHeight="1" x14ac:dyDescent="0.2">
      <c r="A3251" s="3"/>
      <c r="B3251" s="3" t="s">
        <v>2</v>
      </c>
      <c r="C3251" s="3" t="s">
        <v>458</v>
      </c>
      <c r="D3251" s="2"/>
      <c r="E3251" s="2" t="e">
        <f t="shared" si="0"/>
        <v>#VALUE!</v>
      </c>
    </row>
    <row r="3252" spans="1:5" ht="12.75" customHeight="1" x14ac:dyDescent="0.2">
      <c r="A3252" s="3"/>
      <c r="B3252" s="3" t="s">
        <v>9</v>
      </c>
      <c r="C3252" s="3" t="s">
        <v>626</v>
      </c>
      <c r="D3252" s="2"/>
      <c r="E3252" s="2" t="e">
        <f t="shared" si="0"/>
        <v>#VALUE!</v>
      </c>
    </row>
    <row r="3253" spans="1:5" ht="12.75" customHeight="1" x14ac:dyDescent="0.2">
      <c r="A3253" s="3"/>
      <c r="B3253" s="3" t="s">
        <v>11</v>
      </c>
      <c r="C3253" s="3" t="s">
        <v>162</v>
      </c>
      <c r="D3253" s="2"/>
      <c r="E3253" s="2" t="e">
        <f t="shared" si="0"/>
        <v>#VALUE!</v>
      </c>
    </row>
    <row r="3254" spans="1:5" ht="12.75" customHeight="1" x14ac:dyDescent="0.2">
      <c r="A3254" s="3"/>
      <c r="B3254" s="3" t="s">
        <v>18</v>
      </c>
      <c r="C3254" s="4" t="s">
        <v>19</v>
      </c>
      <c r="D3254" s="2"/>
      <c r="E3254" s="2" t="e">
        <f t="shared" si="0"/>
        <v>#VALUE!</v>
      </c>
    </row>
    <row r="3255" spans="1:5" ht="12.75" customHeight="1" x14ac:dyDescent="0.2">
      <c r="A3255" s="1" t="str">
        <f>HYPERLINK("javascript:void(0)","patkányfarok")</f>
        <v>patkányfarok</v>
      </c>
      <c r="B3255" s="1"/>
      <c r="C3255" s="1"/>
      <c r="D3255" s="2"/>
      <c r="E3255" s="2" t="e">
        <f t="shared" si="0"/>
        <v>#VALUE!</v>
      </c>
    </row>
    <row r="3256" spans="1:5" ht="12.75" customHeight="1" x14ac:dyDescent="0.2">
      <c r="A3256" s="3"/>
      <c r="B3256" s="3" t="s">
        <v>0</v>
      </c>
      <c r="C3256" s="3" t="s">
        <v>21</v>
      </c>
      <c r="D3256" s="2"/>
      <c r="E3256" s="2" t="e">
        <f t="shared" si="0"/>
        <v>#VALUE!</v>
      </c>
    </row>
    <row r="3257" spans="1:5" ht="12.75" customHeight="1" x14ac:dyDescent="0.2">
      <c r="A3257" s="3"/>
      <c r="B3257" s="3" t="s">
        <v>2</v>
      </c>
      <c r="C3257" s="3" t="s">
        <v>458</v>
      </c>
      <c r="D3257" s="2"/>
      <c r="E3257" s="2" t="e">
        <f t="shared" si="0"/>
        <v>#VALUE!</v>
      </c>
    </row>
    <row r="3258" spans="1:5" ht="12.75" customHeight="1" x14ac:dyDescent="0.2">
      <c r="A3258" s="3"/>
      <c r="B3258" s="3" t="s">
        <v>9</v>
      </c>
      <c r="C3258" s="3" t="s">
        <v>22</v>
      </c>
      <c r="D3258" s="2"/>
      <c r="E3258" s="2" t="e">
        <f t="shared" si="0"/>
        <v>#VALUE!</v>
      </c>
    </row>
    <row r="3259" spans="1:5" ht="12.75" customHeight="1" x14ac:dyDescent="0.2">
      <c r="A3259" s="3"/>
      <c r="B3259" s="3" t="s">
        <v>11</v>
      </c>
      <c r="C3259" s="3" t="s">
        <v>1489</v>
      </c>
      <c r="D3259" s="2"/>
      <c r="E3259" s="2" t="e">
        <f t="shared" si="0"/>
        <v>#VALUE!</v>
      </c>
    </row>
    <row r="3260" spans="1:5" ht="12.75" customHeight="1" x14ac:dyDescent="0.2">
      <c r="A3260" s="3"/>
      <c r="B3260" s="3" t="s">
        <v>18</v>
      </c>
      <c r="C3260" s="4" t="s">
        <v>19</v>
      </c>
      <c r="D3260" s="2"/>
      <c r="E3260" s="2" t="e">
        <f t="shared" si="0"/>
        <v>#VALUE!</v>
      </c>
    </row>
    <row r="3261" spans="1:5" ht="12.75" customHeight="1" x14ac:dyDescent="0.2">
      <c r="A3261" s="1" t="str">
        <f>HYPERLINK("javascript:void(0)","patkányzsír")</f>
        <v>patkányzsír</v>
      </c>
      <c r="B3261" s="1"/>
      <c r="C3261" s="1"/>
      <c r="D3261" s="2"/>
      <c r="E3261" s="2" t="e">
        <f t="shared" si="0"/>
        <v>#VALUE!</v>
      </c>
    </row>
    <row r="3262" spans="1:5" ht="12.75" customHeight="1" x14ac:dyDescent="0.2">
      <c r="A3262" s="3"/>
      <c r="B3262" s="3" t="s">
        <v>0</v>
      </c>
      <c r="C3262" s="3" t="s">
        <v>21</v>
      </c>
      <c r="D3262" s="2"/>
      <c r="E3262" s="2" t="e">
        <f t="shared" si="0"/>
        <v>#VALUE!</v>
      </c>
    </row>
    <row r="3263" spans="1:5" ht="12.75" customHeight="1" x14ac:dyDescent="0.2">
      <c r="A3263" s="3"/>
      <c r="B3263" s="3" t="s">
        <v>2</v>
      </c>
      <c r="C3263" s="3" t="s">
        <v>387</v>
      </c>
      <c r="D3263" s="2"/>
      <c r="E3263" s="2" t="e">
        <f t="shared" si="0"/>
        <v>#VALUE!</v>
      </c>
    </row>
    <row r="3264" spans="1:5" ht="12.75" customHeight="1" x14ac:dyDescent="0.2">
      <c r="A3264" s="3"/>
      <c r="B3264" s="3" t="s">
        <v>9</v>
      </c>
      <c r="C3264" s="3" t="s">
        <v>704</v>
      </c>
      <c r="D3264" s="2"/>
      <c r="E3264" s="2" t="e">
        <f t="shared" si="0"/>
        <v>#VALUE!</v>
      </c>
    </row>
    <row r="3265" spans="1:5" ht="12.75" customHeight="1" x14ac:dyDescent="0.2">
      <c r="A3265" s="3"/>
      <c r="B3265" s="3" t="s">
        <v>11</v>
      </c>
      <c r="C3265" s="3" t="s">
        <v>567</v>
      </c>
      <c r="D3265" s="2"/>
      <c r="E3265" s="2" t="e">
        <f t="shared" si="0"/>
        <v>#VALUE!</v>
      </c>
    </row>
    <row r="3266" spans="1:5" ht="12.75" customHeight="1" x14ac:dyDescent="0.2">
      <c r="A3266" s="3"/>
      <c r="B3266" s="3" t="s">
        <v>18</v>
      </c>
      <c r="C3266" s="4" t="s">
        <v>19</v>
      </c>
      <c r="D3266" s="2"/>
      <c r="E3266" s="2" t="e">
        <f t="shared" si="0"/>
        <v>#VALUE!</v>
      </c>
    </row>
    <row r="3267" spans="1:5" ht="12.75" customHeight="1" x14ac:dyDescent="0.2">
      <c r="A3267" s="1" t="str">
        <f>HYPERLINK("javascript:void(0)","patron")</f>
        <v>patron</v>
      </c>
      <c r="B3267" s="1"/>
      <c r="C3267" s="1"/>
      <c r="D3267" s="2"/>
      <c r="E3267" s="2" t="e">
        <f t="shared" si="0"/>
        <v>#VALUE!</v>
      </c>
    </row>
    <row r="3268" spans="1:5" ht="12.75" customHeight="1" x14ac:dyDescent="0.2">
      <c r="A3268" s="3"/>
      <c r="B3268" s="3" t="s">
        <v>0</v>
      </c>
      <c r="C3268" s="3" t="s">
        <v>21</v>
      </c>
      <c r="D3268" s="2"/>
      <c r="E3268" s="2" t="e">
        <f t="shared" si="0"/>
        <v>#VALUE!</v>
      </c>
    </row>
    <row r="3269" spans="1:5" ht="12.75" customHeight="1" x14ac:dyDescent="0.2">
      <c r="A3269" s="3"/>
      <c r="B3269" s="3" t="s">
        <v>2</v>
      </c>
      <c r="C3269" s="3" t="s">
        <v>458</v>
      </c>
      <c r="D3269" s="2"/>
      <c r="E3269" s="2" t="e">
        <f t="shared" si="0"/>
        <v>#VALUE!</v>
      </c>
    </row>
    <row r="3270" spans="1:5" ht="12.75" customHeight="1" x14ac:dyDescent="0.2">
      <c r="A3270" s="3"/>
      <c r="B3270" s="3" t="s">
        <v>9</v>
      </c>
      <c r="C3270" s="3" t="s">
        <v>22</v>
      </c>
      <c r="D3270" s="2"/>
      <c r="E3270" s="2" t="e">
        <f t="shared" si="0"/>
        <v>#VALUE!</v>
      </c>
    </row>
    <row r="3271" spans="1:5" ht="12.75" customHeight="1" x14ac:dyDescent="0.2">
      <c r="A3271" s="3"/>
      <c r="B3271" s="3" t="s">
        <v>11</v>
      </c>
      <c r="C3271" s="3" t="s">
        <v>610</v>
      </c>
      <c r="D3271" s="2"/>
      <c r="E3271" s="2" t="e">
        <f t="shared" si="0"/>
        <v>#VALUE!</v>
      </c>
    </row>
    <row r="3272" spans="1:5" ht="12.75" customHeight="1" x14ac:dyDescent="0.2">
      <c r="A3272" s="3"/>
      <c r="B3272" s="3" t="s">
        <v>18</v>
      </c>
      <c r="C3272" s="4" t="s">
        <v>19</v>
      </c>
      <c r="D3272" s="2"/>
      <c r="E3272" s="2" t="e">
        <f t="shared" si="0"/>
        <v>#VALUE!</v>
      </c>
    </row>
    <row r="3273" spans="1:5" ht="12.75" customHeight="1" x14ac:dyDescent="0.2">
      <c r="A3273" s="1" t="str">
        <f>HYPERLINK("javascript:void(0)","pegazustoll")</f>
        <v>pegazustoll</v>
      </c>
      <c r="B3273" s="1"/>
      <c r="C3273" s="1"/>
      <c r="D3273" s="2"/>
      <c r="E3273" s="2" t="e">
        <f t="shared" si="0"/>
        <v>#VALUE!</v>
      </c>
    </row>
    <row r="3274" spans="1:5" ht="12.75" customHeight="1" x14ac:dyDescent="0.2">
      <c r="A3274" s="3"/>
      <c r="B3274" s="3" t="s">
        <v>0</v>
      </c>
      <c r="C3274" s="3" t="s">
        <v>21</v>
      </c>
      <c r="D3274" s="2"/>
      <c r="E3274" s="2" t="e">
        <f t="shared" si="0"/>
        <v>#VALUE!</v>
      </c>
    </row>
    <row r="3275" spans="1:5" ht="12.75" customHeight="1" x14ac:dyDescent="0.2">
      <c r="A3275" s="3"/>
      <c r="B3275" s="3" t="s">
        <v>2</v>
      </c>
      <c r="C3275" s="3" t="s">
        <v>387</v>
      </c>
      <c r="D3275" s="2"/>
      <c r="E3275" s="2" t="e">
        <f t="shared" si="0"/>
        <v>#VALUE!</v>
      </c>
    </row>
    <row r="3276" spans="1:5" ht="12.75" customHeight="1" x14ac:dyDescent="0.2">
      <c r="A3276" s="3"/>
      <c r="B3276" s="3" t="s">
        <v>9</v>
      </c>
      <c r="C3276" s="3" t="s">
        <v>22</v>
      </c>
      <c r="D3276" s="2"/>
      <c r="E3276" s="2" t="e">
        <f t="shared" si="0"/>
        <v>#VALUE!</v>
      </c>
    </row>
    <row r="3277" spans="1:5" ht="12.75" customHeight="1" x14ac:dyDescent="0.2">
      <c r="A3277" s="3"/>
      <c r="B3277" s="3" t="s">
        <v>11</v>
      </c>
      <c r="C3277" s="3" t="s">
        <v>158</v>
      </c>
      <c r="D3277" s="2"/>
      <c r="E3277" s="2" t="e">
        <f t="shared" si="0"/>
        <v>#VALUE!</v>
      </c>
    </row>
    <row r="3278" spans="1:5" ht="12.75" customHeight="1" x14ac:dyDescent="0.2">
      <c r="A3278" s="3"/>
      <c r="B3278" s="3" t="s">
        <v>18</v>
      </c>
      <c r="C3278" s="4" t="s">
        <v>19</v>
      </c>
      <c r="D3278" s="2"/>
      <c r="E3278" s="2" t="e">
        <f t="shared" si="0"/>
        <v>#VALUE!</v>
      </c>
    </row>
    <row r="3279" spans="1:5" ht="12.75" customHeight="1" x14ac:dyDescent="0.2">
      <c r="A3279" s="1" t="str">
        <f>HYPERLINK("javascript:void(0)","pengeszálka")</f>
        <v>pengeszálka</v>
      </c>
      <c r="B3279" s="1"/>
      <c r="C3279" s="1"/>
      <c r="D3279" s="2"/>
      <c r="E3279" s="2" t="e">
        <f t="shared" si="0"/>
        <v>#VALUE!</v>
      </c>
    </row>
    <row r="3280" spans="1:5" ht="12.75" customHeight="1" x14ac:dyDescent="0.2">
      <c r="A3280" s="3"/>
      <c r="B3280" s="3" t="s">
        <v>0</v>
      </c>
      <c r="C3280" s="3" t="s">
        <v>21</v>
      </c>
      <c r="D3280" s="2"/>
      <c r="E3280" s="2" t="e">
        <f t="shared" si="0"/>
        <v>#VALUE!</v>
      </c>
    </row>
    <row r="3281" spans="1:5" ht="12.75" customHeight="1" x14ac:dyDescent="0.2">
      <c r="A3281" s="3"/>
      <c r="B3281" s="3" t="s">
        <v>2</v>
      </c>
      <c r="C3281" s="3" t="s">
        <v>458</v>
      </c>
      <c r="D3281" s="2"/>
      <c r="E3281" s="2" t="e">
        <f t="shared" si="0"/>
        <v>#VALUE!</v>
      </c>
    </row>
    <row r="3282" spans="1:5" ht="12.75" customHeight="1" x14ac:dyDescent="0.2">
      <c r="A3282" s="3"/>
      <c r="B3282" s="3" t="s">
        <v>9</v>
      </c>
      <c r="C3282" s="3" t="s">
        <v>22</v>
      </c>
      <c r="D3282" s="2"/>
      <c r="E3282" s="2" t="e">
        <f t="shared" si="0"/>
        <v>#VALUE!</v>
      </c>
    </row>
    <row r="3283" spans="1:5" ht="12.75" customHeight="1" x14ac:dyDescent="0.2">
      <c r="A3283" s="3"/>
      <c r="B3283" s="3" t="s">
        <v>11</v>
      </c>
      <c r="C3283" s="3" t="s">
        <v>395</v>
      </c>
      <c r="D3283" s="2"/>
      <c r="E3283" s="2" t="e">
        <f t="shared" si="0"/>
        <v>#VALUE!</v>
      </c>
    </row>
    <row r="3284" spans="1:5" ht="12.75" customHeight="1" x14ac:dyDescent="0.2">
      <c r="A3284" s="3"/>
      <c r="B3284" s="3" t="s">
        <v>18</v>
      </c>
      <c r="C3284" s="4" t="s">
        <v>19</v>
      </c>
      <c r="D3284" s="2"/>
      <c r="E3284" s="2" t="e">
        <f t="shared" si="0"/>
        <v>#VALUE!</v>
      </c>
    </row>
    <row r="3285" spans="1:5" ht="12.75" customHeight="1" x14ac:dyDescent="0.2">
      <c r="A3285" s="1" t="str">
        <f>HYPERLINK("javascript:void(0)","pentalánc")</f>
        <v>pentalánc</v>
      </c>
      <c r="B3285" s="1"/>
      <c r="C3285" s="1"/>
      <c r="D3285" s="2"/>
      <c r="E3285" s="2" t="e">
        <f t="shared" si="0"/>
        <v>#VALUE!</v>
      </c>
    </row>
    <row r="3286" spans="1:5" ht="12.75" customHeight="1" x14ac:dyDescent="0.2">
      <c r="A3286" s="3"/>
      <c r="B3286" s="3" t="s">
        <v>0</v>
      </c>
      <c r="C3286" s="3" t="s">
        <v>21</v>
      </c>
      <c r="D3286" s="2"/>
      <c r="E3286" s="2" t="e">
        <f t="shared" si="0"/>
        <v>#VALUE!</v>
      </c>
    </row>
    <row r="3287" spans="1:5" ht="12.75" customHeight="1" x14ac:dyDescent="0.2">
      <c r="A3287" s="3"/>
      <c r="B3287" s="3" t="s">
        <v>2</v>
      </c>
      <c r="C3287" s="3" t="s">
        <v>458</v>
      </c>
      <c r="D3287" s="2"/>
      <c r="E3287" s="2" t="e">
        <f t="shared" si="0"/>
        <v>#VALUE!</v>
      </c>
    </row>
    <row r="3288" spans="1:5" ht="12.75" customHeight="1" x14ac:dyDescent="0.2">
      <c r="A3288" s="3"/>
      <c r="B3288" s="3" t="s">
        <v>9</v>
      </c>
      <c r="C3288" s="3" t="s">
        <v>22</v>
      </c>
      <c r="D3288" s="2"/>
      <c r="E3288" s="2" t="e">
        <f t="shared" si="0"/>
        <v>#VALUE!</v>
      </c>
    </row>
    <row r="3289" spans="1:5" ht="12.75" customHeight="1" x14ac:dyDescent="0.2">
      <c r="A3289" s="3"/>
      <c r="B3289" s="3" t="s">
        <v>11</v>
      </c>
      <c r="C3289" s="3" t="s">
        <v>395</v>
      </c>
      <c r="D3289" s="2"/>
      <c r="E3289" s="2" t="e">
        <f t="shared" si="0"/>
        <v>#VALUE!</v>
      </c>
    </row>
    <row r="3290" spans="1:5" ht="12.75" customHeight="1" x14ac:dyDescent="0.2">
      <c r="A3290" s="3"/>
      <c r="B3290" s="3" t="s">
        <v>18</v>
      </c>
      <c r="C3290" s="4" t="s">
        <v>19</v>
      </c>
      <c r="D3290" s="2"/>
      <c r="E3290" s="2" t="e">
        <f t="shared" si="0"/>
        <v>#VALUE!</v>
      </c>
    </row>
    <row r="3291" spans="1:5" ht="12.75" customHeight="1" x14ac:dyDescent="0.2">
      <c r="A3291" s="1" t="str">
        <f>HYPERLINK("javascript:void(0)","periszkóp")</f>
        <v>periszkóp</v>
      </c>
      <c r="B3291" s="1"/>
      <c r="C3291" s="1"/>
      <c r="D3291" s="2"/>
      <c r="E3291" s="2" t="e">
        <f t="shared" si="0"/>
        <v>#VALUE!</v>
      </c>
    </row>
    <row r="3292" spans="1:5" ht="12.75" customHeight="1" x14ac:dyDescent="0.2">
      <c r="A3292" s="3"/>
      <c r="B3292" s="3" t="s">
        <v>0</v>
      </c>
      <c r="C3292" s="3" t="s">
        <v>21</v>
      </c>
      <c r="D3292" s="2"/>
      <c r="E3292" s="2" t="e">
        <f t="shared" si="0"/>
        <v>#VALUE!</v>
      </c>
    </row>
    <row r="3293" spans="1:5" ht="12.75" customHeight="1" x14ac:dyDescent="0.2">
      <c r="A3293" s="3"/>
      <c r="B3293" s="3" t="s">
        <v>2</v>
      </c>
      <c r="C3293" s="3" t="s">
        <v>458</v>
      </c>
      <c r="D3293" s="2"/>
      <c r="E3293" s="2" t="e">
        <f t="shared" si="0"/>
        <v>#VALUE!</v>
      </c>
    </row>
    <row r="3294" spans="1:5" ht="12.75" customHeight="1" x14ac:dyDescent="0.2">
      <c r="A3294" s="3"/>
      <c r="B3294" s="3" t="s">
        <v>9</v>
      </c>
      <c r="C3294" s="3" t="s">
        <v>22</v>
      </c>
      <c r="D3294" s="2"/>
      <c r="E3294" s="2" t="e">
        <f t="shared" si="0"/>
        <v>#VALUE!</v>
      </c>
    </row>
    <row r="3295" spans="1:5" ht="12.75" customHeight="1" x14ac:dyDescent="0.2">
      <c r="A3295" s="3"/>
      <c r="B3295" s="3" t="s">
        <v>11</v>
      </c>
      <c r="C3295" s="3" t="s">
        <v>162</v>
      </c>
      <c r="D3295" s="2"/>
      <c r="E3295" s="2" t="e">
        <f t="shared" si="0"/>
        <v>#VALUE!</v>
      </c>
    </row>
    <row r="3296" spans="1:5" ht="12.75" customHeight="1" x14ac:dyDescent="0.2">
      <c r="A3296" s="3"/>
      <c r="B3296" s="3" t="s">
        <v>18</v>
      </c>
      <c r="C3296" s="4" t="s">
        <v>19</v>
      </c>
      <c r="D3296" s="2"/>
      <c r="E3296" s="2" t="e">
        <f t="shared" si="0"/>
        <v>#VALUE!</v>
      </c>
    </row>
    <row r="3297" spans="1:5" ht="12.75" customHeight="1" x14ac:dyDescent="0.2">
      <c r="A3297" s="1" t="str">
        <f>HYPERLINK("javascript:void(0)","pikkelykesztyű")</f>
        <v>pikkelykesztyű</v>
      </c>
      <c r="B3297" s="1"/>
      <c r="C3297" s="1"/>
      <c r="D3297" s="2"/>
      <c r="E3297" s="2" t="e">
        <f t="shared" si="0"/>
        <v>#VALUE!</v>
      </c>
    </row>
    <row r="3298" spans="1:5" ht="12.75" customHeight="1" x14ac:dyDescent="0.2">
      <c r="A3298" s="3"/>
      <c r="B3298" s="3" t="s">
        <v>0</v>
      </c>
      <c r="C3298" s="3" t="s">
        <v>21</v>
      </c>
      <c r="D3298" s="2"/>
      <c r="E3298" s="2" t="e">
        <f t="shared" si="0"/>
        <v>#VALUE!</v>
      </c>
    </row>
    <row r="3299" spans="1:5" ht="12.75" customHeight="1" x14ac:dyDescent="0.2">
      <c r="A3299" s="3"/>
      <c r="B3299" s="3" t="s">
        <v>2</v>
      </c>
      <c r="C3299" s="3" t="s">
        <v>387</v>
      </c>
      <c r="D3299" s="2"/>
      <c r="E3299" s="2" t="e">
        <f t="shared" si="0"/>
        <v>#VALUE!</v>
      </c>
    </row>
    <row r="3300" spans="1:5" ht="12.75" customHeight="1" x14ac:dyDescent="0.2">
      <c r="A3300" s="3"/>
      <c r="B3300" s="3" t="s">
        <v>9</v>
      </c>
      <c r="C3300" s="3" t="s">
        <v>42</v>
      </c>
      <c r="D3300" s="2"/>
      <c r="E3300" s="2" t="e">
        <f t="shared" si="0"/>
        <v>#VALUE!</v>
      </c>
    </row>
    <row r="3301" spans="1:5" ht="12.75" customHeight="1" x14ac:dyDescent="0.2">
      <c r="A3301" s="3"/>
      <c r="B3301" s="3" t="s">
        <v>11</v>
      </c>
      <c r="C3301" s="3" t="s">
        <v>23</v>
      </c>
      <c r="D3301" s="2"/>
      <c r="E3301" s="2" t="e">
        <f t="shared" si="0"/>
        <v>#VALUE!</v>
      </c>
    </row>
    <row r="3302" spans="1:5" ht="12.75" customHeight="1" x14ac:dyDescent="0.2">
      <c r="A3302" s="3"/>
      <c r="B3302" s="3" t="s">
        <v>16</v>
      </c>
      <c r="C3302" s="3" t="s">
        <v>388</v>
      </c>
      <c r="D3302" s="2"/>
      <c r="E3302" s="2" t="e">
        <f t="shared" si="0"/>
        <v>#VALUE!</v>
      </c>
    </row>
    <row r="3303" spans="1:5" ht="12.75" customHeight="1" x14ac:dyDescent="0.2">
      <c r="A3303" s="3"/>
      <c r="B3303" s="3" t="s">
        <v>18</v>
      </c>
      <c r="C3303" s="4" t="s">
        <v>19</v>
      </c>
      <c r="D3303" s="2"/>
      <c r="E3303" s="2" t="e">
        <f t="shared" si="0"/>
        <v>#VALUE!</v>
      </c>
    </row>
    <row r="3304" spans="1:5" ht="12.75" customHeight="1" x14ac:dyDescent="0.2">
      <c r="A3304" s="1" t="str">
        <f>HYPERLINK("javascript:void(0)","pillepikkely")</f>
        <v>pillepikkely</v>
      </c>
      <c r="B3304" s="1"/>
      <c r="C3304" s="1"/>
      <c r="D3304" s="2"/>
      <c r="E3304" s="2" t="e">
        <f t="shared" si="0"/>
        <v>#VALUE!</v>
      </c>
    </row>
    <row r="3305" spans="1:5" ht="12.75" customHeight="1" x14ac:dyDescent="0.2">
      <c r="A3305" s="3"/>
      <c r="B3305" s="3" t="s">
        <v>0</v>
      </c>
      <c r="C3305" s="3" t="s">
        <v>21</v>
      </c>
      <c r="D3305" s="2"/>
      <c r="E3305" s="2" t="e">
        <f t="shared" si="0"/>
        <v>#VALUE!</v>
      </c>
    </row>
    <row r="3306" spans="1:5" ht="12.75" customHeight="1" x14ac:dyDescent="0.2">
      <c r="A3306" s="3"/>
      <c r="B3306" s="3" t="s">
        <v>2</v>
      </c>
      <c r="C3306" s="3" t="s">
        <v>458</v>
      </c>
      <c r="D3306" s="2"/>
      <c r="E3306" s="2" t="e">
        <f t="shared" si="0"/>
        <v>#VALUE!</v>
      </c>
    </row>
    <row r="3307" spans="1:5" ht="12.75" customHeight="1" x14ac:dyDescent="0.2">
      <c r="A3307" s="3"/>
      <c r="B3307" s="3" t="s">
        <v>9</v>
      </c>
      <c r="C3307" s="3" t="s">
        <v>513</v>
      </c>
      <c r="D3307" s="2"/>
      <c r="E3307" s="2" t="e">
        <f t="shared" si="0"/>
        <v>#VALUE!</v>
      </c>
    </row>
    <row r="3308" spans="1:5" ht="12.75" customHeight="1" x14ac:dyDescent="0.2">
      <c r="A3308" s="3"/>
      <c r="B3308" s="3" t="s">
        <v>11</v>
      </c>
      <c r="C3308" s="3" t="s">
        <v>530</v>
      </c>
      <c r="D3308" s="2"/>
      <c r="E3308" s="2" t="e">
        <f t="shared" si="0"/>
        <v>#VALUE!</v>
      </c>
    </row>
    <row r="3309" spans="1:5" ht="12.75" customHeight="1" x14ac:dyDescent="0.2">
      <c r="A3309" s="3"/>
      <c r="B3309" s="3" t="s">
        <v>18</v>
      </c>
      <c r="C3309" s="4" t="s">
        <v>19</v>
      </c>
      <c r="D3309" s="2"/>
      <c r="E3309" s="2" t="e">
        <f t="shared" si="0"/>
        <v>#VALUE!</v>
      </c>
    </row>
    <row r="3310" spans="1:5" ht="12.75" customHeight="1" x14ac:dyDescent="0.2">
      <c r="A3310" s="1" t="str">
        <f>HYPERLINK("javascript:void(0)","pingmentus")</f>
        <v>pingmentus</v>
      </c>
      <c r="B3310" s="1"/>
      <c r="C3310" s="1"/>
      <c r="D3310" s="2"/>
      <c r="E3310" s="2" t="e">
        <f t="shared" si="0"/>
        <v>#VALUE!</v>
      </c>
    </row>
    <row r="3311" spans="1:5" ht="12.75" customHeight="1" x14ac:dyDescent="0.2">
      <c r="A3311" s="3"/>
      <c r="B3311" s="3" t="s">
        <v>0</v>
      </c>
      <c r="C3311" s="3" t="s">
        <v>21</v>
      </c>
      <c r="D3311" s="2"/>
      <c r="E3311" s="2" t="e">
        <f t="shared" si="0"/>
        <v>#VALUE!</v>
      </c>
    </row>
    <row r="3312" spans="1:5" ht="12.75" customHeight="1" x14ac:dyDescent="0.2">
      <c r="A3312" s="3"/>
      <c r="B3312" s="3" t="s">
        <v>2</v>
      </c>
      <c r="C3312" s="3" t="s">
        <v>458</v>
      </c>
      <c r="D3312" s="2"/>
      <c r="E3312" s="2" t="e">
        <f t="shared" si="0"/>
        <v>#VALUE!</v>
      </c>
    </row>
    <row r="3313" spans="1:5" ht="12.75" customHeight="1" x14ac:dyDescent="0.2">
      <c r="A3313" s="3"/>
      <c r="B3313" s="3" t="s">
        <v>9</v>
      </c>
      <c r="C3313" s="3" t="s">
        <v>22</v>
      </c>
      <c r="D3313" s="2"/>
      <c r="E3313" s="2" t="e">
        <f t="shared" si="0"/>
        <v>#VALUE!</v>
      </c>
    </row>
    <row r="3314" spans="1:5" ht="12.75" customHeight="1" x14ac:dyDescent="0.2">
      <c r="A3314" s="3"/>
      <c r="B3314" s="3" t="s">
        <v>11</v>
      </c>
      <c r="C3314" s="3" t="s">
        <v>395</v>
      </c>
      <c r="D3314" s="2"/>
      <c r="E3314" s="2" t="e">
        <f t="shared" si="0"/>
        <v>#VALUE!</v>
      </c>
    </row>
    <row r="3315" spans="1:5" ht="12.75" customHeight="1" x14ac:dyDescent="0.2">
      <c r="A3315" s="3"/>
      <c r="B3315" s="3" t="s">
        <v>18</v>
      </c>
      <c r="C3315" s="4" t="s">
        <v>19</v>
      </c>
      <c r="D3315" s="2"/>
      <c r="E3315" s="2" t="e">
        <f t="shared" si="0"/>
        <v>#VALUE!</v>
      </c>
    </row>
    <row r="3316" spans="1:5" ht="12.75" customHeight="1" x14ac:dyDescent="0.2">
      <c r="A3316" s="1" t="str">
        <f>HYPERLINK("javascript:void(0)","platinarugó")</f>
        <v>platinarugó</v>
      </c>
      <c r="B3316" s="1"/>
      <c r="C3316" s="1"/>
      <c r="D3316" s="2"/>
      <c r="E3316" s="2" t="e">
        <f t="shared" si="0"/>
        <v>#VALUE!</v>
      </c>
    </row>
    <row r="3317" spans="1:5" ht="12.75" customHeight="1" x14ac:dyDescent="0.2">
      <c r="A3317" s="3"/>
      <c r="B3317" s="3" t="s">
        <v>0</v>
      </c>
      <c r="C3317" s="3" t="s">
        <v>21</v>
      </c>
      <c r="D3317" s="2"/>
      <c r="E3317" s="2" t="e">
        <f t="shared" si="0"/>
        <v>#VALUE!</v>
      </c>
    </row>
    <row r="3318" spans="1:5" ht="12.75" customHeight="1" x14ac:dyDescent="0.2">
      <c r="A3318" s="3"/>
      <c r="B3318" s="3" t="s">
        <v>2</v>
      </c>
      <c r="C3318" s="3" t="s">
        <v>458</v>
      </c>
      <c r="D3318" s="2"/>
      <c r="E3318" s="2" t="e">
        <f t="shared" si="0"/>
        <v>#VALUE!</v>
      </c>
    </row>
    <row r="3319" spans="1:5" ht="12.75" customHeight="1" x14ac:dyDescent="0.2">
      <c r="A3319" s="3"/>
      <c r="B3319" s="3" t="s">
        <v>9</v>
      </c>
      <c r="C3319" s="3" t="s">
        <v>42</v>
      </c>
      <c r="D3319" s="2"/>
      <c r="E3319" s="2" t="e">
        <f t="shared" si="0"/>
        <v>#VALUE!</v>
      </c>
    </row>
    <row r="3320" spans="1:5" ht="12.75" customHeight="1" x14ac:dyDescent="0.2">
      <c r="A3320" s="3"/>
      <c r="B3320" s="3" t="s">
        <v>11</v>
      </c>
      <c r="C3320" s="3" t="s">
        <v>1497</v>
      </c>
      <c r="D3320" s="2"/>
      <c r="E3320" s="2" t="e">
        <f t="shared" si="0"/>
        <v>#VALUE!</v>
      </c>
    </row>
    <row r="3321" spans="1:5" ht="12.75" customHeight="1" x14ac:dyDescent="0.2">
      <c r="A3321" s="3"/>
      <c r="B3321" s="3" t="s">
        <v>18</v>
      </c>
      <c r="C3321" s="4" t="s">
        <v>19</v>
      </c>
      <c r="D3321" s="2"/>
      <c r="E3321" s="2" t="e">
        <f t="shared" si="0"/>
        <v>#VALUE!</v>
      </c>
    </row>
    <row r="3322" spans="1:5" ht="12.75" customHeight="1" x14ac:dyDescent="0.2">
      <c r="A3322" s="1" t="str">
        <f>HYPERLINK("javascript:void(0)","plecsni")</f>
        <v>plecsni</v>
      </c>
      <c r="B3322" s="1"/>
      <c r="C3322" s="1"/>
      <c r="D3322" s="2"/>
      <c r="E3322" s="2" t="e">
        <f t="shared" si="0"/>
        <v>#VALUE!</v>
      </c>
    </row>
    <row r="3323" spans="1:5" ht="12.75" customHeight="1" x14ac:dyDescent="0.2">
      <c r="A3323" s="3"/>
      <c r="B3323" s="3" t="s">
        <v>0</v>
      </c>
      <c r="C3323" s="3" t="s">
        <v>21</v>
      </c>
      <c r="D3323" s="2"/>
      <c r="E3323" s="2" t="e">
        <f t="shared" si="0"/>
        <v>#VALUE!</v>
      </c>
    </row>
    <row r="3324" spans="1:5" ht="12.75" customHeight="1" x14ac:dyDescent="0.2">
      <c r="A3324" s="3"/>
      <c r="B3324" s="3" t="s">
        <v>2</v>
      </c>
      <c r="C3324" s="3" t="s">
        <v>458</v>
      </c>
      <c r="D3324" s="2"/>
      <c r="E3324" s="2" t="e">
        <f t="shared" si="0"/>
        <v>#VALUE!</v>
      </c>
    </row>
    <row r="3325" spans="1:5" ht="12.75" customHeight="1" x14ac:dyDescent="0.2">
      <c r="A3325" s="3"/>
      <c r="B3325" s="3" t="s">
        <v>9</v>
      </c>
      <c r="C3325" s="3" t="s">
        <v>22</v>
      </c>
      <c r="D3325" s="2"/>
      <c r="E3325" s="2" t="e">
        <f t="shared" si="0"/>
        <v>#VALUE!</v>
      </c>
    </row>
    <row r="3326" spans="1:5" ht="12.75" customHeight="1" x14ac:dyDescent="0.2">
      <c r="A3326" s="3"/>
      <c r="B3326" s="3" t="s">
        <v>11</v>
      </c>
      <c r="C3326" s="3" t="s">
        <v>589</v>
      </c>
      <c r="D3326" s="2"/>
      <c r="E3326" s="2" t="e">
        <f t="shared" si="0"/>
        <v>#VALUE!</v>
      </c>
    </row>
    <row r="3327" spans="1:5" ht="12.75" customHeight="1" x14ac:dyDescent="0.2">
      <c r="A3327" s="3"/>
      <c r="B3327" s="3" t="s">
        <v>18</v>
      </c>
      <c r="C3327" s="4" t="s">
        <v>19</v>
      </c>
      <c r="D3327" s="2"/>
      <c r="E3327" s="2" t="e">
        <f t="shared" si="0"/>
        <v>#VALUE!</v>
      </c>
    </row>
    <row r="3328" spans="1:5" ht="12.75" customHeight="1" x14ac:dyDescent="0.2">
      <c r="A3328" s="1" t="str">
        <f>HYPERLINK("javascript:void(0)","plexi tarhonyástál")</f>
        <v>plexi tarhonyástál</v>
      </c>
      <c r="B3328" s="1"/>
      <c r="C3328" s="1"/>
      <c r="D3328" s="2"/>
      <c r="E3328" s="2" t="e">
        <f t="shared" si="0"/>
        <v>#VALUE!</v>
      </c>
    </row>
    <row r="3329" spans="1:5" ht="12.75" customHeight="1" x14ac:dyDescent="0.2">
      <c r="A3329" s="3"/>
      <c r="B3329" s="3" t="s">
        <v>0</v>
      </c>
      <c r="C3329" s="3" t="s">
        <v>21</v>
      </c>
      <c r="D3329" s="2"/>
      <c r="E3329" s="2" t="e">
        <f t="shared" si="0"/>
        <v>#VALUE!</v>
      </c>
    </row>
    <row r="3330" spans="1:5" ht="12.75" customHeight="1" x14ac:dyDescent="0.2">
      <c r="A3330" s="3"/>
      <c r="B3330" s="3" t="s">
        <v>2</v>
      </c>
      <c r="C3330" s="3" t="s">
        <v>387</v>
      </c>
      <c r="D3330" s="2"/>
      <c r="E3330" s="2" t="e">
        <f t="shared" si="0"/>
        <v>#VALUE!</v>
      </c>
    </row>
    <row r="3331" spans="1:5" ht="12.75" customHeight="1" x14ac:dyDescent="0.2">
      <c r="A3331" s="3"/>
      <c r="B3331" s="3" t="s">
        <v>9</v>
      </c>
      <c r="C3331" s="3" t="s">
        <v>27</v>
      </c>
      <c r="D3331" s="2"/>
      <c r="E3331" s="2" t="e">
        <f t="shared" si="0"/>
        <v>#VALUE!</v>
      </c>
    </row>
    <row r="3332" spans="1:5" ht="12.75" customHeight="1" x14ac:dyDescent="0.2">
      <c r="A3332" s="3"/>
      <c r="B3332" s="3" t="s">
        <v>11</v>
      </c>
      <c r="C3332" s="3" t="s">
        <v>23</v>
      </c>
      <c r="D3332" s="2"/>
      <c r="E3332" s="2" t="e">
        <f t="shared" si="0"/>
        <v>#VALUE!</v>
      </c>
    </row>
    <row r="3333" spans="1:5" ht="12.75" customHeight="1" x14ac:dyDescent="0.2">
      <c r="A3333" s="3"/>
      <c r="B3333" s="3" t="s">
        <v>16</v>
      </c>
      <c r="C3333" s="3" t="s">
        <v>388</v>
      </c>
      <c r="D3333" s="2"/>
      <c r="E3333" s="2" t="e">
        <f t="shared" si="0"/>
        <v>#VALUE!</v>
      </c>
    </row>
    <row r="3334" spans="1:5" ht="12.75" customHeight="1" x14ac:dyDescent="0.2">
      <c r="A3334" s="3"/>
      <c r="B3334" s="3" t="s">
        <v>18</v>
      </c>
      <c r="C3334" s="4" t="s">
        <v>19</v>
      </c>
      <c r="D3334" s="2"/>
      <c r="E3334" s="2" t="e">
        <f t="shared" si="0"/>
        <v>#VALUE!</v>
      </c>
    </row>
    <row r="3335" spans="1:5" ht="12.75" customHeight="1" x14ac:dyDescent="0.2">
      <c r="A3335" s="1" t="str">
        <f>HYPERLINK("javascript:void(0)","pocokhólyag")</f>
        <v>pocokhólyag</v>
      </c>
      <c r="B3335" s="1"/>
      <c r="C3335" s="1"/>
      <c r="D3335" s="2"/>
      <c r="E3335" s="2" t="e">
        <f t="shared" si="0"/>
        <v>#VALUE!</v>
      </c>
    </row>
    <row r="3336" spans="1:5" ht="12.75" customHeight="1" x14ac:dyDescent="0.2">
      <c r="A3336" s="3"/>
      <c r="B3336" s="3" t="s">
        <v>0</v>
      </c>
      <c r="C3336" s="3" t="s">
        <v>21</v>
      </c>
      <c r="D3336" s="2"/>
      <c r="E3336" s="2" t="e">
        <f t="shared" si="0"/>
        <v>#VALUE!</v>
      </c>
    </row>
    <row r="3337" spans="1:5" ht="12.75" customHeight="1" x14ac:dyDescent="0.2">
      <c r="A3337" s="3"/>
      <c r="B3337" s="3" t="s">
        <v>2</v>
      </c>
      <c r="C3337" s="3" t="s">
        <v>440</v>
      </c>
      <c r="D3337" s="2"/>
      <c r="E3337" s="2" t="e">
        <f t="shared" si="0"/>
        <v>#VALUE!</v>
      </c>
    </row>
    <row r="3338" spans="1:5" ht="12.75" customHeight="1" x14ac:dyDescent="0.2">
      <c r="A3338" s="3"/>
      <c r="B3338" s="3" t="s">
        <v>9</v>
      </c>
      <c r="C3338" s="3" t="s">
        <v>53</v>
      </c>
      <c r="D3338" s="2"/>
      <c r="E3338" s="2" t="e">
        <f t="shared" si="0"/>
        <v>#VALUE!</v>
      </c>
    </row>
    <row r="3339" spans="1:5" ht="12.75" customHeight="1" x14ac:dyDescent="0.2">
      <c r="A3339" s="3"/>
      <c r="B3339" s="3" t="s">
        <v>11</v>
      </c>
      <c r="C3339" s="3" t="s">
        <v>839</v>
      </c>
      <c r="D3339" s="2"/>
      <c r="E3339" s="2" t="e">
        <f t="shared" si="0"/>
        <v>#VALUE!</v>
      </c>
    </row>
    <row r="3340" spans="1:5" ht="12.75" customHeight="1" x14ac:dyDescent="0.2">
      <c r="A3340" s="3"/>
      <c r="B3340" s="3" t="s">
        <v>16</v>
      </c>
      <c r="C3340" s="3" t="s">
        <v>1502</v>
      </c>
      <c r="D3340" s="2"/>
      <c r="E3340" s="2" t="e">
        <f t="shared" si="0"/>
        <v>#VALUE!</v>
      </c>
    </row>
    <row r="3341" spans="1:5" ht="12.75" customHeight="1" x14ac:dyDescent="0.2">
      <c r="A3341" s="3"/>
      <c r="B3341" s="3" t="s">
        <v>18</v>
      </c>
      <c r="C3341" s="4" t="s">
        <v>19</v>
      </c>
      <c r="D3341" s="2"/>
      <c r="E3341" s="2" t="e">
        <f t="shared" si="0"/>
        <v>#VALUE!</v>
      </c>
    </row>
    <row r="3342" spans="1:5" ht="12.75" customHeight="1" x14ac:dyDescent="0.2">
      <c r="A3342" s="1" t="str">
        <f>HYPERLINK("javascript:void(0)","pont-pont-pont ereklye")</f>
        <v>pont-pont-pont ereklye</v>
      </c>
      <c r="B3342" s="1"/>
      <c r="C3342" s="1"/>
      <c r="D3342" s="2"/>
      <c r="E3342" s="2" t="e">
        <f t="shared" si="0"/>
        <v>#VALUE!</v>
      </c>
    </row>
    <row r="3343" spans="1:5" ht="12.75" customHeight="1" x14ac:dyDescent="0.2">
      <c r="A3343" s="3"/>
      <c r="B3343" s="3" t="s">
        <v>0</v>
      </c>
      <c r="C3343" s="3" t="s">
        <v>21</v>
      </c>
      <c r="D3343" s="2"/>
      <c r="E3343" s="2" t="e">
        <f t="shared" si="0"/>
        <v>#VALUE!</v>
      </c>
    </row>
    <row r="3344" spans="1:5" ht="12.75" customHeight="1" x14ac:dyDescent="0.2">
      <c r="A3344" s="3"/>
      <c r="B3344" s="3" t="s">
        <v>2</v>
      </c>
      <c r="C3344" s="3" t="s">
        <v>387</v>
      </c>
      <c r="D3344" s="2"/>
      <c r="E3344" s="2" t="e">
        <f t="shared" si="0"/>
        <v>#VALUE!</v>
      </c>
    </row>
    <row r="3345" spans="1:5" ht="12.75" customHeight="1" x14ac:dyDescent="0.2">
      <c r="A3345" s="3"/>
      <c r="B3345" s="3" t="s">
        <v>9</v>
      </c>
      <c r="C3345" s="3" t="s">
        <v>27</v>
      </c>
      <c r="D3345" s="2"/>
      <c r="E3345" s="2" t="e">
        <f t="shared" si="0"/>
        <v>#VALUE!</v>
      </c>
    </row>
    <row r="3346" spans="1:5" ht="12.75" customHeight="1" x14ac:dyDescent="0.2">
      <c r="A3346" s="3"/>
      <c r="B3346" s="3" t="s">
        <v>11</v>
      </c>
      <c r="C3346" s="3" t="s">
        <v>23</v>
      </c>
      <c r="D3346" s="2"/>
      <c r="E3346" s="2" t="e">
        <f t="shared" si="0"/>
        <v>#VALUE!</v>
      </c>
    </row>
    <row r="3347" spans="1:5" ht="12.75" customHeight="1" x14ac:dyDescent="0.2">
      <c r="A3347" s="3"/>
      <c r="B3347" s="3" t="s">
        <v>16</v>
      </c>
      <c r="C3347" s="3" t="s">
        <v>388</v>
      </c>
      <c r="D3347" s="2"/>
      <c r="E3347" s="2" t="e">
        <f t="shared" si="0"/>
        <v>#VALUE!</v>
      </c>
    </row>
    <row r="3348" spans="1:5" ht="12.75" customHeight="1" x14ac:dyDescent="0.2">
      <c r="A3348" s="3"/>
      <c r="B3348" s="3" t="s">
        <v>18</v>
      </c>
      <c r="C3348" s="4" t="s">
        <v>19</v>
      </c>
      <c r="D3348" s="2"/>
      <c r="E3348" s="2" t="e">
        <f t="shared" si="0"/>
        <v>#VALUE!</v>
      </c>
    </row>
    <row r="3349" spans="1:5" ht="12.75" customHeight="1" x14ac:dyDescent="0.2">
      <c r="A3349" s="1" t="str">
        <f>HYPERLINK("javascript:void(0)","porbajusz")</f>
        <v>porbajusz</v>
      </c>
      <c r="B3349" s="1"/>
      <c r="C3349" s="1"/>
      <c r="D3349" s="2"/>
      <c r="E3349" s="2" t="e">
        <f t="shared" si="0"/>
        <v>#VALUE!</v>
      </c>
    </row>
    <row r="3350" spans="1:5" ht="12.75" customHeight="1" x14ac:dyDescent="0.2">
      <c r="A3350" s="3"/>
      <c r="B3350" s="3" t="s">
        <v>0</v>
      </c>
      <c r="C3350" s="3" t="s">
        <v>21</v>
      </c>
      <c r="D3350" s="2"/>
      <c r="E3350" s="2" t="e">
        <f t="shared" si="0"/>
        <v>#VALUE!</v>
      </c>
    </row>
    <row r="3351" spans="1:5" ht="12.75" customHeight="1" x14ac:dyDescent="0.2">
      <c r="A3351" s="3"/>
      <c r="B3351" s="3" t="s">
        <v>2</v>
      </c>
      <c r="C3351" s="3" t="s">
        <v>458</v>
      </c>
      <c r="D3351" s="2"/>
      <c r="E3351" s="2" t="e">
        <f t="shared" si="0"/>
        <v>#VALUE!</v>
      </c>
    </row>
    <row r="3352" spans="1:5" ht="12.75" customHeight="1" x14ac:dyDescent="0.2">
      <c r="A3352" s="3"/>
      <c r="B3352" s="3" t="s">
        <v>9</v>
      </c>
      <c r="C3352" s="3" t="s">
        <v>22</v>
      </c>
      <c r="D3352" s="2"/>
      <c r="E3352" s="2" t="e">
        <f t="shared" si="0"/>
        <v>#VALUE!</v>
      </c>
    </row>
    <row r="3353" spans="1:5" ht="12.75" customHeight="1" x14ac:dyDescent="0.2">
      <c r="A3353" s="3"/>
      <c r="B3353" s="3" t="s">
        <v>11</v>
      </c>
      <c r="C3353" s="3" t="s">
        <v>395</v>
      </c>
      <c r="D3353" s="2"/>
      <c r="E3353" s="2" t="e">
        <f t="shared" si="0"/>
        <v>#VALUE!</v>
      </c>
    </row>
    <row r="3354" spans="1:5" ht="12.75" customHeight="1" x14ac:dyDescent="0.2">
      <c r="A3354" s="3"/>
      <c r="B3354" s="3" t="s">
        <v>18</v>
      </c>
      <c r="C3354" s="4" t="s">
        <v>19</v>
      </c>
      <c r="D3354" s="2"/>
      <c r="E3354" s="2" t="e">
        <f t="shared" si="0"/>
        <v>#VALUE!</v>
      </c>
    </row>
    <row r="3355" spans="1:5" ht="12.75" customHeight="1" x14ac:dyDescent="0.2">
      <c r="A3355" s="1" t="str">
        <f>HYPERLINK("javascript:void(0)","porszőr")</f>
        <v>porszőr</v>
      </c>
      <c r="B3355" s="1"/>
      <c r="C3355" s="1"/>
      <c r="D3355" s="2"/>
      <c r="E3355" s="2" t="e">
        <f t="shared" si="0"/>
        <v>#VALUE!</v>
      </c>
    </row>
    <row r="3356" spans="1:5" ht="12.75" customHeight="1" x14ac:dyDescent="0.2">
      <c r="A3356" s="3"/>
      <c r="B3356" s="3" t="s">
        <v>0</v>
      </c>
      <c r="C3356" s="3" t="s">
        <v>21</v>
      </c>
      <c r="D3356" s="2"/>
      <c r="E3356" s="2" t="e">
        <f t="shared" si="0"/>
        <v>#VALUE!</v>
      </c>
    </row>
    <row r="3357" spans="1:5" ht="12.75" customHeight="1" x14ac:dyDescent="0.2">
      <c r="A3357" s="3"/>
      <c r="B3357" s="3" t="s">
        <v>2</v>
      </c>
      <c r="C3357" s="3" t="s">
        <v>458</v>
      </c>
      <c r="D3357" s="2"/>
      <c r="E3357" s="2" t="e">
        <f t="shared" si="0"/>
        <v>#VALUE!</v>
      </c>
    </row>
    <row r="3358" spans="1:5" ht="12.75" customHeight="1" x14ac:dyDescent="0.2">
      <c r="A3358" s="3"/>
      <c r="B3358" s="3" t="s">
        <v>9</v>
      </c>
      <c r="C3358" s="3" t="s">
        <v>22</v>
      </c>
      <c r="D3358" s="2"/>
      <c r="E3358" s="2" t="e">
        <f t="shared" si="0"/>
        <v>#VALUE!</v>
      </c>
    </row>
    <row r="3359" spans="1:5" ht="12.75" customHeight="1" x14ac:dyDescent="0.2">
      <c r="A3359" s="3"/>
      <c r="B3359" s="3" t="s">
        <v>11</v>
      </c>
      <c r="C3359" s="3" t="s">
        <v>89</v>
      </c>
      <c r="D3359" s="2"/>
      <c r="E3359" s="2" t="e">
        <f t="shared" si="0"/>
        <v>#VALUE!</v>
      </c>
    </row>
    <row r="3360" spans="1:5" ht="12.75" customHeight="1" x14ac:dyDescent="0.2">
      <c r="A3360" s="3"/>
      <c r="B3360" s="3" t="s">
        <v>18</v>
      </c>
      <c r="C3360" s="4" t="s">
        <v>19</v>
      </c>
      <c r="D3360" s="2"/>
      <c r="E3360" s="2" t="e">
        <f t="shared" si="0"/>
        <v>#VALUE!</v>
      </c>
    </row>
    <row r="3361" spans="1:5" ht="12.75" customHeight="1" x14ac:dyDescent="0.2">
      <c r="A3361" s="1" t="str">
        <f>HYPERLINK("javascript:void(0)","portgyűrű")</f>
        <v>portgyűrű</v>
      </c>
      <c r="B3361" s="1"/>
      <c r="C3361" s="1"/>
      <c r="D3361" s="2"/>
      <c r="E3361" s="2" t="e">
        <f t="shared" si="0"/>
        <v>#VALUE!</v>
      </c>
    </row>
    <row r="3362" spans="1:5" ht="12.75" customHeight="1" x14ac:dyDescent="0.2">
      <c r="A3362" s="3"/>
      <c r="B3362" s="3" t="s">
        <v>0</v>
      </c>
      <c r="C3362" s="3" t="s">
        <v>21</v>
      </c>
      <c r="D3362" s="2"/>
      <c r="E3362" s="2" t="e">
        <f t="shared" si="0"/>
        <v>#VALUE!</v>
      </c>
    </row>
    <row r="3363" spans="1:5" ht="12.75" customHeight="1" x14ac:dyDescent="0.2">
      <c r="A3363" s="3"/>
      <c r="B3363" s="3" t="s">
        <v>2</v>
      </c>
      <c r="C3363" s="3" t="s">
        <v>458</v>
      </c>
      <c r="D3363" s="2"/>
      <c r="E3363" s="2" t="e">
        <f t="shared" si="0"/>
        <v>#VALUE!</v>
      </c>
    </row>
    <row r="3364" spans="1:5" ht="12.75" customHeight="1" x14ac:dyDescent="0.2">
      <c r="A3364" s="3"/>
      <c r="B3364" s="3" t="s">
        <v>9</v>
      </c>
      <c r="C3364" s="3" t="s">
        <v>626</v>
      </c>
      <c r="D3364" s="2"/>
      <c r="E3364" s="2" t="e">
        <f t="shared" si="0"/>
        <v>#VALUE!</v>
      </c>
    </row>
    <row r="3365" spans="1:5" ht="12.75" customHeight="1" x14ac:dyDescent="0.2">
      <c r="A3365" s="3"/>
      <c r="B3365" s="3" t="s">
        <v>11</v>
      </c>
      <c r="C3365" s="3" t="s">
        <v>209</v>
      </c>
      <c r="D3365" s="2"/>
      <c r="E3365" s="2" t="e">
        <f t="shared" si="0"/>
        <v>#VALUE!</v>
      </c>
    </row>
    <row r="3366" spans="1:5" ht="12.75" customHeight="1" x14ac:dyDescent="0.2">
      <c r="A3366" s="3"/>
      <c r="B3366" s="3" t="s">
        <v>18</v>
      </c>
      <c r="C3366" s="4" t="s">
        <v>19</v>
      </c>
      <c r="D3366" s="2"/>
      <c r="E3366" s="2" t="e">
        <f t="shared" si="0"/>
        <v>#VALUE!</v>
      </c>
    </row>
    <row r="3367" spans="1:5" ht="12.75" customHeight="1" x14ac:dyDescent="0.2">
      <c r="A3367" s="1" t="str">
        <f>HYPERLINK("javascript:void(0)","portál kulcs")</f>
        <v>portál kulcs</v>
      </c>
      <c r="B3367" s="1"/>
      <c r="C3367" s="1"/>
      <c r="D3367" s="2"/>
      <c r="E3367" s="2" t="e">
        <f t="shared" si="0"/>
        <v>#VALUE!</v>
      </c>
    </row>
    <row r="3368" spans="1:5" ht="12.75" customHeight="1" x14ac:dyDescent="0.2">
      <c r="A3368" s="3"/>
      <c r="B3368" s="3" t="s">
        <v>0</v>
      </c>
      <c r="C3368" s="3" t="s">
        <v>21</v>
      </c>
      <c r="D3368" s="2"/>
      <c r="E3368" s="2" t="e">
        <f t="shared" si="0"/>
        <v>#VALUE!</v>
      </c>
    </row>
    <row r="3369" spans="1:5" ht="12.75" customHeight="1" x14ac:dyDescent="0.2">
      <c r="A3369" s="3"/>
      <c r="B3369" s="3" t="s">
        <v>2</v>
      </c>
      <c r="C3369" s="3" t="s">
        <v>387</v>
      </c>
      <c r="D3369" s="2"/>
      <c r="E3369" s="2" t="e">
        <f t="shared" si="0"/>
        <v>#VALUE!</v>
      </c>
    </row>
    <row r="3370" spans="1:5" ht="12.75" customHeight="1" x14ac:dyDescent="0.2">
      <c r="A3370" s="3"/>
      <c r="B3370" s="3" t="s">
        <v>9</v>
      </c>
      <c r="C3370" s="3" t="s">
        <v>84</v>
      </c>
      <c r="D3370" s="2"/>
      <c r="E3370" s="2" t="e">
        <f t="shared" si="0"/>
        <v>#VALUE!</v>
      </c>
    </row>
    <row r="3371" spans="1:5" ht="12.75" customHeight="1" x14ac:dyDescent="0.2">
      <c r="A3371" s="3"/>
      <c r="B3371" s="3" t="s">
        <v>11</v>
      </c>
      <c r="C3371" s="3" t="s">
        <v>23</v>
      </c>
      <c r="D3371" s="2"/>
      <c r="E3371" s="2" t="e">
        <f t="shared" si="0"/>
        <v>#VALUE!</v>
      </c>
    </row>
    <row r="3372" spans="1:5" ht="12.75" customHeight="1" x14ac:dyDescent="0.2">
      <c r="A3372" s="3"/>
      <c r="B3372" s="3" t="s">
        <v>16</v>
      </c>
      <c r="C3372" s="3" t="s">
        <v>388</v>
      </c>
      <c r="D3372" s="2"/>
      <c r="E3372" s="2" t="e">
        <f t="shared" si="0"/>
        <v>#VALUE!</v>
      </c>
    </row>
    <row r="3373" spans="1:5" ht="12.75" customHeight="1" x14ac:dyDescent="0.2">
      <c r="A3373" s="3"/>
      <c r="B3373" s="3" t="s">
        <v>18</v>
      </c>
      <c r="C3373" s="4" t="s">
        <v>19</v>
      </c>
      <c r="D3373" s="2"/>
      <c r="E3373" s="2" t="e">
        <f t="shared" si="0"/>
        <v>#VALUE!</v>
      </c>
    </row>
    <row r="3374" spans="1:5" ht="12.75" customHeight="1" x14ac:dyDescent="0.2">
      <c r="A3374" s="1" t="str">
        <f>HYPERLINK("javascript:void(0)","portál-ajtófélfa")</f>
        <v>portál-ajtófélfa</v>
      </c>
      <c r="B3374" s="1"/>
      <c r="C3374" s="1"/>
      <c r="D3374" s="2"/>
      <c r="E3374" s="2" t="e">
        <f t="shared" si="0"/>
        <v>#VALUE!</v>
      </c>
    </row>
    <row r="3375" spans="1:5" ht="12.75" customHeight="1" x14ac:dyDescent="0.2">
      <c r="A3375" s="3"/>
      <c r="B3375" s="3" t="s">
        <v>0</v>
      </c>
      <c r="C3375" s="3" t="s">
        <v>21</v>
      </c>
      <c r="D3375" s="2"/>
      <c r="E3375" s="2" t="e">
        <f t="shared" si="0"/>
        <v>#VALUE!</v>
      </c>
    </row>
    <row r="3376" spans="1:5" ht="12.75" customHeight="1" x14ac:dyDescent="0.2">
      <c r="A3376" s="3"/>
      <c r="B3376" s="3" t="s">
        <v>2</v>
      </c>
      <c r="C3376" s="3" t="s">
        <v>387</v>
      </c>
      <c r="D3376" s="2"/>
      <c r="E3376" s="2" t="e">
        <f t="shared" si="0"/>
        <v>#VALUE!</v>
      </c>
    </row>
    <row r="3377" spans="1:5" ht="12.75" customHeight="1" x14ac:dyDescent="0.2">
      <c r="A3377" s="3"/>
      <c r="B3377" s="3" t="s">
        <v>9</v>
      </c>
      <c r="C3377" s="3" t="s">
        <v>415</v>
      </c>
      <c r="D3377" s="2"/>
      <c r="E3377" s="2" t="e">
        <f t="shared" si="0"/>
        <v>#VALUE!</v>
      </c>
    </row>
    <row r="3378" spans="1:5" ht="12.75" customHeight="1" x14ac:dyDescent="0.2">
      <c r="A3378" s="3"/>
      <c r="B3378" s="3" t="s">
        <v>11</v>
      </c>
      <c r="C3378" s="3" t="s">
        <v>23</v>
      </c>
      <c r="D3378" s="2"/>
      <c r="E3378" s="2" t="e">
        <f t="shared" si="0"/>
        <v>#VALUE!</v>
      </c>
    </row>
    <row r="3379" spans="1:5" ht="12.75" customHeight="1" x14ac:dyDescent="0.2">
      <c r="A3379" s="3"/>
      <c r="B3379" s="3" t="s">
        <v>16</v>
      </c>
      <c r="C3379" s="3" t="s">
        <v>388</v>
      </c>
      <c r="D3379" s="2"/>
      <c r="E3379" s="2" t="e">
        <f t="shared" si="0"/>
        <v>#VALUE!</v>
      </c>
    </row>
    <row r="3380" spans="1:5" ht="12.75" customHeight="1" x14ac:dyDescent="0.2">
      <c r="A3380" s="3"/>
      <c r="B3380" s="3" t="s">
        <v>18</v>
      </c>
      <c r="C3380" s="4" t="s">
        <v>19</v>
      </c>
      <c r="D3380" s="2"/>
      <c r="E3380" s="2" t="e">
        <f t="shared" si="0"/>
        <v>#VALUE!</v>
      </c>
    </row>
    <row r="3381" spans="1:5" ht="12.75" customHeight="1" x14ac:dyDescent="0.2">
      <c r="A3381" s="1" t="str">
        <f>HYPERLINK("javascript:void(0)","príma enyv")</f>
        <v>príma enyv</v>
      </c>
      <c r="B3381" s="1"/>
      <c r="C3381" s="1"/>
      <c r="D3381" s="2"/>
      <c r="E3381" s="2" t="e">
        <f t="shared" si="0"/>
        <v>#VALUE!</v>
      </c>
    </row>
    <row r="3382" spans="1:5" ht="12.75" customHeight="1" x14ac:dyDescent="0.2">
      <c r="A3382" s="3"/>
      <c r="B3382" s="3" t="s">
        <v>0</v>
      </c>
      <c r="C3382" s="3" t="s">
        <v>21</v>
      </c>
      <c r="D3382" s="2"/>
      <c r="E3382" s="2" t="e">
        <f t="shared" si="0"/>
        <v>#VALUE!</v>
      </c>
    </row>
    <row r="3383" spans="1:5" ht="12.75" customHeight="1" x14ac:dyDescent="0.2">
      <c r="A3383" s="3"/>
      <c r="B3383" s="3" t="s">
        <v>2</v>
      </c>
      <c r="C3383" s="3" t="s">
        <v>458</v>
      </c>
      <c r="D3383" s="2"/>
      <c r="E3383" s="2" t="e">
        <f t="shared" si="0"/>
        <v>#VALUE!</v>
      </c>
    </row>
    <row r="3384" spans="1:5" ht="12.75" customHeight="1" x14ac:dyDescent="0.2">
      <c r="A3384" s="3"/>
      <c r="B3384" s="3" t="s">
        <v>9</v>
      </c>
      <c r="C3384" s="3" t="s">
        <v>53</v>
      </c>
      <c r="D3384" s="2"/>
      <c r="E3384" s="2" t="e">
        <f t="shared" si="0"/>
        <v>#VALUE!</v>
      </c>
    </row>
    <row r="3385" spans="1:5" ht="12.75" customHeight="1" x14ac:dyDescent="0.2">
      <c r="A3385" s="3"/>
      <c r="B3385" s="3" t="s">
        <v>11</v>
      </c>
      <c r="C3385" s="3" t="s">
        <v>1510</v>
      </c>
      <c r="D3385" s="2"/>
      <c r="E3385" s="2" t="e">
        <f t="shared" si="0"/>
        <v>#VALUE!</v>
      </c>
    </row>
    <row r="3386" spans="1:5" ht="12.75" customHeight="1" x14ac:dyDescent="0.2">
      <c r="A3386" s="3"/>
      <c r="B3386" s="3" t="s">
        <v>18</v>
      </c>
      <c r="C3386" s="4" t="s">
        <v>19</v>
      </c>
      <c r="D3386" s="2"/>
      <c r="E3386" s="2" t="e">
        <f t="shared" si="0"/>
        <v>#VALUE!</v>
      </c>
    </row>
    <row r="3387" spans="1:5" ht="12.75" customHeight="1" x14ac:dyDescent="0.2">
      <c r="A3387" s="1" t="str">
        <f>HYPERLINK("javascript:void(0)","pálha")</f>
        <v>pálha</v>
      </c>
      <c r="B3387" s="1"/>
      <c r="C3387" s="1"/>
      <c r="D3387" s="2"/>
      <c r="E3387" s="2" t="e">
        <f t="shared" si="0"/>
        <v>#VALUE!</v>
      </c>
    </row>
    <row r="3388" spans="1:5" ht="12.75" customHeight="1" x14ac:dyDescent="0.2">
      <c r="A3388" s="3"/>
      <c r="B3388" s="3" t="s">
        <v>0</v>
      </c>
      <c r="C3388" s="3" t="s">
        <v>21</v>
      </c>
      <c r="D3388" s="2"/>
      <c r="E3388" s="2" t="e">
        <f t="shared" si="0"/>
        <v>#VALUE!</v>
      </c>
    </row>
    <row r="3389" spans="1:5" ht="12.75" customHeight="1" x14ac:dyDescent="0.2">
      <c r="A3389" s="3"/>
      <c r="B3389" s="3" t="s">
        <v>2</v>
      </c>
      <c r="C3389" s="3" t="s">
        <v>458</v>
      </c>
      <c r="D3389" s="2"/>
      <c r="E3389" s="2" t="e">
        <f t="shared" si="0"/>
        <v>#VALUE!</v>
      </c>
    </row>
    <row r="3390" spans="1:5" ht="12.75" customHeight="1" x14ac:dyDescent="0.2">
      <c r="A3390" s="3"/>
      <c r="B3390" s="3" t="s">
        <v>9</v>
      </c>
      <c r="C3390" s="3" t="s">
        <v>22</v>
      </c>
      <c r="D3390" s="2"/>
      <c r="E3390" s="2" t="e">
        <f t="shared" si="0"/>
        <v>#VALUE!</v>
      </c>
    </row>
    <row r="3391" spans="1:5" ht="12.75" customHeight="1" x14ac:dyDescent="0.2">
      <c r="A3391" s="3"/>
      <c r="B3391" s="3" t="s">
        <v>11</v>
      </c>
      <c r="C3391" s="3" t="s">
        <v>1511</v>
      </c>
      <c r="D3391" s="2"/>
      <c r="E3391" s="2" t="e">
        <f t="shared" si="0"/>
        <v>#VALUE!</v>
      </c>
    </row>
    <row r="3392" spans="1:5" ht="12.75" customHeight="1" x14ac:dyDescent="0.2">
      <c r="A3392" s="3"/>
      <c r="B3392" s="3" t="s">
        <v>18</v>
      </c>
      <c r="C3392" s="4" t="s">
        <v>19</v>
      </c>
      <c r="D3392" s="2"/>
      <c r="E3392" s="2" t="e">
        <f t="shared" si="0"/>
        <v>#VALUE!</v>
      </c>
    </row>
    <row r="3393" spans="1:5" ht="12.75" customHeight="1" x14ac:dyDescent="0.2">
      <c r="A3393" s="1" t="str">
        <f>HYPERLINK("javascript:void(0)","pánszarv")</f>
        <v>pánszarv</v>
      </c>
      <c r="B3393" s="1"/>
      <c r="C3393" s="1"/>
      <c r="D3393" s="2"/>
      <c r="E3393" s="2" t="e">
        <f t="shared" si="0"/>
        <v>#VALUE!</v>
      </c>
    </row>
    <row r="3394" spans="1:5" ht="12.75" customHeight="1" x14ac:dyDescent="0.2">
      <c r="A3394" s="3"/>
      <c r="B3394" s="3" t="s">
        <v>0</v>
      </c>
      <c r="C3394" s="3" t="s">
        <v>21</v>
      </c>
      <c r="D3394" s="2"/>
      <c r="E3394" s="2" t="e">
        <f t="shared" si="0"/>
        <v>#VALUE!</v>
      </c>
    </row>
    <row r="3395" spans="1:5" ht="12.75" customHeight="1" x14ac:dyDescent="0.2">
      <c r="A3395" s="3"/>
      <c r="B3395" s="3" t="s">
        <v>2</v>
      </c>
      <c r="C3395" s="3" t="s">
        <v>458</v>
      </c>
      <c r="D3395" s="2"/>
      <c r="E3395" s="2" t="e">
        <f t="shared" si="0"/>
        <v>#VALUE!</v>
      </c>
    </row>
    <row r="3396" spans="1:5" ht="12.75" customHeight="1" x14ac:dyDescent="0.2">
      <c r="A3396" s="3"/>
      <c r="B3396" s="3" t="s">
        <v>9</v>
      </c>
      <c r="C3396" s="3" t="s">
        <v>590</v>
      </c>
      <c r="D3396" s="2"/>
      <c r="E3396" s="2" t="e">
        <f t="shared" si="0"/>
        <v>#VALUE!</v>
      </c>
    </row>
    <row r="3397" spans="1:5" ht="12.75" customHeight="1" x14ac:dyDescent="0.2">
      <c r="A3397" s="3"/>
      <c r="B3397" s="3" t="s">
        <v>11</v>
      </c>
      <c r="C3397" s="3" t="s">
        <v>1512</v>
      </c>
      <c r="D3397" s="2"/>
      <c r="E3397" s="2" t="e">
        <f t="shared" si="0"/>
        <v>#VALUE!</v>
      </c>
    </row>
    <row r="3398" spans="1:5" ht="12.75" customHeight="1" x14ac:dyDescent="0.2">
      <c r="A3398" s="3"/>
      <c r="B3398" s="3" t="s">
        <v>18</v>
      </c>
      <c r="C3398" s="4" t="s">
        <v>19</v>
      </c>
      <c r="D3398" s="2"/>
      <c r="E3398" s="2" t="e">
        <f t="shared" si="0"/>
        <v>#VALUE!</v>
      </c>
    </row>
    <row r="3399" spans="1:5" ht="12.75" customHeight="1" x14ac:dyDescent="0.2">
      <c r="A3399" s="1" t="str">
        <f>HYPERLINK("javascript:void(0)","pánsíp")</f>
        <v>pánsíp</v>
      </c>
      <c r="B3399" s="1"/>
      <c r="C3399" s="1"/>
      <c r="D3399" s="2"/>
      <c r="E3399" s="2" t="e">
        <f t="shared" si="0"/>
        <v>#VALUE!</v>
      </c>
    </row>
    <row r="3400" spans="1:5" ht="12.75" customHeight="1" x14ac:dyDescent="0.2">
      <c r="A3400" s="3"/>
      <c r="B3400" s="3" t="s">
        <v>0</v>
      </c>
      <c r="C3400" s="3" t="s">
        <v>21</v>
      </c>
      <c r="D3400" s="2"/>
      <c r="E3400" s="2" t="e">
        <f t="shared" si="0"/>
        <v>#VALUE!</v>
      </c>
    </row>
    <row r="3401" spans="1:5" ht="12.75" customHeight="1" x14ac:dyDescent="0.2">
      <c r="A3401" s="3"/>
      <c r="B3401" s="3" t="s">
        <v>2</v>
      </c>
      <c r="C3401" s="3" t="s">
        <v>387</v>
      </c>
      <c r="D3401" s="2"/>
      <c r="E3401" s="2" t="e">
        <f t="shared" si="0"/>
        <v>#VALUE!</v>
      </c>
    </row>
    <row r="3402" spans="1:5" ht="12.75" customHeight="1" x14ac:dyDescent="0.2">
      <c r="A3402" s="3"/>
      <c r="B3402" s="3" t="s">
        <v>9</v>
      </c>
      <c r="C3402" s="3" t="s">
        <v>10</v>
      </c>
      <c r="D3402" s="2"/>
      <c r="E3402" s="2" t="e">
        <f t="shared" si="0"/>
        <v>#VALUE!</v>
      </c>
    </row>
    <row r="3403" spans="1:5" ht="12.75" customHeight="1" x14ac:dyDescent="0.2">
      <c r="A3403" s="3"/>
      <c r="B3403" s="3" t="s">
        <v>11</v>
      </c>
      <c r="C3403" s="3" t="s">
        <v>893</v>
      </c>
      <c r="D3403" s="2"/>
      <c r="E3403" s="2" t="e">
        <f t="shared" si="0"/>
        <v>#VALUE!</v>
      </c>
    </row>
    <row r="3404" spans="1:5" ht="12.75" customHeight="1" x14ac:dyDescent="0.2">
      <c r="A3404" s="3"/>
      <c r="B3404" s="3" t="s">
        <v>18</v>
      </c>
      <c r="C3404" s="4" t="s">
        <v>19</v>
      </c>
      <c r="D3404" s="2"/>
      <c r="E3404" s="2" t="e">
        <f t="shared" si="0"/>
        <v>#VALUE!</v>
      </c>
    </row>
    <row r="3405" spans="1:5" ht="12.75" customHeight="1" x14ac:dyDescent="0.2">
      <c r="A3405" s="1" t="str">
        <f>HYPERLINK("javascript:void(0)","párducbőr")</f>
        <v>párducbőr</v>
      </c>
      <c r="B3405" s="1"/>
      <c r="C3405" s="1"/>
      <c r="D3405" s="2"/>
      <c r="E3405" s="2" t="e">
        <f t="shared" si="0"/>
        <v>#VALUE!</v>
      </c>
    </row>
    <row r="3406" spans="1:5" ht="12.75" customHeight="1" x14ac:dyDescent="0.2">
      <c r="A3406" s="3"/>
      <c r="B3406" s="3" t="s">
        <v>0</v>
      </c>
      <c r="C3406" s="3" t="s">
        <v>21</v>
      </c>
      <c r="D3406" s="2"/>
      <c r="E3406" s="2" t="e">
        <f t="shared" si="0"/>
        <v>#VALUE!</v>
      </c>
    </row>
    <row r="3407" spans="1:5" ht="12.75" customHeight="1" x14ac:dyDescent="0.2">
      <c r="A3407" s="3"/>
      <c r="B3407" s="3" t="s">
        <v>2</v>
      </c>
      <c r="C3407" s="3" t="s">
        <v>458</v>
      </c>
      <c r="D3407" s="2"/>
      <c r="E3407" s="2" t="e">
        <f t="shared" si="0"/>
        <v>#VALUE!</v>
      </c>
    </row>
    <row r="3408" spans="1:5" ht="12.75" customHeight="1" x14ac:dyDescent="0.2">
      <c r="A3408" s="3"/>
      <c r="B3408" s="3" t="s">
        <v>9</v>
      </c>
      <c r="C3408" s="3" t="s">
        <v>129</v>
      </c>
      <c r="D3408" s="2"/>
      <c r="E3408" s="2" t="e">
        <f t="shared" si="0"/>
        <v>#VALUE!</v>
      </c>
    </row>
    <row r="3409" spans="1:5" ht="12.75" customHeight="1" x14ac:dyDescent="0.2">
      <c r="A3409" s="3"/>
      <c r="B3409" s="3" t="s">
        <v>11</v>
      </c>
      <c r="C3409" s="3" t="s">
        <v>183</v>
      </c>
      <c r="D3409" s="2"/>
      <c r="E3409" s="2" t="e">
        <f t="shared" si="0"/>
        <v>#VALUE!</v>
      </c>
    </row>
    <row r="3410" spans="1:5" ht="12.75" customHeight="1" x14ac:dyDescent="0.2">
      <c r="A3410" s="3"/>
      <c r="B3410" s="3" t="s">
        <v>18</v>
      </c>
      <c r="C3410" s="4" t="s">
        <v>19</v>
      </c>
      <c r="D3410" s="2"/>
      <c r="E3410" s="2" t="e">
        <f t="shared" si="0"/>
        <v>#VALUE!</v>
      </c>
    </row>
    <row r="3411" spans="1:5" ht="12.75" customHeight="1" x14ac:dyDescent="0.2">
      <c r="A3411" s="1" t="str">
        <f>HYPERLINK("javascript:void(0)","pásztorbot")</f>
        <v>pásztorbot</v>
      </c>
      <c r="B3411" s="1"/>
      <c r="C3411" s="1"/>
      <c r="D3411" s="2"/>
      <c r="E3411" s="2" t="e">
        <f t="shared" si="0"/>
        <v>#VALUE!</v>
      </c>
    </row>
    <row r="3412" spans="1:5" ht="12.75" customHeight="1" x14ac:dyDescent="0.2">
      <c r="A3412" s="3"/>
      <c r="B3412" s="3" t="s">
        <v>0</v>
      </c>
      <c r="C3412" s="3" t="s">
        <v>21</v>
      </c>
      <c r="D3412" s="2"/>
      <c r="E3412" s="2" t="e">
        <f t="shared" si="0"/>
        <v>#VALUE!</v>
      </c>
    </row>
    <row r="3413" spans="1:5" ht="12.75" customHeight="1" x14ac:dyDescent="0.2">
      <c r="A3413" s="3"/>
      <c r="B3413" s="3" t="s">
        <v>2</v>
      </c>
      <c r="C3413" s="3" t="s">
        <v>458</v>
      </c>
      <c r="D3413" s="2"/>
      <c r="E3413" s="2" t="e">
        <f t="shared" si="0"/>
        <v>#VALUE!</v>
      </c>
    </row>
    <row r="3414" spans="1:5" ht="12.75" customHeight="1" x14ac:dyDescent="0.2">
      <c r="A3414" s="3"/>
      <c r="B3414" s="3" t="s">
        <v>9</v>
      </c>
      <c r="C3414" s="3" t="s">
        <v>22</v>
      </c>
      <c r="D3414" s="2"/>
      <c r="E3414" s="2" t="e">
        <f t="shared" si="0"/>
        <v>#VALUE!</v>
      </c>
    </row>
    <row r="3415" spans="1:5" ht="12.75" customHeight="1" x14ac:dyDescent="0.2">
      <c r="A3415" s="3"/>
      <c r="B3415" s="3" t="s">
        <v>11</v>
      </c>
      <c r="C3415" s="3" t="s">
        <v>529</v>
      </c>
      <c r="D3415" s="2"/>
      <c r="E3415" s="2" t="e">
        <f t="shared" si="0"/>
        <v>#VALUE!</v>
      </c>
    </row>
    <row r="3416" spans="1:5" ht="12.75" customHeight="1" x14ac:dyDescent="0.2">
      <c r="A3416" s="3"/>
      <c r="B3416" s="3" t="s">
        <v>18</v>
      </c>
      <c r="C3416" s="4" t="s">
        <v>19</v>
      </c>
      <c r="D3416" s="2"/>
      <c r="E3416" s="2" t="e">
        <f t="shared" si="0"/>
        <v>#VALUE!</v>
      </c>
    </row>
    <row r="3417" spans="1:5" ht="12.75" customHeight="1" x14ac:dyDescent="0.2">
      <c r="A3417" s="1" t="str">
        <f>HYPERLINK("javascript:void(0)","píszkereszt")</f>
        <v>píszkereszt</v>
      </c>
      <c r="B3417" s="1"/>
      <c r="C3417" s="1"/>
      <c r="D3417" s="2"/>
      <c r="E3417" s="2" t="e">
        <f t="shared" si="0"/>
        <v>#VALUE!</v>
      </c>
    </row>
    <row r="3418" spans="1:5" ht="12.75" customHeight="1" x14ac:dyDescent="0.2">
      <c r="A3418" s="3"/>
      <c r="B3418" s="3" t="s">
        <v>0</v>
      </c>
      <c r="C3418" s="3" t="s">
        <v>21</v>
      </c>
      <c r="D3418" s="2"/>
      <c r="E3418" s="2" t="e">
        <f t="shared" si="0"/>
        <v>#VALUE!</v>
      </c>
    </row>
    <row r="3419" spans="1:5" ht="12.75" customHeight="1" x14ac:dyDescent="0.2">
      <c r="A3419" s="3"/>
      <c r="B3419" s="3" t="s">
        <v>2</v>
      </c>
      <c r="C3419" s="3" t="s">
        <v>458</v>
      </c>
      <c r="D3419" s="2"/>
      <c r="E3419" s="2" t="e">
        <f t="shared" si="0"/>
        <v>#VALUE!</v>
      </c>
    </row>
    <row r="3420" spans="1:5" ht="12.75" customHeight="1" x14ac:dyDescent="0.2">
      <c r="A3420" s="3"/>
      <c r="B3420" s="3" t="s">
        <v>9</v>
      </c>
      <c r="C3420" s="3" t="s">
        <v>637</v>
      </c>
      <c r="D3420" s="2"/>
      <c r="E3420" s="2" t="e">
        <f t="shared" si="0"/>
        <v>#VALUE!</v>
      </c>
    </row>
    <row r="3421" spans="1:5" ht="12.75" customHeight="1" x14ac:dyDescent="0.2">
      <c r="A3421" s="3"/>
      <c r="B3421" s="3" t="s">
        <v>11</v>
      </c>
      <c r="C3421" s="3" t="s">
        <v>395</v>
      </c>
      <c r="D3421" s="2"/>
      <c r="E3421" s="2" t="e">
        <f t="shared" si="0"/>
        <v>#VALUE!</v>
      </c>
    </row>
    <row r="3422" spans="1:5" ht="12.75" customHeight="1" x14ac:dyDescent="0.2">
      <c r="A3422" s="3"/>
      <c r="B3422" s="3" t="s">
        <v>18</v>
      </c>
      <c r="C3422" s="4" t="s">
        <v>19</v>
      </c>
      <c r="D3422" s="2"/>
      <c r="E3422" s="2" t="e">
        <f t="shared" si="0"/>
        <v>#VALUE!</v>
      </c>
    </row>
    <row r="3423" spans="1:5" ht="12.75" customHeight="1" x14ac:dyDescent="0.2">
      <c r="A3423" s="1" t="str">
        <f>HYPERLINK("javascript:void(0)","pókpotroh")</f>
        <v>pókpotroh</v>
      </c>
      <c r="B3423" s="1"/>
      <c r="C3423" s="1"/>
      <c r="D3423" s="2"/>
      <c r="E3423" s="2" t="e">
        <f t="shared" si="0"/>
        <v>#VALUE!</v>
      </c>
    </row>
    <row r="3424" spans="1:5" ht="12.75" customHeight="1" x14ac:dyDescent="0.2">
      <c r="A3424" s="3"/>
      <c r="B3424" s="3" t="s">
        <v>0</v>
      </c>
      <c r="C3424" s="3" t="s">
        <v>21</v>
      </c>
      <c r="D3424" s="2"/>
      <c r="E3424" s="2" t="e">
        <f t="shared" si="0"/>
        <v>#VALUE!</v>
      </c>
    </row>
    <row r="3425" spans="1:5" ht="12.75" customHeight="1" x14ac:dyDescent="0.2">
      <c r="A3425" s="3"/>
      <c r="B3425" s="3" t="s">
        <v>2</v>
      </c>
      <c r="C3425" s="3" t="s">
        <v>387</v>
      </c>
      <c r="D3425" s="2"/>
      <c r="E3425" s="2" t="e">
        <f t="shared" si="0"/>
        <v>#VALUE!</v>
      </c>
    </row>
    <row r="3426" spans="1:5" ht="12.75" customHeight="1" x14ac:dyDescent="0.2">
      <c r="A3426" s="3"/>
      <c r="B3426" s="3" t="s">
        <v>9</v>
      </c>
      <c r="C3426" s="3" t="s">
        <v>137</v>
      </c>
      <c r="D3426" s="2"/>
      <c r="E3426" s="2" t="e">
        <f t="shared" si="0"/>
        <v>#VALUE!</v>
      </c>
    </row>
    <row r="3427" spans="1:5" ht="12.75" customHeight="1" x14ac:dyDescent="0.2">
      <c r="A3427" s="3"/>
      <c r="B3427" s="3" t="s">
        <v>11</v>
      </c>
      <c r="C3427" s="3" t="s">
        <v>23</v>
      </c>
      <c r="D3427" s="2"/>
      <c r="E3427" s="2" t="e">
        <f t="shared" si="0"/>
        <v>#VALUE!</v>
      </c>
    </row>
    <row r="3428" spans="1:5" ht="12.75" customHeight="1" x14ac:dyDescent="0.2">
      <c r="A3428" s="3"/>
      <c r="B3428" s="3" t="s">
        <v>16</v>
      </c>
      <c r="C3428" s="3" t="s">
        <v>388</v>
      </c>
      <c r="D3428" s="2"/>
      <c r="E3428" s="2" t="e">
        <f t="shared" si="0"/>
        <v>#VALUE!</v>
      </c>
    </row>
    <row r="3429" spans="1:5" ht="12.75" customHeight="1" x14ac:dyDescent="0.2">
      <c r="A3429" s="3"/>
      <c r="B3429" s="3" t="s">
        <v>18</v>
      </c>
      <c r="C3429" s="4" t="s">
        <v>19</v>
      </c>
      <c r="D3429" s="2"/>
      <c r="E3429" s="2" t="e">
        <f t="shared" si="0"/>
        <v>#VALUE!</v>
      </c>
    </row>
    <row r="3430" spans="1:5" ht="12.75" customHeight="1" x14ac:dyDescent="0.2">
      <c r="A3430" s="1" t="str">
        <f>HYPERLINK("javascript:void(0)","pörgeszilánk")</f>
        <v>pörgeszilánk</v>
      </c>
      <c r="B3430" s="1"/>
      <c r="C3430" s="1"/>
      <c r="D3430" s="2"/>
      <c r="E3430" s="2" t="e">
        <f t="shared" si="0"/>
        <v>#VALUE!</v>
      </c>
    </row>
    <row r="3431" spans="1:5" ht="12.75" customHeight="1" x14ac:dyDescent="0.2">
      <c r="A3431" s="3"/>
      <c r="B3431" s="3" t="s">
        <v>0</v>
      </c>
      <c r="C3431" s="3" t="s">
        <v>21</v>
      </c>
      <c r="D3431" s="2"/>
      <c r="E3431" s="2" t="e">
        <f t="shared" si="0"/>
        <v>#VALUE!</v>
      </c>
    </row>
    <row r="3432" spans="1:5" ht="12.75" customHeight="1" x14ac:dyDescent="0.2">
      <c r="A3432" s="3"/>
      <c r="B3432" s="3" t="s">
        <v>2</v>
      </c>
      <c r="C3432" s="3" t="s">
        <v>458</v>
      </c>
      <c r="D3432" s="2"/>
      <c r="E3432" s="2" t="e">
        <f t="shared" si="0"/>
        <v>#VALUE!</v>
      </c>
    </row>
    <row r="3433" spans="1:5" ht="12.75" customHeight="1" x14ac:dyDescent="0.2">
      <c r="A3433" s="3"/>
      <c r="B3433" s="3" t="s">
        <v>9</v>
      </c>
      <c r="C3433" s="3" t="s">
        <v>124</v>
      </c>
      <c r="D3433" s="2"/>
      <c r="E3433" s="2" t="e">
        <f t="shared" si="0"/>
        <v>#VALUE!</v>
      </c>
    </row>
    <row r="3434" spans="1:5" ht="12.75" customHeight="1" x14ac:dyDescent="0.2">
      <c r="A3434" s="3"/>
      <c r="B3434" s="3" t="s">
        <v>11</v>
      </c>
      <c r="C3434" s="3" t="s">
        <v>252</v>
      </c>
      <c r="D3434" s="2"/>
      <c r="E3434" s="2" t="e">
        <f t="shared" si="0"/>
        <v>#VALUE!</v>
      </c>
    </row>
    <row r="3435" spans="1:5" ht="12.75" customHeight="1" x14ac:dyDescent="0.2">
      <c r="A3435" s="3"/>
      <c r="B3435" s="3" t="s">
        <v>18</v>
      </c>
      <c r="C3435" s="4" t="s">
        <v>19</v>
      </c>
      <c r="D3435" s="2"/>
      <c r="E3435" s="2" t="e">
        <f t="shared" si="0"/>
        <v>#VALUE!</v>
      </c>
    </row>
    <row r="3436" spans="1:5" ht="12.75" customHeight="1" x14ac:dyDescent="0.2">
      <c r="A3436" s="1" t="str">
        <f>HYPERLINK("javascript:void(0)","radiolium")</f>
        <v>radiolium</v>
      </c>
      <c r="B3436" s="1"/>
      <c r="C3436" s="1"/>
      <c r="D3436" s="2"/>
      <c r="E3436" s="2" t="e">
        <f t="shared" si="0"/>
        <v>#VALUE!</v>
      </c>
    </row>
    <row r="3437" spans="1:5" ht="12.75" customHeight="1" x14ac:dyDescent="0.2">
      <c r="A3437" s="3"/>
      <c r="B3437" s="3" t="s">
        <v>0</v>
      </c>
      <c r="C3437" s="3" t="s">
        <v>21</v>
      </c>
      <c r="D3437" s="2"/>
      <c r="E3437" s="2" t="e">
        <f t="shared" si="0"/>
        <v>#VALUE!</v>
      </c>
    </row>
    <row r="3438" spans="1:5" ht="12.75" customHeight="1" x14ac:dyDescent="0.2">
      <c r="A3438" s="3"/>
      <c r="B3438" s="3" t="s">
        <v>2</v>
      </c>
      <c r="C3438" s="3" t="s">
        <v>564</v>
      </c>
      <c r="D3438" s="2"/>
      <c r="E3438" s="2" t="e">
        <f t="shared" si="0"/>
        <v>#VALUE!</v>
      </c>
    </row>
    <row r="3439" spans="1:5" ht="12.75" customHeight="1" x14ac:dyDescent="0.2">
      <c r="A3439" s="3"/>
      <c r="B3439" s="3" t="s">
        <v>9</v>
      </c>
      <c r="C3439" s="3" t="s">
        <v>1521</v>
      </c>
      <c r="D3439" s="2"/>
      <c r="E3439" s="2" t="e">
        <f t="shared" si="0"/>
        <v>#VALUE!</v>
      </c>
    </row>
    <row r="3440" spans="1:5" ht="12.75" customHeight="1" x14ac:dyDescent="0.2">
      <c r="A3440" s="3"/>
      <c r="B3440" s="3" t="s">
        <v>11</v>
      </c>
      <c r="C3440" s="3" t="s">
        <v>1522</v>
      </c>
      <c r="D3440" s="2"/>
      <c r="E3440" s="2" t="e">
        <f t="shared" si="0"/>
        <v>#VALUE!</v>
      </c>
    </row>
    <row r="3441" spans="1:5" ht="12.75" customHeight="1" x14ac:dyDescent="0.2">
      <c r="A3441" s="3"/>
      <c r="B3441" s="3" t="s">
        <v>18</v>
      </c>
      <c r="C3441" s="4" t="s">
        <v>19</v>
      </c>
      <c r="D3441" s="2"/>
      <c r="E3441" s="2" t="e">
        <f t="shared" si="0"/>
        <v>#VALUE!</v>
      </c>
    </row>
    <row r="3442" spans="1:5" ht="12.75" customHeight="1" x14ac:dyDescent="0.2">
      <c r="A3442" s="1" t="str">
        <f>HYPERLINK("javascript:void(0)","ragya")</f>
        <v>ragya</v>
      </c>
      <c r="B3442" s="1"/>
      <c r="C3442" s="1"/>
      <c r="D3442" s="2"/>
      <c r="E3442" s="2" t="e">
        <f t="shared" si="0"/>
        <v>#VALUE!</v>
      </c>
    </row>
    <row r="3443" spans="1:5" ht="12.75" customHeight="1" x14ac:dyDescent="0.2">
      <c r="A3443" s="3"/>
      <c r="B3443" s="3" t="s">
        <v>0</v>
      </c>
      <c r="C3443" s="3" t="s">
        <v>21</v>
      </c>
      <c r="D3443" s="2"/>
      <c r="E3443" s="2" t="e">
        <f t="shared" si="0"/>
        <v>#VALUE!</v>
      </c>
    </row>
    <row r="3444" spans="1:5" ht="12.75" customHeight="1" x14ac:dyDescent="0.2">
      <c r="A3444" s="3"/>
      <c r="B3444" s="3" t="s">
        <v>2</v>
      </c>
      <c r="C3444" s="3" t="s">
        <v>458</v>
      </c>
      <c r="D3444" s="2"/>
      <c r="E3444" s="2" t="e">
        <f t="shared" si="0"/>
        <v>#VALUE!</v>
      </c>
    </row>
    <row r="3445" spans="1:5" ht="12.75" customHeight="1" x14ac:dyDescent="0.2">
      <c r="A3445" s="3"/>
      <c r="B3445" s="3" t="s">
        <v>9</v>
      </c>
      <c r="C3445" s="3" t="s">
        <v>969</v>
      </c>
      <c r="D3445" s="2"/>
      <c r="E3445" s="2" t="e">
        <f t="shared" si="0"/>
        <v>#VALUE!</v>
      </c>
    </row>
    <row r="3446" spans="1:5" ht="12.75" customHeight="1" x14ac:dyDescent="0.2">
      <c r="A3446" s="3"/>
      <c r="B3446" s="3" t="s">
        <v>11</v>
      </c>
      <c r="C3446" s="3" t="s">
        <v>457</v>
      </c>
      <c r="D3446" s="2"/>
      <c r="E3446" s="2" t="e">
        <f t="shared" si="0"/>
        <v>#VALUE!</v>
      </c>
    </row>
    <row r="3447" spans="1:5" ht="12.75" customHeight="1" x14ac:dyDescent="0.2">
      <c r="A3447" s="3"/>
      <c r="B3447" s="3" t="s">
        <v>18</v>
      </c>
      <c r="C3447" s="4" t="s">
        <v>19</v>
      </c>
      <c r="D3447" s="2"/>
      <c r="E3447" s="2" t="e">
        <f t="shared" si="0"/>
        <v>#VALUE!</v>
      </c>
    </row>
    <row r="3448" spans="1:5" ht="12.75" customHeight="1" x14ac:dyDescent="0.2">
      <c r="A3448" s="1" t="str">
        <f>HYPERLINK("javascript:void(0)","ragály szablya")</f>
        <v>ragály szablya</v>
      </c>
      <c r="B3448" s="1"/>
      <c r="C3448" s="1"/>
      <c r="D3448" s="2"/>
      <c r="E3448" s="2" t="e">
        <f t="shared" si="0"/>
        <v>#VALUE!</v>
      </c>
    </row>
    <row r="3449" spans="1:5" ht="12.75" customHeight="1" x14ac:dyDescent="0.2">
      <c r="A3449" s="3"/>
      <c r="B3449" s="3" t="s">
        <v>0</v>
      </c>
      <c r="C3449" s="3" t="s">
        <v>21</v>
      </c>
      <c r="D3449" s="2"/>
      <c r="E3449" s="2" t="e">
        <f t="shared" si="0"/>
        <v>#VALUE!</v>
      </c>
    </row>
    <row r="3450" spans="1:5" ht="12.75" customHeight="1" x14ac:dyDescent="0.2">
      <c r="A3450" s="3"/>
      <c r="B3450" s="3" t="s">
        <v>2</v>
      </c>
      <c r="C3450" s="3" t="s">
        <v>387</v>
      </c>
      <c r="D3450" s="2"/>
      <c r="E3450" s="2" t="e">
        <f t="shared" si="0"/>
        <v>#VALUE!</v>
      </c>
    </row>
    <row r="3451" spans="1:5" ht="12.75" customHeight="1" x14ac:dyDescent="0.2">
      <c r="A3451" s="3"/>
      <c r="B3451" s="3" t="s">
        <v>9</v>
      </c>
      <c r="C3451" s="3" t="s">
        <v>42</v>
      </c>
      <c r="D3451" s="2"/>
      <c r="E3451" s="2" t="e">
        <f t="shared" si="0"/>
        <v>#VALUE!</v>
      </c>
    </row>
    <row r="3452" spans="1:5" ht="12.75" customHeight="1" x14ac:dyDescent="0.2">
      <c r="A3452" s="3"/>
      <c r="B3452" s="3" t="s">
        <v>11</v>
      </c>
      <c r="C3452" s="3" t="s">
        <v>23</v>
      </c>
      <c r="D3452" s="2"/>
      <c r="E3452" s="2" t="e">
        <f t="shared" si="0"/>
        <v>#VALUE!</v>
      </c>
    </row>
    <row r="3453" spans="1:5" ht="12.75" customHeight="1" x14ac:dyDescent="0.2">
      <c r="A3453" s="3"/>
      <c r="B3453" s="3" t="s">
        <v>16</v>
      </c>
      <c r="C3453" s="3" t="s">
        <v>388</v>
      </c>
      <c r="D3453" s="2"/>
      <c r="E3453" s="2" t="e">
        <f t="shared" si="0"/>
        <v>#VALUE!</v>
      </c>
    </row>
    <row r="3454" spans="1:5" ht="12.75" customHeight="1" x14ac:dyDescent="0.2">
      <c r="A3454" s="3"/>
      <c r="B3454" s="3" t="s">
        <v>18</v>
      </c>
      <c r="C3454" s="4" t="s">
        <v>19</v>
      </c>
      <c r="D3454" s="2"/>
      <c r="E3454" s="2" t="e">
        <f t="shared" si="0"/>
        <v>#VALUE!</v>
      </c>
    </row>
    <row r="3455" spans="1:5" ht="12.75" customHeight="1" x14ac:dyDescent="0.2">
      <c r="A3455" s="1" t="str">
        <f>HYPERLINK("javascript:void(0)","rangjel")</f>
        <v>rangjel</v>
      </c>
      <c r="B3455" s="1"/>
      <c r="C3455" s="1"/>
      <c r="D3455" s="2"/>
      <c r="E3455" s="2" t="e">
        <f t="shared" si="0"/>
        <v>#VALUE!</v>
      </c>
    </row>
    <row r="3456" spans="1:5" ht="12.75" customHeight="1" x14ac:dyDescent="0.2">
      <c r="A3456" s="3"/>
      <c r="B3456" s="3" t="s">
        <v>0</v>
      </c>
      <c r="C3456" s="3" t="s">
        <v>21</v>
      </c>
      <c r="D3456" s="2"/>
      <c r="E3456" s="2" t="e">
        <f t="shared" si="0"/>
        <v>#VALUE!</v>
      </c>
    </row>
    <row r="3457" spans="1:5" ht="12.75" customHeight="1" x14ac:dyDescent="0.2">
      <c r="A3457" s="3"/>
      <c r="B3457" s="3" t="s">
        <v>2</v>
      </c>
      <c r="C3457" s="3" t="s">
        <v>458</v>
      </c>
      <c r="D3457" s="2"/>
      <c r="E3457" s="2" t="e">
        <f t="shared" si="0"/>
        <v>#VALUE!</v>
      </c>
    </row>
    <row r="3458" spans="1:5" ht="12.75" customHeight="1" x14ac:dyDescent="0.2">
      <c r="A3458" s="3"/>
      <c r="B3458" s="3" t="s">
        <v>9</v>
      </c>
      <c r="C3458" s="3" t="s">
        <v>22</v>
      </c>
      <c r="D3458" s="2"/>
      <c r="E3458" s="2" t="e">
        <f t="shared" si="0"/>
        <v>#VALUE!</v>
      </c>
    </row>
    <row r="3459" spans="1:5" ht="12.75" customHeight="1" x14ac:dyDescent="0.2">
      <c r="A3459" s="3"/>
      <c r="B3459" s="3" t="s">
        <v>11</v>
      </c>
      <c r="C3459" s="3" t="s">
        <v>505</v>
      </c>
      <c r="D3459" s="2"/>
      <c r="E3459" s="2" t="e">
        <f t="shared" si="0"/>
        <v>#VALUE!</v>
      </c>
    </row>
    <row r="3460" spans="1:5" ht="12.75" customHeight="1" x14ac:dyDescent="0.2">
      <c r="A3460" s="3"/>
      <c r="B3460" s="3" t="s">
        <v>18</v>
      </c>
      <c r="C3460" s="4" t="s">
        <v>19</v>
      </c>
      <c r="D3460" s="2"/>
      <c r="E3460" s="2" t="e">
        <f t="shared" si="0"/>
        <v>#VALUE!</v>
      </c>
    </row>
    <row r="3461" spans="1:5" ht="12.75" customHeight="1" x14ac:dyDescent="0.2">
      <c r="A3461" s="1" t="str">
        <f>HYPERLINK("javascript:void(0)","raszta")</f>
        <v>raszta</v>
      </c>
      <c r="B3461" s="1"/>
      <c r="C3461" s="1"/>
      <c r="D3461" s="2"/>
      <c r="E3461" s="2" t="e">
        <f t="shared" si="0"/>
        <v>#VALUE!</v>
      </c>
    </row>
    <row r="3462" spans="1:5" ht="12.75" customHeight="1" x14ac:dyDescent="0.2">
      <c r="A3462" s="3"/>
      <c r="B3462" s="3" t="s">
        <v>0</v>
      </c>
      <c r="C3462" s="3" t="s">
        <v>21</v>
      </c>
      <c r="D3462" s="2"/>
      <c r="E3462" s="2" t="e">
        <f t="shared" si="0"/>
        <v>#VALUE!</v>
      </c>
    </row>
    <row r="3463" spans="1:5" ht="12.75" customHeight="1" x14ac:dyDescent="0.2">
      <c r="A3463" s="3"/>
      <c r="B3463" s="3" t="s">
        <v>2</v>
      </c>
      <c r="C3463" s="3" t="s">
        <v>458</v>
      </c>
      <c r="D3463" s="2"/>
      <c r="E3463" s="2" t="e">
        <f t="shared" si="0"/>
        <v>#VALUE!</v>
      </c>
    </row>
    <row r="3464" spans="1:5" ht="12.75" customHeight="1" x14ac:dyDescent="0.2">
      <c r="A3464" s="3"/>
      <c r="B3464" s="3" t="s">
        <v>9</v>
      </c>
      <c r="C3464" s="3" t="s">
        <v>30</v>
      </c>
      <c r="D3464" s="2"/>
      <c r="E3464" s="2" t="e">
        <f t="shared" si="0"/>
        <v>#VALUE!</v>
      </c>
    </row>
    <row r="3465" spans="1:5" ht="12.75" customHeight="1" x14ac:dyDescent="0.2">
      <c r="A3465" s="3"/>
      <c r="B3465" s="3" t="s">
        <v>11</v>
      </c>
      <c r="C3465" s="3" t="s">
        <v>227</v>
      </c>
      <c r="D3465" s="2"/>
      <c r="E3465" s="2" t="e">
        <f t="shared" si="0"/>
        <v>#VALUE!</v>
      </c>
    </row>
    <row r="3466" spans="1:5" ht="12.75" customHeight="1" x14ac:dyDescent="0.2">
      <c r="A3466" s="3"/>
      <c r="B3466" s="3" t="s">
        <v>18</v>
      </c>
      <c r="C3466" s="4" t="s">
        <v>19</v>
      </c>
      <c r="D3466" s="2"/>
      <c r="E3466" s="2" t="e">
        <f t="shared" si="0"/>
        <v>#VALUE!</v>
      </c>
    </row>
    <row r="3467" spans="1:5" ht="12.75" customHeight="1" x14ac:dyDescent="0.2">
      <c r="A3467" s="1" t="str">
        <f>HYPERLINK("javascript:void(0)","regeneráció itala")</f>
        <v>regeneráció itala</v>
      </c>
      <c r="B3467" s="1"/>
      <c r="C3467" s="1"/>
      <c r="D3467" s="2"/>
      <c r="E3467" s="2" t="e">
        <f t="shared" si="0"/>
        <v>#VALUE!</v>
      </c>
    </row>
    <row r="3468" spans="1:5" ht="12.75" customHeight="1" x14ac:dyDescent="0.2">
      <c r="A3468" s="3"/>
      <c r="B3468" s="3" t="s">
        <v>0</v>
      </c>
      <c r="C3468" s="3" t="s">
        <v>21</v>
      </c>
      <c r="D3468" s="2"/>
      <c r="E3468" s="2" t="e">
        <f t="shared" si="0"/>
        <v>#VALUE!</v>
      </c>
    </row>
    <row r="3469" spans="1:5" ht="12.75" customHeight="1" x14ac:dyDescent="0.2">
      <c r="A3469" s="3"/>
      <c r="B3469" s="3" t="s">
        <v>2</v>
      </c>
      <c r="C3469" s="3" t="s">
        <v>557</v>
      </c>
      <c r="D3469" s="2"/>
      <c r="E3469" s="2" t="e">
        <f t="shared" si="0"/>
        <v>#VALUE!</v>
      </c>
    </row>
    <row r="3470" spans="1:5" ht="12.75" customHeight="1" x14ac:dyDescent="0.2">
      <c r="A3470" s="3"/>
      <c r="B3470" s="3" t="s">
        <v>9</v>
      </c>
      <c r="C3470" s="3" t="s">
        <v>22</v>
      </c>
      <c r="D3470" s="2"/>
      <c r="E3470" s="2" t="e">
        <f t="shared" si="0"/>
        <v>#VALUE!</v>
      </c>
    </row>
    <row r="3471" spans="1:5" ht="12.75" customHeight="1" x14ac:dyDescent="0.2">
      <c r="A3471" s="3"/>
      <c r="B3471" s="3" t="s">
        <v>11</v>
      </c>
      <c r="C3471" s="3" t="s">
        <v>23</v>
      </c>
      <c r="D3471" s="2"/>
      <c r="E3471" s="2" t="e">
        <f t="shared" si="0"/>
        <v>#VALUE!</v>
      </c>
    </row>
    <row r="3472" spans="1:5" ht="12.75" customHeight="1" x14ac:dyDescent="0.2">
      <c r="A3472" s="3"/>
      <c r="B3472" s="3" t="s">
        <v>16</v>
      </c>
      <c r="C3472" s="3" t="s">
        <v>1529</v>
      </c>
      <c r="D3472" s="2"/>
      <c r="E3472" s="2" t="e">
        <f t="shared" si="0"/>
        <v>#VALUE!</v>
      </c>
    </row>
    <row r="3473" spans="1:5" ht="12.75" customHeight="1" x14ac:dyDescent="0.2">
      <c r="A3473" s="3"/>
      <c r="B3473" s="3" t="s">
        <v>18</v>
      </c>
      <c r="C3473" s="4" t="s">
        <v>19</v>
      </c>
      <c r="D3473" s="2"/>
      <c r="E3473" s="2" t="e">
        <f t="shared" si="0"/>
        <v>#VALUE!</v>
      </c>
    </row>
    <row r="3474" spans="1:5" ht="12.75" customHeight="1" x14ac:dyDescent="0.2">
      <c r="A3474" s="1" t="str">
        <f>HYPERLINK("javascript:void(0)","regnum")</f>
        <v>regnum</v>
      </c>
      <c r="B3474" s="1"/>
      <c r="C3474" s="1"/>
      <c r="D3474" s="2"/>
      <c r="E3474" s="2" t="e">
        <f t="shared" si="0"/>
        <v>#VALUE!</v>
      </c>
    </row>
    <row r="3475" spans="1:5" ht="12.75" customHeight="1" x14ac:dyDescent="0.2">
      <c r="A3475" s="3"/>
      <c r="B3475" s="3" t="s">
        <v>0</v>
      </c>
      <c r="C3475" s="3" t="s">
        <v>21</v>
      </c>
      <c r="D3475" s="2"/>
      <c r="E3475" s="2" t="e">
        <f t="shared" si="0"/>
        <v>#VALUE!</v>
      </c>
    </row>
    <row r="3476" spans="1:5" ht="12.75" customHeight="1" x14ac:dyDescent="0.2">
      <c r="A3476" s="3"/>
      <c r="B3476" s="3" t="s">
        <v>2</v>
      </c>
      <c r="C3476" s="3" t="s">
        <v>458</v>
      </c>
      <c r="D3476" s="2"/>
      <c r="E3476" s="2" t="e">
        <f t="shared" si="0"/>
        <v>#VALUE!</v>
      </c>
    </row>
    <row r="3477" spans="1:5" ht="12.75" customHeight="1" x14ac:dyDescent="0.2">
      <c r="A3477" s="3"/>
      <c r="B3477" s="3" t="s">
        <v>9</v>
      </c>
      <c r="C3477" s="3" t="s">
        <v>1530</v>
      </c>
      <c r="D3477" s="2"/>
      <c r="E3477" s="2" t="e">
        <f t="shared" si="0"/>
        <v>#VALUE!</v>
      </c>
    </row>
    <row r="3478" spans="1:5" ht="12.75" customHeight="1" x14ac:dyDescent="0.2">
      <c r="A3478" s="3"/>
      <c r="B3478" s="3" t="s">
        <v>11</v>
      </c>
      <c r="C3478" s="3" t="s">
        <v>1531</v>
      </c>
      <c r="D3478" s="2"/>
      <c r="E3478" s="2" t="e">
        <f t="shared" si="0"/>
        <v>#VALUE!</v>
      </c>
    </row>
    <row r="3479" spans="1:5" ht="12.75" customHeight="1" x14ac:dyDescent="0.2">
      <c r="A3479" s="3"/>
      <c r="B3479" s="3" t="s">
        <v>18</v>
      </c>
      <c r="C3479" s="4" t="s">
        <v>19</v>
      </c>
      <c r="D3479" s="2"/>
      <c r="E3479" s="2" t="e">
        <f t="shared" si="0"/>
        <v>#VALUE!</v>
      </c>
    </row>
    <row r="3480" spans="1:5" ht="12.75" customHeight="1" x14ac:dyDescent="0.2">
      <c r="A3480" s="1" t="str">
        <f>HYPERLINK("javascript:void(0)","rejteknyúl")</f>
        <v>rejteknyúl</v>
      </c>
      <c r="B3480" s="1"/>
      <c r="C3480" s="1"/>
      <c r="D3480" s="2"/>
      <c r="E3480" s="2" t="e">
        <f t="shared" si="0"/>
        <v>#VALUE!</v>
      </c>
    </row>
    <row r="3481" spans="1:5" ht="12.75" customHeight="1" x14ac:dyDescent="0.2">
      <c r="A3481" s="3"/>
      <c r="B3481" s="3" t="s">
        <v>0</v>
      </c>
      <c r="C3481" s="3" t="s">
        <v>21</v>
      </c>
      <c r="D3481" s="2"/>
      <c r="E3481" s="2" t="e">
        <f t="shared" si="0"/>
        <v>#VALUE!</v>
      </c>
    </row>
    <row r="3482" spans="1:5" ht="12.75" customHeight="1" x14ac:dyDescent="0.2">
      <c r="A3482" s="3"/>
      <c r="B3482" s="3" t="s">
        <v>2</v>
      </c>
      <c r="C3482" s="3" t="s">
        <v>458</v>
      </c>
      <c r="D3482" s="2"/>
      <c r="E3482" s="2" t="e">
        <f t="shared" si="0"/>
        <v>#VALUE!</v>
      </c>
    </row>
    <row r="3483" spans="1:5" ht="12.75" customHeight="1" x14ac:dyDescent="0.2">
      <c r="A3483" s="3"/>
      <c r="B3483" s="3" t="s">
        <v>9</v>
      </c>
      <c r="C3483" s="3" t="s">
        <v>22</v>
      </c>
      <c r="D3483" s="2"/>
      <c r="E3483" s="2" t="e">
        <f t="shared" si="0"/>
        <v>#VALUE!</v>
      </c>
    </row>
    <row r="3484" spans="1:5" ht="12.75" customHeight="1" x14ac:dyDescent="0.2">
      <c r="A3484" s="3"/>
      <c r="B3484" s="3" t="s">
        <v>11</v>
      </c>
      <c r="C3484" s="3" t="s">
        <v>519</v>
      </c>
      <c r="D3484" s="2"/>
      <c r="E3484" s="2" t="e">
        <f t="shared" si="0"/>
        <v>#VALUE!</v>
      </c>
    </row>
    <row r="3485" spans="1:5" ht="12.75" customHeight="1" x14ac:dyDescent="0.2">
      <c r="A3485" s="3"/>
      <c r="B3485" s="3" t="s">
        <v>18</v>
      </c>
      <c r="C3485" s="4" t="s">
        <v>19</v>
      </c>
      <c r="D3485" s="2"/>
      <c r="E3485" s="2" t="e">
        <f t="shared" si="0"/>
        <v>#VALUE!</v>
      </c>
    </row>
    <row r="3486" spans="1:5" ht="12.75" customHeight="1" x14ac:dyDescent="0.2">
      <c r="A3486" s="1" t="str">
        <f>HYPERLINK("javascript:void(0)","rejtelem")</f>
        <v>rejtelem</v>
      </c>
      <c r="B3486" s="1"/>
      <c r="C3486" s="1"/>
      <c r="D3486" s="2"/>
      <c r="E3486" s="2" t="e">
        <f t="shared" si="0"/>
        <v>#VALUE!</v>
      </c>
    </row>
    <row r="3487" spans="1:5" ht="12.75" customHeight="1" x14ac:dyDescent="0.2">
      <c r="A3487" s="3"/>
      <c r="B3487" s="3" t="s">
        <v>0</v>
      </c>
      <c r="C3487" s="3" t="s">
        <v>21</v>
      </c>
      <c r="D3487" s="2"/>
      <c r="E3487" s="2" t="e">
        <f t="shared" si="0"/>
        <v>#VALUE!</v>
      </c>
    </row>
    <row r="3488" spans="1:5" ht="12.75" customHeight="1" x14ac:dyDescent="0.2">
      <c r="A3488" s="3"/>
      <c r="B3488" s="3" t="s">
        <v>2</v>
      </c>
      <c r="C3488" s="3" t="s">
        <v>458</v>
      </c>
      <c r="D3488" s="2"/>
      <c r="E3488" s="2" t="e">
        <f t="shared" si="0"/>
        <v>#VALUE!</v>
      </c>
    </row>
    <row r="3489" spans="1:5" ht="12.75" customHeight="1" x14ac:dyDescent="0.2">
      <c r="A3489" s="3"/>
      <c r="B3489" s="3" t="s">
        <v>9</v>
      </c>
      <c r="C3489" s="3" t="s">
        <v>22</v>
      </c>
      <c r="D3489" s="2"/>
      <c r="E3489" s="2" t="e">
        <f t="shared" si="0"/>
        <v>#VALUE!</v>
      </c>
    </row>
    <row r="3490" spans="1:5" ht="12.75" customHeight="1" x14ac:dyDescent="0.2">
      <c r="A3490" s="3"/>
      <c r="B3490" s="3" t="s">
        <v>11</v>
      </c>
      <c r="C3490" s="3" t="s">
        <v>108</v>
      </c>
      <c r="D3490" s="2"/>
      <c r="E3490" s="2" t="e">
        <f t="shared" si="0"/>
        <v>#VALUE!</v>
      </c>
    </row>
    <row r="3491" spans="1:5" ht="12.75" customHeight="1" x14ac:dyDescent="0.2">
      <c r="A3491" s="3"/>
      <c r="B3491" s="3" t="s">
        <v>18</v>
      </c>
      <c r="C3491" s="4" t="s">
        <v>19</v>
      </c>
      <c r="D3491" s="2"/>
      <c r="E3491" s="2" t="e">
        <f t="shared" si="0"/>
        <v>#VALUE!</v>
      </c>
    </row>
    <row r="3492" spans="1:5" ht="12.75" customHeight="1" x14ac:dyDescent="0.2">
      <c r="A3492" s="1" t="str">
        <f>HYPERLINK("javascript:void(0)","relativitás")</f>
        <v>relativitás</v>
      </c>
      <c r="B3492" s="1"/>
      <c r="C3492" s="1"/>
      <c r="D3492" s="2"/>
      <c r="E3492" s="2" t="e">
        <f t="shared" si="0"/>
        <v>#VALUE!</v>
      </c>
    </row>
    <row r="3493" spans="1:5" ht="12.75" customHeight="1" x14ac:dyDescent="0.2">
      <c r="A3493" s="3"/>
      <c r="B3493" s="3" t="s">
        <v>0</v>
      </c>
      <c r="C3493" s="3" t="s">
        <v>21</v>
      </c>
      <c r="D3493" s="2"/>
      <c r="E3493" s="2" t="e">
        <f t="shared" si="0"/>
        <v>#VALUE!</v>
      </c>
    </row>
    <row r="3494" spans="1:5" ht="12.75" customHeight="1" x14ac:dyDescent="0.2">
      <c r="A3494" s="3"/>
      <c r="B3494" s="3" t="s">
        <v>2</v>
      </c>
      <c r="C3494" s="3" t="s">
        <v>458</v>
      </c>
      <c r="D3494" s="2"/>
      <c r="E3494" s="2" t="e">
        <f t="shared" si="0"/>
        <v>#VALUE!</v>
      </c>
    </row>
    <row r="3495" spans="1:5" ht="12.75" customHeight="1" x14ac:dyDescent="0.2">
      <c r="A3495" s="3"/>
      <c r="B3495" s="3" t="s">
        <v>9</v>
      </c>
      <c r="C3495" s="3" t="s">
        <v>22</v>
      </c>
      <c r="D3495" s="2"/>
      <c r="E3495" s="2" t="e">
        <f t="shared" si="0"/>
        <v>#VALUE!</v>
      </c>
    </row>
    <row r="3496" spans="1:5" ht="12.75" customHeight="1" x14ac:dyDescent="0.2">
      <c r="A3496" s="3"/>
      <c r="B3496" s="3" t="s">
        <v>11</v>
      </c>
      <c r="C3496" s="3" t="s">
        <v>156</v>
      </c>
      <c r="D3496" s="2"/>
      <c r="E3496" s="2" t="e">
        <f t="shared" si="0"/>
        <v>#VALUE!</v>
      </c>
    </row>
    <row r="3497" spans="1:5" ht="12.75" customHeight="1" x14ac:dyDescent="0.2">
      <c r="A3497" s="3"/>
      <c r="B3497" s="3" t="s">
        <v>18</v>
      </c>
      <c r="C3497" s="4" t="s">
        <v>19</v>
      </c>
      <c r="D3497" s="2"/>
      <c r="E3497" s="2" t="e">
        <f t="shared" si="0"/>
        <v>#VALUE!</v>
      </c>
    </row>
    <row r="3498" spans="1:5" ht="12.75" customHeight="1" x14ac:dyDescent="0.2">
      <c r="A3498" s="1" t="str">
        <f>HYPERLINK("javascript:void(0)","reménytelenség")</f>
        <v>reménytelenség</v>
      </c>
      <c r="B3498" s="1"/>
      <c r="C3498" s="1"/>
      <c r="D3498" s="2"/>
      <c r="E3498" s="2" t="e">
        <f t="shared" si="0"/>
        <v>#VALUE!</v>
      </c>
    </row>
    <row r="3499" spans="1:5" ht="12.75" customHeight="1" x14ac:dyDescent="0.2">
      <c r="A3499" s="3"/>
      <c r="B3499" s="3" t="s">
        <v>0</v>
      </c>
      <c r="C3499" s="3" t="s">
        <v>21</v>
      </c>
      <c r="D3499" s="2"/>
      <c r="E3499" s="2" t="e">
        <f t="shared" si="0"/>
        <v>#VALUE!</v>
      </c>
    </row>
    <row r="3500" spans="1:5" ht="12.75" customHeight="1" x14ac:dyDescent="0.2">
      <c r="A3500" s="3"/>
      <c r="B3500" s="3" t="s">
        <v>2</v>
      </c>
      <c r="C3500" s="3" t="s">
        <v>458</v>
      </c>
      <c r="D3500" s="2"/>
      <c r="E3500" s="2" t="e">
        <f t="shared" si="0"/>
        <v>#VALUE!</v>
      </c>
    </row>
    <row r="3501" spans="1:5" ht="12.75" customHeight="1" x14ac:dyDescent="0.2">
      <c r="A3501" s="3"/>
      <c r="B3501" s="3" t="s">
        <v>9</v>
      </c>
      <c r="C3501" s="3" t="s">
        <v>22</v>
      </c>
      <c r="D3501" s="2"/>
      <c r="E3501" s="2" t="e">
        <f t="shared" si="0"/>
        <v>#VALUE!</v>
      </c>
    </row>
    <row r="3502" spans="1:5" ht="12.75" customHeight="1" x14ac:dyDescent="0.2">
      <c r="A3502" s="3"/>
      <c r="B3502" s="3" t="s">
        <v>11</v>
      </c>
      <c r="C3502" s="3" t="s">
        <v>276</v>
      </c>
      <c r="D3502" s="2"/>
      <c r="E3502" s="2" t="e">
        <f t="shared" si="0"/>
        <v>#VALUE!</v>
      </c>
    </row>
    <row r="3503" spans="1:5" ht="12.75" customHeight="1" x14ac:dyDescent="0.2">
      <c r="A3503" s="3"/>
      <c r="B3503" s="3" t="s">
        <v>18</v>
      </c>
      <c r="C3503" s="4" t="s">
        <v>19</v>
      </c>
      <c r="D3503" s="2"/>
      <c r="E3503" s="2" t="e">
        <f t="shared" si="0"/>
        <v>#VALUE!</v>
      </c>
    </row>
    <row r="3504" spans="1:5" ht="12.75" customHeight="1" x14ac:dyDescent="0.2">
      <c r="A3504" s="1" t="str">
        <f>HYPERLINK("javascript:void(0)","robbanófej")</f>
        <v>robbanófej</v>
      </c>
      <c r="B3504" s="1"/>
      <c r="C3504" s="1"/>
      <c r="D3504" s="2"/>
      <c r="E3504" s="2" t="e">
        <f t="shared" si="0"/>
        <v>#VALUE!</v>
      </c>
    </row>
    <row r="3505" spans="1:5" ht="12.75" customHeight="1" x14ac:dyDescent="0.2">
      <c r="A3505" s="3"/>
      <c r="B3505" s="3" t="s">
        <v>0</v>
      </c>
      <c r="C3505" s="3" t="s">
        <v>21</v>
      </c>
      <c r="D3505" s="2"/>
      <c r="E3505" s="2" t="e">
        <f t="shared" si="0"/>
        <v>#VALUE!</v>
      </c>
    </row>
    <row r="3506" spans="1:5" ht="12.75" customHeight="1" x14ac:dyDescent="0.2">
      <c r="A3506" s="3"/>
      <c r="B3506" s="3" t="s">
        <v>2</v>
      </c>
      <c r="C3506" s="3" t="s">
        <v>458</v>
      </c>
      <c r="D3506" s="2"/>
      <c r="E3506" s="2" t="e">
        <f t="shared" si="0"/>
        <v>#VALUE!</v>
      </c>
    </row>
    <row r="3507" spans="1:5" ht="12.75" customHeight="1" x14ac:dyDescent="0.2">
      <c r="A3507" s="3"/>
      <c r="B3507" s="3" t="s">
        <v>9</v>
      </c>
      <c r="C3507" s="3" t="s">
        <v>42</v>
      </c>
      <c r="D3507" s="2"/>
      <c r="E3507" s="2" t="e">
        <f t="shared" si="0"/>
        <v>#VALUE!</v>
      </c>
    </row>
    <row r="3508" spans="1:5" ht="12.75" customHeight="1" x14ac:dyDescent="0.2">
      <c r="A3508" s="3"/>
      <c r="B3508" s="3" t="s">
        <v>11</v>
      </c>
      <c r="C3508" s="3" t="s">
        <v>505</v>
      </c>
      <c r="D3508" s="2"/>
      <c r="E3508" s="2" t="e">
        <f t="shared" si="0"/>
        <v>#VALUE!</v>
      </c>
    </row>
    <row r="3509" spans="1:5" ht="12.75" customHeight="1" x14ac:dyDescent="0.2">
      <c r="A3509" s="3"/>
      <c r="B3509" s="3" t="s">
        <v>18</v>
      </c>
      <c r="C3509" s="4" t="s">
        <v>19</v>
      </c>
      <c r="D3509" s="2"/>
      <c r="E3509" s="2" t="e">
        <f t="shared" si="0"/>
        <v>#VALUE!</v>
      </c>
    </row>
    <row r="3510" spans="1:5" ht="12.75" customHeight="1" x14ac:dyDescent="0.2">
      <c r="A3510" s="1" t="str">
        <f>HYPERLINK("javascript:void(0)","rojt")</f>
        <v>rojt</v>
      </c>
      <c r="B3510" s="1"/>
      <c r="C3510" s="1"/>
      <c r="D3510" s="2"/>
      <c r="E3510" s="2" t="e">
        <f t="shared" si="0"/>
        <v>#VALUE!</v>
      </c>
    </row>
    <row r="3511" spans="1:5" ht="12.75" customHeight="1" x14ac:dyDescent="0.2">
      <c r="A3511" s="3"/>
      <c r="B3511" s="3" t="s">
        <v>0</v>
      </c>
      <c r="C3511" s="3" t="s">
        <v>21</v>
      </c>
      <c r="D3511" s="2"/>
      <c r="E3511" s="2" t="e">
        <f t="shared" si="0"/>
        <v>#VALUE!</v>
      </c>
    </row>
    <row r="3512" spans="1:5" ht="12.75" customHeight="1" x14ac:dyDescent="0.2">
      <c r="A3512" s="3"/>
      <c r="B3512" s="3" t="s">
        <v>2</v>
      </c>
      <c r="C3512" s="3" t="s">
        <v>458</v>
      </c>
      <c r="D3512" s="2"/>
      <c r="E3512" s="2" t="e">
        <f t="shared" si="0"/>
        <v>#VALUE!</v>
      </c>
    </row>
    <row r="3513" spans="1:5" ht="12.75" customHeight="1" x14ac:dyDescent="0.2">
      <c r="A3513" s="3"/>
      <c r="B3513" s="3" t="s">
        <v>9</v>
      </c>
      <c r="C3513" s="3" t="s">
        <v>22</v>
      </c>
      <c r="D3513" s="2"/>
      <c r="E3513" s="2" t="e">
        <f t="shared" si="0"/>
        <v>#VALUE!</v>
      </c>
    </row>
    <row r="3514" spans="1:5" ht="12.75" customHeight="1" x14ac:dyDescent="0.2">
      <c r="A3514" s="3"/>
      <c r="B3514" s="3" t="s">
        <v>11</v>
      </c>
      <c r="C3514" s="3" t="s">
        <v>227</v>
      </c>
      <c r="D3514" s="2"/>
      <c r="E3514" s="2" t="e">
        <f t="shared" si="0"/>
        <v>#VALUE!</v>
      </c>
    </row>
    <row r="3515" spans="1:5" ht="12.75" customHeight="1" x14ac:dyDescent="0.2">
      <c r="A3515" s="3"/>
      <c r="B3515" s="3" t="s">
        <v>18</v>
      </c>
      <c r="C3515" s="4" t="s">
        <v>19</v>
      </c>
      <c r="D3515" s="2"/>
      <c r="E3515" s="2" t="e">
        <f t="shared" si="0"/>
        <v>#VALUE!</v>
      </c>
    </row>
    <row r="3516" spans="1:5" ht="12.75" customHeight="1" x14ac:dyDescent="0.2">
      <c r="A3516" s="1" t="str">
        <f>HYPERLINK("javascript:void(0)","roncogás")</f>
        <v>roncogás</v>
      </c>
      <c r="B3516" s="1"/>
      <c r="C3516" s="1"/>
      <c r="D3516" s="2"/>
      <c r="E3516" s="2" t="e">
        <f t="shared" si="0"/>
        <v>#VALUE!</v>
      </c>
    </row>
    <row r="3517" spans="1:5" ht="12.75" customHeight="1" x14ac:dyDescent="0.2">
      <c r="A3517" s="3"/>
      <c r="B3517" s="3" t="s">
        <v>0</v>
      </c>
      <c r="C3517" s="3" t="s">
        <v>21</v>
      </c>
      <c r="D3517" s="2"/>
      <c r="E3517" s="2" t="e">
        <f t="shared" si="0"/>
        <v>#VALUE!</v>
      </c>
    </row>
    <row r="3518" spans="1:5" ht="12.75" customHeight="1" x14ac:dyDescent="0.2">
      <c r="A3518" s="3"/>
      <c r="B3518" s="3" t="s">
        <v>2</v>
      </c>
      <c r="C3518" s="3" t="s">
        <v>458</v>
      </c>
      <c r="D3518" s="2"/>
      <c r="E3518" s="2" t="e">
        <f t="shared" si="0"/>
        <v>#VALUE!</v>
      </c>
    </row>
    <row r="3519" spans="1:5" ht="12.75" customHeight="1" x14ac:dyDescent="0.2">
      <c r="A3519" s="3"/>
      <c r="B3519" s="3" t="s">
        <v>9</v>
      </c>
      <c r="C3519" s="3" t="s">
        <v>1539</v>
      </c>
      <c r="D3519" s="2"/>
      <c r="E3519" s="2" t="e">
        <f t="shared" si="0"/>
        <v>#VALUE!</v>
      </c>
    </row>
    <row r="3520" spans="1:5" ht="12.75" customHeight="1" x14ac:dyDescent="0.2">
      <c r="A3520" s="3"/>
      <c r="B3520" s="3" t="s">
        <v>11</v>
      </c>
      <c r="C3520" s="3" t="s">
        <v>610</v>
      </c>
      <c r="D3520" s="2"/>
      <c r="E3520" s="2" t="e">
        <f t="shared" si="0"/>
        <v>#VALUE!</v>
      </c>
    </row>
    <row r="3521" spans="1:5" ht="12.75" customHeight="1" x14ac:dyDescent="0.2">
      <c r="A3521" s="3"/>
      <c r="B3521" s="3" t="s">
        <v>18</v>
      </c>
      <c r="C3521" s="4" t="s">
        <v>19</v>
      </c>
      <c r="D3521" s="2"/>
      <c r="E3521" s="2" t="e">
        <f t="shared" si="0"/>
        <v>#VALUE!</v>
      </c>
    </row>
    <row r="3522" spans="1:5" ht="12.75" customHeight="1" x14ac:dyDescent="0.2">
      <c r="A3522" s="1" t="str">
        <f>HYPERLINK("javascript:void(0)","rotorlapát")</f>
        <v>rotorlapát</v>
      </c>
      <c r="B3522" s="1"/>
      <c r="C3522" s="1"/>
      <c r="D3522" s="2"/>
      <c r="E3522" s="2" t="e">
        <f t="shared" si="0"/>
        <v>#VALUE!</v>
      </c>
    </row>
    <row r="3523" spans="1:5" ht="12.75" customHeight="1" x14ac:dyDescent="0.2">
      <c r="A3523" s="3"/>
      <c r="B3523" s="3" t="s">
        <v>0</v>
      </c>
      <c r="C3523" s="3" t="s">
        <v>21</v>
      </c>
      <c r="D3523" s="2"/>
      <c r="E3523" s="2" t="e">
        <f t="shared" si="0"/>
        <v>#VALUE!</v>
      </c>
    </row>
    <row r="3524" spans="1:5" ht="12.75" customHeight="1" x14ac:dyDescent="0.2">
      <c r="A3524" s="3"/>
      <c r="B3524" s="3" t="s">
        <v>2</v>
      </c>
      <c r="C3524" s="3" t="s">
        <v>458</v>
      </c>
      <c r="D3524" s="2"/>
      <c r="E3524" s="2" t="e">
        <f t="shared" si="0"/>
        <v>#VALUE!</v>
      </c>
    </row>
    <row r="3525" spans="1:5" ht="12.75" customHeight="1" x14ac:dyDescent="0.2">
      <c r="A3525" s="3"/>
      <c r="B3525" s="3" t="s">
        <v>9</v>
      </c>
      <c r="C3525" s="3" t="s">
        <v>93</v>
      </c>
      <c r="D3525" s="2"/>
      <c r="E3525" s="2" t="e">
        <f t="shared" si="0"/>
        <v>#VALUE!</v>
      </c>
    </row>
    <row r="3526" spans="1:5" ht="12.75" customHeight="1" x14ac:dyDescent="0.2">
      <c r="A3526" s="3"/>
      <c r="B3526" s="3" t="s">
        <v>11</v>
      </c>
      <c r="C3526" s="3" t="s">
        <v>168</v>
      </c>
      <c r="D3526" s="2"/>
      <c r="E3526" s="2" t="e">
        <f t="shared" si="0"/>
        <v>#VALUE!</v>
      </c>
    </row>
    <row r="3527" spans="1:5" ht="12.75" customHeight="1" x14ac:dyDescent="0.2">
      <c r="A3527" s="3"/>
      <c r="B3527" s="3" t="s">
        <v>18</v>
      </c>
      <c r="C3527" s="4" t="s">
        <v>19</v>
      </c>
      <c r="D3527" s="2"/>
      <c r="E3527" s="2" t="e">
        <f t="shared" si="0"/>
        <v>#VALUE!</v>
      </c>
    </row>
    <row r="3528" spans="1:5" ht="12.75" customHeight="1" x14ac:dyDescent="0.2">
      <c r="A3528" s="1" t="str">
        <f>HYPERLINK("javascript:void(0)","rozmáragyar")</f>
        <v>rozmáragyar</v>
      </c>
      <c r="B3528" s="1"/>
      <c r="C3528" s="1"/>
      <c r="D3528" s="2"/>
      <c r="E3528" s="2" t="e">
        <f t="shared" si="0"/>
        <v>#VALUE!</v>
      </c>
    </row>
    <row r="3529" spans="1:5" ht="12.75" customHeight="1" x14ac:dyDescent="0.2">
      <c r="A3529" s="3"/>
      <c r="B3529" s="3" t="s">
        <v>0</v>
      </c>
      <c r="C3529" s="3" t="s">
        <v>21</v>
      </c>
      <c r="D3529" s="2"/>
      <c r="E3529" s="2" t="e">
        <f t="shared" si="0"/>
        <v>#VALUE!</v>
      </c>
    </row>
    <row r="3530" spans="1:5" ht="12.75" customHeight="1" x14ac:dyDescent="0.2">
      <c r="A3530" s="3"/>
      <c r="B3530" s="3" t="s">
        <v>2</v>
      </c>
      <c r="C3530" s="3" t="s">
        <v>458</v>
      </c>
      <c r="D3530" s="2"/>
      <c r="E3530" s="2" t="e">
        <f t="shared" si="0"/>
        <v>#VALUE!</v>
      </c>
    </row>
    <row r="3531" spans="1:5" ht="12.75" customHeight="1" x14ac:dyDescent="0.2">
      <c r="A3531" s="3"/>
      <c r="B3531" s="3" t="s">
        <v>9</v>
      </c>
      <c r="C3531" s="3" t="s">
        <v>42</v>
      </c>
      <c r="D3531" s="2"/>
      <c r="E3531" s="2" t="e">
        <f t="shared" si="0"/>
        <v>#VALUE!</v>
      </c>
    </row>
    <row r="3532" spans="1:5" ht="12.75" customHeight="1" x14ac:dyDescent="0.2">
      <c r="A3532" s="3"/>
      <c r="B3532" s="3" t="s">
        <v>11</v>
      </c>
      <c r="C3532" s="3" t="s">
        <v>1541</v>
      </c>
      <c r="D3532" s="2"/>
      <c r="E3532" s="2" t="e">
        <f t="shared" si="0"/>
        <v>#VALUE!</v>
      </c>
    </row>
    <row r="3533" spans="1:5" ht="12.75" customHeight="1" x14ac:dyDescent="0.2">
      <c r="A3533" s="3"/>
      <c r="B3533" s="3" t="s">
        <v>18</v>
      </c>
      <c r="C3533" s="4" t="s">
        <v>19</v>
      </c>
      <c r="D3533" s="2"/>
      <c r="E3533" s="2" t="e">
        <f t="shared" si="0"/>
        <v>#VALUE!</v>
      </c>
    </row>
    <row r="3534" spans="1:5" ht="12.75" customHeight="1" x14ac:dyDescent="0.2">
      <c r="A3534" s="1" t="str">
        <f>HYPERLINK("javascript:void(0)","rozsdalap")</f>
        <v>rozsdalap</v>
      </c>
      <c r="B3534" s="1"/>
      <c r="C3534" s="1"/>
      <c r="D3534" s="2"/>
      <c r="E3534" s="2" t="e">
        <f t="shared" si="0"/>
        <v>#VALUE!</v>
      </c>
    </row>
    <row r="3535" spans="1:5" ht="12.75" customHeight="1" x14ac:dyDescent="0.2">
      <c r="A3535" s="3"/>
      <c r="B3535" s="3" t="s">
        <v>0</v>
      </c>
      <c r="C3535" s="3" t="s">
        <v>21</v>
      </c>
      <c r="D3535" s="2"/>
      <c r="E3535" s="2" t="e">
        <f t="shared" si="0"/>
        <v>#VALUE!</v>
      </c>
    </row>
    <row r="3536" spans="1:5" ht="12.75" customHeight="1" x14ac:dyDescent="0.2">
      <c r="A3536" s="3"/>
      <c r="B3536" s="3" t="s">
        <v>2</v>
      </c>
      <c r="C3536" s="3" t="s">
        <v>458</v>
      </c>
      <c r="D3536" s="2"/>
      <c r="E3536" s="2" t="e">
        <f t="shared" si="0"/>
        <v>#VALUE!</v>
      </c>
    </row>
    <row r="3537" spans="1:5" ht="12.75" customHeight="1" x14ac:dyDescent="0.2">
      <c r="A3537" s="3"/>
      <c r="B3537" s="3" t="s">
        <v>9</v>
      </c>
      <c r="C3537" s="3" t="s">
        <v>42</v>
      </c>
      <c r="D3537" s="2"/>
      <c r="E3537" s="2" t="e">
        <f t="shared" si="0"/>
        <v>#VALUE!</v>
      </c>
    </row>
    <row r="3538" spans="1:5" ht="12.75" customHeight="1" x14ac:dyDescent="0.2">
      <c r="A3538" s="3"/>
      <c r="B3538" s="3" t="s">
        <v>11</v>
      </c>
      <c r="C3538" s="3" t="s">
        <v>1084</v>
      </c>
      <c r="D3538" s="2"/>
      <c r="E3538" s="2" t="e">
        <f t="shared" si="0"/>
        <v>#VALUE!</v>
      </c>
    </row>
    <row r="3539" spans="1:5" ht="12.75" customHeight="1" x14ac:dyDescent="0.2">
      <c r="A3539" s="3"/>
      <c r="B3539" s="3" t="s">
        <v>18</v>
      </c>
      <c r="C3539" s="4" t="s">
        <v>19</v>
      </c>
      <c r="D3539" s="2"/>
      <c r="E3539" s="2" t="e">
        <f t="shared" si="0"/>
        <v>#VALUE!</v>
      </c>
    </row>
    <row r="3540" spans="1:5" ht="12.75" customHeight="1" x14ac:dyDescent="0.2">
      <c r="A3540" s="1" t="str">
        <f>HYPERLINK("javascript:void(0)","rubin")</f>
        <v>rubin</v>
      </c>
      <c r="B3540" s="1"/>
      <c r="C3540" s="1"/>
      <c r="D3540" s="2"/>
      <c r="E3540" s="2" t="e">
        <f t="shared" si="0"/>
        <v>#VALUE!</v>
      </c>
    </row>
    <row r="3541" spans="1:5" ht="12.75" customHeight="1" x14ac:dyDescent="0.2">
      <c r="A3541" s="3"/>
      <c r="B3541" s="3" t="s">
        <v>0</v>
      </c>
      <c r="C3541" s="3" t="s">
        <v>21</v>
      </c>
      <c r="D3541" s="2"/>
      <c r="E3541" s="2" t="e">
        <f t="shared" si="0"/>
        <v>#VALUE!</v>
      </c>
    </row>
    <row r="3542" spans="1:5" ht="12.75" customHeight="1" x14ac:dyDescent="0.2">
      <c r="A3542" s="3"/>
      <c r="B3542" s="3" t="s">
        <v>2</v>
      </c>
      <c r="C3542" s="3" t="s">
        <v>564</v>
      </c>
      <c r="D3542" s="2"/>
      <c r="E3542" s="2" t="e">
        <f t="shared" si="0"/>
        <v>#VALUE!</v>
      </c>
    </row>
    <row r="3543" spans="1:5" ht="12.75" customHeight="1" x14ac:dyDescent="0.2">
      <c r="A3543" s="3"/>
      <c r="B3543" s="3" t="s">
        <v>9</v>
      </c>
      <c r="C3543" s="3" t="s">
        <v>513</v>
      </c>
      <c r="D3543" s="2"/>
      <c r="E3543" s="2" t="e">
        <f t="shared" si="0"/>
        <v>#VALUE!</v>
      </c>
    </row>
    <row r="3544" spans="1:5" ht="12.75" customHeight="1" x14ac:dyDescent="0.2">
      <c r="A3544" s="3"/>
      <c r="B3544" s="3" t="s">
        <v>11</v>
      </c>
      <c r="C3544" s="3" t="s">
        <v>1251</v>
      </c>
      <c r="D3544" s="2"/>
      <c r="E3544" s="2" t="e">
        <f t="shared" si="0"/>
        <v>#VALUE!</v>
      </c>
    </row>
    <row r="3545" spans="1:5" ht="12.75" customHeight="1" x14ac:dyDescent="0.2">
      <c r="A3545" s="3"/>
      <c r="B3545" s="3" t="s">
        <v>18</v>
      </c>
      <c r="C3545" s="4" t="s">
        <v>19</v>
      </c>
      <c r="D3545" s="2"/>
      <c r="E3545" s="2" t="e">
        <f t="shared" si="0"/>
        <v>#VALUE!</v>
      </c>
    </row>
    <row r="3546" spans="1:5" ht="12.75" customHeight="1" x14ac:dyDescent="0.2">
      <c r="A3546" s="1" t="str">
        <f>HYPERLINK("javascript:void(0)","rubin gemma")</f>
        <v>rubin gemma</v>
      </c>
      <c r="B3546" s="1"/>
      <c r="C3546" s="1"/>
      <c r="D3546" s="2"/>
      <c r="E3546" s="2" t="e">
        <f t="shared" si="0"/>
        <v>#VALUE!</v>
      </c>
    </row>
    <row r="3547" spans="1:5" ht="12.75" customHeight="1" x14ac:dyDescent="0.2">
      <c r="A3547" s="3"/>
      <c r="B3547" s="3" t="s">
        <v>0</v>
      </c>
      <c r="C3547" s="3" t="s">
        <v>21</v>
      </c>
      <c r="D3547" s="2"/>
      <c r="E3547" s="2" t="e">
        <f t="shared" si="0"/>
        <v>#VALUE!</v>
      </c>
    </row>
    <row r="3548" spans="1:5" ht="12.75" customHeight="1" x14ac:dyDescent="0.2">
      <c r="A3548" s="3"/>
      <c r="B3548" s="3" t="s">
        <v>2</v>
      </c>
      <c r="C3548" s="3" t="s">
        <v>387</v>
      </c>
      <c r="D3548" s="2"/>
      <c r="E3548" s="2" t="e">
        <f t="shared" si="0"/>
        <v>#VALUE!</v>
      </c>
    </row>
    <row r="3549" spans="1:5" ht="12.75" customHeight="1" x14ac:dyDescent="0.2">
      <c r="A3549" s="3"/>
      <c r="B3549" s="3" t="s">
        <v>9</v>
      </c>
      <c r="C3549" s="3" t="s">
        <v>53</v>
      </c>
      <c r="D3549" s="2"/>
      <c r="E3549" s="2" t="e">
        <f t="shared" si="0"/>
        <v>#VALUE!</v>
      </c>
    </row>
    <row r="3550" spans="1:5" ht="12.75" customHeight="1" x14ac:dyDescent="0.2">
      <c r="A3550" s="3"/>
      <c r="B3550" s="3" t="s">
        <v>11</v>
      </c>
      <c r="C3550" s="3" t="s">
        <v>23</v>
      </c>
      <c r="D3550" s="2"/>
      <c r="E3550" s="2" t="e">
        <f t="shared" si="0"/>
        <v>#VALUE!</v>
      </c>
    </row>
    <row r="3551" spans="1:5" ht="12.75" customHeight="1" x14ac:dyDescent="0.2">
      <c r="A3551" s="3"/>
      <c r="B3551" s="3" t="s">
        <v>16</v>
      </c>
      <c r="C3551" s="3" t="s">
        <v>388</v>
      </c>
      <c r="D3551" s="2"/>
      <c r="E3551" s="2" t="e">
        <f t="shared" si="0"/>
        <v>#VALUE!</v>
      </c>
    </row>
    <row r="3552" spans="1:5" ht="12.75" customHeight="1" x14ac:dyDescent="0.2">
      <c r="A3552" s="3"/>
      <c r="B3552" s="3" t="s">
        <v>18</v>
      </c>
      <c r="C3552" s="4" t="s">
        <v>19</v>
      </c>
      <c r="D3552" s="2"/>
      <c r="E3552" s="2" t="e">
        <f t="shared" si="0"/>
        <v>#VALUE!</v>
      </c>
    </row>
    <row r="3553" spans="1:5" ht="12.75" customHeight="1" x14ac:dyDescent="0.2">
      <c r="A3553" s="1" t="str">
        <f>HYPERLINK("javascript:void(0)","rémarc")</f>
        <v>rémarc</v>
      </c>
      <c r="B3553" s="1"/>
      <c r="C3553" s="1"/>
      <c r="D3553" s="2"/>
      <c r="E3553" s="2" t="e">
        <f t="shared" si="0"/>
        <v>#VALUE!</v>
      </c>
    </row>
    <row r="3554" spans="1:5" ht="12.75" customHeight="1" x14ac:dyDescent="0.2">
      <c r="A3554" s="3"/>
      <c r="B3554" s="3" t="s">
        <v>0</v>
      </c>
      <c r="C3554" s="3" t="s">
        <v>21</v>
      </c>
      <c r="D3554" s="2"/>
      <c r="E3554" s="2" t="e">
        <f t="shared" si="0"/>
        <v>#VALUE!</v>
      </c>
    </row>
    <row r="3555" spans="1:5" ht="12.75" customHeight="1" x14ac:dyDescent="0.2">
      <c r="A3555" s="3"/>
      <c r="B3555" s="3" t="s">
        <v>2</v>
      </c>
      <c r="C3555" s="3" t="s">
        <v>458</v>
      </c>
      <c r="D3555" s="2"/>
      <c r="E3555" s="2" t="e">
        <f t="shared" si="0"/>
        <v>#VALUE!</v>
      </c>
    </row>
    <row r="3556" spans="1:5" ht="12.75" customHeight="1" x14ac:dyDescent="0.2">
      <c r="A3556" s="3"/>
      <c r="B3556" s="3" t="s">
        <v>9</v>
      </c>
      <c r="C3556" s="3" t="s">
        <v>22</v>
      </c>
      <c r="D3556" s="2"/>
      <c r="E3556" s="2" t="e">
        <f t="shared" si="0"/>
        <v>#VALUE!</v>
      </c>
    </row>
    <row r="3557" spans="1:5" ht="12.75" customHeight="1" x14ac:dyDescent="0.2">
      <c r="A3557" s="3"/>
      <c r="B3557" s="3" t="s">
        <v>11</v>
      </c>
      <c r="C3557" s="3" t="s">
        <v>162</v>
      </c>
      <c r="D3557" s="2"/>
      <c r="E3557" s="2" t="e">
        <f t="shared" si="0"/>
        <v>#VALUE!</v>
      </c>
    </row>
    <row r="3558" spans="1:5" ht="12.75" customHeight="1" x14ac:dyDescent="0.2">
      <c r="A3558" s="3"/>
      <c r="B3558" s="3" t="s">
        <v>18</v>
      </c>
      <c r="C3558" s="4" t="s">
        <v>19</v>
      </c>
      <c r="D3558" s="2"/>
      <c r="E3558" s="2" t="e">
        <f t="shared" si="0"/>
        <v>#VALUE!</v>
      </c>
    </row>
    <row r="3559" spans="1:5" ht="12.75" customHeight="1" x14ac:dyDescent="0.2">
      <c r="A3559" s="1" t="str">
        <f>HYPERLINK("javascript:void(0)","rémkép")</f>
        <v>rémkép</v>
      </c>
      <c r="B3559" s="1"/>
      <c r="C3559" s="1"/>
      <c r="D3559" s="2"/>
      <c r="E3559" s="2" t="e">
        <f t="shared" si="0"/>
        <v>#VALUE!</v>
      </c>
    </row>
    <row r="3560" spans="1:5" ht="12.75" customHeight="1" x14ac:dyDescent="0.2">
      <c r="A3560" s="3"/>
      <c r="B3560" s="3" t="s">
        <v>0</v>
      </c>
      <c r="C3560" s="3" t="s">
        <v>21</v>
      </c>
      <c r="D3560" s="2"/>
      <c r="E3560" s="2" t="e">
        <f t="shared" si="0"/>
        <v>#VALUE!</v>
      </c>
    </row>
    <row r="3561" spans="1:5" ht="12.75" customHeight="1" x14ac:dyDescent="0.2">
      <c r="A3561" s="3"/>
      <c r="B3561" s="3" t="s">
        <v>2</v>
      </c>
      <c r="C3561" s="3" t="s">
        <v>458</v>
      </c>
      <c r="D3561" s="2"/>
      <c r="E3561" s="2" t="e">
        <f t="shared" si="0"/>
        <v>#VALUE!</v>
      </c>
    </row>
    <row r="3562" spans="1:5" ht="12.75" customHeight="1" x14ac:dyDescent="0.2">
      <c r="A3562" s="3"/>
      <c r="B3562" s="3" t="s">
        <v>9</v>
      </c>
      <c r="C3562" s="3" t="s">
        <v>513</v>
      </c>
      <c r="D3562" s="2"/>
      <c r="E3562" s="2" t="e">
        <f t="shared" si="0"/>
        <v>#VALUE!</v>
      </c>
    </row>
    <row r="3563" spans="1:5" ht="12.75" customHeight="1" x14ac:dyDescent="0.2">
      <c r="A3563" s="3"/>
      <c r="B3563" s="3" t="s">
        <v>11</v>
      </c>
      <c r="C3563" s="3" t="s">
        <v>1547</v>
      </c>
      <c r="D3563" s="2"/>
      <c r="E3563" s="2" t="e">
        <f t="shared" si="0"/>
        <v>#VALUE!</v>
      </c>
    </row>
    <row r="3564" spans="1:5" ht="12.75" customHeight="1" x14ac:dyDescent="0.2">
      <c r="A3564" s="3"/>
      <c r="B3564" s="3" t="s">
        <v>18</v>
      </c>
      <c r="C3564" s="4" t="s">
        <v>19</v>
      </c>
      <c r="D3564" s="2"/>
      <c r="E3564" s="2" t="e">
        <f t="shared" si="0"/>
        <v>#VALUE!</v>
      </c>
    </row>
    <row r="3565" spans="1:5" ht="12.75" customHeight="1" x14ac:dyDescent="0.2">
      <c r="A3565" s="1" t="str">
        <f>HYPERLINK("javascript:void(0)","rémláb")</f>
        <v>rémláb</v>
      </c>
      <c r="B3565" s="1"/>
      <c r="C3565" s="1"/>
      <c r="D3565" s="2"/>
      <c r="E3565" s="2" t="e">
        <f t="shared" si="0"/>
        <v>#VALUE!</v>
      </c>
    </row>
    <row r="3566" spans="1:5" ht="12.75" customHeight="1" x14ac:dyDescent="0.2">
      <c r="A3566" s="3"/>
      <c r="B3566" s="3" t="s">
        <v>0</v>
      </c>
      <c r="C3566" s="3" t="s">
        <v>21</v>
      </c>
      <c r="D3566" s="2"/>
      <c r="E3566" s="2" t="e">
        <f t="shared" si="0"/>
        <v>#VALUE!</v>
      </c>
    </row>
    <row r="3567" spans="1:5" ht="12.75" customHeight="1" x14ac:dyDescent="0.2">
      <c r="A3567" s="3"/>
      <c r="B3567" s="3" t="s">
        <v>2</v>
      </c>
      <c r="C3567" s="3" t="s">
        <v>458</v>
      </c>
      <c r="D3567" s="2"/>
      <c r="E3567" s="2" t="e">
        <f t="shared" si="0"/>
        <v>#VALUE!</v>
      </c>
    </row>
    <row r="3568" spans="1:5" ht="12.75" customHeight="1" x14ac:dyDescent="0.2">
      <c r="A3568" s="3"/>
      <c r="B3568" s="3" t="s">
        <v>9</v>
      </c>
      <c r="C3568" s="3" t="s">
        <v>27</v>
      </c>
      <c r="D3568" s="2"/>
      <c r="E3568" s="2" t="e">
        <f t="shared" si="0"/>
        <v>#VALUE!</v>
      </c>
    </row>
    <row r="3569" spans="1:5" ht="12.75" customHeight="1" x14ac:dyDescent="0.2">
      <c r="A3569" s="3"/>
      <c r="B3569" s="3" t="s">
        <v>11</v>
      </c>
      <c r="C3569" s="3" t="s">
        <v>530</v>
      </c>
      <c r="D3569" s="2"/>
      <c r="E3569" s="2" t="e">
        <f t="shared" si="0"/>
        <v>#VALUE!</v>
      </c>
    </row>
    <row r="3570" spans="1:5" ht="12.75" customHeight="1" x14ac:dyDescent="0.2">
      <c r="A3570" s="3"/>
      <c r="B3570" s="3" t="s">
        <v>18</v>
      </c>
      <c r="C3570" s="4" t="s">
        <v>19</v>
      </c>
      <c r="D3570" s="2"/>
      <c r="E3570" s="2" t="e">
        <f t="shared" si="0"/>
        <v>#VALUE!</v>
      </c>
    </row>
    <row r="3571" spans="1:5" ht="12.75" customHeight="1" x14ac:dyDescent="0.2">
      <c r="A3571" s="1" t="str">
        <f>HYPERLINK("javascript:void(0)","rémszarv")</f>
        <v>rémszarv</v>
      </c>
      <c r="B3571" s="1"/>
      <c r="C3571" s="1"/>
      <c r="D3571" s="2"/>
      <c r="E3571" s="2" t="e">
        <f t="shared" si="0"/>
        <v>#VALUE!</v>
      </c>
    </row>
    <row r="3572" spans="1:5" ht="12.75" customHeight="1" x14ac:dyDescent="0.2">
      <c r="A3572" s="3"/>
      <c r="B3572" s="3" t="s">
        <v>0</v>
      </c>
      <c r="C3572" s="3" t="s">
        <v>21</v>
      </c>
      <c r="D3572" s="2"/>
      <c r="E3572" s="2" t="e">
        <f t="shared" si="0"/>
        <v>#VALUE!</v>
      </c>
    </row>
    <row r="3573" spans="1:5" ht="12.75" customHeight="1" x14ac:dyDescent="0.2">
      <c r="A3573" s="3"/>
      <c r="B3573" s="3" t="s">
        <v>2</v>
      </c>
      <c r="C3573" s="3" t="s">
        <v>458</v>
      </c>
      <c r="D3573" s="2"/>
      <c r="E3573" s="2" t="e">
        <f t="shared" si="0"/>
        <v>#VALUE!</v>
      </c>
    </row>
    <row r="3574" spans="1:5" ht="12.75" customHeight="1" x14ac:dyDescent="0.2">
      <c r="A3574" s="3"/>
      <c r="B3574" s="3" t="s">
        <v>9</v>
      </c>
      <c r="C3574" s="3" t="s">
        <v>27</v>
      </c>
      <c r="D3574" s="2"/>
      <c r="E3574" s="2" t="e">
        <f t="shared" si="0"/>
        <v>#VALUE!</v>
      </c>
    </row>
    <row r="3575" spans="1:5" ht="12.75" customHeight="1" x14ac:dyDescent="0.2">
      <c r="A3575" s="3"/>
      <c r="B3575" s="3" t="s">
        <v>11</v>
      </c>
      <c r="C3575" s="3" t="s">
        <v>168</v>
      </c>
      <c r="D3575" s="2"/>
      <c r="E3575" s="2" t="e">
        <f t="shared" si="0"/>
        <v>#VALUE!</v>
      </c>
    </row>
    <row r="3576" spans="1:5" ht="12.75" customHeight="1" x14ac:dyDescent="0.2">
      <c r="A3576" s="3"/>
      <c r="B3576" s="3" t="s">
        <v>18</v>
      </c>
      <c r="C3576" s="4" t="s">
        <v>19</v>
      </c>
      <c r="D3576" s="2"/>
      <c r="E3576" s="2" t="e">
        <f t="shared" si="0"/>
        <v>#VALUE!</v>
      </c>
    </row>
    <row r="3577" spans="1:5" ht="12.75" customHeight="1" x14ac:dyDescent="0.2">
      <c r="A3577" s="1" t="str">
        <f>HYPERLINK("javascript:void(0)","rémszem")</f>
        <v>rémszem</v>
      </c>
      <c r="B3577" s="1"/>
      <c r="C3577" s="1"/>
      <c r="D3577" s="2"/>
      <c r="E3577" s="2" t="e">
        <f t="shared" si="0"/>
        <v>#VALUE!</v>
      </c>
    </row>
    <row r="3578" spans="1:5" ht="12.75" customHeight="1" x14ac:dyDescent="0.2">
      <c r="A3578" s="3"/>
      <c r="B3578" s="3" t="s">
        <v>0</v>
      </c>
      <c r="C3578" s="3" t="s">
        <v>21</v>
      </c>
      <c r="D3578" s="2"/>
      <c r="E3578" s="2" t="e">
        <f t="shared" si="0"/>
        <v>#VALUE!</v>
      </c>
    </row>
    <row r="3579" spans="1:5" ht="12.75" customHeight="1" x14ac:dyDescent="0.2">
      <c r="A3579" s="3"/>
      <c r="B3579" s="3" t="s">
        <v>2</v>
      </c>
      <c r="C3579" s="3" t="s">
        <v>458</v>
      </c>
      <c r="D3579" s="2"/>
      <c r="E3579" s="2" t="e">
        <f t="shared" si="0"/>
        <v>#VALUE!</v>
      </c>
    </row>
    <row r="3580" spans="1:5" ht="12.75" customHeight="1" x14ac:dyDescent="0.2">
      <c r="A3580" s="3"/>
      <c r="B3580" s="3" t="s">
        <v>9</v>
      </c>
      <c r="C3580" s="3" t="s">
        <v>53</v>
      </c>
      <c r="D3580" s="2"/>
      <c r="E3580" s="2" t="e">
        <f t="shared" si="0"/>
        <v>#VALUE!</v>
      </c>
    </row>
    <row r="3581" spans="1:5" ht="12.75" customHeight="1" x14ac:dyDescent="0.2">
      <c r="A3581" s="3"/>
      <c r="B3581" s="3" t="s">
        <v>11</v>
      </c>
      <c r="C3581" s="3" t="s">
        <v>486</v>
      </c>
      <c r="D3581" s="2"/>
      <c r="E3581" s="2" t="e">
        <f t="shared" si="0"/>
        <v>#VALUE!</v>
      </c>
    </row>
    <row r="3582" spans="1:5" ht="12.75" customHeight="1" x14ac:dyDescent="0.2">
      <c r="A3582" s="3"/>
      <c r="B3582" s="3" t="s">
        <v>18</v>
      </c>
      <c r="C3582" s="4" t="s">
        <v>19</v>
      </c>
      <c r="D3582" s="2"/>
      <c r="E3582" s="2" t="e">
        <f t="shared" si="0"/>
        <v>#VALUE!</v>
      </c>
    </row>
    <row r="3583" spans="1:5" ht="12.75" customHeight="1" x14ac:dyDescent="0.2">
      <c r="A3583" s="1" t="str">
        <f>HYPERLINK("javascript:void(0)","rézdarab")</f>
        <v>rézdarab</v>
      </c>
      <c r="B3583" s="1"/>
      <c r="C3583" s="1"/>
      <c r="D3583" s="2"/>
      <c r="E3583" s="2" t="e">
        <f t="shared" si="0"/>
        <v>#VALUE!</v>
      </c>
    </row>
    <row r="3584" spans="1:5" ht="12.75" customHeight="1" x14ac:dyDescent="0.2">
      <c r="A3584" s="3"/>
      <c r="B3584" s="3" t="s">
        <v>0</v>
      </c>
      <c r="C3584" s="3" t="s">
        <v>1</v>
      </c>
      <c r="D3584" s="2"/>
      <c r="E3584" s="2" t="e">
        <f t="shared" si="0"/>
        <v>#VALUE!</v>
      </c>
    </row>
    <row r="3585" spans="1:5" ht="12.75" customHeight="1" x14ac:dyDescent="0.2">
      <c r="A3585" s="3"/>
      <c r="B3585" s="3" t="s">
        <v>2</v>
      </c>
      <c r="C3585" s="3" t="s">
        <v>440</v>
      </c>
      <c r="D3585" s="2"/>
      <c r="E3585" s="2" t="e">
        <f t="shared" si="0"/>
        <v>#VALUE!</v>
      </c>
    </row>
    <row r="3586" spans="1:5" ht="12.75" customHeight="1" x14ac:dyDescent="0.2">
      <c r="A3586" s="3"/>
      <c r="B3586" s="3" t="s">
        <v>9</v>
      </c>
      <c r="C3586" s="3" t="s">
        <v>22</v>
      </c>
      <c r="D3586" s="2"/>
      <c r="E3586" s="2" t="e">
        <f t="shared" si="0"/>
        <v>#VALUE!</v>
      </c>
    </row>
    <row r="3587" spans="1:5" ht="12.75" customHeight="1" x14ac:dyDescent="0.2">
      <c r="A3587" s="3"/>
      <c r="B3587" s="3" t="s">
        <v>11</v>
      </c>
      <c r="C3587" s="3" t="s">
        <v>986</v>
      </c>
      <c r="D3587" s="2"/>
      <c r="E3587" s="2" t="e">
        <f t="shared" si="0"/>
        <v>#VALUE!</v>
      </c>
    </row>
    <row r="3588" spans="1:5" ht="12.75" customHeight="1" x14ac:dyDescent="0.2">
      <c r="A3588" s="3"/>
      <c r="B3588" s="3" t="s">
        <v>18</v>
      </c>
      <c r="C3588" s="4" t="s">
        <v>19</v>
      </c>
      <c r="D3588" s="2"/>
      <c r="E3588" s="2" t="e">
        <f t="shared" si="0"/>
        <v>#VALUE!</v>
      </c>
    </row>
    <row r="3589" spans="1:5" ht="12.75" customHeight="1" x14ac:dyDescent="0.2">
      <c r="A3589" s="1" t="str">
        <f>HYPERLINK("javascript:void(0)","rézfúvó")</f>
        <v>rézfúvó</v>
      </c>
      <c r="B3589" s="1"/>
      <c r="C3589" s="1"/>
      <c r="D3589" s="2"/>
      <c r="E3589" s="2" t="e">
        <f t="shared" si="0"/>
        <v>#VALUE!</v>
      </c>
    </row>
    <row r="3590" spans="1:5" ht="12.75" customHeight="1" x14ac:dyDescent="0.2">
      <c r="A3590" s="3"/>
      <c r="B3590" s="3" t="s">
        <v>0</v>
      </c>
      <c r="C3590" s="3" t="s">
        <v>21</v>
      </c>
      <c r="D3590" s="2"/>
      <c r="E3590" s="2" t="e">
        <f t="shared" si="0"/>
        <v>#VALUE!</v>
      </c>
    </row>
    <row r="3591" spans="1:5" ht="12.75" customHeight="1" x14ac:dyDescent="0.2">
      <c r="A3591" s="3"/>
      <c r="B3591" s="3" t="s">
        <v>2</v>
      </c>
      <c r="C3591" s="3" t="s">
        <v>458</v>
      </c>
      <c r="D3591" s="2"/>
      <c r="E3591" s="2" t="e">
        <f t="shared" si="0"/>
        <v>#VALUE!</v>
      </c>
    </row>
    <row r="3592" spans="1:5" ht="12.75" customHeight="1" x14ac:dyDescent="0.2">
      <c r="A3592" s="3"/>
      <c r="B3592" s="3" t="s">
        <v>9</v>
      </c>
      <c r="C3592" s="3" t="s">
        <v>22</v>
      </c>
      <c r="D3592" s="2"/>
      <c r="E3592" s="2" t="e">
        <f t="shared" si="0"/>
        <v>#VALUE!</v>
      </c>
    </row>
    <row r="3593" spans="1:5" ht="12.75" customHeight="1" x14ac:dyDescent="0.2">
      <c r="A3593" s="3"/>
      <c r="B3593" s="3" t="s">
        <v>11</v>
      </c>
      <c r="C3593" s="3" t="s">
        <v>695</v>
      </c>
      <c r="D3593" s="2"/>
      <c r="E3593" s="2" t="e">
        <f t="shared" si="0"/>
        <v>#VALUE!</v>
      </c>
    </row>
    <row r="3594" spans="1:5" ht="12.75" customHeight="1" x14ac:dyDescent="0.2">
      <c r="A3594" s="3"/>
      <c r="B3594" s="3" t="s">
        <v>18</v>
      </c>
      <c r="C3594" s="4" t="s">
        <v>19</v>
      </c>
      <c r="D3594" s="2"/>
      <c r="E3594" s="2" t="e">
        <f t="shared" si="0"/>
        <v>#VALUE!</v>
      </c>
    </row>
    <row r="3595" spans="1:5" ht="12.75" customHeight="1" x14ac:dyDescent="0.2">
      <c r="A3595" s="1" t="str">
        <f>HYPERLINK("javascript:void(0)","rézpikkely")</f>
        <v>rézpikkely</v>
      </c>
      <c r="B3595" s="1"/>
      <c r="C3595" s="1"/>
      <c r="D3595" s="2"/>
      <c r="E3595" s="2" t="e">
        <f t="shared" si="0"/>
        <v>#VALUE!</v>
      </c>
    </row>
    <row r="3596" spans="1:5" ht="12.75" customHeight="1" x14ac:dyDescent="0.2">
      <c r="A3596" s="3"/>
      <c r="B3596" s="3" t="s">
        <v>0</v>
      </c>
      <c r="C3596" s="3" t="s">
        <v>21</v>
      </c>
      <c r="D3596" s="2"/>
      <c r="E3596" s="2" t="e">
        <f t="shared" si="0"/>
        <v>#VALUE!</v>
      </c>
    </row>
    <row r="3597" spans="1:5" ht="12.75" customHeight="1" x14ac:dyDescent="0.2">
      <c r="A3597" s="3"/>
      <c r="B3597" s="3" t="s">
        <v>2</v>
      </c>
      <c r="C3597" s="3" t="s">
        <v>458</v>
      </c>
      <c r="D3597" s="2"/>
      <c r="E3597" s="2" t="e">
        <f t="shared" si="0"/>
        <v>#VALUE!</v>
      </c>
    </row>
    <row r="3598" spans="1:5" ht="12.75" customHeight="1" x14ac:dyDescent="0.2">
      <c r="A3598" s="3"/>
      <c r="B3598" s="3" t="s">
        <v>9</v>
      </c>
      <c r="C3598" s="3" t="s">
        <v>22</v>
      </c>
      <c r="D3598" s="2"/>
      <c r="E3598" s="2" t="e">
        <f t="shared" si="0"/>
        <v>#VALUE!</v>
      </c>
    </row>
    <row r="3599" spans="1:5" ht="12.75" customHeight="1" x14ac:dyDescent="0.2">
      <c r="A3599" s="3"/>
      <c r="B3599" s="3" t="s">
        <v>11</v>
      </c>
      <c r="C3599" s="3" t="s">
        <v>23</v>
      </c>
      <c r="D3599" s="2"/>
      <c r="E3599" s="2" t="e">
        <f t="shared" si="0"/>
        <v>#VALUE!</v>
      </c>
    </row>
    <row r="3600" spans="1:5" ht="12.75" customHeight="1" x14ac:dyDescent="0.2">
      <c r="A3600" s="3"/>
      <c r="B3600" s="3" t="s">
        <v>16</v>
      </c>
      <c r="C3600" s="3" t="s">
        <v>574</v>
      </c>
      <c r="D3600" s="2"/>
      <c r="E3600" s="2" t="e">
        <f t="shared" si="0"/>
        <v>#VALUE!</v>
      </c>
    </row>
    <row r="3601" spans="1:5" ht="12.75" customHeight="1" x14ac:dyDescent="0.2">
      <c r="A3601" s="3"/>
      <c r="B3601" s="3" t="s">
        <v>18</v>
      </c>
      <c r="C3601" s="4" t="s">
        <v>19</v>
      </c>
      <c r="D3601" s="2"/>
      <c r="E3601" s="2" t="e">
        <f t="shared" si="0"/>
        <v>#VALUE!</v>
      </c>
    </row>
    <row r="3602" spans="1:5" ht="12.75" customHeight="1" x14ac:dyDescent="0.2">
      <c r="A3602" s="1" t="str">
        <f>HYPERLINK("javascript:void(0)","rézérc")</f>
        <v>rézérc</v>
      </c>
      <c r="B3602" s="1"/>
      <c r="C3602" s="1"/>
      <c r="D3602" s="2"/>
      <c r="E3602" s="2" t="e">
        <f t="shared" si="0"/>
        <v>#VALUE!</v>
      </c>
    </row>
    <row r="3603" spans="1:5" ht="12.75" customHeight="1" x14ac:dyDescent="0.2">
      <c r="A3603" s="3"/>
      <c r="B3603" s="3" t="s">
        <v>0</v>
      </c>
      <c r="C3603" s="3" t="s">
        <v>21</v>
      </c>
      <c r="D3603" s="2"/>
      <c r="E3603" s="2" t="e">
        <f t="shared" si="0"/>
        <v>#VALUE!</v>
      </c>
    </row>
    <row r="3604" spans="1:5" ht="12.75" customHeight="1" x14ac:dyDescent="0.2">
      <c r="A3604" s="3"/>
      <c r="B3604" s="3" t="s">
        <v>2</v>
      </c>
      <c r="C3604" s="3" t="s">
        <v>564</v>
      </c>
      <c r="D3604" s="2"/>
      <c r="E3604" s="2" t="e">
        <f t="shared" si="0"/>
        <v>#VALUE!</v>
      </c>
    </row>
    <row r="3605" spans="1:5" ht="12.75" customHeight="1" x14ac:dyDescent="0.2">
      <c r="A3605" s="3"/>
      <c r="B3605" s="3" t="s">
        <v>9</v>
      </c>
      <c r="C3605" s="3" t="s">
        <v>27</v>
      </c>
      <c r="D3605" s="2"/>
      <c r="E3605" s="2" t="e">
        <f t="shared" si="0"/>
        <v>#VALUE!</v>
      </c>
    </row>
    <row r="3606" spans="1:5" ht="12.75" customHeight="1" x14ac:dyDescent="0.2">
      <c r="A3606" s="3"/>
      <c r="B3606" s="3" t="s">
        <v>11</v>
      </c>
      <c r="C3606" s="3" t="s">
        <v>1240</v>
      </c>
      <c r="D3606" s="2"/>
      <c r="E3606" s="2" t="e">
        <f t="shared" si="0"/>
        <v>#VALUE!</v>
      </c>
    </row>
    <row r="3607" spans="1:5" ht="12.75" customHeight="1" x14ac:dyDescent="0.2">
      <c r="A3607" s="3"/>
      <c r="B3607" s="3" t="s">
        <v>18</v>
      </c>
      <c r="C3607" s="4" t="s">
        <v>19</v>
      </c>
      <c r="D3607" s="2"/>
      <c r="E3607" s="2" t="e">
        <f t="shared" si="0"/>
        <v>#VALUE!</v>
      </c>
    </row>
    <row r="3608" spans="1:5" ht="12.75" customHeight="1" x14ac:dyDescent="0.2">
      <c r="A3608" s="1" t="str">
        <f>HYPERLINK("javascript:void(0)","rímforgács")</f>
        <v>rímforgács</v>
      </c>
      <c r="B3608" s="1"/>
      <c r="C3608" s="1"/>
      <c r="D3608" s="2"/>
      <c r="E3608" s="2" t="e">
        <f t="shared" si="0"/>
        <v>#VALUE!</v>
      </c>
    </row>
    <row r="3609" spans="1:5" ht="12.75" customHeight="1" x14ac:dyDescent="0.2">
      <c r="A3609" s="3"/>
      <c r="B3609" s="3" t="s">
        <v>0</v>
      </c>
      <c r="C3609" s="3" t="s">
        <v>21</v>
      </c>
      <c r="D3609" s="2"/>
      <c r="E3609" s="2" t="e">
        <f t="shared" si="0"/>
        <v>#VALUE!</v>
      </c>
    </row>
    <row r="3610" spans="1:5" ht="12.75" customHeight="1" x14ac:dyDescent="0.2">
      <c r="A3610" s="3"/>
      <c r="B3610" s="3" t="s">
        <v>2</v>
      </c>
      <c r="C3610" s="3" t="s">
        <v>458</v>
      </c>
      <c r="D3610" s="2"/>
      <c r="E3610" s="2" t="e">
        <f t="shared" si="0"/>
        <v>#VALUE!</v>
      </c>
    </row>
    <row r="3611" spans="1:5" ht="12.75" customHeight="1" x14ac:dyDescent="0.2">
      <c r="A3611" s="3"/>
      <c r="B3611" s="3" t="s">
        <v>9</v>
      </c>
      <c r="C3611" s="3" t="s">
        <v>22</v>
      </c>
      <c r="D3611" s="2"/>
      <c r="E3611" s="2" t="e">
        <f t="shared" si="0"/>
        <v>#VALUE!</v>
      </c>
    </row>
    <row r="3612" spans="1:5" ht="12.75" customHeight="1" x14ac:dyDescent="0.2">
      <c r="A3612" s="3"/>
      <c r="B3612" s="3" t="s">
        <v>11</v>
      </c>
      <c r="C3612" s="3" t="s">
        <v>162</v>
      </c>
      <c r="D3612" s="2"/>
      <c r="E3612" s="2" t="e">
        <f t="shared" si="0"/>
        <v>#VALUE!</v>
      </c>
    </row>
    <row r="3613" spans="1:5" ht="12.75" customHeight="1" x14ac:dyDescent="0.2">
      <c r="A3613" s="3"/>
      <c r="B3613" s="3" t="s">
        <v>18</v>
      </c>
      <c r="C3613" s="4" t="s">
        <v>19</v>
      </c>
      <c r="D3613" s="2"/>
      <c r="E3613" s="2" t="e">
        <f t="shared" si="0"/>
        <v>#VALUE!</v>
      </c>
    </row>
    <row r="3614" spans="1:5" ht="12.75" customHeight="1" x14ac:dyDescent="0.2">
      <c r="A3614" s="1" t="str">
        <f>HYPERLINK("javascript:void(0)","rókafog")</f>
        <v>rókafog</v>
      </c>
      <c r="B3614" s="1"/>
      <c r="C3614" s="1"/>
      <c r="D3614" s="2"/>
      <c r="E3614" s="2" t="e">
        <f t="shared" si="0"/>
        <v>#VALUE!</v>
      </c>
    </row>
    <row r="3615" spans="1:5" ht="12.75" customHeight="1" x14ac:dyDescent="0.2">
      <c r="A3615" s="3"/>
      <c r="B3615" s="3" t="s">
        <v>0</v>
      </c>
      <c r="C3615" s="3" t="s">
        <v>21</v>
      </c>
      <c r="D3615" s="2"/>
      <c r="E3615" s="2" t="e">
        <f t="shared" si="0"/>
        <v>#VALUE!</v>
      </c>
    </row>
    <row r="3616" spans="1:5" ht="12.75" customHeight="1" x14ac:dyDescent="0.2">
      <c r="A3616" s="3"/>
      <c r="B3616" s="3" t="s">
        <v>2</v>
      </c>
      <c r="C3616" s="3" t="s">
        <v>458</v>
      </c>
      <c r="D3616" s="2"/>
      <c r="E3616" s="2" t="e">
        <f t="shared" si="0"/>
        <v>#VALUE!</v>
      </c>
    </row>
    <row r="3617" spans="1:5" ht="12.75" customHeight="1" x14ac:dyDescent="0.2">
      <c r="A3617" s="3"/>
      <c r="B3617" s="3" t="s">
        <v>9</v>
      </c>
      <c r="C3617" s="3" t="s">
        <v>22</v>
      </c>
      <c r="D3617" s="2"/>
      <c r="E3617" s="2" t="e">
        <f t="shared" si="0"/>
        <v>#VALUE!</v>
      </c>
    </row>
    <row r="3618" spans="1:5" ht="12.75" customHeight="1" x14ac:dyDescent="0.2">
      <c r="A3618" s="3"/>
      <c r="B3618" s="3" t="s">
        <v>11</v>
      </c>
      <c r="C3618" s="3" t="s">
        <v>486</v>
      </c>
      <c r="D3618" s="2"/>
      <c r="E3618" s="2" t="e">
        <f t="shared" si="0"/>
        <v>#VALUE!</v>
      </c>
    </row>
    <row r="3619" spans="1:5" ht="12.75" customHeight="1" x14ac:dyDescent="0.2">
      <c r="A3619" s="3"/>
      <c r="B3619" s="3" t="s">
        <v>18</v>
      </c>
      <c r="C3619" s="4" t="s">
        <v>19</v>
      </c>
      <c r="D3619" s="2"/>
      <c r="E3619" s="2" t="e">
        <f t="shared" si="0"/>
        <v>#VALUE!</v>
      </c>
    </row>
    <row r="3620" spans="1:5" ht="12.75" customHeight="1" x14ac:dyDescent="0.2">
      <c r="A3620" s="1" t="str">
        <f>HYPERLINK("javascript:void(0)","rózsatövis")</f>
        <v>rózsatövis</v>
      </c>
      <c r="B3620" s="1"/>
      <c r="C3620" s="1"/>
      <c r="D3620" s="2"/>
      <c r="E3620" s="2" t="e">
        <f t="shared" si="0"/>
        <v>#VALUE!</v>
      </c>
    </row>
    <row r="3621" spans="1:5" ht="12.75" customHeight="1" x14ac:dyDescent="0.2">
      <c r="A3621" s="3"/>
      <c r="B3621" s="3" t="s">
        <v>0</v>
      </c>
      <c r="C3621" s="3" t="s">
        <v>21</v>
      </c>
      <c r="D3621" s="2"/>
      <c r="E3621" s="2" t="e">
        <f t="shared" si="0"/>
        <v>#VALUE!</v>
      </c>
    </row>
    <row r="3622" spans="1:5" ht="12.75" customHeight="1" x14ac:dyDescent="0.2">
      <c r="A3622" s="3"/>
      <c r="B3622" s="3" t="s">
        <v>2</v>
      </c>
      <c r="C3622" s="3" t="s">
        <v>458</v>
      </c>
      <c r="D3622" s="2"/>
      <c r="E3622" s="2" t="e">
        <f t="shared" si="0"/>
        <v>#VALUE!</v>
      </c>
    </row>
    <row r="3623" spans="1:5" ht="12.75" customHeight="1" x14ac:dyDescent="0.2">
      <c r="A3623" s="3"/>
      <c r="B3623" s="3" t="s">
        <v>9</v>
      </c>
      <c r="C3623" s="3" t="s">
        <v>22</v>
      </c>
      <c r="D3623" s="2"/>
      <c r="E3623" s="2" t="e">
        <f t="shared" si="0"/>
        <v>#VALUE!</v>
      </c>
    </row>
    <row r="3624" spans="1:5" ht="12.75" customHeight="1" x14ac:dyDescent="0.2">
      <c r="A3624" s="3"/>
      <c r="B3624" s="3" t="s">
        <v>11</v>
      </c>
      <c r="C3624" s="3" t="s">
        <v>162</v>
      </c>
      <c r="D3624" s="2"/>
      <c r="E3624" s="2" t="e">
        <f t="shared" si="0"/>
        <v>#VALUE!</v>
      </c>
    </row>
    <row r="3625" spans="1:5" ht="12.75" customHeight="1" x14ac:dyDescent="0.2">
      <c r="A3625" s="3"/>
      <c r="B3625" s="3" t="s">
        <v>18</v>
      </c>
      <c r="C3625" s="4" t="s">
        <v>19</v>
      </c>
      <c r="D3625" s="2"/>
      <c r="E3625" s="2" t="e">
        <f t="shared" si="0"/>
        <v>#VALUE!</v>
      </c>
    </row>
    <row r="3626" spans="1:5" ht="12.75" customHeight="1" x14ac:dyDescent="0.2">
      <c r="A3626" s="1" t="str">
        <f>HYPERLINK("javascript:void(0)","röpkavics")</f>
        <v>röpkavics</v>
      </c>
      <c r="B3626" s="1"/>
      <c r="C3626" s="1"/>
      <c r="D3626" s="2"/>
      <c r="E3626" s="2" t="e">
        <f t="shared" si="0"/>
        <v>#VALUE!</v>
      </c>
    </row>
    <row r="3627" spans="1:5" ht="12.75" customHeight="1" x14ac:dyDescent="0.2">
      <c r="A3627" s="3"/>
      <c r="B3627" s="3" t="s">
        <v>0</v>
      </c>
      <c r="C3627" s="3" t="s">
        <v>21</v>
      </c>
      <c r="D3627" s="2"/>
      <c r="E3627" s="2" t="e">
        <f t="shared" si="0"/>
        <v>#VALUE!</v>
      </c>
    </row>
    <row r="3628" spans="1:5" ht="12.75" customHeight="1" x14ac:dyDescent="0.2">
      <c r="A3628" s="3"/>
      <c r="B3628" s="3" t="s">
        <v>2</v>
      </c>
      <c r="C3628" s="3" t="s">
        <v>458</v>
      </c>
      <c r="D3628" s="2"/>
      <c r="E3628" s="2" t="e">
        <f t="shared" si="0"/>
        <v>#VALUE!</v>
      </c>
    </row>
    <row r="3629" spans="1:5" ht="12.75" customHeight="1" x14ac:dyDescent="0.2">
      <c r="A3629" s="3"/>
      <c r="B3629" s="3" t="s">
        <v>9</v>
      </c>
      <c r="C3629" s="3" t="s">
        <v>27</v>
      </c>
      <c r="D3629" s="2"/>
      <c r="E3629" s="2" t="e">
        <f t="shared" si="0"/>
        <v>#VALUE!</v>
      </c>
    </row>
    <row r="3630" spans="1:5" ht="12.75" customHeight="1" x14ac:dyDescent="0.2">
      <c r="A3630" s="3"/>
      <c r="B3630" s="3" t="s">
        <v>11</v>
      </c>
      <c r="C3630" s="3" t="s">
        <v>530</v>
      </c>
      <c r="D3630" s="2"/>
      <c r="E3630" s="2" t="e">
        <f t="shared" si="0"/>
        <v>#VALUE!</v>
      </c>
    </row>
    <row r="3631" spans="1:5" ht="12.75" customHeight="1" x14ac:dyDescent="0.2">
      <c r="A3631" s="3"/>
      <c r="B3631" s="3" t="s">
        <v>18</v>
      </c>
      <c r="C3631" s="4" t="s">
        <v>19</v>
      </c>
      <c r="D3631" s="2"/>
      <c r="E3631" s="2" t="e">
        <f t="shared" si="0"/>
        <v>#VALUE!</v>
      </c>
    </row>
    <row r="3632" spans="1:5" ht="12.75" customHeight="1" x14ac:dyDescent="0.2">
      <c r="A3632" s="1" t="str">
        <f>HYPERLINK("javascript:void(0)","rúna")</f>
        <v>rúna</v>
      </c>
      <c r="B3632" s="1"/>
      <c r="C3632" s="1"/>
      <c r="D3632" s="2"/>
      <c r="E3632" s="2" t="e">
        <f t="shared" si="0"/>
        <v>#VALUE!</v>
      </c>
    </row>
    <row r="3633" spans="1:5" ht="12.75" customHeight="1" x14ac:dyDescent="0.2">
      <c r="A3633" s="3"/>
      <c r="B3633" s="3" t="s">
        <v>0</v>
      </c>
      <c r="C3633" s="3" t="s">
        <v>21</v>
      </c>
      <c r="D3633" s="2"/>
      <c r="E3633" s="2" t="e">
        <f t="shared" si="0"/>
        <v>#VALUE!</v>
      </c>
    </row>
    <row r="3634" spans="1:5" ht="12.75" customHeight="1" x14ac:dyDescent="0.2">
      <c r="A3634" s="3"/>
      <c r="B3634" s="3" t="s">
        <v>2</v>
      </c>
      <c r="C3634" s="3" t="s">
        <v>458</v>
      </c>
      <c r="D3634" s="2"/>
      <c r="E3634" s="2" t="e">
        <f t="shared" si="0"/>
        <v>#VALUE!</v>
      </c>
    </row>
    <row r="3635" spans="1:5" ht="12.75" customHeight="1" x14ac:dyDescent="0.2">
      <c r="A3635" s="3"/>
      <c r="B3635" s="3" t="s">
        <v>9</v>
      </c>
      <c r="C3635" s="3" t="s">
        <v>22</v>
      </c>
      <c r="D3635" s="2"/>
      <c r="E3635" s="2" t="e">
        <f t="shared" si="0"/>
        <v>#VALUE!</v>
      </c>
    </row>
    <row r="3636" spans="1:5" ht="12.75" customHeight="1" x14ac:dyDescent="0.2">
      <c r="A3636" s="3"/>
      <c r="B3636" s="3" t="s">
        <v>11</v>
      </c>
      <c r="C3636" s="3" t="s">
        <v>227</v>
      </c>
      <c r="D3636" s="2"/>
      <c r="E3636" s="2" t="e">
        <f t="shared" si="0"/>
        <v>#VALUE!</v>
      </c>
    </row>
    <row r="3637" spans="1:5" ht="12.75" customHeight="1" x14ac:dyDescent="0.2">
      <c r="A3637" s="3"/>
      <c r="B3637" s="3" t="s">
        <v>18</v>
      </c>
      <c r="C3637" s="4" t="s">
        <v>19</v>
      </c>
      <c r="D3637" s="2"/>
      <c r="E3637" s="2" t="e">
        <f t="shared" si="0"/>
        <v>#VALUE!</v>
      </c>
    </row>
    <row r="3638" spans="1:5" ht="12.75" customHeight="1" x14ac:dyDescent="0.2">
      <c r="A3638" s="1" t="str">
        <f>HYPERLINK("javascript:void(0)","rúnaige")</f>
        <v>rúnaige</v>
      </c>
      <c r="B3638" s="1"/>
      <c r="C3638" s="1"/>
      <c r="D3638" s="2"/>
      <c r="E3638" s="2" t="e">
        <f t="shared" si="0"/>
        <v>#VALUE!</v>
      </c>
    </row>
    <row r="3639" spans="1:5" ht="12.75" customHeight="1" x14ac:dyDescent="0.2">
      <c r="A3639" s="3"/>
      <c r="B3639" s="3" t="s">
        <v>0</v>
      </c>
      <c r="C3639" s="3" t="s">
        <v>21</v>
      </c>
      <c r="D3639" s="2"/>
      <c r="E3639" s="2" t="e">
        <f t="shared" si="0"/>
        <v>#VALUE!</v>
      </c>
    </row>
    <row r="3640" spans="1:5" ht="12.75" customHeight="1" x14ac:dyDescent="0.2">
      <c r="A3640" s="3"/>
      <c r="B3640" s="3" t="s">
        <v>2</v>
      </c>
      <c r="C3640" s="3" t="s">
        <v>458</v>
      </c>
      <c r="D3640" s="2"/>
      <c r="E3640" s="2" t="e">
        <f t="shared" si="0"/>
        <v>#VALUE!</v>
      </c>
    </row>
    <row r="3641" spans="1:5" ht="12.75" customHeight="1" x14ac:dyDescent="0.2">
      <c r="A3641" s="3"/>
      <c r="B3641" s="3" t="s">
        <v>9</v>
      </c>
      <c r="C3641" s="3" t="s">
        <v>22</v>
      </c>
      <c r="D3641" s="2"/>
      <c r="E3641" s="2" t="e">
        <f t="shared" si="0"/>
        <v>#VALUE!</v>
      </c>
    </row>
    <row r="3642" spans="1:5" ht="12.75" customHeight="1" x14ac:dyDescent="0.2">
      <c r="A3642" s="3"/>
      <c r="B3642" s="3" t="s">
        <v>11</v>
      </c>
      <c r="C3642" s="3" t="s">
        <v>152</v>
      </c>
      <c r="D3642" s="2"/>
      <c r="E3642" s="2" t="e">
        <f t="shared" si="0"/>
        <v>#VALUE!</v>
      </c>
    </row>
    <row r="3643" spans="1:5" ht="12.75" customHeight="1" x14ac:dyDescent="0.2">
      <c r="A3643" s="3"/>
      <c r="B3643" s="3" t="s">
        <v>18</v>
      </c>
      <c r="C3643" s="4" t="s">
        <v>19</v>
      </c>
      <c r="D3643" s="2"/>
      <c r="E3643" s="2" t="e">
        <f t="shared" si="0"/>
        <v>#VALUE!</v>
      </c>
    </row>
    <row r="3644" spans="1:5" ht="12.75" customHeight="1" x14ac:dyDescent="0.2">
      <c r="A3644" s="1" t="str">
        <f>HYPERLINK("javascript:void(0)","rőzseszál")</f>
        <v>rőzseszál</v>
      </c>
      <c r="B3644" s="1"/>
      <c r="C3644" s="1"/>
      <c r="D3644" s="2"/>
      <c r="E3644" s="2" t="e">
        <f t="shared" si="0"/>
        <v>#VALUE!</v>
      </c>
    </row>
    <row r="3645" spans="1:5" ht="12.75" customHeight="1" x14ac:dyDescent="0.2">
      <c r="A3645" s="3"/>
      <c r="B3645" s="3" t="s">
        <v>0</v>
      </c>
      <c r="C3645" s="3" t="s">
        <v>21</v>
      </c>
      <c r="D3645" s="2"/>
      <c r="E3645" s="2" t="e">
        <f t="shared" si="0"/>
        <v>#VALUE!</v>
      </c>
    </row>
    <row r="3646" spans="1:5" ht="12.75" customHeight="1" x14ac:dyDescent="0.2">
      <c r="A3646" s="3"/>
      <c r="B3646" s="3" t="s">
        <v>2</v>
      </c>
      <c r="C3646" s="3" t="s">
        <v>458</v>
      </c>
      <c r="D3646" s="2"/>
      <c r="E3646" s="2" t="e">
        <f t="shared" si="0"/>
        <v>#VALUE!</v>
      </c>
    </row>
    <row r="3647" spans="1:5" ht="12.75" customHeight="1" x14ac:dyDescent="0.2">
      <c r="A3647" s="3"/>
      <c r="B3647" s="3" t="s">
        <v>9</v>
      </c>
      <c r="C3647" s="3" t="s">
        <v>22</v>
      </c>
      <c r="D3647" s="2"/>
      <c r="E3647" s="2" t="e">
        <f t="shared" si="0"/>
        <v>#VALUE!</v>
      </c>
    </row>
    <row r="3648" spans="1:5" ht="12.75" customHeight="1" x14ac:dyDescent="0.2">
      <c r="A3648" s="3"/>
      <c r="B3648" s="3" t="s">
        <v>11</v>
      </c>
      <c r="C3648" s="3" t="s">
        <v>535</v>
      </c>
      <c r="D3648" s="2"/>
      <c r="E3648" s="2" t="e">
        <f t="shared" si="0"/>
        <v>#VALUE!</v>
      </c>
    </row>
    <row r="3649" spans="1:5" ht="12.75" customHeight="1" x14ac:dyDescent="0.2">
      <c r="A3649" s="3"/>
      <c r="B3649" s="3" t="s">
        <v>18</v>
      </c>
      <c r="C3649" s="4" t="s">
        <v>19</v>
      </c>
      <c r="D3649" s="2"/>
      <c r="E3649" s="2" t="e">
        <f t="shared" si="0"/>
        <v>#VALUE!</v>
      </c>
    </row>
    <row r="3650" spans="1:5" ht="12.75" customHeight="1" x14ac:dyDescent="0.2">
      <c r="A3650" s="1" t="str">
        <f>HYPERLINK("javascript:void(0)","sarkkör")</f>
        <v>sarkkör</v>
      </c>
      <c r="B3650" s="1"/>
      <c r="C3650" s="1"/>
      <c r="D3650" s="2"/>
      <c r="E3650" s="2" t="e">
        <f t="shared" si="0"/>
        <v>#VALUE!</v>
      </c>
    </row>
    <row r="3651" spans="1:5" ht="12.75" customHeight="1" x14ac:dyDescent="0.2">
      <c r="A3651" s="3"/>
      <c r="B3651" s="3" t="s">
        <v>0</v>
      </c>
      <c r="C3651" s="3" t="s">
        <v>21</v>
      </c>
      <c r="D3651" s="2"/>
      <c r="E3651" s="2" t="e">
        <f t="shared" si="0"/>
        <v>#VALUE!</v>
      </c>
    </row>
    <row r="3652" spans="1:5" ht="12.75" customHeight="1" x14ac:dyDescent="0.2">
      <c r="A3652" s="3"/>
      <c r="B3652" s="3" t="s">
        <v>2</v>
      </c>
      <c r="C3652" s="3" t="s">
        <v>458</v>
      </c>
      <c r="D3652" s="2"/>
      <c r="E3652" s="2" t="e">
        <f t="shared" si="0"/>
        <v>#VALUE!</v>
      </c>
    </row>
    <row r="3653" spans="1:5" ht="12.75" customHeight="1" x14ac:dyDescent="0.2">
      <c r="A3653" s="3"/>
      <c r="B3653" s="3" t="s">
        <v>9</v>
      </c>
      <c r="C3653" s="3" t="s">
        <v>22</v>
      </c>
      <c r="D3653" s="2"/>
      <c r="E3653" s="2" t="e">
        <f t="shared" si="0"/>
        <v>#VALUE!</v>
      </c>
    </row>
    <row r="3654" spans="1:5" ht="12.75" customHeight="1" x14ac:dyDescent="0.2">
      <c r="A3654" s="3"/>
      <c r="B3654" s="3" t="s">
        <v>11</v>
      </c>
      <c r="C3654" s="3" t="s">
        <v>116</v>
      </c>
      <c r="D3654" s="2"/>
      <c r="E3654" s="2" t="e">
        <f t="shared" si="0"/>
        <v>#VALUE!</v>
      </c>
    </row>
    <row r="3655" spans="1:5" ht="12.75" customHeight="1" x14ac:dyDescent="0.2">
      <c r="A3655" s="3"/>
      <c r="B3655" s="3" t="s">
        <v>18</v>
      </c>
      <c r="C3655" s="4" t="s">
        <v>19</v>
      </c>
      <c r="D3655" s="2"/>
      <c r="E3655" s="2" t="e">
        <f t="shared" si="0"/>
        <v>#VALUE!</v>
      </c>
    </row>
    <row r="3656" spans="1:5" ht="12.75" customHeight="1" x14ac:dyDescent="0.2">
      <c r="A3656" s="1" t="str">
        <f>HYPERLINK("javascript:void(0)","sarok")</f>
        <v>sarok</v>
      </c>
      <c r="B3656" s="1"/>
      <c r="C3656" s="1"/>
      <c r="D3656" s="2"/>
      <c r="E3656" s="2" t="e">
        <f t="shared" si="0"/>
        <v>#VALUE!</v>
      </c>
    </row>
    <row r="3657" spans="1:5" ht="12.75" customHeight="1" x14ac:dyDescent="0.2">
      <c r="A3657" s="3"/>
      <c r="B3657" s="3" t="s">
        <v>0</v>
      </c>
      <c r="C3657" s="3" t="s">
        <v>21</v>
      </c>
      <c r="D3657" s="2"/>
      <c r="E3657" s="2" t="e">
        <f t="shared" si="0"/>
        <v>#VALUE!</v>
      </c>
    </row>
    <row r="3658" spans="1:5" ht="12.75" customHeight="1" x14ac:dyDescent="0.2">
      <c r="A3658" s="3"/>
      <c r="B3658" s="3" t="s">
        <v>2</v>
      </c>
      <c r="C3658" s="3" t="s">
        <v>458</v>
      </c>
      <c r="D3658" s="2"/>
      <c r="E3658" s="2" t="e">
        <f t="shared" si="0"/>
        <v>#VALUE!</v>
      </c>
    </row>
    <row r="3659" spans="1:5" ht="12.75" customHeight="1" x14ac:dyDescent="0.2">
      <c r="A3659" s="3"/>
      <c r="B3659" s="3" t="s">
        <v>9</v>
      </c>
      <c r="C3659" s="3" t="s">
        <v>22</v>
      </c>
      <c r="D3659" s="2"/>
      <c r="E3659" s="2" t="e">
        <f t="shared" si="0"/>
        <v>#VALUE!</v>
      </c>
    </row>
    <row r="3660" spans="1:5" ht="12.75" customHeight="1" x14ac:dyDescent="0.2">
      <c r="A3660" s="3"/>
      <c r="B3660" s="3" t="s">
        <v>11</v>
      </c>
      <c r="C3660" s="3" t="s">
        <v>529</v>
      </c>
      <c r="D3660" s="2"/>
      <c r="E3660" s="2" t="e">
        <f t="shared" si="0"/>
        <v>#VALUE!</v>
      </c>
    </row>
    <row r="3661" spans="1:5" ht="12.75" customHeight="1" x14ac:dyDescent="0.2">
      <c r="A3661" s="3"/>
      <c r="B3661" s="3" t="s">
        <v>18</v>
      </c>
      <c r="C3661" s="4" t="s">
        <v>19</v>
      </c>
      <c r="D3661" s="2"/>
      <c r="E3661" s="2" t="e">
        <f t="shared" si="0"/>
        <v>#VALUE!</v>
      </c>
    </row>
    <row r="3662" spans="1:5" ht="12.75" customHeight="1" x14ac:dyDescent="0.2">
      <c r="A3662" s="1" t="str">
        <f>HYPERLINK("javascript:void(0)","savige")</f>
        <v>savige</v>
      </c>
      <c r="B3662" s="1"/>
      <c r="C3662" s="1"/>
      <c r="D3662" s="2"/>
      <c r="E3662" s="2" t="e">
        <f t="shared" si="0"/>
        <v>#VALUE!</v>
      </c>
    </row>
    <row r="3663" spans="1:5" ht="12.75" customHeight="1" x14ac:dyDescent="0.2">
      <c r="A3663" s="3"/>
      <c r="B3663" s="3" t="s">
        <v>0</v>
      </c>
      <c r="C3663" s="3" t="s">
        <v>21</v>
      </c>
      <c r="D3663" s="2"/>
      <c r="E3663" s="2" t="e">
        <f t="shared" si="0"/>
        <v>#VALUE!</v>
      </c>
    </row>
    <row r="3664" spans="1:5" ht="12.75" customHeight="1" x14ac:dyDescent="0.2">
      <c r="A3664" s="3"/>
      <c r="B3664" s="3" t="s">
        <v>2</v>
      </c>
      <c r="C3664" s="3" t="s">
        <v>458</v>
      </c>
      <c r="D3664" s="2"/>
      <c r="E3664" s="2" t="e">
        <f t="shared" si="0"/>
        <v>#VALUE!</v>
      </c>
    </row>
    <row r="3665" spans="1:5" ht="12.75" customHeight="1" x14ac:dyDescent="0.2">
      <c r="A3665" s="3"/>
      <c r="B3665" s="3" t="s">
        <v>9</v>
      </c>
      <c r="C3665" s="3" t="s">
        <v>22</v>
      </c>
      <c r="D3665" s="2"/>
      <c r="E3665" s="2" t="e">
        <f t="shared" si="0"/>
        <v>#VALUE!</v>
      </c>
    </row>
    <row r="3666" spans="1:5" ht="12.75" customHeight="1" x14ac:dyDescent="0.2">
      <c r="A3666" s="3"/>
      <c r="B3666" s="3" t="s">
        <v>11</v>
      </c>
      <c r="C3666" s="3" t="s">
        <v>535</v>
      </c>
      <c r="D3666" s="2"/>
      <c r="E3666" s="2" t="e">
        <f t="shared" si="0"/>
        <v>#VALUE!</v>
      </c>
    </row>
    <row r="3667" spans="1:5" ht="12.75" customHeight="1" x14ac:dyDescent="0.2">
      <c r="A3667" s="3"/>
      <c r="B3667" s="3" t="s">
        <v>18</v>
      </c>
      <c r="C3667" s="4" t="s">
        <v>19</v>
      </c>
      <c r="D3667" s="2"/>
      <c r="E3667" s="2" t="e">
        <f t="shared" si="0"/>
        <v>#VALUE!</v>
      </c>
    </row>
    <row r="3668" spans="1:5" ht="12.75" customHeight="1" x14ac:dyDescent="0.2">
      <c r="A3668" s="1" t="str">
        <f>HYPERLINK("javascript:void(0)","savkristály")</f>
        <v>savkristály</v>
      </c>
      <c r="B3668" s="1"/>
      <c r="C3668" s="1"/>
      <c r="D3668" s="2"/>
      <c r="E3668" s="2" t="e">
        <f t="shared" si="0"/>
        <v>#VALUE!</v>
      </c>
    </row>
    <row r="3669" spans="1:5" ht="12.75" customHeight="1" x14ac:dyDescent="0.2">
      <c r="A3669" s="3"/>
      <c r="B3669" s="3" t="s">
        <v>0</v>
      </c>
      <c r="C3669" s="3" t="s">
        <v>1</v>
      </c>
      <c r="D3669" s="2"/>
      <c r="E3669" s="2" t="e">
        <f t="shared" si="0"/>
        <v>#VALUE!</v>
      </c>
    </row>
    <row r="3670" spans="1:5" ht="12.75" customHeight="1" x14ac:dyDescent="0.2">
      <c r="A3670" s="3"/>
      <c r="B3670" s="3" t="s">
        <v>2</v>
      </c>
      <c r="C3670" s="3" t="s">
        <v>387</v>
      </c>
      <c r="D3670" s="2"/>
      <c r="E3670" s="2" t="e">
        <f t="shared" si="0"/>
        <v>#VALUE!</v>
      </c>
    </row>
    <row r="3671" spans="1:5" ht="12.75" customHeight="1" x14ac:dyDescent="0.2">
      <c r="A3671" s="3"/>
      <c r="B3671" s="3" t="s">
        <v>9</v>
      </c>
      <c r="C3671" s="3" t="s">
        <v>22</v>
      </c>
      <c r="D3671" s="2"/>
      <c r="E3671" s="2" t="e">
        <f t="shared" si="0"/>
        <v>#VALUE!</v>
      </c>
    </row>
    <row r="3672" spans="1:5" ht="12.75" customHeight="1" x14ac:dyDescent="0.2">
      <c r="A3672" s="3"/>
      <c r="B3672" s="3" t="s">
        <v>11</v>
      </c>
      <c r="C3672" s="3" t="s">
        <v>1571</v>
      </c>
      <c r="D3672" s="2"/>
      <c r="E3672" s="2" t="e">
        <f t="shared" si="0"/>
        <v>#VALUE!</v>
      </c>
    </row>
    <row r="3673" spans="1:5" ht="12.75" customHeight="1" x14ac:dyDescent="0.2">
      <c r="A3673" s="3"/>
      <c r="B3673" s="3" t="s">
        <v>18</v>
      </c>
      <c r="C3673" s="4" t="s">
        <v>19</v>
      </c>
      <c r="D3673" s="2"/>
      <c r="E3673" s="2" t="e">
        <f t="shared" si="0"/>
        <v>#VALUE!</v>
      </c>
    </row>
    <row r="3674" spans="1:5" ht="12.75" customHeight="1" x14ac:dyDescent="0.2">
      <c r="A3674" s="1" t="str">
        <f>HYPERLINK("javascript:void(0)","sejtmag")</f>
        <v>sejtmag</v>
      </c>
      <c r="B3674" s="1"/>
      <c r="C3674" s="1"/>
      <c r="D3674" s="2"/>
      <c r="E3674" s="2" t="e">
        <f t="shared" si="0"/>
        <v>#VALUE!</v>
      </c>
    </row>
    <row r="3675" spans="1:5" ht="12.75" customHeight="1" x14ac:dyDescent="0.2">
      <c r="A3675" s="3"/>
      <c r="B3675" s="3" t="s">
        <v>0</v>
      </c>
      <c r="C3675" s="3" t="s">
        <v>21</v>
      </c>
      <c r="D3675" s="2"/>
      <c r="E3675" s="2" t="e">
        <f t="shared" si="0"/>
        <v>#VALUE!</v>
      </c>
    </row>
    <row r="3676" spans="1:5" ht="12.75" customHeight="1" x14ac:dyDescent="0.2">
      <c r="A3676" s="3"/>
      <c r="B3676" s="3" t="s">
        <v>2</v>
      </c>
      <c r="C3676" s="3" t="s">
        <v>458</v>
      </c>
      <c r="D3676" s="2"/>
      <c r="E3676" s="2" t="e">
        <f t="shared" si="0"/>
        <v>#VALUE!</v>
      </c>
    </row>
    <row r="3677" spans="1:5" ht="12.75" customHeight="1" x14ac:dyDescent="0.2">
      <c r="A3677" s="3"/>
      <c r="B3677" s="3" t="s">
        <v>9</v>
      </c>
      <c r="C3677" s="3" t="s">
        <v>704</v>
      </c>
      <c r="D3677" s="2"/>
      <c r="E3677" s="2" t="e">
        <f t="shared" si="0"/>
        <v>#VALUE!</v>
      </c>
    </row>
    <row r="3678" spans="1:5" ht="12.75" customHeight="1" x14ac:dyDescent="0.2">
      <c r="A3678" s="3"/>
      <c r="B3678" s="3" t="s">
        <v>11</v>
      </c>
      <c r="C3678" s="3" t="s">
        <v>168</v>
      </c>
      <c r="D3678" s="2"/>
      <c r="E3678" s="2" t="e">
        <f t="shared" si="0"/>
        <v>#VALUE!</v>
      </c>
    </row>
    <row r="3679" spans="1:5" ht="12.75" customHeight="1" x14ac:dyDescent="0.2">
      <c r="A3679" s="3"/>
      <c r="B3679" s="3" t="s">
        <v>18</v>
      </c>
      <c r="C3679" s="4" t="s">
        <v>19</v>
      </c>
      <c r="D3679" s="2"/>
      <c r="E3679" s="2" t="e">
        <f t="shared" si="0"/>
        <v>#VALUE!</v>
      </c>
    </row>
    <row r="3680" spans="1:5" ht="12.75" customHeight="1" x14ac:dyDescent="0.2">
      <c r="A3680" s="1" t="str">
        <f>HYPERLINK("javascript:void(0)","semmiség")</f>
        <v>semmiség</v>
      </c>
      <c r="B3680" s="1"/>
      <c r="C3680" s="1"/>
      <c r="D3680" s="2"/>
      <c r="E3680" s="2" t="e">
        <f t="shared" si="0"/>
        <v>#VALUE!</v>
      </c>
    </row>
    <row r="3681" spans="1:5" ht="12.75" customHeight="1" x14ac:dyDescent="0.2">
      <c r="A3681" s="3"/>
      <c r="B3681" s="3" t="s">
        <v>0</v>
      </c>
      <c r="C3681" s="3" t="s">
        <v>21</v>
      </c>
      <c r="D3681" s="2"/>
      <c r="E3681" s="2" t="e">
        <f t="shared" si="0"/>
        <v>#VALUE!</v>
      </c>
    </row>
    <row r="3682" spans="1:5" ht="12.75" customHeight="1" x14ac:dyDescent="0.2">
      <c r="A3682" s="3"/>
      <c r="B3682" s="3" t="s">
        <v>2</v>
      </c>
      <c r="C3682" s="3" t="s">
        <v>458</v>
      </c>
      <c r="D3682" s="2"/>
      <c r="E3682" s="2" t="e">
        <f t="shared" si="0"/>
        <v>#VALUE!</v>
      </c>
    </row>
    <row r="3683" spans="1:5" ht="12.75" customHeight="1" x14ac:dyDescent="0.2">
      <c r="A3683" s="3"/>
      <c r="B3683" s="3" t="s">
        <v>9</v>
      </c>
      <c r="C3683" s="3" t="s">
        <v>1574</v>
      </c>
      <c r="D3683" s="2"/>
      <c r="E3683" s="2" t="e">
        <f t="shared" si="0"/>
        <v>#VALUE!</v>
      </c>
    </row>
    <row r="3684" spans="1:5" ht="12.75" customHeight="1" x14ac:dyDescent="0.2">
      <c r="A3684" s="3"/>
      <c r="B3684" s="3" t="s">
        <v>11</v>
      </c>
      <c r="C3684" s="3" t="s">
        <v>116</v>
      </c>
      <c r="D3684" s="2"/>
      <c r="E3684" s="2" t="e">
        <f t="shared" si="0"/>
        <v>#VALUE!</v>
      </c>
    </row>
    <row r="3685" spans="1:5" ht="12.75" customHeight="1" x14ac:dyDescent="0.2">
      <c r="A3685" s="3"/>
      <c r="B3685" s="3" t="s">
        <v>18</v>
      </c>
      <c r="C3685" s="4" t="s">
        <v>19</v>
      </c>
      <c r="D3685" s="2"/>
      <c r="E3685" s="2" t="e">
        <f t="shared" si="0"/>
        <v>#VALUE!</v>
      </c>
    </row>
    <row r="3686" spans="1:5" ht="12.75" customHeight="1" x14ac:dyDescent="0.2">
      <c r="A3686" s="1" t="str">
        <f>HYPERLINK("javascript:void(0)","serte")</f>
        <v>serte</v>
      </c>
      <c r="B3686" s="1"/>
      <c r="C3686" s="1"/>
      <c r="D3686" s="2"/>
      <c r="E3686" s="2" t="e">
        <f t="shared" si="0"/>
        <v>#VALUE!</v>
      </c>
    </row>
    <row r="3687" spans="1:5" ht="12.75" customHeight="1" x14ac:dyDescent="0.2">
      <c r="A3687" s="3"/>
      <c r="B3687" s="3" t="s">
        <v>0</v>
      </c>
      <c r="C3687" s="3" t="s">
        <v>21</v>
      </c>
      <c r="D3687" s="2"/>
      <c r="E3687" s="2" t="e">
        <f t="shared" si="0"/>
        <v>#VALUE!</v>
      </c>
    </row>
    <row r="3688" spans="1:5" ht="12.75" customHeight="1" x14ac:dyDescent="0.2">
      <c r="A3688" s="3"/>
      <c r="B3688" s="3" t="s">
        <v>2</v>
      </c>
      <c r="C3688" s="3" t="s">
        <v>458</v>
      </c>
      <c r="D3688" s="2"/>
      <c r="E3688" s="2" t="e">
        <f t="shared" si="0"/>
        <v>#VALUE!</v>
      </c>
    </row>
    <row r="3689" spans="1:5" ht="12.75" customHeight="1" x14ac:dyDescent="0.2">
      <c r="A3689" s="3"/>
      <c r="B3689" s="3" t="s">
        <v>9</v>
      </c>
      <c r="C3689" s="3" t="s">
        <v>513</v>
      </c>
      <c r="D3689" s="2"/>
      <c r="E3689" s="2" t="e">
        <f t="shared" si="0"/>
        <v>#VALUE!</v>
      </c>
    </row>
    <row r="3690" spans="1:5" ht="12.75" customHeight="1" x14ac:dyDescent="0.2">
      <c r="A3690" s="3"/>
      <c r="B3690" s="3" t="s">
        <v>11</v>
      </c>
      <c r="C3690" s="3" t="s">
        <v>689</v>
      </c>
      <c r="D3690" s="2"/>
      <c r="E3690" s="2" t="e">
        <f t="shared" si="0"/>
        <v>#VALUE!</v>
      </c>
    </row>
    <row r="3691" spans="1:5" ht="12.75" customHeight="1" x14ac:dyDescent="0.2">
      <c r="A3691" s="3"/>
      <c r="B3691" s="3" t="s">
        <v>18</v>
      </c>
      <c r="C3691" s="4" t="s">
        <v>19</v>
      </c>
      <c r="D3691" s="2"/>
      <c r="E3691" s="2" t="e">
        <f t="shared" si="0"/>
        <v>#VALUE!</v>
      </c>
    </row>
    <row r="3692" spans="1:5" ht="12.75" customHeight="1" x14ac:dyDescent="0.2">
      <c r="A3692" s="1" t="str">
        <f>HYPERLINK("javascript:void(0)","skalp")</f>
        <v>skalp</v>
      </c>
      <c r="B3692" s="1"/>
      <c r="C3692" s="1"/>
      <c r="D3692" s="2"/>
      <c r="E3692" s="2" t="e">
        <f t="shared" si="0"/>
        <v>#VALUE!</v>
      </c>
    </row>
    <row r="3693" spans="1:5" ht="12.75" customHeight="1" x14ac:dyDescent="0.2">
      <c r="A3693" s="3"/>
      <c r="B3693" s="3" t="s">
        <v>0</v>
      </c>
      <c r="C3693" s="3" t="s">
        <v>21</v>
      </c>
      <c r="D3693" s="2"/>
      <c r="E3693" s="2" t="e">
        <f t="shared" si="0"/>
        <v>#VALUE!</v>
      </c>
    </row>
    <row r="3694" spans="1:5" ht="12.75" customHeight="1" x14ac:dyDescent="0.2">
      <c r="A3694" s="3"/>
      <c r="B3694" s="3" t="s">
        <v>2</v>
      </c>
      <c r="C3694" s="3" t="s">
        <v>458</v>
      </c>
      <c r="D3694" s="2"/>
      <c r="E3694" s="2" t="e">
        <f t="shared" si="0"/>
        <v>#VALUE!</v>
      </c>
    </row>
    <row r="3695" spans="1:5" ht="12.75" customHeight="1" x14ac:dyDescent="0.2">
      <c r="A3695" s="3"/>
      <c r="B3695" s="3" t="s">
        <v>9</v>
      </c>
      <c r="C3695" s="3" t="s">
        <v>42</v>
      </c>
      <c r="D3695" s="2"/>
      <c r="E3695" s="2" t="e">
        <f t="shared" si="0"/>
        <v>#VALUE!</v>
      </c>
    </row>
    <row r="3696" spans="1:5" ht="12.75" customHeight="1" x14ac:dyDescent="0.2">
      <c r="A3696" s="3"/>
      <c r="B3696" s="3" t="s">
        <v>11</v>
      </c>
      <c r="C3696" s="3" t="s">
        <v>505</v>
      </c>
      <c r="D3696" s="2"/>
      <c r="E3696" s="2" t="e">
        <f t="shared" si="0"/>
        <v>#VALUE!</v>
      </c>
    </row>
    <row r="3697" spans="1:5" ht="12.75" customHeight="1" x14ac:dyDescent="0.2">
      <c r="A3697" s="3"/>
      <c r="B3697" s="3" t="s">
        <v>18</v>
      </c>
      <c r="C3697" s="4" t="s">
        <v>19</v>
      </c>
      <c r="D3697" s="2"/>
      <c r="E3697" s="2" t="e">
        <f t="shared" si="0"/>
        <v>#VALUE!</v>
      </c>
    </row>
    <row r="3698" spans="1:5" ht="12.75" customHeight="1" x14ac:dyDescent="0.2">
      <c r="A3698" s="1" t="str">
        <f>HYPERLINK("javascript:void(0)","smaragd")</f>
        <v>smaragd</v>
      </c>
      <c r="B3698" s="1"/>
      <c r="C3698" s="1"/>
      <c r="D3698" s="2"/>
      <c r="E3698" s="2" t="e">
        <f t="shared" si="0"/>
        <v>#VALUE!</v>
      </c>
    </row>
    <row r="3699" spans="1:5" ht="12.75" customHeight="1" x14ac:dyDescent="0.2">
      <c r="A3699" s="3"/>
      <c r="B3699" s="3" t="s">
        <v>0</v>
      </c>
      <c r="C3699" s="3" t="s">
        <v>21</v>
      </c>
      <c r="D3699" s="2"/>
      <c r="E3699" s="2" t="e">
        <f t="shared" si="0"/>
        <v>#VALUE!</v>
      </c>
    </row>
    <row r="3700" spans="1:5" ht="12.75" customHeight="1" x14ac:dyDescent="0.2">
      <c r="A3700" s="3"/>
      <c r="B3700" s="3" t="s">
        <v>2</v>
      </c>
      <c r="C3700" s="3" t="s">
        <v>564</v>
      </c>
      <c r="D3700" s="2"/>
      <c r="E3700" s="2" t="e">
        <f t="shared" si="0"/>
        <v>#VALUE!</v>
      </c>
    </row>
    <row r="3701" spans="1:5" ht="12.75" customHeight="1" x14ac:dyDescent="0.2">
      <c r="A3701" s="3"/>
      <c r="B3701" s="3" t="s">
        <v>9</v>
      </c>
      <c r="C3701" s="3" t="s">
        <v>1048</v>
      </c>
      <c r="D3701" s="2"/>
      <c r="E3701" s="2" t="e">
        <f t="shared" si="0"/>
        <v>#VALUE!</v>
      </c>
    </row>
    <row r="3702" spans="1:5" ht="12.75" customHeight="1" x14ac:dyDescent="0.2">
      <c r="A3702" s="3"/>
      <c r="B3702" s="3" t="s">
        <v>11</v>
      </c>
      <c r="C3702" s="3" t="s">
        <v>1578</v>
      </c>
      <c r="D3702" s="2"/>
      <c r="E3702" s="2" t="e">
        <f t="shared" si="0"/>
        <v>#VALUE!</v>
      </c>
    </row>
    <row r="3703" spans="1:5" ht="12.75" customHeight="1" x14ac:dyDescent="0.2">
      <c r="A3703" s="3"/>
      <c r="B3703" s="3" t="s">
        <v>18</v>
      </c>
      <c r="C3703" s="4" t="s">
        <v>19</v>
      </c>
      <c r="D3703" s="2"/>
      <c r="E3703" s="2" t="e">
        <f t="shared" si="0"/>
        <v>#VALUE!</v>
      </c>
    </row>
    <row r="3704" spans="1:5" ht="12.75" customHeight="1" x14ac:dyDescent="0.2">
      <c r="A3704" s="1" t="str">
        <f>HYPERLINK("javascript:void(0)","sodrófa")</f>
        <v>sodrófa</v>
      </c>
      <c r="B3704" s="1"/>
      <c r="C3704" s="1"/>
      <c r="D3704" s="2"/>
      <c r="E3704" s="2" t="e">
        <f t="shared" si="0"/>
        <v>#VALUE!</v>
      </c>
    </row>
    <row r="3705" spans="1:5" ht="12.75" customHeight="1" x14ac:dyDescent="0.2">
      <c r="A3705" s="3"/>
      <c r="B3705" s="3" t="s">
        <v>0</v>
      </c>
      <c r="C3705" s="3" t="s">
        <v>21</v>
      </c>
      <c r="D3705" s="2"/>
      <c r="E3705" s="2" t="e">
        <f t="shared" si="0"/>
        <v>#VALUE!</v>
      </c>
    </row>
    <row r="3706" spans="1:5" ht="12.75" customHeight="1" x14ac:dyDescent="0.2">
      <c r="A3706" s="3"/>
      <c r="B3706" s="3" t="s">
        <v>2</v>
      </c>
      <c r="C3706" s="3" t="s">
        <v>387</v>
      </c>
      <c r="D3706" s="2"/>
      <c r="E3706" s="2" t="e">
        <f t="shared" si="0"/>
        <v>#VALUE!</v>
      </c>
    </row>
    <row r="3707" spans="1:5" ht="12.75" customHeight="1" x14ac:dyDescent="0.2">
      <c r="A3707" s="3"/>
      <c r="B3707" s="3" t="s">
        <v>9</v>
      </c>
      <c r="C3707" s="3" t="s">
        <v>129</v>
      </c>
      <c r="D3707" s="2"/>
      <c r="E3707" s="2" t="e">
        <f t="shared" si="0"/>
        <v>#VALUE!</v>
      </c>
    </row>
    <row r="3708" spans="1:5" ht="12.75" customHeight="1" x14ac:dyDescent="0.2">
      <c r="A3708" s="3"/>
      <c r="B3708" s="3" t="s">
        <v>11</v>
      </c>
      <c r="C3708" s="3" t="s">
        <v>23</v>
      </c>
      <c r="D3708" s="2"/>
      <c r="E3708" s="2" t="e">
        <f t="shared" si="0"/>
        <v>#VALUE!</v>
      </c>
    </row>
    <row r="3709" spans="1:5" ht="12.75" customHeight="1" x14ac:dyDescent="0.2">
      <c r="A3709" s="3"/>
      <c r="B3709" s="3" t="s">
        <v>16</v>
      </c>
      <c r="C3709" s="3" t="s">
        <v>388</v>
      </c>
      <c r="D3709" s="2"/>
      <c r="E3709" s="2" t="e">
        <f t="shared" si="0"/>
        <v>#VALUE!</v>
      </c>
    </row>
    <row r="3710" spans="1:5" ht="12.75" customHeight="1" x14ac:dyDescent="0.2">
      <c r="A3710" s="3"/>
      <c r="B3710" s="3" t="s">
        <v>18</v>
      </c>
      <c r="C3710" s="4" t="s">
        <v>19</v>
      </c>
      <c r="D3710" s="2"/>
      <c r="E3710" s="2" t="e">
        <f t="shared" si="0"/>
        <v>#VALUE!</v>
      </c>
    </row>
    <row r="3711" spans="1:5" ht="12.75" customHeight="1" x14ac:dyDescent="0.2">
      <c r="A3711" s="1" t="str">
        <f>HYPERLINK("javascript:void(0)","spiritusz")</f>
        <v>spiritusz</v>
      </c>
      <c r="B3711" s="1"/>
      <c r="C3711" s="1"/>
      <c r="D3711" s="2"/>
      <c r="E3711" s="2" t="e">
        <f t="shared" si="0"/>
        <v>#VALUE!</v>
      </c>
    </row>
    <row r="3712" spans="1:5" ht="12.75" customHeight="1" x14ac:dyDescent="0.2">
      <c r="A3712" s="3"/>
      <c r="B3712" s="3" t="s">
        <v>0</v>
      </c>
      <c r="C3712" s="3" t="s">
        <v>21</v>
      </c>
      <c r="D3712" s="2"/>
      <c r="E3712" s="2" t="e">
        <f t="shared" si="0"/>
        <v>#VALUE!</v>
      </c>
    </row>
    <row r="3713" spans="1:5" ht="12.75" customHeight="1" x14ac:dyDescent="0.2">
      <c r="A3713" s="3"/>
      <c r="B3713" s="3" t="s">
        <v>2</v>
      </c>
      <c r="C3713" s="3" t="s">
        <v>458</v>
      </c>
      <c r="D3713" s="2"/>
      <c r="E3713" s="2" t="e">
        <f t="shared" si="0"/>
        <v>#VALUE!</v>
      </c>
    </row>
    <row r="3714" spans="1:5" ht="12.75" customHeight="1" x14ac:dyDescent="0.2">
      <c r="A3714" s="3"/>
      <c r="B3714" s="3" t="s">
        <v>9</v>
      </c>
      <c r="C3714" s="3" t="s">
        <v>84</v>
      </c>
      <c r="D3714" s="2"/>
      <c r="E3714" s="2" t="e">
        <f t="shared" si="0"/>
        <v>#VALUE!</v>
      </c>
    </row>
    <row r="3715" spans="1:5" ht="12.75" customHeight="1" x14ac:dyDescent="0.2">
      <c r="A3715" s="3"/>
      <c r="B3715" s="3" t="s">
        <v>11</v>
      </c>
      <c r="C3715" s="3" t="s">
        <v>490</v>
      </c>
      <c r="D3715" s="2"/>
      <c r="E3715" s="2" t="e">
        <f t="shared" si="0"/>
        <v>#VALUE!</v>
      </c>
    </row>
    <row r="3716" spans="1:5" ht="12.75" customHeight="1" x14ac:dyDescent="0.2">
      <c r="A3716" s="3"/>
      <c r="B3716" s="3" t="s">
        <v>18</v>
      </c>
      <c r="C3716" s="4" t="s">
        <v>19</v>
      </c>
      <c r="D3716" s="2"/>
      <c r="E3716" s="2" t="e">
        <f t="shared" si="0"/>
        <v>#VALUE!</v>
      </c>
    </row>
    <row r="3717" spans="1:5" ht="12.75" customHeight="1" x14ac:dyDescent="0.2">
      <c r="A3717" s="1" t="str">
        <f>HYPERLINK("javascript:void(0)","spóra")</f>
        <v>spóra</v>
      </c>
      <c r="B3717" s="1"/>
      <c r="C3717" s="1"/>
      <c r="D3717" s="2"/>
      <c r="E3717" s="2" t="e">
        <f t="shared" si="0"/>
        <v>#VALUE!</v>
      </c>
    </row>
    <row r="3718" spans="1:5" ht="12.75" customHeight="1" x14ac:dyDescent="0.2">
      <c r="A3718" s="3"/>
      <c r="B3718" s="3" t="s">
        <v>0</v>
      </c>
      <c r="C3718" s="3" t="s">
        <v>21</v>
      </c>
      <c r="D3718" s="2"/>
      <c r="E3718" s="2" t="e">
        <f t="shared" si="0"/>
        <v>#VALUE!</v>
      </c>
    </row>
    <row r="3719" spans="1:5" ht="12.75" customHeight="1" x14ac:dyDescent="0.2">
      <c r="A3719" s="3"/>
      <c r="B3719" s="3" t="s">
        <v>2</v>
      </c>
      <c r="C3719" s="3" t="s">
        <v>458</v>
      </c>
      <c r="D3719" s="2"/>
      <c r="E3719" s="2" t="e">
        <f t="shared" si="0"/>
        <v>#VALUE!</v>
      </c>
    </row>
    <row r="3720" spans="1:5" ht="12.75" customHeight="1" x14ac:dyDescent="0.2">
      <c r="A3720" s="3"/>
      <c r="B3720" s="3" t="s">
        <v>9</v>
      </c>
      <c r="C3720" s="3" t="s">
        <v>565</v>
      </c>
      <c r="D3720" s="2"/>
      <c r="E3720" s="2" t="e">
        <f t="shared" si="0"/>
        <v>#VALUE!</v>
      </c>
    </row>
    <row r="3721" spans="1:5" ht="12.75" customHeight="1" x14ac:dyDescent="0.2">
      <c r="A3721" s="3"/>
      <c r="B3721" s="3" t="s">
        <v>11</v>
      </c>
      <c r="C3721" s="3" t="s">
        <v>685</v>
      </c>
      <c r="D3721" s="2"/>
      <c r="E3721" s="2" t="e">
        <f t="shared" si="0"/>
        <v>#VALUE!</v>
      </c>
    </row>
    <row r="3722" spans="1:5" ht="12.75" customHeight="1" x14ac:dyDescent="0.2">
      <c r="A3722" s="3"/>
      <c r="B3722" s="3" t="s">
        <v>18</v>
      </c>
      <c r="C3722" s="4" t="s">
        <v>19</v>
      </c>
      <c r="D3722" s="2"/>
      <c r="E3722" s="2" t="e">
        <f t="shared" si="0"/>
        <v>#VALUE!</v>
      </c>
    </row>
    <row r="3723" spans="1:5" ht="12.75" customHeight="1" x14ac:dyDescent="0.2">
      <c r="A3723" s="1" t="str">
        <f>HYPERLINK("javascript:void(0)","sudár")</f>
        <v>sudár</v>
      </c>
      <c r="B3723" s="1"/>
      <c r="C3723" s="1"/>
      <c r="D3723" s="2"/>
      <c r="E3723" s="2" t="e">
        <f t="shared" si="0"/>
        <v>#VALUE!</v>
      </c>
    </row>
    <row r="3724" spans="1:5" ht="12.75" customHeight="1" x14ac:dyDescent="0.2">
      <c r="A3724" s="3"/>
      <c r="B3724" s="3" t="s">
        <v>0</v>
      </c>
      <c r="C3724" s="3" t="s">
        <v>21</v>
      </c>
      <c r="D3724" s="2"/>
      <c r="E3724" s="2" t="e">
        <f t="shared" si="0"/>
        <v>#VALUE!</v>
      </c>
    </row>
    <row r="3725" spans="1:5" ht="12.75" customHeight="1" x14ac:dyDescent="0.2">
      <c r="A3725" s="3"/>
      <c r="B3725" s="3" t="s">
        <v>2</v>
      </c>
      <c r="C3725" s="3" t="s">
        <v>458</v>
      </c>
      <c r="D3725" s="2"/>
      <c r="E3725" s="2" t="e">
        <f t="shared" si="0"/>
        <v>#VALUE!</v>
      </c>
    </row>
    <row r="3726" spans="1:5" ht="12.75" customHeight="1" x14ac:dyDescent="0.2">
      <c r="A3726" s="3"/>
      <c r="B3726" s="3" t="s">
        <v>9</v>
      </c>
      <c r="C3726" s="3" t="s">
        <v>1048</v>
      </c>
      <c r="D3726" s="2"/>
      <c r="E3726" s="2" t="e">
        <f t="shared" si="0"/>
        <v>#VALUE!</v>
      </c>
    </row>
    <row r="3727" spans="1:5" ht="12.75" customHeight="1" x14ac:dyDescent="0.2">
      <c r="A3727" s="3"/>
      <c r="B3727" s="3" t="s">
        <v>11</v>
      </c>
      <c r="C3727" s="3" t="s">
        <v>486</v>
      </c>
      <c r="D3727" s="2"/>
      <c r="E3727" s="2" t="e">
        <f t="shared" si="0"/>
        <v>#VALUE!</v>
      </c>
    </row>
    <row r="3728" spans="1:5" ht="12.75" customHeight="1" x14ac:dyDescent="0.2">
      <c r="A3728" s="3"/>
      <c r="B3728" s="3" t="s">
        <v>18</v>
      </c>
      <c r="C3728" s="4" t="s">
        <v>19</v>
      </c>
      <c r="D3728" s="2"/>
      <c r="E3728" s="2" t="e">
        <f t="shared" si="0"/>
        <v>#VALUE!</v>
      </c>
    </row>
    <row r="3729" spans="1:5" ht="12.75" customHeight="1" x14ac:dyDescent="0.2">
      <c r="A3729" s="1" t="str">
        <f>HYPERLINK("javascript:void(0)","suhanás")</f>
        <v>suhanás</v>
      </c>
      <c r="B3729" s="1"/>
      <c r="C3729" s="1"/>
      <c r="D3729" s="2"/>
      <c r="E3729" s="2" t="e">
        <f t="shared" si="0"/>
        <v>#VALUE!</v>
      </c>
    </row>
    <row r="3730" spans="1:5" ht="12.75" customHeight="1" x14ac:dyDescent="0.2">
      <c r="A3730" s="3"/>
      <c r="B3730" s="3" t="s">
        <v>0</v>
      </c>
      <c r="C3730" s="3" t="s">
        <v>21</v>
      </c>
      <c r="D3730" s="2"/>
      <c r="E3730" s="2" t="e">
        <f t="shared" si="0"/>
        <v>#VALUE!</v>
      </c>
    </row>
    <row r="3731" spans="1:5" ht="12.75" customHeight="1" x14ac:dyDescent="0.2">
      <c r="A3731" s="3"/>
      <c r="B3731" s="3" t="s">
        <v>2</v>
      </c>
      <c r="C3731" s="3" t="s">
        <v>458</v>
      </c>
      <c r="D3731" s="2"/>
      <c r="E3731" s="2" t="e">
        <f t="shared" si="0"/>
        <v>#VALUE!</v>
      </c>
    </row>
    <row r="3732" spans="1:5" ht="12.75" customHeight="1" x14ac:dyDescent="0.2">
      <c r="A3732" s="3"/>
      <c r="B3732" s="3" t="s">
        <v>9</v>
      </c>
      <c r="C3732" s="3" t="s">
        <v>404</v>
      </c>
      <c r="D3732" s="2"/>
      <c r="E3732" s="2" t="e">
        <f t="shared" si="0"/>
        <v>#VALUE!</v>
      </c>
    </row>
    <row r="3733" spans="1:5" ht="12.75" customHeight="1" x14ac:dyDescent="0.2">
      <c r="A3733" s="3"/>
      <c r="B3733" s="3" t="s">
        <v>11</v>
      </c>
      <c r="C3733" s="3" t="s">
        <v>1585</v>
      </c>
      <c r="D3733" s="2"/>
      <c r="E3733" s="2" t="e">
        <f t="shared" si="0"/>
        <v>#VALUE!</v>
      </c>
    </row>
    <row r="3734" spans="1:5" ht="12.75" customHeight="1" x14ac:dyDescent="0.2">
      <c r="A3734" s="3"/>
      <c r="B3734" s="3" t="s">
        <v>18</v>
      </c>
      <c r="C3734" s="4" t="s">
        <v>19</v>
      </c>
      <c r="D3734" s="2"/>
      <c r="E3734" s="2" t="e">
        <f t="shared" si="0"/>
        <v>#VALUE!</v>
      </c>
    </row>
    <row r="3735" spans="1:5" ht="12.75" customHeight="1" x14ac:dyDescent="0.2">
      <c r="A3735" s="1" t="str">
        <f>HYPERLINK("javascript:void(0)","supernicum manasolicum")</f>
        <v>supernicum manasolicum</v>
      </c>
      <c r="B3735" s="1"/>
      <c r="C3735" s="1"/>
      <c r="D3735" s="2"/>
      <c r="E3735" s="2" t="e">
        <f t="shared" si="0"/>
        <v>#VALUE!</v>
      </c>
    </row>
    <row r="3736" spans="1:5" ht="12.75" customHeight="1" x14ac:dyDescent="0.2">
      <c r="A3736" s="3"/>
      <c r="B3736" s="3" t="s">
        <v>0</v>
      </c>
      <c r="C3736" s="3" t="s">
        <v>21</v>
      </c>
      <c r="D3736" s="2"/>
      <c r="E3736" s="2" t="e">
        <f t="shared" si="0"/>
        <v>#VALUE!</v>
      </c>
    </row>
    <row r="3737" spans="1:5" ht="12.75" customHeight="1" x14ac:dyDescent="0.2">
      <c r="A3737" s="3"/>
      <c r="B3737" s="3" t="s">
        <v>2</v>
      </c>
      <c r="C3737" s="3" t="s">
        <v>387</v>
      </c>
      <c r="D3737" s="2"/>
      <c r="E3737" s="2" t="e">
        <f t="shared" si="0"/>
        <v>#VALUE!</v>
      </c>
    </row>
    <row r="3738" spans="1:5" ht="12.75" customHeight="1" x14ac:dyDescent="0.2">
      <c r="A3738" s="3"/>
      <c r="B3738" s="3" t="s">
        <v>9</v>
      </c>
      <c r="C3738" s="3" t="s">
        <v>27</v>
      </c>
      <c r="D3738" s="2"/>
      <c r="E3738" s="2" t="e">
        <f t="shared" si="0"/>
        <v>#VALUE!</v>
      </c>
    </row>
    <row r="3739" spans="1:5" ht="12.75" customHeight="1" x14ac:dyDescent="0.2">
      <c r="A3739" s="3"/>
      <c r="B3739" s="3" t="s">
        <v>11</v>
      </c>
      <c r="C3739" s="3" t="s">
        <v>23</v>
      </c>
      <c r="D3739" s="2"/>
      <c r="E3739" s="2" t="e">
        <f t="shared" si="0"/>
        <v>#VALUE!</v>
      </c>
    </row>
    <row r="3740" spans="1:5" ht="12.75" customHeight="1" x14ac:dyDescent="0.2">
      <c r="A3740" s="3"/>
      <c r="B3740" s="3" t="s">
        <v>16</v>
      </c>
      <c r="C3740" s="3" t="s">
        <v>388</v>
      </c>
      <c r="D3740" s="2"/>
      <c r="E3740" s="2" t="e">
        <f t="shared" si="0"/>
        <v>#VALUE!</v>
      </c>
    </row>
    <row r="3741" spans="1:5" ht="12.75" customHeight="1" x14ac:dyDescent="0.2">
      <c r="A3741" s="3"/>
      <c r="B3741" s="3" t="s">
        <v>18</v>
      </c>
      <c r="C3741" s="4" t="s">
        <v>19</v>
      </c>
      <c r="D3741" s="2"/>
      <c r="E3741" s="2" t="e">
        <f t="shared" si="0"/>
        <v>#VALUE!</v>
      </c>
    </row>
    <row r="3742" spans="1:5" ht="12.75" customHeight="1" x14ac:dyDescent="0.2">
      <c r="A3742" s="1" t="str">
        <f>HYPERLINK("javascript:void(0)","szabo-penge")</f>
        <v>szabo-penge</v>
      </c>
      <c r="B3742" s="1"/>
      <c r="C3742" s="1"/>
      <c r="D3742" s="2"/>
      <c r="E3742" s="2" t="e">
        <f t="shared" si="0"/>
        <v>#VALUE!</v>
      </c>
    </row>
    <row r="3743" spans="1:5" ht="12.75" customHeight="1" x14ac:dyDescent="0.2">
      <c r="A3743" s="3"/>
      <c r="B3743" s="3" t="s">
        <v>0</v>
      </c>
      <c r="C3743" s="3" t="s">
        <v>21</v>
      </c>
      <c r="D3743" s="2"/>
      <c r="E3743" s="2" t="e">
        <f t="shared" si="0"/>
        <v>#VALUE!</v>
      </c>
    </row>
    <row r="3744" spans="1:5" ht="12.75" customHeight="1" x14ac:dyDescent="0.2">
      <c r="A3744" s="3"/>
      <c r="B3744" s="3" t="s">
        <v>2</v>
      </c>
      <c r="C3744" s="3" t="s">
        <v>458</v>
      </c>
      <c r="D3744" s="2"/>
      <c r="E3744" s="2" t="e">
        <f t="shared" si="0"/>
        <v>#VALUE!</v>
      </c>
    </row>
    <row r="3745" spans="1:5" ht="12.75" customHeight="1" x14ac:dyDescent="0.2">
      <c r="A3745" s="3"/>
      <c r="B3745" s="3" t="s">
        <v>9</v>
      </c>
      <c r="C3745" s="3" t="s">
        <v>53</v>
      </c>
      <c r="D3745" s="2"/>
      <c r="E3745" s="2" t="e">
        <f t="shared" si="0"/>
        <v>#VALUE!</v>
      </c>
    </row>
    <row r="3746" spans="1:5" ht="12.75" customHeight="1" x14ac:dyDescent="0.2">
      <c r="A3746" s="3"/>
      <c r="B3746" s="3" t="s">
        <v>11</v>
      </c>
      <c r="C3746" s="3" t="s">
        <v>227</v>
      </c>
      <c r="D3746" s="2"/>
      <c r="E3746" s="2" t="e">
        <f t="shared" si="0"/>
        <v>#VALUE!</v>
      </c>
    </row>
    <row r="3747" spans="1:5" ht="12.75" customHeight="1" x14ac:dyDescent="0.2">
      <c r="A3747" s="3"/>
      <c r="B3747" s="3" t="s">
        <v>18</v>
      </c>
      <c r="C3747" s="4" t="s">
        <v>19</v>
      </c>
      <c r="D3747" s="2"/>
      <c r="E3747" s="2" t="e">
        <f t="shared" si="0"/>
        <v>#VALUE!</v>
      </c>
    </row>
    <row r="3748" spans="1:5" ht="12.75" customHeight="1" x14ac:dyDescent="0.2">
      <c r="A3748" s="1" t="str">
        <f>HYPERLINK("javascript:void(0)","szaloncukor")</f>
        <v>szaloncukor</v>
      </c>
      <c r="B3748" s="1"/>
      <c r="C3748" s="1"/>
      <c r="D3748" s="2"/>
      <c r="E3748" s="2" t="e">
        <f t="shared" si="0"/>
        <v>#VALUE!</v>
      </c>
    </row>
    <row r="3749" spans="1:5" ht="12.75" customHeight="1" x14ac:dyDescent="0.2">
      <c r="A3749" s="3"/>
      <c r="B3749" s="3" t="s">
        <v>0</v>
      </c>
      <c r="C3749" s="3" t="s">
        <v>21</v>
      </c>
      <c r="D3749" s="2"/>
      <c r="E3749" s="2" t="e">
        <f t="shared" si="0"/>
        <v>#VALUE!</v>
      </c>
    </row>
    <row r="3750" spans="1:5" ht="12.75" customHeight="1" x14ac:dyDescent="0.2">
      <c r="A3750" s="3"/>
      <c r="B3750" s="3" t="s">
        <v>2</v>
      </c>
      <c r="C3750" s="3" t="s">
        <v>458</v>
      </c>
      <c r="D3750" s="2"/>
      <c r="E3750" s="2" t="e">
        <f t="shared" si="0"/>
        <v>#VALUE!</v>
      </c>
    </row>
    <row r="3751" spans="1:5" ht="12.75" customHeight="1" x14ac:dyDescent="0.2">
      <c r="A3751" s="3"/>
      <c r="B3751" s="3" t="s">
        <v>9</v>
      </c>
      <c r="C3751" s="3" t="s">
        <v>565</v>
      </c>
      <c r="D3751" s="2"/>
      <c r="E3751" s="2" t="e">
        <f t="shared" si="0"/>
        <v>#VALUE!</v>
      </c>
    </row>
    <row r="3752" spans="1:5" ht="12.75" customHeight="1" x14ac:dyDescent="0.2">
      <c r="A3752" s="3"/>
      <c r="B3752" s="3" t="s">
        <v>11</v>
      </c>
      <c r="C3752" s="3" t="s">
        <v>23</v>
      </c>
      <c r="D3752" s="2"/>
      <c r="E3752" s="2" t="e">
        <f t="shared" si="0"/>
        <v>#VALUE!</v>
      </c>
    </row>
    <row r="3753" spans="1:5" ht="12.75" customHeight="1" x14ac:dyDescent="0.2">
      <c r="A3753" s="3"/>
      <c r="B3753" s="3" t="s">
        <v>18</v>
      </c>
      <c r="C3753" s="4" t="s">
        <v>19</v>
      </c>
      <c r="D3753" s="2"/>
      <c r="E3753" s="2" t="e">
        <f t="shared" si="0"/>
        <v>#VALUE!</v>
      </c>
    </row>
    <row r="3754" spans="1:5" ht="12.75" customHeight="1" x14ac:dyDescent="0.2">
      <c r="A3754" s="1" t="str">
        <f>HYPERLINK("javascript:void(0)","szellemláng")</f>
        <v>szellemláng</v>
      </c>
      <c r="B3754" s="1"/>
      <c r="C3754" s="1"/>
      <c r="D3754" s="2"/>
      <c r="E3754" s="2" t="e">
        <f t="shared" si="0"/>
        <v>#VALUE!</v>
      </c>
    </row>
    <row r="3755" spans="1:5" ht="12.75" customHeight="1" x14ac:dyDescent="0.2">
      <c r="A3755" s="3"/>
      <c r="B3755" s="3" t="s">
        <v>0</v>
      </c>
      <c r="C3755" s="3" t="s">
        <v>21</v>
      </c>
      <c r="D3755" s="2"/>
      <c r="E3755" s="2" t="e">
        <f t="shared" si="0"/>
        <v>#VALUE!</v>
      </c>
    </row>
    <row r="3756" spans="1:5" ht="12.75" customHeight="1" x14ac:dyDescent="0.2">
      <c r="A3756" s="3"/>
      <c r="B3756" s="3" t="s">
        <v>2</v>
      </c>
      <c r="C3756" s="3" t="s">
        <v>458</v>
      </c>
      <c r="D3756" s="2"/>
      <c r="E3756" s="2" t="e">
        <f t="shared" si="0"/>
        <v>#VALUE!</v>
      </c>
    </row>
    <row r="3757" spans="1:5" ht="12.75" customHeight="1" x14ac:dyDescent="0.2">
      <c r="A3757" s="3"/>
      <c r="B3757" s="3" t="s">
        <v>9</v>
      </c>
      <c r="C3757" s="3" t="s">
        <v>704</v>
      </c>
      <c r="D3757" s="2"/>
      <c r="E3757" s="2" t="e">
        <f t="shared" si="0"/>
        <v>#VALUE!</v>
      </c>
    </row>
    <row r="3758" spans="1:5" ht="12.75" customHeight="1" x14ac:dyDescent="0.2">
      <c r="A3758" s="3"/>
      <c r="B3758" s="3" t="s">
        <v>11</v>
      </c>
      <c r="C3758" s="3" t="s">
        <v>1590</v>
      </c>
      <c r="D3758" s="2"/>
      <c r="E3758" s="2" t="e">
        <f t="shared" si="0"/>
        <v>#VALUE!</v>
      </c>
    </row>
    <row r="3759" spans="1:5" ht="12.75" customHeight="1" x14ac:dyDescent="0.2">
      <c r="A3759" s="3"/>
      <c r="B3759" s="3" t="s">
        <v>18</v>
      </c>
      <c r="C3759" s="4" t="s">
        <v>19</v>
      </c>
      <c r="D3759" s="2"/>
      <c r="E3759" s="2" t="e">
        <f t="shared" si="0"/>
        <v>#VALUE!</v>
      </c>
    </row>
    <row r="3760" spans="1:5" ht="12.75" customHeight="1" x14ac:dyDescent="0.2">
      <c r="A3760" s="1" t="str">
        <f>HYPERLINK("javascript:void(0)","szellemszarv")</f>
        <v>szellemszarv</v>
      </c>
      <c r="B3760" s="1"/>
      <c r="C3760" s="1"/>
      <c r="D3760" s="2"/>
      <c r="E3760" s="2" t="e">
        <f t="shared" si="0"/>
        <v>#VALUE!</v>
      </c>
    </row>
    <row r="3761" spans="1:5" ht="12.75" customHeight="1" x14ac:dyDescent="0.2">
      <c r="A3761" s="3"/>
      <c r="B3761" s="3" t="s">
        <v>0</v>
      </c>
      <c r="C3761" s="3" t="s">
        <v>21</v>
      </c>
      <c r="D3761" s="2"/>
      <c r="E3761" s="2" t="e">
        <f t="shared" si="0"/>
        <v>#VALUE!</v>
      </c>
    </row>
    <row r="3762" spans="1:5" ht="12.75" customHeight="1" x14ac:dyDescent="0.2">
      <c r="A3762" s="3"/>
      <c r="B3762" s="3" t="s">
        <v>2</v>
      </c>
      <c r="C3762" s="3" t="s">
        <v>387</v>
      </c>
      <c r="D3762" s="2"/>
      <c r="E3762" s="2" t="e">
        <f t="shared" si="0"/>
        <v>#VALUE!</v>
      </c>
    </row>
    <row r="3763" spans="1:5" ht="12.75" customHeight="1" x14ac:dyDescent="0.2">
      <c r="A3763" s="3"/>
      <c r="B3763" s="3" t="s">
        <v>9</v>
      </c>
      <c r="C3763" s="3" t="s">
        <v>42</v>
      </c>
      <c r="D3763" s="2"/>
      <c r="E3763" s="2" t="e">
        <f t="shared" si="0"/>
        <v>#VALUE!</v>
      </c>
    </row>
    <row r="3764" spans="1:5" ht="12.75" customHeight="1" x14ac:dyDescent="0.2">
      <c r="A3764" s="3"/>
      <c r="B3764" s="3" t="s">
        <v>11</v>
      </c>
      <c r="C3764" s="3" t="s">
        <v>838</v>
      </c>
      <c r="D3764" s="2"/>
      <c r="E3764" s="2" t="e">
        <f t="shared" si="0"/>
        <v>#VALUE!</v>
      </c>
    </row>
    <row r="3765" spans="1:5" ht="12.75" customHeight="1" x14ac:dyDescent="0.2">
      <c r="A3765" s="3"/>
      <c r="B3765" s="3" t="s">
        <v>18</v>
      </c>
      <c r="C3765" s="4" t="s">
        <v>19</v>
      </c>
      <c r="D3765" s="2"/>
      <c r="E3765" s="2" t="e">
        <f t="shared" si="0"/>
        <v>#VALUE!</v>
      </c>
    </row>
    <row r="3766" spans="1:5" ht="12.75" customHeight="1" x14ac:dyDescent="0.2">
      <c r="A3766" s="1" t="str">
        <f>HYPERLINK("javascript:void(0)","szemgyöngy")</f>
        <v>szemgyöngy</v>
      </c>
      <c r="B3766" s="1"/>
      <c r="C3766" s="1"/>
      <c r="D3766" s="2"/>
      <c r="E3766" s="2" t="e">
        <f t="shared" si="0"/>
        <v>#VALUE!</v>
      </c>
    </row>
    <row r="3767" spans="1:5" ht="12.75" customHeight="1" x14ac:dyDescent="0.2">
      <c r="A3767" s="3"/>
      <c r="B3767" s="3" t="s">
        <v>0</v>
      </c>
      <c r="C3767" s="3" t="s">
        <v>21</v>
      </c>
      <c r="D3767" s="2"/>
      <c r="E3767" s="2" t="e">
        <f t="shared" si="0"/>
        <v>#VALUE!</v>
      </c>
    </row>
    <row r="3768" spans="1:5" ht="12.75" customHeight="1" x14ac:dyDescent="0.2">
      <c r="A3768" s="3"/>
      <c r="B3768" s="3" t="s">
        <v>2</v>
      </c>
      <c r="C3768" s="3" t="s">
        <v>458</v>
      </c>
      <c r="D3768" s="2"/>
      <c r="E3768" s="2" t="e">
        <f t="shared" si="0"/>
        <v>#VALUE!</v>
      </c>
    </row>
    <row r="3769" spans="1:5" ht="12.75" customHeight="1" x14ac:dyDescent="0.2">
      <c r="A3769" s="3"/>
      <c r="B3769" s="3" t="s">
        <v>9</v>
      </c>
      <c r="C3769" s="3" t="s">
        <v>10</v>
      </c>
      <c r="D3769" s="2"/>
      <c r="E3769" s="2" t="e">
        <f t="shared" si="0"/>
        <v>#VALUE!</v>
      </c>
    </row>
    <row r="3770" spans="1:5" ht="12.75" customHeight="1" x14ac:dyDescent="0.2">
      <c r="A3770" s="3"/>
      <c r="B3770" s="3" t="s">
        <v>11</v>
      </c>
      <c r="C3770" s="3" t="s">
        <v>987</v>
      </c>
      <c r="D3770" s="2"/>
      <c r="E3770" s="2" t="e">
        <f t="shared" si="0"/>
        <v>#VALUE!</v>
      </c>
    </row>
    <row r="3771" spans="1:5" ht="12.75" customHeight="1" x14ac:dyDescent="0.2">
      <c r="A3771" s="3"/>
      <c r="B3771" s="3" t="s">
        <v>18</v>
      </c>
      <c r="C3771" s="4" t="s">
        <v>19</v>
      </c>
      <c r="D3771" s="2"/>
      <c r="E3771" s="2" t="e">
        <f t="shared" si="0"/>
        <v>#VALUE!</v>
      </c>
    </row>
    <row r="3772" spans="1:5" ht="12.75" customHeight="1" x14ac:dyDescent="0.2">
      <c r="A3772" s="1" t="str">
        <f>HYPERLINK("javascript:void(0)","szemgödör")</f>
        <v>szemgödör</v>
      </c>
      <c r="B3772" s="1"/>
      <c r="C3772" s="1"/>
      <c r="D3772" s="2"/>
      <c r="E3772" s="2" t="e">
        <f t="shared" si="0"/>
        <v>#VALUE!</v>
      </c>
    </row>
    <row r="3773" spans="1:5" ht="12.75" customHeight="1" x14ac:dyDescent="0.2">
      <c r="A3773" s="3"/>
      <c r="B3773" s="3" t="s">
        <v>0</v>
      </c>
      <c r="C3773" s="3" t="s">
        <v>21</v>
      </c>
      <c r="D3773" s="2"/>
      <c r="E3773" s="2" t="e">
        <f t="shared" si="0"/>
        <v>#VALUE!</v>
      </c>
    </row>
    <row r="3774" spans="1:5" ht="12.75" customHeight="1" x14ac:dyDescent="0.2">
      <c r="A3774" s="3"/>
      <c r="B3774" s="3" t="s">
        <v>2</v>
      </c>
      <c r="C3774" s="3" t="s">
        <v>458</v>
      </c>
      <c r="D3774" s="2"/>
      <c r="E3774" s="2" t="e">
        <f t="shared" si="0"/>
        <v>#VALUE!</v>
      </c>
    </row>
    <row r="3775" spans="1:5" ht="12.75" customHeight="1" x14ac:dyDescent="0.2">
      <c r="A3775" s="3"/>
      <c r="B3775" s="3" t="s">
        <v>9</v>
      </c>
      <c r="C3775" s="3" t="s">
        <v>137</v>
      </c>
      <c r="D3775" s="2"/>
      <c r="E3775" s="2" t="e">
        <f t="shared" si="0"/>
        <v>#VALUE!</v>
      </c>
    </row>
    <row r="3776" spans="1:5" ht="12.75" customHeight="1" x14ac:dyDescent="0.2">
      <c r="A3776" s="3"/>
      <c r="B3776" s="3" t="s">
        <v>11</v>
      </c>
      <c r="C3776" s="3" t="s">
        <v>380</v>
      </c>
      <c r="D3776" s="2"/>
      <c r="E3776" s="2" t="e">
        <f t="shared" si="0"/>
        <v>#VALUE!</v>
      </c>
    </row>
    <row r="3777" spans="1:5" ht="12.75" customHeight="1" x14ac:dyDescent="0.2">
      <c r="A3777" s="3"/>
      <c r="B3777" s="3" t="s">
        <v>18</v>
      </c>
      <c r="C3777" s="4" t="s">
        <v>19</v>
      </c>
      <c r="D3777" s="2"/>
      <c r="E3777" s="2" t="e">
        <f t="shared" si="0"/>
        <v>#VALUE!</v>
      </c>
    </row>
    <row r="3778" spans="1:5" ht="12.75" customHeight="1" x14ac:dyDescent="0.2">
      <c r="A3778" s="1" t="str">
        <f>HYPERLINK("javascript:void(0)","szemhéj")</f>
        <v>szemhéj</v>
      </c>
      <c r="B3778" s="1"/>
      <c r="C3778" s="1"/>
      <c r="D3778" s="2"/>
      <c r="E3778" s="2" t="e">
        <f t="shared" si="0"/>
        <v>#VALUE!</v>
      </c>
    </row>
    <row r="3779" spans="1:5" ht="12.75" customHeight="1" x14ac:dyDescent="0.2">
      <c r="A3779" s="3"/>
      <c r="B3779" s="3" t="s">
        <v>0</v>
      </c>
      <c r="C3779" s="3" t="s">
        <v>21</v>
      </c>
      <c r="D3779" s="2"/>
      <c r="E3779" s="2" t="e">
        <f t="shared" si="0"/>
        <v>#VALUE!</v>
      </c>
    </row>
    <row r="3780" spans="1:5" ht="12.75" customHeight="1" x14ac:dyDescent="0.2">
      <c r="A3780" s="3"/>
      <c r="B3780" s="3" t="s">
        <v>2</v>
      </c>
      <c r="C3780" s="3" t="s">
        <v>458</v>
      </c>
      <c r="D3780" s="2"/>
      <c r="E3780" s="2" t="e">
        <f t="shared" si="0"/>
        <v>#VALUE!</v>
      </c>
    </row>
    <row r="3781" spans="1:5" ht="12.75" customHeight="1" x14ac:dyDescent="0.2">
      <c r="A3781" s="3"/>
      <c r="B3781" s="3" t="s">
        <v>9</v>
      </c>
      <c r="C3781" s="3" t="s">
        <v>53</v>
      </c>
      <c r="D3781" s="2"/>
      <c r="E3781" s="2" t="e">
        <f t="shared" si="0"/>
        <v>#VALUE!</v>
      </c>
    </row>
    <row r="3782" spans="1:5" ht="12.75" customHeight="1" x14ac:dyDescent="0.2">
      <c r="A3782" s="3"/>
      <c r="B3782" s="3" t="s">
        <v>11</v>
      </c>
      <c r="C3782" s="3" t="s">
        <v>1596</v>
      </c>
      <c r="D3782" s="2"/>
      <c r="E3782" s="2" t="e">
        <f t="shared" si="0"/>
        <v>#VALUE!</v>
      </c>
    </row>
    <row r="3783" spans="1:5" ht="12.75" customHeight="1" x14ac:dyDescent="0.2">
      <c r="A3783" s="3"/>
      <c r="B3783" s="3" t="s">
        <v>18</v>
      </c>
      <c r="C3783" s="4" t="s">
        <v>19</v>
      </c>
      <c r="D3783" s="2"/>
      <c r="E3783" s="2" t="e">
        <f t="shared" si="0"/>
        <v>#VALUE!</v>
      </c>
    </row>
    <row r="3784" spans="1:5" ht="12.75" customHeight="1" x14ac:dyDescent="0.2">
      <c r="A3784" s="1" t="str">
        <f>HYPERLINK("javascript:void(0)","szensz-gömb")</f>
        <v>szensz-gömb</v>
      </c>
      <c r="B3784" s="1"/>
      <c r="C3784" s="1"/>
      <c r="D3784" s="2"/>
      <c r="E3784" s="2" t="e">
        <f t="shared" si="0"/>
        <v>#VALUE!</v>
      </c>
    </row>
    <row r="3785" spans="1:5" ht="12.75" customHeight="1" x14ac:dyDescent="0.2">
      <c r="A3785" s="3"/>
      <c r="B3785" s="3" t="s">
        <v>0</v>
      </c>
      <c r="C3785" s="3" t="s">
        <v>21</v>
      </c>
      <c r="D3785" s="2"/>
      <c r="E3785" s="2" t="e">
        <f t="shared" si="0"/>
        <v>#VALUE!</v>
      </c>
    </row>
    <row r="3786" spans="1:5" ht="12.75" customHeight="1" x14ac:dyDescent="0.2">
      <c r="A3786" s="3"/>
      <c r="B3786" s="3" t="s">
        <v>2</v>
      </c>
      <c r="C3786" s="3" t="s">
        <v>458</v>
      </c>
      <c r="D3786" s="2"/>
      <c r="E3786" s="2" t="e">
        <f t="shared" si="0"/>
        <v>#VALUE!</v>
      </c>
    </row>
    <row r="3787" spans="1:5" ht="12.75" customHeight="1" x14ac:dyDescent="0.2">
      <c r="A3787" s="3"/>
      <c r="B3787" s="3" t="s">
        <v>9</v>
      </c>
      <c r="C3787" s="3" t="s">
        <v>172</v>
      </c>
      <c r="D3787" s="2"/>
      <c r="E3787" s="2" t="e">
        <f t="shared" si="0"/>
        <v>#VALUE!</v>
      </c>
    </row>
    <row r="3788" spans="1:5" ht="12.75" customHeight="1" x14ac:dyDescent="0.2">
      <c r="A3788" s="3"/>
      <c r="B3788" s="3" t="s">
        <v>11</v>
      </c>
      <c r="C3788" s="3" t="s">
        <v>838</v>
      </c>
      <c r="D3788" s="2"/>
      <c r="E3788" s="2" t="e">
        <f t="shared" si="0"/>
        <v>#VALUE!</v>
      </c>
    </row>
    <row r="3789" spans="1:5" ht="12.75" customHeight="1" x14ac:dyDescent="0.2">
      <c r="A3789" s="3"/>
      <c r="B3789" s="3" t="s">
        <v>18</v>
      </c>
      <c r="C3789" s="4" t="s">
        <v>19</v>
      </c>
      <c r="D3789" s="2"/>
      <c r="E3789" s="2" t="e">
        <f t="shared" si="0"/>
        <v>#VALUE!</v>
      </c>
    </row>
    <row r="3790" spans="1:5" ht="12.75" customHeight="1" x14ac:dyDescent="0.2">
      <c r="A3790" s="1" t="str">
        <f>HYPERLINK("javascript:void(0)","szent szimbólum")</f>
        <v>szent szimbólum</v>
      </c>
      <c r="B3790" s="1"/>
      <c r="C3790" s="1"/>
      <c r="D3790" s="2"/>
      <c r="E3790" s="2" t="e">
        <f t="shared" si="0"/>
        <v>#VALUE!</v>
      </c>
    </row>
    <row r="3791" spans="1:5" ht="12.75" customHeight="1" x14ac:dyDescent="0.2">
      <c r="A3791" s="3"/>
      <c r="B3791" s="3" t="s">
        <v>0</v>
      </c>
      <c r="C3791" s="3" t="s">
        <v>21</v>
      </c>
      <c r="D3791" s="2"/>
      <c r="E3791" s="2" t="e">
        <f t="shared" si="0"/>
        <v>#VALUE!</v>
      </c>
    </row>
    <row r="3792" spans="1:5" ht="12.75" customHeight="1" x14ac:dyDescent="0.2">
      <c r="A3792" s="3"/>
      <c r="B3792" s="3" t="s">
        <v>2</v>
      </c>
      <c r="C3792" s="3" t="s">
        <v>458</v>
      </c>
      <c r="D3792" s="2"/>
      <c r="E3792" s="2" t="e">
        <f t="shared" si="0"/>
        <v>#VALUE!</v>
      </c>
    </row>
    <row r="3793" spans="1:5" ht="12.75" customHeight="1" x14ac:dyDescent="0.2">
      <c r="A3793" s="3"/>
      <c r="B3793" s="3" t="s">
        <v>9</v>
      </c>
      <c r="C3793" s="3" t="s">
        <v>53</v>
      </c>
      <c r="D3793" s="2"/>
      <c r="E3793" s="2" t="e">
        <f t="shared" si="0"/>
        <v>#VALUE!</v>
      </c>
    </row>
    <row r="3794" spans="1:5" ht="12.75" customHeight="1" x14ac:dyDescent="0.2">
      <c r="A3794" s="3"/>
      <c r="B3794" s="3" t="s">
        <v>11</v>
      </c>
      <c r="C3794" s="3" t="s">
        <v>486</v>
      </c>
      <c r="D3794" s="2"/>
      <c r="E3794" s="2" t="e">
        <f t="shared" si="0"/>
        <v>#VALUE!</v>
      </c>
    </row>
    <row r="3795" spans="1:5" ht="12.75" customHeight="1" x14ac:dyDescent="0.2">
      <c r="A3795" s="3"/>
      <c r="B3795" s="3" t="s">
        <v>18</v>
      </c>
      <c r="C3795" s="4" t="s">
        <v>19</v>
      </c>
      <c r="D3795" s="2"/>
      <c r="E3795" s="2" t="e">
        <f t="shared" si="0"/>
        <v>#VALUE!</v>
      </c>
    </row>
    <row r="3796" spans="1:5" ht="12.75" customHeight="1" x14ac:dyDescent="0.2">
      <c r="A3796" s="1" t="str">
        <f>HYPERLINK("javascript:void(0)","szigony")</f>
        <v>szigony</v>
      </c>
      <c r="B3796" s="1"/>
      <c r="C3796" s="1"/>
      <c r="D3796" s="2"/>
      <c r="E3796" s="2" t="e">
        <f t="shared" si="0"/>
        <v>#VALUE!</v>
      </c>
    </row>
    <row r="3797" spans="1:5" ht="12.75" customHeight="1" x14ac:dyDescent="0.2">
      <c r="A3797" s="3"/>
      <c r="B3797" s="3" t="s">
        <v>0</v>
      </c>
      <c r="C3797" s="3" t="s">
        <v>21</v>
      </c>
      <c r="D3797" s="2"/>
      <c r="E3797" s="2" t="e">
        <f t="shared" si="0"/>
        <v>#VALUE!</v>
      </c>
    </row>
    <row r="3798" spans="1:5" ht="12.75" customHeight="1" x14ac:dyDescent="0.2">
      <c r="A3798" s="3"/>
      <c r="B3798" s="3" t="s">
        <v>2</v>
      </c>
      <c r="C3798" s="3" t="s">
        <v>458</v>
      </c>
      <c r="D3798" s="2"/>
      <c r="E3798" s="2" t="e">
        <f t="shared" si="0"/>
        <v>#VALUE!</v>
      </c>
    </row>
    <row r="3799" spans="1:5" ht="12.75" customHeight="1" x14ac:dyDescent="0.2">
      <c r="A3799" s="3"/>
      <c r="B3799" s="3" t="s">
        <v>9</v>
      </c>
      <c r="C3799" s="3" t="s">
        <v>22</v>
      </c>
      <c r="D3799" s="2"/>
      <c r="E3799" s="2" t="e">
        <f t="shared" si="0"/>
        <v>#VALUE!</v>
      </c>
    </row>
    <row r="3800" spans="1:5" ht="12.75" customHeight="1" x14ac:dyDescent="0.2">
      <c r="A3800" s="3"/>
      <c r="B3800" s="3" t="s">
        <v>11</v>
      </c>
      <c r="C3800" s="3" t="s">
        <v>395</v>
      </c>
      <c r="D3800" s="2"/>
      <c r="E3800" s="2" t="e">
        <f t="shared" si="0"/>
        <v>#VALUE!</v>
      </c>
    </row>
    <row r="3801" spans="1:5" ht="12.75" customHeight="1" x14ac:dyDescent="0.2">
      <c r="A3801" s="3"/>
      <c r="B3801" s="3" t="s">
        <v>18</v>
      </c>
      <c r="C3801" s="4" t="s">
        <v>19</v>
      </c>
      <c r="D3801" s="2"/>
      <c r="E3801" s="2" t="e">
        <f t="shared" si="0"/>
        <v>#VALUE!</v>
      </c>
    </row>
    <row r="3802" spans="1:5" ht="12.75" customHeight="1" x14ac:dyDescent="0.2">
      <c r="A3802" s="1" t="str">
        <f>HYPERLINK("javascript:void(0)","szike")</f>
        <v>szike</v>
      </c>
      <c r="B3802" s="1"/>
      <c r="C3802" s="1"/>
      <c r="D3802" s="2"/>
      <c r="E3802" s="2" t="e">
        <f t="shared" si="0"/>
        <v>#VALUE!</v>
      </c>
    </row>
    <row r="3803" spans="1:5" ht="12.75" customHeight="1" x14ac:dyDescent="0.2">
      <c r="A3803" s="3"/>
      <c r="B3803" s="3" t="s">
        <v>0</v>
      </c>
      <c r="C3803" s="3" t="s">
        <v>21</v>
      </c>
      <c r="D3803" s="2"/>
      <c r="E3803" s="2" t="e">
        <f t="shared" si="0"/>
        <v>#VALUE!</v>
      </c>
    </row>
    <row r="3804" spans="1:5" ht="12.75" customHeight="1" x14ac:dyDescent="0.2">
      <c r="A3804" s="3"/>
      <c r="B3804" s="3" t="s">
        <v>2</v>
      </c>
      <c r="C3804" s="3" t="s">
        <v>458</v>
      </c>
      <c r="D3804" s="2"/>
      <c r="E3804" s="2" t="e">
        <f t="shared" si="0"/>
        <v>#VALUE!</v>
      </c>
    </row>
    <row r="3805" spans="1:5" ht="12.75" customHeight="1" x14ac:dyDescent="0.2">
      <c r="A3805" s="3"/>
      <c r="B3805" s="3" t="s">
        <v>9</v>
      </c>
      <c r="C3805" s="3" t="s">
        <v>22</v>
      </c>
      <c r="D3805" s="2"/>
      <c r="E3805" s="2" t="e">
        <f t="shared" si="0"/>
        <v>#VALUE!</v>
      </c>
    </row>
    <row r="3806" spans="1:5" ht="12.75" customHeight="1" x14ac:dyDescent="0.2">
      <c r="A3806" s="3"/>
      <c r="B3806" s="3" t="s">
        <v>11</v>
      </c>
      <c r="C3806" s="3" t="s">
        <v>156</v>
      </c>
      <c r="D3806" s="2"/>
      <c r="E3806" s="2" t="e">
        <f t="shared" si="0"/>
        <v>#VALUE!</v>
      </c>
    </row>
    <row r="3807" spans="1:5" ht="12.75" customHeight="1" x14ac:dyDescent="0.2">
      <c r="A3807" s="3"/>
      <c r="B3807" s="3" t="s">
        <v>18</v>
      </c>
      <c r="C3807" s="4" t="s">
        <v>19</v>
      </c>
      <c r="D3807" s="2"/>
      <c r="E3807" s="2" t="e">
        <f t="shared" si="0"/>
        <v>#VALUE!</v>
      </c>
    </row>
    <row r="3808" spans="1:5" ht="12.75" customHeight="1" x14ac:dyDescent="0.2">
      <c r="A3808" s="1" t="str">
        <f>HYPERLINK("javascript:void(0)","szikracsóva")</f>
        <v>szikracsóva</v>
      </c>
      <c r="B3808" s="1"/>
      <c r="C3808" s="1"/>
      <c r="D3808" s="2"/>
      <c r="E3808" s="2" t="e">
        <f t="shared" si="0"/>
        <v>#VALUE!</v>
      </c>
    </row>
    <row r="3809" spans="1:5" ht="12.75" customHeight="1" x14ac:dyDescent="0.2">
      <c r="A3809" s="3"/>
      <c r="B3809" s="3" t="s">
        <v>0</v>
      </c>
      <c r="C3809" s="3" t="s">
        <v>21</v>
      </c>
      <c r="D3809" s="2"/>
      <c r="E3809" s="2" t="e">
        <f t="shared" si="0"/>
        <v>#VALUE!</v>
      </c>
    </row>
    <row r="3810" spans="1:5" ht="12.75" customHeight="1" x14ac:dyDescent="0.2">
      <c r="A3810" s="3"/>
      <c r="B3810" s="3" t="s">
        <v>2</v>
      </c>
      <c r="C3810" s="3" t="s">
        <v>458</v>
      </c>
      <c r="D3810" s="2"/>
      <c r="E3810" s="2" t="e">
        <f t="shared" si="0"/>
        <v>#VALUE!</v>
      </c>
    </row>
    <row r="3811" spans="1:5" ht="12.75" customHeight="1" x14ac:dyDescent="0.2">
      <c r="A3811" s="3"/>
      <c r="B3811" s="3" t="s">
        <v>9</v>
      </c>
      <c r="C3811" s="3" t="s">
        <v>704</v>
      </c>
      <c r="D3811" s="2"/>
      <c r="E3811" s="2" t="e">
        <f t="shared" si="0"/>
        <v>#VALUE!</v>
      </c>
    </row>
    <row r="3812" spans="1:5" ht="12.75" customHeight="1" x14ac:dyDescent="0.2">
      <c r="A3812" s="3"/>
      <c r="B3812" s="3" t="s">
        <v>11</v>
      </c>
      <c r="C3812" s="3" t="s">
        <v>1603</v>
      </c>
      <c r="D3812" s="2"/>
      <c r="E3812" s="2" t="e">
        <f t="shared" si="0"/>
        <v>#VALUE!</v>
      </c>
    </row>
    <row r="3813" spans="1:5" ht="12.75" customHeight="1" x14ac:dyDescent="0.2">
      <c r="A3813" s="3"/>
      <c r="B3813" s="3" t="s">
        <v>18</v>
      </c>
      <c r="C3813" s="4" t="s">
        <v>19</v>
      </c>
      <c r="D3813" s="2"/>
      <c r="E3813" s="2" t="e">
        <f t="shared" si="0"/>
        <v>#VALUE!</v>
      </c>
    </row>
    <row r="3814" spans="1:5" ht="12.75" customHeight="1" x14ac:dyDescent="0.2">
      <c r="A3814" s="1" t="str">
        <f>HYPERLINK("javascript:void(0)","szimbiótahártya")</f>
        <v>szimbiótahártya</v>
      </c>
      <c r="B3814" s="1"/>
      <c r="C3814" s="1"/>
      <c r="D3814" s="2"/>
      <c r="E3814" s="2" t="e">
        <f t="shared" si="0"/>
        <v>#VALUE!</v>
      </c>
    </row>
    <row r="3815" spans="1:5" ht="12.75" customHeight="1" x14ac:dyDescent="0.2">
      <c r="A3815" s="3"/>
      <c r="B3815" s="3" t="s">
        <v>0</v>
      </c>
      <c r="C3815" s="3" t="s">
        <v>21</v>
      </c>
      <c r="D3815" s="2"/>
      <c r="E3815" s="2" t="e">
        <f t="shared" si="0"/>
        <v>#VALUE!</v>
      </c>
    </row>
    <row r="3816" spans="1:5" ht="12.75" customHeight="1" x14ac:dyDescent="0.2">
      <c r="A3816" s="3"/>
      <c r="B3816" s="3" t="s">
        <v>2</v>
      </c>
      <c r="C3816" s="3" t="s">
        <v>458</v>
      </c>
      <c r="D3816" s="2"/>
      <c r="E3816" s="2" t="e">
        <f t="shared" si="0"/>
        <v>#VALUE!</v>
      </c>
    </row>
    <row r="3817" spans="1:5" ht="12.75" customHeight="1" x14ac:dyDescent="0.2">
      <c r="A3817" s="3"/>
      <c r="B3817" s="3" t="s">
        <v>9</v>
      </c>
      <c r="C3817" s="3" t="s">
        <v>1608</v>
      </c>
      <c r="D3817" s="2"/>
      <c r="E3817" s="2" t="e">
        <f t="shared" si="0"/>
        <v>#VALUE!</v>
      </c>
    </row>
    <row r="3818" spans="1:5" ht="12.75" customHeight="1" x14ac:dyDescent="0.2">
      <c r="A3818" s="3"/>
      <c r="B3818" s="3" t="s">
        <v>11</v>
      </c>
      <c r="C3818" s="3" t="s">
        <v>1609</v>
      </c>
      <c r="D3818" s="2"/>
      <c r="E3818" s="2" t="e">
        <f t="shared" si="0"/>
        <v>#VALUE!</v>
      </c>
    </row>
    <row r="3819" spans="1:5" ht="12.75" customHeight="1" x14ac:dyDescent="0.2">
      <c r="A3819" s="3"/>
      <c r="B3819" s="3" t="s">
        <v>18</v>
      </c>
      <c r="C3819" s="4" t="s">
        <v>19</v>
      </c>
      <c r="D3819" s="2"/>
      <c r="E3819" s="2" t="e">
        <f t="shared" si="0"/>
        <v>#VALUE!</v>
      </c>
    </row>
    <row r="3820" spans="1:5" ht="12.75" customHeight="1" x14ac:dyDescent="0.2">
      <c r="A3820" s="1" t="str">
        <f>HYPERLINK("javascript:void(0)","szinapszis")</f>
        <v>szinapszis</v>
      </c>
      <c r="B3820" s="1"/>
      <c r="C3820" s="1"/>
      <c r="D3820" s="2"/>
      <c r="E3820" s="2" t="e">
        <f t="shared" si="0"/>
        <v>#VALUE!</v>
      </c>
    </row>
    <row r="3821" spans="1:5" ht="12.75" customHeight="1" x14ac:dyDescent="0.2">
      <c r="A3821" s="3"/>
      <c r="B3821" s="3" t="s">
        <v>0</v>
      </c>
      <c r="C3821" s="3" t="s">
        <v>21</v>
      </c>
      <c r="D3821" s="2"/>
      <c r="E3821" s="2" t="e">
        <f t="shared" si="0"/>
        <v>#VALUE!</v>
      </c>
    </row>
    <row r="3822" spans="1:5" ht="12.75" customHeight="1" x14ac:dyDescent="0.2">
      <c r="A3822" s="3"/>
      <c r="B3822" s="3" t="s">
        <v>2</v>
      </c>
      <c r="C3822" s="3" t="s">
        <v>458</v>
      </c>
      <c r="D3822" s="2"/>
      <c r="E3822" s="2" t="e">
        <f t="shared" si="0"/>
        <v>#VALUE!</v>
      </c>
    </row>
    <row r="3823" spans="1:5" ht="12.75" customHeight="1" x14ac:dyDescent="0.2">
      <c r="A3823" s="3"/>
      <c r="B3823" s="3" t="s">
        <v>9</v>
      </c>
      <c r="C3823" s="3" t="s">
        <v>70</v>
      </c>
      <c r="D3823" s="2"/>
      <c r="E3823" s="2" t="e">
        <f t="shared" si="0"/>
        <v>#VALUE!</v>
      </c>
    </row>
    <row r="3824" spans="1:5" ht="12.75" customHeight="1" x14ac:dyDescent="0.2">
      <c r="A3824" s="3"/>
      <c r="B3824" s="3" t="s">
        <v>11</v>
      </c>
      <c r="C3824" s="3" t="s">
        <v>395</v>
      </c>
      <c r="D3824" s="2"/>
      <c r="E3824" s="2" t="e">
        <f t="shared" si="0"/>
        <v>#VALUE!</v>
      </c>
    </row>
    <row r="3825" spans="1:5" ht="12.75" customHeight="1" x14ac:dyDescent="0.2">
      <c r="A3825" s="3"/>
      <c r="B3825" s="3" t="s">
        <v>18</v>
      </c>
      <c r="C3825" s="4" t="s">
        <v>19</v>
      </c>
      <c r="D3825" s="2"/>
      <c r="E3825" s="2" t="e">
        <f t="shared" si="0"/>
        <v>#VALUE!</v>
      </c>
    </row>
    <row r="3826" spans="1:5" ht="12.75" customHeight="1" x14ac:dyDescent="0.2">
      <c r="A3826" s="1" t="str">
        <f>HYPERLINK("javascript:void(0)","szintkülönbség")</f>
        <v>szintkülönbség</v>
      </c>
      <c r="B3826" s="1"/>
      <c r="C3826" s="1"/>
      <c r="D3826" s="2"/>
      <c r="E3826" s="2" t="e">
        <f t="shared" si="0"/>
        <v>#VALUE!</v>
      </c>
    </row>
    <row r="3827" spans="1:5" ht="12.75" customHeight="1" x14ac:dyDescent="0.2">
      <c r="A3827" s="3"/>
      <c r="B3827" s="3" t="s">
        <v>0</v>
      </c>
      <c r="C3827" s="3" t="s">
        <v>21</v>
      </c>
      <c r="D3827" s="2"/>
      <c r="E3827" s="2" t="e">
        <f t="shared" si="0"/>
        <v>#VALUE!</v>
      </c>
    </row>
    <row r="3828" spans="1:5" ht="12.75" customHeight="1" x14ac:dyDescent="0.2">
      <c r="A3828" s="3"/>
      <c r="B3828" s="3" t="s">
        <v>2</v>
      </c>
      <c r="C3828" s="3" t="s">
        <v>458</v>
      </c>
      <c r="D3828" s="2"/>
      <c r="E3828" s="2" t="e">
        <f t="shared" si="0"/>
        <v>#VALUE!</v>
      </c>
    </row>
    <row r="3829" spans="1:5" ht="12.75" customHeight="1" x14ac:dyDescent="0.2">
      <c r="A3829" s="3"/>
      <c r="B3829" s="3" t="s">
        <v>9</v>
      </c>
      <c r="C3829" s="3" t="s">
        <v>22</v>
      </c>
      <c r="D3829" s="2"/>
      <c r="E3829" s="2" t="e">
        <f t="shared" si="0"/>
        <v>#VALUE!</v>
      </c>
    </row>
    <row r="3830" spans="1:5" ht="12.75" customHeight="1" x14ac:dyDescent="0.2">
      <c r="A3830" s="3"/>
      <c r="B3830" s="3" t="s">
        <v>11</v>
      </c>
      <c r="C3830" s="3" t="s">
        <v>395</v>
      </c>
      <c r="D3830" s="2"/>
      <c r="E3830" s="2" t="e">
        <f t="shared" si="0"/>
        <v>#VALUE!</v>
      </c>
    </row>
    <row r="3831" spans="1:5" ht="12.75" customHeight="1" x14ac:dyDescent="0.2">
      <c r="A3831" s="3"/>
      <c r="B3831" s="3" t="s">
        <v>18</v>
      </c>
      <c r="C3831" s="4" t="s">
        <v>19</v>
      </c>
      <c r="D3831" s="2"/>
      <c r="E3831" s="2" t="e">
        <f t="shared" si="0"/>
        <v>#VALUE!</v>
      </c>
    </row>
    <row r="3832" spans="1:5" ht="12.75" customHeight="1" x14ac:dyDescent="0.2">
      <c r="A3832" s="1" t="str">
        <f>HYPERLINK("javascript:void(0)","szippantó cső")</f>
        <v>szippantó cső</v>
      </c>
      <c r="B3832" s="1"/>
      <c r="C3832" s="1"/>
      <c r="D3832" s="2"/>
      <c r="E3832" s="2" t="e">
        <f t="shared" si="0"/>
        <v>#VALUE!</v>
      </c>
    </row>
    <row r="3833" spans="1:5" ht="12.75" customHeight="1" x14ac:dyDescent="0.2">
      <c r="A3833" s="3"/>
      <c r="B3833" s="3" t="s">
        <v>0</v>
      </c>
      <c r="C3833" s="3" t="s">
        <v>21</v>
      </c>
      <c r="D3833" s="2"/>
      <c r="E3833" s="2" t="e">
        <f t="shared" si="0"/>
        <v>#VALUE!</v>
      </c>
    </row>
    <row r="3834" spans="1:5" ht="12.75" customHeight="1" x14ac:dyDescent="0.2">
      <c r="A3834" s="3"/>
      <c r="B3834" s="3" t="s">
        <v>2</v>
      </c>
      <c r="C3834" s="3" t="s">
        <v>387</v>
      </c>
      <c r="D3834" s="2"/>
      <c r="E3834" s="2" t="e">
        <f t="shared" si="0"/>
        <v>#VALUE!</v>
      </c>
    </row>
    <row r="3835" spans="1:5" ht="12.75" customHeight="1" x14ac:dyDescent="0.2">
      <c r="A3835" s="3"/>
      <c r="B3835" s="3" t="s">
        <v>9</v>
      </c>
      <c r="C3835" s="3" t="s">
        <v>1614</v>
      </c>
      <c r="D3835" s="2"/>
      <c r="E3835" s="2" t="e">
        <f t="shared" si="0"/>
        <v>#VALUE!</v>
      </c>
    </row>
    <row r="3836" spans="1:5" ht="12.75" customHeight="1" x14ac:dyDescent="0.2">
      <c r="A3836" s="3"/>
      <c r="B3836" s="3" t="s">
        <v>11</v>
      </c>
      <c r="C3836" s="3" t="s">
        <v>23</v>
      </c>
      <c r="D3836" s="2"/>
      <c r="E3836" s="2" t="e">
        <f t="shared" si="0"/>
        <v>#VALUE!</v>
      </c>
    </row>
    <row r="3837" spans="1:5" ht="12.75" customHeight="1" x14ac:dyDescent="0.2">
      <c r="A3837" s="3"/>
      <c r="B3837" s="3" t="s">
        <v>16</v>
      </c>
      <c r="C3837" s="3" t="s">
        <v>388</v>
      </c>
      <c r="D3837" s="2"/>
      <c r="E3837" s="2" t="e">
        <f t="shared" si="0"/>
        <v>#VALUE!</v>
      </c>
    </row>
    <row r="3838" spans="1:5" ht="12.75" customHeight="1" x14ac:dyDescent="0.2">
      <c r="A3838" s="3"/>
      <c r="B3838" s="3" t="s">
        <v>18</v>
      </c>
      <c r="C3838" s="4" t="s">
        <v>19</v>
      </c>
      <c r="D3838" s="2"/>
      <c r="E3838" s="2" t="e">
        <f t="shared" si="0"/>
        <v>#VALUE!</v>
      </c>
    </row>
    <row r="3839" spans="1:5" ht="12.75" customHeight="1" x14ac:dyDescent="0.2">
      <c r="A3839" s="1" t="str">
        <f>HYPERLINK("javascript:void(0)","szivárványszív")</f>
        <v>szivárványszív</v>
      </c>
      <c r="B3839" s="1"/>
      <c r="C3839" s="1"/>
      <c r="D3839" s="2"/>
      <c r="E3839" s="2" t="e">
        <f t="shared" si="0"/>
        <v>#VALUE!</v>
      </c>
    </row>
    <row r="3840" spans="1:5" ht="12.75" customHeight="1" x14ac:dyDescent="0.2">
      <c r="A3840" s="3"/>
      <c r="B3840" s="3" t="s">
        <v>0</v>
      </c>
      <c r="C3840" s="3" t="s">
        <v>21</v>
      </c>
      <c r="D3840" s="2"/>
      <c r="E3840" s="2" t="e">
        <f t="shared" si="0"/>
        <v>#VALUE!</v>
      </c>
    </row>
    <row r="3841" spans="1:5" ht="12.75" customHeight="1" x14ac:dyDescent="0.2">
      <c r="A3841" s="3"/>
      <c r="B3841" s="3" t="s">
        <v>2</v>
      </c>
      <c r="C3841" s="3" t="s">
        <v>458</v>
      </c>
      <c r="D3841" s="2"/>
      <c r="E3841" s="2" t="e">
        <f t="shared" si="0"/>
        <v>#VALUE!</v>
      </c>
    </row>
    <row r="3842" spans="1:5" ht="12.75" customHeight="1" x14ac:dyDescent="0.2">
      <c r="A3842" s="3"/>
      <c r="B3842" s="3" t="s">
        <v>9</v>
      </c>
      <c r="C3842" s="3" t="s">
        <v>981</v>
      </c>
      <c r="D3842" s="2"/>
      <c r="E3842" s="2" t="e">
        <f t="shared" si="0"/>
        <v>#VALUE!</v>
      </c>
    </row>
    <row r="3843" spans="1:5" ht="12.75" customHeight="1" x14ac:dyDescent="0.2">
      <c r="A3843" s="3"/>
      <c r="B3843" s="3" t="s">
        <v>11</v>
      </c>
      <c r="C3843" s="3" t="s">
        <v>227</v>
      </c>
      <c r="D3843" s="2"/>
      <c r="E3843" s="2" t="e">
        <f t="shared" si="0"/>
        <v>#VALUE!</v>
      </c>
    </row>
    <row r="3844" spans="1:5" ht="12.75" customHeight="1" x14ac:dyDescent="0.2">
      <c r="A3844" s="3"/>
      <c r="B3844" s="3" t="s">
        <v>18</v>
      </c>
      <c r="C3844" s="4" t="s">
        <v>19</v>
      </c>
      <c r="D3844" s="2"/>
      <c r="E3844" s="2" t="e">
        <f t="shared" si="0"/>
        <v>#VALUE!</v>
      </c>
    </row>
    <row r="3845" spans="1:5" ht="12.75" customHeight="1" x14ac:dyDescent="0.2">
      <c r="A3845" s="1" t="str">
        <f>HYPERLINK("javascript:void(0)","sziámitárs")</f>
        <v>sziámitárs</v>
      </c>
      <c r="B3845" s="1"/>
      <c r="C3845" s="1"/>
      <c r="D3845" s="2"/>
      <c r="E3845" s="2" t="e">
        <f t="shared" si="0"/>
        <v>#VALUE!</v>
      </c>
    </row>
    <row r="3846" spans="1:5" ht="12.75" customHeight="1" x14ac:dyDescent="0.2">
      <c r="A3846" s="3"/>
      <c r="B3846" s="3" t="s">
        <v>0</v>
      </c>
      <c r="C3846" s="3" t="s">
        <v>21</v>
      </c>
      <c r="D3846" s="2"/>
      <c r="E3846" s="2" t="e">
        <f t="shared" si="0"/>
        <v>#VALUE!</v>
      </c>
    </row>
    <row r="3847" spans="1:5" ht="12.75" customHeight="1" x14ac:dyDescent="0.2">
      <c r="A3847" s="3"/>
      <c r="B3847" s="3" t="s">
        <v>2</v>
      </c>
      <c r="C3847" s="3" t="s">
        <v>458</v>
      </c>
      <c r="D3847" s="2"/>
      <c r="E3847" s="2" t="e">
        <f t="shared" si="0"/>
        <v>#VALUE!</v>
      </c>
    </row>
    <row r="3848" spans="1:5" ht="12.75" customHeight="1" x14ac:dyDescent="0.2">
      <c r="A3848" s="3"/>
      <c r="B3848" s="3" t="s">
        <v>9</v>
      </c>
      <c r="C3848" s="3" t="s">
        <v>22</v>
      </c>
      <c r="D3848" s="2"/>
      <c r="E3848" s="2" t="e">
        <f t="shared" si="0"/>
        <v>#VALUE!</v>
      </c>
    </row>
    <row r="3849" spans="1:5" ht="12.75" customHeight="1" x14ac:dyDescent="0.2">
      <c r="A3849" s="3"/>
      <c r="B3849" s="3" t="s">
        <v>11</v>
      </c>
      <c r="C3849" s="3" t="s">
        <v>597</v>
      </c>
      <c r="D3849" s="2"/>
      <c r="E3849" s="2" t="e">
        <f t="shared" si="0"/>
        <v>#VALUE!</v>
      </c>
    </row>
    <row r="3850" spans="1:5" ht="12.75" customHeight="1" x14ac:dyDescent="0.2">
      <c r="A3850" s="3"/>
      <c r="B3850" s="3" t="s">
        <v>18</v>
      </c>
      <c r="C3850" s="4" t="s">
        <v>19</v>
      </c>
      <c r="D3850" s="2"/>
      <c r="E3850" s="2" t="e">
        <f t="shared" si="0"/>
        <v>#VALUE!</v>
      </c>
    </row>
    <row r="3851" spans="1:5" ht="12.75" customHeight="1" x14ac:dyDescent="0.2">
      <c r="A3851" s="1" t="str">
        <f>HYPERLINK("javascript:void(0)","sztetoszkóp")</f>
        <v>sztetoszkóp</v>
      </c>
      <c r="B3851" s="1"/>
      <c r="C3851" s="1"/>
      <c r="D3851" s="2"/>
      <c r="E3851" s="2" t="e">
        <f t="shared" si="0"/>
        <v>#VALUE!</v>
      </c>
    </row>
    <row r="3852" spans="1:5" ht="12.75" customHeight="1" x14ac:dyDescent="0.2">
      <c r="A3852" s="3"/>
      <c r="B3852" s="3" t="s">
        <v>0</v>
      </c>
      <c r="C3852" s="3" t="s">
        <v>21</v>
      </c>
      <c r="D3852" s="2"/>
      <c r="E3852" s="2" t="e">
        <f t="shared" si="0"/>
        <v>#VALUE!</v>
      </c>
    </row>
    <row r="3853" spans="1:5" ht="12.75" customHeight="1" x14ac:dyDescent="0.2">
      <c r="A3853" s="3"/>
      <c r="B3853" s="3" t="s">
        <v>2</v>
      </c>
      <c r="C3853" s="3" t="s">
        <v>458</v>
      </c>
      <c r="D3853" s="2"/>
      <c r="E3853" s="2" t="e">
        <f t="shared" si="0"/>
        <v>#VALUE!</v>
      </c>
    </row>
    <row r="3854" spans="1:5" ht="12.75" customHeight="1" x14ac:dyDescent="0.2">
      <c r="A3854" s="3"/>
      <c r="B3854" s="3" t="s">
        <v>9</v>
      </c>
      <c r="C3854" s="3" t="s">
        <v>22</v>
      </c>
      <c r="D3854" s="2"/>
      <c r="E3854" s="2" t="e">
        <f t="shared" si="0"/>
        <v>#VALUE!</v>
      </c>
    </row>
    <row r="3855" spans="1:5" ht="12.75" customHeight="1" x14ac:dyDescent="0.2">
      <c r="A3855" s="3"/>
      <c r="B3855" s="3" t="s">
        <v>11</v>
      </c>
      <c r="C3855" s="3" t="s">
        <v>186</v>
      </c>
      <c r="D3855" s="2"/>
      <c r="E3855" s="2" t="e">
        <f t="shared" si="0"/>
        <v>#VALUE!</v>
      </c>
    </row>
    <row r="3856" spans="1:5" ht="12.75" customHeight="1" x14ac:dyDescent="0.2">
      <c r="A3856" s="3"/>
      <c r="B3856" s="3" t="s">
        <v>18</v>
      </c>
      <c r="C3856" s="4" t="s">
        <v>19</v>
      </c>
      <c r="D3856" s="2"/>
      <c r="E3856" s="2" t="e">
        <f t="shared" si="0"/>
        <v>#VALUE!</v>
      </c>
    </row>
    <row r="3857" spans="1:5" ht="12.75" customHeight="1" x14ac:dyDescent="0.2">
      <c r="A3857" s="1" t="str">
        <f>HYPERLINK("javascript:void(0)","szubtetkó")</f>
        <v>szubtetkó</v>
      </c>
      <c r="B3857" s="1"/>
      <c r="C3857" s="1"/>
      <c r="D3857" s="2"/>
      <c r="E3857" s="2" t="e">
        <f t="shared" si="0"/>
        <v>#VALUE!</v>
      </c>
    </row>
    <row r="3858" spans="1:5" ht="12.75" customHeight="1" x14ac:dyDescent="0.2">
      <c r="A3858" s="3"/>
      <c r="B3858" s="3" t="s">
        <v>0</v>
      </c>
      <c r="C3858" s="3" t="s">
        <v>21</v>
      </c>
      <c r="D3858" s="2"/>
      <c r="E3858" s="2" t="e">
        <f t="shared" si="0"/>
        <v>#VALUE!</v>
      </c>
    </row>
    <row r="3859" spans="1:5" ht="12.75" customHeight="1" x14ac:dyDescent="0.2">
      <c r="A3859" s="3"/>
      <c r="B3859" s="3" t="s">
        <v>2</v>
      </c>
      <c r="C3859" s="3" t="s">
        <v>458</v>
      </c>
      <c r="D3859" s="2"/>
      <c r="E3859" s="2" t="e">
        <f t="shared" si="0"/>
        <v>#VALUE!</v>
      </c>
    </row>
    <row r="3860" spans="1:5" ht="12.75" customHeight="1" x14ac:dyDescent="0.2">
      <c r="A3860" s="3"/>
      <c r="B3860" s="3" t="s">
        <v>9</v>
      </c>
      <c r="C3860" s="3" t="s">
        <v>27</v>
      </c>
      <c r="D3860" s="2"/>
      <c r="E3860" s="2" t="e">
        <f t="shared" si="0"/>
        <v>#VALUE!</v>
      </c>
    </row>
    <row r="3861" spans="1:5" ht="12.75" customHeight="1" x14ac:dyDescent="0.2">
      <c r="A3861" s="3"/>
      <c r="B3861" s="3" t="s">
        <v>11</v>
      </c>
      <c r="C3861" s="3" t="s">
        <v>108</v>
      </c>
      <c r="D3861" s="2"/>
      <c r="E3861" s="2" t="e">
        <f t="shared" si="0"/>
        <v>#VALUE!</v>
      </c>
    </row>
    <row r="3862" spans="1:5" ht="12.75" customHeight="1" x14ac:dyDescent="0.2">
      <c r="A3862" s="3"/>
      <c r="B3862" s="3" t="s">
        <v>16</v>
      </c>
      <c r="C3862" s="3" t="s">
        <v>1621</v>
      </c>
      <c r="D3862" s="2"/>
      <c r="E3862" s="2" t="e">
        <f t="shared" si="0"/>
        <v>#VALUE!</v>
      </c>
    </row>
    <row r="3863" spans="1:5" ht="12.75" customHeight="1" x14ac:dyDescent="0.2">
      <c r="A3863" s="3"/>
      <c r="B3863" s="3" t="s">
        <v>18</v>
      </c>
      <c r="C3863" s="4" t="s">
        <v>19</v>
      </c>
      <c r="D3863" s="2"/>
      <c r="E3863" s="2" t="e">
        <f t="shared" si="0"/>
        <v>#VALUE!</v>
      </c>
    </row>
    <row r="3864" spans="1:5" ht="12.75" customHeight="1" x14ac:dyDescent="0.2">
      <c r="A3864" s="1" t="str">
        <f>HYPERLINK("javascript:void(0)","szuperragacs")</f>
        <v>szuperragacs</v>
      </c>
      <c r="B3864" s="1"/>
      <c r="C3864" s="1"/>
      <c r="D3864" s="2"/>
      <c r="E3864" s="2" t="e">
        <f t="shared" si="0"/>
        <v>#VALUE!</v>
      </c>
    </row>
    <row r="3865" spans="1:5" ht="12.75" customHeight="1" x14ac:dyDescent="0.2">
      <c r="A3865" s="3"/>
      <c r="B3865" s="3" t="s">
        <v>0</v>
      </c>
      <c r="C3865" s="3" t="s">
        <v>21</v>
      </c>
      <c r="D3865" s="2"/>
      <c r="E3865" s="2" t="e">
        <f t="shared" si="0"/>
        <v>#VALUE!</v>
      </c>
    </row>
    <row r="3866" spans="1:5" ht="12.75" customHeight="1" x14ac:dyDescent="0.2">
      <c r="A3866" s="3"/>
      <c r="B3866" s="3" t="s">
        <v>2</v>
      </c>
      <c r="C3866" s="3" t="s">
        <v>387</v>
      </c>
      <c r="D3866" s="2"/>
      <c r="E3866" s="2" t="e">
        <f t="shared" si="0"/>
        <v>#VALUE!</v>
      </c>
    </row>
    <row r="3867" spans="1:5" ht="12.75" customHeight="1" x14ac:dyDescent="0.2">
      <c r="A3867" s="3"/>
      <c r="B3867" s="3" t="s">
        <v>9</v>
      </c>
      <c r="C3867" s="3" t="s">
        <v>626</v>
      </c>
      <c r="D3867" s="2"/>
      <c r="E3867" s="2" t="e">
        <f t="shared" si="0"/>
        <v>#VALUE!</v>
      </c>
    </row>
    <row r="3868" spans="1:5" ht="12.75" customHeight="1" x14ac:dyDescent="0.2">
      <c r="A3868" s="3"/>
      <c r="B3868" s="3" t="s">
        <v>11</v>
      </c>
      <c r="C3868" s="3" t="s">
        <v>23</v>
      </c>
      <c r="D3868" s="2"/>
      <c r="E3868" s="2" t="e">
        <f t="shared" si="0"/>
        <v>#VALUE!</v>
      </c>
    </row>
    <row r="3869" spans="1:5" ht="12.75" customHeight="1" x14ac:dyDescent="0.2">
      <c r="A3869" s="3"/>
      <c r="B3869" s="3" t="s">
        <v>16</v>
      </c>
      <c r="C3869" s="3" t="s">
        <v>1624</v>
      </c>
      <c r="D3869" s="2"/>
      <c r="E3869" s="2" t="e">
        <f t="shared" si="0"/>
        <v>#VALUE!</v>
      </c>
    </row>
    <row r="3870" spans="1:5" ht="12.75" customHeight="1" x14ac:dyDescent="0.2">
      <c r="A3870" s="3"/>
      <c r="B3870" s="3" t="s">
        <v>18</v>
      </c>
      <c r="C3870" s="4" t="s">
        <v>19</v>
      </c>
      <c r="D3870" s="2"/>
      <c r="E3870" s="2" t="e">
        <f t="shared" si="0"/>
        <v>#VALUE!</v>
      </c>
    </row>
    <row r="3871" spans="1:5" ht="12.75" customHeight="1" x14ac:dyDescent="0.2">
      <c r="A3871" s="1" t="str">
        <f>HYPERLINK("javascript:void(0)","székláb")</f>
        <v>székláb</v>
      </c>
      <c r="B3871" s="1"/>
      <c r="C3871" s="1"/>
      <c r="D3871" s="2"/>
      <c r="E3871" s="2" t="e">
        <f t="shared" si="0"/>
        <v>#VALUE!</v>
      </c>
    </row>
    <row r="3872" spans="1:5" ht="12.75" customHeight="1" x14ac:dyDescent="0.2">
      <c r="A3872" s="3"/>
      <c r="B3872" s="3" t="s">
        <v>0</v>
      </c>
      <c r="C3872" s="3" t="s">
        <v>21</v>
      </c>
      <c r="D3872" s="2"/>
      <c r="E3872" s="2" t="e">
        <f t="shared" si="0"/>
        <v>#VALUE!</v>
      </c>
    </row>
    <row r="3873" spans="1:5" ht="12.75" customHeight="1" x14ac:dyDescent="0.2">
      <c r="A3873" s="3"/>
      <c r="B3873" s="3" t="s">
        <v>2</v>
      </c>
      <c r="C3873" s="3" t="s">
        <v>458</v>
      </c>
      <c r="D3873" s="2"/>
      <c r="E3873" s="2" t="e">
        <f t="shared" si="0"/>
        <v>#VALUE!</v>
      </c>
    </row>
    <row r="3874" spans="1:5" ht="12.75" customHeight="1" x14ac:dyDescent="0.2">
      <c r="A3874" s="3"/>
      <c r="B3874" s="3" t="s">
        <v>9</v>
      </c>
      <c r="C3874" s="3" t="s">
        <v>22</v>
      </c>
      <c r="D3874" s="2"/>
      <c r="E3874" s="2" t="e">
        <f t="shared" si="0"/>
        <v>#VALUE!</v>
      </c>
    </row>
    <row r="3875" spans="1:5" ht="12.75" customHeight="1" x14ac:dyDescent="0.2">
      <c r="A3875" s="3"/>
      <c r="B3875" s="3" t="s">
        <v>11</v>
      </c>
      <c r="C3875" s="3" t="s">
        <v>505</v>
      </c>
      <c r="D3875" s="2"/>
      <c r="E3875" s="2" t="e">
        <f t="shared" si="0"/>
        <v>#VALUE!</v>
      </c>
    </row>
    <row r="3876" spans="1:5" ht="12.75" customHeight="1" x14ac:dyDescent="0.2">
      <c r="A3876" s="3"/>
      <c r="B3876" s="3" t="s">
        <v>18</v>
      </c>
      <c r="C3876" s="4" t="s">
        <v>19</v>
      </c>
      <c r="D3876" s="2"/>
      <c r="E3876" s="2" t="e">
        <f t="shared" si="0"/>
        <v>#VALUE!</v>
      </c>
    </row>
    <row r="3877" spans="1:5" ht="12.75" customHeight="1" x14ac:dyDescent="0.2">
      <c r="A3877" s="1" t="str">
        <f>HYPERLINK("javascript:void(0)","szén-hidragén")</f>
        <v>szén-hidragén</v>
      </c>
      <c r="B3877" s="1"/>
      <c r="C3877" s="1"/>
      <c r="D3877" s="2"/>
      <c r="E3877" s="2" t="e">
        <f t="shared" si="0"/>
        <v>#VALUE!</v>
      </c>
    </row>
    <row r="3878" spans="1:5" ht="12.75" customHeight="1" x14ac:dyDescent="0.2">
      <c r="A3878" s="3"/>
      <c r="B3878" s="3" t="s">
        <v>0</v>
      </c>
      <c r="C3878" s="3" t="s">
        <v>21</v>
      </c>
      <c r="D3878" s="2"/>
      <c r="E3878" s="2" t="e">
        <f t="shared" si="0"/>
        <v>#VALUE!</v>
      </c>
    </row>
    <row r="3879" spans="1:5" ht="12.75" customHeight="1" x14ac:dyDescent="0.2">
      <c r="A3879" s="3"/>
      <c r="B3879" s="3" t="s">
        <v>2</v>
      </c>
      <c r="C3879" s="3" t="s">
        <v>458</v>
      </c>
      <c r="D3879" s="2"/>
      <c r="E3879" s="2" t="e">
        <f t="shared" si="0"/>
        <v>#VALUE!</v>
      </c>
    </row>
    <row r="3880" spans="1:5" ht="12.75" customHeight="1" x14ac:dyDescent="0.2">
      <c r="A3880" s="3"/>
      <c r="B3880" s="3" t="s">
        <v>9</v>
      </c>
      <c r="C3880" s="3" t="s">
        <v>30</v>
      </c>
      <c r="D3880" s="2"/>
      <c r="E3880" s="2" t="e">
        <f t="shared" si="0"/>
        <v>#VALUE!</v>
      </c>
    </row>
    <row r="3881" spans="1:5" ht="12.75" customHeight="1" x14ac:dyDescent="0.2">
      <c r="A3881" s="3"/>
      <c r="B3881" s="3" t="s">
        <v>11</v>
      </c>
      <c r="C3881" s="3" t="s">
        <v>1625</v>
      </c>
      <c r="D3881" s="2"/>
      <c r="E3881" s="2" t="e">
        <f t="shared" si="0"/>
        <v>#VALUE!</v>
      </c>
    </row>
    <row r="3882" spans="1:5" ht="12.75" customHeight="1" x14ac:dyDescent="0.2">
      <c r="A3882" s="3"/>
      <c r="B3882" s="3" t="s">
        <v>18</v>
      </c>
      <c r="C3882" s="4" t="s">
        <v>19</v>
      </c>
      <c r="D3882" s="2"/>
      <c r="E3882" s="2" t="e">
        <f t="shared" si="0"/>
        <v>#VALUE!</v>
      </c>
    </row>
    <row r="3883" spans="1:5" ht="12.75" customHeight="1" x14ac:dyDescent="0.2">
      <c r="A3883" s="1" t="str">
        <f>HYPERLINK("javascript:void(0)","szépia")</f>
        <v>szépia</v>
      </c>
      <c r="B3883" s="1"/>
      <c r="C3883" s="1"/>
      <c r="D3883" s="2"/>
      <c r="E3883" s="2" t="e">
        <f t="shared" si="0"/>
        <v>#VALUE!</v>
      </c>
    </row>
    <row r="3884" spans="1:5" ht="12.75" customHeight="1" x14ac:dyDescent="0.2">
      <c r="A3884" s="3"/>
      <c r="B3884" s="3" t="s">
        <v>0</v>
      </c>
      <c r="C3884" s="3" t="s">
        <v>21</v>
      </c>
      <c r="D3884" s="2"/>
      <c r="E3884" s="2" t="e">
        <f t="shared" si="0"/>
        <v>#VALUE!</v>
      </c>
    </row>
    <row r="3885" spans="1:5" ht="12.75" customHeight="1" x14ac:dyDescent="0.2">
      <c r="A3885" s="3"/>
      <c r="B3885" s="3" t="s">
        <v>2</v>
      </c>
      <c r="C3885" s="3" t="s">
        <v>458</v>
      </c>
      <c r="D3885" s="2"/>
      <c r="E3885" s="2" t="e">
        <f t="shared" si="0"/>
        <v>#VALUE!</v>
      </c>
    </row>
    <row r="3886" spans="1:5" ht="12.75" customHeight="1" x14ac:dyDescent="0.2">
      <c r="A3886" s="3"/>
      <c r="B3886" s="3" t="s">
        <v>9</v>
      </c>
      <c r="C3886" s="3" t="s">
        <v>27</v>
      </c>
      <c r="D3886" s="2"/>
      <c r="E3886" s="2" t="e">
        <f t="shared" si="0"/>
        <v>#VALUE!</v>
      </c>
    </row>
    <row r="3887" spans="1:5" ht="12.75" customHeight="1" x14ac:dyDescent="0.2">
      <c r="A3887" s="3"/>
      <c r="B3887" s="3" t="s">
        <v>11</v>
      </c>
      <c r="C3887" s="3" t="s">
        <v>505</v>
      </c>
      <c r="D3887" s="2"/>
      <c r="E3887" s="2" t="e">
        <f t="shared" si="0"/>
        <v>#VALUE!</v>
      </c>
    </row>
    <row r="3888" spans="1:5" ht="12.75" customHeight="1" x14ac:dyDescent="0.2">
      <c r="A3888" s="3"/>
      <c r="B3888" s="3" t="s">
        <v>18</v>
      </c>
      <c r="C3888" s="4" t="s">
        <v>19</v>
      </c>
      <c r="D3888" s="2"/>
      <c r="E3888" s="2" t="e">
        <f t="shared" si="0"/>
        <v>#VALUE!</v>
      </c>
    </row>
    <row r="3889" spans="1:5" ht="12.75" customHeight="1" x14ac:dyDescent="0.2">
      <c r="A3889" s="1" t="str">
        <f>HYPERLINK("javascript:void(0)","szívóka")</f>
        <v>szívóka</v>
      </c>
      <c r="B3889" s="1"/>
      <c r="C3889" s="1"/>
      <c r="D3889" s="2"/>
      <c r="E3889" s="2" t="e">
        <f t="shared" si="0"/>
        <v>#VALUE!</v>
      </c>
    </row>
    <row r="3890" spans="1:5" ht="12.75" customHeight="1" x14ac:dyDescent="0.2">
      <c r="A3890" s="3"/>
      <c r="B3890" s="3" t="s">
        <v>0</v>
      </c>
      <c r="C3890" s="3" t="s">
        <v>21</v>
      </c>
      <c r="D3890" s="2"/>
      <c r="E3890" s="2" t="e">
        <f t="shared" si="0"/>
        <v>#VALUE!</v>
      </c>
    </row>
    <row r="3891" spans="1:5" ht="12.75" customHeight="1" x14ac:dyDescent="0.2">
      <c r="A3891" s="3"/>
      <c r="B3891" s="3" t="s">
        <v>2</v>
      </c>
      <c r="C3891" s="3" t="s">
        <v>458</v>
      </c>
      <c r="D3891" s="2"/>
      <c r="E3891" s="2" t="e">
        <f t="shared" si="0"/>
        <v>#VALUE!</v>
      </c>
    </row>
    <row r="3892" spans="1:5" ht="12.75" customHeight="1" x14ac:dyDescent="0.2">
      <c r="A3892" s="3"/>
      <c r="B3892" s="3" t="s">
        <v>9</v>
      </c>
      <c r="C3892" s="3" t="s">
        <v>22</v>
      </c>
      <c r="D3892" s="2"/>
      <c r="E3892" s="2" t="e">
        <f t="shared" si="0"/>
        <v>#VALUE!</v>
      </c>
    </row>
    <row r="3893" spans="1:5" ht="12.75" customHeight="1" x14ac:dyDescent="0.2">
      <c r="A3893" s="3"/>
      <c r="B3893" s="3" t="s">
        <v>11</v>
      </c>
      <c r="C3893" s="3" t="s">
        <v>301</v>
      </c>
      <c r="D3893" s="2"/>
      <c r="E3893" s="2" t="e">
        <f t="shared" si="0"/>
        <v>#VALUE!</v>
      </c>
    </row>
    <row r="3894" spans="1:5" ht="12.75" customHeight="1" x14ac:dyDescent="0.2">
      <c r="A3894" s="3"/>
      <c r="B3894" s="3" t="s">
        <v>18</v>
      </c>
      <c r="C3894" s="4" t="s">
        <v>19</v>
      </c>
      <c r="D3894" s="2"/>
      <c r="E3894" s="2" t="e">
        <f t="shared" si="0"/>
        <v>#VALUE!</v>
      </c>
    </row>
    <row r="3895" spans="1:5" ht="12.75" customHeight="1" x14ac:dyDescent="0.2">
      <c r="A3895" s="1" t="str">
        <f>HYPERLINK("javascript:void(0)","szórioff")</f>
        <v>szórioff</v>
      </c>
      <c r="B3895" s="1"/>
      <c r="C3895" s="1"/>
      <c r="D3895" s="2"/>
      <c r="E3895" s="2" t="e">
        <f t="shared" si="0"/>
        <v>#VALUE!</v>
      </c>
    </row>
    <row r="3896" spans="1:5" ht="12.75" customHeight="1" x14ac:dyDescent="0.2">
      <c r="A3896" s="3"/>
      <c r="B3896" s="3" t="s">
        <v>0</v>
      </c>
      <c r="C3896" s="3" t="s">
        <v>21</v>
      </c>
      <c r="D3896" s="2"/>
      <c r="E3896" s="2" t="e">
        <f t="shared" si="0"/>
        <v>#VALUE!</v>
      </c>
    </row>
    <row r="3897" spans="1:5" ht="12.75" customHeight="1" x14ac:dyDescent="0.2">
      <c r="A3897" s="3"/>
      <c r="B3897" s="3" t="s">
        <v>2</v>
      </c>
      <c r="C3897" s="3" t="s">
        <v>458</v>
      </c>
      <c r="D3897" s="2"/>
      <c r="E3897" s="2" t="e">
        <f t="shared" si="0"/>
        <v>#VALUE!</v>
      </c>
    </row>
    <row r="3898" spans="1:5" ht="12.75" customHeight="1" x14ac:dyDescent="0.2">
      <c r="A3898" s="3"/>
      <c r="B3898" s="3" t="s">
        <v>9</v>
      </c>
      <c r="C3898" s="3" t="s">
        <v>22</v>
      </c>
      <c r="D3898" s="2"/>
      <c r="E3898" s="2" t="e">
        <f t="shared" si="0"/>
        <v>#VALUE!</v>
      </c>
    </row>
    <row r="3899" spans="1:5" ht="12.75" customHeight="1" x14ac:dyDescent="0.2">
      <c r="A3899" s="3"/>
      <c r="B3899" s="3" t="s">
        <v>11</v>
      </c>
      <c r="C3899" s="3" t="s">
        <v>529</v>
      </c>
      <c r="D3899" s="2"/>
      <c r="E3899" s="2" t="e">
        <f t="shared" si="0"/>
        <v>#VALUE!</v>
      </c>
    </row>
    <row r="3900" spans="1:5" ht="12.75" customHeight="1" x14ac:dyDescent="0.2">
      <c r="A3900" s="3"/>
      <c r="B3900" s="3" t="s">
        <v>18</v>
      </c>
      <c r="C3900" s="4" t="s">
        <v>19</v>
      </c>
      <c r="D3900" s="2"/>
      <c r="E3900" s="2" t="e">
        <f t="shared" si="0"/>
        <v>#VALUE!</v>
      </c>
    </row>
    <row r="3901" spans="1:5" ht="12.75" customHeight="1" x14ac:dyDescent="0.2">
      <c r="A3901" s="1" t="str">
        <f>HYPERLINK("javascript:void(0)","szórólap")</f>
        <v>szórólap</v>
      </c>
      <c r="B3901" s="1"/>
      <c r="C3901" s="1"/>
      <c r="D3901" s="2"/>
      <c r="E3901" s="2" t="e">
        <f t="shared" si="0"/>
        <v>#VALUE!</v>
      </c>
    </row>
    <row r="3902" spans="1:5" ht="12.75" customHeight="1" x14ac:dyDescent="0.2">
      <c r="A3902" s="3"/>
      <c r="B3902" s="3" t="s">
        <v>0</v>
      </c>
      <c r="C3902" s="3" t="s">
        <v>21</v>
      </c>
      <c r="D3902" s="2"/>
      <c r="E3902" s="2" t="e">
        <f t="shared" si="0"/>
        <v>#VALUE!</v>
      </c>
    </row>
    <row r="3903" spans="1:5" ht="12.75" customHeight="1" x14ac:dyDescent="0.2">
      <c r="A3903" s="3"/>
      <c r="B3903" s="3" t="s">
        <v>2</v>
      </c>
      <c r="C3903" s="3" t="s">
        <v>458</v>
      </c>
      <c r="D3903" s="2"/>
      <c r="E3903" s="2" t="e">
        <f t="shared" si="0"/>
        <v>#VALUE!</v>
      </c>
    </row>
    <row r="3904" spans="1:5" ht="12.75" customHeight="1" x14ac:dyDescent="0.2">
      <c r="A3904" s="3"/>
      <c r="B3904" s="3" t="s">
        <v>9</v>
      </c>
      <c r="C3904" s="3" t="s">
        <v>22</v>
      </c>
      <c r="D3904" s="2"/>
      <c r="E3904" s="2" t="e">
        <f t="shared" si="0"/>
        <v>#VALUE!</v>
      </c>
    </row>
    <row r="3905" spans="1:5" ht="12.75" customHeight="1" x14ac:dyDescent="0.2">
      <c r="A3905" s="3"/>
      <c r="B3905" s="3" t="s">
        <v>11</v>
      </c>
      <c r="C3905" s="3" t="s">
        <v>395</v>
      </c>
      <c r="D3905" s="2"/>
      <c r="E3905" s="2" t="e">
        <f t="shared" si="0"/>
        <v>#VALUE!</v>
      </c>
    </row>
    <row r="3906" spans="1:5" ht="12.75" customHeight="1" x14ac:dyDescent="0.2">
      <c r="A3906" s="3"/>
      <c r="B3906" s="3" t="s">
        <v>18</v>
      </c>
      <c r="C3906" s="4" t="s">
        <v>19</v>
      </c>
      <c r="D3906" s="2"/>
      <c r="E3906" s="2" t="e">
        <f t="shared" si="0"/>
        <v>#VALUE!</v>
      </c>
    </row>
    <row r="3907" spans="1:5" ht="12.75" customHeight="1" x14ac:dyDescent="0.2">
      <c r="A3907" s="1" t="str">
        <f>HYPERLINK("javascript:void(0)","szúnyogcsont")</f>
        <v>szúnyogcsont</v>
      </c>
      <c r="B3907" s="1"/>
      <c r="C3907" s="1"/>
      <c r="D3907" s="2"/>
      <c r="E3907" s="2" t="e">
        <f t="shared" si="0"/>
        <v>#VALUE!</v>
      </c>
    </row>
    <row r="3908" spans="1:5" ht="12.75" customHeight="1" x14ac:dyDescent="0.2">
      <c r="A3908" s="3"/>
      <c r="B3908" s="3" t="s">
        <v>0</v>
      </c>
      <c r="C3908" s="3" t="s">
        <v>21</v>
      </c>
      <c r="D3908" s="2"/>
      <c r="E3908" s="2" t="e">
        <f t="shared" si="0"/>
        <v>#VALUE!</v>
      </c>
    </row>
    <row r="3909" spans="1:5" ht="12.75" customHeight="1" x14ac:dyDescent="0.2">
      <c r="A3909" s="3"/>
      <c r="B3909" s="3" t="s">
        <v>2</v>
      </c>
      <c r="C3909" s="3" t="s">
        <v>458</v>
      </c>
      <c r="D3909" s="2"/>
      <c r="E3909" s="2" t="e">
        <f t="shared" si="0"/>
        <v>#VALUE!</v>
      </c>
    </row>
    <row r="3910" spans="1:5" ht="12.75" customHeight="1" x14ac:dyDescent="0.2">
      <c r="A3910" s="3"/>
      <c r="B3910" s="3" t="s">
        <v>9</v>
      </c>
      <c r="C3910" s="3" t="s">
        <v>27</v>
      </c>
      <c r="D3910" s="2"/>
      <c r="E3910" s="2" t="e">
        <f t="shared" si="0"/>
        <v>#VALUE!</v>
      </c>
    </row>
    <row r="3911" spans="1:5" ht="12.75" customHeight="1" x14ac:dyDescent="0.2">
      <c r="A3911" s="3"/>
      <c r="B3911" s="3" t="s">
        <v>11</v>
      </c>
      <c r="C3911" s="3" t="s">
        <v>530</v>
      </c>
      <c r="D3911" s="2"/>
      <c r="E3911" s="2" t="e">
        <f t="shared" si="0"/>
        <v>#VALUE!</v>
      </c>
    </row>
    <row r="3912" spans="1:5" ht="12.75" customHeight="1" x14ac:dyDescent="0.2">
      <c r="A3912" s="3"/>
      <c r="B3912" s="3" t="s">
        <v>18</v>
      </c>
      <c r="C3912" s="4" t="s">
        <v>19</v>
      </c>
      <c r="D3912" s="2"/>
      <c r="E3912" s="2" t="e">
        <f t="shared" si="0"/>
        <v>#VALUE!</v>
      </c>
    </row>
    <row r="3913" spans="1:5" ht="12.75" customHeight="1" x14ac:dyDescent="0.2">
      <c r="A3913" s="1" t="str">
        <f>HYPERLINK("javascript:void(0)","szúnyogszárny")</f>
        <v>szúnyogszárny</v>
      </c>
      <c r="B3913" s="1"/>
      <c r="C3913" s="1"/>
      <c r="D3913" s="2"/>
      <c r="E3913" s="2" t="e">
        <f t="shared" si="0"/>
        <v>#VALUE!</v>
      </c>
    </row>
    <row r="3914" spans="1:5" ht="12.75" customHeight="1" x14ac:dyDescent="0.2">
      <c r="A3914" s="3"/>
      <c r="B3914" s="3" t="s">
        <v>0</v>
      </c>
      <c r="C3914" s="3" t="s">
        <v>1</v>
      </c>
      <c r="D3914" s="2"/>
      <c r="E3914" s="2" t="e">
        <f t="shared" si="0"/>
        <v>#VALUE!</v>
      </c>
    </row>
    <row r="3915" spans="1:5" ht="12.75" customHeight="1" x14ac:dyDescent="0.2">
      <c r="A3915" s="3"/>
      <c r="B3915" s="3" t="s">
        <v>2</v>
      </c>
      <c r="C3915" s="3" t="s">
        <v>387</v>
      </c>
      <c r="D3915" s="2"/>
      <c r="E3915" s="2" t="e">
        <f t="shared" si="0"/>
        <v>#VALUE!</v>
      </c>
    </row>
    <row r="3916" spans="1:5" ht="12.75" customHeight="1" x14ac:dyDescent="0.2">
      <c r="A3916" s="3"/>
      <c r="B3916" s="3" t="s">
        <v>9</v>
      </c>
      <c r="C3916" s="3" t="s">
        <v>565</v>
      </c>
      <c r="D3916" s="2"/>
      <c r="E3916" s="2" t="e">
        <f t="shared" si="0"/>
        <v>#VALUE!</v>
      </c>
    </row>
    <row r="3917" spans="1:5" ht="12.75" customHeight="1" x14ac:dyDescent="0.2">
      <c r="A3917" s="3"/>
      <c r="B3917" s="3" t="s">
        <v>11</v>
      </c>
      <c r="C3917" s="3" t="s">
        <v>1010</v>
      </c>
      <c r="D3917" s="2"/>
      <c r="E3917" s="2" t="e">
        <f t="shared" si="0"/>
        <v>#VALUE!</v>
      </c>
    </row>
    <row r="3918" spans="1:5" ht="12.75" customHeight="1" x14ac:dyDescent="0.2">
      <c r="A3918" s="3"/>
      <c r="B3918" s="3" t="s">
        <v>18</v>
      </c>
      <c r="C3918" s="4" t="s">
        <v>19</v>
      </c>
      <c r="D3918" s="2"/>
      <c r="E3918" s="2" t="e">
        <f t="shared" si="0"/>
        <v>#VALUE!</v>
      </c>
    </row>
    <row r="3919" spans="1:5" ht="12.75" customHeight="1" x14ac:dyDescent="0.2">
      <c r="A3919" s="1" t="str">
        <f>HYPERLINK("javascript:void(0)","szúnyogtetem")</f>
        <v>szúnyogtetem</v>
      </c>
      <c r="B3919" s="1"/>
      <c r="C3919" s="1"/>
      <c r="D3919" s="2"/>
      <c r="E3919" s="2" t="e">
        <f t="shared" si="0"/>
        <v>#VALUE!</v>
      </c>
    </row>
    <row r="3920" spans="1:5" ht="12.75" customHeight="1" x14ac:dyDescent="0.2">
      <c r="A3920" s="3"/>
      <c r="B3920" s="3" t="s">
        <v>0</v>
      </c>
      <c r="C3920" s="3" t="s">
        <v>21</v>
      </c>
      <c r="D3920" s="2"/>
      <c r="E3920" s="2" t="e">
        <f t="shared" si="0"/>
        <v>#VALUE!</v>
      </c>
    </row>
    <row r="3921" spans="1:5" ht="12.75" customHeight="1" x14ac:dyDescent="0.2">
      <c r="A3921" s="3"/>
      <c r="B3921" s="3" t="s">
        <v>2</v>
      </c>
      <c r="C3921" s="3" t="s">
        <v>387</v>
      </c>
      <c r="D3921" s="2"/>
      <c r="E3921" s="2" t="e">
        <f t="shared" si="0"/>
        <v>#VALUE!</v>
      </c>
    </row>
    <row r="3922" spans="1:5" ht="12.75" customHeight="1" x14ac:dyDescent="0.2">
      <c r="A3922" s="3"/>
      <c r="B3922" s="3" t="s">
        <v>9</v>
      </c>
      <c r="C3922" s="3" t="s">
        <v>10</v>
      </c>
      <c r="D3922" s="2"/>
      <c r="E3922" s="2" t="e">
        <f t="shared" si="0"/>
        <v>#VALUE!</v>
      </c>
    </row>
    <row r="3923" spans="1:5" ht="12.75" customHeight="1" x14ac:dyDescent="0.2">
      <c r="A3923" s="3"/>
      <c r="B3923" s="3" t="s">
        <v>11</v>
      </c>
      <c r="C3923" s="3" t="s">
        <v>23</v>
      </c>
      <c r="D3923" s="2"/>
      <c r="E3923" s="2" t="e">
        <f t="shared" si="0"/>
        <v>#VALUE!</v>
      </c>
    </row>
    <row r="3924" spans="1:5" ht="12.75" customHeight="1" x14ac:dyDescent="0.2">
      <c r="A3924" s="3"/>
      <c r="B3924" s="3" t="s">
        <v>16</v>
      </c>
      <c r="C3924" s="3" t="s">
        <v>388</v>
      </c>
      <c r="D3924" s="2"/>
      <c r="E3924" s="2" t="e">
        <f t="shared" si="0"/>
        <v>#VALUE!</v>
      </c>
    </row>
    <row r="3925" spans="1:5" ht="12.75" customHeight="1" x14ac:dyDescent="0.2">
      <c r="A3925" s="3"/>
      <c r="B3925" s="3" t="s">
        <v>18</v>
      </c>
      <c r="C3925" s="4" t="s">
        <v>19</v>
      </c>
      <c r="D3925" s="2"/>
      <c r="E3925" s="2" t="e">
        <f t="shared" si="0"/>
        <v>#VALUE!</v>
      </c>
    </row>
    <row r="3926" spans="1:5" ht="12.75" customHeight="1" x14ac:dyDescent="0.2">
      <c r="A3926" s="1" t="str">
        <f>HYPERLINK("javascript:void(0)","szütyő")</f>
        <v>szütyő</v>
      </c>
      <c r="B3926" s="1"/>
      <c r="C3926" s="1"/>
      <c r="D3926" s="2"/>
      <c r="E3926" s="2" t="e">
        <f t="shared" si="0"/>
        <v>#VALUE!</v>
      </c>
    </row>
    <row r="3927" spans="1:5" ht="12.75" customHeight="1" x14ac:dyDescent="0.2">
      <c r="A3927" s="3"/>
      <c r="B3927" s="3" t="s">
        <v>0</v>
      </c>
      <c r="C3927" s="3" t="s">
        <v>21</v>
      </c>
      <c r="D3927" s="2"/>
      <c r="E3927" s="2" t="e">
        <f t="shared" si="0"/>
        <v>#VALUE!</v>
      </c>
    </row>
    <row r="3928" spans="1:5" ht="12.75" customHeight="1" x14ac:dyDescent="0.2">
      <c r="A3928" s="3"/>
      <c r="B3928" s="3" t="s">
        <v>2</v>
      </c>
      <c r="C3928" s="3" t="s">
        <v>458</v>
      </c>
      <c r="D3928" s="2"/>
      <c r="E3928" s="2" t="e">
        <f t="shared" si="0"/>
        <v>#VALUE!</v>
      </c>
    </row>
    <row r="3929" spans="1:5" ht="12.75" customHeight="1" x14ac:dyDescent="0.2">
      <c r="A3929" s="3"/>
      <c r="B3929" s="3" t="s">
        <v>9</v>
      </c>
      <c r="C3929" s="3" t="s">
        <v>22</v>
      </c>
      <c r="D3929" s="2"/>
      <c r="E3929" s="2" t="e">
        <f t="shared" si="0"/>
        <v>#VALUE!</v>
      </c>
    </row>
    <row r="3930" spans="1:5" ht="12.75" customHeight="1" x14ac:dyDescent="0.2">
      <c r="A3930" s="3"/>
      <c r="B3930" s="3" t="s">
        <v>11</v>
      </c>
      <c r="C3930" s="3" t="s">
        <v>605</v>
      </c>
      <c r="D3930" s="2"/>
      <c r="E3930" s="2" t="e">
        <f t="shared" si="0"/>
        <v>#VALUE!</v>
      </c>
    </row>
    <row r="3931" spans="1:5" ht="12.75" customHeight="1" x14ac:dyDescent="0.2">
      <c r="A3931" s="3"/>
      <c r="B3931" s="3" t="s">
        <v>18</v>
      </c>
      <c r="C3931" s="4" t="s">
        <v>19</v>
      </c>
      <c r="D3931" s="2"/>
      <c r="E3931" s="2" t="e">
        <f t="shared" si="0"/>
        <v>#VALUE!</v>
      </c>
    </row>
    <row r="3932" spans="1:5" ht="12.75" customHeight="1" x14ac:dyDescent="0.2">
      <c r="A3932" s="1" t="str">
        <f>HYPERLINK("javascript:void(0)","szőnyegfelhő")</f>
        <v>szőnyegfelhő</v>
      </c>
      <c r="B3932" s="1"/>
      <c r="C3932" s="1"/>
      <c r="D3932" s="2"/>
      <c r="E3932" s="2" t="e">
        <f t="shared" si="0"/>
        <v>#VALUE!</v>
      </c>
    </row>
    <row r="3933" spans="1:5" ht="12.75" customHeight="1" x14ac:dyDescent="0.2">
      <c r="A3933" s="3"/>
      <c r="B3933" s="3" t="s">
        <v>0</v>
      </c>
      <c r="C3933" s="3" t="s">
        <v>21</v>
      </c>
      <c r="D3933" s="2"/>
      <c r="E3933" s="2" t="e">
        <f t="shared" si="0"/>
        <v>#VALUE!</v>
      </c>
    </row>
    <row r="3934" spans="1:5" ht="12.75" customHeight="1" x14ac:dyDescent="0.2">
      <c r="A3934" s="3"/>
      <c r="B3934" s="3" t="s">
        <v>2</v>
      </c>
      <c r="C3934" s="3" t="s">
        <v>458</v>
      </c>
      <c r="D3934" s="2"/>
      <c r="E3934" s="2" t="e">
        <f t="shared" si="0"/>
        <v>#VALUE!</v>
      </c>
    </row>
    <row r="3935" spans="1:5" ht="12.75" customHeight="1" x14ac:dyDescent="0.2">
      <c r="A3935" s="3"/>
      <c r="B3935" s="3" t="s">
        <v>9</v>
      </c>
      <c r="C3935" s="3" t="s">
        <v>626</v>
      </c>
      <c r="D3935" s="2"/>
      <c r="E3935" s="2" t="e">
        <f t="shared" si="0"/>
        <v>#VALUE!</v>
      </c>
    </row>
    <row r="3936" spans="1:5" ht="12.75" customHeight="1" x14ac:dyDescent="0.2">
      <c r="A3936" s="3"/>
      <c r="B3936" s="3" t="s">
        <v>11</v>
      </c>
      <c r="C3936" s="3" t="s">
        <v>395</v>
      </c>
      <c r="D3936" s="2"/>
      <c r="E3936" s="2" t="e">
        <f t="shared" si="0"/>
        <v>#VALUE!</v>
      </c>
    </row>
    <row r="3937" spans="1:5" ht="12.75" customHeight="1" x14ac:dyDescent="0.2">
      <c r="A3937" s="3"/>
      <c r="B3937" s="3" t="s">
        <v>18</v>
      </c>
      <c r="C3937" s="4" t="s">
        <v>19</v>
      </c>
      <c r="D3937" s="2"/>
      <c r="E3937" s="2" t="e">
        <f t="shared" si="0"/>
        <v>#VALUE!</v>
      </c>
    </row>
    <row r="3938" spans="1:5" ht="12.75" customHeight="1" x14ac:dyDescent="0.2">
      <c r="A3938" s="1" t="str">
        <f>HYPERLINK("javascript:void(0)","szőrpenge")</f>
        <v>szőrpenge</v>
      </c>
      <c r="B3938" s="1"/>
      <c r="C3938" s="1"/>
      <c r="D3938" s="2"/>
      <c r="E3938" s="2" t="e">
        <f t="shared" si="0"/>
        <v>#VALUE!</v>
      </c>
    </row>
    <row r="3939" spans="1:5" ht="12.75" customHeight="1" x14ac:dyDescent="0.2">
      <c r="A3939" s="3"/>
      <c r="B3939" s="3" t="s">
        <v>0</v>
      </c>
      <c r="C3939" s="3" t="s">
        <v>21</v>
      </c>
      <c r="D3939" s="2"/>
      <c r="E3939" s="2" t="e">
        <f t="shared" si="0"/>
        <v>#VALUE!</v>
      </c>
    </row>
    <row r="3940" spans="1:5" ht="12.75" customHeight="1" x14ac:dyDescent="0.2">
      <c r="A3940" s="3"/>
      <c r="B3940" s="3" t="s">
        <v>2</v>
      </c>
      <c r="C3940" s="3" t="s">
        <v>458</v>
      </c>
      <c r="D3940" s="2"/>
      <c r="E3940" s="2" t="e">
        <f t="shared" si="0"/>
        <v>#VALUE!</v>
      </c>
    </row>
    <row r="3941" spans="1:5" ht="12.75" customHeight="1" x14ac:dyDescent="0.2">
      <c r="A3941" s="3"/>
      <c r="B3941" s="3" t="s">
        <v>9</v>
      </c>
      <c r="C3941" s="3" t="s">
        <v>1640</v>
      </c>
      <c r="D3941" s="2"/>
      <c r="E3941" s="2" t="e">
        <f t="shared" si="0"/>
        <v>#VALUE!</v>
      </c>
    </row>
    <row r="3942" spans="1:5" ht="12.75" customHeight="1" x14ac:dyDescent="0.2">
      <c r="A3942" s="3"/>
      <c r="B3942" s="3" t="s">
        <v>11</v>
      </c>
      <c r="C3942" s="3" t="s">
        <v>505</v>
      </c>
      <c r="D3942" s="2"/>
      <c r="E3942" s="2" t="e">
        <f t="shared" si="0"/>
        <v>#VALUE!</v>
      </c>
    </row>
    <row r="3943" spans="1:5" ht="12.75" customHeight="1" x14ac:dyDescent="0.2">
      <c r="A3943" s="3"/>
      <c r="B3943" s="3" t="s">
        <v>18</v>
      </c>
      <c r="C3943" s="4" t="s">
        <v>19</v>
      </c>
      <c r="D3943" s="2"/>
      <c r="E3943" s="2" t="e">
        <f t="shared" si="0"/>
        <v>#VALUE!</v>
      </c>
    </row>
    <row r="3944" spans="1:5" ht="12.75" customHeight="1" x14ac:dyDescent="0.2">
      <c r="A3944" s="1" t="str">
        <f>HYPERLINK("javascript:void(0)","sárkánybőr nyakörv")</f>
        <v>sárkánybőr nyakörv</v>
      </c>
      <c r="B3944" s="1"/>
      <c r="C3944" s="1"/>
      <c r="D3944" s="2"/>
      <c r="E3944" s="2" t="e">
        <f t="shared" si="0"/>
        <v>#VALUE!</v>
      </c>
    </row>
    <row r="3945" spans="1:5" ht="12.75" customHeight="1" x14ac:dyDescent="0.2">
      <c r="A3945" s="3"/>
      <c r="B3945" s="3" t="s">
        <v>0</v>
      </c>
      <c r="C3945" s="3" t="s">
        <v>21</v>
      </c>
      <c r="D3945" s="2"/>
      <c r="E3945" s="2" t="e">
        <f t="shared" si="0"/>
        <v>#VALUE!</v>
      </c>
    </row>
    <row r="3946" spans="1:5" ht="12.75" customHeight="1" x14ac:dyDescent="0.2">
      <c r="A3946" s="3"/>
      <c r="B3946" s="3" t="s">
        <v>2</v>
      </c>
      <c r="C3946" s="3" t="s">
        <v>387</v>
      </c>
      <c r="D3946" s="2"/>
      <c r="E3946" s="2" t="e">
        <f t="shared" si="0"/>
        <v>#VALUE!</v>
      </c>
    </row>
    <row r="3947" spans="1:5" ht="12.75" customHeight="1" x14ac:dyDescent="0.2">
      <c r="A3947" s="3"/>
      <c r="B3947" s="3" t="s">
        <v>9</v>
      </c>
      <c r="C3947" s="3" t="s">
        <v>27</v>
      </c>
      <c r="D3947" s="2"/>
      <c r="E3947" s="2" t="e">
        <f t="shared" si="0"/>
        <v>#VALUE!</v>
      </c>
    </row>
    <row r="3948" spans="1:5" ht="12.75" customHeight="1" x14ac:dyDescent="0.2">
      <c r="A3948" s="3"/>
      <c r="B3948" s="3" t="s">
        <v>11</v>
      </c>
      <c r="C3948" s="3" t="s">
        <v>23</v>
      </c>
      <c r="D3948" s="2"/>
      <c r="E3948" s="2" t="e">
        <f t="shared" si="0"/>
        <v>#VALUE!</v>
      </c>
    </row>
    <row r="3949" spans="1:5" ht="12.75" customHeight="1" x14ac:dyDescent="0.2">
      <c r="A3949" s="3"/>
      <c r="B3949" s="3" t="s">
        <v>16</v>
      </c>
      <c r="C3949" s="3" t="s">
        <v>388</v>
      </c>
      <c r="D3949" s="2"/>
      <c r="E3949" s="2" t="e">
        <f t="shared" si="0"/>
        <v>#VALUE!</v>
      </c>
    </row>
    <row r="3950" spans="1:5" ht="12.75" customHeight="1" x14ac:dyDescent="0.2">
      <c r="A3950" s="3"/>
      <c r="B3950" s="3" t="s">
        <v>18</v>
      </c>
      <c r="C3950" s="4" t="s">
        <v>19</v>
      </c>
      <c r="D3950" s="2"/>
      <c r="E3950" s="2" t="e">
        <f t="shared" si="0"/>
        <v>#VALUE!</v>
      </c>
    </row>
    <row r="3951" spans="1:5" ht="12.75" customHeight="1" x14ac:dyDescent="0.2">
      <c r="A3951" s="1" t="str">
        <f>HYPERLINK("javascript:void(0)","sárkányfog")</f>
        <v>sárkányfog</v>
      </c>
      <c r="B3951" s="1"/>
      <c r="C3951" s="1"/>
      <c r="D3951" s="2"/>
      <c r="E3951" s="2" t="e">
        <f t="shared" si="0"/>
        <v>#VALUE!</v>
      </c>
    </row>
    <row r="3952" spans="1:5" ht="12.75" customHeight="1" x14ac:dyDescent="0.2">
      <c r="A3952" s="3"/>
      <c r="B3952" s="3" t="s">
        <v>0</v>
      </c>
      <c r="C3952" s="3" t="s">
        <v>21</v>
      </c>
      <c r="D3952" s="2"/>
      <c r="E3952" s="2" t="e">
        <f t="shared" si="0"/>
        <v>#VALUE!</v>
      </c>
    </row>
    <row r="3953" spans="1:5" ht="12.75" customHeight="1" x14ac:dyDescent="0.2">
      <c r="A3953" s="3"/>
      <c r="B3953" s="3" t="s">
        <v>2</v>
      </c>
      <c r="C3953" s="3" t="s">
        <v>458</v>
      </c>
      <c r="D3953" s="2"/>
      <c r="E3953" s="2" t="e">
        <f t="shared" si="0"/>
        <v>#VALUE!</v>
      </c>
    </row>
    <row r="3954" spans="1:5" ht="12.75" customHeight="1" x14ac:dyDescent="0.2">
      <c r="A3954" s="3"/>
      <c r="B3954" s="3" t="s">
        <v>9</v>
      </c>
      <c r="C3954" s="3" t="s">
        <v>84</v>
      </c>
      <c r="D3954" s="2"/>
      <c r="E3954" s="2" t="e">
        <f t="shared" si="0"/>
        <v>#VALUE!</v>
      </c>
    </row>
    <row r="3955" spans="1:5" ht="12.75" customHeight="1" x14ac:dyDescent="0.2">
      <c r="A3955" s="3"/>
      <c r="B3955" s="3" t="s">
        <v>11</v>
      </c>
      <c r="C3955" s="3" t="s">
        <v>1646</v>
      </c>
      <c r="D3955" s="2"/>
      <c r="E3955" s="2" t="e">
        <f t="shared" si="0"/>
        <v>#VALUE!</v>
      </c>
    </row>
    <row r="3956" spans="1:5" ht="12.75" customHeight="1" x14ac:dyDescent="0.2">
      <c r="A3956" s="3"/>
      <c r="B3956" s="3" t="s">
        <v>18</v>
      </c>
      <c r="C3956" s="4" t="s">
        <v>19</v>
      </c>
      <c r="D3956" s="2"/>
      <c r="E3956" s="2" t="e">
        <f t="shared" si="0"/>
        <v>#VALUE!</v>
      </c>
    </row>
    <row r="3957" spans="1:5" ht="12.75" customHeight="1" x14ac:dyDescent="0.2">
      <c r="A3957" s="1" t="str">
        <f>HYPERLINK("javascript:void(0)","sárkányfű")</f>
        <v>sárkányfű</v>
      </c>
      <c r="B3957" s="1"/>
      <c r="C3957" s="1"/>
      <c r="D3957" s="2"/>
      <c r="E3957" s="2" t="e">
        <f t="shared" si="0"/>
        <v>#VALUE!</v>
      </c>
    </row>
    <row r="3958" spans="1:5" ht="12.75" customHeight="1" x14ac:dyDescent="0.2">
      <c r="A3958" s="3"/>
      <c r="B3958" s="3" t="s">
        <v>0</v>
      </c>
      <c r="C3958" s="3" t="s">
        <v>21</v>
      </c>
      <c r="D3958" s="2"/>
      <c r="E3958" s="2" t="e">
        <f t="shared" si="0"/>
        <v>#VALUE!</v>
      </c>
    </row>
    <row r="3959" spans="1:5" ht="12.75" customHeight="1" x14ac:dyDescent="0.2">
      <c r="A3959" s="3"/>
      <c r="B3959" s="3" t="s">
        <v>2</v>
      </c>
      <c r="C3959" s="3" t="s">
        <v>458</v>
      </c>
      <c r="D3959" s="2"/>
      <c r="E3959" s="2" t="e">
        <f t="shared" si="0"/>
        <v>#VALUE!</v>
      </c>
    </row>
    <row r="3960" spans="1:5" ht="12.75" customHeight="1" x14ac:dyDescent="0.2">
      <c r="A3960" s="3"/>
      <c r="B3960" s="3" t="s">
        <v>9</v>
      </c>
      <c r="C3960" s="3" t="s">
        <v>1417</v>
      </c>
      <c r="D3960" s="2"/>
      <c r="E3960" s="2" t="e">
        <f t="shared" si="0"/>
        <v>#VALUE!</v>
      </c>
    </row>
    <row r="3961" spans="1:5" ht="12.75" customHeight="1" x14ac:dyDescent="0.2">
      <c r="A3961" s="3"/>
      <c r="B3961" s="3" t="s">
        <v>11</v>
      </c>
      <c r="C3961" s="3" t="s">
        <v>1647</v>
      </c>
      <c r="D3961" s="2"/>
      <c r="E3961" s="2" t="e">
        <f t="shared" si="0"/>
        <v>#VALUE!</v>
      </c>
    </row>
    <row r="3962" spans="1:5" ht="12.75" customHeight="1" x14ac:dyDescent="0.2">
      <c r="A3962" s="3"/>
      <c r="B3962" s="3" t="s">
        <v>18</v>
      </c>
      <c r="C3962" s="4" t="s">
        <v>19</v>
      </c>
      <c r="D3962" s="2"/>
      <c r="E3962" s="2" t="e">
        <f t="shared" si="0"/>
        <v>#VALUE!</v>
      </c>
    </row>
    <row r="3963" spans="1:5" ht="12.75" customHeight="1" x14ac:dyDescent="0.2">
      <c r="A3963" s="1" t="str">
        <f>HYPERLINK("javascript:void(0)","sárkánykarom")</f>
        <v>sárkánykarom</v>
      </c>
      <c r="B3963" s="1"/>
      <c r="C3963" s="1"/>
      <c r="D3963" s="2"/>
      <c r="E3963" s="2" t="e">
        <f t="shared" si="0"/>
        <v>#VALUE!</v>
      </c>
    </row>
    <row r="3964" spans="1:5" ht="12.75" customHeight="1" x14ac:dyDescent="0.2">
      <c r="A3964" s="3"/>
      <c r="B3964" s="3" t="s">
        <v>0</v>
      </c>
      <c r="C3964" s="3" t="s">
        <v>21</v>
      </c>
      <c r="D3964" s="2"/>
      <c r="E3964" s="2" t="e">
        <f t="shared" si="0"/>
        <v>#VALUE!</v>
      </c>
    </row>
    <row r="3965" spans="1:5" ht="12.75" customHeight="1" x14ac:dyDescent="0.2">
      <c r="A3965" s="3"/>
      <c r="B3965" s="3" t="s">
        <v>2</v>
      </c>
      <c r="C3965" s="3" t="s">
        <v>458</v>
      </c>
      <c r="D3965" s="2"/>
      <c r="E3965" s="2" t="e">
        <f t="shared" si="0"/>
        <v>#VALUE!</v>
      </c>
    </row>
    <row r="3966" spans="1:5" ht="12.75" customHeight="1" x14ac:dyDescent="0.2">
      <c r="A3966" s="3"/>
      <c r="B3966" s="3" t="s">
        <v>9</v>
      </c>
      <c r="C3966" s="3" t="s">
        <v>42</v>
      </c>
      <c r="D3966" s="2"/>
      <c r="E3966" s="2" t="e">
        <f t="shared" si="0"/>
        <v>#VALUE!</v>
      </c>
    </row>
    <row r="3967" spans="1:5" ht="12.75" customHeight="1" x14ac:dyDescent="0.2">
      <c r="A3967" s="3"/>
      <c r="B3967" s="3" t="s">
        <v>11</v>
      </c>
      <c r="C3967" s="3" t="s">
        <v>1648</v>
      </c>
      <c r="D3967" s="2"/>
      <c r="E3967" s="2" t="e">
        <f t="shared" si="0"/>
        <v>#VALUE!</v>
      </c>
    </row>
    <row r="3968" spans="1:5" ht="12.75" customHeight="1" x14ac:dyDescent="0.2">
      <c r="A3968" s="3"/>
      <c r="B3968" s="3" t="s">
        <v>18</v>
      </c>
      <c r="C3968" s="4" t="s">
        <v>19</v>
      </c>
      <c r="D3968" s="2"/>
      <c r="E3968" s="2" t="e">
        <f t="shared" si="0"/>
        <v>#VALUE!</v>
      </c>
    </row>
    <row r="3969" spans="1:5" ht="12.75" customHeight="1" x14ac:dyDescent="0.2">
      <c r="A3969" s="1" t="str">
        <f>HYPERLINK("javascript:void(0)","sárkánykocsi tervrajza")</f>
        <v>sárkánykocsi tervrajza</v>
      </c>
      <c r="B3969" s="1"/>
      <c r="C3969" s="1"/>
      <c r="D3969" s="2"/>
      <c r="E3969" s="2" t="e">
        <f t="shared" si="0"/>
        <v>#VALUE!</v>
      </c>
    </row>
    <row r="3970" spans="1:5" ht="12.75" customHeight="1" x14ac:dyDescent="0.2">
      <c r="A3970" s="3"/>
      <c r="B3970" s="3" t="s">
        <v>0</v>
      </c>
      <c r="C3970" s="3" t="s">
        <v>21</v>
      </c>
      <c r="D3970" s="2"/>
      <c r="E3970" s="2" t="e">
        <f t="shared" si="0"/>
        <v>#VALUE!</v>
      </c>
    </row>
    <row r="3971" spans="1:5" ht="12.75" customHeight="1" x14ac:dyDescent="0.2">
      <c r="A3971" s="3"/>
      <c r="B3971" s="3" t="s">
        <v>2</v>
      </c>
      <c r="C3971" s="3" t="s">
        <v>387</v>
      </c>
      <c r="D3971" s="2"/>
      <c r="E3971" s="2" t="e">
        <f t="shared" si="0"/>
        <v>#VALUE!</v>
      </c>
    </row>
    <row r="3972" spans="1:5" ht="12.75" customHeight="1" x14ac:dyDescent="0.2">
      <c r="A3972" s="3"/>
      <c r="B3972" s="3" t="s">
        <v>9</v>
      </c>
      <c r="C3972" s="3" t="s">
        <v>27</v>
      </c>
      <c r="D3972" s="2"/>
      <c r="E3972" s="2" t="e">
        <f t="shared" si="0"/>
        <v>#VALUE!</v>
      </c>
    </row>
    <row r="3973" spans="1:5" ht="12.75" customHeight="1" x14ac:dyDescent="0.2">
      <c r="A3973" s="3"/>
      <c r="B3973" s="3" t="s">
        <v>11</v>
      </c>
      <c r="C3973" s="3" t="s">
        <v>23</v>
      </c>
      <c r="D3973" s="2"/>
      <c r="E3973" s="2" t="e">
        <f t="shared" si="0"/>
        <v>#VALUE!</v>
      </c>
    </row>
    <row r="3974" spans="1:5" ht="12.75" customHeight="1" x14ac:dyDescent="0.2">
      <c r="A3974" s="3"/>
      <c r="B3974" s="3" t="s">
        <v>16</v>
      </c>
      <c r="C3974" s="3" t="s">
        <v>388</v>
      </c>
      <c r="D3974" s="2"/>
      <c r="E3974" s="2" t="e">
        <f t="shared" si="0"/>
        <v>#VALUE!</v>
      </c>
    </row>
    <row r="3975" spans="1:5" ht="12.75" customHeight="1" x14ac:dyDescent="0.2">
      <c r="A3975" s="3"/>
      <c r="B3975" s="3" t="s">
        <v>18</v>
      </c>
      <c r="C3975" s="4" t="s">
        <v>19</v>
      </c>
      <c r="D3975" s="2"/>
      <c r="E3975" s="2" t="e">
        <f t="shared" si="0"/>
        <v>#VALUE!</v>
      </c>
    </row>
    <row r="3976" spans="1:5" ht="12.75" customHeight="1" x14ac:dyDescent="0.2">
      <c r="A3976" s="1" t="str">
        <f>HYPERLINK("javascript:void(0)","sárkánypikkely")</f>
        <v>sárkánypikkely</v>
      </c>
      <c r="B3976" s="1"/>
      <c r="C3976" s="1"/>
      <c r="D3976" s="2"/>
      <c r="E3976" s="2" t="e">
        <f t="shared" si="0"/>
        <v>#VALUE!</v>
      </c>
    </row>
    <row r="3977" spans="1:5" ht="12.75" customHeight="1" x14ac:dyDescent="0.2">
      <c r="A3977" s="3"/>
      <c r="B3977" s="3" t="s">
        <v>0</v>
      </c>
      <c r="C3977" s="3" t="s">
        <v>21</v>
      </c>
      <c r="D3977" s="2"/>
      <c r="E3977" s="2" t="e">
        <f t="shared" si="0"/>
        <v>#VALUE!</v>
      </c>
    </row>
    <row r="3978" spans="1:5" ht="12.75" customHeight="1" x14ac:dyDescent="0.2">
      <c r="A3978" s="3"/>
      <c r="B3978" s="3" t="s">
        <v>2</v>
      </c>
      <c r="C3978" s="3" t="s">
        <v>458</v>
      </c>
      <c r="D3978" s="2"/>
      <c r="E3978" s="2" t="e">
        <f t="shared" si="0"/>
        <v>#VALUE!</v>
      </c>
    </row>
    <row r="3979" spans="1:5" ht="12.75" customHeight="1" x14ac:dyDescent="0.2">
      <c r="A3979" s="3"/>
      <c r="B3979" s="3" t="s">
        <v>9</v>
      </c>
      <c r="C3979" s="3" t="s">
        <v>137</v>
      </c>
      <c r="D3979" s="2"/>
      <c r="E3979" s="2" t="e">
        <f t="shared" si="0"/>
        <v>#VALUE!</v>
      </c>
    </row>
    <row r="3980" spans="1:5" ht="12.75" customHeight="1" x14ac:dyDescent="0.2">
      <c r="A3980" s="3"/>
      <c r="B3980" s="3" t="s">
        <v>11</v>
      </c>
      <c r="C3980" s="3" t="s">
        <v>231</v>
      </c>
      <c r="D3980" s="2"/>
      <c r="E3980" s="2" t="e">
        <f t="shared" si="0"/>
        <v>#VALUE!</v>
      </c>
    </row>
    <row r="3981" spans="1:5" ht="12.75" customHeight="1" x14ac:dyDescent="0.2">
      <c r="A3981" s="3"/>
      <c r="B3981" s="3" t="s">
        <v>18</v>
      </c>
      <c r="C3981" s="4" t="s">
        <v>19</v>
      </c>
      <c r="D3981" s="2"/>
      <c r="E3981" s="2" t="e">
        <f t="shared" si="0"/>
        <v>#VALUE!</v>
      </c>
    </row>
    <row r="3982" spans="1:5" ht="12.75" customHeight="1" x14ac:dyDescent="0.2">
      <c r="A3982" s="1" t="str">
        <f>HYPERLINK("javascript:void(0)","sárkányzsák")</f>
        <v>sárkányzsák</v>
      </c>
      <c r="B3982" s="1"/>
      <c r="C3982" s="1"/>
      <c r="D3982" s="2"/>
      <c r="E3982" s="2" t="e">
        <f t="shared" si="0"/>
        <v>#VALUE!</v>
      </c>
    </row>
    <row r="3983" spans="1:5" ht="12.75" customHeight="1" x14ac:dyDescent="0.2">
      <c r="A3983" s="3"/>
      <c r="B3983" s="3" t="s">
        <v>0</v>
      </c>
      <c r="C3983" s="3" t="s">
        <v>21</v>
      </c>
      <c r="D3983" s="2"/>
      <c r="E3983" s="2" t="e">
        <f t="shared" si="0"/>
        <v>#VALUE!</v>
      </c>
    </row>
    <row r="3984" spans="1:5" ht="12.75" customHeight="1" x14ac:dyDescent="0.2">
      <c r="A3984" s="3"/>
      <c r="B3984" s="3" t="s">
        <v>2</v>
      </c>
      <c r="C3984" s="3" t="s">
        <v>458</v>
      </c>
      <c r="D3984" s="2"/>
      <c r="E3984" s="2" t="e">
        <f t="shared" si="0"/>
        <v>#VALUE!</v>
      </c>
    </row>
    <row r="3985" spans="1:5" ht="12.75" customHeight="1" x14ac:dyDescent="0.2">
      <c r="A3985" s="3"/>
      <c r="B3985" s="3" t="s">
        <v>9</v>
      </c>
      <c r="C3985" s="3" t="s">
        <v>42</v>
      </c>
      <c r="D3985" s="2"/>
      <c r="E3985" s="2" t="e">
        <f t="shared" si="0"/>
        <v>#VALUE!</v>
      </c>
    </row>
    <row r="3986" spans="1:5" ht="12.75" customHeight="1" x14ac:dyDescent="0.2">
      <c r="A3986" s="3"/>
      <c r="B3986" s="3" t="s">
        <v>11</v>
      </c>
      <c r="C3986" s="3" t="s">
        <v>1325</v>
      </c>
      <c r="D3986" s="2"/>
      <c r="E3986" s="2" t="e">
        <f t="shared" si="0"/>
        <v>#VALUE!</v>
      </c>
    </row>
    <row r="3987" spans="1:5" ht="12.75" customHeight="1" x14ac:dyDescent="0.2">
      <c r="A3987" s="3"/>
      <c r="B3987" s="3" t="s">
        <v>18</v>
      </c>
      <c r="C3987" s="4" t="s">
        <v>19</v>
      </c>
      <c r="D3987" s="2"/>
      <c r="E3987" s="2" t="e">
        <f t="shared" si="0"/>
        <v>#VALUE!</v>
      </c>
    </row>
    <row r="3988" spans="1:5" ht="12.75" customHeight="1" x14ac:dyDescent="0.2">
      <c r="A3988" s="1" t="str">
        <f>HYPERLINK("javascript:void(0)","sík")</f>
        <v>sík</v>
      </c>
      <c r="B3988" s="1"/>
      <c r="C3988" s="1"/>
      <c r="D3988" s="2"/>
      <c r="E3988" s="2" t="e">
        <f t="shared" si="0"/>
        <v>#VALUE!</v>
      </c>
    </row>
    <row r="3989" spans="1:5" ht="12.75" customHeight="1" x14ac:dyDescent="0.2">
      <c r="A3989" s="3"/>
      <c r="B3989" s="3" t="s">
        <v>0</v>
      </c>
      <c r="C3989" s="3" t="s">
        <v>21</v>
      </c>
      <c r="D3989" s="2"/>
      <c r="E3989" s="2" t="e">
        <f t="shared" si="0"/>
        <v>#VALUE!</v>
      </c>
    </row>
    <row r="3990" spans="1:5" ht="12.75" customHeight="1" x14ac:dyDescent="0.2">
      <c r="A3990" s="3"/>
      <c r="B3990" s="3" t="s">
        <v>2</v>
      </c>
      <c r="C3990" s="3" t="s">
        <v>458</v>
      </c>
      <c r="D3990" s="2"/>
      <c r="E3990" s="2" t="e">
        <f t="shared" si="0"/>
        <v>#VALUE!</v>
      </c>
    </row>
    <row r="3991" spans="1:5" ht="12.75" customHeight="1" x14ac:dyDescent="0.2">
      <c r="A3991" s="3"/>
      <c r="B3991" s="3" t="s">
        <v>9</v>
      </c>
      <c r="C3991" s="3" t="s">
        <v>22</v>
      </c>
      <c r="D3991" s="2"/>
      <c r="E3991" s="2" t="e">
        <f t="shared" si="0"/>
        <v>#VALUE!</v>
      </c>
    </row>
    <row r="3992" spans="1:5" ht="12.75" customHeight="1" x14ac:dyDescent="0.2">
      <c r="A3992" s="3"/>
      <c r="B3992" s="3" t="s">
        <v>11</v>
      </c>
      <c r="C3992" s="3" t="s">
        <v>605</v>
      </c>
      <c r="D3992" s="2"/>
      <c r="E3992" s="2" t="e">
        <f t="shared" si="0"/>
        <v>#VALUE!</v>
      </c>
    </row>
    <row r="3993" spans="1:5" ht="12.75" customHeight="1" x14ac:dyDescent="0.2">
      <c r="A3993" s="3"/>
      <c r="B3993" s="3" t="s">
        <v>18</v>
      </c>
      <c r="C3993" s="4" t="s">
        <v>19</v>
      </c>
      <c r="D3993" s="2"/>
      <c r="E3993" s="2" t="e">
        <f t="shared" si="0"/>
        <v>#VALUE!</v>
      </c>
    </row>
    <row r="3994" spans="1:5" ht="12.75" customHeight="1" x14ac:dyDescent="0.2">
      <c r="A3994" s="1" t="str">
        <f>HYPERLINK("javascript:void(0)","sírrabló hullája")</f>
        <v>sírrabló hullája</v>
      </c>
      <c r="B3994" s="1"/>
      <c r="C3994" s="1"/>
      <c r="D3994" s="2"/>
      <c r="E3994" s="2" t="e">
        <f t="shared" si="0"/>
        <v>#VALUE!</v>
      </c>
    </row>
    <row r="3995" spans="1:5" ht="12.75" customHeight="1" x14ac:dyDescent="0.2">
      <c r="A3995" s="3"/>
      <c r="B3995" s="3" t="s">
        <v>0</v>
      </c>
      <c r="C3995" s="3" t="s">
        <v>21</v>
      </c>
      <c r="D3995" s="2"/>
      <c r="E3995" s="2" t="e">
        <f t="shared" si="0"/>
        <v>#VALUE!</v>
      </c>
    </row>
    <row r="3996" spans="1:5" ht="12.75" customHeight="1" x14ac:dyDescent="0.2">
      <c r="A3996" s="3"/>
      <c r="B3996" s="3" t="s">
        <v>2</v>
      </c>
      <c r="C3996" s="3" t="s">
        <v>387</v>
      </c>
      <c r="D3996" s="2"/>
      <c r="E3996" s="2" t="e">
        <f t="shared" si="0"/>
        <v>#VALUE!</v>
      </c>
    </row>
    <row r="3997" spans="1:5" ht="12.75" customHeight="1" x14ac:dyDescent="0.2">
      <c r="A3997" s="3"/>
      <c r="B3997" s="3" t="s">
        <v>9</v>
      </c>
      <c r="C3997" s="3" t="s">
        <v>224</v>
      </c>
      <c r="D3997" s="2"/>
      <c r="E3997" s="2" t="e">
        <f t="shared" si="0"/>
        <v>#VALUE!</v>
      </c>
    </row>
    <row r="3998" spans="1:5" ht="12.75" customHeight="1" x14ac:dyDescent="0.2">
      <c r="A3998" s="3"/>
      <c r="B3998" s="3" t="s">
        <v>11</v>
      </c>
      <c r="C3998" s="3" t="s">
        <v>23</v>
      </c>
      <c r="D3998" s="2"/>
      <c r="E3998" s="2" t="e">
        <f t="shared" si="0"/>
        <v>#VALUE!</v>
      </c>
    </row>
    <row r="3999" spans="1:5" ht="12.75" customHeight="1" x14ac:dyDescent="0.2">
      <c r="A3999" s="3"/>
      <c r="B3999" s="3" t="s">
        <v>16</v>
      </c>
      <c r="C3999" s="3" t="s">
        <v>388</v>
      </c>
      <c r="D3999" s="2"/>
      <c r="E3999" s="2" t="e">
        <f t="shared" si="0"/>
        <v>#VALUE!</v>
      </c>
    </row>
    <row r="4000" spans="1:5" ht="12.75" customHeight="1" x14ac:dyDescent="0.2">
      <c r="A4000" s="3"/>
      <c r="B4000" s="3" t="s">
        <v>18</v>
      </c>
      <c r="C4000" s="4" t="s">
        <v>19</v>
      </c>
      <c r="D4000" s="2"/>
      <c r="E4000" s="2" t="e">
        <f t="shared" si="0"/>
        <v>#VALUE!</v>
      </c>
    </row>
    <row r="4001" spans="1:5" ht="12.75" customHeight="1" x14ac:dyDescent="0.2">
      <c r="A4001" s="1" t="str">
        <f>HYPERLINK("javascript:void(0)","sötét kereszt")</f>
        <v>sötét kereszt</v>
      </c>
      <c r="B4001" s="1"/>
      <c r="C4001" s="1"/>
      <c r="D4001" s="2"/>
      <c r="E4001" s="2" t="e">
        <f t="shared" si="0"/>
        <v>#VALUE!</v>
      </c>
    </row>
    <row r="4002" spans="1:5" ht="12.75" customHeight="1" x14ac:dyDescent="0.2">
      <c r="A4002" s="3"/>
      <c r="B4002" s="3" t="s">
        <v>0</v>
      </c>
      <c r="C4002" s="3" t="s">
        <v>21</v>
      </c>
      <c r="D4002" s="2"/>
      <c r="E4002" s="2" t="e">
        <f t="shared" si="0"/>
        <v>#VALUE!</v>
      </c>
    </row>
    <row r="4003" spans="1:5" ht="12.75" customHeight="1" x14ac:dyDescent="0.2">
      <c r="A4003" s="3"/>
      <c r="B4003" s="3" t="s">
        <v>2</v>
      </c>
      <c r="C4003" s="3" t="s">
        <v>458</v>
      </c>
      <c r="D4003" s="2"/>
      <c r="E4003" s="2" t="e">
        <f t="shared" si="0"/>
        <v>#VALUE!</v>
      </c>
    </row>
    <row r="4004" spans="1:5" ht="12.75" customHeight="1" x14ac:dyDescent="0.2">
      <c r="A4004" s="3"/>
      <c r="B4004" s="3" t="s">
        <v>9</v>
      </c>
      <c r="C4004" s="3" t="s">
        <v>22</v>
      </c>
      <c r="D4004" s="2"/>
      <c r="E4004" s="2" t="e">
        <f t="shared" si="0"/>
        <v>#VALUE!</v>
      </c>
    </row>
    <row r="4005" spans="1:5" ht="12.75" customHeight="1" x14ac:dyDescent="0.2">
      <c r="A4005" s="3"/>
      <c r="B4005" s="3" t="s">
        <v>11</v>
      </c>
      <c r="C4005" s="3" t="s">
        <v>395</v>
      </c>
      <c r="D4005" s="2"/>
      <c r="E4005" s="2" t="e">
        <f t="shared" si="0"/>
        <v>#VALUE!</v>
      </c>
    </row>
    <row r="4006" spans="1:5" ht="12.75" customHeight="1" x14ac:dyDescent="0.2">
      <c r="A4006" s="3"/>
      <c r="B4006" s="3" t="s">
        <v>18</v>
      </c>
      <c r="C4006" s="4" t="s">
        <v>19</v>
      </c>
      <c r="D4006" s="2"/>
      <c r="E4006" s="2" t="e">
        <f t="shared" si="0"/>
        <v>#VALUE!</v>
      </c>
    </row>
    <row r="4007" spans="1:5" ht="12.75" customHeight="1" x14ac:dyDescent="0.2">
      <c r="A4007" s="1" t="str">
        <f>HYPERLINK("javascript:void(0)","sündörgés")</f>
        <v>sündörgés</v>
      </c>
      <c r="B4007" s="1"/>
      <c r="C4007" s="1"/>
      <c r="D4007" s="2"/>
      <c r="E4007" s="2" t="e">
        <f t="shared" si="0"/>
        <v>#VALUE!</v>
      </c>
    </row>
    <row r="4008" spans="1:5" ht="12.75" customHeight="1" x14ac:dyDescent="0.2">
      <c r="A4008" s="3"/>
      <c r="B4008" s="3" t="s">
        <v>0</v>
      </c>
      <c r="C4008" s="3" t="s">
        <v>21</v>
      </c>
      <c r="D4008" s="2"/>
      <c r="E4008" s="2" t="e">
        <f t="shared" si="0"/>
        <v>#VALUE!</v>
      </c>
    </row>
    <row r="4009" spans="1:5" ht="12.75" customHeight="1" x14ac:dyDescent="0.2">
      <c r="A4009" s="3"/>
      <c r="B4009" s="3" t="s">
        <v>2</v>
      </c>
      <c r="C4009" s="3" t="s">
        <v>458</v>
      </c>
      <c r="D4009" s="2"/>
      <c r="E4009" s="2" t="e">
        <f t="shared" si="0"/>
        <v>#VALUE!</v>
      </c>
    </row>
    <row r="4010" spans="1:5" ht="12.75" customHeight="1" x14ac:dyDescent="0.2">
      <c r="A4010" s="3"/>
      <c r="B4010" s="3" t="s">
        <v>9</v>
      </c>
      <c r="C4010" s="3" t="s">
        <v>79</v>
      </c>
      <c r="D4010" s="2"/>
      <c r="E4010" s="2" t="e">
        <f t="shared" si="0"/>
        <v>#VALUE!</v>
      </c>
    </row>
    <row r="4011" spans="1:5" ht="12.75" customHeight="1" x14ac:dyDescent="0.2">
      <c r="A4011" s="3"/>
      <c r="B4011" s="3" t="s">
        <v>11</v>
      </c>
      <c r="C4011" s="3" t="s">
        <v>1660</v>
      </c>
      <c r="D4011" s="2"/>
      <c r="E4011" s="2" t="e">
        <f t="shared" si="0"/>
        <v>#VALUE!</v>
      </c>
    </row>
    <row r="4012" spans="1:5" ht="12.75" customHeight="1" x14ac:dyDescent="0.2">
      <c r="A4012" s="3"/>
      <c r="B4012" s="3" t="s">
        <v>18</v>
      </c>
      <c r="C4012" s="4" t="s">
        <v>19</v>
      </c>
      <c r="D4012" s="2"/>
      <c r="E4012" s="2" t="e">
        <f t="shared" si="0"/>
        <v>#VALUE!</v>
      </c>
    </row>
    <row r="4013" spans="1:5" ht="12.75" customHeight="1" x14ac:dyDescent="0.2">
      <c r="A4013" s="1" t="str">
        <f>HYPERLINK("javascript:void(0)","süntüske")</f>
        <v>süntüske</v>
      </c>
      <c r="B4013" s="1"/>
      <c r="C4013" s="1"/>
      <c r="D4013" s="2"/>
      <c r="E4013" s="2" t="e">
        <f t="shared" si="0"/>
        <v>#VALUE!</v>
      </c>
    </row>
    <row r="4014" spans="1:5" ht="12.75" customHeight="1" x14ac:dyDescent="0.2">
      <c r="A4014" s="3"/>
      <c r="B4014" s="3" t="s">
        <v>0</v>
      </c>
      <c r="C4014" s="3" t="s">
        <v>21</v>
      </c>
      <c r="D4014" s="2"/>
      <c r="E4014" s="2" t="e">
        <f t="shared" si="0"/>
        <v>#VALUE!</v>
      </c>
    </row>
    <row r="4015" spans="1:5" ht="12.75" customHeight="1" x14ac:dyDescent="0.2">
      <c r="A4015" s="3"/>
      <c r="B4015" s="3" t="s">
        <v>2</v>
      </c>
      <c r="C4015" s="3" t="s">
        <v>458</v>
      </c>
      <c r="D4015" s="2"/>
      <c r="E4015" s="2" t="e">
        <f t="shared" si="0"/>
        <v>#VALUE!</v>
      </c>
    </row>
    <row r="4016" spans="1:5" ht="12.75" customHeight="1" x14ac:dyDescent="0.2">
      <c r="A4016" s="3"/>
      <c r="B4016" s="3" t="s">
        <v>9</v>
      </c>
      <c r="C4016" s="3" t="s">
        <v>53</v>
      </c>
      <c r="D4016" s="2"/>
      <c r="E4016" s="2" t="e">
        <f t="shared" si="0"/>
        <v>#VALUE!</v>
      </c>
    </row>
    <row r="4017" spans="1:5" ht="12.75" customHeight="1" x14ac:dyDescent="0.2">
      <c r="A4017" s="3"/>
      <c r="B4017" s="3" t="s">
        <v>11</v>
      </c>
      <c r="C4017" s="3" t="s">
        <v>986</v>
      </c>
      <c r="D4017" s="2"/>
      <c r="E4017" s="2" t="e">
        <f t="shared" si="0"/>
        <v>#VALUE!</v>
      </c>
    </row>
    <row r="4018" spans="1:5" ht="12.75" customHeight="1" x14ac:dyDescent="0.2">
      <c r="A4018" s="3"/>
      <c r="B4018" s="3" t="s">
        <v>18</v>
      </c>
      <c r="C4018" s="4" t="s">
        <v>19</v>
      </c>
      <c r="D4018" s="2"/>
      <c r="E4018" s="2" t="e">
        <f t="shared" si="0"/>
        <v>#VALUE!</v>
      </c>
    </row>
    <row r="4019" spans="1:5" ht="12.75" customHeight="1" x14ac:dyDescent="0.2">
      <c r="A4019" s="1" t="str">
        <f>HYPERLINK("javascript:void(0)","taraj")</f>
        <v>taraj</v>
      </c>
      <c r="B4019" s="1"/>
      <c r="C4019" s="1"/>
      <c r="D4019" s="2"/>
      <c r="E4019" s="2" t="e">
        <f t="shared" si="0"/>
        <v>#VALUE!</v>
      </c>
    </row>
    <row r="4020" spans="1:5" ht="12.75" customHeight="1" x14ac:dyDescent="0.2">
      <c r="A4020" s="3"/>
      <c r="B4020" s="3" t="s">
        <v>0</v>
      </c>
      <c r="C4020" s="3" t="s">
        <v>21</v>
      </c>
      <c r="D4020" s="2"/>
      <c r="E4020" s="2" t="e">
        <f t="shared" si="0"/>
        <v>#VALUE!</v>
      </c>
    </row>
    <row r="4021" spans="1:5" ht="12.75" customHeight="1" x14ac:dyDescent="0.2">
      <c r="A4021" s="3"/>
      <c r="B4021" s="3" t="s">
        <v>2</v>
      </c>
      <c r="C4021" s="3" t="s">
        <v>458</v>
      </c>
      <c r="D4021" s="2"/>
      <c r="E4021" s="2" t="e">
        <f t="shared" si="0"/>
        <v>#VALUE!</v>
      </c>
    </row>
    <row r="4022" spans="1:5" ht="12.75" customHeight="1" x14ac:dyDescent="0.2">
      <c r="A4022" s="3"/>
      <c r="B4022" s="3" t="s">
        <v>9</v>
      </c>
      <c r="C4022" s="3" t="s">
        <v>22</v>
      </c>
      <c r="D4022" s="2"/>
      <c r="E4022" s="2" t="e">
        <f t="shared" si="0"/>
        <v>#VALUE!</v>
      </c>
    </row>
    <row r="4023" spans="1:5" ht="12.75" customHeight="1" x14ac:dyDescent="0.2">
      <c r="A4023" s="3"/>
      <c r="B4023" s="3" t="s">
        <v>11</v>
      </c>
      <c r="C4023" s="3" t="s">
        <v>721</v>
      </c>
      <c r="D4023" s="2"/>
      <c r="E4023" s="2" t="e">
        <f t="shared" si="0"/>
        <v>#VALUE!</v>
      </c>
    </row>
    <row r="4024" spans="1:5" ht="12.75" customHeight="1" x14ac:dyDescent="0.2">
      <c r="A4024" s="3"/>
      <c r="B4024" s="3" t="s">
        <v>18</v>
      </c>
      <c r="C4024" s="4" t="s">
        <v>19</v>
      </c>
      <c r="D4024" s="2"/>
      <c r="E4024" s="2" t="e">
        <f t="shared" si="0"/>
        <v>#VALUE!</v>
      </c>
    </row>
    <row r="4025" spans="1:5" ht="12.75" customHeight="1" x14ac:dyDescent="0.2">
      <c r="A4025" s="1" t="str">
        <f>HYPERLINK("javascript:void(0)","tarsus")</f>
        <v>tarsus</v>
      </c>
      <c r="B4025" s="1"/>
      <c r="C4025" s="1"/>
      <c r="D4025" s="2"/>
      <c r="E4025" s="2" t="e">
        <f t="shared" si="0"/>
        <v>#VALUE!</v>
      </c>
    </row>
    <row r="4026" spans="1:5" ht="12.75" customHeight="1" x14ac:dyDescent="0.2">
      <c r="A4026" s="3"/>
      <c r="B4026" s="3" t="s">
        <v>0</v>
      </c>
      <c r="C4026" s="3" t="s">
        <v>21</v>
      </c>
      <c r="D4026" s="2"/>
      <c r="E4026" s="2" t="e">
        <f t="shared" si="0"/>
        <v>#VALUE!</v>
      </c>
    </row>
    <row r="4027" spans="1:5" ht="12.75" customHeight="1" x14ac:dyDescent="0.2">
      <c r="A4027" s="3"/>
      <c r="B4027" s="3" t="s">
        <v>2</v>
      </c>
      <c r="C4027" s="3" t="s">
        <v>458</v>
      </c>
      <c r="D4027" s="2"/>
      <c r="E4027" s="2" t="e">
        <f t="shared" si="0"/>
        <v>#VALUE!</v>
      </c>
    </row>
    <row r="4028" spans="1:5" ht="12.75" customHeight="1" x14ac:dyDescent="0.2">
      <c r="A4028" s="3"/>
      <c r="B4028" s="3" t="s">
        <v>9</v>
      </c>
      <c r="C4028" s="3" t="s">
        <v>1666</v>
      </c>
      <c r="D4028" s="2"/>
      <c r="E4028" s="2" t="e">
        <f t="shared" si="0"/>
        <v>#VALUE!</v>
      </c>
    </row>
    <row r="4029" spans="1:5" ht="12.75" customHeight="1" x14ac:dyDescent="0.2">
      <c r="A4029" s="3"/>
      <c r="B4029" s="3" t="s">
        <v>11</v>
      </c>
      <c r="C4029" s="3" t="s">
        <v>1667</v>
      </c>
      <c r="D4029" s="2"/>
      <c r="E4029" s="2" t="e">
        <f t="shared" si="0"/>
        <v>#VALUE!</v>
      </c>
    </row>
    <row r="4030" spans="1:5" ht="12.75" customHeight="1" x14ac:dyDescent="0.2">
      <c r="A4030" s="3"/>
      <c r="B4030" s="3" t="s">
        <v>18</v>
      </c>
      <c r="C4030" s="4" t="s">
        <v>19</v>
      </c>
      <c r="D4030" s="2"/>
      <c r="E4030" s="2" t="e">
        <f t="shared" si="0"/>
        <v>#VALUE!</v>
      </c>
    </row>
    <row r="4031" spans="1:5" ht="12.75" customHeight="1" x14ac:dyDescent="0.2">
      <c r="A4031" s="1" t="str">
        <f>HYPERLINK("javascript:void(0)","tartás")</f>
        <v>tartás</v>
      </c>
      <c r="B4031" s="1"/>
      <c r="C4031" s="1"/>
      <c r="D4031" s="2"/>
      <c r="E4031" s="2" t="e">
        <f t="shared" si="0"/>
        <v>#VALUE!</v>
      </c>
    </row>
    <row r="4032" spans="1:5" ht="12.75" customHeight="1" x14ac:dyDescent="0.2">
      <c r="A4032" s="3"/>
      <c r="B4032" s="3" t="s">
        <v>0</v>
      </c>
      <c r="C4032" s="3" t="s">
        <v>21</v>
      </c>
      <c r="D4032" s="2"/>
      <c r="E4032" s="2" t="e">
        <f t="shared" si="0"/>
        <v>#VALUE!</v>
      </c>
    </row>
    <row r="4033" spans="1:5" ht="12.75" customHeight="1" x14ac:dyDescent="0.2">
      <c r="A4033" s="3"/>
      <c r="B4033" s="3" t="s">
        <v>2</v>
      </c>
      <c r="C4033" s="3" t="s">
        <v>458</v>
      </c>
      <c r="D4033" s="2"/>
      <c r="E4033" s="2" t="e">
        <f t="shared" si="0"/>
        <v>#VALUE!</v>
      </c>
    </row>
    <row r="4034" spans="1:5" ht="12.75" customHeight="1" x14ac:dyDescent="0.2">
      <c r="A4034" s="3"/>
      <c r="B4034" s="3" t="s">
        <v>9</v>
      </c>
      <c r="C4034" s="3" t="s">
        <v>22</v>
      </c>
      <c r="D4034" s="2"/>
      <c r="E4034" s="2" t="e">
        <f t="shared" si="0"/>
        <v>#VALUE!</v>
      </c>
    </row>
    <row r="4035" spans="1:5" ht="12.75" customHeight="1" x14ac:dyDescent="0.2">
      <c r="A4035" s="3"/>
      <c r="B4035" s="3" t="s">
        <v>11</v>
      </c>
      <c r="C4035" s="3" t="s">
        <v>519</v>
      </c>
      <c r="D4035" s="2"/>
      <c r="E4035" s="2" t="e">
        <f t="shared" si="0"/>
        <v>#VALUE!</v>
      </c>
    </row>
    <row r="4036" spans="1:5" ht="12.75" customHeight="1" x14ac:dyDescent="0.2">
      <c r="A4036" s="3"/>
      <c r="B4036" s="3" t="s">
        <v>18</v>
      </c>
      <c r="C4036" s="4" t="s">
        <v>19</v>
      </c>
      <c r="D4036" s="2"/>
      <c r="E4036" s="2" t="e">
        <f t="shared" si="0"/>
        <v>#VALUE!</v>
      </c>
    </row>
    <row r="4037" spans="1:5" ht="12.75" customHeight="1" x14ac:dyDescent="0.2">
      <c r="A4037" s="1" t="str">
        <f>HYPERLINK("javascript:void(0)","tejbeaprítás")</f>
        <v>tejbeaprítás</v>
      </c>
      <c r="B4037" s="1"/>
      <c r="C4037" s="1"/>
      <c r="D4037" s="2"/>
      <c r="E4037" s="2" t="e">
        <f t="shared" si="0"/>
        <v>#VALUE!</v>
      </c>
    </row>
    <row r="4038" spans="1:5" ht="12.75" customHeight="1" x14ac:dyDescent="0.2">
      <c r="A4038" s="3"/>
      <c r="B4038" s="3" t="s">
        <v>0</v>
      </c>
      <c r="C4038" s="3" t="s">
        <v>21</v>
      </c>
      <c r="D4038" s="2"/>
      <c r="E4038" s="2" t="e">
        <f t="shared" si="0"/>
        <v>#VALUE!</v>
      </c>
    </row>
    <row r="4039" spans="1:5" ht="12.75" customHeight="1" x14ac:dyDescent="0.2">
      <c r="A4039" s="3"/>
      <c r="B4039" s="3" t="s">
        <v>2</v>
      </c>
      <c r="C4039" s="3" t="s">
        <v>458</v>
      </c>
      <c r="D4039" s="2"/>
      <c r="E4039" s="2" t="e">
        <f t="shared" si="0"/>
        <v>#VALUE!</v>
      </c>
    </row>
    <row r="4040" spans="1:5" ht="12.75" customHeight="1" x14ac:dyDescent="0.2">
      <c r="A4040" s="3"/>
      <c r="B4040" s="3" t="s">
        <v>9</v>
      </c>
      <c r="C4040" s="3" t="s">
        <v>22</v>
      </c>
      <c r="D4040" s="2"/>
      <c r="E4040" s="2" t="e">
        <f t="shared" si="0"/>
        <v>#VALUE!</v>
      </c>
    </row>
    <row r="4041" spans="1:5" ht="12.75" customHeight="1" x14ac:dyDescent="0.2">
      <c r="A4041" s="3"/>
      <c r="B4041" s="3" t="s">
        <v>11</v>
      </c>
      <c r="C4041" s="3" t="s">
        <v>227</v>
      </c>
      <c r="D4041" s="2"/>
      <c r="E4041" s="2" t="e">
        <f t="shared" si="0"/>
        <v>#VALUE!</v>
      </c>
    </row>
    <row r="4042" spans="1:5" ht="12.75" customHeight="1" x14ac:dyDescent="0.2">
      <c r="A4042" s="3"/>
      <c r="B4042" s="3" t="s">
        <v>18</v>
      </c>
      <c r="C4042" s="4" t="s">
        <v>19</v>
      </c>
      <c r="D4042" s="2"/>
      <c r="E4042" s="2" t="e">
        <f t="shared" si="0"/>
        <v>#VALUE!</v>
      </c>
    </row>
    <row r="4043" spans="1:5" ht="12.75" customHeight="1" x14ac:dyDescent="0.2">
      <c r="A4043" s="1" t="str">
        <f>HYPERLINK("javascript:void(0)","tekervény")</f>
        <v>tekervény</v>
      </c>
      <c r="B4043" s="1"/>
      <c r="C4043" s="1"/>
      <c r="D4043" s="2"/>
      <c r="E4043" s="2" t="e">
        <f t="shared" si="0"/>
        <v>#VALUE!</v>
      </c>
    </row>
    <row r="4044" spans="1:5" ht="12.75" customHeight="1" x14ac:dyDescent="0.2">
      <c r="A4044" s="3"/>
      <c r="B4044" s="3" t="s">
        <v>0</v>
      </c>
      <c r="C4044" s="3" t="s">
        <v>21</v>
      </c>
      <c r="D4044" s="2"/>
      <c r="E4044" s="2" t="e">
        <f t="shared" si="0"/>
        <v>#VALUE!</v>
      </c>
    </row>
    <row r="4045" spans="1:5" ht="12.75" customHeight="1" x14ac:dyDescent="0.2">
      <c r="A4045" s="3"/>
      <c r="B4045" s="3" t="s">
        <v>2</v>
      </c>
      <c r="C4045" s="3" t="s">
        <v>458</v>
      </c>
      <c r="D4045" s="2"/>
      <c r="E4045" s="2" t="e">
        <f t="shared" si="0"/>
        <v>#VALUE!</v>
      </c>
    </row>
    <row r="4046" spans="1:5" ht="12.75" customHeight="1" x14ac:dyDescent="0.2">
      <c r="A4046" s="3"/>
      <c r="B4046" s="3" t="s">
        <v>9</v>
      </c>
      <c r="C4046" s="3" t="s">
        <v>137</v>
      </c>
      <c r="D4046" s="2"/>
      <c r="E4046" s="2" t="e">
        <f t="shared" si="0"/>
        <v>#VALUE!</v>
      </c>
    </row>
    <row r="4047" spans="1:5" ht="12.75" customHeight="1" x14ac:dyDescent="0.2">
      <c r="A4047" s="3"/>
      <c r="B4047" s="3" t="s">
        <v>11</v>
      </c>
      <c r="C4047" s="3" t="s">
        <v>520</v>
      </c>
      <c r="D4047" s="2"/>
      <c r="E4047" s="2" t="e">
        <f t="shared" si="0"/>
        <v>#VALUE!</v>
      </c>
    </row>
    <row r="4048" spans="1:5" ht="12.75" customHeight="1" x14ac:dyDescent="0.2">
      <c r="A4048" s="3"/>
      <c r="B4048" s="3" t="s">
        <v>18</v>
      </c>
      <c r="C4048" s="4" t="s">
        <v>19</v>
      </c>
      <c r="D4048" s="2"/>
      <c r="E4048" s="2" t="e">
        <f t="shared" si="0"/>
        <v>#VALUE!</v>
      </c>
    </row>
    <row r="4049" spans="1:5" ht="12.75" customHeight="1" x14ac:dyDescent="0.2">
      <c r="A4049" s="1" t="str">
        <f>HYPERLINK("javascript:void(0)","teketória")</f>
        <v>teketória</v>
      </c>
      <c r="B4049" s="1"/>
      <c r="C4049" s="1"/>
      <c r="D4049" s="2"/>
      <c r="E4049" s="2" t="e">
        <f t="shared" si="0"/>
        <v>#VALUE!</v>
      </c>
    </row>
    <row r="4050" spans="1:5" ht="12.75" customHeight="1" x14ac:dyDescent="0.2">
      <c r="A4050" s="3"/>
      <c r="B4050" s="3" t="s">
        <v>0</v>
      </c>
      <c r="C4050" s="3" t="s">
        <v>21</v>
      </c>
      <c r="D4050" s="2"/>
      <c r="E4050" s="2" t="e">
        <f t="shared" si="0"/>
        <v>#VALUE!</v>
      </c>
    </row>
    <row r="4051" spans="1:5" ht="12.75" customHeight="1" x14ac:dyDescent="0.2">
      <c r="A4051" s="3"/>
      <c r="B4051" s="3" t="s">
        <v>2</v>
      </c>
      <c r="C4051" s="3" t="s">
        <v>458</v>
      </c>
      <c r="D4051" s="2"/>
      <c r="E4051" s="2" t="e">
        <f t="shared" si="0"/>
        <v>#VALUE!</v>
      </c>
    </row>
    <row r="4052" spans="1:5" ht="12.75" customHeight="1" x14ac:dyDescent="0.2">
      <c r="A4052" s="3"/>
      <c r="B4052" s="3" t="s">
        <v>9</v>
      </c>
      <c r="C4052" s="3" t="s">
        <v>22</v>
      </c>
      <c r="D4052" s="2"/>
      <c r="E4052" s="2" t="e">
        <f t="shared" si="0"/>
        <v>#VALUE!</v>
      </c>
    </row>
    <row r="4053" spans="1:5" ht="12.75" customHeight="1" x14ac:dyDescent="0.2">
      <c r="A4053" s="3"/>
      <c r="B4053" s="3" t="s">
        <v>11</v>
      </c>
      <c r="C4053" s="3" t="s">
        <v>162</v>
      </c>
      <c r="D4053" s="2"/>
      <c r="E4053" s="2" t="e">
        <f t="shared" si="0"/>
        <v>#VALUE!</v>
      </c>
    </row>
    <row r="4054" spans="1:5" ht="12.75" customHeight="1" x14ac:dyDescent="0.2">
      <c r="A4054" s="3"/>
      <c r="B4054" s="3" t="s">
        <v>18</v>
      </c>
      <c r="C4054" s="4" t="s">
        <v>19</v>
      </c>
      <c r="D4054" s="2"/>
      <c r="E4054" s="2" t="e">
        <f t="shared" si="0"/>
        <v>#VALUE!</v>
      </c>
    </row>
    <row r="4055" spans="1:5" ht="12.75" customHeight="1" x14ac:dyDescent="0.2">
      <c r="A4055" s="1" t="str">
        <f>HYPERLINK("javascript:void(0)","teknőspáncél")</f>
        <v>teknőspáncél</v>
      </c>
      <c r="B4055" s="1"/>
      <c r="C4055" s="1"/>
      <c r="D4055" s="2"/>
      <c r="E4055" s="2" t="e">
        <f t="shared" si="0"/>
        <v>#VALUE!</v>
      </c>
    </row>
    <row r="4056" spans="1:5" ht="12.75" customHeight="1" x14ac:dyDescent="0.2">
      <c r="A4056" s="3"/>
      <c r="B4056" s="3" t="s">
        <v>0</v>
      </c>
      <c r="C4056" s="3" t="s">
        <v>21</v>
      </c>
      <c r="D4056" s="2"/>
      <c r="E4056" s="2" t="e">
        <f t="shared" si="0"/>
        <v>#VALUE!</v>
      </c>
    </row>
    <row r="4057" spans="1:5" ht="12.75" customHeight="1" x14ac:dyDescent="0.2">
      <c r="A4057" s="3"/>
      <c r="B4057" s="3" t="s">
        <v>2</v>
      </c>
      <c r="C4057" s="3" t="s">
        <v>387</v>
      </c>
      <c r="D4057" s="2"/>
      <c r="E4057" s="2" t="e">
        <f t="shared" si="0"/>
        <v>#VALUE!</v>
      </c>
    </row>
    <row r="4058" spans="1:5" ht="12.75" customHeight="1" x14ac:dyDescent="0.2">
      <c r="A4058" s="3"/>
      <c r="B4058" s="3" t="s">
        <v>9</v>
      </c>
      <c r="C4058" s="3" t="s">
        <v>129</v>
      </c>
      <c r="D4058" s="2"/>
      <c r="E4058" s="2" t="e">
        <f t="shared" si="0"/>
        <v>#VALUE!</v>
      </c>
    </row>
    <row r="4059" spans="1:5" ht="12.75" customHeight="1" x14ac:dyDescent="0.2">
      <c r="A4059" s="3"/>
      <c r="B4059" s="3" t="s">
        <v>11</v>
      </c>
      <c r="C4059" s="3" t="s">
        <v>125</v>
      </c>
      <c r="D4059" s="2"/>
      <c r="E4059" s="2" t="e">
        <f t="shared" si="0"/>
        <v>#VALUE!</v>
      </c>
    </row>
    <row r="4060" spans="1:5" ht="12.75" customHeight="1" x14ac:dyDescent="0.2">
      <c r="A4060" s="3"/>
      <c r="B4060" s="3" t="s">
        <v>18</v>
      </c>
      <c r="C4060" s="4" t="s">
        <v>19</v>
      </c>
      <c r="D4060" s="2"/>
      <c r="E4060" s="2" t="e">
        <f t="shared" si="0"/>
        <v>#VALUE!</v>
      </c>
    </row>
    <row r="4061" spans="1:5" ht="12.75" customHeight="1" x14ac:dyDescent="0.2">
      <c r="A4061" s="1" t="str">
        <f>HYPERLINK("javascript:void(0)","teleportige")</f>
        <v>teleportige</v>
      </c>
      <c r="B4061" s="1"/>
      <c r="C4061" s="1"/>
      <c r="D4061" s="2"/>
      <c r="E4061" s="2" t="e">
        <f t="shared" si="0"/>
        <v>#VALUE!</v>
      </c>
    </row>
    <row r="4062" spans="1:5" ht="12.75" customHeight="1" x14ac:dyDescent="0.2">
      <c r="A4062" s="3"/>
      <c r="B4062" s="3" t="s">
        <v>0</v>
      </c>
      <c r="C4062" s="3" t="s">
        <v>21</v>
      </c>
      <c r="D4062" s="2"/>
      <c r="E4062" s="2" t="e">
        <f t="shared" si="0"/>
        <v>#VALUE!</v>
      </c>
    </row>
    <row r="4063" spans="1:5" ht="12.75" customHeight="1" x14ac:dyDescent="0.2">
      <c r="A4063" s="3"/>
      <c r="B4063" s="3" t="s">
        <v>2</v>
      </c>
      <c r="C4063" s="3" t="s">
        <v>458</v>
      </c>
      <c r="D4063" s="2"/>
      <c r="E4063" s="2" t="e">
        <f t="shared" si="0"/>
        <v>#VALUE!</v>
      </c>
    </row>
    <row r="4064" spans="1:5" ht="12.75" customHeight="1" x14ac:dyDescent="0.2">
      <c r="A4064" s="3"/>
      <c r="B4064" s="3" t="s">
        <v>9</v>
      </c>
      <c r="C4064" s="3" t="s">
        <v>626</v>
      </c>
      <c r="D4064" s="2"/>
      <c r="E4064" s="2" t="e">
        <f t="shared" si="0"/>
        <v>#VALUE!</v>
      </c>
    </row>
    <row r="4065" spans="1:5" ht="12.75" customHeight="1" x14ac:dyDescent="0.2">
      <c r="A4065" s="3"/>
      <c r="B4065" s="3" t="s">
        <v>11</v>
      </c>
      <c r="C4065" s="3" t="s">
        <v>505</v>
      </c>
      <c r="D4065" s="2"/>
      <c r="E4065" s="2" t="e">
        <f t="shared" si="0"/>
        <v>#VALUE!</v>
      </c>
    </row>
    <row r="4066" spans="1:5" ht="12.75" customHeight="1" x14ac:dyDescent="0.2">
      <c r="A4066" s="3"/>
      <c r="B4066" s="3" t="s">
        <v>18</v>
      </c>
      <c r="C4066" s="4" t="s">
        <v>19</v>
      </c>
      <c r="D4066" s="2"/>
      <c r="E4066" s="2" t="e">
        <f t="shared" si="0"/>
        <v>#VALUE!</v>
      </c>
    </row>
    <row r="4067" spans="1:5" ht="12.75" customHeight="1" x14ac:dyDescent="0.2">
      <c r="A4067" s="1" t="str">
        <f>HYPERLINK("javascript:void(0)","tigrisirha")</f>
        <v>tigrisirha</v>
      </c>
      <c r="B4067" s="1"/>
      <c r="C4067" s="1"/>
      <c r="D4067" s="2"/>
      <c r="E4067" s="2" t="e">
        <f t="shared" si="0"/>
        <v>#VALUE!</v>
      </c>
    </row>
    <row r="4068" spans="1:5" ht="12.75" customHeight="1" x14ac:dyDescent="0.2">
      <c r="A4068" s="3"/>
      <c r="B4068" s="3" t="s">
        <v>0</v>
      </c>
      <c r="C4068" s="3" t="s">
        <v>21</v>
      </c>
      <c r="D4068" s="2"/>
      <c r="E4068" s="2" t="e">
        <f t="shared" si="0"/>
        <v>#VALUE!</v>
      </c>
    </row>
    <row r="4069" spans="1:5" ht="12.75" customHeight="1" x14ac:dyDescent="0.2">
      <c r="A4069" s="3"/>
      <c r="B4069" s="3" t="s">
        <v>2</v>
      </c>
      <c r="C4069" s="3" t="s">
        <v>458</v>
      </c>
      <c r="D4069" s="2"/>
      <c r="E4069" s="2" t="e">
        <f t="shared" si="0"/>
        <v>#VALUE!</v>
      </c>
    </row>
    <row r="4070" spans="1:5" ht="12.75" customHeight="1" x14ac:dyDescent="0.2">
      <c r="A4070" s="3"/>
      <c r="B4070" s="3" t="s">
        <v>9</v>
      </c>
      <c r="C4070" s="3" t="s">
        <v>75</v>
      </c>
      <c r="D4070" s="2"/>
      <c r="E4070" s="2" t="e">
        <f t="shared" si="0"/>
        <v>#VALUE!</v>
      </c>
    </row>
    <row r="4071" spans="1:5" ht="12.75" customHeight="1" x14ac:dyDescent="0.2">
      <c r="A4071" s="3"/>
      <c r="B4071" s="3" t="s">
        <v>11</v>
      </c>
      <c r="C4071" s="3" t="s">
        <v>718</v>
      </c>
      <c r="D4071" s="2"/>
      <c r="E4071" s="2" t="e">
        <f t="shared" si="0"/>
        <v>#VALUE!</v>
      </c>
    </row>
    <row r="4072" spans="1:5" ht="12.75" customHeight="1" x14ac:dyDescent="0.2">
      <c r="A4072" s="3"/>
      <c r="B4072" s="3" t="s">
        <v>18</v>
      </c>
      <c r="C4072" s="4" t="s">
        <v>19</v>
      </c>
      <c r="D4072" s="2"/>
      <c r="E4072" s="2" t="e">
        <f t="shared" si="0"/>
        <v>#VALUE!</v>
      </c>
    </row>
    <row r="4073" spans="1:5" ht="12.75" customHeight="1" x14ac:dyDescent="0.2">
      <c r="A4073" s="1" t="str">
        <f>HYPERLINK("javascript:void(0)","tincs")</f>
        <v>tincs</v>
      </c>
      <c r="B4073" s="1"/>
      <c r="C4073" s="1"/>
      <c r="D4073" s="2"/>
      <c r="E4073" s="2" t="e">
        <f t="shared" si="0"/>
        <v>#VALUE!</v>
      </c>
    </row>
    <row r="4074" spans="1:5" ht="12.75" customHeight="1" x14ac:dyDescent="0.2">
      <c r="A4074" s="3"/>
      <c r="B4074" s="3" t="s">
        <v>0</v>
      </c>
      <c r="C4074" s="3" t="s">
        <v>21</v>
      </c>
      <c r="D4074" s="2"/>
      <c r="E4074" s="2" t="e">
        <f t="shared" si="0"/>
        <v>#VALUE!</v>
      </c>
    </row>
    <row r="4075" spans="1:5" ht="12.75" customHeight="1" x14ac:dyDescent="0.2">
      <c r="A4075" s="3"/>
      <c r="B4075" s="3" t="s">
        <v>2</v>
      </c>
      <c r="C4075" s="3" t="s">
        <v>458</v>
      </c>
      <c r="D4075" s="2"/>
      <c r="E4075" s="2" t="e">
        <f t="shared" si="0"/>
        <v>#VALUE!</v>
      </c>
    </row>
    <row r="4076" spans="1:5" ht="12.75" customHeight="1" x14ac:dyDescent="0.2">
      <c r="A4076" s="3"/>
      <c r="B4076" s="3" t="s">
        <v>9</v>
      </c>
      <c r="C4076" s="3" t="s">
        <v>53</v>
      </c>
      <c r="D4076" s="2"/>
      <c r="E4076" s="2" t="e">
        <f t="shared" si="0"/>
        <v>#VALUE!</v>
      </c>
    </row>
    <row r="4077" spans="1:5" ht="12.75" customHeight="1" x14ac:dyDescent="0.2">
      <c r="A4077" s="3"/>
      <c r="B4077" s="3" t="s">
        <v>11</v>
      </c>
      <c r="C4077" s="3" t="s">
        <v>227</v>
      </c>
      <c r="D4077" s="2"/>
      <c r="E4077" s="2" t="e">
        <f t="shared" si="0"/>
        <v>#VALUE!</v>
      </c>
    </row>
    <row r="4078" spans="1:5" ht="12.75" customHeight="1" x14ac:dyDescent="0.2">
      <c r="A4078" s="3"/>
      <c r="B4078" s="3" t="s">
        <v>18</v>
      </c>
      <c r="C4078" s="4" t="s">
        <v>19</v>
      </c>
      <c r="D4078" s="2"/>
      <c r="E4078" s="2" t="e">
        <f t="shared" si="0"/>
        <v>#VALUE!</v>
      </c>
    </row>
    <row r="4079" spans="1:5" ht="12.75" customHeight="1" x14ac:dyDescent="0.2">
      <c r="A4079" s="1" t="str">
        <f>HYPERLINK("javascript:void(0)","titkos jelszó")</f>
        <v>titkos jelszó</v>
      </c>
      <c r="B4079" s="1"/>
      <c r="C4079" s="1"/>
      <c r="D4079" s="2"/>
      <c r="E4079" s="2" t="e">
        <f t="shared" si="0"/>
        <v>#VALUE!</v>
      </c>
    </row>
    <row r="4080" spans="1:5" ht="12.75" customHeight="1" x14ac:dyDescent="0.2">
      <c r="A4080" s="3"/>
      <c r="B4080" s="3" t="s">
        <v>0</v>
      </c>
      <c r="C4080" s="3" t="s">
        <v>21</v>
      </c>
      <c r="D4080" s="2"/>
      <c r="E4080" s="2" t="e">
        <f t="shared" si="0"/>
        <v>#VALUE!</v>
      </c>
    </row>
    <row r="4081" spans="1:5" ht="12.75" customHeight="1" x14ac:dyDescent="0.2">
      <c r="A4081" s="3"/>
      <c r="B4081" s="3" t="s">
        <v>2</v>
      </c>
      <c r="C4081" s="3" t="s">
        <v>458</v>
      </c>
      <c r="D4081" s="2"/>
      <c r="E4081" s="2" t="e">
        <f t="shared" si="0"/>
        <v>#VALUE!</v>
      </c>
    </row>
    <row r="4082" spans="1:5" ht="12.75" customHeight="1" x14ac:dyDescent="0.2">
      <c r="A4082" s="3"/>
      <c r="B4082" s="3" t="s">
        <v>9</v>
      </c>
      <c r="C4082" s="3" t="s">
        <v>626</v>
      </c>
      <c r="D4082" s="2"/>
      <c r="E4082" s="2" t="e">
        <f t="shared" si="0"/>
        <v>#VALUE!</v>
      </c>
    </row>
    <row r="4083" spans="1:5" ht="12.75" customHeight="1" x14ac:dyDescent="0.2">
      <c r="A4083" s="3"/>
      <c r="B4083" s="3" t="s">
        <v>11</v>
      </c>
      <c r="C4083" s="3" t="s">
        <v>108</v>
      </c>
      <c r="D4083" s="2"/>
      <c r="E4083" s="2" t="e">
        <f t="shared" si="0"/>
        <v>#VALUE!</v>
      </c>
    </row>
    <row r="4084" spans="1:5" ht="12.75" customHeight="1" x14ac:dyDescent="0.2">
      <c r="A4084" s="3"/>
      <c r="B4084" s="3" t="s">
        <v>18</v>
      </c>
      <c r="C4084" s="4" t="s">
        <v>19</v>
      </c>
      <c r="D4084" s="2"/>
      <c r="E4084" s="2" t="e">
        <f t="shared" si="0"/>
        <v>#VALUE!</v>
      </c>
    </row>
    <row r="4085" spans="1:5" ht="12.75" customHeight="1" x14ac:dyDescent="0.2">
      <c r="A4085" s="1" t="str">
        <f>HYPERLINK("javascript:void(0)","tollcsomó")</f>
        <v>tollcsomó</v>
      </c>
      <c r="B4085" s="1"/>
      <c r="C4085" s="1"/>
      <c r="D4085" s="2"/>
      <c r="E4085" s="2" t="e">
        <f t="shared" si="0"/>
        <v>#VALUE!</v>
      </c>
    </row>
    <row r="4086" spans="1:5" ht="12.75" customHeight="1" x14ac:dyDescent="0.2">
      <c r="A4086" s="3"/>
      <c r="B4086" s="3" t="s">
        <v>0</v>
      </c>
      <c r="C4086" s="3" t="s">
        <v>21</v>
      </c>
      <c r="D4086" s="2"/>
      <c r="E4086" s="2" t="e">
        <f t="shared" si="0"/>
        <v>#VALUE!</v>
      </c>
    </row>
    <row r="4087" spans="1:5" ht="12.75" customHeight="1" x14ac:dyDescent="0.2">
      <c r="A4087" s="3"/>
      <c r="B4087" s="3" t="s">
        <v>2</v>
      </c>
      <c r="C4087" s="3" t="s">
        <v>458</v>
      </c>
      <c r="D4087" s="2"/>
      <c r="E4087" s="2" t="e">
        <f t="shared" si="0"/>
        <v>#VALUE!</v>
      </c>
    </row>
    <row r="4088" spans="1:5" ht="12.75" customHeight="1" x14ac:dyDescent="0.2">
      <c r="A4088" s="3"/>
      <c r="B4088" s="3" t="s">
        <v>9</v>
      </c>
      <c r="C4088" s="3" t="s">
        <v>1682</v>
      </c>
      <c r="D4088" s="2"/>
      <c r="E4088" s="2" t="e">
        <f t="shared" si="0"/>
        <v>#VALUE!</v>
      </c>
    </row>
    <row r="4089" spans="1:5" ht="12.75" customHeight="1" x14ac:dyDescent="0.2">
      <c r="A4089" s="3"/>
      <c r="B4089" s="3" t="s">
        <v>11</v>
      </c>
      <c r="C4089" s="3" t="s">
        <v>89</v>
      </c>
      <c r="D4089" s="2"/>
      <c r="E4089" s="2" t="e">
        <f t="shared" si="0"/>
        <v>#VALUE!</v>
      </c>
    </row>
    <row r="4090" spans="1:5" ht="12.75" customHeight="1" x14ac:dyDescent="0.2">
      <c r="A4090" s="3"/>
      <c r="B4090" s="3" t="s">
        <v>18</v>
      </c>
      <c r="C4090" s="4" t="s">
        <v>19</v>
      </c>
      <c r="D4090" s="2"/>
      <c r="E4090" s="2" t="e">
        <f t="shared" si="0"/>
        <v>#VALUE!</v>
      </c>
    </row>
    <row r="4091" spans="1:5" ht="12.75" customHeight="1" x14ac:dyDescent="0.2">
      <c r="A4091" s="1" t="str">
        <f>HYPERLINK("javascript:void(0)","tompor")</f>
        <v>tompor</v>
      </c>
      <c r="B4091" s="1"/>
      <c r="C4091" s="1"/>
      <c r="D4091" s="2"/>
      <c r="E4091" s="2" t="e">
        <f t="shared" si="0"/>
        <v>#VALUE!</v>
      </c>
    </row>
    <row r="4092" spans="1:5" ht="12.75" customHeight="1" x14ac:dyDescent="0.2">
      <c r="A4092" s="3"/>
      <c r="B4092" s="3" t="s">
        <v>0</v>
      </c>
      <c r="C4092" s="3" t="s">
        <v>21</v>
      </c>
      <c r="D4092" s="2"/>
      <c r="E4092" s="2" t="e">
        <f t="shared" si="0"/>
        <v>#VALUE!</v>
      </c>
    </row>
    <row r="4093" spans="1:5" ht="12.75" customHeight="1" x14ac:dyDescent="0.2">
      <c r="A4093" s="3"/>
      <c r="B4093" s="3" t="s">
        <v>2</v>
      </c>
      <c r="C4093" s="3" t="s">
        <v>458</v>
      </c>
      <c r="D4093" s="2"/>
      <c r="E4093" s="2" t="e">
        <f t="shared" si="0"/>
        <v>#VALUE!</v>
      </c>
    </row>
    <row r="4094" spans="1:5" ht="12.75" customHeight="1" x14ac:dyDescent="0.2">
      <c r="A4094" s="3"/>
      <c r="B4094" s="3" t="s">
        <v>9</v>
      </c>
      <c r="C4094" s="3" t="s">
        <v>22</v>
      </c>
      <c r="D4094" s="2"/>
      <c r="E4094" s="2" t="e">
        <f t="shared" si="0"/>
        <v>#VALUE!</v>
      </c>
    </row>
    <row r="4095" spans="1:5" ht="12.75" customHeight="1" x14ac:dyDescent="0.2">
      <c r="A4095" s="3"/>
      <c r="B4095" s="3" t="s">
        <v>11</v>
      </c>
      <c r="C4095" s="3" t="s">
        <v>519</v>
      </c>
      <c r="D4095" s="2"/>
      <c r="E4095" s="2" t="e">
        <f t="shared" si="0"/>
        <v>#VALUE!</v>
      </c>
    </row>
    <row r="4096" spans="1:5" ht="12.75" customHeight="1" x14ac:dyDescent="0.2">
      <c r="A4096" s="3"/>
      <c r="B4096" s="3" t="s">
        <v>18</v>
      </c>
      <c r="C4096" s="4" t="s">
        <v>19</v>
      </c>
      <c r="D4096" s="2"/>
      <c r="E4096" s="2" t="e">
        <f t="shared" si="0"/>
        <v>#VALUE!</v>
      </c>
    </row>
    <row r="4097" spans="1:5" ht="12.75" customHeight="1" x14ac:dyDescent="0.2">
      <c r="A4097" s="1" t="str">
        <f>HYPERLINK("javascript:void(0)","toplaty")</f>
        <v>toplaty</v>
      </c>
      <c r="B4097" s="1"/>
      <c r="C4097" s="1"/>
      <c r="D4097" s="2"/>
      <c r="E4097" s="2" t="e">
        <f t="shared" si="0"/>
        <v>#VALUE!</v>
      </c>
    </row>
    <row r="4098" spans="1:5" ht="12.75" customHeight="1" x14ac:dyDescent="0.2">
      <c r="A4098" s="3"/>
      <c r="B4098" s="3" t="s">
        <v>0</v>
      </c>
      <c r="C4098" s="3" t="s">
        <v>21</v>
      </c>
      <c r="D4098" s="2"/>
      <c r="E4098" s="2" t="e">
        <f t="shared" si="0"/>
        <v>#VALUE!</v>
      </c>
    </row>
    <row r="4099" spans="1:5" ht="12.75" customHeight="1" x14ac:dyDescent="0.2">
      <c r="A4099" s="3"/>
      <c r="B4099" s="3" t="s">
        <v>2</v>
      </c>
      <c r="C4099" s="3" t="s">
        <v>458</v>
      </c>
      <c r="D4099" s="2"/>
      <c r="E4099" s="2" t="e">
        <f t="shared" si="0"/>
        <v>#VALUE!</v>
      </c>
    </row>
    <row r="4100" spans="1:5" ht="12.75" customHeight="1" x14ac:dyDescent="0.2">
      <c r="A4100" s="3"/>
      <c r="B4100" s="3" t="s">
        <v>9</v>
      </c>
      <c r="C4100" s="3" t="s">
        <v>84</v>
      </c>
      <c r="D4100" s="2"/>
      <c r="E4100" s="2" t="e">
        <f t="shared" si="0"/>
        <v>#VALUE!</v>
      </c>
    </row>
    <row r="4101" spans="1:5" ht="12.75" customHeight="1" x14ac:dyDescent="0.2">
      <c r="A4101" s="3"/>
      <c r="B4101" s="3" t="s">
        <v>11</v>
      </c>
      <c r="C4101" s="3" t="s">
        <v>920</v>
      </c>
      <c r="D4101" s="2"/>
      <c r="E4101" s="2" t="e">
        <f t="shared" si="0"/>
        <v>#VALUE!</v>
      </c>
    </row>
    <row r="4102" spans="1:5" ht="12.75" customHeight="1" x14ac:dyDescent="0.2">
      <c r="A4102" s="3"/>
      <c r="B4102" s="3" t="s">
        <v>18</v>
      </c>
      <c r="C4102" s="4" t="s">
        <v>19</v>
      </c>
      <c r="D4102" s="2"/>
      <c r="E4102" s="2" t="e">
        <f t="shared" si="0"/>
        <v>#VALUE!</v>
      </c>
    </row>
    <row r="4103" spans="1:5" ht="12.75" customHeight="1" x14ac:dyDescent="0.2">
      <c r="A4103" s="1" t="str">
        <f>HYPERLINK("javascript:void(0)","torokgyík")</f>
        <v>torokgyík</v>
      </c>
      <c r="B4103" s="1"/>
      <c r="C4103" s="1"/>
      <c r="D4103" s="2"/>
      <c r="E4103" s="2" t="e">
        <f t="shared" si="0"/>
        <v>#VALUE!</v>
      </c>
    </row>
    <row r="4104" spans="1:5" ht="12.75" customHeight="1" x14ac:dyDescent="0.2">
      <c r="A4104" s="3"/>
      <c r="B4104" s="3" t="s">
        <v>0</v>
      </c>
      <c r="C4104" s="3" t="s">
        <v>21</v>
      </c>
      <c r="D4104" s="2"/>
      <c r="E4104" s="2" t="e">
        <f t="shared" si="0"/>
        <v>#VALUE!</v>
      </c>
    </row>
    <row r="4105" spans="1:5" ht="12.75" customHeight="1" x14ac:dyDescent="0.2">
      <c r="A4105" s="3"/>
      <c r="B4105" s="3" t="s">
        <v>2</v>
      </c>
      <c r="C4105" s="3" t="s">
        <v>458</v>
      </c>
      <c r="D4105" s="2"/>
      <c r="E4105" s="2" t="e">
        <f t="shared" si="0"/>
        <v>#VALUE!</v>
      </c>
    </row>
    <row r="4106" spans="1:5" ht="12.75" customHeight="1" x14ac:dyDescent="0.2">
      <c r="A4106" s="3"/>
      <c r="B4106" s="3" t="s">
        <v>9</v>
      </c>
      <c r="C4106" s="3" t="s">
        <v>1687</v>
      </c>
      <c r="D4106" s="2"/>
      <c r="E4106" s="2" t="e">
        <f t="shared" si="0"/>
        <v>#VALUE!</v>
      </c>
    </row>
    <row r="4107" spans="1:5" ht="12.75" customHeight="1" x14ac:dyDescent="0.2">
      <c r="A4107" s="3"/>
      <c r="B4107" s="3" t="s">
        <v>11</v>
      </c>
      <c r="C4107" s="3" t="s">
        <v>227</v>
      </c>
      <c r="D4107" s="2"/>
      <c r="E4107" s="2" t="e">
        <f t="shared" si="0"/>
        <v>#VALUE!</v>
      </c>
    </row>
    <row r="4108" spans="1:5" ht="12.75" customHeight="1" x14ac:dyDescent="0.2">
      <c r="A4108" s="3"/>
      <c r="B4108" s="3" t="s">
        <v>18</v>
      </c>
      <c r="C4108" s="4" t="s">
        <v>19</v>
      </c>
      <c r="D4108" s="2"/>
      <c r="E4108" s="2" t="e">
        <f t="shared" si="0"/>
        <v>#VALUE!</v>
      </c>
    </row>
    <row r="4109" spans="1:5" ht="12.75" customHeight="1" x14ac:dyDescent="0.2">
      <c r="A4109" s="1" t="str">
        <f>HYPERLINK("javascript:void(0)","tortahab")</f>
        <v>tortahab</v>
      </c>
      <c r="B4109" s="1"/>
      <c r="C4109" s="1"/>
      <c r="D4109" s="2"/>
      <c r="E4109" s="2" t="e">
        <f t="shared" si="0"/>
        <v>#VALUE!</v>
      </c>
    </row>
    <row r="4110" spans="1:5" ht="12.75" customHeight="1" x14ac:dyDescent="0.2">
      <c r="A4110" s="3"/>
      <c r="B4110" s="3" t="s">
        <v>0</v>
      </c>
      <c r="C4110" s="3" t="s">
        <v>21</v>
      </c>
      <c r="D4110" s="2"/>
      <c r="E4110" s="2" t="e">
        <f t="shared" si="0"/>
        <v>#VALUE!</v>
      </c>
    </row>
    <row r="4111" spans="1:5" ht="12.75" customHeight="1" x14ac:dyDescent="0.2">
      <c r="A4111" s="3"/>
      <c r="B4111" s="3" t="s">
        <v>2</v>
      </c>
      <c r="C4111" s="3" t="s">
        <v>458</v>
      </c>
      <c r="D4111" s="2"/>
      <c r="E4111" s="2" t="e">
        <f t="shared" si="0"/>
        <v>#VALUE!</v>
      </c>
    </row>
    <row r="4112" spans="1:5" ht="12.75" customHeight="1" x14ac:dyDescent="0.2">
      <c r="A4112" s="3"/>
      <c r="B4112" s="3" t="s">
        <v>9</v>
      </c>
      <c r="C4112" s="3" t="s">
        <v>22</v>
      </c>
      <c r="D4112" s="2"/>
      <c r="E4112" s="2" t="e">
        <f t="shared" si="0"/>
        <v>#VALUE!</v>
      </c>
    </row>
    <row r="4113" spans="1:5" ht="12.75" customHeight="1" x14ac:dyDescent="0.2">
      <c r="A4113" s="3"/>
      <c r="B4113" s="3" t="s">
        <v>11</v>
      </c>
      <c r="C4113" s="3" t="s">
        <v>520</v>
      </c>
      <c r="D4113" s="2"/>
      <c r="E4113" s="2" t="e">
        <f t="shared" si="0"/>
        <v>#VALUE!</v>
      </c>
    </row>
    <row r="4114" spans="1:5" ht="12.75" customHeight="1" x14ac:dyDescent="0.2">
      <c r="A4114" s="3"/>
      <c r="B4114" s="3" t="s">
        <v>18</v>
      </c>
      <c r="C4114" s="4" t="s">
        <v>19</v>
      </c>
      <c r="D4114" s="2"/>
      <c r="E4114" s="2" t="e">
        <f t="shared" si="0"/>
        <v>#VALUE!</v>
      </c>
    </row>
    <row r="4115" spans="1:5" ht="12.75" customHeight="1" x14ac:dyDescent="0.2">
      <c r="A4115" s="1" t="str">
        <f>HYPERLINK("javascript:void(0)","torzító")</f>
        <v>torzító</v>
      </c>
      <c r="B4115" s="1"/>
      <c r="C4115" s="1"/>
      <c r="D4115" s="2"/>
      <c r="E4115" s="2" t="e">
        <f t="shared" si="0"/>
        <v>#VALUE!</v>
      </c>
    </row>
    <row r="4116" spans="1:5" ht="12.75" customHeight="1" x14ac:dyDescent="0.2">
      <c r="A4116" s="3"/>
      <c r="B4116" s="3" t="s">
        <v>0</v>
      </c>
      <c r="C4116" s="3" t="s">
        <v>21</v>
      </c>
      <c r="D4116" s="2"/>
      <c r="E4116" s="2" t="e">
        <f t="shared" si="0"/>
        <v>#VALUE!</v>
      </c>
    </row>
    <row r="4117" spans="1:5" ht="12.75" customHeight="1" x14ac:dyDescent="0.2">
      <c r="A4117" s="3"/>
      <c r="B4117" s="3" t="s">
        <v>2</v>
      </c>
      <c r="C4117" s="3" t="s">
        <v>458</v>
      </c>
      <c r="D4117" s="2"/>
      <c r="E4117" s="2" t="e">
        <f t="shared" si="0"/>
        <v>#VALUE!</v>
      </c>
    </row>
    <row r="4118" spans="1:5" ht="12.75" customHeight="1" x14ac:dyDescent="0.2">
      <c r="A4118" s="3"/>
      <c r="B4118" s="3" t="s">
        <v>9</v>
      </c>
      <c r="C4118" s="3" t="s">
        <v>22</v>
      </c>
      <c r="D4118" s="2"/>
      <c r="E4118" s="2" t="e">
        <f t="shared" si="0"/>
        <v>#VALUE!</v>
      </c>
    </row>
    <row r="4119" spans="1:5" ht="12.75" customHeight="1" x14ac:dyDescent="0.2">
      <c r="A4119" s="3"/>
      <c r="B4119" s="3" t="s">
        <v>11</v>
      </c>
      <c r="C4119" s="3" t="s">
        <v>108</v>
      </c>
      <c r="D4119" s="2"/>
      <c r="E4119" s="2" t="e">
        <f t="shared" si="0"/>
        <v>#VALUE!</v>
      </c>
    </row>
    <row r="4120" spans="1:5" ht="12.75" customHeight="1" x14ac:dyDescent="0.2">
      <c r="A4120" s="3"/>
      <c r="B4120" s="3" t="s">
        <v>18</v>
      </c>
      <c r="C4120" s="4" t="s">
        <v>19</v>
      </c>
      <c r="D4120" s="2"/>
      <c r="E4120" s="2" t="e">
        <f t="shared" si="0"/>
        <v>#VALUE!</v>
      </c>
    </row>
    <row r="4121" spans="1:5" ht="12.75" customHeight="1" x14ac:dyDescent="0.2">
      <c r="A4121" s="1" t="str">
        <f>HYPERLINK("javascript:void(0)","trezor")</f>
        <v>trezor</v>
      </c>
      <c r="B4121" s="1"/>
      <c r="C4121" s="1"/>
      <c r="D4121" s="2"/>
      <c r="E4121" s="2" t="e">
        <f t="shared" si="0"/>
        <v>#VALUE!</v>
      </c>
    </row>
    <row r="4122" spans="1:5" ht="12.75" customHeight="1" x14ac:dyDescent="0.2">
      <c r="A4122" s="3"/>
      <c r="B4122" s="3" t="s">
        <v>0</v>
      </c>
      <c r="C4122" s="3" t="s">
        <v>21</v>
      </c>
      <c r="D4122" s="2"/>
      <c r="E4122" s="2" t="e">
        <f t="shared" si="0"/>
        <v>#VALUE!</v>
      </c>
    </row>
    <row r="4123" spans="1:5" ht="12.75" customHeight="1" x14ac:dyDescent="0.2">
      <c r="A4123" s="3"/>
      <c r="B4123" s="3" t="s">
        <v>2</v>
      </c>
      <c r="C4123" s="3" t="s">
        <v>458</v>
      </c>
      <c r="D4123" s="2"/>
      <c r="E4123" s="2" t="e">
        <f t="shared" si="0"/>
        <v>#VALUE!</v>
      </c>
    </row>
    <row r="4124" spans="1:5" ht="12.75" customHeight="1" x14ac:dyDescent="0.2">
      <c r="A4124" s="3"/>
      <c r="B4124" s="3" t="s">
        <v>9</v>
      </c>
      <c r="C4124" s="3" t="s">
        <v>22</v>
      </c>
      <c r="D4124" s="2"/>
      <c r="E4124" s="2" t="e">
        <f t="shared" si="0"/>
        <v>#VALUE!</v>
      </c>
    </row>
    <row r="4125" spans="1:5" ht="12.75" customHeight="1" x14ac:dyDescent="0.2">
      <c r="A4125" s="3"/>
      <c r="B4125" s="3" t="s">
        <v>11</v>
      </c>
      <c r="C4125" s="3" t="s">
        <v>162</v>
      </c>
      <c r="D4125" s="2"/>
      <c r="E4125" s="2" t="e">
        <f t="shared" si="0"/>
        <v>#VALUE!</v>
      </c>
    </row>
    <row r="4126" spans="1:5" ht="12.75" customHeight="1" x14ac:dyDescent="0.2">
      <c r="A4126" s="3"/>
      <c r="B4126" s="3" t="s">
        <v>18</v>
      </c>
      <c r="C4126" s="4" t="s">
        <v>19</v>
      </c>
      <c r="D4126" s="2"/>
      <c r="E4126" s="2" t="e">
        <f t="shared" si="0"/>
        <v>#VALUE!</v>
      </c>
    </row>
    <row r="4127" spans="1:5" ht="12.75" customHeight="1" x14ac:dyDescent="0.2">
      <c r="A4127" s="1" t="str">
        <f>HYPERLINK("javascript:void(0)","trollmaszk")</f>
        <v>trollmaszk</v>
      </c>
      <c r="B4127" s="1"/>
      <c r="C4127" s="1"/>
      <c r="D4127" s="2"/>
      <c r="E4127" s="2" t="e">
        <f t="shared" si="0"/>
        <v>#VALUE!</v>
      </c>
    </row>
    <row r="4128" spans="1:5" ht="12.75" customHeight="1" x14ac:dyDescent="0.2">
      <c r="A4128" s="3"/>
      <c r="B4128" s="3" t="s">
        <v>0</v>
      </c>
      <c r="C4128" s="3" t="s">
        <v>21</v>
      </c>
      <c r="D4128" s="2"/>
      <c r="E4128" s="2" t="e">
        <f t="shared" si="0"/>
        <v>#VALUE!</v>
      </c>
    </row>
    <row r="4129" spans="1:5" ht="12.75" customHeight="1" x14ac:dyDescent="0.2">
      <c r="A4129" s="3"/>
      <c r="B4129" s="3" t="s">
        <v>2</v>
      </c>
      <c r="C4129" s="3" t="s">
        <v>458</v>
      </c>
      <c r="D4129" s="2"/>
      <c r="E4129" s="2" t="e">
        <f t="shared" si="0"/>
        <v>#VALUE!</v>
      </c>
    </row>
    <row r="4130" spans="1:5" ht="12.75" customHeight="1" x14ac:dyDescent="0.2">
      <c r="A4130" s="3"/>
      <c r="B4130" s="3" t="s">
        <v>9</v>
      </c>
      <c r="C4130" s="3" t="s">
        <v>22</v>
      </c>
      <c r="D4130" s="2"/>
      <c r="E4130" s="2" t="e">
        <f t="shared" si="0"/>
        <v>#VALUE!</v>
      </c>
    </row>
    <row r="4131" spans="1:5" ht="12.75" customHeight="1" x14ac:dyDescent="0.2">
      <c r="A4131" s="3"/>
      <c r="B4131" s="3" t="s">
        <v>11</v>
      </c>
      <c r="C4131" s="3" t="s">
        <v>597</v>
      </c>
      <c r="D4131" s="2"/>
      <c r="E4131" s="2" t="e">
        <f t="shared" si="0"/>
        <v>#VALUE!</v>
      </c>
    </row>
    <row r="4132" spans="1:5" ht="12.75" customHeight="1" x14ac:dyDescent="0.2">
      <c r="A4132" s="3"/>
      <c r="B4132" s="3" t="s">
        <v>18</v>
      </c>
      <c r="C4132" s="4" t="s">
        <v>19</v>
      </c>
      <c r="D4132" s="2"/>
      <c r="E4132" s="2" t="e">
        <f t="shared" si="0"/>
        <v>#VALUE!</v>
      </c>
    </row>
    <row r="4133" spans="1:5" ht="12.75" customHeight="1" x14ac:dyDescent="0.2">
      <c r="A4133" s="1" t="str">
        <f>HYPERLINK("javascript:void(0)","trolltartó")</f>
        <v>trolltartó</v>
      </c>
      <c r="B4133" s="1"/>
      <c r="C4133" s="1"/>
      <c r="D4133" s="2"/>
      <c r="E4133" s="2" t="e">
        <f t="shared" si="0"/>
        <v>#VALUE!</v>
      </c>
    </row>
    <row r="4134" spans="1:5" ht="12.75" customHeight="1" x14ac:dyDescent="0.2">
      <c r="A4134" s="3"/>
      <c r="B4134" s="3" t="s">
        <v>0</v>
      </c>
      <c r="C4134" s="3" t="s">
        <v>21</v>
      </c>
      <c r="D4134" s="2"/>
      <c r="E4134" s="2" t="e">
        <f t="shared" si="0"/>
        <v>#VALUE!</v>
      </c>
    </row>
    <row r="4135" spans="1:5" ht="12.75" customHeight="1" x14ac:dyDescent="0.2">
      <c r="A4135" s="3"/>
      <c r="B4135" s="3" t="s">
        <v>2</v>
      </c>
      <c r="C4135" s="3" t="s">
        <v>458</v>
      </c>
      <c r="D4135" s="2"/>
      <c r="E4135" s="2" t="e">
        <f t="shared" si="0"/>
        <v>#VALUE!</v>
      </c>
    </row>
    <row r="4136" spans="1:5" ht="12.75" customHeight="1" x14ac:dyDescent="0.2">
      <c r="A4136" s="3"/>
      <c r="B4136" s="3" t="s">
        <v>9</v>
      </c>
      <c r="C4136" s="3" t="s">
        <v>22</v>
      </c>
      <c r="D4136" s="2"/>
      <c r="E4136" s="2" t="e">
        <f t="shared" si="0"/>
        <v>#VALUE!</v>
      </c>
    </row>
    <row r="4137" spans="1:5" ht="12.75" customHeight="1" x14ac:dyDescent="0.2">
      <c r="A4137" s="3"/>
      <c r="B4137" s="3" t="s">
        <v>11</v>
      </c>
      <c r="C4137" s="3" t="s">
        <v>227</v>
      </c>
      <c r="D4137" s="2"/>
      <c r="E4137" s="2" t="e">
        <f t="shared" si="0"/>
        <v>#VALUE!</v>
      </c>
    </row>
    <row r="4138" spans="1:5" ht="12.75" customHeight="1" x14ac:dyDescent="0.2">
      <c r="A4138" s="3"/>
      <c r="B4138" s="3" t="s">
        <v>18</v>
      </c>
      <c r="C4138" s="4" t="s">
        <v>19</v>
      </c>
      <c r="D4138" s="2"/>
      <c r="E4138" s="2" t="e">
        <f t="shared" si="0"/>
        <v>#VALUE!</v>
      </c>
    </row>
    <row r="4139" spans="1:5" ht="12.75" customHeight="1" x14ac:dyDescent="0.2">
      <c r="A4139" s="1" t="str">
        <f>HYPERLINK("javascript:void(0)","tudásmorzsa")</f>
        <v>tudásmorzsa</v>
      </c>
      <c r="B4139" s="1"/>
      <c r="C4139" s="1"/>
      <c r="D4139" s="2"/>
      <c r="E4139" s="2" t="e">
        <f t="shared" si="0"/>
        <v>#VALUE!</v>
      </c>
    </row>
    <row r="4140" spans="1:5" ht="12.75" customHeight="1" x14ac:dyDescent="0.2">
      <c r="A4140" s="3"/>
      <c r="B4140" s="3" t="s">
        <v>0</v>
      </c>
      <c r="C4140" s="3" t="s">
        <v>21</v>
      </c>
      <c r="D4140" s="2"/>
      <c r="E4140" s="2" t="e">
        <f t="shared" si="0"/>
        <v>#VALUE!</v>
      </c>
    </row>
    <row r="4141" spans="1:5" ht="12.75" customHeight="1" x14ac:dyDescent="0.2">
      <c r="A4141" s="3"/>
      <c r="B4141" s="3" t="s">
        <v>2</v>
      </c>
      <c r="C4141" s="3" t="s">
        <v>458</v>
      </c>
      <c r="D4141" s="2"/>
      <c r="E4141" s="2" t="e">
        <f t="shared" si="0"/>
        <v>#VALUE!</v>
      </c>
    </row>
    <row r="4142" spans="1:5" ht="12.75" customHeight="1" x14ac:dyDescent="0.2">
      <c r="A4142" s="3"/>
      <c r="B4142" s="3" t="s">
        <v>9</v>
      </c>
      <c r="C4142" s="3" t="s">
        <v>582</v>
      </c>
      <c r="D4142" s="2"/>
      <c r="E4142" s="2" t="e">
        <f t="shared" si="0"/>
        <v>#VALUE!</v>
      </c>
    </row>
    <row r="4143" spans="1:5" ht="12.75" customHeight="1" x14ac:dyDescent="0.2">
      <c r="A4143" s="3"/>
      <c r="B4143" s="3" t="s">
        <v>11</v>
      </c>
      <c r="C4143" s="3" t="s">
        <v>227</v>
      </c>
      <c r="D4143" s="2"/>
      <c r="E4143" s="2" t="e">
        <f t="shared" si="0"/>
        <v>#VALUE!</v>
      </c>
    </row>
    <row r="4144" spans="1:5" ht="12.75" customHeight="1" x14ac:dyDescent="0.2">
      <c r="A4144" s="3"/>
      <c r="B4144" s="3" t="s">
        <v>18</v>
      </c>
      <c r="C4144" s="4" t="s">
        <v>19</v>
      </c>
      <c r="D4144" s="2"/>
      <c r="E4144" s="2" t="e">
        <f t="shared" si="0"/>
        <v>#VALUE!</v>
      </c>
    </row>
    <row r="4145" spans="1:5" ht="12.75" customHeight="1" x14ac:dyDescent="0.2">
      <c r="A4145" s="1" t="str">
        <f>HYPERLINK("javascript:void(0)","tuskójelvény")</f>
        <v>tuskójelvény</v>
      </c>
      <c r="B4145" s="1"/>
      <c r="C4145" s="1"/>
      <c r="D4145" s="2"/>
      <c r="E4145" s="2" t="e">
        <f t="shared" si="0"/>
        <v>#VALUE!</v>
      </c>
    </row>
    <row r="4146" spans="1:5" ht="12.75" customHeight="1" x14ac:dyDescent="0.2">
      <c r="A4146" s="3"/>
      <c r="B4146" s="3" t="s">
        <v>0</v>
      </c>
      <c r="C4146" s="3" t="s">
        <v>21</v>
      </c>
      <c r="D4146" s="2"/>
      <c r="E4146" s="2" t="e">
        <f t="shared" si="0"/>
        <v>#VALUE!</v>
      </c>
    </row>
    <row r="4147" spans="1:5" ht="12.75" customHeight="1" x14ac:dyDescent="0.2">
      <c r="A4147" s="3"/>
      <c r="B4147" s="3" t="s">
        <v>2</v>
      </c>
      <c r="C4147" s="3" t="s">
        <v>458</v>
      </c>
      <c r="D4147" s="2"/>
      <c r="E4147" s="2" t="e">
        <f t="shared" si="0"/>
        <v>#VALUE!</v>
      </c>
    </row>
    <row r="4148" spans="1:5" ht="12.75" customHeight="1" x14ac:dyDescent="0.2">
      <c r="A4148" s="3"/>
      <c r="B4148" s="3" t="s">
        <v>9</v>
      </c>
      <c r="C4148" s="3" t="s">
        <v>704</v>
      </c>
      <c r="D4148" s="2"/>
      <c r="E4148" s="2" t="e">
        <f t="shared" si="0"/>
        <v>#VALUE!</v>
      </c>
    </row>
    <row r="4149" spans="1:5" ht="12.75" customHeight="1" x14ac:dyDescent="0.2">
      <c r="A4149" s="3"/>
      <c r="B4149" s="3" t="s">
        <v>11</v>
      </c>
      <c r="C4149" s="3" t="s">
        <v>920</v>
      </c>
      <c r="D4149" s="2"/>
      <c r="E4149" s="2" t="e">
        <f t="shared" si="0"/>
        <v>#VALUE!</v>
      </c>
    </row>
    <row r="4150" spans="1:5" ht="12.75" customHeight="1" x14ac:dyDescent="0.2">
      <c r="A4150" s="3"/>
      <c r="B4150" s="3" t="s">
        <v>18</v>
      </c>
      <c r="C4150" s="4" t="s">
        <v>19</v>
      </c>
      <c r="D4150" s="2"/>
      <c r="E4150" s="2" t="e">
        <f t="shared" si="0"/>
        <v>#VALUE!</v>
      </c>
    </row>
    <row r="4151" spans="1:5" ht="12.75" customHeight="1" x14ac:dyDescent="0.2">
      <c r="A4151" s="1" t="str">
        <f>HYPERLINK("javascript:void(0)","tyúkszem")</f>
        <v>tyúkszem</v>
      </c>
      <c r="B4151" s="1"/>
      <c r="C4151" s="1"/>
      <c r="D4151" s="2"/>
      <c r="E4151" s="2" t="e">
        <f t="shared" si="0"/>
        <v>#VALUE!</v>
      </c>
    </row>
    <row r="4152" spans="1:5" ht="12.75" customHeight="1" x14ac:dyDescent="0.2">
      <c r="A4152" s="3"/>
      <c r="B4152" s="3" t="s">
        <v>0</v>
      </c>
      <c r="C4152" s="3" t="s">
        <v>21</v>
      </c>
      <c r="D4152" s="2"/>
      <c r="E4152" s="2" t="e">
        <f t="shared" si="0"/>
        <v>#VALUE!</v>
      </c>
    </row>
    <row r="4153" spans="1:5" ht="12.75" customHeight="1" x14ac:dyDescent="0.2">
      <c r="A4153" s="3"/>
      <c r="B4153" s="3" t="s">
        <v>2</v>
      </c>
      <c r="C4153" s="3" t="s">
        <v>458</v>
      </c>
      <c r="D4153" s="2"/>
      <c r="E4153" s="2" t="e">
        <f t="shared" si="0"/>
        <v>#VALUE!</v>
      </c>
    </row>
    <row r="4154" spans="1:5" ht="12.75" customHeight="1" x14ac:dyDescent="0.2">
      <c r="A4154" s="3"/>
      <c r="B4154" s="3" t="s">
        <v>9</v>
      </c>
      <c r="C4154" s="3" t="s">
        <v>53</v>
      </c>
      <c r="D4154" s="2"/>
      <c r="E4154" s="2" t="e">
        <f t="shared" si="0"/>
        <v>#VALUE!</v>
      </c>
    </row>
    <row r="4155" spans="1:5" ht="12.75" customHeight="1" x14ac:dyDescent="0.2">
      <c r="A4155" s="3"/>
      <c r="B4155" s="3" t="s">
        <v>11</v>
      </c>
      <c r="C4155" s="3" t="s">
        <v>1700</v>
      </c>
      <c r="D4155" s="2"/>
      <c r="E4155" s="2" t="e">
        <f t="shared" si="0"/>
        <v>#VALUE!</v>
      </c>
    </row>
    <row r="4156" spans="1:5" ht="12.75" customHeight="1" x14ac:dyDescent="0.2">
      <c r="A4156" s="3"/>
      <c r="B4156" s="3" t="s">
        <v>18</v>
      </c>
      <c r="C4156" s="4" t="s">
        <v>19</v>
      </c>
      <c r="D4156" s="2"/>
      <c r="E4156" s="2" t="e">
        <f t="shared" si="0"/>
        <v>#VALUE!</v>
      </c>
    </row>
    <row r="4157" spans="1:5" ht="12.75" customHeight="1" x14ac:dyDescent="0.2">
      <c r="A4157" s="1" t="str">
        <f>HYPERLINK("javascript:void(0)","tábla")</f>
        <v>tábla</v>
      </c>
      <c r="B4157" s="1"/>
      <c r="C4157" s="1"/>
      <c r="D4157" s="2"/>
      <c r="E4157" s="2" t="e">
        <f t="shared" si="0"/>
        <v>#VALUE!</v>
      </c>
    </row>
    <row r="4158" spans="1:5" ht="12.75" customHeight="1" x14ac:dyDescent="0.2">
      <c r="A4158" s="3"/>
      <c r="B4158" s="3" t="s">
        <v>0</v>
      </c>
      <c r="C4158" s="3" t="s">
        <v>21</v>
      </c>
      <c r="D4158" s="2"/>
      <c r="E4158" s="2" t="e">
        <f t="shared" si="0"/>
        <v>#VALUE!</v>
      </c>
    </row>
    <row r="4159" spans="1:5" ht="12.75" customHeight="1" x14ac:dyDescent="0.2">
      <c r="A4159" s="3"/>
      <c r="B4159" s="3" t="s">
        <v>2</v>
      </c>
      <c r="C4159" s="3" t="s">
        <v>458</v>
      </c>
      <c r="D4159" s="2"/>
      <c r="E4159" s="2" t="e">
        <f t="shared" si="0"/>
        <v>#VALUE!</v>
      </c>
    </row>
    <row r="4160" spans="1:5" ht="12.75" customHeight="1" x14ac:dyDescent="0.2">
      <c r="A4160" s="3"/>
      <c r="B4160" s="3" t="s">
        <v>9</v>
      </c>
      <c r="C4160" s="3" t="s">
        <v>22</v>
      </c>
      <c r="D4160" s="2"/>
      <c r="E4160" s="2" t="e">
        <f t="shared" si="0"/>
        <v>#VALUE!</v>
      </c>
    </row>
    <row r="4161" spans="1:5" ht="12.75" customHeight="1" x14ac:dyDescent="0.2">
      <c r="A4161" s="3"/>
      <c r="B4161" s="3" t="s">
        <v>11</v>
      </c>
      <c r="C4161" s="3" t="s">
        <v>395</v>
      </c>
      <c r="D4161" s="2"/>
      <c r="E4161" s="2" t="e">
        <f t="shared" si="0"/>
        <v>#VALUE!</v>
      </c>
    </row>
    <row r="4162" spans="1:5" ht="12.75" customHeight="1" x14ac:dyDescent="0.2">
      <c r="A4162" s="3"/>
      <c r="B4162" s="3" t="s">
        <v>18</v>
      </c>
      <c r="C4162" s="4" t="s">
        <v>19</v>
      </c>
      <c r="D4162" s="2"/>
      <c r="E4162" s="2" t="e">
        <f t="shared" si="0"/>
        <v>#VALUE!</v>
      </c>
    </row>
    <row r="4163" spans="1:5" ht="12.75" customHeight="1" x14ac:dyDescent="0.2">
      <c r="A4163" s="1" t="str">
        <f>HYPERLINK("javascript:void(0)","tépőfog")</f>
        <v>tépőfog</v>
      </c>
      <c r="B4163" s="1"/>
      <c r="C4163" s="1"/>
      <c r="D4163" s="2"/>
      <c r="E4163" s="2" t="e">
        <f t="shared" si="0"/>
        <v>#VALUE!</v>
      </c>
    </row>
    <row r="4164" spans="1:5" ht="12.75" customHeight="1" x14ac:dyDescent="0.2">
      <c r="A4164" s="3"/>
      <c r="B4164" s="3" t="s">
        <v>0</v>
      </c>
      <c r="C4164" s="3" t="s">
        <v>21</v>
      </c>
      <c r="D4164" s="2"/>
      <c r="E4164" s="2" t="e">
        <f t="shared" si="0"/>
        <v>#VALUE!</v>
      </c>
    </row>
    <row r="4165" spans="1:5" ht="12.75" customHeight="1" x14ac:dyDescent="0.2">
      <c r="A4165" s="3"/>
      <c r="B4165" s="3" t="s">
        <v>2</v>
      </c>
      <c r="C4165" s="3" t="s">
        <v>458</v>
      </c>
      <c r="D4165" s="2"/>
      <c r="E4165" s="2" t="e">
        <f t="shared" si="0"/>
        <v>#VALUE!</v>
      </c>
    </row>
    <row r="4166" spans="1:5" ht="12.75" customHeight="1" x14ac:dyDescent="0.2">
      <c r="A4166" s="3"/>
      <c r="B4166" s="3" t="s">
        <v>9</v>
      </c>
      <c r="C4166" s="3" t="s">
        <v>27</v>
      </c>
      <c r="D4166" s="2"/>
      <c r="E4166" s="2" t="e">
        <f t="shared" si="0"/>
        <v>#VALUE!</v>
      </c>
    </row>
    <row r="4167" spans="1:5" ht="12.75" customHeight="1" x14ac:dyDescent="0.2">
      <c r="A4167" s="3"/>
      <c r="B4167" s="3" t="s">
        <v>11</v>
      </c>
      <c r="C4167" s="3" t="s">
        <v>1703</v>
      </c>
      <c r="D4167" s="2"/>
      <c r="E4167" s="2" t="e">
        <f t="shared" si="0"/>
        <v>#VALUE!</v>
      </c>
    </row>
    <row r="4168" spans="1:5" ht="12.75" customHeight="1" x14ac:dyDescent="0.2">
      <c r="A4168" s="3"/>
      <c r="B4168" s="3" t="s">
        <v>18</v>
      </c>
      <c r="C4168" s="4" t="s">
        <v>19</v>
      </c>
      <c r="D4168" s="2"/>
      <c r="E4168" s="2" t="e">
        <f t="shared" si="0"/>
        <v>#VALUE!</v>
      </c>
    </row>
    <row r="4169" spans="1:5" ht="12.75" customHeight="1" x14ac:dyDescent="0.2">
      <c r="A4169" s="1" t="str">
        <f>HYPERLINK("javascript:void(0)","térkép")</f>
        <v>térkép</v>
      </c>
      <c r="B4169" s="1"/>
      <c r="C4169" s="1"/>
      <c r="D4169" s="2"/>
      <c r="E4169" s="2" t="e">
        <f t="shared" si="0"/>
        <v>#VALUE!</v>
      </c>
    </row>
    <row r="4170" spans="1:5" ht="12.75" customHeight="1" x14ac:dyDescent="0.2">
      <c r="A4170" s="3"/>
      <c r="B4170" s="3" t="s">
        <v>0</v>
      </c>
      <c r="C4170" s="3" t="s">
        <v>21</v>
      </c>
      <c r="D4170" s="2"/>
      <c r="E4170" s="2" t="e">
        <f t="shared" si="0"/>
        <v>#VALUE!</v>
      </c>
    </row>
    <row r="4171" spans="1:5" ht="12.75" customHeight="1" x14ac:dyDescent="0.2">
      <c r="A4171" s="3"/>
      <c r="B4171" s="3" t="s">
        <v>2</v>
      </c>
      <c r="C4171" s="3" t="s">
        <v>440</v>
      </c>
      <c r="D4171" s="2"/>
      <c r="E4171" s="2" t="e">
        <f t="shared" si="0"/>
        <v>#VALUE!</v>
      </c>
    </row>
    <row r="4172" spans="1:5" ht="12.75" customHeight="1" x14ac:dyDescent="0.2">
      <c r="A4172" s="3"/>
      <c r="B4172" s="3" t="s">
        <v>9</v>
      </c>
      <c r="C4172" s="3" t="s">
        <v>22</v>
      </c>
      <c r="D4172" s="2"/>
      <c r="E4172" s="2" t="e">
        <f t="shared" si="0"/>
        <v>#VALUE!</v>
      </c>
    </row>
    <row r="4173" spans="1:5" ht="12.75" customHeight="1" x14ac:dyDescent="0.2">
      <c r="A4173" s="3"/>
      <c r="B4173" s="3" t="s">
        <v>11</v>
      </c>
      <c r="C4173" s="3" t="s">
        <v>39</v>
      </c>
      <c r="D4173" s="2"/>
      <c r="E4173" s="2" t="e">
        <f t="shared" si="0"/>
        <v>#VALUE!</v>
      </c>
    </row>
    <row r="4174" spans="1:5" ht="12.75" customHeight="1" x14ac:dyDescent="0.2">
      <c r="A4174" s="3"/>
      <c r="B4174" s="3" t="s">
        <v>18</v>
      </c>
      <c r="C4174" s="4" t="s">
        <v>19</v>
      </c>
      <c r="D4174" s="2"/>
      <c r="E4174" s="2" t="e">
        <f t="shared" si="0"/>
        <v>#VALUE!</v>
      </c>
    </row>
    <row r="4175" spans="1:5" ht="12.75" customHeight="1" x14ac:dyDescent="0.2">
      <c r="A4175" s="1" t="str">
        <f>HYPERLINK("javascript:void(0)","térszelet")</f>
        <v>térszelet</v>
      </c>
      <c r="B4175" s="1"/>
      <c r="C4175" s="1"/>
      <c r="D4175" s="2"/>
      <c r="E4175" s="2" t="e">
        <f t="shared" si="0"/>
        <v>#VALUE!</v>
      </c>
    </row>
    <row r="4176" spans="1:5" ht="12.75" customHeight="1" x14ac:dyDescent="0.2">
      <c r="A4176" s="3"/>
      <c r="B4176" s="3" t="s">
        <v>0</v>
      </c>
      <c r="C4176" s="3" t="s">
        <v>21</v>
      </c>
      <c r="D4176" s="2"/>
      <c r="E4176" s="2" t="e">
        <f t="shared" si="0"/>
        <v>#VALUE!</v>
      </c>
    </row>
    <row r="4177" spans="1:5" ht="12.75" customHeight="1" x14ac:dyDescent="0.2">
      <c r="A4177" s="3"/>
      <c r="B4177" s="3" t="s">
        <v>2</v>
      </c>
      <c r="C4177" s="3" t="s">
        <v>458</v>
      </c>
      <c r="D4177" s="2"/>
      <c r="E4177" s="2" t="e">
        <f t="shared" si="0"/>
        <v>#VALUE!</v>
      </c>
    </row>
    <row r="4178" spans="1:5" ht="12.75" customHeight="1" x14ac:dyDescent="0.2">
      <c r="A4178" s="3"/>
      <c r="B4178" s="3" t="s">
        <v>9</v>
      </c>
      <c r="C4178" s="3" t="s">
        <v>704</v>
      </c>
      <c r="D4178" s="2"/>
      <c r="E4178" s="2" t="e">
        <f t="shared" si="0"/>
        <v>#VALUE!</v>
      </c>
    </row>
    <row r="4179" spans="1:5" ht="12.75" customHeight="1" x14ac:dyDescent="0.2">
      <c r="A4179" s="3"/>
      <c r="B4179" s="3" t="s">
        <v>11</v>
      </c>
      <c r="C4179" s="3" t="s">
        <v>227</v>
      </c>
      <c r="D4179" s="2"/>
      <c r="E4179" s="2" t="e">
        <f t="shared" si="0"/>
        <v>#VALUE!</v>
      </c>
    </row>
    <row r="4180" spans="1:5" ht="12.75" customHeight="1" x14ac:dyDescent="0.2">
      <c r="A4180" s="3"/>
      <c r="B4180" s="3" t="s">
        <v>18</v>
      </c>
      <c r="C4180" s="4" t="s">
        <v>19</v>
      </c>
      <c r="D4180" s="2"/>
      <c r="E4180" s="2" t="e">
        <f t="shared" si="0"/>
        <v>#VALUE!</v>
      </c>
    </row>
    <row r="4181" spans="1:5" ht="12.75" customHeight="1" x14ac:dyDescent="0.2">
      <c r="A4181" s="1" t="str">
        <f>HYPERLINK("javascript:void(0)","tévelygés")</f>
        <v>tévelygés</v>
      </c>
      <c r="B4181" s="1"/>
      <c r="C4181" s="1"/>
      <c r="D4181" s="2"/>
      <c r="E4181" s="2" t="e">
        <f t="shared" si="0"/>
        <v>#VALUE!</v>
      </c>
    </row>
    <row r="4182" spans="1:5" ht="12.75" customHeight="1" x14ac:dyDescent="0.2">
      <c r="A4182" s="3"/>
      <c r="B4182" s="3" t="s">
        <v>0</v>
      </c>
      <c r="C4182" s="3" t="s">
        <v>21</v>
      </c>
      <c r="D4182" s="2"/>
      <c r="E4182" s="2" t="e">
        <f t="shared" si="0"/>
        <v>#VALUE!</v>
      </c>
    </row>
    <row r="4183" spans="1:5" ht="12.75" customHeight="1" x14ac:dyDescent="0.2">
      <c r="A4183" s="3"/>
      <c r="B4183" s="3" t="s">
        <v>2</v>
      </c>
      <c r="C4183" s="3" t="s">
        <v>458</v>
      </c>
      <c r="D4183" s="2"/>
      <c r="E4183" s="2" t="e">
        <f t="shared" si="0"/>
        <v>#VALUE!</v>
      </c>
    </row>
    <row r="4184" spans="1:5" ht="12.75" customHeight="1" x14ac:dyDescent="0.2">
      <c r="A4184" s="3"/>
      <c r="B4184" s="3" t="s">
        <v>9</v>
      </c>
      <c r="C4184" s="3" t="s">
        <v>22</v>
      </c>
      <c r="D4184" s="2"/>
      <c r="E4184" s="2" t="e">
        <f t="shared" si="0"/>
        <v>#VALUE!</v>
      </c>
    </row>
    <row r="4185" spans="1:5" ht="12.75" customHeight="1" x14ac:dyDescent="0.2">
      <c r="A4185" s="3"/>
      <c r="B4185" s="3" t="s">
        <v>11</v>
      </c>
      <c r="C4185" s="3" t="s">
        <v>156</v>
      </c>
      <c r="D4185" s="2"/>
      <c r="E4185" s="2" t="e">
        <f t="shared" si="0"/>
        <v>#VALUE!</v>
      </c>
    </row>
    <row r="4186" spans="1:5" ht="12.75" customHeight="1" x14ac:dyDescent="0.2">
      <c r="A4186" s="3"/>
      <c r="B4186" s="3" t="s">
        <v>18</v>
      </c>
      <c r="C4186" s="4" t="s">
        <v>19</v>
      </c>
      <c r="D4186" s="2"/>
      <c r="E4186" s="2" t="e">
        <f t="shared" si="0"/>
        <v>#VALUE!</v>
      </c>
    </row>
    <row r="4187" spans="1:5" ht="12.75" customHeight="1" x14ac:dyDescent="0.2">
      <c r="A4187" s="1" t="str">
        <f>HYPERLINK("javascript:void(0)","tévfuttatás")</f>
        <v>tévfuttatás</v>
      </c>
      <c r="B4187" s="1"/>
      <c r="C4187" s="1"/>
      <c r="D4187" s="2"/>
      <c r="E4187" s="2" t="e">
        <f t="shared" si="0"/>
        <v>#VALUE!</v>
      </c>
    </row>
    <row r="4188" spans="1:5" ht="12.75" customHeight="1" x14ac:dyDescent="0.2">
      <c r="A4188" s="3"/>
      <c r="B4188" s="3" t="s">
        <v>0</v>
      </c>
      <c r="C4188" s="3" t="s">
        <v>21</v>
      </c>
      <c r="D4188" s="2"/>
      <c r="E4188" s="2" t="e">
        <f t="shared" si="0"/>
        <v>#VALUE!</v>
      </c>
    </row>
    <row r="4189" spans="1:5" ht="12.75" customHeight="1" x14ac:dyDescent="0.2">
      <c r="A4189" s="3"/>
      <c r="B4189" s="3" t="s">
        <v>2</v>
      </c>
      <c r="C4189" s="3" t="s">
        <v>458</v>
      </c>
      <c r="D4189" s="2"/>
      <c r="E4189" s="2" t="e">
        <f t="shared" si="0"/>
        <v>#VALUE!</v>
      </c>
    </row>
    <row r="4190" spans="1:5" ht="12.75" customHeight="1" x14ac:dyDescent="0.2">
      <c r="A4190" s="3"/>
      <c r="B4190" s="3" t="s">
        <v>9</v>
      </c>
      <c r="C4190" s="3" t="s">
        <v>22</v>
      </c>
      <c r="D4190" s="2"/>
      <c r="E4190" s="2" t="e">
        <f t="shared" si="0"/>
        <v>#VALUE!</v>
      </c>
    </row>
    <row r="4191" spans="1:5" ht="12.75" customHeight="1" x14ac:dyDescent="0.2">
      <c r="A4191" s="3"/>
      <c r="B4191" s="3" t="s">
        <v>11</v>
      </c>
      <c r="C4191" s="3" t="s">
        <v>152</v>
      </c>
      <c r="D4191" s="2"/>
      <c r="E4191" s="2" t="e">
        <f t="shared" si="0"/>
        <v>#VALUE!</v>
      </c>
    </row>
    <row r="4192" spans="1:5" ht="12.75" customHeight="1" x14ac:dyDescent="0.2">
      <c r="A4192" s="3"/>
      <c r="B4192" s="3" t="s">
        <v>18</v>
      </c>
      <c r="C4192" s="4" t="s">
        <v>19</v>
      </c>
      <c r="D4192" s="2"/>
      <c r="E4192" s="2" t="e">
        <f t="shared" si="0"/>
        <v>#VALUE!</v>
      </c>
    </row>
    <row r="4193" spans="1:5" ht="12.75" customHeight="1" x14ac:dyDescent="0.2">
      <c r="A4193" s="1" t="str">
        <f>HYPERLINK("javascript:void(0)","tökfej")</f>
        <v>tökfej</v>
      </c>
      <c r="B4193" s="1"/>
      <c r="C4193" s="1"/>
      <c r="D4193" s="2"/>
      <c r="E4193" s="2" t="e">
        <f t="shared" si="0"/>
        <v>#VALUE!</v>
      </c>
    </row>
    <row r="4194" spans="1:5" ht="12.75" customHeight="1" x14ac:dyDescent="0.2">
      <c r="A4194" s="3"/>
      <c r="B4194" s="3" t="s">
        <v>0</v>
      </c>
      <c r="C4194" s="3" t="s">
        <v>21</v>
      </c>
      <c r="D4194" s="2"/>
      <c r="E4194" s="2" t="e">
        <f t="shared" si="0"/>
        <v>#VALUE!</v>
      </c>
    </row>
    <row r="4195" spans="1:5" ht="12.75" customHeight="1" x14ac:dyDescent="0.2">
      <c r="A4195" s="3"/>
      <c r="B4195" s="3" t="s">
        <v>2</v>
      </c>
      <c r="C4195" s="3" t="s">
        <v>458</v>
      </c>
      <c r="D4195" s="2"/>
      <c r="E4195" s="2" t="e">
        <f t="shared" si="0"/>
        <v>#VALUE!</v>
      </c>
    </row>
    <row r="4196" spans="1:5" ht="12.75" customHeight="1" x14ac:dyDescent="0.2">
      <c r="A4196" s="3"/>
      <c r="B4196" s="3" t="s">
        <v>9</v>
      </c>
      <c r="C4196" s="3" t="s">
        <v>22</v>
      </c>
      <c r="D4196" s="2"/>
      <c r="E4196" s="2" t="e">
        <f t="shared" si="0"/>
        <v>#VALUE!</v>
      </c>
    </row>
    <row r="4197" spans="1:5" ht="12.75" customHeight="1" x14ac:dyDescent="0.2">
      <c r="A4197" s="3"/>
      <c r="B4197" s="3" t="s">
        <v>11</v>
      </c>
      <c r="C4197" s="3" t="s">
        <v>116</v>
      </c>
      <c r="D4197" s="2"/>
      <c r="E4197" s="2" t="e">
        <f t="shared" si="0"/>
        <v>#VALUE!</v>
      </c>
    </row>
    <row r="4198" spans="1:5" ht="12.75" customHeight="1" x14ac:dyDescent="0.2">
      <c r="A4198" s="3"/>
      <c r="B4198" s="3" t="s">
        <v>18</v>
      </c>
      <c r="C4198" s="4" t="s">
        <v>19</v>
      </c>
      <c r="D4198" s="2"/>
      <c r="E4198" s="2" t="e">
        <f t="shared" si="0"/>
        <v>#VALUE!</v>
      </c>
    </row>
    <row r="4199" spans="1:5" ht="12.75" customHeight="1" x14ac:dyDescent="0.2">
      <c r="A4199" s="1" t="str">
        <f>HYPERLINK("javascript:void(0)","tökéletlen manafejpánt")</f>
        <v>tökéletlen manafejpánt</v>
      </c>
      <c r="B4199" s="1"/>
      <c r="C4199" s="1"/>
      <c r="D4199" s="2"/>
      <c r="E4199" s="2" t="e">
        <f t="shared" si="0"/>
        <v>#VALUE!</v>
      </c>
    </row>
    <row r="4200" spans="1:5" ht="12.75" customHeight="1" x14ac:dyDescent="0.2">
      <c r="A4200" s="3"/>
      <c r="B4200" s="3" t="s">
        <v>0</v>
      </c>
      <c r="C4200" s="3" t="s">
        <v>21</v>
      </c>
      <c r="D4200" s="2"/>
      <c r="E4200" s="2" t="e">
        <f t="shared" si="0"/>
        <v>#VALUE!</v>
      </c>
    </row>
    <row r="4201" spans="1:5" ht="12.75" customHeight="1" x14ac:dyDescent="0.2">
      <c r="A4201" s="3"/>
      <c r="B4201" s="3" t="s">
        <v>2</v>
      </c>
      <c r="C4201" s="3" t="s">
        <v>387</v>
      </c>
      <c r="D4201" s="2"/>
      <c r="E4201" s="2" t="e">
        <f t="shared" si="0"/>
        <v>#VALUE!</v>
      </c>
    </row>
    <row r="4202" spans="1:5" ht="12.75" customHeight="1" x14ac:dyDescent="0.2">
      <c r="A4202" s="3"/>
      <c r="B4202" s="3" t="s">
        <v>9</v>
      </c>
      <c r="C4202" s="3" t="s">
        <v>200</v>
      </c>
      <c r="D4202" s="2"/>
      <c r="E4202" s="2" t="e">
        <f t="shared" si="0"/>
        <v>#VALUE!</v>
      </c>
    </row>
    <row r="4203" spans="1:5" ht="12.75" customHeight="1" x14ac:dyDescent="0.2">
      <c r="A4203" s="3"/>
      <c r="B4203" s="3" t="s">
        <v>11</v>
      </c>
      <c r="C4203" s="3" t="s">
        <v>23</v>
      </c>
      <c r="D4203" s="2"/>
      <c r="E4203" s="2" t="e">
        <f t="shared" si="0"/>
        <v>#VALUE!</v>
      </c>
    </row>
    <row r="4204" spans="1:5" ht="12.75" customHeight="1" x14ac:dyDescent="0.2">
      <c r="A4204" s="3"/>
      <c r="B4204" s="3" t="s">
        <v>16</v>
      </c>
      <c r="C4204" s="3" t="s">
        <v>388</v>
      </c>
      <c r="D4204" s="2"/>
      <c r="E4204" s="2" t="e">
        <f t="shared" si="0"/>
        <v>#VALUE!</v>
      </c>
    </row>
    <row r="4205" spans="1:5" ht="12.75" customHeight="1" x14ac:dyDescent="0.2">
      <c r="A4205" s="3"/>
      <c r="B4205" s="3" t="s">
        <v>18</v>
      </c>
      <c r="C4205" s="4" t="s">
        <v>19</v>
      </c>
      <c r="D4205" s="2"/>
      <c r="E4205" s="2" t="e">
        <f t="shared" si="0"/>
        <v>#VALUE!</v>
      </c>
    </row>
    <row r="4206" spans="1:5" ht="12.75" customHeight="1" x14ac:dyDescent="0.2">
      <c r="A4206" s="1" t="str">
        <f>HYPERLINK("javascript:void(0)","törmelék")</f>
        <v>törmelék</v>
      </c>
      <c r="B4206" s="1"/>
      <c r="C4206" s="1"/>
      <c r="D4206" s="2"/>
      <c r="E4206" s="2" t="e">
        <f t="shared" si="0"/>
        <v>#VALUE!</v>
      </c>
    </row>
    <row r="4207" spans="1:5" ht="12.75" customHeight="1" x14ac:dyDescent="0.2">
      <c r="A4207" s="3"/>
      <c r="B4207" s="3" t="s">
        <v>0</v>
      </c>
      <c r="C4207" s="3" t="s">
        <v>21</v>
      </c>
      <c r="D4207" s="2"/>
      <c r="E4207" s="2" t="e">
        <f t="shared" si="0"/>
        <v>#VALUE!</v>
      </c>
    </row>
    <row r="4208" spans="1:5" ht="12.75" customHeight="1" x14ac:dyDescent="0.2">
      <c r="A4208" s="3"/>
      <c r="B4208" s="3" t="s">
        <v>2</v>
      </c>
      <c r="C4208" s="3" t="s">
        <v>458</v>
      </c>
      <c r="D4208" s="2"/>
      <c r="E4208" s="2" t="e">
        <f t="shared" si="0"/>
        <v>#VALUE!</v>
      </c>
    </row>
    <row r="4209" spans="1:5" ht="12.75" customHeight="1" x14ac:dyDescent="0.2">
      <c r="A4209" s="3"/>
      <c r="B4209" s="3" t="s">
        <v>9</v>
      </c>
      <c r="C4209" s="3" t="s">
        <v>22</v>
      </c>
      <c r="D4209" s="2"/>
      <c r="E4209" s="2" t="e">
        <f t="shared" si="0"/>
        <v>#VALUE!</v>
      </c>
    </row>
    <row r="4210" spans="1:5" ht="12.75" customHeight="1" x14ac:dyDescent="0.2">
      <c r="A4210" s="3"/>
      <c r="B4210" s="3" t="s">
        <v>11</v>
      </c>
      <c r="C4210" s="3" t="s">
        <v>689</v>
      </c>
      <c r="D4210" s="2"/>
      <c r="E4210" s="2" t="e">
        <f t="shared" si="0"/>
        <v>#VALUE!</v>
      </c>
    </row>
    <row r="4211" spans="1:5" ht="12.75" customHeight="1" x14ac:dyDescent="0.2">
      <c r="A4211" s="3"/>
      <c r="B4211" s="3" t="s">
        <v>18</v>
      </c>
      <c r="C4211" s="4" t="s">
        <v>19</v>
      </c>
      <c r="D4211" s="2"/>
      <c r="E4211" s="2" t="e">
        <f t="shared" si="0"/>
        <v>#VALUE!</v>
      </c>
    </row>
    <row r="4212" spans="1:5" ht="12.75" customHeight="1" x14ac:dyDescent="0.2">
      <c r="A4212" s="1" t="str">
        <f>HYPERLINK("javascript:void(0)","törpe jégeralsó")</f>
        <v>törpe jégeralsó</v>
      </c>
      <c r="B4212" s="1"/>
      <c r="C4212" s="1"/>
      <c r="D4212" s="2"/>
      <c r="E4212" s="2" t="e">
        <f t="shared" si="0"/>
        <v>#VALUE!</v>
      </c>
    </row>
    <row r="4213" spans="1:5" ht="12.75" customHeight="1" x14ac:dyDescent="0.2">
      <c r="A4213" s="3"/>
      <c r="B4213" s="3" t="s">
        <v>0</v>
      </c>
      <c r="C4213" s="3" t="s">
        <v>21</v>
      </c>
      <c r="D4213" s="2"/>
      <c r="E4213" s="2" t="e">
        <f t="shared" si="0"/>
        <v>#VALUE!</v>
      </c>
    </row>
    <row r="4214" spans="1:5" ht="12.75" customHeight="1" x14ac:dyDescent="0.2">
      <c r="A4214" s="3"/>
      <c r="B4214" s="3" t="s">
        <v>2</v>
      </c>
      <c r="C4214" s="3" t="s">
        <v>387</v>
      </c>
      <c r="D4214" s="2"/>
      <c r="E4214" s="2" t="e">
        <f t="shared" si="0"/>
        <v>#VALUE!</v>
      </c>
    </row>
    <row r="4215" spans="1:5" ht="12.75" customHeight="1" x14ac:dyDescent="0.2">
      <c r="A4215" s="3"/>
      <c r="B4215" s="3" t="s">
        <v>9</v>
      </c>
      <c r="C4215" s="3" t="s">
        <v>84</v>
      </c>
      <c r="D4215" s="2"/>
      <c r="E4215" s="2" t="e">
        <f t="shared" si="0"/>
        <v>#VALUE!</v>
      </c>
    </row>
    <row r="4216" spans="1:5" ht="12.75" customHeight="1" x14ac:dyDescent="0.2">
      <c r="A4216" s="3"/>
      <c r="B4216" s="3" t="s">
        <v>11</v>
      </c>
      <c r="C4216" s="3" t="s">
        <v>23</v>
      </c>
      <c r="D4216" s="2"/>
      <c r="E4216" s="2" t="e">
        <f t="shared" si="0"/>
        <v>#VALUE!</v>
      </c>
    </row>
    <row r="4217" spans="1:5" ht="12.75" customHeight="1" x14ac:dyDescent="0.2">
      <c r="A4217" s="3"/>
      <c r="B4217" s="3" t="s">
        <v>16</v>
      </c>
      <c r="C4217" s="3" t="s">
        <v>388</v>
      </c>
      <c r="D4217" s="2"/>
      <c r="E4217" s="2" t="e">
        <f t="shared" si="0"/>
        <v>#VALUE!</v>
      </c>
    </row>
    <row r="4218" spans="1:5" ht="12.75" customHeight="1" x14ac:dyDescent="0.2">
      <c r="A4218" s="3"/>
      <c r="B4218" s="3" t="s">
        <v>18</v>
      </c>
      <c r="C4218" s="4" t="s">
        <v>19</v>
      </c>
      <c r="D4218" s="2"/>
      <c r="E4218" s="2" t="e">
        <f t="shared" si="0"/>
        <v>#VALUE!</v>
      </c>
    </row>
    <row r="4219" spans="1:5" ht="12.75" customHeight="1" x14ac:dyDescent="0.2">
      <c r="A4219" s="1" t="str">
        <f>HYPERLINK("javascript:void(0)","törtvény")</f>
        <v>törtvény</v>
      </c>
      <c r="B4219" s="1"/>
      <c r="C4219" s="1"/>
      <c r="D4219" s="2"/>
      <c r="E4219" s="2" t="e">
        <f t="shared" si="0"/>
        <v>#VALUE!</v>
      </c>
    </row>
    <row r="4220" spans="1:5" ht="12.75" customHeight="1" x14ac:dyDescent="0.2">
      <c r="A4220" s="3"/>
      <c r="B4220" s="3" t="s">
        <v>0</v>
      </c>
      <c r="C4220" s="3" t="s">
        <v>21</v>
      </c>
      <c r="D4220" s="2"/>
      <c r="E4220" s="2" t="e">
        <f t="shared" si="0"/>
        <v>#VALUE!</v>
      </c>
    </row>
    <row r="4221" spans="1:5" ht="12.75" customHeight="1" x14ac:dyDescent="0.2">
      <c r="A4221" s="3"/>
      <c r="B4221" s="3" t="s">
        <v>2</v>
      </c>
      <c r="C4221" s="3" t="s">
        <v>458</v>
      </c>
      <c r="D4221" s="2"/>
      <c r="E4221" s="2" t="e">
        <f t="shared" si="0"/>
        <v>#VALUE!</v>
      </c>
    </row>
    <row r="4222" spans="1:5" ht="12.75" customHeight="1" x14ac:dyDescent="0.2">
      <c r="A4222" s="3"/>
      <c r="B4222" s="3" t="s">
        <v>9</v>
      </c>
      <c r="C4222" s="3" t="s">
        <v>22</v>
      </c>
      <c r="D4222" s="2"/>
      <c r="E4222" s="2" t="e">
        <f t="shared" si="0"/>
        <v>#VALUE!</v>
      </c>
    </row>
    <row r="4223" spans="1:5" ht="12.75" customHeight="1" x14ac:dyDescent="0.2">
      <c r="A4223" s="3"/>
      <c r="B4223" s="3" t="s">
        <v>11</v>
      </c>
      <c r="C4223" s="3" t="s">
        <v>976</v>
      </c>
      <c r="D4223" s="2"/>
      <c r="E4223" s="2" t="e">
        <f t="shared" si="0"/>
        <v>#VALUE!</v>
      </c>
    </row>
    <row r="4224" spans="1:5" ht="12.75" customHeight="1" x14ac:dyDescent="0.2">
      <c r="A4224" s="3"/>
      <c r="B4224" s="3" t="s">
        <v>18</v>
      </c>
      <c r="C4224" s="4" t="s">
        <v>19</v>
      </c>
      <c r="D4224" s="2"/>
      <c r="E4224" s="2" t="e">
        <f t="shared" si="0"/>
        <v>#VALUE!</v>
      </c>
    </row>
    <row r="4225" spans="1:5" ht="12.75" customHeight="1" x14ac:dyDescent="0.2">
      <c r="A4225" s="1" t="str">
        <f>HYPERLINK("javascript:void(0)","tükörgömb")</f>
        <v>tükörgömb</v>
      </c>
      <c r="B4225" s="1"/>
      <c r="C4225" s="1"/>
      <c r="D4225" s="2"/>
      <c r="E4225" s="2" t="e">
        <f t="shared" si="0"/>
        <v>#VALUE!</v>
      </c>
    </row>
    <row r="4226" spans="1:5" ht="12.75" customHeight="1" x14ac:dyDescent="0.2">
      <c r="A4226" s="3"/>
      <c r="B4226" s="3" t="s">
        <v>0</v>
      </c>
      <c r="C4226" s="3" t="s">
        <v>21</v>
      </c>
      <c r="D4226" s="2"/>
      <c r="E4226" s="2" t="e">
        <f t="shared" si="0"/>
        <v>#VALUE!</v>
      </c>
    </row>
    <row r="4227" spans="1:5" ht="12.75" customHeight="1" x14ac:dyDescent="0.2">
      <c r="A4227" s="3"/>
      <c r="B4227" s="3" t="s">
        <v>2</v>
      </c>
      <c r="C4227" s="3" t="s">
        <v>458</v>
      </c>
      <c r="D4227" s="2"/>
      <c r="E4227" s="2" t="e">
        <f t="shared" si="0"/>
        <v>#VALUE!</v>
      </c>
    </row>
    <row r="4228" spans="1:5" ht="12.75" customHeight="1" x14ac:dyDescent="0.2">
      <c r="A4228" s="3"/>
      <c r="B4228" s="3" t="s">
        <v>9</v>
      </c>
      <c r="C4228" s="3" t="s">
        <v>1527</v>
      </c>
      <c r="D4228" s="2"/>
      <c r="E4228" s="2" t="e">
        <f t="shared" si="0"/>
        <v>#VALUE!</v>
      </c>
    </row>
    <row r="4229" spans="1:5" ht="12.75" customHeight="1" x14ac:dyDescent="0.2">
      <c r="A4229" s="3"/>
      <c r="B4229" s="3" t="s">
        <v>11</v>
      </c>
      <c r="C4229" s="3" t="s">
        <v>1717</v>
      </c>
      <c r="D4229" s="2"/>
      <c r="E4229" s="2" t="e">
        <f t="shared" si="0"/>
        <v>#VALUE!</v>
      </c>
    </row>
    <row r="4230" spans="1:5" ht="12.75" customHeight="1" x14ac:dyDescent="0.2">
      <c r="A4230" s="3"/>
      <c r="B4230" s="3" t="s">
        <v>18</v>
      </c>
      <c r="C4230" s="4" t="s">
        <v>19</v>
      </c>
      <c r="D4230" s="2"/>
      <c r="E4230" s="2" t="e">
        <f t="shared" si="0"/>
        <v>#VALUE!</v>
      </c>
    </row>
    <row r="4231" spans="1:5" ht="12.75" customHeight="1" x14ac:dyDescent="0.2">
      <c r="A4231" s="1" t="str">
        <f>HYPERLINK("javascript:void(0)","tőrpenge")</f>
        <v>tőrpenge</v>
      </c>
      <c r="B4231" s="1"/>
      <c r="C4231" s="1"/>
      <c r="D4231" s="2"/>
      <c r="E4231" s="2" t="e">
        <f t="shared" si="0"/>
        <v>#VALUE!</v>
      </c>
    </row>
    <row r="4232" spans="1:5" ht="12.75" customHeight="1" x14ac:dyDescent="0.2">
      <c r="A4232" s="3"/>
      <c r="B4232" s="3" t="s">
        <v>0</v>
      </c>
      <c r="C4232" s="3" t="s">
        <v>21</v>
      </c>
      <c r="D4232" s="2"/>
      <c r="E4232" s="2" t="e">
        <f t="shared" si="0"/>
        <v>#VALUE!</v>
      </c>
    </row>
    <row r="4233" spans="1:5" ht="12.75" customHeight="1" x14ac:dyDescent="0.2">
      <c r="A4233" s="3"/>
      <c r="B4233" s="3" t="s">
        <v>2</v>
      </c>
      <c r="C4233" s="3" t="s">
        <v>458</v>
      </c>
      <c r="D4233" s="2"/>
      <c r="E4233" s="2" t="e">
        <f t="shared" si="0"/>
        <v>#VALUE!</v>
      </c>
    </row>
    <row r="4234" spans="1:5" ht="12.75" customHeight="1" x14ac:dyDescent="0.2">
      <c r="A4234" s="3"/>
      <c r="B4234" s="3" t="s">
        <v>9</v>
      </c>
      <c r="C4234" s="3" t="s">
        <v>22</v>
      </c>
      <c r="D4234" s="2"/>
      <c r="E4234" s="2" t="e">
        <f t="shared" si="0"/>
        <v>#VALUE!</v>
      </c>
    </row>
    <row r="4235" spans="1:5" ht="12.75" customHeight="1" x14ac:dyDescent="0.2">
      <c r="A4235" s="3"/>
      <c r="B4235" s="3" t="s">
        <v>11</v>
      </c>
      <c r="C4235" s="3" t="s">
        <v>89</v>
      </c>
      <c r="D4235" s="2"/>
      <c r="E4235" s="2" t="e">
        <f t="shared" si="0"/>
        <v>#VALUE!</v>
      </c>
    </row>
    <row r="4236" spans="1:5" ht="12.75" customHeight="1" x14ac:dyDescent="0.2">
      <c r="A4236" s="3"/>
      <c r="B4236" s="3" t="s">
        <v>18</v>
      </c>
      <c r="C4236" s="4" t="s">
        <v>19</v>
      </c>
      <c r="D4236" s="2"/>
      <c r="E4236" s="2" t="e">
        <f t="shared" si="0"/>
        <v>#VALUE!</v>
      </c>
    </row>
    <row r="4237" spans="1:5" ht="12.75" customHeight="1" x14ac:dyDescent="0.2">
      <c r="A4237" s="1" t="str">
        <f>HYPERLINK("javascript:void(0)","tűzige")</f>
        <v>tűzige</v>
      </c>
      <c r="B4237" s="1"/>
      <c r="C4237" s="1"/>
      <c r="D4237" s="2"/>
      <c r="E4237" s="2" t="e">
        <f t="shared" si="0"/>
        <v>#VALUE!</v>
      </c>
    </row>
    <row r="4238" spans="1:5" ht="12.75" customHeight="1" x14ac:dyDescent="0.2">
      <c r="A4238" s="3"/>
      <c r="B4238" s="3" t="s">
        <v>0</v>
      </c>
      <c r="C4238" s="3" t="s">
        <v>21</v>
      </c>
      <c r="D4238" s="2"/>
      <c r="E4238" s="2" t="e">
        <f t="shared" si="0"/>
        <v>#VALUE!</v>
      </c>
    </row>
    <row r="4239" spans="1:5" ht="12.75" customHeight="1" x14ac:dyDescent="0.2">
      <c r="A4239" s="3"/>
      <c r="B4239" s="3" t="s">
        <v>2</v>
      </c>
      <c r="C4239" s="3" t="s">
        <v>458</v>
      </c>
      <c r="D4239" s="2"/>
      <c r="E4239" s="2" t="e">
        <f t="shared" si="0"/>
        <v>#VALUE!</v>
      </c>
    </row>
    <row r="4240" spans="1:5" ht="12.75" customHeight="1" x14ac:dyDescent="0.2">
      <c r="A4240" s="3"/>
      <c r="B4240" s="3" t="s">
        <v>9</v>
      </c>
      <c r="C4240" s="3" t="s">
        <v>53</v>
      </c>
      <c r="D4240" s="2"/>
      <c r="E4240" s="2" t="e">
        <f t="shared" si="0"/>
        <v>#VALUE!</v>
      </c>
    </row>
    <row r="4241" spans="1:5" ht="12.75" customHeight="1" x14ac:dyDescent="0.2">
      <c r="A4241" s="3"/>
      <c r="B4241" s="3" t="s">
        <v>11</v>
      </c>
      <c r="C4241" s="3" t="s">
        <v>505</v>
      </c>
      <c r="D4241" s="2"/>
      <c r="E4241" s="2" t="e">
        <f t="shared" si="0"/>
        <v>#VALUE!</v>
      </c>
    </row>
    <row r="4242" spans="1:5" ht="12.75" customHeight="1" x14ac:dyDescent="0.2">
      <c r="A4242" s="3"/>
      <c r="B4242" s="3" t="s">
        <v>18</v>
      </c>
      <c r="C4242" s="4" t="s">
        <v>19</v>
      </c>
      <c r="D4242" s="2"/>
      <c r="E4242" s="2" t="e">
        <f t="shared" si="0"/>
        <v>#VALUE!</v>
      </c>
    </row>
    <row r="4243" spans="1:5" ht="12.75" customHeight="1" x14ac:dyDescent="0.2">
      <c r="A4243" s="1" t="str">
        <f>HYPERLINK("javascript:void(0)","undormány")</f>
        <v>undormány</v>
      </c>
      <c r="B4243" s="1"/>
      <c r="C4243" s="1"/>
      <c r="D4243" s="2"/>
      <c r="E4243" s="2" t="e">
        <f t="shared" si="0"/>
        <v>#VALUE!</v>
      </c>
    </row>
    <row r="4244" spans="1:5" ht="12.75" customHeight="1" x14ac:dyDescent="0.2">
      <c r="A4244" s="3"/>
      <c r="B4244" s="3" t="s">
        <v>0</v>
      </c>
      <c r="C4244" s="3" t="s">
        <v>21</v>
      </c>
      <c r="D4244" s="2"/>
      <c r="E4244" s="2" t="e">
        <f t="shared" si="0"/>
        <v>#VALUE!</v>
      </c>
    </row>
    <row r="4245" spans="1:5" ht="12.75" customHeight="1" x14ac:dyDescent="0.2">
      <c r="A4245" s="3"/>
      <c r="B4245" s="3" t="s">
        <v>2</v>
      </c>
      <c r="C4245" s="3" t="s">
        <v>458</v>
      </c>
      <c r="D4245" s="2"/>
      <c r="E4245" s="2" t="e">
        <f t="shared" si="0"/>
        <v>#VALUE!</v>
      </c>
    </row>
    <row r="4246" spans="1:5" ht="12.75" customHeight="1" x14ac:dyDescent="0.2">
      <c r="A4246" s="3"/>
      <c r="B4246" s="3" t="s">
        <v>9</v>
      </c>
      <c r="C4246" s="3" t="s">
        <v>126</v>
      </c>
      <c r="D4246" s="2"/>
      <c r="E4246" s="2" t="e">
        <f t="shared" si="0"/>
        <v>#VALUE!</v>
      </c>
    </row>
    <row r="4247" spans="1:5" ht="12.75" customHeight="1" x14ac:dyDescent="0.2">
      <c r="A4247" s="3"/>
      <c r="B4247" s="3" t="s">
        <v>11</v>
      </c>
      <c r="C4247" s="3" t="s">
        <v>1723</v>
      </c>
      <c r="D4247" s="2"/>
      <c r="E4247" s="2" t="e">
        <f t="shared" si="0"/>
        <v>#VALUE!</v>
      </c>
    </row>
    <row r="4248" spans="1:5" ht="12.75" customHeight="1" x14ac:dyDescent="0.2">
      <c r="A4248" s="3"/>
      <c r="B4248" s="3" t="s">
        <v>18</v>
      </c>
      <c r="C4248" s="4" t="s">
        <v>19</v>
      </c>
      <c r="D4248" s="2"/>
      <c r="E4248" s="2" t="e">
        <f t="shared" si="0"/>
        <v>#VALUE!</v>
      </c>
    </row>
    <row r="4249" spans="1:5" ht="12.75" customHeight="1" x14ac:dyDescent="0.2">
      <c r="A4249" s="1" t="str">
        <f>HYPERLINK("javascript:void(0)","unikornisszarv")</f>
        <v>unikornisszarv</v>
      </c>
      <c r="B4249" s="1"/>
      <c r="C4249" s="1"/>
      <c r="D4249" s="2"/>
      <c r="E4249" s="2" t="e">
        <f t="shared" si="0"/>
        <v>#VALUE!</v>
      </c>
    </row>
    <row r="4250" spans="1:5" ht="12.75" customHeight="1" x14ac:dyDescent="0.2">
      <c r="A4250" s="3"/>
      <c r="B4250" s="3" t="s">
        <v>0</v>
      </c>
      <c r="C4250" s="3" t="s">
        <v>21</v>
      </c>
      <c r="D4250" s="2"/>
      <c r="E4250" s="2" t="e">
        <f t="shared" si="0"/>
        <v>#VALUE!</v>
      </c>
    </row>
    <row r="4251" spans="1:5" ht="12.75" customHeight="1" x14ac:dyDescent="0.2">
      <c r="A4251" s="3"/>
      <c r="B4251" s="3" t="s">
        <v>2</v>
      </c>
      <c r="C4251" s="3" t="s">
        <v>387</v>
      </c>
      <c r="D4251" s="2"/>
      <c r="E4251" s="2" t="e">
        <f t="shared" si="0"/>
        <v>#VALUE!</v>
      </c>
    </row>
    <row r="4252" spans="1:5" ht="12.75" customHeight="1" x14ac:dyDescent="0.2">
      <c r="A4252" s="3"/>
      <c r="B4252" s="3" t="s">
        <v>9</v>
      </c>
      <c r="C4252" s="3" t="s">
        <v>137</v>
      </c>
      <c r="D4252" s="2"/>
      <c r="E4252" s="2" t="e">
        <f t="shared" si="0"/>
        <v>#VALUE!</v>
      </c>
    </row>
    <row r="4253" spans="1:5" ht="12.75" customHeight="1" x14ac:dyDescent="0.2">
      <c r="A4253" s="3"/>
      <c r="B4253" s="3" t="s">
        <v>11</v>
      </c>
      <c r="C4253" s="3" t="s">
        <v>1636</v>
      </c>
      <c r="D4253" s="2"/>
      <c r="E4253" s="2" t="e">
        <f t="shared" si="0"/>
        <v>#VALUE!</v>
      </c>
    </row>
    <row r="4254" spans="1:5" ht="12.75" customHeight="1" x14ac:dyDescent="0.2">
      <c r="A4254" s="3"/>
      <c r="B4254" s="3" t="s">
        <v>18</v>
      </c>
      <c r="C4254" s="4" t="s">
        <v>19</v>
      </c>
      <c r="D4254" s="2"/>
      <c r="E4254" s="2" t="e">
        <f t="shared" si="0"/>
        <v>#VALUE!</v>
      </c>
    </row>
    <row r="4255" spans="1:5" ht="12.75" customHeight="1" x14ac:dyDescent="0.2">
      <c r="A4255" s="1" t="str">
        <f>HYPERLINK("javascript:void(0)","unikornisszarv")</f>
        <v>unikornisszarv</v>
      </c>
      <c r="B4255" s="1"/>
      <c r="C4255" s="1"/>
      <c r="D4255" s="2"/>
      <c r="E4255" s="2" t="e">
        <f t="shared" si="0"/>
        <v>#VALUE!</v>
      </c>
    </row>
    <row r="4256" spans="1:5" ht="12.75" customHeight="1" x14ac:dyDescent="0.2">
      <c r="A4256" s="3"/>
      <c r="B4256" s="3" t="s">
        <v>0</v>
      </c>
      <c r="C4256" s="3" t="s">
        <v>21</v>
      </c>
      <c r="D4256" s="2"/>
      <c r="E4256" s="2" t="e">
        <f t="shared" si="0"/>
        <v>#VALUE!</v>
      </c>
    </row>
    <row r="4257" spans="1:5" ht="12.75" customHeight="1" x14ac:dyDescent="0.2">
      <c r="A4257" s="3"/>
      <c r="B4257" s="3" t="s">
        <v>2</v>
      </c>
      <c r="C4257" s="3" t="s">
        <v>387</v>
      </c>
      <c r="D4257" s="2"/>
      <c r="E4257" s="2" t="e">
        <f t="shared" si="0"/>
        <v>#VALUE!</v>
      </c>
    </row>
    <row r="4258" spans="1:5" ht="12.75" customHeight="1" x14ac:dyDescent="0.2">
      <c r="A4258" s="3"/>
      <c r="B4258" s="3" t="s">
        <v>9</v>
      </c>
      <c r="C4258" s="3" t="s">
        <v>36</v>
      </c>
      <c r="D4258" s="2"/>
      <c r="E4258" s="2" t="e">
        <f t="shared" si="0"/>
        <v>#VALUE!</v>
      </c>
    </row>
    <row r="4259" spans="1:5" ht="12.75" customHeight="1" x14ac:dyDescent="0.2">
      <c r="A4259" s="3"/>
      <c r="B4259" s="3" t="s">
        <v>11</v>
      </c>
      <c r="C4259" s="3" t="s">
        <v>23</v>
      </c>
      <c r="D4259" s="2"/>
      <c r="E4259" s="2" t="e">
        <f t="shared" si="0"/>
        <v>#VALUE!</v>
      </c>
    </row>
    <row r="4260" spans="1:5" ht="12.75" customHeight="1" x14ac:dyDescent="0.2">
      <c r="A4260" s="3"/>
      <c r="B4260" s="3" t="s">
        <v>16</v>
      </c>
      <c r="C4260" s="3" t="s">
        <v>388</v>
      </c>
      <c r="D4260" s="2"/>
      <c r="E4260" s="2" t="e">
        <f t="shared" si="0"/>
        <v>#VALUE!</v>
      </c>
    </row>
    <row r="4261" spans="1:5" ht="12.75" customHeight="1" x14ac:dyDescent="0.2">
      <c r="A4261" s="3"/>
      <c r="B4261" s="3" t="s">
        <v>18</v>
      </c>
      <c r="C4261" s="4" t="s">
        <v>19</v>
      </c>
      <c r="D4261" s="2"/>
      <c r="E4261" s="2" t="e">
        <f t="shared" si="0"/>
        <v>#VALUE!</v>
      </c>
    </row>
    <row r="4262" spans="1:5" ht="12.75" customHeight="1" x14ac:dyDescent="0.2">
      <c r="A4262" s="1" t="str">
        <f>HYPERLINK("javascript:void(0)","univerzium")</f>
        <v>univerzium</v>
      </c>
      <c r="B4262" s="1"/>
      <c r="C4262" s="1"/>
      <c r="D4262" s="2"/>
      <c r="E4262" s="2" t="e">
        <f t="shared" si="0"/>
        <v>#VALUE!</v>
      </c>
    </row>
    <row r="4263" spans="1:5" ht="12.75" customHeight="1" x14ac:dyDescent="0.2">
      <c r="A4263" s="3"/>
      <c r="B4263" s="3" t="s">
        <v>0</v>
      </c>
      <c r="C4263" s="3" t="s">
        <v>21</v>
      </c>
      <c r="D4263" s="2"/>
      <c r="E4263" s="2" t="e">
        <f t="shared" si="0"/>
        <v>#VALUE!</v>
      </c>
    </row>
    <row r="4264" spans="1:5" ht="12.75" customHeight="1" x14ac:dyDescent="0.2">
      <c r="A4264" s="3"/>
      <c r="B4264" s="3" t="s">
        <v>2</v>
      </c>
      <c r="C4264" s="3" t="s">
        <v>458</v>
      </c>
      <c r="D4264" s="2"/>
      <c r="E4264" s="2" t="e">
        <f t="shared" si="0"/>
        <v>#VALUE!</v>
      </c>
    </row>
    <row r="4265" spans="1:5" ht="12.75" customHeight="1" x14ac:dyDescent="0.2">
      <c r="A4265" s="3"/>
      <c r="B4265" s="3" t="s">
        <v>9</v>
      </c>
      <c r="C4265" s="3" t="s">
        <v>22</v>
      </c>
      <c r="D4265" s="2"/>
      <c r="E4265" s="2" t="e">
        <f t="shared" si="0"/>
        <v>#VALUE!</v>
      </c>
    </row>
    <row r="4266" spans="1:5" ht="12.75" customHeight="1" x14ac:dyDescent="0.2">
      <c r="A4266" s="3"/>
      <c r="B4266" s="3" t="s">
        <v>11</v>
      </c>
      <c r="C4266" s="3" t="s">
        <v>227</v>
      </c>
      <c r="D4266" s="2"/>
      <c r="E4266" s="2" t="e">
        <f t="shared" si="0"/>
        <v>#VALUE!</v>
      </c>
    </row>
    <row r="4267" spans="1:5" ht="12.75" customHeight="1" x14ac:dyDescent="0.2">
      <c r="A4267" s="3"/>
      <c r="B4267" s="3" t="s">
        <v>18</v>
      </c>
      <c r="C4267" s="4" t="s">
        <v>19</v>
      </c>
      <c r="D4267" s="2"/>
      <c r="E4267" s="2" t="e">
        <f t="shared" si="0"/>
        <v>#VALUE!</v>
      </c>
    </row>
    <row r="4268" spans="1:5" ht="12.75" customHeight="1" x14ac:dyDescent="0.2">
      <c r="A4268" s="1" t="str">
        <f>HYPERLINK("javascript:void(0)","uszony")</f>
        <v>uszony</v>
      </c>
      <c r="B4268" s="1"/>
      <c r="C4268" s="1"/>
      <c r="D4268" s="2"/>
      <c r="E4268" s="2" t="e">
        <f t="shared" si="0"/>
        <v>#VALUE!</v>
      </c>
    </row>
    <row r="4269" spans="1:5" ht="12.75" customHeight="1" x14ac:dyDescent="0.2">
      <c r="A4269" s="3"/>
      <c r="B4269" s="3" t="s">
        <v>0</v>
      </c>
      <c r="C4269" s="3" t="s">
        <v>21</v>
      </c>
      <c r="D4269" s="2"/>
      <c r="E4269" s="2" t="e">
        <f t="shared" si="0"/>
        <v>#VALUE!</v>
      </c>
    </row>
    <row r="4270" spans="1:5" ht="12.75" customHeight="1" x14ac:dyDescent="0.2">
      <c r="A4270" s="3"/>
      <c r="B4270" s="3" t="s">
        <v>2</v>
      </c>
      <c r="C4270" s="3" t="s">
        <v>458</v>
      </c>
      <c r="D4270" s="2"/>
      <c r="E4270" s="2" t="e">
        <f t="shared" si="0"/>
        <v>#VALUE!</v>
      </c>
    </row>
    <row r="4271" spans="1:5" ht="12.75" customHeight="1" x14ac:dyDescent="0.2">
      <c r="A4271" s="3"/>
      <c r="B4271" s="3" t="s">
        <v>9</v>
      </c>
      <c r="C4271" s="3" t="s">
        <v>137</v>
      </c>
      <c r="D4271" s="2"/>
      <c r="E4271" s="2" t="e">
        <f t="shared" si="0"/>
        <v>#VALUE!</v>
      </c>
    </row>
    <row r="4272" spans="1:5" ht="12.75" customHeight="1" x14ac:dyDescent="0.2">
      <c r="A4272" s="3"/>
      <c r="B4272" s="3" t="s">
        <v>11</v>
      </c>
      <c r="C4272" s="3" t="s">
        <v>227</v>
      </c>
      <c r="D4272" s="2"/>
      <c r="E4272" s="2" t="e">
        <f t="shared" si="0"/>
        <v>#VALUE!</v>
      </c>
    </row>
    <row r="4273" spans="1:5" ht="12.75" customHeight="1" x14ac:dyDescent="0.2">
      <c r="A4273" s="3"/>
      <c r="B4273" s="3" t="s">
        <v>18</v>
      </c>
      <c r="C4273" s="4" t="s">
        <v>19</v>
      </c>
      <c r="D4273" s="2"/>
      <c r="E4273" s="2" t="e">
        <f t="shared" si="0"/>
        <v>#VALUE!</v>
      </c>
    </row>
    <row r="4274" spans="1:5" ht="12.75" customHeight="1" x14ac:dyDescent="0.2">
      <c r="A4274" s="1" t="str">
        <f>HYPERLINK("javascript:void(0)","utóguta")</f>
        <v>utóguta</v>
      </c>
      <c r="B4274" s="1"/>
      <c r="C4274" s="1"/>
      <c r="D4274" s="2"/>
      <c r="E4274" s="2" t="e">
        <f t="shared" si="0"/>
        <v>#VALUE!</v>
      </c>
    </row>
    <row r="4275" spans="1:5" ht="12.75" customHeight="1" x14ac:dyDescent="0.2">
      <c r="A4275" s="3"/>
      <c r="B4275" s="3" t="s">
        <v>0</v>
      </c>
      <c r="C4275" s="3" t="s">
        <v>21</v>
      </c>
      <c r="D4275" s="2"/>
      <c r="E4275" s="2" t="e">
        <f t="shared" si="0"/>
        <v>#VALUE!</v>
      </c>
    </row>
    <row r="4276" spans="1:5" ht="12.75" customHeight="1" x14ac:dyDescent="0.2">
      <c r="A4276" s="3"/>
      <c r="B4276" s="3" t="s">
        <v>2</v>
      </c>
      <c r="C4276" s="3" t="s">
        <v>458</v>
      </c>
      <c r="D4276" s="2"/>
      <c r="E4276" s="2" t="e">
        <f t="shared" si="0"/>
        <v>#VALUE!</v>
      </c>
    </row>
    <row r="4277" spans="1:5" ht="12.75" customHeight="1" x14ac:dyDescent="0.2">
      <c r="A4277" s="3"/>
      <c r="B4277" s="3" t="s">
        <v>9</v>
      </c>
      <c r="C4277" s="3" t="s">
        <v>860</v>
      </c>
      <c r="D4277" s="2"/>
      <c r="E4277" s="2" t="e">
        <f t="shared" si="0"/>
        <v>#VALUE!</v>
      </c>
    </row>
    <row r="4278" spans="1:5" ht="12.75" customHeight="1" x14ac:dyDescent="0.2">
      <c r="A4278" s="3"/>
      <c r="B4278" s="3" t="s">
        <v>11</v>
      </c>
      <c r="C4278" s="3" t="s">
        <v>861</v>
      </c>
      <c r="D4278" s="2"/>
      <c r="E4278" s="2" t="e">
        <f t="shared" si="0"/>
        <v>#VALUE!</v>
      </c>
    </row>
    <row r="4279" spans="1:5" ht="12.75" customHeight="1" x14ac:dyDescent="0.2">
      <c r="A4279" s="3"/>
      <c r="B4279" s="3" t="s">
        <v>18</v>
      </c>
      <c r="C4279" s="4" t="s">
        <v>19</v>
      </c>
      <c r="D4279" s="2"/>
      <c r="E4279" s="2" t="e">
        <f t="shared" si="0"/>
        <v>#VALUE!</v>
      </c>
    </row>
    <row r="4280" spans="1:5" ht="12.75" customHeight="1" x14ac:dyDescent="0.2">
      <c r="A4280" s="1" t="str">
        <f>HYPERLINK("javascript:void(0)","vacogás")</f>
        <v>vacogás</v>
      </c>
      <c r="B4280" s="1"/>
      <c r="C4280" s="1"/>
      <c r="D4280" s="2"/>
      <c r="E4280" s="2" t="e">
        <f t="shared" si="0"/>
        <v>#VALUE!</v>
      </c>
    </row>
    <row r="4281" spans="1:5" ht="12.75" customHeight="1" x14ac:dyDescent="0.2">
      <c r="A4281" s="3"/>
      <c r="B4281" s="3" t="s">
        <v>0</v>
      </c>
      <c r="C4281" s="3" t="s">
        <v>21</v>
      </c>
      <c r="D4281" s="2"/>
      <c r="E4281" s="2" t="e">
        <f t="shared" si="0"/>
        <v>#VALUE!</v>
      </c>
    </row>
    <row r="4282" spans="1:5" ht="12.75" customHeight="1" x14ac:dyDescent="0.2">
      <c r="A4282" s="3"/>
      <c r="B4282" s="3" t="s">
        <v>2</v>
      </c>
      <c r="C4282" s="3" t="s">
        <v>458</v>
      </c>
      <c r="D4282" s="2"/>
      <c r="E4282" s="2" t="e">
        <f t="shared" si="0"/>
        <v>#VALUE!</v>
      </c>
    </row>
    <row r="4283" spans="1:5" ht="12.75" customHeight="1" x14ac:dyDescent="0.2">
      <c r="A4283" s="3"/>
      <c r="B4283" s="3" t="s">
        <v>9</v>
      </c>
      <c r="C4283" s="3" t="s">
        <v>22</v>
      </c>
      <c r="D4283" s="2"/>
      <c r="E4283" s="2" t="e">
        <f t="shared" si="0"/>
        <v>#VALUE!</v>
      </c>
    </row>
    <row r="4284" spans="1:5" ht="12.75" customHeight="1" x14ac:dyDescent="0.2">
      <c r="A4284" s="3"/>
      <c r="B4284" s="3" t="s">
        <v>11</v>
      </c>
      <c r="C4284" s="3" t="s">
        <v>313</v>
      </c>
      <c r="D4284" s="2"/>
      <c r="E4284" s="2" t="e">
        <f t="shared" si="0"/>
        <v>#VALUE!</v>
      </c>
    </row>
    <row r="4285" spans="1:5" ht="12.75" customHeight="1" x14ac:dyDescent="0.2">
      <c r="A4285" s="3"/>
      <c r="B4285" s="3" t="s">
        <v>18</v>
      </c>
      <c r="C4285" s="4" t="s">
        <v>19</v>
      </c>
      <c r="D4285" s="2"/>
      <c r="E4285" s="2" t="e">
        <f t="shared" si="0"/>
        <v>#VALUE!</v>
      </c>
    </row>
    <row r="4286" spans="1:5" ht="12.75" customHeight="1" x14ac:dyDescent="0.2">
      <c r="A4286" s="1" t="str">
        <f>HYPERLINK("javascript:void(0)","vakond bőr")</f>
        <v>vakond bőr</v>
      </c>
      <c r="B4286" s="1"/>
      <c r="C4286" s="1"/>
      <c r="D4286" s="2"/>
      <c r="E4286" s="2" t="e">
        <f t="shared" si="0"/>
        <v>#VALUE!</v>
      </c>
    </row>
    <row r="4287" spans="1:5" ht="12.75" customHeight="1" x14ac:dyDescent="0.2">
      <c r="A4287" s="3"/>
      <c r="B4287" s="3" t="s">
        <v>0</v>
      </c>
      <c r="C4287" s="3" t="s">
        <v>21</v>
      </c>
      <c r="D4287" s="2"/>
      <c r="E4287" s="2" t="e">
        <f t="shared" si="0"/>
        <v>#VALUE!</v>
      </c>
    </row>
    <row r="4288" spans="1:5" ht="12.75" customHeight="1" x14ac:dyDescent="0.2">
      <c r="A4288" s="3"/>
      <c r="B4288" s="3" t="s">
        <v>2</v>
      </c>
      <c r="C4288" s="3" t="s">
        <v>458</v>
      </c>
      <c r="D4288" s="2"/>
      <c r="E4288" s="2" t="e">
        <f t="shared" si="0"/>
        <v>#VALUE!</v>
      </c>
    </row>
    <row r="4289" spans="1:5" ht="12.75" customHeight="1" x14ac:dyDescent="0.2">
      <c r="A4289" s="3"/>
      <c r="B4289" s="3" t="s">
        <v>9</v>
      </c>
      <c r="C4289" s="3" t="s">
        <v>172</v>
      </c>
      <c r="D4289" s="2"/>
      <c r="E4289" s="2" t="e">
        <f t="shared" si="0"/>
        <v>#VALUE!</v>
      </c>
    </row>
    <row r="4290" spans="1:5" ht="12.75" customHeight="1" x14ac:dyDescent="0.2">
      <c r="A4290" s="3"/>
      <c r="B4290" s="3" t="s">
        <v>11</v>
      </c>
      <c r="C4290" s="3" t="s">
        <v>1602</v>
      </c>
      <c r="D4290" s="2"/>
      <c r="E4290" s="2" t="e">
        <f t="shared" si="0"/>
        <v>#VALUE!</v>
      </c>
    </row>
    <row r="4291" spans="1:5" ht="12.75" customHeight="1" x14ac:dyDescent="0.2">
      <c r="A4291" s="3"/>
      <c r="B4291" s="3" t="s">
        <v>18</v>
      </c>
      <c r="C4291" s="4" t="s">
        <v>19</v>
      </c>
      <c r="D4291" s="2"/>
      <c r="E4291" s="2" t="e">
        <f t="shared" si="0"/>
        <v>#VALUE!</v>
      </c>
    </row>
    <row r="4292" spans="1:5" ht="12.75" customHeight="1" x14ac:dyDescent="0.2">
      <c r="A4292" s="1" t="str">
        <f>HYPERLINK("javascript:void(0)","valkript")</f>
        <v>valkript</v>
      </c>
      <c r="B4292" s="1"/>
      <c r="C4292" s="1"/>
      <c r="D4292" s="2"/>
      <c r="E4292" s="2" t="e">
        <f t="shared" si="0"/>
        <v>#VALUE!</v>
      </c>
    </row>
    <row r="4293" spans="1:5" ht="12.75" customHeight="1" x14ac:dyDescent="0.2">
      <c r="A4293" s="3"/>
      <c r="B4293" s="3" t="s">
        <v>0</v>
      </c>
      <c r="C4293" s="3" t="s">
        <v>21</v>
      </c>
      <c r="D4293" s="2"/>
      <c r="E4293" s="2" t="e">
        <f t="shared" si="0"/>
        <v>#VALUE!</v>
      </c>
    </row>
    <row r="4294" spans="1:5" ht="12.75" customHeight="1" x14ac:dyDescent="0.2">
      <c r="A4294" s="3"/>
      <c r="B4294" s="3" t="s">
        <v>2</v>
      </c>
      <c r="C4294" s="3" t="s">
        <v>458</v>
      </c>
      <c r="D4294" s="2"/>
      <c r="E4294" s="2" t="e">
        <f t="shared" si="0"/>
        <v>#VALUE!</v>
      </c>
    </row>
    <row r="4295" spans="1:5" ht="12.75" customHeight="1" x14ac:dyDescent="0.2">
      <c r="A4295" s="3"/>
      <c r="B4295" s="3" t="s">
        <v>9</v>
      </c>
      <c r="C4295" s="3" t="s">
        <v>53</v>
      </c>
      <c r="D4295" s="2"/>
      <c r="E4295" s="2" t="e">
        <f t="shared" si="0"/>
        <v>#VALUE!</v>
      </c>
    </row>
    <row r="4296" spans="1:5" ht="12.75" customHeight="1" x14ac:dyDescent="0.2">
      <c r="A4296" s="3"/>
      <c r="B4296" s="3" t="s">
        <v>11</v>
      </c>
      <c r="C4296" s="3" t="s">
        <v>1541</v>
      </c>
      <c r="D4296" s="2"/>
      <c r="E4296" s="2" t="e">
        <f t="shared" si="0"/>
        <v>#VALUE!</v>
      </c>
    </row>
    <row r="4297" spans="1:5" ht="12.75" customHeight="1" x14ac:dyDescent="0.2">
      <c r="A4297" s="3"/>
      <c r="B4297" s="3" t="s">
        <v>18</v>
      </c>
      <c r="C4297" s="4" t="s">
        <v>19</v>
      </c>
      <c r="D4297" s="2"/>
      <c r="E4297" s="2" t="e">
        <f t="shared" si="0"/>
        <v>#VALUE!</v>
      </c>
    </row>
    <row r="4298" spans="1:5" ht="12.75" customHeight="1" x14ac:dyDescent="0.2">
      <c r="A4298" s="1" t="str">
        <f>HYPERLINK("javascript:void(0)","vanesszin")</f>
        <v>vanesszin</v>
      </c>
      <c r="B4298" s="1"/>
      <c r="C4298" s="1"/>
      <c r="D4298" s="2"/>
      <c r="E4298" s="2" t="e">
        <f t="shared" si="0"/>
        <v>#VALUE!</v>
      </c>
    </row>
    <row r="4299" spans="1:5" ht="12.75" customHeight="1" x14ac:dyDescent="0.2">
      <c r="A4299" s="3"/>
      <c r="B4299" s="3" t="s">
        <v>0</v>
      </c>
      <c r="C4299" s="3" t="s">
        <v>21</v>
      </c>
      <c r="D4299" s="2"/>
      <c r="E4299" s="2" t="e">
        <f t="shared" si="0"/>
        <v>#VALUE!</v>
      </c>
    </row>
    <row r="4300" spans="1:5" ht="12.75" customHeight="1" x14ac:dyDescent="0.2">
      <c r="A4300" s="3"/>
      <c r="B4300" s="3" t="s">
        <v>2</v>
      </c>
      <c r="C4300" s="3" t="s">
        <v>458</v>
      </c>
      <c r="D4300" s="2"/>
      <c r="E4300" s="2" t="e">
        <f t="shared" si="0"/>
        <v>#VALUE!</v>
      </c>
    </row>
    <row r="4301" spans="1:5" ht="12.75" customHeight="1" x14ac:dyDescent="0.2">
      <c r="A4301" s="3"/>
      <c r="B4301" s="3" t="s">
        <v>9</v>
      </c>
      <c r="C4301" s="3" t="s">
        <v>509</v>
      </c>
      <c r="D4301" s="2"/>
      <c r="E4301" s="2" t="e">
        <f t="shared" si="0"/>
        <v>#VALUE!</v>
      </c>
    </row>
    <row r="4302" spans="1:5" ht="12.75" customHeight="1" x14ac:dyDescent="0.2">
      <c r="A4302" s="3"/>
      <c r="B4302" s="3" t="s">
        <v>11</v>
      </c>
      <c r="C4302" s="3" t="s">
        <v>1735</v>
      </c>
      <c r="D4302" s="2"/>
      <c r="E4302" s="2" t="e">
        <f t="shared" si="0"/>
        <v>#VALUE!</v>
      </c>
    </row>
    <row r="4303" spans="1:5" ht="12.75" customHeight="1" x14ac:dyDescent="0.2">
      <c r="A4303" s="3"/>
      <c r="B4303" s="3" t="s">
        <v>18</v>
      </c>
      <c r="C4303" s="4" t="s">
        <v>19</v>
      </c>
      <c r="D4303" s="2"/>
      <c r="E4303" s="2" t="e">
        <f t="shared" si="0"/>
        <v>#VALUE!</v>
      </c>
    </row>
    <row r="4304" spans="1:5" ht="12.75" customHeight="1" x14ac:dyDescent="0.2">
      <c r="A4304" s="1" t="str">
        <f>HYPERLINK("javascript:void(0)","vari amulett")</f>
        <v>vari amulett</v>
      </c>
      <c r="B4304" s="1"/>
      <c r="C4304" s="1"/>
      <c r="D4304" s="2"/>
      <c r="E4304" s="2" t="e">
        <f t="shared" si="0"/>
        <v>#VALUE!</v>
      </c>
    </row>
    <row r="4305" spans="1:5" ht="12.75" customHeight="1" x14ac:dyDescent="0.2">
      <c r="A4305" s="3"/>
      <c r="B4305" s="3" t="s">
        <v>0</v>
      </c>
      <c r="C4305" s="3" t="s">
        <v>21</v>
      </c>
      <c r="D4305" s="2"/>
      <c r="E4305" s="2" t="e">
        <f t="shared" si="0"/>
        <v>#VALUE!</v>
      </c>
    </row>
    <row r="4306" spans="1:5" ht="12.75" customHeight="1" x14ac:dyDescent="0.2">
      <c r="A4306" s="3"/>
      <c r="B4306" s="3" t="s">
        <v>2</v>
      </c>
      <c r="C4306" s="3" t="s">
        <v>458</v>
      </c>
      <c r="D4306" s="2"/>
      <c r="E4306" s="2" t="e">
        <f t="shared" si="0"/>
        <v>#VALUE!</v>
      </c>
    </row>
    <row r="4307" spans="1:5" ht="12.75" customHeight="1" x14ac:dyDescent="0.2">
      <c r="A4307" s="3"/>
      <c r="B4307" s="3" t="s">
        <v>9</v>
      </c>
      <c r="C4307" s="3" t="s">
        <v>1737</v>
      </c>
      <c r="D4307" s="2"/>
      <c r="E4307" s="2" t="e">
        <f t="shared" si="0"/>
        <v>#VALUE!</v>
      </c>
    </row>
    <row r="4308" spans="1:5" ht="12.75" customHeight="1" x14ac:dyDescent="0.2">
      <c r="A4308" s="3"/>
      <c r="B4308" s="3" t="s">
        <v>11</v>
      </c>
      <c r="C4308" s="3" t="s">
        <v>685</v>
      </c>
      <c r="D4308" s="2"/>
      <c r="E4308" s="2" t="e">
        <f t="shared" si="0"/>
        <v>#VALUE!</v>
      </c>
    </row>
    <row r="4309" spans="1:5" ht="12.75" customHeight="1" x14ac:dyDescent="0.2">
      <c r="A4309" s="3"/>
      <c r="B4309" s="3" t="s">
        <v>18</v>
      </c>
      <c r="C4309" s="4" t="s">
        <v>19</v>
      </c>
      <c r="D4309" s="2"/>
      <c r="E4309" s="2" t="e">
        <f t="shared" si="0"/>
        <v>#VALUE!</v>
      </c>
    </row>
    <row r="4310" spans="1:5" ht="12.75" customHeight="1" x14ac:dyDescent="0.2">
      <c r="A4310" s="1" t="str">
        <f>HYPERLINK("javascript:void(0)","varázsbot")</f>
        <v>varázsbot</v>
      </c>
      <c r="B4310" s="1"/>
      <c r="C4310" s="1"/>
      <c r="D4310" s="2"/>
      <c r="E4310" s="2" t="e">
        <f t="shared" si="0"/>
        <v>#VALUE!</v>
      </c>
    </row>
    <row r="4311" spans="1:5" ht="12.75" customHeight="1" x14ac:dyDescent="0.2">
      <c r="A4311" s="3"/>
      <c r="B4311" s="3" t="s">
        <v>0</v>
      </c>
      <c r="C4311" s="3" t="s">
        <v>21</v>
      </c>
      <c r="D4311" s="2"/>
      <c r="E4311" s="2" t="e">
        <f t="shared" si="0"/>
        <v>#VALUE!</v>
      </c>
    </row>
    <row r="4312" spans="1:5" ht="12.75" customHeight="1" x14ac:dyDescent="0.2">
      <c r="A4312" s="3"/>
      <c r="B4312" s="3" t="s">
        <v>2</v>
      </c>
      <c r="C4312" s="3" t="s">
        <v>387</v>
      </c>
      <c r="D4312" s="2"/>
      <c r="E4312" s="2" t="e">
        <f t="shared" si="0"/>
        <v>#VALUE!</v>
      </c>
    </row>
    <row r="4313" spans="1:5" ht="12.75" customHeight="1" x14ac:dyDescent="0.2">
      <c r="A4313" s="3"/>
      <c r="B4313" s="3" t="s">
        <v>9</v>
      </c>
      <c r="C4313" s="3" t="s">
        <v>27</v>
      </c>
      <c r="D4313" s="2"/>
      <c r="E4313" s="2" t="e">
        <f t="shared" si="0"/>
        <v>#VALUE!</v>
      </c>
    </row>
    <row r="4314" spans="1:5" ht="12.75" customHeight="1" x14ac:dyDescent="0.2">
      <c r="A4314" s="3"/>
      <c r="B4314" s="3" t="s">
        <v>11</v>
      </c>
      <c r="C4314" s="3" t="s">
        <v>23</v>
      </c>
      <c r="D4314" s="2"/>
      <c r="E4314" s="2" t="e">
        <f t="shared" si="0"/>
        <v>#VALUE!</v>
      </c>
    </row>
    <row r="4315" spans="1:5" ht="12.75" customHeight="1" x14ac:dyDescent="0.2">
      <c r="A4315" s="3"/>
      <c r="B4315" s="3" t="s">
        <v>16</v>
      </c>
      <c r="C4315" s="3" t="s">
        <v>388</v>
      </c>
      <c r="D4315" s="2"/>
      <c r="E4315" s="2" t="e">
        <f t="shared" si="0"/>
        <v>#VALUE!</v>
      </c>
    </row>
    <row r="4316" spans="1:5" ht="12.75" customHeight="1" x14ac:dyDescent="0.2">
      <c r="A4316" s="3"/>
      <c r="B4316" s="3" t="s">
        <v>18</v>
      </c>
      <c r="C4316" s="4" t="s">
        <v>19</v>
      </c>
      <c r="D4316" s="2"/>
      <c r="E4316" s="2" t="e">
        <f t="shared" si="0"/>
        <v>#VALUE!</v>
      </c>
    </row>
    <row r="4317" spans="1:5" ht="12.75" customHeight="1" x14ac:dyDescent="0.2">
      <c r="A4317" s="1" t="str">
        <f>HYPERLINK("javascript:void(0)","varázsburok")</f>
        <v>varázsburok</v>
      </c>
      <c r="B4317" s="1"/>
      <c r="C4317" s="1"/>
      <c r="D4317" s="2"/>
      <c r="E4317" s="2" t="e">
        <f t="shared" si="0"/>
        <v>#VALUE!</v>
      </c>
    </row>
    <row r="4318" spans="1:5" ht="12.75" customHeight="1" x14ac:dyDescent="0.2">
      <c r="A4318" s="3"/>
      <c r="B4318" s="3" t="s">
        <v>0</v>
      </c>
      <c r="C4318" s="3" t="s">
        <v>21</v>
      </c>
      <c r="D4318" s="2"/>
      <c r="E4318" s="2" t="e">
        <f t="shared" si="0"/>
        <v>#VALUE!</v>
      </c>
    </row>
    <row r="4319" spans="1:5" ht="12.75" customHeight="1" x14ac:dyDescent="0.2">
      <c r="A4319" s="3"/>
      <c r="B4319" s="3" t="s">
        <v>2</v>
      </c>
      <c r="C4319" s="3" t="s">
        <v>440</v>
      </c>
      <c r="D4319" s="2"/>
      <c r="E4319" s="2" t="e">
        <f t="shared" si="0"/>
        <v>#VALUE!</v>
      </c>
    </row>
    <row r="4320" spans="1:5" ht="12.75" customHeight="1" x14ac:dyDescent="0.2">
      <c r="A4320" s="3"/>
      <c r="B4320" s="3" t="s">
        <v>9</v>
      </c>
      <c r="C4320" s="3" t="s">
        <v>404</v>
      </c>
      <c r="D4320" s="2"/>
      <c r="E4320" s="2" t="e">
        <f t="shared" si="0"/>
        <v>#VALUE!</v>
      </c>
    </row>
    <row r="4321" spans="1:5" ht="12.75" customHeight="1" x14ac:dyDescent="0.2">
      <c r="A4321" s="3"/>
      <c r="B4321" s="3" t="s">
        <v>11</v>
      </c>
      <c r="C4321" s="3" t="s">
        <v>567</v>
      </c>
      <c r="D4321" s="2"/>
      <c r="E4321" s="2" t="e">
        <f t="shared" si="0"/>
        <v>#VALUE!</v>
      </c>
    </row>
    <row r="4322" spans="1:5" ht="12.75" customHeight="1" x14ac:dyDescent="0.2">
      <c r="A4322" s="3"/>
      <c r="B4322" s="3" t="s">
        <v>16</v>
      </c>
      <c r="C4322" s="3" t="s">
        <v>16</v>
      </c>
      <c r="D4322" s="2"/>
      <c r="E4322" s="2" t="e">
        <f t="shared" si="0"/>
        <v>#VALUE!</v>
      </c>
    </row>
    <row r="4323" spans="1:5" ht="12.75" customHeight="1" x14ac:dyDescent="0.2">
      <c r="A4323" s="3"/>
      <c r="B4323" s="3" t="s">
        <v>18</v>
      </c>
      <c r="C4323" s="4" t="s">
        <v>19</v>
      </c>
      <c r="D4323" s="2"/>
      <c r="E4323" s="2" t="e">
        <f t="shared" si="0"/>
        <v>#VALUE!</v>
      </c>
    </row>
    <row r="4324" spans="1:5" ht="12.75" customHeight="1" x14ac:dyDescent="0.2">
      <c r="A4324" s="1" t="str">
        <f>HYPERLINK("javascript:void(0)","varázsgomba")</f>
        <v>varázsgomba</v>
      </c>
      <c r="B4324" s="1"/>
      <c r="C4324" s="1"/>
      <c r="D4324" s="2"/>
      <c r="E4324" s="2" t="e">
        <f t="shared" si="0"/>
        <v>#VALUE!</v>
      </c>
    </row>
    <row r="4325" spans="1:5" ht="12.75" customHeight="1" x14ac:dyDescent="0.2">
      <c r="A4325" s="3"/>
      <c r="B4325" s="3" t="s">
        <v>0</v>
      </c>
      <c r="C4325" s="3" t="s">
        <v>21</v>
      </c>
      <c r="D4325" s="2"/>
      <c r="E4325" s="2" t="e">
        <f t="shared" si="0"/>
        <v>#VALUE!</v>
      </c>
    </row>
    <row r="4326" spans="1:5" ht="12.75" customHeight="1" x14ac:dyDescent="0.2">
      <c r="A4326" s="3"/>
      <c r="B4326" s="3" t="s">
        <v>2</v>
      </c>
      <c r="C4326" s="3" t="s">
        <v>387</v>
      </c>
      <c r="D4326" s="2"/>
      <c r="E4326" s="2" t="e">
        <f t="shared" si="0"/>
        <v>#VALUE!</v>
      </c>
    </row>
    <row r="4327" spans="1:5" ht="12.75" customHeight="1" x14ac:dyDescent="0.2">
      <c r="A4327" s="3"/>
      <c r="B4327" s="3" t="s">
        <v>9</v>
      </c>
      <c r="C4327" s="3" t="s">
        <v>42</v>
      </c>
      <c r="D4327" s="2"/>
      <c r="E4327" s="2" t="e">
        <f t="shared" si="0"/>
        <v>#VALUE!</v>
      </c>
    </row>
    <row r="4328" spans="1:5" ht="12.75" customHeight="1" x14ac:dyDescent="0.2">
      <c r="A4328" s="3"/>
      <c r="B4328" s="3" t="s">
        <v>11</v>
      </c>
      <c r="C4328" s="3" t="s">
        <v>23</v>
      </c>
      <c r="D4328" s="2"/>
      <c r="E4328" s="2" t="e">
        <f t="shared" si="0"/>
        <v>#VALUE!</v>
      </c>
    </row>
    <row r="4329" spans="1:5" ht="12.75" customHeight="1" x14ac:dyDescent="0.2">
      <c r="A4329" s="3"/>
      <c r="B4329" s="3" t="s">
        <v>16</v>
      </c>
      <c r="C4329" s="3" t="s">
        <v>388</v>
      </c>
      <c r="D4329" s="2"/>
      <c r="E4329" s="2" t="e">
        <f t="shared" si="0"/>
        <v>#VALUE!</v>
      </c>
    </row>
    <row r="4330" spans="1:5" ht="12.75" customHeight="1" x14ac:dyDescent="0.2">
      <c r="A4330" s="3"/>
      <c r="B4330" s="3" t="s">
        <v>18</v>
      </c>
      <c r="C4330" s="4" t="s">
        <v>19</v>
      </c>
      <c r="D4330" s="2"/>
      <c r="E4330" s="2" t="e">
        <f t="shared" si="0"/>
        <v>#VALUE!</v>
      </c>
    </row>
    <row r="4331" spans="1:5" ht="12.75" customHeight="1" x14ac:dyDescent="0.2">
      <c r="A4331" s="1" t="str">
        <f>HYPERLINK("javascript:void(0)","varázskulcs")</f>
        <v>varázskulcs</v>
      </c>
      <c r="B4331" s="1"/>
      <c r="C4331" s="1"/>
      <c r="D4331" s="2"/>
      <c r="E4331" s="2" t="e">
        <f t="shared" si="0"/>
        <v>#VALUE!</v>
      </c>
    </row>
    <row r="4332" spans="1:5" ht="12.75" customHeight="1" x14ac:dyDescent="0.2">
      <c r="A4332" s="3"/>
      <c r="B4332" s="3" t="s">
        <v>0</v>
      </c>
      <c r="C4332" s="3" t="s">
        <v>21</v>
      </c>
      <c r="D4332" s="2"/>
      <c r="E4332" s="2" t="e">
        <f t="shared" si="0"/>
        <v>#VALUE!</v>
      </c>
    </row>
    <row r="4333" spans="1:5" ht="12.75" customHeight="1" x14ac:dyDescent="0.2">
      <c r="A4333" s="3"/>
      <c r="B4333" s="3" t="s">
        <v>2</v>
      </c>
      <c r="C4333" s="3" t="s">
        <v>458</v>
      </c>
      <c r="D4333" s="2"/>
      <c r="E4333" s="2" t="e">
        <f t="shared" si="0"/>
        <v>#VALUE!</v>
      </c>
    </row>
    <row r="4334" spans="1:5" ht="12.75" customHeight="1" x14ac:dyDescent="0.2">
      <c r="A4334" s="3"/>
      <c r="B4334" s="3" t="s">
        <v>9</v>
      </c>
      <c r="C4334" s="3" t="s">
        <v>22</v>
      </c>
      <c r="D4334" s="2"/>
      <c r="E4334" s="2" t="e">
        <f t="shared" si="0"/>
        <v>#VALUE!</v>
      </c>
    </row>
    <row r="4335" spans="1:5" ht="12.75" customHeight="1" x14ac:dyDescent="0.2">
      <c r="A4335" s="3"/>
      <c r="B4335" s="3" t="s">
        <v>11</v>
      </c>
      <c r="C4335" s="3" t="s">
        <v>23</v>
      </c>
      <c r="D4335" s="2"/>
      <c r="E4335" s="2" t="e">
        <f t="shared" si="0"/>
        <v>#VALUE!</v>
      </c>
    </row>
    <row r="4336" spans="1:5" ht="12.75" customHeight="1" x14ac:dyDescent="0.2">
      <c r="A4336" s="3"/>
      <c r="B4336" s="3" t="s">
        <v>18</v>
      </c>
      <c r="C4336" s="4" t="s">
        <v>19</v>
      </c>
      <c r="D4336" s="2"/>
      <c r="E4336" s="2" t="e">
        <f t="shared" si="0"/>
        <v>#VALUE!</v>
      </c>
    </row>
    <row r="4337" spans="1:5" ht="12.75" customHeight="1" x14ac:dyDescent="0.2">
      <c r="A4337" s="1" t="str">
        <f>HYPERLINK("javascript:void(0)","varázskulcs")</f>
        <v>varázskulcs</v>
      </c>
      <c r="B4337" s="1"/>
      <c r="C4337" s="1"/>
      <c r="D4337" s="2"/>
      <c r="E4337" s="2" t="e">
        <f t="shared" si="0"/>
        <v>#VALUE!</v>
      </c>
    </row>
    <row r="4338" spans="1:5" ht="12.75" customHeight="1" x14ac:dyDescent="0.2">
      <c r="A4338" s="3"/>
      <c r="B4338" s="3" t="s">
        <v>0</v>
      </c>
      <c r="C4338" s="3" t="s">
        <v>21</v>
      </c>
      <c r="D4338" s="2"/>
      <c r="E4338" s="2" t="e">
        <f t="shared" si="0"/>
        <v>#VALUE!</v>
      </c>
    </row>
    <row r="4339" spans="1:5" ht="12.75" customHeight="1" x14ac:dyDescent="0.2">
      <c r="A4339" s="3"/>
      <c r="B4339" s="3" t="s">
        <v>2</v>
      </c>
      <c r="C4339" s="3" t="s">
        <v>458</v>
      </c>
      <c r="D4339" s="2"/>
      <c r="E4339" s="2" t="e">
        <f t="shared" si="0"/>
        <v>#VALUE!</v>
      </c>
    </row>
    <row r="4340" spans="1:5" ht="12.75" customHeight="1" x14ac:dyDescent="0.2">
      <c r="A4340" s="3"/>
      <c r="B4340" s="3" t="s">
        <v>9</v>
      </c>
      <c r="C4340" s="3" t="s">
        <v>626</v>
      </c>
      <c r="D4340" s="2"/>
      <c r="E4340" s="2" t="e">
        <f t="shared" si="0"/>
        <v>#VALUE!</v>
      </c>
    </row>
    <row r="4341" spans="1:5" ht="12.75" customHeight="1" x14ac:dyDescent="0.2">
      <c r="A4341" s="3"/>
      <c r="B4341" s="3" t="s">
        <v>11</v>
      </c>
      <c r="C4341" s="3" t="s">
        <v>23</v>
      </c>
      <c r="D4341" s="2"/>
      <c r="E4341" s="2" t="e">
        <f t="shared" si="0"/>
        <v>#VALUE!</v>
      </c>
    </row>
    <row r="4342" spans="1:5" ht="12.75" customHeight="1" x14ac:dyDescent="0.2">
      <c r="A4342" s="3"/>
      <c r="B4342" s="3" t="s">
        <v>16</v>
      </c>
      <c r="C4342" s="3" t="s">
        <v>1746</v>
      </c>
      <c r="D4342" s="2"/>
      <c r="E4342" s="2" t="e">
        <f t="shared" si="0"/>
        <v>#VALUE!</v>
      </c>
    </row>
    <row r="4343" spans="1:5" ht="12.75" customHeight="1" x14ac:dyDescent="0.2">
      <c r="A4343" s="3"/>
      <c r="B4343" s="3" t="s">
        <v>18</v>
      </c>
      <c r="C4343" s="4" t="s">
        <v>19</v>
      </c>
      <c r="D4343" s="2"/>
      <c r="E4343" s="2" t="e">
        <f t="shared" si="0"/>
        <v>#VALUE!</v>
      </c>
    </row>
    <row r="4344" spans="1:5" ht="12.75" customHeight="1" x14ac:dyDescent="0.2">
      <c r="A4344" s="1" t="str">
        <f>HYPERLINK("javascript:void(0)","varázspikkely")</f>
        <v>varázspikkely</v>
      </c>
      <c r="B4344" s="1"/>
      <c r="C4344" s="1"/>
      <c r="D4344" s="2"/>
      <c r="E4344" s="2" t="e">
        <f t="shared" si="0"/>
        <v>#VALUE!</v>
      </c>
    </row>
    <row r="4345" spans="1:5" ht="12.75" customHeight="1" x14ac:dyDescent="0.2">
      <c r="A4345" s="3"/>
      <c r="B4345" s="3" t="s">
        <v>0</v>
      </c>
      <c r="C4345" s="3" t="s">
        <v>21</v>
      </c>
      <c r="D4345" s="2"/>
      <c r="E4345" s="2" t="e">
        <f t="shared" si="0"/>
        <v>#VALUE!</v>
      </c>
    </row>
    <row r="4346" spans="1:5" ht="12.75" customHeight="1" x14ac:dyDescent="0.2">
      <c r="A4346" s="3"/>
      <c r="B4346" s="3" t="s">
        <v>2</v>
      </c>
      <c r="C4346" s="3" t="s">
        <v>458</v>
      </c>
      <c r="D4346" s="2"/>
      <c r="E4346" s="2" t="e">
        <f t="shared" si="0"/>
        <v>#VALUE!</v>
      </c>
    </row>
    <row r="4347" spans="1:5" ht="12.75" customHeight="1" x14ac:dyDescent="0.2">
      <c r="A4347" s="3"/>
      <c r="B4347" s="3" t="s">
        <v>9</v>
      </c>
      <c r="C4347" s="3" t="s">
        <v>27</v>
      </c>
      <c r="D4347" s="2"/>
      <c r="E4347" s="2" t="e">
        <f t="shared" si="0"/>
        <v>#VALUE!</v>
      </c>
    </row>
    <row r="4348" spans="1:5" ht="12.75" customHeight="1" x14ac:dyDescent="0.2">
      <c r="A4348" s="3"/>
      <c r="B4348" s="3" t="s">
        <v>11</v>
      </c>
      <c r="C4348" s="3" t="s">
        <v>23</v>
      </c>
      <c r="D4348" s="2"/>
      <c r="E4348" s="2" t="e">
        <f t="shared" si="0"/>
        <v>#VALUE!</v>
      </c>
    </row>
    <row r="4349" spans="1:5" ht="12.75" customHeight="1" x14ac:dyDescent="0.2">
      <c r="A4349" s="3"/>
      <c r="B4349" s="3" t="s">
        <v>16</v>
      </c>
      <c r="C4349" s="3" t="s">
        <v>1748</v>
      </c>
      <c r="D4349" s="2"/>
      <c r="E4349" s="2" t="e">
        <f t="shared" si="0"/>
        <v>#VALUE!</v>
      </c>
    </row>
    <row r="4350" spans="1:5" ht="12.75" customHeight="1" x14ac:dyDescent="0.2">
      <c r="A4350" s="3"/>
      <c r="B4350" s="3" t="s">
        <v>18</v>
      </c>
      <c r="C4350" s="4" t="s">
        <v>19</v>
      </c>
      <c r="D4350" s="2"/>
      <c r="E4350" s="2" t="e">
        <f t="shared" si="0"/>
        <v>#VALUE!</v>
      </c>
    </row>
    <row r="4351" spans="1:5" ht="12.75" customHeight="1" x14ac:dyDescent="0.2">
      <c r="A4351" s="1" t="str">
        <f>HYPERLINK("javascript:void(0)","varázsrög")</f>
        <v>varázsrög</v>
      </c>
      <c r="B4351" s="1"/>
      <c r="C4351" s="1"/>
      <c r="D4351" s="2"/>
      <c r="E4351" s="2" t="e">
        <f t="shared" si="0"/>
        <v>#VALUE!</v>
      </c>
    </row>
    <row r="4352" spans="1:5" ht="12.75" customHeight="1" x14ac:dyDescent="0.2">
      <c r="A4352" s="3"/>
      <c r="B4352" s="3" t="s">
        <v>0</v>
      </c>
      <c r="C4352" s="3" t="s">
        <v>21</v>
      </c>
      <c r="D4352" s="2"/>
      <c r="E4352" s="2" t="e">
        <f t="shared" si="0"/>
        <v>#VALUE!</v>
      </c>
    </row>
    <row r="4353" spans="1:5" ht="12.75" customHeight="1" x14ac:dyDescent="0.2">
      <c r="A4353" s="3"/>
      <c r="B4353" s="3" t="s">
        <v>2</v>
      </c>
      <c r="C4353" s="3" t="s">
        <v>458</v>
      </c>
      <c r="D4353" s="2"/>
      <c r="E4353" s="2" t="e">
        <f t="shared" si="0"/>
        <v>#VALUE!</v>
      </c>
    </row>
    <row r="4354" spans="1:5" ht="12.75" customHeight="1" x14ac:dyDescent="0.2">
      <c r="A4354" s="3"/>
      <c r="B4354" s="3" t="s">
        <v>9</v>
      </c>
      <c r="C4354" s="3" t="s">
        <v>10</v>
      </c>
      <c r="D4354" s="2"/>
      <c r="E4354" s="2" t="e">
        <f t="shared" si="0"/>
        <v>#VALUE!</v>
      </c>
    </row>
    <row r="4355" spans="1:5" ht="12.75" customHeight="1" x14ac:dyDescent="0.2">
      <c r="A4355" s="3"/>
      <c r="B4355" s="3" t="s">
        <v>11</v>
      </c>
      <c r="C4355" s="3" t="s">
        <v>1003</v>
      </c>
      <c r="D4355" s="2"/>
      <c r="E4355" s="2" t="e">
        <f t="shared" si="0"/>
        <v>#VALUE!</v>
      </c>
    </row>
    <row r="4356" spans="1:5" ht="12.75" customHeight="1" x14ac:dyDescent="0.2">
      <c r="A4356" s="3"/>
      <c r="B4356" s="3" t="s">
        <v>16</v>
      </c>
      <c r="C4356" s="3" t="s">
        <v>1750</v>
      </c>
      <c r="D4356" s="2"/>
      <c r="E4356" s="2" t="e">
        <f t="shared" si="0"/>
        <v>#VALUE!</v>
      </c>
    </row>
    <row r="4357" spans="1:5" ht="12.75" customHeight="1" x14ac:dyDescent="0.2">
      <c r="A4357" s="3"/>
      <c r="B4357" s="3" t="s">
        <v>18</v>
      </c>
      <c r="C4357" s="4" t="s">
        <v>19</v>
      </c>
      <c r="D4357" s="2"/>
      <c r="E4357" s="2" t="e">
        <f t="shared" si="0"/>
        <v>#VALUE!</v>
      </c>
    </row>
    <row r="4358" spans="1:5" ht="12.75" customHeight="1" x14ac:dyDescent="0.2">
      <c r="A4358" s="1" t="str">
        <f>HYPERLINK("javascript:void(0)","varázsszálka")</f>
        <v>varázsszálka</v>
      </c>
      <c r="B4358" s="1"/>
      <c r="C4358" s="1"/>
      <c r="D4358" s="2"/>
      <c r="E4358" s="2" t="e">
        <f t="shared" si="0"/>
        <v>#VALUE!</v>
      </c>
    </row>
    <row r="4359" spans="1:5" ht="12.75" customHeight="1" x14ac:dyDescent="0.2">
      <c r="A4359" s="3"/>
      <c r="B4359" s="3" t="s">
        <v>0</v>
      </c>
      <c r="C4359" s="3" t="s">
        <v>21</v>
      </c>
      <c r="D4359" s="2"/>
      <c r="E4359" s="2" t="e">
        <f t="shared" si="0"/>
        <v>#VALUE!</v>
      </c>
    </row>
    <row r="4360" spans="1:5" ht="12.75" customHeight="1" x14ac:dyDescent="0.2">
      <c r="A4360" s="3"/>
      <c r="B4360" s="3" t="s">
        <v>2</v>
      </c>
      <c r="C4360" s="3" t="s">
        <v>387</v>
      </c>
      <c r="D4360" s="2"/>
      <c r="E4360" s="2" t="e">
        <f t="shared" si="0"/>
        <v>#VALUE!</v>
      </c>
    </row>
    <row r="4361" spans="1:5" ht="12.75" customHeight="1" x14ac:dyDescent="0.2">
      <c r="A4361" s="3"/>
      <c r="B4361" s="3" t="s">
        <v>9</v>
      </c>
      <c r="C4361" s="3" t="s">
        <v>565</v>
      </c>
      <c r="D4361" s="2"/>
      <c r="E4361" s="2" t="e">
        <f t="shared" si="0"/>
        <v>#VALUE!</v>
      </c>
    </row>
    <row r="4362" spans="1:5" ht="12.75" customHeight="1" x14ac:dyDescent="0.2">
      <c r="A4362" s="3"/>
      <c r="B4362" s="3" t="s">
        <v>11</v>
      </c>
      <c r="C4362" s="3" t="s">
        <v>1010</v>
      </c>
      <c r="D4362" s="2"/>
      <c r="E4362" s="2" t="e">
        <f t="shared" si="0"/>
        <v>#VALUE!</v>
      </c>
    </row>
    <row r="4363" spans="1:5" ht="12.75" customHeight="1" x14ac:dyDescent="0.2">
      <c r="A4363" s="3"/>
      <c r="B4363" s="3" t="s">
        <v>18</v>
      </c>
      <c r="C4363" s="4" t="s">
        <v>19</v>
      </c>
      <c r="D4363" s="2"/>
      <c r="E4363" s="2" t="e">
        <f t="shared" si="0"/>
        <v>#VALUE!</v>
      </c>
    </row>
    <row r="4364" spans="1:5" ht="12.75" customHeight="1" x14ac:dyDescent="0.2">
      <c r="A4364" s="1" t="str">
        <f>HYPERLINK("javascript:void(0)","vaskarima")</f>
        <v>vaskarima</v>
      </c>
      <c r="B4364" s="1"/>
      <c r="C4364" s="1"/>
      <c r="D4364" s="2"/>
      <c r="E4364" s="2" t="e">
        <f t="shared" si="0"/>
        <v>#VALUE!</v>
      </c>
    </row>
    <row r="4365" spans="1:5" ht="12.75" customHeight="1" x14ac:dyDescent="0.2">
      <c r="A4365" s="3"/>
      <c r="B4365" s="3" t="s">
        <v>0</v>
      </c>
      <c r="C4365" s="3" t="s">
        <v>21</v>
      </c>
      <c r="D4365" s="2"/>
      <c r="E4365" s="2" t="e">
        <f t="shared" si="0"/>
        <v>#VALUE!</v>
      </c>
    </row>
    <row r="4366" spans="1:5" ht="12.75" customHeight="1" x14ac:dyDescent="0.2">
      <c r="A4366" s="3"/>
      <c r="B4366" s="3" t="s">
        <v>2</v>
      </c>
      <c r="C4366" s="3" t="s">
        <v>458</v>
      </c>
      <c r="D4366" s="2"/>
      <c r="E4366" s="2" t="e">
        <f t="shared" si="0"/>
        <v>#VALUE!</v>
      </c>
    </row>
    <row r="4367" spans="1:5" ht="12.75" customHeight="1" x14ac:dyDescent="0.2">
      <c r="A4367" s="3"/>
      <c r="B4367" s="3" t="s">
        <v>9</v>
      </c>
      <c r="C4367" s="3" t="s">
        <v>93</v>
      </c>
      <c r="D4367" s="2"/>
      <c r="E4367" s="2" t="e">
        <f t="shared" si="0"/>
        <v>#VALUE!</v>
      </c>
    </row>
    <row r="4368" spans="1:5" ht="12.75" customHeight="1" x14ac:dyDescent="0.2">
      <c r="A4368" s="3"/>
      <c r="B4368" s="3" t="s">
        <v>11</v>
      </c>
      <c r="C4368" s="3" t="s">
        <v>227</v>
      </c>
      <c r="D4368" s="2"/>
      <c r="E4368" s="2" t="e">
        <f t="shared" si="0"/>
        <v>#VALUE!</v>
      </c>
    </row>
    <row r="4369" spans="1:5" ht="12.75" customHeight="1" x14ac:dyDescent="0.2">
      <c r="A4369" s="3"/>
      <c r="B4369" s="3" t="s">
        <v>18</v>
      </c>
      <c r="C4369" s="4" t="s">
        <v>19</v>
      </c>
      <c r="D4369" s="2"/>
      <c r="E4369" s="2" t="e">
        <f t="shared" si="0"/>
        <v>#VALUE!</v>
      </c>
    </row>
    <row r="4370" spans="1:5" ht="12.75" customHeight="1" x14ac:dyDescent="0.2">
      <c r="A4370" s="1" t="str">
        <f>HYPERLINK("javascript:void(0)","vasorr")</f>
        <v>vasorr</v>
      </c>
      <c r="B4370" s="1"/>
      <c r="C4370" s="1"/>
      <c r="D4370" s="2"/>
      <c r="E4370" s="2" t="e">
        <f t="shared" si="0"/>
        <v>#VALUE!</v>
      </c>
    </row>
    <row r="4371" spans="1:5" ht="12.75" customHeight="1" x14ac:dyDescent="0.2">
      <c r="A4371" s="3"/>
      <c r="B4371" s="3" t="s">
        <v>0</v>
      </c>
      <c r="C4371" s="3" t="s">
        <v>21</v>
      </c>
      <c r="D4371" s="2"/>
      <c r="E4371" s="2" t="e">
        <f t="shared" si="0"/>
        <v>#VALUE!</v>
      </c>
    </row>
    <row r="4372" spans="1:5" ht="12.75" customHeight="1" x14ac:dyDescent="0.2">
      <c r="A4372" s="3"/>
      <c r="B4372" s="3" t="s">
        <v>2</v>
      </c>
      <c r="C4372" s="3" t="s">
        <v>458</v>
      </c>
      <c r="D4372" s="2"/>
      <c r="E4372" s="2" t="e">
        <f t="shared" si="0"/>
        <v>#VALUE!</v>
      </c>
    </row>
    <row r="4373" spans="1:5" ht="12.75" customHeight="1" x14ac:dyDescent="0.2">
      <c r="A4373" s="3"/>
      <c r="B4373" s="3" t="s">
        <v>9</v>
      </c>
      <c r="C4373" s="3" t="s">
        <v>137</v>
      </c>
      <c r="D4373" s="2"/>
      <c r="E4373" s="2" t="e">
        <f t="shared" si="0"/>
        <v>#VALUE!</v>
      </c>
    </row>
    <row r="4374" spans="1:5" ht="12.75" customHeight="1" x14ac:dyDescent="0.2">
      <c r="A4374" s="3"/>
      <c r="B4374" s="3" t="s">
        <v>11</v>
      </c>
      <c r="C4374" s="3" t="s">
        <v>227</v>
      </c>
      <c r="D4374" s="2"/>
      <c r="E4374" s="2" t="e">
        <f t="shared" si="0"/>
        <v>#VALUE!</v>
      </c>
    </row>
    <row r="4375" spans="1:5" ht="12.75" customHeight="1" x14ac:dyDescent="0.2">
      <c r="A4375" s="3"/>
      <c r="B4375" s="3" t="s">
        <v>18</v>
      </c>
      <c r="C4375" s="4" t="s">
        <v>19</v>
      </c>
      <c r="D4375" s="2"/>
      <c r="E4375" s="2" t="e">
        <f t="shared" si="0"/>
        <v>#VALUE!</v>
      </c>
    </row>
    <row r="4376" spans="1:5" ht="12.75" customHeight="1" x14ac:dyDescent="0.2">
      <c r="A4376" s="1" t="str">
        <f>HYPERLINK("javascript:void(0)","vasérc")</f>
        <v>vasérc</v>
      </c>
      <c r="B4376" s="1"/>
      <c r="C4376" s="1"/>
      <c r="D4376" s="2"/>
      <c r="E4376" s="2" t="e">
        <f t="shared" si="0"/>
        <v>#VALUE!</v>
      </c>
    </row>
    <row r="4377" spans="1:5" ht="12.75" customHeight="1" x14ac:dyDescent="0.2">
      <c r="A4377" s="3"/>
      <c r="B4377" s="3" t="s">
        <v>0</v>
      </c>
      <c r="C4377" s="3" t="s">
        <v>21</v>
      </c>
      <c r="D4377" s="2"/>
      <c r="E4377" s="2" t="e">
        <f t="shared" si="0"/>
        <v>#VALUE!</v>
      </c>
    </row>
    <row r="4378" spans="1:5" ht="12.75" customHeight="1" x14ac:dyDescent="0.2">
      <c r="A4378" s="3"/>
      <c r="B4378" s="3" t="s">
        <v>2</v>
      </c>
      <c r="C4378" s="3" t="s">
        <v>564</v>
      </c>
      <c r="D4378" s="2"/>
      <c r="E4378" s="2" t="e">
        <f t="shared" si="0"/>
        <v>#VALUE!</v>
      </c>
    </row>
    <row r="4379" spans="1:5" ht="12.75" customHeight="1" x14ac:dyDescent="0.2">
      <c r="A4379" s="3"/>
      <c r="B4379" s="3" t="s">
        <v>9</v>
      </c>
      <c r="C4379" s="3" t="s">
        <v>30</v>
      </c>
      <c r="D4379" s="2"/>
      <c r="E4379" s="2" t="e">
        <f t="shared" si="0"/>
        <v>#VALUE!</v>
      </c>
    </row>
    <row r="4380" spans="1:5" ht="12.75" customHeight="1" x14ac:dyDescent="0.2">
      <c r="A4380" s="3"/>
      <c r="B4380" s="3" t="s">
        <v>11</v>
      </c>
      <c r="C4380" s="3" t="s">
        <v>1756</v>
      </c>
      <c r="D4380" s="2"/>
      <c r="E4380" s="2" t="e">
        <f t="shared" si="0"/>
        <v>#VALUE!</v>
      </c>
    </row>
    <row r="4381" spans="1:5" ht="12.75" customHeight="1" x14ac:dyDescent="0.2">
      <c r="A4381" s="3"/>
      <c r="B4381" s="3" t="s">
        <v>18</v>
      </c>
      <c r="C4381" s="4" t="s">
        <v>19</v>
      </c>
      <c r="D4381" s="2"/>
      <c r="E4381" s="2" t="e">
        <f t="shared" si="0"/>
        <v>#VALUE!</v>
      </c>
    </row>
    <row r="4382" spans="1:5" ht="12.75" customHeight="1" x14ac:dyDescent="0.2">
      <c r="A4382" s="1" t="str">
        <f>HYPERLINK("javascript:void(0)","vekni")</f>
        <v>vekni</v>
      </c>
      <c r="B4382" s="1"/>
      <c r="C4382" s="1"/>
      <c r="D4382" s="2"/>
      <c r="E4382" s="2" t="e">
        <f t="shared" si="0"/>
        <v>#VALUE!</v>
      </c>
    </row>
    <row r="4383" spans="1:5" ht="12.75" customHeight="1" x14ac:dyDescent="0.2">
      <c r="A4383" s="3"/>
      <c r="B4383" s="3" t="s">
        <v>0</v>
      </c>
      <c r="C4383" s="3" t="s">
        <v>21</v>
      </c>
      <c r="D4383" s="2"/>
      <c r="E4383" s="2" t="e">
        <f t="shared" si="0"/>
        <v>#VALUE!</v>
      </c>
    </row>
    <row r="4384" spans="1:5" ht="12.75" customHeight="1" x14ac:dyDescent="0.2">
      <c r="A4384" s="3"/>
      <c r="B4384" s="3" t="s">
        <v>2</v>
      </c>
      <c r="C4384" s="3" t="s">
        <v>458</v>
      </c>
      <c r="D4384" s="2"/>
      <c r="E4384" s="2" t="e">
        <f t="shared" si="0"/>
        <v>#VALUE!</v>
      </c>
    </row>
    <row r="4385" spans="1:5" ht="12.75" customHeight="1" x14ac:dyDescent="0.2">
      <c r="A4385" s="3"/>
      <c r="B4385" s="3" t="s">
        <v>9</v>
      </c>
      <c r="C4385" s="3" t="s">
        <v>22</v>
      </c>
      <c r="D4385" s="2"/>
      <c r="E4385" s="2" t="e">
        <f t="shared" si="0"/>
        <v>#VALUE!</v>
      </c>
    </row>
    <row r="4386" spans="1:5" ht="12.75" customHeight="1" x14ac:dyDescent="0.2">
      <c r="A4386" s="3"/>
      <c r="B4386" s="3" t="s">
        <v>11</v>
      </c>
      <c r="C4386" s="3" t="s">
        <v>313</v>
      </c>
      <c r="D4386" s="2"/>
      <c r="E4386" s="2" t="e">
        <f t="shared" si="0"/>
        <v>#VALUE!</v>
      </c>
    </row>
    <row r="4387" spans="1:5" ht="12.75" customHeight="1" x14ac:dyDescent="0.2">
      <c r="A4387" s="3"/>
      <c r="B4387" s="3" t="s">
        <v>18</v>
      </c>
      <c r="C4387" s="4" t="s">
        <v>19</v>
      </c>
      <c r="D4387" s="2"/>
      <c r="E4387" s="2" t="e">
        <f t="shared" si="0"/>
        <v>#VALUE!</v>
      </c>
    </row>
    <row r="4388" spans="1:5" ht="12.75" customHeight="1" x14ac:dyDescent="0.2">
      <c r="A4388" s="1" t="str">
        <f>HYPERLINK("javascript:void(0)","villanyóra")</f>
        <v>villanyóra</v>
      </c>
      <c r="B4388" s="1"/>
      <c r="C4388" s="1"/>
      <c r="D4388" s="2"/>
      <c r="E4388" s="2" t="e">
        <f t="shared" si="0"/>
        <v>#VALUE!</v>
      </c>
    </row>
    <row r="4389" spans="1:5" ht="12.75" customHeight="1" x14ac:dyDescent="0.2">
      <c r="A4389" s="3"/>
      <c r="B4389" s="3" t="s">
        <v>0</v>
      </c>
      <c r="C4389" s="3" t="s">
        <v>21</v>
      </c>
      <c r="D4389" s="2"/>
      <c r="E4389" s="2" t="e">
        <f t="shared" si="0"/>
        <v>#VALUE!</v>
      </c>
    </row>
    <row r="4390" spans="1:5" ht="12.75" customHeight="1" x14ac:dyDescent="0.2">
      <c r="A4390" s="3"/>
      <c r="B4390" s="3" t="s">
        <v>2</v>
      </c>
      <c r="C4390" s="3" t="s">
        <v>458</v>
      </c>
      <c r="D4390" s="2"/>
      <c r="E4390" s="2" t="e">
        <f t="shared" si="0"/>
        <v>#VALUE!</v>
      </c>
    </row>
    <row r="4391" spans="1:5" ht="12.75" customHeight="1" x14ac:dyDescent="0.2">
      <c r="A4391" s="3"/>
      <c r="B4391" s="3" t="s">
        <v>9</v>
      </c>
      <c r="C4391" s="3" t="s">
        <v>70</v>
      </c>
      <c r="D4391" s="2"/>
      <c r="E4391" s="2" t="e">
        <f t="shared" si="0"/>
        <v>#VALUE!</v>
      </c>
    </row>
    <row r="4392" spans="1:5" ht="12.75" customHeight="1" x14ac:dyDescent="0.2">
      <c r="A4392" s="3"/>
      <c r="B4392" s="3" t="s">
        <v>11</v>
      </c>
      <c r="C4392" s="3" t="s">
        <v>395</v>
      </c>
      <c r="D4392" s="2"/>
      <c r="E4392" s="2" t="e">
        <f t="shared" si="0"/>
        <v>#VALUE!</v>
      </c>
    </row>
    <row r="4393" spans="1:5" ht="12.75" customHeight="1" x14ac:dyDescent="0.2">
      <c r="A4393" s="3"/>
      <c r="B4393" s="3" t="s">
        <v>18</v>
      </c>
      <c r="C4393" s="4" t="s">
        <v>19</v>
      </c>
      <c r="D4393" s="2"/>
      <c r="E4393" s="2" t="e">
        <f t="shared" si="0"/>
        <v>#VALUE!</v>
      </c>
    </row>
    <row r="4394" spans="1:5" ht="12.75" customHeight="1" x14ac:dyDescent="0.2">
      <c r="A4394" s="1" t="str">
        <f>HYPERLINK("javascript:void(0)","virgács")</f>
        <v>virgács</v>
      </c>
      <c r="B4394" s="1"/>
      <c r="C4394" s="1"/>
      <c r="D4394" s="2"/>
      <c r="E4394" s="2" t="e">
        <f t="shared" si="0"/>
        <v>#VALUE!</v>
      </c>
    </row>
    <row r="4395" spans="1:5" ht="12.75" customHeight="1" x14ac:dyDescent="0.2">
      <c r="A4395" s="3"/>
      <c r="B4395" s="3" t="s">
        <v>0</v>
      </c>
      <c r="C4395" s="3" t="s">
        <v>21</v>
      </c>
      <c r="D4395" s="2"/>
      <c r="E4395" s="2" t="e">
        <f t="shared" si="0"/>
        <v>#VALUE!</v>
      </c>
    </row>
    <row r="4396" spans="1:5" ht="12.75" customHeight="1" x14ac:dyDescent="0.2">
      <c r="A4396" s="3"/>
      <c r="B4396" s="3" t="s">
        <v>2</v>
      </c>
      <c r="C4396" s="3" t="s">
        <v>458</v>
      </c>
      <c r="D4396" s="2"/>
      <c r="E4396" s="2" t="e">
        <f t="shared" si="0"/>
        <v>#VALUE!</v>
      </c>
    </row>
    <row r="4397" spans="1:5" ht="12.75" customHeight="1" x14ac:dyDescent="0.2">
      <c r="A4397" s="3"/>
      <c r="B4397" s="3" t="s">
        <v>9</v>
      </c>
      <c r="C4397" s="3" t="s">
        <v>22</v>
      </c>
      <c r="D4397" s="2"/>
      <c r="E4397" s="2" t="e">
        <f t="shared" si="0"/>
        <v>#VALUE!</v>
      </c>
    </row>
    <row r="4398" spans="1:5" ht="12.75" customHeight="1" x14ac:dyDescent="0.2">
      <c r="A4398" s="3"/>
      <c r="B4398" s="3" t="s">
        <v>11</v>
      </c>
      <c r="C4398" s="3" t="s">
        <v>395</v>
      </c>
      <c r="D4398" s="2"/>
      <c r="E4398" s="2" t="e">
        <f t="shared" si="0"/>
        <v>#VALUE!</v>
      </c>
    </row>
    <row r="4399" spans="1:5" ht="12.75" customHeight="1" x14ac:dyDescent="0.2">
      <c r="A4399" s="3"/>
      <c r="B4399" s="3" t="s">
        <v>18</v>
      </c>
      <c r="C4399" s="4" t="s">
        <v>19</v>
      </c>
      <c r="D4399" s="2"/>
      <c r="E4399" s="2" t="e">
        <f t="shared" si="0"/>
        <v>#VALUE!</v>
      </c>
    </row>
    <row r="4400" spans="1:5" ht="12.75" customHeight="1" x14ac:dyDescent="0.2">
      <c r="A4400" s="1" t="str">
        <f>HYPERLINK("javascript:void(0)","visszásság")</f>
        <v>visszásság</v>
      </c>
      <c r="B4400" s="1"/>
      <c r="C4400" s="1"/>
      <c r="D4400" s="2"/>
      <c r="E4400" s="2" t="e">
        <f t="shared" si="0"/>
        <v>#VALUE!</v>
      </c>
    </row>
    <row r="4401" spans="1:5" ht="12.75" customHeight="1" x14ac:dyDescent="0.2">
      <c r="A4401" s="3"/>
      <c r="B4401" s="3" t="s">
        <v>0</v>
      </c>
      <c r="C4401" s="3" t="s">
        <v>21</v>
      </c>
      <c r="D4401" s="2"/>
      <c r="E4401" s="2" t="e">
        <f t="shared" si="0"/>
        <v>#VALUE!</v>
      </c>
    </row>
    <row r="4402" spans="1:5" ht="12.75" customHeight="1" x14ac:dyDescent="0.2">
      <c r="A4402" s="3"/>
      <c r="B4402" s="3" t="s">
        <v>2</v>
      </c>
      <c r="C4402" s="3" t="s">
        <v>458</v>
      </c>
      <c r="D4402" s="2"/>
      <c r="E4402" s="2" t="e">
        <f t="shared" si="0"/>
        <v>#VALUE!</v>
      </c>
    </row>
    <row r="4403" spans="1:5" ht="12.75" customHeight="1" x14ac:dyDescent="0.2">
      <c r="A4403" s="3"/>
      <c r="B4403" s="3" t="s">
        <v>9</v>
      </c>
      <c r="C4403" s="3" t="s">
        <v>22</v>
      </c>
      <c r="D4403" s="2"/>
      <c r="E4403" s="2" t="e">
        <f t="shared" si="0"/>
        <v>#VALUE!</v>
      </c>
    </row>
    <row r="4404" spans="1:5" ht="12.75" customHeight="1" x14ac:dyDescent="0.2">
      <c r="A4404" s="3"/>
      <c r="B4404" s="3" t="s">
        <v>11</v>
      </c>
      <c r="C4404" s="3" t="s">
        <v>116</v>
      </c>
      <c r="D4404" s="2"/>
      <c r="E4404" s="2" t="e">
        <f t="shared" si="0"/>
        <v>#VALUE!</v>
      </c>
    </row>
    <row r="4405" spans="1:5" ht="12.75" customHeight="1" x14ac:dyDescent="0.2">
      <c r="A4405" s="3"/>
      <c r="B4405" s="3" t="s">
        <v>18</v>
      </c>
      <c r="C4405" s="4" t="s">
        <v>19</v>
      </c>
      <c r="D4405" s="2"/>
      <c r="E4405" s="2" t="e">
        <f t="shared" si="0"/>
        <v>#VALUE!</v>
      </c>
    </row>
    <row r="4406" spans="1:5" ht="12.75" customHeight="1" x14ac:dyDescent="0.2">
      <c r="A4406" s="1" t="str">
        <f>HYPERLINK("javascript:void(0)","vitorla")</f>
        <v>vitorla</v>
      </c>
      <c r="B4406" s="1"/>
      <c r="C4406" s="1"/>
      <c r="D4406" s="2"/>
      <c r="E4406" s="2" t="e">
        <f t="shared" si="0"/>
        <v>#VALUE!</v>
      </c>
    </row>
    <row r="4407" spans="1:5" ht="12.75" customHeight="1" x14ac:dyDescent="0.2">
      <c r="A4407" s="3"/>
      <c r="B4407" s="3" t="s">
        <v>0</v>
      </c>
      <c r="C4407" s="3" t="s">
        <v>21</v>
      </c>
      <c r="D4407" s="2"/>
      <c r="E4407" s="2" t="e">
        <f t="shared" si="0"/>
        <v>#VALUE!</v>
      </c>
    </row>
    <row r="4408" spans="1:5" ht="12.75" customHeight="1" x14ac:dyDescent="0.2">
      <c r="A4408" s="3"/>
      <c r="B4408" s="3" t="s">
        <v>2</v>
      </c>
      <c r="C4408" s="3" t="s">
        <v>458</v>
      </c>
      <c r="D4408" s="2"/>
      <c r="E4408" s="2" t="e">
        <f t="shared" si="0"/>
        <v>#VALUE!</v>
      </c>
    </row>
    <row r="4409" spans="1:5" ht="12.75" customHeight="1" x14ac:dyDescent="0.2">
      <c r="A4409" s="3"/>
      <c r="B4409" s="3" t="s">
        <v>9</v>
      </c>
      <c r="C4409" s="3" t="s">
        <v>42</v>
      </c>
      <c r="D4409" s="2"/>
      <c r="E4409" s="2" t="e">
        <f t="shared" si="0"/>
        <v>#VALUE!</v>
      </c>
    </row>
    <row r="4410" spans="1:5" ht="12.75" customHeight="1" x14ac:dyDescent="0.2">
      <c r="A4410" s="3"/>
      <c r="B4410" s="3" t="s">
        <v>11</v>
      </c>
      <c r="C4410" s="3" t="s">
        <v>380</v>
      </c>
      <c r="D4410" s="2"/>
      <c r="E4410" s="2" t="e">
        <f t="shared" si="0"/>
        <v>#VALUE!</v>
      </c>
    </row>
    <row r="4411" spans="1:5" ht="12.75" customHeight="1" x14ac:dyDescent="0.2">
      <c r="A4411" s="3"/>
      <c r="B4411" s="3" t="s">
        <v>18</v>
      </c>
      <c r="C4411" s="4" t="s">
        <v>19</v>
      </c>
      <c r="D4411" s="2"/>
      <c r="E4411" s="2" t="e">
        <f t="shared" si="0"/>
        <v>#VALUE!</v>
      </c>
    </row>
    <row r="4412" spans="1:5" ht="12.75" customHeight="1" x14ac:dyDescent="0.2">
      <c r="A4412" s="1" t="str">
        <f>HYPERLINK("javascript:void(0)","vákuum")</f>
        <v>vákuum</v>
      </c>
      <c r="B4412" s="1"/>
      <c r="C4412" s="1"/>
      <c r="D4412" s="2"/>
      <c r="E4412" s="2" t="e">
        <f t="shared" si="0"/>
        <v>#VALUE!</v>
      </c>
    </row>
    <row r="4413" spans="1:5" ht="12.75" customHeight="1" x14ac:dyDescent="0.2">
      <c r="A4413" s="3"/>
      <c r="B4413" s="3" t="s">
        <v>0</v>
      </c>
      <c r="C4413" s="3" t="s">
        <v>21</v>
      </c>
      <c r="D4413" s="2"/>
      <c r="E4413" s="2" t="e">
        <f t="shared" si="0"/>
        <v>#VALUE!</v>
      </c>
    </row>
    <row r="4414" spans="1:5" ht="12.75" customHeight="1" x14ac:dyDescent="0.2">
      <c r="A4414" s="3"/>
      <c r="B4414" s="3" t="s">
        <v>2</v>
      </c>
      <c r="C4414" s="3" t="s">
        <v>458</v>
      </c>
      <c r="D4414" s="2"/>
      <c r="E4414" s="2" t="e">
        <f t="shared" si="0"/>
        <v>#VALUE!</v>
      </c>
    </row>
    <row r="4415" spans="1:5" ht="12.75" customHeight="1" x14ac:dyDescent="0.2">
      <c r="A4415" s="3"/>
      <c r="B4415" s="3" t="s">
        <v>9</v>
      </c>
      <c r="C4415" s="3" t="s">
        <v>626</v>
      </c>
      <c r="D4415" s="2"/>
      <c r="E4415" s="2" t="e">
        <f t="shared" si="0"/>
        <v>#VALUE!</v>
      </c>
    </row>
    <row r="4416" spans="1:5" ht="12.75" customHeight="1" x14ac:dyDescent="0.2">
      <c r="A4416" s="3"/>
      <c r="B4416" s="3" t="s">
        <v>11</v>
      </c>
      <c r="C4416" s="3" t="s">
        <v>227</v>
      </c>
      <c r="D4416" s="2"/>
      <c r="E4416" s="2" t="e">
        <f t="shared" si="0"/>
        <v>#VALUE!</v>
      </c>
    </row>
    <row r="4417" spans="1:5" ht="12.75" customHeight="1" x14ac:dyDescent="0.2">
      <c r="A4417" s="3"/>
      <c r="B4417" s="3" t="s">
        <v>18</v>
      </c>
      <c r="C4417" s="4" t="s">
        <v>19</v>
      </c>
      <c r="D4417" s="2"/>
      <c r="E4417" s="2" t="e">
        <f t="shared" si="0"/>
        <v>#VALUE!</v>
      </c>
    </row>
    <row r="4418" spans="1:5" ht="12.75" customHeight="1" x14ac:dyDescent="0.2">
      <c r="A4418" s="1" t="str">
        <f>HYPERLINK("javascript:void(0)","vámpírherbium")</f>
        <v>vámpírherbium</v>
      </c>
      <c r="B4418" s="1"/>
      <c r="C4418" s="1"/>
      <c r="D4418" s="2"/>
      <c r="E4418" s="2" t="e">
        <f t="shared" si="0"/>
        <v>#VALUE!</v>
      </c>
    </row>
    <row r="4419" spans="1:5" ht="12.75" customHeight="1" x14ac:dyDescent="0.2">
      <c r="A4419" s="3"/>
      <c r="B4419" s="3" t="s">
        <v>0</v>
      </c>
      <c r="C4419" s="3" t="s">
        <v>21</v>
      </c>
      <c r="D4419" s="2"/>
      <c r="E4419" s="2" t="e">
        <f t="shared" si="0"/>
        <v>#VALUE!</v>
      </c>
    </row>
    <row r="4420" spans="1:5" ht="12.75" customHeight="1" x14ac:dyDescent="0.2">
      <c r="A4420" s="3"/>
      <c r="B4420" s="3" t="s">
        <v>2</v>
      </c>
      <c r="C4420" s="3" t="s">
        <v>458</v>
      </c>
      <c r="D4420" s="2"/>
      <c r="E4420" s="2" t="e">
        <f t="shared" si="0"/>
        <v>#VALUE!</v>
      </c>
    </row>
    <row r="4421" spans="1:5" ht="12.75" customHeight="1" x14ac:dyDescent="0.2">
      <c r="A4421" s="3"/>
      <c r="B4421" s="3" t="s">
        <v>9</v>
      </c>
      <c r="C4421" s="3" t="s">
        <v>404</v>
      </c>
      <c r="D4421" s="2"/>
      <c r="E4421" s="2" t="e">
        <f t="shared" si="0"/>
        <v>#VALUE!</v>
      </c>
    </row>
    <row r="4422" spans="1:5" ht="12.75" customHeight="1" x14ac:dyDescent="0.2">
      <c r="A4422" s="3"/>
      <c r="B4422" s="3" t="s">
        <v>11</v>
      </c>
      <c r="C4422" s="3" t="s">
        <v>1767</v>
      </c>
      <c r="D4422" s="2"/>
      <c r="E4422" s="2" t="e">
        <f t="shared" si="0"/>
        <v>#VALUE!</v>
      </c>
    </row>
    <row r="4423" spans="1:5" ht="12.75" customHeight="1" x14ac:dyDescent="0.2">
      <c r="A4423" s="3"/>
      <c r="B4423" s="3" t="s">
        <v>18</v>
      </c>
      <c r="C4423" s="4" t="s">
        <v>19</v>
      </c>
      <c r="D4423" s="2"/>
      <c r="E4423" s="2" t="e">
        <f t="shared" si="0"/>
        <v>#VALUE!</v>
      </c>
    </row>
    <row r="4424" spans="1:5" ht="12.75" customHeight="1" x14ac:dyDescent="0.2">
      <c r="A4424" s="1" t="str">
        <f>HYPERLINK("javascript:void(0)","vámpírszemfogpár")</f>
        <v>vámpírszemfogpár</v>
      </c>
      <c r="B4424" s="1"/>
      <c r="C4424" s="1"/>
      <c r="D4424" s="2"/>
      <c r="E4424" s="2" t="e">
        <f t="shared" si="0"/>
        <v>#VALUE!</v>
      </c>
    </row>
    <row r="4425" spans="1:5" ht="12.75" customHeight="1" x14ac:dyDescent="0.2">
      <c r="A4425" s="3"/>
      <c r="B4425" s="3" t="s">
        <v>0</v>
      </c>
      <c r="C4425" s="3" t="s">
        <v>21</v>
      </c>
      <c r="D4425" s="2"/>
      <c r="E4425" s="2" t="e">
        <f t="shared" si="0"/>
        <v>#VALUE!</v>
      </c>
    </row>
    <row r="4426" spans="1:5" ht="12.75" customHeight="1" x14ac:dyDescent="0.2">
      <c r="A4426" s="3"/>
      <c r="B4426" s="3" t="s">
        <v>2</v>
      </c>
      <c r="C4426" s="3" t="s">
        <v>387</v>
      </c>
      <c r="D4426" s="2"/>
      <c r="E4426" s="2" t="e">
        <f t="shared" si="0"/>
        <v>#VALUE!</v>
      </c>
    </row>
    <row r="4427" spans="1:5" ht="12.75" customHeight="1" x14ac:dyDescent="0.2">
      <c r="A4427" s="3"/>
      <c r="B4427" s="3" t="s">
        <v>9</v>
      </c>
      <c r="C4427" s="3" t="s">
        <v>27</v>
      </c>
      <c r="D4427" s="2"/>
      <c r="E4427" s="2" t="e">
        <f t="shared" si="0"/>
        <v>#VALUE!</v>
      </c>
    </row>
    <row r="4428" spans="1:5" ht="12.75" customHeight="1" x14ac:dyDescent="0.2">
      <c r="A4428" s="3"/>
      <c r="B4428" s="3" t="s">
        <v>11</v>
      </c>
      <c r="C4428" s="3" t="s">
        <v>23</v>
      </c>
      <c r="D4428" s="2"/>
      <c r="E4428" s="2" t="e">
        <f t="shared" si="0"/>
        <v>#VALUE!</v>
      </c>
    </row>
    <row r="4429" spans="1:5" ht="12.75" customHeight="1" x14ac:dyDescent="0.2">
      <c r="A4429" s="3"/>
      <c r="B4429" s="3" t="s">
        <v>16</v>
      </c>
      <c r="C4429" s="3" t="s">
        <v>388</v>
      </c>
      <c r="D4429" s="2"/>
      <c r="E4429" s="2" t="e">
        <f t="shared" si="0"/>
        <v>#VALUE!</v>
      </c>
    </row>
    <row r="4430" spans="1:5" ht="12.75" customHeight="1" x14ac:dyDescent="0.2">
      <c r="A4430" s="3"/>
      <c r="B4430" s="3" t="s">
        <v>18</v>
      </c>
      <c r="C4430" s="4" t="s">
        <v>19</v>
      </c>
      <c r="D4430" s="2"/>
      <c r="E4430" s="2" t="e">
        <f t="shared" si="0"/>
        <v>#VALUE!</v>
      </c>
    </row>
    <row r="4431" spans="1:5" ht="12.75" customHeight="1" x14ac:dyDescent="0.2">
      <c r="A4431" s="1" t="str">
        <f>HYPERLINK("javascript:void(0)","védjegy")</f>
        <v>védjegy</v>
      </c>
      <c r="B4431" s="1"/>
      <c r="C4431" s="1"/>
      <c r="D4431" s="2"/>
      <c r="E4431" s="2" t="e">
        <f t="shared" si="0"/>
        <v>#VALUE!</v>
      </c>
    </row>
    <row r="4432" spans="1:5" ht="12.75" customHeight="1" x14ac:dyDescent="0.2">
      <c r="A4432" s="3"/>
      <c r="B4432" s="3" t="s">
        <v>0</v>
      </c>
      <c r="C4432" s="3" t="s">
        <v>21</v>
      </c>
      <c r="D4432" s="2"/>
      <c r="E4432" s="2" t="e">
        <f t="shared" si="0"/>
        <v>#VALUE!</v>
      </c>
    </row>
    <row r="4433" spans="1:5" ht="12.75" customHeight="1" x14ac:dyDescent="0.2">
      <c r="A4433" s="3"/>
      <c r="B4433" s="3" t="s">
        <v>2</v>
      </c>
      <c r="C4433" s="3" t="s">
        <v>458</v>
      </c>
      <c r="D4433" s="2"/>
      <c r="E4433" s="2" t="e">
        <f t="shared" si="0"/>
        <v>#VALUE!</v>
      </c>
    </row>
    <row r="4434" spans="1:5" ht="12.75" customHeight="1" x14ac:dyDescent="0.2">
      <c r="A4434" s="3"/>
      <c r="B4434" s="3" t="s">
        <v>9</v>
      </c>
      <c r="C4434" s="3" t="s">
        <v>22</v>
      </c>
      <c r="D4434" s="2"/>
      <c r="E4434" s="2" t="e">
        <f t="shared" si="0"/>
        <v>#VALUE!</v>
      </c>
    </row>
    <row r="4435" spans="1:5" ht="12.75" customHeight="1" x14ac:dyDescent="0.2">
      <c r="A4435" s="3"/>
      <c r="B4435" s="3" t="s">
        <v>11</v>
      </c>
      <c r="C4435" s="3" t="s">
        <v>529</v>
      </c>
      <c r="D4435" s="2"/>
      <c r="E4435" s="2" t="e">
        <f t="shared" si="0"/>
        <v>#VALUE!</v>
      </c>
    </row>
    <row r="4436" spans="1:5" ht="12.75" customHeight="1" x14ac:dyDescent="0.2">
      <c r="A4436" s="3"/>
      <c r="B4436" s="3" t="s">
        <v>18</v>
      </c>
      <c r="C4436" s="4" t="s">
        <v>19</v>
      </c>
      <c r="D4436" s="2"/>
      <c r="E4436" s="2" t="e">
        <f t="shared" si="0"/>
        <v>#VALUE!</v>
      </c>
    </row>
    <row r="4437" spans="1:5" ht="12.75" customHeight="1" x14ac:dyDescent="0.2">
      <c r="A4437" s="1" t="str">
        <f>HYPERLINK("javascript:void(0)","végbakancs")</f>
        <v>végbakancs</v>
      </c>
      <c r="B4437" s="1"/>
      <c r="C4437" s="1"/>
      <c r="D4437" s="2"/>
      <c r="E4437" s="2" t="e">
        <f t="shared" si="0"/>
        <v>#VALUE!</v>
      </c>
    </row>
    <row r="4438" spans="1:5" ht="12.75" customHeight="1" x14ac:dyDescent="0.2">
      <c r="A4438" s="3"/>
      <c r="B4438" s="3" t="s">
        <v>0</v>
      </c>
      <c r="C4438" s="3" t="s">
        <v>21</v>
      </c>
      <c r="D4438" s="2"/>
      <c r="E4438" s="2" t="e">
        <f t="shared" si="0"/>
        <v>#VALUE!</v>
      </c>
    </row>
    <row r="4439" spans="1:5" ht="12.75" customHeight="1" x14ac:dyDescent="0.2">
      <c r="A4439" s="3"/>
      <c r="B4439" s="3" t="s">
        <v>2</v>
      </c>
      <c r="C4439" s="3" t="s">
        <v>458</v>
      </c>
      <c r="D4439" s="2"/>
      <c r="E4439" s="2" t="e">
        <f t="shared" si="0"/>
        <v>#VALUE!</v>
      </c>
    </row>
    <row r="4440" spans="1:5" ht="12.75" customHeight="1" x14ac:dyDescent="0.2">
      <c r="A4440" s="3"/>
      <c r="B4440" s="3" t="s">
        <v>9</v>
      </c>
      <c r="C4440" s="3" t="s">
        <v>22</v>
      </c>
      <c r="D4440" s="2"/>
      <c r="E4440" s="2" t="e">
        <f t="shared" si="0"/>
        <v>#VALUE!</v>
      </c>
    </row>
    <row r="4441" spans="1:5" ht="12.75" customHeight="1" x14ac:dyDescent="0.2">
      <c r="A4441" s="3"/>
      <c r="B4441" s="3" t="s">
        <v>11</v>
      </c>
      <c r="C4441" s="3" t="s">
        <v>162</v>
      </c>
      <c r="D4441" s="2"/>
      <c r="E4441" s="2" t="e">
        <f t="shared" si="0"/>
        <v>#VALUE!</v>
      </c>
    </row>
    <row r="4442" spans="1:5" ht="12.75" customHeight="1" x14ac:dyDescent="0.2">
      <c r="A4442" s="3"/>
      <c r="B4442" s="3" t="s">
        <v>18</v>
      </c>
      <c r="C4442" s="4" t="s">
        <v>19</v>
      </c>
      <c r="D4442" s="2"/>
      <c r="E4442" s="2" t="e">
        <f t="shared" si="0"/>
        <v>#VALUE!</v>
      </c>
    </row>
    <row r="4443" spans="1:5" ht="12.75" customHeight="1" x14ac:dyDescent="0.2">
      <c r="A4443" s="1" t="str">
        <f>HYPERLINK("javascript:void(0)","vérrém")</f>
        <v>vérrém</v>
      </c>
      <c r="B4443" s="1"/>
      <c r="C4443" s="1"/>
      <c r="D4443" s="2"/>
      <c r="E4443" s="2" t="e">
        <f t="shared" si="0"/>
        <v>#VALUE!</v>
      </c>
    </row>
    <row r="4444" spans="1:5" ht="12.75" customHeight="1" x14ac:dyDescent="0.2">
      <c r="A4444" s="3"/>
      <c r="B4444" s="3" t="s">
        <v>0</v>
      </c>
      <c r="C4444" s="3" t="s">
        <v>21</v>
      </c>
      <c r="D4444" s="2"/>
      <c r="E4444" s="2" t="e">
        <f t="shared" si="0"/>
        <v>#VALUE!</v>
      </c>
    </row>
    <row r="4445" spans="1:5" ht="12.75" customHeight="1" x14ac:dyDescent="0.2">
      <c r="A4445" s="3"/>
      <c r="B4445" s="3" t="s">
        <v>2</v>
      </c>
      <c r="C4445" s="3" t="s">
        <v>458</v>
      </c>
      <c r="D4445" s="2"/>
      <c r="E4445" s="2" t="e">
        <f t="shared" si="0"/>
        <v>#VALUE!</v>
      </c>
    </row>
    <row r="4446" spans="1:5" ht="12.75" customHeight="1" x14ac:dyDescent="0.2">
      <c r="A4446" s="3"/>
      <c r="B4446" s="3" t="s">
        <v>9</v>
      </c>
      <c r="C4446" s="3" t="s">
        <v>22</v>
      </c>
      <c r="D4446" s="2"/>
      <c r="E4446" s="2" t="e">
        <f t="shared" si="0"/>
        <v>#VALUE!</v>
      </c>
    </row>
    <row r="4447" spans="1:5" ht="12.75" customHeight="1" x14ac:dyDescent="0.2">
      <c r="A4447" s="3"/>
      <c r="B4447" s="3" t="s">
        <v>11</v>
      </c>
      <c r="C4447" s="3" t="s">
        <v>138</v>
      </c>
      <c r="D4447" s="2"/>
      <c r="E4447" s="2" t="e">
        <f t="shared" si="0"/>
        <v>#VALUE!</v>
      </c>
    </row>
    <row r="4448" spans="1:5" ht="12.75" customHeight="1" x14ac:dyDescent="0.2">
      <c r="A4448" s="3"/>
      <c r="B4448" s="3" t="s">
        <v>18</v>
      </c>
      <c r="C4448" s="4" t="s">
        <v>19</v>
      </c>
      <c r="D4448" s="2"/>
      <c r="E4448" s="2" t="e">
        <f t="shared" si="0"/>
        <v>#VALUE!</v>
      </c>
    </row>
    <row r="4449" spans="1:5" ht="12.75" customHeight="1" x14ac:dyDescent="0.2">
      <c r="A4449" s="1" t="str">
        <f>HYPERLINK("javascript:void(0)","vérrög")</f>
        <v>vérrög</v>
      </c>
      <c r="B4449" s="1"/>
      <c r="C4449" s="1"/>
      <c r="D4449" s="2"/>
      <c r="E4449" s="2" t="e">
        <f t="shared" si="0"/>
        <v>#VALUE!</v>
      </c>
    </row>
    <row r="4450" spans="1:5" ht="12.75" customHeight="1" x14ac:dyDescent="0.2">
      <c r="A4450" s="3"/>
      <c r="B4450" s="3" t="s">
        <v>0</v>
      </c>
      <c r="C4450" s="3" t="s">
        <v>21</v>
      </c>
      <c r="D4450" s="2"/>
      <c r="E4450" s="2" t="e">
        <f t="shared" si="0"/>
        <v>#VALUE!</v>
      </c>
    </row>
    <row r="4451" spans="1:5" ht="12.75" customHeight="1" x14ac:dyDescent="0.2">
      <c r="A4451" s="3"/>
      <c r="B4451" s="3" t="s">
        <v>2</v>
      </c>
      <c r="C4451" s="3" t="s">
        <v>458</v>
      </c>
      <c r="D4451" s="2"/>
      <c r="E4451" s="2" t="e">
        <f t="shared" si="0"/>
        <v>#VALUE!</v>
      </c>
    </row>
    <row r="4452" spans="1:5" ht="12.75" customHeight="1" x14ac:dyDescent="0.2">
      <c r="A4452" s="3"/>
      <c r="B4452" s="3" t="s">
        <v>9</v>
      </c>
      <c r="C4452" s="3" t="s">
        <v>969</v>
      </c>
      <c r="D4452" s="2"/>
      <c r="E4452" s="2" t="e">
        <f t="shared" si="0"/>
        <v>#VALUE!</v>
      </c>
    </row>
    <row r="4453" spans="1:5" ht="12.75" customHeight="1" x14ac:dyDescent="0.2">
      <c r="A4453" s="3"/>
      <c r="B4453" s="3" t="s">
        <v>11</v>
      </c>
      <c r="C4453" s="3" t="s">
        <v>1084</v>
      </c>
      <c r="D4453" s="2"/>
      <c r="E4453" s="2" t="e">
        <f t="shared" si="0"/>
        <v>#VALUE!</v>
      </c>
    </row>
    <row r="4454" spans="1:5" ht="12.75" customHeight="1" x14ac:dyDescent="0.2">
      <c r="A4454" s="3"/>
      <c r="B4454" s="3" t="s">
        <v>18</v>
      </c>
      <c r="C4454" s="4" t="s">
        <v>19</v>
      </c>
      <c r="D4454" s="2"/>
      <c r="E4454" s="2" t="e">
        <f t="shared" si="0"/>
        <v>#VALUE!</v>
      </c>
    </row>
    <row r="4455" spans="1:5" ht="12.75" customHeight="1" x14ac:dyDescent="0.2">
      <c r="A4455" s="1" t="str">
        <f>HYPERLINK("javascript:void(0)","vértócsa")</f>
        <v>vértócsa</v>
      </c>
      <c r="B4455" s="1"/>
      <c r="C4455" s="1"/>
      <c r="D4455" s="2"/>
      <c r="E4455" s="2" t="e">
        <f t="shared" si="0"/>
        <v>#VALUE!</v>
      </c>
    </row>
    <row r="4456" spans="1:5" ht="12.75" customHeight="1" x14ac:dyDescent="0.2">
      <c r="A4456" s="3"/>
      <c r="B4456" s="3" t="s">
        <v>0</v>
      </c>
      <c r="C4456" s="3" t="s">
        <v>21</v>
      </c>
      <c r="D4456" s="2"/>
      <c r="E4456" s="2" t="e">
        <f t="shared" si="0"/>
        <v>#VALUE!</v>
      </c>
    </row>
    <row r="4457" spans="1:5" ht="12.75" customHeight="1" x14ac:dyDescent="0.2">
      <c r="A4457" s="3"/>
      <c r="B4457" s="3" t="s">
        <v>2</v>
      </c>
      <c r="C4457" s="3" t="s">
        <v>458</v>
      </c>
      <c r="D4457" s="2"/>
      <c r="E4457" s="2" t="e">
        <f t="shared" si="0"/>
        <v>#VALUE!</v>
      </c>
    </row>
    <row r="4458" spans="1:5" ht="12.75" customHeight="1" x14ac:dyDescent="0.2">
      <c r="A4458" s="3"/>
      <c r="B4458" s="3" t="s">
        <v>9</v>
      </c>
      <c r="C4458" s="3" t="s">
        <v>1737</v>
      </c>
      <c r="D4458" s="2"/>
      <c r="E4458" s="2" t="e">
        <f t="shared" si="0"/>
        <v>#VALUE!</v>
      </c>
    </row>
    <row r="4459" spans="1:5" ht="12.75" customHeight="1" x14ac:dyDescent="0.2">
      <c r="A4459" s="3"/>
      <c r="B4459" s="3" t="s">
        <v>11</v>
      </c>
      <c r="C4459" s="3" t="s">
        <v>227</v>
      </c>
      <c r="D4459" s="2"/>
      <c r="E4459" s="2" t="e">
        <f t="shared" si="0"/>
        <v>#VALUE!</v>
      </c>
    </row>
    <row r="4460" spans="1:5" ht="12.75" customHeight="1" x14ac:dyDescent="0.2">
      <c r="A4460" s="3"/>
      <c r="B4460" s="3" t="s">
        <v>18</v>
      </c>
      <c r="C4460" s="4" t="s">
        <v>19</v>
      </c>
      <c r="D4460" s="2"/>
      <c r="E4460" s="2" t="e">
        <f t="shared" si="0"/>
        <v>#VALUE!</v>
      </c>
    </row>
    <row r="4461" spans="1:5" ht="12.75" customHeight="1" x14ac:dyDescent="0.2">
      <c r="A4461" s="1" t="str">
        <f>HYPERLINK("javascript:void(0)","vérüreg")</f>
        <v>vérüreg</v>
      </c>
      <c r="B4461" s="1"/>
      <c r="C4461" s="1"/>
      <c r="D4461" s="2"/>
      <c r="E4461" s="2" t="e">
        <f t="shared" si="0"/>
        <v>#VALUE!</v>
      </c>
    </row>
    <row r="4462" spans="1:5" ht="12.75" customHeight="1" x14ac:dyDescent="0.2">
      <c r="A4462" s="3"/>
      <c r="B4462" s="3" t="s">
        <v>0</v>
      </c>
      <c r="C4462" s="3" t="s">
        <v>21</v>
      </c>
      <c r="D4462" s="2"/>
      <c r="E4462" s="2" t="e">
        <f t="shared" si="0"/>
        <v>#VALUE!</v>
      </c>
    </row>
    <row r="4463" spans="1:5" ht="12.75" customHeight="1" x14ac:dyDescent="0.2">
      <c r="A4463" s="3"/>
      <c r="B4463" s="3" t="s">
        <v>2</v>
      </c>
      <c r="C4463" s="3" t="s">
        <v>458</v>
      </c>
      <c r="D4463" s="2"/>
      <c r="E4463" s="2" t="e">
        <f t="shared" si="0"/>
        <v>#VALUE!</v>
      </c>
    </row>
    <row r="4464" spans="1:5" ht="12.75" customHeight="1" x14ac:dyDescent="0.2">
      <c r="A4464" s="3"/>
      <c r="B4464" s="3" t="s">
        <v>9</v>
      </c>
      <c r="C4464" s="3" t="s">
        <v>637</v>
      </c>
      <c r="D4464" s="2"/>
      <c r="E4464" s="2" t="e">
        <f t="shared" si="0"/>
        <v>#VALUE!</v>
      </c>
    </row>
    <row r="4465" spans="1:5" ht="12.75" customHeight="1" x14ac:dyDescent="0.2">
      <c r="A4465" s="3"/>
      <c r="B4465" s="3" t="s">
        <v>11</v>
      </c>
      <c r="C4465" s="3" t="s">
        <v>1776</v>
      </c>
      <c r="D4465" s="2"/>
      <c r="E4465" s="2" t="e">
        <f t="shared" si="0"/>
        <v>#VALUE!</v>
      </c>
    </row>
    <row r="4466" spans="1:5" ht="12.75" customHeight="1" x14ac:dyDescent="0.2">
      <c r="A4466" s="3"/>
      <c r="B4466" s="3" t="s">
        <v>18</v>
      </c>
      <c r="C4466" s="4" t="s">
        <v>19</v>
      </c>
      <c r="D4466" s="2"/>
      <c r="E4466" s="2" t="e">
        <f t="shared" si="0"/>
        <v>#VALUE!</v>
      </c>
    </row>
    <row r="4467" spans="1:5" ht="12.75" customHeight="1" x14ac:dyDescent="0.2">
      <c r="A4467" s="1" t="str">
        <f>HYPERLINK("javascript:void(0)","vízige")</f>
        <v>vízige</v>
      </c>
      <c r="B4467" s="1"/>
      <c r="C4467" s="1"/>
      <c r="D4467" s="2"/>
      <c r="E4467" s="2" t="e">
        <f t="shared" si="0"/>
        <v>#VALUE!</v>
      </c>
    </row>
    <row r="4468" spans="1:5" ht="12.75" customHeight="1" x14ac:dyDescent="0.2">
      <c r="A4468" s="3"/>
      <c r="B4468" s="3" t="s">
        <v>0</v>
      </c>
      <c r="C4468" s="3" t="s">
        <v>21</v>
      </c>
      <c r="D4468" s="2"/>
      <c r="E4468" s="2" t="e">
        <f t="shared" si="0"/>
        <v>#VALUE!</v>
      </c>
    </row>
    <row r="4469" spans="1:5" ht="12.75" customHeight="1" x14ac:dyDescent="0.2">
      <c r="A4469" s="3"/>
      <c r="B4469" s="3" t="s">
        <v>2</v>
      </c>
      <c r="C4469" s="3" t="s">
        <v>458</v>
      </c>
      <c r="D4469" s="2"/>
      <c r="E4469" s="2" t="e">
        <f t="shared" si="0"/>
        <v>#VALUE!</v>
      </c>
    </row>
    <row r="4470" spans="1:5" ht="12.75" customHeight="1" x14ac:dyDescent="0.2">
      <c r="A4470" s="3"/>
      <c r="B4470" s="3" t="s">
        <v>9</v>
      </c>
      <c r="C4470" s="3" t="s">
        <v>30</v>
      </c>
      <c r="D4470" s="2"/>
      <c r="E4470" s="2" t="e">
        <f t="shared" si="0"/>
        <v>#VALUE!</v>
      </c>
    </row>
    <row r="4471" spans="1:5" ht="12.75" customHeight="1" x14ac:dyDescent="0.2">
      <c r="A4471" s="3"/>
      <c r="B4471" s="3" t="s">
        <v>11</v>
      </c>
      <c r="C4471" s="3" t="s">
        <v>505</v>
      </c>
      <c r="D4471" s="2"/>
      <c r="E4471" s="2" t="e">
        <f t="shared" si="0"/>
        <v>#VALUE!</v>
      </c>
    </row>
    <row r="4472" spans="1:5" ht="12.75" customHeight="1" x14ac:dyDescent="0.2">
      <c r="A4472" s="3"/>
      <c r="B4472" s="3" t="s">
        <v>18</v>
      </c>
      <c r="C4472" s="4" t="s">
        <v>19</v>
      </c>
      <c r="D4472" s="2"/>
      <c r="E4472" s="2" t="e">
        <f t="shared" si="0"/>
        <v>#VALUE!</v>
      </c>
    </row>
    <row r="4473" spans="1:5" ht="12.75" customHeight="1" x14ac:dyDescent="0.2">
      <c r="A4473" s="1" t="str">
        <f>HYPERLINK("javascript:void(0)","wattacsomó")</f>
        <v>wattacsomó</v>
      </c>
      <c r="B4473" s="1"/>
      <c r="C4473" s="1"/>
      <c r="D4473" s="2"/>
      <c r="E4473" s="2" t="e">
        <f t="shared" si="0"/>
        <v>#VALUE!</v>
      </c>
    </row>
    <row r="4474" spans="1:5" ht="12.75" customHeight="1" x14ac:dyDescent="0.2">
      <c r="A4474" s="3"/>
      <c r="B4474" s="3" t="s">
        <v>0</v>
      </c>
      <c r="C4474" s="3" t="s">
        <v>21</v>
      </c>
      <c r="D4474" s="2"/>
      <c r="E4474" s="2" t="e">
        <f t="shared" si="0"/>
        <v>#VALUE!</v>
      </c>
    </row>
    <row r="4475" spans="1:5" ht="12.75" customHeight="1" x14ac:dyDescent="0.2">
      <c r="A4475" s="3"/>
      <c r="B4475" s="3" t="s">
        <v>2</v>
      </c>
      <c r="C4475" s="3" t="s">
        <v>458</v>
      </c>
      <c r="D4475" s="2"/>
      <c r="E4475" s="2" t="e">
        <f t="shared" si="0"/>
        <v>#VALUE!</v>
      </c>
    </row>
    <row r="4476" spans="1:5" ht="12.75" customHeight="1" x14ac:dyDescent="0.2">
      <c r="A4476" s="3"/>
      <c r="B4476" s="3" t="s">
        <v>9</v>
      </c>
      <c r="C4476" s="3" t="s">
        <v>513</v>
      </c>
      <c r="D4476" s="2"/>
      <c r="E4476" s="2" t="e">
        <f t="shared" si="0"/>
        <v>#VALUE!</v>
      </c>
    </row>
    <row r="4477" spans="1:5" ht="12.75" customHeight="1" x14ac:dyDescent="0.2">
      <c r="A4477" s="3"/>
      <c r="B4477" s="3" t="s">
        <v>11</v>
      </c>
      <c r="C4477" s="3" t="s">
        <v>227</v>
      </c>
      <c r="D4477" s="2"/>
      <c r="E4477" s="2" t="e">
        <f t="shared" si="0"/>
        <v>#VALUE!</v>
      </c>
    </row>
    <row r="4478" spans="1:5" ht="12.75" customHeight="1" x14ac:dyDescent="0.2">
      <c r="A4478" s="3"/>
      <c r="B4478" s="3" t="s">
        <v>18</v>
      </c>
      <c r="C4478" s="4" t="s">
        <v>19</v>
      </c>
      <c r="D4478" s="2"/>
      <c r="E4478" s="2" t="e">
        <f t="shared" si="0"/>
        <v>#VALUE!</v>
      </c>
    </row>
    <row r="4479" spans="1:5" ht="12.75" customHeight="1" x14ac:dyDescent="0.2">
      <c r="A4479" s="1" t="str">
        <f>HYPERLINK("javascript:void(0)","yetiláb")</f>
        <v>yetiláb</v>
      </c>
      <c r="B4479" s="1"/>
      <c r="C4479" s="1"/>
      <c r="D4479" s="2"/>
      <c r="E4479" s="2" t="e">
        <f t="shared" si="0"/>
        <v>#VALUE!</v>
      </c>
    </row>
    <row r="4480" spans="1:5" ht="12.75" customHeight="1" x14ac:dyDescent="0.2">
      <c r="A4480" s="3"/>
      <c r="B4480" s="3" t="s">
        <v>0</v>
      </c>
      <c r="C4480" s="3" t="s">
        <v>21</v>
      </c>
      <c r="D4480" s="2"/>
      <c r="E4480" s="2" t="e">
        <f t="shared" si="0"/>
        <v>#VALUE!</v>
      </c>
    </row>
    <row r="4481" spans="1:5" ht="12.75" customHeight="1" x14ac:dyDescent="0.2">
      <c r="A4481" s="3"/>
      <c r="B4481" s="3" t="s">
        <v>2</v>
      </c>
      <c r="C4481" s="3" t="s">
        <v>458</v>
      </c>
      <c r="D4481" s="2"/>
      <c r="E4481" s="2" t="e">
        <f t="shared" si="0"/>
        <v>#VALUE!</v>
      </c>
    </row>
    <row r="4482" spans="1:5" ht="12.75" customHeight="1" x14ac:dyDescent="0.2">
      <c r="A4482" s="3"/>
      <c r="B4482" s="3" t="s">
        <v>9</v>
      </c>
      <c r="C4482" s="3" t="s">
        <v>172</v>
      </c>
      <c r="D4482" s="2"/>
      <c r="E4482" s="2" t="e">
        <f t="shared" si="0"/>
        <v>#VALUE!</v>
      </c>
    </row>
    <row r="4483" spans="1:5" ht="12.75" customHeight="1" x14ac:dyDescent="0.2">
      <c r="A4483" s="3"/>
      <c r="B4483" s="3" t="s">
        <v>11</v>
      </c>
      <c r="C4483" s="3" t="s">
        <v>209</v>
      </c>
      <c r="D4483" s="2"/>
      <c r="E4483" s="2" t="e">
        <f t="shared" si="0"/>
        <v>#VALUE!</v>
      </c>
    </row>
    <row r="4484" spans="1:5" ht="12.75" customHeight="1" x14ac:dyDescent="0.2">
      <c r="A4484" s="3"/>
      <c r="B4484" s="3" t="s">
        <v>18</v>
      </c>
      <c r="C4484" s="4" t="s">
        <v>19</v>
      </c>
      <c r="D4484" s="2"/>
      <c r="E4484" s="2" t="e">
        <f t="shared" si="0"/>
        <v>#VALUE!</v>
      </c>
    </row>
    <row r="4485" spans="1:5" ht="12.75" customHeight="1" x14ac:dyDescent="0.2">
      <c r="A4485" s="1" t="str">
        <f>HYPERLINK("javascript:void(0)","yorick")</f>
        <v>yorick</v>
      </c>
      <c r="B4485" s="1"/>
      <c r="C4485" s="1"/>
      <c r="D4485" s="2"/>
      <c r="E4485" s="2" t="e">
        <f t="shared" si="0"/>
        <v>#VALUE!</v>
      </c>
    </row>
    <row r="4486" spans="1:5" ht="12.75" customHeight="1" x14ac:dyDescent="0.2">
      <c r="A4486" s="3"/>
      <c r="B4486" s="3" t="s">
        <v>0</v>
      </c>
      <c r="C4486" s="3" t="s">
        <v>21</v>
      </c>
      <c r="D4486" s="2"/>
      <c r="E4486" s="2" t="e">
        <f t="shared" si="0"/>
        <v>#VALUE!</v>
      </c>
    </row>
    <row r="4487" spans="1:5" ht="12.75" customHeight="1" x14ac:dyDescent="0.2">
      <c r="A4487" s="3"/>
      <c r="B4487" s="3" t="s">
        <v>2</v>
      </c>
      <c r="C4487" s="3" t="s">
        <v>458</v>
      </c>
      <c r="D4487" s="2"/>
      <c r="E4487" s="2" t="e">
        <f t="shared" si="0"/>
        <v>#VALUE!</v>
      </c>
    </row>
    <row r="4488" spans="1:5" ht="12.75" customHeight="1" x14ac:dyDescent="0.2">
      <c r="A4488" s="3"/>
      <c r="B4488" s="3" t="s">
        <v>9</v>
      </c>
      <c r="C4488" s="3" t="s">
        <v>42</v>
      </c>
      <c r="D4488" s="2"/>
      <c r="E4488" s="2" t="e">
        <f t="shared" si="0"/>
        <v>#VALUE!</v>
      </c>
    </row>
    <row r="4489" spans="1:5" ht="12.75" customHeight="1" x14ac:dyDescent="0.2">
      <c r="A4489" s="3"/>
      <c r="B4489" s="3" t="s">
        <v>11</v>
      </c>
      <c r="C4489" s="3" t="s">
        <v>1784</v>
      </c>
      <c r="D4489" s="2"/>
      <c r="E4489" s="2" t="e">
        <f t="shared" si="0"/>
        <v>#VALUE!</v>
      </c>
    </row>
    <row r="4490" spans="1:5" ht="12.75" customHeight="1" x14ac:dyDescent="0.2">
      <c r="A4490" s="3"/>
      <c r="B4490" s="3" t="s">
        <v>18</v>
      </c>
      <c r="C4490" s="4" t="s">
        <v>19</v>
      </c>
      <c r="D4490" s="2"/>
      <c r="E4490" s="2" t="e">
        <f t="shared" si="0"/>
        <v>#VALUE!</v>
      </c>
    </row>
    <row r="4491" spans="1:5" ht="12.75" customHeight="1" x14ac:dyDescent="0.2">
      <c r="A4491" s="1" t="str">
        <f>HYPERLINK("javascript:void(0)","zagyvaság")</f>
        <v>zagyvaság</v>
      </c>
      <c r="B4491" s="1"/>
      <c r="C4491" s="1"/>
      <c r="D4491" s="2"/>
      <c r="E4491" s="2" t="e">
        <f t="shared" si="0"/>
        <v>#VALUE!</v>
      </c>
    </row>
    <row r="4492" spans="1:5" ht="12.75" customHeight="1" x14ac:dyDescent="0.2">
      <c r="A4492" s="3"/>
      <c r="B4492" s="3" t="s">
        <v>0</v>
      </c>
      <c r="C4492" s="3" t="s">
        <v>21</v>
      </c>
      <c r="D4492" s="2"/>
      <c r="E4492" s="2" t="e">
        <f t="shared" si="0"/>
        <v>#VALUE!</v>
      </c>
    </row>
    <row r="4493" spans="1:5" ht="12.75" customHeight="1" x14ac:dyDescent="0.2">
      <c r="A4493" s="3"/>
      <c r="B4493" s="3" t="s">
        <v>2</v>
      </c>
      <c r="C4493" s="3" t="s">
        <v>458</v>
      </c>
      <c r="D4493" s="2"/>
      <c r="E4493" s="2" t="e">
        <f t="shared" si="0"/>
        <v>#VALUE!</v>
      </c>
    </row>
    <row r="4494" spans="1:5" ht="12.75" customHeight="1" x14ac:dyDescent="0.2">
      <c r="A4494" s="3"/>
      <c r="B4494" s="3" t="s">
        <v>9</v>
      </c>
      <c r="C4494" s="3" t="s">
        <v>22</v>
      </c>
      <c r="D4494" s="2"/>
      <c r="E4494" s="2" t="e">
        <f t="shared" si="0"/>
        <v>#VALUE!</v>
      </c>
    </row>
    <row r="4495" spans="1:5" ht="12.75" customHeight="1" x14ac:dyDescent="0.2">
      <c r="A4495" s="3"/>
      <c r="B4495" s="3" t="s">
        <v>11</v>
      </c>
      <c r="C4495" s="3" t="s">
        <v>313</v>
      </c>
      <c r="D4495" s="2"/>
      <c r="E4495" s="2" t="e">
        <f t="shared" si="0"/>
        <v>#VALUE!</v>
      </c>
    </row>
    <row r="4496" spans="1:5" ht="12.75" customHeight="1" x14ac:dyDescent="0.2">
      <c r="A4496" s="3"/>
      <c r="B4496" s="3" t="s">
        <v>18</v>
      </c>
      <c r="C4496" s="4" t="s">
        <v>19</v>
      </c>
      <c r="D4496" s="2"/>
      <c r="E4496" s="2" t="e">
        <f t="shared" si="0"/>
        <v>#VALUE!</v>
      </c>
    </row>
    <row r="4497" spans="1:5" ht="12.75" customHeight="1" x14ac:dyDescent="0.2">
      <c r="A4497" s="1" t="str">
        <f>HYPERLINK("javascript:void(0)","zanzahúr")</f>
        <v>zanzahúr</v>
      </c>
      <c r="B4497" s="1"/>
      <c r="C4497" s="1"/>
      <c r="D4497" s="2"/>
      <c r="E4497" s="2" t="e">
        <f t="shared" si="0"/>
        <v>#VALUE!</v>
      </c>
    </row>
    <row r="4498" spans="1:5" ht="12.75" customHeight="1" x14ac:dyDescent="0.2">
      <c r="A4498" s="3"/>
      <c r="B4498" s="3" t="s">
        <v>0</v>
      </c>
      <c r="C4498" s="3" t="s">
        <v>21</v>
      </c>
      <c r="D4498" s="2"/>
      <c r="E4498" s="2" t="e">
        <f t="shared" si="0"/>
        <v>#VALUE!</v>
      </c>
    </row>
    <row r="4499" spans="1:5" ht="12.75" customHeight="1" x14ac:dyDescent="0.2">
      <c r="A4499" s="3"/>
      <c r="B4499" s="3" t="s">
        <v>2</v>
      </c>
      <c r="C4499" s="3" t="s">
        <v>458</v>
      </c>
      <c r="D4499" s="2"/>
      <c r="E4499" s="2" t="e">
        <f t="shared" si="0"/>
        <v>#VALUE!</v>
      </c>
    </row>
    <row r="4500" spans="1:5" ht="12.75" customHeight="1" x14ac:dyDescent="0.2">
      <c r="A4500" s="3"/>
      <c r="B4500" s="3" t="s">
        <v>9</v>
      </c>
      <c r="C4500" s="3" t="s">
        <v>22</v>
      </c>
      <c r="D4500" s="2"/>
      <c r="E4500" s="2" t="e">
        <f t="shared" si="0"/>
        <v>#VALUE!</v>
      </c>
    </row>
    <row r="4501" spans="1:5" ht="12.75" customHeight="1" x14ac:dyDescent="0.2">
      <c r="A4501" s="3"/>
      <c r="B4501" s="3" t="s">
        <v>11</v>
      </c>
      <c r="C4501" s="3" t="s">
        <v>89</v>
      </c>
      <c r="D4501" s="2"/>
      <c r="E4501" s="2" t="e">
        <f t="shared" si="0"/>
        <v>#VALUE!</v>
      </c>
    </row>
    <row r="4502" spans="1:5" ht="12.75" customHeight="1" x14ac:dyDescent="0.2">
      <c r="A4502" s="3"/>
      <c r="B4502" s="3" t="s">
        <v>18</v>
      </c>
      <c r="C4502" s="4" t="s">
        <v>19</v>
      </c>
      <c r="D4502" s="2"/>
      <c r="E4502" s="2" t="e">
        <f t="shared" si="0"/>
        <v>#VALUE!</v>
      </c>
    </row>
    <row r="4503" spans="1:5" ht="12.75" customHeight="1" x14ac:dyDescent="0.2">
      <c r="A4503" s="1" t="str">
        <f>HYPERLINK("javascript:void(0)","zombiszem")</f>
        <v>zombiszem</v>
      </c>
      <c r="B4503" s="1"/>
      <c r="C4503" s="1"/>
      <c r="D4503" s="2"/>
      <c r="E4503" s="2" t="e">
        <f t="shared" si="0"/>
        <v>#VALUE!</v>
      </c>
    </row>
    <row r="4504" spans="1:5" ht="12.75" customHeight="1" x14ac:dyDescent="0.2">
      <c r="A4504" s="3"/>
      <c r="B4504" s="3" t="s">
        <v>0</v>
      </c>
      <c r="C4504" s="3" t="s">
        <v>21</v>
      </c>
      <c r="D4504" s="2"/>
      <c r="E4504" s="2" t="e">
        <f t="shared" si="0"/>
        <v>#VALUE!</v>
      </c>
    </row>
    <row r="4505" spans="1:5" ht="12.75" customHeight="1" x14ac:dyDescent="0.2">
      <c r="A4505" s="3"/>
      <c r="B4505" s="3" t="s">
        <v>2</v>
      </c>
      <c r="C4505" s="3" t="s">
        <v>458</v>
      </c>
      <c r="D4505" s="2"/>
      <c r="E4505" s="2" t="e">
        <f t="shared" si="0"/>
        <v>#VALUE!</v>
      </c>
    </row>
    <row r="4506" spans="1:5" ht="12.75" customHeight="1" x14ac:dyDescent="0.2">
      <c r="A4506" s="3"/>
      <c r="B4506" s="3" t="s">
        <v>9</v>
      </c>
      <c r="C4506" s="3" t="s">
        <v>22</v>
      </c>
      <c r="D4506" s="2"/>
      <c r="E4506" s="2" t="e">
        <f t="shared" si="0"/>
        <v>#VALUE!</v>
      </c>
    </row>
    <row r="4507" spans="1:5" ht="12.75" customHeight="1" x14ac:dyDescent="0.2">
      <c r="A4507" s="3"/>
      <c r="B4507" s="3" t="s">
        <v>11</v>
      </c>
      <c r="C4507" s="3" t="s">
        <v>1341</v>
      </c>
      <c r="D4507" s="2"/>
      <c r="E4507" s="2" t="e">
        <f t="shared" si="0"/>
        <v>#VALUE!</v>
      </c>
    </row>
    <row r="4508" spans="1:5" ht="12.75" customHeight="1" x14ac:dyDescent="0.2">
      <c r="A4508" s="3"/>
      <c r="B4508" s="3" t="s">
        <v>18</v>
      </c>
      <c r="C4508" s="4" t="s">
        <v>19</v>
      </c>
      <c r="D4508" s="2"/>
      <c r="E4508" s="2" t="e">
        <f t="shared" si="0"/>
        <v>#VALUE!</v>
      </c>
    </row>
    <row r="4509" spans="1:5" ht="12.75" customHeight="1" x14ac:dyDescent="0.2">
      <c r="A4509" s="1" t="str">
        <f>HYPERLINK("javascript:void(0)","zselatin")</f>
        <v>zselatin</v>
      </c>
      <c r="B4509" s="1"/>
      <c r="C4509" s="1"/>
      <c r="D4509" s="2"/>
      <c r="E4509" s="2" t="e">
        <f t="shared" si="0"/>
        <v>#VALUE!</v>
      </c>
    </row>
    <row r="4510" spans="1:5" ht="12.75" customHeight="1" x14ac:dyDescent="0.2">
      <c r="A4510" s="3"/>
      <c r="B4510" s="3" t="s">
        <v>0</v>
      </c>
      <c r="C4510" s="3" t="s">
        <v>21</v>
      </c>
      <c r="D4510" s="2"/>
      <c r="E4510" s="2" t="e">
        <f t="shared" si="0"/>
        <v>#VALUE!</v>
      </c>
    </row>
    <row r="4511" spans="1:5" ht="12.75" customHeight="1" x14ac:dyDescent="0.2">
      <c r="A4511" s="3"/>
      <c r="B4511" s="3" t="s">
        <v>2</v>
      </c>
      <c r="C4511" s="3" t="s">
        <v>458</v>
      </c>
      <c r="D4511" s="2"/>
      <c r="E4511" s="2" t="e">
        <f t="shared" si="0"/>
        <v>#VALUE!</v>
      </c>
    </row>
    <row r="4512" spans="1:5" ht="12.75" customHeight="1" x14ac:dyDescent="0.2">
      <c r="A4512" s="3"/>
      <c r="B4512" s="3" t="s">
        <v>9</v>
      </c>
      <c r="C4512" s="3" t="s">
        <v>590</v>
      </c>
      <c r="D4512" s="2"/>
      <c r="E4512" s="2" t="e">
        <f t="shared" si="0"/>
        <v>#VALUE!</v>
      </c>
    </row>
    <row r="4513" spans="1:5" ht="12.75" customHeight="1" x14ac:dyDescent="0.2">
      <c r="A4513" s="3"/>
      <c r="B4513" s="3" t="s">
        <v>11</v>
      </c>
      <c r="C4513" s="3" t="s">
        <v>227</v>
      </c>
      <c r="D4513" s="2"/>
      <c r="E4513" s="2" t="e">
        <f t="shared" si="0"/>
        <v>#VALUE!</v>
      </c>
    </row>
    <row r="4514" spans="1:5" ht="12.75" customHeight="1" x14ac:dyDescent="0.2">
      <c r="A4514" s="3"/>
      <c r="B4514" s="3" t="s">
        <v>18</v>
      </c>
      <c r="C4514" s="4" t="s">
        <v>19</v>
      </c>
      <c r="D4514" s="2"/>
      <c r="E4514" s="2" t="e">
        <f t="shared" si="0"/>
        <v>#VALUE!</v>
      </c>
    </row>
    <row r="4515" spans="1:5" ht="12.75" customHeight="1" x14ac:dyDescent="0.2">
      <c r="A4515" s="1" t="str">
        <f>HYPERLINK("javascript:void(0)","zsiger")</f>
        <v>zsiger</v>
      </c>
      <c r="B4515" s="1"/>
      <c r="C4515" s="1"/>
      <c r="D4515" s="2"/>
      <c r="E4515" s="2" t="e">
        <f t="shared" si="0"/>
        <v>#VALUE!</v>
      </c>
    </row>
    <row r="4516" spans="1:5" ht="12.75" customHeight="1" x14ac:dyDescent="0.2">
      <c r="A4516" s="3"/>
      <c r="B4516" s="3" t="s">
        <v>0</v>
      </c>
      <c r="C4516" s="3" t="s">
        <v>21</v>
      </c>
      <c r="D4516" s="2"/>
      <c r="E4516" s="2" t="e">
        <f t="shared" si="0"/>
        <v>#VALUE!</v>
      </c>
    </row>
    <row r="4517" spans="1:5" ht="12.75" customHeight="1" x14ac:dyDescent="0.2">
      <c r="A4517" s="3"/>
      <c r="B4517" s="3" t="s">
        <v>2</v>
      </c>
      <c r="C4517" s="3" t="s">
        <v>458</v>
      </c>
      <c r="D4517" s="2"/>
      <c r="E4517" s="2" t="e">
        <f t="shared" si="0"/>
        <v>#VALUE!</v>
      </c>
    </row>
    <row r="4518" spans="1:5" ht="12.75" customHeight="1" x14ac:dyDescent="0.2">
      <c r="A4518" s="3"/>
      <c r="B4518" s="3" t="s">
        <v>9</v>
      </c>
      <c r="C4518" s="3" t="s">
        <v>1790</v>
      </c>
      <c r="D4518" s="2"/>
      <c r="E4518" s="2" t="e">
        <f t="shared" si="0"/>
        <v>#VALUE!</v>
      </c>
    </row>
    <row r="4519" spans="1:5" ht="12.75" customHeight="1" x14ac:dyDescent="0.2">
      <c r="A4519" s="3"/>
      <c r="B4519" s="3" t="s">
        <v>11</v>
      </c>
      <c r="C4519" s="3" t="s">
        <v>1791</v>
      </c>
      <c r="D4519" s="2"/>
      <c r="E4519" s="2" t="e">
        <f t="shared" si="0"/>
        <v>#VALUE!</v>
      </c>
    </row>
    <row r="4520" spans="1:5" ht="12.75" customHeight="1" x14ac:dyDescent="0.2">
      <c r="A4520" s="3"/>
      <c r="B4520" s="3" t="s">
        <v>18</v>
      </c>
      <c r="C4520" s="4" t="s">
        <v>19</v>
      </c>
      <c r="D4520" s="2"/>
      <c r="E4520" s="2" t="e">
        <f t="shared" si="0"/>
        <v>#VALUE!</v>
      </c>
    </row>
    <row r="4521" spans="1:5" ht="12.75" customHeight="1" x14ac:dyDescent="0.2">
      <c r="A4521" s="1" t="str">
        <f>HYPERLINK("javascript:void(0)","zsiráfpata")</f>
        <v>zsiráfpata</v>
      </c>
      <c r="B4521" s="1"/>
      <c r="C4521" s="1"/>
      <c r="D4521" s="2"/>
      <c r="E4521" s="2" t="e">
        <f t="shared" si="0"/>
        <v>#VALUE!</v>
      </c>
    </row>
    <row r="4522" spans="1:5" ht="12.75" customHeight="1" x14ac:dyDescent="0.2">
      <c r="A4522" s="3"/>
      <c r="B4522" s="3" t="s">
        <v>0</v>
      </c>
      <c r="C4522" s="3" t="s">
        <v>21</v>
      </c>
      <c r="D4522" s="2"/>
      <c r="E4522" s="2" t="e">
        <f t="shared" si="0"/>
        <v>#VALUE!</v>
      </c>
    </row>
    <row r="4523" spans="1:5" ht="12.75" customHeight="1" x14ac:dyDescent="0.2">
      <c r="A4523" s="3"/>
      <c r="B4523" s="3" t="s">
        <v>2</v>
      </c>
      <c r="C4523" s="3" t="s">
        <v>387</v>
      </c>
      <c r="D4523" s="2"/>
      <c r="E4523" s="2" t="e">
        <f t="shared" si="0"/>
        <v>#VALUE!</v>
      </c>
    </row>
    <row r="4524" spans="1:5" ht="12.75" customHeight="1" x14ac:dyDescent="0.2">
      <c r="A4524" s="3"/>
      <c r="B4524" s="3" t="s">
        <v>9</v>
      </c>
      <c r="C4524" s="3" t="s">
        <v>70</v>
      </c>
      <c r="D4524" s="2"/>
      <c r="E4524" s="2" t="e">
        <f t="shared" si="0"/>
        <v>#VALUE!</v>
      </c>
    </row>
    <row r="4525" spans="1:5" ht="12.75" customHeight="1" x14ac:dyDescent="0.2">
      <c r="A4525" s="3"/>
      <c r="B4525" s="3" t="s">
        <v>11</v>
      </c>
      <c r="C4525" s="3" t="s">
        <v>23</v>
      </c>
      <c r="D4525" s="2"/>
      <c r="E4525" s="2" t="e">
        <f t="shared" si="0"/>
        <v>#VALUE!</v>
      </c>
    </row>
    <row r="4526" spans="1:5" ht="12.75" customHeight="1" x14ac:dyDescent="0.2">
      <c r="A4526" s="3"/>
      <c r="B4526" s="3" t="s">
        <v>16</v>
      </c>
      <c r="C4526" s="3" t="s">
        <v>388</v>
      </c>
      <c r="D4526" s="2"/>
      <c r="E4526" s="2" t="e">
        <f t="shared" si="0"/>
        <v>#VALUE!</v>
      </c>
    </row>
    <row r="4527" spans="1:5" ht="12.75" customHeight="1" x14ac:dyDescent="0.2">
      <c r="A4527" s="3"/>
      <c r="B4527" s="3" t="s">
        <v>18</v>
      </c>
      <c r="C4527" s="4" t="s">
        <v>19</v>
      </c>
      <c r="D4527" s="2"/>
      <c r="E4527" s="2" t="e">
        <f t="shared" si="0"/>
        <v>#VALUE!</v>
      </c>
    </row>
    <row r="4528" spans="1:5" ht="12.75" customHeight="1" x14ac:dyDescent="0.2">
      <c r="A4528" s="1" t="str">
        <f>HYPERLINK("javascript:void(0)","zászlórúd")</f>
        <v>zászlórúd</v>
      </c>
      <c r="B4528" s="1"/>
      <c r="C4528" s="1"/>
      <c r="D4528" s="2"/>
      <c r="E4528" s="2" t="e">
        <f t="shared" si="0"/>
        <v>#VALUE!</v>
      </c>
    </row>
    <row r="4529" spans="1:5" ht="12.75" customHeight="1" x14ac:dyDescent="0.2">
      <c r="A4529" s="3"/>
      <c r="B4529" s="3" t="s">
        <v>0</v>
      </c>
      <c r="C4529" s="3" t="s">
        <v>21</v>
      </c>
      <c r="D4529" s="2"/>
      <c r="E4529" s="2" t="e">
        <f t="shared" si="0"/>
        <v>#VALUE!</v>
      </c>
    </row>
    <row r="4530" spans="1:5" ht="12.75" customHeight="1" x14ac:dyDescent="0.2">
      <c r="A4530" s="3"/>
      <c r="B4530" s="3" t="s">
        <v>2</v>
      </c>
      <c r="C4530" s="3" t="s">
        <v>458</v>
      </c>
      <c r="D4530" s="2"/>
      <c r="E4530" s="2" t="e">
        <f t="shared" si="0"/>
        <v>#VALUE!</v>
      </c>
    </row>
    <row r="4531" spans="1:5" ht="12.75" customHeight="1" x14ac:dyDescent="0.2">
      <c r="A4531" s="3"/>
      <c r="B4531" s="3" t="s">
        <v>9</v>
      </c>
      <c r="C4531" s="3" t="s">
        <v>42</v>
      </c>
      <c r="D4531" s="2"/>
      <c r="E4531" s="2" t="e">
        <f t="shared" si="0"/>
        <v>#VALUE!</v>
      </c>
    </row>
    <row r="4532" spans="1:5" ht="12.75" customHeight="1" x14ac:dyDescent="0.2">
      <c r="A4532" s="3"/>
      <c r="B4532" s="3" t="s">
        <v>11</v>
      </c>
      <c r="C4532" s="3" t="s">
        <v>530</v>
      </c>
      <c r="D4532" s="2"/>
      <c r="E4532" s="2" t="e">
        <f t="shared" si="0"/>
        <v>#VALUE!</v>
      </c>
    </row>
    <row r="4533" spans="1:5" ht="12.75" customHeight="1" x14ac:dyDescent="0.2">
      <c r="A4533" s="3"/>
      <c r="B4533" s="3" t="s">
        <v>18</v>
      </c>
      <c r="C4533" s="4" t="s">
        <v>19</v>
      </c>
      <c r="D4533" s="2"/>
      <c r="E4533" s="2" t="e">
        <f t="shared" si="0"/>
        <v>#VALUE!</v>
      </c>
    </row>
    <row r="4534" spans="1:5" ht="12.75" customHeight="1" x14ac:dyDescent="0.2">
      <c r="A4534" s="1" t="str">
        <f>HYPERLINK("javascript:void(0)","zászlóvászon")</f>
        <v>zászlóvászon</v>
      </c>
      <c r="B4534" s="1"/>
      <c r="C4534" s="1"/>
      <c r="D4534" s="2"/>
      <c r="E4534" s="2" t="e">
        <f t="shared" si="0"/>
        <v>#VALUE!</v>
      </c>
    </row>
    <row r="4535" spans="1:5" ht="12.75" customHeight="1" x14ac:dyDescent="0.2">
      <c r="A4535" s="3"/>
      <c r="B4535" s="3" t="s">
        <v>0</v>
      </c>
      <c r="C4535" s="3" t="s">
        <v>21</v>
      </c>
      <c r="D4535" s="2"/>
      <c r="E4535" s="2" t="e">
        <f t="shared" si="0"/>
        <v>#VALUE!</v>
      </c>
    </row>
    <row r="4536" spans="1:5" ht="12.75" customHeight="1" x14ac:dyDescent="0.2">
      <c r="A4536" s="3"/>
      <c r="B4536" s="3" t="s">
        <v>2</v>
      </c>
      <c r="C4536" s="3" t="s">
        <v>458</v>
      </c>
      <c r="D4536" s="2"/>
      <c r="E4536" s="2" t="e">
        <f t="shared" si="0"/>
        <v>#VALUE!</v>
      </c>
    </row>
    <row r="4537" spans="1:5" ht="12.75" customHeight="1" x14ac:dyDescent="0.2">
      <c r="A4537" s="3"/>
      <c r="B4537" s="3" t="s">
        <v>9</v>
      </c>
      <c r="C4537" s="3" t="s">
        <v>137</v>
      </c>
      <c r="D4537" s="2"/>
      <c r="E4537" s="2" t="e">
        <f t="shared" si="0"/>
        <v>#VALUE!</v>
      </c>
    </row>
    <row r="4538" spans="1:5" ht="12.75" customHeight="1" x14ac:dyDescent="0.2">
      <c r="A4538" s="3"/>
      <c r="B4538" s="3" t="s">
        <v>11</v>
      </c>
      <c r="C4538" s="3" t="s">
        <v>1795</v>
      </c>
      <c r="D4538" s="2"/>
      <c r="E4538" s="2" t="e">
        <f t="shared" si="0"/>
        <v>#VALUE!</v>
      </c>
    </row>
    <row r="4539" spans="1:5" ht="12.75" customHeight="1" x14ac:dyDescent="0.2">
      <c r="A4539" s="3"/>
      <c r="B4539" s="3" t="s">
        <v>18</v>
      </c>
      <c r="C4539" s="4" t="s">
        <v>19</v>
      </c>
      <c r="D4539" s="2"/>
      <c r="E4539" s="2" t="e">
        <f t="shared" si="0"/>
        <v>#VALUE!</v>
      </c>
    </row>
    <row r="4540" spans="1:5" ht="12.75" customHeight="1" x14ac:dyDescent="0.2">
      <c r="A4540" s="1" t="str">
        <f>HYPERLINK("javascript:void(0)","zöld szilánkdarab")</f>
        <v>zöld szilánkdarab</v>
      </c>
      <c r="B4540" s="1"/>
      <c r="C4540" s="1"/>
      <c r="D4540" s="2"/>
      <c r="E4540" s="2" t="e">
        <f t="shared" si="0"/>
        <v>#VALUE!</v>
      </c>
    </row>
    <row r="4541" spans="1:5" ht="12.75" customHeight="1" x14ac:dyDescent="0.2">
      <c r="A4541" s="3"/>
      <c r="B4541" s="3" t="s">
        <v>0</v>
      </c>
      <c r="C4541" s="3" t="s">
        <v>21</v>
      </c>
      <c r="D4541" s="2"/>
      <c r="E4541" s="2" t="e">
        <f t="shared" si="0"/>
        <v>#VALUE!</v>
      </c>
    </row>
    <row r="4542" spans="1:5" ht="12.75" customHeight="1" x14ac:dyDescent="0.2">
      <c r="A4542" s="3"/>
      <c r="B4542" s="3" t="s">
        <v>2</v>
      </c>
      <c r="C4542" s="3" t="s">
        <v>387</v>
      </c>
      <c r="D4542" s="2"/>
      <c r="E4542" s="2" t="e">
        <f t="shared" si="0"/>
        <v>#VALUE!</v>
      </c>
    </row>
    <row r="4543" spans="1:5" ht="12.75" customHeight="1" x14ac:dyDescent="0.2">
      <c r="A4543" s="3"/>
      <c r="B4543" s="3" t="s">
        <v>9</v>
      </c>
      <c r="C4543" s="3" t="s">
        <v>53</v>
      </c>
      <c r="D4543" s="2"/>
      <c r="E4543" s="2" t="e">
        <f t="shared" si="0"/>
        <v>#VALUE!</v>
      </c>
    </row>
    <row r="4544" spans="1:5" ht="12.75" customHeight="1" x14ac:dyDescent="0.2">
      <c r="A4544" s="3"/>
      <c r="B4544" s="3" t="s">
        <v>11</v>
      </c>
      <c r="C4544" s="3" t="s">
        <v>23</v>
      </c>
      <c r="D4544" s="2"/>
      <c r="E4544" s="2" t="e">
        <f t="shared" si="0"/>
        <v>#VALUE!</v>
      </c>
    </row>
    <row r="4545" spans="1:5" ht="12.75" customHeight="1" x14ac:dyDescent="0.2">
      <c r="A4545" s="3"/>
      <c r="B4545" s="3" t="s">
        <v>16</v>
      </c>
      <c r="C4545" s="3" t="s">
        <v>388</v>
      </c>
      <c r="D4545" s="2"/>
      <c r="E4545" s="2" t="e">
        <f t="shared" si="0"/>
        <v>#VALUE!</v>
      </c>
    </row>
    <row r="4546" spans="1:5" ht="12.75" customHeight="1" x14ac:dyDescent="0.2">
      <c r="A4546" s="3"/>
      <c r="B4546" s="3" t="s">
        <v>18</v>
      </c>
      <c r="C4546" s="4" t="s">
        <v>19</v>
      </c>
      <c r="D4546" s="2"/>
      <c r="E4546" s="2" t="e">
        <f t="shared" si="0"/>
        <v>#VALUE!</v>
      </c>
    </row>
    <row r="4547" spans="1:5" ht="12.75" customHeight="1" x14ac:dyDescent="0.2">
      <c r="A4547" s="1" t="str">
        <f>HYPERLINK("javascript:void(0)","ágyaskörtye")</f>
        <v>ágyaskörtye</v>
      </c>
      <c r="B4547" s="1"/>
      <c r="C4547" s="1"/>
      <c r="D4547" s="2"/>
      <c r="E4547" s="2" t="e">
        <f t="shared" si="0"/>
        <v>#VALUE!</v>
      </c>
    </row>
    <row r="4548" spans="1:5" ht="12.75" customHeight="1" x14ac:dyDescent="0.2">
      <c r="A4548" s="3"/>
      <c r="B4548" s="3" t="s">
        <v>0</v>
      </c>
      <c r="C4548" s="3" t="s">
        <v>21</v>
      </c>
      <c r="D4548" s="2"/>
      <c r="E4548" s="2" t="e">
        <f t="shared" si="0"/>
        <v>#VALUE!</v>
      </c>
    </row>
    <row r="4549" spans="1:5" ht="12.75" customHeight="1" x14ac:dyDescent="0.2">
      <c r="A4549" s="3"/>
      <c r="B4549" s="3" t="s">
        <v>2</v>
      </c>
      <c r="C4549" s="3" t="s">
        <v>458</v>
      </c>
      <c r="D4549" s="2"/>
      <c r="E4549" s="2" t="e">
        <f t="shared" si="0"/>
        <v>#VALUE!</v>
      </c>
    </row>
    <row r="4550" spans="1:5" ht="12.75" customHeight="1" x14ac:dyDescent="0.2">
      <c r="A4550" s="3"/>
      <c r="B4550" s="3" t="s">
        <v>9</v>
      </c>
      <c r="C4550" s="3" t="s">
        <v>22</v>
      </c>
      <c r="D4550" s="2"/>
      <c r="E4550" s="2" t="e">
        <f t="shared" si="0"/>
        <v>#VALUE!</v>
      </c>
    </row>
    <row r="4551" spans="1:5" ht="12.75" customHeight="1" x14ac:dyDescent="0.2">
      <c r="A4551" s="3"/>
      <c r="B4551" s="3" t="s">
        <v>11</v>
      </c>
      <c r="C4551" s="3" t="s">
        <v>301</v>
      </c>
      <c r="D4551" s="2"/>
      <c r="E4551" s="2" t="e">
        <f t="shared" si="0"/>
        <v>#VALUE!</v>
      </c>
    </row>
    <row r="4552" spans="1:5" ht="12.75" customHeight="1" x14ac:dyDescent="0.2">
      <c r="A4552" s="3"/>
      <c r="B4552" s="3" t="s">
        <v>18</v>
      </c>
      <c r="C4552" s="4" t="s">
        <v>19</v>
      </c>
      <c r="D4552" s="2"/>
      <c r="E4552" s="2" t="e">
        <f t="shared" si="0"/>
        <v>#VALUE!</v>
      </c>
    </row>
    <row r="4553" spans="1:5" ht="12.75" customHeight="1" x14ac:dyDescent="0.2">
      <c r="A4553" s="1" t="str">
        <f>HYPERLINK("javascript:void(0)","ágyúmozsár")</f>
        <v>ágyúmozsár</v>
      </c>
      <c r="B4553" s="1"/>
      <c r="C4553" s="1"/>
      <c r="D4553" s="2"/>
      <c r="E4553" s="2" t="e">
        <f t="shared" si="0"/>
        <v>#VALUE!</v>
      </c>
    </row>
    <row r="4554" spans="1:5" ht="12.75" customHeight="1" x14ac:dyDescent="0.2">
      <c r="A4554" s="3"/>
      <c r="B4554" s="3" t="s">
        <v>0</v>
      </c>
      <c r="C4554" s="3" t="s">
        <v>21</v>
      </c>
      <c r="D4554" s="2"/>
      <c r="E4554" s="2" t="e">
        <f t="shared" si="0"/>
        <v>#VALUE!</v>
      </c>
    </row>
    <row r="4555" spans="1:5" ht="12.75" customHeight="1" x14ac:dyDescent="0.2">
      <c r="A4555" s="3"/>
      <c r="B4555" s="3" t="s">
        <v>2</v>
      </c>
      <c r="C4555" s="3" t="s">
        <v>458</v>
      </c>
      <c r="D4555" s="2"/>
      <c r="E4555" s="2" t="e">
        <f t="shared" si="0"/>
        <v>#VALUE!</v>
      </c>
    </row>
    <row r="4556" spans="1:5" ht="12.75" customHeight="1" x14ac:dyDescent="0.2">
      <c r="A4556" s="3"/>
      <c r="B4556" s="3" t="s">
        <v>9</v>
      </c>
      <c r="C4556" s="3" t="s">
        <v>131</v>
      </c>
      <c r="D4556" s="2"/>
      <c r="E4556" s="2" t="e">
        <f t="shared" si="0"/>
        <v>#VALUE!</v>
      </c>
    </row>
    <row r="4557" spans="1:5" ht="12.75" customHeight="1" x14ac:dyDescent="0.2">
      <c r="A4557" s="3"/>
      <c r="B4557" s="3" t="s">
        <v>11</v>
      </c>
      <c r="C4557" s="3" t="s">
        <v>227</v>
      </c>
      <c r="D4557" s="2"/>
      <c r="E4557" s="2" t="e">
        <f t="shared" si="0"/>
        <v>#VALUE!</v>
      </c>
    </row>
    <row r="4558" spans="1:5" ht="12.75" customHeight="1" x14ac:dyDescent="0.2">
      <c r="A4558" s="3"/>
      <c r="B4558" s="3" t="s">
        <v>18</v>
      </c>
      <c r="C4558" s="4" t="s">
        <v>19</v>
      </c>
      <c r="D4558" s="2"/>
      <c r="E4558" s="2" t="e">
        <f t="shared" si="0"/>
        <v>#VALUE!</v>
      </c>
    </row>
    <row r="4559" spans="1:5" ht="12.75" customHeight="1" x14ac:dyDescent="0.2">
      <c r="A4559" s="1" t="str">
        <f>HYPERLINK("javascript:void(0)","álca")</f>
        <v>álca</v>
      </c>
      <c r="B4559" s="1"/>
      <c r="C4559" s="1"/>
      <c r="D4559" s="2"/>
      <c r="E4559" s="2" t="e">
        <f t="shared" si="0"/>
        <v>#VALUE!</v>
      </c>
    </row>
    <row r="4560" spans="1:5" ht="12.75" customHeight="1" x14ac:dyDescent="0.2">
      <c r="A4560" s="3"/>
      <c r="B4560" s="3" t="s">
        <v>0</v>
      </c>
      <c r="C4560" s="3" t="s">
        <v>21</v>
      </c>
      <c r="D4560" s="2"/>
      <c r="E4560" s="2" t="e">
        <f t="shared" si="0"/>
        <v>#VALUE!</v>
      </c>
    </row>
    <row r="4561" spans="1:5" ht="12.75" customHeight="1" x14ac:dyDescent="0.2">
      <c r="A4561" s="3"/>
      <c r="B4561" s="3" t="s">
        <v>2</v>
      </c>
      <c r="C4561" s="3" t="s">
        <v>458</v>
      </c>
      <c r="D4561" s="2"/>
      <c r="E4561" s="2" t="e">
        <f t="shared" si="0"/>
        <v>#VALUE!</v>
      </c>
    </row>
    <row r="4562" spans="1:5" ht="12.75" customHeight="1" x14ac:dyDescent="0.2">
      <c r="A4562" s="3"/>
      <c r="B4562" s="3" t="s">
        <v>9</v>
      </c>
      <c r="C4562" s="3" t="s">
        <v>626</v>
      </c>
      <c r="D4562" s="2"/>
      <c r="E4562" s="2" t="e">
        <f t="shared" si="0"/>
        <v>#VALUE!</v>
      </c>
    </row>
    <row r="4563" spans="1:5" ht="12.75" customHeight="1" x14ac:dyDescent="0.2">
      <c r="A4563" s="3"/>
      <c r="B4563" s="3" t="s">
        <v>11</v>
      </c>
      <c r="C4563" s="3" t="s">
        <v>156</v>
      </c>
      <c r="D4563" s="2"/>
      <c r="E4563" s="2" t="e">
        <f t="shared" si="0"/>
        <v>#VALUE!</v>
      </c>
    </row>
    <row r="4564" spans="1:5" ht="12.75" customHeight="1" x14ac:dyDescent="0.2">
      <c r="A4564" s="3"/>
      <c r="B4564" s="3" t="s">
        <v>18</v>
      </c>
      <c r="C4564" s="4" t="s">
        <v>19</v>
      </c>
      <c r="D4564" s="2"/>
      <c r="E4564" s="2" t="e">
        <f t="shared" si="0"/>
        <v>#VALUE!</v>
      </c>
    </row>
    <row r="4565" spans="1:5" ht="12.75" customHeight="1" x14ac:dyDescent="0.2">
      <c r="A4565" s="1" t="str">
        <f>HYPERLINK("javascript:void(0)","állásfoglalás")</f>
        <v>állásfoglalás</v>
      </c>
      <c r="B4565" s="1"/>
      <c r="C4565" s="1"/>
      <c r="D4565" s="2"/>
      <c r="E4565" s="2" t="e">
        <f t="shared" si="0"/>
        <v>#VALUE!</v>
      </c>
    </row>
    <row r="4566" spans="1:5" ht="12.75" customHeight="1" x14ac:dyDescent="0.2">
      <c r="A4566" s="3"/>
      <c r="B4566" s="3" t="s">
        <v>0</v>
      </c>
      <c r="C4566" s="3" t="s">
        <v>21</v>
      </c>
      <c r="D4566" s="2"/>
      <c r="E4566" s="2" t="e">
        <f t="shared" si="0"/>
        <v>#VALUE!</v>
      </c>
    </row>
    <row r="4567" spans="1:5" ht="12.75" customHeight="1" x14ac:dyDescent="0.2">
      <c r="A4567" s="3"/>
      <c r="B4567" s="3" t="s">
        <v>2</v>
      </c>
      <c r="C4567" s="3" t="s">
        <v>458</v>
      </c>
      <c r="D4567" s="2"/>
      <c r="E4567" s="2" t="e">
        <f t="shared" si="0"/>
        <v>#VALUE!</v>
      </c>
    </row>
    <row r="4568" spans="1:5" ht="12.75" customHeight="1" x14ac:dyDescent="0.2">
      <c r="A4568" s="3"/>
      <c r="B4568" s="3" t="s">
        <v>9</v>
      </c>
      <c r="C4568" s="3" t="s">
        <v>22</v>
      </c>
      <c r="D4568" s="2"/>
      <c r="E4568" s="2" t="e">
        <f t="shared" si="0"/>
        <v>#VALUE!</v>
      </c>
    </row>
    <row r="4569" spans="1:5" ht="12.75" customHeight="1" x14ac:dyDescent="0.2">
      <c r="A4569" s="3"/>
      <c r="B4569" s="3" t="s">
        <v>11</v>
      </c>
      <c r="C4569" s="3" t="s">
        <v>535</v>
      </c>
      <c r="D4569" s="2"/>
      <c r="E4569" s="2" t="e">
        <f t="shared" si="0"/>
        <v>#VALUE!</v>
      </c>
    </row>
    <row r="4570" spans="1:5" ht="12.75" customHeight="1" x14ac:dyDescent="0.2">
      <c r="A4570" s="3"/>
      <c r="B4570" s="3" t="s">
        <v>18</v>
      </c>
      <c r="C4570" s="4" t="s">
        <v>19</v>
      </c>
      <c r="D4570" s="2"/>
      <c r="E4570" s="2" t="e">
        <f t="shared" si="0"/>
        <v>#VALUE!</v>
      </c>
    </row>
    <row r="4571" spans="1:5" ht="12.75" customHeight="1" x14ac:dyDescent="0.2">
      <c r="A4571" s="1" t="str">
        <f>HYPERLINK("javascript:void(0)","álomige")</f>
        <v>álomige</v>
      </c>
      <c r="B4571" s="1"/>
      <c r="C4571" s="1"/>
      <c r="D4571" s="2"/>
      <c r="E4571" s="2" t="e">
        <f t="shared" si="0"/>
        <v>#VALUE!</v>
      </c>
    </row>
    <row r="4572" spans="1:5" ht="12.75" customHeight="1" x14ac:dyDescent="0.2">
      <c r="A4572" s="3"/>
      <c r="B4572" s="3" t="s">
        <v>0</v>
      </c>
      <c r="C4572" s="3" t="s">
        <v>21</v>
      </c>
      <c r="D4572" s="2"/>
      <c r="E4572" s="2" t="e">
        <f t="shared" si="0"/>
        <v>#VALUE!</v>
      </c>
    </row>
    <row r="4573" spans="1:5" ht="12.75" customHeight="1" x14ac:dyDescent="0.2">
      <c r="A4573" s="3"/>
      <c r="B4573" s="3" t="s">
        <v>2</v>
      </c>
      <c r="C4573" s="3" t="s">
        <v>458</v>
      </c>
      <c r="D4573" s="2"/>
      <c r="E4573" s="2" t="e">
        <f t="shared" si="0"/>
        <v>#VALUE!</v>
      </c>
    </row>
    <row r="4574" spans="1:5" ht="12.75" customHeight="1" x14ac:dyDescent="0.2">
      <c r="A4574" s="3"/>
      <c r="B4574" s="3" t="s">
        <v>9</v>
      </c>
      <c r="C4574" s="3" t="s">
        <v>22</v>
      </c>
      <c r="D4574" s="2"/>
      <c r="E4574" s="2" t="e">
        <f t="shared" si="0"/>
        <v>#VALUE!</v>
      </c>
    </row>
    <row r="4575" spans="1:5" ht="12.75" customHeight="1" x14ac:dyDescent="0.2">
      <c r="A4575" s="3"/>
      <c r="B4575" s="3" t="s">
        <v>11</v>
      </c>
      <c r="C4575" s="3" t="s">
        <v>138</v>
      </c>
      <c r="D4575" s="2"/>
      <c r="E4575" s="2" t="e">
        <f t="shared" si="0"/>
        <v>#VALUE!</v>
      </c>
    </row>
    <row r="4576" spans="1:5" ht="12.75" customHeight="1" x14ac:dyDescent="0.2">
      <c r="A4576" s="3"/>
      <c r="B4576" s="3" t="s">
        <v>18</v>
      </c>
      <c r="C4576" s="4" t="s">
        <v>19</v>
      </c>
      <c r="D4576" s="2"/>
      <c r="E4576" s="2" t="e">
        <f t="shared" si="0"/>
        <v>#VALUE!</v>
      </c>
    </row>
    <row r="4577" spans="1:5" ht="12.75" customHeight="1" x14ac:dyDescent="0.2">
      <c r="A4577" s="1" t="str">
        <f>HYPERLINK("javascript:void(0)","ámbra")</f>
        <v>ámbra</v>
      </c>
      <c r="B4577" s="1"/>
      <c r="C4577" s="1"/>
      <c r="D4577" s="2"/>
      <c r="E4577" s="2" t="e">
        <f t="shared" si="0"/>
        <v>#VALUE!</v>
      </c>
    </row>
    <row r="4578" spans="1:5" ht="12.75" customHeight="1" x14ac:dyDescent="0.2">
      <c r="A4578" s="3"/>
      <c r="B4578" s="3" t="s">
        <v>0</v>
      </c>
      <c r="C4578" s="3" t="s">
        <v>21</v>
      </c>
      <c r="D4578" s="2"/>
      <c r="E4578" s="2" t="e">
        <f t="shared" si="0"/>
        <v>#VALUE!</v>
      </c>
    </row>
    <row r="4579" spans="1:5" ht="12.75" customHeight="1" x14ac:dyDescent="0.2">
      <c r="A4579" s="3"/>
      <c r="B4579" s="3" t="s">
        <v>2</v>
      </c>
      <c r="C4579" s="3" t="s">
        <v>458</v>
      </c>
      <c r="D4579" s="2"/>
      <c r="E4579" s="2" t="e">
        <f t="shared" si="0"/>
        <v>#VALUE!</v>
      </c>
    </row>
    <row r="4580" spans="1:5" ht="12.75" customHeight="1" x14ac:dyDescent="0.2">
      <c r="A4580" s="3"/>
      <c r="B4580" s="3" t="s">
        <v>9</v>
      </c>
      <c r="C4580" s="3" t="s">
        <v>1417</v>
      </c>
      <c r="D4580" s="2"/>
      <c r="E4580" s="2" t="e">
        <f t="shared" si="0"/>
        <v>#VALUE!</v>
      </c>
    </row>
    <row r="4581" spans="1:5" ht="12.75" customHeight="1" x14ac:dyDescent="0.2">
      <c r="A4581" s="3"/>
      <c r="B4581" s="3" t="s">
        <v>11</v>
      </c>
      <c r="C4581" s="3" t="s">
        <v>170</v>
      </c>
      <c r="D4581" s="2"/>
      <c r="E4581" s="2" t="e">
        <f t="shared" si="0"/>
        <v>#VALUE!</v>
      </c>
    </row>
    <row r="4582" spans="1:5" ht="12.75" customHeight="1" x14ac:dyDescent="0.2">
      <c r="A4582" s="3"/>
      <c r="B4582" s="3" t="s">
        <v>18</v>
      </c>
      <c r="C4582" s="4" t="s">
        <v>19</v>
      </c>
      <c r="D4582" s="2"/>
      <c r="E4582" s="2" t="e">
        <f t="shared" si="0"/>
        <v>#VALUE!</v>
      </c>
    </row>
    <row r="4583" spans="1:5" ht="12.75" customHeight="1" x14ac:dyDescent="0.2">
      <c r="A4583" s="1" t="str">
        <f>HYPERLINK("javascript:void(0)","ármánylat")</f>
        <v>ármánylat</v>
      </c>
      <c r="B4583" s="1"/>
      <c r="C4583" s="1"/>
      <c r="D4583" s="2"/>
      <c r="E4583" s="2" t="e">
        <f t="shared" si="0"/>
        <v>#VALUE!</v>
      </c>
    </row>
    <row r="4584" spans="1:5" ht="12.75" customHeight="1" x14ac:dyDescent="0.2">
      <c r="A4584" s="3"/>
      <c r="B4584" s="3" t="s">
        <v>0</v>
      </c>
      <c r="C4584" s="3" t="s">
        <v>21</v>
      </c>
      <c r="D4584" s="2"/>
      <c r="E4584" s="2" t="e">
        <f t="shared" si="0"/>
        <v>#VALUE!</v>
      </c>
    </row>
    <row r="4585" spans="1:5" ht="12.75" customHeight="1" x14ac:dyDescent="0.2">
      <c r="A4585" s="3"/>
      <c r="B4585" s="3" t="s">
        <v>2</v>
      </c>
      <c r="C4585" s="3" t="s">
        <v>458</v>
      </c>
      <c r="D4585" s="2"/>
      <c r="E4585" s="2" t="e">
        <f t="shared" si="0"/>
        <v>#VALUE!</v>
      </c>
    </row>
    <row r="4586" spans="1:5" ht="12.75" customHeight="1" x14ac:dyDescent="0.2">
      <c r="A4586" s="3"/>
      <c r="B4586" s="3" t="s">
        <v>9</v>
      </c>
      <c r="C4586" s="3" t="s">
        <v>441</v>
      </c>
      <c r="D4586" s="2"/>
      <c r="E4586" s="2" t="e">
        <f t="shared" si="0"/>
        <v>#VALUE!</v>
      </c>
    </row>
    <row r="4587" spans="1:5" ht="12.75" customHeight="1" x14ac:dyDescent="0.2">
      <c r="A4587" s="3"/>
      <c r="B4587" s="3" t="s">
        <v>11</v>
      </c>
      <c r="C4587" s="3" t="s">
        <v>1799</v>
      </c>
      <c r="D4587" s="2"/>
      <c r="E4587" s="2" t="e">
        <f t="shared" si="0"/>
        <v>#VALUE!</v>
      </c>
    </row>
    <row r="4588" spans="1:5" ht="12.75" customHeight="1" x14ac:dyDescent="0.2">
      <c r="A4588" s="3"/>
      <c r="B4588" s="3" t="s">
        <v>18</v>
      </c>
      <c r="C4588" s="4" t="s">
        <v>19</v>
      </c>
      <c r="D4588" s="2"/>
      <c r="E4588" s="2" t="e">
        <f t="shared" si="0"/>
        <v>#VALUE!</v>
      </c>
    </row>
    <row r="4589" spans="1:5" ht="12.75" customHeight="1" x14ac:dyDescent="0.2">
      <c r="A4589" s="1" t="str">
        <f>HYPERLINK("javascript:void(0)","árnyige")</f>
        <v>árnyige</v>
      </c>
      <c r="B4589" s="1"/>
      <c r="C4589" s="1"/>
      <c r="D4589" s="2"/>
      <c r="E4589" s="2" t="e">
        <f t="shared" si="0"/>
        <v>#VALUE!</v>
      </c>
    </row>
    <row r="4590" spans="1:5" ht="12.75" customHeight="1" x14ac:dyDescent="0.2">
      <c r="A4590" s="3"/>
      <c r="B4590" s="3" t="s">
        <v>0</v>
      </c>
      <c r="C4590" s="3" t="s">
        <v>21</v>
      </c>
      <c r="D4590" s="2"/>
      <c r="E4590" s="2" t="e">
        <f t="shared" si="0"/>
        <v>#VALUE!</v>
      </c>
    </row>
    <row r="4591" spans="1:5" ht="12.75" customHeight="1" x14ac:dyDescent="0.2">
      <c r="A4591" s="3"/>
      <c r="B4591" s="3" t="s">
        <v>2</v>
      </c>
      <c r="C4591" s="3" t="s">
        <v>458</v>
      </c>
      <c r="D4591" s="2"/>
      <c r="E4591" s="2" t="e">
        <f t="shared" si="0"/>
        <v>#VALUE!</v>
      </c>
    </row>
    <row r="4592" spans="1:5" ht="12.75" customHeight="1" x14ac:dyDescent="0.2">
      <c r="A4592" s="3"/>
      <c r="B4592" s="3" t="s">
        <v>9</v>
      </c>
      <c r="C4592" s="3" t="s">
        <v>626</v>
      </c>
      <c r="D4592" s="2"/>
      <c r="E4592" s="2" t="e">
        <f t="shared" si="0"/>
        <v>#VALUE!</v>
      </c>
    </row>
    <row r="4593" spans="1:5" ht="12.75" customHeight="1" x14ac:dyDescent="0.2">
      <c r="A4593" s="3"/>
      <c r="B4593" s="3" t="s">
        <v>11</v>
      </c>
      <c r="C4593" s="3" t="s">
        <v>395</v>
      </c>
      <c r="D4593" s="2"/>
      <c r="E4593" s="2" t="e">
        <f t="shared" si="0"/>
        <v>#VALUE!</v>
      </c>
    </row>
    <row r="4594" spans="1:5" ht="12.75" customHeight="1" x14ac:dyDescent="0.2">
      <c r="A4594" s="3"/>
      <c r="B4594" s="3" t="s">
        <v>18</v>
      </c>
      <c r="C4594" s="4" t="s">
        <v>19</v>
      </c>
      <c r="D4594" s="2"/>
      <c r="E4594" s="2" t="e">
        <f t="shared" si="0"/>
        <v>#VALUE!</v>
      </c>
    </row>
    <row r="4595" spans="1:5" ht="12.75" customHeight="1" x14ac:dyDescent="0.2">
      <c r="A4595" s="1" t="str">
        <f>HYPERLINK("javascript:void(0)","árnyékláb")</f>
        <v>árnyékláb</v>
      </c>
      <c r="B4595" s="1"/>
      <c r="C4595" s="1"/>
      <c r="D4595" s="2"/>
      <c r="E4595" s="2" t="e">
        <f t="shared" si="0"/>
        <v>#VALUE!</v>
      </c>
    </row>
    <row r="4596" spans="1:5" ht="12.75" customHeight="1" x14ac:dyDescent="0.2">
      <c r="A4596" s="3"/>
      <c r="B4596" s="3" t="s">
        <v>0</v>
      </c>
      <c r="C4596" s="3" t="s">
        <v>21</v>
      </c>
      <c r="D4596" s="2"/>
      <c r="E4596" s="2" t="e">
        <f t="shared" si="0"/>
        <v>#VALUE!</v>
      </c>
    </row>
    <row r="4597" spans="1:5" ht="12.75" customHeight="1" x14ac:dyDescent="0.2">
      <c r="A4597" s="3"/>
      <c r="B4597" s="3" t="s">
        <v>2</v>
      </c>
      <c r="C4597" s="3" t="s">
        <v>458</v>
      </c>
      <c r="D4597" s="2"/>
      <c r="E4597" s="2" t="e">
        <f t="shared" si="0"/>
        <v>#VALUE!</v>
      </c>
    </row>
    <row r="4598" spans="1:5" ht="12.75" customHeight="1" x14ac:dyDescent="0.2">
      <c r="A4598" s="3"/>
      <c r="B4598" s="3" t="s">
        <v>9</v>
      </c>
      <c r="C4598" s="3" t="s">
        <v>626</v>
      </c>
      <c r="D4598" s="2"/>
      <c r="E4598" s="2" t="e">
        <f t="shared" si="0"/>
        <v>#VALUE!</v>
      </c>
    </row>
    <row r="4599" spans="1:5" ht="12.75" customHeight="1" x14ac:dyDescent="0.2">
      <c r="A4599" s="3"/>
      <c r="B4599" s="3" t="s">
        <v>11</v>
      </c>
      <c r="C4599" s="3" t="s">
        <v>168</v>
      </c>
      <c r="D4599" s="2"/>
      <c r="E4599" s="2" t="e">
        <f t="shared" si="0"/>
        <v>#VALUE!</v>
      </c>
    </row>
    <row r="4600" spans="1:5" ht="12.75" customHeight="1" x14ac:dyDescent="0.2">
      <c r="A4600" s="3"/>
      <c r="B4600" s="3" t="s">
        <v>18</v>
      </c>
      <c r="C4600" s="4" t="s">
        <v>19</v>
      </c>
      <c r="D4600" s="2"/>
      <c r="E4600" s="2" t="e">
        <f t="shared" si="0"/>
        <v>#VALUE!</v>
      </c>
    </row>
    <row r="4601" spans="1:5" ht="12.75" customHeight="1" x14ac:dyDescent="0.2">
      <c r="A4601" s="1" t="str">
        <f>HYPERLINK("javascript:void(0)","ásó")</f>
        <v>ásó</v>
      </c>
      <c r="B4601" s="1"/>
      <c r="C4601" s="1"/>
      <c r="D4601" s="2"/>
      <c r="E4601" s="2" t="e">
        <f t="shared" si="0"/>
        <v>#VALUE!</v>
      </c>
    </row>
    <row r="4602" spans="1:5" ht="12.75" customHeight="1" x14ac:dyDescent="0.2">
      <c r="A4602" s="3"/>
      <c r="B4602" s="3" t="s">
        <v>0</v>
      </c>
      <c r="C4602" s="3" t="s">
        <v>21</v>
      </c>
      <c r="D4602" s="2"/>
      <c r="E4602" s="2" t="e">
        <f t="shared" si="0"/>
        <v>#VALUE!</v>
      </c>
    </row>
    <row r="4603" spans="1:5" ht="12.75" customHeight="1" x14ac:dyDescent="0.2">
      <c r="A4603" s="3"/>
      <c r="B4603" s="3" t="s">
        <v>2</v>
      </c>
      <c r="C4603" s="3" t="s">
        <v>440</v>
      </c>
      <c r="D4603" s="2"/>
      <c r="E4603" s="2" t="e">
        <f t="shared" si="0"/>
        <v>#VALUE!</v>
      </c>
    </row>
    <row r="4604" spans="1:5" ht="12.75" customHeight="1" x14ac:dyDescent="0.2">
      <c r="A4604" s="3"/>
      <c r="B4604" s="3" t="s">
        <v>9</v>
      </c>
      <c r="C4604" s="3" t="s">
        <v>200</v>
      </c>
      <c r="D4604" s="2"/>
      <c r="E4604" s="2" t="e">
        <f t="shared" si="0"/>
        <v>#VALUE!</v>
      </c>
    </row>
    <row r="4605" spans="1:5" ht="12.75" customHeight="1" x14ac:dyDescent="0.2">
      <c r="A4605" s="3"/>
      <c r="B4605" s="3" t="s">
        <v>11</v>
      </c>
      <c r="C4605" s="3" t="s">
        <v>1756</v>
      </c>
      <c r="D4605" s="2"/>
      <c r="E4605" s="2" t="e">
        <f t="shared" si="0"/>
        <v>#VALUE!</v>
      </c>
    </row>
    <row r="4606" spans="1:5" ht="12.75" customHeight="1" x14ac:dyDescent="0.2">
      <c r="A4606" s="3"/>
      <c r="B4606" s="3" t="s">
        <v>18</v>
      </c>
      <c r="C4606" s="4" t="s">
        <v>19</v>
      </c>
      <c r="D4606" s="2"/>
      <c r="E4606" s="2" t="e">
        <f t="shared" si="0"/>
        <v>#VALUE!</v>
      </c>
    </row>
    <row r="4607" spans="1:5" ht="12.75" customHeight="1" x14ac:dyDescent="0.2">
      <c r="A4607" s="1" t="str">
        <f>HYPERLINK("javascript:void(0)","átokesszencia")</f>
        <v>átokesszencia</v>
      </c>
      <c r="B4607" s="1"/>
      <c r="C4607" s="1"/>
      <c r="D4607" s="2"/>
      <c r="E4607" s="2" t="e">
        <f t="shared" si="0"/>
        <v>#VALUE!</v>
      </c>
    </row>
    <row r="4608" spans="1:5" ht="12.75" customHeight="1" x14ac:dyDescent="0.2">
      <c r="A4608" s="3"/>
      <c r="B4608" s="3" t="s">
        <v>0</v>
      </c>
      <c r="C4608" s="3" t="s">
        <v>21</v>
      </c>
      <c r="D4608" s="2"/>
      <c r="E4608" s="2" t="e">
        <f t="shared" si="0"/>
        <v>#VALUE!</v>
      </c>
    </row>
    <row r="4609" spans="1:5" ht="12.75" customHeight="1" x14ac:dyDescent="0.2">
      <c r="A4609" s="3"/>
      <c r="B4609" s="3" t="s">
        <v>2</v>
      </c>
      <c r="C4609" s="3" t="s">
        <v>458</v>
      </c>
      <c r="D4609" s="2"/>
      <c r="E4609" s="2" t="e">
        <f t="shared" si="0"/>
        <v>#VALUE!</v>
      </c>
    </row>
    <row r="4610" spans="1:5" ht="12.75" customHeight="1" x14ac:dyDescent="0.2">
      <c r="A4610" s="3"/>
      <c r="B4610" s="3" t="s">
        <v>9</v>
      </c>
      <c r="C4610" s="3" t="s">
        <v>131</v>
      </c>
      <c r="D4610" s="2"/>
      <c r="E4610" s="2" t="e">
        <f t="shared" si="0"/>
        <v>#VALUE!</v>
      </c>
    </row>
    <row r="4611" spans="1:5" ht="12.75" customHeight="1" x14ac:dyDescent="0.2">
      <c r="A4611" s="3"/>
      <c r="B4611" s="3" t="s">
        <v>11</v>
      </c>
      <c r="C4611" s="3" t="s">
        <v>23</v>
      </c>
      <c r="D4611" s="2"/>
      <c r="E4611" s="2" t="e">
        <f t="shared" si="0"/>
        <v>#VALUE!</v>
      </c>
    </row>
    <row r="4612" spans="1:5" ht="12.75" customHeight="1" x14ac:dyDescent="0.2">
      <c r="A4612" s="3"/>
      <c r="B4612" s="3" t="s">
        <v>18</v>
      </c>
      <c r="C4612" s="4" t="s">
        <v>19</v>
      </c>
      <c r="D4612" s="2"/>
      <c r="E4612" s="2" t="e">
        <f t="shared" si="0"/>
        <v>#VALUE!</v>
      </c>
    </row>
    <row r="4613" spans="1:5" ht="12.75" customHeight="1" x14ac:dyDescent="0.2">
      <c r="A4613" s="1" t="str">
        <f>HYPERLINK("javascript:void(0)","átokhordozó")</f>
        <v>átokhordozó</v>
      </c>
      <c r="B4613" s="1"/>
      <c r="C4613" s="1"/>
      <c r="D4613" s="2"/>
      <c r="E4613" s="2" t="e">
        <f t="shared" si="0"/>
        <v>#VALUE!</v>
      </c>
    </row>
    <row r="4614" spans="1:5" ht="12.75" customHeight="1" x14ac:dyDescent="0.2">
      <c r="A4614" s="3"/>
      <c r="B4614" s="3" t="s">
        <v>0</v>
      </c>
      <c r="C4614" s="3" t="s">
        <v>21</v>
      </c>
      <c r="D4614" s="2"/>
      <c r="E4614" s="2" t="e">
        <f t="shared" si="0"/>
        <v>#VALUE!</v>
      </c>
    </row>
    <row r="4615" spans="1:5" ht="12.75" customHeight="1" x14ac:dyDescent="0.2">
      <c r="A4615" s="3"/>
      <c r="B4615" s="3" t="s">
        <v>2</v>
      </c>
      <c r="C4615" s="3" t="s">
        <v>458</v>
      </c>
      <c r="D4615" s="2"/>
      <c r="E4615" s="2" t="e">
        <f t="shared" si="0"/>
        <v>#VALUE!</v>
      </c>
    </row>
    <row r="4616" spans="1:5" ht="12.75" customHeight="1" x14ac:dyDescent="0.2">
      <c r="A4616" s="3"/>
      <c r="B4616" s="3" t="s">
        <v>9</v>
      </c>
      <c r="C4616" s="3" t="s">
        <v>22</v>
      </c>
      <c r="D4616" s="2"/>
      <c r="E4616" s="2" t="e">
        <f t="shared" si="0"/>
        <v>#VALUE!</v>
      </c>
    </row>
    <row r="4617" spans="1:5" ht="12.75" customHeight="1" x14ac:dyDescent="0.2">
      <c r="A4617" s="3"/>
      <c r="B4617" s="3" t="s">
        <v>11</v>
      </c>
      <c r="C4617" s="3" t="s">
        <v>473</v>
      </c>
      <c r="D4617" s="2"/>
      <c r="E4617" s="2" t="e">
        <f t="shared" si="0"/>
        <v>#VALUE!</v>
      </c>
    </row>
    <row r="4618" spans="1:5" ht="12.75" customHeight="1" x14ac:dyDescent="0.2">
      <c r="A4618" s="3"/>
      <c r="B4618" s="3" t="s">
        <v>18</v>
      </c>
      <c r="C4618" s="4" t="s">
        <v>19</v>
      </c>
      <c r="D4618" s="2"/>
      <c r="E4618" s="2" t="e">
        <f t="shared" si="0"/>
        <v>#VALUE!</v>
      </c>
    </row>
    <row r="4619" spans="1:5" ht="12.75" customHeight="1" x14ac:dyDescent="0.2">
      <c r="A4619" s="1" t="str">
        <f>HYPERLINK("javascript:void(0)","átokige")</f>
        <v>átokige</v>
      </c>
      <c r="B4619" s="1"/>
      <c r="C4619" s="1"/>
      <c r="D4619" s="2"/>
      <c r="E4619" s="2" t="e">
        <f t="shared" si="0"/>
        <v>#VALUE!</v>
      </c>
    </row>
    <row r="4620" spans="1:5" ht="12.75" customHeight="1" x14ac:dyDescent="0.2">
      <c r="A4620" s="3"/>
      <c r="B4620" s="3" t="s">
        <v>0</v>
      </c>
      <c r="C4620" s="3" t="s">
        <v>21</v>
      </c>
      <c r="D4620" s="2"/>
      <c r="E4620" s="2" t="e">
        <f t="shared" si="0"/>
        <v>#VALUE!</v>
      </c>
    </row>
    <row r="4621" spans="1:5" ht="12.75" customHeight="1" x14ac:dyDescent="0.2">
      <c r="A4621" s="3"/>
      <c r="B4621" s="3" t="s">
        <v>2</v>
      </c>
      <c r="C4621" s="3" t="s">
        <v>458</v>
      </c>
      <c r="D4621" s="2"/>
      <c r="E4621" s="2" t="e">
        <f t="shared" si="0"/>
        <v>#VALUE!</v>
      </c>
    </row>
    <row r="4622" spans="1:5" ht="12.75" customHeight="1" x14ac:dyDescent="0.2">
      <c r="A4622" s="3"/>
      <c r="B4622" s="3" t="s">
        <v>9</v>
      </c>
      <c r="C4622" s="3" t="s">
        <v>27</v>
      </c>
      <c r="D4622" s="2"/>
      <c r="E4622" s="2" t="e">
        <f t="shared" si="0"/>
        <v>#VALUE!</v>
      </c>
    </row>
    <row r="4623" spans="1:5" ht="12.75" customHeight="1" x14ac:dyDescent="0.2">
      <c r="A4623" s="3"/>
      <c r="B4623" s="3" t="s">
        <v>11</v>
      </c>
      <c r="C4623" s="3" t="s">
        <v>89</v>
      </c>
      <c r="D4623" s="2"/>
      <c r="E4623" s="2" t="e">
        <f t="shared" si="0"/>
        <v>#VALUE!</v>
      </c>
    </row>
    <row r="4624" spans="1:5" ht="12.75" customHeight="1" x14ac:dyDescent="0.2">
      <c r="A4624" s="3"/>
      <c r="B4624" s="3" t="s">
        <v>18</v>
      </c>
      <c r="C4624" s="4" t="s">
        <v>19</v>
      </c>
      <c r="D4624" s="2"/>
      <c r="E4624" s="2" t="e">
        <f t="shared" si="0"/>
        <v>#VALUE!</v>
      </c>
    </row>
    <row r="4625" spans="1:5" ht="12.75" customHeight="1" x14ac:dyDescent="0.2">
      <c r="A4625" s="1" t="str">
        <f>HYPERLINK("javascript:void(0)","égő")</f>
        <v>égő</v>
      </c>
      <c r="B4625" s="1"/>
      <c r="C4625" s="1"/>
      <c r="D4625" s="2"/>
      <c r="E4625" s="2" t="e">
        <f t="shared" si="0"/>
        <v>#VALUE!</v>
      </c>
    </row>
    <row r="4626" spans="1:5" ht="12.75" customHeight="1" x14ac:dyDescent="0.2">
      <c r="A4626" s="3"/>
      <c r="B4626" s="3" t="s">
        <v>0</v>
      </c>
      <c r="C4626" s="3" t="s">
        <v>21</v>
      </c>
      <c r="D4626" s="2"/>
      <c r="E4626" s="2" t="e">
        <f t="shared" si="0"/>
        <v>#VALUE!</v>
      </c>
    </row>
    <row r="4627" spans="1:5" ht="12.75" customHeight="1" x14ac:dyDescent="0.2">
      <c r="A4627" s="3"/>
      <c r="B4627" s="3" t="s">
        <v>2</v>
      </c>
      <c r="C4627" s="3" t="s">
        <v>458</v>
      </c>
      <c r="D4627" s="2"/>
      <c r="E4627" s="2" t="e">
        <f t="shared" si="0"/>
        <v>#VALUE!</v>
      </c>
    </row>
    <row r="4628" spans="1:5" ht="12.75" customHeight="1" x14ac:dyDescent="0.2">
      <c r="A4628" s="3"/>
      <c r="B4628" s="3" t="s">
        <v>9</v>
      </c>
      <c r="C4628" s="3" t="s">
        <v>22</v>
      </c>
      <c r="D4628" s="2"/>
      <c r="E4628" s="2" t="e">
        <f t="shared" si="0"/>
        <v>#VALUE!</v>
      </c>
    </row>
    <row r="4629" spans="1:5" ht="12.75" customHeight="1" x14ac:dyDescent="0.2">
      <c r="A4629" s="3"/>
      <c r="B4629" s="3" t="s">
        <v>11</v>
      </c>
      <c r="C4629" s="3" t="s">
        <v>605</v>
      </c>
      <c r="D4629" s="2"/>
      <c r="E4629" s="2" t="e">
        <f t="shared" si="0"/>
        <v>#VALUE!</v>
      </c>
    </row>
    <row r="4630" spans="1:5" ht="12.75" customHeight="1" x14ac:dyDescent="0.2">
      <c r="A4630" s="3"/>
      <c r="B4630" s="3" t="s">
        <v>18</v>
      </c>
      <c r="C4630" s="4" t="s">
        <v>19</v>
      </c>
      <c r="D4630" s="2"/>
      <c r="E4630" s="2" t="e">
        <f t="shared" si="0"/>
        <v>#VALUE!</v>
      </c>
    </row>
    <row r="4631" spans="1:5" ht="12.75" customHeight="1" x14ac:dyDescent="0.2">
      <c r="A4631" s="1" t="str">
        <f>HYPERLINK("javascript:void(0)","éjfény")</f>
        <v>éjfény</v>
      </c>
      <c r="B4631" s="1"/>
      <c r="C4631" s="1"/>
      <c r="D4631" s="2"/>
      <c r="E4631" s="2" t="e">
        <f t="shared" si="0"/>
        <v>#VALUE!</v>
      </c>
    </row>
    <row r="4632" spans="1:5" ht="12.75" customHeight="1" x14ac:dyDescent="0.2">
      <c r="A4632" s="3"/>
      <c r="B4632" s="3" t="s">
        <v>0</v>
      </c>
      <c r="C4632" s="3" t="s">
        <v>21</v>
      </c>
      <c r="D4632" s="2"/>
      <c r="E4632" s="2" t="e">
        <f t="shared" si="0"/>
        <v>#VALUE!</v>
      </c>
    </row>
    <row r="4633" spans="1:5" ht="12.75" customHeight="1" x14ac:dyDescent="0.2">
      <c r="A4633" s="3"/>
      <c r="B4633" s="3" t="s">
        <v>2</v>
      </c>
      <c r="C4633" s="3" t="s">
        <v>458</v>
      </c>
      <c r="D4633" s="2"/>
      <c r="E4633" s="2" t="e">
        <f t="shared" si="0"/>
        <v>#VALUE!</v>
      </c>
    </row>
    <row r="4634" spans="1:5" ht="12.75" customHeight="1" x14ac:dyDescent="0.2">
      <c r="A4634" s="3"/>
      <c r="B4634" s="3" t="s">
        <v>9</v>
      </c>
      <c r="C4634" s="3" t="s">
        <v>626</v>
      </c>
      <c r="D4634" s="2"/>
      <c r="E4634" s="2" t="e">
        <f t="shared" si="0"/>
        <v>#VALUE!</v>
      </c>
    </row>
    <row r="4635" spans="1:5" ht="12.75" customHeight="1" x14ac:dyDescent="0.2">
      <c r="A4635" s="3"/>
      <c r="B4635" s="3" t="s">
        <v>11</v>
      </c>
      <c r="C4635" s="3" t="s">
        <v>227</v>
      </c>
      <c r="D4635" s="2"/>
      <c r="E4635" s="2" t="e">
        <f t="shared" si="0"/>
        <v>#VALUE!</v>
      </c>
    </row>
    <row r="4636" spans="1:5" ht="12.75" customHeight="1" x14ac:dyDescent="0.2">
      <c r="A4636" s="3"/>
      <c r="B4636" s="3" t="s">
        <v>18</v>
      </c>
      <c r="C4636" s="4" t="s">
        <v>19</v>
      </c>
      <c r="D4636" s="2"/>
      <c r="E4636" s="2" t="e">
        <f t="shared" si="0"/>
        <v>#VALUE!</v>
      </c>
    </row>
    <row r="4637" spans="1:5" ht="12.75" customHeight="1" x14ac:dyDescent="0.2">
      <c r="A4637" s="1" t="str">
        <f>HYPERLINK("javascript:void(0)","éjszínű gyűrű")</f>
        <v>éjszínű gyűrű</v>
      </c>
      <c r="B4637" s="1"/>
      <c r="C4637" s="1"/>
      <c r="D4637" s="2"/>
      <c r="E4637" s="2" t="e">
        <f t="shared" si="0"/>
        <v>#VALUE!</v>
      </c>
    </row>
    <row r="4638" spans="1:5" ht="12.75" customHeight="1" x14ac:dyDescent="0.2">
      <c r="A4638" s="3"/>
      <c r="B4638" s="3" t="s">
        <v>0</v>
      </c>
      <c r="C4638" s="3" t="s">
        <v>21</v>
      </c>
      <c r="D4638" s="2"/>
      <c r="E4638" s="2" t="e">
        <f t="shared" si="0"/>
        <v>#VALUE!</v>
      </c>
    </row>
    <row r="4639" spans="1:5" ht="12.75" customHeight="1" x14ac:dyDescent="0.2">
      <c r="A4639" s="3"/>
      <c r="B4639" s="3" t="s">
        <v>2</v>
      </c>
      <c r="C4639" s="3" t="s">
        <v>387</v>
      </c>
      <c r="D4639" s="2"/>
      <c r="E4639" s="2" t="e">
        <f t="shared" si="0"/>
        <v>#VALUE!</v>
      </c>
    </row>
    <row r="4640" spans="1:5" ht="12.75" customHeight="1" x14ac:dyDescent="0.2">
      <c r="A4640" s="3"/>
      <c r="B4640" s="3" t="s">
        <v>9</v>
      </c>
      <c r="C4640" s="3" t="s">
        <v>1521</v>
      </c>
      <c r="D4640" s="2"/>
      <c r="E4640" s="2" t="e">
        <f t="shared" si="0"/>
        <v>#VALUE!</v>
      </c>
    </row>
    <row r="4641" spans="1:5" ht="12.75" customHeight="1" x14ac:dyDescent="0.2">
      <c r="A4641" s="3"/>
      <c r="B4641" s="3" t="s">
        <v>11</v>
      </c>
      <c r="C4641" s="3" t="s">
        <v>23</v>
      </c>
      <c r="D4641" s="2"/>
      <c r="E4641" s="2" t="e">
        <f t="shared" si="0"/>
        <v>#VALUE!</v>
      </c>
    </row>
    <row r="4642" spans="1:5" ht="12.75" customHeight="1" x14ac:dyDescent="0.2">
      <c r="A4642" s="3"/>
      <c r="B4642" s="3" t="s">
        <v>16</v>
      </c>
      <c r="C4642" s="3" t="s">
        <v>388</v>
      </c>
      <c r="D4642" s="2"/>
      <c r="E4642" s="2" t="e">
        <f t="shared" si="0"/>
        <v>#VALUE!</v>
      </c>
    </row>
    <row r="4643" spans="1:5" ht="12.75" customHeight="1" x14ac:dyDescent="0.2">
      <c r="A4643" s="3"/>
      <c r="B4643" s="3" t="s">
        <v>18</v>
      </c>
      <c r="C4643" s="4" t="s">
        <v>19</v>
      </c>
      <c r="D4643" s="2"/>
      <c r="E4643" s="2" t="e">
        <f t="shared" si="0"/>
        <v>#VALUE!</v>
      </c>
    </row>
    <row r="4644" spans="1:5" ht="12.75" customHeight="1" x14ac:dyDescent="0.2">
      <c r="A4644" s="1" t="str">
        <f>HYPERLINK("javascript:void(0)","élet-esszencia")</f>
        <v>élet-esszencia</v>
      </c>
      <c r="B4644" s="1"/>
      <c r="C4644" s="1"/>
      <c r="D4644" s="1"/>
      <c r="E4644" s="2" t="e">
        <f t="shared" si="0"/>
        <v>#VALUE!</v>
      </c>
    </row>
    <row r="4645" spans="1:5" ht="12.75" customHeight="1" x14ac:dyDescent="0.2">
      <c r="A4645" s="3"/>
      <c r="B4645" s="3" t="s">
        <v>0</v>
      </c>
      <c r="C4645" s="3" t="s">
        <v>21</v>
      </c>
      <c r="D4645" s="3"/>
      <c r="E4645" s="2" t="e">
        <f t="shared" si="0"/>
        <v>#VALUE!</v>
      </c>
    </row>
    <row r="4646" spans="1:5" ht="12.75" customHeight="1" x14ac:dyDescent="0.2">
      <c r="A4646" s="3"/>
      <c r="B4646" s="3" t="s">
        <v>2</v>
      </c>
      <c r="C4646" s="3" t="s">
        <v>387</v>
      </c>
      <c r="D4646" s="3"/>
      <c r="E4646" s="2" t="e">
        <f t="shared" si="0"/>
        <v>#VALUE!</v>
      </c>
    </row>
    <row r="4647" spans="1:5" ht="12.75" customHeight="1" x14ac:dyDescent="0.2">
      <c r="A4647" s="3"/>
      <c r="B4647" s="3" t="s">
        <v>9</v>
      </c>
      <c r="C4647" s="3" t="s">
        <v>131</v>
      </c>
      <c r="D4647" s="3"/>
      <c r="E4647" s="2" t="e">
        <f t="shared" si="0"/>
        <v>#VALUE!</v>
      </c>
    </row>
    <row r="4648" spans="1:5" ht="12.75" customHeight="1" x14ac:dyDescent="0.2">
      <c r="A4648" s="3"/>
      <c r="B4648" s="3" t="s">
        <v>11</v>
      </c>
      <c r="C4648" s="3" t="s">
        <v>23</v>
      </c>
      <c r="D4648" s="3"/>
      <c r="E4648" s="2" t="e">
        <f t="shared" si="0"/>
        <v>#VALUE!</v>
      </c>
    </row>
    <row r="4649" spans="1:5" ht="12.75" customHeight="1" x14ac:dyDescent="0.2">
      <c r="A4649" s="3"/>
      <c r="B4649" s="3" t="s">
        <v>16</v>
      </c>
      <c r="C4649" s="3" t="s">
        <v>388</v>
      </c>
      <c r="D4649" s="3"/>
      <c r="E4649" s="2" t="e">
        <f t="shared" si="0"/>
        <v>#VALUE!</v>
      </c>
    </row>
    <row r="4650" spans="1:5" ht="12.75" customHeight="1" x14ac:dyDescent="0.2">
      <c r="A4650" s="3"/>
      <c r="B4650" s="3" t="s">
        <v>18</v>
      </c>
      <c r="C4650" s="4" t="s">
        <v>44</v>
      </c>
      <c r="D4650" s="6" t="str">
        <f>HYPERLINK("javascript:void(0)","manógomba")</f>
        <v>manógomba</v>
      </c>
      <c r="E4650" s="2" t="e">
        <f t="shared" si="0"/>
        <v>#VALUE!</v>
      </c>
    </row>
    <row r="4651" spans="1:5" ht="12.75" customHeight="1" x14ac:dyDescent="0.2">
      <c r="A4651" s="1" t="str">
        <f>HYPERLINK("javascript:void(0)","életige")</f>
        <v>életige</v>
      </c>
      <c r="B4651" s="1"/>
      <c r="C4651" s="1"/>
      <c r="D4651" s="2"/>
      <c r="E4651" s="2" t="e">
        <f t="shared" si="0"/>
        <v>#VALUE!</v>
      </c>
    </row>
    <row r="4652" spans="1:5" ht="12.75" customHeight="1" x14ac:dyDescent="0.2">
      <c r="A4652" s="3"/>
      <c r="B4652" s="3" t="s">
        <v>0</v>
      </c>
      <c r="C4652" s="3" t="s">
        <v>1</v>
      </c>
      <c r="D4652" s="2"/>
      <c r="E4652" s="2" t="e">
        <f t="shared" si="0"/>
        <v>#VALUE!</v>
      </c>
    </row>
    <row r="4653" spans="1:5" ht="12.75" customHeight="1" x14ac:dyDescent="0.2">
      <c r="A4653" s="3"/>
      <c r="B4653" s="3" t="s">
        <v>2</v>
      </c>
      <c r="C4653" s="3" t="s">
        <v>458</v>
      </c>
      <c r="D4653" s="2"/>
      <c r="E4653" s="2" t="e">
        <f t="shared" si="0"/>
        <v>#VALUE!</v>
      </c>
    </row>
    <row r="4654" spans="1:5" ht="12.75" customHeight="1" x14ac:dyDescent="0.2">
      <c r="A4654" s="3"/>
      <c r="B4654" s="3" t="s">
        <v>9</v>
      </c>
      <c r="C4654" s="3" t="s">
        <v>404</v>
      </c>
      <c r="D4654" s="2"/>
      <c r="E4654" s="2" t="e">
        <f t="shared" si="0"/>
        <v>#VALUE!</v>
      </c>
    </row>
    <row r="4655" spans="1:5" ht="12.75" customHeight="1" x14ac:dyDescent="0.2">
      <c r="A4655" s="3"/>
      <c r="B4655" s="3" t="s">
        <v>11</v>
      </c>
      <c r="C4655" s="3" t="s">
        <v>23</v>
      </c>
      <c r="D4655" s="2"/>
      <c r="E4655" s="2" t="e">
        <f t="shared" si="0"/>
        <v>#VALUE!</v>
      </c>
    </row>
    <row r="4656" spans="1:5" ht="12.75" customHeight="1" x14ac:dyDescent="0.2">
      <c r="A4656" s="3"/>
      <c r="B4656" s="3" t="s">
        <v>18</v>
      </c>
      <c r="C4656" s="4" t="s">
        <v>19</v>
      </c>
      <c r="D4656" s="2"/>
      <c r="E4656" s="2" t="e">
        <f t="shared" si="0"/>
        <v>#VALUE!</v>
      </c>
    </row>
    <row r="4657" spans="1:5" ht="12.75" customHeight="1" x14ac:dyDescent="0.2">
      <c r="A4657" s="1" t="str">
        <f>HYPERLINK("javascript:void(0)","életkristály")</f>
        <v>életkristály</v>
      </c>
      <c r="B4657" s="1"/>
      <c r="C4657" s="1"/>
      <c r="D4657" s="2"/>
      <c r="E4657" s="2" t="e">
        <f t="shared" si="0"/>
        <v>#VALUE!</v>
      </c>
    </row>
    <row r="4658" spans="1:5" ht="12.75" customHeight="1" x14ac:dyDescent="0.2">
      <c r="A4658" s="3"/>
      <c r="B4658" s="3" t="s">
        <v>0</v>
      </c>
      <c r="C4658" s="3" t="s">
        <v>21</v>
      </c>
      <c r="D4658" s="2"/>
      <c r="E4658" s="2" t="e">
        <f t="shared" si="0"/>
        <v>#VALUE!</v>
      </c>
    </row>
    <row r="4659" spans="1:5" ht="12.75" customHeight="1" x14ac:dyDescent="0.2">
      <c r="A4659" s="3"/>
      <c r="B4659" s="3" t="s">
        <v>2</v>
      </c>
      <c r="C4659" s="3" t="s">
        <v>458</v>
      </c>
      <c r="D4659" s="2"/>
      <c r="E4659" s="2" t="e">
        <f t="shared" si="0"/>
        <v>#VALUE!</v>
      </c>
    </row>
    <row r="4660" spans="1:5" ht="12.75" customHeight="1" x14ac:dyDescent="0.2">
      <c r="A4660" s="3"/>
      <c r="B4660" s="3" t="s">
        <v>9</v>
      </c>
      <c r="C4660" s="3" t="s">
        <v>509</v>
      </c>
      <c r="D4660" s="2"/>
      <c r="E4660" s="2" t="e">
        <f t="shared" si="0"/>
        <v>#VALUE!</v>
      </c>
    </row>
    <row r="4661" spans="1:5" ht="12.75" customHeight="1" x14ac:dyDescent="0.2">
      <c r="A4661" s="3"/>
      <c r="B4661" s="3" t="s">
        <v>11</v>
      </c>
      <c r="C4661" s="3" t="s">
        <v>1735</v>
      </c>
      <c r="D4661" s="2"/>
      <c r="E4661" s="2" t="e">
        <f t="shared" si="0"/>
        <v>#VALUE!</v>
      </c>
    </row>
    <row r="4662" spans="1:5" ht="12.75" customHeight="1" x14ac:dyDescent="0.2">
      <c r="A4662" s="3"/>
      <c r="B4662" s="3" t="s">
        <v>18</v>
      </c>
      <c r="C4662" s="4" t="s">
        <v>19</v>
      </c>
      <c r="D4662" s="2"/>
      <c r="E4662" s="2" t="e">
        <f t="shared" si="0"/>
        <v>#VALUE!</v>
      </c>
    </row>
    <row r="4663" spans="1:5" ht="12.75" customHeight="1" x14ac:dyDescent="0.2">
      <c r="A4663" s="1" t="str">
        <f>HYPERLINK("javascript:void(0)","ércragacs")</f>
        <v>ércragacs</v>
      </c>
      <c r="B4663" s="1"/>
      <c r="C4663" s="1"/>
      <c r="D4663" s="2"/>
      <c r="E4663" s="2" t="e">
        <f t="shared" si="0"/>
        <v>#VALUE!</v>
      </c>
    </row>
    <row r="4664" spans="1:5" ht="12.75" customHeight="1" x14ac:dyDescent="0.2">
      <c r="A4664" s="3"/>
      <c r="B4664" s="3" t="s">
        <v>0</v>
      </c>
      <c r="C4664" s="3" t="s">
        <v>21</v>
      </c>
      <c r="D4664" s="2"/>
      <c r="E4664" s="2" t="e">
        <f t="shared" si="0"/>
        <v>#VALUE!</v>
      </c>
    </row>
    <row r="4665" spans="1:5" ht="12.75" customHeight="1" x14ac:dyDescent="0.2">
      <c r="A4665" s="3"/>
      <c r="B4665" s="3" t="s">
        <v>2</v>
      </c>
      <c r="C4665" s="3" t="s">
        <v>458</v>
      </c>
      <c r="D4665" s="2"/>
      <c r="E4665" s="2" t="e">
        <f t="shared" si="0"/>
        <v>#VALUE!</v>
      </c>
    </row>
    <row r="4666" spans="1:5" ht="12.75" customHeight="1" x14ac:dyDescent="0.2">
      <c r="A4666" s="3"/>
      <c r="B4666" s="3" t="s">
        <v>9</v>
      </c>
      <c r="C4666" s="3" t="s">
        <v>53</v>
      </c>
      <c r="D4666" s="2"/>
      <c r="E4666" s="2" t="e">
        <f t="shared" si="0"/>
        <v>#VALUE!</v>
      </c>
    </row>
    <row r="4667" spans="1:5" ht="12.75" customHeight="1" x14ac:dyDescent="0.2">
      <c r="A4667" s="3"/>
      <c r="B4667" s="3" t="s">
        <v>11</v>
      </c>
      <c r="C4667" s="3" t="s">
        <v>1003</v>
      </c>
      <c r="D4667" s="2"/>
      <c r="E4667" s="2" t="e">
        <f t="shared" si="0"/>
        <v>#VALUE!</v>
      </c>
    </row>
    <row r="4668" spans="1:5" ht="12.75" customHeight="1" x14ac:dyDescent="0.2">
      <c r="A4668" s="3"/>
      <c r="B4668" s="3" t="s">
        <v>16</v>
      </c>
      <c r="C4668" s="3" t="s">
        <v>1810</v>
      </c>
      <c r="D4668" s="2"/>
      <c r="E4668" s="2" t="e">
        <f t="shared" si="0"/>
        <v>#VALUE!</v>
      </c>
    </row>
    <row r="4669" spans="1:5" ht="12.75" customHeight="1" x14ac:dyDescent="0.2">
      <c r="A4669" s="3"/>
      <c r="B4669" s="3" t="s">
        <v>18</v>
      </c>
      <c r="C4669" s="4" t="s">
        <v>19</v>
      </c>
      <c r="D4669" s="2"/>
      <c r="E4669" s="2" t="e">
        <f t="shared" si="0"/>
        <v>#VALUE!</v>
      </c>
    </row>
    <row r="4670" spans="1:5" ht="12.75" customHeight="1" x14ac:dyDescent="0.2">
      <c r="A4670" s="1" t="str">
        <f>HYPERLINK("javascript:void(0)","ércrozsda")</f>
        <v>ércrozsda</v>
      </c>
      <c r="B4670" s="1"/>
      <c r="C4670" s="1"/>
      <c r="D4670" s="2"/>
      <c r="E4670" s="2" t="e">
        <f t="shared" si="0"/>
        <v>#VALUE!</v>
      </c>
    </row>
    <row r="4671" spans="1:5" ht="12.75" customHeight="1" x14ac:dyDescent="0.2">
      <c r="A4671" s="3"/>
      <c r="B4671" s="3" t="s">
        <v>0</v>
      </c>
      <c r="C4671" s="3" t="s">
        <v>21</v>
      </c>
      <c r="D4671" s="2"/>
      <c r="E4671" s="2" t="e">
        <f t="shared" si="0"/>
        <v>#VALUE!</v>
      </c>
    </row>
    <row r="4672" spans="1:5" ht="12.75" customHeight="1" x14ac:dyDescent="0.2">
      <c r="A4672" s="3"/>
      <c r="B4672" s="3" t="s">
        <v>2</v>
      </c>
      <c r="C4672" s="3" t="s">
        <v>458</v>
      </c>
      <c r="D4672" s="2"/>
      <c r="E4672" s="2" t="e">
        <f t="shared" si="0"/>
        <v>#VALUE!</v>
      </c>
    </row>
    <row r="4673" spans="1:5" ht="12.75" customHeight="1" x14ac:dyDescent="0.2">
      <c r="A4673" s="3"/>
      <c r="B4673" s="3" t="s">
        <v>9</v>
      </c>
      <c r="C4673" s="3" t="s">
        <v>10</v>
      </c>
      <c r="D4673" s="2"/>
      <c r="E4673" s="2" t="e">
        <f t="shared" si="0"/>
        <v>#VALUE!</v>
      </c>
    </row>
    <row r="4674" spans="1:5" ht="12.75" customHeight="1" x14ac:dyDescent="0.2">
      <c r="A4674" s="3"/>
      <c r="B4674" s="3" t="s">
        <v>11</v>
      </c>
      <c r="C4674" s="3" t="s">
        <v>168</v>
      </c>
      <c r="D4674" s="2"/>
      <c r="E4674" s="2" t="e">
        <f t="shared" si="0"/>
        <v>#VALUE!</v>
      </c>
    </row>
    <row r="4675" spans="1:5" ht="12.75" customHeight="1" x14ac:dyDescent="0.2">
      <c r="A4675" s="3"/>
      <c r="B4675" s="3" t="s">
        <v>18</v>
      </c>
      <c r="C4675" s="4" t="s">
        <v>19</v>
      </c>
      <c r="D4675" s="2"/>
      <c r="E4675" s="2" t="e">
        <f t="shared" si="0"/>
        <v>#VALUE!</v>
      </c>
    </row>
    <row r="4676" spans="1:5" ht="12.75" customHeight="1" x14ac:dyDescent="0.2">
      <c r="A4676" s="1" t="str">
        <f>HYPERLINK("javascript:void(0)","étlap")</f>
        <v>étlap</v>
      </c>
      <c r="B4676" s="1"/>
      <c r="C4676" s="1"/>
      <c r="D4676" s="2"/>
      <c r="E4676" s="2" t="e">
        <f t="shared" si="0"/>
        <v>#VALUE!</v>
      </c>
    </row>
    <row r="4677" spans="1:5" ht="12.75" customHeight="1" x14ac:dyDescent="0.2">
      <c r="A4677" s="3"/>
      <c r="B4677" s="3" t="s">
        <v>0</v>
      </c>
      <c r="C4677" s="3" t="s">
        <v>21</v>
      </c>
      <c r="D4677" s="2"/>
      <c r="E4677" s="2" t="e">
        <f t="shared" si="0"/>
        <v>#VALUE!</v>
      </c>
    </row>
    <row r="4678" spans="1:5" ht="12.75" customHeight="1" x14ac:dyDescent="0.2">
      <c r="A4678" s="3"/>
      <c r="B4678" s="3" t="s">
        <v>2</v>
      </c>
      <c r="C4678" s="3" t="s">
        <v>387</v>
      </c>
      <c r="D4678" s="2"/>
      <c r="E4678" s="2" t="e">
        <f t="shared" si="0"/>
        <v>#VALUE!</v>
      </c>
    </row>
    <row r="4679" spans="1:5" ht="12.75" customHeight="1" x14ac:dyDescent="0.2">
      <c r="A4679" s="3"/>
      <c r="B4679" s="3" t="s">
        <v>9</v>
      </c>
      <c r="C4679" s="3" t="s">
        <v>53</v>
      </c>
      <c r="D4679" s="2"/>
      <c r="E4679" s="2" t="e">
        <f t="shared" si="0"/>
        <v>#VALUE!</v>
      </c>
    </row>
    <row r="4680" spans="1:5" ht="12.75" customHeight="1" x14ac:dyDescent="0.2">
      <c r="A4680" s="3"/>
      <c r="B4680" s="3" t="s">
        <v>11</v>
      </c>
      <c r="C4680" s="3" t="s">
        <v>23</v>
      </c>
      <c r="D4680" s="2"/>
      <c r="E4680" s="2" t="e">
        <f t="shared" si="0"/>
        <v>#VALUE!</v>
      </c>
    </row>
    <row r="4681" spans="1:5" ht="12.75" customHeight="1" x14ac:dyDescent="0.2">
      <c r="A4681" s="3"/>
      <c r="B4681" s="3" t="s">
        <v>16</v>
      </c>
      <c r="C4681" s="3" t="s">
        <v>388</v>
      </c>
      <c r="D4681" s="2"/>
      <c r="E4681" s="2" t="e">
        <f t="shared" si="0"/>
        <v>#VALUE!</v>
      </c>
    </row>
    <row r="4682" spans="1:5" ht="12.75" customHeight="1" x14ac:dyDescent="0.2">
      <c r="A4682" s="3"/>
      <c r="B4682" s="3" t="s">
        <v>18</v>
      </c>
      <c r="C4682" s="4" t="s">
        <v>19</v>
      </c>
      <c r="D4682" s="2"/>
      <c r="E4682" s="2" t="e">
        <f t="shared" si="0"/>
        <v>#VALUE!</v>
      </c>
    </row>
    <row r="4683" spans="1:5" ht="12.75" customHeight="1" x14ac:dyDescent="0.2">
      <c r="A4683" s="1" t="str">
        <f>HYPERLINK("javascript:void(0)","ínszalag")</f>
        <v>ínszalag</v>
      </c>
      <c r="B4683" s="1"/>
      <c r="C4683" s="1"/>
      <c r="D4683" s="2"/>
      <c r="E4683" s="2" t="e">
        <f t="shared" si="0"/>
        <v>#VALUE!</v>
      </c>
    </row>
    <row r="4684" spans="1:5" ht="12.75" customHeight="1" x14ac:dyDescent="0.2">
      <c r="A4684" s="3"/>
      <c r="B4684" s="3" t="s">
        <v>0</v>
      </c>
      <c r="C4684" s="3" t="s">
        <v>21</v>
      </c>
      <c r="D4684" s="2"/>
      <c r="E4684" s="2" t="e">
        <f t="shared" si="0"/>
        <v>#VALUE!</v>
      </c>
    </row>
    <row r="4685" spans="1:5" ht="12.75" customHeight="1" x14ac:dyDescent="0.2">
      <c r="A4685" s="3"/>
      <c r="B4685" s="3" t="s">
        <v>2</v>
      </c>
      <c r="C4685" s="3" t="s">
        <v>458</v>
      </c>
      <c r="D4685" s="2"/>
      <c r="E4685" s="2" t="e">
        <f t="shared" si="0"/>
        <v>#VALUE!</v>
      </c>
    </row>
    <row r="4686" spans="1:5" ht="12.75" customHeight="1" x14ac:dyDescent="0.2">
      <c r="A4686" s="3"/>
      <c r="B4686" s="3" t="s">
        <v>9</v>
      </c>
      <c r="C4686" s="3" t="s">
        <v>10</v>
      </c>
      <c r="D4686" s="2"/>
      <c r="E4686" s="2" t="e">
        <f t="shared" si="0"/>
        <v>#VALUE!</v>
      </c>
    </row>
    <row r="4687" spans="1:5" ht="12.75" customHeight="1" x14ac:dyDescent="0.2">
      <c r="A4687" s="3"/>
      <c r="B4687" s="3" t="s">
        <v>11</v>
      </c>
      <c r="C4687" s="3" t="s">
        <v>457</v>
      </c>
      <c r="D4687" s="2"/>
      <c r="E4687" s="2" t="e">
        <f t="shared" si="0"/>
        <v>#VALUE!</v>
      </c>
    </row>
    <row r="4688" spans="1:5" ht="12.75" customHeight="1" x14ac:dyDescent="0.2">
      <c r="A4688" s="3"/>
      <c r="B4688" s="3" t="s">
        <v>18</v>
      </c>
      <c r="C4688" s="4" t="s">
        <v>19</v>
      </c>
      <c r="D4688" s="2"/>
      <c r="E4688" s="2" t="e">
        <f t="shared" si="0"/>
        <v>#VALUE!</v>
      </c>
    </row>
    <row r="4689" spans="1:5" ht="12.75" customHeight="1" x14ac:dyDescent="0.2">
      <c r="A4689" s="1" t="str">
        <f>HYPERLINK("javascript:void(0)","írcsepp")</f>
        <v>írcsepp</v>
      </c>
      <c r="B4689" s="1"/>
      <c r="C4689" s="1"/>
      <c r="D4689" s="2"/>
      <c r="E4689" s="2" t="e">
        <f t="shared" si="0"/>
        <v>#VALUE!</v>
      </c>
    </row>
    <row r="4690" spans="1:5" ht="12.75" customHeight="1" x14ac:dyDescent="0.2">
      <c r="A4690" s="3"/>
      <c r="B4690" s="3" t="s">
        <v>0</v>
      </c>
      <c r="C4690" s="3" t="s">
        <v>21</v>
      </c>
      <c r="D4690" s="2"/>
      <c r="E4690" s="2" t="e">
        <f t="shared" si="0"/>
        <v>#VALUE!</v>
      </c>
    </row>
    <row r="4691" spans="1:5" ht="12.75" customHeight="1" x14ac:dyDescent="0.2">
      <c r="A4691" s="3"/>
      <c r="B4691" s="3" t="s">
        <v>2</v>
      </c>
      <c r="C4691" s="3" t="s">
        <v>458</v>
      </c>
      <c r="D4691" s="2"/>
      <c r="E4691" s="2" t="e">
        <f t="shared" si="0"/>
        <v>#VALUE!</v>
      </c>
    </row>
    <row r="4692" spans="1:5" ht="12.75" customHeight="1" x14ac:dyDescent="0.2">
      <c r="A4692" s="3"/>
      <c r="B4692" s="3" t="s">
        <v>9</v>
      </c>
      <c r="C4692" s="3" t="s">
        <v>22</v>
      </c>
      <c r="D4692" s="2"/>
      <c r="E4692" s="2" t="e">
        <f t="shared" si="0"/>
        <v>#VALUE!</v>
      </c>
    </row>
    <row r="4693" spans="1:5" ht="12.75" customHeight="1" x14ac:dyDescent="0.2">
      <c r="A4693" s="3"/>
      <c r="B4693" s="3" t="s">
        <v>11</v>
      </c>
      <c r="C4693" s="3" t="s">
        <v>597</v>
      </c>
      <c r="D4693" s="2"/>
      <c r="E4693" s="2" t="e">
        <f t="shared" si="0"/>
        <v>#VALUE!</v>
      </c>
    </row>
    <row r="4694" spans="1:5" ht="12.75" customHeight="1" x14ac:dyDescent="0.2">
      <c r="A4694" s="3"/>
      <c r="B4694" s="3" t="s">
        <v>18</v>
      </c>
      <c r="C4694" s="4" t="s">
        <v>19</v>
      </c>
      <c r="D4694" s="2"/>
      <c r="E4694" s="2" t="e">
        <f t="shared" si="0"/>
        <v>#VALUE!</v>
      </c>
    </row>
    <row r="4695" spans="1:5" ht="12.75" customHeight="1" x14ac:dyDescent="0.2">
      <c r="A4695" s="1" t="str">
        <f>HYPERLINK("javascript:void(0)","írtófej")</f>
        <v>írtófej</v>
      </c>
      <c r="B4695" s="1"/>
      <c r="C4695" s="1"/>
      <c r="D4695" s="2"/>
      <c r="E4695" s="2" t="e">
        <f t="shared" si="0"/>
        <v>#VALUE!</v>
      </c>
    </row>
    <row r="4696" spans="1:5" ht="12.75" customHeight="1" x14ac:dyDescent="0.2">
      <c r="A4696" s="3"/>
      <c r="B4696" s="3" t="s">
        <v>0</v>
      </c>
      <c r="C4696" s="3" t="s">
        <v>21</v>
      </c>
      <c r="D4696" s="2"/>
      <c r="E4696" s="2" t="e">
        <f t="shared" si="0"/>
        <v>#VALUE!</v>
      </c>
    </row>
    <row r="4697" spans="1:5" ht="12.75" customHeight="1" x14ac:dyDescent="0.2">
      <c r="A4697" s="3"/>
      <c r="B4697" s="3" t="s">
        <v>2</v>
      </c>
      <c r="C4697" s="3" t="s">
        <v>458</v>
      </c>
      <c r="D4697" s="2"/>
      <c r="E4697" s="2" t="e">
        <f t="shared" si="0"/>
        <v>#VALUE!</v>
      </c>
    </row>
    <row r="4698" spans="1:5" ht="12.75" customHeight="1" x14ac:dyDescent="0.2">
      <c r="A4698" s="3"/>
      <c r="B4698" s="3" t="s">
        <v>9</v>
      </c>
      <c r="C4698" s="3" t="s">
        <v>22</v>
      </c>
      <c r="D4698" s="2"/>
      <c r="E4698" s="2" t="e">
        <f t="shared" si="0"/>
        <v>#VALUE!</v>
      </c>
    </row>
    <row r="4699" spans="1:5" ht="12.75" customHeight="1" x14ac:dyDescent="0.2">
      <c r="A4699" s="3"/>
      <c r="B4699" s="3" t="s">
        <v>11</v>
      </c>
      <c r="C4699" s="3" t="s">
        <v>156</v>
      </c>
      <c r="D4699" s="2"/>
      <c r="E4699" s="2" t="e">
        <f t="shared" si="0"/>
        <v>#VALUE!</v>
      </c>
    </row>
    <row r="4700" spans="1:5" ht="12.75" customHeight="1" x14ac:dyDescent="0.2">
      <c r="A4700" s="3"/>
      <c r="B4700" s="3" t="s">
        <v>18</v>
      </c>
      <c r="C4700" s="4" t="s">
        <v>19</v>
      </c>
      <c r="D4700" s="2"/>
      <c r="E4700" s="2" t="e">
        <f t="shared" si="0"/>
        <v>#VALUE!</v>
      </c>
    </row>
    <row r="4701" spans="1:5" ht="12.75" customHeight="1" x14ac:dyDescent="0.2">
      <c r="A4701" s="1" t="str">
        <f>HYPERLINK("javascript:void(0)","ítész")</f>
        <v>ítész</v>
      </c>
      <c r="B4701" s="1"/>
      <c r="C4701" s="1"/>
      <c r="D4701" s="2"/>
      <c r="E4701" s="2" t="e">
        <f t="shared" si="0"/>
        <v>#VALUE!</v>
      </c>
    </row>
    <row r="4702" spans="1:5" ht="12.75" customHeight="1" x14ac:dyDescent="0.2">
      <c r="A4702" s="3"/>
      <c r="B4702" s="3" t="s">
        <v>0</v>
      </c>
      <c r="C4702" s="3" t="s">
        <v>21</v>
      </c>
      <c r="D4702" s="2"/>
      <c r="E4702" s="2" t="e">
        <f t="shared" si="0"/>
        <v>#VALUE!</v>
      </c>
    </row>
    <row r="4703" spans="1:5" ht="12.75" customHeight="1" x14ac:dyDescent="0.2">
      <c r="A4703" s="3"/>
      <c r="B4703" s="3" t="s">
        <v>2</v>
      </c>
      <c r="C4703" s="3" t="s">
        <v>458</v>
      </c>
      <c r="D4703" s="2"/>
      <c r="E4703" s="2" t="e">
        <f t="shared" si="0"/>
        <v>#VALUE!</v>
      </c>
    </row>
    <row r="4704" spans="1:5" ht="12.75" customHeight="1" x14ac:dyDescent="0.2">
      <c r="A4704" s="3"/>
      <c r="B4704" s="3" t="s">
        <v>9</v>
      </c>
      <c r="C4704" s="3" t="s">
        <v>22</v>
      </c>
      <c r="D4704" s="2"/>
      <c r="E4704" s="2" t="e">
        <f t="shared" si="0"/>
        <v>#VALUE!</v>
      </c>
    </row>
    <row r="4705" spans="1:5" ht="12.75" customHeight="1" x14ac:dyDescent="0.2">
      <c r="A4705" s="3"/>
      <c r="B4705" s="3" t="s">
        <v>11</v>
      </c>
      <c r="C4705" s="3" t="s">
        <v>156</v>
      </c>
      <c r="D4705" s="2"/>
      <c r="E4705" s="2" t="e">
        <f t="shared" si="0"/>
        <v>#VALUE!</v>
      </c>
    </row>
    <row r="4706" spans="1:5" ht="12.75" customHeight="1" x14ac:dyDescent="0.2">
      <c r="A4706" s="3"/>
      <c r="B4706" s="3" t="s">
        <v>18</v>
      </c>
      <c r="C4706" s="4" t="s">
        <v>19</v>
      </c>
      <c r="D4706" s="2"/>
      <c r="E4706" s="2" t="e">
        <f t="shared" si="0"/>
        <v>#VALUE!</v>
      </c>
    </row>
    <row r="4707" spans="1:5" ht="12.75" customHeight="1" x14ac:dyDescent="0.2">
      <c r="A4707" s="1" t="str">
        <f>HYPERLINK("javascript:void(0)","ócska nóta")</f>
        <v>ócska nóta</v>
      </c>
      <c r="B4707" s="1"/>
      <c r="C4707" s="1"/>
      <c r="D4707" s="2"/>
      <c r="E4707" s="2" t="e">
        <f t="shared" si="0"/>
        <v>#VALUE!</v>
      </c>
    </row>
    <row r="4708" spans="1:5" ht="12.75" customHeight="1" x14ac:dyDescent="0.2">
      <c r="A4708" s="3"/>
      <c r="B4708" s="3" t="s">
        <v>0</v>
      </c>
      <c r="C4708" s="3" t="s">
        <v>21</v>
      </c>
      <c r="D4708" s="2"/>
      <c r="E4708" s="2" t="e">
        <f t="shared" si="0"/>
        <v>#VALUE!</v>
      </c>
    </row>
    <row r="4709" spans="1:5" ht="12.75" customHeight="1" x14ac:dyDescent="0.2">
      <c r="A4709" s="3"/>
      <c r="B4709" s="3" t="s">
        <v>2</v>
      </c>
      <c r="C4709" s="3" t="s">
        <v>458</v>
      </c>
      <c r="D4709" s="2"/>
      <c r="E4709" s="2" t="e">
        <f t="shared" si="0"/>
        <v>#VALUE!</v>
      </c>
    </row>
    <row r="4710" spans="1:5" ht="12.75" customHeight="1" x14ac:dyDescent="0.2">
      <c r="A4710" s="3"/>
      <c r="B4710" s="3" t="s">
        <v>9</v>
      </c>
      <c r="C4710" s="3" t="s">
        <v>79</v>
      </c>
      <c r="D4710" s="2"/>
      <c r="E4710" s="2" t="e">
        <f t="shared" si="0"/>
        <v>#VALUE!</v>
      </c>
    </row>
    <row r="4711" spans="1:5" ht="12.75" customHeight="1" x14ac:dyDescent="0.2">
      <c r="A4711" s="3"/>
      <c r="B4711" s="3" t="s">
        <v>11</v>
      </c>
      <c r="C4711" s="3" t="s">
        <v>89</v>
      </c>
      <c r="D4711" s="2"/>
      <c r="E4711" s="2" t="e">
        <f t="shared" si="0"/>
        <v>#VALUE!</v>
      </c>
    </row>
    <row r="4712" spans="1:5" ht="12.75" customHeight="1" x14ac:dyDescent="0.2">
      <c r="A4712" s="3"/>
      <c r="B4712" s="3" t="s">
        <v>18</v>
      </c>
      <c r="C4712" s="4" t="s">
        <v>19</v>
      </c>
      <c r="D4712" s="2"/>
      <c r="E4712" s="2" t="e">
        <f t="shared" si="0"/>
        <v>#VALUE!</v>
      </c>
    </row>
    <row r="4713" spans="1:5" ht="12.75" customHeight="1" x14ac:dyDescent="0.2">
      <c r="A4713" s="1" t="str">
        <f>HYPERLINK("javascript:void(0)","óngolyó")</f>
        <v>óngolyó</v>
      </c>
      <c r="B4713" s="1"/>
      <c r="C4713" s="1"/>
      <c r="D4713" s="2"/>
      <c r="E4713" s="2" t="e">
        <f t="shared" si="0"/>
        <v>#VALUE!</v>
      </c>
    </row>
    <row r="4714" spans="1:5" ht="12.75" customHeight="1" x14ac:dyDescent="0.2">
      <c r="A4714" s="3"/>
      <c r="B4714" s="3" t="s">
        <v>0</v>
      </c>
      <c r="C4714" s="3" t="s">
        <v>21</v>
      </c>
      <c r="D4714" s="2"/>
      <c r="E4714" s="2" t="e">
        <f t="shared" si="0"/>
        <v>#VALUE!</v>
      </c>
    </row>
    <row r="4715" spans="1:5" ht="12.75" customHeight="1" x14ac:dyDescent="0.2">
      <c r="A4715" s="3"/>
      <c r="B4715" s="3" t="s">
        <v>2</v>
      </c>
      <c r="C4715" s="3" t="s">
        <v>564</v>
      </c>
      <c r="D4715" s="2"/>
      <c r="E4715" s="2" t="e">
        <f t="shared" si="0"/>
        <v>#VALUE!</v>
      </c>
    </row>
    <row r="4716" spans="1:5" ht="12.75" customHeight="1" x14ac:dyDescent="0.2">
      <c r="A4716" s="3"/>
      <c r="B4716" s="3" t="s">
        <v>9</v>
      </c>
      <c r="C4716" s="3" t="s">
        <v>22</v>
      </c>
      <c r="D4716" s="2"/>
      <c r="E4716" s="2" t="e">
        <f t="shared" si="0"/>
        <v>#VALUE!</v>
      </c>
    </row>
    <row r="4717" spans="1:5" ht="12.75" customHeight="1" x14ac:dyDescent="0.2">
      <c r="A4717" s="3"/>
      <c r="B4717" s="3" t="s">
        <v>11</v>
      </c>
      <c r="C4717" s="3" t="s">
        <v>1813</v>
      </c>
      <c r="D4717" s="2"/>
      <c r="E4717" s="2" t="e">
        <f t="shared" si="0"/>
        <v>#VALUE!</v>
      </c>
    </row>
    <row r="4718" spans="1:5" ht="12.75" customHeight="1" x14ac:dyDescent="0.2">
      <c r="A4718" s="3"/>
      <c r="B4718" s="3" t="s">
        <v>18</v>
      </c>
      <c r="C4718" s="4" t="s">
        <v>19</v>
      </c>
      <c r="D4718" s="2"/>
      <c r="E4718" s="2" t="e">
        <f t="shared" si="0"/>
        <v>#VALUE!</v>
      </c>
    </row>
    <row r="4719" spans="1:5" ht="12.75" customHeight="1" x14ac:dyDescent="0.2">
      <c r="A4719" s="1" t="str">
        <f>HYPERLINK("javascript:void(0)","óriás igazgyöngy")</f>
        <v>óriás igazgyöngy</v>
      </c>
      <c r="B4719" s="1"/>
      <c r="C4719" s="1"/>
      <c r="D4719" s="2"/>
      <c r="E4719" s="2" t="e">
        <f t="shared" si="0"/>
        <v>#VALUE!</v>
      </c>
    </row>
    <row r="4720" spans="1:5" ht="12.75" customHeight="1" x14ac:dyDescent="0.2">
      <c r="A4720" s="3"/>
      <c r="B4720" s="3" t="s">
        <v>0</v>
      </c>
      <c r="C4720" s="3" t="s">
        <v>21</v>
      </c>
      <c r="D4720" s="2"/>
      <c r="E4720" s="2" t="e">
        <f t="shared" si="0"/>
        <v>#VALUE!</v>
      </c>
    </row>
    <row r="4721" spans="1:5" ht="12.75" customHeight="1" x14ac:dyDescent="0.2">
      <c r="A4721" s="3"/>
      <c r="B4721" s="3" t="s">
        <v>2</v>
      </c>
      <c r="C4721" s="3" t="s">
        <v>387</v>
      </c>
      <c r="D4721" s="2"/>
      <c r="E4721" s="2" t="e">
        <f t="shared" si="0"/>
        <v>#VALUE!</v>
      </c>
    </row>
    <row r="4722" spans="1:5" ht="12.75" customHeight="1" x14ac:dyDescent="0.2">
      <c r="A4722" s="3"/>
      <c r="B4722" s="3" t="s">
        <v>9</v>
      </c>
      <c r="C4722" s="3" t="s">
        <v>42</v>
      </c>
      <c r="D4722" s="2"/>
      <c r="E4722" s="2" t="e">
        <f t="shared" si="0"/>
        <v>#VALUE!</v>
      </c>
    </row>
    <row r="4723" spans="1:5" ht="12.75" customHeight="1" x14ac:dyDescent="0.2">
      <c r="A4723" s="3"/>
      <c r="B4723" s="3" t="s">
        <v>11</v>
      </c>
      <c r="C4723" s="3" t="s">
        <v>23</v>
      </c>
      <c r="D4723" s="2"/>
      <c r="E4723" s="2" t="e">
        <f t="shared" si="0"/>
        <v>#VALUE!</v>
      </c>
    </row>
    <row r="4724" spans="1:5" ht="12.75" customHeight="1" x14ac:dyDescent="0.2">
      <c r="A4724" s="3"/>
      <c r="B4724" s="3" t="s">
        <v>16</v>
      </c>
      <c r="C4724" s="3" t="s">
        <v>388</v>
      </c>
      <c r="D4724" s="2"/>
      <c r="E4724" s="2" t="e">
        <f t="shared" si="0"/>
        <v>#VALUE!</v>
      </c>
    </row>
    <row r="4725" spans="1:5" ht="12.75" customHeight="1" x14ac:dyDescent="0.2">
      <c r="A4725" s="3"/>
      <c r="B4725" s="3" t="s">
        <v>18</v>
      </c>
      <c r="C4725" s="4" t="s">
        <v>19</v>
      </c>
      <c r="D4725" s="2"/>
      <c r="E4725" s="2" t="e">
        <f t="shared" si="0"/>
        <v>#VALUE!</v>
      </c>
    </row>
    <row r="4726" spans="1:5" ht="12.75" customHeight="1" x14ac:dyDescent="0.2">
      <c r="A4726" s="1" t="str">
        <f>HYPERLINK("javascript:void(0)","óriás korona")</f>
        <v>óriás korona</v>
      </c>
      <c r="B4726" s="1"/>
      <c r="C4726" s="1"/>
      <c r="D4726" s="2"/>
      <c r="E4726" s="2" t="e">
        <f t="shared" si="0"/>
        <v>#VALUE!</v>
      </c>
    </row>
    <row r="4727" spans="1:5" ht="12.75" customHeight="1" x14ac:dyDescent="0.2">
      <c r="A4727" s="3"/>
      <c r="B4727" s="3" t="s">
        <v>0</v>
      </c>
      <c r="C4727" s="3" t="s">
        <v>21</v>
      </c>
      <c r="D4727" s="2"/>
      <c r="E4727" s="2" t="e">
        <f t="shared" si="0"/>
        <v>#VALUE!</v>
      </c>
    </row>
    <row r="4728" spans="1:5" ht="12.75" customHeight="1" x14ac:dyDescent="0.2">
      <c r="A4728" s="3"/>
      <c r="B4728" s="3" t="s">
        <v>2</v>
      </c>
      <c r="C4728" s="3" t="s">
        <v>458</v>
      </c>
      <c r="D4728" s="2"/>
      <c r="E4728" s="2" t="e">
        <f t="shared" si="0"/>
        <v>#VALUE!</v>
      </c>
    </row>
    <row r="4729" spans="1:5" ht="12.75" customHeight="1" x14ac:dyDescent="0.2">
      <c r="A4729" s="3"/>
      <c r="B4729" s="3" t="s">
        <v>9</v>
      </c>
      <c r="C4729" s="3" t="s">
        <v>198</v>
      </c>
      <c r="D4729" s="2"/>
      <c r="E4729" s="2" t="e">
        <f t="shared" si="0"/>
        <v>#VALUE!</v>
      </c>
    </row>
    <row r="4730" spans="1:5" ht="12.75" customHeight="1" x14ac:dyDescent="0.2">
      <c r="A4730" s="3"/>
      <c r="B4730" s="3" t="s">
        <v>11</v>
      </c>
      <c r="C4730" s="3" t="s">
        <v>186</v>
      </c>
      <c r="D4730" s="2"/>
      <c r="E4730" s="2" t="e">
        <f t="shared" si="0"/>
        <v>#VALUE!</v>
      </c>
    </row>
    <row r="4731" spans="1:5" ht="12.75" customHeight="1" x14ac:dyDescent="0.2">
      <c r="A4731" s="3"/>
      <c r="B4731" s="3" t="s">
        <v>18</v>
      </c>
      <c r="C4731" s="4" t="s">
        <v>19</v>
      </c>
      <c r="D4731" s="2"/>
      <c r="E4731" s="2" t="e">
        <f t="shared" si="0"/>
        <v>#VALUE!</v>
      </c>
    </row>
    <row r="4732" spans="1:5" ht="12.75" customHeight="1" x14ac:dyDescent="0.2">
      <c r="A4732" s="1" t="str">
        <f>HYPERLINK("javascript:void(0)","óriás patkányfej")</f>
        <v>óriás patkányfej</v>
      </c>
      <c r="B4732" s="1"/>
      <c r="C4732" s="1"/>
      <c r="D4732" s="2"/>
      <c r="E4732" s="2" t="e">
        <f t="shared" si="0"/>
        <v>#VALUE!</v>
      </c>
    </row>
    <row r="4733" spans="1:5" ht="12.75" customHeight="1" x14ac:dyDescent="0.2">
      <c r="A4733" s="3"/>
      <c r="B4733" s="3" t="s">
        <v>0</v>
      </c>
      <c r="C4733" s="3" t="s">
        <v>21</v>
      </c>
      <c r="D4733" s="2"/>
      <c r="E4733" s="2" t="e">
        <f t="shared" si="0"/>
        <v>#VALUE!</v>
      </c>
    </row>
    <row r="4734" spans="1:5" ht="12.75" customHeight="1" x14ac:dyDescent="0.2">
      <c r="A4734" s="3"/>
      <c r="B4734" s="3" t="s">
        <v>2</v>
      </c>
      <c r="C4734" s="3" t="s">
        <v>387</v>
      </c>
      <c r="D4734" s="2"/>
      <c r="E4734" s="2" t="e">
        <f t="shared" si="0"/>
        <v>#VALUE!</v>
      </c>
    </row>
    <row r="4735" spans="1:5" ht="12.75" customHeight="1" x14ac:dyDescent="0.2">
      <c r="A4735" s="3"/>
      <c r="B4735" s="3" t="s">
        <v>9</v>
      </c>
      <c r="C4735" s="3" t="s">
        <v>317</v>
      </c>
      <c r="D4735" s="2"/>
      <c r="E4735" s="2" t="e">
        <f t="shared" si="0"/>
        <v>#VALUE!</v>
      </c>
    </row>
    <row r="4736" spans="1:5" ht="12.75" customHeight="1" x14ac:dyDescent="0.2">
      <c r="A4736" s="3"/>
      <c r="B4736" s="3" t="s">
        <v>11</v>
      </c>
      <c r="C4736" s="3" t="s">
        <v>23</v>
      </c>
      <c r="D4736" s="2"/>
      <c r="E4736" s="2" t="e">
        <f t="shared" si="0"/>
        <v>#VALUE!</v>
      </c>
    </row>
    <row r="4737" spans="1:5" ht="12.75" customHeight="1" x14ac:dyDescent="0.2">
      <c r="A4737" s="3"/>
      <c r="B4737" s="3" t="s">
        <v>16</v>
      </c>
      <c r="C4737" s="3" t="s">
        <v>388</v>
      </c>
      <c r="D4737" s="2"/>
      <c r="E4737" s="2" t="e">
        <f t="shared" si="0"/>
        <v>#VALUE!</v>
      </c>
    </row>
    <row r="4738" spans="1:5" ht="12.75" customHeight="1" x14ac:dyDescent="0.2">
      <c r="A4738" s="3"/>
      <c r="B4738" s="3" t="s">
        <v>18</v>
      </c>
      <c r="C4738" s="4" t="s">
        <v>19</v>
      </c>
      <c r="D4738" s="2"/>
      <c r="E4738" s="2" t="e">
        <f t="shared" si="0"/>
        <v>#VALUE!</v>
      </c>
    </row>
    <row r="4739" spans="1:5" ht="12.75" customHeight="1" x14ac:dyDescent="0.2">
      <c r="A4739" s="1" t="str">
        <f>HYPERLINK("javascript:void(0)","öbleny")</f>
        <v>öbleny</v>
      </c>
      <c r="B4739" s="1"/>
      <c r="C4739" s="1"/>
      <c r="D4739" s="2"/>
      <c r="E4739" s="2" t="e">
        <f t="shared" si="0"/>
        <v>#VALUE!</v>
      </c>
    </row>
    <row r="4740" spans="1:5" ht="12.75" customHeight="1" x14ac:dyDescent="0.2">
      <c r="A4740" s="3"/>
      <c r="B4740" s="3" t="s">
        <v>0</v>
      </c>
      <c r="C4740" s="3" t="s">
        <v>21</v>
      </c>
      <c r="D4740" s="2"/>
      <c r="E4740" s="2" t="e">
        <f t="shared" si="0"/>
        <v>#VALUE!</v>
      </c>
    </row>
    <row r="4741" spans="1:5" ht="12.75" customHeight="1" x14ac:dyDescent="0.2">
      <c r="A4741" s="3"/>
      <c r="B4741" s="3" t="s">
        <v>2</v>
      </c>
      <c r="C4741" s="3" t="s">
        <v>458</v>
      </c>
      <c r="D4741" s="2"/>
      <c r="E4741" s="2" t="e">
        <f t="shared" si="0"/>
        <v>#VALUE!</v>
      </c>
    </row>
    <row r="4742" spans="1:5" ht="12.75" customHeight="1" x14ac:dyDescent="0.2">
      <c r="A4742" s="3"/>
      <c r="B4742" s="3" t="s">
        <v>9</v>
      </c>
      <c r="C4742" s="3" t="s">
        <v>42</v>
      </c>
      <c r="D4742" s="2"/>
      <c r="E4742" s="2" t="e">
        <f t="shared" si="0"/>
        <v>#VALUE!</v>
      </c>
    </row>
    <row r="4743" spans="1:5" ht="12.75" customHeight="1" x14ac:dyDescent="0.2">
      <c r="A4743" s="3"/>
      <c r="B4743" s="3" t="s">
        <v>11</v>
      </c>
      <c r="C4743" s="3" t="s">
        <v>685</v>
      </c>
      <c r="D4743" s="2"/>
      <c r="E4743" s="2" t="e">
        <f t="shared" si="0"/>
        <v>#VALUE!</v>
      </c>
    </row>
    <row r="4744" spans="1:5" ht="12.75" customHeight="1" x14ac:dyDescent="0.2">
      <c r="A4744" s="3"/>
      <c r="B4744" s="3" t="s">
        <v>18</v>
      </c>
      <c r="C4744" s="4" t="s">
        <v>19</v>
      </c>
      <c r="D4744" s="2"/>
      <c r="E4744" s="2" t="e">
        <f t="shared" si="0"/>
        <v>#VALUE!</v>
      </c>
    </row>
    <row r="4745" spans="1:5" ht="12.75" customHeight="1" x14ac:dyDescent="0.2">
      <c r="A4745" s="1" t="str">
        <f>HYPERLINK("javascript:void(0)","öltés")</f>
        <v>öltés</v>
      </c>
      <c r="B4745" s="1"/>
      <c r="C4745" s="1"/>
      <c r="D4745" s="2"/>
      <c r="E4745" s="2" t="e">
        <f t="shared" si="0"/>
        <v>#VALUE!</v>
      </c>
    </row>
    <row r="4746" spans="1:5" ht="12.75" customHeight="1" x14ac:dyDescent="0.2">
      <c r="A4746" s="3"/>
      <c r="B4746" s="3" t="s">
        <v>0</v>
      </c>
      <c r="C4746" s="3" t="s">
        <v>21</v>
      </c>
      <c r="D4746" s="2"/>
      <c r="E4746" s="2" t="e">
        <f t="shared" si="0"/>
        <v>#VALUE!</v>
      </c>
    </row>
    <row r="4747" spans="1:5" ht="12.75" customHeight="1" x14ac:dyDescent="0.2">
      <c r="A4747" s="3"/>
      <c r="B4747" s="3" t="s">
        <v>2</v>
      </c>
      <c r="C4747" s="3" t="s">
        <v>458</v>
      </c>
      <c r="D4747" s="2"/>
      <c r="E4747" s="2" t="e">
        <f t="shared" si="0"/>
        <v>#VALUE!</v>
      </c>
    </row>
    <row r="4748" spans="1:5" ht="12.75" customHeight="1" x14ac:dyDescent="0.2">
      <c r="A4748" s="3"/>
      <c r="B4748" s="3" t="s">
        <v>9</v>
      </c>
      <c r="C4748" s="3" t="s">
        <v>22</v>
      </c>
      <c r="D4748" s="2"/>
      <c r="E4748" s="2" t="e">
        <f t="shared" si="0"/>
        <v>#VALUE!</v>
      </c>
    </row>
    <row r="4749" spans="1:5" ht="12.75" customHeight="1" x14ac:dyDescent="0.2">
      <c r="A4749" s="3"/>
      <c r="B4749" s="3" t="s">
        <v>11</v>
      </c>
      <c r="C4749" s="3" t="s">
        <v>395</v>
      </c>
      <c r="D4749" s="2"/>
      <c r="E4749" s="2" t="e">
        <f t="shared" si="0"/>
        <v>#VALUE!</v>
      </c>
    </row>
    <row r="4750" spans="1:5" ht="12.75" customHeight="1" x14ac:dyDescent="0.2">
      <c r="A4750" s="3"/>
      <c r="B4750" s="3" t="s">
        <v>18</v>
      </c>
      <c r="C4750" s="4" t="s">
        <v>19</v>
      </c>
      <c r="D4750" s="2"/>
      <c r="E4750" s="2" t="e">
        <f t="shared" si="0"/>
        <v>#VALUE!</v>
      </c>
    </row>
    <row r="4751" spans="1:5" ht="12.75" customHeight="1" x14ac:dyDescent="0.2">
      <c r="A4751" s="1" t="str">
        <f>HYPERLINK("javascript:void(0)","ördögpihe")</f>
        <v>ördögpihe</v>
      </c>
      <c r="B4751" s="1"/>
      <c r="C4751" s="1"/>
      <c r="D4751" s="2"/>
      <c r="E4751" s="2" t="e">
        <f t="shared" si="0"/>
        <v>#VALUE!</v>
      </c>
    </row>
    <row r="4752" spans="1:5" ht="12.75" customHeight="1" x14ac:dyDescent="0.2">
      <c r="A4752" s="3"/>
      <c r="B4752" s="3" t="s">
        <v>0</v>
      </c>
      <c r="C4752" s="3" t="s">
        <v>21</v>
      </c>
      <c r="D4752" s="2"/>
      <c r="E4752" s="2" t="e">
        <f t="shared" si="0"/>
        <v>#VALUE!</v>
      </c>
    </row>
    <row r="4753" spans="1:5" ht="12.75" customHeight="1" x14ac:dyDescent="0.2">
      <c r="A4753" s="3"/>
      <c r="B4753" s="3" t="s">
        <v>2</v>
      </c>
      <c r="C4753" s="3" t="s">
        <v>458</v>
      </c>
      <c r="D4753" s="2"/>
      <c r="E4753" s="2" t="e">
        <f t="shared" si="0"/>
        <v>#VALUE!</v>
      </c>
    </row>
    <row r="4754" spans="1:5" ht="12.75" customHeight="1" x14ac:dyDescent="0.2">
      <c r="A4754" s="3"/>
      <c r="B4754" s="3" t="s">
        <v>9</v>
      </c>
      <c r="C4754" s="3" t="s">
        <v>1048</v>
      </c>
      <c r="D4754" s="2"/>
      <c r="E4754" s="2" t="e">
        <f t="shared" si="0"/>
        <v>#VALUE!</v>
      </c>
    </row>
    <row r="4755" spans="1:5" ht="12.75" customHeight="1" x14ac:dyDescent="0.2">
      <c r="A4755" s="3"/>
      <c r="B4755" s="3" t="s">
        <v>11</v>
      </c>
      <c r="C4755" s="3" t="s">
        <v>457</v>
      </c>
      <c r="D4755" s="2"/>
      <c r="E4755" s="2" t="e">
        <f t="shared" si="0"/>
        <v>#VALUE!</v>
      </c>
    </row>
    <row r="4756" spans="1:5" ht="12.75" customHeight="1" x14ac:dyDescent="0.2">
      <c r="A4756" s="3"/>
      <c r="B4756" s="3" t="s">
        <v>18</v>
      </c>
      <c r="C4756" s="4" t="s">
        <v>19</v>
      </c>
      <c r="D4756" s="2"/>
      <c r="E4756" s="2" t="e">
        <f t="shared" si="0"/>
        <v>#VALUE!</v>
      </c>
    </row>
    <row r="4757" spans="1:5" ht="12.75" customHeight="1" x14ac:dyDescent="0.2">
      <c r="A4757" s="1" t="str">
        <f>HYPERLINK("javascript:void(0)","úszó")</f>
        <v>úszó</v>
      </c>
      <c r="B4757" s="1"/>
      <c r="C4757" s="1"/>
      <c r="D4757" s="2"/>
      <c r="E4757" s="2" t="e">
        <f t="shared" si="0"/>
        <v>#VALUE!</v>
      </c>
    </row>
    <row r="4758" spans="1:5" ht="12.75" customHeight="1" x14ac:dyDescent="0.2">
      <c r="A4758" s="3"/>
      <c r="B4758" s="3" t="s">
        <v>0</v>
      </c>
      <c r="C4758" s="3" t="s">
        <v>21</v>
      </c>
      <c r="D4758" s="2"/>
      <c r="E4758" s="2" t="e">
        <f t="shared" si="0"/>
        <v>#VALUE!</v>
      </c>
    </row>
    <row r="4759" spans="1:5" ht="12.75" customHeight="1" x14ac:dyDescent="0.2">
      <c r="A4759" s="3"/>
      <c r="B4759" s="3" t="s">
        <v>2</v>
      </c>
      <c r="C4759" s="3" t="s">
        <v>458</v>
      </c>
      <c r="D4759" s="2"/>
      <c r="E4759" s="2" t="e">
        <f t="shared" si="0"/>
        <v>#VALUE!</v>
      </c>
    </row>
    <row r="4760" spans="1:5" ht="12.75" customHeight="1" x14ac:dyDescent="0.2">
      <c r="A4760" s="3"/>
      <c r="B4760" s="3" t="s">
        <v>9</v>
      </c>
      <c r="C4760" s="3" t="s">
        <v>1608</v>
      </c>
      <c r="D4760" s="2"/>
      <c r="E4760" s="2" t="e">
        <f t="shared" si="0"/>
        <v>#VALUE!</v>
      </c>
    </row>
    <row r="4761" spans="1:5" ht="12.75" customHeight="1" x14ac:dyDescent="0.2">
      <c r="A4761" s="3"/>
      <c r="B4761" s="3" t="s">
        <v>11</v>
      </c>
      <c r="C4761" s="3" t="s">
        <v>1609</v>
      </c>
      <c r="D4761" s="2"/>
      <c r="E4761" s="2" t="e">
        <f t="shared" si="0"/>
        <v>#VALUE!</v>
      </c>
    </row>
    <row r="4762" spans="1:5" ht="12.75" customHeight="1" x14ac:dyDescent="0.2">
      <c r="A4762" s="3"/>
      <c r="B4762" s="3" t="s">
        <v>18</v>
      </c>
      <c r="C4762" s="4" t="s">
        <v>19</v>
      </c>
      <c r="D4762" s="2"/>
      <c r="E4762" s="2" t="e">
        <f t="shared" si="0"/>
        <v>#VALUE!</v>
      </c>
    </row>
    <row r="4763" spans="1:5" ht="12.75" customHeight="1" x14ac:dyDescent="0.2">
      <c r="A4763" s="1" t="str">
        <f>HYPERLINK("javascript:void(0)","üres üveg")</f>
        <v>üres üveg</v>
      </c>
      <c r="B4763" s="1"/>
      <c r="C4763" s="1"/>
      <c r="D4763" s="2"/>
      <c r="E4763" s="2" t="e">
        <f t="shared" si="0"/>
        <v>#VALUE!</v>
      </c>
    </row>
    <row r="4764" spans="1:5" ht="12.75" customHeight="1" x14ac:dyDescent="0.2">
      <c r="A4764" s="3"/>
      <c r="B4764" s="3" t="s">
        <v>0</v>
      </c>
      <c r="C4764" s="3" t="s">
        <v>21</v>
      </c>
      <c r="D4764" s="2"/>
      <c r="E4764" s="2" t="e">
        <f t="shared" si="0"/>
        <v>#VALUE!</v>
      </c>
    </row>
    <row r="4765" spans="1:5" ht="12.75" customHeight="1" x14ac:dyDescent="0.2">
      <c r="A4765" s="3"/>
      <c r="B4765" s="3" t="s">
        <v>2</v>
      </c>
      <c r="C4765" s="3" t="s">
        <v>387</v>
      </c>
      <c r="D4765" s="2"/>
      <c r="E4765" s="2" t="e">
        <f t="shared" si="0"/>
        <v>#VALUE!</v>
      </c>
    </row>
    <row r="4766" spans="1:5" ht="12.75" customHeight="1" x14ac:dyDescent="0.2">
      <c r="A4766" s="3"/>
      <c r="B4766" s="3" t="s">
        <v>9</v>
      </c>
      <c r="C4766" s="3" t="s">
        <v>22</v>
      </c>
      <c r="D4766" s="2"/>
      <c r="E4766" s="2" t="e">
        <f t="shared" si="0"/>
        <v>#VALUE!</v>
      </c>
    </row>
    <row r="4767" spans="1:5" ht="12.75" customHeight="1" x14ac:dyDescent="0.2">
      <c r="A4767" s="3"/>
      <c r="B4767" s="3" t="s">
        <v>11</v>
      </c>
      <c r="C4767" s="3" t="s">
        <v>23</v>
      </c>
      <c r="D4767" s="2"/>
      <c r="E4767" s="2" t="e">
        <f t="shared" si="0"/>
        <v>#VALUE!</v>
      </c>
    </row>
    <row r="4768" spans="1:5" ht="12.75" customHeight="1" x14ac:dyDescent="0.2">
      <c r="A4768" s="3"/>
      <c r="B4768" s="3" t="s">
        <v>16</v>
      </c>
      <c r="C4768" s="3" t="s">
        <v>388</v>
      </c>
      <c r="D4768" s="2"/>
      <c r="E4768" s="2" t="e">
        <f t="shared" si="0"/>
        <v>#VALUE!</v>
      </c>
    </row>
    <row r="4769" spans="1:5" ht="12.75" customHeight="1" x14ac:dyDescent="0.2">
      <c r="A4769" s="3"/>
      <c r="B4769" s="3" t="s">
        <v>18</v>
      </c>
      <c r="C4769" s="4" t="s">
        <v>19</v>
      </c>
      <c r="D4769" s="2"/>
      <c r="E4769" s="2" t="e">
        <f t="shared" si="0"/>
        <v>#VALUE!</v>
      </c>
    </row>
    <row r="4770" spans="1:5" ht="12.75" customHeight="1" x14ac:dyDescent="0.2">
      <c r="A4770" s="1" t="str">
        <f>HYPERLINK("javascript:void(0)","üvegcserép")</f>
        <v>üvegcserép</v>
      </c>
      <c r="B4770" s="1"/>
      <c r="C4770" s="1"/>
      <c r="D4770" s="2"/>
      <c r="E4770" s="2" t="e">
        <f t="shared" si="0"/>
        <v>#VALUE!</v>
      </c>
    </row>
    <row r="4771" spans="1:5" ht="12.75" customHeight="1" x14ac:dyDescent="0.2">
      <c r="A4771" s="3"/>
      <c r="B4771" s="3" t="s">
        <v>0</v>
      </c>
      <c r="C4771" s="3" t="s">
        <v>21</v>
      </c>
      <c r="D4771" s="2"/>
      <c r="E4771" s="2" t="e">
        <f t="shared" si="0"/>
        <v>#VALUE!</v>
      </c>
    </row>
    <row r="4772" spans="1:5" ht="12.75" customHeight="1" x14ac:dyDescent="0.2">
      <c r="A4772" s="3"/>
      <c r="B4772" s="3" t="s">
        <v>2</v>
      </c>
      <c r="C4772" s="3" t="s">
        <v>458</v>
      </c>
      <c r="D4772" s="2"/>
      <c r="E4772" s="2" t="e">
        <f t="shared" si="0"/>
        <v>#VALUE!</v>
      </c>
    </row>
    <row r="4773" spans="1:5" ht="12.75" customHeight="1" x14ac:dyDescent="0.2">
      <c r="A4773" s="3"/>
      <c r="B4773" s="3" t="s">
        <v>9</v>
      </c>
      <c r="C4773" s="3" t="s">
        <v>1666</v>
      </c>
      <c r="D4773" s="2"/>
      <c r="E4773" s="2" t="e">
        <f t="shared" si="0"/>
        <v>#VALUE!</v>
      </c>
    </row>
    <row r="4774" spans="1:5" ht="12.75" customHeight="1" x14ac:dyDescent="0.2">
      <c r="A4774" s="3"/>
      <c r="B4774" s="3" t="s">
        <v>11</v>
      </c>
      <c r="C4774" s="3" t="s">
        <v>1667</v>
      </c>
      <c r="D4774" s="2"/>
      <c r="E4774" s="2" t="e">
        <f t="shared" si="0"/>
        <v>#VALUE!</v>
      </c>
    </row>
    <row r="4775" spans="1:5" ht="12.75" customHeight="1" x14ac:dyDescent="0.2">
      <c r="A4775" s="3"/>
      <c r="B4775" s="3" t="s">
        <v>18</v>
      </c>
      <c r="C4775" s="4" t="s">
        <v>19</v>
      </c>
      <c r="D4775" s="2"/>
      <c r="E4775" s="2" t="e">
        <f t="shared" si="0"/>
        <v>#VALUE!</v>
      </c>
    </row>
    <row r="4776" spans="1:5" ht="12.75" customHeight="1" x14ac:dyDescent="0.2">
      <c r="A4776" s="1" t="str">
        <f>HYPERLINK("javascript:void(0)","üveggömb")</f>
        <v>üveggömb</v>
      </c>
      <c r="B4776" s="1"/>
      <c r="C4776" s="1"/>
      <c r="D4776" s="2"/>
      <c r="E4776" s="2" t="e">
        <f t="shared" si="0"/>
        <v>#VALUE!</v>
      </c>
    </row>
    <row r="4777" spans="1:5" ht="12.75" customHeight="1" x14ac:dyDescent="0.2">
      <c r="A4777" s="3"/>
      <c r="B4777" s="3" t="s">
        <v>0</v>
      </c>
      <c r="C4777" s="3" t="s">
        <v>21</v>
      </c>
      <c r="D4777" s="2"/>
      <c r="E4777" s="2" t="e">
        <f t="shared" si="0"/>
        <v>#VALUE!</v>
      </c>
    </row>
    <row r="4778" spans="1:5" ht="12.75" customHeight="1" x14ac:dyDescent="0.2">
      <c r="A4778" s="3"/>
      <c r="B4778" s="3" t="s">
        <v>2</v>
      </c>
      <c r="C4778" s="3" t="s">
        <v>387</v>
      </c>
      <c r="D4778" s="2"/>
      <c r="E4778" s="2" t="e">
        <f t="shared" si="0"/>
        <v>#VALUE!</v>
      </c>
    </row>
    <row r="4779" spans="1:5" ht="12.75" customHeight="1" x14ac:dyDescent="0.2">
      <c r="A4779" s="3"/>
      <c r="B4779" s="3" t="s">
        <v>9</v>
      </c>
      <c r="C4779" s="3" t="s">
        <v>10</v>
      </c>
      <c r="D4779" s="2"/>
      <c r="E4779" s="2" t="e">
        <f t="shared" si="0"/>
        <v>#VALUE!</v>
      </c>
    </row>
    <row r="4780" spans="1:5" ht="12.75" customHeight="1" x14ac:dyDescent="0.2">
      <c r="A4780" s="3"/>
      <c r="B4780" s="3" t="s">
        <v>11</v>
      </c>
      <c r="C4780" s="3" t="s">
        <v>23</v>
      </c>
      <c r="D4780" s="2"/>
      <c r="E4780" s="2" t="e">
        <f t="shared" si="0"/>
        <v>#VALUE!</v>
      </c>
    </row>
    <row r="4781" spans="1:5" ht="12.75" customHeight="1" x14ac:dyDescent="0.2">
      <c r="A4781" s="3"/>
      <c r="B4781" s="3" t="s">
        <v>16</v>
      </c>
      <c r="C4781" s="3" t="s">
        <v>388</v>
      </c>
      <c r="D4781" s="2"/>
      <c r="E4781" s="2" t="e">
        <f t="shared" si="0"/>
        <v>#VALUE!</v>
      </c>
    </row>
    <row r="4782" spans="1:5" ht="12.75" customHeight="1" x14ac:dyDescent="0.2">
      <c r="A4782" s="3"/>
      <c r="B4782" s="3" t="s">
        <v>18</v>
      </c>
      <c r="C4782" s="4" t="s">
        <v>19</v>
      </c>
      <c r="D4782" s="2"/>
      <c r="E4782" s="2" t="e">
        <f t="shared" si="0"/>
        <v>#VALUE!</v>
      </c>
    </row>
    <row r="4783" spans="1:5" ht="12.75" customHeight="1" x14ac:dyDescent="0.2">
      <c r="A4783" s="1" t="str">
        <f>HYPERLINK("javascript:void(0)","őrjöngés")</f>
        <v>őrjöngés</v>
      </c>
      <c r="B4783" s="1"/>
      <c r="C4783" s="1"/>
      <c r="D4783" s="2"/>
      <c r="E4783" s="2" t="e">
        <f t="shared" si="0"/>
        <v>#VALUE!</v>
      </c>
    </row>
    <row r="4784" spans="1:5" ht="12.75" customHeight="1" x14ac:dyDescent="0.2">
      <c r="A4784" s="3"/>
      <c r="B4784" s="3" t="s">
        <v>0</v>
      </c>
      <c r="C4784" s="3" t="s">
        <v>21</v>
      </c>
      <c r="D4784" s="2"/>
      <c r="E4784" s="2" t="e">
        <f t="shared" si="0"/>
        <v>#VALUE!</v>
      </c>
    </row>
    <row r="4785" spans="1:5" ht="12.75" customHeight="1" x14ac:dyDescent="0.2">
      <c r="A4785" s="3"/>
      <c r="B4785" s="3" t="s">
        <v>2</v>
      </c>
      <c r="C4785" s="3" t="s">
        <v>458</v>
      </c>
      <c r="D4785" s="2"/>
      <c r="E4785" s="2" t="e">
        <f t="shared" si="0"/>
        <v>#VALUE!</v>
      </c>
    </row>
    <row r="4786" spans="1:5" ht="12.75" customHeight="1" x14ac:dyDescent="0.2">
      <c r="A4786" s="3"/>
      <c r="B4786" s="3" t="s">
        <v>9</v>
      </c>
      <c r="C4786" s="3" t="s">
        <v>93</v>
      </c>
      <c r="D4786" s="2"/>
      <c r="E4786" s="2" t="e">
        <f t="shared" si="0"/>
        <v>#VALUE!</v>
      </c>
    </row>
    <row r="4787" spans="1:5" ht="12.75" customHeight="1" x14ac:dyDescent="0.2">
      <c r="A4787" s="3"/>
      <c r="B4787" s="3" t="s">
        <v>11</v>
      </c>
      <c r="C4787" s="3" t="s">
        <v>1031</v>
      </c>
      <c r="D4787" s="2"/>
      <c r="E4787" s="2" t="e">
        <f t="shared" si="0"/>
        <v>#VALUE!</v>
      </c>
    </row>
    <row r="4788" spans="1:5" ht="12.75" customHeight="1" x14ac:dyDescent="0.2">
      <c r="A4788" s="3"/>
      <c r="B4788" s="3" t="s">
        <v>18</v>
      </c>
      <c r="C4788" s="4" t="s">
        <v>19</v>
      </c>
      <c r="D4788" s="2"/>
      <c r="E4788" s="2" t="e">
        <f t="shared" si="0"/>
        <v>#VALUE!</v>
      </c>
    </row>
    <row r="4789" spans="1:5" ht="12.75" customHeight="1" x14ac:dyDescent="0.2">
      <c r="A4789" s="1" t="str">
        <f>HYPERLINK("javascript:void(0)","ősi ereklye")</f>
        <v>ősi ereklye</v>
      </c>
      <c r="B4789" s="1"/>
      <c r="C4789" s="1"/>
      <c r="D4789" s="2"/>
      <c r="E4789" s="2" t="e">
        <f t="shared" si="0"/>
        <v>#VALUE!</v>
      </c>
    </row>
    <row r="4790" spans="1:5" ht="12.75" customHeight="1" x14ac:dyDescent="0.2">
      <c r="A4790" s="3"/>
      <c r="B4790" s="3" t="s">
        <v>0</v>
      </c>
      <c r="C4790" s="3" t="s">
        <v>21</v>
      </c>
      <c r="D4790" s="2"/>
      <c r="E4790" s="2" t="e">
        <f t="shared" si="0"/>
        <v>#VALUE!</v>
      </c>
    </row>
    <row r="4791" spans="1:5" ht="12.75" customHeight="1" x14ac:dyDescent="0.2">
      <c r="A4791" s="3"/>
      <c r="B4791" s="3" t="s">
        <v>2</v>
      </c>
      <c r="C4791" s="3" t="s">
        <v>387</v>
      </c>
      <c r="D4791" s="2"/>
      <c r="E4791" s="2" t="e">
        <f t="shared" si="0"/>
        <v>#VALUE!</v>
      </c>
    </row>
    <row r="4792" spans="1:5" ht="12.75" customHeight="1" x14ac:dyDescent="0.2">
      <c r="A4792" s="3"/>
      <c r="B4792" s="3" t="s">
        <v>9</v>
      </c>
      <c r="C4792" s="3" t="s">
        <v>42</v>
      </c>
      <c r="D4792" s="2"/>
      <c r="E4792" s="2" t="e">
        <f t="shared" si="0"/>
        <v>#VALUE!</v>
      </c>
    </row>
    <row r="4793" spans="1:5" ht="12.75" customHeight="1" x14ac:dyDescent="0.2">
      <c r="A4793" s="3"/>
      <c r="B4793" s="3" t="s">
        <v>11</v>
      </c>
      <c r="C4793" s="3" t="s">
        <v>23</v>
      </c>
      <c r="D4793" s="2"/>
      <c r="E4793" s="2" t="e">
        <f t="shared" si="0"/>
        <v>#VALUE!</v>
      </c>
    </row>
    <row r="4794" spans="1:5" ht="12.75" customHeight="1" x14ac:dyDescent="0.2">
      <c r="A4794" s="3"/>
      <c r="B4794" s="3" t="s">
        <v>16</v>
      </c>
      <c r="C4794" s="3" t="s">
        <v>388</v>
      </c>
      <c r="D4794" s="2"/>
      <c r="E4794" s="2" t="e">
        <f t="shared" si="0"/>
        <v>#VALUE!</v>
      </c>
    </row>
    <row r="4795" spans="1:5" ht="12.75" customHeight="1" x14ac:dyDescent="0.2">
      <c r="A4795" s="3"/>
      <c r="B4795" s="3" t="s">
        <v>18</v>
      </c>
      <c r="C4795" s="4" t="s">
        <v>19</v>
      </c>
      <c r="D4795" s="2"/>
      <c r="E4795" s="2" t="e">
        <f t="shared" si="0"/>
        <v>#VALUE!</v>
      </c>
    </row>
    <row r="4796" spans="1:5" ht="12.75" customHeight="1" x14ac:dyDescent="0.2">
      <c r="A4796" s="1" t="str">
        <f>HYPERLINK("javascript:void(0)","űrlap")</f>
        <v>űrlap</v>
      </c>
      <c r="B4796" s="1"/>
      <c r="C4796" s="1"/>
      <c r="D4796" s="2"/>
      <c r="E4796" s="2" t="e">
        <f t="shared" si="0"/>
        <v>#VALUE!</v>
      </c>
    </row>
    <row r="4797" spans="1:5" ht="12.75" customHeight="1" x14ac:dyDescent="0.2">
      <c r="A4797" s="3"/>
      <c r="B4797" s="3" t="s">
        <v>0</v>
      </c>
      <c r="C4797" s="3" t="s">
        <v>21</v>
      </c>
      <c r="D4797" s="2"/>
      <c r="E4797" s="2" t="e">
        <f t="shared" si="0"/>
        <v>#VALUE!</v>
      </c>
    </row>
    <row r="4798" spans="1:5" ht="12.75" customHeight="1" x14ac:dyDescent="0.2">
      <c r="A4798" s="3"/>
      <c r="B4798" s="3" t="s">
        <v>2</v>
      </c>
      <c r="C4798" s="3" t="s">
        <v>458</v>
      </c>
      <c r="D4798" s="2"/>
      <c r="E4798" s="2" t="e">
        <f t="shared" si="0"/>
        <v>#VALUE!</v>
      </c>
    </row>
    <row r="4799" spans="1:5" ht="12.75" customHeight="1" x14ac:dyDescent="0.2">
      <c r="A4799" s="3"/>
      <c r="B4799" s="3" t="s">
        <v>9</v>
      </c>
      <c r="C4799" s="3" t="s">
        <v>1825</v>
      </c>
      <c r="D4799" s="2"/>
      <c r="E4799" s="2" t="e">
        <f t="shared" si="0"/>
        <v>#VALUE!</v>
      </c>
    </row>
    <row r="4800" spans="1:5" ht="12.75" customHeight="1" x14ac:dyDescent="0.2">
      <c r="A4800" s="3"/>
      <c r="B4800" s="3" t="s">
        <v>11</v>
      </c>
      <c r="C4800" s="3" t="s">
        <v>1084</v>
      </c>
      <c r="D4800" s="2"/>
      <c r="E4800" s="2" t="e">
        <f t="shared" si="0"/>
        <v>#VALUE!</v>
      </c>
    </row>
    <row r="4801" spans="1:5" ht="12.75" customHeight="1" x14ac:dyDescent="0.2">
      <c r="A4801" s="3"/>
      <c r="B4801" s="3" t="s">
        <v>18</v>
      </c>
      <c r="C4801" s="4" t="s">
        <v>19</v>
      </c>
      <c r="D4801" s="2"/>
      <c r="E4801" s="2" t="e">
        <f t="shared" si="0"/>
        <v>#VALUE!</v>
      </c>
    </row>
    <row r="4802" spans="1:5" ht="12.75" customHeight="1" x14ac:dyDescent="0.2">
      <c r="A4802" s="3"/>
      <c r="B4802" s="2"/>
      <c r="C4802" s="2"/>
      <c r="D4802" s="2"/>
      <c r="E480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36"/>
  <sheetViews>
    <sheetView topLeftCell="A681" workbookViewId="0">
      <selection activeCell="D690" sqref="D690"/>
    </sheetView>
  </sheetViews>
  <sheetFormatPr defaultColWidth="14.42578125" defaultRowHeight="15" customHeight="1" x14ac:dyDescent="0.2"/>
  <cols>
    <col min="1" max="1" width="18.140625" customWidth="1"/>
    <col min="2" max="2" width="12.85546875" customWidth="1"/>
    <col min="3" max="3" width="9.140625" customWidth="1"/>
    <col min="4" max="4" width="21.7109375" customWidth="1"/>
    <col min="5" max="26" width="8" customWidth="1"/>
  </cols>
  <sheetData>
    <row r="1" spans="1:4" ht="12.75" customHeight="1" x14ac:dyDescent="0.2">
      <c r="A1" s="22" t="str">
        <f>HYPERLINK("javascript:void(0)","bot")</f>
        <v>bot</v>
      </c>
      <c r="B1" s="21"/>
      <c r="C1" s="21"/>
      <c r="D1" s="2"/>
    </row>
    <row r="2" spans="1:4" ht="12.75" customHeight="1" x14ac:dyDescent="0.2">
      <c r="A2" s="20"/>
      <c r="B2" s="2"/>
      <c r="C2" s="2"/>
      <c r="D2" s="2"/>
    </row>
    <row r="3" spans="1:4" ht="12.75" customHeight="1" x14ac:dyDescent="0.2">
      <c r="A3" s="21"/>
      <c r="B3" s="3" t="s">
        <v>0</v>
      </c>
      <c r="C3" s="3" t="s">
        <v>1</v>
      </c>
      <c r="D3" s="2"/>
    </row>
    <row r="4" spans="1:4" ht="12.75" customHeight="1" x14ac:dyDescent="0.2">
      <c r="A4" s="21"/>
      <c r="B4" s="3" t="s">
        <v>2</v>
      </c>
      <c r="C4" s="3" t="s">
        <v>122</v>
      </c>
      <c r="D4" s="2"/>
    </row>
    <row r="5" spans="1:4" ht="12.75" customHeight="1" x14ac:dyDescent="0.2">
      <c r="A5" s="21"/>
      <c r="B5" s="3" t="s">
        <v>4</v>
      </c>
      <c r="C5" s="3" t="s">
        <v>26</v>
      </c>
      <c r="D5" s="2"/>
    </row>
    <row r="6" spans="1:4" ht="12.75" customHeight="1" x14ac:dyDescent="0.2">
      <c r="A6" s="21"/>
      <c r="B6" s="3" t="s">
        <v>6</v>
      </c>
      <c r="C6" s="3" t="s">
        <v>123</v>
      </c>
      <c r="D6" s="2"/>
    </row>
    <row r="7" spans="1:4" ht="12.75" customHeight="1" x14ac:dyDescent="0.2">
      <c r="A7" s="21"/>
      <c r="B7" s="3" t="s">
        <v>8</v>
      </c>
      <c r="C7" s="3" t="s">
        <v>26</v>
      </c>
      <c r="D7" s="2"/>
    </row>
    <row r="8" spans="1:4" ht="12.75" customHeight="1" x14ac:dyDescent="0.2">
      <c r="A8" s="21"/>
      <c r="B8" s="3" t="s">
        <v>9</v>
      </c>
      <c r="C8" s="3" t="s">
        <v>124</v>
      </c>
      <c r="D8" s="2"/>
    </row>
    <row r="9" spans="1:4" ht="12.75" customHeight="1" x14ac:dyDescent="0.2">
      <c r="A9" s="21"/>
      <c r="B9" s="3" t="s">
        <v>11</v>
      </c>
      <c r="C9" s="3" t="s">
        <v>125</v>
      </c>
      <c r="D9" s="2"/>
    </row>
    <row r="10" spans="1:4" ht="12.75" customHeight="1" x14ac:dyDescent="0.2">
      <c r="A10" s="21"/>
      <c r="B10" s="3" t="s">
        <v>13</v>
      </c>
      <c r="C10" s="3" t="s">
        <v>14</v>
      </c>
      <c r="D10" s="2"/>
    </row>
    <row r="11" spans="1:4" ht="12.75" customHeight="1" x14ac:dyDescent="0.2">
      <c r="A11" s="21"/>
      <c r="B11" s="3" t="s">
        <v>15</v>
      </c>
      <c r="C11" s="3" t="s">
        <v>14</v>
      </c>
      <c r="D11" s="2"/>
    </row>
    <row r="12" spans="1:4" ht="12.75" customHeight="1" x14ac:dyDescent="0.2">
      <c r="A12" s="21"/>
      <c r="B12" s="3" t="s">
        <v>16</v>
      </c>
      <c r="C12" s="3"/>
      <c r="D12" s="2"/>
    </row>
    <row r="13" spans="1:4" ht="12.75" customHeight="1" x14ac:dyDescent="0.2">
      <c r="A13" s="21"/>
      <c r="B13" s="3" t="s">
        <v>17</v>
      </c>
      <c r="C13" s="3"/>
      <c r="D13" s="2"/>
    </row>
    <row r="14" spans="1:4" ht="12.75" customHeight="1" x14ac:dyDescent="0.2">
      <c r="A14" s="21"/>
      <c r="B14" s="3" t="s">
        <v>18</v>
      </c>
      <c r="C14" s="4" t="s">
        <v>19</v>
      </c>
      <c r="D14" s="2"/>
    </row>
    <row r="15" spans="1:4" ht="12.75" customHeight="1" x14ac:dyDescent="0.2">
      <c r="A15" s="5"/>
      <c r="B15" s="2"/>
      <c r="C15" s="2"/>
      <c r="D15" s="2"/>
    </row>
    <row r="16" spans="1:4" ht="12.75" customHeight="1" x14ac:dyDescent="0.2">
      <c r="A16" s="22" t="str">
        <f>HYPERLINK("javascript:void(0)","törpe csákány")</f>
        <v>törpe csákány</v>
      </c>
      <c r="B16" s="21"/>
      <c r="C16" s="21"/>
      <c r="D16" s="2"/>
    </row>
    <row r="17" spans="1:4" ht="12.75" customHeight="1" x14ac:dyDescent="0.2">
      <c r="A17" s="20"/>
      <c r="B17" s="2"/>
      <c r="C17" s="2"/>
      <c r="D17" s="2"/>
    </row>
    <row r="18" spans="1:4" ht="12.75" customHeight="1" x14ac:dyDescent="0.2">
      <c r="A18" s="21"/>
      <c r="B18" s="3" t="s">
        <v>0</v>
      </c>
      <c r="C18" s="3" t="s">
        <v>1</v>
      </c>
      <c r="D18" s="2"/>
    </row>
    <row r="19" spans="1:4" ht="12.75" customHeight="1" x14ac:dyDescent="0.2">
      <c r="A19" s="21"/>
      <c r="B19" s="3" t="s">
        <v>2</v>
      </c>
      <c r="C19" s="3" t="s">
        <v>122</v>
      </c>
      <c r="D19" s="2"/>
    </row>
    <row r="20" spans="1:4" ht="12.75" customHeight="1" x14ac:dyDescent="0.2">
      <c r="A20" s="21"/>
      <c r="B20" s="3" t="s">
        <v>4</v>
      </c>
      <c r="C20" s="3" t="s">
        <v>33</v>
      </c>
      <c r="D20" s="2"/>
    </row>
    <row r="21" spans="1:4" ht="12.75" customHeight="1" x14ac:dyDescent="0.2">
      <c r="A21" s="21"/>
      <c r="B21" s="3" t="s">
        <v>6</v>
      </c>
      <c r="C21" s="3" t="s">
        <v>5</v>
      </c>
      <c r="D21" s="2"/>
    </row>
    <row r="22" spans="1:4" ht="12.75" customHeight="1" x14ac:dyDescent="0.2">
      <c r="A22" s="21"/>
      <c r="B22" s="3" t="s">
        <v>8</v>
      </c>
      <c r="C22" s="3" t="s">
        <v>33</v>
      </c>
      <c r="D22" s="2"/>
    </row>
    <row r="23" spans="1:4" ht="12.75" customHeight="1" x14ac:dyDescent="0.2">
      <c r="A23" s="21"/>
      <c r="B23" s="3" t="s">
        <v>9</v>
      </c>
      <c r="C23" s="3" t="s">
        <v>126</v>
      </c>
      <c r="D23" s="2"/>
    </row>
    <row r="24" spans="1:4" ht="12.75" customHeight="1" x14ac:dyDescent="0.2">
      <c r="A24" s="21"/>
      <c r="B24" s="3" t="s">
        <v>11</v>
      </c>
      <c r="C24" s="3" t="s">
        <v>31</v>
      </c>
      <c r="D24" s="2"/>
    </row>
    <row r="25" spans="1:4" ht="12.75" customHeight="1" x14ac:dyDescent="0.2">
      <c r="A25" s="21"/>
      <c r="B25" s="3" t="s">
        <v>13</v>
      </c>
      <c r="C25" s="3" t="s">
        <v>14</v>
      </c>
      <c r="D25" s="2"/>
    </row>
    <row r="26" spans="1:4" ht="12.75" customHeight="1" x14ac:dyDescent="0.2">
      <c r="A26" s="21"/>
      <c r="B26" s="3" t="s">
        <v>15</v>
      </c>
      <c r="C26" s="3" t="s">
        <v>14</v>
      </c>
      <c r="D26" s="2"/>
    </row>
    <row r="27" spans="1:4" ht="12.75" customHeight="1" x14ac:dyDescent="0.2">
      <c r="A27" s="21"/>
      <c r="B27" s="3" t="s">
        <v>16</v>
      </c>
      <c r="C27" s="3"/>
      <c r="D27" s="2"/>
    </row>
    <row r="28" spans="1:4" ht="12.75" customHeight="1" x14ac:dyDescent="0.2">
      <c r="A28" s="21"/>
      <c r="B28" s="3" t="s">
        <v>17</v>
      </c>
      <c r="C28" s="3"/>
      <c r="D28" s="2"/>
    </row>
    <row r="29" spans="1:4" ht="12.75" customHeight="1" x14ac:dyDescent="0.2">
      <c r="A29" s="21"/>
      <c r="B29" s="3" t="s">
        <v>18</v>
      </c>
      <c r="C29" s="4" t="s">
        <v>19</v>
      </c>
      <c r="D29" s="2"/>
    </row>
    <row r="30" spans="1:4" ht="12.75" customHeight="1" x14ac:dyDescent="0.2">
      <c r="A30" s="5"/>
      <c r="B30" s="2"/>
      <c r="C30" s="2"/>
      <c r="D30" s="2"/>
    </row>
    <row r="31" spans="1:4" ht="12.75" customHeight="1" x14ac:dyDescent="0.2">
      <c r="A31" s="22" t="str">
        <f>HYPERLINK("javascript:void(0)","husáng")</f>
        <v>husáng</v>
      </c>
      <c r="B31" s="21"/>
      <c r="C31" s="21"/>
      <c r="D31" s="2"/>
    </row>
    <row r="32" spans="1:4" ht="12.75" customHeight="1" x14ac:dyDescent="0.2">
      <c r="A32" s="20"/>
      <c r="B32" s="2"/>
      <c r="C32" s="2"/>
      <c r="D32" s="2"/>
    </row>
    <row r="33" spans="1:4" ht="12.75" customHeight="1" x14ac:dyDescent="0.2">
      <c r="A33" s="21"/>
      <c r="B33" s="3" t="s">
        <v>0</v>
      </c>
      <c r="C33" s="3" t="s">
        <v>1</v>
      </c>
      <c r="D33" s="2"/>
    </row>
    <row r="34" spans="1:4" ht="12.75" customHeight="1" x14ac:dyDescent="0.2">
      <c r="A34" s="21"/>
      <c r="B34" s="3" t="s">
        <v>2</v>
      </c>
      <c r="C34" s="3" t="s">
        <v>122</v>
      </c>
      <c r="D34" s="2"/>
    </row>
    <row r="35" spans="1:4" ht="12.75" customHeight="1" x14ac:dyDescent="0.2">
      <c r="A35" s="21"/>
      <c r="B35" s="3" t="s">
        <v>4</v>
      </c>
      <c r="C35" s="3" t="s">
        <v>128</v>
      </c>
      <c r="D35" s="2"/>
    </row>
    <row r="36" spans="1:4" ht="12.75" customHeight="1" x14ac:dyDescent="0.2">
      <c r="A36" s="21"/>
      <c r="B36" s="3" t="s">
        <v>6</v>
      </c>
      <c r="C36" s="3" t="s">
        <v>26</v>
      </c>
      <c r="D36" s="2"/>
    </row>
    <row r="37" spans="1:4" ht="12.75" customHeight="1" x14ac:dyDescent="0.2">
      <c r="A37" s="21"/>
      <c r="B37" s="3" t="s">
        <v>8</v>
      </c>
      <c r="C37" s="3" t="s">
        <v>128</v>
      </c>
      <c r="D37" s="2"/>
    </row>
    <row r="38" spans="1:4" ht="12.75" customHeight="1" x14ac:dyDescent="0.2">
      <c r="A38" s="21"/>
      <c r="B38" s="3" t="s">
        <v>9</v>
      </c>
      <c r="C38" s="3" t="s">
        <v>129</v>
      </c>
      <c r="D38" s="2"/>
    </row>
    <row r="39" spans="1:4" ht="12.75" customHeight="1" x14ac:dyDescent="0.2">
      <c r="A39" s="21"/>
      <c r="B39" s="3" t="s">
        <v>11</v>
      </c>
      <c r="C39" s="3" t="s">
        <v>12</v>
      </c>
      <c r="D39" s="2"/>
    </row>
    <row r="40" spans="1:4" ht="12.75" customHeight="1" x14ac:dyDescent="0.2">
      <c r="A40" s="21"/>
      <c r="B40" s="3" t="s">
        <v>13</v>
      </c>
      <c r="C40" s="3" t="s">
        <v>14</v>
      </c>
      <c r="D40" s="2"/>
    </row>
    <row r="41" spans="1:4" ht="12.75" customHeight="1" x14ac:dyDescent="0.2">
      <c r="A41" s="21"/>
      <c r="B41" s="3" t="s">
        <v>15</v>
      </c>
      <c r="C41" s="3" t="s">
        <v>14</v>
      </c>
      <c r="D41" s="2"/>
    </row>
    <row r="42" spans="1:4" ht="12.75" customHeight="1" x14ac:dyDescent="0.2">
      <c r="A42" s="21"/>
      <c r="B42" s="3" t="s">
        <v>16</v>
      </c>
      <c r="C42" s="3"/>
      <c r="D42" s="2"/>
    </row>
    <row r="43" spans="1:4" ht="12.75" customHeight="1" x14ac:dyDescent="0.2">
      <c r="A43" s="21"/>
      <c r="B43" s="3" t="s">
        <v>17</v>
      </c>
      <c r="C43" s="3"/>
      <c r="D43" s="2"/>
    </row>
    <row r="44" spans="1:4" ht="12.75" customHeight="1" x14ac:dyDescent="0.2">
      <c r="A44" s="21"/>
      <c r="B44" s="3" t="s">
        <v>18</v>
      </c>
      <c r="C44" s="4" t="s">
        <v>19</v>
      </c>
      <c r="D44" s="2"/>
    </row>
    <row r="45" spans="1:4" ht="12.75" customHeight="1" x14ac:dyDescent="0.2">
      <c r="A45" s="5"/>
      <c r="B45" s="2"/>
      <c r="C45" s="2"/>
      <c r="D45" s="2"/>
    </row>
    <row r="46" spans="1:4" ht="12.75" customHeight="1" x14ac:dyDescent="0.2">
      <c r="A46" s="22" t="str">
        <f>HYPERLINK("javascript:void(0)","rézbunkó")</f>
        <v>rézbunkó</v>
      </c>
      <c r="B46" s="21"/>
      <c r="C46" s="21"/>
      <c r="D46" s="2"/>
    </row>
    <row r="47" spans="1:4" ht="12.75" customHeight="1" x14ac:dyDescent="0.2">
      <c r="A47" s="20"/>
      <c r="B47" s="2"/>
      <c r="C47" s="2"/>
      <c r="D47" s="2"/>
    </row>
    <row r="48" spans="1:4" ht="12.75" customHeight="1" x14ac:dyDescent="0.2">
      <c r="A48" s="21"/>
      <c r="B48" s="3" t="s">
        <v>0</v>
      </c>
      <c r="C48" s="3" t="s">
        <v>1</v>
      </c>
      <c r="D48" s="2"/>
    </row>
    <row r="49" spans="1:4" ht="12.75" customHeight="1" x14ac:dyDescent="0.2">
      <c r="A49" s="21"/>
      <c r="B49" s="3" t="s">
        <v>2</v>
      </c>
      <c r="C49" s="3" t="s">
        <v>122</v>
      </c>
      <c r="D49" s="2"/>
    </row>
    <row r="50" spans="1:4" ht="12.75" customHeight="1" x14ac:dyDescent="0.2">
      <c r="A50" s="21"/>
      <c r="B50" s="3" t="s">
        <v>4</v>
      </c>
      <c r="C50" s="3" t="s">
        <v>90</v>
      </c>
      <c r="D50" s="2"/>
    </row>
    <row r="51" spans="1:4" ht="12.75" customHeight="1" x14ac:dyDescent="0.2">
      <c r="A51" s="21"/>
      <c r="B51" s="3" t="s">
        <v>6</v>
      </c>
      <c r="C51" s="3" t="s">
        <v>48</v>
      </c>
      <c r="D51" s="2"/>
    </row>
    <row r="52" spans="1:4" ht="12.75" customHeight="1" x14ac:dyDescent="0.2">
      <c r="A52" s="21"/>
      <c r="B52" s="3" t="s">
        <v>8</v>
      </c>
      <c r="C52" s="3" t="s">
        <v>90</v>
      </c>
      <c r="D52" s="2"/>
    </row>
    <row r="53" spans="1:4" ht="12.75" customHeight="1" x14ac:dyDescent="0.2">
      <c r="A53" s="21"/>
      <c r="B53" s="3" t="s">
        <v>9</v>
      </c>
      <c r="C53" s="3" t="s">
        <v>131</v>
      </c>
      <c r="D53" s="2"/>
    </row>
    <row r="54" spans="1:4" ht="12.75" customHeight="1" x14ac:dyDescent="0.2">
      <c r="A54" s="21"/>
      <c r="B54" s="3" t="s">
        <v>11</v>
      </c>
      <c r="C54" s="3" t="s">
        <v>28</v>
      </c>
      <c r="D54" s="2"/>
    </row>
    <row r="55" spans="1:4" ht="12.75" customHeight="1" x14ac:dyDescent="0.2">
      <c r="A55" s="21"/>
      <c r="B55" s="3" t="s">
        <v>13</v>
      </c>
      <c r="C55" s="3" t="s">
        <v>14</v>
      </c>
      <c r="D55" s="2"/>
    </row>
    <row r="56" spans="1:4" ht="12.75" customHeight="1" x14ac:dyDescent="0.2">
      <c r="A56" s="21"/>
      <c r="B56" s="3" t="s">
        <v>15</v>
      </c>
      <c r="C56" s="3" t="s">
        <v>14</v>
      </c>
      <c r="D56" s="2"/>
    </row>
    <row r="57" spans="1:4" ht="12.75" customHeight="1" x14ac:dyDescent="0.2">
      <c r="A57" s="21"/>
      <c r="B57" s="3" t="s">
        <v>16</v>
      </c>
      <c r="C57" s="3"/>
      <c r="D57" s="2"/>
    </row>
    <row r="58" spans="1:4" ht="12.75" customHeight="1" x14ac:dyDescent="0.2">
      <c r="A58" s="21"/>
      <c r="B58" s="3" t="s">
        <v>17</v>
      </c>
      <c r="C58" s="3"/>
      <c r="D58" s="2"/>
    </row>
    <row r="59" spans="1:4" ht="12.75" customHeight="1" x14ac:dyDescent="0.2">
      <c r="A59" s="21"/>
      <c r="B59" s="3" t="s">
        <v>18</v>
      </c>
      <c r="C59" s="4" t="s">
        <v>19</v>
      </c>
      <c r="D59" s="2"/>
    </row>
    <row r="60" spans="1:4" ht="12.75" customHeight="1" x14ac:dyDescent="0.2">
      <c r="A60" s="5"/>
      <c r="B60" s="2"/>
      <c r="C60" s="2"/>
      <c r="D60" s="2"/>
    </row>
    <row r="61" spans="1:4" ht="12.75" customHeight="1" x14ac:dyDescent="0.2">
      <c r="A61" s="22" t="str">
        <f>HYPERLINK("javascript:void(0)","törpe csákány")</f>
        <v>törpe csákány</v>
      </c>
      <c r="B61" s="21"/>
      <c r="C61" s="21"/>
      <c r="D61" s="2"/>
    </row>
    <row r="62" spans="1:4" ht="12.75" customHeight="1" x14ac:dyDescent="0.2">
      <c r="A62" s="20"/>
      <c r="B62" s="2"/>
      <c r="C62" s="2"/>
      <c r="D62" s="2"/>
    </row>
    <row r="63" spans="1:4" ht="12.75" customHeight="1" x14ac:dyDescent="0.2">
      <c r="A63" s="21"/>
      <c r="B63" s="3" t="s">
        <v>0</v>
      </c>
      <c r="C63" s="3" t="s">
        <v>1</v>
      </c>
      <c r="D63" s="2"/>
    </row>
    <row r="64" spans="1:4" ht="12.75" customHeight="1" x14ac:dyDescent="0.2">
      <c r="A64" s="21"/>
      <c r="B64" s="3" t="s">
        <v>2</v>
      </c>
      <c r="C64" s="3" t="s">
        <v>122</v>
      </c>
      <c r="D64" s="2"/>
    </row>
    <row r="65" spans="1:4" ht="12.75" customHeight="1" x14ac:dyDescent="0.2">
      <c r="A65" s="21"/>
      <c r="B65" s="3" t="s">
        <v>4</v>
      </c>
      <c r="C65" s="3" t="s">
        <v>33</v>
      </c>
      <c r="D65" s="2"/>
    </row>
    <row r="66" spans="1:4" ht="12.75" customHeight="1" x14ac:dyDescent="0.2">
      <c r="A66" s="21"/>
      <c r="B66" s="3" t="s">
        <v>6</v>
      </c>
      <c r="C66" s="3" t="s">
        <v>5</v>
      </c>
      <c r="D66" s="2"/>
    </row>
    <row r="67" spans="1:4" ht="12.75" customHeight="1" x14ac:dyDescent="0.2">
      <c r="A67" s="21"/>
      <c r="B67" s="3" t="s">
        <v>8</v>
      </c>
      <c r="C67" s="3" t="s">
        <v>33</v>
      </c>
      <c r="D67" s="2"/>
    </row>
    <row r="68" spans="1:4" ht="12.75" customHeight="1" x14ac:dyDescent="0.2">
      <c r="A68" s="21"/>
      <c r="B68" s="3" t="s">
        <v>9</v>
      </c>
      <c r="C68" s="3" t="s">
        <v>126</v>
      </c>
      <c r="D68" s="2"/>
    </row>
    <row r="69" spans="1:4" ht="12.75" customHeight="1" x14ac:dyDescent="0.2">
      <c r="A69" s="21"/>
      <c r="B69" s="3" t="s">
        <v>11</v>
      </c>
      <c r="C69" s="3" t="s">
        <v>23</v>
      </c>
      <c r="D69" s="2"/>
    </row>
    <row r="70" spans="1:4" ht="12.75" customHeight="1" x14ac:dyDescent="0.2">
      <c r="A70" s="21"/>
      <c r="B70" s="3" t="s">
        <v>13</v>
      </c>
      <c r="C70" s="3" t="s">
        <v>14</v>
      </c>
      <c r="D70" s="2"/>
    </row>
    <row r="71" spans="1:4" ht="12.75" customHeight="1" x14ac:dyDescent="0.2">
      <c r="A71" s="21"/>
      <c r="B71" s="3" t="s">
        <v>15</v>
      </c>
      <c r="C71" s="3" t="s">
        <v>14</v>
      </c>
      <c r="D71" s="2"/>
    </row>
    <row r="72" spans="1:4" ht="12.75" customHeight="1" x14ac:dyDescent="0.2">
      <c r="A72" s="21"/>
      <c r="B72" s="3" t="s">
        <v>16</v>
      </c>
      <c r="C72" s="3"/>
      <c r="D72" s="2"/>
    </row>
    <row r="73" spans="1:4" ht="12.75" customHeight="1" x14ac:dyDescent="0.2">
      <c r="A73" s="21"/>
      <c r="B73" s="3" t="s">
        <v>17</v>
      </c>
      <c r="C73" s="3"/>
      <c r="D73" s="2"/>
    </row>
    <row r="74" spans="1:4" ht="12.75" customHeight="1" x14ac:dyDescent="0.2">
      <c r="A74" s="21"/>
      <c r="B74" s="3" t="s">
        <v>18</v>
      </c>
      <c r="C74" s="4" t="s">
        <v>19</v>
      </c>
      <c r="D74" s="2"/>
    </row>
    <row r="75" spans="1:4" ht="12.75" customHeight="1" x14ac:dyDescent="0.2">
      <c r="A75" s="5"/>
      <c r="B75" s="2"/>
      <c r="C75" s="2"/>
      <c r="D75" s="2"/>
    </row>
    <row r="76" spans="1:4" ht="12.75" customHeight="1" x14ac:dyDescent="0.2">
      <c r="A76" s="22" t="str">
        <f>HYPERLINK("javascript:void(0)","1 hetes kenyér")</f>
        <v>1 hetes kenyér</v>
      </c>
      <c r="B76" s="21"/>
      <c r="C76" s="21"/>
      <c r="D76" s="2"/>
    </row>
    <row r="77" spans="1:4" ht="12.75" customHeight="1" x14ac:dyDescent="0.2">
      <c r="A77" s="20"/>
      <c r="B77" s="2"/>
      <c r="C77" s="2"/>
      <c r="D77" s="2"/>
    </row>
    <row r="78" spans="1:4" ht="12.75" customHeight="1" x14ac:dyDescent="0.2">
      <c r="A78" s="21"/>
      <c r="B78" s="3" t="s">
        <v>0</v>
      </c>
      <c r="C78" s="3" t="s">
        <v>25</v>
      </c>
      <c r="D78" s="2"/>
    </row>
    <row r="79" spans="1:4" ht="12.75" customHeight="1" x14ac:dyDescent="0.2">
      <c r="A79" s="21"/>
      <c r="B79" s="3" t="s">
        <v>2</v>
      </c>
      <c r="C79" s="3" t="s">
        <v>122</v>
      </c>
      <c r="D79" s="2"/>
    </row>
    <row r="80" spans="1:4" ht="12.75" customHeight="1" x14ac:dyDescent="0.2">
      <c r="A80" s="21"/>
      <c r="B80" s="3" t="s">
        <v>4</v>
      </c>
      <c r="C80" s="3" t="s">
        <v>82</v>
      </c>
      <c r="D80" s="2"/>
    </row>
    <row r="81" spans="1:4" ht="12.75" customHeight="1" x14ac:dyDescent="0.2">
      <c r="A81" s="21"/>
      <c r="B81" s="3" t="s">
        <v>6</v>
      </c>
      <c r="C81" s="3" t="s">
        <v>48</v>
      </c>
      <c r="D81" s="2"/>
    </row>
    <row r="82" spans="1:4" ht="12.75" customHeight="1" x14ac:dyDescent="0.2">
      <c r="A82" s="21"/>
      <c r="B82" s="3" t="s">
        <v>8</v>
      </c>
      <c r="C82" s="3" t="s">
        <v>82</v>
      </c>
      <c r="D82" s="2"/>
    </row>
    <row r="83" spans="1:4" ht="12.75" customHeight="1" x14ac:dyDescent="0.2">
      <c r="A83" s="21"/>
      <c r="B83" s="3" t="s">
        <v>9</v>
      </c>
      <c r="C83" s="3" t="s">
        <v>124</v>
      </c>
      <c r="D83" s="2"/>
    </row>
    <row r="84" spans="1:4" ht="12.75" customHeight="1" x14ac:dyDescent="0.2">
      <c r="A84" s="21"/>
      <c r="B84" s="3" t="s">
        <v>11</v>
      </c>
      <c r="C84" s="3" t="s">
        <v>133</v>
      </c>
      <c r="D84" s="2"/>
    </row>
    <row r="85" spans="1:4" ht="12.75" customHeight="1" x14ac:dyDescent="0.2">
      <c r="A85" s="21"/>
      <c r="B85" s="3" t="s">
        <v>13</v>
      </c>
      <c r="C85" s="3" t="s">
        <v>14</v>
      </c>
      <c r="D85" s="2"/>
    </row>
    <row r="86" spans="1:4" ht="12.75" customHeight="1" x14ac:dyDescent="0.2">
      <c r="A86" s="21"/>
      <c r="B86" s="3" t="s">
        <v>15</v>
      </c>
      <c r="C86" s="3" t="s">
        <v>14</v>
      </c>
      <c r="D86" s="2"/>
    </row>
    <row r="87" spans="1:4" ht="12.75" customHeight="1" x14ac:dyDescent="0.2">
      <c r="A87" s="21"/>
      <c r="B87" s="3" t="s">
        <v>16</v>
      </c>
      <c r="C87" s="3"/>
      <c r="D87" s="2"/>
    </row>
    <row r="88" spans="1:4" ht="12.75" customHeight="1" x14ac:dyDescent="0.2">
      <c r="A88" s="21"/>
      <c r="B88" s="3" t="s">
        <v>17</v>
      </c>
      <c r="C88" s="3"/>
      <c r="D88" s="2"/>
    </row>
    <row r="89" spans="1:4" ht="12.75" customHeight="1" x14ac:dyDescent="0.2">
      <c r="A89" s="21"/>
      <c r="B89" s="3" t="s">
        <v>18</v>
      </c>
      <c r="C89" s="4" t="s">
        <v>19</v>
      </c>
      <c r="D89" s="2"/>
    </row>
    <row r="90" spans="1:4" ht="12.75" customHeight="1" x14ac:dyDescent="0.2">
      <c r="A90" s="5"/>
      <c r="B90" s="2"/>
      <c r="C90" s="2"/>
      <c r="D90" s="2"/>
    </row>
    <row r="91" spans="1:4" ht="12.75" customHeight="1" x14ac:dyDescent="0.2">
      <c r="A91" s="22" t="str">
        <f>HYPERLINK("javascript:void(0)","fa nuncsaku")</f>
        <v>fa nuncsaku</v>
      </c>
      <c r="B91" s="21"/>
      <c r="C91" s="21"/>
      <c r="D91" s="2"/>
    </row>
    <row r="92" spans="1:4" ht="12.75" customHeight="1" x14ac:dyDescent="0.2">
      <c r="A92" s="20"/>
      <c r="B92" s="2"/>
      <c r="C92" s="2"/>
      <c r="D92" s="2"/>
    </row>
    <row r="93" spans="1:4" ht="12.75" customHeight="1" x14ac:dyDescent="0.2">
      <c r="A93" s="21"/>
      <c r="B93" s="3" t="s">
        <v>0</v>
      </c>
      <c r="C93" s="3" t="s">
        <v>25</v>
      </c>
      <c r="D93" s="2"/>
    </row>
    <row r="94" spans="1:4" ht="12.75" customHeight="1" x14ac:dyDescent="0.2">
      <c r="A94" s="21"/>
      <c r="B94" s="3" t="s">
        <v>2</v>
      </c>
      <c r="C94" s="3" t="s">
        <v>122</v>
      </c>
      <c r="D94" s="2"/>
    </row>
    <row r="95" spans="1:4" ht="12.75" customHeight="1" x14ac:dyDescent="0.2">
      <c r="A95" s="21"/>
      <c r="B95" s="3" t="s">
        <v>4</v>
      </c>
      <c r="C95" s="3" t="s">
        <v>5</v>
      </c>
      <c r="D95" s="2"/>
    </row>
    <row r="96" spans="1:4" ht="12.75" customHeight="1" x14ac:dyDescent="0.2">
      <c r="A96" s="21"/>
      <c r="B96" s="3" t="s">
        <v>6</v>
      </c>
      <c r="C96" s="3" t="s">
        <v>123</v>
      </c>
      <c r="D96" s="2"/>
    </row>
    <row r="97" spans="1:4" ht="12.75" customHeight="1" x14ac:dyDescent="0.2">
      <c r="A97" s="21"/>
      <c r="B97" s="3" t="s">
        <v>8</v>
      </c>
      <c r="C97" s="3" t="s">
        <v>5</v>
      </c>
      <c r="D97" s="2"/>
    </row>
    <row r="98" spans="1:4" ht="12.75" customHeight="1" x14ac:dyDescent="0.2">
      <c r="A98" s="21"/>
      <c r="B98" s="3" t="s">
        <v>9</v>
      </c>
      <c r="C98" s="3" t="s">
        <v>135</v>
      </c>
      <c r="D98" s="2"/>
    </row>
    <row r="99" spans="1:4" ht="12.75" customHeight="1" x14ac:dyDescent="0.2">
      <c r="A99" s="21"/>
      <c r="B99" s="3" t="s">
        <v>11</v>
      </c>
      <c r="C99" s="3" t="s">
        <v>136</v>
      </c>
      <c r="D99" s="2"/>
    </row>
    <row r="100" spans="1:4" ht="12.75" customHeight="1" x14ac:dyDescent="0.2">
      <c r="A100" s="21"/>
      <c r="B100" s="3" t="s">
        <v>13</v>
      </c>
      <c r="C100" s="3" t="s">
        <v>14</v>
      </c>
      <c r="D100" s="2"/>
    </row>
    <row r="101" spans="1:4" ht="12.75" customHeight="1" x14ac:dyDescent="0.2">
      <c r="A101" s="21"/>
      <c r="B101" s="3" t="s">
        <v>15</v>
      </c>
      <c r="C101" s="3" t="s">
        <v>14</v>
      </c>
      <c r="D101" s="2"/>
    </row>
    <row r="102" spans="1:4" ht="12.75" customHeight="1" x14ac:dyDescent="0.2">
      <c r="A102" s="21"/>
      <c r="B102" s="3" t="s">
        <v>16</v>
      </c>
      <c r="C102" s="3"/>
      <c r="D102" s="2"/>
    </row>
    <row r="103" spans="1:4" ht="12.75" customHeight="1" x14ac:dyDescent="0.2">
      <c r="A103" s="21"/>
      <c r="B103" s="3" t="s">
        <v>17</v>
      </c>
      <c r="C103" s="3"/>
      <c r="D103" s="2"/>
    </row>
    <row r="104" spans="1:4" ht="12.75" customHeight="1" x14ac:dyDescent="0.2">
      <c r="A104" s="21"/>
      <c r="B104" s="3" t="s">
        <v>18</v>
      </c>
      <c r="C104" s="4" t="s">
        <v>19</v>
      </c>
      <c r="D104" s="2"/>
    </row>
    <row r="105" spans="1:4" ht="12.75" customHeight="1" x14ac:dyDescent="0.2">
      <c r="A105" s="5"/>
      <c r="B105" s="2"/>
      <c r="C105" s="2"/>
      <c r="D105" s="2"/>
    </row>
    <row r="106" spans="1:4" ht="12.75" customHeight="1" x14ac:dyDescent="0.2">
      <c r="A106" s="22" t="str">
        <f>HYPERLINK("javascript:void(0)","bronz csatacsillag")</f>
        <v>bronz csatacsillag</v>
      </c>
      <c r="B106" s="21"/>
      <c r="C106" s="21"/>
      <c r="D106" s="21"/>
    </row>
    <row r="107" spans="1:4" ht="12.75" customHeight="1" x14ac:dyDescent="0.2">
      <c r="A107" s="20"/>
      <c r="B107" s="2"/>
      <c r="C107" s="2"/>
      <c r="D107" s="2"/>
    </row>
    <row r="108" spans="1:4" ht="12.75" customHeight="1" x14ac:dyDescent="0.2">
      <c r="A108" s="21"/>
      <c r="B108" s="3" t="s">
        <v>0</v>
      </c>
      <c r="C108" s="20" t="s">
        <v>7</v>
      </c>
      <c r="D108" s="21"/>
    </row>
    <row r="109" spans="1:4" ht="12.75" customHeight="1" x14ac:dyDescent="0.2">
      <c r="A109" s="21"/>
      <c r="B109" s="3" t="s">
        <v>2</v>
      </c>
      <c r="C109" s="20" t="s">
        <v>122</v>
      </c>
      <c r="D109" s="21"/>
    </row>
    <row r="110" spans="1:4" ht="12.75" customHeight="1" x14ac:dyDescent="0.2">
      <c r="A110" s="21"/>
      <c r="B110" s="3" t="s">
        <v>4</v>
      </c>
      <c r="C110" s="20" t="s">
        <v>92</v>
      </c>
      <c r="D110" s="21"/>
    </row>
    <row r="111" spans="1:4" ht="12.75" customHeight="1" x14ac:dyDescent="0.2">
      <c r="A111" s="21"/>
      <c r="B111" s="3" t="s">
        <v>6</v>
      </c>
      <c r="C111" s="20" t="s">
        <v>40</v>
      </c>
      <c r="D111" s="21"/>
    </row>
    <row r="112" spans="1:4" ht="12.75" customHeight="1" x14ac:dyDescent="0.2">
      <c r="A112" s="21"/>
      <c r="B112" s="3" t="s">
        <v>8</v>
      </c>
      <c r="C112" s="20" t="s">
        <v>92</v>
      </c>
      <c r="D112" s="21"/>
    </row>
    <row r="113" spans="1:4" ht="12.75" customHeight="1" x14ac:dyDescent="0.2">
      <c r="A113" s="21"/>
      <c r="B113" s="3" t="s">
        <v>9</v>
      </c>
      <c r="C113" s="20" t="s">
        <v>140</v>
      </c>
      <c r="D113" s="21"/>
    </row>
    <row r="114" spans="1:4" ht="12.75" customHeight="1" x14ac:dyDescent="0.2">
      <c r="A114" s="21"/>
      <c r="B114" s="3" t="s">
        <v>11</v>
      </c>
      <c r="C114" s="20" t="s">
        <v>141</v>
      </c>
      <c r="D114" s="21"/>
    </row>
    <row r="115" spans="1:4" ht="12.75" customHeight="1" x14ac:dyDescent="0.2">
      <c r="A115" s="21"/>
      <c r="B115" s="3" t="s">
        <v>13</v>
      </c>
      <c r="C115" s="20" t="s">
        <v>14</v>
      </c>
      <c r="D115" s="21"/>
    </row>
    <row r="116" spans="1:4" ht="12.75" customHeight="1" x14ac:dyDescent="0.2">
      <c r="A116" s="21"/>
      <c r="B116" s="3" t="s">
        <v>15</v>
      </c>
      <c r="C116" s="20" t="s">
        <v>14</v>
      </c>
      <c r="D116" s="21"/>
    </row>
    <row r="117" spans="1:4" ht="12.75" customHeight="1" x14ac:dyDescent="0.2">
      <c r="A117" s="21"/>
      <c r="B117" s="3" t="s">
        <v>16</v>
      </c>
      <c r="C117" s="20"/>
      <c r="D117" s="21"/>
    </row>
    <row r="118" spans="1:4" ht="12.75" customHeight="1" x14ac:dyDescent="0.2">
      <c r="A118" s="21"/>
      <c r="B118" s="3" t="s">
        <v>17</v>
      </c>
      <c r="C118" s="20"/>
      <c r="D118" s="21"/>
    </row>
    <row r="119" spans="1:4" ht="12.75" customHeight="1" x14ac:dyDescent="0.2">
      <c r="A119" s="21"/>
      <c r="B119" s="20" t="s">
        <v>18</v>
      </c>
      <c r="C119" s="4" t="s">
        <v>142</v>
      </c>
      <c r="D119" s="6" t="str">
        <f>HYPERLINK("javascript:void(0)","rézérc")</f>
        <v>rézérc</v>
      </c>
    </row>
    <row r="120" spans="1:4" ht="12.75" customHeight="1" x14ac:dyDescent="0.2">
      <c r="A120" s="21"/>
      <c r="B120" s="21"/>
      <c r="C120" s="4" t="s">
        <v>55</v>
      </c>
      <c r="D120" s="6" t="str">
        <f>HYPERLINK("javascript:void(0)","óngolyó")</f>
        <v>óngolyó</v>
      </c>
    </row>
    <row r="121" spans="1:4" ht="12.75" customHeight="1" x14ac:dyDescent="0.2">
      <c r="A121" s="21"/>
      <c r="B121" s="21"/>
      <c r="C121" s="4" t="s">
        <v>55</v>
      </c>
      <c r="D121" s="6" t="str">
        <f>HYPERLINK("javascript:void(0)","vasérc")</f>
        <v>vasérc</v>
      </c>
    </row>
    <row r="122" spans="1:4" ht="12.75" customHeight="1" x14ac:dyDescent="0.2">
      <c r="A122" s="5"/>
      <c r="B122" s="2"/>
      <c r="C122" s="2"/>
      <c r="D122" s="2"/>
    </row>
    <row r="123" spans="1:4" ht="12.75" customHeight="1" x14ac:dyDescent="0.2">
      <c r="A123" s="22" t="str">
        <f>HYPERLINK("javascript:void(0)","skivei bot")</f>
        <v>skivei bot</v>
      </c>
      <c r="B123" s="21"/>
      <c r="C123" s="21"/>
      <c r="D123" s="21"/>
    </row>
    <row r="124" spans="1:4" ht="12.75" customHeight="1" x14ac:dyDescent="0.2">
      <c r="A124" s="20"/>
      <c r="B124" s="2"/>
      <c r="C124" s="2"/>
      <c r="D124" s="2"/>
    </row>
    <row r="125" spans="1:4" ht="12.75" customHeight="1" x14ac:dyDescent="0.2">
      <c r="A125" s="21"/>
      <c r="B125" s="3" t="s">
        <v>0</v>
      </c>
      <c r="C125" s="20" t="s">
        <v>7</v>
      </c>
      <c r="D125" s="21"/>
    </row>
    <row r="126" spans="1:4" ht="12.75" customHeight="1" x14ac:dyDescent="0.2">
      <c r="A126" s="21"/>
      <c r="B126" s="3" t="s">
        <v>2</v>
      </c>
      <c r="C126" s="20" t="s">
        <v>122</v>
      </c>
      <c r="D126" s="21"/>
    </row>
    <row r="127" spans="1:4" ht="12.75" customHeight="1" x14ac:dyDescent="0.2">
      <c r="A127" s="21"/>
      <c r="B127" s="3" t="s">
        <v>4</v>
      </c>
      <c r="C127" s="20" t="s">
        <v>90</v>
      </c>
      <c r="D127" s="21"/>
    </row>
    <row r="128" spans="1:4" ht="12.75" customHeight="1" x14ac:dyDescent="0.2">
      <c r="A128" s="21"/>
      <c r="B128" s="3" t="s">
        <v>6</v>
      </c>
      <c r="C128" s="20" t="s">
        <v>40</v>
      </c>
      <c r="D128" s="21"/>
    </row>
    <row r="129" spans="1:4" ht="12.75" customHeight="1" x14ac:dyDescent="0.2">
      <c r="A129" s="21"/>
      <c r="B129" s="3" t="s">
        <v>8</v>
      </c>
      <c r="C129" s="20" t="s">
        <v>90</v>
      </c>
      <c r="D129" s="21"/>
    </row>
    <row r="130" spans="1:4" ht="12.75" customHeight="1" x14ac:dyDescent="0.2">
      <c r="A130" s="21"/>
      <c r="B130" s="3" t="s">
        <v>9</v>
      </c>
      <c r="C130" s="20" t="s">
        <v>36</v>
      </c>
      <c r="D130" s="21"/>
    </row>
    <row r="131" spans="1:4" ht="12.75" customHeight="1" x14ac:dyDescent="0.2">
      <c r="A131" s="21"/>
      <c r="B131" s="3" t="s">
        <v>11</v>
      </c>
      <c r="C131" s="20" t="s">
        <v>34</v>
      </c>
      <c r="D131" s="21"/>
    </row>
    <row r="132" spans="1:4" ht="12.75" customHeight="1" x14ac:dyDescent="0.2">
      <c r="A132" s="21"/>
      <c r="B132" s="3" t="s">
        <v>13</v>
      </c>
      <c r="C132" s="20" t="s">
        <v>24</v>
      </c>
      <c r="D132" s="21"/>
    </row>
    <row r="133" spans="1:4" ht="12.75" customHeight="1" x14ac:dyDescent="0.2">
      <c r="A133" s="21"/>
      <c r="B133" s="3" t="s">
        <v>15</v>
      </c>
      <c r="C133" s="20" t="s">
        <v>14</v>
      </c>
      <c r="D133" s="21"/>
    </row>
    <row r="134" spans="1:4" ht="12.75" customHeight="1" x14ac:dyDescent="0.2">
      <c r="A134" s="21"/>
      <c r="B134" s="3" t="s">
        <v>16</v>
      </c>
      <c r="C134" s="20"/>
      <c r="D134" s="21"/>
    </row>
    <row r="135" spans="1:4" ht="12.75" customHeight="1" x14ac:dyDescent="0.2">
      <c r="A135" s="21"/>
      <c r="B135" s="3" t="s">
        <v>17</v>
      </c>
      <c r="C135" s="20"/>
      <c r="D135" s="21"/>
    </row>
    <row r="136" spans="1:4" ht="12.75" customHeight="1" x14ac:dyDescent="0.2">
      <c r="A136" s="21"/>
      <c r="B136" s="20" t="s">
        <v>18</v>
      </c>
      <c r="C136" s="4" t="s">
        <v>44</v>
      </c>
      <c r="D136" s="6" t="str">
        <f>HYPERLINK("javascript:void(0)","kithrill")</f>
        <v>kithrill</v>
      </c>
    </row>
    <row r="137" spans="1:4" ht="12.75" customHeight="1" x14ac:dyDescent="0.2">
      <c r="A137" s="21"/>
      <c r="B137" s="21"/>
      <c r="C137" s="4" t="s">
        <v>44</v>
      </c>
      <c r="D137" s="6" t="str">
        <f>HYPERLINK("javascript:void(0)","bot")</f>
        <v>bot</v>
      </c>
    </row>
    <row r="138" spans="1:4" ht="12.75" customHeight="1" x14ac:dyDescent="0.2">
      <c r="A138" s="21"/>
      <c r="B138" s="21"/>
      <c r="C138" s="4" t="s">
        <v>150</v>
      </c>
      <c r="D138" s="6" t="str">
        <f>HYPERLINK("javascript:void(0)","ezüst")</f>
        <v>ezüst</v>
      </c>
    </row>
    <row r="139" spans="1:4" ht="12.75" customHeight="1" x14ac:dyDescent="0.2">
      <c r="A139" s="5"/>
      <c r="B139" s="2"/>
      <c r="C139" s="2"/>
      <c r="D139" s="2"/>
    </row>
    <row r="140" spans="1:4" ht="12.75" customHeight="1" x14ac:dyDescent="0.2">
      <c r="A140" s="22" t="str">
        <f>HYPERLINK("javascript:void(0)","2 hetes kenyér")</f>
        <v>2 hetes kenyér</v>
      </c>
      <c r="B140" s="21"/>
      <c r="C140" s="21"/>
      <c r="D140" s="21"/>
    </row>
    <row r="141" spans="1:4" ht="12.75" customHeight="1" x14ac:dyDescent="0.2">
      <c r="A141" s="20"/>
      <c r="B141" s="2"/>
      <c r="C141" s="2"/>
      <c r="D141" s="2"/>
    </row>
    <row r="142" spans="1:4" ht="12.75" customHeight="1" x14ac:dyDescent="0.2">
      <c r="A142" s="21"/>
      <c r="B142" s="3" t="s">
        <v>0</v>
      </c>
      <c r="C142" s="20" t="s">
        <v>123</v>
      </c>
      <c r="D142" s="21"/>
    </row>
    <row r="143" spans="1:4" ht="12.75" customHeight="1" x14ac:dyDescent="0.2">
      <c r="A143" s="21"/>
      <c r="B143" s="3" t="s">
        <v>2</v>
      </c>
      <c r="C143" s="20" t="s">
        <v>122</v>
      </c>
      <c r="D143" s="21"/>
    </row>
    <row r="144" spans="1:4" ht="12.75" customHeight="1" x14ac:dyDescent="0.2">
      <c r="A144" s="21"/>
      <c r="B144" s="3" t="s">
        <v>4</v>
      </c>
      <c r="C144" s="20" t="s">
        <v>153</v>
      </c>
      <c r="D144" s="21"/>
    </row>
    <row r="145" spans="1:4" ht="12.75" customHeight="1" x14ac:dyDescent="0.2">
      <c r="A145" s="21"/>
      <c r="B145" s="3" t="s">
        <v>6</v>
      </c>
      <c r="C145" s="20" t="s">
        <v>46</v>
      </c>
      <c r="D145" s="21"/>
    </row>
    <row r="146" spans="1:4" ht="12.75" customHeight="1" x14ac:dyDescent="0.2">
      <c r="A146" s="21"/>
      <c r="B146" s="3" t="s">
        <v>8</v>
      </c>
      <c r="C146" s="20" t="s">
        <v>153</v>
      </c>
      <c r="D146" s="21"/>
    </row>
    <row r="147" spans="1:4" ht="12.75" customHeight="1" x14ac:dyDescent="0.2">
      <c r="A147" s="21"/>
      <c r="B147" s="3" t="s">
        <v>9</v>
      </c>
      <c r="C147" s="20" t="s">
        <v>124</v>
      </c>
      <c r="D147" s="21"/>
    </row>
    <row r="148" spans="1:4" ht="12.75" customHeight="1" x14ac:dyDescent="0.2">
      <c r="A148" s="21"/>
      <c r="B148" s="3" t="s">
        <v>11</v>
      </c>
      <c r="C148" s="20" t="s">
        <v>154</v>
      </c>
      <c r="D148" s="21"/>
    </row>
    <row r="149" spans="1:4" ht="12.75" customHeight="1" x14ac:dyDescent="0.2">
      <c r="A149" s="21"/>
      <c r="B149" s="3" t="s">
        <v>13</v>
      </c>
      <c r="C149" s="20" t="s">
        <v>14</v>
      </c>
      <c r="D149" s="21"/>
    </row>
    <row r="150" spans="1:4" ht="12.75" customHeight="1" x14ac:dyDescent="0.2">
      <c r="A150" s="21"/>
      <c r="B150" s="3" t="s">
        <v>15</v>
      </c>
      <c r="C150" s="20" t="s">
        <v>14</v>
      </c>
      <c r="D150" s="21"/>
    </row>
    <row r="151" spans="1:4" ht="12.75" customHeight="1" x14ac:dyDescent="0.2">
      <c r="A151" s="21"/>
      <c r="B151" s="3" t="s">
        <v>16</v>
      </c>
      <c r="C151" s="20"/>
      <c r="D151" s="21"/>
    </row>
    <row r="152" spans="1:4" ht="12.75" customHeight="1" x14ac:dyDescent="0.2">
      <c r="A152" s="21"/>
      <c r="B152" s="3" t="s">
        <v>17</v>
      </c>
      <c r="C152" s="20"/>
      <c r="D152" s="21"/>
    </row>
    <row r="153" spans="1:4" ht="12.75" customHeight="1" x14ac:dyDescent="0.2">
      <c r="A153" s="21"/>
      <c r="B153" s="20" t="s">
        <v>18</v>
      </c>
      <c r="C153" s="4" t="s">
        <v>44</v>
      </c>
      <c r="D153" s="6" t="str">
        <f>HYPERLINK("javascript:void(0)","1 hetes kenyér")</f>
        <v>1 hetes kenyér</v>
      </c>
    </row>
    <row r="154" spans="1:4" ht="12.75" customHeight="1" x14ac:dyDescent="0.2">
      <c r="A154" s="21"/>
      <c r="B154" s="21"/>
      <c r="C154" s="4" t="s">
        <v>67</v>
      </c>
      <c r="D154" s="6" t="str">
        <f>HYPERLINK("javascript:void(0)","ezüst")</f>
        <v>ezüst</v>
      </c>
    </row>
    <row r="155" spans="1:4" ht="12.75" customHeight="1" x14ac:dyDescent="0.2">
      <c r="A155" s="21"/>
      <c r="B155" s="21"/>
      <c r="C155" s="4" t="s">
        <v>44</v>
      </c>
      <c r="D155" s="6" t="str">
        <f>HYPERLINK("javascript:void(0)","gorillanyelv")</f>
        <v>gorillanyelv</v>
      </c>
    </row>
    <row r="156" spans="1:4" ht="12.75" customHeight="1" x14ac:dyDescent="0.2">
      <c r="A156" s="5"/>
      <c r="B156" s="2"/>
      <c r="C156" s="2"/>
      <c r="D156" s="2"/>
    </row>
    <row r="157" spans="1:4" ht="12.75" customHeight="1" x14ac:dyDescent="0.2">
      <c r="A157" s="22" t="str">
        <f>HYPERLINK("javascript:void(0)","zombifejsze")</f>
        <v>zombifejsze</v>
      </c>
      <c r="B157" s="21"/>
      <c r="C157" s="21"/>
      <c r="D157" s="2"/>
    </row>
    <row r="158" spans="1:4" ht="12.75" customHeight="1" x14ac:dyDescent="0.2">
      <c r="A158" s="20"/>
      <c r="B158" s="2"/>
      <c r="C158" s="2"/>
      <c r="D158" s="2"/>
    </row>
    <row r="159" spans="1:4" ht="12.75" customHeight="1" x14ac:dyDescent="0.2">
      <c r="A159" s="21"/>
      <c r="B159" s="3" t="s">
        <v>0</v>
      </c>
      <c r="C159" s="3" t="s">
        <v>26</v>
      </c>
      <c r="D159" s="2"/>
    </row>
    <row r="160" spans="1:4" ht="12.75" customHeight="1" x14ac:dyDescent="0.2">
      <c r="A160" s="21"/>
      <c r="B160" s="3" t="s">
        <v>2</v>
      </c>
      <c r="C160" s="3" t="s">
        <v>122</v>
      </c>
      <c r="D160" s="2"/>
    </row>
    <row r="161" spans="1:4" ht="12.75" customHeight="1" x14ac:dyDescent="0.2">
      <c r="A161" s="21"/>
      <c r="B161" s="3" t="s">
        <v>4</v>
      </c>
      <c r="C161" s="3" t="s">
        <v>157</v>
      </c>
      <c r="D161" s="2"/>
    </row>
    <row r="162" spans="1:4" ht="12.75" customHeight="1" x14ac:dyDescent="0.2">
      <c r="A162" s="21"/>
      <c r="B162" s="3" t="s">
        <v>6</v>
      </c>
      <c r="C162" s="3" t="s">
        <v>51</v>
      </c>
      <c r="D162" s="2"/>
    </row>
    <row r="163" spans="1:4" ht="12.75" customHeight="1" x14ac:dyDescent="0.2">
      <c r="A163" s="21"/>
      <c r="B163" s="3" t="s">
        <v>8</v>
      </c>
      <c r="C163" s="3" t="s">
        <v>157</v>
      </c>
      <c r="D163" s="2"/>
    </row>
    <row r="164" spans="1:4" ht="12.75" customHeight="1" x14ac:dyDescent="0.2">
      <c r="A164" s="21"/>
      <c r="B164" s="3" t="s">
        <v>9</v>
      </c>
      <c r="C164" s="3" t="s">
        <v>124</v>
      </c>
      <c r="D164" s="2"/>
    </row>
    <row r="165" spans="1:4" ht="12.75" customHeight="1" x14ac:dyDescent="0.2">
      <c r="A165" s="21"/>
      <c r="B165" s="3" t="s">
        <v>11</v>
      </c>
      <c r="C165" s="3" t="s">
        <v>158</v>
      </c>
      <c r="D165" s="2"/>
    </row>
    <row r="166" spans="1:4" ht="12.75" customHeight="1" x14ac:dyDescent="0.2">
      <c r="A166" s="21"/>
      <c r="B166" s="3" t="s">
        <v>13</v>
      </c>
      <c r="C166" s="3" t="s">
        <v>14</v>
      </c>
      <c r="D166" s="2"/>
    </row>
    <row r="167" spans="1:4" ht="12.75" customHeight="1" x14ac:dyDescent="0.2">
      <c r="A167" s="21"/>
      <c r="B167" s="3" t="s">
        <v>15</v>
      </c>
      <c r="C167" s="3" t="s">
        <v>14</v>
      </c>
      <c r="D167" s="2"/>
    </row>
    <row r="168" spans="1:4" ht="12.75" customHeight="1" x14ac:dyDescent="0.2">
      <c r="A168" s="21"/>
      <c r="B168" s="3" t="s">
        <v>16</v>
      </c>
      <c r="C168" s="3"/>
      <c r="D168" s="2"/>
    </row>
    <row r="169" spans="1:4" ht="12.75" customHeight="1" x14ac:dyDescent="0.2">
      <c r="A169" s="21"/>
      <c r="B169" s="3" t="s">
        <v>17</v>
      </c>
      <c r="C169" s="3"/>
      <c r="D169" s="2"/>
    </row>
    <row r="170" spans="1:4" ht="12.75" customHeight="1" x14ac:dyDescent="0.2">
      <c r="A170" s="21"/>
      <c r="B170" s="3" t="s">
        <v>18</v>
      </c>
      <c r="C170" s="4" t="s">
        <v>19</v>
      </c>
      <c r="D170" s="2"/>
    </row>
    <row r="171" spans="1:4" ht="12.75" customHeight="1" x14ac:dyDescent="0.2">
      <c r="A171" s="5"/>
      <c r="B171" s="2"/>
      <c r="C171" s="2"/>
      <c r="D171" s="2"/>
    </row>
    <row r="172" spans="1:4" ht="12.75" customHeight="1" x14ac:dyDescent="0.2">
      <c r="A172" s="22" t="str">
        <f>HYPERLINK("javascript:void(0)","kalapács")</f>
        <v>kalapács</v>
      </c>
      <c r="B172" s="21"/>
      <c r="C172" s="21"/>
      <c r="D172" s="2"/>
    </row>
    <row r="173" spans="1:4" ht="12.75" customHeight="1" x14ac:dyDescent="0.2">
      <c r="A173" s="20"/>
      <c r="B173" s="2"/>
      <c r="C173" s="2"/>
      <c r="D173" s="2"/>
    </row>
    <row r="174" spans="1:4" ht="12.75" customHeight="1" x14ac:dyDescent="0.2">
      <c r="A174" s="21"/>
      <c r="B174" s="3" t="s">
        <v>0</v>
      </c>
      <c r="C174" s="3" t="s">
        <v>26</v>
      </c>
      <c r="D174" s="2"/>
    </row>
    <row r="175" spans="1:4" ht="12.75" customHeight="1" x14ac:dyDescent="0.2">
      <c r="A175" s="21"/>
      <c r="B175" s="3" t="s">
        <v>2</v>
      </c>
      <c r="C175" s="3" t="s">
        <v>122</v>
      </c>
      <c r="D175" s="2"/>
    </row>
    <row r="176" spans="1:4" ht="12.75" customHeight="1" x14ac:dyDescent="0.2">
      <c r="A176" s="21"/>
      <c r="B176" s="3" t="s">
        <v>4</v>
      </c>
      <c r="C176" s="3" t="s">
        <v>100</v>
      </c>
      <c r="D176" s="2"/>
    </row>
    <row r="177" spans="1:4" ht="12.75" customHeight="1" x14ac:dyDescent="0.2">
      <c r="A177" s="21"/>
      <c r="B177" s="3" t="s">
        <v>6</v>
      </c>
      <c r="C177" s="3" t="s">
        <v>5</v>
      </c>
      <c r="D177" s="2"/>
    </row>
    <row r="178" spans="1:4" ht="12.75" customHeight="1" x14ac:dyDescent="0.2">
      <c r="A178" s="21"/>
      <c r="B178" s="3" t="s">
        <v>8</v>
      </c>
      <c r="C178" s="3" t="s">
        <v>100</v>
      </c>
      <c r="D178" s="2"/>
    </row>
    <row r="179" spans="1:4" ht="12.75" customHeight="1" x14ac:dyDescent="0.2">
      <c r="A179" s="21"/>
      <c r="B179" s="3" t="s">
        <v>9</v>
      </c>
      <c r="C179" s="3" t="s">
        <v>126</v>
      </c>
      <c r="D179" s="2"/>
    </row>
    <row r="180" spans="1:4" ht="12.75" customHeight="1" x14ac:dyDescent="0.2">
      <c r="A180" s="21"/>
      <c r="B180" s="3" t="s">
        <v>11</v>
      </c>
      <c r="C180" s="3" t="s">
        <v>160</v>
      </c>
      <c r="D180" s="2"/>
    </row>
    <row r="181" spans="1:4" ht="12.75" customHeight="1" x14ac:dyDescent="0.2">
      <c r="A181" s="21"/>
      <c r="B181" s="3" t="s">
        <v>13</v>
      </c>
      <c r="C181" s="3" t="s">
        <v>14</v>
      </c>
      <c r="D181" s="2"/>
    </row>
    <row r="182" spans="1:4" ht="12.75" customHeight="1" x14ac:dyDescent="0.2">
      <c r="A182" s="21"/>
      <c r="B182" s="3" t="s">
        <v>15</v>
      </c>
      <c r="C182" s="3" t="s">
        <v>14</v>
      </c>
      <c r="D182" s="2"/>
    </row>
    <row r="183" spans="1:4" ht="12.75" customHeight="1" x14ac:dyDescent="0.2">
      <c r="A183" s="21"/>
      <c r="B183" s="3" t="s">
        <v>16</v>
      </c>
      <c r="C183" s="3"/>
      <c r="D183" s="2"/>
    </row>
    <row r="184" spans="1:4" ht="12.75" customHeight="1" x14ac:dyDescent="0.2">
      <c r="A184" s="21"/>
      <c r="B184" s="3" t="s">
        <v>17</v>
      </c>
      <c r="C184" s="3"/>
      <c r="D184" s="2"/>
    </row>
    <row r="185" spans="1:4" ht="12.75" customHeight="1" x14ac:dyDescent="0.2">
      <c r="A185" s="21"/>
      <c r="B185" s="3" t="s">
        <v>18</v>
      </c>
      <c r="C185" s="4" t="s">
        <v>19</v>
      </c>
      <c r="D185" s="2"/>
    </row>
    <row r="186" spans="1:4" ht="12.75" customHeight="1" x14ac:dyDescent="0.2">
      <c r="A186" s="5"/>
      <c r="B186" s="2"/>
      <c r="C186" s="2"/>
      <c r="D186" s="2"/>
    </row>
    <row r="187" spans="1:4" ht="12.75" customHeight="1" x14ac:dyDescent="0.2">
      <c r="A187" s="22" t="str">
        <f>HYPERLINK("javascript:void(0)","bronzbunkó")</f>
        <v>bronzbunkó</v>
      </c>
      <c r="B187" s="21"/>
      <c r="C187" s="21"/>
      <c r="D187" s="2"/>
    </row>
    <row r="188" spans="1:4" ht="12.75" customHeight="1" x14ac:dyDescent="0.2">
      <c r="A188" s="20"/>
      <c r="B188" s="2"/>
      <c r="C188" s="2"/>
      <c r="D188" s="2"/>
    </row>
    <row r="189" spans="1:4" ht="12.75" customHeight="1" x14ac:dyDescent="0.2">
      <c r="A189" s="21"/>
      <c r="B189" s="3" t="s">
        <v>0</v>
      </c>
      <c r="C189" s="3" t="s">
        <v>26</v>
      </c>
      <c r="D189" s="2"/>
    </row>
    <row r="190" spans="1:4" ht="12.75" customHeight="1" x14ac:dyDescent="0.2">
      <c r="A190" s="21"/>
      <c r="B190" s="3" t="s">
        <v>2</v>
      </c>
      <c r="C190" s="3" t="s">
        <v>122</v>
      </c>
      <c r="D190" s="2"/>
    </row>
    <row r="191" spans="1:4" ht="12.75" customHeight="1" x14ac:dyDescent="0.2">
      <c r="A191" s="21"/>
      <c r="B191" s="3" t="s">
        <v>4</v>
      </c>
      <c r="C191" s="3" t="s">
        <v>153</v>
      </c>
      <c r="D191" s="2"/>
    </row>
    <row r="192" spans="1:4" ht="12.75" customHeight="1" x14ac:dyDescent="0.2">
      <c r="A192" s="21"/>
      <c r="B192" s="3" t="s">
        <v>6</v>
      </c>
      <c r="C192" s="3" t="s">
        <v>46</v>
      </c>
      <c r="D192" s="2"/>
    </row>
    <row r="193" spans="1:4" ht="12.75" customHeight="1" x14ac:dyDescent="0.2">
      <c r="A193" s="21"/>
      <c r="B193" s="3" t="s">
        <v>8</v>
      </c>
      <c r="C193" s="3" t="s">
        <v>153</v>
      </c>
      <c r="D193" s="2"/>
    </row>
    <row r="194" spans="1:4" ht="12.75" customHeight="1" x14ac:dyDescent="0.2">
      <c r="A194" s="21"/>
      <c r="B194" s="3" t="s">
        <v>9</v>
      </c>
      <c r="C194" s="3" t="s">
        <v>164</v>
      </c>
      <c r="D194" s="2"/>
    </row>
    <row r="195" spans="1:4" ht="12.75" customHeight="1" x14ac:dyDescent="0.2">
      <c r="A195" s="21"/>
      <c r="B195" s="3" t="s">
        <v>11</v>
      </c>
      <c r="C195" s="3" t="s">
        <v>165</v>
      </c>
      <c r="D195" s="2"/>
    </row>
    <row r="196" spans="1:4" ht="12.75" customHeight="1" x14ac:dyDescent="0.2">
      <c r="A196" s="21"/>
      <c r="B196" s="3" t="s">
        <v>13</v>
      </c>
      <c r="C196" s="3" t="s">
        <v>14</v>
      </c>
      <c r="D196" s="2"/>
    </row>
    <row r="197" spans="1:4" ht="12.75" customHeight="1" x14ac:dyDescent="0.2">
      <c r="A197" s="21"/>
      <c r="B197" s="3" t="s">
        <v>15</v>
      </c>
      <c r="C197" s="3" t="s">
        <v>14</v>
      </c>
      <c r="D197" s="2"/>
    </row>
    <row r="198" spans="1:4" ht="12.75" customHeight="1" x14ac:dyDescent="0.2">
      <c r="A198" s="21"/>
      <c r="B198" s="3" t="s">
        <v>16</v>
      </c>
      <c r="C198" s="3"/>
      <c r="D198" s="2"/>
    </row>
    <row r="199" spans="1:4" ht="12.75" customHeight="1" x14ac:dyDescent="0.2">
      <c r="A199" s="21"/>
      <c r="B199" s="3" t="s">
        <v>17</v>
      </c>
      <c r="C199" s="3"/>
      <c r="D199" s="2"/>
    </row>
    <row r="200" spans="1:4" ht="12.75" customHeight="1" x14ac:dyDescent="0.2">
      <c r="A200" s="21"/>
      <c r="B200" s="3" t="s">
        <v>18</v>
      </c>
      <c r="C200" s="4" t="s">
        <v>19</v>
      </c>
      <c r="D200" s="2"/>
    </row>
    <row r="201" spans="1:4" ht="12.75" customHeight="1" x14ac:dyDescent="0.2">
      <c r="A201" s="5"/>
      <c r="B201" s="2"/>
      <c r="C201" s="2"/>
      <c r="D201" s="2"/>
    </row>
    <row r="202" spans="1:4" ht="12.75" customHeight="1" x14ac:dyDescent="0.2">
      <c r="A202" s="22" t="str">
        <f>HYPERLINK("javascript:void(0)","varázshusáng")</f>
        <v>varázshusáng</v>
      </c>
      <c r="B202" s="21"/>
      <c r="C202" s="21"/>
      <c r="D202" s="21"/>
    </row>
    <row r="203" spans="1:4" ht="12.75" customHeight="1" x14ac:dyDescent="0.2">
      <c r="A203" s="20"/>
      <c r="B203" s="2"/>
      <c r="C203" s="2"/>
      <c r="D203" s="2"/>
    </row>
    <row r="204" spans="1:4" ht="12.75" customHeight="1" x14ac:dyDescent="0.2">
      <c r="A204" s="21"/>
      <c r="B204" s="3" t="s">
        <v>0</v>
      </c>
      <c r="C204" s="20" t="s">
        <v>26</v>
      </c>
      <c r="D204" s="21"/>
    </row>
    <row r="205" spans="1:4" ht="12.75" customHeight="1" x14ac:dyDescent="0.2">
      <c r="A205" s="21"/>
      <c r="B205" s="3" t="s">
        <v>2</v>
      </c>
      <c r="C205" s="20" t="s">
        <v>122</v>
      </c>
      <c r="D205" s="21"/>
    </row>
    <row r="206" spans="1:4" ht="12.75" customHeight="1" x14ac:dyDescent="0.2">
      <c r="A206" s="21"/>
      <c r="B206" s="3" t="s">
        <v>4</v>
      </c>
      <c r="C206" s="20" t="s">
        <v>38</v>
      </c>
      <c r="D206" s="21"/>
    </row>
    <row r="207" spans="1:4" ht="12.75" customHeight="1" x14ac:dyDescent="0.2">
      <c r="A207" s="21"/>
      <c r="B207" s="3" t="s">
        <v>6</v>
      </c>
      <c r="C207" s="20" t="s">
        <v>64</v>
      </c>
      <c r="D207" s="21"/>
    </row>
    <row r="208" spans="1:4" ht="12.75" customHeight="1" x14ac:dyDescent="0.2">
      <c r="A208" s="21"/>
      <c r="B208" s="3" t="s">
        <v>8</v>
      </c>
      <c r="C208" s="20" t="s">
        <v>38</v>
      </c>
      <c r="D208" s="21"/>
    </row>
    <row r="209" spans="1:4" ht="12.75" customHeight="1" x14ac:dyDescent="0.2">
      <c r="A209" s="21"/>
      <c r="B209" s="3" t="s">
        <v>9</v>
      </c>
      <c r="C209" s="20" t="s">
        <v>129</v>
      </c>
      <c r="D209" s="21"/>
    </row>
    <row r="210" spans="1:4" ht="12.75" customHeight="1" x14ac:dyDescent="0.2">
      <c r="A210" s="21"/>
      <c r="B210" s="3" t="s">
        <v>11</v>
      </c>
      <c r="C210" s="20" t="s">
        <v>37</v>
      </c>
      <c r="D210" s="21"/>
    </row>
    <row r="211" spans="1:4" ht="12.75" customHeight="1" x14ac:dyDescent="0.2">
      <c r="A211" s="21"/>
      <c r="B211" s="3" t="s">
        <v>13</v>
      </c>
      <c r="C211" s="20" t="s">
        <v>24</v>
      </c>
      <c r="D211" s="21"/>
    </row>
    <row r="212" spans="1:4" ht="12.75" customHeight="1" x14ac:dyDescent="0.2">
      <c r="A212" s="21"/>
      <c r="B212" s="3" t="s">
        <v>15</v>
      </c>
      <c r="C212" s="20" t="s">
        <v>14</v>
      </c>
      <c r="D212" s="21"/>
    </row>
    <row r="213" spans="1:4" ht="12.75" customHeight="1" x14ac:dyDescent="0.2">
      <c r="A213" s="21"/>
      <c r="B213" s="3" t="s">
        <v>16</v>
      </c>
      <c r="C213" s="20"/>
      <c r="D213" s="21"/>
    </row>
    <row r="214" spans="1:4" ht="12.75" customHeight="1" x14ac:dyDescent="0.2">
      <c r="A214" s="21"/>
      <c r="B214" s="3" t="s">
        <v>17</v>
      </c>
      <c r="C214" s="20"/>
      <c r="D214" s="21"/>
    </row>
    <row r="215" spans="1:4" ht="12.75" customHeight="1" x14ac:dyDescent="0.2">
      <c r="A215" s="21"/>
      <c r="B215" s="20" t="s">
        <v>18</v>
      </c>
      <c r="C215" s="4" t="s">
        <v>44</v>
      </c>
      <c r="D215" s="6" t="str">
        <f>HYPERLINK("javascript:void(0)","savkristály")</f>
        <v>savkristály</v>
      </c>
    </row>
    <row r="216" spans="1:4" ht="12.75" customHeight="1" x14ac:dyDescent="0.2">
      <c r="A216" s="21"/>
      <c r="B216" s="21"/>
      <c r="C216" s="4" t="s">
        <v>44</v>
      </c>
      <c r="D216" s="6" t="str">
        <f>HYPERLINK("javascript:void(0)","vakond bőr")</f>
        <v>vakond bőr</v>
      </c>
    </row>
    <row r="217" spans="1:4" ht="12.75" customHeight="1" x14ac:dyDescent="0.2">
      <c r="A217" s="21"/>
      <c r="B217" s="21"/>
      <c r="C217" s="4" t="s">
        <v>44</v>
      </c>
      <c r="D217" s="6" t="str">
        <f>HYPERLINK("javascript:void(0)","husáng")</f>
        <v>husáng</v>
      </c>
    </row>
    <row r="218" spans="1:4" ht="12.75" customHeight="1" x14ac:dyDescent="0.2">
      <c r="A218" s="5"/>
      <c r="B218" s="2"/>
      <c r="C218" s="2"/>
      <c r="D218" s="2"/>
    </row>
    <row r="219" spans="1:4" ht="12.75" customHeight="1" x14ac:dyDescent="0.2">
      <c r="A219" s="22" t="str">
        <f>HYPERLINK("javascript:void(0)","antianyag bunkó")</f>
        <v>antianyag bunkó</v>
      </c>
      <c r="B219" s="21"/>
      <c r="C219" s="21"/>
      <c r="D219" s="2"/>
    </row>
    <row r="220" spans="1:4" ht="12.75" customHeight="1" x14ac:dyDescent="0.2">
      <c r="A220" s="20"/>
      <c r="B220" s="2"/>
      <c r="C220" s="2"/>
      <c r="D220" s="2"/>
    </row>
    <row r="221" spans="1:4" ht="12.75" customHeight="1" x14ac:dyDescent="0.2">
      <c r="A221" s="21"/>
      <c r="B221" s="3" t="s">
        <v>0</v>
      </c>
      <c r="C221" s="3" t="s">
        <v>26</v>
      </c>
      <c r="D221" s="2"/>
    </row>
    <row r="222" spans="1:4" ht="12.75" customHeight="1" x14ac:dyDescent="0.2">
      <c r="A222" s="21"/>
      <c r="B222" s="3" t="s">
        <v>2</v>
      </c>
      <c r="C222" s="3" t="s">
        <v>122</v>
      </c>
      <c r="D222" s="2"/>
    </row>
    <row r="223" spans="1:4" ht="12.75" customHeight="1" x14ac:dyDescent="0.2">
      <c r="A223" s="21"/>
      <c r="B223" s="3" t="s">
        <v>4</v>
      </c>
      <c r="C223" s="3" t="s">
        <v>155</v>
      </c>
      <c r="D223" s="2"/>
    </row>
    <row r="224" spans="1:4" ht="12.75" customHeight="1" x14ac:dyDescent="0.2">
      <c r="A224" s="21"/>
      <c r="B224" s="3" t="s">
        <v>6</v>
      </c>
      <c r="C224" s="3" t="s">
        <v>40</v>
      </c>
      <c r="D224" s="2"/>
    </row>
    <row r="225" spans="1:4" ht="12.75" customHeight="1" x14ac:dyDescent="0.2">
      <c r="A225" s="21"/>
      <c r="B225" s="3" t="s">
        <v>8</v>
      </c>
      <c r="C225" s="3" t="s">
        <v>155</v>
      </c>
      <c r="D225" s="2"/>
    </row>
    <row r="226" spans="1:4" ht="12.75" customHeight="1" x14ac:dyDescent="0.2">
      <c r="A226" s="21"/>
      <c r="B226" s="3" t="s">
        <v>9</v>
      </c>
      <c r="C226" s="3" t="s">
        <v>169</v>
      </c>
      <c r="D226" s="2"/>
    </row>
    <row r="227" spans="1:4" ht="25.5" customHeight="1" x14ac:dyDescent="0.2">
      <c r="A227" s="21"/>
      <c r="B227" s="3" t="s">
        <v>11</v>
      </c>
      <c r="C227" s="3" t="s">
        <v>170</v>
      </c>
      <c r="D227" s="2"/>
    </row>
    <row r="228" spans="1:4" ht="12.75" customHeight="1" x14ac:dyDescent="0.2">
      <c r="A228" s="21"/>
      <c r="B228" s="3" t="s">
        <v>13</v>
      </c>
      <c r="C228" s="3" t="s">
        <v>14</v>
      </c>
      <c r="D228" s="2"/>
    </row>
    <row r="229" spans="1:4" ht="12.75" customHeight="1" x14ac:dyDescent="0.2">
      <c r="A229" s="21"/>
      <c r="B229" s="3" t="s">
        <v>15</v>
      </c>
      <c r="C229" s="3" t="s">
        <v>24</v>
      </c>
      <c r="D229" s="2"/>
    </row>
    <row r="230" spans="1:4" ht="12.75" customHeight="1" x14ac:dyDescent="0.2">
      <c r="A230" s="21"/>
      <c r="B230" s="3" t="s">
        <v>16</v>
      </c>
      <c r="C230" s="3"/>
      <c r="D230" s="2"/>
    </row>
    <row r="231" spans="1:4" ht="12.75" customHeight="1" x14ac:dyDescent="0.2">
      <c r="A231" s="21"/>
      <c r="B231" s="3" t="s">
        <v>17</v>
      </c>
      <c r="C231" s="3"/>
      <c r="D231" s="2"/>
    </row>
    <row r="232" spans="1:4" ht="12.75" customHeight="1" x14ac:dyDescent="0.2">
      <c r="A232" s="21"/>
      <c r="B232" s="3" t="s">
        <v>18</v>
      </c>
      <c r="C232" s="4" t="s">
        <v>19</v>
      </c>
      <c r="D232" s="2"/>
    </row>
    <row r="233" spans="1:4" ht="12.75" customHeight="1" x14ac:dyDescent="0.2">
      <c r="A233" s="5"/>
      <c r="B233" s="2"/>
      <c r="C233" s="2"/>
      <c r="D233" s="2"/>
    </row>
    <row r="234" spans="1:4" ht="12.75" customHeight="1" x14ac:dyDescent="0.2">
      <c r="A234" s="22" t="str">
        <f>HYPERLINK("javascript:void(0)","bronz nuncsaku")</f>
        <v>bronz nuncsaku</v>
      </c>
      <c r="B234" s="21"/>
      <c r="C234" s="21"/>
      <c r="D234" s="21"/>
    </row>
    <row r="235" spans="1:4" ht="12.75" customHeight="1" x14ac:dyDescent="0.2">
      <c r="A235" s="20"/>
      <c r="B235" s="2"/>
      <c r="C235" s="2"/>
      <c r="D235" s="2"/>
    </row>
    <row r="236" spans="1:4" ht="12.75" customHeight="1" x14ac:dyDescent="0.2">
      <c r="A236" s="21"/>
      <c r="B236" s="3" t="s">
        <v>0</v>
      </c>
      <c r="C236" s="20" t="s">
        <v>26</v>
      </c>
      <c r="D236" s="21"/>
    </row>
    <row r="237" spans="1:4" ht="12.75" customHeight="1" x14ac:dyDescent="0.2">
      <c r="A237" s="21"/>
      <c r="B237" s="3" t="s">
        <v>2</v>
      </c>
      <c r="C237" s="20" t="s">
        <v>122</v>
      </c>
      <c r="D237" s="21"/>
    </row>
    <row r="238" spans="1:4" ht="12.75" customHeight="1" x14ac:dyDescent="0.2">
      <c r="A238" s="21"/>
      <c r="B238" s="3" t="s">
        <v>4</v>
      </c>
      <c r="C238" s="20" t="s">
        <v>88</v>
      </c>
      <c r="D238" s="21"/>
    </row>
    <row r="239" spans="1:4" ht="12.75" customHeight="1" x14ac:dyDescent="0.2">
      <c r="A239" s="21"/>
      <c r="B239" s="3" t="s">
        <v>6</v>
      </c>
      <c r="C239" s="20" t="s">
        <v>123</v>
      </c>
      <c r="D239" s="21"/>
    </row>
    <row r="240" spans="1:4" ht="12.75" customHeight="1" x14ac:dyDescent="0.2">
      <c r="A240" s="21"/>
      <c r="B240" s="3" t="s">
        <v>8</v>
      </c>
      <c r="C240" s="20" t="s">
        <v>88</v>
      </c>
      <c r="D240" s="21"/>
    </row>
    <row r="241" spans="1:4" ht="12.75" customHeight="1" x14ac:dyDescent="0.2">
      <c r="A241" s="21"/>
      <c r="B241" s="3" t="s">
        <v>9</v>
      </c>
      <c r="C241" s="20" t="s">
        <v>126</v>
      </c>
      <c r="D241" s="21"/>
    </row>
    <row r="242" spans="1:4" ht="12.75" customHeight="1" x14ac:dyDescent="0.2">
      <c r="A242" s="21"/>
      <c r="B242" s="3" t="s">
        <v>11</v>
      </c>
      <c r="C242" s="20" t="s">
        <v>174</v>
      </c>
      <c r="D242" s="21"/>
    </row>
    <row r="243" spans="1:4" ht="12.75" customHeight="1" x14ac:dyDescent="0.2">
      <c r="A243" s="21"/>
      <c r="B243" s="3" t="s">
        <v>13</v>
      </c>
      <c r="C243" s="20" t="s">
        <v>14</v>
      </c>
      <c r="D243" s="21"/>
    </row>
    <row r="244" spans="1:4" ht="12.75" customHeight="1" x14ac:dyDescent="0.2">
      <c r="A244" s="21"/>
      <c r="B244" s="3" t="s">
        <v>15</v>
      </c>
      <c r="C244" s="20" t="s">
        <v>14</v>
      </c>
      <c r="D244" s="21"/>
    </row>
    <row r="245" spans="1:4" ht="12.75" customHeight="1" x14ac:dyDescent="0.2">
      <c r="A245" s="21"/>
      <c r="B245" s="3" t="s">
        <v>16</v>
      </c>
      <c r="C245" s="20"/>
      <c r="D245" s="21"/>
    </row>
    <row r="246" spans="1:4" ht="12.75" customHeight="1" x14ac:dyDescent="0.2">
      <c r="A246" s="21"/>
      <c r="B246" s="3" t="s">
        <v>17</v>
      </c>
      <c r="C246" s="20"/>
      <c r="D246" s="21"/>
    </row>
    <row r="247" spans="1:4" ht="12.75" customHeight="1" x14ac:dyDescent="0.2">
      <c r="A247" s="21"/>
      <c r="B247" s="20" t="s">
        <v>18</v>
      </c>
      <c r="C247" s="4" t="s">
        <v>44</v>
      </c>
      <c r="D247" s="6" t="str">
        <f>HYPERLINK("javascript:void(0)","fa nuncsaku")</f>
        <v>fa nuncsaku</v>
      </c>
    </row>
    <row r="248" spans="1:4" ht="12.75" customHeight="1" x14ac:dyDescent="0.2">
      <c r="A248" s="21"/>
      <c r="B248" s="21"/>
      <c r="C248" s="4" t="s">
        <v>56</v>
      </c>
      <c r="D248" s="6" t="str">
        <f>HYPERLINK("javascript:void(0)","óngolyó")</f>
        <v>óngolyó</v>
      </c>
    </row>
    <row r="249" spans="1:4" ht="12.75" customHeight="1" x14ac:dyDescent="0.2">
      <c r="A249" s="21"/>
      <c r="B249" s="21"/>
      <c r="C249" s="4" t="s">
        <v>56</v>
      </c>
      <c r="D249" s="6" t="str">
        <f>HYPERLINK("javascript:void(0)","rézérc")</f>
        <v>rézérc</v>
      </c>
    </row>
    <row r="250" spans="1:4" ht="12.75" customHeight="1" x14ac:dyDescent="0.2">
      <c r="A250" s="5"/>
      <c r="B250" s="2"/>
      <c r="C250" s="2"/>
      <c r="D250" s="2"/>
    </row>
    <row r="251" spans="1:4" ht="12.75" customHeight="1" x14ac:dyDescent="0.2">
      <c r="A251" s="22" t="str">
        <f>HYPERLINK("javascript:void(0)","acél csatacsillag")</f>
        <v>acél csatacsillag</v>
      </c>
      <c r="B251" s="21"/>
      <c r="C251" s="21"/>
      <c r="D251" s="21"/>
    </row>
    <row r="252" spans="1:4" ht="12.75" customHeight="1" x14ac:dyDescent="0.2">
      <c r="A252" s="20"/>
      <c r="B252" s="2"/>
      <c r="C252" s="2"/>
      <c r="D252" s="2"/>
    </row>
    <row r="253" spans="1:4" ht="12.75" customHeight="1" x14ac:dyDescent="0.2">
      <c r="A253" s="21"/>
      <c r="B253" s="3" t="s">
        <v>0</v>
      </c>
      <c r="C253" s="20" t="s">
        <v>40</v>
      </c>
      <c r="D253" s="21"/>
    </row>
    <row r="254" spans="1:4" ht="12.75" customHeight="1" x14ac:dyDescent="0.2">
      <c r="A254" s="21"/>
      <c r="B254" s="3" t="s">
        <v>2</v>
      </c>
      <c r="C254" s="20" t="s">
        <v>122</v>
      </c>
      <c r="D254" s="21"/>
    </row>
    <row r="255" spans="1:4" ht="12.75" customHeight="1" x14ac:dyDescent="0.2">
      <c r="A255" s="21"/>
      <c r="B255" s="3" t="s">
        <v>4</v>
      </c>
      <c r="C255" s="20" t="s">
        <v>178</v>
      </c>
      <c r="D255" s="21"/>
    </row>
    <row r="256" spans="1:4" ht="12.75" customHeight="1" x14ac:dyDescent="0.2">
      <c r="A256" s="21"/>
      <c r="B256" s="3" t="s">
        <v>6</v>
      </c>
      <c r="C256" s="20" t="s">
        <v>33</v>
      </c>
      <c r="D256" s="21"/>
    </row>
    <row r="257" spans="1:4" ht="12.75" customHeight="1" x14ac:dyDescent="0.2">
      <c r="A257" s="21"/>
      <c r="B257" s="3" t="s">
        <v>8</v>
      </c>
      <c r="C257" s="20" t="s">
        <v>178</v>
      </c>
      <c r="D257" s="21"/>
    </row>
    <row r="258" spans="1:4" ht="12.75" customHeight="1" x14ac:dyDescent="0.2">
      <c r="A258" s="21"/>
      <c r="B258" s="3" t="s">
        <v>9</v>
      </c>
      <c r="C258" s="20" t="s">
        <v>179</v>
      </c>
      <c r="D258" s="21"/>
    </row>
    <row r="259" spans="1:4" ht="12.75" customHeight="1" x14ac:dyDescent="0.2">
      <c r="A259" s="21"/>
      <c r="B259" s="3" t="s">
        <v>11</v>
      </c>
      <c r="C259" s="20" t="s">
        <v>180</v>
      </c>
      <c r="D259" s="21"/>
    </row>
    <row r="260" spans="1:4" ht="12.75" customHeight="1" x14ac:dyDescent="0.2">
      <c r="A260" s="21"/>
      <c r="B260" s="3" t="s">
        <v>13</v>
      </c>
      <c r="C260" s="20" t="s">
        <v>14</v>
      </c>
      <c r="D260" s="21"/>
    </row>
    <row r="261" spans="1:4" ht="12.75" customHeight="1" x14ac:dyDescent="0.2">
      <c r="A261" s="21"/>
      <c r="B261" s="3" t="s">
        <v>15</v>
      </c>
      <c r="C261" s="20" t="s">
        <v>14</v>
      </c>
      <c r="D261" s="21"/>
    </row>
    <row r="262" spans="1:4" ht="12.75" customHeight="1" x14ac:dyDescent="0.2">
      <c r="A262" s="21"/>
      <c r="B262" s="3" t="s">
        <v>16</v>
      </c>
      <c r="C262" s="20"/>
      <c r="D262" s="21"/>
    </row>
    <row r="263" spans="1:4" ht="12.75" customHeight="1" x14ac:dyDescent="0.2">
      <c r="A263" s="21"/>
      <c r="B263" s="3" t="s">
        <v>17</v>
      </c>
      <c r="C263" s="20"/>
      <c r="D263" s="21"/>
    </row>
    <row r="264" spans="1:4" ht="12.75" customHeight="1" x14ac:dyDescent="0.2">
      <c r="A264" s="21"/>
      <c r="B264" s="20" t="s">
        <v>18</v>
      </c>
      <c r="C264" s="4" t="s">
        <v>44</v>
      </c>
      <c r="D264" s="6" t="str">
        <f>HYPERLINK("javascript:void(0)","bronz csatacsillag")</f>
        <v>bronz csatacsillag</v>
      </c>
    </row>
    <row r="265" spans="1:4" ht="12.75" customHeight="1" x14ac:dyDescent="0.2">
      <c r="A265" s="21"/>
      <c r="B265" s="21"/>
      <c r="C265" s="4" t="s">
        <v>77</v>
      </c>
      <c r="D265" s="6" t="str">
        <f>HYPERLINK("javascript:void(0)","vasérc")</f>
        <v>vasérc</v>
      </c>
    </row>
    <row r="266" spans="1:4" ht="12.75" customHeight="1" x14ac:dyDescent="0.2">
      <c r="A266" s="21"/>
      <c r="B266" s="21"/>
      <c r="C266" s="4" t="s">
        <v>67</v>
      </c>
      <c r="D266" s="6" t="str">
        <f>HYPERLINK("javascript:void(0)","acélrugó")</f>
        <v>acélrugó</v>
      </c>
    </row>
    <row r="267" spans="1:4" ht="12.75" customHeight="1" x14ac:dyDescent="0.2">
      <c r="A267" s="5"/>
      <c r="B267" s="2"/>
      <c r="C267" s="2"/>
      <c r="D267" s="2"/>
    </row>
    <row r="268" spans="1:4" ht="12.75" customHeight="1" x14ac:dyDescent="0.2">
      <c r="A268" s="22" t="str">
        <f>HYPERLINK("javascript:void(0)","3 hetes kenyér")</f>
        <v>3 hetes kenyér</v>
      </c>
      <c r="B268" s="21"/>
      <c r="C268" s="21"/>
      <c r="D268" s="21"/>
    </row>
    <row r="269" spans="1:4" ht="12.75" customHeight="1" x14ac:dyDescent="0.2">
      <c r="A269" s="20"/>
      <c r="B269" s="2"/>
      <c r="C269" s="2"/>
      <c r="D269" s="2"/>
    </row>
    <row r="270" spans="1:4" ht="12.75" customHeight="1" x14ac:dyDescent="0.2">
      <c r="A270" s="21"/>
      <c r="B270" s="3" t="s">
        <v>0</v>
      </c>
      <c r="C270" s="20" t="s">
        <v>40</v>
      </c>
      <c r="D270" s="21"/>
    </row>
    <row r="271" spans="1:4" ht="12.75" customHeight="1" x14ac:dyDescent="0.2">
      <c r="A271" s="21"/>
      <c r="B271" s="3" t="s">
        <v>2</v>
      </c>
      <c r="C271" s="20" t="s">
        <v>122</v>
      </c>
      <c r="D271" s="21"/>
    </row>
    <row r="272" spans="1:4" ht="12.75" customHeight="1" x14ac:dyDescent="0.2">
      <c r="A272" s="21"/>
      <c r="B272" s="3" t="s">
        <v>4</v>
      </c>
      <c r="C272" s="20" t="s">
        <v>107</v>
      </c>
      <c r="D272" s="21"/>
    </row>
    <row r="273" spans="1:4" ht="12.75" customHeight="1" x14ac:dyDescent="0.2">
      <c r="A273" s="21"/>
      <c r="B273" s="3" t="s">
        <v>6</v>
      </c>
      <c r="C273" s="20" t="s">
        <v>51</v>
      </c>
      <c r="D273" s="21"/>
    </row>
    <row r="274" spans="1:4" ht="12.75" customHeight="1" x14ac:dyDescent="0.2">
      <c r="A274" s="21"/>
      <c r="B274" s="3" t="s">
        <v>8</v>
      </c>
      <c r="C274" s="20" t="s">
        <v>107</v>
      </c>
      <c r="D274" s="21"/>
    </row>
    <row r="275" spans="1:4" ht="12.75" customHeight="1" x14ac:dyDescent="0.2">
      <c r="A275" s="21"/>
      <c r="B275" s="3" t="s">
        <v>9</v>
      </c>
      <c r="C275" s="20" t="s">
        <v>124</v>
      </c>
      <c r="D275" s="21"/>
    </row>
    <row r="276" spans="1:4" ht="12.75" customHeight="1" x14ac:dyDescent="0.2">
      <c r="A276" s="21"/>
      <c r="B276" s="3" t="s">
        <v>11</v>
      </c>
      <c r="C276" s="20" t="s">
        <v>183</v>
      </c>
      <c r="D276" s="21"/>
    </row>
    <row r="277" spans="1:4" ht="12.75" customHeight="1" x14ac:dyDescent="0.2">
      <c r="A277" s="21"/>
      <c r="B277" s="3" t="s">
        <v>13</v>
      </c>
      <c r="C277" s="20" t="s">
        <v>14</v>
      </c>
      <c r="D277" s="21"/>
    </row>
    <row r="278" spans="1:4" ht="12.75" customHeight="1" x14ac:dyDescent="0.2">
      <c r="A278" s="21"/>
      <c r="B278" s="3" t="s">
        <v>15</v>
      </c>
      <c r="C278" s="20" t="s">
        <v>14</v>
      </c>
      <c r="D278" s="21"/>
    </row>
    <row r="279" spans="1:4" ht="12.75" customHeight="1" x14ac:dyDescent="0.2">
      <c r="A279" s="21"/>
      <c r="B279" s="3" t="s">
        <v>16</v>
      </c>
      <c r="C279" s="20"/>
      <c r="D279" s="21"/>
    </row>
    <row r="280" spans="1:4" ht="12.75" customHeight="1" x14ac:dyDescent="0.2">
      <c r="A280" s="21"/>
      <c r="B280" s="3" t="s">
        <v>17</v>
      </c>
      <c r="C280" s="20"/>
      <c r="D280" s="21"/>
    </row>
    <row r="281" spans="1:4" ht="12.75" customHeight="1" x14ac:dyDescent="0.2">
      <c r="A281" s="21"/>
      <c r="B281" s="20" t="s">
        <v>18</v>
      </c>
      <c r="C281" s="4" t="s">
        <v>44</v>
      </c>
      <c r="D281" s="6" t="str">
        <f>HYPERLINK("javascript:void(0)","2 hetes kenyér")</f>
        <v>2 hetes kenyér</v>
      </c>
    </row>
    <row r="282" spans="1:4" ht="12.75" customHeight="1" x14ac:dyDescent="0.2">
      <c r="A282" s="21"/>
      <c r="B282" s="21"/>
      <c r="C282" s="4" t="s">
        <v>44</v>
      </c>
      <c r="D282" s="6" t="str">
        <f>HYPERLINK("javascript:void(0)","démonnyúlmáj")</f>
        <v>démonnyúlmáj</v>
      </c>
    </row>
    <row r="283" spans="1:4" ht="12.75" customHeight="1" x14ac:dyDescent="0.2">
      <c r="A283" s="21"/>
      <c r="B283" s="21"/>
      <c r="C283" s="4" t="s">
        <v>44</v>
      </c>
      <c r="D283" s="6" t="str">
        <f>HYPERLINK("javascript:void(0)","patkányzsír")</f>
        <v>patkányzsír</v>
      </c>
    </row>
    <row r="284" spans="1:4" ht="12.75" customHeight="1" x14ac:dyDescent="0.2">
      <c r="A284" s="5"/>
      <c r="B284" s="2"/>
      <c r="C284" s="2"/>
      <c r="D284" s="2"/>
    </row>
    <row r="285" spans="1:4" ht="12.75" customHeight="1" x14ac:dyDescent="0.2">
      <c r="A285" s="22" t="str">
        <f>HYPERLINK("javascript:void(0)","sziklabunkó")</f>
        <v>sziklabunkó</v>
      </c>
      <c r="B285" s="21"/>
      <c r="C285" s="21"/>
      <c r="D285" s="2"/>
    </row>
    <row r="286" spans="1:4" ht="12.75" customHeight="1" x14ac:dyDescent="0.2">
      <c r="A286" s="20"/>
      <c r="B286" s="2"/>
      <c r="C286" s="2"/>
      <c r="D286" s="2"/>
    </row>
    <row r="287" spans="1:4" ht="12.75" customHeight="1" x14ac:dyDescent="0.2">
      <c r="A287" s="21"/>
      <c r="B287" s="3" t="s">
        <v>0</v>
      </c>
      <c r="C287" s="3" t="s">
        <v>128</v>
      </c>
      <c r="D287" s="2"/>
    </row>
    <row r="288" spans="1:4" ht="12.75" customHeight="1" x14ac:dyDescent="0.2">
      <c r="A288" s="21"/>
      <c r="B288" s="3" t="s">
        <v>2</v>
      </c>
      <c r="C288" s="3" t="s">
        <v>122</v>
      </c>
      <c r="D288" s="2"/>
    </row>
    <row r="289" spans="1:4" ht="12.75" customHeight="1" x14ac:dyDescent="0.2">
      <c r="A289" s="21"/>
      <c r="B289" s="3" t="s">
        <v>4</v>
      </c>
      <c r="C289" s="3" t="s">
        <v>187</v>
      </c>
      <c r="D289" s="2"/>
    </row>
    <row r="290" spans="1:4" ht="12.75" customHeight="1" x14ac:dyDescent="0.2">
      <c r="A290" s="21"/>
      <c r="B290" s="3" t="s">
        <v>6</v>
      </c>
      <c r="C290" s="3" t="s">
        <v>86</v>
      </c>
      <c r="D290" s="2"/>
    </row>
    <row r="291" spans="1:4" ht="12.75" customHeight="1" x14ac:dyDescent="0.2">
      <c r="A291" s="21"/>
      <c r="B291" s="3" t="s">
        <v>8</v>
      </c>
      <c r="C291" s="3" t="s">
        <v>187</v>
      </c>
      <c r="D291" s="2"/>
    </row>
    <row r="292" spans="1:4" ht="12.75" customHeight="1" x14ac:dyDescent="0.2">
      <c r="A292" s="21"/>
      <c r="B292" s="3" t="s">
        <v>9</v>
      </c>
      <c r="C292" s="3" t="s">
        <v>75</v>
      </c>
      <c r="D292" s="2"/>
    </row>
    <row r="293" spans="1:4" ht="12.75" customHeight="1" x14ac:dyDescent="0.2">
      <c r="A293" s="21"/>
      <c r="B293" s="3" t="s">
        <v>11</v>
      </c>
      <c r="C293" s="3" t="s">
        <v>158</v>
      </c>
      <c r="D293" s="2"/>
    </row>
    <row r="294" spans="1:4" ht="12.75" customHeight="1" x14ac:dyDescent="0.2">
      <c r="A294" s="21"/>
      <c r="B294" s="3" t="s">
        <v>13</v>
      </c>
      <c r="C294" s="3" t="s">
        <v>14</v>
      </c>
      <c r="D294" s="2"/>
    </row>
    <row r="295" spans="1:4" ht="12.75" customHeight="1" x14ac:dyDescent="0.2">
      <c r="A295" s="21"/>
      <c r="B295" s="3" t="s">
        <v>15</v>
      </c>
      <c r="C295" s="3" t="s">
        <v>14</v>
      </c>
      <c r="D295" s="2"/>
    </row>
    <row r="296" spans="1:4" ht="12.75" customHeight="1" x14ac:dyDescent="0.2">
      <c r="A296" s="21"/>
      <c r="B296" s="3" t="s">
        <v>16</v>
      </c>
      <c r="C296" s="3"/>
      <c r="D296" s="2"/>
    </row>
    <row r="297" spans="1:4" ht="12.75" customHeight="1" x14ac:dyDescent="0.2">
      <c r="A297" s="21"/>
      <c r="B297" s="3" t="s">
        <v>17</v>
      </c>
      <c r="C297" s="3"/>
      <c r="D297" s="2"/>
    </row>
    <row r="298" spans="1:4" ht="12.75" customHeight="1" x14ac:dyDescent="0.2">
      <c r="A298" s="21"/>
      <c r="B298" s="3" t="s">
        <v>18</v>
      </c>
      <c r="C298" s="4" t="s">
        <v>19</v>
      </c>
      <c r="D298" s="2"/>
    </row>
    <row r="299" spans="1:4" ht="12.75" customHeight="1" x14ac:dyDescent="0.2">
      <c r="A299" s="5"/>
      <c r="B299" s="2"/>
      <c r="C299" s="2"/>
      <c r="D299" s="2"/>
    </row>
    <row r="300" spans="1:4" ht="12.75" customHeight="1" x14ac:dyDescent="0.2">
      <c r="A300" s="22" t="str">
        <f>HYPERLINK("javascript:void(0)","vámpírkalapács")</f>
        <v>vámpírkalapács</v>
      </c>
      <c r="B300" s="21"/>
      <c r="C300" s="21"/>
      <c r="D300" s="21"/>
    </row>
    <row r="301" spans="1:4" ht="12.75" customHeight="1" x14ac:dyDescent="0.2">
      <c r="A301" s="20"/>
      <c r="B301" s="2"/>
      <c r="C301" s="2"/>
      <c r="D301" s="2"/>
    </row>
    <row r="302" spans="1:4" ht="12.75" customHeight="1" x14ac:dyDescent="0.2">
      <c r="A302" s="21"/>
      <c r="B302" s="3" t="s">
        <v>0</v>
      </c>
      <c r="C302" s="20" t="s">
        <v>128</v>
      </c>
      <c r="D302" s="21"/>
    </row>
    <row r="303" spans="1:4" ht="12.75" customHeight="1" x14ac:dyDescent="0.2">
      <c r="A303" s="21"/>
      <c r="B303" s="3" t="s">
        <v>2</v>
      </c>
      <c r="C303" s="20" t="s">
        <v>122</v>
      </c>
      <c r="D303" s="21"/>
    </row>
    <row r="304" spans="1:4" ht="12.75" customHeight="1" x14ac:dyDescent="0.2">
      <c r="A304" s="21"/>
      <c r="B304" s="3" t="s">
        <v>4</v>
      </c>
      <c r="C304" s="20" t="s">
        <v>107</v>
      </c>
      <c r="D304" s="21"/>
    </row>
    <row r="305" spans="1:4" ht="12.75" customHeight="1" x14ac:dyDescent="0.2">
      <c r="A305" s="21"/>
      <c r="B305" s="3" t="s">
        <v>6</v>
      </c>
      <c r="C305" s="20" t="s">
        <v>51</v>
      </c>
      <c r="D305" s="21"/>
    </row>
    <row r="306" spans="1:4" ht="12.75" customHeight="1" x14ac:dyDescent="0.2">
      <c r="A306" s="21"/>
      <c r="B306" s="3" t="s">
        <v>8</v>
      </c>
      <c r="C306" s="20" t="s">
        <v>107</v>
      </c>
      <c r="D306" s="21"/>
    </row>
    <row r="307" spans="1:4" ht="12.75" customHeight="1" x14ac:dyDescent="0.2">
      <c r="A307" s="21"/>
      <c r="B307" s="3" t="s">
        <v>9</v>
      </c>
      <c r="C307" s="20" t="s">
        <v>129</v>
      </c>
      <c r="D307" s="21"/>
    </row>
    <row r="308" spans="1:4" ht="12.75" customHeight="1" x14ac:dyDescent="0.2">
      <c r="A308" s="21"/>
      <c r="B308" s="3" t="s">
        <v>11</v>
      </c>
      <c r="C308" s="20" t="s">
        <v>189</v>
      </c>
      <c r="D308" s="21"/>
    </row>
    <row r="309" spans="1:4" ht="12.75" customHeight="1" x14ac:dyDescent="0.2">
      <c r="A309" s="21"/>
      <c r="B309" s="3" t="s">
        <v>13</v>
      </c>
      <c r="C309" s="20" t="s">
        <v>24</v>
      </c>
      <c r="D309" s="21"/>
    </row>
    <row r="310" spans="1:4" ht="12.75" customHeight="1" x14ac:dyDescent="0.2">
      <c r="A310" s="21"/>
      <c r="B310" s="3" t="s">
        <v>15</v>
      </c>
      <c r="C310" s="20" t="s">
        <v>24</v>
      </c>
      <c r="D310" s="21"/>
    </row>
    <row r="311" spans="1:4" ht="12.75" customHeight="1" x14ac:dyDescent="0.2">
      <c r="A311" s="21"/>
      <c r="B311" s="3" t="s">
        <v>16</v>
      </c>
      <c r="C311" s="20"/>
      <c r="D311" s="21"/>
    </row>
    <row r="312" spans="1:4" ht="12.75" customHeight="1" x14ac:dyDescent="0.2">
      <c r="A312" s="21"/>
      <c r="B312" s="3" t="s">
        <v>17</v>
      </c>
      <c r="C312" s="20"/>
      <c r="D312" s="21"/>
    </row>
    <row r="313" spans="1:4" ht="12.75" customHeight="1" x14ac:dyDescent="0.2">
      <c r="A313" s="21"/>
      <c r="B313" s="20" t="s">
        <v>18</v>
      </c>
      <c r="C313" s="4" t="s">
        <v>44</v>
      </c>
      <c r="D313" s="6" t="str">
        <f>HYPERLINK("javascript:void(0)","kalapács")</f>
        <v>kalapács</v>
      </c>
    </row>
    <row r="314" spans="1:4" ht="12.75" customHeight="1" x14ac:dyDescent="0.2">
      <c r="A314" s="21"/>
      <c r="B314" s="21"/>
      <c r="C314" s="4" t="s">
        <v>57</v>
      </c>
      <c r="D314" s="6" t="str">
        <f>HYPERLINK("javascript:void(0)","opál")</f>
        <v>opál</v>
      </c>
    </row>
    <row r="315" spans="1:4" ht="12.75" customHeight="1" x14ac:dyDescent="0.2">
      <c r="A315" s="21"/>
      <c r="B315" s="21"/>
      <c r="C315" s="4" t="s">
        <v>56</v>
      </c>
      <c r="D315" s="6" t="str">
        <f>HYPERLINK("javascript:void(0)","elementál eszencia")</f>
        <v>elementál eszencia</v>
      </c>
    </row>
    <row r="316" spans="1:4" ht="12.75" customHeight="1" x14ac:dyDescent="0.2">
      <c r="A316" s="5"/>
      <c r="B316" s="2"/>
      <c r="C316" s="2"/>
      <c r="D316" s="2"/>
    </row>
    <row r="317" spans="1:4" ht="12.75" customHeight="1" x14ac:dyDescent="0.2">
      <c r="A317" s="22" t="str">
        <f>HYPERLINK("javascript:void(0)","acélbunkó")</f>
        <v>acélbunkó</v>
      </c>
      <c r="B317" s="21"/>
      <c r="C317" s="21"/>
      <c r="D317" s="21"/>
    </row>
    <row r="318" spans="1:4" ht="12.75" customHeight="1" x14ac:dyDescent="0.2">
      <c r="A318" s="20"/>
      <c r="B318" s="2"/>
      <c r="C318" s="2"/>
      <c r="D318" s="2"/>
    </row>
    <row r="319" spans="1:4" ht="12.75" customHeight="1" x14ac:dyDescent="0.2">
      <c r="A319" s="21"/>
      <c r="B319" s="3" t="s">
        <v>0</v>
      </c>
      <c r="C319" s="20" t="s">
        <v>128</v>
      </c>
      <c r="D319" s="21"/>
    </row>
    <row r="320" spans="1:4" ht="12.75" customHeight="1" x14ac:dyDescent="0.2">
      <c r="A320" s="21"/>
      <c r="B320" s="3" t="s">
        <v>2</v>
      </c>
      <c r="C320" s="20" t="s">
        <v>122</v>
      </c>
      <c r="D320" s="21"/>
    </row>
    <row r="321" spans="1:4" ht="12.75" customHeight="1" x14ac:dyDescent="0.2">
      <c r="A321" s="21"/>
      <c r="B321" s="3" t="s">
        <v>4</v>
      </c>
      <c r="C321" s="20" t="s">
        <v>192</v>
      </c>
      <c r="D321" s="21"/>
    </row>
    <row r="322" spans="1:4" ht="12.75" customHeight="1" x14ac:dyDescent="0.2">
      <c r="A322" s="21"/>
      <c r="B322" s="3" t="s">
        <v>6</v>
      </c>
      <c r="C322" s="20" t="s">
        <v>90</v>
      </c>
      <c r="D322" s="21"/>
    </row>
    <row r="323" spans="1:4" ht="12.75" customHeight="1" x14ac:dyDescent="0.2">
      <c r="A323" s="21"/>
      <c r="B323" s="3" t="s">
        <v>8</v>
      </c>
      <c r="C323" s="20" t="s">
        <v>192</v>
      </c>
      <c r="D323" s="21"/>
    </row>
    <row r="324" spans="1:4" ht="12.75" customHeight="1" x14ac:dyDescent="0.2">
      <c r="A324" s="21"/>
      <c r="B324" s="3" t="s">
        <v>9</v>
      </c>
      <c r="C324" s="20" t="s">
        <v>194</v>
      </c>
      <c r="D324" s="21"/>
    </row>
    <row r="325" spans="1:4" ht="12.75" customHeight="1" x14ac:dyDescent="0.2">
      <c r="A325" s="21"/>
      <c r="B325" s="3" t="s">
        <v>11</v>
      </c>
      <c r="C325" s="20" t="s">
        <v>195</v>
      </c>
      <c r="D325" s="21"/>
    </row>
    <row r="326" spans="1:4" ht="12.75" customHeight="1" x14ac:dyDescent="0.2">
      <c r="A326" s="21"/>
      <c r="B326" s="3" t="s">
        <v>13</v>
      </c>
      <c r="C326" s="20" t="s">
        <v>14</v>
      </c>
      <c r="D326" s="21"/>
    </row>
    <row r="327" spans="1:4" ht="12.75" customHeight="1" x14ac:dyDescent="0.2">
      <c r="A327" s="21"/>
      <c r="B327" s="3" t="s">
        <v>15</v>
      </c>
      <c r="C327" s="20" t="s">
        <v>14</v>
      </c>
      <c r="D327" s="21"/>
    </row>
    <row r="328" spans="1:4" ht="12.75" customHeight="1" x14ac:dyDescent="0.2">
      <c r="A328" s="21"/>
      <c r="B328" s="3" t="s">
        <v>16</v>
      </c>
      <c r="C328" s="20"/>
      <c r="D328" s="21"/>
    </row>
    <row r="329" spans="1:4" ht="12.75" customHeight="1" x14ac:dyDescent="0.2">
      <c r="A329" s="21"/>
      <c r="B329" s="3" t="s">
        <v>17</v>
      </c>
      <c r="C329" s="20"/>
      <c r="D329" s="21"/>
    </row>
    <row r="330" spans="1:4" ht="12.75" customHeight="1" x14ac:dyDescent="0.2">
      <c r="A330" s="21"/>
      <c r="B330" s="20" t="s">
        <v>18</v>
      </c>
      <c r="C330" s="4" t="s">
        <v>44</v>
      </c>
      <c r="D330" s="6" t="str">
        <f>HYPERLINK("javascript:void(0)","rézbunkó")</f>
        <v>rézbunkó</v>
      </c>
    </row>
    <row r="331" spans="1:4" ht="12.75" customHeight="1" x14ac:dyDescent="0.2">
      <c r="A331" s="21"/>
      <c r="B331" s="21"/>
      <c r="C331" s="4" t="s">
        <v>196</v>
      </c>
      <c r="D331" s="6" t="str">
        <f>HYPERLINK("javascript:void(0)","vasérc")</f>
        <v>vasérc</v>
      </c>
    </row>
    <row r="332" spans="1:4" ht="12.75" customHeight="1" x14ac:dyDescent="0.2">
      <c r="A332" s="21"/>
      <c r="B332" s="21"/>
      <c r="C332" s="4" t="s">
        <v>56</v>
      </c>
      <c r="D332" s="6" t="str">
        <f>HYPERLINK("javascript:void(0)","gyíkbőr")</f>
        <v>gyíkbőr</v>
      </c>
    </row>
    <row r="333" spans="1:4" ht="12.75" customHeight="1" x14ac:dyDescent="0.2">
      <c r="A333" s="5"/>
      <c r="B333" s="2"/>
      <c r="C333" s="2"/>
      <c r="D333" s="2"/>
    </row>
    <row r="334" spans="1:4" ht="12.75" customHeight="1" x14ac:dyDescent="0.2">
      <c r="A334" s="22" t="str">
        <f>HYPERLINK("javascript:void(0)","acél nuncsaku")</f>
        <v>acél nuncsaku</v>
      </c>
      <c r="B334" s="21"/>
      <c r="C334" s="21"/>
      <c r="D334" s="21"/>
    </row>
    <row r="335" spans="1:4" ht="12.75" customHeight="1" x14ac:dyDescent="0.2">
      <c r="A335" s="20"/>
      <c r="B335" s="2"/>
      <c r="C335" s="2"/>
      <c r="D335" s="2"/>
    </row>
    <row r="336" spans="1:4" ht="12.75" customHeight="1" x14ac:dyDescent="0.2">
      <c r="A336" s="21"/>
      <c r="B336" s="3" t="s">
        <v>0</v>
      </c>
      <c r="C336" s="20" t="s">
        <v>48</v>
      </c>
      <c r="D336" s="21"/>
    </row>
    <row r="337" spans="1:4" ht="12.75" customHeight="1" x14ac:dyDescent="0.2">
      <c r="A337" s="21"/>
      <c r="B337" s="3" t="s">
        <v>2</v>
      </c>
      <c r="C337" s="20" t="s">
        <v>122</v>
      </c>
      <c r="D337" s="21"/>
    </row>
    <row r="338" spans="1:4" ht="12.75" customHeight="1" x14ac:dyDescent="0.2">
      <c r="A338" s="21"/>
      <c r="B338" s="3" t="s">
        <v>4</v>
      </c>
      <c r="C338" s="20" t="s">
        <v>178</v>
      </c>
      <c r="D338" s="21"/>
    </row>
    <row r="339" spans="1:4" ht="12.75" customHeight="1" x14ac:dyDescent="0.2">
      <c r="A339" s="21"/>
      <c r="B339" s="3" t="s">
        <v>6</v>
      </c>
      <c r="C339" s="20" t="s">
        <v>26</v>
      </c>
      <c r="D339" s="21"/>
    </row>
    <row r="340" spans="1:4" ht="12.75" customHeight="1" x14ac:dyDescent="0.2">
      <c r="A340" s="21"/>
      <c r="B340" s="3" t="s">
        <v>8</v>
      </c>
      <c r="C340" s="20" t="s">
        <v>178</v>
      </c>
      <c r="D340" s="21"/>
    </row>
    <row r="341" spans="1:4" ht="12.75" customHeight="1" x14ac:dyDescent="0.2">
      <c r="A341" s="21"/>
      <c r="B341" s="3" t="s">
        <v>9</v>
      </c>
      <c r="C341" s="20" t="s">
        <v>200</v>
      </c>
      <c r="D341" s="21"/>
    </row>
    <row r="342" spans="1:4" ht="12.75" customHeight="1" x14ac:dyDescent="0.2">
      <c r="A342" s="21"/>
      <c r="B342" s="3" t="s">
        <v>11</v>
      </c>
      <c r="C342" s="20" t="s">
        <v>201</v>
      </c>
      <c r="D342" s="21"/>
    </row>
    <row r="343" spans="1:4" ht="12.75" customHeight="1" x14ac:dyDescent="0.2">
      <c r="A343" s="21"/>
      <c r="B343" s="3" t="s">
        <v>13</v>
      </c>
      <c r="C343" s="20" t="s">
        <v>14</v>
      </c>
      <c r="D343" s="21"/>
    </row>
    <row r="344" spans="1:4" ht="12.75" customHeight="1" x14ac:dyDescent="0.2">
      <c r="A344" s="21"/>
      <c r="B344" s="3" t="s">
        <v>15</v>
      </c>
      <c r="C344" s="20" t="s">
        <v>14</v>
      </c>
      <c r="D344" s="21"/>
    </row>
    <row r="345" spans="1:4" ht="12.75" customHeight="1" x14ac:dyDescent="0.2">
      <c r="A345" s="21"/>
      <c r="B345" s="3" t="s">
        <v>16</v>
      </c>
      <c r="C345" s="20"/>
      <c r="D345" s="21"/>
    </row>
    <row r="346" spans="1:4" ht="12.75" customHeight="1" x14ac:dyDescent="0.2">
      <c r="A346" s="21"/>
      <c r="B346" s="3" t="s">
        <v>17</v>
      </c>
      <c r="C346" s="20"/>
      <c r="D346" s="21"/>
    </row>
    <row r="347" spans="1:4" ht="12.75" customHeight="1" x14ac:dyDescent="0.2">
      <c r="A347" s="21"/>
      <c r="B347" s="20" t="s">
        <v>18</v>
      </c>
      <c r="C347" s="4" t="s">
        <v>44</v>
      </c>
      <c r="D347" s="6" t="str">
        <f>HYPERLINK("javascript:void(0)","bronz nuncsaku")</f>
        <v>bronz nuncsaku</v>
      </c>
    </row>
    <row r="348" spans="1:4" ht="12.75" customHeight="1" x14ac:dyDescent="0.2">
      <c r="A348" s="21"/>
      <c r="B348" s="21"/>
      <c r="C348" s="4" t="s">
        <v>57</v>
      </c>
      <c r="D348" s="6" t="str">
        <f>HYPERLINK("javascript:void(0)","vasérc")</f>
        <v>vasérc</v>
      </c>
    </row>
    <row r="349" spans="1:4" ht="12.75" customHeight="1" x14ac:dyDescent="0.2">
      <c r="A349" s="21"/>
      <c r="B349" s="21"/>
      <c r="C349" s="4" t="s">
        <v>56</v>
      </c>
      <c r="D349" s="6" t="str">
        <f>HYPERLINK("javascript:void(0)","arany")</f>
        <v>arany</v>
      </c>
    </row>
    <row r="350" spans="1:4" ht="12.75" customHeight="1" x14ac:dyDescent="0.2">
      <c r="A350" s="5"/>
      <c r="B350" s="2"/>
      <c r="C350" s="2"/>
      <c r="D350" s="2"/>
    </row>
    <row r="351" spans="1:4" ht="12.75" customHeight="1" x14ac:dyDescent="0.2">
      <c r="A351" s="22" t="str">
        <f>HYPERLINK("javascript:void(0)","1 hónapos kenyér")</f>
        <v>1 hónapos kenyér</v>
      </c>
      <c r="B351" s="21"/>
      <c r="C351" s="21"/>
      <c r="D351" s="21"/>
    </row>
    <row r="352" spans="1:4" ht="12.75" customHeight="1" x14ac:dyDescent="0.2">
      <c r="A352" s="20"/>
      <c r="B352" s="2"/>
      <c r="C352" s="2"/>
      <c r="D352" s="2"/>
    </row>
    <row r="353" spans="1:4" ht="12.75" customHeight="1" x14ac:dyDescent="0.2">
      <c r="A353" s="21"/>
      <c r="B353" s="3" t="s">
        <v>0</v>
      </c>
      <c r="C353" s="20" t="s">
        <v>46</v>
      </c>
      <c r="D353" s="21"/>
    </row>
    <row r="354" spans="1:4" ht="12.75" customHeight="1" x14ac:dyDescent="0.2">
      <c r="A354" s="21"/>
      <c r="B354" s="3" t="s">
        <v>2</v>
      </c>
      <c r="C354" s="20" t="s">
        <v>122</v>
      </c>
      <c r="D354" s="21"/>
    </row>
    <row r="355" spans="1:4" ht="12.75" customHeight="1" x14ac:dyDescent="0.2">
      <c r="A355" s="21"/>
      <c r="B355" s="3" t="s">
        <v>4</v>
      </c>
      <c r="C355" s="20" t="s">
        <v>204</v>
      </c>
      <c r="D355" s="21"/>
    </row>
    <row r="356" spans="1:4" ht="12.75" customHeight="1" x14ac:dyDescent="0.2">
      <c r="A356" s="21"/>
      <c r="B356" s="3" t="s">
        <v>6</v>
      </c>
      <c r="C356" s="20" t="s">
        <v>33</v>
      </c>
      <c r="D356" s="21"/>
    </row>
    <row r="357" spans="1:4" ht="12.75" customHeight="1" x14ac:dyDescent="0.2">
      <c r="A357" s="21"/>
      <c r="B357" s="3" t="s">
        <v>8</v>
      </c>
      <c r="C357" s="20" t="s">
        <v>204</v>
      </c>
      <c r="D357" s="21"/>
    </row>
    <row r="358" spans="1:4" ht="12.75" customHeight="1" x14ac:dyDescent="0.2">
      <c r="A358" s="21"/>
      <c r="B358" s="3" t="s">
        <v>9</v>
      </c>
      <c r="C358" s="20" t="s">
        <v>124</v>
      </c>
      <c r="D358" s="21"/>
    </row>
    <row r="359" spans="1:4" ht="12.75" customHeight="1" x14ac:dyDescent="0.2">
      <c r="A359" s="21"/>
      <c r="B359" s="3" t="s">
        <v>11</v>
      </c>
      <c r="C359" s="20" t="s">
        <v>205</v>
      </c>
      <c r="D359" s="21"/>
    </row>
    <row r="360" spans="1:4" ht="12.75" customHeight="1" x14ac:dyDescent="0.2">
      <c r="A360" s="21"/>
      <c r="B360" s="3" t="s">
        <v>13</v>
      </c>
      <c r="C360" s="20" t="s">
        <v>14</v>
      </c>
      <c r="D360" s="21"/>
    </row>
    <row r="361" spans="1:4" ht="12.75" customHeight="1" x14ac:dyDescent="0.2">
      <c r="A361" s="21"/>
      <c r="B361" s="3" t="s">
        <v>15</v>
      </c>
      <c r="C361" s="20" t="s">
        <v>14</v>
      </c>
      <c r="D361" s="21"/>
    </row>
    <row r="362" spans="1:4" ht="12.75" customHeight="1" x14ac:dyDescent="0.2">
      <c r="A362" s="21"/>
      <c r="B362" s="3" t="s">
        <v>16</v>
      </c>
      <c r="C362" s="20"/>
      <c r="D362" s="21"/>
    </row>
    <row r="363" spans="1:4" ht="12.75" customHeight="1" x14ac:dyDescent="0.2">
      <c r="A363" s="21"/>
      <c r="B363" s="3" t="s">
        <v>17</v>
      </c>
      <c r="C363" s="20"/>
      <c r="D363" s="21"/>
    </row>
    <row r="364" spans="1:4" ht="12.75" customHeight="1" x14ac:dyDescent="0.2">
      <c r="A364" s="21"/>
      <c r="B364" s="20" t="s">
        <v>18</v>
      </c>
      <c r="C364" s="4" t="s">
        <v>44</v>
      </c>
      <c r="D364" s="6" t="str">
        <f>HYPERLINK("javascript:void(0)","3 hetes kenyér")</f>
        <v>3 hetes kenyér</v>
      </c>
    </row>
    <row r="365" spans="1:4" ht="12.75" customHeight="1" x14ac:dyDescent="0.2">
      <c r="A365" s="21"/>
      <c r="B365" s="21"/>
      <c r="C365" s="4" t="s">
        <v>57</v>
      </c>
      <c r="D365" s="6" t="str">
        <f>HYPERLINK("javascript:void(0)","démonnyúlmáj")</f>
        <v>démonnyúlmáj</v>
      </c>
    </row>
    <row r="366" spans="1:4" ht="12.75" customHeight="1" x14ac:dyDescent="0.2">
      <c r="A366" s="21"/>
      <c r="B366" s="21"/>
      <c r="C366" s="4" t="s">
        <v>57</v>
      </c>
      <c r="D366" s="6" t="str">
        <f>HYPERLINK("javascript:void(0)","patkányzsír")</f>
        <v>patkányzsír</v>
      </c>
    </row>
    <row r="367" spans="1:4" ht="12.75" customHeight="1" x14ac:dyDescent="0.2">
      <c r="A367" s="5"/>
      <c r="B367" s="2"/>
      <c r="C367" s="2"/>
      <c r="D367" s="2"/>
    </row>
    <row r="368" spans="1:4" ht="12.75" customHeight="1" x14ac:dyDescent="0.2">
      <c r="A368" s="22" t="str">
        <f>HYPERLINK("javascript:void(0)","acéllánc")</f>
        <v>acéllánc</v>
      </c>
      <c r="B368" s="21"/>
      <c r="C368" s="21"/>
      <c r="D368" s="2"/>
    </row>
    <row r="369" spans="1:4" ht="12.75" customHeight="1" x14ac:dyDescent="0.2">
      <c r="A369" s="20"/>
      <c r="B369" s="2"/>
      <c r="C369" s="2"/>
      <c r="D369" s="2"/>
    </row>
    <row r="370" spans="1:4" ht="12.75" customHeight="1" x14ac:dyDescent="0.2">
      <c r="A370" s="21"/>
      <c r="B370" s="3" t="s">
        <v>0</v>
      </c>
      <c r="C370" s="3" t="s">
        <v>46</v>
      </c>
      <c r="D370" s="2"/>
    </row>
    <row r="371" spans="1:4" ht="12.75" customHeight="1" x14ac:dyDescent="0.2">
      <c r="A371" s="21"/>
      <c r="B371" s="3" t="s">
        <v>2</v>
      </c>
      <c r="C371" s="3" t="s">
        <v>122</v>
      </c>
      <c r="D371" s="2"/>
    </row>
    <row r="372" spans="1:4" ht="12.75" customHeight="1" x14ac:dyDescent="0.2">
      <c r="A372" s="21"/>
      <c r="B372" s="3" t="s">
        <v>4</v>
      </c>
      <c r="C372" s="3" t="s">
        <v>52</v>
      </c>
      <c r="D372" s="2"/>
    </row>
    <row r="373" spans="1:4" ht="12.75" customHeight="1" x14ac:dyDescent="0.2">
      <c r="A373" s="21"/>
      <c r="B373" s="3" t="s">
        <v>6</v>
      </c>
      <c r="C373" s="3" t="s">
        <v>25</v>
      </c>
      <c r="D373" s="2"/>
    </row>
    <row r="374" spans="1:4" ht="12.75" customHeight="1" x14ac:dyDescent="0.2">
      <c r="A374" s="21"/>
      <c r="B374" s="3" t="s">
        <v>8</v>
      </c>
      <c r="C374" s="3" t="s">
        <v>52</v>
      </c>
      <c r="D374" s="2"/>
    </row>
    <row r="375" spans="1:4" ht="12.75" customHeight="1" x14ac:dyDescent="0.2">
      <c r="A375" s="21"/>
      <c r="B375" s="3" t="s">
        <v>9</v>
      </c>
      <c r="C375" s="3" t="s">
        <v>210</v>
      </c>
      <c r="D375" s="2"/>
    </row>
    <row r="376" spans="1:4" ht="12.75" customHeight="1" x14ac:dyDescent="0.2">
      <c r="A376" s="21"/>
      <c r="B376" s="3" t="s">
        <v>11</v>
      </c>
      <c r="C376" s="3" t="s">
        <v>211</v>
      </c>
      <c r="D376" s="2"/>
    </row>
    <row r="377" spans="1:4" ht="12.75" customHeight="1" x14ac:dyDescent="0.2">
      <c r="A377" s="21"/>
      <c r="B377" s="3" t="s">
        <v>13</v>
      </c>
      <c r="C377" s="3" t="s">
        <v>14</v>
      </c>
      <c r="D377" s="2"/>
    </row>
    <row r="378" spans="1:4" ht="12.75" customHeight="1" x14ac:dyDescent="0.2">
      <c r="A378" s="21"/>
      <c r="B378" s="3" t="s">
        <v>15</v>
      </c>
      <c r="C378" s="3" t="s">
        <v>14</v>
      </c>
      <c r="D378" s="2"/>
    </row>
    <row r="379" spans="1:4" ht="12.75" customHeight="1" x14ac:dyDescent="0.2">
      <c r="A379" s="21"/>
      <c r="B379" s="3" t="s">
        <v>16</v>
      </c>
      <c r="C379" s="3"/>
      <c r="D379" s="2"/>
    </row>
    <row r="380" spans="1:4" ht="12.75" customHeight="1" x14ac:dyDescent="0.2">
      <c r="A380" s="21"/>
      <c r="B380" s="3" t="s">
        <v>17</v>
      </c>
      <c r="C380" s="3"/>
      <c r="D380" s="2"/>
    </row>
    <row r="381" spans="1:4" ht="12.75" customHeight="1" x14ac:dyDescent="0.2">
      <c r="A381" s="21"/>
      <c r="B381" s="3" t="s">
        <v>18</v>
      </c>
      <c r="C381" s="4" t="s">
        <v>19</v>
      </c>
      <c r="D381" s="2"/>
    </row>
    <row r="382" spans="1:4" ht="12.75" customHeight="1" x14ac:dyDescent="0.2">
      <c r="A382" s="5"/>
      <c r="B382" s="2"/>
      <c r="C382" s="2"/>
      <c r="D382" s="2"/>
    </row>
    <row r="383" spans="1:4" ht="12.75" customHeight="1" x14ac:dyDescent="0.2">
      <c r="A383" s="22" t="str">
        <f>HYPERLINK("javascript:void(0)","bikacsök")</f>
        <v>bikacsök</v>
      </c>
      <c r="B383" s="21"/>
      <c r="C383" s="21"/>
      <c r="D383" s="2"/>
    </row>
    <row r="384" spans="1:4" ht="12.75" customHeight="1" x14ac:dyDescent="0.2">
      <c r="A384" s="20"/>
      <c r="B384" s="2"/>
      <c r="C384" s="2"/>
      <c r="D384" s="2"/>
    </row>
    <row r="385" spans="1:4" ht="12.75" customHeight="1" x14ac:dyDescent="0.2">
      <c r="A385" s="21"/>
      <c r="B385" s="3" t="s">
        <v>0</v>
      </c>
      <c r="C385" s="3" t="s">
        <v>51</v>
      </c>
      <c r="D385" s="2"/>
    </row>
    <row r="386" spans="1:4" ht="12.75" customHeight="1" x14ac:dyDescent="0.2">
      <c r="A386" s="21"/>
      <c r="B386" s="3" t="s">
        <v>2</v>
      </c>
      <c r="C386" s="3" t="s">
        <v>122</v>
      </c>
      <c r="D386" s="2"/>
    </row>
    <row r="387" spans="1:4" ht="12.75" customHeight="1" x14ac:dyDescent="0.2">
      <c r="A387" s="21"/>
      <c r="B387" s="3" t="s">
        <v>4</v>
      </c>
      <c r="C387" s="3" t="s">
        <v>213</v>
      </c>
      <c r="D387" s="2"/>
    </row>
    <row r="388" spans="1:4" ht="12.75" customHeight="1" x14ac:dyDescent="0.2">
      <c r="A388" s="21"/>
      <c r="B388" s="3" t="s">
        <v>6</v>
      </c>
      <c r="C388" s="3" t="s">
        <v>33</v>
      </c>
      <c r="D388" s="2"/>
    </row>
    <row r="389" spans="1:4" ht="12.75" customHeight="1" x14ac:dyDescent="0.2">
      <c r="A389" s="21"/>
      <c r="B389" s="3" t="s">
        <v>8</v>
      </c>
      <c r="C389" s="3" t="s">
        <v>213</v>
      </c>
      <c r="D389" s="2"/>
    </row>
    <row r="390" spans="1:4" ht="12.75" customHeight="1" x14ac:dyDescent="0.2">
      <c r="A390" s="21"/>
      <c r="B390" s="3" t="s">
        <v>9</v>
      </c>
      <c r="C390" s="3" t="s">
        <v>75</v>
      </c>
      <c r="D390" s="2"/>
    </row>
    <row r="391" spans="1:4" ht="12.75" customHeight="1" x14ac:dyDescent="0.2">
      <c r="A391" s="21"/>
      <c r="B391" s="3" t="s">
        <v>11</v>
      </c>
      <c r="C391" s="3" t="s">
        <v>214</v>
      </c>
      <c r="D391" s="2"/>
    </row>
    <row r="392" spans="1:4" ht="12.75" customHeight="1" x14ac:dyDescent="0.2">
      <c r="A392" s="21"/>
      <c r="B392" s="3" t="s">
        <v>13</v>
      </c>
      <c r="C392" s="3" t="s">
        <v>14</v>
      </c>
      <c r="D392" s="2"/>
    </row>
    <row r="393" spans="1:4" ht="12.75" customHeight="1" x14ac:dyDescent="0.2">
      <c r="A393" s="21"/>
      <c r="B393" s="3" t="s">
        <v>15</v>
      </c>
      <c r="C393" s="3" t="s">
        <v>14</v>
      </c>
      <c r="D393" s="2"/>
    </row>
    <row r="394" spans="1:4" ht="12.75" customHeight="1" x14ac:dyDescent="0.2">
      <c r="A394" s="21"/>
      <c r="B394" s="3" t="s">
        <v>16</v>
      </c>
      <c r="C394" s="3"/>
      <c r="D394" s="2"/>
    </row>
    <row r="395" spans="1:4" ht="12.75" customHeight="1" x14ac:dyDescent="0.2">
      <c r="A395" s="21"/>
      <c r="B395" s="3" t="s">
        <v>17</v>
      </c>
      <c r="C395" s="3"/>
      <c r="D395" s="2"/>
    </row>
    <row r="396" spans="1:4" ht="12.75" customHeight="1" x14ac:dyDescent="0.2">
      <c r="A396" s="21"/>
      <c r="B396" s="3" t="s">
        <v>18</v>
      </c>
      <c r="C396" s="4" t="s">
        <v>19</v>
      </c>
      <c r="D396" s="2"/>
    </row>
    <row r="397" spans="1:4" ht="12.75" customHeight="1" x14ac:dyDescent="0.2">
      <c r="A397" s="5"/>
      <c r="B397" s="2"/>
      <c r="C397" s="2"/>
      <c r="D397" s="2"/>
    </row>
    <row r="398" spans="1:4" ht="12.75" customHeight="1" x14ac:dyDescent="0.2">
      <c r="A398" s="22" t="str">
        <f>HYPERLINK("javascript:void(0)","vaskalapács")</f>
        <v>vaskalapács</v>
      </c>
      <c r="B398" s="21"/>
      <c r="C398" s="21"/>
      <c r="D398" s="2"/>
    </row>
    <row r="399" spans="1:4" ht="12.75" customHeight="1" x14ac:dyDescent="0.2">
      <c r="A399" s="20"/>
      <c r="B399" s="2"/>
      <c r="C399" s="2"/>
      <c r="D399" s="2"/>
    </row>
    <row r="400" spans="1:4" ht="12.75" customHeight="1" x14ac:dyDescent="0.2">
      <c r="A400" s="21"/>
      <c r="B400" s="3" t="s">
        <v>0</v>
      </c>
      <c r="C400" s="3" t="s">
        <v>51</v>
      </c>
      <c r="D400" s="2"/>
    </row>
    <row r="401" spans="1:4" ht="12.75" customHeight="1" x14ac:dyDescent="0.2">
      <c r="A401" s="21"/>
      <c r="B401" s="3" t="s">
        <v>2</v>
      </c>
      <c r="C401" s="3" t="s">
        <v>122</v>
      </c>
      <c r="D401" s="2"/>
    </row>
    <row r="402" spans="1:4" ht="12.75" customHeight="1" x14ac:dyDescent="0.2">
      <c r="A402" s="21"/>
      <c r="B402" s="3" t="s">
        <v>4</v>
      </c>
      <c r="C402" s="3" t="s">
        <v>216</v>
      </c>
      <c r="D402" s="2"/>
    </row>
    <row r="403" spans="1:4" ht="12.75" customHeight="1" x14ac:dyDescent="0.2">
      <c r="A403" s="21"/>
      <c r="B403" s="3" t="s">
        <v>6</v>
      </c>
      <c r="C403" s="3" t="s">
        <v>51</v>
      </c>
      <c r="D403" s="2"/>
    </row>
    <row r="404" spans="1:4" ht="12.75" customHeight="1" x14ac:dyDescent="0.2">
      <c r="A404" s="21"/>
      <c r="B404" s="3" t="s">
        <v>8</v>
      </c>
      <c r="C404" s="3" t="s">
        <v>216</v>
      </c>
      <c r="D404" s="2"/>
    </row>
    <row r="405" spans="1:4" ht="12.75" customHeight="1" x14ac:dyDescent="0.2">
      <c r="A405" s="21"/>
      <c r="B405" s="3" t="s">
        <v>9</v>
      </c>
      <c r="C405" s="3" t="s">
        <v>217</v>
      </c>
      <c r="D405" s="2"/>
    </row>
    <row r="406" spans="1:4" ht="12.75" customHeight="1" x14ac:dyDescent="0.2">
      <c r="A406" s="21"/>
      <c r="B406" s="3" t="s">
        <v>11</v>
      </c>
      <c r="C406" s="3" t="s">
        <v>218</v>
      </c>
      <c r="D406" s="2"/>
    </row>
    <row r="407" spans="1:4" ht="12.75" customHeight="1" x14ac:dyDescent="0.2">
      <c r="A407" s="21"/>
      <c r="B407" s="3" t="s">
        <v>13</v>
      </c>
      <c r="C407" s="3" t="s">
        <v>24</v>
      </c>
      <c r="D407" s="2"/>
    </row>
    <row r="408" spans="1:4" ht="12.75" customHeight="1" x14ac:dyDescent="0.2">
      <c r="A408" s="21"/>
      <c r="B408" s="3" t="s">
        <v>15</v>
      </c>
      <c r="C408" s="3" t="s">
        <v>14</v>
      </c>
      <c r="D408" s="2"/>
    </row>
    <row r="409" spans="1:4" ht="12.75" customHeight="1" x14ac:dyDescent="0.2">
      <c r="A409" s="21"/>
      <c r="B409" s="3" t="s">
        <v>16</v>
      </c>
      <c r="C409" s="3"/>
      <c r="D409" s="2"/>
    </row>
    <row r="410" spans="1:4" ht="12.75" customHeight="1" x14ac:dyDescent="0.2">
      <c r="A410" s="21"/>
      <c r="B410" s="3" t="s">
        <v>17</v>
      </c>
      <c r="C410" s="3"/>
      <c r="D410" s="2"/>
    </row>
    <row r="411" spans="1:4" ht="12.75" customHeight="1" x14ac:dyDescent="0.2">
      <c r="A411" s="21"/>
      <c r="B411" s="3" t="s">
        <v>18</v>
      </c>
      <c r="C411" s="4" t="s">
        <v>19</v>
      </c>
      <c r="D411" s="2"/>
    </row>
    <row r="412" spans="1:4" ht="12.75" customHeight="1" x14ac:dyDescent="0.2">
      <c r="A412" s="5"/>
      <c r="B412" s="2"/>
      <c r="C412" s="2"/>
      <c r="D412" s="2"/>
    </row>
    <row r="413" spans="1:4" ht="12.75" customHeight="1" x14ac:dyDescent="0.2">
      <c r="A413" s="22" t="str">
        <f>HYPERLINK("javascript:void(0)","szöges bunkó")</f>
        <v>szöges bunkó</v>
      </c>
      <c r="B413" s="21"/>
      <c r="C413" s="21"/>
      <c r="D413" s="2"/>
    </row>
    <row r="414" spans="1:4" ht="12.75" customHeight="1" x14ac:dyDescent="0.2">
      <c r="A414" s="20"/>
      <c r="B414" s="2"/>
      <c r="C414" s="2"/>
      <c r="D414" s="2"/>
    </row>
    <row r="415" spans="1:4" ht="12.75" customHeight="1" x14ac:dyDescent="0.2">
      <c r="A415" s="21"/>
      <c r="B415" s="3" t="s">
        <v>0</v>
      </c>
      <c r="C415" s="3" t="s">
        <v>51</v>
      </c>
      <c r="D415" s="2"/>
    </row>
    <row r="416" spans="1:4" ht="12.75" customHeight="1" x14ac:dyDescent="0.2">
      <c r="A416" s="21"/>
      <c r="B416" s="3" t="s">
        <v>2</v>
      </c>
      <c r="C416" s="3" t="s">
        <v>122</v>
      </c>
      <c r="D416" s="2"/>
    </row>
    <row r="417" spans="1:4" ht="12.75" customHeight="1" x14ac:dyDescent="0.2">
      <c r="A417" s="21"/>
      <c r="B417" s="3" t="s">
        <v>4</v>
      </c>
      <c r="C417" s="3" t="s">
        <v>219</v>
      </c>
      <c r="D417" s="2"/>
    </row>
    <row r="418" spans="1:4" ht="12.75" customHeight="1" x14ac:dyDescent="0.2">
      <c r="A418" s="21"/>
      <c r="B418" s="3" t="s">
        <v>6</v>
      </c>
      <c r="C418" s="3" t="s">
        <v>88</v>
      </c>
      <c r="D418" s="2"/>
    </row>
    <row r="419" spans="1:4" ht="12.75" customHeight="1" x14ac:dyDescent="0.2">
      <c r="A419" s="21"/>
      <c r="B419" s="3" t="s">
        <v>8</v>
      </c>
      <c r="C419" s="3" t="s">
        <v>219</v>
      </c>
      <c r="D419" s="2"/>
    </row>
    <row r="420" spans="1:4" ht="12.75" customHeight="1" x14ac:dyDescent="0.2">
      <c r="A420" s="21"/>
      <c r="B420" s="3" t="s">
        <v>9</v>
      </c>
      <c r="C420" s="3" t="s">
        <v>75</v>
      </c>
      <c r="D420" s="2"/>
    </row>
    <row r="421" spans="1:4" ht="12.75" customHeight="1" x14ac:dyDescent="0.2">
      <c r="A421" s="21"/>
      <c r="B421" s="3" t="s">
        <v>11</v>
      </c>
      <c r="C421" s="3" t="s">
        <v>220</v>
      </c>
      <c r="D421" s="2"/>
    </row>
    <row r="422" spans="1:4" ht="12.75" customHeight="1" x14ac:dyDescent="0.2">
      <c r="A422" s="21"/>
      <c r="B422" s="3" t="s">
        <v>13</v>
      </c>
      <c r="C422" s="3" t="s">
        <v>14</v>
      </c>
      <c r="D422" s="2"/>
    </row>
    <row r="423" spans="1:4" ht="12.75" customHeight="1" x14ac:dyDescent="0.2">
      <c r="A423" s="21"/>
      <c r="B423" s="3" t="s">
        <v>15</v>
      </c>
      <c r="C423" s="3" t="s">
        <v>14</v>
      </c>
      <c r="D423" s="2"/>
    </row>
    <row r="424" spans="1:4" ht="12.75" customHeight="1" x14ac:dyDescent="0.2">
      <c r="A424" s="21"/>
      <c r="B424" s="3" t="s">
        <v>16</v>
      </c>
      <c r="C424" s="3"/>
      <c r="D424" s="2"/>
    </row>
    <row r="425" spans="1:4" ht="12.75" customHeight="1" x14ac:dyDescent="0.2">
      <c r="A425" s="21"/>
      <c r="B425" s="3" t="s">
        <v>17</v>
      </c>
      <c r="C425" s="3"/>
      <c r="D425" s="2"/>
    </row>
    <row r="426" spans="1:4" ht="12.75" customHeight="1" x14ac:dyDescent="0.2">
      <c r="A426" s="21"/>
      <c r="B426" s="3" t="s">
        <v>18</v>
      </c>
      <c r="C426" s="4" t="s">
        <v>19</v>
      </c>
      <c r="D426" s="2"/>
    </row>
    <row r="427" spans="1:4" ht="12.75" customHeight="1" x14ac:dyDescent="0.2">
      <c r="A427" s="5"/>
      <c r="B427" s="2"/>
      <c r="C427" s="2"/>
      <c r="D427" s="2"/>
    </row>
    <row r="428" spans="1:4" ht="12.75" customHeight="1" x14ac:dyDescent="0.2">
      <c r="A428" s="22" t="str">
        <f>HYPERLINK("javascript:void(0)","ezüst csatacsillag")</f>
        <v>ezüst csatacsillag</v>
      </c>
      <c r="B428" s="21"/>
      <c r="C428" s="21"/>
      <c r="D428" s="21"/>
    </row>
    <row r="429" spans="1:4" ht="12.75" customHeight="1" x14ac:dyDescent="0.2">
      <c r="A429" s="20"/>
      <c r="B429" s="2"/>
      <c r="C429" s="2"/>
      <c r="D429" s="2"/>
    </row>
    <row r="430" spans="1:4" ht="12.75" customHeight="1" x14ac:dyDescent="0.2">
      <c r="A430" s="21"/>
      <c r="B430" s="3" t="s">
        <v>0</v>
      </c>
      <c r="C430" s="20" t="s">
        <v>51</v>
      </c>
      <c r="D430" s="21"/>
    </row>
    <row r="431" spans="1:4" ht="12.75" customHeight="1" x14ac:dyDescent="0.2">
      <c r="A431" s="21"/>
      <c r="B431" s="3" t="s">
        <v>2</v>
      </c>
      <c r="C431" s="20" t="s">
        <v>122</v>
      </c>
      <c r="D431" s="21"/>
    </row>
    <row r="432" spans="1:4" ht="12.75" customHeight="1" x14ac:dyDescent="0.2">
      <c r="A432" s="21"/>
      <c r="B432" s="3" t="s">
        <v>4</v>
      </c>
      <c r="C432" s="20" t="s">
        <v>223</v>
      </c>
      <c r="D432" s="21"/>
    </row>
    <row r="433" spans="1:4" ht="12.75" customHeight="1" x14ac:dyDescent="0.2">
      <c r="A433" s="21"/>
      <c r="B433" s="3" t="s">
        <v>6</v>
      </c>
      <c r="C433" s="20" t="s">
        <v>82</v>
      </c>
      <c r="D433" s="21"/>
    </row>
    <row r="434" spans="1:4" ht="12.75" customHeight="1" x14ac:dyDescent="0.2">
      <c r="A434" s="21"/>
      <c r="B434" s="3" t="s">
        <v>8</v>
      </c>
      <c r="C434" s="20" t="s">
        <v>223</v>
      </c>
      <c r="D434" s="21"/>
    </row>
    <row r="435" spans="1:4" ht="12.75" customHeight="1" x14ac:dyDescent="0.2">
      <c r="A435" s="21"/>
      <c r="B435" s="3" t="s">
        <v>9</v>
      </c>
      <c r="C435" s="20" t="s">
        <v>224</v>
      </c>
      <c r="D435" s="21"/>
    </row>
    <row r="436" spans="1:4" ht="12.75" customHeight="1" x14ac:dyDescent="0.2">
      <c r="A436" s="21"/>
      <c r="B436" s="3" t="s">
        <v>11</v>
      </c>
      <c r="C436" s="20" t="s">
        <v>225</v>
      </c>
      <c r="D436" s="21"/>
    </row>
    <row r="437" spans="1:4" ht="12.75" customHeight="1" x14ac:dyDescent="0.2">
      <c r="A437" s="21"/>
      <c r="B437" s="3" t="s">
        <v>13</v>
      </c>
      <c r="C437" s="20" t="s">
        <v>14</v>
      </c>
      <c r="D437" s="21"/>
    </row>
    <row r="438" spans="1:4" ht="12.75" customHeight="1" x14ac:dyDescent="0.2">
      <c r="A438" s="21"/>
      <c r="B438" s="3" t="s">
        <v>15</v>
      </c>
      <c r="C438" s="20" t="s">
        <v>14</v>
      </c>
      <c r="D438" s="21"/>
    </row>
    <row r="439" spans="1:4" ht="12.75" customHeight="1" x14ac:dyDescent="0.2">
      <c r="A439" s="21"/>
      <c r="B439" s="3" t="s">
        <v>16</v>
      </c>
      <c r="C439" s="20"/>
      <c r="D439" s="21"/>
    </row>
    <row r="440" spans="1:4" ht="12.75" customHeight="1" x14ac:dyDescent="0.2">
      <c r="A440" s="21"/>
      <c r="B440" s="3" t="s">
        <v>17</v>
      </c>
      <c r="C440" s="20"/>
      <c r="D440" s="21"/>
    </row>
    <row r="441" spans="1:4" ht="12.75" customHeight="1" x14ac:dyDescent="0.2">
      <c r="A441" s="21"/>
      <c r="B441" s="20" t="s">
        <v>18</v>
      </c>
      <c r="C441" s="4" t="s">
        <v>44</v>
      </c>
      <c r="D441" s="6" t="str">
        <f>HYPERLINK("javascript:void(0)","acél csatacsillag")</f>
        <v>acél csatacsillag</v>
      </c>
    </row>
    <row r="442" spans="1:4" ht="12.75" customHeight="1" x14ac:dyDescent="0.2">
      <c r="A442" s="21"/>
      <c r="B442" s="21"/>
      <c r="C442" s="4" t="s">
        <v>121</v>
      </c>
      <c r="D442" s="6" t="str">
        <f>HYPERLINK("javascript:void(0)","ezüst")</f>
        <v>ezüst</v>
      </c>
    </row>
    <row r="443" spans="1:4" ht="12.75" customHeight="1" x14ac:dyDescent="0.2">
      <c r="A443" s="21"/>
      <c r="B443" s="21"/>
      <c r="C443" s="4" t="s">
        <v>56</v>
      </c>
      <c r="D443" s="6" t="str">
        <f>HYPERLINK("javascript:void(0)","arany")</f>
        <v>arany</v>
      </c>
    </row>
    <row r="444" spans="1:4" ht="12.75" customHeight="1" x14ac:dyDescent="0.2">
      <c r="A444" s="5"/>
      <c r="B444" s="2"/>
      <c r="C444" s="2"/>
      <c r="D444" s="2"/>
    </row>
    <row r="445" spans="1:4" ht="12.75" customHeight="1" x14ac:dyDescent="0.2">
      <c r="A445" s="22" t="str">
        <f>HYPERLINK("javascript:void(0)","ezüst nuncsaku")</f>
        <v>ezüst nuncsaku</v>
      </c>
      <c r="B445" s="21"/>
      <c r="C445" s="21"/>
      <c r="D445" s="21"/>
    </row>
    <row r="446" spans="1:4" ht="12.75" customHeight="1" x14ac:dyDescent="0.2">
      <c r="A446" s="20"/>
      <c r="B446" s="2"/>
      <c r="C446" s="2"/>
      <c r="D446" s="2"/>
    </row>
    <row r="447" spans="1:4" ht="12.75" customHeight="1" x14ac:dyDescent="0.2">
      <c r="A447" s="21"/>
      <c r="B447" s="3" t="s">
        <v>0</v>
      </c>
      <c r="C447" s="20" t="s">
        <v>74</v>
      </c>
      <c r="D447" s="21"/>
    </row>
    <row r="448" spans="1:4" ht="12.75" customHeight="1" x14ac:dyDescent="0.2">
      <c r="A448" s="21"/>
      <c r="B448" s="3" t="s">
        <v>2</v>
      </c>
      <c r="C448" s="20" t="s">
        <v>122</v>
      </c>
      <c r="D448" s="21"/>
    </row>
    <row r="449" spans="1:4" ht="12.75" customHeight="1" x14ac:dyDescent="0.2">
      <c r="A449" s="21"/>
      <c r="B449" s="3" t="s">
        <v>4</v>
      </c>
      <c r="C449" s="20" t="s">
        <v>229</v>
      </c>
      <c r="D449" s="21"/>
    </row>
    <row r="450" spans="1:4" ht="12.75" customHeight="1" x14ac:dyDescent="0.2">
      <c r="A450" s="21"/>
      <c r="B450" s="3" t="s">
        <v>6</v>
      </c>
      <c r="C450" s="20" t="s">
        <v>26</v>
      </c>
      <c r="D450" s="21"/>
    </row>
    <row r="451" spans="1:4" ht="12.75" customHeight="1" x14ac:dyDescent="0.2">
      <c r="A451" s="21"/>
      <c r="B451" s="3" t="s">
        <v>8</v>
      </c>
      <c r="C451" s="20" t="s">
        <v>229</v>
      </c>
      <c r="D451" s="21"/>
    </row>
    <row r="452" spans="1:4" ht="12.75" customHeight="1" x14ac:dyDescent="0.2">
      <c r="A452" s="21"/>
      <c r="B452" s="3" t="s">
        <v>9</v>
      </c>
      <c r="C452" s="20" t="s">
        <v>200</v>
      </c>
      <c r="D452" s="21"/>
    </row>
    <row r="453" spans="1:4" ht="12.75" customHeight="1" x14ac:dyDescent="0.2">
      <c r="A453" s="21"/>
      <c r="B453" s="3" t="s">
        <v>11</v>
      </c>
      <c r="C453" s="20" t="s">
        <v>231</v>
      </c>
      <c r="D453" s="21"/>
    </row>
    <row r="454" spans="1:4" ht="12.75" customHeight="1" x14ac:dyDescent="0.2">
      <c r="A454" s="21"/>
      <c r="B454" s="3" t="s">
        <v>13</v>
      </c>
      <c r="C454" s="20" t="s">
        <v>14</v>
      </c>
      <c r="D454" s="21"/>
    </row>
    <row r="455" spans="1:4" ht="12.75" customHeight="1" x14ac:dyDescent="0.2">
      <c r="A455" s="21"/>
      <c r="B455" s="3" t="s">
        <v>15</v>
      </c>
      <c r="C455" s="20" t="s">
        <v>14</v>
      </c>
      <c r="D455" s="21"/>
    </row>
    <row r="456" spans="1:4" ht="12.75" customHeight="1" x14ac:dyDescent="0.2">
      <c r="A456" s="21"/>
      <c r="B456" s="3" t="s">
        <v>16</v>
      </c>
      <c r="C456" s="20"/>
      <c r="D456" s="21"/>
    </row>
    <row r="457" spans="1:4" ht="12.75" customHeight="1" x14ac:dyDescent="0.2">
      <c r="A457" s="21"/>
      <c r="B457" s="3" t="s">
        <v>17</v>
      </c>
      <c r="C457" s="20"/>
      <c r="D457" s="21"/>
    </row>
    <row r="458" spans="1:4" ht="12.75" customHeight="1" x14ac:dyDescent="0.2">
      <c r="A458" s="21"/>
      <c r="B458" s="20" t="s">
        <v>18</v>
      </c>
      <c r="C458" s="4" t="s">
        <v>44</v>
      </c>
      <c r="D458" s="6" t="str">
        <f>HYPERLINK("javascript:void(0)","acél nuncsaku")</f>
        <v>acél nuncsaku</v>
      </c>
    </row>
    <row r="459" spans="1:4" ht="12.75" customHeight="1" x14ac:dyDescent="0.2">
      <c r="A459" s="21"/>
      <c r="B459" s="21"/>
      <c r="C459" s="4" t="s">
        <v>45</v>
      </c>
      <c r="D459" s="6" t="str">
        <f>HYPERLINK("javascript:void(0)","ezüst")</f>
        <v>ezüst</v>
      </c>
    </row>
    <row r="460" spans="1:4" ht="12.75" customHeight="1" x14ac:dyDescent="0.2">
      <c r="A460" s="21"/>
      <c r="B460" s="21"/>
      <c r="C460" s="4" t="s">
        <v>55</v>
      </c>
      <c r="D460" s="6" t="str">
        <f>HYPERLINK("javascript:void(0)","arany")</f>
        <v>arany</v>
      </c>
    </row>
    <row r="461" spans="1:4" ht="12.75" customHeight="1" x14ac:dyDescent="0.2">
      <c r="A461" s="5"/>
      <c r="B461" s="2"/>
      <c r="C461" s="2"/>
      <c r="D461" s="2"/>
    </row>
    <row r="462" spans="1:4" ht="12.75" customHeight="1" x14ac:dyDescent="0.2">
      <c r="A462" s="22" t="str">
        <f>HYPERLINK("javascript:void(0)","mengorni bunkó")</f>
        <v>mengorni bunkó</v>
      </c>
      <c r="B462" s="21"/>
      <c r="C462" s="21"/>
      <c r="D462" s="21"/>
    </row>
    <row r="463" spans="1:4" ht="12.75" customHeight="1" x14ac:dyDescent="0.2">
      <c r="A463" s="20"/>
      <c r="B463" s="2"/>
      <c r="C463" s="2"/>
      <c r="D463" s="2"/>
    </row>
    <row r="464" spans="1:4" ht="12.75" customHeight="1" x14ac:dyDescent="0.2">
      <c r="A464" s="21"/>
      <c r="B464" s="3" t="s">
        <v>0</v>
      </c>
      <c r="C464" s="20" t="s">
        <v>74</v>
      </c>
      <c r="D464" s="21"/>
    </row>
    <row r="465" spans="1:4" ht="12.75" customHeight="1" x14ac:dyDescent="0.2">
      <c r="A465" s="21"/>
      <c r="B465" s="3" t="s">
        <v>2</v>
      </c>
      <c r="C465" s="20" t="s">
        <v>122</v>
      </c>
      <c r="D465" s="21"/>
    </row>
    <row r="466" spans="1:4" ht="12.75" customHeight="1" x14ac:dyDescent="0.2">
      <c r="A466" s="21"/>
      <c r="B466" s="3" t="s">
        <v>4</v>
      </c>
      <c r="C466" s="20" t="s">
        <v>78</v>
      </c>
      <c r="D466" s="21"/>
    </row>
    <row r="467" spans="1:4" ht="12.75" customHeight="1" x14ac:dyDescent="0.2">
      <c r="A467" s="21"/>
      <c r="B467" s="3" t="s">
        <v>6</v>
      </c>
      <c r="C467" s="20" t="s">
        <v>88</v>
      </c>
      <c r="D467" s="21"/>
    </row>
    <row r="468" spans="1:4" ht="12.75" customHeight="1" x14ac:dyDescent="0.2">
      <c r="A468" s="21"/>
      <c r="B468" s="3" t="s">
        <v>8</v>
      </c>
      <c r="C468" s="20" t="s">
        <v>78</v>
      </c>
      <c r="D468" s="21"/>
    </row>
    <row r="469" spans="1:4" ht="12.75" customHeight="1" x14ac:dyDescent="0.2">
      <c r="A469" s="21"/>
      <c r="B469" s="3" t="s">
        <v>9</v>
      </c>
      <c r="C469" s="20" t="s">
        <v>233</v>
      </c>
      <c r="D469" s="21"/>
    </row>
    <row r="470" spans="1:4" ht="12.75" customHeight="1" x14ac:dyDescent="0.2">
      <c r="A470" s="21"/>
      <c r="B470" s="3" t="s">
        <v>11</v>
      </c>
      <c r="C470" s="20" t="s">
        <v>234</v>
      </c>
      <c r="D470" s="21"/>
    </row>
    <row r="471" spans="1:4" ht="12.75" customHeight="1" x14ac:dyDescent="0.2">
      <c r="A471" s="21"/>
      <c r="B471" s="3" t="s">
        <v>13</v>
      </c>
      <c r="C471" s="20" t="s">
        <v>14</v>
      </c>
      <c r="D471" s="21"/>
    </row>
    <row r="472" spans="1:4" ht="12.75" customHeight="1" x14ac:dyDescent="0.2">
      <c r="A472" s="21"/>
      <c r="B472" s="3" t="s">
        <v>15</v>
      </c>
      <c r="C472" s="20" t="s">
        <v>24</v>
      </c>
      <c r="D472" s="21"/>
    </row>
    <row r="473" spans="1:4" ht="12.75" customHeight="1" x14ac:dyDescent="0.2">
      <c r="A473" s="21"/>
      <c r="B473" s="3" t="s">
        <v>16</v>
      </c>
      <c r="C473" s="20"/>
      <c r="D473" s="21"/>
    </row>
    <row r="474" spans="1:4" ht="12.75" customHeight="1" x14ac:dyDescent="0.2">
      <c r="A474" s="21"/>
      <c r="B474" s="3" t="s">
        <v>17</v>
      </c>
      <c r="C474" s="20"/>
      <c r="D474" s="21"/>
    </row>
    <row r="475" spans="1:4" ht="12.75" customHeight="1" x14ac:dyDescent="0.2">
      <c r="A475" s="21"/>
      <c r="B475" s="20" t="s">
        <v>18</v>
      </c>
      <c r="C475" s="4" t="s">
        <v>44</v>
      </c>
      <c r="D475" s="6" t="str">
        <f>HYPERLINK("javascript:void(0)","diszprózium")</f>
        <v>diszprózium</v>
      </c>
    </row>
    <row r="476" spans="1:4" ht="12.75" customHeight="1" x14ac:dyDescent="0.2">
      <c r="A476" s="21"/>
      <c r="B476" s="21"/>
      <c r="C476" s="4" t="s">
        <v>44</v>
      </c>
      <c r="D476" s="6" t="str">
        <f>HYPERLINK("javascript:void(0)","acélbunkó")</f>
        <v>acélbunkó</v>
      </c>
    </row>
    <row r="477" spans="1:4" ht="12.75" customHeight="1" x14ac:dyDescent="0.2">
      <c r="A477" s="21"/>
      <c r="B477" s="21"/>
      <c r="C477" s="4" t="s">
        <v>237</v>
      </c>
      <c r="D477" s="6" t="str">
        <f>HYPERLINK("javascript:void(0)","ezüst")</f>
        <v>ezüst</v>
      </c>
    </row>
    <row r="478" spans="1:4" ht="12.75" customHeight="1" x14ac:dyDescent="0.2">
      <c r="A478" s="5"/>
      <c r="B478" s="2"/>
      <c r="C478" s="2"/>
      <c r="D478" s="2"/>
    </row>
    <row r="479" spans="1:4" ht="12.75" customHeight="1" x14ac:dyDescent="0.2">
      <c r="A479" s="22" t="str">
        <f>HYPERLINK("javascript:void(0)","2 hónapos kenyér")</f>
        <v>2 hónapos kenyér</v>
      </c>
      <c r="B479" s="21"/>
      <c r="C479" s="21"/>
      <c r="D479" s="21"/>
    </row>
    <row r="480" spans="1:4" ht="12.75" customHeight="1" x14ac:dyDescent="0.2">
      <c r="A480" s="20"/>
      <c r="B480" s="2"/>
      <c r="C480" s="2"/>
      <c r="D480" s="2"/>
    </row>
    <row r="481" spans="1:4" ht="12.75" customHeight="1" x14ac:dyDescent="0.2">
      <c r="A481" s="21"/>
      <c r="B481" s="3" t="s">
        <v>0</v>
      </c>
      <c r="C481" s="20" t="s">
        <v>74</v>
      </c>
      <c r="D481" s="21"/>
    </row>
    <row r="482" spans="1:4" ht="12.75" customHeight="1" x14ac:dyDescent="0.2">
      <c r="A482" s="21"/>
      <c r="B482" s="3" t="s">
        <v>2</v>
      </c>
      <c r="C482" s="20" t="s">
        <v>122</v>
      </c>
      <c r="D482" s="21"/>
    </row>
    <row r="483" spans="1:4" ht="12.75" customHeight="1" x14ac:dyDescent="0.2">
      <c r="A483" s="21"/>
      <c r="B483" s="3" t="s">
        <v>4</v>
      </c>
      <c r="C483" s="20" t="s">
        <v>239</v>
      </c>
      <c r="D483" s="21"/>
    </row>
    <row r="484" spans="1:4" ht="12.75" customHeight="1" x14ac:dyDescent="0.2">
      <c r="A484" s="21"/>
      <c r="B484" s="3" t="s">
        <v>6</v>
      </c>
      <c r="C484" s="20" t="s">
        <v>74</v>
      </c>
      <c r="D484" s="21"/>
    </row>
    <row r="485" spans="1:4" ht="12.75" customHeight="1" x14ac:dyDescent="0.2">
      <c r="A485" s="21"/>
      <c r="B485" s="3" t="s">
        <v>8</v>
      </c>
      <c r="C485" s="20" t="s">
        <v>239</v>
      </c>
      <c r="D485" s="21"/>
    </row>
    <row r="486" spans="1:4" ht="12.75" customHeight="1" x14ac:dyDescent="0.2">
      <c r="A486" s="21"/>
      <c r="B486" s="3" t="s">
        <v>9</v>
      </c>
      <c r="C486" s="20" t="s">
        <v>124</v>
      </c>
      <c r="D486" s="21"/>
    </row>
    <row r="487" spans="1:4" ht="12.75" customHeight="1" x14ac:dyDescent="0.2">
      <c r="A487" s="21"/>
      <c r="B487" s="3" t="s">
        <v>11</v>
      </c>
      <c r="C487" s="20" t="s">
        <v>241</v>
      </c>
      <c r="D487" s="21"/>
    </row>
    <row r="488" spans="1:4" ht="12.75" customHeight="1" x14ac:dyDescent="0.2">
      <c r="A488" s="21"/>
      <c r="B488" s="3" t="s">
        <v>13</v>
      </c>
      <c r="C488" s="20" t="s">
        <v>24</v>
      </c>
      <c r="D488" s="21"/>
    </row>
    <row r="489" spans="1:4" ht="12.75" customHeight="1" x14ac:dyDescent="0.2">
      <c r="A489" s="21"/>
      <c r="B489" s="3" t="s">
        <v>15</v>
      </c>
      <c r="C489" s="20" t="s">
        <v>14</v>
      </c>
      <c r="D489" s="21"/>
    </row>
    <row r="490" spans="1:4" ht="12.75" customHeight="1" x14ac:dyDescent="0.2">
      <c r="A490" s="21"/>
      <c r="B490" s="3" t="s">
        <v>16</v>
      </c>
      <c r="C490" s="20"/>
      <c r="D490" s="21"/>
    </row>
    <row r="491" spans="1:4" ht="12.75" customHeight="1" x14ac:dyDescent="0.2">
      <c r="A491" s="21"/>
      <c r="B491" s="3" t="s">
        <v>17</v>
      </c>
      <c r="C491" s="20"/>
      <c r="D491" s="21"/>
    </row>
    <row r="492" spans="1:4" ht="12.75" customHeight="1" x14ac:dyDescent="0.2">
      <c r="A492" s="21"/>
      <c r="B492" s="20" t="s">
        <v>18</v>
      </c>
      <c r="C492" s="4" t="s">
        <v>44</v>
      </c>
      <c r="D492" s="6" t="str">
        <f>HYPERLINK("javascript:void(0)","1 hónapos kenyér")</f>
        <v>1 hónapos kenyér</v>
      </c>
    </row>
    <row r="493" spans="1:4" ht="12.75" customHeight="1" x14ac:dyDescent="0.2">
      <c r="A493" s="21"/>
      <c r="B493" s="21"/>
      <c r="C493" s="4" t="s">
        <v>44</v>
      </c>
      <c r="D493" s="6" t="str">
        <f>HYPERLINK("javascript:void(0)","gyémánt")</f>
        <v>gyémánt</v>
      </c>
    </row>
    <row r="494" spans="1:4" ht="12.75" customHeight="1" x14ac:dyDescent="0.2">
      <c r="A494" s="21"/>
      <c r="B494" s="21"/>
      <c r="C494" s="4" t="s">
        <v>56</v>
      </c>
      <c r="D494" s="6" t="str">
        <f>HYPERLINK("javascript:void(0)","medvepúp")</f>
        <v>medvepúp</v>
      </c>
    </row>
    <row r="495" spans="1:4" ht="12.75" customHeight="1" x14ac:dyDescent="0.2">
      <c r="A495" s="5"/>
      <c r="B495" s="2"/>
      <c r="C495" s="2"/>
      <c r="D495" s="2"/>
    </row>
    <row r="496" spans="1:4" ht="12.75" customHeight="1" x14ac:dyDescent="0.2">
      <c r="A496" s="22" t="str">
        <f>HYPERLINK("javascript:void(0)","törpe csatabalta")</f>
        <v>törpe csatabalta</v>
      </c>
      <c r="B496" s="21"/>
      <c r="C496" s="21"/>
      <c r="D496" s="21"/>
    </row>
    <row r="497" spans="1:4" ht="12.75" customHeight="1" x14ac:dyDescent="0.2">
      <c r="A497" s="20"/>
      <c r="B497" s="2"/>
      <c r="C497" s="2"/>
      <c r="D497" s="2"/>
    </row>
    <row r="498" spans="1:4" ht="12.75" customHeight="1" x14ac:dyDescent="0.2">
      <c r="A498" s="21"/>
      <c r="B498" s="3" t="s">
        <v>0</v>
      </c>
      <c r="C498" s="20" t="s">
        <v>64</v>
      </c>
      <c r="D498" s="21"/>
    </row>
    <row r="499" spans="1:4" ht="12.75" customHeight="1" x14ac:dyDescent="0.2">
      <c r="A499" s="21"/>
      <c r="B499" s="3" t="s">
        <v>2</v>
      </c>
      <c r="C499" s="20" t="s">
        <v>122</v>
      </c>
      <c r="D499" s="21"/>
    </row>
    <row r="500" spans="1:4" ht="12.75" customHeight="1" x14ac:dyDescent="0.2">
      <c r="A500" s="21"/>
      <c r="B500" s="3" t="s">
        <v>4</v>
      </c>
      <c r="C500" s="20" t="s">
        <v>245</v>
      </c>
      <c r="D500" s="21"/>
    </row>
    <row r="501" spans="1:4" ht="12.75" customHeight="1" x14ac:dyDescent="0.2">
      <c r="A501" s="21"/>
      <c r="B501" s="3" t="s">
        <v>6</v>
      </c>
      <c r="C501" s="20" t="s">
        <v>51</v>
      </c>
      <c r="D501" s="21"/>
    </row>
    <row r="502" spans="1:4" ht="12.75" customHeight="1" x14ac:dyDescent="0.2">
      <c r="A502" s="21"/>
      <c r="B502" s="3" t="s">
        <v>8</v>
      </c>
      <c r="C502" s="20" t="s">
        <v>245</v>
      </c>
      <c r="D502" s="21"/>
    </row>
    <row r="503" spans="1:4" ht="12.75" customHeight="1" x14ac:dyDescent="0.2">
      <c r="A503" s="21"/>
      <c r="B503" s="3" t="s">
        <v>9</v>
      </c>
      <c r="C503" s="20" t="s">
        <v>113</v>
      </c>
      <c r="D503" s="21"/>
    </row>
    <row r="504" spans="1:4" ht="12.75" customHeight="1" x14ac:dyDescent="0.2">
      <c r="A504" s="21"/>
      <c r="B504" s="3" t="s">
        <v>11</v>
      </c>
      <c r="C504" s="20" t="s">
        <v>246</v>
      </c>
      <c r="D504" s="21"/>
    </row>
    <row r="505" spans="1:4" ht="12.75" customHeight="1" x14ac:dyDescent="0.2">
      <c r="A505" s="21"/>
      <c r="B505" s="3" t="s">
        <v>13</v>
      </c>
      <c r="C505" s="20" t="s">
        <v>14</v>
      </c>
      <c r="D505" s="21"/>
    </row>
    <row r="506" spans="1:4" ht="12.75" customHeight="1" x14ac:dyDescent="0.2">
      <c r="A506" s="21"/>
      <c r="B506" s="3" t="s">
        <v>15</v>
      </c>
      <c r="C506" s="20" t="s">
        <v>14</v>
      </c>
      <c r="D506" s="21"/>
    </row>
    <row r="507" spans="1:4" ht="12.75" customHeight="1" x14ac:dyDescent="0.2">
      <c r="A507" s="21"/>
      <c r="B507" s="3" t="s">
        <v>16</v>
      </c>
      <c r="C507" s="20"/>
      <c r="D507" s="21"/>
    </row>
    <row r="508" spans="1:4" ht="12.75" customHeight="1" x14ac:dyDescent="0.2">
      <c r="A508" s="21"/>
      <c r="B508" s="3" t="s">
        <v>17</v>
      </c>
      <c r="C508" s="20"/>
      <c r="D508" s="21"/>
    </row>
    <row r="509" spans="1:4" ht="12.75" customHeight="1" x14ac:dyDescent="0.2">
      <c r="A509" s="21"/>
      <c r="B509" s="20" t="s">
        <v>18</v>
      </c>
      <c r="C509" s="4" t="s">
        <v>57</v>
      </c>
      <c r="D509" s="6" t="str">
        <f>HYPERLINK("javascript:void(0)","óngolyó")</f>
        <v>óngolyó</v>
      </c>
    </row>
    <row r="510" spans="1:4" ht="12.75" customHeight="1" x14ac:dyDescent="0.2">
      <c r="A510" s="21"/>
      <c r="B510" s="21"/>
      <c r="C510" s="4" t="s">
        <v>44</v>
      </c>
      <c r="D510" s="6" t="str">
        <f>HYPERLINK("javascript:void(0)","fejsze")</f>
        <v>fejsze</v>
      </c>
    </row>
    <row r="511" spans="1:4" ht="12.75" customHeight="1" x14ac:dyDescent="0.2">
      <c r="A511" s="21"/>
      <c r="B511" s="21"/>
      <c r="C511" s="4" t="s">
        <v>56</v>
      </c>
      <c r="D511" s="6" t="str">
        <f>HYPERLINK("javascript:void(0)","rubin")</f>
        <v>rubin</v>
      </c>
    </row>
    <row r="512" spans="1:4" ht="12.75" customHeight="1" x14ac:dyDescent="0.2">
      <c r="A512" s="5"/>
      <c r="B512" s="2"/>
      <c r="C512" s="2"/>
      <c r="D512" s="2"/>
    </row>
    <row r="513" spans="1:4" ht="12.75" customHeight="1" x14ac:dyDescent="0.2">
      <c r="A513" s="22" t="str">
        <f>HYPERLINK("javascript:void(0)","ezüstdorong")</f>
        <v>ezüstdorong</v>
      </c>
      <c r="B513" s="21"/>
      <c r="C513" s="21"/>
      <c r="D513" s="2"/>
    </row>
    <row r="514" spans="1:4" ht="12.75" customHeight="1" x14ac:dyDescent="0.2">
      <c r="A514" s="20"/>
      <c r="B514" s="2"/>
      <c r="C514" s="2"/>
      <c r="D514" s="2"/>
    </row>
    <row r="515" spans="1:4" ht="12.75" customHeight="1" x14ac:dyDescent="0.2">
      <c r="A515" s="21"/>
      <c r="B515" s="3" t="s">
        <v>0</v>
      </c>
      <c r="C515" s="3" t="s">
        <v>64</v>
      </c>
      <c r="D515" s="2"/>
    </row>
    <row r="516" spans="1:4" ht="12.75" customHeight="1" x14ac:dyDescent="0.2">
      <c r="A516" s="21"/>
      <c r="B516" s="3" t="s">
        <v>2</v>
      </c>
      <c r="C516" s="3" t="s">
        <v>122</v>
      </c>
      <c r="D516" s="2"/>
    </row>
    <row r="517" spans="1:4" ht="12.75" customHeight="1" x14ac:dyDescent="0.2">
      <c r="A517" s="21"/>
      <c r="B517" s="3" t="s">
        <v>4</v>
      </c>
      <c r="C517" s="3" t="s">
        <v>248</v>
      </c>
      <c r="D517" s="2"/>
    </row>
    <row r="518" spans="1:4" ht="12.75" customHeight="1" x14ac:dyDescent="0.2">
      <c r="A518" s="21"/>
      <c r="B518" s="3" t="s">
        <v>6</v>
      </c>
      <c r="C518" s="3" t="s">
        <v>92</v>
      </c>
      <c r="D518" s="2"/>
    </row>
    <row r="519" spans="1:4" ht="12.75" customHeight="1" x14ac:dyDescent="0.2">
      <c r="A519" s="21"/>
      <c r="B519" s="3" t="s">
        <v>8</v>
      </c>
      <c r="C519" s="3" t="s">
        <v>248</v>
      </c>
      <c r="D519" s="2"/>
    </row>
    <row r="520" spans="1:4" ht="12.75" customHeight="1" x14ac:dyDescent="0.2">
      <c r="A520" s="21"/>
      <c r="B520" s="3" t="s">
        <v>9</v>
      </c>
      <c r="C520" s="3" t="s">
        <v>249</v>
      </c>
      <c r="D520" s="2"/>
    </row>
    <row r="521" spans="1:4" ht="25.5" customHeight="1" x14ac:dyDescent="0.2">
      <c r="A521" s="21"/>
      <c r="B521" s="3" t="s">
        <v>11</v>
      </c>
      <c r="C521" s="3" t="s">
        <v>251</v>
      </c>
      <c r="D521" s="2"/>
    </row>
    <row r="522" spans="1:4" ht="12.75" customHeight="1" x14ac:dyDescent="0.2">
      <c r="A522" s="21"/>
      <c r="B522" s="3" t="s">
        <v>13</v>
      </c>
      <c r="C522" s="3" t="s">
        <v>24</v>
      </c>
      <c r="D522" s="2"/>
    </row>
    <row r="523" spans="1:4" ht="12.75" customHeight="1" x14ac:dyDescent="0.2">
      <c r="A523" s="21"/>
      <c r="B523" s="3" t="s">
        <v>15</v>
      </c>
      <c r="C523" s="3" t="s">
        <v>14</v>
      </c>
      <c r="D523" s="2"/>
    </row>
    <row r="524" spans="1:4" ht="12.75" customHeight="1" x14ac:dyDescent="0.2">
      <c r="A524" s="21"/>
      <c r="B524" s="3" t="s">
        <v>16</v>
      </c>
      <c r="C524" s="3"/>
      <c r="D524" s="2"/>
    </row>
    <row r="525" spans="1:4" ht="12.75" customHeight="1" x14ac:dyDescent="0.2">
      <c r="A525" s="21"/>
      <c r="B525" s="3" t="s">
        <v>17</v>
      </c>
      <c r="C525" s="3"/>
      <c r="D525" s="2"/>
    </row>
    <row r="526" spans="1:4" ht="12.75" customHeight="1" x14ac:dyDescent="0.2">
      <c r="A526" s="21"/>
      <c r="B526" s="3" t="s">
        <v>18</v>
      </c>
      <c r="C526" s="4" t="s">
        <v>19</v>
      </c>
      <c r="D526" s="2"/>
    </row>
    <row r="527" spans="1:4" ht="12.75" customHeight="1" x14ac:dyDescent="0.2">
      <c r="A527" s="5"/>
      <c r="B527" s="2"/>
      <c r="C527" s="2"/>
      <c r="D527" s="2"/>
    </row>
    <row r="528" spans="1:4" ht="12.75" customHeight="1" x14ac:dyDescent="0.2">
      <c r="A528" s="22" t="str">
        <f>HYPERLINK("javascript:void(0)","kitin buzogány")</f>
        <v>kitin buzogány</v>
      </c>
      <c r="B528" s="21"/>
      <c r="C528" s="21"/>
      <c r="D528" s="2"/>
    </row>
    <row r="529" spans="1:4" ht="12.75" customHeight="1" x14ac:dyDescent="0.2">
      <c r="A529" s="20"/>
      <c r="B529" s="2"/>
      <c r="C529" s="2"/>
      <c r="D529" s="2"/>
    </row>
    <row r="530" spans="1:4" ht="12.75" customHeight="1" x14ac:dyDescent="0.2">
      <c r="A530" s="21"/>
      <c r="B530" s="3" t="s">
        <v>0</v>
      </c>
      <c r="C530" s="3" t="s">
        <v>64</v>
      </c>
      <c r="D530" s="2"/>
    </row>
    <row r="531" spans="1:4" ht="12.75" customHeight="1" x14ac:dyDescent="0.2">
      <c r="A531" s="21"/>
      <c r="B531" s="3" t="s">
        <v>2</v>
      </c>
      <c r="C531" s="3" t="s">
        <v>122</v>
      </c>
      <c r="D531" s="2"/>
    </row>
    <row r="532" spans="1:4" ht="12.75" customHeight="1" x14ac:dyDescent="0.2">
      <c r="A532" s="21"/>
      <c r="B532" s="3" t="s">
        <v>4</v>
      </c>
      <c r="C532" s="3" t="s">
        <v>253</v>
      </c>
      <c r="D532" s="2"/>
    </row>
    <row r="533" spans="1:4" ht="12.75" customHeight="1" x14ac:dyDescent="0.2">
      <c r="A533" s="21"/>
      <c r="B533" s="3" t="s">
        <v>6</v>
      </c>
      <c r="C533" s="3" t="s">
        <v>118</v>
      </c>
      <c r="D533" s="2"/>
    </row>
    <row r="534" spans="1:4" ht="12.75" customHeight="1" x14ac:dyDescent="0.2">
      <c r="A534" s="21"/>
      <c r="B534" s="3" t="s">
        <v>8</v>
      </c>
      <c r="C534" s="3" t="s">
        <v>253</v>
      </c>
      <c r="D534" s="2"/>
    </row>
    <row r="535" spans="1:4" ht="12.75" customHeight="1" x14ac:dyDescent="0.2">
      <c r="A535" s="21"/>
      <c r="B535" s="3" t="s">
        <v>9</v>
      </c>
      <c r="C535" s="3" t="s">
        <v>200</v>
      </c>
      <c r="D535" s="2"/>
    </row>
    <row r="536" spans="1:4" ht="12.75" customHeight="1" x14ac:dyDescent="0.2">
      <c r="A536" s="21"/>
      <c r="B536" s="3" t="s">
        <v>11</v>
      </c>
      <c r="C536" s="3" t="s">
        <v>254</v>
      </c>
      <c r="D536" s="2"/>
    </row>
    <row r="537" spans="1:4" ht="12.75" customHeight="1" x14ac:dyDescent="0.2">
      <c r="A537" s="21"/>
      <c r="B537" s="3" t="s">
        <v>13</v>
      </c>
      <c r="C537" s="3" t="s">
        <v>14</v>
      </c>
      <c r="D537" s="2"/>
    </row>
    <row r="538" spans="1:4" ht="12.75" customHeight="1" x14ac:dyDescent="0.2">
      <c r="A538" s="21"/>
      <c r="B538" s="3" t="s">
        <v>15</v>
      </c>
      <c r="C538" s="3" t="s">
        <v>14</v>
      </c>
      <c r="D538" s="2"/>
    </row>
    <row r="539" spans="1:4" ht="12.75" customHeight="1" x14ac:dyDescent="0.2">
      <c r="A539" s="21"/>
      <c r="B539" s="3" t="s">
        <v>16</v>
      </c>
      <c r="C539" s="3"/>
      <c r="D539" s="2"/>
    </row>
    <row r="540" spans="1:4" ht="12.75" customHeight="1" x14ac:dyDescent="0.2">
      <c r="A540" s="21"/>
      <c r="B540" s="3" t="s">
        <v>17</v>
      </c>
      <c r="C540" s="3"/>
      <c r="D540" s="2"/>
    </row>
    <row r="541" spans="1:4" ht="12.75" customHeight="1" x14ac:dyDescent="0.2">
      <c r="A541" s="21"/>
      <c r="B541" s="3" t="s">
        <v>18</v>
      </c>
      <c r="C541" s="4" t="s">
        <v>19</v>
      </c>
      <c r="D541" s="2"/>
    </row>
    <row r="542" spans="1:4" ht="12.75" customHeight="1" x14ac:dyDescent="0.2">
      <c r="A542" s="5"/>
      <c r="B542" s="2"/>
      <c r="C542" s="2"/>
      <c r="D542" s="2"/>
    </row>
    <row r="543" spans="1:4" ht="12.75" customHeight="1" x14ac:dyDescent="0.2">
      <c r="A543" s="22" t="str">
        <f>HYPERLINK("javascript:void(0)","arany csatacsillag")</f>
        <v>arany csatacsillag</v>
      </c>
      <c r="B543" s="21"/>
      <c r="C543" s="21"/>
      <c r="D543" s="21"/>
    </row>
    <row r="544" spans="1:4" ht="12.75" customHeight="1" x14ac:dyDescent="0.2">
      <c r="A544" s="20"/>
      <c r="B544" s="2"/>
      <c r="C544" s="2"/>
      <c r="D544" s="2"/>
    </row>
    <row r="545" spans="1:4" ht="12.75" customHeight="1" x14ac:dyDescent="0.2">
      <c r="A545" s="21"/>
      <c r="B545" s="3" t="s">
        <v>0</v>
      </c>
      <c r="C545" s="20" t="s">
        <v>72</v>
      </c>
      <c r="D545" s="21"/>
    </row>
    <row r="546" spans="1:4" ht="12.75" customHeight="1" x14ac:dyDescent="0.2">
      <c r="A546" s="21"/>
      <c r="B546" s="3" t="s">
        <v>2</v>
      </c>
      <c r="C546" s="20" t="s">
        <v>122</v>
      </c>
      <c r="D546" s="21"/>
    </row>
    <row r="547" spans="1:4" ht="12.75" customHeight="1" x14ac:dyDescent="0.2">
      <c r="A547" s="21"/>
      <c r="B547" s="3" t="s">
        <v>4</v>
      </c>
      <c r="C547" s="20" t="s">
        <v>255</v>
      </c>
      <c r="D547" s="21"/>
    </row>
    <row r="548" spans="1:4" ht="12.75" customHeight="1" x14ac:dyDescent="0.2">
      <c r="A548" s="21"/>
      <c r="B548" s="3" t="s">
        <v>6</v>
      </c>
      <c r="C548" s="20" t="s">
        <v>92</v>
      </c>
      <c r="D548" s="21"/>
    </row>
    <row r="549" spans="1:4" ht="12.75" customHeight="1" x14ac:dyDescent="0.2">
      <c r="A549" s="21"/>
      <c r="B549" s="3" t="s">
        <v>8</v>
      </c>
      <c r="C549" s="20" t="s">
        <v>255</v>
      </c>
      <c r="D549" s="21"/>
    </row>
    <row r="550" spans="1:4" ht="12.75" customHeight="1" x14ac:dyDescent="0.2">
      <c r="A550" s="21"/>
      <c r="B550" s="3" t="s">
        <v>9</v>
      </c>
      <c r="C550" s="20" t="s">
        <v>257</v>
      </c>
      <c r="D550" s="21"/>
    </row>
    <row r="551" spans="1:4" ht="12.75" customHeight="1" x14ac:dyDescent="0.2">
      <c r="A551" s="21"/>
      <c r="B551" s="3" t="s">
        <v>11</v>
      </c>
      <c r="C551" s="20" t="s">
        <v>258</v>
      </c>
      <c r="D551" s="21"/>
    </row>
    <row r="552" spans="1:4" ht="12.75" customHeight="1" x14ac:dyDescent="0.2">
      <c r="A552" s="21"/>
      <c r="B552" s="3" t="s">
        <v>13</v>
      </c>
      <c r="C552" s="20" t="s">
        <v>14</v>
      </c>
      <c r="D552" s="21"/>
    </row>
    <row r="553" spans="1:4" ht="12.75" customHeight="1" x14ac:dyDescent="0.2">
      <c r="A553" s="21"/>
      <c r="B553" s="3" t="s">
        <v>15</v>
      </c>
      <c r="C553" s="20" t="s">
        <v>24</v>
      </c>
      <c r="D553" s="21"/>
    </row>
    <row r="554" spans="1:4" ht="12.75" customHeight="1" x14ac:dyDescent="0.2">
      <c r="A554" s="21"/>
      <c r="B554" s="3" t="s">
        <v>16</v>
      </c>
      <c r="C554" s="20"/>
      <c r="D554" s="21"/>
    </row>
    <row r="555" spans="1:4" ht="12.75" customHeight="1" x14ac:dyDescent="0.2">
      <c r="A555" s="21"/>
      <c r="B555" s="3" t="s">
        <v>17</v>
      </c>
      <c r="C555" s="20"/>
      <c r="D555" s="21"/>
    </row>
    <row r="556" spans="1:4" ht="12.75" customHeight="1" x14ac:dyDescent="0.2">
      <c r="A556" s="21"/>
      <c r="B556" s="20" t="s">
        <v>18</v>
      </c>
      <c r="C556" s="4" t="s">
        <v>44</v>
      </c>
      <c r="D556" s="6" t="str">
        <f>HYPERLINK("javascript:void(0)","ezüst csatacsillag")</f>
        <v>ezüst csatacsillag</v>
      </c>
    </row>
    <row r="557" spans="1:4" ht="12.75" customHeight="1" x14ac:dyDescent="0.2">
      <c r="A557" s="21"/>
      <c r="B557" s="21"/>
      <c r="C557" s="4" t="s">
        <v>196</v>
      </c>
      <c r="D557" s="6" t="str">
        <f>HYPERLINK("javascript:void(0)","arany")</f>
        <v>arany</v>
      </c>
    </row>
    <row r="558" spans="1:4" ht="12.75" customHeight="1" x14ac:dyDescent="0.2">
      <c r="A558" s="21"/>
      <c r="B558" s="21"/>
      <c r="C558" s="4" t="s">
        <v>44</v>
      </c>
      <c r="D558" s="6" t="str">
        <f>HYPERLINK("javascript:void(0)","gyémánt")</f>
        <v>gyémánt</v>
      </c>
    </row>
    <row r="559" spans="1:4" ht="12.75" customHeight="1" x14ac:dyDescent="0.2">
      <c r="A559" s="5"/>
      <c r="B559" s="2"/>
      <c r="C559" s="2"/>
      <c r="D559" s="2"/>
    </row>
    <row r="560" spans="1:4" ht="12.75" customHeight="1" x14ac:dyDescent="0.2">
      <c r="A560" s="22" t="str">
        <f>HYPERLINK("javascript:void(0)","mengorni dorong")</f>
        <v>mengorni dorong</v>
      </c>
      <c r="B560" s="21"/>
      <c r="C560" s="21"/>
      <c r="D560" s="21"/>
    </row>
    <row r="561" spans="1:4" ht="12.75" customHeight="1" x14ac:dyDescent="0.2">
      <c r="A561" s="20"/>
      <c r="B561" s="2"/>
      <c r="C561" s="2"/>
      <c r="D561" s="2"/>
    </row>
    <row r="562" spans="1:4" ht="12.75" customHeight="1" x14ac:dyDescent="0.2">
      <c r="A562" s="21"/>
      <c r="B562" s="3" t="s">
        <v>0</v>
      </c>
      <c r="C562" s="20" t="s">
        <v>72</v>
      </c>
      <c r="D562" s="21"/>
    </row>
    <row r="563" spans="1:4" ht="12.75" customHeight="1" x14ac:dyDescent="0.2">
      <c r="A563" s="21"/>
      <c r="B563" s="3" t="s">
        <v>2</v>
      </c>
      <c r="C563" s="20" t="s">
        <v>122</v>
      </c>
      <c r="D563" s="21"/>
    </row>
    <row r="564" spans="1:4" ht="12.75" customHeight="1" x14ac:dyDescent="0.2">
      <c r="A564" s="21"/>
      <c r="B564" s="3" t="s">
        <v>4</v>
      </c>
      <c r="C564" s="20" t="s">
        <v>253</v>
      </c>
      <c r="D564" s="21"/>
    </row>
    <row r="565" spans="1:4" ht="12.75" customHeight="1" x14ac:dyDescent="0.2">
      <c r="A565" s="21"/>
      <c r="B565" s="3" t="s">
        <v>6</v>
      </c>
      <c r="C565" s="20" t="s">
        <v>32</v>
      </c>
      <c r="D565" s="21"/>
    </row>
    <row r="566" spans="1:4" ht="12.75" customHeight="1" x14ac:dyDescent="0.2">
      <c r="A566" s="21"/>
      <c r="B566" s="3" t="s">
        <v>8</v>
      </c>
      <c r="C566" s="20" t="s">
        <v>253</v>
      </c>
      <c r="D566" s="21"/>
    </row>
    <row r="567" spans="1:4" ht="12.75" customHeight="1" x14ac:dyDescent="0.2">
      <c r="A567" s="21"/>
      <c r="B567" s="3" t="s">
        <v>9</v>
      </c>
      <c r="C567" s="20" t="s">
        <v>124</v>
      </c>
      <c r="D567" s="21"/>
    </row>
    <row r="568" spans="1:4" ht="12.75" customHeight="1" x14ac:dyDescent="0.2">
      <c r="A568" s="21"/>
      <c r="B568" s="3" t="s">
        <v>11</v>
      </c>
      <c r="C568" s="20" t="s">
        <v>264</v>
      </c>
      <c r="D568" s="21"/>
    </row>
    <row r="569" spans="1:4" ht="12.75" customHeight="1" x14ac:dyDescent="0.2">
      <c r="A569" s="21"/>
      <c r="B569" s="3" t="s">
        <v>13</v>
      </c>
      <c r="C569" s="20" t="s">
        <v>14</v>
      </c>
      <c r="D569" s="21"/>
    </row>
    <row r="570" spans="1:4" ht="12.75" customHeight="1" x14ac:dyDescent="0.2">
      <c r="A570" s="21"/>
      <c r="B570" s="3" t="s">
        <v>15</v>
      </c>
      <c r="C570" s="20" t="s">
        <v>24</v>
      </c>
      <c r="D570" s="21"/>
    </row>
    <row r="571" spans="1:4" ht="12.75" customHeight="1" x14ac:dyDescent="0.2">
      <c r="A571" s="21"/>
      <c r="B571" s="3" t="s">
        <v>16</v>
      </c>
      <c r="C571" s="20"/>
      <c r="D571" s="21"/>
    </row>
    <row r="572" spans="1:4" ht="12.75" customHeight="1" x14ac:dyDescent="0.2">
      <c r="A572" s="21"/>
      <c r="B572" s="3" t="s">
        <v>17</v>
      </c>
      <c r="C572" s="20"/>
      <c r="D572" s="21"/>
    </row>
    <row r="573" spans="1:4" ht="12.75" customHeight="1" x14ac:dyDescent="0.2">
      <c r="A573" s="21"/>
      <c r="B573" s="20" t="s">
        <v>18</v>
      </c>
      <c r="C573" s="4" t="s">
        <v>44</v>
      </c>
      <c r="D573" s="6" t="str">
        <f>HYPERLINK("javascript:void(0)","diszprózium")</f>
        <v>diszprózium</v>
      </c>
    </row>
    <row r="574" spans="1:4" ht="12.75" customHeight="1" x14ac:dyDescent="0.2">
      <c r="A574" s="21"/>
      <c r="B574" s="21"/>
      <c r="C574" s="4" t="s">
        <v>44</v>
      </c>
      <c r="D574" s="6" t="str">
        <f>HYPERLINK("javascript:void(0)","ezüstdorong")</f>
        <v>ezüstdorong</v>
      </c>
    </row>
    <row r="575" spans="1:4" ht="12.75" customHeight="1" x14ac:dyDescent="0.2">
      <c r="A575" s="21"/>
      <c r="B575" s="21"/>
      <c r="C575" s="4" t="s">
        <v>266</v>
      </c>
      <c r="D575" s="6" t="str">
        <f>HYPERLINK("javascript:void(0)","ezüst")</f>
        <v>ezüst</v>
      </c>
    </row>
    <row r="576" spans="1:4" ht="12.75" customHeight="1" x14ac:dyDescent="0.2">
      <c r="A576" s="5"/>
      <c r="B576" s="2"/>
      <c r="C576" s="2"/>
      <c r="D576" s="2"/>
    </row>
    <row r="577" spans="1:4" ht="12.75" customHeight="1" x14ac:dyDescent="0.2">
      <c r="A577" s="22" t="str">
        <f>HYPERLINK("javascript:void(0)","nagybőgő")</f>
        <v>nagybőgő</v>
      </c>
      <c r="B577" s="21"/>
      <c r="C577" s="21"/>
      <c r="D577" s="2"/>
    </row>
    <row r="578" spans="1:4" ht="12.75" customHeight="1" x14ac:dyDescent="0.2">
      <c r="A578" s="20"/>
      <c r="B578" s="2"/>
      <c r="C578" s="2"/>
      <c r="D578" s="2"/>
    </row>
    <row r="579" spans="1:4" ht="12.75" customHeight="1" x14ac:dyDescent="0.2">
      <c r="A579" s="21"/>
      <c r="B579" s="3" t="s">
        <v>0</v>
      </c>
      <c r="C579" s="3" t="s">
        <v>82</v>
      </c>
      <c r="D579" s="2"/>
    </row>
    <row r="580" spans="1:4" ht="12.75" customHeight="1" x14ac:dyDescent="0.2">
      <c r="A580" s="21"/>
      <c r="B580" s="3" t="s">
        <v>2</v>
      </c>
      <c r="C580" s="3" t="s">
        <v>122</v>
      </c>
      <c r="D580" s="2"/>
    </row>
    <row r="581" spans="1:4" ht="12.75" customHeight="1" x14ac:dyDescent="0.2">
      <c r="A581" s="21"/>
      <c r="B581" s="3" t="s">
        <v>4</v>
      </c>
      <c r="C581" s="3" t="s">
        <v>91</v>
      </c>
      <c r="D581" s="2"/>
    </row>
    <row r="582" spans="1:4" ht="12.75" customHeight="1" x14ac:dyDescent="0.2">
      <c r="A582" s="21"/>
      <c r="B582" s="3" t="s">
        <v>6</v>
      </c>
      <c r="C582" s="3" t="s">
        <v>157</v>
      </c>
      <c r="D582" s="2"/>
    </row>
    <row r="583" spans="1:4" ht="12.75" customHeight="1" x14ac:dyDescent="0.2">
      <c r="A583" s="21"/>
      <c r="B583" s="3" t="s">
        <v>8</v>
      </c>
      <c r="C583" s="3" t="s">
        <v>91</v>
      </c>
      <c r="D583" s="2"/>
    </row>
    <row r="584" spans="1:4" ht="12.75" customHeight="1" x14ac:dyDescent="0.2">
      <c r="A584" s="21"/>
      <c r="B584" s="3" t="s">
        <v>9</v>
      </c>
      <c r="C584" s="3" t="s">
        <v>250</v>
      </c>
      <c r="D584" s="2"/>
    </row>
    <row r="585" spans="1:4" ht="25.5" customHeight="1" x14ac:dyDescent="0.2">
      <c r="A585" s="21"/>
      <c r="B585" s="3" t="s">
        <v>11</v>
      </c>
      <c r="C585" s="3" t="s">
        <v>270</v>
      </c>
      <c r="D585" s="2"/>
    </row>
    <row r="586" spans="1:4" ht="12.75" customHeight="1" x14ac:dyDescent="0.2">
      <c r="A586" s="21"/>
      <c r="B586" s="3" t="s">
        <v>13</v>
      </c>
      <c r="C586" s="3" t="s">
        <v>24</v>
      </c>
      <c r="D586" s="2"/>
    </row>
    <row r="587" spans="1:4" ht="12.75" customHeight="1" x14ac:dyDescent="0.2">
      <c r="A587" s="21"/>
      <c r="B587" s="3" t="s">
        <v>15</v>
      </c>
      <c r="C587" s="3" t="s">
        <v>14</v>
      </c>
      <c r="D587" s="2"/>
    </row>
    <row r="588" spans="1:4" ht="12.75" customHeight="1" x14ac:dyDescent="0.2">
      <c r="A588" s="21"/>
      <c r="B588" s="3" t="s">
        <v>16</v>
      </c>
      <c r="C588" s="3"/>
      <c r="D588" s="2"/>
    </row>
    <row r="589" spans="1:4" ht="12.75" customHeight="1" x14ac:dyDescent="0.2">
      <c r="A589" s="21"/>
      <c r="B589" s="3" t="s">
        <v>17</v>
      </c>
      <c r="C589" s="3"/>
      <c r="D589" s="2"/>
    </row>
    <row r="590" spans="1:4" ht="12.75" customHeight="1" x14ac:dyDescent="0.2">
      <c r="A590" s="21"/>
      <c r="B590" s="3" t="s">
        <v>18</v>
      </c>
      <c r="C590" s="4" t="s">
        <v>19</v>
      </c>
      <c r="D590" s="2"/>
    </row>
    <row r="591" spans="1:4" ht="12.75" customHeight="1" x14ac:dyDescent="0.2">
      <c r="A591" s="5"/>
      <c r="B591" s="2"/>
      <c r="C591" s="2"/>
      <c r="D591" s="2"/>
    </row>
    <row r="592" spans="1:4" ht="12.75" customHeight="1" x14ac:dyDescent="0.2">
      <c r="A592" s="22" t="str">
        <f>HYPERLINK("javascript:void(0)","vámpír nuncsaku")</f>
        <v>vámpír nuncsaku</v>
      </c>
      <c r="B592" s="21"/>
      <c r="C592" s="21"/>
      <c r="D592" s="21"/>
    </row>
    <row r="593" spans="1:4" ht="12.75" customHeight="1" x14ac:dyDescent="0.2">
      <c r="A593" s="20"/>
      <c r="B593" s="2"/>
      <c r="C593" s="2"/>
      <c r="D593" s="2"/>
    </row>
    <row r="594" spans="1:4" ht="12.75" customHeight="1" x14ac:dyDescent="0.2">
      <c r="A594" s="21"/>
      <c r="B594" s="3" t="s">
        <v>0</v>
      </c>
      <c r="C594" s="20" t="s">
        <v>82</v>
      </c>
      <c r="D594" s="21"/>
    </row>
    <row r="595" spans="1:4" ht="12.75" customHeight="1" x14ac:dyDescent="0.2">
      <c r="A595" s="21"/>
      <c r="B595" s="3" t="s">
        <v>2</v>
      </c>
      <c r="C595" s="20" t="s">
        <v>122</v>
      </c>
      <c r="D595" s="21"/>
    </row>
    <row r="596" spans="1:4" ht="12.75" customHeight="1" x14ac:dyDescent="0.2">
      <c r="A596" s="21"/>
      <c r="B596" s="3" t="s">
        <v>4</v>
      </c>
      <c r="C596" s="20" t="s">
        <v>275</v>
      </c>
      <c r="D596" s="21"/>
    </row>
    <row r="597" spans="1:4" ht="12.75" customHeight="1" x14ac:dyDescent="0.2">
      <c r="A597" s="21"/>
      <c r="B597" s="3" t="s">
        <v>6</v>
      </c>
      <c r="C597" s="20" t="s">
        <v>5</v>
      </c>
      <c r="D597" s="21"/>
    </row>
    <row r="598" spans="1:4" ht="12.75" customHeight="1" x14ac:dyDescent="0.2">
      <c r="A598" s="21"/>
      <c r="B598" s="3" t="s">
        <v>8</v>
      </c>
      <c r="C598" s="20" t="s">
        <v>275</v>
      </c>
      <c r="D598" s="21"/>
    </row>
    <row r="599" spans="1:4" ht="12.75" customHeight="1" x14ac:dyDescent="0.2">
      <c r="A599" s="21"/>
      <c r="B599" s="3" t="s">
        <v>9</v>
      </c>
      <c r="C599" s="20" t="s">
        <v>113</v>
      </c>
      <c r="D599" s="21"/>
    </row>
    <row r="600" spans="1:4" ht="12.75" customHeight="1" x14ac:dyDescent="0.2">
      <c r="A600" s="21"/>
      <c r="B600" s="3" t="s">
        <v>11</v>
      </c>
      <c r="C600" s="20" t="s">
        <v>277</v>
      </c>
      <c r="D600" s="21"/>
    </row>
    <row r="601" spans="1:4" ht="12.75" customHeight="1" x14ac:dyDescent="0.2">
      <c r="A601" s="21"/>
      <c r="B601" s="3" t="s">
        <v>13</v>
      </c>
      <c r="C601" s="20" t="s">
        <v>14</v>
      </c>
      <c r="D601" s="21"/>
    </row>
    <row r="602" spans="1:4" ht="12.75" customHeight="1" x14ac:dyDescent="0.2">
      <c r="A602" s="21"/>
      <c r="B602" s="3" t="s">
        <v>15</v>
      </c>
      <c r="C602" s="20" t="s">
        <v>24</v>
      </c>
      <c r="D602" s="21"/>
    </row>
    <row r="603" spans="1:4" ht="12.75" customHeight="1" x14ac:dyDescent="0.2">
      <c r="A603" s="21"/>
      <c r="B603" s="3" t="s">
        <v>16</v>
      </c>
      <c r="C603" s="20"/>
      <c r="D603" s="21"/>
    </row>
    <row r="604" spans="1:4" ht="12.75" customHeight="1" x14ac:dyDescent="0.2">
      <c r="A604" s="21"/>
      <c r="B604" s="3" t="s">
        <v>17</v>
      </c>
      <c r="C604" s="20"/>
      <c r="D604" s="21"/>
    </row>
    <row r="605" spans="1:4" ht="12.75" customHeight="1" x14ac:dyDescent="0.2">
      <c r="A605" s="21"/>
      <c r="B605" s="20" t="s">
        <v>18</v>
      </c>
      <c r="C605" s="4" t="s">
        <v>44</v>
      </c>
      <c r="D605" s="6" t="str">
        <f>HYPERLINK("javascript:void(0)","ezüst nuncsaku")</f>
        <v>ezüst nuncsaku</v>
      </c>
    </row>
    <row r="606" spans="1:4" ht="12.75" customHeight="1" x14ac:dyDescent="0.2">
      <c r="A606" s="21"/>
      <c r="B606" s="21"/>
      <c r="C606" s="4" t="s">
        <v>77</v>
      </c>
      <c r="D606" s="6" t="str">
        <f>HYPERLINK("javascript:void(0)","vámpírherbium")</f>
        <v>vámpírherbium</v>
      </c>
    </row>
    <row r="607" spans="1:4" ht="12.75" customHeight="1" x14ac:dyDescent="0.2">
      <c r="A607" s="21"/>
      <c r="B607" s="21"/>
      <c r="C607" s="4" t="s">
        <v>56</v>
      </c>
      <c r="D607" s="6" t="str">
        <f>HYPERLINK("javascript:void(0)","gyémánt")</f>
        <v>gyémánt</v>
      </c>
    </row>
    <row r="608" spans="1:4" ht="12.75" customHeight="1" x14ac:dyDescent="0.2">
      <c r="A608" s="5"/>
      <c r="B608" s="2"/>
      <c r="C608" s="2"/>
      <c r="D608" s="2"/>
    </row>
    <row r="609" spans="1:4" ht="12.75" customHeight="1" x14ac:dyDescent="0.2">
      <c r="A609" s="22" t="str">
        <f>HYPERLINK("javascript:void(0)","1 éves kenyér")</f>
        <v>1 éves kenyér</v>
      </c>
      <c r="B609" s="21"/>
      <c r="C609" s="21"/>
      <c r="D609" s="21"/>
    </row>
    <row r="610" spans="1:4" ht="12.75" customHeight="1" x14ac:dyDescent="0.2">
      <c r="A610" s="20"/>
      <c r="B610" s="2"/>
      <c r="C610" s="2"/>
      <c r="D610" s="2"/>
    </row>
    <row r="611" spans="1:4" ht="12.75" customHeight="1" x14ac:dyDescent="0.2">
      <c r="A611" s="21"/>
      <c r="B611" s="3" t="s">
        <v>0</v>
      </c>
      <c r="C611" s="20" t="s">
        <v>82</v>
      </c>
      <c r="D611" s="21"/>
    </row>
    <row r="612" spans="1:4" ht="12.75" customHeight="1" x14ac:dyDescent="0.2">
      <c r="A612" s="21"/>
      <c r="B612" s="3" t="s">
        <v>2</v>
      </c>
      <c r="C612" s="20" t="s">
        <v>122</v>
      </c>
      <c r="D612" s="21"/>
    </row>
    <row r="613" spans="1:4" ht="12.75" customHeight="1" x14ac:dyDescent="0.2">
      <c r="A613" s="21"/>
      <c r="B613" s="3" t="s">
        <v>4</v>
      </c>
      <c r="C613" s="20" t="s">
        <v>281</v>
      </c>
      <c r="D613" s="21"/>
    </row>
    <row r="614" spans="1:4" ht="12.75" customHeight="1" x14ac:dyDescent="0.2">
      <c r="A614" s="21"/>
      <c r="B614" s="3" t="s">
        <v>6</v>
      </c>
      <c r="C614" s="20" t="s">
        <v>64</v>
      </c>
      <c r="D614" s="21"/>
    </row>
    <row r="615" spans="1:4" ht="12.75" customHeight="1" x14ac:dyDescent="0.2">
      <c r="A615" s="21"/>
      <c r="B615" s="3" t="s">
        <v>8</v>
      </c>
      <c r="C615" s="20" t="s">
        <v>281</v>
      </c>
      <c r="D615" s="21"/>
    </row>
    <row r="616" spans="1:4" ht="12.75" customHeight="1" x14ac:dyDescent="0.2">
      <c r="A616" s="21"/>
      <c r="B616" s="3" t="s">
        <v>9</v>
      </c>
      <c r="C616" s="20" t="s">
        <v>124</v>
      </c>
      <c r="D616" s="21"/>
    </row>
    <row r="617" spans="1:4" ht="12.75" customHeight="1" x14ac:dyDescent="0.2">
      <c r="A617" s="21"/>
      <c r="B617" s="3" t="s">
        <v>11</v>
      </c>
      <c r="C617" s="20" t="s">
        <v>283</v>
      </c>
      <c r="D617" s="21"/>
    </row>
    <row r="618" spans="1:4" ht="12.75" customHeight="1" x14ac:dyDescent="0.2">
      <c r="A618" s="21"/>
      <c r="B618" s="3" t="s">
        <v>13</v>
      </c>
      <c r="C618" s="20" t="s">
        <v>24</v>
      </c>
      <c r="D618" s="21"/>
    </row>
    <row r="619" spans="1:4" ht="12.75" customHeight="1" x14ac:dyDescent="0.2">
      <c r="A619" s="21"/>
      <c r="B619" s="3" t="s">
        <v>15</v>
      </c>
      <c r="C619" s="20" t="s">
        <v>14</v>
      </c>
      <c r="D619" s="21"/>
    </row>
    <row r="620" spans="1:4" ht="12.75" customHeight="1" x14ac:dyDescent="0.2">
      <c r="A620" s="21"/>
      <c r="B620" s="3" t="s">
        <v>16</v>
      </c>
      <c r="C620" s="20"/>
      <c r="D620" s="21"/>
    </row>
    <row r="621" spans="1:4" ht="12.75" customHeight="1" x14ac:dyDescent="0.2">
      <c r="A621" s="21"/>
      <c r="B621" s="3" t="s">
        <v>17</v>
      </c>
      <c r="C621" s="20"/>
      <c r="D621" s="21"/>
    </row>
    <row r="622" spans="1:4" ht="12.75" customHeight="1" x14ac:dyDescent="0.2">
      <c r="A622" s="21"/>
      <c r="B622" s="20" t="s">
        <v>18</v>
      </c>
      <c r="C622" s="4" t="s">
        <v>44</v>
      </c>
      <c r="D622" s="6" t="str">
        <f>HYPERLINK("javascript:void(0)","2 hónapos kenyér")</f>
        <v>2 hónapos kenyér</v>
      </c>
    </row>
    <row r="623" spans="1:4" ht="12.75" customHeight="1" x14ac:dyDescent="0.2">
      <c r="A623" s="21"/>
      <c r="B623" s="21"/>
      <c r="C623" s="4" t="s">
        <v>56</v>
      </c>
      <c r="D623" s="6" t="str">
        <f>HYPERLINK("javascript:void(0)","gyémánt")</f>
        <v>gyémánt</v>
      </c>
    </row>
    <row r="624" spans="1:4" ht="12.75" customHeight="1" x14ac:dyDescent="0.2">
      <c r="A624" s="21"/>
      <c r="B624" s="21"/>
      <c r="C624" s="4" t="s">
        <v>57</v>
      </c>
      <c r="D624" s="6" t="str">
        <f>HYPERLINK("javascript:void(0)","mézbalzsam")</f>
        <v>mézbalzsam</v>
      </c>
    </row>
    <row r="625" spans="1:4" ht="12.75" customHeight="1" x14ac:dyDescent="0.2">
      <c r="A625" s="5"/>
      <c r="B625" s="2"/>
      <c r="C625" s="2"/>
      <c r="D625" s="2"/>
    </row>
    <row r="626" spans="1:4" ht="12.75" customHeight="1" x14ac:dyDescent="0.2">
      <c r="A626" s="22" t="str">
        <f>HYPERLINK("javascript:void(0)","szekérrúd")</f>
        <v>szekérrúd</v>
      </c>
      <c r="B626" s="21"/>
      <c r="C626" s="21"/>
      <c r="D626" s="21"/>
    </row>
    <row r="627" spans="1:4" ht="12.75" customHeight="1" x14ac:dyDescent="0.2">
      <c r="A627" s="20"/>
      <c r="B627" s="2"/>
      <c r="C627" s="2"/>
      <c r="D627" s="2"/>
    </row>
    <row r="628" spans="1:4" ht="12.75" customHeight="1" x14ac:dyDescent="0.2">
      <c r="A628" s="21"/>
      <c r="B628" s="3" t="s">
        <v>0</v>
      </c>
      <c r="C628" s="20" t="s">
        <v>86</v>
      </c>
      <c r="D628" s="21"/>
    </row>
    <row r="629" spans="1:4" ht="12.75" customHeight="1" x14ac:dyDescent="0.2">
      <c r="A629" s="21"/>
      <c r="B629" s="3" t="s">
        <v>2</v>
      </c>
      <c r="C629" s="20" t="s">
        <v>122</v>
      </c>
      <c r="D629" s="21"/>
    </row>
    <row r="630" spans="1:4" ht="12.75" customHeight="1" x14ac:dyDescent="0.2">
      <c r="A630" s="21"/>
      <c r="B630" s="3" t="s">
        <v>4</v>
      </c>
      <c r="C630" s="20" t="s">
        <v>99</v>
      </c>
      <c r="D630" s="21"/>
    </row>
    <row r="631" spans="1:4" ht="12.75" customHeight="1" x14ac:dyDescent="0.2">
      <c r="A631" s="21"/>
      <c r="B631" s="3" t="s">
        <v>6</v>
      </c>
      <c r="C631" s="20" t="s">
        <v>157</v>
      </c>
      <c r="D631" s="21"/>
    </row>
    <row r="632" spans="1:4" ht="12.75" customHeight="1" x14ac:dyDescent="0.2">
      <c r="A632" s="21"/>
      <c r="B632" s="3" t="s">
        <v>8</v>
      </c>
      <c r="C632" s="20" t="s">
        <v>99</v>
      </c>
      <c r="D632" s="21"/>
    </row>
    <row r="633" spans="1:4" ht="12.75" customHeight="1" x14ac:dyDescent="0.2">
      <c r="A633" s="21"/>
      <c r="B633" s="3" t="s">
        <v>9</v>
      </c>
      <c r="C633" s="20" t="s">
        <v>198</v>
      </c>
      <c r="D633" s="21"/>
    </row>
    <row r="634" spans="1:4" ht="12.75" customHeight="1" x14ac:dyDescent="0.2">
      <c r="A634" s="21"/>
      <c r="B634" s="3" t="s">
        <v>11</v>
      </c>
      <c r="C634" s="20" t="s">
        <v>288</v>
      </c>
      <c r="D634" s="21"/>
    </row>
    <row r="635" spans="1:4" ht="12.75" customHeight="1" x14ac:dyDescent="0.2">
      <c r="A635" s="21"/>
      <c r="B635" s="3" t="s">
        <v>13</v>
      </c>
      <c r="C635" s="20" t="s">
        <v>24</v>
      </c>
      <c r="D635" s="21"/>
    </row>
    <row r="636" spans="1:4" ht="12.75" customHeight="1" x14ac:dyDescent="0.2">
      <c r="A636" s="21"/>
      <c r="B636" s="3" t="s">
        <v>15</v>
      </c>
      <c r="C636" s="20" t="s">
        <v>14</v>
      </c>
      <c r="D636" s="21"/>
    </row>
    <row r="637" spans="1:4" ht="12.75" customHeight="1" x14ac:dyDescent="0.2">
      <c r="A637" s="21"/>
      <c r="B637" s="3" t="s">
        <v>16</v>
      </c>
      <c r="C637" s="20"/>
      <c r="D637" s="21"/>
    </row>
    <row r="638" spans="1:4" ht="12.75" customHeight="1" x14ac:dyDescent="0.2">
      <c r="A638" s="21"/>
      <c r="B638" s="3" t="s">
        <v>17</v>
      </c>
      <c r="C638" s="20"/>
      <c r="D638" s="21"/>
    </row>
    <row r="639" spans="1:4" ht="12.75" customHeight="1" x14ac:dyDescent="0.2">
      <c r="A639" s="21"/>
      <c r="B639" s="20" t="s">
        <v>18</v>
      </c>
      <c r="C639" s="4" t="s">
        <v>67</v>
      </c>
      <c r="D639" s="6" t="str">
        <f>HYPERLINK("javascript:void(0)","bot")</f>
        <v>bot</v>
      </c>
    </row>
    <row r="640" spans="1:4" ht="12.75" customHeight="1" x14ac:dyDescent="0.2">
      <c r="A640" s="21"/>
      <c r="B640" s="21"/>
      <c r="C640" s="4" t="s">
        <v>98</v>
      </c>
      <c r="D640" s="6" t="str">
        <f>HYPERLINK("javascript:void(0)","szúnyogszárny")</f>
        <v>szúnyogszárny</v>
      </c>
    </row>
    <row r="641" spans="1:4" ht="12.75" customHeight="1" x14ac:dyDescent="0.2">
      <c r="A641" s="21"/>
      <c r="B641" s="21"/>
      <c r="C641" s="4" t="s">
        <v>57</v>
      </c>
      <c r="D641" s="6" t="str">
        <f>HYPERLINK("javascript:void(0)","unikornisszarv")</f>
        <v>unikornisszarv</v>
      </c>
    </row>
    <row r="642" spans="1:4" ht="12.75" customHeight="1" x14ac:dyDescent="0.2">
      <c r="A642" s="5"/>
      <c r="B642" s="2"/>
      <c r="C642" s="2"/>
      <c r="D642" s="2"/>
    </row>
    <row r="643" spans="1:4" ht="12.75" customHeight="1" x14ac:dyDescent="0.2">
      <c r="A643" s="22" t="str">
        <f>HYPERLINK("javascript:void(0)","voodoo-bot")</f>
        <v>voodoo-bot</v>
      </c>
      <c r="B643" s="21"/>
      <c r="C643" s="21"/>
      <c r="D643" s="21"/>
    </row>
    <row r="644" spans="1:4" ht="12.75" customHeight="1" x14ac:dyDescent="0.2">
      <c r="A644" s="20"/>
      <c r="B644" s="2"/>
      <c r="C644" s="2"/>
      <c r="D644" s="2"/>
    </row>
    <row r="645" spans="1:4" ht="12.75" customHeight="1" x14ac:dyDescent="0.2">
      <c r="A645" s="21"/>
      <c r="B645" s="3" t="s">
        <v>0</v>
      </c>
      <c r="C645" s="20" t="s">
        <v>86</v>
      </c>
      <c r="D645" s="21"/>
    </row>
    <row r="646" spans="1:4" ht="12.75" customHeight="1" x14ac:dyDescent="0.2">
      <c r="A646" s="21"/>
      <c r="B646" s="3" t="s">
        <v>2</v>
      </c>
      <c r="C646" s="20" t="s">
        <v>122</v>
      </c>
      <c r="D646" s="21"/>
    </row>
    <row r="647" spans="1:4" ht="12.75" customHeight="1" x14ac:dyDescent="0.2">
      <c r="A647" s="21"/>
      <c r="B647" s="3" t="s">
        <v>4</v>
      </c>
      <c r="C647" s="20" t="s">
        <v>293</v>
      </c>
      <c r="D647" s="21"/>
    </row>
    <row r="648" spans="1:4" ht="12.75" customHeight="1" x14ac:dyDescent="0.2">
      <c r="A648" s="21"/>
      <c r="B648" s="3" t="s">
        <v>6</v>
      </c>
      <c r="C648" s="20" t="s">
        <v>82</v>
      </c>
      <c r="D648" s="21"/>
    </row>
    <row r="649" spans="1:4" ht="12.75" customHeight="1" x14ac:dyDescent="0.2">
      <c r="A649" s="21"/>
      <c r="B649" s="3" t="s">
        <v>8</v>
      </c>
      <c r="C649" s="20" t="s">
        <v>293</v>
      </c>
      <c r="D649" s="21"/>
    </row>
    <row r="650" spans="1:4" ht="12.75" customHeight="1" x14ac:dyDescent="0.2">
      <c r="A650" s="21"/>
      <c r="B650" s="3" t="s">
        <v>9</v>
      </c>
      <c r="C650" s="20" t="s">
        <v>42</v>
      </c>
      <c r="D650" s="21"/>
    </row>
    <row r="651" spans="1:4" ht="12.75" customHeight="1" x14ac:dyDescent="0.2">
      <c r="A651" s="21"/>
      <c r="B651" s="3" t="s">
        <v>11</v>
      </c>
      <c r="C651" s="20" t="s">
        <v>294</v>
      </c>
      <c r="D651" s="21"/>
    </row>
    <row r="652" spans="1:4" ht="12.75" customHeight="1" x14ac:dyDescent="0.2">
      <c r="A652" s="21"/>
      <c r="B652" s="3" t="s">
        <v>13</v>
      </c>
      <c r="C652" s="20" t="s">
        <v>14</v>
      </c>
      <c r="D652" s="21"/>
    </row>
    <row r="653" spans="1:4" ht="12.75" customHeight="1" x14ac:dyDescent="0.2">
      <c r="A653" s="21"/>
      <c r="B653" s="3" t="s">
        <v>15</v>
      </c>
      <c r="C653" s="20" t="s">
        <v>24</v>
      </c>
      <c r="D653" s="21"/>
    </row>
    <row r="654" spans="1:4" ht="12.75" customHeight="1" x14ac:dyDescent="0.2">
      <c r="A654" s="21"/>
      <c r="B654" s="3" t="s">
        <v>16</v>
      </c>
      <c r="C654" s="20"/>
      <c r="D654" s="21"/>
    </row>
    <row r="655" spans="1:4" ht="12.75" customHeight="1" x14ac:dyDescent="0.2">
      <c r="A655" s="21"/>
      <c r="B655" s="3" t="s">
        <v>17</v>
      </c>
      <c r="C655" s="20"/>
      <c r="D655" s="21"/>
    </row>
    <row r="656" spans="1:4" ht="12.75" customHeight="1" x14ac:dyDescent="0.2">
      <c r="A656" s="21"/>
      <c r="B656" s="20" t="s">
        <v>18</v>
      </c>
      <c r="C656" s="4" t="s">
        <v>44</v>
      </c>
      <c r="D656" s="6" t="str">
        <f>HYPERLINK("javascript:void(0)","varázshusáng")</f>
        <v>varázshusáng</v>
      </c>
    </row>
    <row r="657" spans="1:4" ht="12.75" customHeight="1" x14ac:dyDescent="0.2">
      <c r="A657" s="21"/>
      <c r="B657" s="21"/>
      <c r="C657" s="4" t="s">
        <v>67</v>
      </c>
      <c r="D657" s="6" t="str">
        <f>HYPERLINK("javascript:void(0)","oroszlánbajusz")</f>
        <v>oroszlánbajusz</v>
      </c>
    </row>
    <row r="658" spans="1:4" ht="12.75" customHeight="1" x14ac:dyDescent="0.2">
      <c r="A658" s="21"/>
      <c r="B658" s="21"/>
      <c r="C658" s="4" t="s">
        <v>56</v>
      </c>
      <c r="D658" s="6" t="str">
        <f>HYPERLINK("javascript:void(0)","bulldogbendő")</f>
        <v>bulldogbendő</v>
      </c>
    </row>
    <row r="659" spans="1:4" ht="12.75" customHeight="1" x14ac:dyDescent="0.2">
      <c r="A659" s="5"/>
      <c r="B659" s="2"/>
      <c r="C659" s="2"/>
      <c r="D659" s="2"/>
    </row>
    <row r="660" spans="1:4" ht="12.75" customHeight="1" x14ac:dyDescent="0.2">
      <c r="A660" s="22" t="str">
        <f>HYPERLINK("javascript:void(0)","harci csákány")</f>
        <v>harci csákány</v>
      </c>
      <c r="B660" s="21"/>
      <c r="C660" s="21"/>
      <c r="D660" s="2"/>
    </row>
    <row r="661" spans="1:4" ht="12.75" customHeight="1" x14ac:dyDescent="0.2">
      <c r="A661" s="20"/>
      <c r="B661" s="2"/>
      <c r="C661" s="2"/>
      <c r="D661" s="2"/>
    </row>
    <row r="662" spans="1:4" ht="12.75" customHeight="1" x14ac:dyDescent="0.2">
      <c r="A662" s="21"/>
      <c r="B662" s="3" t="s">
        <v>0</v>
      </c>
      <c r="C662" s="3" t="s">
        <v>86</v>
      </c>
      <c r="D662" s="2"/>
    </row>
    <row r="663" spans="1:4" ht="12.75" customHeight="1" x14ac:dyDescent="0.2">
      <c r="A663" s="21"/>
      <c r="B663" s="3" t="s">
        <v>2</v>
      </c>
      <c r="C663" s="3" t="s">
        <v>122</v>
      </c>
      <c r="D663" s="2"/>
    </row>
    <row r="664" spans="1:4" ht="12.75" customHeight="1" x14ac:dyDescent="0.2">
      <c r="A664" s="21"/>
      <c r="B664" s="3" t="s">
        <v>4</v>
      </c>
      <c r="C664" s="3" t="s">
        <v>83</v>
      </c>
      <c r="D664" s="2"/>
    </row>
    <row r="665" spans="1:4" ht="12.75" customHeight="1" x14ac:dyDescent="0.2">
      <c r="A665" s="21"/>
      <c r="B665" s="3" t="s">
        <v>6</v>
      </c>
      <c r="C665" s="3" t="s">
        <v>48</v>
      </c>
      <c r="D665" s="2"/>
    </row>
    <row r="666" spans="1:4" ht="12.75" customHeight="1" x14ac:dyDescent="0.2">
      <c r="A666" s="21"/>
      <c r="B666" s="3" t="s">
        <v>8</v>
      </c>
      <c r="C666" s="3" t="s">
        <v>83</v>
      </c>
      <c r="D666" s="2"/>
    </row>
    <row r="667" spans="1:4" ht="12.75" customHeight="1" x14ac:dyDescent="0.2">
      <c r="A667" s="21"/>
      <c r="B667" s="3" t="s">
        <v>9</v>
      </c>
      <c r="C667" s="3" t="s">
        <v>61</v>
      </c>
      <c r="D667" s="2"/>
    </row>
    <row r="668" spans="1:4" ht="12.75" customHeight="1" x14ac:dyDescent="0.2">
      <c r="A668" s="21"/>
      <c r="B668" s="3" t="s">
        <v>11</v>
      </c>
      <c r="C668" s="3" t="s">
        <v>297</v>
      </c>
      <c r="D668" s="2"/>
    </row>
    <row r="669" spans="1:4" ht="12.75" customHeight="1" x14ac:dyDescent="0.2">
      <c r="A669" s="21"/>
      <c r="B669" s="3" t="s">
        <v>13</v>
      </c>
      <c r="C669" s="3" t="s">
        <v>14</v>
      </c>
      <c r="D669" s="2"/>
    </row>
    <row r="670" spans="1:4" ht="12.75" customHeight="1" x14ac:dyDescent="0.2">
      <c r="A670" s="21"/>
      <c r="B670" s="3" t="s">
        <v>15</v>
      </c>
      <c r="C670" s="3" t="s">
        <v>14</v>
      </c>
      <c r="D670" s="2"/>
    </row>
    <row r="671" spans="1:4" ht="12.75" customHeight="1" x14ac:dyDescent="0.2">
      <c r="A671" s="21"/>
      <c r="B671" s="3" t="s">
        <v>16</v>
      </c>
      <c r="C671" s="3"/>
      <c r="D671" s="2"/>
    </row>
    <row r="672" spans="1:4" ht="12.75" customHeight="1" x14ac:dyDescent="0.2">
      <c r="A672" s="21"/>
      <c r="B672" s="3" t="s">
        <v>17</v>
      </c>
      <c r="C672" s="3"/>
      <c r="D672" s="2"/>
    </row>
    <row r="673" spans="1:4" ht="12.75" customHeight="1" x14ac:dyDescent="0.2">
      <c r="A673" s="21"/>
      <c r="B673" s="3" t="s">
        <v>18</v>
      </c>
      <c r="C673" s="4" t="s">
        <v>19</v>
      </c>
      <c r="D673" s="2"/>
    </row>
    <row r="674" spans="1:4" ht="12.75" customHeight="1" x14ac:dyDescent="0.2">
      <c r="A674" s="5"/>
      <c r="B674" s="2"/>
      <c r="C674" s="2"/>
      <c r="D674" s="2"/>
    </row>
    <row r="675" spans="1:4" ht="12.75" customHeight="1" x14ac:dyDescent="0.2">
      <c r="A675" s="22" t="str">
        <f>HYPERLINK("javascript:void(0)","arany nuncsaku")</f>
        <v>arany nuncsaku</v>
      </c>
      <c r="B675" s="21"/>
      <c r="C675" s="21"/>
      <c r="D675" s="21"/>
    </row>
    <row r="676" spans="1:4" ht="12.75" customHeight="1" x14ac:dyDescent="0.2">
      <c r="A676" s="20"/>
      <c r="B676" s="2"/>
      <c r="C676" s="2"/>
      <c r="D676" s="2"/>
    </row>
    <row r="677" spans="1:4" ht="12.75" customHeight="1" x14ac:dyDescent="0.2">
      <c r="A677" s="21"/>
      <c r="B677" s="3" t="s">
        <v>0</v>
      </c>
      <c r="C677" s="20" t="s">
        <v>86</v>
      </c>
      <c r="D677" s="21"/>
    </row>
    <row r="678" spans="1:4" ht="12.75" customHeight="1" x14ac:dyDescent="0.2">
      <c r="A678" s="21"/>
      <c r="B678" s="3" t="s">
        <v>2</v>
      </c>
      <c r="C678" s="20" t="s">
        <v>122</v>
      </c>
      <c r="D678" s="21"/>
    </row>
    <row r="679" spans="1:4" ht="12.75" customHeight="1" x14ac:dyDescent="0.2">
      <c r="A679" s="21"/>
      <c r="B679" s="3" t="s">
        <v>4</v>
      </c>
      <c r="C679" s="20" t="s">
        <v>302</v>
      </c>
      <c r="D679" s="21"/>
    </row>
    <row r="680" spans="1:4" ht="12.75" customHeight="1" x14ac:dyDescent="0.2">
      <c r="A680" s="21"/>
      <c r="B680" s="3" t="s">
        <v>6</v>
      </c>
      <c r="C680" s="20" t="s">
        <v>5</v>
      </c>
      <c r="D680" s="21"/>
    </row>
    <row r="681" spans="1:4" ht="12.75" customHeight="1" x14ac:dyDescent="0.2">
      <c r="A681" s="21"/>
      <c r="B681" s="3" t="s">
        <v>8</v>
      </c>
      <c r="C681" s="20" t="s">
        <v>302</v>
      </c>
      <c r="D681" s="21"/>
    </row>
    <row r="682" spans="1:4" ht="12.75" customHeight="1" x14ac:dyDescent="0.2">
      <c r="A682" s="21"/>
      <c r="B682" s="3" t="s">
        <v>9</v>
      </c>
      <c r="C682" s="20" t="s">
        <v>113</v>
      </c>
      <c r="D682" s="21"/>
    </row>
    <row r="683" spans="1:4" ht="12.75" customHeight="1" x14ac:dyDescent="0.2">
      <c r="A683" s="21"/>
      <c r="B683" s="3" t="s">
        <v>11</v>
      </c>
      <c r="C683" s="20" t="s">
        <v>303</v>
      </c>
      <c r="D683" s="21"/>
    </row>
    <row r="684" spans="1:4" ht="12.75" customHeight="1" x14ac:dyDescent="0.2">
      <c r="A684" s="21"/>
      <c r="B684" s="3" t="s">
        <v>13</v>
      </c>
      <c r="C684" s="20" t="s">
        <v>24</v>
      </c>
      <c r="D684" s="21"/>
    </row>
    <row r="685" spans="1:4" ht="12.75" customHeight="1" x14ac:dyDescent="0.2">
      <c r="A685" s="21"/>
      <c r="B685" s="3" t="s">
        <v>15</v>
      </c>
      <c r="C685" s="20" t="s">
        <v>14</v>
      </c>
      <c r="D685" s="21"/>
    </row>
    <row r="686" spans="1:4" ht="12.75" customHeight="1" x14ac:dyDescent="0.2">
      <c r="A686" s="21"/>
      <c r="B686" s="3" t="s">
        <v>16</v>
      </c>
      <c r="C686" s="20"/>
      <c r="D686" s="21"/>
    </row>
    <row r="687" spans="1:4" ht="12.75" customHeight="1" x14ac:dyDescent="0.2">
      <c r="A687" s="21"/>
      <c r="B687" s="3" t="s">
        <v>17</v>
      </c>
      <c r="C687" s="20"/>
      <c r="D687" s="21"/>
    </row>
    <row r="688" spans="1:4" ht="12.75" customHeight="1" x14ac:dyDescent="0.2">
      <c r="A688" s="21"/>
      <c r="B688" s="20" t="s">
        <v>18</v>
      </c>
      <c r="C688" s="4" t="s">
        <v>44</v>
      </c>
      <c r="D688" s="6" t="str">
        <f>HYPERLINK("javascript:void(0)","ezüst nuncsaku")</f>
        <v>ezüst nuncsaku</v>
      </c>
    </row>
    <row r="689" spans="1:4" ht="12.75" customHeight="1" x14ac:dyDescent="0.2">
      <c r="A689" s="21"/>
      <c r="B689" s="21"/>
      <c r="C689" s="4" t="s">
        <v>67</v>
      </c>
      <c r="D689" s="6" t="str">
        <f>HYPERLINK("javascript:void(0)","arany")</f>
        <v>arany</v>
      </c>
    </row>
    <row r="690" spans="1:4" ht="12.75" customHeight="1" x14ac:dyDescent="0.2">
      <c r="A690" s="21"/>
      <c r="B690" s="21"/>
      <c r="C690" s="4" t="s">
        <v>57</v>
      </c>
      <c r="D690" s="6" t="str">
        <f>HYPERLINK("javascript:void(0)","halcsont")</f>
        <v>halcsont</v>
      </c>
    </row>
    <row r="691" spans="1:4" ht="12.75" customHeight="1" x14ac:dyDescent="0.2">
      <c r="A691" s="5"/>
      <c r="B691" s="2"/>
      <c r="C691" s="2"/>
      <c r="D691" s="2"/>
    </row>
    <row r="692" spans="1:4" ht="12.75" customHeight="1" x14ac:dyDescent="0.2">
      <c r="A692" s="22" t="str">
        <f>HYPERLINK("javascript:void(0)","mengorni buzogány")</f>
        <v>mengorni buzogány</v>
      </c>
      <c r="B692" s="21"/>
      <c r="C692" s="21"/>
      <c r="D692" s="21"/>
    </row>
    <row r="693" spans="1:4" ht="12.75" customHeight="1" x14ac:dyDescent="0.2">
      <c r="A693" s="20"/>
      <c r="B693" s="2"/>
      <c r="C693" s="2"/>
      <c r="D693" s="2"/>
    </row>
    <row r="694" spans="1:4" ht="12.75" customHeight="1" x14ac:dyDescent="0.2">
      <c r="A694" s="21"/>
      <c r="B694" s="3" t="s">
        <v>0</v>
      </c>
      <c r="C694" s="20" t="s">
        <v>86</v>
      </c>
      <c r="D694" s="21"/>
    </row>
    <row r="695" spans="1:4" ht="12.75" customHeight="1" x14ac:dyDescent="0.2">
      <c r="A695" s="21"/>
      <c r="B695" s="3" t="s">
        <v>2</v>
      </c>
      <c r="C695" s="20" t="s">
        <v>122</v>
      </c>
      <c r="D695" s="21"/>
    </row>
    <row r="696" spans="1:4" ht="12.75" customHeight="1" x14ac:dyDescent="0.2">
      <c r="A696" s="21"/>
      <c r="B696" s="3" t="s">
        <v>4</v>
      </c>
      <c r="C696" s="20" t="s">
        <v>305</v>
      </c>
      <c r="D696" s="21"/>
    </row>
    <row r="697" spans="1:4" ht="12.75" customHeight="1" x14ac:dyDescent="0.2">
      <c r="A697" s="21"/>
      <c r="B697" s="3" t="s">
        <v>6</v>
      </c>
      <c r="C697" s="20" t="s">
        <v>88</v>
      </c>
      <c r="D697" s="21"/>
    </row>
    <row r="698" spans="1:4" ht="12.75" customHeight="1" x14ac:dyDescent="0.2">
      <c r="A698" s="21"/>
      <c r="B698" s="3" t="s">
        <v>8</v>
      </c>
      <c r="C698" s="20" t="s">
        <v>305</v>
      </c>
      <c r="D698" s="21"/>
    </row>
    <row r="699" spans="1:4" ht="12.75" customHeight="1" x14ac:dyDescent="0.2">
      <c r="A699" s="21"/>
      <c r="B699" s="3" t="s">
        <v>9</v>
      </c>
      <c r="C699" s="20" t="s">
        <v>306</v>
      </c>
      <c r="D699" s="21"/>
    </row>
    <row r="700" spans="1:4" ht="12.75" customHeight="1" x14ac:dyDescent="0.2">
      <c r="A700" s="21"/>
      <c r="B700" s="3" t="s">
        <v>11</v>
      </c>
      <c r="C700" s="20" t="s">
        <v>308</v>
      </c>
      <c r="D700" s="21"/>
    </row>
    <row r="701" spans="1:4" ht="12.75" customHeight="1" x14ac:dyDescent="0.2">
      <c r="A701" s="21"/>
      <c r="B701" s="3" t="s">
        <v>13</v>
      </c>
      <c r="C701" s="20" t="s">
        <v>14</v>
      </c>
      <c r="D701" s="21"/>
    </row>
    <row r="702" spans="1:4" ht="12.75" customHeight="1" x14ac:dyDescent="0.2">
      <c r="A702" s="21"/>
      <c r="B702" s="3" t="s">
        <v>15</v>
      </c>
      <c r="C702" s="20" t="s">
        <v>24</v>
      </c>
      <c r="D702" s="21"/>
    </row>
    <row r="703" spans="1:4" ht="12.75" customHeight="1" x14ac:dyDescent="0.2">
      <c r="A703" s="21"/>
      <c r="B703" s="3" t="s">
        <v>16</v>
      </c>
      <c r="C703" s="20"/>
      <c r="D703" s="21"/>
    </row>
    <row r="704" spans="1:4" ht="12.75" customHeight="1" x14ac:dyDescent="0.2">
      <c r="A704" s="21"/>
      <c r="B704" s="3" t="s">
        <v>17</v>
      </c>
      <c r="C704" s="20"/>
      <c r="D704" s="21"/>
    </row>
    <row r="705" spans="1:4" ht="12.75" customHeight="1" x14ac:dyDescent="0.2">
      <c r="A705" s="21"/>
      <c r="B705" s="20" t="s">
        <v>18</v>
      </c>
      <c r="C705" s="4" t="s">
        <v>56</v>
      </c>
      <c r="D705" s="6" t="str">
        <f>HYPERLINK("javascript:void(0)","diszprózium")</f>
        <v>diszprózium</v>
      </c>
    </row>
    <row r="706" spans="1:4" ht="12.75" customHeight="1" x14ac:dyDescent="0.2">
      <c r="A706" s="21"/>
      <c r="B706" s="21"/>
      <c r="C706" s="4" t="s">
        <v>44</v>
      </c>
      <c r="D706" s="6" t="str">
        <f>HYPERLINK("javascript:void(0)","kitin buzogány")</f>
        <v>kitin buzogány</v>
      </c>
    </row>
    <row r="707" spans="1:4" ht="12.75" customHeight="1" x14ac:dyDescent="0.2">
      <c r="A707" s="21"/>
      <c r="B707" s="21"/>
      <c r="C707" s="4" t="s">
        <v>310</v>
      </c>
      <c r="D707" s="6" t="str">
        <f>HYPERLINK("javascript:void(0)","ezüst")</f>
        <v>ezüst</v>
      </c>
    </row>
    <row r="708" spans="1:4" ht="12.75" customHeight="1" x14ac:dyDescent="0.2">
      <c r="A708" s="5"/>
      <c r="B708" s="2"/>
      <c r="C708" s="2"/>
      <c r="D708" s="2"/>
    </row>
    <row r="709" spans="1:4" ht="12.75" customHeight="1" x14ac:dyDescent="0.2">
      <c r="A709" s="22" t="str">
        <f>HYPERLINK("javascript:void(0)","skivei buzogány")</f>
        <v>skivei buzogány</v>
      </c>
      <c r="B709" s="21"/>
      <c r="C709" s="21"/>
      <c r="D709" s="21"/>
    </row>
    <row r="710" spans="1:4" ht="12.75" customHeight="1" x14ac:dyDescent="0.2">
      <c r="A710" s="20"/>
      <c r="B710" s="2"/>
      <c r="C710" s="2"/>
      <c r="D710" s="2"/>
    </row>
    <row r="711" spans="1:4" ht="12.75" customHeight="1" x14ac:dyDescent="0.2">
      <c r="A711" s="21"/>
      <c r="B711" s="3" t="s">
        <v>0</v>
      </c>
      <c r="C711" s="20" t="s">
        <v>90</v>
      </c>
      <c r="D711" s="21"/>
    </row>
    <row r="712" spans="1:4" ht="12.75" customHeight="1" x14ac:dyDescent="0.2">
      <c r="A712" s="21"/>
      <c r="B712" s="3" t="s">
        <v>2</v>
      </c>
      <c r="C712" s="20" t="s">
        <v>122</v>
      </c>
      <c r="D712" s="21"/>
    </row>
    <row r="713" spans="1:4" ht="12.75" customHeight="1" x14ac:dyDescent="0.2">
      <c r="A713" s="21"/>
      <c r="B713" s="3" t="s">
        <v>4</v>
      </c>
      <c r="C713" s="20" t="s">
        <v>312</v>
      </c>
      <c r="D713" s="21"/>
    </row>
    <row r="714" spans="1:4" ht="12.75" customHeight="1" x14ac:dyDescent="0.2">
      <c r="A714" s="21"/>
      <c r="B714" s="3" t="s">
        <v>6</v>
      </c>
      <c r="C714" s="20" t="s">
        <v>32</v>
      </c>
      <c r="D714" s="21"/>
    </row>
    <row r="715" spans="1:4" ht="12.75" customHeight="1" x14ac:dyDescent="0.2">
      <c r="A715" s="21"/>
      <c r="B715" s="3" t="s">
        <v>8</v>
      </c>
      <c r="C715" s="20" t="s">
        <v>312</v>
      </c>
      <c r="D715" s="21"/>
    </row>
    <row r="716" spans="1:4" ht="12.75" customHeight="1" x14ac:dyDescent="0.2">
      <c r="A716" s="21"/>
      <c r="B716" s="3" t="s">
        <v>9</v>
      </c>
      <c r="C716" s="20" t="s">
        <v>126</v>
      </c>
      <c r="D716" s="21"/>
    </row>
    <row r="717" spans="1:4" ht="12.75" customHeight="1" x14ac:dyDescent="0.2">
      <c r="A717" s="21"/>
      <c r="B717" s="3" t="s">
        <v>11</v>
      </c>
      <c r="C717" s="20" t="s">
        <v>314</v>
      </c>
      <c r="D717" s="21"/>
    </row>
    <row r="718" spans="1:4" ht="12.75" customHeight="1" x14ac:dyDescent="0.2">
      <c r="A718" s="21"/>
      <c r="B718" s="3" t="s">
        <v>13</v>
      </c>
      <c r="C718" s="20" t="s">
        <v>24</v>
      </c>
      <c r="D718" s="21"/>
    </row>
    <row r="719" spans="1:4" ht="12.75" customHeight="1" x14ac:dyDescent="0.2">
      <c r="A719" s="21"/>
      <c r="B719" s="3" t="s">
        <v>15</v>
      </c>
      <c r="C719" s="20" t="s">
        <v>14</v>
      </c>
      <c r="D719" s="21"/>
    </row>
    <row r="720" spans="1:4" ht="12.75" customHeight="1" x14ac:dyDescent="0.2">
      <c r="A720" s="21"/>
      <c r="B720" s="3" t="s">
        <v>16</v>
      </c>
      <c r="C720" s="20"/>
      <c r="D720" s="21"/>
    </row>
    <row r="721" spans="1:4" ht="12.75" customHeight="1" x14ac:dyDescent="0.2">
      <c r="A721" s="21"/>
      <c r="B721" s="3" t="s">
        <v>17</v>
      </c>
      <c r="C721" s="20"/>
      <c r="D721" s="21"/>
    </row>
    <row r="722" spans="1:4" ht="12.75" customHeight="1" x14ac:dyDescent="0.2">
      <c r="A722" s="21"/>
      <c r="B722" s="20" t="s">
        <v>18</v>
      </c>
      <c r="C722" s="4" t="s">
        <v>56</v>
      </c>
      <c r="D722" s="6" t="str">
        <f>HYPERLINK("javascript:void(0)","kithrill")</f>
        <v>kithrill</v>
      </c>
    </row>
    <row r="723" spans="1:4" ht="12.75" customHeight="1" x14ac:dyDescent="0.2">
      <c r="A723" s="21"/>
      <c r="B723" s="21"/>
      <c r="C723" s="4" t="s">
        <v>44</v>
      </c>
      <c r="D723" s="6" t="str">
        <f>HYPERLINK("javascript:void(0)","kitin buzogány")</f>
        <v>kitin buzogány</v>
      </c>
    </row>
    <row r="724" spans="1:4" ht="12.75" customHeight="1" x14ac:dyDescent="0.2">
      <c r="A724" s="21"/>
      <c r="B724" s="21"/>
      <c r="C724" s="4" t="s">
        <v>106</v>
      </c>
      <c r="D724" s="6" t="str">
        <f>HYPERLINK("javascript:void(0)","ezüst")</f>
        <v>ezüst</v>
      </c>
    </row>
    <row r="725" spans="1:4" ht="12.75" customHeight="1" x14ac:dyDescent="0.2">
      <c r="A725" s="5"/>
      <c r="B725" s="2"/>
      <c r="C725" s="2"/>
      <c r="D725" s="2"/>
    </row>
    <row r="726" spans="1:4" ht="12.75" customHeight="1" x14ac:dyDescent="0.2">
      <c r="A726" s="22" t="str">
        <f>HYPERLINK("javascript:void(0)","hidracél bunkó")</f>
        <v>hidracél bunkó</v>
      </c>
      <c r="B726" s="21"/>
      <c r="C726" s="21"/>
      <c r="D726" s="21"/>
    </row>
    <row r="727" spans="1:4" ht="12.75" customHeight="1" x14ac:dyDescent="0.2">
      <c r="A727" s="20"/>
      <c r="B727" s="2"/>
      <c r="C727" s="2"/>
      <c r="D727" s="2"/>
    </row>
    <row r="728" spans="1:4" ht="12.75" customHeight="1" x14ac:dyDescent="0.2">
      <c r="A728" s="21"/>
      <c r="B728" s="3" t="s">
        <v>0</v>
      </c>
      <c r="C728" s="20" t="s">
        <v>90</v>
      </c>
      <c r="D728" s="21"/>
    </row>
    <row r="729" spans="1:4" ht="12.75" customHeight="1" x14ac:dyDescent="0.2">
      <c r="A729" s="21"/>
      <c r="B729" s="3" t="s">
        <v>2</v>
      </c>
      <c r="C729" s="20" t="s">
        <v>122</v>
      </c>
      <c r="D729" s="21"/>
    </row>
    <row r="730" spans="1:4" ht="12.75" customHeight="1" x14ac:dyDescent="0.2">
      <c r="A730" s="21"/>
      <c r="B730" s="3" t="s">
        <v>4</v>
      </c>
      <c r="C730" s="20" t="s">
        <v>112</v>
      </c>
      <c r="D730" s="21"/>
    </row>
    <row r="731" spans="1:4" ht="12.75" customHeight="1" x14ac:dyDescent="0.2">
      <c r="A731" s="21"/>
      <c r="B731" s="3" t="s">
        <v>6</v>
      </c>
      <c r="C731" s="20" t="s">
        <v>38</v>
      </c>
      <c r="D731" s="21"/>
    </row>
    <row r="732" spans="1:4" ht="12.75" customHeight="1" x14ac:dyDescent="0.2">
      <c r="A732" s="21"/>
      <c r="B732" s="3" t="s">
        <v>8</v>
      </c>
      <c r="C732" s="20" t="s">
        <v>112</v>
      </c>
      <c r="D732" s="21"/>
    </row>
    <row r="733" spans="1:4" ht="12.75" customHeight="1" x14ac:dyDescent="0.2">
      <c r="A733" s="21"/>
      <c r="B733" s="3" t="s">
        <v>9</v>
      </c>
      <c r="C733" s="20" t="s">
        <v>317</v>
      </c>
      <c r="D733" s="21"/>
    </row>
    <row r="734" spans="1:4" ht="12.75" customHeight="1" x14ac:dyDescent="0.2">
      <c r="A734" s="21"/>
      <c r="B734" s="3" t="s">
        <v>11</v>
      </c>
      <c r="C734" s="20" t="s">
        <v>94</v>
      </c>
      <c r="D734" s="21"/>
    </row>
    <row r="735" spans="1:4" ht="12.75" customHeight="1" x14ac:dyDescent="0.2">
      <c r="A735" s="21"/>
      <c r="B735" s="3" t="s">
        <v>13</v>
      </c>
      <c r="C735" s="20" t="s">
        <v>14</v>
      </c>
      <c r="D735" s="21"/>
    </row>
    <row r="736" spans="1:4" ht="12.75" customHeight="1" x14ac:dyDescent="0.2">
      <c r="A736" s="21"/>
      <c r="B736" s="3" t="s">
        <v>15</v>
      </c>
      <c r="C736" s="20" t="s">
        <v>24</v>
      </c>
      <c r="D736" s="21"/>
    </row>
    <row r="737" spans="1:4" ht="12.75" customHeight="1" x14ac:dyDescent="0.2">
      <c r="A737" s="21"/>
      <c r="B737" s="3" t="s">
        <v>16</v>
      </c>
      <c r="C737" s="20"/>
      <c r="D737" s="21"/>
    </row>
    <row r="738" spans="1:4" ht="12.75" customHeight="1" x14ac:dyDescent="0.2">
      <c r="A738" s="21"/>
      <c r="B738" s="3" t="s">
        <v>17</v>
      </c>
      <c r="C738" s="20"/>
      <c r="D738" s="21"/>
    </row>
    <row r="739" spans="1:4" ht="12.75" customHeight="1" x14ac:dyDescent="0.2">
      <c r="A739" s="21"/>
      <c r="B739" s="20" t="s">
        <v>18</v>
      </c>
      <c r="C739" s="4" t="s">
        <v>44</v>
      </c>
      <c r="D739" s="6" t="str">
        <f>HYPERLINK("javascript:void(0)","mengorni bunkó")</f>
        <v>mengorni bunkó</v>
      </c>
    </row>
    <row r="740" spans="1:4" ht="12.75" customHeight="1" x14ac:dyDescent="0.2">
      <c r="A740" s="21"/>
      <c r="B740" s="21"/>
      <c r="C740" s="4" t="s">
        <v>142</v>
      </c>
      <c r="D740" s="6" t="str">
        <f>HYPERLINK("javascript:void(0)","szén-hidragén")</f>
        <v>szén-hidragén</v>
      </c>
    </row>
    <row r="741" spans="1:4" ht="12.75" customHeight="1" x14ac:dyDescent="0.2">
      <c r="A741" s="21"/>
      <c r="B741" s="21"/>
      <c r="C741" s="4" t="s">
        <v>149</v>
      </c>
      <c r="D741" s="6" t="str">
        <f>HYPERLINK("javascript:void(0)","ezüst")</f>
        <v>ezüst</v>
      </c>
    </row>
    <row r="742" spans="1:4" ht="12.75" customHeight="1" x14ac:dyDescent="0.2">
      <c r="A742" s="5"/>
      <c r="B742" s="2"/>
      <c r="C742" s="2"/>
      <c r="D742" s="2"/>
    </row>
    <row r="743" spans="1:4" ht="12.75" customHeight="1" x14ac:dyDescent="0.2">
      <c r="A743" s="22" t="str">
        <f>HYPERLINK("javascript:void(0)","ezüstlánc")</f>
        <v>ezüstlánc</v>
      </c>
      <c r="B743" s="21"/>
      <c r="C743" s="21"/>
      <c r="D743" s="21"/>
    </row>
    <row r="744" spans="1:4" ht="12.75" customHeight="1" x14ac:dyDescent="0.2">
      <c r="A744" s="20"/>
      <c r="B744" s="2"/>
      <c r="C744" s="2"/>
      <c r="D744" s="2"/>
    </row>
    <row r="745" spans="1:4" ht="12.75" customHeight="1" x14ac:dyDescent="0.2">
      <c r="A745" s="21"/>
      <c r="B745" s="3" t="s">
        <v>0</v>
      </c>
      <c r="C745" s="20" t="s">
        <v>90</v>
      </c>
      <c r="D745" s="21"/>
    </row>
    <row r="746" spans="1:4" ht="12.75" customHeight="1" x14ac:dyDescent="0.2">
      <c r="A746" s="21"/>
      <c r="B746" s="3" t="s">
        <v>2</v>
      </c>
      <c r="C746" s="20" t="s">
        <v>122</v>
      </c>
      <c r="D746" s="21"/>
    </row>
    <row r="747" spans="1:4" ht="12.75" customHeight="1" x14ac:dyDescent="0.2">
      <c r="A747" s="21"/>
      <c r="B747" s="3" t="s">
        <v>4</v>
      </c>
      <c r="C747" s="20" t="s">
        <v>319</v>
      </c>
      <c r="D747" s="21"/>
    </row>
    <row r="748" spans="1:4" ht="12.75" customHeight="1" x14ac:dyDescent="0.2">
      <c r="A748" s="21"/>
      <c r="B748" s="3" t="s">
        <v>6</v>
      </c>
      <c r="C748" s="20" t="s">
        <v>29</v>
      </c>
      <c r="D748" s="21"/>
    </row>
    <row r="749" spans="1:4" ht="12.75" customHeight="1" x14ac:dyDescent="0.2">
      <c r="A749" s="21"/>
      <c r="B749" s="3" t="s">
        <v>8</v>
      </c>
      <c r="C749" s="20" t="s">
        <v>319</v>
      </c>
      <c r="D749" s="21"/>
    </row>
    <row r="750" spans="1:4" ht="12.75" customHeight="1" x14ac:dyDescent="0.2">
      <c r="A750" s="21"/>
      <c r="B750" s="3" t="s">
        <v>9</v>
      </c>
      <c r="C750" s="20" t="s">
        <v>36</v>
      </c>
      <c r="D750" s="21"/>
    </row>
    <row r="751" spans="1:4" ht="12.75" customHeight="1" x14ac:dyDescent="0.2">
      <c r="A751" s="21"/>
      <c r="B751" s="3" t="s">
        <v>11</v>
      </c>
      <c r="C751" s="20" t="s">
        <v>97</v>
      </c>
      <c r="D751" s="21"/>
    </row>
    <row r="752" spans="1:4" ht="12.75" customHeight="1" x14ac:dyDescent="0.2">
      <c r="A752" s="21"/>
      <c r="B752" s="3" t="s">
        <v>13</v>
      </c>
      <c r="C752" s="20" t="s">
        <v>14</v>
      </c>
      <c r="D752" s="21"/>
    </row>
    <row r="753" spans="1:4" ht="12.75" customHeight="1" x14ac:dyDescent="0.2">
      <c r="A753" s="21"/>
      <c r="B753" s="3" t="s">
        <v>15</v>
      </c>
      <c r="C753" s="20" t="s">
        <v>14</v>
      </c>
      <c r="D753" s="21"/>
    </row>
    <row r="754" spans="1:4" ht="12.75" customHeight="1" x14ac:dyDescent="0.2">
      <c r="A754" s="21"/>
      <c r="B754" s="3" t="s">
        <v>16</v>
      </c>
      <c r="C754" s="20"/>
      <c r="D754" s="21"/>
    </row>
    <row r="755" spans="1:4" ht="12.75" customHeight="1" x14ac:dyDescent="0.2">
      <c r="A755" s="21"/>
      <c r="B755" s="3" t="s">
        <v>17</v>
      </c>
      <c r="C755" s="20"/>
      <c r="D755" s="21"/>
    </row>
    <row r="756" spans="1:4" ht="12.75" customHeight="1" x14ac:dyDescent="0.2">
      <c r="A756" s="21"/>
      <c r="B756" s="20" t="s">
        <v>18</v>
      </c>
      <c r="C756" s="4" t="s">
        <v>44</v>
      </c>
      <c r="D756" s="6" t="str">
        <f>HYPERLINK("javascript:void(0)","acéllánc")</f>
        <v>acéllánc</v>
      </c>
    </row>
    <row r="757" spans="1:4" ht="12.75" customHeight="1" x14ac:dyDescent="0.2">
      <c r="A757" s="21"/>
      <c r="B757" s="21"/>
      <c r="C757" s="4" t="s">
        <v>322</v>
      </c>
      <c r="D757" s="6" t="str">
        <f>HYPERLINK("javascript:void(0)","ezüst")</f>
        <v>ezüst</v>
      </c>
    </row>
    <row r="758" spans="1:4" ht="12.75" customHeight="1" x14ac:dyDescent="0.2">
      <c r="A758" s="21"/>
      <c r="B758" s="21"/>
      <c r="C758" s="4" t="s">
        <v>67</v>
      </c>
      <c r="D758" s="6" t="str">
        <f>HYPERLINK("javascript:void(0)","ezüstfullánk")</f>
        <v>ezüstfullánk</v>
      </c>
    </row>
    <row r="759" spans="1:4" ht="12.75" customHeight="1" x14ac:dyDescent="0.2">
      <c r="A759" s="5"/>
      <c r="B759" s="2"/>
      <c r="C759" s="2"/>
      <c r="D759" s="2"/>
    </row>
    <row r="760" spans="1:4" ht="12.75" customHeight="1" x14ac:dyDescent="0.2">
      <c r="A760" s="22" t="str">
        <f>HYPERLINK("javascript:void(0)","rubin csatacsillag")</f>
        <v>rubin csatacsillag</v>
      </c>
      <c r="B760" s="21"/>
      <c r="C760" s="21"/>
      <c r="D760" s="21"/>
    </row>
    <row r="761" spans="1:4" ht="12.75" customHeight="1" x14ac:dyDescent="0.2">
      <c r="A761" s="20"/>
      <c r="B761" s="2"/>
      <c r="C761" s="2"/>
      <c r="D761" s="2"/>
    </row>
    <row r="762" spans="1:4" ht="12.75" customHeight="1" x14ac:dyDescent="0.2">
      <c r="A762" s="21"/>
      <c r="B762" s="3" t="s">
        <v>0</v>
      </c>
      <c r="C762" s="20" t="s">
        <v>92</v>
      </c>
      <c r="D762" s="21"/>
    </row>
    <row r="763" spans="1:4" ht="12.75" customHeight="1" x14ac:dyDescent="0.2">
      <c r="A763" s="21"/>
      <c r="B763" s="3" t="s">
        <v>2</v>
      </c>
      <c r="C763" s="20" t="s">
        <v>122</v>
      </c>
      <c r="D763" s="21"/>
    </row>
    <row r="764" spans="1:4" ht="12.75" customHeight="1" x14ac:dyDescent="0.2">
      <c r="A764" s="21"/>
      <c r="B764" s="3" t="s">
        <v>4</v>
      </c>
      <c r="C764" s="20" t="s">
        <v>110</v>
      </c>
      <c r="D764" s="21"/>
    </row>
    <row r="765" spans="1:4" ht="12.75" customHeight="1" x14ac:dyDescent="0.2">
      <c r="A765" s="21"/>
      <c r="B765" s="3" t="s">
        <v>6</v>
      </c>
      <c r="C765" s="20" t="s">
        <v>118</v>
      </c>
      <c r="D765" s="21"/>
    </row>
    <row r="766" spans="1:4" ht="12.75" customHeight="1" x14ac:dyDescent="0.2">
      <c r="A766" s="21"/>
      <c r="B766" s="3" t="s">
        <v>8</v>
      </c>
      <c r="C766" s="20" t="s">
        <v>110</v>
      </c>
      <c r="D766" s="21"/>
    </row>
    <row r="767" spans="1:4" ht="12.75" customHeight="1" x14ac:dyDescent="0.2">
      <c r="A767" s="21"/>
      <c r="B767" s="3" t="s">
        <v>9</v>
      </c>
      <c r="C767" s="20" t="s">
        <v>249</v>
      </c>
      <c r="D767" s="21"/>
    </row>
    <row r="768" spans="1:4" ht="12.75" customHeight="1" x14ac:dyDescent="0.2">
      <c r="A768" s="21"/>
      <c r="B768" s="3" t="s">
        <v>11</v>
      </c>
      <c r="C768" s="20" t="s">
        <v>326</v>
      </c>
      <c r="D768" s="21"/>
    </row>
    <row r="769" spans="1:4" ht="12.75" customHeight="1" x14ac:dyDescent="0.2">
      <c r="A769" s="21"/>
      <c r="B769" s="3" t="s">
        <v>13</v>
      </c>
      <c r="C769" s="20" t="s">
        <v>24</v>
      </c>
      <c r="D769" s="21"/>
    </row>
    <row r="770" spans="1:4" ht="12.75" customHeight="1" x14ac:dyDescent="0.2">
      <c r="A770" s="21"/>
      <c r="B770" s="3" t="s">
        <v>15</v>
      </c>
      <c r="C770" s="20" t="s">
        <v>24</v>
      </c>
      <c r="D770" s="21"/>
    </row>
    <row r="771" spans="1:4" ht="12.75" customHeight="1" x14ac:dyDescent="0.2">
      <c r="A771" s="21"/>
      <c r="B771" s="3" t="s">
        <v>16</v>
      </c>
      <c r="C771" s="20"/>
      <c r="D771" s="21"/>
    </row>
    <row r="772" spans="1:4" ht="12.75" customHeight="1" x14ac:dyDescent="0.2">
      <c r="A772" s="21"/>
      <c r="B772" s="3" t="s">
        <v>17</v>
      </c>
      <c r="C772" s="20"/>
      <c r="D772" s="21"/>
    </row>
    <row r="773" spans="1:4" ht="12.75" customHeight="1" x14ac:dyDescent="0.2">
      <c r="A773" s="21"/>
      <c r="B773" s="20" t="s">
        <v>18</v>
      </c>
      <c r="C773" s="4" t="s">
        <v>44</v>
      </c>
      <c r="D773" s="6" t="str">
        <f>HYPERLINK("javascript:void(0)","arany csatacsillag")</f>
        <v>arany csatacsillag</v>
      </c>
    </row>
    <row r="774" spans="1:4" ht="12.75" customHeight="1" x14ac:dyDescent="0.2">
      <c r="A774" s="21"/>
      <c r="B774" s="21"/>
      <c r="C774" s="4" t="s">
        <v>68</v>
      </c>
      <c r="D774" s="6" t="str">
        <f>HYPERLINK("javascript:void(0)","rubin")</f>
        <v>rubin</v>
      </c>
    </row>
    <row r="775" spans="1:4" ht="12.75" customHeight="1" x14ac:dyDescent="0.2">
      <c r="A775" s="21"/>
      <c r="B775" s="21"/>
      <c r="C775" s="4" t="s">
        <v>56</v>
      </c>
      <c r="D775" s="6" t="str">
        <f>HYPERLINK("javascript:void(0)","gyémánt")</f>
        <v>gyémánt</v>
      </c>
    </row>
    <row r="776" spans="1:4" ht="12.75" customHeight="1" x14ac:dyDescent="0.2">
      <c r="A776" s="5"/>
      <c r="B776" s="2"/>
      <c r="C776" s="2"/>
      <c r="D776" s="2"/>
    </row>
    <row r="777" spans="1:4" ht="12.75" customHeight="1" x14ac:dyDescent="0.2">
      <c r="A777" s="22" t="str">
        <f>HYPERLINK("javascript:void(0)","mengorni kalapács")</f>
        <v>mengorni kalapács</v>
      </c>
      <c r="B777" s="21"/>
      <c r="C777" s="21"/>
      <c r="D777" s="21"/>
    </row>
    <row r="778" spans="1:4" ht="12.75" customHeight="1" x14ac:dyDescent="0.2">
      <c r="A778" s="20"/>
      <c r="B778" s="2"/>
      <c r="C778" s="2"/>
      <c r="D778" s="2"/>
    </row>
    <row r="779" spans="1:4" ht="12.75" customHeight="1" x14ac:dyDescent="0.2">
      <c r="A779" s="21"/>
      <c r="B779" s="3" t="s">
        <v>0</v>
      </c>
      <c r="C779" s="20" t="s">
        <v>92</v>
      </c>
      <c r="D779" s="21"/>
    </row>
    <row r="780" spans="1:4" ht="12.75" customHeight="1" x14ac:dyDescent="0.2">
      <c r="A780" s="21"/>
      <c r="B780" s="3" t="s">
        <v>2</v>
      </c>
      <c r="C780" s="20" t="s">
        <v>122</v>
      </c>
      <c r="D780" s="21"/>
    </row>
    <row r="781" spans="1:4" ht="12.75" customHeight="1" x14ac:dyDescent="0.2">
      <c r="A781" s="21"/>
      <c r="B781" s="3" t="s">
        <v>4</v>
      </c>
      <c r="C781" s="20" t="s">
        <v>330</v>
      </c>
      <c r="D781" s="21"/>
    </row>
    <row r="782" spans="1:4" ht="12.75" customHeight="1" x14ac:dyDescent="0.2">
      <c r="A782" s="21"/>
      <c r="B782" s="3" t="s">
        <v>6</v>
      </c>
      <c r="C782" s="20" t="s">
        <v>157</v>
      </c>
      <c r="D782" s="21"/>
    </row>
    <row r="783" spans="1:4" ht="12.75" customHeight="1" x14ac:dyDescent="0.2">
      <c r="A783" s="21"/>
      <c r="B783" s="3" t="s">
        <v>8</v>
      </c>
      <c r="C783" s="20" t="s">
        <v>330</v>
      </c>
      <c r="D783" s="21"/>
    </row>
    <row r="784" spans="1:4" ht="12.75" customHeight="1" x14ac:dyDescent="0.2">
      <c r="A784" s="21"/>
      <c r="B784" s="3" t="s">
        <v>9</v>
      </c>
      <c r="C784" s="20" t="s">
        <v>49</v>
      </c>
      <c r="D784" s="21"/>
    </row>
    <row r="785" spans="1:4" ht="12.75" customHeight="1" x14ac:dyDescent="0.2">
      <c r="A785" s="21"/>
      <c r="B785" s="3" t="s">
        <v>11</v>
      </c>
      <c r="C785" s="20" t="s">
        <v>332</v>
      </c>
      <c r="D785" s="21"/>
    </row>
    <row r="786" spans="1:4" ht="12.75" customHeight="1" x14ac:dyDescent="0.2">
      <c r="A786" s="21"/>
      <c r="B786" s="3" t="s">
        <v>13</v>
      </c>
      <c r="C786" s="20" t="s">
        <v>14</v>
      </c>
      <c r="D786" s="21"/>
    </row>
    <row r="787" spans="1:4" ht="12.75" customHeight="1" x14ac:dyDescent="0.2">
      <c r="A787" s="21"/>
      <c r="B787" s="3" t="s">
        <v>15</v>
      </c>
      <c r="C787" s="20" t="s">
        <v>24</v>
      </c>
      <c r="D787" s="21"/>
    </row>
    <row r="788" spans="1:4" ht="12.75" customHeight="1" x14ac:dyDescent="0.2">
      <c r="A788" s="21"/>
      <c r="B788" s="3" t="s">
        <v>16</v>
      </c>
      <c r="C788" s="20"/>
      <c r="D788" s="21"/>
    </row>
    <row r="789" spans="1:4" ht="12.75" customHeight="1" x14ac:dyDescent="0.2">
      <c r="A789" s="21"/>
      <c r="B789" s="3" t="s">
        <v>17</v>
      </c>
      <c r="C789" s="20"/>
      <c r="D789" s="21"/>
    </row>
    <row r="790" spans="1:4" ht="12.75" customHeight="1" x14ac:dyDescent="0.2">
      <c r="A790" s="21"/>
      <c r="B790" s="20" t="s">
        <v>18</v>
      </c>
      <c r="C790" s="4" t="s">
        <v>56</v>
      </c>
      <c r="D790" s="6" t="str">
        <f>HYPERLINK("javascript:void(0)","diszprózium")</f>
        <v>diszprózium</v>
      </c>
    </row>
    <row r="791" spans="1:4" ht="12.75" customHeight="1" x14ac:dyDescent="0.2">
      <c r="A791" s="21"/>
      <c r="B791" s="21"/>
      <c r="C791" s="4" t="s">
        <v>44</v>
      </c>
      <c r="D791" s="6" t="str">
        <f>HYPERLINK("javascript:void(0)","vámpírkalapács")</f>
        <v>vámpírkalapács</v>
      </c>
    </row>
    <row r="792" spans="1:4" ht="12.75" customHeight="1" x14ac:dyDescent="0.2">
      <c r="A792" s="21"/>
      <c r="B792" s="21"/>
      <c r="C792" s="4" t="s">
        <v>334</v>
      </c>
      <c r="D792" s="6" t="str">
        <f>HYPERLINK("javascript:void(0)","ezüst")</f>
        <v>ezüst</v>
      </c>
    </row>
    <row r="793" spans="1:4" ht="12.75" customHeight="1" x14ac:dyDescent="0.2">
      <c r="A793" s="5"/>
      <c r="B793" s="2"/>
      <c r="C793" s="2"/>
      <c r="D793" s="2"/>
    </row>
    <row r="794" spans="1:4" ht="12.75" customHeight="1" x14ac:dyDescent="0.2">
      <c r="A794" s="22" t="str">
        <f>HYPERLINK("javascript:void(0)","10 éves kenyér")</f>
        <v>10 éves kenyér</v>
      </c>
      <c r="B794" s="21"/>
      <c r="C794" s="21"/>
      <c r="D794" s="21"/>
    </row>
    <row r="795" spans="1:4" ht="12.75" customHeight="1" x14ac:dyDescent="0.2">
      <c r="A795" s="20"/>
      <c r="B795" s="2"/>
      <c r="C795" s="2"/>
      <c r="D795" s="2"/>
    </row>
    <row r="796" spans="1:4" ht="12.75" customHeight="1" x14ac:dyDescent="0.2">
      <c r="A796" s="21"/>
      <c r="B796" s="3" t="s">
        <v>0</v>
      </c>
      <c r="C796" s="20" t="s">
        <v>92</v>
      </c>
      <c r="D796" s="21"/>
    </row>
    <row r="797" spans="1:4" ht="12.75" customHeight="1" x14ac:dyDescent="0.2">
      <c r="A797" s="21"/>
      <c r="B797" s="3" t="s">
        <v>2</v>
      </c>
      <c r="C797" s="20" t="s">
        <v>122</v>
      </c>
      <c r="D797" s="21"/>
    </row>
    <row r="798" spans="1:4" ht="12.75" customHeight="1" x14ac:dyDescent="0.2">
      <c r="A798" s="21"/>
      <c r="B798" s="3" t="s">
        <v>4</v>
      </c>
      <c r="C798" s="20" t="s">
        <v>336</v>
      </c>
      <c r="D798" s="21"/>
    </row>
    <row r="799" spans="1:4" ht="12.75" customHeight="1" x14ac:dyDescent="0.2">
      <c r="A799" s="21"/>
      <c r="B799" s="3" t="s">
        <v>6</v>
      </c>
      <c r="C799" s="20" t="s">
        <v>72</v>
      </c>
      <c r="D799" s="21"/>
    </row>
    <row r="800" spans="1:4" ht="12.75" customHeight="1" x14ac:dyDescent="0.2">
      <c r="A800" s="21"/>
      <c r="B800" s="3" t="s">
        <v>8</v>
      </c>
      <c r="C800" s="20" t="s">
        <v>336</v>
      </c>
      <c r="D800" s="21"/>
    </row>
    <row r="801" spans="1:4" ht="12.75" customHeight="1" x14ac:dyDescent="0.2">
      <c r="A801" s="21"/>
      <c r="B801" s="3" t="s">
        <v>9</v>
      </c>
      <c r="C801" s="20" t="s">
        <v>124</v>
      </c>
      <c r="D801" s="21"/>
    </row>
    <row r="802" spans="1:4" ht="12.75" customHeight="1" x14ac:dyDescent="0.2">
      <c r="A802" s="21"/>
      <c r="B802" s="3" t="s">
        <v>11</v>
      </c>
      <c r="C802" s="20" t="s">
        <v>337</v>
      </c>
      <c r="D802" s="21"/>
    </row>
    <row r="803" spans="1:4" ht="12.75" customHeight="1" x14ac:dyDescent="0.2">
      <c r="A803" s="21"/>
      <c r="B803" s="3" t="s">
        <v>13</v>
      </c>
      <c r="C803" s="20" t="s">
        <v>24</v>
      </c>
      <c r="D803" s="21"/>
    </row>
    <row r="804" spans="1:4" ht="12.75" customHeight="1" x14ac:dyDescent="0.2">
      <c r="A804" s="21"/>
      <c r="B804" s="3" t="s">
        <v>15</v>
      </c>
      <c r="C804" s="20" t="s">
        <v>14</v>
      </c>
      <c r="D804" s="21"/>
    </row>
    <row r="805" spans="1:4" ht="12.75" customHeight="1" x14ac:dyDescent="0.2">
      <c r="A805" s="21"/>
      <c r="B805" s="3" t="s">
        <v>16</v>
      </c>
      <c r="C805" s="20"/>
      <c r="D805" s="21"/>
    </row>
    <row r="806" spans="1:4" ht="12.75" customHeight="1" x14ac:dyDescent="0.2">
      <c r="A806" s="21"/>
      <c r="B806" s="3" t="s">
        <v>17</v>
      </c>
      <c r="C806" s="20"/>
      <c r="D806" s="21"/>
    </row>
    <row r="807" spans="1:4" ht="12.75" customHeight="1" x14ac:dyDescent="0.2">
      <c r="A807" s="21"/>
      <c r="B807" s="20" t="s">
        <v>18</v>
      </c>
      <c r="C807" s="4" t="s">
        <v>44</v>
      </c>
      <c r="D807" s="6" t="str">
        <f>HYPERLINK("javascript:void(0)","1 éves kenyér")</f>
        <v>1 éves kenyér</v>
      </c>
    </row>
    <row r="808" spans="1:4" ht="12.75" customHeight="1" x14ac:dyDescent="0.2">
      <c r="A808" s="21"/>
      <c r="B808" s="21"/>
      <c r="C808" s="4" t="s">
        <v>56</v>
      </c>
      <c r="D808" s="6" t="str">
        <f>HYPERLINK("javascript:void(0)","gyémánt")</f>
        <v>gyémánt</v>
      </c>
    </row>
    <row r="809" spans="1:4" ht="12.75" customHeight="1" x14ac:dyDescent="0.2">
      <c r="A809" s="21"/>
      <c r="B809" s="21"/>
      <c r="C809" s="4" t="s">
        <v>44</v>
      </c>
      <c r="D809" s="6" t="str">
        <f>HYPERLINK("javascript:void(0)","nyeglenyelv")</f>
        <v>nyeglenyelv</v>
      </c>
    </row>
    <row r="810" spans="1:4" ht="12.75" customHeight="1" x14ac:dyDescent="0.2">
      <c r="A810" s="5"/>
      <c r="B810" s="2"/>
      <c r="C810" s="2"/>
      <c r="D810" s="2"/>
    </row>
    <row r="811" spans="1:4" ht="12.75" customHeight="1" x14ac:dyDescent="0.2">
      <c r="A811" s="22" t="str">
        <f>HYPERLINK("javascript:void(0)","nyulványkorbács")</f>
        <v>nyulványkorbács</v>
      </c>
      <c r="B811" s="21"/>
      <c r="C811" s="21"/>
      <c r="D811" s="2"/>
    </row>
    <row r="812" spans="1:4" ht="12.75" customHeight="1" x14ac:dyDescent="0.2">
      <c r="A812" s="20"/>
      <c r="B812" s="2"/>
      <c r="C812" s="2"/>
      <c r="D812" s="2"/>
    </row>
    <row r="813" spans="1:4" ht="12.75" customHeight="1" x14ac:dyDescent="0.2">
      <c r="A813" s="21"/>
      <c r="B813" s="3" t="s">
        <v>0</v>
      </c>
      <c r="C813" s="3" t="s">
        <v>100</v>
      </c>
      <c r="D813" s="2"/>
    </row>
    <row r="814" spans="1:4" ht="12.75" customHeight="1" x14ac:dyDescent="0.2">
      <c r="A814" s="21"/>
      <c r="B814" s="3" t="s">
        <v>2</v>
      </c>
      <c r="C814" s="3" t="s">
        <v>122</v>
      </c>
      <c r="D814" s="2"/>
    </row>
    <row r="815" spans="1:4" ht="12.75" customHeight="1" x14ac:dyDescent="0.2">
      <c r="A815" s="21"/>
      <c r="B815" s="3" t="s">
        <v>4</v>
      </c>
      <c r="C815" s="3" t="s">
        <v>341</v>
      </c>
      <c r="D815" s="2"/>
    </row>
    <row r="816" spans="1:4" ht="12.75" customHeight="1" x14ac:dyDescent="0.2">
      <c r="A816" s="21"/>
      <c r="B816" s="3" t="s">
        <v>6</v>
      </c>
      <c r="C816" s="3" t="s">
        <v>100</v>
      </c>
      <c r="D816" s="2"/>
    </row>
    <row r="817" spans="1:4" ht="12.75" customHeight="1" x14ac:dyDescent="0.2">
      <c r="A817" s="21"/>
      <c r="B817" s="3" t="s">
        <v>8</v>
      </c>
      <c r="C817" s="3" t="s">
        <v>341</v>
      </c>
      <c r="D817" s="2"/>
    </row>
    <row r="818" spans="1:4" ht="12.75" customHeight="1" x14ac:dyDescent="0.2">
      <c r="A818" s="21"/>
      <c r="B818" s="3" t="s">
        <v>9</v>
      </c>
      <c r="C818" s="3" t="s">
        <v>343</v>
      </c>
      <c r="D818" s="2"/>
    </row>
    <row r="819" spans="1:4" ht="25.5" customHeight="1" x14ac:dyDescent="0.2">
      <c r="A819" s="21"/>
      <c r="B819" s="3" t="s">
        <v>11</v>
      </c>
      <c r="C819" s="3" t="s">
        <v>344</v>
      </c>
      <c r="D819" s="2"/>
    </row>
    <row r="820" spans="1:4" ht="12.75" customHeight="1" x14ac:dyDescent="0.2">
      <c r="A820" s="21"/>
      <c r="B820" s="3" t="s">
        <v>13</v>
      </c>
      <c r="C820" s="3" t="s">
        <v>14</v>
      </c>
      <c r="D820" s="2"/>
    </row>
    <row r="821" spans="1:4" ht="12.75" customHeight="1" x14ac:dyDescent="0.2">
      <c r="A821" s="21"/>
      <c r="B821" s="3" t="s">
        <v>15</v>
      </c>
      <c r="C821" s="3" t="s">
        <v>14</v>
      </c>
      <c r="D821" s="2"/>
    </row>
    <row r="822" spans="1:4" ht="12.75" customHeight="1" x14ac:dyDescent="0.2">
      <c r="A822" s="21"/>
      <c r="B822" s="3" t="s">
        <v>16</v>
      </c>
      <c r="C822" s="3"/>
      <c r="D822" s="2"/>
    </row>
    <row r="823" spans="1:4" ht="12.75" customHeight="1" x14ac:dyDescent="0.2">
      <c r="A823" s="21"/>
      <c r="B823" s="3" t="s">
        <v>17</v>
      </c>
      <c r="C823" s="3"/>
      <c r="D823" s="2"/>
    </row>
    <row r="824" spans="1:4" ht="12.75" customHeight="1" x14ac:dyDescent="0.2">
      <c r="A824" s="21"/>
      <c r="B824" s="3" t="s">
        <v>18</v>
      </c>
      <c r="C824" s="4" t="s">
        <v>19</v>
      </c>
      <c r="D824" s="2"/>
    </row>
    <row r="825" spans="1:4" ht="12.75" customHeight="1" x14ac:dyDescent="0.2">
      <c r="A825" s="5"/>
      <c r="B825" s="2"/>
      <c r="C825" s="2"/>
      <c r="D825" s="2"/>
    </row>
    <row r="826" spans="1:4" ht="12.75" customHeight="1" x14ac:dyDescent="0.2">
      <c r="A826" s="22" t="str">
        <f>HYPERLINK("javascript:void(0)","láncosgolyó")</f>
        <v>láncosgolyó</v>
      </c>
      <c r="B826" s="21"/>
      <c r="C826" s="21"/>
      <c r="D826" s="2"/>
    </row>
    <row r="827" spans="1:4" ht="12.75" customHeight="1" x14ac:dyDescent="0.2">
      <c r="A827" s="20"/>
      <c r="B827" s="2"/>
      <c r="C827" s="2"/>
      <c r="D827" s="2"/>
    </row>
    <row r="828" spans="1:4" ht="12.75" customHeight="1" x14ac:dyDescent="0.2">
      <c r="A828" s="21"/>
      <c r="B828" s="3" t="s">
        <v>0</v>
      </c>
      <c r="C828" s="3" t="s">
        <v>100</v>
      </c>
      <c r="D828" s="2"/>
    </row>
    <row r="829" spans="1:4" ht="12.75" customHeight="1" x14ac:dyDescent="0.2">
      <c r="A829" s="21"/>
      <c r="B829" s="3" t="s">
        <v>2</v>
      </c>
      <c r="C829" s="3" t="s">
        <v>122</v>
      </c>
      <c r="D829" s="2"/>
    </row>
    <row r="830" spans="1:4" ht="12.75" customHeight="1" x14ac:dyDescent="0.2">
      <c r="A830" s="21"/>
      <c r="B830" s="3" t="s">
        <v>4</v>
      </c>
      <c r="C830" s="3" t="s">
        <v>345</v>
      </c>
      <c r="D830" s="2"/>
    </row>
    <row r="831" spans="1:4" ht="12.75" customHeight="1" x14ac:dyDescent="0.2">
      <c r="A831" s="21"/>
      <c r="B831" s="3" t="s">
        <v>6</v>
      </c>
      <c r="C831" s="3" t="s">
        <v>159</v>
      </c>
      <c r="D831" s="2"/>
    </row>
    <row r="832" spans="1:4" ht="12.75" customHeight="1" x14ac:dyDescent="0.2">
      <c r="A832" s="21"/>
      <c r="B832" s="3" t="s">
        <v>8</v>
      </c>
      <c r="C832" s="3" t="s">
        <v>345</v>
      </c>
      <c r="D832" s="2"/>
    </row>
    <row r="833" spans="1:4" ht="12.75" customHeight="1" x14ac:dyDescent="0.2">
      <c r="A833" s="21"/>
      <c r="B833" s="3" t="s">
        <v>9</v>
      </c>
      <c r="C833" s="3" t="s">
        <v>250</v>
      </c>
      <c r="D833" s="2"/>
    </row>
    <row r="834" spans="1:4" ht="25.5" customHeight="1" x14ac:dyDescent="0.2">
      <c r="A834" s="21"/>
      <c r="B834" s="3" t="s">
        <v>11</v>
      </c>
      <c r="C834" s="3" t="s">
        <v>346</v>
      </c>
      <c r="D834" s="2"/>
    </row>
    <row r="835" spans="1:4" ht="12.75" customHeight="1" x14ac:dyDescent="0.2">
      <c r="A835" s="21"/>
      <c r="B835" s="3" t="s">
        <v>13</v>
      </c>
      <c r="C835" s="3" t="s">
        <v>14</v>
      </c>
      <c r="D835" s="2"/>
    </row>
    <row r="836" spans="1:4" ht="12.75" customHeight="1" x14ac:dyDescent="0.2">
      <c r="A836" s="21"/>
      <c r="B836" s="3" t="s">
        <v>15</v>
      </c>
      <c r="C836" s="3" t="s">
        <v>14</v>
      </c>
      <c r="D836" s="2"/>
    </row>
    <row r="837" spans="1:4" ht="12.75" customHeight="1" x14ac:dyDescent="0.2">
      <c r="A837" s="21"/>
      <c r="B837" s="3" t="s">
        <v>16</v>
      </c>
      <c r="C837" s="3"/>
      <c r="D837" s="2"/>
    </row>
    <row r="838" spans="1:4" ht="12.75" customHeight="1" x14ac:dyDescent="0.2">
      <c r="A838" s="21"/>
      <c r="B838" s="3" t="s">
        <v>17</v>
      </c>
      <c r="C838" s="3"/>
      <c r="D838" s="2"/>
    </row>
    <row r="839" spans="1:4" ht="12.75" customHeight="1" x14ac:dyDescent="0.2">
      <c r="A839" s="21"/>
      <c r="B839" s="3" t="s">
        <v>18</v>
      </c>
      <c r="C839" s="4" t="s">
        <v>19</v>
      </c>
      <c r="D839" s="2"/>
    </row>
    <row r="840" spans="1:4" ht="12.75" customHeight="1" x14ac:dyDescent="0.2">
      <c r="A840" s="5"/>
      <c r="B840" s="2"/>
      <c r="C840" s="2"/>
      <c r="D840" s="2"/>
    </row>
    <row r="841" spans="1:4" ht="12.75" customHeight="1" x14ac:dyDescent="0.2">
      <c r="A841" s="22" t="str">
        <f>HYPERLINK("javascript:void(0)","holdbunkó")</f>
        <v>holdbunkó</v>
      </c>
      <c r="B841" s="21"/>
      <c r="C841" s="21"/>
      <c r="D841" s="2"/>
    </row>
    <row r="842" spans="1:4" ht="12.75" customHeight="1" x14ac:dyDescent="0.2">
      <c r="A842" s="20"/>
      <c r="B842" s="2"/>
      <c r="C842" s="2"/>
      <c r="D842" s="2"/>
    </row>
    <row r="843" spans="1:4" ht="12.75" customHeight="1" x14ac:dyDescent="0.2">
      <c r="A843" s="21"/>
      <c r="B843" s="3" t="s">
        <v>0</v>
      </c>
      <c r="C843" s="3" t="s">
        <v>100</v>
      </c>
      <c r="D843" s="2"/>
    </row>
    <row r="844" spans="1:4" ht="12.75" customHeight="1" x14ac:dyDescent="0.2">
      <c r="A844" s="21"/>
      <c r="B844" s="3" t="s">
        <v>2</v>
      </c>
      <c r="C844" s="3" t="s">
        <v>122</v>
      </c>
      <c r="D844" s="2"/>
    </row>
    <row r="845" spans="1:4" ht="12.75" customHeight="1" x14ac:dyDescent="0.2">
      <c r="A845" s="21"/>
      <c r="B845" s="3" t="s">
        <v>4</v>
      </c>
      <c r="C845" s="3" t="s">
        <v>347</v>
      </c>
      <c r="D845" s="2"/>
    </row>
    <row r="846" spans="1:4" ht="12.75" customHeight="1" x14ac:dyDescent="0.2">
      <c r="A846" s="21"/>
      <c r="B846" s="3" t="s">
        <v>6</v>
      </c>
      <c r="C846" s="3" t="s">
        <v>64</v>
      </c>
      <c r="D846" s="2"/>
    </row>
    <row r="847" spans="1:4" ht="12.75" customHeight="1" x14ac:dyDescent="0.2">
      <c r="A847" s="21"/>
      <c r="B847" s="3" t="s">
        <v>8</v>
      </c>
      <c r="C847" s="3" t="s">
        <v>347</v>
      </c>
      <c r="D847" s="2"/>
    </row>
    <row r="848" spans="1:4" ht="12.75" customHeight="1" x14ac:dyDescent="0.2">
      <c r="A848" s="21"/>
      <c r="B848" s="3" t="s">
        <v>9</v>
      </c>
      <c r="C848" s="3" t="s">
        <v>129</v>
      </c>
      <c r="D848" s="2"/>
    </row>
    <row r="849" spans="1:4" ht="25.5" customHeight="1" x14ac:dyDescent="0.2">
      <c r="A849" s="21"/>
      <c r="B849" s="3" t="s">
        <v>11</v>
      </c>
      <c r="C849" s="3" t="s">
        <v>349</v>
      </c>
      <c r="D849" s="2"/>
    </row>
    <row r="850" spans="1:4" ht="12.75" customHeight="1" x14ac:dyDescent="0.2">
      <c r="A850" s="21"/>
      <c r="B850" s="3" t="s">
        <v>13</v>
      </c>
      <c r="C850" s="3" t="s">
        <v>24</v>
      </c>
      <c r="D850" s="2"/>
    </row>
    <row r="851" spans="1:4" ht="12.75" customHeight="1" x14ac:dyDescent="0.2">
      <c r="A851" s="21"/>
      <c r="B851" s="3" t="s">
        <v>15</v>
      </c>
      <c r="C851" s="3" t="s">
        <v>14</v>
      </c>
      <c r="D851" s="2"/>
    </row>
    <row r="852" spans="1:4" ht="12.75" customHeight="1" x14ac:dyDescent="0.2">
      <c r="A852" s="21"/>
      <c r="B852" s="3" t="s">
        <v>16</v>
      </c>
      <c r="C852" s="3"/>
      <c r="D852" s="2"/>
    </row>
    <row r="853" spans="1:4" ht="12.75" customHeight="1" x14ac:dyDescent="0.2">
      <c r="A853" s="21"/>
      <c r="B853" s="3" t="s">
        <v>17</v>
      </c>
      <c r="C853" s="3"/>
      <c r="D853" s="2"/>
    </row>
    <row r="854" spans="1:4" ht="12.75" customHeight="1" x14ac:dyDescent="0.2">
      <c r="A854" s="21"/>
      <c r="B854" s="3" t="s">
        <v>18</v>
      </c>
      <c r="C854" s="4" t="s">
        <v>19</v>
      </c>
      <c r="D854" s="2"/>
    </row>
    <row r="855" spans="1:4" ht="12.75" customHeight="1" x14ac:dyDescent="0.2">
      <c r="A855" s="5"/>
      <c r="B855" s="2"/>
      <c r="C855" s="2"/>
      <c r="D855" s="2"/>
    </row>
    <row r="856" spans="1:4" ht="12.75" customHeight="1" x14ac:dyDescent="0.2">
      <c r="A856" s="22" t="str">
        <f>HYPERLINK("javascript:void(0)","hidracél dorong")</f>
        <v>hidracél dorong</v>
      </c>
      <c r="B856" s="21"/>
      <c r="C856" s="21"/>
      <c r="D856" s="21"/>
    </row>
    <row r="857" spans="1:4" ht="12.75" customHeight="1" x14ac:dyDescent="0.2">
      <c r="A857" s="20"/>
      <c r="B857" s="2"/>
      <c r="C857" s="2"/>
      <c r="D857" s="2"/>
    </row>
    <row r="858" spans="1:4" ht="12.75" customHeight="1" x14ac:dyDescent="0.2">
      <c r="A858" s="21"/>
      <c r="B858" s="3" t="s">
        <v>0</v>
      </c>
      <c r="C858" s="20" t="s">
        <v>100</v>
      </c>
      <c r="D858" s="21"/>
    </row>
    <row r="859" spans="1:4" ht="12.75" customHeight="1" x14ac:dyDescent="0.2">
      <c r="A859" s="21"/>
      <c r="B859" s="3" t="s">
        <v>2</v>
      </c>
      <c r="C859" s="20" t="s">
        <v>122</v>
      </c>
      <c r="D859" s="21"/>
    </row>
    <row r="860" spans="1:4" ht="12.75" customHeight="1" x14ac:dyDescent="0.2">
      <c r="A860" s="21"/>
      <c r="B860" s="3" t="s">
        <v>4</v>
      </c>
      <c r="C860" s="20" t="s">
        <v>351</v>
      </c>
      <c r="D860" s="21"/>
    </row>
    <row r="861" spans="1:4" ht="12.75" customHeight="1" x14ac:dyDescent="0.2">
      <c r="A861" s="21"/>
      <c r="B861" s="3" t="s">
        <v>6</v>
      </c>
      <c r="C861" s="20" t="s">
        <v>284</v>
      </c>
      <c r="D861" s="21"/>
    </row>
    <row r="862" spans="1:4" ht="12.75" customHeight="1" x14ac:dyDescent="0.2">
      <c r="A862" s="21"/>
      <c r="B862" s="3" t="s">
        <v>8</v>
      </c>
      <c r="C862" s="20" t="s">
        <v>351</v>
      </c>
      <c r="D862" s="21"/>
    </row>
    <row r="863" spans="1:4" ht="12.75" customHeight="1" x14ac:dyDescent="0.2">
      <c r="A863" s="21"/>
      <c r="B863" s="3" t="s">
        <v>9</v>
      </c>
      <c r="C863" s="20" t="s">
        <v>164</v>
      </c>
      <c r="D863" s="21"/>
    </row>
    <row r="864" spans="1:4" ht="12.75" customHeight="1" x14ac:dyDescent="0.2">
      <c r="A864" s="21"/>
      <c r="B864" s="3" t="s">
        <v>11</v>
      </c>
      <c r="C864" s="20" t="s">
        <v>352</v>
      </c>
      <c r="D864" s="21"/>
    </row>
    <row r="865" spans="1:4" ht="12.75" customHeight="1" x14ac:dyDescent="0.2">
      <c r="A865" s="21"/>
      <c r="B865" s="3" t="s">
        <v>13</v>
      </c>
      <c r="C865" s="20" t="s">
        <v>14</v>
      </c>
      <c r="D865" s="21"/>
    </row>
    <row r="866" spans="1:4" ht="12.75" customHeight="1" x14ac:dyDescent="0.2">
      <c r="A866" s="21"/>
      <c r="B866" s="3" t="s">
        <v>15</v>
      </c>
      <c r="C866" s="20" t="s">
        <v>24</v>
      </c>
      <c r="D866" s="21"/>
    </row>
    <row r="867" spans="1:4" ht="12.75" customHeight="1" x14ac:dyDescent="0.2">
      <c r="A867" s="21"/>
      <c r="B867" s="3" t="s">
        <v>16</v>
      </c>
      <c r="C867" s="20"/>
      <c r="D867" s="21"/>
    </row>
    <row r="868" spans="1:4" ht="12.75" customHeight="1" x14ac:dyDescent="0.2">
      <c r="A868" s="21"/>
      <c r="B868" s="3" t="s">
        <v>17</v>
      </c>
      <c r="C868" s="20"/>
      <c r="D868" s="21"/>
    </row>
    <row r="869" spans="1:4" ht="12.75" customHeight="1" x14ac:dyDescent="0.2">
      <c r="A869" s="21"/>
      <c r="B869" s="20" t="s">
        <v>18</v>
      </c>
      <c r="C869" s="4" t="s">
        <v>44</v>
      </c>
      <c r="D869" s="6" t="str">
        <f>HYPERLINK("javascript:void(0)","mengorni dorong")</f>
        <v>mengorni dorong</v>
      </c>
    </row>
    <row r="870" spans="1:4" ht="12.75" customHeight="1" x14ac:dyDescent="0.2">
      <c r="A870" s="21"/>
      <c r="B870" s="21"/>
      <c r="C870" s="4" t="s">
        <v>196</v>
      </c>
      <c r="D870" s="6" t="str">
        <f>HYPERLINK("javascript:void(0)","szén-hidragén")</f>
        <v>szén-hidragén</v>
      </c>
    </row>
    <row r="871" spans="1:4" ht="12.75" customHeight="1" x14ac:dyDescent="0.2">
      <c r="A871" s="21"/>
      <c r="B871" s="21"/>
      <c r="C871" s="4" t="s">
        <v>354</v>
      </c>
      <c r="D871" s="6" t="str">
        <f>HYPERLINK("javascript:void(0)","ezüst")</f>
        <v>ezüst</v>
      </c>
    </row>
    <row r="872" spans="1:4" ht="12.75" customHeight="1" x14ac:dyDescent="0.2">
      <c r="A872" s="5"/>
      <c r="B872" s="2"/>
      <c r="C872" s="2"/>
      <c r="D872" s="2"/>
    </row>
    <row r="873" spans="1:4" ht="12.75" customHeight="1" x14ac:dyDescent="0.2">
      <c r="A873" s="22" t="str">
        <f>HYPERLINK("javascript:void(0)","smaragd nuncsaku")</f>
        <v>smaragd nuncsaku</v>
      </c>
      <c r="B873" s="21"/>
      <c r="C873" s="21"/>
      <c r="D873" s="21"/>
    </row>
    <row r="874" spans="1:4" ht="12.75" customHeight="1" x14ac:dyDescent="0.2">
      <c r="A874" s="20"/>
      <c r="B874" s="2"/>
      <c r="C874" s="2"/>
      <c r="D874" s="2"/>
    </row>
    <row r="875" spans="1:4" ht="12.75" customHeight="1" x14ac:dyDescent="0.2">
      <c r="A875" s="21"/>
      <c r="B875" s="3" t="s">
        <v>0</v>
      </c>
      <c r="C875" s="20" t="s">
        <v>118</v>
      </c>
      <c r="D875" s="21"/>
    </row>
    <row r="876" spans="1:4" ht="12.75" customHeight="1" x14ac:dyDescent="0.2">
      <c r="A876" s="21"/>
      <c r="B876" s="3" t="s">
        <v>2</v>
      </c>
      <c r="C876" s="20" t="s">
        <v>122</v>
      </c>
      <c r="D876" s="21"/>
    </row>
    <row r="877" spans="1:4" ht="12.75" customHeight="1" x14ac:dyDescent="0.2">
      <c r="A877" s="21"/>
      <c r="B877" s="3" t="s">
        <v>4</v>
      </c>
      <c r="C877" s="20" t="s">
        <v>356</v>
      </c>
      <c r="D877" s="21"/>
    </row>
    <row r="878" spans="1:4" ht="12.75" customHeight="1" x14ac:dyDescent="0.2">
      <c r="A878" s="21"/>
      <c r="B878" s="3" t="s">
        <v>6</v>
      </c>
      <c r="C878" s="20" t="s">
        <v>5</v>
      </c>
      <c r="D878" s="21"/>
    </row>
    <row r="879" spans="1:4" ht="12.75" customHeight="1" x14ac:dyDescent="0.2">
      <c r="A879" s="21"/>
      <c r="B879" s="3" t="s">
        <v>8</v>
      </c>
      <c r="C879" s="20" t="s">
        <v>356</v>
      </c>
      <c r="D879" s="21"/>
    </row>
    <row r="880" spans="1:4" ht="12.75" customHeight="1" x14ac:dyDescent="0.2">
      <c r="A880" s="21"/>
      <c r="B880" s="3" t="s">
        <v>9</v>
      </c>
      <c r="C880" s="20" t="s">
        <v>233</v>
      </c>
      <c r="D880" s="21"/>
    </row>
    <row r="881" spans="1:4" ht="12.75" customHeight="1" x14ac:dyDescent="0.2">
      <c r="A881" s="21"/>
      <c r="B881" s="3" t="s">
        <v>11</v>
      </c>
      <c r="C881" s="20" t="s">
        <v>357</v>
      </c>
      <c r="D881" s="21"/>
    </row>
    <row r="882" spans="1:4" ht="12.75" customHeight="1" x14ac:dyDescent="0.2">
      <c r="A882" s="21"/>
      <c r="B882" s="3" t="s">
        <v>13</v>
      </c>
      <c r="C882" s="20" t="s">
        <v>24</v>
      </c>
      <c r="D882" s="21"/>
    </row>
    <row r="883" spans="1:4" ht="12.75" customHeight="1" x14ac:dyDescent="0.2">
      <c r="A883" s="21"/>
      <c r="B883" s="3" t="s">
        <v>15</v>
      </c>
      <c r="C883" s="20" t="s">
        <v>24</v>
      </c>
      <c r="D883" s="21"/>
    </row>
    <row r="884" spans="1:4" ht="12.75" customHeight="1" x14ac:dyDescent="0.2">
      <c r="A884" s="21"/>
      <c r="B884" s="3" t="s">
        <v>16</v>
      </c>
      <c r="C884" s="20"/>
      <c r="D884" s="21"/>
    </row>
    <row r="885" spans="1:4" ht="12.75" customHeight="1" x14ac:dyDescent="0.2">
      <c r="A885" s="21"/>
      <c r="B885" s="3" t="s">
        <v>17</v>
      </c>
      <c r="C885" s="20"/>
      <c r="D885" s="21"/>
    </row>
    <row r="886" spans="1:4" ht="12.75" customHeight="1" x14ac:dyDescent="0.2">
      <c r="A886" s="21"/>
      <c r="B886" s="20" t="s">
        <v>18</v>
      </c>
      <c r="C886" s="4" t="s">
        <v>44</v>
      </c>
      <c r="D886" s="6" t="str">
        <f>HYPERLINK("javascript:void(0)","arany nuncsaku")</f>
        <v>arany nuncsaku</v>
      </c>
    </row>
    <row r="887" spans="1:4" ht="12.75" customHeight="1" x14ac:dyDescent="0.2">
      <c r="A887" s="21"/>
      <c r="B887" s="21"/>
      <c r="C887" s="4" t="s">
        <v>55</v>
      </c>
      <c r="D887" s="6" t="str">
        <f>HYPERLINK("javascript:void(0)","smaragd")</f>
        <v>smaragd</v>
      </c>
    </row>
    <row r="888" spans="1:4" ht="12.75" customHeight="1" x14ac:dyDescent="0.2">
      <c r="A888" s="21"/>
      <c r="B888" s="21"/>
      <c r="C888" s="4" t="s">
        <v>44</v>
      </c>
      <c r="D888" s="6" t="str">
        <f>HYPERLINK("javascript:void(0)","gyémánt")</f>
        <v>gyémánt</v>
      </c>
    </row>
    <row r="889" spans="1:4" ht="12.75" customHeight="1" x14ac:dyDescent="0.2">
      <c r="A889" s="5"/>
      <c r="B889" s="2"/>
      <c r="C889" s="2"/>
      <c r="D889" s="2"/>
    </row>
    <row r="890" spans="1:4" ht="12.75" customHeight="1" x14ac:dyDescent="0.2">
      <c r="A890" s="22" t="str">
        <f>HYPERLINK("javascript:void(0)","100 éves kenyér")</f>
        <v>100 éves kenyér</v>
      </c>
      <c r="B890" s="21"/>
      <c r="C890" s="21"/>
      <c r="D890" s="21"/>
    </row>
    <row r="891" spans="1:4" ht="12.75" customHeight="1" x14ac:dyDescent="0.2">
      <c r="A891" s="20"/>
      <c r="B891" s="2"/>
      <c r="C891" s="2"/>
      <c r="D891" s="2"/>
    </row>
    <row r="892" spans="1:4" ht="12.75" customHeight="1" x14ac:dyDescent="0.2">
      <c r="A892" s="21"/>
      <c r="B892" s="3" t="s">
        <v>0</v>
      </c>
      <c r="C892" s="20" t="s">
        <v>32</v>
      </c>
      <c r="D892" s="21"/>
    </row>
    <row r="893" spans="1:4" ht="12.75" customHeight="1" x14ac:dyDescent="0.2">
      <c r="A893" s="21"/>
      <c r="B893" s="3" t="s">
        <v>2</v>
      </c>
      <c r="C893" s="20" t="s">
        <v>122</v>
      </c>
      <c r="D893" s="21"/>
    </row>
    <row r="894" spans="1:4" ht="12.75" customHeight="1" x14ac:dyDescent="0.2">
      <c r="A894" s="21"/>
      <c r="B894" s="3" t="s">
        <v>4</v>
      </c>
      <c r="C894" s="20" t="s">
        <v>361</v>
      </c>
      <c r="D894" s="21"/>
    </row>
    <row r="895" spans="1:4" ht="12.75" customHeight="1" x14ac:dyDescent="0.2">
      <c r="A895" s="21"/>
      <c r="B895" s="3" t="s">
        <v>6</v>
      </c>
      <c r="C895" s="20" t="s">
        <v>82</v>
      </c>
      <c r="D895" s="21"/>
    </row>
    <row r="896" spans="1:4" ht="12.75" customHeight="1" x14ac:dyDescent="0.2">
      <c r="A896" s="21"/>
      <c r="B896" s="3" t="s">
        <v>8</v>
      </c>
      <c r="C896" s="20" t="s">
        <v>361</v>
      </c>
      <c r="D896" s="21"/>
    </row>
    <row r="897" spans="1:4" ht="12.75" customHeight="1" x14ac:dyDescent="0.2">
      <c r="A897" s="21"/>
      <c r="B897" s="3" t="s">
        <v>9</v>
      </c>
      <c r="C897" s="20" t="s">
        <v>124</v>
      </c>
      <c r="D897" s="21"/>
    </row>
    <row r="898" spans="1:4" ht="12.75" customHeight="1" x14ac:dyDescent="0.2">
      <c r="A898" s="21"/>
      <c r="B898" s="3" t="s">
        <v>11</v>
      </c>
      <c r="C898" s="20" t="s">
        <v>363</v>
      </c>
      <c r="D898" s="21"/>
    </row>
    <row r="899" spans="1:4" ht="12.75" customHeight="1" x14ac:dyDescent="0.2">
      <c r="A899" s="21"/>
      <c r="B899" s="3" t="s">
        <v>13</v>
      </c>
      <c r="C899" s="20" t="s">
        <v>24</v>
      </c>
      <c r="D899" s="21"/>
    </row>
    <row r="900" spans="1:4" ht="12.75" customHeight="1" x14ac:dyDescent="0.2">
      <c r="A900" s="21"/>
      <c r="B900" s="3" t="s">
        <v>15</v>
      </c>
      <c r="C900" s="20" t="s">
        <v>24</v>
      </c>
      <c r="D900" s="21"/>
    </row>
    <row r="901" spans="1:4" ht="12.75" customHeight="1" x14ac:dyDescent="0.2">
      <c r="A901" s="21"/>
      <c r="B901" s="3" t="s">
        <v>16</v>
      </c>
      <c r="C901" s="20"/>
      <c r="D901" s="21"/>
    </row>
    <row r="902" spans="1:4" ht="12.75" customHeight="1" x14ac:dyDescent="0.2">
      <c r="A902" s="21"/>
      <c r="B902" s="3" t="s">
        <v>17</v>
      </c>
      <c r="C902" s="20"/>
      <c r="D902" s="21"/>
    </row>
    <row r="903" spans="1:4" ht="12.75" customHeight="1" x14ac:dyDescent="0.2">
      <c r="A903" s="21"/>
      <c r="B903" s="20" t="s">
        <v>18</v>
      </c>
      <c r="C903" s="4" t="s">
        <v>44</v>
      </c>
      <c r="D903" s="6" t="str">
        <f>HYPERLINK("javascript:void(0)","10 éves kenyér")</f>
        <v>10 éves kenyér</v>
      </c>
    </row>
    <row r="904" spans="1:4" ht="12.75" customHeight="1" x14ac:dyDescent="0.2">
      <c r="A904" s="21"/>
      <c r="B904" s="21"/>
      <c r="C904" s="4" t="s">
        <v>44</v>
      </c>
      <c r="D904" s="6" t="str">
        <f>HYPERLINK("javascript:void(0)","diszprózium")</f>
        <v>diszprózium</v>
      </c>
    </row>
    <row r="905" spans="1:4" ht="12.75" customHeight="1" x14ac:dyDescent="0.2">
      <c r="A905" s="21"/>
      <c r="B905" s="21"/>
      <c r="C905" s="4" t="s">
        <v>55</v>
      </c>
      <c r="D905" s="6" t="str">
        <f>HYPERLINK("javascript:void(0)","vámpírherbium")</f>
        <v>vámpírherbium</v>
      </c>
    </row>
    <row r="906" spans="1:4" ht="12.75" customHeight="1" x14ac:dyDescent="0.2">
      <c r="A906" s="5"/>
      <c r="B906" s="2"/>
      <c r="C906" s="2"/>
      <c r="D906" s="2"/>
    </row>
    <row r="907" spans="1:4" ht="12.75" customHeight="1" x14ac:dyDescent="0.2">
      <c r="A907" s="22" t="str">
        <f>HYPERLINK("javascript:void(0)","hidracél buzogány")</f>
        <v>hidracél buzogány</v>
      </c>
      <c r="B907" s="21"/>
      <c r="C907" s="21"/>
      <c r="D907" s="21"/>
    </row>
    <row r="908" spans="1:4" ht="12.75" customHeight="1" x14ac:dyDescent="0.2">
      <c r="A908" s="20"/>
      <c r="B908" s="2"/>
      <c r="C908" s="2"/>
      <c r="D908" s="2"/>
    </row>
    <row r="909" spans="1:4" ht="12.75" customHeight="1" x14ac:dyDescent="0.2">
      <c r="A909" s="21"/>
      <c r="B909" s="3" t="s">
        <v>0</v>
      </c>
      <c r="C909" s="20" t="s">
        <v>32</v>
      </c>
      <c r="D909" s="21"/>
    </row>
    <row r="910" spans="1:4" ht="12.75" customHeight="1" x14ac:dyDescent="0.2">
      <c r="A910" s="21"/>
      <c r="B910" s="3" t="s">
        <v>2</v>
      </c>
      <c r="C910" s="20" t="s">
        <v>122</v>
      </c>
      <c r="D910" s="21"/>
    </row>
    <row r="911" spans="1:4" ht="12.75" customHeight="1" x14ac:dyDescent="0.2">
      <c r="A911" s="21"/>
      <c r="B911" s="3" t="s">
        <v>4</v>
      </c>
      <c r="C911" s="20" t="s">
        <v>364</v>
      </c>
      <c r="D911" s="21"/>
    </row>
    <row r="912" spans="1:4" ht="12.75" customHeight="1" x14ac:dyDescent="0.2">
      <c r="A912" s="21"/>
      <c r="B912" s="3" t="s">
        <v>6</v>
      </c>
      <c r="C912" s="20" t="s">
        <v>298</v>
      </c>
      <c r="D912" s="21"/>
    </row>
    <row r="913" spans="1:4" ht="12.75" customHeight="1" x14ac:dyDescent="0.2">
      <c r="A913" s="21"/>
      <c r="B913" s="3" t="s">
        <v>8</v>
      </c>
      <c r="C913" s="20" t="s">
        <v>364</v>
      </c>
      <c r="D913" s="21"/>
    </row>
    <row r="914" spans="1:4" ht="12.75" customHeight="1" x14ac:dyDescent="0.2">
      <c r="A914" s="21"/>
      <c r="B914" s="3" t="s">
        <v>9</v>
      </c>
      <c r="C914" s="20" t="s">
        <v>366</v>
      </c>
      <c r="D914" s="21"/>
    </row>
    <row r="915" spans="1:4" ht="12.75" customHeight="1" x14ac:dyDescent="0.2">
      <c r="A915" s="21"/>
      <c r="B915" s="3" t="s">
        <v>11</v>
      </c>
      <c r="C915" s="20" t="s">
        <v>367</v>
      </c>
      <c r="D915" s="21"/>
    </row>
    <row r="916" spans="1:4" ht="12.75" customHeight="1" x14ac:dyDescent="0.2">
      <c r="A916" s="21"/>
      <c r="B916" s="3" t="s">
        <v>13</v>
      </c>
      <c r="C916" s="20" t="s">
        <v>14</v>
      </c>
      <c r="D916" s="21"/>
    </row>
    <row r="917" spans="1:4" ht="12.75" customHeight="1" x14ac:dyDescent="0.2">
      <c r="A917" s="21"/>
      <c r="B917" s="3" t="s">
        <v>15</v>
      </c>
      <c r="C917" s="20" t="s">
        <v>24</v>
      </c>
      <c r="D917" s="21"/>
    </row>
    <row r="918" spans="1:4" ht="12.75" customHeight="1" x14ac:dyDescent="0.2">
      <c r="A918" s="21"/>
      <c r="B918" s="3" t="s">
        <v>16</v>
      </c>
      <c r="C918" s="20"/>
      <c r="D918" s="21"/>
    </row>
    <row r="919" spans="1:4" ht="12.75" customHeight="1" x14ac:dyDescent="0.2">
      <c r="A919" s="21"/>
      <c r="B919" s="3" t="s">
        <v>17</v>
      </c>
      <c r="C919" s="20"/>
      <c r="D919" s="21"/>
    </row>
    <row r="920" spans="1:4" ht="12.75" customHeight="1" x14ac:dyDescent="0.2">
      <c r="A920" s="21"/>
      <c r="B920" s="20" t="s">
        <v>18</v>
      </c>
      <c r="C920" s="4" t="s">
        <v>44</v>
      </c>
      <c r="D920" s="6" t="str">
        <f>HYPERLINK("javascript:void(0)","mengorni buzogány")</f>
        <v>mengorni buzogány</v>
      </c>
    </row>
    <row r="921" spans="1:4" ht="12.75" customHeight="1" x14ac:dyDescent="0.2">
      <c r="A921" s="21"/>
      <c r="B921" s="21"/>
      <c r="C921" s="4" t="s">
        <v>67</v>
      </c>
      <c r="D921" s="6" t="str">
        <f>HYPERLINK("javascript:void(0)","szén-hidragén")</f>
        <v>szén-hidragén</v>
      </c>
    </row>
    <row r="922" spans="1:4" ht="12.75" customHeight="1" x14ac:dyDescent="0.2">
      <c r="A922" s="21"/>
      <c r="B922" s="21"/>
      <c r="C922" s="4" t="s">
        <v>370</v>
      </c>
      <c r="D922" s="6" t="str">
        <f>HYPERLINK("javascript:void(0)","ezüst")</f>
        <v>ezüst</v>
      </c>
    </row>
    <row r="923" spans="1:4" ht="12.75" customHeight="1" x14ac:dyDescent="0.2">
      <c r="A923" s="5"/>
      <c r="B923" s="2"/>
      <c r="C923" s="2"/>
      <c r="D923" s="2"/>
    </row>
    <row r="924" spans="1:4" ht="12.75" customHeight="1" x14ac:dyDescent="0.2">
      <c r="A924" s="22" t="str">
        <f>HYPERLINK("javascript:void(0)","mágusbot")</f>
        <v>mágusbot</v>
      </c>
      <c r="B924" s="21"/>
      <c r="C924" s="21"/>
      <c r="D924" s="2"/>
    </row>
    <row r="925" spans="1:4" ht="12.75" customHeight="1" x14ac:dyDescent="0.2">
      <c r="A925" s="20"/>
      <c r="B925" s="2"/>
      <c r="C925" s="2"/>
      <c r="D925" s="2"/>
    </row>
    <row r="926" spans="1:4" ht="12.75" customHeight="1" x14ac:dyDescent="0.2">
      <c r="A926" s="21"/>
      <c r="B926" s="3" t="s">
        <v>0</v>
      </c>
      <c r="C926" s="3" t="s">
        <v>88</v>
      </c>
      <c r="D926" s="2"/>
    </row>
    <row r="927" spans="1:4" ht="12.75" customHeight="1" x14ac:dyDescent="0.2">
      <c r="A927" s="21"/>
      <c r="B927" s="3" t="s">
        <v>2</v>
      </c>
      <c r="C927" s="3" t="s">
        <v>122</v>
      </c>
      <c r="D927" s="2"/>
    </row>
    <row r="928" spans="1:4" ht="12.75" customHeight="1" x14ac:dyDescent="0.2">
      <c r="A928" s="21"/>
      <c r="B928" s="3" t="s">
        <v>4</v>
      </c>
      <c r="C928" s="3" t="s">
        <v>371</v>
      </c>
      <c r="D928" s="2"/>
    </row>
    <row r="929" spans="1:4" ht="12.75" customHeight="1" x14ac:dyDescent="0.2">
      <c r="A929" s="21"/>
      <c r="B929" s="3" t="s">
        <v>6</v>
      </c>
      <c r="C929" s="3" t="s">
        <v>5</v>
      </c>
      <c r="D929" s="2"/>
    </row>
    <row r="930" spans="1:4" ht="12.75" customHeight="1" x14ac:dyDescent="0.2">
      <c r="A930" s="21"/>
      <c r="B930" s="3" t="s">
        <v>8</v>
      </c>
      <c r="C930" s="3" t="s">
        <v>371</v>
      </c>
      <c r="D930" s="2"/>
    </row>
    <row r="931" spans="1:4" ht="12.75" customHeight="1" x14ac:dyDescent="0.2">
      <c r="A931" s="21"/>
      <c r="B931" s="3" t="s">
        <v>9</v>
      </c>
      <c r="C931" s="3" t="s">
        <v>129</v>
      </c>
      <c r="D931" s="2"/>
    </row>
    <row r="932" spans="1:4" ht="25.5" customHeight="1" x14ac:dyDescent="0.2">
      <c r="A932" s="21"/>
      <c r="B932" s="3" t="s">
        <v>11</v>
      </c>
      <c r="C932" s="3" t="s">
        <v>373</v>
      </c>
      <c r="D932" s="2"/>
    </row>
    <row r="933" spans="1:4" ht="12.75" customHeight="1" x14ac:dyDescent="0.2">
      <c r="A933" s="21"/>
      <c r="B933" s="3" t="s">
        <v>13</v>
      </c>
      <c r="C933" s="3" t="s">
        <v>24</v>
      </c>
      <c r="D933" s="2"/>
    </row>
    <row r="934" spans="1:4" ht="12.75" customHeight="1" x14ac:dyDescent="0.2">
      <c r="A934" s="21"/>
      <c r="B934" s="3" t="s">
        <v>15</v>
      </c>
      <c r="C934" s="3" t="s">
        <v>14</v>
      </c>
      <c r="D934" s="2"/>
    </row>
    <row r="935" spans="1:4" ht="12.75" customHeight="1" x14ac:dyDescent="0.2">
      <c r="A935" s="21"/>
      <c r="B935" s="3" t="s">
        <v>16</v>
      </c>
      <c r="C935" s="3"/>
      <c r="D935" s="2"/>
    </row>
    <row r="936" spans="1:4" ht="12.75" customHeight="1" x14ac:dyDescent="0.2">
      <c r="A936" s="21"/>
      <c r="B936" s="3" t="s">
        <v>17</v>
      </c>
      <c r="C936" s="3"/>
      <c r="D936" s="2"/>
    </row>
    <row r="937" spans="1:4" ht="12.75" customHeight="1" x14ac:dyDescent="0.2">
      <c r="A937" s="21"/>
      <c r="B937" s="3" t="s">
        <v>18</v>
      </c>
      <c r="C937" s="4" t="s">
        <v>19</v>
      </c>
      <c r="D937" s="2"/>
    </row>
    <row r="938" spans="1:4" ht="12.75" customHeight="1" x14ac:dyDescent="0.2">
      <c r="A938" s="5"/>
      <c r="B938" s="2"/>
      <c r="C938" s="2"/>
      <c r="D938" s="2"/>
    </row>
    <row r="939" spans="1:4" ht="12.75" customHeight="1" x14ac:dyDescent="0.2">
      <c r="A939" s="22" t="str">
        <f>HYPERLINK("javascript:void(0)","lávabunkó")</f>
        <v>lávabunkó</v>
      </c>
      <c r="B939" s="21"/>
      <c r="C939" s="21"/>
      <c r="D939" s="2"/>
    </row>
    <row r="940" spans="1:4" ht="12.75" customHeight="1" x14ac:dyDescent="0.2">
      <c r="A940" s="20"/>
      <c r="B940" s="2"/>
      <c r="C940" s="2"/>
      <c r="D940" s="2"/>
    </row>
    <row r="941" spans="1:4" ht="12.75" customHeight="1" x14ac:dyDescent="0.2">
      <c r="A941" s="21"/>
      <c r="B941" s="3" t="s">
        <v>0</v>
      </c>
      <c r="C941" s="3" t="s">
        <v>88</v>
      </c>
      <c r="D941" s="2"/>
    </row>
    <row r="942" spans="1:4" ht="12.75" customHeight="1" x14ac:dyDescent="0.2">
      <c r="A942" s="21"/>
      <c r="B942" s="3" t="s">
        <v>2</v>
      </c>
      <c r="C942" s="3" t="s">
        <v>122</v>
      </c>
      <c r="D942" s="2"/>
    </row>
    <row r="943" spans="1:4" ht="12.75" customHeight="1" x14ac:dyDescent="0.2">
      <c r="A943" s="21"/>
      <c r="B943" s="3" t="s">
        <v>4</v>
      </c>
      <c r="C943" s="3" t="s">
        <v>375</v>
      </c>
      <c r="D943" s="2"/>
    </row>
    <row r="944" spans="1:4" ht="12.75" customHeight="1" x14ac:dyDescent="0.2">
      <c r="A944" s="21"/>
      <c r="B944" s="3" t="s">
        <v>6</v>
      </c>
      <c r="C944" s="3" t="s">
        <v>376</v>
      </c>
      <c r="D944" s="2"/>
    </row>
    <row r="945" spans="1:4" ht="12.75" customHeight="1" x14ac:dyDescent="0.2">
      <c r="A945" s="21"/>
      <c r="B945" s="3" t="s">
        <v>8</v>
      </c>
      <c r="C945" s="3" t="s">
        <v>375</v>
      </c>
      <c r="D945" s="2"/>
    </row>
    <row r="946" spans="1:4" ht="12.75" customHeight="1" x14ac:dyDescent="0.2">
      <c r="A946" s="21"/>
      <c r="B946" s="3" t="s">
        <v>9</v>
      </c>
      <c r="C946" s="3" t="s">
        <v>377</v>
      </c>
      <c r="D946" s="2"/>
    </row>
    <row r="947" spans="1:4" ht="25.5" customHeight="1" x14ac:dyDescent="0.2">
      <c r="A947" s="21"/>
      <c r="B947" s="3" t="s">
        <v>11</v>
      </c>
      <c r="C947" s="3" t="s">
        <v>378</v>
      </c>
      <c r="D947" s="2"/>
    </row>
    <row r="948" spans="1:4" ht="12.75" customHeight="1" x14ac:dyDescent="0.2">
      <c r="A948" s="21"/>
      <c r="B948" s="3" t="s">
        <v>13</v>
      </c>
      <c r="C948" s="3" t="s">
        <v>24</v>
      </c>
      <c r="D948" s="2"/>
    </row>
    <row r="949" spans="1:4" ht="12.75" customHeight="1" x14ac:dyDescent="0.2">
      <c r="A949" s="21"/>
      <c r="B949" s="3" t="s">
        <v>15</v>
      </c>
      <c r="C949" s="3" t="s">
        <v>24</v>
      </c>
      <c r="D949" s="2"/>
    </row>
    <row r="950" spans="1:4" ht="12.75" customHeight="1" x14ac:dyDescent="0.2">
      <c r="A950" s="21"/>
      <c r="B950" s="3" t="s">
        <v>16</v>
      </c>
      <c r="C950" s="3"/>
      <c r="D950" s="2"/>
    </row>
    <row r="951" spans="1:4" ht="12.75" customHeight="1" x14ac:dyDescent="0.2">
      <c r="A951" s="21"/>
      <c r="B951" s="3" t="s">
        <v>17</v>
      </c>
      <c r="C951" s="3"/>
      <c r="D951" s="2"/>
    </row>
    <row r="952" spans="1:4" ht="12.75" customHeight="1" x14ac:dyDescent="0.2">
      <c r="A952" s="21"/>
      <c r="B952" s="3" t="s">
        <v>18</v>
      </c>
      <c r="C952" s="4" t="s">
        <v>19</v>
      </c>
      <c r="D952" s="2"/>
    </row>
    <row r="953" spans="1:4" ht="12.75" customHeight="1" x14ac:dyDescent="0.2">
      <c r="A953" s="5"/>
      <c r="B953" s="2"/>
      <c r="C953" s="2"/>
      <c r="D953" s="2"/>
    </row>
    <row r="954" spans="1:4" ht="12.75" customHeight="1" x14ac:dyDescent="0.2">
      <c r="A954" s="22" t="str">
        <f>HYPERLINK("javascript:void(0)","napdorong")</f>
        <v>napdorong</v>
      </c>
      <c r="B954" s="21"/>
      <c r="C954" s="21"/>
      <c r="D954" s="2"/>
    </row>
    <row r="955" spans="1:4" ht="12.75" customHeight="1" x14ac:dyDescent="0.2">
      <c r="A955" s="20"/>
      <c r="B955" s="2"/>
      <c r="C955" s="2"/>
      <c r="D955" s="2"/>
    </row>
    <row r="956" spans="1:4" ht="12.75" customHeight="1" x14ac:dyDescent="0.2">
      <c r="A956" s="21"/>
      <c r="B956" s="3" t="s">
        <v>0</v>
      </c>
      <c r="C956" s="3" t="s">
        <v>88</v>
      </c>
      <c r="D956" s="2"/>
    </row>
    <row r="957" spans="1:4" ht="12.75" customHeight="1" x14ac:dyDescent="0.2">
      <c r="A957" s="21"/>
      <c r="B957" s="3" t="s">
        <v>2</v>
      </c>
      <c r="C957" s="3" t="s">
        <v>122</v>
      </c>
      <c r="D957" s="2"/>
    </row>
    <row r="958" spans="1:4" ht="12.75" customHeight="1" x14ac:dyDescent="0.2">
      <c r="A958" s="21"/>
      <c r="B958" s="3" t="s">
        <v>4</v>
      </c>
      <c r="C958" s="3" t="s">
        <v>345</v>
      </c>
      <c r="D958" s="2"/>
    </row>
    <row r="959" spans="1:4" ht="12.75" customHeight="1" x14ac:dyDescent="0.2">
      <c r="A959" s="21"/>
      <c r="B959" s="3" t="s">
        <v>6</v>
      </c>
      <c r="C959" s="3" t="s">
        <v>40</v>
      </c>
      <c r="D959" s="2"/>
    </row>
    <row r="960" spans="1:4" ht="12.75" customHeight="1" x14ac:dyDescent="0.2">
      <c r="A960" s="21"/>
      <c r="B960" s="3" t="s">
        <v>8</v>
      </c>
      <c r="C960" s="3" t="s">
        <v>345</v>
      </c>
      <c r="D960" s="2"/>
    </row>
    <row r="961" spans="1:4" ht="12.75" customHeight="1" x14ac:dyDescent="0.2">
      <c r="A961" s="21"/>
      <c r="B961" s="3" t="s">
        <v>9</v>
      </c>
      <c r="C961" s="3" t="s">
        <v>49</v>
      </c>
      <c r="D961" s="2"/>
    </row>
    <row r="962" spans="1:4" ht="25.5" customHeight="1" x14ac:dyDescent="0.2">
      <c r="A962" s="21"/>
      <c r="B962" s="3" t="s">
        <v>11</v>
      </c>
      <c r="C962" s="3" t="s">
        <v>380</v>
      </c>
      <c r="D962" s="2"/>
    </row>
    <row r="963" spans="1:4" ht="12.75" customHeight="1" x14ac:dyDescent="0.2">
      <c r="A963" s="21"/>
      <c r="B963" s="3" t="s">
        <v>13</v>
      </c>
      <c r="C963" s="3" t="s">
        <v>24</v>
      </c>
      <c r="D963" s="2"/>
    </row>
    <row r="964" spans="1:4" ht="12.75" customHeight="1" x14ac:dyDescent="0.2">
      <c r="A964" s="21"/>
      <c r="B964" s="3" t="s">
        <v>15</v>
      </c>
      <c r="C964" s="3" t="s">
        <v>24</v>
      </c>
      <c r="D964" s="2"/>
    </row>
    <row r="965" spans="1:4" ht="12.75" customHeight="1" x14ac:dyDescent="0.2">
      <c r="A965" s="21"/>
      <c r="B965" s="3" t="s">
        <v>16</v>
      </c>
      <c r="C965" s="3"/>
      <c r="D965" s="2"/>
    </row>
    <row r="966" spans="1:4" ht="12.75" customHeight="1" x14ac:dyDescent="0.2">
      <c r="A966" s="21"/>
      <c r="B966" s="3" t="s">
        <v>17</v>
      </c>
      <c r="C966" s="3"/>
      <c r="D966" s="2"/>
    </row>
    <row r="967" spans="1:4" ht="12.75" customHeight="1" x14ac:dyDescent="0.2">
      <c r="A967" s="21"/>
      <c r="B967" s="3" t="s">
        <v>18</v>
      </c>
      <c r="C967" s="4" t="s">
        <v>19</v>
      </c>
      <c r="D967" s="2"/>
    </row>
    <row r="968" spans="1:4" ht="12.75" customHeight="1" x14ac:dyDescent="0.2">
      <c r="A968" s="5"/>
      <c r="B968" s="2"/>
      <c r="C968" s="2"/>
      <c r="D968" s="2"/>
    </row>
    <row r="969" spans="1:4" ht="12.75" customHeight="1" x14ac:dyDescent="0.2">
      <c r="A969" s="22" t="str">
        <f>HYPERLINK("javascript:void(0)","ork csatacsillag")</f>
        <v>ork csatacsillag</v>
      </c>
      <c r="B969" s="21"/>
      <c r="C969" s="21"/>
      <c r="D969" s="21"/>
    </row>
    <row r="970" spans="1:4" ht="12.75" customHeight="1" x14ac:dyDescent="0.2">
      <c r="A970" s="20"/>
      <c r="B970" s="2"/>
      <c r="C970" s="2"/>
      <c r="D970" s="2"/>
    </row>
    <row r="971" spans="1:4" ht="12.75" customHeight="1" x14ac:dyDescent="0.2">
      <c r="A971" s="21"/>
      <c r="B971" s="3" t="s">
        <v>0</v>
      </c>
      <c r="C971" s="20" t="s">
        <v>88</v>
      </c>
      <c r="D971" s="21"/>
    </row>
    <row r="972" spans="1:4" ht="12.75" customHeight="1" x14ac:dyDescent="0.2">
      <c r="A972" s="21"/>
      <c r="B972" s="3" t="s">
        <v>2</v>
      </c>
      <c r="C972" s="20" t="s">
        <v>122</v>
      </c>
      <c r="D972" s="21"/>
    </row>
    <row r="973" spans="1:4" ht="12.75" customHeight="1" x14ac:dyDescent="0.2">
      <c r="A973" s="21"/>
      <c r="B973" s="3" t="s">
        <v>4</v>
      </c>
      <c r="C973" s="20" t="s">
        <v>383</v>
      </c>
      <c r="D973" s="21"/>
    </row>
    <row r="974" spans="1:4" ht="12.75" customHeight="1" x14ac:dyDescent="0.2">
      <c r="A974" s="21"/>
      <c r="B974" s="3" t="s">
        <v>6</v>
      </c>
      <c r="C974" s="20" t="s">
        <v>88</v>
      </c>
      <c r="D974" s="21"/>
    </row>
    <row r="975" spans="1:4" ht="12.75" customHeight="1" x14ac:dyDescent="0.2">
      <c r="A975" s="21"/>
      <c r="B975" s="3" t="s">
        <v>8</v>
      </c>
      <c r="C975" s="20" t="s">
        <v>383</v>
      </c>
      <c r="D975" s="21"/>
    </row>
    <row r="976" spans="1:4" ht="12.75" customHeight="1" x14ac:dyDescent="0.2">
      <c r="A976" s="21"/>
      <c r="B976" s="3" t="s">
        <v>9</v>
      </c>
      <c r="C976" s="20" t="s">
        <v>384</v>
      </c>
      <c r="D976" s="21"/>
    </row>
    <row r="977" spans="1:4" ht="12.75" customHeight="1" x14ac:dyDescent="0.2">
      <c r="A977" s="21"/>
      <c r="B977" s="3" t="s">
        <v>11</v>
      </c>
      <c r="C977" s="20" t="s">
        <v>148</v>
      </c>
      <c r="D977" s="21"/>
    </row>
    <row r="978" spans="1:4" ht="12.75" customHeight="1" x14ac:dyDescent="0.2">
      <c r="A978" s="21"/>
      <c r="B978" s="3" t="s">
        <v>13</v>
      </c>
      <c r="C978" s="20" t="s">
        <v>24</v>
      </c>
      <c r="D978" s="21"/>
    </row>
    <row r="979" spans="1:4" ht="12.75" customHeight="1" x14ac:dyDescent="0.2">
      <c r="A979" s="21"/>
      <c r="B979" s="3" t="s">
        <v>15</v>
      </c>
      <c r="C979" s="20" t="s">
        <v>24</v>
      </c>
      <c r="D979" s="21"/>
    </row>
    <row r="980" spans="1:4" ht="12.75" customHeight="1" x14ac:dyDescent="0.2">
      <c r="A980" s="21"/>
      <c r="B980" s="3" t="s">
        <v>16</v>
      </c>
      <c r="C980" s="20"/>
      <c r="D980" s="21"/>
    </row>
    <row r="981" spans="1:4" ht="12.75" customHeight="1" x14ac:dyDescent="0.2">
      <c r="A981" s="21"/>
      <c r="B981" s="3" t="s">
        <v>17</v>
      </c>
      <c r="C981" s="20"/>
      <c r="D981" s="21"/>
    </row>
    <row r="982" spans="1:4" ht="12.75" customHeight="1" x14ac:dyDescent="0.2">
      <c r="A982" s="21"/>
      <c r="B982" s="20" t="s">
        <v>18</v>
      </c>
      <c r="C982" s="4" t="s">
        <v>44</v>
      </c>
      <c r="D982" s="6" t="str">
        <f>HYPERLINK("javascript:void(0)","rubin csatacsillag")</f>
        <v>rubin csatacsillag</v>
      </c>
    </row>
    <row r="983" spans="1:4" ht="12.75" customHeight="1" x14ac:dyDescent="0.2">
      <c r="A983" s="21"/>
      <c r="B983" s="21"/>
      <c r="C983" s="4" t="s">
        <v>57</v>
      </c>
      <c r="D983" s="6" t="str">
        <f>HYPERLINK("javascript:void(0)","gyémánt")</f>
        <v>gyémánt</v>
      </c>
    </row>
    <row r="984" spans="1:4" ht="12.75" customHeight="1" x14ac:dyDescent="0.2">
      <c r="A984" s="21"/>
      <c r="B984" s="21"/>
      <c r="C984" s="4" t="s">
        <v>68</v>
      </c>
      <c r="D984" s="6" t="str">
        <f>HYPERLINK("javascript:void(0)","démongyapjú")</f>
        <v>démongyapjú</v>
      </c>
    </row>
    <row r="985" spans="1:4" ht="12.75" customHeight="1" x14ac:dyDescent="0.2">
      <c r="A985" s="5"/>
      <c r="B985" s="2"/>
      <c r="C985" s="2"/>
      <c r="D985" s="2"/>
    </row>
    <row r="986" spans="1:4" ht="12.75" customHeight="1" x14ac:dyDescent="0.2">
      <c r="A986" s="22" t="str">
        <f>HYPERLINK("javascript:void(0)","démonacél bunkó")</f>
        <v>démonacél bunkó</v>
      </c>
      <c r="B986" s="21"/>
      <c r="C986" s="21"/>
      <c r="D986" s="21"/>
    </row>
    <row r="987" spans="1:4" ht="12.75" customHeight="1" x14ac:dyDescent="0.2">
      <c r="A987" s="20"/>
      <c r="B987" s="2"/>
      <c r="C987" s="2"/>
      <c r="D987" s="2"/>
    </row>
    <row r="988" spans="1:4" ht="12.75" customHeight="1" x14ac:dyDescent="0.2">
      <c r="A988" s="21"/>
      <c r="B988" s="3" t="s">
        <v>0</v>
      </c>
      <c r="C988" s="20" t="s">
        <v>88</v>
      </c>
      <c r="D988" s="21"/>
    </row>
    <row r="989" spans="1:4" ht="12.75" customHeight="1" x14ac:dyDescent="0.2">
      <c r="A989" s="21"/>
      <c r="B989" s="3" t="s">
        <v>2</v>
      </c>
      <c r="C989" s="20" t="s">
        <v>122</v>
      </c>
      <c r="D989" s="21"/>
    </row>
    <row r="990" spans="1:4" ht="12.75" customHeight="1" x14ac:dyDescent="0.2">
      <c r="A990" s="21"/>
      <c r="B990" s="3" t="s">
        <v>4</v>
      </c>
      <c r="C990" s="20" t="s">
        <v>278</v>
      </c>
      <c r="D990" s="21"/>
    </row>
    <row r="991" spans="1:4" ht="12.75" customHeight="1" x14ac:dyDescent="0.2">
      <c r="A991" s="21"/>
      <c r="B991" s="3" t="s">
        <v>6</v>
      </c>
      <c r="C991" s="20" t="s">
        <v>206</v>
      </c>
      <c r="D991" s="21"/>
    </row>
    <row r="992" spans="1:4" ht="12.75" customHeight="1" x14ac:dyDescent="0.2">
      <c r="A992" s="21"/>
      <c r="B992" s="3" t="s">
        <v>8</v>
      </c>
      <c r="C992" s="20" t="s">
        <v>278</v>
      </c>
      <c r="D992" s="21"/>
    </row>
    <row r="993" spans="1:4" ht="12.75" customHeight="1" x14ac:dyDescent="0.2">
      <c r="A993" s="21"/>
      <c r="B993" s="3" t="s">
        <v>9</v>
      </c>
      <c r="C993" s="20" t="s">
        <v>164</v>
      </c>
      <c r="D993" s="21"/>
    </row>
    <row r="994" spans="1:4" ht="12.75" customHeight="1" x14ac:dyDescent="0.2">
      <c r="A994" s="21"/>
      <c r="B994" s="3" t="s">
        <v>11</v>
      </c>
      <c r="C994" s="20" t="s">
        <v>391</v>
      </c>
      <c r="D994" s="21"/>
    </row>
    <row r="995" spans="1:4" ht="12.75" customHeight="1" x14ac:dyDescent="0.2">
      <c r="A995" s="21"/>
      <c r="B995" s="3" t="s">
        <v>13</v>
      </c>
      <c r="C995" s="20" t="s">
        <v>24</v>
      </c>
      <c r="D995" s="21"/>
    </row>
    <row r="996" spans="1:4" ht="12.75" customHeight="1" x14ac:dyDescent="0.2">
      <c r="A996" s="21"/>
      <c r="B996" s="3" t="s">
        <v>15</v>
      </c>
      <c r="C996" s="20" t="s">
        <v>14</v>
      </c>
      <c r="D996" s="21"/>
    </row>
    <row r="997" spans="1:4" ht="12.75" customHeight="1" x14ac:dyDescent="0.2">
      <c r="A997" s="21"/>
      <c r="B997" s="3" t="s">
        <v>16</v>
      </c>
      <c r="C997" s="20"/>
      <c r="D997" s="21"/>
    </row>
    <row r="998" spans="1:4" ht="12.75" customHeight="1" x14ac:dyDescent="0.2">
      <c r="A998" s="21"/>
      <c r="B998" s="3" t="s">
        <v>17</v>
      </c>
      <c r="C998" s="20"/>
      <c r="D998" s="21"/>
    </row>
    <row r="999" spans="1:4" ht="12.75" customHeight="1" x14ac:dyDescent="0.2">
      <c r="A999" s="21"/>
      <c r="B999" s="20" t="s">
        <v>18</v>
      </c>
      <c r="C999" s="4" t="s">
        <v>56</v>
      </c>
      <c r="D999" s="6" t="str">
        <f>HYPERLINK("javascript:void(0)","holdbunkó")</f>
        <v>holdbunkó</v>
      </c>
    </row>
    <row r="1000" spans="1:4" ht="12.75" customHeight="1" x14ac:dyDescent="0.2">
      <c r="A1000" s="21"/>
      <c r="B1000" s="21"/>
      <c r="C1000" s="4" t="s">
        <v>117</v>
      </c>
      <c r="D1000" s="6" t="str">
        <f>HYPERLINK("javascript:void(0)","nyukug bajusz")</f>
        <v>nyukug bajusz</v>
      </c>
    </row>
    <row r="1001" spans="1:4" ht="12.75" customHeight="1" x14ac:dyDescent="0.2">
      <c r="A1001" s="21"/>
      <c r="B1001" s="21"/>
      <c r="C1001" s="4" t="s">
        <v>232</v>
      </c>
      <c r="D1001" s="6" t="str">
        <f>HYPERLINK("javascript:void(0)","nyenyere nyak")</f>
        <v>nyenyere nyak</v>
      </c>
    </row>
    <row r="1002" spans="1:4" ht="12.75" customHeight="1" x14ac:dyDescent="0.2">
      <c r="A1002" s="5"/>
      <c r="B1002" s="2"/>
      <c r="C1002" s="2"/>
      <c r="D1002" s="2"/>
    </row>
    <row r="1003" spans="1:4" ht="12.75" customHeight="1" x14ac:dyDescent="0.2">
      <c r="A1003" s="22" t="str">
        <f>HYPERLINK("javascript:void(0)","hidracél ballaszt")</f>
        <v>hidracél ballaszt</v>
      </c>
      <c r="B1003" s="21"/>
      <c r="C1003" s="21"/>
      <c r="D1003" s="21"/>
    </row>
    <row r="1004" spans="1:4" ht="12.75" customHeight="1" x14ac:dyDescent="0.2">
      <c r="A1004" s="20"/>
      <c r="B1004" s="2"/>
      <c r="C1004" s="2"/>
      <c r="D1004" s="2"/>
    </row>
    <row r="1005" spans="1:4" ht="12.75" customHeight="1" x14ac:dyDescent="0.2">
      <c r="A1005" s="21"/>
      <c r="B1005" s="3" t="s">
        <v>0</v>
      </c>
      <c r="C1005" s="20" t="s">
        <v>88</v>
      </c>
      <c r="D1005" s="21"/>
    </row>
    <row r="1006" spans="1:4" ht="12.75" customHeight="1" x14ac:dyDescent="0.2">
      <c r="A1006" s="21"/>
      <c r="B1006" s="3" t="s">
        <v>2</v>
      </c>
      <c r="C1006" s="20" t="s">
        <v>122</v>
      </c>
      <c r="D1006" s="21"/>
    </row>
    <row r="1007" spans="1:4" ht="12.75" customHeight="1" x14ac:dyDescent="0.2">
      <c r="A1007" s="21"/>
      <c r="B1007" s="3" t="s">
        <v>4</v>
      </c>
      <c r="C1007" s="20" t="s">
        <v>267</v>
      </c>
      <c r="D1007" s="21"/>
    </row>
    <row r="1008" spans="1:4" ht="12.75" customHeight="1" x14ac:dyDescent="0.2">
      <c r="A1008" s="21"/>
      <c r="B1008" s="3" t="s">
        <v>6</v>
      </c>
      <c r="C1008" s="20" t="s">
        <v>21</v>
      </c>
      <c r="D1008" s="21"/>
    </row>
    <row r="1009" spans="1:4" ht="12.75" customHeight="1" x14ac:dyDescent="0.2">
      <c r="A1009" s="21"/>
      <c r="B1009" s="3" t="s">
        <v>8</v>
      </c>
      <c r="C1009" s="20" t="s">
        <v>267</v>
      </c>
      <c r="D1009" s="21"/>
    </row>
    <row r="1010" spans="1:4" ht="12.75" customHeight="1" x14ac:dyDescent="0.2">
      <c r="A1010" s="21"/>
      <c r="B1010" s="3" t="s">
        <v>9</v>
      </c>
      <c r="C1010" s="20" t="s">
        <v>394</v>
      </c>
      <c r="D1010" s="21"/>
    </row>
    <row r="1011" spans="1:4" ht="12.75" customHeight="1" x14ac:dyDescent="0.2">
      <c r="A1011" s="21"/>
      <c r="B1011" s="3" t="s">
        <v>11</v>
      </c>
      <c r="C1011" s="20" t="s">
        <v>395</v>
      </c>
      <c r="D1011" s="21"/>
    </row>
    <row r="1012" spans="1:4" ht="12.75" customHeight="1" x14ac:dyDescent="0.2">
      <c r="A1012" s="21"/>
      <c r="B1012" s="3" t="s">
        <v>13</v>
      </c>
      <c r="C1012" s="20" t="s">
        <v>14</v>
      </c>
      <c r="D1012" s="21"/>
    </row>
    <row r="1013" spans="1:4" ht="12.75" customHeight="1" x14ac:dyDescent="0.2">
      <c r="A1013" s="21"/>
      <c r="B1013" s="3" t="s">
        <v>15</v>
      </c>
      <c r="C1013" s="20" t="s">
        <v>24</v>
      </c>
      <c r="D1013" s="21"/>
    </row>
    <row r="1014" spans="1:4" ht="12.75" customHeight="1" x14ac:dyDescent="0.2">
      <c r="A1014" s="21"/>
      <c r="B1014" s="3" t="s">
        <v>16</v>
      </c>
      <c r="C1014" s="20"/>
      <c r="D1014" s="21"/>
    </row>
    <row r="1015" spans="1:4" ht="12.75" customHeight="1" x14ac:dyDescent="0.2">
      <c r="A1015" s="21"/>
      <c r="B1015" s="3" t="s">
        <v>17</v>
      </c>
      <c r="C1015" s="20"/>
      <c r="D1015" s="21"/>
    </row>
    <row r="1016" spans="1:4" ht="12.75" customHeight="1" x14ac:dyDescent="0.2">
      <c r="A1016" s="21"/>
      <c r="B1016" s="20" t="s">
        <v>18</v>
      </c>
      <c r="C1016" s="4" t="s">
        <v>130</v>
      </c>
      <c r="D1016" s="6" t="str">
        <f>HYPERLINK("javascript:void(0)","szén-hidragén")</f>
        <v>szén-hidragén</v>
      </c>
    </row>
    <row r="1017" spans="1:4" ht="12.75" customHeight="1" x14ac:dyDescent="0.2">
      <c r="A1017" s="21"/>
      <c r="B1017" s="21"/>
      <c r="C1017" s="4" t="s">
        <v>67</v>
      </c>
      <c r="D1017" s="6" t="str">
        <f>HYPERLINK("javascript:void(0)","sárkány izom")</f>
        <v>sárkány izom</v>
      </c>
    </row>
    <row r="1018" spans="1:4" ht="12.75" customHeight="1" x14ac:dyDescent="0.2">
      <c r="A1018" s="21"/>
      <c r="B1018" s="21"/>
      <c r="C1018" s="4" t="s">
        <v>280</v>
      </c>
      <c r="D1018" s="6" t="str">
        <f>HYPERLINK("javascript:void(0)","gyémánt")</f>
        <v>gyémánt</v>
      </c>
    </row>
    <row r="1019" spans="1:4" ht="12.75" customHeight="1" x14ac:dyDescent="0.2">
      <c r="A1019" s="5"/>
      <c r="B1019" s="2"/>
      <c r="C1019" s="2"/>
      <c r="D1019" s="2"/>
    </row>
    <row r="1020" spans="1:4" ht="12.75" customHeight="1" x14ac:dyDescent="0.2">
      <c r="A1020" s="22" t="str">
        <f>HYPERLINK("javascript:void(0)","aranyharang")</f>
        <v>aranyharang</v>
      </c>
      <c r="B1020" s="21"/>
      <c r="C1020" s="21"/>
      <c r="D1020" s="21"/>
    </row>
    <row r="1021" spans="1:4" ht="12.75" customHeight="1" x14ac:dyDescent="0.2">
      <c r="A1021" s="20"/>
      <c r="B1021" s="2"/>
      <c r="C1021" s="2"/>
      <c r="D1021" s="2"/>
    </row>
    <row r="1022" spans="1:4" ht="12.75" customHeight="1" x14ac:dyDescent="0.2">
      <c r="A1022" s="21"/>
      <c r="B1022" s="3" t="s">
        <v>0</v>
      </c>
      <c r="C1022" s="20" t="s">
        <v>155</v>
      </c>
      <c r="D1022" s="21"/>
    </row>
    <row r="1023" spans="1:4" ht="12.75" customHeight="1" x14ac:dyDescent="0.2">
      <c r="A1023" s="21"/>
      <c r="B1023" s="3" t="s">
        <v>2</v>
      </c>
      <c r="C1023" s="20" t="s">
        <v>122</v>
      </c>
      <c r="D1023" s="21"/>
    </row>
    <row r="1024" spans="1:4" ht="12.75" customHeight="1" x14ac:dyDescent="0.2">
      <c r="A1024" s="21"/>
      <c r="B1024" s="3" t="s">
        <v>4</v>
      </c>
      <c r="C1024" s="20" t="s">
        <v>399</v>
      </c>
      <c r="D1024" s="21"/>
    </row>
    <row r="1025" spans="1:4" ht="12.75" customHeight="1" x14ac:dyDescent="0.2">
      <c r="A1025" s="21"/>
      <c r="B1025" s="3" t="s">
        <v>6</v>
      </c>
      <c r="C1025" s="20" t="s">
        <v>115</v>
      </c>
      <c r="D1025" s="21"/>
    </row>
    <row r="1026" spans="1:4" ht="12.75" customHeight="1" x14ac:dyDescent="0.2">
      <c r="A1026" s="21"/>
      <c r="B1026" s="3" t="s">
        <v>8</v>
      </c>
      <c r="C1026" s="20" t="s">
        <v>399</v>
      </c>
      <c r="D1026" s="21"/>
    </row>
    <row r="1027" spans="1:4" ht="12.75" customHeight="1" x14ac:dyDescent="0.2">
      <c r="A1027" s="21"/>
      <c r="B1027" s="3" t="s">
        <v>9</v>
      </c>
      <c r="C1027" s="20" t="s">
        <v>401</v>
      </c>
      <c r="D1027" s="21"/>
    </row>
    <row r="1028" spans="1:4" ht="12.75" customHeight="1" x14ac:dyDescent="0.2">
      <c r="A1028" s="21"/>
      <c r="B1028" s="3" t="s">
        <v>11</v>
      </c>
      <c r="C1028" s="20" t="s">
        <v>402</v>
      </c>
      <c r="D1028" s="21"/>
    </row>
    <row r="1029" spans="1:4" ht="12.75" customHeight="1" x14ac:dyDescent="0.2">
      <c r="A1029" s="21"/>
      <c r="B1029" s="3" t="s">
        <v>13</v>
      </c>
      <c r="C1029" s="20" t="s">
        <v>24</v>
      </c>
      <c r="D1029" s="21"/>
    </row>
    <row r="1030" spans="1:4" ht="12.75" customHeight="1" x14ac:dyDescent="0.2">
      <c r="A1030" s="21"/>
      <c r="B1030" s="3" t="s">
        <v>15</v>
      </c>
      <c r="C1030" s="20" t="s">
        <v>24</v>
      </c>
      <c r="D1030" s="21"/>
    </row>
    <row r="1031" spans="1:4" ht="12.75" customHeight="1" x14ac:dyDescent="0.2">
      <c r="A1031" s="21"/>
      <c r="B1031" s="3" t="s">
        <v>16</v>
      </c>
      <c r="C1031" s="20"/>
      <c r="D1031" s="21"/>
    </row>
    <row r="1032" spans="1:4" ht="12.75" customHeight="1" x14ac:dyDescent="0.2">
      <c r="A1032" s="21"/>
      <c r="B1032" s="3" t="s">
        <v>17</v>
      </c>
      <c r="C1032" s="20"/>
      <c r="D1032" s="21"/>
    </row>
    <row r="1033" spans="1:4" ht="12.75" customHeight="1" x14ac:dyDescent="0.2">
      <c r="A1033" s="21"/>
      <c r="B1033" s="20" t="s">
        <v>18</v>
      </c>
      <c r="C1033" s="4" t="s">
        <v>212</v>
      </c>
      <c r="D1033" s="6" t="str">
        <f>HYPERLINK("javascript:void(0)","arany")</f>
        <v>arany</v>
      </c>
    </row>
    <row r="1034" spans="1:4" ht="12.75" customHeight="1" x14ac:dyDescent="0.2">
      <c r="A1034" s="21"/>
      <c r="B1034" s="21"/>
      <c r="C1034" s="4" t="s">
        <v>232</v>
      </c>
      <c r="D1034" s="6" t="str">
        <f>HYPERLINK("javascript:void(0)","gyémánt")</f>
        <v>gyémánt</v>
      </c>
    </row>
    <row r="1035" spans="1:4" ht="12.75" customHeight="1" x14ac:dyDescent="0.2">
      <c r="A1035" s="21"/>
      <c r="B1035" s="21"/>
      <c r="C1035" s="4" t="s">
        <v>130</v>
      </c>
      <c r="D1035" s="6" t="str">
        <f>HYPERLINK("javascript:void(0)","vasérc")</f>
        <v>vasérc</v>
      </c>
    </row>
    <row r="1036" spans="1:4" ht="12.75" customHeight="1" x14ac:dyDescent="0.2">
      <c r="A1036" s="5"/>
      <c r="B1036" s="2"/>
      <c r="C1036" s="2"/>
      <c r="D1036" s="2"/>
    </row>
    <row r="1037" spans="1:4" ht="12.75" customHeight="1" x14ac:dyDescent="0.2">
      <c r="A1037" s="22" t="str">
        <f>HYPERLINK("javascript:void(0)","démonacél dorong")</f>
        <v>démonacél dorong</v>
      </c>
      <c r="B1037" s="21"/>
      <c r="C1037" s="21"/>
      <c r="D1037" s="21"/>
    </row>
    <row r="1038" spans="1:4" ht="12.75" customHeight="1" x14ac:dyDescent="0.2">
      <c r="A1038" s="20"/>
      <c r="B1038" s="2"/>
      <c r="C1038" s="2"/>
      <c r="D1038" s="2"/>
    </row>
    <row r="1039" spans="1:4" ht="12.75" customHeight="1" x14ac:dyDescent="0.2">
      <c r="A1039" s="21"/>
      <c r="B1039" s="3" t="s">
        <v>0</v>
      </c>
      <c r="C1039" s="20" t="s">
        <v>155</v>
      </c>
      <c r="D1039" s="21"/>
    </row>
    <row r="1040" spans="1:4" ht="12.75" customHeight="1" x14ac:dyDescent="0.2">
      <c r="A1040" s="21"/>
      <c r="B1040" s="3" t="s">
        <v>2</v>
      </c>
      <c r="C1040" s="20" t="s">
        <v>122</v>
      </c>
      <c r="D1040" s="21"/>
    </row>
    <row r="1041" spans="1:4" ht="12.75" customHeight="1" x14ac:dyDescent="0.2">
      <c r="A1041" s="21"/>
      <c r="B1041" s="3" t="s">
        <v>4</v>
      </c>
      <c r="C1041" s="20" t="s">
        <v>407</v>
      </c>
      <c r="D1041" s="21"/>
    </row>
    <row r="1042" spans="1:4" ht="12.75" customHeight="1" x14ac:dyDescent="0.2">
      <c r="A1042" s="21"/>
      <c r="B1042" s="3" t="s">
        <v>6</v>
      </c>
      <c r="C1042" s="20" t="s">
        <v>291</v>
      </c>
      <c r="D1042" s="21"/>
    </row>
    <row r="1043" spans="1:4" ht="12.75" customHeight="1" x14ac:dyDescent="0.2">
      <c r="A1043" s="21"/>
      <c r="B1043" s="3" t="s">
        <v>8</v>
      </c>
      <c r="C1043" s="20" t="s">
        <v>407</v>
      </c>
      <c r="D1043" s="21"/>
    </row>
    <row r="1044" spans="1:4" ht="12.75" customHeight="1" x14ac:dyDescent="0.2">
      <c r="A1044" s="21"/>
      <c r="B1044" s="3" t="s">
        <v>9</v>
      </c>
      <c r="C1044" s="20" t="s">
        <v>408</v>
      </c>
      <c r="D1044" s="21"/>
    </row>
    <row r="1045" spans="1:4" ht="12.75" customHeight="1" x14ac:dyDescent="0.2">
      <c r="A1045" s="21"/>
      <c r="B1045" s="3" t="s">
        <v>11</v>
      </c>
      <c r="C1045" s="20" t="s">
        <v>409</v>
      </c>
      <c r="D1045" s="21"/>
    </row>
    <row r="1046" spans="1:4" ht="12.75" customHeight="1" x14ac:dyDescent="0.2">
      <c r="A1046" s="21"/>
      <c r="B1046" s="3" t="s">
        <v>13</v>
      </c>
      <c r="C1046" s="20" t="s">
        <v>24</v>
      </c>
      <c r="D1046" s="21"/>
    </row>
    <row r="1047" spans="1:4" ht="12.75" customHeight="1" x14ac:dyDescent="0.2">
      <c r="A1047" s="21"/>
      <c r="B1047" s="3" t="s">
        <v>15</v>
      </c>
      <c r="C1047" s="20" t="s">
        <v>14</v>
      </c>
      <c r="D1047" s="21"/>
    </row>
    <row r="1048" spans="1:4" ht="12.75" customHeight="1" x14ac:dyDescent="0.2">
      <c r="A1048" s="21"/>
      <c r="B1048" s="3" t="s">
        <v>16</v>
      </c>
      <c r="C1048" s="20"/>
      <c r="D1048" s="21"/>
    </row>
    <row r="1049" spans="1:4" ht="12.75" customHeight="1" x14ac:dyDescent="0.2">
      <c r="A1049" s="21"/>
      <c r="B1049" s="3" t="s">
        <v>17</v>
      </c>
      <c r="C1049" s="20"/>
      <c r="D1049" s="21"/>
    </row>
    <row r="1050" spans="1:4" ht="12.75" customHeight="1" x14ac:dyDescent="0.2">
      <c r="A1050" s="21"/>
      <c r="B1050" s="20" t="s">
        <v>18</v>
      </c>
      <c r="C1050" s="4" t="s">
        <v>56</v>
      </c>
      <c r="D1050" s="6" t="str">
        <f>HYPERLINK("javascript:void(0)","ezüstdorong")</f>
        <v>ezüstdorong</v>
      </c>
    </row>
    <row r="1051" spans="1:4" ht="12.75" customHeight="1" x14ac:dyDescent="0.2">
      <c r="A1051" s="21"/>
      <c r="B1051" s="21"/>
      <c r="C1051" s="4" t="s">
        <v>67</v>
      </c>
      <c r="D1051" s="6" t="str">
        <f>HYPERLINK("javascript:void(0)","nyonyóc fog")</f>
        <v>nyonyóc fog</v>
      </c>
    </row>
    <row r="1052" spans="1:4" ht="12.75" customHeight="1" x14ac:dyDescent="0.2">
      <c r="A1052" s="21"/>
      <c r="B1052" s="21"/>
      <c r="C1052" s="4" t="s">
        <v>57</v>
      </c>
      <c r="D1052" s="6" t="str">
        <f>HYPERLINK("javascript:void(0)","nyukug bajusz")</f>
        <v>nyukug bajusz</v>
      </c>
    </row>
    <row r="1053" spans="1:4" ht="12.75" customHeight="1" x14ac:dyDescent="0.2">
      <c r="A1053" s="5"/>
      <c r="B1053" s="2"/>
      <c r="C1053" s="2"/>
      <c r="D1053" s="2"/>
    </row>
    <row r="1054" spans="1:4" ht="12.75" customHeight="1" x14ac:dyDescent="0.2">
      <c r="A1054" s="22" t="str">
        <f>HYPERLINK("javascript:void(0)","aranylánc")</f>
        <v>aranylánc</v>
      </c>
      <c r="B1054" s="21"/>
      <c r="C1054" s="21"/>
      <c r="D1054" s="21"/>
    </row>
    <row r="1055" spans="1:4" ht="12.75" customHeight="1" x14ac:dyDescent="0.2">
      <c r="A1055" s="20"/>
      <c r="B1055" s="2"/>
      <c r="C1055" s="2"/>
      <c r="D1055" s="2"/>
    </row>
    <row r="1056" spans="1:4" ht="12.75" customHeight="1" x14ac:dyDescent="0.2">
      <c r="A1056" s="21"/>
      <c r="B1056" s="3" t="s">
        <v>0</v>
      </c>
      <c r="C1056" s="20" t="s">
        <v>155</v>
      </c>
      <c r="D1056" s="21"/>
    </row>
    <row r="1057" spans="1:4" ht="12.75" customHeight="1" x14ac:dyDescent="0.2">
      <c r="A1057" s="21"/>
      <c r="B1057" s="3" t="s">
        <v>2</v>
      </c>
      <c r="C1057" s="20" t="s">
        <v>122</v>
      </c>
      <c r="D1057" s="21"/>
    </row>
    <row r="1058" spans="1:4" ht="12.75" customHeight="1" x14ac:dyDescent="0.2">
      <c r="A1058" s="21"/>
      <c r="B1058" s="3" t="s">
        <v>4</v>
      </c>
      <c r="C1058" s="20" t="s">
        <v>411</v>
      </c>
      <c r="D1058" s="21"/>
    </row>
    <row r="1059" spans="1:4" ht="12.75" customHeight="1" x14ac:dyDescent="0.2">
      <c r="A1059" s="21"/>
      <c r="B1059" s="3" t="s">
        <v>6</v>
      </c>
      <c r="C1059" s="20" t="s">
        <v>26</v>
      </c>
      <c r="D1059" s="21"/>
    </row>
    <row r="1060" spans="1:4" ht="12.75" customHeight="1" x14ac:dyDescent="0.2">
      <c r="A1060" s="21"/>
      <c r="B1060" s="3" t="s">
        <v>8</v>
      </c>
      <c r="C1060" s="20" t="s">
        <v>411</v>
      </c>
      <c r="D1060" s="21"/>
    </row>
    <row r="1061" spans="1:4" ht="12.75" customHeight="1" x14ac:dyDescent="0.2">
      <c r="A1061" s="21"/>
      <c r="B1061" s="3" t="s">
        <v>9</v>
      </c>
      <c r="C1061" s="20" t="s">
        <v>36</v>
      </c>
      <c r="D1061" s="21"/>
    </row>
    <row r="1062" spans="1:4" ht="12.75" customHeight="1" x14ac:dyDescent="0.2">
      <c r="A1062" s="21"/>
      <c r="B1062" s="3" t="s">
        <v>11</v>
      </c>
      <c r="C1062" s="20" t="s">
        <v>412</v>
      </c>
      <c r="D1062" s="21"/>
    </row>
    <row r="1063" spans="1:4" ht="12.75" customHeight="1" x14ac:dyDescent="0.2">
      <c r="A1063" s="21"/>
      <c r="B1063" s="3" t="s">
        <v>13</v>
      </c>
      <c r="C1063" s="20" t="s">
        <v>14</v>
      </c>
      <c r="D1063" s="21"/>
    </row>
    <row r="1064" spans="1:4" ht="12.75" customHeight="1" x14ac:dyDescent="0.2">
      <c r="A1064" s="21"/>
      <c r="B1064" s="3" t="s">
        <v>15</v>
      </c>
      <c r="C1064" s="20" t="s">
        <v>14</v>
      </c>
      <c r="D1064" s="21"/>
    </row>
    <row r="1065" spans="1:4" ht="12.75" customHeight="1" x14ac:dyDescent="0.2">
      <c r="A1065" s="21"/>
      <c r="B1065" s="3" t="s">
        <v>16</v>
      </c>
      <c r="C1065" s="20"/>
      <c r="D1065" s="21"/>
    </row>
    <row r="1066" spans="1:4" ht="12.75" customHeight="1" x14ac:dyDescent="0.2">
      <c r="A1066" s="21"/>
      <c r="B1066" s="3" t="s">
        <v>17</v>
      </c>
      <c r="C1066" s="20"/>
      <c r="D1066" s="21"/>
    </row>
    <row r="1067" spans="1:4" ht="12.75" customHeight="1" x14ac:dyDescent="0.2">
      <c r="A1067" s="21"/>
      <c r="B1067" s="20" t="s">
        <v>18</v>
      </c>
      <c r="C1067" s="4" t="s">
        <v>44</v>
      </c>
      <c r="D1067" s="6" t="str">
        <f>HYPERLINK("javascript:void(0)","ezüstlánc")</f>
        <v>ezüstlánc</v>
      </c>
    </row>
    <row r="1068" spans="1:4" ht="12.75" customHeight="1" x14ac:dyDescent="0.2">
      <c r="A1068" s="21"/>
      <c r="B1068" s="21"/>
      <c r="C1068" s="4" t="s">
        <v>139</v>
      </c>
      <c r="D1068" s="6" t="str">
        <f>HYPERLINK("javascript:void(0)","arany")</f>
        <v>arany</v>
      </c>
    </row>
    <row r="1069" spans="1:4" ht="12.75" customHeight="1" x14ac:dyDescent="0.2">
      <c r="A1069" s="21"/>
      <c r="B1069" s="21"/>
      <c r="C1069" s="4" t="s">
        <v>309</v>
      </c>
      <c r="D1069" s="6" t="str">
        <f>HYPERLINK("javascript:void(0)","ezüstfullánk")</f>
        <v>ezüstfullánk</v>
      </c>
    </row>
    <row r="1070" spans="1:4" ht="12.75" customHeight="1" x14ac:dyDescent="0.2">
      <c r="A1070" s="5"/>
      <c r="B1070" s="2"/>
      <c r="C1070" s="2"/>
      <c r="D1070" s="2"/>
    </row>
    <row r="1071" spans="1:4" ht="12.75" customHeight="1" x14ac:dyDescent="0.2">
      <c r="A1071" s="22" t="str">
        <f>HYPERLINK("javascript:void(0)","rubin nuncsaku")</f>
        <v>rubin nuncsaku</v>
      </c>
      <c r="B1071" s="21"/>
      <c r="C1071" s="21"/>
      <c r="D1071" s="21"/>
    </row>
    <row r="1072" spans="1:4" ht="12.75" customHeight="1" x14ac:dyDescent="0.2">
      <c r="A1072" s="20"/>
      <c r="B1072" s="2"/>
      <c r="C1072" s="2"/>
      <c r="D1072" s="2"/>
    </row>
    <row r="1073" spans="1:4" ht="12.75" customHeight="1" x14ac:dyDescent="0.2">
      <c r="A1073" s="21"/>
      <c r="B1073" s="3" t="s">
        <v>0</v>
      </c>
      <c r="C1073" s="20" t="s">
        <v>159</v>
      </c>
      <c r="D1073" s="21"/>
    </row>
    <row r="1074" spans="1:4" ht="12.75" customHeight="1" x14ac:dyDescent="0.2">
      <c r="A1074" s="21"/>
      <c r="B1074" s="3" t="s">
        <v>2</v>
      </c>
      <c r="C1074" s="20" t="s">
        <v>122</v>
      </c>
      <c r="D1074" s="21"/>
    </row>
    <row r="1075" spans="1:4" ht="12.75" customHeight="1" x14ac:dyDescent="0.2">
      <c r="A1075" s="21"/>
      <c r="B1075" s="3" t="s">
        <v>4</v>
      </c>
      <c r="C1075" s="20" t="s">
        <v>267</v>
      </c>
      <c r="D1075" s="21"/>
    </row>
    <row r="1076" spans="1:4" ht="12.75" customHeight="1" x14ac:dyDescent="0.2">
      <c r="A1076" s="21"/>
      <c r="B1076" s="3" t="s">
        <v>6</v>
      </c>
      <c r="C1076" s="20" t="s">
        <v>40</v>
      </c>
      <c r="D1076" s="21"/>
    </row>
    <row r="1077" spans="1:4" ht="12.75" customHeight="1" x14ac:dyDescent="0.2">
      <c r="A1077" s="21"/>
      <c r="B1077" s="3" t="s">
        <v>8</v>
      </c>
      <c r="C1077" s="20" t="s">
        <v>267</v>
      </c>
      <c r="D1077" s="21"/>
    </row>
    <row r="1078" spans="1:4" ht="12.75" customHeight="1" x14ac:dyDescent="0.2">
      <c r="A1078" s="21"/>
      <c r="B1078" s="3" t="s">
        <v>9</v>
      </c>
      <c r="C1078" s="20" t="s">
        <v>233</v>
      </c>
      <c r="D1078" s="21"/>
    </row>
    <row r="1079" spans="1:4" ht="12.75" customHeight="1" x14ac:dyDescent="0.2">
      <c r="A1079" s="21"/>
      <c r="B1079" s="3" t="s">
        <v>11</v>
      </c>
      <c r="C1079" s="20" t="s">
        <v>416</v>
      </c>
      <c r="D1079" s="21"/>
    </row>
    <row r="1080" spans="1:4" ht="12.75" customHeight="1" x14ac:dyDescent="0.2">
      <c r="A1080" s="21"/>
      <c r="B1080" s="3" t="s">
        <v>13</v>
      </c>
      <c r="C1080" s="20" t="s">
        <v>24</v>
      </c>
      <c r="D1080" s="21"/>
    </row>
    <row r="1081" spans="1:4" ht="12.75" customHeight="1" x14ac:dyDescent="0.2">
      <c r="A1081" s="21"/>
      <c r="B1081" s="3" t="s">
        <v>15</v>
      </c>
      <c r="C1081" s="20" t="s">
        <v>24</v>
      </c>
      <c r="D1081" s="21"/>
    </row>
    <row r="1082" spans="1:4" ht="12.75" customHeight="1" x14ac:dyDescent="0.2">
      <c r="A1082" s="21"/>
      <c r="B1082" s="3" t="s">
        <v>16</v>
      </c>
      <c r="C1082" s="20"/>
      <c r="D1082" s="21"/>
    </row>
    <row r="1083" spans="1:4" ht="12.75" customHeight="1" x14ac:dyDescent="0.2">
      <c r="A1083" s="21"/>
      <c r="B1083" s="3" t="s">
        <v>17</v>
      </c>
      <c r="C1083" s="20"/>
      <c r="D1083" s="21"/>
    </row>
    <row r="1084" spans="1:4" ht="12.75" customHeight="1" x14ac:dyDescent="0.2">
      <c r="A1084" s="21"/>
      <c r="B1084" s="20" t="s">
        <v>18</v>
      </c>
      <c r="C1084" s="4" t="s">
        <v>44</v>
      </c>
      <c r="D1084" s="6" t="str">
        <f>HYPERLINK("javascript:void(0)","smaragd nuncsaku")</f>
        <v>smaragd nuncsaku</v>
      </c>
    </row>
    <row r="1085" spans="1:4" ht="12.75" customHeight="1" x14ac:dyDescent="0.2">
      <c r="A1085" s="21"/>
      <c r="B1085" s="21"/>
      <c r="C1085" s="4" t="s">
        <v>142</v>
      </c>
      <c r="D1085" s="6" t="str">
        <f>HYPERLINK("javascript:void(0)","rubin")</f>
        <v>rubin</v>
      </c>
    </row>
    <row r="1086" spans="1:4" ht="12.75" customHeight="1" x14ac:dyDescent="0.2">
      <c r="A1086" s="21"/>
      <c r="B1086" s="21"/>
      <c r="C1086" s="4" t="s">
        <v>56</v>
      </c>
      <c r="D1086" s="6" t="str">
        <f>HYPERLINK("javascript:void(0)","gyémánt")</f>
        <v>gyémánt</v>
      </c>
    </row>
    <row r="1087" spans="1:4" ht="12.75" customHeight="1" x14ac:dyDescent="0.2">
      <c r="A1087" s="5"/>
      <c r="B1087" s="2"/>
      <c r="C1087" s="2"/>
      <c r="D1087" s="2"/>
    </row>
    <row r="1088" spans="1:4" ht="12.75" customHeight="1" x14ac:dyDescent="0.2">
      <c r="A1088" s="22" t="str">
        <f>HYPERLINK("javascript:void(0)","1000 éves kenyér")</f>
        <v>1000 éves kenyér</v>
      </c>
      <c r="B1088" s="21"/>
      <c r="C1088" s="21"/>
      <c r="D1088" s="21"/>
    </row>
    <row r="1089" spans="1:4" ht="12.75" customHeight="1" x14ac:dyDescent="0.2">
      <c r="A1089" s="20"/>
      <c r="B1089" s="2"/>
      <c r="C1089" s="2"/>
      <c r="D1089" s="2"/>
    </row>
    <row r="1090" spans="1:4" ht="12.75" customHeight="1" x14ac:dyDescent="0.2">
      <c r="A1090" s="21"/>
      <c r="B1090" s="3" t="s">
        <v>0</v>
      </c>
      <c r="C1090" s="20" t="s">
        <v>159</v>
      </c>
      <c r="D1090" s="21"/>
    </row>
    <row r="1091" spans="1:4" ht="12.75" customHeight="1" x14ac:dyDescent="0.2">
      <c r="A1091" s="21"/>
      <c r="B1091" s="3" t="s">
        <v>2</v>
      </c>
      <c r="C1091" s="20" t="s">
        <v>122</v>
      </c>
      <c r="D1091" s="21"/>
    </row>
    <row r="1092" spans="1:4" ht="12.75" customHeight="1" x14ac:dyDescent="0.2">
      <c r="A1092" s="21"/>
      <c r="B1092" s="3" t="s">
        <v>4</v>
      </c>
      <c r="C1092" s="20" t="s">
        <v>421</v>
      </c>
      <c r="D1092" s="21"/>
    </row>
    <row r="1093" spans="1:4" ht="12.75" customHeight="1" x14ac:dyDescent="0.2">
      <c r="A1093" s="21"/>
      <c r="B1093" s="3" t="s">
        <v>6</v>
      </c>
      <c r="C1093" s="20" t="s">
        <v>86</v>
      </c>
      <c r="D1093" s="21"/>
    </row>
    <row r="1094" spans="1:4" ht="12.75" customHeight="1" x14ac:dyDescent="0.2">
      <c r="A1094" s="21"/>
      <c r="B1094" s="3" t="s">
        <v>8</v>
      </c>
      <c r="C1094" s="20" t="s">
        <v>421</v>
      </c>
      <c r="D1094" s="21"/>
    </row>
    <row r="1095" spans="1:4" ht="12.75" customHeight="1" x14ac:dyDescent="0.2">
      <c r="A1095" s="21"/>
      <c r="B1095" s="3" t="s">
        <v>9</v>
      </c>
      <c r="C1095" s="20" t="s">
        <v>124</v>
      </c>
      <c r="D1095" s="21"/>
    </row>
    <row r="1096" spans="1:4" ht="12.75" customHeight="1" x14ac:dyDescent="0.2">
      <c r="A1096" s="21"/>
      <c r="B1096" s="3" t="s">
        <v>11</v>
      </c>
      <c r="C1096" s="20" t="s">
        <v>423</v>
      </c>
      <c r="D1096" s="21"/>
    </row>
    <row r="1097" spans="1:4" ht="12.75" customHeight="1" x14ac:dyDescent="0.2">
      <c r="A1097" s="21"/>
      <c r="B1097" s="3" t="s">
        <v>13</v>
      </c>
      <c r="C1097" s="20" t="s">
        <v>24</v>
      </c>
      <c r="D1097" s="21"/>
    </row>
    <row r="1098" spans="1:4" ht="12.75" customHeight="1" x14ac:dyDescent="0.2">
      <c r="A1098" s="21"/>
      <c r="B1098" s="3" t="s">
        <v>15</v>
      </c>
      <c r="C1098" s="20" t="s">
        <v>24</v>
      </c>
      <c r="D1098" s="21"/>
    </row>
    <row r="1099" spans="1:4" ht="12.75" customHeight="1" x14ac:dyDescent="0.2">
      <c r="A1099" s="21"/>
      <c r="B1099" s="3" t="s">
        <v>16</v>
      </c>
      <c r="C1099" s="20"/>
      <c r="D1099" s="21"/>
    </row>
    <row r="1100" spans="1:4" ht="12.75" customHeight="1" x14ac:dyDescent="0.2">
      <c r="A1100" s="21"/>
      <c r="B1100" s="3" t="s">
        <v>17</v>
      </c>
      <c r="C1100" s="20"/>
      <c r="D1100" s="21"/>
    </row>
    <row r="1101" spans="1:4" ht="12.75" customHeight="1" x14ac:dyDescent="0.2">
      <c r="A1101" s="21"/>
      <c r="B1101" s="20" t="s">
        <v>18</v>
      </c>
      <c r="C1101" s="4" t="s">
        <v>44</v>
      </c>
      <c r="D1101" s="6" t="str">
        <f>HYPERLINK("javascript:void(0)","100 éves kenyér")</f>
        <v>100 éves kenyér</v>
      </c>
    </row>
    <row r="1102" spans="1:4" ht="12.75" customHeight="1" x14ac:dyDescent="0.2">
      <c r="A1102" s="21"/>
      <c r="B1102" s="21"/>
      <c r="C1102" s="4" t="s">
        <v>44</v>
      </c>
      <c r="D1102" s="6" t="str">
        <f>HYPERLINK("javascript:void(0)","diszprózium")</f>
        <v>diszprózium</v>
      </c>
    </row>
    <row r="1103" spans="1:4" ht="12.75" customHeight="1" x14ac:dyDescent="0.2">
      <c r="A1103" s="21"/>
      <c r="B1103" s="21"/>
      <c r="C1103" s="4" t="s">
        <v>67</v>
      </c>
      <c r="D1103" s="6" t="str">
        <f>HYPERLINK("javascript:void(0)","vámpírherbium")</f>
        <v>vámpírherbium</v>
      </c>
    </row>
    <row r="1104" spans="1:4" ht="12.75" customHeight="1" x14ac:dyDescent="0.2">
      <c r="A1104" s="5"/>
      <c r="B1104" s="2"/>
      <c r="C1104" s="2"/>
      <c r="D1104" s="2"/>
    </row>
    <row r="1105" spans="1:4" ht="12.75" customHeight="1" x14ac:dyDescent="0.2">
      <c r="A1105" s="22" t="str">
        <f>HYPERLINK("javascript:void(0)","démonacél buzogány")</f>
        <v>démonacél buzogány</v>
      </c>
      <c r="B1105" s="21"/>
      <c r="C1105" s="21"/>
      <c r="D1105" s="21"/>
    </row>
    <row r="1106" spans="1:4" ht="12.75" customHeight="1" x14ac:dyDescent="0.2">
      <c r="A1106" s="20"/>
      <c r="B1106" s="2"/>
      <c r="C1106" s="2"/>
      <c r="D1106" s="2"/>
    </row>
    <row r="1107" spans="1:4" ht="12.75" customHeight="1" x14ac:dyDescent="0.2">
      <c r="A1107" s="21"/>
      <c r="B1107" s="3" t="s">
        <v>0</v>
      </c>
      <c r="C1107" s="20" t="s">
        <v>159</v>
      </c>
      <c r="D1107" s="21"/>
    </row>
    <row r="1108" spans="1:4" ht="12.75" customHeight="1" x14ac:dyDescent="0.2">
      <c r="A1108" s="21"/>
      <c r="B1108" s="3" t="s">
        <v>2</v>
      </c>
      <c r="C1108" s="20" t="s">
        <v>122</v>
      </c>
      <c r="D1108" s="21"/>
    </row>
    <row r="1109" spans="1:4" ht="12.75" customHeight="1" x14ac:dyDescent="0.2">
      <c r="A1109" s="21"/>
      <c r="B1109" s="3" t="s">
        <v>4</v>
      </c>
      <c r="C1109" s="20" t="s">
        <v>426</v>
      </c>
      <c r="D1109" s="21"/>
    </row>
    <row r="1110" spans="1:4" ht="12.75" customHeight="1" x14ac:dyDescent="0.2">
      <c r="A1110" s="21"/>
      <c r="B1110" s="3" t="s">
        <v>6</v>
      </c>
      <c r="C1110" s="20" t="s">
        <v>107</v>
      </c>
      <c r="D1110" s="21"/>
    </row>
    <row r="1111" spans="1:4" ht="12.75" customHeight="1" x14ac:dyDescent="0.2">
      <c r="A1111" s="21"/>
      <c r="B1111" s="3" t="s">
        <v>8</v>
      </c>
      <c r="C1111" s="20" t="s">
        <v>426</v>
      </c>
      <c r="D1111" s="21"/>
    </row>
    <row r="1112" spans="1:4" ht="12.75" customHeight="1" x14ac:dyDescent="0.2">
      <c r="A1112" s="21"/>
      <c r="B1112" s="3" t="s">
        <v>9</v>
      </c>
      <c r="C1112" s="20" t="s">
        <v>428</v>
      </c>
      <c r="D1112" s="21"/>
    </row>
    <row r="1113" spans="1:4" ht="12.75" customHeight="1" x14ac:dyDescent="0.2">
      <c r="A1113" s="21"/>
      <c r="B1113" s="3" t="s">
        <v>11</v>
      </c>
      <c r="C1113" s="20" t="s">
        <v>429</v>
      </c>
      <c r="D1113" s="21"/>
    </row>
    <row r="1114" spans="1:4" ht="12.75" customHeight="1" x14ac:dyDescent="0.2">
      <c r="A1114" s="21"/>
      <c r="B1114" s="3" t="s">
        <v>13</v>
      </c>
      <c r="C1114" s="20" t="s">
        <v>24</v>
      </c>
      <c r="D1114" s="21"/>
    </row>
    <row r="1115" spans="1:4" ht="12.75" customHeight="1" x14ac:dyDescent="0.2">
      <c r="A1115" s="21"/>
      <c r="B1115" s="3" t="s">
        <v>15</v>
      </c>
      <c r="C1115" s="20" t="s">
        <v>14</v>
      </c>
      <c r="D1115" s="21"/>
    </row>
    <row r="1116" spans="1:4" ht="12.75" customHeight="1" x14ac:dyDescent="0.2">
      <c r="A1116" s="21"/>
      <c r="B1116" s="3" t="s">
        <v>16</v>
      </c>
      <c r="C1116" s="20"/>
      <c r="D1116" s="21"/>
    </row>
    <row r="1117" spans="1:4" ht="12.75" customHeight="1" x14ac:dyDescent="0.2">
      <c r="A1117" s="21"/>
      <c r="B1117" s="3" t="s">
        <v>17</v>
      </c>
      <c r="C1117" s="20"/>
      <c r="D1117" s="21"/>
    </row>
    <row r="1118" spans="1:4" ht="12.75" customHeight="1" x14ac:dyDescent="0.2">
      <c r="A1118" s="21"/>
      <c r="B1118" s="20" t="s">
        <v>18</v>
      </c>
      <c r="C1118" s="4" t="s">
        <v>44</v>
      </c>
      <c r="D1118" s="6" t="str">
        <f>HYPERLINK("javascript:void(0)","skivei buzogány")</f>
        <v>skivei buzogány</v>
      </c>
    </row>
    <row r="1119" spans="1:4" ht="12.75" customHeight="1" x14ac:dyDescent="0.2">
      <c r="A1119" s="21"/>
      <c r="B1119" s="21"/>
      <c r="C1119" s="4" t="s">
        <v>68</v>
      </c>
      <c r="D1119" s="6" t="str">
        <f>HYPERLINK("javascript:void(0)","nyenyere nyak")</f>
        <v>nyenyere nyak</v>
      </c>
    </row>
    <row r="1120" spans="1:4" ht="12.75" customHeight="1" x14ac:dyDescent="0.2">
      <c r="A1120" s="21"/>
      <c r="B1120" s="21"/>
      <c r="C1120" s="4" t="s">
        <v>117</v>
      </c>
      <c r="D1120" s="6" t="str">
        <f>HYPERLINK("javascript:void(0)","nyonyóc fog")</f>
        <v>nyonyóc fog</v>
      </c>
    </row>
    <row r="1121" spans="1:4" ht="12.75" customHeight="1" x14ac:dyDescent="0.2">
      <c r="A1121" s="5"/>
      <c r="B1121" s="2"/>
      <c r="C1121" s="2"/>
      <c r="D1121" s="2"/>
    </row>
    <row r="1122" spans="1:4" ht="12.75" customHeight="1" x14ac:dyDescent="0.2">
      <c r="A1122" s="22" t="str">
        <f>HYPERLINK("javascript:void(0)","hidracél kalapács")</f>
        <v>hidracél kalapács</v>
      </c>
      <c r="B1122" s="21"/>
      <c r="C1122" s="21"/>
      <c r="D1122" s="21"/>
    </row>
    <row r="1123" spans="1:4" ht="12.75" customHeight="1" x14ac:dyDescent="0.2">
      <c r="A1123" s="20"/>
      <c r="B1123" s="2"/>
      <c r="C1123" s="2"/>
      <c r="D1123" s="2"/>
    </row>
    <row r="1124" spans="1:4" ht="12.75" customHeight="1" x14ac:dyDescent="0.2">
      <c r="A1124" s="21"/>
      <c r="B1124" s="3" t="s">
        <v>0</v>
      </c>
      <c r="C1124" s="20" t="s">
        <v>159</v>
      </c>
      <c r="D1124" s="21"/>
    </row>
    <row r="1125" spans="1:4" ht="12.75" customHeight="1" x14ac:dyDescent="0.2">
      <c r="A1125" s="21"/>
      <c r="B1125" s="3" t="s">
        <v>2</v>
      </c>
      <c r="C1125" s="20" t="s">
        <v>122</v>
      </c>
      <c r="D1125" s="21"/>
    </row>
    <row r="1126" spans="1:4" ht="12.75" customHeight="1" x14ac:dyDescent="0.2">
      <c r="A1126" s="21"/>
      <c r="B1126" s="3" t="s">
        <v>4</v>
      </c>
      <c r="C1126" s="20" t="s">
        <v>432</v>
      </c>
      <c r="D1126" s="21"/>
    </row>
    <row r="1127" spans="1:4" ht="12.75" customHeight="1" x14ac:dyDescent="0.2">
      <c r="A1127" s="21"/>
      <c r="B1127" s="3" t="s">
        <v>6</v>
      </c>
      <c r="C1127" s="20" t="s">
        <v>178</v>
      </c>
      <c r="D1127" s="21"/>
    </row>
    <row r="1128" spans="1:4" ht="12.75" customHeight="1" x14ac:dyDescent="0.2">
      <c r="A1128" s="21"/>
      <c r="B1128" s="3" t="s">
        <v>8</v>
      </c>
      <c r="C1128" s="20" t="s">
        <v>432</v>
      </c>
      <c r="D1128" s="21"/>
    </row>
    <row r="1129" spans="1:4" ht="12.75" customHeight="1" x14ac:dyDescent="0.2">
      <c r="A1129" s="21"/>
      <c r="B1129" s="3" t="s">
        <v>9</v>
      </c>
      <c r="C1129" s="20" t="s">
        <v>433</v>
      </c>
      <c r="D1129" s="21"/>
    </row>
    <row r="1130" spans="1:4" ht="12.75" customHeight="1" x14ac:dyDescent="0.2">
      <c r="A1130" s="21"/>
      <c r="B1130" s="3" t="s">
        <v>11</v>
      </c>
      <c r="C1130" s="20" t="s">
        <v>434</v>
      </c>
      <c r="D1130" s="21"/>
    </row>
    <row r="1131" spans="1:4" ht="12.75" customHeight="1" x14ac:dyDescent="0.2">
      <c r="A1131" s="21"/>
      <c r="B1131" s="3" t="s">
        <v>13</v>
      </c>
      <c r="C1131" s="20" t="s">
        <v>14</v>
      </c>
      <c r="D1131" s="21"/>
    </row>
    <row r="1132" spans="1:4" ht="12.75" customHeight="1" x14ac:dyDescent="0.2">
      <c r="A1132" s="21"/>
      <c r="B1132" s="3" t="s">
        <v>15</v>
      </c>
      <c r="C1132" s="20" t="s">
        <v>24</v>
      </c>
      <c r="D1132" s="21"/>
    </row>
    <row r="1133" spans="1:4" ht="12.75" customHeight="1" x14ac:dyDescent="0.2">
      <c r="A1133" s="21"/>
      <c r="B1133" s="3" t="s">
        <v>16</v>
      </c>
      <c r="C1133" s="20"/>
      <c r="D1133" s="21"/>
    </row>
    <row r="1134" spans="1:4" ht="12.75" customHeight="1" x14ac:dyDescent="0.2">
      <c r="A1134" s="21"/>
      <c r="B1134" s="3" t="s">
        <v>17</v>
      </c>
      <c r="C1134" s="20"/>
      <c r="D1134" s="21"/>
    </row>
    <row r="1135" spans="1:4" ht="12.75" customHeight="1" x14ac:dyDescent="0.2">
      <c r="A1135" s="21"/>
      <c r="B1135" s="20" t="s">
        <v>18</v>
      </c>
      <c r="C1135" s="4" t="s">
        <v>44</v>
      </c>
      <c r="D1135" s="6" t="str">
        <f>HYPERLINK("javascript:void(0)","mengorni kalapács")</f>
        <v>mengorni kalapács</v>
      </c>
    </row>
    <row r="1136" spans="1:4" ht="12.75" customHeight="1" x14ac:dyDescent="0.2">
      <c r="A1136" s="21"/>
      <c r="B1136" s="21"/>
      <c r="C1136" s="4" t="s">
        <v>117</v>
      </c>
      <c r="D1136" s="6" t="str">
        <f>HYPERLINK("javascript:void(0)","szén-hidragén")</f>
        <v>szén-hidragén</v>
      </c>
    </row>
    <row r="1137" spans="1:4" ht="12.75" customHeight="1" x14ac:dyDescent="0.2">
      <c r="A1137" s="21"/>
      <c r="B1137" s="21"/>
      <c r="C1137" s="4" t="s">
        <v>438</v>
      </c>
      <c r="D1137" s="6" t="str">
        <f>HYPERLINK("javascript:void(0)","ezüst")</f>
        <v>ezüst</v>
      </c>
    </row>
    <row r="1138" spans="1:4" ht="12.75" customHeight="1" x14ac:dyDescent="0.2">
      <c r="A1138" s="5"/>
      <c r="B1138" s="2"/>
      <c r="C1138" s="2"/>
      <c r="D1138" s="2"/>
    </row>
    <row r="1139" spans="1:4" ht="12.75" customHeight="1" x14ac:dyDescent="0.2">
      <c r="A1139" s="22" t="str">
        <f>HYPERLINK("javascript:void(0)","dracoacél bunkó")</f>
        <v>dracoacél bunkó</v>
      </c>
      <c r="B1139" s="21"/>
      <c r="C1139" s="21"/>
      <c r="D1139" s="21"/>
    </row>
    <row r="1140" spans="1:4" ht="12.75" customHeight="1" x14ac:dyDescent="0.2">
      <c r="A1140" s="20"/>
      <c r="B1140" s="2"/>
      <c r="C1140" s="2"/>
      <c r="D1140" s="2"/>
    </row>
    <row r="1141" spans="1:4" ht="12.75" customHeight="1" x14ac:dyDescent="0.2">
      <c r="A1141" s="21"/>
      <c r="B1141" s="3" t="s">
        <v>0</v>
      </c>
      <c r="C1141" s="20" t="s">
        <v>159</v>
      </c>
      <c r="D1141" s="21"/>
    </row>
    <row r="1142" spans="1:4" ht="12.75" customHeight="1" x14ac:dyDescent="0.2">
      <c r="A1142" s="21"/>
      <c r="B1142" s="3" t="s">
        <v>2</v>
      </c>
      <c r="C1142" s="20" t="s">
        <v>122</v>
      </c>
      <c r="D1142" s="21"/>
    </row>
    <row r="1143" spans="1:4" ht="12.75" customHeight="1" x14ac:dyDescent="0.2">
      <c r="A1143" s="21"/>
      <c r="B1143" s="3" t="s">
        <v>4</v>
      </c>
      <c r="C1143" s="20" t="s">
        <v>175</v>
      </c>
      <c r="D1143" s="21"/>
    </row>
    <row r="1144" spans="1:4" ht="12.75" customHeight="1" x14ac:dyDescent="0.2">
      <c r="A1144" s="21"/>
      <c r="B1144" s="3" t="s">
        <v>6</v>
      </c>
      <c r="C1144" s="20" t="s">
        <v>206</v>
      </c>
      <c r="D1144" s="21"/>
    </row>
    <row r="1145" spans="1:4" ht="12.75" customHeight="1" x14ac:dyDescent="0.2">
      <c r="A1145" s="21"/>
      <c r="B1145" s="3" t="s">
        <v>8</v>
      </c>
      <c r="C1145" s="20" t="s">
        <v>175</v>
      </c>
      <c r="D1145" s="21"/>
    </row>
    <row r="1146" spans="1:4" ht="12.75" customHeight="1" x14ac:dyDescent="0.2">
      <c r="A1146" s="21"/>
      <c r="B1146" s="3" t="s">
        <v>9</v>
      </c>
      <c r="C1146" s="20" t="s">
        <v>428</v>
      </c>
      <c r="D1146" s="21"/>
    </row>
    <row r="1147" spans="1:4" ht="12.75" customHeight="1" x14ac:dyDescent="0.2">
      <c r="A1147" s="21"/>
      <c r="B1147" s="3" t="s">
        <v>11</v>
      </c>
      <c r="C1147" s="20" t="s">
        <v>444</v>
      </c>
      <c r="D1147" s="21"/>
    </row>
    <row r="1148" spans="1:4" ht="12.75" customHeight="1" x14ac:dyDescent="0.2">
      <c r="A1148" s="21"/>
      <c r="B1148" s="3" t="s">
        <v>13</v>
      </c>
      <c r="C1148" s="20" t="s">
        <v>24</v>
      </c>
      <c r="D1148" s="21"/>
    </row>
    <row r="1149" spans="1:4" ht="12.75" customHeight="1" x14ac:dyDescent="0.2">
      <c r="A1149" s="21"/>
      <c r="B1149" s="3" t="s">
        <v>15</v>
      </c>
      <c r="C1149" s="20" t="s">
        <v>24</v>
      </c>
      <c r="D1149" s="21"/>
    </row>
    <row r="1150" spans="1:4" ht="12.75" customHeight="1" x14ac:dyDescent="0.2">
      <c r="A1150" s="21"/>
      <c r="B1150" s="3" t="s">
        <v>16</v>
      </c>
      <c r="C1150" s="20"/>
      <c r="D1150" s="21"/>
    </row>
    <row r="1151" spans="1:4" ht="12.75" customHeight="1" x14ac:dyDescent="0.2">
      <c r="A1151" s="21"/>
      <c r="B1151" s="3" t="s">
        <v>17</v>
      </c>
      <c r="C1151" s="20"/>
      <c r="D1151" s="21"/>
    </row>
    <row r="1152" spans="1:4" ht="12.75" customHeight="1" x14ac:dyDescent="0.2">
      <c r="A1152" s="21"/>
      <c r="B1152" s="20" t="s">
        <v>18</v>
      </c>
      <c r="C1152" s="4" t="s">
        <v>44</v>
      </c>
      <c r="D1152" s="6" t="str">
        <f>HYPERLINK("javascript:void(0)","démonacél bunkó")</f>
        <v>démonacél bunkó</v>
      </c>
    </row>
    <row r="1153" spans="1:4" ht="12.75" customHeight="1" x14ac:dyDescent="0.2">
      <c r="A1153" s="21"/>
      <c r="B1153" s="21"/>
      <c r="C1153" s="4" t="s">
        <v>142</v>
      </c>
      <c r="D1153" s="6" t="str">
        <f>HYPERLINK("javascript:void(0)","sárkánykarom")</f>
        <v>sárkánykarom</v>
      </c>
    </row>
    <row r="1154" spans="1:4" ht="12.75" customHeight="1" x14ac:dyDescent="0.2">
      <c r="A1154" s="21"/>
      <c r="B1154" s="21"/>
      <c r="C1154" s="4" t="s">
        <v>68</v>
      </c>
      <c r="D1154" s="6" t="str">
        <f>HYPERLINK("javascript:void(0)","sárkányfog")</f>
        <v>sárkányfog</v>
      </c>
    </row>
    <row r="1155" spans="1:4" ht="12.75" customHeight="1" x14ac:dyDescent="0.2">
      <c r="A1155" s="5"/>
      <c r="B1155" s="2"/>
      <c r="C1155" s="2"/>
      <c r="D1155" s="2"/>
    </row>
    <row r="1156" spans="1:4" ht="12.75" customHeight="1" x14ac:dyDescent="0.2">
      <c r="A1156" s="22" t="str">
        <f>HYPERLINK("javascript:void(0)","csillagbunkó")</f>
        <v>csillagbunkó</v>
      </c>
      <c r="B1156" s="21"/>
      <c r="C1156" s="21"/>
      <c r="D1156" s="21"/>
    </row>
    <row r="1157" spans="1:4" ht="12.75" customHeight="1" x14ac:dyDescent="0.2">
      <c r="A1157" s="20"/>
      <c r="B1157" s="2"/>
      <c r="C1157" s="2"/>
      <c r="D1157" s="2"/>
    </row>
    <row r="1158" spans="1:4" ht="12.75" customHeight="1" x14ac:dyDescent="0.2">
      <c r="A1158" s="21"/>
      <c r="B1158" s="3" t="s">
        <v>0</v>
      </c>
      <c r="C1158" s="20" t="s">
        <v>153</v>
      </c>
      <c r="D1158" s="21"/>
    </row>
    <row r="1159" spans="1:4" ht="12.75" customHeight="1" x14ac:dyDescent="0.2">
      <c r="A1159" s="21"/>
      <c r="B1159" s="3" t="s">
        <v>2</v>
      </c>
      <c r="C1159" s="20" t="s">
        <v>122</v>
      </c>
      <c r="D1159" s="21"/>
    </row>
    <row r="1160" spans="1:4" ht="12.75" customHeight="1" x14ac:dyDescent="0.2">
      <c r="A1160" s="21"/>
      <c r="B1160" s="3" t="s">
        <v>4</v>
      </c>
      <c r="C1160" s="20" t="s">
        <v>448</v>
      </c>
      <c r="D1160" s="21"/>
    </row>
    <row r="1161" spans="1:4" ht="12.75" customHeight="1" x14ac:dyDescent="0.2">
      <c r="A1161" s="21"/>
      <c r="B1161" s="3" t="s">
        <v>6</v>
      </c>
      <c r="C1161" s="20" t="s">
        <v>127</v>
      </c>
      <c r="D1161" s="21"/>
    </row>
    <row r="1162" spans="1:4" ht="12.75" customHeight="1" x14ac:dyDescent="0.2">
      <c r="A1162" s="21"/>
      <c r="B1162" s="3" t="s">
        <v>8</v>
      </c>
      <c r="C1162" s="20" t="s">
        <v>448</v>
      </c>
      <c r="D1162" s="21"/>
    </row>
    <row r="1163" spans="1:4" ht="12.75" customHeight="1" x14ac:dyDescent="0.2">
      <c r="A1163" s="21"/>
      <c r="B1163" s="3" t="s">
        <v>9</v>
      </c>
      <c r="C1163" s="20" t="s">
        <v>249</v>
      </c>
      <c r="D1163" s="21"/>
    </row>
    <row r="1164" spans="1:4" ht="12.75" customHeight="1" x14ac:dyDescent="0.2">
      <c r="A1164" s="21"/>
      <c r="B1164" s="3" t="s">
        <v>11</v>
      </c>
      <c r="C1164" s="20" t="s">
        <v>449</v>
      </c>
      <c r="D1164" s="21"/>
    </row>
    <row r="1165" spans="1:4" ht="12.75" customHeight="1" x14ac:dyDescent="0.2">
      <c r="A1165" s="21"/>
      <c r="B1165" s="3" t="s">
        <v>13</v>
      </c>
      <c r="C1165" s="20" t="s">
        <v>14</v>
      </c>
      <c r="D1165" s="21"/>
    </row>
    <row r="1166" spans="1:4" ht="12.75" customHeight="1" x14ac:dyDescent="0.2">
      <c r="A1166" s="21"/>
      <c r="B1166" s="3" t="s">
        <v>15</v>
      </c>
      <c r="C1166" s="20" t="s">
        <v>14</v>
      </c>
      <c r="D1166" s="21"/>
    </row>
    <row r="1167" spans="1:4" ht="12.75" customHeight="1" x14ac:dyDescent="0.2">
      <c r="A1167" s="21"/>
      <c r="B1167" s="3" t="s">
        <v>16</v>
      </c>
      <c r="C1167" s="20"/>
      <c r="D1167" s="21"/>
    </row>
    <row r="1168" spans="1:4" ht="12.75" customHeight="1" x14ac:dyDescent="0.2">
      <c r="A1168" s="21"/>
      <c r="B1168" s="3" t="s">
        <v>17</v>
      </c>
      <c r="C1168" s="20"/>
      <c r="D1168" s="21"/>
    </row>
    <row r="1169" spans="1:4" ht="12.75" customHeight="1" x14ac:dyDescent="0.2">
      <c r="A1169" s="21"/>
      <c r="B1169" s="20" t="s">
        <v>18</v>
      </c>
      <c r="C1169" s="4" t="s">
        <v>44</v>
      </c>
      <c r="D1169" s="6" t="str">
        <f>HYPERLINK("javascript:void(0)","lávabunkó")</f>
        <v>lávabunkó</v>
      </c>
    </row>
    <row r="1170" spans="1:4" ht="12.75" customHeight="1" x14ac:dyDescent="0.2">
      <c r="A1170" s="21"/>
      <c r="B1170" s="21"/>
      <c r="C1170" s="4" t="s">
        <v>56</v>
      </c>
      <c r="D1170" s="6" t="str">
        <f>HYPERLINK("javascript:void(0)","gyémánt")</f>
        <v>gyémánt</v>
      </c>
    </row>
    <row r="1171" spans="1:4" ht="12.75" customHeight="1" x14ac:dyDescent="0.2">
      <c r="A1171" s="21"/>
      <c r="B1171" s="21"/>
      <c r="C1171" s="4" t="s">
        <v>68</v>
      </c>
      <c r="D1171" s="6" t="str">
        <f>HYPERLINK("javascript:void(0)","kristályfolyadék")</f>
        <v>kristályfolyadék</v>
      </c>
    </row>
    <row r="1172" spans="1:4" ht="12.75" customHeight="1" x14ac:dyDescent="0.2">
      <c r="A1172" s="5"/>
      <c r="B1172" s="2"/>
      <c r="C1172" s="2"/>
      <c r="D1172" s="2"/>
    </row>
    <row r="1173" spans="1:4" ht="12.75" customHeight="1" x14ac:dyDescent="0.2">
      <c r="A1173" s="22" t="str">
        <f>HYPERLINK("javascript:void(0)","voodoo-kalapács")</f>
        <v>voodoo-kalapács</v>
      </c>
      <c r="B1173" s="21"/>
      <c r="C1173" s="21"/>
      <c r="D1173" s="21"/>
    </row>
    <row r="1174" spans="1:4" ht="12.75" customHeight="1" x14ac:dyDescent="0.2">
      <c r="A1174" s="20"/>
      <c r="B1174" s="2"/>
      <c r="C1174" s="2"/>
      <c r="D1174" s="2"/>
    </row>
    <row r="1175" spans="1:4" ht="12.75" customHeight="1" x14ac:dyDescent="0.2">
      <c r="A1175" s="21"/>
      <c r="B1175" s="3" t="s">
        <v>0</v>
      </c>
      <c r="C1175" s="20" t="s">
        <v>153</v>
      </c>
      <c r="D1175" s="21"/>
    </row>
    <row r="1176" spans="1:4" ht="12.75" customHeight="1" x14ac:dyDescent="0.2">
      <c r="A1176" s="21"/>
      <c r="B1176" s="3" t="s">
        <v>2</v>
      </c>
      <c r="C1176" s="20" t="s">
        <v>122</v>
      </c>
      <c r="D1176" s="21"/>
    </row>
    <row r="1177" spans="1:4" ht="12.75" customHeight="1" x14ac:dyDescent="0.2">
      <c r="A1177" s="21"/>
      <c r="B1177" s="3" t="s">
        <v>4</v>
      </c>
      <c r="C1177" s="20" t="s">
        <v>171</v>
      </c>
      <c r="D1177" s="21"/>
    </row>
    <row r="1178" spans="1:4" ht="12.75" customHeight="1" x14ac:dyDescent="0.2">
      <c r="A1178" s="21"/>
      <c r="B1178" s="3" t="s">
        <v>6</v>
      </c>
      <c r="C1178" s="20" t="s">
        <v>118</v>
      </c>
      <c r="D1178" s="21"/>
    </row>
    <row r="1179" spans="1:4" ht="12.75" customHeight="1" x14ac:dyDescent="0.2">
      <c r="A1179" s="21"/>
      <c r="B1179" s="3" t="s">
        <v>8</v>
      </c>
      <c r="C1179" s="20" t="s">
        <v>171</v>
      </c>
      <c r="D1179" s="21"/>
    </row>
    <row r="1180" spans="1:4" ht="12.75" customHeight="1" x14ac:dyDescent="0.2">
      <c r="A1180" s="21"/>
      <c r="B1180" s="3" t="s">
        <v>9</v>
      </c>
      <c r="C1180" s="20" t="s">
        <v>129</v>
      </c>
      <c r="D1180" s="21"/>
    </row>
    <row r="1181" spans="1:4" ht="12.75" customHeight="1" x14ac:dyDescent="0.2">
      <c r="A1181" s="21"/>
      <c r="B1181" s="3" t="s">
        <v>11</v>
      </c>
      <c r="C1181" s="20" t="s">
        <v>168</v>
      </c>
      <c r="D1181" s="21"/>
    </row>
    <row r="1182" spans="1:4" ht="12.75" customHeight="1" x14ac:dyDescent="0.2">
      <c r="A1182" s="21"/>
      <c r="B1182" s="3" t="s">
        <v>13</v>
      </c>
      <c r="C1182" s="20" t="s">
        <v>24</v>
      </c>
      <c r="D1182" s="21"/>
    </row>
    <row r="1183" spans="1:4" ht="12.75" customHeight="1" x14ac:dyDescent="0.2">
      <c r="A1183" s="21"/>
      <c r="B1183" s="3" t="s">
        <v>15</v>
      </c>
      <c r="C1183" s="20" t="s">
        <v>14</v>
      </c>
      <c r="D1183" s="21"/>
    </row>
    <row r="1184" spans="1:4" ht="12.75" customHeight="1" x14ac:dyDescent="0.2">
      <c r="A1184" s="21"/>
      <c r="B1184" s="3" t="s">
        <v>16</v>
      </c>
      <c r="C1184" s="20"/>
      <c r="D1184" s="21"/>
    </row>
    <row r="1185" spans="1:4" ht="12.75" customHeight="1" x14ac:dyDescent="0.2">
      <c r="A1185" s="21"/>
      <c r="B1185" s="3" t="s">
        <v>17</v>
      </c>
      <c r="C1185" s="20"/>
      <c r="D1185" s="21"/>
    </row>
    <row r="1186" spans="1:4" ht="12.75" customHeight="1" x14ac:dyDescent="0.2">
      <c r="A1186" s="21"/>
      <c r="B1186" s="20" t="s">
        <v>18</v>
      </c>
      <c r="C1186" s="4" t="s">
        <v>44</v>
      </c>
      <c r="D1186" s="6" t="str">
        <f>HYPERLINK("javascript:void(0)","vámpírkalapács")</f>
        <v>vámpírkalapács</v>
      </c>
    </row>
    <row r="1187" spans="1:4" ht="12.75" customHeight="1" x14ac:dyDescent="0.2">
      <c r="A1187" s="21"/>
      <c r="B1187" s="21"/>
      <c r="C1187" s="4" t="s">
        <v>132</v>
      </c>
      <c r="D1187" s="6" t="str">
        <f>HYPERLINK("javascript:void(0)","oroszlánbajusz")</f>
        <v>oroszlánbajusz</v>
      </c>
    </row>
    <row r="1188" spans="1:4" ht="12.75" customHeight="1" x14ac:dyDescent="0.2">
      <c r="A1188" s="21"/>
      <c r="B1188" s="21"/>
      <c r="C1188" s="4" t="s">
        <v>55</v>
      </c>
      <c r="D1188" s="6" t="str">
        <f>HYPERLINK("javascript:void(0)","bulldogbendő")</f>
        <v>bulldogbendő</v>
      </c>
    </row>
    <row r="1189" spans="1:4" ht="12.75" customHeight="1" x14ac:dyDescent="0.2">
      <c r="A1189" s="5"/>
      <c r="B1189" s="2"/>
      <c r="C1189" s="2"/>
      <c r="D1189" s="2"/>
    </row>
    <row r="1190" spans="1:4" ht="12.75" customHeight="1" x14ac:dyDescent="0.2">
      <c r="A1190" s="22" t="str">
        <f>HYPERLINK("javascript:void(0)","gyémántbunkó")</f>
        <v>gyémántbunkó</v>
      </c>
      <c r="B1190" s="21"/>
      <c r="C1190" s="21"/>
      <c r="D1190" s="21"/>
    </row>
    <row r="1191" spans="1:4" ht="12.75" customHeight="1" x14ac:dyDescent="0.2">
      <c r="A1191" s="20"/>
      <c r="B1191" s="2"/>
      <c r="C1191" s="2"/>
      <c r="D1191" s="2"/>
    </row>
    <row r="1192" spans="1:4" ht="12.75" customHeight="1" x14ac:dyDescent="0.2">
      <c r="A1192" s="21"/>
      <c r="B1192" s="3" t="s">
        <v>0</v>
      </c>
      <c r="C1192" s="20" t="s">
        <v>153</v>
      </c>
      <c r="D1192" s="21"/>
    </row>
    <row r="1193" spans="1:4" ht="12.75" customHeight="1" x14ac:dyDescent="0.2">
      <c r="A1193" s="21"/>
      <c r="B1193" s="3" t="s">
        <v>2</v>
      </c>
      <c r="C1193" s="20" t="s">
        <v>122</v>
      </c>
      <c r="D1193" s="21"/>
    </row>
    <row r="1194" spans="1:4" ht="12.75" customHeight="1" x14ac:dyDescent="0.2">
      <c r="A1194" s="21"/>
      <c r="B1194" s="3" t="s">
        <v>4</v>
      </c>
      <c r="C1194" s="20" t="s">
        <v>455</v>
      </c>
      <c r="D1194" s="21"/>
    </row>
    <row r="1195" spans="1:4" ht="12.75" customHeight="1" x14ac:dyDescent="0.2">
      <c r="A1195" s="21"/>
      <c r="B1195" s="3" t="s">
        <v>6</v>
      </c>
      <c r="C1195" s="20" t="s">
        <v>48</v>
      </c>
      <c r="D1195" s="21"/>
    </row>
    <row r="1196" spans="1:4" ht="12.75" customHeight="1" x14ac:dyDescent="0.2">
      <c r="A1196" s="21"/>
      <c r="B1196" s="3" t="s">
        <v>8</v>
      </c>
      <c r="C1196" s="20" t="s">
        <v>455</v>
      </c>
      <c r="D1196" s="21"/>
    </row>
    <row r="1197" spans="1:4" ht="12.75" customHeight="1" x14ac:dyDescent="0.2">
      <c r="A1197" s="21"/>
      <c r="B1197" s="3" t="s">
        <v>9</v>
      </c>
      <c r="C1197" s="20" t="s">
        <v>75</v>
      </c>
      <c r="D1197" s="21"/>
    </row>
    <row r="1198" spans="1:4" ht="12.75" customHeight="1" x14ac:dyDescent="0.2">
      <c r="A1198" s="21"/>
      <c r="B1198" s="3" t="s">
        <v>11</v>
      </c>
      <c r="C1198" s="20" t="s">
        <v>457</v>
      </c>
      <c r="D1198" s="21"/>
    </row>
    <row r="1199" spans="1:4" ht="12.75" customHeight="1" x14ac:dyDescent="0.2">
      <c r="A1199" s="21"/>
      <c r="B1199" s="3" t="s">
        <v>13</v>
      </c>
      <c r="C1199" s="20" t="s">
        <v>24</v>
      </c>
      <c r="D1199" s="21"/>
    </row>
    <row r="1200" spans="1:4" ht="12.75" customHeight="1" x14ac:dyDescent="0.2">
      <c r="A1200" s="21"/>
      <c r="B1200" s="3" t="s">
        <v>15</v>
      </c>
      <c r="C1200" s="20" t="s">
        <v>24</v>
      </c>
      <c r="D1200" s="21"/>
    </row>
    <row r="1201" spans="1:4" ht="12.75" customHeight="1" x14ac:dyDescent="0.2">
      <c r="A1201" s="21"/>
      <c r="B1201" s="3" t="s">
        <v>16</v>
      </c>
      <c r="C1201" s="20"/>
      <c r="D1201" s="21"/>
    </row>
    <row r="1202" spans="1:4" ht="12.75" customHeight="1" x14ac:dyDescent="0.2">
      <c r="A1202" s="21"/>
      <c r="B1202" s="3" t="s">
        <v>17</v>
      </c>
      <c r="C1202" s="20"/>
      <c r="D1202" s="21"/>
    </row>
    <row r="1203" spans="1:4" ht="12.75" customHeight="1" x14ac:dyDescent="0.2">
      <c r="A1203" s="21"/>
      <c r="B1203" s="20" t="s">
        <v>18</v>
      </c>
      <c r="C1203" s="4" t="s">
        <v>44</v>
      </c>
      <c r="D1203" s="6" t="str">
        <f>HYPERLINK("javascript:void(0)","napdorong")</f>
        <v>napdorong</v>
      </c>
    </row>
    <row r="1204" spans="1:4" ht="12.75" customHeight="1" x14ac:dyDescent="0.2">
      <c r="A1204" s="21"/>
      <c r="B1204" s="21"/>
      <c r="C1204" s="4" t="s">
        <v>56</v>
      </c>
      <c r="D1204" s="6" t="str">
        <f>HYPERLINK("javascript:void(0)","gyémánt")</f>
        <v>gyémánt</v>
      </c>
    </row>
    <row r="1205" spans="1:4" ht="12.75" customHeight="1" x14ac:dyDescent="0.2">
      <c r="A1205" s="21"/>
      <c r="B1205" s="21"/>
      <c r="C1205" s="4" t="s">
        <v>142</v>
      </c>
      <c r="D1205" s="6" t="str">
        <f>HYPERLINK("javascript:void(0)","kristályfolyadék")</f>
        <v>kristályfolyadék</v>
      </c>
    </row>
    <row r="1206" spans="1:4" ht="12.75" customHeight="1" x14ac:dyDescent="0.2">
      <c r="A1206" s="5"/>
      <c r="B1206" s="2"/>
      <c r="C1206" s="2"/>
      <c r="D1206" s="2"/>
    </row>
    <row r="1207" spans="1:4" ht="12.75" customHeight="1" x14ac:dyDescent="0.2">
      <c r="A1207" s="22" t="str">
        <f>HYPERLINK("javascript:void(0)","démonacél kalapács")</f>
        <v>démonacél kalapács</v>
      </c>
      <c r="B1207" s="21"/>
      <c r="C1207" s="21"/>
      <c r="D1207" s="21"/>
    </row>
    <row r="1208" spans="1:4" ht="12.75" customHeight="1" x14ac:dyDescent="0.2">
      <c r="A1208" s="20"/>
      <c r="B1208" s="2"/>
      <c r="C1208" s="2"/>
      <c r="D1208" s="2"/>
    </row>
    <row r="1209" spans="1:4" ht="12.75" customHeight="1" x14ac:dyDescent="0.2">
      <c r="A1209" s="21"/>
      <c r="B1209" s="3" t="s">
        <v>0</v>
      </c>
      <c r="C1209" s="20" t="s">
        <v>153</v>
      </c>
      <c r="D1209" s="21"/>
    </row>
    <row r="1210" spans="1:4" ht="12.75" customHeight="1" x14ac:dyDescent="0.2">
      <c r="A1210" s="21"/>
      <c r="B1210" s="3" t="s">
        <v>2</v>
      </c>
      <c r="C1210" s="20" t="s">
        <v>122</v>
      </c>
      <c r="D1210" s="21"/>
    </row>
    <row r="1211" spans="1:4" ht="12.75" customHeight="1" x14ac:dyDescent="0.2">
      <c r="A1211" s="21"/>
      <c r="B1211" s="3" t="s">
        <v>4</v>
      </c>
      <c r="C1211" s="20" t="s">
        <v>459</v>
      </c>
      <c r="D1211" s="21"/>
    </row>
    <row r="1212" spans="1:4" ht="12.75" customHeight="1" x14ac:dyDescent="0.2">
      <c r="A1212" s="21"/>
      <c r="B1212" s="3" t="s">
        <v>6</v>
      </c>
      <c r="C1212" s="20" t="s">
        <v>324</v>
      </c>
      <c r="D1212" s="21"/>
    </row>
    <row r="1213" spans="1:4" ht="12.75" customHeight="1" x14ac:dyDescent="0.2">
      <c r="A1213" s="21"/>
      <c r="B1213" s="3" t="s">
        <v>8</v>
      </c>
      <c r="C1213" s="20" t="s">
        <v>459</v>
      </c>
      <c r="D1213" s="21"/>
    </row>
    <row r="1214" spans="1:4" ht="12.75" customHeight="1" x14ac:dyDescent="0.2">
      <c r="A1214" s="21"/>
      <c r="B1214" s="3" t="s">
        <v>9</v>
      </c>
      <c r="C1214" s="20" t="s">
        <v>462</v>
      </c>
      <c r="D1214" s="21"/>
    </row>
    <row r="1215" spans="1:4" ht="12.75" customHeight="1" x14ac:dyDescent="0.2">
      <c r="A1215" s="21"/>
      <c r="B1215" s="3" t="s">
        <v>11</v>
      </c>
      <c r="C1215" s="20" t="s">
        <v>463</v>
      </c>
      <c r="D1215" s="21"/>
    </row>
    <row r="1216" spans="1:4" ht="12.75" customHeight="1" x14ac:dyDescent="0.2">
      <c r="A1216" s="21"/>
      <c r="B1216" s="3" t="s">
        <v>13</v>
      </c>
      <c r="C1216" s="20" t="s">
        <v>24</v>
      </c>
      <c r="D1216" s="21"/>
    </row>
    <row r="1217" spans="1:4" ht="12.75" customHeight="1" x14ac:dyDescent="0.2">
      <c r="A1217" s="21"/>
      <c r="B1217" s="3" t="s">
        <v>15</v>
      </c>
      <c r="C1217" s="20" t="s">
        <v>14</v>
      </c>
      <c r="D1217" s="21"/>
    </row>
    <row r="1218" spans="1:4" ht="12.75" customHeight="1" x14ac:dyDescent="0.2">
      <c r="A1218" s="21"/>
      <c r="B1218" s="3" t="s">
        <v>16</v>
      </c>
      <c r="C1218" s="20"/>
      <c r="D1218" s="21"/>
    </row>
    <row r="1219" spans="1:4" ht="12.75" customHeight="1" x14ac:dyDescent="0.2">
      <c r="A1219" s="21"/>
      <c r="B1219" s="3" t="s">
        <v>17</v>
      </c>
      <c r="C1219" s="20"/>
      <c r="D1219" s="21"/>
    </row>
    <row r="1220" spans="1:4" ht="12.75" customHeight="1" x14ac:dyDescent="0.2">
      <c r="A1220" s="21"/>
      <c r="B1220" s="20" t="s">
        <v>18</v>
      </c>
      <c r="C1220" s="4" t="s">
        <v>56</v>
      </c>
      <c r="D1220" s="6" t="str">
        <f>HYPERLINK("javascript:void(0)","vámpírkalapács")</f>
        <v>vámpírkalapács</v>
      </c>
    </row>
    <row r="1221" spans="1:4" ht="12.75" customHeight="1" x14ac:dyDescent="0.2">
      <c r="A1221" s="21"/>
      <c r="B1221" s="21"/>
      <c r="C1221" s="4" t="s">
        <v>57</v>
      </c>
      <c r="D1221" s="6" t="str">
        <f>HYPERLINK("javascript:void(0)","dadacsiganyál")</f>
        <v>dadacsiganyál</v>
      </c>
    </row>
    <row r="1222" spans="1:4" ht="12.75" customHeight="1" x14ac:dyDescent="0.2">
      <c r="A1222" s="21"/>
      <c r="B1222" s="21"/>
      <c r="C1222" s="4" t="s">
        <v>117</v>
      </c>
      <c r="D1222" s="6" t="str">
        <f>HYPERLINK("javascript:void(0)","démoncsőr")</f>
        <v>démoncsőr</v>
      </c>
    </row>
    <row r="1223" spans="1:4" ht="12.75" customHeight="1" x14ac:dyDescent="0.2">
      <c r="A1223" s="5"/>
      <c r="B1223" s="2"/>
      <c r="C1223" s="2"/>
      <c r="D1223" s="2"/>
    </row>
    <row r="1224" spans="1:4" ht="12.75" customHeight="1" x14ac:dyDescent="0.2">
      <c r="A1224" s="22" t="str">
        <f>HYPERLINK("javascript:void(0)","dracoacél dorong")</f>
        <v>dracoacél dorong</v>
      </c>
      <c r="B1224" s="21"/>
      <c r="C1224" s="21"/>
      <c r="D1224" s="21"/>
    </row>
    <row r="1225" spans="1:4" ht="12.75" customHeight="1" x14ac:dyDescent="0.2">
      <c r="A1225" s="20"/>
      <c r="B1225" s="2"/>
      <c r="C1225" s="2"/>
      <c r="D1225" s="2"/>
    </row>
    <row r="1226" spans="1:4" ht="12.75" customHeight="1" x14ac:dyDescent="0.2">
      <c r="A1226" s="21"/>
      <c r="B1226" s="3" t="s">
        <v>0</v>
      </c>
      <c r="C1226" s="20" t="s">
        <v>153</v>
      </c>
      <c r="D1226" s="21"/>
    </row>
    <row r="1227" spans="1:4" ht="12.75" customHeight="1" x14ac:dyDescent="0.2">
      <c r="A1227" s="21"/>
      <c r="B1227" s="3" t="s">
        <v>2</v>
      </c>
      <c r="C1227" s="20" t="s">
        <v>122</v>
      </c>
      <c r="D1227" s="21"/>
    </row>
    <row r="1228" spans="1:4" ht="12.75" customHeight="1" x14ac:dyDescent="0.2">
      <c r="A1228" s="21"/>
      <c r="B1228" s="3" t="s">
        <v>4</v>
      </c>
      <c r="C1228" s="20" t="s">
        <v>426</v>
      </c>
      <c r="D1228" s="21"/>
    </row>
    <row r="1229" spans="1:4" ht="12.75" customHeight="1" x14ac:dyDescent="0.2">
      <c r="A1229" s="21"/>
      <c r="B1229" s="3" t="s">
        <v>6</v>
      </c>
      <c r="C1229" s="20" t="s">
        <v>298</v>
      </c>
      <c r="D1229" s="21"/>
    </row>
    <row r="1230" spans="1:4" ht="12.75" customHeight="1" x14ac:dyDescent="0.2">
      <c r="A1230" s="21"/>
      <c r="B1230" s="3" t="s">
        <v>8</v>
      </c>
      <c r="C1230" s="20" t="s">
        <v>426</v>
      </c>
      <c r="D1230" s="21"/>
    </row>
    <row r="1231" spans="1:4" ht="12.75" customHeight="1" x14ac:dyDescent="0.2">
      <c r="A1231" s="21"/>
      <c r="B1231" s="3" t="s">
        <v>9</v>
      </c>
      <c r="C1231" s="20" t="s">
        <v>131</v>
      </c>
      <c r="D1231" s="21"/>
    </row>
    <row r="1232" spans="1:4" ht="12.75" customHeight="1" x14ac:dyDescent="0.2">
      <c r="A1232" s="21"/>
      <c r="B1232" s="3" t="s">
        <v>11</v>
      </c>
      <c r="C1232" s="20" t="s">
        <v>467</v>
      </c>
      <c r="D1232" s="21"/>
    </row>
    <row r="1233" spans="1:4" ht="12.75" customHeight="1" x14ac:dyDescent="0.2">
      <c r="A1233" s="21"/>
      <c r="B1233" s="3" t="s">
        <v>13</v>
      </c>
      <c r="C1233" s="20" t="s">
        <v>24</v>
      </c>
      <c r="D1233" s="21"/>
    </row>
    <row r="1234" spans="1:4" ht="12.75" customHeight="1" x14ac:dyDescent="0.2">
      <c r="A1234" s="21"/>
      <c r="B1234" s="3" t="s">
        <v>15</v>
      </c>
      <c r="C1234" s="20" t="s">
        <v>24</v>
      </c>
      <c r="D1234" s="21"/>
    </row>
    <row r="1235" spans="1:4" ht="12.75" customHeight="1" x14ac:dyDescent="0.2">
      <c r="A1235" s="21"/>
      <c r="B1235" s="3" t="s">
        <v>16</v>
      </c>
      <c r="C1235" s="20"/>
      <c r="D1235" s="21"/>
    </row>
    <row r="1236" spans="1:4" ht="12.75" customHeight="1" x14ac:dyDescent="0.2">
      <c r="A1236" s="21"/>
      <c r="B1236" s="3" t="s">
        <v>17</v>
      </c>
      <c r="C1236" s="20"/>
      <c r="D1236" s="21"/>
    </row>
    <row r="1237" spans="1:4" ht="12.75" customHeight="1" x14ac:dyDescent="0.2">
      <c r="A1237" s="21"/>
      <c r="B1237" s="20" t="s">
        <v>18</v>
      </c>
      <c r="C1237" s="4" t="s">
        <v>44</v>
      </c>
      <c r="D1237" s="6" t="str">
        <f>HYPERLINK("javascript:void(0)","démonacél dorong")</f>
        <v>démonacél dorong</v>
      </c>
    </row>
    <row r="1238" spans="1:4" ht="12.75" customHeight="1" x14ac:dyDescent="0.2">
      <c r="A1238" s="21"/>
      <c r="B1238" s="21"/>
      <c r="C1238" s="4" t="s">
        <v>67</v>
      </c>
      <c r="D1238" s="6" t="str">
        <f>HYPERLINK("javascript:void(0)","sárkánypikkely")</f>
        <v>sárkánypikkely</v>
      </c>
    </row>
    <row r="1239" spans="1:4" ht="12.75" customHeight="1" x14ac:dyDescent="0.2">
      <c r="A1239" s="21"/>
      <c r="B1239" s="21"/>
      <c r="C1239" s="4" t="s">
        <v>232</v>
      </c>
      <c r="D1239" s="6" t="str">
        <f>HYPERLINK("javascript:void(0)","sárkányfog")</f>
        <v>sárkányfog</v>
      </c>
    </row>
    <row r="1240" spans="1:4" ht="12.75" customHeight="1" x14ac:dyDescent="0.2">
      <c r="A1240" s="5"/>
      <c r="B1240" s="2"/>
      <c r="C1240" s="2"/>
      <c r="D1240" s="2"/>
    </row>
    <row r="1241" spans="1:4" ht="12.75" customHeight="1" x14ac:dyDescent="0.2">
      <c r="A1241" s="22" t="str">
        <f>HYPERLINK("javascript:void(0)","démonacél ballaszt")</f>
        <v>démonacél ballaszt</v>
      </c>
      <c r="B1241" s="21"/>
      <c r="C1241" s="21"/>
      <c r="D1241" s="21"/>
    </row>
    <row r="1242" spans="1:4" ht="12.75" customHeight="1" x14ac:dyDescent="0.2">
      <c r="A1242" s="20"/>
      <c r="B1242" s="2"/>
      <c r="C1242" s="2"/>
      <c r="D1242" s="2"/>
    </row>
    <row r="1243" spans="1:4" ht="12.75" customHeight="1" x14ac:dyDescent="0.2">
      <c r="A1243" s="21"/>
      <c r="B1243" s="3" t="s">
        <v>0</v>
      </c>
      <c r="C1243" s="20" t="s">
        <v>153</v>
      </c>
      <c r="D1243" s="21"/>
    </row>
    <row r="1244" spans="1:4" ht="12.75" customHeight="1" x14ac:dyDescent="0.2">
      <c r="A1244" s="21"/>
      <c r="B1244" s="3" t="s">
        <v>2</v>
      </c>
      <c r="C1244" s="20" t="s">
        <v>122</v>
      </c>
      <c r="D1244" s="21"/>
    </row>
    <row r="1245" spans="1:4" ht="12.75" customHeight="1" x14ac:dyDescent="0.2">
      <c r="A1245" s="21"/>
      <c r="B1245" s="3" t="s">
        <v>4</v>
      </c>
      <c r="C1245" s="20" t="s">
        <v>471</v>
      </c>
      <c r="D1245" s="21"/>
    </row>
    <row r="1246" spans="1:4" ht="12.75" customHeight="1" x14ac:dyDescent="0.2">
      <c r="A1246" s="21"/>
      <c r="B1246" s="3" t="s">
        <v>6</v>
      </c>
      <c r="C1246" s="20" t="s">
        <v>86</v>
      </c>
      <c r="D1246" s="21"/>
    </row>
    <row r="1247" spans="1:4" ht="12.75" customHeight="1" x14ac:dyDescent="0.2">
      <c r="A1247" s="21"/>
      <c r="B1247" s="3" t="s">
        <v>8</v>
      </c>
      <c r="C1247" s="20" t="s">
        <v>471</v>
      </c>
      <c r="D1247" s="21"/>
    </row>
    <row r="1248" spans="1:4" ht="12.75" customHeight="1" x14ac:dyDescent="0.2">
      <c r="A1248" s="21"/>
      <c r="B1248" s="3" t="s">
        <v>9</v>
      </c>
      <c r="C1248" s="20" t="s">
        <v>472</v>
      </c>
      <c r="D1248" s="21"/>
    </row>
    <row r="1249" spans="1:4" ht="12.75" customHeight="1" x14ac:dyDescent="0.2">
      <c r="A1249" s="21"/>
      <c r="B1249" s="3" t="s">
        <v>11</v>
      </c>
      <c r="C1249" s="20" t="s">
        <v>473</v>
      </c>
      <c r="D1249" s="21"/>
    </row>
    <row r="1250" spans="1:4" ht="12.75" customHeight="1" x14ac:dyDescent="0.2">
      <c r="A1250" s="21"/>
      <c r="B1250" s="3" t="s">
        <v>13</v>
      </c>
      <c r="C1250" s="20" t="s">
        <v>24</v>
      </c>
      <c r="D1250" s="21"/>
    </row>
    <row r="1251" spans="1:4" ht="12.75" customHeight="1" x14ac:dyDescent="0.2">
      <c r="A1251" s="21"/>
      <c r="B1251" s="3" t="s">
        <v>15</v>
      </c>
      <c r="C1251" s="20" t="s">
        <v>14</v>
      </c>
      <c r="D1251" s="21"/>
    </row>
    <row r="1252" spans="1:4" ht="12.75" customHeight="1" x14ac:dyDescent="0.2">
      <c r="A1252" s="21"/>
      <c r="B1252" s="3" t="s">
        <v>16</v>
      </c>
      <c r="C1252" s="20"/>
      <c r="D1252" s="21"/>
    </row>
    <row r="1253" spans="1:4" ht="12.75" customHeight="1" x14ac:dyDescent="0.2">
      <c r="A1253" s="21"/>
      <c r="B1253" s="3" t="s">
        <v>17</v>
      </c>
      <c r="C1253" s="20"/>
      <c r="D1253" s="21"/>
    </row>
    <row r="1254" spans="1:4" ht="12.75" customHeight="1" x14ac:dyDescent="0.2">
      <c r="A1254" s="21"/>
      <c r="B1254" s="20" t="s">
        <v>18</v>
      </c>
      <c r="C1254" s="4" t="s">
        <v>474</v>
      </c>
      <c r="D1254" s="6" t="str">
        <f>HYPERLINK("javascript:void(0)","nyonyóc fog")</f>
        <v>nyonyóc fog</v>
      </c>
    </row>
    <row r="1255" spans="1:4" ht="12.75" customHeight="1" x14ac:dyDescent="0.2">
      <c r="A1255" s="21"/>
      <c r="B1255" s="21"/>
      <c r="C1255" s="4" t="s">
        <v>139</v>
      </c>
      <c r="D1255" s="6" t="str">
        <f>HYPERLINK("javascript:void(0)","nyenyere nyak")</f>
        <v>nyenyere nyak</v>
      </c>
    </row>
    <row r="1256" spans="1:4" ht="12.75" customHeight="1" x14ac:dyDescent="0.2">
      <c r="A1256" s="21"/>
      <c r="B1256" s="21"/>
      <c r="C1256" s="4" t="s">
        <v>309</v>
      </c>
      <c r="D1256" s="6" t="str">
        <f>HYPERLINK("javascript:void(0)","nyeglenyelv")</f>
        <v>nyeglenyelv</v>
      </c>
    </row>
    <row r="1257" spans="1:4" ht="12.75" customHeight="1" x14ac:dyDescent="0.2">
      <c r="A1257" s="5"/>
      <c r="B1257" s="2"/>
      <c r="C1257" s="2"/>
      <c r="D1257" s="2"/>
    </row>
    <row r="1258" spans="1:4" ht="12.75" customHeight="1" x14ac:dyDescent="0.2">
      <c r="A1258" s="22" t="str">
        <f>HYPERLINK("javascript:void(0)","varázscsatacsillag")</f>
        <v>varázscsatacsillag</v>
      </c>
      <c r="B1258" s="21"/>
      <c r="C1258" s="21"/>
      <c r="D1258" s="21"/>
    </row>
    <row r="1259" spans="1:4" ht="12.75" customHeight="1" x14ac:dyDescent="0.2">
      <c r="A1259" s="20"/>
      <c r="B1259" s="2"/>
      <c r="C1259" s="2"/>
      <c r="D1259" s="2"/>
    </row>
    <row r="1260" spans="1:4" ht="12.75" customHeight="1" x14ac:dyDescent="0.2">
      <c r="A1260" s="21"/>
      <c r="B1260" s="3" t="s">
        <v>0</v>
      </c>
      <c r="C1260" s="20" t="s">
        <v>35</v>
      </c>
      <c r="D1260" s="21"/>
    </row>
    <row r="1261" spans="1:4" ht="12.75" customHeight="1" x14ac:dyDescent="0.2">
      <c r="A1261" s="21"/>
      <c r="B1261" s="3" t="s">
        <v>2</v>
      </c>
      <c r="C1261" s="20" t="s">
        <v>122</v>
      </c>
      <c r="D1261" s="21"/>
    </row>
    <row r="1262" spans="1:4" ht="12.75" customHeight="1" x14ac:dyDescent="0.2">
      <c r="A1262" s="21"/>
      <c r="B1262" s="3" t="s">
        <v>4</v>
      </c>
      <c r="C1262" s="20" t="s">
        <v>476</v>
      </c>
      <c r="D1262" s="21"/>
    </row>
    <row r="1263" spans="1:4" ht="12.75" customHeight="1" x14ac:dyDescent="0.2">
      <c r="A1263" s="21"/>
      <c r="B1263" s="3" t="s">
        <v>6</v>
      </c>
      <c r="C1263" s="20" t="s">
        <v>88</v>
      </c>
      <c r="D1263" s="21"/>
    </row>
    <row r="1264" spans="1:4" ht="12.75" customHeight="1" x14ac:dyDescent="0.2">
      <c r="A1264" s="21"/>
      <c r="B1264" s="3" t="s">
        <v>8</v>
      </c>
      <c r="C1264" s="20" t="s">
        <v>476</v>
      </c>
      <c r="D1264" s="21"/>
    </row>
    <row r="1265" spans="1:4" ht="12.75" customHeight="1" x14ac:dyDescent="0.2">
      <c r="A1265" s="21"/>
      <c r="B1265" s="3" t="s">
        <v>9</v>
      </c>
      <c r="C1265" s="20" t="s">
        <v>478</v>
      </c>
      <c r="D1265" s="21"/>
    </row>
    <row r="1266" spans="1:4" ht="12.75" customHeight="1" x14ac:dyDescent="0.2">
      <c r="A1266" s="21"/>
      <c r="B1266" s="3" t="s">
        <v>11</v>
      </c>
      <c r="C1266" s="20" t="s">
        <v>479</v>
      </c>
      <c r="D1266" s="21"/>
    </row>
    <row r="1267" spans="1:4" ht="12.75" customHeight="1" x14ac:dyDescent="0.2">
      <c r="A1267" s="21"/>
      <c r="B1267" s="3" t="s">
        <v>13</v>
      </c>
      <c r="C1267" s="20" t="s">
        <v>24</v>
      </c>
      <c r="D1267" s="21"/>
    </row>
    <row r="1268" spans="1:4" ht="12.75" customHeight="1" x14ac:dyDescent="0.2">
      <c r="A1268" s="21"/>
      <c r="B1268" s="3" t="s">
        <v>15</v>
      </c>
      <c r="C1268" s="20" t="s">
        <v>24</v>
      </c>
      <c r="D1268" s="21"/>
    </row>
    <row r="1269" spans="1:4" ht="12.75" customHeight="1" x14ac:dyDescent="0.2">
      <c r="A1269" s="21"/>
      <c r="B1269" s="3" t="s">
        <v>16</v>
      </c>
      <c r="C1269" s="20"/>
      <c r="D1269" s="21"/>
    </row>
    <row r="1270" spans="1:4" ht="12.75" customHeight="1" x14ac:dyDescent="0.2">
      <c r="A1270" s="21"/>
      <c r="B1270" s="3" t="s">
        <v>17</v>
      </c>
      <c r="C1270" s="20"/>
      <c r="D1270" s="21"/>
    </row>
    <row r="1271" spans="1:4" ht="12.75" customHeight="1" x14ac:dyDescent="0.2">
      <c r="A1271" s="21"/>
      <c r="B1271" s="20" t="s">
        <v>18</v>
      </c>
      <c r="C1271" s="4" t="s">
        <v>56</v>
      </c>
      <c r="D1271" s="6" t="str">
        <f>HYPERLINK("javascript:void(0)","ork csatacsillag")</f>
        <v>ork csatacsillag</v>
      </c>
    </row>
    <row r="1272" spans="1:4" ht="12.75" customHeight="1" x14ac:dyDescent="0.2">
      <c r="A1272" s="21"/>
      <c r="B1272" s="21"/>
      <c r="C1272" s="4" t="s">
        <v>55</v>
      </c>
      <c r="D1272" s="6" t="str">
        <f>HYPERLINK("javascript:void(0)","gyémánt")</f>
        <v>gyémánt</v>
      </c>
    </row>
    <row r="1273" spans="1:4" ht="12.75" customHeight="1" x14ac:dyDescent="0.2">
      <c r="A1273" s="21"/>
      <c r="B1273" s="21"/>
      <c r="C1273" s="4" t="s">
        <v>67</v>
      </c>
      <c r="D1273" s="6" t="str">
        <f>HYPERLINK("javascript:void(0)","varázsfogpiszkáló")</f>
        <v>varázsfogpiszkáló</v>
      </c>
    </row>
    <row r="1274" spans="1:4" ht="12.75" customHeight="1" x14ac:dyDescent="0.2">
      <c r="A1274" s="5"/>
      <c r="B1274" s="2"/>
      <c r="C1274" s="2"/>
      <c r="D1274" s="2"/>
    </row>
    <row r="1275" spans="1:4" ht="12.75" customHeight="1" x14ac:dyDescent="0.2">
      <c r="A1275" s="22" t="str">
        <f>HYPERLINK("javascript:void(0)","dracoacél buzogány")</f>
        <v>dracoacél buzogány</v>
      </c>
      <c r="B1275" s="21"/>
      <c r="C1275" s="21"/>
      <c r="D1275" s="21"/>
    </row>
    <row r="1276" spans="1:4" ht="12.75" customHeight="1" x14ac:dyDescent="0.2">
      <c r="A1276" s="20"/>
      <c r="B1276" s="2"/>
      <c r="C1276" s="2"/>
      <c r="D1276" s="2"/>
    </row>
    <row r="1277" spans="1:4" ht="12.75" customHeight="1" x14ac:dyDescent="0.2">
      <c r="A1277" s="21"/>
      <c r="B1277" s="3" t="s">
        <v>0</v>
      </c>
      <c r="C1277" s="20" t="s">
        <v>35</v>
      </c>
      <c r="D1277" s="21"/>
    </row>
    <row r="1278" spans="1:4" ht="12.75" customHeight="1" x14ac:dyDescent="0.2">
      <c r="A1278" s="21"/>
      <c r="B1278" s="3" t="s">
        <v>2</v>
      </c>
      <c r="C1278" s="20" t="s">
        <v>122</v>
      </c>
      <c r="D1278" s="21"/>
    </row>
    <row r="1279" spans="1:4" ht="12.75" customHeight="1" x14ac:dyDescent="0.2">
      <c r="A1279" s="21"/>
      <c r="B1279" s="3" t="s">
        <v>4</v>
      </c>
      <c r="C1279" s="20" t="s">
        <v>482</v>
      </c>
      <c r="D1279" s="21"/>
    </row>
    <row r="1280" spans="1:4" ht="12.75" customHeight="1" x14ac:dyDescent="0.2">
      <c r="A1280" s="21"/>
      <c r="B1280" s="3" t="s">
        <v>6</v>
      </c>
      <c r="C1280" s="20" t="s">
        <v>107</v>
      </c>
      <c r="D1280" s="21"/>
    </row>
    <row r="1281" spans="1:4" ht="12.75" customHeight="1" x14ac:dyDescent="0.2">
      <c r="A1281" s="21"/>
      <c r="B1281" s="3" t="s">
        <v>8</v>
      </c>
      <c r="C1281" s="20" t="s">
        <v>482</v>
      </c>
      <c r="D1281" s="21"/>
    </row>
    <row r="1282" spans="1:4" ht="12.75" customHeight="1" x14ac:dyDescent="0.2">
      <c r="A1282" s="21"/>
      <c r="B1282" s="3" t="s">
        <v>9</v>
      </c>
      <c r="C1282" s="20" t="s">
        <v>140</v>
      </c>
      <c r="D1282" s="21"/>
    </row>
    <row r="1283" spans="1:4" ht="12.75" customHeight="1" x14ac:dyDescent="0.2">
      <c r="A1283" s="21"/>
      <c r="B1283" s="3" t="s">
        <v>11</v>
      </c>
      <c r="C1283" s="20" t="s">
        <v>484</v>
      </c>
      <c r="D1283" s="21"/>
    </row>
    <row r="1284" spans="1:4" ht="12.75" customHeight="1" x14ac:dyDescent="0.2">
      <c r="A1284" s="21"/>
      <c r="B1284" s="3" t="s">
        <v>13</v>
      </c>
      <c r="C1284" s="20" t="s">
        <v>24</v>
      </c>
      <c r="D1284" s="21"/>
    </row>
    <row r="1285" spans="1:4" ht="12.75" customHeight="1" x14ac:dyDescent="0.2">
      <c r="A1285" s="21"/>
      <c r="B1285" s="3" t="s">
        <v>15</v>
      </c>
      <c r="C1285" s="20" t="s">
        <v>24</v>
      </c>
      <c r="D1285" s="21"/>
    </row>
    <row r="1286" spans="1:4" ht="12.75" customHeight="1" x14ac:dyDescent="0.2">
      <c r="A1286" s="21"/>
      <c r="B1286" s="3" t="s">
        <v>16</v>
      </c>
      <c r="C1286" s="20"/>
      <c r="D1286" s="21"/>
    </row>
    <row r="1287" spans="1:4" ht="12.75" customHeight="1" x14ac:dyDescent="0.2">
      <c r="A1287" s="21"/>
      <c r="B1287" s="3" t="s">
        <v>17</v>
      </c>
      <c r="C1287" s="20"/>
      <c r="D1287" s="21"/>
    </row>
    <row r="1288" spans="1:4" ht="12.75" customHeight="1" x14ac:dyDescent="0.2">
      <c r="A1288" s="21"/>
      <c r="B1288" s="20" t="s">
        <v>18</v>
      </c>
      <c r="C1288" s="4" t="s">
        <v>44</v>
      </c>
      <c r="D1288" s="6" t="str">
        <f>HYPERLINK("javascript:void(0)","démonacél buzogány")</f>
        <v>démonacél buzogány</v>
      </c>
    </row>
    <row r="1289" spans="1:4" ht="12.75" customHeight="1" x14ac:dyDescent="0.2">
      <c r="A1289" s="21"/>
      <c r="B1289" s="21"/>
      <c r="C1289" s="4" t="s">
        <v>196</v>
      </c>
      <c r="D1289" s="6" t="str">
        <f>HYPERLINK("javascript:void(0)","sárkányfog")</f>
        <v>sárkányfog</v>
      </c>
    </row>
    <row r="1290" spans="1:4" ht="12.75" customHeight="1" x14ac:dyDescent="0.2">
      <c r="A1290" s="21"/>
      <c r="B1290" s="21"/>
      <c r="C1290" s="4" t="s">
        <v>102</v>
      </c>
      <c r="D1290" s="6" t="str">
        <f>HYPERLINK("javascript:void(0)","sárkánykarom")</f>
        <v>sárkánykarom</v>
      </c>
    </row>
    <row r="1291" spans="1:4" ht="12.75" customHeight="1" x14ac:dyDescent="0.2">
      <c r="A1291" s="5"/>
      <c r="B1291" s="2"/>
      <c r="C1291" s="2"/>
      <c r="D1291" s="2"/>
    </row>
    <row r="1292" spans="1:4" ht="12.75" customHeight="1" x14ac:dyDescent="0.2">
      <c r="A1292" s="22" t="str">
        <f>HYPERLINK("javascript:void(0)","ezüst mágusölő")</f>
        <v>ezüst mágusölő</v>
      </c>
      <c r="B1292" s="21"/>
      <c r="C1292" s="21"/>
      <c r="D1292" s="21"/>
    </row>
    <row r="1293" spans="1:4" ht="12.75" customHeight="1" x14ac:dyDescent="0.2">
      <c r="A1293" s="20"/>
      <c r="B1293" s="2"/>
      <c r="C1293" s="2"/>
      <c r="D1293" s="2"/>
    </row>
    <row r="1294" spans="1:4" ht="12.75" customHeight="1" x14ac:dyDescent="0.2">
      <c r="A1294" s="21"/>
      <c r="B1294" s="3" t="s">
        <v>0</v>
      </c>
      <c r="C1294" s="20" t="s">
        <v>35</v>
      </c>
      <c r="D1294" s="21"/>
    </row>
    <row r="1295" spans="1:4" ht="12.75" customHeight="1" x14ac:dyDescent="0.2">
      <c r="A1295" s="21"/>
      <c r="B1295" s="3" t="s">
        <v>2</v>
      </c>
      <c r="C1295" s="20" t="s">
        <v>122</v>
      </c>
      <c r="D1295" s="21"/>
    </row>
    <row r="1296" spans="1:4" ht="12.75" customHeight="1" x14ac:dyDescent="0.2">
      <c r="A1296" s="21"/>
      <c r="B1296" s="3" t="s">
        <v>4</v>
      </c>
      <c r="C1296" s="20" t="s">
        <v>482</v>
      </c>
      <c r="D1296" s="21"/>
    </row>
    <row r="1297" spans="1:4" ht="12.75" customHeight="1" x14ac:dyDescent="0.2">
      <c r="A1297" s="21"/>
      <c r="B1297" s="3" t="s">
        <v>6</v>
      </c>
      <c r="C1297" s="20" t="s">
        <v>48</v>
      </c>
      <c r="D1297" s="21"/>
    </row>
    <row r="1298" spans="1:4" ht="12.75" customHeight="1" x14ac:dyDescent="0.2">
      <c r="A1298" s="21"/>
      <c r="B1298" s="3" t="s">
        <v>8</v>
      </c>
      <c r="C1298" s="20" t="s">
        <v>482</v>
      </c>
      <c r="D1298" s="21"/>
    </row>
    <row r="1299" spans="1:4" ht="12.75" customHeight="1" x14ac:dyDescent="0.2">
      <c r="A1299" s="21"/>
      <c r="B1299" s="3" t="s">
        <v>9</v>
      </c>
      <c r="C1299" s="20" t="s">
        <v>198</v>
      </c>
      <c r="D1299" s="21"/>
    </row>
    <row r="1300" spans="1:4" ht="12.75" customHeight="1" x14ac:dyDescent="0.2">
      <c r="A1300" s="21"/>
      <c r="B1300" s="3" t="s">
        <v>11</v>
      </c>
      <c r="C1300" s="20" t="s">
        <v>486</v>
      </c>
      <c r="D1300" s="21"/>
    </row>
    <row r="1301" spans="1:4" ht="12.75" customHeight="1" x14ac:dyDescent="0.2">
      <c r="A1301" s="21"/>
      <c r="B1301" s="3" t="s">
        <v>13</v>
      </c>
      <c r="C1301" s="20" t="s">
        <v>14</v>
      </c>
      <c r="D1301" s="21"/>
    </row>
    <row r="1302" spans="1:4" ht="12.75" customHeight="1" x14ac:dyDescent="0.2">
      <c r="A1302" s="21"/>
      <c r="B1302" s="3" t="s">
        <v>15</v>
      </c>
      <c r="C1302" s="20" t="s">
        <v>24</v>
      </c>
      <c r="D1302" s="21"/>
    </row>
    <row r="1303" spans="1:4" ht="12.75" customHeight="1" x14ac:dyDescent="0.2">
      <c r="A1303" s="21"/>
      <c r="B1303" s="3" t="s">
        <v>16</v>
      </c>
      <c r="C1303" s="20"/>
      <c r="D1303" s="21"/>
    </row>
    <row r="1304" spans="1:4" ht="12.75" customHeight="1" x14ac:dyDescent="0.2">
      <c r="A1304" s="21"/>
      <c r="B1304" s="3" t="s">
        <v>17</v>
      </c>
      <c r="C1304" s="20"/>
      <c r="D1304" s="21"/>
    </row>
    <row r="1305" spans="1:4" ht="12.75" customHeight="1" x14ac:dyDescent="0.2">
      <c r="A1305" s="21"/>
      <c r="B1305" s="20" t="s">
        <v>18</v>
      </c>
      <c r="C1305" s="4" t="s">
        <v>67</v>
      </c>
      <c r="D1305" s="6" t="str">
        <f>HYPERLINK("javascript:void(0)","ezüstgerinc")</f>
        <v>ezüstgerinc</v>
      </c>
    </row>
    <row r="1306" spans="1:4" ht="12.75" customHeight="1" x14ac:dyDescent="0.2">
      <c r="A1306" s="21"/>
      <c r="B1306" s="21"/>
      <c r="C1306" s="4" t="s">
        <v>139</v>
      </c>
      <c r="D1306" s="6" t="str">
        <f>HYPERLINK("javascript:void(0)","ezüstagyar")</f>
        <v>ezüstagyar</v>
      </c>
    </row>
    <row r="1307" spans="1:4" ht="12.75" customHeight="1" x14ac:dyDescent="0.2">
      <c r="A1307" s="21"/>
      <c r="B1307" s="21"/>
      <c r="C1307" s="4" t="s">
        <v>193</v>
      </c>
      <c r="D1307" s="6" t="str">
        <f>HYPERLINK("javascript:void(0)","ezüst patkó")</f>
        <v>ezüst patkó</v>
      </c>
    </row>
    <row r="1308" spans="1:4" ht="12.75" customHeight="1" x14ac:dyDescent="0.2">
      <c r="A1308" s="5"/>
      <c r="B1308" s="2"/>
      <c r="C1308" s="2"/>
      <c r="D1308" s="2"/>
    </row>
    <row r="1309" spans="1:4" ht="12.75" customHeight="1" x14ac:dyDescent="0.2">
      <c r="A1309" s="22" t="str">
        <f>HYPERLINK("javascript:void(0)","2000 éves kenyér")</f>
        <v>2000 éves kenyér</v>
      </c>
      <c r="B1309" s="21"/>
      <c r="C1309" s="21"/>
      <c r="D1309" s="21"/>
    </row>
    <row r="1310" spans="1:4" ht="12.75" customHeight="1" x14ac:dyDescent="0.2">
      <c r="A1310" s="20"/>
      <c r="B1310" s="2"/>
      <c r="C1310" s="2"/>
      <c r="D1310" s="2"/>
    </row>
    <row r="1311" spans="1:4" ht="12.75" customHeight="1" x14ac:dyDescent="0.2">
      <c r="A1311" s="21"/>
      <c r="B1311" s="3" t="s">
        <v>0</v>
      </c>
      <c r="C1311" s="20" t="s">
        <v>38</v>
      </c>
      <c r="D1311" s="21"/>
    </row>
    <row r="1312" spans="1:4" ht="12.75" customHeight="1" x14ac:dyDescent="0.2">
      <c r="A1312" s="21"/>
      <c r="B1312" s="3" t="s">
        <v>2</v>
      </c>
      <c r="C1312" s="20" t="s">
        <v>122</v>
      </c>
      <c r="D1312" s="21"/>
    </row>
    <row r="1313" spans="1:4" ht="12.75" customHeight="1" x14ac:dyDescent="0.2">
      <c r="A1313" s="21"/>
      <c r="B1313" s="3" t="s">
        <v>4</v>
      </c>
      <c r="C1313" s="20" t="s">
        <v>489</v>
      </c>
      <c r="D1313" s="21"/>
    </row>
    <row r="1314" spans="1:4" ht="12.75" customHeight="1" x14ac:dyDescent="0.2">
      <c r="A1314" s="21"/>
      <c r="B1314" s="3" t="s">
        <v>6</v>
      </c>
      <c r="C1314" s="20" t="s">
        <v>90</v>
      </c>
      <c r="D1314" s="21"/>
    </row>
    <row r="1315" spans="1:4" ht="12.75" customHeight="1" x14ac:dyDescent="0.2">
      <c r="A1315" s="21"/>
      <c r="B1315" s="3" t="s">
        <v>8</v>
      </c>
      <c r="C1315" s="20" t="s">
        <v>489</v>
      </c>
      <c r="D1315" s="21"/>
    </row>
    <row r="1316" spans="1:4" ht="12.75" customHeight="1" x14ac:dyDescent="0.2">
      <c r="A1316" s="21"/>
      <c r="B1316" s="3" t="s">
        <v>9</v>
      </c>
      <c r="C1316" s="20" t="s">
        <v>124</v>
      </c>
      <c r="D1316" s="21"/>
    </row>
    <row r="1317" spans="1:4" ht="12.75" customHeight="1" x14ac:dyDescent="0.2">
      <c r="A1317" s="21"/>
      <c r="B1317" s="3" t="s">
        <v>11</v>
      </c>
      <c r="C1317" s="20" t="s">
        <v>490</v>
      </c>
      <c r="D1317" s="21"/>
    </row>
    <row r="1318" spans="1:4" ht="12.75" customHeight="1" x14ac:dyDescent="0.2">
      <c r="A1318" s="21"/>
      <c r="B1318" s="3" t="s">
        <v>13</v>
      </c>
      <c r="C1318" s="20" t="s">
        <v>24</v>
      </c>
      <c r="D1318" s="21"/>
    </row>
    <row r="1319" spans="1:4" ht="12.75" customHeight="1" x14ac:dyDescent="0.2">
      <c r="A1319" s="21"/>
      <c r="B1319" s="3" t="s">
        <v>15</v>
      </c>
      <c r="C1319" s="20" t="s">
        <v>24</v>
      </c>
      <c r="D1319" s="21"/>
    </row>
    <row r="1320" spans="1:4" ht="12.75" customHeight="1" x14ac:dyDescent="0.2">
      <c r="A1320" s="21"/>
      <c r="B1320" s="3" t="s">
        <v>16</v>
      </c>
      <c r="C1320" s="20"/>
      <c r="D1320" s="21"/>
    </row>
    <row r="1321" spans="1:4" ht="12.75" customHeight="1" x14ac:dyDescent="0.2">
      <c r="A1321" s="21"/>
      <c r="B1321" s="3" t="s">
        <v>17</v>
      </c>
      <c r="C1321" s="20"/>
      <c r="D1321" s="21"/>
    </row>
    <row r="1322" spans="1:4" ht="12.75" customHeight="1" x14ac:dyDescent="0.2">
      <c r="A1322" s="21"/>
      <c r="B1322" s="20" t="s">
        <v>18</v>
      </c>
      <c r="C1322" s="4" t="s">
        <v>44</v>
      </c>
      <c r="D1322" s="6" t="str">
        <f>HYPERLINK("javascript:void(0)","1000 éves kenyér")</f>
        <v>1000 éves kenyér</v>
      </c>
    </row>
    <row r="1323" spans="1:4" ht="12.75" customHeight="1" x14ac:dyDescent="0.2">
      <c r="A1323" s="21"/>
      <c r="B1323" s="21"/>
      <c r="C1323" s="4" t="s">
        <v>44</v>
      </c>
      <c r="D1323" s="6" t="str">
        <f>HYPERLINK("javascript:void(0)","kithrill")</f>
        <v>kithrill</v>
      </c>
    </row>
    <row r="1324" spans="1:4" ht="12.75" customHeight="1" x14ac:dyDescent="0.2">
      <c r="A1324" s="21"/>
      <c r="B1324" s="21"/>
      <c r="C1324" s="4" t="s">
        <v>142</v>
      </c>
      <c r="D1324" s="6" t="str">
        <f>HYPERLINK("javascript:void(0)","szén-hidragén")</f>
        <v>szén-hidragén</v>
      </c>
    </row>
    <row r="1325" spans="1:4" ht="12.75" customHeight="1" x14ac:dyDescent="0.2">
      <c r="A1325" s="5"/>
      <c r="B1325" s="2"/>
      <c r="C1325" s="2"/>
      <c r="D1325" s="2"/>
    </row>
    <row r="1326" spans="1:4" ht="12.75" customHeight="1" x14ac:dyDescent="0.2">
      <c r="A1326" s="22" t="str">
        <f>HYPERLINK("javascript:void(0)","dracoacél kalapács")</f>
        <v>dracoacél kalapács</v>
      </c>
      <c r="B1326" s="21"/>
      <c r="C1326" s="21"/>
      <c r="D1326" s="21"/>
    </row>
    <row r="1327" spans="1:4" ht="12.75" customHeight="1" x14ac:dyDescent="0.2">
      <c r="A1327" s="20"/>
      <c r="B1327" s="2"/>
      <c r="C1327" s="2"/>
      <c r="D1327" s="2"/>
    </row>
    <row r="1328" spans="1:4" ht="12.75" customHeight="1" x14ac:dyDescent="0.2">
      <c r="A1328" s="21"/>
      <c r="B1328" s="3" t="s">
        <v>0</v>
      </c>
      <c r="C1328" s="20" t="s">
        <v>38</v>
      </c>
      <c r="D1328" s="21"/>
    </row>
    <row r="1329" spans="1:4" ht="12.75" customHeight="1" x14ac:dyDescent="0.2">
      <c r="A1329" s="21"/>
      <c r="B1329" s="3" t="s">
        <v>2</v>
      </c>
      <c r="C1329" s="20" t="s">
        <v>122</v>
      </c>
      <c r="D1329" s="21"/>
    </row>
    <row r="1330" spans="1:4" ht="12.75" customHeight="1" x14ac:dyDescent="0.2">
      <c r="A1330" s="21"/>
      <c r="B1330" s="3" t="s">
        <v>4</v>
      </c>
      <c r="C1330" s="20" t="s">
        <v>493</v>
      </c>
      <c r="D1330" s="21"/>
    </row>
    <row r="1331" spans="1:4" ht="12.75" customHeight="1" x14ac:dyDescent="0.2">
      <c r="A1331" s="21"/>
      <c r="B1331" s="3" t="s">
        <v>6</v>
      </c>
      <c r="C1331" s="20" t="s">
        <v>107</v>
      </c>
      <c r="D1331" s="21"/>
    </row>
    <row r="1332" spans="1:4" ht="12.75" customHeight="1" x14ac:dyDescent="0.2">
      <c r="A1332" s="21"/>
      <c r="B1332" s="3" t="s">
        <v>8</v>
      </c>
      <c r="C1332" s="20" t="s">
        <v>493</v>
      </c>
      <c r="D1332" s="21"/>
    </row>
    <row r="1333" spans="1:4" ht="12.75" customHeight="1" x14ac:dyDescent="0.2">
      <c r="A1333" s="21"/>
      <c r="B1333" s="3" t="s">
        <v>9</v>
      </c>
      <c r="C1333" s="20" t="s">
        <v>179</v>
      </c>
      <c r="D1333" s="21"/>
    </row>
    <row r="1334" spans="1:4" ht="12.75" customHeight="1" x14ac:dyDescent="0.2">
      <c r="A1334" s="21"/>
      <c r="B1334" s="3" t="s">
        <v>11</v>
      </c>
      <c r="C1334" s="20" t="s">
        <v>209</v>
      </c>
      <c r="D1334" s="21"/>
    </row>
    <row r="1335" spans="1:4" ht="12.75" customHeight="1" x14ac:dyDescent="0.2">
      <c r="A1335" s="21"/>
      <c r="B1335" s="3" t="s">
        <v>13</v>
      </c>
      <c r="C1335" s="20" t="s">
        <v>24</v>
      </c>
      <c r="D1335" s="21"/>
    </row>
    <row r="1336" spans="1:4" ht="12.75" customHeight="1" x14ac:dyDescent="0.2">
      <c r="A1336" s="21"/>
      <c r="B1336" s="3" t="s">
        <v>15</v>
      </c>
      <c r="C1336" s="20" t="s">
        <v>24</v>
      </c>
      <c r="D1336" s="21"/>
    </row>
    <row r="1337" spans="1:4" ht="12.75" customHeight="1" x14ac:dyDescent="0.2">
      <c r="A1337" s="21"/>
      <c r="B1337" s="3" t="s">
        <v>16</v>
      </c>
      <c r="C1337" s="20"/>
      <c r="D1337" s="21"/>
    </row>
    <row r="1338" spans="1:4" ht="12.75" customHeight="1" x14ac:dyDescent="0.2">
      <c r="A1338" s="21"/>
      <c r="B1338" s="3" t="s">
        <v>17</v>
      </c>
      <c r="C1338" s="20"/>
      <c r="D1338" s="21"/>
    </row>
    <row r="1339" spans="1:4" ht="12.75" customHeight="1" x14ac:dyDescent="0.2">
      <c r="A1339" s="21"/>
      <c r="B1339" s="20" t="s">
        <v>18</v>
      </c>
      <c r="C1339" s="4" t="s">
        <v>44</v>
      </c>
      <c r="D1339" s="6" t="str">
        <f>HYPERLINK("javascript:void(0)","démonacél kalapács")</f>
        <v>démonacél kalapács</v>
      </c>
    </row>
    <row r="1340" spans="1:4" ht="12.75" customHeight="1" x14ac:dyDescent="0.2">
      <c r="A1340" s="21"/>
      <c r="B1340" s="21"/>
      <c r="C1340" s="4" t="s">
        <v>67</v>
      </c>
      <c r="D1340" s="6" t="str">
        <f>HYPERLINK("javascript:void(0)","sárkánykarom")</f>
        <v>sárkánykarom</v>
      </c>
    </row>
    <row r="1341" spans="1:4" ht="12.75" customHeight="1" x14ac:dyDescent="0.2">
      <c r="A1341" s="21"/>
      <c r="B1341" s="21"/>
      <c r="C1341" s="4" t="s">
        <v>331</v>
      </c>
      <c r="D1341" s="6" t="str">
        <f>HYPERLINK("javascript:void(0)","sárkánypikkely")</f>
        <v>sárkánypikkely</v>
      </c>
    </row>
    <row r="1342" spans="1:4" ht="12.75" customHeight="1" x14ac:dyDescent="0.2">
      <c r="A1342" s="5"/>
      <c r="B1342" s="2"/>
      <c r="C1342" s="2"/>
      <c r="D1342" s="2"/>
    </row>
    <row r="1343" spans="1:4" ht="12.75" customHeight="1" x14ac:dyDescent="0.2">
      <c r="A1343" s="22" t="str">
        <f>HYPERLINK("javascript:void(0)","smaragdkalapács")</f>
        <v>smaragdkalapács</v>
      </c>
      <c r="B1343" s="21"/>
      <c r="C1343" s="21"/>
      <c r="D1343" s="21"/>
    </row>
    <row r="1344" spans="1:4" ht="12.75" customHeight="1" x14ac:dyDescent="0.2">
      <c r="A1344" s="20"/>
      <c r="B1344" s="2"/>
      <c r="C1344" s="2"/>
      <c r="D1344" s="2"/>
    </row>
    <row r="1345" spans="1:4" ht="12.75" customHeight="1" x14ac:dyDescent="0.2">
      <c r="A1345" s="21"/>
      <c r="B1345" s="3" t="s">
        <v>0</v>
      </c>
      <c r="C1345" s="20" t="s">
        <v>206</v>
      </c>
      <c r="D1345" s="21"/>
    </row>
    <row r="1346" spans="1:4" ht="12.75" customHeight="1" x14ac:dyDescent="0.2">
      <c r="A1346" s="21"/>
      <c r="B1346" s="3" t="s">
        <v>2</v>
      </c>
      <c r="C1346" s="20" t="s">
        <v>122</v>
      </c>
      <c r="D1346" s="21"/>
    </row>
    <row r="1347" spans="1:4" ht="12.75" customHeight="1" x14ac:dyDescent="0.2">
      <c r="A1347" s="21"/>
      <c r="B1347" s="3" t="s">
        <v>4</v>
      </c>
      <c r="C1347" s="20" t="s">
        <v>496</v>
      </c>
      <c r="D1347" s="21"/>
    </row>
    <row r="1348" spans="1:4" ht="12.75" customHeight="1" x14ac:dyDescent="0.2">
      <c r="A1348" s="21"/>
      <c r="B1348" s="3" t="s">
        <v>6</v>
      </c>
      <c r="C1348" s="20" t="s">
        <v>468</v>
      </c>
      <c r="D1348" s="21"/>
    </row>
    <row r="1349" spans="1:4" ht="12.75" customHeight="1" x14ac:dyDescent="0.2">
      <c r="A1349" s="21"/>
      <c r="B1349" s="3" t="s">
        <v>8</v>
      </c>
      <c r="C1349" s="20" t="s">
        <v>496</v>
      </c>
      <c r="D1349" s="21"/>
    </row>
    <row r="1350" spans="1:4" ht="12.75" customHeight="1" x14ac:dyDescent="0.2">
      <c r="A1350" s="21"/>
      <c r="B1350" s="3" t="s">
        <v>9</v>
      </c>
      <c r="C1350" s="20" t="s">
        <v>200</v>
      </c>
      <c r="D1350" s="21"/>
    </row>
    <row r="1351" spans="1:4" ht="12.75" customHeight="1" x14ac:dyDescent="0.2">
      <c r="A1351" s="21"/>
      <c r="B1351" s="3" t="s">
        <v>11</v>
      </c>
      <c r="C1351" s="20" t="s">
        <v>186</v>
      </c>
      <c r="D1351" s="21"/>
    </row>
    <row r="1352" spans="1:4" ht="12.75" customHeight="1" x14ac:dyDescent="0.2">
      <c r="A1352" s="21"/>
      <c r="B1352" s="3" t="s">
        <v>13</v>
      </c>
      <c r="C1352" s="20" t="s">
        <v>24</v>
      </c>
      <c r="D1352" s="21"/>
    </row>
    <row r="1353" spans="1:4" ht="12.75" customHeight="1" x14ac:dyDescent="0.2">
      <c r="A1353" s="21"/>
      <c r="B1353" s="3" t="s">
        <v>15</v>
      </c>
      <c r="C1353" s="20" t="s">
        <v>24</v>
      </c>
      <c r="D1353" s="21"/>
    </row>
    <row r="1354" spans="1:4" ht="12.75" customHeight="1" x14ac:dyDescent="0.2">
      <c r="A1354" s="21"/>
      <c r="B1354" s="3" t="s">
        <v>16</v>
      </c>
      <c r="C1354" s="20"/>
      <c r="D1354" s="21"/>
    </row>
    <row r="1355" spans="1:4" ht="12.75" customHeight="1" x14ac:dyDescent="0.2">
      <c r="A1355" s="21"/>
      <c r="B1355" s="3" t="s">
        <v>17</v>
      </c>
      <c r="C1355" s="20"/>
      <c r="D1355" s="21"/>
    </row>
    <row r="1356" spans="1:4" ht="12.75" customHeight="1" x14ac:dyDescent="0.2">
      <c r="A1356" s="21"/>
      <c r="B1356" s="20" t="s">
        <v>18</v>
      </c>
      <c r="C1356" s="4" t="s">
        <v>44</v>
      </c>
      <c r="D1356" s="6" t="str">
        <f>HYPERLINK("javascript:void(0)","voodoo-kalapács")</f>
        <v>voodoo-kalapács</v>
      </c>
    </row>
    <row r="1357" spans="1:4" ht="12.75" customHeight="1" x14ac:dyDescent="0.2">
      <c r="A1357" s="21"/>
      <c r="B1357" s="21"/>
      <c r="C1357" s="4" t="s">
        <v>55</v>
      </c>
      <c r="D1357" s="6" t="str">
        <f>HYPERLINK("javascript:void(0)","smaragd")</f>
        <v>smaragd</v>
      </c>
    </row>
    <row r="1358" spans="1:4" ht="12.75" customHeight="1" x14ac:dyDescent="0.2">
      <c r="A1358" s="21"/>
      <c r="B1358" s="21"/>
      <c r="C1358" s="4" t="s">
        <v>57</v>
      </c>
      <c r="D1358" s="6" t="str">
        <f>HYPERLINK("javascript:void(0)","nyeglenyelv")</f>
        <v>nyeglenyelv</v>
      </c>
    </row>
    <row r="1359" spans="1:4" ht="12.75" customHeight="1" x14ac:dyDescent="0.2">
      <c r="A1359" s="5"/>
      <c r="B1359" s="2"/>
      <c r="C1359" s="2"/>
      <c r="D1359" s="2"/>
    </row>
    <row r="1360" spans="1:4" ht="12.75" customHeight="1" x14ac:dyDescent="0.2">
      <c r="A1360" s="22" t="str">
        <f>HYPERLINK("javascript:void(0)","mágikus nuncsaku")</f>
        <v>mágikus nuncsaku</v>
      </c>
      <c r="B1360" s="21"/>
      <c r="C1360" s="21"/>
      <c r="D1360" s="21"/>
    </row>
    <row r="1361" spans="1:4" ht="12.75" customHeight="1" x14ac:dyDescent="0.2">
      <c r="A1361" s="20"/>
      <c r="B1361" s="2"/>
      <c r="C1361" s="2"/>
      <c r="D1361" s="2"/>
    </row>
    <row r="1362" spans="1:4" ht="12.75" customHeight="1" x14ac:dyDescent="0.2">
      <c r="A1362" s="21"/>
      <c r="B1362" s="3" t="s">
        <v>0</v>
      </c>
      <c r="C1362" s="20" t="s">
        <v>206</v>
      </c>
      <c r="D1362" s="21"/>
    </row>
    <row r="1363" spans="1:4" ht="12.75" customHeight="1" x14ac:dyDescent="0.2">
      <c r="A1363" s="21"/>
      <c r="B1363" s="3" t="s">
        <v>2</v>
      </c>
      <c r="C1363" s="20" t="s">
        <v>122</v>
      </c>
      <c r="D1363" s="21"/>
    </row>
    <row r="1364" spans="1:4" ht="12.75" customHeight="1" x14ac:dyDescent="0.2">
      <c r="A1364" s="21"/>
      <c r="B1364" s="3" t="s">
        <v>4</v>
      </c>
      <c r="C1364" s="20" t="s">
        <v>166</v>
      </c>
      <c r="D1364" s="21"/>
    </row>
    <row r="1365" spans="1:4" ht="12.75" customHeight="1" x14ac:dyDescent="0.2">
      <c r="A1365" s="21"/>
      <c r="B1365" s="3" t="s">
        <v>6</v>
      </c>
      <c r="C1365" s="20" t="s">
        <v>128</v>
      </c>
      <c r="D1365" s="21"/>
    </row>
    <row r="1366" spans="1:4" ht="12.75" customHeight="1" x14ac:dyDescent="0.2">
      <c r="A1366" s="21"/>
      <c r="B1366" s="3" t="s">
        <v>8</v>
      </c>
      <c r="C1366" s="20" t="s">
        <v>166</v>
      </c>
      <c r="D1366" s="21"/>
    </row>
    <row r="1367" spans="1:4" ht="12.75" customHeight="1" x14ac:dyDescent="0.2">
      <c r="A1367" s="21"/>
      <c r="B1367" s="3" t="s">
        <v>9</v>
      </c>
      <c r="C1367" s="20" t="s">
        <v>200</v>
      </c>
      <c r="D1367" s="21"/>
    </row>
    <row r="1368" spans="1:4" ht="12.75" customHeight="1" x14ac:dyDescent="0.2">
      <c r="A1368" s="21"/>
      <c r="B1368" s="3" t="s">
        <v>11</v>
      </c>
      <c r="C1368" s="20" t="s">
        <v>209</v>
      </c>
      <c r="D1368" s="21"/>
    </row>
    <row r="1369" spans="1:4" ht="12.75" customHeight="1" x14ac:dyDescent="0.2">
      <c r="A1369" s="21"/>
      <c r="B1369" s="3" t="s">
        <v>13</v>
      </c>
      <c r="C1369" s="20" t="s">
        <v>24</v>
      </c>
      <c r="D1369" s="21"/>
    </row>
    <row r="1370" spans="1:4" ht="12.75" customHeight="1" x14ac:dyDescent="0.2">
      <c r="A1370" s="21"/>
      <c r="B1370" s="3" t="s">
        <v>15</v>
      </c>
      <c r="C1370" s="20" t="s">
        <v>14</v>
      </c>
      <c r="D1370" s="21"/>
    </row>
    <row r="1371" spans="1:4" ht="12.75" customHeight="1" x14ac:dyDescent="0.2">
      <c r="A1371" s="21"/>
      <c r="B1371" s="3" t="s">
        <v>16</v>
      </c>
      <c r="C1371" s="20"/>
      <c r="D1371" s="21"/>
    </row>
    <row r="1372" spans="1:4" ht="12.75" customHeight="1" x14ac:dyDescent="0.2">
      <c r="A1372" s="21"/>
      <c r="B1372" s="3" t="s">
        <v>17</v>
      </c>
      <c r="C1372" s="20"/>
      <c r="D1372" s="21"/>
    </row>
    <row r="1373" spans="1:4" ht="12.75" customHeight="1" x14ac:dyDescent="0.2">
      <c r="A1373" s="21"/>
      <c r="B1373" s="20" t="s">
        <v>18</v>
      </c>
      <c r="C1373" s="4" t="s">
        <v>44</v>
      </c>
      <c r="D1373" s="6" t="str">
        <f>HYPERLINK("javascript:void(0)","rubin nuncsaku")</f>
        <v>rubin nuncsaku</v>
      </c>
    </row>
    <row r="1374" spans="1:4" ht="12.75" customHeight="1" x14ac:dyDescent="0.2">
      <c r="A1374" s="21"/>
      <c r="B1374" s="21"/>
      <c r="C1374" s="4" t="s">
        <v>57</v>
      </c>
      <c r="D1374" s="6" t="str">
        <f>HYPERLINK("javascript:void(0)","gyémánt")</f>
        <v>gyémánt</v>
      </c>
    </row>
    <row r="1375" spans="1:4" ht="12.75" customHeight="1" x14ac:dyDescent="0.2">
      <c r="A1375" s="21"/>
      <c r="B1375" s="21"/>
      <c r="C1375" s="4" t="s">
        <v>57</v>
      </c>
      <c r="D1375" s="6" t="str">
        <f>HYPERLINK("javascript:void(0)","dadacsiganyál")</f>
        <v>dadacsiganyál</v>
      </c>
    </row>
    <row r="1376" spans="1:4" ht="12.75" customHeight="1" x14ac:dyDescent="0.2">
      <c r="A1376" s="5"/>
      <c r="B1376" s="2"/>
      <c r="C1376" s="2"/>
      <c r="D1376" s="2"/>
    </row>
    <row r="1377" spans="1:4" ht="12.75" customHeight="1" x14ac:dyDescent="0.2">
      <c r="A1377" s="22" t="str">
        <f>HYPERLINK("javascript:void(0)","elfacél husáng")</f>
        <v>elfacél husáng</v>
      </c>
      <c r="B1377" s="21"/>
      <c r="C1377" s="21"/>
      <c r="D1377" s="21"/>
    </row>
    <row r="1378" spans="1:4" ht="12.75" customHeight="1" x14ac:dyDescent="0.2">
      <c r="A1378" s="20"/>
      <c r="B1378" s="2"/>
      <c r="C1378" s="2"/>
      <c r="D1378" s="2"/>
    </row>
    <row r="1379" spans="1:4" ht="12.75" customHeight="1" x14ac:dyDescent="0.2">
      <c r="A1379" s="21"/>
      <c r="B1379" s="3" t="s">
        <v>0</v>
      </c>
      <c r="C1379" s="20" t="s">
        <v>206</v>
      </c>
      <c r="D1379" s="21"/>
    </row>
    <row r="1380" spans="1:4" ht="12.75" customHeight="1" x14ac:dyDescent="0.2">
      <c r="A1380" s="21"/>
      <c r="B1380" s="3" t="s">
        <v>2</v>
      </c>
      <c r="C1380" s="20" t="s">
        <v>122</v>
      </c>
      <c r="D1380" s="21"/>
    </row>
    <row r="1381" spans="1:4" ht="12.75" customHeight="1" x14ac:dyDescent="0.2">
      <c r="A1381" s="21"/>
      <c r="B1381" s="3" t="s">
        <v>4</v>
      </c>
      <c r="C1381" s="20" t="s">
        <v>500</v>
      </c>
      <c r="D1381" s="21"/>
    </row>
    <row r="1382" spans="1:4" ht="12.75" customHeight="1" x14ac:dyDescent="0.2">
      <c r="A1382" s="21"/>
      <c r="B1382" s="3" t="s">
        <v>6</v>
      </c>
      <c r="C1382" s="20" t="s">
        <v>40</v>
      </c>
      <c r="D1382" s="21"/>
    </row>
    <row r="1383" spans="1:4" ht="12.75" customHeight="1" x14ac:dyDescent="0.2">
      <c r="A1383" s="21"/>
      <c r="B1383" s="3" t="s">
        <v>8</v>
      </c>
      <c r="C1383" s="20" t="s">
        <v>500</v>
      </c>
      <c r="D1383" s="21"/>
    </row>
    <row r="1384" spans="1:4" ht="12.75" customHeight="1" x14ac:dyDescent="0.2">
      <c r="A1384" s="21"/>
      <c r="B1384" s="3" t="s">
        <v>9</v>
      </c>
      <c r="C1384" s="20" t="s">
        <v>164</v>
      </c>
      <c r="D1384" s="21"/>
    </row>
    <row r="1385" spans="1:4" ht="12.75" customHeight="1" x14ac:dyDescent="0.2">
      <c r="A1385" s="21"/>
      <c r="B1385" s="3" t="s">
        <v>11</v>
      </c>
      <c r="C1385" s="20" t="s">
        <v>502</v>
      </c>
      <c r="D1385" s="21"/>
    </row>
    <row r="1386" spans="1:4" ht="12.75" customHeight="1" x14ac:dyDescent="0.2">
      <c r="A1386" s="21"/>
      <c r="B1386" s="3" t="s">
        <v>13</v>
      </c>
      <c r="C1386" s="20" t="s">
        <v>24</v>
      </c>
      <c r="D1386" s="21"/>
    </row>
    <row r="1387" spans="1:4" ht="12.75" customHeight="1" x14ac:dyDescent="0.2">
      <c r="A1387" s="21"/>
      <c r="B1387" s="3" t="s">
        <v>15</v>
      </c>
      <c r="C1387" s="20" t="s">
        <v>24</v>
      </c>
      <c r="D1387" s="21"/>
    </row>
    <row r="1388" spans="1:4" ht="12.75" customHeight="1" x14ac:dyDescent="0.2">
      <c r="A1388" s="21"/>
      <c r="B1388" s="3" t="s">
        <v>16</v>
      </c>
      <c r="C1388" s="20"/>
      <c r="D1388" s="21"/>
    </row>
    <row r="1389" spans="1:4" ht="12.75" customHeight="1" x14ac:dyDescent="0.2">
      <c r="A1389" s="21"/>
      <c r="B1389" s="3" t="s">
        <v>17</v>
      </c>
      <c r="C1389" s="20"/>
      <c r="D1389" s="21"/>
    </row>
    <row r="1390" spans="1:4" ht="12.75" customHeight="1" x14ac:dyDescent="0.2">
      <c r="A1390" s="21"/>
      <c r="B1390" s="20" t="s">
        <v>18</v>
      </c>
      <c r="C1390" s="4" t="s">
        <v>44</v>
      </c>
      <c r="D1390" s="6" t="str">
        <f>HYPERLINK("javascript:void(0)","varázshusáng")</f>
        <v>varázshusáng</v>
      </c>
    </row>
    <row r="1391" spans="1:4" ht="12.75" customHeight="1" x14ac:dyDescent="0.2">
      <c r="A1391" s="21"/>
      <c r="B1391" s="21"/>
      <c r="C1391" s="4" t="s">
        <v>188</v>
      </c>
      <c r="D1391" s="6" t="str">
        <f>HYPERLINK("javascript:void(0)","jáspis")</f>
        <v>jáspis</v>
      </c>
    </row>
    <row r="1392" spans="1:4" ht="12.75" customHeight="1" x14ac:dyDescent="0.2">
      <c r="A1392" s="21"/>
      <c r="B1392" s="21"/>
      <c r="C1392" s="4" t="s">
        <v>57</v>
      </c>
      <c r="D1392" s="6" t="str">
        <f>HYPERLINK("javascript:void(0)","párducbőr")</f>
        <v>párducbőr</v>
      </c>
    </row>
    <row r="1393" spans="1:4" ht="12.75" customHeight="1" x14ac:dyDescent="0.2">
      <c r="A1393" s="5"/>
      <c r="B1393" s="2"/>
      <c r="C1393" s="2"/>
      <c r="D1393" s="2"/>
    </row>
    <row r="1394" spans="1:4" ht="12.75" customHeight="1" x14ac:dyDescent="0.2">
      <c r="A1394" s="22" t="str">
        <f>HYPERLINK("javascript:void(0)","smaragd mágusölő")</f>
        <v>smaragd mágusölő</v>
      </c>
      <c r="B1394" s="21"/>
      <c r="C1394" s="21"/>
      <c r="D1394" s="21"/>
    </row>
    <row r="1395" spans="1:4" ht="12.75" customHeight="1" x14ac:dyDescent="0.2">
      <c r="A1395" s="20"/>
      <c r="B1395" s="2"/>
      <c r="C1395" s="2"/>
      <c r="D1395" s="2"/>
    </row>
    <row r="1396" spans="1:4" ht="12.75" customHeight="1" x14ac:dyDescent="0.2">
      <c r="A1396" s="21"/>
      <c r="B1396" s="3" t="s">
        <v>0</v>
      </c>
      <c r="C1396" s="20" t="s">
        <v>206</v>
      </c>
      <c r="D1396" s="21"/>
    </row>
    <row r="1397" spans="1:4" ht="12.75" customHeight="1" x14ac:dyDescent="0.2">
      <c r="A1397" s="21"/>
      <c r="B1397" s="3" t="s">
        <v>2</v>
      </c>
      <c r="C1397" s="20" t="s">
        <v>122</v>
      </c>
      <c r="D1397" s="21"/>
    </row>
    <row r="1398" spans="1:4" ht="12.75" customHeight="1" x14ac:dyDescent="0.2">
      <c r="A1398" s="21"/>
      <c r="B1398" s="3" t="s">
        <v>4</v>
      </c>
      <c r="C1398" s="20" t="s">
        <v>504</v>
      </c>
      <c r="D1398" s="21"/>
    </row>
    <row r="1399" spans="1:4" ht="12.75" customHeight="1" x14ac:dyDescent="0.2">
      <c r="A1399" s="21"/>
      <c r="B1399" s="3" t="s">
        <v>6</v>
      </c>
      <c r="C1399" s="20" t="s">
        <v>48</v>
      </c>
      <c r="D1399" s="21"/>
    </row>
    <row r="1400" spans="1:4" ht="12.75" customHeight="1" x14ac:dyDescent="0.2">
      <c r="A1400" s="21"/>
      <c r="B1400" s="3" t="s">
        <v>8</v>
      </c>
      <c r="C1400" s="20" t="s">
        <v>504</v>
      </c>
      <c r="D1400" s="21"/>
    </row>
    <row r="1401" spans="1:4" ht="12.75" customHeight="1" x14ac:dyDescent="0.2">
      <c r="A1401" s="21"/>
      <c r="B1401" s="3" t="s">
        <v>9</v>
      </c>
      <c r="C1401" s="20" t="s">
        <v>250</v>
      </c>
      <c r="D1401" s="21"/>
    </row>
    <row r="1402" spans="1:4" ht="12.75" customHeight="1" x14ac:dyDescent="0.2">
      <c r="A1402" s="21"/>
      <c r="B1402" s="3" t="s">
        <v>11</v>
      </c>
      <c r="C1402" s="20" t="s">
        <v>505</v>
      </c>
      <c r="D1402" s="21"/>
    </row>
    <row r="1403" spans="1:4" ht="12.75" customHeight="1" x14ac:dyDescent="0.2">
      <c r="A1403" s="21"/>
      <c r="B1403" s="3" t="s">
        <v>13</v>
      </c>
      <c r="C1403" s="20" t="s">
        <v>14</v>
      </c>
      <c r="D1403" s="21"/>
    </row>
    <row r="1404" spans="1:4" ht="12.75" customHeight="1" x14ac:dyDescent="0.2">
      <c r="A1404" s="21"/>
      <c r="B1404" s="3" t="s">
        <v>15</v>
      </c>
      <c r="C1404" s="20" t="s">
        <v>24</v>
      </c>
      <c r="D1404" s="21"/>
    </row>
    <row r="1405" spans="1:4" ht="12.75" customHeight="1" x14ac:dyDescent="0.2">
      <c r="A1405" s="21"/>
      <c r="B1405" s="3" t="s">
        <v>16</v>
      </c>
      <c r="C1405" s="20"/>
      <c r="D1405" s="21"/>
    </row>
    <row r="1406" spans="1:4" ht="12.75" customHeight="1" x14ac:dyDescent="0.2">
      <c r="A1406" s="21"/>
      <c r="B1406" s="3" t="s">
        <v>17</v>
      </c>
      <c r="C1406" s="20"/>
      <c r="D1406" s="21"/>
    </row>
    <row r="1407" spans="1:4" ht="12.75" customHeight="1" x14ac:dyDescent="0.2">
      <c r="A1407" s="21"/>
      <c r="B1407" s="20" t="s">
        <v>18</v>
      </c>
      <c r="C1407" s="4" t="s">
        <v>44</v>
      </c>
      <c r="D1407" s="6" t="str">
        <f>HYPERLINK("javascript:void(0)","arany mágusölő")</f>
        <v>arany mágusölő</v>
      </c>
    </row>
    <row r="1408" spans="1:4" ht="12.75" customHeight="1" x14ac:dyDescent="0.2">
      <c r="A1408" s="21"/>
      <c r="B1408" s="21"/>
      <c r="C1408" s="4" t="s">
        <v>139</v>
      </c>
      <c r="D1408" s="6" t="str">
        <f>HYPERLINK("javascript:void(0)","lábszárcsont")</f>
        <v>lábszárcsont</v>
      </c>
    </row>
    <row r="1409" spans="1:4" ht="12.75" customHeight="1" x14ac:dyDescent="0.2">
      <c r="A1409" s="21"/>
      <c r="B1409" s="21"/>
      <c r="C1409" s="4" t="s">
        <v>63</v>
      </c>
      <c r="D1409" s="6" t="str">
        <f>HYPERLINK("javascript:void(0)","smaragd")</f>
        <v>smaragd</v>
      </c>
    </row>
    <row r="1410" spans="1:4" ht="12.75" customHeight="1" x14ac:dyDescent="0.2">
      <c r="A1410" s="5"/>
      <c r="B1410" s="2"/>
      <c r="C1410" s="2"/>
      <c r="D1410" s="2"/>
    </row>
    <row r="1411" spans="1:4" ht="12.75" customHeight="1" x14ac:dyDescent="0.2">
      <c r="A1411" s="22" t="str">
        <f>HYPERLINK("javascript:void(0)","elfacél dorong")</f>
        <v>elfacél dorong</v>
      </c>
      <c r="B1411" s="21"/>
      <c r="C1411" s="21"/>
      <c r="D1411" s="21"/>
    </row>
    <row r="1412" spans="1:4" ht="12.75" customHeight="1" x14ac:dyDescent="0.2">
      <c r="A1412" s="20"/>
      <c r="B1412" s="2"/>
      <c r="C1412" s="2"/>
      <c r="D1412" s="2"/>
    </row>
    <row r="1413" spans="1:4" ht="12.75" customHeight="1" x14ac:dyDescent="0.2">
      <c r="A1413" s="21"/>
      <c r="B1413" s="3" t="s">
        <v>0</v>
      </c>
      <c r="C1413" s="20" t="s">
        <v>221</v>
      </c>
      <c r="D1413" s="21"/>
    </row>
    <row r="1414" spans="1:4" ht="12.75" customHeight="1" x14ac:dyDescent="0.2">
      <c r="A1414" s="21"/>
      <c r="B1414" s="3" t="s">
        <v>2</v>
      </c>
      <c r="C1414" s="20" t="s">
        <v>122</v>
      </c>
      <c r="D1414" s="21"/>
    </row>
    <row r="1415" spans="1:4" ht="12.75" customHeight="1" x14ac:dyDescent="0.2">
      <c r="A1415" s="21"/>
      <c r="B1415" s="3" t="s">
        <v>4</v>
      </c>
      <c r="C1415" s="20" t="s">
        <v>493</v>
      </c>
      <c r="D1415" s="21"/>
    </row>
    <row r="1416" spans="1:4" ht="12.75" customHeight="1" x14ac:dyDescent="0.2">
      <c r="A1416" s="21"/>
      <c r="B1416" s="3" t="s">
        <v>6</v>
      </c>
      <c r="C1416" s="20" t="s">
        <v>51</v>
      </c>
      <c r="D1416" s="21"/>
    </row>
    <row r="1417" spans="1:4" ht="12.75" customHeight="1" x14ac:dyDescent="0.2">
      <c r="A1417" s="21"/>
      <c r="B1417" s="3" t="s">
        <v>8</v>
      </c>
      <c r="C1417" s="20" t="s">
        <v>493</v>
      </c>
      <c r="D1417" s="21"/>
    </row>
    <row r="1418" spans="1:4" ht="12.75" customHeight="1" x14ac:dyDescent="0.2">
      <c r="A1418" s="21"/>
      <c r="B1418" s="3" t="s">
        <v>9</v>
      </c>
      <c r="C1418" s="20" t="s">
        <v>511</v>
      </c>
      <c r="D1418" s="21"/>
    </row>
    <row r="1419" spans="1:4" ht="12.75" customHeight="1" x14ac:dyDescent="0.2">
      <c r="A1419" s="21"/>
      <c r="B1419" s="3" t="s">
        <v>11</v>
      </c>
      <c r="C1419" s="20" t="s">
        <v>512</v>
      </c>
      <c r="D1419" s="21"/>
    </row>
    <row r="1420" spans="1:4" ht="12.75" customHeight="1" x14ac:dyDescent="0.2">
      <c r="A1420" s="21"/>
      <c r="B1420" s="3" t="s">
        <v>13</v>
      </c>
      <c r="C1420" s="20" t="s">
        <v>24</v>
      </c>
      <c r="D1420" s="21"/>
    </row>
    <row r="1421" spans="1:4" ht="12.75" customHeight="1" x14ac:dyDescent="0.2">
      <c r="A1421" s="21"/>
      <c r="B1421" s="3" t="s">
        <v>15</v>
      </c>
      <c r="C1421" s="20" t="s">
        <v>24</v>
      </c>
      <c r="D1421" s="21"/>
    </row>
    <row r="1422" spans="1:4" ht="12.75" customHeight="1" x14ac:dyDescent="0.2">
      <c r="A1422" s="21"/>
      <c r="B1422" s="3" t="s">
        <v>16</v>
      </c>
      <c r="C1422" s="20"/>
      <c r="D1422" s="21"/>
    </row>
    <row r="1423" spans="1:4" ht="12.75" customHeight="1" x14ac:dyDescent="0.2">
      <c r="A1423" s="21"/>
      <c r="B1423" s="3" t="s">
        <v>17</v>
      </c>
      <c r="C1423" s="20"/>
      <c r="D1423" s="21"/>
    </row>
    <row r="1424" spans="1:4" ht="12.75" customHeight="1" x14ac:dyDescent="0.2">
      <c r="A1424" s="21"/>
      <c r="B1424" s="20" t="s">
        <v>18</v>
      </c>
      <c r="C1424" s="4" t="s">
        <v>44</v>
      </c>
      <c r="D1424" s="6" t="str">
        <f>HYPERLINK("javascript:void(0)","hidracél dorong")</f>
        <v>hidracél dorong</v>
      </c>
    </row>
    <row r="1425" spans="1:4" ht="12.75" customHeight="1" x14ac:dyDescent="0.2">
      <c r="A1425" s="21"/>
      <c r="B1425" s="21"/>
      <c r="C1425" s="4" t="s">
        <v>494</v>
      </c>
      <c r="D1425" s="6" t="str">
        <f>HYPERLINK("javascript:void(0)","rubin")</f>
        <v>rubin</v>
      </c>
    </row>
    <row r="1426" spans="1:4" ht="12.75" customHeight="1" x14ac:dyDescent="0.2">
      <c r="A1426" s="21"/>
      <c r="B1426" s="21"/>
      <c r="C1426" s="4" t="s">
        <v>57</v>
      </c>
      <c r="D1426" s="6" t="str">
        <f>HYPERLINK("javascript:void(0)","tigrisirha")</f>
        <v>tigrisirha</v>
      </c>
    </row>
    <row r="1427" spans="1:4" ht="12.75" customHeight="1" x14ac:dyDescent="0.2">
      <c r="A1427" s="5"/>
      <c r="B1427" s="2"/>
      <c r="C1427" s="2"/>
      <c r="D1427" s="2"/>
    </row>
    <row r="1428" spans="1:4" ht="12.75" customHeight="1" x14ac:dyDescent="0.2">
      <c r="A1428" s="22" t="str">
        <f>HYPERLINK("javascript:void(0)","dracoacél ballaszt")</f>
        <v>dracoacél ballaszt</v>
      </c>
      <c r="B1428" s="21"/>
      <c r="C1428" s="21"/>
      <c r="D1428" s="21"/>
    </row>
    <row r="1429" spans="1:4" ht="12.75" customHeight="1" x14ac:dyDescent="0.2">
      <c r="A1429" s="20"/>
      <c r="B1429" s="2"/>
      <c r="C1429" s="2"/>
      <c r="D1429" s="2"/>
    </row>
    <row r="1430" spans="1:4" ht="12.75" customHeight="1" x14ac:dyDescent="0.2">
      <c r="A1430" s="21"/>
      <c r="B1430" s="3" t="s">
        <v>0</v>
      </c>
      <c r="C1430" s="20" t="s">
        <v>221</v>
      </c>
      <c r="D1430" s="21"/>
    </row>
    <row r="1431" spans="1:4" ht="12.75" customHeight="1" x14ac:dyDescent="0.2">
      <c r="A1431" s="21"/>
      <c r="B1431" s="3" t="s">
        <v>2</v>
      </c>
      <c r="C1431" s="20" t="s">
        <v>122</v>
      </c>
      <c r="D1431" s="21"/>
    </row>
    <row r="1432" spans="1:4" ht="12.75" customHeight="1" x14ac:dyDescent="0.2">
      <c r="A1432" s="21"/>
      <c r="B1432" s="3" t="s">
        <v>4</v>
      </c>
      <c r="C1432" s="20" t="s">
        <v>517</v>
      </c>
      <c r="D1432" s="21"/>
    </row>
    <row r="1433" spans="1:4" ht="12.75" customHeight="1" x14ac:dyDescent="0.2">
      <c r="A1433" s="21"/>
      <c r="B1433" s="3" t="s">
        <v>6</v>
      </c>
      <c r="C1433" s="20" t="s">
        <v>153</v>
      </c>
      <c r="D1433" s="21"/>
    </row>
    <row r="1434" spans="1:4" ht="12.75" customHeight="1" x14ac:dyDescent="0.2">
      <c r="A1434" s="21"/>
      <c r="B1434" s="3" t="s">
        <v>8</v>
      </c>
      <c r="C1434" s="20" t="s">
        <v>517</v>
      </c>
      <c r="D1434" s="21"/>
    </row>
    <row r="1435" spans="1:4" ht="12.75" customHeight="1" x14ac:dyDescent="0.2">
      <c r="A1435" s="21"/>
      <c r="B1435" s="3" t="s">
        <v>9</v>
      </c>
      <c r="C1435" s="20" t="s">
        <v>518</v>
      </c>
      <c r="D1435" s="21"/>
    </row>
    <row r="1436" spans="1:4" ht="12.75" customHeight="1" x14ac:dyDescent="0.2">
      <c r="A1436" s="21"/>
      <c r="B1436" s="3" t="s">
        <v>11</v>
      </c>
      <c r="C1436" s="20" t="s">
        <v>519</v>
      </c>
      <c r="D1436" s="21"/>
    </row>
    <row r="1437" spans="1:4" ht="12.75" customHeight="1" x14ac:dyDescent="0.2">
      <c r="A1437" s="21"/>
      <c r="B1437" s="3" t="s">
        <v>13</v>
      </c>
      <c r="C1437" s="20" t="s">
        <v>24</v>
      </c>
      <c r="D1437" s="21"/>
    </row>
    <row r="1438" spans="1:4" ht="12.75" customHeight="1" x14ac:dyDescent="0.2">
      <c r="A1438" s="21"/>
      <c r="B1438" s="3" t="s">
        <v>15</v>
      </c>
      <c r="C1438" s="20" t="s">
        <v>24</v>
      </c>
      <c r="D1438" s="21"/>
    </row>
    <row r="1439" spans="1:4" ht="12.75" customHeight="1" x14ac:dyDescent="0.2">
      <c r="A1439" s="21"/>
      <c r="B1439" s="3" t="s">
        <v>16</v>
      </c>
      <c r="C1439" s="20"/>
      <c r="D1439" s="21"/>
    </row>
    <row r="1440" spans="1:4" ht="12.75" customHeight="1" x14ac:dyDescent="0.2">
      <c r="A1440" s="21"/>
      <c r="B1440" s="3" t="s">
        <v>17</v>
      </c>
      <c r="C1440" s="20"/>
      <c r="D1440" s="21"/>
    </row>
    <row r="1441" spans="1:4" ht="12.75" customHeight="1" x14ac:dyDescent="0.2">
      <c r="A1441" s="21"/>
      <c r="B1441" s="20" t="s">
        <v>18</v>
      </c>
      <c r="C1441" s="4" t="s">
        <v>139</v>
      </c>
      <c r="D1441" s="6" t="str">
        <f>HYPERLINK("javascript:void(0)","sárkány szem")</f>
        <v>sárkány szem</v>
      </c>
    </row>
    <row r="1442" spans="1:4" ht="12.75" customHeight="1" x14ac:dyDescent="0.2">
      <c r="A1442" s="21"/>
      <c r="B1442" s="21"/>
      <c r="C1442" s="4" t="s">
        <v>184</v>
      </c>
      <c r="D1442" s="6" t="str">
        <f>HYPERLINK("javascript:void(0)","sárkánypikkely")</f>
        <v>sárkánypikkely</v>
      </c>
    </row>
    <row r="1443" spans="1:4" ht="12.75" customHeight="1" x14ac:dyDescent="0.2">
      <c r="A1443" s="21"/>
      <c r="B1443" s="21"/>
      <c r="C1443" s="4" t="s">
        <v>184</v>
      </c>
      <c r="D1443" s="6" t="str">
        <f>HYPERLINK("javascript:void(0)","sárkányfog")</f>
        <v>sárkányfog</v>
      </c>
    </row>
    <row r="1444" spans="1:4" ht="12.75" customHeight="1" x14ac:dyDescent="0.2">
      <c r="A1444" s="5"/>
      <c r="B1444" s="2"/>
      <c r="C1444" s="2"/>
      <c r="D1444" s="2"/>
    </row>
    <row r="1445" spans="1:4" ht="12.75" customHeight="1" x14ac:dyDescent="0.2">
      <c r="A1445" s="22" t="str">
        <f>HYPERLINK("javascript:void(0)","óriás csatacsillag")</f>
        <v>óriás csatacsillag</v>
      </c>
      <c r="B1445" s="21"/>
      <c r="C1445" s="21"/>
      <c r="D1445" s="21"/>
    </row>
    <row r="1446" spans="1:4" ht="12.75" customHeight="1" x14ac:dyDescent="0.2">
      <c r="A1446" s="20"/>
      <c r="B1446" s="2"/>
      <c r="C1446" s="2"/>
      <c r="D1446" s="2"/>
    </row>
    <row r="1447" spans="1:4" ht="12.75" customHeight="1" x14ac:dyDescent="0.2">
      <c r="A1447" s="21"/>
      <c r="B1447" s="3" t="s">
        <v>0</v>
      </c>
      <c r="C1447" s="20" t="s">
        <v>157</v>
      </c>
      <c r="D1447" s="21"/>
    </row>
    <row r="1448" spans="1:4" ht="12.75" customHeight="1" x14ac:dyDescent="0.2">
      <c r="A1448" s="21"/>
      <c r="B1448" s="3" t="s">
        <v>2</v>
      </c>
      <c r="C1448" s="20" t="s">
        <v>122</v>
      </c>
      <c r="D1448" s="21"/>
    </row>
    <row r="1449" spans="1:4" ht="12.75" customHeight="1" x14ac:dyDescent="0.2">
      <c r="A1449" s="21"/>
      <c r="B1449" s="3" t="s">
        <v>4</v>
      </c>
      <c r="C1449" s="20" t="s">
        <v>522</v>
      </c>
      <c r="D1449" s="21"/>
    </row>
    <row r="1450" spans="1:4" ht="12.75" customHeight="1" x14ac:dyDescent="0.2">
      <c r="A1450" s="21"/>
      <c r="B1450" s="3" t="s">
        <v>6</v>
      </c>
      <c r="C1450" s="20" t="s">
        <v>35</v>
      </c>
      <c r="D1450" s="21"/>
    </row>
    <row r="1451" spans="1:4" ht="12.75" customHeight="1" x14ac:dyDescent="0.2">
      <c r="A1451" s="21"/>
      <c r="B1451" s="3" t="s">
        <v>8</v>
      </c>
      <c r="C1451" s="20" t="s">
        <v>522</v>
      </c>
      <c r="D1451" s="21"/>
    </row>
    <row r="1452" spans="1:4" ht="12.75" customHeight="1" x14ac:dyDescent="0.2">
      <c r="A1452" s="21"/>
      <c r="B1452" s="3" t="s">
        <v>9</v>
      </c>
      <c r="C1452" s="20" t="s">
        <v>524</v>
      </c>
      <c r="D1452" s="21"/>
    </row>
    <row r="1453" spans="1:4" ht="12.75" customHeight="1" x14ac:dyDescent="0.2">
      <c r="A1453" s="21"/>
      <c r="B1453" s="3" t="s">
        <v>11</v>
      </c>
      <c r="C1453" s="20" t="s">
        <v>252</v>
      </c>
      <c r="D1453" s="21"/>
    </row>
    <row r="1454" spans="1:4" ht="12.75" customHeight="1" x14ac:dyDescent="0.2">
      <c r="A1454" s="21"/>
      <c r="B1454" s="3" t="s">
        <v>13</v>
      </c>
      <c r="C1454" s="20" t="s">
        <v>24</v>
      </c>
      <c r="D1454" s="21"/>
    </row>
    <row r="1455" spans="1:4" ht="12.75" customHeight="1" x14ac:dyDescent="0.2">
      <c r="A1455" s="21"/>
      <c r="B1455" s="3" t="s">
        <v>15</v>
      </c>
      <c r="C1455" s="20" t="s">
        <v>24</v>
      </c>
      <c r="D1455" s="21"/>
    </row>
    <row r="1456" spans="1:4" ht="12.75" customHeight="1" x14ac:dyDescent="0.2">
      <c r="A1456" s="21"/>
      <c r="B1456" s="3" t="s">
        <v>16</v>
      </c>
      <c r="C1456" s="20"/>
      <c r="D1456" s="21"/>
    </row>
    <row r="1457" spans="1:4" ht="12.75" customHeight="1" x14ac:dyDescent="0.2">
      <c r="A1457" s="21"/>
      <c r="B1457" s="3" t="s">
        <v>17</v>
      </c>
      <c r="C1457" s="20"/>
      <c r="D1457" s="21"/>
    </row>
    <row r="1458" spans="1:4" ht="12.75" customHeight="1" x14ac:dyDescent="0.2">
      <c r="A1458" s="21"/>
      <c r="B1458" s="20" t="s">
        <v>18</v>
      </c>
      <c r="C1458" s="4" t="s">
        <v>56</v>
      </c>
      <c r="D1458" s="6" t="str">
        <f>HYPERLINK("javascript:void(0)","varázscsatacsillag")</f>
        <v>varázscsatacsillag</v>
      </c>
    </row>
    <row r="1459" spans="1:4" ht="12.75" customHeight="1" x14ac:dyDescent="0.2">
      <c r="A1459" s="21"/>
      <c r="B1459" s="21"/>
      <c r="C1459" s="4" t="s">
        <v>67</v>
      </c>
      <c r="D1459" s="6" t="str">
        <f>HYPERLINK("javascript:void(0)","nyonyóc fog")</f>
        <v>nyonyóc fog</v>
      </c>
    </row>
    <row r="1460" spans="1:4" ht="12.75" customHeight="1" x14ac:dyDescent="0.2">
      <c r="A1460" s="21"/>
      <c r="B1460" s="21"/>
      <c r="C1460" s="4" t="s">
        <v>142</v>
      </c>
      <c r="D1460" s="6" t="str">
        <f>HYPERLINK("javascript:void(0)","nyeglenyelv")</f>
        <v>nyeglenyelv</v>
      </c>
    </row>
    <row r="1461" spans="1:4" ht="12.75" customHeight="1" x14ac:dyDescent="0.2">
      <c r="A1461" s="5"/>
      <c r="B1461" s="2"/>
      <c r="C1461" s="2"/>
      <c r="D1461" s="2"/>
    </row>
    <row r="1462" spans="1:4" ht="12.75" customHeight="1" x14ac:dyDescent="0.2">
      <c r="A1462" s="22" t="str">
        <f>HYPERLINK("javascript:void(0)","10000 éves kenyér")</f>
        <v>10000 éves kenyér</v>
      </c>
      <c r="B1462" s="21"/>
      <c r="C1462" s="21"/>
      <c r="D1462" s="21"/>
    </row>
    <row r="1463" spans="1:4" ht="12.75" customHeight="1" x14ac:dyDescent="0.2">
      <c r="A1463" s="20"/>
      <c r="B1463" s="2"/>
      <c r="C1463" s="2"/>
      <c r="D1463" s="2"/>
    </row>
    <row r="1464" spans="1:4" ht="12.75" customHeight="1" x14ac:dyDescent="0.2">
      <c r="A1464" s="21"/>
      <c r="B1464" s="3" t="s">
        <v>0</v>
      </c>
      <c r="C1464" s="20" t="s">
        <v>157</v>
      </c>
      <c r="D1464" s="21"/>
    </row>
    <row r="1465" spans="1:4" ht="12.75" customHeight="1" x14ac:dyDescent="0.2">
      <c r="A1465" s="21"/>
      <c r="B1465" s="3" t="s">
        <v>2</v>
      </c>
      <c r="C1465" s="20" t="s">
        <v>122</v>
      </c>
      <c r="D1465" s="21"/>
    </row>
    <row r="1466" spans="1:4" ht="12.75" customHeight="1" x14ac:dyDescent="0.2">
      <c r="A1466" s="21"/>
      <c r="B1466" s="3" t="s">
        <v>4</v>
      </c>
      <c r="C1466" s="20" t="s">
        <v>522</v>
      </c>
      <c r="D1466" s="21"/>
    </row>
    <row r="1467" spans="1:4" ht="12.75" customHeight="1" x14ac:dyDescent="0.2">
      <c r="A1467" s="21"/>
      <c r="B1467" s="3" t="s">
        <v>6</v>
      </c>
      <c r="C1467" s="20" t="s">
        <v>92</v>
      </c>
      <c r="D1467" s="21"/>
    </row>
    <row r="1468" spans="1:4" ht="12.75" customHeight="1" x14ac:dyDescent="0.2">
      <c r="A1468" s="21"/>
      <c r="B1468" s="3" t="s">
        <v>8</v>
      </c>
      <c r="C1468" s="20" t="s">
        <v>522</v>
      </c>
      <c r="D1468" s="21"/>
    </row>
    <row r="1469" spans="1:4" ht="12.75" customHeight="1" x14ac:dyDescent="0.2">
      <c r="A1469" s="21"/>
      <c r="B1469" s="3" t="s">
        <v>9</v>
      </c>
      <c r="C1469" s="20" t="s">
        <v>124</v>
      </c>
      <c r="D1469" s="21"/>
    </row>
    <row r="1470" spans="1:4" ht="12.75" customHeight="1" x14ac:dyDescent="0.2">
      <c r="A1470" s="21"/>
      <c r="B1470" s="3" t="s">
        <v>11</v>
      </c>
      <c r="C1470" s="20" t="s">
        <v>530</v>
      </c>
      <c r="D1470" s="21"/>
    </row>
    <row r="1471" spans="1:4" ht="12.75" customHeight="1" x14ac:dyDescent="0.2">
      <c r="A1471" s="21"/>
      <c r="B1471" s="3" t="s">
        <v>13</v>
      </c>
      <c r="C1471" s="20" t="s">
        <v>24</v>
      </c>
      <c r="D1471" s="21"/>
    </row>
    <row r="1472" spans="1:4" ht="12.75" customHeight="1" x14ac:dyDescent="0.2">
      <c r="A1472" s="21"/>
      <c r="B1472" s="3" t="s">
        <v>15</v>
      </c>
      <c r="C1472" s="20" t="s">
        <v>24</v>
      </c>
      <c r="D1472" s="21"/>
    </row>
    <row r="1473" spans="1:4" ht="12.75" customHeight="1" x14ac:dyDescent="0.2">
      <c r="A1473" s="21"/>
      <c r="B1473" s="3" t="s">
        <v>16</v>
      </c>
      <c r="C1473" s="20"/>
      <c r="D1473" s="21"/>
    </row>
    <row r="1474" spans="1:4" ht="12.75" customHeight="1" x14ac:dyDescent="0.2">
      <c r="A1474" s="21"/>
      <c r="B1474" s="3" t="s">
        <v>17</v>
      </c>
      <c r="C1474" s="20"/>
      <c r="D1474" s="21"/>
    </row>
    <row r="1475" spans="1:4" ht="12.75" customHeight="1" x14ac:dyDescent="0.2">
      <c r="A1475" s="21"/>
      <c r="B1475" s="20" t="s">
        <v>18</v>
      </c>
      <c r="C1475" s="4" t="s">
        <v>44</v>
      </c>
      <c r="D1475" s="6" t="str">
        <f>HYPERLINK("javascript:void(0)","2000 éves kenyér")</f>
        <v>2000 éves kenyér</v>
      </c>
    </row>
    <row r="1476" spans="1:4" ht="12.75" customHeight="1" x14ac:dyDescent="0.2">
      <c r="A1476" s="21"/>
      <c r="B1476" s="21"/>
      <c r="C1476" s="4" t="s">
        <v>44</v>
      </c>
      <c r="D1476" s="6" t="str">
        <f>HYPERLINK("javascript:void(0)","centrolium")</f>
        <v>centrolium</v>
      </c>
    </row>
    <row r="1477" spans="1:4" ht="12.75" customHeight="1" x14ac:dyDescent="0.2">
      <c r="A1477" s="21"/>
      <c r="B1477" s="21"/>
      <c r="C1477" s="4" t="s">
        <v>55</v>
      </c>
      <c r="D1477" s="6" t="str">
        <f>HYPERLINK("javascript:void(0)","démonvádli")</f>
        <v>démonvádli</v>
      </c>
    </row>
    <row r="1478" spans="1:4" ht="12.75" customHeight="1" x14ac:dyDescent="0.2">
      <c r="A1478" s="5"/>
      <c r="B1478" s="2"/>
      <c r="C1478" s="2"/>
      <c r="D1478" s="2"/>
    </row>
    <row r="1479" spans="1:4" ht="12.75" customHeight="1" x14ac:dyDescent="0.2">
      <c r="A1479" s="22" t="str">
        <f>HYPERLINK("javascript:void(0)","20000 éves kenyér")</f>
        <v>20000 éves kenyér</v>
      </c>
      <c r="B1479" s="21"/>
      <c r="C1479" s="21"/>
      <c r="D1479" s="21"/>
    </row>
    <row r="1480" spans="1:4" ht="12.75" customHeight="1" x14ac:dyDescent="0.2">
      <c r="A1480" s="20"/>
      <c r="B1480" s="2"/>
      <c r="C1480" s="2"/>
      <c r="D1480" s="2"/>
    </row>
    <row r="1481" spans="1:4" ht="12.75" customHeight="1" x14ac:dyDescent="0.2">
      <c r="A1481" s="21"/>
      <c r="B1481" s="3" t="s">
        <v>0</v>
      </c>
      <c r="C1481" s="20" t="s">
        <v>157</v>
      </c>
      <c r="D1481" s="21"/>
    </row>
    <row r="1482" spans="1:4" ht="12.75" customHeight="1" x14ac:dyDescent="0.2">
      <c r="A1482" s="21"/>
      <c r="B1482" s="3" t="s">
        <v>2</v>
      </c>
      <c r="C1482" s="20" t="s">
        <v>122</v>
      </c>
      <c r="D1482" s="21"/>
    </row>
    <row r="1483" spans="1:4" ht="12.75" customHeight="1" x14ac:dyDescent="0.2">
      <c r="A1483" s="21"/>
      <c r="B1483" s="3" t="s">
        <v>4</v>
      </c>
      <c r="C1483" s="20" t="s">
        <v>533</v>
      </c>
      <c r="D1483" s="21"/>
    </row>
    <row r="1484" spans="1:4" ht="12.75" customHeight="1" x14ac:dyDescent="0.2">
      <c r="A1484" s="21"/>
      <c r="B1484" s="3" t="s">
        <v>6</v>
      </c>
      <c r="C1484" s="20" t="s">
        <v>151</v>
      </c>
      <c r="D1484" s="21"/>
    </row>
    <row r="1485" spans="1:4" ht="12.75" customHeight="1" x14ac:dyDescent="0.2">
      <c r="A1485" s="21"/>
      <c r="B1485" s="3" t="s">
        <v>8</v>
      </c>
      <c r="C1485" s="20" t="s">
        <v>533</v>
      </c>
      <c r="D1485" s="21"/>
    </row>
    <row r="1486" spans="1:4" ht="12.75" customHeight="1" x14ac:dyDescent="0.2">
      <c r="A1486" s="21"/>
      <c r="B1486" s="3" t="s">
        <v>9</v>
      </c>
      <c r="C1486" s="20" t="s">
        <v>124</v>
      </c>
      <c r="D1486" s="21"/>
    </row>
    <row r="1487" spans="1:4" ht="12.75" customHeight="1" x14ac:dyDescent="0.2">
      <c r="A1487" s="21"/>
      <c r="B1487" s="3" t="s">
        <v>11</v>
      </c>
      <c r="C1487" s="20" t="s">
        <v>535</v>
      </c>
      <c r="D1487" s="21"/>
    </row>
    <row r="1488" spans="1:4" ht="12.75" customHeight="1" x14ac:dyDescent="0.2">
      <c r="A1488" s="21"/>
      <c r="B1488" s="3" t="s">
        <v>13</v>
      </c>
      <c r="C1488" s="20" t="s">
        <v>24</v>
      </c>
      <c r="D1488" s="21"/>
    </row>
    <row r="1489" spans="1:4" ht="12.75" customHeight="1" x14ac:dyDescent="0.2">
      <c r="A1489" s="21"/>
      <c r="B1489" s="3" t="s">
        <v>15</v>
      </c>
      <c r="C1489" s="20" t="s">
        <v>14</v>
      </c>
      <c r="D1489" s="21"/>
    </row>
    <row r="1490" spans="1:4" ht="12.75" customHeight="1" x14ac:dyDescent="0.2">
      <c r="A1490" s="21"/>
      <c r="B1490" s="3" t="s">
        <v>16</v>
      </c>
      <c r="C1490" s="20"/>
      <c r="D1490" s="21"/>
    </row>
    <row r="1491" spans="1:4" ht="12.75" customHeight="1" x14ac:dyDescent="0.2">
      <c r="A1491" s="21"/>
      <c r="B1491" s="3" t="s">
        <v>17</v>
      </c>
      <c r="C1491" s="20"/>
      <c r="D1491" s="21"/>
    </row>
    <row r="1492" spans="1:4" ht="12.75" customHeight="1" x14ac:dyDescent="0.2">
      <c r="A1492" s="21"/>
      <c r="B1492" s="20" t="s">
        <v>18</v>
      </c>
      <c r="C1492" s="4" t="s">
        <v>44</v>
      </c>
      <c r="D1492" s="6" t="str">
        <f>HYPERLINK("javascript:void(0)","10000 éves kenyér")</f>
        <v>10000 éves kenyér</v>
      </c>
    </row>
    <row r="1493" spans="1:4" ht="12.75" customHeight="1" x14ac:dyDescent="0.2">
      <c r="A1493" s="21"/>
      <c r="B1493" s="21"/>
      <c r="C1493" s="4" t="s">
        <v>117</v>
      </c>
      <c r="D1493" s="6" t="str">
        <f>HYPERLINK("javascript:void(0)","gyémántkarika")</f>
        <v>gyémántkarika</v>
      </c>
    </row>
    <row r="1494" spans="1:4" ht="12.75" customHeight="1" x14ac:dyDescent="0.2">
      <c r="A1494" s="21"/>
      <c r="B1494" s="21"/>
      <c r="C1494" s="4" t="s">
        <v>56</v>
      </c>
      <c r="D1494" s="6" t="str">
        <f>HYPERLINK("javascript:void(0)","lélegző sarokkő")</f>
        <v>lélegző sarokkő</v>
      </c>
    </row>
    <row r="1495" spans="1:4" ht="12.75" customHeight="1" x14ac:dyDescent="0.2">
      <c r="A1495" s="5"/>
      <c r="B1495" s="2"/>
      <c r="C1495" s="2"/>
      <c r="D1495" s="2"/>
    </row>
    <row r="1496" spans="1:4" ht="12.75" customHeight="1" x14ac:dyDescent="0.2">
      <c r="A1496" s="22" t="str">
        <f>HYPERLINK("javascript:void(0)","gyémánt mágusölő")</f>
        <v>gyémánt mágusölő</v>
      </c>
      <c r="B1496" s="21"/>
      <c r="C1496" s="21"/>
      <c r="D1496" s="21"/>
    </row>
    <row r="1497" spans="1:4" ht="12.75" customHeight="1" x14ac:dyDescent="0.2">
      <c r="A1497" s="20"/>
      <c r="B1497" s="2"/>
      <c r="C1497" s="2"/>
      <c r="D1497" s="2"/>
    </row>
    <row r="1498" spans="1:4" ht="12.75" customHeight="1" x14ac:dyDescent="0.2">
      <c r="A1498" s="21"/>
      <c r="B1498" s="3" t="s">
        <v>0</v>
      </c>
      <c r="C1498" s="20" t="s">
        <v>157</v>
      </c>
      <c r="D1498" s="21"/>
    </row>
    <row r="1499" spans="1:4" ht="12.75" customHeight="1" x14ac:dyDescent="0.2">
      <c r="A1499" s="21"/>
      <c r="B1499" s="3" t="s">
        <v>2</v>
      </c>
      <c r="C1499" s="20" t="s">
        <v>122</v>
      </c>
      <c r="D1499" s="21"/>
    </row>
    <row r="1500" spans="1:4" ht="12.75" customHeight="1" x14ac:dyDescent="0.2">
      <c r="A1500" s="21"/>
      <c r="B1500" s="3" t="s">
        <v>4</v>
      </c>
      <c r="C1500" s="20" t="s">
        <v>247</v>
      </c>
      <c r="D1500" s="21"/>
    </row>
    <row r="1501" spans="1:4" ht="12.75" customHeight="1" x14ac:dyDescent="0.2">
      <c r="A1501" s="21"/>
      <c r="B1501" s="3" t="s">
        <v>6</v>
      </c>
      <c r="C1501" s="20" t="s">
        <v>48</v>
      </c>
      <c r="D1501" s="21"/>
    </row>
    <row r="1502" spans="1:4" ht="12.75" customHeight="1" x14ac:dyDescent="0.2">
      <c r="A1502" s="21"/>
      <c r="B1502" s="3" t="s">
        <v>8</v>
      </c>
      <c r="C1502" s="20" t="s">
        <v>247</v>
      </c>
      <c r="D1502" s="21"/>
    </row>
    <row r="1503" spans="1:4" ht="12.75" customHeight="1" x14ac:dyDescent="0.2">
      <c r="A1503" s="21"/>
      <c r="B1503" s="3" t="s">
        <v>9</v>
      </c>
      <c r="C1503" s="20" t="s">
        <v>262</v>
      </c>
      <c r="D1503" s="21"/>
    </row>
    <row r="1504" spans="1:4" ht="12.75" customHeight="1" x14ac:dyDescent="0.2">
      <c r="A1504" s="21"/>
      <c r="B1504" s="3" t="s">
        <v>11</v>
      </c>
      <c r="C1504" s="20" t="s">
        <v>89</v>
      </c>
      <c r="D1504" s="21"/>
    </row>
    <row r="1505" spans="1:4" ht="12.75" customHeight="1" x14ac:dyDescent="0.2">
      <c r="A1505" s="21"/>
      <c r="B1505" s="3" t="s">
        <v>13</v>
      </c>
      <c r="C1505" s="20" t="s">
        <v>14</v>
      </c>
      <c r="D1505" s="21"/>
    </row>
    <row r="1506" spans="1:4" ht="12.75" customHeight="1" x14ac:dyDescent="0.2">
      <c r="A1506" s="21"/>
      <c r="B1506" s="3" t="s">
        <v>15</v>
      </c>
      <c r="C1506" s="20" t="s">
        <v>24</v>
      </c>
      <c r="D1506" s="21"/>
    </row>
    <row r="1507" spans="1:4" ht="12.75" customHeight="1" x14ac:dyDescent="0.2">
      <c r="A1507" s="21"/>
      <c r="B1507" s="3" t="s">
        <v>16</v>
      </c>
      <c r="C1507" s="20"/>
      <c r="D1507" s="21"/>
    </row>
    <row r="1508" spans="1:4" ht="12.75" customHeight="1" x14ac:dyDescent="0.2">
      <c r="A1508" s="21"/>
      <c r="B1508" s="3" t="s">
        <v>17</v>
      </c>
      <c r="C1508" s="20"/>
      <c r="D1508" s="21"/>
    </row>
    <row r="1509" spans="1:4" ht="12.75" customHeight="1" x14ac:dyDescent="0.2">
      <c r="A1509" s="21"/>
      <c r="B1509" s="20" t="s">
        <v>18</v>
      </c>
      <c r="C1509" s="4" t="s">
        <v>44</v>
      </c>
      <c r="D1509" s="6" t="str">
        <f>HYPERLINK("javascript:void(0)","rubin mágusölő")</f>
        <v>rubin mágusölő</v>
      </c>
    </row>
    <row r="1510" spans="1:4" ht="12.75" customHeight="1" x14ac:dyDescent="0.2">
      <c r="A1510" s="21"/>
      <c r="B1510" s="21"/>
      <c r="C1510" s="4" t="s">
        <v>290</v>
      </c>
      <c r="D1510" s="6" t="str">
        <f>HYPERLINK("javascript:void(0)","yorick")</f>
        <v>yorick</v>
      </c>
    </row>
    <row r="1511" spans="1:4" ht="12.75" customHeight="1" x14ac:dyDescent="0.2">
      <c r="A1511" s="21"/>
      <c r="B1511" s="21"/>
      <c r="C1511" s="4" t="s">
        <v>309</v>
      </c>
      <c r="D1511" s="6" t="str">
        <f>HYPERLINK("javascript:void(0)","gyémánt")</f>
        <v>gyémánt</v>
      </c>
    </row>
    <row r="1512" spans="1:4" ht="12.75" customHeight="1" x14ac:dyDescent="0.2">
      <c r="A1512" s="5"/>
      <c r="B1512" s="2"/>
      <c r="C1512" s="2"/>
      <c r="D1512" s="2"/>
    </row>
    <row r="1513" spans="1:4" ht="12.75" customHeight="1" x14ac:dyDescent="0.2">
      <c r="A1513" s="22" t="str">
        <f>HYPERLINK("javascript:void(0)","elfacél sodrófa")</f>
        <v>elfacél sodrófa</v>
      </c>
      <c r="B1513" s="21"/>
      <c r="C1513" s="21"/>
      <c r="D1513" s="21"/>
    </row>
    <row r="1514" spans="1:4" ht="12.75" customHeight="1" x14ac:dyDescent="0.2">
      <c r="A1514" s="20"/>
      <c r="B1514" s="2"/>
      <c r="C1514" s="2"/>
      <c r="D1514" s="2"/>
    </row>
    <row r="1515" spans="1:4" ht="12.75" customHeight="1" x14ac:dyDescent="0.2">
      <c r="A1515" s="21"/>
      <c r="B1515" s="3" t="s">
        <v>0</v>
      </c>
      <c r="C1515" s="20" t="s">
        <v>41</v>
      </c>
      <c r="D1515" s="21"/>
    </row>
    <row r="1516" spans="1:4" ht="12.75" customHeight="1" x14ac:dyDescent="0.2">
      <c r="A1516" s="21"/>
      <c r="B1516" s="3" t="s">
        <v>2</v>
      </c>
      <c r="C1516" s="20" t="s">
        <v>122</v>
      </c>
      <c r="D1516" s="21"/>
    </row>
    <row r="1517" spans="1:4" ht="12.75" customHeight="1" x14ac:dyDescent="0.2">
      <c r="A1517" s="21"/>
      <c r="B1517" s="3" t="s">
        <v>4</v>
      </c>
      <c r="C1517" s="20" t="s">
        <v>539</v>
      </c>
      <c r="D1517" s="21"/>
    </row>
    <row r="1518" spans="1:4" ht="12.75" customHeight="1" x14ac:dyDescent="0.2">
      <c r="A1518" s="21"/>
      <c r="B1518" s="3" t="s">
        <v>6</v>
      </c>
      <c r="C1518" s="20" t="s">
        <v>221</v>
      </c>
      <c r="D1518" s="21"/>
    </row>
    <row r="1519" spans="1:4" ht="12.75" customHeight="1" x14ac:dyDescent="0.2">
      <c r="A1519" s="21"/>
      <c r="B1519" s="3" t="s">
        <v>8</v>
      </c>
      <c r="C1519" s="20" t="s">
        <v>539</v>
      </c>
      <c r="D1519" s="21"/>
    </row>
    <row r="1520" spans="1:4" ht="12.75" customHeight="1" x14ac:dyDescent="0.2">
      <c r="A1520" s="21"/>
      <c r="B1520" s="3" t="s">
        <v>9</v>
      </c>
      <c r="C1520" s="20" t="s">
        <v>179</v>
      </c>
      <c r="D1520" s="21"/>
    </row>
    <row r="1521" spans="1:4" ht="12.75" customHeight="1" x14ac:dyDescent="0.2">
      <c r="A1521" s="21"/>
      <c r="B1521" s="3" t="s">
        <v>11</v>
      </c>
      <c r="C1521" s="20" t="s">
        <v>540</v>
      </c>
      <c r="D1521" s="21"/>
    </row>
    <row r="1522" spans="1:4" ht="12.75" customHeight="1" x14ac:dyDescent="0.2">
      <c r="A1522" s="21"/>
      <c r="B1522" s="3" t="s">
        <v>13</v>
      </c>
      <c r="C1522" s="20" t="s">
        <v>24</v>
      </c>
      <c r="D1522" s="21"/>
    </row>
    <row r="1523" spans="1:4" ht="12.75" customHeight="1" x14ac:dyDescent="0.2">
      <c r="A1523" s="21"/>
      <c r="B1523" s="3" t="s">
        <v>15</v>
      </c>
      <c r="C1523" s="20" t="s">
        <v>24</v>
      </c>
      <c r="D1523" s="21"/>
    </row>
    <row r="1524" spans="1:4" ht="12.75" customHeight="1" x14ac:dyDescent="0.2">
      <c r="A1524" s="21"/>
      <c r="B1524" s="3" t="s">
        <v>16</v>
      </c>
      <c r="C1524" s="20"/>
      <c r="D1524" s="21"/>
    </row>
    <row r="1525" spans="1:4" ht="12.75" customHeight="1" x14ac:dyDescent="0.2">
      <c r="A1525" s="21"/>
      <c r="B1525" s="3" t="s">
        <v>17</v>
      </c>
      <c r="C1525" s="20"/>
      <c r="D1525" s="21"/>
    </row>
    <row r="1526" spans="1:4" ht="12.75" customHeight="1" x14ac:dyDescent="0.2">
      <c r="A1526" s="21"/>
      <c r="B1526" s="20" t="s">
        <v>18</v>
      </c>
      <c r="C1526" s="4" t="s">
        <v>56</v>
      </c>
      <c r="D1526" s="6" t="str">
        <f>HYPERLINK("javascript:void(0)","klopfoló henger")</f>
        <v>klopfoló henger</v>
      </c>
    </row>
    <row r="1527" spans="1:4" ht="12.75" customHeight="1" x14ac:dyDescent="0.2">
      <c r="A1527" s="21"/>
      <c r="B1527" s="21"/>
      <c r="C1527" s="4" t="s">
        <v>271</v>
      </c>
      <c r="D1527" s="6" t="str">
        <f>HYPERLINK("javascript:void(0)","gyöngy")</f>
        <v>gyöngy</v>
      </c>
    </row>
    <row r="1528" spans="1:4" ht="12.75" customHeight="1" x14ac:dyDescent="0.2">
      <c r="A1528" s="21"/>
      <c r="B1528" s="21"/>
      <c r="C1528" s="4" t="s">
        <v>117</v>
      </c>
      <c r="D1528" s="6" t="str">
        <f>HYPERLINK("javascript:void(0)","szén-hidragén")</f>
        <v>szén-hidragén</v>
      </c>
    </row>
    <row r="1529" spans="1:4" ht="12.75" customHeight="1" x14ac:dyDescent="0.2">
      <c r="A1529" s="5"/>
      <c r="B1529" s="2"/>
      <c r="C1529" s="2"/>
      <c r="D1529" s="2"/>
    </row>
    <row r="1530" spans="1:4" ht="12.75" customHeight="1" x14ac:dyDescent="0.2">
      <c r="A1530" s="22" t="str">
        <f>HYPERLINK("javascript:void(0)","elfacél kalapács")</f>
        <v>elfacél kalapács</v>
      </c>
      <c r="B1530" s="21"/>
      <c r="C1530" s="21"/>
      <c r="D1530" s="21"/>
    </row>
    <row r="1531" spans="1:4" ht="12.75" customHeight="1" x14ac:dyDescent="0.2">
      <c r="A1531" s="20"/>
      <c r="B1531" s="2"/>
      <c r="C1531" s="2"/>
      <c r="D1531" s="2"/>
    </row>
    <row r="1532" spans="1:4" ht="12.75" customHeight="1" x14ac:dyDescent="0.2">
      <c r="A1532" s="21"/>
      <c r="B1532" s="3" t="s">
        <v>0</v>
      </c>
      <c r="C1532" s="20" t="s">
        <v>260</v>
      </c>
      <c r="D1532" s="21"/>
    </row>
    <row r="1533" spans="1:4" ht="12.75" customHeight="1" x14ac:dyDescent="0.2">
      <c r="A1533" s="21"/>
      <c r="B1533" s="3" t="s">
        <v>2</v>
      </c>
      <c r="C1533" s="20" t="s">
        <v>122</v>
      </c>
      <c r="D1533" s="21"/>
    </row>
    <row r="1534" spans="1:4" ht="12.75" customHeight="1" x14ac:dyDescent="0.2">
      <c r="A1534" s="21"/>
      <c r="B1534" s="3" t="s">
        <v>4</v>
      </c>
      <c r="C1534" s="20" t="s">
        <v>543</v>
      </c>
      <c r="D1534" s="21"/>
    </row>
    <row r="1535" spans="1:4" ht="12.75" customHeight="1" x14ac:dyDescent="0.2">
      <c r="A1535" s="21"/>
      <c r="B1535" s="3" t="s">
        <v>6</v>
      </c>
      <c r="C1535" s="20" t="s">
        <v>69</v>
      </c>
      <c r="D1535" s="21"/>
    </row>
    <row r="1536" spans="1:4" ht="12.75" customHeight="1" x14ac:dyDescent="0.2">
      <c r="A1536" s="21"/>
      <c r="B1536" s="3" t="s">
        <v>8</v>
      </c>
      <c r="C1536" s="20" t="s">
        <v>543</v>
      </c>
      <c r="D1536" s="21"/>
    </row>
    <row r="1537" spans="1:4" ht="12.75" customHeight="1" x14ac:dyDescent="0.2">
      <c r="A1537" s="21"/>
      <c r="B1537" s="3" t="s">
        <v>9</v>
      </c>
      <c r="C1537" s="20" t="s">
        <v>544</v>
      </c>
      <c r="D1537" s="21"/>
    </row>
    <row r="1538" spans="1:4" ht="12.75" customHeight="1" x14ac:dyDescent="0.2">
      <c r="A1538" s="21"/>
      <c r="B1538" s="3" t="s">
        <v>11</v>
      </c>
      <c r="C1538" s="20" t="s">
        <v>545</v>
      </c>
      <c r="D1538" s="21"/>
    </row>
    <row r="1539" spans="1:4" ht="12.75" customHeight="1" x14ac:dyDescent="0.2">
      <c r="A1539" s="21"/>
      <c r="B1539" s="3" t="s">
        <v>13</v>
      </c>
      <c r="C1539" s="20" t="s">
        <v>24</v>
      </c>
      <c r="D1539" s="21"/>
    </row>
    <row r="1540" spans="1:4" ht="12.75" customHeight="1" x14ac:dyDescent="0.2">
      <c r="A1540" s="21"/>
      <c r="B1540" s="3" t="s">
        <v>15</v>
      </c>
      <c r="C1540" s="20" t="s">
        <v>24</v>
      </c>
      <c r="D1540" s="21"/>
    </row>
    <row r="1541" spans="1:4" ht="12.75" customHeight="1" x14ac:dyDescent="0.2">
      <c r="A1541" s="21"/>
      <c r="B1541" s="3" t="s">
        <v>16</v>
      </c>
      <c r="C1541" s="20"/>
      <c r="D1541" s="21"/>
    </row>
    <row r="1542" spans="1:4" ht="12.75" customHeight="1" x14ac:dyDescent="0.2">
      <c r="A1542" s="21"/>
      <c r="B1542" s="3" t="s">
        <v>17</v>
      </c>
      <c r="C1542" s="20"/>
      <c r="D1542" s="21"/>
    </row>
    <row r="1543" spans="1:4" ht="12.75" customHeight="1" x14ac:dyDescent="0.2">
      <c r="A1543" s="21"/>
      <c r="B1543" s="20" t="s">
        <v>18</v>
      </c>
      <c r="C1543" s="4" t="s">
        <v>44</v>
      </c>
      <c r="D1543" s="6" t="str">
        <f>HYPERLINK("javascript:void(0)","smaragdkalapács")</f>
        <v>smaragdkalapács</v>
      </c>
    </row>
    <row r="1544" spans="1:4" ht="12.75" customHeight="1" x14ac:dyDescent="0.2">
      <c r="A1544" s="21"/>
      <c r="B1544" s="21"/>
      <c r="C1544" s="4" t="s">
        <v>57</v>
      </c>
      <c r="D1544" s="6" t="str">
        <f>HYPERLINK("javascript:void(0)","bulldogbendő")</f>
        <v>bulldogbendő</v>
      </c>
    </row>
    <row r="1545" spans="1:4" ht="12.75" customHeight="1" x14ac:dyDescent="0.2">
      <c r="A1545" s="21"/>
      <c r="B1545" s="21"/>
      <c r="C1545" s="4" t="s">
        <v>98</v>
      </c>
      <c r="D1545" s="6" t="str">
        <f>HYPERLINK("javascript:void(0)","szén-hidragén")</f>
        <v>szén-hidragén</v>
      </c>
    </row>
    <row r="1546" spans="1:4" ht="12.75" customHeight="1" x14ac:dyDescent="0.2">
      <c r="A1546" s="5"/>
      <c r="B1546" s="2"/>
      <c r="C1546" s="2"/>
      <c r="D1546" s="2"/>
    </row>
    <row r="1547" spans="1:4" ht="12.75" customHeight="1" x14ac:dyDescent="0.2">
      <c r="A1547" s="22" t="str">
        <f>HYPERLINK("javascript:void(0)","kithrill mágusölő")</f>
        <v>kithrill mágusölő</v>
      </c>
      <c r="B1547" s="21"/>
      <c r="C1547" s="21"/>
      <c r="D1547" s="21"/>
    </row>
    <row r="1548" spans="1:4" ht="12.75" customHeight="1" x14ac:dyDescent="0.2">
      <c r="A1548" s="20"/>
      <c r="B1548" s="2"/>
      <c r="C1548" s="2"/>
      <c r="D1548" s="2"/>
    </row>
    <row r="1549" spans="1:4" ht="12.75" customHeight="1" x14ac:dyDescent="0.2">
      <c r="A1549" s="21"/>
      <c r="B1549" s="3" t="s">
        <v>0</v>
      </c>
      <c r="C1549" s="20" t="s">
        <v>260</v>
      </c>
      <c r="D1549" s="21"/>
    </row>
    <row r="1550" spans="1:4" ht="12.75" customHeight="1" x14ac:dyDescent="0.2">
      <c r="A1550" s="21"/>
      <c r="B1550" s="3" t="s">
        <v>2</v>
      </c>
      <c r="C1550" s="20" t="s">
        <v>122</v>
      </c>
      <c r="D1550" s="21"/>
    </row>
    <row r="1551" spans="1:4" ht="12.75" customHeight="1" x14ac:dyDescent="0.2">
      <c r="A1551" s="21"/>
      <c r="B1551" s="3" t="s">
        <v>4</v>
      </c>
      <c r="C1551" s="20" t="s">
        <v>548</v>
      </c>
      <c r="D1551" s="21"/>
    </row>
    <row r="1552" spans="1:4" ht="12.75" customHeight="1" x14ac:dyDescent="0.2">
      <c r="A1552" s="21"/>
      <c r="B1552" s="3" t="s">
        <v>6</v>
      </c>
      <c r="C1552" s="20" t="s">
        <v>48</v>
      </c>
      <c r="D1552" s="21"/>
    </row>
    <row r="1553" spans="1:4" ht="12.75" customHeight="1" x14ac:dyDescent="0.2">
      <c r="A1553" s="21"/>
      <c r="B1553" s="3" t="s">
        <v>8</v>
      </c>
      <c r="C1553" s="20" t="s">
        <v>548</v>
      </c>
      <c r="D1553" s="21"/>
    </row>
    <row r="1554" spans="1:4" ht="12.75" customHeight="1" x14ac:dyDescent="0.2">
      <c r="A1554" s="21"/>
      <c r="B1554" s="3" t="s">
        <v>9</v>
      </c>
      <c r="C1554" s="20" t="s">
        <v>549</v>
      </c>
      <c r="D1554" s="21"/>
    </row>
    <row r="1555" spans="1:4" ht="12.75" customHeight="1" x14ac:dyDescent="0.2">
      <c r="A1555" s="21"/>
      <c r="B1555" s="3" t="s">
        <v>11</v>
      </c>
      <c r="C1555" s="20" t="s">
        <v>535</v>
      </c>
      <c r="D1555" s="21"/>
    </row>
    <row r="1556" spans="1:4" ht="12.75" customHeight="1" x14ac:dyDescent="0.2">
      <c r="A1556" s="21"/>
      <c r="B1556" s="3" t="s">
        <v>13</v>
      </c>
      <c r="C1556" s="20" t="s">
        <v>14</v>
      </c>
      <c r="D1556" s="21"/>
    </row>
    <row r="1557" spans="1:4" ht="12.75" customHeight="1" x14ac:dyDescent="0.2">
      <c r="A1557" s="21"/>
      <c r="B1557" s="3" t="s">
        <v>15</v>
      </c>
      <c r="C1557" s="20" t="s">
        <v>24</v>
      </c>
      <c r="D1557" s="21"/>
    </row>
    <row r="1558" spans="1:4" ht="12.75" customHeight="1" x14ac:dyDescent="0.2">
      <c r="A1558" s="21"/>
      <c r="B1558" s="3" t="s">
        <v>16</v>
      </c>
      <c r="C1558" s="20"/>
      <c r="D1558" s="21"/>
    </row>
    <row r="1559" spans="1:4" ht="12.75" customHeight="1" x14ac:dyDescent="0.2">
      <c r="A1559" s="21"/>
      <c r="B1559" s="3" t="s">
        <v>17</v>
      </c>
      <c r="C1559" s="20"/>
      <c r="D1559" s="21"/>
    </row>
    <row r="1560" spans="1:4" ht="12.75" customHeight="1" x14ac:dyDescent="0.2">
      <c r="A1560" s="21"/>
      <c r="B1560" s="20" t="s">
        <v>18</v>
      </c>
      <c r="C1560" s="4" t="s">
        <v>44</v>
      </c>
      <c r="D1560" s="6" t="str">
        <f>HYPERLINK("javascript:void(0)","diszpro mágusölő")</f>
        <v>diszpro mágusölő</v>
      </c>
    </row>
    <row r="1561" spans="1:4" ht="12.75" customHeight="1" x14ac:dyDescent="0.2">
      <c r="A1561" s="21"/>
      <c r="B1561" s="21"/>
      <c r="C1561" s="4" t="s">
        <v>290</v>
      </c>
      <c r="D1561" s="6" t="str">
        <f>HYPERLINK("javascript:void(0)","koponya")</f>
        <v>koponya</v>
      </c>
    </row>
    <row r="1562" spans="1:4" ht="12.75" customHeight="1" x14ac:dyDescent="0.2">
      <c r="A1562" s="21"/>
      <c r="B1562" s="21"/>
      <c r="C1562" s="4" t="s">
        <v>244</v>
      </c>
      <c r="D1562" s="6" t="str">
        <f>HYPERLINK("javascript:void(0)","kithrill")</f>
        <v>kithrill</v>
      </c>
    </row>
    <row r="1563" spans="1:4" ht="12.75" customHeight="1" x14ac:dyDescent="0.2">
      <c r="A1563" s="5"/>
      <c r="B1563" s="2"/>
      <c r="C1563" s="2"/>
      <c r="D1563" s="2"/>
    </row>
    <row r="1564" spans="1:4" ht="12.75" customHeight="1" x14ac:dyDescent="0.2">
      <c r="A1564" s="22" t="str">
        <f>HYPERLINK("javascript:void(0)","elfacél ballaszt")</f>
        <v>elfacél ballaszt</v>
      </c>
      <c r="B1564" s="21"/>
      <c r="C1564" s="21"/>
      <c r="D1564" s="21"/>
    </row>
    <row r="1565" spans="1:4" ht="12.75" customHeight="1" x14ac:dyDescent="0.2">
      <c r="A1565" s="20"/>
      <c r="B1565" s="2"/>
      <c r="C1565" s="2"/>
      <c r="D1565" s="2"/>
    </row>
    <row r="1566" spans="1:4" ht="12.75" customHeight="1" x14ac:dyDescent="0.2">
      <c r="A1566" s="21"/>
      <c r="B1566" s="3" t="s">
        <v>0</v>
      </c>
      <c r="C1566" s="20" t="s">
        <v>260</v>
      </c>
      <c r="D1566" s="21"/>
    </row>
    <row r="1567" spans="1:4" ht="12.75" customHeight="1" x14ac:dyDescent="0.2">
      <c r="A1567" s="21"/>
      <c r="B1567" s="3" t="s">
        <v>2</v>
      </c>
      <c r="C1567" s="20" t="s">
        <v>122</v>
      </c>
      <c r="D1567" s="21"/>
    </row>
    <row r="1568" spans="1:4" ht="12.75" customHeight="1" x14ac:dyDescent="0.2">
      <c r="A1568" s="21"/>
      <c r="B1568" s="3" t="s">
        <v>4</v>
      </c>
      <c r="C1568" s="20" t="s">
        <v>554</v>
      </c>
      <c r="D1568" s="21"/>
    </row>
    <row r="1569" spans="1:4" ht="12.75" customHeight="1" x14ac:dyDescent="0.2">
      <c r="A1569" s="21"/>
      <c r="B1569" s="3" t="s">
        <v>6</v>
      </c>
      <c r="C1569" s="20" t="s">
        <v>40</v>
      </c>
      <c r="D1569" s="21"/>
    </row>
    <row r="1570" spans="1:4" ht="12.75" customHeight="1" x14ac:dyDescent="0.2">
      <c r="A1570" s="21"/>
      <c r="B1570" s="3" t="s">
        <v>8</v>
      </c>
      <c r="C1570" s="20" t="s">
        <v>554</v>
      </c>
      <c r="D1570" s="21"/>
    </row>
    <row r="1571" spans="1:4" ht="12.75" customHeight="1" x14ac:dyDescent="0.2">
      <c r="A1571" s="21"/>
      <c r="B1571" s="3" t="s">
        <v>9</v>
      </c>
      <c r="C1571" s="20" t="s">
        <v>555</v>
      </c>
      <c r="D1571" s="21"/>
    </row>
    <row r="1572" spans="1:4" ht="12.75" customHeight="1" x14ac:dyDescent="0.2">
      <c r="A1572" s="21"/>
      <c r="B1572" s="3" t="s">
        <v>11</v>
      </c>
      <c r="C1572" s="20" t="s">
        <v>108</v>
      </c>
      <c r="D1572" s="21"/>
    </row>
    <row r="1573" spans="1:4" ht="12.75" customHeight="1" x14ac:dyDescent="0.2">
      <c r="A1573" s="21"/>
      <c r="B1573" s="3" t="s">
        <v>13</v>
      </c>
      <c r="C1573" s="20" t="s">
        <v>24</v>
      </c>
      <c r="D1573" s="21"/>
    </row>
    <row r="1574" spans="1:4" ht="12.75" customHeight="1" x14ac:dyDescent="0.2">
      <c r="A1574" s="21"/>
      <c r="B1574" s="3" t="s">
        <v>15</v>
      </c>
      <c r="C1574" s="20" t="s">
        <v>24</v>
      </c>
      <c r="D1574" s="21"/>
    </row>
    <row r="1575" spans="1:4" ht="12.75" customHeight="1" x14ac:dyDescent="0.2">
      <c r="A1575" s="21"/>
      <c r="B1575" s="3" t="s">
        <v>16</v>
      </c>
      <c r="C1575" s="20"/>
      <c r="D1575" s="21"/>
    </row>
    <row r="1576" spans="1:4" ht="12.75" customHeight="1" x14ac:dyDescent="0.2">
      <c r="A1576" s="21"/>
      <c r="B1576" s="3" t="s">
        <v>17</v>
      </c>
      <c r="C1576" s="20"/>
      <c r="D1576" s="21"/>
    </row>
    <row r="1577" spans="1:4" ht="12.75" customHeight="1" x14ac:dyDescent="0.2">
      <c r="A1577" s="21"/>
      <c r="B1577" s="20" t="s">
        <v>18</v>
      </c>
      <c r="C1577" s="4" t="s">
        <v>323</v>
      </c>
      <c r="D1577" s="6" t="str">
        <f>HYPERLINK("javascript:void(0)","szemhéj")</f>
        <v>szemhéj</v>
      </c>
    </row>
    <row r="1578" spans="1:4" ht="12.75" customHeight="1" x14ac:dyDescent="0.2">
      <c r="A1578" s="21"/>
      <c r="B1578" s="21"/>
      <c r="C1578" s="4" t="s">
        <v>370</v>
      </c>
      <c r="D1578" s="6" t="str">
        <f>HYPERLINK("javascript:void(0)","jáspis")</f>
        <v>jáspis</v>
      </c>
    </row>
    <row r="1579" spans="1:4" ht="12.75" customHeight="1" x14ac:dyDescent="0.2">
      <c r="A1579" s="21"/>
      <c r="B1579" s="21"/>
      <c r="C1579" s="4" t="s">
        <v>67</v>
      </c>
      <c r="D1579" s="6" t="str">
        <f>HYPERLINK("javascript:void(0)","sárkány szív")</f>
        <v>sárkány szív</v>
      </c>
    </row>
    <row r="1580" spans="1:4" ht="12.75" customHeight="1" x14ac:dyDescent="0.2">
      <c r="A1580" s="5"/>
      <c r="B1580" s="2"/>
      <c r="C1580" s="2"/>
      <c r="D1580" s="2"/>
    </row>
    <row r="1581" spans="1:4" ht="12.75" customHeight="1" x14ac:dyDescent="0.2">
      <c r="A1581" s="22" t="str">
        <f>HYPERLINK("javascript:void(0)","Vanisaz kedvence")</f>
        <v>Vanisaz kedvence</v>
      </c>
      <c r="B1581" s="21"/>
      <c r="C1581" s="21"/>
      <c r="D1581" s="21"/>
    </row>
    <row r="1582" spans="1:4" ht="12.75" customHeight="1" x14ac:dyDescent="0.2">
      <c r="A1582" s="20"/>
      <c r="B1582" s="2"/>
      <c r="C1582" s="2"/>
      <c r="D1582" s="2"/>
    </row>
    <row r="1583" spans="1:4" ht="12.75" customHeight="1" x14ac:dyDescent="0.2">
      <c r="A1583" s="21"/>
      <c r="B1583" s="3" t="s">
        <v>0</v>
      </c>
      <c r="C1583" s="20" t="s">
        <v>272</v>
      </c>
      <c r="D1583" s="21"/>
    </row>
    <row r="1584" spans="1:4" ht="12.75" customHeight="1" x14ac:dyDescent="0.2">
      <c r="A1584" s="21"/>
      <c r="B1584" s="3" t="s">
        <v>2</v>
      </c>
      <c r="C1584" s="20" t="s">
        <v>122</v>
      </c>
      <c r="D1584" s="21"/>
    </row>
    <row r="1585" spans="1:4" ht="12.75" customHeight="1" x14ac:dyDescent="0.2">
      <c r="A1585" s="21"/>
      <c r="B1585" s="3" t="s">
        <v>4</v>
      </c>
      <c r="C1585" s="20" t="s">
        <v>558</v>
      </c>
      <c r="D1585" s="21"/>
    </row>
    <row r="1586" spans="1:4" ht="12.75" customHeight="1" x14ac:dyDescent="0.2">
      <c r="A1586" s="21"/>
      <c r="B1586" s="3" t="s">
        <v>6</v>
      </c>
      <c r="C1586" s="20" t="s">
        <v>65</v>
      </c>
      <c r="D1586" s="21"/>
    </row>
    <row r="1587" spans="1:4" ht="12.75" customHeight="1" x14ac:dyDescent="0.2">
      <c r="A1587" s="21"/>
      <c r="B1587" s="3" t="s">
        <v>8</v>
      </c>
      <c r="C1587" s="20" t="s">
        <v>558</v>
      </c>
      <c r="D1587" s="21"/>
    </row>
    <row r="1588" spans="1:4" ht="12.75" customHeight="1" x14ac:dyDescent="0.2">
      <c r="A1588" s="21"/>
      <c r="B1588" s="3" t="s">
        <v>9</v>
      </c>
      <c r="C1588" s="20" t="s">
        <v>559</v>
      </c>
      <c r="D1588" s="21"/>
    </row>
    <row r="1589" spans="1:4" ht="12.75" customHeight="1" x14ac:dyDescent="0.2">
      <c r="A1589" s="21"/>
      <c r="B1589" s="3" t="s">
        <v>11</v>
      </c>
      <c r="C1589" s="20" t="s">
        <v>560</v>
      </c>
      <c r="D1589" s="21"/>
    </row>
    <row r="1590" spans="1:4" ht="12.75" customHeight="1" x14ac:dyDescent="0.2">
      <c r="A1590" s="21"/>
      <c r="B1590" s="3" t="s">
        <v>13</v>
      </c>
      <c r="C1590" s="20" t="s">
        <v>24</v>
      </c>
      <c r="D1590" s="21"/>
    </row>
    <row r="1591" spans="1:4" ht="12.75" customHeight="1" x14ac:dyDescent="0.2">
      <c r="A1591" s="21"/>
      <c r="B1591" s="3" t="s">
        <v>15</v>
      </c>
      <c r="C1591" s="20" t="s">
        <v>24</v>
      </c>
      <c r="D1591" s="21"/>
    </row>
    <row r="1592" spans="1:4" ht="12.75" customHeight="1" x14ac:dyDescent="0.2">
      <c r="A1592" s="21"/>
      <c r="B1592" s="3" t="s">
        <v>16</v>
      </c>
      <c r="C1592" s="20"/>
      <c r="D1592" s="21"/>
    </row>
    <row r="1593" spans="1:4" ht="12.75" customHeight="1" x14ac:dyDescent="0.2">
      <c r="A1593" s="21"/>
      <c r="B1593" s="3" t="s">
        <v>17</v>
      </c>
      <c r="C1593" s="20"/>
      <c r="D1593" s="21"/>
    </row>
    <row r="1594" spans="1:4" ht="12.75" customHeight="1" x14ac:dyDescent="0.2">
      <c r="A1594" s="21"/>
      <c r="B1594" s="20" t="s">
        <v>18</v>
      </c>
      <c r="C1594" s="4" t="s">
        <v>57</v>
      </c>
      <c r="D1594" s="6" t="str">
        <f>HYPERLINK("javascript:void(0)","aranyharang")</f>
        <v>aranyharang</v>
      </c>
    </row>
    <row r="1595" spans="1:4" ht="12.75" customHeight="1" x14ac:dyDescent="0.2">
      <c r="A1595" s="21"/>
      <c r="B1595" s="21"/>
      <c r="C1595" s="4" t="s">
        <v>57</v>
      </c>
      <c r="D1595" s="6" t="str">
        <f>HYPERLINK("javascript:void(0)","centrolium")</f>
        <v>centrolium</v>
      </c>
    </row>
    <row r="1596" spans="1:4" ht="12.75" customHeight="1" x14ac:dyDescent="0.2">
      <c r="A1596" s="21"/>
      <c r="B1596" s="21"/>
      <c r="C1596" s="4" t="s">
        <v>56</v>
      </c>
      <c r="D1596" s="6" t="str">
        <f>HYPERLINK("javascript:void(0)","hiperium")</f>
        <v>hiperium</v>
      </c>
    </row>
    <row r="1597" spans="1:4" ht="12.75" customHeight="1" x14ac:dyDescent="0.2">
      <c r="A1597" s="5"/>
      <c r="B1597" s="2"/>
      <c r="C1597" s="2"/>
      <c r="D1597" s="2"/>
    </row>
    <row r="1598" spans="1:4" ht="12.75" customHeight="1" x14ac:dyDescent="0.2">
      <c r="A1598" s="22" t="str">
        <f>HYPERLINK("javascript:void(0)","hiper mágusölő")</f>
        <v>hiper mágusölő</v>
      </c>
      <c r="B1598" s="21"/>
      <c r="C1598" s="21"/>
      <c r="D1598" s="21"/>
    </row>
    <row r="1599" spans="1:4" ht="12.75" customHeight="1" x14ac:dyDescent="0.2">
      <c r="A1599" s="20"/>
      <c r="B1599" s="2"/>
      <c r="C1599" s="2"/>
      <c r="D1599" s="2"/>
    </row>
    <row r="1600" spans="1:4" ht="12.75" customHeight="1" x14ac:dyDescent="0.2">
      <c r="A1600" s="21"/>
      <c r="B1600" s="3" t="s">
        <v>0</v>
      </c>
      <c r="C1600" s="20" t="s">
        <v>284</v>
      </c>
      <c r="D1600" s="21"/>
    </row>
    <row r="1601" spans="1:4" ht="12.75" customHeight="1" x14ac:dyDescent="0.2">
      <c r="A1601" s="21"/>
      <c r="B1601" s="3" t="s">
        <v>2</v>
      </c>
      <c r="C1601" s="20" t="s">
        <v>122</v>
      </c>
      <c r="D1601" s="21"/>
    </row>
    <row r="1602" spans="1:4" ht="12.75" customHeight="1" x14ac:dyDescent="0.2">
      <c r="A1602" s="21"/>
      <c r="B1602" s="3" t="s">
        <v>4</v>
      </c>
      <c r="C1602" s="20" t="s">
        <v>568</v>
      </c>
      <c r="D1602" s="21"/>
    </row>
    <row r="1603" spans="1:4" ht="12.75" customHeight="1" x14ac:dyDescent="0.2">
      <c r="A1603" s="21"/>
      <c r="B1603" s="3" t="s">
        <v>6</v>
      </c>
      <c r="C1603" s="20" t="s">
        <v>48</v>
      </c>
      <c r="D1603" s="21"/>
    </row>
    <row r="1604" spans="1:4" ht="12.75" customHeight="1" x14ac:dyDescent="0.2">
      <c r="A1604" s="21"/>
      <c r="B1604" s="3" t="s">
        <v>8</v>
      </c>
      <c r="C1604" s="20" t="s">
        <v>568</v>
      </c>
      <c r="D1604" s="21"/>
    </row>
    <row r="1605" spans="1:4" ht="12.75" customHeight="1" x14ac:dyDescent="0.2">
      <c r="A1605" s="21"/>
      <c r="B1605" s="3" t="s">
        <v>9</v>
      </c>
      <c r="C1605" s="20" t="s">
        <v>569</v>
      </c>
      <c r="D1605" s="21"/>
    </row>
    <row r="1606" spans="1:4" ht="12.75" customHeight="1" x14ac:dyDescent="0.2">
      <c r="A1606" s="21"/>
      <c r="B1606" s="3" t="s">
        <v>11</v>
      </c>
      <c r="C1606" s="20" t="s">
        <v>395</v>
      </c>
      <c r="D1606" s="21"/>
    </row>
    <row r="1607" spans="1:4" ht="12.75" customHeight="1" x14ac:dyDescent="0.2">
      <c r="A1607" s="21"/>
      <c r="B1607" s="3" t="s">
        <v>13</v>
      </c>
      <c r="C1607" s="20" t="s">
        <v>14</v>
      </c>
      <c r="D1607" s="21"/>
    </row>
    <row r="1608" spans="1:4" ht="12.75" customHeight="1" x14ac:dyDescent="0.2">
      <c r="A1608" s="21"/>
      <c r="B1608" s="3" t="s">
        <v>15</v>
      </c>
      <c r="C1608" s="20" t="s">
        <v>24</v>
      </c>
      <c r="D1608" s="21"/>
    </row>
    <row r="1609" spans="1:4" ht="12.75" customHeight="1" x14ac:dyDescent="0.2">
      <c r="A1609" s="21"/>
      <c r="B1609" s="3" t="s">
        <v>16</v>
      </c>
      <c r="C1609" s="20"/>
      <c r="D1609" s="21"/>
    </row>
    <row r="1610" spans="1:4" ht="12.75" customHeight="1" x14ac:dyDescent="0.2">
      <c r="A1610" s="21"/>
      <c r="B1610" s="3" t="s">
        <v>17</v>
      </c>
      <c r="C1610" s="20"/>
      <c r="D1610" s="21"/>
    </row>
    <row r="1611" spans="1:4" ht="12.75" customHeight="1" x14ac:dyDescent="0.2">
      <c r="A1611" s="21"/>
      <c r="B1611" s="20" t="s">
        <v>18</v>
      </c>
      <c r="C1611" s="4" t="s">
        <v>44</v>
      </c>
      <c r="D1611" s="6" t="str">
        <f>HYPERLINK("javascript:void(0)","centro mágusölő")</f>
        <v>centro mágusölő</v>
      </c>
    </row>
    <row r="1612" spans="1:4" ht="12.75" customHeight="1" x14ac:dyDescent="0.2">
      <c r="A1612" s="21"/>
      <c r="B1612" s="21"/>
      <c r="C1612" s="4" t="s">
        <v>55</v>
      </c>
      <c r="D1612" s="6" t="str">
        <f>HYPERLINK("javascript:void(0)","klopfoló henger")</f>
        <v>klopfoló henger</v>
      </c>
    </row>
    <row r="1613" spans="1:4" ht="12.75" customHeight="1" x14ac:dyDescent="0.2">
      <c r="A1613" s="21"/>
      <c r="B1613" s="21"/>
      <c r="C1613" s="4" t="s">
        <v>67</v>
      </c>
      <c r="D1613" s="6" t="str">
        <f>HYPERLINK("javascript:void(0)","hiperium")</f>
        <v>hiperium</v>
      </c>
    </row>
    <row r="1614" spans="1:4" ht="12.75" customHeight="1" x14ac:dyDescent="0.2">
      <c r="A1614" s="5"/>
      <c r="B1614" s="2"/>
      <c r="C1614" s="2"/>
      <c r="D1614" s="2"/>
    </row>
    <row r="1615" spans="1:4" ht="12.75" customHeight="1" x14ac:dyDescent="0.2">
      <c r="A1615" s="22" t="str">
        <f>HYPERLINK("javascript:void(0)","elfacél undorbács")</f>
        <v>elfacél undorbács</v>
      </c>
      <c r="B1615" s="21"/>
      <c r="C1615" s="21"/>
      <c r="D1615" s="21"/>
    </row>
    <row r="1616" spans="1:4" ht="12.75" customHeight="1" x14ac:dyDescent="0.2">
      <c r="A1616" s="20"/>
      <c r="B1616" s="2"/>
      <c r="C1616" s="2"/>
      <c r="D1616" s="2"/>
    </row>
    <row r="1617" spans="1:4" ht="12.75" customHeight="1" x14ac:dyDescent="0.2">
      <c r="A1617" s="21"/>
      <c r="B1617" s="3" t="s">
        <v>0</v>
      </c>
      <c r="C1617" s="20" t="s">
        <v>284</v>
      </c>
      <c r="D1617" s="21"/>
    </row>
    <row r="1618" spans="1:4" ht="12.75" customHeight="1" x14ac:dyDescent="0.2">
      <c r="A1618" s="21"/>
      <c r="B1618" s="3" t="s">
        <v>2</v>
      </c>
      <c r="C1618" s="20" t="s">
        <v>122</v>
      </c>
      <c r="D1618" s="21"/>
    </row>
    <row r="1619" spans="1:4" ht="12.75" customHeight="1" x14ac:dyDescent="0.2">
      <c r="A1619" s="21"/>
      <c r="B1619" s="3" t="s">
        <v>4</v>
      </c>
      <c r="C1619" s="20" t="s">
        <v>572</v>
      </c>
      <c r="D1619" s="21"/>
    </row>
    <row r="1620" spans="1:4" ht="12.75" customHeight="1" x14ac:dyDescent="0.2">
      <c r="A1620" s="21"/>
      <c r="B1620" s="3" t="s">
        <v>6</v>
      </c>
      <c r="C1620" s="20" t="s">
        <v>272</v>
      </c>
      <c r="D1620" s="21"/>
    </row>
    <row r="1621" spans="1:4" ht="12.75" customHeight="1" x14ac:dyDescent="0.2">
      <c r="A1621" s="21"/>
      <c r="B1621" s="3" t="s">
        <v>8</v>
      </c>
      <c r="C1621" s="20" t="s">
        <v>572</v>
      </c>
      <c r="D1621" s="21"/>
    </row>
    <row r="1622" spans="1:4" ht="12.75" customHeight="1" x14ac:dyDescent="0.2">
      <c r="A1622" s="21"/>
      <c r="B1622" s="3" t="s">
        <v>9</v>
      </c>
      <c r="C1622" s="20" t="s">
        <v>573</v>
      </c>
      <c r="D1622" s="21"/>
    </row>
    <row r="1623" spans="1:4" ht="12.75" customHeight="1" x14ac:dyDescent="0.2">
      <c r="A1623" s="21"/>
      <c r="B1623" s="3" t="s">
        <v>11</v>
      </c>
      <c r="C1623" s="20" t="s">
        <v>301</v>
      </c>
      <c r="D1623" s="21"/>
    </row>
    <row r="1624" spans="1:4" ht="12.75" customHeight="1" x14ac:dyDescent="0.2">
      <c r="A1624" s="21"/>
      <c r="B1624" s="3" t="s">
        <v>13</v>
      </c>
      <c r="C1624" s="20" t="s">
        <v>24</v>
      </c>
      <c r="D1624" s="21"/>
    </row>
    <row r="1625" spans="1:4" ht="12.75" customHeight="1" x14ac:dyDescent="0.2">
      <c r="A1625" s="21"/>
      <c r="B1625" s="3" t="s">
        <v>15</v>
      </c>
      <c r="C1625" s="20" t="s">
        <v>24</v>
      </c>
      <c r="D1625" s="21"/>
    </row>
    <row r="1626" spans="1:4" ht="12.75" customHeight="1" x14ac:dyDescent="0.2">
      <c r="A1626" s="21"/>
      <c r="B1626" s="3" t="s">
        <v>16</v>
      </c>
      <c r="C1626" s="20"/>
      <c r="D1626" s="21"/>
    </row>
    <row r="1627" spans="1:4" ht="12.75" customHeight="1" x14ac:dyDescent="0.2">
      <c r="A1627" s="21"/>
      <c r="B1627" s="3" t="s">
        <v>17</v>
      </c>
      <c r="C1627" s="20"/>
      <c r="D1627" s="21"/>
    </row>
    <row r="1628" spans="1:4" ht="12.75" customHeight="1" x14ac:dyDescent="0.2">
      <c r="A1628" s="21"/>
      <c r="B1628" s="20" t="s">
        <v>18</v>
      </c>
      <c r="C1628" s="4" t="s">
        <v>244</v>
      </c>
      <c r="D1628" s="6" t="str">
        <f>HYPERLINK("javascript:void(0)","sárkányfű")</f>
        <v>sárkányfű</v>
      </c>
    </row>
    <row r="1629" spans="1:4" ht="12.75" customHeight="1" x14ac:dyDescent="0.2">
      <c r="A1629" s="21"/>
      <c r="B1629" s="21"/>
      <c r="C1629" s="4" t="s">
        <v>55</v>
      </c>
      <c r="D1629" s="6" t="str">
        <f>HYPERLINK("javascript:void(0)","undormány")</f>
        <v>undormány</v>
      </c>
    </row>
    <row r="1630" spans="1:4" ht="12.75" customHeight="1" x14ac:dyDescent="0.2">
      <c r="A1630" s="21"/>
      <c r="B1630" s="21"/>
      <c r="C1630" s="4" t="s">
        <v>57</v>
      </c>
      <c r="D1630" s="6" t="str">
        <f>HYPERLINK("javascript:void(0)","szent szimbólum")</f>
        <v>szent szimbólum</v>
      </c>
    </row>
    <row r="1631" spans="1:4" ht="12.75" customHeight="1" x14ac:dyDescent="0.2">
      <c r="A1631" s="5"/>
      <c r="B1631" s="2"/>
      <c r="C1631" s="2"/>
      <c r="D1631" s="2"/>
    </row>
    <row r="1632" spans="1:4" ht="12.75" customHeight="1" x14ac:dyDescent="0.2">
      <c r="A1632" s="22" t="str">
        <f>HYPERLINK("javascript:void(0)","gyíkacél pöcök")</f>
        <v>gyíkacél pöcök</v>
      </c>
      <c r="B1632" s="21"/>
      <c r="C1632" s="21"/>
      <c r="D1632" s="21"/>
    </row>
    <row r="1633" spans="1:4" ht="12.75" customHeight="1" x14ac:dyDescent="0.2">
      <c r="A1633" s="20"/>
      <c r="B1633" s="2"/>
      <c r="C1633" s="2"/>
      <c r="D1633" s="2"/>
    </row>
    <row r="1634" spans="1:4" ht="12.75" customHeight="1" x14ac:dyDescent="0.2">
      <c r="A1634" s="21"/>
      <c r="B1634" s="3" t="s">
        <v>0</v>
      </c>
      <c r="C1634" s="20" t="s">
        <v>284</v>
      </c>
      <c r="D1634" s="21"/>
    </row>
    <row r="1635" spans="1:4" ht="12.75" customHeight="1" x14ac:dyDescent="0.2">
      <c r="A1635" s="21"/>
      <c r="B1635" s="3" t="s">
        <v>2</v>
      </c>
      <c r="C1635" s="20" t="s">
        <v>122</v>
      </c>
      <c r="D1635" s="21"/>
    </row>
    <row r="1636" spans="1:4" ht="12.75" customHeight="1" x14ac:dyDescent="0.2">
      <c r="A1636" s="21"/>
      <c r="B1636" s="3" t="s">
        <v>4</v>
      </c>
      <c r="C1636" s="20" t="s">
        <v>579</v>
      </c>
      <c r="D1636" s="21"/>
    </row>
    <row r="1637" spans="1:4" ht="12.75" customHeight="1" x14ac:dyDescent="0.2">
      <c r="A1637" s="21"/>
      <c r="B1637" s="3" t="s">
        <v>6</v>
      </c>
      <c r="C1637" s="20" t="s">
        <v>88</v>
      </c>
      <c r="D1637" s="21"/>
    </row>
    <row r="1638" spans="1:4" ht="12.75" customHeight="1" x14ac:dyDescent="0.2">
      <c r="A1638" s="21"/>
      <c r="B1638" s="3" t="s">
        <v>8</v>
      </c>
      <c r="C1638" s="20" t="s">
        <v>579</v>
      </c>
      <c r="D1638" s="21"/>
    </row>
    <row r="1639" spans="1:4" ht="12.75" customHeight="1" x14ac:dyDescent="0.2">
      <c r="A1639" s="21"/>
      <c r="B1639" s="3" t="s">
        <v>9</v>
      </c>
      <c r="C1639" s="20" t="s">
        <v>580</v>
      </c>
      <c r="D1639" s="21"/>
    </row>
    <row r="1640" spans="1:4" ht="12.75" customHeight="1" x14ac:dyDescent="0.2">
      <c r="A1640" s="21"/>
      <c r="B1640" s="3" t="s">
        <v>11</v>
      </c>
      <c r="C1640" s="20" t="s">
        <v>395</v>
      </c>
      <c r="D1640" s="21"/>
    </row>
    <row r="1641" spans="1:4" ht="12.75" customHeight="1" x14ac:dyDescent="0.2">
      <c r="A1641" s="21"/>
      <c r="B1641" s="3" t="s">
        <v>13</v>
      </c>
      <c r="C1641" s="20" t="s">
        <v>24</v>
      </c>
      <c r="D1641" s="21"/>
    </row>
    <row r="1642" spans="1:4" ht="12.75" customHeight="1" x14ac:dyDescent="0.2">
      <c r="A1642" s="21"/>
      <c r="B1642" s="3" t="s">
        <v>15</v>
      </c>
      <c r="C1642" s="20" t="s">
        <v>24</v>
      </c>
      <c r="D1642" s="21"/>
    </row>
    <row r="1643" spans="1:4" ht="12.75" customHeight="1" x14ac:dyDescent="0.2">
      <c r="A1643" s="21"/>
      <c r="B1643" s="3" t="s">
        <v>16</v>
      </c>
      <c r="C1643" s="20"/>
      <c r="D1643" s="21"/>
    </row>
    <row r="1644" spans="1:4" ht="12.75" customHeight="1" x14ac:dyDescent="0.2">
      <c r="A1644" s="21"/>
      <c r="B1644" s="3" t="s">
        <v>17</v>
      </c>
      <c r="C1644" s="20"/>
      <c r="D1644" s="21"/>
    </row>
    <row r="1645" spans="1:4" ht="12.75" customHeight="1" x14ac:dyDescent="0.2">
      <c r="A1645" s="21"/>
      <c r="B1645" s="20" t="s">
        <v>18</v>
      </c>
      <c r="C1645" s="4" t="s">
        <v>130</v>
      </c>
      <c r="D1645" s="6" t="str">
        <f>HYPERLINK("javascript:void(0)","patkányzsír")</f>
        <v>patkányzsír</v>
      </c>
    </row>
    <row r="1646" spans="1:4" ht="12.75" customHeight="1" x14ac:dyDescent="0.2">
      <c r="A1646" s="21"/>
      <c r="B1646" s="21"/>
      <c r="C1646" s="4" t="s">
        <v>309</v>
      </c>
      <c r="D1646" s="6" t="str">
        <f>HYPERLINK("javascript:void(0)","démonnyúlmáj")</f>
        <v>démonnyúlmáj</v>
      </c>
    </row>
    <row r="1647" spans="1:4" ht="12.75" customHeight="1" x14ac:dyDescent="0.2">
      <c r="A1647" s="21"/>
      <c r="B1647" s="21"/>
      <c r="C1647" s="4" t="s">
        <v>98</v>
      </c>
      <c r="D1647" s="6" t="str">
        <f>HYPERLINK("javascript:void(0)","orrszarv")</f>
        <v>orrszarv</v>
      </c>
    </row>
    <row r="1648" spans="1:4" ht="12.75" customHeight="1" x14ac:dyDescent="0.2">
      <c r="A1648" s="5"/>
      <c r="B1648" s="2"/>
      <c r="C1648" s="2"/>
      <c r="D1648" s="2"/>
    </row>
    <row r="1649" spans="1:4" ht="12.75" customHeight="1" x14ac:dyDescent="0.2">
      <c r="A1649" s="22" t="str">
        <f>HYPERLINK("javascript:void(0)","óriásacél ballaszt")</f>
        <v>óriásacél ballaszt</v>
      </c>
      <c r="B1649" s="21"/>
      <c r="C1649" s="21"/>
      <c r="D1649" s="21"/>
    </row>
    <row r="1650" spans="1:4" ht="12.75" customHeight="1" x14ac:dyDescent="0.2">
      <c r="A1650" s="20"/>
      <c r="B1650" s="2"/>
      <c r="C1650" s="2"/>
      <c r="D1650" s="2"/>
    </row>
    <row r="1651" spans="1:4" ht="12.75" customHeight="1" x14ac:dyDescent="0.2">
      <c r="A1651" s="21"/>
      <c r="B1651" s="3" t="s">
        <v>0</v>
      </c>
      <c r="C1651" s="20" t="s">
        <v>291</v>
      </c>
      <c r="D1651" s="21"/>
    </row>
    <row r="1652" spans="1:4" ht="12.75" customHeight="1" x14ac:dyDescent="0.2">
      <c r="A1652" s="21"/>
      <c r="B1652" s="3" t="s">
        <v>2</v>
      </c>
      <c r="C1652" s="20" t="s">
        <v>122</v>
      </c>
      <c r="D1652" s="21"/>
    </row>
    <row r="1653" spans="1:4" ht="12.75" customHeight="1" x14ac:dyDescent="0.2">
      <c r="A1653" s="21"/>
      <c r="B1653" s="3" t="s">
        <v>4</v>
      </c>
      <c r="C1653" s="20" t="s">
        <v>583</v>
      </c>
      <c r="D1653" s="21"/>
    </row>
    <row r="1654" spans="1:4" ht="12.75" customHeight="1" x14ac:dyDescent="0.2">
      <c r="A1654" s="21"/>
      <c r="B1654" s="3" t="s">
        <v>6</v>
      </c>
      <c r="C1654" s="20" t="s">
        <v>274</v>
      </c>
      <c r="D1654" s="21"/>
    </row>
    <row r="1655" spans="1:4" ht="12.75" customHeight="1" x14ac:dyDescent="0.2">
      <c r="A1655" s="21"/>
      <c r="B1655" s="3" t="s">
        <v>8</v>
      </c>
      <c r="C1655" s="20" t="s">
        <v>583</v>
      </c>
      <c r="D1655" s="21"/>
    </row>
    <row r="1656" spans="1:4" ht="12.75" customHeight="1" x14ac:dyDescent="0.2">
      <c r="A1656" s="21"/>
      <c r="B1656" s="3" t="s">
        <v>9</v>
      </c>
      <c r="C1656" s="20" t="s">
        <v>584</v>
      </c>
      <c r="D1656" s="21"/>
    </row>
    <row r="1657" spans="1:4" ht="12.75" customHeight="1" x14ac:dyDescent="0.2">
      <c r="A1657" s="21"/>
      <c r="B1657" s="3" t="s">
        <v>11</v>
      </c>
      <c r="C1657" s="20" t="s">
        <v>116</v>
      </c>
      <c r="D1657" s="21"/>
    </row>
    <row r="1658" spans="1:4" ht="12.75" customHeight="1" x14ac:dyDescent="0.2">
      <c r="A1658" s="21"/>
      <c r="B1658" s="3" t="s">
        <v>13</v>
      </c>
      <c r="C1658" s="20" t="s">
        <v>24</v>
      </c>
      <c r="D1658" s="21"/>
    </row>
    <row r="1659" spans="1:4" ht="12.75" customHeight="1" x14ac:dyDescent="0.2">
      <c r="A1659" s="21"/>
      <c r="B1659" s="3" t="s">
        <v>15</v>
      </c>
      <c r="C1659" s="20" t="s">
        <v>24</v>
      </c>
      <c r="D1659" s="21"/>
    </row>
    <row r="1660" spans="1:4" ht="12.75" customHeight="1" x14ac:dyDescent="0.2">
      <c r="A1660" s="21"/>
      <c r="B1660" s="3" t="s">
        <v>16</v>
      </c>
      <c r="C1660" s="20"/>
      <c r="D1660" s="21"/>
    </row>
    <row r="1661" spans="1:4" ht="12.75" customHeight="1" x14ac:dyDescent="0.2">
      <c r="A1661" s="21"/>
      <c r="B1661" s="3" t="s">
        <v>17</v>
      </c>
      <c r="C1661" s="20"/>
      <c r="D1661" s="21"/>
    </row>
    <row r="1662" spans="1:4" ht="12.75" customHeight="1" x14ac:dyDescent="0.2">
      <c r="A1662" s="21"/>
      <c r="B1662" s="20" t="s">
        <v>18</v>
      </c>
      <c r="C1662" s="4" t="s">
        <v>67</v>
      </c>
      <c r="D1662" s="6" t="str">
        <f>HYPERLINK("javascript:void(0)","óriás korona")</f>
        <v>óriás korona</v>
      </c>
    </row>
    <row r="1663" spans="1:4" ht="12.75" customHeight="1" x14ac:dyDescent="0.2">
      <c r="A1663" s="21"/>
      <c r="B1663" s="21"/>
      <c r="C1663" s="4" t="s">
        <v>67</v>
      </c>
      <c r="D1663" s="6" t="str">
        <f>HYPERLINK("javascript:void(0)","sárkány szarv")</f>
        <v>sárkány szarv</v>
      </c>
    </row>
    <row r="1664" spans="1:4" ht="12.75" customHeight="1" x14ac:dyDescent="0.2">
      <c r="A1664" s="21"/>
      <c r="B1664" s="21"/>
      <c r="C1664" s="4" t="s">
        <v>139</v>
      </c>
      <c r="D1664" s="6" t="str">
        <f>HYPERLINK("javascript:void(0)","hiperium")</f>
        <v>hiperium</v>
      </c>
    </row>
    <row r="1665" spans="1:4" ht="12.75" customHeight="1" x14ac:dyDescent="0.2">
      <c r="A1665" s="5"/>
      <c r="B1665" s="2"/>
      <c r="C1665" s="2"/>
      <c r="D1665" s="2"/>
    </row>
    <row r="1666" spans="1:4" ht="12.75" customHeight="1" x14ac:dyDescent="0.2">
      <c r="A1666" s="22" t="str">
        <f>HYPERLINK("javascript:void(0)","óriásacél undorbács")</f>
        <v>óriásacél undorbács</v>
      </c>
      <c r="B1666" s="21"/>
      <c r="C1666" s="21"/>
      <c r="D1666" s="21"/>
    </row>
    <row r="1667" spans="1:4" ht="12.75" customHeight="1" x14ac:dyDescent="0.2">
      <c r="A1667" s="20"/>
      <c r="B1667" s="2"/>
      <c r="C1667" s="2"/>
      <c r="D1667" s="2"/>
    </row>
    <row r="1668" spans="1:4" ht="12.75" customHeight="1" x14ac:dyDescent="0.2">
      <c r="A1668" s="21"/>
      <c r="B1668" s="3" t="s">
        <v>0</v>
      </c>
      <c r="C1668" s="20" t="s">
        <v>291</v>
      </c>
      <c r="D1668" s="21"/>
    </row>
    <row r="1669" spans="1:4" ht="12.75" customHeight="1" x14ac:dyDescent="0.2">
      <c r="A1669" s="21"/>
      <c r="B1669" s="3" t="s">
        <v>2</v>
      </c>
      <c r="C1669" s="20" t="s">
        <v>122</v>
      </c>
      <c r="D1669" s="21"/>
    </row>
    <row r="1670" spans="1:4" ht="12.75" customHeight="1" x14ac:dyDescent="0.2">
      <c r="A1670" s="21"/>
      <c r="B1670" s="3" t="s">
        <v>4</v>
      </c>
      <c r="C1670" s="20" t="s">
        <v>588</v>
      </c>
      <c r="D1670" s="21"/>
    </row>
    <row r="1671" spans="1:4" ht="12.75" customHeight="1" x14ac:dyDescent="0.2">
      <c r="A1671" s="21"/>
      <c r="B1671" s="3" t="s">
        <v>6</v>
      </c>
      <c r="C1671" s="20" t="s">
        <v>159</v>
      </c>
      <c r="D1671" s="21"/>
    </row>
    <row r="1672" spans="1:4" ht="12.75" customHeight="1" x14ac:dyDescent="0.2">
      <c r="A1672" s="21"/>
      <c r="B1672" s="3" t="s">
        <v>8</v>
      </c>
      <c r="C1672" s="20" t="s">
        <v>588</v>
      </c>
      <c r="D1672" s="21"/>
    </row>
    <row r="1673" spans="1:4" ht="12.75" customHeight="1" x14ac:dyDescent="0.2">
      <c r="A1673" s="21"/>
      <c r="B1673" s="3" t="s">
        <v>9</v>
      </c>
      <c r="C1673" s="20" t="s">
        <v>233</v>
      </c>
      <c r="D1673" s="21"/>
    </row>
    <row r="1674" spans="1:4" ht="12.75" customHeight="1" x14ac:dyDescent="0.2">
      <c r="A1674" s="21"/>
      <c r="B1674" s="3" t="s">
        <v>11</v>
      </c>
      <c r="C1674" s="20" t="s">
        <v>138</v>
      </c>
      <c r="D1674" s="21"/>
    </row>
    <row r="1675" spans="1:4" ht="12.75" customHeight="1" x14ac:dyDescent="0.2">
      <c r="A1675" s="21"/>
      <c r="B1675" s="3" t="s">
        <v>13</v>
      </c>
      <c r="C1675" s="20" t="s">
        <v>24</v>
      </c>
      <c r="D1675" s="21"/>
    </row>
    <row r="1676" spans="1:4" ht="12.75" customHeight="1" x14ac:dyDescent="0.2">
      <c r="A1676" s="21"/>
      <c r="B1676" s="3" t="s">
        <v>15</v>
      </c>
      <c r="C1676" s="20" t="s">
        <v>24</v>
      </c>
      <c r="D1676" s="21"/>
    </row>
    <row r="1677" spans="1:4" ht="12.75" customHeight="1" x14ac:dyDescent="0.2">
      <c r="A1677" s="21"/>
      <c r="B1677" s="3" t="s">
        <v>16</v>
      </c>
      <c r="C1677" s="20"/>
      <c r="D1677" s="21"/>
    </row>
    <row r="1678" spans="1:4" ht="12.75" customHeight="1" x14ac:dyDescent="0.2">
      <c r="A1678" s="21"/>
      <c r="B1678" s="3" t="s">
        <v>17</v>
      </c>
      <c r="C1678" s="20"/>
      <c r="D1678" s="21"/>
    </row>
    <row r="1679" spans="1:4" ht="12.75" customHeight="1" x14ac:dyDescent="0.2">
      <c r="A1679" s="21"/>
      <c r="B1679" s="20" t="s">
        <v>18</v>
      </c>
      <c r="C1679" s="4" t="s">
        <v>57</v>
      </c>
      <c r="D1679" s="6" t="str">
        <f>HYPERLINK("javascript:void(0)","óriás korona")</f>
        <v>óriás korona</v>
      </c>
    </row>
    <row r="1680" spans="1:4" ht="12.75" customHeight="1" x14ac:dyDescent="0.2">
      <c r="A1680" s="21"/>
      <c r="B1680" s="21"/>
      <c r="C1680" s="4" t="s">
        <v>232</v>
      </c>
      <c r="D1680" s="6" t="str">
        <f>HYPERLINK("javascript:void(0)","undormány")</f>
        <v>undormány</v>
      </c>
    </row>
    <row r="1681" spans="1:4" ht="12.75" customHeight="1" x14ac:dyDescent="0.2">
      <c r="A1681" s="21"/>
      <c r="B1681" s="21"/>
      <c r="C1681" s="4" t="s">
        <v>56</v>
      </c>
      <c r="D1681" s="6" t="str">
        <f>HYPERLINK("javascript:void(0)","szépia")</f>
        <v>szépia</v>
      </c>
    </row>
    <row r="1682" spans="1:4" ht="12.75" customHeight="1" x14ac:dyDescent="0.2">
      <c r="A1682" s="5"/>
      <c r="B1682" s="2"/>
      <c r="C1682" s="2"/>
      <c r="D1682" s="2"/>
    </row>
    <row r="1683" spans="1:4" ht="12.75" customHeight="1" x14ac:dyDescent="0.2">
      <c r="A1683" s="22" t="str">
        <f>HYPERLINK("javascript:void(0)","gyíkacél pozdorja")</f>
        <v>gyíkacél pozdorja</v>
      </c>
      <c r="B1683" s="21"/>
      <c r="C1683" s="21"/>
      <c r="D1683" s="21"/>
    </row>
    <row r="1684" spans="1:4" ht="12.75" customHeight="1" x14ac:dyDescent="0.2">
      <c r="A1684" s="20"/>
      <c r="B1684" s="2"/>
      <c r="C1684" s="2"/>
      <c r="D1684" s="2"/>
    </row>
    <row r="1685" spans="1:4" ht="12.75" customHeight="1" x14ac:dyDescent="0.2">
      <c r="A1685" s="21"/>
      <c r="B1685" s="3" t="s">
        <v>0</v>
      </c>
      <c r="C1685" s="20" t="s">
        <v>291</v>
      </c>
      <c r="D1685" s="21"/>
    </row>
    <row r="1686" spans="1:4" ht="12.75" customHeight="1" x14ac:dyDescent="0.2">
      <c r="A1686" s="21"/>
      <c r="B1686" s="3" t="s">
        <v>2</v>
      </c>
      <c r="C1686" s="20" t="s">
        <v>122</v>
      </c>
      <c r="D1686" s="21"/>
    </row>
    <row r="1687" spans="1:4" ht="12.75" customHeight="1" x14ac:dyDescent="0.2">
      <c r="A1687" s="21"/>
      <c r="B1687" s="3" t="s">
        <v>4</v>
      </c>
      <c r="C1687" s="20" t="s">
        <v>593</v>
      </c>
      <c r="D1687" s="21"/>
    </row>
    <row r="1688" spans="1:4" ht="12.75" customHeight="1" x14ac:dyDescent="0.2">
      <c r="A1688" s="21"/>
      <c r="B1688" s="3" t="s">
        <v>6</v>
      </c>
      <c r="C1688" s="20" t="s">
        <v>206</v>
      </c>
      <c r="D1688" s="21"/>
    </row>
    <row r="1689" spans="1:4" ht="12.75" customHeight="1" x14ac:dyDescent="0.2">
      <c r="A1689" s="21"/>
      <c r="B1689" s="3" t="s">
        <v>8</v>
      </c>
      <c r="C1689" s="20" t="s">
        <v>593</v>
      </c>
      <c r="D1689" s="21"/>
    </row>
    <row r="1690" spans="1:4" ht="12.75" customHeight="1" x14ac:dyDescent="0.2">
      <c r="A1690" s="21"/>
      <c r="B1690" s="3" t="s">
        <v>9</v>
      </c>
      <c r="C1690" s="20" t="s">
        <v>594</v>
      </c>
      <c r="D1690" s="21"/>
    </row>
    <row r="1691" spans="1:4" ht="12.75" customHeight="1" x14ac:dyDescent="0.2">
      <c r="A1691" s="21"/>
      <c r="B1691" s="3" t="s">
        <v>11</v>
      </c>
      <c r="C1691" s="20" t="s">
        <v>519</v>
      </c>
      <c r="D1691" s="21"/>
    </row>
    <row r="1692" spans="1:4" ht="12.75" customHeight="1" x14ac:dyDescent="0.2">
      <c r="A1692" s="21"/>
      <c r="B1692" s="3" t="s">
        <v>13</v>
      </c>
      <c r="C1692" s="20" t="s">
        <v>24</v>
      </c>
      <c r="D1692" s="21"/>
    </row>
    <row r="1693" spans="1:4" ht="12.75" customHeight="1" x14ac:dyDescent="0.2">
      <c r="A1693" s="21"/>
      <c r="B1693" s="3" t="s">
        <v>15</v>
      </c>
      <c r="C1693" s="20" t="s">
        <v>24</v>
      </c>
      <c r="D1693" s="21"/>
    </row>
    <row r="1694" spans="1:4" ht="12.75" customHeight="1" x14ac:dyDescent="0.2">
      <c r="A1694" s="21"/>
      <c r="B1694" s="3" t="s">
        <v>16</v>
      </c>
      <c r="C1694" s="20"/>
      <c r="D1694" s="21"/>
    </row>
    <row r="1695" spans="1:4" ht="12.75" customHeight="1" x14ac:dyDescent="0.2">
      <c r="A1695" s="21"/>
      <c r="B1695" s="3" t="s">
        <v>17</v>
      </c>
      <c r="C1695" s="20"/>
      <c r="D1695" s="21"/>
    </row>
    <row r="1696" spans="1:4" ht="12.75" customHeight="1" x14ac:dyDescent="0.2">
      <c r="A1696" s="21"/>
      <c r="B1696" s="20" t="s">
        <v>18</v>
      </c>
      <c r="C1696" s="4" t="s">
        <v>139</v>
      </c>
      <c r="D1696" s="6" t="str">
        <f>HYPERLINK("javascript:void(0)","bűzmirigy")</f>
        <v>bűzmirigy</v>
      </c>
    </row>
    <row r="1697" spans="1:4" ht="12.75" customHeight="1" x14ac:dyDescent="0.2">
      <c r="A1697" s="21"/>
      <c r="B1697" s="21"/>
      <c r="C1697" s="4" t="s">
        <v>232</v>
      </c>
      <c r="D1697" s="6" t="str">
        <f>HYPERLINK("javascript:void(0)","gyíkbőr")</f>
        <v>gyíkbőr</v>
      </c>
    </row>
    <row r="1698" spans="1:4" ht="12.75" customHeight="1" x14ac:dyDescent="0.2">
      <c r="A1698" s="21"/>
      <c r="B1698" s="21"/>
      <c r="C1698" s="4" t="s">
        <v>67</v>
      </c>
      <c r="D1698" s="6" t="str">
        <f>HYPERLINK("javascript:void(0)","lélegző sarokkő")</f>
        <v>lélegző sarokkő</v>
      </c>
    </row>
    <row r="1699" spans="1:4" ht="12.75" customHeight="1" x14ac:dyDescent="0.2">
      <c r="A1699" s="5"/>
      <c r="B1699" s="2"/>
      <c r="C1699" s="2"/>
      <c r="D1699" s="2"/>
    </row>
    <row r="1700" spans="1:4" ht="12.75" customHeight="1" x14ac:dyDescent="0.2">
      <c r="A1700" s="22" t="str">
        <f>HYPERLINK("javascript:void(0)","elfacél fényhusáng")</f>
        <v>elfacél fényhusáng</v>
      </c>
      <c r="B1700" s="21"/>
      <c r="C1700" s="21"/>
      <c r="D1700" s="21"/>
    </row>
    <row r="1701" spans="1:4" ht="12.75" customHeight="1" x14ac:dyDescent="0.2">
      <c r="A1701" s="20"/>
      <c r="B1701" s="2"/>
      <c r="C1701" s="2"/>
      <c r="D1701" s="2"/>
    </row>
    <row r="1702" spans="1:4" ht="12.75" customHeight="1" x14ac:dyDescent="0.2">
      <c r="A1702" s="21"/>
      <c r="B1702" s="3" t="s">
        <v>0</v>
      </c>
      <c r="C1702" s="20" t="s">
        <v>298</v>
      </c>
      <c r="D1702" s="21"/>
    </row>
    <row r="1703" spans="1:4" ht="12.75" customHeight="1" x14ac:dyDescent="0.2">
      <c r="A1703" s="21"/>
      <c r="B1703" s="3" t="s">
        <v>2</v>
      </c>
      <c r="C1703" s="20" t="s">
        <v>122</v>
      </c>
      <c r="D1703" s="21"/>
    </row>
    <row r="1704" spans="1:4" ht="12.75" customHeight="1" x14ac:dyDescent="0.2">
      <c r="A1704" s="21"/>
      <c r="B1704" s="3" t="s">
        <v>4</v>
      </c>
      <c r="C1704" s="20" t="s">
        <v>583</v>
      </c>
      <c r="D1704" s="21"/>
    </row>
    <row r="1705" spans="1:4" ht="12.75" customHeight="1" x14ac:dyDescent="0.2">
      <c r="A1705" s="21"/>
      <c r="B1705" s="3" t="s">
        <v>6</v>
      </c>
      <c r="C1705" s="20" t="s">
        <v>284</v>
      </c>
      <c r="D1705" s="21"/>
    </row>
    <row r="1706" spans="1:4" ht="12.75" customHeight="1" x14ac:dyDescent="0.2">
      <c r="A1706" s="21"/>
      <c r="B1706" s="3" t="s">
        <v>8</v>
      </c>
      <c r="C1706" s="20" t="s">
        <v>583</v>
      </c>
      <c r="D1706" s="21"/>
    </row>
    <row r="1707" spans="1:4" ht="12.75" customHeight="1" x14ac:dyDescent="0.2">
      <c r="A1707" s="21"/>
      <c r="B1707" s="3" t="s">
        <v>9</v>
      </c>
      <c r="C1707" s="20" t="s">
        <v>30</v>
      </c>
      <c r="D1707" s="21"/>
    </row>
    <row r="1708" spans="1:4" ht="12.75" customHeight="1" x14ac:dyDescent="0.2">
      <c r="A1708" s="21"/>
      <c r="B1708" s="3" t="s">
        <v>11</v>
      </c>
      <c r="C1708" s="20" t="s">
        <v>597</v>
      </c>
      <c r="D1708" s="21"/>
    </row>
    <row r="1709" spans="1:4" ht="12.75" customHeight="1" x14ac:dyDescent="0.2">
      <c r="A1709" s="21"/>
      <c r="B1709" s="3" t="s">
        <v>13</v>
      </c>
      <c r="C1709" s="20" t="s">
        <v>24</v>
      </c>
      <c r="D1709" s="21"/>
    </row>
    <row r="1710" spans="1:4" ht="12.75" customHeight="1" x14ac:dyDescent="0.2">
      <c r="A1710" s="21"/>
      <c r="B1710" s="3" t="s">
        <v>15</v>
      </c>
      <c r="C1710" s="20" t="s">
        <v>24</v>
      </c>
      <c r="D1710" s="21"/>
    </row>
    <row r="1711" spans="1:4" ht="12.75" customHeight="1" x14ac:dyDescent="0.2">
      <c r="A1711" s="21"/>
      <c r="B1711" s="3" t="s">
        <v>16</v>
      </c>
      <c r="C1711" s="20"/>
      <c r="D1711" s="21"/>
    </row>
    <row r="1712" spans="1:4" ht="12.75" customHeight="1" x14ac:dyDescent="0.2">
      <c r="A1712" s="21"/>
      <c r="B1712" s="3" t="s">
        <v>17</v>
      </c>
      <c r="C1712" s="20"/>
      <c r="D1712" s="21"/>
    </row>
    <row r="1713" spans="1:4" ht="12.75" customHeight="1" x14ac:dyDescent="0.2">
      <c r="A1713" s="21"/>
      <c r="B1713" s="20" t="s">
        <v>18</v>
      </c>
      <c r="C1713" s="4" t="s">
        <v>56</v>
      </c>
      <c r="D1713" s="6" t="str">
        <f>HYPERLINK("javascript:void(0)","elfacél nyél")</f>
        <v>elfacél nyél</v>
      </c>
    </row>
    <row r="1714" spans="1:4" ht="12.75" customHeight="1" x14ac:dyDescent="0.2">
      <c r="A1714" s="21"/>
      <c r="B1714" s="21"/>
      <c r="C1714" s="4" t="s">
        <v>55</v>
      </c>
      <c r="D1714" s="6" t="str">
        <f>HYPERLINK("javascript:void(0)","szent szimbólum")</f>
        <v>szent szimbólum</v>
      </c>
    </row>
    <row r="1715" spans="1:4" ht="12.75" customHeight="1" x14ac:dyDescent="0.2">
      <c r="A1715" s="21"/>
      <c r="B1715" s="21"/>
      <c r="C1715" s="4" t="s">
        <v>57</v>
      </c>
      <c r="D1715" s="6" t="str">
        <f>HYPERLINK("javascript:void(0)","fénynyaláb")</f>
        <v>fénynyaláb</v>
      </c>
    </row>
    <row r="1716" spans="1:4" ht="12.75" customHeight="1" x14ac:dyDescent="0.2">
      <c r="A1716" s="5"/>
      <c r="B1716" s="2"/>
      <c r="C1716" s="2"/>
      <c r="D1716" s="2"/>
    </row>
    <row r="1717" spans="1:4" ht="12.75" customHeight="1" x14ac:dyDescent="0.2">
      <c r="A1717" s="22" t="str">
        <f>HYPERLINK("javascript:void(0)","elfacél mágusölő")</f>
        <v>elfacél mágusölő</v>
      </c>
      <c r="B1717" s="21"/>
      <c r="C1717" s="21"/>
      <c r="D1717" s="21"/>
    </row>
    <row r="1718" spans="1:4" ht="12.75" customHeight="1" x14ac:dyDescent="0.2">
      <c r="A1718" s="20"/>
      <c r="B1718" s="2"/>
      <c r="C1718" s="2"/>
      <c r="D1718" s="2"/>
    </row>
    <row r="1719" spans="1:4" ht="12.75" customHeight="1" x14ac:dyDescent="0.2">
      <c r="A1719" s="21"/>
      <c r="B1719" s="3" t="s">
        <v>0</v>
      </c>
      <c r="C1719" s="20" t="s">
        <v>298</v>
      </c>
      <c r="D1719" s="21"/>
    </row>
    <row r="1720" spans="1:4" ht="12.75" customHeight="1" x14ac:dyDescent="0.2">
      <c r="A1720" s="21"/>
      <c r="B1720" s="3" t="s">
        <v>2</v>
      </c>
      <c r="C1720" s="20" t="s">
        <v>122</v>
      </c>
      <c r="D1720" s="21"/>
    </row>
    <row r="1721" spans="1:4" ht="12.75" customHeight="1" x14ac:dyDescent="0.2">
      <c r="A1721" s="21"/>
      <c r="B1721" s="3" t="s">
        <v>4</v>
      </c>
      <c r="C1721" s="20" t="s">
        <v>599</v>
      </c>
      <c r="D1721" s="21"/>
    </row>
    <row r="1722" spans="1:4" ht="12.75" customHeight="1" x14ac:dyDescent="0.2">
      <c r="A1722" s="21"/>
      <c r="B1722" s="3" t="s">
        <v>6</v>
      </c>
      <c r="C1722" s="20" t="s">
        <v>48</v>
      </c>
      <c r="D1722" s="21"/>
    </row>
    <row r="1723" spans="1:4" ht="12.75" customHeight="1" x14ac:dyDescent="0.2">
      <c r="A1723" s="21"/>
      <c r="B1723" s="3" t="s">
        <v>8</v>
      </c>
      <c r="C1723" s="20" t="s">
        <v>599</v>
      </c>
      <c r="D1723" s="21"/>
    </row>
    <row r="1724" spans="1:4" ht="12.75" customHeight="1" x14ac:dyDescent="0.2">
      <c r="A1724" s="21"/>
      <c r="B1724" s="3" t="s">
        <v>9</v>
      </c>
      <c r="C1724" s="20" t="s">
        <v>601</v>
      </c>
      <c r="D1724" s="21"/>
    </row>
    <row r="1725" spans="1:4" ht="12.75" customHeight="1" x14ac:dyDescent="0.2">
      <c r="A1725" s="21"/>
      <c r="B1725" s="3" t="s">
        <v>11</v>
      </c>
      <c r="C1725" s="20" t="s">
        <v>108</v>
      </c>
      <c r="D1725" s="21"/>
    </row>
    <row r="1726" spans="1:4" ht="12.75" customHeight="1" x14ac:dyDescent="0.2">
      <c r="A1726" s="21"/>
      <c r="B1726" s="3" t="s">
        <v>13</v>
      </c>
      <c r="C1726" s="20" t="s">
        <v>14</v>
      </c>
      <c r="D1726" s="21"/>
    </row>
    <row r="1727" spans="1:4" ht="12.75" customHeight="1" x14ac:dyDescent="0.2">
      <c r="A1727" s="21"/>
      <c r="B1727" s="3" t="s">
        <v>15</v>
      </c>
      <c r="C1727" s="20" t="s">
        <v>24</v>
      </c>
      <c r="D1727" s="21"/>
    </row>
    <row r="1728" spans="1:4" ht="12.75" customHeight="1" x14ac:dyDescent="0.2">
      <c r="A1728" s="21"/>
      <c r="B1728" s="3" t="s">
        <v>16</v>
      </c>
      <c r="C1728" s="20"/>
      <c r="D1728" s="21"/>
    </row>
    <row r="1729" spans="1:4" ht="12.75" customHeight="1" x14ac:dyDescent="0.2">
      <c r="A1729" s="21"/>
      <c r="B1729" s="3" t="s">
        <v>17</v>
      </c>
      <c r="C1729" s="20"/>
      <c r="D1729" s="21"/>
    </row>
    <row r="1730" spans="1:4" ht="12.75" customHeight="1" x14ac:dyDescent="0.2">
      <c r="A1730" s="21"/>
      <c r="B1730" s="20" t="s">
        <v>18</v>
      </c>
      <c r="C1730" s="4" t="s">
        <v>44</v>
      </c>
      <c r="D1730" s="6" t="str">
        <f>HYPERLINK("javascript:void(0)","hiper mágusölő")</f>
        <v>hiper mágusölő</v>
      </c>
    </row>
    <row r="1731" spans="1:4" ht="12.75" customHeight="1" x14ac:dyDescent="0.2">
      <c r="A1731" s="21"/>
      <c r="B1731" s="21"/>
      <c r="C1731" s="4" t="s">
        <v>139</v>
      </c>
      <c r="D1731" s="6" t="str">
        <f>HYPERLINK("javascript:void(0)","sárkány izom")</f>
        <v>sárkány izom</v>
      </c>
    </row>
    <row r="1732" spans="1:4" ht="12.75" customHeight="1" x14ac:dyDescent="0.2">
      <c r="A1732" s="21"/>
      <c r="B1732" s="21"/>
      <c r="C1732" s="4" t="s">
        <v>193</v>
      </c>
      <c r="D1732" s="6" t="str">
        <f>HYPERLINK("javascript:void(0)","sárkány szív")</f>
        <v>sárkány szív</v>
      </c>
    </row>
    <row r="1733" spans="1:4" ht="12.75" customHeight="1" x14ac:dyDescent="0.2">
      <c r="A1733" s="5"/>
      <c r="B1733" s="2"/>
      <c r="C1733" s="2"/>
      <c r="D1733" s="2"/>
    </row>
    <row r="1734" spans="1:4" ht="12.75" customHeight="1" x14ac:dyDescent="0.2">
      <c r="A1734" s="22" t="str">
        <f>HYPERLINK("javascript:void(0)","elfacél fénybunkó")</f>
        <v>elfacél fénybunkó</v>
      </c>
      <c r="B1734" s="21"/>
      <c r="C1734" s="21"/>
      <c r="D1734" s="21"/>
    </row>
    <row r="1735" spans="1:4" ht="12.75" customHeight="1" x14ac:dyDescent="0.2">
      <c r="A1735" s="20"/>
      <c r="B1735" s="2"/>
      <c r="C1735" s="2"/>
      <c r="D1735" s="2"/>
    </row>
    <row r="1736" spans="1:4" ht="12.75" customHeight="1" x14ac:dyDescent="0.2">
      <c r="A1736" s="21"/>
      <c r="B1736" s="3" t="s">
        <v>0</v>
      </c>
      <c r="C1736" s="20" t="s">
        <v>187</v>
      </c>
      <c r="D1736" s="21"/>
    </row>
    <row r="1737" spans="1:4" ht="12.75" customHeight="1" x14ac:dyDescent="0.2">
      <c r="A1737" s="21"/>
      <c r="B1737" s="3" t="s">
        <v>2</v>
      </c>
      <c r="C1737" s="20" t="s">
        <v>122</v>
      </c>
      <c r="D1737" s="21"/>
    </row>
    <row r="1738" spans="1:4" ht="12.75" customHeight="1" x14ac:dyDescent="0.2">
      <c r="A1738" s="21"/>
      <c r="B1738" s="3" t="s">
        <v>4</v>
      </c>
      <c r="C1738" s="20" t="s">
        <v>318</v>
      </c>
      <c r="D1738" s="21"/>
    </row>
    <row r="1739" spans="1:4" ht="12.75" customHeight="1" x14ac:dyDescent="0.2">
      <c r="A1739" s="21"/>
      <c r="B1739" s="3" t="s">
        <v>6</v>
      </c>
      <c r="C1739" s="20" t="s">
        <v>229</v>
      </c>
      <c r="D1739" s="21"/>
    </row>
    <row r="1740" spans="1:4" ht="12.75" customHeight="1" x14ac:dyDescent="0.2">
      <c r="A1740" s="21"/>
      <c r="B1740" s="3" t="s">
        <v>8</v>
      </c>
      <c r="C1740" s="20" t="s">
        <v>318</v>
      </c>
      <c r="D1740" s="21"/>
    </row>
    <row r="1741" spans="1:4" ht="12.75" customHeight="1" x14ac:dyDescent="0.2">
      <c r="A1741" s="21"/>
      <c r="B1741" s="3" t="s">
        <v>9</v>
      </c>
      <c r="C1741" s="20" t="s">
        <v>79</v>
      </c>
      <c r="D1741" s="21"/>
    </row>
    <row r="1742" spans="1:4" ht="12.75" customHeight="1" x14ac:dyDescent="0.2">
      <c r="A1742" s="21"/>
      <c r="B1742" s="3" t="s">
        <v>11</v>
      </c>
      <c r="C1742" s="20" t="s">
        <v>604</v>
      </c>
      <c r="D1742" s="21"/>
    </row>
    <row r="1743" spans="1:4" ht="12.75" customHeight="1" x14ac:dyDescent="0.2">
      <c r="A1743" s="21"/>
      <c r="B1743" s="3" t="s">
        <v>13</v>
      </c>
      <c r="C1743" s="20" t="s">
        <v>24</v>
      </c>
      <c r="D1743" s="21"/>
    </row>
    <row r="1744" spans="1:4" ht="12.75" customHeight="1" x14ac:dyDescent="0.2">
      <c r="A1744" s="21"/>
      <c r="B1744" s="3" t="s">
        <v>15</v>
      </c>
      <c r="C1744" s="20" t="s">
        <v>24</v>
      </c>
      <c r="D1744" s="21"/>
    </row>
    <row r="1745" spans="1:4" ht="12.75" customHeight="1" x14ac:dyDescent="0.2">
      <c r="A1745" s="21"/>
      <c r="B1745" s="3" t="s">
        <v>16</v>
      </c>
      <c r="C1745" s="20"/>
      <c r="D1745" s="21"/>
    </row>
    <row r="1746" spans="1:4" ht="12.75" customHeight="1" x14ac:dyDescent="0.2">
      <c r="A1746" s="21"/>
      <c r="B1746" s="3" t="s">
        <v>17</v>
      </c>
      <c r="C1746" s="20"/>
      <c r="D1746" s="21"/>
    </row>
    <row r="1747" spans="1:4" ht="12.75" customHeight="1" x14ac:dyDescent="0.2">
      <c r="A1747" s="21"/>
      <c r="B1747" s="20" t="s">
        <v>18</v>
      </c>
      <c r="C1747" s="4" t="s">
        <v>57</v>
      </c>
      <c r="D1747" s="6" t="str">
        <f>HYPERLINK("javascript:void(0)","elfacél nyél")</f>
        <v>elfacél nyél</v>
      </c>
    </row>
    <row r="1748" spans="1:4" ht="12.75" customHeight="1" x14ac:dyDescent="0.2">
      <c r="A1748" s="21"/>
      <c r="B1748" s="21"/>
      <c r="C1748" s="4" t="s">
        <v>44</v>
      </c>
      <c r="D1748" s="6" t="str">
        <f>HYPERLINK("javascript:void(0)","elfacél fényhusáng")</f>
        <v>elfacél fényhusáng</v>
      </c>
    </row>
    <row r="1749" spans="1:4" ht="12.75" customHeight="1" x14ac:dyDescent="0.2">
      <c r="A1749" s="21"/>
      <c r="B1749" s="21"/>
      <c r="C1749" s="4" t="s">
        <v>232</v>
      </c>
      <c r="D1749" s="6" t="str">
        <f>HYPERLINK("javascript:void(0)","fénynyaláb")</f>
        <v>fénynyaláb</v>
      </c>
    </row>
    <row r="1750" spans="1:4" ht="12.75" customHeight="1" x14ac:dyDescent="0.2">
      <c r="A1750" s="5"/>
      <c r="B1750" s="2"/>
      <c r="C1750" s="2"/>
      <c r="D1750" s="2"/>
    </row>
    <row r="1751" spans="1:4" ht="12.75" customHeight="1" x14ac:dyDescent="0.2">
      <c r="A1751" s="22" t="str">
        <f>HYPERLINK("javascript:void(0)","skivei ballaszt")</f>
        <v>skivei ballaszt</v>
      </c>
      <c r="B1751" s="21"/>
      <c r="C1751" s="21"/>
      <c r="D1751" s="21"/>
    </row>
    <row r="1752" spans="1:4" ht="12.75" customHeight="1" x14ac:dyDescent="0.2">
      <c r="A1752" s="20"/>
      <c r="B1752" s="2"/>
      <c r="C1752" s="2"/>
      <c r="D1752" s="2"/>
    </row>
    <row r="1753" spans="1:4" ht="12.75" customHeight="1" x14ac:dyDescent="0.2">
      <c r="A1753" s="21"/>
      <c r="B1753" s="3" t="s">
        <v>0</v>
      </c>
      <c r="C1753" s="20" t="s">
        <v>187</v>
      </c>
      <c r="D1753" s="21"/>
    </row>
    <row r="1754" spans="1:4" ht="12.75" customHeight="1" x14ac:dyDescent="0.2">
      <c r="A1754" s="21"/>
      <c r="B1754" s="3" t="s">
        <v>2</v>
      </c>
      <c r="C1754" s="20" t="s">
        <v>122</v>
      </c>
      <c r="D1754" s="21"/>
    </row>
    <row r="1755" spans="1:4" ht="12.75" customHeight="1" x14ac:dyDescent="0.2">
      <c r="A1755" s="21"/>
      <c r="B1755" s="3" t="s">
        <v>4</v>
      </c>
      <c r="C1755" s="20" t="s">
        <v>606</v>
      </c>
      <c r="D1755" s="21"/>
    </row>
    <row r="1756" spans="1:4" ht="12.75" customHeight="1" x14ac:dyDescent="0.2">
      <c r="A1756" s="21"/>
      <c r="B1756" s="3" t="s">
        <v>6</v>
      </c>
      <c r="C1756" s="20" t="s">
        <v>40</v>
      </c>
      <c r="D1756" s="21"/>
    </row>
    <row r="1757" spans="1:4" ht="12.75" customHeight="1" x14ac:dyDescent="0.2">
      <c r="A1757" s="21"/>
      <c r="B1757" s="3" t="s">
        <v>8</v>
      </c>
      <c r="C1757" s="20" t="s">
        <v>606</v>
      </c>
      <c r="D1757" s="21"/>
    </row>
    <row r="1758" spans="1:4" ht="12.75" customHeight="1" x14ac:dyDescent="0.2">
      <c r="A1758" s="21"/>
      <c r="B1758" s="3" t="s">
        <v>9</v>
      </c>
      <c r="C1758" s="20" t="s">
        <v>607</v>
      </c>
      <c r="D1758" s="21"/>
    </row>
    <row r="1759" spans="1:4" ht="12.75" customHeight="1" x14ac:dyDescent="0.2">
      <c r="A1759" s="21"/>
      <c r="B1759" s="3" t="s">
        <v>11</v>
      </c>
      <c r="C1759" s="20" t="s">
        <v>191</v>
      </c>
      <c r="D1759" s="21"/>
    </row>
    <row r="1760" spans="1:4" ht="12.75" customHeight="1" x14ac:dyDescent="0.2">
      <c r="A1760" s="21"/>
      <c r="B1760" s="3" t="s">
        <v>13</v>
      </c>
      <c r="C1760" s="20" t="s">
        <v>24</v>
      </c>
      <c r="D1760" s="21"/>
    </row>
    <row r="1761" spans="1:4" ht="12.75" customHeight="1" x14ac:dyDescent="0.2">
      <c r="A1761" s="21"/>
      <c r="B1761" s="3" t="s">
        <v>15</v>
      </c>
      <c r="C1761" s="20" t="s">
        <v>24</v>
      </c>
      <c r="D1761" s="21"/>
    </row>
    <row r="1762" spans="1:4" ht="12.75" customHeight="1" x14ac:dyDescent="0.2">
      <c r="A1762" s="21"/>
      <c r="B1762" s="3" t="s">
        <v>16</v>
      </c>
      <c r="C1762" s="20"/>
      <c r="D1762" s="21"/>
    </row>
    <row r="1763" spans="1:4" ht="12.75" customHeight="1" x14ac:dyDescent="0.2">
      <c r="A1763" s="21"/>
      <c r="B1763" s="3" t="s">
        <v>17</v>
      </c>
      <c r="C1763" s="20"/>
      <c r="D1763" s="21"/>
    </row>
    <row r="1764" spans="1:4" ht="12.75" customHeight="1" x14ac:dyDescent="0.2">
      <c r="A1764" s="21"/>
      <c r="B1764" s="20" t="s">
        <v>18</v>
      </c>
      <c r="C1764" s="4" t="s">
        <v>139</v>
      </c>
      <c r="D1764" s="6" t="str">
        <f>HYPERLINK("javascript:void(0)","undormány")</f>
        <v>undormány</v>
      </c>
    </row>
    <row r="1765" spans="1:4" ht="12.75" customHeight="1" x14ac:dyDescent="0.2">
      <c r="A1765" s="21"/>
      <c r="B1765" s="21"/>
      <c r="C1765" s="4" t="s">
        <v>163</v>
      </c>
      <c r="D1765" s="6" t="str">
        <f>HYPERLINK("javascript:void(0)","sárkányfű")</f>
        <v>sárkányfű</v>
      </c>
    </row>
    <row r="1766" spans="1:4" ht="12.75" customHeight="1" x14ac:dyDescent="0.2">
      <c r="A1766" s="21"/>
      <c r="B1766" s="21"/>
      <c r="C1766" s="4" t="s">
        <v>139</v>
      </c>
      <c r="D1766" s="6" t="str">
        <f>HYPERLINK("javascript:void(0)","légzsák")</f>
        <v>légzsák</v>
      </c>
    </row>
    <row r="1767" spans="1:4" ht="12.75" customHeight="1" x14ac:dyDescent="0.2">
      <c r="A1767" s="5"/>
      <c r="B1767" s="2"/>
      <c r="C1767" s="2"/>
      <c r="D1767" s="2"/>
    </row>
    <row r="1768" spans="1:4" ht="12.75" customHeight="1" x14ac:dyDescent="0.2">
      <c r="A1768" s="22" t="str">
        <f>HYPERLINK("javascript:void(0)","gyíkacél husáng")</f>
        <v>gyíkacél husáng</v>
      </c>
      <c r="B1768" s="21"/>
      <c r="C1768" s="21"/>
      <c r="D1768" s="21"/>
    </row>
    <row r="1769" spans="1:4" ht="12.75" customHeight="1" x14ac:dyDescent="0.2">
      <c r="A1769" s="20"/>
      <c r="B1769" s="2"/>
      <c r="C1769" s="2"/>
      <c r="D1769" s="2"/>
    </row>
    <row r="1770" spans="1:4" ht="12.75" customHeight="1" x14ac:dyDescent="0.2">
      <c r="A1770" s="21"/>
      <c r="B1770" s="3" t="s">
        <v>0</v>
      </c>
      <c r="C1770" s="20" t="s">
        <v>187</v>
      </c>
      <c r="D1770" s="21"/>
    </row>
    <row r="1771" spans="1:4" ht="12.75" customHeight="1" x14ac:dyDescent="0.2">
      <c r="A1771" s="21"/>
      <c r="B1771" s="3" t="s">
        <v>2</v>
      </c>
      <c r="C1771" s="20" t="s">
        <v>122</v>
      </c>
      <c r="D1771" s="21"/>
    </row>
    <row r="1772" spans="1:4" ht="12.75" customHeight="1" x14ac:dyDescent="0.2">
      <c r="A1772" s="21"/>
      <c r="B1772" s="3" t="s">
        <v>4</v>
      </c>
      <c r="C1772" s="20" t="s">
        <v>611</v>
      </c>
      <c r="D1772" s="21"/>
    </row>
    <row r="1773" spans="1:4" ht="12.75" customHeight="1" x14ac:dyDescent="0.2">
      <c r="A1773" s="21"/>
      <c r="B1773" s="3" t="s">
        <v>6</v>
      </c>
      <c r="C1773" s="20" t="s">
        <v>206</v>
      </c>
      <c r="D1773" s="21"/>
    </row>
    <row r="1774" spans="1:4" ht="12.75" customHeight="1" x14ac:dyDescent="0.2">
      <c r="A1774" s="21"/>
      <c r="B1774" s="3" t="s">
        <v>8</v>
      </c>
      <c r="C1774" s="20" t="s">
        <v>611</v>
      </c>
      <c r="D1774" s="21"/>
    </row>
    <row r="1775" spans="1:4" ht="12.75" customHeight="1" x14ac:dyDescent="0.2">
      <c r="A1775" s="21"/>
      <c r="B1775" s="3" t="s">
        <v>9</v>
      </c>
      <c r="C1775" s="20" t="s">
        <v>612</v>
      </c>
      <c r="D1775" s="21"/>
    </row>
    <row r="1776" spans="1:4" ht="12.75" customHeight="1" x14ac:dyDescent="0.2">
      <c r="A1776" s="21"/>
      <c r="B1776" s="3" t="s">
        <v>11</v>
      </c>
      <c r="C1776" s="20" t="s">
        <v>116</v>
      </c>
      <c r="D1776" s="21"/>
    </row>
    <row r="1777" spans="1:4" ht="12.75" customHeight="1" x14ac:dyDescent="0.2">
      <c r="A1777" s="21"/>
      <c r="B1777" s="3" t="s">
        <v>13</v>
      </c>
      <c r="C1777" s="20" t="s">
        <v>24</v>
      </c>
      <c r="D1777" s="21"/>
    </row>
    <row r="1778" spans="1:4" ht="12.75" customHeight="1" x14ac:dyDescent="0.2">
      <c r="A1778" s="21"/>
      <c r="B1778" s="3" t="s">
        <v>15</v>
      </c>
      <c r="C1778" s="20" t="s">
        <v>24</v>
      </c>
      <c r="D1778" s="21"/>
    </row>
    <row r="1779" spans="1:4" ht="12.75" customHeight="1" x14ac:dyDescent="0.2">
      <c r="A1779" s="21"/>
      <c r="B1779" s="3" t="s">
        <v>16</v>
      </c>
      <c r="C1779" s="20"/>
      <c r="D1779" s="21"/>
    </row>
    <row r="1780" spans="1:4" ht="12.75" customHeight="1" x14ac:dyDescent="0.2">
      <c r="A1780" s="21"/>
      <c r="B1780" s="3" t="s">
        <v>17</v>
      </c>
      <c r="C1780" s="20"/>
      <c r="D1780" s="21"/>
    </row>
    <row r="1781" spans="1:4" ht="12.75" customHeight="1" x14ac:dyDescent="0.2">
      <c r="A1781" s="21"/>
      <c r="B1781" s="20" t="s">
        <v>18</v>
      </c>
      <c r="C1781" s="4" t="s">
        <v>77</v>
      </c>
      <c r="D1781" s="6" t="str">
        <f>HYPERLINK("javascript:void(0)","gorillanyelv")</f>
        <v>gorillanyelv</v>
      </c>
    </row>
    <row r="1782" spans="1:4" ht="12.75" customHeight="1" x14ac:dyDescent="0.2">
      <c r="A1782" s="21"/>
      <c r="B1782" s="21"/>
      <c r="C1782" s="4" t="s">
        <v>67</v>
      </c>
      <c r="D1782" s="6" t="str">
        <f>HYPERLINK("javascript:void(0)","idegen szerkentyű")</f>
        <v>idegen szerkentyű</v>
      </c>
    </row>
    <row r="1783" spans="1:4" ht="12.75" customHeight="1" x14ac:dyDescent="0.2">
      <c r="A1783" s="21"/>
      <c r="B1783" s="21"/>
      <c r="C1783" s="4" t="s">
        <v>102</v>
      </c>
      <c r="D1783" s="6" t="str">
        <f>HYPERLINK("javascript:void(0)","lélegző sarokkő")</f>
        <v>lélegző sarokkő</v>
      </c>
    </row>
    <row r="1784" spans="1:4" ht="12.75" customHeight="1" x14ac:dyDescent="0.2">
      <c r="A1784" s="5"/>
      <c r="B1784" s="2"/>
      <c r="C1784" s="2"/>
      <c r="D1784" s="2"/>
    </row>
    <row r="1785" spans="1:4" ht="12.75" customHeight="1" x14ac:dyDescent="0.2">
      <c r="A1785" s="22" t="str">
        <f>HYPERLINK("javascript:void(0)","óriásacél mágusölő")</f>
        <v>óriásacél mágusölő</v>
      </c>
      <c r="B1785" s="21"/>
      <c r="C1785" s="21"/>
      <c r="D1785" s="21"/>
    </row>
    <row r="1786" spans="1:4" ht="12.75" customHeight="1" x14ac:dyDescent="0.2">
      <c r="A1786" s="20"/>
      <c r="B1786" s="2"/>
      <c r="C1786" s="2"/>
      <c r="D1786" s="2"/>
    </row>
    <row r="1787" spans="1:4" ht="12.75" customHeight="1" x14ac:dyDescent="0.2">
      <c r="A1787" s="21"/>
      <c r="B1787" s="3" t="s">
        <v>0</v>
      </c>
      <c r="C1787" s="20" t="s">
        <v>107</v>
      </c>
      <c r="D1787" s="21"/>
    </row>
    <row r="1788" spans="1:4" ht="12.75" customHeight="1" x14ac:dyDescent="0.2">
      <c r="A1788" s="21"/>
      <c r="B1788" s="3" t="s">
        <v>2</v>
      </c>
      <c r="C1788" s="20" t="s">
        <v>122</v>
      </c>
      <c r="D1788" s="21"/>
    </row>
    <row r="1789" spans="1:4" ht="12.75" customHeight="1" x14ac:dyDescent="0.2">
      <c r="A1789" s="21"/>
      <c r="B1789" s="3" t="s">
        <v>4</v>
      </c>
      <c r="C1789" s="20" t="s">
        <v>616</v>
      </c>
      <c r="D1789" s="21"/>
    </row>
    <row r="1790" spans="1:4" ht="12.75" customHeight="1" x14ac:dyDescent="0.2">
      <c r="A1790" s="21"/>
      <c r="B1790" s="3" t="s">
        <v>6</v>
      </c>
      <c r="C1790" s="20" t="s">
        <v>48</v>
      </c>
      <c r="D1790" s="21"/>
    </row>
    <row r="1791" spans="1:4" ht="12.75" customHeight="1" x14ac:dyDescent="0.2">
      <c r="A1791" s="21"/>
      <c r="B1791" s="3" t="s">
        <v>8</v>
      </c>
      <c r="C1791" s="20" t="s">
        <v>616</v>
      </c>
      <c r="D1791" s="21"/>
    </row>
    <row r="1792" spans="1:4" ht="12.75" customHeight="1" x14ac:dyDescent="0.2">
      <c r="A1792" s="21"/>
      <c r="B1792" s="3" t="s">
        <v>9</v>
      </c>
      <c r="C1792" s="20" t="s">
        <v>580</v>
      </c>
      <c r="D1792" s="21"/>
    </row>
    <row r="1793" spans="1:4" ht="12.75" customHeight="1" x14ac:dyDescent="0.2">
      <c r="A1793" s="21"/>
      <c r="B1793" s="3" t="s">
        <v>11</v>
      </c>
      <c r="C1793" s="20" t="s">
        <v>162</v>
      </c>
      <c r="D1793" s="21"/>
    </row>
    <row r="1794" spans="1:4" ht="12.75" customHeight="1" x14ac:dyDescent="0.2">
      <c r="A1794" s="21"/>
      <c r="B1794" s="3" t="s">
        <v>13</v>
      </c>
      <c r="C1794" s="20" t="s">
        <v>14</v>
      </c>
      <c r="D1794" s="21"/>
    </row>
    <row r="1795" spans="1:4" ht="12.75" customHeight="1" x14ac:dyDescent="0.2">
      <c r="A1795" s="21"/>
      <c r="B1795" s="3" t="s">
        <v>15</v>
      </c>
      <c r="C1795" s="20" t="s">
        <v>24</v>
      </c>
      <c r="D1795" s="21"/>
    </row>
    <row r="1796" spans="1:4" ht="12.75" customHeight="1" x14ac:dyDescent="0.2">
      <c r="A1796" s="21"/>
      <c r="B1796" s="3" t="s">
        <v>16</v>
      </c>
      <c r="C1796" s="20"/>
      <c r="D1796" s="21"/>
    </row>
    <row r="1797" spans="1:4" ht="12.75" customHeight="1" x14ac:dyDescent="0.2">
      <c r="A1797" s="21"/>
      <c r="B1797" s="3" t="s">
        <v>17</v>
      </c>
      <c r="C1797" s="20"/>
      <c r="D1797" s="21"/>
    </row>
    <row r="1798" spans="1:4" ht="12.75" customHeight="1" x14ac:dyDescent="0.2">
      <c r="A1798" s="21"/>
      <c r="B1798" s="20" t="s">
        <v>18</v>
      </c>
      <c r="C1798" s="4" t="s">
        <v>44</v>
      </c>
      <c r="D1798" s="6" t="str">
        <f>HYPERLINK("javascript:void(0)","elfacél mágusölő")</f>
        <v>elfacél mágusölő</v>
      </c>
    </row>
    <row r="1799" spans="1:4" ht="12.75" customHeight="1" x14ac:dyDescent="0.2">
      <c r="A1799" s="21"/>
      <c r="B1799" s="21"/>
      <c r="C1799" s="4" t="s">
        <v>67</v>
      </c>
      <c r="D1799" s="6" t="str">
        <f>HYPERLINK("javascript:void(0)","óriás korona")</f>
        <v>óriás korona</v>
      </c>
    </row>
    <row r="1800" spans="1:4" ht="12.75" customHeight="1" x14ac:dyDescent="0.2">
      <c r="A1800" s="21"/>
      <c r="B1800" s="21"/>
      <c r="C1800" s="4" t="s">
        <v>139</v>
      </c>
      <c r="D1800" s="6" t="str">
        <f>HYPERLINK("javascript:void(0)","sejtmag")</f>
        <v>sejtmag</v>
      </c>
    </row>
    <row r="1801" spans="1:4" ht="12.75" customHeight="1" x14ac:dyDescent="0.2">
      <c r="A1801" s="5"/>
      <c r="B1801" s="2"/>
      <c r="C1801" s="2"/>
      <c r="D1801" s="2"/>
    </row>
    <row r="1802" spans="1:4" ht="12.75" customHeight="1" x14ac:dyDescent="0.2">
      <c r="A1802" s="22" t="str">
        <f>HYPERLINK("javascript:void(0)","óriásacél fénykalapács")</f>
        <v>óriásacél fénykalapács</v>
      </c>
      <c r="B1802" s="21"/>
      <c r="C1802" s="21"/>
      <c r="D1802" s="21"/>
    </row>
    <row r="1803" spans="1:4" ht="12.75" customHeight="1" x14ac:dyDescent="0.2">
      <c r="A1803" s="20"/>
      <c r="B1803" s="2"/>
      <c r="C1803" s="2"/>
      <c r="D1803" s="2"/>
    </row>
    <row r="1804" spans="1:4" ht="12.75" customHeight="1" x14ac:dyDescent="0.2">
      <c r="A1804" s="21"/>
      <c r="B1804" s="3" t="s">
        <v>0</v>
      </c>
      <c r="C1804" s="20" t="s">
        <v>107</v>
      </c>
      <c r="D1804" s="21"/>
    </row>
    <row r="1805" spans="1:4" ht="12.75" customHeight="1" x14ac:dyDescent="0.2">
      <c r="A1805" s="21"/>
      <c r="B1805" s="3" t="s">
        <v>2</v>
      </c>
      <c r="C1805" s="20" t="s">
        <v>122</v>
      </c>
      <c r="D1805" s="21"/>
    </row>
    <row r="1806" spans="1:4" ht="12.75" customHeight="1" x14ac:dyDescent="0.2">
      <c r="A1806" s="21"/>
      <c r="B1806" s="3" t="s">
        <v>4</v>
      </c>
      <c r="C1806" s="20" t="s">
        <v>618</v>
      </c>
      <c r="D1806" s="21"/>
    </row>
    <row r="1807" spans="1:4" ht="12.75" customHeight="1" x14ac:dyDescent="0.2">
      <c r="A1807" s="21"/>
      <c r="B1807" s="3" t="s">
        <v>6</v>
      </c>
      <c r="C1807" s="20" t="s">
        <v>206</v>
      </c>
      <c r="D1807" s="21"/>
    </row>
    <row r="1808" spans="1:4" ht="12.75" customHeight="1" x14ac:dyDescent="0.2">
      <c r="A1808" s="21"/>
      <c r="B1808" s="3" t="s">
        <v>8</v>
      </c>
      <c r="C1808" s="20" t="s">
        <v>618</v>
      </c>
      <c r="D1808" s="21"/>
    </row>
    <row r="1809" spans="1:4" ht="12.75" customHeight="1" x14ac:dyDescent="0.2">
      <c r="A1809" s="21"/>
      <c r="B1809" s="3" t="s">
        <v>9</v>
      </c>
      <c r="C1809" s="20" t="s">
        <v>573</v>
      </c>
      <c r="D1809" s="21"/>
    </row>
    <row r="1810" spans="1:4" ht="12.75" customHeight="1" x14ac:dyDescent="0.2">
      <c r="A1810" s="21"/>
      <c r="B1810" s="3" t="s">
        <v>11</v>
      </c>
      <c r="C1810" s="20" t="s">
        <v>619</v>
      </c>
      <c r="D1810" s="21"/>
    </row>
    <row r="1811" spans="1:4" ht="12.75" customHeight="1" x14ac:dyDescent="0.2">
      <c r="A1811" s="21"/>
      <c r="B1811" s="3" t="s">
        <v>13</v>
      </c>
      <c r="C1811" s="20" t="s">
        <v>24</v>
      </c>
      <c r="D1811" s="21"/>
    </row>
    <row r="1812" spans="1:4" ht="12.75" customHeight="1" x14ac:dyDescent="0.2">
      <c r="A1812" s="21"/>
      <c r="B1812" s="3" t="s">
        <v>15</v>
      </c>
      <c r="C1812" s="20" t="s">
        <v>24</v>
      </c>
      <c r="D1812" s="21"/>
    </row>
    <row r="1813" spans="1:4" ht="12.75" customHeight="1" x14ac:dyDescent="0.2">
      <c r="A1813" s="21"/>
      <c r="B1813" s="3" t="s">
        <v>16</v>
      </c>
      <c r="C1813" s="20"/>
      <c r="D1813" s="21"/>
    </row>
    <row r="1814" spans="1:4" ht="12.75" customHeight="1" x14ac:dyDescent="0.2">
      <c r="A1814" s="21"/>
      <c r="B1814" s="3" t="s">
        <v>17</v>
      </c>
      <c r="C1814" s="20"/>
      <c r="D1814" s="21"/>
    </row>
    <row r="1815" spans="1:4" ht="12.75" customHeight="1" x14ac:dyDescent="0.2">
      <c r="A1815" s="21"/>
      <c r="B1815" s="20" t="s">
        <v>18</v>
      </c>
      <c r="C1815" s="4" t="s">
        <v>56</v>
      </c>
      <c r="D1815" s="6" t="str">
        <f>HYPERLINK("javascript:void(0)","elfacél fénybunkó")</f>
        <v>elfacél fénybunkó</v>
      </c>
    </row>
    <row r="1816" spans="1:4" ht="12.75" customHeight="1" x14ac:dyDescent="0.2">
      <c r="A1816" s="21"/>
      <c r="B1816" s="21"/>
      <c r="C1816" s="4" t="s">
        <v>56</v>
      </c>
      <c r="D1816" s="6" t="str">
        <f>HYPERLINK("javascript:void(0)","fénysugár")</f>
        <v>fénysugár</v>
      </c>
    </row>
    <row r="1817" spans="1:4" ht="12.75" customHeight="1" x14ac:dyDescent="0.2">
      <c r="A1817" s="21"/>
      <c r="B1817" s="21"/>
      <c r="C1817" s="4" t="s">
        <v>139</v>
      </c>
      <c r="D1817" s="6" t="str">
        <f>HYPERLINK("javascript:void(0)","varázsige")</f>
        <v>varázsige</v>
      </c>
    </row>
    <row r="1818" spans="1:4" ht="12.75" customHeight="1" x14ac:dyDescent="0.2">
      <c r="A1818" s="5"/>
      <c r="B1818" s="2"/>
      <c r="C1818" s="2"/>
      <c r="D1818" s="2"/>
    </row>
    <row r="1819" spans="1:4" ht="12.75" customHeight="1" x14ac:dyDescent="0.2">
      <c r="A1819" s="22" t="str">
        <f>HYPERLINK("javascript:void(0)","parszi jégbuzogány")</f>
        <v>parszi jégbuzogány</v>
      </c>
      <c r="B1819" s="21"/>
      <c r="C1819" s="21"/>
      <c r="D1819" s="21"/>
    </row>
    <row r="1820" spans="1:4" ht="12.75" customHeight="1" x14ac:dyDescent="0.2">
      <c r="A1820" s="20"/>
      <c r="B1820" s="2"/>
      <c r="C1820" s="2"/>
      <c r="D1820" s="2"/>
    </row>
    <row r="1821" spans="1:4" ht="12.75" customHeight="1" x14ac:dyDescent="0.2">
      <c r="A1821" s="21"/>
      <c r="B1821" s="3" t="s">
        <v>0</v>
      </c>
      <c r="C1821" s="20" t="s">
        <v>324</v>
      </c>
      <c r="D1821" s="21"/>
    </row>
    <row r="1822" spans="1:4" ht="12.75" customHeight="1" x14ac:dyDescent="0.2">
      <c r="A1822" s="21"/>
      <c r="B1822" s="3" t="s">
        <v>2</v>
      </c>
      <c r="C1822" s="20" t="s">
        <v>122</v>
      </c>
      <c r="D1822" s="21"/>
    </row>
    <row r="1823" spans="1:4" ht="12.75" customHeight="1" x14ac:dyDescent="0.2">
      <c r="A1823" s="21"/>
      <c r="B1823" s="3" t="s">
        <v>4</v>
      </c>
      <c r="C1823" s="20" t="s">
        <v>620</v>
      </c>
      <c r="D1823" s="21"/>
    </row>
    <row r="1824" spans="1:4" ht="12.75" customHeight="1" x14ac:dyDescent="0.2">
      <c r="A1824" s="21"/>
      <c r="B1824" s="3" t="s">
        <v>6</v>
      </c>
      <c r="C1824" s="20" t="s">
        <v>291</v>
      </c>
      <c r="D1824" s="21"/>
    </row>
    <row r="1825" spans="1:4" ht="12.75" customHeight="1" x14ac:dyDescent="0.2">
      <c r="A1825" s="21"/>
      <c r="B1825" s="3" t="s">
        <v>8</v>
      </c>
      <c r="C1825" s="20" t="s">
        <v>620</v>
      </c>
      <c r="D1825" s="21"/>
    </row>
    <row r="1826" spans="1:4" ht="12.75" customHeight="1" x14ac:dyDescent="0.2">
      <c r="A1826" s="21"/>
      <c r="B1826" s="3" t="s">
        <v>9</v>
      </c>
      <c r="C1826" s="20" t="s">
        <v>573</v>
      </c>
      <c r="D1826" s="21"/>
    </row>
    <row r="1827" spans="1:4" ht="12.75" customHeight="1" x14ac:dyDescent="0.2">
      <c r="A1827" s="21"/>
      <c r="B1827" s="3" t="s">
        <v>11</v>
      </c>
      <c r="C1827" s="20" t="s">
        <v>621</v>
      </c>
      <c r="D1827" s="21"/>
    </row>
    <row r="1828" spans="1:4" ht="12.75" customHeight="1" x14ac:dyDescent="0.2">
      <c r="A1828" s="21"/>
      <c r="B1828" s="3" t="s">
        <v>13</v>
      </c>
      <c r="C1828" s="20" t="s">
        <v>24</v>
      </c>
      <c r="D1828" s="21"/>
    </row>
    <row r="1829" spans="1:4" ht="12.75" customHeight="1" x14ac:dyDescent="0.2">
      <c r="A1829" s="21"/>
      <c r="B1829" s="3" t="s">
        <v>15</v>
      </c>
      <c r="C1829" s="20" t="s">
        <v>24</v>
      </c>
      <c r="D1829" s="21"/>
    </row>
    <row r="1830" spans="1:4" ht="12.75" customHeight="1" x14ac:dyDescent="0.2">
      <c r="A1830" s="21"/>
      <c r="B1830" s="3" t="s">
        <v>16</v>
      </c>
      <c r="C1830" s="20"/>
      <c r="D1830" s="21"/>
    </row>
    <row r="1831" spans="1:4" ht="12.75" customHeight="1" x14ac:dyDescent="0.2">
      <c r="A1831" s="21"/>
      <c r="B1831" s="3" t="s">
        <v>17</v>
      </c>
      <c r="C1831" s="20"/>
      <c r="D1831" s="21"/>
    </row>
    <row r="1832" spans="1:4" ht="12.75" customHeight="1" x14ac:dyDescent="0.2">
      <c r="A1832" s="21"/>
      <c r="B1832" s="20" t="s">
        <v>18</v>
      </c>
      <c r="C1832" s="4" t="s">
        <v>44</v>
      </c>
      <c r="D1832" s="6" t="str">
        <f>HYPERLINK("javascript:void(0)","óriásacél fénykalapács")</f>
        <v>óriásacél fénykalapács</v>
      </c>
    </row>
    <row r="1833" spans="1:4" ht="12.75" customHeight="1" x14ac:dyDescent="0.2">
      <c r="A1833" s="21"/>
      <c r="B1833" s="21"/>
      <c r="C1833" s="4" t="s">
        <v>142</v>
      </c>
      <c r="D1833" s="6" t="str">
        <f>HYPERLINK("javascript:void(0)","óriás korona")</f>
        <v>óriás korona</v>
      </c>
    </row>
    <row r="1834" spans="1:4" ht="12.75" customHeight="1" x14ac:dyDescent="0.2">
      <c r="A1834" s="21"/>
      <c r="B1834" s="21"/>
      <c r="C1834" s="4" t="s">
        <v>335</v>
      </c>
      <c r="D1834" s="6" t="str">
        <f>HYPERLINK("javascript:void(0)","vízige")</f>
        <v>vízige</v>
      </c>
    </row>
    <row r="1835" spans="1:4" ht="12.75" customHeight="1" x14ac:dyDescent="0.2">
      <c r="A1835" s="5"/>
      <c r="B1835" s="2"/>
      <c r="C1835" s="2"/>
      <c r="D1835" s="2"/>
    </row>
    <row r="1836" spans="1:4" ht="12.75" customHeight="1" x14ac:dyDescent="0.2">
      <c r="A1836" s="22" t="str">
        <f>HYPERLINK("javascript:void(0)","mengorni ballaszt")</f>
        <v>mengorni ballaszt</v>
      </c>
      <c r="B1836" s="21"/>
      <c r="C1836" s="21"/>
      <c r="D1836" s="21"/>
    </row>
    <row r="1837" spans="1:4" ht="12.75" customHeight="1" x14ac:dyDescent="0.2">
      <c r="A1837" s="20"/>
      <c r="B1837" s="2"/>
      <c r="C1837" s="2"/>
      <c r="D1837" s="2"/>
    </row>
    <row r="1838" spans="1:4" ht="12.75" customHeight="1" x14ac:dyDescent="0.2">
      <c r="A1838" s="21"/>
      <c r="B1838" s="3" t="s">
        <v>0</v>
      </c>
      <c r="C1838" s="20" t="s">
        <v>324</v>
      </c>
      <c r="D1838" s="21"/>
    </row>
    <row r="1839" spans="1:4" ht="12.75" customHeight="1" x14ac:dyDescent="0.2">
      <c r="A1839" s="21"/>
      <c r="B1839" s="3" t="s">
        <v>2</v>
      </c>
      <c r="C1839" s="20" t="s">
        <v>122</v>
      </c>
      <c r="D1839" s="21"/>
    </row>
    <row r="1840" spans="1:4" ht="12.75" customHeight="1" x14ac:dyDescent="0.2">
      <c r="A1840" s="21"/>
      <c r="B1840" s="3" t="s">
        <v>4</v>
      </c>
      <c r="C1840" s="20" t="s">
        <v>627</v>
      </c>
      <c r="D1840" s="21"/>
    </row>
    <row r="1841" spans="1:4" ht="12.75" customHeight="1" x14ac:dyDescent="0.2">
      <c r="A1841" s="21"/>
      <c r="B1841" s="3" t="s">
        <v>6</v>
      </c>
      <c r="C1841" s="20" t="s">
        <v>72</v>
      </c>
      <c r="D1841" s="21"/>
    </row>
    <row r="1842" spans="1:4" ht="12.75" customHeight="1" x14ac:dyDescent="0.2">
      <c r="A1842" s="21"/>
      <c r="B1842" s="3" t="s">
        <v>8</v>
      </c>
      <c r="C1842" s="20" t="s">
        <v>627</v>
      </c>
      <c r="D1842" s="21"/>
    </row>
    <row r="1843" spans="1:4" ht="12.75" customHeight="1" x14ac:dyDescent="0.2">
      <c r="A1843" s="21"/>
      <c r="B1843" s="3" t="s">
        <v>9</v>
      </c>
      <c r="C1843" s="20" t="s">
        <v>628</v>
      </c>
      <c r="D1843" s="21"/>
    </row>
    <row r="1844" spans="1:4" ht="12.75" customHeight="1" x14ac:dyDescent="0.2">
      <c r="A1844" s="21"/>
      <c r="B1844" s="3" t="s">
        <v>11</v>
      </c>
      <c r="C1844" s="20" t="s">
        <v>289</v>
      </c>
      <c r="D1844" s="21"/>
    </row>
    <row r="1845" spans="1:4" ht="12.75" customHeight="1" x14ac:dyDescent="0.2">
      <c r="A1845" s="21"/>
      <c r="B1845" s="3" t="s">
        <v>13</v>
      </c>
      <c r="C1845" s="20" t="s">
        <v>24</v>
      </c>
      <c r="D1845" s="21"/>
    </row>
    <row r="1846" spans="1:4" ht="12.75" customHeight="1" x14ac:dyDescent="0.2">
      <c r="A1846" s="21"/>
      <c r="B1846" s="3" t="s">
        <v>15</v>
      </c>
      <c r="C1846" s="20" t="s">
        <v>24</v>
      </c>
      <c r="D1846" s="21"/>
    </row>
    <row r="1847" spans="1:4" ht="12.75" customHeight="1" x14ac:dyDescent="0.2">
      <c r="A1847" s="21"/>
      <c r="B1847" s="3" t="s">
        <v>16</v>
      </c>
      <c r="C1847" s="20"/>
      <c r="D1847" s="21"/>
    </row>
    <row r="1848" spans="1:4" ht="12.75" customHeight="1" x14ac:dyDescent="0.2">
      <c r="A1848" s="21"/>
      <c r="B1848" s="3" t="s">
        <v>17</v>
      </c>
      <c r="C1848" s="20"/>
      <c r="D1848" s="21"/>
    </row>
    <row r="1849" spans="1:4" ht="12.75" customHeight="1" x14ac:dyDescent="0.2">
      <c r="A1849" s="21"/>
      <c r="B1849" s="20" t="s">
        <v>18</v>
      </c>
      <c r="C1849" s="4" t="s">
        <v>130</v>
      </c>
      <c r="D1849" s="6" t="str">
        <f>HYPERLINK("javascript:void(0)","gigaköröm")</f>
        <v>gigaköröm</v>
      </c>
    </row>
    <row r="1850" spans="1:4" ht="12.75" customHeight="1" x14ac:dyDescent="0.2">
      <c r="A1850" s="21"/>
      <c r="B1850" s="21"/>
      <c r="C1850" s="4" t="s">
        <v>632</v>
      </c>
      <c r="D1850" s="6" t="str">
        <f>HYPERLINK("javascript:void(0)","légige")</f>
        <v>légige</v>
      </c>
    </row>
    <row r="1851" spans="1:4" ht="12.75" customHeight="1" x14ac:dyDescent="0.2">
      <c r="A1851" s="21"/>
      <c r="B1851" s="21"/>
      <c r="C1851" s="4" t="s">
        <v>632</v>
      </c>
      <c r="D1851" s="6" t="str">
        <f>HYPERLINK("javascript:void(0)","földige")</f>
        <v>földige</v>
      </c>
    </row>
    <row r="1852" spans="1:4" ht="12.75" customHeight="1" x14ac:dyDescent="0.2">
      <c r="A1852" s="5"/>
      <c r="B1852" s="2"/>
      <c r="C1852" s="2"/>
      <c r="D1852" s="2"/>
    </row>
    <row r="1853" spans="1:4" ht="12.75" customHeight="1" x14ac:dyDescent="0.2">
      <c r="A1853" s="22" t="str">
        <f>HYPERLINK("javascript:void(0)","gyíkacél bunkó")</f>
        <v>gyíkacél bunkó</v>
      </c>
      <c r="B1853" s="21"/>
      <c r="C1853" s="21"/>
      <c r="D1853" s="21"/>
    </row>
    <row r="1854" spans="1:4" ht="12.75" customHeight="1" x14ac:dyDescent="0.2">
      <c r="A1854" s="20"/>
      <c r="B1854" s="2"/>
      <c r="C1854" s="2"/>
      <c r="D1854" s="2"/>
    </row>
    <row r="1855" spans="1:4" ht="12.75" customHeight="1" x14ac:dyDescent="0.2">
      <c r="A1855" s="21"/>
      <c r="B1855" s="3" t="s">
        <v>0</v>
      </c>
      <c r="C1855" s="20" t="s">
        <v>324</v>
      </c>
      <c r="D1855" s="21"/>
    </row>
    <row r="1856" spans="1:4" ht="12.75" customHeight="1" x14ac:dyDescent="0.2">
      <c r="A1856" s="21"/>
      <c r="B1856" s="3" t="s">
        <v>2</v>
      </c>
      <c r="C1856" s="20" t="s">
        <v>122</v>
      </c>
      <c r="D1856" s="21"/>
    </row>
    <row r="1857" spans="1:4" ht="12.75" customHeight="1" x14ac:dyDescent="0.2">
      <c r="A1857" s="21"/>
      <c r="B1857" s="3" t="s">
        <v>4</v>
      </c>
      <c r="C1857" s="20" t="s">
        <v>633</v>
      </c>
      <c r="D1857" s="21"/>
    </row>
    <row r="1858" spans="1:4" ht="12.75" customHeight="1" x14ac:dyDescent="0.2">
      <c r="A1858" s="21"/>
      <c r="B1858" s="3" t="s">
        <v>6</v>
      </c>
      <c r="C1858" s="20" t="s">
        <v>92</v>
      </c>
      <c r="D1858" s="21"/>
    </row>
    <row r="1859" spans="1:4" ht="12.75" customHeight="1" x14ac:dyDescent="0.2">
      <c r="A1859" s="21"/>
      <c r="B1859" s="3" t="s">
        <v>8</v>
      </c>
      <c r="C1859" s="20" t="s">
        <v>633</v>
      </c>
      <c r="D1859" s="21"/>
    </row>
    <row r="1860" spans="1:4" ht="12.75" customHeight="1" x14ac:dyDescent="0.2">
      <c r="A1860" s="21"/>
      <c r="B1860" s="3" t="s">
        <v>9</v>
      </c>
      <c r="C1860" s="20" t="s">
        <v>634</v>
      </c>
      <c r="D1860" s="21"/>
    </row>
    <row r="1861" spans="1:4" ht="12.75" customHeight="1" x14ac:dyDescent="0.2">
      <c r="A1861" s="21"/>
      <c r="B1861" s="3" t="s">
        <v>11</v>
      </c>
      <c r="C1861" s="20" t="s">
        <v>152</v>
      </c>
      <c r="D1861" s="21"/>
    </row>
    <row r="1862" spans="1:4" ht="12.75" customHeight="1" x14ac:dyDescent="0.2">
      <c r="A1862" s="21"/>
      <c r="B1862" s="3" t="s">
        <v>13</v>
      </c>
      <c r="C1862" s="20" t="s">
        <v>24</v>
      </c>
      <c r="D1862" s="21"/>
    </row>
    <row r="1863" spans="1:4" ht="12.75" customHeight="1" x14ac:dyDescent="0.2">
      <c r="A1863" s="21"/>
      <c r="B1863" s="3" t="s">
        <v>15</v>
      </c>
      <c r="C1863" s="20" t="s">
        <v>24</v>
      </c>
      <c r="D1863" s="21"/>
    </row>
    <row r="1864" spans="1:4" ht="12.75" customHeight="1" x14ac:dyDescent="0.2">
      <c r="A1864" s="21"/>
      <c r="B1864" s="3" t="s">
        <v>16</v>
      </c>
      <c r="C1864" s="20"/>
      <c r="D1864" s="21"/>
    </row>
    <row r="1865" spans="1:4" ht="12.75" customHeight="1" x14ac:dyDescent="0.2">
      <c r="A1865" s="21"/>
      <c r="B1865" s="3" t="s">
        <v>17</v>
      </c>
      <c r="C1865" s="20"/>
      <c r="D1865" s="21"/>
    </row>
    <row r="1866" spans="1:4" ht="12.75" customHeight="1" x14ac:dyDescent="0.2">
      <c r="A1866" s="21"/>
      <c r="B1866" s="20" t="s">
        <v>18</v>
      </c>
      <c r="C1866" s="4" t="s">
        <v>67</v>
      </c>
      <c r="D1866" s="6" t="str">
        <f>HYPERLINK("javascript:void(0)","idegen bizgentyű")</f>
        <v>idegen bizgentyű</v>
      </c>
    </row>
    <row r="1867" spans="1:4" ht="12.75" customHeight="1" x14ac:dyDescent="0.2">
      <c r="A1867" s="21"/>
      <c r="B1867" s="21"/>
      <c r="C1867" s="4" t="s">
        <v>232</v>
      </c>
      <c r="D1867" s="6" t="str">
        <f>HYPERLINK("javascript:void(0)","kihunyt glória")</f>
        <v>kihunyt glória</v>
      </c>
    </row>
    <row r="1868" spans="1:4" ht="12.75" customHeight="1" x14ac:dyDescent="0.2">
      <c r="A1868" s="21"/>
      <c r="B1868" s="21"/>
      <c r="C1868" s="4" t="s">
        <v>117</v>
      </c>
      <c r="D1868" s="6" t="str">
        <f>HYPERLINK("javascript:void(0)","klopfoló henger")</f>
        <v>klopfoló henger</v>
      </c>
    </row>
    <row r="1869" spans="1:4" ht="12.75" customHeight="1" x14ac:dyDescent="0.2">
      <c r="A1869" s="5"/>
      <c r="B1869" s="2"/>
      <c r="C1869" s="2"/>
      <c r="D1869" s="2"/>
    </row>
    <row r="1870" spans="1:4" ht="12.75" customHeight="1" x14ac:dyDescent="0.2">
      <c r="A1870" s="22" t="str">
        <f>HYPERLINK("javascript:void(0)","parszi gránitdorong")</f>
        <v>parszi gránitdorong</v>
      </c>
      <c r="B1870" s="21"/>
      <c r="C1870" s="21"/>
      <c r="D1870" s="21"/>
    </row>
    <row r="1871" spans="1:4" ht="12.75" customHeight="1" x14ac:dyDescent="0.2">
      <c r="A1871" s="20"/>
      <c r="B1871" s="2"/>
      <c r="C1871" s="2"/>
      <c r="D1871" s="2"/>
    </row>
    <row r="1872" spans="1:4" ht="12.75" customHeight="1" x14ac:dyDescent="0.2">
      <c r="A1872" s="21"/>
      <c r="B1872" s="3" t="s">
        <v>0</v>
      </c>
      <c r="C1872" s="20" t="s">
        <v>178</v>
      </c>
      <c r="D1872" s="21"/>
    </row>
    <row r="1873" spans="1:4" ht="12.75" customHeight="1" x14ac:dyDescent="0.2">
      <c r="A1873" s="21"/>
      <c r="B1873" s="3" t="s">
        <v>2</v>
      </c>
      <c r="C1873" s="20" t="s">
        <v>122</v>
      </c>
      <c r="D1873" s="21"/>
    </row>
    <row r="1874" spans="1:4" ht="12.75" customHeight="1" x14ac:dyDescent="0.2">
      <c r="A1874" s="21"/>
      <c r="B1874" s="3" t="s">
        <v>4</v>
      </c>
      <c r="C1874" s="20" t="s">
        <v>333</v>
      </c>
      <c r="D1874" s="21"/>
    </row>
    <row r="1875" spans="1:4" ht="12.75" customHeight="1" x14ac:dyDescent="0.2">
      <c r="A1875" s="21"/>
      <c r="B1875" s="3" t="s">
        <v>6</v>
      </c>
      <c r="C1875" s="20" t="s">
        <v>157</v>
      </c>
      <c r="D1875" s="21"/>
    </row>
    <row r="1876" spans="1:4" ht="12.75" customHeight="1" x14ac:dyDescent="0.2">
      <c r="A1876" s="21"/>
      <c r="B1876" s="3" t="s">
        <v>8</v>
      </c>
      <c r="C1876" s="20" t="s">
        <v>333</v>
      </c>
      <c r="D1876" s="21"/>
    </row>
    <row r="1877" spans="1:4" ht="12.75" customHeight="1" x14ac:dyDescent="0.2">
      <c r="A1877" s="21"/>
      <c r="B1877" s="3" t="s">
        <v>9</v>
      </c>
      <c r="C1877" s="20" t="s">
        <v>462</v>
      </c>
      <c r="D1877" s="21"/>
    </row>
    <row r="1878" spans="1:4" ht="12.75" customHeight="1" x14ac:dyDescent="0.2">
      <c r="A1878" s="21"/>
      <c r="B1878" s="3" t="s">
        <v>11</v>
      </c>
      <c r="C1878" s="20" t="s">
        <v>279</v>
      </c>
      <c r="D1878" s="21"/>
    </row>
    <row r="1879" spans="1:4" ht="12.75" customHeight="1" x14ac:dyDescent="0.2">
      <c r="A1879" s="21"/>
      <c r="B1879" s="3" t="s">
        <v>13</v>
      </c>
      <c r="C1879" s="20" t="s">
        <v>24</v>
      </c>
      <c r="D1879" s="21"/>
    </row>
    <row r="1880" spans="1:4" ht="12.75" customHeight="1" x14ac:dyDescent="0.2">
      <c r="A1880" s="21"/>
      <c r="B1880" s="3" t="s">
        <v>15</v>
      </c>
      <c r="C1880" s="20" t="s">
        <v>24</v>
      </c>
      <c r="D1880" s="21"/>
    </row>
    <row r="1881" spans="1:4" ht="12.75" customHeight="1" x14ac:dyDescent="0.2">
      <c r="A1881" s="21"/>
      <c r="B1881" s="3" t="s">
        <v>16</v>
      </c>
      <c r="C1881" s="20"/>
      <c r="D1881" s="21"/>
    </row>
    <row r="1882" spans="1:4" ht="12.75" customHeight="1" x14ac:dyDescent="0.2">
      <c r="A1882" s="21"/>
      <c r="B1882" s="3" t="s">
        <v>17</v>
      </c>
      <c r="C1882" s="20"/>
      <c r="D1882" s="21"/>
    </row>
    <row r="1883" spans="1:4" ht="12.75" customHeight="1" x14ac:dyDescent="0.2">
      <c r="A1883" s="21"/>
      <c r="B1883" s="20" t="s">
        <v>18</v>
      </c>
      <c r="C1883" s="4" t="s">
        <v>335</v>
      </c>
      <c r="D1883" s="6" t="str">
        <f>HYPERLINK("javascript:void(0)","földige")</f>
        <v>földige</v>
      </c>
    </row>
    <row r="1884" spans="1:4" ht="12.75" customHeight="1" x14ac:dyDescent="0.2">
      <c r="A1884" s="21"/>
      <c r="B1884" s="21"/>
      <c r="C1884" s="4" t="s">
        <v>244</v>
      </c>
      <c r="D1884" s="6" t="str">
        <f>HYPERLINK("javascript:void(0)","légzsák")</f>
        <v>légzsák</v>
      </c>
    </row>
    <row r="1885" spans="1:4" ht="12.75" customHeight="1" x14ac:dyDescent="0.2">
      <c r="A1885" s="21"/>
      <c r="B1885" s="21"/>
      <c r="C1885" s="4" t="s">
        <v>232</v>
      </c>
      <c r="D1885" s="6" t="str">
        <f>HYPERLINK("javascript:void(0)","képcső")</f>
        <v>képcső</v>
      </c>
    </row>
    <row r="1886" spans="1:4" ht="12.75" customHeight="1" x14ac:dyDescent="0.2">
      <c r="A1886" s="5"/>
      <c r="B1886" s="2"/>
      <c r="C1886" s="2"/>
      <c r="D1886" s="2"/>
    </row>
    <row r="1887" spans="1:4" ht="12.75" customHeight="1" x14ac:dyDescent="0.2">
      <c r="A1887" s="22" t="str">
        <f>HYPERLINK("javascript:void(0)","parszi mágusölő")</f>
        <v>parszi mágusölő</v>
      </c>
      <c r="B1887" s="21"/>
      <c r="C1887" s="21"/>
      <c r="D1887" s="21"/>
    </row>
    <row r="1888" spans="1:4" ht="12.75" customHeight="1" x14ac:dyDescent="0.2">
      <c r="A1888" s="20"/>
      <c r="B1888" s="2"/>
      <c r="C1888" s="2"/>
      <c r="D1888" s="2"/>
    </row>
    <row r="1889" spans="1:4" ht="12.75" customHeight="1" x14ac:dyDescent="0.2">
      <c r="A1889" s="21"/>
      <c r="B1889" s="3" t="s">
        <v>0</v>
      </c>
      <c r="C1889" s="20" t="s">
        <v>178</v>
      </c>
      <c r="D1889" s="21"/>
    </row>
    <row r="1890" spans="1:4" ht="12.75" customHeight="1" x14ac:dyDescent="0.2">
      <c r="A1890" s="21"/>
      <c r="B1890" s="3" t="s">
        <v>2</v>
      </c>
      <c r="C1890" s="20" t="s">
        <v>122</v>
      </c>
      <c r="D1890" s="21"/>
    </row>
    <row r="1891" spans="1:4" ht="12.75" customHeight="1" x14ac:dyDescent="0.2">
      <c r="A1891" s="21"/>
      <c r="B1891" s="3" t="s">
        <v>4</v>
      </c>
      <c r="C1891" s="20" t="s">
        <v>641</v>
      </c>
      <c r="D1891" s="21"/>
    </row>
    <row r="1892" spans="1:4" ht="12.75" customHeight="1" x14ac:dyDescent="0.2">
      <c r="A1892" s="21"/>
      <c r="B1892" s="3" t="s">
        <v>6</v>
      </c>
      <c r="C1892" s="20" t="s">
        <v>51</v>
      </c>
      <c r="D1892" s="21"/>
    </row>
    <row r="1893" spans="1:4" ht="12.75" customHeight="1" x14ac:dyDescent="0.2">
      <c r="A1893" s="21"/>
      <c r="B1893" s="3" t="s">
        <v>8</v>
      </c>
      <c r="C1893" s="20" t="s">
        <v>641</v>
      </c>
      <c r="D1893" s="21"/>
    </row>
    <row r="1894" spans="1:4" ht="12.75" customHeight="1" x14ac:dyDescent="0.2">
      <c r="A1894" s="21"/>
      <c r="B1894" s="3" t="s">
        <v>9</v>
      </c>
      <c r="C1894" s="20" t="s">
        <v>643</v>
      </c>
      <c r="D1894" s="21"/>
    </row>
    <row r="1895" spans="1:4" ht="12.75" customHeight="1" x14ac:dyDescent="0.2">
      <c r="A1895" s="21"/>
      <c r="B1895" s="3" t="s">
        <v>11</v>
      </c>
      <c r="C1895" s="20" t="s">
        <v>259</v>
      </c>
      <c r="D1895" s="21"/>
    </row>
    <row r="1896" spans="1:4" ht="12.75" customHeight="1" x14ac:dyDescent="0.2">
      <c r="A1896" s="21"/>
      <c r="B1896" s="3" t="s">
        <v>13</v>
      </c>
      <c r="C1896" s="20" t="s">
        <v>14</v>
      </c>
      <c r="D1896" s="21"/>
    </row>
    <row r="1897" spans="1:4" ht="12.75" customHeight="1" x14ac:dyDescent="0.2">
      <c r="A1897" s="21"/>
      <c r="B1897" s="3" t="s">
        <v>15</v>
      </c>
      <c r="C1897" s="20" t="s">
        <v>24</v>
      </c>
      <c r="D1897" s="21"/>
    </row>
    <row r="1898" spans="1:4" ht="12.75" customHeight="1" x14ac:dyDescent="0.2">
      <c r="A1898" s="21"/>
      <c r="B1898" s="3" t="s">
        <v>16</v>
      </c>
      <c r="C1898" s="20"/>
      <c r="D1898" s="21"/>
    </row>
    <row r="1899" spans="1:4" ht="12.75" customHeight="1" x14ac:dyDescent="0.2">
      <c r="A1899" s="21"/>
      <c r="B1899" s="3" t="s">
        <v>17</v>
      </c>
      <c r="C1899" s="20"/>
      <c r="D1899" s="21"/>
    </row>
    <row r="1900" spans="1:4" ht="12.75" customHeight="1" x14ac:dyDescent="0.2">
      <c r="A1900" s="21"/>
      <c r="B1900" s="20" t="s">
        <v>18</v>
      </c>
      <c r="C1900" s="4" t="s">
        <v>44</v>
      </c>
      <c r="D1900" s="6" t="str">
        <f>HYPERLINK("javascript:void(0)","óriásacél mágusölő")</f>
        <v>óriásacél mágusölő</v>
      </c>
    </row>
    <row r="1901" spans="1:4" ht="12.75" customHeight="1" x14ac:dyDescent="0.2">
      <c r="A1901" s="21"/>
      <c r="B1901" s="21"/>
      <c r="C1901" s="4" t="s">
        <v>309</v>
      </c>
      <c r="D1901" s="6" t="str">
        <f>HYPERLINK("javascript:void(0)","képcső")</f>
        <v>képcső</v>
      </c>
    </row>
    <row r="1902" spans="1:4" ht="12.75" customHeight="1" x14ac:dyDescent="0.2">
      <c r="A1902" s="21"/>
      <c r="B1902" s="21"/>
      <c r="C1902" s="4" t="s">
        <v>309</v>
      </c>
      <c r="D1902" s="6" t="str">
        <f>HYPERLINK("javascript:void(0)","hiperzsír")</f>
        <v>hiperzsír</v>
      </c>
    </row>
    <row r="1903" spans="1:4" ht="12.75" customHeight="1" x14ac:dyDescent="0.2">
      <c r="A1903" s="5"/>
      <c r="B1903" s="2"/>
      <c r="C1903" s="2"/>
      <c r="D1903" s="2"/>
    </row>
    <row r="1904" spans="1:4" ht="12.75" customHeight="1" x14ac:dyDescent="0.2">
      <c r="A1904" s="22" t="str">
        <f>HYPERLINK("javascript:void(0)","szilánkbuzogány")</f>
        <v>szilánkbuzogány</v>
      </c>
      <c r="B1904" s="21"/>
      <c r="C1904" s="21"/>
      <c r="D1904" s="21"/>
    </row>
    <row r="1905" spans="1:4" ht="12.75" customHeight="1" x14ac:dyDescent="0.2">
      <c r="A1905" s="20"/>
      <c r="B1905" s="2"/>
      <c r="C1905" s="2"/>
      <c r="D1905" s="2"/>
    </row>
    <row r="1906" spans="1:4" ht="12.75" customHeight="1" x14ac:dyDescent="0.2">
      <c r="A1906" s="21"/>
      <c r="B1906" s="3" t="s">
        <v>0</v>
      </c>
      <c r="C1906" s="20" t="s">
        <v>340</v>
      </c>
      <c r="D1906" s="21"/>
    </row>
    <row r="1907" spans="1:4" ht="12.75" customHeight="1" x14ac:dyDescent="0.2">
      <c r="A1907" s="21"/>
      <c r="B1907" s="3" t="s">
        <v>2</v>
      </c>
      <c r="C1907" s="20" t="s">
        <v>122</v>
      </c>
      <c r="D1907" s="21"/>
    </row>
    <row r="1908" spans="1:4" ht="12.75" customHeight="1" x14ac:dyDescent="0.2">
      <c r="A1908" s="21"/>
      <c r="B1908" s="3" t="s">
        <v>4</v>
      </c>
      <c r="C1908" s="20" t="s">
        <v>647</v>
      </c>
      <c r="D1908" s="21"/>
    </row>
    <row r="1909" spans="1:4" ht="12.75" customHeight="1" x14ac:dyDescent="0.2">
      <c r="A1909" s="21"/>
      <c r="B1909" s="3" t="s">
        <v>6</v>
      </c>
      <c r="C1909" s="20" t="s">
        <v>216</v>
      </c>
      <c r="D1909" s="21"/>
    </row>
    <row r="1910" spans="1:4" ht="12.75" customHeight="1" x14ac:dyDescent="0.2">
      <c r="A1910" s="21"/>
      <c r="B1910" s="3" t="s">
        <v>8</v>
      </c>
      <c r="C1910" s="20" t="s">
        <v>647</v>
      </c>
      <c r="D1910" s="21"/>
    </row>
    <row r="1911" spans="1:4" ht="12.75" customHeight="1" x14ac:dyDescent="0.2">
      <c r="A1911" s="21"/>
      <c r="B1911" s="3" t="s">
        <v>9</v>
      </c>
      <c r="C1911" s="20" t="s">
        <v>462</v>
      </c>
      <c r="D1911" s="21"/>
    </row>
    <row r="1912" spans="1:4" ht="12.75" customHeight="1" x14ac:dyDescent="0.2">
      <c r="A1912" s="21"/>
      <c r="B1912" s="3" t="s">
        <v>11</v>
      </c>
      <c r="C1912" s="20" t="s">
        <v>295</v>
      </c>
      <c r="D1912" s="21"/>
    </row>
    <row r="1913" spans="1:4" ht="12.75" customHeight="1" x14ac:dyDescent="0.2">
      <c r="A1913" s="21"/>
      <c r="B1913" s="3" t="s">
        <v>13</v>
      </c>
      <c r="C1913" s="20" t="s">
        <v>24</v>
      </c>
      <c r="D1913" s="21"/>
    </row>
    <row r="1914" spans="1:4" ht="12.75" customHeight="1" x14ac:dyDescent="0.2">
      <c r="A1914" s="21"/>
      <c r="B1914" s="3" t="s">
        <v>15</v>
      </c>
      <c r="C1914" s="20" t="s">
        <v>24</v>
      </c>
      <c r="D1914" s="21"/>
    </row>
    <row r="1915" spans="1:4" ht="12.75" customHeight="1" x14ac:dyDescent="0.2">
      <c r="A1915" s="21"/>
      <c r="B1915" s="3" t="s">
        <v>16</v>
      </c>
      <c r="C1915" s="20"/>
      <c r="D1915" s="21"/>
    </row>
    <row r="1916" spans="1:4" ht="12.75" customHeight="1" x14ac:dyDescent="0.2">
      <c r="A1916" s="21"/>
      <c r="B1916" s="3" t="s">
        <v>17</v>
      </c>
      <c r="C1916" s="20"/>
      <c r="D1916" s="21"/>
    </row>
    <row r="1917" spans="1:4" ht="12.75" customHeight="1" x14ac:dyDescent="0.2">
      <c r="A1917" s="21"/>
      <c r="B1917" s="20" t="s">
        <v>18</v>
      </c>
      <c r="C1917" s="4" t="s">
        <v>44</v>
      </c>
      <c r="D1917" s="6" t="str">
        <f>HYPERLINK("javascript:void(0)","parszi gránitdorong")</f>
        <v>parszi gránitdorong</v>
      </c>
    </row>
    <row r="1918" spans="1:4" ht="12.75" customHeight="1" x14ac:dyDescent="0.2">
      <c r="A1918" s="21"/>
      <c r="B1918" s="21"/>
      <c r="C1918" s="4" t="s">
        <v>139</v>
      </c>
      <c r="D1918" s="6" t="str">
        <f>HYPERLINK("javascript:void(0)","dobhártya")</f>
        <v>dobhártya</v>
      </c>
    </row>
    <row r="1919" spans="1:4" ht="12.75" customHeight="1" x14ac:dyDescent="0.2">
      <c r="A1919" s="21"/>
      <c r="B1919" s="21"/>
      <c r="C1919" s="4" t="s">
        <v>117</v>
      </c>
      <c r="D1919" s="6" t="str">
        <f>HYPERLINK("javascript:void(0)","képcső")</f>
        <v>képcső</v>
      </c>
    </row>
    <row r="1920" spans="1:4" ht="12.75" customHeight="1" x14ac:dyDescent="0.2">
      <c r="A1920" s="5"/>
      <c r="B1920" s="2"/>
      <c r="C1920" s="2"/>
      <c r="D1920" s="2"/>
    </row>
    <row r="1921" spans="1:4" ht="12.75" customHeight="1" x14ac:dyDescent="0.2">
      <c r="A1921" s="22" t="str">
        <f>HYPERLINK("javascript:void(0)","parszi ballaszt")</f>
        <v>parszi ballaszt</v>
      </c>
      <c r="B1921" s="21"/>
      <c r="C1921" s="21"/>
      <c r="D1921" s="21"/>
    </row>
    <row r="1922" spans="1:4" ht="12.75" customHeight="1" x14ac:dyDescent="0.2">
      <c r="A1922" s="20"/>
      <c r="B1922" s="2"/>
      <c r="C1922" s="2"/>
      <c r="D1922" s="2"/>
    </row>
    <row r="1923" spans="1:4" ht="12.75" customHeight="1" x14ac:dyDescent="0.2">
      <c r="A1923" s="21"/>
      <c r="B1923" s="3" t="s">
        <v>0</v>
      </c>
      <c r="C1923" s="20" t="s">
        <v>340</v>
      </c>
      <c r="D1923" s="21"/>
    </row>
    <row r="1924" spans="1:4" ht="12.75" customHeight="1" x14ac:dyDescent="0.2">
      <c r="A1924" s="21"/>
      <c r="B1924" s="3" t="s">
        <v>2</v>
      </c>
      <c r="C1924" s="20" t="s">
        <v>122</v>
      </c>
      <c r="D1924" s="21"/>
    </row>
    <row r="1925" spans="1:4" ht="12.75" customHeight="1" x14ac:dyDescent="0.2">
      <c r="A1925" s="21"/>
      <c r="B1925" s="3" t="s">
        <v>4</v>
      </c>
      <c r="C1925" s="20" t="s">
        <v>348</v>
      </c>
      <c r="D1925" s="21"/>
    </row>
    <row r="1926" spans="1:4" ht="12.75" customHeight="1" x14ac:dyDescent="0.2">
      <c r="A1926" s="21"/>
      <c r="B1926" s="3" t="s">
        <v>6</v>
      </c>
      <c r="C1926" s="20" t="s">
        <v>284</v>
      </c>
      <c r="D1926" s="21"/>
    </row>
    <row r="1927" spans="1:4" ht="12.75" customHeight="1" x14ac:dyDescent="0.2">
      <c r="A1927" s="21"/>
      <c r="B1927" s="3" t="s">
        <v>8</v>
      </c>
      <c r="C1927" s="20" t="s">
        <v>348</v>
      </c>
      <c r="D1927" s="21"/>
    </row>
    <row r="1928" spans="1:4" ht="12.75" customHeight="1" x14ac:dyDescent="0.2">
      <c r="A1928" s="21"/>
      <c r="B1928" s="3" t="s">
        <v>9</v>
      </c>
      <c r="C1928" s="20" t="s">
        <v>654</v>
      </c>
      <c r="D1928" s="21"/>
    </row>
    <row r="1929" spans="1:4" ht="12.75" customHeight="1" x14ac:dyDescent="0.2">
      <c r="A1929" s="21"/>
      <c r="B1929" s="3" t="s">
        <v>11</v>
      </c>
      <c r="C1929" s="20" t="s">
        <v>655</v>
      </c>
      <c r="D1929" s="21"/>
    </row>
    <row r="1930" spans="1:4" ht="12.75" customHeight="1" x14ac:dyDescent="0.2">
      <c r="A1930" s="21"/>
      <c r="B1930" s="3" t="s">
        <v>13</v>
      </c>
      <c r="C1930" s="20" t="s">
        <v>24</v>
      </c>
      <c r="D1930" s="21"/>
    </row>
    <row r="1931" spans="1:4" ht="12.75" customHeight="1" x14ac:dyDescent="0.2">
      <c r="A1931" s="21"/>
      <c r="B1931" s="3" t="s">
        <v>15</v>
      </c>
      <c r="C1931" s="20" t="s">
        <v>24</v>
      </c>
      <c r="D1931" s="21"/>
    </row>
    <row r="1932" spans="1:4" ht="12.75" customHeight="1" x14ac:dyDescent="0.2">
      <c r="A1932" s="21"/>
      <c r="B1932" s="3" t="s">
        <v>16</v>
      </c>
      <c r="C1932" s="20"/>
      <c r="D1932" s="21"/>
    </row>
    <row r="1933" spans="1:4" ht="12.75" customHeight="1" x14ac:dyDescent="0.2">
      <c r="A1933" s="21"/>
      <c r="B1933" s="3" t="s">
        <v>17</v>
      </c>
      <c r="C1933" s="20"/>
      <c r="D1933" s="21"/>
    </row>
    <row r="1934" spans="1:4" ht="12.75" customHeight="1" x14ac:dyDescent="0.2">
      <c r="A1934" s="21"/>
      <c r="B1934" s="20" t="s">
        <v>18</v>
      </c>
      <c r="C1934" s="4" t="s">
        <v>44</v>
      </c>
      <c r="D1934" s="6" t="str">
        <f>HYPERLINK("javascript:void(0)","mengorni ballaszt")</f>
        <v>mengorni ballaszt</v>
      </c>
    </row>
    <row r="1935" spans="1:4" ht="12.75" customHeight="1" x14ac:dyDescent="0.2">
      <c r="A1935" s="21"/>
      <c r="B1935" s="21"/>
      <c r="C1935" s="4" t="s">
        <v>244</v>
      </c>
      <c r="D1935" s="6" t="str">
        <f>HYPERLINK("javascript:void(0)","spiritusz")</f>
        <v>spiritusz</v>
      </c>
    </row>
    <row r="1936" spans="1:4" ht="12.75" customHeight="1" x14ac:dyDescent="0.2">
      <c r="A1936" s="21"/>
      <c r="B1936" s="21"/>
      <c r="C1936" s="4" t="s">
        <v>139</v>
      </c>
      <c r="D1936" s="6" t="str">
        <f>HYPERLINK("javascript:void(0)","ínszalag")</f>
        <v>ínszalag</v>
      </c>
    </row>
    <row r="1937" spans="1:4" ht="12.75" customHeight="1" x14ac:dyDescent="0.2">
      <c r="A1937" s="5"/>
      <c r="B1937" s="2"/>
      <c r="C1937" s="2"/>
      <c r="D1937" s="2"/>
    </row>
    <row r="1938" spans="1:4" ht="12.75" customHeight="1" x14ac:dyDescent="0.2">
      <c r="A1938" s="22" t="str">
        <f>HYPERLINK("javascript:void(0)","gyíkacél buzogány")</f>
        <v>gyíkacél buzogány</v>
      </c>
      <c r="B1938" s="21"/>
      <c r="C1938" s="21"/>
      <c r="D1938" s="21"/>
    </row>
    <row r="1939" spans="1:4" ht="12.75" customHeight="1" x14ac:dyDescent="0.2">
      <c r="A1939" s="20"/>
      <c r="B1939" s="2"/>
      <c r="C1939" s="2"/>
      <c r="D1939" s="2"/>
    </row>
    <row r="1940" spans="1:4" ht="12.75" customHeight="1" x14ac:dyDescent="0.2">
      <c r="A1940" s="21"/>
      <c r="B1940" s="3" t="s">
        <v>0</v>
      </c>
      <c r="C1940" s="20" t="s">
        <v>340</v>
      </c>
      <c r="D1940" s="21"/>
    </row>
    <row r="1941" spans="1:4" ht="12.75" customHeight="1" x14ac:dyDescent="0.2">
      <c r="A1941" s="21"/>
      <c r="B1941" s="3" t="s">
        <v>2</v>
      </c>
      <c r="C1941" s="20" t="s">
        <v>122</v>
      </c>
      <c r="D1941" s="21"/>
    </row>
    <row r="1942" spans="1:4" ht="12.75" customHeight="1" x14ac:dyDescent="0.2">
      <c r="A1942" s="21"/>
      <c r="B1942" s="3" t="s">
        <v>4</v>
      </c>
      <c r="C1942" s="20" t="s">
        <v>657</v>
      </c>
      <c r="D1942" s="21"/>
    </row>
    <row r="1943" spans="1:4" ht="12.75" customHeight="1" x14ac:dyDescent="0.2">
      <c r="A1943" s="21"/>
      <c r="B1943" s="3" t="s">
        <v>6</v>
      </c>
      <c r="C1943" s="20" t="s">
        <v>35</v>
      </c>
      <c r="D1943" s="21"/>
    </row>
    <row r="1944" spans="1:4" ht="12.75" customHeight="1" x14ac:dyDescent="0.2">
      <c r="A1944" s="21"/>
      <c r="B1944" s="3" t="s">
        <v>8</v>
      </c>
      <c r="C1944" s="20" t="s">
        <v>657</v>
      </c>
      <c r="D1944" s="21"/>
    </row>
    <row r="1945" spans="1:4" ht="12.75" customHeight="1" x14ac:dyDescent="0.2">
      <c r="A1945" s="21"/>
      <c r="B1945" s="3" t="s">
        <v>9</v>
      </c>
      <c r="C1945" s="20" t="s">
        <v>658</v>
      </c>
      <c r="D1945" s="21"/>
    </row>
    <row r="1946" spans="1:4" ht="12.75" customHeight="1" x14ac:dyDescent="0.2">
      <c r="A1946" s="21"/>
      <c r="B1946" s="3" t="s">
        <v>11</v>
      </c>
      <c r="C1946" s="20" t="s">
        <v>162</v>
      </c>
      <c r="D1946" s="21"/>
    </row>
    <row r="1947" spans="1:4" ht="12.75" customHeight="1" x14ac:dyDescent="0.2">
      <c r="A1947" s="21"/>
      <c r="B1947" s="3" t="s">
        <v>13</v>
      </c>
      <c r="C1947" s="20" t="s">
        <v>24</v>
      </c>
      <c r="D1947" s="21"/>
    </row>
    <row r="1948" spans="1:4" ht="12.75" customHeight="1" x14ac:dyDescent="0.2">
      <c r="A1948" s="21"/>
      <c r="B1948" s="3" t="s">
        <v>15</v>
      </c>
      <c r="C1948" s="20" t="s">
        <v>24</v>
      </c>
      <c r="D1948" s="21"/>
    </row>
    <row r="1949" spans="1:4" ht="12.75" customHeight="1" x14ac:dyDescent="0.2">
      <c r="A1949" s="21"/>
      <c r="B1949" s="3" t="s">
        <v>16</v>
      </c>
      <c r="C1949" s="20"/>
      <c r="D1949" s="21"/>
    </row>
    <row r="1950" spans="1:4" ht="12.75" customHeight="1" x14ac:dyDescent="0.2">
      <c r="A1950" s="21"/>
      <c r="B1950" s="3" t="s">
        <v>17</v>
      </c>
      <c r="C1950" s="20"/>
      <c r="D1950" s="21"/>
    </row>
    <row r="1951" spans="1:4" ht="12.75" customHeight="1" x14ac:dyDescent="0.2">
      <c r="A1951" s="21"/>
      <c r="B1951" s="20" t="s">
        <v>18</v>
      </c>
      <c r="C1951" s="4" t="s">
        <v>139</v>
      </c>
      <c r="D1951" s="6" t="str">
        <f>HYPERLINK("javascript:void(0)","kallandra fog")</f>
        <v>kallandra fog</v>
      </c>
    </row>
    <row r="1952" spans="1:4" ht="12.75" customHeight="1" x14ac:dyDescent="0.2">
      <c r="A1952" s="21"/>
      <c r="B1952" s="21"/>
      <c r="C1952" s="4" t="s">
        <v>67</v>
      </c>
      <c r="D1952" s="6" t="str">
        <f>HYPERLINK("javascript:void(0)","kihunyt glória")</f>
        <v>kihunyt glória</v>
      </c>
    </row>
    <row r="1953" spans="1:4" ht="12.75" customHeight="1" x14ac:dyDescent="0.2">
      <c r="A1953" s="21"/>
      <c r="B1953" s="21"/>
      <c r="C1953" s="4" t="s">
        <v>117</v>
      </c>
      <c r="D1953" s="6" t="str">
        <f>HYPERLINK("javascript:void(0)","klopfoló henger")</f>
        <v>klopfoló henger</v>
      </c>
    </row>
    <row r="1954" spans="1:4" ht="12.75" customHeight="1" x14ac:dyDescent="0.2">
      <c r="A1954" s="5"/>
      <c r="B1954" s="2"/>
      <c r="C1954" s="2"/>
      <c r="D1954" s="2"/>
    </row>
    <row r="1955" spans="1:4" ht="12.75" customHeight="1" x14ac:dyDescent="0.2">
      <c r="A1955" s="22" t="str">
        <f>HYPERLINK("javascript:void(0)","szilánkkalapács")</f>
        <v>szilánkkalapács</v>
      </c>
      <c r="B1955" s="21"/>
      <c r="C1955" s="21"/>
      <c r="D1955" s="21"/>
    </row>
    <row r="1956" spans="1:4" ht="12.75" customHeight="1" x14ac:dyDescent="0.2">
      <c r="A1956" s="20"/>
      <c r="B1956" s="2"/>
      <c r="C1956" s="2"/>
      <c r="D1956" s="2"/>
    </row>
    <row r="1957" spans="1:4" ht="12.75" customHeight="1" x14ac:dyDescent="0.2">
      <c r="A1957" s="21"/>
      <c r="B1957" s="3" t="s">
        <v>0</v>
      </c>
      <c r="C1957" s="20" t="s">
        <v>353</v>
      </c>
      <c r="D1957" s="21"/>
    </row>
    <row r="1958" spans="1:4" ht="12.75" customHeight="1" x14ac:dyDescent="0.2">
      <c r="A1958" s="21"/>
      <c r="B1958" s="3" t="s">
        <v>2</v>
      </c>
      <c r="C1958" s="20" t="s">
        <v>122</v>
      </c>
      <c r="D1958" s="21"/>
    </row>
    <row r="1959" spans="1:4" ht="12.75" customHeight="1" x14ac:dyDescent="0.2">
      <c r="A1959" s="21"/>
      <c r="B1959" s="3" t="s">
        <v>4</v>
      </c>
      <c r="C1959" s="20" t="s">
        <v>661</v>
      </c>
      <c r="D1959" s="21"/>
    </row>
    <row r="1960" spans="1:4" ht="12.75" customHeight="1" x14ac:dyDescent="0.2">
      <c r="A1960" s="21"/>
      <c r="B1960" s="3" t="s">
        <v>6</v>
      </c>
      <c r="C1960" s="20" t="s">
        <v>35</v>
      </c>
      <c r="D1960" s="21"/>
    </row>
    <row r="1961" spans="1:4" ht="12.75" customHeight="1" x14ac:dyDescent="0.2">
      <c r="A1961" s="21"/>
      <c r="B1961" s="3" t="s">
        <v>8</v>
      </c>
      <c r="C1961" s="20" t="s">
        <v>661</v>
      </c>
      <c r="D1961" s="21"/>
    </row>
    <row r="1962" spans="1:4" ht="12.75" customHeight="1" x14ac:dyDescent="0.2">
      <c r="A1962" s="21"/>
      <c r="B1962" s="3" t="s">
        <v>9</v>
      </c>
      <c r="C1962" s="20" t="s">
        <v>573</v>
      </c>
      <c r="D1962" s="21"/>
    </row>
    <row r="1963" spans="1:4" ht="12.75" customHeight="1" x14ac:dyDescent="0.2">
      <c r="A1963" s="21"/>
      <c r="B1963" s="3" t="s">
        <v>11</v>
      </c>
      <c r="C1963" s="20" t="s">
        <v>315</v>
      </c>
      <c r="D1963" s="21"/>
    </row>
    <row r="1964" spans="1:4" ht="12.75" customHeight="1" x14ac:dyDescent="0.2">
      <c r="A1964" s="21"/>
      <c r="B1964" s="3" t="s">
        <v>13</v>
      </c>
      <c r="C1964" s="20" t="s">
        <v>24</v>
      </c>
      <c r="D1964" s="21"/>
    </row>
    <row r="1965" spans="1:4" ht="12.75" customHeight="1" x14ac:dyDescent="0.2">
      <c r="A1965" s="21"/>
      <c r="B1965" s="3" t="s">
        <v>15</v>
      </c>
      <c r="C1965" s="20" t="s">
        <v>24</v>
      </c>
      <c r="D1965" s="21"/>
    </row>
    <row r="1966" spans="1:4" ht="12.75" customHeight="1" x14ac:dyDescent="0.2">
      <c r="A1966" s="21"/>
      <c r="B1966" s="3" t="s">
        <v>16</v>
      </c>
      <c r="C1966" s="20"/>
      <c r="D1966" s="21"/>
    </row>
    <row r="1967" spans="1:4" ht="12.75" customHeight="1" x14ac:dyDescent="0.2">
      <c r="A1967" s="21"/>
      <c r="B1967" s="3" t="s">
        <v>17</v>
      </c>
      <c r="C1967" s="20"/>
      <c r="D1967" s="21"/>
    </row>
    <row r="1968" spans="1:4" ht="12.75" customHeight="1" x14ac:dyDescent="0.2">
      <c r="A1968" s="21"/>
      <c r="B1968" s="20" t="s">
        <v>18</v>
      </c>
      <c r="C1968" s="4" t="s">
        <v>44</v>
      </c>
      <c r="D1968" s="6" t="str">
        <f>HYPERLINK("javascript:void(0)","szilánkbuzogány")</f>
        <v>szilánkbuzogány</v>
      </c>
    </row>
    <row r="1969" spans="1:4" ht="12.75" customHeight="1" x14ac:dyDescent="0.2">
      <c r="A1969" s="21"/>
      <c r="B1969" s="21"/>
      <c r="C1969" s="4" t="s">
        <v>98</v>
      </c>
      <c r="D1969" s="6" t="str">
        <f>HYPERLINK("javascript:void(0)","spiritusz")</f>
        <v>spiritusz</v>
      </c>
    </row>
    <row r="1970" spans="1:4" ht="12.75" customHeight="1" x14ac:dyDescent="0.2">
      <c r="A1970" s="21"/>
      <c r="B1970" s="21"/>
      <c r="C1970" s="4" t="s">
        <v>269</v>
      </c>
      <c r="D1970" s="6" t="str">
        <f>HYPERLINK("javascript:void(0)","rémszem")</f>
        <v>rémszem</v>
      </c>
    </row>
    <row r="1971" spans="1:4" ht="12.75" customHeight="1" x14ac:dyDescent="0.2">
      <c r="A1971" s="5"/>
      <c r="B1971" s="2"/>
      <c r="C1971" s="2"/>
      <c r="D1971" s="2"/>
    </row>
    <row r="1972" spans="1:4" ht="12.75" customHeight="1" x14ac:dyDescent="0.2">
      <c r="A1972" s="22" t="str">
        <f>HYPERLINK("javascript:void(0)","kristály mágusölő")</f>
        <v>kristály mágusölő</v>
      </c>
      <c r="B1972" s="21"/>
      <c r="C1972" s="21"/>
      <c r="D1972" s="21"/>
    </row>
    <row r="1973" spans="1:4" ht="12.75" customHeight="1" x14ac:dyDescent="0.2">
      <c r="A1973" s="20"/>
      <c r="B1973" s="2"/>
      <c r="C1973" s="2"/>
      <c r="D1973" s="2"/>
    </row>
    <row r="1974" spans="1:4" ht="12.75" customHeight="1" x14ac:dyDescent="0.2">
      <c r="A1974" s="21"/>
      <c r="B1974" s="3" t="s">
        <v>0</v>
      </c>
      <c r="C1974" s="20" t="s">
        <v>353</v>
      </c>
      <c r="D1974" s="21"/>
    </row>
    <row r="1975" spans="1:4" ht="12.75" customHeight="1" x14ac:dyDescent="0.2">
      <c r="A1975" s="21"/>
      <c r="B1975" s="3" t="s">
        <v>2</v>
      </c>
      <c r="C1975" s="20" t="s">
        <v>122</v>
      </c>
      <c r="D1975" s="21"/>
    </row>
    <row r="1976" spans="1:4" ht="12.75" customHeight="1" x14ac:dyDescent="0.2">
      <c r="A1976" s="21"/>
      <c r="B1976" s="3" t="s">
        <v>4</v>
      </c>
      <c r="C1976" s="20" t="s">
        <v>362</v>
      </c>
      <c r="D1976" s="21"/>
    </row>
    <row r="1977" spans="1:4" ht="12.75" customHeight="1" x14ac:dyDescent="0.2">
      <c r="A1977" s="21"/>
      <c r="B1977" s="3" t="s">
        <v>6</v>
      </c>
      <c r="C1977" s="20" t="s">
        <v>206</v>
      </c>
      <c r="D1977" s="21"/>
    </row>
    <row r="1978" spans="1:4" ht="12.75" customHeight="1" x14ac:dyDescent="0.2">
      <c r="A1978" s="21"/>
      <c r="B1978" s="3" t="s">
        <v>8</v>
      </c>
      <c r="C1978" s="20" t="s">
        <v>362</v>
      </c>
      <c r="D1978" s="21"/>
    </row>
    <row r="1979" spans="1:4" ht="12.75" customHeight="1" x14ac:dyDescent="0.2">
      <c r="A1979" s="21"/>
      <c r="B1979" s="3" t="s">
        <v>9</v>
      </c>
      <c r="C1979" s="20" t="s">
        <v>612</v>
      </c>
      <c r="D1979" s="21"/>
    </row>
    <row r="1980" spans="1:4" ht="12.75" customHeight="1" x14ac:dyDescent="0.2">
      <c r="A1980" s="21"/>
      <c r="B1980" s="3" t="s">
        <v>11</v>
      </c>
      <c r="C1980" s="20" t="s">
        <v>315</v>
      </c>
      <c r="D1980" s="21"/>
    </row>
    <row r="1981" spans="1:4" ht="12.75" customHeight="1" x14ac:dyDescent="0.2">
      <c r="A1981" s="21"/>
      <c r="B1981" s="3" t="s">
        <v>13</v>
      </c>
      <c r="C1981" s="20" t="s">
        <v>14</v>
      </c>
      <c r="D1981" s="21"/>
    </row>
    <row r="1982" spans="1:4" ht="12.75" customHeight="1" x14ac:dyDescent="0.2">
      <c r="A1982" s="21"/>
      <c r="B1982" s="3" t="s">
        <v>15</v>
      </c>
      <c r="C1982" s="20" t="s">
        <v>24</v>
      </c>
      <c r="D1982" s="21"/>
    </row>
    <row r="1983" spans="1:4" ht="12.75" customHeight="1" x14ac:dyDescent="0.2">
      <c r="A1983" s="21"/>
      <c r="B1983" s="3" t="s">
        <v>16</v>
      </c>
      <c r="C1983" s="20"/>
      <c r="D1983" s="21"/>
    </row>
    <row r="1984" spans="1:4" ht="12.75" customHeight="1" x14ac:dyDescent="0.2">
      <c r="A1984" s="21"/>
      <c r="B1984" s="3" t="s">
        <v>17</v>
      </c>
      <c r="C1984" s="20"/>
      <c r="D1984" s="21"/>
    </row>
    <row r="1985" spans="1:4" ht="12.75" customHeight="1" x14ac:dyDescent="0.2">
      <c r="A1985" s="21"/>
      <c r="B1985" s="20" t="s">
        <v>18</v>
      </c>
      <c r="C1985" s="4" t="s">
        <v>44</v>
      </c>
      <c r="D1985" s="6" t="str">
        <f>HYPERLINK("javascript:void(0)","parszi mágusölő")</f>
        <v>parszi mágusölő</v>
      </c>
    </row>
    <row r="1986" spans="1:4" ht="12.75" customHeight="1" x14ac:dyDescent="0.2">
      <c r="A1986" s="21"/>
      <c r="B1986" s="21"/>
      <c r="C1986" s="4" t="s">
        <v>280</v>
      </c>
      <c r="D1986" s="6" t="str">
        <f>HYPERLINK("javascript:void(0)","rémszem")</f>
        <v>rémszem</v>
      </c>
    </row>
    <row r="1987" spans="1:4" ht="12.75" customHeight="1" x14ac:dyDescent="0.2">
      <c r="A1987" s="21"/>
      <c r="B1987" s="21"/>
      <c r="C1987" s="4" t="s">
        <v>244</v>
      </c>
      <c r="D1987" s="6" t="str">
        <f>HYPERLINK("javascript:void(0)","ágyúmozsár")</f>
        <v>ágyúmozsár</v>
      </c>
    </row>
    <row r="1988" spans="1:4" ht="12.75" customHeight="1" x14ac:dyDescent="0.2">
      <c r="A1988" s="5"/>
      <c r="B1988" s="2"/>
      <c r="C1988" s="2"/>
      <c r="D1988" s="2"/>
    </row>
    <row r="1989" spans="1:4" ht="12.75" customHeight="1" x14ac:dyDescent="0.2">
      <c r="A1989" s="22" t="str">
        <f>HYPERLINK("javascript:void(0)","légkalapács")</f>
        <v>légkalapács</v>
      </c>
      <c r="B1989" s="21"/>
      <c r="C1989" s="21"/>
      <c r="D1989" s="21"/>
    </row>
    <row r="1990" spans="1:4" ht="12.75" customHeight="1" x14ac:dyDescent="0.2">
      <c r="A1990" s="20"/>
      <c r="B1990" s="2"/>
      <c r="C1990" s="2"/>
      <c r="D1990" s="2"/>
    </row>
    <row r="1991" spans="1:4" ht="12.75" customHeight="1" x14ac:dyDescent="0.2">
      <c r="A1991" s="21"/>
      <c r="B1991" s="3" t="s">
        <v>0</v>
      </c>
      <c r="C1991" s="20" t="s">
        <v>274</v>
      </c>
      <c r="D1991" s="21"/>
    </row>
    <row r="1992" spans="1:4" ht="12.75" customHeight="1" x14ac:dyDescent="0.2">
      <c r="A1992" s="21"/>
      <c r="B1992" s="3" t="s">
        <v>2</v>
      </c>
      <c r="C1992" s="20" t="s">
        <v>122</v>
      </c>
      <c r="D1992" s="21"/>
    </row>
    <row r="1993" spans="1:4" ht="12.75" customHeight="1" x14ac:dyDescent="0.2">
      <c r="A1993" s="21"/>
      <c r="B1993" s="3" t="s">
        <v>4</v>
      </c>
      <c r="C1993" s="20" t="s">
        <v>669</v>
      </c>
      <c r="D1993" s="21"/>
    </row>
    <row r="1994" spans="1:4" ht="12.75" customHeight="1" x14ac:dyDescent="0.2">
      <c r="A1994" s="21"/>
      <c r="B1994" s="3" t="s">
        <v>6</v>
      </c>
      <c r="C1994" s="20" t="s">
        <v>115</v>
      </c>
      <c r="D1994" s="21"/>
    </row>
    <row r="1995" spans="1:4" ht="12.75" customHeight="1" x14ac:dyDescent="0.2">
      <c r="A1995" s="21"/>
      <c r="B1995" s="3" t="s">
        <v>8</v>
      </c>
      <c r="C1995" s="20" t="s">
        <v>669</v>
      </c>
      <c r="D1995" s="21"/>
    </row>
    <row r="1996" spans="1:4" ht="12.75" customHeight="1" x14ac:dyDescent="0.2">
      <c r="A1996" s="21"/>
      <c r="B1996" s="3" t="s">
        <v>9</v>
      </c>
      <c r="C1996" s="20" t="s">
        <v>129</v>
      </c>
      <c r="D1996" s="21"/>
    </row>
    <row r="1997" spans="1:4" ht="12.75" customHeight="1" x14ac:dyDescent="0.2">
      <c r="A1997" s="21"/>
      <c r="B1997" s="3" t="s">
        <v>11</v>
      </c>
      <c r="C1997" s="20" t="s">
        <v>329</v>
      </c>
      <c r="D1997" s="21"/>
    </row>
    <row r="1998" spans="1:4" ht="12.75" customHeight="1" x14ac:dyDescent="0.2">
      <c r="A1998" s="21"/>
      <c r="B1998" s="3" t="s">
        <v>13</v>
      </c>
      <c r="C1998" s="20" t="s">
        <v>24</v>
      </c>
      <c r="D1998" s="21"/>
    </row>
    <row r="1999" spans="1:4" ht="12.75" customHeight="1" x14ac:dyDescent="0.2">
      <c r="A1999" s="21"/>
      <c r="B1999" s="3" t="s">
        <v>15</v>
      </c>
      <c r="C1999" s="20" t="s">
        <v>24</v>
      </c>
      <c r="D1999" s="21"/>
    </row>
    <row r="2000" spans="1:4" ht="12.75" customHeight="1" x14ac:dyDescent="0.2">
      <c r="A2000" s="21"/>
      <c r="B2000" s="3" t="s">
        <v>16</v>
      </c>
      <c r="C2000" s="20"/>
      <c r="D2000" s="21"/>
    </row>
    <row r="2001" spans="1:4" ht="12.75" customHeight="1" x14ac:dyDescent="0.2">
      <c r="A2001" s="21"/>
      <c r="B2001" s="3" t="s">
        <v>17</v>
      </c>
      <c r="C2001" s="20"/>
      <c r="D2001" s="21"/>
    </row>
    <row r="2002" spans="1:4" ht="12.75" customHeight="1" x14ac:dyDescent="0.2">
      <c r="A2002" s="21"/>
      <c r="B2002" s="20" t="s">
        <v>18</v>
      </c>
      <c r="C2002" s="4" t="s">
        <v>44</v>
      </c>
      <c r="D2002" s="6" t="str">
        <f>HYPERLINK("javascript:void(0)","szilánkkalapács")</f>
        <v>szilánkkalapács</v>
      </c>
    </row>
    <row r="2003" spans="1:4" ht="12.75" customHeight="1" x14ac:dyDescent="0.2">
      <c r="A2003" s="21"/>
      <c r="B2003" s="21"/>
      <c r="C2003" s="4" t="s">
        <v>280</v>
      </c>
      <c r="D2003" s="6" t="str">
        <f>HYPERLINK("javascript:void(0)","légige")</f>
        <v>légige</v>
      </c>
    </row>
    <row r="2004" spans="1:4" ht="12.75" customHeight="1" x14ac:dyDescent="0.2">
      <c r="A2004" s="21"/>
      <c r="B2004" s="21"/>
      <c r="C2004" s="4" t="s">
        <v>77</v>
      </c>
      <c r="D2004" s="6" t="str">
        <f>HYPERLINK("javascript:void(0)","robbanófej")</f>
        <v>robbanófej</v>
      </c>
    </row>
    <row r="2005" spans="1:4" ht="12.75" customHeight="1" x14ac:dyDescent="0.2">
      <c r="A2005" s="5"/>
      <c r="B2005" s="2"/>
      <c r="C2005" s="2"/>
      <c r="D2005" s="2"/>
    </row>
    <row r="2006" spans="1:4" ht="12.75" customHeight="1" x14ac:dyDescent="0.2">
      <c r="A2006" s="22" t="str">
        <f>HYPERLINK("javascript:void(0)","kristály ballaszt")</f>
        <v>kristály ballaszt</v>
      </c>
      <c r="B2006" s="21"/>
      <c r="C2006" s="21"/>
      <c r="D2006" s="21"/>
    </row>
    <row r="2007" spans="1:4" ht="12.75" customHeight="1" x14ac:dyDescent="0.2">
      <c r="A2007" s="20"/>
      <c r="B2007" s="2"/>
      <c r="C2007" s="2"/>
      <c r="D2007" s="2"/>
    </row>
    <row r="2008" spans="1:4" ht="12.75" customHeight="1" x14ac:dyDescent="0.2">
      <c r="A2008" s="21"/>
      <c r="B2008" s="3" t="s">
        <v>0</v>
      </c>
      <c r="C2008" s="20" t="s">
        <v>274</v>
      </c>
      <c r="D2008" s="21"/>
    </row>
    <row r="2009" spans="1:4" ht="12.75" customHeight="1" x14ac:dyDescent="0.2">
      <c r="A2009" s="21"/>
      <c r="B2009" s="3" t="s">
        <v>2</v>
      </c>
      <c r="C2009" s="20" t="s">
        <v>122</v>
      </c>
      <c r="D2009" s="21"/>
    </row>
    <row r="2010" spans="1:4" ht="12.75" customHeight="1" x14ac:dyDescent="0.2">
      <c r="A2010" s="21"/>
      <c r="B2010" s="3" t="s">
        <v>4</v>
      </c>
      <c r="C2010" s="20" t="s">
        <v>675</v>
      </c>
      <c r="D2010" s="21"/>
    </row>
    <row r="2011" spans="1:4" ht="12.75" customHeight="1" x14ac:dyDescent="0.2">
      <c r="A2011" s="21"/>
      <c r="B2011" s="3" t="s">
        <v>6</v>
      </c>
      <c r="C2011" s="20" t="s">
        <v>157</v>
      </c>
      <c r="D2011" s="21"/>
    </row>
    <row r="2012" spans="1:4" ht="12.75" customHeight="1" x14ac:dyDescent="0.2">
      <c r="A2012" s="21"/>
      <c r="B2012" s="3" t="s">
        <v>8</v>
      </c>
      <c r="C2012" s="20" t="s">
        <v>675</v>
      </c>
      <c r="D2012" s="21"/>
    </row>
    <row r="2013" spans="1:4" ht="12.75" customHeight="1" x14ac:dyDescent="0.2">
      <c r="A2013" s="21"/>
      <c r="B2013" s="3" t="s">
        <v>9</v>
      </c>
      <c r="C2013" s="20" t="s">
        <v>676</v>
      </c>
      <c r="D2013" s="21"/>
    </row>
    <row r="2014" spans="1:4" ht="12.75" customHeight="1" x14ac:dyDescent="0.2">
      <c r="A2014" s="21"/>
      <c r="B2014" s="3" t="s">
        <v>11</v>
      </c>
      <c r="C2014" s="20" t="s">
        <v>414</v>
      </c>
      <c r="D2014" s="21"/>
    </row>
    <row r="2015" spans="1:4" ht="12.75" customHeight="1" x14ac:dyDescent="0.2">
      <c r="A2015" s="21"/>
      <c r="B2015" s="3" t="s">
        <v>13</v>
      </c>
      <c r="C2015" s="20" t="s">
        <v>24</v>
      </c>
      <c r="D2015" s="21"/>
    </row>
    <row r="2016" spans="1:4" ht="12.75" customHeight="1" x14ac:dyDescent="0.2">
      <c r="A2016" s="21"/>
      <c r="B2016" s="3" t="s">
        <v>15</v>
      </c>
      <c r="C2016" s="20" t="s">
        <v>24</v>
      </c>
      <c r="D2016" s="21"/>
    </row>
    <row r="2017" spans="1:4" ht="12.75" customHeight="1" x14ac:dyDescent="0.2">
      <c r="A2017" s="21"/>
      <c r="B2017" s="3" t="s">
        <v>16</v>
      </c>
      <c r="C2017" s="20"/>
      <c r="D2017" s="21"/>
    </row>
    <row r="2018" spans="1:4" ht="12.75" customHeight="1" x14ac:dyDescent="0.2">
      <c r="A2018" s="21"/>
      <c r="B2018" s="3" t="s">
        <v>17</v>
      </c>
      <c r="C2018" s="20"/>
      <c r="D2018" s="21"/>
    </row>
    <row r="2019" spans="1:4" ht="12.75" customHeight="1" x14ac:dyDescent="0.2">
      <c r="A2019" s="21"/>
      <c r="B2019" s="20" t="s">
        <v>18</v>
      </c>
      <c r="C2019" s="4" t="s">
        <v>44</v>
      </c>
      <c r="D2019" s="6" t="str">
        <f>HYPERLINK("javascript:void(0)","parszi ballaszt")</f>
        <v>parszi ballaszt</v>
      </c>
    </row>
    <row r="2020" spans="1:4" ht="12.75" customHeight="1" x14ac:dyDescent="0.2">
      <c r="A2020" s="21"/>
      <c r="B2020" s="21"/>
      <c r="C2020" s="4" t="s">
        <v>265</v>
      </c>
      <c r="D2020" s="6" t="str">
        <f>HYPERLINK("javascript:void(0)","rémszem")</f>
        <v>rémszem</v>
      </c>
    </row>
    <row r="2021" spans="1:4" ht="12.75" customHeight="1" x14ac:dyDescent="0.2">
      <c r="A2021" s="21"/>
      <c r="B2021" s="21"/>
      <c r="C2021" s="4" t="s">
        <v>117</v>
      </c>
      <c r="D2021" s="6" t="str">
        <f>HYPERLINK("javascript:void(0)","robbanófej")</f>
        <v>robbanófej</v>
      </c>
    </row>
    <row r="2022" spans="1:4" ht="12.75" customHeight="1" x14ac:dyDescent="0.2">
      <c r="A2022" s="5"/>
      <c r="B2022" s="2"/>
      <c r="C2022" s="2"/>
      <c r="D2022" s="2"/>
    </row>
    <row r="2023" spans="1:4" ht="12.75" customHeight="1" x14ac:dyDescent="0.2">
      <c r="A2023" s="22" t="str">
        <f>HYPERLINK("javascript:void(0)","gyíkacél nuncsaku")</f>
        <v>gyíkacél nuncsaku</v>
      </c>
      <c r="B2023" s="21"/>
      <c r="C2023" s="21"/>
      <c r="D2023" s="21"/>
    </row>
    <row r="2024" spans="1:4" ht="12.75" customHeight="1" x14ac:dyDescent="0.2">
      <c r="A2024" s="20"/>
      <c r="B2024" s="2"/>
      <c r="C2024" s="2"/>
      <c r="D2024" s="2"/>
    </row>
    <row r="2025" spans="1:4" ht="12.75" customHeight="1" x14ac:dyDescent="0.2">
      <c r="A2025" s="21"/>
      <c r="B2025" s="3" t="s">
        <v>0</v>
      </c>
      <c r="C2025" s="20" t="s">
        <v>274</v>
      </c>
      <c r="D2025" s="21"/>
    </row>
    <row r="2026" spans="1:4" ht="12.75" customHeight="1" x14ac:dyDescent="0.2">
      <c r="A2026" s="21"/>
      <c r="B2026" s="3" t="s">
        <v>2</v>
      </c>
      <c r="C2026" s="20" t="s">
        <v>122</v>
      </c>
      <c r="D2026" s="21"/>
    </row>
    <row r="2027" spans="1:4" ht="12.75" customHeight="1" x14ac:dyDescent="0.2">
      <c r="A2027" s="21"/>
      <c r="B2027" s="3" t="s">
        <v>4</v>
      </c>
      <c r="C2027" s="20" t="s">
        <v>682</v>
      </c>
      <c r="D2027" s="21"/>
    </row>
    <row r="2028" spans="1:4" ht="12.75" customHeight="1" x14ac:dyDescent="0.2">
      <c r="A2028" s="21"/>
      <c r="B2028" s="3" t="s">
        <v>6</v>
      </c>
      <c r="C2028" s="20" t="s">
        <v>107</v>
      </c>
      <c r="D2028" s="21"/>
    </row>
    <row r="2029" spans="1:4" ht="12.75" customHeight="1" x14ac:dyDescent="0.2">
      <c r="A2029" s="21"/>
      <c r="B2029" s="3" t="s">
        <v>8</v>
      </c>
      <c r="C2029" s="20" t="s">
        <v>682</v>
      </c>
      <c r="D2029" s="21"/>
    </row>
    <row r="2030" spans="1:4" ht="12.75" customHeight="1" x14ac:dyDescent="0.2">
      <c r="A2030" s="21"/>
      <c r="B2030" s="3" t="s">
        <v>9</v>
      </c>
      <c r="C2030" s="20" t="s">
        <v>683</v>
      </c>
      <c r="D2030" s="21"/>
    </row>
    <row r="2031" spans="1:4" ht="12.75" customHeight="1" x14ac:dyDescent="0.2">
      <c r="A2031" s="21"/>
      <c r="B2031" s="3" t="s">
        <v>11</v>
      </c>
      <c r="C2031" s="20" t="s">
        <v>191</v>
      </c>
      <c r="D2031" s="21"/>
    </row>
    <row r="2032" spans="1:4" ht="12.75" customHeight="1" x14ac:dyDescent="0.2">
      <c r="A2032" s="21"/>
      <c r="B2032" s="3" t="s">
        <v>13</v>
      </c>
      <c r="C2032" s="20" t="s">
        <v>24</v>
      </c>
      <c r="D2032" s="21"/>
    </row>
    <row r="2033" spans="1:4" ht="12.75" customHeight="1" x14ac:dyDescent="0.2">
      <c r="A2033" s="21"/>
      <c r="B2033" s="3" t="s">
        <v>15</v>
      </c>
      <c r="C2033" s="20" t="s">
        <v>24</v>
      </c>
      <c r="D2033" s="21"/>
    </row>
    <row r="2034" spans="1:4" ht="12.75" customHeight="1" x14ac:dyDescent="0.2">
      <c r="A2034" s="21"/>
      <c r="B2034" s="3" t="s">
        <v>16</v>
      </c>
      <c r="C2034" s="20"/>
      <c r="D2034" s="21"/>
    </row>
    <row r="2035" spans="1:4" ht="12.75" customHeight="1" x14ac:dyDescent="0.2">
      <c r="A2035" s="21"/>
      <c r="B2035" s="3" t="s">
        <v>17</v>
      </c>
      <c r="C2035" s="20"/>
      <c r="D2035" s="21"/>
    </row>
    <row r="2036" spans="1:4" ht="12.75" customHeight="1" x14ac:dyDescent="0.2">
      <c r="A2036" s="21"/>
      <c r="B2036" s="20" t="s">
        <v>18</v>
      </c>
      <c r="C2036" s="4" t="s">
        <v>232</v>
      </c>
      <c r="D2036" s="6" t="str">
        <f>HYPERLINK("javascript:void(0)","lélegző sarokkő")</f>
        <v>lélegző sarokkő</v>
      </c>
    </row>
    <row r="2037" spans="1:4" ht="12.75" customHeight="1" x14ac:dyDescent="0.2">
      <c r="A2037" s="21"/>
      <c r="B2037" s="21"/>
      <c r="C2037" s="4" t="s">
        <v>232</v>
      </c>
      <c r="D2037" s="6" t="str">
        <f>HYPERLINK("javascript:void(0)","tigrisirha")</f>
        <v>tigrisirha</v>
      </c>
    </row>
    <row r="2038" spans="1:4" ht="12.75" customHeight="1" x14ac:dyDescent="0.2">
      <c r="A2038" s="21"/>
      <c r="B2038" s="21"/>
      <c r="C2038" s="4" t="s">
        <v>280</v>
      </c>
      <c r="D2038" s="6" t="str">
        <f>HYPERLINK("javascript:void(0)","gyémántkarika")</f>
        <v>gyémántkarika</v>
      </c>
    </row>
    <row r="2039" spans="1:4" ht="12.75" customHeight="1" x14ac:dyDescent="0.2">
      <c r="A2039" s="5"/>
      <c r="B2039" s="2"/>
      <c r="C2039" s="2"/>
      <c r="D2039" s="2"/>
    </row>
    <row r="2040" spans="1:4" ht="12.75" customHeight="1" x14ac:dyDescent="0.2">
      <c r="A2040" s="22" t="str">
        <f>HYPERLINK("javascript:void(0)","animált bunkó")</f>
        <v>animált bunkó</v>
      </c>
      <c r="B2040" s="21"/>
      <c r="C2040" s="21"/>
      <c r="D2040" s="21"/>
    </row>
    <row r="2041" spans="1:4" ht="12.75" customHeight="1" x14ac:dyDescent="0.2">
      <c r="A2041" s="20"/>
      <c r="B2041" s="2"/>
      <c r="C2041" s="2"/>
      <c r="D2041" s="2"/>
    </row>
    <row r="2042" spans="1:4" ht="12.75" customHeight="1" x14ac:dyDescent="0.2">
      <c r="A2042" s="21"/>
      <c r="B2042" s="3" t="s">
        <v>0</v>
      </c>
      <c r="C2042" s="20" t="s">
        <v>52</v>
      </c>
      <c r="D2042" s="21"/>
    </row>
    <row r="2043" spans="1:4" ht="12.75" customHeight="1" x14ac:dyDescent="0.2">
      <c r="A2043" s="21"/>
      <c r="B2043" s="3" t="s">
        <v>2</v>
      </c>
      <c r="C2043" s="20" t="s">
        <v>122</v>
      </c>
      <c r="D2043" s="21"/>
    </row>
    <row r="2044" spans="1:4" ht="12.75" customHeight="1" x14ac:dyDescent="0.2">
      <c r="A2044" s="21"/>
      <c r="B2044" s="3" t="s">
        <v>4</v>
      </c>
      <c r="C2044" s="20" t="s">
        <v>687</v>
      </c>
      <c r="D2044" s="21"/>
    </row>
    <row r="2045" spans="1:4" ht="12.75" customHeight="1" x14ac:dyDescent="0.2">
      <c r="A2045" s="21"/>
      <c r="B2045" s="3" t="s">
        <v>6</v>
      </c>
      <c r="C2045" s="20" t="s">
        <v>260</v>
      </c>
      <c r="D2045" s="21"/>
    </row>
    <row r="2046" spans="1:4" ht="12.75" customHeight="1" x14ac:dyDescent="0.2">
      <c r="A2046" s="21"/>
      <c r="B2046" s="3" t="s">
        <v>8</v>
      </c>
      <c r="C2046" s="20" t="s">
        <v>687</v>
      </c>
      <c r="D2046" s="21"/>
    </row>
    <row r="2047" spans="1:4" ht="12.75" customHeight="1" x14ac:dyDescent="0.2">
      <c r="A2047" s="21"/>
      <c r="B2047" s="3" t="s">
        <v>9</v>
      </c>
      <c r="C2047" s="20" t="s">
        <v>233</v>
      </c>
      <c r="D2047" s="21"/>
    </row>
    <row r="2048" spans="1:4" ht="12.75" customHeight="1" x14ac:dyDescent="0.2">
      <c r="A2048" s="21"/>
      <c r="B2048" s="3" t="s">
        <v>11</v>
      </c>
      <c r="C2048" s="20" t="s">
        <v>350</v>
      </c>
      <c r="D2048" s="21"/>
    </row>
    <row r="2049" spans="1:4" ht="12.75" customHeight="1" x14ac:dyDescent="0.2">
      <c r="A2049" s="21"/>
      <c r="B2049" s="3" t="s">
        <v>13</v>
      </c>
      <c r="C2049" s="20" t="s">
        <v>24</v>
      </c>
      <c r="D2049" s="21"/>
    </row>
    <row r="2050" spans="1:4" ht="12.75" customHeight="1" x14ac:dyDescent="0.2">
      <c r="A2050" s="21"/>
      <c r="B2050" s="3" t="s">
        <v>15</v>
      </c>
      <c r="C2050" s="20" t="s">
        <v>24</v>
      </c>
      <c r="D2050" s="21"/>
    </row>
    <row r="2051" spans="1:4" ht="12.75" customHeight="1" x14ac:dyDescent="0.2">
      <c r="A2051" s="21"/>
      <c r="B2051" s="3" t="s">
        <v>16</v>
      </c>
      <c r="C2051" s="20"/>
      <c r="D2051" s="21"/>
    </row>
    <row r="2052" spans="1:4" ht="12.75" customHeight="1" x14ac:dyDescent="0.2">
      <c r="A2052" s="21"/>
      <c r="B2052" s="3" t="s">
        <v>17</v>
      </c>
      <c r="C2052" s="20"/>
      <c r="D2052" s="21"/>
    </row>
    <row r="2053" spans="1:4" ht="12.75" customHeight="1" x14ac:dyDescent="0.2">
      <c r="A2053" s="21"/>
      <c r="B2053" s="20" t="s">
        <v>18</v>
      </c>
      <c r="C2053" s="4" t="s">
        <v>44</v>
      </c>
      <c r="D2053" s="6" t="str">
        <f>HYPERLINK("javascript:void(0)","légkalapács")</f>
        <v>légkalapács</v>
      </c>
    </row>
    <row r="2054" spans="1:4" ht="12.75" customHeight="1" x14ac:dyDescent="0.2">
      <c r="A2054" s="21"/>
      <c r="B2054" s="21"/>
      <c r="C2054" s="4" t="s">
        <v>44</v>
      </c>
      <c r="D2054" s="6" t="str">
        <f>HYPERLINK("javascript:void(0)","parszi jégbuzogány")</f>
        <v>parszi jégbuzogány</v>
      </c>
    </row>
    <row r="2055" spans="1:4" ht="12.75" customHeight="1" x14ac:dyDescent="0.2">
      <c r="A2055" s="21"/>
      <c r="B2055" s="21"/>
      <c r="C2055" s="4" t="s">
        <v>98</v>
      </c>
      <c r="D2055" s="6" t="str">
        <f>HYPERLINK("javascript:void(0)","nekroige")</f>
        <v>nekroige</v>
      </c>
    </row>
    <row r="2056" spans="1:4" ht="12.75" customHeight="1" x14ac:dyDescent="0.2">
      <c r="A2056" s="5"/>
      <c r="B2056" s="2"/>
      <c r="C2056" s="2"/>
      <c r="D2056" s="2"/>
    </row>
    <row r="2057" spans="1:4" ht="12.75" customHeight="1" x14ac:dyDescent="0.2">
      <c r="A2057" s="22" t="str">
        <f>HYPERLINK("javascript:void(0)","animált mágusölő")</f>
        <v>animált mágusölő</v>
      </c>
      <c r="B2057" s="21"/>
      <c r="C2057" s="21"/>
      <c r="D2057" s="21"/>
    </row>
    <row r="2058" spans="1:4" ht="12.75" customHeight="1" x14ac:dyDescent="0.2">
      <c r="A2058" s="20"/>
      <c r="B2058" s="2"/>
      <c r="C2058" s="2"/>
      <c r="D2058" s="2"/>
    </row>
    <row r="2059" spans="1:4" ht="12.75" customHeight="1" x14ac:dyDescent="0.2">
      <c r="A2059" s="21"/>
      <c r="B2059" s="3" t="s">
        <v>0</v>
      </c>
      <c r="C2059" s="20" t="s">
        <v>52</v>
      </c>
      <c r="D2059" s="21"/>
    </row>
    <row r="2060" spans="1:4" ht="12.75" customHeight="1" x14ac:dyDescent="0.2">
      <c r="A2060" s="21"/>
      <c r="B2060" s="3" t="s">
        <v>2</v>
      </c>
      <c r="C2060" s="20" t="s">
        <v>122</v>
      </c>
      <c r="D2060" s="21"/>
    </row>
    <row r="2061" spans="1:4" ht="12.75" customHeight="1" x14ac:dyDescent="0.2">
      <c r="A2061" s="21"/>
      <c r="B2061" s="3" t="s">
        <v>4</v>
      </c>
      <c r="C2061" s="20" t="s">
        <v>694</v>
      </c>
      <c r="D2061" s="21"/>
    </row>
    <row r="2062" spans="1:4" ht="12.75" customHeight="1" x14ac:dyDescent="0.2">
      <c r="A2062" s="21"/>
      <c r="B2062" s="3" t="s">
        <v>6</v>
      </c>
      <c r="C2062" s="20" t="s">
        <v>48</v>
      </c>
      <c r="D2062" s="21"/>
    </row>
    <row r="2063" spans="1:4" ht="12.75" customHeight="1" x14ac:dyDescent="0.2">
      <c r="A2063" s="21"/>
      <c r="B2063" s="3" t="s">
        <v>8</v>
      </c>
      <c r="C2063" s="20" t="s">
        <v>694</v>
      </c>
      <c r="D2063" s="21"/>
    </row>
    <row r="2064" spans="1:4" ht="12.75" customHeight="1" x14ac:dyDescent="0.2">
      <c r="A2064" s="21"/>
      <c r="B2064" s="3" t="s">
        <v>9</v>
      </c>
      <c r="C2064" s="20" t="s">
        <v>634</v>
      </c>
      <c r="D2064" s="21"/>
    </row>
    <row r="2065" spans="1:4" ht="12.75" customHeight="1" x14ac:dyDescent="0.2">
      <c r="A2065" s="21"/>
      <c r="B2065" s="3" t="s">
        <v>11</v>
      </c>
      <c r="C2065" s="20" t="s">
        <v>350</v>
      </c>
      <c r="D2065" s="21"/>
    </row>
    <row r="2066" spans="1:4" ht="12.75" customHeight="1" x14ac:dyDescent="0.2">
      <c r="A2066" s="21"/>
      <c r="B2066" s="3" t="s">
        <v>13</v>
      </c>
      <c r="C2066" s="20" t="s">
        <v>14</v>
      </c>
      <c r="D2066" s="21"/>
    </row>
    <row r="2067" spans="1:4" ht="12.75" customHeight="1" x14ac:dyDescent="0.2">
      <c r="A2067" s="21"/>
      <c r="B2067" s="3" t="s">
        <v>15</v>
      </c>
      <c r="C2067" s="20" t="s">
        <v>24</v>
      </c>
      <c r="D2067" s="21"/>
    </row>
    <row r="2068" spans="1:4" ht="12.75" customHeight="1" x14ac:dyDescent="0.2">
      <c r="A2068" s="21"/>
      <c r="B2068" s="3" t="s">
        <v>16</v>
      </c>
      <c r="C2068" s="20"/>
      <c r="D2068" s="21"/>
    </row>
    <row r="2069" spans="1:4" ht="12.75" customHeight="1" x14ac:dyDescent="0.2">
      <c r="A2069" s="21"/>
      <c r="B2069" s="3" t="s">
        <v>17</v>
      </c>
      <c r="C2069" s="20"/>
      <c r="D2069" s="21"/>
    </row>
    <row r="2070" spans="1:4" ht="12.75" customHeight="1" x14ac:dyDescent="0.2">
      <c r="A2070" s="21"/>
      <c r="B2070" s="20" t="s">
        <v>18</v>
      </c>
      <c r="C2070" s="4" t="s">
        <v>44</v>
      </c>
      <c r="D2070" s="6" t="str">
        <f>HYPERLINK("javascript:void(0)","kristály mágusölő")</f>
        <v>kristály mágusölő</v>
      </c>
    </row>
    <row r="2071" spans="1:4" ht="12.75" customHeight="1" x14ac:dyDescent="0.2">
      <c r="A2071" s="21"/>
      <c r="B2071" s="21"/>
      <c r="C2071" s="4" t="s">
        <v>139</v>
      </c>
      <c r="D2071" s="6" t="str">
        <f>HYPERLINK("javascript:void(0)","nekroige")</f>
        <v>nekroige</v>
      </c>
    </row>
    <row r="2072" spans="1:4" ht="12.75" customHeight="1" x14ac:dyDescent="0.2">
      <c r="A2072" s="21"/>
      <c r="B2072" s="21"/>
      <c r="C2072" s="4" t="s">
        <v>117</v>
      </c>
      <c r="D2072" s="6" t="str">
        <f>HYPERLINK("javascript:void(0)","kígyócsörgő")</f>
        <v>kígyócsörgő</v>
      </c>
    </row>
    <row r="2073" spans="1:4" ht="12.75" customHeight="1" x14ac:dyDescent="0.2">
      <c r="A2073" s="5"/>
      <c r="B2073" s="2"/>
      <c r="C2073" s="2"/>
      <c r="D2073" s="2"/>
    </row>
    <row r="2074" spans="1:4" ht="12.75" customHeight="1" x14ac:dyDescent="0.2">
      <c r="A2074" s="22" t="str">
        <f>HYPERLINK("javascript:void(0)","csonttörő")</f>
        <v>csonttörő</v>
      </c>
      <c r="B2074" s="21"/>
      <c r="C2074" s="21"/>
      <c r="D2074" s="21"/>
    </row>
    <row r="2075" spans="1:4" ht="12.75" customHeight="1" x14ac:dyDescent="0.2">
      <c r="A2075" s="20"/>
      <c r="B2075" s="2"/>
      <c r="C2075" s="2"/>
      <c r="D2075" s="2"/>
    </row>
    <row r="2076" spans="1:4" ht="12.75" customHeight="1" x14ac:dyDescent="0.2">
      <c r="A2076" s="21"/>
      <c r="B2076" s="3" t="s">
        <v>0</v>
      </c>
      <c r="C2076" s="20" t="s">
        <v>385</v>
      </c>
      <c r="D2076" s="21"/>
    </row>
    <row r="2077" spans="1:4" ht="12.75" customHeight="1" x14ac:dyDescent="0.2">
      <c r="A2077" s="21"/>
      <c r="B2077" s="3" t="s">
        <v>2</v>
      </c>
      <c r="C2077" s="20" t="s">
        <v>122</v>
      </c>
      <c r="D2077" s="21"/>
    </row>
    <row r="2078" spans="1:4" ht="12.75" customHeight="1" x14ac:dyDescent="0.2">
      <c r="A2078" s="21"/>
      <c r="B2078" s="3" t="s">
        <v>4</v>
      </c>
      <c r="C2078" s="20" t="s">
        <v>697</v>
      </c>
      <c r="D2078" s="21"/>
    </row>
    <row r="2079" spans="1:4" ht="12.75" customHeight="1" x14ac:dyDescent="0.2">
      <c r="A2079" s="21"/>
      <c r="B2079" s="3" t="s">
        <v>6</v>
      </c>
      <c r="C2079" s="20" t="s">
        <v>284</v>
      </c>
      <c r="D2079" s="21"/>
    </row>
    <row r="2080" spans="1:4" ht="12.75" customHeight="1" x14ac:dyDescent="0.2">
      <c r="A2080" s="21"/>
      <c r="B2080" s="3" t="s">
        <v>8</v>
      </c>
      <c r="C2080" s="20" t="s">
        <v>697</v>
      </c>
      <c r="D2080" s="21"/>
    </row>
    <row r="2081" spans="1:4" ht="12.75" customHeight="1" x14ac:dyDescent="0.2">
      <c r="A2081" s="21"/>
      <c r="B2081" s="3" t="s">
        <v>9</v>
      </c>
      <c r="C2081" s="20" t="s">
        <v>42</v>
      </c>
      <c r="D2081" s="21"/>
    </row>
    <row r="2082" spans="1:4" ht="12.75" customHeight="1" x14ac:dyDescent="0.2">
      <c r="A2082" s="21"/>
      <c r="B2082" s="3" t="s">
        <v>11</v>
      </c>
      <c r="C2082" s="20" t="s">
        <v>368</v>
      </c>
      <c r="D2082" s="21"/>
    </row>
    <row r="2083" spans="1:4" ht="12.75" customHeight="1" x14ac:dyDescent="0.2">
      <c r="A2083" s="21"/>
      <c r="B2083" s="3" t="s">
        <v>13</v>
      </c>
      <c r="C2083" s="20" t="s">
        <v>24</v>
      </c>
      <c r="D2083" s="21"/>
    </row>
    <row r="2084" spans="1:4" ht="12.75" customHeight="1" x14ac:dyDescent="0.2">
      <c r="A2084" s="21"/>
      <c r="B2084" s="3" t="s">
        <v>15</v>
      </c>
      <c r="C2084" s="20" t="s">
        <v>24</v>
      </c>
      <c r="D2084" s="21"/>
    </row>
    <row r="2085" spans="1:4" ht="12.75" customHeight="1" x14ac:dyDescent="0.2">
      <c r="A2085" s="21"/>
      <c r="B2085" s="3" t="s">
        <v>16</v>
      </c>
      <c r="C2085" s="20"/>
      <c r="D2085" s="21"/>
    </row>
    <row r="2086" spans="1:4" ht="12.75" customHeight="1" x14ac:dyDescent="0.2">
      <c r="A2086" s="21"/>
      <c r="B2086" s="3" t="s">
        <v>17</v>
      </c>
      <c r="C2086" s="20"/>
      <c r="D2086" s="21"/>
    </row>
    <row r="2087" spans="1:4" ht="12.75" customHeight="1" x14ac:dyDescent="0.2">
      <c r="A2087" s="21"/>
      <c r="B2087" s="20" t="s">
        <v>18</v>
      </c>
      <c r="C2087" s="4" t="s">
        <v>130</v>
      </c>
      <c r="D2087" s="6" t="str">
        <f>HYPERLINK("javascript:void(0)","gigaköröm")</f>
        <v>gigaköröm</v>
      </c>
    </row>
    <row r="2088" spans="1:4" ht="12.75" customHeight="1" x14ac:dyDescent="0.2">
      <c r="A2088" s="21"/>
      <c r="B2088" s="21"/>
      <c r="C2088" s="4" t="s">
        <v>193</v>
      </c>
      <c r="D2088" s="6" t="str">
        <f>HYPERLINK("javascript:void(0)","hiperzsír")</f>
        <v>hiperzsír</v>
      </c>
    </row>
    <row r="2089" spans="1:4" ht="12.75" customHeight="1" x14ac:dyDescent="0.2">
      <c r="A2089" s="21"/>
      <c r="B2089" s="21"/>
      <c r="C2089" s="4" t="s">
        <v>77</v>
      </c>
      <c r="D2089" s="6" t="str">
        <f>HYPERLINK("javascript:void(0)","csáphárító")</f>
        <v>csáphárító</v>
      </c>
    </row>
    <row r="2090" spans="1:4" ht="12.75" customHeight="1" x14ac:dyDescent="0.2">
      <c r="A2090" s="5"/>
      <c r="B2090" s="2"/>
      <c r="C2090" s="2"/>
      <c r="D2090" s="2"/>
    </row>
    <row r="2091" spans="1:4" ht="12.75" customHeight="1" x14ac:dyDescent="0.2">
      <c r="A2091" s="22" t="str">
        <f>HYPERLINK("javascript:void(0)","animált ballaszt")</f>
        <v>animált ballaszt</v>
      </c>
      <c r="B2091" s="21"/>
      <c r="C2091" s="21"/>
      <c r="D2091" s="21"/>
    </row>
    <row r="2092" spans="1:4" ht="12.75" customHeight="1" x14ac:dyDescent="0.2">
      <c r="A2092" s="20"/>
      <c r="B2092" s="2"/>
      <c r="C2092" s="2"/>
      <c r="D2092" s="2"/>
    </row>
    <row r="2093" spans="1:4" ht="12.75" customHeight="1" x14ac:dyDescent="0.2">
      <c r="A2093" s="21"/>
      <c r="B2093" s="3" t="s">
        <v>0</v>
      </c>
      <c r="C2093" s="20" t="s">
        <v>385</v>
      </c>
      <c r="D2093" s="21"/>
    </row>
    <row r="2094" spans="1:4" ht="12.75" customHeight="1" x14ac:dyDescent="0.2">
      <c r="A2094" s="21"/>
      <c r="B2094" s="3" t="s">
        <v>2</v>
      </c>
      <c r="C2094" s="20" t="s">
        <v>122</v>
      </c>
      <c r="D2094" s="21"/>
    </row>
    <row r="2095" spans="1:4" ht="12.75" customHeight="1" x14ac:dyDescent="0.2">
      <c r="A2095" s="21"/>
      <c r="B2095" s="3" t="s">
        <v>4</v>
      </c>
      <c r="C2095" s="20" t="s">
        <v>703</v>
      </c>
      <c r="D2095" s="21"/>
    </row>
    <row r="2096" spans="1:4" ht="12.75" customHeight="1" x14ac:dyDescent="0.2">
      <c r="A2096" s="21"/>
      <c r="B2096" s="3" t="s">
        <v>6</v>
      </c>
      <c r="C2096" s="20" t="s">
        <v>88</v>
      </c>
      <c r="D2096" s="21"/>
    </row>
    <row r="2097" spans="1:4" ht="12.75" customHeight="1" x14ac:dyDescent="0.2">
      <c r="A2097" s="21"/>
      <c r="B2097" s="3" t="s">
        <v>8</v>
      </c>
      <c r="C2097" s="20" t="s">
        <v>703</v>
      </c>
      <c r="D2097" s="21"/>
    </row>
    <row r="2098" spans="1:4" ht="12.75" customHeight="1" x14ac:dyDescent="0.2">
      <c r="A2098" s="21"/>
      <c r="B2098" s="3" t="s">
        <v>9</v>
      </c>
      <c r="C2098" s="20" t="s">
        <v>705</v>
      </c>
      <c r="D2098" s="21"/>
    </row>
    <row r="2099" spans="1:4" ht="12.75" customHeight="1" x14ac:dyDescent="0.2">
      <c r="A2099" s="21"/>
      <c r="B2099" s="3" t="s">
        <v>11</v>
      </c>
      <c r="C2099" s="20" t="s">
        <v>447</v>
      </c>
      <c r="D2099" s="21"/>
    </row>
    <row r="2100" spans="1:4" ht="12.75" customHeight="1" x14ac:dyDescent="0.2">
      <c r="A2100" s="21"/>
      <c r="B2100" s="3" t="s">
        <v>13</v>
      </c>
      <c r="C2100" s="20" t="s">
        <v>24</v>
      </c>
      <c r="D2100" s="21"/>
    </row>
    <row r="2101" spans="1:4" ht="12.75" customHeight="1" x14ac:dyDescent="0.2">
      <c r="A2101" s="21"/>
      <c r="B2101" s="3" t="s">
        <v>15</v>
      </c>
      <c r="C2101" s="20" t="s">
        <v>24</v>
      </c>
      <c r="D2101" s="21"/>
    </row>
    <row r="2102" spans="1:4" ht="12.75" customHeight="1" x14ac:dyDescent="0.2">
      <c r="A2102" s="21"/>
      <c r="B2102" s="3" t="s">
        <v>16</v>
      </c>
      <c r="C2102" s="20"/>
      <c r="D2102" s="21"/>
    </row>
    <row r="2103" spans="1:4" ht="12.75" customHeight="1" x14ac:dyDescent="0.2">
      <c r="A2103" s="21"/>
      <c r="B2103" s="3" t="s">
        <v>17</v>
      </c>
      <c r="C2103" s="20"/>
      <c r="D2103" s="21"/>
    </row>
    <row r="2104" spans="1:4" ht="12.75" customHeight="1" x14ac:dyDescent="0.2">
      <c r="A2104" s="21"/>
      <c r="B2104" s="20" t="s">
        <v>18</v>
      </c>
      <c r="C2104" s="4" t="s">
        <v>193</v>
      </c>
      <c r="D2104" s="6" t="str">
        <f>HYPERLINK("javascript:void(0)","spiritusz")</f>
        <v>spiritusz</v>
      </c>
    </row>
    <row r="2105" spans="1:4" ht="12.75" customHeight="1" x14ac:dyDescent="0.2">
      <c r="A2105" s="21"/>
      <c r="B2105" s="21"/>
      <c r="C2105" s="4" t="s">
        <v>117</v>
      </c>
      <c r="D2105" s="6" t="str">
        <f>HYPERLINK("javascript:void(0)","démonfog")</f>
        <v>démonfog</v>
      </c>
    </row>
    <row r="2106" spans="1:4" ht="12.75" customHeight="1" x14ac:dyDescent="0.2">
      <c r="A2106" s="21"/>
      <c r="B2106" s="21"/>
      <c r="C2106" s="4" t="s">
        <v>117</v>
      </c>
      <c r="D2106" s="6" t="str">
        <f>HYPERLINK("javascript:void(0)","csáphárító")</f>
        <v>csáphárító</v>
      </c>
    </row>
    <row r="2107" spans="1:4" ht="12.75" customHeight="1" x14ac:dyDescent="0.2">
      <c r="A2107" s="5"/>
      <c r="B2107" s="2"/>
      <c r="C2107" s="2"/>
      <c r="D2107" s="2"/>
    </row>
    <row r="2108" spans="1:4" ht="12.75" customHeight="1" x14ac:dyDescent="0.2">
      <c r="A2108" s="22" t="str">
        <f>HYPERLINK("javascript:void(0)","gyíkacél kalapács")</f>
        <v>gyíkacél kalapács</v>
      </c>
      <c r="B2108" s="21"/>
      <c r="C2108" s="21"/>
      <c r="D2108" s="21"/>
    </row>
    <row r="2109" spans="1:4" ht="12.75" customHeight="1" x14ac:dyDescent="0.2">
      <c r="A2109" s="20"/>
      <c r="B2109" s="2"/>
      <c r="C2109" s="2"/>
      <c r="D2109" s="2"/>
    </row>
    <row r="2110" spans="1:4" ht="12.75" customHeight="1" x14ac:dyDescent="0.2">
      <c r="A2110" s="21"/>
      <c r="B2110" s="3" t="s">
        <v>0</v>
      </c>
      <c r="C2110" s="20" t="s">
        <v>385</v>
      </c>
      <c r="D2110" s="21"/>
    </row>
    <row r="2111" spans="1:4" ht="12.75" customHeight="1" x14ac:dyDescent="0.2">
      <c r="A2111" s="21"/>
      <c r="B2111" s="3" t="s">
        <v>2</v>
      </c>
      <c r="C2111" s="20" t="s">
        <v>122</v>
      </c>
      <c r="D2111" s="21"/>
    </row>
    <row r="2112" spans="1:4" ht="12.75" customHeight="1" x14ac:dyDescent="0.2">
      <c r="A2112" s="21"/>
      <c r="B2112" s="3" t="s">
        <v>4</v>
      </c>
      <c r="C2112" s="20" t="s">
        <v>379</v>
      </c>
      <c r="D2112" s="21"/>
    </row>
    <row r="2113" spans="1:4" ht="12.75" customHeight="1" x14ac:dyDescent="0.2">
      <c r="A2113" s="21"/>
      <c r="B2113" s="3" t="s">
        <v>6</v>
      </c>
      <c r="C2113" s="20" t="s">
        <v>107</v>
      </c>
      <c r="D2113" s="21"/>
    </row>
    <row r="2114" spans="1:4" ht="12.75" customHeight="1" x14ac:dyDescent="0.2">
      <c r="A2114" s="21"/>
      <c r="B2114" s="3" t="s">
        <v>8</v>
      </c>
      <c r="C2114" s="20" t="s">
        <v>379</v>
      </c>
      <c r="D2114" s="21"/>
    </row>
    <row r="2115" spans="1:4" ht="12.75" customHeight="1" x14ac:dyDescent="0.2">
      <c r="A2115" s="21"/>
      <c r="B2115" s="3" t="s">
        <v>9</v>
      </c>
      <c r="C2115" s="20" t="s">
        <v>708</v>
      </c>
      <c r="D2115" s="21"/>
    </row>
    <row r="2116" spans="1:4" ht="12.75" customHeight="1" x14ac:dyDescent="0.2">
      <c r="A2116" s="21"/>
      <c r="B2116" s="3" t="s">
        <v>11</v>
      </c>
      <c r="C2116" s="20" t="s">
        <v>215</v>
      </c>
      <c r="D2116" s="21"/>
    </row>
    <row r="2117" spans="1:4" ht="12.75" customHeight="1" x14ac:dyDescent="0.2">
      <c r="A2117" s="21"/>
      <c r="B2117" s="3" t="s">
        <v>13</v>
      </c>
      <c r="C2117" s="20" t="s">
        <v>24</v>
      </c>
      <c r="D2117" s="21"/>
    </row>
    <row r="2118" spans="1:4" ht="12.75" customHeight="1" x14ac:dyDescent="0.2">
      <c r="A2118" s="21"/>
      <c r="B2118" s="3" t="s">
        <v>15</v>
      </c>
      <c r="C2118" s="20" t="s">
        <v>24</v>
      </c>
      <c r="D2118" s="21"/>
    </row>
    <row r="2119" spans="1:4" ht="12.75" customHeight="1" x14ac:dyDescent="0.2">
      <c r="A2119" s="21"/>
      <c r="B2119" s="3" t="s">
        <v>16</v>
      </c>
      <c r="C2119" s="20"/>
      <c r="D2119" s="21"/>
    </row>
    <row r="2120" spans="1:4" ht="12.75" customHeight="1" x14ac:dyDescent="0.2">
      <c r="A2120" s="21"/>
      <c r="B2120" s="3" t="s">
        <v>17</v>
      </c>
      <c r="C2120" s="20"/>
      <c r="D2120" s="21"/>
    </row>
    <row r="2121" spans="1:4" ht="12.75" customHeight="1" x14ac:dyDescent="0.2">
      <c r="A2121" s="21"/>
      <c r="B2121" s="20" t="s">
        <v>18</v>
      </c>
      <c r="C2121" s="4" t="s">
        <v>67</v>
      </c>
      <c r="D2121" s="6" t="str">
        <f>HYPERLINK("javascript:void(0)","fénynyaláb")</f>
        <v>fénynyaláb</v>
      </c>
    </row>
    <row r="2122" spans="1:4" ht="12.75" customHeight="1" x14ac:dyDescent="0.2">
      <c r="A2122" s="21"/>
      <c r="B2122" s="21"/>
      <c r="C2122" s="4" t="s">
        <v>139</v>
      </c>
      <c r="D2122" s="6" t="str">
        <f>HYPERLINK("javascript:void(0)","szent szimbólum")</f>
        <v>szent szimbólum</v>
      </c>
    </row>
    <row r="2123" spans="1:4" ht="12.75" customHeight="1" x14ac:dyDescent="0.2">
      <c r="A2123" s="21"/>
      <c r="B2123" s="21"/>
      <c r="C2123" s="4" t="s">
        <v>139</v>
      </c>
      <c r="D2123" s="6" t="str">
        <f>HYPERLINK("javascript:void(0)","kallandra fog")</f>
        <v>kallandra fog</v>
      </c>
    </row>
    <row r="2124" spans="1:4" ht="12.75" customHeight="1" x14ac:dyDescent="0.2">
      <c r="A2124" s="5"/>
      <c r="B2124" s="2"/>
      <c r="C2124" s="2"/>
      <c r="D2124" s="2"/>
    </row>
    <row r="2125" spans="1:4" ht="12.75" customHeight="1" x14ac:dyDescent="0.2">
      <c r="A2125" s="22" t="str">
        <f>HYPERLINK("javascript:void(0)","csáphadaró")</f>
        <v>csáphadaró</v>
      </c>
      <c r="B2125" s="21"/>
      <c r="C2125" s="21"/>
      <c r="D2125" s="21"/>
    </row>
    <row r="2126" spans="1:4" ht="12.75" customHeight="1" x14ac:dyDescent="0.2">
      <c r="A2126" s="20"/>
      <c r="B2126" s="2"/>
      <c r="C2126" s="2"/>
      <c r="D2126" s="2"/>
    </row>
    <row r="2127" spans="1:4" ht="12.75" customHeight="1" x14ac:dyDescent="0.2">
      <c r="A2127" s="21"/>
      <c r="B2127" s="3" t="s">
        <v>0</v>
      </c>
      <c r="C2127" s="20" t="s">
        <v>392</v>
      </c>
      <c r="D2127" s="21"/>
    </row>
    <row r="2128" spans="1:4" ht="12.75" customHeight="1" x14ac:dyDescent="0.2">
      <c r="A2128" s="21"/>
      <c r="B2128" s="3" t="s">
        <v>2</v>
      </c>
      <c r="C2128" s="20" t="s">
        <v>122</v>
      </c>
      <c r="D2128" s="21"/>
    </row>
    <row r="2129" spans="1:4" ht="12.75" customHeight="1" x14ac:dyDescent="0.2">
      <c r="A2129" s="21"/>
      <c r="B2129" s="3" t="s">
        <v>4</v>
      </c>
      <c r="C2129" s="20" t="s">
        <v>714</v>
      </c>
      <c r="D2129" s="21"/>
    </row>
    <row r="2130" spans="1:4" ht="12.75" customHeight="1" x14ac:dyDescent="0.2">
      <c r="A2130" s="21"/>
      <c r="B2130" s="3" t="s">
        <v>6</v>
      </c>
      <c r="C2130" s="20" t="s">
        <v>392</v>
      </c>
      <c r="D2130" s="21"/>
    </row>
    <row r="2131" spans="1:4" ht="12.75" customHeight="1" x14ac:dyDescent="0.2">
      <c r="A2131" s="21"/>
      <c r="B2131" s="3" t="s">
        <v>8</v>
      </c>
      <c r="C2131" s="20" t="s">
        <v>714</v>
      </c>
      <c r="D2131" s="21"/>
    </row>
    <row r="2132" spans="1:4" ht="12.75" customHeight="1" x14ac:dyDescent="0.2">
      <c r="A2132" s="21"/>
      <c r="B2132" s="3" t="s">
        <v>9</v>
      </c>
      <c r="C2132" s="20" t="s">
        <v>573</v>
      </c>
      <c r="D2132" s="21"/>
    </row>
    <row r="2133" spans="1:4" ht="12.75" customHeight="1" x14ac:dyDescent="0.2">
      <c r="A2133" s="21"/>
      <c r="B2133" s="3" t="s">
        <v>11</v>
      </c>
      <c r="C2133" s="20" t="s">
        <v>381</v>
      </c>
      <c r="D2133" s="21"/>
    </row>
    <row r="2134" spans="1:4" ht="12.75" customHeight="1" x14ac:dyDescent="0.2">
      <c r="A2134" s="21"/>
      <c r="B2134" s="3" t="s">
        <v>13</v>
      </c>
      <c r="C2134" s="20" t="s">
        <v>24</v>
      </c>
      <c r="D2134" s="21"/>
    </row>
    <row r="2135" spans="1:4" ht="12.75" customHeight="1" x14ac:dyDescent="0.2">
      <c r="A2135" s="21"/>
      <c r="B2135" s="3" t="s">
        <v>15</v>
      </c>
      <c r="C2135" s="20" t="s">
        <v>24</v>
      </c>
      <c r="D2135" s="21"/>
    </row>
    <row r="2136" spans="1:4" ht="12.75" customHeight="1" x14ac:dyDescent="0.2">
      <c r="A2136" s="21"/>
      <c r="B2136" s="3" t="s">
        <v>16</v>
      </c>
      <c r="C2136" s="20"/>
      <c r="D2136" s="21"/>
    </row>
    <row r="2137" spans="1:4" ht="12.75" customHeight="1" x14ac:dyDescent="0.2">
      <c r="A2137" s="21"/>
      <c r="B2137" s="3" t="s">
        <v>17</v>
      </c>
      <c r="C2137" s="20"/>
      <c r="D2137" s="21"/>
    </row>
    <row r="2138" spans="1:4" ht="12.75" customHeight="1" x14ac:dyDescent="0.2">
      <c r="A2138" s="21"/>
      <c r="B2138" s="20" t="s">
        <v>18</v>
      </c>
      <c r="C2138" s="4" t="s">
        <v>44</v>
      </c>
      <c r="D2138" s="6" t="str">
        <f>HYPERLINK("javascript:void(0)","csonttörő")</f>
        <v>csonttörő</v>
      </c>
    </row>
    <row r="2139" spans="1:4" ht="12.75" customHeight="1" x14ac:dyDescent="0.2">
      <c r="A2139" s="21"/>
      <c r="B2139" s="21"/>
      <c r="C2139" s="4" t="s">
        <v>117</v>
      </c>
      <c r="D2139" s="6" t="str">
        <f>HYPERLINK("javascript:void(0)","csáphárító")</f>
        <v>csáphárító</v>
      </c>
    </row>
    <row r="2140" spans="1:4" ht="12.75" customHeight="1" x14ac:dyDescent="0.2">
      <c r="A2140" s="21"/>
      <c r="B2140" s="21"/>
      <c r="C2140" s="4" t="s">
        <v>77</v>
      </c>
      <c r="D2140" s="6" t="str">
        <f>HYPERLINK("javascript:void(0)","haspók")</f>
        <v>haspók</v>
      </c>
    </row>
    <row r="2141" spans="1:4" ht="12.75" customHeight="1" x14ac:dyDescent="0.2">
      <c r="A2141" s="5"/>
      <c r="B2141" s="2"/>
      <c r="C2141" s="2"/>
      <c r="D2141" s="2"/>
    </row>
    <row r="2142" spans="1:4" ht="12.75" customHeight="1" x14ac:dyDescent="0.2">
      <c r="A2142" s="22" t="str">
        <f>HYPERLINK("javascript:void(0)","pozdorja mágusölő")</f>
        <v>pozdorja mágusölő</v>
      </c>
      <c r="B2142" s="21"/>
      <c r="C2142" s="21"/>
      <c r="D2142" s="21"/>
    </row>
    <row r="2143" spans="1:4" ht="12.75" customHeight="1" x14ac:dyDescent="0.2">
      <c r="A2143" s="20"/>
      <c r="B2143" s="2"/>
      <c r="C2143" s="2"/>
      <c r="D2143" s="2"/>
    </row>
    <row r="2144" spans="1:4" ht="12.75" customHeight="1" x14ac:dyDescent="0.2">
      <c r="A2144" s="21"/>
      <c r="B2144" s="3" t="s">
        <v>0</v>
      </c>
      <c r="C2144" s="20" t="s">
        <v>392</v>
      </c>
      <c r="D2144" s="21"/>
    </row>
    <row r="2145" spans="1:4" ht="12.75" customHeight="1" x14ac:dyDescent="0.2">
      <c r="A2145" s="21"/>
      <c r="B2145" s="3" t="s">
        <v>2</v>
      </c>
      <c r="C2145" s="20" t="s">
        <v>122</v>
      </c>
      <c r="D2145" s="21"/>
    </row>
    <row r="2146" spans="1:4" ht="12.75" customHeight="1" x14ac:dyDescent="0.2">
      <c r="A2146" s="21"/>
      <c r="B2146" s="3" t="s">
        <v>4</v>
      </c>
      <c r="C2146" s="20" t="s">
        <v>717</v>
      </c>
      <c r="D2146" s="21"/>
    </row>
    <row r="2147" spans="1:4" ht="12.75" customHeight="1" x14ac:dyDescent="0.2">
      <c r="A2147" s="21"/>
      <c r="B2147" s="3" t="s">
        <v>6</v>
      </c>
      <c r="C2147" s="20" t="s">
        <v>48</v>
      </c>
      <c r="D2147" s="21"/>
    </row>
    <row r="2148" spans="1:4" ht="12.75" customHeight="1" x14ac:dyDescent="0.2">
      <c r="A2148" s="21"/>
      <c r="B2148" s="3" t="s">
        <v>8</v>
      </c>
      <c r="C2148" s="20" t="s">
        <v>717</v>
      </c>
      <c r="D2148" s="21"/>
    </row>
    <row r="2149" spans="1:4" ht="12.75" customHeight="1" x14ac:dyDescent="0.2">
      <c r="A2149" s="21"/>
      <c r="B2149" s="3" t="s">
        <v>9</v>
      </c>
      <c r="C2149" s="20" t="s">
        <v>658</v>
      </c>
      <c r="D2149" s="21"/>
    </row>
    <row r="2150" spans="1:4" ht="12.75" customHeight="1" x14ac:dyDescent="0.2">
      <c r="A2150" s="21"/>
      <c r="B2150" s="3" t="s">
        <v>11</v>
      </c>
      <c r="C2150" s="20" t="s">
        <v>381</v>
      </c>
      <c r="D2150" s="21"/>
    </row>
    <row r="2151" spans="1:4" ht="12.75" customHeight="1" x14ac:dyDescent="0.2">
      <c r="A2151" s="21"/>
      <c r="B2151" s="3" t="s">
        <v>13</v>
      </c>
      <c r="C2151" s="20" t="s">
        <v>14</v>
      </c>
      <c r="D2151" s="21"/>
    </row>
    <row r="2152" spans="1:4" ht="12.75" customHeight="1" x14ac:dyDescent="0.2">
      <c r="A2152" s="21"/>
      <c r="B2152" s="3" t="s">
        <v>15</v>
      </c>
      <c r="C2152" s="20" t="s">
        <v>24</v>
      </c>
      <c r="D2152" s="21"/>
    </row>
    <row r="2153" spans="1:4" ht="12.75" customHeight="1" x14ac:dyDescent="0.2">
      <c r="A2153" s="21"/>
      <c r="B2153" s="3" t="s">
        <v>16</v>
      </c>
      <c r="C2153" s="20"/>
      <c r="D2153" s="21"/>
    </row>
    <row r="2154" spans="1:4" ht="12.75" customHeight="1" x14ac:dyDescent="0.2">
      <c r="A2154" s="21"/>
      <c r="B2154" s="3" t="s">
        <v>17</v>
      </c>
      <c r="C2154" s="20"/>
      <c r="D2154" s="21"/>
    </row>
    <row r="2155" spans="1:4" ht="12.75" customHeight="1" x14ac:dyDescent="0.2">
      <c r="A2155" s="21"/>
      <c r="B2155" s="20" t="s">
        <v>18</v>
      </c>
      <c r="C2155" s="4" t="s">
        <v>44</v>
      </c>
      <c r="D2155" s="6" t="str">
        <f>HYPERLINK("javascript:void(0)","animált mágusölő")</f>
        <v>animált mágusölő</v>
      </c>
    </row>
    <row r="2156" spans="1:4" ht="12.75" customHeight="1" x14ac:dyDescent="0.2">
      <c r="A2156" s="21"/>
      <c r="B2156" s="21"/>
      <c r="C2156" s="4" t="s">
        <v>139</v>
      </c>
      <c r="D2156" s="6" t="str">
        <f>HYPERLINK("javascript:void(0)","haspók")</f>
        <v>haspók</v>
      </c>
    </row>
    <row r="2157" spans="1:4" ht="12.75" customHeight="1" x14ac:dyDescent="0.2">
      <c r="A2157" s="21"/>
      <c r="B2157" s="21"/>
      <c r="C2157" s="4" t="s">
        <v>139</v>
      </c>
      <c r="D2157" s="6" t="str">
        <f>HYPERLINK("javascript:void(0)","nekroige")</f>
        <v>nekroige</v>
      </c>
    </row>
    <row r="2158" spans="1:4" ht="12.75" customHeight="1" x14ac:dyDescent="0.2">
      <c r="A2158" s="5"/>
      <c r="B2158" s="2"/>
      <c r="C2158" s="2"/>
      <c r="D2158" s="2"/>
    </row>
    <row r="2159" spans="1:4" ht="12.75" customHeight="1" x14ac:dyDescent="0.2">
      <c r="A2159" s="22" t="str">
        <f>HYPERLINK("javascript:void(0)","tüskés kalapács")</f>
        <v>tüskés kalapács</v>
      </c>
      <c r="B2159" s="21"/>
      <c r="C2159" s="21"/>
      <c r="D2159" s="21"/>
    </row>
    <row r="2160" spans="1:4" ht="12.75" customHeight="1" x14ac:dyDescent="0.2">
      <c r="A2160" s="20"/>
      <c r="B2160" s="2"/>
      <c r="C2160" s="2"/>
      <c r="D2160" s="2"/>
    </row>
    <row r="2161" spans="1:4" ht="12.75" customHeight="1" x14ac:dyDescent="0.2">
      <c r="A2161" s="21"/>
      <c r="B2161" s="3" t="s">
        <v>0</v>
      </c>
      <c r="C2161" s="20" t="s">
        <v>192</v>
      </c>
      <c r="D2161" s="21"/>
    </row>
    <row r="2162" spans="1:4" ht="12.75" customHeight="1" x14ac:dyDescent="0.2">
      <c r="A2162" s="21"/>
      <c r="B2162" s="3" t="s">
        <v>2</v>
      </c>
      <c r="C2162" s="20" t="s">
        <v>122</v>
      </c>
      <c r="D2162" s="21"/>
    </row>
    <row r="2163" spans="1:4" ht="12.75" customHeight="1" x14ac:dyDescent="0.2">
      <c r="A2163" s="21"/>
      <c r="B2163" s="3" t="s">
        <v>4</v>
      </c>
      <c r="C2163" s="20" t="s">
        <v>723</v>
      </c>
      <c r="D2163" s="21"/>
    </row>
    <row r="2164" spans="1:4" ht="12.75" customHeight="1" x14ac:dyDescent="0.2">
      <c r="A2164" s="21"/>
      <c r="B2164" s="3" t="s">
        <v>6</v>
      </c>
      <c r="C2164" s="20" t="s">
        <v>206</v>
      </c>
      <c r="D2164" s="21"/>
    </row>
    <row r="2165" spans="1:4" ht="12.75" customHeight="1" x14ac:dyDescent="0.2">
      <c r="A2165" s="21"/>
      <c r="B2165" s="3" t="s">
        <v>8</v>
      </c>
      <c r="C2165" s="20" t="s">
        <v>723</v>
      </c>
      <c r="D2165" s="21"/>
    </row>
    <row r="2166" spans="1:4" ht="12.75" customHeight="1" x14ac:dyDescent="0.2">
      <c r="A2166" s="21"/>
      <c r="B2166" s="3" t="s">
        <v>9</v>
      </c>
      <c r="C2166" s="20" t="s">
        <v>724</v>
      </c>
      <c r="D2166" s="21"/>
    </row>
    <row r="2167" spans="1:4" ht="12.75" customHeight="1" x14ac:dyDescent="0.2">
      <c r="A2167" s="21"/>
      <c r="B2167" s="3" t="s">
        <v>11</v>
      </c>
      <c r="C2167" s="20" t="s">
        <v>397</v>
      </c>
      <c r="D2167" s="21"/>
    </row>
    <row r="2168" spans="1:4" ht="12.75" customHeight="1" x14ac:dyDescent="0.2">
      <c r="A2168" s="21"/>
      <c r="B2168" s="3" t="s">
        <v>13</v>
      </c>
      <c r="C2168" s="20" t="s">
        <v>24</v>
      </c>
      <c r="D2168" s="21"/>
    </row>
    <row r="2169" spans="1:4" ht="12.75" customHeight="1" x14ac:dyDescent="0.2">
      <c r="A2169" s="21"/>
      <c r="B2169" s="3" t="s">
        <v>15</v>
      </c>
      <c r="C2169" s="20" t="s">
        <v>24</v>
      </c>
      <c r="D2169" s="21"/>
    </row>
    <row r="2170" spans="1:4" ht="12.75" customHeight="1" x14ac:dyDescent="0.2">
      <c r="A2170" s="21"/>
      <c r="B2170" s="3" t="s">
        <v>16</v>
      </c>
      <c r="C2170" s="20"/>
      <c r="D2170" s="21"/>
    </row>
    <row r="2171" spans="1:4" ht="12.75" customHeight="1" x14ac:dyDescent="0.2">
      <c r="A2171" s="21"/>
      <c r="B2171" s="3" t="s">
        <v>17</v>
      </c>
      <c r="C2171" s="20"/>
      <c r="D2171" s="21"/>
    </row>
    <row r="2172" spans="1:4" ht="12.75" customHeight="1" x14ac:dyDescent="0.2">
      <c r="A2172" s="21"/>
      <c r="B2172" s="20" t="s">
        <v>18</v>
      </c>
      <c r="C2172" s="4" t="s">
        <v>44</v>
      </c>
      <c r="D2172" s="6" t="str">
        <f>HYPERLINK("javascript:void(0)","animált bunkó")</f>
        <v>animált bunkó</v>
      </c>
    </row>
    <row r="2173" spans="1:4" ht="12.75" customHeight="1" x14ac:dyDescent="0.2">
      <c r="A2173" s="21"/>
      <c r="B2173" s="21"/>
      <c r="C2173" s="4" t="s">
        <v>44</v>
      </c>
      <c r="D2173" s="6" t="str">
        <f>HYPERLINK("javascript:void(0)","csáphadaró")</f>
        <v>csáphadaró</v>
      </c>
    </row>
    <row r="2174" spans="1:4" ht="12.75" customHeight="1" x14ac:dyDescent="0.2">
      <c r="A2174" s="21"/>
      <c r="B2174" s="21"/>
      <c r="C2174" s="4" t="s">
        <v>184</v>
      </c>
      <c r="D2174" s="6" t="str">
        <f>HYPERLINK("javascript:void(0)","mantüske")</f>
        <v>mantüske</v>
      </c>
    </row>
    <row r="2175" spans="1:4" ht="12.75" customHeight="1" x14ac:dyDescent="0.2">
      <c r="A2175" s="5"/>
      <c r="B2175" s="2"/>
      <c r="C2175" s="2"/>
      <c r="D2175" s="2"/>
    </row>
    <row r="2176" spans="1:4" ht="12.75" customHeight="1" x14ac:dyDescent="0.2">
      <c r="A2176" s="22" t="str">
        <f>HYPERLINK("javascript:void(0)","pozdorja ballaszt")</f>
        <v>pozdorja ballaszt</v>
      </c>
      <c r="B2176" s="21"/>
      <c r="C2176" s="21"/>
      <c r="D2176" s="21"/>
    </row>
    <row r="2177" spans="1:4" ht="12.75" customHeight="1" x14ac:dyDescent="0.2">
      <c r="A2177" s="20"/>
      <c r="B2177" s="2"/>
      <c r="C2177" s="2"/>
      <c r="D2177" s="2"/>
    </row>
    <row r="2178" spans="1:4" ht="12.75" customHeight="1" x14ac:dyDescent="0.2">
      <c r="A2178" s="21"/>
      <c r="B2178" s="3" t="s">
        <v>0</v>
      </c>
      <c r="C2178" s="20" t="s">
        <v>192</v>
      </c>
      <c r="D2178" s="21"/>
    </row>
    <row r="2179" spans="1:4" ht="12.75" customHeight="1" x14ac:dyDescent="0.2">
      <c r="A2179" s="21"/>
      <c r="B2179" s="3" t="s">
        <v>2</v>
      </c>
      <c r="C2179" s="20" t="s">
        <v>122</v>
      </c>
      <c r="D2179" s="21"/>
    </row>
    <row r="2180" spans="1:4" ht="12.75" customHeight="1" x14ac:dyDescent="0.2">
      <c r="A2180" s="21"/>
      <c r="B2180" s="3" t="s">
        <v>4</v>
      </c>
      <c r="C2180" s="20" t="s">
        <v>726</v>
      </c>
      <c r="D2180" s="21"/>
    </row>
    <row r="2181" spans="1:4" ht="12.75" customHeight="1" x14ac:dyDescent="0.2">
      <c r="A2181" s="21"/>
      <c r="B2181" s="3" t="s">
        <v>6</v>
      </c>
      <c r="C2181" s="20" t="s">
        <v>159</v>
      </c>
      <c r="D2181" s="21"/>
    </row>
    <row r="2182" spans="1:4" ht="12.75" customHeight="1" x14ac:dyDescent="0.2">
      <c r="A2182" s="21"/>
      <c r="B2182" s="3" t="s">
        <v>8</v>
      </c>
      <c r="C2182" s="20" t="s">
        <v>726</v>
      </c>
      <c r="D2182" s="21"/>
    </row>
    <row r="2183" spans="1:4" ht="12.75" customHeight="1" x14ac:dyDescent="0.2">
      <c r="A2183" s="21"/>
      <c r="B2183" s="3" t="s">
        <v>9</v>
      </c>
      <c r="C2183" s="20" t="s">
        <v>727</v>
      </c>
      <c r="D2183" s="21"/>
    </row>
    <row r="2184" spans="1:4" ht="12.75" customHeight="1" x14ac:dyDescent="0.2">
      <c r="A2184" s="21"/>
      <c r="B2184" s="3" t="s">
        <v>11</v>
      </c>
      <c r="C2184" s="20" t="s">
        <v>465</v>
      </c>
      <c r="D2184" s="21"/>
    </row>
    <row r="2185" spans="1:4" ht="12.75" customHeight="1" x14ac:dyDescent="0.2">
      <c r="A2185" s="21"/>
      <c r="B2185" s="3" t="s">
        <v>13</v>
      </c>
      <c r="C2185" s="20" t="s">
        <v>24</v>
      </c>
      <c r="D2185" s="21"/>
    </row>
    <row r="2186" spans="1:4" ht="12.75" customHeight="1" x14ac:dyDescent="0.2">
      <c r="A2186" s="21"/>
      <c r="B2186" s="3" t="s">
        <v>15</v>
      </c>
      <c r="C2186" s="20" t="s">
        <v>24</v>
      </c>
      <c r="D2186" s="21"/>
    </row>
    <row r="2187" spans="1:4" ht="12.75" customHeight="1" x14ac:dyDescent="0.2">
      <c r="A2187" s="21"/>
      <c r="B2187" s="3" t="s">
        <v>16</v>
      </c>
      <c r="C2187" s="20"/>
      <c r="D2187" s="21"/>
    </row>
    <row r="2188" spans="1:4" ht="12.75" customHeight="1" x14ac:dyDescent="0.2">
      <c r="A2188" s="21"/>
      <c r="B2188" s="3" t="s">
        <v>17</v>
      </c>
      <c r="C2188" s="20"/>
      <c r="D2188" s="21"/>
    </row>
    <row r="2189" spans="1:4" ht="12.75" customHeight="1" x14ac:dyDescent="0.2">
      <c r="A2189" s="21"/>
      <c r="B2189" s="20" t="s">
        <v>18</v>
      </c>
      <c r="C2189" s="4" t="s">
        <v>494</v>
      </c>
      <c r="D2189" s="6" t="str">
        <f>HYPERLINK("javascript:void(0)","mantüske")</f>
        <v>mantüske</v>
      </c>
    </row>
    <row r="2190" spans="1:4" ht="12.75" customHeight="1" x14ac:dyDescent="0.2">
      <c r="A2190" s="21"/>
      <c r="B2190" s="21"/>
      <c r="C2190" s="4" t="s">
        <v>193</v>
      </c>
      <c r="D2190" s="6" t="str">
        <f>HYPERLINK("javascript:void(0)","lámpás")</f>
        <v>lámpás</v>
      </c>
    </row>
    <row r="2191" spans="1:4" ht="12.75" customHeight="1" x14ac:dyDescent="0.2">
      <c r="A2191" s="21"/>
      <c r="B2191" s="21"/>
      <c r="C2191" s="4" t="s">
        <v>139</v>
      </c>
      <c r="D2191" s="6" t="str">
        <f>HYPERLINK("javascript:void(0)","robbanófej")</f>
        <v>robbanófej</v>
      </c>
    </row>
    <row r="2192" spans="1:4" ht="12.75" customHeight="1" x14ac:dyDescent="0.2">
      <c r="A2192" s="5"/>
      <c r="B2192" s="2"/>
      <c r="C2192" s="2"/>
      <c r="D2192" s="2"/>
    </row>
    <row r="2193" spans="1:4" ht="12.75" customHeight="1" x14ac:dyDescent="0.2">
      <c r="A2193" s="22" t="str">
        <f>HYPERLINK("javascript:void(0)","gyíkacél csatacsillag")</f>
        <v>gyíkacél csatacsillag</v>
      </c>
      <c r="B2193" s="21"/>
      <c r="C2193" s="21"/>
      <c r="D2193" s="21"/>
    </row>
    <row r="2194" spans="1:4" ht="12.75" customHeight="1" x14ac:dyDescent="0.2">
      <c r="A2194" s="20"/>
      <c r="B2194" s="2"/>
      <c r="C2194" s="2"/>
      <c r="D2194" s="2"/>
    </row>
    <row r="2195" spans="1:4" ht="12.75" customHeight="1" x14ac:dyDescent="0.2">
      <c r="A2195" s="21"/>
      <c r="B2195" s="3" t="s">
        <v>0</v>
      </c>
      <c r="C2195" s="20" t="s">
        <v>192</v>
      </c>
      <c r="D2195" s="21"/>
    </row>
    <row r="2196" spans="1:4" ht="12.75" customHeight="1" x14ac:dyDescent="0.2">
      <c r="A2196" s="21"/>
      <c r="B2196" s="3" t="s">
        <v>2</v>
      </c>
      <c r="C2196" s="20" t="s">
        <v>122</v>
      </c>
      <c r="D2196" s="21"/>
    </row>
    <row r="2197" spans="1:4" ht="12.75" customHeight="1" x14ac:dyDescent="0.2">
      <c r="A2197" s="21"/>
      <c r="B2197" s="3" t="s">
        <v>4</v>
      </c>
      <c r="C2197" s="20" t="s">
        <v>733</v>
      </c>
      <c r="D2197" s="21"/>
    </row>
    <row r="2198" spans="1:4" ht="12.75" customHeight="1" x14ac:dyDescent="0.2">
      <c r="A2198" s="21"/>
      <c r="B2198" s="3" t="s">
        <v>6</v>
      </c>
      <c r="C2198" s="20" t="s">
        <v>107</v>
      </c>
      <c r="D2198" s="21"/>
    </row>
    <row r="2199" spans="1:4" ht="12.75" customHeight="1" x14ac:dyDescent="0.2">
      <c r="A2199" s="21"/>
      <c r="B2199" s="3" t="s">
        <v>8</v>
      </c>
      <c r="C2199" s="20" t="s">
        <v>733</v>
      </c>
      <c r="D2199" s="21"/>
    </row>
    <row r="2200" spans="1:4" ht="12.75" customHeight="1" x14ac:dyDescent="0.2">
      <c r="A2200" s="21"/>
      <c r="B2200" s="3" t="s">
        <v>9</v>
      </c>
      <c r="C2200" s="20" t="s">
        <v>734</v>
      </c>
      <c r="D2200" s="21"/>
    </row>
    <row r="2201" spans="1:4" ht="12.75" customHeight="1" x14ac:dyDescent="0.2">
      <c r="A2201" s="21"/>
      <c r="B2201" s="3" t="s">
        <v>11</v>
      </c>
      <c r="C2201" s="20" t="s">
        <v>259</v>
      </c>
      <c r="D2201" s="21"/>
    </row>
    <row r="2202" spans="1:4" ht="12.75" customHeight="1" x14ac:dyDescent="0.2">
      <c r="A2202" s="21"/>
      <c r="B2202" s="3" t="s">
        <v>13</v>
      </c>
      <c r="C2202" s="20" t="s">
        <v>24</v>
      </c>
      <c r="D2202" s="21"/>
    </row>
    <row r="2203" spans="1:4" ht="12.75" customHeight="1" x14ac:dyDescent="0.2">
      <c r="A2203" s="21"/>
      <c r="B2203" s="3" t="s">
        <v>15</v>
      </c>
      <c r="C2203" s="20" t="s">
        <v>24</v>
      </c>
      <c r="D2203" s="21"/>
    </row>
    <row r="2204" spans="1:4" ht="12.75" customHeight="1" x14ac:dyDescent="0.2">
      <c r="A2204" s="21"/>
      <c r="B2204" s="3" t="s">
        <v>16</v>
      </c>
      <c r="C2204" s="20"/>
      <c r="D2204" s="21"/>
    </row>
    <row r="2205" spans="1:4" ht="12.75" customHeight="1" x14ac:dyDescent="0.2">
      <c r="A2205" s="21"/>
      <c r="B2205" s="3" t="s">
        <v>17</v>
      </c>
      <c r="C2205" s="20"/>
      <c r="D2205" s="21"/>
    </row>
    <row r="2206" spans="1:4" ht="12.75" customHeight="1" x14ac:dyDescent="0.2">
      <c r="A2206" s="21"/>
      <c r="B2206" s="20" t="s">
        <v>18</v>
      </c>
      <c r="C2206" s="4" t="s">
        <v>67</v>
      </c>
      <c r="D2206" s="6" t="str">
        <f>HYPERLINK("javascript:void(0)","dobhártya")</f>
        <v>dobhártya</v>
      </c>
    </row>
    <row r="2207" spans="1:4" ht="12.75" customHeight="1" x14ac:dyDescent="0.2">
      <c r="A2207" s="21"/>
      <c r="B2207" s="21"/>
      <c r="C2207" s="4" t="s">
        <v>309</v>
      </c>
      <c r="D2207" s="6" t="str">
        <f>HYPERLINK("javascript:void(0)","démonvádli")</f>
        <v>démonvádli</v>
      </c>
    </row>
    <row r="2208" spans="1:4" ht="12.75" customHeight="1" x14ac:dyDescent="0.2">
      <c r="A2208" s="21"/>
      <c r="B2208" s="21"/>
      <c r="C2208" s="4" t="s">
        <v>139</v>
      </c>
      <c r="D2208" s="6" t="str">
        <f>HYPERLINK("javascript:void(0)","nyukug bajusz")</f>
        <v>nyukug bajusz</v>
      </c>
    </row>
    <row r="2209" spans="1:4" ht="12.75" customHeight="1" x14ac:dyDescent="0.2">
      <c r="A2209" s="5"/>
      <c r="B2209" s="2"/>
      <c r="C2209" s="2"/>
      <c r="D2209" s="2"/>
    </row>
    <row r="2210" spans="1:4" ht="12.75" customHeight="1" x14ac:dyDescent="0.2">
      <c r="A2210" s="22" t="str">
        <f>HYPERLINK("javascript:void(0)","pépgép")</f>
        <v>pépgép</v>
      </c>
      <c r="B2210" s="21"/>
      <c r="C2210" s="21"/>
      <c r="D2210" s="21"/>
    </row>
    <row r="2211" spans="1:4" ht="12.75" customHeight="1" x14ac:dyDescent="0.2">
      <c r="A2211" s="20"/>
      <c r="B2211" s="2"/>
      <c r="C2211" s="2"/>
      <c r="D2211" s="2"/>
    </row>
    <row r="2212" spans="1:4" ht="12.75" customHeight="1" x14ac:dyDescent="0.2">
      <c r="A2212" s="21"/>
      <c r="B2212" s="3" t="s">
        <v>0</v>
      </c>
      <c r="C2212" s="20" t="s">
        <v>115</v>
      </c>
      <c r="D2212" s="21"/>
    </row>
    <row r="2213" spans="1:4" ht="12.75" customHeight="1" x14ac:dyDescent="0.2">
      <c r="A2213" s="21"/>
      <c r="B2213" s="3" t="s">
        <v>2</v>
      </c>
      <c r="C2213" s="20" t="s">
        <v>122</v>
      </c>
      <c r="D2213" s="21"/>
    </row>
    <row r="2214" spans="1:4" ht="12.75" customHeight="1" x14ac:dyDescent="0.2">
      <c r="A2214" s="21"/>
      <c r="B2214" s="3" t="s">
        <v>4</v>
      </c>
      <c r="C2214" s="20" t="s">
        <v>736</v>
      </c>
      <c r="D2214" s="21"/>
    </row>
    <row r="2215" spans="1:4" ht="12.75" customHeight="1" x14ac:dyDescent="0.2">
      <c r="A2215" s="21"/>
      <c r="B2215" s="3" t="s">
        <v>6</v>
      </c>
      <c r="C2215" s="20" t="s">
        <v>107</v>
      </c>
      <c r="D2215" s="21"/>
    </row>
    <row r="2216" spans="1:4" ht="12.75" customHeight="1" x14ac:dyDescent="0.2">
      <c r="A2216" s="21"/>
      <c r="B2216" s="3" t="s">
        <v>8</v>
      </c>
      <c r="C2216" s="20" t="s">
        <v>736</v>
      </c>
      <c r="D2216" s="21"/>
    </row>
    <row r="2217" spans="1:4" ht="12.75" customHeight="1" x14ac:dyDescent="0.2">
      <c r="A2217" s="21"/>
      <c r="B2217" s="3" t="s">
        <v>9</v>
      </c>
      <c r="C2217" s="20" t="s">
        <v>306</v>
      </c>
      <c r="D2217" s="21"/>
    </row>
    <row r="2218" spans="1:4" ht="12.75" customHeight="1" x14ac:dyDescent="0.2">
      <c r="A2218" s="21"/>
      <c r="B2218" s="3" t="s">
        <v>11</v>
      </c>
      <c r="C2218" s="20" t="s">
        <v>414</v>
      </c>
      <c r="D2218" s="21"/>
    </row>
    <row r="2219" spans="1:4" ht="12.75" customHeight="1" x14ac:dyDescent="0.2">
      <c r="A2219" s="21"/>
      <c r="B2219" s="3" t="s">
        <v>13</v>
      </c>
      <c r="C2219" s="20" t="s">
        <v>24</v>
      </c>
      <c r="D2219" s="21"/>
    </row>
    <row r="2220" spans="1:4" ht="12.75" customHeight="1" x14ac:dyDescent="0.2">
      <c r="A2220" s="21"/>
      <c r="B2220" s="3" t="s">
        <v>15</v>
      </c>
      <c r="C2220" s="20" t="s">
        <v>24</v>
      </c>
      <c r="D2220" s="21"/>
    </row>
    <row r="2221" spans="1:4" ht="12.75" customHeight="1" x14ac:dyDescent="0.2">
      <c r="A2221" s="21"/>
      <c r="B2221" s="3" t="s">
        <v>16</v>
      </c>
      <c r="C2221" s="20"/>
      <c r="D2221" s="21"/>
    </row>
    <row r="2222" spans="1:4" ht="12.75" customHeight="1" x14ac:dyDescent="0.2">
      <c r="A2222" s="21"/>
      <c r="B2222" s="3" t="s">
        <v>17</v>
      </c>
      <c r="C2222" s="20"/>
      <c r="D2222" s="21"/>
    </row>
    <row r="2223" spans="1:4" ht="12.75" customHeight="1" x14ac:dyDescent="0.2">
      <c r="A2223" s="21"/>
      <c r="B2223" s="20" t="s">
        <v>18</v>
      </c>
      <c r="C2223" s="4" t="s">
        <v>102</v>
      </c>
      <c r="D2223" s="6" t="str">
        <f>HYPERLINK("javascript:void(0)","ágyúmozsár")</f>
        <v>ágyúmozsár</v>
      </c>
    </row>
    <row r="2224" spans="1:4" ht="12.75" customHeight="1" x14ac:dyDescent="0.2">
      <c r="A2224" s="21"/>
      <c r="B2224" s="21"/>
      <c r="C2224" s="4" t="s">
        <v>296</v>
      </c>
      <c r="D2224" s="6" t="str">
        <f>HYPERLINK("javascript:void(0)","lámpás")</f>
        <v>lámpás</v>
      </c>
    </row>
    <row r="2225" spans="1:4" ht="12.75" customHeight="1" x14ac:dyDescent="0.2">
      <c r="A2225" s="21"/>
      <c r="B2225" s="21"/>
      <c r="C2225" s="4" t="s">
        <v>142</v>
      </c>
      <c r="D2225" s="6" t="str">
        <f>HYPERLINK("javascript:void(0)","yetiláb")</f>
        <v>yetiláb</v>
      </c>
    </row>
    <row r="2226" spans="1:4" ht="12.75" customHeight="1" x14ac:dyDescent="0.2">
      <c r="A2226" s="5"/>
      <c r="B2226" s="2"/>
      <c r="C2226" s="2"/>
      <c r="D2226" s="2"/>
    </row>
    <row r="2227" spans="1:4" ht="12.75" customHeight="1" x14ac:dyDescent="0.2">
      <c r="A2227" s="22" t="str">
        <f>HYPERLINK("javascript:void(0)","zanza mágusölő")</f>
        <v>zanza mágusölő</v>
      </c>
      <c r="B2227" s="21"/>
      <c r="C2227" s="21"/>
      <c r="D2227" s="21"/>
    </row>
    <row r="2228" spans="1:4" ht="12.75" customHeight="1" x14ac:dyDescent="0.2">
      <c r="A2228" s="20"/>
      <c r="B2228" s="2"/>
      <c r="C2228" s="2"/>
      <c r="D2228" s="2"/>
    </row>
    <row r="2229" spans="1:4" ht="12.75" customHeight="1" x14ac:dyDescent="0.2">
      <c r="A2229" s="21"/>
      <c r="B2229" s="3" t="s">
        <v>0</v>
      </c>
      <c r="C2229" s="20" t="s">
        <v>115</v>
      </c>
      <c r="D2229" s="21"/>
    </row>
    <row r="2230" spans="1:4" ht="12.75" customHeight="1" x14ac:dyDescent="0.2">
      <c r="A2230" s="21"/>
      <c r="B2230" s="3" t="s">
        <v>2</v>
      </c>
      <c r="C2230" s="20" t="s">
        <v>122</v>
      </c>
      <c r="D2230" s="21"/>
    </row>
    <row r="2231" spans="1:4" ht="12.75" customHeight="1" x14ac:dyDescent="0.2">
      <c r="A2231" s="21"/>
      <c r="B2231" s="3" t="s">
        <v>4</v>
      </c>
      <c r="C2231" s="20" t="s">
        <v>742</v>
      </c>
      <c r="D2231" s="21"/>
    </row>
    <row r="2232" spans="1:4" ht="12.75" customHeight="1" x14ac:dyDescent="0.2">
      <c r="A2232" s="21"/>
      <c r="B2232" s="3" t="s">
        <v>6</v>
      </c>
      <c r="C2232" s="20" t="s">
        <v>48</v>
      </c>
      <c r="D2232" s="21"/>
    </row>
    <row r="2233" spans="1:4" ht="12.75" customHeight="1" x14ac:dyDescent="0.2">
      <c r="A2233" s="21"/>
      <c r="B2233" s="3" t="s">
        <v>8</v>
      </c>
      <c r="C2233" s="20" t="s">
        <v>742</v>
      </c>
      <c r="D2233" s="21"/>
    </row>
    <row r="2234" spans="1:4" ht="12.75" customHeight="1" x14ac:dyDescent="0.2">
      <c r="A2234" s="21"/>
      <c r="B2234" s="3" t="s">
        <v>9</v>
      </c>
      <c r="C2234" s="20" t="s">
        <v>683</v>
      </c>
      <c r="D2234" s="21"/>
    </row>
    <row r="2235" spans="1:4" ht="12.75" customHeight="1" x14ac:dyDescent="0.2">
      <c r="A2235" s="21"/>
      <c r="B2235" s="3" t="s">
        <v>11</v>
      </c>
      <c r="C2235" s="20" t="s">
        <v>414</v>
      </c>
      <c r="D2235" s="21"/>
    </row>
    <row r="2236" spans="1:4" ht="12.75" customHeight="1" x14ac:dyDescent="0.2">
      <c r="A2236" s="21"/>
      <c r="B2236" s="3" t="s">
        <v>13</v>
      </c>
      <c r="C2236" s="20" t="s">
        <v>14</v>
      </c>
      <c r="D2236" s="21"/>
    </row>
    <row r="2237" spans="1:4" ht="12.75" customHeight="1" x14ac:dyDescent="0.2">
      <c r="A2237" s="21"/>
      <c r="B2237" s="3" t="s">
        <v>15</v>
      </c>
      <c r="C2237" s="20" t="s">
        <v>24</v>
      </c>
      <c r="D2237" s="21"/>
    </row>
    <row r="2238" spans="1:4" ht="12.75" customHeight="1" x14ac:dyDescent="0.2">
      <c r="A2238" s="21"/>
      <c r="B2238" s="3" t="s">
        <v>16</v>
      </c>
      <c r="C2238" s="20"/>
      <c r="D2238" s="21"/>
    </row>
    <row r="2239" spans="1:4" ht="12.75" customHeight="1" x14ac:dyDescent="0.2">
      <c r="A2239" s="21"/>
      <c r="B2239" s="3" t="s">
        <v>17</v>
      </c>
      <c r="C2239" s="20"/>
      <c r="D2239" s="21"/>
    </row>
    <row r="2240" spans="1:4" ht="12.75" customHeight="1" x14ac:dyDescent="0.2">
      <c r="A2240" s="21"/>
      <c r="B2240" s="20" t="s">
        <v>18</v>
      </c>
      <c r="C2240" s="4" t="s">
        <v>44</v>
      </c>
      <c r="D2240" s="6" t="str">
        <f>HYPERLINK("javascript:void(0)","pozdorja mágusölő")</f>
        <v>pozdorja mágusölő</v>
      </c>
    </row>
    <row r="2241" spans="1:4" ht="12.75" customHeight="1" x14ac:dyDescent="0.2">
      <c r="A2241" s="21"/>
      <c r="B2241" s="21"/>
      <c r="C2241" s="4" t="s">
        <v>117</v>
      </c>
      <c r="D2241" s="6" t="str">
        <f>HYPERLINK("javascript:void(0)","yetiláb")</f>
        <v>yetiláb</v>
      </c>
    </row>
    <row r="2242" spans="1:4" ht="12.75" customHeight="1" x14ac:dyDescent="0.2">
      <c r="A2242" s="21"/>
      <c r="B2242" s="21"/>
      <c r="C2242" s="4" t="s">
        <v>193</v>
      </c>
      <c r="D2242" s="6" t="str">
        <f>HYPERLINK("javascript:void(0)","kígyócsörgő")</f>
        <v>kígyócsörgő</v>
      </c>
    </row>
    <row r="2243" spans="1:4" ht="12.75" customHeight="1" x14ac:dyDescent="0.2">
      <c r="A2243" s="5"/>
      <c r="B2243" s="2"/>
      <c r="C2243" s="2"/>
      <c r="D2243" s="2"/>
    </row>
    <row r="2244" spans="1:4" ht="12.75" customHeight="1" x14ac:dyDescent="0.2">
      <c r="A2244" s="22" t="str">
        <f>HYPERLINK("javascript:void(0)","tollas buzogány")</f>
        <v>tollas buzogány</v>
      </c>
      <c r="B2244" s="21"/>
      <c r="C2244" s="21"/>
      <c r="D2244" s="21"/>
    </row>
    <row r="2245" spans="1:4" ht="12.75" customHeight="1" x14ac:dyDescent="0.2">
      <c r="A2245" s="20"/>
      <c r="B2245" s="2"/>
      <c r="C2245" s="2"/>
      <c r="D2245" s="2"/>
    </row>
    <row r="2246" spans="1:4" ht="12.75" customHeight="1" x14ac:dyDescent="0.2">
      <c r="A2246" s="21"/>
      <c r="B2246" s="3" t="s">
        <v>0</v>
      </c>
      <c r="C2246" s="20" t="s">
        <v>417</v>
      </c>
      <c r="D2246" s="21"/>
    </row>
    <row r="2247" spans="1:4" ht="12.75" customHeight="1" x14ac:dyDescent="0.2">
      <c r="A2247" s="21"/>
      <c r="B2247" s="3" t="s">
        <v>2</v>
      </c>
      <c r="C2247" s="20" t="s">
        <v>122</v>
      </c>
      <c r="D2247" s="21"/>
    </row>
    <row r="2248" spans="1:4" ht="12.75" customHeight="1" x14ac:dyDescent="0.2">
      <c r="A2248" s="21"/>
      <c r="B2248" s="3" t="s">
        <v>4</v>
      </c>
      <c r="C2248" s="20" t="s">
        <v>747</v>
      </c>
      <c r="D2248" s="21"/>
    </row>
    <row r="2249" spans="1:4" ht="12.75" customHeight="1" x14ac:dyDescent="0.2">
      <c r="A2249" s="21"/>
      <c r="B2249" s="3" t="s">
        <v>6</v>
      </c>
      <c r="C2249" s="20" t="s">
        <v>392</v>
      </c>
      <c r="D2249" s="21"/>
    </row>
    <row r="2250" spans="1:4" ht="12.75" customHeight="1" x14ac:dyDescent="0.2">
      <c r="A2250" s="21"/>
      <c r="B2250" s="3" t="s">
        <v>8</v>
      </c>
      <c r="C2250" s="20" t="s">
        <v>747</v>
      </c>
      <c r="D2250" s="21"/>
    </row>
    <row r="2251" spans="1:4" ht="12.75" customHeight="1" x14ac:dyDescent="0.2">
      <c r="A2251" s="21"/>
      <c r="B2251" s="3" t="s">
        <v>9</v>
      </c>
      <c r="C2251" s="20" t="s">
        <v>464</v>
      </c>
      <c r="D2251" s="21"/>
    </row>
    <row r="2252" spans="1:4" ht="12.75" customHeight="1" x14ac:dyDescent="0.2">
      <c r="A2252" s="21"/>
      <c r="B2252" s="3" t="s">
        <v>11</v>
      </c>
      <c r="C2252" s="20" t="s">
        <v>427</v>
      </c>
      <c r="D2252" s="21"/>
    </row>
    <row r="2253" spans="1:4" ht="12.75" customHeight="1" x14ac:dyDescent="0.2">
      <c r="A2253" s="21"/>
      <c r="B2253" s="3" t="s">
        <v>13</v>
      </c>
      <c r="C2253" s="20" t="s">
        <v>24</v>
      </c>
      <c r="D2253" s="21"/>
    </row>
    <row r="2254" spans="1:4" ht="12.75" customHeight="1" x14ac:dyDescent="0.2">
      <c r="A2254" s="21"/>
      <c r="B2254" s="3" t="s">
        <v>15</v>
      </c>
      <c r="C2254" s="20" t="s">
        <v>24</v>
      </c>
      <c r="D2254" s="21"/>
    </row>
    <row r="2255" spans="1:4" ht="12.75" customHeight="1" x14ac:dyDescent="0.2">
      <c r="A2255" s="21"/>
      <c r="B2255" s="3" t="s">
        <v>16</v>
      </c>
      <c r="C2255" s="20"/>
      <c r="D2255" s="21"/>
    </row>
    <row r="2256" spans="1:4" ht="12.75" customHeight="1" x14ac:dyDescent="0.2">
      <c r="A2256" s="21"/>
      <c r="B2256" s="3" t="s">
        <v>17</v>
      </c>
      <c r="C2256" s="20"/>
      <c r="D2256" s="21"/>
    </row>
    <row r="2257" spans="1:4" ht="12.75" customHeight="1" x14ac:dyDescent="0.2">
      <c r="A2257" s="21"/>
      <c r="B2257" s="20" t="s">
        <v>18</v>
      </c>
      <c r="C2257" s="4" t="s">
        <v>44</v>
      </c>
      <c r="D2257" s="6" t="str">
        <f>HYPERLINK("javascript:void(0)","pépgép")</f>
        <v>pépgép</v>
      </c>
    </row>
    <row r="2258" spans="1:4" ht="12.75" customHeight="1" x14ac:dyDescent="0.2">
      <c r="A2258" s="21"/>
      <c r="B2258" s="21"/>
      <c r="C2258" s="4" t="s">
        <v>244</v>
      </c>
      <c r="D2258" s="6" t="str">
        <f>HYPERLINK("javascript:void(0)","csáphárító")</f>
        <v>csáphárító</v>
      </c>
    </row>
    <row r="2259" spans="1:4" ht="12.75" customHeight="1" x14ac:dyDescent="0.2">
      <c r="A2259" s="21"/>
      <c r="B2259" s="21"/>
      <c r="C2259" s="4" t="s">
        <v>269</v>
      </c>
      <c r="D2259" s="6" t="str">
        <f>HYPERLINK("javascript:void(0)","főnixtoll")</f>
        <v>főnixtoll</v>
      </c>
    </row>
    <row r="2260" spans="1:4" ht="12.75" customHeight="1" x14ac:dyDescent="0.2">
      <c r="A2260" s="5"/>
      <c r="B2260" s="2"/>
      <c r="C2260" s="2"/>
      <c r="D2260" s="2"/>
    </row>
    <row r="2261" spans="1:4" ht="12.75" customHeight="1" x14ac:dyDescent="0.2">
      <c r="A2261" s="22" t="str">
        <f>HYPERLINK("javascript:void(0)","tollas ballaszt")</f>
        <v>tollas ballaszt</v>
      </c>
      <c r="B2261" s="21"/>
      <c r="C2261" s="21"/>
      <c r="D2261" s="21"/>
    </row>
    <row r="2262" spans="1:4" ht="12.75" customHeight="1" x14ac:dyDescent="0.2">
      <c r="A2262" s="20"/>
      <c r="B2262" s="2"/>
      <c r="C2262" s="2"/>
      <c r="D2262" s="2"/>
    </row>
    <row r="2263" spans="1:4" ht="12.75" customHeight="1" x14ac:dyDescent="0.2">
      <c r="A2263" s="21"/>
      <c r="B2263" s="3" t="s">
        <v>0</v>
      </c>
      <c r="C2263" s="20" t="s">
        <v>417</v>
      </c>
      <c r="D2263" s="21"/>
    </row>
    <row r="2264" spans="1:4" ht="12.75" customHeight="1" x14ac:dyDescent="0.2">
      <c r="A2264" s="21"/>
      <c r="B2264" s="3" t="s">
        <v>2</v>
      </c>
      <c r="C2264" s="20" t="s">
        <v>122</v>
      </c>
      <c r="D2264" s="21"/>
    </row>
    <row r="2265" spans="1:4" ht="12.75" customHeight="1" x14ac:dyDescent="0.2">
      <c r="A2265" s="21"/>
      <c r="B2265" s="3" t="s">
        <v>4</v>
      </c>
      <c r="C2265" s="20" t="s">
        <v>750</v>
      </c>
      <c r="D2265" s="21"/>
    </row>
    <row r="2266" spans="1:4" ht="12.75" customHeight="1" x14ac:dyDescent="0.2">
      <c r="A2266" s="21"/>
      <c r="B2266" s="3" t="s">
        <v>6</v>
      </c>
      <c r="C2266" s="20" t="s">
        <v>21</v>
      </c>
      <c r="D2266" s="21"/>
    </row>
    <row r="2267" spans="1:4" ht="12.75" customHeight="1" x14ac:dyDescent="0.2">
      <c r="A2267" s="21"/>
      <c r="B2267" s="3" t="s">
        <v>8</v>
      </c>
      <c r="C2267" s="20" t="s">
        <v>750</v>
      </c>
      <c r="D2267" s="21"/>
    </row>
    <row r="2268" spans="1:4" ht="12.75" customHeight="1" x14ac:dyDescent="0.2">
      <c r="A2268" s="21"/>
      <c r="B2268" s="3" t="s">
        <v>9</v>
      </c>
      <c r="C2268" s="20" t="s">
        <v>752</v>
      </c>
      <c r="D2268" s="21"/>
    </row>
    <row r="2269" spans="1:4" ht="12.75" customHeight="1" x14ac:dyDescent="0.2">
      <c r="A2269" s="21"/>
      <c r="B2269" s="3" t="s">
        <v>11</v>
      </c>
      <c r="C2269" s="20" t="s">
        <v>483</v>
      </c>
      <c r="D2269" s="21"/>
    </row>
    <row r="2270" spans="1:4" ht="12.75" customHeight="1" x14ac:dyDescent="0.2">
      <c r="A2270" s="21"/>
      <c r="B2270" s="3" t="s">
        <v>13</v>
      </c>
      <c r="C2270" s="20" t="s">
        <v>24</v>
      </c>
      <c r="D2270" s="21"/>
    </row>
    <row r="2271" spans="1:4" ht="12.75" customHeight="1" x14ac:dyDescent="0.2">
      <c r="A2271" s="21"/>
      <c r="B2271" s="3" t="s">
        <v>15</v>
      </c>
      <c r="C2271" s="20" t="s">
        <v>24</v>
      </c>
      <c r="D2271" s="21"/>
    </row>
    <row r="2272" spans="1:4" ht="12.75" customHeight="1" x14ac:dyDescent="0.2">
      <c r="A2272" s="21"/>
      <c r="B2272" s="3" t="s">
        <v>16</v>
      </c>
      <c r="C2272" s="20"/>
      <c r="D2272" s="21"/>
    </row>
    <row r="2273" spans="1:4" ht="12.75" customHeight="1" x14ac:dyDescent="0.2">
      <c r="A2273" s="21"/>
      <c r="B2273" s="3" t="s">
        <v>17</v>
      </c>
      <c r="C2273" s="20"/>
      <c r="D2273" s="21"/>
    </row>
    <row r="2274" spans="1:4" ht="12.75" customHeight="1" x14ac:dyDescent="0.2">
      <c r="A2274" s="21"/>
      <c r="B2274" s="20" t="s">
        <v>18</v>
      </c>
      <c r="C2274" s="4" t="s">
        <v>290</v>
      </c>
      <c r="D2274" s="6" t="str">
        <f>HYPERLINK("javascript:void(0)","kocka")</f>
        <v>kocka</v>
      </c>
    </row>
    <row r="2275" spans="1:4" ht="12.75" customHeight="1" x14ac:dyDescent="0.2">
      <c r="A2275" s="21"/>
      <c r="B2275" s="21"/>
      <c r="C2275" s="4" t="s">
        <v>139</v>
      </c>
      <c r="D2275" s="6" t="str">
        <f>HYPERLINK("javascript:void(0)","yetiláb")</f>
        <v>yetiláb</v>
      </c>
    </row>
    <row r="2276" spans="1:4" ht="12.75" customHeight="1" x14ac:dyDescent="0.2">
      <c r="A2276" s="21"/>
      <c r="B2276" s="21"/>
      <c r="C2276" s="4" t="s">
        <v>756</v>
      </c>
      <c r="D2276" s="6" t="str">
        <f>HYPERLINK("javascript:void(0)","főnixtoll")</f>
        <v>főnixtoll</v>
      </c>
    </row>
    <row r="2277" spans="1:4" ht="12.75" customHeight="1" x14ac:dyDescent="0.2">
      <c r="A2277" s="5"/>
      <c r="B2277" s="2"/>
      <c r="C2277" s="2"/>
      <c r="D2277" s="2"/>
    </row>
    <row r="2278" spans="1:4" ht="12.75" customHeight="1" x14ac:dyDescent="0.2">
      <c r="A2278" s="22" t="str">
        <f>HYPERLINK("javascript:void(0)","gyíkacél dorong")</f>
        <v>gyíkacél dorong</v>
      </c>
      <c r="B2278" s="21"/>
      <c r="C2278" s="21"/>
      <c r="D2278" s="21"/>
    </row>
    <row r="2279" spans="1:4" ht="12.75" customHeight="1" x14ac:dyDescent="0.2">
      <c r="A2279" s="20"/>
      <c r="B2279" s="2"/>
      <c r="C2279" s="2"/>
      <c r="D2279" s="2"/>
    </row>
    <row r="2280" spans="1:4" ht="12.75" customHeight="1" x14ac:dyDescent="0.2">
      <c r="A2280" s="21"/>
      <c r="B2280" s="3" t="s">
        <v>0</v>
      </c>
      <c r="C2280" s="20" t="s">
        <v>417</v>
      </c>
      <c r="D2280" s="21"/>
    </row>
    <row r="2281" spans="1:4" ht="12.75" customHeight="1" x14ac:dyDescent="0.2">
      <c r="A2281" s="21"/>
      <c r="B2281" s="3" t="s">
        <v>2</v>
      </c>
      <c r="C2281" s="20" t="s">
        <v>122</v>
      </c>
      <c r="D2281" s="21"/>
    </row>
    <row r="2282" spans="1:4" ht="12.75" customHeight="1" x14ac:dyDescent="0.2">
      <c r="A2282" s="21"/>
      <c r="B2282" s="3" t="s">
        <v>4</v>
      </c>
      <c r="C2282" s="20" t="s">
        <v>758</v>
      </c>
      <c r="D2282" s="21"/>
    </row>
    <row r="2283" spans="1:4" ht="12.75" customHeight="1" x14ac:dyDescent="0.2">
      <c r="A2283" s="21"/>
      <c r="B2283" s="3" t="s">
        <v>6</v>
      </c>
      <c r="C2283" s="20" t="s">
        <v>107</v>
      </c>
      <c r="D2283" s="21"/>
    </row>
    <row r="2284" spans="1:4" ht="12.75" customHeight="1" x14ac:dyDescent="0.2">
      <c r="A2284" s="21"/>
      <c r="B2284" s="3" t="s">
        <v>8</v>
      </c>
      <c r="C2284" s="20" t="s">
        <v>758</v>
      </c>
      <c r="D2284" s="21"/>
    </row>
    <row r="2285" spans="1:4" ht="12.75" customHeight="1" x14ac:dyDescent="0.2">
      <c r="A2285" s="21"/>
      <c r="B2285" s="3" t="s">
        <v>9</v>
      </c>
      <c r="C2285" s="20" t="s">
        <v>759</v>
      </c>
      <c r="D2285" s="21"/>
    </row>
    <row r="2286" spans="1:4" ht="12.75" customHeight="1" x14ac:dyDescent="0.2">
      <c r="A2286" s="21"/>
      <c r="B2286" s="3" t="s">
        <v>11</v>
      </c>
      <c r="C2286" s="20" t="s">
        <v>279</v>
      </c>
      <c r="D2286" s="21"/>
    </row>
    <row r="2287" spans="1:4" ht="12.75" customHeight="1" x14ac:dyDescent="0.2">
      <c r="A2287" s="21"/>
      <c r="B2287" s="3" t="s">
        <v>13</v>
      </c>
      <c r="C2287" s="20" t="s">
        <v>24</v>
      </c>
      <c r="D2287" s="21"/>
    </row>
    <row r="2288" spans="1:4" ht="12.75" customHeight="1" x14ac:dyDescent="0.2">
      <c r="A2288" s="21"/>
      <c r="B2288" s="3" t="s">
        <v>15</v>
      </c>
      <c r="C2288" s="20" t="s">
        <v>24</v>
      </c>
      <c r="D2288" s="21"/>
    </row>
    <row r="2289" spans="1:4" ht="12.75" customHeight="1" x14ac:dyDescent="0.2">
      <c r="A2289" s="21"/>
      <c r="B2289" s="3" t="s">
        <v>16</v>
      </c>
      <c r="C2289" s="20"/>
      <c r="D2289" s="21"/>
    </row>
    <row r="2290" spans="1:4" ht="12.75" customHeight="1" x14ac:dyDescent="0.2">
      <c r="A2290" s="21"/>
      <c r="B2290" s="3" t="s">
        <v>17</v>
      </c>
      <c r="C2290" s="20"/>
      <c r="D2290" s="21"/>
    </row>
    <row r="2291" spans="1:4" ht="12.75" customHeight="1" x14ac:dyDescent="0.2">
      <c r="A2291" s="21"/>
      <c r="B2291" s="20" t="s">
        <v>18</v>
      </c>
      <c r="C2291" s="4" t="s">
        <v>67</v>
      </c>
      <c r="D2291" s="6" t="str">
        <f>HYPERLINK("javascript:void(0)","klopfoló henger")</f>
        <v>klopfoló henger</v>
      </c>
    </row>
    <row r="2292" spans="1:4" ht="12.75" customHeight="1" x14ac:dyDescent="0.2">
      <c r="A2292" s="21"/>
      <c r="B2292" s="21"/>
      <c r="C2292" s="4" t="s">
        <v>309</v>
      </c>
      <c r="D2292" s="6" t="str">
        <f>HYPERLINK("javascript:void(0)","méregmirigy")</f>
        <v>méregmirigy</v>
      </c>
    </row>
    <row r="2293" spans="1:4" ht="12.75" customHeight="1" x14ac:dyDescent="0.2">
      <c r="A2293" s="21"/>
      <c r="B2293" s="21"/>
      <c r="C2293" s="4" t="s">
        <v>494</v>
      </c>
      <c r="D2293" s="6" t="str">
        <f>HYPERLINK("javascript:void(0)","szúnyogszárny")</f>
        <v>szúnyogszárny</v>
      </c>
    </row>
    <row r="2294" spans="1:4" ht="12.75" customHeight="1" x14ac:dyDescent="0.2">
      <c r="A2294" s="5"/>
      <c r="B2294" s="2"/>
      <c r="C2294" s="2"/>
      <c r="D2294" s="2"/>
    </row>
    <row r="2295" spans="1:4" ht="12.75" customHeight="1" x14ac:dyDescent="0.2">
      <c r="A2295" s="22" t="str">
        <f>HYPERLINK("javascript:void(0)","díszes cső")</f>
        <v>díszes cső</v>
      </c>
      <c r="B2295" s="21"/>
      <c r="C2295" s="21"/>
      <c r="D2295" s="21"/>
    </row>
    <row r="2296" spans="1:4" ht="12.75" customHeight="1" x14ac:dyDescent="0.2">
      <c r="A2296" s="20"/>
      <c r="B2296" s="2"/>
      <c r="C2296" s="2"/>
      <c r="D2296" s="2"/>
    </row>
    <row r="2297" spans="1:4" ht="12.75" customHeight="1" x14ac:dyDescent="0.2">
      <c r="A2297" s="21"/>
      <c r="B2297" s="3" t="s">
        <v>0</v>
      </c>
      <c r="C2297" s="20" t="s">
        <v>216</v>
      </c>
      <c r="D2297" s="21"/>
    </row>
    <row r="2298" spans="1:4" ht="12.75" customHeight="1" x14ac:dyDescent="0.2">
      <c r="A2298" s="21"/>
      <c r="B2298" s="3" t="s">
        <v>2</v>
      </c>
      <c r="C2298" s="20" t="s">
        <v>122</v>
      </c>
      <c r="D2298" s="21"/>
    </row>
    <row r="2299" spans="1:4" ht="12.75" customHeight="1" x14ac:dyDescent="0.2">
      <c r="A2299" s="21"/>
      <c r="B2299" s="3" t="s">
        <v>4</v>
      </c>
      <c r="C2299" s="20" t="s">
        <v>425</v>
      </c>
      <c r="D2299" s="21"/>
    </row>
    <row r="2300" spans="1:4" ht="12.75" customHeight="1" x14ac:dyDescent="0.2">
      <c r="A2300" s="21"/>
      <c r="B2300" s="3" t="s">
        <v>6</v>
      </c>
      <c r="C2300" s="20" t="s">
        <v>52</v>
      </c>
      <c r="D2300" s="21"/>
    </row>
    <row r="2301" spans="1:4" ht="12.75" customHeight="1" x14ac:dyDescent="0.2">
      <c r="A2301" s="21"/>
      <c r="B2301" s="3" t="s">
        <v>8</v>
      </c>
      <c r="C2301" s="20" t="s">
        <v>425</v>
      </c>
      <c r="D2301" s="21"/>
    </row>
    <row r="2302" spans="1:4" ht="12.75" customHeight="1" x14ac:dyDescent="0.2">
      <c r="A2302" s="21"/>
      <c r="B2302" s="3" t="s">
        <v>9</v>
      </c>
      <c r="C2302" s="20" t="s">
        <v>147</v>
      </c>
      <c r="D2302" s="21"/>
    </row>
    <row r="2303" spans="1:4" ht="12.75" customHeight="1" x14ac:dyDescent="0.2">
      <c r="A2303" s="21"/>
      <c r="B2303" s="3" t="s">
        <v>11</v>
      </c>
      <c r="C2303" s="20" t="s">
        <v>437</v>
      </c>
      <c r="D2303" s="21"/>
    </row>
    <row r="2304" spans="1:4" ht="12.75" customHeight="1" x14ac:dyDescent="0.2">
      <c r="A2304" s="21"/>
      <c r="B2304" s="3" t="s">
        <v>13</v>
      </c>
      <c r="C2304" s="20" t="s">
        <v>24</v>
      </c>
      <c r="D2304" s="21"/>
    </row>
    <row r="2305" spans="1:4" ht="12.75" customHeight="1" x14ac:dyDescent="0.2">
      <c r="A2305" s="21"/>
      <c r="B2305" s="3" t="s">
        <v>15</v>
      </c>
      <c r="C2305" s="20" t="s">
        <v>24</v>
      </c>
      <c r="D2305" s="21"/>
    </row>
    <row r="2306" spans="1:4" ht="12.75" customHeight="1" x14ac:dyDescent="0.2">
      <c r="A2306" s="21"/>
      <c r="B2306" s="3" t="s">
        <v>16</v>
      </c>
      <c r="C2306" s="20"/>
      <c r="D2306" s="21"/>
    </row>
    <row r="2307" spans="1:4" ht="12.75" customHeight="1" x14ac:dyDescent="0.2">
      <c r="A2307" s="21"/>
      <c r="B2307" s="3" t="s">
        <v>17</v>
      </c>
      <c r="C2307" s="20"/>
      <c r="D2307" s="21"/>
    </row>
    <row r="2308" spans="1:4" ht="12.75" customHeight="1" x14ac:dyDescent="0.2">
      <c r="A2308" s="21"/>
      <c r="B2308" s="20" t="s">
        <v>18</v>
      </c>
      <c r="C2308" s="4" t="s">
        <v>44</v>
      </c>
      <c r="D2308" s="6" t="str">
        <f>HYPERLINK("javascript:void(0)","tüskés kalapács")</f>
        <v>tüskés kalapács</v>
      </c>
    </row>
    <row r="2309" spans="1:4" ht="12.75" customHeight="1" x14ac:dyDescent="0.2">
      <c r="A2309" s="21"/>
      <c r="B2309" s="21"/>
      <c r="C2309" s="4" t="s">
        <v>44</v>
      </c>
      <c r="D2309" s="6" t="str">
        <f>HYPERLINK("javascript:void(0)","tollas buzogány")</f>
        <v>tollas buzogány</v>
      </c>
    </row>
    <row r="2310" spans="1:4" ht="12.75" customHeight="1" x14ac:dyDescent="0.2">
      <c r="A2310" s="21"/>
      <c r="B2310" s="21"/>
      <c r="C2310" s="4" t="s">
        <v>44</v>
      </c>
      <c r="D2310" s="6" t="str">
        <f>HYPERLINK("javascript:void(0)","kompózium lik")</f>
        <v>kompózium lik</v>
      </c>
    </row>
    <row r="2311" spans="1:4" ht="12.75" customHeight="1" x14ac:dyDescent="0.2">
      <c r="A2311" s="5"/>
      <c r="B2311" s="2"/>
      <c r="C2311" s="2"/>
      <c r="D2311" s="2"/>
    </row>
    <row r="2312" spans="1:4" ht="12.75" customHeight="1" x14ac:dyDescent="0.2">
      <c r="A2312" s="22" t="str">
        <f>HYPERLINK("javascript:void(0)","démonacél mágusölő")</f>
        <v>démonacél mágusölő</v>
      </c>
      <c r="B2312" s="21"/>
      <c r="C2312" s="21"/>
      <c r="D2312" s="21"/>
    </row>
    <row r="2313" spans="1:4" ht="12.75" customHeight="1" x14ac:dyDescent="0.2">
      <c r="A2313" s="20"/>
      <c r="B2313" s="2"/>
      <c r="C2313" s="2"/>
      <c r="D2313" s="2"/>
    </row>
    <row r="2314" spans="1:4" ht="12.75" customHeight="1" x14ac:dyDescent="0.2">
      <c r="A2314" s="21"/>
      <c r="B2314" s="3" t="s">
        <v>0</v>
      </c>
      <c r="C2314" s="20" t="s">
        <v>216</v>
      </c>
      <c r="D2314" s="21"/>
    </row>
    <row r="2315" spans="1:4" ht="12.75" customHeight="1" x14ac:dyDescent="0.2">
      <c r="A2315" s="21"/>
      <c r="B2315" s="3" t="s">
        <v>2</v>
      </c>
      <c r="C2315" s="20" t="s">
        <v>122</v>
      </c>
      <c r="D2315" s="21"/>
    </row>
    <row r="2316" spans="1:4" ht="12.75" customHeight="1" x14ac:dyDescent="0.2">
      <c r="A2316" s="21"/>
      <c r="B2316" s="3" t="s">
        <v>4</v>
      </c>
      <c r="C2316" s="20" t="s">
        <v>765</v>
      </c>
      <c r="D2316" s="21"/>
    </row>
    <row r="2317" spans="1:4" ht="12.75" customHeight="1" x14ac:dyDescent="0.2">
      <c r="A2317" s="21"/>
      <c r="B2317" s="3" t="s">
        <v>6</v>
      </c>
      <c r="C2317" s="20" t="s">
        <v>48</v>
      </c>
      <c r="D2317" s="21"/>
    </row>
    <row r="2318" spans="1:4" ht="12.75" customHeight="1" x14ac:dyDescent="0.2">
      <c r="A2318" s="21"/>
      <c r="B2318" s="3" t="s">
        <v>8</v>
      </c>
      <c r="C2318" s="20" t="s">
        <v>765</v>
      </c>
      <c r="D2318" s="21"/>
    </row>
    <row r="2319" spans="1:4" ht="12.75" customHeight="1" x14ac:dyDescent="0.2">
      <c r="A2319" s="21"/>
      <c r="B2319" s="3" t="s">
        <v>9</v>
      </c>
      <c r="C2319" s="20" t="s">
        <v>766</v>
      </c>
      <c r="D2319" s="21"/>
    </row>
    <row r="2320" spans="1:4" ht="12.75" customHeight="1" x14ac:dyDescent="0.2">
      <c r="A2320" s="21"/>
      <c r="B2320" s="3" t="s">
        <v>11</v>
      </c>
      <c r="C2320" s="20" t="s">
        <v>437</v>
      </c>
      <c r="D2320" s="21"/>
    </row>
    <row r="2321" spans="1:4" ht="12.75" customHeight="1" x14ac:dyDescent="0.2">
      <c r="A2321" s="21"/>
      <c r="B2321" s="3" t="s">
        <v>13</v>
      </c>
      <c r="C2321" s="20" t="s">
        <v>14</v>
      </c>
      <c r="D2321" s="21"/>
    </row>
    <row r="2322" spans="1:4" ht="12.75" customHeight="1" x14ac:dyDescent="0.2">
      <c r="A2322" s="21"/>
      <c r="B2322" s="3" t="s">
        <v>15</v>
      </c>
      <c r="C2322" s="20" t="s">
        <v>24</v>
      </c>
      <c r="D2322" s="21"/>
    </row>
    <row r="2323" spans="1:4" ht="12.75" customHeight="1" x14ac:dyDescent="0.2">
      <c r="A2323" s="21"/>
      <c r="B2323" s="3" t="s">
        <v>16</v>
      </c>
      <c r="C2323" s="20"/>
      <c r="D2323" s="21"/>
    </row>
    <row r="2324" spans="1:4" ht="12.75" customHeight="1" x14ac:dyDescent="0.2">
      <c r="A2324" s="21"/>
      <c r="B2324" s="3" t="s">
        <v>17</v>
      </c>
      <c r="C2324" s="20"/>
      <c r="D2324" s="21"/>
    </row>
    <row r="2325" spans="1:4" ht="12.75" customHeight="1" x14ac:dyDescent="0.2">
      <c r="A2325" s="21"/>
      <c r="B2325" s="20" t="s">
        <v>18</v>
      </c>
      <c r="C2325" s="4" t="s">
        <v>117</v>
      </c>
      <c r="D2325" s="6" t="str">
        <f>HYPERLINK("javascript:void(0)","portgyűrű")</f>
        <v>portgyűrű</v>
      </c>
    </row>
    <row r="2326" spans="1:4" ht="12.75" customHeight="1" x14ac:dyDescent="0.2">
      <c r="A2326" s="21"/>
      <c r="B2326" s="21"/>
      <c r="C2326" s="4" t="s">
        <v>139</v>
      </c>
      <c r="D2326" s="6" t="str">
        <f>HYPERLINK("javascript:void(0)","démonfog")</f>
        <v>démonfog</v>
      </c>
    </row>
    <row r="2327" spans="1:4" ht="12.75" customHeight="1" x14ac:dyDescent="0.2">
      <c r="A2327" s="21"/>
      <c r="B2327" s="21"/>
      <c r="C2327" s="4" t="s">
        <v>98</v>
      </c>
      <c r="D2327" s="6" t="str">
        <f>HYPERLINK("javascript:void(0)","robbanófej")</f>
        <v>robbanófej</v>
      </c>
    </row>
    <row r="2328" spans="1:4" ht="12.75" customHeight="1" x14ac:dyDescent="0.2">
      <c r="A2328" s="5"/>
      <c r="B2328" s="2"/>
      <c r="C2328" s="2"/>
      <c r="D2328" s="2"/>
    </row>
    <row r="2329" spans="1:4" ht="12.75" customHeight="1" x14ac:dyDescent="0.2">
      <c r="A2329" s="22" t="str">
        <f>HYPERLINK("javascript:void(0)","kompózium prés")</f>
        <v>kompózium prés</v>
      </c>
      <c r="B2329" s="21"/>
      <c r="C2329" s="21"/>
      <c r="D2329" s="21"/>
    </row>
    <row r="2330" spans="1:4" ht="12.75" customHeight="1" x14ac:dyDescent="0.2">
      <c r="A2330" s="20"/>
      <c r="B2330" s="2"/>
      <c r="C2330" s="2"/>
      <c r="D2330" s="2"/>
    </row>
    <row r="2331" spans="1:4" ht="12.75" customHeight="1" x14ac:dyDescent="0.2">
      <c r="A2331" s="21"/>
      <c r="B2331" s="3" t="s">
        <v>0</v>
      </c>
      <c r="C2331" s="20" t="s">
        <v>435</v>
      </c>
      <c r="D2331" s="21"/>
    </row>
    <row r="2332" spans="1:4" ht="12.75" customHeight="1" x14ac:dyDescent="0.2">
      <c r="A2332" s="21"/>
      <c r="B2332" s="3" t="s">
        <v>2</v>
      </c>
      <c r="C2332" s="20" t="s">
        <v>122</v>
      </c>
      <c r="D2332" s="21"/>
    </row>
    <row r="2333" spans="1:4" ht="12.75" customHeight="1" x14ac:dyDescent="0.2">
      <c r="A2333" s="21"/>
      <c r="B2333" s="3" t="s">
        <v>4</v>
      </c>
      <c r="C2333" s="20" t="s">
        <v>788</v>
      </c>
      <c r="D2333" s="21"/>
    </row>
    <row r="2334" spans="1:4" ht="12.75" customHeight="1" x14ac:dyDescent="0.2">
      <c r="A2334" s="21"/>
      <c r="B2334" s="3" t="s">
        <v>6</v>
      </c>
      <c r="C2334" s="20" t="s">
        <v>284</v>
      </c>
      <c r="D2334" s="21"/>
    </row>
    <row r="2335" spans="1:4" ht="12.75" customHeight="1" x14ac:dyDescent="0.2">
      <c r="A2335" s="21"/>
      <c r="B2335" s="3" t="s">
        <v>8</v>
      </c>
      <c r="C2335" s="20" t="s">
        <v>788</v>
      </c>
      <c r="D2335" s="21"/>
    </row>
    <row r="2336" spans="1:4" ht="12.75" customHeight="1" x14ac:dyDescent="0.2">
      <c r="A2336" s="21"/>
      <c r="B2336" s="3" t="s">
        <v>9</v>
      </c>
      <c r="C2336" s="20" t="s">
        <v>42</v>
      </c>
      <c r="D2336" s="21"/>
    </row>
    <row r="2337" spans="1:4" ht="12.75" customHeight="1" x14ac:dyDescent="0.2">
      <c r="A2337" s="21"/>
      <c r="B2337" s="3" t="s">
        <v>11</v>
      </c>
      <c r="C2337" s="20" t="s">
        <v>447</v>
      </c>
      <c r="D2337" s="21"/>
    </row>
    <row r="2338" spans="1:4" ht="12.75" customHeight="1" x14ac:dyDescent="0.2">
      <c r="A2338" s="21"/>
      <c r="B2338" s="3" t="s">
        <v>13</v>
      </c>
      <c r="C2338" s="20" t="s">
        <v>24</v>
      </c>
      <c r="D2338" s="21"/>
    </row>
    <row r="2339" spans="1:4" ht="12.75" customHeight="1" x14ac:dyDescent="0.2">
      <c r="A2339" s="21"/>
      <c r="B2339" s="3" t="s">
        <v>15</v>
      </c>
      <c r="C2339" s="20" t="s">
        <v>24</v>
      </c>
      <c r="D2339" s="21"/>
    </row>
    <row r="2340" spans="1:4" ht="12.75" customHeight="1" x14ac:dyDescent="0.2">
      <c r="A2340" s="21"/>
      <c r="B2340" s="3" t="s">
        <v>16</v>
      </c>
      <c r="C2340" s="20"/>
      <c r="D2340" s="21"/>
    </row>
    <row r="2341" spans="1:4" ht="12.75" customHeight="1" x14ac:dyDescent="0.2">
      <c r="A2341" s="21"/>
      <c r="B2341" s="3" t="s">
        <v>17</v>
      </c>
      <c r="C2341" s="20"/>
      <c r="D2341" s="21"/>
    </row>
    <row r="2342" spans="1:4" ht="12.75" customHeight="1" x14ac:dyDescent="0.2">
      <c r="A2342" s="21"/>
      <c r="B2342" s="20" t="s">
        <v>18</v>
      </c>
      <c r="C2342" s="4" t="s">
        <v>77</v>
      </c>
      <c r="D2342" s="6" t="str">
        <f>HYPERLINK("javascript:void(0)","kompózium")</f>
        <v>kompózium</v>
      </c>
    </row>
    <row r="2343" spans="1:4" ht="12.75" customHeight="1" x14ac:dyDescent="0.2">
      <c r="A2343" s="21"/>
      <c r="B2343" s="21"/>
      <c r="C2343" s="4" t="s">
        <v>668</v>
      </c>
      <c r="D2343" s="6" t="str">
        <f>HYPERLINK("javascript:void(0)","démonzanza")</f>
        <v>démonzanza</v>
      </c>
    </row>
    <row r="2344" spans="1:4" ht="12.75" customHeight="1" x14ac:dyDescent="0.2">
      <c r="A2344" s="21"/>
      <c r="B2344" s="21"/>
      <c r="C2344" s="4" t="s">
        <v>142</v>
      </c>
      <c r="D2344" s="6" t="str">
        <f>HYPERLINK("javascript:void(0)","hemoglobin")</f>
        <v>hemoglobin</v>
      </c>
    </row>
    <row r="2345" spans="1:4" ht="12.75" customHeight="1" x14ac:dyDescent="0.2">
      <c r="A2345" s="5"/>
      <c r="B2345" s="2"/>
      <c r="C2345" s="2"/>
      <c r="D2345" s="2"/>
    </row>
    <row r="2346" spans="1:4" ht="12.75" customHeight="1" x14ac:dyDescent="0.2">
      <c r="A2346" s="22" t="str">
        <f>HYPERLINK("javascript:void(0)","kentacél ballaszt")</f>
        <v>kentacél ballaszt</v>
      </c>
      <c r="B2346" s="21"/>
      <c r="C2346" s="21"/>
      <c r="D2346" s="21"/>
    </row>
    <row r="2347" spans="1:4" ht="12.75" customHeight="1" x14ac:dyDescent="0.2">
      <c r="A2347" s="20"/>
      <c r="B2347" s="2"/>
      <c r="C2347" s="2"/>
      <c r="D2347" s="2"/>
    </row>
    <row r="2348" spans="1:4" ht="12.75" customHeight="1" x14ac:dyDescent="0.2">
      <c r="A2348" s="21"/>
      <c r="B2348" s="3" t="s">
        <v>0</v>
      </c>
      <c r="C2348" s="20" t="s">
        <v>435</v>
      </c>
      <c r="D2348" s="21"/>
    </row>
    <row r="2349" spans="1:4" ht="12.75" customHeight="1" x14ac:dyDescent="0.2">
      <c r="A2349" s="21"/>
      <c r="B2349" s="3" t="s">
        <v>2</v>
      </c>
      <c r="C2349" s="20" t="s">
        <v>122</v>
      </c>
      <c r="D2349" s="21"/>
    </row>
    <row r="2350" spans="1:4" ht="12.75" customHeight="1" x14ac:dyDescent="0.2">
      <c r="A2350" s="21"/>
      <c r="B2350" s="3" t="s">
        <v>4</v>
      </c>
      <c r="C2350" s="20" t="s">
        <v>794</v>
      </c>
      <c r="D2350" s="21"/>
    </row>
    <row r="2351" spans="1:4" ht="12.75" customHeight="1" x14ac:dyDescent="0.2">
      <c r="A2351" s="21"/>
      <c r="B2351" s="3" t="s">
        <v>6</v>
      </c>
      <c r="C2351" s="20" t="s">
        <v>107</v>
      </c>
      <c r="D2351" s="21"/>
    </row>
    <row r="2352" spans="1:4" ht="12.75" customHeight="1" x14ac:dyDescent="0.2">
      <c r="A2352" s="21"/>
      <c r="B2352" s="3" t="s">
        <v>8</v>
      </c>
      <c r="C2352" s="20" t="s">
        <v>794</v>
      </c>
      <c r="D2352" s="21"/>
    </row>
    <row r="2353" spans="1:4" ht="12.75" customHeight="1" x14ac:dyDescent="0.2">
      <c r="A2353" s="21"/>
      <c r="B2353" s="3" t="s">
        <v>9</v>
      </c>
      <c r="C2353" s="20" t="s">
        <v>795</v>
      </c>
      <c r="D2353" s="21"/>
    </row>
    <row r="2354" spans="1:4" ht="12.75" customHeight="1" x14ac:dyDescent="0.2">
      <c r="A2354" s="21"/>
      <c r="B2354" s="3" t="s">
        <v>11</v>
      </c>
      <c r="C2354" s="20" t="s">
        <v>497</v>
      </c>
      <c r="D2354" s="21"/>
    </row>
    <row r="2355" spans="1:4" ht="12.75" customHeight="1" x14ac:dyDescent="0.2">
      <c r="A2355" s="21"/>
      <c r="B2355" s="3" t="s">
        <v>13</v>
      </c>
      <c r="C2355" s="20" t="s">
        <v>24</v>
      </c>
      <c r="D2355" s="21"/>
    </row>
    <row r="2356" spans="1:4" ht="12.75" customHeight="1" x14ac:dyDescent="0.2">
      <c r="A2356" s="21"/>
      <c r="B2356" s="3" t="s">
        <v>15</v>
      </c>
      <c r="C2356" s="20" t="s">
        <v>24</v>
      </c>
      <c r="D2356" s="21"/>
    </row>
    <row r="2357" spans="1:4" ht="12.75" customHeight="1" x14ac:dyDescent="0.2">
      <c r="A2357" s="21"/>
      <c r="B2357" s="3" t="s">
        <v>16</v>
      </c>
      <c r="C2357" s="20"/>
      <c r="D2357" s="21"/>
    </row>
    <row r="2358" spans="1:4" ht="12.75" customHeight="1" x14ac:dyDescent="0.2">
      <c r="A2358" s="21"/>
      <c r="B2358" s="3" t="s">
        <v>17</v>
      </c>
      <c r="C2358" s="20"/>
      <c r="D2358" s="21"/>
    </row>
    <row r="2359" spans="1:4" ht="12.75" customHeight="1" x14ac:dyDescent="0.2">
      <c r="A2359" s="21"/>
      <c r="B2359" s="20" t="s">
        <v>18</v>
      </c>
      <c r="C2359" s="4" t="s">
        <v>117</v>
      </c>
      <c r="D2359" s="6" t="str">
        <f>HYPERLINK("javascript:void(0)","hemoglobin")</f>
        <v>hemoglobin</v>
      </c>
    </row>
    <row r="2360" spans="1:4" ht="12.75" customHeight="1" x14ac:dyDescent="0.2">
      <c r="A2360" s="21"/>
      <c r="B2360" s="21"/>
      <c r="C2360" s="4" t="s">
        <v>797</v>
      </c>
      <c r="D2360" s="6" t="str">
        <f>HYPERLINK("javascript:void(0)","démonzanza")</f>
        <v>démonzanza</v>
      </c>
    </row>
    <row r="2361" spans="1:4" ht="12.75" customHeight="1" x14ac:dyDescent="0.2">
      <c r="A2361" s="21"/>
      <c r="B2361" s="21"/>
      <c r="C2361" s="4" t="s">
        <v>139</v>
      </c>
      <c r="D2361" s="6" t="str">
        <f>HYPERLINK("javascript:void(0)","portgyűrű")</f>
        <v>portgyűrű</v>
      </c>
    </row>
    <row r="2362" spans="1:4" ht="12.75" customHeight="1" x14ac:dyDescent="0.2">
      <c r="A2362" s="5"/>
      <c r="B2362" s="2"/>
      <c r="C2362" s="2"/>
      <c r="D2362" s="2"/>
    </row>
    <row r="2363" spans="1:4" ht="12.75" customHeight="1" x14ac:dyDescent="0.2">
      <c r="A2363" s="22" t="str">
        <f>HYPERLINK("javascript:void(0)","gyíkacél cső")</f>
        <v>gyíkacél cső</v>
      </c>
      <c r="B2363" s="21"/>
      <c r="C2363" s="21"/>
      <c r="D2363" s="21"/>
    </row>
    <row r="2364" spans="1:4" ht="12.75" customHeight="1" x14ac:dyDescent="0.2">
      <c r="A2364" s="20"/>
      <c r="B2364" s="2"/>
      <c r="C2364" s="2"/>
      <c r="D2364" s="2"/>
    </row>
    <row r="2365" spans="1:4" ht="12.75" customHeight="1" x14ac:dyDescent="0.2">
      <c r="A2365" s="21"/>
      <c r="B2365" s="3" t="s">
        <v>0</v>
      </c>
      <c r="C2365" s="20" t="s">
        <v>435</v>
      </c>
      <c r="D2365" s="21"/>
    </row>
    <row r="2366" spans="1:4" ht="12.75" customHeight="1" x14ac:dyDescent="0.2">
      <c r="A2366" s="21"/>
      <c r="B2366" s="3" t="s">
        <v>2</v>
      </c>
      <c r="C2366" s="20" t="s">
        <v>122</v>
      </c>
      <c r="D2366" s="21"/>
    </row>
    <row r="2367" spans="1:4" ht="12.75" customHeight="1" x14ac:dyDescent="0.2">
      <c r="A2367" s="21"/>
      <c r="B2367" s="3" t="s">
        <v>4</v>
      </c>
      <c r="C2367" s="20" t="s">
        <v>800</v>
      </c>
      <c r="D2367" s="21"/>
    </row>
    <row r="2368" spans="1:4" ht="12.75" customHeight="1" x14ac:dyDescent="0.2">
      <c r="A2368" s="21"/>
      <c r="B2368" s="3" t="s">
        <v>6</v>
      </c>
      <c r="C2368" s="20" t="s">
        <v>107</v>
      </c>
      <c r="D2368" s="21"/>
    </row>
    <row r="2369" spans="1:4" ht="12.75" customHeight="1" x14ac:dyDescent="0.2">
      <c r="A2369" s="21"/>
      <c r="B2369" s="3" t="s">
        <v>8</v>
      </c>
      <c r="C2369" s="20" t="s">
        <v>800</v>
      </c>
      <c r="D2369" s="21"/>
    </row>
    <row r="2370" spans="1:4" ht="12.75" customHeight="1" x14ac:dyDescent="0.2">
      <c r="A2370" s="21"/>
      <c r="B2370" s="3" t="s">
        <v>9</v>
      </c>
      <c r="C2370" s="20" t="s">
        <v>802</v>
      </c>
      <c r="D2370" s="21"/>
    </row>
    <row r="2371" spans="1:4" ht="12.75" customHeight="1" x14ac:dyDescent="0.2">
      <c r="A2371" s="21"/>
      <c r="B2371" s="3" t="s">
        <v>11</v>
      </c>
      <c r="C2371" s="20" t="s">
        <v>295</v>
      </c>
      <c r="D2371" s="21"/>
    </row>
    <row r="2372" spans="1:4" ht="12.75" customHeight="1" x14ac:dyDescent="0.2">
      <c r="A2372" s="21"/>
      <c r="B2372" s="3" t="s">
        <v>13</v>
      </c>
      <c r="C2372" s="20" t="s">
        <v>24</v>
      </c>
      <c r="D2372" s="21"/>
    </row>
    <row r="2373" spans="1:4" ht="12.75" customHeight="1" x14ac:dyDescent="0.2">
      <c r="A2373" s="21"/>
      <c r="B2373" s="3" t="s">
        <v>15</v>
      </c>
      <c r="C2373" s="20" t="s">
        <v>24</v>
      </c>
      <c r="D2373" s="21"/>
    </row>
    <row r="2374" spans="1:4" ht="12.75" customHeight="1" x14ac:dyDescent="0.2">
      <c r="A2374" s="21"/>
      <c r="B2374" s="3" t="s">
        <v>16</v>
      </c>
      <c r="C2374" s="20"/>
      <c r="D2374" s="21"/>
    </row>
    <row r="2375" spans="1:4" ht="12.75" customHeight="1" x14ac:dyDescent="0.2">
      <c r="A2375" s="21"/>
      <c r="B2375" s="3" t="s">
        <v>17</v>
      </c>
      <c r="C2375" s="20"/>
      <c r="D2375" s="21"/>
    </row>
    <row r="2376" spans="1:4" ht="12.75" customHeight="1" x14ac:dyDescent="0.2">
      <c r="A2376" s="21"/>
      <c r="B2376" s="20" t="s">
        <v>18</v>
      </c>
      <c r="C2376" s="4" t="s">
        <v>163</v>
      </c>
      <c r="D2376" s="6" t="str">
        <f>HYPERLINK("javascript:void(0)","varázsige")</f>
        <v>varázsige</v>
      </c>
    </row>
    <row r="2377" spans="1:4" ht="12.75" customHeight="1" x14ac:dyDescent="0.2">
      <c r="A2377" s="21"/>
      <c r="B2377" s="21"/>
      <c r="C2377" s="4" t="s">
        <v>290</v>
      </c>
      <c r="D2377" s="6" t="str">
        <f>HYPERLINK("javascript:void(0)","hiperzsír")</f>
        <v>hiperzsír</v>
      </c>
    </row>
    <row r="2378" spans="1:4" ht="12.75" customHeight="1" x14ac:dyDescent="0.2">
      <c r="A2378" s="21"/>
      <c r="B2378" s="21"/>
      <c r="C2378" s="4" t="s">
        <v>139</v>
      </c>
      <c r="D2378" s="6" t="str">
        <f>HYPERLINK("javascript:void(0)","nyenyere nyak")</f>
        <v>nyenyere nyak</v>
      </c>
    </row>
    <row r="2379" spans="1:4" ht="12.75" customHeight="1" x14ac:dyDescent="0.2">
      <c r="A2379" s="5"/>
      <c r="B2379" s="2"/>
      <c r="C2379" s="2"/>
      <c r="D2379" s="2"/>
    </row>
    <row r="2380" spans="1:4" ht="12.75" customHeight="1" x14ac:dyDescent="0.2">
      <c r="A2380" s="22" t="str">
        <f>HYPERLINK("javascript:void(0)","kompózium bunkó")</f>
        <v>kompózium bunkó</v>
      </c>
      <c r="B2380" s="21"/>
      <c r="C2380" s="21"/>
      <c r="D2380" s="21"/>
    </row>
    <row r="2381" spans="1:4" ht="12.75" customHeight="1" x14ac:dyDescent="0.2">
      <c r="A2381" s="20"/>
      <c r="B2381" s="2"/>
      <c r="C2381" s="2"/>
      <c r="D2381" s="2"/>
    </row>
    <row r="2382" spans="1:4" ht="12.75" customHeight="1" x14ac:dyDescent="0.2">
      <c r="A2382" s="21"/>
      <c r="B2382" s="3" t="s">
        <v>0</v>
      </c>
      <c r="C2382" s="20" t="s">
        <v>47</v>
      </c>
      <c r="D2382" s="21"/>
    </row>
    <row r="2383" spans="1:4" ht="12.75" customHeight="1" x14ac:dyDescent="0.2">
      <c r="A2383" s="21"/>
      <c r="B2383" s="3" t="s">
        <v>2</v>
      </c>
      <c r="C2383" s="20" t="s">
        <v>122</v>
      </c>
      <c r="D2383" s="21"/>
    </row>
    <row r="2384" spans="1:4" ht="12.75" customHeight="1" x14ac:dyDescent="0.2">
      <c r="A2384" s="21"/>
      <c r="B2384" s="3" t="s">
        <v>4</v>
      </c>
      <c r="C2384" s="20" t="s">
        <v>808</v>
      </c>
      <c r="D2384" s="21"/>
    </row>
    <row r="2385" spans="1:4" ht="12.75" customHeight="1" x14ac:dyDescent="0.2">
      <c r="A2385" s="21"/>
      <c r="B2385" s="3" t="s">
        <v>6</v>
      </c>
      <c r="C2385" s="20" t="s">
        <v>192</v>
      </c>
      <c r="D2385" s="21"/>
    </row>
    <row r="2386" spans="1:4" ht="12.75" customHeight="1" x14ac:dyDescent="0.2">
      <c r="A2386" s="21"/>
      <c r="B2386" s="3" t="s">
        <v>8</v>
      </c>
      <c r="C2386" s="20" t="s">
        <v>808</v>
      </c>
      <c r="D2386" s="21"/>
    </row>
    <row r="2387" spans="1:4" ht="12.75" customHeight="1" x14ac:dyDescent="0.2">
      <c r="A2387" s="21"/>
      <c r="B2387" s="3" t="s">
        <v>9</v>
      </c>
      <c r="C2387" s="20" t="s">
        <v>124</v>
      </c>
      <c r="D2387" s="21"/>
    </row>
    <row r="2388" spans="1:4" ht="12.75" customHeight="1" x14ac:dyDescent="0.2">
      <c r="A2388" s="21"/>
      <c r="B2388" s="3" t="s">
        <v>11</v>
      </c>
      <c r="C2388" s="20" t="s">
        <v>453</v>
      </c>
      <c r="D2388" s="21"/>
    </row>
    <row r="2389" spans="1:4" ht="12.75" customHeight="1" x14ac:dyDescent="0.2">
      <c r="A2389" s="21"/>
      <c r="B2389" s="3" t="s">
        <v>13</v>
      </c>
      <c r="C2389" s="20" t="s">
        <v>24</v>
      </c>
      <c r="D2389" s="21"/>
    </row>
    <row r="2390" spans="1:4" ht="12.75" customHeight="1" x14ac:dyDescent="0.2">
      <c r="A2390" s="21"/>
      <c r="B2390" s="3" t="s">
        <v>15</v>
      </c>
      <c r="C2390" s="20" t="s">
        <v>24</v>
      </c>
      <c r="D2390" s="21"/>
    </row>
    <row r="2391" spans="1:4" ht="12.75" customHeight="1" x14ac:dyDescent="0.2">
      <c r="A2391" s="21"/>
      <c r="B2391" s="3" t="s">
        <v>16</v>
      </c>
      <c r="C2391" s="20"/>
      <c r="D2391" s="21"/>
    </row>
    <row r="2392" spans="1:4" ht="12.75" customHeight="1" x14ac:dyDescent="0.2">
      <c r="A2392" s="21"/>
      <c r="B2392" s="3" t="s">
        <v>17</v>
      </c>
      <c r="C2392" s="20"/>
      <c r="D2392" s="21"/>
    </row>
    <row r="2393" spans="1:4" ht="12.75" customHeight="1" x14ac:dyDescent="0.2">
      <c r="A2393" s="21"/>
      <c r="B2393" s="20" t="s">
        <v>18</v>
      </c>
      <c r="C2393" s="4" t="s">
        <v>44</v>
      </c>
      <c r="D2393" s="6" t="str">
        <f>HYPERLINK("javascript:void(0)","kompózium prés")</f>
        <v>kompózium prés</v>
      </c>
    </row>
    <row r="2394" spans="1:4" ht="12.75" customHeight="1" x14ac:dyDescent="0.2">
      <c r="A2394" s="21"/>
      <c r="B2394" s="21"/>
      <c r="C2394" s="4" t="s">
        <v>142</v>
      </c>
      <c r="D2394" s="6" t="str">
        <f>HYPERLINK("javascript:void(0)","spóra")</f>
        <v>spóra</v>
      </c>
    </row>
    <row r="2395" spans="1:4" ht="12.75" customHeight="1" x14ac:dyDescent="0.2">
      <c r="A2395" s="21"/>
      <c r="B2395" s="21"/>
      <c r="C2395" s="4" t="s">
        <v>77</v>
      </c>
      <c r="D2395" s="6" t="str">
        <f>HYPERLINK("javascript:void(0)","kompózium")</f>
        <v>kompózium</v>
      </c>
    </row>
    <row r="2396" spans="1:4" ht="12.75" customHeight="1" x14ac:dyDescent="0.2">
      <c r="A2396" s="5"/>
      <c r="B2396" s="2"/>
      <c r="C2396" s="2"/>
      <c r="D2396" s="2"/>
    </row>
    <row r="2397" spans="1:4" ht="12.75" customHeight="1" x14ac:dyDescent="0.2">
      <c r="A2397" s="22" t="str">
        <f>HYPERLINK("javascript:void(0)","kentacél mágusölő")</f>
        <v>kentacél mágusölő</v>
      </c>
      <c r="B2397" s="21"/>
      <c r="C2397" s="21"/>
      <c r="D2397" s="21"/>
    </row>
    <row r="2398" spans="1:4" ht="12.75" customHeight="1" x14ac:dyDescent="0.2">
      <c r="A2398" s="20"/>
      <c r="B2398" s="2"/>
      <c r="C2398" s="2"/>
      <c r="D2398" s="2"/>
    </row>
    <row r="2399" spans="1:4" ht="12.75" customHeight="1" x14ac:dyDescent="0.2">
      <c r="A2399" s="21"/>
      <c r="B2399" s="3" t="s">
        <v>0</v>
      </c>
      <c r="C2399" s="20" t="s">
        <v>47</v>
      </c>
      <c r="D2399" s="21"/>
    </row>
    <row r="2400" spans="1:4" ht="12.75" customHeight="1" x14ac:dyDescent="0.2">
      <c r="A2400" s="21"/>
      <c r="B2400" s="3" t="s">
        <v>2</v>
      </c>
      <c r="C2400" s="20" t="s">
        <v>122</v>
      </c>
      <c r="D2400" s="21"/>
    </row>
    <row r="2401" spans="1:4" ht="12.75" customHeight="1" x14ac:dyDescent="0.2">
      <c r="A2401" s="21"/>
      <c r="B2401" s="3" t="s">
        <v>4</v>
      </c>
      <c r="C2401" s="20" t="s">
        <v>813</v>
      </c>
      <c r="D2401" s="21"/>
    </row>
    <row r="2402" spans="1:4" ht="12.75" customHeight="1" x14ac:dyDescent="0.2">
      <c r="A2402" s="21"/>
      <c r="B2402" s="3" t="s">
        <v>6</v>
      </c>
      <c r="C2402" s="20" t="s">
        <v>48</v>
      </c>
      <c r="D2402" s="21"/>
    </row>
    <row r="2403" spans="1:4" ht="12.75" customHeight="1" x14ac:dyDescent="0.2">
      <c r="A2403" s="21"/>
      <c r="B2403" s="3" t="s">
        <v>8</v>
      </c>
      <c r="C2403" s="20" t="s">
        <v>813</v>
      </c>
      <c r="D2403" s="21"/>
    </row>
    <row r="2404" spans="1:4" ht="12.75" customHeight="1" x14ac:dyDescent="0.2">
      <c r="A2404" s="21"/>
      <c r="B2404" s="3" t="s">
        <v>9</v>
      </c>
      <c r="C2404" s="20" t="s">
        <v>814</v>
      </c>
      <c r="D2404" s="21"/>
    </row>
    <row r="2405" spans="1:4" ht="12.75" customHeight="1" x14ac:dyDescent="0.2">
      <c r="A2405" s="21"/>
      <c r="B2405" s="3" t="s">
        <v>11</v>
      </c>
      <c r="C2405" s="20" t="s">
        <v>453</v>
      </c>
      <c r="D2405" s="21"/>
    </row>
    <row r="2406" spans="1:4" ht="12.75" customHeight="1" x14ac:dyDescent="0.2">
      <c r="A2406" s="21"/>
      <c r="B2406" s="3" t="s">
        <v>13</v>
      </c>
      <c r="C2406" s="20" t="s">
        <v>14</v>
      </c>
      <c r="D2406" s="21"/>
    </row>
    <row r="2407" spans="1:4" ht="12.75" customHeight="1" x14ac:dyDescent="0.2">
      <c r="A2407" s="21"/>
      <c r="B2407" s="3" t="s">
        <v>15</v>
      </c>
      <c r="C2407" s="20" t="s">
        <v>24</v>
      </c>
      <c r="D2407" s="21"/>
    </row>
    <row r="2408" spans="1:4" ht="12.75" customHeight="1" x14ac:dyDescent="0.2">
      <c r="A2408" s="21"/>
      <c r="B2408" s="3" t="s">
        <v>16</v>
      </c>
      <c r="C2408" s="20"/>
      <c r="D2408" s="21"/>
    </row>
    <row r="2409" spans="1:4" ht="12.75" customHeight="1" x14ac:dyDescent="0.2">
      <c r="A2409" s="21"/>
      <c r="B2409" s="3" t="s">
        <v>17</v>
      </c>
      <c r="C2409" s="20"/>
      <c r="D2409" s="21"/>
    </row>
    <row r="2410" spans="1:4" ht="12.75" customHeight="1" x14ac:dyDescent="0.2">
      <c r="A2410" s="21"/>
      <c r="B2410" s="20" t="s">
        <v>18</v>
      </c>
      <c r="C2410" s="4" t="s">
        <v>44</v>
      </c>
      <c r="D2410" s="6" t="str">
        <f>HYPERLINK("javascript:void(0)","démonacél mágusölő")</f>
        <v>démonacél mágusölő</v>
      </c>
    </row>
    <row r="2411" spans="1:4" ht="12.75" customHeight="1" x14ac:dyDescent="0.2">
      <c r="A2411" s="21"/>
      <c r="B2411" s="21"/>
      <c r="C2411" s="4" t="s">
        <v>117</v>
      </c>
      <c r="D2411" s="6" t="str">
        <f>HYPERLINK("javascript:void(0)","spóra")</f>
        <v>spóra</v>
      </c>
    </row>
    <row r="2412" spans="1:4" ht="12.75" customHeight="1" x14ac:dyDescent="0.2">
      <c r="A2412" s="21"/>
      <c r="B2412" s="21"/>
      <c r="C2412" s="4" t="s">
        <v>139</v>
      </c>
      <c r="D2412" s="6" t="str">
        <f>HYPERLINK("javascript:void(0)","esztétikum")</f>
        <v>esztétikum</v>
      </c>
    </row>
    <row r="2413" spans="1:4" ht="12.75" customHeight="1" x14ac:dyDescent="0.2">
      <c r="A2413" s="5"/>
      <c r="B2413" s="2"/>
      <c r="C2413" s="2"/>
      <c r="D2413" s="2"/>
    </row>
    <row r="2414" spans="1:4" ht="12.75" customHeight="1" x14ac:dyDescent="0.2">
      <c r="A2414" s="22" t="str">
        <f>HYPERLINK("javascript:void(0)","kompózium kalapács")</f>
        <v>kompózium kalapács</v>
      </c>
      <c r="B2414" s="21"/>
      <c r="C2414" s="21"/>
      <c r="D2414" s="21"/>
    </row>
    <row r="2415" spans="1:4" ht="12.75" customHeight="1" x14ac:dyDescent="0.2">
      <c r="A2415" s="20"/>
      <c r="B2415" s="2"/>
      <c r="C2415" s="2"/>
      <c r="D2415" s="2"/>
    </row>
    <row r="2416" spans="1:4" ht="12.75" customHeight="1" x14ac:dyDescent="0.2">
      <c r="A2416" s="21"/>
      <c r="B2416" s="3" t="s">
        <v>0</v>
      </c>
      <c r="C2416" s="20" t="s">
        <v>127</v>
      </c>
      <c r="D2416" s="21"/>
    </row>
    <row r="2417" spans="1:4" ht="12.75" customHeight="1" x14ac:dyDescent="0.2">
      <c r="A2417" s="21"/>
      <c r="B2417" s="3" t="s">
        <v>2</v>
      </c>
      <c r="C2417" s="20" t="s">
        <v>122</v>
      </c>
      <c r="D2417" s="21"/>
    </row>
    <row r="2418" spans="1:4" ht="12.75" customHeight="1" x14ac:dyDescent="0.2">
      <c r="A2418" s="21"/>
      <c r="B2418" s="3" t="s">
        <v>4</v>
      </c>
      <c r="C2418" s="20" t="s">
        <v>818</v>
      </c>
      <c r="D2418" s="21"/>
    </row>
    <row r="2419" spans="1:4" ht="12.75" customHeight="1" x14ac:dyDescent="0.2">
      <c r="A2419" s="21"/>
      <c r="B2419" s="3" t="s">
        <v>6</v>
      </c>
      <c r="C2419" s="20" t="s">
        <v>298</v>
      </c>
      <c r="D2419" s="21"/>
    </row>
    <row r="2420" spans="1:4" ht="12.75" customHeight="1" x14ac:dyDescent="0.2">
      <c r="A2420" s="21"/>
      <c r="B2420" s="3" t="s">
        <v>8</v>
      </c>
      <c r="C2420" s="20" t="s">
        <v>818</v>
      </c>
      <c r="D2420" s="21"/>
    </row>
    <row r="2421" spans="1:4" ht="12.75" customHeight="1" x14ac:dyDescent="0.2">
      <c r="A2421" s="21"/>
      <c r="B2421" s="3" t="s">
        <v>9</v>
      </c>
      <c r="C2421" s="20" t="s">
        <v>70</v>
      </c>
      <c r="D2421" s="21"/>
    </row>
    <row r="2422" spans="1:4" ht="12.75" customHeight="1" x14ac:dyDescent="0.2">
      <c r="A2422" s="21"/>
      <c r="B2422" s="3" t="s">
        <v>11</v>
      </c>
      <c r="C2422" s="20" t="s">
        <v>465</v>
      </c>
      <c r="D2422" s="21"/>
    </row>
    <row r="2423" spans="1:4" ht="12.75" customHeight="1" x14ac:dyDescent="0.2">
      <c r="A2423" s="21"/>
      <c r="B2423" s="3" t="s">
        <v>13</v>
      </c>
      <c r="C2423" s="20" t="s">
        <v>24</v>
      </c>
      <c r="D2423" s="21"/>
    </row>
    <row r="2424" spans="1:4" ht="12.75" customHeight="1" x14ac:dyDescent="0.2">
      <c r="A2424" s="21"/>
      <c r="B2424" s="3" t="s">
        <v>15</v>
      </c>
      <c r="C2424" s="20" t="s">
        <v>24</v>
      </c>
      <c r="D2424" s="21"/>
    </row>
    <row r="2425" spans="1:4" ht="12.75" customHeight="1" x14ac:dyDescent="0.2">
      <c r="A2425" s="21"/>
      <c r="B2425" s="3" t="s">
        <v>16</v>
      </c>
      <c r="C2425" s="20"/>
      <c r="D2425" s="21"/>
    </row>
    <row r="2426" spans="1:4" ht="12.75" customHeight="1" x14ac:dyDescent="0.2">
      <c r="A2426" s="21"/>
      <c r="B2426" s="3" t="s">
        <v>17</v>
      </c>
      <c r="C2426" s="20"/>
      <c r="D2426" s="21"/>
    </row>
    <row r="2427" spans="1:4" ht="12.75" customHeight="1" x14ac:dyDescent="0.2">
      <c r="A2427" s="21"/>
      <c r="B2427" s="20" t="s">
        <v>18</v>
      </c>
      <c r="C2427" s="4" t="s">
        <v>44</v>
      </c>
      <c r="D2427" s="6" t="str">
        <f>HYPERLINK("javascript:void(0)","díszes cső")</f>
        <v>díszes cső</v>
      </c>
    </row>
    <row r="2428" spans="1:4" ht="12.75" customHeight="1" x14ac:dyDescent="0.2">
      <c r="A2428" s="21"/>
      <c r="B2428" s="21"/>
      <c r="C2428" s="4" t="s">
        <v>44</v>
      </c>
      <c r="D2428" s="6" t="str">
        <f>HYPERLINK("javascript:void(0)","kompózium bunkó")</f>
        <v>kompózium bunkó</v>
      </c>
    </row>
    <row r="2429" spans="1:4" ht="12.75" customHeight="1" x14ac:dyDescent="0.2">
      <c r="A2429" s="21"/>
      <c r="B2429" s="21"/>
      <c r="C2429" s="4" t="s">
        <v>44</v>
      </c>
      <c r="D2429" s="6" t="str">
        <f>HYPERLINK("javascript:void(0)","kompózium nyél")</f>
        <v>kompózium nyél</v>
      </c>
    </row>
    <row r="2430" spans="1:4" ht="12.75" customHeight="1" x14ac:dyDescent="0.2">
      <c r="A2430" s="5"/>
      <c r="B2430" s="2"/>
      <c r="C2430" s="2"/>
      <c r="D2430" s="2"/>
    </row>
    <row r="2431" spans="1:4" ht="12.75" customHeight="1" x14ac:dyDescent="0.2">
      <c r="A2431" s="22" t="str">
        <f>HYPERLINK("javascript:void(0)","rimföldi ballaszt")</f>
        <v>rimföldi ballaszt</v>
      </c>
      <c r="B2431" s="21"/>
      <c r="C2431" s="21"/>
      <c r="D2431" s="21"/>
    </row>
    <row r="2432" spans="1:4" ht="12.75" customHeight="1" x14ac:dyDescent="0.2">
      <c r="A2432" s="20"/>
      <c r="B2432" s="2"/>
      <c r="C2432" s="2"/>
      <c r="D2432" s="2"/>
    </row>
    <row r="2433" spans="1:4" ht="12.75" customHeight="1" x14ac:dyDescent="0.2">
      <c r="A2433" s="21"/>
      <c r="B2433" s="3" t="s">
        <v>0</v>
      </c>
      <c r="C2433" s="20" t="s">
        <v>127</v>
      </c>
      <c r="D2433" s="21"/>
    </row>
    <row r="2434" spans="1:4" ht="12.75" customHeight="1" x14ac:dyDescent="0.2">
      <c r="A2434" s="21"/>
      <c r="B2434" s="3" t="s">
        <v>2</v>
      </c>
      <c r="C2434" s="20" t="s">
        <v>122</v>
      </c>
      <c r="D2434" s="21"/>
    </row>
    <row r="2435" spans="1:4" ht="12.75" customHeight="1" x14ac:dyDescent="0.2">
      <c r="A2435" s="21"/>
      <c r="B2435" s="3" t="s">
        <v>4</v>
      </c>
      <c r="C2435" s="20" t="s">
        <v>822</v>
      </c>
      <c r="D2435" s="21"/>
    </row>
    <row r="2436" spans="1:4" ht="12.75" customHeight="1" x14ac:dyDescent="0.2">
      <c r="A2436" s="21"/>
      <c r="B2436" s="3" t="s">
        <v>6</v>
      </c>
      <c r="C2436" s="20" t="s">
        <v>206</v>
      </c>
      <c r="D2436" s="21"/>
    </row>
    <row r="2437" spans="1:4" ht="12.75" customHeight="1" x14ac:dyDescent="0.2">
      <c r="A2437" s="21"/>
      <c r="B2437" s="3" t="s">
        <v>8</v>
      </c>
      <c r="C2437" s="20" t="s">
        <v>822</v>
      </c>
      <c r="D2437" s="21"/>
    </row>
    <row r="2438" spans="1:4" ht="12.75" customHeight="1" x14ac:dyDescent="0.2">
      <c r="A2438" s="21"/>
      <c r="B2438" s="3" t="s">
        <v>9</v>
      </c>
      <c r="C2438" s="20" t="s">
        <v>823</v>
      </c>
      <c r="D2438" s="21"/>
    </row>
    <row r="2439" spans="1:4" ht="12.75" customHeight="1" x14ac:dyDescent="0.2">
      <c r="A2439" s="21"/>
      <c r="B2439" s="3" t="s">
        <v>11</v>
      </c>
      <c r="C2439" s="20" t="s">
        <v>514</v>
      </c>
      <c r="D2439" s="21"/>
    </row>
    <row r="2440" spans="1:4" ht="12.75" customHeight="1" x14ac:dyDescent="0.2">
      <c r="A2440" s="21"/>
      <c r="B2440" s="3" t="s">
        <v>13</v>
      </c>
      <c r="C2440" s="20" t="s">
        <v>24</v>
      </c>
      <c r="D2440" s="21"/>
    </row>
    <row r="2441" spans="1:4" ht="12.75" customHeight="1" x14ac:dyDescent="0.2">
      <c r="A2441" s="21"/>
      <c r="B2441" s="3" t="s">
        <v>15</v>
      </c>
      <c r="C2441" s="20" t="s">
        <v>24</v>
      </c>
      <c r="D2441" s="21"/>
    </row>
    <row r="2442" spans="1:4" ht="12.75" customHeight="1" x14ac:dyDescent="0.2">
      <c r="A2442" s="21"/>
      <c r="B2442" s="3" t="s">
        <v>16</v>
      </c>
      <c r="C2442" s="20"/>
      <c r="D2442" s="21"/>
    </row>
    <row r="2443" spans="1:4" ht="12.75" customHeight="1" x14ac:dyDescent="0.2">
      <c r="A2443" s="21"/>
      <c r="B2443" s="3" t="s">
        <v>17</v>
      </c>
      <c r="C2443" s="20"/>
      <c r="D2443" s="21"/>
    </row>
    <row r="2444" spans="1:4" ht="12.75" customHeight="1" x14ac:dyDescent="0.2">
      <c r="A2444" s="21"/>
      <c r="B2444" s="20" t="s">
        <v>18</v>
      </c>
      <c r="C2444" s="4" t="s">
        <v>117</v>
      </c>
      <c r="D2444" s="6" t="str">
        <f>HYPERLINK("javascript:void(0)","malacorr")</f>
        <v>malacorr</v>
      </c>
    </row>
    <row r="2445" spans="1:4" ht="12.75" customHeight="1" x14ac:dyDescent="0.2">
      <c r="A2445" s="21"/>
      <c r="B2445" s="21"/>
      <c r="C2445" s="4" t="s">
        <v>139</v>
      </c>
      <c r="D2445" s="6" t="str">
        <f>HYPERLINK("javascript:void(0)","spóra")</f>
        <v>spóra</v>
      </c>
    </row>
    <row r="2446" spans="1:4" ht="12.75" customHeight="1" x14ac:dyDescent="0.2">
      <c r="A2446" s="21"/>
      <c r="B2446" s="21"/>
      <c r="C2446" s="4" t="s">
        <v>309</v>
      </c>
      <c r="D2446" s="6" t="str">
        <f>HYPERLINK("javascript:void(0)","hárpia copf")</f>
        <v>hárpia copf</v>
      </c>
    </row>
    <row r="2447" spans="1:4" ht="12.75" customHeight="1" x14ac:dyDescent="0.2">
      <c r="A2447" s="5"/>
      <c r="B2447" s="2"/>
      <c r="C2447" s="2"/>
      <c r="D2447" s="2"/>
    </row>
    <row r="2448" spans="1:4" ht="12.75" customHeight="1" x14ac:dyDescent="0.2">
      <c r="A2448" s="22" t="str">
        <f>HYPERLINK("javascript:void(0)","gyíkacél prés")</f>
        <v>gyíkacél prés</v>
      </c>
      <c r="B2448" s="21"/>
      <c r="C2448" s="21"/>
      <c r="D2448" s="21"/>
    </row>
    <row r="2449" spans="1:4" ht="12.75" customHeight="1" x14ac:dyDescent="0.2">
      <c r="A2449" s="20"/>
      <c r="B2449" s="2"/>
      <c r="C2449" s="2"/>
      <c r="D2449" s="2"/>
    </row>
    <row r="2450" spans="1:4" ht="12.75" customHeight="1" x14ac:dyDescent="0.2">
      <c r="A2450" s="21"/>
      <c r="B2450" s="3" t="s">
        <v>0</v>
      </c>
      <c r="C2450" s="20" t="s">
        <v>127</v>
      </c>
      <c r="D2450" s="21"/>
    </row>
    <row r="2451" spans="1:4" ht="12.75" customHeight="1" x14ac:dyDescent="0.2">
      <c r="A2451" s="21"/>
      <c r="B2451" s="3" t="s">
        <v>2</v>
      </c>
      <c r="C2451" s="20" t="s">
        <v>122</v>
      </c>
      <c r="D2451" s="21"/>
    </row>
    <row r="2452" spans="1:4" ht="12.75" customHeight="1" x14ac:dyDescent="0.2">
      <c r="A2452" s="21"/>
      <c r="B2452" s="3" t="s">
        <v>4</v>
      </c>
      <c r="C2452" s="20" t="s">
        <v>828</v>
      </c>
      <c r="D2452" s="21"/>
    </row>
    <row r="2453" spans="1:4" ht="12.75" customHeight="1" x14ac:dyDescent="0.2">
      <c r="A2453" s="21"/>
      <c r="B2453" s="3" t="s">
        <v>6</v>
      </c>
      <c r="C2453" s="20" t="s">
        <v>107</v>
      </c>
      <c r="D2453" s="21"/>
    </row>
    <row r="2454" spans="1:4" ht="12.75" customHeight="1" x14ac:dyDescent="0.2">
      <c r="A2454" s="21"/>
      <c r="B2454" s="3" t="s">
        <v>8</v>
      </c>
      <c r="C2454" s="20" t="s">
        <v>828</v>
      </c>
      <c r="D2454" s="21"/>
    </row>
    <row r="2455" spans="1:4" ht="12.75" customHeight="1" x14ac:dyDescent="0.2">
      <c r="A2455" s="21"/>
      <c r="B2455" s="3" t="s">
        <v>9</v>
      </c>
      <c r="C2455" s="20" t="s">
        <v>829</v>
      </c>
      <c r="D2455" s="21"/>
    </row>
    <row r="2456" spans="1:4" ht="12.75" customHeight="1" x14ac:dyDescent="0.2">
      <c r="A2456" s="21"/>
      <c r="B2456" s="3" t="s">
        <v>11</v>
      </c>
      <c r="C2456" s="20" t="s">
        <v>315</v>
      </c>
      <c r="D2456" s="21"/>
    </row>
    <row r="2457" spans="1:4" ht="12.75" customHeight="1" x14ac:dyDescent="0.2">
      <c r="A2457" s="21"/>
      <c r="B2457" s="3" t="s">
        <v>13</v>
      </c>
      <c r="C2457" s="20" t="s">
        <v>24</v>
      </c>
      <c r="D2457" s="21"/>
    </row>
    <row r="2458" spans="1:4" ht="12.75" customHeight="1" x14ac:dyDescent="0.2">
      <c r="A2458" s="21"/>
      <c r="B2458" s="3" t="s">
        <v>15</v>
      </c>
      <c r="C2458" s="20" t="s">
        <v>24</v>
      </c>
      <c r="D2458" s="21"/>
    </row>
    <row r="2459" spans="1:4" ht="12.75" customHeight="1" x14ac:dyDescent="0.2">
      <c r="A2459" s="21"/>
      <c r="B2459" s="3" t="s">
        <v>16</v>
      </c>
      <c r="C2459" s="20"/>
      <c r="D2459" s="21"/>
    </row>
    <row r="2460" spans="1:4" ht="12.75" customHeight="1" x14ac:dyDescent="0.2">
      <c r="A2460" s="21"/>
      <c r="B2460" s="3" t="s">
        <v>17</v>
      </c>
      <c r="C2460" s="20"/>
      <c r="D2460" s="21"/>
    </row>
    <row r="2461" spans="1:4" ht="12.75" customHeight="1" x14ac:dyDescent="0.2">
      <c r="A2461" s="21"/>
      <c r="B2461" s="20" t="s">
        <v>18</v>
      </c>
      <c r="C2461" s="4" t="s">
        <v>67</v>
      </c>
      <c r="D2461" s="6" t="str">
        <f>HYPERLINK("javascript:void(0)","sejtmag")</f>
        <v>sejtmag</v>
      </c>
    </row>
    <row r="2462" spans="1:4" ht="12.75" customHeight="1" x14ac:dyDescent="0.2">
      <c r="A2462" s="21"/>
      <c r="B2462" s="21"/>
      <c r="C2462" s="4" t="s">
        <v>67</v>
      </c>
      <c r="D2462" s="6" t="str">
        <f>HYPERLINK("javascript:void(0)","voodoo-bot")</f>
        <v>voodoo-bot</v>
      </c>
    </row>
    <row r="2463" spans="1:4" ht="12.75" customHeight="1" x14ac:dyDescent="0.2">
      <c r="A2463" s="21"/>
      <c r="B2463" s="21"/>
      <c r="C2463" s="4" t="s">
        <v>309</v>
      </c>
      <c r="D2463" s="6" t="str">
        <f>HYPERLINK("javascript:void(0)","ezüstgerinc")</f>
        <v>ezüstgerinc</v>
      </c>
    </row>
    <row r="2464" spans="1:4" ht="12.75" customHeight="1" x14ac:dyDescent="0.2">
      <c r="A2464" s="5"/>
      <c r="B2464" s="2"/>
      <c r="C2464" s="2"/>
      <c r="D2464" s="2"/>
    </row>
    <row r="2465" spans="1:4" ht="12.75" customHeight="1" x14ac:dyDescent="0.2">
      <c r="A2465" s="22" t="str">
        <f>HYPERLINK("javascript:void(0)","kompózium ostor")</f>
        <v>kompózium ostor</v>
      </c>
      <c r="B2465" s="21"/>
      <c r="C2465" s="21"/>
      <c r="D2465" s="21"/>
    </row>
    <row r="2466" spans="1:4" ht="12.75" customHeight="1" x14ac:dyDescent="0.2">
      <c r="A2466" s="20"/>
      <c r="B2466" s="2"/>
      <c r="C2466" s="2"/>
      <c r="D2466" s="2"/>
    </row>
    <row r="2467" spans="1:4" ht="12.75" customHeight="1" x14ac:dyDescent="0.2">
      <c r="A2467" s="21"/>
      <c r="B2467" s="3" t="s">
        <v>0</v>
      </c>
      <c r="C2467" s="20" t="s">
        <v>204</v>
      </c>
      <c r="D2467" s="21"/>
    </row>
    <row r="2468" spans="1:4" ht="12.75" customHeight="1" x14ac:dyDescent="0.2">
      <c r="A2468" s="21"/>
      <c r="B2468" s="3" t="s">
        <v>2</v>
      </c>
      <c r="C2468" s="20" t="s">
        <v>122</v>
      </c>
      <c r="D2468" s="21"/>
    </row>
    <row r="2469" spans="1:4" ht="12.75" customHeight="1" x14ac:dyDescent="0.2">
      <c r="A2469" s="21"/>
      <c r="B2469" s="3" t="s">
        <v>4</v>
      </c>
      <c r="C2469" s="20" t="s">
        <v>832</v>
      </c>
      <c r="D2469" s="21"/>
    </row>
    <row r="2470" spans="1:4" ht="12.75" customHeight="1" x14ac:dyDescent="0.2">
      <c r="A2470" s="21"/>
      <c r="B2470" s="3" t="s">
        <v>6</v>
      </c>
      <c r="C2470" s="20" t="s">
        <v>284</v>
      </c>
      <c r="D2470" s="21"/>
    </row>
    <row r="2471" spans="1:4" ht="12.75" customHeight="1" x14ac:dyDescent="0.2">
      <c r="A2471" s="21"/>
      <c r="B2471" s="3" t="s">
        <v>8</v>
      </c>
      <c r="C2471" s="20" t="s">
        <v>832</v>
      </c>
      <c r="D2471" s="21"/>
    </row>
    <row r="2472" spans="1:4" ht="12.75" customHeight="1" x14ac:dyDescent="0.2">
      <c r="A2472" s="21"/>
      <c r="B2472" s="3" t="s">
        <v>9</v>
      </c>
      <c r="C2472" s="20" t="s">
        <v>30</v>
      </c>
      <c r="D2472" s="21"/>
    </row>
    <row r="2473" spans="1:4" ht="12.75" customHeight="1" x14ac:dyDescent="0.2">
      <c r="A2473" s="21"/>
      <c r="B2473" s="3" t="s">
        <v>11</v>
      </c>
      <c r="C2473" s="20" t="s">
        <v>470</v>
      </c>
      <c r="D2473" s="21"/>
    </row>
    <row r="2474" spans="1:4" ht="12.75" customHeight="1" x14ac:dyDescent="0.2">
      <c r="A2474" s="21"/>
      <c r="B2474" s="3" t="s">
        <v>13</v>
      </c>
      <c r="C2474" s="20" t="s">
        <v>24</v>
      </c>
      <c r="D2474" s="21"/>
    </row>
    <row r="2475" spans="1:4" ht="12.75" customHeight="1" x14ac:dyDescent="0.2">
      <c r="A2475" s="21"/>
      <c r="B2475" s="3" t="s">
        <v>15</v>
      </c>
      <c r="C2475" s="20" t="s">
        <v>24</v>
      </c>
      <c r="D2475" s="21"/>
    </row>
    <row r="2476" spans="1:4" ht="12.75" customHeight="1" x14ac:dyDescent="0.2">
      <c r="A2476" s="21"/>
      <c r="B2476" s="3" t="s">
        <v>16</v>
      </c>
      <c r="C2476" s="20"/>
      <c r="D2476" s="21"/>
    </row>
    <row r="2477" spans="1:4" ht="12.75" customHeight="1" x14ac:dyDescent="0.2">
      <c r="A2477" s="21"/>
      <c r="B2477" s="3" t="s">
        <v>17</v>
      </c>
      <c r="C2477" s="20"/>
      <c r="D2477" s="21"/>
    </row>
    <row r="2478" spans="1:4" ht="12.75" customHeight="1" x14ac:dyDescent="0.2">
      <c r="A2478" s="21"/>
      <c r="B2478" s="20" t="s">
        <v>18</v>
      </c>
      <c r="C2478" s="4" t="s">
        <v>269</v>
      </c>
      <c r="D2478" s="6" t="str">
        <f>HYPERLINK("javascript:void(0)","sudár")</f>
        <v>sudár</v>
      </c>
    </row>
    <row r="2479" spans="1:4" ht="12.75" customHeight="1" x14ac:dyDescent="0.2">
      <c r="A2479" s="21"/>
      <c r="B2479" s="21"/>
      <c r="C2479" s="4" t="s">
        <v>77</v>
      </c>
      <c r="D2479" s="6" t="str">
        <f>HYPERLINK("javascript:void(0)","kompózium")</f>
        <v>kompózium</v>
      </c>
    </row>
    <row r="2480" spans="1:4" ht="12.75" customHeight="1" x14ac:dyDescent="0.2">
      <c r="A2480" s="21"/>
      <c r="B2480" s="21"/>
      <c r="C2480" s="4" t="s">
        <v>309</v>
      </c>
      <c r="D2480" s="6" t="str">
        <f>HYPERLINK("javascript:void(0)","yetiláb")</f>
        <v>yetiláb</v>
      </c>
    </row>
    <row r="2481" spans="1:4" ht="12.75" customHeight="1" x14ac:dyDescent="0.2">
      <c r="A2481" s="5"/>
      <c r="B2481" s="2"/>
      <c r="C2481" s="2"/>
      <c r="D2481" s="2"/>
    </row>
    <row r="2482" spans="1:4" ht="12.75" customHeight="1" x14ac:dyDescent="0.2">
      <c r="A2482" s="22" t="str">
        <f>HYPERLINK("javascript:void(0)","tüskés mágusölő")</f>
        <v>tüskés mágusölő</v>
      </c>
      <c r="B2482" s="21"/>
      <c r="C2482" s="21"/>
      <c r="D2482" s="21"/>
    </row>
    <row r="2483" spans="1:4" ht="12.75" customHeight="1" x14ac:dyDescent="0.2">
      <c r="A2483" s="20"/>
      <c r="B2483" s="2"/>
      <c r="C2483" s="2"/>
      <c r="D2483" s="2"/>
    </row>
    <row r="2484" spans="1:4" ht="12.75" customHeight="1" x14ac:dyDescent="0.2">
      <c r="A2484" s="21"/>
      <c r="B2484" s="3" t="s">
        <v>0</v>
      </c>
      <c r="C2484" s="20" t="s">
        <v>204</v>
      </c>
      <c r="D2484" s="21"/>
    </row>
    <row r="2485" spans="1:4" ht="12.75" customHeight="1" x14ac:dyDescent="0.2">
      <c r="A2485" s="21"/>
      <c r="B2485" s="3" t="s">
        <v>2</v>
      </c>
      <c r="C2485" s="20" t="s">
        <v>122</v>
      </c>
      <c r="D2485" s="21"/>
    </row>
    <row r="2486" spans="1:4" ht="12.75" customHeight="1" x14ac:dyDescent="0.2">
      <c r="A2486" s="21"/>
      <c r="B2486" s="3" t="s">
        <v>4</v>
      </c>
      <c r="C2486" s="20" t="s">
        <v>836</v>
      </c>
      <c r="D2486" s="21"/>
    </row>
    <row r="2487" spans="1:4" ht="12.75" customHeight="1" x14ac:dyDescent="0.2">
      <c r="A2487" s="21"/>
      <c r="B2487" s="3" t="s">
        <v>6</v>
      </c>
      <c r="C2487" s="20" t="s">
        <v>48</v>
      </c>
      <c r="D2487" s="21"/>
    </row>
    <row r="2488" spans="1:4" ht="12.75" customHeight="1" x14ac:dyDescent="0.2">
      <c r="A2488" s="21"/>
      <c r="B2488" s="3" t="s">
        <v>8</v>
      </c>
      <c r="C2488" s="20" t="s">
        <v>836</v>
      </c>
      <c r="D2488" s="21"/>
    </row>
    <row r="2489" spans="1:4" ht="12.75" customHeight="1" x14ac:dyDescent="0.2">
      <c r="A2489" s="21"/>
      <c r="B2489" s="3" t="s">
        <v>9</v>
      </c>
      <c r="C2489" s="20" t="s">
        <v>837</v>
      </c>
      <c r="D2489" s="21"/>
    </row>
    <row r="2490" spans="1:4" ht="12.75" customHeight="1" x14ac:dyDescent="0.2">
      <c r="A2490" s="21"/>
      <c r="B2490" s="3" t="s">
        <v>11</v>
      </c>
      <c r="C2490" s="20" t="s">
        <v>470</v>
      </c>
      <c r="D2490" s="21"/>
    </row>
    <row r="2491" spans="1:4" ht="12.75" customHeight="1" x14ac:dyDescent="0.2">
      <c r="A2491" s="21"/>
      <c r="B2491" s="3" t="s">
        <v>13</v>
      </c>
      <c r="C2491" s="20" t="s">
        <v>14</v>
      </c>
      <c r="D2491" s="21"/>
    </row>
    <row r="2492" spans="1:4" ht="12.75" customHeight="1" x14ac:dyDescent="0.2">
      <c r="A2492" s="21"/>
      <c r="B2492" s="3" t="s">
        <v>15</v>
      </c>
      <c r="C2492" s="20" t="s">
        <v>24</v>
      </c>
      <c r="D2492" s="21"/>
    </row>
    <row r="2493" spans="1:4" ht="12.75" customHeight="1" x14ac:dyDescent="0.2">
      <c r="A2493" s="21"/>
      <c r="B2493" s="3" t="s">
        <v>16</v>
      </c>
      <c r="C2493" s="20"/>
      <c r="D2493" s="21"/>
    </row>
    <row r="2494" spans="1:4" ht="12.75" customHeight="1" x14ac:dyDescent="0.2">
      <c r="A2494" s="21"/>
      <c r="B2494" s="3" t="s">
        <v>17</v>
      </c>
      <c r="C2494" s="20"/>
      <c r="D2494" s="21"/>
    </row>
    <row r="2495" spans="1:4" ht="12.75" customHeight="1" x14ac:dyDescent="0.2">
      <c r="A2495" s="21"/>
      <c r="B2495" s="20" t="s">
        <v>18</v>
      </c>
      <c r="C2495" s="4" t="s">
        <v>117</v>
      </c>
      <c r="D2495" s="6" t="str">
        <f>HYPERLINK("javascript:void(0)","öbleny")</f>
        <v>öbleny</v>
      </c>
    </row>
    <row r="2496" spans="1:4" ht="12.75" customHeight="1" x14ac:dyDescent="0.2">
      <c r="A2496" s="21"/>
      <c r="B2496" s="21"/>
      <c r="C2496" s="4" t="s">
        <v>139</v>
      </c>
      <c r="D2496" s="6" t="str">
        <f>HYPERLINK("javascript:void(0)","malacorr")</f>
        <v>malacorr</v>
      </c>
    </row>
    <row r="2497" spans="1:4" ht="12.75" customHeight="1" x14ac:dyDescent="0.2">
      <c r="A2497" s="21"/>
      <c r="B2497" s="21"/>
      <c r="C2497" s="4" t="s">
        <v>63</v>
      </c>
      <c r="D2497" s="6" t="str">
        <f>HYPERLINK("javascript:void(0)","mantüske")</f>
        <v>mantüske</v>
      </c>
    </row>
    <row r="2498" spans="1:4" ht="12.75" customHeight="1" x14ac:dyDescent="0.2">
      <c r="A2498" s="5"/>
      <c r="B2498" s="2"/>
      <c r="C2498" s="2"/>
      <c r="D2498" s="2"/>
    </row>
    <row r="2499" spans="1:4" ht="12.75" customHeight="1" x14ac:dyDescent="0.2">
      <c r="A2499" s="22" t="str">
        <f>HYPERLINK("javascript:void(0)","kompózium korbács")</f>
        <v>kompózium korbács</v>
      </c>
      <c r="B2499" s="21"/>
      <c r="C2499" s="21"/>
      <c r="D2499" s="21"/>
    </row>
    <row r="2500" spans="1:4" ht="12.75" customHeight="1" x14ac:dyDescent="0.2">
      <c r="A2500" s="20"/>
      <c r="B2500" s="2"/>
      <c r="C2500" s="2"/>
      <c r="D2500" s="2"/>
    </row>
    <row r="2501" spans="1:4" ht="12.75" customHeight="1" x14ac:dyDescent="0.2">
      <c r="A2501" s="21"/>
      <c r="B2501" s="3" t="s">
        <v>0</v>
      </c>
      <c r="C2501" s="20" t="s">
        <v>468</v>
      </c>
      <c r="D2501" s="21"/>
    </row>
    <row r="2502" spans="1:4" ht="12.75" customHeight="1" x14ac:dyDescent="0.2">
      <c r="A2502" s="21"/>
      <c r="B2502" s="3" t="s">
        <v>2</v>
      </c>
      <c r="C2502" s="20" t="s">
        <v>122</v>
      </c>
      <c r="D2502" s="21"/>
    </row>
    <row r="2503" spans="1:4" ht="12.75" customHeight="1" x14ac:dyDescent="0.2">
      <c r="A2503" s="21"/>
      <c r="B2503" s="3" t="s">
        <v>4</v>
      </c>
      <c r="C2503" s="20" t="s">
        <v>843</v>
      </c>
      <c r="D2503" s="21"/>
    </row>
    <row r="2504" spans="1:4" ht="12.75" customHeight="1" x14ac:dyDescent="0.2">
      <c r="A2504" s="21"/>
      <c r="B2504" s="3" t="s">
        <v>6</v>
      </c>
      <c r="C2504" s="20" t="s">
        <v>157</v>
      </c>
      <c r="D2504" s="21"/>
    </row>
    <row r="2505" spans="1:4" ht="12.75" customHeight="1" x14ac:dyDescent="0.2">
      <c r="A2505" s="21"/>
      <c r="B2505" s="3" t="s">
        <v>8</v>
      </c>
      <c r="C2505" s="20" t="s">
        <v>843</v>
      </c>
      <c r="D2505" s="21"/>
    </row>
    <row r="2506" spans="1:4" ht="12.75" customHeight="1" x14ac:dyDescent="0.2">
      <c r="A2506" s="21"/>
      <c r="B2506" s="3" t="s">
        <v>9</v>
      </c>
      <c r="C2506" s="20" t="s">
        <v>93</v>
      </c>
      <c r="D2506" s="21"/>
    </row>
    <row r="2507" spans="1:4" ht="12.75" customHeight="1" x14ac:dyDescent="0.2">
      <c r="A2507" s="21"/>
      <c r="B2507" s="3" t="s">
        <v>11</v>
      </c>
      <c r="C2507" s="20" t="s">
        <v>483</v>
      </c>
      <c r="D2507" s="21"/>
    </row>
    <row r="2508" spans="1:4" ht="12.75" customHeight="1" x14ac:dyDescent="0.2">
      <c r="A2508" s="21"/>
      <c r="B2508" s="3" t="s">
        <v>13</v>
      </c>
      <c r="C2508" s="20" t="s">
        <v>24</v>
      </c>
      <c r="D2508" s="21"/>
    </row>
    <row r="2509" spans="1:4" ht="12.75" customHeight="1" x14ac:dyDescent="0.2">
      <c r="A2509" s="21"/>
      <c r="B2509" s="3" t="s">
        <v>15</v>
      </c>
      <c r="C2509" s="20" t="s">
        <v>24</v>
      </c>
      <c r="D2509" s="21"/>
    </row>
    <row r="2510" spans="1:4" ht="12.75" customHeight="1" x14ac:dyDescent="0.2">
      <c r="A2510" s="21"/>
      <c r="B2510" s="3" t="s">
        <v>16</v>
      </c>
      <c r="C2510" s="20"/>
      <c r="D2510" s="21"/>
    </row>
    <row r="2511" spans="1:4" ht="12.75" customHeight="1" x14ac:dyDescent="0.2">
      <c r="A2511" s="21"/>
      <c r="B2511" s="3" t="s">
        <v>17</v>
      </c>
      <c r="C2511" s="20"/>
      <c r="D2511" s="21"/>
    </row>
    <row r="2512" spans="1:4" ht="12.75" customHeight="1" x14ac:dyDescent="0.2">
      <c r="A2512" s="21"/>
      <c r="B2512" s="20" t="s">
        <v>18</v>
      </c>
      <c r="C2512" s="4" t="s">
        <v>44</v>
      </c>
      <c r="D2512" s="6" t="str">
        <f>HYPERLINK("javascript:void(0)","kompózium ostor")</f>
        <v>kompózium ostor</v>
      </c>
    </row>
    <row r="2513" spans="1:4" ht="12.75" customHeight="1" x14ac:dyDescent="0.2">
      <c r="A2513" s="21"/>
      <c r="B2513" s="21"/>
      <c r="C2513" s="4" t="s">
        <v>77</v>
      </c>
      <c r="D2513" s="6" t="str">
        <f>HYPERLINK("javascript:void(0)","kompózium")</f>
        <v>kompózium</v>
      </c>
    </row>
    <row r="2514" spans="1:4" ht="12.75" customHeight="1" x14ac:dyDescent="0.2">
      <c r="A2514" s="21"/>
      <c r="B2514" s="21"/>
      <c r="C2514" s="4" t="s">
        <v>369</v>
      </c>
      <c r="D2514" s="6" t="str">
        <f>HYPERLINK("javascript:void(0)","sudár")</f>
        <v>sudár</v>
      </c>
    </row>
    <row r="2515" spans="1:4" ht="12.75" customHeight="1" x14ac:dyDescent="0.2">
      <c r="A2515" s="5"/>
      <c r="B2515" s="2"/>
      <c r="C2515" s="2"/>
      <c r="D2515" s="2"/>
    </row>
    <row r="2516" spans="1:4" ht="12.75" customHeight="1" x14ac:dyDescent="0.2">
      <c r="A2516" s="22" t="str">
        <f>HYPERLINK("javascript:void(0)","artini ballaszt")</f>
        <v>artini ballaszt</v>
      </c>
      <c r="B2516" s="21"/>
      <c r="C2516" s="21"/>
      <c r="D2516" s="21"/>
    </row>
    <row r="2517" spans="1:4" ht="12.75" customHeight="1" x14ac:dyDescent="0.2">
      <c r="A2517" s="20"/>
      <c r="B2517" s="2"/>
      <c r="C2517" s="2"/>
      <c r="D2517" s="2"/>
    </row>
    <row r="2518" spans="1:4" ht="12.75" customHeight="1" x14ac:dyDescent="0.2">
      <c r="A2518" s="21"/>
      <c r="B2518" s="3" t="s">
        <v>0</v>
      </c>
      <c r="C2518" s="20" t="s">
        <v>468</v>
      </c>
      <c r="D2518" s="21"/>
    </row>
    <row r="2519" spans="1:4" ht="12.75" customHeight="1" x14ac:dyDescent="0.2">
      <c r="A2519" s="21"/>
      <c r="B2519" s="3" t="s">
        <v>2</v>
      </c>
      <c r="C2519" s="20" t="s">
        <v>122</v>
      </c>
      <c r="D2519" s="21"/>
    </row>
    <row r="2520" spans="1:4" ht="12.75" customHeight="1" x14ac:dyDescent="0.2">
      <c r="A2520" s="21"/>
      <c r="B2520" s="3" t="s">
        <v>4</v>
      </c>
      <c r="C2520" s="20" t="s">
        <v>846</v>
      </c>
      <c r="D2520" s="21"/>
    </row>
    <row r="2521" spans="1:4" ht="12.75" customHeight="1" x14ac:dyDescent="0.2">
      <c r="A2521" s="21"/>
      <c r="B2521" s="3" t="s">
        <v>6</v>
      </c>
      <c r="C2521" s="20" t="s">
        <v>74</v>
      </c>
      <c r="D2521" s="21"/>
    </row>
    <row r="2522" spans="1:4" ht="12.75" customHeight="1" x14ac:dyDescent="0.2">
      <c r="A2522" s="21"/>
      <c r="B2522" s="3" t="s">
        <v>8</v>
      </c>
      <c r="C2522" s="20" t="s">
        <v>846</v>
      </c>
      <c r="D2522" s="21"/>
    </row>
    <row r="2523" spans="1:4" ht="12.75" customHeight="1" x14ac:dyDescent="0.2">
      <c r="A2523" s="21"/>
      <c r="B2523" s="3" t="s">
        <v>9</v>
      </c>
      <c r="C2523" s="20" t="s">
        <v>848</v>
      </c>
      <c r="D2523" s="21"/>
    </row>
    <row r="2524" spans="1:4" ht="12.75" customHeight="1" x14ac:dyDescent="0.2">
      <c r="A2524" s="21"/>
      <c r="B2524" s="3" t="s">
        <v>11</v>
      </c>
      <c r="C2524" s="20" t="s">
        <v>536</v>
      </c>
      <c r="D2524" s="21"/>
    </row>
    <row r="2525" spans="1:4" ht="12.75" customHeight="1" x14ac:dyDescent="0.2">
      <c r="A2525" s="21"/>
      <c r="B2525" s="3" t="s">
        <v>13</v>
      </c>
      <c r="C2525" s="20" t="s">
        <v>24</v>
      </c>
      <c r="D2525" s="21"/>
    </row>
    <row r="2526" spans="1:4" ht="12.75" customHeight="1" x14ac:dyDescent="0.2">
      <c r="A2526" s="21"/>
      <c r="B2526" s="3" t="s">
        <v>15</v>
      </c>
      <c r="C2526" s="20" t="s">
        <v>24</v>
      </c>
      <c r="D2526" s="21"/>
    </row>
    <row r="2527" spans="1:4" ht="12.75" customHeight="1" x14ac:dyDescent="0.2">
      <c r="A2527" s="21"/>
      <c r="B2527" s="3" t="s">
        <v>16</v>
      </c>
      <c r="C2527" s="20"/>
      <c r="D2527" s="21"/>
    </row>
    <row r="2528" spans="1:4" ht="12.75" customHeight="1" x14ac:dyDescent="0.2">
      <c r="A2528" s="21"/>
      <c r="B2528" s="3" t="s">
        <v>17</v>
      </c>
      <c r="C2528" s="20"/>
      <c r="D2528" s="21"/>
    </row>
    <row r="2529" spans="1:4" ht="12.75" customHeight="1" x14ac:dyDescent="0.2">
      <c r="A2529" s="21"/>
      <c r="B2529" s="20" t="s">
        <v>18</v>
      </c>
      <c r="C2529" s="4" t="s">
        <v>117</v>
      </c>
      <c r="D2529" s="6" t="str">
        <f>HYPERLINK("javascript:void(0)","csigaház")</f>
        <v>csigaház</v>
      </c>
    </row>
    <row r="2530" spans="1:4" ht="12.75" customHeight="1" x14ac:dyDescent="0.2">
      <c r="A2530" s="21"/>
      <c r="B2530" s="21"/>
      <c r="C2530" s="4" t="s">
        <v>382</v>
      </c>
      <c r="D2530" s="6" t="str">
        <f>HYPERLINK("javascript:void(0)","sudár")</f>
        <v>sudár</v>
      </c>
    </row>
    <row r="2531" spans="1:4" ht="12.75" customHeight="1" x14ac:dyDescent="0.2">
      <c r="A2531" s="21"/>
      <c r="B2531" s="21"/>
      <c r="C2531" s="4" t="s">
        <v>369</v>
      </c>
      <c r="D2531" s="6" t="str">
        <f>HYPERLINK("javascript:void(0)","főnixtoll")</f>
        <v>főnixtoll</v>
      </c>
    </row>
    <row r="2532" spans="1:4" ht="12.75" customHeight="1" x14ac:dyDescent="0.2">
      <c r="A2532" s="5"/>
      <c r="B2532" s="2"/>
      <c r="C2532" s="2"/>
      <c r="D2532" s="2"/>
    </row>
    <row r="2533" spans="1:4" ht="12.75" customHeight="1" x14ac:dyDescent="0.2">
      <c r="A2533" s="22" t="str">
        <f>HYPERLINK("javascript:void(0)","gyíkacél fokos")</f>
        <v>gyíkacél fokos</v>
      </c>
      <c r="B2533" s="21"/>
      <c r="C2533" s="21"/>
      <c r="D2533" s="21"/>
    </row>
    <row r="2534" spans="1:4" ht="12.75" customHeight="1" x14ac:dyDescent="0.2">
      <c r="A2534" s="20"/>
      <c r="B2534" s="2"/>
      <c r="C2534" s="2"/>
      <c r="D2534" s="2"/>
    </row>
    <row r="2535" spans="1:4" ht="12.75" customHeight="1" x14ac:dyDescent="0.2">
      <c r="A2535" s="21"/>
      <c r="B2535" s="3" t="s">
        <v>0</v>
      </c>
      <c r="C2535" s="20" t="s">
        <v>468</v>
      </c>
      <c r="D2535" s="21"/>
    </row>
    <row r="2536" spans="1:4" ht="12.75" customHeight="1" x14ac:dyDescent="0.2">
      <c r="A2536" s="21"/>
      <c r="B2536" s="3" t="s">
        <v>2</v>
      </c>
      <c r="C2536" s="20" t="s">
        <v>122</v>
      </c>
      <c r="D2536" s="21"/>
    </row>
    <row r="2537" spans="1:4" ht="12.75" customHeight="1" x14ac:dyDescent="0.2">
      <c r="A2537" s="21"/>
      <c r="B2537" s="3" t="s">
        <v>4</v>
      </c>
      <c r="C2537" s="20" t="s">
        <v>851</v>
      </c>
      <c r="D2537" s="21"/>
    </row>
    <row r="2538" spans="1:4" ht="12.75" customHeight="1" x14ac:dyDescent="0.2">
      <c r="A2538" s="21"/>
      <c r="B2538" s="3" t="s">
        <v>6</v>
      </c>
      <c r="C2538" s="20" t="s">
        <v>107</v>
      </c>
      <c r="D2538" s="21"/>
    </row>
    <row r="2539" spans="1:4" ht="12.75" customHeight="1" x14ac:dyDescent="0.2">
      <c r="A2539" s="21"/>
      <c r="B2539" s="3" t="s">
        <v>8</v>
      </c>
      <c r="C2539" s="20" t="s">
        <v>851</v>
      </c>
      <c r="D2539" s="21"/>
    </row>
    <row r="2540" spans="1:4" ht="12.75" customHeight="1" x14ac:dyDescent="0.2">
      <c r="A2540" s="21"/>
      <c r="B2540" s="3" t="s">
        <v>9</v>
      </c>
      <c r="C2540" s="20" t="s">
        <v>852</v>
      </c>
      <c r="D2540" s="21"/>
    </row>
    <row r="2541" spans="1:4" ht="12.75" customHeight="1" x14ac:dyDescent="0.2">
      <c r="A2541" s="21"/>
      <c r="B2541" s="3" t="s">
        <v>11</v>
      </c>
      <c r="C2541" s="20" t="s">
        <v>329</v>
      </c>
      <c r="D2541" s="21"/>
    </row>
    <row r="2542" spans="1:4" ht="12.75" customHeight="1" x14ac:dyDescent="0.2">
      <c r="A2542" s="21"/>
      <c r="B2542" s="3" t="s">
        <v>13</v>
      </c>
      <c r="C2542" s="20" t="s">
        <v>24</v>
      </c>
      <c r="D2542" s="21"/>
    </row>
    <row r="2543" spans="1:4" ht="12.75" customHeight="1" x14ac:dyDescent="0.2">
      <c r="A2543" s="21"/>
      <c r="B2543" s="3" t="s">
        <v>15</v>
      </c>
      <c r="C2543" s="20" t="s">
        <v>24</v>
      </c>
      <c r="D2543" s="21"/>
    </row>
    <row r="2544" spans="1:4" ht="12.75" customHeight="1" x14ac:dyDescent="0.2">
      <c r="A2544" s="21"/>
      <c r="B2544" s="3" t="s">
        <v>16</v>
      </c>
      <c r="C2544" s="20"/>
      <c r="D2544" s="21"/>
    </row>
    <row r="2545" spans="1:4" ht="12.75" customHeight="1" x14ac:dyDescent="0.2">
      <c r="A2545" s="21"/>
      <c r="B2545" s="3" t="s">
        <v>17</v>
      </c>
      <c r="C2545" s="20"/>
      <c r="D2545" s="21"/>
    </row>
    <row r="2546" spans="1:4" ht="12.75" customHeight="1" x14ac:dyDescent="0.2">
      <c r="A2546" s="21"/>
      <c r="B2546" s="20" t="s">
        <v>18</v>
      </c>
      <c r="C2546" s="4" t="s">
        <v>67</v>
      </c>
      <c r="D2546" s="6" t="str">
        <f>HYPERLINK("javascript:void(0)","kallandra fog")</f>
        <v>kallandra fog</v>
      </c>
    </row>
    <row r="2547" spans="1:4" ht="12.75" customHeight="1" x14ac:dyDescent="0.2">
      <c r="A2547" s="21"/>
      <c r="B2547" s="21"/>
      <c r="C2547" s="4" t="s">
        <v>98</v>
      </c>
      <c r="D2547" s="6" t="str">
        <f>HYPERLINK("javascript:void(0)","sárkánykarom")</f>
        <v>sárkánykarom</v>
      </c>
    </row>
    <row r="2548" spans="1:4" ht="12.75" customHeight="1" x14ac:dyDescent="0.2">
      <c r="A2548" s="21"/>
      <c r="B2548" s="21"/>
      <c r="C2548" s="4" t="s">
        <v>280</v>
      </c>
      <c r="D2548" s="6" t="str">
        <f>HYPERLINK("javascript:void(0)","nyonyóc fog")</f>
        <v>nyonyóc fog</v>
      </c>
    </row>
    <row r="2549" spans="1:4" ht="12.75" customHeight="1" x14ac:dyDescent="0.2">
      <c r="A2549" s="5"/>
      <c r="B2549" s="2"/>
      <c r="C2549" s="2"/>
      <c r="D2549" s="2"/>
    </row>
    <row r="2550" spans="1:4" ht="12.75" customHeight="1" x14ac:dyDescent="0.2">
      <c r="A2550" s="22" t="str">
        <f>HYPERLINK("javascript:void(0)","sámánbot")</f>
        <v>sámánbot</v>
      </c>
      <c r="B2550" s="21"/>
      <c r="C2550" s="21"/>
      <c r="D2550" s="21"/>
    </row>
    <row r="2551" spans="1:4" ht="12.75" customHeight="1" x14ac:dyDescent="0.2">
      <c r="A2551" s="20"/>
      <c r="B2551" s="2"/>
      <c r="C2551" s="2"/>
      <c r="D2551" s="2"/>
    </row>
    <row r="2552" spans="1:4" ht="12.75" customHeight="1" x14ac:dyDescent="0.2">
      <c r="A2552" s="21"/>
      <c r="B2552" s="3" t="s">
        <v>0</v>
      </c>
      <c r="C2552" s="20" t="s">
        <v>213</v>
      </c>
      <c r="D2552" s="21"/>
    </row>
    <row r="2553" spans="1:4" ht="12.75" customHeight="1" x14ac:dyDescent="0.2">
      <c r="A2553" s="21"/>
      <c r="B2553" s="3" t="s">
        <v>2</v>
      </c>
      <c r="C2553" s="20" t="s">
        <v>122</v>
      </c>
      <c r="D2553" s="21"/>
    </row>
    <row r="2554" spans="1:4" ht="12.75" customHeight="1" x14ac:dyDescent="0.2">
      <c r="A2554" s="21"/>
      <c r="B2554" s="3" t="s">
        <v>4</v>
      </c>
      <c r="C2554" s="20" t="s">
        <v>855</v>
      </c>
      <c r="D2554" s="21"/>
    </row>
    <row r="2555" spans="1:4" ht="12.75" customHeight="1" x14ac:dyDescent="0.2">
      <c r="A2555" s="21"/>
      <c r="B2555" s="3" t="s">
        <v>6</v>
      </c>
      <c r="C2555" s="20" t="s">
        <v>52</v>
      </c>
      <c r="D2555" s="21"/>
    </row>
    <row r="2556" spans="1:4" ht="12.75" customHeight="1" x14ac:dyDescent="0.2">
      <c r="A2556" s="21"/>
      <c r="B2556" s="3" t="s">
        <v>8</v>
      </c>
      <c r="C2556" s="20" t="s">
        <v>855</v>
      </c>
      <c r="D2556" s="21"/>
    </row>
    <row r="2557" spans="1:4" ht="12.75" customHeight="1" x14ac:dyDescent="0.2">
      <c r="A2557" s="21"/>
      <c r="B2557" s="3" t="s">
        <v>9</v>
      </c>
      <c r="C2557" s="20" t="s">
        <v>124</v>
      </c>
      <c r="D2557" s="21"/>
    </row>
    <row r="2558" spans="1:4" ht="12.75" customHeight="1" x14ac:dyDescent="0.2">
      <c r="A2558" s="21"/>
      <c r="B2558" s="3" t="s">
        <v>11</v>
      </c>
      <c r="C2558" s="20" t="s">
        <v>488</v>
      </c>
      <c r="D2558" s="21"/>
    </row>
    <row r="2559" spans="1:4" ht="12.75" customHeight="1" x14ac:dyDescent="0.2">
      <c r="A2559" s="21"/>
      <c r="B2559" s="3" t="s">
        <v>13</v>
      </c>
      <c r="C2559" s="20" t="s">
        <v>24</v>
      </c>
      <c r="D2559" s="21"/>
    </row>
    <row r="2560" spans="1:4" ht="12.75" customHeight="1" x14ac:dyDescent="0.2">
      <c r="A2560" s="21"/>
      <c r="B2560" s="3" t="s">
        <v>15</v>
      </c>
      <c r="C2560" s="20" t="s">
        <v>24</v>
      </c>
      <c r="D2560" s="21"/>
    </row>
    <row r="2561" spans="1:4" ht="12.75" customHeight="1" x14ac:dyDescent="0.2">
      <c r="A2561" s="21"/>
      <c r="B2561" s="3" t="s">
        <v>16</v>
      </c>
      <c r="C2561" s="20"/>
      <c r="D2561" s="21"/>
    </row>
    <row r="2562" spans="1:4" ht="12.75" customHeight="1" x14ac:dyDescent="0.2">
      <c r="A2562" s="21"/>
      <c r="B2562" s="3" t="s">
        <v>17</v>
      </c>
      <c r="C2562" s="20"/>
      <c r="D2562" s="21"/>
    </row>
    <row r="2563" spans="1:4" ht="12.75" customHeight="1" x14ac:dyDescent="0.2">
      <c r="A2563" s="21"/>
      <c r="B2563" s="20" t="s">
        <v>18</v>
      </c>
      <c r="C2563" s="4" t="s">
        <v>44</v>
      </c>
      <c r="D2563" s="6" t="str">
        <f>HYPERLINK("javascript:void(0)","kompózium kalapács")</f>
        <v>kompózium kalapács</v>
      </c>
    </row>
    <row r="2564" spans="1:4" ht="12.75" customHeight="1" x14ac:dyDescent="0.2">
      <c r="A2564" s="21"/>
      <c r="B2564" s="21"/>
      <c r="C2564" s="4" t="s">
        <v>44</v>
      </c>
      <c r="D2564" s="6" t="str">
        <f>HYPERLINK("javascript:void(0)","csigaház")</f>
        <v>csigaház</v>
      </c>
    </row>
    <row r="2565" spans="1:4" ht="12.75" customHeight="1" x14ac:dyDescent="0.2">
      <c r="A2565" s="21"/>
      <c r="B2565" s="21"/>
      <c r="C2565" s="4" t="s">
        <v>142</v>
      </c>
      <c r="D2565" s="6" t="str">
        <f>HYPERLINK("javascript:void(0)","istenköröm")</f>
        <v>istenköröm</v>
      </c>
    </row>
    <row r="2566" spans="1:4" ht="12.75" customHeight="1" x14ac:dyDescent="0.2">
      <c r="A2566" s="5"/>
      <c r="B2566" s="2"/>
      <c r="C2566" s="2"/>
      <c r="D2566" s="2"/>
    </row>
    <row r="2567" spans="1:4" ht="12.75" customHeight="1" x14ac:dyDescent="0.2">
      <c r="A2567" s="22" t="str">
        <f>HYPERLINK("javascript:void(0)","wendír mágusölő")</f>
        <v>wendír mágusölő</v>
      </c>
      <c r="B2567" s="21"/>
      <c r="C2567" s="21"/>
      <c r="D2567" s="21"/>
    </row>
    <row r="2568" spans="1:4" ht="12.75" customHeight="1" x14ac:dyDescent="0.2">
      <c r="A2568" s="20"/>
      <c r="B2568" s="2"/>
      <c r="C2568" s="2"/>
      <c r="D2568" s="2"/>
    </row>
    <row r="2569" spans="1:4" ht="12.75" customHeight="1" x14ac:dyDescent="0.2">
      <c r="A2569" s="21"/>
      <c r="B2569" s="3" t="s">
        <v>0</v>
      </c>
      <c r="C2569" s="20" t="s">
        <v>213</v>
      </c>
      <c r="D2569" s="21"/>
    </row>
    <row r="2570" spans="1:4" ht="12.75" customHeight="1" x14ac:dyDescent="0.2">
      <c r="A2570" s="21"/>
      <c r="B2570" s="3" t="s">
        <v>2</v>
      </c>
      <c r="C2570" s="20" t="s">
        <v>122</v>
      </c>
      <c r="D2570" s="21"/>
    </row>
    <row r="2571" spans="1:4" ht="12.75" customHeight="1" x14ac:dyDescent="0.2">
      <c r="A2571" s="21"/>
      <c r="B2571" s="3" t="s">
        <v>4</v>
      </c>
      <c r="C2571" s="20" t="s">
        <v>858</v>
      </c>
      <c r="D2571" s="21"/>
    </row>
    <row r="2572" spans="1:4" ht="12.75" customHeight="1" x14ac:dyDescent="0.2">
      <c r="A2572" s="21"/>
      <c r="B2572" s="3" t="s">
        <v>6</v>
      </c>
      <c r="C2572" s="20" t="s">
        <v>48</v>
      </c>
      <c r="D2572" s="21"/>
    </row>
    <row r="2573" spans="1:4" ht="12.75" customHeight="1" x14ac:dyDescent="0.2">
      <c r="A2573" s="21"/>
      <c r="B2573" s="3" t="s">
        <v>8</v>
      </c>
      <c r="C2573" s="20" t="s">
        <v>858</v>
      </c>
      <c r="D2573" s="21"/>
    </row>
    <row r="2574" spans="1:4" ht="12.75" customHeight="1" x14ac:dyDescent="0.2">
      <c r="A2574" s="21"/>
      <c r="B2574" s="3" t="s">
        <v>9</v>
      </c>
      <c r="C2574" s="20" t="s">
        <v>859</v>
      </c>
      <c r="D2574" s="21"/>
    </row>
    <row r="2575" spans="1:4" ht="12.75" customHeight="1" x14ac:dyDescent="0.2">
      <c r="A2575" s="21"/>
      <c r="B2575" s="3" t="s">
        <v>11</v>
      </c>
      <c r="C2575" s="20" t="s">
        <v>488</v>
      </c>
      <c r="D2575" s="21"/>
    </row>
    <row r="2576" spans="1:4" ht="12.75" customHeight="1" x14ac:dyDescent="0.2">
      <c r="A2576" s="21"/>
      <c r="B2576" s="3" t="s">
        <v>13</v>
      </c>
      <c r="C2576" s="20" t="s">
        <v>14</v>
      </c>
      <c r="D2576" s="21"/>
    </row>
    <row r="2577" spans="1:4" ht="12.75" customHeight="1" x14ac:dyDescent="0.2">
      <c r="A2577" s="21"/>
      <c r="B2577" s="3" t="s">
        <v>15</v>
      </c>
      <c r="C2577" s="20" t="s">
        <v>24</v>
      </c>
      <c r="D2577" s="21"/>
    </row>
    <row r="2578" spans="1:4" ht="12.75" customHeight="1" x14ac:dyDescent="0.2">
      <c r="A2578" s="21"/>
      <c r="B2578" s="3" t="s">
        <v>16</v>
      </c>
      <c r="C2578" s="20"/>
      <c r="D2578" s="21"/>
    </row>
    <row r="2579" spans="1:4" ht="12.75" customHeight="1" x14ac:dyDescent="0.2">
      <c r="A2579" s="21"/>
      <c r="B2579" s="3" t="s">
        <v>17</v>
      </c>
      <c r="C2579" s="20"/>
      <c r="D2579" s="21"/>
    </row>
    <row r="2580" spans="1:4" ht="12.75" customHeight="1" x14ac:dyDescent="0.2">
      <c r="A2580" s="21"/>
      <c r="B2580" s="20" t="s">
        <v>18</v>
      </c>
      <c r="C2580" s="4" t="s">
        <v>117</v>
      </c>
      <c r="D2580" s="6" t="str">
        <f>HYPERLINK("javascript:void(0)","istenköröm")</f>
        <v>istenköröm</v>
      </c>
    </row>
    <row r="2581" spans="1:4" ht="12.75" customHeight="1" x14ac:dyDescent="0.2">
      <c r="A2581" s="21"/>
      <c r="B2581" s="21"/>
      <c r="C2581" s="4" t="s">
        <v>139</v>
      </c>
      <c r="D2581" s="6" t="str">
        <f>HYPERLINK("javascript:void(0)","esztétikum")</f>
        <v>esztétikum</v>
      </c>
    </row>
    <row r="2582" spans="1:4" ht="12.75" customHeight="1" x14ac:dyDescent="0.2">
      <c r="A2582" s="21"/>
      <c r="B2582" s="21"/>
      <c r="C2582" s="4" t="s">
        <v>193</v>
      </c>
      <c r="D2582" s="6" t="str">
        <f>HYPERLINK("javascript:void(0)","vari amulett")</f>
        <v>vari amulett</v>
      </c>
    </row>
    <row r="2583" spans="1:4" ht="12.75" customHeight="1" x14ac:dyDescent="0.2">
      <c r="A2583" s="5"/>
      <c r="B2583" s="2"/>
      <c r="C2583" s="2"/>
      <c r="D2583" s="2"/>
    </row>
    <row r="2584" spans="1:4" ht="12.75" customHeight="1" x14ac:dyDescent="0.2">
      <c r="A2584" s="22" t="str">
        <f>HYPERLINK("javascript:void(0)","patinás buzogány")</f>
        <v>patinás buzogány</v>
      </c>
      <c r="B2584" s="21"/>
      <c r="C2584" s="21"/>
      <c r="D2584" s="21"/>
    </row>
    <row r="2585" spans="1:4" ht="12.75" customHeight="1" x14ac:dyDescent="0.2">
      <c r="A2585" s="20"/>
      <c r="B2585" s="2"/>
      <c r="C2585" s="2"/>
      <c r="D2585" s="2"/>
    </row>
    <row r="2586" spans="1:4" ht="12.75" customHeight="1" x14ac:dyDescent="0.2">
      <c r="A2586" s="21"/>
      <c r="B2586" s="3" t="s">
        <v>0</v>
      </c>
      <c r="C2586" s="20" t="s">
        <v>58</v>
      </c>
      <c r="D2586" s="21"/>
    </row>
    <row r="2587" spans="1:4" ht="12.75" customHeight="1" x14ac:dyDescent="0.2">
      <c r="A2587" s="21"/>
      <c r="B2587" s="3" t="s">
        <v>2</v>
      </c>
      <c r="C2587" s="20" t="s">
        <v>122</v>
      </c>
      <c r="D2587" s="21"/>
    </row>
    <row r="2588" spans="1:4" ht="12.75" customHeight="1" x14ac:dyDescent="0.2">
      <c r="A2588" s="21"/>
      <c r="B2588" s="3" t="s">
        <v>4</v>
      </c>
      <c r="C2588" s="20" t="s">
        <v>864</v>
      </c>
      <c r="D2588" s="21"/>
    </row>
    <row r="2589" spans="1:4" ht="12.75" customHeight="1" x14ac:dyDescent="0.2">
      <c r="A2589" s="21"/>
      <c r="B2589" s="3" t="s">
        <v>6</v>
      </c>
      <c r="C2589" s="20" t="s">
        <v>260</v>
      </c>
      <c r="D2589" s="21"/>
    </row>
    <row r="2590" spans="1:4" ht="12.75" customHeight="1" x14ac:dyDescent="0.2">
      <c r="A2590" s="21"/>
      <c r="B2590" s="3" t="s">
        <v>8</v>
      </c>
      <c r="C2590" s="20" t="s">
        <v>864</v>
      </c>
      <c r="D2590" s="21"/>
    </row>
    <row r="2591" spans="1:4" ht="12.75" customHeight="1" x14ac:dyDescent="0.2">
      <c r="A2591" s="21"/>
      <c r="B2591" s="3" t="s">
        <v>9</v>
      </c>
      <c r="C2591" s="20" t="s">
        <v>464</v>
      </c>
      <c r="D2591" s="21"/>
    </row>
    <row r="2592" spans="1:4" ht="12.75" customHeight="1" x14ac:dyDescent="0.2">
      <c r="A2592" s="21"/>
      <c r="B2592" s="3" t="s">
        <v>11</v>
      </c>
      <c r="C2592" s="20" t="s">
        <v>497</v>
      </c>
      <c r="D2592" s="21"/>
    </row>
    <row r="2593" spans="1:4" ht="12.75" customHeight="1" x14ac:dyDescent="0.2">
      <c r="A2593" s="21"/>
      <c r="B2593" s="3" t="s">
        <v>13</v>
      </c>
      <c r="C2593" s="20" t="s">
        <v>24</v>
      </c>
      <c r="D2593" s="21"/>
    </row>
    <row r="2594" spans="1:4" ht="12.75" customHeight="1" x14ac:dyDescent="0.2">
      <c r="A2594" s="21"/>
      <c r="B2594" s="3" t="s">
        <v>15</v>
      </c>
      <c r="C2594" s="20" t="s">
        <v>24</v>
      </c>
      <c r="D2594" s="21"/>
    </row>
    <row r="2595" spans="1:4" ht="12.75" customHeight="1" x14ac:dyDescent="0.2">
      <c r="A2595" s="21"/>
      <c r="B2595" s="3" t="s">
        <v>16</v>
      </c>
      <c r="C2595" s="20"/>
      <c r="D2595" s="21"/>
    </row>
    <row r="2596" spans="1:4" ht="12.75" customHeight="1" x14ac:dyDescent="0.2">
      <c r="A2596" s="21"/>
      <c r="B2596" s="3" t="s">
        <v>17</v>
      </c>
      <c r="C2596" s="20"/>
      <c r="D2596" s="21"/>
    </row>
    <row r="2597" spans="1:4" ht="12.75" customHeight="1" x14ac:dyDescent="0.2">
      <c r="A2597" s="21"/>
      <c r="B2597" s="20" t="s">
        <v>18</v>
      </c>
      <c r="C2597" s="4" t="s">
        <v>232</v>
      </c>
      <c r="D2597" s="6" t="str">
        <f>HYPERLINK("javascript:void(0)","rozsdalap")</f>
        <v>rozsdalap</v>
      </c>
    </row>
    <row r="2598" spans="1:4" ht="12.75" customHeight="1" x14ac:dyDescent="0.2">
      <c r="A2598" s="21"/>
      <c r="B2598" s="21"/>
      <c r="C2598" s="4" t="s">
        <v>280</v>
      </c>
      <c r="D2598" s="6" t="str">
        <f>HYPERLINK("javascript:void(0)","kígyócsörgő")</f>
        <v>kígyócsörgő</v>
      </c>
    </row>
    <row r="2599" spans="1:4" ht="12.75" customHeight="1" x14ac:dyDescent="0.2">
      <c r="A2599" s="21"/>
      <c r="B2599" s="21"/>
      <c r="C2599" s="4" t="s">
        <v>67</v>
      </c>
      <c r="D2599" s="6" t="str">
        <f>HYPERLINK("javascript:void(0)","hordócsap")</f>
        <v>hordócsap</v>
      </c>
    </row>
    <row r="2600" spans="1:4" ht="12.75" customHeight="1" x14ac:dyDescent="0.2">
      <c r="A2600" s="5"/>
      <c r="B2600" s="2"/>
      <c r="C2600" s="2"/>
      <c r="D2600" s="2"/>
    </row>
    <row r="2601" spans="1:4" ht="12.75" customHeight="1" x14ac:dyDescent="0.2">
      <c r="A2601" s="22" t="str">
        <f>HYPERLINK("javascript:void(0)","wendír ballaszt")</f>
        <v>wendír ballaszt</v>
      </c>
      <c r="B2601" s="21"/>
      <c r="C2601" s="21"/>
      <c r="D2601" s="21"/>
    </row>
    <row r="2602" spans="1:4" ht="12.75" customHeight="1" x14ac:dyDescent="0.2">
      <c r="A2602" s="20"/>
      <c r="B2602" s="2"/>
      <c r="C2602" s="2"/>
      <c r="D2602" s="2"/>
    </row>
    <row r="2603" spans="1:4" ht="12.75" customHeight="1" x14ac:dyDescent="0.2">
      <c r="A2603" s="21"/>
      <c r="B2603" s="3" t="s">
        <v>0</v>
      </c>
      <c r="C2603" s="20" t="s">
        <v>58</v>
      </c>
      <c r="D2603" s="21"/>
    </row>
    <row r="2604" spans="1:4" ht="12.75" customHeight="1" x14ac:dyDescent="0.2">
      <c r="A2604" s="21"/>
      <c r="B2604" s="3" t="s">
        <v>2</v>
      </c>
      <c r="C2604" s="20" t="s">
        <v>122</v>
      </c>
      <c r="D2604" s="21"/>
    </row>
    <row r="2605" spans="1:4" ht="12.75" customHeight="1" x14ac:dyDescent="0.2">
      <c r="A2605" s="21"/>
      <c r="B2605" s="3" t="s">
        <v>4</v>
      </c>
      <c r="C2605" s="20" t="s">
        <v>868</v>
      </c>
      <c r="D2605" s="21"/>
    </row>
    <row r="2606" spans="1:4" ht="12.75" customHeight="1" x14ac:dyDescent="0.2">
      <c r="A2606" s="21"/>
      <c r="B2606" s="3" t="s">
        <v>6</v>
      </c>
      <c r="C2606" s="20" t="s">
        <v>74</v>
      </c>
      <c r="D2606" s="21"/>
    </row>
    <row r="2607" spans="1:4" ht="12.75" customHeight="1" x14ac:dyDescent="0.2">
      <c r="A2607" s="21"/>
      <c r="B2607" s="3" t="s">
        <v>8</v>
      </c>
      <c r="C2607" s="20" t="s">
        <v>868</v>
      </c>
      <c r="D2607" s="21"/>
    </row>
    <row r="2608" spans="1:4" ht="12.75" customHeight="1" x14ac:dyDescent="0.2">
      <c r="A2608" s="21"/>
      <c r="B2608" s="3" t="s">
        <v>9</v>
      </c>
      <c r="C2608" s="20" t="s">
        <v>870</v>
      </c>
      <c r="D2608" s="21"/>
    </row>
    <row r="2609" spans="1:4" ht="12.75" customHeight="1" x14ac:dyDescent="0.2">
      <c r="A2609" s="21"/>
      <c r="B2609" s="3" t="s">
        <v>11</v>
      </c>
      <c r="C2609" s="20" t="s">
        <v>552</v>
      </c>
      <c r="D2609" s="21"/>
    </row>
    <row r="2610" spans="1:4" ht="12.75" customHeight="1" x14ac:dyDescent="0.2">
      <c r="A2610" s="21"/>
      <c r="B2610" s="3" t="s">
        <v>13</v>
      </c>
      <c r="C2610" s="20" t="s">
        <v>24</v>
      </c>
      <c r="D2610" s="21"/>
    </row>
    <row r="2611" spans="1:4" ht="12.75" customHeight="1" x14ac:dyDescent="0.2">
      <c r="A2611" s="21"/>
      <c r="B2611" s="3" t="s">
        <v>15</v>
      </c>
      <c r="C2611" s="20" t="s">
        <v>24</v>
      </c>
      <c r="D2611" s="21"/>
    </row>
    <row r="2612" spans="1:4" ht="12.75" customHeight="1" x14ac:dyDescent="0.2">
      <c r="A2612" s="21"/>
      <c r="B2612" s="3" t="s">
        <v>16</v>
      </c>
      <c r="C2612" s="20"/>
      <c r="D2612" s="21"/>
    </row>
    <row r="2613" spans="1:4" ht="12.75" customHeight="1" x14ac:dyDescent="0.2">
      <c r="A2613" s="21"/>
      <c r="B2613" s="3" t="s">
        <v>17</v>
      </c>
      <c r="C2613" s="20"/>
      <c r="D2613" s="21"/>
    </row>
    <row r="2614" spans="1:4" ht="12.75" customHeight="1" x14ac:dyDescent="0.2">
      <c r="A2614" s="21"/>
      <c r="B2614" s="20" t="s">
        <v>18</v>
      </c>
      <c r="C2614" s="4" t="s">
        <v>369</v>
      </c>
      <c r="D2614" s="6" t="str">
        <f>HYPERLINK("javascript:void(0)","portgyűrű")</f>
        <v>portgyűrű</v>
      </c>
    </row>
    <row r="2615" spans="1:4" ht="12.75" customHeight="1" x14ac:dyDescent="0.2">
      <c r="A2615" s="21"/>
      <c r="B2615" s="21"/>
      <c r="C2615" s="4" t="s">
        <v>117</v>
      </c>
      <c r="D2615" s="6" t="str">
        <f>HYPERLINK("javascript:void(0)","vérrög")</f>
        <v>vérrög</v>
      </c>
    </row>
    <row r="2616" spans="1:4" ht="12.75" customHeight="1" x14ac:dyDescent="0.2">
      <c r="A2616" s="21"/>
      <c r="B2616" s="21"/>
      <c r="C2616" s="4" t="s">
        <v>98</v>
      </c>
      <c r="D2616" s="6" t="str">
        <f>HYPERLINK("javascript:void(0)","szemgödör")</f>
        <v>szemgödör</v>
      </c>
    </row>
    <row r="2617" spans="1:4" ht="12.75" customHeight="1" x14ac:dyDescent="0.2">
      <c r="A2617" s="5"/>
      <c r="B2617" s="2"/>
      <c r="C2617" s="2"/>
      <c r="D2617" s="2"/>
    </row>
    <row r="2618" spans="1:4" ht="12.75" customHeight="1" x14ac:dyDescent="0.2">
      <c r="A2618" s="22" t="str">
        <f>HYPERLINK("javascript:void(0)","gyíkacél jogar")</f>
        <v>gyíkacél jogar</v>
      </c>
      <c r="B2618" s="21"/>
      <c r="C2618" s="21"/>
      <c r="D2618" s="21"/>
    </row>
    <row r="2619" spans="1:4" ht="12.75" customHeight="1" x14ac:dyDescent="0.2">
      <c r="A2619" s="20"/>
      <c r="B2619" s="2"/>
      <c r="C2619" s="2"/>
      <c r="D2619" s="2"/>
    </row>
    <row r="2620" spans="1:4" ht="12.75" customHeight="1" x14ac:dyDescent="0.2">
      <c r="A2620" s="21"/>
      <c r="B2620" s="3" t="s">
        <v>0</v>
      </c>
      <c r="C2620" s="20" t="s">
        <v>58</v>
      </c>
      <c r="D2620" s="21"/>
    </row>
    <row r="2621" spans="1:4" ht="12.75" customHeight="1" x14ac:dyDescent="0.2">
      <c r="A2621" s="21"/>
      <c r="B2621" s="3" t="s">
        <v>2</v>
      </c>
      <c r="C2621" s="20" t="s">
        <v>122</v>
      </c>
      <c r="D2621" s="21"/>
    </row>
    <row r="2622" spans="1:4" ht="12.75" customHeight="1" x14ac:dyDescent="0.2">
      <c r="A2622" s="21"/>
      <c r="B2622" s="3" t="s">
        <v>4</v>
      </c>
      <c r="C2622" s="20" t="s">
        <v>876</v>
      </c>
      <c r="D2622" s="21"/>
    </row>
    <row r="2623" spans="1:4" ht="12.75" customHeight="1" x14ac:dyDescent="0.2">
      <c r="A2623" s="21"/>
      <c r="B2623" s="3" t="s">
        <v>6</v>
      </c>
      <c r="C2623" s="20" t="s">
        <v>107</v>
      </c>
      <c r="D2623" s="21"/>
    </row>
    <row r="2624" spans="1:4" ht="12.75" customHeight="1" x14ac:dyDescent="0.2">
      <c r="A2624" s="21"/>
      <c r="B2624" s="3" t="s">
        <v>8</v>
      </c>
      <c r="C2624" s="20" t="s">
        <v>876</v>
      </c>
      <c r="D2624" s="21"/>
    </row>
    <row r="2625" spans="1:4" ht="12.75" customHeight="1" x14ac:dyDescent="0.2">
      <c r="A2625" s="21"/>
      <c r="B2625" s="3" t="s">
        <v>9</v>
      </c>
      <c r="C2625" s="20" t="s">
        <v>878</v>
      </c>
      <c r="D2625" s="21"/>
    </row>
    <row r="2626" spans="1:4" ht="12.75" customHeight="1" x14ac:dyDescent="0.2">
      <c r="A2626" s="21"/>
      <c r="B2626" s="3" t="s">
        <v>11</v>
      </c>
      <c r="C2626" s="20" t="s">
        <v>350</v>
      </c>
      <c r="D2626" s="21"/>
    </row>
    <row r="2627" spans="1:4" ht="12.75" customHeight="1" x14ac:dyDescent="0.2">
      <c r="A2627" s="21"/>
      <c r="B2627" s="3" t="s">
        <v>13</v>
      </c>
      <c r="C2627" s="20" t="s">
        <v>24</v>
      </c>
      <c r="D2627" s="21"/>
    </row>
    <row r="2628" spans="1:4" ht="12.75" customHeight="1" x14ac:dyDescent="0.2">
      <c r="A2628" s="21"/>
      <c r="B2628" s="3" t="s">
        <v>15</v>
      </c>
      <c r="C2628" s="20" t="s">
        <v>24</v>
      </c>
      <c r="D2628" s="21"/>
    </row>
    <row r="2629" spans="1:4" ht="12.75" customHeight="1" x14ac:dyDescent="0.2">
      <c r="A2629" s="21"/>
      <c r="B2629" s="3" t="s">
        <v>16</v>
      </c>
      <c r="C2629" s="20"/>
      <c r="D2629" s="21"/>
    </row>
    <row r="2630" spans="1:4" ht="12.75" customHeight="1" x14ac:dyDescent="0.2">
      <c r="A2630" s="21"/>
      <c r="B2630" s="3" t="s">
        <v>17</v>
      </c>
      <c r="C2630" s="20"/>
      <c r="D2630" s="21"/>
    </row>
    <row r="2631" spans="1:4" ht="12.75" customHeight="1" x14ac:dyDescent="0.2">
      <c r="A2631" s="21"/>
      <c r="B2631" s="20" t="s">
        <v>18</v>
      </c>
      <c r="C2631" s="4" t="s">
        <v>280</v>
      </c>
      <c r="D2631" s="6" t="str">
        <f>HYPERLINK("javascript:void(0)","yorick")</f>
        <v>yorick</v>
      </c>
    </row>
    <row r="2632" spans="1:4" ht="12.75" customHeight="1" x14ac:dyDescent="0.2">
      <c r="A2632" s="21"/>
      <c r="B2632" s="21"/>
      <c r="C2632" s="4" t="s">
        <v>309</v>
      </c>
      <c r="D2632" s="6" t="str">
        <f>HYPERLINK("javascript:void(0)","tűzige")</f>
        <v>tűzige</v>
      </c>
    </row>
    <row r="2633" spans="1:4" ht="12.75" customHeight="1" x14ac:dyDescent="0.2">
      <c r="A2633" s="21"/>
      <c r="B2633" s="21"/>
      <c r="C2633" s="4" t="s">
        <v>139</v>
      </c>
      <c r="D2633" s="6" t="str">
        <f>HYPERLINK("javascript:void(0)","szent szimbólum")</f>
        <v>szent szimbólum</v>
      </c>
    </row>
    <row r="2634" spans="1:4" ht="12.75" customHeight="1" x14ac:dyDescent="0.2">
      <c r="A2634" s="5"/>
      <c r="B2634" s="2"/>
      <c r="C2634" s="2"/>
      <c r="D2634" s="2"/>
    </row>
    <row r="2635" spans="1:4" ht="12.75" customHeight="1" x14ac:dyDescent="0.2">
      <c r="A2635" s="22" t="str">
        <f>HYPERLINK("javascript:void(0)","királyi jogar")</f>
        <v>királyi jogar</v>
      </c>
      <c r="B2635" s="21"/>
      <c r="C2635" s="21"/>
      <c r="D2635" s="21"/>
    </row>
    <row r="2636" spans="1:4" ht="12.75" customHeight="1" x14ac:dyDescent="0.2">
      <c r="A2636" s="20"/>
      <c r="B2636" s="2"/>
      <c r="C2636" s="2"/>
      <c r="D2636" s="2"/>
    </row>
    <row r="2637" spans="1:4" ht="12.75" customHeight="1" x14ac:dyDescent="0.2">
      <c r="A2637" s="21"/>
      <c r="B2637" s="3" t="s">
        <v>0</v>
      </c>
      <c r="C2637" s="20" t="s">
        <v>134</v>
      </c>
      <c r="D2637" s="21"/>
    </row>
    <row r="2638" spans="1:4" ht="12.75" customHeight="1" x14ac:dyDescent="0.2">
      <c r="A2638" s="21"/>
      <c r="B2638" s="3" t="s">
        <v>2</v>
      </c>
      <c r="C2638" s="20" t="s">
        <v>122</v>
      </c>
      <c r="D2638" s="21"/>
    </row>
    <row r="2639" spans="1:4" ht="12.75" customHeight="1" x14ac:dyDescent="0.2">
      <c r="A2639" s="21"/>
      <c r="B2639" s="3" t="s">
        <v>4</v>
      </c>
      <c r="C2639" s="20" t="s">
        <v>882</v>
      </c>
      <c r="D2639" s="21"/>
    </row>
    <row r="2640" spans="1:4" ht="12.75" customHeight="1" x14ac:dyDescent="0.2">
      <c r="A2640" s="21"/>
      <c r="B2640" s="3" t="s">
        <v>6</v>
      </c>
      <c r="C2640" s="20" t="s">
        <v>107</v>
      </c>
      <c r="D2640" s="21"/>
    </row>
    <row r="2641" spans="1:4" ht="12.75" customHeight="1" x14ac:dyDescent="0.2">
      <c r="A2641" s="21"/>
      <c r="B2641" s="3" t="s">
        <v>8</v>
      </c>
      <c r="C2641" s="20" t="s">
        <v>882</v>
      </c>
      <c r="D2641" s="21"/>
    </row>
    <row r="2642" spans="1:4" ht="12.75" customHeight="1" x14ac:dyDescent="0.2">
      <c r="A2642" s="21"/>
      <c r="B2642" s="3" t="s">
        <v>9</v>
      </c>
      <c r="C2642" s="20" t="s">
        <v>210</v>
      </c>
      <c r="D2642" s="21"/>
    </row>
    <row r="2643" spans="1:4" ht="12.75" customHeight="1" x14ac:dyDescent="0.2">
      <c r="A2643" s="21"/>
      <c r="B2643" s="3" t="s">
        <v>11</v>
      </c>
      <c r="C2643" s="20" t="s">
        <v>501</v>
      </c>
      <c r="D2643" s="21"/>
    </row>
    <row r="2644" spans="1:4" ht="12.75" customHeight="1" x14ac:dyDescent="0.2">
      <c r="A2644" s="21"/>
      <c r="B2644" s="3" t="s">
        <v>13</v>
      </c>
      <c r="C2644" s="20" t="s">
        <v>24</v>
      </c>
      <c r="D2644" s="21"/>
    </row>
    <row r="2645" spans="1:4" ht="12.75" customHeight="1" x14ac:dyDescent="0.2">
      <c r="A2645" s="21"/>
      <c r="B2645" s="3" t="s">
        <v>15</v>
      </c>
      <c r="C2645" s="20" t="s">
        <v>24</v>
      </c>
      <c r="D2645" s="21"/>
    </row>
    <row r="2646" spans="1:4" ht="12.75" customHeight="1" x14ac:dyDescent="0.2">
      <c r="A2646" s="21"/>
      <c r="B2646" s="3" t="s">
        <v>16</v>
      </c>
      <c r="C2646" s="20"/>
      <c r="D2646" s="21"/>
    </row>
    <row r="2647" spans="1:4" ht="12.75" customHeight="1" x14ac:dyDescent="0.2">
      <c r="A2647" s="21"/>
      <c r="B2647" s="3" t="s">
        <v>17</v>
      </c>
      <c r="C2647" s="20"/>
      <c r="D2647" s="21"/>
    </row>
    <row r="2648" spans="1:4" ht="12.75" customHeight="1" x14ac:dyDescent="0.2">
      <c r="A2648" s="21"/>
      <c r="B2648" s="20" t="s">
        <v>18</v>
      </c>
      <c r="C2648" s="4" t="s">
        <v>56</v>
      </c>
      <c r="D2648" s="6" t="str">
        <f>HYPERLINK("javascript:void(0)","űrlap")</f>
        <v>űrlap</v>
      </c>
    </row>
    <row r="2649" spans="1:4" ht="12.75" customHeight="1" x14ac:dyDescent="0.2">
      <c r="A2649" s="21"/>
      <c r="B2649" s="21"/>
      <c r="C2649" s="4" t="s">
        <v>68</v>
      </c>
      <c r="D2649" s="6" t="str">
        <f>HYPERLINK("javascript:void(0)","csigaház")</f>
        <v>csigaház</v>
      </c>
    </row>
    <row r="2650" spans="1:4" ht="12.75" customHeight="1" x14ac:dyDescent="0.2">
      <c r="A2650" s="21"/>
      <c r="B2650" s="21"/>
      <c r="C2650" s="4" t="s">
        <v>139</v>
      </c>
      <c r="D2650" s="6" t="str">
        <f>HYPERLINK("javascript:void(0)","vari amulett")</f>
        <v>vari amulett</v>
      </c>
    </row>
    <row r="2651" spans="1:4" ht="12.75" customHeight="1" x14ac:dyDescent="0.2">
      <c r="A2651" s="5"/>
      <c r="B2651" s="2"/>
      <c r="C2651" s="2"/>
      <c r="D2651" s="2"/>
    </row>
    <row r="2652" spans="1:4" ht="12.75" customHeight="1" x14ac:dyDescent="0.2">
      <c r="A2652" s="22" t="str">
        <f>HYPERLINK("javascript:void(0)","artini mágusölő")</f>
        <v>artini mágusölő</v>
      </c>
      <c r="B2652" s="21"/>
      <c r="C2652" s="21"/>
      <c r="D2652" s="21"/>
    </row>
    <row r="2653" spans="1:4" ht="12.75" customHeight="1" x14ac:dyDescent="0.2">
      <c r="A2653" s="20"/>
      <c r="B2653" s="2"/>
      <c r="C2653" s="2"/>
      <c r="D2653" s="2"/>
    </row>
    <row r="2654" spans="1:4" ht="12.75" customHeight="1" x14ac:dyDescent="0.2">
      <c r="A2654" s="21"/>
      <c r="B2654" s="3" t="s">
        <v>0</v>
      </c>
      <c r="C2654" s="20" t="s">
        <v>134</v>
      </c>
      <c r="D2654" s="21"/>
    </row>
    <row r="2655" spans="1:4" ht="12.75" customHeight="1" x14ac:dyDescent="0.2">
      <c r="A2655" s="21"/>
      <c r="B2655" s="3" t="s">
        <v>2</v>
      </c>
      <c r="C2655" s="20" t="s">
        <v>122</v>
      </c>
      <c r="D2655" s="21"/>
    </row>
    <row r="2656" spans="1:4" ht="12.75" customHeight="1" x14ac:dyDescent="0.2">
      <c r="A2656" s="21"/>
      <c r="B2656" s="3" t="s">
        <v>4</v>
      </c>
      <c r="C2656" s="20" t="s">
        <v>885</v>
      </c>
      <c r="D2656" s="21"/>
    </row>
    <row r="2657" spans="1:4" ht="12.75" customHeight="1" x14ac:dyDescent="0.2">
      <c r="A2657" s="21"/>
      <c r="B2657" s="3" t="s">
        <v>6</v>
      </c>
      <c r="C2657" s="20" t="s">
        <v>48</v>
      </c>
      <c r="D2657" s="21"/>
    </row>
    <row r="2658" spans="1:4" ht="12.75" customHeight="1" x14ac:dyDescent="0.2">
      <c r="A2658" s="21"/>
      <c r="B2658" s="3" t="s">
        <v>8</v>
      </c>
      <c r="C2658" s="20" t="s">
        <v>885</v>
      </c>
      <c r="D2658" s="21"/>
    </row>
    <row r="2659" spans="1:4" ht="12.75" customHeight="1" x14ac:dyDescent="0.2">
      <c r="A2659" s="21"/>
      <c r="B2659" s="3" t="s">
        <v>9</v>
      </c>
      <c r="C2659" s="20" t="s">
        <v>888</v>
      </c>
      <c r="D2659" s="21"/>
    </row>
    <row r="2660" spans="1:4" ht="12.75" customHeight="1" x14ac:dyDescent="0.2">
      <c r="A2660" s="21"/>
      <c r="B2660" s="3" t="s">
        <v>11</v>
      </c>
      <c r="C2660" s="20" t="s">
        <v>501</v>
      </c>
      <c r="D2660" s="21"/>
    </row>
    <row r="2661" spans="1:4" ht="12.75" customHeight="1" x14ac:dyDescent="0.2">
      <c r="A2661" s="21"/>
      <c r="B2661" s="3" t="s">
        <v>13</v>
      </c>
      <c r="C2661" s="20" t="s">
        <v>14</v>
      </c>
      <c r="D2661" s="21"/>
    </row>
    <row r="2662" spans="1:4" ht="12.75" customHeight="1" x14ac:dyDescent="0.2">
      <c r="A2662" s="21"/>
      <c r="B2662" s="3" t="s">
        <v>15</v>
      </c>
      <c r="C2662" s="20" t="s">
        <v>24</v>
      </c>
      <c r="D2662" s="21"/>
    </row>
    <row r="2663" spans="1:4" ht="12.75" customHeight="1" x14ac:dyDescent="0.2">
      <c r="A2663" s="21"/>
      <c r="B2663" s="3" t="s">
        <v>16</v>
      </c>
      <c r="C2663" s="20"/>
      <c r="D2663" s="21"/>
    </row>
    <row r="2664" spans="1:4" ht="12.75" customHeight="1" x14ac:dyDescent="0.2">
      <c r="A2664" s="21"/>
      <c r="B2664" s="3" t="s">
        <v>17</v>
      </c>
      <c r="C2664" s="20"/>
      <c r="D2664" s="21"/>
    </row>
    <row r="2665" spans="1:4" ht="12.75" customHeight="1" x14ac:dyDescent="0.2">
      <c r="A2665" s="21"/>
      <c r="B2665" s="20" t="s">
        <v>18</v>
      </c>
      <c r="C2665" s="4" t="s">
        <v>68</v>
      </c>
      <c r="D2665" s="6" t="str">
        <f>HYPERLINK("javascript:void(0)","űrlap")</f>
        <v>űrlap</v>
      </c>
    </row>
    <row r="2666" spans="1:4" ht="12.75" customHeight="1" x14ac:dyDescent="0.2">
      <c r="A2666" s="21"/>
      <c r="B2666" s="21"/>
      <c r="C2666" s="4" t="s">
        <v>67</v>
      </c>
      <c r="D2666" s="6" t="str">
        <f>HYPERLINK("javascript:void(0)","istenköröm")</f>
        <v>istenköröm</v>
      </c>
    </row>
    <row r="2667" spans="1:4" ht="12.75" customHeight="1" x14ac:dyDescent="0.2">
      <c r="A2667" s="21"/>
      <c r="B2667" s="21"/>
      <c r="C2667" s="4" t="s">
        <v>244</v>
      </c>
      <c r="D2667" s="6" t="str">
        <f>HYPERLINK("javascript:void(0)","göb")</f>
        <v>göb</v>
      </c>
    </row>
    <row r="2668" spans="1:4" ht="12.75" customHeight="1" x14ac:dyDescent="0.2">
      <c r="A2668" s="5"/>
      <c r="B2668" s="2"/>
      <c r="C2668" s="2"/>
      <c r="D2668" s="2"/>
    </row>
    <row r="2669" spans="1:4" ht="12.75" customHeight="1" x14ac:dyDescent="0.2">
      <c r="A2669" s="22" t="str">
        <f>HYPERLINK("javascript:void(0)","kompózium vasaló")</f>
        <v>kompózium vasaló</v>
      </c>
      <c r="B2669" s="21"/>
      <c r="C2669" s="21"/>
      <c r="D2669" s="21"/>
    </row>
    <row r="2670" spans="1:4" ht="12.75" customHeight="1" x14ac:dyDescent="0.2">
      <c r="A2670" s="20"/>
      <c r="B2670" s="2"/>
      <c r="C2670" s="2"/>
      <c r="D2670" s="2"/>
    </row>
    <row r="2671" spans="1:4" ht="12.75" customHeight="1" x14ac:dyDescent="0.2">
      <c r="A2671" s="21"/>
      <c r="B2671" s="3" t="s">
        <v>0</v>
      </c>
      <c r="C2671" s="20" t="s">
        <v>376</v>
      </c>
      <c r="D2671" s="21"/>
    </row>
    <row r="2672" spans="1:4" ht="12.75" customHeight="1" x14ac:dyDescent="0.2">
      <c r="A2672" s="21"/>
      <c r="B2672" s="3" t="s">
        <v>2</v>
      </c>
      <c r="C2672" s="20" t="s">
        <v>122</v>
      </c>
      <c r="D2672" s="21"/>
    </row>
    <row r="2673" spans="1:4" ht="12.75" customHeight="1" x14ac:dyDescent="0.2">
      <c r="A2673" s="21"/>
      <c r="B2673" s="3" t="s">
        <v>4</v>
      </c>
      <c r="C2673" s="20" t="s">
        <v>892</v>
      </c>
      <c r="D2673" s="21"/>
    </row>
    <row r="2674" spans="1:4" ht="12.75" customHeight="1" x14ac:dyDescent="0.2">
      <c r="A2674" s="21"/>
      <c r="B2674" s="3" t="s">
        <v>6</v>
      </c>
      <c r="C2674" s="20" t="s">
        <v>206</v>
      </c>
      <c r="D2674" s="21"/>
    </row>
    <row r="2675" spans="1:4" ht="12.75" customHeight="1" x14ac:dyDescent="0.2">
      <c r="A2675" s="21"/>
      <c r="B2675" s="3" t="s">
        <v>8</v>
      </c>
      <c r="C2675" s="20" t="s">
        <v>892</v>
      </c>
      <c r="D2675" s="21"/>
    </row>
    <row r="2676" spans="1:4" ht="12.75" customHeight="1" x14ac:dyDescent="0.2">
      <c r="A2676" s="21"/>
      <c r="B2676" s="3" t="s">
        <v>9</v>
      </c>
      <c r="C2676" s="20" t="s">
        <v>374</v>
      </c>
      <c r="D2676" s="21"/>
    </row>
    <row r="2677" spans="1:4" ht="12.75" customHeight="1" x14ac:dyDescent="0.2">
      <c r="A2677" s="21"/>
      <c r="B2677" s="3" t="s">
        <v>11</v>
      </c>
      <c r="C2677" s="20" t="s">
        <v>514</v>
      </c>
      <c r="D2677" s="21"/>
    </row>
    <row r="2678" spans="1:4" ht="12.75" customHeight="1" x14ac:dyDescent="0.2">
      <c r="A2678" s="21"/>
      <c r="B2678" s="3" t="s">
        <v>13</v>
      </c>
      <c r="C2678" s="20" t="s">
        <v>24</v>
      </c>
      <c r="D2678" s="21"/>
    </row>
    <row r="2679" spans="1:4" ht="12.75" customHeight="1" x14ac:dyDescent="0.2">
      <c r="A2679" s="21"/>
      <c r="B2679" s="3" t="s">
        <v>15</v>
      </c>
      <c r="C2679" s="20" t="s">
        <v>24</v>
      </c>
      <c r="D2679" s="21"/>
    </row>
    <row r="2680" spans="1:4" ht="12.75" customHeight="1" x14ac:dyDescent="0.2">
      <c r="A2680" s="21"/>
      <c r="B2680" s="3" t="s">
        <v>16</v>
      </c>
      <c r="C2680" s="20"/>
      <c r="D2680" s="21"/>
    </row>
    <row r="2681" spans="1:4" ht="12.75" customHeight="1" x14ac:dyDescent="0.2">
      <c r="A2681" s="21"/>
      <c r="B2681" s="3" t="s">
        <v>17</v>
      </c>
      <c r="C2681" s="20"/>
      <c r="D2681" s="21"/>
    </row>
    <row r="2682" spans="1:4" ht="12.75" customHeight="1" x14ac:dyDescent="0.2">
      <c r="A2682" s="21"/>
      <c r="B2682" s="20" t="s">
        <v>18</v>
      </c>
      <c r="C2682" s="4" t="s">
        <v>44</v>
      </c>
      <c r="D2682" s="6" t="str">
        <f>HYPERLINK("javascript:void(0)","királyi jogar")</f>
        <v>királyi jogar</v>
      </c>
    </row>
    <row r="2683" spans="1:4" ht="12.75" customHeight="1" x14ac:dyDescent="0.2">
      <c r="A2683" s="21"/>
      <c r="B2683" s="21"/>
      <c r="C2683" s="4" t="s">
        <v>57</v>
      </c>
      <c r="D2683" s="6" t="str">
        <f>HYPERLINK("javascript:void(0)","homokóra")</f>
        <v>homokóra</v>
      </c>
    </row>
    <row r="2684" spans="1:4" ht="12.75" customHeight="1" x14ac:dyDescent="0.2">
      <c r="A2684" s="21"/>
      <c r="B2684" s="21"/>
      <c r="C2684" s="4" t="s">
        <v>68</v>
      </c>
      <c r="D2684" s="6" t="str">
        <f>HYPERLINK("javascript:void(0)","manókoponya")</f>
        <v>manókoponya</v>
      </c>
    </row>
    <row r="2685" spans="1:4" ht="12.75" customHeight="1" x14ac:dyDescent="0.2">
      <c r="A2685" s="5"/>
      <c r="B2685" s="2"/>
      <c r="C2685" s="2"/>
      <c r="D2685" s="2"/>
    </row>
    <row r="2686" spans="1:4" ht="12.75" customHeight="1" x14ac:dyDescent="0.2">
      <c r="A2686" s="22" t="str">
        <f>HYPERLINK("javascript:void(0)","thordi ballaszt")</f>
        <v>thordi ballaszt</v>
      </c>
      <c r="B2686" s="21"/>
      <c r="C2686" s="21"/>
      <c r="D2686" s="21"/>
    </row>
    <row r="2687" spans="1:4" ht="12.75" customHeight="1" x14ac:dyDescent="0.2">
      <c r="A2687" s="20"/>
      <c r="B2687" s="2"/>
      <c r="C2687" s="2"/>
      <c r="D2687" s="2"/>
    </row>
    <row r="2688" spans="1:4" ht="12.75" customHeight="1" x14ac:dyDescent="0.2">
      <c r="A2688" s="21"/>
      <c r="B2688" s="3" t="s">
        <v>0</v>
      </c>
      <c r="C2688" s="20" t="s">
        <v>376</v>
      </c>
      <c r="D2688" s="21"/>
    </row>
    <row r="2689" spans="1:4" ht="12.75" customHeight="1" x14ac:dyDescent="0.2">
      <c r="A2689" s="21"/>
      <c r="B2689" s="3" t="s">
        <v>2</v>
      </c>
      <c r="C2689" s="20" t="s">
        <v>122</v>
      </c>
      <c r="D2689" s="21"/>
    </row>
    <row r="2690" spans="1:4" ht="12.75" customHeight="1" x14ac:dyDescent="0.2">
      <c r="A2690" s="21"/>
      <c r="B2690" s="3" t="s">
        <v>4</v>
      </c>
      <c r="C2690" s="20" t="s">
        <v>898</v>
      </c>
      <c r="D2690" s="21"/>
    </row>
    <row r="2691" spans="1:4" ht="12.75" customHeight="1" x14ac:dyDescent="0.2">
      <c r="A2691" s="21"/>
      <c r="B2691" s="3" t="s">
        <v>6</v>
      </c>
      <c r="C2691" s="20" t="s">
        <v>260</v>
      </c>
      <c r="D2691" s="21"/>
    </row>
    <row r="2692" spans="1:4" ht="12.75" customHeight="1" x14ac:dyDescent="0.2">
      <c r="A2692" s="21"/>
      <c r="B2692" s="3" t="s">
        <v>8</v>
      </c>
      <c r="C2692" s="20" t="s">
        <v>898</v>
      </c>
      <c r="D2692" s="21"/>
    </row>
    <row r="2693" spans="1:4" ht="12.75" customHeight="1" x14ac:dyDescent="0.2">
      <c r="A2693" s="21"/>
      <c r="B2693" s="3" t="s">
        <v>9</v>
      </c>
      <c r="C2693" s="20" t="s">
        <v>900</v>
      </c>
      <c r="D2693" s="21"/>
    </row>
    <row r="2694" spans="1:4" ht="12.75" customHeight="1" x14ac:dyDescent="0.2">
      <c r="A2694" s="21"/>
      <c r="B2694" s="3" t="s">
        <v>11</v>
      </c>
      <c r="C2694" s="20" t="s">
        <v>587</v>
      </c>
      <c r="D2694" s="21"/>
    </row>
    <row r="2695" spans="1:4" ht="12.75" customHeight="1" x14ac:dyDescent="0.2">
      <c r="A2695" s="21"/>
      <c r="B2695" s="3" t="s">
        <v>13</v>
      </c>
      <c r="C2695" s="20" t="s">
        <v>24</v>
      </c>
      <c r="D2695" s="21"/>
    </row>
    <row r="2696" spans="1:4" ht="12.75" customHeight="1" x14ac:dyDescent="0.2">
      <c r="A2696" s="21"/>
      <c r="B2696" s="3" t="s">
        <v>15</v>
      </c>
      <c r="C2696" s="20" t="s">
        <v>24</v>
      </c>
      <c r="D2696" s="21"/>
    </row>
    <row r="2697" spans="1:4" ht="12.75" customHeight="1" x14ac:dyDescent="0.2">
      <c r="A2697" s="21"/>
      <c r="B2697" s="3" t="s">
        <v>16</v>
      </c>
      <c r="C2697" s="20"/>
      <c r="D2697" s="21"/>
    </row>
    <row r="2698" spans="1:4" ht="12.75" customHeight="1" x14ac:dyDescent="0.2">
      <c r="A2698" s="21"/>
      <c r="B2698" s="3" t="s">
        <v>17</v>
      </c>
      <c r="C2698" s="20"/>
      <c r="D2698" s="21"/>
    </row>
    <row r="2699" spans="1:4" ht="12.75" customHeight="1" x14ac:dyDescent="0.2">
      <c r="A2699" s="21"/>
      <c r="B2699" s="20" t="s">
        <v>18</v>
      </c>
      <c r="C2699" s="4" t="s">
        <v>163</v>
      </c>
      <c r="D2699" s="6" t="str">
        <f>HYPERLINK("javascript:void(0)","csontszilánk")</f>
        <v>csontszilánk</v>
      </c>
    </row>
    <row r="2700" spans="1:4" ht="12.75" customHeight="1" x14ac:dyDescent="0.2">
      <c r="A2700" s="21"/>
      <c r="B2700" s="21"/>
      <c r="C2700" s="4" t="s">
        <v>117</v>
      </c>
      <c r="D2700" s="6" t="str">
        <f>HYPERLINK("javascript:void(0)","istenköröm")</f>
        <v>istenköröm</v>
      </c>
    </row>
    <row r="2701" spans="1:4" ht="12.75" customHeight="1" x14ac:dyDescent="0.2">
      <c r="A2701" s="21"/>
      <c r="B2701" s="21"/>
      <c r="C2701" s="4" t="s">
        <v>139</v>
      </c>
      <c r="D2701" s="6" t="str">
        <f>HYPERLINK("javascript:void(0)","öbleny")</f>
        <v>öbleny</v>
      </c>
    </row>
    <row r="2702" spans="1:4" ht="12.75" customHeight="1" x14ac:dyDescent="0.2">
      <c r="A2702" s="5"/>
      <c r="B2702" s="2"/>
      <c r="C2702" s="2"/>
      <c r="D2702" s="2"/>
    </row>
    <row r="2703" spans="1:4" ht="12.75" customHeight="1" x14ac:dyDescent="0.2">
      <c r="A2703" s="22" t="str">
        <f>HYPERLINK("javascript:void(0)","gyíkacél poroló")</f>
        <v>gyíkacél poroló</v>
      </c>
      <c r="B2703" s="21"/>
      <c r="C2703" s="21"/>
      <c r="D2703" s="21"/>
    </row>
    <row r="2704" spans="1:4" ht="12.75" customHeight="1" x14ac:dyDescent="0.2">
      <c r="A2704" s="20"/>
      <c r="B2704" s="2"/>
      <c r="C2704" s="2"/>
      <c r="D2704" s="2"/>
    </row>
    <row r="2705" spans="1:4" ht="12.75" customHeight="1" x14ac:dyDescent="0.2">
      <c r="A2705" s="21"/>
      <c r="B2705" s="3" t="s">
        <v>0</v>
      </c>
      <c r="C2705" s="20" t="s">
        <v>376</v>
      </c>
      <c r="D2705" s="21"/>
    </row>
    <row r="2706" spans="1:4" ht="12.75" customHeight="1" x14ac:dyDescent="0.2">
      <c r="A2706" s="21"/>
      <c r="B2706" s="3" t="s">
        <v>2</v>
      </c>
      <c r="C2706" s="20" t="s">
        <v>122</v>
      </c>
      <c r="D2706" s="21"/>
    </row>
    <row r="2707" spans="1:4" ht="12.75" customHeight="1" x14ac:dyDescent="0.2">
      <c r="A2707" s="21"/>
      <c r="B2707" s="3" t="s">
        <v>4</v>
      </c>
      <c r="C2707" s="20" t="s">
        <v>903</v>
      </c>
      <c r="D2707" s="21"/>
    </row>
    <row r="2708" spans="1:4" ht="12.75" customHeight="1" x14ac:dyDescent="0.2">
      <c r="A2708" s="21"/>
      <c r="B2708" s="3" t="s">
        <v>6</v>
      </c>
      <c r="C2708" s="20" t="s">
        <v>107</v>
      </c>
      <c r="D2708" s="21"/>
    </row>
    <row r="2709" spans="1:4" ht="12.75" customHeight="1" x14ac:dyDescent="0.2">
      <c r="A2709" s="21"/>
      <c r="B2709" s="3" t="s">
        <v>8</v>
      </c>
      <c r="C2709" s="20" t="s">
        <v>903</v>
      </c>
      <c r="D2709" s="21"/>
    </row>
    <row r="2710" spans="1:4" ht="12.75" customHeight="1" x14ac:dyDescent="0.2">
      <c r="A2710" s="21"/>
      <c r="B2710" s="3" t="s">
        <v>9</v>
      </c>
      <c r="C2710" s="20" t="s">
        <v>904</v>
      </c>
      <c r="D2710" s="21"/>
    </row>
    <row r="2711" spans="1:4" ht="12.75" customHeight="1" x14ac:dyDescent="0.2">
      <c r="A2711" s="21"/>
      <c r="B2711" s="3" t="s">
        <v>11</v>
      </c>
      <c r="C2711" s="20" t="s">
        <v>368</v>
      </c>
      <c r="D2711" s="21"/>
    </row>
    <row r="2712" spans="1:4" ht="12.75" customHeight="1" x14ac:dyDescent="0.2">
      <c r="A2712" s="21"/>
      <c r="B2712" s="3" t="s">
        <v>13</v>
      </c>
      <c r="C2712" s="20" t="s">
        <v>24</v>
      </c>
      <c r="D2712" s="21"/>
    </row>
    <row r="2713" spans="1:4" ht="12.75" customHeight="1" x14ac:dyDescent="0.2">
      <c r="A2713" s="21"/>
      <c r="B2713" s="3" t="s">
        <v>15</v>
      </c>
      <c r="C2713" s="20" t="s">
        <v>24</v>
      </c>
      <c r="D2713" s="21"/>
    </row>
    <row r="2714" spans="1:4" ht="12.75" customHeight="1" x14ac:dyDescent="0.2">
      <c r="A2714" s="21"/>
      <c r="B2714" s="3" t="s">
        <v>16</v>
      </c>
      <c r="C2714" s="20"/>
      <c r="D2714" s="21"/>
    </row>
    <row r="2715" spans="1:4" ht="12.75" customHeight="1" x14ac:dyDescent="0.2">
      <c r="A2715" s="21"/>
      <c r="B2715" s="3" t="s">
        <v>17</v>
      </c>
      <c r="C2715" s="20"/>
      <c r="D2715" s="21"/>
    </row>
    <row r="2716" spans="1:4" ht="12.75" customHeight="1" x14ac:dyDescent="0.2">
      <c r="A2716" s="21"/>
      <c r="B2716" s="20" t="s">
        <v>18</v>
      </c>
      <c r="C2716" s="4" t="s">
        <v>67</v>
      </c>
      <c r="D2716" s="6" t="str">
        <f>HYPERLINK("javascript:void(0)","membránplazma")</f>
        <v>membránplazma</v>
      </c>
    </row>
    <row r="2717" spans="1:4" ht="12.75" customHeight="1" x14ac:dyDescent="0.2">
      <c r="A2717" s="21"/>
      <c r="B2717" s="21"/>
      <c r="C2717" s="4" t="s">
        <v>44</v>
      </c>
      <c r="D2717" s="6" t="str">
        <f>HYPERLINK("javascript:void(0)","arany fejsze")</f>
        <v>arany fejsze</v>
      </c>
    </row>
    <row r="2718" spans="1:4" ht="12.75" customHeight="1" x14ac:dyDescent="0.2">
      <c r="A2718" s="21"/>
      <c r="B2718" s="21"/>
      <c r="C2718" s="4" t="s">
        <v>280</v>
      </c>
      <c r="D2718" s="6" t="str">
        <f>HYPERLINK("javascript:void(0)","ezüstagyar")</f>
        <v>ezüstagyar</v>
      </c>
    </row>
    <row r="2719" spans="1:4" ht="12.75" customHeight="1" x14ac:dyDescent="0.2">
      <c r="A2719" s="5"/>
      <c r="B2719" s="2"/>
      <c r="C2719" s="2"/>
      <c r="D2719" s="2"/>
    </row>
    <row r="2720" spans="1:4" ht="12.75" customHeight="1" x14ac:dyDescent="0.2">
      <c r="A2720" s="22" t="str">
        <f>HYPERLINK("javascript:void(0)","időkalapács")</f>
        <v>időkalapács</v>
      </c>
      <c r="B2720" s="21"/>
      <c r="C2720" s="21"/>
      <c r="D2720" s="21"/>
    </row>
    <row r="2721" spans="1:4" ht="12.75" customHeight="1" x14ac:dyDescent="0.2">
      <c r="A2721" s="20"/>
      <c r="B2721" s="2"/>
      <c r="C2721" s="2"/>
      <c r="D2721" s="2"/>
    </row>
    <row r="2722" spans="1:4" ht="12.75" customHeight="1" x14ac:dyDescent="0.2">
      <c r="A2722" s="21"/>
      <c r="B2722" s="3" t="s">
        <v>0</v>
      </c>
      <c r="C2722" s="20" t="s">
        <v>60</v>
      </c>
      <c r="D2722" s="21"/>
    </row>
    <row r="2723" spans="1:4" ht="12.75" customHeight="1" x14ac:dyDescent="0.2">
      <c r="A2723" s="21"/>
      <c r="B2723" s="3" t="s">
        <v>2</v>
      </c>
      <c r="C2723" s="20" t="s">
        <v>122</v>
      </c>
      <c r="D2723" s="21"/>
    </row>
    <row r="2724" spans="1:4" ht="12.75" customHeight="1" x14ac:dyDescent="0.2">
      <c r="A2724" s="21"/>
      <c r="B2724" s="3" t="s">
        <v>4</v>
      </c>
      <c r="C2724" s="20" t="s">
        <v>907</v>
      </c>
      <c r="D2724" s="21"/>
    </row>
    <row r="2725" spans="1:4" ht="12.75" customHeight="1" x14ac:dyDescent="0.2">
      <c r="A2725" s="21"/>
      <c r="B2725" s="3" t="s">
        <v>6</v>
      </c>
      <c r="C2725" s="20" t="s">
        <v>157</v>
      </c>
      <c r="D2725" s="21"/>
    </row>
    <row r="2726" spans="1:4" ht="12.75" customHeight="1" x14ac:dyDescent="0.2">
      <c r="A2726" s="21"/>
      <c r="B2726" s="3" t="s">
        <v>8</v>
      </c>
      <c r="C2726" s="20" t="s">
        <v>907</v>
      </c>
      <c r="D2726" s="21"/>
    </row>
    <row r="2727" spans="1:4" ht="12.75" customHeight="1" x14ac:dyDescent="0.2">
      <c r="A2727" s="21"/>
      <c r="B2727" s="3" t="s">
        <v>9</v>
      </c>
      <c r="C2727" s="20" t="s">
        <v>172</v>
      </c>
      <c r="D2727" s="21"/>
    </row>
    <row r="2728" spans="1:4" ht="12.75" customHeight="1" x14ac:dyDescent="0.2">
      <c r="A2728" s="21"/>
      <c r="B2728" s="3" t="s">
        <v>11</v>
      </c>
      <c r="C2728" s="20" t="s">
        <v>523</v>
      </c>
      <c r="D2728" s="21"/>
    </row>
    <row r="2729" spans="1:4" ht="12.75" customHeight="1" x14ac:dyDescent="0.2">
      <c r="A2729" s="21"/>
      <c r="B2729" s="3" t="s">
        <v>13</v>
      </c>
      <c r="C2729" s="20" t="s">
        <v>24</v>
      </c>
      <c r="D2729" s="21"/>
    </row>
    <row r="2730" spans="1:4" ht="12.75" customHeight="1" x14ac:dyDescent="0.2">
      <c r="A2730" s="21"/>
      <c r="B2730" s="3" t="s">
        <v>15</v>
      </c>
      <c r="C2730" s="20" t="s">
        <v>24</v>
      </c>
      <c r="D2730" s="21"/>
    </row>
    <row r="2731" spans="1:4" ht="12.75" customHeight="1" x14ac:dyDescent="0.2">
      <c r="A2731" s="21"/>
      <c r="B2731" s="3" t="s">
        <v>16</v>
      </c>
      <c r="C2731" s="20"/>
      <c r="D2731" s="21"/>
    </row>
    <row r="2732" spans="1:4" ht="12.75" customHeight="1" x14ac:dyDescent="0.2">
      <c r="A2732" s="21"/>
      <c r="B2732" s="3" t="s">
        <v>17</v>
      </c>
      <c r="C2732" s="20"/>
      <c r="D2732" s="21"/>
    </row>
    <row r="2733" spans="1:4" ht="12.75" customHeight="1" x14ac:dyDescent="0.2">
      <c r="A2733" s="21"/>
      <c r="B2733" s="20" t="s">
        <v>18</v>
      </c>
      <c r="C2733" s="4" t="s">
        <v>44</v>
      </c>
      <c r="D2733" s="6" t="str">
        <f>HYPERLINK("javascript:void(0)","kompózium vasaló")</f>
        <v>kompózium vasaló</v>
      </c>
    </row>
    <row r="2734" spans="1:4" ht="12.75" customHeight="1" x14ac:dyDescent="0.2">
      <c r="A2734" s="21"/>
      <c r="B2734" s="21"/>
      <c r="C2734" s="4" t="s">
        <v>57</v>
      </c>
      <c r="D2734" s="6" t="str">
        <f>HYPERLINK("javascript:void(0)","igeidő")</f>
        <v>igeidő</v>
      </c>
    </row>
    <row r="2735" spans="1:4" ht="12.75" customHeight="1" x14ac:dyDescent="0.2">
      <c r="A2735" s="21"/>
      <c r="B2735" s="21"/>
      <c r="C2735" s="4" t="s">
        <v>68</v>
      </c>
      <c r="D2735" s="6" t="str">
        <f>HYPERLINK("javascript:void(0)","vérrög")</f>
        <v>vérrög</v>
      </c>
    </row>
    <row r="2736" spans="1:4" ht="12.75" customHeight="1" x14ac:dyDescent="0.2">
      <c r="A2736" s="5"/>
      <c r="B2736" s="2"/>
      <c r="C2736" s="2"/>
      <c r="D2736" s="2"/>
    </row>
    <row r="2737" spans="1:4" ht="12.75" customHeight="1" x14ac:dyDescent="0.2">
      <c r="A2737" s="22" t="str">
        <f>HYPERLINK("javascript:void(0)","csontcsillag mágusölő")</f>
        <v>csontcsillag mágusölő</v>
      </c>
      <c r="B2737" s="21"/>
      <c r="C2737" s="21"/>
      <c r="D2737" s="21"/>
    </row>
    <row r="2738" spans="1:4" ht="12.75" customHeight="1" x14ac:dyDescent="0.2">
      <c r="A2738" s="20"/>
      <c r="B2738" s="2"/>
      <c r="C2738" s="2"/>
      <c r="D2738" s="2"/>
    </row>
    <row r="2739" spans="1:4" ht="12.75" customHeight="1" x14ac:dyDescent="0.2">
      <c r="A2739" s="21"/>
      <c r="B2739" s="3" t="s">
        <v>0</v>
      </c>
      <c r="C2739" s="20" t="s">
        <v>60</v>
      </c>
      <c r="D2739" s="21"/>
    </row>
    <row r="2740" spans="1:4" ht="12.75" customHeight="1" x14ac:dyDescent="0.2">
      <c r="A2740" s="21"/>
      <c r="B2740" s="3" t="s">
        <v>2</v>
      </c>
      <c r="C2740" s="20" t="s">
        <v>122</v>
      </c>
      <c r="D2740" s="21"/>
    </row>
    <row r="2741" spans="1:4" ht="12.75" customHeight="1" x14ac:dyDescent="0.2">
      <c r="A2741" s="21"/>
      <c r="B2741" s="3" t="s">
        <v>4</v>
      </c>
      <c r="C2741" s="20" t="s">
        <v>911</v>
      </c>
      <c r="D2741" s="21"/>
    </row>
    <row r="2742" spans="1:4" ht="12.75" customHeight="1" x14ac:dyDescent="0.2">
      <c r="A2742" s="21"/>
      <c r="B2742" s="3" t="s">
        <v>6</v>
      </c>
      <c r="C2742" s="20" t="s">
        <v>48</v>
      </c>
      <c r="D2742" s="21"/>
    </row>
    <row r="2743" spans="1:4" ht="12.75" customHeight="1" x14ac:dyDescent="0.2">
      <c r="A2743" s="21"/>
      <c r="B2743" s="3" t="s">
        <v>8</v>
      </c>
      <c r="C2743" s="20" t="s">
        <v>911</v>
      </c>
      <c r="D2743" s="21"/>
    </row>
    <row r="2744" spans="1:4" ht="12.75" customHeight="1" x14ac:dyDescent="0.2">
      <c r="A2744" s="21"/>
      <c r="B2744" s="3" t="s">
        <v>9</v>
      </c>
      <c r="C2744" s="20" t="s">
        <v>912</v>
      </c>
      <c r="D2744" s="21"/>
    </row>
    <row r="2745" spans="1:4" ht="12.75" customHeight="1" x14ac:dyDescent="0.2">
      <c r="A2745" s="21"/>
      <c r="B2745" s="3" t="s">
        <v>11</v>
      </c>
      <c r="C2745" s="20" t="s">
        <v>523</v>
      </c>
      <c r="D2745" s="21"/>
    </row>
    <row r="2746" spans="1:4" ht="12.75" customHeight="1" x14ac:dyDescent="0.2">
      <c r="A2746" s="21"/>
      <c r="B2746" s="3" t="s">
        <v>13</v>
      </c>
      <c r="C2746" s="20" t="s">
        <v>14</v>
      </c>
      <c r="D2746" s="21"/>
    </row>
    <row r="2747" spans="1:4" ht="12.75" customHeight="1" x14ac:dyDescent="0.2">
      <c r="A2747" s="21"/>
      <c r="B2747" s="3" t="s">
        <v>15</v>
      </c>
      <c r="C2747" s="20" t="s">
        <v>24</v>
      </c>
      <c r="D2747" s="21"/>
    </row>
    <row r="2748" spans="1:4" ht="12.75" customHeight="1" x14ac:dyDescent="0.2">
      <c r="A2748" s="21"/>
      <c r="B2748" s="3" t="s">
        <v>16</v>
      </c>
      <c r="C2748" s="20"/>
      <c r="D2748" s="21"/>
    </row>
    <row r="2749" spans="1:4" ht="12.75" customHeight="1" x14ac:dyDescent="0.2">
      <c r="A2749" s="21"/>
      <c r="B2749" s="3" t="s">
        <v>17</v>
      </c>
      <c r="C2749" s="20"/>
      <c r="D2749" s="21"/>
    </row>
    <row r="2750" spans="1:4" ht="12.75" customHeight="1" x14ac:dyDescent="0.2">
      <c r="A2750" s="21"/>
      <c r="B2750" s="20" t="s">
        <v>18</v>
      </c>
      <c r="C2750" s="4" t="s">
        <v>68</v>
      </c>
      <c r="D2750" s="6" t="str">
        <f>HYPERLINK("javascript:void(0)","igeidő")</f>
        <v>igeidő</v>
      </c>
    </row>
    <row r="2751" spans="1:4" ht="12.75" customHeight="1" x14ac:dyDescent="0.2">
      <c r="A2751" s="21"/>
      <c r="B2751" s="21"/>
      <c r="C2751" s="4" t="s">
        <v>67</v>
      </c>
      <c r="D2751" s="6" t="str">
        <f>HYPERLINK("javascript:void(0)","űrlap")</f>
        <v>űrlap</v>
      </c>
    </row>
    <row r="2752" spans="1:4" ht="12.75" customHeight="1" x14ac:dyDescent="0.2">
      <c r="A2752" s="21"/>
      <c r="B2752" s="21"/>
      <c r="C2752" s="4" t="s">
        <v>98</v>
      </c>
      <c r="D2752" s="6" t="str">
        <f>HYPERLINK("javascript:void(0)","csigaház")</f>
        <v>csigaház</v>
      </c>
    </row>
    <row r="2753" spans="1:4" ht="12.75" customHeight="1" x14ac:dyDescent="0.2">
      <c r="A2753" s="5"/>
      <c r="B2753" s="2"/>
      <c r="C2753" s="2"/>
      <c r="D2753" s="2"/>
    </row>
    <row r="2754" spans="1:4" ht="12.75" customHeight="1" x14ac:dyDescent="0.2">
      <c r="A2754" s="22" t="str">
        <f>HYPERLINK("javascript:void(0)","formabontó")</f>
        <v>formabontó</v>
      </c>
      <c r="B2754" s="21"/>
      <c r="C2754" s="21"/>
      <c r="D2754" s="21"/>
    </row>
    <row r="2755" spans="1:4" ht="12.75" customHeight="1" x14ac:dyDescent="0.2">
      <c r="A2755" s="20"/>
      <c r="B2755" s="2"/>
      <c r="C2755" s="2"/>
      <c r="D2755" s="2"/>
    </row>
    <row r="2756" spans="1:4" ht="12.75" customHeight="1" x14ac:dyDescent="0.2">
      <c r="A2756" s="21"/>
      <c r="B2756" s="3" t="s">
        <v>0</v>
      </c>
      <c r="C2756" s="20" t="s">
        <v>167</v>
      </c>
      <c r="D2756" s="21"/>
    </row>
    <row r="2757" spans="1:4" ht="12.75" customHeight="1" x14ac:dyDescent="0.2">
      <c r="A2757" s="21"/>
      <c r="B2757" s="3" t="s">
        <v>2</v>
      </c>
      <c r="C2757" s="20" t="s">
        <v>122</v>
      </c>
      <c r="D2757" s="21"/>
    </row>
    <row r="2758" spans="1:4" ht="12.75" customHeight="1" x14ac:dyDescent="0.2">
      <c r="A2758" s="21"/>
      <c r="B2758" s="3" t="s">
        <v>4</v>
      </c>
      <c r="C2758" s="20" t="s">
        <v>919</v>
      </c>
      <c r="D2758" s="21"/>
    </row>
    <row r="2759" spans="1:4" ht="12.75" customHeight="1" x14ac:dyDescent="0.2">
      <c r="A2759" s="21"/>
      <c r="B2759" s="3" t="s">
        <v>6</v>
      </c>
      <c r="C2759" s="20" t="s">
        <v>157</v>
      </c>
      <c r="D2759" s="21"/>
    </row>
    <row r="2760" spans="1:4" ht="12.75" customHeight="1" x14ac:dyDescent="0.2">
      <c r="A2760" s="21"/>
      <c r="B2760" s="3" t="s">
        <v>8</v>
      </c>
      <c r="C2760" s="20" t="s">
        <v>919</v>
      </c>
      <c r="D2760" s="21"/>
    </row>
    <row r="2761" spans="1:4" ht="12.75" customHeight="1" x14ac:dyDescent="0.2">
      <c r="A2761" s="21"/>
      <c r="B2761" s="3" t="s">
        <v>9</v>
      </c>
      <c r="C2761" s="20" t="s">
        <v>36</v>
      </c>
      <c r="D2761" s="21"/>
    </row>
    <row r="2762" spans="1:4" ht="12.75" customHeight="1" x14ac:dyDescent="0.2">
      <c r="A2762" s="21"/>
      <c r="B2762" s="3" t="s">
        <v>11</v>
      </c>
      <c r="C2762" s="20" t="s">
        <v>536</v>
      </c>
      <c r="D2762" s="21"/>
    </row>
    <row r="2763" spans="1:4" ht="12.75" customHeight="1" x14ac:dyDescent="0.2">
      <c r="A2763" s="21"/>
      <c r="B2763" s="3" t="s">
        <v>13</v>
      </c>
      <c r="C2763" s="20" t="s">
        <v>24</v>
      </c>
      <c r="D2763" s="21"/>
    </row>
    <row r="2764" spans="1:4" ht="12.75" customHeight="1" x14ac:dyDescent="0.2">
      <c r="A2764" s="21"/>
      <c r="B2764" s="3" t="s">
        <v>15</v>
      </c>
      <c r="C2764" s="20" t="s">
        <v>24</v>
      </c>
      <c r="D2764" s="21"/>
    </row>
    <row r="2765" spans="1:4" ht="12.75" customHeight="1" x14ac:dyDescent="0.2">
      <c r="A2765" s="21"/>
      <c r="B2765" s="3" t="s">
        <v>16</v>
      </c>
      <c r="C2765" s="20"/>
      <c r="D2765" s="21"/>
    </row>
    <row r="2766" spans="1:4" ht="12.75" customHeight="1" x14ac:dyDescent="0.2">
      <c r="A2766" s="21"/>
      <c r="B2766" s="3" t="s">
        <v>17</v>
      </c>
      <c r="C2766" s="20"/>
      <c r="D2766" s="21"/>
    </row>
    <row r="2767" spans="1:4" ht="12.75" customHeight="1" x14ac:dyDescent="0.2">
      <c r="A2767" s="21"/>
      <c r="B2767" s="20" t="s">
        <v>18</v>
      </c>
      <c r="C2767" s="4" t="s">
        <v>56</v>
      </c>
      <c r="D2767" s="6" t="str">
        <f>HYPERLINK("javascript:void(0)","morfige")</f>
        <v>morfige</v>
      </c>
    </row>
    <row r="2768" spans="1:4" ht="12.75" customHeight="1" x14ac:dyDescent="0.2">
      <c r="A2768" s="21"/>
      <c r="B2768" s="21"/>
      <c r="C2768" s="4" t="s">
        <v>67</v>
      </c>
      <c r="D2768" s="6" t="str">
        <f>HYPERLINK("javascript:void(0)","vérrög")</f>
        <v>vérrög</v>
      </c>
    </row>
    <row r="2769" spans="1:4" ht="12.75" customHeight="1" x14ac:dyDescent="0.2">
      <c r="A2769" s="21"/>
      <c r="B2769" s="21"/>
      <c r="C2769" s="4" t="s">
        <v>139</v>
      </c>
      <c r="D2769" s="6" t="str">
        <f>HYPERLINK("javascript:void(0)","istenköröm")</f>
        <v>istenköröm</v>
      </c>
    </row>
    <row r="2770" spans="1:4" ht="12.75" customHeight="1" x14ac:dyDescent="0.2">
      <c r="A2770" s="5"/>
      <c r="B2770" s="2"/>
      <c r="C2770" s="2"/>
      <c r="D2770" s="2"/>
    </row>
    <row r="2771" spans="1:4" ht="12.75" customHeight="1" x14ac:dyDescent="0.2">
      <c r="A2771" s="22" t="str">
        <f>HYPERLINK("javascript:void(0)","horgolt ballaszt")</f>
        <v>horgolt ballaszt</v>
      </c>
      <c r="B2771" s="21"/>
      <c r="C2771" s="21"/>
      <c r="D2771" s="21"/>
    </row>
    <row r="2772" spans="1:4" ht="12.75" customHeight="1" x14ac:dyDescent="0.2">
      <c r="A2772" s="20"/>
      <c r="B2772" s="2"/>
      <c r="C2772" s="2"/>
      <c r="D2772" s="2"/>
    </row>
    <row r="2773" spans="1:4" ht="12.75" customHeight="1" x14ac:dyDescent="0.2">
      <c r="A2773" s="21"/>
      <c r="B2773" s="3" t="s">
        <v>0</v>
      </c>
      <c r="C2773" s="20" t="s">
        <v>167</v>
      </c>
      <c r="D2773" s="21"/>
    </row>
    <row r="2774" spans="1:4" ht="12.75" customHeight="1" x14ac:dyDescent="0.2">
      <c r="A2774" s="21"/>
      <c r="B2774" s="3" t="s">
        <v>2</v>
      </c>
      <c r="C2774" s="20" t="s">
        <v>122</v>
      </c>
      <c r="D2774" s="21"/>
    </row>
    <row r="2775" spans="1:4" ht="12.75" customHeight="1" x14ac:dyDescent="0.2">
      <c r="A2775" s="21"/>
      <c r="B2775" s="3" t="s">
        <v>4</v>
      </c>
      <c r="C2775" s="20" t="s">
        <v>922</v>
      </c>
      <c r="D2775" s="21"/>
    </row>
    <row r="2776" spans="1:4" ht="12.75" customHeight="1" x14ac:dyDescent="0.2">
      <c r="A2776" s="21"/>
      <c r="B2776" s="3" t="s">
        <v>6</v>
      </c>
      <c r="C2776" s="20" t="s">
        <v>392</v>
      </c>
      <c r="D2776" s="21"/>
    </row>
    <row r="2777" spans="1:4" ht="12.75" customHeight="1" x14ac:dyDescent="0.2">
      <c r="A2777" s="21"/>
      <c r="B2777" s="3" t="s">
        <v>8</v>
      </c>
      <c r="C2777" s="20" t="s">
        <v>922</v>
      </c>
      <c r="D2777" s="21"/>
    </row>
    <row r="2778" spans="1:4" ht="12.75" customHeight="1" x14ac:dyDescent="0.2">
      <c r="A2778" s="21"/>
      <c r="B2778" s="3" t="s">
        <v>9</v>
      </c>
      <c r="C2778" s="20" t="s">
        <v>923</v>
      </c>
      <c r="D2778" s="21"/>
    </row>
    <row r="2779" spans="1:4" ht="12.75" customHeight="1" x14ac:dyDescent="0.2">
      <c r="A2779" s="21"/>
      <c r="B2779" s="3" t="s">
        <v>11</v>
      </c>
      <c r="C2779" s="20" t="s">
        <v>625</v>
      </c>
      <c r="D2779" s="21"/>
    </row>
    <row r="2780" spans="1:4" ht="12.75" customHeight="1" x14ac:dyDescent="0.2">
      <c r="A2780" s="21"/>
      <c r="B2780" s="3" t="s">
        <v>13</v>
      </c>
      <c r="C2780" s="20" t="s">
        <v>24</v>
      </c>
      <c r="D2780" s="21"/>
    </row>
    <row r="2781" spans="1:4" ht="12.75" customHeight="1" x14ac:dyDescent="0.2">
      <c r="A2781" s="21"/>
      <c r="B2781" s="3" t="s">
        <v>15</v>
      </c>
      <c r="C2781" s="20" t="s">
        <v>24</v>
      </c>
      <c r="D2781" s="21"/>
    </row>
    <row r="2782" spans="1:4" ht="12.75" customHeight="1" x14ac:dyDescent="0.2">
      <c r="A2782" s="21"/>
      <c r="B2782" s="3" t="s">
        <v>16</v>
      </c>
      <c r="C2782" s="20"/>
      <c r="D2782" s="21"/>
    </row>
    <row r="2783" spans="1:4" ht="12.75" customHeight="1" x14ac:dyDescent="0.2">
      <c r="A2783" s="21"/>
      <c r="B2783" s="3" t="s">
        <v>17</v>
      </c>
      <c r="C2783" s="20"/>
      <c r="D2783" s="21"/>
    </row>
    <row r="2784" spans="1:4" ht="12.75" customHeight="1" x14ac:dyDescent="0.2">
      <c r="A2784" s="21"/>
      <c r="B2784" s="20" t="s">
        <v>18</v>
      </c>
      <c r="C2784" s="4" t="s">
        <v>68</v>
      </c>
      <c r="D2784" s="6" t="str">
        <f>HYPERLINK("javascript:void(0)","igeidő")</f>
        <v>igeidő</v>
      </c>
    </row>
    <row r="2785" spans="1:4" ht="12.75" customHeight="1" x14ac:dyDescent="0.2">
      <c r="A2785" s="21"/>
      <c r="B2785" s="21"/>
      <c r="C2785" s="4" t="s">
        <v>117</v>
      </c>
      <c r="D2785" s="6" t="str">
        <f>HYPERLINK("javascript:void(0)","horog")</f>
        <v>horog</v>
      </c>
    </row>
    <row r="2786" spans="1:4" ht="12.75" customHeight="1" x14ac:dyDescent="0.2">
      <c r="A2786" s="21"/>
      <c r="B2786" s="21"/>
      <c r="C2786" s="4" t="s">
        <v>244</v>
      </c>
      <c r="D2786" s="6" t="str">
        <f>HYPERLINK("javascript:void(0)","rozsdalap")</f>
        <v>rozsdalap</v>
      </c>
    </row>
    <row r="2787" spans="1:4" ht="12.75" customHeight="1" x14ac:dyDescent="0.2">
      <c r="A2787" s="5"/>
      <c r="B2787" s="2"/>
      <c r="C2787" s="2"/>
      <c r="D2787" s="2"/>
    </row>
    <row r="2788" spans="1:4" ht="12.75" customHeight="1" x14ac:dyDescent="0.2">
      <c r="A2788" s="22" t="str">
        <f>HYPERLINK("javascript:void(0)","gyíkacél csákány")</f>
        <v>gyíkacél csákány</v>
      </c>
      <c r="B2788" s="21"/>
      <c r="C2788" s="21"/>
      <c r="D2788" s="21"/>
    </row>
    <row r="2789" spans="1:4" ht="12.75" customHeight="1" x14ac:dyDescent="0.2">
      <c r="A2789" s="20"/>
      <c r="B2789" s="2"/>
      <c r="C2789" s="2"/>
      <c r="D2789" s="2"/>
    </row>
    <row r="2790" spans="1:4" ht="12.75" customHeight="1" x14ac:dyDescent="0.2">
      <c r="A2790" s="21"/>
      <c r="B2790" s="3" t="s">
        <v>0</v>
      </c>
      <c r="C2790" s="20" t="s">
        <v>167</v>
      </c>
      <c r="D2790" s="21"/>
    </row>
    <row r="2791" spans="1:4" ht="12.75" customHeight="1" x14ac:dyDescent="0.2">
      <c r="A2791" s="21"/>
      <c r="B2791" s="3" t="s">
        <v>2</v>
      </c>
      <c r="C2791" s="20" t="s">
        <v>122</v>
      </c>
      <c r="D2791" s="21"/>
    </row>
    <row r="2792" spans="1:4" ht="12.75" customHeight="1" x14ac:dyDescent="0.2">
      <c r="A2792" s="21"/>
      <c r="B2792" s="3" t="s">
        <v>4</v>
      </c>
      <c r="C2792" s="20" t="s">
        <v>930</v>
      </c>
      <c r="D2792" s="21"/>
    </row>
    <row r="2793" spans="1:4" ht="12.75" customHeight="1" x14ac:dyDescent="0.2">
      <c r="A2793" s="21"/>
      <c r="B2793" s="3" t="s">
        <v>6</v>
      </c>
      <c r="C2793" s="20" t="s">
        <v>107</v>
      </c>
      <c r="D2793" s="21"/>
    </row>
    <row r="2794" spans="1:4" ht="12.75" customHeight="1" x14ac:dyDescent="0.2">
      <c r="A2794" s="21"/>
      <c r="B2794" s="3" t="s">
        <v>8</v>
      </c>
      <c r="C2794" s="20" t="s">
        <v>930</v>
      </c>
      <c r="D2794" s="21"/>
    </row>
    <row r="2795" spans="1:4" ht="12.75" customHeight="1" x14ac:dyDescent="0.2">
      <c r="A2795" s="21"/>
      <c r="B2795" s="3" t="s">
        <v>9</v>
      </c>
      <c r="C2795" s="20" t="s">
        <v>931</v>
      </c>
      <c r="D2795" s="21"/>
    </row>
    <row r="2796" spans="1:4" ht="12.75" customHeight="1" x14ac:dyDescent="0.2">
      <c r="A2796" s="21"/>
      <c r="B2796" s="3" t="s">
        <v>11</v>
      </c>
      <c r="C2796" s="20" t="s">
        <v>397</v>
      </c>
      <c r="D2796" s="21"/>
    </row>
    <row r="2797" spans="1:4" ht="12.75" customHeight="1" x14ac:dyDescent="0.2">
      <c r="A2797" s="21"/>
      <c r="B2797" s="3" t="s">
        <v>13</v>
      </c>
      <c r="C2797" s="20" t="s">
        <v>24</v>
      </c>
      <c r="D2797" s="21"/>
    </row>
    <row r="2798" spans="1:4" ht="12.75" customHeight="1" x14ac:dyDescent="0.2">
      <c r="A2798" s="21"/>
      <c r="B2798" s="3" t="s">
        <v>15</v>
      </c>
      <c r="C2798" s="20" t="s">
        <v>24</v>
      </c>
      <c r="D2798" s="21"/>
    </row>
    <row r="2799" spans="1:4" ht="12.75" customHeight="1" x14ac:dyDescent="0.2">
      <c r="A2799" s="21"/>
      <c r="B2799" s="3" t="s">
        <v>16</v>
      </c>
      <c r="C2799" s="20"/>
      <c r="D2799" s="21"/>
    </row>
    <row r="2800" spans="1:4" ht="12.75" customHeight="1" x14ac:dyDescent="0.2">
      <c r="A2800" s="21"/>
      <c r="B2800" s="3" t="s">
        <v>17</v>
      </c>
      <c r="C2800" s="20"/>
      <c r="D2800" s="21"/>
    </row>
    <row r="2801" spans="1:4" ht="12.75" customHeight="1" x14ac:dyDescent="0.2">
      <c r="A2801" s="21"/>
      <c r="B2801" s="20" t="s">
        <v>18</v>
      </c>
      <c r="C2801" s="4" t="s">
        <v>130</v>
      </c>
      <c r="D2801" s="6" t="str">
        <f>HYPERLINK("javascript:void(0)","bölényszakáll")</f>
        <v>bölényszakáll</v>
      </c>
    </row>
    <row r="2802" spans="1:4" ht="12.75" customHeight="1" x14ac:dyDescent="0.2">
      <c r="A2802" s="21"/>
      <c r="B2802" s="21"/>
      <c r="C2802" s="4" t="s">
        <v>290</v>
      </c>
      <c r="D2802" s="6" t="str">
        <f>HYPERLINK("javascript:void(0)","kallandra fog")</f>
        <v>kallandra fog</v>
      </c>
    </row>
    <row r="2803" spans="1:4" ht="12.75" customHeight="1" x14ac:dyDescent="0.2">
      <c r="A2803" s="21"/>
      <c r="B2803" s="21"/>
      <c r="C2803" s="4" t="s">
        <v>67</v>
      </c>
      <c r="D2803" s="6" t="str">
        <f>HYPERLINK("javascript:void(0)","légzsák")</f>
        <v>légzsák</v>
      </c>
    </row>
    <row r="2804" spans="1:4" ht="12.75" customHeight="1" x14ac:dyDescent="0.2">
      <c r="A2804" s="5"/>
      <c r="B2804" s="2"/>
      <c r="C2804" s="2"/>
      <c r="D2804" s="2"/>
    </row>
    <row r="2805" spans="1:4" ht="12.75" customHeight="1" x14ac:dyDescent="0.2">
      <c r="A2805" s="22" t="str">
        <f>HYPERLINK("javascript:void(0)","kompózium szekerce")</f>
        <v>kompózium szekerce</v>
      </c>
      <c r="B2805" s="21"/>
      <c r="C2805" s="21"/>
      <c r="D2805" s="21"/>
    </row>
    <row r="2806" spans="1:4" ht="12.75" customHeight="1" x14ac:dyDescent="0.2">
      <c r="A2806" s="20"/>
      <c r="B2806" s="2"/>
      <c r="C2806" s="2"/>
      <c r="D2806" s="2"/>
    </row>
    <row r="2807" spans="1:4" ht="12.75" customHeight="1" x14ac:dyDescent="0.2">
      <c r="A2807" s="21"/>
      <c r="B2807" s="3" t="s">
        <v>0</v>
      </c>
      <c r="C2807" s="20" t="s">
        <v>532</v>
      </c>
      <c r="D2807" s="21"/>
    </row>
    <row r="2808" spans="1:4" ht="12.75" customHeight="1" x14ac:dyDescent="0.2">
      <c r="A2808" s="21"/>
      <c r="B2808" s="3" t="s">
        <v>2</v>
      </c>
      <c r="C2808" s="20" t="s">
        <v>122</v>
      </c>
      <c r="D2808" s="21"/>
    </row>
    <row r="2809" spans="1:4" ht="12.75" customHeight="1" x14ac:dyDescent="0.2">
      <c r="A2809" s="21"/>
      <c r="B2809" s="3" t="s">
        <v>4</v>
      </c>
      <c r="C2809" s="20" t="s">
        <v>935</v>
      </c>
      <c r="D2809" s="21"/>
    </row>
    <row r="2810" spans="1:4" ht="12.75" customHeight="1" x14ac:dyDescent="0.2">
      <c r="A2810" s="21"/>
      <c r="B2810" s="3" t="s">
        <v>6</v>
      </c>
      <c r="C2810" s="20" t="s">
        <v>107</v>
      </c>
      <c r="D2810" s="21"/>
    </row>
    <row r="2811" spans="1:4" ht="12.75" customHeight="1" x14ac:dyDescent="0.2">
      <c r="A2811" s="21"/>
      <c r="B2811" s="3" t="s">
        <v>8</v>
      </c>
      <c r="C2811" s="20" t="s">
        <v>935</v>
      </c>
      <c r="D2811" s="21"/>
    </row>
    <row r="2812" spans="1:4" ht="12.75" customHeight="1" x14ac:dyDescent="0.2">
      <c r="A2812" s="21"/>
      <c r="B2812" s="3" t="s">
        <v>9</v>
      </c>
      <c r="C2812" s="20" t="s">
        <v>30</v>
      </c>
      <c r="D2812" s="21"/>
    </row>
    <row r="2813" spans="1:4" ht="12.75" customHeight="1" x14ac:dyDescent="0.2">
      <c r="A2813" s="21"/>
      <c r="B2813" s="3" t="s">
        <v>11</v>
      </c>
      <c r="C2813" s="20" t="s">
        <v>542</v>
      </c>
      <c r="D2813" s="21"/>
    </row>
    <row r="2814" spans="1:4" ht="12.75" customHeight="1" x14ac:dyDescent="0.2">
      <c r="A2814" s="21"/>
      <c r="B2814" s="3" t="s">
        <v>13</v>
      </c>
      <c r="C2814" s="20" t="s">
        <v>24</v>
      </c>
      <c r="D2814" s="21"/>
    </row>
    <row r="2815" spans="1:4" ht="12.75" customHeight="1" x14ac:dyDescent="0.2">
      <c r="A2815" s="21"/>
      <c r="B2815" s="3" t="s">
        <v>15</v>
      </c>
      <c r="C2815" s="20" t="s">
        <v>24</v>
      </c>
      <c r="D2815" s="21"/>
    </row>
    <row r="2816" spans="1:4" ht="12.75" customHeight="1" x14ac:dyDescent="0.2">
      <c r="A2816" s="21"/>
      <c r="B2816" s="3" t="s">
        <v>16</v>
      </c>
      <c r="C2816" s="20"/>
      <c r="D2816" s="21"/>
    </row>
    <row r="2817" spans="1:4" ht="12.75" customHeight="1" x14ac:dyDescent="0.2">
      <c r="A2817" s="21"/>
      <c r="B2817" s="3" t="s">
        <v>17</v>
      </c>
      <c r="C2817" s="20"/>
      <c r="D2817" s="21"/>
    </row>
    <row r="2818" spans="1:4" ht="12.75" customHeight="1" x14ac:dyDescent="0.2">
      <c r="A2818" s="21"/>
      <c r="B2818" s="20" t="s">
        <v>18</v>
      </c>
      <c r="C2818" s="4" t="s">
        <v>44</v>
      </c>
      <c r="D2818" s="6" t="str">
        <f>HYPERLINK("javascript:void(0)","időkalapács")</f>
        <v>időkalapács</v>
      </c>
    </row>
    <row r="2819" spans="1:4" ht="12.75" customHeight="1" x14ac:dyDescent="0.2">
      <c r="A2819" s="21"/>
      <c r="B2819" s="21"/>
      <c r="C2819" s="4" t="s">
        <v>44</v>
      </c>
      <c r="D2819" s="6" t="str">
        <f>HYPERLINK("javascript:void(0)","formabontó")</f>
        <v>formabontó</v>
      </c>
    </row>
    <row r="2820" spans="1:4" ht="12.75" customHeight="1" x14ac:dyDescent="0.2">
      <c r="A2820" s="21"/>
      <c r="B2820" s="21"/>
      <c r="C2820" s="4" t="s">
        <v>44</v>
      </c>
      <c r="D2820" s="6" t="str">
        <f>HYPERLINK("javascript:void(0)","kompózium fej")</f>
        <v>kompózium fej</v>
      </c>
    </row>
    <row r="2821" spans="1:4" ht="12.75" customHeight="1" x14ac:dyDescent="0.2">
      <c r="A2821" s="5"/>
      <c r="B2821" s="2"/>
      <c r="C2821" s="2"/>
      <c r="D2821" s="2"/>
    </row>
    <row r="2822" spans="1:4" ht="12.75" customHeight="1" x14ac:dyDescent="0.2">
      <c r="A2822" s="22" t="str">
        <f>HYPERLINK("javascript:void(0)","krono mágusölő")</f>
        <v>krono mágusölő</v>
      </c>
      <c r="B2822" s="21"/>
      <c r="C2822" s="21"/>
      <c r="D2822" s="21"/>
    </row>
    <row r="2823" spans="1:4" ht="12.75" customHeight="1" x14ac:dyDescent="0.2">
      <c r="A2823" s="20"/>
      <c r="B2823" s="2"/>
      <c r="C2823" s="2"/>
      <c r="D2823" s="2"/>
    </row>
    <row r="2824" spans="1:4" ht="12.75" customHeight="1" x14ac:dyDescent="0.2">
      <c r="A2824" s="21"/>
      <c r="B2824" s="3" t="s">
        <v>0</v>
      </c>
      <c r="C2824" s="20" t="s">
        <v>532</v>
      </c>
      <c r="D2824" s="21"/>
    </row>
    <row r="2825" spans="1:4" ht="12.75" customHeight="1" x14ac:dyDescent="0.2">
      <c r="A2825" s="21"/>
      <c r="B2825" s="3" t="s">
        <v>2</v>
      </c>
      <c r="C2825" s="20" t="s">
        <v>122</v>
      </c>
      <c r="D2825" s="21"/>
    </row>
    <row r="2826" spans="1:4" ht="12.75" customHeight="1" x14ac:dyDescent="0.2">
      <c r="A2826" s="21"/>
      <c r="B2826" s="3" t="s">
        <v>4</v>
      </c>
      <c r="C2826" s="20" t="s">
        <v>940</v>
      </c>
      <c r="D2826" s="21"/>
    </row>
    <row r="2827" spans="1:4" ht="12.75" customHeight="1" x14ac:dyDescent="0.2">
      <c r="A2827" s="21"/>
      <c r="B2827" s="3" t="s">
        <v>6</v>
      </c>
      <c r="C2827" s="20" t="s">
        <v>48</v>
      </c>
      <c r="D2827" s="21"/>
    </row>
    <row r="2828" spans="1:4" ht="12.75" customHeight="1" x14ac:dyDescent="0.2">
      <c r="A2828" s="21"/>
      <c r="B2828" s="3" t="s">
        <v>8</v>
      </c>
      <c r="C2828" s="20" t="s">
        <v>940</v>
      </c>
      <c r="D2828" s="21"/>
    </row>
    <row r="2829" spans="1:4" ht="12.75" customHeight="1" x14ac:dyDescent="0.2">
      <c r="A2829" s="21"/>
      <c r="B2829" s="3" t="s">
        <v>9</v>
      </c>
      <c r="C2829" s="20" t="s">
        <v>941</v>
      </c>
      <c r="D2829" s="21"/>
    </row>
    <row r="2830" spans="1:4" ht="12.75" customHeight="1" x14ac:dyDescent="0.2">
      <c r="A2830" s="21"/>
      <c r="B2830" s="3" t="s">
        <v>11</v>
      </c>
      <c r="C2830" s="20" t="s">
        <v>542</v>
      </c>
      <c r="D2830" s="21"/>
    </row>
    <row r="2831" spans="1:4" ht="12.75" customHeight="1" x14ac:dyDescent="0.2">
      <c r="A2831" s="21"/>
      <c r="B2831" s="3" t="s">
        <v>13</v>
      </c>
      <c r="C2831" s="20" t="s">
        <v>14</v>
      </c>
      <c r="D2831" s="21"/>
    </row>
    <row r="2832" spans="1:4" ht="12.75" customHeight="1" x14ac:dyDescent="0.2">
      <c r="A2832" s="21"/>
      <c r="B2832" s="3" t="s">
        <v>15</v>
      </c>
      <c r="C2832" s="20" t="s">
        <v>24</v>
      </c>
      <c r="D2832" s="21"/>
    </row>
    <row r="2833" spans="1:4" ht="12.75" customHeight="1" x14ac:dyDescent="0.2">
      <c r="A2833" s="21"/>
      <c r="B2833" s="3" t="s">
        <v>16</v>
      </c>
      <c r="C2833" s="20"/>
      <c r="D2833" s="21"/>
    </row>
    <row r="2834" spans="1:4" ht="12.75" customHeight="1" x14ac:dyDescent="0.2">
      <c r="A2834" s="21"/>
      <c r="B2834" s="3" t="s">
        <v>17</v>
      </c>
      <c r="C2834" s="20"/>
      <c r="D2834" s="21"/>
    </row>
    <row r="2835" spans="1:4" ht="12.75" customHeight="1" x14ac:dyDescent="0.2">
      <c r="A2835" s="21"/>
      <c r="B2835" s="20" t="s">
        <v>18</v>
      </c>
      <c r="C2835" s="4" t="s">
        <v>68</v>
      </c>
      <c r="D2835" s="6" t="str">
        <f>HYPERLINK("javascript:void(0)","imázs")</f>
        <v>imázs</v>
      </c>
    </row>
    <row r="2836" spans="1:4" ht="12.75" customHeight="1" x14ac:dyDescent="0.2">
      <c r="A2836" s="21"/>
      <c r="B2836" s="21"/>
      <c r="C2836" s="4" t="s">
        <v>290</v>
      </c>
      <c r="D2836" s="6" t="str">
        <f>HYPERLINK("javascript:void(0)","horog")</f>
        <v>horog</v>
      </c>
    </row>
    <row r="2837" spans="1:4" ht="12.75" customHeight="1" x14ac:dyDescent="0.2">
      <c r="A2837" s="21"/>
      <c r="B2837" s="21"/>
      <c r="C2837" s="4" t="s">
        <v>98</v>
      </c>
      <c r="D2837" s="6" t="str">
        <f>HYPERLINK("javascript:void(0)","vérrög")</f>
        <v>vérrög</v>
      </c>
    </row>
    <row r="2838" spans="1:4" ht="12.75" customHeight="1" x14ac:dyDescent="0.2">
      <c r="A2838" s="5"/>
      <c r="B2838" s="2"/>
      <c r="C2838" s="2"/>
      <c r="D2838" s="2"/>
    </row>
    <row r="2839" spans="1:4" ht="12.75" customHeight="1" x14ac:dyDescent="0.2">
      <c r="A2839" s="22" t="str">
        <f>HYPERLINK("javascript:void(0)","fotoacél buzogány")</f>
        <v>fotoacél buzogány</v>
      </c>
      <c r="B2839" s="21"/>
      <c r="C2839" s="21"/>
      <c r="D2839" s="21"/>
    </row>
    <row r="2840" spans="1:4" ht="12.75" customHeight="1" x14ac:dyDescent="0.2">
      <c r="A2840" s="20"/>
      <c r="B2840" s="2"/>
      <c r="C2840" s="2"/>
      <c r="D2840" s="2"/>
    </row>
    <row r="2841" spans="1:4" ht="12.75" customHeight="1" x14ac:dyDescent="0.2">
      <c r="A2841" s="21"/>
      <c r="B2841" s="3" t="s">
        <v>0</v>
      </c>
      <c r="C2841" s="20" t="s">
        <v>223</v>
      </c>
      <c r="D2841" s="21"/>
    </row>
    <row r="2842" spans="1:4" ht="12.75" customHeight="1" x14ac:dyDescent="0.2">
      <c r="A2842" s="21"/>
      <c r="B2842" s="3" t="s">
        <v>2</v>
      </c>
      <c r="C2842" s="20" t="s">
        <v>122</v>
      </c>
      <c r="D2842" s="21"/>
    </row>
    <row r="2843" spans="1:4" ht="12.75" customHeight="1" x14ac:dyDescent="0.2">
      <c r="A2843" s="21"/>
      <c r="B2843" s="3" t="s">
        <v>4</v>
      </c>
      <c r="C2843" s="20" t="s">
        <v>944</v>
      </c>
      <c r="D2843" s="21"/>
    </row>
    <row r="2844" spans="1:4" ht="12.75" customHeight="1" x14ac:dyDescent="0.2">
      <c r="A2844" s="21"/>
      <c r="B2844" s="3" t="s">
        <v>6</v>
      </c>
      <c r="C2844" s="20" t="s">
        <v>298</v>
      </c>
      <c r="D2844" s="21"/>
    </row>
    <row r="2845" spans="1:4" ht="12.75" customHeight="1" x14ac:dyDescent="0.2">
      <c r="A2845" s="21"/>
      <c r="B2845" s="3" t="s">
        <v>8</v>
      </c>
      <c r="C2845" s="20" t="s">
        <v>944</v>
      </c>
      <c r="D2845" s="21"/>
    </row>
    <row r="2846" spans="1:4" ht="12.75" customHeight="1" x14ac:dyDescent="0.2">
      <c r="A2846" s="21"/>
      <c r="B2846" s="3" t="s">
        <v>9</v>
      </c>
      <c r="C2846" s="20" t="s">
        <v>70</v>
      </c>
      <c r="D2846" s="21"/>
    </row>
    <row r="2847" spans="1:4" ht="12.75" customHeight="1" x14ac:dyDescent="0.2">
      <c r="A2847" s="21"/>
      <c r="B2847" s="3" t="s">
        <v>11</v>
      </c>
      <c r="C2847" s="20" t="s">
        <v>552</v>
      </c>
      <c r="D2847" s="21"/>
    </row>
    <row r="2848" spans="1:4" ht="12.75" customHeight="1" x14ac:dyDescent="0.2">
      <c r="A2848" s="21"/>
      <c r="B2848" s="3" t="s">
        <v>13</v>
      </c>
      <c r="C2848" s="20" t="s">
        <v>24</v>
      </c>
      <c r="D2848" s="21"/>
    </row>
    <row r="2849" spans="1:4" ht="12.75" customHeight="1" x14ac:dyDescent="0.2">
      <c r="A2849" s="21"/>
      <c r="B2849" s="3" t="s">
        <v>15</v>
      </c>
      <c r="C2849" s="20" t="s">
        <v>24</v>
      </c>
      <c r="D2849" s="21"/>
    </row>
    <row r="2850" spans="1:4" ht="12.75" customHeight="1" x14ac:dyDescent="0.2">
      <c r="A2850" s="21"/>
      <c r="B2850" s="3" t="s">
        <v>16</v>
      </c>
      <c r="C2850" s="20"/>
      <c r="D2850" s="21"/>
    </row>
    <row r="2851" spans="1:4" ht="12.75" customHeight="1" x14ac:dyDescent="0.2">
      <c r="A2851" s="21"/>
      <c r="B2851" s="3" t="s">
        <v>17</v>
      </c>
      <c r="C2851" s="20"/>
      <c r="D2851" s="21"/>
    </row>
    <row r="2852" spans="1:4" ht="12.75" customHeight="1" x14ac:dyDescent="0.2">
      <c r="A2852" s="21"/>
      <c r="B2852" s="20" t="s">
        <v>18</v>
      </c>
      <c r="C2852" s="4" t="s">
        <v>44</v>
      </c>
      <c r="D2852" s="6" t="str">
        <f>HYPERLINK("javascript:void(0)","kompózium szekerce")</f>
        <v>kompózium szekerce</v>
      </c>
    </row>
    <row r="2853" spans="1:4" ht="12.75" customHeight="1" x14ac:dyDescent="0.2">
      <c r="A2853" s="21"/>
      <c r="B2853" s="21"/>
      <c r="C2853" s="4" t="s">
        <v>98</v>
      </c>
      <c r="D2853" s="6" t="str">
        <f>HYPERLINK("javascript:void(0)","fotogén")</f>
        <v>fotogén</v>
      </c>
    </row>
    <row r="2854" spans="1:4" ht="12.75" customHeight="1" x14ac:dyDescent="0.2">
      <c r="A2854" s="21"/>
      <c r="B2854" s="21"/>
      <c r="C2854" s="4" t="s">
        <v>382</v>
      </c>
      <c r="D2854" s="6" t="str">
        <f>HYPERLINK("javascript:void(0)","horog")</f>
        <v>horog</v>
      </c>
    </row>
    <row r="2855" spans="1:4" ht="12.75" customHeight="1" x14ac:dyDescent="0.2">
      <c r="A2855" s="5"/>
      <c r="B2855" s="2"/>
      <c r="C2855" s="2"/>
      <c r="D2855" s="2"/>
    </row>
    <row r="2856" spans="1:4" ht="12.75" customHeight="1" x14ac:dyDescent="0.2">
      <c r="A2856" s="22" t="str">
        <f>HYPERLINK("javascript:void(0)","krono ballaszt")</f>
        <v>krono ballaszt</v>
      </c>
      <c r="B2856" s="21"/>
      <c r="C2856" s="21"/>
      <c r="D2856" s="21"/>
    </row>
    <row r="2857" spans="1:4" ht="12.75" customHeight="1" x14ac:dyDescent="0.2">
      <c r="A2857" s="20"/>
      <c r="B2857" s="2"/>
      <c r="C2857" s="2"/>
      <c r="D2857" s="2"/>
    </row>
    <row r="2858" spans="1:4" ht="12.75" customHeight="1" x14ac:dyDescent="0.2">
      <c r="A2858" s="21"/>
      <c r="B2858" s="3" t="s">
        <v>0</v>
      </c>
      <c r="C2858" s="20" t="s">
        <v>223</v>
      </c>
      <c r="D2858" s="21"/>
    </row>
    <row r="2859" spans="1:4" ht="12.75" customHeight="1" x14ac:dyDescent="0.2">
      <c r="A2859" s="21"/>
      <c r="B2859" s="3" t="s">
        <v>2</v>
      </c>
      <c r="C2859" s="20" t="s">
        <v>122</v>
      </c>
      <c r="D2859" s="21"/>
    </row>
    <row r="2860" spans="1:4" ht="12.75" customHeight="1" x14ac:dyDescent="0.2">
      <c r="A2860" s="21"/>
      <c r="B2860" s="3" t="s">
        <v>4</v>
      </c>
      <c r="C2860" s="20" t="s">
        <v>947</v>
      </c>
      <c r="D2860" s="21"/>
    </row>
    <row r="2861" spans="1:4" ht="12.75" customHeight="1" x14ac:dyDescent="0.2">
      <c r="A2861" s="21"/>
      <c r="B2861" s="3" t="s">
        <v>6</v>
      </c>
      <c r="C2861" s="20" t="s">
        <v>298</v>
      </c>
      <c r="D2861" s="21"/>
    </row>
    <row r="2862" spans="1:4" ht="12.75" customHeight="1" x14ac:dyDescent="0.2">
      <c r="A2862" s="21"/>
      <c r="B2862" s="3" t="s">
        <v>8</v>
      </c>
      <c r="C2862" s="20" t="s">
        <v>947</v>
      </c>
      <c r="D2862" s="21"/>
    </row>
    <row r="2863" spans="1:4" ht="12.75" customHeight="1" x14ac:dyDescent="0.2">
      <c r="A2863" s="21"/>
      <c r="B2863" s="3" t="s">
        <v>9</v>
      </c>
      <c r="C2863" s="20" t="s">
        <v>948</v>
      </c>
      <c r="D2863" s="21"/>
    </row>
    <row r="2864" spans="1:4" ht="12.75" customHeight="1" x14ac:dyDescent="0.2">
      <c r="A2864" s="21"/>
      <c r="B2864" s="3" t="s">
        <v>11</v>
      </c>
      <c r="C2864" s="20" t="s">
        <v>660</v>
      </c>
      <c r="D2864" s="21"/>
    </row>
    <row r="2865" spans="1:4" ht="12.75" customHeight="1" x14ac:dyDescent="0.2">
      <c r="A2865" s="21"/>
      <c r="B2865" s="3" t="s">
        <v>13</v>
      </c>
      <c r="C2865" s="20" t="s">
        <v>24</v>
      </c>
      <c r="D2865" s="21"/>
    </row>
    <row r="2866" spans="1:4" ht="12.75" customHeight="1" x14ac:dyDescent="0.2">
      <c r="A2866" s="21"/>
      <c r="B2866" s="3" t="s">
        <v>15</v>
      </c>
      <c r="C2866" s="20" t="s">
        <v>24</v>
      </c>
      <c r="D2866" s="21"/>
    </row>
    <row r="2867" spans="1:4" ht="12.75" customHeight="1" x14ac:dyDescent="0.2">
      <c r="A2867" s="21"/>
      <c r="B2867" s="3" t="s">
        <v>16</v>
      </c>
      <c r="C2867" s="20"/>
      <c r="D2867" s="21"/>
    </row>
    <row r="2868" spans="1:4" ht="12.75" customHeight="1" x14ac:dyDescent="0.2">
      <c r="A2868" s="21"/>
      <c r="B2868" s="3" t="s">
        <v>17</v>
      </c>
      <c r="C2868" s="20"/>
      <c r="D2868" s="21"/>
    </row>
    <row r="2869" spans="1:4" ht="12.75" customHeight="1" x14ac:dyDescent="0.2">
      <c r="A2869" s="21"/>
      <c r="B2869" s="20" t="s">
        <v>18</v>
      </c>
      <c r="C2869" s="4" t="s">
        <v>68</v>
      </c>
      <c r="D2869" s="6" t="str">
        <f>HYPERLINK("javascript:void(0)","dimenzióforgács")</f>
        <v>dimenzióforgács</v>
      </c>
    </row>
    <row r="2870" spans="1:4" ht="12.75" customHeight="1" x14ac:dyDescent="0.2">
      <c r="A2870" s="21"/>
      <c r="B2870" s="21"/>
      <c r="C2870" s="4" t="s">
        <v>950</v>
      </c>
      <c r="D2870" s="6" t="str">
        <f>HYPERLINK("javascript:void(0)","igeidő")</f>
        <v>igeidő</v>
      </c>
    </row>
    <row r="2871" spans="1:4" ht="12.75" customHeight="1" x14ac:dyDescent="0.2">
      <c r="A2871" s="21"/>
      <c r="B2871" s="21"/>
      <c r="C2871" s="4" t="s">
        <v>369</v>
      </c>
      <c r="D2871" s="6" t="str">
        <f>HYPERLINK("javascript:void(0)","homokóra")</f>
        <v>homokóra</v>
      </c>
    </row>
    <row r="2872" spans="1:4" ht="12.75" customHeight="1" x14ac:dyDescent="0.2">
      <c r="A2872" s="5"/>
      <c r="B2872" s="2"/>
      <c r="C2872" s="2"/>
      <c r="D2872" s="2"/>
    </row>
    <row r="2873" spans="1:4" ht="12.75" customHeight="1" x14ac:dyDescent="0.2">
      <c r="A2873" s="22" t="str">
        <f>HYPERLINK("javascript:void(0)","gyíkacél korbács")</f>
        <v>gyíkacél korbács</v>
      </c>
      <c r="B2873" s="21"/>
      <c r="C2873" s="21"/>
      <c r="D2873" s="21"/>
    </row>
    <row r="2874" spans="1:4" ht="12.75" customHeight="1" x14ac:dyDescent="0.2">
      <c r="A2874" s="20"/>
      <c r="B2874" s="2"/>
      <c r="C2874" s="2"/>
      <c r="D2874" s="2"/>
    </row>
    <row r="2875" spans="1:4" ht="12.75" customHeight="1" x14ac:dyDescent="0.2">
      <c r="A2875" s="21"/>
      <c r="B2875" s="3" t="s">
        <v>0</v>
      </c>
      <c r="C2875" s="20" t="s">
        <v>223</v>
      </c>
      <c r="D2875" s="21"/>
    </row>
    <row r="2876" spans="1:4" ht="12.75" customHeight="1" x14ac:dyDescent="0.2">
      <c r="A2876" s="21"/>
      <c r="B2876" s="3" t="s">
        <v>2</v>
      </c>
      <c r="C2876" s="20" t="s">
        <v>122</v>
      </c>
      <c r="D2876" s="21"/>
    </row>
    <row r="2877" spans="1:4" ht="12.75" customHeight="1" x14ac:dyDescent="0.2">
      <c r="A2877" s="21"/>
      <c r="B2877" s="3" t="s">
        <v>4</v>
      </c>
      <c r="C2877" s="20" t="s">
        <v>538</v>
      </c>
      <c r="D2877" s="21"/>
    </row>
    <row r="2878" spans="1:4" ht="12.75" customHeight="1" x14ac:dyDescent="0.2">
      <c r="A2878" s="21"/>
      <c r="B2878" s="3" t="s">
        <v>6</v>
      </c>
      <c r="C2878" s="20" t="s">
        <v>107</v>
      </c>
      <c r="D2878" s="21"/>
    </row>
    <row r="2879" spans="1:4" ht="12.75" customHeight="1" x14ac:dyDescent="0.2">
      <c r="A2879" s="21"/>
      <c r="B2879" s="3" t="s">
        <v>8</v>
      </c>
      <c r="C2879" s="20" t="s">
        <v>538</v>
      </c>
      <c r="D2879" s="21"/>
    </row>
    <row r="2880" spans="1:4" ht="12.75" customHeight="1" x14ac:dyDescent="0.2">
      <c r="A2880" s="21"/>
      <c r="B2880" s="3" t="s">
        <v>9</v>
      </c>
      <c r="C2880" s="20" t="s">
        <v>952</v>
      </c>
      <c r="D2880" s="21"/>
    </row>
    <row r="2881" spans="1:4" ht="12.75" customHeight="1" x14ac:dyDescent="0.2">
      <c r="A2881" s="21"/>
      <c r="B2881" s="3" t="s">
        <v>11</v>
      </c>
      <c r="C2881" s="20" t="s">
        <v>427</v>
      </c>
      <c r="D2881" s="21"/>
    </row>
    <row r="2882" spans="1:4" ht="12.75" customHeight="1" x14ac:dyDescent="0.2">
      <c r="A2882" s="21"/>
      <c r="B2882" s="3" t="s">
        <v>13</v>
      </c>
      <c r="C2882" s="20" t="s">
        <v>24</v>
      </c>
      <c r="D2882" s="21"/>
    </row>
    <row r="2883" spans="1:4" ht="12.75" customHeight="1" x14ac:dyDescent="0.2">
      <c r="A2883" s="21"/>
      <c r="B2883" s="3" t="s">
        <v>15</v>
      </c>
      <c r="C2883" s="20" t="s">
        <v>24</v>
      </c>
      <c r="D2883" s="21"/>
    </row>
    <row r="2884" spans="1:4" ht="12.75" customHeight="1" x14ac:dyDescent="0.2">
      <c r="A2884" s="21"/>
      <c r="B2884" s="3" t="s">
        <v>16</v>
      </c>
      <c r="C2884" s="20"/>
      <c r="D2884" s="21"/>
    </row>
    <row r="2885" spans="1:4" ht="12.75" customHeight="1" x14ac:dyDescent="0.2">
      <c r="A2885" s="21"/>
      <c r="B2885" s="3" t="s">
        <v>17</v>
      </c>
      <c r="C2885" s="20"/>
      <c r="D2885" s="21"/>
    </row>
    <row r="2886" spans="1:4" ht="12.75" customHeight="1" x14ac:dyDescent="0.2">
      <c r="A2886" s="21"/>
      <c r="B2886" s="20" t="s">
        <v>18</v>
      </c>
      <c r="C2886" s="4" t="s">
        <v>632</v>
      </c>
      <c r="D2886" s="6" t="str">
        <f>HYPERLINK("javascript:void(0)","pánsíp")</f>
        <v>pánsíp</v>
      </c>
    </row>
    <row r="2887" spans="1:4" ht="12.75" customHeight="1" x14ac:dyDescent="0.2">
      <c r="A2887" s="21"/>
      <c r="B2887" s="21"/>
      <c r="C2887" s="4" t="s">
        <v>139</v>
      </c>
      <c r="D2887" s="6" t="str">
        <f>HYPERLINK("javascript:void(0)","vakond bőr")</f>
        <v>vakond bőr</v>
      </c>
    </row>
    <row r="2888" spans="1:4" ht="12.75" customHeight="1" x14ac:dyDescent="0.2">
      <c r="A2888" s="21"/>
      <c r="B2888" s="21"/>
      <c r="C2888" s="4" t="s">
        <v>290</v>
      </c>
      <c r="D2888" s="6" t="str">
        <f>HYPERLINK("javascript:void(0)","fülpenge")</f>
        <v>fülpenge</v>
      </c>
    </row>
    <row r="2889" spans="1:4" ht="12.75" customHeight="1" x14ac:dyDescent="0.2">
      <c r="A2889" s="5"/>
      <c r="B2889" s="2"/>
      <c r="C2889" s="2"/>
      <c r="D2889" s="2"/>
    </row>
    <row r="2890" spans="1:4" ht="12.75" customHeight="1" x14ac:dyDescent="0.2">
      <c r="A2890" s="22" t="str">
        <f>HYPERLINK("javascript:void(0)","kompózium kosár")</f>
        <v>kompózium kosár</v>
      </c>
      <c r="B2890" s="21"/>
      <c r="C2890" s="21"/>
      <c r="D2890" s="21"/>
    </row>
    <row r="2891" spans="1:4" ht="12.75" customHeight="1" x14ac:dyDescent="0.2">
      <c r="A2891" s="20"/>
      <c r="B2891" s="2"/>
      <c r="C2891" s="2"/>
      <c r="D2891" s="2"/>
    </row>
    <row r="2892" spans="1:4" ht="12.75" customHeight="1" x14ac:dyDescent="0.2">
      <c r="A2892" s="21"/>
      <c r="B2892" s="3" t="s">
        <v>0</v>
      </c>
      <c r="C2892" s="20" t="s">
        <v>223</v>
      </c>
      <c r="D2892" s="21"/>
    </row>
    <row r="2893" spans="1:4" ht="12.75" customHeight="1" x14ac:dyDescent="0.2">
      <c r="A2893" s="21"/>
      <c r="B2893" s="3" t="s">
        <v>2</v>
      </c>
      <c r="C2893" s="20" t="s">
        <v>122</v>
      </c>
      <c r="D2893" s="21"/>
    </row>
    <row r="2894" spans="1:4" ht="12.75" customHeight="1" x14ac:dyDescent="0.2">
      <c r="A2894" s="21"/>
      <c r="B2894" s="3" t="s">
        <v>4</v>
      </c>
      <c r="C2894" s="20" t="s">
        <v>533</v>
      </c>
      <c r="D2894" s="21"/>
    </row>
    <row r="2895" spans="1:4" ht="12.75" customHeight="1" x14ac:dyDescent="0.2">
      <c r="A2895" s="21"/>
      <c r="B2895" s="3" t="s">
        <v>6</v>
      </c>
      <c r="C2895" s="20" t="s">
        <v>21</v>
      </c>
      <c r="D2895" s="21"/>
    </row>
    <row r="2896" spans="1:4" ht="12.75" customHeight="1" x14ac:dyDescent="0.2">
      <c r="A2896" s="21"/>
      <c r="B2896" s="3" t="s">
        <v>8</v>
      </c>
      <c r="C2896" s="20" t="s">
        <v>533</v>
      </c>
      <c r="D2896" s="21"/>
    </row>
    <row r="2897" spans="1:4" ht="12.75" customHeight="1" x14ac:dyDescent="0.2">
      <c r="A2897" s="21"/>
      <c r="B2897" s="3" t="s">
        <v>9</v>
      </c>
      <c r="C2897" s="20" t="s">
        <v>952</v>
      </c>
      <c r="D2897" s="21"/>
    </row>
    <row r="2898" spans="1:4" ht="12.75" customHeight="1" x14ac:dyDescent="0.2">
      <c r="A2898" s="21"/>
      <c r="B2898" s="3" t="s">
        <v>11</v>
      </c>
      <c r="C2898" s="20" t="s">
        <v>427</v>
      </c>
      <c r="D2898" s="21"/>
    </row>
    <row r="2899" spans="1:4" ht="12.75" customHeight="1" x14ac:dyDescent="0.2">
      <c r="A2899" s="21"/>
      <c r="B2899" s="3" t="s">
        <v>13</v>
      </c>
      <c r="C2899" s="20" t="s">
        <v>24</v>
      </c>
      <c r="D2899" s="21"/>
    </row>
    <row r="2900" spans="1:4" ht="12.75" customHeight="1" x14ac:dyDescent="0.2">
      <c r="A2900" s="21"/>
      <c r="B2900" s="3" t="s">
        <v>15</v>
      </c>
      <c r="C2900" s="20" t="s">
        <v>24</v>
      </c>
      <c r="D2900" s="21"/>
    </row>
    <row r="2901" spans="1:4" ht="12.75" customHeight="1" x14ac:dyDescent="0.2">
      <c r="A2901" s="21"/>
      <c r="B2901" s="3" t="s">
        <v>16</v>
      </c>
      <c r="C2901" s="20"/>
      <c r="D2901" s="21"/>
    </row>
    <row r="2902" spans="1:4" ht="12.75" customHeight="1" x14ac:dyDescent="0.2">
      <c r="A2902" s="21"/>
      <c r="B2902" s="3" t="s">
        <v>17</v>
      </c>
      <c r="C2902" s="20"/>
      <c r="D2902" s="21"/>
    </row>
    <row r="2903" spans="1:4" ht="12.75" customHeight="1" x14ac:dyDescent="0.2">
      <c r="A2903" s="21"/>
      <c r="B2903" s="20" t="s">
        <v>18</v>
      </c>
      <c r="C2903" s="4" t="s">
        <v>44</v>
      </c>
      <c r="D2903" s="6" t="str">
        <f>HYPERLINK("javascript:void(0)","kompózium")</f>
        <v>kompózium</v>
      </c>
    </row>
    <row r="2904" spans="1:4" ht="12.75" customHeight="1" x14ac:dyDescent="0.2">
      <c r="A2904" s="21"/>
      <c r="B2904" s="21"/>
      <c r="C2904" s="4" t="s">
        <v>56</v>
      </c>
      <c r="D2904" s="6" t="str">
        <f>HYPERLINK("javascript:void(0)","imázs")</f>
        <v>imázs</v>
      </c>
    </row>
    <row r="2905" spans="1:4" ht="12.75" customHeight="1" x14ac:dyDescent="0.2">
      <c r="A2905" s="21"/>
      <c r="B2905" s="21"/>
      <c r="C2905" s="4" t="s">
        <v>382</v>
      </c>
      <c r="D2905" s="6" t="str">
        <f>HYPERLINK("javascript:void(0)","csontszilánk")</f>
        <v>csontszilánk</v>
      </c>
    </row>
    <row r="2906" spans="1:4" ht="12.75" customHeight="1" x14ac:dyDescent="0.2">
      <c r="A2906" s="5"/>
      <c r="B2906" s="2"/>
      <c r="C2906" s="2"/>
      <c r="D2906" s="2"/>
    </row>
    <row r="2907" spans="1:4" ht="12.75" customHeight="1" x14ac:dyDescent="0.2">
      <c r="A2907" s="22" t="str">
        <f>HYPERLINK("javascript:void(0)","kompózium fej")</f>
        <v>kompózium fej</v>
      </c>
      <c r="B2907" s="21"/>
      <c r="C2907" s="21"/>
      <c r="D2907" s="21"/>
    </row>
    <row r="2908" spans="1:4" ht="12.75" customHeight="1" x14ac:dyDescent="0.2">
      <c r="A2908" s="20"/>
      <c r="B2908" s="2"/>
      <c r="C2908" s="2"/>
      <c r="D2908" s="2"/>
    </row>
    <row r="2909" spans="1:4" ht="12.75" customHeight="1" x14ac:dyDescent="0.2">
      <c r="A2909" s="21"/>
      <c r="B2909" s="3" t="s">
        <v>0</v>
      </c>
      <c r="C2909" s="20" t="s">
        <v>223</v>
      </c>
      <c r="D2909" s="21"/>
    </row>
    <row r="2910" spans="1:4" ht="12.75" customHeight="1" x14ac:dyDescent="0.2">
      <c r="A2910" s="21"/>
      <c r="B2910" s="3" t="s">
        <v>2</v>
      </c>
      <c r="C2910" s="20" t="s">
        <v>122</v>
      </c>
      <c r="D2910" s="21"/>
    </row>
    <row r="2911" spans="1:4" ht="12.75" customHeight="1" x14ac:dyDescent="0.2">
      <c r="A2911" s="21"/>
      <c r="B2911" s="3" t="s">
        <v>4</v>
      </c>
      <c r="C2911" s="20" t="s">
        <v>533</v>
      </c>
      <c r="D2911" s="21"/>
    </row>
    <row r="2912" spans="1:4" ht="12.75" customHeight="1" x14ac:dyDescent="0.2">
      <c r="A2912" s="21"/>
      <c r="B2912" s="3" t="s">
        <v>6</v>
      </c>
      <c r="C2912" s="20" t="s">
        <v>21</v>
      </c>
      <c r="D2912" s="21"/>
    </row>
    <row r="2913" spans="1:4" ht="12.75" customHeight="1" x14ac:dyDescent="0.2">
      <c r="A2913" s="21"/>
      <c r="B2913" s="3" t="s">
        <v>8</v>
      </c>
      <c r="C2913" s="20" t="s">
        <v>533</v>
      </c>
      <c r="D2913" s="21"/>
    </row>
    <row r="2914" spans="1:4" ht="12.75" customHeight="1" x14ac:dyDescent="0.2">
      <c r="A2914" s="21"/>
      <c r="B2914" s="3" t="s">
        <v>9</v>
      </c>
      <c r="C2914" s="20" t="s">
        <v>952</v>
      </c>
      <c r="D2914" s="21"/>
    </row>
    <row r="2915" spans="1:4" ht="12.75" customHeight="1" x14ac:dyDescent="0.2">
      <c r="A2915" s="21"/>
      <c r="B2915" s="3" t="s">
        <v>11</v>
      </c>
      <c r="C2915" s="20" t="s">
        <v>427</v>
      </c>
      <c r="D2915" s="21"/>
    </row>
    <row r="2916" spans="1:4" ht="12.75" customHeight="1" x14ac:dyDescent="0.2">
      <c r="A2916" s="21"/>
      <c r="B2916" s="3" t="s">
        <v>13</v>
      </c>
      <c r="C2916" s="20" t="s">
        <v>24</v>
      </c>
      <c r="D2916" s="21"/>
    </row>
    <row r="2917" spans="1:4" ht="12.75" customHeight="1" x14ac:dyDescent="0.2">
      <c r="A2917" s="21"/>
      <c r="B2917" s="3" t="s">
        <v>15</v>
      </c>
      <c r="C2917" s="20" t="s">
        <v>24</v>
      </c>
      <c r="D2917" s="21"/>
    </row>
    <row r="2918" spans="1:4" ht="12.75" customHeight="1" x14ac:dyDescent="0.2">
      <c r="A2918" s="21"/>
      <c r="B2918" s="3" t="s">
        <v>16</v>
      </c>
      <c r="C2918" s="20"/>
      <c r="D2918" s="21"/>
    </row>
    <row r="2919" spans="1:4" ht="12.75" customHeight="1" x14ac:dyDescent="0.2">
      <c r="A2919" s="21"/>
      <c r="B2919" s="3" t="s">
        <v>17</v>
      </c>
      <c r="C2919" s="20"/>
      <c r="D2919" s="21"/>
    </row>
    <row r="2920" spans="1:4" ht="12.75" customHeight="1" x14ac:dyDescent="0.2">
      <c r="A2920" s="21"/>
      <c r="B2920" s="20" t="s">
        <v>18</v>
      </c>
      <c r="C2920" s="4" t="s">
        <v>44</v>
      </c>
      <c r="D2920" s="6" t="str">
        <f>HYPERLINK("javascript:void(0)","kompózium")</f>
        <v>kompózium</v>
      </c>
    </row>
    <row r="2921" spans="1:4" ht="12.75" customHeight="1" x14ac:dyDescent="0.2">
      <c r="A2921" s="21"/>
      <c r="B2921" s="21"/>
      <c r="C2921" s="4" t="s">
        <v>68</v>
      </c>
      <c r="D2921" s="6" t="str">
        <f>HYPERLINK("javascript:void(0)","kacat")</f>
        <v>kacat</v>
      </c>
    </row>
    <row r="2922" spans="1:4" ht="12.75" customHeight="1" x14ac:dyDescent="0.2">
      <c r="A2922" s="21"/>
      <c r="B2922" s="21"/>
      <c r="C2922" s="4" t="s">
        <v>98</v>
      </c>
      <c r="D2922" s="6" t="str">
        <f>HYPERLINK("javascript:void(0)","űrlap")</f>
        <v>űrlap</v>
      </c>
    </row>
    <row r="2923" spans="1:4" ht="12.75" customHeight="1" x14ac:dyDescent="0.2">
      <c r="A2923" s="5"/>
      <c r="B2923" s="2"/>
      <c r="C2923" s="2"/>
      <c r="D2923" s="2"/>
    </row>
    <row r="2924" spans="1:4" ht="12.75" customHeight="1" x14ac:dyDescent="0.2">
      <c r="A2924" s="22" t="str">
        <f>HYPERLINK("javascript:void(0)","fotoacél kalapács")</f>
        <v>fotoacél kalapács</v>
      </c>
      <c r="B2924" s="21"/>
      <c r="C2924" s="21"/>
      <c r="D2924" s="21"/>
    </row>
    <row r="2925" spans="1:4" ht="12.75" customHeight="1" x14ac:dyDescent="0.2">
      <c r="A2925" s="20"/>
      <c r="B2925" s="2"/>
      <c r="C2925" s="2"/>
      <c r="D2925" s="2"/>
    </row>
    <row r="2926" spans="1:4" ht="12.75" customHeight="1" x14ac:dyDescent="0.2">
      <c r="A2926" s="21"/>
      <c r="B2926" s="3" t="s">
        <v>0</v>
      </c>
      <c r="C2926" s="20" t="s">
        <v>229</v>
      </c>
      <c r="D2926" s="21"/>
    </row>
    <row r="2927" spans="1:4" ht="12.75" customHeight="1" x14ac:dyDescent="0.2">
      <c r="A2927" s="21"/>
      <c r="B2927" s="3" t="s">
        <v>2</v>
      </c>
      <c r="C2927" s="20" t="s">
        <v>122</v>
      </c>
      <c r="D2927" s="21"/>
    </row>
    <row r="2928" spans="1:4" ht="12.75" customHeight="1" x14ac:dyDescent="0.2">
      <c r="A2928" s="21"/>
      <c r="B2928" s="3" t="s">
        <v>4</v>
      </c>
      <c r="C2928" s="20" t="s">
        <v>964</v>
      </c>
      <c r="D2928" s="21"/>
    </row>
    <row r="2929" spans="1:4" ht="12.75" customHeight="1" x14ac:dyDescent="0.2">
      <c r="A2929" s="21"/>
      <c r="B2929" s="3" t="s">
        <v>6</v>
      </c>
      <c r="C2929" s="20" t="s">
        <v>284</v>
      </c>
      <c r="D2929" s="21"/>
    </row>
    <row r="2930" spans="1:4" ht="12.75" customHeight="1" x14ac:dyDescent="0.2">
      <c r="A2930" s="21"/>
      <c r="B2930" s="3" t="s">
        <v>8</v>
      </c>
      <c r="C2930" s="20" t="s">
        <v>964</v>
      </c>
      <c r="D2930" s="21"/>
    </row>
    <row r="2931" spans="1:4" ht="12.75" customHeight="1" x14ac:dyDescent="0.2">
      <c r="A2931" s="21"/>
      <c r="B2931" s="3" t="s">
        <v>9</v>
      </c>
      <c r="C2931" s="20" t="s">
        <v>172</v>
      </c>
      <c r="D2931" s="21"/>
    </row>
    <row r="2932" spans="1:4" ht="12.75" customHeight="1" x14ac:dyDescent="0.2">
      <c r="A2932" s="21"/>
      <c r="B2932" s="3" t="s">
        <v>11</v>
      </c>
      <c r="C2932" s="20" t="s">
        <v>566</v>
      </c>
      <c r="D2932" s="21"/>
    </row>
    <row r="2933" spans="1:4" ht="12.75" customHeight="1" x14ac:dyDescent="0.2">
      <c r="A2933" s="21"/>
      <c r="B2933" s="3" t="s">
        <v>13</v>
      </c>
      <c r="C2933" s="20" t="s">
        <v>24</v>
      </c>
      <c r="D2933" s="21"/>
    </row>
    <row r="2934" spans="1:4" ht="12.75" customHeight="1" x14ac:dyDescent="0.2">
      <c r="A2934" s="21"/>
      <c r="B2934" s="3" t="s">
        <v>15</v>
      </c>
      <c r="C2934" s="20" t="s">
        <v>24</v>
      </c>
      <c r="D2934" s="21"/>
    </row>
    <row r="2935" spans="1:4" ht="12.75" customHeight="1" x14ac:dyDescent="0.2">
      <c r="A2935" s="21"/>
      <c r="B2935" s="3" t="s">
        <v>16</v>
      </c>
      <c r="C2935" s="20"/>
      <c r="D2935" s="21"/>
    </row>
    <row r="2936" spans="1:4" ht="12.75" customHeight="1" x14ac:dyDescent="0.2">
      <c r="A2936" s="21"/>
      <c r="B2936" s="3" t="s">
        <v>17</v>
      </c>
      <c r="C2936" s="20"/>
      <c r="D2936" s="21"/>
    </row>
    <row r="2937" spans="1:4" ht="12.75" customHeight="1" x14ac:dyDescent="0.2">
      <c r="A2937" s="21"/>
      <c r="B2937" s="20" t="s">
        <v>18</v>
      </c>
      <c r="C2937" s="4" t="s">
        <v>56</v>
      </c>
      <c r="D2937" s="6" t="str">
        <f>HYPERLINK("javascript:void(0)","hacuka")</f>
        <v>hacuka</v>
      </c>
    </row>
    <row r="2938" spans="1:4" ht="12.75" customHeight="1" x14ac:dyDescent="0.2">
      <c r="A2938" s="21"/>
      <c r="B2938" s="21"/>
      <c r="C2938" s="4" t="s">
        <v>382</v>
      </c>
      <c r="D2938" s="6" t="str">
        <f>HYPERLINK("javascript:void(0)","csontszilánk")</f>
        <v>csontszilánk</v>
      </c>
    </row>
    <row r="2939" spans="1:4" ht="12.75" customHeight="1" x14ac:dyDescent="0.2">
      <c r="A2939" s="21"/>
      <c r="B2939" s="21"/>
      <c r="C2939" s="4" t="s">
        <v>280</v>
      </c>
      <c r="D2939" s="6" t="str">
        <f>HYPERLINK("javascript:void(0)","horog")</f>
        <v>horog</v>
      </c>
    </row>
    <row r="2940" spans="1:4" ht="12.75" customHeight="1" x14ac:dyDescent="0.2">
      <c r="A2940" s="5"/>
      <c r="B2940" s="2"/>
      <c r="C2940" s="2"/>
      <c r="D2940" s="2"/>
    </row>
    <row r="2941" spans="1:4" ht="12.75" customHeight="1" x14ac:dyDescent="0.2">
      <c r="A2941" s="22" t="str">
        <f>HYPERLINK("javascript:void(0)","dimenzió mágusölő")</f>
        <v>dimenzió mágusölő</v>
      </c>
      <c r="B2941" s="21"/>
      <c r="C2941" s="21"/>
      <c r="D2941" s="21"/>
    </row>
    <row r="2942" spans="1:4" ht="12.75" customHeight="1" x14ac:dyDescent="0.2">
      <c r="A2942" s="20"/>
      <c r="B2942" s="2"/>
      <c r="C2942" s="2"/>
      <c r="D2942" s="2"/>
    </row>
    <row r="2943" spans="1:4" ht="12.75" customHeight="1" x14ac:dyDescent="0.2">
      <c r="A2943" s="21"/>
      <c r="B2943" s="3" t="s">
        <v>0</v>
      </c>
      <c r="C2943" s="20" t="s">
        <v>229</v>
      </c>
      <c r="D2943" s="21"/>
    </row>
    <row r="2944" spans="1:4" ht="12.75" customHeight="1" x14ac:dyDescent="0.2">
      <c r="A2944" s="21"/>
      <c r="B2944" s="3" t="s">
        <v>2</v>
      </c>
      <c r="C2944" s="20" t="s">
        <v>122</v>
      </c>
      <c r="D2944" s="21"/>
    </row>
    <row r="2945" spans="1:4" ht="12.75" customHeight="1" x14ac:dyDescent="0.2">
      <c r="A2945" s="21"/>
      <c r="B2945" s="3" t="s">
        <v>4</v>
      </c>
      <c r="C2945" s="20" t="s">
        <v>966</v>
      </c>
      <c r="D2945" s="21"/>
    </row>
    <row r="2946" spans="1:4" ht="12.75" customHeight="1" x14ac:dyDescent="0.2">
      <c r="A2946" s="21"/>
      <c r="B2946" s="3" t="s">
        <v>6</v>
      </c>
      <c r="C2946" s="20" t="s">
        <v>48</v>
      </c>
      <c r="D2946" s="21"/>
    </row>
    <row r="2947" spans="1:4" ht="12.75" customHeight="1" x14ac:dyDescent="0.2">
      <c r="A2947" s="21"/>
      <c r="B2947" s="3" t="s">
        <v>8</v>
      </c>
      <c r="C2947" s="20" t="s">
        <v>966</v>
      </c>
      <c r="D2947" s="21"/>
    </row>
    <row r="2948" spans="1:4" ht="12.75" customHeight="1" x14ac:dyDescent="0.2">
      <c r="A2948" s="21"/>
      <c r="B2948" s="3" t="s">
        <v>9</v>
      </c>
      <c r="C2948" s="20" t="s">
        <v>967</v>
      </c>
      <c r="D2948" s="21"/>
    </row>
    <row r="2949" spans="1:4" ht="12.75" customHeight="1" x14ac:dyDescent="0.2">
      <c r="A2949" s="21"/>
      <c r="B2949" s="3" t="s">
        <v>11</v>
      </c>
      <c r="C2949" s="20" t="s">
        <v>566</v>
      </c>
      <c r="D2949" s="21"/>
    </row>
    <row r="2950" spans="1:4" ht="12.75" customHeight="1" x14ac:dyDescent="0.2">
      <c r="A2950" s="21"/>
      <c r="B2950" s="3" t="s">
        <v>13</v>
      </c>
      <c r="C2950" s="20" t="s">
        <v>14</v>
      </c>
      <c r="D2950" s="21"/>
    </row>
    <row r="2951" spans="1:4" ht="12.75" customHeight="1" x14ac:dyDescent="0.2">
      <c r="A2951" s="21"/>
      <c r="B2951" s="3" t="s">
        <v>15</v>
      </c>
      <c r="C2951" s="20" t="s">
        <v>24</v>
      </c>
      <c r="D2951" s="21"/>
    </row>
    <row r="2952" spans="1:4" ht="12.75" customHeight="1" x14ac:dyDescent="0.2">
      <c r="A2952" s="21"/>
      <c r="B2952" s="3" t="s">
        <v>16</v>
      </c>
      <c r="C2952" s="20"/>
      <c r="D2952" s="21"/>
    </row>
    <row r="2953" spans="1:4" ht="12.75" customHeight="1" x14ac:dyDescent="0.2">
      <c r="A2953" s="21"/>
      <c r="B2953" s="3" t="s">
        <v>17</v>
      </c>
      <c r="C2953" s="20"/>
      <c r="D2953" s="21"/>
    </row>
    <row r="2954" spans="1:4" ht="12.75" customHeight="1" x14ac:dyDescent="0.2">
      <c r="A2954" s="21"/>
      <c r="B2954" s="20" t="s">
        <v>18</v>
      </c>
      <c r="C2954" s="4" t="s">
        <v>68</v>
      </c>
      <c r="D2954" s="6" t="str">
        <f>HYPERLINK("javascript:void(0)","hacuka")</f>
        <v>hacuka</v>
      </c>
    </row>
    <row r="2955" spans="1:4" ht="12.75" customHeight="1" x14ac:dyDescent="0.2">
      <c r="A2955" s="21"/>
      <c r="B2955" s="21"/>
      <c r="C2955" s="4" t="s">
        <v>68</v>
      </c>
      <c r="D2955" s="6" t="str">
        <f>HYPERLINK("javascript:void(0)","dimenzióforgács")</f>
        <v>dimenzióforgács</v>
      </c>
    </row>
    <row r="2956" spans="1:4" ht="12.75" customHeight="1" x14ac:dyDescent="0.2">
      <c r="A2956" s="21"/>
      <c r="B2956" s="21"/>
      <c r="C2956" s="4" t="s">
        <v>474</v>
      </c>
      <c r="D2956" s="6" t="str">
        <f>HYPERLINK("javascript:void(0)","morfige")</f>
        <v>morfige</v>
      </c>
    </row>
    <row r="2957" spans="1:4" ht="12.75" customHeight="1" x14ac:dyDescent="0.2">
      <c r="A2957" s="5"/>
      <c r="B2957" s="2"/>
      <c r="C2957" s="2"/>
      <c r="D2957" s="2"/>
    </row>
    <row r="2958" spans="1:4" ht="12.75" customHeight="1" x14ac:dyDescent="0.2">
      <c r="A2958" s="22" t="str">
        <f>HYPERLINK("javascript:void(0)","fotonhegy")</f>
        <v>fotonhegy</v>
      </c>
      <c r="B2958" s="21"/>
      <c r="C2958" s="21"/>
      <c r="D2958" s="21"/>
    </row>
    <row r="2959" spans="1:4" ht="12.75" customHeight="1" x14ac:dyDescent="0.2">
      <c r="A2959" s="20"/>
      <c r="B2959" s="2"/>
      <c r="C2959" s="2"/>
      <c r="D2959" s="2"/>
    </row>
    <row r="2960" spans="1:4" ht="12.75" customHeight="1" x14ac:dyDescent="0.2">
      <c r="A2960" s="21"/>
      <c r="B2960" s="3" t="s">
        <v>0</v>
      </c>
      <c r="C2960" s="20" t="s">
        <v>229</v>
      </c>
      <c r="D2960" s="21"/>
    </row>
    <row r="2961" spans="1:4" ht="12.75" customHeight="1" x14ac:dyDescent="0.2">
      <c r="A2961" s="21"/>
      <c r="B2961" s="3" t="s">
        <v>2</v>
      </c>
      <c r="C2961" s="20" t="s">
        <v>122</v>
      </c>
      <c r="D2961" s="21"/>
    </row>
    <row r="2962" spans="1:4" ht="12.75" customHeight="1" x14ac:dyDescent="0.2">
      <c r="A2962" s="21"/>
      <c r="B2962" s="3" t="s">
        <v>4</v>
      </c>
      <c r="C2962" s="20" t="s">
        <v>533</v>
      </c>
      <c r="D2962" s="21"/>
    </row>
    <row r="2963" spans="1:4" ht="12.75" customHeight="1" x14ac:dyDescent="0.2">
      <c r="A2963" s="21"/>
      <c r="B2963" s="3" t="s">
        <v>6</v>
      </c>
      <c r="C2963" s="20" t="s">
        <v>21</v>
      </c>
      <c r="D2963" s="21"/>
    </row>
    <row r="2964" spans="1:4" ht="12.75" customHeight="1" x14ac:dyDescent="0.2">
      <c r="A2964" s="21"/>
      <c r="B2964" s="3" t="s">
        <v>8</v>
      </c>
      <c r="C2964" s="20" t="s">
        <v>533</v>
      </c>
      <c r="D2964" s="21"/>
    </row>
    <row r="2965" spans="1:4" ht="12.75" customHeight="1" x14ac:dyDescent="0.2">
      <c r="A2965" s="21"/>
      <c r="B2965" s="3" t="s">
        <v>9</v>
      </c>
      <c r="C2965" s="20" t="s">
        <v>22</v>
      </c>
      <c r="D2965" s="21"/>
    </row>
    <row r="2966" spans="1:4" ht="12.75" customHeight="1" x14ac:dyDescent="0.2">
      <c r="A2966" s="21"/>
      <c r="B2966" s="3" t="s">
        <v>11</v>
      </c>
      <c r="C2966" s="20" t="s">
        <v>437</v>
      </c>
      <c r="D2966" s="21"/>
    </row>
    <row r="2967" spans="1:4" ht="12.75" customHeight="1" x14ac:dyDescent="0.2">
      <c r="A2967" s="21"/>
      <c r="B2967" s="3" t="s">
        <v>13</v>
      </c>
      <c r="C2967" s="20" t="s">
        <v>24</v>
      </c>
      <c r="D2967" s="21"/>
    </row>
    <row r="2968" spans="1:4" ht="12.75" customHeight="1" x14ac:dyDescent="0.2">
      <c r="A2968" s="21"/>
      <c r="B2968" s="3" t="s">
        <v>15</v>
      </c>
      <c r="C2968" s="20" t="s">
        <v>24</v>
      </c>
      <c r="D2968" s="21"/>
    </row>
    <row r="2969" spans="1:4" ht="12.75" customHeight="1" x14ac:dyDescent="0.2">
      <c r="A2969" s="21"/>
      <c r="B2969" s="3" t="s">
        <v>16</v>
      </c>
      <c r="C2969" s="20"/>
      <c r="D2969" s="21"/>
    </row>
    <row r="2970" spans="1:4" ht="12.75" customHeight="1" x14ac:dyDescent="0.2">
      <c r="A2970" s="21"/>
      <c r="B2970" s="3" t="s">
        <v>17</v>
      </c>
      <c r="C2970" s="20"/>
      <c r="D2970" s="21"/>
    </row>
    <row r="2971" spans="1:4" ht="12.75" customHeight="1" x14ac:dyDescent="0.2">
      <c r="A2971" s="21"/>
      <c r="B2971" s="20" t="s">
        <v>18</v>
      </c>
      <c r="C2971" s="4" t="s">
        <v>55</v>
      </c>
      <c r="D2971" s="6" t="str">
        <f>HYPERLINK("javascript:void(0)","rémszarv")</f>
        <v>rémszarv</v>
      </c>
    </row>
    <row r="2972" spans="1:4" ht="12.75" customHeight="1" x14ac:dyDescent="0.2">
      <c r="A2972" s="21"/>
      <c r="B2972" s="21"/>
      <c r="C2972" s="4" t="s">
        <v>163</v>
      </c>
      <c r="D2972" s="6" t="str">
        <f>HYPERLINK("javascript:void(0)","fotogén")</f>
        <v>fotogén</v>
      </c>
    </row>
    <row r="2973" spans="1:4" ht="12.75" customHeight="1" x14ac:dyDescent="0.2">
      <c r="A2973" s="21"/>
      <c r="B2973" s="21"/>
      <c r="C2973" s="4" t="s">
        <v>369</v>
      </c>
      <c r="D2973" s="6" t="str">
        <f>HYPERLINK("javascript:void(0)","homokóra")</f>
        <v>homokóra</v>
      </c>
    </row>
    <row r="2974" spans="1:4" ht="12.75" customHeight="1" x14ac:dyDescent="0.2">
      <c r="A2974" s="5"/>
      <c r="B2974" s="2"/>
      <c r="C2974" s="2"/>
      <c r="D2974" s="2"/>
    </row>
    <row r="2975" spans="1:4" ht="12.75" customHeight="1" x14ac:dyDescent="0.2">
      <c r="A2975" s="22" t="str">
        <f>HYPERLINK("javascript:void(0)","trollbunkó")</f>
        <v>trollbunkó</v>
      </c>
      <c r="B2975" s="21"/>
      <c r="C2975" s="21"/>
      <c r="D2975" s="21"/>
    </row>
    <row r="2976" spans="1:4" ht="12.75" customHeight="1" x14ac:dyDescent="0.2">
      <c r="A2976" s="20"/>
      <c r="B2976" s="2"/>
      <c r="C2976" s="2"/>
      <c r="D2976" s="2"/>
    </row>
    <row r="2977" spans="1:4" ht="12.75" customHeight="1" x14ac:dyDescent="0.2">
      <c r="A2977" s="21"/>
      <c r="B2977" s="3" t="s">
        <v>0</v>
      </c>
      <c r="C2977" s="20" t="s">
        <v>562</v>
      </c>
      <c r="D2977" s="21"/>
    </row>
    <row r="2978" spans="1:4" ht="12.75" customHeight="1" x14ac:dyDescent="0.2">
      <c r="A2978" s="21"/>
      <c r="B2978" s="3" t="s">
        <v>2</v>
      </c>
      <c r="C2978" s="20" t="s">
        <v>122</v>
      </c>
      <c r="D2978" s="21"/>
    </row>
    <row r="2979" spans="1:4" ht="12.75" customHeight="1" x14ac:dyDescent="0.2">
      <c r="A2979" s="21"/>
      <c r="B2979" s="3" t="s">
        <v>4</v>
      </c>
      <c r="C2979" s="20" t="s">
        <v>977</v>
      </c>
      <c r="D2979" s="21"/>
    </row>
    <row r="2980" spans="1:4" ht="12.75" customHeight="1" x14ac:dyDescent="0.2">
      <c r="A2980" s="21"/>
      <c r="B2980" s="3" t="s">
        <v>6</v>
      </c>
      <c r="C2980" s="20" t="s">
        <v>353</v>
      </c>
      <c r="D2980" s="21"/>
    </row>
    <row r="2981" spans="1:4" ht="12.75" customHeight="1" x14ac:dyDescent="0.2">
      <c r="A2981" s="21"/>
      <c r="B2981" s="3" t="s">
        <v>8</v>
      </c>
      <c r="C2981" s="20" t="s">
        <v>977</v>
      </c>
      <c r="D2981" s="21"/>
    </row>
    <row r="2982" spans="1:4" ht="12.75" customHeight="1" x14ac:dyDescent="0.2">
      <c r="A2982" s="21"/>
      <c r="B2982" s="3" t="s">
        <v>9</v>
      </c>
      <c r="C2982" s="20" t="s">
        <v>129</v>
      </c>
      <c r="D2982" s="21"/>
    </row>
    <row r="2983" spans="1:4" ht="12.75" customHeight="1" x14ac:dyDescent="0.2">
      <c r="A2983" s="21"/>
      <c r="B2983" s="3" t="s">
        <v>11</v>
      </c>
      <c r="C2983" s="20" t="s">
        <v>587</v>
      </c>
      <c r="D2983" s="21"/>
    </row>
    <row r="2984" spans="1:4" ht="12.75" customHeight="1" x14ac:dyDescent="0.2">
      <c r="A2984" s="21"/>
      <c r="B2984" s="3" t="s">
        <v>13</v>
      </c>
      <c r="C2984" s="20" t="s">
        <v>24</v>
      </c>
      <c r="D2984" s="21"/>
    </row>
    <row r="2985" spans="1:4" ht="12.75" customHeight="1" x14ac:dyDescent="0.2">
      <c r="A2985" s="21"/>
      <c r="B2985" s="3" t="s">
        <v>15</v>
      </c>
      <c r="C2985" s="20" t="s">
        <v>24</v>
      </c>
      <c r="D2985" s="21"/>
    </row>
    <row r="2986" spans="1:4" ht="12.75" customHeight="1" x14ac:dyDescent="0.2">
      <c r="A2986" s="21"/>
      <c r="B2986" s="3" t="s">
        <v>16</v>
      </c>
      <c r="C2986" s="20"/>
      <c r="D2986" s="21"/>
    </row>
    <row r="2987" spans="1:4" ht="12.75" customHeight="1" x14ac:dyDescent="0.2">
      <c r="A2987" s="21"/>
      <c r="B2987" s="3" t="s">
        <v>17</v>
      </c>
      <c r="C2987" s="20"/>
      <c r="D2987" s="21"/>
    </row>
    <row r="2988" spans="1:4" ht="12.75" customHeight="1" x14ac:dyDescent="0.2">
      <c r="A2988" s="21"/>
      <c r="B2988" s="20" t="s">
        <v>18</v>
      </c>
      <c r="C2988" s="4" t="s">
        <v>44</v>
      </c>
      <c r="D2988" s="6" t="str">
        <f>HYPERLINK("javascript:void(0)","fotoacél buzogány")</f>
        <v>fotoacél buzogány</v>
      </c>
    </row>
    <row r="2989" spans="1:4" ht="12.75" customHeight="1" x14ac:dyDescent="0.2">
      <c r="A2989" s="21"/>
      <c r="B2989" s="21"/>
      <c r="C2989" s="4" t="s">
        <v>44</v>
      </c>
      <c r="D2989" s="6" t="str">
        <f>HYPERLINK("javascript:void(0)","fotoacél kalapács")</f>
        <v>fotoacél kalapács</v>
      </c>
    </row>
    <row r="2990" spans="1:4" ht="12.75" customHeight="1" x14ac:dyDescent="0.2">
      <c r="A2990" s="21"/>
      <c r="B2990" s="21"/>
      <c r="C2990" s="4" t="s">
        <v>44</v>
      </c>
      <c r="D2990" s="6" t="str">
        <f>HYPERLINK("javascript:void(0)","otrollba")</f>
        <v>otrollba</v>
      </c>
    </row>
    <row r="2991" spans="1:4" ht="12.75" customHeight="1" x14ac:dyDescent="0.2">
      <c r="A2991" s="5"/>
      <c r="B2991" s="2"/>
      <c r="C2991" s="2"/>
      <c r="D2991" s="2"/>
    </row>
    <row r="2992" spans="1:4" ht="12.75" customHeight="1" x14ac:dyDescent="0.2">
      <c r="A2992" s="22" t="str">
        <f>HYPERLINK("javascript:void(0)","troll ballaszt")</f>
        <v>troll ballaszt</v>
      </c>
      <c r="B2992" s="21"/>
      <c r="C2992" s="21"/>
      <c r="D2992" s="21"/>
    </row>
    <row r="2993" spans="1:4" ht="12.75" customHeight="1" x14ac:dyDescent="0.2">
      <c r="A2993" s="20"/>
      <c r="B2993" s="2"/>
      <c r="C2993" s="2"/>
      <c r="D2993" s="2"/>
    </row>
    <row r="2994" spans="1:4" ht="12.75" customHeight="1" x14ac:dyDescent="0.2">
      <c r="A2994" s="21"/>
      <c r="B2994" s="3" t="s">
        <v>0</v>
      </c>
      <c r="C2994" s="20" t="s">
        <v>562</v>
      </c>
      <c r="D2994" s="21"/>
    </row>
    <row r="2995" spans="1:4" ht="12.75" customHeight="1" x14ac:dyDescent="0.2">
      <c r="A2995" s="21"/>
      <c r="B2995" s="3" t="s">
        <v>2</v>
      </c>
      <c r="C2995" s="20" t="s">
        <v>122</v>
      </c>
      <c r="D2995" s="21"/>
    </row>
    <row r="2996" spans="1:4" ht="12.75" customHeight="1" x14ac:dyDescent="0.2">
      <c r="A2996" s="21"/>
      <c r="B2996" s="3" t="s">
        <v>4</v>
      </c>
      <c r="C2996" s="20" t="s">
        <v>982</v>
      </c>
      <c r="D2996" s="21"/>
    </row>
    <row r="2997" spans="1:4" ht="12.75" customHeight="1" x14ac:dyDescent="0.2">
      <c r="A2997" s="21"/>
      <c r="B2997" s="3" t="s">
        <v>6</v>
      </c>
      <c r="C2997" s="20" t="s">
        <v>260</v>
      </c>
      <c r="D2997" s="21"/>
    </row>
    <row r="2998" spans="1:4" ht="12.75" customHeight="1" x14ac:dyDescent="0.2">
      <c r="A2998" s="21"/>
      <c r="B2998" s="3" t="s">
        <v>8</v>
      </c>
      <c r="C2998" s="20" t="s">
        <v>982</v>
      </c>
      <c r="D2998" s="21"/>
    </row>
    <row r="2999" spans="1:4" ht="12.75" customHeight="1" x14ac:dyDescent="0.2">
      <c r="A2999" s="21"/>
      <c r="B2999" s="3" t="s">
        <v>9</v>
      </c>
      <c r="C2999" s="20" t="s">
        <v>983</v>
      </c>
      <c r="D2999" s="21"/>
    </row>
    <row r="3000" spans="1:4" ht="12.75" customHeight="1" x14ac:dyDescent="0.2">
      <c r="A3000" s="21"/>
      <c r="B3000" s="3" t="s">
        <v>11</v>
      </c>
      <c r="C3000" s="20" t="s">
        <v>684</v>
      </c>
      <c r="D3000" s="21"/>
    </row>
    <row r="3001" spans="1:4" ht="12.75" customHeight="1" x14ac:dyDescent="0.2">
      <c r="A3001" s="21"/>
      <c r="B3001" s="3" t="s">
        <v>13</v>
      </c>
      <c r="C3001" s="20" t="s">
        <v>24</v>
      </c>
      <c r="D3001" s="21"/>
    </row>
    <row r="3002" spans="1:4" ht="12.75" customHeight="1" x14ac:dyDescent="0.2">
      <c r="A3002" s="21"/>
      <c r="B3002" s="3" t="s">
        <v>15</v>
      </c>
      <c r="C3002" s="20" t="s">
        <v>24</v>
      </c>
      <c r="D3002" s="21"/>
    </row>
    <row r="3003" spans="1:4" ht="12.75" customHeight="1" x14ac:dyDescent="0.2">
      <c r="A3003" s="21"/>
      <c r="B3003" s="3" t="s">
        <v>16</v>
      </c>
      <c r="C3003" s="20"/>
      <c r="D3003" s="21"/>
    </row>
    <row r="3004" spans="1:4" ht="12.75" customHeight="1" x14ac:dyDescent="0.2">
      <c r="A3004" s="21"/>
      <c r="B3004" s="3" t="s">
        <v>17</v>
      </c>
      <c r="C3004" s="20"/>
      <c r="D3004" s="21"/>
    </row>
    <row r="3005" spans="1:4" ht="12.75" customHeight="1" x14ac:dyDescent="0.2">
      <c r="A3005" s="21"/>
      <c r="B3005" s="20" t="s">
        <v>18</v>
      </c>
      <c r="C3005" s="4" t="s">
        <v>68</v>
      </c>
      <c r="D3005" s="6" t="str">
        <f>HYPERLINK("javascript:void(0)","trolltartó")</f>
        <v>trolltartó</v>
      </c>
    </row>
    <row r="3006" spans="1:4" ht="12.75" customHeight="1" x14ac:dyDescent="0.2">
      <c r="A3006" s="21"/>
      <c r="B3006" s="21"/>
      <c r="C3006" s="4" t="s">
        <v>280</v>
      </c>
      <c r="D3006" s="6" t="str">
        <f>HYPERLINK("javascript:void(0)","kacat")</f>
        <v>kacat</v>
      </c>
    </row>
    <row r="3007" spans="1:4" ht="12.75" customHeight="1" x14ac:dyDescent="0.2">
      <c r="A3007" s="21"/>
      <c r="B3007" s="21"/>
      <c r="C3007" s="4" t="s">
        <v>494</v>
      </c>
      <c r="D3007" s="6" t="str">
        <f>HYPERLINK("javascript:void(0)","csontszilánk")</f>
        <v>csontszilánk</v>
      </c>
    </row>
    <row r="3008" spans="1:4" ht="12.75" customHeight="1" x14ac:dyDescent="0.2">
      <c r="A3008" s="5"/>
      <c r="B3008" s="2"/>
      <c r="C3008" s="2"/>
      <c r="D3008" s="2"/>
    </row>
    <row r="3009" spans="1:4" ht="12.75" customHeight="1" x14ac:dyDescent="0.2">
      <c r="A3009" s="22" t="str">
        <f>HYPERLINK("javascript:void(0)","gyíkacél lánc")</f>
        <v>gyíkacél lánc</v>
      </c>
      <c r="B3009" s="21"/>
      <c r="C3009" s="21"/>
      <c r="D3009" s="21"/>
    </row>
    <row r="3010" spans="1:4" ht="12.75" customHeight="1" x14ac:dyDescent="0.2">
      <c r="A3010" s="20"/>
      <c r="B3010" s="2"/>
      <c r="C3010" s="2"/>
      <c r="D3010" s="2"/>
    </row>
    <row r="3011" spans="1:4" ht="12.75" customHeight="1" x14ac:dyDescent="0.2">
      <c r="A3011" s="21"/>
      <c r="B3011" s="3" t="s">
        <v>0</v>
      </c>
      <c r="C3011" s="20" t="s">
        <v>562</v>
      </c>
      <c r="D3011" s="21"/>
    </row>
    <row r="3012" spans="1:4" ht="12.75" customHeight="1" x14ac:dyDescent="0.2">
      <c r="A3012" s="21"/>
      <c r="B3012" s="3" t="s">
        <v>2</v>
      </c>
      <c r="C3012" s="20" t="s">
        <v>122</v>
      </c>
      <c r="D3012" s="21"/>
    </row>
    <row r="3013" spans="1:4" ht="12.75" customHeight="1" x14ac:dyDescent="0.2">
      <c r="A3013" s="21"/>
      <c r="B3013" s="3" t="s">
        <v>4</v>
      </c>
      <c r="C3013" s="20" t="s">
        <v>990</v>
      </c>
      <c r="D3013" s="21"/>
    </row>
    <row r="3014" spans="1:4" ht="12.75" customHeight="1" x14ac:dyDescent="0.2">
      <c r="A3014" s="21"/>
      <c r="B3014" s="3" t="s">
        <v>6</v>
      </c>
      <c r="C3014" s="20" t="s">
        <v>107</v>
      </c>
      <c r="D3014" s="21"/>
    </row>
    <row r="3015" spans="1:4" ht="12.75" customHeight="1" x14ac:dyDescent="0.2">
      <c r="A3015" s="21"/>
      <c r="B3015" s="3" t="s">
        <v>8</v>
      </c>
      <c r="C3015" s="20" t="s">
        <v>990</v>
      </c>
      <c r="D3015" s="21"/>
    </row>
    <row r="3016" spans="1:4" ht="12.75" customHeight="1" x14ac:dyDescent="0.2">
      <c r="A3016" s="21"/>
      <c r="B3016" s="3" t="s">
        <v>9</v>
      </c>
      <c r="C3016" s="20" t="s">
        <v>991</v>
      </c>
      <c r="D3016" s="21"/>
    </row>
    <row r="3017" spans="1:4" ht="12.75" customHeight="1" x14ac:dyDescent="0.2">
      <c r="A3017" s="21"/>
      <c r="B3017" s="3" t="s">
        <v>11</v>
      </c>
      <c r="C3017" s="20" t="s">
        <v>447</v>
      </c>
      <c r="D3017" s="21"/>
    </row>
    <row r="3018" spans="1:4" ht="12.75" customHeight="1" x14ac:dyDescent="0.2">
      <c r="A3018" s="21"/>
      <c r="B3018" s="3" t="s">
        <v>13</v>
      </c>
      <c r="C3018" s="20" t="s">
        <v>24</v>
      </c>
      <c r="D3018" s="21"/>
    </row>
    <row r="3019" spans="1:4" ht="12.75" customHeight="1" x14ac:dyDescent="0.2">
      <c r="A3019" s="21"/>
      <c r="B3019" s="3" t="s">
        <v>15</v>
      </c>
      <c r="C3019" s="20" t="s">
        <v>24</v>
      </c>
      <c r="D3019" s="21"/>
    </row>
    <row r="3020" spans="1:4" ht="12.75" customHeight="1" x14ac:dyDescent="0.2">
      <c r="A3020" s="21"/>
      <c r="B3020" s="3" t="s">
        <v>16</v>
      </c>
      <c r="C3020" s="20"/>
      <c r="D3020" s="21"/>
    </row>
    <row r="3021" spans="1:4" ht="12.75" customHeight="1" x14ac:dyDescent="0.2">
      <c r="A3021" s="21"/>
      <c r="B3021" s="3" t="s">
        <v>17</v>
      </c>
      <c r="C3021" s="20"/>
      <c r="D3021" s="21"/>
    </row>
    <row r="3022" spans="1:4" ht="12.75" customHeight="1" x14ac:dyDescent="0.2">
      <c r="A3022" s="21"/>
      <c r="B3022" s="20" t="s">
        <v>18</v>
      </c>
      <c r="C3022" s="4" t="s">
        <v>67</v>
      </c>
      <c r="D3022" s="6" t="str">
        <f>HYPERLINK("javascript:void(0)","bronzrög")</f>
        <v>bronzrög</v>
      </c>
    </row>
    <row r="3023" spans="1:4" ht="12.75" customHeight="1" x14ac:dyDescent="0.2">
      <c r="A3023" s="21"/>
      <c r="B3023" s="21"/>
      <c r="C3023" s="4" t="s">
        <v>163</v>
      </c>
      <c r="D3023" s="6" t="str">
        <f>HYPERLINK("javascript:void(0)","vízige")</f>
        <v>vízige</v>
      </c>
    </row>
    <row r="3024" spans="1:4" ht="12.75" customHeight="1" x14ac:dyDescent="0.2">
      <c r="A3024" s="21"/>
      <c r="B3024" s="21"/>
      <c r="C3024" s="4" t="s">
        <v>280</v>
      </c>
      <c r="D3024" s="6" t="str">
        <f>HYPERLINK("javascript:void(0)","sárkányfog")</f>
        <v>sárkányfog</v>
      </c>
    </row>
    <row r="3025" spans="1:4" ht="12.75" customHeight="1" x14ac:dyDescent="0.2">
      <c r="A3025" s="5"/>
      <c r="B3025" s="2"/>
      <c r="C3025" s="2"/>
      <c r="D3025" s="2"/>
    </row>
    <row r="3026" spans="1:4" ht="12.75" customHeight="1" x14ac:dyDescent="0.2">
      <c r="A3026" s="22" t="str">
        <f>HYPERLINK("javascript:void(0)","otrollba")</f>
        <v>otrollba</v>
      </c>
      <c r="B3026" s="21"/>
      <c r="C3026" s="21"/>
      <c r="D3026" s="21"/>
    </row>
    <row r="3027" spans="1:4" ht="12.75" customHeight="1" x14ac:dyDescent="0.2">
      <c r="A3027" s="20"/>
      <c r="B3027" s="2"/>
      <c r="C3027" s="2"/>
      <c r="D3027" s="2"/>
    </row>
    <row r="3028" spans="1:4" ht="12.75" customHeight="1" x14ac:dyDescent="0.2">
      <c r="A3028" s="21"/>
      <c r="B3028" s="3" t="s">
        <v>0</v>
      </c>
      <c r="C3028" s="20" t="s">
        <v>562</v>
      </c>
      <c r="D3028" s="21"/>
    </row>
    <row r="3029" spans="1:4" ht="12.75" customHeight="1" x14ac:dyDescent="0.2">
      <c r="A3029" s="21"/>
      <c r="B3029" s="3" t="s">
        <v>2</v>
      </c>
      <c r="C3029" s="20" t="s">
        <v>122</v>
      </c>
      <c r="D3029" s="21"/>
    </row>
    <row r="3030" spans="1:4" ht="12.75" customHeight="1" x14ac:dyDescent="0.2">
      <c r="A3030" s="21"/>
      <c r="B3030" s="3" t="s">
        <v>4</v>
      </c>
      <c r="C3030" s="20" t="s">
        <v>533</v>
      </c>
      <c r="D3030" s="21"/>
    </row>
    <row r="3031" spans="1:4" ht="12.75" customHeight="1" x14ac:dyDescent="0.2">
      <c r="A3031" s="21"/>
      <c r="B3031" s="3" t="s">
        <v>6</v>
      </c>
      <c r="C3031" s="20" t="s">
        <v>21</v>
      </c>
      <c r="D3031" s="21"/>
    </row>
    <row r="3032" spans="1:4" ht="12.75" customHeight="1" x14ac:dyDescent="0.2">
      <c r="A3032" s="21"/>
      <c r="B3032" s="3" t="s">
        <v>8</v>
      </c>
      <c r="C3032" s="20" t="s">
        <v>533</v>
      </c>
      <c r="D3032" s="21"/>
    </row>
    <row r="3033" spans="1:4" ht="12.75" customHeight="1" x14ac:dyDescent="0.2">
      <c r="A3033" s="21"/>
      <c r="B3033" s="3" t="s">
        <v>9</v>
      </c>
      <c r="C3033" s="20" t="s">
        <v>124</v>
      </c>
      <c r="D3033" s="21"/>
    </row>
    <row r="3034" spans="1:4" ht="12.75" customHeight="1" x14ac:dyDescent="0.2">
      <c r="A3034" s="21"/>
      <c r="B3034" s="3" t="s">
        <v>11</v>
      </c>
      <c r="C3034" s="20" t="s">
        <v>447</v>
      </c>
      <c r="D3034" s="21"/>
    </row>
    <row r="3035" spans="1:4" ht="12.75" customHeight="1" x14ac:dyDescent="0.2">
      <c r="A3035" s="21"/>
      <c r="B3035" s="3" t="s">
        <v>13</v>
      </c>
      <c r="C3035" s="20" t="s">
        <v>24</v>
      </c>
      <c r="D3035" s="21"/>
    </row>
    <row r="3036" spans="1:4" ht="12.75" customHeight="1" x14ac:dyDescent="0.2">
      <c r="A3036" s="21"/>
      <c r="B3036" s="3" t="s">
        <v>15</v>
      </c>
      <c r="C3036" s="20" t="s">
        <v>24</v>
      </c>
      <c r="D3036" s="21"/>
    </row>
    <row r="3037" spans="1:4" ht="12.75" customHeight="1" x14ac:dyDescent="0.2">
      <c r="A3037" s="21"/>
      <c r="B3037" s="3" t="s">
        <v>16</v>
      </c>
      <c r="C3037" s="20"/>
      <c r="D3037" s="21"/>
    </row>
    <row r="3038" spans="1:4" ht="12.75" customHeight="1" x14ac:dyDescent="0.2">
      <c r="A3038" s="21"/>
      <c r="B3038" s="3" t="s">
        <v>17</v>
      </c>
      <c r="C3038" s="20"/>
      <c r="D3038" s="21"/>
    </row>
    <row r="3039" spans="1:4" ht="12.75" customHeight="1" x14ac:dyDescent="0.2">
      <c r="A3039" s="21"/>
      <c r="B3039" s="20" t="s">
        <v>18</v>
      </c>
      <c r="C3039" s="4" t="s">
        <v>56</v>
      </c>
      <c r="D3039" s="6" t="str">
        <f>HYPERLINK("javascript:void(0)","trolltartó")</f>
        <v>trolltartó</v>
      </c>
    </row>
    <row r="3040" spans="1:4" ht="12.75" customHeight="1" x14ac:dyDescent="0.2">
      <c r="A3040" s="21"/>
      <c r="B3040" s="21"/>
      <c r="C3040" s="4" t="s">
        <v>193</v>
      </c>
      <c r="D3040" s="6" t="str">
        <f>HYPERLINK("javascript:void(0)","kacat")</f>
        <v>kacat</v>
      </c>
    </row>
    <row r="3041" spans="1:4" ht="12.75" customHeight="1" x14ac:dyDescent="0.2">
      <c r="A3041" s="21"/>
      <c r="B3041" s="21"/>
      <c r="C3041" s="4" t="s">
        <v>130</v>
      </c>
      <c r="D3041" s="6" t="str">
        <f>HYPERLINK("javascript:void(0)","csontszilánk")</f>
        <v>csontszilánk</v>
      </c>
    </row>
    <row r="3042" spans="1:4" ht="12.75" customHeight="1" x14ac:dyDescent="0.2">
      <c r="A3042" s="5"/>
      <c r="B3042" s="2"/>
      <c r="C3042" s="2"/>
      <c r="D3042" s="2"/>
    </row>
    <row r="3043" spans="1:4" ht="12.75" customHeight="1" x14ac:dyDescent="0.2">
      <c r="A3043" s="22" t="str">
        <f>HYPERLINK("javascript:void(0)","szócséplő")</f>
        <v>szócséplő</v>
      </c>
      <c r="B3043" s="21"/>
      <c r="C3043" s="21"/>
      <c r="D3043" s="21"/>
    </row>
    <row r="3044" spans="1:4" ht="12.75" customHeight="1" x14ac:dyDescent="0.2">
      <c r="A3044" s="20"/>
      <c r="B3044" s="2"/>
      <c r="C3044" s="2"/>
      <c r="D3044" s="2"/>
    </row>
    <row r="3045" spans="1:4" ht="12.75" customHeight="1" x14ac:dyDescent="0.2">
      <c r="A3045" s="21"/>
      <c r="B3045" s="3" t="s">
        <v>0</v>
      </c>
      <c r="C3045" s="20" t="s">
        <v>575</v>
      </c>
      <c r="D3045" s="21"/>
    </row>
    <row r="3046" spans="1:4" ht="12.75" customHeight="1" x14ac:dyDescent="0.2">
      <c r="A3046" s="21"/>
      <c r="B3046" s="3" t="s">
        <v>2</v>
      </c>
      <c r="C3046" s="20" t="s">
        <v>122</v>
      </c>
      <c r="D3046" s="21"/>
    </row>
    <row r="3047" spans="1:4" ht="12.75" customHeight="1" x14ac:dyDescent="0.2">
      <c r="A3047" s="21"/>
      <c r="B3047" s="3" t="s">
        <v>4</v>
      </c>
      <c r="C3047" s="20" t="s">
        <v>997</v>
      </c>
      <c r="D3047" s="21"/>
    </row>
    <row r="3048" spans="1:4" ht="12.75" customHeight="1" x14ac:dyDescent="0.2">
      <c r="A3048" s="21"/>
      <c r="B3048" s="3" t="s">
        <v>6</v>
      </c>
      <c r="C3048" s="20" t="s">
        <v>284</v>
      </c>
      <c r="D3048" s="21"/>
    </row>
    <row r="3049" spans="1:4" ht="12.75" customHeight="1" x14ac:dyDescent="0.2">
      <c r="A3049" s="21"/>
      <c r="B3049" s="3" t="s">
        <v>8</v>
      </c>
      <c r="C3049" s="20" t="s">
        <v>997</v>
      </c>
      <c r="D3049" s="21"/>
    </row>
    <row r="3050" spans="1:4" ht="12.75" customHeight="1" x14ac:dyDescent="0.2">
      <c r="A3050" s="21"/>
      <c r="B3050" s="3" t="s">
        <v>9</v>
      </c>
      <c r="C3050" s="20" t="s">
        <v>172</v>
      </c>
      <c r="D3050" s="21"/>
    </row>
    <row r="3051" spans="1:4" ht="12.75" customHeight="1" x14ac:dyDescent="0.2">
      <c r="A3051" s="21"/>
      <c r="B3051" s="3" t="s">
        <v>11</v>
      </c>
      <c r="C3051" s="20" t="s">
        <v>596</v>
      </c>
      <c r="D3051" s="21"/>
    </row>
    <row r="3052" spans="1:4" ht="12.75" customHeight="1" x14ac:dyDescent="0.2">
      <c r="A3052" s="21"/>
      <c r="B3052" s="3" t="s">
        <v>13</v>
      </c>
      <c r="C3052" s="20" t="s">
        <v>24</v>
      </c>
      <c r="D3052" s="21"/>
    </row>
    <row r="3053" spans="1:4" ht="12.75" customHeight="1" x14ac:dyDescent="0.2">
      <c r="A3053" s="21"/>
      <c r="B3053" s="3" t="s">
        <v>15</v>
      </c>
      <c r="C3053" s="20" t="s">
        <v>24</v>
      </c>
      <c r="D3053" s="21"/>
    </row>
    <row r="3054" spans="1:4" ht="12.75" customHeight="1" x14ac:dyDescent="0.2">
      <c r="A3054" s="21"/>
      <c r="B3054" s="3" t="s">
        <v>16</v>
      </c>
      <c r="C3054" s="20"/>
      <c r="D3054" s="21"/>
    </row>
    <row r="3055" spans="1:4" ht="12.75" customHeight="1" x14ac:dyDescent="0.2">
      <c r="A3055" s="21"/>
      <c r="B3055" s="3" t="s">
        <v>17</v>
      </c>
      <c r="C3055" s="20"/>
      <c r="D3055" s="21"/>
    </row>
    <row r="3056" spans="1:4" ht="12.75" customHeight="1" x14ac:dyDescent="0.2">
      <c r="A3056" s="21"/>
      <c r="B3056" s="20" t="s">
        <v>18</v>
      </c>
      <c r="C3056" s="4" t="s">
        <v>44</v>
      </c>
      <c r="D3056" s="6" t="str">
        <f>HYPERLINK("javascript:void(0)","trollbunkó")</f>
        <v>trollbunkó</v>
      </c>
    </row>
    <row r="3057" spans="1:4" ht="12.75" customHeight="1" x14ac:dyDescent="0.2">
      <c r="A3057" s="21"/>
      <c r="B3057" s="21"/>
      <c r="C3057" s="4" t="s">
        <v>56</v>
      </c>
      <c r="D3057" s="6" t="str">
        <f>HYPERLINK("javascript:void(0)","betüvető")</f>
        <v>betüvető</v>
      </c>
    </row>
    <row r="3058" spans="1:4" ht="12.75" customHeight="1" x14ac:dyDescent="0.2">
      <c r="A3058" s="21"/>
      <c r="B3058" s="21"/>
      <c r="C3058" s="4" t="s">
        <v>139</v>
      </c>
      <c r="D3058" s="6" t="str">
        <f>HYPERLINK("javascript:void(0)","hörcsögagyar")</f>
        <v>hörcsögagyar</v>
      </c>
    </row>
    <row r="3059" spans="1:4" ht="12.75" customHeight="1" x14ac:dyDescent="0.2">
      <c r="A3059" s="5"/>
      <c r="B3059" s="2"/>
      <c r="C3059" s="2"/>
      <c r="D3059" s="2"/>
    </row>
    <row r="3060" spans="1:4" ht="12.75" customHeight="1" x14ac:dyDescent="0.2">
      <c r="A3060" s="22" t="str">
        <f>HYPERLINK("javascript:void(0)","mechano mágusölő")</f>
        <v>mechano mágusölő</v>
      </c>
      <c r="B3060" s="21"/>
      <c r="C3060" s="21"/>
      <c r="D3060" s="21"/>
    </row>
    <row r="3061" spans="1:4" ht="12.75" customHeight="1" x14ac:dyDescent="0.2">
      <c r="A3061" s="20"/>
      <c r="B3061" s="2"/>
      <c r="C3061" s="2"/>
      <c r="D3061" s="2"/>
    </row>
    <row r="3062" spans="1:4" ht="12.75" customHeight="1" x14ac:dyDescent="0.2">
      <c r="A3062" s="21"/>
      <c r="B3062" s="3" t="s">
        <v>0</v>
      </c>
      <c r="C3062" s="20" t="s">
        <v>575</v>
      </c>
      <c r="D3062" s="21"/>
    </row>
    <row r="3063" spans="1:4" ht="12.75" customHeight="1" x14ac:dyDescent="0.2">
      <c r="A3063" s="21"/>
      <c r="B3063" s="3" t="s">
        <v>2</v>
      </c>
      <c r="C3063" s="20" t="s">
        <v>122</v>
      </c>
      <c r="D3063" s="21"/>
    </row>
    <row r="3064" spans="1:4" ht="12.75" customHeight="1" x14ac:dyDescent="0.2">
      <c r="A3064" s="21"/>
      <c r="B3064" s="3" t="s">
        <v>4</v>
      </c>
      <c r="C3064" s="20" t="s">
        <v>1005</v>
      </c>
      <c r="D3064" s="21"/>
    </row>
    <row r="3065" spans="1:4" ht="12.75" customHeight="1" x14ac:dyDescent="0.2">
      <c r="A3065" s="21"/>
      <c r="B3065" s="3" t="s">
        <v>6</v>
      </c>
      <c r="C3065" s="20" t="s">
        <v>48</v>
      </c>
      <c r="D3065" s="21"/>
    </row>
    <row r="3066" spans="1:4" ht="12.75" customHeight="1" x14ac:dyDescent="0.2">
      <c r="A3066" s="21"/>
      <c r="B3066" s="3" t="s">
        <v>8</v>
      </c>
      <c r="C3066" s="20" t="s">
        <v>1005</v>
      </c>
      <c r="D3066" s="21"/>
    </row>
    <row r="3067" spans="1:4" ht="12.75" customHeight="1" x14ac:dyDescent="0.2">
      <c r="A3067" s="21"/>
      <c r="B3067" s="3" t="s">
        <v>9</v>
      </c>
      <c r="C3067" s="20" t="s">
        <v>1007</v>
      </c>
      <c r="D3067" s="21"/>
    </row>
    <row r="3068" spans="1:4" ht="12.75" customHeight="1" x14ac:dyDescent="0.2">
      <c r="A3068" s="21"/>
      <c r="B3068" s="3" t="s">
        <v>11</v>
      </c>
      <c r="C3068" s="20" t="s">
        <v>603</v>
      </c>
      <c r="D3068" s="21"/>
    </row>
    <row r="3069" spans="1:4" ht="12.75" customHeight="1" x14ac:dyDescent="0.2">
      <c r="A3069" s="21"/>
      <c r="B3069" s="3" t="s">
        <v>13</v>
      </c>
      <c r="C3069" s="20" t="s">
        <v>14</v>
      </c>
      <c r="D3069" s="21"/>
    </row>
    <row r="3070" spans="1:4" ht="12.75" customHeight="1" x14ac:dyDescent="0.2">
      <c r="A3070" s="21"/>
      <c r="B3070" s="3" t="s">
        <v>15</v>
      </c>
      <c r="C3070" s="20" t="s">
        <v>24</v>
      </c>
      <c r="D3070" s="21"/>
    </row>
    <row r="3071" spans="1:4" ht="12.75" customHeight="1" x14ac:dyDescent="0.2">
      <c r="A3071" s="21"/>
      <c r="B3071" s="3" t="s">
        <v>16</v>
      </c>
      <c r="C3071" s="20"/>
      <c r="D3071" s="21"/>
    </row>
    <row r="3072" spans="1:4" ht="12.75" customHeight="1" x14ac:dyDescent="0.2">
      <c r="A3072" s="21"/>
      <c r="B3072" s="3" t="s">
        <v>17</v>
      </c>
      <c r="C3072" s="20"/>
      <c r="D3072" s="21"/>
    </row>
    <row r="3073" spans="1:4" ht="12.75" customHeight="1" x14ac:dyDescent="0.2">
      <c r="A3073" s="21"/>
      <c r="B3073" s="20" t="s">
        <v>18</v>
      </c>
      <c r="C3073" s="4" t="s">
        <v>68</v>
      </c>
      <c r="D3073" s="6" t="str">
        <f>HYPERLINK("javascript:void(0)","mechodron")</f>
        <v>mechodron</v>
      </c>
    </row>
    <row r="3074" spans="1:4" ht="12.75" customHeight="1" x14ac:dyDescent="0.2">
      <c r="A3074" s="21"/>
      <c r="B3074" s="21"/>
      <c r="C3074" s="4" t="s">
        <v>117</v>
      </c>
      <c r="D3074" s="6" t="str">
        <f>HYPERLINK("javascript:void(0)","dimenzióforgács")</f>
        <v>dimenzióforgács</v>
      </c>
    </row>
    <row r="3075" spans="1:4" ht="12.75" customHeight="1" x14ac:dyDescent="0.2">
      <c r="A3075" s="21"/>
      <c r="B3075" s="21"/>
      <c r="C3075" s="4" t="s">
        <v>474</v>
      </c>
      <c r="D3075" s="6" t="str">
        <f>HYPERLINK("javascript:void(0)","morfige")</f>
        <v>morfige</v>
      </c>
    </row>
    <row r="3076" spans="1:4" ht="12.75" customHeight="1" x14ac:dyDescent="0.2">
      <c r="A3076" s="5"/>
      <c r="B3076" s="2"/>
      <c r="C3076" s="2"/>
      <c r="D3076" s="2"/>
    </row>
    <row r="3077" spans="1:4" ht="12.75" customHeight="1" x14ac:dyDescent="0.2">
      <c r="A3077" s="22" t="str">
        <f>HYPERLINK("javascript:void(0)","magnetoacél kalapács")</f>
        <v>magnetoacél kalapács</v>
      </c>
      <c r="B3077" s="21"/>
      <c r="C3077" s="21"/>
      <c r="D3077" s="21"/>
    </row>
    <row r="3078" spans="1:4" ht="12.75" customHeight="1" x14ac:dyDescent="0.2">
      <c r="A3078" s="20"/>
      <c r="B3078" s="2"/>
      <c r="C3078" s="2"/>
      <c r="D3078" s="2"/>
    </row>
    <row r="3079" spans="1:4" ht="12.75" customHeight="1" x14ac:dyDescent="0.2">
      <c r="A3079" s="21"/>
      <c r="B3079" s="3" t="s">
        <v>0</v>
      </c>
      <c r="C3079" s="20" t="s">
        <v>585</v>
      </c>
      <c r="D3079" s="21"/>
    </row>
    <row r="3080" spans="1:4" ht="12.75" customHeight="1" x14ac:dyDescent="0.2">
      <c r="A3080" s="21"/>
      <c r="B3080" s="3" t="s">
        <v>2</v>
      </c>
      <c r="C3080" s="20" t="s">
        <v>122</v>
      </c>
      <c r="D3080" s="21"/>
    </row>
    <row r="3081" spans="1:4" ht="12.75" customHeight="1" x14ac:dyDescent="0.2">
      <c r="A3081" s="21"/>
      <c r="B3081" s="3" t="s">
        <v>4</v>
      </c>
      <c r="C3081" s="20" t="s">
        <v>1011</v>
      </c>
      <c r="D3081" s="21"/>
    </row>
    <row r="3082" spans="1:4" ht="12.75" customHeight="1" x14ac:dyDescent="0.2">
      <c r="A3082" s="21"/>
      <c r="B3082" s="3" t="s">
        <v>6</v>
      </c>
      <c r="C3082" s="20" t="s">
        <v>353</v>
      </c>
      <c r="D3082" s="21"/>
    </row>
    <row r="3083" spans="1:4" ht="12.75" customHeight="1" x14ac:dyDescent="0.2">
      <c r="A3083" s="21"/>
      <c r="B3083" s="3" t="s">
        <v>8</v>
      </c>
      <c r="C3083" s="20" t="s">
        <v>1011</v>
      </c>
      <c r="D3083" s="21"/>
    </row>
    <row r="3084" spans="1:4" ht="12.75" customHeight="1" x14ac:dyDescent="0.2">
      <c r="A3084" s="21"/>
      <c r="B3084" s="3" t="s">
        <v>9</v>
      </c>
      <c r="C3084" s="20" t="s">
        <v>129</v>
      </c>
      <c r="D3084" s="21"/>
    </row>
    <row r="3085" spans="1:4" ht="12.75" customHeight="1" x14ac:dyDescent="0.2">
      <c r="A3085" s="21"/>
      <c r="B3085" s="3" t="s">
        <v>11</v>
      </c>
      <c r="C3085" s="20" t="s">
        <v>603</v>
      </c>
      <c r="D3085" s="21"/>
    </row>
    <row r="3086" spans="1:4" ht="12.75" customHeight="1" x14ac:dyDescent="0.2">
      <c r="A3086" s="21"/>
      <c r="B3086" s="3" t="s">
        <v>13</v>
      </c>
      <c r="C3086" s="20" t="s">
        <v>24</v>
      </c>
      <c r="D3086" s="21"/>
    </row>
    <row r="3087" spans="1:4" ht="12.75" customHeight="1" x14ac:dyDescent="0.2">
      <c r="A3087" s="21"/>
      <c r="B3087" s="3" t="s">
        <v>15</v>
      </c>
      <c r="C3087" s="20" t="s">
        <v>24</v>
      </c>
      <c r="D3087" s="21"/>
    </row>
    <row r="3088" spans="1:4" ht="12.75" customHeight="1" x14ac:dyDescent="0.2">
      <c r="A3088" s="21"/>
      <c r="B3088" s="3" t="s">
        <v>16</v>
      </c>
      <c r="C3088" s="20"/>
      <c r="D3088" s="21"/>
    </row>
    <row r="3089" spans="1:4" ht="12.75" customHeight="1" x14ac:dyDescent="0.2">
      <c r="A3089" s="21"/>
      <c r="B3089" s="3" t="s">
        <v>17</v>
      </c>
      <c r="C3089" s="20"/>
      <c r="D3089" s="21"/>
    </row>
    <row r="3090" spans="1:4" ht="12.75" customHeight="1" x14ac:dyDescent="0.2">
      <c r="A3090" s="21"/>
      <c r="B3090" s="20" t="s">
        <v>18</v>
      </c>
      <c r="C3090" s="4" t="s">
        <v>57</v>
      </c>
      <c r="D3090" s="6" t="str">
        <f>HYPERLINK("javascript:void(0)","mágnes")</f>
        <v>mágnes</v>
      </c>
    </row>
    <row r="3091" spans="1:4" ht="12.75" customHeight="1" x14ac:dyDescent="0.2">
      <c r="A3091" s="21"/>
      <c r="B3091" s="21"/>
      <c r="C3091" s="4" t="s">
        <v>68</v>
      </c>
      <c r="D3091" s="6" t="str">
        <f>HYPERLINK("javascript:void(0)","hacuka")</f>
        <v>hacuka</v>
      </c>
    </row>
    <row r="3092" spans="1:4" ht="12.75" customHeight="1" x14ac:dyDescent="0.2">
      <c r="A3092" s="21"/>
      <c r="B3092" s="21"/>
      <c r="C3092" s="4" t="s">
        <v>265</v>
      </c>
      <c r="D3092" s="6" t="str">
        <f>HYPERLINK("javascript:void(0)","hörcsögagyar")</f>
        <v>hörcsögagyar</v>
      </c>
    </row>
    <row r="3093" spans="1:4" ht="12.75" customHeight="1" x14ac:dyDescent="0.2">
      <c r="A3093" s="5"/>
      <c r="B3093" s="2"/>
      <c r="C3093" s="2"/>
      <c r="D3093" s="2"/>
    </row>
    <row r="3094" spans="1:4" ht="12.75" customHeight="1" x14ac:dyDescent="0.2">
      <c r="A3094" s="22" t="str">
        <f>HYPERLINK("javascript:void(0)","mechano ballaszt")</f>
        <v>mechano ballaszt</v>
      </c>
      <c r="B3094" s="21"/>
      <c r="C3094" s="21"/>
      <c r="D3094" s="21"/>
    </row>
    <row r="3095" spans="1:4" ht="12.75" customHeight="1" x14ac:dyDescent="0.2">
      <c r="A3095" s="20"/>
      <c r="B3095" s="2"/>
      <c r="C3095" s="2"/>
      <c r="D3095" s="2"/>
    </row>
    <row r="3096" spans="1:4" ht="12.75" customHeight="1" x14ac:dyDescent="0.2">
      <c r="A3096" s="21"/>
      <c r="B3096" s="3" t="s">
        <v>0</v>
      </c>
      <c r="C3096" s="20" t="s">
        <v>585</v>
      </c>
      <c r="D3096" s="21"/>
    </row>
    <row r="3097" spans="1:4" ht="12.75" customHeight="1" x14ac:dyDescent="0.2">
      <c r="A3097" s="21"/>
      <c r="B3097" s="3" t="s">
        <v>2</v>
      </c>
      <c r="C3097" s="20" t="s">
        <v>122</v>
      </c>
      <c r="D3097" s="21"/>
    </row>
    <row r="3098" spans="1:4" ht="12.75" customHeight="1" x14ac:dyDescent="0.2">
      <c r="A3098" s="21"/>
      <c r="B3098" s="3" t="s">
        <v>4</v>
      </c>
      <c r="C3098" s="20" t="s">
        <v>1016</v>
      </c>
      <c r="D3098" s="21"/>
    </row>
    <row r="3099" spans="1:4" ht="12.75" customHeight="1" x14ac:dyDescent="0.2">
      <c r="A3099" s="21"/>
      <c r="B3099" s="3" t="s">
        <v>6</v>
      </c>
      <c r="C3099" s="20" t="s">
        <v>260</v>
      </c>
      <c r="D3099" s="21"/>
    </row>
    <row r="3100" spans="1:4" ht="12.75" customHeight="1" x14ac:dyDescent="0.2">
      <c r="A3100" s="21"/>
      <c r="B3100" s="3" t="s">
        <v>8</v>
      </c>
      <c r="C3100" s="20" t="s">
        <v>1016</v>
      </c>
      <c r="D3100" s="21"/>
    </row>
    <row r="3101" spans="1:4" ht="12.75" customHeight="1" x14ac:dyDescent="0.2">
      <c r="A3101" s="21"/>
      <c r="B3101" s="3" t="s">
        <v>9</v>
      </c>
      <c r="C3101" s="20" t="s">
        <v>1017</v>
      </c>
      <c r="D3101" s="21"/>
    </row>
    <row r="3102" spans="1:4" ht="12.75" customHeight="1" x14ac:dyDescent="0.2">
      <c r="A3102" s="21"/>
      <c r="B3102" s="3" t="s">
        <v>11</v>
      </c>
      <c r="C3102" s="20" t="s">
        <v>722</v>
      </c>
      <c r="D3102" s="21"/>
    </row>
    <row r="3103" spans="1:4" ht="12.75" customHeight="1" x14ac:dyDescent="0.2">
      <c r="A3103" s="21"/>
      <c r="B3103" s="3" t="s">
        <v>13</v>
      </c>
      <c r="C3103" s="20" t="s">
        <v>24</v>
      </c>
      <c r="D3103" s="21"/>
    </row>
    <row r="3104" spans="1:4" ht="12.75" customHeight="1" x14ac:dyDescent="0.2">
      <c r="A3104" s="21"/>
      <c r="B3104" s="3" t="s">
        <v>15</v>
      </c>
      <c r="C3104" s="20" t="s">
        <v>24</v>
      </c>
      <c r="D3104" s="21"/>
    </row>
    <row r="3105" spans="1:4" ht="12.75" customHeight="1" x14ac:dyDescent="0.2">
      <c r="A3105" s="21"/>
      <c r="B3105" s="3" t="s">
        <v>16</v>
      </c>
      <c r="C3105" s="20"/>
      <c r="D3105" s="21"/>
    </row>
    <row r="3106" spans="1:4" ht="12.75" customHeight="1" x14ac:dyDescent="0.2">
      <c r="A3106" s="21"/>
      <c r="B3106" s="3" t="s">
        <v>17</v>
      </c>
      <c r="C3106" s="20"/>
      <c r="D3106" s="21"/>
    </row>
    <row r="3107" spans="1:4" ht="12.75" customHeight="1" x14ac:dyDescent="0.2">
      <c r="A3107" s="21"/>
      <c r="B3107" s="20" t="s">
        <v>18</v>
      </c>
      <c r="C3107" s="4" t="s">
        <v>232</v>
      </c>
      <c r="D3107" s="6" t="str">
        <f>HYPERLINK("javascript:void(0)","torokgyík")</f>
        <v>torokgyík</v>
      </c>
    </row>
    <row r="3108" spans="1:4" ht="12.75" customHeight="1" x14ac:dyDescent="0.2">
      <c r="A3108" s="21"/>
      <c r="B3108" s="21"/>
      <c r="C3108" s="4" t="s">
        <v>98</v>
      </c>
      <c r="D3108" s="6" t="str">
        <f>HYPERLINK("javascript:void(0)","mechodron")</f>
        <v>mechodron</v>
      </c>
    </row>
    <row r="3109" spans="1:4" ht="12.75" customHeight="1" x14ac:dyDescent="0.2">
      <c r="A3109" s="21"/>
      <c r="B3109" s="21"/>
      <c r="C3109" s="4" t="s">
        <v>139</v>
      </c>
      <c r="D3109" s="6" t="str">
        <f>HYPERLINK("javascript:void(0)","dimenzióforgács")</f>
        <v>dimenzióforgács</v>
      </c>
    </row>
    <row r="3110" spans="1:4" ht="12.75" customHeight="1" x14ac:dyDescent="0.2">
      <c r="A3110" s="5"/>
      <c r="B3110" s="2"/>
      <c r="C3110" s="2"/>
      <c r="D3110" s="2"/>
    </row>
    <row r="3111" spans="1:4" ht="12.75" customHeight="1" x14ac:dyDescent="0.2">
      <c r="A3111" s="22" t="str">
        <f>HYPERLINK("javascript:void(0)","gyíkacél ostor")</f>
        <v>gyíkacél ostor</v>
      </c>
      <c r="B3111" s="21"/>
      <c r="C3111" s="21"/>
      <c r="D3111" s="21"/>
    </row>
    <row r="3112" spans="1:4" ht="12.75" customHeight="1" x14ac:dyDescent="0.2">
      <c r="A3112" s="20"/>
      <c r="B3112" s="2"/>
      <c r="C3112" s="2"/>
      <c r="D3112" s="2"/>
    </row>
    <row r="3113" spans="1:4" ht="12.75" customHeight="1" x14ac:dyDescent="0.2">
      <c r="A3113" s="21"/>
      <c r="B3113" s="3" t="s">
        <v>0</v>
      </c>
      <c r="C3113" s="20" t="s">
        <v>585</v>
      </c>
      <c r="D3113" s="21"/>
    </row>
    <row r="3114" spans="1:4" ht="12.75" customHeight="1" x14ac:dyDescent="0.2">
      <c r="A3114" s="21"/>
      <c r="B3114" s="3" t="s">
        <v>2</v>
      </c>
      <c r="C3114" s="20" t="s">
        <v>122</v>
      </c>
      <c r="D3114" s="21"/>
    </row>
    <row r="3115" spans="1:4" ht="12.75" customHeight="1" x14ac:dyDescent="0.2">
      <c r="A3115" s="21"/>
      <c r="B3115" s="3" t="s">
        <v>4</v>
      </c>
      <c r="C3115" s="20" t="s">
        <v>1022</v>
      </c>
      <c r="D3115" s="21"/>
    </row>
    <row r="3116" spans="1:4" ht="12.75" customHeight="1" x14ac:dyDescent="0.2">
      <c r="A3116" s="21"/>
      <c r="B3116" s="3" t="s">
        <v>6</v>
      </c>
      <c r="C3116" s="20" t="s">
        <v>107</v>
      </c>
      <c r="D3116" s="21"/>
    </row>
    <row r="3117" spans="1:4" ht="12.75" customHeight="1" x14ac:dyDescent="0.2">
      <c r="A3117" s="21"/>
      <c r="B3117" s="3" t="s">
        <v>8</v>
      </c>
      <c r="C3117" s="20" t="s">
        <v>1022</v>
      </c>
      <c r="D3117" s="21"/>
    </row>
    <row r="3118" spans="1:4" ht="12.75" customHeight="1" x14ac:dyDescent="0.2">
      <c r="A3118" s="21"/>
      <c r="B3118" s="3" t="s">
        <v>9</v>
      </c>
      <c r="C3118" s="20" t="s">
        <v>1023</v>
      </c>
      <c r="D3118" s="21"/>
    </row>
    <row r="3119" spans="1:4" ht="12.75" customHeight="1" x14ac:dyDescent="0.2">
      <c r="A3119" s="21"/>
      <c r="B3119" s="3" t="s">
        <v>11</v>
      </c>
      <c r="C3119" s="20" t="s">
        <v>453</v>
      </c>
      <c r="D3119" s="21"/>
    </row>
    <row r="3120" spans="1:4" ht="12.75" customHeight="1" x14ac:dyDescent="0.2">
      <c r="A3120" s="21"/>
      <c r="B3120" s="3" t="s">
        <v>13</v>
      </c>
      <c r="C3120" s="20" t="s">
        <v>24</v>
      </c>
      <c r="D3120" s="21"/>
    </row>
    <row r="3121" spans="1:4" ht="12.75" customHeight="1" x14ac:dyDescent="0.2">
      <c r="A3121" s="21"/>
      <c r="B3121" s="3" t="s">
        <v>15</v>
      </c>
      <c r="C3121" s="20" t="s">
        <v>24</v>
      </c>
      <c r="D3121" s="21"/>
    </row>
    <row r="3122" spans="1:4" ht="12.75" customHeight="1" x14ac:dyDescent="0.2">
      <c r="A3122" s="21"/>
      <c r="B3122" s="3" t="s">
        <v>16</v>
      </c>
      <c r="C3122" s="20"/>
      <c r="D3122" s="21"/>
    </row>
    <row r="3123" spans="1:4" ht="12.75" customHeight="1" x14ac:dyDescent="0.2">
      <c r="A3123" s="21"/>
      <c r="B3123" s="3" t="s">
        <v>17</v>
      </c>
      <c r="C3123" s="20"/>
      <c r="D3123" s="21"/>
    </row>
    <row r="3124" spans="1:4" ht="12.75" customHeight="1" x14ac:dyDescent="0.2">
      <c r="A3124" s="21"/>
      <c r="B3124" s="20" t="s">
        <v>18</v>
      </c>
      <c r="C3124" s="4" t="s">
        <v>117</v>
      </c>
      <c r="D3124" s="6" t="str">
        <f>HYPERLINK("javascript:void(0)","vasrög")</f>
        <v>vasrög</v>
      </c>
    </row>
    <row r="3125" spans="1:4" ht="12.75" customHeight="1" x14ac:dyDescent="0.2">
      <c r="A3125" s="21"/>
      <c r="B3125" s="21"/>
      <c r="C3125" s="4" t="s">
        <v>67</v>
      </c>
      <c r="D3125" s="6" t="str">
        <f>HYPERLINK("javascript:void(0)","kígyócsörgő")</f>
        <v>kígyócsörgő</v>
      </c>
    </row>
    <row r="3126" spans="1:4" ht="12.75" customHeight="1" x14ac:dyDescent="0.2">
      <c r="A3126" s="21"/>
      <c r="B3126" s="21"/>
      <c r="C3126" s="4" t="s">
        <v>44</v>
      </c>
      <c r="D3126" s="6" t="str">
        <f>HYPERLINK("javascript:void(0)","varázsgereblye")</f>
        <v>varázsgereblye</v>
      </c>
    </row>
    <row r="3127" spans="1:4" ht="12.75" customHeight="1" x14ac:dyDescent="0.2">
      <c r="A3127" s="5"/>
      <c r="B3127" s="2"/>
      <c r="C3127" s="2"/>
      <c r="D3127" s="2"/>
    </row>
    <row r="3128" spans="1:4" ht="12.75" customHeight="1" x14ac:dyDescent="0.2">
      <c r="A3128" s="22" t="str">
        <f>HYPERLINK("javascript:void(0)","fotoacél csákány")</f>
        <v>fotoacél csákány</v>
      </c>
      <c r="B3128" s="21"/>
      <c r="C3128" s="21"/>
      <c r="D3128" s="21"/>
    </row>
    <row r="3129" spans="1:4" ht="12.75" customHeight="1" x14ac:dyDescent="0.2">
      <c r="A3129" s="20"/>
      <c r="B3129" s="2"/>
      <c r="C3129" s="2"/>
      <c r="D3129" s="2"/>
    </row>
    <row r="3130" spans="1:4" ht="12.75" customHeight="1" x14ac:dyDescent="0.2">
      <c r="A3130" s="21"/>
      <c r="B3130" s="3" t="s">
        <v>0</v>
      </c>
      <c r="C3130" s="20" t="s">
        <v>151</v>
      </c>
      <c r="D3130" s="21"/>
    </row>
    <row r="3131" spans="1:4" ht="12.75" customHeight="1" x14ac:dyDescent="0.2">
      <c r="A3131" s="21"/>
      <c r="B3131" s="3" t="s">
        <v>2</v>
      </c>
      <c r="C3131" s="20" t="s">
        <v>122</v>
      </c>
      <c r="D3131" s="21"/>
    </row>
    <row r="3132" spans="1:4" ht="12.75" customHeight="1" x14ac:dyDescent="0.2">
      <c r="A3132" s="21"/>
      <c r="B3132" s="3" t="s">
        <v>4</v>
      </c>
      <c r="C3132" s="20" t="s">
        <v>1030</v>
      </c>
      <c r="D3132" s="21"/>
    </row>
    <row r="3133" spans="1:4" ht="12.75" customHeight="1" x14ac:dyDescent="0.2">
      <c r="A3133" s="21"/>
      <c r="B3133" s="3" t="s">
        <v>6</v>
      </c>
      <c r="C3133" s="20" t="s">
        <v>115</v>
      </c>
      <c r="D3133" s="21"/>
    </row>
    <row r="3134" spans="1:4" ht="12.75" customHeight="1" x14ac:dyDescent="0.2">
      <c r="A3134" s="21"/>
      <c r="B3134" s="3" t="s">
        <v>8</v>
      </c>
      <c r="C3134" s="20" t="s">
        <v>1030</v>
      </c>
      <c r="D3134" s="21"/>
    </row>
    <row r="3135" spans="1:4" ht="12.75" customHeight="1" x14ac:dyDescent="0.2">
      <c r="A3135" s="21"/>
      <c r="B3135" s="3" t="s">
        <v>9</v>
      </c>
      <c r="C3135" s="20" t="s">
        <v>70</v>
      </c>
      <c r="D3135" s="21"/>
    </row>
    <row r="3136" spans="1:4" ht="12.75" customHeight="1" x14ac:dyDescent="0.2">
      <c r="A3136" s="21"/>
      <c r="B3136" s="3" t="s">
        <v>11</v>
      </c>
      <c r="C3136" s="20" t="s">
        <v>615</v>
      </c>
      <c r="D3136" s="21"/>
    </row>
    <row r="3137" spans="1:4" ht="12.75" customHeight="1" x14ac:dyDescent="0.2">
      <c r="A3137" s="21"/>
      <c r="B3137" s="3" t="s">
        <v>13</v>
      </c>
      <c r="C3137" s="20" t="s">
        <v>24</v>
      </c>
      <c r="D3137" s="21"/>
    </row>
    <row r="3138" spans="1:4" ht="12.75" customHeight="1" x14ac:dyDescent="0.2">
      <c r="A3138" s="21"/>
      <c r="B3138" s="3" t="s">
        <v>15</v>
      </c>
      <c r="C3138" s="20" t="s">
        <v>24</v>
      </c>
      <c r="D3138" s="21"/>
    </row>
    <row r="3139" spans="1:4" ht="12.75" customHeight="1" x14ac:dyDescent="0.2">
      <c r="A3139" s="21"/>
      <c r="B3139" s="3" t="s">
        <v>16</v>
      </c>
      <c r="C3139" s="20"/>
      <c r="D3139" s="21"/>
    </row>
    <row r="3140" spans="1:4" ht="12.75" customHeight="1" x14ac:dyDescent="0.2">
      <c r="A3140" s="21"/>
      <c r="B3140" s="3" t="s">
        <v>17</v>
      </c>
      <c r="C3140" s="20"/>
      <c r="D3140" s="21"/>
    </row>
    <row r="3141" spans="1:4" ht="12.75" customHeight="1" x14ac:dyDescent="0.2">
      <c r="A3141" s="21"/>
      <c r="B3141" s="20" t="s">
        <v>18</v>
      </c>
      <c r="C3141" s="4" t="s">
        <v>44</v>
      </c>
      <c r="D3141" s="6" t="str">
        <f>HYPERLINK("javascript:void(0)","szócséplő")</f>
        <v>szócséplő</v>
      </c>
    </row>
    <row r="3142" spans="1:4" ht="12.75" customHeight="1" x14ac:dyDescent="0.2">
      <c r="A3142" s="21"/>
      <c r="B3142" s="21"/>
      <c r="C3142" s="4" t="s">
        <v>44</v>
      </c>
      <c r="D3142" s="6" t="str">
        <f>HYPERLINK("javascript:void(0)","magnetoacél kalapács")</f>
        <v>magnetoacél kalapács</v>
      </c>
    </row>
    <row r="3143" spans="1:4" ht="12.75" customHeight="1" x14ac:dyDescent="0.2">
      <c r="A3143" s="21"/>
      <c r="B3143" s="21"/>
      <c r="C3143" s="4" t="s">
        <v>44</v>
      </c>
      <c r="D3143" s="6" t="str">
        <f>HYPERLINK("javascript:void(0)","fotoacél foglalat")</f>
        <v>fotoacél foglalat</v>
      </c>
    </row>
    <row r="3144" spans="1:4" ht="12.75" customHeight="1" x14ac:dyDescent="0.2">
      <c r="A3144" s="5"/>
      <c r="B3144" s="2"/>
      <c r="C3144" s="2"/>
      <c r="D3144" s="2"/>
    </row>
    <row r="3145" spans="1:4" ht="12.75" customHeight="1" x14ac:dyDescent="0.2">
      <c r="A3145" s="22" t="str">
        <f>HYPERLINK("javascript:void(0)","magnetoacél mágusölő")</f>
        <v>magnetoacél mágusölő</v>
      </c>
      <c r="B3145" s="21"/>
      <c r="C3145" s="21"/>
      <c r="D3145" s="21"/>
    </row>
    <row r="3146" spans="1:4" ht="12.75" customHeight="1" x14ac:dyDescent="0.2">
      <c r="A3146" s="20"/>
      <c r="B3146" s="2"/>
      <c r="C3146" s="2"/>
      <c r="D3146" s="2"/>
    </row>
    <row r="3147" spans="1:4" ht="12.75" customHeight="1" x14ac:dyDescent="0.2">
      <c r="A3147" s="21"/>
      <c r="B3147" s="3" t="s">
        <v>0</v>
      </c>
      <c r="C3147" s="20" t="s">
        <v>151</v>
      </c>
      <c r="D3147" s="21"/>
    </row>
    <row r="3148" spans="1:4" ht="12.75" customHeight="1" x14ac:dyDescent="0.2">
      <c r="A3148" s="21"/>
      <c r="B3148" s="3" t="s">
        <v>2</v>
      </c>
      <c r="C3148" s="20" t="s">
        <v>122</v>
      </c>
      <c r="D3148" s="21"/>
    </row>
    <row r="3149" spans="1:4" ht="12.75" customHeight="1" x14ac:dyDescent="0.2">
      <c r="A3149" s="21"/>
      <c r="B3149" s="3" t="s">
        <v>4</v>
      </c>
      <c r="C3149" s="20" t="s">
        <v>1036</v>
      </c>
      <c r="D3149" s="21"/>
    </row>
    <row r="3150" spans="1:4" ht="12.75" customHeight="1" x14ac:dyDescent="0.2">
      <c r="A3150" s="21"/>
      <c r="B3150" s="3" t="s">
        <v>6</v>
      </c>
      <c r="C3150" s="20" t="s">
        <v>48</v>
      </c>
      <c r="D3150" s="21"/>
    </row>
    <row r="3151" spans="1:4" ht="12.75" customHeight="1" x14ac:dyDescent="0.2">
      <c r="A3151" s="21"/>
      <c r="B3151" s="3" t="s">
        <v>8</v>
      </c>
      <c r="C3151" s="20" t="s">
        <v>1036</v>
      </c>
      <c r="D3151" s="21"/>
    </row>
    <row r="3152" spans="1:4" ht="12.75" customHeight="1" x14ac:dyDescent="0.2">
      <c r="A3152" s="21"/>
      <c r="B3152" s="3" t="s">
        <v>9</v>
      </c>
      <c r="C3152" s="20" t="s">
        <v>1037</v>
      </c>
      <c r="D3152" s="21"/>
    </row>
    <row r="3153" spans="1:4" ht="12.75" customHeight="1" x14ac:dyDescent="0.2">
      <c r="A3153" s="21"/>
      <c r="B3153" s="3" t="s">
        <v>11</v>
      </c>
      <c r="C3153" s="20" t="s">
        <v>645</v>
      </c>
      <c r="D3153" s="21"/>
    </row>
    <row r="3154" spans="1:4" ht="12.75" customHeight="1" x14ac:dyDescent="0.2">
      <c r="A3154" s="21"/>
      <c r="B3154" s="3" t="s">
        <v>13</v>
      </c>
      <c r="C3154" s="20" t="s">
        <v>14</v>
      </c>
      <c r="D3154" s="21"/>
    </row>
    <row r="3155" spans="1:4" ht="12.75" customHeight="1" x14ac:dyDescent="0.2">
      <c r="A3155" s="21"/>
      <c r="B3155" s="3" t="s">
        <v>15</v>
      </c>
      <c r="C3155" s="20" t="s">
        <v>24</v>
      </c>
      <c r="D3155" s="21"/>
    </row>
    <row r="3156" spans="1:4" ht="12.75" customHeight="1" x14ac:dyDescent="0.2">
      <c r="A3156" s="21"/>
      <c r="B3156" s="3" t="s">
        <v>16</v>
      </c>
      <c r="C3156" s="20"/>
      <c r="D3156" s="21"/>
    </row>
    <row r="3157" spans="1:4" ht="12.75" customHeight="1" x14ac:dyDescent="0.2">
      <c r="A3157" s="21"/>
      <c r="B3157" s="3" t="s">
        <v>17</v>
      </c>
      <c r="C3157" s="20"/>
      <c r="D3157" s="21"/>
    </row>
    <row r="3158" spans="1:4" ht="12.75" customHeight="1" x14ac:dyDescent="0.2">
      <c r="A3158" s="21"/>
      <c r="B3158" s="20" t="s">
        <v>18</v>
      </c>
      <c r="C3158" s="4" t="s">
        <v>369</v>
      </c>
      <c r="D3158" s="6" t="str">
        <f>HYPERLINK("javascript:void(0)","ámbra")</f>
        <v>ámbra</v>
      </c>
    </row>
    <row r="3159" spans="1:4" ht="12.75" customHeight="1" x14ac:dyDescent="0.2">
      <c r="A3159" s="21"/>
      <c r="B3159" s="21"/>
      <c r="C3159" s="4" t="s">
        <v>68</v>
      </c>
      <c r="D3159" s="6" t="str">
        <f>HYPERLINK("javascript:void(0)","mágnes")</f>
        <v>mágnes</v>
      </c>
    </row>
    <row r="3160" spans="1:4" ht="12.75" customHeight="1" x14ac:dyDescent="0.2">
      <c r="A3160" s="21"/>
      <c r="B3160" s="21"/>
      <c r="C3160" s="4" t="s">
        <v>139</v>
      </c>
      <c r="D3160" s="6" t="str">
        <f>HYPERLINK("javascript:void(0)","dimenzióforgács")</f>
        <v>dimenzióforgács</v>
      </c>
    </row>
    <row r="3161" spans="1:4" ht="12.75" customHeight="1" x14ac:dyDescent="0.2">
      <c r="A3161" s="5"/>
      <c r="B3161" s="2"/>
      <c r="C3161" s="2"/>
      <c r="D3161" s="2"/>
    </row>
    <row r="3162" spans="1:4" ht="12.75" customHeight="1" x14ac:dyDescent="0.2">
      <c r="A3162" s="22" t="str">
        <f>HYPERLINK("javascript:void(0)","fotoacél markolat")</f>
        <v>fotoacél markolat</v>
      </c>
      <c r="B3162" s="21"/>
      <c r="C3162" s="21"/>
      <c r="D3162" s="21"/>
    </row>
    <row r="3163" spans="1:4" ht="12.75" customHeight="1" x14ac:dyDescent="0.2">
      <c r="A3163" s="20"/>
      <c r="B3163" s="2"/>
      <c r="C3163" s="2"/>
      <c r="D3163" s="2"/>
    </row>
    <row r="3164" spans="1:4" ht="12.75" customHeight="1" x14ac:dyDescent="0.2">
      <c r="A3164" s="21"/>
      <c r="B3164" s="3" t="s">
        <v>0</v>
      </c>
      <c r="C3164" s="20" t="s">
        <v>151</v>
      </c>
      <c r="D3164" s="21"/>
    </row>
    <row r="3165" spans="1:4" ht="12.75" customHeight="1" x14ac:dyDescent="0.2">
      <c r="A3165" s="21"/>
      <c r="B3165" s="3" t="s">
        <v>2</v>
      </c>
      <c r="C3165" s="20" t="s">
        <v>122</v>
      </c>
      <c r="D3165" s="21"/>
    </row>
    <row r="3166" spans="1:4" ht="12.75" customHeight="1" x14ac:dyDescent="0.2">
      <c r="A3166" s="21"/>
      <c r="B3166" s="3" t="s">
        <v>4</v>
      </c>
      <c r="C3166" s="20" t="s">
        <v>533</v>
      </c>
      <c r="D3166" s="21"/>
    </row>
    <row r="3167" spans="1:4" ht="12.75" customHeight="1" x14ac:dyDescent="0.2">
      <c r="A3167" s="21"/>
      <c r="B3167" s="3" t="s">
        <v>6</v>
      </c>
      <c r="C3167" s="20" t="s">
        <v>21</v>
      </c>
      <c r="D3167" s="21"/>
    </row>
    <row r="3168" spans="1:4" ht="12.75" customHeight="1" x14ac:dyDescent="0.2">
      <c r="A3168" s="21"/>
      <c r="B3168" s="3" t="s">
        <v>8</v>
      </c>
      <c r="C3168" s="20" t="s">
        <v>533</v>
      </c>
      <c r="D3168" s="21"/>
    </row>
    <row r="3169" spans="1:4" ht="12.75" customHeight="1" x14ac:dyDescent="0.2">
      <c r="A3169" s="21"/>
      <c r="B3169" s="3" t="s">
        <v>9</v>
      </c>
      <c r="C3169" s="20" t="s">
        <v>22</v>
      </c>
      <c r="D3169" s="21"/>
    </row>
    <row r="3170" spans="1:4" ht="12.75" customHeight="1" x14ac:dyDescent="0.2">
      <c r="A3170" s="21"/>
      <c r="B3170" s="3" t="s">
        <v>11</v>
      </c>
      <c r="C3170" s="20" t="s">
        <v>470</v>
      </c>
      <c r="D3170" s="21"/>
    </row>
    <row r="3171" spans="1:4" ht="12.75" customHeight="1" x14ac:dyDescent="0.2">
      <c r="A3171" s="21"/>
      <c r="B3171" s="3" t="s">
        <v>13</v>
      </c>
      <c r="C3171" s="20" t="s">
        <v>24</v>
      </c>
      <c r="D3171" s="21"/>
    </row>
    <row r="3172" spans="1:4" ht="12.75" customHeight="1" x14ac:dyDescent="0.2">
      <c r="A3172" s="21"/>
      <c r="B3172" s="3" t="s">
        <v>15</v>
      </c>
      <c r="C3172" s="20" t="s">
        <v>24</v>
      </c>
      <c r="D3172" s="21"/>
    </row>
    <row r="3173" spans="1:4" ht="12.75" customHeight="1" x14ac:dyDescent="0.2">
      <c r="A3173" s="21"/>
      <c r="B3173" s="3" t="s">
        <v>16</v>
      </c>
      <c r="C3173" s="20"/>
      <c r="D3173" s="21"/>
    </row>
    <row r="3174" spans="1:4" ht="12.75" customHeight="1" x14ac:dyDescent="0.2">
      <c r="A3174" s="21"/>
      <c r="B3174" s="3" t="s">
        <v>17</v>
      </c>
      <c r="C3174" s="20"/>
      <c r="D3174" s="21"/>
    </row>
    <row r="3175" spans="1:4" ht="12.75" customHeight="1" x14ac:dyDescent="0.2">
      <c r="A3175" s="21"/>
      <c r="B3175" s="20" t="s">
        <v>18</v>
      </c>
      <c r="C3175" s="4" t="s">
        <v>117</v>
      </c>
      <c r="D3175" s="6" t="str">
        <f>HYPERLINK("javascript:void(0)","ámbra")</f>
        <v>ámbra</v>
      </c>
    </row>
    <row r="3176" spans="1:4" ht="12.75" customHeight="1" x14ac:dyDescent="0.2">
      <c r="A3176" s="21"/>
      <c r="B3176" s="21"/>
      <c r="C3176" s="4" t="s">
        <v>98</v>
      </c>
      <c r="D3176" s="6" t="str">
        <f>HYPERLINK("javascript:void(0)","rémszarv")</f>
        <v>rémszarv</v>
      </c>
    </row>
    <row r="3177" spans="1:4" ht="12.75" customHeight="1" x14ac:dyDescent="0.2">
      <c r="A3177" s="21"/>
      <c r="B3177" s="21"/>
      <c r="C3177" s="4" t="s">
        <v>139</v>
      </c>
      <c r="D3177" s="6" t="str">
        <f>HYPERLINK("javascript:void(0)","hörcsögagyar")</f>
        <v>hörcsögagyar</v>
      </c>
    </row>
    <row r="3178" spans="1:4" ht="12.75" customHeight="1" x14ac:dyDescent="0.2">
      <c r="A3178" s="5"/>
      <c r="B3178" s="2"/>
      <c r="C3178" s="2"/>
      <c r="D3178" s="2"/>
    </row>
    <row r="3179" spans="1:4" ht="12.75" customHeight="1" x14ac:dyDescent="0.2">
      <c r="A3179" s="22" t="str">
        <f>HYPERLINK("javascript:void(0)","magnetoacél pöröly")</f>
        <v>magnetoacél pöröly</v>
      </c>
      <c r="B3179" s="21"/>
      <c r="C3179" s="21"/>
      <c r="D3179" s="21"/>
    </row>
    <row r="3180" spans="1:4" ht="12.75" customHeight="1" x14ac:dyDescent="0.2">
      <c r="A3180" s="20"/>
      <c r="B3180" s="2"/>
      <c r="C3180" s="2"/>
      <c r="D3180" s="2"/>
    </row>
    <row r="3181" spans="1:4" ht="12.75" customHeight="1" x14ac:dyDescent="0.2">
      <c r="A3181" s="21"/>
      <c r="B3181" s="3" t="s">
        <v>0</v>
      </c>
      <c r="C3181" s="20" t="s">
        <v>219</v>
      </c>
      <c r="D3181" s="21"/>
    </row>
    <row r="3182" spans="1:4" ht="12.75" customHeight="1" x14ac:dyDescent="0.2">
      <c r="A3182" s="21"/>
      <c r="B3182" s="3" t="s">
        <v>2</v>
      </c>
      <c r="C3182" s="20" t="s">
        <v>122</v>
      </c>
      <c r="D3182" s="21"/>
    </row>
    <row r="3183" spans="1:4" ht="12.75" customHeight="1" x14ac:dyDescent="0.2">
      <c r="A3183" s="21"/>
      <c r="B3183" s="3" t="s">
        <v>4</v>
      </c>
      <c r="C3183" s="20" t="s">
        <v>1049</v>
      </c>
      <c r="D3183" s="21"/>
    </row>
    <row r="3184" spans="1:4" ht="12.75" customHeight="1" x14ac:dyDescent="0.2">
      <c r="A3184" s="21"/>
      <c r="B3184" s="3" t="s">
        <v>6</v>
      </c>
      <c r="C3184" s="20" t="s">
        <v>107</v>
      </c>
      <c r="D3184" s="21"/>
    </row>
    <row r="3185" spans="1:4" ht="12.75" customHeight="1" x14ac:dyDescent="0.2">
      <c r="A3185" s="21"/>
      <c r="B3185" s="3" t="s">
        <v>8</v>
      </c>
      <c r="C3185" s="20" t="s">
        <v>1049</v>
      </c>
      <c r="D3185" s="21"/>
    </row>
    <row r="3186" spans="1:4" ht="12.75" customHeight="1" x14ac:dyDescent="0.2">
      <c r="A3186" s="21"/>
      <c r="B3186" s="3" t="s">
        <v>9</v>
      </c>
      <c r="C3186" s="20" t="s">
        <v>75</v>
      </c>
      <c r="D3186" s="21"/>
    </row>
    <row r="3187" spans="1:4" ht="12.75" customHeight="1" x14ac:dyDescent="0.2">
      <c r="A3187" s="21"/>
      <c r="B3187" s="3" t="s">
        <v>11</v>
      </c>
      <c r="C3187" s="20" t="s">
        <v>625</v>
      </c>
      <c r="D3187" s="21"/>
    </row>
    <row r="3188" spans="1:4" ht="12.75" customHeight="1" x14ac:dyDescent="0.2">
      <c r="A3188" s="21"/>
      <c r="B3188" s="3" t="s">
        <v>13</v>
      </c>
      <c r="C3188" s="20" t="s">
        <v>24</v>
      </c>
      <c r="D3188" s="21"/>
    </row>
    <row r="3189" spans="1:4" ht="12.75" customHeight="1" x14ac:dyDescent="0.2">
      <c r="A3189" s="21"/>
      <c r="B3189" s="3" t="s">
        <v>15</v>
      </c>
      <c r="C3189" s="20" t="s">
        <v>24</v>
      </c>
      <c r="D3189" s="21"/>
    </row>
    <row r="3190" spans="1:4" ht="12.75" customHeight="1" x14ac:dyDescent="0.2">
      <c r="A3190" s="21"/>
      <c r="B3190" s="3" t="s">
        <v>16</v>
      </c>
      <c r="C3190" s="20"/>
      <c r="D3190" s="21"/>
    </row>
    <row r="3191" spans="1:4" ht="12.75" customHeight="1" x14ac:dyDescent="0.2">
      <c r="A3191" s="21"/>
      <c r="B3191" s="3" t="s">
        <v>17</v>
      </c>
      <c r="C3191" s="20"/>
      <c r="D3191" s="21"/>
    </row>
    <row r="3192" spans="1:4" ht="12.75" customHeight="1" x14ac:dyDescent="0.2">
      <c r="A3192" s="21"/>
      <c r="B3192" s="20" t="s">
        <v>18</v>
      </c>
      <c r="C3192" s="4" t="s">
        <v>44</v>
      </c>
      <c r="D3192" s="6" t="str">
        <f>HYPERLINK("javascript:void(0)","fotoacél csákány")</f>
        <v>fotoacél csákány</v>
      </c>
    </row>
    <row r="3193" spans="1:4" ht="12.75" customHeight="1" x14ac:dyDescent="0.2">
      <c r="A3193" s="21"/>
      <c r="B3193" s="21"/>
      <c r="C3193" s="4" t="s">
        <v>56</v>
      </c>
      <c r="D3193" s="6" t="str">
        <f>HYPERLINK("javascript:void(0)","napfolt")</f>
        <v>napfolt</v>
      </c>
    </row>
    <row r="3194" spans="1:4" ht="12.75" customHeight="1" x14ac:dyDescent="0.2">
      <c r="A3194" s="21"/>
      <c r="B3194" s="21"/>
      <c r="C3194" s="4" t="s">
        <v>77</v>
      </c>
      <c r="D3194" s="6" t="str">
        <f>HYPERLINK("javascript:void(0)","mágnes")</f>
        <v>mágnes</v>
      </c>
    </row>
    <row r="3195" spans="1:4" ht="12.75" customHeight="1" x14ac:dyDescent="0.2">
      <c r="A3195" s="5"/>
      <c r="B3195" s="2"/>
      <c r="C3195" s="2"/>
      <c r="D3195" s="2"/>
    </row>
    <row r="3196" spans="1:4" ht="12.75" customHeight="1" x14ac:dyDescent="0.2">
      <c r="A3196" s="22" t="str">
        <f>HYPERLINK("javascript:void(0)","fotoacél ballaszt")</f>
        <v>fotoacél ballaszt</v>
      </c>
      <c r="B3196" s="21"/>
      <c r="C3196" s="21"/>
      <c r="D3196" s="21"/>
    </row>
    <row r="3197" spans="1:4" ht="12.75" customHeight="1" x14ac:dyDescent="0.2">
      <c r="A3197" s="20"/>
      <c r="B3197" s="2"/>
      <c r="C3197" s="2"/>
      <c r="D3197" s="2"/>
    </row>
    <row r="3198" spans="1:4" ht="12.75" customHeight="1" x14ac:dyDescent="0.2">
      <c r="A3198" s="21"/>
      <c r="B3198" s="3" t="s">
        <v>0</v>
      </c>
      <c r="C3198" s="20" t="s">
        <v>219</v>
      </c>
      <c r="D3198" s="21"/>
    </row>
    <row r="3199" spans="1:4" ht="12.75" customHeight="1" x14ac:dyDescent="0.2">
      <c r="A3199" s="21"/>
      <c r="B3199" s="3" t="s">
        <v>2</v>
      </c>
      <c r="C3199" s="20" t="s">
        <v>122</v>
      </c>
      <c r="D3199" s="21"/>
    </row>
    <row r="3200" spans="1:4" ht="12.75" customHeight="1" x14ac:dyDescent="0.2">
      <c r="A3200" s="21"/>
      <c r="B3200" s="3" t="s">
        <v>4</v>
      </c>
      <c r="C3200" s="20" t="s">
        <v>1051</v>
      </c>
      <c r="D3200" s="21"/>
    </row>
    <row r="3201" spans="1:4" ht="12.75" customHeight="1" x14ac:dyDescent="0.2">
      <c r="A3201" s="21"/>
      <c r="B3201" s="3" t="s">
        <v>6</v>
      </c>
      <c r="C3201" s="20" t="s">
        <v>178</v>
      </c>
      <c r="D3201" s="21"/>
    </row>
    <row r="3202" spans="1:4" ht="12.75" customHeight="1" x14ac:dyDescent="0.2">
      <c r="A3202" s="21"/>
      <c r="B3202" s="3" t="s">
        <v>8</v>
      </c>
      <c r="C3202" s="20" t="s">
        <v>1051</v>
      </c>
      <c r="D3202" s="21"/>
    </row>
    <row r="3203" spans="1:4" ht="12.75" customHeight="1" x14ac:dyDescent="0.2">
      <c r="A3203" s="21"/>
      <c r="B3203" s="3" t="s">
        <v>9</v>
      </c>
      <c r="C3203" s="20" t="s">
        <v>1053</v>
      </c>
      <c r="D3203" s="21"/>
    </row>
    <row r="3204" spans="1:4" ht="12.75" customHeight="1" x14ac:dyDescent="0.2">
      <c r="A3204" s="21"/>
      <c r="B3204" s="3" t="s">
        <v>11</v>
      </c>
      <c r="C3204" s="20" t="s">
        <v>754</v>
      </c>
      <c r="D3204" s="21"/>
    </row>
    <row r="3205" spans="1:4" ht="12.75" customHeight="1" x14ac:dyDescent="0.2">
      <c r="A3205" s="21"/>
      <c r="B3205" s="3" t="s">
        <v>13</v>
      </c>
      <c r="C3205" s="20" t="s">
        <v>24</v>
      </c>
      <c r="D3205" s="21"/>
    </row>
    <row r="3206" spans="1:4" ht="12.75" customHeight="1" x14ac:dyDescent="0.2">
      <c r="A3206" s="21"/>
      <c r="B3206" s="3" t="s">
        <v>15</v>
      </c>
      <c r="C3206" s="20" t="s">
        <v>24</v>
      </c>
      <c r="D3206" s="21"/>
    </row>
    <row r="3207" spans="1:4" ht="12.75" customHeight="1" x14ac:dyDescent="0.2">
      <c r="A3207" s="21"/>
      <c r="B3207" s="3" t="s">
        <v>16</v>
      </c>
      <c r="C3207" s="20"/>
      <c r="D3207" s="21"/>
    </row>
    <row r="3208" spans="1:4" ht="12.75" customHeight="1" x14ac:dyDescent="0.2">
      <c r="A3208" s="21"/>
      <c r="B3208" s="3" t="s">
        <v>17</v>
      </c>
      <c r="C3208" s="20"/>
      <c r="D3208" s="21"/>
    </row>
    <row r="3209" spans="1:4" ht="12.75" customHeight="1" x14ac:dyDescent="0.2">
      <c r="A3209" s="21"/>
      <c r="B3209" s="20" t="s">
        <v>18</v>
      </c>
      <c r="C3209" s="4" t="s">
        <v>130</v>
      </c>
      <c r="D3209" s="6" t="str">
        <f>HYPERLINK("javascript:void(0)","fotogén")</f>
        <v>fotogén</v>
      </c>
    </row>
    <row r="3210" spans="1:4" ht="12.75" customHeight="1" x14ac:dyDescent="0.2">
      <c r="A3210" s="21"/>
      <c r="B3210" s="21"/>
      <c r="C3210" s="4" t="s">
        <v>309</v>
      </c>
      <c r="D3210" s="6" t="str">
        <f>HYPERLINK("javascript:void(0)","betüvető")</f>
        <v>betüvető</v>
      </c>
    </row>
    <row r="3211" spans="1:4" ht="12.75" customHeight="1" x14ac:dyDescent="0.2">
      <c r="A3211" s="21"/>
      <c r="B3211" s="21"/>
      <c r="C3211" s="4" t="s">
        <v>68</v>
      </c>
      <c r="D3211" s="6" t="str">
        <f>HYPERLINK("javascript:void(0)","napfolt")</f>
        <v>napfolt</v>
      </c>
    </row>
    <row r="3212" spans="1:4" ht="12.75" customHeight="1" x14ac:dyDescent="0.2">
      <c r="A3212" s="5"/>
      <c r="B3212" s="2"/>
      <c r="C3212" s="2"/>
      <c r="D3212" s="2"/>
    </row>
    <row r="3213" spans="1:4" ht="12.75" customHeight="1" x14ac:dyDescent="0.2">
      <c r="A3213" s="22" t="str">
        <f>HYPERLINK("javascript:void(0)","gyíkacél puhító")</f>
        <v>gyíkacél puhító</v>
      </c>
      <c r="B3213" s="21"/>
      <c r="C3213" s="21"/>
      <c r="D3213" s="21"/>
    </row>
    <row r="3214" spans="1:4" ht="12.75" customHeight="1" x14ac:dyDescent="0.2">
      <c r="A3214" s="20"/>
      <c r="B3214" s="2"/>
      <c r="C3214" s="2"/>
      <c r="D3214" s="2"/>
    </row>
    <row r="3215" spans="1:4" ht="12.75" customHeight="1" x14ac:dyDescent="0.2">
      <c r="A3215" s="21"/>
      <c r="B3215" s="3" t="s">
        <v>0</v>
      </c>
      <c r="C3215" s="20" t="s">
        <v>219</v>
      </c>
      <c r="D3215" s="21"/>
    </row>
    <row r="3216" spans="1:4" ht="12.75" customHeight="1" x14ac:dyDescent="0.2">
      <c r="A3216" s="21"/>
      <c r="B3216" s="3" t="s">
        <v>2</v>
      </c>
      <c r="C3216" s="20" t="s">
        <v>122</v>
      </c>
      <c r="D3216" s="21"/>
    </row>
    <row r="3217" spans="1:4" ht="12.75" customHeight="1" x14ac:dyDescent="0.2">
      <c r="A3217" s="21"/>
      <c r="B3217" s="3" t="s">
        <v>4</v>
      </c>
      <c r="C3217" s="20" t="s">
        <v>1057</v>
      </c>
      <c r="D3217" s="21"/>
    </row>
    <row r="3218" spans="1:4" ht="12.75" customHeight="1" x14ac:dyDescent="0.2">
      <c r="A3218" s="21"/>
      <c r="B3218" s="3" t="s">
        <v>6</v>
      </c>
      <c r="C3218" s="20" t="s">
        <v>107</v>
      </c>
      <c r="D3218" s="21"/>
    </row>
    <row r="3219" spans="1:4" ht="12.75" customHeight="1" x14ac:dyDescent="0.2">
      <c r="A3219" s="21"/>
      <c r="B3219" s="3" t="s">
        <v>8</v>
      </c>
      <c r="C3219" s="20" t="s">
        <v>1057</v>
      </c>
      <c r="D3219" s="21"/>
    </row>
    <row r="3220" spans="1:4" ht="12.75" customHeight="1" x14ac:dyDescent="0.2">
      <c r="A3220" s="21"/>
      <c r="B3220" s="3" t="s">
        <v>9</v>
      </c>
      <c r="C3220" s="20" t="s">
        <v>1058</v>
      </c>
      <c r="D3220" s="21"/>
    </row>
    <row r="3221" spans="1:4" ht="12.75" customHeight="1" x14ac:dyDescent="0.2">
      <c r="A3221" s="21"/>
      <c r="B3221" s="3" t="s">
        <v>11</v>
      </c>
      <c r="C3221" s="20" t="s">
        <v>465</v>
      </c>
      <c r="D3221" s="21"/>
    </row>
    <row r="3222" spans="1:4" ht="12.75" customHeight="1" x14ac:dyDescent="0.2">
      <c r="A3222" s="21"/>
      <c r="B3222" s="3" t="s">
        <v>13</v>
      </c>
      <c r="C3222" s="20" t="s">
        <v>24</v>
      </c>
      <c r="D3222" s="21"/>
    </row>
    <row r="3223" spans="1:4" ht="12.75" customHeight="1" x14ac:dyDescent="0.2">
      <c r="A3223" s="21"/>
      <c r="B3223" s="3" t="s">
        <v>15</v>
      </c>
      <c r="C3223" s="20" t="s">
        <v>24</v>
      </c>
      <c r="D3223" s="21"/>
    </row>
    <row r="3224" spans="1:4" ht="12.75" customHeight="1" x14ac:dyDescent="0.2">
      <c r="A3224" s="21"/>
      <c r="B3224" s="3" t="s">
        <v>16</v>
      </c>
      <c r="C3224" s="20"/>
      <c r="D3224" s="21"/>
    </row>
    <row r="3225" spans="1:4" ht="12.75" customHeight="1" x14ac:dyDescent="0.2">
      <c r="A3225" s="21"/>
      <c r="B3225" s="3" t="s">
        <v>17</v>
      </c>
      <c r="C3225" s="20"/>
      <c r="D3225" s="21"/>
    </row>
    <row r="3226" spans="1:4" ht="12.75" customHeight="1" x14ac:dyDescent="0.2">
      <c r="A3226" s="21"/>
      <c r="B3226" s="20" t="s">
        <v>18</v>
      </c>
      <c r="C3226" s="4" t="s">
        <v>77</v>
      </c>
      <c r="D3226" s="6" t="str">
        <f>HYPERLINK("javascript:void(0)","ezüströg")</f>
        <v>ezüströg</v>
      </c>
    </row>
    <row r="3227" spans="1:4" ht="12.75" customHeight="1" x14ac:dyDescent="0.2">
      <c r="A3227" s="21"/>
      <c r="B3227" s="21"/>
      <c r="C3227" s="4" t="s">
        <v>98</v>
      </c>
      <c r="D3227" s="6" t="str">
        <f>HYPERLINK("javascript:void(0)","csáphárító")</f>
        <v>csáphárító</v>
      </c>
    </row>
    <row r="3228" spans="1:4" ht="12.75" customHeight="1" x14ac:dyDescent="0.2">
      <c r="A3228" s="21"/>
      <c r="B3228" s="21"/>
      <c r="C3228" s="4" t="s">
        <v>780</v>
      </c>
      <c r="D3228" s="6" t="str">
        <f>HYPERLINK("javascript:void(0)","yorick")</f>
        <v>yorick</v>
      </c>
    </row>
    <row r="3229" spans="1:4" ht="12.75" customHeight="1" x14ac:dyDescent="0.2">
      <c r="A3229" s="5"/>
      <c r="B3229" s="2"/>
      <c r="C3229" s="2"/>
      <c r="D3229" s="2"/>
    </row>
    <row r="3230" spans="1:4" ht="12.75" customHeight="1" x14ac:dyDescent="0.2">
      <c r="A3230" s="22" t="str">
        <f>HYPERLINK("javascript:void(0)","fotoacél foglalat")</f>
        <v>fotoacél foglalat</v>
      </c>
      <c r="B3230" s="21"/>
      <c r="C3230" s="21"/>
      <c r="D3230" s="21"/>
    </row>
    <row r="3231" spans="1:4" ht="12.75" customHeight="1" x14ac:dyDescent="0.2">
      <c r="A3231" s="20"/>
      <c r="B3231" s="2"/>
      <c r="C3231" s="2"/>
      <c r="D3231" s="2"/>
    </row>
    <row r="3232" spans="1:4" ht="12.75" customHeight="1" x14ac:dyDescent="0.2">
      <c r="A3232" s="21"/>
      <c r="B3232" s="3" t="s">
        <v>0</v>
      </c>
      <c r="C3232" s="20" t="s">
        <v>219</v>
      </c>
      <c r="D3232" s="21"/>
    </row>
    <row r="3233" spans="1:4" ht="12.75" customHeight="1" x14ac:dyDescent="0.2">
      <c r="A3233" s="21"/>
      <c r="B3233" s="3" t="s">
        <v>2</v>
      </c>
      <c r="C3233" s="20" t="s">
        <v>122</v>
      </c>
      <c r="D3233" s="21"/>
    </row>
    <row r="3234" spans="1:4" ht="12.75" customHeight="1" x14ac:dyDescent="0.2">
      <c r="A3234" s="21"/>
      <c r="B3234" s="3" t="s">
        <v>4</v>
      </c>
      <c r="C3234" s="20" t="s">
        <v>533</v>
      </c>
      <c r="D3234" s="21"/>
    </row>
    <row r="3235" spans="1:4" ht="12.75" customHeight="1" x14ac:dyDescent="0.2">
      <c r="A3235" s="21"/>
      <c r="B3235" s="3" t="s">
        <v>6</v>
      </c>
      <c r="C3235" s="20" t="s">
        <v>21</v>
      </c>
      <c r="D3235" s="21"/>
    </row>
    <row r="3236" spans="1:4" ht="12.75" customHeight="1" x14ac:dyDescent="0.2">
      <c r="A3236" s="21"/>
      <c r="B3236" s="3" t="s">
        <v>8</v>
      </c>
      <c r="C3236" s="20" t="s">
        <v>533</v>
      </c>
      <c r="D3236" s="21"/>
    </row>
    <row r="3237" spans="1:4" ht="12.75" customHeight="1" x14ac:dyDescent="0.2">
      <c r="A3237" s="21"/>
      <c r="B3237" s="3" t="s">
        <v>9</v>
      </c>
      <c r="C3237" s="20" t="s">
        <v>124</v>
      </c>
      <c r="D3237" s="21"/>
    </row>
    <row r="3238" spans="1:4" ht="12.75" customHeight="1" x14ac:dyDescent="0.2">
      <c r="A3238" s="21"/>
      <c r="B3238" s="3" t="s">
        <v>11</v>
      </c>
      <c r="C3238" s="20" t="s">
        <v>483</v>
      </c>
      <c r="D3238" s="21"/>
    </row>
    <row r="3239" spans="1:4" ht="12.75" customHeight="1" x14ac:dyDescent="0.2">
      <c r="A3239" s="21"/>
      <c r="B3239" s="3" t="s">
        <v>13</v>
      </c>
      <c r="C3239" s="20" t="s">
        <v>24</v>
      </c>
      <c r="D3239" s="21"/>
    </row>
    <row r="3240" spans="1:4" ht="12.75" customHeight="1" x14ac:dyDescent="0.2">
      <c r="A3240" s="21"/>
      <c r="B3240" s="3" t="s">
        <v>15</v>
      </c>
      <c r="C3240" s="20" t="s">
        <v>24</v>
      </c>
      <c r="D3240" s="21"/>
    </row>
    <row r="3241" spans="1:4" ht="12.75" customHeight="1" x14ac:dyDescent="0.2">
      <c r="A3241" s="21"/>
      <c r="B3241" s="3" t="s">
        <v>16</v>
      </c>
      <c r="C3241" s="20"/>
      <c r="D3241" s="21"/>
    </row>
    <row r="3242" spans="1:4" ht="12.75" customHeight="1" x14ac:dyDescent="0.2">
      <c r="A3242" s="21"/>
      <c r="B3242" s="3" t="s">
        <v>17</v>
      </c>
      <c r="C3242" s="20"/>
      <c r="D3242" s="21"/>
    </row>
    <row r="3243" spans="1:4" ht="12.75" customHeight="1" x14ac:dyDescent="0.2">
      <c r="A3243" s="21"/>
      <c r="B3243" s="20" t="s">
        <v>18</v>
      </c>
      <c r="C3243" s="4" t="s">
        <v>56</v>
      </c>
      <c r="D3243" s="6" t="str">
        <f>HYPERLINK("javascript:void(0)","kispárna")</f>
        <v>kispárna</v>
      </c>
    </row>
    <row r="3244" spans="1:4" ht="12.75" customHeight="1" x14ac:dyDescent="0.2">
      <c r="A3244" s="21"/>
      <c r="B3244" s="21"/>
      <c r="C3244" s="4" t="s">
        <v>98</v>
      </c>
      <c r="D3244" s="6" t="str">
        <f>HYPERLINK("javascript:void(0)","trolltartó")</f>
        <v>trolltartó</v>
      </c>
    </row>
    <row r="3245" spans="1:4" ht="12.75" customHeight="1" x14ac:dyDescent="0.2">
      <c r="A3245" s="21"/>
      <c r="B3245" s="21"/>
      <c r="C3245" s="4" t="s">
        <v>382</v>
      </c>
      <c r="D3245" s="6" t="str">
        <f>HYPERLINK("javascript:void(0)","imázs")</f>
        <v>imázs</v>
      </c>
    </row>
    <row r="3246" spans="1:4" ht="12.75" customHeight="1" x14ac:dyDescent="0.2">
      <c r="A3246" s="5"/>
      <c r="B3246" s="2"/>
      <c r="C3246" s="2"/>
      <c r="D3246" s="2"/>
    </row>
    <row r="3247" spans="1:4" ht="12.75" customHeight="1" x14ac:dyDescent="0.2">
      <c r="A3247" s="22" t="str">
        <f>HYPERLINK("javascript:void(0)","magnetoacél cséplő")</f>
        <v>magnetoacél cséplő</v>
      </c>
      <c r="B3247" s="21"/>
      <c r="C3247" s="21"/>
      <c r="D3247" s="21"/>
    </row>
    <row r="3248" spans="1:4" ht="12.75" customHeight="1" x14ac:dyDescent="0.2">
      <c r="A3248" s="20"/>
      <c r="B3248" s="2"/>
      <c r="C3248" s="2"/>
      <c r="D3248" s="2"/>
    </row>
    <row r="3249" spans="1:4" ht="12.75" customHeight="1" x14ac:dyDescent="0.2">
      <c r="A3249" s="21"/>
      <c r="B3249" s="3" t="s">
        <v>0</v>
      </c>
      <c r="C3249" s="20" t="s">
        <v>613</v>
      </c>
      <c r="D3249" s="21"/>
    </row>
    <row r="3250" spans="1:4" ht="12.75" customHeight="1" x14ac:dyDescent="0.2">
      <c r="A3250" s="21"/>
      <c r="B3250" s="3" t="s">
        <v>2</v>
      </c>
      <c r="C3250" s="20" t="s">
        <v>122</v>
      </c>
      <c r="D3250" s="21"/>
    </row>
    <row r="3251" spans="1:4" ht="12.75" customHeight="1" x14ac:dyDescent="0.2">
      <c r="A3251" s="21"/>
      <c r="B3251" s="3" t="s">
        <v>4</v>
      </c>
      <c r="C3251" s="20" t="s">
        <v>1064</v>
      </c>
      <c r="D3251" s="21"/>
    </row>
    <row r="3252" spans="1:4" ht="12.75" customHeight="1" x14ac:dyDescent="0.2">
      <c r="A3252" s="21"/>
      <c r="B3252" s="3" t="s">
        <v>6</v>
      </c>
      <c r="C3252" s="20" t="s">
        <v>206</v>
      </c>
      <c r="D3252" s="21"/>
    </row>
    <row r="3253" spans="1:4" ht="12.75" customHeight="1" x14ac:dyDescent="0.2">
      <c r="A3253" s="21"/>
      <c r="B3253" s="3" t="s">
        <v>8</v>
      </c>
      <c r="C3253" s="20" t="s">
        <v>1064</v>
      </c>
      <c r="D3253" s="21"/>
    </row>
    <row r="3254" spans="1:4" ht="12.75" customHeight="1" x14ac:dyDescent="0.2">
      <c r="A3254" s="21"/>
      <c r="B3254" s="3" t="s">
        <v>9</v>
      </c>
      <c r="C3254" s="20" t="s">
        <v>42</v>
      </c>
      <c r="D3254" s="21"/>
    </row>
    <row r="3255" spans="1:4" ht="12.75" customHeight="1" x14ac:dyDescent="0.2">
      <c r="A3255" s="21"/>
      <c r="B3255" s="3" t="s">
        <v>11</v>
      </c>
      <c r="C3255" s="20" t="s">
        <v>638</v>
      </c>
      <c r="D3255" s="21"/>
    </row>
    <row r="3256" spans="1:4" ht="12.75" customHeight="1" x14ac:dyDescent="0.2">
      <c r="A3256" s="21"/>
      <c r="B3256" s="3" t="s">
        <v>13</v>
      </c>
      <c r="C3256" s="20" t="s">
        <v>24</v>
      </c>
      <c r="D3256" s="21"/>
    </row>
    <row r="3257" spans="1:4" ht="12.75" customHeight="1" x14ac:dyDescent="0.2">
      <c r="A3257" s="21"/>
      <c r="B3257" s="3" t="s">
        <v>15</v>
      </c>
      <c r="C3257" s="20" t="s">
        <v>24</v>
      </c>
      <c r="D3257" s="21"/>
    </row>
    <row r="3258" spans="1:4" ht="12.75" customHeight="1" x14ac:dyDescent="0.2">
      <c r="A3258" s="21"/>
      <c r="B3258" s="3" t="s">
        <v>16</v>
      </c>
      <c r="C3258" s="20"/>
      <c r="D3258" s="21"/>
    </row>
    <row r="3259" spans="1:4" ht="12.75" customHeight="1" x14ac:dyDescent="0.2">
      <c r="A3259" s="21"/>
      <c r="B3259" s="3" t="s">
        <v>17</v>
      </c>
      <c r="C3259" s="20"/>
      <c r="D3259" s="21"/>
    </row>
    <row r="3260" spans="1:4" ht="12.75" customHeight="1" x14ac:dyDescent="0.2">
      <c r="A3260" s="21"/>
      <c r="B3260" s="20" t="s">
        <v>18</v>
      </c>
      <c r="C3260" s="4" t="s">
        <v>57</v>
      </c>
      <c r="D3260" s="6" t="str">
        <f>HYPERLINK("javascript:void(0)","vákuum")</f>
        <v>vákuum</v>
      </c>
    </row>
    <row r="3261" spans="1:4" ht="12.75" customHeight="1" x14ac:dyDescent="0.2">
      <c r="A3261" s="21"/>
      <c r="B3261" s="21"/>
      <c r="C3261" s="4" t="s">
        <v>139</v>
      </c>
      <c r="D3261" s="6" t="str">
        <f>HYPERLINK("javascript:void(0)","mágnes")</f>
        <v>mágnes</v>
      </c>
    </row>
    <row r="3262" spans="1:4" ht="12.75" customHeight="1" x14ac:dyDescent="0.2">
      <c r="A3262" s="21"/>
      <c r="B3262" s="21"/>
      <c r="C3262" s="4" t="s">
        <v>98</v>
      </c>
      <c r="D3262" s="6" t="str">
        <f>HYPERLINK("javascript:void(0)","hacuka")</f>
        <v>hacuka</v>
      </c>
    </row>
    <row r="3263" spans="1:4" ht="12.75" customHeight="1" x14ac:dyDescent="0.2">
      <c r="A3263" s="5"/>
      <c r="B3263" s="2"/>
      <c r="C3263" s="2"/>
      <c r="D3263" s="2"/>
    </row>
    <row r="3264" spans="1:4" ht="12.75" customHeight="1" x14ac:dyDescent="0.2">
      <c r="A3264" s="22" t="str">
        <f>HYPERLINK("javascript:void(0)","vákuum mágusölő")</f>
        <v>vákuum mágusölő</v>
      </c>
      <c r="B3264" s="21"/>
      <c r="C3264" s="21"/>
      <c r="D3264" s="21"/>
    </row>
    <row r="3265" spans="1:4" ht="12.75" customHeight="1" x14ac:dyDescent="0.2">
      <c r="A3265" s="20"/>
      <c r="B3265" s="2"/>
      <c r="C3265" s="2"/>
      <c r="D3265" s="2"/>
    </row>
    <row r="3266" spans="1:4" ht="12.75" customHeight="1" x14ac:dyDescent="0.2">
      <c r="A3266" s="21"/>
      <c r="B3266" s="3" t="s">
        <v>0</v>
      </c>
      <c r="C3266" s="20" t="s">
        <v>613</v>
      </c>
      <c r="D3266" s="21"/>
    </row>
    <row r="3267" spans="1:4" ht="12.75" customHeight="1" x14ac:dyDescent="0.2">
      <c r="A3267" s="21"/>
      <c r="B3267" s="3" t="s">
        <v>2</v>
      </c>
      <c r="C3267" s="20" t="s">
        <v>122</v>
      </c>
      <c r="D3267" s="21"/>
    </row>
    <row r="3268" spans="1:4" ht="12.75" customHeight="1" x14ac:dyDescent="0.2">
      <c r="A3268" s="21"/>
      <c r="B3268" s="3" t="s">
        <v>4</v>
      </c>
      <c r="C3268" s="20" t="s">
        <v>1067</v>
      </c>
      <c r="D3268" s="21"/>
    </row>
    <row r="3269" spans="1:4" ht="12.75" customHeight="1" x14ac:dyDescent="0.2">
      <c r="A3269" s="21"/>
      <c r="B3269" s="3" t="s">
        <v>6</v>
      </c>
      <c r="C3269" s="20" t="s">
        <v>48</v>
      </c>
      <c r="D3269" s="21"/>
    </row>
    <row r="3270" spans="1:4" ht="12.75" customHeight="1" x14ac:dyDescent="0.2">
      <c r="A3270" s="21"/>
      <c r="B3270" s="3" t="s">
        <v>8</v>
      </c>
      <c r="C3270" s="20" t="s">
        <v>1067</v>
      </c>
      <c r="D3270" s="21"/>
    </row>
    <row r="3271" spans="1:4" ht="12.75" customHeight="1" x14ac:dyDescent="0.2">
      <c r="A3271" s="21"/>
      <c r="B3271" s="3" t="s">
        <v>9</v>
      </c>
      <c r="C3271" s="20" t="s">
        <v>1068</v>
      </c>
      <c r="D3271" s="21"/>
    </row>
    <row r="3272" spans="1:4" ht="12.75" customHeight="1" x14ac:dyDescent="0.2">
      <c r="A3272" s="21"/>
      <c r="B3272" s="3" t="s">
        <v>11</v>
      </c>
      <c r="C3272" s="20" t="s">
        <v>674</v>
      </c>
      <c r="D3272" s="21"/>
    </row>
    <row r="3273" spans="1:4" ht="12.75" customHeight="1" x14ac:dyDescent="0.2">
      <c r="A3273" s="21"/>
      <c r="B3273" s="3" t="s">
        <v>13</v>
      </c>
      <c r="C3273" s="20" t="s">
        <v>14</v>
      </c>
      <c r="D3273" s="21"/>
    </row>
    <row r="3274" spans="1:4" ht="12.75" customHeight="1" x14ac:dyDescent="0.2">
      <c r="A3274" s="21"/>
      <c r="B3274" s="3" t="s">
        <v>15</v>
      </c>
      <c r="C3274" s="20" t="s">
        <v>24</v>
      </c>
      <c r="D3274" s="21"/>
    </row>
    <row r="3275" spans="1:4" ht="12.75" customHeight="1" x14ac:dyDescent="0.2">
      <c r="A3275" s="21"/>
      <c r="B3275" s="3" t="s">
        <v>16</v>
      </c>
      <c r="C3275" s="20"/>
      <c r="D3275" s="21"/>
    </row>
    <row r="3276" spans="1:4" ht="12.75" customHeight="1" x14ac:dyDescent="0.2">
      <c r="A3276" s="21"/>
      <c r="B3276" s="3" t="s">
        <v>17</v>
      </c>
      <c r="C3276" s="20"/>
      <c r="D3276" s="21"/>
    </row>
    <row r="3277" spans="1:4" ht="12.75" customHeight="1" x14ac:dyDescent="0.2">
      <c r="A3277" s="21"/>
      <c r="B3277" s="20" t="s">
        <v>18</v>
      </c>
      <c r="C3277" s="4" t="s">
        <v>68</v>
      </c>
      <c r="D3277" s="6" t="str">
        <f>HYPERLINK("javascript:void(0)","vákuum")</f>
        <v>vákuum</v>
      </c>
    </row>
    <row r="3278" spans="1:4" ht="12.75" customHeight="1" x14ac:dyDescent="0.2">
      <c r="A3278" s="21"/>
      <c r="B3278" s="21"/>
      <c r="C3278" s="4" t="s">
        <v>309</v>
      </c>
      <c r="D3278" s="6" t="str">
        <f>HYPERLINK("javascript:void(0)","mágnes")</f>
        <v>mágnes</v>
      </c>
    </row>
    <row r="3279" spans="1:4" ht="12.75" customHeight="1" x14ac:dyDescent="0.2">
      <c r="A3279" s="21"/>
      <c r="B3279" s="21"/>
      <c r="C3279" s="4" t="s">
        <v>309</v>
      </c>
      <c r="D3279" s="6" t="str">
        <f>HYPERLINK("javascript:void(0)","vérrög")</f>
        <v>vérrög</v>
      </c>
    </row>
    <row r="3280" spans="1:4" ht="12.75" customHeight="1" x14ac:dyDescent="0.2">
      <c r="A3280" s="5"/>
      <c r="B3280" s="2"/>
      <c r="C3280" s="2"/>
      <c r="D3280" s="2"/>
    </row>
    <row r="3281" spans="1:4" ht="12.75" customHeight="1" x14ac:dyDescent="0.2">
      <c r="A3281" s="22" t="str">
        <f>HYPERLINK("javascript:void(0)","magnetoacél markolat")</f>
        <v>magnetoacél markolat</v>
      </c>
      <c r="B3281" s="21"/>
      <c r="C3281" s="21"/>
      <c r="D3281" s="21"/>
    </row>
    <row r="3282" spans="1:4" ht="12.75" customHeight="1" x14ac:dyDescent="0.2">
      <c r="A3282" s="20"/>
      <c r="B3282" s="2"/>
      <c r="C3282" s="2"/>
      <c r="D3282" s="2"/>
    </row>
    <row r="3283" spans="1:4" ht="12.75" customHeight="1" x14ac:dyDescent="0.2">
      <c r="A3283" s="21"/>
      <c r="B3283" s="3" t="s">
        <v>0</v>
      </c>
      <c r="C3283" s="20" t="s">
        <v>613</v>
      </c>
      <c r="D3283" s="21"/>
    </row>
    <row r="3284" spans="1:4" ht="12.75" customHeight="1" x14ac:dyDescent="0.2">
      <c r="A3284" s="21"/>
      <c r="B3284" s="3" t="s">
        <v>2</v>
      </c>
      <c r="C3284" s="20" t="s">
        <v>122</v>
      </c>
      <c r="D3284" s="21"/>
    </row>
    <row r="3285" spans="1:4" ht="12.75" customHeight="1" x14ac:dyDescent="0.2">
      <c r="A3285" s="21"/>
      <c r="B3285" s="3" t="s">
        <v>4</v>
      </c>
      <c r="C3285" s="20" t="s">
        <v>533</v>
      </c>
      <c r="D3285" s="21"/>
    </row>
    <row r="3286" spans="1:4" ht="12.75" customHeight="1" x14ac:dyDescent="0.2">
      <c r="A3286" s="21"/>
      <c r="B3286" s="3" t="s">
        <v>6</v>
      </c>
      <c r="C3286" s="20" t="s">
        <v>21</v>
      </c>
      <c r="D3286" s="21"/>
    </row>
    <row r="3287" spans="1:4" ht="12.75" customHeight="1" x14ac:dyDescent="0.2">
      <c r="A3287" s="21"/>
      <c r="B3287" s="3" t="s">
        <v>8</v>
      </c>
      <c r="C3287" s="20" t="s">
        <v>533</v>
      </c>
      <c r="D3287" s="21"/>
    </row>
    <row r="3288" spans="1:4" ht="12.75" customHeight="1" x14ac:dyDescent="0.2">
      <c r="A3288" s="21"/>
      <c r="B3288" s="3" t="s">
        <v>9</v>
      </c>
      <c r="C3288" s="20" t="s">
        <v>42</v>
      </c>
      <c r="D3288" s="21"/>
    </row>
    <row r="3289" spans="1:4" ht="12.75" customHeight="1" x14ac:dyDescent="0.2">
      <c r="A3289" s="21"/>
      <c r="B3289" s="3" t="s">
        <v>11</v>
      </c>
      <c r="C3289" s="20" t="s">
        <v>488</v>
      </c>
      <c r="D3289" s="21"/>
    </row>
    <row r="3290" spans="1:4" ht="12.75" customHeight="1" x14ac:dyDescent="0.2">
      <c r="A3290" s="21"/>
      <c r="B3290" s="3" t="s">
        <v>13</v>
      </c>
      <c r="C3290" s="20" t="s">
        <v>24</v>
      </c>
      <c r="D3290" s="21"/>
    </row>
    <row r="3291" spans="1:4" ht="12.75" customHeight="1" x14ac:dyDescent="0.2">
      <c r="A3291" s="21"/>
      <c r="B3291" s="3" t="s">
        <v>15</v>
      </c>
      <c r="C3291" s="20" t="s">
        <v>24</v>
      </c>
      <c r="D3291" s="21"/>
    </row>
    <row r="3292" spans="1:4" ht="12.75" customHeight="1" x14ac:dyDescent="0.2">
      <c r="A3292" s="21"/>
      <c r="B3292" s="3" t="s">
        <v>16</v>
      </c>
      <c r="C3292" s="20"/>
      <c r="D3292" s="21"/>
    </row>
    <row r="3293" spans="1:4" ht="12.75" customHeight="1" x14ac:dyDescent="0.2">
      <c r="A3293" s="21"/>
      <c r="B3293" s="3" t="s">
        <v>17</v>
      </c>
      <c r="C3293" s="20"/>
      <c r="D3293" s="21"/>
    </row>
    <row r="3294" spans="1:4" ht="12.75" customHeight="1" x14ac:dyDescent="0.2">
      <c r="A3294" s="21"/>
      <c r="B3294" s="20" t="s">
        <v>18</v>
      </c>
      <c r="C3294" s="4" t="s">
        <v>398</v>
      </c>
      <c r="D3294" s="6" t="str">
        <f>HYPERLINK("javascript:void(0)","vérrög")</f>
        <v>vérrög</v>
      </c>
    </row>
    <row r="3295" spans="1:4" ht="12.75" customHeight="1" x14ac:dyDescent="0.2">
      <c r="A3295" s="21"/>
      <c r="B3295" s="21"/>
      <c r="C3295" s="4" t="s">
        <v>309</v>
      </c>
      <c r="D3295" s="6" t="str">
        <f>HYPERLINK("javascript:void(0)","mágnes")</f>
        <v>mágnes</v>
      </c>
    </row>
    <row r="3296" spans="1:4" ht="12.75" customHeight="1" x14ac:dyDescent="0.2">
      <c r="A3296" s="21"/>
      <c r="B3296" s="21"/>
      <c r="C3296" s="4" t="s">
        <v>56</v>
      </c>
      <c r="D3296" s="6" t="str">
        <f>HYPERLINK("javascript:void(0)","tudásmorzsa")</f>
        <v>tudásmorzsa</v>
      </c>
    </row>
    <row r="3297" spans="1:4" ht="12.75" customHeight="1" x14ac:dyDescent="0.2">
      <c r="A3297" s="5"/>
      <c r="B3297" s="2"/>
      <c r="C3297" s="2"/>
      <c r="D3297" s="2"/>
    </row>
    <row r="3298" spans="1:4" ht="12.75" customHeight="1" x14ac:dyDescent="0.2">
      <c r="A3298" s="22" t="str">
        <f>HYPERLINK("javascript:void(0)","magnetoacél buzogány")</f>
        <v>magnetoacél buzogány</v>
      </c>
      <c r="B3298" s="21"/>
      <c r="C3298" s="21"/>
      <c r="D3298" s="21"/>
    </row>
    <row r="3299" spans="1:4" ht="12.75" customHeight="1" x14ac:dyDescent="0.2">
      <c r="A3299" s="20"/>
      <c r="B3299" s="2"/>
      <c r="C3299" s="2"/>
      <c r="D3299" s="2"/>
    </row>
    <row r="3300" spans="1:4" ht="12.75" customHeight="1" x14ac:dyDescent="0.2">
      <c r="A3300" s="21"/>
      <c r="B3300" s="3" t="s">
        <v>0</v>
      </c>
      <c r="C3300" s="20" t="s">
        <v>248</v>
      </c>
      <c r="D3300" s="21"/>
    </row>
    <row r="3301" spans="1:4" ht="12.75" customHeight="1" x14ac:dyDescent="0.2">
      <c r="A3301" s="21"/>
      <c r="B3301" s="3" t="s">
        <v>2</v>
      </c>
      <c r="C3301" s="20" t="s">
        <v>122</v>
      </c>
      <c r="D3301" s="21"/>
    </row>
    <row r="3302" spans="1:4" ht="12.75" customHeight="1" x14ac:dyDescent="0.2">
      <c r="A3302" s="21"/>
      <c r="B3302" s="3" t="s">
        <v>4</v>
      </c>
      <c r="C3302" s="20" t="s">
        <v>1076</v>
      </c>
      <c r="D3302" s="21"/>
    </row>
    <row r="3303" spans="1:4" ht="12.75" customHeight="1" x14ac:dyDescent="0.2">
      <c r="A3303" s="21"/>
      <c r="B3303" s="3" t="s">
        <v>6</v>
      </c>
      <c r="C3303" s="20" t="s">
        <v>178</v>
      </c>
      <c r="D3303" s="21"/>
    </row>
    <row r="3304" spans="1:4" ht="12.75" customHeight="1" x14ac:dyDescent="0.2">
      <c r="A3304" s="21"/>
      <c r="B3304" s="3" t="s">
        <v>8</v>
      </c>
      <c r="C3304" s="20" t="s">
        <v>1076</v>
      </c>
      <c r="D3304" s="21"/>
    </row>
    <row r="3305" spans="1:4" ht="12.75" customHeight="1" x14ac:dyDescent="0.2">
      <c r="A3305" s="21"/>
      <c r="B3305" s="3" t="s">
        <v>9</v>
      </c>
      <c r="C3305" s="20" t="s">
        <v>210</v>
      </c>
      <c r="D3305" s="21"/>
    </row>
    <row r="3306" spans="1:4" ht="12.75" customHeight="1" x14ac:dyDescent="0.2">
      <c r="A3306" s="21"/>
      <c r="B3306" s="3" t="s">
        <v>11</v>
      </c>
      <c r="C3306" s="20" t="s">
        <v>645</v>
      </c>
      <c r="D3306" s="21"/>
    </row>
    <row r="3307" spans="1:4" ht="12.75" customHeight="1" x14ac:dyDescent="0.2">
      <c r="A3307" s="21"/>
      <c r="B3307" s="3" t="s">
        <v>13</v>
      </c>
      <c r="C3307" s="20" t="s">
        <v>24</v>
      </c>
      <c r="D3307" s="21"/>
    </row>
    <row r="3308" spans="1:4" ht="12.75" customHeight="1" x14ac:dyDescent="0.2">
      <c r="A3308" s="21"/>
      <c r="B3308" s="3" t="s">
        <v>15</v>
      </c>
      <c r="C3308" s="20" t="s">
        <v>24</v>
      </c>
      <c r="D3308" s="21"/>
    </row>
    <row r="3309" spans="1:4" ht="12.75" customHeight="1" x14ac:dyDescent="0.2">
      <c r="A3309" s="21"/>
      <c r="B3309" s="3" t="s">
        <v>16</v>
      </c>
      <c r="C3309" s="20"/>
      <c r="D3309" s="21"/>
    </row>
    <row r="3310" spans="1:4" ht="12.75" customHeight="1" x14ac:dyDescent="0.2">
      <c r="A3310" s="21"/>
      <c r="B3310" s="3" t="s">
        <v>17</v>
      </c>
      <c r="C3310" s="20"/>
      <c r="D3310" s="21"/>
    </row>
    <row r="3311" spans="1:4" ht="12.75" customHeight="1" x14ac:dyDescent="0.2">
      <c r="A3311" s="21"/>
      <c r="B3311" s="20" t="s">
        <v>18</v>
      </c>
      <c r="C3311" s="4" t="s">
        <v>44</v>
      </c>
      <c r="D3311" s="6" t="str">
        <f>HYPERLINK("javascript:void(0)","magnetoacél pöröly")</f>
        <v>magnetoacél pöröly</v>
      </c>
    </row>
    <row r="3312" spans="1:4" ht="12.75" customHeight="1" x14ac:dyDescent="0.2">
      <c r="A3312" s="21"/>
      <c r="B3312" s="21"/>
      <c r="C3312" s="4" t="s">
        <v>44</v>
      </c>
      <c r="D3312" s="6" t="str">
        <f>HYPERLINK("javascript:void(0)","magnetoacél cséplő")</f>
        <v>magnetoacél cséplő</v>
      </c>
    </row>
    <row r="3313" spans="1:4" ht="12.75" customHeight="1" x14ac:dyDescent="0.2">
      <c r="A3313" s="21"/>
      <c r="B3313" s="21"/>
      <c r="C3313" s="4" t="s">
        <v>44</v>
      </c>
      <c r="D3313" s="6" t="str">
        <f>HYPERLINK("javascript:void(0)","magnetoacél foglalat")</f>
        <v>magnetoacél foglalat</v>
      </c>
    </row>
    <row r="3314" spans="1:4" ht="12.75" customHeight="1" x14ac:dyDescent="0.2">
      <c r="A3314" s="5"/>
      <c r="B3314" s="2"/>
      <c r="C3314" s="2"/>
      <c r="D3314" s="2"/>
    </row>
    <row r="3315" spans="1:4" ht="12.75" customHeight="1" x14ac:dyDescent="0.2">
      <c r="A3315" s="22" t="str">
        <f>HYPERLINK("javascript:void(0)","magnetoacél ballaszt")</f>
        <v>magnetoacél ballaszt</v>
      </c>
      <c r="B3315" s="21"/>
      <c r="C3315" s="21"/>
      <c r="D3315" s="21"/>
    </row>
    <row r="3316" spans="1:4" ht="12.75" customHeight="1" x14ac:dyDescent="0.2">
      <c r="A3316" s="20"/>
      <c r="B3316" s="2"/>
      <c r="C3316" s="2"/>
      <c r="D3316" s="2"/>
    </row>
    <row r="3317" spans="1:4" ht="12.75" customHeight="1" x14ac:dyDescent="0.2">
      <c r="A3317" s="21"/>
      <c r="B3317" s="3" t="s">
        <v>0</v>
      </c>
      <c r="C3317" s="20" t="s">
        <v>248</v>
      </c>
      <c r="D3317" s="21"/>
    </row>
    <row r="3318" spans="1:4" ht="12.75" customHeight="1" x14ac:dyDescent="0.2">
      <c r="A3318" s="21"/>
      <c r="B3318" s="3" t="s">
        <v>2</v>
      </c>
      <c r="C3318" s="20" t="s">
        <v>122</v>
      </c>
      <c r="D3318" s="21"/>
    </row>
    <row r="3319" spans="1:4" ht="12.75" customHeight="1" x14ac:dyDescent="0.2">
      <c r="A3319" s="21"/>
      <c r="B3319" s="3" t="s">
        <v>4</v>
      </c>
      <c r="C3319" s="20" t="s">
        <v>629</v>
      </c>
      <c r="D3319" s="21"/>
    </row>
    <row r="3320" spans="1:4" ht="12.75" customHeight="1" x14ac:dyDescent="0.2">
      <c r="A3320" s="21"/>
      <c r="B3320" s="3" t="s">
        <v>6</v>
      </c>
      <c r="C3320" s="20" t="s">
        <v>52</v>
      </c>
      <c r="D3320" s="21"/>
    </row>
    <row r="3321" spans="1:4" ht="12.75" customHeight="1" x14ac:dyDescent="0.2">
      <c r="A3321" s="21"/>
      <c r="B3321" s="3" t="s">
        <v>8</v>
      </c>
      <c r="C3321" s="20" t="s">
        <v>629</v>
      </c>
      <c r="D3321" s="21"/>
    </row>
    <row r="3322" spans="1:4" ht="12.75" customHeight="1" x14ac:dyDescent="0.2">
      <c r="A3322" s="21"/>
      <c r="B3322" s="3" t="s">
        <v>9</v>
      </c>
      <c r="C3322" s="20" t="s">
        <v>1082</v>
      </c>
      <c r="D3322" s="21"/>
    </row>
    <row r="3323" spans="1:4" ht="12.75" customHeight="1" x14ac:dyDescent="0.2">
      <c r="A3323" s="21"/>
      <c r="B3323" s="3" t="s">
        <v>11</v>
      </c>
      <c r="C3323" s="20" t="s">
        <v>779</v>
      </c>
      <c r="D3323" s="21"/>
    </row>
    <row r="3324" spans="1:4" ht="12.75" customHeight="1" x14ac:dyDescent="0.2">
      <c r="A3324" s="21"/>
      <c r="B3324" s="3" t="s">
        <v>13</v>
      </c>
      <c r="C3324" s="20" t="s">
        <v>24</v>
      </c>
      <c r="D3324" s="21"/>
    </row>
    <row r="3325" spans="1:4" ht="12.75" customHeight="1" x14ac:dyDescent="0.2">
      <c r="A3325" s="21"/>
      <c r="B3325" s="3" t="s">
        <v>15</v>
      </c>
      <c r="C3325" s="20" t="s">
        <v>24</v>
      </c>
      <c r="D3325" s="21"/>
    </row>
    <row r="3326" spans="1:4" ht="12.75" customHeight="1" x14ac:dyDescent="0.2">
      <c r="A3326" s="21"/>
      <c r="B3326" s="3" t="s">
        <v>16</v>
      </c>
      <c r="C3326" s="20"/>
      <c r="D3326" s="21"/>
    </row>
    <row r="3327" spans="1:4" ht="12.75" customHeight="1" x14ac:dyDescent="0.2">
      <c r="A3327" s="21"/>
      <c r="B3327" s="3" t="s">
        <v>17</v>
      </c>
      <c r="C3327" s="20"/>
      <c r="D3327" s="21"/>
    </row>
    <row r="3328" spans="1:4" ht="12.75" customHeight="1" x14ac:dyDescent="0.2">
      <c r="A3328" s="21"/>
      <c r="B3328" s="20" t="s">
        <v>18</v>
      </c>
      <c r="C3328" s="4" t="s">
        <v>68</v>
      </c>
      <c r="D3328" s="6" t="str">
        <f>HYPERLINK("javascript:void(0)","tudásmorzsa")</f>
        <v>tudásmorzsa</v>
      </c>
    </row>
    <row r="3329" spans="1:4" ht="12.75" customHeight="1" x14ac:dyDescent="0.2">
      <c r="A3329" s="21"/>
      <c r="B3329" s="21"/>
      <c r="C3329" s="4" t="s">
        <v>1085</v>
      </c>
      <c r="D3329" s="6" t="str">
        <f>HYPERLINK("javascript:void(0)","ámbra")</f>
        <v>ámbra</v>
      </c>
    </row>
    <row r="3330" spans="1:4" ht="12.75" customHeight="1" x14ac:dyDescent="0.2">
      <c r="A3330" s="21"/>
      <c r="B3330" s="21"/>
      <c r="C3330" s="4" t="s">
        <v>163</v>
      </c>
      <c r="D3330" s="6" t="str">
        <f>HYPERLINK("javascript:void(0)","mágnes")</f>
        <v>mágnes</v>
      </c>
    </row>
    <row r="3331" spans="1:4" ht="12.75" customHeight="1" x14ac:dyDescent="0.2">
      <c r="A3331" s="5"/>
      <c r="B3331" s="2"/>
      <c r="C3331" s="2"/>
      <c r="D3331" s="2"/>
    </row>
    <row r="3332" spans="1:4" ht="12.75" customHeight="1" x14ac:dyDescent="0.2">
      <c r="A3332" s="22" t="str">
        <f>HYPERLINK("javascript:void(0)","gyíkacél vasaló")</f>
        <v>gyíkacél vasaló</v>
      </c>
      <c r="B3332" s="21"/>
      <c r="C3332" s="21"/>
      <c r="D3332" s="21"/>
    </row>
    <row r="3333" spans="1:4" ht="12.75" customHeight="1" x14ac:dyDescent="0.2">
      <c r="A3333" s="20"/>
      <c r="B3333" s="2"/>
      <c r="C3333" s="2"/>
      <c r="D3333" s="2"/>
    </row>
    <row r="3334" spans="1:4" ht="12.75" customHeight="1" x14ac:dyDescent="0.2">
      <c r="A3334" s="21"/>
      <c r="B3334" s="3" t="s">
        <v>0</v>
      </c>
      <c r="C3334" s="20" t="s">
        <v>248</v>
      </c>
      <c r="D3334" s="21"/>
    </row>
    <row r="3335" spans="1:4" ht="12.75" customHeight="1" x14ac:dyDescent="0.2">
      <c r="A3335" s="21"/>
      <c r="B3335" s="3" t="s">
        <v>2</v>
      </c>
      <c r="C3335" s="20" t="s">
        <v>122</v>
      </c>
      <c r="D3335" s="21"/>
    </row>
    <row r="3336" spans="1:4" ht="12.75" customHeight="1" x14ac:dyDescent="0.2">
      <c r="A3336" s="21"/>
      <c r="B3336" s="3" t="s">
        <v>4</v>
      </c>
      <c r="C3336" s="20" t="s">
        <v>1086</v>
      </c>
      <c r="D3336" s="21"/>
    </row>
    <row r="3337" spans="1:4" ht="12.75" customHeight="1" x14ac:dyDescent="0.2">
      <c r="A3337" s="21"/>
      <c r="B3337" s="3" t="s">
        <v>6</v>
      </c>
      <c r="C3337" s="20" t="s">
        <v>107</v>
      </c>
      <c r="D3337" s="21"/>
    </row>
    <row r="3338" spans="1:4" ht="12.75" customHeight="1" x14ac:dyDescent="0.2">
      <c r="A3338" s="21"/>
      <c r="B3338" s="3" t="s">
        <v>8</v>
      </c>
      <c r="C3338" s="20" t="s">
        <v>1086</v>
      </c>
      <c r="D3338" s="21"/>
    </row>
    <row r="3339" spans="1:4" ht="12.75" customHeight="1" x14ac:dyDescent="0.2">
      <c r="A3339" s="21"/>
      <c r="B3339" s="3" t="s">
        <v>9</v>
      </c>
      <c r="C3339" s="20" t="s">
        <v>1088</v>
      </c>
      <c r="D3339" s="21"/>
    </row>
    <row r="3340" spans="1:4" ht="12.75" customHeight="1" x14ac:dyDescent="0.2">
      <c r="A3340" s="21"/>
      <c r="B3340" s="3" t="s">
        <v>11</v>
      </c>
      <c r="C3340" s="20" t="s">
        <v>470</v>
      </c>
      <c r="D3340" s="21"/>
    </row>
    <row r="3341" spans="1:4" ht="12.75" customHeight="1" x14ac:dyDescent="0.2">
      <c r="A3341" s="21"/>
      <c r="B3341" s="3" t="s">
        <v>13</v>
      </c>
      <c r="C3341" s="20" t="s">
        <v>24</v>
      </c>
      <c r="D3341" s="21"/>
    </row>
    <row r="3342" spans="1:4" ht="12.75" customHeight="1" x14ac:dyDescent="0.2">
      <c r="A3342" s="21"/>
      <c r="B3342" s="3" t="s">
        <v>15</v>
      </c>
      <c r="C3342" s="20" t="s">
        <v>24</v>
      </c>
      <c r="D3342" s="21"/>
    </row>
    <row r="3343" spans="1:4" ht="12.75" customHeight="1" x14ac:dyDescent="0.2">
      <c r="A3343" s="21"/>
      <c r="B3343" s="3" t="s">
        <v>16</v>
      </c>
      <c r="C3343" s="20"/>
      <c r="D3343" s="21"/>
    </row>
    <row r="3344" spans="1:4" ht="12.75" customHeight="1" x14ac:dyDescent="0.2">
      <c r="A3344" s="21"/>
      <c r="B3344" s="3" t="s">
        <v>17</v>
      </c>
      <c r="C3344" s="20"/>
      <c r="D3344" s="21"/>
    </row>
    <row r="3345" spans="1:4" ht="12.75" customHeight="1" x14ac:dyDescent="0.2">
      <c r="A3345" s="21"/>
      <c r="B3345" s="20" t="s">
        <v>18</v>
      </c>
      <c r="C3345" s="4" t="s">
        <v>142</v>
      </c>
      <c r="D3345" s="6" t="str">
        <f>HYPERLINK("javascript:void(0)","ezüströg")</f>
        <v>ezüströg</v>
      </c>
    </row>
    <row r="3346" spans="1:4" ht="12.75" customHeight="1" x14ac:dyDescent="0.2">
      <c r="A3346" s="21"/>
      <c r="B3346" s="21"/>
      <c r="C3346" s="4" t="s">
        <v>309</v>
      </c>
      <c r="D3346" s="6" t="str">
        <f>HYPERLINK("javascript:void(0)","yetiláb")</f>
        <v>yetiláb</v>
      </c>
    </row>
    <row r="3347" spans="1:4" ht="12.75" customHeight="1" x14ac:dyDescent="0.2">
      <c r="A3347" s="21"/>
      <c r="B3347" s="21"/>
      <c r="C3347" s="4" t="s">
        <v>67</v>
      </c>
      <c r="D3347" s="6" t="str">
        <f>HYPERLINK("javascript:void(0)","párducbőr")</f>
        <v>párducbőr</v>
      </c>
    </row>
    <row r="3348" spans="1:4" ht="12.75" customHeight="1" x14ac:dyDescent="0.2">
      <c r="A3348" s="5"/>
      <c r="B3348" s="2"/>
      <c r="C3348" s="2"/>
      <c r="D3348" s="2"/>
    </row>
    <row r="3349" spans="1:4" ht="12.75" customHeight="1" x14ac:dyDescent="0.2">
      <c r="A3349" s="22" t="str">
        <f>HYPERLINK("javascript:void(0)","magnetoacél foglalat")</f>
        <v>magnetoacél foglalat</v>
      </c>
      <c r="B3349" s="21"/>
      <c r="C3349" s="21"/>
      <c r="D3349" s="21"/>
    </row>
    <row r="3350" spans="1:4" ht="12.75" customHeight="1" x14ac:dyDescent="0.2">
      <c r="A3350" s="20"/>
      <c r="B3350" s="2"/>
      <c r="C3350" s="2"/>
      <c r="D3350" s="2"/>
    </row>
    <row r="3351" spans="1:4" ht="12.75" customHeight="1" x14ac:dyDescent="0.2">
      <c r="A3351" s="21"/>
      <c r="B3351" s="3" t="s">
        <v>0</v>
      </c>
      <c r="C3351" s="20" t="s">
        <v>248</v>
      </c>
      <c r="D3351" s="21"/>
    </row>
    <row r="3352" spans="1:4" ht="12.75" customHeight="1" x14ac:dyDescent="0.2">
      <c r="A3352" s="21"/>
      <c r="B3352" s="3" t="s">
        <v>2</v>
      </c>
      <c r="C3352" s="20" t="s">
        <v>122</v>
      </c>
      <c r="D3352" s="21"/>
    </row>
    <row r="3353" spans="1:4" ht="12.75" customHeight="1" x14ac:dyDescent="0.2">
      <c r="A3353" s="21"/>
      <c r="B3353" s="3" t="s">
        <v>4</v>
      </c>
      <c r="C3353" s="20" t="s">
        <v>533</v>
      </c>
      <c r="D3353" s="21"/>
    </row>
    <row r="3354" spans="1:4" ht="12.75" customHeight="1" x14ac:dyDescent="0.2">
      <c r="A3354" s="21"/>
      <c r="B3354" s="3" t="s">
        <v>6</v>
      </c>
      <c r="C3354" s="20" t="s">
        <v>21</v>
      </c>
      <c r="D3354" s="21"/>
    </row>
    <row r="3355" spans="1:4" ht="12.75" customHeight="1" x14ac:dyDescent="0.2">
      <c r="A3355" s="21"/>
      <c r="B3355" s="3" t="s">
        <v>8</v>
      </c>
      <c r="C3355" s="20" t="s">
        <v>533</v>
      </c>
      <c r="D3355" s="21"/>
    </row>
    <row r="3356" spans="1:4" ht="12.75" customHeight="1" x14ac:dyDescent="0.2">
      <c r="A3356" s="21"/>
      <c r="B3356" s="3" t="s">
        <v>9</v>
      </c>
      <c r="C3356" s="20" t="s">
        <v>42</v>
      </c>
      <c r="D3356" s="21"/>
    </row>
    <row r="3357" spans="1:4" ht="12.75" customHeight="1" x14ac:dyDescent="0.2">
      <c r="A3357" s="21"/>
      <c r="B3357" s="3" t="s">
        <v>11</v>
      </c>
      <c r="C3357" s="20" t="s">
        <v>497</v>
      </c>
      <c r="D3357" s="21"/>
    </row>
    <row r="3358" spans="1:4" ht="12.75" customHeight="1" x14ac:dyDescent="0.2">
      <c r="A3358" s="21"/>
      <c r="B3358" s="3" t="s">
        <v>13</v>
      </c>
      <c r="C3358" s="20" t="s">
        <v>24</v>
      </c>
      <c r="D3358" s="21"/>
    </row>
    <row r="3359" spans="1:4" ht="12.75" customHeight="1" x14ac:dyDescent="0.2">
      <c r="A3359" s="21"/>
      <c r="B3359" s="3" t="s">
        <v>15</v>
      </c>
      <c r="C3359" s="20" t="s">
        <v>24</v>
      </c>
      <c r="D3359" s="21"/>
    </row>
    <row r="3360" spans="1:4" ht="12.75" customHeight="1" x14ac:dyDescent="0.2">
      <c r="A3360" s="21"/>
      <c r="B3360" s="3" t="s">
        <v>16</v>
      </c>
      <c r="C3360" s="20"/>
      <c r="D3360" s="21"/>
    </row>
    <row r="3361" spans="1:4" ht="12.75" customHeight="1" x14ac:dyDescent="0.2">
      <c r="A3361" s="21"/>
      <c r="B3361" s="3" t="s">
        <v>17</v>
      </c>
      <c r="C3361" s="20"/>
      <c r="D3361" s="21"/>
    </row>
    <row r="3362" spans="1:4" ht="12.75" customHeight="1" x14ac:dyDescent="0.2">
      <c r="A3362" s="21"/>
      <c r="B3362" s="20" t="s">
        <v>18</v>
      </c>
      <c r="C3362" s="4" t="s">
        <v>184</v>
      </c>
      <c r="D3362" s="6" t="str">
        <f>HYPERLINK("javascript:void(0)","istenköröm")</f>
        <v>istenköröm</v>
      </c>
    </row>
    <row r="3363" spans="1:4" ht="12.75" customHeight="1" x14ac:dyDescent="0.2">
      <c r="A3363" s="21"/>
      <c r="B3363" s="21"/>
      <c r="C3363" s="4" t="s">
        <v>309</v>
      </c>
      <c r="D3363" s="6" t="str">
        <f>HYPERLINK("javascript:void(0)","mágnes")</f>
        <v>mágnes</v>
      </c>
    </row>
    <row r="3364" spans="1:4" ht="12.75" customHeight="1" x14ac:dyDescent="0.2">
      <c r="A3364" s="21"/>
      <c r="B3364" s="21"/>
      <c r="C3364" s="4" t="s">
        <v>56</v>
      </c>
      <c r="D3364" s="6" t="str">
        <f>HYPERLINK("javascript:void(0)","gigacsáp")</f>
        <v>gigacsáp</v>
      </c>
    </row>
    <row r="3365" spans="1:4" ht="12.75" customHeight="1" x14ac:dyDescent="0.2">
      <c r="A3365" s="5"/>
      <c r="B3365" s="2"/>
      <c r="C3365" s="2"/>
      <c r="D3365" s="2"/>
    </row>
    <row r="3366" spans="1:4" ht="12.75" customHeight="1" x14ac:dyDescent="0.2">
      <c r="A3366" s="22" t="str">
        <f>HYPERLINK("javascript:void(0)","helioacél lánc")</f>
        <v>helioacél lánc</v>
      </c>
      <c r="B3366" s="21"/>
      <c r="C3366" s="21"/>
      <c r="D3366" s="21"/>
    </row>
    <row r="3367" spans="1:4" ht="12.75" customHeight="1" x14ac:dyDescent="0.2">
      <c r="A3367" s="20"/>
      <c r="B3367" s="2"/>
      <c r="C3367" s="2"/>
      <c r="D3367" s="2"/>
    </row>
    <row r="3368" spans="1:4" ht="12.75" customHeight="1" x14ac:dyDescent="0.2">
      <c r="A3368" s="21"/>
      <c r="B3368" s="3" t="s">
        <v>0</v>
      </c>
      <c r="C3368" s="20" t="s">
        <v>635</v>
      </c>
      <c r="D3368" s="21"/>
    </row>
    <row r="3369" spans="1:4" ht="12.75" customHeight="1" x14ac:dyDescent="0.2">
      <c r="A3369" s="21"/>
      <c r="B3369" s="3" t="s">
        <v>2</v>
      </c>
      <c r="C3369" s="20" t="s">
        <v>122</v>
      </c>
      <c r="D3369" s="21"/>
    </row>
    <row r="3370" spans="1:4" ht="12.75" customHeight="1" x14ac:dyDescent="0.2">
      <c r="A3370" s="21"/>
      <c r="B3370" s="3" t="s">
        <v>4</v>
      </c>
      <c r="C3370" s="20" t="s">
        <v>1094</v>
      </c>
      <c r="D3370" s="21"/>
    </row>
    <row r="3371" spans="1:4" ht="12.75" customHeight="1" x14ac:dyDescent="0.2">
      <c r="A3371" s="21"/>
      <c r="B3371" s="3" t="s">
        <v>6</v>
      </c>
      <c r="C3371" s="20" t="s">
        <v>284</v>
      </c>
      <c r="D3371" s="21"/>
    </row>
    <row r="3372" spans="1:4" ht="12.75" customHeight="1" x14ac:dyDescent="0.2">
      <c r="A3372" s="21"/>
      <c r="B3372" s="3" t="s">
        <v>8</v>
      </c>
      <c r="C3372" s="20" t="s">
        <v>1094</v>
      </c>
      <c r="D3372" s="21"/>
    </row>
    <row r="3373" spans="1:4" ht="12.75" customHeight="1" x14ac:dyDescent="0.2">
      <c r="A3373" s="21"/>
      <c r="B3373" s="3" t="s">
        <v>9</v>
      </c>
      <c r="C3373" s="20" t="s">
        <v>172</v>
      </c>
      <c r="D3373" s="21"/>
    </row>
    <row r="3374" spans="1:4" ht="12.75" customHeight="1" x14ac:dyDescent="0.2">
      <c r="A3374" s="21"/>
      <c r="B3374" s="3" t="s">
        <v>11</v>
      </c>
      <c r="C3374" s="20" t="s">
        <v>653</v>
      </c>
      <c r="D3374" s="21"/>
    </row>
    <row r="3375" spans="1:4" ht="12.75" customHeight="1" x14ac:dyDescent="0.2">
      <c r="A3375" s="21"/>
      <c r="B3375" s="3" t="s">
        <v>13</v>
      </c>
      <c r="C3375" s="20" t="s">
        <v>24</v>
      </c>
      <c r="D3375" s="21"/>
    </row>
    <row r="3376" spans="1:4" ht="12.75" customHeight="1" x14ac:dyDescent="0.2">
      <c r="A3376" s="21"/>
      <c r="B3376" s="3" t="s">
        <v>15</v>
      </c>
      <c r="C3376" s="20" t="s">
        <v>24</v>
      </c>
      <c r="D3376" s="21"/>
    </row>
    <row r="3377" spans="1:4" ht="12.75" customHeight="1" x14ac:dyDescent="0.2">
      <c r="A3377" s="21"/>
      <c r="B3377" s="3" t="s">
        <v>16</v>
      </c>
      <c r="C3377" s="20"/>
      <c r="D3377" s="21"/>
    </row>
    <row r="3378" spans="1:4" ht="12.75" customHeight="1" x14ac:dyDescent="0.2">
      <c r="A3378" s="21"/>
      <c r="B3378" s="3" t="s">
        <v>17</v>
      </c>
      <c r="C3378" s="20"/>
      <c r="D3378" s="21"/>
    </row>
    <row r="3379" spans="1:4" ht="12.75" customHeight="1" x14ac:dyDescent="0.2">
      <c r="A3379" s="21"/>
      <c r="B3379" s="20" t="s">
        <v>18</v>
      </c>
      <c r="C3379" s="4" t="s">
        <v>44</v>
      </c>
      <c r="D3379" s="6" t="str">
        <f>HYPERLINK("javascript:void(0)","magnetoacél buzogány")</f>
        <v>magnetoacél buzogány</v>
      </c>
    </row>
    <row r="3380" spans="1:4" ht="12.75" customHeight="1" x14ac:dyDescent="0.2">
      <c r="A3380" s="21"/>
      <c r="B3380" s="21"/>
      <c r="C3380" s="4" t="s">
        <v>56</v>
      </c>
      <c r="D3380" s="6" t="str">
        <f>HYPERLINK("javascript:void(0)","vasorr")</f>
        <v>vasorr</v>
      </c>
    </row>
    <row r="3381" spans="1:4" ht="12.75" customHeight="1" x14ac:dyDescent="0.2">
      <c r="A3381" s="21"/>
      <c r="B3381" s="21"/>
      <c r="C3381" s="4" t="s">
        <v>382</v>
      </c>
      <c r="D3381" s="6" t="str">
        <f>HYPERLINK("javascript:void(0)","ámbra")</f>
        <v>ámbra</v>
      </c>
    </row>
    <row r="3382" spans="1:4" ht="12.75" customHeight="1" x14ac:dyDescent="0.2">
      <c r="A3382" s="5"/>
      <c r="B3382" s="2"/>
      <c r="C3382" s="2"/>
      <c r="D3382" s="2"/>
    </row>
    <row r="3383" spans="1:4" ht="12.75" customHeight="1" x14ac:dyDescent="0.2">
      <c r="A3383" s="22" t="str">
        <f>HYPERLINK("javascript:void(0)","helioacél mágusölő")</f>
        <v>helioacél mágusölő</v>
      </c>
      <c r="B3383" s="21"/>
      <c r="C3383" s="21"/>
      <c r="D3383" s="21"/>
    </row>
    <row r="3384" spans="1:4" ht="12.75" customHeight="1" x14ac:dyDescent="0.2">
      <c r="A3384" s="20"/>
      <c r="B3384" s="2"/>
      <c r="C3384" s="2"/>
      <c r="D3384" s="2"/>
    </row>
    <row r="3385" spans="1:4" ht="12.75" customHeight="1" x14ac:dyDescent="0.2">
      <c r="A3385" s="21"/>
      <c r="B3385" s="3" t="s">
        <v>0</v>
      </c>
      <c r="C3385" s="20" t="s">
        <v>635</v>
      </c>
      <c r="D3385" s="21"/>
    </row>
    <row r="3386" spans="1:4" ht="12.75" customHeight="1" x14ac:dyDescent="0.2">
      <c r="A3386" s="21"/>
      <c r="B3386" s="3" t="s">
        <v>2</v>
      </c>
      <c r="C3386" s="20" t="s">
        <v>122</v>
      </c>
      <c r="D3386" s="21"/>
    </row>
    <row r="3387" spans="1:4" ht="12.75" customHeight="1" x14ac:dyDescent="0.2">
      <c r="A3387" s="21"/>
      <c r="B3387" s="3" t="s">
        <v>4</v>
      </c>
      <c r="C3387" s="20" t="s">
        <v>1098</v>
      </c>
      <c r="D3387" s="21"/>
    </row>
    <row r="3388" spans="1:4" ht="12.75" customHeight="1" x14ac:dyDescent="0.2">
      <c r="A3388" s="21"/>
      <c r="B3388" s="3" t="s">
        <v>6</v>
      </c>
      <c r="C3388" s="20" t="s">
        <v>48</v>
      </c>
      <c r="D3388" s="21"/>
    </row>
    <row r="3389" spans="1:4" ht="12.75" customHeight="1" x14ac:dyDescent="0.2">
      <c r="A3389" s="21"/>
      <c r="B3389" s="3" t="s">
        <v>8</v>
      </c>
      <c r="C3389" s="20" t="s">
        <v>1098</v>
      </c>
      <c r="D3389" s="21"/>
    </row>
    <row r="3390" spans="1:4" ht="12.75" customHeight="1" x14ac:dyDescent="0.2">
      <c r="A3390" s="21"/>
      <c r="B3390" s="3" t="s">
        <v>9</v>
      </c>
      <c r="C3390" s="20" t="s">
        <v>1099</v>
      </c>
      <c r="D3390" s="21"/>
    </row>
    <row r="3391" spans="1:4" ht="12.75" customHeight="1" x14ac:dyDescent="0.2">
      <c r="A3391" s="21"/>
      <c r="B3391" s="3" t="s">
        <v>11</v>
      </c>
      <c r="C3391" s="20" t="s">
        <v>702</v>
      </c>
      <c r="D3391" s="21"/>
    </row>
    <row r="3392" spans="1:4" ht="12.75" customHeight="1" x14ac:dyDescent="0.2">
      <c r="A3392" s="21"/>
      <c r="B3392" s="3" t="s">
        <v>13</v>
      </c>
      <c r="C3392" s="20" t="s">
        <v>14</v>
      </c>
      <c r="D3392" s="21"/>
    </row>
    <row r="3393" spans="1:4" ht="12.75" customHeight="1" x14ac:dyDescent="0.2">
      <c r="A3393" s="21"/>
      <c r="B3393" s="3" t="s">
        <v>15</v>
      </c>
      <c r="C3393" s="20" t="s">
        <v>24</v>
      </c>
      <c r="D3393" s="21"/>
    </row>
    <row r="3394" spans="1:4" ht="12.75" customHeight="1" x14ac:dyDescent="0.2">
      <c r="A3394" s="21"/>
      <c r="B3394" s="3" t="s">
        <v>16</v>
      </c>
      <c r="C3394" s="20"/>
      <c r="D3394" s="21"/>
    </row>
    <row r="3395" spans="1:4" ht="12.75" customHeight="1" x14ac:dyDescent="0.2">
      <c r="A3395" s="21"/>
      <c r="B3395" s="3" t="s">
        <v>17</v>
      </c>
      <c r="C3395" s="20"/>
      <c r="D3395" s="21"/>
    </row>
    <row r="3396" spans="1:4" ht="12.75" customHeight="1" x14ac:dyDescent="0.2">
      <c r="A3396" s="21"/>
      <c r="B3396" s="20" t="s">
        <v>18</v>
      </c>
      <c r="C3396" s="4" t="s">
        <v>68</v>
      </c>
      <c r="D3396" s="6" t="str">
        <f>HYPERLINK("javascript:void(0)","vasorr")</f>
        <v>vasorr</v>
      </c>
    </row>
    <row r="3397" spans="1:4" ht="12.75" customHeight="1" x14ac:dyDescent="0.2">
      <c r="A3397" s="21"/>
      <c r="B3397" s="21"/>
      <c r="C3397" s="4" t="s">
        <v>117</v>
      </c>
      <c r="D3397" s="6" t="str">
        <f>HYPERLINK("javascript:void(0)","napfolt")</f>
        <v>napfolt</v>
      </c>
    </row>
    <row r="3398" spans="1:4" ht="12.75" customHeight="1" x14ac:dyDescent="0.2">
      <c r="A3398" s="21"/>
      <c r="B3398" s="21"/>
      <c r="C3398" s="4" t="s">
        <v>139</v>
      </c>
      <c r="D3398" s="6" t="str">
        <f>HYPERLINK("javascript:void(0)","uszony")</f>
        <v>uszony</v>
      </c>
    </row>
    <row r="3399" spans="1:4" ht="12.75" customHeight="1" x14ac:dyDescent="0.2">
      <c r="A3399" s="5"/>
      <c r="B3399" s="2"/>
      <c r="C3399" s="2"/>
      <c r="D3399" s="2"/>
    </row>
    <row r="3400" spans="1:4" ht="12.75" customHeight="1" x14ac:dyDescent="0.2">
      <c r="A3400" s="22" t="str">
        <f>HYPERLINK("javascript:void(0)","helioacél nuncsaku")</f>
        <v>helioacél nuncsaku</v>
      </c>
      <c r="B3400" s="21"/>
      <c r="C3400" s="21"/>
      <c r="D3400" s="21"/>
    </row>
    <row r="3401" spans="1:4" ht="12.75" customHeight="1" x14ac:dyDescent="0.2">
      <c r="A3401" s="20"/>
      <c r="B3401" s="2"/>
      <c r="C3401" s="2"/>
      <c r="D3401" s="2"/>
    </row>
    <row r="3402" spans="1:4" ht="12.75" customHeight="1" x14ac:dyDescent="0.2">
      <c r="A3402" s="21"/>
      <c r="B3402" s="3" t="s">
        <v>0</v>
      </c>
      <c r="C3402" s="20" t="s">
        <v>239</v>
      </c>
      <c r="D3402" s="21"/>
    </row>
    <row r="3403" spans="1:4" ht="12.75" customHeight="1" x14ac:dyDescent="0.2">
      <c r="A3403" s="21"/>
      <c r="B3403" s="3" t="s">
        <v>2</v>
      </c>
      <c r="C3403" s="20" t="s">
        <v>122</v>
      </c>
      <c r="D3403" s="21"/>
    </row>
    <row r="3404" spans="1:4" ht="12.75" customHeight="1" x14ac:dyDescent="0.2">
      <c r="A3404" s="21"/>
      <c r="B3404" s="3" t="s">
        <v>4</v>
      </c>
      <c r="C3404" s="20" t="s">
        <v>1102</v>
      </c>
      <c r="D3404" s="21"/>
    </row>
    <row r="3405" spans="1:4" ht="12.75" customHeight="1" x14ac:dyDescent="0.2">
      <c r="A3405" s="21"/>
      <c r="B3405" s="3" t="s">
        <v>6</v>
      </c>
      <c r="C3405" s="20" t="s">
        <v>298</v>
      </c>
      <c r="D3405" s="21"/>
    </row>
    <row r="3406" spans="1:4" ht="12.75" customHeight="1" x14ac:dyDescent="0.2">
      <c r="A3406" s="21"/>
      <c r="B3406" s="3" t="s">
        <v>8</v>
      </c>
      <c r="C3406" s="20" t="s">
        <v>1102</v>
      </c>
      <c r="D3406" s="21"/>
    </row>
    <row r="3407" spans="1:4" ht="12.75" customHeight="1" x14ac:dyDescent="0.2">
      <c r="A3407" s="21"/>
      <c r="B3407" s="3" t="s">
        <v>9</v>
      </c>
      <c r="C3407" s="20" t="s">
        <v>210</v>
      </c>
      <c r="D3407" s="21"/>
    </row>
    <row r="3408" spans="1:4" ht="12.75" customHeight="1" x14ac:dyDescent="0.2">
      <c r="A3408" s="21"/>
      <c r="B3408" s="3" t="s">
        <v>11</v>
      </c>
      <c r="C3408" s="20" t="s">
        <v>660</v>
      </c>
      <c r="D3408" s="21"/>
    </row>
    <row r="3409" spans="1:4" ht="12.75" customHeight="1" x14ac:dyDescent="0.2">
      <c r="A3409" s="21"/>
      <c r="B3409" s="3" t="s">
        <v>13</v>
      </c>
      <c r="C3409" s="20" t="s">
        <v>24</v>
      </c>
      <c r="D3409" s="21"/>
    </row>
    <row r="3410" spans="1:4" ht="12.75" customHeight="1" x14ac:dyDescent="0.2">
      <c r="A3410" s="21"/>
      <c r="B3410" s="3" t="s">
        <v>15</v>
      </c>
      <c r="C3410" s="20" t="s">
        <v>24</v>
      </c>
      <c r="D3410" s="21"/>
    </row>
    <row r="3411" spans="1:4" ht="12.75" customHeight="1" x14ac:dyDescent="0.2">
      <c r="A3411" s="21"/>
      <c r="B3411" s="3" t="s">
        <v>16</v>
      </c>
      <c r="C3411" s="20"/>
      <c r="D3411" s="21"/>
    </row>
    <row r="3412" spans="1:4" ht="12.75" customHeight="1" x14ac:dyDescent="0.2">
      <c r="A3412" s="21"/>
      <c r="B3412" s="3" t="s">
        <v>17</v>
      </c>
      <c r="C3412" s="20"/>
      <c r="D3412" s="21"/>
    </row>
    <row r="3413" spans="1:4" ht="12.75" customHeight="1" x14ac:dyDescent="0.2">
      <c r="A3413" s="21"/>
      <c r="B3413" s="20" t="s">
        <v>18</v>
      </c>
      <c r="C3413" s="4" t="s">
        <v>196</v>
      </c>
      <c r="D3413" s="6" t="str">
        <f>HYPERLINK("javascript:void(0)","ragya")</f>
        <v>ragya</v>
      </c>
    </row>
    <row r="3414" spans="1:4" ht="12.75" customHeight="1" x14ac:dyDescent="0.2">
      <c r="A3414" s="21"/>
      <c r="B3414" s="21"/>
      <c r="C3414" s="4" t="s">
        <v>117</v>
      </c>
      <c r="D3414" s="6" t="str">
        <f>HYPERLINK("javascript:void(0)","vákuum")</f>
        <v>vákuum</v>
      </c>
    </row>
    <row r="3415" spans="1:4" ht="12.75" customHeight="1" x14ac:dyDescent="0.2">
      <c r="A3415" s="21"/>
      <c r="B3415" s="21"/>
      <c r="C3415" s="4" t="s">
        <v>290</v>
      </c>
      <c r="D3415" s="6" t="str">
        <f>HYPERLINK("javascript:void(0)","kispárna")</f>
        <v>kispárna</v>
      </c>
    </row>
    <row r="3416" spans="1:4" ht="12.75" customHeight="1" x14ac:dyDescent="0.2">
      <c r="A3416" s="5"/>
      <c r="B3416" s="2"/>
      <c r="C3416" s="2"/>
      <c r="D3416" s="2"/>
    </row>
    <row r="3417" spans="1:4" ht="12.75" customHeight="1" x14ac:dyDescent="0.2">
      <c r="A3417" s="22" t="str">
        <f>HYPERLINK("javascript:void(0)","helioacél ballaszt")</f>
        <v>helioacél ballaszt</v>
      </c>
      <c r="B3417" s="21"/>
      <c r="C3417" s="21"/>
      <c r="D3417" s="21"/>
    </row>
    <row r="3418" spans="1:4" ht="12.75" customHeight="1" x14ac:dyDescent="0.2">
      <c r="A3418" s="20"/>
      <c r="B3418" s="2"/>
      <c r="C3418" s="2"/>
      <c r="D3418" s="2"/>
    </row>
    <row r="3419" spans="1:4" ht="12.75" customHeight="1" x14ac:dyDescent="0.2">
      <c r="A3419" s="21"/>
      <c r="B3419" s="3" t="s">
        <v>0</v>
      </c>
      <c r="C3419" s="20" t="s">
        <v>239</v>
      </c>
      <c r="D3419" s="21"/>
    </row>
    <row r="3420" spans="1:4" ht="12.75" customHeight="1" x14ac:dyDescent="0.2">
      <c r="A3420" s="21"/>
      <c r="B3420" s="3" t="s">
        <v>2</v>
      </c>
      <c r="C3420" s="20" t="s">
        <v>122</v>
      </c>
      <c r="D3420" s="21"/>
    </row>
    <row r="3421" spans="1:4" ht="12.75" customHeight="1" x14ac:dyDescent="0.2">
      <c r="A3421" s="21"/>
      <c r="B3421" s="3" t="s">
        <v>4</v>
      </c>
      <c r="C3421" s="20" t="s">
        <v>648</v>
      </c>
      <c r="D3421" s="21"/>
    </row>
    <row r="3422" spans="1:4" ht="12.75" customHeight="1" x14ac:dyDescent="0.2">
      <c r="A3422" s="21"/>
      <c r="B3422" s="3" t="s">
        <v>6</v>
      </c>
      <c r="C3422" s="20" t="s">
        <v>298</v>
      </c>
      <c r="D3422" s="21"/>
    </row>
    <row r="3423" spans="1:4" ht="12.75" customHeight="1" x14ac:dyDescent="0.2">
      <c r="A3423" s="21"/>
      <c r="B3423" s="3" t="s">
        <v>8</v>
      </c>
      <c r="C3423" s="20" t="s">
        <v>648</v>
      </c>
      <c r="D3423" s="21"/>
    </row>
    <row r="3424" spans="1:4" ht="12.75" customHeight="1" x14ac:dyDescent="0.2">
      <c r="A3424" s="21"/>
      <c r="B3424" s="3" t="s">
        <v>9</v>
      </c>
      <c r="C3424" s="20" t="s">
        <v>1106</v>
      </c>
      <c r="D3424" s="21"/>
    </row>
    <row r="3425" spans="1:4" ht="12.75" customHeight="1" x14ac:dyDescent="0.2">
      <c r="A3425" s="21"/>
      <c r="B3425" s="3" t="s">
        <v>11</v>
      </c>
      <c r="C3425" s="20" t="s">
        <v>817</v>
      </c>
      <c r="D3425" s="21"/>
    </row>
    <row r="3426" spans="1:4" ht="12.75" customHeight="1" x14ac:dyDescent="0.2">
      <c r="A3426" s="21"/>
      <c r="B3426" s="3" t="s">
        <v>13</v>
      </c>
      <c r="C3426" s="20" t="s">
        <v>24</v>
      </c>
      <c r="D3426" s="21"/>
    </row>
    <row r="3427" spans="1:4" ht="12.75" customHeight="1" x14ac:dyDescent="0.2">
      <c r="A3427" s="21"/>
      <c r="B3427" s="3" t="s">
        <v>15</v>
      </c>
      <c r="C3427" s="20" t="s">
        <v>24</v>
      </c>
      <c r="D3427" s="21"/>
    </row>
    <row r="3428" spans="1:4" ht="12.75" customHeight="1" x14ac:dyDescent="0.2">
      <c r="A3428" s="21"/>
      <c r="B3428" s="3" t="s">
        <v>16</v>
      </c>
      <c r="C3428" s="20"/>
      <c r="D3428" s="21"/>
    </row>
    <row r="3429" spans="1:4" ht="12.75" customHeight="1" x14ac:dyDescent="0.2">
      <c r="A3429" s="21"/>
      <c r="B3429" s="3" t="s">
        <v>17</v>
      </c>
      <c r="C3429" s="20"/>
      <c r="D3429" s="21"/>
    </row>
    <row r="3430" spans="1:4" ht="12.75" customHeight="1" x14ac:dyDescent="0.2">
      <c r="A3430" s="21"/>
      <c r="B3430" s="20" t="s">
        <v>18</v>
      </c>
      <c r="C3430" s="4" t="s">
        <v>309</v>
      </c>
      <c r="D3430" s="6" t="str">
        <f>HYPERLINK("javascript:void(0)","ragya")</f>
        <v>ragya</v>
      </c>
    </row>
    <row r="3431" spans="1:4" ht="12.75" customHeight="1" x14ac:dyDescent="0.2">
      <c r="A3431" s="21"/>
      <c r="B3431" s="21"/>
      <c r="C3431" s="4" t="s">
        <v>56</v>
      </c>
      <c r="D3431" s="6" t="str">
        <f>HYPERLINK("javascript:void(0)","gigacsáp")</f>
        <v>gigacsáp</v>
      </c>
    </row>
    <row r="3432" spans="1:4" ht="12.75" customHeight="1" x14ac:dyDescent="0.2">
      <c r="A3432" s="21"/>
      <c r="B3432" s="21"/>
      <c r="C3432" s="4" t="s">
        <v>130</v>
      </c>
      <c r="D3432" s="6" t="str">
        <f>HYPERLINK("javascript:void(0)","ámbra")</f>
        <v>ámbra</v>
      </c>
    </row>
    <row r="3433" spans="1:4" ht="12.75" customHeight="1" x14ac:dyDescent="0.2">
      <c r="A3433" s="5"/>
      <c r="B3433" s="2"/>
      <c r="C3433" s="2"/>
      <c r="D3433" s="2"/>
    </row>
    <row r="3434" spans="1:4" ht="12.75" customHeight="1" x14ac:dyDescent="0.2">
      <c r="A3434" s="22" t="str">
        <f>HYPERLINK("javascript:void(0)","gyíkacél szekerce")</f>
        <v>gyíkacél szekerce</v>
      </c>
      <c r="B3434" s="21"/>
      <c r="C3434" s="21"/>
      <c r="D3434" s="21"/>
    </row>
    <row r="3435" spans="1:4" ht="12.75" customHeight="1" x14ac:dyDescent="0.2">
      <c r="A3435" s="20"/>
      <c r="B3435" s="2"/>
      <c r="C3435" s="2"/>
      <c r="D3435" s="2"/>
    </row>
    <row r="3436" spans="1:4" ht="12.75" customHeight="1" x14ac:dyDescent="0.2">
      <c r="A3436" s="21"/>
      <c r="B3436" s="3" t="s">
        <v>0</v>
      </c>
      <c r="C3436" s="20" t="s">
        <v>239</v>
      </c>
      <c r="D3436" s="21"/>
    </row>
    <row r="3437" spans="1:4" ht="12.75" customHeight="1" x14ac:dyDescent="0.2">
      <c r="A3437" s="21"/>
      <c r="B3437" s="3" t="s">
        <v>2</v>
      </c>
      <c r="C3437" s="20" t="s">
        <v>122</v>
      </c>
      <c r="D3437" s="21"/>
    </row>
    <row r="3438" spans="1:4" ht="12.75" customHeight="1" x14ac:dyDescent="0.2">
      <c r="A3438" s="21"/>
      <c r="B3438" s="3" t="s">
        <v>4</v>
      </c>
      <c r="C3438" s="20" t="s">
        <v>1110</v>
      </c>
      <c r="D3438" s="21"/>
    </row>
    <row r="3439" spans="1:4" ht="12.75" customHeight="1" x14ac:dyDescent="0.2">
      <c r="A3439" s="21"/>
      <c r="B3439" s="3" t="s">
        <v>6</v>
      </c>
      <c r="C3439" s="20" t="s">
        <v>107</v>
      </c>
      <c r="D3439" s="21"/>
    </row>
    <row r="3440" spans="1:4" ht="12.75" customHeight="1" x14ac:dyDescent="0.2">
      <c r="A3440" s="21"/>
      <c r="B3440" s="3" t="s">
        <v>8</v>
      </c>
      <c r="C3440" s="20" t="s">
        <v>1110</v>
      </c>
      <c r="D3440" s="21"/>
    </row>
    <row r="3441" spans="1:4" ht="12.75" customHeight="1" x14ac:dyDescent="0.2">
      <c r="A3441" s="21"/>
      <c r="B3441" s="3" t="s">
        <v>9</v>
      </c>
      <c r="C3441" s="20" t="s">
        <v>1111</v>
      </c>
      <c r="D3441" s="21"/>
    </row>
    <row r="3442" spans="1:4" ht="12.75" customHeight="1" x14ac:dyDescent="0.2">
      <c r="A3442" s="21"/>
      <c r="B3442" s="3" t="s">
        <v>11</v>
      </c>
      <c r="C3442" s="20" t="s">
        <v>483</v>
      </c>
      <c r="D3442" s="21"/>
    </row>
    <row r="3443" spans="1:4" ht="12.75" customHeight="1" x14ac:dyDescent="0.2">
      <c r="A3443" s="21"/>
      <c r="B3443" s="3" t="s">
        <v>13</v>
      </c>
      <c r="C3443" s="20" t="s">
        <v>24</v>
      </c>
      <c r="D3443" s="21"/>
    </row>
    <row r="3444" spans="1:4" ht="12.75" customHeight="1" x14ac:dyDescent="0.2">
      <c r="A3444" s="21"/>
      <c r="B3444" s="3" t="s">
        <v>15</v>
      </c>
      <c r="C3444" s="20" t="s">
        <v>24</v>
      </c>
      <c r="D3444" s="21"/>
    </row>
    <row r="3445" spans="1:4" ht="12.75" customHeight="1" x14ac:dyDescent="0.2">
      <c r="A3445" s="21"/>
      <c r="B3445" s="3" t="s">
        <v>16</v>
      </c>
      <c r="C3445" s="20"/>
      <c r="D3445" s="21"/>
    </row>
    <row r="3446" spans="1:4" ht="12.75" customHeight="1" x14ac:dyDescent="0.2">
      <c r="A3446" s="21"/>
      <c r="B3446" s="3" t="s">
        <v>17</v>
      </c>
      <c r="C3446" s="20"/>
      <c r="D3446" s="21"/>
    </row>
    <row r="3447" spans="1:4" ht="12.75" customHeight="1" x14ac:dyDescent="0.2">
      <c r="A3447" s="21"/>
      <c r="B3447" s="20" t="s">
        <v>18</v>
      </c>
      <c r="C3447" s="4" t="s">
        <v>139</v>
      </c>
      <c r="D3447" s="6" t="str">
        <f>HYPERLINK("javascript:void(0)","nyenyere nyak")</f>
        <v>nyenyere nyak</v>
      </c>
    </row>
    <row r="3448" spans="1:4" ht="12.75" customHeight="1" x14ac:dyDescent="0.2">
      <c r="A3448" s="21"/>
      <c r="B3448" s="21"/>
      <c r="C3448" s="4" t="s">
        <v>1113</v>
      </c>
      <c r="D3448" s="6" t="str">
        <f>HYPERLINK("javascript:void(0)","szent szimbólum")</f>
        <v>szent szimbólum</v>
      </c>
    </row>
    <row r="3449" spans="1:4" ht="12.75" customHeight="1" x14ac:dyDescent="0.2">
      <c r="A3449" s="21"/>
      <c r="B3449" s="21"/>
      <c r="C3449" s="4" t="s">
        <v>163</v>
      </c>
      <c r="D3449" s="6" t="str">
        <f>HYPERLINK("javascript:void(0)","tűzige")</f>
        <v>tűzige</v>
      </c>
    </row>
    <row r="3450" spans="1:4" ht="12.75" customHeight="1" x14ac:dyDescent="0.2">
      <c r="A3450" s="5"/>
      <c r="B3450" s="2"/>
      <c r="C3450" s="2"/>
      <c r="D3450" s="2"/>
    </row>
    <row r="3451" spans="1:4" ht="12.75" customHeight="1" x14ac:dyDescent="0.2">
      <c r="A3451" s="22" t="str">
        <f>HYPERLINK("javascript:void(0)","rúnadorong")</f>
        <v>rúnadorong</v>
      </c>
      <c r="B3451" s="21"/>
      <c r="C3451" s="21"/>
      <c r="D3451" s="21"/>
    </row>
    <row r="3452" spans="1:4" ht="12.75" customHeight="1" x14ac:dyDescent="0.2">
      <c r="A3452" s="20"/>
      <c r="B3452" s="2"/>
      <c r="C3452" s="2"/>
      <c r="D3452" s="2"/>
    </row>
    <row r="3453" spans="1:4" ht="12.75" customHeight="1" x14ac:dyDescent="0.2">
      <c r="A3453" s="21"/>
      <c r="B3453" s="3" t="s">
        <v>0</v>
      </c>
      <c r="C3453" s="20" t="s">
        <v>651</v>
      </c>
      <c r="D3453" s="21"/>
    </row>
    <row r="3454" spans="1:4" ht="12.75" customHeight="1" x14ac:dyDescent="0.2">
      <c r="A3454" s="21"/>
      <c r="B3454" s="3" t="s">
        <v>2</v>
      </c>
      <c r="C3454" s="20" t="s">
        <v>122</v>
      </c>
      <c r="D3454" s="21"/>
    </row>
    <row r="3455" spans="1:4" ht="12.75" customHeight="1" x14ac:dyDescent="0.2">
      <c r="A3455" s="21"/>
      <c r="B3455" s="3" t="s">
        <v>4</v>
      </c>
      <c r="C3455" s="20" t="s">
        <v>1116</v>
      </c>
      <c r="D3455" s="21"/>
    </row>
    <row r="3456" spans="1:4" ht="12.75" customHeight="1" x14ac:dyDescent="0.2">
      <c r="A3456" s="21"/>
      <c r="B3456" s="3" t="s">
        <v>6</v>
      </c>
      <c r="C3456" s="20" t="s">
        <v>157</v>
      </c>
      <c r="D3456" s="21"/>
    </row>
    <row r="3457" spans="1:4" ht="12.75" customHeight="1" x14ac:dyDescent="0.2">
      <c r="A3457" s="21"/>
      <c r="B3457" s="3" t="s">
        <v>8</v>
      </c>
      <c r="C3457" s="20" t="s">
        <v>1116</v>
      </c>
      <c r="D3457" s="21"/>
    </row>
    <row r="3458" spans="1:4" ht="12.75" customHeight="1" x14ac:dyDescent="0.2">
      <c r="A3458" s="21"/>
      <c r="B3458" s="3" t="s">
        <v>9</v>
      </c>
      <c r="C3458" s="20" t="s">
        <v>172</v>
      </c>
      <c r="D3458" s="21"/>
    </row>
    <row r="3459" spans="1:4" ht="12.75" customHeight="1" x14ac:dyDescent="0.2">
      <c r="A3459" s="21"/>
      <c r="B3459" s="3" t="s">
        <v>11</v>
      </c>
      <c r="C3459" s="20" t="s">
        <v>666</v>
      </c>
      <c r="D3459" s="21"/>
    </row>
    <row r="3460" spans="1:4" ht="12.75" customHeight="1" x14ac:dyDescent="0.2">
      <c r="A3460" s="21"/>
      <c r="B3460" s="3" t="s">
        <v>13</v>
      </c>
      <c r="C3460" s="20" t="s">
        <v>24</v>
      </c>
      <c r="D3460" s="21"/>
    </row>
    <row r="3461" spans="1:4" ht="12.75" customHeight="1" x14ac:dyDescent="0.2">
      <c r="A3461" s="21"/>
      <c r="B3461" s="3" t="s">
        <v>15</v>
      </c>
      <c r="C3461" s="20" t="s">
        <v>24</v>
      </c>
      <c r="D3461" s="21"/>
    </row>
    <row r="3462" spans="1:4" ht="12.75" customHeight="1" x14ac:dyDescent="0.2">
      <c r="A3462" s="21"/>
      <c r="B3462" s="3" t="s">
        <v>16</v>
      </c>
      <c r="C3462" s="20"/>
      <c r="D3462" s="21"/>
    </row>
    <row r="3463" spans="1:4" ht="12.75" customHeight="1" x14ac:dyDescent="0.2">
      <c r="A3463" s="21"/>
      <c r="B3463" s="3" t="s">
        <v>17</v>
      </c>
      <c r="C3463" s="20"/>
      <c r="D3463" s="21"/>
    </row>
    <row r="3464" spans="1:4" ht="12.75" customHeight="1" x14ac:dyDescent="0.2">
      <c r="A3464" s="21"/>
      <c r="B3464" s="20" t="s">
        <v>18</v>
      </c>
      <c r="C3464" s="4" t="s">
        <v>44</v>
      </c>
      <c r="D3464" s="6" t="str">
        <f>HYPERLINK("javascript:void(0)","helioacél lánc")</f>
        <v>helioacél lánc</v>
      </c>
    </row>
    <row r="3465" spans="1:4" ht="12.75" customHeight="1" x14ac:dyDescent="0.2">
      <c r="A3465" s="21"/>
      <c r="B3465" s="21"/>
      <c r="C3465" s="4" t="s">
        <v>44</v>
      </c>
      <c r="D3465" s="6" t="str">
        <f>HYPERLINK("javascript:void(0)","helioacél nuncsaku")</f>
        <v>helioacél nuncsaku</v>
      </c>
    </row>
    <row r="3466" spans="1:4" ht="12.75" customHeight="1" x14ac:dyDescent="0.2">
      <c r="A3466" s="21"/>
      <c r="B3466" s="21"/>
      <c r="C3466" s="4" t="s">
        <v>44</v>
      </c>
      <c r="D3466" s="6" t="str">
        <f>HYPERLINK("javascript:void(0)","rúnarög")</f>
        <v>rúnarög</v>
      </c>
    </row>
    <row r="3467" spans="1:4" ht="12.75" customHeight="1" x14ac:dyDescent="0.2">
      <c r="A3467" s="5"/>
      <c r="B3467" s="2"/>
      <c r="C3467" s="2"/>
      <c r="D3467" s="2"/>
    </row>
    <row r="3468" spans="1:4" ht="12.75" customHeight="1" x14ac:dyDescent="0.2">
      <c r="A3468" s="22" t="str">
        <f>HYPERLINK("javascript:void(0)","elemi mágusölő")</f>
        <v>elemi mágusölő</v>
      </c>
      <c r="B3468" s="21"/>
      <c r="C3468" s="21"/>
      <c r="D3468" s="21"/>
    </row>
    <row r="3469" spans="1:4" ht="12.75" customHeight="1" x14ac:dyDescent="0.2">
      <c r="A3469" s="20"/>
      <c r="B3469" s="2"/>
      <c r="C3469" s="2"/>
      <c r="D3469" s="2"/>
    </row>
    <row r="3470" spans="1:4" ht="12.75" customHeight="1" x14ac:dyDescent="0.2">
      <c r="A3470" s="21"/>
      <c r="B3470" s="3" t="s">
        <v>0</v>
      </c>
      <c r="C3470" s="20" t="s">
        <v>651</v>
      </c>
      <c r="D3470" s="21"/>
    </row>
    <row r="3471" spans="1:4" ht="12.75" customHeight="1" x14ac:dyDescent="0.2">
      <c r="A3471" s="21"/>
      <c r="B3471" s="3" t="s">
        <v>2</v>
      </c>
      <c r="C3471" s="20" t="s">
        <v>122</v>
      </c>
      <c r="D3471" s="21"/>
    </row>
    <row r="3472" spans="1:4" ht="12.75" customHeight="1" x14ac:dyDescent="0.2">
      <c r="A3472" s="21"/>
      <c r="B3472" s="3" t="s">
        <v>4</v>
      </c>
      <c r="C3472" s="20" t="s">
        <v>1120</v>
      </c>
      <c r="D3472" s="21"/>
    </row>
    <row r="3473" spans="1:4" ht="12.75" customHeight="1" x14ac:dyDescent="0.2">
      <c r="A3473" s="21"/>
      <c r="B3473" s="3" t="s">
        <v>6</v>
      </c>
      <c r="C3473" s="20" t="s">
        <v>48</v>
      </c>
      <c r="D3473" s="21"/>
    </row>
    <row r="3474" spans="1:4" ht="12.75" customHeight="1" x14ac:dyDescent="0.2">
      <c r="A3474" s="21"/>
      <c r="B3474" s="3" t="s">
        <v>8</v>
      </c>
      <c r="C3474" s="20" t="s">
        <v>1120</v>
      </c>
      <c r="D3474" s="21"/>
    </row>
    <row r="3475" spans="1:4" ht="12.75" customHeight="1" x14ac:dyDescent="0.2">
      <c r="A3475" s="21"/>
      <c r="B3475" s="3" t="s">
        <v>9</v>
      </c>
      <c r="C3475" s="20" t="s">
        <v>1122</v>
      </c>
      <c r="D3475" s="21"/>
    </row>
    <row r="3476" spans="1:4" ht="12.75" customHeight="1" x14ac:dyDescent="0.2">
      <c r="A3476" s="21"/>
      <c r="B3476" s="3" t="s">
        <v>11</v>
      </c>
      <c r="C3476" s="20" t="s">
        <v>739</v>
      </c>
      <c r="D3476" s="21"/>
    </row>
    <row r="3477" spans="1:4" ht="12.75" customHeight="1" x14ac:dyDescent="0.2">
      <c r="A3477" s="21"/>
      <c r="B3477" s="3" t="s">
        <v>13</v>
      </c>
      <c r="C3477" s="20" t="s">
        <v>14</v>
      </c>
      <c r="D3477" s="21"/>
    </row>
    <row r="3478" spans="1:4" ht="12.75" customHeight="1" x14ac:dyDescent="0.2">
      <c r="A3478" s="21"/>
      <c r="B3478" s="3" t="s">
        <v>15</v>
      </c>
      <c r="C3478" s="20" t="s">
        <v>24</v>
      </c>
      <c r="D3478" s="21"/>
    </row>
    <row r="3479" spans="1:4" ht="12.75" customHeight="1" x14ac:dyDescent="0.2">
      <c r="A3479" s="21"/>
      <c r="B3479" s="3" t="s">
        <v>16</v>
      </c>
      <c r="C3479" s="20"/>
      <c r="D3479" s="21"/>
    </row>
    <row r="3480" spans="1:4" ht="12.75" customHeight="1" x14ac:dyDescent="0.2">
      <c r="A3480" s="21"/>
      <c r="B3480" s="3" t="s">
        <v>17</v>
      </c>
      <c r="C3480" s="20"/>
      <c r="D3480" s="21"/>
    </row>
    <row r="3481" spans="1:4" ht="12.75" customHeight="1" x14ac:dyDescent="0.2">
      <c r="A3481" s="21"/>
      <c r="B3481" s="20" t="s">
        <v>18</v>
      </c>
      <c r="C3481" s="4" t="s">
        <v>420</v>
      </c>
      <c r="D3481" s="6" t="str">
        <f>HYPERLINK("javascript:void(0)","elemi köpet")</f>
        <v>elemi köpet</v>
      </c>
    </row>
    <row r="3482" spans="1:4" ht="12.75" customHeight="1" x14ac:dyDescent="0.2">
      <c r="A3482" s="21"/>
      <c r="B3482" s="21"/>
      <c r="C3482" s="4" t="s">
        <v>117</v>
      </c>
      <c r="D3482" s="6" t="str">
        <f>HYPERLINK("javascript:void(0)","vákuum")</f>
        <v>vákuum</v>
      </c>
    </row>
    <row r="3483" spans="1:4" ht="12.75" customHeight="1" x14ac:dyDescent="0.2">
      <c r="A3483" s="21"/>
      <c r="B3483" s="21"/>
      <c r="C3483" s="4" t="s">
        <v>382</v>
      </c>
      <c r="D3483" s="6" t="str">
        <f>HYPERLINK("javascript:void(0)","trolltartó")</f>
        <v>trolltartó</v>
      </c>
    </row>
    <row r="3484" spans="1:4" ht="12.75" customHeight="1" x14ac:dyDescent="0.2">
      <c r="A3484" s="5"/>
      <c r="B3484" s="2"/>
      <c r="C3484" s="2"/>
      <c r="D3484" s="2"/>
    </row>
    <row r="3485" spans="1:4" ht="12.75" customHeight="1" x14ac:dyDescent="0.2">
      <c r="A3485" s="22" t="str">
        <f>HYPERLINK("javascript:void(0)","rúnahegy")</f>
        <v>rúnahegy</v>
      </c>
      <c r="B3485" s="21"/>
      <c r="C3485" s="21"/>
      <c r="D3485" s="21"/>
    </row>
    <row r="3486" spans="1:4" ht="12.75" customHeight="1" x14ac:dyDescent="0.2">
      <c r="A3486" s="20"/>
      <c r="B3486" s="2"/>
      <c r="C3486" s="2"/>
      <c r="D3486" s="2"/>
    </row>
    <row r="3487" spans="1:4" ht="12.75" customHeight="1" x14ac:dyDescent="0.2">
      <c r="A3487" s="21"/>
      <c r="B3487" s="3" t="s">
        <v>0</v>
      </c>
      <c r="C3487" s="20" t="s">
        <v>651</v>
      </c>
      <c r="D3487" s="21"/>
    </row>
    <row r="3488" spans="1:4" ht="12.75" customHeight="1" x14ac:dyDescent="0.2">
      <c r="A3488" s="21"/>
      <c r="B3488" s="3" t="s">
        <v>2</v>
      </c>
      <c r="C3488" s="20" t="s">
        <v>122</v>
      </c>
      <c r="D3488" s="21"/>
    </row>
    <row r="3489" spans="1:4" ht="12.75" customHeight="1" x14ac:dyDescent="0.2">
      <c r="A3489" s="21"/>
      <c r="B3489" s="3" t="s">
        <v>4</v>
      </c>
      <c r="C3489" s="20" t="s">
        <v>533</v>
      </c>
      <c r="D3489" s="21"/>
    </row>
    <row r="3490" spans="1:4" ht="12.75" customHeight="1" x14ac:dyDescent="0.2">
      <c r="A3490" s="21"/>
      <c r="B3490" s="3" t="s">
        <v>6</v>
      </c>
      <c r="C3490" s="20" t="s">
        <v>21</v>
      </c>
      <c r="D3490" s="21"/>
    </row>
    <row r="3491" spans="1:4" ht="12.75" customHeight="1" x14ac:dyDescent="0.2">
      <c r="A3491" s="21"/>
      <c r="B3491" s="3" t="s">
        <v>8</v>
      </c>
      <c r="C3491" s="20" t="s">
        <v>533</v>
      </c>
      <c r="D3491" s="21"/>
    </row>
    <row r="3492" spans="1:4" ht="12.75" customHeight="1" x14ac:dyDescent="0.2">
      <c r="A3492" s="21"/>
      <c r="B3492" s="3" t="s">
        <v>9</v>
      </c>
      <c r="C3492" s="20" t="s">
        <v>42</v>
      </c>
      <c r="D3492" s="21"/>
    </row>
    <row r="3493" spans="1:4" ht="12.75" customHeight="1" x14ac:dyDescent="0.2">
      <c r="A3493" s="21"/>
      <c r="B3493" s="3" t="s">
        <v>11</v>
      </c>
      <c r="C3493" s="20" t="s">
        <v>523</v>
      </c>
      <c r="D3493" s="21"/>
    </row>
    <row r="3494" spans="1:4" ht="12.75" customHeight="1" x14ac:dyDescent="0.2">
      <c r="A3494" s="21"/>
      <c r="B3494" s="3" t="s">
        <v>13</v>
      </c>
      <c r="C3494" s="20" t="s">
        <v>24</v>
      </c>
      <c r="D3494" s="21"/>
    </row>
    <row r="3495" spans="1:4" ht="12.75" customHeight="1" x14ac:dyDescent="0.2">
      <c r="A3495" s="21"/>
      <c r="B3495" s="3" t="s">
        <v>15</v>
      </c>
      <c r="C3495" s="20" t="s">
        <v>24</v>
      </c>
      <c r="D3495" s="21"/>
    </row>
    <row r="3496" spans="1:4" ht="12.75" customHeight="1" x14ac:dyDescent="0.2">
      <c r="A3496" s="21"/>
      <c r="B3496" s="3" t="s">
        <v>16</v>
      </c>
      <c r="C3496" s="20"/>
      <c r="D3496" s="21"/>
    </row>
    <row r="3497" spans="1:4" ht="12.75" customHeight="1" x14ac:dyDescent="0.2">
      <c r="A3497" s="21"/>
      <c r="B3497" s="3" t="s">
        <v>17</v>
      </c>
      <c r="C3497" s="20"/>
      <c r="D3497" s="21"/>
    </row>
    <row r="3498" spans="1:4" ht="12.75" customHeight="1" x14ac:dyDescent="0.2">
      <c r="A3498" s="21"/>
      <c r="B3498" s="20" t="s">
        <v>18</v>
      </c>
      <c r="C3498" s="4" t="s">
        <v>56</v>
      </c>
      <c r="D3498" s="6" t="str">
        <f>HYPERLINK("javascript:void(0)","rúna")</f>
        <v>rúna</v>
      </c>
    </row>
    <row r="3499" spans="1:4" ht="12.75" customHeight="1" x14ac:dyDescent="0.2">
      <c r="A3499" s="21"/>
      <c r="B3499" s="21"/>
      <c r="C3499" s="4" t="s">
        <v>232</v>
      </c>
      <c r="D3499" s="6" t="str">
        <f>HYPERLINK("javascript:void(0)","tudásmorzsa")</f>
        <v>tudásmorzsa</v>
      </c>
    </row>
    <row r="3500" spans="1:4" ht="12.75" customHeight="1" x14ac:dyDescent="0.2">
      <c r="A3500" s="21"/>
      <c r="B3500" s="21"/>
      <c r="C3500" s="4" t="s">
        <v>193</v>
      </c>
      <c r="D3500" s="6" t="str">
        <f>HYPERLINK("javascript:void(0)","kispárna")</f>
        <v>kispárna</v>
      </c>
    </row>
    <row r="3501" spans="1:4" ht="12.75" customHeight="1" x14ac:dyDescent="0.2">
      <c r="A3501" s="5"/>
      <c r="B3501" s="2"/>
      <c r="C3501" s="2"/>
      <c r="D3501" s="2"/>
    </row>
    <row r="3502" spans="1:4" ht="12.75" customHeight="1" x14ac:dyDescent="0.2">
      <c r="A3502" s="22" t="str">
        <f>HYPERLINK("javascript:void(0)","rúnakalapács")</f>
        <v>rúnakalapács</v>
      </c>
      <c r="B3502" s="21"/>
      <c r="C3502" s="21"/>
      <c r="D3502" s="21"/>
    </row>
    <row r="3503" spans="1:4" ht="12.75" customHeight="1" x14ac:dyDescent="0.2">
      <c r="A3503" s="20"/>
      <c r="B3503" s="2"/>
      <c r="C3503" s="2"/>
      <c r="D3503" s="2"/>
    </row>
    <row r="3504" spans="1:4" ht="12.75" customHeight="1" x14ac:dyDescent="0.2">
      <c r="A3504" s="21"/>
      <c r="B3504" s="3" t="s">
        <v>0</v>
      </c>
      <c r="C3504" s="20" t="s">
        <v>69</v>
      </c>
      <c r="D3504" s="21"/>
    </row>
    <row r="3505" spans="1:4" ht="12.75" customHeight="1" x14ac:dyDescent="0.2">
      <c r="A3505" s="21"/>
      <c r="B3505" s="3" t="s">
        <v>2</v>
      </c>
      <c r="C3505" s="20" t="s">
        <v>122</v>
      </c>
      <c r="D3505" s="21"/>
    </row>
    <row r="3506" spans="1:4" ht="12.75" customHeight="1" x14ac:dyDescent="0.2">
      <c r="A3506" s="21"/>
      <c r="B3506" s="3" t="s">
        <v>4</v>
      </c>
      <c r="C3506" s="20" t="s">
        <v>1127</v>
      </c>
      <c r="D3506" s="21"/>
    </row>
    <row r="3507" spans="1:4" ht="12.75" customHeight="1" x14ac:dyDescent="0.2">
      <c r="A3507" s="21"/>
      <c r="B3507" s="3" t="s">
        <v>6</v>
      </c>
      <c r="C3507" s="20" t="s">
        <v>298</v>
      </c>
      <c r="D3507" s="21"/>
    </row>
    <row r="3508" spans="1:4" ht="12.75" customHeight="1" x14ac:dyDescent="0.2">
      <c r="A3508" s="21"/>
      <c r="B3508" s="3" t="s">
        <v>8</v>
      </c>
      <c r="C3508" s="20" t="s">
        <v>1127</v>
      </c>
      <c r="D3508" s="21"/>
    </row>
    <row r="3509" spans="1:4" ht="12.75" customHeight="1" x14ac:dyDescent="0.2">
      <c r="A3509" s="21"/>
      <c r="B3509" s="3" t="s">
        <v>9</v>
      </c>
      <c r="C3509" s="20" t="s">
        <v>210</v>
      </c>
      <c r="D3509" s="21"/>
    </row>
    <row r="3510" spans="1:4" ht="12.75" customHeight="1" x14ac:dyDescent="0.2">
      <c r="A3510" s="21"/>
      <c r="B3510" s="3" t="s">
        <v>11</v>
      </c>
      <c r="C3510" s="20" t="s">
        <v>674</v>
      </c>
      <c r="D3510" s="21"/>
    </row>
    <row r="3511" spans="1:4" ht="12.75" customHeight="1" x14ac:dyDescent="0.2">
      <c r="A3511" s="21"/>
      <c r="B3511" s="3" t="s">
        <v>13</v>
      </c>
      <c r="C3511" s="20" t="s">
        <v>24</v>
      </c>
      <c r="D3511" s="21"/>
    </row>
    <row r="3512" spans="1:4" ht="12.75" customHeight="1" x14ac:dyDescent="0.2">
      <c r="A3512" s="21"/>
      <c r="B3512" s="3" t="s">
        <v>15</v>
      </c>
      <c r="C3512" s="20" t="s">
        <v>24</v>
      </c>
      <c r="D3512" s="21"/>
    </row>
    <row r="3513" spans="1:4" ht="12.75" customHeight="1" x14ac:dyDescent="0.2">
      <c r="A3513" s="21"/>
      <c r="B3513" s="3" t="s">
        <v>16</v>
      </c>
      <c r="C3513" s="20"/>
      <c r="D3513" s="21"/>
    </row>
    <row r="3514" spans="1:4" ht="12.75" customHeight="1" x14ac:dyDescent="0.2">
      <c r="A3514" s="21"/>
      <c r="B3514" s="3" t="s">
        <v>17</v>
      </c>
      <c r="C3514" s="20"/>
      <c r="D3514" s="21"/>
    </row>
    <row r="3515" spans="1:4" ht="12.75" customHeight="1" x14ac:dyDescent="0.2">
      <c r="A3515" s="21"/>
      <c r="B3515" s="20" t="s">
        <v>18</v>
      </c>
      <c r="C3515" s="4" t="s">
        <v>44</v>
      </c>
      <c r="D3515" s="6" t="str">
        <f>HYPERLINK("javascript:void(0)","rúnadorong")</f>
        <v>rúnadorong</v>
      </c>
    </row>
    <row r="3516" spans="1:4" ht="12.75" customHeight="1" x14ac:dyDescent="0.2">
      <c r="A3516" s="21"/>
      <c r="B3516" s="21"/>
      <c r="C3516" s="4" t="s">
        <v>55</v>
      </c>
      <c r="D3516" s="6" t="str">
        <f>HYPERLINK("javascript:void(0)","rúna")</f>
        <v>rúna</v>
      </c>
    </row>
    <row r="3517" spans="1:4" ht="12.75" customHeight="1" x14ac:dyDescent="0.2">
      <c r="A3517" s="21"/>
      <c r="B3517" s="21"/>
      <c r="C3517" s="4" t="s">
        <v>56</v>
      </c>
      <c r="D3517" s="6" t="str">
        <f>HYPERLINK("javascript:void(0)","zselatin")</f>
        <v>zselatin</v>
      </c>
    </row>
    <row r="3518" spans="1:4" ht="12.75" customHeight="1" x14ac:dyDescent="0.2">
      <c r="A3518" s="5"/>
      <c r="B3518" s="2"/>
      <c r="C3518" s="2"/>
      <c r="D3518" s="2"/>
    </row>
    <row r="3519" spans="1:4" ht="12.75" customHeight="1" x14ac:dyDescent="0.2">
      <c r="A3519" s="22" t="str">
        <f>HYPERLINK("javascript:void(0)","rúna ballaszt")</f>
        <v>rúna ballaszt</v>
      </c>
      <c r="B3519" s="21"/>
      <c r="C3519" s="21"/>
      <c r="D3519" s="21"/>
    </row>
    <row r="3520" spans="1:4" ht="12.75" customHeight="1" x14ac:dyDescent="0.2">
      <c r="A3520" s="20"/>
      <c r="B3520" s="2"/>
      <c r="C3520" s="2"/>
      <c r="D3520" s="2"/>
    </row>
    <row r="3521" spans="1:4" ht="12.75" customHeight="1" x14ac:dyDescent="0.2">
      <c r="A3521" s="21"/>
      <c r="B3521" s="3" t="s">
        <v>0</v>
      </c>
      <c r="C3521" s="20" t="s">
        <v>69</v>
      </c>
      <c r="D3521" s="21"/>
    </row>
    <row r="3522" spans="1:4" ht="12.75" customHeight="1" x14ac:dyDescent="0.2">
      <c r="A3522" s="21"/>
      <c r="B3522" s="3" t="s">
        <v>2</v>
      </c>
      <c r="C3522" s="20" t="s">
        <v>122</v>
      </c>
      <c r="D3522" s="21"/>
    </row>
    <row r="3523" spans="1:4" ht="12.75" customHeight="1" x14ac:dyDescent="0.2">
      <c r="A3523" s="21"/>
      <c r="B3523" s="3" t="s">
        <v>4</v>
      </c>
      <c r="C3523" s="20" t="s">
        <v>1133</v>
      </c>
      <c r="D3523" s="21"/>
    </row>
    <row r="3524" spans="1:4" ht="12.75" customHeight="1" x14ac:dyDescent="0.2">
      <c r="A3524" s="21"/>
      <c r="B3524" s="3" t="s">
        <v>6</v>
      </c>
      <c r="C3524" s="20" t="s">
        <v>260</v>
      </c>
      <c r="D3524" s="21"/>
    </row>
    <row r="3525" spans="1:4" ht="12.75" customHeight="1" x14ac:dyDescent="0.2">
      <c r="A3525" s="21"/>
      <c r="B3525" s="3" t="s">
        <v>8</v>
      </c>
      <c r="C3525" s="20" t="s">
        <v>1133</v>
      </c>
      <c r="D3525" s="21"/>
    </row>
    <row r="3526" spans="1:4" ht="12.75" customHeight="1" x14ac:dyDescent="0.2">
      <c r="A3526" s="21"/>
      <c r="B3526" s="3" t="s">
        <v>9</v>
      </c>
      <c r="C3526" s="20" t="s">
        <v>1134</v>
      </c>
      <c r="D3526" s="21"/>
    </row>
    <row r="3527" spans="1:4" ht="12.75" customHeight="1" x14ac:dyDescent="0.2">
      <c r="A3527" s="21"/>
      <c r="B3527" s="3" t="s">
        <v>11</v>
      </c>
      <c r="C3527" s="20" t="s">
        <v>856</v>
      </c>
      <c r="D3527" s="21"/>
    </row>
    <row r="3528" spans="1:4" ht="12.75" customHeight="1" x14ac:dyDescent="0.2">
      <c r="A3528" s="21"/>
      <c r="B3528" s="3" t="s">
        <v>13</v>
      </c>
      <c r="C3528" s="20" t="s">
        <v>24</v>
      </c>
      <c r="D3528" s="21"/>
    </row>
    <row r="3529" spans="1:4" ht="12.75" customHeight="1" x14ac:dyDescent="0.2">
      <c r="A3529" s="21"/>
      <c r="B3529" s="3" t="s">
        <v>15</v>
      </c>
      <c r="C3529" s="20" t="s">
        <v>24</v>
      </c>
      <c r="D3529" s="21"/>
    </row>
    <row r="3530" spans="1:4" ht="12.75" customHeight="1" x14ac:dyDescent="0.2">
      <c r="A3530" s="21"/>
      <c r="B3530" s="3" t="s">
        <v>16</v>
      </c>
      <c r="C3530" s="20"/>
      <c r="D3530" s="21"/>
    </row>
    <row r="3531" spans="1:4" ht="12.75" customHeight="1" x14ac:dyDescent="0.2">
      <c r="A3531" s="21"/>
      <c r="B3531" s="3" t="s">
        <v>17</v>
      </c>
      <c r="C3531" s="20"/>
      <c r="D3531" s="21"/>
    </row>
    <row r="3532" spans="1:4" ht="12.75" customHeight="1" x14ac:dyDescent="0.2">
      <c r="A3532" s="21"/>
      <c r="B3532" s="20" t="s">
        <v>18</v>
      </c>
      <c r="C3532" s="4" t="s">
        <v>68</v>
      </c>
      <c r="D3532" s="6" t="str">
        <f>HYPERLINK("javascript:void(0)","zselatin")</f>
        <v>zselatin</v>
      </c>
    </row>
    <row r="3533" spans="1:4" ht="12.75" customHeight="1" x14ac:dyDescent="0.2">
      <c r="A3533" s="21"/>
      <c r="B3533" s="21"/>
      <c r="C3533" s="4" t="s">
        <v>117</v>
      </c>
      <c r="D3533" s="6" t="str">
        <f>HYPERLINK("javascript:void(0)","rúna")</f>
        <v>rúna</v>
      </c>
    </row>
    <row r="3534" spans="1:4" ht="12.75" customHeight="1" x14ac:dyDescent="0.2">
      <c r="A3534" s="21"/>
      <c r="B3534" s="21"/>
      <c r="C3534" s="4" t="s">
        <v>139</v>
      </c>
      <c r="D3534" s="6" t="str">
        <f>HYPERLINK("javascript:void(0)","vasorr")</f>
        <v>vasorr</v>
      </c>
    </row>
    <row r="3535" spans="1:4" ht="12.75" customHeight="1" x14ac:dyDescent="0.2">
      <c r="A3535" s="5"/>
      <c r="B3535" s="2"/>
      <c r="C3535" s="2"/>
      <c r="D3535" s="2"/>
    </row>
    <row r="3536" spans="1:4" ht="12.75" customHeight="1" x14ac:dyDescent="0.2">
      <c r="A3536" s="22" t="str">
        <f>HYPERLINK("javascript:void(0)","gyíkacél csép")</f>
        <v>gyíkacél csép</v>
      </c>
      <c r="B3536" s="21"/>
      <c r="C3536" s="21"/>
      <c r="D3536" s="21"/>
    </row>
    <row r="3537" spans="1:4" ht="12.75" customHeight="1" x14ac:dyDescent="0.2">
      <c r="A3537" s="20"/>
      <c r="B3537" s="2"/>
      <c r="C3537" s="2"/>
      <c r="D3537" s="2"/>
    </row>
    <row r="3538" spans="1:4" ht="12.75" customHeight="1" x14ac:dyDescent="0.2">
      <c r="A3538" s="21"/>
      <c r="B3538" s="3" t="s">
        <v>0</v>
      </c>
      <c r="C3538" s="20" t="s">
        <v>69</v>
      </c>
      <c r="D3538" s="21"/>
    </row>
    <row r="3539" spans="1:4" ht="12.75" customHeight="1" x14ac:dyDescent="0.2">
      <c r="A3539" s="21"/>
      <c r="B3539" s="3" t="s">
        <v>2</v>
      </c>
      <c r="C3539" s="20" t="s">
        <v>122</v>
      </c>
      <c r="D3539" s="21"/>
    </row>
    <row r="3540" spans="1:4" ht="12.75" customHeight="1" x14ac:dyDescent="0.2">
      <c r="A3540" s="21"/>
      <c r="B3540" s="3" t="s">
        <v>4</v>
      </c>
      <c r="C3540" s="20" t="s">
        <v>1138</v>
      </c>
      <c r="D3540" s="21"/>
    </row>
    <row r="3541" spans="1:4" ht="12.75" customHeight="1" x14ac:dyDescent="0.2">
      <c r="A3541" s="21"/>
      <c r="B3541" s="3" t="s">
        <v>6</v>
      </c>
      <c r="C3541" s="20" t="s">
        <v>107</v>
      </c>
      <c r="D3541" s="21"/>
    </row>
    <row r="3542" spans="1:4" ht="12.75" customHeight="1" x14ac:dyDescent="0.2">
      <c r="A3542" s="21"/>
      <c r="B3542" s="3" t="s">
        <v>8</v>
      </c>
      <c r="C3542" s="20" t="s">
        <v>1138</v>
      </c>
      <c r="D3542" s="21"/>
    </row>
    <row r="3543" spans="1:4" ht="12.75" customHeight="1" x14ac:dyDescent="0.2">
      <c r="A3543" s="21"/>
      <c r="B3543" s="3" t="s">
        <v>9</v>
      </c>
      <c r="C3543" s="20" t="s">
        <v>1139</v>
      </c>
      <c r="D3543" s="21"/>
    </row>
    <row r="3544" spans="1:4" ht="12.75" customHeight="1" x14ac:dyDescent="0.2">
      <c r="A3544" s="21"/>
      <c r="B3544" s="3" t="s">
        <v>11</v>
      </c>
      <c r="C3544" s="20" t="s">
        <v>488</v>
      </c>
      <c r="D3544" s="21"/>
    </row>
    <row r="3545" spans="1:4" ht="12.75" customHeight="1" x14ac:dyDescent="0.2">
      <c r="A3545" s="21"/>
      <c r="B3545" s="3" t="s">
        <v>13</v>
      </c>
      <c r="C3545" s="20" t="s">
        <v>24</v>
      </c>
      <c r="D3545" s="21"/>
    </row>
    <row r="3546" spans="1:4" ht="12.75" customHeight="1" x14ac:dyDescent="0.2">
      <c r="A3546" s="21"/>
      <c r="B3546" s="3" t="s">
        <v>15</v>
      </c>
      <c r="C3546" s="20" t="s">
        <v>24</v>
      </c>
      <c r="D3546" s="21"/>
    </row>
    <row r="3547" spans="1:4" ht="12.75" customHeight="1" x14ac:dyDescent="0.2">
      <c r="A3547" s="21"/>
      <c r="B3547" s="3" t="s">
        <v>16</v>
      </c>
      <c r="C3547" s="20"/>
      <c r="D3547" s="21"/>
    </row>
    <row r="3548" spans="1:4" ht="12.75" customHeight="1" x14ac:dyDescent="0.2">
      <c r="A3548" s="21"/>
      <c r="B3548" s="3" t="s">
        <v>17</v>
      </c>
      <c r="C3548" s="20"/>
      <c r="D3548" s="21"/>
    </row>
    <row r="3549" spans="1:4" ht="12.75" customHeight="1" x14ac:dyDescent="0.2">
      <c r="A3549" s="21"/>
      <c r="B3549" s="20" t="s">
        <v>18</v>
      </c>
      <c r="C3549" s="4" t="s">
        <v>77</v>
      </c>
      <c r="D3549" s="6" t="str">
        <f>HYPERLINK("javascript:void(0)","extra manaital")</f>
        <v>extra manaital</v>
      </c>
    </row>
    <row r="3550" spans="1:4" ht="12.75" customHeight="1" x14ac:dyDescent="0.2">
      <c r="A3550" s="21"/>
      <c r="B3550" s="21"/>
      <c r="C3550" s="4" t="s">
        <v>67</v>
      </c>
      <c r="D3550" s="6" t="str">
        <f>HYPERLINK("javascript:void(0)","gorillanyelv")</f>
        <v>gorillanyelv</v>
      </c>
    </row>
    <row r="3551" spans="1:4" ht="12.75" customHeight="1" x14ac:dyDescent="0.2">
      <c r="A3551" s="21"/>
      <c r="B3551" s="21"/>
      <c r="C3551" s="4" t="s">
        <v>193</v>
      </c>
      <c r="D3551" s="6" t="str">
        <f>HYPERLINK("javascript:void(0)","tűzige")</f>
        <v>tűzige</v>
      </c>
    </row>
    <row r="3552" spans="1:4" ht="12.75" customHeight="1" x14ac:dyDescent="0.2">
      <c r="A3552" s="5"/>
      <c r="B3552" s="2"/>
      <c r="C3552" s="2"/>
      <c r="D3552" s="2"/>
    </row>
    <row r="3553" spans="1:4" ht="12.75" customHeight="1" x14ac:dyDescent="0.2">
      <c r="A3553" s="22" t="str">
        <f>HYPERLINK("javascript:void(0)","rúnarög")</f>
        <v>rúnarög</v>
      </c>
      <c r="B3553" s="21"/>
      <c r="C3553" s="21"/>
      <c r="D3553" s="21"/>
    </row>
    <row r="3554" spans="1:4" ht="12.75" customHeight="1" x14ac:dyDescent="0.2">
      <c r="A3554" s="20"/>
      <c r="B3554" s="2"/>
      <c r="C3554" s="2"/>
      <c r="D3554" s="2"/>
    </row>
    <row r="3555" spans="1:4" ht="12.75" customHeight="1" x14ac:dyDescent="0.2">
      <c r="A3555" s="21"/>
      <c r="B3555" s="3" t="s">
        <v>0</v>
      </c>
      <c r="C3555" s="20" t="s">
        <v>69</v>
      </c>
      <c r="D3555" s="21"/>
    </row>
    <row r="3556" spans="1:4" ht="12.75" customHeight="1" x14ac:dyDescent="0.2">
      <c r="A3556" s="21"/>
      <c r="B3556" s="3" t="s">
        <v>2</v>
      </c>
      <c r="C3556" s="20" t="s">
        <v>122</v>
      </c>
      <c r="D3556" s="21"/>
    </row>
    <row r="3557" spans="1:4" ht="12.75" customHeight="1" x14ac:dyDescent="0.2">
      <c r="A3557" s="21"/>
      <c r="B3557" s="3" t="s">
        <v>4</v>
      </c>
      <c r="C3557" s="20" t="s">
        <v>533</v>
      </c>
      <c r="D3557" s="21"/>
    </row>
    <row r="3558" spans="1:4" ht="12.75" customHeight="1" x14ac:dyDescent="0.2">
      <c r="A3558" s="21"/>
      <c r="B3558" s="3" t="s">
        <v>6</v>
      </c>
      <c r="C3558" s="20" t="s">
        <v>21</v>
      </c>
      <c r="D3558" s="21"/>
    </row>
    <row r="3559" spans="1:4" ht="12.75" customHeight="1" x14ac:dyDescent="0.2">
      <c r="A3559" s="21"/>
      <c r="B3559" s="3" t="s">
        <v>8</v>
      </c>
      <c r="C3559" s="20" t="s">
        <v>533</v>
      </c>
      <c r="D3559" s="21"/>
    </row>
    <row r="3560" spans="1:4" ht="12.75" customHeight="1" x14ac:dyDescent="0.2">
      <c r="A3560" s="21"/>
      <c r="B3560" s="3" t="s">
        <v>9</v>
      </c>
      <c r="C3560" s="20" t="s">
        <v>42</v>
      </c>
      <c r="D3560" s="21"/>
    </row>
    <row r="3561" spans="1:4" ht="12.75" customHeight="1" x14ac:dyDescent="0.2">
      <c r="A3561" s="21"/>
      <c r="B3561" s="3" t="s">
        <v>11</v>
      </c>
      <c r="C3561" s="20" t="s">
        <v>536</v>
      </c>
      <c r="D3561" s="21"/>
    </row>
    <row r="3562" spans="1:4" ht="12.75" customHeight="1" x14ac:dyDescent="0.2">
      <c r="A3562" s="21"/>
      <c r="B3562" s="3" t="s">
        <v>13</v>
      </c>
      <c r="C3562" s="20" t="s">
        <v>24</v>
      </c>
      <c r="D3562" s="21"/>
    </row>
    <row r="3563" spans="1:4" ht="12.75" customHeight="1" x14ac:dyDescent="0.2">
      <c r="A3563" s="21"/>
      <c r="B3563" s="3" t="s">
        <v>15</v>
      </c>
      <c r="C3563" s="20" t="s">
        <v>24</v>
      </c>
      <c r="D3563" s="21"/>
    </row>
    <row r="3564" spans="1:4" ht="12.75" customHeight="1" x14ac:dyDescent="0.2">
      <c r="A3564" s="21"/>
      <c r="B3564" s="3" t="s">
        <v>16</v>
      </c>
      <c r="C3564" s="20"/>
      <c r="D3564" s="21"/>
    </row>
    <row r="3565" spans="1:4" ht="12.75" customHeight="1" x14ac:dyDescent="0.2">
      <c r="A3565" s="21"/>
      <c r="B3565" s="3" t="s">
        <v>17</v>
      </c>
      <c r="C3565" s="20"/>
      <c r="D3565" s="21"/>
    </row>
    <row r="3566" spans="1:4" ht="12.75" customHeight="1" x14ac:dyDescent="0.2">
      <c r="A3566" s="21"/>
      <c r="B3566" s="20" t="s">
        <v>18</v>
      </c>
      <c r="C3566" s="4" t="s">
        <v>56</v>
      </c>
      <c r="D3566" s="6" t="str">
        <f>HYPERLINK("javascript:void(0)","rúna")</f>
        <v>rúna</v>
      </c>
    </row>
    <row r="3567" spans="1:4" ht="12.75" customHeight="1" x14ac:dyDescent="0.2">
      <c r="A3567" s="21"/>
      <c r="B3567" s="21"/>
      <c r="C3567" s="4" t="s">
        <v>232</v>
      </c>
      <c r="D3567" s="6" t="str">
        <f>HYPERLINK("javascript:void(0)","gigacsáp")</f>
        <v>gigacsáp</v>
      </c>
    </row>
    <row r="3568" spans="1:4" ht="12.75" customHeight="1" x14ac:dyDescent="0.2">
      <c r="A3568" s="21"/>
      <c r="B3568" s="21"/>
      <c r="C3568" s="4" t="s">
        <v>184</v>
      </c>
      <c r="D3568" s="6" t="str">
        <f>HYPERLINK("javascript:void(0)","nukleon")</f>
        <v>nukleon</v>
      </c>
    </row>
    <row r="3569" spans="1:4" ht="12.75" customHeight="1" x14ac:dyDescent="0.2">
      <c r="A3569" s="5"/>
      <c r="B3569" s="2"/>
      <c r="C3569" s="2"/>
      <c r="D3569" s="2"/>
    </row>
    <row r="3570" spans="1:4" ht="12.75" customHeight="1" x14ac:dyDescent="0.2">
      <c r="A3570" s="22" t="str">
        <f>HYPERLINK("javascript:void(0)","prémes buzogány")</f>
        <v>prémes buzogány</v>
      </c>
      <c r="B3570" s="21"/>
      <c r="C3570" s="21"/>
      <c r="D3570" s="21"/>
    </row>
    <row r="3571" spans="1:4" ht="12.75" customHeight="1" x14ac:dyDescent="0.2">
      <c r="A3571" s="20"/>
      <c r="B3571" s="2"/>
      <c r="C3571" s="2"/>
      <c r="D3571" s="2"/>
    </row>
    <row r="3572" spans="1:4" ht="12.75" customHeight="1" x14ac:dyDescent="0.2">
      <c r="A3572" s="21"/>
      <c r="B3572" s="3" t="s">
        <v>0</v>
      </c>
      <c r="C3572" s="20" t="s">
        <v>245</v>
      </c>
      <c r="D3572" s="21"/>
    </row>
    <row r="3573" spans="1:4" ht="12.75" customHeight="1" x14ac:dyDescent="0.2">
      <c r="A3573" s="21"/>
      <c r="B3573" s="3" t="s">
        <v>2</v>
      </c>
      <c r="C3573" s="20" t="s">
        <v>122</v>
      </c>
      <c r="D3573" s="21"/>
    </row>
    <row r="3574" spans="1:4" ht="12.75" customHeight="1" x14ac:dyDescent="0.2">
      <c r="A3574" s="21"/>
      <c r="B3574" s="3" t="s">
        <v>4</v>
      </c>
      <c r="C3574" s="20" t="s">
        <v>1146</v>
      </c>
      <c r="D3574" s="21"/>
    </row>
    <row r="3575" spans="1:4" ht="12.75" customHeight="1" x14ac:dyDescent="0.2">
      <c r="A3575" s="21"/>
      <c r="B3575" s="3" t="s">
        <v>6</v>
      </c>
      <c r="C3575" s="20" t="s">
        <v>353</v>
      </c>
      <c r="D3575" s="21"/>
    </row>
    <row r="3576" spans="1:4" ht="12.75" customHeight="1" x14ac:dyDescent="0.2">
      <c r="A3576" s="21"/>
      <c r="B3576" s="3" t="s">
        <v>8</v>
      </c>
      <c r="C3576" s="20" t="s">
        <v>1146</v>
      </c>
      <c r="D3576" s="21"/>
    </row>
    <row r="3577" spans="1:4" ht="12.75" customHeight="1" x14ac:dyDescent="0.2">
      <c r="A3577" s="21"/>
      <c r="B3577" s="3" t="s">
        <v>9</v>
      </c>
      <c r="C3577" s="20" t="s">
        <v>36</v>
      </c>
      <c r="D3577" s="21"/>
    </row>
    <row r="3578" spans="1:4" ht="12.75" customHeight="1" x14ac:dyDescent="0.2">
      <c r="A3578" s="21"/>
      <c r="B3578" s="3" t="s">
        <v>11</v>
      </c>
      <c r="C3578" s="20" t="s">
        <v>679</v>
      </c>
      <c r="D3578" s="21"/>
    </row>
    <row r="3579" spans="1:4" ht="12.75" customHeight="1" x14ac:dyDescent="0.2">
      <c r="A3579" s="21"/>
      <c r="B3579" s="3" t="s">
        <v>13</v>
      </c>
      <c r="C3579" s="20" t="s">
        <v>24</v>
      </c>
      <c r="D3579" s="21"/>
    </row>
    <row r="3580" spans="1:4" ht="12.75" customHeight="1" x14ac:dyDescent="0.2">
      <c r="A3580" s="21"/>
      <c r="B3580" s="3" t="s">
        <v>15</v>
      </c>
      <c r="C3580" s="20" t="s">
        <v>24</v>
      </c>
      <c r="D3580" s="21"/>
    </row>
    <row r="3581" spans="1:4" ht="12.75" customHeight="1" x14ac:dyDescent="0.2">
      <c r="A3581" s="21"/>
      <c r="B3581" s="3" t="s">
        <v>16</v>
      </c>
      <c r="C3581" s="20"/>
      <c r="D3581" s="21"/>
    </row>
    <row r="3582" spans="1:4" ht="12.75" customHeight="1" x14ac:dyDescent="0.2">
      <c r="A3582" s="21"/>
      <c r="B3582" s="3" t="s">
        <v>17</v>
      </c>
      <c r="C3582" s="20"/>
      <c r="D3582" s="21"/>
    </row>
    <row r="3583" spans="1:4" ht="12.75" customHeight="1" x14ac:dyDescent="0.2">
      <c r="A3583" s="21"/>
      <c r="B3583" s="20" t="s">
        <v>18</v>
      </c>
      <c r="C3583" s="4" t="s">
        <v>57</v>
      </c>
      <c r="D3583" s="6" t="str">
        <f>HYPERLINK("javascript:void(0)","pamacsprém")</f>
        <v>pamacsprém</v>
      </c>
    </row>
    <row r="3584" spans="1:4" ht="12.75" customHeight="1" x14ac:dyDescent="0.2">
      <c r="A3584" s="21"/>
      <c r="B3584" s="21"/>
      <c r="C3584" s="4" t="s">
        <v>68</v>
      </c>
      <c r="D3584" s="6" t="str">
        <f>HYPERLINK("javascript:void(0)","vasorr")</f>
        <v>vasorr</v>
      </c>
    </row>
    <row r="3585" spans="1:4" ht="12.75" customHeight="1" x14ac:dyDescent="0.2">
      <c r="A3585" s="21"/>
      <c r="B3585" s="21"/>
      <c r="C3585" s="4" t="s">
        <v>163</v>
      </c>
      <c r="D3585" s="6" t="str">
        <f>HYPERLINK("javascript:void(0)","mechodron")</f>
        <v>mechodron</v>
      </c>
    </row>
    <row r="3586" spans="1:4" ht="12.75" customHeight="1" x14ac:dyDescent="0.2">
      <c r="A3586" s="5"/>
      <c r="B3586" s="2"/>
      <c r="C3586" s="2"/>
      <c r="D3586" s="2"/>
    </row>
    <row r="3587" spans="1:4" ht="12.75" customHeight="1" x14ac:dyDescent="0.2">
      <c r="A3587" s="22" t="str">
        <f>HYPERLINK("javascript:void(0)","prémes mágusölő")</f>
        <v>prémes mágusölő</v>
      </c>
      <c r="B3587" s="21"/>
      <c r="C3587" s="21"/>
      <c r="D3587" s="21"/>
    </row>
    <row r="3588" spans="1:4" ht="12.75" customHeight="1" x14ac:dyDescent="0.2">
      <c r="A3588" s="20"/>
      <c r="B3588" s="2"/>
      <c r="C3588" s="2"/>
      <c r="D3588" s="2"/>
    </row>
    <row r="3589" spans="1:4" ht="12.75" customHeight="1" x14ac:dyDescent="0.2">
      <c r="A3589" s="21"/>
      <c r="B3589" s="3" t="s">
        <v>0</v>
      </c>
      <c r="C3589" s="20" t="s">
        <v>245</v>
      </c>
      <c r="D3589" s="21"/>
    </row>
    <row r="3590" spans="1:4" ht="12.75" customHeight="1" x14ac:dyDescent="0.2">
      <c r="A3590" s="21"/>
      <c r="B3590" s="3" t="s">
        <v>2</v>
      </c>
      <c r="C3590" s="20" t="s">
        <v>122</v>
      </c>
      <c r="D3590" s="21"/>
    </row>
    <row r="3591" spans="1:4" ht="12.75" customHeight="1" x14ac:dyDescent="0.2">
      <c r="A3591" s="21"/>
      <c r="B3591" s="3" t="s">
        <v>4</v>
      </c>
      <c r="C3591" s="20" t="s">
        <v>1149</v>
      </c>
      <c r="D3591" s="21"/>
    </row>
    <row r="3592" spans="1:4" ht="12.75" customHeight="1" x14ac:dyDescent="0.2">
      <c r="A3592" s="21"/>
      <c r="B3592" s="3" t="s">
        <v>6</v>
      </c>
      <c r="C3592" s="20" t="s">
        <v>48</v>
      </c>
      <c r="D3592" s="21"/>
    </row>
    <row r="3593" spans="1:4" ht="12.75" customHeight="1" x14ac:dyDescent="0.2">
      <c r="A3593" s="21"/>
      <c r="B3593" s="3" t="s">
        <v>8</v>
      </c>
      <c r="C3593" s="20" t="s">
        <v>1149</v>
      </c>
      <c r="D3593" s="21"/>
    </row>
    <row r="3594" spans="1:4" ht="12.75" customHeight="1" x14ac:dyDescent="0.2">
      <c r="A3594" s="21"/>
      <c r="B3594" s="3" t="s">
        <v>9</v>
      </c>
      <c r="C3594" s="20" t="s">
        <v>1150</v>
      </c>
      <c r="D3594" s="21"/>
    </row>
    <row r="3595" spans="1:4" ht="12.75" customHeight="1" x14ac:dyDescent="0.2">
      <c r="A3595" s="21"/>
      <c r="B3595" s="3" t="s">
        <v>11</v>
      </c>
      <c r="C3595" s="20" t="s">
        <v>770</v>
      </c>
      <c r="D3595" s="21"/>
    </row>
    <row r="3596" spans="1:4" ht="12.75" customHeight="1" x14ac:dyDescent="0.2">
      <c r="A3596" s="21"/>
      <c r="B3596" s="3" t="s">
        <v>13</v>
      </c>
      <c r="C3596" s="20" t="s">
        <v>14</v>
      </c>
      <c r="D3596" s="21"/>
    </row>
    <row r="3597" spans="1:4" ht="12.75" customHeight="1" x14ac:dyDescent="0.2">
      <c r="A3597" s="21"/>
      <c r="B3597" s="3" t="s">
        <v>15</v>
      </c>
      <c r="C3597" s="20" t="s">
        <v>24</v>
      </c>
      <c r="D3597" s="21"/>
    </row>
    <row r="3598" spans="1:4" ht="12.75" customHeight="1" x14ac:dyDescent="0.2">
      <c r="A3598" s="21"/>
      <c r="B3598" s="3" t="s">
        <v>16</v>
      </c>
      <c r="C3598" s="20"/>
      <c r="D3598" s="21"/>
    </row>
    <row r="3599" spans="1:4" ht="12.75" customHeight="1" x14ac:dyDescent="0.2">
      <c r="A3599" s="21"/>
      <c r="B3599" s="3" t="s">
        <v>17</v>
      </c>
      <c r="C3599" s="20"/>
      <c r="D3599" s="21"/>
    </row>
    <row r="3600" spans="1:4" ht="12.75" customHeight="1" x14ac:dyDescent="0.2">
      <c r="A3600" s="21"/>
      <c r="B3600" s="20" t="s">
        <v>18</v>
      </c>
      <c r="C3600" s="4" t="s">
        <v>68</v>
      </c>
      <c r="D3600" s="6" t="str">
        <f>HYPERLINK("javascript:void(0)","pamacsprém")</f>
        <v>pamacsprém</v>
      </c>
    </row>
    <row r="3601" spans="1:4" ht="12.75" customHeight="1" x14ac:dyDescent="0.2">
      <c r="A3601" s="21"/>
      <c r="B3601" s="21"/>
      <c r="C3601" s="4" t="s">
        <v>117</v>
      </c>
      <c r="D3601" s="6" t="str">
        <f>HYPERLINK("javascript:void(0)","kárópikkely")</f>
        <v>kárópikkely</v>
      </c>
    </row>
    <row r="3602" spans="1:4" ht="12.75" customHeight="1" x14ac:dyDescent="0.2">
      <c r="A3602" s="21"/>
      <c r="B3602" s="21"/>
      <c r="C3602" s="4" t="s">
        <v>130</v>
      </c>
      <c r="D3602" s="6" t="str">
        <f>HYPERLINK("javascript:void(0)","ámbra")</f>
        <v>ámbra</v>
      </c>
    </row>
    <row r="3603" spans="1:4" ht="12.75" customHeight="1" x14ac:dyDescent="0.2">
      <c r="A3603" s="5"/>
      <c r="B3603" s="2"/>
      <c r="C3603" s="2"/>
      <c r="D3603" s="2"/>
    </row>
    <row r="3604" spans="1:4" ht="12.75" customHeight="1" x14ac:dyDescent="0.2">
      <c r="A3604" s="22" t="str">
        <f>HYPERLINK("javascript:void(0)","szilpenge")</f>
        <v>szilpenge</v>
      </c>
      <c r="B3604" s="21"/>
      <c r="C3604" s="21"/>
      <c r="D3604" s="21"/>
    </row>
    <row r="3605" spans="1:4" ht="12.75" customHeight="1" x14ac:dyDescent="0.2">
      <c r="A3605" s="20"/>
      <c r="B3605" s="2"/>
      <c r="C3605" s="2"/>
      <c r="D3605" s="2"/>
    </row>
    <row r="3606" spans="1:4" ht="12.75" customHeight="1" x14ac:dyDescent="0.2">
      <c r="A3606" s="21"/>
      <c r="B3606" s="3" t="s">
        <v>0</v>
      </c>
      <c r="C3606" s="20" t="s">
        <v>245</v>
      </c>
      <c r="D3606" s="21"/>
    </row>
    <row r="3607" spans="1:4" ht="12.75" customHeight="1" x14ac:dyDescent="0.2">
      <c r="A3607" s="21"/>
      <c r="B3607" s="3" t="s">
        <v>2</v>
      </c>
      <c r="C3607" s="20" t="s">
        <v>122</v>
      </c>
      <c r="D3607" s="21"/>
    </row>
    <row r="3608" spans="1:4" ht="12.75" customHeight="1" x14ac:dyDescent="0.2">
      <c r="A3608" s="21"/>
      <c r="B3608" s="3" t="s">
        <v>4</v>
      </c>
      <c r="C3608" s="20" t="s">
        <v>533</v>
      </c>
      <c r="D3608" s="21"/>
    </row>
    <row r="3609" spans="1:4" ht="12.75" customHeight="1" x14ac:dyDescent="0.2">
      <c r="A3609" s="21"/>
      <c r="B3609" s="3" t="s">
        <v>6</v>
      </c>
      <c r="C3609" s="20" t="s">
        <v>21</v>
      </c>
      <c r="D3609" s="21"/>
    </row>
    <row r="3610" spans="1:4" ht="12.75" customHeight="1" x14ac:dyDescent="0.2">
      <c r="A3610" s="21"/>
      <c r="B3610" s="3" t="s">
        <v>8</v>
      </c>
      <c r="C3610" s="20" t="s">
        <v>533</v>
      </c>
      <c r="D3610" s="21"/>
    </row>
    <row r="3611" spans="1:4" ht="12.75" customHeight="1" x14ac:dyDescent="0.2">
      <c r="A3611" s="21"/>
      <c r="B3611" s="3" t="s">
        <v>9</v>
      </c>
      <c r="C3611" s="20" t="s">
        <v>42</v>
      </c>
      <c r="D3611" s="21"/>
    </row>
    <row r="3612" spans="1:4" ht="12.75" customHeight="1" x14ac:dyDescent="0.2">
      <c r="A3612" s="21"/>
      <c r="B3612" s="3" t="s">
        <v>11</v>
      </c>
      <c r="C3612" s="20" t="s">
        <v>542</v>
      </c>
      <c r="D3612" s="21"/>
    </row>
    <row r="3613" spans="1:4" ht="12.75" customHeight="1" x14ac:dyDescent="0.2">
      <c r="A3613" s="21"/>
      <c r="B3613" s="3" t="s">
        <v>13</v>
      </c>
      <c r="C3613" s="20" t="s">
        <v>24</v>
      </c>
      <c r="D3613" s="21"/>
    </row>
    <row r="3614" spans="1:4" ht="12.75" customHeight="1" x14ac:dyDescent="0.2">
      <c r="A3614" s="21"/>
      <c r="B3614" s="3" t="s">
        <v>15</v>
      </c>
      <c r="C3614" s="20" t="s">
        <v>24</v>
      </c>
      <c r="D3614" s="21"/>
    </row>
    <row r="3615" spans="1:4" ht="12.75" customHeight="1" x14ac:dyDescent="0.2">
      <c r="A3615" s="21"/>
      <c r="B3615" s="3" t="s">
        <v>16</v>
      </c>
      <c r="C3615" s="20"/>
      <c r="D3615" s="21"/>
    </row>
    <row r="3616" spans="1:4" ht="12.75" customHeight="1" x14ac:dyDescent="0.2">
      <c r="A3616" s="21"/>
      <c r="B3616" s="3" t="s">
        <v>17</v>
      </c>
      <c r="C3616" s="20"/>
      <c r="D3616" s="21"/>
    </row>
    <row r="3617" spans="1:4" ht="12.75" customHeight="1" x14ac:dyDescent="0.2">
      <c r="A3617" s="21"/>
      <c r="B3617" s="20" t="s">
        <v>18</v>
      </c>
      <c r="C3617" s="4" t="s">
        <v>56</v>
      </c>
      <c r="D3617" s="6" t="str">
        <f>HYPERLINK("javascript:void(0)","negatívum")</f>
        <v>negatívum</v>
      </c>
    </row>
    <row r="3618" spans="1:4" ht="12.75" customHeight="1" x14ac:dyDescent="0.2">
      <c r="A3618" s="21"/>
      <c r="B3618" s="21"/>
      <c r="C3618" s="4" t="s">
        <v>212</v>
      </c>
      <c r="D3618" s="6" t="str">
        <f>HYPERLINK("javascript:void(0)","ámbra")</f>
        <v>ámbra</v>
      </c>
    </row>
    <row r="3619" spans="1:4" ht="12.75" customHeight="1" x14ac:dyDescent="0.2">
      <c r="A3619" s="21"/>
      <c r="B3619" s="21"/>
      <c r="C3619" s="4" t="s">
        <v>232</v>
      </c>
      <c r="D3619" s="6" t="str">
        <f>HYPERLINK("javascript:void(0)","rúna")</f>
        <v>rúna</v>
      </c>
    </row>
    <row r="3620" spans="1:4" ht="12.75" customHeight="1" x14ac:dyDescent="0.2">
      <c r="A3620" s="5"/>
      <c r="B3620" s="2"/>
      <c r="C3620" s="2"/>
      <c r="D3620" s="2"/>
    </row>
    <row r="3621" spans="1:4" ht="12.75" customHeight="1" x14ac:dyDescent="0.2">
      <c r="A3621" s="22" t="str">
        <f>HYPERLINK("javascript:void(0)","fénylő husáng")</f>
        <v>fénylő husáng</v>
      </c>
      <c r="B3621" s="21"/>
      <c r="C3621" s="21"/>
      <c r="D3621" s="21"/>
    </row>
    <row r="3622" spans="1:4" ht="12.75" customHeight="1" x14ac:dyDescent="0.2">
      <c r="A3622" s="20"/>
      <c r="B3622" s="2"/>
      <c r="C3622" s="2"/>
      <c r="D3622" s="2"/>
    </row>
    <row r="3623" spans="1:4" ht="12.75" customHeight="1" x14ac:dyDescent="0.2">
      <c r="A3623" s="21"/>
      <c r="B3623" s="3" t="s">
        <v>0</v>
      </c>
      <c r="C3623" s="20" t="s">
        <v>671</v>
      </c>
      <c r="D3623" s="21"/>
    </row>
    <row r="3624" spans="1:4" ht="12.75" customHeight="1" x14ac:dyDescent="0.2">
      <c r="A3624" s="21"/>
      <c r="B3624" s="3" t="s">
        <v>2</v>
      </c>
      <c r="C3624" s="20" t="s">
        <v>122</v>
      </c>
      <c r="D3624" s="21"/>
    </row>
    <row r="3625" spans="1:4" ht="12.75" customHeight="1" x14ac:dyDescent="0.2">
      <c r="A3625" s="21"/>
      <c r="B3625" s="3" t="s">
        <v>4</v>
      </c>
      <c r="C3625" s="20" t="s">
        <v>1156</v>
      </c>
      <c r="D3625" s="21"/>
    </row>
    <row r="3626" spans="1:4" ht="12.75" customHeight="1" x14ac:dyDescent="0.2">
      <c r="A3626" s="21"/>
      <c r="B3626" s="3" t="s">
        <v>6</v>
      </c>
      <c r="C3626" s="20" t="s">
        <v>107</v>
      </c>
      <c r="D3626" s="21"/>
    </row>
    <row r="3627" spans="1:4" ht="12.75" customHeight="1" x14ac:dyDescent="0.2">
      <c r="A3627" s="21"/>
      <c r="B3627" s="3" t="s">
        <v>8</v>
      </c>
      <c r="C3627" s="20" t="s">
        <v>1156</v>
      </c>
      <c r="D3627" s="21"/>
    </row>
    <row r="3628" spans="1:4" ht="12.75" customHeight="1" x14ac:dyDescent="0.2">
      <c r="A3628" s="21"/>
      <c r="B3628" s="3" t="s">
        <v>9</v>
      </c>
      <c r="C3628" s="20" t="s">
        <v>93</v>
      </c>
      <c r="D3628" s="21"/>
    </row>
    <row r="3629" spans="1:4" ht="12.75" customHeight="1" x14ac:dyDescent="0.2">
      <c r="A3629" s="21"/>
      <c r="B3629" s="3" t="s">
        <v>11</v>
      </c>
      <c r="C3629" s="20" t="s">
        <v>684</v>
      </c>
      <c r="D3629" s="21"/>
    </row>
    <row r="3630" spans="1:4" ht="12.75" customHeight="1" x14ac:dyDescent="0.2">
      <c r="A3630" s="21"/>
      <c r="B3630" s="3" t="s">
        <v>13</v>
      </c>
      <c r="C3630" s="20" t="s">
        <v>24</v>
      </c>
      <c r="D3630" s="21"/>
    </row>
    <row r="3631" spans="1:4" ht="12.75" customHeight="1" x14ac:dyDescent="0.2">
      <c r="A3631" s="21"/>
      <c r="B3631" s="3" t="s">
        <v>15</v>
      </c>
      <c r="C3631" s="20" t="s">
        <v>24</v>
      </c>
      <c r="D3631" s="21"/>
    </row>
    <row r="3632" spans="1:4" ht="12.75" customHeight="1" x14ac:dyDescent="0.2">
      <c r="A3632" s="21"/>
      <c r="B3632" s="3" t="s">
        <v>16</v>
      </c>
      <c r="C3632" s="20"/>
      <c r="D3632" s="21"/>
    </row>
    <row r="3633" spans="1:4" ht="12.75" customHeight="1" x14ac:dyDescent="0.2">
      <c r="A3633" s="21"/>
      <c r="B3633" s="3" t="s">
        <v>17</v>
      </c>
      <c r="C3633" s="20"/>
      <c r="D3633" s="21"/>
    </row>
    <row r="3634" spans="1:4" ht="12.75" customHeight="1" x14ac:dyDescent="0.2">
      <c r="A3634" s="21"/>
      <c r="B3634" s="20" t="s">
        <v>18</v>
      </c>
      <c r="C3634" s="4" t="s">
        <v>44</v>
      </c>
      <c r="D3634" s="6" t="str">
        <f>HYPERLINK("javascript:void(0)","rúnakalapács")</f>
        <v>rúnakalapács</v>
      </c>
    </row>
    <row r="3635" spans="1:4" ht="12.75" customHeight="1" x14ac:dyDescent="0.2">
      <c r="A3635" s="21"/>
      <c r="B3635" s="21"/>
      <c r="C3635" s="4" t="s">
        <v>44</v>
      </c>
      <c r="D3635" s="6" t="str">
        <f>HYPERLINK("javascript:void(0)","prémes buzogány")</f>
        <v>prémes buzogány</v>
      </c>
    </row>
    <row r="3636" spans="1:4" ht="12.75" customHeight="1" x14ac:dyDescent="0.2">
      <c r="A3636" s="21"/>
      <c r="B3636" s="21"/>
      <c r="C3636" s="4" t="s">
        <v>44</v>
      </c>
      <c r="D3636" s="6" t="str">
        <f>HYPERLINK("javascript:void(0)","luxor")</f>
        <v>luxor</v>
      </c>
    </row>
    <row r="3637" spans="1:4" ht="12.75" customHeight="1" x14ac:dyDescent="0.2">
      <c r="A3637" s="5"/>
      <c r="B3637" s="2"/>
      <c r="C3637" s="2"/>
      <c r="D3637" s="2"/>
    </row>
    <row r="3638" spans="1:4" ht="12.75" customHeight="1" x14ac:dyDescent="0.2">
      <c r="A3638" s="22" t="str">
        <f>HYPERLINK("javascript:void(0)","éjsötét ballaszt")</f>
        <v>éjsötét ballaszt</v>
      </c>
      <c r="B3638" s="21"/>
      <c r="C3638" s="21"/>
      <c r="D3638" s="21"/>
    </row>
    <row r="3639" spans="1:4" ht="12.75" customHeight="1" x14ac:dyDescent="0.2">
      <c r="A3639" s="20"/>
      <c r="B3639" s="2"/>
      <c r="C3639" s="2"/>
      <c r="D3639" s="2"/>
    </row>
    <row r="3640" spans="1:4" ht="12.75" customHeight="1" x14ac:dyDescent="0.2">
      <c r="A3640" s="21"/>
      <c r="B3640" s="3" t="s">
        <v>0</v>
      </c>
      <c r="C3640" s="20" t="s">
        <v>671</v>
      </c>
      <c r="D3640" s="21"/>
    </row>
    <row r="3641" spans="1:4" ht="12.75" customHeight="1" x14ac:dyDescent="0.2">
      <c r="A3641" s="21"/>
      <c r="B3641" s="3" t="s">
        <v>2</v>
      </c>
      <c r="C3641" s="20" t="s">
        <v>122</v>
      </c>
      <c r="D3641" s="21"/>
    </row>
    <row r="3642" spans="1:4" ht="12.75" customHeight="1" x14ac:dyDescent="0.2">
      <c r="A3642" s="21"/>
      <c r="B3642" s="3" t="s">
        <v>4</v>
      </c>
      <c r="C3642" s="20" t="s">
        <v>1158</v>
      </c>
      <c r="D3642" s="21"/>
    </row>
    <row r="3643" spans="1:4" ht="12.75" customHeight="1" x14ac:dyDescent="0.2">
      <c r="A3643" s="21"/>
      <c r="B3643" s="3" t="s">
        <v>6</v>
      </c>
      <c r="C3643" s="20" t="s">
        <v>206</v>
      </c>
      <c r="D3643" s="21"/>
    </row>
    <row r="3644" spans="1:4" ht="12.75" customHeight="1" x14ac:dyDescent="0.2">
      <c r="A3644" s="21"/>
      <c r="B3644" s="3" t="s">
        <v>8</v>
      </c>
      <c r="C3644" s="20" t="s">
        <v>1158</v>
      </c>
      <c r="D3644" s="21"/>
    </row>
    <row r="3645" spans="1:4" ht="12.75" customHeight="1" x14ac:dyDescent="0.2">
      <c r="A3645" s="21"/>
      <c r="B3645" s="3" t="s">
        <v>9</v>
      </c>
      <c r="C3645" s="20" t="s">
        <v>1160</v>
      </c>
      <c r="D3645" s="21"/>
    </row>
    <row r="3646" spans="1:4" ht="12.75" customHeight="1" x14ac:dyDescent="0.2">
      <c r="A3646" s="21"/>
      <c r="B3646" s="3" t="s">
        <v>11</v>
      </c>
      <c r="C3646" s="20" t="s">
        <v>901</v>
      </c>
      <c r="D3646" s="21"/>
    </row>
    <row r="3647" spans="1:4" ht="12.75" customHeight="1" x14ac:dyDescent="0.2">
      <c r="A3647" s="21"/>
      <c r="B3647" s="3" t="s">
        <v>13</v>
      </c>
      <c r="C3647" s="20" t="s">
        <v>24</v>
      </c>
      <c r="D3647" s="21"/>
    </row>
    <row r="3648" spans="1:4" ht="12.75" customHeight="1" x14ac:dyDescent="0.2">
      <c r="A3648" s="21"/>
      <c r="B3648" s="3" t="s">
        <v>15</v>
      </c>
      <c r="C3648" s="20" t="s">
        <v>24</v>
      </c>
      <c r="D3648" s="21"/>
    </row>
    <row r="3649" spans="1:4" ht="12.75" customHeight="1" x14ac:dyDescent="0.2">
      <c r="A3649" s="21"/>
      <c r="B3649" s="3" t="s">
        <v>16</v>
      </c>
      <c r="C3649" s="20"/>
      <c r="D3649" s="21"/>
    </row>
    <row r="3650" spans="1:4" ht="12.75" customHeight="1" x14ac:dyDescent="0.2">
      <c r="A3650" s="21"/>
      <c r="B3650" s="3" t="s">
        <v>17</v>
      </c>
      <c r="C3650" s="20"/>
      <c r="D3650" s="21"/>
    </row>
    <row r="3651" spans="1:4" ht="12.75" customHeight="1" x14ac:dyDescent="0.2">
      <c r="A3651" s="21"/>
      <c r="B3651" s="20" t="s">
        <v>18</v>
      </c>
      <c r="C3651" s="4" t="s">
        <v>68</v>
      </c>
      <c r="D3651" s="6" t="str">
        <f>HYPERLINK("javascript:void(0)","negatívum")</f>
        <v>negatívum</v>
      </c>
    </row>
    <row r="3652" spans="1:4" ht="12.75" customHeight="1" x14ac:dyDescent="0.2">
      <c r="A3652" s="21"/>
      <c r="B3652" s="21"/>
      <c r="C3652" s="4" t="s">
        <v>117</v>
      </c>
      <c r="D3652" s="6" t="str">
        <f>HYPERLINK("javascript:void(0)","éjfény")</f>
        <v>éjfény</v>
      </c>
    </row>
    <row r="3653" spans="1:4" ht="12.75" customHeight="1" x14ac:dyDescent="0.2">
      <c r="A3653" s="21"/>
      <c r="B3653" s="21"/>
      <c r="C3653" s="4" t="s">
        <v>130</v>
      </c>
      <c r="D3653" s="6" t="str">
        <f>HYPERLINK("javascript:void(0)","nukleon")</f>
        <v>nukleon</v>
      </c>
    </row>
    <row r="3654" spans="1:4" ht="12.75" customHeight="1" x14ac:dyDescent="0.2">
      <c r="A3654" s="5"/>
      <c r="B3654" s="2"/>
      <c r="C3654" s="2"/>
      <c r="D3654" s="2"/>
    </row>
    <row r="3655" spans="1:4" ht="12.75" customHeight="1" x14ac:dyDescent="0.2">
      <c r="A3655" s="22" t="str">
        <f>HYPERLINK("javascript:void(0)","gyíkacél pöröly")</f>
        <v>gyíkacél pöröly</v>
      </c>
      <c r="B3655" s="21"/>
      <c r="C3655" s="21"/>
      <c r="D3655" s="21"/>
    </row>
    <row r="3656" spans="1:4" ht="12.75" customHeight="1" x14ac:dyDescent="0.2">
      <c r="A3656" s="20"/>
      <c r="B3656" s="2"/>
      <c r="C3656" s="2"/>
      <c r="D3656" s="2"/>
    </row>
    <row r="3657" spans="1:4" ht="12.75" customHeight="1" x14ac:dyDescent="0.2">
      <c r="A3657" s="21"/>
      <c r="B3657" s="3" t="s">
        <v>0</v>
      </c>
      <c r="C3657" s="20" t="s">
        <v>671</v>
      </c>
      <c r="D3657" s="21"/>
    </row>
    <row r="3658" spans="1:4" ht="12.75" customHeight="1" x14ac:dyDescent="0.2">
      <c r="A3658" s="21"/>
      <c r="B3658" s="3" t="s">
        <v>2</v>
      </c>
      <c r="C3658" s="20" t="s">
        <v>122</v>
      </c>
      <c r="D3658" s="21"/>
    </row>
    <row r="3659" spans="1:4" ht="12.75" customHeight="1" x14ac:dyDescent="0.2">
      <c r="A3659" s="21"/>
      <c r="B3659" s="3" t="s">
        <v>4</v>
      </c>
      <c r="C3659" s="20" t="s">
        <v>1162</v>
      </c>
      <c r="D3659" s="21"/>
    </row>
    <row r="3660" spans="1:4" ht="12.75" customHeight="1" x14ac:dyDescent="0.2">
      <c r="A3660" s="21"/>
      <c r="B3660" s="3" t="s">
        <v>6</v>
      </c>
      <c r="C3660" s="20" t="s">
        <v>107</v>
      </c>
      <c r="D3660" s="21"/>
    </row>
    <row r="3661" spans="1:4" ht="12.75" customHeight="1" x14ac:dyDescent="0.2">
      <c r="A3661" s="21"/>
      <c r="B3661" s="3" t="s">
        <v>8</v>
      </c>
      <c r="C3661" s="20" t="s">
        <v>1162</v>
      </c>
      <c r="D3661" s="21"/>
    </row>
    <row r="3662" spans="1:4" ht="12.75" customHeight="1" x14ac:dyDescent="0.2">
      <c r="A3662" s="21"/>
      <c r="B3662" s="3" t="s">
        <v>9</v>
      </c>
      <c r="C3662" s="20" t="s">
        <v>1164</v>
      </c>
      <c r="D3662" s="21"/>
    </row>
    <row r="3663" spans="1:4" ht="12.75" customHeight="1" x14ac:dyDescent="0.2">
      <c r="A3663" s="21"/>
      <c r="B3663" s="3" t="s">
        <v>11</v>
      </c>
      <c r="C3663" s="20" t="s">
        <v>497</v>
      </c>
      <c r="D3663" s="21"/>
    </row>
    <row r="3664" spans="1:4" ht="12.75" customHeight="1" x14ac:dyDescent="0.2">
      <c r="A3664" s="21"/>
      <c r="B3664" s="3" t="s">
        <v>13</v>
      </c>
      <c r="C3664" s="20" t="s">
        <v>24</v>
      </c>
      <c r="D3664" s="21"/>
    </row>
    <row r="3665" spans="1:4" ht="12.75" customHeight="1" x14ac:dyDescent="0.2">
      <c r="A3665" s="21"/>
      <c r="B3665" s="3" t="s">
        <v>15</v>
      </c>
      <c r="C3665" s="20" t="s">
        <v>24</v>
      </c>
      <c r="D3665" s="21"/>
    </row>
    <row r="3666" spans="1:4" ht="12.75" customHeight="1" x14ac:dyDescent="0.2">
      <c r="A3666" s="21"/>
      <c r="B3666" s="3" t="s">
        <v>16</v>
      </c>
      <c r="C3666" s="20"/>
      <c r="D3666" s="21"/>
    </row>
    <row r="3667" spans="1:4" ht="12.75" customHeight="1" x14ac:dyDescent="0.2">
      <c r="A3667" s="21"/>
      <c r="B3667" s="3" t="s">
        <v>17</v>
      </c>
      <c r="C3667" s="20"/>
      <c r="D3667" s="21"/>
    </row>
    <row r="3668" spans="1:4" ht="12.75" customHeight="1" x14ac:dyDescent="0.2">
      <c r="A3668" s="21"/>
      <c r="B3668" s="20" t="s">
        <v>18</v>
      </c>
      <c r="C3668" s="4" t="s">
        <v>232</v>
      </c>
      <c r="D3668" s="6" t="str">
        <f>HYPERLINK("javascript:void(0)","extra manaital")</f>
        <v>extra manaital</v>
      </c>
    </row>
    <row r="3669" spans="1:4" ht="12.75" customHeight="1" x14ac:dyDescent="0.2">
      <c r="A3669" s="21"/>
      <c r="B3669" s="21"/>
      <c r="C3669" s="4" t="s">
        <v>280</v>
      </c>
      <c r="D3669" s="6" t="str">
        <f>HYPERLINK("javascript:void(0)","szent szimbólum")</f>
        <v>szent szimbólum</v>
      </c>
    </row>
    <row r="3670" spans="1:4" ht="12.75" customHeight="1" x14ac:dyDescent="0.2">
      <c r="A3670" s="21"/>
      <c r="B3670" s="21"/>
      <c r="C3670" s="4" t="s">
        <v>193</v>
      </c>
      <c r="D3670" s="6" t="str">
        <f>HYPERLINK("javascript:void(0)","földige")</f>
        <v>földige</v>
      </c>
    </row>
    <row r="3671" spans="1:4" ht="12.75" customHeight="1" x14ac:dyDescent="0.2">
      <c r="A3671" s="5"/>
      <c r="B3671" s="2"/>
      <c r="C3671" s="2"/>
      <c r="D3671" s="2"/>
    </row>
    <row r="3672" spans="1:4" ht="12.75" customHeight="1" x14ac:dyDescent="0.2">
      <c r="A3672" s="22" t="str">
        <f>HYPERLINK("javascript:void(0)","luxor")</f>
        <v>luxor</v>
      </c>
      <c r="B3672" s="21"/>
      <c r="C3672" s="21"/>
      <c r="D3672" s="21"/>
    </row>
    <row r="3673" spans="1:4" ht="12.75" customHeight="1" x14ac:dyDescent="0.2">
      <c r="A3673" s="20"/>
      <c r="B3673" s="2"/>
      <c r="C3673" s="2"/>
      <c r="D3673" s="2"/>
    </row>
    <row r="3674" spans="1:4" ht="12.75" customHeight="1" x14ac:dyDescent="0.2">
      <c r="A3674" s="21"/>
      <c r="B3674" s="3" t="s">
        <v>0</v>
      </c>
      <c r="C3674" s="20" t="s">
        <v>671</v>
      </c>
      <c r="D3674" s="21"/>
    </row>
    <row r="3675" spans="1:4" ht="12.75" customHeight="1" x14ac:dyDescent="0.2">
      <c r="A3675" s="21"/>
      <c r="B3675" s="3" t="s">
        <v>2</v>
      </c>
      <c r="C3675" s="20" t="s">
        <v>122</v>
      </c>
      <c r="D3675" s="21"/>
    </row>
    <row r="3676" spans="1:4" ht="12.75" customHeight="1" x14ac:dyDescent="0.2">
      <c r="A3676" s="21"/>
      <c r="B3676" s="3" t="s">
        <v>4</v>
      </c>
      <c r="C3676" s="20" t="s">
        <v>533</v>
      </c>
      <c r="D3676" s="21"/>
    </row>
    <row r="3677" spans="1:4" ht="12.75" customHeight="1" x14ac:dyDescent="0.2">
      <c r="A3677" s="21"/>
      <c r="B3677" s="3" t="s">
        <v>6</v>
      </c>
      <c r="C3677" s="20" t="s">
        <v>21</v>
      </c>
      <c r="D3677" s="21"/>
    </row>
    <row r="3678" spans="1:4" ht="12.75" customHeight="1" x14ac:dyDescent="0.2">
      <c r="A3678" s="21"/>
      <c r="B3678" s="3" t="s">
        <v>8</v>
      </c>
      <c r="C3678" s="20" t="s">
        <v>533</v>
      </c>
      <c r="D3678" s="21"/>
    </row>
    <row r="3679" spans="1:4" ht="12.75" customHeight="1" x14ac:dyDescent="0.2">
      <c r="A3679" s="21"/>
      <c r="B3679" s="3" t="s">
        <v>9</v>
      </c>
      <c r="C3679" s="20" t="s">
        <v>42</v>
      </c>
      <c r="D3679" s="21"/>
    </row>
    <row r="3680" spans="1:4" ht="12.75" customHeight="1" x14ac:dyDescent="0.2">
      <c r="A3680" s="21"/>
      <c r="B3680" s="3" t="s">
        <v>11</v>
      </c>
      <c r="C3680" s="20" t="s">
        <v>552</v>
      </c>
      <c r="D3680" s="21"/>
    </row>
    <row r="3681" spans="1:4" ht="12.75" customHeight="1" x14ac:dyDescent="0.2">
      <c r="A3681" s="21"/>
      <c r="B3681" s="3" t="s">
        <v>13</v>
      </c>
      <c r="C3681" s="20" t="s">
        <v>24</v>
      </c>
      <c r="D3681" s="21"/>
    </row>
    <row r="3682" spans="1:4" ht="12.75" customHeight="1" x14ac:dyDescent="0.2">
      <c r="A3682" s="21"/>
      <c r="B3682" s="3" t="s">
        <v>15</v>
      </c>
      <c r="C3682" s="20" t="s">
        <v>24</v>
      </c>
      <c r="D3682" s="21"/>
    </row>
    <row r="3683" spans="1:4" ht="12.75" customHeight="1" x14ac:dyDescent="0.2">
      <c r="A3683" s="21"/>
      <c r="B3683" s="3" t="s">
        <v>16</v>
      </c>
      <c r="C3683" s="20"/>
      <c r="D3683" s="21"/>
    </row>
    <row r="3684" spans="1:4" ht="12.75" customHeight="1" x14ac:dyDescent="0.2">
      <c r="A3684" s="21"/>
      <c r="B3684" s="3" t="s">
        <v>17</v>
      </c>
      <c r="C3684" s="20"/>
      <c r="D3684" s="21"/>
    </row>
    <row r="3685" spans="1:4" ht="12.75" customHeight="1" x14ac:dyDescent="0.2">
      <c r="A3685" s="21"/>
      <c r="B3685" s="20" t="s">
        <v>18</v>
      </c>
      <c r="C3685" s="4" t="s">
        <v>56</v>
      </c>
      <c r="D3685" s="6" t="str">
        <f>HYPERLINK("javascript:void(0)","lux")</f>
        <v>lux</v>
      </c>
    </row>
    <row r="3686" spans="1:4" ht="12.75" customHeight="1" x14ac:dyDescent="0.2">
      <c r="A3686" s="21"/>
      <c r="B3686" s="21"/>
      <c r="C3686" s="4" t="s">
        <v>382</v>
      </c>
      <c r="D3686" s="6" t="str">
        <f>HYPERLINK("javascript:void(0)","elemi köpet")</f>
        <v>elemi köpet</v>
      </c>
    </row>
    <row r="3687" spans="1:4" ht="12.75" customHeight="1" x14ac:dyDescent="0.2">
      <c r="A3687" s="21"/>
      <c r="B3687" s="21"/>
      <c r="C3687" s="4" t="s">
        <v>1085</v>
      </c>
      <c r="D3687" s="6" t="str">
        <f>HYPERLINK("javascript:void(0)","nukleon")</f>
        <v>nukleon</v>
      </c>
    </row>
    <row r="3688" spans="1:4" ht="12.75" customHeight="1" x14ac:dyDescent="0.2">
      <c r="A3688" s="5"/>
      <c r="B3688" s="2"/>
      <c r="C3688" s="2"/>
      <c r="D3688" s="2"/>
    </row>
    <row r="3689" spans="1:4" ht="12.75" customHeight="1" x14ac:dyDescent="0.2">
      <c r="A3689" s="22" t="str">
        <f>HYPERLINK("javascript:void(0)","hypnoacél bunkó")</f>
        <v>hypnoacél bunkó</v>
      </c>
      <c r="B3689" s="21"/>
      <c r="C3689" s="21"/>
      <c r="D3689" s="21"/>
    </row>
    <row r="3690" spans="1:4" ht="12.75" customHeight="1" x14ac:dyDescent="0.2">
      <c r="A3690" s="20"/>
      <c r="B3690" s="2"/>
      <c r="C3690" s="2"/>
      <c r="D3690" s="2"/>
    </row>
    <row r="3691" spans="1:4" ht="12.75" customHeight="1" x14ac:dyDescent="0.2">
      <c r="A3691" s="21"/>
      <c r="B3691" s="3" t="s">
        <v>0</v>
      </c>
      <c r="C3691" s="20" t="s">
        <v>65</v>
      </c>
      <c r="D3691" s="21"/>
    </row>
    <row r="3692" spans="1:4" ht="12.75" customHeight="1" x14ac:dyDescent="0.2">
      <c r="A3692" s="21"/>
      <c r="B3692" s="3" t="s">
        <v>2</v>
      </c>
      <c r="C3692" s="20" t="s">
        <v>122</v>
      </c>
      <c r="D3692" s="21"/>
    </row>
    <row r="3693" spans="1:4" ht="12.75" customHeight="1" x14ac:dyDescent="0.2">
      <c r="A3693" s="21"/>
      <c r="B3693" s="3" t="s">
        <v>4</v>
      </c>
      <c r="C3693" s="20" t="s">
        <v>1169</v>
      </c>
      <c r="D3693" s="21"/>
    </row>
    <row r="3694" spans="1:4" ht="12.75" customHeight="1" x14ac:dyDescent="0.2">
      <c r="A3694" s="21"/>
      <c r="B3694" s="3" t="s">
        <v>6</v>
      </c>
      <c r="C3694" s="20" t="s">
        <v>392</v>
      </c>
      <c r="D3694" s="21"/>
    </row>
    <row r="3695" spans="1:4" ht="12.75" customHeight="1" x14ac:dyDescent="0.2">
      <c r="A3695" s="21"/>
      <c r="B3695" s="3" t="s">
        <v>8</v>
      </c>
      <c r="C3695" s="20" t="s">
        <v>1169</v>
      </c>
      <c r="D3695" s="21"/>
    </row>
    <row r="3696" spans="1:4" ht="12.75" customHeight="1" x14ac:dyDescent="0.2">
      <c r="A3696" s="21"/>
      <c r="B3696" s="3" t="s">
        <v>9</v>
      </c>
      <c r="C3696" s="20" t="s">
        <v>573</v>
      </c>
      <c r="D3696" s="21"/>
    </row>
    <row r="3697" spans="1:4" ht="12.75" customHeight="1" x14ac:dyDescent="0.2">
      <c r="A3697" s="21"/>
      <c r="B3697" s="3" t="s">
        <v>11</v>
      </c>
      <c r="C3697" s="20" t="s">
        <v>693</v>
      </c>
      <c r="D3697" s="21"/>
    </row>
    <row r="3698" spans="1:4" ht="12.75" customHeight="1" x14ac:dyDescent="0.2">
      <c r="A3698" s="21"/>
      <c r="B3698" s="3" t="s">
        <v>13</v>
      </c>
      <c r="C3698" s="20" t="s">
        <v>24</v>
      </c>
      <c r="D3698" s="21"/>
    </row>
    <row r="3699" spans="1:4" ht="12.75" customHeight="1" x14ac:dyDescent="0.2">
      <c r="A3699" s="21"/>
      <c r="B3699" s="3" t="s">
        <v>15</v>
      </c>
      <c r="C3699" s="20" t="s">
        <v>24</v>
      </c>
      <c r="D3699" s="21"/>
    </row>
    <row r="3700" spans="1:4" ht="12.75" customHeight="1" x14ac:dyDescent="0.2">
      <c r="A3700" s="21"/>
      <c r="B3700" s="3" t="s">
        <v>16</v>
      </c>
      <c r="C3700" s="20"/>
      <c r="D3700" s="21"/>
    </row>
    <row r="3701" spans="1:4" ht="12.75" customHeight="1" x14ac:dyDescent="0.2">
      <c r="A3701" s="21"/>
      <c r="B3701" s="3" t="s">
        <v>17</v>
      </c>
      <c r="C3701" s="20"/>
      <c r="D3701" s="21"/>
    </row>
    <row r="3702" spans="1:4" ht="12.75" customHeight="1" x14ac:dyDescent="0.2">
      <c r="A3702" s="21"/>
      <c r="B3702" s="20" t="s">
        <v>18</v>
      </c>
      <c r="C3702" s="4" t="s">
        <v>44</v>
      </c>
      <c r="D3702" s="6" t="str">
        <f>HYPERLINK("javascript:void(0)","fénylő husáng")</f>
        <v>fénylő husáng</v>
      </c>
    </row>
    <row r="3703" spans="1:4" ht="12.75" customHeight="1" x14ac:dyDescent="0.2">
      <c r="A3703" s="21"/>
      <c r="B3703" s="21"/>
      <c r="C3703" s="4" t="s">
        <v>232</v>
      </c>
      <c r="D3703" s="6" t="str">
        <f>HYPERLINK("javascript:void(0)","medúza csáp")</f>
        <v>medúza csáp</v>
      </c>
    </row>
    <row r="3704" spans="1:4" ht="12.75" customHeight="1" x14ac:dyDescent="0.2">
      <c r="A3704" s="21"/>
      <c r="B3704" s="21"/>
      <c r="C3704" s="4" t="s">
        <v>68</v>
      </c>
      <c r="D3704" s="6" t="str">
        <f>HYPERLINK("javascript:void(0)","hypnogén")</f>
        <v>hypnogén</v>
      </c>
    </row>
    <row r="3705" spans="1:4" ht="12.75" customHeight="1" x14ac:dyDescent="0.2">
      <c r="A3705" s="5"/>
      <c r="B3705" s="2"/>
      <c r="C3705" s="2"/>
      <c r="D3705" s="2"/>
    </row>
    <row r="3706" spans="1:4" ht="12.75" customHeight="1" x14ac:dyDescent="0.2">
      <c r="A3706" s="22" t="str">
        <f>HYPERLINK("javascript:void(0)","medúza mágusölő")</f>
        <v>medúza mágusölő</v>
      </c>
      <c r="B3706" s="21"/>
      <c r="C3706" s="21"/>
      <c r="D3706" s="21"/>
    </row>
    <row r="3707" spans="1:4" ht="12.75" customHeight="1" x14ac:dyDescent="0.2">
      <c r="A3707" s="20"/>
      <c r="B3707" s="2"/>
      <c r="C3707" s="2"/>
      <c r="D3707" s="2"/>
    </row>
    <row r="3708" spans="1:4" ht="12.75" customHeight="1" x14ac:dyDescent="0.2">
      <c r="A3708" s="21"/>
      <c r="B3708" s="3" t="s">
        <v>0</v>
      </c>
      <c r="C3708" s="20" t="s">
        <v>65</v>
      </c>
      <c r="D3708" s="21"/>
    </row>
    <row r="3709" spans="1:4" ht="12.75" customHeight="1" x14ac:dyDescent="0.2">
      <c r="A3709" s="21"/>
      <c r="B3709" s="3" t="s">
        <v>2</v>
      </c>
      <c r="C3709" s="20" t="s">
        <v>122</v>
      </c>
      <c r="D3709" s="21"/>
    </row>
    <row r="3710" spans="1:4" ht="12.75" customHeight="1" x14ac:dyDescent="0.2">
      <c r="A3710" s="21"/>
      <c r="B3710" s="3" t="s">
        <v>4</v>
      </c>
      <c r="C3710" s="20" t="s">
        <v>1172</v>
      </c>
      <c r="D3710" s="21"/>
    </row>
    <row r="3711" spans="1:4" ht="12.75" customHeight="1" x14ac:dyDescent="0.2">
      <c r="A3711" s="21"/>
      <c r="B3711" s="3" t="s">
        <v>6</v>
      </c>
      <c r="C3711" s="20" t="s">
        <v>48</v>
      </c>
      <c r="D3711" s="21"/>
    </row>
    <row r="3712" spans="1:4" ht="12.75" customHeight="1" x14ac:dyDescent="0.2">
      <c r="A3712" s="21"/>
      <c r="B3712" s="3" t="s">
        <v>8</v>
      </c>
      <c r="C3712" s="20" t="s">
        <v>1172</v>
      </c>
      <c r="D3712" s="21"/>
    </row>
    <row r="3713" spans="1:4" ht="12.75" customHeight="1" x14ac:dyDescent="0.2">
      <c r="A3713" s="21"/>
      <c r="B3713" s="3" t="s">
        <v>9</v>
      </c>
      <c r="C3713" s="20" t="s">
        <v>1173</v>
      </c>
      <c r="D3713" s="21"/>
    </row>
    <row r="3714" spans="1:4" ht="12.75" customHeight="1" x14ac:dyDescent="0.2">
      <c r="A3714" s="21"/>
      <c r="B3714" s="3" t="s">
        <v>11</v>
      </c>
      <c r="C3714" s="20" t="s">
        <v>793</v>
      </c>
      <c r="D3714" s="21"/>
    </row>
    <row r="3715" spans="1:4" ht="12.75" customHeight="1" x14ac:dyDescent="0.2">
      <c r="A3715" s="21"/>
      <c r="B3715" s="3" t="s">
        <v>13</v>
      </c>
      <c r="C3715" s="20" t="s">
        <v>14</v>
      </c>
      <c r="D3715" s="21"/>
    </row>
    <row r="3716" spans="1:4" ht="12.75" customHeight="1" x14ac:dyDescent="0.2">
      <c r="A3716" s="21"/>
      <c r="B3716" s="3" t="s">
        <v>15</v>
      </c>
      <c r="C3716" s="20" t="s">
        <v>24</v>
      </c>
      <c r="D3716" s="21"/>
    </row>
    <row r="3717" spans="1:4" ht="12.75" customHeight="1" x14ac:dyDescent="0.2">
      <c r="A3717" s="21"/>
      <c r="B3717" s="3" t="s">
        <v>16</v>
      </c>
      <c r="C3717" s="20"/>
      <c r="D3717" s="21"/>
    </row>
    <row r="3718" spans="1:4" ht="12.75" customHeight="1" x14ac:dyDescent="0.2">
      <c r="A3718" s="21"/>
      <c r="B3718" s="3" t="s">
        <v>17</v>
      </c>
      <c r="C3718" s="20"/>
      <c r="D3718" s="21"/>
    </row>
    <row r="3719" spans="1:4" ht="12.75" customHeight="1" x14ac:dyDescent="0.2">
      <c r="A3719" s="21"/>
      <c r="B3719" s="20" t="s">
        <v>18</v>
      </c>
      <c r="C3719" s="4" t="s">
        <v>309</v>
      </c>
      <c r="D3719" s="6" t="str">
        <f>HYPERLINK("javascript:void(0)","medúza csáp")</f>
        <v>medúza csáp</v>
      </c>
    </row>
    <row r="3720" spans="1:4" ht="12.75" customHeight="1" x14ac:dyDescent="0.2">
      <c r="A3720" s="21"/>
      <c r="B3720" s="21"/>
      <c r="C3720" s="4" t="s">
        <v>117</v>
      </c>
      <c r="D3720" s="6" t="str">
        <f>HYPERLINK("javascript:void(0)","zselatin")</f>
        <v>zselatin</v>
      </c>
    </row>
    <row r="3721" spans="1:4" ht="12.75" customHeight="1" x14ac:dyDescent="0.2">
      <c r="A3721" s="21"/>
      <c r="B3721" s="21"/>
      <c r="C3721" s="4" t="s">
        <v>98</v>
      </c>
      <c r="D3721" s="6" t="str">
        <f>HYPERLINK("javascript:void(0)","gigacsáp")</f>
        <v>gigacsáp</v>
      </c>
    </row>
    <row r="3722" spans="1:4" ht="12.75" customHeight="1" x14ac:dyDescent="0.2">
      <c r="A3722" s="5"/>
      <c r="B3722" s="2"/>
      <c r="C3722" s="2"/>
      <c r="D3722" s="2"/>
    </row>
    <row r="3723" spans="1:4" ht="12.75" customHeight="1" x14ac:dyDescent="0.2">
      <c r="A3723" s="22" t="str">
        <f>HYPERLINK("javascript:void(0)","prémpöröly")</f>
        <v>prémpöröly</v>
      </c>
      <c r="B3723" s="21"/>
      <c r="C3723" s="21"/>
      <c r="D3723" s="21"/>
    </row>
    <row r="3724" spans="1:4" ht="12.75" customHeight="1" x14ac:dyDescent="0.2">
      <c r="A3724" s="20"/>
      <c r="B3724" s="2"/>
      <c r="C3724" s="2"/>
      <c r="D3724" s="2"/>
    </row>
    <row r="3725" spans="1:4" ht="12.75" customHeight="1" x14ac:dyDescent="0.2">
      <c r="A3725" s="21"/>
      <c r="B3725" s="3" t="s">
        <v>0</v>
      </c>
      <c r="C3725" s="20" t="s">
        <v>680</v>
      </c>
      <c r="D3725" s="21"/>
    </row>
    <row r="3726" spans="1:4" ht="12.75" customHeight="1" x14ac:dyDescent="0.2">
      <c r="A3726" s="21"/>
      <c r="B3726" s="3" t="s">
        <v>2</v>
      </c>
      <c r="C3726" s="20" t="s">
        <v>122</v>
      </c>
      <c r="D3726" s="21"/>
    </row>
    <row r="3727" spans="1:4" ht="12.75" customHeight="1" x14ac:dyDescent="0.2">
      <c r="A3727" s="21"/>
      <c r="B3727" s="3" t="s">
        <v>4</v>
      </c>
      <c r="C3727" s="20" t="s">
        <v>1178</v>
      </c>
      <c r="D3727" s="21"/>
    </row>
    <row r="3728" spans="1:4" ht="12.75" customHeight="1" x14ac:dyDescent="0.2">
      <c r="A3728" s="21"/>
      <c r="B3728" s="3" t="s">
        <v>6</v>
      </c>
      <c r="C3728" s="20" t="s">
        <v>353</v>
      </c>
      <c r="D3728" s="21"/>
    </row>
    <row r="3729" spans="1:4" ht="12.75" customHeight="1" x14ac:dyDescent="0.2">
      <c r="A3729" s="21"/>
      <c r="B3729" s="3" t="s">
        <v>8</v>
      </c>
      <c r="C3729" s="20" t="s">
        <v>1178</v>
      </c>
      <c r="D3729" s="21"/>
    </row>
    <row r="3730" spans="1:4" ht="12.75" customHeight="1" x14ac:dyDescent="0.2">
      <c r="A3730" s="21"/>
      <c r="B3730" s="3" t="s">
        <v>9</v>
      </c>
      <c r="C3730" s="20" t="s">
        <v>79</v>
      </c>
      <c r="D3730" s="21"/>
    </row>
    <row r="3731" spans="1:4" ht="12.75" customHeight="1" x14ac:dyDescent="0.2">
      <c r="A3731" s="21"/>
      <c r="B3731" s="3" t="s">
        <v>11</v>
      </c>
      <c r="C3731" s="20" t="s">
        <v>702</v>
      </c>
      <c r="D3731" s="21"/>
    </row>
    <row r="3732" spans="1:4" ht="12.75" customHeight="1" x14ac:dyDescent="0.2">
      <c r="A3732" s="21"/>
      <c r="B3732" s="3" t="s">
        <v>13</v>
      </c>
      <c r="C3732" s="20" t="s">
        <v>24</v>
      </c>
      <c r="D3732" s="21"/>
    </row>
    <row r="3733" spans="1:4" ht="12.75" customHeight="1" x14ac:dyDescent="0.2">
      <c r="A3733" s="21"/>
      <c r="B3733" s="3" t="s">
        <v>15</v>
      </c>
      <c r="C3733" s="20" t="s">
        <v>24</v>
      </c>
      <c r="D3733" s="21"/>
    </row>
    <row r="3734" spans="1:4" ht="12.75" customHeight="1" x14ac:dyDescent="0.2">
      <c r="A3734" s="21"/>
      <c r="B3734" s="3" t="s">
        <v>16</v>
      </c>
      <c r="C3734" s="20"/>
      <c r="D3734" s="21"/>
    </row>
    <row r="3735" spans="1:4" ht="12.75" customHeight="1" x14ac:dyDescent="0.2">
      <c r="A3735" s="21"/>
      <c r="B3735" s="3" t="s">
        <v>17</v>
      </c>
      <c r="C3735" s="20"/>
      <c r="D3735" s="21"/>
    </row>
    <row r="3736" spans="1:4" ht="12.75" customHeight="1" x14ac:dyDescent="0.2">
      <c r="A3736" s="21"/>
      <c r="B3736" s="20" t="s">
        <v>18</v>
      </c>
      <c r="C3736" s="4" t="s">
        <v>57</v>
      </c>
      <c r="D3736" s="6" t="str">
        <f>HYPERLINK("javascript:void(0)","bajuszkötő")</f>
        <v>bajuszkötő</v>
      </c>
    </row>
    <row r="3737" spans="1:4" ht="12.75" customHeight="1" x14ac:dyDescent="0.2">
      <c r="A3737" s="21"/>
      <c r="B3737" s="21"/>
      <c r="C3737" s="4" t="s">
        <v>309</v>
      </c>
      <c r="D3737" s="6" t="str">
        <f>HYPERLINK("javascript:void(0)","pamacsprém")</f>
        <v>pamacsprém</v>
      </c>
    </row>
    <row r="3738" spans="1:4" ht="12.75" customHeight="1" x14ac:dyDescent="0.2">
      <c r="A3738" s="21"/>
      <c r="B3738" s="21"/>
      <c r="C3738" s="4" t="s">
        <v>98</v>
      </c>
      <c r="D3738" s="6" t="str">
        <f>HYPERLINK("javascript:void(0)","gigacsáp")</f>
        <v>gigacsáp</v>
      </c>
    </row>
    <row r="3739" spans="1:4" ht="12.75" customHeight="1" x14ac:dyDescent="0.2">
      <c r="A3739" s="5"/>
      <c r="B3739" s="2"/>
      <c r="C3739" s="2"/>
      <c r="D3739" s="2"/>
    </row>
    <row r="3740" spans="1:4" ht="12.75" customHeight="1" x14ac:dyDescent="0.2">
      <c r="A3740" s="22" t="str">
        <f>HYPERLINK("javascript:void(0)","hypnoacél ballaszt")</f>
        <v>hypnoacél ballaszt</v>
      </c>
      <c r="B3740" s="21"/>
      <c r="C3740" s="21"/>
      <c r="D3740" s="21"/>
    </row>
    <row r="3741" spans="1:4" ht="12.75" customHeight="1" x14ac:dyDescent="0.2">
      <c r="A3741" s="20"/>
      <c r="B3741" s="2"/>
      <c r="C3741" s="2"/>
      <c r="D3741" s="2"/>
    </row>
    <row r="3742" spans="1:4" ht="12.75" customHeight="1" x14ac:dyDescent="0.2">
      <c r="A3742" s="21"/>
      <c r="B3742" s="3" t="s">
        <v>0</v>
      </c>
      <c r="C3742" s="20" t="s">
        <v>680</v>
      </c>
      <c r="D3742" s="21"/>
    </row>
    <row r="3743" spans="1:4" ht="12.75" customHeight="1" x14ac:dyDescent="0.2">
      <c r="A3743" s="21"/>
      <c r="B3743" s="3" t="s">
        <v>2</v>
      </c>
      <c r="C3743" s="20" t="s">
        <v>122</v>
      </c>
      <c r="D3743" s="21"/>
    </row>
    <row r="3744" spans="1:4" ht="12.75" customHeight="1" x14ac:dyDescent="0.2">
      <c r="A3744" s="21"/>
      <c r="B3744" s="3" t="s">
        <v>4</v>
      </c>
      <c r="C3744" s="20" t="s">
        <v>1181</v>
      </c>
      <c r="D3744" s="21"/>
    </row>
    <row r="3745" spans="1:4" ht="12.75" customHeight="1" x14ac:dyDescent="0.2">
      <c r="A3745" s="21"/>
      <c r="B3745" s="3" t="s">
        <v>6</v>
      </c>
      <c r="C3745" s="20" t="s">
        <v>284</v>
      </c>
      <c r="D3745" s="21"/>
    </row>
    <row r="3746" spans="1:4" ht="12.75" customHeight="1" x14ac:dyDescent="0.2">
      <c r="A3746" s="21"/>
      <c r="B3746" s="3" t="s">
        <v>8</v>
      </c>
      <c r="C3746" s="20" t="s">
        <v>1181</v>
      </c>
      <c r="D3746" s="21"/>
    </row>
    <row r="3747" spans="1:4" ht="12.75" customHeight="1" x14ac:dyDescent="0.2">
      <c r="A3747" s="21"/>
      <c r="B3747" s="3" t="s">
        <v>9</v>
      </c>
      <c r="C3747" s="20" t="s">
        <v>1182</v>
      </c>
      <c r="D3747" s="21"/>
    </row>
    <row r="3748" spans="1:4" ht="12.75" customHeight="1" x14ac:dyDescent="0.2">
      <c r="A3748" s="21"/>
      <c r="B3748" s="3" t="s">
        <v>11</v>
      </c>
      <c r="C3748" s="20" t="s">
        <v>939</v>
      </c>
      <c r="D3748" s="21"/>
    </row>
    <row r="3749" spans="1:4" ht="12.75" customHeight="1" x14ac:dyDescent="0.2">
      <c r="A3749" s="21"/>
      <c r="B3749" s="3" t="s">
        <v>13</v>
      </c>
      <c r="C3749" s="20" t="s">
        <v>24</v>
      </c>
      <c r="D3749" s="21"/>
    </row>
    <row r="3750" spans="1:4" ht="12.75" customHeight="1" x14ac:dyDescent="0.2">
      <c r="A3750" s="21"/>
      <c r="B3750" s="3" t="s">
        <v>15</v>
      </c>
      <c r="C3750" s="20" t="s">
        <v>24</v>
      </c>
      <c r="D3750" s="21"/>
    </row>
    <row r="3751" spans="1:4" ht="12.75" customHeight="1" x14ac:dyDescent="0.2">
      <c r="A3751" s="21"/>
      <c r="B3751" s="3" t="s">
        <v>16</v>
      </c>
      <c r="C3751" s="20"/>
      <c r="D3751" s="21"/>
    </row>
    <row r="3752" spans="1:4" ht="12.75" customHeight="1" x14ac:dyDescent="0.2">
      <c r="A3752" s="21"/>
      <c r="B3752" s="3" t="s">
        <v>17</v>
      </c>
      <c r="C3752" s="20"/>
      <c r="D3752" s="21"/>
    </row>
    <row r="3753" spans="1:4" ht="12.75" customHeight="1" x14ac:dyDescent="0.2">
      <c r="A3753" s="21"/>
      <c r="B3753" s="20" t="s">
        <v>18</v>
      </c>
      <c r="C3753" s="4" t="s">
        <v>68</v>
      </c>
      <c r="D3753" s="6" t="str">
        <f>HYPERLINK("javascript:void(0)","bajuszkötő")</f>
        <v>bajuszkötő</v>
      </c>
    </row>
    <row r="3754" spans="1:4" ht="12.75" customHeight="1" x14ac:dyDescent="0.2">
      <c r="A3754" s="21"/>
      <c r="B3754" s="21"/>
      <c r="C3754" s="4" t="s">
        <v>117</v>
      </c>
      <c r="D3754" s="6" t="str">
        <f>HYPERLINK("javascript:void(0)","hypnogén")</f>
        <v>hypnogén</v>
      </c>
    </row>
    <row r="3755" spans="1:4" ht="12.75" customHeight="1" x14ac:dyDescent="0.2">
      <c r="A3755" s="21"/>
      <c r="B3755" s="21"/>
      <c r="C3755" s="4" t="s">
        <v>382</v>
      </c>
      <c r="D3755" s="6" t="str">
        <f>HYPERLINK("javascript:void(0)","ragya")</f>
        <v>ragya</v>
      </c>
    </row>
    <row r="3756" spans="1:4" ht="12.75" customHeight="1" x14ac:dyDescent="0.2">
      <c r="A3756" s="5"/>
      <c r="B3756" s="2"/>
      <c r="C3756" s="2"/>
      <c r="D3756" s="2"/>
    </row>
    <row r="3757" spans="1:4" ht="12.75" customHeight="1" x14ac:dyDescent="0.2">
      <c r="A3757" s="22" t="str">
        <f>HYPERLINK("javascript:void(0)","gyíkacél bunkósbot")</f>
        <v>gyíkacél bunkósbot</v>
      </c>
      <c r="B3757" s="21"/>
      <c r="C3757" s="21"/>
      <c r="D3757" s="21"/>
    </row>
    <row r="3758" spans="1:4" ht="12.75" customHeight="1" x14ac:dyDescent="0.2">
      <c r="A3758" s="20"/>
      <c r="B3758" s="2"/>
      <c r="C3758" s="2"/>
      <c r="D3758" s="2"/>
    </row>
    <row r="3759" spans="1:4" ht="12.75" customHeight="1" x14ac:dyDescent="0.2">
      <c r="A3759" s="21"/>
      <c r="B3759" s="3" t="s">
        <v>0</v>
      </c>
      <c r="C3759" s="20" t="s">
        <v>680</v>
      </c>
      <c r="D3759" s="21"/>
    </row>
    <row r="3760" spans="1:4" ht="12.75" customHeight="1" x14ac:dyDescent="0.2">
      <c r="A3760" s="21"/>
      <c r="B3760" s="3" t="s">
        <v>2</v>
      </c>
      <c r="C3760" s="20" t="s">
        <v>122</v>
      </c>
      <c r="D3760" s="21"/>
    </row>
    <row r="3761" spans="1:4" ht="12.75" customHeight="1" x14ac:dyDescent="0.2">
      <c r="A3761" s="21"/>
      <c r="B3761" s="3" t="s">
        <v>4</v>
      </c>
      <c r="C3761" s="20" t="s">
        <v>1184</v>
      </c>
      <c r="D3761" s="21"/>
    </row>
    <row r="3762" spans="1:4" ht="12.75" customHeight="1" x14ac:dyDescent="0.2">
      <c r="A3762" s="21"/>
      <c r="B3762" s="3" t="s">
        <v>6</v>
      </c>
      <c r="C3762" s="20" t="s">
        <v>107</v>
      </c>
      <c r="D3762" s="21"/>
    </row>
    <row r="3763" spans="1:4" ht="12.75" customHeight="1" x14ac:dyDescent="0.2">
      <c r="A3763" s="21"/>
      <c r="B3763" s="3" t="s">
        <v>8</v>
      </c>
      <c r="C3763" s="20" t="s">
        <v>1184</v>
      </c>
      <c r="D3763" s="21"/>
    </row>
    <row r="3764" spans="1:4" ht="12.75" customHeight="1" x14ac:dyDescent="0.2">
      <c r="A3764" s="21"/>
      <c r="B3764" s="3" t="s">
        <v>9</v>
      </c>
      <c r="C3764" s="20" t="s">
        <v>1185</v>
      </c>
      <c r="D3764" s="21"/>
    </row>
    <row r="3765" spans="1:4" ht="12.75" customHeight="1" x14ac:dyDescent="0.2">
      <c r="A3765" s="21"/>
      <c r="B3765" s="3" t="s">
        <v>11</v>
      </c>
      <c r="C3765" s="20" t="s">
        <v>501</v>
      </c>
      <c r="D3765" s="21"/>
    </row>
    <row r="3766" spans="1:4" ht="12.75" customHeight="1" x14ac:dyDescent="0.2">
      <c r="A3766" s="21"/>
      <c r="B3766" s="3" t="s">
        <v>13</v>
      </c>
      <c r="C3766" s="20" t="s">
        <v>24</v>
      </c>
      <c r="D3766" s="21"/>
    </row>
    <row r="3767" spans="1:4" ht="12.75" customHeight="1" x14ac:dyDescent="0.2">
      <c r="A3767" s="21"/>
      <c r="B3767" s="3" t="s">
        <v>15</v>
      </c>
      <c r="C3767" s="20" t="s">
        <v>24</v>
      </c>
      <c r="D3767" s="21"/>
    </row>
    <row r="3768" spans="1:4" ht="12.75" customHeight="1" x14ac:dyDescent="0.2">
      <c r="A3768" s="21"/>
      <c r="B3768" s="3" t="s">
        <v>16</v>
      </c>
      <c r="C3768" s="20"/>
      <c r="D3768" s="21"/>
    </row>
    <row r="3769" spans="1:4" ht="12.75" customHeight="1" x14ac:dyDescent="0.2">
      <c r="A3769" s="21"/>
      <c r="B3769" s="3" t="s">
        <v>17</v>
      </c>
      <c r="C3769" s="20"/>
      <c r="D3769" s="21"/>
    </row>
    <row r="3770" spans="1:4" ht="12.75" customHeight="1" x14ac:dyDescent="0.2">
      <c r="A3770" s="21"/>
      <c r="B3770" s="20" t="s">
        <v>18</v>
      </c>
      <c r="C3770" s="4" t="s">
        <v>142</v>
      </c>
      <c r="D3770" s="6" t="str">
        <f>HYPERLINK("javascript:void(0)","extra manaital")</f>
        <v>extra manaital</v>
      </c>
    </row>
    <row r="3771" spans="1:4" ht="12.75" customHeight="1" x14ac:dyDescent="0.2">
      <c r="A3771" s="21"/>
      <c r="B3771" s="21"/>
      <c r="C3771" s="4" t="s">
        <v>280</v>
      </c>
      <c r="D3771" s="6" t="str">
        <f>HYPERLINK("javascript:void(0)","szent szimbólum")</f>
        <v>szent szimbólum</v>
      </c>
    </row>
    <row r="3772" spans="1:4" ht="12.75" customHeight="1" x14ac:dyDescent="0.2">
      <c r="A3772" s="21"/>
      <c r="B3772" s="21"/>
      <c r="C3772" s="4" t="s">
        <v>98</v>
      </c>
      <c r="D3772" s="6" t="str">
        <f>HYPERLINK("javascript:void(0)","hiperzsír")</f>
        <v>hiperzsír</v>
      </c>
    </row>
    <row r="3773" spans="1:4" ht="12.75" customHeight="1" x14ac:dyDescent="0.2">
      <c r="A3773" s="5"/>
      <c r="B3773" s="2"/>
      <c r="C3773" s="2"/>
      <c r="D3773" s="2"/>
    </row>
    <row r="3774" spans="1:4" ht="12.75" customHeight="1" x14ac:dyDescent="0.2">
      <c r="A3774" s="22" t="str">
        <f>HYPERLINK("javascript:void(0)","hőguta")</f>
        <v>hőguta</v>
      </c>
      <c r="B3774" s="21"/>
      <c r="C3774" s="21"/>
      <c r="D3774" s="21"/>
    </row>
    <row r="3775" spans="1:4" ht="12.75" customHeight="1" x14ac:dyDescent="0.2">
      <c r="A3775" s="20"/>
      <c r="B3775" s="2"/>
      <c r="C3775" s="2"/>
      <c r="D3775" s="2"/>
    </row>
    <row r="3776" spans="1:4" ht="12.75" customHeight="1" x14ac:dyDescent="0.2">
      <c r="A3776" s="21"/>
      <c r="B3776" s="3" t="s">
        <v>0</v>
      </c>
      <c r="C3776" s="20" t="s">
        <v>690</v>
      </c>
      <c r="D3776" s="21"/>
    </row>
    <row r="3777" spans="1:4" ht="12.75" customHeight="1" x14ac:dyDescent="0.2">
      <c r="A3777" s="21"/>
      <c r="B3777" s="3" t="s">
        <v>2</v>
      </c>
      <c r="C3777" s="20" t="s">
        <v>122</v>
      </c>
      <c r="D3777" s="21"/>
    </row>
    <row r="3778" spans="1:4" ht="12.75" customHeight="1" x14ac:dyDescent="0.2">
      <c r="A3778" s="21"/>
      <c r="B3778" s="3" t="s">
        <v>4</v>
      </c>
      <c r="C3778" s="20" t="s">
        <v>1187</v>
      </c>
      <c r="D3778" s="21"/>
    </row>
    <row r="3779" spans="1:4" ht="12.75" customHeight="1" x14ac:dyDescent="0.2">
      <c r="A3779" s="21"/>
      <c r="B3779" s="3" t="s">
        <v>6</v>
      </c>
      <c r="C3779" s="20" t="s">
        <v>52</v>
      </c>
      <c r="D3779" s="21"/>
    </row>
    <row r="3780" spans="1:4" ht="12.75" customHeight="1" x14ac:dyDescent="0.2">
      <c r="A3780" s="21"/>
      <c r="B3780" s="3" t="s">
        <v>8</v>
      </c>
      <c r="C3780" s="20" t="s">
        <v>1187</v>
      </c>
      <c r="D3780" s="21"/>
    </row>
    <row r="3781" spans="1:4" ht="12.75" customHeight="1" x14ac:dyDescent="0.2">
      <c r="A3781" s="21"/>
      <c r="B3781" s="3" t="s">
        <v>9</v>
      </c>
      <c r="C3781" s="20" t="s">
        <v>30</v>
      </c>
      <c r="D3781" s="21"/>
    </row>
    <row r="3782" spans="1:4" ht="12.75" customHeight="1" x14ac:dyDescent="0.2">
      <c r="A3782" s="21"/>
      <c r="B3782" s="3" t="s">
        <v>11</v>
      </c>
      <c r="C3782" s="20" t="s">
        <v>713</v>
      </c>
      <c r="D3782" s="21"/>
    </row>
    <row r="3783" spans="1:4" ht="12.75" customHeight="1" x14ac:dyDescent="0.2">
      <c r="A3783" s="21"/>
      <c r="B3783" s="3" t="s">
        <v>13</v>
      </c>
      <c r="C3783" s="20" t="s">
        <v>24</v>
      </c>
      <c r="D3783" s="21"/>
    </row>
    <row r="3784" spans="1:4" ht="12.75" customHeight="1" x14ac:dyDescent="0.2">
      <c r="A3784" s="21"/>
      <c r="B3784" s="3" t="s">
        <v>15</v>
      </c>
      <c r="C3784" s="20" t="s">
        <v>24</v>
      </c>
      <c r="D3784" s="21"/>
    </row>
    <row r="3785" spans="1:4" ht="12.75" customHeight="1" x14ac:dyDescent="0.2">
      <c r="A3785" s="21"/>
      <c r="B3785" s="3" t="s">
        <v>16</v>
      </c>
      <c r="C3785" s="20"/>
      <c r="D3785" s="21"/>
    </row>
    <row r="3786" spans="1:4" ht="12.75" customHeight="1" x14ac:dyDescent="0.2">
      <c r="A3786" s="21"/>
      <c r="B3786" s="3" t="s">
        <v>17</v>
      </c>
      <c r="C3786" s="20"/>
      <c r="D3786" s="21"/>
    </row>
    <row r="3787" spans="1:4" ht="12.75" customHeight="1" x14ac:dyDescent="0.2">
      <c r="A3787" s="21"/>
      <c r="B3787" s="20" t="s">
        <v>18</v>
      </c>
      <c r="C3787" s="4" t="s">
        <v>44</v>
      </c>
      <c r="D3787" s="6" t="str">
        <f>HYPERLINK("javascript:void(0)","hypnoacél bunkó")</f>
        <v>hypnoacél bunkó</v>
      </c>
    </row>
    <row r="3788" spans="1:4" ht="12.75" customHeight="1" x14ac:dyDescent="0.2">
      <c r="A3788" s="21"/>
      <c r="B3788" s="21"/>
      <c r="C3788" s="4" t="s">
        <v>44</v>
      </c>
      <c r="D3788" s="6" t="str">
        <f>HYPERLINK("javascript:void(0)","prémpöröly")</f>
        <v>prémpöröly</v>
      </c>
    </row>
    <row r="3789" spans="1:4" ht="12.75" customHeight="1" x14ac:dyDescent="0.2">
      <c r="A3789" s="21"/>
      <c r="B3789" s="21"/>
      <c r="C3789" s="4" t="s">
        <v>44</v>
      </c>
      <c r="D3789" s="6" t="str">
        <f>HYPERLINK("javascript:void(0)","hőhullám")</f>
        <v>hőhullám</v>
      </c>
    </row>
    <row r="3790" spans="1:4" ht="12.75" customHeight="1" x14ac:dyDescent="0.2">
      <c r="A3790" s="5"/>
      <c r="B3790" s="2"/>
      <c r="C3790" s="2"/>
      <c r="D3790" s="2"/>
    </row>
    <row r="3791" spans="1:4" ht="12.75" customHeight="1" x14ac:dyDescent="0.2">
      <c r="A3791" s="22" t="str">
        <f>HYPERLINK("javascript:void(0)","heves mágusölő")</f>
        <v>heves mágusölő</v>
      </c>
      <c r="B3791" s="21"/>
      <c r="C3791" s="21"/>
      <c r="D3791" s="21"/>
    </row>
    <row r="3792" spans="1:4" ht="12.75" customHeight="1" x14ac:dyDescent="0.2">
      <c r="A3792" s="20"/>
      <c r="B3792" s="2"/>
      <c r="C3792" s="2"/>
      <c r="D3792" s="2"/>
    </row>
    <row r="3793" spans="1:4" ht="12.75" customHeight="1" x14ac:dyDescent="0.2">
      <c r="A3793" s="21"/>
      <c r="B3793" s="3" t="s">
        <v>0</v>
      </c>
      <c r="C3793" s="20" t="s">
        <v>690</v>
      </c>
      <c r="D3793" s="21"/>
    </row>
    <row r="3794" spans="1:4" ht="12.75" customHeight="1" x14ac:dyDescent="0.2">
      <c r="A3794" s="21"/>
      <c r="B3794" s="3" t="s">
        <v>2</v>
      </c>
      <c r="C3794" s="20" t="s">
        <v>122</v>
      </c>
      <c r="D3794" s="21"/>
    </row>
    <row r="3795" spans="1:4" ht="12.75" customHeight="1" x14ac:dyDescent="0.2">
      <c r="A3795" s="21"/>
      <c r="B3795" s="3" t="s">
        <v>4</v>
      </c>
      <c r="C3795" s="20" t="s">
        <v>1191</v>
      </c>
      <c r="D3795" s="21"/>
    </row>
    <row r="3796" spans="1:4" ht="12.75" customHeight="1" x14ac:dyDescent="0.2">
      <c r="A3796" s="21"/>
      <c r="B3796" s="3" t="s">
        <v>6</v>
      </c>
      <c r="C3796" s="20" t="s">
        <v>48</v>
      </c>
      <c r="D3796" s="21"/>
    </row>
    <row r="3797" spans="1:4" ht="12.75" customHeight="1" x14ac:dyDescent="0.2">
      <c r="A3797" s="21"/>
      <c r="B3797" s="3" t="s">
        <v>8</v>
      </c>
      <c r="C3797" s="20" t="s">
        <v>1191</v>
      </c>
      <c r="D3797" s="21"/>
    </row>
    <row r="3798" spans="1:4" ht="12.75" customHeight="1" x14ac:dyDescent="0.2">
      <c r="A3798" s="21"/>
      <c r="B3798" s="3" t="s">
        <v>9</v>
      </c>
      <c r="C3798" s="20" t="s">
        <v>1192</v>
      </c>
      <c r="D3798" s="21"/>
    </row>
    <row r="3799" spans="1:4" ht="12.75" customHeight="1" x14ac:dyDescent="0.2">
      <c r="A3799" s="21"/>
      <c r="B3799" s="3" t="s">
        <v>11</v>
      </c>
      <c r="C3799" s="20" t="s">
        <v>835</v>
      </c>
      <c r="D3799" s="21"/>
    </row>
    <row r="3800" spans="1:4" ht="12.75" customHeight="1" x14ac:dyDescent="0.2">
      <c r="A3800" s="21"/>
      <c r="B3800" s="3" t="s">
        <v>13</v>
      </c>
      <c r="C3800" s="20" t="s">
        <v>14</v>
      </c>
      <c r="D3800" s="21"/>
    </row>
    <row r="3801" spans="1:4" ht="12.75" customHeight="1" x14ac:dyDescent="0.2">
      <c r="A3801" s="21"/>
      <c r="B3801" s="3" t="s">
        <v>15</v>
      </c>
      <c r="C3801" s="20" t="s">
        <v>24</v>
      </c>
      <c r="D3801" s="21"/>
    </row>
    <row r="3802" spans="1:4" ht="12.75" customHeight="1" x14ac:dyDescent="0.2">
      <c r="A3802" s="21"/>
      <c r="B3802" s="3" t="s">
        <v>16</v>
      </c>
      <c r="C3802" s="20"/>
      <c r="D3802" s="21"/>
    </row>
    <row r="3803" spans="1:4" ht="12.75" customHeight="1" x14ac:dyDescent="0.2">
      <c r="A3803" s="21"/>
      <c r="B3803" s="3" t="s">
        <v>17</v>
      </c>
      <c r="C3803" s="20"/>
      <c r="D3803" s="21"/>
    </row>
    <row r="3804" spans="1:4" ht="12.75" customHeight="1" x14ac:dyDescent="0.2">
      <c r="A3804" s="21"/>
      <c r="B3804" s="20" t="s">
        <v>18</v>
      </c>
      <c r="C3804" s="4" t="s">
        <v>68</v>
      </c>
      <c r="D3804" s="6" t="str">
        <f>HYPERLINK("javascript:void(0)","hőgolyó")</f>
        <v>hőgolyó</v>
      </c>
    </row>
    <row r="3805" spans="1:4" ht="12.75" customHeight="1" x14ac:dyDescent="0.2">
      <c r="A3805" s="21"/>
      <c r="B3805" s="21"/>
      <c r="C3805" s="4" t="s">
        <v>139</v>
      </c>
      <c r="D3805" s="6" t="str">
        <f>HYPERLINK("javascript:void(0)","éjfény")</f>
        <v>éjfény</v>
      </c>
    </row>
    <row r="3806" spans="1:4" ht="12.75" customHeight="1" x14ac:dyDescent="0.2">
      <c r="A3806" s="21"/>
      <c r="B3806" s="21"/>
      <c r="C3806" s="4" t="s">
        <v>382</v>
      </c>
      <c r="D3806" s="6" t="str">
        <f>HYPERLINK("javascript:void(0)","kispárna")</f>
        <v>kispárna</v>
      </c>
    </row>
    <row r="3807" spans="1:4" ht="12.75" customHeight="1" x14ac:dyDescent="0.2">
      <c r="A3807" s="5"/>
      <c r="B3807" s="2"/>
      <c r="C3807" s="2"/>
      <c r="D3807" s="2"/>
    </row>
    <row r="3808" spans="1:4" ht="12.75" customHeight="1" x14ac:dyDescent="0.2">
      <c r="A3808" s="22" t="str">
        <f>HYPERLINK("javascript:void(0)","harmatacél penge")</f>
        <v>harmatacél penge</v>
      </c>
      <c r="B3808" s="21"/>
      <c r="C3808" s="21"/>
      <c r="D3808" s="21"/>
    </row>
    <row r="3809" spans="1:4" ht="12.75" customHeight="1" x14ac:dyDescent="0.2">
      <c r="A3809" s="20"/>
      <c r="B3809" s="2"/>
      <c r="C3809" s="2"/>
      <c r="D3809" s="2"/>
    </row>
    <row r="3810" spans="1:4" ht="12.75" customHeight="1" x14ac:dyDescent="0.2">
      <c r="A3810" s="21"/>
      <c r="B3810" s="3" t="s">
        <v>0</v>
      </c>
      <c r="C3810" s="20" t="s">
        <v>690</v>
      </c>
      <c r="D3810" s="21"/>
    </row>
    <row r="3811" spans="1:4" ht="12.75" customHeight="1" x14ac:dyDescent="0.2">
      <c r="A3811" s="21"/>
      <c r="B3811" s="3" t="s">
        <v>2</v>
      </c>
      <c r="C3811" s="20" t="s">
        <v>122</v>
      </c>
      <c r="D3811" s="21"/>
    </row>
    <row r="3812" spans="1:4" ht="12.75" customHeight="1" x14ac:dyDescent="0.2">
      <c r="A3812" s="21"/>
      <c r="B3812" s="3" t="s">
        <v>4</v>
      </c>
      <c r="C3812" s="20" t="s">
        <v>533</v>
      </c>
      <c r="D3812" s="21"/>
    </row>
    <row r="3813" spans="1:4" ht="12.75" customHeight="1" x14ac:dyDescent="0.2">
      <c r="A3813" s="21"/>
      <c r="B3813" s="3" t="s">
        <v>6</v>
      </c>
      <c r="C3813" s="20" t="s">
        <v>21</v>
      </c>
      <c r="D3813" s="21"/>
    </row>
    <row r="3814" spans="1:4" ht="12.75" customHeight="1" x14ac:dyDescent="0.2">
      <c r="A3814" s="21"/>
      <c r="B3814" s="3" t="s">
        <v>8</v>
      </c>
      <c r="C3814" s="20" t="s">
        <v>533</v>
      </c>
      <c r="D3814" s="21"/>
    </row>
    <row r="3815" spans="1:4" ht="12.75" customHeight="1" x14ac:dyDescent="0.2">
      <c r="A3815" s="21"/>
      <c r="B3815" s="3" t="s">
        <v>9</v>
      </c>
      <c r="C3815" s="20" t="s">
        <v>42</v>
      </c>
      <c r="D3815" s="21"/>
    </row>
    <row r="3816" spans="1:4" ht="12.75" customHeight="1" x14ac:dyDescent="0.2">
      <c r="A3816" s="21"/>
      <c r="B3816" s="3" t="s">
        <v>11</v>
      </c>
      <c r="C3816" s="20" t="s">
        <v>603</v>
      </c>
      <c r="D3816" s="21"/>
    </row>
    <row r="3817" spans="1:4" ht="12.75" customHeight="1" x14ac:dyDescent="0.2">
      <c r="A3817" s="21"/>
      <c r="B3817" s="3" t="s">
        <v>13</v>
      </c>
      <c r="C3817" s="20" t="s">
        <v>24</v>
      </c>
      <c r="D3817" s="21"/>
    </row>
    <row r="3818" spans="1:4" ht="12.75" customHeight="1" x14ac:dyDescent="0.2">
      <c r="A3818" s="21"/>
      <c r="B3818" s="3" t="s">
        <v>15</v>
      </c>
      <c r="C3818" s="20" t="s">
        <v>24</v>
      </c>
      <c r="D3818" s="21"/>
    </row>
    <row r="3819" spans="1:4" ht="12.75" customHeight="1" x14ac:dyDescent="0.2">
      <c r="A3819" s="21"/>
      <c r="B3819" s="3" t="s">
        <v>16</v>
      </c>
      <c r="C3819" s="20"/>
      <c r="D3819" s="21"/>
    </row>
    <row r="3820" spans="1:4" ht="12.75" customHeight="1" x14ac:dyDescent="0.2">
      <c r="A3820" s="21"/>
      <c r="B3820" s="3" t="s">
        <v>17</v>
      </c>
      <c r="C3820" s="20"/>
      <c r="D3820" s="21"/>
    </row>
    <row r="3821" spans="1:4" ht="12.75" customHeight="1" x14ac:dyDescent="0.2">
      <c r="A3821" s="21"/>
      <c r="B3821" s="20" t="s">
        <v>18</v>
      </c>
      <c r="C3821" s="4" t="s">
        <v>68</v>
      </c>
      <c r="D3821" s="6" t="str">
        <f>HYPERLINK("javascript:void(0)","harmatcsepp")</f>
        <v>harmatcsepp</v>
      </c>
    </row>
    <row r="3822" spans="1:4" ht="12.75" customHeight="1" x14ac:dyDescent="0.2">
      <c r="A3822" s="21"/>
      <c r="B3822" s="21"/>
      <c r="C3822" s="4" t="s">
        <v>139</v>
      </c>
      <c r="D3822" s="6" t="str">
        <f>HYPERLINK("javascript:void(0)","lux")</f>
        <v>lux</v>
      </c>
    </row>
    <row r="3823" spans="1:4" ht="12.75" customHeight="1" x14ac:dyDescent="0.2">
      <c r="A3823" s="21"/>
      <c r="B3823" s="21"/>
      <c r="C3823" s="4" t="s">
        <v>382</v>
      </c>
      <c r="D3823" s="6" t="str">
        <f>HYPERLINK("javascript:void(0)","horog")</f>
        <v>horog</v>
      </c>
    </row>
    <row r="3824" spans="1:4" ht="12.75" customHeight="1" x14ac:dyDescent="0.2">
      <c r="A3824" s="5"/>
      <c r="B3824" s="2"/>
      <c r="C3824" s="2"/>
      <c r="D3824" s="2"/>
    </row>
    <row r="3825" spans="1:4" ht="12.75" customHeight="1" x14ac:dyDescent="0.2">
      <c r="A3825" s="22" t="str">
        <f>HYPERLINK("javascript:void(0)","rúnajogar")</f>
        <v>rúnajogar</v>
      </c>
      <c r="B3825" s="21"/>
      <c r="C3825" s="21"/>
      <c r="D3825" s="21"/>
    </row>
    <row r="3826" spans="1:4" ht="12.75" customHeight="1" x14ac:dyDescent="0.2">
      <c r="A3826" s="20"/>
      <c r="B3826" s="2"/>
      <c r="C3826" s="2"/>
      <c r="D3826" s="2"/>
    </row>
    <row r="3827" spans="1:4" ht="12.75" customHeight="1" x14ac:dyDescent="0.2">
      <c r="A3827" s="21"/>
      <c r="B3827" s="3" t="s">
        <v>0</v>
      </c>
      <c r="C3827" s="20" t="s">
        <v>699</v>
      </c>
      <c r="D3827" s="21"/>
    </row>
    <row r="3828" spans="1:4" ht="12.75" customHeight="1" x14ac:dyDescent="0.2">
      <c r="A3828" s="21"/>
      <c r="B3828" s="3" t="s">
        <v>2</v>
      </c>
      <c r="C3828" s="20" t="s">
        <v>122</v>
      </c>
      <c r="D3828" s="21"/>
    </row>
    <row r="3829" spans="1:4" ht="12.75" customHeight="1" x14ac:dyDescent="0.2">
      <c r="A3829" s="21"/>
      <c r="B3829" s="3" t="s">
        <v>4</v>
      </c>
      <c r="C3829" s="20" t="s">
        <v>1200</v>
      </c>
      <c r="D3829" s="21"/>
    </row>
    <row r="3830" spans="1:4" ht="12.75" customHeight="1" x14ac:dyDescent="0.2">
      <c r="A3830" s="21"/>
      <c r="B3830" s="3" t="s">
        <v>6</v>
      </c>
      <c r="C3830" s="20" t="s">
        <v>260</v>
      </c>
      <c r="D3830" s="21"/>
    </row>
    <row r="3831" spans="1:4" ht="12.75" customHeight="1" x14ac:dyDescent="0.2">
      <c r="A3831" s="21"/>
      <c r="B3831" s="3" t="s">
        <v>8</v>
      </c>
      <c r="C3831" s="20" t="s">
        <v>1200</v>
      </c>
      <c r="D3831" s="21"/>
    </row>
    <row r="3832" spans="1:4" ht="12.75" customHeight="1" x14ac:dyDescent="0.2">
      <c r="A3832" s="21"/>
      <c r="B3832" s="3" t="s">
        <v>9</v>
      </c>
      <c r="C3832" s="20" t="s">
        <v>93</v>
      </c>
      <c r="D3832" s="21"/>
    </row>
    <row r="3833" spans="1:4" ht="12.75" customHeight="1" x14ac:dyDescent="0.2">
      <c r="A3833" s="21"/>
      <c r="B3833" s="3" t="s">
        <v>11</v>
      </c>
      <c r="C3833" s="20" t="s">
        <v>722</v>
      </c>
      <c r="D3833" s="21"/>
    </row>
    <row r="3834" spans="1:4" ht="12.75" customHeight="1" x14ac:dyDescent="0.2">
      <c r="A3834" s="21"/>
      <c r="B3834" s="3" t="s">
        <v>13</v>
      </c>
      <c r="C3834" s="20" t="s">
        <v>24</v>
      </c>
      <c r="D3834" s="21"/>
    </row>
    <row r="3835" spans="1:4" ht="12.75" customHeight="1" x14ac:dyDescent="0.2">
      <c r="A3835" s="21"/>
      <c r="B3835" s="3" t="s">
        <v>15</v>
      </c>
      <c r="C3835" s="20" t="s">
        <v>24</v>
      </c>
      <c r="D3835" s="21"/>
    </row>
    <row r="3836" spans="1:4" ht="12.75" customHeight="1" x14ac:dyDescent="0.2">
      <c r="A3836" s="21"/>
      <c r="B3836" s="3" t="s">
        <v>16</v>
      </c>
      <c r="C3836" s="20"/>
      <c r="D3836" s="21"/>
    </row>
    <row r="3837" spans="1:4" ht="12.75" customHeight="1" x14ac:dyDescent="0.2">
      <c r="A3837" s="21"/>
      <c r="B3837" s="3" t="s">
        <v>17</v>
      </c>
      <c r="C3837" s="20"/>
      <c r="D3837" s="21"/>
    </row>
    <row r="3838" spans="1:4" ht="12.75" customHeight="1" x14ac:dyDescent="0.2">
      <c r="A3838" s="21"/>
      <c r="B3838" s="20" t="s">
        <v>18</v>
      </c>
      <c r="C3838" s="4" t="s">
        <v>44</v>
      </c>
      <c r="D3838" s="6" t="str">
        <f>HYPERLINK("javascript:void(0)","hőguta")</f>
        <v>hőguta</v>
      </c>
    </row>
    <row r="3839" spans="1:4" ht="12.75" customHeight="1" x14ac:dyDescent="0.2">
      <c r="A3839" s="21"/>
      <c r="B3839" s="21"/>
      <c r="C3839" s="4" t="s">
        <v>56</v>
      </c>
      <c r="D3839" s="6" t="str">
        <f>HYPERLINK("javascript:void(0)","gőg")</f>
        <v>gőg</v>
      </c>
    </row>
    <row r="3840" spans="1:4" ht="12.75" customHeight="1" x14ac:dyDescent="0.2">
      <c r="A3840" s="21"/>
      <c r="B3840" s="21"/>
      <c r="C3840" s="4" t="s">
        <v>309</v>
      </c>
      <c r="D3840" s="6" t="str">
        <f>HYPERLINK("javascript:void(0)","rúna")</f>
        <v>rúna</v>
      </c>
    </row>
    <row r="3841" spans="1:4" ht="12.75" customHeight="1" x14ac:dyDescent="0.2">
      <c r="A3841" s="5"/>
      <c r="B3841" s="2"/>
      <c r="C3841" s="2"/>
      <c r="D3841" s="2"/>
    </row>
    <row r="3842" spans="1:4" ht="12.75" customHeight="1" x14ac:dyDescent="0.2">
      <c r="A3842" s="22" t="str">
        <f>HYPERLINK("javascript:void(0)","prémes ballaszt")</f>
        <v>prémes ballaszt</v>
      </c>
      <c r="B3842" s="21"/>
      <c r="C3842" s="21"/>
      <c r="D3842" s="21"/>
    </row>
    <row r="3843" spans="1:4" ht="12.75" customHeight="1" x14ac:dyDescent="0.2">
      <c r="A3843" s="20"/>
      <c r="B3843" s="2"/>
      <c r="C3843" s="2"/>
      <c r="D3843" s="2"/>
    </row>
    <row r="3844" spans="1:4" ht="12.75" customHeight="1" x14ac:dyDescent="0.2">
      <c r="A3844" s="21"/>
      <c r="B3844" s="3" t="s">
        <v>0</v>
      </c>
      <c r="C3844" s="20" t="s">
        <v>699</v>
      </c>
      <c r="D3844" s="21"/>
    </row>
    <row r="3845" spans="1:4" ht="12.75" customHeight="1" x14ac:dyDescent="0.2">
      <c r="A3845" s="21"/>
      <c r="B3845" s="3" t="s">
        <v>2</v>
      </c>
      <c r="C3845" s="20" t="s">
        <v>122</v>
      </c>
      <c r="D3845" s="21"/>
    </row>
    <row r="3846" spans="1:4" ht="12.75" customHeight="1" x14ac:dyDescent="0.2">
      <c r="A3846" s="21"/>
      <c r="B3846" s="3" t="s">
        <v>4</v>
      </c>
      <c r="C3846" s="20" t="s">
        <v>1202</v>
      </c>
      <c r="D3846" s="21"/>
    </row>
    <row r="3847" spans="1:4" ht="12.75" customHeight="1" x14ac:dyDescent="0.2">
      <c r="A3847" s="21"/>
      <c r="B3847" s="3" t="s">
        <v>6</v>
      </c>
      <c r="C3847" s="20" t="s">
        <v>178</v>
      </c>
      <c r="D3847" s="21"/>
    </row>
    <row r="3848" spans="1:4" ht="12.75" customHeight="1" x14ac:dyDescent="0.2">
      <c r="A3848" s="21"/>
      <c r="B3848" s="3" t="s">
        <v>8</v>
      </c>
      <c r="C3848" s="20" t="s">
        <v>1202</v>
      </c>
      <c r="D3848" s="21"/>
    </row>
    <row r="3849" spans="1:4" ht="12.75" customHeight="1" x14ac:dyDescent="0.2">
      <c r="A3849" s="21"/>
      <c r="B3849" s="3" t="s">
        <v>9</v>
      </c>
      <c r="C3849" s="20" t="s">
        <v>1204</v>
      </c>
      <c r="D3849" s="21"/>
    </row>
    <row r="3850" spans="1:4" ht="12.75" customHeight="1" x14ac:dyDescent="0.2">
      <c r="A3850" s="21"/>
      <c r="B3850" s="3" t="s">
        <v>11</v>
      </c>
      <c r="C3850" s="20" t="s">
        <v>973</v>
      </c>
      <c r="D3850" s="21"/>
    </row>
    <row r="3851" spans="1:4" ht="12.75" customHeight="1" x14ac:dyDescent="0.2">
      <c r="A3851" s="21"/>
      <c r="B3851" s="3" t="s">
        <v>13</v>
      </c>
      <c r="C3851" s="20" t="s">
        <v>24</v>
      </c>
      <c r="D3851" s="21"/>
    </row>
    <row r="3852" spans="1:4" ht="12.75" customHeight="1" x14ac:dyDescent="0.2">
      <c r="A3852" s="21"/>
      <c r="B3852" s="3" t="s">
        <v>15</v>
      </c>
      <c r="C3852" s="20" t="s">
        <v>24</v>
      </c>
      <c r="D3852" s="21"/>
    </row>
    <row r="3853" spans="1:4" ht="12.75" customHeight="1" x14ac:dyDescent="0.2">
      <c r="A3853" s="21"/>
      <c r="B3853" s="3" t="s">
        <v>16</v>
      </c>
      <c r="C3853" s="20"/>
      <c r="D3853" s="21"/>
    </row>
    <row r="3854" spans="1:4" ht="12.75" customHeight="1" x14ac:dyDescent="0.2">
      <c r="A3854" s="21"/>
      <c r="B3854" s="3" t="s">
        <v>17</v>
      </c>
      <c r="C3854" s="20"/>
      <c r="D3854" s="21"/>
    </row>
    <row r="3855" spans="1:4" ht="12.75" customHeight="1" x14ac:dyDescent="0.2">
      <c r="A3855" s="21"/>
      <c r="B3855" s="20" t="s">
        <v>18</v>
      </c>
      <c r="C3855" s="4" t="s">
        <v>68</v>
      </c>
      <c r="D3855" s="6" t="str">
        <f>HYPERLINK("javascript:void(0)","gőg")</f>
        <v>gőg</v>
      </c>
    </row>
    <row r="3856" spans="1:4" ht="12.75" customHeight="1" x14ac:dyDescent="0.2">
      <c r="A3856" s="21"/>
      <c r="B3856" s="21"/>
      <c r="C3856" s="4" t="s">
        <v>117</v>
      </c>
      <c r="D3856" s="6" t="str">
        <f>HYPERLINK("javascript:void(0)","tincs")</f>
        <v>tincs</v>
      </c>
    </row>
    <row r="3857" spans="1:4" ht="12.75" customHeight="1" x14ac:dyDescent="0.2">
      <c r="A3857" s="21"/>
      <c r="B3857" s="21"/>
      <c r="C3857" s="4" t="s">
        <v>382</v>
      </c>
      <c r="D3857" s="6" t="str">
        <f>HYPERLINK("javascript:void(0)","pamacsprém")</f>
        <v>pamacsprém</v>
      </c>
    </row>
    <row r="3858" spans="1:4" ht="12.75" customHeight="1" x14ac:dyDescent="0.2">
      <c r="A3858" s="5"/>
      <c r="B3858" s="2"/>
      <c r="C3858" s="2"/>
      <c r="D3858" s="2"/>
    </row>
    <row r="3859" spans="1:4" ht="12.75" customHeight="1" x14ac:dyDescent="0.2">
      <c r="A3859" s="22" t="str">
        <f>HYPERLINK("javascript:void(0)","gyíkacél lékelő")</f>
        <v>gyíkacél lékelő</v>
      </c>
      <c r="B3859" s="21"/>
      <c r="C3859" s="21"/>
      <c r="D3859" s="21"/>
    </row>
    <row r="3860" spans="1:4" ht="12.75" customHeight="1" x14ac:dyDescent="0.2">
      <c r="A3860" s="20"/>
      <c r="B3860" s="2"/>
      <c r="C3860" s="2"/>
      <c r="D3860" s="2"/>
    </row>
    <row r="3861" spans="1:4" ht="12.75" customHeight="1" x14ac:dyDescent="0.2">
      <c r="A3861" s="21"/>
      <c r="B3861" s="3" t="s">
        <v>0</v>
      </c>
      <c r="C3861" s="20" t="s">
        <v>699</v>
      </c>
      <c r="D3861" s="21"/>
    </row>
    <row r="3862" spans="1:4" ht="12.75" customHeight="1" x14ac:dyDescent="0.2">
      <c r="A3862" s="21"/>
      <c r="B3862" s="3" t="s">
        <v>2</v>
      </c>
      <c r="C3862" s="20" t="s">
        <v>122</v>
      </c>
      <c r="D3862" s="21"/>
    </row>
    <row r="3863" spans="1:4" ht="12.75" customHeight="1" x14ac:dyDescent="0.2">
      <c r="A3863" s="21"/>
      <c r="B3863" s="3" t="s">
        <v>4</v>
      </c>
      <c r="C3863" s="20" t="s">
        <v>1205</v>
      </c>
      <c r="D3863" s="21"/>
    </row>
    <row r="3864" spans="1:4" ht="12.75" customHeight="1" x14ac:dyDescent="0.2">
      <c r="A3864" s="21"/>
      <c r="B3864" s="3" t="s">
        <v>6</v>
      </c>
      <c r="C3864" s="20" t="s">
        <v>107</v>
      </c>
      <c r="D3864" s="21"/>
    </row>
    <row r="3865" spans="1:4" ht="12.75" customHeight="1" x14ac:dyDescent="0.2">
      <c r="A3865" s="21"/>
      <c r="B3865" s="3" t="s">
        <v>8</v>
      </c>
      <c r="C3865" s="20" t="s">
        <v>1205</v>
      </c>
      <c r="D3865" s="21"/>
    </row>
    <row r="3866" spans="1:4" ht="12.75" customHeight="1" x14ac:dyDescent="0.2">
      <c r="A3866" s="21"/>
      <c r="B3866" s="3" t="s">
        <v>9</v>
      </c>
      <c r="C3866" s="20" t="s">
        <v>1206</v>
      </c>
      <c r="D3866" s="21"/>
    </row>
    <row r="3867" spans="1:4" ht="12.75" customHeight="1" x14ac:dyDescent="0.2">
      <c r="A3867" s="21"/>
      <c r="B3867" s="3" t="s">
        <v>11</v>
      </c>
      <c r="C3867" s="20" t="s">
        <v>514</v>
      </c>
      <c r="D3867" s="21"/>
    </row>
    <row r="3868" spans="1:4" ht="12.75" customHeight="1" x14ac:dyDescent="0.2">
      <c r="A3868" s="21"/>
      <c r="B3868" s="3" t="s">
        <v>13</v>
      </c>
      <c r="C3868" s="20" t="s">
        <v>24</v>
      </c>
      <c r="D3868" s="21"/>
    </row>
    <row r="3869" spans="1:4" ht="12.75" customHeight="1" x14ac:dyDescent="0.2">
      <c r="A3869" s="21"/>
      <c r="B3869" s="3" t="s">
        <v>15</v>
      </c>
      <c r="C3869" s="20" t="s">
        <v>24</v>
      </c>
      <c r="D3869" s="21"/>
    </row>
    <row r="3870" spans="1:4" ht="12.75" customHeight="1" x14ac:dyDescent="0.2">
      <c r="A3870" s="21"/>
      <c r="B3870" s="3" t="s">
        <v>16</v>
      </c>
      <c r="C3870" s="20"/>
      <c r="D3870" s="21"/>
    </row>
    <row r="3871" spans="1:4" ht="12.75" customHeight="1" x14ac:dyDescent="0.2">
      <c r="A3871" s="21"/>
      <c r="B3871" s="3" t="s">
        <v>17</v>
      </c>
      <c r="C3871" s="20"/>
      <c r="D3871" s="21"/>
    </row>
    <row r="3872" spans="1:4" ht="12.75" customHeight="1" x14ac:dyDescent="0.2">
      <c r="A3872" s="21"/>
      <c r="B3872" s="20" t="s">
        <v>18</v>
      </c>
      <c r="C3872" s="4" t="s">
        <v>68</v>
      </c>
      <c r="D3872" s="6" t="str">
        <f>HYPERLINK("javascript:void(0)","extra manaital")</f>
        <v>extra manaital</v>
      </c>
    </row>
    <row r="3873" spans="1:4" ht="12.75" customHeight="1" x14ac:dyDescent="0.2">
      <c r="A3873" s="21"/>
      <c r="B3873" s="21"/>
      <c r="C3873" s="4" t="s">
        <v>280</v>
      </c>
      <c r="D3873" s="6" t="str">
        <f>HYPERLINK("javascript:void(0)","szent szimbólum")</f>
        <v>szent szimbólum</v>
      </c>
    </row>
    <row r="3874" spans="1:4" ht="12.75" customHeight="1" x14ac:dyDescent="0.2">
      <c r="A3874" s="21"/>
      <c r="B3874" s="21"/>
      <c r="C3874" s="4" t="s">
        <v>57</v>
      </c>
      <c r="D3874" s="6" t="str">
        <f>HYPERLINK("javascript:void(0)","melegige")</f>
        <v>melegige</v>
      </c>
    </row>
    <row r="3875" spans="1:4" ht="12.75" customHeight="1" x14ac:dyDescent="0.2">
      <c r="A3875" s="5"/>
      <c r="B3875" s="2"/>
      <c r="C3875" s="2"/>
      <c r="D3875" s="2"/>
    </row>
    <row r="3876" spans="1:4" ht="12.75" customHeight="1" x14ac:dyDescent="0.2">
      <c r="A3876" s="22" t="str">
        <f>HYPERLINK("javascript:void(0)","hőhullám")</f>
        <v>hőhullám</v>
      </c>
      <c r="B3876" s="21"/>
      <c r="C3876" s="21"/>
      <c r="D3876" s="21"/>
    </row>
    <row r="3877" spans="1:4" ht="12.75" customHeight="1" x14ac:dyDescent="0.2">
      <c r="A3877" s="20"/>
      <c r="B3877" s="2"/>
      <c r="C3877" s="2"/>
      <c r="D3877" s="2"/>
    </row>
    <row r="3878" spans="1:4" ht="12.75" customHeight="1" x14ac:dyDescent="0.2">
      <c r="A3878" s="21"/>
      <c r="B3878" s="3" t="s">
        <v>0</v>
      </c>
      <c r="C3878" s="20" t="s">
        <v>699</v>
      </c>
      <c r="D3878" s="21"/>
    </row>
    <row r="3879" spans="1:4" ht="12.75" customHeight="1" x14ac:dyDescent="0.2">
      <c r="A3879" s="21"/>
      <c r="B3879" s="3" t="s">
        <v>2</v>
      </c>
      <c r="C3879" s="20" t="s">
        <v>122</v>
      </c>
      <c r="D3879" s="21"/>
    </row>
    <row r="3880" spans="1:4" ht="12.75" customHeight="1" x14ac:dyDescent="0.2">
      <c r="A3880" s="21"/>
      <c r="B3880" s="3" t="s">
        <v>4</v>
      </c>
      <c r="C3880" s="20" t="s">
        <v>533</v>
      </c>
      <c r="D3880" s="21"/>
    </row>
    <row r="3881" spans="1:4" ht="12.75" customHeight="1" x14ac:dyDescent="0.2">
      <c r="A3881" s="21"/>
      <c r="B3881" s="3" t="s">
        <v>6</v>
      </c>
      <c r="C3881" s="20" t="s">
        <v>21</v>
      </c>
      <c r="D3881" s="21"/>
    </row>
    <row r="3882" spans="1:4" ht="12.75" customHeight="1" x14ac:dyDescent="0.2">
      <c r="A3882" s="21"/>
      <c r="B3882" s="3" t="s">
        <v>8</v>
      </c>
      <c r="C3882" s="20" t="s">
        <v>533</v>
      </c>
      <c r="D3882" s="21"/>
    </row>
    <row r="3883" spans="1:4" ht="12.75" customHeight="1" x14ac:dyDescent="0.2">
      <c r="A3883" s="21"/>
      <c r="B3883" s="3" t="s">
        <v>9</v>
      </c>
      <c r="C3883" s="20" t="s">
        <v>42</v>
      </c>
      <c r="D3883" s="21"/>
    </row>
    <row r="3884" spans="1:4" ht="12.75" customHeight="1" x14ac:dyDescent="0.2">
      <c r="A3884" s="21"/>
      <c r="B3884" s="3" t="s">
        <v>11</v>
      </c>
      <c r="C3884" s="20" t="s">
        <v>625</v>
      </c>
      <c r="D3884" s="21"/>
    </row>
    <row r="3885" spans="1:4" ht="12.75" customHeight="1" x14ac:dyDescent="0.2">
      <c r="A3885" s="21"/>
      <c r="B3885" s="3" t="s">
        <v>13</v>
      </c>
      <c r="C3885" s="20" t="s">
        <v>24</v>
      </c>
      <c r="D3885" s="21"/>
    </row>
    <row r="3886" spans="1:4" ht="12.75" customHeight="1" x14ac:dyDescent="0.2">
      <c r="A3886" s="21"/>
      <c r="B3886" s="3" t="s">
        <v>15</v>
      </c>
      <c r="C3886" s="20" t="s">
        <v>24</v>
      </c>
      <c r="D3886" s="21"/>
    </row>
    <row r="3887" spans="1:4" ht="12.75" customHeight="1" x14ac:dyDescent="0.2">
      <c r="A3887" s="21"/>
      <c r="B3887" s="3" t="s">
        <v>16</v>
      </c>
      <c r="C3887" s="20"/>
      <c r="D3887" s="21"/>
    </row>
    <row r="3888" spans="1:4" ht="12.75" customHeight="1" x14ac:dyDescent="0.2">
      <c r="A3888" s="21"/>
      <c r="B3888" s="3" t="s">
        <v>17</v>
      </c>
      <c r="C3888" s="20"/>
      <c r="D3888" s="21"/>
    </row>
    <row r="3889" spans="1:4" ht="12.75" customHeight="1" x14ac:dyDescent="0.2">
      <c r="A3889" s="21"/>
      <c r="B3889" s="20" t="s">
        <v>18</v>
      </c>
      <c r="C3889" s="4" t="s">
        <v>56</v>
      </c>
      <c r="D3889" s="6" t="str">
        <f>HYPERLINK("javascript:void(0)","hőgolyó")</f>
        <v>hőgolyó</v>
      </c>
    </row>
    <row r="3890" spans="1:4" ht="12.75" customHeight="1" x14ac:dyDescent="0.2">
      <c r="A3890" s="21"/>
      <c r="B3890" s="21"/>
      <c r="C3890" s="4" t="s">
        <v>139</v>
      </c>
      <c r="D3890" s="6" t="str">
        <f>HYPERLINK("javascript:void(0)","lux")</f>
        <v>lux</v>
      </c>
    </row>
    <row r="3891" spans="1:4" ht="12.75" customHeight="1" x14ac:dyDescent="0.2">
      <c r="A3891" s="21"/>
      <c r="B3891" s="21"/>
      <c r="C3891" s="4" t="s">
        <v>280</v>
      </c>
      <c r="D3891" s="6" t="str">
        <f>HYPERLINK("javascript:void(0)","ragya")</f>
        <v>ragya</v>
      </c>
    </row>
    <row r="3892" spans="1:4" ht="12.75" customHeight="1" x14ac:dyDescent="0.2">
      <c r="A3892" s="5"/>
      <c r="B3892" s="2"/>
      <c r="C3892" s="2"/>
      <c r="D3892" s="2"/>
    </row>
    <row r="3893" spans="1:4" ht="12.75" customHeight="1" x14ac:dyDescent="0.2">
      <c r="A3893" s="22" t="str">
        <f>HYPERLINK("javascript:void(0)","szivárványhusáng")</f>
        <v>szivárványhusáng</v>
      </c>
      <c r="B3893" s="21"/>
      <c r="C3893" s="21"/>
      <c r="D3893" s="21"/>
    </row>
    <row r="3894" spans="1:4" ht="12.75" customHeight="1" x14ac:dyDescent="0.2">
      <c r="A3894" s="20"/>
      <c r="B3894" s="2"/>
      <c r="C3894" s="2"/>
      <c r="D3894" s="2"/>
    </row>
    <row r="3895" spans="1:4" ht="12.75" customHeight="1" x14ac:dyDescent="0.2">
      <c r="A3895" s="21"/>
      <c r="B3895" s="3" t="s">
        <v>0</v>
      </c>
      <c r="C3895" s="20" t="s">
        <v>709</v>
      </c>
      <c r="D3895" s="21"/>
    </row>
    <row r="3896" spans="1:4" ht="12.75" customHeight="1" x14ac:dyDescent="0.2">
      <c r="A3896" s="21"/>
      <c r="B3896" s="3" t="s">
        <v>2</v>
      </c>
      <c r="C3896" s="20" t="s">
        <v>122</v>
      </c>
      <c r="D3896" s="21"/>
    </row>
    <row r="3897" spans="1:4" ht="12.75" customHeight="1" x14ac:dyDescent="0.2">
      <c r="A3897" s="21"/>
      <c r="B3897" s="3" t="s">
        <v>4</v>
      </c>
      <c r="C3897" s="20" t="s">
        <v>1212</v>
      </c>
      <c r="D3897" s="21"/>
    </row>
    <row r="3898" spans="1:4" ht="12.75" customHeight="1" x14ac:dyDescent="0.2">
      <c r="A3898" s="21"/>
      <c r="B3898" s="3" t="s">
        <v>6</v>
      </c>
      <c r="C3898" s="20" t="s">
        <v>298</v>
      </c>
      <c r="D3898" s="21"/>
    </row>
    <row r="3899" spans="1:4" ht="12.75" customHeight="1" x14ac:dyDescent="0.2">
      <c r="A3899" s="21"/>
      <c r="B3899" s="3" t="s">
        <v>8</v>
      </c>
      <c r="C3899" s="20" t="s">
        <v>1212</v>
      </c>
      <c r="D3899" s="21"/>
    </row>
    <row r="3900" spans="1:4" ht="12.75" customHeight="1" x14ac:dyDescent="0.2">
      <c r="A3900" s="21"/>
      <c r="B3900" s="3" t="s">
        <v>9</v>
      </c>
      <c r="C3900" s="20" t="s">
        <v>30</v>
      </c>
      <c r="D3900" s="21"/>
    </row>
    <row r="3901" spans="1:4" ht="12.75" customHeight="1" x14ac:dyDescent="0.2">
      <c r="A3901" s="21"/>
      <c r="B3901" s="3" t="s">
        <v>11</v>
      </c>
      <c r="C3901" s="20" t="s">
        <v>731</v>
      </c>
      <c r="D3901" s="21"/>
    </row>
    <row r="3902" spans="1:4" ht="12.75" customHeight="1" x14ac:dyDescent="0.2">
      <c r="A3902" s="21"/>
      <c r="B3902" s="3" t="s">
        <v>13</v>
      </c>
      <c r="C3902" s="20" t="s">
        <v>24</v>
      </c>
      <c r="D3902" s="21"/>
    </row>
    <row r="3903" spans="1:4" ht="12.75" customHeight="1" x14ac:dyDescent="0.2">
      <c r="A3903" s="21"/>
      <c r="B3903" s="3" t="s">
        <v>15</v>
      </c>
      <c r="C3903" s="20" t="s">
        <v>24</v>
      </c>
      <c r="D3903" s="21"/>
    </row>
    <row r="3904" spans="1:4" ht="12.75" customHeight="1" x14ac:dyDescent="0.2">
      <c r="A3904" s="21"/>
      <c r="B3904" s="3" t="s">
        <v>16</v>
      </c>
      <c r="C3904" s="20"/>
      <c r="D3904" s="21"/>
    </row>
    <row r="3905" spans="1:4" ht="12.75" customHeight="1" x14ac:dyDescent="0.2">
      <c r="A3905" s="21"/>
      <c r="B3905" s="3" t="s">
        <v>17</v>
      </c>
      <c r="C3905" s="20"/>
      <c r="D3905" s="21"/>
    </row>
    <row r="3906" spans="1:4" ht="12.75" customHeight="1" x14ac:dyDescent="0.2">
      <c r="A3906" s="21"/>
      <c r="B3906" s="20" t="s">
        <v>18</v>
      </c>
      <c r="C3906" s="4" t="s">
        <v>57</v>
      </c>
      <c r="D3906" s="6" t="str">
        <f>HYPERLINK("javascript:void(0)","szivárványszív")</f>
        <v>szivárványszív</v>
      </c>
    </row>
    <row r="3907" spans="1:4" ht="12.75" customHeight="1" x14ac:dyDescent="0.2">
      <c r="A3907" s="21"/>
      <c r="B3907" s="21"/>
      <c r="C3907" s="4" t="s">
        <v>68</v>
      </c>
      <c r="D3907" s="6" t="str">
        <f>HYPERLINK("javascript:void(0)","tincs")</f>
        <v>tincs</v>
      </c>
    </row>
    <row r="3908" spans="1:4" ht="12.75" customHeight="1" x14ac:dyDescent="0.2">
      <c r="A3908" s="21"/>
      <c r="B3908" s="21"/>
      <c r="C3908" s="4" t="s">
        <v>271</v>
      </c>
      <c r="D3908" s="6" t="str">
        <f>HYPERLINK("javascript:void(0)","szent szimbólum")</f>
        <v>szent szimbólum</v>
      </c>
    </row>
    <row r="3909" spans="1:4" ht="12.75" customHeight="1" x14ac:dyDescent="0.2">
      <c r="A3909" s="5"/>
      <c r="B3909" s="2"/>
      <c r="C3909" s="2"/>
      <c r="D3909" s="2"/>
    </row>
    <row r="3910" spans="1:4" ht="12.75" customHeight="1" x14ac:dyDescent="0.2">
      <c r="A3910" s="22" t="str">
        <f>HYPERLINK("javascript:void(0)","szivárvány mágusölő")</f>
        <v>szivárvány mágusölő</v>
      </c>
      <c r="B3910" s="21"/>
      <c r="C3910" s="21"/>
      <c r="D3910" s="21"/>
    </row>
    <row r="3911" spans="1:4" ht="12.75" customHeight="1" x14ac:dyDescent="0.2">
      <c r="A3911" s="20"/>
      <c r="B3911" s="2"/>
      <c r="C3911" s="2"/>
      <c r="D3911" s="2"/>
    </row>
    <row r="3912" spans="1:4" ht="12.75" customHeight="1" x14ac:dyDescent="0.2">
      <c r="A3912" s="21"/>
      <c r="B3912" s="3" t="s">
        <v>0</v>
      </c>
      <c r="C3912" s="20" t="s">
        <v>709</v>
      </c>
      <c r="D3912" s="21"/>
    </row>
    <row r="3913" spans="1:4" ht="12.75" customHeight="1" x14ac:dyDescent="0.2">
      <c r="A3913" s="21"/>
      <c r="B3913" s="3" t="s">
        <v>2</v>
      </c>
      <c r="C3913" s="20" t="s">
        <v>122</v>
      </c>
      <c r="D3913" s="21"/>
    </row>
    <row r="3914" spans="1:4" ht="12.75" customHeight="1" x14ac:dyDescent="0.2">
      <c r="A3914" s="21"/>
      <c r="B3914" s="3" t="s">
        <v>4</v>
      </c>
      <c r="C3914" s="20" t="s">
        <v>1217</v>
      </c>
      <c r="D3914" s="21"/>
    </row>
    <row r="3915" spans="1:4" ht="12.75" customHeight="1" x14ac:dyDescent="0.2">
      <c r="A3915" s="21"/>
      <c r="B3915" s="3" t="s">
        <v>6</v>
      </c>
      <c r="C3915" s="20" t="s">
        <v>48</v>
      </c>
      <c r="D3915" s="21"/>
    </row>
    <row r="3916" spans="1:4" ht="12.75" customHeight="1" x14ac:dyDescent="0.2">
      <c r="A3916" s="21"/>
      <c r="B3916" s="3" t="s">
        <v>8</v>
      </c>
      <c r="C3916" s="20" t="s">
        <v>1217</v>
      </c>
      <c r="D3916" s="21"/>
    </row>
    <row r="3917" spans="1:4" ht="12.75" customHeight="1" x14ac:dyDescent="0.2">
      <c r="A3917" s="21"/>
      <c r="B3917" s="3" t="s">
        <v>9</v>
      </c>
      <c r="C3917" s="20" t="s">
        <v>1218</v>
      </c>
      <c r="D3917" s="21"/>
    </row>
    <row r="3918" spans="1:4" ht="12.75" customHeight="1" x14ac:dyDescent="0.2">
      <c r="A3918" s="21"/>
      <c r="B3918" s="3" t="s">
        <v>11</v>
      </c>
      <c r="C3918" s="20" t="s">
        <v>879</v>
      </c>
      <c r="D3918" s="21"/>
    </row>
    <row r="3919" spans="1:4" ht="12.75" customHeight="1" x14ac:dyDescent="0.2">
      <c r="A3919" s="21"/>
      <c r="B3919" s="3" t="s">
        <v>13</v>
      </c>
      <c r="C3919" s="20" t="s">
        <v>14</v>
      </c>
      <c r="D3919" s="21"/>
    </row>
    <row r="3920" spans="1:4" ht="12.75" customHeight="1" x14ac:dyDescent="0.2">
      <c r="A3920" s="21"/>
      <c r="B3920" s="3" t="s">
        <v>15</v>
      </c>
      <c r="C3920" s="20" t="s">
        <v>24</v>
      </c>
      <c r="D3920" s="21"/>
    </row>
    <row r="3921" spans="1:4" ht="12.75" customHeight="1" x14ac:dyDescent="0.2">
      <c r="A3921" s="21"/>
      <c r="B3921" s="3" t="s">
        <v>16</v>
      </c>
      <c r="C3921" s="20"/>
      <c r="D3921" s="21"/>
    </row>
    <row r="3922" spans="1:4" ht="12.75" customHeight="1" x14ac:dyDescent="0.2">
      <c r="A3922" s="21"/>
      <c r="B3922" s="3" t="s">
        <v>17</v>
      </c>
      <c r="C3922" s="20"/>
      <c r="D3922" s="21"/>
    </row>
    <row r="3923" spans="1:4" ht="12.75" customHeight="1" x14ac:dyDescent="0.2">
      <c r="A3923" s="21"/>
      <c r="B3923" s="20" t="s">
        <v>18</v>
      </c>
      <c r="C3923" s="4" t="s">
        <v>68</v>
      </c>
      <c r="D3923" s="6" t="str">
        <f>HYPERLINK("javascript:void(0)","szivárványszív")</f>
        <v>szivárványszív</v>
      </c>
    </row>
    <row r="3924" spans="1:4" ht="12.75" customHeight="1" x14ac:dyDescent="0.2">
      <c r="A3924" s="21"/>
      <c r="B3924" s="21"/>
      <c r="C3924" s="4" t="s">
        <v>117</v>
      </c>
      <c r="D3924" s="6" t="str">
        <f>HYPERLINK("javascript:void(0)","tincs")</f>
        <v>tincs</v>
      </c>
    </row>
    <row r="3925" spans="1:4" ht="12.75" customHeight="1" x14ac:dyDescent="0.2">
      <c r="A3925" s="21"/>
      <c r="B3925" s="21"/>
      <c r="C3925" s="4" t="s">
        <v>98</v>
      </c>
      <c r="D3925" s="6" t="str">
        <f>HYPERLINK("javascript:void(0)","éjfény")</f>
        <v>éjfény</v>
      </c>
    </row>
    <row r="3926" spans="1:4" ht="12.75" customHeight="1" x14ac:dyDescent="0.2">
      <c r="A3926" s="5"/>
      <c r="B3926" s="2"/>
      <c r="C3926" s="2"/>
      <c r="D3926" s="2"/>
    </row>
    <row r="3927" spans="1:4" ht="12.75" customHeight="1" x14ac:dyDescent="0.2">
      <c r="A3927" s="22" t="str">
        <f>HYPERLINK("javascript:void(0)","lemezpenge")</f>
        <v>lemezpenge</v>
      </c>
      <c r="B3927" s="21"/>
      <c r="C3927" s="21"/>
      <c r="D3927" s="21"/>
    </row>
    <row r="3928" spans="1:4" ht="12.75" customHeight="1" x14ac:dyDescent="0.2">
      <c r="A3928" s="20"/>
      <c r="B3928" s="2"/>
      <c r="C3928" s="2"/>
      <c r="D3928" s="2"/>
    </row>
    <row r="3929" spans="1:4" ht="12.75" customHeight="1" x14ac:dyDescent="0.2">
      <c r="A3929" s="21"/>
      <c r="B3929" s="3" t="s">
        <v>0</v>
      </c>
      <c r="C3929" s="20" t="s">
        <v>709</v>
      </c>
      <c r="D3929" s="21"/>
    </row>
    <row r="3930" spans="1:4" ht="12.75" customHeight="1" x14ac:dyDescent="0.2">
      <c r="A3930" s="21"/>
      <c r="B3930" s="3" t="s">
        <v>2</v>
      </c>
      <c r="C3930" s="20" t="s">
        <v>122</v>
      </c>
      <c r="D3930" s="21"/>
    </row>
    <row r="3931" spans="1:4" ht="12.75" customHeight="1" x14ac:dyDescent="0.2">
      <c r="A3931" s="21"/>
      <c r="B3931" s="3" t="s">
        <v>4</v>
      </c>
      <c r="C3931" s="20" t="s">
        <v>533</v>
      </c>
      <c r="D3931" s="21"/>
    </row>
    <row r="3932" spans="1:4" ht="12.75" customHeight="1" x14ac:dyDescent="0.2">
      <c r="A3932" s="21"/>
      <c r="B3932" s="3" t="s">
        <v>6</v>
      </c>
      <c r="C3932" s="20" t="s">
        <v>21</v>
      </c>
      <c r="D3932" s="21"/>
    </row>
    <row r="3933" spans="1:4" ht="12.75" customHeight="1" x14ac:dyDescent="0.2">
      <c r="A3933" s="21"/>
      <c r="B3933" s="3" t="s">
        <v>8</v>
      </c>
      <c r="C3933" s="20" t="s">
        <v>533</v>
      </c>
      <c r="D3933" s="21"/>
    </row>
    <row r="3934" spans="1:4" ht="12.75" customHeight="1" x14ac:dyDescent="0.2">
      <c r="A3934" s="21"/>
      <c r="B3934" s="3" t="s">
        <v>9</v>
      </c>
      <c r="C3934" s="20" t="s">
        <v>42</v>
      </c>
      <c r="D3934" s="21"/>
    </row>
    <row r="3935" spans="1:4" ht="12.75" customHeight="1" x14ac:dyDescent="0.2">
      <c r="A3935" s="21"/>
      <c r="B3935" s="3" t="s">
        <v>11</v>
      </c>
      <c r="C3935" s="20" t="s">
        <v>645</v>
      </c>
      <c r="D3935" s="21"/>
    </row>
    <row r="3936" spans="1:4" ht="12.75" customHeight="1" x14ac:dyDescent="0.2">
      <c r="A3936" s="21"/>
      <c r="B3936" s="3" t="s">
        <v>13</v>
      </c>
      <c r="C3936" s="20" t="s">
        <v>24</v>
      </c>
      <c r="D3936" s="21"/>
    </row>
    <row r="3937" spans="1:4" ht="12.75" customHeight="1" x14ac:dyDescent="0.2">
      <c r="A3937" s="21"/>
      <c r="B3937" s="3" t="s">
        <v>15</v>
      </c>
      <c r="C3937" s="20" t="s">
        <v>24</v>
      </c>
      <c r="D3937" s="21"/>
    </row>
    <row r="3938" spans="1:4" ht="12.75" customHeight="1" x14ac:dyDescent="0.2">
      <c r="A3938" s="21"/>
      <c r="B3938" s="3" t="s">
        <v>16</v>
      </c>
      <c r="C3938" s="20"/>
      <c r="D3938" s="21"/>
    </row>
    <row r="3939" spans="1:4" ht="12.75" customHeight="1" x14ac:dyDescent="0.2">
      <c r="A3939" s="21"/>
      <c r="B3939" s="3" t="s">
        <v>17</v>
      </c>
      <c r="C3939" s="20"/>
      <c r="D3939" s="21"/>
    </row>
    <row r="3940" spans="1:4" ht="12.75" customHeight="1" x14ac:dyDescent="0.2">
      <c r="A3940" s="21"/>
      <c r="B3940" s="20" t="s">
        <v>18</v>
      </c>
      <c r="C3940" s="4" t="s">
        <v>56</v>
      </c>
      <c r="D3940" s="6" t="str">
        <f>HYPERLINK("javascript:void(0)","nagylemez")</f>
        <v>nagylemez</v>
      </c>
    </row>
    <row r="3941" spans="1:4" ht="12.75" customHeight="1" x14ac:dyDescent="0.2">
      <c r="A3941" s="21"/>
      <c r="B3941" s="21"/>
      <c r="C3941" s="4" t="s">
        <v>68</v>
      </c>
      <c r="D3941" s="6" t="str">
        <f>HYPERLINK("javascript:void(0)","bajuszkötő")</f>
        <v>bajuszkötő</v>
      </c>
    </row>
    <row r="3942" spans="1:4" ht="12.75" customHeight="1" x14ac:dyDescent="0.2">
      <c r="A3942" s="21"/>
      <c r="B3942" s="21"/>
      <c r="C3942" s="4" t="s">
        <v>117</v>
      </c>
      <c r="D3942" s="6" t="str">
        <f>HYPERLINK("javascript:void(0)","zselatin")</f>
        <v>zselatin</v>
      </c>
    </row>
    <row r="3943" spans="1:4" ht="12.75" customHeight="1" x14ac:dyDescent="0.2">
      <c r="A3943" s="5"/>
      <c r="B3943" s="2"/>
      <c r="C3943" s="2"/>
      <c r="D3943" s="2"/>
    </row>
    <row r="3944" spans="1:4" ht="12.75" customHeight="1" x14ac:dyDescent="0.2">
      <c r="A3944" s="22" t="str">
        <f>HYPERLINK("javascript:void(0)","portkalapács")</f>
        <v>portkalapács</v>
      </c>
      <c r="B3944" s="21"/>
      <c r="C3944" s="21"/>
      <c r="D3944" s="21"/>
    </row>
    <row r="3945" spans="1:4" ht="12.75" customHeight="1" x14ac:dyDescent="0.2">
      <c r="A3945" s="20"/>
      <c r="B3945" s="2"/>
      <c r="C3945" s="2"/>
      <c r="D3945" s="2"/>
    </row>
    <row r="3946" spans="1:4" ht="12.75" customHeight="1" x14ac:dyDescent="0.2">
      <c r="A3946" s="21"/>
      <c r="B3946" s="3" t="s">
        <v>0</v>
      </c>
      <c r="C3946" s="20" t="s">
        <v>719</v>
      </c>
      <c r="D3946" s="21"/>
    </row>
    <row r="3947" spans="1:4" ht="12.75" customHeight="1" x14ac:dyDescent="0.2">
      <c r="A3947" s="21"/>
      <c r="B3947" s="3" t="s">
        <v>2</v>
      </c>
      <c r="C3947" s="20" t="s">
        <v>122</v>
      </c>
      <c r="D3947" s="21"/>
    </row>
    <row r="3948" spans="1:4" ht="12.75" customHeight="1" x14ac:dyDescent="0.2">
      <c r="A3948" s="21"/>
      <c r="B3948" s="3" t="s">
        <v>4</v>
      </c>
      <c r="C3948" s="20" t="s">
        <v>1224</v>
      </c>
      <c r="D3948" s="21"/>
    </row>
    <row r="3949" spans="1:4" ht="12.75" customHeight="1" x14ac:dyDescent="0.2">
      <c r="A3949" s="21"/>
      <c r="B3949" s="3" t="s">
        <v>6</v>
      </c>
      <c r="C3949" s="20" t="s">
        <v>260</v>
      </c>
      <c r="D3949" s="21"/>
    </row>
    <row r="3950" spans="1:4" ht="12.75" customHeight="1" x14ac:dyDescent="0.2">
      <c r="A3950" s="21"/>
      <c r="B3950" s="3" t="s">
        <v>8</v>
      </c>
      <c r="C3950" s="20" t="s">
        <v>1224</v>
      </c>
      <c r="D3950" s="21"/>
    </row>
    <row r="3951" spans="1:4" ht="12.75" customHeight="1" x14ac:dyDescent="0.2">
      <c r="A3951" s="21"/>
      <c r="B3951" s="3" t="s">
        <v>9</v>
      </c>
      <c r="C3951" s="20" t="s">
        <v>1225</v>
      </c>
      <c r="D3951" s="21"/>
    </row>
    <row r="3952" spans="1:4" ht="12.75" customHeight="1" x14ac:dyDescent="0.2">
      <c r="A3952" s="21"/>
      <c r="B3952" s="3" t="s">
        <v>11</v>
      </c>
      <c r="C3952" s="20" t="s">
        <v>739</v>
      </c>
      <c r="D3952" s="21"/>
    </row>
    <row r="3953" spans="1:4" ht="12.75" customHeight="1" x14ac:dyDescent="0.2">
      <c r="A3953" s="21"/>
      <c r="B3953" s="3" t="s">
        <v>13</v>
      </c>
      <c r="C3953" s="20" t="s">
        <v>24</v>
      </c>
      <c r="D3953" s="21"/>
    </row>
    <row r="3954" spans="1:4" ht="12.75" customHeight="1" x14ac:dyDescent="0.2">
      <c r="A3954" s="21"/>
      <c r="B3954" s="3" t="s">
        <v>15</v>
      </c>
      <c r="C3954" s="20" t="s">
        <v>24</v>
      </c>
      <c r="D3954" s="21"/>
    </row>
    <row r="3955" spans="1:4" ht="12.75" customHeight="1" x14ac:dyDescent="0.2">
      <c r="A3955" s="21"/>
      <c r="B3955" s="3" t="s">
        <v>16</v>
      </c>
      <c r="C3955" s="20"/>
      <c r="D3955" s="21"/>
    </row>
    <row r="3956" spans="1:4" ht="12.75" customHeight="1" x14ac:dyDescent="0.2">
      <c r="A3956" s="21"/>
      <c r="B3956" s="3" t="s">
        <v>17</v>
      </c>
      <c r="C3956" s="20"/>
      <c r="D3956" s="21"/>
    </row>
    <row r="3957" spans="1:4" ht="12.75" customHeight="1" x14ac:dyDescent="0.2">
      <c r="A3957" s="21"/>
      <c r="B3957" s="20" t="s">
        <v>18</v>
      </c>
      <c r="C3957" s="4" t="s">
        <v>44</v>
      </c>
      <c r="D3957" s="6" t="str">
        <f>HYPERLINK("javascript:void(0)","rúnajogar")</f>
        <v>rúnajogar</v>
      </c>
    </row>
    <row r="3958" spans="1:4" ht="12.75" customHeight="1" x14ac:dyDescent="0.2">
      <c r="A3958" s="21"/>
      <c r="B3958" s="21"/>
      <c r="C3958" s="4" t="s">
        <v>44</v>
      </c>
      <c r="D3958" s="6" t="str">
        <f>HYPERLINK("javascript:void(0)","szivárványhusáng")</f>
        <v>szivárványhusáng</v>
      </c>
    </row>
    <row r="3959" spans="1:4" ht="12.75" customHeight="1" x14ac:dyDescent="0.2">
      <c r="A3959" s="21"/>
      <c r="B3959" s="21"/>
      <c r="C3959" s="4" t="s">
        <v>44</v>
      </c>
      <c r="D3959" s="6" t="str">
        <f>HYPERLINK("javascript:void(0)","portnyél")</f>
        <v>portnyél</v>
      </c>
    </row>
    <row r="3960" spans="1:4" ht="12.75" customHeight="1" x14ac:dyDescent="0.2">
      <c r="A3960" s="5"/>
      <c r="B3960" s="2"/>
      <c r="C3960" s="2"/>
      <c r="D3960" s="2"/>
    </row>
    <row r="3961" spans="1:4" ht="12.75" customHeight="1" x14ac:dyDescent="0.2">
      <c r="A3961" s="22" t="str">
        <f>HYPERLINK("javascript:void(0)","harmatacél ballaszt")</f>
        <v>harmatacél ballaszt</v>
      </c>
      <c r="B3961" s="21"/>
      <c r="C3961" s="21"/>
      <c r="D3961" s="21"/>
    </row>
    <row r="3962" spans="1:4" ht="12.75" customHeight="1" x14ac:dyDescent="0.2">
      <c r="A3962" s="20"/>
      <c r="B3962" s="2"/>
      <c r="C3962" s="2"/>
      <c r="D3962" s="2"/>
    </row>
    <row r="3963" spans="1:4" ht="12.75" customHeight="1" x14ac:dyDescent="0.2">
      <c r="A3963" s="21"/>
      <c r="B3963" s="3" t="s">
        <v>0</v>
      </c>
      <c r="C3963" s="20" t="s">
        <v>719</v>
      </c>
      <c r="D3963" s="21"/>
    </row>
    <row r="3964" spans="1:4" ht="12.75" customHeight="1" x14ac:dyDescent="0.2">
      <c r="A3964" s="21"/>
      <c r="B3964" s="3" t="s">
        <v>2</v>
      </c>
      <c r="C3964" s="20" t="s">
        <v>122</v>
      </c>
      <c r="D3964" s="21"/>
    </row>
    <row r="3965" spans="1:4" ht="12.75" customHeight="1" x14ac:dyDescent="0.2">
      <c r="A3965" s="21"/>
      <c r="B3965" s="3" t="s">
        <v>4</v>
      </c>
      <c r="C3965" s="20" t="s">
        <v>1228</v>
      </c>
      <c r="D3965" s="21"/>
    </row>
    <row r="3966" spans="1:4" ht="12.75" customHeight="1" x14ac:dyDescent="0.2">
      <c r="A3966" s="21"/>
      <c r="B3966" s="3" t="s">
        <v>6</v>
      </c>
      <c r="C3966" s="20" t="s">
        <v>178</v>
      </c>
      <c r="D3966" s="21"/>
    </row>
    <row r="3967" spans="1:4" ht="12.75" customHeight="1" x14ac:dyDescent="0.2">
      <c r="A3967" s="21"/>
      <c r="B3967" s="3" t="s">
        <v>8</v>
      </c>
      <c r="C3967" s="20" t="s">
        <v>1228</v>
      </c>
      <c r="D3967" s="21"/>
    </row>
    <row r="3968" spans="1:4" ht="12.75" customHeight="1" x14ac:dyDescent="0.2">
      <c r="A3968" s="21"/>
      <c r="B3968" s="3" t="s">
        <v>9</v>
      </c>
      <c r="C3968" s="20" t="s">
        <v>1229</v>
      </c>
      <c r="D3968" s="21"/>
    </row>
    <row r="3969" spans="1:4" ht="12.75" customHeight="1" x14ac:dyDescent="0.2">
      <c r="A3969" s="21"/>
      <c r="B3969" s="3" t="s">
        <v>11</v>
      </c>
      <c r="C3969" s="20" t="s">
        <v>1015</v>
      </c>
      <c r="D3969" s="21"/>
    </row>
    <row r="3970" spans="1:4" ht="12.75" customHeight="1" x14ac:dyDescent="0.2">
      <c r="A3970" s="21"/>
      <c r="B3970" s="3" t="s">
        <v>13</v>
      </c>
      <c r="C3970" s="20" t="s">
        <v>24</v>
      </c>
      <c r="D3970" s="21"/>
    </row>
    <row r="3971" spans="1:4" ht="12.75" customHeight="1" x14ac:dyDescent="0.2">
      <c r="A3971" s="21"/>
      <c r="B3971" s="3" t="s">
        <v>15</v>
      </c>
      <c r="C3971" s="20" t="s">
        <v>24</v>
      </c>
      <c r="D3971" s="21"/>
    </row>
    <row r="3972" spans="1:4" ht="12.75" customHeight="1" x14ac:dyDescent="0.2">
      <c r="A3972" s="21"/>
      <c r="B3972" s="3" t="s">
        <v>16</v>
      </c>
      <c r="C3972" s="20"/>
      <c r="D3972" s="21"/>
    </row>
    <row r="3973" spans="1:4" ht="12.75" customHeight="1" x14ac:dyDescent="0.2">
      <c r="A3973" s="21"/>
      <c r="B3973" s="3" t="s">
        <v>17</v>
      </c>
      <c r="C3973" s="20"/>
      <c r="D3973" s="21"/>
    </row>
    <row r="3974" spans="1:4" ht="12.75" customHeight="1" x14ac:dyDescent="0.2">
      <c r="A3974" s="21"/>
      <c r="B3974" s="20" t="s">
        <v>18</v>
      </c>
      <c r="C3974" s="4" t="s">
        <v>68</v>
      </c>
      <c r="D3974" s="6" t="str">
        <f>HYPERLINK("javascript:void(0)","nagylemez")</f>
        <v>nagylemez</v>
      </c>
    </row>
    <row r="3975" spans="1:4" ht="12.75" customHeight="1" x14ac:dyDescent="0.2">
      <c r="A3975" s="21"/>
      <c r="B3975" s="21"/>
      <c r="C3975" s="4" t="s">
        <v>117</v>
      </c>
      <c r="D3975" s="6" t="str">
        <f>HYPERLINK("javascript:void(0)","bajuszkötő")</f>
        <v>bajuszkötő</v>
      </c>
    </row>
    <row r="3976" spans="1:4" ht="12.75" customHeight="1" x14ac:dyDescent="0.2">
      <c r="A3976" s="21"/>
      <c r="B3976" s="21"/>
      <c r="C3976" s="4" t="s">
        <v>280</v>
      </c>
      <c r="D3976" s="6" t="str">
        <f>HYPERLINK("javascript:void(0)","harmatcsepp")</f>
        <v>harmatcsepp</v>
      </c>
    </row>
    <row r="3977" spans="1:4" ht="12.75" customHeight="1" x14ac:dyDescent="0.2">
      <c r="A3977" s="5"/>
      <c r="B3977" s="2"/>
      <c r="C3977" s="2"/>
      <c r="D3977" s="2"/>
    </row>
    <row r="3978" spans="1:4" ht="12.75" customHeight="1" x14ac:dyDescent="0.2">
      <c r="A3978" s="22" t="str">
        <f>HYPERLINK("javascript:void(0)","gyíkacél sulyom")</f>
        <v>gyíkacél sulyom</v>
      </c>
      <c r="B3978" s="21"/>
      <c r="C3978" s="21"/>
      <c r="D3978" s="21"/>
    </row>
    <row r="3979" spans="1:4" ht="12.75" customHeight="1" x14ac:dyDescent="0.2">
      <c r="A3979" s="20"/>
      <c r="B3979" s="2"/>
      <c r="C3979" s="2"/>
      <c r="D3979" s="2"/>
    </row>
    <row r="3980" spans="1:4" ht="12.75" customHeight="1" x14ac:dyDescent="0.2">
      <c r="A3980" s="21"/>
      <c r="B3980" s="3" t="s">
        <v>0</v>
      </c>
      <c r="C3980" s="20" t="s">
        <v>719</v>
      </c>
      <c r="D3980" s="21"/>
    </row>
    <row r="3981" spans="1:4" ht="12.75" customHeight="1" x14ac:dyDescent="0.2">
      <c r="A3981" s="21"/>
      <c r="B3981" s="3" t="s">
        <v>2</v>
      </c>
      <c r="C3981" s="20" t="s">
        <v>122</v>
      </c>
      <c r="D3981" s="21"/>
    </row>
    <row r="3982" spans="1:4" ht="12.75" customHeight="1" x14ac:dyDescent="0.2">
      <c r="A3982" s="21"/>
      <c r="B3982" s="3" t="s">
        <v>4</v>
      </c>
      <c r="C3982" s="20" t="s">
        <v>1232</v>
      </c>
      <c r="D3982" s="21"/>
    </row>
    <row r="3983" spans="1:4" ht="12.75" customHeight="1" x14ac:dyDescent="0.2">
      <c r="A3983" s="21"/>
      <c r="B3983" s="3" t="s">
        <v>6</v>
      </c>
      <c r="C3983" s="20" t="s">
        <v>107</v>
      </c>
      <c r="D3983" s="21"/>
    </row>
    <row r="3984" spans="1:4" ht="12.75" customHeight="1" x14ac:dyDescent="0.2">
      <c r="A3984" s="21"/>
      <c r="B3984" s="3" t="s">
        <v>8</v>
      </c>
      <c r="C3984" s="20" t="s">
        <v>1232</v>
      </c>
      <c r="D3984" s="21"/>
    </row>
    <row r="3985" spans="1:4" ht="12.75" customHeight="1" x14ac:dyDescent="0.2">
      <c r="A3985" s="21"/>
      <c r="B3985" s="3" t="s">
        <v>9</v>
      </c>
      <c r="C3985" s="20" t="s">
        <v>1233</v>
      </c>
      <c r="D3985" s="21"/>
    </row>
    <row r="3986" spans="1:4" ht="12.75" customHeight="1" x14ac:dyDescent="0.2">
      <c r="A3986" s="21"/>
      <c r="B3986" s="3" t="s">
        <v>11</v>
      </c>
      <c r="C3986" s="20" t="s">
        <v>523</v>
      </c>
      <c r="D3986" s="21"/>
    </row>
    <row r="3987" spans="1:4" ht="12.75" customHeight="1" x14ac:dyDescent="0.2">
      <c r="A3987" s="21"/>
      <c r="B3987" s="3" t="s">
        <v>13</v>
      </c>
      <c r="C3987" s="20" t="s">
        <v>24</v>
      </c>
      <c r="D3987" s="21"/>
    </row>
    <row r="3988" spans="1:4" ht="12.75" customHeight="1" x14ac:dyDescent="0.2">
      <c r="A3988" s="21"/>
      <c r="B3988" s="3" t="s">
        <v>15</v>
      </c>
      <c r="C3988" s="20" t="s">
        <v>24</v>
      </c>
      <c r="D3988" s="21"/>
    </row>
    <row r="3989" spans="1:4" ht="12.75" customHeight="1" x14ac:dyDescent="0.2">
      <c r="A3989" s="21"/>
      <c r="B3989" s="3" t="s">
        <v>16</v>
      </c>
      <c r="C3989" s="20"/>
      <c r="D3989" s="21"/>
    </row>
    <row r="3990" spans="1:4" ht="12.75" customHeight="1" x14ac:dyDescent="0.2">
      <c r="A3990" s="21"/>
      <c r="B3990" s="3" t="s">
        <v>17</v>
      </c>
      <c r="C3990" s="20"/>
      <c r="D3990" s="21"/>
    </row>
    <row r="3991" spans="1:4" ht="12.75" customHeight="1" x14ac:dyDescent="0.2">
      <c r="A3991" s="21"/>
      <c r="B3991" s="20" t="s">
        <v>18</v>
      </c>
      <c r="C3991" s="4" t="s">
        <v>98</v>
      </c>
      <c r="D3991" s="6" t="str">
        <f>HYPERLINK("javascript:void(0)","gyémántkarika")</f>
        <v>gyémántkarika</v>
      </c>
    </row>
    <row r="3992" spans="1:4" ht="12.75" customHeight="1" x14ac:dyDescent="0.2">
      <c r="A3992" s="21"/>
      <c r="B3992" s="21"/>
      <c r="C3992" s="4" t="s">
        <v>280</v>
      </c>
      <c r="D3992" s="6" t="str">
        <f>HYPERLINK("javascript:void(0)","szent szimbólum")</f>
        <v>szent szimbólum</v>
      </c>
    </row>
    <row r="3993" spans="1:4" ht="12.75" customHeight="1" x14ac:dyDescent="0.2">
      <c r="A3993" s="21"/>
      <c r="B3993" s="21"/>
      <c r="C3993" s="4" t="s">
        <v>130</v>
      </c>
      <c r="D3993" s="6" t="str">
        <f>HYPERLINK("javascript:void(0)","mantüske")</f>
        <v>mantüske</v>
      </c>
    </row>
    <row r="3994" spans="1:4" ht="12.75" customHeight="1" x14ac:dyDescent="0.2">
      <c r="A3994" s="5"/>
      <c r="B3994" s="2"/>
      <c r="C3994" s="2"/>
      <c r="D3994" s="2"/>
    </row>
    <row r="3995" spans="1:4" ht="12.75" customHeight="1" x14ac:dyDescent="0.2">
      <c r="A3995" s="22" t="str">
        <f>HYPERLINK("javascript:void(0)","portnyél")</f>
        <v>portnyél</v>
      </c>
      <c r="B3995" s="21"/>
      <c r="C3995" s="21"/>
      <c r="D3995" s="21"/>
    </row>
    <row r="3996" spans="1:4" ht="12.75" customHeight="1" x14ac:dyDescent="0.2">
      <c r="A3996" s="20"/>
      <c r="B3996" s="2"/>
      <c r="C3996" s="2"/>
      <c r="D3996" s="2"/>
    </row>
    <row r="3997" spans="1:4" ht="12.75" customHeight="1" x14ac:dyDescent="0.2">
      <c r="A3997" s="21"/>
      <c r="B3997" s="3" t="s">
        <v>0</v>
      </c>
      <c r="C3997" s="20" t="s">
        <v>719</v>
      </c>
      <c r="D3997" s="21"/>
    </row>
    <row r="3998" spans="1:4" ht="12.75" customHeight="1" x14ac:dyDescent="0.2">
      <c r="A3998" s="21"/>
      <c r="B3998" s="3" t="s">
        <v>2</v>
      </c>
      <c r="C3998" s="20" t="s">
        <v>122</v>
      </c>
      <c r="D3998" s="21"/>
    </row>
    <row r="3999" spans="1:4" ht="12.75" customHeight="1" x14ac:dyDescent="0.2">
      <c r="A3999" s="21"/>
      <c r="B3999" s="3" t="s">
        <v>4</v>
      </c>
      <c r="C3999" s="20" t="s">
        <v>533</v>
      </c>
      <c r="D3999" s="21"/>
    </row>
    <row r="4000" spans="1:4" ht="12.75" customHeight="1" x14ac:dyDescent="0.2">
      <c r="A4000" s="21"/>
      <c r="B4000" s="3" t="s">
        <v>6</v>
      </c>
      <c r="C4000" s="20" t="s">
        <v>21</v>
      </c>
      <c r="D4000" s="21"/>
    </row>
    <row r="4001" spans="1:4" ht="12.75" customHeight="1" x14ac:dyDescent="0.2">
      <c r="A4001" s="21"/>
      <c r="B4001" s="3" t="s">
        <v>8</v>
      </c>
      <c r="C4001" s="20" t="s">
        <v>533</v>
      </c>
      <c r="D4001" s="21"/>
    </row>
    <row r="4002" spans="1:4" ht="12.75" customHeight="1" x14ac:dyDescent="0.2">
      <c r="A4002" s="21"/>
      <c r="B4002" s="3" t="s">
        <v>9</v>
      </c>
      <c r="C4002" s="20" t="s">
        <v>42</v>
      </c>
      <c r="D4002" s="21"/>
    </row>
    <row r="4003" spans="1:4" ht="12.75" customHeight="1" x14ac:dyDescent="0.2">
      <c r="A4003" s="21"/>
      <c r="B4003" s="3" t="s">
        <v>11</v>
      </c>
      <c r="C4003" s="20" t="s">
        <v>660</v>
      </c>
      <c r="D4003" s="21"/>
    </row>
    <row r="4004" spans="1:4" ht="12.75" customHeight="1" x14ac:dyDescent="0.2">
      <c r="A4004" s="21"/>
      <c r="B4004" s="3" t="s">
        <v>13</v>
      </c>
      <c r="C4004" s="20" t="s">
        <v>24</v>
      </c>
      <c r="D4004" s="21"/>
    </row>
    <row r="4005" spans="1:4" ht="12.75" customHeight="1" x14ac:dyDescent="0.2">
      <c r="A4005" s="21"/>
      <c r="B4005" s="3" t="s">
        <v>15</v>
      </c>
      <c r="C4005" s="20" t="s">
        <v>24</v>
      </c>
      <c r="D4005" s="21"/>
    </row>
    <row r="4006" spans="1:4" ht="12.75" customHeight="1" x14ac:dyDescent="0.2">
      <c r="A4006" s="21"/>
      <c r="B4006" s="3" t="s">
        <v>16</v>
      </c>
      <c r="C4006" s="20"/>
      <c r="D4006" s="21"/>
    </row>
    <row r="4007" spans="1:4" ht="12.75" customHeight="1" x14ac:dyDescent="0.2">
      <c r="A4007" s="21"/>
      <c r="B4007" s="3" t="s">
        <v>17</v>
      </c>
      <c r="C4007" s="20"/>
      <c r="D4007" s="21"/>
    </row>
    <row r="4008" spans="1:4" ht="12.75" customHeight="1" x14ac:dyDescent="0.2">
      <c r="A4008" s="21"/>
      <c r="B4008" s="20" t="s">
        <v>18</v>
      </c>
      <c r="C4008" s="4" t="s">
        <v>56</v>
      </c>
      <c r="D4008" s="6" t="str">
        <f>HYPERLINK("javascript:void(0)","teleportige")</f>
        <v>teleportige</v>
      </c>
    </row>
    <row r="4009" spans="1:4" ht="12.75" customHeight="1" x14ac:dyDescent="0.2">
      <c r="A4009" s="21"/>
      <c r="B4009" s="21"/>
      <c r="C4009" s="4" t="s">
        <v>68</v>
      </c>
      <c r="D4009" s="6" t="str">
        <f>HYPERLINK("javascript:void(0)","hőgolyó")</f>
        <v>hőgolyó</v>
      </c>
    </row>
    <row r="4010" spans="1:4" ht="12.75" customHeight="1" x14ac:dyDescent="0.2">
      <c r="A4010" s="21"/>
      <c r="B4010" s="21"/>
      <c r="C4010" s="4" t="s">
        <v>756</v>
      </c>
      <c r="D4010" s="6" t="str">
        <f>HYPERLINK("javascript:void(0)","éjfény")</f>
        <v>éjfény</v>
      </c>
    </row>
    <row r="4011" spans="1:4" ht="12.75" customHeight="1" x14ac:dyDescent="0.2">
      <c r="A4011" s="5"/>
      <c r="B4011" s="2"/>
      <c r="C4011" s="2"/>
      <c r="D4011" s="2"/>
    </row>
    <row r="4012" spans="1:4" ht="12.75" customHeight="1" x14ac:dyDescent="0.2">
      <c r="A4012" s="22" t="str">
        <f>HYPERLINK("javascript:void(0)","rúnaklopfoló")</f>
        <v>rúnaklopfoló</v>
      </c>
      <c r="B4012" s="21"/>
      <c r="C4012" s="21"/>
      <c r="D4012" s="21"/>
    </row>
    <row r="4013" spans="1:4" ht="12.75" customHeight="1" x14ac:dyDescent="0.2">
      <c r="A4013" s="20"/>
      <c r="B4013" s="2"/>
      <c r="C4013" s="2"/>
      <c r="D4013" s="2"/>
    </row>
    <row r="4014" spans="1:4" ht="12.75" customHeight="1" x14ac:dyDescent="0.2">
      <c r="A4014" s="21"/>
      <c r="B4014" s="3" t="s">
        <v>0</v>
      </c>
      <c r="C4014" s="20" t="s">
        <v>728</v>
      </c>
      <c r="D4014" s="21"/>
    </row>
    <row r="4015" spans="1:4" ht="12.75" customHeight="1" x14ac:dyDescent="0.2">
      <c r="A4015" s="21"/>
      <c r="B4015" s="3" t="s">
        <v>2</v>
      </c>
      <c r="C4015" s="20" t="s">
        <v>122</v>
      </c>
      <c r="D4015" s="21"/>
    </row>
    <row r="4016" spans="1:4" ht="12.75" customHeight="1" x14ac:dyDescent="0.2">
      <c r="A4016" s="21"/>
      <c r="B4016" s="3" t="s">
        <v>4</v>
      </c>
      <c r="C4016" s="20" t="s">
        <v>729</v>
      </c>
      <c r="D4016" s="21"/>
    </row>
    <row r="4017" spans="1:4" ht="12.75" customHeight="1" x14ac:dyDescent="0.2">
      <c r="A4017" s="21"/>
      <c r="B4017" s="3" t="s">
        <v>6</v>
      </c>
      <c r="C4017" s="20" t="s">
        <v>157</v>
      </c>
      <c r="D4017" s="21"/>
    </row>
    <row r="4018" spans="1:4" ht="12.75" customHeight="1" x14ac:dyDescent="0.2">
      <c r="A4018" s="21"/>
      <c r="B4018" s="3" t="s">
        <v>8</v>
      </c>
      <c r="C4018" s="20" t="s">
        <v>729</v>
      </c>
      <c r="D4018" s="21"/>
    </row>
    <row r="4019" spans="1:4" ht="12.75" customHeight="1" x14ac:dyDescent="0.2">
      <c r="A4019" s="21"/>
      <c r="B4019" s="3" t="s">
        <v>9</v>
      </c>
      <c r="C4019" s="20" t="s">
        <v>210</v>
      </c>
      <c r="D4019" s="21"/>
    </row>
    <row r="4020" spans="1:4" ht="12.75" customHeight="1" x14ac:dyDescent="0.2">
      <c r="A4020" s="21"/>
      <c r="B4020" s="3" t="s">
        <v>11</v>
      </c>
      <c r="C4020" s="20" t="s">
        <v>745</v>
      </c>
      <c r="D4020" s="21"/>
    </row>
    <row r="4021" spans="1:4" ht="12.75" customHeight="1" x14ac:dyDescent="0.2">
      <c r="A4021" s="21"/>
      <c r="B4021" s="3" t="s">
        <v>13</v>
      </c>
      <c r="C4021" s="20" t="s">
        <v>24</v>
      </c>
      <c r="D4021" s="21"/>
    </row>
    <row r="4022" spans="1:4" ht="12.75" customHeight="1" x14ac:dyDescent="0.2">
      <c r="A4022" s="21"/>
      <c r="B4022" s="3" t="s">
        <v>15</v>
      </c>
      <c r="C4022" s="20" t="s">
        <v>24</v>
      </c>
      <c r="D4022" s="21"/>
    </row>
    <row r="4023" spans="1:4" ht="12.75" customHeight="1" x14ac:dyDescent="0.2">
      <c r="A4023" s="21"/>
      <c r="B4023" s="3" t="s">
        <v>16</v>
      </c>
      <c r="C4023" s="20"/>
      <c r="D4023" s="21"/>
    </row>
    <row r="4024" spans="1:4" ht="12.75" customHeight="1" x14ac:dyDescent="0.2">
      <c r="A4024" s="21"/>
      <c r="B4024" s="3" t="s">
        <v>17</v>
      </c>
      <c r="C4024" s="20"/>
      <c r="D4024" s="21"/>
    </row>
    <row r="4025" spans="1:4" ht="12.75" customHeight="1" x14ac:dyDescent="0.2">
      <c r="A4025" s="21"/>
      <c r="B4025" s="20" t="s">
        <v>18</v>
      </c>
      <c r="C4025" s="4" t="s">
        <v>44</v>
      </c>
      <c r="D4025" s="6" t="str">
        <f>HYPERLINK("javascript:void(0)","portkalapács")</f>
        <v>portkalapács</v>
      </c>
    </row>
    <row r="4026" spans="1:4" ht="12.75" customHeight="1" x14ac:dyDescent="0.2">
      <c r="A4026" s="21"/>
      <c r="B4026" s="21"/>
      <c r="C4026" s="4" t="s">
        <v>55</v>
      </c>
      <c r="D4026" s="6" t="str">
        <f>HYPERLINK("javascript:void(0)","bázispár")</f>
        <v>bázispár</v>
      </c>
    </row>
    <row r="4027" spans="1:4" ht="12.75" customHeight="1" x14ac:dyDescent="0.2">
      <c r="A4027" s="21"/>
      <c r="B4027" s="21"/>
      <c r="C4027" s="4" t="s">
        <v>163</v>
      </c>
      <c r="D4027" s="6" t="str">
        <f>HYPERLINK("javascript:void(0)","rúna")</f>
        <v>rúna</v>
      </c>
    </row>
    <row r="4028" spans="1:4" ht="12.75" customHeight="1" x14ac:dyDescent="0.2">
      <c r="A4028" s="5"/>
      <c r="B4028" s="2"/>
      <c r="C4028" s="2"/>
      <c r="D4028" s="2"/>
    </row>
    <row r="4029" spans="1:4" ht="12.75" customHeight="1" x14ac:dyDescent="0.2">
      <c r="A4029" s="22" t="str">
        <f>HYPERLINK("javascript:void(0)","rúna mágusölő")</f>
        <v>rúna mágusölő</v>
      </c>
      <c r="B4029" s="21"/>
      <c r="C4029" s="21"/>
      <c r="D4029" s="21"/>
    </row>
    <row r="4030" spans="1:4" ht="12.75" customHeight="1" x14ac:dyDescent="0.2">
      <c r="A4030" s="20"/>
      <c r="B4030" s="2"/>
      <c r="C4030" s="2"/>
      <c r="D4030" s="2"/>
    </row>
    <row r="4031" spans="1:4" ht="12.75" customHeight="1" x14ac:dyDescent="0.2">
      <c r="A4031" s="21"/>
      <c r="B4031" s="3" t="s">
        <v>0</v>
      </c>
      <c r="C4031" s="20" t="s">
        <v>728</v>
      </c>
      <c r="D4031" s="21"/>
    </row>
    <row r="4032" spans="1:4" ht="12.75" customHeight="1" x14ac:dyDescent="0.2">
      <c r="A4032" s="21"/>
      <c r="B4032" s="3" t="s">
        <v>2</v>
      </c>
      <c r="C4032" s="20" t="s">
        <v>122</v>
      </c>
      <c r="D4032" s="21"/>
    </row>
    <row r="4033" spans="1:4" ht="12.75" customHeight="1" x14ac:dyDescent="0.2">
      <c r="A4033" s="21"/>
      <c r="B4033" s="3" t="s">
        <v>4</v>
      </c>
      <c r="C4033" s="20" t="s">
        <v>735</v>
      </c>
      <c r="D4033" s="21"/>
    </row>
    <row r="4034" spans="1:4" ht="12.75" customHeight="1" x14ac:dyDescent="0.2">
      <c r="A4034" s="21"/>
      <c r="B4034" s="3" t="s">
        <v>6</v>
      </c>
      <c r="C4034" s="20" t="s">
        <v>48</v>
      </c>
      <c r="D4034" s="21"/>
    </row>
    <row r="4035" spans="1:4" ht="12.75" customHeight="1" x14ac:dyDescent="0.2">
      <c r="A4035" s="21"/>
      <c r="B4035" s="3" t="s">
        <v>8</v>
      </c>
      <c r="C4035" s="20" t="s">
        <v>735</v>
      </c>
      <c r="D4035" s="21"/>
    </row>
    <row r="4036" spans="1:4" ht="12.75" customHeight="1" x14ac:dyDescent="0.2">
      <c r="A4036" s="21"/>
      <c r="B4036" s="3" t="s">
        <v>9</v>
      </c>
      <c r="C4036" s="20" t="s">
        <v>1242</v>
      </c>
      <c r="D4036" s="21"/>
    </row>
    <row r="4037" spans="1:4" ht="12.75" customHeight="1" x14ac:dyDescent="0.2">
      <c r="A4037" s="21"/>
      <c r="B4037" s="3" t="s">
        <v>11</v>
      </c>
      <c r="C4037" s="20" t="s">
        <v>917</v>
      </c>
      <c r="D4037" s="21"/>
    </row>
    <row r="4038" spans="1:4" ht="12.75" customHeight="1" x14ac:dyDescent="0.2">
      <c r="A4038" s="21"/>
      <c r="B4038" s="3" t="s">
        <v>13</v>
      </c>
      <c r="C4038" s="20" t="s">
        <v>14</v>
      </c>
      <c r="D4038" s="21"/>
    </row>
    <row r="4039" spans="1:4" ht="12.75" customHeight="1" x14ac:dyDescent="0.2">
      <c r="A4039" s="21"/>
      <c r="B4039" s="3" t="s">
        <v>15</v>
      </c>
      <c r="C4039" s="20" t="s">
        <v>24</v>
      </c>
      <c r="D4039" s="21"/>
    </row>
    <row r="4040" spans="1:4" ht="12.75" customHeight="1" x14ac:dyDescent="0.2">
      <c r="A4040" s="21"/>
      <c r="B4040" s="3" t="s">
        <v>16</v>
      </c>
      <c r="C4040" s="20"/>
      <c r="D4040" s="21"/>
    </row>
    <row r="4041" spans="1:4" ht="12.75" customHeight="1" x14ac:dyDescent="0.2">
      <c r="A4041" s="21"/>
      <c r="B4041" s="3" t="s">
        <v>17</v>
      </c>
      <c r="C4041" s="20"/>
      <c r="D4041" s="21"/>
    </row>
    <row r="4042" spans="1:4" ht="12.75" customHeight="1" x14ac:dyDescent="0.2">
      <c r="A4042" s="21"/>
      <c r="B4042" s="20" t="s">
        <v>18</v>
      </c>
      <c r="C4042" s="4" t="s">
        <v>244</v>
      </c>
      <c r="D4042" s="6" t="str">
        <f>HYPERLINK("javascript:void(0)","bázispár")</f>
        <v>bázispár</v>
      </c>
    </row>
    <row r="4043" spans="1:4" ht="12.75" customHeight="1" x14ac:dyDescent="0.2">
      <c r="A4043" s="21"/>
      <c r="B4043" s="21"/>
      <c r="C4043" s="4" t="s">
        <v>117</v>
      </c>
      <c r="D4043" s="6" t="str">
        <f>HYPERLINK("javascript:void(0)","hőgolyó")</f>
        <v>hőgolyó</v>
      </c>
    </row>
    <row r="4044" spans="1:4" ht="12.75" customHeight="1" x14ac:dyDescent="0.2">
      <c r="A4044" s="21"/>
      <c r="B4044" s="21"/>
      <c r="C4044" s="4" t="s">
        <v>193</v>
      </c>
      <c r="D4044" s="6" t="str">
        <f>HYPERLINK("javascript:void(0)","lux")</f>
        <v>lux</v>
      </c>
    </row>
    <row r="4045" spans="1:4" ht="12.75" customHeight="1" x14ac:dyDescent="0.2">
      <c r="A4045" s="5"/>
      <c r="B4045" s="2"/>
      <c r="C4045" s="2"/>
      <c r="D4045" s="2"/>
    </row>
    <row r="4046" spans="1:4" ht="12.75" customHeight="1" x14ac:dyDescent="0.2">
      <c r="A4046" s="22" t="str">
        <f>HYPERLINK("javascript:void(0)","sertés bunkó")</f>
        <v>sertés bunkó</v>
      </c>
      <c r="B4046" s="21"/>
      <c r="C4046" s="21"/>
      <c r="D4046" s="21"/>
    </row>
    <row r="4047" spans="1:4" ht="12.75" customHeight="1" x14ac:dyDescent="0.2">
      <c r="A4047" s="20"/>
      <c r="B4047" s="2"/>
      <c r="C4047" s="2"/>
      <c r="D4047" s="2"/>
    </row>
    <row r="4048" spans="1:4" ht="12.75" customHeight="1" x14ac:dyDescent="0.2">
      <c r="A4048" s="21"/>
      <c r="B4048" s="3" t="s">
        <v>0</v>
      </c>
      <c r="C4048" s="20" t="s">
        <v>78</v>
      </c>
      <c r="D4048" s="21"/>
    </row>
    <row r="4049" spans="1:4" ht="12.75" customHeight="1" x14ac:dyDescent="0.2">
      <c r="A4049" s="21"/>
      <c r="B4049" s="3" t="s">
        <v>2</v>
      </c>
      <c r="C4049" s="20" t="s">
        <v>122</v>
      </c>
      <c r="D4049" s="21"/>
    </row>
    <row r="4050" spans="1:4" ht="12.75" customHeight="1" x14ac:dyDescent="0.2">
      <c r="A4050" s="21"/>
      <c r="B4050" s="3" t="s">
        <v>4</v>
      </c>
      <c r="C4050" s="20" t="s">
        <v>1245</v>
      </c>
      <c r="D4050" s="21"/>
    </row>
    <row r="4051" spans="1:4" ht="12.75" customHeight="1" x14ac:dyDescent="0.2">
      <c r="A4051" s="21"/>
      <c r="B4051" s="3" t="s">
        <v>6</v>
      </c>
      <c r="C4051" s="20" t="s">
        <v>157</v>
      </c>
      <c r="D4051" s="21"/>
    </row>
    <row r="4052" spans="1:4" ht="12.75" customHeight="1" x14ac:dyDescent="0.2">
      <c r="A4052" s="21"/>
      <c r="B4052" s="3" t="s">
        <v>8</v>
      </c>
      <c r="C4052" s="20" t="s">
        <v>1245</v>
      </c>
      <c r="D4052" s="21"/>
    </row>
    <row r="4053" spans="1:4" ht="12.75" customHeight="1" x14ac:dyDescent="0.2">
      <c r="A4053" s="21"/>
      <c r="B4053" s="3" t="s">
        <v>9</v>
      </c>
      <c r="C4053" s="20" t="s">
        <v>1246</v>
      </c>
      <c r="D4053" s="21"/>
    </row>
    <row r="4054" spans="1:4" ht="12.75" customHeight="1" x14ac:dyDescent="0.2">
      <c r="A4054" s="21"/>
      <c r="B4054" s="3" t="s">
        <v>11</v>
      </c>
      <c r="C4054" s="20" t="s">
        <v>754</v>
      </c>
      <c r="D4054" s="21"/>
    </row>
    <row r="4055" spans="1:4" ht="12.75" customHeight="1" x14ac:dyDescent="0.2">
      <c r="A4055" s="21"/>
      <c r="B4055" s="3" t="s">
        <v>13</v>
      </c>
      <c r="C4055" s="20" t="s">
        <v>24</v>
      </c>
      <c r="D4055" s="21"/>
    </row>
    <row r="4056" spans="1:4" ht="12.75" customHeight="1" x14ac:dyDescent="0.2">
      <c r="A4056" s="21"/>
      <c r="B4056" s="3" t="s">
        <v>15</v>
      </c>
      <c r="C4056" s="20" t="s">
        <v>24</v>
      </c>
      <c r="D4056" s="21"/>
    </row>
    <row r="4057" spans="1:4" ht="12.75" customHeight="1" x14ac:dyDescent="0.2">
      <c r="A4057" s="21"/>
      <c r="B4057" s="3" t="s">
        <v>16</v>
      </c>
      <c r="C4057" s="20"/>
      <c r="D4057" s="21"/>
    </row>
    <row r="4058" spans="1:4" ht="12.75" customHeight="1" x14ac:dyDescent="0.2">
      <c r="A4058" s="21"/>
      <c r="B4058" s="3" t="s">
        <v>17</v>
      </c>
      <c r="C4058" s="20"/>
      <c r="D4058" s="21"/>
    </row>
    <row r="4059" spans="1:4" ht="12.75" customHeight="1" x14ac:dyDescent="0.2">
      <c r="A4059" s="21"/>
      <c r="B4059" s="20" t="s">
        <v>18</v>
      </c>
      <c r="C4059" s="4" t="s">
        <v>98</v>
      </c>
      <c r="D4059" s="6" t="str">
        <f>HYPERLINK("javascript:void(0)","serte")</f>
        <v>serte</v>
      </c>
    </row>
    <row r="4060" spans="1:4" ht="12.75" customHeight="1" x14ac:dyDescent="0.2">
      <c r="A4060" s="21"/>
      <c r="B4060" s="21"/>
      <c r="C4060" s="4" t="s">
        <v>68</v>
      </c>
      <c r="D4060" s="6" t="str">
        <f>HYPERLINK("javascript:void(0)","gőg")</f>
        <v>gőg</v>
      </c>
    </row>
    <row r="4061" spans="1:4" ht="12.75" customHeight="1" x14ac:dyDescent="0.2">
      <c r="A4061" s="21"/>
      <c r="B4061" s="21"/>
      <c r="C4061" s="4" t="s">
        <v>98</v>
      </c>
      <c r="D4061" s="6" t="str">
        <f>HYPERLINK("javascript:void(0)","zselatin")</f>
        <v>zselatin</v>
      </c>
    </row>
    <row r="4062" spans="1:4" ht="12.75" customHeight="1" x14ac:dyDescent="0.2">
      <c r="A4062" s="5"/>
      <c r="B4062" s="2"/>
      <c r="C4062" s="2"/>
      <c r="D4062" s="2"/>
    </row>
    <row r="4063" spans="1:4" ht="12.75" customHeight="1" x14ac:dyDescent="0.2">
      <c r="A4063" s="22" t="str">
        <f>HYPERLINK("javascript:void(0)","szabo-ballaszt")</f>
        <v>szabo-ballaszt</v>
      </c>
      <c r="B4063" s="21"/>
      <c r="C4063" s="21"/>
      <c r="D4063" s="21"/>
    </row>
    <row r="4064" spans="1:4" ht="12.75" customHeight="1" x14ac:dyDescent="0.2">
      <c r="A4064" s="20"/>
      <c r="B4064" s="2"/>
      <c r="C4064" s="2"/>
      <c r="D4064" s="2"/>
    </row>
    <row r="4065" spans="1:4" ht="12.75" customHeight="1" x14ac:dyDescent="0.2">
      <c r="A4065" s="21"/>
      <c r="B4065" s="3" t="s">
        <v>0</v>
      </c>
      <c r="C4065" s="20" t="s">
        <v>78</v>
      </c>
      <c r="D4065" s="21"/>
    </row>
    <row r="4066" spans="1:4" ht="12.75" customHeight="1" x14ac:dyDescent="0.2">
      <c r="A4066" s="21"/>
      <c r="B4066" s="3" t="s">
        <v>2</v>
      </c>
      <c r="C4066" s="20" t="s">
        <v>122</v>
      </c>
      <c r="D4066" s="21"/>
    </row>
    <row r="4067" spans="1:4" ht="12.75" customHeight="1" x14ac:dyDescent="0.2">
      <c r="A4067" s="21"/>
      <c r="B4067" s="3" t="s">
        <v>4</v>
      </c>
      <c r="C4067" s="20" t="s">
        <v>1249</v>
      </c>
      <c r="D4067" s="21"/>
    </row>
    <row r="4068" spans="1:4" ht="12.75" customHeight="1" x14ac:dyDescent="0.2">
      <c r="A4068" s="21"/>
      <c r="B4068" s="3" t="s">
        <v>6</v>
      </c>
      <c r="C4068" s="20" t="s">
        <v>298</v>
      </c>
      <c r="D4068" s="21"/>
    </row>
    <row r="4069" spans="1:4" ht="12.75" customHeight="1" x14ac:dyDescent="0.2">
      <c r="A4069" s="21"/>
      <c r="B4069" s="3" t="s">
        <v>8</v>
      </c>
      <c r="C4069" s="20" t="s">
        <v>1249</v>
      </c>
      <c r="D4069" s="21"/>
    </row>
    <row r="4070" spans="1:4" ht="12.75" customHeight="1" x14ac:dyDescent="0.2">
      <c r="A4070" s="21"/>
      <c r="B4070" s="3" t="s">
        <v>9</v>
      </c>
      <c r="C4070" s="20" t="s">
        <v>1250</v>
      </c>
      <c r="D4070" s="21"/>
    </row>
    <row r="4071" spans="1:4" ht="12.75" customHeight="1" x14ac:dyDescent="0.2">
      <c r="A4071" s="21"/>
      <c r="B4071" s="3" t="s">
        <v>11</v>
      </c>
      <c r="C4071" s="20" t="s">
        <v>1055</v>
      </c>
      <c r="D4071" s="21"/>
    </row>
    <row r="4072" spans="1:4" ht="12.75" customHeight="1" x14ac:dyDescent="0.2">
      <c r="A4072" s="21"/>
      <c r="B4072" s="3" t="s">
        <v>13</v>
      </c>
      <c r="C4072" s="20" t="s">
        <v>24</v>
      </c>
      <c r="D4072" s="21"/>
    </row>
    <row r="4073" spans="1:4" ht="12.75" customHeight="1" x14ac:dyDescent="0.2">
      <c r="A4073" s="21"/>
      <c r="B4073" s="3" t="s">
        <v>15</v>
      </c>
      <c r="C4073" s="20" t="s">
        <v>24</v>
      </c>
      <c r="D4073" s="21"/>
    </row>
    <row r="4074" spans="1:4" ht="12.75" customHeight="1" x14ac:dyDescent="0.2">
      <c r="A4074" s="21"/>
      <c r="B4074" s="3" t="s">
        <v>16</v>
      </c>
      <c r="C4074" s="20"/>
      <c r="D4074" s="21"/>
    </row>
    <row r="4075" spans="1:4" ht="12.75" customHeight="1" x14ac:dyDescent="0.2">
      <c r="A4075" s="21"/>
      <c r="B4075" s="3" t="s">
        <v>17</v>
      </c>
      <c r="C4075" s="20"/>
      <c r="D4075" s="21"/>
    </row>
    <row r="4076" spans="1:4" ht="12.75" customHeight="1" x14ac:dyDescent="0.2">
      <c r="A4076" s="21"/>
      <c r="B4076" s="20" t="s">
        <v>18</v>
      </c>
      <c r="C4076" s="4" t="s">
        <v>68</v>
      </c>
      <c r="D4076" s="6" t="str">
        <f>HYPERLINK("javascript:void(0)","hátszarv")</f>
        <v>hátszarv</v>
      </c>
    </row>
    <row r="4077" spans="1:4" ht="12.75" customHeight="1" x14ac:dyDescent="0.2">
      <c r="A4077" s="21"/>
      <c r="B4077" s="21"/>
      <c r="C4077" s="4" t="s">
        <v>68</v>
      </c>
      <c r="D4077" s="6" t="str">
        <f>HYPERLINK("javascript:void(0)","szabo-penge")</f>
        <v>szabo-penge</v>
      </c>
    </row>
    <row r="4078" spans="1:4" ht="12.75" customHeight="1" x14ac:dyDescent="0.2">
      <c r="A4078" s="21"/>
      <c r="B4078" s="21"/>
      <c r="C4078" s="4" t="s">
        <v>139</v>
      </c>
      <c r="D4078" s="6" t="str">
        <f>HYPERLINK("javascript:void(0)","tincs")</f>
        <v>tincs</v>
      </c>
    </row>
    <row r="4079" spans="1:4" ht="12.75" customHeight="1" x14ac:dyDescent="0.2">
      <c r="A4079" s="5"/>
      <c r="B4079" s="2"/>
      <c r="C4079" s="2"/>
      <c r="D4079" s="2"/>
    </row>
    <row r="4080" spans="1:4" ht="12.75" customHeight="1" x14ac:dyDescent="0.2">
      <c r="A4080" s="22" t="str">
        <f>HYPERLINK("javascript:void(0)","gyíkacél láncosbuzogány")</f>
        <v>gyíkacél láncosbuzogány</v>
      </c>
      <c r="B4080" s="21"/>
      <c r="C4080" s="21"/>
      <c r="D4080" s="21"/>
    </row>
    <row r="4081" spans="1:4" ht="12.75" customHeight="1" x14ac:dyDescent="0.2">
      <c r="A4081" s="20"/>
      <c r="B4081" s="2"/>
      <c r="C4081" s="2"/>
      <c r="D4081" s="2"/>
    </row>
    <row r="4082" spans="1:4" ht="12.75" customHeight="1" x14ac:dyDescent="0.2">
      <c r="A4082" s="21"/>
      <c r="B4082" s="3" t="s">
        <v>0</v>
      </c>
      <c r="C4082" s="20" t="s">
        <v>78</v>
      </c>
      <c r="D4082" s="21"/>
    </row>
    <row r="4083" spans="1:4" ht="12.75" customHeight="1" x14ac:dyDescent="0.2">
      <c r="A4083" s="21"/>
      <c r="B4083" s="3" t="s">
        <v>2</v>
      </c>
      <c r="C4083" s="20" t="s">
        <v>122</v>
      </c>
      <c r="D4083" s="21"/>
    </row>
    <row r="4084" spans="1:4" ht="12.75" customHeight="1" x14ac:dyDescent="0.2">
      <c r="A4084" s="21"/>
      <c r="B4084" s="3" t="s">
        <v>4</v>
      </c>
      <c r="C4084" s="20" t="s">
        <v>1254</v>
      </c>
      <c r="D4084" s="21"/>
    </row>
    <row r="4085" spans="1:4" ht="12.75" customHeight="1" x14ac:dyDescent="0.2">
      <c r="A4085" s="21"/>
      <c r="B4085" s="3" t="s">
        <v>6</v>
      </c>
      <c r="C4085" s="20" t="s">
        <v>107</v>
      </c>
      <c r="D4085" s="21"/>
    </row>
    <row r="4086" spans="1:4" ht="12.75" customHeight="1" x14ac:dyDescent="0.2">
      <c r="A4086" s="21"/>
      <c r="B4086" s="3" t="s">
        <v>8</v>
      </c>
      <c r="C4086" s="20" t="s">
        <v>1254</v>
      </c>
      <c r="D4086" s="21"/>
    </row>
    <row r="4087" spans="1:4" ht="12.75" customHeight="1" x14ac:dyDescent="0.2">
      <c r="A4087" s="21"/>
      <c r="B4087" s="3" t="s">
        <v>9</v>
      </c>
      <c r="C4087" s="20" t="s">
        <v>1256</v>
      </c>
      <c r="D4087" s="21"/>
    </row>
    <row r="4088" spans="1:4" ht="12.75" customHeight="1" x14ac:dyDescent="0.2">
      <c r="A4088" s="21"/>
      <c r="B4088" s="3" t="s">
        <v>11</v>
      </c>
      <c r="C4088" s="20" t="s">
        <v>536</v>
      </c>
      <c r="D4088" s="21"/>
    </row>
    <row r="4089" spans="1:4" ht="12.75" customHeight="1" x14ac:dyDescent="0.2">
      <c r="A4089" s="21"/>
      <c r="B4089" s="3" t="s">
        <v>13</v>
      </c>
      <c r="C4089" s="20" t="s">
        <v>24</v>
      </c>
      <c r="D4089" s="21"/>
    </row>
    <row r="4090" spans="1:4" ht="12.75" customHeight="1" x14ac:dyDescent="0.2">
      <c r="A4090" s="21"/>
      <c r="B4090" s="3" t="s">
        <v>15</v>
      </c>
      <c r="C4090" s="20" t="s">
        <v>24</v>
      </c>
      <c r="D4090" s="21"/>
    </row>
    <row r="4091" spans="1:4" ht="12.75" customHeight="1" x14ac:dyDescent="0.2">
      <c r="A4091" s="21"/>
      <c r="B4091" s="3" t="s">
        <v>16</v>
      </c>
      <c r="C4091" s="20"/>
      <c r="D4091" s="21"/>
    </row>
    <row r="4092" spans="1:4" ht="12.75" customHeight="1" x14ac:dyDescent="0.2">
      <c r="A4092" s="21"/>
      <c r="B4092" s="3" t="s">
        <v>17</v>
      </c>
      <c r="C4092" s="20"/>
      <c r="D4092" s="21"/>
    </row>
    <row r="4093" spans="1:4" ht="12.75" customHeight="1" x14ac:dyDescent="0.2">
      <c r="A4093" s="21"/>
      <c r="B4093" s="20" t="s">
        <v>18</v>
      </c>
      <c r="C4093" s="4" t="s">
        <v>309</v>
      </c>
      <c r="D4093" s="6" t="str">
        <f>HYPERLINK("javascript:void(0)","gyémántkarika")</f>
        <v>gyémántkarika</v>
      </c>
    </row>
    <row r="4094" spans="1:4" ht="12.75" customHeight="1" x14ac:dyDescent="0.2">
      <c r="A4094" s="21"/>
      <c r="B4094" s="21"/>
      <c r="C4094" s="4" t="s">
        <v>280</v>
      </c>
      <c r="D4094" s="6" t="str">
        <f>HYPERLINK("javascript:void(0)","szent szimbólum")</f>
        <v>szent szimbólum</v>
      </c>
    </row>
    <row r="4095" spans="1:4" ht="12.75" customHeight="1" x14ac:dyDescent="0.2">
      <c r="A4095" s="21"/>
      <c r="B4095" s="21"/>
      <c r="C4095" s="4" t="s">
        <v>117</v>
      </c>
      <c r="D4095" s="6" t="str">
        <f>HYPERLINK("javascript:void(0)","robbanófej")</f>
        <v>robbanófej</v>
      </c>
    </row>
    <row r="4096" spans="1:4" ht="12.75" customHeight="1" x14ac:dyDescent="0.2">
      <c r="A4096" s="5"/>
      <c r="B4096" s="2"/>
      <c r="C4096" s="2"/>
      <c r="D4096" s="2"/>
    </row>
    <row r="4097" spans="1:4" ht="12.75" customHeight="1" x14ac:dyDescent="0.2">
      <c r="A4097" s="22" t="str">
        <f>HYPERLINK("javascript:void(0)","orrzúzó")</f>
        <v>orrzúzó</v>
      </c>
      <c r="B4097" s="21"/>
      <c r="C4097" s="21"/>
      <c r="D4097" s="21"/>
    </row>
    <row r="4098" spans="1:4" ht="12.75" customHeight="1" x14ac:dyDescent="0.2">
      <c r="A4098" s="20"/>
      <c r="B4098" s="2"/>
      <c r="C4098" s="2"/>
      <c r="D4098" s="2"/>
    </row>
    <row r="4099" spans="1:4" ht="12.75" customHeight="1" x14ac:dyDescent="0.2">
      <c r="A4099" s="21"/>
      <c r="B4099" s="3" t="s">
        <v>0</v>
      </c>
      <c r="C4099" s="20" t="s">
        <v>73</v>
      </c>
      <c r="D4099" s="21"/>
    </row>
    <row r="4100" spans="1:4" ht="12.75" customHeight="1" x14ac:dyDescent="0.2">
      <c r="A4100" s="21"/>
      <c r="B4100" s="3" t="s">
        <v>2</v>
      </c>
      <c r="C4100" s="20" t="s">
        <v>122</v>
      </c>
      <c r="D4100" s="21"/>
    </row>
    <row r="4101" spans="1:4" ht="12.75" customHeight="1" x14ac:dyDescent="0.2">
      <c r="A4101" s="21"/>
      <c r="B4101" s="3" t="s">
        <v>4</v>
      </c>
      <c r="C4101" s="20" t="s">
        <v>1258</v>
      </c>
      <c r="D4101" s="21"/>
    </row>
    <row r="4102" spans="1:4" ht="12.75" customHeight="1" x14ac:dyDescent="0.2">
      <c r="A4102" s="21"/>
      <c r="B4102" s="3" t="s">
        <v>6</v>
      </c>
      <c r="C4102" s="20" t="s">
        <v>115</v>
      </c>
      <c r="D4102" s="21"/>
    </row>
    <row r="4103" spans="1:4" ht="12.75" customHeight="1" x14ac:dyDescent="0.2">
      <c r="A4103" s="21"/>
      <c r="B4103" s="3" t="s">
        <v>8</v>
      </c>
      <c r="C4103" s="20" t="s">
        <v>1258</v>
      </c>
      <c r="D4103" s="21"/>
    </row>
    <row r="4104" spans="1:4" ht="12.75" customHeight="1" x14ac:dyDescent="0.2">
      <c r="A4104" s="21"/>
      <c r="B4104" s="3" t="s">
        <v>9</v>
      </c>
      <c r="C4104" s="20" t="s">
        <v>1262</v>
      </c>
      <c r="D4104" s="21"/>
    </row>
    <row r="4105" spans="1:4" ht="12.75" customHeight="1" x14ac:dyDescent="0.2">
      <c r="A4105" s="21"/>
      <c r="B4105" s="3" t="s">
        <v>11</v>
      </c>
      <c r="C4105" s="20" t="s">
        <v>763</v>
      </c>
      <c r="D4105" s="21"/>
    </row>
    <row r="4106" spans="1:4" ht="12.75" customHeight="1" x14ac:dyDescent="0.2">
      <c r="A4106" s="21"/>
      <c r="B4106" s="3" t="s">
        <v>13</v>
      </c>
      <c r="C4106" s="20" t="s">
        <v>24</v>
      </c>
      <c r="D4106" s="21"/>
    </row>
    <row r="4107" spans="1:4" ht="12.75" customHeight="1" x14ac:dyDescent="0.2">
      <c r="A4107" s="21"/>
      <c r="B4107" s="3" t="s">
        <v>15</v>
      </c>
      <c r="C4107" s="20" t="s">
        <v>24</v>
      </c>
      <c r="D4107" s="21"/>
    </row>
    <row r="4108" spans="1:4" ht="12.75" customHeight="1" x14ac:dyDescent="0.2">
      <c r="A4108" s="21"/>
      <c r="B4108" s="3" t="s">
        <v>16</v>
      </c>
      <c r="C4108" s="20"/>
      <c r="D4108" s="21"/>
    </row>
    <row r="4109" spans="1:4" ht="12.75" customHeight="1" x14ac:dyDescent="0.2">
      <c r="A4109" s="21"/>
      <c r="B4109" s="3" t="s">
        <v>17</v>
      </c>
      <c r="C4109" s="20"/>
      <c r="D4109" s="21"/>
    </row>
    <row r="4110" spans="1:4" ht="12.75" customHeight="1" x14ac:dyDescent="0.2">
      <c r="A4110" s="21"/>
      <c r="B4110" s="20" t="s">
        <v>18</v>
      </c>
      <c r="C4110" s="4" t="s">
        <v>44</v>
      </c>
      <c r="D4110" s="6" t="str">
        <f>HYPERLINK("javascript:void(0)","rúnaklopfoló")</f>
        <v>rúnaklopfoló</v>
      </c>
    </row>
    <row r="4111" spans="1:4" ht="12.75" customHeight="1" x14ac:dyDescent="0.2">
      <c r="A4111" s="21"/>
      <c r="B4111" s="21"/>
      <c r="C4111" s="4" t="s">
        <v>44</v>
      </c>
      <c r="D4111" s="6" t="str">
        <f>HYPERLINK("javascript:void(0)","sertés bunkó")</f>
        <v>sertés bunkó</v>
      </c>
    </row>
    <row r="4112" spans="1:4" ht="12.75" customHeight="1" x14ac:dyDescent="0.2">
      <c r="A4112" s="21"/>
      <c r="B4112" s="21"/>
      <c r="C4112" s="4" t="s">
        <v>44</v>
      </c>
      <c r="D4112" s="6" t="str">
        <f>HYPERLINK("javascript:void(0)","zúzónyél")</f>
        <v>zúzónyél</v>
      </c>
    </row>
    <row r="4113" spans="1:4" ht="12.75" customHeight="1" x14ac:dyDescent="0.2">
      <c r="A4113" s="5"/>
      <c r="B4113" s="2"/>
      <c r="C4113" s="2"/>
      <c r="D4113" s="2"/>
    </row>
    <row r="4114" spans="1:4" ht="12.75" customHeight="1" x14ac:dyDescent="0.2">
      <c r="A4114" s="22" t="str">
        <f>HYPERLINK("javascript:void(0)","térszelő mágusölő")</f>
        <v>térszelő mágusölő</v>
      </c>
      <c r="B4114" s="21"/>
      <c r="C4114" s="21"/>
      <c r="D4114" s="21"/>
    </row>
    <row r="4115" spans="1:4" ht="12.75" customHeight="1" x14ac:dyDescent="0.2">
      <c r="A4115" s="20"/>
      <c r="B4115" s="2"/>
      <c r="C4115" s="2"/>
      <c r="D4115" s="2"/>
    </row>
    <row r="4116" spans="1:4" ht="12.75" customHeight="1" x14ac:dyDescent="0.2">
      <c r="A4116" s="21"/>
      <c r="B4116" s="3" t="s">
        <v>0</v>
      </c>
      <c r="C4116" s="20" t="s">
        <v>73</v>
      </c>
      <c r="D4116" s="21"/>
    </row>
    <row r="4117" spans="1:4" ht="12.75" customHeight="1" x14ac:dyDescent="0.2">
      <c r="A4117" s="21"/>
      <c r="B4117" s="3" t="s">
        <v>2</v>
      </c>
      <c r="C4117" s="20" t="s">
        <v>122</v>
      </c>
      <c r="D4117" s="21"/>
    </row>
    <row r="4118" spans="1:4" ht="12.75" customHeight="1" x14ac:dyDescent="0.2">
      <c r="A4118" s="21"/>
      <c r="B4118" s="3" t="s">
        <v>4</v>
      </c>
      <c r="C4118" s="20" t="s">
        <v>748</v>
      </c>
      <c r="D4118" s="21"/>
    </row>
    <row r="4119" spans="1:4" ht="12.75" customHeight="1" x14ac:dyDescent="0.2">
      <c r="A4119" s="21"/>
      <c r="B4119" s="3" t="s">
        <v>6</v>
      </c>
      <c r="C4119" s="20" t="s">
        <v>48</v>
      </c>
      <c r="D4119" s="21"/>
    </row>
    <row r="4120" spans="1:4" ht="12.75" customHeight="1" x14ac:dyDescent="0.2">
      <c r="A4120" s="21"/>
      <c r="B4120" s="3" t="s">
        <v>8</v>
      </c>
      <c r="C4120" s="20" t="s">
        <v>748</v>
      </c>
      <c r="D4120" s="21"/>
    </row>
    <row r="4121" spans="1:4" ht="12.75" customHeight="1" x14ac:dyDescent="0.2">
      <c r="A4121" s="21"/>
      <c r="B4121" s="3" t="s">
        <v>9</v>
      </c>
      <c r="C4121" s="20" t="s">
        <v>1267</v>
      </c>
      <c r="D4121" s="21"/>
    </row>
    <row r="4122" spans="1:4" ht="12.75" customHeight="1" x14ac:dyDescent="0.2">
      <c r="A4122" s="21"/>
      <c r="B4122" s="3" t="s">
        <v>11</v>
      </c>
      <c r="C4122" s="20" t="s">
        <v>956</v>
      </c>
      <c r="D4122" s="21"/>
    </row>
    <row r="4123" spans="1:4" ht="12.75" customHeight="1" x14ac:dyDescent="0.2">
      <c r="A4123" s="21"/>
      <c r="B4123" s="3" t="s">
        <v>13</v>
      </c>
      <c r="C4123" s="20" t="s">
        <v>14</v>
      </c>
      <c r="D4123" s="21"/>
    </row>
    <row r="4124" spans="1:4" ht="12.75" customHeight="1" x14ac:dyDescent="0.2">
      <c r="A4124" s="21"/>
      <c r="B4124" s="3" t="s">
        <v>15</v>
      </c>
      <c r="C4124" s="20" t="s">
        <v>24</v>
      </c>
      <c r="D4124" s="21"/>
    </row>
    <row r="4125" spans="1:4" ht="12.75" customHeight="1" x14ac:dyDescent="0.2">
      <c r="A4125" s="21"/>
      <c r="B4125" s="3" t="s">
        <v>16</v>
      </c>
      <c r="C4125" s="20"/>
      <c r="D4125" s="21"/>
    </row>
    <row r="4126" spans="1:4" ht="12.75" customHeight="1" x14ac:dyDescent="0.2">
      <c r="A4126" s="21"/>
      <c r="B4126" s="3" t="s">
        <v>17</v>
      </c>
      <c r="C4126" s="20"/>
      <c r="D4126" s="21"/>
    </row>
    <row r="4127" spans="1:4" ht="12.75" customHeight="1" x14ac:dyDescent="0.2">
      <c r="A4127" s="21"/>
      <c r="B4127" s="20" t="s">
        <v>18</v>
      </c>
      <c r="C4127" s="4" t="s">
        <v>68</v>
      </c>
      <c r="D4127" s="6" t="str">
        <f>HYPERLINK("javascript:void(0)","térszelet")</f>
        <v>térszelet</v>
      </c>
    </row>
    <row r="4128" spans="1:4" ht="12.75" customHeight="1" x14ac:dyDescent="0.2">
      <c r="A4128" s="21"/>
      <c r="B4128" s="21"/>
      <c r="C4128" s="4" t="s">
        <v>309</v>
      </c>
      <c r="D4128" s="6" t="str">
        <f>HYPERLINK("javascript:void(0)","bázispár")</f>
        <v>bázispár</v>
      </c>
    </row>
    <row r="4129" spans="1:4" ht="12.75" customHeight="1" x14ac:dyDescent="0.2">
      <c r="A4129" s="21"/>
      <c r="B4129" s="21"/>
      <c r="C4129" s="4" t="s">
        <v>139</v>
      </c>
      <c r="D4129" s="6" t="str">
        <f>HYPERLINK("javascript:void(0)","bajuszkötő")</f>
        <v>bajuszkötő</v>
      </c>
    </row>
    <row r="4130" spans="1:4" ht="12.75" customHeight="1" x14ac:dyDescent="0.2">
      <c r="A4130" s="5"/>
      <c r="B4130" s="2"/>
      <c r="C4130" s="2"/>
      <c r="D4130" s="2"/>
    </row>
    <row r="4131" spans="1:4" ht="12.75" customHeight="1" x14ac:dyDescent="0.2">
      <c r="A4131" s="22" t="str">
        <f>HYPERLINK("javascript:void(0)","térpenge")</f>
        <v>térpenge</v>
      </c>
      <c r="B4131" s="21"/>
      <c r="C4131" s="21"/>
      <c r="D4131" s="21"/>
    </row>
    <row r="4132" spans="1:4" ht="12.75" customHeight="1" x14ac:dyDescent="0.2">
      <c r="A4132" s="20"/>
      <c r="B4132" s="2"/>
      <c r="C4132" s="2"/>
      <c r="D4132" s="2"/>
    </row>
    <row r="4133" spans="1:4" ht="12.75" customHeight="1" x14ac:dyDescent="0.2">
      <c r="A4133" s="21"/>
      <c r="B4133" s="3" t="s">
        <v>0</v>
      </c>
      <c r="C4133" s="20" t="s">
        <v>73</v>
      </c>
      <c r="D4133" s="21"/>
    </row>
    <row r="4134" spans="1:4" ht="12.75" customHeight="1" x14ac:dyDescent="0.2">
      <c r="A4134" s="21"/>
      <c r="B4134" s="3" t="s">
        <v>2</v>
      </c>
      <c r="C4134" s="20" t="s">
        <v>122</v>
      </c>
      <c r="D4134" s="21"/>
    </row>
    <row r="4135" spans="1:4" ht="12.75" customHeight="1" x14ac:dyDescent="0.2">
      <c r="A4135" s="21"/>
      <c r="B4135" s="3" t="s">
        <v>4</v>
      </c>
      <c r="C4135" s="20" t="s">
        <v>533</v>
      </c>
      <c r="D4135" s="21"/>
    </row>
    <row r="4136" spans="1:4" ht="12.75" customHeight="1" x14ac:dyDescent="0.2">
      <c r="A4136" s="21"/>
      <c r="B4136" s="3" t="s">
        <v>6</v>
      </c>
      <c r="C4136" s="20" t="s">
        <v>21</v>
      </c>
      <c r="D4136" s="21"/>
    </row>
    <row r="4137" spans="1:4" ht="12.75" customHeight="1" x14ac:dyDescent="0.2">
      <c r="A4137" s="21"/>
      <c r="B4137" s="3" t="s">
        <v>8</v>
      </c>
      <c r="C4137" s="20" t="s">
        <v>533</v>
      </c>
      <c r="D4137" s="21"/>
    </row>
    <row r="4138" spans="1:4" ht="12.75" customHeight="1" x14ac:dyDescent="0.2">
      <c r="A4138" s="21"/>
      <c r="B4138" s="3" t="s">
        <v>9</v>
      </c>
      <c r="C4138" s="20" t="s">
        <v>42</v>
      </c>
      <c r="D4138" s="21"/>
    </row>
    <row r="4139" spans="1:4" ht="12.75" customHeight="1" x14ac:dyDescent="0.2">
      <c r="A4139" s="21"/>
      <c r="B4139" s="3" t="s">
        <v>11</v>
      </c>
      <c r="C4139" s="20" t="s">
        <v>702</v>
      </c>
      <c r="D4139" s="21"/>
    </row>
    <row r="4140" spans="1:4" ht="12.75" customHeight="1" x14ac:dyDescent="0.2">
      <c r="A4140" s="21"/>
      <c r="B4140" s="3" t="s">
        <v>13</v>
      </c>
      <c r="C4140" s="20" t="s">
        <v>24</v>
      </c>
      <c r="D4140" s="21"/>
    </row>
    <row r="4141" spans="1:4" ht="12.75" customHeight="1" x14ac:dyDescent="0.2">
      <c r="A4141" s="21"/>
      <c r="B4141" s="3" t="s">
        <v>15</v>
      </c>
      <c r="C4141" s="20" t="s">
        <v>24</v>
      </c>
      <c r="D4141" s="21"/>
    </row>
    <row r="4142" spans="1:4" ht="12.75" customHeight="1" x14ac:dyDescent="0.2">
      <c r="A4142" s="21"/>
      <c r="B4142" s="3" t="s">
        <v>16</v>
      </c>
      <c r="C4142" s="20"/>
      <c r="D4142" s="21"/>
    </row>
    <row r="4143" spans="1:4" ht="12.75" customHeight="1" x14ac:dyDescent="0.2">
      <c r="A4143" s="21"/>
      <c r="B4143" s="3" t="s">
        <v>17</v>
      </c>
      <c r="C4143" s="20"/>
      <c r="D4143" s="21"/>
    </row>
    <row r="4144" spans="1:4" ht="12.75" customHeight="1" x14ac:dyDescent="0.2">
      <c r="A4144" s="21"/>
      <c r="B4144" s="20" t="s">
        <v>18</v>
      </c>
      <c r="C4144" s="4" t="s">
        <v>56</v>
      </c>
      <c r="D4144" s="6" t="str">
        <f>HYPERLINK("javascript:void(0)","térszelet")</f>
        <v>térszelet</v>
      </c>
    </row>
    <row r="4145" spans="1:4" ht="12.75" customHeight="1" x14ac:dyDescent="0.2">
      <c r="A4145" s="21"/>
      <c r="B4145" s="21"/>
      <c r="C4145" s="4" t="s">
        <v>67</v>
      </c>
      <c r="D4145" s="6" t="str">
        <f>HYPERLINK("javascript:void(0)","teleportige")</f>
        <v>teleportige</v>
      </c>
    </row>
    <row r="4146" spans="1:4" ht="12.75" customHeight="1" x14ac:dyDescent="0.2">
      <c r="A4146" s="21"/>
      <c r="B4146" s="21"/>
      <c r="C4146" s="4" t="s">
        <v>382</v>
      </c>
      <c r="D4146" s="6" t="str">
        <f>HYPERLINK("javascript:void(0)","éjfény")</f>
        <v>éjfény</v>
      </c>
    </row>
    <row r="4147" spans="1:4" ht="12.75" customHeight="1" x14ac:dyDescent="0.2">
      <c r="A4147" s="5"/>
      <c r="B4147" s="2"/>
      <c r="C4147" s="2"/>
      <c r="D4147" s="2"/>
    </row>
    <row r="4148" spans="1:4" ht="12.75" customHeight="1" x14ac:dyDescent="0.2">
      <c r="A4148" s="22" t="str">
        <f>HYPERLINK("javascript:void(0)","brummogó kalapács")</f>
        <v>brummogó kalapács</v>
      </c>
      <c r="B4148" s="21"/>
      <c r="C4148" s="21"/>
      <c r="D4148" s="21"/>
    </row>
    <row r="4149" spans="1:4" ht="12.75" customHeight="1" x14ac:dyDescent="0.2">
      <c r="A4149" s="20"/>
      <c r="B4149" s="2"/>
      <c r="C4149" s="2"/>
      <c r="D4149" s="2"/>
    </row>
    <row r="4150" spans="1:4" ht="12.75" customHeight="1" x14ac:dyDescent="0.2">
      <c r="A4150" s="21"/>
      <c r="B4150" s="3" t="s">
        <v>0</v>
      </c>
      <c r="C4150" s="20" t="s">
        <v>275</v>
      </c>
      <c r="D4150" s="21"/>
    </row>
    <row r="4151" spans="1:4" ht="12.75" customHeight="1" x14ac:dyDescent="0.2">
      <c r="A4151" s="21"/>
      <c r="B4151" s="3" t="s">
        <v>2</v>
      </c>
      <c r="C4151" s="20" t="s">
        <v>122</v>
      </c>
      <c r="D4151" s="21"/>
    </row>
    <row r="4152" spans="1:4" ht="12.75" customHeight="1" x14ac:dyDescent="0.2">
      <c r="A4152" s="21"/>
      <c r="B4152" s="3" t="s">
        <v>4</v>
      </c>
      <c r="C4152" s="20" t="s">
        <v>1274</v>
      </c>
      <c r="D4152" s="21"/>
    </row>
    <row r="4153" spans="1:4" ht="12.75" customHeight="1" x14ac:dyDescent="0.2">
      <c r="A4153" s="21"/>
      <c r="B4153" s="3" t="s">
        <v>6</v>
      </c>
      <c r="C4153" s="20" t="s">
        <v>392</v>
      </c>
      <c r="D4153" s="21"/>
    </row>
    <row r="4154" spans="1:4" ht="12.75" customHeight="1" x14ac:dyDescent="0.2">
      <c r="A4154" s="21"/>
      <c r="B4154" s="3" t="s">
        <v>8</v>
      </c>
      <c r="C4154" s="20" t="s">
        <v>1274</v>
      </c>
      <c r="D4154" s="21"/>
    </row>
    <row r="4155" spans="1:4" ht="12.75" customHeight="1" x14ac:dyDescent="0.2">
      <c r="A4155" s="21"/>
      <c r="B4155" s="3" t="s">
        <v>9</v>
      </c>
      <c r="C4155" s="20" t="s">
        <v>985</v>
      </c>
      <c r="D4155" s="21"/>
    </row>
    <row r="4156" spans="1:4" ht="12.75" customHeight="1" x14ac:dyDescent="0.2">
      <c r="A4156" s="21"/>
      <c r="B4156" s="3" t="s">
        <v>11</v>
      </c>
      <c r="C4156" s="20" t="s">
        <v>770</v>
      </c>
      <c r="D4156" s="21"/>
    </row>
    <row r="4157" spans="1:4" ht="12.75" customHeight="1" x14ac:dyDescent="0.2">
      <c r="A4157" s="21"/>
      <c r="B4157" s="3" t="s">
        <v>13</v>
      </c>
      <c r="C4157" s="20" t="s">
        <v>24</v>
      </c>
      <c r="D4157" s="21"/>
    </row>
    <row r="4158" spans="1:4" ht="12.75" customHeight="1" x14ac:dyDescent="0.2">
      <c r="A4158" s="21"/>
      <c r="B4158" s="3" t="s">
        <v>15</v>
      </c>
      <c r="C4158" s="20" t="s">
        <v>24</v>
      </c>
      <c r="D4158" s="21"/>
    </row>
    <row r="4159" spans="1:4" ht="12.75" customHeight="1" x14ac:dyDescent="0.2">
      <c r="A4159" s="21"/>
      <c r="B4159" s="3" t="s">
        <v>16</v>
      </c>
      <c r="C4159" s="20"/>
      <c r="D4159" s="21"/>
    </row>
    <row r="4160" spans="1:4" ht="12.75" customHeight="1" x14ac:dyDescent="0.2">
      <c r="A4160" s="21"/>
      <c r="B4160" s="3" t="s">
        <v>17</v>
      </c>
      <c r="C4160" s="20"/>
      <c r="D4160" s="21"/>
    </row>
    <row r="4161" spans="1:4" ht="12.75" customHeight="1" x14ac:dyDescent="0.2">
      <c r="A4161" s="21"/>
      <c r="B4161" s="20" t="s">
        <v>18</v>
      </c>
      <c r="C4161" s="4" t="s">
        <v>44</v>
      </c>
      <c r="D4161" s="6" t="str">
        <f>HYPERLINK("javascript:void(0)","orrzúzó")</f>
        <v>orrzúzó</v>
      </c>
    </row>
    <row r="4162" spans="1:4" ht="12.75" customHeight="1" x14ac:dyDescent="0.2">
      <c r="A4162" s="21"/>
      <c r="B4162" s="21"/>
      <c r="C4162" s="4" t="s">
        <v>56</v>
      </c>
      <c r="D4162" s="6" t="str">
        <f>HYPERLINK("javascript:void(0)","brummogás")</f>
        <v>brummogás</v>
      </c>
    </row>
    <row r="4163" spans="1:4" ht="12.75" customHeight="1" x14ac:dyDescent="0.2">
      <c r="A4163" s="21"/>
      <c r="B4163" s="21"/>
      <c r="C4163" s="4" t="s">
        <v>139</v>
      </c>
      <c r="D4163" s="6" t="str">
        <f>HYPERLINK("javascript:void(0)","gőg")</f>
        <v>gőg</v>
      </c>
    </row>
    <row r="4164" spans="1:4" ht="12.75" customHeight="1" x14ac:dyDescent="0.2">
      <c r="A4164" s="5"/>
      <c r="B4164" s="2"/>
      <c r="C4164" s="2"/>
      <c r="D4164" s="2"/>
    </row>
    <row r="4165" spans="1:4" ht="12.75" customHeight="1" x14ac:dyDescent="0.2">
      <c r="A4165" s="22" t="str">
        <f>HYPERLINK("javascript:void(0)","fényes ballaszt")</f>
        <v>fényes ballaszt</v>
      </c>
      <c r="B4165" s="21"/>
      <c r="C4165" s="21"/>
      <c r="D4165" s="21"/>
    </row>
    <row r="4166" spans="1:4" ht="12.75" customHeight="1" x14ac:dyDescent="0.2">
      <c r="A4166" s="20"/>
      <c r="B4166" s="2"/>
      <c r="C4166" s="2"/>
      <c r="D4166" s="2"/>
    </row>
    <row r="4167" spans="1:4" ht="12.75" customHeight="1" x14ac:dyDescent="0.2">
      <c r="A4167" s="21"/>
      <c r="B4167" s="3" t="s">
        <v>0</v>
      </c>
      <c r="C4167" s="20" t="s">
        <v>275</v>
      </c>
      <c r="D4167" s="21"/>
    </row>
    <row r="4168" spans="1:4" ht="12.75" customHeight="1" x14ac:dyDescent="0.2">
      <c r="A4168" s="21"/>
      <c r="B4168" s="3" t="s">
        <v>2</v>
      </c>
      <c r="C4168" s="20" t="s">
        <v>122</v>
      </c>
      <c r="D4168" s="21"/>
    </row>
    <row r="4169" spans="1:4" ht="12.75" customHeight="1" x14ac:dyDescent="0.2">
      <c r="A4169" s="21"/>
      <c r="B4169" s="3" t="s">
        <v>4</v>
      </c>
      <c r="C4169" s="20" t="s">
        <v>757</v>
      </c>
      <c r="D4169" s="21"/>
    </row>
    <row r="4170" spans="1:4" ht="12.75" customHeight="1" x14ac:dyDescent="0.2">
      <c r="A4170" s="21"/>
      <c r="B4170" s="3" t="s">
        <v>6</v>
      </c>
      <c r="C4170" s="20" t="s">
        <v>157</v>
      </c>
      <c r="D4170" s="21"/>
    </row>
    <row r="4171" spans="1:4" ht="12.75" customHeight="1" x14ac:dyDescent="0.2">
      <c r="A4171" s="21"/>
      <c r="B4171" s="3" t="s">
        <v>8</v>
      </c>
      <c r="C4171" s="20" t="s">
        <v>757</v>
      </c>
      <c r="D4171" s="21"/>
    </row>
    <row r="4172" spans="1:4" ht="12.75" customHeight="1" x14ac:dyDescent="0.2">
      <c r="A4172" s="21"/>
      <c r="B4172" s="3" t="s">
        <v>9</v>
      </c>
      <c r="C4172" s="20" t="s">
        <v>1277</v>
      </c>
      <c r="D4172" s="21"/>
    </row>
    <row r="4173" spans="1:4" ht="12.75" customHeight="1" x14ac:dyDescent="0.2">
      <c r="A4173" s="21"/>
      <c r="B4173" s="3" t="s">
        <v>11</v>
      </c>
      <c r="C4173" s="20" t="s">
        <v>1090</v>
      </c>
      <c r="D4173" s="21"/>
    </row>
    <row r="4174" spans="1:4" ht="12.75" customHeight="1" x14ac:dyDescent="0.2">
      <c r="A4174" s="21"/>
      <c r="B4174" s="3" t="s">
        <v>13</v>
      </c>
      <c r="C4174" s="20" t="s">
        <v>24</v>
      </c>
      <c r="D4174" s="21"/>
    </row>
    <row r="4175" spans="1:4" ht="12.75" customHeight="1" x14ac:dyDescent="0.2">
      <c r="A4175" s="21"/>
      <c r="B4175" s="3" t="s">
        <v>15</v>
      </c>
      <c r="C4175" s="20" t="s">
        <v>24</v>
      </c>
      <c r="D4175" s="21"/>
    </row>
    <row r="4176" spans="1:4" ht="12.75" customHeight="1" x14ac:dyDescent="0.2">
      <c r="A4176" s="21"/>
      <c r="B4176" s="3" t="s">
        <v>16</v>
      </c>
      <c r="C4176" s="20"/>
      <c r="D4176" s="21"/>
    </row>
    <row r="4177" spans="1:4" ht="12.75" customHeight="1" x14ac:dyDescent="0.2">
      <c r="A4177" s="21"/>
      <c r="B4177" s="3" t="s">
        <v>17</v>
      </c>
      <c r="C4177" s="20"/>
      <c r="D4177" s="21"/>
    </row>
    <row r="4178" spans="1:4" ht="12.75" customHeight="1" x14ac:dyDescent="0.2">
      <c r="A4178" s="21"/>
      <c r="B4178" s="20" t="s">
        <v>18</v>
      </c>
      <c r="C4178" s="4" t="s">
        <v>68</v>
      </c>
      <c r="D4178" s="6" t="str">
        <f>HYPERLINK("javascript:void(0)","brummogás")</f>
        <v>brummogás</v>
      </c>
    </row>
    <row r="4179" spans="1:4" ht="12.75" customHeight="1" x14ac:dyDescent="0.2">
      <c r="A4179" s="21"/>
      <c r="B4179" s="21"/>
      <c r="C4179" s="4" t="s">
        <v>117</v>
      </c>
      <c r="D4179" s="6" t="str">
        <f>HYPERLINK("javascript:void(0)","bajuszkötő")</f>
        <v>bajuszkötő</v>
      </c>
    </row>
    <row r="4180" spans="1:4" ht="12.75" customHeight="1" x14ac:dyDescent="0.2">
      <c r="A4180" s="21"/>
      <c r="B4180" s="21"/>
      <c r="C4180" s="4" t="s">
        <v>382</v>
      </c>
      <c r="D4180" s="6" t="str">
        <f>HYPERLINK("javascript:void(0)","lux")</f>
        <v>lux</v>
      </c>
    </row>
    <row r="4181" spans="1:4" ht="12.75" customHeight="1" x14ac:dyDescent="0.2">
      <c r="A4181" s="5"/>
      <c r="B4181" s="2"/>
      <c r="C4181" s="2"/>
      <c r="D4181" s="2"/>
    </row>
    <row r="4182" spans="1:4" ht="12.75" customHeight="1" x14ac:dyDescent="0.2">
      <c r="A4182" s="22" t="str">
        <f>HYPERLINK("javascript:void(0)","gyíkacél lapító")</f>
        <v>gyíkacél lapító</v>
      </c>
      <c r="B4182" s="21"/>
      <c r="C4182" s="21"/>
      <c r="D4182" s="21"/>
    </row>
    <row r="4183" spans="1:4" ht="12.75" customHeight="1" x14ac:dyDescent="0.2">
      <c r="A4183" s="20"/>
      <c r="B4183" s="2"/>
      <c r="C4183" s="2"/>
      <c r="D4183" s="2"/>
    </row>
    <row r="4184" spans="1:4" ht="12.75" customHeight="1" x14ac:dyDescent="0.2">
      <c r="A4184" s="21"/>
      <c r="B4184" s="3" t="s">
        <v>0</v>
      </c>
      <c r="C4184" s="20" t="s">
        <v>275</v>
      </c>
      <c r="D4184" s="21"/>
    </row>
    <row r="4185" spans="1:4" ht="12.75" customHeight="1" x14ac:dyDescent="0.2">
      <c r="A4185" s="21"/>
      <c r="B4185" s="3" t="s">
        <v>2</v>
      </c>
      <c r="C4185" s="20" t="s">
        <v>122</v>
      </c>
      <c r="D4185" s="21"/>
    </row>
    <row r="4186" spans="1:4" ht="12.75" customHeight="1" x14ac:dyDescent="0.2">
      <c r="A4186" s="21"/>
      <c r="B4186" s="3" t="s">
        <v>4</v>
      </c>
      <c r="C4186" s="20" t="s">
        <v>1280</v>
      </c>
      <c r="D4186" s="21"/>
    </row>
    <row r="4187" spans="1:4" ht="12.75" customHeight="1" x14ac:dyDescent="0.2">
      <c r="A4187" s="21"/>
      <c r="B4187" s="3" t="s">
        <v>6</v>
      </c>
      <c r="C4187" s="20" t="s">
        <v>107</v>
      </c>
      <c r="D4187" s="21"/>
    </row>
    <row r="4188" spans="1:4" ht="12.75" customHeight="1" x14ac:dyDescent="0.2">
      <c r="A4188" s="21"/>
      <c r="B4188" s="3" t="s">
        <v>8</v>
      </c>
      <c r="C4188" s="20" t="s">
        <v>1280</v>
      </c>
      <c r="D4188" s="21"/>
    </row>
    <row r="4189" spans="1:4" ht="12.75" customHeight="1" x14ac:dyDescent="0.2">
      <c r="A4189" s="21"/>
      <c r="B4189" s="3" t="s">
        <v>9</v>
      </c>
      <c r="C4189" s="20" t="s">
        <v>1281</v>
      </c>
      <c r="D4189" s="21"/>
    </row>
    <row r="4190" spans="1:4" ht="12.75" customHeight="1" x14ac:dyDescent="0.2">
      <c r="A4190" s="21"/>
      <c r="B4190" s="3" t="s">
        <v>11</v>
      </c>
      <c r="C4190" s="20" t="s">
        <v>542</v>
      </c>
      <c r="D4190" s="21"/>
    </row>
    <row r="4191" spans="1:4" ht="12.75" customHeight="1" x14ac:dyDescent="0.2">
      <c r="A4191" s="21"/>
      <c r="B4191" s="3" t="s">
        <v>13</v>
      </c>
      <c r="C4191" s="20" t="s">
        <v>24</v>
      </c>
      <c r="D4191" s="21"/>
    </row>
    <row r="4192" spans="1:4" ht="12.75" customHeight="1" x14ac:dyDescent="0.2">
      <c r="A4192" s="21"/>
      <c r="B4192" s="3" t="s">
        <v>15</v>
      </c>
      <c r="C4192" s="20" t="s">
        <v>24</v>
      </c>
      <c r="D4192" s="21"/>
    </row>
    <row r="4193" spans="1:4" ht="12.75" customHeight="1" x14ac:dyDescent="0.2">
      <c r="A4193" s="21"/>
      <c r="B4193" s="3" t="s">
        <v>16</v>
      </c>
      <c r="C4193" s="20"/>
      <c r="D4193" s="21"/>
    </row>
    <row r="4194" spans="1:4" ht="12.75" customHeight="1" x14ac:dyDescent="0.2">
      <c r="A4194" s="21"/>
      <c r="B4194" s="3" t="s">
        <v>17</v>
      </c>
      <c r="C4194" s="20"/>
      <c r="D4194" s="21"/>
    </row>
    <row r="4195" spans="1:4" ht="12.75" customHeight="1" x14ac:dyDescent="0.2">
      <c r="A4195" s="21"/>
      <c r="B4195" s="20" t="s">
        <v>18</v>
      </c>
      <c r="C4195" s="4" t="s">
        <v>398</v>
      </c>
      <c r="D4195" s="6" t="str">
        <f>HYPERLINK("javascript:void(0)","gyémántkarika")</f>
        <v>gyémántkarika</v>
      </c>
    </row>
    <row r="4196" spans="1:4" ht="12.75" customHeight="1" x14ac:dyDescent="0.2">
      <c r="A4196" s="21"/>
      <c r="B4196" s="21"/>
      <c r="C4196" s="4" t="s">
        <v>280</v>
      </c>
      <c r="D4196" s="6" t="str">
        <f>HYPERLINK("javascript:void(0)","szent szimbólum")</f>
        <v>szent szimbólum</v>
      </c>
    </row>
    <row r="4197" spans="1:4" ht="12.75" customHeight="1" x14ac:dyDescent="0.2">
      <c r="A4197" s="21"/>
      <c r="B4197" s="21"/>
      <c r="C4197" s="4" t="s">
        <v>193</v>
      </c>
      <c r="D4197" s="6" t="str">
        <f>HYPERLINK("javascript:void(0)","lámpás")</f>
        <v>lámpás</v>
      </c>
    </row>
    <row r="4198" spans="1:4" ht="12.75" customHeight="1" x14ac:dyDescent="0.2">
      <c r="A4198" s="5"/>
      <c r="B4198" s="2"/>
      <c r="C4198" s="2"/>
      <c r="D4198" s="2"/>
    </row>
    <row r="4199" spans="1:4" ht="12.75" customHeight="1" x14ac:dyDescent="0.2">
      <c r="A4199" s="22" t="str">
        <f>HYPERLINK("javascript:void(0)","zúzónyél")</f>
        <v>zúzónyél</v>
      </c>
      <c r="B4199" s="21"/>
      <c r="C4199" s="21"/>
      <c r="D4199" s="21"/>
    </row>
    <row r="4200" spans="1:4" ht="12.75" customHeight="1" x14ac:dyDescent="0.2">
      <c r="A4200" s="20"/>
      <c r="B4200" s="2"/>
      <c r="C4200" s="2"/>
      <c r="D4200" s="2"/>
    </row>
    <row r="4201" spans="1:4" ht="12.75" customHeight="1" x14ac:dyDescent="0.2">
      <c r="A4201" s="21"/>
      <c r="B4201" s="3" t="s">
        <v>0</v>
      </c>
      <c r="C4201" s="20" t="s">
        <v>275</v>
      </c>
      <c r="D4201" s="21"/>
    </row>
    <row r="4202" spans="1:4" ht="12.75" customHeight="1" x14ac:dyDescent="0.2">
      <c r="A4202" s="21"/>
      <c r="B4202" s="3" t="s">
        <v>2</v>
      </c>
      <c r="C4202" s="20" t="s">
        <v>122</v>
      </c>
      <c r="D4202" s="21"/>
    </row>
    <row r="4203" spans="1:4" ht="12.75" customHeight="1" x14ac:dyDescent="0.2">
      <c r="A4203" s="21"/>
      <c r="B4203" s="3" t="s">
        <v>4</v>
      </c>
      <c r="C4203" s="20" t="s">
        <v>533</v>
      </c>
      <c r="D4203" s="21"/>
    </row>
    <row r="4204" spans="1:4" ht="12.75" customHeight="1" x14ac:dyDescent="0.2">
      <c r="A4204" s="21"/>
      <c r="B4204" s="3" t="s">
        <v>6</v>
      </c>
      <c r="C4204" s="20" t="s">
        <v>21</v>
      </c>
      <c r="D4204" s="21"/>
    </row>
    <row r="4205" spans="1:4" ht="12.75" customHeight="1" x14ac:dyDescent="0.2">
      <c r="A4205" s="21"/>
      <c r="B4205" s="3" t="s">
        <v>8</v>
      </c>
      <c r="C4205" s="20" t="s">
        <v>533</v>
      </c>
      <c r="D4205" s="21"/>
    </row>
    <row r="4206" spans="1:4" ht="12.75" customHeight="1" x14ac:dyDescent="0.2">
      <c r="A4206" s="21"/>
      <c r="B4206" s="3" t="s">
        <v>9</v>
      </c>
      <c r="C4206" s="20" t="s">
        <v>42</v>
      </c>
      <c r="D4206" s="21"/>
    </row>
    <row r="4207" spans="1:4" ht="12.75" customHeight="1" x14ac:dyDescent="0.2">
      <c r="A4207" s="21"/>
      <c r="B4207" s="3" t="s">
        <v>11</v>
      </c>
      <c r="C4207" s="20" t="s">
        <v>722</v>
      </c>
      <c r="D4207" s="21"/>
    </row>
    <row r="4208" spans="1:4" ht="12.75" customHeight="1" x14ac:dyDescent="0.2">
      <c r="A4208" s="21"/>
      <c r="B4208" s="3" t="s">
        <v>13</v>
      </c>
      <c r="C4208" s="20" t="s">
        <v>24</v>
      </c>
      <c r="D4208" s="21"/>
    </row>
    <row r="4209" spans="1:4" ht="12.75" customHeight="1" x14ac:dyDescent="0.2">
      <c r="A4209" s="21"/>
      <c r="B4209" s="3" t="s">
        <v>15</v>
      </c>
      <c r="C4209" s="20" t="s">
        <v>24</v>
      </c>
      <c r="D4209" s="21"/>
    </row>
    <row r="4210" spans="1:4" ht="12.75" customHeight="1" x14ac:dyDescent="0.2">
      <c r="A4210" s="21"/>
      <c r="B4210" s="3" t="s">
        <v>16</v>
      </c>
      <c r="C4210" s="20"/>
      <c r="D4210" s="21"/>
    </row>
    <row r="4211" spans="1:4" ht="12.75" customHeight="1" x14ac:dyDescent="0.2">
      <c r="A4211" s="21"/>
      <c r="B4211" s="3" t="s">
        <v>17</v>
      </c>
      <c r="C4211" s="20"/>
      <c r="D4211" s="21"/>
    </row>
    <row r="4212" spans="1:4" ht="12.75" customHeight="1" x14ac:dyDescent="0.2">
      <c r="A4212" s="21"/>
      <c r="B4212" s="20" t="s">
        <v>18</v>
      </c>
      <c r="C4212" s="4" t="s">
        <v>68</v>
      </c>
      <c r="D4212" s="6" t="str">
        <f>HYPERLINK("javascript:void(0)","orr")</f>
        <v>orr</v>
      </c>
    </row>
    <row r="4213" spans="1:4" ht="12.75" customHeight="1" x14ac:dyDescent="0.2">
      <c r="A4213" s="21"/>
      <c r="B4213" s="21"/>
      <c r="C4213" s="4" t="s">
        <v>67</v>
      </c>
      <c r="D4213" s="6" t="str">
        <f>HYPERLINK("javascript:void(0)","fókaprém")</f>
        <v>fókaprém</v>
      </c>
    </row>
    <row r="4214" spans="1:4" ht="12.75" customHeight="1" x14ac:dyDescent="0.2">
      <c r="A4214" s="21"/>
      <c r="B4214" s="21"/>
      <c r="C4214" s="4" t="s">
        <v>382</v>
      </c>
      <c r="D4214" s="6" t="str">
        <f>HYPERLINK("javascript:void(0)","medúza csáp")</f>
        <v>medúza csáp</v>
      </c>
    </row>
    <row r="4215" spans="1:4" ht="12.75" customHeight="1" x14ac:dyDescent="0.2">
      <c r="A4215" s="5"/>
      <c r="B4215" s="2"/>
      <c r="C4215" s="2"/>
      <c r="D4215" s="2"/>
    </row>
    <row r="4216" spans="1:4" ht="12.75" customHeight="1" x14ac:dyDescent="0.2">
      <c r="A4216" s="22" t="str">
        <f>HYPERLINK("javascript:void(0)","rúnabuzogány")</f>
        <v>rúnabuzogány</v>
      </c>
      <c r="B4216" s="21"/>
      <c r="C4216" s="21"/>
      <c r="D4216" s="21"/>
    </row>
    <row r="4217" spans="1:4" ht="12.75" customHeight="1" x14ac:dyDescent="0.2">
      <c r="A4217" s="20"/>
      <c r="B4217" s="2"/>
      <c r="C4217" s="2"/>
      <c r="D4217" s="2"/>
    </row>
    <row r="4218" spans="1:4" ht="12.75" customHeight="1" x14ac:dyDescent="0.2">
      <c r="A4218" s="21"/>
      <c r="B4218" s="3" t="s">
        <v>0</v>
      </c>
      <c r="C4218" s="20" t="s">
        <v>161</v>
      </c>
      <c r="D4218" s="21"/>
    </row>
    <row r="4219" spans="1:4" ht="12.75" customHeight="1" x14ac:dyDescent="0.2">
      <c r="A4219" s="21"/>
      <c r="B4219" s="3" t="s">
        <v>2</v>
      </c>
      <c r="C4219" s="20" t="s">
        <v>122</v>
      </c>
      <c r="D4219" s="21"/>
    </row>
    <row r="4220" spans="1:4" ht="12.75" customHeight="1" x14ac:dyDescent="0.2">
      <c r="A4220" s="21"/>
      <c r="B4220" s="3" t="s">
        <v>4</v>
      </c>
      <c r="C4220" s="20" t="s">
        <v>1288</v>
      </c>
      <c r="D4220" s="21"/>
    </row>
    <row r="4221" spans="1:4" ht="12.75" customHeight="1" x14ac:dyDescent="0.2">
      <c r="A4221" s="21"/>
      <c r="B4221" s="3" t="s">
        <v>6</v>
      </c>
      <c r="C4221" s="20" t="s">
        <v>157</v>
      </c>
      <c r="D4221" s="21"/>
    </row>
    <row r="4222" spans="1:4" ht="12.75" customHeight="1" x14ac:dyDescent="0.2">
      <c r="A4222" s="21"/>
      <c r="B4222" s="3" t="s">
        <v>8</v>
      </c>
      <c r="C4222" s="20" t="s">
        <v>1288</v>
      </c>
      <c r="D4222" s="21"/>
    </row>
    <row r="4223" spans="1:4" ht="12.75" customHeight="1" x14ac:dyDescent="0.2">
      <c r="A4223" s="21"/>
      <c r="B4223" s="3" t="s">
        <v>9</v>
      </c>
      <c r="C4223" s="20" t="s">
        <v>1289</v>
      </c>
      <c r="D4223" s="21"/>
    </row>
    <row r="4224" spans="1:4" ht="12.75" customHeight="1" x14ac:dyDescent="0.2">
      <c r="A4224" s="21"/>
      <c r="B4224" s="3" t="s">
        <v>11</v>
      </c>
      <c r="C4224" s="20" t="s">
        <v>775</v>
      </c>
      <c r="D4224" s="21"/>
    </row>
    <row r="4225" spans="1:4" ht="12.75" customHeight="1" x14ac:dyDescent="0.2">
      <c r="A4225" s="21"/>
      <c r="B4225" s="3" t="s">
        <v>13</v>
      </c>
      <c r="C4225" s="20" t="s">
        <v>24</v>
      </c>
      <c r="D4225" s="21"/>
    </row>
    <row r="4226" spans="1:4" ht="12.75" customHeight="1" x14ac:dyDescent="0.2">
      <c r="A4226" s="21"/>
      <c r="B4226" s="3" t="s">
        <v>15</v>
      </c>
      <c r="C4226" s="20" t="s">
        <v>24</v>
      </c>
      <c r="D4226" s="21"/>
    </row>
    <row r="4227" spans="1:4" ht="12.75" customHeight="1" x14ac:dyDescent="0.2">
      <c r="A4227" s="21"/>
      <c r="B4227" s="3" t="s">
        <v>16</v>
      </c>
      <c r="C4227" s="20"/>
      <c r="D4227" s="21"/>
    </row>
    <row r="4228" spans="1:4" ht="12.75" customHeight="1" x14ac:dyDescent="0.2">
      <c r="A4228" s="21"/>
      <c r="B4228" s="3" t="s">
        <v>17</v>
      </c>
      <c r="C4228" s="20"/>
      <c r="D4228" s="21"/>
    </row>
    <row r="4229" spans="1:4" ht="12.75" customHeight="1" x14ac:dyDescent="0.2">
      <c r="A4229" s="21"/>
      <c r="B4229" s="20" t="s">
        <v>18</v>
      </c>
      <c r="C4229" s="4" t="s">
        <v>232</v>
      </c>
      <c r="D4229" s="6" t="str">
        <f>HYPERLINK("javascript:void(0)","csigaszem")</f>
        <v>csigaszem</v>
      </c>
    </row>
    <row r="4230" spans="1:4" ht="12.75" customHeight="1" x14ac:dyDescent="0.2">
      <c r="A4230" s="21"/>
      <c r="B4230" s="21"/>
      <c r="C4230" s="4" t="s">
        <v>117</v>
      </c>
      <c r="D4230" s="6" t="str">
        <f>HYPERLINK("javascript:void(0)","nagylemez")</f>
        <v>nagylemez</v>
      </c>
    </row>
    <row r="4231" spans="1:4" ht="12.75" customHeight="1" x14ac:dyDescent="0.2">
      <c r="A4231" s="21"/>
      <c r="B4231" s="21"/>
      <c r="C4231" s="4" t="s">
        <v>369</v>
      </c>
      <c r="D4231" s="6" t="str">
        <f>HYPERLINK("javascript:void(0)","rúna")</f>
        <v>rúna</v>
      </c>
    </row>
    <row r="4232" spans="1:4" ht="12.75" customHeight="1" x14ac:dyDescent="0.2">
      <c r="A4232" s="5"/>
      <c r="B4232" s="2"/>
      <c r="C4232" s="2"/>
      <c r="D4232" s="2"/>
    </row>
    <row r="4233" spans="1:4" ht="12.75" customHeight="1" x14ac:dyDescent="0.2">
      <c r="A4233" s="22" t="str">
        <f>HYPERLINK("javascript:void(0)","sertés mágusölő")</f>
        <v>sertés mágusölő</v>
      </c>
      <c r="B4233" s="21"/>
      <c r="C4233" s="21"/>
      <c r="D4233" s="21"/>
    </row>
    <row r="4234" spans="1:4" ht="12.75" customHeight="1" x14ac:dyDescent="0.2">
      <c r="A4234" s="20"/>
      <c r="B4234" s="2"/>
      <c r="C4234" s="2"/>
      <c r="D4234" s="2"/>
    </row>
    <row r="4235" spans="1:4" ht="12.75" customHeight="1" x14ac:dyDescent="0.2">
      <c r="A4235" s="21"/>
      <c r="B4235" s="3" t="s">
        <v>0</v>
      </c>
      <c r="C4235" s="20" t="s">
        <v>161</v>
      </c>
      <c r="D4235" s="21"/>
    </row>
    <row r="4236" spans="1:4" ht="12.75" customHeight="1" x14ac:dyDescent="0.2">
      <c r="A4236" s="21"/>
      <c r="B4236" s="3" t="s">
        <v>2</v>
      </c>
      <c r="C4236" s="20" t="s">
        <v>122</v>
      </c>
      <c r="D4236" s="21"/>
    </row>
    <row r="4237" spans="1:4" ht="12.75" customHeight="1" x14ac:dyDescent="0.2">
      <c r="A4237" s="21"/>
      <c r="B4237" s="3" t="s">
        <v>4</v>
      </c>
      <c r="C4237" s="20" t="s">
        <v>1292</v>
      </c>
      <c r="D4237" s="21"/>
    </row>
    <row r="4238" spans="1:4" ht="12.75" customHeight="1" x14ac:dyDescent="0.2">
      <c r="A4238" s="21"/>
      <c r="B4238" s="3" t="s">
        <v>6</v>
      </c>
      <c r="C4238" s="20" t="s">
        <v>48</v>
      </c>
      <c r="D4238" s="21"/>
    </row>
    <row r="4239" spans="1:4" ht="12.75" customHeight="1" x14ac:dyDescent="0.2">
      <c r="A4239" s="21"/>
      <c r="B4239" s="3" t="s">
        <v>8</v>
      </c>
      <c r="C4239" s="20" t="s">
        <v>1292</v>
      </c>
      <c r="D4239" s="21"/>
    </row>
    <row r="4240" spans="1:4" ht="12.75" customHeight="1" x14ac:dyDescent="0.2">
      <c r="A4240" s="21"/>
      <c r="B4240" s="3" t="s">
        <v>9</v>
      </c>
      <c r="C4240" s="20" t="s">
        <v>1293</v>
      </c>
      <c r="D4240" s="21"/>
    </row>
    <row r="4241" spans="1:4" ht="12.75" customHeight="1" x14ac:dyDescent="0.2">
      <c r="A4241" s="21"/>
      <c r="B4241" s="3" t="s">
        <v>11</v>
      </c>
      <c r="C4241" s="20" t="s">
        <v>993</v>
      </c>
      <c r="D4241" s="21"/>
    </row>
    <row r="4242" spans="1:4" ht="12.75" customHeight="1" x14ac:dyDescent="0.2">
      <c r="A4242" s="21"/>
      <c r="B4242" s="3" t="s">
        <v>13</v>
      </c>
      <c r="C4242" s="20" t="s">
        <v>14</v>
      </c>
      <c r="D4242" s="21"/>
    </row>
    <row r="4243" spans="1:4" ht="12.75" customHeight="1" x14ac:dyDescent="0.2">
      <c r="A4243" s="21"/>
      <c r="B4243" s="3" t="s">
        <v>15</v>
      </c>
      <c r="C4243" s="20" t="s">
        <v>24</v>
      </c>
      <c r="D4243" s="21"/>
    </row>
    <row r="4244" spans="1:4" ht="12.75" customHeight="1" x14ac:dyDescent="0.2">
      <c r="A4244" s="21"/>
      <c r="B4244" s="3" t="s">
        <v>16</v>
      </c>
      <c r="C4244" s="20"/>
      <c r="D4244" s="21"/>
    </row>
    <row r="4245" spans="1:4" ht="12.75" customHeight="1" x14ac:dyDescent="0.2">
      <c r="A4245" s="21"/>
      <c r="B4245" s="3" t="s">
        <v>17</v>
      </c>
      <c r="C4245" s="20"/>
      <c r="D4245" s="21"/>
    </row>
    <row r="4246" spans="1:4" ht="12.75" customHeight="1" x14ac:dyDescent="0.2">
      <c r="A4246" s="21"/>
      <c r="B4246" s="20" t="s">
        <v>18</v>
      </c>
      <c r="C4246" s="4" t="s">
        <v>68</v>
      </c>
      <c r="D4246" s="6" t="str">
        <f>HYPERLINK("javascript:void(0)","vaskarima")</f>
        <v>vaskarima</v>
      </c>
    </row>
    <row r="4247" spans="1:4" ht="12.75" customHeight="1" x14ac:dyDescent="0.2">
      <c r="A4247" s="21"/>
      <c r="B4247" s="21"/>
      <c r="C4247" s="4" t="s">
        <v>382</v>
      </c>
      <c r="D4247" s="6" t="str">
        <f>HYPERLINK("javascript:void(0)","serte")</f>
        <v>serte</v>
      </c>
    </row>
    <row r="4248" spans="1:4" ht="12.75" customHeight="1" x14ac:dyDescent="0.2">
      <c r="A4248" s="21"/>
      <c r="B4248" s="21"/>
      <c r="C4248" s="4" t="s">
        <v>139</v>
      </c>
      <c r="D4248" s="6" t="str">
        <f>HYPERLINK("javascript:void(0)","hőgolyó")</f>
        <v>hőgolyó</v>
      </c>
    </row>
    <row r="4249" spans="1:4" ht="12.75" customHeight="1" x14ac:dyDescent="0.2">
      <c r="A4249" s="5"/>
      <c r="B4249" s="2"/>
      <c r="C4249" s="2"/>
      <c r="D4249" s="2"/>
    </row>
    <row r="4250" spans="1:4" ht="12.75" customHeight="1" x14ac:dyDescent="0.2">
      <c r="A4250" s="22" t="str">
        <f>HYPERLINK("javascript:void(0)","rúnapenge")</f>
        <v>rúnapenge</v>
      </c>
      <c r="B4250" s="21"/>
      <c r="C4250" s="21"/>
      <c r="D4250" s="21"/>
    </row>
    <row r="4251" spans="1:4" ht="12.75" customHeight="1" x14ac:dyDescent="0.2">
      <c r="A4251" s="20"/>
      <c r="B4251" s="2"/>
      <c r="C4251" s="2"/>
      <c r="D4251" s="2"/>
    </row>
    <row r="4252" spans="1:4" ht="12.75" customHeight="1" x14ac:dyDescent="0.2">
      <c r="A4252" s="21"/>
      <c r="B4252" s="3" t="s">
        <v>0</v>
      </c>
      <c r="C4252" s="20" t="s">
        <v>161</v>
      </c>
      <c r="D4252" s="21"/>
    </row>
    <row r="4253" spans="1:4" ht="12.75" customHeight="1" x14ac:dyDescent="0.2">
      <c r="A4253" s="21"/>
      <c r="B4253" s="3" t="s">
        <v>2</v>
      </c>
      <c r="C4253" s="20" t="s">
        <v>122</v>
      </c>
      <c r="D4253" s="21"/>
    </row>
    <row r="4254" spans="1:4" ht="12.75" customHeight="1" x14ac:dyDescent="0.2">
      <c r="A4254" s="21"/>
      <c r="B4254" s="3" t="s">
        <v>4</v>
      </c>
      <c r="C4254" s="20" t="s">
        <v>533</v>
      </c>
      <c r="D4254" s="21"/>
    </row>
    <row r="4255" spans="1:4" ht="12.75" customHeight="1" x14ac:dyDescent="0.2">
      <c r="A4255" s="21"/>
      <c r="B4255" s="3" t="s">
        <v>6</v>
      </c>
      <c r="C4255" s="20" t="s">
        <v>21</v>
      </c>
      <c r="D4255" s="21"/>
    </row>
    <row r="4256" spans="1:4" ht="12.75" customHeight="1" x14ac:dyDescent="0.2">
      <c r="A4256" s="21"/>
      <c r="B4256" s="3" t="s">
        <v>8</v>
      </c>
      <c r="C4256" s="20" t="s">
        <v>533</v>
      </c>
      <c r="D4256" s="21"/>
    </row>
    <row r="4257" spans="1:4" ht="12.75" customHeight="1" x14ac:dyDescent="0.2">
      <c r="A4257" s="21"/>
      <c r="B4257" s="3" t="s">
        <v>9</v>
      </c>
      <c r="C4257" s="20" t="s">
        <v>42</v>
      </c>
      <c r="D4257" s="21"/>
    </row>
    <row r="4258" spans="1:4" ht="12.75" customHeight="1" x14ac:dyDescent="0.2">
      <c r="A4258" s="21"/>
      <c r="B4258" s="3" t="s">
        <v>11</v>
      </c>
      <c r="C4258" s="20" t="s">
        <v>739</v>
      </c>
      <c r="D4258" s="21"/>
    </row>
    <row r="4259" spans="1:4" ht="12.75" customHeight="1" x14ac:dyDescent="0.2">
      <c r="A4259" s="21"/>
      <c r="B4259" s="3" t="s">
        <v>13</v>
      </c>
      <c r="C4259" s="20" t="s">
        <v>24</v>
      </c>
      <c r="D4259" s="21"/>
    </row>
    <row r="4260" spans="1:4" ht="12.75" customHeight="1" x14ac:dyDescent="0.2">
      <c r="A4260" s="21"/>
      <c r="B4260" s="3" t="s">
        <v>15</v>
      </c>
      <c r="C4260" s="20" t="s">
        <v>24</v>
      </c>
      <c r="D4260" s="21"/>
    </row>
    <row r="4261" spans="1:4" ht="12.75" customHeight="1" x14ac:dyDescent="0.2">
      <c r="A4261" s="21"/>
      <c r="B4261" s="3" t="s">
        <v>16</v>
      </c>
      <c r="C4261" s="20"/>
      <c r="D4261" s="21"/>
    </row>
    <row r="4262" spans="1:4" ht="12.75" customHeight="1" x14ac:dyDescent="0.2">
      <c r="A4262" s="21"/>
      <c r="B4262" s="3" t="s">
        <v>17</v>
      </c>
      <c r="C4262" s="20"/>
      <c r="D4262" s="21"/>
    </row>
    <row r="4263" spans="1:4" ht="12.75" customHeight="1" x14ac:dyDescent="0.2">
      <c r="A4263" s="21"/>
      <c r="B4263" s="20" t="s">
        <v>18</v>
      </c>
      <c r="C4263" s="4" t="s">
        <v>369</v>
      </c>
      <c r="D4263" s="6" t="str">
        <f>HYPERLINK("javascript:void(0)","rúna")</f>
        <v>rúna</v>
      </c>
    </row>
    <row r="4264" spans="1:4" ht="12.75" customHeight="1" x14ac:dyDescent="0.2">
      <c r="A4264" s="21"/>
      <c r="B4264" s="21"/>
      <c r="C4264" s="4" t="s">
        <v>67</v>
      </c>
      <c r="D4264" s="6" t="str">
        <f>HYPERLINK("javascript:void(0)","törmelék")</f>
        <v>törmelék</v>
      </c>
    </row>
    <row r="4265" spans="1:4" ht="12.75" customHeight="1" x14ac:dyDescent="0.2">
      <c r="A4265" s="21"/>
      <c r="B4265" s="21"/>
      <c r="C4265" s="4" t="s">
        <v>244</v>
      </c>
      <c r="D4265" s="6" t="str">
        <f>HYPERLINK("javascript:void(0)","szabo-penge")</f>
        <v>szabo-penge</v>
      </c>
    </row>
    <row r="4266" spans="1:4" ht="12.75" customHeight="1" x14ac:dyDescent="0.2">
      <c r="A4266" s="5"/>
      <c r="B4266" s="2"/>
      <c r="C4266" s="2"/>
      <c r="D4266" s="2"/>
    </row>
    <row r="4267" spans="1:4" ht="12.75" customHeight="1" x14ac:dyDescent="0.2">
      <c r="A4267" s="22" t="str">
        <f>HYPERLINK("javascript:void(0)","rúnapöröly")</f>
        <v>rúnapöröly</v>
      </c>
      <c r="B4267" s="21"/>
      <c r="C4267" s="21"/>
      <c r="D4267" s="21"/>
    </row>
    <row r="4268" spans="1:4" ht="12.75" customHeight="1" x14ac:dyDescent="0.2">
      <c r="A4268" s="20"/>
      <c r="B4268" s="2"/>
      <c r="C4268" s="2"/>
      <c r="D4268" s="2"/>
    </row>
    <row r="4269" spans="1:4" ht="12.75" customHeight="1" x14ac:dyDescent="0.2">
      <c r="A4269" s="21"/>
      <c r="B4269" s="3" t="s">
        <v>0</v>
      </c>
      <c r="C4269" s="20" t="s">
        <v>253</v>
      </c>
      <c r="D4269" s="21"/>
    </row>
    <row r="4270" spans="1:4" ht="12.75" customHeight="1" x14ac:dyDescent="0.2">
      <c r="A4270" s="21"/>
      <c r="B4270" s="3" t="s">
        <v>2</v>
      </c>
      <c r="C4270" s="20" t="s">
        <v>122</v>
      </c>
      <c r="D4270" s="21"/>
    </row>
    <row r="4271" spans="1:4" ht="12.75" customHeight="1" x14ac:dyDescent="0.2">
      <c r="A4271" s="21"/>
      <c r="B4271" s="3" t="s">
        <v>4</v>
      </c>
      <c r="C4271" s="20" t="s">
        <v>1299</v>
      </c>
      <c r="D4271" s="21"/>
    </row>
    <row r="4272" spans="1:4" ht="12.75" customHeight="1" x14ac:dyDescent="0.2">
      <c r="A4272" s="21"/>
      <c r="B4272" s="3" t="s">
        <v>6</v>
      </c>
      <c r="C4272" s="20" t="s">
        <v>392</v>
      </c>
      <c r="D4272" s="21"/>
    </row>
    <row r="4273" spans="1:4" ht="12.75" customHeight="1" x14ac:dyDescent="0.2">
      <c r="A4273" s="21"/>
      <c r="B4273" s="3" t="s">
        <v>8</v>
      </c>
      <c r="C4273" s="20" t="s">
        <v>1299</v>
      </c>
      <c r="D4273" s="21"/>
    </row>
    <row r="4274" spans="1:4" ht="12.75" customHeight="1" x14ac:dyDescent="0.2">
      <c r="A4274" s="21"/>
      <c r="B4274" s="3" t="s">
        <v>9</v>
      </c>
      <c r="C4274" s="20" t="s">
        <v>845</v>
      </c>
      <c r="D4274" s="21"/>
    </row>
    <row r="4275" spans="1:4" ht="12.75" customHeight="1" x14ac:dyDescent="0.2">
      <c r="A4275" s="21"/>
      <c r="B4275" s="3" t="s">
        <v>11</v>
      </c>
      <c r="C4275" s="20" t="s">
        <v>779</v>
      </c>
      <c r="D4275" s="21"/>
    </row>
    <row r="4276" spans="1:4" ht="12.75" customHeight="1" x14ac:dyDescent="0.2">
      <c r="A4276" s="21"/>
      <c r="B4276" s="3" t="s">
        <v>13</v>
      </c>
      <c r="C4276" s="20" t="s">
        <v>24</v>
      </c>
      <c r="D4276" s="21"/>
    </row>
    <row r="4277" spans="1:4" ht="12.75" customHeight="1" x14ac:dyDescent="0.2">
      <c r="A4277" s="21"/>
      <c r="B4277" s="3" t="s">
        <v>15</v>
      </c>
      <c r="C4277" s="20" t="s">
        <v>24</v>
      </c>
      <c r="D4277" s="21"/>
    </row>
    <row r="4278" spans="1:4" ht="12.75" customHeight="1" x14ac:dyDescent="0.2">
      <c r="A4278" s="21"/>
      <c r="B4278" s="3" t="s">
        <v>16</v>
      </c>
      <c r="C4278" s="20"/>
      <c r="D4278" s="21"/>
    </row>
    <row r="4279" spans="1:4" ht="12.75" customHeight="1" x14ac:dyDescent="0.2">
      <c r="A4279" s="21"/>
      <c r="B4279" s="3" t="s">
        <v>17</v>
      </c>
      <c r="C4279" s="20"/>
      <c r="D4279" s="21"/>
    </row>
    <row r="4280" spans="1:4" ht="12.75" customHeight="1" x14ac:dyDescent="0.2">
      <c r="A4280" s="21"/>
      <c r="B4280" s="20" t="s">
        <v>18</v>
      </c>
      <c r="C4280" s="4" t="s">
        <v>44</v>
      </c>
      <c r="D4280" s="6" t="str">
        <f>HYPERLINK("javascript:void(0)","brummogó kalapács")</f>
        <v>brummogó kalapács</v>
      </c>
    </row>
    <row r="4281" spans="1:4" ht="12.75" customHeight="1" x14ac:dyDescent="0.2">
      <c r="A4281" s="21"/>
      <c r="B4281" s="21"/>
      <c r="C4281" s="4" t="s">
        <v>44</v>
      </c>
      <c r="D4281" s="6" t="str">
        <f>HYPERLINK("javascript:void(0)","rúnabuzogány")</f>
        <v>rúnabuzogány</v>
      </c>
    </row>
    <row r="4282" spans="1:4" ht="12.75" customHeight="1" x14ac:dyDescent="0.2">
      <c r="A4282" s="21"/>
      <c r="B4282" s="21"/>
      <c r="C4282" s="4" t="s">
        <v>44</v>
      </c>
      <c r="D4282" s="6" t="str">
        <f>HYPERLINK("javascript:void(0)","rúnanyél")</f>
        <v>rúnanyél</v>
      </c>
    </row>
    <row r="4283" spans="1:4" ht="12.75" customHeight="1" x14ac:dyDescent="0.2">
      <c r="A4283" s="5"/>
      <c r="B4283" s="2"/>
      <c r="C4283" s="2"/>
      <c r="D4283" s="2"/>
    </row>
    <row r="4284" spans="1:4" ht="12.75" customHeight="1" x14ac:dyDescent="0.2">
      <c r="A4284" s="22" t="str">
        <f>HYPERLINK("javascript:void(0)","csigaballaszt")</f>
        <v>csigaballaszt</v>
      </c>
      <c r="B4284" s="21"/>
      <c r="C4284" s="21"/>
      <c r="D4284" s="21"/>
    </row>
    <row r="4285" spans="1:4" ht="12.75" customHeight="1" x14ac:dyDescent="0.2">
      <c r="A4285" s="20"/>
      <c r="B4285" s="2"/>
      <c r="C4285" s="2"/>
      <c r="D4285" s="2"/>
    </row>
    <row r="4286" spans="1:4" ht="12.75" customHeight="1" x14ac:dyDescent="0.2">
      <c r="A4286" s="21"/>
      <c r="B4286" s="3" t="s">
        <v>0</v>
      </c>
      <c r="C4286" s="20" t="s">
        <v>253</v>
      </c>
      <c r="D4286" s="21"/>
    </row>
    <row r="4287" spans="1:4" ht="12.75" customHeight="1" x14ac:dyDescent="0.2">
      <c r="A4287" s="21"/>
      <c r="B4287" s="3" t="s">
        <v>2</v>
      </c>
      <c r="C4287" s="20" t="s">
        <v>122</v>
      </c>
      <c r="D4287" s="21"/>
    </row>
    <row r="4288" spans="1:4" ht="12.75" customHeight="1" x14ac:dyDescent="0.2">
      <c r="A4288" s="21"/>
      <c r="B4288" s="3" t="s">
        <v>4</v>
      </c>
      <c r="C4288" s="20" t="s">
        <v>1302</v>
      </c>
      <c r="D4288" s="21"/>
    </row>
    <row r="4289" spans="1:4" ht="12.75" customHeight="1" x14ac:dyDescent="0.2">
      <c r="A4289" s="21"/>
      <c r="B4289" s="3" t="s">
        <v>6</v>
      </c>
      <c r="C4289" s="20" t="s">
        <v>178</v>
      </c>
      <c r="D4289" s="21"/>
    </row>
    <row r="4290" spans="1:4" ht="12.75" customHeight="1" x14ac:dyDescent="0.2">
      <c r="A4290" s="21"/>
      <c r="B4290" s="3" t="s">
        <v>8</v>
      </c>
      <c r="C4290" s="20" t="s">
        <v>1302</v>
      </c>
      <c r="D4290" s="21"/>
    </row>
    <row r="4291" spans="1:4" ht="12.75" customHeight="1" x14ac:dyDescent="0.2">
      <c r="A4291" s="21"/>
      <c r="B4291" s="3" t="s">
        <v>9</v>
      </c>
      <c r="C4291" s="20" t="s">
        <v>1303</v>
      </c>
      <c r="D4291" s="21"/>
    </row>
    <row r="4292" spans="1:4" ht="12.75" customHeight="1" x14ac:dyDescent="0.2">
      <c r="A4292" s="21"/>
      <c r="B4292" s="3" t="s">
        <v>11</v>
      </c>
      <c r="C4292" s="20" t="s">
        <v>1125</v>
      </c>
      <c r="D4292" s="21"/>
    </row>
    <row r="4293" spans="1:4" ht="12.75" customHeight="1" x14ac:dyDescent="0.2">
      <c r="A4293" s="21"/>
      <c r="B4293" s="3" t="s">
        <v>13</v>
      </c>
      <c r="C4293" s="20" t="s">
        <v>24</v>
      </c>
      <c r="D4293" s="21"/>
    </row>
    <row r="4294" spans="1:4" ht="12.75" customHeight="1" x14ac:dyDescent="0.2">
      <c r="A4294" s="21"/>
      <c r="B4294" s="3" t="s">
        <v>15</v>
      </c>
      <c r="C4294" s="20" t="s">
        <v>24</v>
      </c>
      <c r="D4294" s="21"/>
    </row>
    <row r="4295" spans="1:4" ht="12.75" customHeight="1" x14ac:dyDescent="0.2">
      <c r="A4295" s="21"/>
      <c r="B4295" s="3" t="s">
        <v>16</v>
      </c>
      <c r="C4295" s="20"/>
      <c r="D4295" s="21"/>
    </row>
    <row r="4296" spans="1:4" ht="12.75" customHeight="1" x14ac:dyDescent="0.2">
      <c r="A4296" s="21"/>
      <c r="B4296" s="3" t="s">
        <v>17</v>
      </c>
      <c r="C4296" s="20"/>
      <c r="D4296" s="21"/>
    </row>
    <row r="4297" spans="1:4" ht="12.75" customHeight="1" x14ac:dyDescent="0.2">
      <c r="A4297" s="21"/>
      <c r="B4297" s="20" t="s">
        <v>18</v>
      </c>
      <c r="C4297" s="4" t="s">
        <v>327</v>
      </c>
      <c r="D4297" s="6" t="str">
        <f>HYPERLINK("javascript:void(0)","vitorla")</f>
        <v>vitorla</v>
      </c>
    </row>
    <row r="4298" spans="1:4" ht="12.75" customHeight="1" x14ac:dyDescent="0.2">
      <c r="A4298" s="21"/>
      <c r="B4298" s="21"/>
      <c r="C4298" s="4" t="s">
        <v>290</v>
      </c>
      <c r="D4298" s="6" t="str">
        <f>HYPERLINK("javascript:void(0)","csigaszem")</f>
        <v>csigaszem</v>
      </c>
    </row>
    <row r="4299" spans="1:4" ht="12.75" customHeight="1" x14ac:dyDescent="0.2">
      <c r="A4299" s="21"/>
      <c r="B4299" s="21"/>
      <c r="C4299" s="4" t="s">
        <v>139</v>
      </c>
      <c r="D4299" s="6" t="str">
        <f>HYPERLINK("javascript:void(0)","bajuszkötő")</f>
        <v>bajuszkötő</v>
      </c>
    </row>
    <row r="4300" spans="1:4" ht="12.75" customHeight="1" x14ac:dyDescent="0.2">
      <c r="A4300" s="5"/>
      <c r="B4300" s="2"/>
      <c r="C4300" s="2"/>
      <c r="D4300" s="2"/>
    </row>
    <row r="4301" spans="1:4" ht="12.75" customHeight="1" x14ac:dyDescent="0.2">
      <c r="A4301" s="22" t="str">
        <f>HYPERLINK("javascript:void(0)","gyíkacél torzító")</f>
        <v>gyíkacél torzító</v>
      </c>
      <c r="B4301" s="21"/>
      <c r="C4301" s="21"/>
      <c r="D4301" s="21"/>
    </row>
    <row r="4302" spans="1:4" ht="12.75" customHeight="1" x14ac:dyDescent="0.2">
      <c r="A4302" s="20"/>
      <c r="B4302" s="2"/>
      <c r="C4302" s="2"/>
      <c r="D4302" s="2"/>
    </row>
    <row r="4303" spans="1:4" ht="12.75" customHeight="1" x14ac:dyDescent="0.2">
      <c r="A4303" s="21"/>
      <c r="B4303" s="3" t="s">
        <v>0</v>
      </c>
      <c r="C4303" s="20" t="s">
        <v>253</v>
      </c>
      <c r="D4303" s="21"/>
    </row>
    <row r="4304" spans="1:4" ht="12.75" customHeight="1" x14ac:dyDescent="0.2">
      <c r="A4304" s="21"/>
      <c r="B4304" s="3" t="s">
        <v>2</v>
      </c>
      <c r="C4304" s="20" t="s">
        <v>122</v>
      </c>
      <c r="D4304" s="21"/>
    </row>
    <row r="4305" spans="1:4" ht="12.75" customHeight="1" x14ac:dyDescent="0.2">
      <c r="A4305" s="21"/>
      <c r="B4305" s="3" t="s">
        <v>4</v>
      </c>
      <c r="C4305" s="20" t="s">
        <v>1306</v>
      </c>
      <c r="D4305" s="21"/>
    </row>
    <row r="4306" spans="1:4" ht="12.75" customHeight="1" x14ac:dyDescent="0.2">
      <c r="A4306" s="21"/>
      <c r="B4306" s="3" t="s">
        <v>6</v>
      </c>
      <c r="C4306" s="20" t="s">
        <v>107</v>
      </c>
      <c r="D4306" s="21"/>
    </row>
    <row r="4307" spans="1:4" ht="12.75" customHeight="1" x14ac:dyDescent="0.2">
      <c r="A4307" s="21"/>
      <c r="B4307" s="3" t="s">
        <v>8</v>
      </c>
      <c r="C4307" s="20" t="s">
        <v>1306</v>
      </c>
      <c r="D4307" s="21"/>
    </row>
    <row r="4308" spans="1:4" ht="12.75" customHeight="1" x14ac:dyDescent="0.2">
      <c r="A4308" s="21"/>
      <c r="B4308" s="3" t="s">
        <v>9</v>
      </c>
      <c r="C4308" s="20" t="s">
        <v>1307</v>
      </c>
      <c r="D4308" s="21"/>
    </row>
    <row r="4309" spans="1:4" ht="12.75" customHeight="1" x14ac:dyDescent="0.2">
      <c r="A4309" s="21"/>
      <c r="B4309" s="3" t="s">
        <v>11</v>
      </c>
      <c r="C4309" s="20" t="s">
        <v>552</v>
      </c>
      <c r="D4309" s="21"/>
    </row>
    <row r="4310" spans="1:4" ht="12.75" customHeight="1" x14ac:dyDescent="0.2">
      <c r="A4310" s="21"/>
      <c r="B4310" s="3" t="s">
        <v>13</v>
      </c>
      <c r="C4310" s="20" t="s">
        <v>24</v>
      </c>
      <c r="D4310" s="21"/>
    </row>
    <row r="4311" spans="1:4" ht="12.75" customHeight="1" x14ac:dyDescent="0.2">
      <c r="A4311" s="21"/>
      <c r="B4311" s="3" t="s">
        <v>15</v>
      </c>
      <c r="C4311" s="20" t="s">
        <v>24</v>
      </c>
      <c r="D4311" s="21"/>
    </row>
    <row r="4312" spans="1:4" ht="12.75" customHeight="1" x14ac:dyDescent="0.2">
      <c r="A4312" s="21"/>
      <c r="B4312" s="3" t="s">
        <v>16</v>
      </c>
      <c r="C4312" s="20"/>
      <c r="D4312" s="21"/>
    </row>
    <row r="4313" spans="1:4" ht="12.75" customHeight="1" x14ac:dyDescent="0.2">
      <c r="A4313" s="21"/>
      <c r="B4313" s="3" t="s">
        <v>17</v>
      </c>
      <c r="C4313" s="20"/>
      <c r="D4313" s="21"/>
    </row>
    <row r="4314" spans="1:4" ht="12.75" customHeight="1" x14ac:dyDescent="0.2">
      <c r="A4314" s="21"/>
      <c r="B4314" s="20" t="s">
        <v>18</v>
      </c>
      <c r="C4314" s="4" t="s">
        <v>369</v>
      </c>
      <c r="D4314" s="6" t="str">
        <f>HYPERLINK("javascript:void(0)","gyémántkarika")</f>
        <v>gyémántkarika</v>
      </c>
    </row>
    <row r="4315" spans="1:4" ht="12.75" customHeight="1" x14ac:dyDescent="0.2">
      <c r="A4315" s="21"/>
      <c r="B4315" s="21"/>
      <c r="C4315" s="4" t="s">
        <v>280</v>
      </c>
      <c r="D4315" s="6" t="str">
        <f>HYPERLINK("javascript:void(0)","szent szimbólum")</f>
        <v>szent szimbólum</v>
      </c>
    </row>
    <row r="4316" spans="1:4" ht="12.75" customHeight="1" x14ac:dyDescent="0.2">
      <c r="A4316" s="21"/>
      <c r="B4316" s="21"/>
      <c r="C4316" s="4" t="s">
        <v>67</v>
      </c>
      <c r="D4316" s="6" t="str">
        <f>HYPERLINK("javascript:void(0)","csáphárító")</f>
        <v>csáphárító</v>
      </c>
    </row>
    <row r="4317" spans="1:4" ht="12.75" customHeight="1" x14ac:dyDescent="0.2">
      <c r="A4317" s="5"/>
      <c r="B4317" s="2"/>
      <c r="C4317" s="2"/>
      <c r="D4317" s="2"/>
    </row>
    <row r="4318" spans="1:4" ht="12.75" customHeight="1" x14ac:dyDescent="0.2">
      <c r="A4318" s="22" t="str">
        <f>HYPERLINK("javascript:void(0)","rúnanyél")</f>
        <v>rúnanyél</v>
      </c>
      <c r="B4318" s="21"/>
      <c r="C4318" s="21"/>
      <c r="D4318" s="21"/>
    </row>
    <row r="4319" spans="1:4" ht="12.75" customHeight="1" x14ac:dyDescent="0.2">
      <c r="A4319" s="20"/>
      <c r="B4319" s="2"/>
      <c r="C4319" s="2"/>
      <c r="D4319" s="2"/>
    </row>
    <row r="4320" spans="1:4" ht="12.75" customHeight="1" x14ac:dyDescent="0.2">
      <c r="A4320" s="21"/>
      <c r="B4320" s="3" t="s">
        <v>0</v>
      </c>
      <c r="C4320" s="20" t="s">
        <v>253</v>
      </c>
      <c r="D4320" s="21"/>
    </row>
    <row r="4321" spans="1:4" ht="12.75" customHeight="1" x14ac:dyDescent="0.2">
      <c r="A4321" s="21"/>
      <c r="B4321" s="3" t="s">
        <v>2</v>
      </c>
      <c r="C4321" s="20" t="s">
        <v>122</v>
      </c>
      <c r="D4321" s="21"/>
    </row>
    <row r="4322" spans="1:4" ht="12.75" customHeight="1" x14ac:dyDescent="0.2">
      <c r="A4322" s="21"/>
      <c r="B4322" s="3" t="s">
        <v>4</v>
      </c>
      <c r="C4322" s="20" t="s">
        <v>533</v>
      </c>
      <c r="D4322" s="21"/>
    </row>
    <row r="4323" spans="1:4" ht="12.75" customHeight="1" x14ac:dyDescent="0.2">
      <c r="A4323" s="21"/>
      <c r="B4323" s="3" t="s">
        <v>6</v>
      </c>
      <c r="C4323" s="20" t="s">
        <v>21</v>
      </c>
      <c r="D4323" s="21"/>
    </row>
    <row r="4324" spans="1:4" ht="12.75" customHeight="1" x14ac:dyDescent="0.2">
      <c r="A4324" s="21"/>
      <c r="B4324" s="3" t="s">
        <v>8</v>
      </c>
      <c r="C4324" s="20" t="s">
        <v>533</v>
      </c>
      <c r="D4324" s="21"/>
    </row>
    <row r="4325" spans="1:4" ht="12.75" customHeight="1" x14ac:dyDescent="0.2">
      <c r="A4325" s="21"/>
      <c r="B4325" s="3" t="s">
        <v>9</v>
      </c>
      <c r="C4325" s="20" t="s">
        <v>42</v>
      </c>
      <c r="D4325" s="21"/>
    </row>
    <row r="4326" spans="1:4" ht="12.75" customHeight="1" x14ac:dyDescent="0.2">
      <c r="A4326" s="21"/>
      <c r="B4326" s="3" t="s">
        <v>11</v>
      </c>
      <c r="C4326" s="20" t="s">
        <v>754</v>
      </c>
      <c r="D4326" s="21"/>
    </row>
    <row r="4327" spans="1:4" ht="12.75" customHeight="1" x14ac:dyDescent="0.2">
      <c r="A4327" s="21"/>
      <c r="B4327" s="3" t="s">
        <v>13</v>
      </c>
      <c r="C4327" s="20" t="s">
        <v>24</v>
      </c>
      <c r="D4327" s="21"/>
    </row>
    <row r="4328" spans="1:4" ht="12.75" customHeight="1" x14ac:dyDescent="0.2">
      <c r="A4328" s="21"/>
      <c r="B4328" s="3" t="s">
        <v>15</v>
      </c>
      <c r="C4328" s="20" t="s">
        <v>24</v>
      </c>
      <c r="D4328" s="21"/>
    </row>
    <row r="4329" spans="1:4" ht="12.75" customHeight="1" x14ac:dyDescent="0.2">
      <c r="A4329" s="21"/>
      <c r="B4329" s="3" t="s">
        <v>16</v>
      </c>
      <c r="C4329" s="20"/>
      <c r="D4329" s="21"/>
    </row>
    <row r="4330" spans="1:4" ht="12.75" customHeight="1" x14ac:dyDescent="0.2">
      <c r="A4330" s="21"/>
      <c r="B4330" s="3" t="s">
        <v>17</v>
      </c>
      <c r="C4330" s="20"/>
      <c r="D4330" s="21"/>
    </row>
    <row r="4331" spans="1:4" ht="12.75" customHeight="1" x14ac:dyDescent="0.2">
      <c r="A4331" s="21"/>
      <c r="B4331" s="20" t="s">
        <v>18</v>
      </c>
      <c r="C4331" s="4" t="s">
        <v>369</v>
      </c>
      <c r="D4331" s="6" t="str">
        <f>HYPERLINK("javascript:void(0)","rúna")</f>
        <v>rúna</v>
      </c>
    </row>
    <row r="4332" spans="1:4" ht="12.75" customHeight="1" x14ac:dyDescent="0.2">
      <c r="A4332" s="21"/>
      <c r="B4332" s="21"/>
      <c r="C4332" s="4" t="s">
        <v>68</v>
      </c>
      <c r="D4332" s="6" t="str">
        <f>HYPERLINK("javascript:void(0)","vitorla")</f>
        <v>vitorla</v>
      </c>
    </row>
    <row r="4333" spans="1:4" ht="12.75" customHeight="1" x14ac:dyDescent="0.2">
      <c r="A4333" s="21"/>
      <c r="B4333" s="21"/>
      <c r="C4333" s="4" t="s">
        <v>244</v>
      </c>
      <c r="D4333" s="6" t="str">
        <f>HYPERLINK("javascript:void(0)","nagylemez")</f>
        <v>nagylemez</v>
      </c>
    </row>
    <row r="4334" spans="1:4" ht="12.75" customHeight="1" x14ac:dyDescent="0.2">
      <c r="A4334" s="5"/>
      <c r="B4334" s="2"/>
      <c r="C4334" s="2"/>
      <c r="D4334" s="2"/>
    </row>
    <row r="4335" spans="1:4" ht="12.75" customHeight="1" x14ac:dyDescent="0.2">
      <c r="A4335" s="22" t="str">
        <f>HYPERLINK("javascript:void(0)","sejtelembuzogány")</f>
        <v>sejtelembuzogány</v>
      </c>
      <c r="B4335" s="21"/>
      <c r="C4335" s="21"/>
      <c r="D4335" s="21"/>
    </row>
    <row r="4336" spans="1:4" ht="12.75" customHeight="1" x14ac:dyDescent="0.2">
      <c r="A4336" s="20"/>
      <c r="B4336" s="2"/>
      <c r="C4336" s="2"/>
      <c r="D4336" s="2"/>
    </row>
    <row r="4337" spans="1:4" ht="12.75" customHeight="1" x14ac:dyDescent="0.2">
      <c r="A4337" s="21"/>
      <c r="B4337" s="3" t="s">
        <v>0</v>
      </c>
      <c r="C4337" s="20" t="s">
        <v>773</v>
      </c>
      <c r="D4337" s="21"/>
    </row>
    <row r="4338" spans="1:4" ht="12.75" customHeight="1" x14ac:dyDescent="0.2">
      <c r="A4338" s="21"/>
      <c r="B4338" s="3" t="s">
        <v>2</v>
      </c>
      <c r="C4338" s="20" t="s">
        <v>122</v>
      </c>
      <c r="D4338" s="21"/>
    </row>
    <row r="4339" spans="1:4" ht="12.75" customHeight="1" x14ac:dyDescent="0.2">
      <c r="A4339" s="21"/>
      <c r="B4339" s="3" t="s">
        <v>4</v>
      </c>
      <c r="C4339" s="20" t="s">
        <v>1313</v>
      </c>
      <c r="D4339" s="21"/>
    </row>
    <row r="4340" spans="1:4" ht="12.75" customHeight="1" x14ac:dyDescent="0.2">
      <c r="A4340" s="21"/>
      <c r="B4340" s="3" t="s">
        <v>6</v>
      </c>
      <c r="C4340" s="20" t="s">
        <v>52</v>
      </c>
      <c r="D4340" s="21"/>
    </row>
    <row r="4341" spans="1:4" ht="12.75" customHeight="1" x14ac:dyDescent="0.2">
      <c r="A4341" s="21"/>
      <c r="B4341" s="3" t="s">
        <v>8</v>
      </c>
      <c r="C4341" s="20" t="s">
        <v>1313</v>
      </c>
      <c r="D4341" s="21"/>
    </row>
    <row r="4342" spans="1:4" ht="12.75" customHeight="1" x14ac:dyDescent="0.2">
      <c r="A4342" s="21"/>
      <c r="B4342" s="3" t="s">
        <v>9</v>
      </c>
      <c r="C4342" s="20" t="s">
        <v>30</v>
      </c>
      <c r="D4342" s="21"/>
    </row>
    <row r="4343" spans="1:4" ht="12.75" customHeight="1" x14ac:dyDescent="0.2">
      <c r="A4343" s="21"/>
      <c r="B4343" s="3" t="s">
        <v>11</v>
      </c>
      <c r="C4343" s="20" t="s">
        <v>785</v>
      </c>
      <c r="D4343" s="21"/>
    </row>
    <row r="4344" spans="1:4" ht="12.75" customHeight="1" x14ac:dyDescent="0.2">
      <c r="A4344" s="21"/>
      <c r="B4344" s="3" t="s">
        <v>13</v>
      </c>
      <c r="C4344" s="20" t="s">
        <v>24</v>
      </c>
      <c r="D4344" s="21"/>
    </row>
    <row r="4345" spans="1:4" ht="12.75" customHeight="1" x14ac:dyDescent="0.2">
      <c r="A4345" s="21"/>
      <c r="B4345" s="3" t="s">
        <v>15</v>
      </c>
      <c r="C4345" s="20" t="s">
        <v>24</v>
      </c>
      <c r="D4345" s="21"/>
    </row>
    <row r="4346" spans="1:4" ht="12.75" customHeight="1" x14ac:dyDescent="0.2">
      <c r="A4346" s="21"/>
      <c r="B4346" s="3" t="s">
        <v>16</v>
      </c>
      <c r="C4346" s="20"/>
      <c r="D4346" s="21"/>
    </row>
    <row r="4347" spans="1:4" ht="12.75" customHeight="1" x14ac:dyDescent="0.2">
      <c r="A4347" s="21"/>
      <c r="B4347" s="3" t="s">
        <v>17</v>
      </c>
      <c r="C4347" s="20"/>
      <c r="D4347" s="21"/>
    </row>
    <row r="4348" spans="1:4" ht="12.75" customHeight="1" x14ac:dyDescent="0.2">
      <c r="A4348" s="21"/>
      <c r="B4348" s="20" t="s">
        <v>18</v>
      </c>
      <c r="C4348" s="4" t="s">
        <v>44</v>
      </c>
      <c r="D4348" s="6" t="str">
        <f>HYPERLINK("javascript:void(0)","rúnapöröly")</f>
        <v>rúnapöröly</v>
      </c>
    </row>
    <row r="4349" spans="1:4" ht="12.75" customHeight="1" x14ac:dyDescent="0.2">
      <c r="A4349" s="21"/>
      <c r="B4349" s="21"/>
      <c r="C4349" s="4" t="s">
        <v>56</v>
      </c>
      <c r="D4349" s="6" t="str">
        <f>HYPERLINK("javascript:void(0)","lexikon")</f>
        <v>lexikon</v>
      </c>
    </row>
    <row r="4350" spans="1:4" ht="12.75" customHeight="1" x14ac:dyDescent="0.2">
      <c r="A4350" s="21"/>
      <c r="B4350" s="21"/>
      <c r="C4350" s="4" t="s">
        <v>117</v>
      </c>
      <c r="D4350" s="6" t="str">
        <f>HYPERLINK("javascript:void(0)","szabo-penge")</f>
        <v>szabo-penge</v>
      </c>
    </row>
    <row r="4351" spans="1:4" ht="12.75" customHeight="1" x14ac:dyDescent="0.2">
      <c r="A4351" s="5"/>
      <c r="B4351" s="2"/>
      <c r="C4351" s="2"/>
      <c r="D4351" s="2"/>
    </row>
    <row r="4352" spans="1:4" ht="12.75" customHeight="1" x14ac:dyDescent="0.2">
      <c r="A4352" s="22" t="str">
        <f>HYPERLINK("javascript:void(0)","wattás mágusölő")</f>
        <v>wattás mágusölő</v>
      </c>
      <c r="B4352" s="21"/>
      <c r="C4352" s="21"/>
      <c r="D4352" s="21"/>
    </row>
    <row r="4353" spans="1:4" ht="12.75" customHeight="1" x14ac:dyDescent="0.2">
      <c r="A4353" s="20"/>
      <c r="B4353" s="2"/>
      <c r="C4353" s="2"/>
      <c r="D4353" s="2"/>
    </row>
    <row r="4354" spans="1:4" ht="12.75" customHeight="1" x14ac:dyDescent="0.2">
      <c r="A4354" s="21"/>
      <c r="B4354" s="3" t="s">
        <v>0</v>
      </c>
      <c r="C4354" s="20" t="s">
        <v>773</v>
      </c>
      <c r="D4354" s="21"/>
    </row>
    <row r="4355" spans="1:4" ht="12.75" customHeight="1" x14ac:dyDescent="0.2">
      <c r="A4355" s="21"/>
      <c r="B4355" s="3" t="s">
        <v>2</v>
      </c>
      <c r="C4355" s="20" t="s">
        <v>122</v>
      </c>
      <c r="D4355" s="21"/>
    </row>
    <row r="4356" spans="1:4" ht="12.75" customHeight="1" x14ac:dyDescent="0.2">
      <c r="A4356" s="21"/>
      <c r="B4356" s="3" t="s">
        <v>4</v>
      </c>
      <c r="C4356" s="20" t="s">
        <v>1316</v>
      </c>
      <c r="D4356" s="21"/>
    </row>
    <row r="4357" spans="1:4" ht="12.75" customHeight="1" x14ac:dyDescent="0.2">
      <c r="A4357" s="21"/>
      <c r="B4357" s="3" t="s">
        <v>6</v>
      </c>
      <c r="C4357" s="20" t="s">
        <v>48</v>
      </c>
      <c r="D4357" s="21"/>
    </row>
    <row r="4358" spans="1:4" ht="12.75" customHeight="1" x14ac:dyDescent="0.2">
      <c r="A4358" s="21"/>
      <c r="B4358" s="3" t="s">
        <v>8</v>
      </c>
      <c r="C4358" s="20" t="s">
        <v>1316</v>
      </c>
      <c r="D4358" s="21"/>
    </row>
    <row r="4359" spans="1:4" ht="12.75" customHeight="1" x14ac:dyDescent="0.2">
      <c r="A4359" s="21"/>
      <c r="B4359" s="3" t="s">
        <v>9</v>
      </c>
      <c r="C4359" s="20" t="s">
        <v>1317</v>
      </c>
      <c r="D4359" s="21"/>
    </row>
    <row r="4360" spans="1:4" ht="12.75" customHeight="1" x14ac:dyDescent="0.2">
      <c r="A4360" s="21"/>
      <c r="B4360" s="3" t="s">
        <v>11</v>
      </c>
      <c r="C4360" s="20" t="s">
        <v>1035</v>
      </c>
      <c r="D4360" s="21"/>
    </row>
    <row r="4361" spans="1:4" ht="12.75" customHeight="1" x14ac:dyDescent="0.2">
      <c r="A4361" s="21"/>
      <c r="B4361" s="3" t="s">
        <v>13</v>
      </c>
      <c r="C4361" s="20" t="s">
        <v>14</v>
      </c>
      <c r="D4361" s="21"/>
    </row>
    <row r="4362" spans="1:4" ht="12.75" customHeight="1" x14ac:dyDescent="0.2">
      <c r="A4362" s="21"/>
      <c r="B4362" s="3" t="s">
        <v>15</v>
      </c>
      <c r="C4362" s="20" t="s">
        <v>24</v>
      </c>
      <c r="D4362" s="21"/>
    </row>
    <row r="4363" spans="1:4" ht="12.75" customHeight="1" x14ac:dyDescent="0.2">
      <c r="A4363" s="21"/>
      <c r="B4363" s="3" t="s">
        <v>16</v>
      </c>
      <c r="C4363" s="20"/>
      <c r="D4363" s="21"/>
    </row>
    <row r="4364" spans="1:4" ht="12.75" customHeight="1" x14ac:dyDescent="0.2">
      <c r="A4364" s="21"/>
      <c r="B4364" s="3" t="s">
        <v>17</v>
      </c>
      <c r="C4364" s="20"/>
      <c r="D4364" s="21"/>
    </row>
    <row r="4365" spans="1:4" ht="12.75" customHeight="1" x14ac:dyDescent="0.2">
      <c r="A4365" s="21"/>
      <c r="B4365" s="20" t="s">
        <v>18</v>
      </c>
      <c r="C4365" s="4" t="s">
        <v>117</v>
      </c>
      <c r="D4365" s="6" t="str">
        <f>HYPERLINK("javascript:void(0)","hőgolyó")</f>
        <v>hőgolyó</v>
      </c>
    </row>
    <row r="4366" spans="1:4" ht="12.75" customHeight="1" x14ac:dyDescent="0.2">
      <c r="A4366" s="21"/>
      <c r="B4366" s="21"/>
      <c r="C4366" s="4" t="s">
        <v>67</v>
      </c>
      <c r="D4366" s="6" t="str">
        <f>HYPERLINK("javascript:void(0)","wattacsomó")</f>
        <v>wattacsomó</v>
      </c>
    </row>
    <row r="4367" spans="1:4" ht="12.75" customHeight="1" x14ac:dyDescent="0.2">
      <c r="A4367" s="21"/>
      <c r="B4367" s="21"/>
      <c r="C4367" s="4" t="s">
        <v>163</v>
      </c>
      <c r="D4367" s="6" t="str">
        <f>HYPERLINK("javascript:void(0)","serte")</f>
        <v>serte</v>
      </c>
    </row>
    <row r="4368" spans="1:4" ht="12.75" customHeight="1" x14ac:dyDescent="0.2">
      <c r="A4368" s="5"/>
      <c r="B4368" s="2"/>
      <c r="C4368" s="2"/>
      <c r="D4368" s="2"/>
    </row>
    <row r="4369" spans="1:4" ht="12.75" customHeight="1" x14ac:dyDescent="0.2">
      <c r="A4369" s="22" t="str">
        <f>HYPERLINK("javascript:void(0)","szellembuzogány")</f>
        <v>szellembuzogány</v>
      </c>
      <c r="B4369" s="21"/>
      <c r="C4369" s="21"/>
      <c r="D4369" s="21"/>
    </row>
    <row r="4370" spans="1:4" ht="12.75" customHeight="1" x14ac:dyDescent="0.2">
      <c r="A4370" s="20"/>
      <c r="B4370" s="2"/>
      <c r="C4370" s="2"/>
      <c r="D4370" s="2"/>
    </row>
    <row r="4371" spans="1:4" ht="12.75" customHeight="1" x14ac:dyDescent="0.2">
      <c r="A4371" s="21"/>
      <c r="B4371" s="3" t="s">
        <v>0</v>
      </c>
      <c r="C4371" s="20" t="s">
        <v>776</v>
      </c>
      <c r="D4371" s="21"/>
    </row>
    <row r="4372" spans="1:4" ht="12.75" customHeight="1" x14ac:dyDescent="0.2">
      <c r="A4372" s="21"/>
      <c r="B4372" s="3" t="s">
        <v>2</v>
      </c>
      <c r="C4372" s="20" t="s">
        <v>122</v>
      </c>
      <c r="D4372" s="21"/>
    </row>
    <row r="4373" spans="1:4" ht="12.75" customHeight="1" x14ac:dyDescent="0.2">
      <c r="A4373" s="21"/>
      <c r="B4373" s="3" t="s">
        <v>4</v>
      </c>
      <c r="C4373" s="20" t="s">
        <v>1320</v>
      </c>
      <c r="D4373" s="21"/>
    </row>
    <row r="4374" spans="1:4" ht="12.75" customHeight="1" x14ac:dyDescent="0.2">
      <c r="A4374" s="21"/>
      <c r="B4374" s="3" t="s">
        <v>6</v>
      </c>
      <c r="C4374" s="20" t="s">
        <v>353</v>
      </c>
      <c r="D4374" s="21"/>
    </row>
    <row r="4375" spans="1:4" ht="12.75" customHeight="1" x14ac:dyDescent="0.2">
      <c r="A4375" s="21"/>
      <c r="B4375" s="3" t="s">
        <v>8</v>
      </c>
      <c r="C4375" s="20" t="s">
        <v>1320</v>
      </c>
      <c r="D4375" s="21"/>
    </row>
    <row r="4376" spans="1:4" ht="12.75" customHeight="1" x14ac:dyDescent="0.2">
      <c r="A4376" s="21"/>
      <c r="B4376" s="3" t="s">
        <v>9</v>
      </c>
      <c r="C4376" s="20" t="s">
        <v>1321</v>
      </c>
      <c r="D4376" s="21"/>
    </row>
    <row r="4377" spans="1:4" ht="12.75" customHeight="1" x14ac:dyDescent="0.2">
      <c r="A4377" s="21"/>
      <c r="B4377" s="3" t="s">
        <v>11</v>
      </c>
      <c r="C4377" s="20" t="s">
        <v>793</v>
      </c>
      <c r="D4377" s="21"/>
    </row>
    <row r="4378" spans="1:4" ht="12.75" customHeight="1" x14ac:dyDescent="0.2">
      <c r="A4378" s="21"/>
      <c r="B4378" s="3" t="s">
        <v>13</v>
      </c>
      <c r="C4378" s="20" t="s">
        <v>24</v>
      </c>
      <c r="D4378" s="21"/>
    </row>
    <row r="4379" spans="1:4" ht="12.75" customHeight="1" x14ac:dyDescent="0.2">
      <c r="A4379" s="21"/>
      <c r="B4379" s="3" t="s">
        <v>15</v>
      </c>
      <c r="C4379" s="20" t="s">
        <v>24</v>
      </c>
      <c r="D4379" s="21"/>
    </row>
    <row r="4380" spans="1:4" ht="12.75" customHeight="1" x14ac:dyDescent="0.2">
      <c r="A4380" s="21"/>
      <c r="B4380" s="3" t="s">
        <v>16</v>
      </c>
      <c r="C4380" s="20"/>
      <c r="D4380" s="21"/>
    </row>
    <row r="4381" spans="1:4" ht="12.75" customHeight="1" x14ac:dyDescent="0.2">
      <c r="A4381" s="21"/>
      <c r="B4381" s="3" t="s">
        <v>17</v>
      </c>
      <c r="C4381" s="20"/>
      <c r="D4381" s="21"/>
    </row>
    <row r="4382" spans="1:4" ht="12.75" customHeight="1" x14ac:dyDescent="0.2">
      <c r="A4382" s="21"/>
      <c r="B4382" s="20" t="s">
        <v>18</v>
      </c>
      <c r="C4382" s="4" t="s">
        <v>56</v>
      </c>
      <c r="D4382" s="6" t="str">
        <f>HYPERLINK("javascript:void(0)","sárkányzsák")</f>
        <v>sárkányzsák</v>
      </c>
    </row>
    <row r="4383" spans="1:4" ht="12.75" customHeight="1" x14ac:dyDescent="0.2">
      <c r="A4383" s="21"/>
      <c r="B4383" s="21"/>
      <c r="C4383" s="4" t="s">
        <v>193</v>
      </c>
      <c r="D4383" s="6" t="str">
        <f>HYPERLINK("javascript:void(0)","csigaszem")</f>
        <v>csigaszem</v>
      </c>
    </row>
    <row r="4384" spans="1:4" ht="12.75" customHeight="1" x14ac:dyDescent="0.2">
      <c r="A4384" s="21"/>
      <c r="B4384" s="21"/>
      <c r="C4384" s="4" t="s">
        <v>756</v>
      </c>
      <c r="D4384" s="6" t="str">
        <f>HYPERLINK("javascript:void(0)","orr")</f>
        <v>orr</v>
      </c>
    </row>
    <row r="4385" spans="1:4" ht="12.75" customHeight="1" x14ac:dyDescent="0.2">
      <c r="A4385" s="5"/>
      <c r="B4385" s="2"/>
      <c r="C4385" s="2"/>
      <c r="D4385" s="2"/>
    </row>
    <row r="4386" spans="1:4" ht="12.75" customHeight="1" x14ac:dyDescent="0.2">
      <c r="A4386" s="22" t="str">
        <f>HYPERLINK("javascript:void(0)","hörcsögfog gigaballaszt")</f>
        <v>hörcsögfog gigaballaszt</v>
      </c>
      <c r="B4386" s="21"/>
      <c r="C4386" s="21"/>
      <c r="D4386" s="21"/>
    </row>
    <row r="4387" spans="1:4" ht="12.75" customHeight="1" x14ac:dyDescent="0.2">
      <c r="A4387" s="20"/>
      <c r="B4387" s="2"/>
      <c r="C4387" s="2"/>
      <c r="D4387" s="2"/>
    </row>
    <row r="4388" spans="1:4" ht="12.75" customHeight="1" x14ac:dyDescent="0.2">
      <c r="A4388" s="21"/>
      <c r="B4388" s="3" t="s">
        <v>0</v>
      </c>
      <c r="C4388" s="20" t="s">
        <v>776</v>
      </c>
      <c r="D4388" s="21"/>
    </row>
    <row r="4389" spans="1:4" ht="12.75" customHeight="1" x14ac:dyDescent="0.2">
      <c r="A4389" s="21"/>
      <c r="B4389" s="3" t="s">
        <v>2</v>
      </c>
      <c r="C4389" s="20" t="s">
        <v>122</v>
      </c>
      <c r="D4389" s="21"/>
    </row>
    <row r="4390" spans="1:4" ht="12.75" customHeight="1" x14ac:dyDescent="0.2">
      <c r="A4390" s="21"/>
      <c r="B4390" s="3" t="s">
        <v>4</v>
      </c>
      <c r="C4390" s="20" t="s">
        <v>1326</v>
      </c>
      <c r="D4390" s="21"/>
    </row>
    <row r="4391" spans="1:4" ht="12.75" customHeight="1" x14ac:dyDescent="0.2">
      <c r="A4391" s="21"/>
      <c r="B4391" s="3" t="s">
        <v>6</v>
      </c>
      <c r="C4391" s="20" t="s">
        <v>260</v>
      </c>
      <c r="D4391" s="21"/>
    </row>
    <row r="4392" spans="1:4" ht="12.75" customHeight="1" x14ac:dyDescent="0.2">
      <c r="A4392" s="21"/>
      <c r="B4392" s="3" t="s">
        <v>8</v>
      </c>
      <c r="C4392" s="20" t="s">
        <v>1326</v>
      </c>
      <c r="D4392" s="21"/>
    </row>
    <row r="4393" spans="1:4" ht="12.75" customHeight="1" x14ac:dyDescent="0.2">
      <c r="A4393" s="21"/>
      <c r="B4393" s="3" t="s">
        <v>9</v>
      </c>
      <c r="C4393" s="20" t="s">
        <v>1327</v>
      </c>
      <c r="D4393" s="21"/>
    </row>
    <row r="4394" spans="1:4" ht="12.75" customHeight="1" x14ac:dyDescent="0.2">
      <c r="A4394" s="21"/>
      <c r="B4394" s="3" t="s">
        <v>11</v>
      </c>
      <c r="C4394" s="20" t="s">
        <v>1159</v>
      </c>
      <c r="D4394" s="21"/>
    </row>
    <row r="4395" spans="1:4" ht="12.75" customHeight="1" x14ac:dyDescent="0.2">
      <c r="A4395" s="21"/>
      <c r="B4395" s="3" t="s">
        <v>13</v>
      </c>
      <c r="C4395" s="20" t="s">
        <v>24</v>
      </c>
      <c r="D4395" s="21"/>
    </row>
    <row r="4396" spans="1:4" ht="12.75" customHeight="1" x14ac:dyDescent="0.2">
      <c r="A4396" s="21"/>
      <c r="B4396" s="3" t="s">
        <v>15</v>
      </c>
      <c r="C4396" s="20" t="s">
        <v>24</v>
      </c>
      <c r="D4396" s="21"/>
    </row>
    <row r="4397" spans="1:4" ht="12.75" customHeight="1" x14ac:dyDescent="0.2">
      <c r="A4397" s="21"/>
      <c r="B4397" s="3" t="s">
        <v>16</v>
      </c>
      <c r="C4397" s="20"/>
      <c r="D4397" s="21"/>
    </row>
    <row r="4398" spans="1:4" ht="12.75" customHeight="1" x14ac:dyDescent="0.2">
      <c r="A4398" s="21"/>
      <c r="B4398" s="3" t="s">
        <v>17</v>
      </c>
      <c r="C4398" s="20"/>
      <c r="D4398" s="21"/>
    </row>
    <row r="4399" spans="1:4" ht="12.75" customHeight="1" x14ac:dyDescent="0.2">
      <c r="A4399" s="21"/>
      <c r="B4399" s="20" t="s">
        <v>18</v>
      </c>
      <c r="C4399" s="4" t="s">
        <v>280</v>
      </c>
      <c r="D4399" s="6" t="str">
        <f>HYPERLINK("javascript:void(0)","vitorla")</f>
        <v>vitorla</v>
      </c>
    </row>
    <row r="4400" spans="1:4" ht="12.75" customHeight="1" x14ac:dyDescent="0.2">
      <c r="A4400" s="21"/>
      <c r="B4400" s="21"/>
      <c r="C4400" s="4" t="s">
        <v>382</v>
      </c>
      <c r="D4400" s="6" t="str">
        <f>HYPERLINK("javascript:void(0)","hörcsögagyar")</f>
        <v>hörcsögagyar</v>
      </c>
    </row>
    <row r="4401" spans="1:4" ht="12.75" customHeight="1" x14ac:dyDescent="0.2">
      <c r="A4401" s="21"/>
      <c r="B4401" s="21"/>
      <c r="C4401" s="4" t="s">
        <v>193</v>
      </c>
      <c r="D4401" s="6" t="str">
        <f>HYPERLINK("javascript:void(0)","ördögpihe")</f>
        <v>ördögpihe</v>
      </c>
    </row>
    <row r="4402" spans="1:4" ht="12.75" customHeight="1" x14ac:dyDescent="0.2">
      <c r="A4402" s="5"/>
      <c r="B4402" s="2"/>
      <c r="C4402" s="2"/>
      <c r="D4402" s="2"/>
    </row>
    <row r="4403" spans="1:4" ht="12.75" customHeight="1" x14ac:dyDescent="0.2">
      <c r="A4403" s="22" t="str">
        <f>HYPERLINK("javascript:void(0)","gyíkacél rémintő")</f>
        <v>gyíkacél rémintő</v>
      </c>
      <c r="B4403" s="21"/>
      <c r="C4403" s="21"/>
      <c r="D4403" s="21"/>
    </row>
    <row r="4404" spans="1:4" ht="12.75" customHeight="1" x14ac:dyDescent="0.2">
      <c r="A4404" s="20"/>
      <c r="B4404" s="2"/>
      <c r="C4404" s="2"/>
      <c r="D4404" s="2"/>
    </row>
    <row r="4405" spans="1:4" ht="12.75" customHeight="1" x14ac:dyDescent="0.2">
      <c r="A4405" s="21"/>
      <c r="B4405" s="3" t="s">
        <v>0</v>
      </c>
      <c r="C4405" s="20" t="s">
        <v>776</v>
      </c>
      <c r="D4405" s="21"/>
    </row>
    <row r="4406" spans="1:4" ht="12.75" customHeight="1" x14ac:dyDescent="0.2">
      <c r="A4406" s="21"/>
      <c r="B4406" s="3" t="s">
        <v>2</v>
      </c>
      <c r="C4406" s="20" t="s">
        <v>122</v>
      </c>
      <c r="D4406" s="21"/>
    </row>
    <row r="4407" spans="1:4" ht="12.75" customHeight="1" x14ac:dyDescent="0.2">
      <c r="A4407" s="21"/>
      <c r="B4407" s="3" t="s">
        <v>4</v>
      </c>
      <c r="C4407" s="20" t="s">
        <v>1330</v>
      </c>
      <c r="D4407" s="21"/>
    </row>
    <row r="4408" spans="1:4" ht="12.75" customHeight="1" x14ac:dyDescent="0.2">
      <c r="A4408" s="21"/>
      <c r="B4408" s="3" t="s">
        <v>6</v>
      </c>
      <c r="C4408" s="20" t="s">
        <v>107</v>
      </c>
      <c r="D4408" s="21"/>
    </row>
    <row r="4409" spans="1:4" ht="12.75" customHeight="1" x14ac:dyDescent="0.2">
      <c r="A4409" s="21"/>
      <c r="B4409" s="3" t="s">
        <v>8</v>
      </c>
      <c r="C4409" s="20" t="s">
        <v>1330</v>
      </c>
      <c r="D4409" s="21"/>
    </row>
    <row r="4410" spans="1:4" ht="12.75" customHeight="1" x14ac:dyDescent="0.2">
      <c r="A4410" s="21"/>
      <c r="B4410" s="3" t="s">
        <v>9</v>
      </c>
      <c r="C4410" s="20" t="s">
        <v>1331</v>
      </c>
      <c r="D4410" s="21"/>
    </row>
    <row r="4411" spans="1:4" ht="12.75" customHeight="1" x14ac:dyDescent="0.2">
      <c r="A4411" s="21"/>
      <c r="B4411" s="3" t="s">
        <v>11</v>
      </c>
      <c r="C4411" s="20" t="s">
        <v>566</v>
      </c>
      <c r="D4411" s="21"/>
    </row>
    <row r="4412" spans="1:4" ht="12.75" customHeight="1" x14ac:dyDescent="0.2">
      <c r="A4412" s="21"/>
      <c r="B4412" s="3" t="s">
        <v>13</v>
      </c>
      <c r="C4412" s="20" t="s">
        <v>24</v>
      </c>
      <c r="D4412" s="21"/>
    </row>
    <row r="4413" spans="1:4" ht="12.75" customHeight="1" x14ac:dyDescent="0.2">
      <c r="A4413" s="21"/>
      <c r="B4413" s="3" t="s">
        <v>15</v>
      </c>
      <c r="C4413" s="20" t="s">
        <v>24</v>
      </c>
      <c r="D4413" s="21"/>
    </row>
    <row r="4414" spans="1:4" ht="12.75" customHeight="1" x14ac:dyDescent="0.2">
      <c r="A4414" s="21"/>
      <c r="B4414" s="3" t="s">
        <v>16</v>
      </c>
      <c r="C4414" s="20"/>
      <c r="D4414" s="21"/>
    </row>
    <row r="4415" spans="1:4" ht="12.75" customHeight="1" x14ac:dyDescent="0.2">
      <c r="A4415" s="21"/>
      <c r="B4415" s="3" t="s">
        <v>17</v>
      </c>
      <c r="C4415" s="20"/>
      <c r="D4415" s="21"/>
    </row>
    <row r="4416" spans="1:4" ht="12.75" customHeight="1" x14ac:dyDescent="0.2">
      <c r="A4416" s="21"/>
      <c r="B4416" s="20" t="s">
        <v>18</v>
      </c>
      <c r="C4416" s="4" t="s">
        <v>1085</v>
      </c>
      <c r="D4416" s="6" t="str">
        <f>HYPERLINK("javascript:void(0)","aranyzsanér")</f>
        <v>aranyzsanér</v>
      </c>
    </row>
    <row r="4417" spans="1:4" ht="12.75" customHeight="1" x14ac:dyDescent="0.2">
      <c r="A4417" s="21"/>
      <c r="B4417" s="21"/>
      <c r="C4417" s="4" t="s">
        <v>271</v>
      </c>
      <c r="D4417" s="6" t="str">
        <f>HYPERLINK("javascript:void(0)","légzsák")</f>
        <v>légzsák</v>
      </c>
    </row>
    <row r="4418" spans="1:4" ht="12.75" customHeight="1" x14ac:dyDescent="0.2">
      <c r="A4418" s="21"/>
      <c r="B4418" s="21"/>
      <c r="C4418" s="4" t="s">
        <v>67</v>
      </c>
      <c r="D4418" s="6" t="str">
        <f>HYPERLINK("javascript:void(0)","rémszem")</f>
        <v>rémszem</v>
      </c>
    </row>
    <row r="4419" spans="1:4" ht="12.75" customHeight="1" x14ac:dyDescent="0.2">
      <c r="A4419" s="5"/>
      <c r="B4419" s="2"/>
      <c r="C4419" s="2"/>
      <c r="D4419" s="2"/>
    </row>
    <row r="4420" spans="1:4" ht="12.75" customHeight="1" x14ac:dyDescent="0.2">
      <c r="A4420" s="22" t="str">
        <f>HYPERLINK("javascript:void(0)","sejthegy")</f>
        <v>sejthegy</v>
      </c>
      <c r="B4420" s="21"/>
      <c r="C4420" s="21"/>
      <c r="D4420" s="21"/>
    </row>
    <row r="4421" spans="1:4" ht="12.75" customHeight="1" x14ac:dyDescent="0.2">
      <c r="A4421" s="20"/>
      <c r="B4421" s="2"/>
      <c r="C4421" s="2"/>
      <c r="D4421" s="2"/>
    </row>
    <row r="4422" spans="1:4" ht="12.75" customHeight="1" x14ac:dyDescent="0.2">
      <c r="A4422" s="21"/>
      <c r="B4422" s="3" t="s">
        <v>0</v>
      </c>
      <c r="C4422" s="20" t="s">
        <v>776</v>
      </c>
      <c r="D4422" s="21"/>
    </row>
    <row r="4423" spans="1:4" ht="12.75" customHeight="1" x14ac:dyDescent="0.2">
      <c r="A4423" s="21"/>
      <c r="B4423" s="3" t="s">
        <v>2</v>
      </c>
      <c r="C4423" s="20" t="s">
        <v>122</v>
      </c>
      <c r="D4423" s="21"/>
    </row>
    <row r="4424" spans="1:4" ht="12.75" customHeight="1" x14ac:dyDescent="0.2">
      <c r="A4424" s="21"/>
      <c r="B4424" s="3" t="s">
        <v>4</v>
      </c>
      <c r="C4424" s="20" t="s">
        <v>533</v>
      </c>
      <c r="D4424" s="21"/>
    </row>
    <row r="4425" spans="1:4" ht="12.75" customHeight="1" x14ac:dyDescent="0.2">
      <c r="A4425" s="21"/>
      <c r="B4425" s="3" t="s">
        <v>6</v>
      </c>
      <c r="C4425" s="20" t="s">
        <v>21</v>
      </c>
      <c r="D4425" s="21"/>
    </row>
    <row r="4426" spans="1:4" ht="12.75" customHeight="1" x14ac:dyDescent="0.2">
      <c r="A4426" s="21"/>
      <c r="B4426" s="3" t="s">
        <v>8</v>
      </c>
      <c r="C4426" s="20" t="s">
        <v>533</v>
      </c>
      <c r="D4426" s="21"/>
    </row>
    <row r="4427" spans="1:4" ht="12.75" customHeight="1" x14ac:dyDescent="0.2">
      <c r="A4427" s="21"/>
      <c r="B4427" s="3" t="s">
        <v>9</v>
      </c>
      <c r="C4427" s="20" t="s">
        <v>42</v>
      </c>
      <c r="D4427" s="21"/>
    </row>
    <row r="4428" spans="1:4" ht="12.75" customHeight="1" x14ac:dyDescent="0.2">
      <c r="A4428" s="21"/>
      <c r="B4428" s="3" t="s">
        <v>11</v>
      </c>
      <c r="C4428" s="20" t="s">
        <v>779</v>
      </c>
      <c r="D4428" s="21"/>
    </row>
    <row r="4429" spans="1:4" ht="12.75" customHeight="1" x14ac:dyDescent="0.2">
      <c r="A4429" s="21"/>
      <c r="B4429" s="3" t="s">
        <v>13</v>
      </c>
      <c r="C4429" s="20" t="s">
        <v>24</v>
      </c>
      <c r="D4429" s="21"/>
    </row>
    <row r="4430" spans="1:4" ht="12.75" customHeight="1" x14ac:dyDescent="0.2">
      <c r="A4430" s="21"/>
      <c r="B4430" s="3" t="s">
        <v>15</v>
      </c>
      <c r="C4430" s="20" t="s">
        <v>24</v>
      </c>
      <c r="D4430" s="21"/>
    </row>
    <row r="4431" spans="1:4" ht="12.75" customHeight="1" x14ac:dyDescent="0.2">
      <c r="A4431" s="21"/>
      <c r="B4431" s="3" t="s">
        <v>16</v>
      </c>
      <c r="C4431" s="20"/>
      <c r="D4431" s="21"/>
    </row>
    <row r="4432" spans="1:4" ht="12.75" customHeight="1" x14ac:dyDescent="0.2">
      <c r="A4432" s="21"/>
      <c r="B4432" s="3" t="s">
        <v>17</v>
      </c>
      <c r="C4432" s="20"/>
      <c r="D4432" s="21"/>
    </row>
    <row r="4433" spans="1:4" ht="12.75" customHeight="1" x14ac:dyDescent="0.2">
      <c r="A4433" s="21"/>
      <c r="B4433" s="20" t="s">
        <v>18</v>
      </c>
      <c r="C4433" s="4" t="s">
        <v>163</v>
      </c>
      <c r="D4433" s="6" t="str">
        <f>HYPERLINK("javascript:void(0)","sejtmag")</f>
        <v>sejtmag</v>
      </c>
    </row>
    <row r="4434" spans="1:4" ht="12.75" customHeight="1" x14ac:dyDescent="0.2">
      <c r="A4434" s="21"/>
      <c r="B4434" s="21"/>
      <c r="C4434" s="4" t="s">
        <v>196</v>
      </c>
      <c r="D4434" s="6" t="str">
        <f>HYPERLINK("javascript:void(0)","bigapata")</f>
        <v>bigapata</v>
      </c>
    </row>
    <row r="4435" spans="1:4" ht="12.75" customHeight="1" x14ac:dyDescent="0.2">
      <c r="A4435" s="21"/>
      <c r="B4435" s="21"/>
      <c r="C4435" s="4" t="s">
        <v>280</v>
      </c>
      <c r="D4435" s="6" t="str">
        <f>HYPERLINK("javascript:void(0)","vitorla")</f>
        <v>vitorla</v>
      </c>
    </row>
    <row r="4436" spans="1:4" ht="12.75" customHeight="1" x14ac:dyDescent="0.2">
      <c r="A4436" s="5"/>
      <c r="B4436" s="2"/>
      <c r="C4436" s="2"/>
      <c r="D4436" s="2"/>
    </row>
    <row r="4437" spans="1:4" ht="12.75" customHeight="1" x14ac:dyDescent="0.2">
      <c r="A4437" s="22" t="str">
        <f>HYPERLINK("javascript:void(0)","sejtszellem pöröly")</f>
        <v>sejtszellem pöröly</v>
      </c>
      <c r="B4437" s="21"/>
      <c r="C4437" s="21"/>
      <c r="D4437" s="21"/>
    </row>
    <row r="4438" spans="1:4" ht="12.75" customHeight="1" x14ac:dyDescent="0.2">
      <c r="A4438" s="20"/>
      <c r="B4438" s="2"/>
      <c r="C4438" s="2"/>
      <c r="D4438" s="2"/>
    </row>
    <row r="4439" spans="1:4" ht="12.75" customHeight="1" x14ac:dyDescent="0.2">
      <c r="A4439" s="21"/>
      <c r="B4439" s="3" t="s">
        <v>0</v>
      </c>
      <c r="C4439" s="20" t="s">
        <v>782</v>
      </c>
      <c r="D4439" s="21"/>
    </row>
    <row r="4440" spans="1:4" ht="12.75" customHeight="1" x14ac:dyDescent="0.2">
      <c r="A4440" s="21"/>
      <c r="B4440" s="3" t="s">
        <v>2</v>
      </c>
      <c r="C4440" s="20" t="s">
        <v>122</v>
      </c>
      <c r="D4440" s="21"/>
    </row>
    <row r="4441" spans="1:4" ht="12.75" customHeight="1" x14ac:dyDescent="0.2">
      <c r="A4441" s="21"/>
      <c r="B4441" s="3" t="s">
        <v>4</v>
      </c>
      <c r="C4441" s="20" t="s">
        <v>1339</v>
      </c>
      <c r="D4441" s="21"/>
    </row>
    <row r="4442" spans="1:4" ht="12.75" customHeight="1" x14ac:dyDescent="0.2">
      <c r="A4442" s="21"/>
      <c r="B4442" s="3" t="s">
        <v>6</v>
      </c>
      <c r="C4442" s="20" t="s">
        <v>206</v>
      </c>
      <c r="D4442" s="21"/>
    </row>
    <row r="4443" spans="1:4" ht="12.75" customHeight="1" x14ac:dyDescent="0.2">
      <c r="A4443" s="21"/>
      <c r="B4443" s="3" t="s">
        <v>8</v>
      </c>
      <c r="C4443" s="20" t="s">
        <v>1339</v>
      </c>
      <c r="D4443" s="21"/>
    </row>
    <row r="4444" spans="1:4" ht="12.75" customHeight="1" x14ac:dyDescent="0.2">
      <c r="A4444" s="21"/>
      <c r="B4444" s="3" t="s">
        <v>9</v>
      </c>
      <c r="C4444" s="20" t="s">
        <v>1340</v>
      </c>
      <c r="D4444" s="21"/>
    </row>
    <row r="4445" spans="1:4" ht="12.75" customHeight="1" x14ac:dyDescent="0.2">
      <c r="A4445" s="21"/>
      <c r="B4445" s="3" t="s">
        <v>11</v>
      </c>
      <c r="C4445" s="20" t="s">
        <v>807</v>
      </c>
      <c r="D4445" s="21"/>
    </row>
    <row r="4446" spans="1:4" ht="12.75" customHeight="1" x14ac:dyDescent="0.2">
      <c r="A4446" s="21"/>
      <c r="B4446" s="3" t="s">
        <v>13</v>
      </c>
      <c r="C4446" s="20" t="s">
        <v>24</v>
      </c>
      <c r="D4446" s="21"/>
    </row>
    <row r="4447" spans="1:4" ht="12.75" customHeight="1" x14ac:dyDescent="0.2">
      <c r="A4447" s="21"/>
      <c r="B4447" s="3" t="s">
        <v>15</v>
      </c>
      <c r="C4447" s="20" t="s">
        <v>24</v>
      </c>
      <c r="D4447" s="21"/>
    </row>
    <row r="4448" spans="1:4" ht="12.75" customHeight="1" x14ac:dyDescent="0.2">
      <c r="A4448" s="21"/>
      <c r="B4448" s="3" t="s">
        <v>16</v>
      </c>
      <c r="C4448" s="20"/>
      <c r="D4448" s="21"/>
    </row>
    <row r="4449" spans="1:4" ht="12.75" customHeight="1" x14ac:dyDescent="0.2">
      <c r="A4449" s="21"/>
      <c r="B4449" s="3" t="s">
        <v>17</v>
      </c>
      <c r="C4449" s="20"/>
      <c r="D4449" s="21"/>
    </row>
    <row r="4450" spans="1:4" ht="12.75" customHeight="1" x14ac:dyDescent="0.2">
      <c r="A4450" s="21"/>
      <c r="B4450" s="20" t="s">
        <v>18</v>
      </c>
      <c r="C4450" s="4" t="s">
        <v>44</v>
      </c>
      <c r="D4450" s="6" t="str">
        <f>HYPERLINK("javascript:void(0)","sejtelembuzogány")</f>
        <v>sejtelembuzogány</v>
      </c>
    </row>
    <row r="4451" spans="1:4" ht="12.75" customHeight="1" x14ac:dyDescent="0.2">
      <c r="A4451" s="21"/>
      <c r="B4451" s="21"/>
      <c r="C4451" s="4" t="s">
        <v>44</v>
      </c>
      <c r="D4451" s="6" t="str">
        <f>HYPERLINK("javascript:void(0)","szellembuzogány")</f>
        <v>szellembuzogány</v>
      </c>
    </row>
    <row r="4452" spans="1:4" ht="12.75" customHeight="1" x14ac:dyDescent="0.2">
      <c r="A4452" s="21"/>
      <c r="B4452" s="21"/>
      <c r="C4452" s="4" t="s">
        <v>44</v>
      </c>
      <c r="D4452" s="6" t="str">
        <f>HYPERLINK("javascript:void(0)","sejtes nyél")</f>
        <v>sejtes nyél</v>
      </c>
    </row>
    <row r="4453" spans="1:4" ht="12.75" customHeight="1" x14ac:dyDescent="0.2">
      <c r="A4453" s="5"/>
      <c r="B4453" s="2"/>
      <c r="C4453" s="2"/>
      <c r="D4453" s="2"/>
    </row>
    <row r="4454" spans="1:4" ht="12.75" customHeight="1" x14ac:dyDescent="0.2">
      <c r="A4454" s="22" t="str">
        <f>HYPERLINK("javascript:void(0)","bigás mágusölő")</f>
        <v>bigás mágusölő</v>
      </c>
      <c r="B4454" s="21"/>
      <c r="C4454" s="21"/>
      <c r="D4454" s="21"/>
    </row>
    <row r="4455" spans="1:4" ht="12.75" customHeight="1" x14ac:dyDescent="0.2">
      <c r="A4455" s="20"/>
      <c r="B4455" s="2"/>
      <c r="C4455" s="2"/>
      <c r="D4455" s="2"/>
    </row>
    <row r="4456" spans="1:4" ht="12.75" customHeight="1" x14ac:dyDescent="0.2">
      <c r="A4456" s="21"/>
      <c r="B4456" s="3" t="s">
        <v>0</v>
      </c>
      <c r="C4456" s="20" t="s">
        <v>782</v>
      </c>
      <c r="D4456" s="21"/>
    </row>
    <row r="4457" spans="1:4" ht="12.75" customHeight="1" x14ac:dyDescent="0.2">
      <c r="A4457" s="21"/>
      <c r="B4457" s="3" t="s">
        <v>2</v>
      </c>
      <c r="C4457" s="20" t="s">
        <v>122</v>
      </c>
      <c r="D4457" s="21"/>
    </row>
    <row r="4458" spans="1:4" ht="12.75" customHeight="1" x14ac:dyDescent="0.2">
      <c r="A4458" s="21"/>
      <c r="B4458" s="3" t="s">
        <v>4</v>
      </c>
      <c r="C4458" s="20" t="s">
        <v>1344</v>
      </c>
      <c r="D4458" s="21"/>
    </row>
    <row r="4459" spans="1:4" ht="12.75" customHeight="1" x14ac:dyDescent="0.2">
      <c r="A4459" s="21"/>
      <c r="B4459" s="3" t="s">
        <v>6</v>
      </c>
      <c r="C4459" s="20" t="s">
        <v>48</v>
      </c>
      <c r="D4459" s="21"/>
    </row>
    <row r="4460" spans="1:4" ht="12.75" customHeight="1" x14ac:dyDescent="0.2">
      <c r="A4460" s="21"/>
      <c r="B4460" s="3" t="s">
        <v>8</v>
      </c>
      <c r="C4460" s="20" t="s">
        <v>1344</v>
      </c>
      <c r="D4460" s="21"/>
    </row>
    <row r="4461" spans="1:4" ht="12.75" customHeight="1" x14ac:dyDescent="0.2">
      <c r="A4461" s="21"/>
      <c r="B4461" s="3" t="s">
        <v>9</v>
      </c>
      <c r="C4461" s="20" t="s">
        <v>1345</v>
      </c>
      <c r="D4461" s="21"/>
    </row>
    <row r="4462" spans="1:4" ht="12.75" customHeight="1" x14ac:dyDescent="0.2">
      <c r="A4462" s="21"/>
      <c r="B4462" s="3" t="s">
        <v>11</v>
      </c>
      <c r="C4462" s="20" t="s">
        <v>1071</v>
      </c>
      <c r="D4462" s="21"/>
    </row>
    <row r="4463" spans="1:4" ht="12.75" customHeight="1" x14ac:dyDescent="0.2">
      <c r="A4463" s="21"/>
      <c r="B4463" s="3" t="s">
        <v>13</v>
      </c>
      <c r="C4463" s="20" t="s">
        <v>14</v>
      </c>
      <c r="D4463" s="21"/>
    </row>
    <row r="4464" spans="1:4" ht="12.75" customHeight="1" x14ac:dyDescent="0.2">
      <c r="A4464" s="21"/>
      <c r="B4464" s="3" t="s">
        <v>15</v>
      </c>
      <c r="C4464" s="20" t="s">
        <v>24</v>
      </c>
      <c r="D4464" s="21"/>
    </row>
    <row r="4465" spans="1:4" ht="12.75" customHeight="1" x14ac:dyDescent="0.2">
      <c r="A4465" s="21"/>
      <c r="B4465" s="3" t="s">
        <v>16</v>
      </c>
      <c r="C4465" s="20"/>
      <c r="D4465" s="21"/>
    </row>
    <row r="4466" spans="1:4" ht="12.75" customHeight="1" x14ac:dyDescent="0.2">
      <c r="A4466" s="21"/>
      <c r="B4466" s="3" t="s">
        <v>17</v>
      </c>
      <c r="C4466" s="20"/>
      <c r="D4466" s="21"/>
    </row>
    <row r="4467" spans="1:4" ht="12.75" customHeight="1" x14ac:dyDescent="0.2">
      <c r="A4467" s="21"/>
      <c r="B4467" s="20" t="s">
        <v>18</v>
      </c>
      <c r="C4467" s="4" t="s">
        <v>117</v>
      </c>
      <c r="D4467" s="6" t="str">
        <f>HYPERLINK("javascript:void(0)","szivárványszív")</f>
        <v>szivárványszív</v>
      </c>
    </row>
    <row r="4468" spans="1:4" ht="12.75" customHeight="1" x14ac:dyDescent="0.2">
      <c r="A4468" s="21"/>
      <c r="B4468" s="21"/>
      <c r="C4468" s="4" t="s">
        <v>193</v>
      </c>
      <c r="D4468" s="6" t="str">
        <f>HYPERLINK("javascript:void(0)","bigapata")</f>
        <v>bigapata</v>
      </c>
    </row>
    <row r="4469" spans="1:4" ht="12.75" customHeight="1" x14ac:dyDescent="0.2">
      <c r="A4469" s="21"/>
      <c r="B4469" s="21"/>
      <c r="C4469" s="4" t="s">
        <v>756</v>
      </c>
      <c r="D4469" s="6" t="str">
        <f>HYPERLINK("javascript:void(0)","éjfény")</f>
        <v>éjfény</v>
      </c>
    </row>
    <row r="4470" spans="1:4" ht="12.75" customHeight="1" x14ac:dyDescent="0.2">
      <c r="A4470" s="5"/>
      <c r="B4470" s="2"/>
      <c r="C4470" s="2"/>
      <c r="D4470" s="2"/>
    </row>
    <row r="4471" spans="1:4" ht="12.75" customHeight="1" x14ac:dyDescent="0.2">
      <c r="A4471" s="22" t="str">
        <f>HYPERLINK("javascript:void(0)","sejtes nyél")</f>
        <v>sejtes nyél</v>
      </c>
      <c r="B4471" s="21"/>
      <c r="C4471" s="21"/>
      <c r="D4471" s="21"/>
    </row>
    <row r="4472" spans="1:4" ht="12.75" customHeight="1" x14ac:dyDescent="0.2">
      <c r="A4472" s="20"/>
      <c r="B4472" s="2"/>
      <c r="C4472" s="2"/>
      <c r="D4472" s="2"/>
    </row>
    <row r="4473" spans="1:4" ht="12.75" customHeight="1" x14ac:dyDescent="0.2">
      <c r="A4473" s="21"/>
      <c r="B4473" s="3" t="s">
        <v>0</v>
      </c>
      <c r="C4473" s="20" t="s">
        <v>782</v>
      </c>
      <c r="D4473" s="21"/>
    </row>
    <row r="4474" spans="1:4" ht="12.75" customHeight="1" x14ac:dyDescent="0.2">
      <c r="A4474" s="21"/>
      <c r="B4474" s="3" t="s">
        <v>2</v>
      </c>
      <c r="C4474" s="20" t="s">
        <v>122</v>
      </c>
      <c r="D4474" s="21"/>
    </row>
    <row r="4475" spans="1:4" ht="12.75" customHeight="1" x14ac:dyDescent="0.2">
      <c r="A4475" s="21"/>
      <c r="B4475" s="3" t="s">
        <v>4</v>
      </c>
      <c r="C4475" s="20" t="s">
        <v>533</v>
      </c>
      <c r="D4475" s="21"/>
    </row>
    <row r="4476" spans="1:4" ht="12.75" customHeight="1" x14ac:dyDescent="0.2">
      <c r="A4476" s="21"/>
      <c r="B4476" s="3" t="s">
        <v>6</v>
      </c>
      <c r="C4476" s="20" t="s">
        <v>21</v>
      </c>
      <c r="D4476" s="21"/>
    </row>
    <row r="4477" spans="1:4" ht="12.75" customHeight="1" x14ac:dyDescent="0.2">
      <c r="A4477" s="21"/>
      <c r="B4477" s="3" t="s">
        <v>8</v>
      </c>
      <c r="C4477" s="20" t="s">
        <v>533</v>
      </c>
      <c r="D4477" s="21"/>
    </row>
    <row r="4478" spans="1:4" ht="12.75" customHeight="1" x14ac:dyDescent="0.2">
      <c r="A4478" s="21"/>
      <c r="B4478" s="3" t="s">
        <v>9</v>
      </c>
      <c r="C4478" s="20" t="s">
        <v>42</v>
      </c>
      <c r="D4478" s="21"/>
    </row>
    <row r="4479" spans="1:4" ht="12.75" customHeight="1" x14ac:dyDescent="0.2">
      <c r="A4479" s="21"/>
      <c r="B4479" s="3" t="s">
        <v>11</v>
      </c>
      <c r="C4479" s="20" t="s">
        <v>793</v>
      </c>
      <c r="D4479" s="21"/>
    </row>
    <row r="4480" spans="1:4" ht="12.75" customHeight="1" x14ac:dyDescent="0.2">
      <c r="A4480" s="21"/>
      <c r="B4480" s="3" t="s">
        <v>13</v>
      </c>
      <c r="C4480" s="20" t="s">
        <v>24</v>
      </c>
      <c r="D4480" s="21"/>
    </row>
    <row r="4481" spans="1:4" ht="12.75" customHeight="1" x14ac:dyDescent="0.2">
      <c r="A4481" s="21"/>
      <c r="B4481" s="3" t="s">
        <v>15</v>
      </c>
      <c r="C4481" s="20" t="s">
        <v>24</v>
      </c>
      <c r="D4481" s="21"/>
    </row>
    <row r="4482" spans="1:4" ht="12.75" customHeight="1" x14ac:dyDescent="0.2">
      <c r="A4482" s="21"/>
      <c r="B4482" s="3" t="s">
        <v>16</v>
      </c>
      <c r="C4482" s="20"/>
      <c r="D4482" s="21"/>
    </row>
    <row r="4483" spans="1:4" ht="12.75" customHeight="1" x14ac:dyDescent="0.2">
      <c r="A4483" s="21"/>
      <c r="B4483" s="3" t="s">
        <v>17</v>
      </c>
      <c r="C4483" s="20"/>
      <c r="D4483" s="21"/>
    </row>
    <row r="4484" spans="1:4" ht="12.75" customHeight="1" x14ac:dyDescent="0.2">
      <c r="A4484" s="21"/>
      <c r="B4484" s="20" t="s">
        <v>18</v>
      </c>
      <c r="C4484" s="4" t="s">
        <v>474</v>
      </c>
      <c r="D4484" s="6" t="str">
        <f>HYPERLINK("javascript:void(0)","hörcsögagyar")</f>
        <v>hörcsögagyar</v>
      </c>
    </row>
    <row r="4485" spans="1:4" ht="12.75" customHeight="1" x14ac:dyDescent="0.2">
      <c r="A4485" s="21"/>
      <c r="B4485" s="21"/>
      <c r="C4485" s="4" t="s">
        <v>232</v>
      </c>
      <c r="D4485" s="6" t="str">
        <f>HYPERLINK("javascript:void(0)","aszályige")</f>
        <v>aszályige</v>
      </c>
    </row>
    <row r="4486" spans="1:4" ht="12.75" customHeight="1" x14ac:dyDescent="0.2">
      <c r="A4486" s="21"/>
      <c r="B4486" s="21"/>
      <c r="C4486" s="4" t="s">
        <v>280</v>
      </c>
      <c r="D4486" s="6" t="str">
        <f>HYPERLINK("javascript:void(0)","törmelék")</f>
        <v>törmelék</v>
      </c>
    </row>
    <row r="4487" spans="1:4" ht="12.75" customHeight="1" x14ac:dyDescent="0.2">
      <c r="A4487" s="5"/>
      <c r="B4487" s="2"/>
      <c r="C4487" s="2"/>
      <c r="D4487" s="2"/>
    </row>
    <row r="4488" spans="1:4" ht="12.75" customHeight="1" x14ac:dyDescent="0.2">
      <c r="A4488" s="22" t="str">
        <f>HYPERLINK("javascript:void(0)","szegecspántos csontzúzó")</f>
        <v>szegecspántos csontzúzó</v>
      </c>
      <c r="B4488" s="21"/>
      <c r="C4488" s="21"/>
      <c r="D4488" s="21"/>
    </row>
    <row r="4489" spans="1:4" ht="12.75" customHeight="1" x14ac:dyDescent="0.2">
      <c r="A4489" s="20"/>
      <c r="B4489" s="2"/>
      <c r="C4489" s="2"/>
      <c r="D4489" s="2"/>
    </row>
    <row r="4490" spans="1:4" ht="12.75" customHeight="1" x14ac:dyDescent="0.2">
      <c r="A4490" s="21"/>
      <c r="B4490" s="3" t="s">
        <v>0</v>
      </c>
      <c r="C4490" s="20" t="s">
        <v>790</v>
      </c>
      <c r="D4490" s="21"/>
    </row>
    <row r="4491" spans="1:4" ht="12.75" customHeight="1" x14ac:dyDescent="0.2">
      <c r="A4491" s="21"/>
      <c r="B4491" s="3" t="s">
        <v>2</v>
      </c>
      <c r="C4491" s="20" t="s">
        <v>122</v>
      </c>
      <c r="D4491" s="21"/>
    </row>
    <row r="4492" spans="1:4" ht="12.75" customHeight="1" x14ac:dyDescent="0.2">
      <c r="A4492" s="21"/>
      <c r="B4492" s="3" t="s">
        <v>4</v>
      </c>
      <c r="C4492" s="20" t="s">
        <v>1349</v>
      </c>
      <c r="D4492" s="21"/>
    </row>
    <row r="4493" spans="1:4" ht="12.75" customHeight="1" x14ac:dyDescent="0.2">
      <c r="A4493" s="21"/>
      <c r="B4493" s="3" t="s">
        <v>6</v>
      </c>
      <c r="C4493" s="20" t="s">
        <v>115</v>
      </c>
      <c r="D4493" s="21"/>
    </row>
    <row r="4494" spans="1:4" ht="12.75" customHeight="1" x14ac:dyDescent="0.2">
      <c r="A4494" s="21"/>
      <c r="B4494" s="3" t="s">
        <v>8</v>
      </c>
      <c r="C4494" s="20" t="s">
        <v>1349</v>
      </c>
      <c r="D4494" s="21"/>
    </row>
    <row r="4495" spans="1:4" ht="12.75" customHeight="1" x14ac:dyDescent="0.2">
      <c r="A4495" s="21"/>
      <c r="B4495" s="3" t="s">
        <v>9</v>
      </c>
      <c r="C4495" s="20" t="s">
        <v>707</v>
      </c>
      <c r="D4495" s="21"/>
    </row>
    <row r="4496" spans="1:4" ht="12.75" customHeight="1" x14ac:dyDescent="0.2">
      <c r="A4496" s="21"/>
      <c r="B4496" s="3" t="s">
        <v>11</v>
      </c>
      <c r="C4496" s="20" t="s">
        <v>817</v>
      </c>
      <c r="D4496" s="21"/>
    </row>
    <row r="4497" spans="1:4" ht="12.75" customHeight="1" x14ac:dyDescent="0.2">
      <c r="A4497" s="21"/>
      <c r="B4497" s="3" t="s">
        <v>13</v>
      </c>
      <c r="C4497" s="20" t="s">
        <v>24</v>
      </c>
      <c r="D4497" s="21"/>
    </row>
    <row r="4498" spans="1:4" ht="12.75" customHeight="1" x14ac:dyDescent="0.2">
      <c r="A4498" s="21"/>
      <c r="B4498" s="3" t="s">
        <v>15</v>
      </c>
      <c r="C4498" s="20" t="s">
        <v>24</v>
      </c>
      <c r="D4498" s="21"/>
    </row>
    <row r="4499" spans="1:4" ht="12.75" customHeight="1" x14ac:dyDescent="0.2">
      <c r="A4499" s="21"/>
      <c r="B4499" s="3" t="s">
        <v>16</v>
      </c>
      <c r="C4499" s="20"/>
      <c r="D4499" s="21"/>
    </row>
    <row r="4500" spans="1:4" ht="12.75" customHeight="1" x14ac:dyDescent="0.2">
      <c r="A4500" s="21"/>
      <c r="B4500" s="3" t="s">
        <v>17</v>
      </c>
      <c r="C4500" s="20"/>
      <c r="D4500" s="21"/>
    </row>
    <row r="4501" spans="1:4" ht="12.75" customHeight="1" x14ac:dyDescent="0.2">
      <c r="A4501" s="21"/>
      <c r="B4501" s="20" t="s">
        <v>18</v>
      </c>
      <c r="C4501" s="4" t="s">
        <v>44</v>
      </c>
      <c r="D4501" s="6" t="str">
        <f>HYPERLINK("javascript:void(0)","sejtszellem pöröly")</f>
        <v>sejtszellem pöröly</v>
      </c>
    </row>
    <row r="4502" spans="1:4" ht="12.75" customHeight="1" x14ac:dyDescent="0.2">
      <c r="A4502" s="21"/>
      <c r="B4502" s="21"/>
      <c r="C4502" s="4" t="s">
        <v>56</v>
      </c>
      <c r="D4502" s="6" t="str">
        <f>HYPERLINK("javascript:void(0)","csapdaszeg")</f>
        <v>csapdaszeg</v>
      </c>
    </row>
    <row r="4503" spans="1:4" ht="12.75" customHeight="1" x14ac:dyDescent="0.2">
      <c r="A4503" s="21"/>
      <c r="B4503" s="21"/>
      <c r="C4503" s="4" t="s">
        <v>67</v>
      </c>
      <c r="D4503" s="6" t="str">
        <f>HYPERLINK("javascript:void(0)","wattacsomó")</f>
        <v>wattacsomó</v>
      </c>
    </row>
    <row r="4504" spans="1:4" ht="12.75" customHeight="1" x14ac:dyDescent="0.2">
      <c r="A4504" s="5"/>
      <c r="B4504" s="2"/>
      <c r="C4504" s="2"/>
      <c r="D4504" s="2"/>
    </row>
    <row r="4505" spans="1:4" ht="12.75" customHeight="1" x14ac:dyDescent="0.2">
      <c r="A4505" s="22" t="str">
        <f>HYPERLINK("javascript:void(0)","ikerfej gigaballaszt")</f>
        <v>ikerfej gigaballaszt</v>
      </c>
      <c r="B4505" s="21"/>
      <c r="C4505" s="21"/>
      <c r="D4505" s="21"/>
    </row>
    <row r="4506" spans="1:4" ht="12.75" customHeight="1" x14ac:dyDescent="0.2">
      <c r="A4506" s="20"/>
      <c r="B4506" s="2"/>
      <c r="C4506" s="2"/>
      <c r="D4506" s="2"/>
    </row>
    <row r="4507" spans="1:4" ht="12.75" customHeight="1" x14ac:dyDescent="0.2">
      <c r="A4507" s="21"/>
      <c r="B4507" s="3" t="s">
        <v>0</v>
      </c>
      <c r="C4507" s="20" t="s">
        <v>790</v>
      </c>
      <c r="D4507" s="21"/>
    </row>
    <row r="4508" spans="1:4" ht="12.75" customHeight="1" x14ac:dyDescent="0.2">
      <c r="A4508" s="21"/>
      <c r="B4508" s="3" t="s">
        <v>2</v>
      </c>
      <c r="C4508" s="20" t="s">
        <v>122</v>
      </c>
      <c r="D4508" s="21"/>
    </row>
    <row r="4509" spans="1:4" ht="12.75" customHeight="1" x14ac:dyDescent="0.2">
      <c r="A4509" s="21"/>
      <c r="B4509" s="3" t="s">
        <v>4</v>
      </c>
      <c r="C4509" s="20" t="s">
        <v>1352</v>
      </c>
      <c r="D4509" s="21"/>
    </row>
    <row r="4510" spans="1:4" ht="12.75" customHeight="1" x14ac:dyDescent="0.2">
      <c r="A4510" s="21"/>
      <c r="B4510" s="3" t="s">
        <v>6</v>
      </c>
      <c r="C4510" s="20" t="s">
        <v>107</v>
      </c>
      <c r="D4510" s="21"/>
    </row>
    <row r="4511" spans="1:4" ht="12.75" customHeight="1" x14ac:dyDescent="0.2">
      <c r="A4511" s="21"/>
      <c r="B4511" s="3" t="s">
        <v>8</v>
      </c>
      <c r="C4511" s="20" t="s">
        <v>1352</v>
      </c>
      <c r="D4511" s="21"/>
    </row>
    <row r="4512" spans="1:4" ht="12.75" customHeight="1" x14ac:dyDescent="0.2">
      <c r="A4512" s="21"/>
      <c r="B4512" s="3" t="s">
        <v>9</v>
      </c>
      <c r="C4512" s="20" t="s">
        <v>1353</v>
      </c>
      <c r="D4512" s="21"/>
    </row>
    <row r="4513" spans="1:4" ht="12.75" customHeight="1" x14ac:dyDescent="0.2">
      <c r="A4513" s="21"/>
      <c r="B4513" s="3" t="s">
        <v>11</v>
      </c>
      <c r="C4513" s="20" t="s">
        <v>1354</v>
      </c>
      <c r="D4513" s="21"/>
    </row>
    <row r="4514" spans="1:4" ht="12.75" customHeight="1" x14ac:dyDescent="0.2">
      <c r="A4514" s="21"/>
      <c r="B4514" s="3" t="s">
        <v>13</v>
      </c>
      <c r="C4514" s="20" t="s">
        <v>24</v>
      </c>
      <c r="D4514" s="21"/>
    </row>
    <row r="4515" spans="1:4" ht="12.75" customHeight="1" x14ac:dyDescent="0.2">
      <c r="A4515" s="21"/>
      <c r="B4515" s="3" t="s">
        <v>15</v>
      </c>
      <c r="C4515" s="20" t="s">
        <v>24</v>
      </c>
      <c r="D4515" s="21"/>
    </row>
    <row r="4516" spans="1:4" ht="12.75" customHeight="1" x14ac:dyDescent="0.2">
      <c r="A4516" s="21"/>
      <c r="B4516" s="3" t="s">
        <v>16</v>
      </c>
      <c r="C4516" s="20"/>
      <c r="D4516" s="21"/>
    </row>
    <row r="4517" spans="1:4" ht="12.75" customHeight="1" x14ac:dyDescent="0.2">
      <c r="A4517" s="21"/>
      <c r="B4517" s="3" t="s">
        <v>17</v>
      </c>
      <c r="C4517" s="20"/>
      <c r="D4517" s="21"/>
    </row>
    <row r="4518" spans="1:4" ht="12.75" customHeight="1" x14ac:dyDescent="0.2">
      <c r="A4518" s="21"/>
      <c r="B4518" s="20" t="s">
        <v>18</v>
      </c>
      <c r="C4518" s="4" t="s">
        <v>132</v>
      </c>
      <c r="D4518" s="6" t="str">
        <f>HYPERLINK("javascript:void(0)","ikerkristály")</f>
        <v>ikerkristály</v>
      </c>
    </row>
    <row r="4519" spans="1:4" ht="12.75" customHeight="1" x14ac:dyDescent="0.2">
      <c r="A4519" s="21"/>
      <c r="B4519" s="21"/>
      <c r="C4519" s="4" t="s">
        <v>139</v>
      </c>
      <c r="D4519" s="6" t="str">
        <f>HYPERLINK("javascript:void(0)","bigapata")</f>
        <v>bigapata</v>
      </c>
    </row>
    <row r="4520" spans="1:4" ht="12.75" customHeight="1" x14ac:dyDescent="0.2">
      <c r="A4520" s="21"/>
      <c r="B4520" s="21"/>
      <c r="C4520" s="4" t="s">
        <v>474</v>
      </c>
      <c r="D4520" s="6" t="str">
        <f>HYPERLINK("javascript:void(0)","ámbra")</f>
        <v>ámbra</v>
      </c>
    </row>
    <row r="4521" spans="1:4" ht="12.75" customHeight="1" x14ac:dyDescent="0.2">
      <c r="A4521" s="5"/>
      <c r="B4521" s="2"/>
      <c r="C4521" s="2"/>
      <c r="D4521" s="2"/>
    </row>
    <row r="4522" spans="1:4" ht="12.75" customHeight="1" x14ac:dyDescent="0.2">
      <c r="A4522" s="22" t="str">
        <f>HYPERLINK("javascript:void(0)","gyíkacél kancsuka")</f>
        <v>gyíkacél kancsuka</v>
      </c>
      <c r="B4522" s="21"/>
      <c r="C4522" s="21"/>
      <c r="D4522" s="21"/>
    </row>
    <row r="4523" spans="1:4" ht="12.75" customHeight="1" x14ac:dyDescent="0.2">
      <c r="A4523" s="20"/>
      <c r="B4523" s="2"/>
      <c r="C4523" s="2"/>
      <c r="D4523" s="2"/>
    </row>
    <row r="4524" spans="1:4" ht="12.75" customHeight="1" x14ac:dyDescent="0.2">
      <c r="A4524" s="21"/>
      <c r="B4524" s="3" t="s">
        <v>0</v>
      </c>
      <c r="C4524" s="20" t="s">
        <v>790</v>
      </c>
      <c r="D4524" s="21"/>
    </row>
    <row r="4525" spans="1:4" ht="12.75" customHeight="1" x14ac:dyDescent="0.2">
      <c r="A4525" s="21"/>
      <c r="B4525" s="3" t="s">
        <v>2</v>
      </c>
      <c r="C4525" s="20" t="s">
        <v>122</v>
      </c>
      <c r="D4525" s="21"/>
    </row>
    <row r="4526" spans="1:4" ht="12.75" customHeight="1" x14ac:dyDescent="0.2">
      <c r="A4526" s="21"/>
      <c r="B4526" s="3" t="s">
        <v>4</v>
      </c>
      <c r="C4526" s="20" t="s">
        <v>1357</v>
      </c>
      <c r="D4526" s="21"/>
    </row>
    <row r="4527" spans="1:4" ht="12.75" customHeight="1" x14ac:dyDescent="0.2">
      <c r="A4527" s="21"/>
      <c r="B4527" s="3" t="s">
        <v>6</v>
      </c>
      <c r="C4527" s="20" t="s">
        <v>107</v>
      </c>
      <c r="D4527" s="21"/>
    </row>
    <row r="4528" spans="1:4" ht="12.75" customHeight="1" x14ac:dyDescent="0.2">
      <c r="A4528" s="21"/>
      <c r="B4528" s="3" t="s">
        <v>8</v>
      </c>
      <c r="C4528" s="20" t="s">
        <v>1357</v>
      </c>
      <c r="D4528" s="21"/>
    </row>
    <row r="4529" spans="1:4" ht="12.75" customHeight="1" x14ac:dyDescent="0.2">
      <c r="A4529" s="21"/>
      <c r="B4529" s="3" t="s">
        <v>9</v>
      </c>
      <c r="C4529" s="20" t="s">
        <v>1358</v>
      </c>
      <c r="D4529" s="21"/>
    </row>
    <row r="4530" spans="1:4" ht="12.75" customHeight="1" x14ac:dyDescent="0.2">
      <c r="A4530" s="21"/>
      <c r="B4530" s="3" t="s">
        <v>11</v>
      </c>
      <c r="C4530" s="20" t="s">
        <v>587</v>
      </c>
      <c r="D4530" s="21"/>
    </row>
    <row r="4531" spans="1:4" ht="12.75" customHeight="1" x14ac:dyDescent="0.2">
      <c r="A4531" s="21"/>
      <c r="B4531" s="3" t="s">
        <v>13</v>
      </c>
      <c r="C4531" s="20" t="s">
        <v>24</v>
      </c>
      <c r="D4531" s="21"/>
    </row>
    <row r="4532" spans="1:4" ht="12.75" customHeight="1" x14ac:dyDescent="0.2">
      <c r="A4532" s="21"/>
      <c r="B4532" s="3" t="s">
        <v>15</v>
      </c>
      <c r="C4532" s="20" t="s">
        <v>24</v>
      </c>
      <c r="D4532" s="21"/>
    </row>
    <row r="4533" spans="1:4" ht="12.75" customHeight="1" x14ac:dyDescent="0.2">
      <c r="A4533" s="21"/>
      <c r="B4533" s="3" t="s">
        <v>16</v>
      </c>
      <c r="C4533" s="20"/>
      <c r="D4533" s="21"/>
    </row>
    <row r="4534" spans="1:4" ht="12.75" customHeight="1" x14ac:dyDescent="0.2">
      <c r="A4534" s="21"/>
      <c r="B4534" s="3" t="s">
        <v>17</v>
      </c>
      <c r="C4534" s="20"/>
      <c r="D4534" s="21"/>
    </row>
    <row r="4535" spans="1:4" ht="12.75" customHeight="1" x14ac:dyDescent="0.2">
      <c r="A4535" s="21"/>
      <c r="B4535" s="20" t="s">
        <v>18</v>
      </c>
      <c r="C4535" s="4" t="s">
        <v>130</v>
      </c>
      <c r="D4535" s="6" t="str">
        <f>HYPERLINK("javascript:void(0)","gigacsáp")</f>
        <v>gigacsáp</v>
      </c>
    </row>
    <row r="4536" spans="1:4" ht="12.75" customHeight="1" x14ac:dyDescent="0.2">
      <c r="A4536" s="21"/>
      <c r="B4536" s="21"/>
      <c r="C4536" s="4" t="s">
        <v>193</v>
      </c>
      <c r="D4536" s="6" t="str">
        <f>HYPERLINK("javascript:void(0)","kígyócsörgő")</f>
        <v>kígyócsörgő</v>
      </c>
    </row>
    <row r="4537" spans="1:4" ht="12.75" customHeight="1" x14ac:dyDescent="0.2">
      <c r="A4537" s="21"/>
      <c r="B4537" s="21"/>
      <c r="C4537" s="4" t="s">
        <v>280</v>
      </c>
      <c r="D4537" s="6" t="str">
        <f>HYPERLINK("javascript:void(0)","ínszalag")</f>
        <v>ínszalag</v>
      </c>
    </row>
    <row r="4538" spans="1:4" ht="12.75" customHeight="1" x14ac:dyDescent="0.2">
      <c r="A4538" s="5"/>
      <c r="B4538" s="2"/>
      <c r="C4538" s="2"/>
      <c r="D4538" s="2"/>
    </row>
    <row r="4539" spans="1:4" ht="12.75" customHeight="1" x14ac:dyDescent="0.2">
      <c r="A4539" s="22" t="str">
        <f>HYPERLINK("javascript:void(0)","átokpöröly")</f>
        <v>átokpöröly</v>
      </c>
      <c r="B4539" s="21"/>
      <c r="C4539" s="21"/>
      <c r="D4539" s="21"/>
    </row>
    <row r="4540" spans="1:4" ht="12.75" customHeight="1" x14ac:dyDescent="0.2">
      <c r="A4540" s="20"/>
      <c r="B4540" s="2"/>
      <c r="C4540" s="2"/>
      <c r="D4540" s="2"/>
    </row>
    <row r="4541" spans="1:4" ht="12.75" customHeight="1" x14ac:dyDescent="0.2">
      <c r="A4541" s="21"/>
      <c r="B4541" s="3" t="s">
        <v>0</v>
      </c>
      <c r="C4541" s="20" t="s">
        <v>83</v>
      </c>
      <c r="D4541" s="21"/>
    </row>
    <row r="4542" spans="1:4" ht="12.75" customHeight="1" x14ac:dyDescent="0.2">
      <c r="A4542" s="21"/>
      <c r="B4542" s="3" t="s">
        <v>2</v>
      </c>
      <c r="C4542" s="20" t="s">
        <v>122</v>
      </c>
      <c r="D4542" s="21"/>
    </row>
    <row r="4543" spans="1:4" ht="12.75" customHeight="1" x14ac:dyDescent="0.2">
      <c r="A4543" s="21"/>
      <c r="B4543" s="3" t="s">
        <v>4</v>
      </c>
      <c r="C4543" s="20" t="s">
        <v>806</v>
      </c>
      <c r="D4543" s="21"/>
    </row>
    <row r="4544" spans="1:4" ht="12.75" customHeight="1" x14ac:dyDescent="0.2">
      <c r="A4544" s="21"/>
      <c r="B4544" s="3" t="s">
        <v>6</v>
      </c>
      <c r="C4544" s="20" t="s">
        <v>353</v>
      </c>
      <c r="D4544" s="21"/>
    </row>
    <row r="4545" spans="1:4" ht="12.75" customHeight="1" x14ac:dyDescent="0.2">
      <c r="A4545" s="21"/>
      <c r="B4545" s="3" t="s">
        <v>8</v>
      </c>
      <c r="C4545" s="20" t="s">
        <v>806</v>
      </c>
      <c r="D4545" s="21"/>
    </row>
    <row r="4546" spans="1:4" ht="12.75" customHeight="1" x14ac:dyDescent="0.2">
      <c r="A4546" s="21"/>
      <c r="B4546" s="3" t="s">
        <v>9</v>
      </c>
      <c r="C4546" s="20" t="s">
        <v>1289</v>
      </c>
      <c r="D4546" s="21"/>
    </row>
    <row r="4547" spans="1:4" ht="12.75" customHeight="1" x14ac:dyDescent="0.2">
      <c r="A4547" s="21"/>
      <c r="B4547" s="3" t="s">
        <v>11</v>
      </c>
      <c r="C4547" s="20" t="s">
        <v>827</v>
      </c>
      <c r="D4547" s="21"/>
    </row>
    <row r="4548" spans="1:4" ht="12.75" customHeight="1" x14ac:dyDescent="0.2">
      <c r="A4548" s="21"/>
      <c r="B4548" s="3" t="s">
        <v>13</v>
      </c>
      <c r="C4548" s="20" t="s">
        <v>24</v>
      </c>
      <c r="D4548" s="21"/>
    </row>
    <row r="4549" spans="1:4" ht="12.75" customHeight="1" x14ac:dyDescent="0.2">
      <c r="A4549" s="21"/>
      <c r="B4549" s="3" t="s">
        <v>15</v>
      </c>
      <c r="C4549" s="20" t="s">
        <v>24</v>
      </c>
      <c r="D4549" s="21"/>
    </row>
    <row r="4550" spans="1:4" ht="12.75" customHeight="1" x14ac:dyDescent="0.2">
      <c r="A4550" s="21"/>
      <c r="B4550" s="3" t="s">
        <v>16</v>
      </c>
      <c r="C4550" s="20"/>
      <c r="D4550" s="21"/>
    </row>
    <row r="4551" spans="1:4" ht="12.75" customHeight="1" x14ac:dyDescent="0.2">
      <c r="A4551" s="21"/>
      <c r="B4551" s="3" t="s">
        <v>17</v>
      </c>
      <c r="C4551" s="20"/>
      <c r="D4551" s="21"/>
    </row>
    <row r="4552" spans="1:4" ht="12.75" customHeight="1" x14ac:dyDescent="0.2">
      <c r="A4552" s="21"/>
      <c r="B4552" s="20" t="s">
        <v>18</v>
      </c>
      <c r="C4552" s="4" t="s">
        <v>232</v>
      </c>
      <c r="D4552" s="6" t="str">
        <f>HYPERLINK("javascript:void(0)","átokige")</f>
        <v>átokige</v>
      </c>
    </row>
    <row r="4553" spans="1:4" ht="12.75" customHeight="1" x14ac:dyDescent="0.2">
      <c r="A4553" s="21"/>
      <c r="B4553" s="21"/>
      <c r="C4553" s="4" t="s">
        <v>98</v>
      </c>
      <c r="D4553" s="6" t="str">
        <f>HYPERLINK("javascript:void(0)","sárkányzsák")</f>
        <v>sárkányzsák</v>
      </c>
    </row>
    <row r="4554" spans="1:4" ht="12.75" customHeight="1" x14ac:dyDescent="0.2">
      <c r="A4554" s="21"/>
      <c r="B4554" s="21"/>
      <c r="C4554" s="4" t="s">
        <v>117</v>
      </c>
      <c r="D4554" s="6" t="str">
        <f>HYPERLINK("javascript:void(0)","lexikon")</f>
        <v>lexikon</v>
      </c>
    </row>
    <row r="4555" spans="1:4" ht="12.75" customHeight="1" x14ac:dyDescent="0.2">
      <c r="A4555" s="5"/>
      <c r="B4555" s="2"/>
      <c r="C4555" s="2"/>
      <c r="D4555" s="2"/>
    </row>
    <row r="4556" spans="1:4" ht="12.75" customHeight="1" x14ac:dyDescent="0.2">
      <c r="A4556" s="22" t="str">
        <f>HYPERLINK("javascript:void(0)","átkozott mágusölő")</f>
        <v>átkozott mágusölő</v>
      </c>
      <c r="B4556" s="21"/>
      <c r="C4556" s="21"/>
      <c r="D4556" s="21"/>
    </row>
    <row r="4557" spans="1:4" ht="12.75" customHeight="1" x14ac:dyDescent="0.2">
      <c r="A4557" s="20"/>
      <c r="B4557" s="2"/>
      <c r="C4557" s="2"/>
      <c r="D4557" s="2"/>
    </row>
    <row r="4558" spans="1:4" ht="12.75" customHeight="1" x14ac:dyDescent="0.2">
      <c r="A4558" s="21"/>
      <c r="B4558" s="3" t="s">
        <v>0</v>
      </c>
      <c r="C4558" s="20" t="s">
        <v>83</v>
      </c>
      <c r="D4558" s="21"/>
    </row>
    <row r="4559" spans="1:4" ht="12.75" customHeight="1" x14ac:dyDescent="0.2">
      <c r="A4559" s="21"/>
      <c r="B4559" s="3" t="s">
        <v>2</v>
      </c>
      <c r="C4559" s="20" t="s">
        <v>122</v>
      </c>
      <c r="D4559" s="21"/>
    </row>
    <row r="4560" spans="1:4" ht="12.75" customHeight="1" x14ac:dyDescent="0.2">
      <c r="A4560" s="21"/>
      <c r="B4560" s="3" t="s">
        <v>4</v>
      </c>
      <c r="C4560" s="20" t="s">
        <v>1364</v>
      </c>
      <c r="D4560" s="21"/>
    </row>
    <row r="4561" spans="1:4" ht="12.75" customHeight="1" x14ac:dyDescent="0.2">
      <c r="A4561" s="21"/>
      <c r="B4561" s="3" t="s">
        <v>6</v>
      </c>
      <c r="C4561" s="20" t="s">
        <v>48</v>
      </c>
      <c r="D4561" s="21"/>
    </row>
    <row r="4562" spans="1:4" ht="12.75" customHeight="1" x14ac:dyDescent="0.2">
      <c r="A4562" s="21"/>
      <c r="B4562" s="3" t="s">
        <v>8</v>
      </c>
      <c r="C4562" s="20" t="s">
        <v>1364</v>
      </c>
      <c r="D4562" s="21"/>
    </row>
    <row r="4563" spans="1:4" ht="12.75" customHeight="1" x14ac:dyDescent="0.2">
      <c r="A4563" s="21"/>
      <c r="B4563" s="3" t="s">
        <v>9</v>
      </c>
      <c r="C4563" s="20" t="s">
        <v>1365</v>
      </c>
      <c r="D4563" s="21"/>
    </row>
    <row r="4564" spans="1:4" ht="12.75" customHeight="1" x14ac:dyDescent="0.2">
      <c r="A4564" s="21"/>
      <c r="B4564" s="3" t="s">
        <v>11</v>
      </c>
      <c r="C4564" s="20" t="s">
        <v>1105</v>
      </c>
      <c r="D4564" s="21"/>
    </row>
    <row r="4565" spans="1:4" ht="12.75" customHeight="1" x14ac:dyDescent="0.2">
      <c r="A4565" s="21"/>
      <c r="B4565" s="3" t="s">
        <v>13</v>
      </c>
      <c r="C4565" s="20" t="s">
        <v>14</v>
      </c>
      <c r="D4565" s="21"/>
    </row>
    <row r="4566" spans="1:4" ht="12.75" customHeight="1" x14ac:dyDescent="0.2">
      <c r="A4566" s="21"/>
      <c r="B4566" s="3" t="s">
        <v>15</v>
      </c>
      <c r="C4566" s="20" t="s">
        <v>24</v>
      </c>
      <c r="D4566" s="21"/>
    </row>
    <row r="4567" spans="1:4" ht="12.75" customHeight="1" x14ac:dyDescent="0.2">
      <c r="A4567" s="21"/>
      <c r="B4567" s="3" t="s">
        <v>16</v>
      </c>
      <c r="C4567" s="20"/>
      <c r="D4567" s="21"/>
    </row>
    <row r="4568" spans="1:4" ht="12.75" customHeight="1" x14ac:dyDescent="0.2">
      <c r="A4568" s="21"/>
      <c r="B4568" s="3" t="s">
        <v>17</v>
      </c>
      <c r="C4568" s="20"/>
      <c r="D4568" s="21"/>
    </row>
    <row r="4569" spans="1:4" ht="12.75" customHeight="1" x14ac:dyDescent="0.2">
      <c r="A4569" s="21"/>
      <c r="B4569" s="20" t="s">
        <v>18</v>
      </c>
      <c r="C4569" s="4" t="s">
        <v>335</v>
      </c>
      <c r="D4569" s="6" t="str">
        <f>HYPERLINK("javascript:void(0)","bázispár")</f>
        <v>bázispár</v>
      </c>
    </row>
    <row r="4570" spans="1:4" ht="12.75" customHeight="1" x14ac:dyDescent="0.2">
      <c r="A4570" s="21"/>
      <c r="B4570" s="21"/>
      <c r="C4570" s="4" t="s">
        <v>139</v>
      </c>
      <c r="D4570" s="6" t="str">
        <f>HYPERLINK("javascript:void(0)","átokige")</f>
        <v>átokige</v>
      </c>
    </row>
    <row r="4571" spans="1:4" ht="12.75" customHeight="1" x14ac:dyDescent="0.2">
      <c r="A4571" s="21"/>
      <c r="B4571" s="21"/>
      <c r="C4571" s="4" t="s">
        <v>369</v>
      </c>
      <c r="D4571" s="6" t="str">
        <f>HYPERLINK("javascript:void(0)","ördögpihe")</f>
        <v>ördögpihe</v>
      </c>
    </row>
    <row r="4572" spans="1:4" ht="12.75" customHeight="1" x14ac:dyDescent="0.2">
      <c r="A4572" s="5"/>
      <c r="B4572" s="2"/>
      <c r="C4572" s="2"/>
      <c r="D4572" s="2"/>
    </row>
    <row r="4573" spans="1:4" ht="12.75" customHeight="1" x14ac:dyDescent="0.2">
      <c r="A4573" s="22" t="str">
        <f>HYPERLINK("javascript:void(0)","grafitbunkó")</f>
        <v>grafitbunkó</v>
      </c>
      <c r="B4573" s="21"/>
      <c r="C4573" s="21"/>
      <c r="D4573" s="21"/>
    </row>
    <row r="4574" spans="1:4" ht="12.75" customHeight="1" x14ac:dyDescent="0.2">
      <c r="A4574" s="20"/>
      <c r="B4574" s="2"/>
      <c r="C4574" s="2"/>
      <c r="D4574" s="2"/>
    </row>
    <row r="4575" spans="1:4" ht="12.75" customHeight="1" x14ac:dyDescent="0.2">
      <c r="A4575" s="21"/>
      <c r="B4575" s="3" t="s">
        <v>0</v>
      </c>
      <c r="C4575" s="20" t="s">
        <v>302</v>
      </c>
      <c r="D4575" s="21"/>
    </row>
    <row r="4576" spans="1:4" ht="12.75" customHeight="1" x14ac:dyDescent="0.2">
      <c r="A4576" s="21"/>
      <c r="B4576" s="3" t="s">
        <v>2</v>
      </c>
      <c r="C4576" s="20" t="s">
        <v>122</v>
      </c>
      <c r="D4576" s="21"/>
    </row>
    <row r="4577" spans="1:4" ht="12.75" customHeight="1" x14ac:dyDescent="0.2">
      <c r="A4577" s="21"/>
      <c r="B4577" s="3" t="s">
        <v>4</v>
      </c>
      <c r="C4577" s="20" t="s">
        <v>1367</v>
      </c>
      <c r="D4577" s="21"/>
    </row>
    <row r="4578" spans="1:4" ht="12.75" customHeight="1" x14ac:dyDescent="0.2">
      <c r="A4578" s="21"/>
      <c r="B4578" s="3" t="s">
        <v>6</v>
      </c>
      <c r="C4578" s="20" t="s">
        <v>392</v>
      </c>
      <c r="D4578" s="21"/>
    </row>
    <row r="4579" spans="1:4" ht="12.75" customHeight="1" x14ac:dyDescent="0.2">
      <c r="A4579" s="21"/>
      <c r="B4579" s="3" t="s">
        <v>8</v>
      </c>
      <c r="C4579" s="20" t="s">
        <v>1367</v>
      </c>
      <c r="D4579" s="21"/>
    </row>
    <row r="4580" spans="1:4" ht="12.75" customHeight="1" x14ac:dyDescent="0.2">
      <c r="A4580" s="21"/>
      <c r="B4580" s="3" t="s">
        <v>9</v>
      </c>
      <c r="C4580" s="20" t="s">
        <v>1368</v>
      </c>
      <c r="D4580" s="21"/>
    </row>
    <row r="4581" spans="1:4" ht="12.75" customHeight="1" x14ac:dyDescent="0.2">
      <c r="A4581" s="21"/>
      <c r="B4581" s="3" t="s">
        <v>11</v>
      </c>
      <c r="C4581" s="20" t="s">
        <v>835</v>
      </c>
      <c r="D4581" s="21"/>
    </row>
    <row r="4582" spans="1:4" ht="12.75" customHeight="1" x14ac:dyDescent="0.2">
      <c r="A4582" s="21"/>
      <c r="B4582" s="3" t="s">
        <v>13</v>
      </c>
      <c r="C4582" s="20" t="s">
        <v>24</v>
      </c>
      <c r="D4582" s="21"/>
    </row>
    <row r="4583" spans="1:4" ht="12.75" customHeight="1" x14ac:dyDescent="0.2">
      <c r="A4583" s="21"/>
      <c r="B4583" s="3" t="s">
        <v>15</v>
      </c>
      <c r="C4583" s="20" t="s">
        <v>24</v>
      </c>
      <c r="D4583" s="21"/>
    </row>
    <row r="4584" spans="1:4" ht="12.75" customHeight="1" x14ac:dyDescent="0.2">
      <c r="A4584" s="21"/>
      <c r="B4584" s="3" t="s">
        <v>16</v>
      </c>
      <c r="C4584" s="20"/>
      <c r="D4584" s="21"/>
    </row>
    <row r="4585" spans="1:4" ht="12.75" customHeight="1" x14ac:dyDescent="0.2">
      <c r="A4585" s="21"/>
      <c r="B4585" s="3" t="s">
        <v>17</v>
      </c>
      <c r="C4585" s="20"/>
      <c r="D4585" s="21"/>
    </row>
    <row r="4586" spans="1:4" ht="12.75" customHeight="1" x14ac:dyDescent="0.2">
      <c r="A4586" s="21"/>
      <c r="B4586" s="20" t="s">
        <v>18</v>
      </c>
      <c r="C4586" s="4" t="s">
        <v>44</v>
      </c>
      <c r="D4586" s="6" t="str">
        <f>HYPERLINK("javascript:void(0)","átokpöröly")</f>
        <v>átokpöröly</v>
      </c>
    </row>
    <row r="4587" spans="1:4" ht="25.5" customHeight="1" x14ac:dyDescent="0.2">
      <c r="A4587" s="21"/>
      <c r="B4587" s="21"/>
      <c r="C4587" s="4" t="s">
        <v>44</v>
      </c>
      <c r="D4587" s="6" t="str">
        <f>HYPERLINK("javascript:void(0)","szegecspántos csontzúzó")</f>
        <v>szegecspántos csontzúzó</v>
      </c>
    </row>
    <row r="4588" spans="1:4" ht="12.75" customHeight="1" x14ac:dyDescent="0.2">
      <c r="A4588" s="21"/>
      <c r="B4588" s="21"/>
      <c r="C4588" s="4" t="s">
        <v>44</v>
      </c>
      <c r="D4588" s="6" t="str">
        <f>HYPERLINK("javascript:void(0)","gyémántrúd")</f>
        <v>gyémántrúd</v>
      </c>
    </row>
    <row r="4589" spans="1:4" ht="12.75" customHeight="1" x14ac:dyDescent="0.2">
      <c r="A4589" s="5"/>
      <c r="B4589" s="2"/>
      <c r="C4589" s="2"/>
      <c r="D4589" s="2"/>
    </row>
    <row r="4590" spans="1:4" ht="12.75" customHeight="1" x14ac:dyDescent="0.2">
      <c r="A4590" s="22" t="str">
        <f>HYPERLINK("javascript:void(0)","tekeredett gigaballaszt")</f>
        <v>tekeredett gigaballaszt</v>
      </c>
      <c r="B4590" s="21"/>
      <c r="C4590" s="21"/>
      <c r="D4590" s="21"/>
    </row>
    <row r="4591" spans="1:4" ht="12.75" customHeight="1" x14ac:dyDescent="0.2">
      <c r="A4591" s="20"/>
      <c r="B4591" s="2"/>
      <c r="C4591" s="2"/>
      <c r="D4591" s="2"/>
    </row>
    <row r="4592" spans="1:4" ht="12.75" customHeight="1" x14ac:dyDescent="0.2">
      <c r="A4592" s="21"/>
      <c r="B4592" s="3" t="s">
        <v>0</v>
      </c>
      <c r="C4592" s="20" t="s">
        <v>302</v>
      </c>
      <c r="D4592" s="21"/>
    </row>
    <row r="4593" spans="1:4" ht="12.75" customHeight="1" x14ac:dyDescent="0.2">
      <c r="A4593" s="21"/>
      <c r="B4593" s="3" t="s">
        <v>2</v>
      </c>
      <c r="C4593" s="20" t="s">
        <v>122</v>
      </c>
      <c r="D4593" s="21"/>
    </row>
    <row r="4594" spans="1:4" ht="12.75" customHeight="1" x14ac:dyDescent="0.2">
      <c r="A4594" s="21"/>
      <c r="B4594" s="3" t="s">
        <v>4</v>
      </c>
      <c r="C4594" s="20" t="s">
        <v>1370</v>
      </c>
      <c r="D4594" s="21"/>
    </row>
    <row r="4595" spans="1:4" ht="12.75" customHeight="1" x14ac:dyDescent="0.2">
      <c r="A4595" s="21"/>
      <c r="B4595" s="3" t="s">
        <v>6</v>
      </c>
      <c r="C4595" s="20" t="s">
        <v>298</v>
      </c>
      <c r="D4595" s="21"/>
    </row>
    <row r="4596" spans="1:4" ht="12.75" customHeight="1" x14ac:dyDescent="0.2">
      <c r="A4596" s="21"/>
      <c r="B4596" s="3" t="s">
        <v>8</v>
      </c>
      <c r="C4596" s="20" t="s">
        <v>1370</v>
      </c>
      <c r="D4596" s="21"/>
    </row>
    <row r="4597" spans="1:4" ht="12.75" customHeight="1" x14ac:dyDescent="0.2">
      <c r="A4597" s="21"/>
      <c r="B4597" s="3" t="s">
        <v>9</v>
      </c>
      <c r="C4597" s="20" t="s">
        <v>1371</v>
      </c>
      <c r="D4597" s="21"/>
    </row>
    <row r="4598" spans="1:4" ht="12.75" customHeight="1" x14ac:dyDescent="0.2">
      <c r="A4598" s="21"/>
      <c r="B4598" s="3" t="s">
        <v>11</v>
      </c>
      <c r="C4598" s="20" t="s">
        <v>1372</v>
      </c>
      <c r="D4598" s="21"/>
    </row>
    <row r="4599" spans="1:4" ht="12.75" customHeight="1" x14ac:dyDescent="0.2">
      <c r="A4599" s="21"/>
      <c r="B4599" s="3" t="s">
        <v>13</v>
      </c>
      <c r="C4599" s="20" t="s">
        <v>24</v>
      </c>
      <c r="D4599" s="21"/>
    </row>
    <row r="4600" spans="1:4" ht="12.75" customHeight="1" x14ac:dyDescent="0.2">
      <c r="A4600" s="21"/>
      <c r="B4600" s="3" t="s">
        <v>15</v>
      </c>
      <c r="C4600" s="20" t="s">
        <v>24</v>
      </c>
      <c r="D4600" s="21"/>
    </row>
    <row r="4601" spans="1:4" ht="12.75" customHeight="1" x14ac:dyDescent="0.2">
      <c r="A4601" s="21"/>
      <c r="B4601" s="3" t="s">
        <v>16</v>
      </c>
      <c r="C4601" s="20"/>
      <c r="D4601" s="21"/>
    </row>
    <row r="4602" spans="1:4" ht="12.75" customHeight="1" x14ac:dyDescent="0.2">
      <c r="A4602" s="21"/>
      <c r="B4602" s="3" t="s">
        <v>17</v>
      </c>
      <c r="C4602" s="20"/>
      <c r="D4602" s="21"/>
    </row>
    <row r="4603" spans="1:4" ht="12.75" customHeight="1" x14ac:dyDescent="0.2">
      <c r="A4603" s="21"/>
      <c r="B4603" s="20" t="s">
        <v>18</v>
      </c>
      <c r="C4603" s="4" t="s">
        <v>117</v>
      </c>
      <c r="D4603" s="6" t="str">
        <f>HYPERLINK("javascript:void(0)","tekervény")</f>
        <v>tekervény</v>
      </c>
    </row>
    <row r="4604" spans="1:4" ht="12.75" customHeight="1" x14ac:dyDescent="0.2">
      <c r="A4604" s="21"/>
      <c r="B4604" s="21"/>
      <c r="C4604" s="4" t="s">
        <v>331</v>
      </c>
      <c r="D4604" s="6" t="str">
        <f>HYPERLINK("javascript:void(0)","ikerkristály")</f>
        <v>ikerkristály</v>
      </c>
    </row>
    <row r="4605" spans="1:4" ht="12.75" customHeight="1" x14ac:dyDescent="0.2">
      <c r="A4605" s="21"/>
      <c r="B4605" s="21"/>
      <c r="C4605" s="4" t="s">
        <v>163</v>
      </c>
      <c r="D4605" s="6" t="str">
        <f>HYPERLINK("javascript:void(0)","csigaszem")</f>
        <v>csigaszem</v>
      </c>
    </row>
    <row r="4606" spans="1:4" ht="12.75" customHeight="1" x14ac:dyDescent="0.2">
      <c r="A4606" s="5"/>
      <c r="B4606" s="2"/>
      <c r="C4606" s="2"/>
      <c r="D4606" s="2"/>
    </row>
    <row r="4607" spans="1:4" ht="12.75" customHeight="1" x14ac:dyDescent="0.2">
      <c r="A4607" s="22" t="str">
        <f>HYPERLINK("javascript:void(0)","gyíkacél sanchaku")</f>
        <v>gyíkacél sanchaku</v>
      </c>
      <c r="B4607" s="21"/>
      <c r="C4607" s="21"/>
      <c r="D4607" s="21"/>
    </row>
    <row r="4608" spans="1:4" ht="12.75" customHeight="1" x14ac:dyDescent="0.2">
      <c r="A4608" s="20"/>
      <c r="B4608" s="2"/>
      <c r="C4608" s="2"/>
      <c r="D4608" s="2"/>
    </row>
    <row r="4609" spans="1:4" ht="12.75" customHeight="1" x14ac:dyDescent="0.2">
      <c r="A4609" s="21"/>
      <c r="B4609" s="3" t="s">
        <v>0</v>
      </c>
      <c r="C4609" s="20" t="s">
        <v>302</v>
      </c>
      <c r="D4609" s="21"/>
    </row>
    <row r="4610" spans="1:4" ht="12.75" customHeight="1" x14ac:dyDescent="0.2">
      <c r="A4610" s="21"/>
      <c r="B4610" s="3" t="s">
        <v>2</v>
      </c>
      <c r="C4610" s="20" t="s">
        <v>122</v>
      </c>
      <c r="D4610" s="21"/>
    </row>
    <row r="4611" spans="1:4" ht="12.75" customHeight="1" x14ac:dyDescent="0.2">
      <c r="A4611" s="21"/>
      <c r="B4611" s="3" t="s">
        <v>4</v>
      </c>
      <c r="C4611" s="20" t="s">
        <v>1377</v>
      </c>
      <c r="D4611" s="21"/>
    </row>
    <row r="4612" spans="1:4" ht="12.75" customHeight="1" x14ac:dyDescent="0.2">
      <c r="A4612" s="21"/>
      <c r="B4612" s="3" t="s">
        <v>6</v>
      </c>
      <c r="C4612" s="20" t="s">
        <v>107</v>
      </c>
      <c r="D4612" s="21"/>
    </row>
    <row r="4613" spans="1:4" ht="12.75" customHeight="1" x14ac:dyDescent="0.2">
      <c r="A4613" s="21"/>
      <c r="B4613" s="3" t="s">
        <v>8</v>
      </c>
      <c r="C4613" s="20" t="s">
        <v>1377</v>
      </c>
      <c r="D4613" s="21"/>
    </row>
    <row r="4614" spans="1:4" ht="12.75" customHeight="1" x14ac:dyDescent="0.2">
      <c r="A4614" s="21"/>
      <c r="B4614" s="3" t="s">
        <v>9</v>
      </c>
      <c r="C4614" s="20" t="s">
        <v>1378</v>
      </c>
      <c r="D4614" s="21"/>
    </row>
    <row r="4615" spans="1:4" ht="12.75" customHeight="1" x14ac:dyDescent="0.2">
      <c r="A4615" s="21"/>
      <c r="B4615" s="3" t="s">
        <v>11</v>
      </c>
      <c r="C4615" s="20" t="s">
        <v>603</v>
      </c>
      <c r="D4615" s="21"/>
    </row>
    <row r="4616" spans="1:4" ht="12.75" customHeight="1" x14ac:dyDescent="0.2">
      <c r="A4616" s="21"/>
      <c r="B4616" s="3" t="s">
        <v>13</v>
      </c>
      <c r="C4616" s="20" t="s">
        <v>24</v>
      </c>
      <c r="D4616" s="21"/>
    </row>
    <row r="4617" spans="1:4" ht="12.75" customHeight="1" x14ac:dyDescent="0.2">
      <c r="A4617" s="21"/>
      <c r="B4617" s="3" t="s">
        <v>15</v>
      </c>
      <c r="C4617" s="20" t="s">
        <v>24</v>
      </c>
      <c r="D4617" s="21"/>
    </row>
    <row r="4618" spans="1:4" ht="12.75" customHeight="1" x14ac:dyDescent="0.2">
      <c r="A4618" s="21"/>
      <c r="B4618" s="3" t="s">
        <v>16</v>
      </c>
      <c r="C4618" s="20"/>
      <c r="D4618" s="21"/>
    </row>
    <row r="4619" spans="1:4" ht="12.75" customHeight="1" x14ac:dyDescent="0.2">
      <c r="A4619" s="21"/>
      <c r="B4619" s="3" t="s">
        <v>17</v>
      </c>
      <c r="C4619" s="20"/>
      <c r="D4619" s="21"/>
    </row>
    <row r="4620" spans="1:4" ht="12.75" customHeight="1" x14ac:dyDescent="0.2">
      <c r="A4620" s="21"/>
      <c r="B4620" s="20" t="s">
        <v>18</v>
      </c>
      <c r="C4620" s="4" t="s">
        <v>1379</v>
      </c>
      <c r="D4620" s="6" t="str">
        <f>HYPERLINK("javascript:void(0)","madártoll")</f>
        <v>madártoll</v>
      </c>
    </row>
    <row r="4621" spans="1:4" ht="12.75" customHeight="1" x14ac:dyDescent="0.2">
      <c r="A4621" s="21"/>
      <c r="B4621" s="21"/>
      <c r="C4621" s="4" t="s">
        <v>139</v>
      </c>
      <c r="D4621" s="6" t="str">
        <f>HYPERLINK("javascript:void(0)","hidegige")</f>
        <v>hidegige</v>
      </c>
    </row>
    <row r="4622" spans="1:4" ht="12.75" customHeight="1" x14ac:dyDescent="0.2">
      <c r="A4622" s="21"/>
      <c r="B4622" s="21"/>
      <c r="C4622" s="4" t="s">
        <v>193</v>
      </c>
      <c r="D4622" s="6" t="str">
        <f>HYPERLINK("javascript:void(0)","homokóra")</f>
        <v>homokóra</v>
      </c>
    </row>
    <row r="4623" spans="1:4" ht="12.75" customHeight="1" x14ac:dyDescent="0.2">
      <c r="A4623" s="5"/>
      <c r="B4623" s="2"/>
      <c r="C4623" s="2"/>
      <c r="D4623" s="2"/>
    </row>
    <row r="4624" spans="1:4" ht="12.75" customHeight="1" x14ac:dyDescent="0.2">
      <c r="A4624" s="22" t="str">
        <f>HYPERLINK("javascript:void(0)","varázslatos tekertcsel")</f>
        <v>varázslatos tekertcsel</v>
      </c>
      <c r="B4624" s="21"/>
      <c r="C4624" s="21"/>
      <c r="D4624" s="21"/>
    </row>
    <row r="4625" spans="1:4" ht="12.75" customHeight="1" x14ac:dyDescent="0.2">
      <c r="A4625" s="20"/>
      <c r="B4625" s="2"/>
      <c r="C4625" s="2"/>
      <c r="D4625" s="2"/>
    </row>
    <row r="4626" spans="1:4" ht="12.75" customHeight="1" x14ac:dyDescent="0.2">
      <c r="A4626" s="21"/>
      <c r="B4626" s="3" t="s">
        <v>0</v>
      </c>
      <c r="C4626" s="20" t="s">
        <v>302</v>
      </c>
      <c r="D4626" s="21"/>
    </row>
    <row r="4627" spans="1:4" ht="12.75" customHeight="1" x14ac:dyDescent="0.2">
      <c r="A4627" s="21"/>
      <c r="B4627" s="3" t="s">
        <v>2</v>
      </c>
      <c r="C4627" s="20" t="s">
        <v>122</v>
      </c>
      <c r="D4627" s="21"/>
    </row>
    <row r="4628" spans="1:4" ht="12.75" customHeight="1" x14ac:dyDescent="0.2">
      <c r="A4628" s="21"/>
      <c r="B4628" s="3" t="s">
        <v>4</v>
      </c>
      <c r="C4628" s="20" t="s">
        <v>533</v>
      </c>
      <c r="D4628" s="21"/>
    </row>
    <row r="4629" spans="1:4" ht="12.75" customHeight="1" x14ac:dyDescent="0.2">
      <c r="A4629" s="21"/>
      <c r="B4629" s="3" t="s">
        <v>6</v>
      </c>
      <c r="C4629" s="20" t="s">
        <v>21</v>
      </c>
      <c r="D4629" s="21"/>
    </row>
    <row r="4630" spans="1:4" ht="12.75" customHeight="1" x14ac:dyDescent="0.2">
      <c r="A4630" s="21"/>
      <c r="B4630" s="3" t="s">
        <v>8</v>
      </c>
      <c r="C4630" s="20" t="s">
        <v>533</v>
      </c>
      <c r="D4630" s="21"/>
    </row>
    <row r="4631" spans="1:4" ht="12.75" customHeight="1" x14ac:dyDescent="0.2">
      <c r="A4631" s="21"/>
      <c r="B4631" s="3" t="s">
        <v>9</v>
      </c>
      <c r="C4631" s="20" t="s">
        <v>42</v>
      </c>
      <c r="D4631" s="21"/>
    </row>
    <row r="4632" spans="1:4" ht="12.75" customHeight="1" x14ac:dyDescent="0.2">
      <c r="A4632" s="21"/>
      <c r="B4632" s="3" t="s">
        <v>11</v>
      </c>
      <c r="C4632" s="20" t="s">
        <v>817</v>
      </c>
      <c r="D4632" s="21"/>
    </row>
    <row r="4633" spans="1:4" ht="12.75" customHeight="1" x14ac:dyDescent="0.2">
      <c r="A4633" s="21"/>
      <c r="B4633" s="3" t="s">
        <v>13</v>
      </c>
      <c r="C4633" s="20" t="s">
        <v>24</v>
      </c>
      <c r="D4633" s="21"/>
    </row>
    <row r="4634" spans="1:4" ht="12.75" customHeight="1" x14ac:dyDescent="0.2">
      <c r="A4634" s="21"/>
      <c r="B4634" s="3" t="s">
        <v>15</v>
      </c>
      <c r="C4634" s="20" t="s">
        <v>24</v>
      </c>
      <c r="D4634" s="21"/>
    </row>
    <row r="4635" spans="1:4" ht="12.75" customHeight="1" x14ac:dyDescent="0.2">
      <c r="A4635" s="21"/>
      <c r="B4635" s="3" t="s">
        <v>16</v>
      </c>
      <c r="C4635" s="20"/>
      <c r="D4635" s="21"/>
    </row>
    <row r="4636" spans="1:4" ht="12.75" customHeight="1" x14ac:dyDescent="0.2">
      <c r="A4636" s="21"/>
      <c r="B4636" s="3" t="s">
        <v>17</v>
      </c>
      <c r="C4636" s="20"/>
      <c r="D4636" s="21"/>
    </row>
    <row r="4637" spans="1:4" ht="12.75" customHeight="1" x14ac:dyDescent="0.2">
      <c r="A4637" s="21"/>
      <c r="B4637" s="20" t="s">
        <v>18</v>
      </c>
      <c r="C4637" s="4" t="s">
        <v>193</v>
      </c>
      <c r="D4637" s="6" t="str">
        <f>HYPERLINK("javascript:void(0)","varázsige")</f>
        <v>varázsige</v>
      </c>
    </row>
    <row r="4638" spans="1:4" ht="12.75" customHeight="1" x14ac:dyDescent="0.2">
      <c r="A4638" s="21"/>
      <c r="B4638" s="21"/>
      <c r="C4638" s="4" t="s">
        <v>55</v>
      </c>
      <c r="D4638" s="6" t="str">
        <f>HYPERLINK("javascript:void(0)","tekervény")</f>
        <v>tekervény</v>
      </c>
    </row>
    <row r="4639" spans="1:4" ht="12.75" customHeight="1" x14ac:dyDescent="0.2">
      <c r="A4639" s="21"/>
      <c r="B4639" s="21"/>
      <c r="C4639" s="4" t="s">
        <v>193</v>
      </c>
      <c r="D4639" s="6" t="str">
        <f>HYPERLINK("javascript:void(0)","bigapata")</f>
        <v>bigapata</v>
      </c>
    </row>
    <row r="4640" spans="1:4" ht="12.75" customHeight="1" x14ac:dyDescent="0.2">
      <c r="A4640" s="5"/>
      <c r="B4640" s="2"/>
      <c r="C4640" s="2"/>
      <c r="D4640" s="2"/>
    </row>
    <row r="4641" spans="1:4" ht="12.75" customHeight="1" x14ac:dyDescent="0.2">
      <c r="A4641" s="22" t="str">
        <f>HYPERLINK("javascript:void(0)","gyémántrúd")</f>
        <v>gyémántrúd</v>
      </c>
      <c r="B4641" s="21"/>
      <c r="C4641" s="21"/>
      <c r="D4641" s="21"/>
    </row>
    <row r="4642" spans="1:4" ht="12.75" customHeight="1" x14ac:dyDescent="0.2">
      <c r="A4642" s="20"/>
      <c r="B4642" s="2"/>
      <c r="C4642" s="2"/>
      <c r="D4642" s="2"/>
    </row>
    <row r="4643" spans="1:4" ht="12.75" customHeight="1" x14ac:dyDescent="0.2">
      <c r="A4643" s="21"/>
      <c r="B4643" s="3" t="s">
        <v>0</v>
      </c>
      <c r="C4643" s="20" t="s">
        <v>302</v>
      </c>
      <c r="D4643" s="21"/>
    </row>
    <row r="4644" spans="1:4" ht="12.75" customHeight="1" x14ac:dyDescent="0.2">
      <c r="A4644" s="21"/>
      <c r="B4644" s="3" t="s">
        <v>2</v>
      </c>
      <c r="C4644" s="20" t="s">
        <v>122</v>
      </c>
      <c r="D4644" s="21"/>
    </row>
    <row r="4645" spans="1:4" ht="12.75" customHeight="1" x14ac:dyDescent="0.2">
      <c r="A4645" s="21"/>
      <c r="B4645" s="3" t="s">
        <v>4</v>
      </c>
      <c r="C4645" s="20" t="s">
        <v>533</v>
      </c>
      <c r="D4645" s="21"/>
    </row>
    <row r="4646" spans="1:4" ht="12.75" customHeight="1" x14ac:dyDescent="0.2">
      <c r="A4646" s="21"/>
      <c r="B4646" s="3" t="s">
        <v>6</v>
      </c>
      <c r="C4646" s="20" t="s">
        <v>21</v>
      </c>
      <c r="D4646" s="21"/>
    </row>
    <row r="4647" spans="1:4" ht="12.75" customHeight="1" x14ac:dyDescent="0.2">
      <c r="A4647" s="21"/>
      <c r="B4647" s="3" t="s">
        <v>8</v>
      </c>
      <c r="C4647" s="20" t="s">
        <v>533</v>
      </c>
      <c r="D4647" s="21"/>
    </row>
    <row r="4648" spans="1:4" ht="12.75" customHeight="1" x14ac:dyDescent="0.2">
      <c r="A4648" s="21"/>
      <c r="B4648" s="3" t="s">
        <v>9</v>
      </c>
      <c r="C4648" s="20" t="s">
        <v>42</v>
      </c>
      <c r="D4648" s="21"/>
    </row>
    <row r="4649" spans="1:4" ht="12.75" customHeight="1" x14ac:dyDescent="0.2">
      <c r="A4649" s="21"/>
      <c r="B4649" s="3" t="s">
        <v>11</v>
      </c>
      <c r="C4649" s="20" t="s">
        <v>817</v>
      </c>
      <c r="D4649" s="21"/>
    </row>
    <row r="4650" spans="1:4" ht="12.75" customHeight="1" x14ac:dyDescent="0.2">
      <c r="A4650" s="21"/>
      <c r="B4650" s="3" t="s">
        <v>13</v>
      </c>
      <c r="C4650" s="20" t="s">
        <v>24</v>
      </c>
      <c r="D4650" s="21"/>
    </row>
    <row r="4651" spans="1:4" ht="12.75" customHeight="1" x14ac:dyDescent="0.2">
      <c r="A4651" s="21"/>
      <c r="B4651" s="3" t="s">
        <v>15</v>
      </c>
      <c r="C4651" s="20" t="s">
        <v>24</v>
      </c>
      <c r="D4651" s="21"/>
    </row>
    <row r="4652" spans="1:4" ht="12.75" customHeight="1" x14ac:dyDescent="0.2">
      <c r="A4652" s="21"/>
      <c r="B4652" s="3" t="s">
        <v>16</v>
      </c>
      <c r="C4652" s="20"/>
      <c r="D4652" s="21"/>
    </row>
    <row r="4653" spans="1:4" ht="12.75" customHeight="1" x14ac:dyDescent="0.2">
      <c r="A4653" s="21"/>
      <c r="B4653" s="3" t="s">
        <v>17</v>
      </c>
      <c r="C4653" s="20"/>
      <c r="D4653" s="21"/>
    </row>
    <row r="4654" spans="1:4" ht="12.75" customHeight="1" x14ac:dyDescent="0.2">
      <c r="A4654" s="21"/>
      <c r="B4654" s="20" t="s">
        <v>18</v>
      </c>
      <c r="C4654" s="4" t="s">
        <v>1389</v>
      </c>
      <c r="D4654" s="6" t="str">
        <f>HYPERLINK("javascript:void(0)","kincs")</f>
        <v>kincs</v>
      </c>
    </row>
    <row r="4655" spans="1:4" ht="12.75" customHeight="1" x14ac:dyDescent="0.2">
      <c r="A4655" s="21"/>
      <c r="B4655" s="21"/>
      <c r="C4655" s="4" t="s">
        <v>55</v>
      </c>
      <c r="D4655" s="6" t="str">
        <f>HYPERLINK("javascript:void(0)","cerka")</f>
        <v>cerka</v>
      </c>
    </row>
    <row r="4656" spans="1:4" ht="12.75" customHeight="1" x14ac:dyDescent="0.2">
      <c r="A4656" s="21"/>
      <c r="B4656" s="21"/>
      <c r="C4656" s="4" t="s">
        <v>139</v>
      </c>
      <c r="D4656" s="6" t="str">
        <f>HYPERLINK("javascript:void(0)","aszályige")</f>
        <v>aszályige</v>
      </c>
    </row>
    <row r="4657" spans="1:4" ht="12.75" customHeight="1" x14ac:dyDescent="0.2">
      <c r="A4657" s="5"/>
      <c r="B4657" s="2"/>
      <c r="C4657" s="2"/>
      <c r="D4657" s="2"/>
    </row>
    <row r="4658" spans="1:4" ht="12.75" customHeight="1" x14ac:dyDescent="0.2">
      <c r="A4658" s="22" t="str">
        <f>HYPERLINK("javascript:void(0)","húros bunkó")</f>
        <v>húros bunkó</v>
      </c>
      <c r="B4658" s="21"/>
      <c r="C4658" s="21"/>
      <c r="D4658" s="21"/>
    </row>
    <row r="4659" spans="1:4" ht="12.75" customHeight="1" x14ac:dyDescent="0.2">
      <c r="A4659" s="20"/>
      <c r="B4659" s="2"/>
      <c r="C4659" s="2"/>
      <c r="D4659" s="2"/>
    </row>
    <row r="4660" spans="1:4" ht="12.75" customHeight="1" x14ac:dyDescent="0.2">
      <c r="A4660" s="21"/>
      <c r="B4660" s="3" t="s">
        <v>0</v>
      </c>
      <c r="C4660" s="20" t="s">
        <v>255</v>
      </c>
      <c r="D4660" s="21"/>
    </row>
    <row r="4661" spans="1:4" ht="12.75" customHeight="1" x14ac:dyDescent="0.2">
      <c r="A4661" s="21"/>
      <c r="B4661" s="3" t="s">
        <v>2</v>
      </c>
      <c r="C4661" s="20" t="s">
        <v>122</v>
      </c>
      <c r="D4661" s="21"/>
    </row>
    <row r="4662" spans="1:4" ht="12.75" customHeight="1" x14ac:dyDescent="0.2">
      <c r="A4662" s="21"/>
      <c r="B4662" s="3" t="s">
        <v>4</v>
      </c>
      <c r="C4662" s="20" t="s">
        <v>1393</v>
      </c>
      <c r="D4662" s="21"/>
    </row>
    <row r="4663" spans="1:4" ht="12.75" customHeight="1" x14ac:dyDescent="0.2">
      <c r="A4663" s="21"/>
      <c r="B4663" s="3" t="s">
        <v>6</v>
      </c>
      <c r="C4663" s="20" t="s">
        <v>52</v>
      </c>
      <c r="D4663" s="21"/>
    </row>
    <row r="4664" spans="1:4" ht="12.75" customHeight="1" x14ac:dyDescent="0.2">
      <c r="A4664" s="21"/>
      <c r="B4664" s="3" t="s">
        <v>8</v>
      </c>
      <c r="C4664" s="20" t="s">
        <v>1393</v>
      </c>
      <c r="D4664" s="21"/>
    </row>
    <row r="4665" spans="1:4" ht="12.75" customHeight="1" x14ac:dyDescent="0.2">
      <c r="A4665" s="21"/>
      <c r="B4665" s="3" t="s">
        <v>9</v>
      </c>
      <c r="C4665" s="20" t="s">
        <v>1246</v>
      </c>
      <c r="D4665" s="21"/>
    </row>
    <row r="4666" spans="1:4" ht="12.75" customHeight="1" x14ac:dyDescent="0.2">
      <c r="A4666" s="21"/>
      <c r="B4666" s="3" t="s">
        <v>11</v>
      </c>
      <c r="C4666" s="20" t="s">
        <v>847</v>
      </c>
      <c r="D4666" s="21"/>
    </row>
    <row r="4667" spans="1:4" ht="12.75" customHeight="1" x14ac:dyDescent="0.2">
      <c r="A4667" s="21"/>
      <c r="B4667" s="3" t="s">
        <v>13</v>
      </c>
      <c r="C4667" s="20" t="s">
        <v>24</v>
      </c>
      <c r="D4667" s="21"/>
    </row>
    <row r="4668" spans="1:4" ht="12.75" customHeight="1" x14ac:dyDescent="0.2">
      <c r="A4668" s="21"/>
      <c r="B4668" s="3" t="s">
        <v>15</v>
      </c>
      <c r="C4668" s="20" t="s">
        <v>24</v>
      </c>
      <c r="D4668" s="21"/>
    </row>
    <row r="4669" spans="1:4" ht="12.75" customHeight="1" x14ac:dyDescent="0.2">
      <c r="A4669" s="21"/>
      <c r="B4669" s="3" t="s">
        <v>16</v>
      </c>
      <c r="C4669" s="20"/>
      <c r="D4669" s="21"/>
    </row>
    <row r="4670" spans="1:4" ht="12.75" customHeight="1" x14ac:dyDescent="0.2">
      <c r="A4670" s="21"/>
      <c r="B4670" s="3" t="s">
        <v>17</v>
      </c>
      <c r="C4670" s="20"/>
      <c r="D4670" s="21"/>
    </row>
    <row r="4671" spans="1:4" ht="12.75" customHeight="1" x14ac:dyDescent="0.2">
      <c r="A4671" s="21"/>
      <c r="B4671" s="20" t="s">
        <v>18</v>
      </c>
      <c r="C4671" s="4" t="s">
        <v>232</v>
      </c>
      <c r="D4671" s="6" t="str">
        <f>HYPERLINK("javascript:void(0)","zanzahúr")</f>
        <v>zanzahúr</v>
      </c>
    </row>
    <row r="4672" spans="1:4" ht="12.75" customHeight="1" x14ac:dyDescent="0.2">
      <c r="A4672" s="21"/>
      <c r="B4672" s="21"/>
      <c r="C4672" s="4" t="s">
        <v>44</v>
      </c>
      <c r="D4672" s="6" t="str">
        <f>HYPERLINK("javascript:void(0)","grafitbunkó")</f>
        <v>grafitbunkó</v>
      </c>
    </row>
    <row r="4673" spans="1:4" ht="12.75" customHeight="1" x14ac:dyDescent="0.2">
      <c r="A4673" s="21"/>
      <c r="B4673" s="21"/>
      <c r="C4673" s="4" t="s">
        <v>228</v>
      </c>
      <c r="D4673" s="6" t="str">
        <f>HYPERLINK("javascript:void(0)","ikerkristály")</f>
        <v>ikerkristály</v>
      </c>
    </row>
    <row r="4674" spans="1:4" ht="12.75" customHeight="1" x14ac:dyDescent="0.2">
      <c r="A4674" s="5"/>
      <c r="B4674" s="2"/>
      <c r="C4674" s="2"/>
      <c r="D4674" s="2"/>
    </row>
    <row r="4675" spans="1:4" ht="12.75" customHeight="1" x14ac:dyDescent="0.2">
      <c r="A4675" s="22" t="str">
        <f>HYPERLINK("javascript:void(0)","béklyózó mágusölő")</f>
        <v>béklyózó mágusölő</v>
      </c>
      <c r="B4675" s="21"/>
      <c r="C4675" s="21"/>
      <c r="D4675" s="21"/>
    </row>
    <row r="4676" spans="1:4" ht="12.75" customHeight="1" x14ac:dyDescent="0.2">
      <c r="A4676" s="20"/>
      <c r="B4676" s="2"/>
      <c r="C4676" s="2"/>
      <c r="D4676" s="2"/>
    </row>
    <row r="4677" spans="1:4" ht="12.75" customHeight="1" x14ac:dyDescent="0.2">
      <c r="A4677" s="21"/>
      <c r="B4677" s="3" t="s">
        <v>0</v>
      </c>
      <c r="C4677" s="20" t="s">
        <v>255</v>
      </c>
      <c r="D4677" s="21"/>
    </row>
    <row r="4678" spans="1:4" ht="12.75" customHeight="1" x14ac:dyDescent="0.2">
      <c r="A4678" s="21"/>
      <c r="B4678" s="3" t="s">
        <v>2</v>
      </c>
      <c r="C4678" s="20" t="s">
        <v>122</v>
      </c>
      <c r="D4678" s="21"/>
    </row>
    <row r="4679" spans="1:4" ht="12.75" customHeight="1" x14ac:dyDescent="0.2">
      <c r="A4679" s="21"/>
      <c r="B4679" s="3" t="s">
        <v>4</v>
      </c>
      <c r="C4679" s="20" t="s">
        <v>1396</v>
      </c>
      <c r="D4679" s="21"/>
    </row>
    <row r="4680" spans="1:4" ht="12.75" customHeight="1" x14ac:dyDescent="0.2">
      <c r="A4680" s="21"/>
      <c r="B4680" s="3" t="s">
        <v>6</v>
      </c>
      <c r="C4680" s="20" t="s">
        <v>48</v>
      </c>
      <c r="D4680" s="21"/>
    </row>
    <row r="4681" spans="1:4" ht="12.75" customHeight="1" x14ac:dyDescent="0.2">
      <c r="A4681" s="21"/>
      <c r="B4681" s="3" t="s">
        <v>8</v>
      </c>
      <c r="C4681" s="20" t="s">
        <v>1396</v>
      </c>
      <c r="D4681" s="21"/>
    </row>
    <row r="4682" spans="1:4" ht="12.75" customHeight="1" x14ac:dyDescent="0.2">
      <c r="A4682" s="21"/>
      <c r="B4682" s="3" t="s">
        <v>9</v>
      </c>
      <c r="C4682" s="20" t="s">
        <v>1397</v>
      </c>
      <c r="D4682" s="21"/>
    </row>
    <row r="4683" spans="1:4" ht="12.75" customHeight="1" x14ac:dyDescent="0.2">
      <c r="A4683" s="21"/>
      <c r="B4683" s="3" t="s">
        <v>11</v>
      </c>
      <c r="C4683" s="20" t="s">
        <v>1145</v>
      </c>
      <c r="D4683" s="21"/>
    </row>
    <row r="4684" spans="1:4" ht="12.75" customHeight="1" x14ac:dyDescent="0.2">
      <c r="A4684" s="21"/>
      <c r="B4684" s="3" t="s">
        <v>13</v>
      </c>
      <c r="C4684" s="20" t="s">
        <v>14</v>
      </c>
      <c r="D4684" s="21"/>
    </row>
    <row r="4685" spans="1:4" ht="12.75" customHeight="1" x14ac:dyDescent="0.2">
      <c r="A4685" s="21"/>
      <c r="B4685" s="3" t="s">
        <v>15</v>
      </c>
      <c r="C4685" s="20" t="s">
        <v>24</v>
      </c>
      <c r="D4685" s="21"/>
    </row>
    <row r="4686" spans="1:4" ht="12.75" customHeight="1" x14ac:dyDescent="0.2">
      <c r="A4686" s="21"/>
      <c r="B4686" s="3" t="s">
        <v>16</v>
      </c>
      <c r="C4686" s="20"/>
      <c r="D4686" s="21"/>
    </row>
    <row r="4687" spans="1:4" ht="12.75" customHeight="1" x14ac:dyDescent="0.2">
      <c r="A4687" s="21"/>
      <c r="B4687" s="3" t="s">
        <v>17</v>
      </c>
      <c r="C4687" s="20"/>
      <c r="D4687" s="21"/>
    </row>
    <row r="4688" spans="1:4" ht="12.75" customHeight="1" x14ac:dyDescent="0.2">
      <c r="A4688" s="21"/>
      <c r="B4688" s="20" t="s">
        <v>18</v>
      </c>
      <c r="C4688" s="4" t="s">
        <v>102</v>
      </c>
      <c r="D4688" s="6" t="str">
        <f>HYPERLINK("javascript:void(0)","lexikon")</f>
        <v>lexikon</v>
      </c>
    </row>
    <row r="4689" spans="1:4" ht="12.75" customHeight="1" x14ac:dyDescent="0.2">
      <c r="A4689" s="21"/>
      <c r="B4689" s="21"/>
      <c r="C4689" s="4" t="s">
        <v>232</v>
      </c>
      <c r="D4689" s="6" t="str">
        <f>HYPERLINK("javascript:void(0)","monsztabéklyó")</f>
        <v>monsztabéklyó</v>
      </c>
    </row>
    <row r="4690" spans="1:4" ht="12.75" customHeight="1" x14ac:dyDescent="0.2">
      <c r="A4690" s="21"/>
      <c r="B4690" s="21"/>
      <c r="C4690" s="4" t="s">
        <v>309</v>
      </c>
      <c r="D4690" s="6" t="str">
        <f>HYPERLINK("javascript:void(0)","bigapata")</f>
        <v>bigapata</v>
      </c>
    </row>
    <row r="4691" spans="1:4" ht="12.75" customHeight="1" x14ac:dyDescent="0.2">
      <c r="A4691" s="5"/>
      <c r="B4691" s="2"/>
      <c r="C4691" s="2"/>
      <c r="D4691" s="2"/>
    </row>
    <row r="4692" spans="1:4" ht="12.75" customHeight="1" x14ac:dyDescent="0.2">
      <c r="A4692" s="22" t="str">
        <f>HYPERLINK("javascript:void(0)","bordatörő")</f>
        <v>bordatörő</v>
      </c>
      <c r="B4692" s="21"/>
      <c r="C4692" s="21"/>
      <c r="D4692" s="21"/>
    </row>
    <row r="4693" spans="1:4" ht="12.75" customHeight="1" x14ac:dyDescent="0.2">
      <c r="A4693" s="20"/>
      <c r="B4693" s="2"/>
      <c r="C4693" s="2"/>
      <c r="D4693" s="2"/>
    </row>
    <row r="4694" spans="1:4" ht="12.75" customHeight="1" x14ac:dyDescent="0.2">
      <c r="A4694" s="21"/>
      <c r="B4694" s="3" t="s">
        <v>0</v>
      </c>
      <c r="C4694" s="20" t="s">
        <v>281</v>
      </c>
      <c r="D4694" s="21"/>
    </row>
    <row r="4695" spans="1:4" ht="12.75" customHeight="1" x14ac:dyDescent="0.2">
      <c r="A4695" s="21"/>
      <c r="B4695" s="3" t="s">
        <v>2</v>
      </c>
      <c r="C4695" s="20" t="s">
        <v>122</v>
      </c>
      <c r="D4695" s="21"/>
    </row>
    <row r="4696" spans="1:4" ht="12.75" customHeight="1" x14ac:dyDescent="0.2">
      <c r="A4696" s="21"/>
      <c r="B4696" s="3" t="s">
        <v>4</v>
      </c>
      <c r="C4696" s="20" t="s">
        <v>1402</v>
      </c>
      <c r="D4696" s="21"/>
    </row>
    <row r="4697" spans="1:4" ht="12.75" customHeight="1" x14ac:dyDescent="0.2">
      <c r="A4697" s="21"/>
      <c r="B4697" s="3" t="s">
        <v>6</v>
      </c>
      <c r="C4697" s="20" t="s">
        <v>298</v>
      </c>
      <c r="D4697" s="21"/>
    </row>
    <row r="4698" spans="1:4" ht="12.75" customHeight="1" x14ac:dyDescent="0.2">
      <c r="A4698" s="21"/>
      <c r="B4698" s="3" t="s">
        <v>8</v>
      </c>
      <c r="C4698" s="20" t="s">
        <v>1402</v>
      </c>
      <c r="D4698" s="21"/>
    </row>
    <row r="4699" spans="1:4" ht="12.75" customHeight="1" x14ac:dyDescent="0.2">
      <c r="A4699" s="21"/>
      <c r="B4699" s="3" t="s">
        <v>9</v>
      </c>
      <c r="C4699" s="20" t="s">
        <v>1404</v>
      </c>
      <c r="D4699" s="21"/>
    </row>
    <row r="4700" spans="1:4" ht="12.75" customHeight="1" x14ac:dyDescent="0.2">
      <c r="A4700" s="21"/>
      <c r="B4700" s="3" t="s">
        <v>11</v>
      </c>
      <c r="C4700" s="20" t="s">
        <v>856</v>
      </c>
      <c r="D4700" s="21"/>
    </row>
    <row r="4701" spans="1:4" ht="12.75" customHeight="1" x14ac:dyDescent="0.2">
      <c r="A4701" s="21"/>
      <c r="B4701" s="3" t="s">
        <v>13</v>
      </c>
      <c r="C4701" s="20" t="s">
        <v>24</v>
      </c>
      <c r="D4701" s="21"/>
    </row>
    <row r="4702" spans="1:4" ht="12.75" customHeight="1" x14ac:dyDescent="0.2">
      <c r="A4702" s="21"/>
      <c r="B4702" s="3" t="s">
        <v>15</v>
      </c>
      <c r="C4702" s="20" t="s">
        <v>24</v>
      </c>
      <c r="D4702" s="21"/>
    </row>
    <row r="4703" spans="1:4" ht="12.75" customHeight="1" x14ac:dyDescent="0.2">
      <c r="A4703" s="21"/>
      <c r="B4703" s="3" t="s">
        <v>16</v>
      </c>
      <c r="C4703" s="20"/>
      <c r="D4703" s="21"/>
    </row>
    <row r="4704" spans="1:4" ht="12.75" customHeight="1" x14ac:dyDescent="0.2">
      <c r="A4704" s="21"/>
      <c r="B4704" s="3" t="s">
        <v>17</v>
      </c>
      <c r="C4704" s="20"/>
      <c r="D4704" s="21"/>
    </row>
    <row r="4705" spans="1:4" ht="12.75" customHeight="1" x14ac:dyDescent="0.2">
      <c r="A4705" s="21"/>
      <c r="B4705" s="20" t="s">
        <v>18</v>
      </c>
      <c r="C4705" s="4" t="s">
        <v>117</v>
      </c>
      <c r="D4705" s="6" t="str">
        <f>HYPERLINK("javascript:void(0)","kígyóborda")</f>
        <v>kígyóborda</v>
      </c>
    </row>
    <row r="4706" spans="1:4" ht="12.75" customHeight="1" x14ac:dyDescent="0.2">
      <c r="A4706" s="21"/>
      <c r="B4706" s="21"/>
      <c r="C4706" s="4" t="s">
        <v>269</v>
      </c>
      <c r="D4706" s="6" t="str">
        <f>HYPERLINK("javascript:void(0)","sárkányzsák")</f>
        <v>sárkányzsák</v>
      </c>
    </row>
    <row r="4707" spans="1:4" ht="12.75" customHeight="1" x14ac:dyDescent="0.2">
      <c r="A4707" s="21"/>
      <c r="B4707" s="21"/>
      <c r="C4707" s="4" t="s">
        <v>244</v>
      </c>
      <c r="D4707" s="6" t="str">
        <f>HYPERLINK("javascript:void(0)","vaskarima")</f>
        <v>vaskarima</v>
      </c>
    </row>
    <row r="4708" spans="1:4" ht="12.75" customHeight="1" x14ac:dyDescent="0.2">
      <c r="A4708" s="5"/>
      <c r="B4708" s="2"/>
      <c r="C4708" s="2"/>
      <c r="D4708" s="2"/>
    </row>
    <row r="4709" spans="1:4" ht="12.75" customHeight="1" x14ac:dyDescent="0.2">
      <c r="A4709" s="22" t="str">
        <f>HYPERLINK("javascript:void(0)","gyíkacél dübbentő")</f>
        <v>gyíkacél dübbentő</v>
      </c>
      <c r="B4709" s="21"/>
      <c r="C4709" s="21"/>
      <c r="D4709" s="21"/>
    </row>
    <row r="4710" spans="1:4" ht="12.75" customHeight="1" x14ac:dyDescent="0.2">
      <c r="A4710" s="20"/>
      <c r="B4710" s="2"/>
      <c r="C4710" s="2"/>
      <c r="D4710" s="2"/>
    </row>
    <row r="4711" spans="1:4" ht="12.75" customHeight="1" x14ac:dyDescent="0.2">
      <c r="A4711" s="21"/>
      <c r="B4711" s="3" t="s">
        <v>0</v>
      </c>
      <c r="C4711" s="20" t="s">
        <v>281</v>
      </c>
      <c r="D4711" s="21"/>
    </row>
    <row r="4712" spans="1:4" ht="12.75" customHeight="1" x14ac:dyDescent="0.2">
      <c r="A4712" s="21"/>
      <c r="B4712" s="3" t="s">
        <v>2</v>
      </c>
      <c r="C4712" s="20" t="s">
        <v>122</v>
      </c>
      <c r="D4712" s="21"/>
    </row>
    <row r="4713" spans="1:4" ht="12.75" customHeight="1" x14ac:dyDescent="0.2">
      <c r="A4713" s="21"/>
      <c r="B4713" s="3" t="s">
        <v>4</v>
      </c>
      <c r="C4713" s="20" t="s">
        <v>1409</v>
      </c>
      <c r="D4713" s="21"/>
    </row>
    <row r="4714" spans="1:4" ht="12.75" customHeight="1" x14ac:dyDescent="0.2">
      <c r="A4714" s="21"/>
      <c r="B4714" s="3" t="s">
        <v>6</v>
      </c>
      <c r="C4714" s="20" t="s">
        <v>107</v>
      </c>
      <c r="D4714" s="21"/>
    </row>
    <row r="4715" spans="1:4" ht="12.75" customHeight="1" x14ac:dyDescent="0.2">
      <c r="A4715" s="21"/>
      <c r="B4715" s="3" t="s">
        <v>8</v>
      </c>
      <c r="C4715" s="20" t="s">
        <v>1409</v>
      </c>
      <c r="D4715" s="21"/>
    </row>
    <row r="4716" spans="1:4" ht="12.75" customHeight="1" x14ac:dyDescent="0.2">
      <c r="A4716" s="21"/>
      <c r="B4716" s="3" t="s">
        <v>9</v>
      </c>
      <c r="C4716" s="20" t="s">
        <v>1410</v>
      </c>
      <c r="D4716" s="21"/>
    </row>
    <row r="4717" spans="1:4" ht="12.75" customHeight="1" x14ac:dyDescent="0.2">
      <c r="A4717" s="21"/>
      <c r="B4717" s="3" t="s">
        <v>11</v>
      </c>
      <c r="C4717" s="20" t="s">
        <v>625</v>
      </c>
      <c r="D4717" s="21"/>
    </row>
    <row r="4718" spans="1:4" ht="12.75" customHeight="1" x14ac:dyDescent="0.2">
      <c r="A4718" s="21"/>
      <c r="B4718" s="3" t="s">
        <v>13</v>
      </c>
      <c r="C4718" s="20" t="s">
        <v>24</v>
      </c>
      <c r="D4718" s="21"/>
    </row>
    <row r="4719" spans="1:4" ht="12.75" customHeight="1" x14ac:dyDescent="0.2">
      <c r="A4719" s="21"/>
      <c r="B4719" s="3" t="s">
        <v>15</v>
      </c>
      <c r="C4719" s="20" t="s">
        <v>24</v>
      </c>
      <c r="D4719" s="21"/>
    </row>
    <row r="4720" spans="1:4" ht="12.75" customHeight="1" x14ac:dyDescent="0.2">
      <c r="A4720" s="21"/>
      <c r="B4720" s="3" t="s">
        <v>16</v>
      </c>
      <c r="C4720" s="20"/>
      <c r="D4720" s="21"/>
    </row>
    <row r="4721" spans="1:4" ht="12.75" customHeight="1" x14ac:dyDescent="0.2">
      <c r="A4721" s="21"/>
      <c r="B4721" s="3" t="s">
        <v>17</v>
      </c>
      <c r="C4721" s="20"/>
      <c r="D4721" s="21"/>
    </row>
    <row r="4722" spans="1:4" ht="12.75" customHeight="1" x14ac:dyDescent="0.2">
      <c r="A4722" s="21"/>
      <c r="B4722" s="20" t="s">
        <v>18</v>
      </c>
      <c r="C4722" s="4" t="s">
        <v>1379</v>
      </c>
      <c r="D4722" s="6" t="str">
        <f>HYPERLINK("javascript:void(0)","goblinbatka")</f>
        <v>goblinbatka</v>
      </c>
    </row>
    <row r="4723" spans="1:4" ht="12.75" customHeight="1" x14ac:dyDescent="0.2">
      <c r="A4723" s="21"/>
      <c r="B4723" s="21"/>
      <c r="C4723" s="4" t="s">
        <v>139</v>
      </c>
      <c r="D4723" s="6" t="str">
        <f>HYPERLINK("javascript:void(0)","haspók")</f>
        <v>haspók</v>
      </c>
    </row>
    <row r="4724" spans="1:4" ht="12.75" customHeight="1" x14ac:dyDescent="0.2">
      <c r="A4724" s="21"/>
      <c r="B4724" s="21"/>
      <c r="C4724" s="4" t="s">
        <v>756</v>
      </c>
      <c r="D4724" s="6" t="str">
        <f>HYPERLINK("javascript:void(0)","kacat")</f>
        <v>kacat</v>
      </c>
    </row>
    <row r="4725" spans="1:4" ht="12.75" customHeight="1" x14ac:dyDescent="0.2">
      <c r="A4725" s="5"/>
      <c r="B4725" s="2"/>
      <c r="C4725" s="2"/>
      <c r="D4725" s="2"/>
    </row>
    <row r="4726" spans="1:4" ht="12.75" customHeight="1" x14ac:dyDescent="0.2">
      <c r="A4726" s="22" t="str">
        <f>HYPERLINK("javascript:void(0)","magmakalapács")</f>
        <v>magmakalapács</v>
      </c>
      <c r="B4726" s="21"/>
      <c r="C4726" s="21"/>
      <c r="D4726" s="21"/>
    </row>
    <row r="4727" spans="1:4" ht="12.75" customHeight="1" x14ac:dyDescent="0.2">
      <c r="A4727" s="20"/>
      <c r="B4727" s="2"/>
      <c r="C4727" s="2"/>
      <c r="D4727" s="2"/>
    </row>
    <row r="4728" spans="1:4" ht="12.75" customHeight="1" x14ac:dyDescent="0.2">
      <c r="A4728" s="21"/>
      <c r="B4728" s="3" t="s">
        <v>0</v>
      </c>
      <c r="C4728" s="20" t="s">
        <v>181</v>
      </c>
      <c r="D4728" s="21"/>
    </row>
    <row r="4729" spans="1:4" ht="12.75" customHeight="1" x14ac:dyDescent="0.2">
      <c r="A4729" s="21"/>
      <c r="B4729" s="3" t="s">
        <v>2</v>
      </c>
      <c r="C4729" s="20" t="s">
        <v>122</v>
      </c>
      <c r="D4729" s="21"/>
    </row>
    <row r="4730" spans="1:4" ht="12.75" customHeight="1" x14ac:dyDescent="0.2">
      <c r="A4730" s="21"/>
      <c r="B4730" s="3" t="s">
        <v>4</v>
      </c>
      <c r="C4730" s="20" t="s">
        <v>1415</v>
      </c>
      <c r="D4730" s="21"/>
    </row>
    <row r="4731" spans="1:4" ht="12.75" customHeight="1" x14ac:dyDescent="0.2">
      <c r="A4731" s="21"/>
      <c r="B4731" s="3" t="s">
        <v>6</v>
      </c>
      <c r="C4731" s="20" t="s">
        <v>178</v>
      </c>
      <c r="D4731" s="21"/>
    </row>
    <row r="4732" spans="1:4" ht="12.75" customHeight="1" x14ac:dyDescent="0.2">
      <c r="A4732" s="21"/>
      <c r="B4732" s="3" t="s">
        <v>8</v>
      </c>
      <c r="C4732" s="20" t="s">
        <v>1415</v>
      </c>
      <c r="D4732" s="21"/>
    </row>
    <row r="4733" spans="1:4" ht="12.75" customHeight="1" x14ac:dyDescent="0.2">
      <c r="A4733" s="21"/>
      <c r="B4733" s="3" t="s">
        <v>9</v>
      </c>
      <c r="C4733" s="20" t="s">
        <v>1152</v>
      </c>
      <c r="D4733" s="21"/>
    </row>
    <row r="4734" spans="1:4" ht="12.75" customHeight="1" x14ac:dyDescent="0.2">
      <c r="A4734" s="21"/>
      <c r="B4734" s="3" t="s">
        <v>11</v>
      </c>
      <c r="C4734" s="20" t="s">
        <v>866</v>
      </c>
      <c r="D4734" s="21"/>
    </row>
    <row r="4735" spans="1:4" ht="12.75" customHeight="1" x14ac:dyDescent="0.2">
      <c r="A4735" s="21"/>
      <c r="B4735" s="3" t="s">
        <v>13</v>
      </c>
      <c r="C4735" s="20" t="s">
        <v>24</v>
      </c>
      <c r="D4735" s="21"/>
    </row>
    <row r="4736" spans="1:4" ht="12.75" customHeight="1" x14ac:dyDescent="0.2">
      <c r="A4736" s="21"/>
      <c r="B4736" s="3" t="s">
        <v>15</v>
      </c>
      <c r="C4736" s="20" t="s">
        <v>24</v>
      </c>
      <c r="D4736" s="21"/>
    </row>
    <row r="4737" spans="1:4" ht="12.75" customHeight="1" x14ac:dyDescent="0.2">
      <c r="A4737" s="21"/>
      <c r="B4737" s="3" t="s">
        <v>16</v>
      </c>
      <c r="C4737" s="20"/>
      <c r="D4737" s="21"/>
    </row>
    <row r="4738" spans="1:4" ht="12.75" customHeight="1" x14ac:dyDescent="0.2">
      <c r="A4738" s="21"/>
      <c r="B4738" s="3" t="s">
        <v>17</v>
      </c>
      <c r="C4738" s="20"/>
      <c r="D4738" s="21"/>
    </row>
    <row r="4739" spans="1:4" ht="12.75" customHeight="1" x14ac:dyDescent="0.2">
      <c r="A4739" s="21"/>
      <c r="B4739" s="20" t="s">
        <v>18</v>
      </c>
      <c r="C4739" s="4" t="s">
        <v>44</v>
      </c>
      <c r="D4739" s="6" t="str">
        <f>HYPERLINK("javascript:void(0)","húros bunkó")</f>
        <v>húros bunkó</v>
      </c>
    </row>
    <row r="4740" spans="1:4" ht="12.75" customHeight="1" x14ac:dyDescent="0.2">
      <c r="A4740" s="21"/>
      <c r="B4740" s="21"/>
      <c r="C4740" s="4" t="s">
        <v>44</v>
      </c>
      <c r="D4740" s="6" t="str">
        <f>HYPERLINK("javascript:void(0)","bordatörő")</f>
        <v>bordatörő</v>
      </c>
    </row>
    <row r="4741" spans="1:4" ht="12.75" customHeight="1" x14ac:dyDescent="0.2">
      <c r="A4741" s="21"/>
      <c r="B4741" s="21"/>
      <c r="C4741" s="4" t="s">
        <v>44</v>
      </c>
      <c r="D4741" s="6" t="str">
        <f>HYPERLINK("javascript:void(0)","magmanyél")</f>
        <v>magmanyél</v>
      </c>
    </row>
    <row r="4742" spans="1:4" ht="12.75" customHeight="1" x14ac:dyDescent="0.2">
      <c r="A4742" s="5"/>
      <c r="B4742" s="2"/>
      <c r="C4742" s="2"/>
      <c r="D4742" s="2"/>
    </row>
    <row r="4743" spans="1:4" ht="12.75" customHeight="1" x14ac:dyDescent="0.2">
      <c r="A4743" s="22" t="str">
        <f>HYPERLINK("javascript:void(0)","vulkánfényű mágusölő")</f>
        <v>vulkánfényű mágusölő</v>
      </c>
      <c r="B4743" s="21"/>
      <c r="C4743" s="21"/>
      <c r="D4743" s="21"/>
    </row>
    <row r="4744" spans="1:4" ht="12.75" customHeight="1" x14ac:dyDescent="0.2">
      <c r="A4744" s="20"/>
      <c r="B4744" s="2"/>
      <c r="C4744" s="2"/>
      <c r="D4744" s="2"/>
    </row>
    <row r="4745" spans="1:4" ht="12.75" customHeight="1" x14ac:dyDescent="0.2">
      <c r="A4745" s="21"/>
      <c r="B4745" s="3" t="s">
        <v>0</v>
      </c>
      <c r="C4745" s="20" t="s">
        <v>181</v>
      </c>
      <c r="D4745" s="21"/>
    </row>
    <row r="4746" spans="1:4" ht="12.75" customHeight="1" x14ac:dyDescent="0.2">
      <c r="A4746" s="21"/>
      <c r="B4746" s="3" t="s">
        <v>2</v>
      </c>
      <c r="C4746" s="20" t="s">
        <v>122</v>
      </c>
      <c r="D4746" s="21"/>
    </row>
    <row r="4747" spans="1:4" ht="12.75" customHeight="1" x14ac:dyDescent="0.2">
      <c r="A4747" s="21"/>
      <c r="B4747" s="3" t="s">
        <v>4</v>
      </c>
      <c r="C4747" s="20" t="s">
        <v>1420</v>
      </c>
      <c r="D4747" s="21"/>
    </row>
    <row r="4748" spans="1:4" ht="12.75" customHeight="1" x14ac:dyDescent="0.2">
      <c r="A4748" s="21"/>
      <c r="B4748" s="3" t="s">
        <v>6</v>
      </c>
      <c r="C4748" s="20" t="s">
        <v>48</v>
      </c>
      <c r="D4748" s="21"/>
    </row>
    <row r="4749" spans="1:4" ht="12.75" customHeight="1" x14ac:dyDescent="0.2">
      <c r="A4749" s="21"/>
      <c r="B4749" s="3" t="s">
        <v>8</v>
      </c>
      <c r="C4749" s="20" t="s">
        <v>1420</v>
      </c>
      <c r="D4749" s="21"/>
    </row>
    <row r="4750" spans="1:4" ht="12.75" customHeight="1" x14ac:dyDescent="0.2">
      <c r="A4750" s="21"/>
      <c r="B4750" s="3" t="s">
        <v>9</v>
      </c>
      <c r="C4750" s="20" t="s">
        <v>1421</v>
      </c>
      <c r="D4750" s="21"/>
    </row>
    <row r="4751" spans="1:4" ht="12.75" customHeight="1" x14ac:dyDescent="0.2">
      <c r="A4751" s="21"/>
      <c r="B4751" s="3" t="s">
        <v>11</v>
      </c>
      <c r="C4751" s="20" t="s">
        <v>1177</v>
      </c>
      <c r="D4751" s="21"/>
    </row>
    <row r="4752" spans="1:4" ht="12.75" customHeight="1" x14ac:dyDescent="0.2">
      <c r="A4752" s="21"/>
      <c r="B4752" s="3" t="s">
        <v>13</v>
      </c>
      <c r="C4752" s="20" t="s">
        <v>14</v>
      </c>
      <c r="D4752" s="21"/>
    </row>
    <row r="4753" spans="1:4" ht="12.75" customHeight="1" x14ac:dyDescent="0.2">
      <c r="A4753" s="21"/>
      <c r="B4753" s="3" t="s">
        <v>15</v>
      </c>
      <c r="C4753" s="20" t="s">
        <v>24</v>
      </c>
      <c r="D4753" s="21"/>
    </row>
    <row r="4754" spans="1:4" ht="12.75" customHeight="1" x14ac:dyDescent="0.2">
      <c r="A4754" s="21"/>
      <c r="B4754" s="3" t="s">
        <v>16</v>
      </c>
      <c r="C4754" s="20"/>
      <c r="D4754" s="21"/>
    </row>
    <row r="4755" spans="1:4" ht="12.75" customHeight="1" x14ac:dyDescent="0.2">
      <c r="A4755" s="21"/>
      <c r="B4755" s="3" t="s">
        <v>17</v>
      </c>
      <c r="C4755" s="20"/>
      <c r="D4755" s="21"/>
    </row>
    <row r="4756" spans="1:4" ht="12.75" customHeight="1" x14ac:dyDescent="0.2">
      <c r="A4756" s="21"/>
      <c r="B4756" s="20" t="s">
        <v>18</v>
      </c>
      <c r="C4756" s="4" t="s">
        <v>132</v>
      </c>
      <c r="D4756" s="6" t="str">
        <f>HYPERLINK("javascript:void(0)","sárkányzsák")</f>
        <v>sárkányzsák</v>
      </c>
    </row>
    <row r="4757" spans="1:4" ht="12.75" customHeight="1" x14ac:dyDescent="0.2">
      <c r="A4757" s="21"/>
      <c r="B4757" s="21"/>
      <c r="C4757" s="4" t="s">
        <v>142</v>
      </c>
      <c r="D4757" s="6" t="str">
        <f>HYPERLINK("javascript:void(0)","magmacsepp")</f>
        <v>magmacsepp</v>
      </c>
    </row>
    <row r="4758" spans="1:4" ht="12.75" customHeight="1" x14ac:dyDescent="0.2">
      <c r="A4758" s="21"/>
      <c r="B4758" s="21"/>
      <c r="C4758" s="4" t="s">
        <v>780</v>
      </c>
      <c r="D4758" s="6" t="str">
        <f>HYPERLINK("javascript:void(0)","átokige")</f>
        <v>átokige</v>
      </c>
    </row>
    <row r="4759" spans="1:4" ht="12.75" customHeight="1" x14ac:dyDescent="0.2">
      <c r="A4759" s="5"/>
      <c r="B4759" s="2"/>
      <c r="C4759" s="2"/>
      <c r="D4759" s="2"/>
    </row>
    <row r="4760" spans="1:4" ht="12.75" customHeight="1" x14ac:dyDescent="0.2">
      <c r="A4760" s="22" t="str">
        <f>HYPERLINK("javascript:void(0)","magmanyél")</f>
        <v>magmanyél</v>
      </c>
      <c r="B4760" s="21"/>
      <c r="C4760" s="21"/>
      <c r="D4760" s="21"/>
    </row>
    <row r="4761" spans="1:4" ht="12.75" customHeight="1" x14ac:dyDescent="0.2">
      <c r="A4761" s="20"/>
      <c r="B4761" s="2"/>
      <c r="C4761" s="2"/>
      <c r="D4761" s="2"/>
    </row>
    <row r="4762" spans="1:4" ht="12.75" customHeight="1" x14ac:dyDescent="0.2">
      <c r="A4762" s="21"/>
      <c r="B4762" s="3" t="s">
        <v>0</v>
      </c>
      <c r="C4762" s="20" t="s">
        <v>181</v>
      </c>
      <c r="D4762" s="21"/>
    </row>
    <row r="4763" spans="1:4" ht="12.75" customHeight="1" x14ac:dyDescent="0.2">
      <c r="A4763" s="21"/>
      <c r="B4763" s="3" t="s">
        <v>2</v>
      </c>
      <c r="C4763" s="20" t="s">
        <v>122</v>
      </c>
      <c r="D4763" s="21"/>
    </row>
    <row r="4764" spans="1:4" ht="12.75" customHeight="1" x14ac:dyDescent="0.2">
      <c r="A4764" s="21"/>
      <c r="B4764" s="3" t="s">
        <v>4</v>
      </c>
      <c r="C4764" s="20" t="s">
        <v>533</v>
      </c>
      <c r="D4764" s="21"/>
    </row>
    <row r="4765" spans="1:4" ht="12.75" customHeight="1" x14ac:dyDescent="0.2">
      <c r="A4765" s="21"/>
      <c r="B4765" s="3" t="s">
        <v>6</v>
      </c>
      <c r="C4765" s="20" t="s">
        <v>21</v>
      </c>
      <c r="D4765" s="21"/>
    </row>
    <row r="4766" spans="1:4" ht="12.75" customHeight="1" x14ac:dyDescent="0.2">
      <c r="A4766" s="21"/>
      <c r="B4766" s="3" t="s">
        <v>8</v>
      </c>
      <c r="C4766" s="20" t="s">
        <v>533</v>
      </c>
      <c r="D4766" s="21"/>
    </row>
    <row r="4767" spans="1:4" ht="12.75" customHeight="1" x14ac:dyDescent="0.2">
      <c r="A4767" s="21"/>
      <c r="B4767" s="3" t="s">
        <v>9</v>
      </c>
      <c r="C4767" s="20" t="s">
        <v>42</v>
      </c>
      <c r="D4767" s="21"/>
    </row>
    <row r="4768" spans="1:4" ht="12.75" customHeight="1" x14ac:dyDescent="0.2">
      <c r="A4768" s="21"/>
      <c r="B4768" s="3" t="s">
        <v>11</v>
      </c>
      <c r="C4768" s="20" t="s">
        <v>879</v>
      </c>
      <c r="D4768" s="21"/>
    </row>
    <row r="4769" spans="1:4" ht="12.75" customHeight="1" x14ac:dyDescent="0.2">
      <c r="A4769" s="21"/>
      <c r="B4769" s="3" t="s">
        <v>13</v>
      </c>
      <c r="C4769" s="20" t="s">
        <v>24</v>
      </c>
      <c r="D4769" s="21"/>
    </row>
    <row r="4770" spans="1:4" ht="12.75" customHeight="1" x14ac:dyDescent="0.2">
      <c r="A4770" s="21"/>
      <c r="B4770" s="3" t="s">
        <v>15</v>
      </c>
      <c r="C4770" s="20" t="s">
        <v>24</v>
      </c>
      <c r="D4770" s="21"/>
    </row>
    <row r="4771" spans="1:4" ht="12.75" customHeight="1" x14ac:dyDescent="0.2">
      <c r="A4771" s="21"/>
      <c r="B4771" s="3" t="s">
        <v>16</v>
      </c>
      <c r="C4771" s="20"/>
      <c r="D4771" s="21"/>
    </row>
    <row r="4772" spans="1:4" ht="12.75" customHeight="1" x14ac:dyDescent="0.2">
      <c r="A4772" s="21"/>
      <c r="B4772" s="3" t="s">
        <v>17</v>
      </c>
      <c r="C4772" s="20"/>
      <c r="D4772" s="21"/>
    </row>
    <row r="4773" spans="1:4" ht="12.75" customHeight="1" x14ac:dyDescent="0.2">
      <c r="A4773" s="21"/>
      <c r="B4773" s="20" t="s">
        <v>18</v>
      </c>
      <c r="C4773" s="4" t="s">
        <v>98</v>
      </c>
      <c r="D4773" s="6" t="str">
        <f>HYPERLINK("javascript:void(0)","csapdaszeg")</f>
        <v>csapdaszeg</v>
      </c>
    </row>
    <row r="4774" spans="1:4" ht="12.75" customHeight="1" x14ac:dyDescent="0.2">
      <c r="A4774" s="21"/>
      <c r="B4774" s="21"/>
      <c r="C4774" s="4" t="s">
        <v>232</v>
      </c>
      <c r="D4774" s="6" t="str">
        <f>HYPERLINK("javascript:void(0)","magmacsepp")</f>
        <v>magmacsepp</v>
      </c>
    </row>
    <row r="4775" spans="1:4" ht="12.75" customHeight="1" x14ac:dyDescent="0.2">
      <c r="A4775" s="21"/>
      <c r="B4775" s="21"/>
      <c r="C4775" s="4" t="s">
        <v>139</v>
      </c>
      <c r="D4775" s="6" t="str">
        <f>HYPERLINK("javascript:void(0)","gránitrög")</f>
        <v>gránitrög</v>
      </c>
    </row>
    <row r="4776" spans="1:4" ht="12.75" customHeight="1" x14ac:dyDescent="0.2">
      <c r="A4776" s="5"/>
      <c r="B4776" s="2"/>
      <c r="C4776" s="2"/>
      <c r="D4776" s="2"/>
    </row>
    <row r="4777" spans="1:4" ht="12.75" customHeight="1" x14ac:dyDescent="0.2">
      <c r="A4777" s="22" t="str">
        <f>HYPERLINK("javascript:void(0)","démonzúzó")</f>
        <v>démonzúzó</v>
      </c>
      <c r="B4777" s="21"/>
      <c r="C4777" s="21"/>
      <c r="D4777" s="21"/>
    </row>
    <row r="4778" spans="1:4" ht="12.75" customHeight="1" x14ac:dyDescent="0.2">
      <c r="A4778" s="20"/>
      <c r="B4778" s="2"/>
      <c r="C4778" s="2"/>
      <c r="D4778" s="2"/>
    </row>
    <row r="4779" spans="1:4" ht="12.75" customHeight="1" x14ac:dyDescent="0.2">
      <c r="A4779" s="21"/>
      <c r="B4779" s="3" t="s">
        <v>0</v>
      </c>
      <c r="C4779" s="20" t="s">
        <v>853</v>
      </c>
      <c r="D4779" s="21"/>
    </row>
    <row r="4780" spans="1:4" ht="12.75" customHeight="1" x14ac:dyDescent="0.2">
      <c r="A4780" s="21"/>
      <c r="B4780" s="3" t="s">
        <v>2</v>
      </c>
      <c r="C4780" s="20" t="s">
        <v>122</v>
      </c>
      <c r="D4780" s="21"/>
    </row>
    <row r="4781" spans="1:4" ht="12.75" customHeight="1" x14ac:dyDescent="0.2">
      <c r="A4781" s="21"/>
      <c r="B4781" s="3" t="s">
        <v>4</v>
      </c>
      <c r="C4781" s="20" t="s">
        <v>1427</v>
      </c>
      <c r="D4781" s="21"/>
    </row>
    <row r="4782" spans="1:4" ht="12.75" customHeight="1" x14ac:dyDescent="0.2">
      <c r="A4782" s="21"/>
      <c r="B4782" s="3" t="s">
        <v>6</v>
      </c>
      <c r="C4782" s="20" t="s">
        <v>52</v>
      </c>
      <c r="D4782" s="21"/>
    </row>
    <row r="4783" spans="1:4" ht="12.75" customHeight="1" x14ac:dyDescent="0.2">
      <c r="A4783" s="21"/>
      <c r="B4783" s="3" t="s">
        <v>8</v>
      </c>
      <c r="C4783" s="20" t="s">
        <v>1427</v>
      </c>
      <c r="D4783" s="21"/>
    </row>
    <row r="4784" spans="1:4" ht="12.75" customHeight="1" x14ac:dyDescent="0.2">
      <c r="A4784" s="21"/>
      <c r="B4784" s="3" t="s">
        <v>9</v>
      </c>
      <c r="C4784" s="20" t="s">
        <v>1428</v>
      </c>
      <c r="D4784" s="21"/>
    </row>
    <row r="4785" spans="1:4" ht="12.75" customHeight="1" x14ac:dyDescent="0.2">
      <c r="A4785" s="21"/>
      <c r="B4785" s="3" t="s">
        <v>11</v>
      </c>
      <c r="C4785" s="20" t="s">
        <v>879</v>
      </c>
      <c r="D4785" s="21"/>
    </row>
    <row r="4786" spans="1:4" ht="12.75" customHeight="1" x14ac:dyDescent="0.2">
      <c r="A4786" s="21"/>
      <c r="B4786" s="3" t="s">
        <v>13</v>
      </c>
      <c r="C4786" s="20" t="s">
        <v>24</v>
      </c>
      <c r="D4786" s="21"/>
    </row>
    <row r="4787" spans="1:4" ht="12.75" customHeight="1" x14ac:dyDescent="0.2">
      <c r="A4787" s="21"/>
      <c r="B4787" s="3" t="s">
        <v>15</v>
      </c>
      <c r="C4787" s="20" t="s">
        <v>24</v>
      </c>
      <c r="D4787" s="21"/>
    </row>
    <row r="4788" spans="1:4" ht="12.75" customHeight="1" x14ac:dyDescent="0.2">
      <c r="A4788" s="21"/>
      <c r="B4788" s="3" t="s">
        <v>16</v>
      </c>
      <c r="C4788" s="20"/>
      <c r="D4788" s="21"/>
    </row>
    <row r="4789" spans="1:4" ht="12.75" customHeight="1" x14ac:dyDescent="0.2">
      <c r="A4789" s="21"/>
      <c r="B4789" s="3" t="s">
        <v>17</v>
      </c>
      <c r="C4789" s="20"/>
      <c r="D4789" s="21"/>
    </row>
    <row r="4790" spans="1:4" ht="12.75" customHeight="1" x14ac:dyDescent="0.2">
      <c r="A4790" s="21"/>
      <c r="B4790" s="20" t="s">
        <v>18</v>
      </c>
      <c r="C4790" s="4" t="s">
        <v>232</v>
      </c>
      <c r="D4790" s="6" t="str">
        <f>HYPERLINK("javascript:void(0)","démonamulett")</f>
        <v>démonamulett</v>
      </c>
    </row>
    <row r="4791" spans="1:4" ht="12.75" customHeight="1" x14ac:dyDescent="0.2">
      <c r="A4791" s="21"/>
      <c r="B4791" s="21"/>
      <c r="C4791" s="4" t="s">
        <v>132</v>
      </c>
      <c r="D4791" s="6" t="str">
        <f>HYPERLINK("javascript:void(0)","tekervény")</f>
        <v>tekervény</v>
      </c>
    </row>
    <row r="4792" spans="1:4" ht="12.75" customHeight="1" x14ac:dyDescent="0.2">
      <c r="A4792" s="21"/>
      <c r="B4792" s="21"/>
      <c r="C4792" s="4" t="s">
        <v>44</v>
      </c>
      <c r="D4792" s="6" t="str">
        <f>HYPERLINK("javascript:void(0)","magmakalapács")</f>
        <v>magmakalapács</v>
      </c>
    </row>
    <row r="4793" spans="1:4" ht="12.75" customHeight="1" x14ac:dyDescent="0.2">
      <c r="A4793" s="5"/>
      <c r="B4793" s="2"/>
      <c r="C4793" s="2"/>
      <c r="D4793" s="2"/>
    </row>
    <row r="4794" spans="1:4" ht="12.75" customHeight="1" x14ac:dyDescent="0.2">
      <c r="A4794" s="22" t="str">
        <f>HYPERLINK("javascript:void(0)","gyíkacél bordazúzó")</f>
        <v>gyíkacél bordazúzó</v>
      </c>
      <c r="B4794" s="21"/>
      <c r="C4794" s="21"/>
      <c r="D4794" s="21"/>
    </row>
    <row r="4795" spans="1:4" ht="12.75" customHeight="1" x14ac:dyDescent="0.2">
      <c r="A4795" s="20"/>
      <c r="B4795" s="2"/>
      <c r="C4795" s="2"/>
      <c r="D4795" s="2"/>
    </row>
    <row r="4796" spans="1:4" ht="12.75" customHeight="1" x14ac:dyDescent="0.2">
      <c r="A4796" s="21"/>
      <c r="B4796" s="3" t="s">
        <v>0</v>
      </c>
      <c r="C4796" s="20" t="s">
        <v>853</v>
      </c>
      <c r="D4796" s="21"/>
    </row>
    <row r="4797" spans="1:4" ht="12.75" customHeight="1" x14ac:dyDescent="0.2">
      <c r="A4797" s="21"/>
      <c r="B4797" s="3" t="s">
        <v>2</v>
      </c>
      <c r="C4797" s="20" t="s">
        <v>122</v>
      </c>
      <c r="D4797" s="21"/>
    </row>
    <row r="4798" spans="1:4" ht="12.75" customHeight="1" x14ac:dyDescent="0.2">
      <c r="A4798" s="21"/>
      <c r="B4798" s="3" t="s">
        <v>4</v>
      </c>
      <c r="C4798" s="20" t="s">
        <v>1429</v>
      </c>
      <c r="D4798" s="21"/>
    </row>
    <row r="4799" spans="1:4" ht="12.75" customHeight="1" x14ac:dyDescent="0.2">
      <c r="A4799" s="21"/>
      <c r="B4799" s="3" t="s">
        <v>6</v>
      </c>
      <c r="C4799" s="20" t="s">
        <v>107</v>
      </c>
      <c r="D4799" s="21"/>
    </row>
    <row r="4800" spans="1:4" ht="12.75" customHeight="1" x14ac:dyDescent="0.2">
      <c r="A4800" s="21"/>
      <c r="B4800" s="3" t="s">
        <v>8</v>
      </c>
      <c r="C4800" s="20" t="s">
        <v>1429</v>
      </c>
      <c r="D4800" s="21"/>
    </row>
    <row r="4801" spans="1:4" ht="12.75" customHeight="1" x14ac:dyDescent="0.2">
      <c r="A4801" s="21"/>
      <c r="B4801" s="3" t="s">
        <v>9</v>
      </c>
      <c r="C4801" s="20" t="s">
        <v>1430</v>
      </c>
      <c r="D4801" s="21"/>
    </row>
    <row r="4802" spans="1:4" ht="12.75" customHeight="1" x14ac:dyDescent="0.2">
      <c r="A4802" s="21"/>
      <c r="B4802" s="3" t="s">
        <v>11</v>
      </c>
      <c r="C4802" s="20" t="s">
        <v>645</v>
      </c>
      <c r="D4802" s="21"/>
    </row>
    <row r="4803" spans="1:4" ht="12.75" customHeight="1" x14ac:dyDescent="0.2">
      <c r="A4803" s="21"/>
      <c r="B4803" s="3" t="s">
        <v>13</v>
      </c>
      <c r="C4803" s="20" t="s">
        <v>24</v>
      </c>
      <c r="D4803" s="21"/>
    </row>
    <row r="4804" spans="1:4" ht="12.75" customHeight="1" x14ac:dyDescent="0.2">
      <c r="A4804" s="21"/>
      <c r="B4804" s="3" t="s">
        <v>15</v>
      </c>
      <c r="C4804" s="20" t="s">
        <v>24</v>
      </c>
      <c r="D4804" s="21"/>
    </row>
    <row r="4805" spans="1:4" ht="12.75" customHeight="1" x14ac:dyDescent="0.2">
      <c r="A4805" s="21"/>
      <c r="B4805" s="3" t="s">
        <v>16</v>
      </c>
      <c r="C4805" s="20"/>
      <c r="D4805" s="21"/>
    </row>
    <row r="4806" spans="1:4" ht="12.75" customHeight="1" x14ac:dyDescent="0.2">
      <c r="A4806" s="21"/>
      <c r="B4806" s="3" t="s">
        <v>17</v>
      </c>
      <c r="C4806" s="20"/>
      <c r="D4806" s="21"/>
    </row>
    <row r="4807" spans="1:4" ht="12.75" customHeight="1" x14ac:dyDescent="0.2">
      <c r="A4807" s="21"/>
      <c r="B4807" s="20" t="s">
        <v>18</v>
      </c>
      <c r="C4807" s="4" t="s">
        <v>98</v>
      </c>
      <c r="D4807" s="6" t="str">
        <f>HYPERLINK("javascript:void(0)","mágnes")</f>
        <v>mágnes</v>
      </c>
    </row>
    <row r="4808" spans="1:4" ht="12.75" customHeight="1" x14ac:dyDescent="0.2">
      <c r="A4808" s="21"/>
      <c r="B4808" s="21"/>
      <c r="C4808" s="4" t="s">
        <v>193</v>
      </c>
      <c r="D4808" s="6" t="str">
        <f>HYPERLINK("javascript:void(0)","csáphárító")</f>
        <v>csáphárító</v>
      </c>
    </row>
    <row r="4809" spans="1:4" ht="12.75" customHeight="1" x14ac:dyDescent="0.2">
      <c r="A4809" s="21"/>
      <c r="B4809" s="21"/>
      <c r="C4809" s="4" t="s">
        <v>57</v>
      </c>
      <c r="D4809" s="6" t="str">
        <f>HYPERLINK("javascript:void(0)","ezüst mágusölő")</f>
        <v>ezüst mágusölő</v>
      </c>
    </row>
    <row r="4810" spans="1:4" ht="12.75" customHeight="1" x14ac:dyDescent="0.2">
      <c r="A4810" s="5"/>
      <c r="B4810" s="2"/>
      <c r="C4810" s="2"/>
      <c r="D4810" s="2"/>
    </row>
    <row r="4811" spans="1:4" ht="12.75" customHeight="1" x14ac:dyDescent="0.2">
      <c r="A4811" s="22" t="str">
        <f>HYPERLINK("javascript:void(0)","széltördelő")</f>
        <v>széltördelő</v>
      </c>
      <c r="B4811" s="21"/>
      <c r="C4811" s="21"/>
      <c r="D4811" s="21"/>
    </row>
    <row r="4812" spans="1:4" ht="12.75" customHeight="1" x14ac:dyDescent="0.2">
      <c r="A4812" s="20"/>
      <c r="B4812" s="2"/>
      <c r="C4812" s="2"/>
      <c r="D4812" s="2"/>
    </row>
    <row r="4813" spans="1:4" ht="12.75" customHeight="1" x14ac:dyDescent="0.2">
      <c r="A4813" s="21"/>
      <c r="B4813" s="3" t="s">
        <v>0</v>
      </c>
      <c r="C4813" s="20" t="s">
        <v>862</v>
      </c>
      <c r="D4813" s="21"/>
    </row>
    <row r="4814" spans="1:4" ht="12.75" customHeight="1" x14ac:dyDescent="0.2">
      <c r="A4814" s="21"/>
      <c r="B4814" s="3" t="s">
        <v>2</v>
      </c>
      <c r="C4814" s="20" t="s">
        <v>122</v>
      </c>
      <c r="D4814" s="21"/>
    </row>
    <row r="4815" spans="1:4" ht="12.75" customHeight="1" x14ac:dyDescent="0.2">
      <c r="A4815" s="21"/>
      <c r="B4815" s="3" t="s">
        <v>4</v>
      </c>
      <c r="C4815" s="20" t="s">
        <v>1432</v>
      </c>
      <c r="D4815" s="21"/>
    </row>
    <row r="4816" spans="1:4" ht="12.75" customHeight="1" x14ac:dyDescent="0.2">
      <c r="A4816" s="21"/>
      <c r="B4816" s="3" t="s">
        <v>6</v>
      </c>
      <c r="C4816" s="20" t="s">
        <v>115</v>
      </c>
      <c r="D4816" s="21"/>
    </row>
    <row r="4817" spans="1:4" ht="12.75" customHeight="1" x14ac:dyDescent="0.2">
      <c r="A4817" s="21"/>
      <c r="B4817" s="3" t="s">
        <v>8</v>
      </c>
      <c r="C4817" s="20" t="s">
        <v>1432</v>
      </c>
      <c r="D4817" s="21"/>
    </row>
    <row r="4818" spans="1:4" ht="12.75" customHeight="1" x14ac:dyDescent="0.2">
      <c r="A4818" s="21"/>
      <c r="B4818" s="3" t="s">
        <v>9</v>
      </c>
      <c r="C4818" s="20" t="s">
        <v>1433</v>
      </c>
      <c r="D4818" s="21"/>
    </row>
    <row r="4819" spans="1:4" ht="12.75" customHeight="1" x14ac:dyDescent="0.2">
      <c r="A4819" s="21"/>
      <c r="B4819" s="3" t="s">
        <v>11</v>
      </c>
      <c r="C4819" s="20" t="s">
        <v>887</v>
      </c>
      <c r="D4819" s="21"/>
    </row>
    <row r="4820" spans="1:4" ht="12.75" customHeight="1" x14ac:dyDescent="0.2">
      <c r="A4820" s="21"/>
      <c r="B4820" s="3" t="s">
        <v>13</v>
      </c>
      <c r="C4820" s="20" t="s">
        <v>24</v>
      </c>
      <c r="D4820" s="21"/>
    </row>
    <row r="4821" spans="1:4" ht="12.75" customHeight="1" x14ac:dyDescent="0.2">
      <c r="A4821" s="21"/>
      <c r="B4821" s="3" t="s">
        <v>15</v>
      </c>
      <c r="C4821" s="20" t="s">
        <v>24</v>
      </c>
      <c r="D4821" s="21"/>
    </row>
    <row r="4822" spans="1:4" ht="12.75" customHeight="1" x14ac:dyDescent="0.2">
      <c r="A4822" s="21"/>
      <c r="B4822" s="3" t="s">
        <v>16</v>
      </c>
      <c r="C4822" s="20"/>
      <c r="D4822" s="21"/>
    </row>
    <row r="4823" spans="1:4" ht="12.75" customHeight="1" x14ac:dyDescent="0.2">
      <c r="A4823" s="21"/>
      <c r="B4823" s="3" t="s">
        <v>17</v>
      </c>
      <c r="C4823" s="20"/>
      <c r="D4823" s="21"/>
    </row>
    <row r="4824" spans="1:4" ht="12.75" customHeight="1" x14ac:dyDescent="0.2">
      <c r="A4824" s="21"/>
      <c r="B4824" s="20" t="s">
        <v>18</v>
      </c>
      <c r="C4824" s="4" t="s">
        <v>142</v>
      </c>
      <c r="D4824" s="6" t="str">
        <f>HYPERLINK("javascript:void(0)","iránytű")</f>
        <v>iránytű</v>
      </c>
    </row>
    <row r="4825" spans="1:4" ht="12.75" customHeight="1" x14ac:dyDescent="0.2">
      <c r="A4825" s="21"/>
      <c r="B4825" s="21"/>
      <c r="C4825" s="4" t="s">
        <v>139</v>
      </c>
      <c r="D4825" s="6" t="str">
        <f>HYPERLINK("javascript:void(0)","vitorla")</f>
        <v>vitorla</v>
      </c>
    </row>
    <row r="4826" spans="1:4" ht="12.75" customHeight="1" x14ac:dyDescent="0.2">
      <c r="A4826" s="21"/>
      <c r="B4826" s="21"/>
      <c r="C4826" s="4" t="s">
        <v>132</v>
      </c>
      <c r="D4826" s="6" t="str">
        <f>HYPERLINK("javascript:void(0)","zanzahúr")</f>
        <v>zanzahúr</v>
      </c>
    </row>
    <row r="4827" spans="1:4" ht="12.75" customHeight="1" x14ac:dyDescent="0.2">
      <c r="A4827" s="5"/>
      <c r="B4827" s="2"/>
      <c r="C4827" s="2"/>
      <c r="D4827" s="2"/>
    </row>
    <row r="4828" spans="1:4" ht="12.75" customHeight="1" x14ac:dyDescent="0.2">
      <c r="A4828" s="22" t="str">
        <f>HYPERLINK("javascript:void(0)","manatépő mágusölő")</f>
        <v>manatépő mágusölő</v>
      </c>
      <c r="B4828" s="21"/>
      <c r="C4828" s="21"/>
      <c r="D4828" s="21"/>
    </row>
    <row r="4829" spans="1:4" ht="12.75" customHeight="1" x14ac:dyDescent="0.2">
      <c r="A4829" s="20"/>
      <c r="B4829" s="2"/>
      <c r="C4829" s="2"/>
      <c r="D4829" s="2"/>
    </row>
    <row r="4830" spans="1:4" ht="12.75" customHeight="1" x14ac:dyDescent="0.2">
      <c r="A4830" s="21"/>
      <c r="B4830" s="3" t="s">
        <v>0</v>
      </c>
      <c r="C4830" s="20" t="s">
        <v>862</v>
      </c>
      <c r="D4830" s="21"/>
    </row>
    <row r="4831" spans="1:4" ht="12.75" customHeight="1" x14ac:dyDescent="0.2">
      <c r="A4831" s="21"/>
      <c r="B4831" s="3" t="s">
        <v>2</v>
      </c>
      <c r="C4831" s="20" t="s">
        <v>122</v>
      </c>
      <c r="D4831" s="21"/>
    </row>
    <row r="4832" spans="1:4" ht="12.75" customHeight="1" x14ac:dyDescent="0.2">
      <c r="A4832" s="21"/>
      <c r="B4832" s="3" t="s">
        <v>4</v>
      </c>
      <c r="C4832" s="20" t="s">
        <v>1434</v>
      </c>
      <c r="D4832" s="21"/>
    </row>
    <row r="4833" spans="1:4" ht="12.75" customHeight="1" x14ac:dyDescent="0.2">
      <c r="A4833" s="21"/>
      <c r="B4833" s="3" t="s">
        <v>6</v>
      </c>
      <c r="C4833" s="20" t="s">
        <v>48</v>
      </c>
      <c r="D4833" s="21"/>
    </row>
    <row r="4834" spans="1:4" ht="12.75" customHeight="1" x14ac:dyDescent="0.2">
      <c r="A4834" s="21"/>
      <c r="B4834" s="3" t="s">
        <v>8</v>
      </c>
      <c r="C4834" s="20" t="s">
        <v>1434</v>
      </c>
      <c r="D4834" s="21"/>
    </row>
    <row r="4835" spans="1:4" ht="12.75" customHeight="1" x14ac:dyDescent="0.2">
      <c r="A4835" s="21"/>
      <c r="B4835" s="3" t="s">
        <v>9</v>
      </c>
      <c r="C4835" s="20" t="s">
        <v>1435</v>
      </c>
      <c r="D4835" s="21"/>
    </row>
    <row r="4836" spans="1:4" ht="12.75" customHeight="1" x14ac:dyDescent="0.2">
      <c r="A4836" s="21"/>
      <c r="B4836" s="3" t="s">
        <v>11</v>
      </c>
      <c r="C4836" s="20" t="s">
        <v>1190</v>
      </c>
      <c r="D4836" s="21"/>
    </row>
    <row r="4837" spans="1:4" ht="12.75" customHeight="1" x14ac:dyDescent="0.2">
      <c r="A4837" s="21"/>
      <c r="B4837" s="3" t="s">
        <v>13</v>
      </c>
      <c r="C4837" s="20" t="s">
        <v>14</v>
      </c>
      <c r="D4837" s="21"/>
    </row>
    <row r="4838" spans="1:4" ht="12.75" customHeight="1" x14ac:dyDescent="0.2">
      <c r="A4838" s="21"/>
      <c r="B4838" s="3" t="s">
        <v>15</v>
      </c>
      <c r="C4838" s="20" t="s">
        <v>24</v>
      </c>
      <c r="D4838" s="21"/>
    </row>
    <row r="4839" spans="1:4" ht="12.75" customHeight="1" x14ac:dyDescent="0.2">
      <c r="A4839" s="21"/>
      <c r="B4839" s="3" t="s">
        <v>16</v>
      </c>
      <c r="C4839" s="20"/>
      <c r="D4839" s="21"/>
    </row>
    <row r="4840" spans="1:4" ht="12.75" customHeight="1" x14ac:dyDescent="0.2">
      <c r="A4840" s="21"/>
      <c r="B4840" s="3" t="s">
        <v>17</v>
      </c>
      <c r="C4840" s="20"/>
      <c r="D4840" s="21"/>
    </row>
    <row r="4841" spans="1:4" ht="12.75" customHeight="1" x14ac:dyDescent="0.2">
      <c r="A4841" s="21"/>
      <c r="B4841" s="20" t="s">
        <v>18</v>
      </c>
      <c r="C4841" s="4" t="s">
        <v>132</v>
      </c>
      <c r="D4841" s="6" t="str">
        <f>HYPERLINK("javascript:void(0)","bigapata")</f>
        <v>bigapata</v>
      </c>
    </row>
    <row r="4842" spans="1:4" ht="12.75" customHeight="1" x14ac:dyDescent="0.2">
      <c r="A4842" s="21"/>
      <c r="B4842" s="21"/>
      <c r="C4842" s="4" t="s">
        <v>68</v>
      </c>
      <c r="D4842" s="6" t="str">
        <f>HYPERLINK("javascript:void(0)","managöb")</f>
        <v>managöb</v>
      </c>
    </row>
    <row r="4843" spans="1:4" ht="12.75" customHeight="1" x14ac:dyDescent="0.2">
      <c r="A4843" s="21"/>
      <c r="B4843" s="21"/>
      <c r="C4843" s="4" t="s">
        <v>780</v>
      </c>
      <c r="D4843" s="6" t="str">
        <f>HYPERLINK("javascript:void(0)","átokige")</f>
        <v>átokige</v>
      </c>
    </row>
    <row r="4844" spans="1:4" ht="12.75" customHeight="1" x14ac:dyDescent="0.2">
      <c r="A4844" s="5"/>
      <c r="B4844" s="2"/>
      <c r="C4844" s="2"/>
      <c r="D4844" s="2"/>
    </row>
    <row r="4845" spans="1:4" ht="12.75" customHeight="1" x14ac:dyDescent="0.2">
      <c r="A4845" s="22" t="str">
        <f>HYPERLINK("javascript:void(0)","gólembunkó")</f>
        <v>gólembunkó</v>
      </c>
      <c r="B4845" s="21"/>
      <c r="C4845" s="21"/>
      <c r="D4845" s="21"/>
    </row>
    <row r="4846" spans="1:4" ht="12.75" customHeight="1" x14ac:dyDescent="0.2">
      <c r="A4846" s="20"/>
      <c r="B4846" s="2"/>
      <c r="C4846" s="2"/>
      <c r="D4846" s="2"/>
    </row>
    <row r="4847" spans="1:4" ht="12.75" customHeight="1" x14ac:dyDescent="0.2">
      <c r="A4847" s="21"/>
      <c r="B4847" s="3" t="s">
        <v>0</v>
      </c>
      <c r="C4847" s="20" t="s">
        <v>874</v>
      </c>
      <c r="D4847" s="21"/>
    </row>
    <row r="4848" spans="1:4" ht="12.75" customHeight="1" x14ac:dyDescent="0.2">
      <c r="A4848" s="21"/>
      <c r="B4848" s="3" t="s">
        <v>2</v>
      </c>
      <c r="C4848" s="20" t="s">
        <v>122</v>
      </c>
      <c r="D4848" s="21"/>
    </row>
    <row r="4849" spans="1:4" ht="12.75" customHeight="1" x14ac:dyDescent="0.2">
      <c r="A4849" s="21"/>
      <c r="B4849" s="3" t="s">
        <v>4</v>
      </c>
      <c r="C4849" s="20" t="s">
        <v>1436</v>
      </c>
      <c r="D4849" s="21"/>
    </row>
    <row r="4850" spans="1:4" ht="12.75" customHeight="1" x14ac:dyDescent="0.2">
      <c r="A4850" s="21"/>
      <c r="B4850" s="3" t="s">
        <v>6</v>
      </c>
      <c r="C4850" s="20" t="s">
        <v>178</v>
      </c>
      <c r="D4850" s="21"/>
    </row>
    <row r="4851" spans="1:4" ht="12.75" customHeight="1" x14ac:dyDescent="0.2">
      <c r="A4851" s="21"/>
      <c r="B4851" s="3" t="s">
        <v>8</v>
      </c>
      <c r="C4851" s="20" t="s">
        <v>1436</v>
      </c>
      <c r="D4851" s="21"/>
    </row>
    <row r="4852" spans="1:4" ht="12.75" customHeight="1" x14ac:dyDescent="0.2">
      <c r="A4852" s="21"/>
      <c r="B4852" s="3" t="s">
        <v>9</v>
      </c>
      <c r="C4852" s="20" t="s">
        <v>200</v>
      </c>
      <c r="D4852" s="21"/>
    </row>
    <row r="4853" spans="1:4" ht="12.75" customHeight="1" x14ac:dyDescent="0.2">
      <c r="A4853" s="21"/>
      <c r="B4853" s="3" t="s">
        <v>11</v>
      </c>
      <c r="C4853" s="20" t="s">
        <v>901</v>
      </c>
      <c r="D4853" s="21"/>
    </row>
    <row r="4854" spans="1:4" ht="12.75" customHeight="1" x14ac:dyDescent="0.2">
      <c r="A4854" s="21"/>
      <c r="B4854" s="3" t="s">
        <v>13</v>
      </c>
      <c r="C4854" s="20" t="s">
        <v>24</v>
      </c>
      <c r="D4854" s="21"/>
    </row>
    <row r="4855" spans="1:4" ht="12.75" customHeight="1" x14ac:dyDescent="0.2">
      <c r="A4855" s="21"/>
      <c r="B4855" s="3" t="s">
        <v>15</v>
      </c>
      <c r="C4855" s="20" t="s">
        <v>24</v>
      </c>
      <c r="D4855" s="21"/>
    </row>
    <row r="4856" spans="1:4" ht="12.75" customHeight="1" x14ac:dyDescent="0.2">
      <c r="A4856" s="21"/>
      <c r="B4856" s="3" t="s">
        <v>16</v>
      </c>
      <c r="C4856" s="20"/>
      <c r="D4856" s="21"/>
    </row>
    <row r="4857" spans="1:4" ht="12.75" customHeight="1" x14ac:dyDescent="0.2">
      <c r="A4857" s="21"/>
      <c r="B4857" s="3" t="s">
        <v>17</v>
      </c>
      <c r="C4857" s="20"/>
      <c r="D4857" s="21"/>
    </row>
    <row r="4858" spans="1:4" ht="12.75" customHeight="1" x14ac:dyDescent="0.2">
      <c r="A4858" s="21"/>
      <c r="B4858" s="20" t="s">
        <v>18</v>
      </c>
      <c r="C4858" s="4" t="s">
        <v>44</v>
      </c>
      <c r="D4858" s="6" t="str">
        <f>HYPERLINK("javascript:void(0)","agyagfej")</f>
        <v>agyagfej</v>
      </c>
    </row>
    <row r="4859" spans="1:4" ht="12.75" customHeight="1" x14ac:dyDescent="0.2">
      <c r="A4859" s="21"/>
      <c r="B4859" s="21"/>
      <c r="C4859" s="4" t="s">
        <v>44</v>
      </c>
      <c r="D4859" s="6" t="str">
        <f>HYPERLINK("javascript:void(0)","démonzúzó")</f>
        <v>démonzúzó</v>
      </c>
    </row>
    <row r="4860" spans="1:4" ht="12.75" customHeight="1" x14ac:dyDescent="0.2">
      <c r="A4860" s="21"/>
      <c r="B4860" s="21"/>
      <c r="C4860" s="4" t="s">
        <v>44</v>
      </c>
      <c r="D4860" s="6" t="str">
        <f>HYPERLINK("javascript:void(0)","széltördelő")</f>
        <v>széltördelő</v>
      </c>
    </row>
    <row r="4861" spans="1:4" ht="12.75" customHeight="1" x14ac:dyDescent="0.2">
      <c r="A4861" s="5"/>
      <c r="B4861" s="2"/>
      <c r="C4861" s="2"/>
      <c r="D4861" s="2"/>
    </row>
    <row r="4862" spans="1:4" ht="12.75" customHeight="1" x14ac:dyDescent="0.2">
      <c r="A4862" s="22" t="str">
        <f>HYPERLINK("javascript:void(0)","gyíkacél gerinctörő")</f>
        <v>gyíkacél gerinctörő</v>
      </c>
      <c r="B4862" s="21"/>
      <c r="C4862" s="21"/>
      <c r="D4862" s="21"/>
    </row>
    <row r="4863" spans="1:4" ht="12.75" customHeight="1" x14ac:dyDescent="0.2">
      <c r="A4863" s="20"/>
      <c r="B4863" s="2"/>
      <c r="C4863" s="2"/>
      <c r="D4863" s="2"/>
    </row>
    <row r="4864" spans="1:4" ht="12.75" customHeight="1" x14ac:dyDescent="0.2">
      <c r="A4864" s="21"/>
      <c r="B4864" s="3" t="s">
        <v>0</v>
      </c>
      <c r="C4864" s="20" t="s">
        <v>874</v>
      </c>
      <c r="D4864" s="21"/>
    </row>
    <row r="4865" spans="1:4" ht="12.75" customHeight="1" x14ac:dyDescent="0.2">
      <c r="A4865" s="21"/>
      <c r="B4865" s="3" t="s">
        <v>2</v>
      </c>
      <c r="C4865" s="20" t="s">
        <v>122</v>
      </c>
      <c r="D4865" s="21"/>
    </row>
    <row r="4866" spans="1:4" ht="12.75" customHeight="1" x14ac:dyDescent="0.2">
      <c r="A4866" s="21"/>
      <c r="B4866" s="3" t="s">
        <v>4</v>
      </c>
      <c r="C4866" s="20" t="s">
        <v>1437</v>
      </c>
      <c r="D4866" s="21"/>
    </row>
    <row r="4867" spans="1:4" ht="12.75" customHeight="1" x14ac:dyDescent="0.2">
      <c r="A4867" s="21"/>
      <c r="B4867" s="3" t="s">
        <v>6</v>
      </c>
      <c r="C4867" s="20" t="s">
        <v>107</v>
      </c>
      <c r="D4867" s="21"/>
    </row>
    <row r="4868" spans="1:4" ht="12.75" customHeight="1" x14ac:dyDescent="0.2">
      <c r="A4868" s="21"/>
      <c r="B4868" s="3" t="s">
        <v>8</v>
      </c>
      <c r="C4868" s="20" t="s">
        <v>1437</v>
      </c>
      <c r="D4868" s="21"/>
    </row>
    <row r="4869" spans="1:4" ht="12.75" customHeight="1" x14ac:dyDescent="0.2">
      <c r="A4869" s="21"/>
      <c r="B4869" s="3" t="s">
        <v>9</v>
      </c>
      <c r="C4869" s="20" t="s">
        <v>1438</v>
      </c>
      <c r="D4869" s="21"/>
    </row>
    <row r="4870" spans="1:4" ht="12.75" customHeight="1" x14ac:dyDescent="0.2">
      <c r="A4870" s="21"/>
      <c r="B4870" s="3" t="s">
        <v>11</v>
      </c>
      <c r="C4870" s="20" t="s">
        <v>660</v>
      </c>
      <c r="D4870" s="21"/>
    </row>
    <row r="4871" spans="1:4" ht="12.75" customHeight="1" x14ac:dyDescent="0.2">
      <c r="A4871" s="21"/>
      <c r="B4871" s="3" t="s">
        <v>13</v>
      </c>
      <c r="C4871" s="20" t="s">
        <v>24</v>
      </c>
      <c r="D4871" s="21"/>
    </row>
    <row r="4872" spans="1:4" ht="12.75" customHeight="1" x14ac:dyDescent="0.2">
      <c r="A4872" s="21"/>
      <c r="B4872" s="3" t="s">
        <v>15</v>
      </c>
      <c r="C4872" s="20" t="s">
        <v>24</v>
      </c>
      <c r="D4872" s="21"/>
    </row>
    <row r="4873" spans="1:4" ht="12.75" customHeight="1" x14ac:dyDescent="0.2">
      <c r="A4873" s="21"/>
      <c r="B4873" s="3" t="s">
        <v>16</v>
      </c>
      <c r="C4873" s="20"/>
      <c r="D4873" s="21"/>
    </row>
    <row r="4874" spans="1:4" ht="12.75" customHeight="1" x14ac:dyDescent="0.2">
      <c r="A4874" s="21"/>
      <c r="B4874" s="3" t="s">
        <v>17</v>
      </c>
      <c r="C4874" s="20"/>
      <c r="D4874" s="21"/>
    </row>
    <row r="4875" spans="1:4" ht="12.75" customHeight="1" x14ac:dyDescent="0.2">
      <c r="A4875" s="21"/>
      <c r="B4875" s="20" t="s">
        <v>18</v>
      </c>
      <c r="C4875" s="4" t="s">
        <v>309</v>
      </c>
      <c r="D4875" s="6" t="str">
        <f>HYPERLINK("javascript:void(0)","betüvető")</f>
        <v>betüvető</v>
      </c>
    </row>
    <row r="4876" spans="1:4" ht="12.75" customHeight="1" x14ac:dyDescent="0.2">
      <c r="A4876" s="21"/>
      <c r="B4876" s="21"/>
      <c r="C4876" s="4" t="s">
        <v>193</v>
      </c>
      <c r="D4876" s="6" t="str">
        <f>HYPERLINK("javascript:void(0)","haspók")</f>
        <v>haspók</v>
      </c>
    </row>
    <row r="4877" spans="1:4" ht="12.75" customHeight="1" x14ac:dyDescent="0.2">
      <c r="A4877" s="21"/>
      <c r="B4877" s="21"/>
      <c r="C4877" s="4" t="s">
        <v>316</v>
      </c>
      <c r="D4877" s="6" t="str">
        <f>HYPERLINK("javascript:void(0)","göb")</f>
        <v>göb</v>
      </c>
    </row>
    <row r="4878" spans="1:4" ht="12.75" customHeight="1" x14ac:dyDescent="0.2">
      <c r="A4878" s="5"/>
      <c r="B4878" s="2"/>
      <c r="C4878" s="2"/>
      <c r="D4878" s="2"/>
    </row>
    <row r="4879" spans="1:4" ht="12.75" customHeight="1" x14ac:dyDescent="0.2">
      <c r="A4879" s="22" t="str">
        <f>HYPERLINK("javascript:void(0)","agyagfej")</f>
        <v>agyagfej</v>
      </c>
      <c r="B4879" s="21"/>
      <c r="C4879" s="21"/>
      <c r="D4879" s="21"/>
    </row>
    <row r="4880" spans="1:4" ht="12.75" customHeight="1" x14ac:dyDescent="0.2">
      <c r="A4880" s="20"/>
      <c r="B4880" s="2"/>
      <c r="C4880" s="2"/>
      <c r="D4880" s="2"/>
    </row>
    <row r="4881" spans="1:4" ht="12.75" customHeight="1" x14ac:dyDescent="0.2">
      <c r="A4881" s="21"/>
      <c r="B4881" s="3" t="s">
        <v>0</v>
      </c>
      <c r="C4881" s="20" t="s">
        <v>874</v>
      </c>
      <c r="D4881" s="21"/>
    </row>
    <row r="4882" spans="1:4" ht="12.75" customHeight="1" x14ac:dyDescent="0.2">
      <c r="A4882" s="21"/>
      <c r="B4882" s="3" t="s">
        <v>2</v>
      </c>
      <c r="C4882" s="20" t="s">
        <v>122</v>
      </c>
      <c r="D4882" s="21"/>
    </row>
    <row r="4883" spans="1:4" ht="12.75" customHeight="1" x14ac:dyDescent="0.2">
      <c r="A4883" s="21"/>
      <c r="B4883" s="3" t="s">
        <v>4</v>
      </c>
      <c r="C4883" s="20" t="s">
        <v>533</v>
      </c>
      <c r="D4883" s="21"/>
    </row>
    <row r="4884" spans="1:4" ht="12.75" customHeight="1" x14ac:dyDescent="0.2">
      <c r="A4884" s="21"/>
      <c r="B4884" s="3" t="s">
        <v>6</v>
      </c>
      <c r="C4884" s="20" t="s">
        <v>21</v>
      </c>
      <c r="D4884" s="21"/>
    </row>
    <row r="4885" spans="1:4" ht="12.75" customHeight="1" x14ac:dyDescent="0.2">
      <c r="A4885" s="21"/>
      <c r="B4885" s="3" t="s">
        <v>8</v>
      </c>
      <c r="C4885" s="20" t="s">
        <v>533</v>
      </c>
      <c r="D4885" s="21"/>
    </row>
    <row r="4886" spans="1:4" ht="12.75" customHeight="1" x14ac:dyDescent="0.2">
      <c r="A4886" s="21"/>
      <c r="B4886" s="3" t="s">
        <v>9</v>
      </c>
      <c r="C4886" s="20" t="s">
        <v>210</v>
      </c>
      <c r="D4886" s="21"/>
    </row>
    <row r="4887" spans="1:4" ht="12.75" customHeight="1" x14ac:dyDescent="0.2">
      <c r="A4887" s="21"/>
      <c r="B4887" s="3" t="s">
        <v>11</v>
      </c>
      <c r="C4887" s="20" t="s">
        <v>939</v>
      </c>
      <c r="D4887" s="21"/>
    </row>
    <row r="4888" spans="1:4" ht="12.75" customHeight="1" x14ac:dyDescent="0.2">
      <c r="A4888" s="21"/>
      <c r="B4888" s="3" t="s">
        <v>13</v>
      </c>
      <c r="C4888" s="20" t="s">
        <v>24</v>
      </c>
      <c r="D4888" s="21"/>
    </row>
    <row r="4889" spans="1:4" ht="12.75" customHeight="1" x14ac:dyDescent="0.2">
      <c r="A4889" s="21"/>
      <c r="B4889" s="3" t="s">
        <v>15</v>
      </c>
      <c r="C4889" s="20" t="s">
        <v>24</v>
      </c>
      <c r="D4889" s="21"/>
    </row>
    <row r="4890" spans="1:4" ht="12.75" customHeight="1" x14ac:dyDescent="0.2">
      <c r="A4890" s="21"/>
      <c r="B4890" s="3" t="s">
        <v>16</v>
      </c>
      <c r="C4890" s="20"/>
      <c r="D4890" s="21"/>
    </row>
    <row r="4891" spans="1:4" ht="12.75" customHeight="1" x14ac:dyDescent="0.2">
      <c r="A4891" s="21"/>
      <c r="B4891" s="3" t="s">
        <v>17</v>
      </c>
      <c r="C4891" s="20"/>
      <c r="D4891" s="21"/>
    </row>
    <row r="4892" spans="1:4" ht="12.75" customHeight="1" x14ac:dyDescent="0.2">
      <c r="A4892" s="21"/>
      <c r="B4892" s="20" t="s">
        <v>18</v>
      </c>
      <c r="C4892" s="4" t="s">
        <v>269</v>
      </c>
      <c r="D4892" s="6" t="str">
        <f>HYPERLINK("javascript:void(0)","porszőr")</f>
        <v>porszőr</v>
      </c>
    </row>
    <row r="4893" spans="1:4" ht="12.75" customHeight="1" x14ac:dyDescent="0.2">
      <c r="A4893" s="21"/>
      <c r="B4893" s="21"/>
      <c r="C4893" s="4" t="s">
        <v>142</v>
      </c>
      <c r="D4893" s="6" t="str">
        <f>HYPERLINK("javascript:void(0)","agyagszárny")</f>
        <v>agyagszárny</v>
      </c>
    </row>
    <row r="4894" spans="1:4" ht="12.75" customHeight="1" x14ac:dyDescent="0.2">
      <c r="A4894" s="21"/>
      <c r="B4894" s="21"/>
      <c r="C4894" s="4" t="s">
        <v>309</v>
      </c>
      <c r="D4894" s="6" t="str">
        <f>HYPERLINK("javascript:void(0)","ördögpihe")</f>
        <v>ördögpihe</v>
      </c>
    </row>
    <row r="4895" spans="1:4" ht="12.75" customHeight="1" x14ac:dyDescent="0.2">
      <c r="A4895" s="5"/>
      <c r="B4895" s="2"/>
      <c r="C4895" s="2"/>
      <c r="D4895" s="2"/>
    </row>
    <row r="4896" spans="1:4" ht="12.75" customHeight="1" x14ac:dyDescent="0.2">
      <c r="A4896" s="22" t="str">
        <f>HYPERLINK("javascript:void(0)","gólemzúzó")</f>
        <v>gólemzúzó</v>
      </c>
      <c r="B4896" s="21"/>
      <c r="C4896" s="21"/>
      <c r="D4896" s="21"/>
    </row>
    <row r="4897" spans="1:4" ht="12.75" customHeight="1" x14ac:dyDescent="0.2">
      <c r="A4897" s="20"/>
      <c r="B4897" s="2"/>
      <c r="C4897" s="2"/>
      <c r="D4897" s="2"/>
    </row>
    <row r="4898" spans="1:4" ht="12.75" customHeight="1" x14ac:dyDescent="0.2">
      <c r="A4898" s="21"/>
      <c r="B4898" s="3" t="s">
        <v>0</v>
      </c>
      <c r="C4898" s="20" t="s">
        <v>883</v>
      </c>
      <c r="D4898" s="21"/>
    </row>
    <row r="4899" spans="1:4" ht="12.75" customHeight="1" x14ac:dyDescent="0.2">
      <c r="A4899" s="21"/>
      <c r="B4899" s="3" t="s">
        <v>2</v>
      </c>
      <c r="C4899" s="20" t="s">
        <v>122</v>
      </c>
      <c r="D4899" s="21"/>
    </row>
    <row r="4900" spans="1:4" ht="12.75" customHeight="1" x14ac:dyDescent="0.2">
      <c r="A4900" s="21"/>
      <c r="B4900" s="3" t="s">
        <v>4</v>
      </c>
      <c r="C4900" s="20" t="s">
        <v>1439</v>
      </c>
      <c r="D4900" s="21"/>
    </row>
    <row r="4901" spans="1:4" ht="12.75" customHeight="1" x14ac:dyDescent="0.2">
      <c r="A4901" s="21"/>
      <c r="B4901" s="3" t="s">
        <v>6</v>
      </c>
      <c r="C4901" s="20" t="s">
        <v>52</v>
      </c>
      <c r="D4901" s="21"/>
    </row>
    <row r="4902" spans="1:4" ht="12.75" customHeight="1" x14ac:dyDescent="0.2">
      <c r="A4902" s="21"/>
      <c r="B4902" s="3" t="s">
        <v>8</v>
      </c>
      <c r="C4902" s="20" t="s">
        <v>1439</v>
      </c>
      <c r="D4902" s="21"/>
    </row>
    <row r="4903" spans="1:4" ht="12.75" customHeight="1" x14ac:dyDescent="0.2">
      <c r="A4903" s="21"/>
      <c r="B4903" s="3" t="s">
        <v>9</v>
      </c>
      <c r="C4903" s="20" t="s">
        <v>1440</v>
      </c>
      <c r="D4903" s="21"/>
    </row>
    <row r="4904" spans="1:4" ht="12.75" customHeight="1" x14ac:dyDescent="0.2">
      <c r="A4904" s="21"/>
      <c r="B4904" s="3" t="s">
        <v>11</v>
      </c>
      <c r="C4904" s="20" t="s">
        <v>909</v>
      </c>
      <c r="D4904" s="21"/>
    </row>
    <row r="4905" spans="1:4" ht="12.75" customHeight="1" x14ac:dyDescent="0.2">
      <c r="A4905" s="21"/>
      <c r="B4905" s="3" t="s">
        <v>13</v>
      </c>
      <c r="C4905" s="20" t="s">
        <v>24</v>
      </c>
      <c r="D4905" s="21"/>
    </row>
    <row r="4906" spans="1:4" ht="12.75" customHeight="1" x14ac:dyDescent="0.2">
      <c r="A4906" s="21"/>
      <c r="B4906" s="3" t="s">
        <v>15</v>
      </c>
      <c r="C4906" s="20" t="s">
        <v>24</v>
      </c>
      <c r="D4906" s="21"/>
    </row>
    <row r="4907" spans="1:4" ht="12.75" customHeight="1" x14ac:dyDescent="0.2">
      <c r="A4907" s="21"/>
      <c r="B4907" s="3" t="s">
        <v>16</v>
      </c>
      <c r="C4907" s="20"/>
      <c r="D4907" s="21"/>
    </row>
    <row r="4908" spans="1:4" ht="12.75" customHeight="1" x14ac:dyDescent="0.2">
      <c r="A4908" s="21"/>
      <c r="B4908" s="3" t="s">
        <v>17</v>
      </c>
      <c r="C4908" s="20"/>
      <c r="D4908" s="21"/>
    </row>
    <row r="4909" spans="1:4" ht="12.75" customHeight="1" x14ac:dyDescent="0.2">
      <c r="A4909" s="21"/>
      <c r="B4909" s="20" t="s">
        <v>18</v>
      </c>
      <c r="C4909" s="4" t="s">
        <v>142</v>
      </c>
      <c r="D4909" s="6" t="str">
        <f>HYPERLINK("javascript:void(0)","habléc")</f>
        <v>habléc</v>
      </c>
    </row>
    <row r="4910" spans="1:4" ht="12.75" customHeight="1" x14ac:dyDescent="0.2">
      <c r="A4910" s="21"/>
      <c r="B4910" s="21"/>
      <c r="C4910" s="4" t="s">
        <v>117</v>
      </c>
      <c r="D4910" s="6" t="str">
        <f>HYPERLINK("javascript:void(0)","magmacsepp")</f>
        <v>magmacsepp</v>
      </c>
    </row>
    <row r="4911" spans="1:4" ht="12.75" customHeight="1" x14ac:dyDescent="0.2">
      <c r="A4911" s="21"/>
      <c r="B4911" s="21"/>
      <c r="C4911" s="4" t="s">
        <v>44</v>
      </c>
      <c r="D4911" s="6" t="str">
        <f>HYPERLINK("javascript:void(0)","gólembunkó")</f>
        <v>gólembunkó</v>
      </c>
    </row>
    <row r="4912" spans="1:4" ht="12.75" customHeight="1" x14ac:dyDescent="0.2">
      <c r="A4912" s="5"/>
      <c r="B4912" s="2"/>
      <c r="C4912" s="2"/>
      <c r="D4912" s="2"/>
    </row>
    <row r="4913" spans="1:4" ht="12.75" customHeight="1" x14ac:dyDescent="0.2">
      <c r="A4913" s="22" t="str">
        <f>HYPERLINK("javascript:void(0)","habsimitó mágusölő")</f>
        <v>habsimitó mágusölő</v>
      </c>
      <c r="B4913" s="21"/>
      <c r="C4913" s="21"/>
      <c r="D4913" s="21"/>
    </row>
    <row r="4914" spans="1:4" ht="12.75" customHeight="1" x14ac:dyDescent="0.2">
      <c r="A4914" s="20"/>
      <c r="B4914" s="2"/>
      <c r="C4914" s="2"/>
      <c r="D4914" s="2"/>
    </row>
    <row r="4915" spans="1:4" ht="12.75" customHeight="1" x14ac:dyDescent="0.2">
      <c r="A4915" s="21"/>
      <c r="B4915" s="3" t="s">
        <v>0</v>
      </c>
      <c r="C4915" s="20" t="s">
        <v>883</v>
      </c>
      <c r="D4915" s="21"/>
    </row>
    <row r="4916" spans="1:4" ht="12.75" customHeight="1" x14ac:dyDescent="0.2">
      <c r="A4916" s="21"/>
      <c r="B4916" s="3" t="s">
        <v>2</v>
      </c>
      <c r="C4916" s="20" t="s">
        <v>122</v>
      </c>
      <c r="D4916" s="21"/>
    </row>
    <row r="4917" spans="1:4" ht="12.75" customHeight="1" x14ac:dyDescent="0.2">
      <c r="A4917" s="21"/>
      <c r="B4917" s="3" t="s">
        <v>4</v>
      </c>
      <c r="C4917" s="20" t="s">
        <v>1441</v>
      </c>
      <c r="D4917" s="21"/>
    </row>
    <row r="4918" spans="1:4" ht="12.75" customHeight="1" x14ac:dyDescent="0.2">
      <c r="A4918" s="21"/>
      <c r="B4918" s="3" t="s">
        <v>6</v>
      </c>
      <c r="C4918" s="20" t="s">
        <v>48</v>
      </c>
      <c r="D4918" s="21"/>
    </row>
    <row r="4919" spans="1:4" ht="12.75" customHeight="1" x14ac:dyDescent="0.2">
      <c r="A4919" s="21"/>
      <c r="B4919" s="3" t="s">
        <v>8</v>
      </c>
      <c r="C4919" s="20" t="s">
        <v>1441</v>
      </c>
      <c r="D4919" s="21"/>
    </row>
    <row r="4920" spans="1:4" ht="12.75" customHeight="1" x14ac:dyDescent="0.2">
      <c r="A4920" s="21"/>
      <c r="B4920" s="3" t="s">
        <v>9</v>
      </c>
      <c r="C4920" s="20" t="s">
        <v>1442</v>
      </c>
      <c r="D4920" s="21"/>
    </row>
    <row r="4921" spans="1:4" ht="12.75" customHeight="1" x14ac:dyDescent="0.2">
      <c r="A4921" s="21"/>
      <c r="B4921" s="3" t="s">
        <v>11</v>
      </c>
      <c r="C4921" s="20" t="s">
        <v>1443</v>
      </c>
      <c r="D4921" s="21"/>
    </row>
    <row r="4922" spans="1:4" ht="12.75" customHeight="1" x14ac:dyDescent="0.2">
      <c r="A4922" s="21"/>
      <c r="B4922" s="3" t="s">
        <v>13</v>
      </c>
      <c r="C4922" s="20" t="s">
        <v>14</v>
      </c>
      <c r="D4922" s="21"/>
    </row>
    <row r="4923" spans="1:4" ht="12.75" customHeight="1" x14ac:dyDescent="0.2">
      <c r="A4923" s="21"/>
      <c r="B4923" s="3" t="s">
        <v>15</v>
      </c>
      <c r="C4923" s="20" t="s">
        <v>24</v>
      </c>
      <c r="D4923" s="21"/>
    </row>
    <row r="4924" spans="1:4" ht="12.75" customHeight="1" x14ac:dyDescent="0.2">
      <c r="A4924" s="21"/>
      <c r="B4924" s="3" t="s">
        <v>16</v>
      </c>
      <c r="C4924" s="20"/>
      <c r="D4924" s="21"/>
    </row>
    <row r="4925" spans="1:4" ht="12.75" customHeight="1" x14ac:dyDescent="0.2">
      <c r="A4925" s="21"/>
      <c r="B4925" s="3" t="s">
        <v>17</v>
      </c>
      <c r="C4925" s="20"/>
      <c r="D4925" s="21"/>
    </row>
    <row r="4926" spans="1:4" ht="12.75" customHeight="1" x14ac:dyDescent="0.2">
      <c r="A4926" s="21"/>
      <c r="B4926" s="20" t="s">
        <v>18</v>
      </c>
      <c r="C4926" s="4" t="s">
        <v>269</v>
      </c>
      <c r="D4926" s="6" t="str">
        <f>HYPERLINK("javascript:void(0)","porszőr")</f>
        <v>porszőr</v>
      </c>
    </row>
    <row r="4927" spans="1:4" ht="12.75" customHeight="1" x14ac:dyDescent="0.2">
      <c r="A4927" s="21"/>
      <c r="B4927" s="21"/>
      <c r="C4927" s="4" t="s">
        <v>117</v>
      </c>
      <c r="D4927" s="6" t="str">
        <f>HYPERLINK("javascript:void(0)","habléc")</f>
        <v>habléc</v>
      </c>
    </row>
    <row r="4928" spans="1:4" ht="12.75" customHeight="1" x14ac:dyDescent="0.2">
      <c r="A4928" s="21"/>
      <c r="B4928" s="21"/>
      <c r="C4928" s="4" t="s">
        <v>139</v>
      </c>
      <c r="D4928" s="6" t="str">
        <f>HYPERLINK("javascript:void(0)","cerka")</f>
        <v>cerka</v>
      </c>
    </row>
    <row r="4929" spans="1:4" ht="12.75" customHeight="1" x14ac:dyDescent="0.2">
      <c r="A4929" s="5"/>
      <c r="B4929" s="2"/>
      <c r="C4929" s="2"/>
      <c r="D4929" s="2"/>
    </row>
    <row r="4930" spans="1:4" ht="12.75" customHeight="1" x14ac:dyDescent="0.2">
      <c r="A4930" s="22" t="str">
        <f>HYPERLINK("javascript:void(0)","dicskalapács")</f>
        <v>dicskalapács</v>
      </c>
      <c r="B4930" s="21"/>
      <c r="C4930" s="21"/>
      <c r="D4930" s="21"/>
    </row>
    <row r="4931" spans="1:4" ht="12.75" customHeight="1" x14ac:dyDescent="0.2">
      <c r="A4931" s="20"/>
      <c r="B4931" s="2"/>
      <c r="C4931" s="2"/>
      <c r="D4931" s="2"/>
    </row>
    <row r="4932" spans="1:4" ht="12.75" customHeight="1" x14ac:dyDescent="0.2">
      <c r="A4932" s="21"/>
      <c r="B4932" s="3" t="s">
        <v>0</v>
      </c>
      <c r="C4932" s="20" t="s">
        <v>896</v>
      </c>
      <c r="D4932" s="21"/>
    </row>
    <row r="4933" spans="1:4" ht="12.75" customHeight="1" x14ac:dyDescent="0.2">
      <c r="A4933" s="21"/>
      <c r="B4933" s="3" t="s">
        <v>2</v>
      </c>
      <c r="C4933" s="20" t="s">
        <v>122</v>
      </c>
      <c r="D4933" s="21"/>
    </row>
    <row r="4934" spans="1:4" ht="12.75" customHeight="1" x14ac:dyDescent="0.2">
      <c r="A4934" s="21"/>
      <c r="B4934" s="3" t="s">
        <v>4</v>
      </c>
      <c r="C4934" s="20" t="s">
        <v>1444</v>
      </c>
      <c r="D4934" s="21"/>
    </row>
    <row r="4935" spans="1:4" ht="12.75" customHeight="1" x14ac:dyDescent="0.2">
      <c r="A4935" s="21"/>
      <c r="B4935" s="3" t="s">
        <v>6</v>
      </c>
      <c r="C4935" s="20" t="s">
        <v>52</v>
      </c>
      <c r="D4935" s="21"/>
    </row>
    <row r="4936" spans="1:4" ht="12.75" customHeight="1" x14ac:dyDescent="0.2">
      <c r="A4936" s="21"/>
      <c r="B4936" s="3" t="s">
        <v>8</v>
      </c>
      <c r="C4936" s="20" t="s">
        <v>1444</v>
      </c>
      <c r="D4936" s="21"/>
    </row>
    <row r="4937" spans="1:4" ht="12.75" customHeight="1" x14ac:dyDescent="0.2">
      <c r="A4937" s="21"/>
      <c r="B4937" s="3" t="s">
        <v>9</v>
      </c>
      <c r="C4937" s="20" t="s">
        <v>1445</v>
      </c>
      <c r="D4937" s="21"/>
    </row>
    <row r="4938" spans="1:4" ht="12.75" customHeight="1" x14ac:dyDescent="0.2">
      <c r="A4938" s="21"/>
      <c r="B4938" s="3" t="s">
        <v>11</v>
      </c>
      <c r="C4938" s="20" t="s">
        <v>917</v>
      </c>
      <c r="D4938" s="21"/>
    </row>
    <row r="4939" spans="1:4" ht="12.75" customHeight="1" x14ac:dyDescent="0.2">
      <c r="A4939" s="21"/>
      <c r="B4939" s="3" t="s">
        <v>13</v>
      </c>
      <c r="C4939" s="20" t="s">
        <v>24</v>
      </c>
      <c r="D4939" s="21"/>
    </row>
    <row r="4940" spans="1:4" ht="12.75" customHeight="1" x14ac:dyDescent="0.2">
      <c r="A4940" s="21"/>
      <c r="B4940" s="3" t="s">
        <v>15</v>
      </c>
      <c r="C4940" s="20" t="s">
        <v>24</v>
      </c>
      <c r="D4940" s="21"/>
    </row>
    <row r="4941" spans="1:4" ht="12.75" customHeight="1" x14ac:dyDescent="0.2">
      <c r="A4941" s="21"/>
      <c r="B4941" s="3" t="s">
        <v>16</v>
      </c>
      <c r="C4941" s="20"/>
      <c r="D4941" s="21"/>
    </row>
    <row r="4942" spans="1:4" ht="12.75" customHeight="1" x14ac:dyDescent="0.2">
      <c r="A4942" s="21"/>
      <c r="B4942" s="3" t="s">
        <v>17</v>
      </c>
      <c r="C4942" s="20"/>
      <c r="D4942" s="21"/>
    </row>
    <row r="4943" spans="1:4" ht="12.75" customHeight="1" x14ac:dyDescent="0.2">
      <c r="A4943" s="21"/>
      <c r="B4943" s="20" t="s">
        <v>18</v>
      </c>
      <c r="C4943" s="4" t="s">
        <v>68</v>
      </c>
      <c r="D4943" s="6" t="str">
        <f>HYPERLINK("javascript:void(0)","plecsni")</f>
        <v>plecsni</v>
      </c>
    </row>
    <row r="4944" spans="1:4" ht="12.75" customHeight="1" x14ac:dyDescent="0.2">
      <c r="A4944" s="21"/>
      <c r="B4944" s="21"/>
      <c r="C4944" s="4" t="s">
        <v>139</v>
      </c>
      <c r="D4944" s="6" t="str">
        <f>HYPERLINK("javascript:void(0)","átokige")</f>
        <v>átokige</v>
      </c>
    </row>
    <row r="4945" spans="1:4" ht="12.75" customHeight="1" x14ac:dyDescent="0.2">
      <c r="A4945" s="21"/>
      <c r="B4945" s="21"/>
      <c r="C4945" s="4" t="s">
        <v>132</v>
      </c>
      <c r="D4945" s="6" t="str">
        <f>HYPERLINK("javascript:void(0)","lidérclámpás")</f>
        <v>lidérclámpás</v>
      </c>
    </row>
    <row r="4946" spans="1:4" ht="12.75" customHeight="1" x14ac:dyDescent="0.2">
      <c r="A4946" s="5"/>
      <c r="B4946" s="2"/>
      <c r="C4946" s="2"/>
      <c r="D4946" s="2"/>
    </row>
    <row r="4947" spans="1:4" ht="12.75" customHeight="1" x14ac:dyDescent="0.2">
      <c r="A4947" s="22" t="str">
        <f>HYPERLINK("javascript:void(0)","gyíkacél páncéltörő")</f>
        <v>gyíkacél páncéltörő</v>
      </c>
      <c r="B4947" s="21"/>
      <c r="C4947" s="21"/>
      <c r="D4947" s="21"/>
    </row>
    <row r="4948" spans="1:4" ht="12.75" customHeight="1" x14ac:dyDescent="0.2">
      <c r="A4948" s="20"/>
      <c r="B4948" s="2"/>
      <c r="C4948" s="2"/>
      <c r="D4948" s="2"/>
    </row>
    <row r="4949" spans="1:4" ht="12.75" customHeight="1" x14ac:dyDescent="0.2">
      <c r="A4949" s="21"/>
      <c r="B4949" s="3" t="s">
        <v>0</v>
      </c>
      <c r="C4949" s="20" t="s">
        <v>896</v>
      </c>
      <c r="D4949" s="21"/>
    </row>
    <row r="4950" spans="1:4" ht="12.75" customHeight="1" x14ac:dyDescent="0.2">
      <c r="A4950" s="21"/>
      <c r="B4950" s="3" t="s">
        <v>2</v>
      </c>
      <c r="C4950" s="20" t="s">
        <v>122</v>
      </c>
      <c r="D4950" s="21"/>
    </row>
    <row r="4951" spans="1:4" ht="12.75" customHeight="1" x14ac:dyDescent="0.2">
      <c r="A4951" s="21"/>
      <c r="B4951" s="3" t="s">
        <v>4</v>
      </c>
      <c r="C4951" s="20" t="s">
        <v>1446</v>
      </c>
      <c r="D4951" s="21"/>
    </row>
    <row r="4952" spans="1:4" ht="12.75" customHeight="1" x14ac:dyDescent="0.2">
      <c r="A4952" s="21"/>
      <c r="B4952" s="3" t="s">
        <v>6</v>
      </c>
      <c r="C4952" s="20" t="s">
        <v>107</v>
      </c>
      <c r="D4952" s="21"/>
    </row>
    <row r="4953" spans="1:4" ht="12.75" customHeight="1" x14ac:dyDescent="0.2">
      <c r="A4953" s="21"/>
      <c r="B4953" s="3" t="s">
        <v>8</v>
      </c>
      <c r="C4953" s="20" t="s">
        <v>1446</v>
      </c>
      <c r="D4953" s="21"/>
    </row>
    <row r="4954" spans="1:4" ht="12.75" customHeight="1" x14ac:dyDescent="0.2">
      <c r="A4954" s="21"/>
      <c r="B4954" s="3" t="s">
        <v>9</v>
      </c>
      <c r="C4954" s="20" t="s">
        <v>1447</v>
      </c>
      <c r="D4954" s="21"/>
    </row>
    <row r="4955" spans="1:4" ht="12.75" customHeight="1" x14ac:dyDescent="0.2">
      <c r="A4955" s="21"/>
      <c r="B4955" s="3" t="s">
        <v>11</v>
      </c>
      <c r="C4955" s="20" t="s">
        <v>674</v>
      </c>
      <c r="D4955" s="21"/>
    </row>
    <row r="4956" spans="1:4" ht="12.75" customHeight="1" x14ac:dyDescent="0.2">
      <c r="A4956" s="21"/>
      <c r="B4956" s="3" t="s">
        <v>13</v>
      </c>
      <c r="C4956" s="20" t="s">
        <v>24</v>
      </c>
      <c r="D4956" s="21"/>
    </row>
    <row r="4957" spans="1:4" ht="12.75" customHeight="1" x14ac:dyDescent="0.2">
      <c r="A4957" s="21"/>
      <c r="B4957" s="3" t="s">
        <v>15</v>
      </c>
      <c r="C4957" s="20" t="s">
        <v>24</v>
      </c>
      <c r="D4957" s="21"/>
    </row>
    <row r="4958" spans="1:4" ht="12.75" customHeight="1" x14ac:dyDescent="0.2">
      <c r="A4958" s="21"/>
      <c r="B4958" s="3" t="s">
        <v>16</v>
      </c>
      <c r="C4958" s="20"/>
      <c r="D4958" s="21"/>
    </row>
    <row r="4959" spans="1:4" ht="12.75" customHeight="1" x14ac:dyDescent="0.2">
      <c r="A4959" s="21"/>
      <c r="B4959" s="3" t="s">
        <v>17</v>
      </c>
      <c r="C4959" s="20"/>
      <c r="D4959" s="21"/>
    </row>
    <row r="4960" spans="1:4" ht="12.75" customHeight="1" x14ac:dyDescent="0.2">
      <c r="A4960" s="21"/>
      <c r="B4960" s="20" t="s">
        <v>18</v>
      </c>
      <c r="C4960" s="4" t="s">
        <v>269</v>
      </c>
      <c r="D4960" s="6" t="str">
        <f>HYPERLINK("javascript:void(0)","uszony")</f>
        <v>uszony</v>
      </c>
    </row>
    <row r="4961" spans="1:4" ht="12.75" customHeight="1" x14ac:dyDescent="0.2">
      <c r="A4961" s="21"/>
      <c r="B4961" s="21"/>
      <c r="C4961" s="4" t="s">
        <v>280</v>
      </c>
      <c r="D4961" s="6" t="str">
        <f>HYPERLINK("javascript:void(0)","sárkány szem")</f>
        <v>sárkány szem</v>
      </c>
    </row>
    <row r="4962" spans="1:4" ht="12.75" customHeight="1" x14ac:dyDescent="0.2">
      <c r="A4962" s="21"/>
      <c r="B4962" s="21"/>
      <c r="C4962" s="4" t="s">
        <v>98</v>
      </c>
      <c r="D4962" s="6" t="str">
        <f>HYPERLINK("javascript:void(0)","rézrög")</f>
        <v>rézrög</v>
      </c>
    </row>
    <row r="4963" spans="1:4" ht="12.75" customHeight="1" x14ac:dyDescent="0.2">
      <c r="A4963" s="5"/>
      <c r="B4963" s="2"/>
      <c r="C4963" s="2"/>
      <c r="D4963" s="2"/>
    </row>
    <row r="4964" spans="1:4" ht="12.75" customHeight="1" x14ac:dyDescent="0.2">
      <c r="A4964" s="22" t="str">
        <f>HYPERLINK("javascript:void(0)","tépőbunkó")</f>
        <v>tépőbunkó</v>
      </c>
      <c r="B4964" s="21"/>
      <c r="C4964" s="21"/>
      <c r="D4964" s="21"/>
    </row>
    <row r="4965" spans="1:4" ht="12.75" customHeight="1" x14ac:dyDescent="0.2">
      <c r="A4965" s="20"/>
      <c r="B4965" s="2"/>
      <c r="C4965" s="2"/>
      <c r="D4965" s="2"/>
    </row>
    <row r="4966" spans="1:4" ht="12.75" customHeight="1" x14ac:dyDescent="0.2">
      <c r="A4966" s="21"/>
      <c r="B4966" s="3" t="s">
        <v>0</v>
      </c>
      <c r="C4966" s="20" t="s">
        <v>905</v>
      </c>
      <c r="D4966" s="21"/>
    </row>
    <row r="4967" spans="1:4" ht="12.75" customHeight="1" x14ac:dyDescent="0.2">
      <c r="A4967" s="21"/>
      <c r="B4967" s="3" t="s">
        <v>2</v>
      </c>
      <c r="C4967" s="20" t="s">
        <v>122</v>
      </c>
      <c r="D4967" s="21"/>
    </row>
    <row r="4968" spans="1:4" ht="12.75" customHeight="1" x14ac:dyDescent="0.2">
      <c r="A4968" s="21"/>
      <c r="B4968" s="3" t="s">
        <v>4</v>
      </c>
      <c r="C4968" s="20" t="s">
        <v>1448</v>
      </c>
      <c r="D4968" s="21"/>
    </row>
    <row r="4969" spans="1:4" ht="12.75" customHeight="1" x14ac:dyDescent="0.2">
      <c r="A4969" s="21"/>
      <c r="B4969" s="3" t="s">
        <v>6</v>
      </c>
      <c r="C4969" s="20" t="s">
        <v>178</v>
      </c>
      <c r="D4969" s="21"/>
    </row>
    <row r="4970" spans="1:4" ht="12.75" customHeight="1" x14ac:dyDescent="0.2">
      <c r="A4970" s="21"/>
      <c r="B4970" s="3" t="s">
        <v>8</v>
      </c>
      <c r="C4970" s="20" t="s">
        <v>1448</v>
      </c>
      <c r="D4970" s="21"/>
    </row>
    <row r="4971" spans="1:4" ht="12.75" customHeight="1" x14ac:dyDescent="0.2">
      <c r="A4971" s="21"/>
      <c r="B4971" s="3" t="s">
        <v>9</v>
      </c>
      <c r="C4971" s="20" t="s">
        <v>1404</v>
      </c>
      <c r="D4971" s="21"/>
    </row>
    <row r="4972" spans="1:4" ht="12.75" customHeight="1" x14ac:dyDescent="0.2">
      <c r="A4972" s="21"/>
      <c r="B4972" s="3" t="s">
        <v>11</v>
      </c>
      <c r="C4972" s="20" t="s">
        <v>929</v>
      </c>
      <c r="D4972" s="21"/>
    </row>
    <row r="4973" spans="1:4" ht="12.75" customHeight="1" x14ac:dyDescent="0.2">
      <c r="A4973" s="21"/>
      <c r="B4973" s="3" t="s">
        <v>13</v>
      </c>
      <c r="C4973" s="20" t="s">
        <v>24</v>
      </c>
      <c r="D4973" s="21"/>
    </row>
    <row r="4974" spans="1:4" ht="12.75" customHeight="1" x14ac:dyDescent="0.2">
      <c r="A4974" s="21"/>
      <c r="B4974" s="3" t="s">
        <v>15</v>
      </c>
      <c r="C4974" s="20" t="s">
        <v>24</v>
      </c>
      <c r="D4974" s="21"/>
    </row>
    <row r="4975" spans="1:4" ht="12.75" customHeight="1" x14ac:dyDescent="0.2">
      <c r="A4975" s="21"/>
      <c r="B4975" s="3" t="s">
        <v>16</v>
      </c>
      <c r="C4975" s="20"/>
      <c r="D4975" s="21"/>
    </row>
    <row r="4976" spans="1:4" ht="12.75" customHeight="1" x14ac:dyDescent="0.2">
      <c r="A4976" s="21"/>
      <c r="B4976" s="3" t="s">
        <v>17</v>
      </c>
      <c r="C4976" s="20"/>
      <c r="D4976" s="21"/>
    </row>
    <row r="4977" spans="1:4" ht="12.75" customHeight="1" x14ac:dyDescent="0.2">
      <c r="A4977" s="21"/>
      <c r="B4977" s="20" t="s">
        <v>18</v>
      </c>
      <c r="C4977" s="4" t="s">
        <v>44</v>
      </c>
      <c r="D4977" s="6" t="str">
        <f>HYPERLINK("javascript:void(0)","gólemzúzó")</f>
        <v>gólemzúzó</v>
      </c>
    </row>
    <row r="4978" spans="1:4" ht="12.75" customHeight="1" x14ac:dyDescent="0.2">
      <c r="A4978" s="21"/>
      <c r="B4978" s="21"/>
      <c r="C4978" s="4" t="s">
        <v>44</v>
      </c>
      <c r="D4978" s="6" t="str">
        <f>HYPERLINK("javascript:void(0)","dicskalapács")</f>
        <v>dicskalapács</v>
      </c>
    </row>
    <row r="4979" spans="1:4" ht="12.75" customHeight="1" x14ac:dyDescent="0.2">
      <c r="A4979" s="21"/>
      <c r="B4979" s="21"/>
      <c r="C4979" s="4" t="s">
        <v>44</v>
      </c>
      <c r="D4979" s="6" t="str">
        <f>HYPERLINK("javascript:void(0)","fognyél")</f>
        <v>fognyél</v>
      </c>
    </row>
    <row r="4980" spans="1:4" ht="12.75" customHeight="1" x14ac:dyDescent="0.2">
      <c r="A4980" s="5"/>
      <c r="B4980" s="2"/>
      <c r="C4980" s="2"/>
      <c r="D4980" s="2"/>
    </row>
    <row r="4981" spans="1:4" ht="12.75" customHeight="1" x14ac:dyDescent="0.2">
      <c r="A4981" s="22" t="str">
        <f>HYPERLINK("javascript:void(0)","pálhapáros mágusölő")</f>
        <v>pálhapáros mágusölő</v>
      </c>
      <c r="B4981" s="21"/>
      <c r="C4981" s="21"/>
      <c r="D4981" s="21"/>
    </row>
    <row r="4982" spans="1:4" ht="12.75" customHeight="1" x14ac:dyDescent="0.2">
      <c r="A4982" s="20"/>
      <c r="B4982" s="2"/>
      <c r="C4982" s="2"/>
      <c r="D4982" s="2"/>
    </row>
    <row r="4983" spans="1:4" ht="12.75" customHeight="1" x14ac:dyDescent="0.2">
      <c r="A4983" s="21"/>
      <c r="B4983" s="3" t="s">
        <v>0</v>
      </c>
      <c r="C4983" s="20" t="s">
        <v>905</v>
      </c>
      <c r="D4983" s="21"/>
    </row>
    <row r="4984" spans="1:4" ht="12.75" customHeight="1" x14ac:dyDescent="0.2">
      <c r="A4984" s="21"/>
      <c r="B4984" s="3" t="s">
        <v>2</v>
      </c>
      <c r="C4984" s="20" t="s">
        <v>122</v>
      </c>
      <c r="D4984" s="21"/>
    </row>
    <row r="4985" spans="1:4" ht="12.75" customHeight="1" x14ac:dyDescent="0.2">
      <c r="A4985" s="21"/>
      <c r="B4985" s="3" t="s">
        <v>4</v>
      </c>
      <c r="C4985" s="20" t="s">
        <v>1449</v>
      </c>
      <c r="D4985" s="21"/>
    </row>
    <row r="4986" spans="1:4" ht="12.75" customHeight="1" x14ac:dyDescent="0.2">
      <c r="A4986" s="21"/>
      <c r="B4986" s="3" t="s">
        <v>6</v>
      </c>
      <c r="C4986" s="20" t="s">
        <v>48</v>
      </c>
      <c r="D4986" s="21"/>
    </row>
    <row r="4987" spans="1:4" ht="12.75" customHeight="1" x14ac:dyDescent="0.2">
      <c r="A4987" s="21"/>
      <c r="B4987" s="3" t="s">
        <v>8</v>
      </c>
      <c r="C4987" s="20" t="s">
        <v>1449</v>
      </c>
      <c r="D4987" s="21"/>
    </row>
    <row r="4988" spans="1:4" ht="12.75" customHeight="1" x14ac:dyDescent="0.2">
      <c r="A4988" s="21"/>
      <c r="B4988" s="3" t="s">
        <v>9</v>
      </c>
      <c r="C4988" s="20" t="s">
        <v>1450</v>
      </c>
      <c r="D4988" s="21"/>
    </row>
    <row r="4989" spans="1:4" ht="12.75" customHeight="1" x14ac:dyDescent="0.2">
      <c r="A4989" s="21"/>
      <c r="B4989" s="3" t="s">
        <v>11</v>
      </c>
      <c r="C4989" s="20" t="s">
        <v>1451</v>
      </c>
      <c r="D4989" s="21"/>
    </row>
    <row r="4990" spans="1:4" ht="12.75" customHeight="1" x14ac:dyDescent="0.2">
      <c r="A4990" s="21"/>
      <c r="B4990" s="3" t="s">
        <v>13</v>
      </c>
      <c r="C4990" s="20" t="s">
        <v>14</v>
      </c>
      <c r="D4990" s="21"/>
    </row>
    <row r="4991" spans="1:4" ht="12.75" customHeight="1" x14ac:dyDescent="0.2">
      <c r="A4991" s="21"/>
      <c r="B4991" s="3" t="s">
        <v>15</v>
      </c>
      <c r="C4991" s="20" t="s">
        <v>24</v>
      </c>
      <c r="D4991" s="21"/>
    </row>
    <row r="4992" spans="1:4" ht="12.75" customHeight="1" x14ac:dyDescent="0.2">
      <c r="A4992" s="21"/>
      <c r="B4992" s="3" t="s">
        <v>16</v>
      </c>
      <c r="C4992" s="20"/>
      <c r="D4992" s="21"/>
    </row>
    <row r="4993" spans="1:4" ht="12.75" customHeight="1" x14ac:dyDescent="0.2">
      <c r="A4993" s="21"/>
      <c r="B4993" s="3" t="s">
        <v>17</v>
      </c>
      <c r="C4993" s="20"/>
      <c r="D4993" s="21"/>
    </row>
    <row r="4994" spans="1:4" ht="12.75" customHeight="1" x14ac:dyDescent="0.2">
      <c r="A4994" s="21"/>
      <c r="B4994" s="20" t="s">
        <v>18</v>
      </c>
      <c r="C4994" s="4" t="s">
        <v>240</v>
      </c>
      <c r="D4994" s="6" t="str">
        <f>HYPERLINK("javascript:void(0)","managöb")</f>
        <v>managöb</v>
      </c>
    </row>
    <row r="4995" spans="1:4" ht="12.75" customHeight="1" x14ac:dyDescent="0.2">
      <c r="A4995" s="21"/>
      <c r="B4995" s="21"/>
      <c r="C4995" s="4" t="s">
        <v>244</v>
      </c>
      <c r="D4995" s="6" t="str">
        <f>HYPERLINK("javascript:void(0)","pálha")</f>
        <v>pálha</v>
      </c>
    </row>
    <row r="4996" spans="1:4" ht="12.75" customHeight="1" x14ac:dyDescent="0.2">
      <c r="A4996" s="21"/>
      <c r="B4996" s="21"/>
      <c r="C4996" s="4" t="s">
        <v>240</v>
      </c>
      <c r="D4996" s="6" t="str">
        <f>HYPERLINK("javascript:void(0)","monsztabéklyó")</f>
        <v>monsztabéklyó</v>
      </c>
    </row>
    <row r="4997" spans="1:4" ht="12.75" customHeight="1" x14ac:dyDescent="0.2">
      <c r="A4997" s="5"/>
      <c r="B4997" s="2"/>
      <c r="C4997" s="2"/>
      <c r="D4997" s="2"/>
    </row>
    <row r="4998" spans="1:4" ht="12.75" customHeight="1" x14ac:dyDescent="0.2">
      <c r="A4998" s="22" t="str">
        <f>HYPERLINK("javascript:void(0)","fognyél")</f>
        <v>fognyél</v>
      </c>
      <c r="B4998" s="21"/>
      <c r="C4998" s="21"/>
      <c r="D4998" s="21"/>
    </row>
    <row r="4999" spans="1:4" ht="12.75" customHeight="1" x14ac:dyDescent="0.2">
      <c r="A4999" s="20"/>
      <c r="B4999" s="2"/>
      <c r="C4999" s="2"/>
      <c r="D4999" s="2"/>
    </row>
    <row r="5000" spans="1:4" ht="12.75" customHeight="1" x14ac:dyDescent="0.2">
      <c r="A5000" s="21"/>
      <c r="B5000" s="3" t="s">
        <v>0</v>
      </c>
      <c r="C5000" s="20" t="s">
        <v>905</v>
      </c>
      <c r="D5000" s="21"/>
    </row>
    <row r="5001" spans="1:4" ht="12.75" customHeight="1" x14ac:dyDescent="0.2">
      <c r="A5001" s="21"/>
      <c r="B5001" s="3" t="s">
        <v>2</v>
      </c>
      <c r="C5001" s="20" t="s">
        <v>122</v>
      </c>
      <c r="D5001" s="21"/>
    </row>
    <row r="5002" spans="1:4" ht="12.75" customHeight="1" x14ac:dyDescent="0.2">
      <c r="A5002" s="21"/>
      <c r="B5002" s="3" t="s">
        <v>4</v>
      </c>
      <c r="C5002" s="20" t="s">
        <v>1452</v>
      </c>
      <c r="D5002" s="21"/>
    </row>
    <row r="5003" spans="1:4" ht="12.75" customHeight="1" x14ac:dyDescent="0.2">
      <c r="A5003" s="21"/>
      <c r="B5003" s="3" t="s">
        <v>6</v>
      </c>
      <c r="C5003" s="20" t="s">
        <v>21</v>
      </c>
      <c r="D5003" s="21"/>
    </row>
    <row r="5004" spans="1:4" ht="12.75" customHeight="1" x14ac:dyDescent="0.2">
      <c r="A5004" s="21"/>
      <c r="B5004" s="3" t="s">
        <v>8</v>
      </c>
      <c r="C5004" s="20" t="s">
        <v>1452</v>
      </c>
      <c r="D5004" s="21"/>
    </row>
    <row r="5005" spans="1:4" ht="12.75" customHeight="1" x14ac:dyDescent="0.2">
      <c r="A5005" s="21"/>
      <c r="B5005" s="3" t="s">
        <v>9</v>
      </c>
      <c r="C5005" s="20" t="s">
        <v>464</v>
      </c>
      <c r="D5005" s="21"/>
    </row>
    <row r="5006" spans="1:4" ht="12.75" customHeight="1" x14ac:dyDescent="0.2">
      <c r="A5006" s="21"/>
      <c r="B5006" s="3" t="s">
        <v>11</v>
      </c>
      <c r="C5006" s="20" t="s">
        <v>939</v>
      </c>
      <c r="D5006" s="21"/>
    </row>
    <row r="5007" spans="1:4" ht="12.75" customHeight="1" x14ac:dyDescent="0.2">
      <c r="A5007" s="21"/>
      <c r="B5007" s="3" t="s">
        <v>13</v>
      </c>
      <c r="C5007" s="20" t="s">
        <v>24</v>
      </c>
      <c r="D5007" s="21"/>
    </row>
    <row r="5008" spans="1:4" ht="12.75" customHeight="1" x14ac:dyDescent="0.2">
      <c r="A5008" s="21"/>
      <c r="B5008" s="3" t="s">
        <v>15</v>
      </c>
      <c r="C5008" s="20" t="s">
        <v>24</v>
      </c>
      <c r="D5008" s="21"/>
    </row>
    <row r="5009" spans="1:4" ht="12.75" customHeight="1" x14ac:dyDescent="0.2">
      <c r="A5009" s="21"/>
      <c r="B5009" s="3" t="s">
        <v>16</v>
      </c>
      <c r="C5009" s="20"/>
      <c r="D5009" s="21"/>
    </row>
    <row r="5010" spans="1:4" ht="12.75" customHeight="1" x14ac:dyDescent="0.2">
      <c r="A5010" s="21"/>
      <c r="B5010" s="3" t="s">
        <v>17</v>
      </c>
      <c r="C5010" s="20"/>
      <c r="D5010" s="21"/>
    </row>
    <row r="5011" spans="1:4" ht="12.75" customHeight="1" x14ac:dyDescent="0.2">
      <c r="A5011" s="21"/>
      <c r="B5011" s="20" t="s">
        <v>18</v>
      </c>
      <c r="C5011" s="4" t="s">
        <v>67</v>
      </c>
      <c r="D5011" s="6" t="str">
        <f>HYPERLINK("javascript:void(0)","plecsni")</f>
        <v>plecsni</v>
      </c>
    </row>
    <row r="5012" spans="1:4" ht="12.75" customHeight="1" x14ac:dyDescent="0.2">
      <c r="A5012" s="21"/>
      <c r="B5012" s="21"/>
      <c r="C5012" s="4" t="s">
        <v>142</v>
      </c>
      <c r="D5012" s="6" t="str">
        <f>HYPERLINK("javascript:void(0)","tépőfog")</f>
        <v>tépőfog</v>
      </c>
    </row>
    <row r="5013" spans="1:4" ht="12.75" customHeight="1" x14ac:dyDescent="0.2">
      <c r="A5013" s="21"/>
      <c r="B5013" s="21"/>
      <c r="C5013" s="4" t="s">
        <v>309</v>
      </c>
      <c r="D5013" s="6" t="str">
        <f>HYPERLINK("javascript:void(0)","harmatcsepp")</f>
        <v>harmatcsepp</v>
      </c>
    </row>
    <row r="5014" spans="1:4" ht="12.75" customHeight="1" x14ac:dyDescent="0.2">
      <c r="A5014" s="5"/>
      <c r="B5014" s="2"/>
      <c r="C5014" s="2"/>
      <c r="D5014" s="2"/>
    </row>
    <row r="5015" spans="1:4" ht="12.75" customHeight="1" x14ac:dyDescent="0.2">
      <c r="A5015" s="22" t="str">
        <f>HYPERLINK("javascript:void(0)","rémtorpantó")</f>
        <v>rémtorpantó</v>
      </c>
      <c r="B5015" s="21"/>
      <c r="C5015" s="21"/>
      <c r="D5015" s="21"/>
    </row>
    <row r="5016" spans="1:4" ht="12.75" customHeight="1" x14ac:dyDescent="0.2">
      <c r="A5016" s="20"/>
      <c r="B5016" s="2"/>
      <c r="C5016" s="2"/>
      <c r="D5016" s="2"/>
    </row>
    <row r="5017" spans="1:4" ht="12.75" customHeight="1" x14ac:dyDescent="0.2">
      <c r="A5017" s="21"/>
      <c r="B5017" s="3" t="s">
        <v>0</v>
      </c>
      <c r="C5017" s="20" t="s">
        <v>319</v>
      </c>
      <c r="D5017" s="21"/>
    </row>
    <row r="5018" spans="1:4" ht="12.75" customHeight="1" x14ac:dyDescent="0.2">
      <c r="A5018" s="21"/>
      <c r="B5018" s="3" t="s">
        <v>2</v>
      </c>
      <c r="C5018" s="20" t="s">
        <v>122</v>
      </c>
      <c r="D5018" s="21"/>
    </row>
    <row r="5019" spans="1:4" ht="12.75" customHeight="1" x14ac:dyDescent="0.2">
      <c r="A5019" s="21"/>
      <c r="B5019" s="3" t="s">
        <v>4</v>
      </c>
      <c r="C5019" s="20" t="s">
        <v>1453</v>
      </c>
      <c r="D5019" s="21"/>
    </row>
    <row r="5020" spans="1:4" ht="12.75" customHeight="1" x14ac:dyDescent="0.2">
      <c r="A5020" s="21"/>
      <c r="B5020" s="3" t="s">
        <v>6</v>
      </c>
      <c r="C5020" s="20" t="s">
        <v>298</v>
      </c>
      <c r="D5020" s="21"/>
    </row>
    <row r="5021" spans="1:4" ht="12.75" customHeight="1" x14ac:dyDescent="0.2">
      <c r="A5021" s="21"/>
      <c r="B5021" s="3" t="s">
        <v>8</v>
      </c>
      <c r="C5021" s="20" t="s">
        <v>1453</v>
      </c>
      <c r="D5021" s="21"/>
    </row>
    <row r="5022" spans="1:4" ht="12.75" customHeight="1" x14ac:dyDescent="0.2">
      <c r="A5022" s="21"/>
      <c r="B5022" s="3" t="s">
        <v>9</v>
      </c>
      <c r="C5022" s="20" t="s">
        <v>1454</v>
      </c>
      <c r="D5022" s="21"/>
    </row>
    <row r="5023" spans="1:4" ht="12.75" customHeight="1" x14ac:dyDescent="0.2">
      <c r="A5023" s="21"/>
      <c r="B5023" s="3" t="s">
        <v>11</v>
      </c>
      <c r="C5023" s="20" t="s">
        <v>939</v>
      </c>
      <c r="D5023" s="21"/>
    </row>
    <row r="5024" spans="1:4" ht="12.75" customHeight="1" x14ac:dyDescent="0.2">
      <c r="A5024" s="21"/>
      <c r="B5024" s="3" t="s">
        <v>13</v>
      </c>
      <c r="C5024" s="20" t="s">
        <v>24</v>
      </c>
      <c r="D5024" s="21"/>
    </row>
    <row r="5025" spans="1:4" ht="12.75" customHeight="1" x14ac:dyDescent="0.2">
      <c r="A5025" s="21"/>
      <c r="B5025" s="3" t="s">
        <v>15</v>
      </c>
      <c r="C5025" s="20" t="s">
        <v>24</v>
      </c>
      <c r="D5025" s="21"/>
    </row>
    <row r="5026" spans="1:4" ht="12.75" customHeight="1" x14ac:dyDescent="0.2">
      <c r="A5026" s="21"/>
      <c r="B5026" s="3" t="s">
        <v>16</v>
      </c>
      <c r="C5026" s="20"/>
      <c r="D5026" s="21"/>
    </row>
    <row r="5027" spans="1:4" ht="12.75" customHeight="1" x14ac:dyDescent="0.2">
      <c r="A5027" s="21"/>
      <c r="B5027" s="3" t="s">
        <v>17</v>
      </c>
      <c r="C5027" s="20"/>
      <c r="D5027" s="21"/>
    </row>
    <row r="5028" spans="1:4" ht="12.75" customHeight="1" x14ac:dyDescent="0.2">
      <c r="A5028" s="21"/>
      <c r="B5028" s="20" t="s">
        <v>18</v>
      </c>
      <c r="C5028" s="4" t="s">
        <v>117</v>
      </c>
      <c r="D5028" s="6" t="str">
        <f>HYPERLINK("javascript:void(0)","ejtőernyő")</f>
        <v>ejtőernyő</v>
      </c>
    </row>
    <row r="5029" spans="1:4" ht="12.75" customHeight="1" x14ac:dyDescent="0.2">
      <c r="A5029" s="21"/>
      <c r="B5029" s="21"/>
      <c r="C5029" s="4" t="s">
        <v>232</v>
      </c>
      <c r="D5029" s="6" t="str">
        <f>HYPERLINK("javascript:void(0)","rémláb")</f>
        <v>rémláb</v>
      </c>
    </row>
    <row r="5030" spans="1:4" ht="12.75" customHeight="1" x14ac:dyDescent="0.2">
      <c r="A5030" s="21"/>
      <c r="B5030" s="21"/>
      <c r="C5030" s="4" t="s">
        <v>44</v>
      </c>
      <c r="D5030" s="6" t="str">
        <f>HYPERLINK("javascript:void(0)","tépőbunkó")</f>
        <v>tépőbunkó</v>
      </c>
    </row>
    <row r="5031" spans="1:4" ht="12.75" customHeight="1" x14ac:dyDescent="0.2">
      <c r="A5031" s="5"/>
      <c r="B5031" s="2"/>
      <c r="C5031" s="2"/>
      <c r="D5031" s="2"/>
    </row>
    <row r="5032" spans="1:4" ht="12.75" customHeight="1" x14ac:dyDescent="0.2">
      <c r="A5032" s="22" t="str">
        <f>HYPERLINK("javascript:void(0)","gyíkacél ólmosbot")</f>
        <v>gyíkacél ólmosbot</v>
      </c>
      <c r="B5032" s="21"/>
      <c r="C5032" s="21"/>
      <c r="D5032" s="21"/>
    </row>
    <row r="5033" spans="1:4" ht="12.75" customHeight="1" x14ac:dyDescent="0.2">
      <c r="A5033" s="20"/>
      <c r="B5033" s="2"/>
      <c r="C5033" s="2"/>
      <c r="D5033" s="2"/>
    </row>
    <row r="5034" spans="1:4" ht="12.75" customHeight="1" x14ac:dyDescent="0.2">
      <c r="A5034" s="21"/>
      <c r="B5034" s="3" t="s">
        <v>0</v>
      </c>
      <c r="C5034" s="20" t="s">
        <v>319</v>
      </c>
      <c r="D5034" s="21"/>
    </row>
    <row r="5035" spans="1:4" ht="12.75" customHeight="1" x14ac:dyDescent="0.2">
      <c r="A5035" s="21"/>
      <c r="B5035" s="3" t="s">
        <v>2</v>
      </c>
      <c r="C5035" s="20" t="s">
        <v>122</v>
      </c>
      <c r="D5035" s="21"/>
    </row>
    <row r="5036" spans="1:4" ht="12.75" customHeight="1" x14ac:dyDescent="0.2">
      <c r="A5036" s="21"/>
      <c r="B5036" s="3" t="s">
        <v>4</v>
      </c>
      <c r="C5036" s="20" t="s">
        <v>1455</v>
      </c>
      <c r="D5036" s="21"/>
    </row>
    <row r="5037" spans="1:4" ht="12.75" customHeight="1" x14ac:dyDescent="0.2">
      <c r="A5037" s="21"/>
      <c r="B5037" s="3" t="s">
        <v>6</v>
      </c>
      <c r="C5037" s="20" t="s">
        <v>107</v>
      </c>
      <c r="D5037" s="21"/>
    </row>
    <row r="5038" spans="1:4" ht="12.75" customHeight="1" x14ac:dyDescent="0.2">
      <c r="A5038" s="21"/>
      <c r="B5038" s="3" t="s">
        <v>8</v>
      </c>
      <c r="C5038" s="20" t="s">
        <v>1455</v>
      </c>
      <c r="D5038" s="21"/>
    </row>
    <row r="5039" spans="1:4" ht="12.75" customHeight="1" x14ac:dyDescent="0.2">
      <c r="A5039" s="21"/>
      <c r="B5039" s="3" t="s">
        <v>9</v>
      </c>
      <c r="C5039" s="20" t="s">
        <v>1456</v>
      </c>
      <c r="D5039" s="21"/>
    </row>
    <row r="5040" spans="1:4" ht="12.75" customHeight="1" x14ac:dyDescent="0.2">
      <c r="A5040" s="21"/>
      <c r="B5040" s="3" t="s">
        <v>11</v>
      </c>
      <c r="C5040" s="20" t="s">
        <v>684</v>
      </c>
      <c r="D5040" s="21"/>
    </row>
    <row r="5041" spans="1:4" ht="12.75" customHeight="1" x14ac:dyDescent="0.2">
      <c r="A5041" s="21"/>
      <c r="B5041" s="3" t="s">
        <v>13</v>
      </c>
      <c r="C5041" s="20" t="s">
        <v>24</v>
      </c>
      <c r="D5041" s="21"/>
    </row>
    <row r="5042" spans="1:4" ht="12.75" customHeight="1" x14ac:dyDescent="0.2">
      <c r="A5042" s="21"/>
      <c r="B5042" s="3" t="s">
        <v>15</v>
      </c>
      <c r="C5042" s="20" t="s">
        <v>24</v>
      </c>
      <c r="D5042" s="21"/>
    </row>
    <row r="5043" spans="1:4" ht="12.75" customHeight="1" x14ac:dyDescent="0.2">
      <c r="A5043" s="21"/>
      <c r="B5043" s="3" t="s">
        <v>16</v>
      </c>
      <c r="C5043" s="20"/>
      <c r="D5043" s="21"/>
    </row>
    <row r="5044" spans="1:4" ht="12.75" customHeight="1" x14ac:dyDescent="0.2">
      <c r="A5044" s="21"/>
      <c r="B5044" s="3" t="s">
        <v>17</v>
      </c>
      <c r="C5044" s="20"/>
      <c r="D5044" s="21"/>
    </row>
    <row r="5045" spans="1:4" ht="12.75" customHeight="1" x14ac:dyDescent="0.2">
      <c r="A5045" s="21"/>
      <c r="B5045" s="20" t="s">
        <v>18</v>
      </c>
      <c r="C5045" s="4" t="s">
        <v>244</v>
      </c>
      <c r="D5045" s="6" t="str">
        <f>HYPERLINK("javascript:void(0)","betüvető")</f>
        <v>betüvető</v>
      </c>
    </row>
    <row r="5046" spans="1:4" ht="12.75" customHeight="1" x14ac:dyDescent="0.2">
      <c r="A5046" s="21"/>
      <c r="B5046" s="21"/>
      <c r="C5046" s="4" t="s">
        <v>398</v>
      </c>
      <c r="D5046" s="6" t="str">
        <f>HYPERLINK("javascript:void(0)","hiperzsír")</f>
        <v>hiperzsír</v>
      </c>
    </row>
    <row r="5047" spans="1:4" ht="12.75" customHeight="1" x14ac:dyDescent="0.2">
      <c r="A5047" s="21"/>
      <c r="B5047" s="21"/>
      <c r="C5047" s="4" t="s">
        <v>244</v>
      </c>
      <c r="D5047" s="6" t="str">
        <f>HYPERLINK("javascript:void(0)","bronzrög")</f>
        <v>bronzrög</v>
      </c>
    </row>
    <row r="5048" spans="1:4" ht="12.75" customHeight="1" x14ac:dyDescent="0.2">
      <c r="A5048" s="5"/>
      <c r="B5048" s="2"/>
      <c r="C5048" s="2"/>
      <c r="D5048" s="2"/>
    </row>
    <row r="5049" spans="1:4" ht="12.75" customHeight="1" x14ac:dyDescent="0.2">
      <c r="A5049" s="22" t="str">
        <f>HYPERLINK("javascript:void(0)","lapbunkó")</f>
        <v>lapbunkó</v>
      </c>
      <c r="B5049" s="21"/>
      <c r="C5049" s="21"/>
      <c r="D5049" s="21"/>
    </row>
    <row r="5050" spans="1:4" ht="12.75" customHeight="1" x14ac:dyDescent="0.2">
      <c r="A5050" s="20"/>
      <c r="B5050" s="2"/>
      <c r="C5050" s="2"/>
      <c r="D5050" s="2"/>
    </row>
    <row r="5051" spans="1:4" ht="12.75" customHeight="1" x14ac:dyDescent="0.2">
      <c r="A5051" s="21"/>
      <c r="B5051" s="3" t="s">
        <v>0</v>
      </c>
      <c r="C5051" s="20" t="s">
        <v>926</v>
      </c>
      <c r="D5051" s="21"/>
    </row>
    <row r="5052" spans="1:4" ht="12.75" customHeight="1" x14ac:dyDescent="0.2">
      <c r="A5052" s="21"/>
      <c r="B5052" s="3" t="s">
        <v>2</v>
      </c>
      <c r="C5052" s="20" t="s">
        <v>122</v>
      </c>
      <c r="D5052" s="21"/>
    </row>
    <row r="5053" spans="1:4" ht="12.75" customHeight="1" x14ac:dyDescent="0.2">
      <c r="A5053" s="21"/>
      <c r="B5053" s="3" t="s">
        <v>4</v>
      </c>
      <c r="C5053" s="20" t="s">
        <v>928</v>
      </c>
      <c r="D5053" s="21"/>
    </row>
    <row r="5054" spans="1:4" ht="12.75" customHeight="1" x14ac:dyDescent="0.2">
      <c r="A5054" s="21"/>
      <c r="B5054" s="3" t="s">
        <v>6</v>
      </c>
      <c r="C5054" s="20" t="s">
        <v>284</v>
      </c>
      <c r="D5054" s="21"/>
    </row>
    <row r="5055" spans="1:4" ht="12.75" customHeight="1" x14ac:dyDescent="0.2">
      <c r="A5055" s="21"/>
      <c r="B5055" s="3" t="s">
        <v>8</v>
      </c>
      <c r="C5055" s="20" t="s">
        <v>928</v>
      </c>
      <c r="D5055" s="21"/>
    </row>
    <row r="5056" spans="1:4" ht="12.75" customHeight="1" x14ac:dyDescent="0.2">
      <c r="A5056" s="21"/>
      <c r="B5056" s="3" t="s">
        <v>9</v>
      </c>
      <c r="C5056" s="20" t="s">
        <v>996</v>
      </c>
      <c r="D5056" s="21"/>
    </row>
    <row r="5057" spans="1:4" ht="12.75" customHeight="1" x14ac:dyDescent="0.2">
      <c r="A5057" s="21"/>
      <c r="B5057" s="3" t="s">
        <v>11</v>
      </c>
      <c r="C5057" s="20" t="s">
        <v>946</v>
      </c>
      <c r="D5057" s="21"/>
    </row>
    <row r="5058" spans="1:4" ht="12.75" customHeight="1" x14ac:dyDescent="0.2">
      <c r="A5058" s="21"/>
      <c r="B5058" s="3" t="s">
        <v>13</v>
      </c>
      <c r="C5058" s="20" t="s">
        <v>24</v>
      </c>
      <c r="D5058" s="21"/>
    </row>
    <row r="5059" spans="1:4" ht="12.75" customHeight="1" x14ac:dyDescent="0.2">
      <c r="A5059" s="21"/>
      <c r="B5059" s="3" t="s">
        <v>15</v>
      </c>
      <c r="C5059" s="20" t="s">
        <v>24</v>
      </c>
      <c r="D5059" s="21"/>
    </row>
    <row r="5060" spans="1:4" ht="12.75" customHeight="1" x14ac:dyDescent="0.2">
      <c r="A5060" s="21"/>
      <c r="B5060" s="3" t="s">
        <v>16</v>
      </c>
      <c r="C5060" s="20"/>
      <c r="D5060" s="21"/>
    </row>
    <row r="5061" spans="1:4" ht="12.75" customHeight="1" x14ac:dyDescent="0.2">
      <c r="A5061" s="21"/>
      <c r="B5061" s="3" t="s">
        <v>17</v>
      </c>
      <c r="C5061" s="20"/>
      <c r="D5061" s="21"/>
    </row>
    <row r="5062" spans="1:4" ht="12.75" customHeight="1" x14ac:dyDescent="0.2">
      <c r="A5062" s="21"/>
      <c r="B5062" s="20" t="s">
        <v>18</v>
      </c>
      <c r="C5062" s="4" t="s">
        <v>68</v>
      </c>
      <c r="D5062" s="6" t="str">
        <f>HYPERLINK("javascript:void(0)","kártyalap")</f>
        <v>kártyalap</v>
      </c>
    </row>
    <row r="5063" spans="1:4" ht="12.75" customHeight="1" x14ac:dyDescent="0.2">
      <c r="A5063" s="21"/>
      <c r="B5063" s="21"/>
      <c r="C5063" s="4" t="s">
        <v>139</v>
      </c>
      <c r="D5063" s="6" t="str">
        <f>HYPERLINK("javascript:void(0)","átokige")</f>
        <v>átokige</v>
      </c>
    </row>
    <row r="5064" spans="1:4" ht="12.75" customHeight="1" x14ac:dyDescent="0.2">
      <c r="A5064" s="21"/>
      <c r="B5064" s="21"/>
      <c r="C5064" s="4" t="s">
        <v>132</v>
      </c>
      <c r="D5064" s="6" t="str">
        <f>HYPERLINK("javascript:void(0)","lidérclámpás")</f>
        <v>lidérclámpás</v>
      </c>
    </row>
    <row r="5065" spans="1:4" ht="12.75" customHeight="1" x14ac:dyDescent="0.2">
      <c r="A5065" s="5"/>
      <c r="B5065" s="2"/>
      <c r="C5065" s="2"/>
      <c r="D5065" s="2"/>
    </row>
    <row r="5066" spans="1:4" ht="12.75" customHeight="1" x14ac:dyDescent="0.2">
      <c r="A5066" s="22" t="str">
        <f>HYPERLINK("javascript:void(0)","angyali mágusölő")</f>
        <v>angyali mágusölő</v>
      </c>
      <c r="B5066" s="21"/>
      <c r="C5066" s="21"/>
      <c r="D5066" s="21"/>
    </row>
    <row r="5067" spans="1:4" ht="12.75" customHeight="1" x14ac:dyDescent="0.2">
      <c r="A5067" s="20"/>
      <c r="B5067" s="2"/>
      <c r="C5067" s="2"/>
      <c r="D5067" s="2"/>
    </row>
    <row r="5068" spans="1:4" ht="12.75" customHeight="1" x14ac:dyDescent="0.2">
      <c r="A5068" s="21"/>
      <c r="B5068" s="3" t="s">
        <v>0</v>
      </c>
      <c r="C5068" s="20" t="s">
        <v>926</v>
      </c>
      <c r="D5068" s="21"/>
    </row>
    <row r="5069" spans="1:4" ht="12.75" customHeight="1" x14ac:dyDescent="0.2">
      <c r="A5069" s="21"/>
      <c r="B5069" s="3" t="s">
        <v>2</v>
      </c>
      <c r="C5069" s="20" t="s">
        <v>122</v>
      </c>
      <c r="D5069" s="21"/>
    </row>
    <row r="5070" spans="1:4" ht="12.75" customHeight="1" x14ac:dyDescent="0.2">
      <c r="A5070" s="21"/>
      <c r="B5070" s="3" t="s">
        <v>4</v>
      </c>
      <c r="C5070" s="20" t="s">
        <v>1457</v>
      </c>
      <c r="D5070" s="21"/>
    </row>
    <row r="5071" spans="1:4" ht="12.75" customHeight="1" x14ac:dyDescent="0.2">
      <c r="A5071" s="21"/>
      <c r="B5071" s="3" t="s">
        <v>6</v>
      </c>
      <c r="C5071" s="20" t="s">
        <v>48</v>
      </c>
      <c r="D5071" s="21"/>
    </row>
    <row r="5072" spans="1:4" ht="12.75" customHeight="1" x14ac:dyDescent="0.2">
      <c r="A5072" s="21"/>
      <c r="B5072" s="3" t="s">
        <v>8</v>
      </c>
      <c r="C5072" s="20" t="s">
        <v>1457</v>
      </c>
      <c r="D5072" s="21"/>
    </row>
    <row r="5073" spans="1:4" ht="12.75" customHeight="1" x14ac:dyDescent="0.2">
      <c r="A5073" s="21"/>
      <c r="B5073" s="3" t="s">
        <v>9</v>
      </c>
      <c r="C5073" s="20" t="s">
        <v>1458</v>
      </c>
      <c r="D5073" s="21"/>
    </row>
    <row r="5074" spans="1:4" ht="12.75" customHeight="1" x14ac:dyDescent="0.2">
      <c r="A5074" s="21"/>
      <c r="B5074" s="3" t="s">
        <v>11</v>
      </c>
      <c r="C5074" s="20" t="s">
        <v>1459</v>
      </c>
      <c r="D5074" s="21"/>
    </row>
    <row r="5075" spans="1:4" ht="12.75" customHeight="1" x14ac:dyDescent="0.2">
      <c r="A5075" s="21"/>
      <c r="B5075" s="3" t="s">
        <v>13</v>
      </c>
      <c r="C5075" s="20" t="s">
        <v>14</v>
      </c>
      <c r="D5075" s="21"/>
    </row>
    <row r="5076" spans="1:4" ht="12.75" customHeight="1" x14ac:dyDescent="0.2">
      <c r="A5076" s="21"/>
      <c r="B5076" s="3" t="s">
        <v>15</v>
      </c>
      <c r="C5076" s="20" t="s">
        <v>24</v>
      </c>
      <c r="D5076" s="21"/>
    </row>
    <row r="5077" spans="1:4" ht="12.75" customHeight="1" x14ac:dyDescent="0.2">
      <c r="A5077" s="21"/>
      <c r="B5077" s="3" t="s">
        <v>16</v>
      </c>
      <c r="C5077" s="20"/>
      <c r="D5077" s="21"/>
    </row>
    <row r="5078" spans="1:4" ht="12.75" customHeight="1" x14ac:dyDescent="0.2">
      <c r="A5078" s="21"/>
      <c r="B5078" s="3" t="s">
        <v>17</v>
      </c>
      <c r="C5078" s="20"/>
      <c r="D5078" s="21"/>
    </row>
    <row r="5079" spans="1:4" ht="12.75" customHeight="1" x14ac:dyDescent="0.2">
      <c r="A5079" s="21"/>
      <c r="B5079" s="20" t="s">
        <v>18</v>
      </c>
      <c r="C5079" s="4" t="s">
        <v>139</v>
      </c>
      <c r="D5079" s="6" t="str">
        <f>HYPERLINK("javascript:void(0)","ejtőernyő")</f>
        <v>ejtőernyő</v>
      </c>
    </row>
    <row r="5080" spans="1:4" ht="12.75" customHeight="1" x14ac:dyDescent="0.2">
      <c r="A5080" s="21"/>
      <c r="B5080" s="21"/>
      <c r="C5080" s="4" t="s">
        <v>117</v>
      </c>
      <c r="D5080" s="6" t="str">
        <f>HYPERLINK("javascript:void(0)","angyalhaj")</f>
        <v>angyalhaj</v>
      </c>
    </row>
    <row r="5081" spans="1:4" ht="12.75" customHeight="1" x14ac:dyDescent="0.2">
      <c r="A5081" s="21"/>
      <c r="B5081" s="21"/>
      <c r="C5081" s="4" t="s">
        <v>290</v>
      </c>
      <c r="D5081" s="6" t="str">
        <f>HYPERLINK("javascript:void(0)","hídpenge")</f>
        <v>hídpenge</v>
      </c>
    </row>
    <row r="5082" spans="1:4" ht="12.75" customHeight="1" x14ac:dyDescent="0.2">
      <c r="A5082" s="5"/>
      <c r="B5082" s="2"/>
      <c r="C5082" s="2"/>
      <c r="D5082" s="2"/>
    </row>
    <row r="5083" spans="1:4" ht="12.75" customHeight="1" x14ac:dyDescent="0.2">
      <c r="A5083" s="22" t="str">
        <f>HYPERLINK("javascript:void(0)","rozmárpöröly")</f>
        <v>rozmárpöröly</v>
      </c>
      <c r="B5083" s="21"/>
      <c r="C5083" s="21"/>
      <c r="D5083" s="21"/>
    </row>
    <row r="5084" spans="1:4" ht="12.75" customHeight="1" x14ac:dyDescent="0.2">
      <c r="A5084" s="20"/>
      <c r="B5084" s="2"/>
      <c r="C5084" s="2"/>
      <c r="D5084" s="2"/>
    </row>
    <row r="5085" spans="1:4" ht="12.75" customHeight="1" x14ac:dyDescent="0.2">
      <c r="A5085" s="21"/>
      <c r="B5085" s="3" t="s">
        <v>0</v>
      </c>
      <c r="C5085" s="20" t="s">
        <v>937</v>
      </c>
      <c r="D5085" s="21"/>
    </row>
    <row r="5086" spans="1:4" ht="12.75" customHeight="1" x14ac:dyDescent="0.2">
      <c r="A5086" s="21"/>
      <c r="B5086" s="3" t="s">
        <v>2</v>
      </c>
      <c r="C5086" s="20" t="s">
        <v>122</v>
      </c>
      <c r="D5086" s="21"/>
    </row>
    <row r="5087" spans="1:4" ht="12.75" customHeight="1" x14ac:dyDescent="0.2">
      <c r="A5087" s="21"/>
      <c r="B5087" s="3" t="s">
        <v>4</v>
      </c>
      <c r="C5087" s="20" t="s">
        <v>1460</v>
      </c>
      <c r="D5087" s="21"/>
    </row>
    <row r="5088" spans="1:4" ht="12.75" customHeight="1" x14ac:dyDescent="0.2">
      <c r="A5088" s="21"/>
      <c r="B5088" s="3" t="s">
        <v>6</v>
      </c>
      <c r="C5088" s="20" t="s">
        <v>115</v>
      </c>
      <c r="D5088" s="21"/>
    </row>
    <row r="5089" spans="1:4" ht="12.75" customHeight="1" x14ac:dyDescent="0.2">
      <c r="A5089" s="21"/>
      <c r="B5089" s="3" t="s">
        <v>8</v>
      </c>
      <c r="C5089" s="20" t="s">
        <v>1460</v>
      </c>
      <c r="D5089" s="21"/>
    </row>
    <row r="5090" spans="1:4" ht="12.75" customHeight="1" x14ac:dyDescent="0.2">
      <c r="A5090" s="21"/>
      <c r="B5090" s="3" t="s">
        <v>9</v>
      </c>
      <c r="C5090" s="20" t="s">
        <v>1461</v>
      </c>
      <c r="D5090" s="21"/>
    </row>
    <row r="5091" spans="1:4" ht="12.75" customHeight="1" x14ac:dyDescent="0.2">
      <c r="A5091" s="21"/>
      <c r="B5091" s="3" t="s">
        <v>11</v>
      </c>
      <c r="C5091" s="20" t="s">
        <v>956</v>
      </c>
      <c r="D5091" s="21"/>
    </row>
    <row r="5092" spans="1:4" ht="12.75" customHeight="1" x14ac:dyDescent="0.2">
      <c r="A5092" s="21"/>
      <c r="B5092" s="3" t="s">
        <v>13</v>
      </c>
      <c r="C5092" s="20" t="s">
        <v>24</v>
      </c>
      <c r="D5092" s="21"/>
    </row>
    <row r="5093" spans="1:4" ht="12.75" customHeight="1" x14ac:dyDescent="0.2">
      <c r="A5093" s="21"/>
      <c r="B5093" s="3" t="s">
        <v>15</v>
      </c>
      <c r="C5093" s="20" t="s">
        <v>24</v>
      </c>
      <c r="D5093" s="21"/>
    </row>
    <row r="5094" spans="1:4" ht="12.75" customHeight="1" x14ac:dyDescent="0.2">
      <c r="A5094" s="21"/>
      <c r="B5094" s="3" t="s">
        <v>16</v>
      </c>
      <c r="C5094" s="20"/>
      <c r="D5094" s="21"/>
    </row>
    <row r="5095" spans="1:4" ht="12.75" customHeight="1" x14ac:dyDescent="0.2">
      <c r="A5095" s="21"/>
      <c r="B5095" s="3" t="s">
        <v>17</v>
      </c>
      <c r="C5095" s="20"/>
      <c r="D5095" s="21"/>
    </row>
    <row r="5096" spans="1:4" ht="12.75" customHeight="1" x14ac:dyDescent="0.2">
      <c r="A5096" s="21"/>
      <c r="B5096" s="20" t="s">
        <v>18</v>
      </c>
      <c r="C5096" s="4" t="s">
        <v>44</v>
      </c>
      <c r="D5096" s="6" t="str">
        <f>HYPERLINK("javascript:void(0)","lapbunkó")</f>
        <v>lapbunkó</v>
      </c>
    </row>
    <row r="5097" spans="1:4" ht="12.75" customHeight="1" x14ac:dyDescent="0.2">
      <c r="A5097" s="21"/>
      <c r="B5097" s="21"/>
      <c r="C5097" s="4" t="s">
        <v>44</v>
      </c>
      <c r="D5097" s="6" t="str">
        <f>HYPERLINK("javascript:void(0)","rémtorpantó")</f>
        <v>rémtorpantó</v>
      </c>
    </row>
    <row r="5098" spans="1:4" ht="12.75" customHeight="1" x14ac:dyDescent="0.2">
      <c r="A5098" s="21"/>
      <c r="B5098" s="21"/>
      <c r="C5098" s="4" t="s">
        <v>44</v>
      </c>
      <c r="D5098" s="6" t="str">
        <f>HYPERLINK("javascript:void(0)","rozmárfogantyú")</f>
        <v>rozmárfogantyú</v>
      </c>
    </row>
    <row r="5099" spans="1:4" ht="12.75" customHeight="1" x14ac:dyDescent="0.2">
      <c r="A5099" s="5"/>
      <c r="B5099" s="2"/>
      <c r="C5099" s="2"/>
      <c r="D5099" s="2"/>
    </row>
    <row r="5100" spans="1:4" ht="12.75" customHeight="1" x14ac:dyDescent="0.2">
      <c r="A5100" s="22" t="str">
        <f>HYPERLINK("javascript:void(0)","gyíkacél páncélzúzó")</f>
        <v>gyíkacél páncélzúzó</v>
      </c>
      <c r="B5100" s="21"/>
      <c r="C5100" s="21"/>
      <c r="D5100" s="21"/>
    </row>
    <row r="5101" spans="1:4" ht="12.75" customHeight="1" x14ac:dyDescent="0.2">
      <c r="A5101" s="20"/>
      <c r="B5101" s="2"/>
      <c r="C5101" s="2"/>
      <c r="D5101" s="2"/>
    </row>
    <row r="5102" spans="1:4" ht="12.75" customHeight="1" x14ac:dyDescent="0.2">
      <c r="A5102" s="21"/>
      <c r="B5102" s="3" t="s">
        <v>0</v>
      </c>
      <c r="C5102" s="20" t="s">
        <v>937</v>
      </c>
      <c r="D5102" s="21"/>
    </row>
    <row r="5103" spans="1:4" ht="12.75" customHeight="1" x14ac:dyDescent="0.2">
      <c r="A5103" s="21"/>
      <c r="B5103" s="3" t="s">
        <v>2</v>
      </c>
      <c r="C5103" s="20" t="s">
        <v>122</v>
      </c>
      <c r="D5103" s="21"/>
    </row>
    <row r="5104" spans="1:4" ht="12.75" customHeight="1" x14ac:dyDescent="0.2">
      <c r="A5104" s="21"/>
      <c r="B5104" s="3" t="s">
        <v>4</v>
      </c>
      <c r="C5104" s="20" t="s">
        <v>1464</v>
      </c>
      <c r="D5104" s="21"/>
    </row>
    <row r="5105" spans="1:4" ht="12.75" customHeight="1" x14ac:dyDescent="0.2">
      <c r="A5105" s="21"/>
      <c r="B5105" s="3" t="s">
        <v>6</v>
      </c>
      <c r="C5105" s="20" t="s">
        <v>107</v>
      </c>
      <c r="D5105" s="21"/>
    </row>
    <row r="5106" spans="1:4" ht="12.75" customHeight="1" x14ac:dyDescent="0.2">
      <c r="A5106" s="21"/>
      <c r="B5106" s="3" t="s">
        <v>8</v>
      </c>
      <c r="C5106" s="20" t="s">
        <v>1464</v>
      </c>
      <c r="D5106" s="21"/>
    </row>
    <row r="5107" spans="1:4" ht="12.75" customHeight="1" x14ac:dyDescent="0.2">
      <c r="A5107" s="21"/>
      <c r="B5107" s="3" t="s">
        <v>9</v>
      </c>
      <c r="C5107" s="20" t="s">
        <v>1465</v>
      </c>
      <c r="D5107" s="21"/>
    </row>
    <row r="5108" spans="1:4" ht="12.75" customHeight="1" x14ac:dyDescent="0.2">
      <c r="A5108" s="21"/>
      <c r="B5108" s="3" t="s">
        <v>11</v>
      </c>
      <c r="C5108" s="20" t="s">
        <v>702</v>
      </c>
      <c r="D5108" s="21"/>
    </row>
    <row r="5109" spans="1:4" ht="12.75" customHeight="1" x14ac:dyDescent="0.2">
      <c r="A5109" s="21"/>
      <c r="B5109" s="3" t="s">
        <v>13</v>
      </c>
      <c r="C5109" s="20" t="s">
        <v>24</v>
      </c>
      <c r="D5109" s="21"/>
    </row>
    <row r="5110" spans="1:4" ht="12.75" customHeight="1" x14ac:dyDescent="0.2">
      <c r="A5110" s="21"/>
      <c r="B5110" s="3" t="s">
        <v>15</v>
      </c>
      <c r="C5110" s="20" t="s">
        <v>24</v>
      </c>
      <c r="D5110" s="21"/>
    </row>
    <row r="5111" spans="1:4" ht="12.75" customHeight="1" x14ac:dyDescent="0.2">
      <c r="A5111" s="21"/>
      <c r="B5111" s="3" t="s">
        <v>16</v>
      </c>
      <c r="C5111" s="20"/>
      <c r="D5111" s="21"/>
    </row>
    <row r="5112" spans="1:4" ht="12.75" customHeight="1" x14ac:dyDescent="0.2">
      <c r="A5112" s="21"/>
      <c r="B5112" s="3" t="s">
        <v>17</v>
      </c>
      <c r="C5112" s="20"/>
      <c r="D5112" s="21"/>
    </row>
    <row r="5113" spans="1:4" ht="12.75" customHeight="1" x14ac:dyDescent="0.2">
      <c r="A5113" s="21"/>
      <c r="B5113" s="20" t="s">
        <v>18</v>
      </c>
      <c r="C5113" s="4" t="s">
        <v>894</v>
      </c>
      <c r="D5113" s="6" t="str">
        <f>HYPERLINK("javascript:void(0)","kispárna")</f>
        <v>kispárna</v>
      </c>
    </row>
    <row r="5114" spans="1:4" ht="12.75" customHeight="1" x14ac:dyDescent="0.2">
      <c r="A5114" s="21"/>
      <c r="B5114" s="21"/>
      <c r="C5114" s="4" t="s">
        <v>756</v>
      </c>
      <c r="D5114" s="6" t="str">
        <f>HYPERLINK("javascript:void(0)","trolltartó")</f>
        <v>trolltartó</v>
      </c>
    </row>
    <row r="5115" spans="1:4" ht="12.75" customHeight="1" x14ac:dyDescent="0.2">
      <c r="A5115" s="21"/>
      <c r="B5115" s="21"/>
      <c r="C5115" s="4" t="s">
        <v>98</v>
      </c>
      <c r="D5115" s="6" t="str">
        <f>HYPERLINK("javascript:void(0)","melegige")</f>
        <v>melegige</v>
      </c>
    </row>
    <row r="5116" spans="1:4" ht="12.75" customHeight="1" x14ac:dyDescent="0.2">
      <c r="A5116" s="5"/>
      <c r="B5116" s="2"/>
      <c r="C5116" s="2"/>
      <c r="D5116" s="2"/>
    </row>
    <row r="5117" spans="1:4" ht="12.75" customHeight="1" x14ac:dyDescent="0.2">
      <c r="A5117" s="22" t="str">
        <f>HYPERLINK("javascript:void(0)","rozmárfogantyú")</f>
        <v>rozmárfogantyú</v>
      </c>
      <c r="B5117" s="21"/>
      <c r="C5117" s="21"/>
      <c r="D5117" s="21"/>
    </row>
    <row r="5118" spans="1:4" ht="12.75" customHeight="1" x14ac:dyDescent="0.2">
      <c r="A5118" s="20"/>
      <c r="B5118" s="2"/>
      <c r="C5118" s="2"/>
      <c r="D5118" s="2"/>
    </row>
    <row r="5119" spans="1:4" ht="12.75" customHeight="1" x14ac:dyDescent="0.2">
      <c r="A5119" s="21"/>
      <c r="B5119" s="3" t="s">
        <v>0</v>
      </c>
      <c r="C5119" s="20" t="s">
        <v>937</v>
      </c>
      <c r="D5119" s="21"/>
    </row>
    <row r="5120" spans="1:4" ht="12.75" customHeight="1" x14ac:dyDescent="0.2">
      <c r="A5120" s="21"/>
      <c r="B5120" s="3" t="s">
        <v>2</v>
      </c>
      <c r="C5120" s="20" t="s">
        <v>122</v>
      </c>
      <c r="D5120" s="21"/>
    </row>
    <row r="5121" spans="1:4" ht="12.75" customHeight="1" x14ac:dyDescent="0.2">
      <c r="A5121" s="21"/>
      <c r="B5121" s="3" t="s">
        <v>4</v>
      </c>
      <c r="C5121" s="20" t="s">
        <v>242</v>
      </c>
      <c r="D5121" s="21"/>
    </row>
    <row r="5122" spans="1:4" ht="12.75" customHeight="1" x14ac:dyDescent="0.2">
      <c r="A5122" s="21"/>
      <c r="B5122" s="3" t="s">
        <v>6</v>
      </c>
      <c r="C5122" s="20" t="s">
        <v>21</v>
      </c>
      <c r="D5122" s="21"/>
    </row>
    <row r="5123" spans="1:4" ht="12.75" customHeight="1" x14ac:dyDescent="0.2">
      <c r="A5123" s="21"/>
      <c r="B5123" s="3" t="s">
        <v>8</v>
      </c>
      <c r="C5123" s="20" t="s">
        <v>242</v>
      </c>
      <c r="D5123" s="21"/>
    </row>
    <row r="5124" spans="1:4" ht="12.75" customHeight="1" x14ac:dyDescent="0.2">
      <c r="A5124" s="21"/>
      <c r="B5124" s="3" t="s">
        <v>9</v>
      </c>
      <c r="C5124" s="20" t="s">
        <v>210</v>
      </c>
      <c r="D5124" s="21"/>
    </row>
    <row r="5125" spans="1:4" ht="12.75" customHeight="1" x14ac:dyDescent="0.2">
      <c r="A5125" s="21"/>
      <c r="B5125" s="3" t="s">
        <v>11</v>
      </c>
      <c r="C5125" s="20" t="s">
        <v>1055</v>
      </c>
      <c r="D5125" s="21"/>
    </row>
    <row r="5126" spans="1:4" ht="12.75" customHeight="1" x14ac:dyDescent="0.2">
      <c r="A5126" s="21"/>
      <c r="B5126" s="3" t="s">
        <v>13</v>
      </c>
      <c r="C5126" s="20" t="s">
        <v>24</v>
      </c>
      <c r="D5126" s="21"/>
    </row>
    <row r="5127" spans="1:4" ht="12.75" customHeight="1" x14ac:dyDescent="0.2">
      <c r="A5127" s="21"/>
      <c r="B5127" s="3" t="s">
        <v>15</v>
      </c>
      <c r="C5127" s="20" t="s">
        <v>24</v>
      </c>
      <c r="D5127" s="21"/>
    </row>
    <row r="5128" spans="1:4" ht="12.75" customHeight="1" x14ac:dyDescent="0.2">
      <c r="A5128" s="21"/>
      <c r="B5128" s="3" t="s">
        <v>16</v>
      </c>
      <c r="C5128" s="20"/>
      <c r="D5128" s="21"/>
    </row>
    <row r="5129" spans="1:4" ht="12.75" customHeight="1" x14ac:dyDescent="0.2">
      <c r="A5129" s="21"/>
      <c r="B5129" s="3" t="s">
        <v>17</v>
      </c>
      <c r="C5129" s="20"/>
      <c r="D5129" s="21"/>
    </row>
    <row r="5130" spans="1:4" ht="12.75" customHeight="1" x14ac:dyDescent="0.2">
      <c r="A5130" s="21"/>
      <c r="B5130" s="20" t="s">
        <v>18</v>
      </c>
      <c r="C5130" s="4" t="s">
        <v>780</v>
      </c>
      <c r="D5130" s="6" t="str">
        <f>HYPERLINK("javascript:void(0)","átokige")</f>
        <v>átokige</v>
      </c>
    </row>
    <row r="5131" spans="1:4" ht="12.75" customHeight="1" x14ac:dyDescent="0.2">
      <c r="A5131" s="21"/>
      <c r="B5131" s="21"/>
      <c r="C5131" s="4" t="s">
        <v>77</v>
      </c>
      <c r="D5131" s="6" t="str">
        <f>HYPERLINK("javascript:void(0)","rozmáragyar")</f>
        <v>rozmáragyar</v>
      </c>
    </row>
    <row r="5132" spans="1:4" ht="12.75" customHeight="1" x14ac:dyDescent="0.2">
      <c r="A5132" s="21"/>
      <c r="B5132" s="21"/>
      <c r="C5132" s="4" t="s">
        <v>244</v>
      </c>
      <c r="D5132" s="6" t="str">
        <f>HYPERLINK("javascript:void(0)","hídpenge")</f>
        <v>hídpenge</v>
      </c>
    </row>
    <row r="5133" spans="1:4" ht="12.75" customHeight="1" x14ac:dyDescent="0.2">
      <c r="A5133" s="5"/>
      <c r="B5133" s="2"/>
      <c r="C5133" s="2"/>
      <c r="D5133" s="2"/>
    </row>
    <row r="5134" spans="1:4" ht="12.75" customHeight="1" x14ac:dyDescent="0.2">
      <c r="A5134" s="22" t="str">
        <f>HYPERLINK("javascript:void(0)","pillekalapács")</f>
        <v>pillekalapács</v>
      </c>
      <c r="B5134" s="21"/>
      <c r="C5134" s="21"/>
      <c r="D5134" s="21"/>
    </row>
    <row r="5135" spans="1:4" ht="12.75" customHeight="1" x14ac:dyDescent="0.2">
      <c r="A5135" s="20"/>
      <c r="B5135" s="2"/>
      <c r="C5135" s="2"/>
      <c r="D5135" s="2"/>
    </row>
    <row r="5136" spans="1:4" ht="12.75" customHeight="1" x14ac:dyDescent="0.2">
      <c r="A5136" s="21"/>
      <c r="B5136" s="3" t="s">
        <v>0</v>
      </c>
      <c r="C5136" s="20" t="s">
        <v>190</v>
      </c>
      <c r="D5136" s="21"/>
    </row>
    <row r="5137" spans="1:4" ht="12.75" customHeight="1" x14ac:dyDescent="0.2">
      <c r="A5137" s="21"/>
      <c r="B5137" s="3" t="s">
        <v>2</v>
      </c>
      <c r="C5137" s="20" t="s">
        <v>122</v>
      </c>
      <c r="D5137" s="21"/>
    </row>
    <row r="5138" spans="1:4" ht="12.75" customHeight="1" x14ac:dyDescent="0.2">
      <c r="A5138" s="21"/>
      <c r="B5138" s="3" t="s">
        <v>4</v>
      </c>
      <c r="C5138" s="20" t="s">
        <v>1468</v>
      </c>
      <c r="D5138" s="21"/>
    </row>
    <row r="5139" spans="1:4" ht="12.75" customHeight="1" x14ac:dyDescent="0.2">
      <c r="A5139" s="21"/>
      <c r="B5139" s="3" t="s">
        <v>6</v>
      </c>
      <c r="C5139" s="20" t="s">
        <v>115</v>
      </c>
      <c r="D5139" s="21"/>
    </row>
    <row r="5140" spans="1:4" ht="12.75" customHeight="1" x14ac:dyDescent="0.2">
      <c r="A5140" s="21"/>
      <c r="B5140" s="3" t="s">
        <v>8</v>
      </c>
      <c r="C5140" s="20" t="s">
        <v>1468</v>
      </c>
      <c r="D5140" s="21"/>
    </row>
    <row r="5141" spans="1:4" ht="12.75" customHeight="1" x14ac:dyDescent="0.2">
      <c r="A5141" s="21"/>
      <c r="B5141" s="3" t="s">
        <v>9</v>
      </c>
      <c r="C5141" s="20" t="s">
        <v>1469</v>
      </c>
      <c r="D5141" s="21"/>
    </row>
    <row r="5142" spans="1:4" ht="12.75" customHeight="1" x14ac:dyDescent="0.2">
      <c r="A5142" s="21"/>
      <c r="B5142" s="3" t="s">
        <v>11</v>
      </c>
      <c r="C5142" s="20" t="s">
        <v>963</v>
      </c>
      <c r="D5142" s="21"/>
    </row>
    <row r="5143" spans="1:4" ht="12.75" customHeight="1" x14ac:dyDescent="0.2">
      <c r="A5143" s="21"/>
      <c r="B5143" s="3" t="s">
        <v>13</v>
      </c>
      <c r="C5143" s="20" t="s">
        <v>24</v>
      </c>
      <c r="D5143" s="21"/>
    </row>
    <row r="5144" spans="1:4" ht="12.75" customHeight="1" x14ac:dyDescent="0.2">
      <c r="A5144" s="21"/>
      <c r="B5144" s="3" t="s">
        <v>15</v>
      </c>
      <c r="C5144" s="20" t="s">
        <v>24</v>
      </c>
      <c r="D5144" s="21"/>
    </row>
    <row r="5145" spans="1:4" ht="12.75" customHeight="1" x14ac:dyDescent="0.2">
      <c r="A5145" s="21"/>
      <c r="B5145" s="3" t="s">
        <v>16</v>
      </c>
      <c r="C5145" s="20"/>
      <c r="D5145" s="21"/>
    </row>
    <row r="5146" spans="1:4" ht="12.75" customHeight="1" x14ac:dyDescent="0.2">
      <c r="A5146" s="21"/>
      <c r="B5146" s="3" t="s">
        <v>17</v>
      </c>
      <c r="C5146" s="20"/>
      <c r="D5146" s="21"/>
    </row>
    <row r="5147" spans="1:4" ht="12.75" customHeight="1" x14ac:dyDescent="0.2">
      <c r="A5147" s="21"/>
      <c r="B5147" s="20" t="s">
        <v>18</v>
      </c>
      <c r="C5147" s="4" t="s">
        <v>132</v>
      </c>
      <c r="D5147" s="6" t="str">
        <f>HYPERLINK("javascript:void(0)","pillepikkely")</f>
        <v>pillepikkely</v>
      </c>
    </row>
    <row r="5148" spans="1:4" ht="12.75" customHeight="1" x14ac:dyDescent="0.2">
      <c r="A5148" s="21"/>
      <c r="B5148" s="21"/>
      <c r="C5148" s="4" t="s">
        <v>67</v>
      </c>
      <c r="D5148" s="6" t="str">
        <f>HYPERLINK("javascript:void(0)","habléc")</f>
        <v>habléc</v>
      </c>
    </row>
    <row r="5149" spans="1:4" ht="12.75" customHeight="1" x14ac:dyDescent="0.2">
      <c r="A5149" s="21"/>
      <c r="B5149" s="21"/>
      <c r="C5149" s="4" t="s">
        <v>44</v>
      </c>
      <c r="D5149" s="6" t="str">
        <f>HYPERLINK("javascript:void(0)","rozmárpöröly")</f>
        <v>rozmárpöröly</v>
      </c>
    </row>
    <row r="5150" spans="1:4" ht="12.75" customHeight="1" x14ac:dyDescent="0.2">
      <c r="A5150" s="5"/>
      <c r="B5150" s="2"/>
      <c r="C5150" s="2"/>
      <c r="D5150" s="2"/>
    </row>
    <row r="5151" spans="1:4" ht="12.75" customHeight="1" x14ac:dyDescent="0.2">
      <c r="A5151" s="22" t="str">
        <f>HYPERLINK("javascript:void(0)","porszőrös mágusölő")</f>
        <v>porszőrös mágusölő</v>
      </c>
      <c r="B5151" s="21"/>
      <c r="C5151" s="21"/>
      <c r="D5151" s="21"/>
    </row>
    <row r="5152" spans="1:4" ht="12.75" customHeight="1" x14ac:dyDescent="0.2">
      <c r="A5152" s="20"/>
      <c r="B5152" s="2"/>
      <c r="C5152" s="2"/>
      <c r="D5152" s="2"/>
    </row>
    <row r="5153" spans="1:4" ht="12.75" customHeight="1" x14ac:dyDescent="0.2">
      <c r="A5153" s="21"/>
      <c r="B5153" s="3" t="s">
        <v>0</v>
      </c>
      <c r="C5153" s="20" t="s">
        <v>190</v>
      </c>
      <c r="D5153" s="21"/>
    </row>
    <row r="5154" spans="1:4" ht="12.75" customHeight="1" x14ac:dyDescent="0.2">
      <c r="A5154" s="21"/>
      <c r="B5154" s="3" t="s">
        <v>2</v>
      </c>
      <c r="C5154" s="20" t="s">
        <v>122</v>
      </c>
      <c r="D5154" s="21"/>
    </row>
    <row r="5155" spans="1:4" ht="12.75" customHeight="1" x14ac:dyDescent="0.2">
      <c r="A5155" s="21"/>
      <c r="B5155" s="3" t="s">
        <v>4</v>
      </c>
      <c r="C5155" s="20" t="s">
        <v>1470</v>
      </c>
      <c r="D5155" s="21"/>
    </row>
    <row r="5156" spans="1:4" ht="12.75" customHeight="1" x14ac:dyDescent="0.2">
      <c r="A5156" s="21"/>
      <c r="B5156" s="3" t="s">
        <v>6</v>
      </c>
      <c r="C5156" s="20" t="s">
        <v>48</v>
      </c>
      <c r="D5156" s="21"/>
    </row>
    <row r="5157" spans="1:4" ht="12.75" customHeight="1" x14ac:dyDescent="0.2">
      <c r="A5157" s="21"/>
      <c r="B5157" s="3" t="s">
        <v>8</v>
      </c>
      <c r="C5157" s="20" t="s">
        <v>1470</v>
      </c>
      <c r="D5157" s="21"/>
    </row>
    <row r="5158" spans="1:4" ht="12.75" customHeight="1" x14ac:dyDescent="0.2">
      <c r="A5158" s="21"/>
      <c r="B5158" s="3" t="s">
        <v>9</v>
      </c>
      <c r="C5158" s="20" t="s">
        <v>1471</v>
      </c>
      <c r="D5158" s="21"/>
    </row>
    <row r="5159" spans="1:4" ht="12.75" customHeight="1" x14ac:dyDescent="0.2">
      <c r="A5159" s="21"/>
      <c r="B5159" s="3" t="s">
        <v>11</v>
      </c>
      <c r="C5159" s="20" t="s">
        <v>1472</v>
      </c>
      <c r="D5159" s="21"/>
    </row>
    <row r="5160" spans="1:4" ht="12.75" customHeight="1" x14ac:dyDescent="0.2">
      <c r="A5160" s="21"/>
      <c r="B5160" s="3" t="s">
        <v>13</v>
      </c>
      <c r="C5160" s="20" t="s">
        <v>14</v>
      </c>
      <c r="D5160" s="21"/>
    </row>
    <row r="5161" spans="1:4" ht="12.75" customHeight="1" x14ac:dyDescent="0.2">
      <c r="A5161" s="21"/>
      <c r="B5161" s="3" t="s">
        <v>15</v>
      </c>
      <c r="C5161" s="20" t="s">
        <v>24</v>
      </c>
      <c r="D5161" s="21"/>
    </row>
    <row r="5162" spans="1:4" ht="12.75" customHeight="1" x14ac:dyDescent="0.2">
      <c r="A5162" s="21"/>
      <c r="B5162" s="3" t="s">
        <v>16</v>
      </c>
      <c r="C5162" s="20"/>
      <c r="D5162" s="21"/>
    </row>
    <row r="5163" spans="1:4" ht="12.75" customHeight="1" x14ac:dyDescent="0.2">
      <c r="A5163" s="21"/>
      <c r="B5163" s="3" t="s">
        <v>17</v>
      </c>
      <c r="C5163" s="20"/>
      <c r="D5163" s="21"/>
    </row>
    <row r="5164" spans="1:4" ht="12.75" customHeight="1" x14ac:dyDescent="0.2">
      <c r="A5164" s="21"/>
      <c r="B5164" s="20" t="s">
        <v>18</v>
      </c>
      <c r="C5164" s="4" t="s">
        <v>296</v>
      </c>
      <c r="D5164" s="6" t="str">
        <f>HYPERLINK("javascript:void(0)","cerka")</f>
        <v>cerka</v>
      </c>
    </row>
    <row r="5165" spans="1:4" ht="12.75" customHeight="1" x14ac:dyDescent="0.2">
      <c r="A5165" s="21"/>
      <c r="B5165" s="21"/>
      <c r="C5165" s="4" t="s">
        <v>139</v>
      </c>
      <c r="D5165" s="6" t="str">
        <f>HYPERLINK("javascript:void(0)","pillepikkely")</f>
        <v>pillepikkely</v>
      </c>
    </row>
    <row r="5166" spans="1:4" ht="12.75" customHeight="1" x14ac:dyDescent="0.2">
      <c r="A5166" s="21"/>
      <c r="B5166" s="21"/>
      <c r="C5166" s="4" t="s">
        <v>894</v>
      </c>
      <c r="D5166" s="6" t="str">
        <f>HYPERLINK("javascript:void(0)","porszőr")</f>
        <v>porszőr</v>
      </c>
    </row>
    <row r="5167" spans="1:4" ht="12.75" customHeight="1" x14ac:dyDescent="0.2">
      <c r="A5167" s="5"/>
      <c r="B5167" s="2"/>
      <c r="C5167" s="2"/>
      <c r="D5167" s="2"/>
    </row>
    <row r="5168" spans="1:4" ht="12.75" customHeight="1" x14ac:dyDescent="0.2">
      <c r="A5168" s="22" t="str">
        <f>HYPERLINK("javascript:void(0)","féregcsapó")</f>
        <v>féregcsapó</v>
      </c>
      <c r="B5168" s="21"/>
      <c r="C5168" s="21"/>
      <c r="D5168" s="21"/>
    </row>
    <row r="5169" spans="1:4" ht="12.75" customHeight="1" x14ac:dyDescent="0.2">
      <c r="A5169" s="20"/>
      <c r="B5169" s="2"/>
      <c r="C5169" s="2"/>
      <c r="D5169" s="2"/>
    </row>
    <row r="5170" spans="1:4" ht="12.75" customHeight="1" x14ac:dyDescent="0.2">
      <c r="A5170" s="21"/>
      <c r="B5170" s="3" t="s">
        <v>0</v>
      </c>
      <c r="C5170" s="20" t="s">
        <v>953</v>
      </c>
      <c r="D5170" s="21"/>
    </row>
    <row r="5171" spans="1:4" ht="12.75" customHeight="1" x14ac:dyDescent="0.2">
      <c r="A5171" s="21"/>
      <c r="B5171" s="3" t="s">
        <v>2</v>
      </c>
      <c r="C5171" s="20" t="s">
        <v>122</v>
      </c>
      <c r="D5171" s="21"/>
    </row>
    <row r="5172" spans="1:4" ht="12.75" customHeight="1" x14ac:dyDescent="0.2">
      <c r="A5172" s="21"/>
      <c r="B5172" s="3" t="s">
        <v>4</v>
      </c>
      <c r="C5172" s="20" t="s">
        <v>1473</v>
      </c>
      <c r="D5172" s="21"/>
    </row>
    <row r="5173" spans="1:4" ht="12.75" customHeight="1" x14ac:dyDescent="0.2">
      <c r="A5173" s="21"/>
      <c r="B5173" s="3" t="s">
        <v>6</v>
      </c>
      <c r="C5173" s="20" t="s">
        <v>298</v>
      </c>
      <c r="D5173" s="21"/>
    </row>
    <row r="5174" spans="1:4" ht="12.75" customHeight="1" x14ac:dyDescent="0.2">
      <c r="A5174" s="21"/>
      <c r="B5174" s="3" t="s">
        <v>8</v>
      </c>
      <c r="C5174" s="20" t="s">
        <v>1473</v>
      </c>
      <c r="D5174" s="21"/>
    </row>
    <row r="5175" spans="1:4" ht="12.75" customHeight="1" x14ac:dyDescent="0.2">
      <c r="A5175" s="21"/>
      <c r="B5175" s="3" t="s">
        <v>9</v>
      </c>
      <c r="C5175" s="20" t="s">
        <v>996</v>
      </c>
      <c r="D5175" s="21"/>
    </row>
    <row r="5176" spans="1:4" ht="12.75" customHeight="1" x14ac:dyDescent="0.2">
      <c r="A5176" s="21"/>
      <c r="B5176" s="3" t="s">
        <v>11</v>
      </c>
      <c r="C5176" s="20" t="s">
        <v>973</v>
      </c>
      <c r="D5176" s="21"/>
    </row>
    <row r="5177" spans="1:4" ht="12.75" customHeight="1" x14ac:dyDescent="0.2">
      <c r="A5177" s="21"/>
      <c r="B5177" s="3" t="s">
        <v>13</v>
      </c>
      <c r="C5177" s="20" t="s">
        <v>24</v>
      </c>
      <c r="D5177" s="21"/>
    </row>
    <row r="5178" spans="1:4" ht="12.75" customHeight="1" x14ac:dyDescent="0.2">
      <c r="A5178" s="21"/>
      <c r="B5178" s="3" t="s">
        <v>15</v>
      </c>
      <c r="C5178" s="20" t="s">
        <v>24</v>
      </c>
      <c r="D5178" s="21"/>
    </row>
    <row r="5179" spans="1:4" ht="12.75" customHeight="1" x14ac:dyDescent="0.2">
      <c r="A5179" s="21"/>
      <c r="B5179" s="3" t="s">
        <v>16</v>
      </c>
      <c r="C5179" s="20"/>
      <c r="D5179" s="21"/>
    </row>
    <row r="5180" spans="1:4" ht="12.75" customHeight="1" x14ac:dyDescent="0.2">
      <c r="A5180" s="21"/>
      <c r="B5180" s="3" t="s">
        <v>17</v>
      </c>
      <c r="C5180" s="20"/>
      <c r="D5180" s="21"/>
    </row>
    <row r="5181" spans="1:4" ht="12.75" customHeight="1" x14ac:dyDescent="0.2">
      <c r="A5181" s="21"/>
      <c r="B5181" s="20" t="s">
        <v>18</v>
      </c>
      <c r="C5181" s="4" t="s">
        <v>142</v>
      </c>
      <c r="D5181" s="6" t="str">
        <f>HYPERLINK("javascript:void(0)","fiola")</f>
        <v>fiola</v>
      </c>
    </row>
    <row r="5182" spans="1:4" ht="12.75" customHeight="1" x14ac:dyDescent="0.2">
      <c r="A5182" s="21"/>
      <c r="B5182" s="21"/>
      <c r="C5182" s="4" t="s">
        <v>98</v>
      </c>
      <c r="D5182" s="6" t="str">
        <f>HYPERLINK("javascript:void(0)","bigapata")</f>
        <v>bigapata</v>
      </c>
    </row>
    <row r="5183" spans="1:4" ht="12.75" customHeight="1" x14ac:dyDescent="0.2">
      <c r="A5183" s="21"/>
      <c r="B5183" s="21"/>
      <c r="C5183" s="4" t="s">
        <v>244</v>
      </c>
      <c r="D5183" s="6" t="str">
        <f>HYPERLINK("javascript:void(0)","agyagszárny")</f>
        <v>agyagszárny</v>
      </c>
    </row>
    <row r="5184" spans="1:4" ht="12.75" customHeight="1" x14ac:dyDescent="0.2">
      <c r="A5184" s="5"/>
      <c r="B5184" s="2"/>
      <c r="C5184" s="2"/>
      <c r="D5184" s="2"/>
    </row>
    <row r="5185" spans="1:4" ht="12.75" customHeight="1" x14ac:dyDescent="0.2">
      <c r="A5185" s="22" t="str">
        <f>HYPERLINK("javascript:void(0)","gyíkacél rémlapító")</f>
        <v>gyíkacél rémlapító</v>
      </c>
      <c r="B5185" s="21"/>
      <c r="C5185" s="21"/>
      <c r="D5185" s="21"/>
    </row>
    <row r="5186" spans="1:4" ht="12.75" customHeight="1" x14ac:dyDescent="0.2">
      <c r="A5186" s="20"/>
      <c r="B5186" s="2"/>
      <c r="C5186" s="2"/>
      <c r="D5186" s="2"/>
    </row>
    <row r="5187" spans="1:4" ht="12.75" customHeight="1" x14ac:dyDescent="0.2">
      <c r="A5187" s="21"/>
      <c r="B5187" s="3" t="s">
        <v>0</v>
      </c>
      <c r="C5187" s="20" t="s">
        <v>953</v>
      </c>
      <c r="D5187" s="21"/>
    </row>
    <row r="5188" spans="1:4" ht="12.75" customHeight="1" x14ac:dyDescent="0.2">
      <c r="A5188" s="21"/>
      <c r="B5188" s="3" t="s">
        <v>2</v>
      </c>
      <c r="C5188" s="20" t="s">
        <v>122</v>
      </c>
      <c r="D5188" s="21"/>
    </row>
    <row r="5189" spans="1:4" ht="12.75" customHeight="1" x14ac:dyDescent="0.2">
      <c r="A5189" s="21"/>
      <c r="B5189" s="3" t="s">
        <v>4</v>
      </c>
      <c r="C5189" s="20" t="s">
        <v>1474</v>
      </c>
      <c r="D5189" s="21"/>
    </row>
    <row r="5190" spans="1:4" ht="12.75" customHeight="1" x14ac:dyDescent="0.2">
      <c r="A5190" s="21"/>
      <c r="B5190" s="3" t="s">
        <v>6</v>
      </c>
      <c r="C5190" s="20" t="s">
        <v>107</v>
      </c>
      <c r="D5190" s="21"/>
    </row>
    <row r="5191" spans="1:4" ht="12.75" customHeight="1" x14ac:dyDescent="0.2">
      <c r="A5191" s="21"/>
      <c r="B5191" s="3" t="s">
        <v>8</v>
      </c>
      <c r="C5191" s="20" t="s">
        <v>1474</v>
      </c>
      <c r="D5191" s="21"/>
    </row>
    <row r="5192" spans="1:4" ht="12.75" customHeight="1" x14ac:dyDescent="0.2">
      <c r="A5192" s="21"/>
      <c r="B5192" s="3" t="s">
        <v>9</v>
      </c>
      <c r="C5192" s="20" t="s">
        <v>1475</v>
      </c>
      <c r="D5192" s="21"/>
    </row>
    <row r="5193" spans="1:4" ht="12.75" customHeight="1" x14ac:dyDescent="0.2">
      <c r="A5193" s="21"/>
      <c r="B5193" s="3" t="s">
        <v>11</v>
      </c>
      <c r="C5193" s="20" t="s">
        <v>722</v>
      </c>
      <c r="D5193" s="21"/>
    </row>
    <row r="5194" spans="1:4" ht="12.75" customHeight="1" x14ac:dyDescent="0.2">
      <c r="A5194" s="21"/>
      <c r="B5194" s="3" t="s">
        <v>13</v>
      </c>
      <c r="C5194" s="20" t="s">
        <v>24</v>
      </c>
      <c r="D5194" s="21"/>
    </row>
    <row r="5195" spans="1:4" ht="12.75" customHeight="1" x14ac:dyDescent="0.2">
      <c r="A5195" s="21"/>
      <c r="B5195" s="3" t="s">
        <v>15</v>
      </c>
      <c r="C5195" s="20" t="s">
        <v>24</v>
      </c>
      <c r="D5195" s="21"/>
    </row>
    <row r="5196" spans="1:4" ht="12.75" customHeight="1" x14ac:dyDescent="0.2">
      <c r="A5196" s="21"/>
      <c r="B5196" s="3" t="s">
        <v>16</v>
      </c>
      <c r="C5196" s="20"/>
      <c r="D5196" s="21"/>
    </row>
    <row r="5197" spans="1:4" ht="12.75" customHeight="1" x14ac:dyDescent="0.2">
      <c r="A5197" s="21"/>
      <c r="B5197" s="3" t="s">
        <v>17</v>
      </c>
      <c r="C5197" s="20"/>
      <c r="D5197" s="21"/>
    </row>
    <row r="5198" spans="1:4" ht="12.75" customHeight="1" x14ac:dyDescent="0.2">
      <c r="A5198" s="21"/>
      <c r="B5198" s="20" t="s">
        <v>18</v>
      </c>
      <c r="C5198" s="4" t="s">
        <v>756</v>
      </c>
      <c r="D5198" s="6" t="str">
        <f>HYPERLINK("javascript:void(0)","hiperzsír")</f>
        <v>hiperzsír</v>
      </c>
    </row>
    <row r="5199" spans="1:4" ht="12.75" customHeight="1" x14ac:dyDescent="0.2">
      <c r="A5199" s="21"/>
      <c r="B5199" s="21"/>
      <c r="C5199" s="4" t="s">
        <v>269</v>
      </c>
      <c r="D5199" s="6" t="str">
        <f>HYPERLINK("javascript:void(0)","uszony")</f>
        <v>uszony</v>
      </c>
    </row>
    <row r="5200" spans="1:4" ht="12.75" customHeight="1" x14ac:dyDescent="0.2">
      <c r="A5200" s="21"/>
      <c r="B5200" s="21"/>
      <c r="C5200" s="4" t="s">
        <v>369</v>
      </c>
      <c r="D5200" s="6" t="str">
        <f>HYPERLINK("javascript:void(0)","hagymapikkely")</f>
        <v>hagymapikkely</v>
      </c>
    </row>
    <row r="5201" spans="1:4" ht="12.75" customHeight="1" x14ac:dyDescent="0.2">
      <c r="A5201" s="5"/>
      <c r="B5201" s="2"/>
      <c r="C5201" s="2"/>
      <c r="D5201" s="2"/>
    </row>
    <row r="5202" spans="1:4" ht="12.75" customHeight="1" x14ac:dyDescent="0.2">
      <c r="A5202" s="22" t="str">
        <f>HYPERLINK("javascript:void(0)","tüskés hálóverő")</f>
        <v>tüskés hálóverő</v>
      </c>
      <c r="B5202" s="21"/>
      <c r="C5202" s="21"/>
      <c r="D5202" s="21"/>
    </row>
    <row r="5203" spans="1:4" ht="12.75" customHeight="1" x14ac:dyDescent="0.2">
      <c r="A5203" s="20"/>
      <c r="B5203" s="2"/>
      <c r="C5203" s="2"/>
      <c r="D5203" s="2"/>
    </row>
    <row r="5204" spans="1:4" ht="12.75" customHeight="1" x14ac:dyDescent="0.2">
      <c r="A5204" s="21"/>
      <c r="B5204" s="3" t="s">
        <v>0</v>
      </c>
      <c r="C5204" s="20" t="s">
        <v>293</v>
      </c>
      <c r="D5204" s="21"/>
    </row>
    <row r="5205" spans="1:4" ht="12.75" customHeight="1" x14ac:dyDescent="0.2">
      <c r="A5205" s="21"/>
      <c r="B5205" s="3" t="s">
        <v>2</v>
      </c>
      <c r="C5205" s="20" t="s">
        <v>122</v>
      </c>
      <c r="D5205" s="21"/>
    </row>
    <row r="5206" spans="1:4" ht="12.75" customHeight="1" x14ac:dyDescent="0.2">
      <c r="A5206" s="21"/>
      <c r="B5206" s="3" t="s">
        <v>4</v>
      </c>
      <c r="C5206" s="20" t="s">
        <v>961</v>
      </c>
      <c r="D5206" s="21"/>
    </row>
    <row r="5207" spans="1:4" ht="12.75" customHeight="1" x14ac:dyDescent="0.2">
      <c r="A5207" s="21"/>
      <c r="B5207" s="3" t="s">
        <v>6</v>
      </c>
      <c r="C5207" s="20" t="s">
        <v>157</v>
      </c>
      <c r="D5207" s="21"/>
    </row>
    <row r="5208" spans="1:4" ht="12.75" customHeight="1" x14ac:dyDescent="0.2">
      <c r="A5208" s="21"/>
      <c r="B5208" s="3" t="s">
        <v>8</v>
      </c>
      <c r="C5208" s="20" t="s">
        <v>961</v>
      </c>
      <c r="D5208" s="21"/>
    </row>
    <row r="5209" spans="1:4" ht="12.75" customHeight="1" x14ac:dyDescent="0.2">
      <c r="A5209" s="21"/>
      <c r="B5209" s="3" t="s">
        <v>9</v>
      </c>
      <c r="C5209" s="20" t="s">
        <v>1152</v>
      </c>
      <c r="D5209" s="21"/>
    </row>
    <row r="5210" spans="1:4" ht="12.75" customHeight="1" x14ac:dyDescent="0.2">
      <c r="A5210" s="21"/>
      <c r="B5210" s="3" t="s">
        <v>11</v>
      </c>
      <c r="C5210" s="20" t="s">
        <v>980</v>
      </c>
      <c r="D5210" s="21"/>
    </row>
    <row r="5211" spans="1:4" ht="12.75" customHeight="1" x14ac:dyDescent="0.2">
      <c r="A5211" s="21"/>
      <c r="B5211" s="3" t="s">
        <v>13</v>
      </c>
      <c r="C5211" s="20" t="s">
        <v>24</v>
      </c>
      <c r="D5211" s="21"/>
    </row>
    <row r="5212" spans="1:4" ht="12.75" customHeight="1" x14ac:dyDescent="0.2">
      <c r="A5212" s="21"/>
      <c r="B5212" s="3" t="s">
        <v>15</v>
      </c>
      <c r="C5212" s="20" t="s">
        <v>24</v>
      </c>
      <c r="D5212" s="21"/>
    </row>
    <row r="5213" spans="1:4" ht="12.75" customHeight="1" x14ac:dyDescent="0.2">
      <c r="A5213" s="21"/>
      <c r="B5213" s="3" t="s">
        <v>16</v>
      </c>
      <c r="C5213" s="20"/>
      <c r="D5213" s="21"/>
    </row>
    <row r="5214" spans="1:4" ht="12.75" customHeight="1" x14ac:dyDescent="0.2">
      <c r="A5214" s="21"/>
      <c r="B5214" s="3" t="s">
        <v>17</v>
      </c>
      <c r="C5214" s="20"/>
      <c r="D5214" s="21"/>
    </row>
    <row r="5215" spans="1:4" ht="12.75" customHeight="1" x14ac:dyDescent="0.2">
      <c r="A5215" s="21"/>
      <c r="B5215" s="20" t="s">
        <v>18</v>
      </c>
      <c r="C5215" s="4" t="s">
        <v>44</v>
      </c>
      <c r="D5215" s="6" t="str">
        <f>HYPERLINK("javascript:void(0)","féregcsapó")</f>
        <v>féregcsapó</v>
      </c>
    </row>
    <row r="5216" spans="1:4" ht="12.75" customHeight="1" x14ac:dyDescent="0.2">
      <c r="A5216" s="21"/>
      <c r="B5216" s="21"/>
      <c r="C5216" s="4" t="s">
        <v>44</v>
      </c>
      <c r="D5216" s="6" t="str">
        <f>HYPERLINK("javascript:void(0)","szemkopács")</f>
        <v>szemkopács</v>
      </c>
    </row>
    <row r="5217" spans="1:4" ht="12.75" customHeight="1" x14ac:dyDescent="0.2">
      <c r="A5217" s="21"/>
      <c r="B5217" s="21"/>
      <c r="C5217" s="4" t="s">
        <v>44</v>
      </c>
      <c r="D5217" s="6" t="str">
        <f>HYPERLINK("javascript:void(0)","pillekalapács")</f>
        <v>pillekalapács</v>
      </c>
    </row>
    <row r="5218" spans="1:4" ht="12.75" customHeight="1" x14ac:dyDescent="0.2">
      <c r="A5218" s="5"/>
      <c r="B5218" s="2"/>
      <c r="C5218" s="2"/>
      <c r="D5218" s="2"/>
    </row>
    <row r="5219" spans="1:4" ht="12.75" customHeight="1" x14ac:dyDescent="0.2">
      <c r="A5219" s="22" t="str">
        <f>HYPERLINK("javascript:void(0)","hálóvágó mágusölő")</f>
        <v>hálóvágó mágusölő</v>
      </c>
      <c r="B5219" s="21"/>
      <c r="C5219" s="21"/>
      <c r="D5219" s="21"/>
    </row>
    <row r="5220" spans="1:4" ht="12.75" customHeight="1" x14ac:dyDescent="0.2">
      <c r="A5220" s="20"/>
      <c r="B5220" s="2"/>
      <c r="C5220" s="2"/>
      <c r="D5220" s="2"/>
    </row>
    <row r="5221" spans="1:4" ht="12.75" customHeight="1" x14ac:dyDescent="0.2">
      <c r="A5221" s="21"/>
      <c r="B5221" s="3" t="s">
        <v>0</v>
      </c>
      <c r="C5221" s="20" t="s">
        <v>293</v>
      </c>
      <c r="D5221" s="21"/>
    </row>
    <row r="5222" spans="1:4" ht="12.75" customHeight="1" x14ac:dyDescent="0.2">
      <c r="A5222" s="21"/>
      <c r="B5222" s="3" t="s">
        <v>2</v>
      </c>
      <c r="C5222" s="20" t="s">
        <v>122</v>
      </c>
      <c r="D5222" s="21"/>
    </row>
    <row r="5223" spans="1:4" ht="12.75" customHeight="1" x14ac:dyDescent="0.2">
      <c r="A5223" s="21"/>
      <c r="B5223" s="3" t="s">
        <v>4</v>
      </c>
      <c r="C5223" s="20" t="s">
        <v>1476</v>
      </c>
      <c r="D5223" s="21"/>
    </row>
    <row r="5224" spans="1:4" ht="12.75" customHeight="1" x14ac:dyDescent="0.2">
      <c r="A5224" s="21"/>
      <c r="B5224" s="3" t="s">
        <v>6</v>
      </c>
      <c r="C5224" s="20" t="s">
        <v>48</v>
      </c>
      <c r="D5224" s="21"/>
    </row>
    <row r="5225" spans="1:4" ht="12.75" customHeight="1" x14ac:dyDescent="0.2">
      <c r="A5225" s="21"/>
      <c r="B5225" s="3" t="s">
        <v>8</v>
      </c>
      <c r="C5225" s="20" t="s">
        <v>1476</v>
      </c>
      <c r="D5225" s="21"/>
    </row>
    <row r="5226" spans="1:4" ht="12.75" customHeight="1" x14ac:dyDescent="0.2">
      <c r="A5226" s="21"/>
      <c r="B5226" s="3" t="s">
        <v>9</v>
      </c>
      <c r="C5226" s="20" t="s">
        <v>1139</v>
      </c>
      <c r="D5226" s="21"/>
    </row>
    <row r="5227" spans="1:4" ht="12.75" customHeight="1" x14ac:dyDescent="0.2">
      <c r="A5227" s="21"/>
      <c r="B5227" s="3" t="s">
        <v>11</v>
      </c>
      <c r="C5227" s="20" t="s">
        <v>1477</v>
      </c>
      <c r="D5227" s="21"/>
    </row>
    <row r="5228" spans="1:4" ht="12.75" customHeight="1" x14ac:dyDescent="0.2">
      <c r="A5228" s="21"/>
      <c r="B5228" s="3" t="s">
        <v>13</v>
      </c>
      <c r="C5228" s="20" t="s">
        <v>14</v>
      </c>
      <c r="D5228" s="21"/>
    </row>
    <row r="5229" spans="1:4" ht="12.75" customHeight="1" x14ac:dyDescent="0.2">
      <c r="A5229" s="21"/>
      <c r="B5229" s="3" t="s">
        <v>15</v>
      </c>
      <c r="C5229" s="20" t="s">
        <v>24</v>
      </c>
      <c r="D5229" s="21"/>
    </row>
    <row r="5230" spans="1:4" ht="12.75" customHeight="1" x14ac:dyDescent="0.2">
      <c r="A5230" s="21"/>
      <c r="B5230" s="3" t="s">
        <v>16</v>
      </c>
      <c r="C5230" s="20"/>
      <c r="D5230" s="21"/>
    </row>
    <row r="5231" spans="1:4" ht="12.75" customHeight="1" x14ac:dyDescent="0.2">
      <c r="A5231" s="21"/>
      <c r="B5231" s="3" t="s">
        <v>17</v>
      </c>
      <c r="C5231" s="20"/>
      <c r="D5231" s="21"/>
    </row>
    <row r="5232" spans="1:4" ht="12.75" customHeight="1" x14ac:dyDescent="0.2">
      <c r="A5232" s="21"/>
      <c r="B5232" s="20" t="s">
        <v>18</v>
      </c>
      <c r="C5232" s="4" t="s">
        <v>316</v>
      </c>
      <c r="D5232" s="6" t="str">
        <f>HYPERLINK("javascript:void(0)","csapdaszeg")</f>
        <v>csapdaszeg</v>
      </c>
    </row>
    <row r="5233" spans="1:4" ht="12.75" customHeight="1" x14ac:dyDescent="0.2">
      <c r="A5233" s="21"/>
      <c r="B5233" s="21"/>
      <c r="C5233" s="4" t="s">
        <v>117</v>
      </c>
      <c r="D5233" s="6" t="str">
        <f>HYPERLINK("javascript:void(0)","hálószem")</f>
        <v>hálószem</v>
      </c>
    </row>
    <row r="5234" spans="1:4" ht="12.75" customHeight="1" x14ac:dyDescent="0.2">
      <c r="A5234" s="21"/>
      <c r="B5234" s="21"/>
      <c r="C5234" s="4" t="s">
        <v>331</v>
      </c>
      <c r="D5234" s="6" t="str">
        <f>HYPERLINK("javascript:void(0)","glóriahasító")</f>
        <v>glóriahasító</v>
      </c>
    </row>
    <row r="5235" spans="1:4" ht="12.75" customHeight="1" x14ac:dyDescent="0.2">
      <c r="A5235" s="5"/>
      <c r="B5235" s="2"/>
      <c r="C5235" s="2"/>
      <c r="D5235" s="2"/>
    </row>
    <row r="5236" spans="1:4" ht="12.75" customHeight="1" x14ac:dyDescent="0.2">
      <c r="A5236" s="22" t="str">
        <f>HYPERLINK("javascript:void(0)","szemkopács")</f>
        <v>szemkopács</v>
      </c>
      <c r="B5236" s="21"/>
      <c r="C5236" s="21"/>
      <c r="D5236" s="21"/>
    </row>
    <row r="5237" spans="1:4" ht="12.75" customHeight="1" x14ac:dyDescent="0.2">
      <c r="A5237" s="20"/>
      <c r="B5237" s="2"/>
      <c r="C5237" s="2"/>
      <c r="D5237" s="2"/>
    </row>
    <row r="5238" spans="1:4" ht="12.75" customHeight="1" x14ac:dyDescent="0.2">
      <c r="A5238" s="21"/>
      <c r="B5238" s="3" t="s">
        <v>0</v>
      </c>
      <c r="C5238" s="20" t="s">
        <v>293</v>
      </c>
      <c r="D5238" s="21"/>
    </row>
    <row r="5239" spans="1:4" ht="12.75" customHeight="1" x14ac:dyDescent="0.2">
      <c r="A5239" s="21"/>
      <c r="B5239" s="3" t="s">
        <v>2</v>
      </c>
      <c r="C5239" s="20" t="s">
        <v>122</v>
      </c>
      <c r="D5239" s="21"/>
    </row>
    <row r="5240" spans="1:4" ht="12.75" customHeight="1" x14ac:dyDescent="0.2">
      <c r="A5240" s="21"/>
      <c r="B5240" s="3" t="s">
        <v>4</v>
      </c>
      <c r="C5240" s="20" t="s">
        <v>1478</v>
      </c>
      <c r="D5240" s="21"/>
    </row>
    <row r="5241" spans="1:4" ht="12.75" customHeight="1" x14ac:dyDescent="0.2">
      <c r="A5241" s="21"/>
      <c r="B5241" s="3" t="s">
        <v>6</v>
      </c>
      <c r="C5241" s="20" t="s">
        <v>21</v>
      </c>
      <c r="D5241" s="21"/>
    </row>
    <row r="5242" spans="1:4" ht="12.75" customHeight="1" x14ac:dyDescent="0.2">
      <c r="A5242" s="21"/>
      <c r="B5242" s="3" t="s">
        <v>8</v>
      </c>
      <c r="C5242" s="20" t="s">
        <v>1478</v>
      </c>
      <c r="D5242" s="21"/>
    </row>
    <row r="5243" spans="1:4" ht="12.75" customHeight="1" x14ac:dyDescent="0.2">
      <c r="A5243" s="21"/>
      <c r="B5243" s="3" t="s">
        <v>9</v>
      </c>
      <c r="C5243" s="20" t="s">
        <v>210</v>
      </c>
      <c r="D5243" s="21"/>
    </row>
    <row r="5244" spans="1:4" ht="12.75" customHeight="1" x14ac:dyDescent="0.2">
      <c r="A5244" s="21"/>
      <c r="B5244" s="3" t="s">
        <v>11</v>
      </c>
      <c r="C5244" s="20" t="s">
        <v>1105</v>
      </c>
      <c r="D5244" s="21"/>
    </row>
    <row r="5245" spans="1:4" ht="12.75" customHeight="1" x14ac:dyDescent="0.2">
      <c r="A5245" s="21"/>
      <c r="B5245" s="3" t="s">
        <v>13</v>
      </c>
      <c r="C5245" s="20" t="s">
        <v>24</v>
      </c>
      <c r="D5245" s="21"/>
    </row>
    <row r="5246" spans="1:4" ht="12.75" customHeight="1" x14ac:dyDescent="0.2">
      <c r="A5246" s="21"/>
      <c r="B5246" s="3" t="s">
        <v>15</v>
      </c>
      <c r="C5246" s="20" t="s">
        <v>24</v>
      </c>
      <c r="D5246" s="21"/>
    </row>
    <row r="5247" spans="1:4" ht="12.75" customHeight="1" x14ac:dyDescent="0.2">
      <c r="A5247" s="21"/>
      <c r="B5247" s="3" t="s">
        <v>16</v>
      </c>
      <c r="C5247" s="20"/>
      <c r="D5247" s="21"/>
    </row>
    <row r="5248" spans="1:4" ht="12.75" customHeight="1" x14ac:dyDescent="0.2">
      <c r="A5248" s="21"/>
      <c r="B5248" s="3" t="s">
        <v>17</v>
      </c>
      <c r="C5248" s="20"/>
      <c r="D5248" s="21"/>
    </row>
    <row r="5249" spans="1:4" ht="12.75" customHeight="1" x14ac:dyDescent="0.2">
      <c r="A5249" s="21"/>
      <c r="B5249" s="20" t="s">
        <v>18</v>
      </c>
      <c r="C5249" s="4" t="s">
        <v>244</v>
      </c>
      <c r="D5249" s="6" t="str">
        <f>HYPERLINK("javascript:void(0)","tekervény")</f>
        <v>tekervény</v>
      </c>
    </row>
    <row r="5250" spans="1:4" ht="12.75" customHeight="1" x14ac:dyDescent="0.2">
      <c r="A5250" s="21"/>
      <c r="B5250" s="21"/>
      <c r="C5250" s="4" t="s">
        <v>68</v>
      </c>
      <c r="D5250" s="6" t="str">
        <f>HYPERLINK("javascript:void(0)","hálószem")</f>
        <v>hálószem</v>
      </c>
    </row>
    <row r="5251" spans="1:4" ht="12.75" customHeight="1" x14ac:dyDescent="0.2">
      <c r="A5251" s="21"/>
      <c r="B5251" s="21"/>
      <c r="C5251" s="4" t="s">
        <v>67</v>
      </c>
      <c r="D5251" s="6" t="str">
        <f>HYPERLINK("javascript:void(0)","lexikon")</f>
        <v>lexikon</v>
      </c>
    </row>
    <row r="5252" spans="1:4" ht="12.75" customHeight="1" x14ac:dyDescent="0.2">
      <c r="A5252" s="5"/>
      <c r="B5252" s="2"/>
      <c r="C5252" s="2"/>
      <c r="D5252" s="2"/>
    </row>
    <row r="5253" spans="1:4" ht="12.75" customHeight="1" x14ac:dyDescent="0.2">
      <c r="A5253" s="22" t="str">
        <f>HYPERLINK("javascript:void(0)","démonorrcsapó")</f>
        <v>démonorrcsapó</v>
      </c>
      <c r="B5253" s="21"/>
      <c r="C5253" s="21"/>
      <c r="D5253" s="21"/>
    </row>
    <row r="5254" spans="1:4" ht="12.75" customHeight="1" x14ac:dyDescent="0.2">
      <c r="A5254" s="20"/>
      <c r="B5254" s="2"/>
      <c r="C5254" s="2"/>
      <c r="D5254" s="2"/>
    </row>
    <row r="5255" spans="1:4" ht="12.75" customHeight="1" x14ac:dyDescent="0.2">
      <c r="A5255" s="21"/>
      <c r="B5255" s="3" t="s">
        <v>0</v>
      </c>
      <c r="C5255" s="20" t="s">
        <v>968</v>
      </c>
      <c r="D5255" s="21"/>
    </row>
    <row r="5256" spans="1:4" ht="12.75" customHeight="1" x14ac:dyDescent="0.2">
      <c r="A5256" s="21"/>
      <c r="B5256" s="3" t="s">
        <v>2</v>
      </c>
      <c r="C5256" s="20" t="s">
        <v>122</v>
      </c>
      <c r="D5256" s="21"/>
    </row>
    <row r="5257" spans="1:4" ht="12.75" customHeight="1" x14ac:dyDescent="0.2">
      <c r="A5257" s="21"/>
      <c r="B5257" s="3" t="s">
        <v>4</v>
      </c>
      <c r="C5257" s="20" t="s">
        <v>1479</v>
      </c>
      <c r="D5257" s="21"/>
    </row>
    <row r="5258" spans="1:4" ht="12.75" customHeight="1" x14ac:dyDescent="0.2">
      <c r="A5258" s="21"/>
      <c r="B5258" s="3" t="s">
        <v>6</v>
      </c>
      <c r="C5258" s="20" t="s">
        <v>298</v>
      </c>
      <c r="D5258" s="21"/>
    </row>
    <row r="5259" spans="1:4" ht="12.75" customHeight="1" x14ac:dyDescent="0.2">
      <c r="A5259" s="21"/>
      <c r="B5259" s="3" t="s">
        <v>8</v>
      </c>
      <c r="C5259" s="20" t="s">
        <v>1479</v>
      </c>
      <c r="D5259" s="21"/>
    </row>
    <row r="5260" spans="1:4" ht="12.75" customHeight="1" x14ac:dyDescent="0.2">
      <c r="A5260" s="21"/>
      <c r="B5260" s="3" t="s">
        <v>9</v>
      </c>
      <c r="C5260" s="20" t="s">
        <v>1481</v>
      </c>
      <c r="D5260" s="21"/>
    </row>
    <row r="5261" spans="1:4" ht="12.75" customHeight="1" x14ac:dyDescent="0.2">
      <c r="A5261" s="21"/>
      <c r="B5261" s="3" t="s">
        <v>11</v>
      </c>
      <c r="C5261" s="20" t="s">
        <v>993</v>
      </c>
      <c r="D5261" s="21"/>
    </row>
    <row r="5262" spans="1:4" ht="12.75" customHeight="1" x14ac:dyDescent="0.2">
      <c r="A5262" s="21"/>
      <c r="B5262" s="3" t="s">
        <v>13</v>
      </c>
      <c r="C5262" s="20" t="s">
        <v>24</v>
      </c>
      <c r="D5262" s="21"/>
    </row>
    <row r="5263" spans="1:4" ht="12.75" customHeight="1" x14ac:dyDescent="0.2">
      <c r="A5263" s="21"/>
      <c r="B5263" s="3" t="s">
        <v>15</v>
      </c>
      <c r="C5263" s="20" t="s">
        <v>24</v>
      </c>
      <c r="D5263" s="21"/>
    </row>
    <row r="5264" spans="1:4" ht="12.75" customHeight="1" x14ac:dyDescent="0.2">
      <c r="A5264" s="21"/>
      <c r="B5264" s="3" t="s">
        <v>16</v>
      </c>
      <c r="C5264" s="20"/>
      <c r="D5264" s="21"/>
    </row>
    <row r="5265" spans="1:4" ht="12.75" customHeight="1" x14ac:dyDescent="0.2">
      <c r="A5265" s="21"/>
      <c r="B5265" s="3" t="s">
        <v>17</v>
      </c>
      <c r="C5265" s="20"/>
      <c r="D5265" s="21"/>
    </row>
    <row r="5266" spans="1:4" ht="12.75" customHeight="1" x14ac:dyDescent="0.2">
      <c r="A5266" s="21"/>
      <c r="B5266" s="20" t="s">
        <v>18</v>
      </c>
      <c r="C5266" s="4" t="s">
        <v>44</v>
      </c>
      <c r="D5266" s="6" t="str">
        <f>HYPERLINK("javascript:void(0)","tüskés hálóverő")</f>
        <v>tüskés hálóverő</v>
      </c>
    </row>
    <row r="5267" spans="1:4" ht="12.75" customHeight="1" x14ac:dyDescent="0.2">
      <c r="A5267" s="21"/>
      <c r="B5267" s="21"/>
      <c r="C5267" s="4" t="s">
        <v>244</v>
      </c>
      <c r="D5267" s="6" t="str">
        <f>HYPERLINK("javascript:void(0)","sárkányzsák")</f>
        <v>sárkányzsák</v>
      </c>
    </row>
    <row r="5268" spans="1:4" ht="12.75" customHeight="1" x14ac:dyDescent="0.2">
      <c r="A5268" s="21"/>
      <c r="B5268" s="21"/>
      <c r="C5268" s="4" t="s">
        <v>269</v>
      </c>
      <c r="D5268" s="6" t="str">
        <f>HYPERLINK("javascript:void(0)","orrkarika")</f>
        <v>orrkarika</v>
      </c>
    </row>
    <row r="5269" spans="1:4" ht="12.75" customHeight="1" x14ac:dyDescent="0.2">
      <c r="A5269" s="5"/>
      <c r="B5269" s="2"/>
      <c r="C5269" s="2"/>
      <c r="D5269" s="2"/>
    </row>
    <row r="5270" spans="1:4" ht="12.75" customHeight="1" x14ac:dyDescent="0.2">
      <c r="A5270" s="22" t="str">
        <f>HYPERLINK("javascript:void(0)","gyíkacél dobverő")</f>
        <v>gyíkacél dobverő</v>
      </c>
      <c r="B5270" s="21"/>
      <c r="C5270" s="21"/>
      <c r="D5270" s="21"/>
    </row>
    <row r="5271" spans="1:4" ht="12.75" customHeight="1" x14ac:dyDescent="0.2">
      <c r="A5271" s="20"/>
      <c r="B5271" s="2"/>
      <c r="C5271" s="2"/>
      <c r="D5271" s="2"/>
    </row>
    <row r="5272" spans="1:4" ht="12.75" customHeight="1" x14ac:dyDescent="0.2">
      <c r="A5272" s="21"/>
      <c r="B5272" s="3" t="s">
        <v>0</v>
      </c>
      <c r="C5272" s="20" t="s">
        <v>968</v>
      </c>
      <c r="D5272" s="21"/>
    </row>
    <row r="5273" spans="1:4" ht="12.75" customHeight="1" x14ac:dyDescent="0.2">
      <c r="A5273" s="21"/>
      <c r="B5273" s="3" t="s">
        <v>2</v>
      </c>
      <c r="C5273" s="20" t="s">
        <v>122</v>
      </c>
      <c r="D5273" s="21"/>
    </row>
    <row r="5274" spans="1:4" ht="12.75" customHeight="1" x14ac:dyDescent="0.2">
      <c r="A5274" s="21"/>
      <c r="B5274" s="3" t="s">
        <v>4</v>
      </c>
      <c r="C5274" s="20" t="s">
        <v>1483</v>
      </c>
      <c r="D5274" s="21"/>
    </row>
    <row r="5275" spans="1:4" ht="12.75" customHeight="1" x14ac:dyDescent="0.2">
      <c r="A5275" s="21"/>
      <c r="B5275" s="3" t="s">
        <v>6</v>
      </c>
      <c r="C5275" s="20" t="s">
        <v>107</v>
      </c>
      <c r="D5275" s="21"/>
    </row>
    <row r="5276" spans="1:4" ht="12.75" customHeight="1" x14ac:dyDescent="0.2">
      <c r="A5276" s="21"/>
      <c r="B5276" s="3" t="s">
        <v>8</v>
      </c>
      <c r="C5276" s="20" t="s">
        <v>1483</v>
      </c>
      <c r="D5276" s="21"/>
    </row>
    <row r="5277" spans="1:4" ht="12.75" customHeight="1" x14ac:dyDescent="0.2">
      <c r="A5277" s="21"/>
      <c r="B5277" s="3" t="s">
        <v>9</v>
      </c>
      <c r="C5277" s="20" t="s">
        <v>1484</v>
      </c>
      <c r="D5277" s="21"/>
    </row>
    <row r="5278" spans="1:4" ht="12.75" customHeight="1" x14ac:dyDescent="0.2">
      <c r="A5278" s="21"/>
      <c r="B5278" s="3" t="s">
        <v>11</v>
      </c>
      <c r="C5278" s="20" t="s">
        <v>739</v>
      </c>
      <c r="D5278" s="21"/>
    </row>
    <row r="5279" spans="1:4" ht="12.75" customHeight="1" x14ac:dyDescent="0.2">
      <c r="A5279" s="21"/>
      <c r="B5279" s="3" t="s">
        <v>13</v>
      </c>
      <c r="C5279" s="20" t="s">
        <v>24</v>
      </c>
      <c r="D5279" s="21"/>
    </row>
    <row r="5280" spans="1:4" ht="12.75" customHeight="1" x14ac:dyDescent="0.2">
      <c r="A5280" s="21"/>
      <c r="B5280" s="3" t="s">
        <v>15</v>
      </c>
      <c r="C5280" s="20" t="s">
        <v>24</v>
      </c>
      <c r="D5280" s="21"/>
    </row>
    <row r="5281" spans="1:4" ht="12.75" customHeight="1" x14ac:dyDescent="0.2">
      <c r="A5281" s="21"/>
      <c r="B5281" s="3" t="s">
        <v>16</v>
      </c>
      <c r="C5281" s="20"/>
      <c r="D5281" s="21"/>
    </row>
    <row r="5282" spans="1:4" ht="12.75" customHeight="1" x14ac:dyDescent="0.2">
      <c r="A5282" s="21"/>
      <c r="B5282" s="3" t="s">
        <v>17</v>
      </c>
      <c r="C5282" s="20"/>
      <c r="D5282" s="21"/>
    </row>
    <row r="5283" spans="1:4" ht="12.75" customHeight="1" x14ac:dyDescent="0.2">
      <c r="A5283" s="21"/>
      <c r="B5283" s="20" t="s">
        <v>18</v>
      </c>
      <c r="C5283" s="4" t="s">
        <v>756</v>
      </c>
      <c r="D5283" s="6" t="str">
        <f>HYPERLINK("javascript:void(0)","kallandra fog")</f>
        <v>kallandra fog</v>
      </c>
    </row>
    <row r="5284" spans="1:4" ht="12.75" customHeight="1" x14ac:dyDescent="0.2">
      <c r="A5284" s="21"/>
      <c r="B5284" s="21"/>
      <c r="C5284" s="4" t="s">
        <v>772</v>
      </c>
      <c r="D5284" s="6" t="str">
        <f>HYPERLINK("javascript:void(0)","nyulványkorbács")</f>
        <v>nyulványkorbács</v>
      </c>
    </row>
    <row r="5285" spans="1:4" ht="12.75" customHeight="1" x14ac:dyDescent="0.2">
      <c r="A5285" s="21"/>
      <c r="B5285" s="21"/>
      <c r="C5285" s="4" t="s">
        <v>369</v>
      </c>
      <c r="D5285" s="6" t="str">
        <f>HYPERLINK("javascript:void(0)","kacat")</f>
        <v>kacat</v>
      </c>
    </row>
    <row r="5286" spans="1:4" ht="12.75" customHeight="1" x14ac:dyDescent="0.2">
      <c r="A5286" s="5"/>
      <c r="B5286" s="2"/>
      <c r="C5286" s="2"/>
      <c r="D5286" s="2"/>
    </row>
    <row r="5287" spans="1:4" ht="12.75" customHeight="1" x14ac:dyDescent="0.2">
      <c r="A5287" s="22" t="str">
        <f>HYPERLINK("javascript:void(0)","elmepöröly")</f>
        <v>elmepöröly</v>
      </c>
      <c r="B5287" s="21"/>
      <c r="C5287" s="21"/>
      <c r="D5287" s="21"/>
    </row>
    <row r="5288" spans="1:4" ht="12.75" customHeight="1" x14ac:dyDescent="0.2">
      <c r="A5288" s="20"/>
      <c r="B5288" s="2"/>
      <c r="C5288" s="2"/>
      <c r="D5288" s="2"/>
    </row>
    <row r="5289" spans="1:4" ht="12.75" customHeight="1" x14ac:dyDescent="0.2">
      <c r="A5289" s="21"/>
      <c r="B5289" s="3" t="s">
        <v>0</v>
      </c>
      <c r="C5289" s="20" t="s">
        <v>978</v>
      </c>
      <c r="D5289" s="21"/>
    </row>
    <row r="5290" spans="1:4" ht="12.75" customHeight="1" x14ac:dyDescent="0.2">
      <c r="A5290" s="21"/>
      <c r="B5290" s="3" t="s">
        <v>2</v>
      </c>
      <c r="C5290" s="20" t="s">
        <v>122</v>
      </c>
      <c r="D5290" s="21"/>
    </row>
    <row r="5291" spans="1:4" ht="12.75" customHeight="1" x14ac:dyDescent="0.2">
      <c r="A5291" s="21"/>
      <c r="B5291" s="3" t="s">
        <v>4</v>
      </c>
      <c r="C5291" s="20" t="s">
        <v>1485</v>
      </c>
      <c r="D5291" s="21"/>
    </row>
    <row r="5292" spans="1:4" ht="12.75" customHeight="1" x14ac:dyDescent="0.2">
      <c r="A5292" s="21"/>
      <c r="B5292" s="3" t="s">
        <v>6</v>
      </c>
      <c r="C5292" s="20" t="s">
        <v>260</v>
      </c>
      <c r="D5292" s="21"/>
    </row>
    <row r="5293" spans="1:4" ht="12.75" customHeight="1" x14ac:dyDescent="0.2">
      <c r="A5293" s="21"/>
      <c r="B5293" s="3" t="s">
        <v>8</v>
      </c>
      <c r="C5293" s="20" t="s">
        <v>1485</v>
      </c>
      <c r="D5293" s="21"/>
    </row>
    <row r="5294" spans="1:4" ht="12.75" customHeight="1" x14ac:dyDescent="0.2">
      <c r="A5294" s="21"/>
      <c r="B5294" s="3" t="s">
        <v>9</v>
      </c>
      <c r="C5294" s="20" t="s">
        <v>955</v>
      </c>
      <c r="D5294" s="21"/>
    </row>
    <row r="5295" spans="1:4" ht="12.75" customHeight="1" x14ac:dyDescent="0.2">
      <c r="A5295" s="21"/>
      <c r="B5295" s="3" t="s">
        <v>11</v>
      </c>
      <c r="C5295" s="20" t="s">
        <v>1002</v>
      </c>
      <c r="D5295" s="21"/>
    </row>
    <row r="5296" spans="1:4" ht="12.75" customHeight="1" x14ac:dyDescent="0.2">
      <c r="A5296" s="21"/>
      <c r="B5296" s="3" t="s">
        <v>13</v>
      </c>
      <c r="C5296" s="20" t="s">
        <v>24</v>
      </c>
      <c r="D5296" s="21"/>
    </row>
    <row r="5297" spans="1:4" ht="12.75" customHeight="1" x14ac:dyDescent="0.2">
      <c r="A5297" s="21"/>
      <c r="B5297" s="3" t="s">
        <v>15</v>
      </c>
      <c r="C5297" s="20" t="s">
        <v>24</v>
      </c>
      <c r="D5297" s="21"/>
    </row>
    <row r="5298" spans="1:4" ht="12.75" customHeight="1" x14ac:dyDescent="0.2">
      <c r="A5298" s="21"/>
      <c r="B5298" s="3" t="s">
        <v>16</v>
      </c>
      <c r="C5298" s="20"/>
      <c r="D5298" s="21"/>
    </row>
    <row r="5299" spans="1:4" ht="12.75" customHeight="1" x14ac:dyDescent="0.2">
      <c r="A5299" s="21"/>
      <c r="B5299" s="3" t="s">
        <v>17</v>
      </c>
      <c r="C5299" s="20"/>
      <c r="D5299" s="21"/>
    </row>
    <row r="5300" spans="1:4" ht="12.75" customHeight="1" x14ac:dyDescent="0.2">
      <c r="A5300" s="21"/>
      <c r="B5300" s="20" t="s">
        <v>18</v>
      </c>
      <c r="C5300" s="4" t="s">
        <v>142</v>
      </c>
      <c r="D5300" s="6" t="str">
        <f>HYPERLINK("javascript:void(0)","törtvény")</f>
        <v>törtvény</v>
      </c>
    </row>
    <row r="5301" spans="1:4" ht="12.75" customHeight="1" x14ac:dyDescent="0.2">
      <c r="A5301" s="21"/>
      <c r="B5301" s="21"/>
      <c r="C5301" s="4" t="s">
        <v>139</v>
      </c>
      <c r="D5301" s="6" t="str">
        <f>HYPERLINK("javascript:void(0)","banánhéj")</f>
        <v>banánhéj</v>
      </c>
    </row>
    <row r="5302" spans="1:4" ht="12.75" customHeight="1" x14ac:dyDescent="0.2">
      <c r="A5302" s="21"/>
      <c r="B5302" s="21"/>
      <c r="C5302" s="4" t="s">
        <v>244</v>
      </c>
      <c r="D5302" s="6" t="str">
        <f>HYPERLINK("javascript:void(0)","angyalhaj")</f>
        <v>angyalhaj</v>
      </c>
    </row>
    <row r="5303" spans="1:4" ht="12.75" customHeight="1" x14ac:dyDescent="0.2">
      <c r="A5303" s="5"/>
      <c r="B5303" s="2"/>
      <c r="C5303" s="2"/>
      <c r="D5303" s="2"/>
    </row>
    <row r="5304" spans="1:4" ht="12.75" customHeight="1" x14ac:dyDescent="0.2">
      <c r="A5304" s="22" t="str">
        <f>HYPERLINK("javascript:void(0)","észvesztő mágusölő")</f>
        <v>észvesztő mágusölő</v>
      </c>
      <c r="B5304" s="21"/>
      <c r="C5304" s="21"/>
      <c r="D5304" s="21"/>
    </row>
    <row r="5305" spans="1:4" ht="12.75" customHeight="1" x14ac:dyDescent="0.2">
      <c r="A5305" s="20"/>
      <c r="B5305" s="2"/>
      <c r="C5305" s="2"/>
      <c r="D5305" s="2"/>
    </row>
    <row r="5306" spans="1:4" ht="12.75" customHeight="1" x14ac:dyDescent="0.2">
      <c r="A5306" s="21"/>
      <c r="B5306" s="3" t="s">
        <v>0</v>
      </c>
      <c r="C5306" s="20" t="s">
        <v>978</v>
      </c>
      <c r="D5306" s="21"/>
    </row>
    <row r="5307" spans="1:4" ht="12.75" customHeight="1" x14ac:dyDescent="0.2">
      <c r="A5307" s="21"/>
      <c r="B5307" s="3" t="s">
        <v>2</v>
      </c>
      <c r="C5307" s="20" t="s">
        <v>122</v>
      </c>
      <c r="D5307" s="21"/>
    </row>
    <row r="5308" spans="1:4" ht="12.75" customHeight="1" x14ac:dyDescent="0.2">
      <c r="A5308" s="21"/>
      <c r="B5308" s="3" t="s">
        <v>4</v>
      </c>
      <c r="C5308" s="20" t="s">
        <v>1486</v>
      </c>
      <c r="D5308" s="21"/>
    </row>
    <row r="5309" spans="1:4" ht="12.75" customHeight="1" x14ac:dyDescent="0.2">
      <c r="A5309" s="21"/>
      <c r="B5309" s="3" t="s">
        <v>6</v>
      </c>
      <c r="C5309" s="20" t="s">
        <v>48</v>
      </c>
      <c r="D5309" s="21"/>
    </row>
    <row r="5310" spans="1:4" ht="12.75" customHeight="1" x14ac:dyDescent="0.2">
      <c r="A5310" s="21"/>
      <c r="B5310" s="3" t="s">
        <v>8</v>
      </c>
      <c r="C5310" s="20" t="s">
        <v>1486</v>
      </c>
      <c r="D5310" s="21"/>
    </row>
    <row r="5311" spans="1:4" ht="12.75" customHeight="1" x14ac:dyDescent="0.2">
      <c r="A5311" s="21"/>
      <c r="B5311" s="3" t="s">
        <v>9</v>
      </c>
      <c r="C5311" s="20" t="s">
        <v>1487</v>
      </c>
      <c r="D5311" s="21"/>
    </row>
    <row r="5312" spans="1:4" ht="12.75" customHeight="1" x14ac:dyDescent="0.2">
      <c r="A5312" s="21"/>
      <c r="B5312" s="3" t="s">
        <v>11</v>
      </c>
      <c r="C5312" s="20" t="s">
        <v>1488</v>
      </c>
      <c r="D5312" s="21"/>
    </row>
    <row r="5313" spans="1:4" ht="12.75" customHeight="1" x14ac:dyDescent="0.2">
      <c r="A5313" s="21"/>
      <c r="B5313" s="3" t="s">
        <v>13</v>
      </c>
      <c r="C5313" s="20" t="s">
        <v>14</v>
      </c>
      <c r="D5313" s="21"/>
    </row>
    <row r="5314" spans="1:4" ht="12.75" customHeight="1" x14ac:dyDescent="0.2">
      <c r="A5314" s="21"/>
      <c r="B5314" s="3" t="s">
        <v>15</v>
      </c>
      <c r="C5314" s="20" t="s">
        <v>24</v>
      </c>
      <c r="D5314" s="21"/>
    </row>
    <row r="5315" spans="1:4" ht="12.75" customHeight="1" x14ac:dyDescent="0.2">
      <c r="A5315" s="21"/>
      <c r="B5315" s="3" t="s">
        <v>16</v>
      </c>
      <c r="C5315" s="20"/>
      <c r="D5315" s="21"/>
    </row>
    <row r="5316" spans="1:4" ht="12.75" customHeight="1" x14ac:dyDescent="0.2">
      <c r="A5316" s="21"/>
      <c r="B5316" s="3" t="s">
        <v>17</v>
      </c>
      <c r="C5316" s="20"/>
      <c r="D5316" s="21"/>
    </row>
    <row r="5317" spans="1:4" ht="12.75" customHeight="1" x14ac:dyDescent="0.2">
      <c r="A5317" s="21"/>
      <c r="B5317" s="20" t="s">
        <v>18</v>
      </c>
      <c r="C5317" s="4" t="s">
        <v>139</v>
      </c>
      <c r="D5317" s="6" t="str">
        <f>HYPERLINK("javascript:void(0)","rozmáragyar")</f>
        <v>rozmáragyar</v>
      </c>
    </row>
    <row r="5318" spans="1:4" ht="12.75" customHeight="1" x14ac:dyDescent="0.2">
      <c r="A5318" s="21"/>
      <c r="B5318" s="21"/>
      <c r="C5318" s="4" t="s">
        <v>102</v>
      </c>
      <c r="D5318" s="6" t="str">
        <f>HYPERLINK("javascript:void(0)","törtvény")</f>
        <v>törtvény</v>
      </c>
    </row>
    <row r="5319" spans="1:4" ht="12.75" customHeight="1" x14ac:dyDescent="0.2">
      <c r="A5319" s="21"/>
      <c r="B5319" s="21"/>
      <c r="C5319" s="4" t="s">
        <v>244</v>
      </c>
      <c r="D5319" s="6" t="str">
        <f>HYPERLINK("javascript:void(0)","monsztabéklyó")</f>
        <v>monsztabéklyó</v>
      </c>
    </row>
    <row r="5320" spans="1:4" ht="12.75" customHeight="1" x14ac:dyDescent="0.2">
      <c r="A5320" s="5"/>
      <c r="B5320" s="2"/>
      <c r="C5320" s="2"/>
      <c r="D5320" s="2"/>
    </row>
    <row r="5321" spans="1:4" ht="12.75" customHeight="1" x14ac:dyDescent="0.2">
      <c r="A5321" s="22" t="str">
        <f>HYPERLINK("javascript:void(0)","csápkalapács")</f>
        <v>csápkalapács</v>
      </c>
      <c r="B5321" s="21"/>
      <c r="C5321" s="21"/>
      <c r="D5321" s="21"/>
    </row>
    <row r="5322" spans="1:4" ht="12.75" customHeight="1" x14ac:dyDescent="0.2">
      <c r="A5322" s="20"/>
      <c r="B5322" s="2"/>
      <c r="C5322" s="2"/>
      <c r="D5322" s="2"/>
    </row>
    <row r="5323" spans="1:4" ht="12.75" customHeight="1" x14ac:dyDescent="0.2">
      <c r="A5323" s="21"/>
      <c r="B5323" s="3" t="s">
        <v>0</v>
      </c>
      <c r="C5323" s="20" t="s">
        <v>87</v>
      </c>
      <c r="D5323" s="21"/>
    </row>
    <row r="5324" spans="1:4" ht="12.75" customHeight="1" x14ac:dyDescent="0.2">
      <c r="A5324" s="21"/>
      <c r="B5324" s="3" t="s">
        <v>2</v>
      </c>
      <c r="C5324" s="20" t="s">
        <v>122</v>
      </c>
      <c r="D5324" s="21"/>
    </row>
    <row r="5325" spans="1:4" ht="12.75" customHeight="1" x14ac:dyDescent="0.2">
      <c r="A5325" s="21"/>
      <c r="B5325" s="3" t="s">
        <v>4</v>
      </c>
      <c r="C5325" s="20" t="s">
        <v>1490</v>
      </c>
      <c r="D5325" s="21"/>
    </row>
    <row r="5326" spans="1:4" ht="12.75" customHeight="1" x14ac:dyDescent="0.2">
      <c r="A5326" s="21"/>
      <c r="B5326" s="3" t="s">
        <v>6</v>
      </c>
      <c r="C5326" s="20" t="s">
        <v>260</v>
      </c>
      <c r="D5326" s="21"/>
    </row>
    <row r="5327" spans="1:4" ht="12.75" customHeight="1" x14ac:dyDescent="0.2">
      <c r="A5327" s="21"/>
      <c r="B5327" s="3" t="s">
        <v>8</v>
      </c>
      <c r="C5327" s="20" t="s">
        <v>1490</v>
      </c>
      <c r="D5327" s="21"/>
    </row>
    <row r="5328" spans="1:4" ht="12.75" customHeight="1" x14ac:dyDescent="0.2">
      <c r="A5328" s="21"/>
      <c r="B5328" s="3" t="s">
        <v>9</v>
      </c>
      <c r="C5328" s="20" t="s">
        <v>1491</v>
      </c>
      <c r="D5328" s="21"/>
    </row>
    <row r="5329" spans="1:4" ht="12.75" customHeight="1" x14ac:dyDescent="0.2">
      <c r="A5329" s="21"/>
      <c r="B5329" s="3" t="s">
        <v>11</v>
      </c>
      <c r="C5329" s="20" t="s">
        <v>1015</v>
      </c>
      <c r="D5329" s="21"/>
    </row>
    <row r="5330" spans="1:4" ht="12.75" customHeight="1" x14ac:dyDescent="0.2">
      <c r="A5330" s="21"/>
      <c r="B5330" s="3" t="s">
        <v>13</v>
      </c>
      <c r="C5330" s="20" t="s">
        <v>24</v>
      </c>
      <c r="D5330" s="21"/>
    </row>
    <row r="5331" spans="1:4" ht="12.75" customHeight="1" x14ac:dyDescent="0.2">
      <c r="A5331" s="21"/>
      <c r="B5331" s="3" t="s">
        <v>15</v>
      </c>
      <c r="C5331" s="20" t="s">
        <v>24</v>
      </c>
      <c r="D5331" s="21"/>
    </row>
    <row r="5332" spans="1:4" ht="12.75" customHeight="1" x14ac:dyDescent="0.2">
      <c r="A5332" s="21"/>
      <c r="B5332" s="3" t="s">
        <v>16</v>
      </c>
      <c r="C5332" s="20"/>
      <c r="D5332" s="21"/>
    </row>
    <row r="5333" spans="1:4" ht="12.75" customHeight="1" x14ac:dyDescent="0.2">
      <c r="A5333" s="21"/>
      <c r="B5333" s="3" t="s">
        <v>17</v>
      </c>
      <c r="C5333" s="20"/>
      <c r="D5333" s="21"/>
    </row>
    <row r="5334" spans="1:4" ht="12.75" customHeight="1" x14ac:dyDescent="0.2">
      <c r="A5334" s="21"/>
      <c r="B5334" s="20" t="s">
        <v>18</v>
      </c>
      <c r="C5334" s="4" t="s">
        <v>44</v>
      </c>
      <c r="D5334" s="6" t="str">
        <f>HYPERLINK("javascript:void(0)","elmepöröly")</f>
        <v>elmepöröly</v>
      </c>
    </row>
    <row r="5335" spans="1:4" ht="12.75" customHeight="1" x14ac:dyDescent="0.2">
      <c r="A5335" s="21"/>
      <c r="B5335" s="21"/>
      <c r="C5335" s="4" t="s">
        <v>44</v>
      </c>
      <c r="D5335" s="6" t="str">
        <f>HYPERLINK("javascript:void(0)","démonorrcsapó")</f>
        <v>démonorrcsapó</v>
      </c>
    </row>
    <row r="5336" spans="1:4" ht="12.75" customHeight="1" x14ac:dyDescent="0.2">
      <c r="A5336" s="21"/>
      <c r="B5336" s="21"/>
      <c r="C5336" s="4" t="s">
        <v>44</v>
      </c>
      <c r="D5336" s="6" t="str">
        <f>HYPERLINK("javascript:void(0)","csápnyél")</f>
        <v>csápnyél</v>
      </c>
    </row>
    <row r="5337" spans="1:4" ht="12.75" customHeight="1" x14ac:dyDescent="0.2">
      <c r="A5337" s="5"/>
      <c r="B5337" s="2"/>
      <c r="C5337" s="2"/>
      <c r="D5337" s="2"/>
    </row>
    <row r="5338" spans="1:4" ht="12.75" customHeight="1" x14ac:dyDescent="0.2">
      <c r="A5338" s="22" t="str">
        <f>HYPERLINK("javascript:void(0)","gyíkacél romboló")</f>
        <v>gyíkacél romboló</v>
      </c>
      <c r="B5338" s="21"/>
      <c r="C5338" s="21"/>
      <c r="D5338" s="21"/>
    </row>
    <row r="5339" spans="1:4" ht="12.75" customHeight="1" x14ac:dyDescent="0.2">
      <c r="A5339" s="20"/>
      <c r="B5339" s="2"/>
      <c r="C5339" s="2"/>
      <c r="D5339" s="2"/>
    </row>
    <row r="5340" spans="1:4" ht="12.75" customHeight="1" x14ac:dyDescent="0.2">
      <c r="A5340" s="21"/>
      <c r="B5340" s="3" t="s">
        <v>0</v>
      </c>
      <c r="C5340" s="20" t="s">
        <v>87</v>
      </c>
      <c r="D5340" s="21"/>
    </row>
    <row r="5341" spans="1:4" ht="12.75" customHeight="1" x14ac:dyDescent="0.2">
      <c r="A5341" s="21"/>
      <c r="B5341" s="3" t="s">
        <v>2</v>
      </c>
      <c r="C5341" s="20" t="s">
        <v>122</v>
      </c>
      <c r="D5341" s="21"/>
    </row>
    <row r="5342" spans="1:4" ht="12.75" customHeight="1" x14ac:dyDescent="0.2">
      <c r="A5342" s="21"/>
      <c r="B5342" s="3" t="s">
        <v>4</v>
      </c>
      <c r="C5342" s="20" t="s">
        <v>1492</v>
      </c>
      <c r="D5342" s="21"/>
    </row>
    <row r="5343" spans="1:4" ht="12.75" customHeight="1" x14ac:dyDescent="0.2">
      <c r="A5343" s="21"/>
      <c r="B5343" s="3" t="s">
        <v>6</v>
      </c>
      <c r="C5343" s="20" t="s">
        <v>107</v>
      </c>
      <c r="D5343" s="21"/>
    </row>
    <row r="5344" spans="1:4" ht="12.75" customHeight="1" x14ac:dyDescent="0.2">
      <c r="A5344" s="21"/>
      <c r="B5344" s="3" t="s">
        <v>8</v>
      </c>
      <c r="C5344" s="20" t="s">
        <v>1492</v>
      </c>
      <c r="D5344" s="21"/>
    </row>
    <row r="5345" spans="1:4" ht="12.75" customHeight="1" x14ac:dyDescent="0.2">
      <c r="A5345" s="21"/>
      <c r="B5345" s="3" t="s">
        <v>9</v>
      </c>
      <c r="C5345" s="20" t="s">
        <v>1493</v>
      </c>
      <c r="D5345" s="21"/>
    </row>
    <row r="5346" spans="1:4" ht="12.75" customHeight="1" x14ac:dyDescent="0.2">
      <c r="A5346" s="21"/>
      <c r="B5346" s="3" t="s">
        <v>11</v>
      </c>
      <c r="C5346" s="20" t="s">
        <v>754</v>
      </c>
      <c r="D5346" s="21"/>
    </row>
    <row r="5347" spans="1:4" ht="12.75" customHeight="1" x14ac:dyDescent="0.2">
      <c r="A5347" s="21"/>
      <c r="B5347" s="3" t="s">
        <v>13</v>
      </c>
      <c r="C5347" s="20" t="s">
        <v>24</v>
      </c>
      <c r="D5347" s="21"/>
    </row>
    <row r="5348" spans="1:4" ht="12.75" customHeight="1" x14ac:dyDescent="0.2">
      <c r="A5348" s="21"/>
      <c r="B5348" s="3" t="s">
        <v>15</v>
      </c>
      <c r="C5348" s="20" t="s">
        <v>24</v>
      </c>
      <c r="D5348" s="21"/>
    </row>
    <row r="5349" spans="1:4" ht="12.75" customHeight="1" x14ac:dyDescent="0.2">
      <c r="A5349" s="21"/>
      <c r="B5349" s="3" t="s">
        <v>16</v>
      </c>
      <c r="C5349" s="20"/>
      <c r="D5349" s="21"/>
    </row>
    <row r="5350" spans="1:4" ht="12.75" customHeight="1" x14ac:dyDescent="0.2">
      <c r="A5350" s="21"/>
      <c r="B5350" s="3" t="s">
        <v>17</v>
      </c>
      <c r="C5350" s="20"/>
      <c r="D5350" s="21"/>
    </row>
    <row r="5351" spans="1:4" ht="12.75" customHeight="1" x14ac:dyDescent="0.2">
      <c r="A5351" s="21"/>
      <c r="B5351" s="20" t="s">
        <v>18</v>
      </c>
      <c r="C5351" s="4" t="s">
        <v>56</v>
      </c>
      <c r="D5351" s="6" t="str">
        <f>HYPERLINK("javascript:void(0)","gyíkacél kalapács")</f>
        <v>gyíkacél kalapács</v>
      </c>
    </row>
    <row r="5352" spans="1:4" ht="12.75" customHeight="1" x14ac:dyDescent="0.2">
      <c r="A5352" s="21"/>
      <c r="B5352" s="21"/>
      <c r="C5352" s="4" t="s">
        <v>98</v>
      </c>
      <c r="D5352" s="6" t="str">
        <f>HYPERLINK("javascript:void(0)","csigaház")</f>
        <v>csigaház</v>
      </c>
    </row>
    <row r="5353" spans="1:4" ht="12.75" customHeight="1" x14ac:dyDescent="0.2">
      <c r="A5353" s="21"/>
      <c r="B5353" s="21"/>
      <c r="C5353" s="4" t="s">
        <v>369</v>
      </c>
      <c r="D5353" s="6" t="str">
        <f>HYPERLINK("javascript:void(0)","vitorla")</f>
        <v>vitorla</v>
      </c>
    </row>
    <row r="5354" spans="1:4" ht="12.75" customHeight="1" x14ac:dyDescent="0.2">
      <c r="A5354" s="5"/>
      <c r="B5354" s="2"/>
      <c r="C5354" s="2"/>
      <c r="D5354" s="2"/>
    </row>
    <row r="5355" spans="1:4" ht="12.75" customHeight="1" x14ac:dyDescent="0.2">
      <c r="A5355" s="22" t="str">
        <f>HYPERLINK("javascript:void(0)","csápnyél")</f>
        <v>csápnyél</v>
      </c>
      <c r="B5355" s="21"/>
      <c r="C5355" s="21"/>
      <c r="D5355" s="21"/>
    </row>
    <row r="5356" spans="1:4" ht="12.75" customHeight="1" x14ac:dyDescent="0.2">
      <c r="A5356" s="20"/>
      <c r="B5356" s="2"/>
      <c r="C5356" s="2"/>
      <c r="D5356" s="2"/>
    </row>
    <row r="5357" spans="1:4" ht="12.75" customHeight="1" x14ac:dyDescent="0.2">
      <c r="A5357" s="21"/>
      <c r="B5357" s="3" t="s">
        <v>0</v>
      </c>
      <c r="C5357" s="20" t="s">
        <v>87</v>
      </c>
      <c r="D5357" s="21"/>
    </row>
    <row r="5358" spans="1:4" ht="12.75" customHeight="1" x14ac:dyDescent="0.2">
      <c r="A5358" s="21"/>
      <c r="B5358" s="3" t="s">
        <v>2</v>
      </c>
      <c r="C5358" s="20" t="s">
        <v>122</v>
      </c>
      <c r="D5358" s="21"/>
    </row>
    <row r="5359" spans="1:4" ht="12.75" customHeight="1" x14ac:dyDescent="0.2">
      <c r="A5359" s="21"/>
      <c r="B5359" s="3" t="s">
        <v>4</v>
      </c>
      <c r="C5359" s="20" t="s">
        <v>1478</v>
      </c>
      <c r="D5359" s="21"/>
    </row>
    <row r="5360" spans="1:4" ht="12.75" customHeight="1" x14ac:dyDescent="0.2">
      <c r="A5360" s="21"/>
      <c r="B5360" s="3" t="s">
        <v>6</v>
      </c>
      <c r="C5360" s="20" t="s">
        <v>21</v>
      </c>
      <c r="D5360" s="21"/>
    </row>
    <row r="5361" spans="1:4" ht="12.75" customHeight="1" x14ac:dyDescent="0.2">
      <c r="A5361" s="21"/>
      <c r="B5361" s="3" t="s">
        <v>8</v>
      </c>
      <c r="C5361" s="20" t="s">
        <v>1478</v>
      </c>
      <c r="D5361" s="21"/>
    </row>
    <row r="5362" spans="1:4" ht="12.75" customHeight="1" x14ac:dyDescent="0.2">
      <c r="A5362" s="21"/>
      <c r="B5362" s="3" t="s">
        <v>9</v>
      </c>
      <c r="C5362" s="20" t="s">
        <v>812</v>
      </c>
      <c r="D5362" s="21"/>
    </row>
    <row r="5363" spans="1:4" ht="12.75" customHeight="1" x14ac:dyDescent="0.2">
      <c r="A5363" s="21"/>
      <c r="B5363" s="3" t="s">
        <v>11</v>
      </c>
      <c r="C5363" s="20" t="s">
        <v>1159</v>
      </c>
      <c r="D5363" s="21"/>
    </row>
    <row r="5364" spans="1:4" ht="12.75" customHeight="1" x14ac:dyDescent="0.2">
      <c r="A5364" s="21"/>
      <c r="B5364" s="3" t="s">
        <v>13</v>
      </c>
      <c r="C5364" s="20" t="s">
        <v>24</v>
      </c>
      <c r="D5364" s="21"/>
    </row>
    <row r="5365" spans="1:4" ht="12.75" customHeight="1" x14ac:dyDescent="0.2">
      <c r="A5365" s="21"/>
      <c r="B5365" s="3" t="s">
        <v>15</v>
      </c>
      <c r="C5365" s="20" t="s">
        <v>24</v>
      </c>
      <c r="D5365" s="21"/>
    </row>
    <row r="5366" spans="1:4" ht="12.75" customHeight="1" x14ac:dyDescent="0.2">
      <c r="A5366" s="21"/>
      <c r="B5366" s="3" t="s">
        <v>16</v>
      </c>
      <c r="C5366" s="20"/>
      <c r="D5366" s="21"/>
    </row>
    <row r="5367" spans="1:4" ht="12.75" customHeight="1" x14ac:dyDescent="0.2">
      <c r="A5367" s="21"/>
      <c r="B5367" s="3" t="s">
        <v>17</v>
      </c>
      <c r="C5367" s="20"/>
      <c r="D5367" s="21"/>
    </row>
    <row r="5368" spans="1:4" ht="12.75" customHeight="1" x14ac:dyDescent="0.2">
      <c r="A5368" s="21"/>
      <c r="B5368" s="20" t="s">
        <v>18</v>
      </c>
      <c r="C5368" s="4" t="s">
        <v>67</v>
      </c>
      <c r="D5368" s="6" t="str">
        <f>HYPERLINK("javascript:void(0)","agyagszárny")</f>
        <v>agyagszárny</v>
      </c>
    </row>
    <row r="5369" spans="1:4" ht="12.75" customHeight="1" x14ac:dyDescent="0.2">
      <c r="A5369" s="21"/>
      <c r="B5369" s="21"/>
      <c r="C5369" s="4" t="s">
        <v>68</v>
      </c>
      <c r="D5369" s="6" t="str">
        <f>HYPERLINK("javascript:void(0)","fülcsáp")</f>
        <v>fülcsáp</v>
      </c>
    </row>
    <row r="5370" spans="1:4" ht="12.75" customHeight="1" x14ac:dyDescent="0.2">
      <c r="A5370" s="21"/>
      <c r="B5370" s="21"/>
      <c r="C5370" s="4" t="s">
        <v>142</v>
      </c>
      <c r="D5370" s="6" t="str">
        <f>HYPERLINK("javascript:void(0)","plecsni")</f>
        <v>plecsni</v>
      </c>
    </row>
    <row r="5371" spans="1:4" ht="12.75" customHeight="1" x14ac:dyDescent="0.2">
      <c r="A5371" s="5"/>
      <c r="B5371" s="2"/>
      <c r="C5371" s="2"/>
      <c r="D5371" s="2"/>
    </row>
    <row r="5372" spans="1:4" ht="12.75" customHeight="1" x14ac:dyDescent="0.2">
      <c r="A5372" s="22" t="str">
        <f>HYPERLINK("javascript:void(0)","suhintónyél")</f>
        <v>suhintónyél</v>
      </c>
      <c r="B5372" s="21"/>
      <c r="C5372" s="21"/>
      <c r="D5372" s="21"/>
    </row>
    <row r="5373" spans="1:4" ht="12.75" customHeight="1" x14ac:dyDescent="0.2">
      <c r="A5373" s="20"/>
      <c r="B5373" s="2"/>
      <c r="C5373" s="2"/>
      <c r="D5373" s="2"/>
    </row>
    <row r="5374" spans="1:4" ht="12.75" customHeight="1" x14ac:dyDescent="0.2">
      <c r="A5374" s="21"/>
      <c r="B5374" s="3" t="s">
        <v>0</v>
      </c>
      <c r="C5374" s="20" t="s">
        <v>87</v>
      </c>
      <c r="D5374" s="21"/>
    </row>
    <row r="5375" spans="1:4" ht="12.75" customHeight="1" x14ac:dyDescent="0.2">
      <c r="A5375" s="21"/>
      <c r="B5375" s="3" t="s">
        <v>2</v>
      </c>
      <c r="C5375" s="20" t="s">
        <v>122</v>
      </c>
      <c r="D5375" s="21"/>
    </row>
    <row r="5376" spans="1:4" ht="12.75" customHeight="1" x14ac:dyDescent="0.2">
      <c r="A5376" s="21"/>
      <c r="B5376" s="3" t="s">
        <v>4</v>
      </c>
      <c r="C5376" s="20" t="s">
        <v>1478</v>
      </c>
      <c r="D5376" s="21"/>
    </row>
    <row r="5377" spans="1:4" ht="12.75" customHeight="1" x14ac:dyDescent="0.2">
      <c r="A5377" s="21"/>
      <c r="B5377" s="3" t="s">
        <v>6</v>
      </c>
      <c r="C5377" s="20" t="s">
        <v>21</v>
      </c>
      <c r="D5377" s="21"/>
    </row>
    <row r="5378" spans="1:4" ht="12.75" customHeight="1" x14ac:dyDescent="0.2">
      <c r="A5378" s="21"/>
      <c r="B5378" s="3" t="s">
        <v>8</v>
      </c>
      <c r="C5378" s="20" t="s">
        <v>1478</v>
      </c>
      <c r="D5378" s="21"/>
    </row>
    <row r="5379" spans="1:4" ht="12.75" customHeight="1" x14ac:dyDescent="0.2">
      <c r="A5379" s="21"/>
      <c r="B5379" s="3" t="s">
        <v>9</v>
      </c>
      <c r="C5379" s="20" t="s">
        <v>701</v>
      </c>
      <c r="D5379" s="21"/>
    </row>
    <row r="5380" spans="1:4" ht="12.75" customHeight="1" x14ac:dyDescent="0.2">
      <c r="A5380" s="21"/>
      <c r="B5380" s="3" t="s">
        <v>11</v>
      </c>
      <c r="C5380" s="20" t="s">
        <v>1159</v>
      </c>
      <c r="D5380" s="21"/>
    </row>
    <row r="5381" spans="1:4" ht="12.75" customHeight="1" x14ac:dyDescent="0.2">
      <c r="A5381" s="21"/>
      <c r="B5381" s="3" t="s">
        <v>13</v>
      </c>
      <c r="C5381" s="20" t="s">
        <v>24</v>
      </c>
      <c r="D5381" s="21"/>
    </row>
    <row r="5382" spans="1:4" ht="12.75" customHeight="1" x14ac:dyDescent="0.2">
      <c r="A5382" s="21"/>
      <c r="B5382" s="3" t="s">
        <v>15</v>
      </c>
      <c r="C5382" s="20" t="s">
        <v>24</v>
      </c>
      <c r="D5382" s="21"/>
    </row>
    <row r="5383" spans="1:4" ht="12.75" customHeight="1" x14ac:dyDescent="0.2">
      <c r="A5383" s="21"/>
      <c r="B5383" s="3" t="s">
        <v>16</v>
      </c>
      <c r="C5383" s="20"/>
      <c r="D5383" s="21"/>
    </row>
    <row r="5384" spans="1:4" ht="12.75" customHeight="1" x14ac:dyDescent="0.2">
      <c r="A5384" s="21"/>
      <c r="B5384" s="3" t="s">
        <v>17</v>
      </c>
      <c r="C5384" s="20"/>
      <c r="D5384" s="21"/>
    </row>
    <row r="5385" spans="1:4" ht="12.75" customHeight="1" x14ac:dyDescent="0.2">
      <c r="A5385" s="21"/>
      <c r="B5385" s="20" t="s">
        <v>18</v>
      </c>
      <c r="C5385" s="4" t="s">
        <v>67</v>
      </c>
      <c r="D5385" s="6" t="str">
        <f>HYPERLINK("javascript:void(0)","lékék")</f>
        <v>lékék</v>
      </c>
    </row>
    <row r="5386" spans="1:4" ht="12.75" customHeight="1" x14ac:dyDescent="0.2">
      <c r="A5386" s="21"/>
      <c r="B5386" s="21"/>
      <c r="C5386" s="4" t="s">
        <v>132</v>
      </c>
      <c r="D5386" s="6" t="str">
        <f>HYPERLINK("javascript:void(0)","suhanás")</f>
        <v>suhanás</v>
      </c>
    </row>
    <row r="5387" spans="1:4" ht="12.75" customHeight="1" x14ac:dyDescent="0.2">
      <c r="A5387" s="21"/>
      <c r="B5387" s="21"/>
      <c r="C5387" s="4" t="s">
        <v>1494</v>
      </c>
      <c r="D5387" s="6" t="str">
        <f>HYPERLINK("javascript:void(0)","pálha")</f>
        <v>pálha</v>
      </c>
    </row>
    <row r="5388" spans="1:4" ht="12.75" customHeight="1" x14ac:dyDescent="0.2">
      <c r="A5388" s="5"/>
      <c r="B5388" s="2"/>
      <c r="C5388" s="2"/>
      <c r="D5388" s="2"/>
    </row>
    <row r="5389" spans="1:4" ht="12.75" customHeight="1" x14ac:dyDescent="0.2">
      <c r="A5389" s="22" t="str">
        <f>HYPERLINK("javascript:void(0)","gyújtóbunkó")</f>
        <v>gyújtóbunkó</v>
      </c>
      <c r="B5389" s="21"/>
      <c r="C5389" s="21"/>
      <c r="D5389" s="21"/>
    </row>
    <row r="5390" spans="1:4" ht="12.75" customHeight="1" x14ac:dyDescent="0.2">
      <c r="A5390" s="20"/>
      <c r="B5390" s="2"/>
      <c r="C5390" s="2"/>
      <c r="D5390" s="2"/>
    </row>
    <row r="5391" spans="1:4" ht="12.75" customHeight="1" x14ac:dyDescent="0.2">
      <c r="A5391" s="21"/>
      <c r="B5391" s="3" t="s">
        <v>0</v>
      </c>
      <c r="C5391" s="20" t="s">
        <v>999</v>
      </c>
      <c r="D5391" s="21"/>
    </row>
    <row r="5392" spans="1:4" ht="12.75" customHeight="1" x14ac:dyDescent="0.2">
      <c r="A5392" s="21"/>
      <c r="B5392" s="3" t="s">
        <v>2</v>
      </c>
      <c r="C5392" s="20" t="s">
        <v>122</v>
      </c>
      <c r="D5392" s="21"/>
    </row>
    <row r="5393" spans="1:4" ht="12.75" customHeight="1" x14ac:dyDescent="0.2">
      <c r="A5393" s="21"/>
      <c r="B5393" s="3" t="s">
        <v>4</v>
      </c>
      <c r="C5393" s="20" t="s">
        <v>1495</v>
      </c>
      <c r="D5393" s="21"/>
    </row>
    <row r="5394" spans="1:4" ht="12.75" customHeight="1" x14ac:dyDescent="0.2">
      <c r="A5394" s="21"/>
      <c r="B5394" s="3" t="s">
        <v>6</v>
      </c>
      <c r="C5394" s="20" t="s">
        <v>52</v>
      </c>
      <c r="D5394" s="21"/>
    </row>
    <row r="5395" spans="1:4" ht="12.75" customHeight="1" x14ac:dyDescent="0.2">
      <c r="A5395" s="21"/>
      <c r="B5395" s="3" t="s">
        <v>8</v>
      </c>
      <c r="C5395" s="20" t="s">
        <v>1495</v>
      </c>
      <c r="D5395" s="21"/>
    </row>
    <row r="5396" spans="1:4" ht="12.75" customHeight="1" x14ac:dyDescent="0.2">
      <c r="A5396" s="21"/>
      <c r="B5396" s="3" t="s">
        <v>9</v>
      </c>
      <c r="C5396" s="20" t="s">
        <v>1496</v>
      </c>
      <c r="D5396" s="21"/>
    </row>
    <row r="5397" spans="1:4" ht="12.75" customHeight="1" x14ac:dyDescent="0.2">
      <c r="A5397" s="21"/>
      <c r="B5397" s="3" t="s">
        <v>11</v>
      </c>
      <c r="C5397" s="20" t="s">
        <v>1026</v>
      </c>
      <c r="D5397" s="21"/>
    </row>
    <row r="5398" spans="1:4" ht="12.75" customHeight="1" x14ac:dyDescent="0.2">
      <c r="A5398" s="21"/>
      <c r="B5398" s="3" t="s">
        <v>13</v>
      </c>
      <c r="C5398" s="20" t="s">
        <v>24</v>
      </c>
      <c r="D5398" s="21"/>
    </row>
    <row r="5399" spans="1:4" ht="12.75" customHeight="1" x14ac:dyDescent="0.2">
      <c r="A5399" s="21"/>
      <c r="B5399" s="3" t="s">
        <v>15</v>
      </c>
      <c r="C5399" s="20" t="s">
        <v>24</v>
      </c>
      <c r="D5399" s="21"/>
    </row>
    <row r="5400" spans="1:4" ht="12.75" customHeight="1" x14ac:dyDescent="0.2">
      <c r="A5400" s="21"/>
      <c r="B5400" s="3" t="s">
        <v>16</v>
      </c>
      <c r="C5400" s="20"/>
      <c r="D5400" s="21"/>
    </row>
    <row r="5401" spans="1:4" ht="12.75" customHeight="1" x14ac:dyDescent="0.2">
      <c r="A5401" s="21"/>
      <c r="B5401" s="3" t="s">
        <v>17</v>
      </c>
      <c r="C5401" s="20"/>
      <c r="D5401" s="21"/>
    </row>
    <row r="5402" spans="1:4" ht="12.75" customHeight="1" x14ac:dyDescent="0.2">
      <c r="A5402" s="21"/>
      <c r="B5402" s="20" t="s">
        <v>18</v>
      </c>
      <c r="C5402" s="4" t="s">
        <v>44</v>
      </c>
      <c r="D5402" s="6" t="str">
        <f>HYPERLINK("javascript:void(0)","csápkalapács")</f>
        <v>csápkalapács</v>
      </c>
    </row>
    <row r="5403" spans="1:4" ht="12.75" customHeight="1" x14ac:dyDescent="0.2">
      <c r="A5403" s="21"/>
      <c r="B5403" s="21"/>
      <c r="C5403" s="4" t="s">
        <v>139</v>
      </c>
      <c r="D5403" s="6" t="str">
        <f>HYPERLINK("javascript:void(0)","rozmáragyar")</f>
        <v>rozmáragyar</v>
      </c>
    </row>
    <row r="5404" spans="1:4" ht="12.75" customHeight="1" x14ac:dyDescent="0.2">
      <c r="A5404" s="21"/>
      <c r="B5404" s="21"/>
      <c r="C5404" s="4" t="s">
        <v>98</v>
      </c>
      <c r="D5404" s="6" t="str">
        <f>HYPERLINK("javascript:void(0)","gyutacs")</f>
        <v>gyutacs</v>
      </c>
    </row>
    <row r="5405" spans="1:4" ht="12.75" customHeight="1" x14ac:dyDescent="0.2">
      <c r="A5405" s="5"/>
      <c r="B5405" s="2"/>
      <c r="C5405" s="2"/>
      <c r="D5405" s="2"/>
    </row>
    <row r="5406" spans="1:4" ht="12.75" customHeight="1" x14ac:dyDescent="0.2">
      <c r="A5406" s="22" t="str">
        <f>HYPERLINK("javascript:void(0)","gyutacsos mágusölő")</f>
        <v>gyutacsos mágusölő</v>
      </c>
      <c r="B5406" s="21"/>
      <c r="C5406" s="21"/>
      <c r="D5406" s="21"/>
    </row>
    <row r="5407" spans="1:4" ht="12.75" customHeight="1" x14ac:dyDescent="0.2">
      <c r="A5407" s="20"/>
      <c r="B5407" s="2"/>
      <c r="C5407" s="2"/>
      <c r="D5407" s="2"/>
    </row>
    <row r="5408" spans="1:4" ht="12.75" customHeight="1" x14ac:dyDescent="0.2">
      <c r="A5408" s="21"/>
      <c r="B5408" s="3" t="s">
        <v>0</v>
      </c>
      <c r="C5408" s="20" t="s">
        <v>999</v>
      </c>
      <c r="D5408" s="21"/>
    </row>
    <row r="5409" spans="1:4" ht="12.75" customHeight="1" x14ac:dyDescent="0.2">
      <c r="A5409" s="21"/>
      <c r="B5409" s="3" t="s">
        <v>2</v>
      </c>
      <c r="C5409" s="20" t="s">
        <v>122</v>
      </c>
      <c r="D5409" s="21"/>
    </row>
    <row r="5410" spans="1:4" ht="12.75" customHeight="1" x14ac:dyDescent="0.2">
      <c r="A5410" s="21"/>
      <c r="B5410" s="3" t="s">
        <v>4</v>
      </c>
      <c r="C5410" s="20" t="s">
        <v>1498</v>
      </c>
      <c r="D5410" s="21"/>
    </row>
    <row r="5411" spans="1:4" ht="12.75" customHeight="1" x14ac:dyDescent="0.2">
      <c r="A5411" s="21"/>
      <c r="B5411" s="3" t="s">
        <v>6</v>
      </c>
      <c r="C5411" s="20" t="s">
        <v>48</v>
      </c>
      <c r="D5411" s="21"/>
    </row>
    <row r="5412" spans="1:4" ht="12.75" customHeight="1" x14ac:dyDescent="0.2">
      <c r="A5412" s="21"/>
      <c r="B5412" s="3" t="s">
        <v>8</v>
      </c>
      <c r="C5412" s="20" t="s">
        <v>1498</v>
      </c>
      <c r="D5412" s="21"/>
    </row>
    <row r="5413" spans="1:4" ht="12.75" customHeight="1" x14ac:dyDescent="0.2">
      <c r="A5413" s="21"/>
      <c r="B5413" s="3" t="s">
        <v>9</v>
      </c>
      <c r="C5413" s="20" t="s">
        <v>1499</v>
      </c>
      <c r="D5413" s="21"/>
    </row>
    <row r="5414" spans="1:4" ht="12.75" customHeight="1" x14ac:dyDescent="0.2">
      <c r="A5414" s="21"/>
      <c r="B5414" s="3" t="s">
        <v>11</v>
      </c>
      <c r="C5414" s="20" t="s">
        <v>1500</v>
      </c>
      <c r="D5414" s="21"/>
    </row>
    <row r="5415" spans="1:4" ht="12.75" customHeight="1" x14ac:dyDescent="0.2">
      <c r="A5415" s="21"/>
      <c r="B5415" s="3" t="s">
        <v>13</v>
      </c>
      <c r="C5415" s="20" t="s">
        <v>14</v>
      </c>
      <c r="D5415" s="21"/>
    </row>
    <row r="5416" spans="1:4" ht="12.75" customHeight="1" x14ac:dyDescent="0.2">
      <c r="A5416" s="21"/>
      <c r="B5416" s="3" t="s">
        <v>15</v>
      </c>
      <c r="C5416" s="20" t="s">
        <v>24</v>
      </c>
      <c r="D5416" s="21"/>
    </row>
    <row r="5417" spans="1:4" ht="12.75" customHeight="1" x14ac:dyDescent="0.2">
      <c r="A5417" s="21"/>
      <c r="B5417" s="3" t="s">
        <v>16</v>
      </c>
      <c r="C5417" s="20"/>
      <c r="D5417" s="21"/>
    </row>
    <row r="5418" spans="1:4" ht="12.75" customHeight="1" x14ac:dyDescent="0.2">
      <c r="A5418" s="21"/>
      <c r="B5418" s="3" t="s">
        <v>17</v>
      </c>
      <c r="C5418" s="20"/>
      <c r="D5418" s="21"/>
    </row>
    <row r="5419" spans="1:4" ht="12.75" customHeight="1" x14ac:dyDescent="0.2">
      <c r="A5419" s="21"/>
      <c r="B5419" s="20" t="s">
        <v>18</v>
      </c>
      <c r="C5419" s="4" t="s">
        <v>894</v>
      </c>
      <c r="D5419" s="6" t="str">
        <f>HYPERLINK("javascript:void(0)","pálha")</f>
        <v>pálha</v>
      </c>
    </row>
    <row r="5420" spans="1:4" ht="12.75" customHeight="1" x14ac:dyDescent="0.2">
      <c r="A5420" s="21"/>
      <c r="B5420" s="21"/>
      <c r="C5420" s="4" t="s">
        <v>244</v>
      </c>
      <c r="D5420" s="6" t="str">
        <f>HYPERLINK("javascript:void(0)","gyutacs")</f>
        <v>gyutacs</v>
      </c>
    </row>
    <row r="5421" spans="1:4" ht="12.75" customHeight="1" x14ac:dyDescent="0.2">
      <c r="A5421" s="21"/>
      <c r="B5421" s="21"/>
      <c r="C5421" s="4" t="s">
        <v>269</v>
      </c>
      <c r="D5421" s="6" t="str">
        <f>HYPERLINK("javascript:void(0)","csapdaszeg")</f>
        <v>csapdaszeg</v>
      </c>
    </row>
    <row r="5422" spans="1:4" ht="12.75" customHeight="1" x14ac:dyDescent="0.2">
      <c r="A5422" s="5"/>
      <c r="B5422" s="2"/>
      <c r="C5422" s="2"/>
      <c r="D5422" s="2"/>
    </row>
    <row r="5423" spans="1:4" ht="12.75" customHeight="1" x14ac:dyDescent="0.2">
      <c r="A5423" s="22" t="str">
        <f>HYPERLINK("javascript:void(0)","démonkloffoló")</f>
        <v>démonkloffoló</v>
      </c>
      <c r="B5423" s="21"/>
      <c r="C5423" s="21"/>
      <c r="D5423" s="21"/>
    </row>
    <row r="5424" spans="1:4" ht="12.75" customHeight="1" x14ac:dyDescent="0.2">
      <c r="A5424" s="20"/>
      <c r="B5424" s="2"/>
      <c r="C5424" s="2"/>
      <c r="D5424" s="2"/>
    </row>
    <row r="5425" spans="1:4" ht="12.75" customHeight="1" x14ac:dyDescent="0.2">
      <c r="A5425" s="21"/>
      <c r="B5425" s="3" t="s">
        <v>0</v>
      </c>
      <c r="C5425" s="20" t="s">
        <v>1012</v>
      </c>
      <c r="D5425" s="21"/>
    </row>
    <row r="5426" spans="1:4" ht="12.75" customHeight="1" x14ac:dyDescent="0.2">
      <c r="A5426" s="21"/>
      <c r="B5426" s="3" t="s">
        <v>2</v>
      </c>
      <c r="C5426" s="20" t="s">
        <v>122</v>
      </c>
      <c r="D5426" s="21"/>
    </row>
    <row r="5427" spans="1:4" ht="12.75" customHeight="1" x14ac:dyDescent="0.2">
      <c r="A5427" s="21"/>
      <c r="B5427" s="3" t="s">
        <v>4</v>
      </c>
      <c r="C5427" s="20" t="s">
        <v>1501</v>
      </c>
      <c r="D5427" s="21"/>
    </row>
    <row r="5428" spans="1:4" ht="12.75" customHeight="1" x14ac:dyDescent="0.2">
      <c r="A5428" s="21"/>
      <c r="B5428" s="3" t="s">
        <v>6</v>
      </c>
      <c r="C5428" s="20" t="s">
        <v>298</v>
      </c>
      <c r="D5428" s="21"/>
    </row>
    <row r="5429" spans="1:4" ht="12.75" customHeight="1" x14ac:dyDescent="0.2">
      <c r="A5429" s="21"/>
      <c r="B5429" s="3" t="s">
        <v>8</v>
      </c>
      <c r="C5429" s="20" t="s">
        <v>1501</v>
      </c>
      <c r="D5429" s="21"/>
    </row>
    <row r="5430" spans="1:4" ht="12.75" customHeight="1" x14ac:dyDescent="0.2">
      <c r="A5430" s="21"/>
      <c r="B5430" s="3" t="s">
        <v>9</v>
      </c>
      <c r="C5430" s="20" t="s">
        <v>1503</v>
      </c>
      <c r="D5430" s="21"/>
    </row>
    <row r="5431" spans="1:4" ht="12.75" customHeight="1" x14ac:dyDescent="0.2">
      <c r="A5431" s="21"/>
      <c r="B5431" s="3" t="s">
        <v>11</v>
      </c>
      <c r="C5431" s="20" t="s">
        <v>1035</v>
      </c>
      <c r="D5431" s="21"/>
    </row>
    <row r="5432" spans="1:4" ht="12.75" customHeight="1" x14ac:dyDescent="0.2">
      <c r="A5432" s="21"/>
      <c r="B5432" s="3" t="s">
        <v>13</v>
      </c>
      <c r="C5432" s="20" t="s">
        <v>24</v>
      </c>
      <c r="D5432" s="21"/>
    </row>
    <row r="5433" spans="1:4" ht="12.75" customHeight="1" x14ac:dyDescent="0.2">
      <c r="A5433" s="21"/>
      <c r="B5433" s="3" t="s">
        <v>15</v>
      </c>
      <c r="C5433" s="20" t="s">
        <v>24</v>
      </c>
      <c r="D5433" s="21"/>
    </row>
    <row r="5434" spans="1:4" ht="12.75" customHeight="1" x14ac:dyDescent="0.2">
      <c r="A5434" s="21"/>
      <c r="B5434" s="3" t="s">
        <v>16</v>
      </c>
      <c r="C5434" s="20"/>
      <c r="D5434" s="21"/>
    </row>
    <row r="5435" spans="1:4" ht="12.75" customHeight="1" x14ac:dyDescent="0.2">
      <c r="A5435" s="21"/>
      <c r="B5435" s="3" t="s">
        <v>17</v>
      </c>
      <c r="C5435" s="20"/>
      <c r="D5435" s="21"/>
    </row>
    <row r="5436" spans="1:4" ht="12.75" customHeight="1" x14ac:dyDescent="0.2">
      <c r="A5436" s="21"/>
      <c r="B5436" s="20" t="s">
        <v>18</v>
      </c>
      <c r="C5436" s="4" t="s">
        <v>296</v>
      </c>
      <c r="D5436" s="6" t="str">
        <f>HYPERLINK("javascript:void(0)","pillepikkely")</f>
        <v>pillepikkely</v>
      </c>
    </row>
    <row r="5437" spans="1:4" ht="12.75" customHeight="1" x14ac:dyDescent="0.2">
      <c r="A5437" s="21"/>
      <c r="B5437" s="21"/>
      <c r="C5437" s="4" t="s">
        <v>244</v>
      </c>
      <c r="D5437" s="6" t="str">
        <f>HYPERLINK("javascript:void(0)","kártyalap")</f>
        <v>kártyalap</v>
      </c>
    </row>
    <row r="5438" spans="1:4" ht="12.75" customHeight="1" x14ac:dyDescent="0.2">
      <c r="A5438" s="21"/>
      <c r="B5438" s="21"/>
      <c r="C5438" s="4" t="s">
        <v>132</v>
      </c>
      <c r="D5438" s="6" t="str">
        <f>HYPERLINK("javascript:void(0)","toplaty")</f>
        <v>toplaty</v>
      </c>
    </row>
    <row r="5439" spans="1:4" ht="12.75" customHeight="1" x14ac:dyDescent="0.2">
      <c r="A5439" s="5"/>
      <c r="B5439" s="2"/>
      <c r="C5439" s="2"/>
      <c r="D5439" s="2"/>
    </row>
    <row r="5440" spans="1:4" ht="12.75" customHeight="1" x14ac:dyDescent="0.2">
      <c r="A5440" s="22" t="str">
        <f>HYPERLINK("javascript:void(0)","gyíkacél fejtörő")</f>
        <v>gyíkacél fejtörő</v>
      </c>
      <c r="B5440" s="21"/>
      <c r="C5440" s="21"/>
      <c r="D5440" s="21"/>
    </row>
    <row r="5441" spans="1:4" ht="12.75" customHeight="1" x14ac:dyDescent="0.2">
      <c r="A5441" s="20"/>
      <c r="B5441" s="2"/>
      <c r="C5441" s="2"/>
      <c r="D5441" s="2"/>
    </row>
    <row r="5442" spans="1:4" ht="12.75" customHeight="1" x14ac:dyDescent="0.2">
      <c r="A5442" s="21"/>
      <c r="B5442" s="3" t="s">
        <v>0</v>
      </c>
      <c r="C5442" s="20" t="s">
        <v>1012</v>
      </c>
      <c r="D5442" s="21"/>
    </row>
    <row r="5443" spans="1:4" ht="12.75" customHeight="1" x14ac:dyDescent="0.2">
      <c r="A5443" s="21"/>
      <c r="B5443" s="3" t="s">
        <v>2</v>
      </c>
      <c r="C5443" s="20" t="s">
        <v>122</v>
      </c>
      <c r="D5443" s="21"/>
    </row>
    <row r="5444" spans="1:4" ht="12.75" customHeight="1" x14ac:dyDescent="0.2">
      <c r="A5444" s="21"/>
      <c r="B5444" s="3" t="s">
        <v>4</v>
      </c>
      <c r="C5444" s="20" t="s">
        <v>1504</v>
      </c>
      <c r="D5444" s="21"/>
    </row>
    <row r="5445" spans="1:4" ht="12.75" customHeight="1" x14ac:dyDescent="0.2">
      <c r="A5445" s="21"/>
      <c r="B5445" s="3" t="s">
        <v>6</v>
      </c>
      <c r="C5445" s="20" t="s">
        <v>107</v>
      </c>
      <c r="D5445" s="21"/>
    </row>
    <row r="5446" spans="1:4" ht="12.75" customHeight="1" x14ac:dyDescent="0.2">
      <c r="A5446" s="21"/>
      <c r="B5446" s="3" t="s">
        <v>8</v>
      </c>
      <c r="C5446" s="20" t="s">
        <v>1504</v>
      </c>
      <c r="D5446" s="21"/>
    </row>
    <row r="5447" spans="1:4" ht="12.75" customHeight="1" x14ac:dyDescent="0.2">
      <c r="A5447" s="21"/>
      <c r="B5447" s="3" t="s">
        <v>9</v>
      </c>
      <c r="C5447" s="20" t="s">
        <v>1505</v>
      </c>
      <c r="D5447" s="21"/>
    </row>
    <row r="5448" spans="1:4" ht="12.75" customHeight="1" x14ac:dyDescent="0.2">
      <c r="A5448" s="21"/>
      <c r="B5448" s="3" t="s">
        <v>11</v>
      </c>
      <c r="C5448" s="20" t="s">
        <v>770</v>
      </c>
      <c r="D5448" s="21"/>
    </row>
    <row r="5449" spans="1:4" ht="12.75" customHeight="1" x14ac:dyDescent="0.2">
      <c r="A5449" s="21"/>
      <c r="B5449" s="3" t="s">
        <v>13</v>
      </c>
      <c r="C5449" s="20" t="s">
        <v>24</v>
      </c>
      <c r="D5449" s="21"/>
    </row>
    <row r="5450" spans="1:4" ht="12.75" customHeight="1" x14ac:dyDescent="0.2">
      <c r="A5450" s="21"/>
      <c r="B5450" s="3" t="s">
        <v>15</v>
      </c>
      <c r="C5450" s="20" t="s">
        <v>24</v>
      </c>
      <c r="D5450" s="21"/>
    </row>
    <row r="5451" spans="1:4" ht="12.75" customHeight="1" x14ac:dyDescent="0.2">
      <c r="A5451" s="21"/>
      <c r="B5451" s="3" t="s">
        <v>16</v>
      </c>
      <c r="C5451" s="20"/>
      <c r="D5451" s="21"/>
    </row>
    <row r="5452" spans="1:4" ht="12.75" customHeight="1" x14ac:dyDescent="0.2">
      <c r="A5452" s="21"/>
      <c r="B5452" s="3" t="s">
        <v>17</v>
      </c>
      <c r="C5452" s="20"/>
      <c r="D5452" s="21"/>
    </row>
    <row r="5453" spans="1:4" ht="12.75" customHeight="1" x14ac:dyDescent="0.2">
      <c r="A5453" s="21"/>
      <c r="B5453" s="20" t="s">
        <v>18</v>
      </c>
      <c r="C5453" s="4" t="s">
        <v>780</v>
      </c>
      <c r="D5453" s="6" t="str">
        <f>HYPERLINK("javascript:void(0)","mágnes")</f>
        <v>mágnes</v>
      </c>
    </row>
    <row r="5454" spans="1:4" ht="12.75" customHeight="1" x14ac:dyDescent="0.2">
      <c r="A5454" s="21"/>
      <c r="B5454" s="21"/>
      <c r="C5454" s="4" t="s">
        <v>98</v>
      </c>
      <c r="D5454" s="6" t="str">
        <f>HYPERLINK("javascript:void(0)","lexikon")</f>
        <v>lexikon</v>
      </c>
    </row>
    <row r="5455" spans="1:4" ht="12.75" customHeight="1" x14ac:dyDescent="0.2">
      <c r="A5455" s="21"/>
      <c r="B5455" s="21"/>
      <c r="C5455" s="4" t="s">
        <v>244</v>
      </c>
      <c r="D5455" s="6" t="str">
        <f>HYPERLINK("javascript:void(0)","vízige")</f>
        <v>vízige</v>
      </c>
    </row>
    <row r="5456" spans="1:4" ht="12.75" customHeight="1" x14ac:dyDescent="0.2">
      <c r="A5456" s="5"/>
      <c r="B5456" s="2"/>
      <c r="C5456" s="2"/>
      <c r="D5456" s="2"/>
    </row>
    <row r="5457" spans="1:4" ht="12.75" customHeight="1" x14ac:dyDescent="0.2">
      <c r="A5457" s="22" t="str">
        <f>HYPERLINK("javascript:void(0)","gólemfurkós")</f>
        <v>gólemfurkós</v>
      </c>
      <c r="B5457" s="21"/>
      <c r="C5457" s="21"/>
      <c r="D5457" s="21"/>
    </row>
    <row r="5458" spans="1:4" ht="12.75" customHeight="1" x14ac:dyDescent="0.2">
      <c r="A5458" s="20"/>
      <c r="B5458" s="2"/>
      <c r="C5458" s="2"/>
      <c r="D5458" s="2"/>
    </row>
    <row r="5459" spans="1:4" ht="12.75" customHeight="1" x14ac:dyDescent="0.2">
      <c r="A5459" s="21"/>
      <c r="B5459" s="3" t="s">
        <v>0</v>
      </c>
      <c r="C5459" s="20" t="s">
        <v>91</v>
      </c>
      <c r="D5459" s="21"/>
    </row>
    <row r="5460" spans="1:4" ht="12.75" customHeight="1" x14ac:dyDescent="0.2">
      <c r="A5460" s="21"/>
      <c r="B5460" s="3" t="s">
        <v>2</v>
      </c>
      <c r="C5460" s="20" t="s">
        <v>122</v>
      </c>
      <c r="D5460" s="21"/>
    </row>
    <row r="5461" spans="1:4" ht="12.75" customHeight="1" x14ac:dyDescent="0.2">
      <c r="A5461" s="21"/>
      <c r="B5461" s="3" t="s">
        <v>4</v>
      </c>
      <c r="C5461" s="20" t="s">
        <v>1506</v>
      </c>
      <c r="D5461" s="21"/>
    </row>
    <row r="5462" spans="1:4" ht="12.75" customHeight="1" x14ac:dyDescent="0.2">
      <c r="A5462" s="21"/>
      <c r="B5462" s="3" t="s">
        <v>6</v>
      </c>
      <c r="C5462" s="20" t="s">
        <v>392</v>
      </c>
      <c r="D5462" s="21"/>
    </row>
    <row r="5463" spans="1:4" ht="12.75" customHeight="1" x14ac:dyDescent="0.2">
      <c r="A5463" s="21"/>
      <c r="B5463" s="3" t="s">
        <v>8</v>
      </c>
      <c r="C5463" s="20" t="s">
        <v>1506</v>
      </c>
      <c r="D5463" s="21"/>
    </row>
    <row r="5464" spans="1:4" ht="12.75" customHeight="1" x14ac:dyDescent="0.2">
      <c r="A5464" s="21"/>
      <c r="B5464" s="3" t="s">
        <v>9</v>
      </c>
      <c r="C5464" s="20" t="s">
        <v>1152</v>
      </c>
      <c r="D5464" s="21"/>
    </row>
    <row r="5465" spans="1:4" ht="12.75" customHeight="1" x14ac:dyDescent="0.2">
      <c r="A5465" s="21"/>
      <c r="B5465" s="3" t="s">
        <v>11</v>
      </c>
      <c r="C5465" s="20" t="s">
        <v>1043</v>
      </c>
      <c r="D5465" s="21"/>
    </row>
    <row r="5466" spans="1:4" ht="12.75" customHeight="1" x14ac:dyDescent="0.2">
      <c r="A5466" s="21"/>
      <c r="B5466" s="3" t="s">
        <v>13</v>
      </c>
      <c r="C5466" s="20" t="s">
        <v>24</v>
      </c>
      <c r="D5466" s="21"/>
    </row>
    <row r="5467" spans="1:4" ht="12.75" customHeight="1" x14ac:dyDescent="0.2">
      <c r="A5467" s="21"/>
      <c r="B5467" s="3" t="s">
        <v>15</v>
      </c>
      <c r="C5467" s="20" t="s">
        <v>24</v>
      </c>
      <c r="D5467" s="21"/>
    </row>
    <row r="5468" spans="1:4" ht="12.75" customHeight="1" x14ac:dyDescent="0.2">
      <c r="A5468" s="21"/>
      <c r="B5468" s="3" t="s">
        <v>16</v>
      </c>
      <c r="C5468" s="20"/>
      <c r="D5468" s="21"/>
    </row>
    <row r="5469" spans="1:4" ht="12.75" customHeight="1" x14ac:dyDescent="0.2">
      <c r="A5469" s="21"/>
      <c r="B5469" s="3" t="s">
        <v>17</v>
      </c>
      <c r="C5469" s="20"/>
      <c r="D5469" s="21"/>
    </row>
    <row r="5470" spans="1:4" ht="12.75" customHeight="1" x14ac:dyDescent="0.2">
      <c r="A5470" s="21"/>
      <c r="B5470" s="20" t="s">
        <v>18</v>
      </c>
      <c r="C5470" s="4" t="s">
        <v>44</v>
      </c>
      <c r="D5470" s="6" t="str">
        <f>HYPERLINK("javascript:void(0)","gyújtóbunkó")</f>
        <v>gyújtóbunkó</v>
      </c>
    </row>
    <row r="5471" spans="1:4" ht="12.75" customHeight="1" x14ac:dyDescent="0.2">
      <c r="A5471" s="21"/>
      <c r="B5471" s="21"/>
      <c r="C5471" s="4" t="s">
        <v>44</v>
      </c>
      <c r="D5471" s="6" t="str">
        <f>HYPERLINK("javascript:void(0)","démonkloffoló")</f>
        <v>démonkloffoló</v>
      </c>
    </row>
    <row r="5472" spans="1:4" ht="12.75" customHeight="1" x14ac:dyDescent="0.2">
      <c r="A5472" s="21"/>
      <c r="B5472" s="21"/>
      <c r="C5472" s="4" t="s">
        <v>44</v>
      </c>
      <c r="D5472" s="6" t="str">
        <f>HYPERLINK("javascript:void(0)","törpenyél")</f>
        <v>törpenyél</v>
      </c>
    </row>
    <row r="5473" spans="1:4" ht="12.75" customHeight="1" x14ac:dyDescent="0.2">
      <c r="A5473" s="5"/>
      <c r="B5473" s="2"/>
      <c r="C5473" s="2"/>
      <c r="D5473" s="2"/>
    </row>
    <row r="5474" spans="1:4" ht="12.75" customHeight="1" x14ac:dyDescent="0.2">
      <c r="A5474" s="22" t="str">
        <f>HYPERLINK("javascript:void(0)","rojtos mágusölő")</f>
        <v>rojtos mágusölő</v>
      </c>
      <c r="B5474" s="21"/>
      <c r="C5474" s="21"/>
      <c r="D5474" s="21"/>
    </row>
    <row r="5475" spans="1:4" ht="12.75" customHeight="1" x14ac:dyDescent="0.2">
      <c r="A5475" s="20"/>
      <c r="B5475" s="2"/>
      <c r="C5475" s="2"/>
      <c r="D5475" s="2"/>
    </row>
    <row r="5476" spans="1:4" ht="12.75" customHeight="1" x14ac:dyDescent="0.2">
      <c r="A5476" s="21"/>
      <c r="B5476" s="3" t="s">
        <v>0</v>
      </c>
      <c r="C5476" s="20" t="s">
        <v>91</v>
      </c>
      <c r="D5476" s="21"/>
    </row>
    <row r="5477" spans="1:4" ht="12.75" customHeight="1" x14ac:dyDescent="0.2">
      <c r="A5477" s="21"/>
      <c r="B5477" s="3" t="s">
        <v>2</v>
      </c>
      <c r="C5477" s="20" t="s">
        <v>122</v>
      </c>
      <c r="D5477" s="21"/>
    </row>
    <row r="5478" spans="1:4" ht="12.75" customHeight="1" x14ac:dyDescent="0.2">
      <c r="A5478" s="21"/>
      <c r="B5478" s="3" t="s">
        <v>4</v>
      </c>
      <c r="C5478" s="20" t="s">
        <v>1507</v>
      </c>
      <c r="D5478" s="21"/>
    </row>
    <row r="5479" spans="1:4" ht="12.75" customHeight="1" x14ac:dyDescent="0.2">
      <c r="A5479" s="21"/>
      <c r="B5479" s="3" t="s">
        <v>6</v>
      </c>
      <c r="C5479" s="20" t="s">
        <v>48</v>
      </c>
      <c r="D5479" s="21"/>
    </row>
    <row r="5480" spans="1:4" ht="12.75" customHeight="1" x14ac:dyDescent="0.2">
      <c r="A5480" s="21"/>
      <c r="B5480" s="3" t="s">
        <v>8</v>
      </c>
      <c r="C5480" s="20" t="s">
        <v>1507</v>
      </c>
      <c r="D5480" s="21"/>
    </row>
    <row r="5481" spans="1:4" ht="12.75" customHeight="1" x14ac:dyDescent="0.2">
      <c r="A5481" s="21"/>
      <c r="B5481" s="3" t="s">
        <v>9</v>
      </c>
      <c r="C5481" s="20" t="s">
        <v>1508</v>
      </c>
      <c r="D5481" s="21"/>
    </row>
    <row r="5482" spans="1:4" ht="12.75" customHeight="1" x14ac:dyDescent="0.2">
      <c r="A5482" s="21"/>
      <c r="B5482" s="3" t="s">
        <v>11</v>
      </c>
      <c r="C5482" s="20" t="s">
        <v>1509</v>
      </c>
      <c r="D5482" s="21"/>
    </row>
    <row r="5483" spans="1:4" ht="12.75" customHeight="1" x14ac:dyDescent="0.2">
      <c r="A5483" s="21"/>
      <c r="B5483" s="3" t="s">
        <v>13</v>
      </c>
      <c r="C5483" s="20" t="s">
        <v>14</v>
      </c>
      <c r="D5483" s="21"/>
    </row>
    <row r="5484" spans="1:4" ht="12.75" customHeight="1" x14ac:dyDescent="0.2">
      <c r="A5484" s="21"/>
      <c r="B5484" s="3" t="s">
        <v>15</v>
      </c>
      <c r="C5484" s="20" t="s">
        <v>24</v>
      </c>
      <c r="D5484" s="21"/>
    </row>
    <row r="5485" spans="1:4" ht="12.75" customHeight="1" x14ac:dyDescent="0.2">
      <c r="A5485" s="21"/>
      <c r="B5485" s="3" t="s">
        <v>16</v>
      </c>
      <c r="C5485" s="20"/>
      <c r="D5485" s="21"/>
    </row>
    <row r="5486" spans="1:4" ht="12.75" customHeight="1" x14ac:dyDescent="0.2">
      <c r="A5486" s="21"/>
      <c r="B5486" s="3" t="s">
        <v>17</v>
      </c>
      <c r="C5486" s="20"/>
      <c r="D5486" s="21"/>
    </row>
    <row r="5487" spans="1:4" ht="12.75" customHeight="1" x14ac:dyDescent="0.2">
      <c r="A5487" s="21"/>
      <c r="B5487" s="20" t="s">
        <v>18</v>
      </c>
      <c r="C5487" s="4" t="s">
        <v>369</v>
      </c>
      <c r="D5487" s="6" t="str">
        <f>HYPERLINK("javascript:void(0)","harmatcsepp")</f>
        <v>harmatcsepp</v>
      </c>
    </row>
    <row r="5488" spans="1:4" ht="12.75" customHeight="1" x14ac:dyDescent="0.2">
      <c r="A5488" s="21"/>
      <c r="B5488" s="21"/>
      <c r="C5488" s="4" t="s">
        <v>309</v>
      </c>
      <c r="D5488" s="6" t="str">
        <f>HYPERLINK("javascript:void(0)","rojt")</f>
        <v>rojt</v>
      </c>
    </row>
    <row r="5489" spans="1:4" ht="12.75" customHeight="1" x14ac:dyDescent="0.2">
      <c r="A5489" s="21"/>
      <c r="B5489" s="21"/>
      <c r="C5489" s="4" t="s">
        <v>894</v>
      </c>
      <c r="D5489" s="6" t="str">
        <f>HYPERLINK("javascript:void(0)","pillepikkely")</f>
        <v>pillepikkely</v>
      </c>
    </row>
    <row r="5490" spans="1:4" ht="12.75" customHeight="1" x14ac:dyDescent="0.2">
      <c r="A5490" s="5"/>
      <c r="B5490" s="2"/>
      <c r="C5490" s="2"/>
      <c r="D5490" s="2"/>
    </row>
    <row r="5491" spans="1:4" ht="12.75" customHeight="1" x14ac:dyDescent="0.2">
      <c r="A5491" s="22" t="str">
        <f>HYPERLINK("javascript:void(0)","törpenyél")</f>
        <v>törpenyél</v>
      </c>
      <c r="B5491" s="21"/>
      <c r="C5491" s="21"/>
      <c r="D5491" s="21"/>
    </row>
    <row r="5492" spans="1:4" ht="12.75" customHeight="1" x14ac:dyDescent="0.2">
      <c r="A5492" s="20"/>
      <c r="B5492" s="2"/>
      <c r="C5492" s="2"/>
      <c r="D5492" s="2"/>
    </row>
    <row r="5493" spans="1:4" ht="12.75" customHeight="1" x14ac:dyDescent="0.2">
      <c r="A5493" s="21"/>
      <c r="B5493" s="3" t="s">
        <v>0</v>
      </c>
      <c r="C5493" s="20" t="s">
        <v>91</v>
      </c>
      <c r="D5493" s="21"/>
    </row>
    <row r="5494" spans="1:4" ht="12.75" customHeight="1" x14ac:dyDescent="0.2">
      <c r="A5494" s="21"/>
      <c r="B5494" s="3" t="s">
        <v>2</v>
      </c>
      <c r="C5494" s="20" t="s">
        <v>122</v>
      </c>
      <c r="D5494" s="21"/>
    </row>
    <row r="5495" spans="1:4" ht="12.75" customHeight="1" x14ac:dyDescent="0.2">
      <c r="A5495" s="21"/>
      <c r="B5495" s="3" t="s">
        <v>4</v>
      </c>
      <c r="C5495" s="20" t="s">
        <v>1478</v>
      </c>
      <c r="D5495" s="21"/>
    </row>
    <row r="5496" spans="1:4" ht="12.75" customHeight="1" x14ac:dyDescent="0.2">
      <c r="A5496" s="21"/>
      <c r="B5496" s="3" t="s">
        <v>6</v>
      </c>
      <c r="C5496" s="20" t="s">
        <v>21</v>
      </c>
      <c r="D5496" s="21"/>
    </row>
    <row r="5497" spans="1:4" ht="12.75" customHeight="1" x14ac:dyDescent="0.2">
      <c r="A5497" s="21"/>
      <c r="B5497" s="3" t="s">
        <v>8</v>
      </c>
      <c r="C5497" s="20" t="s">
        <v>1478</v>
      </c>
      <c r="D5497" s="21"/>
    </row>
    <row r="5498" spans="1:4" ht="12.75" customHeight="1" x14ac:dyDescent="0.2">
      <c r="A5498" s="21"/>
      <c r="B5498" s="3" t="s">
        <v>9</v>
      </c>
      <c r="C5498" s="20" t="s">
        <v>955</v>
      </c>
      <c r="D5498" s="21"/>
    </row>
    <row r="5499" spans="1:4" ht="12.75" customHeight="1" x14ac:dyDescent="0.2">
      <c r="A5499" s="21"/>
      <c r="B5499" s="3" t="s">
        <v>11</v>
      </c>
      <c r="C5499" s="20" t="s">
        <v>1159</v>
      </c>
      <c r="D5499" s="21"/>
    </row>
    <row r="5500" spans="1:4" ht="12.75" customHeight="1" x14ac:dyDescent="0.2">
      <c r="A5500" s="21"/>
      <c r="B5500" s="3" t="s">
        <v>13</v>
      </c>
      <c r="C5500" s="20" t="s">
        <v>24</v>
      </c>
      <c r="D5500" s="21"/>
    </row>
    <row r="5501" spans="1:4" ht="12.75" customHeight="1" x14ac:dyDescent="0.2">
      <c r="A5501" s="21"/>
      <c r="B5501" s="3" t="s">
        <v>15</v>
      </c>
      <c r="C5501" s="20" t="s">
        <v>24</v>
      </c>
      <c r="D5501" s="21"/>
    </row>
    <row r="5502" spans="1:4" ht="12.75" customHeight="1" x14ac:dyDescent="0.2">
      <c r="A5502" s="21"/>
      <c r="B5502" s="3" t="s">
        <v>16</v>
      </c>
      <c r="C5502" s="20"/>
      <c r="D5502" s="21"/>
    </row>
    <row r="5503" spans="1:4" ht="12.75" customHeight="1" x14ac:dyDescent="0.2">
      <c r="A5503" s="21"/>
      <c r="B5503" s="3" t="s">
        <v>17</v>
      </c>
      <c r="C5503" s="20"/>
      <c r="D5503" s="21"/>
    </row>
    <row r="5504" spans="1:4" ht="12.75" customHeight="1" x14ac:dyDescent="0.2">
      <c r="A5504" s="21"/>
      <c r="B5504" s="20" t="s">
        <v>18</v>
      </c>
      <c r="C5504" s="4" t="s">
        <v>117</v>
      </c>
      <c r="D5504" s="6" t="str">
        <f>HYPERLINK("javascript:void(0)","lexikon")</f>
        <v>lexikon</v>
      </c>
    </row>
    <row r="5505" spans="1:4" ht="12.75" customHeight="1" x14ac:dyDescent="0.2">
      <c r="A5505" s="21"/>
      <c r="B5505" s="21"/>
      <c r="C5505" s="4" t="s">
        <v>68</v>
      </c>
      <c r="D5505" s="6" t="str">
        <f>HYPERLINK("javascript:void(0)","gólemamulett")</f>
        <v>gólemamulett</v>
      </c>
    </row>
    <row r="5506" spans="1:4" ht="12.75" customHeight="1" x14ac:dyDescent="0.2">
      <c r="A5506" s="21"/>
      <c r="B5506" s="21"/>
      <c r="C5506" s="4" t="s">
        <v>786</v>
      </c>
      <c r="D5506" s="6" t="str">
        <f>HYPERLINK("javascript:void(0)","pálha")</f>
        <v>pálha</v>
      </c>
    </row>
    <row r="5507" spans="1:4" ht="12.75" customHeight="1" x14ac:dyDescent="0.2">
      <c r="A5507" s="5"/>
      <c r="B5507" s="2"/>
      <c r="C5507" s="2"/>
      <c r="D5507" s="2"/>
    </row>
    <row r="5508" spans="1:4" ht="12.75" customHeight="1" x14ac:dyDescent="0.2">
      <c r="A5508" s="22" t="str">
        <f>HYPERLINK("javascript:void(0)","haragkalapács")</f>
        <v>haragkalapács</v>
      </c>
      <c r="B5508" s="21"/>
      <c r="C5508" s="21"/>
      <c r="D5508" s="21"/>
    </row>
    <row r="5509" spans="1:4" ht="12.75" customHeight="1" x14ac:dyDescent="0.2">
      <c r="A5509" s="20"/>
      <c r="B5509" s="2"/>
      <c r="C5509" s="2"/>
      <c r="D5509" s="2"/>
    </row>
    <row r="5510" spans="1:4" ht="12.75" customHeight="1" x14ac:dyDescent="0.2">
      <c r="A5510" s="21"/>
      <c r="B5510" s="3" t="s">
        <v>0</v>
      </c>
      <c r="C5510" s="20" t="s">
        <v>1032</v>
      </c>
      <c r="D5510" s="21"/>
    </row>
    <row r="5511" spans="1:4" ht="12.75" customHeight="1" x14ac:dyDescent="0.2">
      <c r="A5511" s="21"/>
      <c r="B5511" s="3" t="s">
        <v>2</v>
      </c>
      <c r="C5511" s="20" t="s">
        <v>122</v>
      </c>
      <c r="D5511" s="21"/>
    </row>
    <row r="5512" spans="1:4" ht="12.75" customHeight="1" x14ac:dyDescent="0.2">
      <c r="A5512" s="21"/>
      <c r="B5512" s="3" t="s">
        <v>4</v>
      </c>
      <c r="C5512" s="20" t="s">
        <v>1513</v>
      </c>
      <c r="D5512" s="21"/>
    </row>
    <row r="5513" spans="1:4" ht="12.75" customHeight="1" x14ac:dyDescent="0.2">
      <c r="A5513" s="21"/>
      <c r="B5513" s="3" t="s">
        <v>6</v>
      </c>
      <c r="C5513" s="20" t="s">
        <v>178</v>
      </c>
      <c r="D5513" s="21"/>
    </row>
    <row r="5514" spans="1:4" ht="12.75" customHeight="1" x14ac:dyDescent="0.2">
      <c r="A5514" s="21"/>
      <c r="B5514" s="3" t="s">
        <v>8</v>
      </c>
      <c r="C5514" s="20" t="s">
        <v>1513</v>
      </c>
      <c r="D5514" s="21"/>
    </row>
    <row r="5515" spans="1:4" ht="12.75" customHeight="1" x14ac:dyDescent="0.2">
      <c r="A5515" s="21"/>
      <c r="B5515" s="3" t="s">
        <v>9</v>
      </c>
      <c r="C5515" s="20" t="s">
        <v>972</v>
      </c>
      <c r="D5515" s="21"/>
    </row>
    <row r="5516" spans="1:4" ht="12.75" customHeight="1" x14ac:dyDescent="0.2">
      <c r="A5516" s="21"/>
      <c r="B5516" s="3" t="s">
        <v>11</v>
      </c>
      <c r="C5516" s="20" t="s">
        <v>1055</v>
      </c>
      <c r="D5516" s="21"/>
    </row>
    <row r="5517" spans="1:4" ht="12.75" customHeight="1" x14ac:dyDescent="0.2">
      <c r="A5517" s="21"/>
      <c r="B5517" s="3" t="s">
        <v>13</v>
      </c>
      <c r="C5517" s="20" t="s">
        <v>24</v>
      </c>
      <c r="D5517" s="21"/>
    </row>
    <row r="5518" spans="1:4" ht="12.75" customHeight="1" x14ac:dyDescent="0.2">
      <c r="A5518" s="21"/>
      <c r="B5518" s="3" t="s">
        <v>15</v>
      </c>
      <c r="C5518" s="20" t="s">
        <v>24</v>
      </c>
      <c r="D5518" s="21"/>
    </row>
    <row r="5519" spans="1:4" ht="12.75" customHeight="1" x14ac:dyDescent="0.2">
      <c r="A5519" s="21"/>
      <c r="B5519" s="3" t="s">
        <v>16</v>
      </c>
      <c r="C5519" s="20"/>
      <c r="D5519" s="21"/>
    </row>
    <row r="5520" spans="1:4" ht="12.75" customHeight="1" x14ac:dyDescent="0.2">
      <c r="A5520" s="21"/>
      <c r="B5520" s="3" t="s">
        <v>17</v>
      </c>
      <c r="C5520" s="20"/>
      <c r="D5520" s="21"/>
    </row>
    <row r="5521" spans="1:4" ht="12.75" customHeight="1" x14ac:dyDescent="0.2">
      <c r="A5521" s="21"/>
      <c r="B5521" s="20" t="s">
        <v>18</v>
      </c>
      <c r="C5521" s="4" t="s">
        <v>102</v>
      </c>
      <c r="D5521" s="6" t="str">
        <f>HYPERLINK("javascript:void(0)","békítő")</f>
        <v>békítő</v>
      </c>
    </row>
    <row r="5522" spans="1:4" ht="12.75" customHeight="1" x14ac:dyDescent="0.2">
      <c r="A5522" s="21"/>
      <c r="B5522" s="21"/>
      <c r="C5522" s="4" t="s">
        <v>327</v>
      </c>
      <c r="D5522" s="6" t="str">
        <f>HYPERLINK("javascript:void(0)","pillepikkely")</f>
        <v>pillepikkely</v>
      </c>
    </row>
    <row r="5523" spans="1:4" ht="12.75" customHeight="1" x14ac:dyDescent="0.2">
      <c r="A5523" s="21"/>
      <c r="B5523" s="21"/>
      <c r="C5523" s="4" t="s">
        <v>44</v>
      </c>
      <c r="D5523" s="6" t="str">
        <f>HYPERLINK("javascript:void(0)","gólemfurkós")</f>
        <v>gólemfurkós</v>
      </c>
    </row>
    <row r="5524" spans="1:4" ht="12.75" customHeight="1" x14ac:dyDescent="0.2">
      <c r="A5524" s="5"/>
      <c r="B5524" s="2"/>
      <c r="C5524" s="2"/>
      <c r="D5524" s="2"/>
    </row>
    <row r="5525" spans="1:4" ht="12.75" customHeight="1" x14ac:dyDescent="0.2">
      <c r="A5525" s="22" t="str">
        <f>HYPERLINK("javascript:void(0)","gyíkacél démonverő")</f>
        <v>gyíkacél démonverő</v>
      </c>
      <c r="B5525" s="21"/>
      <c r="C5525" s="21"/>
      <c r="D5525" s="21"/>
    </row>
    <row r="5526" spans="1:4" ht="12.75" customHeight="1" x14ac:dyDescent="0.2">
      <c r="A5526" s="20"/>
      <c r="B5526" s="2"/>
      <c r="C5526" s="2"/>
      <c r="D5526" s="2"/>
    </row>
    <row r="5527" spans="1:4" ht="12.75" customHeight="1" x14ac:dyDescent="0.2">
      <c r="A5527" s="21"/>
      <c r="B5527" s="3" t="s">
        <v>0</v>
      </c>
      <c r="C5527" s="20" t="s">
        <v>1032</v>
      </c>
      <c r="D5527" s="21"/>
    </row>
    <row r="5528" spans="1:4" ht="12.75" customHeight="1" x14ac:dyDescent="0.2">
      <c r="A5528" s="21"/>
      <c r="B5528" s="3" t="s">
        <v>2</v>
      </c>
      <c r="C5528" s="20" t="s">
        <v>122</v>
      </c>
      <c r="D5528" s="21"/>
    </row>
    <row r="5529" spans="1:4" ht="12.75" customHeight="1" x14ac:dyDescent="0.2">
      <c r="A5529" s="21"/>
      <c r="B5529" s="3" t="s">
        <v>4</v>
      </c>
      <c r="C5529" s="20" t="s">
        <v>1514</v>
      </c>
      <c r="D5529" s="21"/>
    </row>
    <row r="5530" spans="1:4" ht="12.75" customHeight="1" x14ac:dyDescent="0.2">
      <c r="A5530" s="21"/>
      <c r="B5530" s="3" t="s">
        <v>6</v>
      </c>
      <c r="C5530" s="20" t="s">
        <v>107</v>
      </c>
      <c r="D5530" s="21"/>
    </row>
    <row r="5531" spans="1:4" ht="12.75" customHeight="1" x14ac:dyDescent="0.2">
      <c r="A5531" s="21"/>
      <c r="B5531" s="3" t="s">
        <v>8</v>
      </c>
      <c r="C5531" s="20" t="s">
        <v>1514</v>
      </c>
      <c r="D5531" s="21"/>
    </row>
    <row r="5532" spans="1:4" ht="12.75" customHeight="1" x14ac:dyDescent="0.2">
      <c r="A5532" s="21"/>
      <c r="B5532" s="3" t="s">
        <v>9</v>
      </c>
      <c r="C5532" s="20" t="s">
        <v>1515</v>
      </c>
      <c r="D5532" s="21"/>
    </row>
    <row r="5533" spans="1:4" ht="12.75" customHeight="1" x14ac:dyDescent="0.2">
      <c r="A5533" s="21"/>
      <c r="B5533" s="3" t="s">
        <v>11</v>
      </c>
      <c r="C5533" s="20" t="s">
        <v>779</v>
      </c>
      <c r="D5533" s="21"/>
    </row>
    <row r="5534" spans="1:4" ht="12.75" customHeight="1" x14ac:dyDescent="0.2">
      <c r="A5534" s="21"/>
      <c r="B5534" s="3" t="s">
        <v>13</v>
      </c>
      <c r="C5534" s="20" t="s">
        <v>24</v>
      </c>
      <c r="D5534" s="21"/>
    </row>
    <row r="5535" spans="1:4" ht="12.75" customHeight="1" x14ac:dyDescent="0.2">
      <c r="A5535" s="21"/>
      <c r="B5535" s="3" t="s">
        <v>15</v>
      </c>
      <c r="C5535" s="20" t="s">
        <v>24</v>
      </c>
      <c r="D5535" s="21"/>
    </row>
    <row r="5536" spans="1:4" ht="12.75" customHeight="1" x14ac:dyDescent="0.2">
      <c r="A5536" s="21"/>
      <c r="B5536" s="3" t="s">
        <v>16</v>
      </c>
      <c r="C5536" s="20"/>
      <c r="D5536" s="21"/>
    </row>
    <row r="5537" spans="1:4" ht="12.75" customHeight="1" x14ac:dyDescent="0.2">
      <c r="A5537" s="21"/>
      <c r="B5537" s="3" t="s">
        <v>17</v>
      </c>
      <c r="C5537" s="20"/>
      <c r="D5537" s="21"/>
    </row>
    <row r="5538" spans="1:4" ht="12.75" customHeight="1" x14ac:dyDescent="0.2">
      <c r="A5538" s="21"/>
      <c r="B5538" s="20" t="s">
        <v>18</v>
      </c>
      <c r="C5538" s="4" t="s">
        <v>163</v>
      </c>
      <c r="D5538" s="6" t="str">
        <f>HYPERLINK("javascript:void(0)","gigacsáp")</f>
        <v>gigacsáp</v>
      </c>
    </row>
    <row r="5539" spans="1:4" ht="12.75" customHeight="1" x14ac:dyDescent="0.2">
      <c r="A5539" s="21"/>
      <c r="B5539" s="21"/>
      <c r="C5539" s="4" t="s">
        <v>398</v>
      </c>
      <c r="D5539" s="6" t="str">
        <f>HYPERLINK("javascript:void(0)","csigaszem")</f>
        <v>csigaszem</v>
      </c>
    </row>
    <row r="5540" spans="1:4" ht="12.75" customHeight="1" x14ac:dyDescent="0.2">
      <c r="A5540" s="21"/>
      <c r="B5540" s="21"/>
      <c r="C5540" s="4" t="s">
        <v>756</v>
      </c>
      <c r="D5540" s="6" t="str">
        <f>HYPERLINK("javascript:void(0)","tűzige")</f>
        <v>tűzige</v>
      </c>
    </row>
    <row r="5541" spans="1:4" ht="12.75" customHeight="1" x14ac:dyDescent="0.2">
      <c r="A5541" s="5"/>
      <c r="B5541" s="2"/>
      <c r="C5541" s="2"/>
      <c r="D5541" s="2"/>
    </row>
    <row r="5542" spans="1:4" ht="12.75" customHeight="1" x14ac:dyDescent="0.2">
      <c r="A5542" s="22" t="str">
        <f>HYPERLINK("javascript:void(0)","gólemütő")</f>
        <v>gólemütő</v>
      </c>
      <c r="B5542" s="21"/>
      <c r="C5542" s="21"/>
      <c r="D5542" s="21"/>
    </row>
    <row r="5543" spans="1:4" ht="12.75" customHeight="1" x14ac:dyDescent="0.2">
      <c r="A5543" s="20"/>
      <c r="B5543" s="2"/>
      <c r="C5543" s="2"/>
      <c r="D5543" s="2"/>
    </row>
    <row r="5544" spans="1:4" ht="12.75" customHeight="1" x14ac:dyDescent="0.2">
      <c r="A5544" s="21"/>
      <c r="B5544" s="3" t="s">
        <v>0</v>
      </c>
      <c r="C5544" s="20" t="s">
        <v>99</v>
      </c>
      <c r="D5544" s="21"/>
    </row>
    <row r="5545" spans="1:4" ht="12.75" customHeight="1" x14ac:dyDescent="0.2">
      <c r="A5545" s="21"/>
      <c r="B5545" s="3" t="s">
        <v>2</v>
      </c>
      <c r="C5545" s="20" t="s">
        <v>122</v>
      </c>
      <c r="D5545" s="21"/>
    </row>
    <row r="5546" spans="1:4" ht="12.75" customHeight="1" x14ac:dyDescent="0.2">
      <c r="A5546" s="21"/>
      <c r="B5546" s="3" t="s">
        <v>4</v>
      </c>
      <c r="C5546" s="20" t="s">
        <v>1516</v>
      </c>
      <c r="D5546" s="21"/>
    </row>
    <row r="5547" spans="1:4" ht="12.75" customHeight="1" x14ac:dyDescent="0.2">
      <c r="A5547" s="21"/>
      <c r="B5547" s="3" t="s">
        <v>6</v>
      </c>
      <c r="C5547" s="20" t="s">
        <v>52</v>
      </c>
      <c r="D5547" s="21"/>
    </row>
    <row r="5548" spans="1:4" ht="12.75" customHeight="1" x14ac:dyDescent="0.2">
      <c r="A5548" s="21"/>
      <c r="B5548" s="3" t="s">
        <v>8</v>
      </c>
      <c r="C5548" s="20" t="s">
        <v>1516</v>
      </c>
      <c r="D5548" s="21"/>
    </row>
    <row r="5549" spans="1:4" ht="12.75" customHeight="1" x14ac:dyDescent="0.2">
      <c r="A5549" s="21"/>
      <c r="B5549" s="3" t="s">
        <v>9</v>
      </c>
      <c r="C5549" s="20" t="s">
        <v>1517</v>
      </c>
      <c r="D5549" s="21"/>
    </row>
    <row r="5550" spans="1:4" ht="12.75" customHeight="1" x14ac:dyDescent="0.2">
      <c r="A5550" s="21"/>
      <c r="B5550" s="3" t="s">
        <v>11</v>
      </c>
      <c r="C5550" s="20" t="s">
        <v>1062</v>
      </c>
      <c r="D5550" s="21"/>
    </row>
    <row r="5551" spans="1:4" ht="12.75" customHeight="1" x14ac:dyDescent="0.2">
      <c r="A5551" s="21"/>
      <c r="B5551" s="3" t="s">
        <v>13</v>
      </c>
      <c r="C5551" s="20" t="s">
        <v>24</v>
      </c>
      <c r="D5551" s="21"/>
    </row>
    <row r="5552" spans="1:4" ht="12.75" customHeight="1" x14ac:dyDescent="0.2">
      <c r="A5552" s="21"/>
      <c r="B5552" s="3" t="s">
        <v>15</v>
      </c>
      <c r="C5552" s="20" t="s">
        <v>24</v>
      </c>
      <c r="D5552" s="21"/>
    </row>
    <row r="5553" spans="1:4" ht="12.75" customHeight="1" x14ac:dyDescent="0.2">
      <c r="A5553" s="21"/>
      <c r="B5553" s="3" t="s">
        <v>16</v>
      </c>
      <c r="C5553" s="20"/>
      <c r="D5553" s="21"/>
    </row>
    <row r="5554" spans="1:4" ht="12.75" customHeight="1" x14ac:dyDescent="0.2">
      <c r="A5554" s="21"/>
      <c r="B5554" s="3" t="s">
        <v>17</v>
      </c>
      <c r="C5554" s="20"/>
      <c r="D5554" s="21"/>
    </row>
    <row r="5555" spans="1:4" ht="12.75" customHeight="1" x14ac:dyDescent="0.2">
      <c r="A5555" s="21"/>
      <c r="B5555" s="20" t="s">
        <v>18</v>
      </c>
      <c r="C5555" s="4" t="s">
        <v>772</v>
      </c>
      <c r="D5555" s="6" t="str">
        <f>HYPERLINK("javascript:void(0)","dobverő")</f>
        <v>dobverő</v>
      </c>
    </row>
    <row r="5556" spans="1:4" ht="12.75" customHeight="1" x14ac:dyDescent="0.2">
      <c r="A5556" s="21"/>
      <c r="B5556" s="21"/>
      <c r="C5556" s="4" t="s">
        <v>269</v>
      </c>
      <c r="D5556" s="6" t="str">
        <f>HYPERLINK("javascript:void(0)","orrkarika")</f>
        <v>orrkarika</v>
      </c>
    </row>
    <row r="5557" spans="1:4" ht="12.75" customHeight="1" x14ac:dyDescent="0.2">
      <c r="A5557" s="21"/>
      <c r="B5557" s="21"/>
      <c r="C5557" s="4" t="s">
        <v>228</v>
      </c>
      <c r="D5557" s="6" t="str">
        <f>HYPERLINK("javascript:void(0)","gyutacs")</f>
        <v>gyutacs</v>
      </c>
    </row>
    <row r="5558" spans="1:4" ht="12.75" customHeight="1" x14ac:dyDescent="0.2">
      <c r="A5558" s="5"/>
      <c r="B5558" s="2"/>
      <c r="C5558" s="2"/>
      <c r="D5558" s="2"/>
    </row>
    <row r="5559" spans="1:4" ht="12.75" customHeight="1" x14ac:dyDescent="0.2">
      <c r="A5559" s="22" t="str">
        <f>HYPERLINK("javascript:void(0)","doboló mágusölő")</f>
        <v>doboló mágusölő</v>
      </c>
      <c r="B5559" s="21"/>
      <c r="C5559" s="21"/>
      <c r="D5559" s="21"/>
    </row>
    <row r="5560" spans="1:4" ht="12.75" customHeight="1" x14ac:dyDescent="0.2">
      <c r="A5560" s="20"/>
      <c r="B5560" s="2"/>
      <c r="C5560" s="2"/>
      <c r="D5560" s="2"/>
    </row>
    <row r="5561" spans="1:4" ht="12.75" customHeight="1" x14ac:dyDescent="0.2">
      <c r="A5561" s="21"/>
      <c r="B5561" s="3" t="s">
        <v>0</v>
      </c>
      <c r="C5561" s="20" t="s">
        <v>99</v>
      </c>
      <c r="D5561" s="21"/>
    </row>
    <row r="5562" spans="1:4" ht="12.75" customHeight="1" x14ac:dyDescent="0.2">
      <c r="A5562" s="21"/>
      <c r="B5562" s="3" t="s">
        <v>2</v>
      </c>
      <c r="C5562" s="20" t="s">
        <v>122</v>
      </c>
      <c r="D5562" s="21"/>
    </row>
    <row r="5563" spans="1:4" ht="12.75" customHeight="1" x14ac:dyDescent="0.2">
      <c r="A5563" s="21"/>
      <c r="B5563" s="3" t="s">
        <v>4</v>
      </c>
      <c r="C5563" s="20" t="s">
        <v>1518</v>
      </c>
      <c r="D5563" s="21"/>
    </row>
    <row r="5564" spans="1:4" ht="12.75" customHeight="1" x14ac:dyDescent="0.2">
      <c r="A5564" s="21"/>
      <c r="B5564" s="3" t="s">
        <v>6</v>
      </c>
      <c r="C5564" s="20" t="s">
        <v>48</v>
      </c>
      <c r="D5564" s="21"/>
    </row>
    <row r="5565" spans="1:4" ht="12.75" customHeight="1" x14ac:dyDescent="0.2">
      <c r="A5565" s="21"/>
      <c r="B5565" s="3" t="s">
        <v>8</v>
      </c>
      <c r="C5565" s="20" t="s">
        <v>1518</v>
      </c>
      <c r="D5565" s="21"/>
    </row>
    <row r="5566" spans="1:4" ht="12.75" customHeight="1" x14ac:dyDescent="0.2">
      <c r="A5566" s="21"/>
      <c r="B5566" s="3" t="s">
        <v>9</v>
      </c>
      <c r="C5566" s="20" t="s">
        <v>1519</v>
      </c>
      <c r="D5566" s="21"/>
    </row>
    <row r="5567" spans="1:4" ht="12.75" customHeight="1" x14ac:dyDescent="0.2">
      <c r="A5567" s="21"/>
      <c r="B5567" s="3" t="s">
        <v>11</v>
      </c>
      <c r="C5567" s="20" t="s">
        <v>1520</v>
      </c>
      <c r="D5567" s="21"/>
    </row>
    <row r="5568" spans="1:4" ht="12.75" customHeight="1" x14ac:dyDescent="0.2">
      <c r="A5568" s="21"/>
      <c r="B5568" s="3" t="s">
        <v>13</v>
      </c>
      <c r="C5568" s="20" t="s">
        <v>14</v>
      </c>
      <c r="D5568" s="21"/>
    </row>
    <row r="5569" spans="1:4" ht="12.75" customHeight="1" x14ac:dyDescent="0.2">
      <c r="A5569" s="21"/>
      <c r="B5569" s="3" t="s">
        <v>15</v>
      </c>
      <c r="C5569" s="20" t="s">
        <v>24</v>
      </c>
      <c r="D5569" s="21"/>
    </row>
    <row r="5570" spans="1:4" ht="12.75" customHeight="1" x14ac:dyDescent="0.2">
      <c r="A5570" s="21"/>
      <c r="B5570" s="3" t="s">
        <v>16</v>
      </c>
      <c r="C5570" s="20"/>
      <c r="D5570" s="21"/>
    </row>
    <row r="5571" spans="1:4" ht="12.75" customHeight="1" x14ac:dyDescent="0.2">
      <c r="A5571" s="21"/>
      <c r="B5571" s="3" t="s">
        <v>17</v>
      </c>
      <c r="C5571" s="20"/>
      <c r="D5571" s="21"/>
    </row>
    <row r="5572" spans="1:4" ht="12.75" customHeight="1" x14ac:dyDescent="0.2">
      <c r="A5572" s="21"/>
      <c r="B5572" s="20" t="s">
        <v>18</v>
      </c>
      <c r="C5572" s="4" t="s">
        <v>163</v>
      </c>
      <c r="D5572" s="6" t="str">
        <f>HYPERLINK("javascript:void(0)","serte")</f>
        <v>serte</v>
      </c>
    </row>
    <row r="5573" spans="1:4" ht="12.75" customHeight="1" x14ac:dyDescent="0.2">
      <c r="A5573" s="21"/>
      <c r="B5573" s="21"/>
      <c r="C5573" s="4" t="s">
        <v>756</v>
      </c>
      <c r="D5573" s="6" t="str">
        <f>HYPERLINK("javascript:void(0)","dobverő")</f>
        <v>dobverő</v>
      </c>
    </row>
    <row r="5574" spans="1:4" ht="12.75" customHeight="1" x14ac:dyDescent="0.2">
      <c r="A5574" s="21"/>
      <c r="B5574" s="21"/>
      <c r="C5574" s="4" t="s">
        <v>894</v>
      </c>
      <c r="D5574" s="6" t="str">
        <f>HYPERLINK("javascript:void(0)","hálószem")</f>
        <v>hálószem</v>
      </c>
    </row>
    <row r="5575" spans="1:4" ht="12.75" customHeight="1" x14ac:dyDescent="0.2">
      <c r="A5575" s="5"/>
      <c r="B5575" s="2"/>
      <c r="C5575" s="2"/>
      <c r="D5575" s="2"/>
    </row>
    <row r="5576" spans="1:4" ht="12.75" customHeight="1" x14ac:dyDescent="0.2">
      <c r="A5576" s="22" t="str">
        <f>HYPERLINK("javascript:void(0)","képvasaló")</f>
        <v>képvasaló</v>
      </c>
      <c r="B5576" s="21"/>
      <c r="C5576" s="21"/>
      <c r="D5576" s="21"/>
    </row>
    <row r="5577" spans="1:4" ht="12.75" customHeight="1" x14ac:dyDescent="0.2">
      <c r="A5577" s="20"/>
      <c r="B5577" s="2"/>
      <c r="C5577" s="2"/>
      <c r="D5577" s="2"/>
    </row>
    <row r="5578" spans="1:4" ht="12.75" customHeight="1" x14ac:dyDescent="0.2">
      <c r="A5578" s="21"/>
      <c r="B5578" s="3" t="s">
        <v>0</v>
      </c>
      <c r="C5578" s="20" t="s">
        <v>341</v>
      </c>
      <c r="D5578" s="21"/>
    </row>
    <row r="5579" spans="1:4" ht="12.75" customHeight="1" x14ac:dyDescent="0.2">
      <c r="A5579" s="21"/>
      <c r="B5579" s="3" t="s">
        <v>2</v>
      </c>
      <c r="C5579" s="20" t="s">
        <v>122</v>
      </c>
      <c r="D5579" s="21"/>
    </row>
    <row r="5580" spans="1:4" ht="12.75" customHeight="1" x14ac:dyDescent="0.2">
      <c r="A5580" s="21"/>
      <c r="B5580" s="3" t="s">
        <v>4</v>
      </c>
      <c r="C5580" s="20" t="s">
        <v>1523</v>
      </c>
      <c r="D5580" s="21"/>
    </row>
    <row r="5581" spans="1:4" ht="12.75" customHeight="1" x14ac:dyDescent="0.2">
      <c r="A5581" s="21"/>
      <c r="B5581" s="3" t="s">
        <v>6</v>
      </c>
      <c r="C5581" s="20" t="s">
        <v>115</v>
      </c>
      <c r="D5581" s="21"/>
    </row>
    <row r="5582" spans="1:4" ht="12.75" customHeight="1" x14ac:dyDescent="0.2">
      <c r="A5582" s="21"/>
      <c r="B5582" s="3" t="s">
        <v>8</v>
      </c>
      <c r="C5582" s="20" t="s">
        <v>1523</v>
      </c>
      <c r="D5582" s="21"/>
    </row>
    <row r="5583" spans="1:4" ht="12.75" customHeight="1" x14ac:dyDescent="0.2">
      <c r="A5583" s="21"/>
      <c r="B5583" s="3" t="s">
        <v>9</v>
      </c>
      <c r="C5583" s="20" t="s">
        <v>1524</v>
      </c>
      <c r="D5583" s="21"/>
    </row>
    <row r="5584" spans="1:4" ht="12.75" customHeight="1" x14ac:dyDescent="0.2">
      <c r="A5584" s="21"/>
      <c r="B5584" s="3" t="s">
        <v>11</v>
      </c>
      <c r="C5584" s="20" t="s">
        <v>1071</v>
      </c>
      <c r="D5584" s="21"/>
    </row>
    <row r="5585" spans="1:4" ht="12.75" customHeight="1" x14ac:dyDescent="0.2">
      <c r="A5585" s="21"/>
      <c r="B5585" s="3" t="s">
        <v>13</v>
      </c>
      <c r="C5585" s="20" t="s">
        <v>24</v>
      </c>
      <c r="D5585" s="21"/>
    </row>
    <row r="5586" spans="1:4" ht="12.75" customHeight="1" x14ac:dyDescent="0.2">
      <c r="A5586" s="21"/>
      <c r="B5586" s="3" t="s">
        <v>15</v>
      </c>
      <c r="C5586" s="20" t="s">
        <v>24</v>
      </c>
      <c r="D5586" s="21"/>
    </row>
    <row r="5587" spans="1:4" ht="12.75" customHeight="1" x14ac:dyDescent="0.2">
      <c r="A5587" s="21"/>
      <c r="B5587" s="3" t="s">
        <v>16</v>
      </c>
      <c r="C5587" s="20"/>
      <c r="D5587" s="21"/>
    </row>
    <row r="5588" spans="1:4" ht="12.75" customHeight="1" x14ac:dyDescent="0.2">
      <c r="A5588" s="21"/>
      <c r="B5588" s="3" t="s">
        <v>17</v>
      </c>
      <c r="C5588" s="20"/>
      <c r="D5588" s="21"/>
    </row>
    <row r="5589" spans="1:4" ht="12.75" customHeight="1" x14ac:dyDescent="0.2">
      <c r="A5589" s="21"/>
      <c r="B5589" s="20" t="s">
        <v>18</v>
      </c>
      <c r="C5589" s="4" t="s">
        <v>44</v>
      </c>
      <c r="D5589" s="6" t="str">
        <f>HYPERLINK("javascript:void(0)","haragkalapács")</f>
        <v>haragkalapács</v>
      </c>
    </row>
    <row r="5590" spans="1:4" ht="12.75" customHeight="1" x14ac:dyDescent="0.2">
      <c r="A5590" s="21"/>
      <c r="B5590" s="21"/>
      <c r="C5590" s="4" t="s">
        <v>44</v>
      </c>
      <c r="D5590" s="6" t="str">
        <f>HYPERLINK("javascript:void(0)","képfogó")</f>
        <v>képfogó</v>
      </c>
    </row>
    <row r="5591" spans="1:4" ht="12.75" customHeight="1" x14ac:dyDescent="0.2">
      <c r="A5591" s="21"/>
      <c r="B5591" s="21"/>
      <c r="C5591" s="4" t="s">
        <v>44</v>
      </c>
      <c r="D5591" s="6" t="str">
        <f>HYPERLINK("javascript:void(0)","gólemütő")</f>
        <v>gólemütő</v>
      </c>
    </row>
    <row r="5592" spans="1:4" ht="12.75" customHeight="1" x14ac:dyDescent="0.2">
      <c r="A5592" s="5"/>
      <c r="B5592" s="2"/>
      <c r="C5592" s="2"/>
      <c r="D5592" s="2"/>
    </row>
    <row r="5593" spans="1:4" ht="12.75" customHeight="1" x14ac:dyDescent="0.2">
      <c r="A5593" s="22" t="str">
        <f>HYPERLINK("javascript:void(0)","gyíkacél püfölő")</f>
        <v>gyíkacél püfölő</v>
      </c>
      <c r="B5593" s="21"/>
      <c r="C5593" s="21"/>
      <c r="D5593" s="21"/>
    </row>
    <row r="5594" spans="1:4" ht="12.75" customHeight="1" x14ac:dyDescent="0.2">
      <c r="A5594" s="20"/>
      <c r="B5594" s="2"/>
      <c r="C5594" s="2"/>
      <c r="D5594" s="2"/>
    </row>
    <row r="5595" spans="1:4" ht="12.75" customHeight="1" x14ac:dyDescent="0.2">
      <c r="A5595" s="21"/>
      <c r="B5595" s="3" t="s">
        <v>0</v>
      </c>
      <c r="C5595" s="20" t="s">
        <v>341</v>
      </c>
      <c r="D5595" s="21"/>
    </row>
    <row r="5596" spans="1:4" ht="12.75" customHeight="1" x14ac:dyDescent="0.2">
      <c r="A5596" s="21"/>
      <c r="B5596" s="3" t="s">
        <v>2</v>
      </c>
      <c r="C5596" s="20" t="s">
        <v>122</v>
      </c>
      <c r="D5596" s="21"/>
    </row>
    <row r="5597" spans="1:4" ht="12.75" customHeight="1" x14ac:dyDescent="0.2">
      <c r="A5597" s="21"/>
      <c r="B5597" s="3" t="s">
        <v>4</v>
      </c>
      <c r="C5597" s="20" t="s">
        <v>1525</v>
      </c>
      <c r="D5597" s="21"/>
    </row>
    <row r="5598" spans="1:4" ht="12.75" customHeight="1" x14ac:dyDescent="0.2">
      <c r="A5598" s="21"/>
      <c r="B5598" s="3" t="s">
        <v>6</v>
      </c>
      <c r="C5598" s="20" t="s">
        <v>107</v>
      </c>
      <c r="D5598" s="21"/>
    </row>
    <row r="5599" spans="1:4" ht="12.75" customHeight="1" x14ac:dyDescent="0.2">
      <c r="A5599" s="21"/>
      <c r="B5599" s="3" t="s">
        <v>8</v>
      </c>
      <c r="C5599" s="20" t="s">
        <v>1525</v>
      </c>
      <c r="D5599" s="21"/>
    </row>
    <row r="5600" spans="1:4" ht="12.75" customHeight="1" x14ac:dyDescent="0.2">
      <c r="A5600" s="21"/>
      <c r="B5600" s="3" t="s">
        <v>9</v>
      </c>
      <c r="C5600" s="20" t="s">
        <v>1526</v>
      </c>
      <c r="D5600" s="21"/>
    </row>
    <row r="5601" spans="1:4" ht="12.75" customHeight="1" x14ac:dyDescent="0.2">
      <c r="A5601" s="21"/>
      <c r="B5601" s="3" t="s">
        <v>11</v>
      </c>
      <c r="C5601" s="20" t="s">
        <v>793</v>
      </c>
      <c r="D5601" s="21"/>
    </row>
    <row r="5602" spans="1:4" ht="12.75" customHeight="1" x14ac:dyDescent="0.2">
      <c r="A5602" s="21"/>
      <c r="B5602" s="3" t="s">
        <v>13</v>
      </c>
      <c r="C5602" s="20" t="s">
        <v>24</v>
      </c>
      <c r="D5602" s="21"/>
    </row>
    <row r="5603" spans="1:4" ht="12.75" customHeight="1" x14ac:dyDescent="0.2">
      <c r="A5603" s="21"/>
      <c r="B5603" s="3" t="s">
        <v>15</v>
      </c>
      <c r="C5603" s="20" t="s">
        <v>24</v>
      </c>
      <c r="D5603" s="21"/>
    </row>
    <row r="5604" spans="1:4" ht="12.75" customHeight="1" x14ac:dyDescent="0.2">
      <c r="A5604" s="21"/>
      <c r="B5604" s="3" t="s">
        <v>16</v>
      </c>
      <c r="C5604" s="20"/>
      <c r="D5604" s="21"/>
    </row>
    <row r="5605" spans="1:4" ht="12.75" customHeight="1" x14ac:dyDescent="0.2">
      <c r="A5605" s="21"/>
      <c r="B5605" s="3" t="s">
        <v>17</v>
      </c>
      <c r="C5605" s="20"/>
      <c r="D5605" s="21"/>
    </row>
    <row r="5606" spans="1:4" ht="12.75" customHeight="1" x14ac:dyDescent="0.2">
      <c r="A5606" s="21"/>
      <c r="B5606" s="20" t="s">
        <v>18</v>
      </c>
      <c r="C5606" s="4" t="s">
        <v>382</v>
      </c>
      <c r="D5606" s="6" t="str">
        <f>HYPERLINK("javascript:void(0)","hangjegy")</f>
        <v>hangjegy</v>
      </c>
    </row>
    <row r="5607" spans="1:4" ht="12.75" customHeight="1" x14ac:dyDescent="0.2">
      <c r="A5607" s="21"/>
      <c r="B5607" s="21"/>
      <c r="C5607" s="4" t="s">
        <v>398</v>
      </c>
      <c r="D5607" s="6" t="str">
        <f>HYPERLINK("javascript:void(0)","vitorla")</f>
        <v>vitorla</v>
      </c>
    </row>
    <row r="5608" spans="1:4" ht="12.75" customHeight="1" x14ac:dyDescent="0.2">
      <c r="A5608" s="21"/>
      <c r="B5608" s="21"/>
      <c r="C5608" s="4" t="s">
        <v>796</v>
      </c>
      <c r="D5608" s="6" t="str">
        <f>HYPERLINK("javascript:void(0)","vízige")</f>
        <v>vízige</v>
      </c>
    </row>
    <row r="5609" spans="1:4" ht="12.75" customHeight="1" x14ac:dyDescent="0.2">
      <c r="A5609" s="5"/>
      <c r="B5609" s="2"/>
      <c r="C5609" s="2"/>
      <c r="D5609" s="2"/>
    </row>
    <row r="5610" spans="1:4" ht="12.75" customHeight="1" x14ac:dyDescent="0.2">
      <c r="A5610" s="22" t="str">
        <f>HYPERLINK("javascript:void(0)","képfogó")</f>
        <v>képfogó</v>
      </c>
      <c r="B5610" s="21"/>
      <c r="C5610" s="21"/>
      <c r="D5610" s="21"/>
    </row>
    <row r="5611" spans="1:4" ht="12.75" customHeight="1" x14ac:dyDescent="0.2">
      <c r="A5611" s="20"/>
      <c r="B5611" s="2"/>
      <c r="C5611" s="2"/>
      <c r="D5611" s="2"/>
    </row>
    <row r="5612" spans="1:4" ht="12.75" customHeight="1" x14ac:dyDescent="0.2">
      <c r="A5612" s="21"/>
      <c r="B5612" s="3" t="s">
        <v>0</v>
      </c>
      <c r="C5612" s="20" t="s">
        <v>341</v>
      </c>
      <c r="D5612" s="21"/>
    </row>
    <row r="5613" spans="1:4" ht="12.75" customHeight="1" x14ac:dyDescent="0.2">
      <c r="A5613" s="21"/>
      <c r="B5613" s="3" t="s">
        <v>2</v>
      </c>
      <c r="C5613" s="20" t="s">
        <v>122</v>
      </c>
      <c r="D5613" s="21"/>
    </row>
    <row r="5614" spans="1:4" ht="12.75" customHeight="1" x14ac:dyDescent="0.2">
      <c r="A5614" s="21"/>
      <c r="B5614" s="3" t="s">
        <v>4</v>
      </c>
      <c r="C5614" s="20" t="s">
        <v>1478</v>
      </c>
      <c r="D5614" s="21"/>
    </row>
    <row r="5615" spans="1:4" ht="12.75" customHeight="1" x14ac:dyDescent="0.2">
      <c r="A5615" s="21"/>
      <c r="B5615" s="3" t="s">
        <v>6</v>
      </c>
      <c r="C5615" s="20" t="s">
        <v>21</v>
      </c>
      <c r="D5615" s="21"/>
    </row>
    <row r="5616" spans="1:4" ht="12.75" customHeight="1" x14ac:dyDescent="0.2">
      <c r="A5616" s="21"/>
      <c r="B5616" s="3" t="s">
        <v>8</v>
      </c>
      <c r="C5616" s="20" t="s">
        <v>1478</v>
      </c>
      <c r="D5616" s="21"/>
    </row>
    <row r="5617" spans="1:4" ht="12.75" customHeight="1" x14ac:dyDescent="0.2">
      <c r="A5617" s="21"/>
      <c r="B5617" s="3" t="s">
        <v>9</v>
      </c>
      <c r="C5617" s="20" t="s">
        <v>1527</v>
      </c>
      <c r="D5617" s="21"/>
    </row>
    <row r="5618" spans="1:4" ht="12.75" customHeight="1" x14ac:dyDescent="0.2">
      <c r="A5618" s="21"/>
      <c r="B5618" s="3" t="s">
        <v>11</v>
      </c>
      <c r="C5618" s="20" t="s">
        <v>1528</v>
      </c>
      <c r="D5618" s="21"/>
    </row>
    <row r="5619" spans="1:4" ht="12.75" customHeight="1" x14ac:dyDescent="0.2">
      <c r="A5619" s="21"/>
      <c r="B5619" s="3" t="s">
        <v>13</v>
      </c>
      <c r="C5619" s="20" t="s">
        <v>24</v>
      </c>
      <c r="D5619" s="21"/>
    </row>
    <row r="5620" spans="1:4" ht="12.75" customHeight="1" x14ac:dyDescent="0.2">
      <c r="A5620" s="21"/>
      <c r="B5620" s="3" t="s">
        <v>15</v>
      </c>
      <c r="C5620" s="20" t="s">
        <v>24</v>
      </c>
      <c r="D5620" s="21"/>
    </row>
    <row r="5621" spans="1:4" ht="12.75" customHeight="1" x14ac:dyDescent="0.2">
      <c r="A5621" s="21"/>
      <c r="B5621" s="3" t="s">
        <v>16</v>
      </c>
      <c r="C5621" s="20"/>
      <c r="D5621" s="21"/>
    </row>
    <row r="5622" spans="1:4" ht="12.75" customHeight="1" x14ac:dyDescent="0.2">
      <c r="A5622" s="21"/>
      <c r="B5622" s="3" t="s">
        <v>17</v>
      </c>
      <c r="C5622" s="20"/>
      <c r="D5622" s="21"/>
    </row>
    <row r="5623" spans="1:4" ht="12.75" customHeight="1" x14ac:dyDescent="0.2">
      <c r="A5623" s="21"/>
      <c r="B5623" s="20" t="s">
        <v>18</v>
      </c>
      <c r="C5623" s="4" t="s">
        <v>358</v>
      </c>
      <c r="D5623" s="6" t="str">
        <f>HYPERLINK("javascript:void(0)","pálha")</f>
        <v>pálha</v>
      </c>
    </row>
    <row r="5624" spans="1:4" ht="12.75" customHeight="1" x14ac:dyDescent="0.2">
      <c r="A5624" s="21"/>
      <c r="B5624" s="21"/>
      <c r="C5624" s="4" t="s">
        <v>244</v>
      </c>
      <c r="D5624" s="6" t="str">
        <f>HYPERLINK("javascript:void(0)","rémkép")</f>
        <v>rémkép</v>
      </c>
    </row>
    <row r="5625" spans="1:4" ht="12.75" customHeight="1" x14ac:dyDescent="0.2">
      <c r="A5625" s="21"/>
      <c r="B5625" s="21"/>
      <c r="C5625" s="4" t="s">
        <v>139</v>
      </c>
      <c r="D5625" s="6" t="str">
        <f>HYPERLINK("javascript:void(0)","képszél")</f>
        <v>képszél</v>
      </c>
    </row>
    <row r="5626" spans="1:4" ht="12.75" customHeight="1" x14ac:dyDescent="0.2">
      <c r="A5626" s="5"/>
      <c r="B5626" s="2"/>
      <c r="C5626" s="2"/>
      <c r="D5626" s="2"/>
    </row>
    <row r="5627" spans="1:4" ht="12.75" customHeight="1" x14ac:dyDescent="0.2">
      <c r="A5627" s="22" t="str">
        <f>HYPERLINK("javascript:void(0)","gólempöröly")</f>
        <v>gólempöröly</v>
      </c>
      <c r="B5627" s="21"/>
      <c r="C5627" s="21"/>
      <c r="D5627" s="21"/>
    </row>
    <row r="5628" spans="1:4" ht="12.75" customHeight="1" x14ac:dyDescent="0.2">
      <c r="A5628" s="20"/>
      <c r="B5628" s="2"/>
      <c r="C5628" s="2"/>
      <c r="D5628" s="2"/>
    </row>
    <row r="5629" spans="1:4" ht="12.75" customHeight="1" x14ac:dyDescent="0.2">
      <c r="A5629" s="21"/>
      <c r="B5629" s="3" t="s">
        <v>0</v>
      </c>
      <c r="C5629" s="20" t="s">
        <v>1060</v>
      </c>
      <c r="D5629" s="21"/>
    </row>
    <row r="5630" spans="1:4" ht="12.75" customHeight="1" x14ac:dyDescent="0.2">
      <c r="A5630" s="21"/>
      <c r="B5630" s="3" t="s">
        <v>2</v>
      </c>
      <c r="C5630" s="20" t="s">
        <v>122</v>
      </c>
      <c r="D5630" s="21"/>
    </row>
    <row r="5631" spans="1:4" ht="12.75" customHeight="1" x14ac:dyDescent="0.2">
      <c r="A5631" s="21"/>
      <c r="B5631" s="3" t="s">
        <v>4</v>
      </c>
      <c r="C5631" s="20" t="s">
        <v>1061</v>
      </c>
      <c r="D5631" s="21"/>
    </row>
    <row r="5632" spans="1:4" ht="12.75" customHeight="1" x14ac:dyDescent="0.2">
      <c r="A5632" s="21"/>
      <c r="B5632" s="3" t="s">
        <v>6</v>
      </c>
      <c r="C5632" s="20" t="s">
        <v>206</v>
      </c>
      <c r="D5632" s="21"/>
    </row>
    <row r="5633" spans="1:4" ht="12.75" customHeight="1" x14ac:dyDescent="0.2">
      <c r="A5633" s="21"/>
      <c r="B5633" s="3" t="s">
        <v>8</v>
      </c>
      <c r="C5633" s="20" t="s">
        <v>1061</v>
      </c>
      <c r="D5633" s="21"/>
    </row>
    <row r="5634" spans="1:4" ht="12.75" customHeight="1" x14ac:dyDescent="0.2">
      <c r="A5634" s="21"/>
      <c r="B5634" s="3" t="s">
        <v>9</v>
      </c>
      <c r="C5634" s="20" t="s">
        <v>1532</v>
      </c>
      <c r="D5634" s="21"/>
    </row>
    <row r="5635" spans="1:4" ht="12.75" customHeight="1" x14ac:dyDescent="0.2">
      <c r="A5635" s="21"/>
      <c r="B5635" s="3" t="s">
        <v>11</v>
      </c>
      <c r="C5635" s="20" t="s">
        <v>1078</v>
      </c>
      <c r="D5635" s="21"/>
    </row>
    <row r="5636" spans="1:4" ht="12.75" customHeight="1" x14ac:dyDescent="0.2">
      <c r="A5636" s="21"/>
      <c r="B5636" s="3" t="s">
        <v>13</v>
      </c>
      <c r="C5636" s="20" t="s">
        <v>24</v>
      </c>
      <c r="D5636" s="21"/>
    </row>
    <row r="5637" spans="1:4" ht="12.75" customHeight="1" x14ac:dyDescent="0.2">
      <c r="A5637" s="21"/>
      <c r="B5637" s="3" t="s">
        <v>15</v>
      </c>
      <c r="C5637" s="20" t="s">
        <v>24</v>
      </c>
      <c r="D5637" s="21"/>
    </row>
    <row r="5638" spans="1:4" ht="12.75" customHeight="1" x14ac:dyDescent="0.2">
      <c r="A5638" s="21"/>
      <c r="B5638" s="3" t="s">
        <v>16</v>
      </c>
      <c r="C5638" s="20"/>
      <c r="D5638" s="21"/>
    </row>
    <row r="5639" spans="1:4" ht="12.75" customHeight="1" x14ac:dyDescent="0.2">
      <c r="A5639" s="21"/>
      <c r="B5639" s="3" t="s">
        <v>17</v>
      </c>
      <c r="C5639" s="20"/>
      <c r="D5639" s="21"/>
    </row>
    <row r="5640" spans="1:4" ht="12.75" customHeight="1" x14ac:dyDescent="0.2">
      <c r="A5640" s="21"/>
      <c r="B5640" s="20" t="s">
        <v>18</v>
      </c>
      <c r="C5640" s="4" t="s">
        <v>44</v>
      </c>
      <c r="D5640" s="6" t="str">
        <f>HYPERLINK("javascript:void(0)","képvasaló")</f>
        <v>képvasaló</v>
      </c>
    </row>
    <row r="5641" spans="1:4" ht="12.75" customHeight="1" x14ac:dyDescent="0.2">
      <c r="A5641" s="21"/>
      <c r="B5641" s="21"/>
      <c r="C5641" s="4" t="s">
        <v>309</v>
      </c>
      <c r="D5641" s="6" t="str">
        <f>HYPERLINK("javascript:void(0)","gyutacs")</f>
        <v>gyutacs</v>
      </c>
    </row>
    <row r="5642" spans="1:4" ht="12.75" customHeight="1" x14ac:dyDescent="0.2">
      <c r="A5642" s="21"/>
      <c r="B5642" s="21"/>
      <c r="C5642" s="4" t="s">
        <v>240</v>
      </c>
      <c r="D5642" s="6" t="str">
        <f>HYPERLINK("javascript:void(0)","foglalat")</f>
        <v>foglalat</v>
      </c>
    </row>
    <row r="5643" spans="1:4" ht="12.75" customHeight="1" x14ac:dyDescent="0.2">
      <c r="A5643" s="5"/>
      <c r="B5643" s="2"/>
      <c r="C5643" s="2"/>
      <c r="D5643" s="2"/>
    </row>
    <row r="5644" spans="1:4" ht="12.75" customHeight="1" x14ac:dyDescent="0.2">
      <c r="A5644" s="22" t="str">
        <f>HYPERLINK("javascript:void(0)","lélekbontó mágusölő")</f>
        <v>lélekbontó mágusölő</v>
      </c>
      <c r="B5644" s="21"/>
      <c r="C5644" s="21"/>
      <c r="D5644" s="21"/>
    </row>
    <row r="5645" spans="1:4" ht="12.75" customHeight="1" x14ac:dyDescent="0.2">
      <c r="A5645" s="20"/>
      <c r="B5645" s="2"/>
      <c r="C5645" s="2"/>
      <c r="D5645" s="2"/>
    </row>
    <row r="5646" spans="1:4" ht="12.75" customHeight="1" x14ac:dyDescent="0.2">
      <c r="A5646" s="21"/>
      <c r="B5646" s="3" t="s">
        <v>0</v>
      </c>
      <c r="C5646" s="20" t="s">
        <v>1060</v>
      </c>
      <c r="D5646" s="21"/>
    </row>
    <row r="5647" spans="1:4" ht="12.75" customHeight="1" x14ac:dyDescent="0.2">
      <c r="A5647" s="21"/>
      <c r="B5647" s="3" t="s">
        <v>2</v>
      </c>
      <c r="C5647" s="20" t="s">
        <v>122</v>
      </c>
      <c r="D5647" s="21"/>
    </row>
    <row r="5648" spans="1:4" ht="12.75" customHeight="1" x14ac:dyDescent="0.2">
      <c r="A5648" s="21"/>
      <c r="B5648" s="3" t="s">
        <v>4</v>
      </c>
      <c r="C5648" s="20" t="s">
        <v>1533</v>
      </c>
      <c r="D5648" s="21"/>
    </row>
    <row r="5649" spans="1:4" ht="12.75" customHeight="1" x14ac:dyDescent="0.2">
      <c r="A5649" s="21"/>
      <c r="B5649" s="3" t="s">
        <v>6</v>
      </c>
      <c r="C5649" s="20" t="s">
        <v>48</v>
      </c>
      <c r="D5649" s="21"/>
    </row>
    <row r="5650" spans="1:4" ht="12.75" customHeight="1" x14ac:dyDescent="0.2">
      <c r="A5650" s="21"/>
      <c r="B5650" s="3" t="s">
        <v>8</v>
      </c>
      <c r="C5650" s="20" t="s">
        <v>1533</v>
      </c>
      <c r="D5650" s="21"/>
    </row>
    <row r="5651" spans="1:4" ht="12.75" customHeight="1" x14ac:dyDescent="0.2">
      <c r="A5651" s="21"/>
      <c r="B5651" s="3" t="s">
        <v>9</v>
      </c>
      <c r="C5651" s="20" t="s">
        <v>1534</v>
      </c>
      <c r="D5651" s="21"/>
    </row>
    <row r="5652" spans="1:4" ht="12.75" customHeight="1" x14ac:dyDescent="0.2">
      <c r="A5652" s="21"/>
      <c r="B5652" s="3" t="s">
        <v>11</v>
      </c>
      <c r="C5652" s="20" t="s">
        <v>1029</v>
      </c>
      <c r="D5652" s="21"/>
    </row>
    <row r="5653" spans="1:4" ht="12.75" customHeight="1" x14ac:dyDescent="0.2">
      <c r="A5653" s="21"/>
      <c r="B5653" s="3" t="s">
        <v>13</v>
      </c>
      <c r="C5653" s="20" t="s">
        <v>14</v>
      </c>
      <c r="D5653" s="21"/>
    </row>
    <row r="5654" spans="1:4" ht="12.75" customHeight="1" x14ac:dyDescent="0.2">
      <c r="A5654" s="21"/>
      <c r="B5654" s="3" t="s">
        <v>15</v>
      </c>
      <c r="C5654" s="20" t="s">
        <v>24</v>
      </c>
      <c r="D5654" s="21"/>
    </row>
    <row r="5655" spans="1:4" ht="12.75" customHeight="1" x14ac:dyDescent="0.2">
      <c r="A5655" s="21"/>
      <c r="B5655" s="3" t="s">
        <v>16</v>
      </c>
      <c r="C5655" s="20"/>
      <c r="D5655" s="21"/>
    </row>
    <row r="5656" spans="1:4" ht="12.75" customHeight="1" x14ac:dyDescent="0.2">
      <c r="A5656" s="21"/>
      <c r="B5656" s="3" t="s">
        <v>17</v>
      </c>
      <c r="C5656" s="20"/>
      <c r="D5656" s="21"/>
    </row>
    <row r="5657" spans="1:4" ht="12.75" customHeight="1" x14ac:dyDescent="0.2">
      <c r="A5657" s="21"/>
      <c r="B5657" s="20" t="s">
        <v>18</v>
      </c>
      <c r="C5657" s="4" t="s">
        <v>950</v>
      </c>
      <c r="D5657" s="6" t="str">
        <f>HYPERLINK("javascript:void(0)","pálha")</f>
        <v>pálha</v>
      </c>
    </row>
    <row r="5658" spans="1:4" ht="12.75" customHeight="1" x14ac:dyDescent="0.2">
      <c r="A5658" s="21"/>
      <c r="B5658" s="21"/>
      <c r="C5658" s="4" t="s">
        <v>296</v>
      </c>
      <c r="D5658" s="6" t="str">
        <f>HYPERLINK("javascript:void(0)","lélekfodor")</f>
        <v>lélekfodor</v>
      </c>
    </row>
    <row r="5659" spans="1:4" ht="12.75" customHeight="1" x14ac:dyDescent="0.2">
      <c r="A5659" s="21"/>
      <c r="B5659" s="21"/>
      <c r="C5659" s="4" t="s">
        <v>269</v>
      </c>
      <c r="D5659" s="6" t="str">
        <f>HYPERLINK("javascript:void(0)","rozmáragyar")</f>
        <v>rozmáragyar</v>
      </c>
    </row>
    <row r="5660" spans="1:4" ht="12.75" customHeight="1" x14ac:dyDescent="0.2">
      <c r="A5660" s="5"/>
      <c r="B5660" s="2"/>
      <c r="C5660" s="2"/>
      <c r="D5660" s="2"/>
    </row>
    <row r="5661" spans="1:4" ht="12.75" customHeight="1" x14ac:dyDescent="0.2">
      <c r="A5661" s="22" t="str">
        <f>HYPERLINK("javascript:void(0)","dobromboló")</f>
        <v>dobromboló</v>
      </c>
      <c r="B5661" s="21"/>
      <c r="C5661" s="21"/>
      <c r="D5661" s="21"/>
    </row>
    <row r="5662" spans="1:4" ht="12.75" customHeight="1" x14ac:dyDescent="0.2">
      <c r="A5662" s="20"/>
      <c r="B5662" s="2"/>
      <c r="C5662" s="2"/>
      <c r="D5662" s="2"/>
    </row>
    <row r="5663" spans="1:4" ht="12.75" customHeight="1" x14ac:dyDescent="0.2">
      <c r="A5663" s="21"/>
      <c r="B5663" s="3" t="s">
        <v>0</v>
      </c>
      <c r="C5663" s="20" t="s">
        <v>95</v>
      </c>
      <c r="D5663" s="21"/>
    </row>
    <row r="5664" spans="1:4" ht="12.75" customHeight="1" x14ac:dyDescent="0.2">
      <c r="A5664" s="21"/>
      <c r="B5664" s="3" t="s">
        <v>2</v>
      </c>
      <c r="C5664" s="20" t="s">
        <v>122</v>
      </c>
      <c r="D5664" s="21"/>
    </row>
    <row r="5665" spans="1:4" ht="12.75" customHeight="1" x14ac:dyDescent="0.2">
      <c r="A5665" s="21"/>
      <c r="B5665" s="3" t="s">
        <v>4</v>
      </c>
      <c r="C5665" s="20" t="s">
        <v>1535</v>
      </c>
      <c r="D5665" s="21"/>
    </row>
    <row r="5666" spans="1:4" ht="12.75" customHeight="1" x14ac:dyDescent="0.2">
      <c r="A5666" s="21"/>
      <c r="B5666" s="3" t="s">
        <v>6</v>
      </c>
      <c r="C5666" s="20" t="s">
        <v>260</v>
      </c>
      <c r="D5666" s="21"/>
    </row>
    <row r="5667" spans="1:4" ht="12.75" customHeight="1" x14ac:dyDescent="0.2">
      <c r="A5667" s="21"/>
      <c r="B5667" s="3" t="s">
        <v>8</v>
      </c>
      <c r="C5667" s="20" t="s">
        <v>1535</v>
      </c>
      <c r="D5667" s="21"/>
    </row>
    <row r="5668" spans="1:4" ht="12.75" customHeight="1" x14ac:dyDescent="0.2">
      <c r="A5668" s="21"/>
      <c r="B5668" s="3" t="s">
        <v>9</v>
      </c>
      <c r="C5668" s="20" t="s">
        <v>233</v>
      </c>
      <c r="D5668" s="21"/>
    </row>
    <row r="5669" spans="1:4" ht="12.75" customHeight="1" x14ac:dyDescent="0.2">
      <c r="A5669" s="21"/>
      <c r="B5669" s="3" t="s">
        <v>11</v>
      </c>
      <c r="C5669" s="20" t="s">
        <v>1090</v>
      </c>
      <c r="D5669" s="21"/>
    </row>
    <row r="5670" spans="1:4" ht="12.75" customHeight="1" x14ac:dyDescent="0.2">
      <c r="A5670" s="21"/>
      <c r="B5670" s="3" t="s">
        <v>13</v>
      </c>
      <c r="C5670" s="20" t="s">
        <v>24</v>
      </c>
      <c r="D5670" s="21"/>
    </row>
    <row r="5671" spans="1:4" ht="12.75" customHeight="1" x14ac:dyDescent="0.2">
      <c r="A5671" s="21"/>
      <c r="B5671" s="3" t="s">
        <v>15</v>
      </c>
      <c r="C5671" s="20" t="s">
        <v>24</v>
      </c>
      <c r="D5671" s="21"/>
    </row>
    <row r="5672" spans="1:4" ht="12.75" customHeight="1" x14ac:dyDescent="0.2">
      <c r="A5672" s="21"/>
      <c r="B5672" s="3" t="s">
        <v>16</v>
      </c>
      <c r="C5672" s="20"/>
      <c r="D5672" s="21"/>
    </row>
    <row r="5673" spans="1:4" ht="12.75" customHeight="1" x14ac:dyDescent="0.2">
      <c r="A5673" s="21"/>
      <c r="B5673" s="3" t="s">
        <v>17</v>
      </c>
      <c r="C5673" s="20"/>
      <c r="D5673" s="21"/>
    </row>
    <row r="5674" spans="1:4" ht="12.75" customHeight="1" x14ac:dyDescent="0.2">
      <c r="A5674" s="21"/>
      <c r="B5674" s="20" t="s">
        <v>18</v>
      </c>
      <c r="C5674" s="4" t="s">
        <v>1536</v>
      </c>
      <c r="D5674" s="6" t="str">
        <f>HYPERLINK("javascript:void(0)","ködpikkely")</f>
        <v>ködpikkely</v>
      </c>
    </row>
    <row r="5675" spans="1:4" ht="12.75" customHeight="1" x14ac:dyDescent="0.2">
      <c r="A5675" s="21"/>
      <c r="B5675" s="21"/>
      <c r="C5675" s="4" t="s">
        <v>780</v>
      </c>
      <c r="D5675" s="6" t="str">
        <f>HYPERLINK("javascript:void(0)","banánhéj")</f>
        <v>banánhéj</v>
      </c>
    </row>
    <row r="5676" spans="1:4" ht="12.75" customHeight="1" x14ac:dyDescent="0.2">
      <c r="A5676" s="21"/>
      <c r="B5676" s="21"/>
      <c r="C5676" s="4" t="s">
        <v>269</v>
      </c>
      <c r="D5676" s="6" t="str">
        <f>HYPERLINK("javascript:void(0)","dobkarika")</f>
        <v>dobkarika</v>
      </c>
    </row>
    <row r="5677" spans="1:4" ht="12.75" customHeight="1" x14ac:dyDescent="0.2">
      <c r="A5677" s="5"/>
      <c r="B5677" s="2"/>
      <c r="C5677" s="2"/>
      <c r="D5677" s="2"/>
    </row>
    <row r="5678" spans="1:4" ht="12.75" customHeight="1" x14ac:dyDescent="0.2">
      <c r="A5678" s="22" t="str">
        <f>HYPERLINK("javascript:void(0)","gyíkacél ütegverő")</f>
        <v>gyíkacél ütegverő</v>
      </c>
      <c r="B5678" s="21"/>
      <c r="C5678" s="21"/>
      <c r="D5678" s="21"/>
    </row>
    <row r="5679" spans="1:4" ht="12.75" customHeight="1" x14ac:dyDescent="0.2">
      <c r="A5679" s="20"/>
      <c r="B5679" s="2"/>
      <c r="C5679" s="2"/>
      <c r="D5679" s="2"/>
    </row>
    <row r="5680" spans="1:4" ht="12.75" customHeight="1" x14ac:dyDescent="0.2">
      <c r="A5680" s="21"/>
      <c r="B5680" s="3" t="s">
        <v>0</v>
      </c>
      <c r="C5680" s="20" t="s">
        <v>95</v>
      </c>
      <c r="D5680" s="21"/>
    </row>
    <row r="5681" spans="1:4" ht="12.75" customHeight="1" x14ac:dyDescent="0.2">
      <c r="A5681" s="21"/>
      <c r="B5681" s="3" t="s">
        <v>2</v>
      </c>
      <c r="C5681" s="20" t="s">
        <v>122</v>
      </c>
      <c r="D5681" s="21"/>
    </row>
    <row r="5682" spans="1:4" ht="12.75" customHeight="1" x14ac:dyDescent="0.2">
      <c r="A5682" s="21"/>
      <c r="B5682" s="3" t="s">
        <v>4</v>
      </c>
      <c r="C5682" s="20" t="s">
        <v>1537</v>
      </c>
      <c r="D5682" s="21"/>
    </row>
    <row r="5683" spans="1:4" ht="12.75" customHeight="1" x14ac:dyDescent="0.2">
      <c r="A5683" s="21"/>
      <c r="B5683" s="3" t="s">
        <v>6</v>
      </c>
      <c r="C5683" s="20" t="s">
        <v>107</v>
      </c>
      <c r="D5683" s="21"/>
    </row>
    <row r="5684" spans="1:4" ht="12.75" customHeight="1" x14ac:dyDescent="0.2">
      <c r="A5684" s="21"/>
      <c r="B5684" s="3" t="s">
        <v>8</v>
      </c>
      <c r="C5684" s="20" t="s">
        <v>1537</v>
      </c>
      <c r="D5684" s="21"/>
    </row>
    <row r="5685" spans="1:4" ht="12.75" customHeight="1" x14ac:dyDescent="0.2">
      <c r="A5685" s="21"/>
      <c r="B5685" s="3" t="s">
        <v>9</v>
      </c>
      <c r="C5685" s="20" t="s">
        <v>1538</v>
      </c>
      <c r="D5685" s="21"/>
    </row>
    <row r="5686" spans="1:4" ht="12.75" customHeight="1" x14ac:dyDescent="0.2">
      <c r="A5686" s="21"/>
      <c r="B5686" s="3" t="s">
        <v>11</v>
      </c>
      <c r="C5686" s="20" t="s">
        <v>817</v>
      </c>
      <c r="D5686" s="21"/>
    </row>
    <row r="5687" spans="1:4" ht="12.75" customHeight="1" x14ac:dyDescent="0.2">
      <c r="A5687" s="21"/>
      <c r="B5687" s="3" t="s">
        <v>13</v>
      </c>
      <c r="C5687" s="20" t="s">
        <v>24</v>
      </c>
      <c r="D5687" s="21"/>
    </row>
    <row r="5688" spans="1:4" ht="12.75" customHeight="1" x14ac:dyDescent="0.2">
      <c r="A5688" s="21"/>
      <c r="B5688" s="3" t="s">
        <v>15</v>
      </c>
      <c r="C5688" s="20" t="s">
        <v>24</v>
      </c>
      <c r="D5688" s="21"/>
    </row>
    <row r="5689" spans="1:4" ht="12.75" customHeight="1" x14ac:dyDescent="0.2">
      <c r="A5689" s="21"/>
      <c r="B5689" s="3" t="s">
        <v>16</v>
      </c>
      <c r="C5689" s="20"/>
      <c r="D5689" s="21"/>
    </row>
    <row r="5690" spans="1:4" ht="12.75" customHeight="1" x14ac:dyDescent="0.2">
      <c r="A5690" s="21"/>
      <c r="B5690" s="3" t="s">
        <v>17</v>
      </c>
      <c r="C5690" s="20"/>
      <c r="D5690" s="21"/>
    </row>
    <row r="5691" spans="1:4" ht="12.75" customHeight="1" x14ac:dyDescent="0.2">
      <c r="A5691" s="21"/>
      <c r="B5691" s="20" t="s">
        <v>18</v>
      </c>
      <c r="C5691" s="4" t="s">
        <v>780</v>
      </c>
      <c r="D5691" s="6" t="str">
        <f>HYPERLINK("javascript:void(0)","betüvető")</f>
        <v>betüvető</v>
      </c>
    </row>
    <row r="5692" spans="1:4" ht="12.75" customHeight="1" x14ac:dyDescent="0.2">
      <c r="A5692" s="21"/>
      <c r="B5692" s="21"/>
      <c r="C5692" s="4" t="s">
        <v>398</v>
      </c>
      <c r="D5692" s="6" t="str">
        <f>HYPERLINK("javascript:void(0)","átokige")</f>
        <v>átokige</v>
      </c>
    </row>
    <row r="5693" spans="1:4" ht="12.75" customHeight="1" x14ac:dyDescent="0.2">
      <c r="A5693" s="21"/>
      <c r="B5693" s="21"/>
      <c r="C5693" s="4" t="s">
        <v>756</v>
      </c>
      <c r="D5693" s="6" t="str">
        <f>HYPERLINK("javascript:void(0)","vízige")</f>
        <v>vízige</v>
      </c>
    </row>
    <row r="5694" spans="1:4" ht="12.75" customHeight="1" x14ac:dyDescent="0.2">
      <c r="A5694" s="5"/>
      <c r="B5694" s="2"/>
      <c r="C5694" s="2"/>
      <c r="D5694" s="2"/>
    </row>
    <row r="5695" spans="1:4" ht="12.75" customHeight="1" x14ac:dyDescent="0.2">
      <c r="A5695" s="22" t="str">
        <f>HYPERLINK("javascript:void(0)","gólemsuhintó")</f>
        <v>gólemsuhintó</v>
      </c>
      <c r="B5695" s="21"/>
      <c r="C5695" s="21"/>
      <c r="D5695" s="21"/>
    </row>
    <row r="5696" spans="1:4" ht="12.75" customHeight="1" x14ac:dyDescent="0.2">
      <c r="A5696" s="20"/>
      <c r="B5696" s="2"/>
      <c r="C5696" s="2"/>
      <c r="D5696" s="2"/>
    </row>
    <row r="5697" spans="1:4" ht="12.75" customHeight="1" x14ac:dyDescent="0.2">
      <c r="A5697" s="21"/>
      <c r="B5697" s="3" t="s">
        <v>0</v>
      </c>
      <c r="C5697" s="20" t="s">
        <v>336</v>
      </c>
      <c r="D5697" s="21"/>
    </row>
    <row r="5698" spans="1:4" ht="12.75" customHeight="1" x14ac:dyDescent="0.2">
      <c r="A5698" s="21"/>
      <c r="B5698" s="3" t="s">
        <v>2</v>
      </c>
      <c r="C5698" s="20" t="s">
        <v>122</v>
      </c>
      <c r="D5698" s="21"/>
    </row>
    <row r="5699" spans="1:4" ht="12.75" customHeight="1" x14ac:dyDescent="0.2">
      <c r="A5699" s="21"/>
      <c r="B5699" s="3" t="s">
        <v>4</v>
      </c>
      <c r="C5699" s="20" t="s">
        <v>1540</v>
      </c>
      <c r="D5699" s="21"/>
    </row>
    <row r="5700" spans="1:4" ht="12.75" customHeight="1" x14ac:dyDescent="0.2">
      <c r="A5700" s="21"/>
      <c r="B5700" s="3" t="s">
        <v>6</v>
      </c>
      <c r="C5700" s="20" t="s">
        <v>284</v>
      </c>
      <c r="D5700" s="21"/>
    </row>
    <row r="5701" spans="1:4" ht="12.75" customHeight="1" x14ac:dyDescent="0.2">
      <c r="A5701" s="21"/>
      <c r="B5701" s="3" t="s">
        <v>8</v>
      </c>
      <c r="C5701" s="20" t="s">
        <v>1540</v>
      </c>
      <c r="D5701" s="21"/>
    </row>
    <row r="5702" spans="1:4" ht="12.75" customHeight="1" x14ac:dyDescent="0.2">
      <c r="A5702" s="21"/>
      <c r="B5702" s="3" t="s">
        <v>9</v>
      </c>
      <c r="C5702" s="20" t="s">
        <v>1532</v>
      </c>
      <c r="D5702" s="21"/>
    </row>
    <row r="5703" spans="1:4" ht="12.75" customHeight="1" x14ac:dyDescent="0.2">
      <c r="A5703" s="21"/>
      <c r="B5703" s="3" t="s">
        <v>11</v>
      </c>
      <c r="C5703" s="20" t="s">
        <v>1097</v>
      </c>
      <c r="D5703" s="21"/>
    </row>
    <row r="5704" spans="1:4" ht="12.75" customHeight="1" x14ac:dyDescent="0.2">
      <c r="A5704" s="21"/>
      <c r="B5704" s="3" t="s">
        <v>13</v>
      </c>
      <c r="C5704" s="20" t="s">
        <v>24</v>
      </c>
      <c r="D5704" s="21"/>
    </row>
    <row r="5705" spans="1:4" ht="12.75" customHeight="1" x14ac:dyDescent="0.2">
      <c r="A5705" s="21"/>
      <c r="B5705" s="3" t="s">
        <v>15</v>
      </c>
      <c r="C5705" s="20" t="s">
        <v>24</v>
      </c>
      <c r="D5705" s="21"/>
    </row>
    <row r="5706" spans="1:4" ht="12.75" customHeight="1" x14ac:dyDescent="0.2">
      <c r="A5706" s="21"/>
      <c r="B5706" s="3" t="s">
        <v>16</v>
      </c>
      <c r="C5706" s="20"/>
      <c r="D5706" s="21"/>
    </row>
    <row r="5707" spans="1:4" ht="12.75" customHeight="1" x14ac:dyDescent="0.2">
      <c r="A5707" s="21"/>
      <c r="B5707" s="3" t="s">
        <v>17</v>
      </c>
      <c r="C5707" s="20"/>
      <c r="D5707" s="21"/>
    </row>
    <row r="5708" spans="1:4" ht="12.75" customHeight="1" x14ac:dyDescent="0.2">
      <c r="A5708" s="21"/>
      <c r="B5708" s="20" t="s">
        <v>18</v>
      </c>
      <c r="C5708" s="4" t="s">
        <v>44</v>
      </c>
      <c r="D5708" s="6" t="str">
        <f>HYPERLINK("javascript:void(0)","gólempöröly")</f>
        <v>gólempöröly</v>
      </c>
    </row>
    <row r="5709" spans="1:4" ht="12.75" customHeight="1" x14ac:dyDescent="0.2">
      <c r="A5709" s="21"/>
      <c r="B5709" s="21"/>
      <c r="C5709" s="4" t="s">
        <v>44</v>
      </c>
      <c r="D5709" s="6" t="str">
        <f>HYPERLINK("javascript:void(0)","suhintónyél")</f>
        <v>suhintónyél</v>
      </c>
    </row>
    <row r="5710" spans="1:4" ht="12.75" customHeight="1" x14ac:dyDescent="0.2">
      <c r="A5710" s="21"/>
      <c r="B5710" s="21"/>
      <c r="C5710" s="4" t="s">
        <v>44</v>
      </c>
      <c r="D5710" s="6" t="str">
        <f>HYPERLINK("javascript:void(0)","dobromboló")</f>
        <v>dobromboló</v>
      </c>
    </row>
    <row r="5711" spans="1:4" ht="12.75" customHeight="1" x14ac:dyDescent="0.2">
      <c r="A5711" s="5"/>
      <c r="B5711" s="2"/>
      <c r="C5711" s="2"/>
      <c r="D5711" s="2"/>
    </row>
    <row r="5712" spans="1:4" ht="12.75" customHeight="1" x14ac:dyDescent="0.2">
      <c r="A5712" s="22" t="str">
        <f>HYPERLINK("javascript:void(0)","csóvás mágusölő")</f>
        <v>csóvás mágusölő</v>
      </c>
      <c r="B5712" s="21"/>
      <c r="C5712" s="21"/>
      <c r="D5712" s="21"/>
    </row>
    <row r="5713" spans="1:4" ht="12.75" customHeight="1" x14ac:dyDescent="0.2">
      <c r="A5713" s="20"/>
      <c r="B5713" s="2"/>
      <c r="C5713" s="2"/>
      <c r="D5713" s="2"/>
    </row>
    <row r="5714" spans="1:4" ht="12.75" customHeight="1" x14ac:dyDescent="0.2">
      <c r="A5714" s="21"/>
      <c r="B5714" s="3" t="s">
        <v>0</v>
      </c>
      <c r="C5714" s="20" t="s">
        <v>336</v>
      </c>
      <c r="D5714" s="21"/>
    </row>
    <row r="5715" spans="1:4" ht="12.75" customHeight="1" x14ac:dyDescent="0.2">
      <c r="A5715" s="21"/>
      <c r="B5715" s="3" t="s">
        <v>2</v>
      </c>
      <c r="C5715" s="20" t="s">
        <v>122</v>
      </c>
      <c r="D5715" s="21"/>
    </row>
    <row r="5716" spans="1:4" ht="12.75" customHeight="1" x14ac:dyDescent="0.2">
      <c r="A5716" s="21"/>
      <c r="B5716" s="3" t="s">
        <v>4</v>
      </c>
      <c r="C5716" s="20" t="s">
        <v>1542</v>
      </c>
      <c r="D5716" s="21"/>
    </row>
    <row r="5717" spans="1:4" ht="12.75" customHeight="1" x14ac:dyDescent="0.2">
      <c r="A5717" s="21"/>
      <c r="B5717" s="3" t="s">
        <v>6</v>
      </c>
      <c r="C5717" s="20" t="s">
        <v>48</v>
      </c>
      <c r="D5717" s="21"/>
    </row>
    <row r="5718" spans="1:4" ht="12.75" customHeight="1" x14ac:dyDescent="0.2">
      <c r="A5718" s="21"/>
      <c r="B5718" s="3" t="s">
        <v>8</v>
      </c>
      <c r="C5718" s="20" t="s">
        <v>1542</v>
      </c>
      <c r="D5718" s="21"/>
    </row>
    <row r="5719" spans="1:4" ht="12.75" customHeight="1" x14ac:dyDescent="0.2">
      <c r="A5719" s="21"/>
      <c r="B5719" s="3" t="s">
        <v>9</v>
      </c>
      <c r="C5719" s="20" t="s">
        <v>1543</v>
      </c>
      <c r="D5719" s="21"/>
    </row>
    <row r="5720" spans="1:4" ht="12.75" customHeight="1" x14ac:dyDescent="0.2">
      <c r="A5720" s="21"/>
      <c r="B5720" s="3" t="s">
        <v>11</v>
      </c>
      <c r="C5720" s="20" t="s">
        <v>1544</v>
      </c>
      <c r="D5720" s="21"/>
    </row>
    <row r="5721" spans="1:4" ht="12.75" customHeight="1" x14ac:dyDescent="0.2">
      <c r="A5721" s="21"/>
      <c r="B5721" s="3" t="s">
        <v>13</v>
      </c>
      <c r="C5721" s="20" t="s">
        <v>14</v>
      </c>
      <c r="D5721" s="21"/>
    </row>
    <row r="5722" spans="1:4" ht="12.75" customHeight="1" x14ac:dyDescent="0.2">
      <c r="A5722" s="21"/>
      <c r="B5722" s="3" t="s">
        <v>15</v>
      </c>
      <c r="C5722" s="20" t="s">
        <v>24</v>
      </c>
      <c r="D5722" s="21"/>
    </row>
    <row r="5723" spans="1:4" ht="12.75" customHeight="1" x14ac:dyDescent="0.2">
      <c r="A5723" s="21"/>
      <c r="B5723" s="3" t="s">
        <v>16</v>
      </c>
      <c r="C5723" s="20"/>
      <c r="D5723" s="21"/>
    </row>
    <row r="5724" spans="1:4" ht="12.75" customHeight="1" x14ac:dyDescent="0.2">
      <c r="A5724" s="21"/>
      <c r="B5724" s="3" t="s">
        <v>17</v>
      </c>
      <c r="C5724" s="20"/>
      <c r="D5724" s="21"/>
    </row>
    <row r="5725" spans="1:4" ht="12.75" customHeight="1" x14ac:dyDescent="0.2">
      <c r="A5725" s="21"/>
      <c r="B5725" s="20" t="s">
        <v>18</v>
      </c>
      <c r="C5725" s="4" t="s">
        <v>1545</v>
      </c>
      <c r="D5725" s="6" t="str">
        <f>HYPERLINK("javascript:void(0)","banánhéj")</f>
        <v>banánhéj</v>
      </c>
    </row>
    <row r="5726" spans="1:4" ht="12.75" customHeight="1" x14ac:dyDescent="0.2">
      <c r="A5726" s="21"/>
      <c r="B5726" s="21"/>
      <c r="C5726" s="4" t="s">
        <v>139</v>
      </c>
      <c r="D5726" s="6" t="str">
        <f>HYPERLINK("javascript:void(0)","szikracsóva")</f>
        <v>szikracsóva</v>
      </c>
    </row>
    <row r="5727" spans="1:4" ht="12.75" customHeight="1" x14ac:dyDescent="0.2">
      <c r="A5727" s="21"/>
      <c r="B5727" s="21"/>
      <c r="C5727" s="4" t="s">
        <v>139</v>
      </c>
      <c r="D5727" s="6" t="str">
        <f>HYPERLINK("javascript:void(0)","fiola")</f>
        <v>fiola</v>
      </c>
    </row>
    <row r="5728" spans="1:4" ht="12.75" customHeight="1" x14ac:dyDescent="0.2">
      <c r="A5728" s="5"/>
      <c r="B5728" s="2"/>
      <c r="C5728" s="2"/>
      <c r="D5728" s="2"/>
    </row>
    <row r="5729" spans="1:4" ht="12.75" customHeight="1" x14ac:dyDescent="0.2">
      <c r="A5729" s="22" t="str">
        <f>HYPERLINK("javascript:void(0)","gólemkalapács")</f>
        <v>gólemkalapács</v>
      </c>
      <c r="B5729" s="21"/>
      <c r="C5729" s="21"/>
      <c r="D5729" s="21"/>
    </row>
    <row r="5730" spans="1:4" ht="12.75" customHeight="1" x14ac:dyDescent="0.2">
      <c r="A5730" s="20"/>
      <c r="B5730" s="2"/>
      <c r="C5730" s="2"/>
      <c r="D5730" s="2"/>
    </row>
    <row r="5731" spans="1:4" ht="12.75" customHeight="1" x14ac:dyDescent="0.2">
      <c r="A5731" s="21"/>
      <c r="B5731" s="3" t="s">
        <v>0</v>
      </c>
      <c r="C5731" s="20" t="s">
        <v>347</v>
      </c>
      <c r="D5731" s="21"/>
    </row>
    <row r="5732" spans="1:4" ht="12.75" customHeight="1" x14ac:dyDescent="0.2">
      <c r="A5732" s="21"/>
      <c r="B5732" s="3" t="s">
        <v>2</v>
      </c>
      <c r="C5732" s="20" t="s">
        <v>122</v>
      </c>
      <c r="D5732" s="21"/>
    </row>
    <row r="5733" spans="1:4" ht="12.75" customHeight="1" x14ac:dyDescent="0.2">
      <c r="A5733" s="21"/>
      <c r="B5733" s="3" t="s">
        <v>4</v>
      </c>
      <c r="C5733" s="20" t="s">
        <v>1546</v>
      </c>
      <c r="D5733" s="21"/>
    </row>
    <row r="5734" spans="1:4" ht="12.75" customHeight="1" x14ac:dyDescent="0.2">
      <c r="A5734" s="21"/>
      <c r="B5734" s="3" t="s">
        <v>6</v>
      </c>
      <c r="C5734" s="20" t="s">
        <v>298</v>
      </c>
      <c r="D5734" s="21"/>
    </row>
    <row r="5735" spans="1:4" ht="12.75" customHeight="1" x14ac:dyDescent="0.2">
      <c r="A5735" s="21"/>
      <c r="B5735" s="3" t="s">
        <v>8</v>
      </c>
      <c r="C5735" s="20" t="s">
        <v>1546</v>
      </c>
      <c r="D5735" s="21"/>
    </row>
    <row r="5736" spans="1:4" ht="12.75" customHeight="1" x14ac:dyDescent="0.2">
      <c r="A5736" s="21"/>
      <c r="B5736" s="3" t="s">
        <v>9</v>
      </c>
      <c r="C5736" s="20" t="s">
        <v>464</v>
      </c>
      <c r="D5736" s="21"/>
    </row>
    <row r="5737" spans="1:4" ht="12.75" customHeight="1" x14ac:dyDescent="0.2">
      <c r="A5737" s="21"/>
      <c r="B5737" s="3" t="s">
        <v>11</v>
      </c>
      <c r="C5737" s="20" t="s">
        <v>1105</v>
      </c>
      <c r="D5737" s="21"/>
    </row>
    <row r="5738" spans="1:4" ht="12.75" customHeight="1" x14ac:dyDescent="0.2">
      <c r="A5738" s="21"/>
      <c r="B5738" s="3" t="s">
        <v>13</v>
      </c>
      <c r="C5738" s="20" t="s">
        <v>24</v>
      </c>
      <c r="D5738" s="21"/>
    </row>
    <row r="5739" spans="1:4" ht="12.75" customHeight="1" x14ac:dyDescent="0.2">
      <c r="A5739" s="21"/>
      <c r="B5739" s="3" t="s">
        <v>15</v>
      </c>
      <c r="C5739" s="20" t="s">
        <v>24</v>
      </c>
      <c r="D5739" s="21"/>
    </row>
    <row r="5740" spans="1:4" ht="12.75" customHeight="1" x14ac:dyDescent="0.2">
      <c r="A5740" s="21"/>
      <c r="B5740" s="3" t="s">
        <v>16</v>
      </c>
      <c r="C5740" s="20"/>
      <c r="D5740" s="21"/>
    </row>
    <row r="5741" spans="1:4" ht="12.75" customHeight="1" x14ac:dyDescent="0.2">
      <c r="A5741" s="21"/>
      <c r="B5741" s="3" t="s">
        <v>17</v>
      </c>
      <c r="C5741" s="20"/>
      <c r="D5741" s="21"/>
    </row>
    <row r="5742" spans="1:4" ht="12.75" customHeight="1" x14ac:dyDescent="0.2">
      <c r="A5742" s="21"/>
      <c r="B5742" s="20" t="s">
        <v>18</v>
      </c>
      <c r="C5742" s="4" t="s">
        <v>44</v>
      </c>
      <c r="D5742" s="6" t="str">
        <f>HYPERLINK("javascript:void(0)","gólemsuhintó")</f>
        <v>gólemsuhintó</v>
      </c>
    </row>
    <row r="5743" spans="1:4" ht="12.75" customHeight="1" x14ac:dyDescent="0.2">
      <c r="A5743" s="21"/>
      <c r="B5743" s="21"/>
      <c r="C5743" s="4" t="s">
        <v>756</v>
      </c>
      <c r="D5743" s="6" t="str">
        <f>HYPERLINK("javascript:void(0)","angyalhaj")</f>
        <v>angyalhaj</v>
      </c>
    </row>
    <row r="5744" spans="1:4" ht="12.75" customHeight="1" x14ac:dyDescent="0.2">
      <c r="A5744" s="21"/>
      <c r="B5744" s="21"/>
      <c r="C5744" s="4" t="s">
        <v>269</v>
      </c>
      <c r="D5744" s="6" t="str">
        <f>HYPERLINK("javascript:void(0)","szúnyogcsont")</f>
        <v>szúnyogcsont</v>
      </c>
    </row>
    <row r="5745" spans="1:4" ht="12.75" customHeight="1" x14ac:dyDescent="0.2">
      <c r="A5745" s="5"/>
      <c r="B5745" s="2"/>
      <c r="C5745" s="2"/>
      <c r="D5745" s="2"/>
    </row>
    <row r="5746" spans="1:4" ht="12.75" customHeight="1" x14ac:dyDescent="0.2">
      <c r="A5746" s="22" t="str">
        <f>HYPERLINK("javascript:void(0)","gyíkacél ütegtörő")</f>
        <v>gyíkacél ütegtörő</v>
      </c>
      <c r="B5746" s="21"/>
      <c r="C5746" s="21"/>
      <c r="D5746" s="21"/>
    </row>
    <row r="5747" spans="1:4" ht="12.75" customHeight="1" x14ac:dyDescent="0.2">
      <c r="A5747" s="20"/>
      <c r="B5747" s="2"/>
      <c r="C5747" s="2"/>
      <c r="D5747" s="2"/>
    </row>
    <row r="5748" spans="1:4" ht="12.75" customHeight="1" x14ac:dyDescent="0.2">
      <c r="A5748" s="21"/>
      <c r="B5748" s="3" t="s">
        <v>0</v>
      </c>
      <c r="C5748" s="20" t="s">
        <v>347</v>
      </c>
      <c r="D5748" s="21"/>
    </row>
    <row r="5749" spans="1:4" ht="12.75" customHeight="1" x14ac:dyDescent="0.2">
      <c r="A5749" s="21"/>
      <c r="B5749" s="3" t="s">
        <v>2</v>
      </c>
      <c r="C5749" s="20" t="s">
        <v>122</v>
      </c>
      <c r="D5749" s="21"/>
    </row>
    <row r="5750" spans="1:4" ht="12.75" customHeight="1" x14ac:dyDescent="0.2">
      <c r="A5750" s="21"/>
      <c r="B5750" s="3" t="s">
        <v>4</v>
      </c>
      <c r="C5750" s="20" t="s">
        <v>1548</v>
      </c>
      <c r="D5750" s="21"/>
    </row>
    <row r="5751" spans="1:4" ht="12.75" customHeight="1" x14ac:dyDescent="0.2">
      <c r="A5751" s="21"/>
      <c r="B5751" s="3" t="s">
        <v>6</v>
      </c>
      <c r="C5751" s="20" t="s">
        <v>107</v>
      </c>
      <c r="D5751" s="21"/>
    </row>
    <row r="5752" spans="1:4" ht="12.75" customHeight="1" x14ac:dyDescent="0.2">
      <c r="A5752" s="21"/>
      <c r="B5752" s="3" t="s">
        <v>8</v>
      </c>
      <c r="C5752" s="20" t="s">
        <v>1548</v>
      </c>
      <c r="D5752" s="21"/>
    </row>
    <row r="5753" spans="1:4" ht="12.75" customHeight="1" x14ac:dyDescent="0.2">
      <c r="A5753" s="21"/>
      <c r="B5753" s="3" t="s">
        <v>9</v>
      </c>
      <c r="C5753" s="20" t="s">
        <v>1549</v>
      </c>
      <c r="D5753" s="21"/>
    </row>
    <row r="5754" spans="1:4" ht="12.75" customHeight="1" x14ac:dyDescent="0.2">
      <c r="A5754" s="21"/>
      <c r="B5754" s="3" t="s">
        <v>11</v>
      </c>
      <c r="C5754" s="20" t="s">
        <v>835</v>
      </c>
      <c r="D5754" s="21"/>
    </row>
    <row r="5755" spans="1:4" ht="12.75" customHeight="1" x14ac:dyDescent="0.2">
      <c r="A5755" s="21"/>
      <c r="B5755" s="3" t="s">
        <v>13</v>
      </c>
      <c r="C5755" s="20" t="s">
        <v>24</v>
      </c>
      <c r="D5755" s="21"/>
    </row>
    <row r="5756" spans="1:4" ht="12.75" customHeight="1" x14ac:dyDescent="0.2">
      <c r="A5756" s="21"/>
      <c r="B5756" s="3" t="s">
        <v>15</v>
      </c>
      <c r="C5756" s="20" t="s">
        <v>24</v>
      </c>
      <c r="D5756" s="21"/>
    </row>
    <row r="5757" spans="1:4" ht="12.75" customHeight="1" x14ac:dyDescent="0.2">
      <c r="A5757" s="21"/>
      <c r="B5757" s="3" t="s">
        <v>16</v>
      </c>
      <c r="C5757" s="20"/>
      <c r="D5757" s="21"/>
    </row>
    <row r="5758" spans="1:4" ht="12.75" customHeight="1" x14ac:dyDescent="0.2">
      <c r="A5758" s="21"/>
      <c r="B5758" s="3" t="s">
        <v>17</v>
      </c>
      <c r="C5758" s="20"/>
      <c r="D5758" s="21"/>
    </row>
    <row r="5759" spans="1:4" ht="12.75" customHeight="1" x14ac:dyDescent="0.2">
      <c r="A5759" s="21"/>
      <c r="B5759" s="20" t="s">
        <v>18</v>
      </c>
      <c r="C5759" s="4" t="s">
        <v>796</v>
      </c>
      <c r="D5759" s="6" t="str">
        <f>HYPERLINK("javascript:void(0)","gigacsáp")</f>
        <v>gigacsáp</v>
      </c>
    </row>
    <row r="5760" spans="1:4" ht="12.75" customHeight="1" x14ac:dyDescent="0.2">
      <c r="A5760" s="21"/>
      <c r="B5760" s="21"/>
      <c r="C5760" s="4" t="s">
        <v>398</v>
      </c>
      <c r="D5760" s="6" t="str">
        <f>HYPERLINK("javascript:void(0)","trolltartó")</f>
        <v>trolltartó</v>
      </c>
    </row>
    <row r="5761" spans="1:4" ht="12.75" customHeight="1" x14ac:dyDescent="0.2">
      <c r="A5761" s="21"/>
      <c r="B5761" s="21"/>
      <c r="C5761" s="4" t="s">
        <v>780</v>
      </c>
      <c r="D5761" s="6" t="str">
        <f>HYPERLINK("javascript:void(0)","glóriahasító")</f>
        <v>glóriahasító</v>
      </c>
    </row>
    <row r="5762" spans="1:4" ht="12.75" customHeight="1" x14ac:dyDescent="0.2">
      <c r="A5762" s="5"/>
      <c r="B5762" s="2"/>
      <c r="C5762" s="2"/>
      <c r="D5762" s="2"/>
    </row>
    <row r="5763" spans="1:4" ht="12.75" customHeight="1" x14ac:dyDescent="0.2">
      <c r="A5763" s="22" t="str">
        <f>HYPERLINK("javascript:void(0)","zombicsapó")</f>
        <v>zombicsapó</v>
      </c>
      <c r="B5763" s="21"/>
      <c r="C5763" s="21"/>
      <c r="D5763" s="21"/>
    </row>
    <row r="5764" spans="1:4" ht="12.75" customHeight="1" x14ac:dyDescent="0.2">
      <c r="A5764" s="20"/>
      <c r="B5764" s="2"/>
      <c r="C5764" s="2"/>
      <c r="D5764" s="2"/>
    </row>
    <row r="5765" spans="1:4" ht="12.75" customHeight="1" x14ac:dyDescent="0.2">
      <c r="A5765" s="21"/>
      <c r="B5765" s="3" t="s">
        <v>0</v>
      </c>
      <c r="C5765" s="20" t="s">
        <v>312</v>
      </c>
      <c r="D5765" s="21"/>
    </row>
    <row r="5766" spans="1:4" ht="12.75" customHeight="1" x14ac:dyDescent="0.2">
      <c r="A5766" s="21"/>
      <c r="B5766" s="3" t="s">
        <v>2</v>
      </c>
      <c r="C5766" s="20" t="s">
        <v>122</v>
      </c>
      <c r="D5766" s="21"/>
    </row>
    <row r="5767" spans="1:4" ht="12.75" customHeight="1" x14ac:dyDescent="0.2">
      <c r="A5767" s="21"/>
      <c r="B5767" s="3" t="s">
        <v>4</v>
      </c>
      <c r="C5767" s="20" t="s">
        <v>1550</v>
      </c>
      <c r="D5767" s="21"/>
    </row>
    <row r="5768" spans="1:4" ht="12.75" customHeight="1" x14ac:dyDescent="0.2">
      <c r="A5768" s="21"/>
      <c r="B5768" s="3" t="s">
        <v>6</v>
      </c>
      <c r="C5768" s="20" t="s">
        <v>392</v>
      </c>
      <c r="D5768" s="21"/>
    </row>
    <row r="5769" spans="1:4" ht="12.75" customHeight="1" x14ac:dyDescent="0.2">
      <c r="A5769" s="21"/>
      <c r="B5769" s="3" t="s">
        <v>8</v>
      </c>
      <c r="C5769" s="20" t="s">
        <v>1550</v>
      </c>
      <c r="D5769" s="21"/>
    </row>
    <row r="5770" spans="1:4" ht="12.75" customHeight="1" x14ac:dyDescent="0.2">
      <c r="A5770" s="21"/>
      <c r="B5770" s="3" t="s">
        <v>9</v>
      </c>
      <c r="C5770" s="20" t="s">
        <v>1009</v>
      </c>
      <c r="D5770" s="21"/>
    </row>
    <row r="5771" spans="1:4" ht="12.75" customHeight="1" x14ac:dyDescent="0.2">
      <c r="A5771" s="21"/>
      <c r="B5771" s="3" t="s">
        <v>11</v>
      </c>
      <c r="C5771" s="20" t="s">
        <v>1117</v>
      </c>
      <c r="D5771" s="21"/>
    </row>
    <row r="5772" spans="1:4" ht="12.75" customHeight="1" x14ac:dyDescent="0.2">
      <c r="A5772" s="21"/>
      <c r="B5772" s="3" t="s">
        <v>13</v>
      </c>
      <c r="C5772" s="20" t="s">
        <v>24</v>
      </c>
      <c r="D5772" s="21"/>
    </row>
    <row r="5773" spans="1:4" ht="12.75" customHeight="1" x14ac:dyDescent="0.2">
      <c r="A5773" s="21"/>
      <c r="B5773" s="3" t="s">
        <v>15</v>
      </c>
      <c r="C5773" s="20" t="s">
        <v>24</v>
      </c>
      <c r="D5773" s="21"/>
    </row>
    <row r="5774" spans="1:4" ht="12.75" customHeight="1" x14ac:dyDescent="0.2">
      <c r="A5774" s="21"/>
      <c r="B5774" s="3" t="s">
        <v>16</v>
      </c>
      <c r="C5774" s="20"/>
      <c r="D5774" s="21"/>
    </row>
    <row r="5775" spans="1:4" ht="12.75" customHeight="1" x14ac:dyDescent="0.2">
      <c r="A5775" s="21"/>
      <c r="B5775" s="3" t="s">
        <v>17</v>
      </c>
      <c r="C5775" s="20"/>
      <c r="D5775" s="21"/>
    </row>
    <row r="5776" spans="1:4" ht="12.75" customHeight="1" x14ac:dyDescent="0.2">
      <c r="A5776" s="21"/>
      <c r="B5776" s="20" t="s">
        <v>18</v>
      </c>
      <c r="C5776" s="4" t="s">
        <v>1536</v>
      </c>
      <c r="D5776" s="6" t="str">
        <f>HYPERLINK("javascript:void(0)","kígyóborda")</f>
        <v>kígyóborda</v>
      </c>
    </row>
    <row r="5777" spans="1:4" ht="12.75" customHeight="1" x14ac:dyDescent="0.2">
      <c r="A5777" s="21"/>
      <c r="B5777" s="21"/>
      <c r="C5777" s="4" t="s">
        <v>290</v>
      </c>
      <c r="D5777" s="6" t="str">
        <f>HYPERLINK("javascript:void(0)","kvarc")</f>
        <v>kvarc</v>
      </c>
    </row>
    <row r="5778" spans="1:4" ht="12.75" customHeight="1" x14ac:dyDescent="0.2">
      <c r="A5778" s="21"/>
      <c r="B5778" s="21"/>
      <c r="C5778" s="4" t="s">
        <v>950</v>
      </c>
      <c r="D5778" s="6" t="str">
        <f>HYPERLINK("javascript:void(0)","patkányfarok")</f>
        <v>patkányfarok</v>
      </c>
    </row>
    <row r="5779" spans="1:4" ht="12.75" customHeight="1" x14ac:dyDescent="0.2">
      <c r="A5779" s="5"/>
      <c r="B5779" s="2"/>
      <c r="C5779" s="2"/>
      <c r="D5779" s="2"/>
    </row>
    <row r="5780" spans="1:4" ht="12.75" customHeight="1" x14ac:dyDescent="0.2">
      <c r="A5780" s="22" t="str">
        <f>HYPERLINK("javascript:void(0)","csőrös mágusölő")</f>
        <v>csőrös mágusölő</v>
      </c>
      <c r="B5780" s="21"/>
      <c r="C5780" s="21"/>
      <c r="D5780" s="21"/>
    </row>
    <row r="5781" spans="1:4" ht="12.75" customHeight="1" x14ac:dyDescent="0.2">
      <c r="A5781" s="20"/>
      <c r="B5781" s="2"/>
      <c r="C5781" s="2"/>
      <c r="D5781" s="2"/>
    </row>
    <row r="5782" spans="1:4" ht="12.75" customHeight="1" x14ac:dyDescent="0.2">
      <c r="A5782" s="21"/>
      <c r="B5782" s="3" t="s">
        <v>0</v>
      </c>
      <c r="C5782" s="20" t="s">
        <v>312</v>
      </c>
      <c r="D5782" s="21"/>
    </row>
    <row r="5783" spans="1:4" ht="12.75" customHeight="1" x14ac:dyDescent="0.2">
      <c r="A5783" s="21"/>
      <c r="B5783" s="3" t="s">
        <v>2</v>
      </c>
      <c r="C5783" s="20" t="s">
        <v>122</v>
      </c>
      <c r="D5783" s="21"/>
    </row>
    <row r="5784" spans="1:4" ht="12.75" customHeight="1" x14ac:dyDescent="0.2">
      <c r="A5784" s="21"/>
      <c r="B5784" s="3" t="s">
        <v>4</v>
      </c>
      <c r="C5784" s="20" t="s">
        <v>1551</v>
      </c>
      <c r="D5784" s="21"/>
    </row>
    <row r="5785" spans="1:4" ht="12.75" customHeight="1" x14ac:dyDescent="0.2">
      <c r="A5785" s="21"/>
      <c r="B5785" s="3" t="s">
        <v>6</v>
      </c>
      <c r="C5785" s="20" t="s">
        <v>46</v>
      </c>
      <c r="D5785" s="21"/>
    </row>
    <row r="5786" spans="1:4" ht="12.75" customHeight="1" x14ac:dyDescent="0.2">
      <c r="A5786" s="21"/>
      <c r="B5786" s="3" t="s">
        <v>8</v>
      </c>
      <c r="C5786" s="20" t="s">
        <v>1551</v>
      </c>
      <c r="D5786" s="21"/>
    </row>
    <row r="5787" spans="1:4" ht="12.75" customHeight="1" x14ac:dyDescent="0.2">
      <c r="A5787" s="21"/>
      <c r="B5787" s="3" t="s">
        <v>9</v>
      </c>
      <c r="C5787" s="20" t="s">
        <v>1552</v>
      </c>
      <c r="D5787" s="21"/>
    </row>
    <row r="5788" spans="1:4" ht="12.75" customHeight="1" x14ac:dyDescent="0.2">
      <c r="A5788" s="21"/>
      <c r="B5788" s="3" t="s">
        <v>11</v>
      </c>
      <c r="C5788" s="20" t="s">
        <v>1553</v>
      </c>
      <c r="D5788" s="21"/>
    </row>
    <row r="5789" spans="1:4" ht="12.75" customHeight="1" x14ac:dyDescent="0.2">
      <c r="A5789" s="21"/>
      <c r="B5789" s="3" t="s">
        <v>13</v>
      </c>
      <c r="C5789" s="20" t="s">
        <v>14</v>
      </c>
      <c r="D5789" s="21"/>
    </row>
    <row r="5790" spans="1:4" ht="12.75" customHeight="1" x14ac:dyDescent="0.2">
      <c r="A5790" s="21"/>
      <c r="B5790" s="3" t="s">
        <v>15</v>
      </c>
      <c r="C5790" s="20" t="s">
        <v>24</v>
      </c>
      <c r="D5790" s="21"/>
    </row>
    <row r="5791" spans="1:4" ht="12.75" customHeight="1" x14ac:dyDescent="0.2">
      <c r="A5791" s="21"/>
      <c r="B5791" s="3" t="s">
        <v>16</v>
      </c>
      <c r="C5791" s="20"/>
      <c r="D5791" s="21"/>
    </row>
    <row r="5792" spans="1:4" ht="12.75" customHeight="1" x14ac:dyDescent="0.2">
      <c r="A5792" s="21"/>
      <c r="B5792" s="3" t="s">
        <v>17</v>
      </c>
      <c r="C5792" s="20"/>
      <c r="D5792" s="21"/>
    </row>
    <row r="5793" spans="1:4" ht="12.75" customHeight="1" x14ac:dyDescent="0.2">
      <c r="A5793" s="21"/>
      <c r="B5793" s="20" t="s">
        <v>18</v>
      </c>
      <c r="C5793" s="4" t="s">
        <v>1554</v>
      </c>
      <c r="D5793" s="6" t="str">
        <f>HYPERLINK("javascript:void(0)","pálha")</f>
        <v>pálha</v>
      </c>
    </row>
    <row r="5794" spans="1:4" ht="12.75" customHeight="1" x14ac:dyDescent="0.2">
      <c r="A5794" s="21"/>
      <c r="B5794" s="21"/>
      <c r="C5794" s="4" t="s">
        <v>398</v>
      </c>
      <c r="D5794" s="6" t="str">
        <f>HYPERLINK("javascript:void(0)","maxilla")</f>
        <v>maxilla</v>
      </c>
    </row>
    <row r="5795" spans="1:4" ht="12.75" customHeight="1" x14ac:dyDescent="0.2">
      <c r="A5795" s="21"/>
      <c r="B5795" s="21"/>
      <c r="C5795" s="4" t="s">
        <v>265</v>
      </c>
      <c r="D5795" s="6" t="str">
        <f>HYPERLINK("javascript:void(0)","gyutacs")</f>
        <v>gyutacs</v>
      </c>
    </row>
    <row r="5796" spans="1:4" ht="12.75" customHeight="1" x14ac:dyDescent="0.2">
      <c r="A5796" s="5"/>
      <c r="B5796" s="2"/>
      <c r="C5796" s="2"/>
      <c r="D5796" s="2"/>
    </row>
    <row r="5797" spans="1:4" ht="12.75" customHeight="1" x14ac:dyDescent="0.2">
      <c r="A5797" s="22" t="str">
        <f>HYPERLINK("javascript:void(0)","gólempattintó")</f>
        <v>gólempattintó</v>
      </c>
      <c r="B5797" s="21"/>
      <c r="C5797" s="21"/>
      <c r="D5797" s="21"/>
    </row>
    <row r="5798" spans="1:4" ht="12.75" customHeight="1" x14ac:dyDescent="0.2">
      <c r="A5798" s="20"/>
      <c r="B5798" s="2"/>
      <c r="C5798" s="2"/>
      <c r="D5798" s="2"/>
    </row>
    <row r="5799" spans="1:4" ht="12.75" customHeight="1" x14ac:dyDescent="0.2">
      <c r="A5799" s="21"/>
      <c r="B5799" s="3" t="s">
        <v>0</v>
      </c>
      <c r="C5799" s="20" t="s">
        <v>305</v>
      </c>
      <c r="D5799" s="21"/>
    </row>
    <row r="5800" spans="1:4" ht="12.75" customHeight="1" x14ac:dyDescent="0.2">
      <c r="A5800" s="21"/>
      <c r="B5800" s="3" t="s">
        <v>2</v>
      </c>
      <c r="C5800" s="20" t="s">
        <v>122</v>
      </c>
      <c r="D5800" s="21"/>
    </row>
    <row r="5801" spans="1:4" ht="12.75" customHeight="1" x14ac:dyDescent="0.2">
      <c r="A5801" s="21"/>
      <c r="B5801" s="3" t="s">
        <v>4</v>
      </c>
      <c r="C5801" s="20" t="s">
        <v>1555</v>
      </c>
      <c r="D5801" s="21"/>
    </row>
    <row r="5802" spans="1:4" ht="12.75" customHeight="1" x14ac:dyDescent="0.2">
      <c r="A5802" s="21"/>
      <c r="B5802" s="3" t="s">
        <v>6</v>
      </c>
      <c r="C5802" s="20" t="s">
        <v>115</v>
      </c>
      <c r="D5802" s="21"/>
    </row>
    <row r="5803" spans="1:4" ht="12.75" customHeight="1" x14ac:dyDescent="0.2">
      <c r="A5803" s="21"/>
      <c r="B5803" s="3" t="s">
        <v>8</v>
      </c>
      <c r="C5803" s="20" t="s">
        <v>1555</v>
      </c>
      <c r="D5803" s="21"/>
    </row>
    <row r="5804" spans="1:4" ht="12.75" customHeight="1" x14ac:dyDescent="0.2">
      <c r="A5804" s="21"/>
      <c r="B5804" s="3" t="s">
        <v>9</v>
      </c>
      <c r="C5804" s="20" t="s">
        <v>916</v>
      </c>
      <c r="D5804" s="21"/>
    </row>
    <row r="5805" spans="1:4" ht="12.75" customHeight="1" x14ac:dyDescent="0.2">
      <c r="A5805" s="21"/>
      <c r="B5805" s="3" t="s">
        <v>11</v>
      </c>
      <c r="C5805" s="20" t="s">
        <v>1125</v>
      </c>
      <c r="D5805" s="21"/>
    </row>
    <row r="5806" spans="1:4" ht="12.75" customHeight="1" x14ac:dyDescent="0.2">
      <c r="A5806" s="21"/>
      <c r="B5806" s="3" t="s">
        <v>13</v>
      </c>
      <c r="C5806" s="20" t="s">
        <v>24</v>
      </c>
      <c r="D5806" s="21"/>
    </row>
    <row r="5807" spans="1:4" ht="12.75" customHeight="1" x14ac:dyDescent="0.2">
      <c r="A5807" s="21"/>
      <c r="B5807" s="3" t="s">
        <v>15</v>
      </c>
      <c r="C5807" s="20" t="s">
        <v>24</v>
      </c>
      <c r="D5807" s="21"/>
    </row>
    <row r="5808" spans="1:4" ht="12.75" customHeight="1" x14ac:dyDescent="0.2">
      <c r="A5808" s="21"/>
      <c r="B5808" s="3" t="s">
        <v>16</v>
      </c>
      <c r="C5808" s="20"/>
      <c r="D5808" s="21"/>
    </row>
    <row r="5809" spans="1:4" ht="12.75" customHeight="1" x14ac:dyDescent="0.2">
      <c r="A5809" s="21"/>
      <c r="B5809" s="3" t="s">
        <v>17</v>
      </c>
      <c r="C5809" s="20"/>
      <c r="D5809" s="21"/>
    </row>
    <row r="5810" spans="1:4" ht="12.75" customHeight="1" x14ac:dyDescent="0.2">
      <c r="A5810" s="21"/>
      <c r="B5810" s="20" t="s">
        <v>18</v>
      </c>
      <c r="C5810" s="4" t="s">
        <v>44</v>
      </c>
      <c r="D5810" s="6" t="str">
        <f>HYPERLINK("javascript:void(0)","zombicsapó")</f>
        <v>zombicsapó</v>
      </c>
    </row>
    <row r="5811" spans="1:4" ht="12.75" customHeight="1" x14ac:dyDescent="0.2">
      <c r="A5811" s="21"/>
      <c r="B5811" s="21"/>
      <c r="C5811" s="4" t="s">
        <v>44</v>
      </c>
      <c r="D5811" s="6" t="str">
        <f>HYPERLINK("javascript:void(0)","méregfogó")</f>
        <v>méregfogó</v>
      </c>
    </row>
    <row r="5812" spans="1:4" ht="12.75" customHeight="1" x14ac:dyDescent="0.2">
      <c r="A5812" s="21"/>
      <c r="B5812" s="21"/>
      <c r="C5812" s="4" t="s">
        <v>44</v>
      </c>
      <c r="D5812" s="6" t="str">
        <f>HYPERLINK("javascript:void(0)","gólemkalapács")</f>
        <v>gólemkalapács</v>
      </c>
    </row>
    <row r="5813" spans="1:4" ht="12.75" customHeight="1" x14ac:dyDescent="0.2">
      <c r="A5813" s="5"/>
      <c r="B5813" s="2"/>
      <c r="C5813" s="2"/>
      <c r="D5813" s="2"/>
    </row>
    <row r="5814" spans="1:4" ht="12.75" customHeight="1" x14ac:dyDescent="0.2">
      <c r="A5814" s="22" t="str">
        <f>HYPERLINK("javascript:void(0)","gyíkacél csóvakalapács")</f>
        <v>gyíkacél csóvakalapács</v>
      </c>
      <c r="B5814" s="21"/>
      <c r="C5814" s="21"/>
      <c r="D5814" s="21"/>
    </row>
    <row r="5815" spans="1:4" ht="12.75" customHeight="1" x14ac:dyDescent="0.2">
      <c r="A5815" s="20"/>
      <c r="B5815" s="2"/>
      <c r="C5815" s="2"/>
      <c r="D5815" s="2"/>
    </row>
    <row r="5816" spans="1:4" ht="12.75" customHeight="1" x14ac:dyDescent="0.2">
      <c r="A5816" s="21"/>
      <c r="B5816" s="3" t="s">
        <v>0</v>
      </c>
      <c r="C5816" s="20" t="s">
        <v>305</v>
      </c>
      <c r="D5816" s="21"/>
    </row>
    <row r="5817" spans="1:4" ht="12.75" customHeight="1" x14ac:dyDescent="0.2">
      <c r="A5817" s="21"/>
      <c r="B5817" s="3" t="s">
        <v>2</v>
      </c>
      <c r="C5817" s="20" t="s">
        <v>122</v>
      </c>
      <c r="D5817" s="21"/>
    </row>
    <row r="5818" spans="1:4" ht="12.75" customHeight="1" x14ac:dyDescent="0.2">
      <c r="A5818" s="21"/>
      <c r="B5818" s="3" t="s">
        <v>4</v>
      </c>
      <c r="C5818" s="20" t="s">
        <v>1556</v>
      </c>
      <c r="D5818" s="21"/>
    </row>
    <row r="5819" spans="1:4" ht="12.75" customHeight="1" x14ac:dyDescent="0.2">
      <c r="A5819" s="21"/>
      <c r="B5819" s="3" t="s">
        <v>6</v>
      </c>
      <c r="C5819" s="20" t="s">
        <v>468</v>
      </c>
      <c r="D5819" s="21"/>
    </row>
    <row r="5820" spans="1:4" ht="12.75" customHeight="1" x14ac:dyDescent="0.2">
      <c r="A5820" s="21"/>
      <c r="B5820" s="3" t="s">
        <v>8</v>
      </c>
      <c r="C5820" s="20" t="s">
        <v>1556</v>
      </c>
      <c r="D5820" s="21"/>
    </row>
    <row r="5821" spans="1:4" ht="12.75" customHeight="1" x14ac:dyDescent="0.2">
      <c r="A5821" s="21"/>
      <c r="B5821" s="3" t="s">
        <v>9</v>
      </c>
      <c r="C5821" s="20" t="s">
        <v>1557</v>
      </c>
      <c r="D5821" s="21"/>
    </row>
    <row r="5822" spans="1:4" ht="12.75" customHeight="1" x14ac:dyDescent="0.2">
      <c r="A5822" s="21"/>
      <c r="B5822" s="3" t="s">
        <v>11</v>
      </c>
      <c r="C5822" s="20" t="s">
        <v>856</v>
      </c>
      <c r="D5822" s="21"/>
    </row>
    <row r="5823" spans="1:4" ht="12.75" customHeight="1" x14ac:dyDescent="0.2">
      <c r="A5823" s="21"/>
      <c r="B5823" s="3" t="s">
        <v>13</v>
      </c>
      <c r="C5823" s="20" t="s">
        <v>24</v>
      </c>
      <c r="D5823" s="21"/>
    </row>
    <row r="5824" spans="1:4" ht="12.75" customHeight="1" x14ac:dyDescent="0.2">
      <c r="A5824" s="21"/>
      <c r="B5824" s="3" t="s">
        <v>15</v>
      </c>
      <c r="C5824" s="20" t="s">
        <v>24</v>
      </c>
      <c r="D5824" s="21"/>
    </row>
    <row r="5825" spans="1:4" ht="12.75" customHeight="1" x14ac:dyDescent="0.2">
      <c r="A5825" s="21"/>
      <c r="B5825" s="3" t="s">
        <v>16</v>
      </c>
      <c r="C5825" s="20"/>
      <c r="D5825" s="21"/>
    </row>
    <row r="5826" spans="1:4" ht="12.75" customHeight="1" x14ac:dyDescent="0.2">
      <c r="A5826" s="21"/>
      <c r="B5826" s="3" t="s">
        <v>17</v>
      </c>
      <c r="C5826" s="20"/>
      <c r="D5826" s="21"/>
    </row>
    <row r="5827" spans="1:4" ht="12.75" customHeight="1" x14ac:dyDescent="0.2">
      <c r="A5827" s="21"/>
      <c r="B5827" s="20" t="s">
        <v>18</v>
      </c>
      <c r="C5827" s="4" t="s">
        <v>796</v>
      </c>
      <c r="D5827" s="6" t="str">
        <f>HYPERLINK("javascript:void(0)","teleportige")</f>
        <v>teleportige</v>
      </c>
    </row>
    <row r="5828" spans="1:4" ht="12.75" customHeight="1" x14ac:dyDescent="0.2">
      <c r="A5828" s="21"/>
      <c r="B5828" s="21"/>
      <c r="C5828" s="4" t="s">
        <v>1113</v>
      </c>
      <c r="D5828" s="6" t="str">
        <f>HYPERLINK("javascript:void(0)","nukleon")</f>
        <v>nukleon</v>
      </c>
    </row>
    <row r="5829" spans="1:4" ht="12.75" customHeight="1" x14ac:dyDescent="0.2">
      <c r="A5829" s="21"/>
      <c r="B5829" s="21"/>
      <c r="C5829" s="4" t="s">
        <v>780</v>
      </c>
      <c r="D5829" s="6" t="str">
        <f>HYPERLINK("javascript:void(0)","ejtőernyő")</f>
        <v>ejtőernyő</v>
      </c>
    </row>
    <row r="5830" spans="1:4" ht="12.75" customHeight="1" x14ac:dyDescent="0.2">
      <c r="A5830" s="5"/>
      <c r="B5830" s="2"/>
      <c r="C5830" s="2"/>
      <c r="D5830" s="2"/>
    </row>
    <row r="5831" spans="1:4" ht="12.75" customHeight="1" x14ac:dyDescent="0.2">
      <c r="A5831" s="22" t="str">
        <f>HYPERLINK("javascript:void(0)","méregfogó")</f>
        <v>méregfogó</v>
      </c>
      <c r="B5831" s="21"/>
      <c r="C5831" s="21"/>
      <c r="D5831" s="21"/>
    </row>
    <row r="5832" spans="1:4" ht="12.75" customHeight="1" x14ac:dyDescent="0.2">
      <c r="A5832" s="20"/>
      <c r="B5832" s="2"/>
      <c r="C5832" s="2"/>
      <c r="D5832" s="2"/>
    </row>
    <row r="5833" spans="1:4" ht="12.75" customHeight="1" x14ac:dyDescent="0.2">
      <c r="A5833" s="21"/>
      <c r="B5833" s="3" t="s">
        <v>0</v>
      </c>
      <c r="C5833" s="20" t="s">
        <v>305</v>
      </c>
      <c r="D5833" s="21"/>
    </row>
    <row r="5834" spans="1:4" ht="12.75" customHeight="1" x14ac:dyDescent="0.2">
      <c r="A5834" s="21"/>
      <c r="B5834" s="3" t="s">
        <v>2</v>
      </c>
      <c r="C5834" s="20" t="s">
        <v>122</v>
      </c>
      <c r="D5834" s="21"/>
    </row>
    <row r="5835" spans="1:4" ht="12.75" customHeight="1" x14ac:dyDescent="0.2">
      <c r="A5835" s="21"/>
      <c r="B5835" s="3" t="s">
        <v>4</v>
      </c>
      <c r="C5835" s="20" t="s">
        <v>1558</v>
      </c>
      <c r="D5835" s="21"/>
    </row>
    <row r="5836" spans="1:4" ht="12.75" customHeight="1" x14ac:dyDescent="0.2">
      <c r="A5836" s="21"/>
      <c r="B5836" s="3" t="s">
        <v>6</v>
      </c>
      <c r="C5836" s="20" t="s">
        <v>1558</v>
      </c>
      <c r="D5836" s="21"/>
    </row>
    <row r="5837" spans="1:4" ht="12.75" customHeight="1" x14ac:dyDescent="0.2">
      <c r="A5837" s="21"/>
      <c r="B5837" s="3" t="s">
        <v>8</v>
      </c>
      <c r="C5837" s="20" t="s">
        <v>1558</v>
      </c>
      <c r="D5837" s="21"/>
    </row>
    <row r="5838" spans="1:4" ht="12.75" customHeight="1" x14ac:dyDescent="0.2">
      <c r="A5838" s="21"/>
      <c r="B5838" s="3" t="s">
        <v>9</v>
      </c>
      <c r="C5838" s="20" t="s">
        <v>1559</v>
      </c>
      <c r="D5838" s="21"/>
    </row>
    <row r="5839" spans="1:4" ht="12.75" customHeight="1" x14ac:dyDescent="0.2">
      <c r="A5839" s="21"/>
      <c r="B5839" s="3" t="s">
        <v>11</v>
      </c>
      <c r="C5839" s="20" t="s">
        <v>1560</v>
      </c>
      <c r="D5839" s="21"/>
    </row>
    <row r="5840" spans="1:4" ht="12.75" customHeight="1" x14ac:dyDescent="0.2">
      <c r="A5840" s="21"/>
      <c r="B5840" s="3" t="s">
        <v>13</v>
      </c>
      <c r="C5840" s="20" t="s">
        <v>24</v>
      </c>
      <c r="D5840" s="21"/>
    </row>
    <row r="5841" spans="1:4" ht="12.75" customHeight="1" x14ac:dyDescent="0.2">
      <c r="A5841" s="21"/>
      <c r="B5841" s="3" t="s">
        <v>15</v>
      </c>
      <c r="C5841" s="20" t="s">
        <v>24</v>
      </c>
      <c r="D5841" s="21"/>
    </row>
    <row r="5842" spans="1:4" ht="12.75" customHeight="1" x14ac:dyDescent="0.2">
      <c r="A5842" s="21"/>
      <c r="B5842" s="3" t="s">
        <v>16</v>
      </c>
      <c r="C5842" s="20"/>
      <c r="D5842" s="21"/>
    </row>
    <row r="5843" spans="1:4" ht="12.75" customHeight="1" x14ac:dyDescent="0.2">
      <c r="A5843" s="21"/>
      <c r="B5843" s="3" t="s">
        <v>17</v>
      </c>
      <c r="C5843" s="20"/>
      <c r="D5843" s="21"/>
    </row>
    <row r="5844" spans="1:4" ht="12.75" customHeight="1" x14ac:dyDescent="0.2">
      <c r="A5844" s="21"/>
      <c r="B5844" s="20" t="s">
        <v>18</v>
      </c>
      <c r="C5844" s="4" t="s">
        <v>494</v>
      </c>
      <c r="D5844" s="6" t="str">
        <f>HYPERLINK("javascript:void(0)","ördögpihe")</f>
        <v>ördögpihe</v>
      </c>
    </row>
    <row r="5845" spans="1:4" ht="12.75" customHeight="1" x14ac:dyDescent="0.2">
      <c r="A5845" s="21"/>
      <c r="B5845" s="21"/>
      <c r="C5845" s="4" t="s">
        <v>290</v>
      </c>
      <c r="D5845" s="6" t="str">
        <f>HYPERLINK("javascript:void(0)","méregcsepp")</f>
        <v>méregcsepp</v>
      </c>
    </row>
    <row r="5846" spans="1:4" ht="12.75" customHeight="1" x14ac:dyDescent="0.2">
      <c r="A5846" s="21"/>
      <c r="B5846" s="21"/>
      <c r="C5846" s="4" t="s">
        <v>786</v>
      </c>
      <c r="D5846" s="6" t="str">
        <f>HYPERLINK("javascript:void(0)","rémkép")</f>
        <v>rémkép</v>
      </c>
    </row>
    <row r="5847" spans="1:4" ht="12.75" customHeight="1" x14ac:dyDescent="0.2">
      <c r="A5847" s="5"/>
      <c r="B5847" s="2"/>
      <c r="C5847" s="2"/>
      <c r="D5847" s="2"/>
    </row>
    <row r="5848" spans="1:4" ht="12.75" customHeight="1" x14ac:dyDescent="0.2">
      <c r="A5848" s="22" t="str">
        <f>HYPERLINK("javascript:void(0)","gólemcsapó")</f>
        <v>gólemcsapó</v>
      </c>
      <c r="B5848" s="21"/>
      <c r="C5848" s="21"/>
      <c r="D5848" s="21"/>
    </row>
    <row r="5849" spans="1:4" ht="12.75" customHeight="1" x14ac:dyDescent="0.2">
      <c r="A5849" s="20"/>
      <c r="B5849" s="2"/>
      <c r="C5849" s="2"/>
      <c r="D5849" s="2"/>
    </row>
    <row r="5850" spans="1:4" ht="12.75" customHeight="1" x14ac:dyDescent="0.2">
      <c r="A5850" s="21"/>
      <c r="B5850" s="3" t="s">
        <v>0</v>
      </c>
      <c r="C5850" s="20" t="s">
        <v>1114</v>
      </c>
      <c r="D5850" s="21"/>
    </row>
    <row r="5851" spans="1:4" ht="12.75" customHeight="1" x14ac:dyDescent="0.2">
      <c r="A5851" s="21"/>
      <c r="B5851" s="3" t="s">
        <v>2</v>
      </c>
      <c r="C5851" s="20" t="s">
        <v>122</v>
      </c>
      <c r="D5851" s="21"/>
    </row>
    <row r="5852" spans="1:4" ht="12.75" customHeight="1" x14ac:dyDescent="0.2">
      <c r="A5852" s="21"/>
      <c r="B5852" s="3" t="s">
        <v>4</v>
      </c>
      <c r="C5852" s="20" t="s">
        <v>1561</v>
      </c>
      <c r="D5852" s="21"/>
    </row>
    <row r="5853" spans="1:4" ht="12.75" customHeight="1" x14ac:dyDescent="0.2">
      <c r="A5853" s="21"/>
      <c r="B5853" s="3" t="s">
        <v>6</v>
      </c>
      <c r="C5853" s="20" t="s">
        <v>157</v>
      </c>
      <c r="D5853" s="21"/>
    </row>
    <row r="5854" spans="1:4" ht="12.75" customHeight="1" x14ac:dyDescent="0.2">
      <c r="A5854" s="21"/>
      <c r="B5854" s="3" t="s">
        <v>8</v>
      </c>
      <c r="C5854" s="20" t="s">
        <v>1561</v>
      </c>
      <c r="D5854" s="21"/>
    </row>
    <row r="5855" spans="1:4" ht="12.75" customHeight="1" x14ac:dyDescent="0.2">
      <c r="A5855" s="21"/>
      <c r="B5855" s="3" t="s">
        <v>9</v>
      </c>
      <c r="C5855" s="20" t="s">
        <v>1562</v>
      </c>
      <c r="D5855" s="21"/>
    </row>
    <row r="5856" spans="1:4" ht="12.75" customHeight="1" x14ac:dyDescent="0.2">
      <c r="A5856" s="21"/>
      <c r="B5856" s="3" t="s">
        <v>11</v>
      </c>
      <c r="C5856" s="20" t="s">
        <v>1136</v>
      </c>
      <c r="D5856" s="21"/>
    </row>
    <row r="5857" spans="1:4" ht="12.75" customHeight="1" x14ac:dyDescent="0.2">
      <c r="A5857" s="21"/>
      <c r="B5857" s="3" t="s">
        <v>13</v>
      </c>
      <c r="C5857" s="20" t="s">
        <v>24</v>
      </c>
      <c r="D5857" s="21"/>
    </row>
    <row r="5858" spans="1:4" ht="12.75" customHeight="1" x14ac:dyDescent="0.2">
      <c r="A5858" s="21"/>
      <c r="B5858" s="3" t="s">
        <v>15</v>
      </c>
      <c r="C5858" s="20" t="s">
        <v>24</v>
      </c>
      <c r="D5858" s="21"/>
    </row>
    <row r="5859" spans="1:4" ht="12.75" customHeight="1" x14ac:dyDescent="0.2">
      <c r="A5859" s="21"/>
      <c r="B5859" s="3" t="s">
        <v>16</v>
      </c>
      <c r="C5859" s="20"/>
      <c r="D5859" s="21"/>
    </row>
    <row r="5860" spans="1:4" ht="12.75" customHeight="1" x14ac:dyDescent="0.2">
      <c r="A5860" s="21"/>
      <c r="B5860" s="3" t="s">
        <v>17</v>
      </c>
      <c r="C5860" s="20"/>
      <c r="D5860" s="21"/>
    </row>
    <row r="5861" spans="1:4" ht="12.75" customHeight="1" x14ac:dyDescent="0.2">
      <c r="A5861" s="21"/>
      <c r="B5861" s="20" t="s">
        <v>18</v>
      </c>
      <c r="C5861" s="4" t="s">
        <v>44</v>
      </c>
      <c r="D5861" s="6" t="str">
        <f>HYPERLINK("javascript:void(0)","gólempattintó")</f>
        <v>gólempattintó</v>
      </c>
    </row>
    <row r="5862" spans="1:4" ht="12.75" customHeight="1" x14ac:dyDescent="0.2">
      <c r="A5862" s="21"/>
      <c r="B5862" s="21"/>
      <c r="C5862" s="4" t="s">
        <v>139</v>
      </c>
      <c r="D5862" s="6" t="str">
        <f>HYPERLINK("javascript:void(0)","rémkép")</f>
        <v>rémkép</v>
      </c>
    </row>
    <row r="5863" spans="1:4" ht="12.75" customHeight="1" x14ac:dyDescent="0.2">
      <c r="A5863" s="21"/>
      <c r="B5863" s="21"/>
      <c r="C5863" s="4" t="s">
        <v>269</v>
      </c>
      <c r="D5863" s="6" t="str">
        <f>HYPERLINK("javascript:void(0)","ostornyelv")</f>
        <v>ostornyelv</v>
      </c>
    </row>
    <row r="5864" spans="1:4" ht="12.75" customHeight="1" x14ac:dyDescent="0.2">
      <c r="A5864" s="5"/>
      <c r="B5864" s="2"/>
      <c r="C5864" s="2"/>
      <c r="D5864" s="2"/>
    </row>
    <row r="5865" spans="1:4" ht="12.75" customHeight="1" x14ac:dyDescent="0.2">
      <c r="A5865" s="22" t="str">
        <f>HYPERLINK("javascript:void(0)","ostoros mágusölő")</f>
        <v>ostoros mágusölő</v>
      </c>
      <c r="B5865" s="21"/>
      <c r="C5865" s="21"/>
      <c r="D5865" s="21"/>
    </row>
    <row r="5866" spans="1:4" ht="12.75" customHeight="1" x14ac:dyDescent="0.2">
      <c r="A5866" s="20"/>
      <c r="B5866" s="2"/>
      <c r="C5866" s="2"/>
      <c r="D5866" s="2"/>
    </row>
    <row r="5867" spans="1:4" ht="12.75" customHeight="1" x14ac:dyDescent="0.2">
      <c r="A5867" s="21"/>
      <c r="B5867" s="3" t="s">
        <v>0</v>
      </c>
      <c r="C5867" s="20" t="s">
        <v>1114</v>
      </c>
      <c r="D5867" s="21"/>
    </row>
    <row r="5868" spans="1:4" ht="12.75" customHeight="1" x14ac:dyDescent="0.2">
      <c r="A5868" s="21"/>
      <c r="B5868" s="3" t="s">
        <v>2</v>
      </c>
      <c r="C5868" s="20" t="s">
        <v>122</v>
      </c>
      <c r="D5868" s="21"/>
    </row>
    <row r="5869" spans="1:4" ht="12.75" customHeight="1" x14ac:dyDescent="0.2">
      <c r="A5869" s="21"/>
      <c r="B5869" s="3" t="s">
        <v>4</v>
      </c>
      <c r="C5869" s="20" t="s">
        <v>1563</v>
      </c>
      <c r="D5869" s="21"/>
    </row>
    <row r="5870" spans="1:4" ht="12.75" customHeight="1" x14ac:dyDescent="0.2">
      <c r="A5870" s="21"/>
      <c r="B5870" s="3" t="s">
        <v>6</v>
      </c>
      <c r="C5870" s="20" t="s">
        <v>48</v>
      </c>
      <c r="D5870" s="21"/>
    </row>
    <row r="5871" spans="1:4" ht="12.75" customHeight="1" x14ac:dyDescent="0.2">
      <c r="A5871" s="21"/>
      <c r="B5871" s="3" t="s">
        <v>8</v>
      </c>
      <c r="C5871" s="20" t="s">
        <v>1563</v>
      </c>
      <c r="D5871" s="21"/>
    </row>
    <row r="5872" spans="1:4" ht="12.75" customHeight="1" x14ac:dyDescent="0.2">
      <c r="A5872" s="21"/>
      <c r="B5872" s="3" t="s">
        <v>9</v>
      </c>
      <c r="C5872" s="20" t="s">
        <v>1564</v>
      </c>
      <c r="D5872" s="21"/>
    </row>
    <row r="5873" spans="1:4" ht="12.75" customHeight="1" x14ac:dyDescent="0.2">
      <c r="A5873" s="21"/>
      <c r="B5873" s="3" t="s">
        <v>11</v>
      </c>
      <c r="C5873" s="20" t="s">
        <v>1565</v>
      </c>
      <c r="D5873" s="21"/>
    </row>
    <row r="5874" spans="1:4" ht="12.75" customHeight="1" x14ac:dyDescent="0.2">
      <c r="A5874" s="21"/>
      <c r="B5874" s="3" t="s">
        <v>13</v>
      </c>
      <c r="C5874" s="20" t="s">
        <v>14</v>
      </c>
      <c r="D5874" s="21"/>
    </row>
    <row r="5875" spans="1:4" ht="12.75" customHeight="1" x14ac:dyDescent="0.2">
      <c r="A5875" s="21"/>
      <c r="B5875" s="3" t="s">
        <v>15</v>
      </c>
      <c r="C5875" s="20" t="s">
        <v>24</v>
      </c>
      <c r="D5875" s="21"/>
    </row>
    <row r="5876" spans="1:4" ht="12.75" customHeight="1" x14ac:dyDescent="0.2">
      <c r="A5876" s="21"/>
      <c r="B5876" s="3" t="s">
        <v>16</v>
      </c>
      <c r="C5876" s="20"/>
      <c r="D5876" s="21"/>
    </row>
    <row r="5877" spans="1:4" ht="12.75" customHeight="1" x14ac:dyDescent="0.2">
      <c r="A5877" s="21"/>
      <c r="B5877" s="3" t="s">
        <v>17</v>
      </c>
      <c r="C5877" s="20"/>
      <c r="D5877" s="21"/>
    </row>
    <row r="5878" spans="1:4" ht="12.75" customHeight="1" x14ac:dyDescent="0.2">
      <c r="A5878" s="21"/>
      <c r="B5878" s="20" t="s">
        <v>18</v>
      </c>
      <c r="C5878" s="4" t="s">
        <v>772</v>
      </c>
      <c r="D5878" s="6" t="str">
        <f>HYPERLINK("javascript:void(0)","vaskarima")</f>
        <v>vaskarima</v>
      </c>
    </row>
    <row r="5879" spans="1:4" ht="12.75" customHeight="1" x14ac:dyDescent="0.2">
      <c r="A5879" s="21"/>
      <c r="B5879" s="21"/>
      <c r="C5879" s="4" t="s">
        <v>193</v>
      </c>
      <c r="D5879" s="6" t="str">
        <f>HYPERLINK("javascript:void(0)","ostornyelv")</f>
        <v>ostornyelv</v>
      </c>
    </row>
    <row r="5880" spans="1:4" ht="12.75" customHeight="1" x14ac:dyDescent="0.2">
      <c r="A5880" s="21"/>
      <c r="B5880" s="21"/>
      <c r="C5880" s="4" t="s">
        <v>1566</v>
      </c>
      <c r="D5880" s="6" t="str">
        <f>HYPERLINK("javascript:void(0)","süntüske")</f>
        <v>süntüske</v>
      </c>
    </row>
    <row r="5881" spans="1:4" ht="12.75" customHeight="1" x14ac:dyDescent="0.2">
      <c r="A5881" s="5"/>
      <c r="B5881" s="2"/>
      <c r="C5881" s="2"/>
      <c r="D5881" s="2"/>
    </row>
    <row r="5882" spans="1:4" ht="12.75" customHeight="1" x14ac:dyDescent="0.2">
      <c r="A5882" s="22" t="str">
        <f>HYPERLINK("javascript:void(0)","zombipöröly")</f>
        <v>zombipöröly</v>
      </c>
      <c r="B5882" s="21"/>
      <c r="C5882" s="21"/>
      <c r="D5882" s="21"/>
    </row>
    <row r="5883" spans="1:4" ht="12.75" customHeight="1" x14ac:dyDescent="0.2">
      <c r="A5883" s="20"/>
      <c r="B5883" s="2"/>
      <c r="C5883" s="2"/>
      <c r="D5883" s="2"/>
    </row>
    <row r="5884" spans="1:4" ht="12.75" customHeight="1" x14ac:dyDescent="0.2">
      <c r="A5884" s="21"/>
      <c r="B5884" s="3" t="s">
        <v>0</v>
      </c>
      <c r="C5884" s="20" t="s">
        <v>356</v>
      </c>
      <c r="D5884" s="21"/>
    </row>
    <row r="5885" spans="1:4" ht="12.75" customHeight="1" x14ac:dyDescent="0.2">
      <c r="A5885" s="21"/>
      <c r="B5885" s="3" t="s">
        <v>2</v>
      </c>
      <c r="C5885" s="20" t="s">
        <v>122</v>
      </c>
      <c r="D5885" s="21"/>
    </row>
    <row r="5886" spans="1:4" ht="12.75" customHeight="1" x14ac:dyDescent="0.2">
      <c r="A5886" s="21"/>
      <c r="B5886" s="3" t="s">
        <v>4</v>
      </c>
      <c r="C5886" s="20" t="s">
        <v>1567</v>
      </c>
      <c r="D5886" s="21"/>
    </row>
    <row r="5887" spans="1:4" ht="12.75" customHeight="1" x14ac:dyDescent="0.2">
      <c r="A5887" s="21"/>
      <c r="B5887" s="3" t="s">
        <v>6</v>
      </c>
      <c r="C5887" s="20" t="s">
        <v>284</v>
      </c>
      <c r="D5887" s="21"/>
    </row>
    <row r="5888" spans="1:4" ht="12.75" customHeight="1" x14ac:dyDescent="0.2">
      <c r="A5888" s="21"/>
      <c r="B5888" s="3" t="s">
        <v>8</v>
      </c>
      <c r="C5888" s="20" t="s">
        <v>1567</v>
      </c>
      <c r="D5888" s="21"/>
    </row>
    <row r="5889" spans="1:4" ht="12.75" customHeight="1" x14ac:dyDescent="0.2">
      <c r="A5889" s="21"/>
      <c r="B5889" s="3" t="s">
        <v>9</v>
      </c>
      <c r="C5889" s="20" t="s">
        <v>1568</v>
      </c>
      <c r="D5889" s="21"/>
    </row>
    <row r="5890" spans="1:4" ht="12.75" customHeight="1" x14ac:dyDescent="0.2">
      <c r="A5890" s="21"/>
      <c r="B5890" s="3" t="s">
        <v>11</v>
      </c>
      <c r="C5890" s="20" t="s">
        <v>1145</v>
      </c>
      <c r="D5890" s="21"/>
    </row>
    <row r="5891" spans="1:4" ht="12.75" customHeight="1" x14ac:dyDescent="0.2">
      <c r="A5891" s="21"/>
      <c r="B5891" s="3" t="s">
        <v>13</v>
      </c>
      <c r="C5891" s="20" t="s">
        <v>24</v>
      </c>
      <c r="D5891" s="21"/>
    </row>
    <row r="5892" spans="1:4" ht="12.75" customHeight="1" x14ac:dyDescent="0.2">
      <c r="A5892" s="21"/>
      <c r="B5892" s="3" t="s">
        <v>15</v>
      </c>
      <c r="C5892" s="20" t="s">
        <v>24</v>
      </c>
      <c r="D5892" s="21"/>
    </row>
    <row r="5893" spans="1:4" ht="12.75" customHeight="1" x14ac:dyDescent="0.2">
      <c r="A5893" s="21"/>
      <c r="B5893" s="3" t="s">
        <v>16</v>
      </c>
      <c r="C5893" s="20"/>
      <c r="D5893" s="21"/>
    </row>
    <row r="5894" spans="1:4" ht="12.75" customHeight="1" x14ac:dyDescent="0.2">
      <c r="A5894" s="21"/>
      <c r="B5894" s="3" t="s">
        <v>17</v>
      </c>
      <c r="C5894" s="20"/>
      <c r="D5894" s="21"/>
    </row>
    <row r="5895" spans="1:4" ht="12.75" customHeight="1" x14ac:dyDescent="0.2">
      <c r="A5895" s="21"/>
      <c r="B5895" s="20" t="s">
        <v>18</v>
      </c>
      <c r="C5895" s="4" t="s">
        <v>163</v>
      </c>
      <c r="D5895" s="6" t="str">
        <f>HYPERLINK("javascript:void(0)","gigaköröm")</f>
        <v>gigaköröm</v>
      </c>
    </row>
    <row r="5896" spans="1:4" ht="12.75" customHeight="1" x14ac:dyDescent="0.2">
      <c r="A5896" s="21"/>
      <c r="B5896" s="21"/>
      <c r="C5896" s="4" t="s">
        <v>139</v>
      </c>
      <c r="D5896" s="6" t="str">
        <f>HYPERLINK("javascript:void(0)","röpkavics")</f>
        <v>röpkavics</v>
      </c>
    </row>
    <row r="5897" spans="1:4" ht="12.75" customHeight="1" x14ac:dyDescent="0.2">
      <c r="A5897" s="21"/>
      <c r="B5897" s="21"/>
      <c r="C5897" s="4" t="s">
        <v>772</v>
      </c>
      <c r="D5897" s="6" t="str">
        <f>HYPERLINK("javascript:void(0)","zombiszem")</f>
        <v>zombiszem</v>
      </c>
    </row>
    <row r="5898" spans="1:4" ht="12.75" customHeight="1" x14ac:dyDescent="0.2">
      <c r="A5898" s="5"/>
      <c r="B5898" s="2"/>
      <c r="C5898" s="2"/>
      <c r="D5898" s="2"/>
    </row>
    <row r="5899" spans="1:4" ht="12.75" customHeight="1" x14ac:dyDescent="0.2">
      <c r="A5899" s="22" t="str">
        <f>HYPERLINK("javascript:void(0)","gyíkacél csóvapöröly")</f>
        <v>gyíkacél csóvapöröly</v>
      </c>
      <c r="B5899" s="21"/>
      <c r="C5899" s="21"/>
      <c r="D5899" s="21"/>
    </row>
    <row r="5900" spans="1:4" ht="12.75" customHeight="1" x14ac:dyDescent="0.2">
      <c r="A5900" s="20"/>
      <c r="B5900" s="2"/>
      <c r="C5900" s="2"/>
      <c r="D5900" s="2"/>
    </row>
    <row r="5901" spans="1:4" ht="12.75" customHeight="1" x14ac:dyDescent="0.2">
      <c r="A5901" s="21"/>
      <c r="B5901" s="3" t="s">
        <v>0</v>
      </c>
      <c r="C5901" s="20" t="s">
        <v>356</v>
      </c>
      <c r="D5901" s="21"/>
    </row>
    <row r="5902" spans="1:4" ht="12.75" customHeight="1" x14ac:dyDescent="0.2">
      <c r="A5902" s="21"/>
      <c r="B5902" s="3" t="s">
        <v>2</v>
      </c>
      <c r="C5902" s="20" t="s">
        <v>122</v>
      </c>
      <c r="D5902" s="21"/>
    </row>
    <row r="5903" spans="1:4" ht="12.75" customHeight="1" x14ac:dyDescent="0.2">
      <c r="A5903" s="21"/>
      <c r="B5903" s="3" t="s">
        <v>4</v>
      </c>
      <c r="C5903" s="20" t="s">
        <v>1569</v>
      </c>
      <c r="D5903" s="21"/>
    </row>
    <row r="5904" spans="1:4" ht="12.75" customHeight="1" x14ac:dyDescent="0.2">
      <c r="A5904" s="21"/>
      <c r="B5904" s="3" t="s">
        <v>6</v>
      </c>
      <c r="C5904" s="20" t="s">
        <v>52</v>
      </c>
      <c r="D5904" s="21"/>
    </row>
    <row r="5905" spans="1:4" ht="12.75" customHeight="1" x14ac:dyDescent="0.2">
      <c r="A5905" s="21"/>
      <c r="B5905" s="3" t="s">
        <v>8</v>
      </c>
      <c r="C5905" s="20" t="s">
        <v>1569</v>
      </c>
      <c r="D5905" s="21"/>
    </row>
    <row r="5906" spans="1:4" ht="12.75" customHeight="1" x14ac:dyDescent="0.2">
      <c r="A5906" s="21"/>
      <c r="B5906" s="3" t="s">
        <v>9</v>
      </c>
      <c r="C5906" s="20" t="s">
        <v>1570</v>
      </c>
      <c r="D5906" s="21"/>
    </row>
    <row r="5907" spans="1:4" ht="12.75" customHeight="1" x14ac:dyDescent="0.2">
      <c r="A5907" s="21"/>
      <c r="B5907" s="3" t="s">
        <v>11</v>
      </c>
      <c r="C5907" s="20" t="s">
        <v>879</v>
      </c>
      <c r="D5907" s="21"/>
    </row>
    <row r="5908" spans="1:4" ht="12.75" customHeight="1" x14ac:dyDescent="0.2">
      <c r="A5908" s="21"/>
      <c r="B5908" s="3" t="s">
        <v>13</v>
      </c>
      <c r="C5908" s="20" t="s">
        <v>24</v>
      </c>
      <c r="D5908" s="21"/>
    </row>
    <row r="5909" spans="1:4" ht="12.75" customHeight="1" x14ac:dyDescent="0.2">
      <c r="A5909" s="21"/>
      <c r="B5909" s="3" t="s">
        <v>15</v>
      </c>
      <c r="C5909" s="20" t="s">
        <v>24</v>
      </c>
      <c r="D5909" s="21"/>
    </row>
    <row r="5910" spans="1:4" ht="12.75" customHeight="1" x14ac:dyDescent="0.2">
      <c r="A5910" s="21"/>
      <c r="B5910" s="3" t="s">
        <v>16</v>
      </c>
      <c r="C5910" s="20"/>
      <c r="D5910" s="21"/>
    </row>
    <row r="5911" spans="1:4" ht="12.75" customHeight="1" x14ac:dyDescent="0.2">
      <c r="A5911" s="21"/>
      <c r="B5911" s="3" t="s">
        <v>17</v>
      </c>
      <c r="C5911" s="20"/>
      <c r="D5911" s="21"/>
    </row>
    <row r="5912" spans="1:4" ht="12.75" customHeight="1" x14ac:dyDescent="0.2">
      <c r="A5912" s="21"/>
      <c r="B5912" s="20" t="s">
        <v>18</v>
      </c>
      <c r="C5912" s="4" t="s">
        <v>796</v>
      </c>
      <c r="D5912" s="6" t="str">
        <f>HYPERLINK("javascript:void(0)","sárkány szív")</f>
        <v>sárkány szív</v>
      </c>
    </row>
    <row r="5913" spans="1:4" ht="12.75" customHeight="1" x14ac:dyDescent="0.2">
      <c r="A5913" s="21"/>
      <c r="B5913" s="21"/>
      <c r="C5913" s="4" t="s">
        <v>1113</v>
      </c>
      <c r="D5913" s="6" t="str">
        <f>HYPERLINK("javascript:void(0)","gigacsáp")</f>
        <v>gigacsáp</v>
      </c>
    </row>
    <row r="5914" spans="1:4" ht="12.75" customHeight="1" x14ac:dyDescent="0.2">
      <c r="A5914" s="21"/>
      <c r="B5914" s="21"/>
      <c r="C5914" s="4" t="s">
        <v>1572</v>
      </c>
      <c r="D5914" s="6" t="str">
        <f>HYPERLINK("javascript:void(0)","harmatcsepp")</f>
        <v>harmatcsepp</v>
      </c>
    </row>
    <row r="5915" spans="1:4" ht="12.75" customHeight="1" x14ac:dyDescent="0.2">
      <c r="A5915" s="5"/>
      <c r="B5915" s="2"/>
      <c r="C5915" s="2"/>
      <c r="D5915" s="2"/>
    </row>
    <row r="5916" spans="1:4" ht="12.75" customHeight="1" x14ac:dyDescent="0.2">
      <c r="A5916" s="22" t="str">
        <f>HYPERLINK("javascript:void(0)","szilánkbunkó")</f>
        <v>szilánkbunkó</v>
      </c>
      <c r="B5916" s="21"/>
      <c r="C5916" s="21"/>
      <c r="D5916" s="21"/>
    </row>
    <row r="5917" spans="1:4" ht="12.75" customHeight="1" x14ac:dyDescent="0.2">
      <c r="A5917" s="20"/>
      <c r="B5917" s="2"/>
      <c r="C5917" s="2"/>
      <c r="D5917" s="2"/>
    </row>
    <row r="5918" spans="1:4" ht="12.75" customHeight="1" x14ac:dyDescent="0.2">
      <c r="A5918" s="21"/>
      <c r="B5918" s="3" t="s">
        <v>0</v>
      </c>
      <c r="C5918" s="20" t="s">
        <v>110</v>
      </c>
      <c r="D5918" s="21"/>
    </row>
    <row r="5919" spans="1:4" ht="12.75" customHeight="1" x14ac:dyDescent="0.2">
      <c r="A5919" s="21"/>
      <c r="B5919" s="3" t="s">
        <v>2</v>
      </c>
      <c r="C5919" s="20" t="s">
        <v>122</v>
      </c>
      <c r="D5919" s="21"/>
    </row>
    <row r="5920" spans="1:4" ht="12.75" customHeight="1" x14ac:dyDescent="0.2">
      <c r="A5920" s="21"/>
      <c r="B5920" s="3" t="s">
        <v>4</v>
      </c>
      <c r="C5920" s="20" t="s">
        <v>1573</v>
      </c>
      <c r="D5920" s="21"/>
    </row>
    <row r="5921" spans="1:4" ht="12.75" customHeight="1" x14ac:dyDescent="0.2">
      <c r="A5921" s="21"/>
      <c r="B5921" s="3" t="s">
        <v>6</v>
      </c>
      <c r="C5921" s="20" t="s">
        <v>206</v>
      </c>
      <c r="D5921" s="21"/>
    </row>
    <row r="5922" spans="1:4" ht="12.75" customHeight="1" x14ac:dyDescent="0.2">
      <c r="A5922" s="21"/>
      <c r="B5922" s="3" t="s">
        <v>8</v>
      </c>
      <c r="C5922" s="20" t="s">
        <v>1573</v>
      </c>
      <c r="D5922" s="21"/>
    </row>
    <row r="5923" spans="1:4" ht="12.75" customHeight="1" x14ac:dyDescent="0.2">
      <c r="A5923" s="21"/>
      <c r="B5923" s="3" t="s">
        <v>9</v>
      </c>
      <c r="C5923" s="20" t="s">
        <v>985</v>
      </c>
      <c r="D5923" s="21"/>
    </row>
    <row r="5924" spans="1:4" ht="12.75" customHeight="1" x14ac:dyDescent="0.2">
      <c r="A5924" s="21"/>
      <c r="B5924" s="3" t="s">
        <v>11</v>
      </c>
      <c r="C5924" s="20" t="s">
        <v>1153</v>
      </c>
      <c r="D5924" s="21"/>
    </row>
    <row r="5925" spans="1:4" ht="12.75" customHeight="1" x14ac:dyDescent="0.2">
      <c r="A5925" s="21"/>
      <c r="B5925" s="3" t="s">
        <v>13</v>
      </c>
      <c r="C5925" s="20" t="s">
        <v>24</v>
      </c>
      <c r="D5925" s="21"/>
    </row>
    <row r="5926" spans="1:4" ht="12.75" customHeight="1" x14ac:dyDescent="0.2">
      <c r="A5926" s="21"/>
      <c r="B5926" s="3" t="s">
        <v>15</v>
      </c>
      <c r="C5926" s="20" t="s">
        <v>24</v>
      </c>
      <c r="D5926" s="21"/>
    </row>
    <row r="5927" spans="1:4" ht="12.75" customHeight="1" x14ac:dyDescent="0.2">
      <c r="A5927" s="21"/>
      <c r="B5927" s="3" t="s">
        <v>16</v>
      </c>
      <c r="C5927" s="20"/>
      <c r="D5927" s="21"/>
    </row>
    <row r="5928" spans="1:4" ht="12.75" customHeight="1" x14ac:dyDescent="0.2">
      <c r="A5928" s="21"/>
      <c r="B5928" s="3" t="s">
        <v>17</v>
      </c>
      <c r="C5928" s="20"/>
      <c r="D5928" s="21"/>
    </row>
    <row r="5929" spans="1:4" ht="12.75" customHeight="1" x14ac:dyDescent="0.2">
      <c r="A5929" s="21"/>
      <c r="B5929" s="20" t="s">
        <v>18</v>
      </c>
      <c r="C5929" s="4" t="s">
        <v>44</v>
      </c>
      <c r="D5929" s="6" t="str">
        <f>HYPERLINK("javascript:void(0)","zombipöröly")</f>
        <v>zombipöröly</v>
      </c>
    </row>
    <row r="5930" spans="1:4" ht="12.75" customHeight="1" x14ac:dyDescent="0.2">
      <c r="A5930" s="21"/>
      <c r="B5930" s="21"/>
      <c r="C5930" s="4" t="s">
        <v>44</v>
      </c>
      <c r="D5930" s="6" t="str">
        <f>HYPERLINK("javascript:void(0)","üvegnyél")</f>
        <v>üvegnyél</v>
      </c>
    </row>
    <row r="5931" spans="1:4" ht="12.75" customHeight="1" x14ac:dyDescent="0.2">
      <c r="A5931" s="21"/>
      <c r="B5931" s="21"/>
      <c r="C5931" s="4" t="s">
        <v>44</v>
      </c>
      <c r="D5931" s="6" t="str">
        <f>HYPERLINK("javascript:void(0)","gólemcsapó")</f>
        <v>gólemcsapó</v>
      </c>
    </row>
    <row r="5932" spans="1:4" ht="12.75" customHeight="1" x14ac:dyDescent="0.2">
      <c r="A5932" s="5"/>
      <c r="B5932" s="2"/>
      <c r="C5932" s="2"/>
      <c r="D5932" s="2"/>
    </row>
    <row r="5933" spans="1:4" ht="12.75" customHeight="1" x14ac:dyDescent="0.2">
      <c r="A5933" s="22" t="str">
        <f>HYPERLINK("javascript:void(0)","jelvényes mágusölő")</f>
        <v>jelvényes mágusölő</v>
      </c>
      <c r="B5933" s="21"/>
      <c r="C5933" s="21"/>
      <c r="D5933" s="21"/>
    </row>
    <row r="5934" spans="1:4" ht="12.75" customHeight="1" x14ac:dyDescent="0.2">
      <c r="A5934" s="20"/>
      <c r="B5934" s="2"/>
      <c r="C5934" s="2"/>
      <c r="D5934" s="2"/>
    </row>
    <row r="5935" spans="1:4" ht="12.75" customHeight="1" x14ac:dyDescent="0.2">
      <c r="A5935" s="21"/>
      <c r="B5935" s="3" t="s">
        <v>0</v>
      </c>
      <c r="C5935" s="20" t="s">
        <v>110</v>
      </c>
      <c r="D5935" s="21"/>
    </row>
    <row r="5936" spans="1:4" ht="12.75" customHeight="1" x14ac:dyDescent="0.2">
      <c r="A5936" s="21"/>
      <c r="B5936" s="3" t="s">
        <v>2</v>
      </c>
      <c r="C5936" s="20" t="s">
        <v>122</v>
      </c>
      <c r="D5936" s="21"/>
    </row>
    <row r="5937" spans="1:4" ht="12.75" customHeight="1" x14ac:dyDescent="0.2">
      <c r="A5937" s="21"/>
      <c r="B5937" s="3" t="s">
        <v>4</v>
      </c>
      <c r="C5937" s="20" t="s">
        <v>1575</v>
      </c>
      <c r="D5937" s="21"/>
    </row>
    <row r="5938" spans="1:4" ht="12.75" customHeight="1" x14ac:dyDescent="0.2">
      <c r="A5938" s="21"/>
      <c r="B5938" s="3" t="s">
        <v>6</v>
      </c>
      <c r="C5938" s="20" t="s">
        <v>74</v>
      </c>
      <c r="D5938" s="21"/>
    </row>
    <row r="5939" spans="1:4" ht="12.75" customHeight="1" x14ac:dyDescent="0.2">
      <c r="A5939" s="21"/>
      <c r="B5939" s="3" t="s">
        <v>8</v>
      </c>
      <c r="C5939" s="20" t="s">
        <v>1575</v>
      </c>
      <c r="D5939" s="21"/>
    </row>
    <row r="5940" spans="1:4" ht="12.75" customHeight="1" x14ac:dyDescent="0.2">
      <c r="A5940" s="21"/>
      <c r="B5940" s="3" t="s">
        <v>9</v>
      </c>
      <c r="C5940" s="20" t="s">
        <v>1576</v>
      </c>
      <c r="D5940" s="21"/>
    </row>
    <row r="5941" spans="1:4" ht="12.75" customHeight="1" x14ac:dyDescent="0.2">
      <c r="A5941" s="21"/>
      <c r="B5941" s="3" t="s">
        <v>11</v>
      </c>
      <c r="C5941" s="20" t="s">
        <v>1577</v>
      </c>
      <c r="D5941" s="21"/>
    </row>
    <row r="5942" spans="1:4" ht="12.75" customHeight="1" x14ac:dyDescent="0.2">
      <c r="A5942" s="21"/>
      <c r="B5942" s="3" t="s">
        <v>13</v>
      </c>
      <c r="C5942" s="20" t="s">
        <v>14</v>
      </c>
      <c r="D5942" s="21"/>
    </row>
    <row r="5943" spans="1:4" ht="12.75" customHeight="1" x14ac:dyDescent="0.2">
      <c r="A5943" s="21"/>
      <c r="B5943" s="3" t="s">
        <v>15</v>
      </c>
      <c r="C5943" s="20" t="s">
        <v>24</v>
      </c>
      <c r="D5943" s="21"/>
    </row>
    <row r="5944" spans="1:4" ht="12.75" customHeight="1" x14ac:dyDescent="0.2">
      <c r="A5944" s="21"/>
      <c r="B5944" s="3" t="s">
        <v>16</v>
      </c>
      <c r="C5944" s="20"/>
      <c r="D5944" s="21"/>
    </row>
    <row r="5945" spans="1:4" ht="12.75" customHeight="1" x14ac:dyDescent="0.2">
      <c r="A5945" s="21"/>
      <c r="B5945" s="3" t="s">
        <v>17</v>
      </c>
      <c r="C5945" s="20"/>
      <c r="D5945" s="21"/>
    </row>
    <row r="5946" spans="1:4" ht="12.75" customHeight="1" x14ac:dyDescent="0.2">
      <c r="A5946" s="21"/>
      <c r="B5946" s="20" t="s">
        <v>18</v>
      </c>
      <c r="C5946" s="4" t="s">
        <v>950</v>
      </c>
      <c r="D5946" s="6" t="str">
        <f>HYPERLINK("javascript:void(0)","orr")</f>
        <v>orr</v>
      </c>
    </row>
    <row r="5947" spans="1:4" ht="12.75" customHeight="1" x14ac:dyDescent="0.2">
      <c r="A5947" s="21"/>
      <c r="B5947" s="21"/>
      <c r="C5947" s="4" t="s">
        <v>265</v>
      </c>
      <c r="D5947" s="6" t="str">
        <f>HYPERLINK("javascript:void(0)","tuskójelvény")</f>
        <v>tuskójelvény</v>
      </c>
    </row>
    <row r="5948" spans="1:4" ht="12.75" customHeight="1" x14ac:dyDescent="0.2">
      <c r="A5948" s="21"/>
      <c r="B5948" s="21"/>
      <c r="C5948" s="4" t="s">
        <v>358</v>
      </c>
      <c r="D5948" s="6" t="str">
        <f>HYPERLINK("javascript:void(0)","ezüst patkó")</f>
        <v>ezüst patkó</v>
      </c>
    </row>
    <row r="5949" spans="1:4" ht="12.75" customHeight="1" x14ac:dyDescent="0.2">
      <c r="A5949" s="5"/>
      <c r="B5949" s="2"/>
      <c r="C5949" s="2"/>
      <c r="D5949" s="2"/>
    </row>
    <row r="5950" spans="1:4" ht="12.75" customHeight="1" x14ac:dyDescent="0.2">
      <c r="A5950" s="22" t="str">
        <f>HYPERLINK("javascript:void(0)","üvegnyél")</f>
        <v>üvegnyél</v>
      </c>
      <c r="B5950" s="21"/>
      <c r="C5950" s="21"/>
      <c r="D5950" s="21"/>
    </row>
    <row r="5951" spans="1:4" ht="12.75" customHeight="1" x14ac:dyDescent="0.2">
      <c r="A5951" s="20"/>
      <c r="B5951" s="2"/>
      <c r="C5951" s="2"/>
      <c r="D5951" s="2"/>
    </row>
    <row r="5952" spans="1:4" ht="12.75" customHeight="1" x14ac:dyDescent="0.2">
      <c r="A5952" s="21"/>
      <c r="B5952" s="3" t="s">
        <v>0</v>
      </c>
      <c r="C5952" s="20" t="s">
        <v>110</v>
      </c>
      <c r="D5952" s="21"/>
    </row>
    <row r="5953" spans="1:4" ht="12.75" customHeight="1" x14ac:dyDescent="0.2">
      <c r="A5953" s="21"/>
      <c r="B5953" s="3" t="s">
        <v>2</v>
      </c>
      <c r="C5953" s="20" t="s">
        <v>122</v>
      </c>
      <c r="D5953" s="21"/>
    </row>
    <row r="5954" spans="1:4" ht="12.75" customHeight="1" x14ac:dyDescent="0.2">
      <c r="A5954" s="21"/>
      <c r="B5954" s="3" t="s">
        <v>4</v>
      </c>
      <c r="C5954" s="20" t="s">
        <v>1579</v>
      </c>
      <c r="D5954" s="21"/>
    </row>
    <row r="5955" spans="1:4" ht="12.75" customHeight="1" x14ac:dyDescent="0.2">
      <c r="A5955" s="21"/>
      <c r="B5955" s="3" t="s">
        <v>6</v>
      </c>
      <c r="C5955" s="20" t="s">
        <v>1580</v>
      </c>
      <c r="D5955" s="21"/>
    </row>
    <row r="5956" spans="1:4" ht="12.75" customHeight="1" x14ac:dyDescent="0.2">
      <c r="A5956" s="21"/>
      <c r="B5956" s="3" t="s">
        <v>8</v>
      </c>
      <c r="C5956" s="20" t="s">
        <v>1579</v>
      </c>
      <c r="D5956" s="21"/>
    </row>
    <row r="5957" spans="1:4" ht="12.75" customHeight="1" x14ac:dyDescent="0.2">
      <c r="A5957" s="21"/>
      <c r="B5957" s="3" t="s">
        <v>9</v>
      </c>
      <c r="C5957" s="20" t="s">
        <v>1532</v>
      </c>
      <c r="D5957" s="21"/>
    </row>
    <row r="5958" spans="1:4" ht="12.75" customHeight="1" x14ac:dyDescent="0.2">
      <c r="A5958" s="21"/>
      <c r="B5958" s="3" t="s">
        <v>11</v>
      </c>
      <c r="C5958" s="20" t="s">
        <v>1488</v>
      </c>
      <c r="D5958" s="21"/>
    </row>
    <row r="5959" spans="1:4" ht="12.75" customHeight="1" x14ac:dyDescent="0.2">
      <c r="A5959" s="21"/>
      <c r="B5959" s="3" t="s">
        <v>13</v>
      </c>
      <c r="C5959" s="20" t="s">
        <v>24</v>
      </c>
      <c r="D5959" s="21"/>
    </row>
    <row r="5960" spans="1:4" ht="12.75" customHeight="1" x14ac:dyDescent="0.2">
      <c r="A5960" s="21"/>
      <c r="B5960" s="3" t="s">
        <v>15</v>
      </c>
      <c r="C5960" s="20" t="s">
        <v>24</v>
      </c>
      <c r="D5960" s="21"/>
    </row>
    <row r="5961" spans="1:4" ht="12.75" customHeight="1" x14ac:dyDescent="0.2">
      <c r="A5961" s="21"/>
      <c r="B5961" s="3" t="s">
        <v>16</v>
      </c>
      <c r="C5961" s="20"/>
      <c r="D5961" s="21"/>
    </row>
    <row r="5962" spans="1:4" ht="12.75" customHeight="1" x14ac:dyDescent="0.2">
      <c r="A5962" s="21"/>
      <c r="B5962" s="3" t="s">
        <v>17</v>
      </c>
      <c r="C5962" s="20"/>
      <c r="D5962" s="21"/>
    </row>
    <row r="5963" spans="1:4" ht="12.75" customHeight="1" x14ac:dyDescent="0.2">
      <c r="A5963" s="21"/>
      <c r="B5963" s="20" t="s">
        <v>18</v>
      </c>
      <c r="C5963" s="4" t="s">
        <v>1494</v>
      </c>
      <c r="D5963" s="6" t="str">
        <f>HYPERLINK("javascript:void(0)","porszőr")</f>
        <v>porszőr</v>
      </c>
    </row>
    <row r="5964" spans="1:4" ht="12.75" customHeight="1" x14ac:dyDescent="0.2">
      <c r="A5964" s="21"/>
      <c r="B5964" s="21"/>
      <c r="C5964" s="4" t="s">
        <v>809</v>
      </c>
      <c r="D5964" s="6" t="str">
        <f>HYPERLINK("javascript:void(0)","üvegcserép")</f>
        <v>üvegcserép</v>
      </c>
    </row>
    <row r="5965" spans="1:4" ht="12.75" customHeight="1" x14ac:dyDescent="0.2">
      <c r="A5965" s="21"/>
      <c r="B5965" s="21"/>
      <c r="C5965" s="4" t="s">
        <v>780</v>
      </c>
      <c r="D5965" s="6" t="str">
        <f>HYPERLINK("javascript:void(0)","lélekfodor")</f>
        <v>lélekfodor</v>
      </c>
    </row>
    <row r="5966" spans="1:4" ht="12.75" customHeight="1" x14ac:dyDescent="0.2">
      <c r="A5966" s="5"/>
      <c r="B5966" s="2"/>
      <c r="C5966" s="2"/>
      <c r="D5966" s="2"/>
    </row>
    <row r="5967" spans="1:4" ht="12.75" customHeight="1" x14ac:dyDescent="0.2">
      <c r="A5967" s="22" t="str">
        <f>HYPERLINK("javascript:void(0)","kalmárbot")</f>
        <v>kalmárbot</v>
      </c>
      <c r="B5967" s="21"/>
      <c r="C5967" s="21"/>
      <c r="D5967" s="21"/>
    </row>
    <row r="5968" spans="1:4" ht="12.75" customHeight="1" x14ac:dyDescent="0.2">
      <c r="A5968" s="20"/>
      <c r="B5968" s="2"/>
      <c r="C5968" s="2"/>
      <c r="D5968" s="2"/>
    </row>
    <row r="5969" spans="1:4" ht="12.75" customHeight="1" x14ac:dyDescent="0.2">
      <c r="A5969" s="21"/>
      <c r="B5969" s="3" t="s">
        <v>0</v>
      </c>
      <c r="C5969" s="20" t="s">
        <v>110</v>
      </c>
      <c r="D5969" s="21"/>
    </row>
    <row r="5970" spans="1:4" ht="12.75" customHeight="1" x14ac:dyDescent="0.2">
      <c r="A5970" s="21"/>
      <c r="B5970" s="3" t="s">
        <v>2</v>
      </c>
      <c r="C5970" s="20" t="s">
        <v>122</v>
      </c>
      <c r="D5970" s="21"/>
    </row>
    <row r="5971" spans="1:4" ht="12.75" customHeight="1" x14ac:dyDescent="0.2">
      <c r="A5971" s="21"/>
      <c r="B5971" s="3" t="s">
        <v>4</v>
      </c>
      <c r="C5971" s="20" t="s">
        <v>1581</v>
      </c>
      <c r="D5971" s="21"/>
    </row>
    <row r="5972" spans="1:4" ht="12.75" customHeight="1" x14ac:dyDescent="0.2">
      <c r="A5972" s="21"/>
      <c r="B5972" s="3" t="s">
        <v>6</v>
      </c>
      <c r="C5972" s="20" t="s">
        <v>1582</v>
      </c>
      <c r="D5972" s="21"/>
    </row>
    <row r="5973" spans="1:4" ht="12.75" customHeight="1" x14ac:dyDescent="0.2">
      <c r="A5973" s="21"/>
      <c r="B5973" s="3" t="s">
        <v>8</v>
      </c>
      <c r="C5973" s="20" t="s">
        <v>1581</v>
      </c>
      <c r="D5973" s="21"/>
    </row>
    <row r="5974" spans="1:4" ht="12.75" customHeight="1" x14ac:dyDescent="0.2">
      <c r="A5974" s="21"/>
      <c r="B5974" s="3" t="s">
        <v>9</v>
      </c>
      <c r="C5974" s="20" t="s">
        <v>1445</v>
      </c>
      <c r="D5974" s="21"/>
    </row>
    <row r="5975" spans="1:4" ht="12.75" customHeight="1" x14ac:dyDescent="0.2">
      <c r="A5975" s="21"/>
      <c r="B5975" s="3" t="s">
        <v>11</v>
      </c>
      <c r="C5975" s="20" t="s">
        <v>1488</v>
      </c>
      <c r="D5975" s="21"/>
    </row>
    <row r="5976" spans="1:4" ht="12.75" customHeight="1" x14ac:dyDescent="0.2">
      <c r="A5976" s="21"/>
      <c r="B5976" s="3" t="s">
        <v>13</v>
      </c>
      <c r="C5976" s="20" t="s">
        <v>24</v>
      </c>
      <c r="D5976" s="21"/>
    </row>
    <row r="5977" spans="1:4" ht="12.75" customHeight="1" x14ac:dyDescent="0.2">
      <c r="A5977" s="21"/>
      <c r="B5977" s="3" t="s">
        <v>15</v>
      </c>
      <c r="C5977" s="20" t="s">
        <v>24</v>
      </c>
      <c r="D5977" s="21"/>
    </row>
    <row r="5978" spans="1:4" ht="12.75" customHeight="1" x14ac:dyDescent="0.2">
      <c r="A5978" s="21"/>
      <c r="B5978" s="3" t="s">
        <v>16</v>
      </c>
      <c r="C5978" s="20"/>
      <c r="D5978" s="21"/>
    </row>
    <row r="5979" spans="1:4" ht="12.75" customHeight="1" x14ac:dyDescent="0.2">
      <c r="A5979" s="21"/>
      <c r="B5979" s="3" t="s">
        <v>17</v>
      </c>
      <c r="C5979" s="20"/>
      <c r="D5979" s="21"/>
    </row>
    <row r="5980" spans="1:4" ht="12.75" customHeight="1" x14ac:dyDescent="0.2">
      <c r="A5980" s="21"/>
      <c r="B5980" s="20" t="s">
        <v>18</v>
      </c>
      <c r="C5980" s="4" t="s">
        <v>1494</v>
      </c>
      <c r="D5980" s="6" t="str">
        <f>HYPERLINK("javascript:void(0)","maxilla")</f>
        <v>maxilla</v>
      </c>
    </row>
    <row r="5981" spans="1:4" ht="12.75" customHeight="1" x14ac:dyDescent="0.2">
      <c r="A5981" s="21"/>
      <c r="B5981" s="21"/>
      <c r="C5981" s="4" t="s">
        <v>240</v>
      </c>
      <c r="D5981" s="6" t="str">
        <f>HYPERLINK("javascript:void(0)","merkantid")</f>
        <v>merkantid</v>
      </c>
    </row>
    <row r="5982" spans="1:4" ht="12.75" customHeight="1" x14ac:dyDescent="0.2">
      <c r="A5982" s="21"/>
      <c r="B5982" s="21"/>
      <c r="C5982" s="4" t="s">
        <v>780</v>
      </c>
      <c r="D5982" s="6" t="str">
        <f>HYPERLINK("javascript:void(0)","zászlórúd")</f>
        <v>zászlórúd</v>
      </c>
    </row>
    <row r="5983" spans="1:4" ht="12.75" customHeight="1" x14ac:dyDescent="0.2">
      <c r="A5983" s="5"/>
      <c r="B5983" s="2"/>
      <c r="C5983" s="2"/>
      <c r="D5983" s="2"/>
    </row>
    <row r="5984" spans="1:4" ht="12.75" customHeight="1" x14ac:dyDescent="0.2">
      <c r="A5984" s="22" t="str">
        <f>HYPERLINK("javascript:void(0)","csontpöröly")</f>
        <v>csontpöröly</v>
      </c>
      <c r="B5984" s="21"/>
      <c r="C5984" s="21"/>
      <c r="D5984" s="21"/>
    </row>
    <row r="5985" spans="1:4" ht="12.75" customHeight="1" x14ac:dyDescent="0.2">
      <c r="A5985" s="20"/>
      <c r="B5985" s="2"/>
      <c r="C5985" s="2"/>
      <c r="D5985" s="2"/>
    </row>
    <row r="5986" spans="1:4" ht="12.75" customHeight="1" x14ac:dyDescent="0.2">
      <c r="A5986" s="21"/>
      <c r="B5986" s="3" t="s">
        <v>0</v>
      </c>
      <c r="C5986" s="20" t="s">
        <v>1142</v>
      </c>
      <c r="D5986" s="21"/>
    </row>
    <row r="5987" spans="1:4" ht="12.75" customHeight="1" x14ac:dyDescent="0.2">
      <c r="A5987" s="21"/>
      <c r="B5987" s="3" t="s">
        <v>2</v>
      </c>
      <c r="C5987" s="20" t="s">
        <v>122</v>
      </c>
      <c r="D5987" s="21"/>
    </row>
    <row r="5988" spans="1:4" ht="12.75" customHeight="1" x14ac:dyDescent="0.2">
      <c r="A5988" s="21"/>
      <c r="B5988" s="3" t="s">
        <v>4</v>
      </c>
      <c r="C5988" s="20" t="s">
        <v>1583</v>
      </c>
      <c r="D5988" s="21"/>
    </row>
    <row r="5989" spans="1:4" ht="12.75" customHeight="1" x14ac:dyDescent="0.2">
      <c r="A5989" s="21"/>
      <c r="B5989" s="3" t="s">
        <v>6</v>
      </c>
      <c r="C5989" s="20" t="s">
        <v>107</v>
      </c>
      <c r="D5989" s="21"/>
    </row>
    <row r="5990" spans="1:4" ht="12.75" customHeight="1" x14ac:dyDescent="0.2">
      <c r="A5990" s="21"/>
      <c r="B5990" s="3" t="s">
        <v>8</v>
      </c>
      <c r="C5990" s="20" t="s">
        <v>1583</v>
      </c>
      <c r="D5990" s="21"/>
    </row>
    <row r="5991" spans="1:4" ht="12.75" customHeight="1" x14ac:dyDescent="0.2">
      <c r="A5991" s="21"/>
      <c r="B5991" s="3" t="s">
        <v>9</v>
      </c>
      <c r="C5991" s="20" t="s">
        <v>1584</v>
      </c>
      <c r="D5991" s="21"/>
    </row>
    <row r="5992" spans="1:4" ht="12.75" customHeight="1" x14ac:dyDescent="0.2">
      <c r="A5992" s="21"/>
      <c r="B5992" s="3" t="s">
        <v>11</v>
      </c>
      <c r="C5992" s="20" t="s">
        <v>1159</v>
      </c>
      <c r="D5992" s="21"/>
    </row>
    <row r="5993" spans="1:4" ht="12.75" customHeight="1" x14ac:dyDescent="0.2">
      <c r="A5993" s="21"/>
      <c r="B5993" s="3" t="s">
        <v>13</v>
      </c>
      <c r="C5993" s="20" t="s">
        <v>24</v>
      </c>
      <c r="D5993" s="21"/>
    </row>
    <row r="5994" spans="1:4" ht="12.75" customHeight="1" x14ac:dyDescent="0.2">
      <c r="A5994" s="21"/>
      <c r="B5994" s="3" t="s">
        <v>15</v>
      </c>
      <c r="C5994" s="20" t="s">
        <v>24</v>
      </c>
      <c r="D5994" s="21"/>
    </row>
    <row r="5995" spans="1:4" ht="12.75" customHeight="1" x14ac:dyDescent="0.2">
      <c r="A5995" s="21"/>
      <c r="B5995" s="3" t="s">
        <v>16</v>
      </c>
      <c r="C5995" s="20"/>
      <c r="D5995" s="21"/>
    </row>
    <row r="5996" spans="1:4" ht="12.75" customHeight="1" x14ac:dyDescent="0.2">
      <c r="A5996" s="21"/>
      <c r="B5996" s="3" t="s">
        <v>17</v>
      </c>
      <c r="C5996" s="20"/>
      <c r="D5996" s="21"/>
    </row>
    <row r="5997" spans="1:4" ht="12.75" customHeight="1" x14ac:dyDescent="0.2">
      <c r="A5997" s="21"/>
      <c r="B5997" s="20" t="s">
        <v>18</v>
      </c>
      <c r="C5997" s="4" t="s">
        <v>139</v>
      </c>
      <c r="D5997" s="6" t="str">
        <f>HYPERLINK("javascript:void(0)","lexikon")</f>
        <v>lexikon</v>
      </c>
    </row>
    <row r="5998" spans="1:4" ht="12.75" customHeight="1" x14ac:dyDescent="0.2">
      <c r="A5998" s="21"/>
      <c r="B5998" s="21"/>
      <c r="C5998" s="4" t="s">
        <v>988</v>
      </c>
      <c r="D5998" s="6" t="str">
        <f>HYPERLINK("javascript:void(0)","csonttoll")</f>
        <v>csonttoll</v>
      </c>
    </row>
    <row r="5999" spans="1:4" ht="12.75" customHeight="1" x14ac:dyDescent="0.2">
      <c r="A5999" s="21"/>
      <c r="B5999" s="21"/>
      <c r="C5999" s="4" t="s">
        <v>44</v>
      </c>
      <c r="D5999" s="6" t="str">
        <f>HYPERLINK("javascript:void(0)","szilánkbunkó")</f>
        <v>szilánkbunkó</v>
      </c>
    </row>
    <row r="6000" spans="1:4" ht="12.75" customHeight="1" x14ac:dyDescent="0.2">
      <c r="A6000" s="5"/>
      <c r="B6000" s="2"/>
      <c r="C6000" s="2"/>
      <c r="D6000" s="2"/>
    </row>
    <row r="6001" spans="1:4" ht="12.75" customHeight="1" x14ac:dyDescent="0.2">
      <c r="A6001" s="22" t="str">
        <f>HYPERLINK("javascript:void(0)","gyíkacél tuskópöröly")</f>
        <v>gyíkacél tuskópöröly</v>
      </c>
      <c r="B6001" s="21"/>
      <c r="C6001" s="21"/>
      <c r="D6001" s="21"/>
    </row>
    <row r="6002" spans="1:4" ht="12.75" customHeight="1" x14ac:dyDescent="0.2">
      <c r="A6002" s="20"/>
      <c r="B6002" s="2"/>
      <c r="C6002" s="2"/>
      <c r="D6002" s="2"/>
    </row>
    <row r="6003" spans="1:4" ht="12.75" customHeight="1" x14ac:dyDescent="0.2">
      <c r="A6003" s="21"/>
      <c r="B6003" s="3" t="s">
        <v>0</v>
      </c>
      <c r="C6003" s="20" t="s">
        <v>1142</v>
      </c>
      <c r="D6003" s="21"/>
    </row>
    <row r="6004" spans="1:4" ht="12.75" customHeight="1" x14ac:dyDescent="0.2">
      <c r="A6004" s="21"/>
      <c r="B6004" s="3" t="s">
        <v>2</v>
      </c>
      <c r="C6004" s="20" t="s">
        <v>122</v>
      </c>
      <c r="D6004" s="21"/>
    </row>
    <row r="6005" spans="1:4" ht="12.75" customHeight="1" x14ac:dyDescent="0.2">
      <c r="A6005" s="21"/>
      <c r="B6005" s="3" t="s">
        <v>4</v>
      </c>
      <c r="C6005" s="20" t="s">
        <v>1586</v>
      </c>
      <c r="D6005" s="21"/>
    </row>
    <row r="6006" spans="1:4" ht="12.75" customHeight="1" x14ac:dyDescent="0.2">
      <c r="A6006" s="21"/>
      <c r="B6006" s="3" t="s">
        <v>6</v>
      </c>
      <c r="C6006" s="20" t="s">
        <v>52</v>
      </c>
      <c r="D6006" s="21"/>
    </row>
    <row r="6007" spans="1:4" ht="12.75" customHeight="1" x14ac:dyDescent="0.2">
      <c r="A6007" s="21"/>
      <c r="B6007" s="3" t="s">
        <v>8</v>
      </c>
      <c r="C6007" s="20" t="s">
        <v>1586</v>
      </c>
      <c r="D6007" s="21"/>
    </row>
    <row r="6008" spans="1:4" ht="12.75" customHeight="1" x14ac:dyDescent="0.2">
      <c r="A6008" s="21"/>
      <c r="B6008" s="3" t="s">
        <v>9</v>
      </c>
      <c r="C6008" s="20" t="s">
        <v>1587</v>
      </c>
      <c r="D6008" s="21"/>
    </row>
    <row r="6009" spans="1:4" ht="12.75" customHeight="1" x14ac:dyDescent="0.2">
      <c r="A6009" s="21"/>
      <c r="B6009" s="3" t="s">
        <v>11</v>
      </c>
      <c r="C6009" s="20" t="s">
        <v>901</v>
      </c>
      <c r="D6009" s="21"/>
    </row>
    <row r="6010" spans="1:4" ht="12.75" customHeight="1" x14ac:dyDescent="0.2">
      <c r="A6010" s="21"/>
      <c r="B6010" s="3" t="s">
        <v>13</v>
      </c>
      <c r="C6010" s="20" t="s">
        <v>24</v>
      </c>
      <c r="D6010" s="21"/>
    </row>
    <row r="6011" spans="1:4" ht="12.75" customHeight="1" x14ac:dyDescent="0.2">
      <c r="A6011" s="21"/>
      <c r="B6011" s="3" t="s">
        <v>15</v>
      </c>
      <c r="C6011" s="20" t="s">
        <v>24</v>
      </c>
      <c r="D6011" s="21"/>
    </row>
    <row r="6012" spans="1:4" ht="12.75" customHeight="1" x14ac:dyDescent="0.2">
      <c r="A6012" s="21"/>
      <c r="B6012" s="3" t="s">
        <v>16</v>
      </c>
      <c r="C6012" s="20"/>
      <c r="D6012" s="21"/>
    </row>
    <row r="6013" spans="1:4" ht="12.75" customHeight="1" x14ac:dyDescent="0.2">
      <c r="A6013" s="21"/>
      <c r="B6013" s="3" t="s">
        <v>17</v>
      </c>
      <c r="C6013" s="20"/>
      <c r="D6013" s="21"/>
    </row>
    <row r="6014" spans="1:4" ht="12.75" customHeight="1" x14ac:dyDescent="0.2">
      <c r="A6014" s="21"/>
      <c r="B6014" s="20" t="s">
        <v>18</v>
      </c>
      <c r="C6014" s="4" t="s">
        <v>796</v>
      </c>
      <c r="D6014" s="6" t="str">
        <f>HYPERLINK("javascript:void(0)","rémszem")</f>
        <v>rémszem</v>
      </c>
    </row>
    <row r="6015" spans="1:4" ht="12.75" customHeight="1" x14ac:dyDescent="0.2">
      <c r="A6015" s="21"/>
      <c r="B6015" s="21"/>
      <c r="C6015" s="4" t="s">
        <v>309</v>
      </c>
      <c r="D6015" s="6" t="str">
        <f>HYPERLINK("javascript:void(0)","vasorr")</f>
        <v>vasorr</v>
      </c>
    </row>
    <row r="6016" spans="1:4" ht="12.75" customHeight="1" x14ac:dyDescent="0.2">
      <c r="A6016" s="21"/>
      <c r="B6016" s="21"/>
      <c r="C6016" s="4" t="s">
        <v>780</v>
      </c>
      <c r="D6016" s="6" t="str">
        <f>HYPERLINK("javascript:void(0)","csigaház")</f>
        <v>csigaház</v>
      </c>
    </row>
    <row r="6017" spans="1:4" ht="12.75" customHeight="1" x14ac:dyDescent="0.2">
      <c r="A6017" s="5"/>
      <c r="B6017" s="2"/>
      <c r="C6017" s="2"/>
      <c r="D6017" s="2"/>
    </row>
    <row r="6018" spans="1:4" ht="12.75" customHeight="1" x14ac:dyDescent="0.2">
      <c r="A6018" s="22" t="str">
        <f>HYPERLINK("javascript:void(0)","ízelt bunkó")</f>
        <v>ízelt bunkó</v>
      </c>
      <c r="B6018" s="21"/>
      <c r="C6018" s="21"/>
      <c r="D6018" s="21"/>
    </row>
    <row r="6019" spans="1:4" ht="12.75" customHeight="1" x14ac:dyDescent="0.2">
      <c r="A6019" s="20"/>
      <c r="B6019" s="2"/>
      <c r="C6019" s="2"/>
      <c r="D6019" s="2"/>
    </row>
    <row r="6020" spans="1:4" ht="12.75" customHeight="1" x14ac:dyDescent="0.2">
      <c r="A6020" s="21"/>
      <c r="B6020" s="3" t="s">
        <v>0</v>
      </c>
      <c r="C6020" s="20" t="s">
        <v>103</v>
      </c>
      <c r="D6020" s="21"/>
    </row>
    <row r="6021" spans="1:4" ht="12.75" customHeight="1" x14ac:dyDescent="0.2">
      <c r="A6021" s="21"/>
      <c r="B6021" s="3" t="s">
        <v>2</v>
      </c>
      <c r="C6021" s="20" t="s">
        <v>122</v>
      </c>
      <c r="D6021" s="21"/>
    </row>
    <row r="6022" spans="1:4" ht="12.75" customHeight="1" x14ac:dyDescent="0.2">
      <c r="A6022" s="21"/>
      <c r="B6022" s="3" t="s">
        <v>4</v>
      </c>
      <c r="C6022" s="20" t="s">
        <v>1588</v>
      </c>
      <c r="D6022" s="21"/>
    </row>
    <row r="6023" spans="1:4" ht="12.75" customHeight="1" x14ac:dyDescent="0.2">
      <c r="A6023" s="21"/>
      <c r="B6023" s="3" t="s">
        <v>6</v>
      </c>
      <c r="C6023" s="20" t="s">
        <v>260</v>
      </c>
      <c r="D6023" s="21"/>
    </row>
    <row r="6024" spans="1:4" ht="12.75" customHeight="1" x14ac:dyDescent="0.2">
      <c r="A6024" s="21"/>
      <c r="B6024" s="3" t="s">
        <v>8</v>
      </c>
      <c r="C6024" s="20" t="s">
        <v>1588</v>
      </c>
      <c r="D6024" s="21"/>
    </row>
    <row r="6025" spans="1:4" ht="12.75" customHeight="1" x14ac:dyDescent="0.2">
      <c r="A6025" s="21"/>
      <c r="B6025" s="3" t="s">
        <v>9</v>
      </c>
      <c r="C6025" s="20" t="s">
        <v>1589</v>
      </c>
      <c r="D6025" s="21"/>
    </row>
    <row r="6026" spans="1:4" ht="12.75" customHeight="1" x14ac:dyDescent="0.2">
      <c r="A6026" s="21"/>
      <c r="B6026" s="3" t="s">
        <v>11</v>
      </c>
      <c r="C6026" s="20" t="s">
        <v>1168</v>
      </c>
      <c r="D6026" s="21"/>
    </row>
    <row r="6027" spans="1:4" ht="12.75" customHeight="1" x14ac:dyDescent="0.2">
      <c r="A6027" s="21"/>
      <c r="B6027" s="3" t="s">
        <v>13</v>
      </c>
      <c r="C6027" s="20" t="s">
        <v>24</v>
      </c>
      <c r="D6027" s="21"/>
    </row>
    <row r="6028" spans="1:4" ht="12.75" customHeight="1" x14ac:dyDescent="0.2">
      <c r="A6028" s="21"/>
      <c r="B6028" s="3" t="s">
        <v>15</v>
      </c>
      <c r="C6028" s="20" t="s">
        <v>24</v>
      </c>
      <c r="D6028" s="21"/>
    </row>
    <row r="6029" spans="1:4" ht="12.75" customHeight="1" x14ac:dyDescent="0.2">
      <c r="A6029" s="21"/>
      <c r="B6029" s="3" t="s">
        <v>16</v>
      </c>
      <c r="C6029" s="20"/>
      <c r="D6029" s="21"/>
    </row>
    <row r="6030" spans="1:4" ht="12.75" customHeight="1" x14ac:dyDescent="0.2">
      <c r="A6030" s="21"/>
      <c r="B6030" s="3" t="s">
        <v>17</v>
      </c>
      <c r="C6030" s="20"/>
      <c r="D6030" s="21"/>
    </row>
    <row r="6031" spans="1:4" ht="12.75" customHeight="1" x14ac:dyDescent="0.2">
      <c r="A6031" s="21"/>
      <c r="B6031" s="20" t="s">
        <v>18</v>
      </c>
      <c r="C6031" s="4" t="s">
        <v>474</v>
      </c>
      <c r="D6031" s="6" t="str">
        <f>HYPERLINK("javascript:void(0)","harmatcsepp")</f>
        <v>harmatcsepp</v>
      </c>
    </row>
    <row r="6032" spans="1:4" ht="12.75" customHeight="1" x14ac:dyDescent="0.2">
      <c r="A6032" s="21"/>
      <c r="B6032" s="21"/>
      <c r="C6032" s="4" t="s">
        <v>309</v>
      </c>
      <c r="D6032" s="6" t="str">
        <f>HYPERLINK("javascript:void(0)","vitorla")</f>
        <v>vitorla</v>
      </c>
    </row>
    <row r="6033" spans="1:4" ht="12.75" customHeight="1" x14ac:dyDescent="0.2">
      <c r="A6033" s="21"/>
      <c r="B6033" s="21"/>
      <c r="C6033" s="4" t="s">
        <v>950</v>
      </c>
      <c r="D6033" s="6" t="str">
        <f>HYPERLINK("javascript:void(0)","tarsus")</f>
        <v>tarsus</v>
      </c>
    </row>
    <row r="6034" spans="1:4" ht="12.75" customHeight="1" x14ac:dyDescent="0.2">
      <c r="A6034" s="5"/>
      <c r="B6034" s="2"/>
      <c r="C6034" s="2"/>
      <c r="D6034" s="2"/>
    </row>
    <row r="6035" spans="1:4" ht="12.75" customHeight="1" x14ac:dyDescent="0.2">
      <c r="A6035" s="22" t="str">
        <f>HYPERLINK("javascript:void(0)","ízelt mágusölő")</f>
        <v>ízelt mágusölő</v>
      </c>
      <c r="B6035" s="21"/>
      <c r="C6035" s="21"/>
      <c r="D6035" s="21"/>
    </row>
    <row r="6036" spans="1:4" ht="12.75" customHeight="1" x14ac:dyDescent="0.2">
      <c r="A6036" s="20"/>
      <c r="B6036" s="2"/>
      <c r="C6036" s="2"/>
      <c r="D6036" s="2"/>
    </row>
    <row r="6037" spans="1:4" ht="12.75" customHeight="1" x14ac:dyDescent="0.2">
      <c r="A6037" s="21"/>
      <c r="B6037" s="3" t="s">
        <v>0</v>
      </c>
      <c r="C6037" s="20" t="s">
        <v>103</v>
      </c>
      <c r="D6037" s="21"/>
    </row>
    <row r="6038" spans="1:4" ht="12.75" customHeight="1" x14ac:dyDescent="0.2">
      <c r="A6038" s="21"/>
      <c r="B6038" s="3" t="s">
        <v>2</v>
      </c>
      <c r="C6038" s="20" t="s">
        <v>122</v>
      </c>
      <c r="D6038" s="21"/>
    </row>
    <row r="6039" spans="1:4" ht="12.75" customHeight="1" x14ac:dyDescent="0.2">
      <c r="A6039" s="21"/>
      <c r="B6039" s="3" t="s">
        <v>4</v>
      </c>
      <c r="C6039" s="20" t="s">
        <v>1591</v>
      </c>
      <c r="D6039" s="21"/>
    </row>
    <row r="6040" spans="1:4" ht="12.75" customHeight="1" x14ac:dyDescent="0.2">
      <c r="A6040" s="21"/>
      <c r="B6040" s="3" t="s">
        <v>6</v>
      </c>
      <c r="C6040" s="20" t="s">
        <v>72</v>
      </c>
      <c r="D6040" s="21"/>
    </row>
    <row r="6041" spans="1:4" ht="12.75" customHeight="1" x14ac:dyDescent="0.2">
      <c r="A6041" s="21"/>
      <c r="B6041" s="3" t="s">
        <v>8</v>
      </c>
      <c r="C6041" s="20" t="s">
        <v>1591</v>
      </c>
      <c r="D6041" s="21"/>
    </row>
    <row r="6042" spans="1:4" ht="12.75" customHeight="1" x14ac:dyDescent="0.2">
      <c r="A6042" s="21"/>
      <c r="B6042" s="3" t="s">
        <v>9</v>
      </c>
      <c r="C6042" s="20" t="s">
        <v>1592</v>
      </c>
      <c r="D6042" s="21"/>
    </row>
    <row r="6043" spans="1:4" ht="12.75" customHeight="1" x14ac:dyDescent="0.2">
      <c r="A6043" s="21"/>
      <c r="B6043" s="3" t="s">
        <v>11</v>
      </c>
      <c r="C6043" s="20" t="s">
        <v>1047</v>
      </c>
      <c r="D6043" s="21"/>
    </row>
    <row r="6044" spans="1:4" ht="12.75" customHeight="1" x14ac:dyDescent="0.2">
      <c r="A6044" s="21"/>
      <c r="B6044" s="3" t="s">
        <v>13</v>
      </c>
      <c r="C6044" s="20" t="s">
        <v>14</v>
      </c>
      <c r="D6044" s="21"/>
    </row>
    <row r="6045" spans="1:4" ht="12.75" customHeight="1" x14ac:dyDescent="0.2">
      <c r="A6045" s="21"/>
      <c r="B6045" s="3" t="s">
        <v>15</v>
      </c>
      <c r="C6045" s="20" t="s">
        <v>24</v>
      </c>
      <c r="D6045" s="21"/>
    </row>
    <row r="6046" spans="1:4" ht="12.75" customHeight="1" x14ac:dyDescent="0.2">
      <c r="A6046" s="21"/>
      <c r="B6046" s="3" t="s">
        <v>16</v>
      </c>
      <c r="C6046" s="20"/>
      <c r="D6046" s="21"/>
    </row>
    <row r="6047" spans="1:4" ht="12.75" customHeight="1" x14ac:dyDescent="0.2">
      <c r="A6047" s="21"/>
      <c r="B6047" s="3" t="s">
        <v>17</v>
      </c>
      <c r="C6047" s="20"/>
      <c r="D6047" s="21"/>
    </row>
    <row r="6048" spans="1:4" ht="12.75" customHeight="1" x14ac:dyDescent="0.2">
      <c r="A6048" s="21"/>
      <c r="B6048" s="20" t="s">
        <v>18</v>
      </c>
      <c r="C6048" s="4" t="s">
        <v>950</v>
      </c>
      <c r="D6048" s="6" t="str">
        <f>HYPERLINK("javascript:void(0)","fűrészfog")</f>
        <v>fűrészfog</v>
      </c>
    </row>
    <row r="6049" spans="1:4" ht="12.75" customHeight="1" x14ac:dyDescent="0.2">
      <c r="A6049" s="21"/>
      <c r="B6049" s="21"/>
      <c r="C6049" s="4" t="s">
        <v>950</v>
      </c>
      <c r="D6049" s="6" t="str">
        <f>HYPERLINK("javascript:void(0)","tarsus")</f>
        <v>tarsus</v>
      </c>
    </row>
    <row r="6050" spans="1:4" ht="12.75" customHeight="1" x14ac:dyDescent="0.2">
      <c r="A6050" s="21"/>
      <c r="B6050" s="21"/>
      <c r="C6050" s="4" t="s">
        <v>1593</v>
      </c>
      <c r="D6050" s="6" t="str">
        <f>HYPERLINK("javascript:void(0)","gyémánt")</f>
        <v>gyémánt</v>
      </c>
    </row>
    <row r="6051" spans="1:4" ht="12.75" customHeight="1" x14ac:dyDescent="0.2">
      <c r="A6051" s="5"/>
      <c r="B6051" s="2"/>
      <c r="C6051" s="2"/>
      <c r="D6051" s="2"/>
    </row>
    <row r="6052" spans="1:4" ht="12.75" customHeight="1" x14ac:dyDescent="0.2">
      <c r="A6052" s="22" t="str">
        <f>HYPERLINK("javascript:void(0)","kalmárpöröly")</f>
        <v>kalmárpöröly</v>
      </c>
      <c r="B6052" s="21"/>
      <c r="C6052" s="21"/>
      <c r="D6052" s="21"/>
    </row>
    <row r="6053" spans="1:4" ht="12.75" customHeight="1" x14ac:dyDescent="0.2">
      <c r="A6053" s="20"/>
      <c r="B6053" s="2"/>
      <c r="C6053" s="2"/>
      <c r="D6053" s="2"/>
    </row>
    <row r="6054" spans="1:4" ht="12.75" customHeight="1" x14ac:dyDescent="0.2">
      <c r="A6054" s="21"/>
      <c r="B6054" s="3" t="s">
        <v>0</v>
      </c>
      <c r="C6054" s="20" t="s">
        <v>112</v>
      </c>
      <c r="D6054" s="21"/>
    </row>
    <row r="6055" spans="1:4" ht="12.75" customHeight="1" x14ac:dyDescent="0.2">
      <c r="A6055" s="21"/>
      <c r="B6055" s="3" t="s">
        <v>2</v>
      </c>
      <c r="C6055" s="20" t="s">
        <v>122</v>
      </c>
      <c r="D6055" s="21"/>
    </row>
    <row r="6056" spans="1:4" ht="12.75" customHeight="1" x14ac:dyDescent="0.2">
      <c r="A6056" s="21"/>
      <c r="B6056" s="3" t="s">
        <v>4</v>
      </c>
      <c r="C6056" s="20" t="s">
        <v>1594</v>
      </c>
      <c r="D6056" s="21"/>
    </row>
    <row r="6057" spans="1:4" ht="12.75" customHeight="1" x14ac:dyDescent="0.2">
      <c r="A6057" s="21"/>
      <c r="B6057" s="3" t="s">
        <v>6</v>
      </c>
      <c r="C6057" s="20" t="s">
        <v>52</v>
      </c>
      <c r="D6057" s="21"/>
    </row>
    <row r="6058" spans="1:4" ht="12.75" customHeight="1" x14ac:dyDescent="0.2">
      <c r="A6058" s="21"/>
      <c r="B6058" s="3" t="s">
        <v>8</v>
      </c>
      <c r="C6058" s="20" t="s">
        <v>1594</v>
      </c>
      <c r="D6058" s="21"/>
    </row>
    <row r="6059" spans="1:4" ht="12.75" customHeight="1" x14ac:dyDescent="0.2">
      <c r="A6059" s="21"/>
      <c r="B6059" s="3" t="s">
        <v>9</v>
      </c>
      <c r="C6059" s="20" t="s">
        <v>1595</v>
      </c>
      <c r="D6059" s="21"/>
    </row>
    <row r="6060" spans="1:4" ht="12.75" customHeight="1" x14ac:dyDescent="0.2">
      <c r="A6060" s="21"/>
      <c r="B6060" s="3" t="s">
        <v>11</v>
      </c>
      <c r="C6060" s="20" t="s">
        <v>1177</v>
      </c>
      <c r="D6060" s="21"/>
    </row>
    <row r="6061" spans="1:4" ht="12.75" customHeight="1" x14ac:dyDescent="0.2">
      <c r="A6061" s="21"/>
      <c r="B6061" s="3" t="s">
        <v>13</v>
      </c>
      <c r="C6061" s="20" t="s">
        <v>24</v>
      </c>
      <c r="D6061" s="21"/>
    </row>
    <row r="6062" spans="1:4" ht="12.75" customHeight="1" x14ac:dyDescent="0.2">
      <c r="A6062" s="21"/>
      <c r="B6062" s="3" t="s">
        <v>15</v>
      </c>
      <c r="C6062" s="20" t="s">
        <v>24</v>
      </c>
      <c r="D6062" s="21"/>
    </row>
    <row r="6063" spans="1:4" ht="12.75" customHeight="1" x14ac:dyDescent="0.2">
      <c r="A6063" s="21"/>
      <c r="B6063" s="3" t="s">
        <v>16</v>
      </c>
      <c r="C6063" s="20"/>
      <c r="D6063" s="21"/>
    </row>
    <row r="6064" spans="1:4" ht="12.75" customHeight="1" x14ac:dyDescent="0.2">
      <c r="A6064" s="21"/>
      <c r="B6064" s="3" t="s">
        <v>17</v>
      </c>
      <c r="C6064" s="20"/>
      <c r="D6064" s="21"/>
    </row>
    <row r="6065" spans="1:4" ht="12.75" customHeight="1" x14ac:dyDescent="0.2">
      <c r="A6065" s="21"/>
      <c r="B6065" s="20" t="s">
        <v>18</v>
      </c>
      <c r="C6065" s="4" t="s">
        <v>44</v>
      </c>
      <c r="D6065" s="6" t="str">
        <f>HYPERLINK("javascript:void(0)","ízelt bunkó")</f>
        <v>ízelt bunkó</v>
      </c>
    </row>
    <row r="6066" spans="1:4" ht="12.75" customHeight="1" x14ac:dyDescent="0.2">
      <c r="A6066" s="21"/>
      <c r="B6066" s="21"/>
      <c r="C6066" s="4" t="s">
        <v>44</v>
      </c>
      <c r="D6066" s="6" t="str">
        <f>HYPERLINK("javascript:void(0)","csontpöröly")</f>
        <v>csontpöröly</v>
      </c>
    </row>
    <row r="6067" spans="1:4" ht="12.75" customHeight="1" x14ac:dyDescent="0.2">
      <c r="A6067" s="21"/>
      <c r="B6067" s="21"/>
      <c r="C6067" s="4" t="s">
        <v>44</v>
      </c>
      <c r="D6067" s="6" t="str">
        <f>HYPERLINK("javascript:void(0)","kalmárbot")</f>
        <v>kalmárbot</v>
      </c>
    </row>
    <row r="6068" spans="1:4" ht="12.75" customHeight="1" x14ac:dyDescent="0.2">
      <c r="A6068" s="5"/>
      <c r="B6068" s="2"/>
      <c r="C6068" s="2"/>
      <c r="D6068" s="2"/>
    </row>
    <row r="6069" spans="1:4" ht="12.75" customHeight="1" x14ac:dyDescent="0.2">
      <c r="A6069" s="22" t="str">
        <f>HYPERLINK("javascript:void(0)","gyíkacél tuskóbunkó")</f>
        <v>gyíkacél tuskóbunkó</v>
      </c>
      <c r="B6069" s="21"/>
      <c r="C6069" s="21"/>
      <c r="D6069" s="21"/>
    </row>
    <row r="6070" spans="1:4" ht="12.75" customHeight="1" x14ac:dyDescent="0.2">
      <c r="A6070" s="20"/>
      <c r="B6070" s="2"/>
      <c r="C6070" s="2"/>
      <c r="D6070" s="2"/>
    </row>
    <row r="6071" spans="1:4" ht="12.75" customHeight="1" x14ac:dyDescent="0.2">
      <c r="A6071" s="21"/>
      <c r="B6071" s="3" t="s">
        <v>0</v>
      </c>
      <c r="C6071" s="20" t="s">
        <v>112</v>
      </c>
      <c r="D6071" s="21"/>
    </row>
    <row r="6072" spans="1:4" ht="12.75" customHeight="1" x14ac:dyDescent="0.2">
      <c r="A6072" s="21"/>
      <c r="B6072" s="3" t="s">
        <v>2</v>
      </c>
      <c r="C6072" s="20" t="s">
        <v>122</v>
      </c>
      <c r="D6072" s="21"/>
    </row>
    <row r="6073" spans="1:4" ht="12.75" customHeight="1" x14ac:dyDescent="0.2">
      <c r="A6073" s="21"/>
      <c r="B6073" s="3" t="s">
        <v>4</v>
      </c>
      <c r="C6073" s="20" t="s">
        <v>1597</v>
      </c>
      <c r="D6073" s="21"/>
    </row>
    <row r="6074" spans="1:4" ht="12.75" customHeight="1" x14ac:dyDescent="0.2">
      <c r="A6074" s="21"/>
      <c r="B6074" s="3" t="s">
        <v>6</v>
      </c>
      <c r="C6074" s="20" t="s">
        <v>216</v>
      </c>
      <c r="D6074" s="21"/>
    </row>
    <row r="6075" spans="1:4" ht="12.75" customHeight="1" x14ac:dyDescent="0.2">
      <c r="A6075" s="21"/>
      <c r="B6075" s="3" t="s">
        <v>8</v>
      </c>
      <c r="C6075" s="20" t="s">
        <v>1597</v>
      </c>
      <c r="D6075" s="21"/>
    </row>
    <row r="6076" spans="1:4" ht="12.75" customHeight="1" x14ac:dyDescent="0.2">
      <c r="A6076" s="21"/>
      <c r="B6076" s="3" t="s">
        <v>9</v>
      </c>
      <c r="C6076" s="20" t="s">
        <v>1599</v>
      </c>
      <c r="D6076" s="21"/>
    </row>
    <row r="6077" spans="1:4" ht="12.75" customHeight="1" x14ac:dyDescent="0.2">
      <c r="A6077" s="21"/>
      <c r="B6077" s="3" t="s">
        <v>11</v>
      </c>
      <c r="C6077" s="20" t="s">
        <v>917</v>
      </c>
      <c r="D6077" s="21"/>
    </row>
    <row r="6078" spans="1:4" ht="12.75" customHeight="1" x14ac:dyDescent="0.2">
      <c r="A6078" s="21"/>
      <c r="B6078" s="3" t="s">
        <v>13</v>
      </c>
      <c r="C6078" s="20" t="s">
        <v>24</v>
      </c>
      <c r="D6078" s="21"/>
    </row>
    <row r="6079" spans="1:4" ht="12.75" customHeight="1" x14ac:dyDescent="0.2">
      <c r="A6079" s="21"/>
      <c r="B6079" s="3" t="s">
        <v>15</v>
      </c>
      <c r="C6079" s="20" t="s">
        <v>24</v>
      </c>
      <c r="D6079" s="21"/>
    </row>
    <row r="6080" spans="1:4" ht="12.75" customHeight="1" x14ac:dyDescent="0.2">
      <c r="A6080" s="21"/>
      <c r="B6080" s="3" t="s">
        <v>16</v>
      </c>
      <c r="C6080" s="20"/>
      <c r="D6080" s="21"/>
    </row>
    <row r="6081" spans="1:4" ht="12.75" customHeight="1" x14ac:dyDescent="0.2">
      <c r="A6081" s="21"/>
      <c r="B6081" s="3" t="s">
        <v>17</v>
      </c>
      <c r="C6081" s="20"/>
      <c r="D6081" s="21"/>
    </row>
    <row r="6082" spans="1:4" ht="12.75" customHeight="1" x14ac:dyDescent="0.2">
      <c r="A6082" s="21"/>
      <c r="B6082" s="20" t="s">
        <v>18</v>
      </c>
      <c r="C6082" s="4" t="s">
        <v>756</v>
      </c>
      <c r="D6082" s="6" t="str">
        <f>HYPERLINK("javascript:void(0)","légige")</f>
        <v>légige</v>
      </c>
    </row>
    <row r="6083" spans="1:4" ht="12.75" customHeight="1" x14ac:dyDescent="0.2">
      <c r="A6083" s="21"/>
      <c r="B6083" s="21"/>
      <c r="C6083" s="4" t="s">
        <v>309</v>
      </c>
      <c r="D6083" s="6" t="str">
        <f>HYPERLINK("javascript:void(0)","vitorla")</f>
        <v>vitorla</v>
      </c>
    </row>
    <row r="6084" spans="1:4" ht="12.75" customHeight="1" x14ac:dyDescent="0.2">
      <c r="A6084" s="21"/>
      <c r="B6084" s="21"/>
      <c r="C6084" s="4" t="s">
        <v>44</v>
      </c>
      <c r="D6084" s="6" t="str">
        <f>HYPERLINK("javascript:void(0)","gyíkacél husáng")</f>
        <v>gyíkacél husáng</v>
      </c>
    </row>
    <row r="6085" spans="1:4" ht="12.75" customHeight="1" x14ac:dyDescent="0.2">
      <c r="A6085" s="5"/>
      <c r="B6085" s="2"/>
      <c r="C6085" s="2"/>
      <c r="D6085" s="2"/>
    </row>
    <row r="6086" spans="1:4" ht="12.75" customHeight="1" x14ac:dyDescent="0.2">
      <c r="A6086" s="22" t="str">
        <f>HYPERLINK("javascript:void(0)","lángpöröly")</f>
        <v>lángpöröly</v>
      </c>
      <c r="B6086" s="21"/>
      <c r="C6086" s="21"/>
      <c r="D6086" s="21"/>
    </row>
    <row r="6087" spans="1:4" ht="12.75" customHeight="1" x14ac:dyDescent="0.2">
      <c r="A6087" s="20"/>
      <c r="B6087" s="2"/>
      <c r="C6087" s="2"/>
      <c r="D6087" s="2"/>
    </row>
    <row r="6088" spans="1:4" ht="12.75" customHeight="1" x14ac:dyDescent="0.2">
      <c r="A6088" s="21"/>
      <c r="B6088" s="3" t="s">
        <v>0</v>
      </c>
      <c r="C6088" s="20" t="s">
        <v>1165</v>
      </c>
      <c r="D6088" s="21"/>
    </row>
    <row r="6089" spans="1:4" ht="12.75" customHeight="1" x14ac:dyDescent="0.2">
      <c r="A6089" s="21"/>
      <c r="B6089" s="3" t="s">
        <v>2</v>
      </c>
      <c r="C6089" s="20" t="s">
        <v>122</v>
      </c>
      <c r="D6089" s="21"/>
    </row>
    <row r="6090" spans="1:4" ht="12.75" customHeight="1" x14ac:dyDescent="0.2">
      <c r="A6090" s="21"/>
      <c r="B6090" s="3" t="s">
        <v>4</v>
      </c>
      <c r="C6090" s="20" t="s">
        <v>1600</v>
      </c>
      <c r="D6090" s="21"/>
    </row>
    <row r="6091" spans="1:4" ht="12.75" customHeight="1" x14ac:dyDescent="0.2">
      <c r="A6091" s="21"/>
      <c r="B6091" s="3" t="s">
        <v>6</v>
      </c>
      <c r="C6091" s="20" t="s">
        <v>178</v>
      </c>
      <c r="D6091" s="21"/>
    </row>
    <row r="6092" spans="1:4" ht="12.75" customHeight="1" x14ac:dyDescent="0.2">
      <c r="A6092" s="21"/>
      <c r="B6092" s="3" t="s">
        <v>8</v>
      </c>
      <c r="C6092" s="20" t="s">
        <v>1600</v>
      </c>
      <c r="D6092" s="21"/>
    </row>
    <row r="6093" spans="1:4" ht="12.75" customHeight="1" x14ac:dyDescent="0.2">
      <c r="A6093" s="21"/>
      <c r="B6093" s="3" t="s">
        <v>9</v>
      </c>
      <c r="C6093" s="20" t="s">
        <v>415</v>
      </c>
      <c r="D6093" s="21"/>
    </row>
    <row r="6094" spans="1:4" ht="12.75" customHeight="1" x14ac:dyDescent="0.2">
      <c r="A6094" s="21"/>
      <c r="B6094" s="3" t="s">
        <v>11</v>
      </c>
      <c r="C6094" s="20" t="s">
        <v>1601</v>
      </c>
      <c r="D6094" s="21"/>
    </row>
    <row r="6095" spans="1:4" ht="12.75" customHeight="1" x14ac:dyDescent="0.2">
      <c r="A6095" s="21"/>
      <c r="B6095" s="3" t="s">
        <v>13</v>
      </c>
      <c r="C6095" s="20" t="s">
        <v>24</v>
      </c>
      <c r="D6095" s="21"/>
    </row>
    <row r="6096" spans="1:4" ht="12.75" customHeight="1" x14ac:dyDescent="0.2">
      <c r="A6096" s="21"/>
      <c r="B6096" s="3" t="s">
        <v>15</v>
      </c>
      <c r="C6096" s="20" t="s">
        <v>24</v>
      </c>
      <c r="D6096" s="21"/>
    </row>
    <row r="6097" spans="1:4" ht="12.75" customHeight="1" x14ac:dyDescent="0.2">
      <c r="A6097" s="21"/>
      <c r="B6097" s="3" t="s">
        <v>16</v>
      </c>
      <c r="C6097" s="20"/>
      <c r="D6097" s="21"/>
    </row>
    <row r="6098" spans="1:4" ht="12.75" customHeight="1" x14ac:dyDescent="0.2">
      <c r="A6098" s="21"/>
      <c r="B6098" s="3" t="s">
        <v>17</v>
      </c>
      <c r="C6098" s="20"/>
      <c r="D6098" s="21"/>
    </row>
    <row r="6099" spans="1:4" ht="12.75" customHeight="1" x14ac:dyDescent="0.2">
      <c r="A6099" s="21"/>
      <c r="B6099" s="20" t="s">
        <v>18</v>
      </c>
      <c r="C6099" s="4" t="s">
        <v>369</v>
      </c>
      <c r="D6099" s="6" t="str">
        <f>HYPERLINK("javascript:void(0)","fügetövis")</f>
        <v>fügetövis</v>
      </c>
    </row>
    <row r="6100" spans="1:4" ht="12.75" customHeight="1" x14ac:dyDescent="0.2">
      <c r="A6100" s="21"/>
      <c r="B6100" s="21"/>
      <c r="C6100" s="4" t="s">
        <v>780</v>
      </c>
      <c r="D6100" s="6" t="str">
        <f>HYPERLINK("javascript:void(0)","szellemláng")</f>
        <v>szellemláng</v>
      </c>
    </row>
    <row r="6101" spans="1:4" ht="12.75" customHeight="1" x14ac:dyDescent="0.2">
      <c r="A6101" s="21"/>
      <c r="B6101" s="21"/>
      <c r="C6101" s="4" t="s">
        <v>44</v>
      </c>
      <c r="D6101" s="6" t="str">
        <f>HYPERLINK("javascript:void(0)","kalmárpöröly")</f>
        <v>kalmárpöröly</v>
      </c>
    </row>
    <row r="6102" spans="1:4" ht="12.75" customHeight="1" x14ac:dyDescent="0.2">
      <c r="A6102" s="5"/>
      <c r="B6102" s="2"/>
      <c r="C6102" s="2"/>
      <c r="D6102" s="2"/>
    </row>
    <row r="6103" spans="1:4" ht="12.75" customHeight="1" x14ac:dyDescent="0.2">
      <c r="A6103" s="22" t="str">
        <f>HYPERLINK("javascript:void(0)","lángoló mágusölő")</f>
        <v>lángoló mágusölő</v>
      </c>
      <c r="B6103" s="21"/>
      <c r="C6103" s="21"/>
      <c r="D6103" s="21"/>
    </row>
    <row r="6104" spans="1:4" ht="12.75" customHeight="1" x14ac:dyDescent="0.2">
      <c r="A6104" s="20"/>
      <c r="B6104" s="2"/>
      <c r="C6104" s="2"/>
      <c r="D6104" s="2"/>
    </row>
    <row r="6105" spans="1:4" ht="12.75" customHeight="1" x14ac:dyDescent="0.2">
      <c r="A6105" s="21"/>
      <c r="B6105" s="3" t="s">
        <v>0</v>
      </c>
      <c r="C6105" s="20" t="s">
        <v>1165</v>
      </c>
      <c r="D6105" s="21"/>
    </row>
    <row r="6106" spans="1:4" ht="12.75" customHeight="1" x14ac:dyDescent="0.2">
      <c r="A6106" s="21"/>
      <c r="B6106" s="3" t="s">
        <v>2</v>
      </c>
      <c r="C6106" s="20" t="s">
        <v>122</v>
      </c>
      <c r="D6106" s="21"/>
    </row>
    <row r="6107" spans="1:4" ht="12.75" customHeight="1" x14ac:dyDescent="0.2">
      <c r="A6107" s="21"/>
      <c r="B6107" s="3" t="s">
        <v>4</v>
      </c>
      <c r="C6107" s="20" t="s">
        <v>1604</v>
      </c>
      <c r="D6107" s="21"/>
    </row>
    <row r="6108" spans="1:4" ht="12.75" customHeight="1" x14ac:dyDescent="0.2">
      <c r="A6108" s="21"/>
      <c r="B6108" s="3" t="s">
        <v>6</v>
      </c>
      <c r="C6108" s="20" t="s">
        <v>51</v>
      </c>
      <c r="D6108" s="21"/>
    </row>
    <row r="6109" spans="1:4" ht="12.75" customHeight="1" x14ac:dyDescent="0.2">
      <c r="A6109" s="21"/>
      <c r="B6109" s="3" t="s">
        <v>8</v>
      </c>
      <c r="C6109" s="20" t="s">
        <v>1604</v>
      </c>
      <c r="D6109" s="21"/>
    </row>
    <row r="6110" spans="1:4" ht="12.75" customHeight="1" x14ac:dyDescent="0.2">
      <c r="A6110" s="21"/>
      <c r="B6110" s="3" t="s">
        <v>9</v>
      </c>
      <c r="C6110" s="20" t="s">
        <v>1605</v>
      </c>
      <c r="D6110" s="21"/>
    </row>
    <row r="6111" spans="1:4" ht="12.75" customHeight="1" x14ac:dyDescent="0.2">
      <c r="A6111" s="21"/>
      <c r="B6111" s="3" t="s">
        <v>11</v>
      </c>
      <c r="C6111" s="20" t="s">
        <v>1607</v>
      </c>
      <c r="D6111" s="21"/>
    </row>
    <row r="6112" spans="1:4" ht="12.75" customHeight="1" x14ac:dyDescent="0.2">
      <c r="A6112" s="21"/>
      <c r="B6112" s="3" t="s">
        <v>13</v>
      </c>
      <c r="C6112" s="20" t="s">
        <v>14</v>
      </c>
      <c r="D6112" s="21"/>
    </row>
    <row r="6113" spans="1:4" ht="12.75" customHeight="1" x14ac:dyDescent="0.2">
      <c r="A6113" s="21"/>
      <c r="B6113" s="3" t="s">
        <v>15</v>
      </c>
      <c r="C6113" s="20" t="s">
        <v>24</v>
      </c>
      <c r="D6113" s="21"/>
    </row>
    <row r="6114" spans="1:4" ht="12.75" customHeight="1" x14ac:dyDescent="0.2">
      <c r="A6114" s="21"/>
      <c r="B6114" s="3" t="s">
        <v>16</v>
      </c>
      <c r="C6114" s="20"/>
      <c r="D6114" s="21"/>
    </row>
    <row r="6115" spans="1:4" ht="12.75" customHeight="1" x14ac:dyDescent="0.2">
      <c r="A6115" s="21"/>
      <c r="B6115" s="3" t="s">
        <v>17</v>
      </c>
      <c r="C6115" s="20"/>
      <c r="D6115" s="21"/>
    </row>
    <row r="6116" spans="1:4" ht="12.75" customHeight="1" x14ac:dyDescent="0.2">
      <c r="A6116" s="21"/>
      <c r="B6116" s="20" t="s">
        <v>18</v>
      </c>
      <c r="C6116" s="4" t="s">
        <v>1610</v>
      </c>
      <c r="D6116" s="6" t="str">
        <f>HYPERLINK("javascript:void(0)","kincs")</f>
        <v>kincs</v>
      </c>
    </row>
    <row r="6117" spans="1:4" ht="12.75" customHeight="1" x14ac:dyDescent="0.2">
      <c r="A6117" s="21"/>
      <c r="B6117" s="21"/>
      <c r="C6117" s="4" t="s">
        <v>193</v>
      </c>
      <c r="D6117" s="6" t="str">
        <f>HYPERLINK("javascript:void(0)","szellemláng")</f>
        <v>szellemláng</v>
      </c>
    </row>
    <row r="6118" spans="1:4" ht="12.75" customHeight="1" x14ac:dyDescent="0.2">
      <c r="A6118" s="21"/>
      <c r="B6118" s="21"/>
      <c r="C6118" s="4" t="s">
        <v>398</v>
      </c>
      <c r="D6118" s="6" t="str">
        <f>HYPERLINK("javascript:void(0)","maxilla")</f>
        <v>maxilla</v>
      </c>
    </row>
    <row r="6119" spans="1:4" ht="12.75" customHeight="1" x14ac:dyDescent="0.2">
      <c r="A6119" s="5"/>
      <c r="B6119" s="2"/>
      <c r="C6119" s="2"/>
      <c r="D6119" s="2"/>
    </row>
    <row r="6120" spans="1:4" ht="12.75" customHeight="1" x14ac:dyDescent="0.2">
      <c r="A6120" s="22" t="str">
        <f>HYPERLINK("javascript:void(0)","kutyaütő")</f>
        <v>kutyaütő</v>
      </c>
      <c r="B6120" s="21"/>
      <c r="C6120" s="21"/>
      <c r="D6120" s="21"/>
    </row>
    <row r="6121" spans="1:4" ht="12.75" customHeight="1" x14ac:dyDescent="0.2">
      <c r="A6121" s="20"/>
      <c r="B6121" s="2"/>
      <c r="C6121" s="2"/>
      <c r="D6121" s="2"/>
    </row>
    <row r="6122" spans="1:4" ht="12.75" customHeight="1" x14ac:dyDescent="0.2">
      <c r="A6122" s="21"/>
      <c r="B6122" s="3" t="s">
        <v>0</v>
      </c>
      <c r="C6122" s="20" t="s">
        <v>1174</v>
      </c>
      <c r="D6122" s="21"/>
    </row>
    <row r="6123" spans="1:4" ht="12.75" customHeight="1" x14ac:dyDescent="0.2">
      <c r="A6123" s="21"/>
      <c r="B6123" s="3" t="s">
        <v>2</v>
      </c>
      <c r="C6123" s="20" t="s">
        <v>122</v>
      </c>
      <c r="D6123" s="21"/>
    </row>
    <row r="6124" spans="1:4" ht="12.75" customHeight="1" x14ac:dyDescent="0.2">
      <c r="A6124" s="21"/>
      <c r="B6124" s="3" t="s">
        <v>4</v>
      </c>
      <c r="C6124" s="20" t="s">
        <v>1611</v>
      </c>
      <c r="D6124" s="21"/>
    </row>
    <row r="6125" spans="1:4" ht="12.75" customHeight="1" x14ac:dyDescent="0.2">
      <c r="A6125" s="21"/>
      <c r="B6125" s="3" t="s">
        <v>6</v>
      </c>
      <c r="C6125" s="20" t="s">
        <v>52</v>
      </c>
      <c r="D6125" s="21"/>
    </row>
    <row r="6126" spans="1:4" ht="12.75" customHeight="1" x14ac:dyDescent="0.2">
      <c r="A6126" s="21"/>
      <c r="B6126" s="3" t="s">
        <v>8</v>
      </c>
      <c r="C6126" s="20" t="s">
        <v>1611</v>
      </c>
      <c r="D6126" s="21"/>
    </row>
    <row r="6127" spans="1:4" ht="12.75" customHeight="1" x14ac:dyDescent="0.2">
      <c r="A6127" s="21"/>
      <c r="B6127" s="3" t="s">
        <v>9</v>
      </c>
      <c r="C6127" s="20" t="s">
        <v>1612</v>
      </c>
      <c r="D6127" s="21"/>
    </row>
    <row r="6128" spans="1:4" ht="12.75" customHeight="1" x14ac:dyDescent="0.2">
      <c r="A6128" s="21"/>
      <c r="B6128" s="3" t="s">
        <v>11</v>
      </c>
      <c r="C6128" s="20" t="s">
        <v>1354</v>
      </c>
      <c r="D6128" s="21"/>
    </row>
    <row r="6129" spans="1:4" ht="12.75" customHeight="1" x14ac:dyDescent="0.2">
      <c r="A6129" s="21"/>
      <c r="B6129" s="3" t="s">
        <v>13</v>
      </c>
      <c r="C6129" s="20" t="s">
        <v>24</v>
      </c>
      <c r="D6129" s="21"/>
    </row>
    <row r="6130" spans="1:4" ht="12.75" customHeight="1" x14ac:dyDescent="0.2">
      <c r="A6130" s="21"/>
      <c r="B6130" s="3" t="s">
        <v>15</v>
      </c>
      <c r="C6130" s="20" t="s">
        <v>24</v>
      </c>
      <c r="D6130" s="21"/>
    </row>
    <row r="6131" spans="1:4" ht="12.75" customHeight="1" x14ac:dyDescent="0.2">
      <c r="A6131" s="21"/>
      <c r="B6131" s="3" t="s">
        <v>16</v>
      </c>
      <c r="C6131" s="20"/>
      <c r="D6131" s="21"/>
    </row>
    <row r="6132" spans="1:4" ht="12.75" customHeight="1" x14ac:dyDescent="0.2">
      <c r="A6132" s="21"/>
      <c r="B6132" s="3" t="s">
        <v>17</v>
      </c>
      <c r="C6132" s="20"/>
      <c r="D6132" s="21"/>
    </row>
    <row r="6133" spans="1:4" ht="12.75" customHeight="1" x14ac:dyDescent="0.2">
      <c r="A6133" s="21"/>
      <c r="B6133" s="20" t="s">
        <v>18</v>
      </c>
      <c r="C6133" s="4" t="s">
        <v>193</v>
      </c>
      <c r="D6133" s="6" t="str">
        <f>HYPERLINK("javascript:void(0)","maxilla")</f>
        <v>maxilla</v>
      </c>
    </row>
    <row r="6134" spans="1:4" ht="12.75" customHeight="1" x14ac:dyDescent="0.2">
      <c r="A6134" s="21"/>
      <c r="B6134" s="21"/>
      <c r="C6134" s="4" t="s">
        <v>1613</v>
      </c>
      <c r="D6134" s="6" t="str">
        <f>HYPERLINK("javascript:void(0)","kristályfolyadék")</f>
        <v>kristályfolyadék</v>
      </c>
    </row>
    <row r="6135" spans="1:4" ht="12.75" customHeight="1" x14ac:dyDescent="0.2">
      <c r="A6135" s="21"/>
      <c r="B6135" s="21"/>
      <c r="C6135" s="4" t="s">
        <v>290</v>
      </c>
      <c r="D6135" s="6" t="str">
        <f>HYPERLINK("javascript:void(0)","kutyasíp")</f>
        <v>kutyasíp</v>
      </c>
    </row>
    <row r="6136" spans="1:4" ht="12.75" customHeight="1" x14ac:dyDescent="0.2">
      <c r="A6136" s="5"/>
      <c r="B6136" s="2"/>
      <c r="C6136" s="2"/>
      <c r="D6136" s="2"/>
    </row>
    <row r="6137" spans="1:4" ht="12.75" customHeight="1" x14ac:dyDescent="0.2">
      <c r="A6137" s="22" t="str">
        <f>HYPERLINK("javascript:void(0)","gyíkacél dupladorong")</f>
        <v>gyíkacél dupladorong</v>
      </c>
      <c r="B6137" s="21"/>
      <c r="C6137" s="21"/>
      <c r="D6137" s="21"/>
    </row>
    <row r="6138" spans="1:4" ht="12.75" customHeight="1" x14ac:dyDescent="0.2">
      <c r="A6138" s="20"/>
      <c r="B6138" s="2"/>
      <c r="C6138" s="2"/>
      <c r="D6138" s="2"/>
    </row>
    <row r="6139" spans="1:4" ht="12.75" customHeight="1" x14ac:dyDescent="0.2">
      <c r="A6139" s="21"/>
      <c r="B6139" s="3" t="s">
        <v>0</v>
      </c>
      <c r="C6139" s="20" t="s">
        <v>1174</v>
      </c>
      <c r="D6139" s="21"/>
    </row>
    <row r="6140" spans="1:4" ht="12.75" customHeight="1" x14ac:dyDescent="0.2">
      <c r="A6140" s="21"/>
      <c r="B6140" s="3" t="s">
        <v>2</v>
      </c>
      <c r="C6140" s="20" t="s">
        <v>122</v>
      </c>
      <c r="D6140" s="21"/>
    </row>
    <row r="6141" spans="1:4" ht="12.75" customHeight="1" x14ac:dyDescent="0.2">
      <c r="A6141" s="21"/>
      <c r="B6141" s="3" t="s">
        <v>4</v>
      </c>
      <c r="C6141" s="20" t="s">
        <v>1616</v>
      </c>
      <c r="D6141" s="21"/>
    </row>
    <row r="6142" spans="1:4" ht="12.75" customHeight="1" x14ac:dyDescent="0.2">
      <c r="A6142" s="21"/>
      <c r="B6142" s="3" t="s">
        <v>6</v>
      </c>
      <c r="C6142" s="20" t="s">
        <v>216</v>
      </c>
      <c r="D6142" s="21"/>
    </row>
    <row r="6143" spans="1:4" ht="12.75" customHeight="1" x14ac:dyDescent="0.2">
      <c r="A6143" s="21"/>
      <c r="B6143" s="3" t="s">
        <v>8</v>
      </c>
      <c r="C6143" s="20" t="s">
        <v>1616</v>
      </c>
      <c r="D6143" s="21"/>
    </row>
    <row r="6144" spans="1:4" ht="12.75" customHeight="1" x14ac:dyDescent="0.2">
      <c r="A6144" s="21"/>
      <c r="B6144" s="3" t="s">
        <v>9</v>
      </c>
      <c r="C6144" s="20" t="s">
        <v>1587</v>
      </c>
      <c r="D6144" s="21"/>
    </row>
    <row r="6145" spans="1:4" ht="12.75" customHeight="1" x14ac:dyDescent="0.2">
      <c r="A6145" s="21"/>
      <c r="B6145" s="3" t="s">
        <v>11</v>
      </c>
      <c r="C6145" s="20" t="s">
        <v>939</v>
      </c>
      <c r="D6145" s="21"/>
    </row>
    <row r="6146" spans="1:4" ht="12.75" customHeight="1" x14ac:dyDescent="0.2">
      <c r="A6146" s="21"/>
      <c r="B6146" s="3" t="s">
        <v>13</v>
      </c>
      <c r="C6146" s="20" t="s">
        <v>24</v>
      </c>
      <c r="D6146" s="21"/>
    </row>
    <row r="6147" spans="1:4" ht="12.75" customHeight="1" x14ac:dyDescent="0.2">
      <c r="A6147" s="21"/>
      <c r="B6147" s="3" t="s">
        <v>15</v>
      </c>
      <c r="C6147" s="20" t="s">
        <v>24</v>
      </c>
      <c r="D6147" s="21"/>
    </row>
    <row r="6148" spans="1:4" ht="12.75" customHeight="1" x14ac:dyDescent="0.2">
      <c r="A6148" s="21"/>
      <c r="B6148" s="3" t="s">
        <v>16</v>
      </c>
      <c r="C6148" s="20"/>
      <c r="D6148" s="21"/>
    </row>
    <row r="6149" spans="1:4" ht="12.75" customHeight="1" x14ac:dyDescent="0.2">
      <c r="A6149" s="21"/>
      <c r="B6149" s="3" t="s">
        <v>17</v>
      </c>
      <c r="C6149" s="20"/>
      <c r="D6149" s="21"/>
    </row>
    <row r="6150" spans="1:4" ht="12.75" customHeight="1" x14ac:dyDescent="0.2">
      <c r="A6150" s="21"/>
      <c r="B6150" s="20" t="s">
        <v>18</v>
      </c>
      <c r="C6150" s="4" t="s">
        <v>756</v>
      </c>
      <c r="D6150" s="6" t="str">
        <f>HYPERLINK("javascript:void(0)","rotorlapát")</f>
        <v>rotorlapát</v>
      </c>
    </row>
    <row r="6151" spans="1:4" ht="12.75" customHeight="1" x14ac:dyDescent="0.2">
      <c r="A6151" s="21"/>
      <c r="B6151" s="21"/>
      <c r="C6151" s="4" t="s">
        <v>163</v>
      </c>
      <c r="D6151" s="6" t="str">
        <f>HYPERLINK("javascript:void(0)","démonzanza")</f>
        <v>démonzanza</v>
      </c>
    </row>
    <row r="6152" spans="1:4" ht="12.75" customHeight="1" x14ac:dyDescent="0.2">
      <c r="A6152" s="21"/>
      <c r="B6152" s="21"/>
      <c r="C6152" s="4" t="s">
        <v>44</v>
      </c>
      <c r="D6152" s="6" t="str">
        <f>HYPERLINK("javascript:void(0)","gyíkacél dorong")</f>
        <v>gyíkacél dorong</v>
      </c>
    </row>
    <row r="6153" spans="1:4" ht="12.75" customHeight="1" x14ac:dyDescent="0.2">
      <c r="A6153" s="5"/>
      <c r="B6153" s="2"/>
      <c r="C6153" s="2"/>
      <c r="D6153" s="2"/>
    </row>
    <row r="6154" spans="1:4" ht="12.75" customHeight="1" x14ac:dyDescent="0.2">
      <c r="A6154" s="22" t="str">
        <f>HYPERLINK("javascript:void(0)","korhadt fatörzs")</f>
        <v>korhadt fatörzs</v>
      </c>
      <c r="B6154" s="21"/>
      <c r="C6154" s="21"/>
      <c r="D6154" s="21"/>
    </row>
    <row r="6155" spans="1:4" ht="12.75" customHeight="1" x14ac:dyDescent="0.2">
      <c r="A6155" s="20"/>
      <c r="B6155" s="2"/>
      <c r="C6155" s="2"/>
      <c r="D6155" s="2"/>
    </row>
    <row r="6156" spans="1:4" ht="12.75" customHeight="1" x14ac:dyDescent="0.2">
      <c r="A6156" s="21"/>
      <c r="B6156" s="3" t="s">
        <v>0</v>
      </c>
      <c r="C6156" s="20" t="s">
        <v>119</v>
      </c>
      <c r="D6156" s="21"/>
    </row>
    <row r="6157" spans="1:4" ht="12.75" customHeight="1" x14ac:dyDescent="0.2">
      <c r="A6157" s="21"/>
      <c r="B6157" s="3" t="s">
        <v>2</v>
      </c>
      <c r="C6157" s="20" t="s">
        <v>122</v>
      </c>
      <c r="D6157" s="21"/>
    </row>
    <row r="6158" spans="1:4" ht="12.75" customHeight="1" x14ac:dyDescent="0.2">
      <c r="A6158" s="21"/>
      <c r="B6158" s="3" t="s">
        <v>4</v>
      </c>
      <c r="C6158" s="20" t="s">
        <v>1618</v>
      </c>
      <c r="D6158" s="21"/>
    </row>
    <row r="6159" spans="1:4" ht="12.75" customHeight="1" x14ac:dyDescent="0.2">
      <c r="A6159" s="21"/>
      <c r="B6159" s="3" t="s">
        <v>6</v>
      </c>
      <c r="C6159" s="20" t="s">
        <v>115</v>
      </c>
      <c r="D6159" s="21"/>
    </row>
    <row r="6160" spans="1:4" ht="12.75" customHeight="1" x14ac:dyDescent="0.2">
      <c r="A6160" s="21"/>
      <c r="B6160" s="3" t="s">
        <v>8</v>
      </c>
      <c r="C6160" s="20" t="s">
        <v>1618</v>
      </c>
      <c r="D6160" s="21"/>
    </row>
    <row r="6161" spans="1:4" ht="12.75" customHeight="1" x14ac:dyDescent="0.2">
      <c r="A6161" s="21"/>
      <c r="B6161" s="3" t="s">
        <v>9</v>
      </c>
      <c r="C6161" s="20" t="s">
        <v>1619</v>
      </c>
      <c r="D6161" s="21"/>
    </row>
    <row r="6162" spans="1:4" ht="12.75" customHeight="1" x14ac:dyDescent="0.2">
      <c r="A6162" s="21"/>
      <c r="B6162" s="3" t="s">
        <v>11</v>
      </c>
      <c r="C6162" s="20" t="s">
        <v>1620</v>
      </c>
      <c r="D6162" s="21"/>
    </row>
    <row r="6163" spans="1:4" ht="12.75" customHeight="1" x14ac:dyDescent="0.2">
      <c r="A6163" s="21"/>
      <c r="B6163" s="3" t="s">
        <v>13</v>
      </c>
      <c r="C6163" s="20" t="s">
        <v>24</v>
      </c>
      <c r="D6163" s="21"/>
    </row>
    <row r="6164" spans="1:4" ht="12.75" customHeight="1" x14ac:dyDescent="0.2">
      <c r="A6164" s="21"/>
      <c r="B6164" s="3" t="s">
        <v>15</v>
      </c>
      <c r="C6164" s="20" t="s">
        <v>24</v>
      </c>
      <c r="D6164" s="21"/>
    </row>
    <row r="6165" spans="1:4" ht="12.75" customHeight="1" x14ac:dyDescent="0.2">
      <c r="A6165" s="21"/>
      <c r="B6165" s="3" t="s">
        <v>16</v>
      </c>
      <c r="C6165" s="20"/>
      <c r="D6165" s="21"/>
    </row>
    <row r="6166" spans="1:4" ht="12.75" customHeight="1" x14ac:dyDescent="0.2">
      <c r="A6166" s="21"/>
      <c r="B6166" s="3" t="s">
        <v>17</v>
      </c>
      <c r="C6166" s="20"/>
      <c r="D6166" s="21"/>
    </row>
    <row r="6167" spans="1:4" ht="12.75" customHeight="1" x14ac:dyDescent="0.2">
      <c r="A6167" s="21"/>
      <c r="B6167" s="20" t="s">
        <v>18</v>
      </c>
      <c r="C6167" s="4" t="s">
        <v>44</v>
      </c>
      <c r="D6167" s="6" t="str">
        <f>HYPERLINK("javascript:void(0)","kutyaütő")</f>
        <v>kutyaütő</v>
      </c>
    </row>
    <row r="6168" spans="1:4" ht="12.75" customHeight="1" x14ac:dyDescent="0.2">
      <c r="A6168" s="21"/>
      <c r="B6168" s="21"/>
      <c r="C6168" s="4" t="s">
        <v>269</v>
      </c>
      <c r="D6168" s="6" t="str">
        <f>HYPERLINK("javascript:void(0)","kéreg")</f>
        <v>kéreg</v>
      </c>
    </row>
    <row r="6169" spans="1:4" ht="12.75" customHeight="1" x14ac:dyDescent="0.2">
      <c r="A6169" s="21"/>
      <c r="B6169" s="21"/>
      <c r="C6169" s="4" t="s">
        <v>132</v>
      </c>
      <c r="D6169" s="6" t="str">
        <f>HYPERLINK("javascript:void(0)","aquaakta")</f>
        <v>aquaakta</v>
      </c>
    </row>
    <row r="6170" spans="1:4" ht="12.75" customHeight="1" x14ac:dyDescent="0.2">
      <c r="A6170" s="5"/>
      <c r="B6170" s="2"/>
      <c r="C6170" s="2"/>
      <c r="D6170" s="2"/>
    </row>
    <row r="6171" spans="1:4" ht="12.75" customHeight="1" x14ac:dyDescent="0.2">
      <c r="A6171" s="22" t="str">
        <f>HYPERLINK("javascript:void(0)","kéregvizes mágusölő")</f>
        <v>kéregvizes mágusölő</v>
      </c>
      <c r="B6171" s="21"/>
      <c r="C6171" s="21"/>
      <c r="D6171" s="21"/>
    </row>
    <row r="6172" spans="1:4" ht="12.75" customHeight="1" x14ac:dyDescent="0.2">
      <c r="A6172" s="20"/>
      <c r="B6172" s="2"/>
      <c r="C6172" s="2"/>
      <c r="D6172" s="2"/>
    </row>
    <row r="6173" spans="1:4" ht="12.75" customHeight="1" x14ac:dyDescent="0.2">
      <c r="A6173" s="21"/>
      <c r="B6173" s="3" t="s">
        <v>0</v>
      </c>
      <c r="C6173" s="20" t="s">
        <v>119</v>
      </c>
      <c r="D6173" s="21"/>
    </row>
    <row r="6174" spans="1:4" ht="12.75" customHeight="1" x14ac:dyDescent="0.2">
      <c r="A6174" s="21"/>
      <c r="B6174" s="3" t="s">
        <v>2</v>
      </c>
      <c r="C6174" s="20" t="s">
        <v>122</v>
      </c>
      <c r="D6174" s="21"/>
    </row>
    <row r="6175" spans="1:4" ht="12.75" customHeight="1" x14ac:dyDescent="0.2">
      <c r="A6175" s="21"/>
      <c r="B6175" s="3" t="s">
        <v>4</v>
      </c>
      <c r="C6175" s="20" t="s">
        <v>1622</v>
      </c>
      <c r="D6175" s="21"/>
    </row>
    <row r="6176" spans="1:4" ht="12.75" customHeight="1" x14ac:dyDescent="0.2">
      <c r="A6176" s="21"/>
      <c r="B6176" s="3" t="s">
        <v>6</v>
      </c>
      <c r="C6176" s="20" t="s">
        <v>40</v>
      </c>
      <c r="D6176" s="21"/>
    </row>
    <row r="6177" spans="1:4" ht="12.75" customHeight="1" x14ac:dyDescent="0.2">
      <c r="A6177" s="21"/>
      <c r="B6177" s="3" t="s">
        <v>8</v>
      </c>
      <c r="C6177" s="20" t="s">
        <v>1622</v>
      </c>
      <c r="D6177" s="21"/>
    </row>
    <row r="6178" spans="1:4" ht="12.75" customHeight="1" x14ac:dyDescent="0.2">
      <c r="A6178" s="21"/>
      <c r="B6178" s="3" t="s">
        <v>9</v>
      </c>
      <c r="C6178" s="20" t="s">
        <v>1623</v>
      </c>
      <c r="D6178" s="21"/>
    </row>
    <row r="6179" spans="1:4" ht="12.75" customHeight="1" x14ac:dyDescent="0.2">
      <c r="A6179" s="21"/>
      <c r="B6179" s="3" t="s">
        <v>11</v>
      </c>
      <c r="C6179" s="20" t="s">
        <v>1059</v>
      </c>
      <c r="D6179" s="21"/>
    </row>
    <row r="6180" spans="1:4" ht="12.75" customHeight="1" x14ac:dyDescent="0.2">
      <c r="A6180" s="21"/>
      <c r="B6180" s="3" t="s">
        <v>13</v>
      </c>
      <c r="C6180" s="20" t="s">
        <v>14</v>
      </c>
      <c r="D6180" s="21"/>
    </row>
    <row r="6181" spans="1:4" ht="12.75" customHeight="1" x14ac:dyDescent="0.2">
      <c r="A6181" s="21"/>
      <c r="B6181" s="3" t="s">
        <v>15</v>
      </c>
      <c r="C6181" s="20" t="s">
        <v>24</v>
      </c>
      <c r="D6181" s="21"/>
    </row>
    <row r="6182" spans="1:4" ht="12.75" customHeight="1" x14ac:dyDescent="0.2">
      <c r="A6182" s="21"/>
      <c r="B6182" s="3" t="s">
        <v>16</v>
      </c>
      <c r="C6182" s="20"/>
      <c r="D6182" s="21"/>
    </row>
    <row r="6183" spans="1:4" ht="12.75" customHeight="1" x14ac:dyDescent="0.2">
      <c r="A6183" s="21"/>
      <c r="B6183" s="3" t="s">
        <v>17</v>
      </c>
      <c r="C6183" s="20"/>
      <c r="D6183" s="21"/>
    </row>
    <row r="6184" spans="1:4" ht="12.75" customHeight="1" x14ac:dyDescent="0.2">
      <c r="A6184" s="21"/>
      <c r="B6184" s="20" t="s">
        <v>18</v>
      </c>
      <c r="C6184" s="4" t="s">
        <v>44</v>
      </c>
      <c r="D6184" s="6" t="str">
        <f>HYPERLINK("javascript:void(0)","füttyös mágusölő")</f>
        <v>füttyös mágusölő</v>
      </c>
    </row>
    <row r="6185" spans="1:4" ht="12.75" customHeight="1" x14ac:dyDescent="0.2">
      <c r="A6185" s="21"/>
      <c r="B6185" s="21"/>
      <c r="C6185" s="4" t="s">
        <v>780</v>
      </c>
      <c r="D6185" s="6" t="str">
        <f>HYPERLINK("javascript:void(0)","aquaakta")</f>
        <v>aquaakta</v>
      </c>
    </row>
    <row r="6186" spans="1:4" ht="12.75" customHeight="1" x14ac:dyDescent="0.2">
      <c r="A6186" s="21"/>
      <c r="B6186" s="21"/>
      <c r="C6186" s="4" t="s">
        <v>117</v>
      </c>
      <c r="D6186" s="6" t="str">
        <f>HYPERLINK("javascript:void(0)","kéreg")</f>
        <v>kéreg</v>
      </c>
    </row>
    <row r="6187" spans="1:4" ht="12.75" customHeight="1" x14ac:dyDescent="0.2">
      <c r="A6187" s="5"/>
      <c r="B6187" s="2"/>
      <c r="C6187" s="2"/>
      <c r="D6187" s="2"/>
    </row>
    <row r="6188" spans="1:4" ht="12.75" customHeight="1" x14ac:dyDescent="0.2">
      <c r="A6188" s="22" t="str">
        <f>HYPERLINK("javascript:void(0)","tollas démonzúzó")</f>
        <v>tollas démonzúzó</v>
      </c>
      <c r="B6188" s="21"/>
      <c r="C6188" s="21"/>
      <c r="D6188" s="21"/>
    </row>
    <row r="6189" spans="1:4" ht="12.75" customHeight="1" x14ac:dyDescent="0.2">
      <c r="A6189" s="20"/>
      <c r="B6189" s="2"/>
      <c r="C6189" s="2"/>
      <c r="D6189" s="2"/>
    </row>
    <row r="6190" spans="1:4" ht="12.75" customHeight="1" x14ac:dyDescent="0.2">
      <c r="A6190" s="21"/>
      <c r="B6190" s="3" t="s">
        <v>0</v>
      </c>
      <c r="C6190" s="20" t="s">
        <v>1196</v>
      </c>
      <c r="D6190" s="21"/>
    </row>
    <row r="6191" spans="1:4" ht="12.75" customHeight="1" x14ac:dyDescent="0.2">
      <c r="A6191" s="21"/>
      <c r="B6191" s="3" t="s">
        <v>2</v>
      </c>
      <c r="C6191" s="20" t="s">
        <v>122</v>
      </c>
      <c r="D6191" s="21"/>
    </row>
    <row r="6192" spans="1:4" ht="12.75" customHeight="1" x14ac:dyDescent="0.2">
      <c r="A6192" s="21"/>
      <c r="B6192" s="3" t="s">
        <v>4</v>
      </c>
      <c r="C6192" s="20" t="s">
        <v>1626</v>
      </c>
      <c r="D6192" s="21"/>
    </row>
    <row r="6193" spans="1:4" ht="12.75" customHeight="1" x14ac:dyDescent="0.2">
      <c r="A6193" s="21"/>
      <c r="B6193" s="3" t="s">
        <v>6</v>
      </c>
      <c r="C6193" s="20" t="s">
        <v>298</v>
      </c>
      <c r="D6193" s="21"/>
    </row>
    <row r="6194" spans="1:4" ht="12.75" customHeight="1" x14ac:dyDescent="0.2">
      <c r="A6194" s="21"/>
      <c r="B6194" s="3" t="s">
        <v>8</v>
      </c>
      <c r="C6194" s="20" t="s">
        <v>1626</v>
      </c>
      <c r="D6194" s="21"/>
    </row>
    <row r="6195" spans="1:4" ht="12.75" customHeight="1" x14ac:dyDescent="0.2">
      <c r="A6195" s="21"/>
      <c r="B6195" s="3" t="s">
        <v>9</v>
      </c>
      <c r="C6195" s="20" t="s">
        <v>1627</v>
      </c>
      <c r="D6195" s="21"/>
    </row>
    <row r="6196" spans="1:4" ht="12.75" customHeight="1" x14ac:dyDescent="0.2">
      <c r="A6196" s="21"/>
      <c r="B6196" s="3" t="s">
        <v>11</v>
      </c>
      <c r="C6196" s="20" t="s">
        <v>1628</v>
      </c>
      <c r="D6196" s="21"/>
    </row>
    <row r="6197" spans="1:4" ht="12.75" customHeight="1" x14ac:dyDescent="0.2">
      <c r="A6197" s="21"/>
      <c r="B6197" s="3" t="s">
        <v>13</v>
      </c>
      <c r="C6197" s="20" t="s">
        <v>24</v>
      </c>
      <c r="D6197" s="21"/>
    </row>
    <row r="6198" spans="1:4" ht="12.75" customHeight="1" x14ac:dyDescent="0.2">
      <c r="A6198" s="21"/>
      <c r="B6198" s="3" t="s">
        <v>15</v>
      </c>
      <c r="C6198" s="20" t="s">
        <v>24</v>
      </c>
      <c r="D6198" s="21"/>
    </row>
    <row r="6199" spans="1:4" ht="12.75" customHeight="1" x14ac:dyDescent="0.2">
      <c r="A6199" s="21"/>
      <c r="B6199" s="3" t="s">
        <v>16</v>
      </c>
      <c r="C6199" s="20"/>
      <c r="D6199" s="21"/>
    </row>
    <row r="6200" spans="1:4" ht="12.75" customHeight="1" x14ac:dyDescent="0.2">
      <c r="A6200" s="21"/>
      <c r="B6200" s="3" t="s">
        <v>17</v>
      </c>
      <c r="C6200" s="20"/>
      <c r="D6200" s="21"/>
    </row>
    <row r="6201" spans="1:4" ht="12.75" customHeight="1" x14ac:dyDescent="0.2">
      <c r="A6201" s="21"/>
      <c r="B6201" s="20" t="s">
        <v>18</v>
      </c>
      <c r="C6201" s="4" t="s">
        <v>44</v>
      </c>
      <c r="D6201" s="6" t="str">
        <f>HYPERLINK("javascript:void(0)","korhadt fatörzs")</f>
        <v>korhadt fatörzs</v>
      </c>
    </row>
    <row r="6202" spans="1:4" ht="12.75" customHeight="1" x14ac:dyDescent="0.2">
      <c r="A6202" s="21"/>
      <c r="B6202" s="21"/>
      <c r="C6202" s="4" t="s">
        <v>296</v>
      </c>
      <c r="D6202" s="6" t="str">
        <f>HYPERLINK("javascript:void(0)","démontoll")</f>
        <v>démontoll</v>
      </c>
    </row>
    <row r="6203" spans="1:4" ht="12.75" customHeight="1" x14ac:dyDescent="0.2">
      <c r="A6203" s="21"/>
      <c r="B6203" s="21"/>
      <c r="C6203" s="4" t="s">
        <v>240</v>
      </c>
      <c r="D6203" s="6" t="str">
        <f>HYPERLINK("javascript:void(0)","idegen herkentyű")</f>
        <v>idegen herkentyű</v>
      </c>
    </row>
    <row r="6204" spans="1:4" ht="12.75" customHeight="1" x14ac:dyDescent="0.2">
      <c r="A6204" s="5"/>
      <c r="B6204" s="2"/>
      <c r="C6204" s="2"/>
      <c r="D6204" s="2"/>
    </row>
    <row r="6205" spans="1:4" ht="12.75" customHeight="1" x14ac:dyDescent="0.2">
      <c r="A6205" s="22" t="str">
        <f>HYPERLINK("javascript:void(0)","gyíkacél duplabunkó")</f>
        <v>gyíkacél duplabunkó</v>
      </c>
      <c r="B6205" s="21"/>
      <c r="C6205" s="21"/>
      <c r="D6205" s="21"/>
    </row>
    <row r="6206" spans="1:4" ht="12.75" customHeight="1" x14ac:dyDescent="0.2">
      <c r="A6206" s="20"/>
      <c r="B6206" s="2"/>
      <c r="C6206" s="2"/>
      <c r="D6206" s="2"/>
    </row>
    <row r="6207" spans="1:4" ht="12.75" customHeight="1" x14ac:dyDescent="0.2">
      <c r="A6207" s="21"/>
      <c r="B6207" s="3" t="s">
        <v>0</v>
      </c>
      <c r="C6207" s="20" t="s">
        <v>1207</v>
      </c>
      <c r="D6207" s="21"/>
    </row>
    <row r="6208" spans="1:4" ht="12.75" customHeight="1" x14ac:dyDescent="0.2">
      <c r="A6208" s="21"/>
      <c r="B6208" s="3" t="s">
        <v>2</v>
      </c>
      <c r="C6208" s="20" t="s">
        <v>122</v>
      </c>
      <c r="D6208" s="21"/>
    </row>
    <row r="6209" spans="1:4" ht="12.75" customHeight="1" x14ac:dyDescent="0.2">
      <c r="A6209" s="21"/>
      <c r="B6209" s="3" t="s">
        <v>4</v>
      </c>
      <c r="C6209" s="20" t="s">
        <v>1630</v>
      </c>
      <c r="D6209" s="21"/>
    </row>
    <row r="6210" spans="1:4" ht="12.75" customHeight="1" x14ac:dyDescent="0.2">
      <c r="A6210" s="21"/>
      <c r="B6210" s="3" t="s">
        <v>6</v>
      </c>
      <c r="C6210" s="20" t="s">
        <v>385</v>
      </c>
      <c r="D6210" s="21"/>
    </row>
    <row r="6211" spans="1:4" ht="12.75" customHeight="1" x14ac:dyDescent="0.2">
      <c r="A6211" s="21"/>
      <c r="B6211" s="3" t="s">
        <v>8</v>
      </c>
      <c r="C6211" s="20" t="s">
        <v>1630</v>
      </c>
      <c r="D6211" s="21"/>
    </row>
    <row r="6212" spans="1:4" ht="12.75" customHeight="1" x14ac:dyDescent="0.2">
      <c r="A6212" s="21"/>
      <c r="B6212" s="3" t="s">
        <v>9</v>
      </c>
      <c r="C6212" s="20" t="s">
        <v>1631</v>
      </c>
      <c r="D6212" s="21"/>
    </row>
    <row r="6213" spans="1:4" ht="12.75" customHeight="1" x14ac:dyDescent="0.2">
      <c r="A6213" s="21"/>
      <c r="B6213" s="3" t="s">
        <v>11</v>
      </c>
      <c r="C6213" s="20" t="s">
        <v>1632</v>
      </c>
      <c r="D6213" s="21"/>
    </row>
    <row r="6214" spans="1:4" ht="12.75" customHeight="1" x14ac:dyDescent="0.2">
      <c r="A6214" s="21"/>
      <c r="B6214" s="3" t="s">
        <v>13</v>
      </c>
      <c r="C6214" s="20" t="s">
        <v>24</v>
      </c>
      <c r="D6214" s="21"/>
    </row>
    <row r="6215" spans="1:4" ht="12.75" customHeight="1" x14ac:dyDescent="0.2">
      <c r="A6215" s="21"/>
      <c r="B6215" s="3" t="s">
        <v>15</v>
      </c>
      <c r="C6215" s="20" t="s">
        <v>24</v>
      </c>
      <c r="D6215" s="21"/>
    </row>
    <row r="6216" spans="1:4" ht="12.75" customHeight="1" x14ac:dyDescent="0.2">
      <c r="A6216" s="21"/>
      <c r="B6216" s="3" t="s">
        <v>16</v>
      </c>
      <c r="C6216" s="20"/>
      <c r="D6216" s="21"/>
    </row>
    <row r="6217" spans="1:4" ht="12.75" customHeight="1" x14ac:dyDescent="0.2">
      <c r="A6217" s="21"/>
      <c r="B6217" s="3" t="s">
        <v>17</v>
      </c>
      <c r="C6217" s="20"/>
      <c r="D6217" s="21"/>
    </row>
    <row r="6218" spans="1:4" ht="12.75" customHeight="1" x14ac:dyDescent="0.2">
      <c r="A6218" s="21"/>
      <c r="B6218" s="20" t="s">
        <v>18</v>
      </c>
      <c r="C6218" s="4" t="s">
        <v>57</v>
      </c>
      <c r="D6218" s="6" t="str">
        <f>HYPERLINK("javascript:void(0)","ellensúly")</f>
        <v>ellensúly</v>
      </c>
    </row>
    <row r="6219" spans="1:4" ht="12.75" customHeight="1" x14ac:dyDescent="0.2">
      <c r="A6219" s="21"/>
      <c r="B6219" s="21"/>
      <c r="C6219" s="4" t="s">
        <v>57</v>
      </c>
      <c r="D6219" s="6" t="str">
        <f>HYPERLINK("javascript:void(0)","lávabunkó")</f>
        <v>lávabunkó</v>
      </c>
    </row>
    <row r="6220" spans="1:4" ht="12.75" customHeight="1" x14ac:dyDescent="0.2">
      <c r="A6220" s="21"/>
      <c r="B6220" s="21"/>
      <c r="C6220" s="4" t="s">
        <v>335</v>
      </c>
      <c r="D6220" s="6" t="str">
        <f>HYPERLINK("javascript:void(0)","démontoll")</f>
        <v>démontoll</v>
      </c>
    </row>
    <row r="6221" spans="1:4" ht="12.75" customHeight="1" x14ac:dyDescent="0.2">
      <c r="A6221" s="5"/>
      <c r="B6221" s="2"/>
      <c r="C6221" s="2"/>
      <c r="D6221" s="2"/>
    </row>
    <row r="6222" spans="1:4" ht="12.75" customHeight="1" x14ac:dyDescent="0.2">
      <c r="A6222" s="22" t="str">
        <f>HYPERLINK("javascript:void(0)","rasztás mágusölő")</f>
        <v>rasztás mágusölő</v>
      </c>
      <c r="B6222" s="21"/>
      <c r="C6222" s="21"/>
      <c r="D6222" s="21"/>
    </row>
    <row r="6223" spans="1:4" ht="12.75" customHeight="1" x14ac:dyDescent="0.2">
      <c r="A6223" s="20"/>
      <c r="B6223" s="2"/>
      <c r="C6223" s="2"/>
      <c r="D6223" s="2"/>
    </row>
    <row r="6224" spans="1:4" ht="12.75" customHeight="1" x14ac:dyDescent="0.2">
      <c r="A6224" s="21"/>
      <c r="B6224" s="3" t="s">
        <v>0</v>
      </c>
      <c r="C6224" s="20" t="s">
        <v>1207</v>
      </c>
      <c r="D6224" s="21"/>
    </row>
    <row r="6225" spans="1:4" ht="12.75" customHeight="1" x14ac:dyDescent="0.2">
      <c r="A6225" s="21"/>
      <c r="B6225" s="3" t="s">
        <v>2</v>
      </c>
      <c r="C6225" s="20" t="s">
        <v>122</v>
      </c>
      <c r="D6225" s="21"/>
    </row>
    <row r="6226" spans="1:4" ht="12.75" customHeight="1" x14ac:dyDescent="0.2">
      <c r="A6226" s="21"/>
      <c r="B6226" s="3" t="s">
        <v>4</v>
      </c>
      <c r="C6226" s="20" t="s">
        <v>1634</v>
      </c>
      <c r="D6226" s="21"/>
    </row>
    <row r="6227" spans="1:4" ht="12.75" customHeight="1" x14ac:dyDescent="0.2">
      <c r="A6227" s="21"/>
      <c r="B6227" s="3" t="s">
        <v>6</v>
      </c>
      <c r="C6227" s="20" t="s">
        <v>48</v>
      </c>
      <c r="D6227" s="21"/>
    </row>
    <row r="6228" spans="1:4" ht="12.75" customHeight="1" x14ac:dyDescent="0.2">
      <c r="A6228" s="21"/>
      <c r="B6228" s="3" t="s">
        <v>8</v>
      </c>
      <c r="C6228" s="20" t="s">
        <v>1634</v>
      </c>
      <c r="D6228" s="21"/>
    </row>
    <row r="6229" spans="1:4" ht="12.75" customHeight="1" x14ac:dyDescent="0.2">
      <c r="A6229" s="21"/>
      <c r="B6229" s="3" t="s">
        <v>9</v>
      </c>
      <c r="C6229" s="20" t="s">
        <v>759</v>
      </c>
      <c r="D6229" s="21"/>
    </row>
    <row r="6230" spans="1:4" ht="12.75" customHeight="1" x14ac:dyDescent="0.2">
      <c r="A6230" s="21"/>
      <c r="B6230" s="3" t="s">
        <v>11</v>
      </c>
      <c r="C6230" s="20" t="s">
        <v>1066</v>
      </c>
      <c r="D6230" s="21"/>
    </row>
    <row r="6231" spans="1:4" ht="12.75" customHeight="1" x14ac:dyDescent="0.2">
      <c r="A6231" s="21"/>
      <c r="B6231" s="3" t="s">
        <v>13</v>
      </c>
      <c r="C6231" s="20" t="s">
        <v>14</v>
      </c>
      <c r="D6231" s="21"/>
    </row>
    <row r="6232" spans="1:4" ht="12.75" customHeight="1" x14ac:dyDescent="0.2">
      <c r="A6232" s="21"/>
      <c r="B6232" s="3" t="s">
        <v>15</v>
      </c>
      <c r="C6232" s="20" t="s">
        <v>24</v>
      </c>
      <c r="D6232" s="21"/>
    </row>
    <row r="6233" spans="1:4" ht="12.75" customHeight="1" x14ac:dyDescent="0.2">
      <c r="A6233" s="21"/>
      <c r="B6233" s="3" t="s">
        <v>16</v>
      </c>
      <c r="C6233" s="20"/>
      <c r="D6233" s="21"/>
    </row>
    <row r="6234" spans="1:4" ht="12.75" customHeight="1" x14ac:dyDescent="0.2">
      <c r="A6234" s="21"/>
      <c r="B6234" s="3" t="s">
        <v>17</v>
      </c>
      <c r="C6234" s="20"/>
      <c r="D6234" s="21"/>
    </row>
    <row r="6235" spans="1:4" ht="25.5" customHeight="1" x14ac:dyDescent="0.2">
      <c r="A6235" s="21"/>
      <c r="B6235" s="20" t="s">
        <v>18</v>
      </c>
      <c r="C6235" s="4" t="s">
        <v>44</v>
      </c>
      <c r="D6235" s="6" t="str">
        <f>HYPERLINK("javascript:void(0)","lombikcserepes mágusölő")</f>
        <v>lombikcserepes mágusölő</v>
      </c>
    </row>
    <row r="6236" spans="1:4" ht="12.75" customHeight="1" x14ac:dyDescent="0.2">
      <c r="A6236" s="21"/>
      <c r="B6236" s="21"/>
      <c r="C6236" s="4" t="s">
        <v>786</v>
      </c>
      <c r="D6236" s="6" t="str">
        <f>HYPERLINK("javascript:void(0)","raszta")</f>
        <v>raszta</v>
      </c>
    </row>
    <row r="6237" spans="1:4" ht="12.75" customHeight="1" x14ac:dyDescent="0.2">
      <c r="A6237" s="21"/>
      <c r="B6237" s="21"/>
      <c r="C6237" s="4" t="s">
        <v>228</v>
      </c>
      <c r="D6237" s="6" t="str">
        <f>HYPERLINK("javascript:void(0)","felhőgyapjú")</f>
        <v>felhőgyapjú</v>
      </c>
    </row>
    <row r="6238" spans="1:4" ht="12.75" customHeight="1" x14ac:dyDescent="0.2">
      <c r="A6238" s="5"/>
      <c r="B6238" s="2"/>
      <c r="C6238" s="2"/>
      <c r="D6238" s="2"/>
    </row>
    <row r="6239" spans="1:4" ht="12.75" customHeight="1" x14ac:dyDescent="0.2">
      <c r="A6239" s="22" t="str">
        <f>HYPERLINK("javascript:void(0)","hibaverő")</f>
        <v>hibaverő</v>
      </c>
      <c r="B6239" s="21"/>
      <c r="C6239" s="21"/>
      <c r="D6239" s="21"/>
    </row>
    <row r="6240" spans="1:4" ht="12.75" customHeight="1" x14ac:dyDescent="0.2">
      <c r="A6240" s="20"/>
      <c r="B6240" s="2"/>
      <c r="C6240" s="2"/>
      <c r="D6240" s="2"/>
    </row>
    <row r="6241" spans="1:4" ht="12.75" customHeight="1" x14ac:dyDescent="0.2">
      <c r="A6241" s="21"/>
      <c r="B6241" s="3" t="s">
        <v>0</v>
      </c>
      <c r="C6241" s="20" t="s">
        <v>1207</v>
      </c>
      <c r="D6241" s="21"/>
    </row>
    <row r="6242" spans="1:4" ht="12.75" customHeight="1" x14ac:dyDescent="0.2">
      <c r="A6242" s="21"/>
      <c r="B6242" s="3" t="s">
        <v>2</v>
      </c>
      <c r="C6242" s="20" t="s">
        <v>122</v>
      </c>
      <c r="D6242" s="21"/>
    </row>
    <row r="6243" spans="1:4" ht="12.75" customHeight="1" x14ac:dyDescent="0.2">
      <c r="A6243" s="21"/>
      <c r="B6243" s="3" t="s">
        <v>4</v>
      </c>
      <c r="C6243" s="20" t="s">
        <v>1239</v>
      </c>
      <c r="D6243" s="21"/>
    </row>
    <row r="6244" spans="1:4" ht="12.75" customHeight="1" x14ac:dyDescent="0.2">
      <c r="A6244" s="21"/>
      <c r="B6244" s="3" t="s">
        <v>6</v>
      </c>
      <c r="C6244" s="20" t="s">
        <v>216</v>
      </c>
      <c r="D6244" s="21"/>
    </row>
    <row r="6245" spans="1:4" ht="12.75" customHeight="1" x14ac:dyDescent="0.2">
      <c r="A6245" s="21"/>
      <c r="B6245" s="3" t="s">
        <v>8</v>
      </c>
      <c r="C6245" s="20" t="s">
        <v>1239</v>
      </c>
      <c r="D6245" s="21"/>
    </row>
    <row r="6246" spans="1:4" ht="12.75" customHeight="1" x14ac:dyDescent="0.2">
      <c r="A6246" s="21"/>
      <c r="B6246" s="3" t="s">
        <v>9</v>
      </c>
      <c r="C6246" s="20" t="s">
        <v>217</v>
      </c>
      <c r="D6246" s="21"/>
    </row>
    <row r="6247" spans="1:4" ht="12.75" customHeight="1" x14ac:dyDescent="0.2">
      <c r="A6247" s="21"/>
      <c r="B6247" s="3" t="s">
        <v>11</v>
      </c>
      <c r="C6247" s="20" t="s">
        <v>1635</v>
      </c>
      <c r="D6247" s="21"/>
    </row>
    <row r="6248" spans="1:4" ht="12.75" customHeight="1" x14ac:dyDescent="0.2">
      <c r="A6248" s="21"/>
      <c r="B6248" s="3" t="s">
        <v>13</v>
      </c>
      <c r="C6248" s="20" t="s">
        <v>24</v>
      </c>
      <c r="D6248" s="21"/>
    </row>
    <row r="6249" spans="1:4" ht="12.75" customHeight="1" x14ac:dyDescent="0.2">
      <c r="A6249" s="21"/>
      <c r="B6249" s="3" t="s">
        <v>15</v>
      </c>
      <c r="C6249" s="20" t="s">
        <v>24</v>
      </c>
      <c r="D6249" s="21"/>
    </row>
    <row r="6250" spans="1:4" ht="12.75" customHeight="1" x14ac:dyDescent="0.2">
      <c r="A6250" s="21"/>
      <c r="B6250" s="3" t="s">
        <v>16</v>
      </c>
      <c r="C6250" s="20"/>
      <c r="D6250" s="21"/>
    </row>
    <row r="6251" spans="1:4" ht="12.75" customHeight="1" x14ac:dyDescent="0.2">
      <c r="A6251" s="21"/>
      <c r="B6251" s="3" t="s">
        <v>17</v>
      </c>
      <c r="C6251" s="20"/>
      <c r="D6251" s="21"/>
    </row>
    <row r="6252" spans="1:4" ht="12.75" customHeight="1" x14ac:dyDescent="0.2">
      <c r="A6252" s="21"/>
      <c r="B6252" s="20" t="s">
        <v>18</v>
      </c>
      <c r="C6252" s="4" t="s">
        <v>44</v>
      </c>
      <c r="D6252" s="6" t="str">
        <f>HYPERLINK("javascript:void(0)","tollas démonzúzó")</f>
        <v>tollas démonzúzó</v>
      </c>
    </row>
    <row r="6253" spans="1:4" ht="12.75" customHeight="1" x14ac:dyDescent="0.2">
      <c r="A6253" s="21"/>
      <c r="B6253" s="21"/>
      <c r="C6253" s="4" t="s">
        <v>196</v>
      </c>
      <c r="D6253" s="6" t="str">
        <f>HYPERLINK("javascript:void(0)","démonszárny")</f>
        <v>démonszárny</v>
      </c>
    </row>
    <row r="6254" spans="1:4" ht="12.75" customHeight="1" x14ac:dyDescent="0.2">
      <c r="A6254" s="21"/>
      <c r="B6254" s="21"/>
      <c r="C6254" s="4" t="s">
        <v>55</v>
      </c>
      <c r="D6254" s="6" t="str">
        <f>HYPERLINK("javascript:void(0)","fatális hiba")</f>
        <v>fatális hiba</v>
      </c>
    </row>
    <row r="6255" spans="1:4" ht="12.75" customHeight="1" x14ac:dyDescent="0.2">
      <c r="A6255" s="5"/>
      <c r="B6255" s="2"/>
      <c r="C6255" s="2"/>
      <c r="D6255" s="2"/>
    </row>
    <row r="6256" spans="1:4" ht="12.75" customHeight="1" x14ac:dyDescent="0.2">
      <c r="A6256" s="22" t="str">
        <f>HYPERLINK("javascript:void(0)","majomkenyér")</f>
        <v>majomkenyér</v>
      </c>
      <c r="B6256" s="21"/>
      <c r="C6256" s="21"/>
      <c r="D6256" s="21"/>
    </row>
    <row r="6257" spans="1:4" ht="12.75" customHeight="1" x14ac:dyDescent="0.2">
      <c r="A6257" s="20"/>
      <c r="B6257" s="2"/>
      <c r="C6257" s="2"/>
      <c r="D6257" s="2"/>
    </row>
    <row r="6258" spans="1:4" ht="12.75" customHeight="1" x14ac:dyDescent="0.2">
      <c r="A6258" s="21"/>
      <c r="B6258" s="3" t="s">
        <v>0</v>
      </c>
      <c r="C6258" s="20" t="s">
        <v>1213</v>
      </c>
      <c r="D6258" s="21"/>
    </row>
    <row r="6259" spans="1:4" ht="12.75" customHeight="1" x14ac:dyDescent="0.2">
      <c r="A6259" s="21"/>
      <c r="B6259" s="3" t="s">
        <v>2</v>
      </c>
      <c r="C6259" s="20" t="s">
        <v>122</v>
      </c>
      <c r="D6259" s="21"/>
    </row>
    <row r="6260" spans="1:4" ht="12.75" customHeight="1" x14ac:dyDescent="0.2">
      <c r="A6260" s="21"/>
      <c r="B6260" s="3" t="s">
        <v>4</v>
      </c>
      <c r="C6260" s="20" t="s">
        <v>1638</v>
      </c>
      <c r="D6260" s="21"/>
    </row>
    <row r="6261" spans="1:4" ht="12.75" customHeight="1" x14ac:dyDescent="0.2">
      <c r="A6261" s="21"/>
      <c r="B6261" s="3" t="s">
        <v>6</v>
      </c>
      <c r="C6261" s="20" t="s">
        <v>272</v>
      </c>
      <c r="D6261" s="21"/>
    </row>
    <row r="6262" spans="1:4" ht="12.75" customHeight="1" x14ac:dyDescent="0.2">
      <c r="A6262" s="21"/>
      <c r="B6262" s="3" t="s">
        <v>8</v>
      </c>
      <c r="C6262" s="20" t="s">
        <v>1638</v>
      </c>
      <c r="D6262" s="21"/>
    </row>
    <row r="6263" spans="1:4" ht="12.75" customHeight="1" x14ac:dyDescent="0.2">
      <c r="A6263" s="21"/>
      <c r="B6263" s="3" t="s">
        <v>9</v>
      </c>
      <c r="C6263" s="20" t="s">
        <v>1639</v>
      </c>
      <c r="D6263" s="21"/>
    </row>
    <row r="6264" spans="1:4" ht="12.75" customHeight="1" x14ac:dyDescent="0.2">
      <c r="A6264" s="21"/>
      <c r="B6264" s="3" t="s">
        <v>11</v>
      </c>
      <c r="C6264" s="20" t="s">
        <v>1209</v>
      </c>
      <c r="D6264" s="21"/>
    </row>
    <row r="6265" spans="1:4" ht="12.75" customHeight="1" x14ac:dyDescent="0.2">
      <c r="A6265" s="21"/>
      <c r="B6265" s="3" t="s">
        <v>13</v>
      </c>
      <c r="C6265" s="20" t="s">
        <v>24</v>
      </c>
      <c r="D6265" s="21"/>
    </row>
    <row r="6266" spans="1:4" ht="12.75" customHeight="1" x14ac:dyDescent="0.2">
      <c r="A6266" s="21"/>
      <c r="B6266" s="3" t="s">
        <v>15</v>
      </c>
      <c r="C6266" s="20" t="s">
        <v>24</v>
      </c>
      <c r="D6266" s="21"/>
    </row>
    <row r="6267" spans="1:4" ht="12.75" customHeight="1" x14ac:dyDescent="0.2">
      <c r="A6267" s="21"/>
      <c r="B6267" s="3" t="s">
        <v>16</v>
      </c>
      <c r="C6267" s="20"/>
      <c r="D6267" s="21"/>
    </row>
    <row r="6268" spans="1:4" ht="12.75" customHeight="1" x14ac:dyDescent="0.2">
      <c r="A6268" s="21"/>
      <c r="B6268" s="3" t="s">
        <v>17</v>
      </c>
      <c r="C6268" s="20"/>
      <c r="D6268" s="21"/>
    </row>
    <row r="6269" spans="1:4" ht="12.75" customHeight="1" x14ac:dyDescent="0.2">
      <c r="A6269" s="21"/>
      <c r="B6269" s="20" t="s">
        <v>18</v>
      </c>
      <c r="C6269" s="4" t="s">
        <v>44</v>
      </c>
      <c r="D6269" s="6" t="str">
        <f>HYPERLINK("javascript:void(0)","20000 éves kenyér")</f>
        <v>20000 éves kenyér</v>
      </c>
    </row>
    <row r="6270" spans="1:4" ht="12.75" customHeight="1" x14ac:dyDescent="0.2">
      <c r="A6270" s="21"/>
      <c r="B6270" s="21"/>
      <c r="C6270" s="4" t="s">
        <v>196</v>
      </c>
      <c r="D6270" s="6" t="str">
        <f>HYPERLINK("javascript:void(0)","kenyérhéj")</f>
        <v>kenyérhéj</v>
      </c>
    </row>
    <row r="6271" spans="1:4" ht="12.75" customHeight="1" x14ac:dyDescent="0.2">
      <c r="A6271" s="21"/>
      <c r="B6271" s="21"/>
      <c r="C6271" s="4" t="s">
        <v>244</v>
      </c>
      <c r="D6271" s="6" t="str">
        <f>HYPERLINK("javascript:void(0)","eledel")</f>
        <v>eledel</v>
      </c>
    </row>
    <row r="6272" spans="1:4" ht="12.75" customHeight="1" x14ac:dyDescent="0.2">
      <c r="A6272" s="5"/>
      <c r="B6272" s="2"/>
      <c r="C6272" s="2"/>
      <c r="D6272" s="2"/>
    </row>
    <row r="6273" spans="1:4" ht="12.75" customHeight="1" x14ac:dyDescent="0.2">
      <c r="A6273" s="22" t="str">
        <f>HYPERLINK("javascript:void(0)","gyíkacél cölöpverőt")</f>
        <v>gyíkacél cölöpverőt</v>
      </c>
      <c r="B6273" s="21"/>
      <c r="C6273" s="21"/>
      <c r="D6273" s="21"/>
    </row>
    <row r="6274" spans="1:4" ht="12.75" customHeight="1" x14ac:dyDescent="0.2">
      <c r="A6274" s="20"/>
      <c r="B6274" s="2"/>
      <c r="C6274" s="2"/>
      <c r="D6274" s="2"/>
    </row>
    <row r="6275" spans="1:4" ht="12.75" customHeight="1" x14ac:dyDescent="0.2">
      <c r="A6275" s="21"/>
      <c r="B6275" s="3" t="s">
        <v>0</v>
      </c>
      <c r="C6275" s="20" t="s">
        <v>230</v>
      </c>
      <c r="D6275" s="21"/>
    </row>
    <row r="6276" spans="1:4" ht="12.75" customHeight="1" x14ac:dyDescent="0.2">
      <c r="A6276" s="21"/>
      <c r="B6276" s="3" t="s">
        <v>2</v>
      </c>
      <c r="C6276" s="20" t="s">
        <v>122</v>
      </c>
      <c r="D6276" s="21"/>
    </row>
    <row r="6277" spans="1:4" ht="12.75" customHeight="1" x14ac:dyDescent="0.2">
      <c r="A6277" s="21"/>
      <c r="B6277" s="3" t="s">
        <v>4</v>
      </c>
      <c r="C6277" s="20" t="s">
        <v>1641</v>
      </c>
      <c r="D6277" s="21"/>
    </row>
    <row r="6278" spans="1:4" ht="12.75" customHeight="1" x14ac:dyDescent="0.2">
      <c r="A6278" s="21"/>
      <c r="B6278" s="3" t="s">
        <v>6</v>
      </c>
      <c r="C6278" s="20" t="s">
        <v>187</v>
      </c>
      <c r="D6278" s="21"/>
    </row>
    <row r="6279" spans="1:4" ht="12.75" customHeight="1" x14ac:dyDescent="0.2">
      <c r="A6279" s="21"/>
      <c r="B6279" s="3" t="s">
        <v>8</v>
      </c>
      <c r="C6279" s="20" t="s">
        <v>1641</v>
      </c>
      <c r="D6279" s="21"/>
    </row>
    <row r="6280" spans="1:4" ht="12.75" customHeight="1" x14ac:dyDescent="0.2">
      <c r="A6280" s="21"/>
      <c r="B6280" s="3" t="s">
        <v>9</v>
      </c>
      <c r="C6280" s="20" t="s">
        <v>1643</v>
      </c>
      <c r="D6280" s="21"/>
    </row>
    <row r="6281" spans="1:4" ht="12.75" customHeight="1" x14ac:dyDescent="0.2">
      <c r="A6281" s="21"/>
      <c r="B6281" s="3" t="s">
        <v>11</v>
      </c>
      <c r="C6281" s="20" t="s">
        <v>1105</v>
      </c>
      <c r="D6281" s="21"/>
    </row>
    <row r="6282" spans="1:4" ht="12.75" customHeight="1" x14ac:dyDescent="0.2">
      <c r="A6282" s="21"/>
      <c r="B6282" s="3" t="s">
        <v>13</v>
      </c>
      <c r="C6282" s="20" t="s">
        <v>24</v>
      </c>
      <c r="D6282" s="21"/>
    </row>
    <row r="6283" spans="1:4" ht="12.75" customHeight="1" x14ac:dyDescent="0.2">
      <c r="A6283" s="21"/>
      <c r="B6283" s="3" t="s">
        <v>15</v>
      </c>
      <c r="C6283" s="20" t="s">
        <v>24</v>
      </c>
      <c r="D6283" s="21"/>
    </row>
    <row r="6284" spans="1:4" ht="12.75" customHeight="1" x14ac:dyDescent="0.2">
      <c r="A6284" s="21"/>
      <c r="B6284" s="3" t="s">
        <v>16</v>
      </c>
      <c r="C6284" s="20"/>
      <c r="D6284" s="21"/>
    </row>
    <row r="6285" spans="1:4" ht="12.75" customHeight="1" x14ac:dyDescent="0.2">
      <c r="A6285" s="21"/>
      <c r="B6285" s="3" t="s">
        <v>17</v>
      </c>
      <c r="C6285" s="20"/>
      <c r="D6285" s="21"/>
    </row>
    <row r="6286" spans="1:4" ht="12.75" customHeight="1" x14ac:dyDescent="0.2">
      <c r="A6286" s="21"/>
      <c r="B6286" s="20" t="s">
        <v>18</v>
      </c>
      <c r="C6286" s="4" t="s">
        <v>265</v>
      </c>
      <c r="D6286" s="6" t="str">
        <f>HYPERLINK("javascript:void(0)","kikelet")</f>
        <v>kikelet</v>
      </c>
    </row>
    <row r="6287" spans="1:4" ht="12.75" customHeight="1" x14ac:dyDescent="0.2">
      <c r="A6287" s="21"/>
      <c r="B6287" s="21"/>
      <c r="C6287" s="4" t="s">
        <v>240</v>
      </c>
      <c r="D6287" s="6" t="str">
        <f>HYPERLINK("javascript:void(0)","légpatkó")</f>
        <v>légpatkó</v>
      </c>
    </row>
    <row r="6288" spans="1:4" ht="12.75" customHeight="1" x14ac:dyDescent="0.2">
      <c r="A6288" s="21"/>
      <c r="B6288" s="21"/>
      <c r="C6288" s="4" t="s">
        <v>309</v>
      </c>
      <c r="D6288" s="6" t="str">
        <f>HYPERLINK("javascript:void(0)","szellemláng")</f>
        <v>szellemláng</v>
      </c>
    </row>
    <row r="6289" spans="1:4" ht="12.75" customHeight="1" x14ac:dyDescent="0.2">
      <c r="A6289" s="5"/>
      <c r="B6289" s="2"/>
      <c r="C6289" s="2"/>
      <c r="D6289" s="2"/>
    </row>
    <row r="6290" spans="1:4" ht="12.75" customHeight="1" x14ac:dyDescent="0.2">
      <c r="A6290" s="22" t="str">
        <f>HYPERLINK("javascript:void(0)","villanyos mágusölő")</f>
        <v>villanyos mágusölő</v>
      </c>
      <c r="B6290" s="21"/>
      <c r="C6290" s="21"/>
      <c r="D6290" s="21"/>
    </row>
    <row r="6291" spans="1:4" ht="12.75" customHeight="1" x14ac:dyDescent="0.2">
      <c r="A6291" s="20"/>
      <c r="B6291" s="2"/>
      <c r="C6291" s="2"/>
      <c r="D6291" s="2"/>
    </row>
    <row r="6292" spans="1:4" ht="12.75" customHeight="1" x14ac:dyDescent="0.2">
      <c r="A6292" s="21"/>
      <c r="B6292" s="3" t="s">
        <v>0</v>
      </c>
      <c r="C6292" s="20" t="s">
        <v>230</v>
      </c>
      <c r="D6292" s="21"/>
    </row>
    <row r="6293" spans="1:4" ht="12.75" customHeight="1" x14ac:dyDescent="0.2">
      <c r="A6293" s="21"/>
      <c r="B6293" s="3" t="s">
        <v>2</v>
      </c>
      <c r="C6293" s="20" t="s">
        <v>122</v>
      </c>
      <c r="D6293" s="21"/>
    </row>
    <row r="6294" spans="1:4" ht="12.75" customHeight="1" x14ac:dyDescent="0.2">
      <c r="A6294" s="21"/>
      <c r="B6294" s="3" t="s">
        <v>4</v>
      </c>
      <c r="C6294" s="20" t="s">
        <v>1644</v>
      </c>
      <c r="D6294" s="21"/>
    </row>
    <row r="6295" spans="1:4" ht="12.75" customHeight="1" x14ac:dyDescent="0.2">
      <c r="A6295" s="21"/>
      <c r="B6295" s="3" t="s">
        <v>6</v>
      </c>
      <c r="C6295" s="20" t="s">
        <v>33</v>
      </c>
      <c r="D6295" s="21"/>
    </row>
    <row r="6296" spans="1:4" ht="12.75" customHeight="1" x14ac:dyDescent="0.2">
      <c r="A6296" s="21"/>
      <c r="B6296" s="3" t="s">
        <v>8</v>
      </c>
      <c r="C6296" s="20" t="s">
        <v>1644</v>
      </c>
      <c r="D6296" s="21"/>
    </row>
    <row r="6297" spans="1:4" ht="12.75" customHeight="1" x14ac:dyDescent="0.2">
      <c r="A6297" s="21"/>
      <c r="B6297" s="3" t="s">
        <v>9</v>
      </c>
      <c r="C6297" s="20" t="s">
        <v>683</v>
      </c>
      <c r="D6297" s="21"/>
    </row>
    <row r="6298" spans="1:4" ht="12.75" customHeight="1" x14ac:dyDescent="0.2">
      <c r="A6298" s="21"/>
      <c r="B6298" s="3" t="s">
        <v>11</v>
      </c>
      <c r="C6298" s="20" t="s">
        <v>1334</v>
      </c>
      <c r="D6298" s="21"/>
    </row>
    <row r="6299" spans="1:4" ht="12.75" customHeight="1" x14ac:dyDescent="0.2">
      <c r="A6299" s="21"/>
      <c r="B6299" s="3" t="s">
        <v>13</v>
      </c>
      <c r="C6299" s="20" t="s">
        <v>14</v>
      </c>
      <c r="D6299" s="21"/>
    </row>
    <row r="6300" spans="1:4" ht="12.75" customHeight="1" x14ac:dyDescent="0.2">
      <c r="A6300" s="21"/>
      <c r="B6300" s="3" t="s">
        <v>15</v>
      </c>
      <c r="C6300" s="20" t="s">
        <v>24</v>
      </c>
      <c r="D6300" s="21"/>
    </row>
    <row r="6301" spans="1:4" ht="12.75" customHeight="1" x14ac:dyDescent="0.2">
      <c r="A6301" s="21"/>
      <c r="B6301" s="3" t="s">
        <v>16</v>
      </c>
      <c r="C6301" s="20"/>
      <c r="D6301" s="21"/>
    </row>
    <row r="6302" spans="1:4" ht="12.75" customHeight="1" x14ac:dyDescent="0.2">
      <c r="A6302" s="21"/>
      <c r="B6302" s="3" t="s">
        <v>17</v>
      </c>
      <c r="C6302" s="20"/>
      <c r="D6302" s="21"/>
    </row>
    <row r="6303" spans="1:4" ht="12.75" customHeight="1" x14ac:dyDescent="0.2">
      <c r="A6303" s="21"/>
      <c r="B6303" s="20" t="s">
        <v>18</v>
      </c>
      <c r="C6303" s="4" t="s">
        <v>44</v>
      </c>
      <c r="D6303" s="6" t="str">
        <f>HYPERLINK("javascript:void(0)","békés mágusölő")</f>
        <v>békés mágusölő</v>
      </c>
    </row>
    <row r="6304" spans="1:4" ht="12.75" customHeight="1" x14ac:dyDescent="0.2">
      <c r="A6304" s="21"/>
      <c r="B6304" s="21"/>
      <c r="C6304" s="4" t="s">
        <v>132</v>
      </c>
      <c r="D6304" s="6" t="str">
        <f>HYPERLINK("javascript:void(0)","villanyóra")</f>
        <v>villanyóra</v>
      </c>
    </row>
    <row r="6305" spans="1:4" ht="12.75" customHeight="1" x14ac:dyDescent="0.2">
      <c r="A6305" s="21"/>
      <c r="B6305" s="21"/>
      <c r="C6305" s="4" t="s">
        <v>117</v>
      </c>
      <c r="D6305" s="6" t="str">
        <f>HYPERLINK("javascript:void(0)","patron")</f>
        <v>patron</v>
      </c>
    </row>
    <row r="6306" spans="1:4" ht="12.75" customHeight="1" x14ac:dyDescent="0.2">
      <c r="A6306" s="5"/>
      <c r="B6306" s="2"/>
      <c r="C6306" s="2"/>
      <c r="D6306" s="2"/>
    </row>
    <row r="6307" spans="1:4" ht="12.75" customHeight="1" x14ac:dyDescent="0.2">
      <c r="A6307" s="22" t="str">
        <f>HYPERLINK("javascript:void(0)","ételbuzogány")</f>
        <v>ételbuzogány</v>
      </c>
      <c r="B6307" s="21"/>
      <c r="C6307" s="21"/>
      <c r="D6307" s="21"/>
    </row>
    <row r="6308" spans="1:4" ht="12.75" customHeight="1" x14ac:dyDescent="0.2">
      <c r="A6308" s="20"/>
      <c r="B6308" s="2"/>
      <c r="C6308" s="2"/>
      <c r="D6308" s="2"/>
    </row>
    <row r="6309" spans="1:4" ht="12.75" customHeight="1" x14ac:dyDescent="0.2">
      <c r="A6309" s="21"/>
      <c r="B6309" s="3" t="s">
        <v>0</v>
      </c>
      <c r="C6309" s="20" t="s">
        <v>230</v>
      </c>
      <c r="D6309" s="21"/>
    </row>
    <row r="6310" spans="1:4" ht="12.75" customHeight="1" x14ac:dyDescent="0.2">
      <c r="A6310" s="21"/>
      <c r="B6310" s="3" t="s">
        <v>2</v>
      </c>
      <c r="C6310" s="20" t="s">
        <v>122</v>
      </c>
      <c r="D6310" s="21"/>
    </row>
    <row r="6311" spans="1:4" ht="12.75" customHeight="1" x14ac:dyDescent="0.2">
      <c r="A6311" s="21"/>
      <c r="B6311" s="3" t="s">
        <v>4</v>
      </c>
      <c r="C6311" s="20" t="s">
        <v>1650</v>
      </c>
      <c r="D6311" s="21"/>
    </row>
    <row r="6312" spans="1:4" ht="12.75" customHeight="1" x14ac:dyDescent="0.2">
      <c r="A6312" s="21"/>
      <c r="B6312" s="3" t="s">
        <v>6</v>
      </c>
      <c r="C6312" s="20" t="s">
        <v>88</v>
      </c>
      <c r="D6312" s="21"/>
    </row>
    <row r="6313" spans="1:4" ht="12.75" customHeight="1" x14ac:dyDescent="0.2">
      <c r="A6313" s="21"/>
      <c r="B6313" s="3" t="s">
        <v>8</v>
      </c>
      <c r="C6313" s="20" t="s">
        <v>1650</v>
      </c>
      <c r="D6313" s="21"/>
    </row>
    <row r="6314" spans="1:4" ht="12.75" customHeight="1" x14ac:dyDescent="0.2">
      <c r="A6314" s="21"/>
      <c r="B6314" s="3" t="s">
        <v>9</v>
      </c>
      <c r="C6314" s="20" t="s">
        <v>544</v>
      </c>
      <c r="D6314" s="21"/>
    </row>
    <row r="6315" spans="1:4" ht="12.75" customHeight="1" x14ac:dyDescent="0.2">
      <c r="A6315" s="21"/>
      <c r="B6315" s="3" t="s">
        <v>11</v>
      </c>
      <c r="C6315" s="20" t="s">
        <v>1651</v>
      </c>
      <c r="D6315" s="21"/>
    </row>
    <row r="6316" spans="1:4" ht="12.75" customHeight="1" x14ac:dyDescent="0.2">
      <c r="A6316" s="21"/>
      <c r="B6316" s="3" t="s">
        <v>13</v>
      </c>
      <c r="C6316" s="20" t="s">
        <v>24</v>
      </c>
      <c r="D6316" s="21"/>
    </row>
    <row r="6317" spans="1:4" ht="12.75" customHeight="1" x14ac:dyDescent="0.2">
      <c r="A6317" s="21"/>
      <c r="B6317" s="3" t="s">
        <v>15</v>
      </c>
      <c r="C6317" s="20" t="s">
        <v>24</v>
      </c>
      <c r="D6317" s="21"/>
    </row>
    <row r="6318" spans="1:4" ht="12.75" customHeight="1" x14ac:dyDescent="0.2">
      <c r="A6318" s="21"/>
      <c r="B6318" s="3" t="s">
        <v>16</v>
      </c>
      <c r="C6318" s="20"/>
      <c r="D6318" s="21"/>
    </row>
    <row r="6319" spans="1:4" ht="12.75" customHeight="1" x14ac:dyDescent="0.2">
      <c r="A6319" s="21"/>
      <c r="B6319" s="3" t="s">
        <v>17</v>
      </c>
      <c r="C6319" s="20"/>
      <c r="D6319" s="21"/>
    </row>
    <row r="6320" spans="1:4" ht="12.75" customHeight="1" x14ac:dyDescent="0.2">
      <c r="A6320" s="21"/>
      <c r="B6320" s="20" t="s">
        <v>18</v>
      </c>
      <c r="C6320" s="4" t="s">
        <v>44</v>
      </c>
      <c r="D6320" s="6" t="str">
        <f>HYPERLINK("javascript:void(0)","majomkenyér")</f>
        <v>majomkenyér</v>
      </c>
    </row>
    <row r="6321" spans="1:4" ht="12.75" customHeight="1" x14ac:dyDescent="0.2">
      <c r="A6321" s="21"/>
      <c r="B6321" s="21"/>
      <c r="C6321" s="4" t="s">
        <v>77</v>
      </c>
      <c r="D6321" s="6" t="str">
        <f>HYPERLINK("javascript:void(0)","villanyóra")</f>
        <v>villanyóra</v>
      </c>
    </row>
    <row r="6322" spans="1:4" ht="12.75" customHeight="1" x14ac:dyDescent="0.2">
      <c r="A6322" s="21"/>
      <c r="B6322" s="21"/>
      <c r="C6322" s="4" t="s">
        <v>117</v>
      </c>
      <c r="D6322" s="6" t="str">
        <f>HYPERLINK("javascript:void(0)","lomb")</f>
        <v>lomb</v>
      </c>
    </row>
    <row r="6323" spans="1:4" ht="12.75" customHeight="1" x14ac:dyDescent="0.2">
      <c r="A6323" s="5"/>
      <c r="B6323" s="2"/>
      <c r="C6323" s="2"/>
      <c r="D6323" s="2"/>
    </row>
    <row r="6324" spans="1:4" ht="12.75" customHeight="1" x14ac:dyDescent="0.2">
      <c r="A6324" s="22" t="str">
        <f>HYPERLINK("javascript:void(0)","gyíkacél döngölő")</f>
        <v>gyíkacél döngölő</v>
      </c>
      <c r="B6324" s="21"/>
      <c r="C6324" s="21"/>
      <c r="D6324" s="21"/>
    </row>
    <row r="6325" spans="1:4" ht="12.75" customHeight="1" x14ac:dyDescent="0.2">
      <c r="A6325" s="20"/>
      <c r="B6325" s="2"/>
      <c r="C6325" s="2"/>
      <c r="D6325" s="2"/>
    </row>
    <row r="6326" spans="1:4" ht="12.75" customHeight="1" x14ac:dyDescent="0.2">
      <c r="A6326" s="21"/>
      <c r="B6326" s="3" t="s">
        <v>0</v>
      </c>
      <c r="C6326" s="20" t="s">
        <v>1230</v>
      </c>
      <c r="D6326" s="21"/>
    </row>
    <row r="6327" spans="1:4" ht="12.75" customHeight="1" x14ac:dyDescent="0.2">
      <c r="A6327" s="21"/>
      <c r="B6327" s="3" t="s">
        <v>2</v>
      </c>
      <c r="C6327" s="20" t="s">
        <v>122</v>
      </c>
      <c r="D6327" s="21"/>
    </row>
    <row r="6328" spans="1:4" ht="12.75" customHeight="1" x14ac:dyDescent="0.2">
      <c r="A6328" s="21"/>
      <c r="B6328" s="3" t="s">
        <v>4</v>
      </c>
      <c r="C6328" s="20" t="s">
        <v>1653</v>
      </c>
      <c r="D6328" s="21"/>
    </row>
    <row r="6329" spans="1:4" ht="12.75" customHeight="1" x14ac:dyDescent="0.2">
      <c r="A6329" s="21"/>
      <c r="B6329" s="3" t="s">
        <v>6</v>
      </c>
      <c r="C6329" s="20" t="s">
        <v>298</v>
      </c>
      <c r="D6329" s="21"/>
    </row>
    <row r="6330" spans="1:4" ht="12.75" customHeight="1" x14ac:dyDescent="0.2">
      <c r="A6330" s="21"/>
      <c r="B6330" s="3" t="s">
        <v>8</v>
      </c>
      <c r="C6330" s="20" t="s">
        <v>1653</v>
      </c>
      <c r="D6330" s="21"/>
    </row>
    <row r="6331" spans="1:4" ht="12.75" customHeight="1" x14ac:dyDescent="0.2">
      <c r="A6331" s="21"/>
      <c r="B6331" s="3" t="s">
        <v>9</v>
      </c>
      <c r="C6331" s="20" t="s">
        <v>1654</v>
      </c>
      <c r="D6331" s="21"/>
    </row>
    <row r="6332" spans="1:4" ht="12.75" customHeight="1" x14ac:dyDescent="0.2">
      <c r="A6332" s="21"/>
      <c r="B6332" s="3" t="s">
        <v>11</v>
      </c>
      <c r="C6332" s="20" t="s">
        <v>1159</v>
      </c>
      <c r="D6332" s="21"/>
    </row>
    <row r="6333" spans="1:4" ht="12.75" customHeight="1" x14ac:dyDescent="0.2">
      <c r="A6333" s="21"/>
      <c r="B6333" s="3" t="s">
        <v>13</v>
      </c>
      <c r="C6333" s="20" t="s">
        <v>24</v>
      </c>
      <c r="D6333" s="21"/>
    </row>
    <row r="6334" spans="1:4" ht="12.75" customHeight="1" x14ac:dyDescent="0.2">
      <c r="A6334" s="21"/>
      <c r="B6334" s="3" t="s">
        <v>15</v>
      </c>
      <c r="C6334" s="20" t="s">
        <v>24</v>
      </c>
      <c r="D6334" s="21"/>
    </row>
    <row r="6335" spans="1:4" ht="12.75" customHeight="1" x14ac:dyDescent="0.2">
      <c r="A6335" s="21"/>
      <c r="B6335" s="3" t="s">
        <v>16</v>
      </c>
      <c r="C6335" s="20"/>
      <c r="D6335" s="21"/>
    </row>
    <row r="6336" spans="1:4" ht="12.75" customHeight="1" x14ac:dyDescent="0.2">
      <c r="A6336" s="21"/>
      <c r="B6336" s="3" t="s">
        <v>17</v>
      </c>
      <c r="C6336" s="20"/>
      <c r="D6336" s="21"/>
    </row>
    <row r="6337" spans="1:4" ht="12.75" customHeight="1" x14ac:dyDescent="0.2">
      <c r="A6337" s="21"/>
      <c r="B6337" s="20" t="s">
        <v>18</v>
      </c>
      <c r="C6337" s="4" t="s">
        <v>68</v>
      </c>
      <c r="D6337" s="6" t="str">
        <f>HYPERLINK("javascript:void(0)","lomb")</f>
        <v>lomb</v>
      </c>
    </row>
    <row r="6338" spans="1:4" ht="12.75" customHeight="1" x14ac:dyDescent="0.2">
      <c r="A6338" s="21"/>
      <c r="B6338" s="21"/>
      <c r="C6338" s="4" t="s">
        <v>232</v>
      </c>
      <c r="D6338" s="6" t="str">
        <f>HYPERLINK("javascript:void(0)","epicentrum")</f>
        <v>epicentrum</v>
      </c>
    </row>
    <row r="6339" spans="1:4" ht="12.75" customHeight="1" x14ac:dyDescent="0.2">
      <c r="A6339" s="21"/>
      <c r="B6339" s="21"/>
      <c r="C6339" s="4" t="s">
        <v>331</v>
      </c>
      <c r="D6339" s="6" t="str">
        <f>HYPERLINK("javascript:void(0)","roncogás")</f>
        <v>roncogás</v>
      </c>
    </row>
    <row r="6340" spans="1:4" ht="12.75" customHeight="1" x14ac:dyDescent="0.2">
      <c r="A6340" s="5"/>
      <c r="B6340" s="2"/>
      <c r="C6340" s="2"/>
      <c r="D6340" s="2"/>
    </row>
    <row r="6341" spans="1:4" ht="12.75" customHeight="1" x14ac:dyDescent="0.2">
      <c r="A6341" s="22" t="str">
        <f>HYPERLINK("javascript:void(0)","haragcsapó")</f>
        <v>haragcsapó</v>
      </c>
      <c r="B6341" s="21"/>
      <c r="C6341" s="21"/>
      <c r="D6341" s="21"/>
    </row>
    <row r="6342" spans="1:4" ht="12.75" customHeight="1" x14ac:dyDescent="0.2">
      <c r="A6342" s="20"/>
      <c r="B6342" s="2"/>
      <c r="C6342" s="2"/>
      <c r="D6342" s="2"/>
    </row>
    <row r="6343" spans="1:4" ht="12.75" customHeight="1" x14ac:dyDescent="0.2">
      <c r="A6343" s="21"/>
      <c r="B6343" s="3" t="s">
        <v>0</v>
      </c>
      <c r="C6343" s="20" t="s">
        <v>1230</v>
      </c>
      <c r="D6343" s="21"/>
    </row>
    <row r="6344" spans="1:4" ht="12.75" customHeight="1" x14ac:dyDescent="0.2">
      <c r="A6344" s="21"/>
      <c r="B6344" s="3" t="s">
        <v>2</v>
      </c>
      <c r="C6344" s="20" t="s">
        <v>122</v>
      </c>
      <c r="D6344" s="21"/>
    </row>
    <row r="6345" spans="1:4" ht="12.75" customHeight="1" x14ac:dyDescent="0.2">
      <c r="A6345" s="21"/>
      <c r="B6345" s="3" t="s">
        <v>4</v>
      </c>
      <c r="C6345" s="20" t="s">
        <v>1655</v>
      </c>
      <c r="D6345" s="21"/>
    </row>
    <row r="6346" spans="1:4" ht="12.75" customHeight="1" x14ac:dyDescent="0.2">
      <c r="A6346" s="21"/>
      <c r="B6346" s="3" t="s">
        <v>6</v>
      </c>
      <c r="C6346" s="20" t="s">
        <v>159</v>
      </c>
      <c r="D6346" s="21"/>
    </row>
    <row r="6347" spans="1:4" ht="12.75" customHeight="1" x14ac:dyDescent="0.2">
      <c r="A6347" s="21"/>
      <c r="B6347" s="3" t="s">
        <v>8</v>
      </c>
      <c r="C6347" s="20" t="s">
        <v>1655</v>
      </c>
      <c r="D6347" s="21"/>
    </row>
    <row r="6348" spans="1:4" ht="12.75" customHeight="1" x14ac:dyDescent="0.2">
      <c r="A6348" s="21"/>
      <c r="B6348" s="3" t="s">
        <v>9</v>
      </c>
      <c r="C6348" s="20" t="s">
        <v>1656</v>
      </c>
      <c r="D6348" s="21"/>
    </row>
    <row r="6349" spans="1:4" ht="12.75" customHeight="1" x14ac:dyDescent="0.2">
      <c r="A6349" s="21"/>
      <c r="B6349" s="3" t="s">
        <v>11</v>
      </c>
      <c r="C6349" s="20" t="s">
        <v>1657</v>
      </c>
      <c r="D6349" s="21"/>
    </row>
    <row r="6350" spans="1:4" ht="12.75" customHeight="1" x14ac:dyDescent="0.2">
      <c r="A6350" s="21"/>
      <c r="B6350" s="3" t="s">
        <v>13</v>
      </c>
      <c r="C6350" s="20" t="s">
        <v>24</v>
      </c>
      <c r="D6350" s="21"/>
    </row>
    <row r="6351" spans="1:4" ht="12.75" customHeight="1" x14ac:dyDescent="0.2">
      <c r="A6351" s="21"/>
      <c r="B6351" s="3" t="s">
        <v>15</v>
      </c>
      <c r="C6351" s="20" t="s">
        <v>24</v>
      </c>
      <c r="D6351" s="21"/>
    </row>
    <row r="6352" spans="1:4" ht="12.75" customHeight="1" x14ac:dyDescent="0.2">
      <c r="A6352" s="21"/>
      <c r="B6352" s="3" t="s">
        <v>16</v>
      </c>
      <c r="C6352" s="20"/>
      <c r="D6352" s="21"/>
    </row>
    <row r="6353" spans="1:4" ht="12.75" customHeight="1" x14ac:dyDescent="0.2">
      <c r="A6353" s="21"/>
      <c r="B6353" s="3" t="s">
        <v>17</v>
      </c>
      <c r="C6353" s="20"/>
      <c r="D6353" s="21"/>
    </row>
    <row r="6354" spans="1:4" ht="12.75" customHeight="1" x14ac:dyDescent="0.2">
      <c r="A6354" s="21"/>
      <c r="B6354" s="20" t="s">
        <v>18</v>
      </c>
      <c r="C6354" s="4" t="s">
        <v>44</v>
      </c>
      <c r="D6354" s="6" t="str">
        <f>HYPERLINK("javascript:void(0)","ételbuzogány")</f>
        <v>ételbuzogány</v>
      </c>
    </row>
    <row r="6355" spans="1:4" ht="12.75" customHeight="1" x14ac:dyDescent="0.2">
      <c r="A6355" s="21"/>
      <c r="B6355" s="21"/>
      <c r="C6355" s="4" t="s">
        <v>142</v>
      </c>
      <c r="D6355" s="6" t="str">
        <f>HYPERLINK("javascript:void(0)","roncogás")</f>
        <v>roncogás</v>
      </c>
    </row>
    <row r="6356" spans="1:4" ht="12.75" customHeight="1" x14ac:dyDescent="0.2">
      <c r="A6356" s="21"/>
      <c r="B6356" s="21"/>
      <c r="C6356" s="4" t="s">
        <v>102</v>
      </c>
      <c r="D6356" s="6" t="str">
        <f>HYPERLINK("javascript:void(0)","utóguta")</f>
        <v>utóguta</v>
      </c>
    </row>
    <row r="6357" spans="1:4" ht="12.75" customHeight="1" x14ac:dyDescent="0.2">
      <c r="A6357" s="5"/>
      <c r="B6357" s="2"/>
      <c r="C6357" s="2"/>
      <c r="D6357" s="2"/>
    </row>
    <row r="6358" spans="1:4" ht="12.75" customHeight="1" x14ac:dyDescent="0.2">
      <c r="A6358" s="22" t="str">
        <f>HYPERLINK("javascript:void(0)","haragprémes mágusölő")</f>
        <v>haragprémes mágusölő</v>
      </c>
      <c r="B6358" s="21"/>
      <c r="C6358" s="21"/>
      <c r="D6358" s="21"/>
    </row>
    <row r="6359" spans="1:4" ht="12.75" customHeight="1" x14ac:dyDescent="0.2">
      <c r="A6359" s="20"/>
      <c r="B6359" s="2"/>
      <c r="C6359" s="2"/>
      <c r="D6359" s="2"/>
    </row>
    <row r="6360" spans="1:4" ht="12.75" customHeight="1" x14ac:dyDescent="0.2">
      <c r="A6360" s="21"/>
      <c r="B6360" s="3" t="s">
        <v>0</v>
      </c>
      <c r="C6360" s="20" t="s">
        <v>330</v>
      </c>
      <c r="D6360" s="21"/>
    </row>
    <row r="6361" spans="1:4" ht="12.75" customHeight="1" x14ac:dyDescent="0.2">
      <c r="A6361" s="21"/>
      <c r="B6361" s="3" t="s">
        <v>2</v>
      </c>
      <c r="C6361" s="20" t="s">
        <v>122</v>
      </c>
      <c r="D6361" s="21"/>
    </row>
    <row r="6362" spans="1:4" ht="12.75" customHeight="1" x14ac:dyDescent="0.2">
      <c r="A6362" s="21"/>
      <c r="B6362" s="3" t="s">
        <v>4</v>
      </c>
      <c r="C6362" s="20" t="s">
        <v>1659</v>
      </c>
      <c r="D6362" s="21"/>
    </row>
    <row r="6363" spans="1:4" ht="12.75" customHeight="1" x14ac:dyDescent="0.2">
      <c r="A6363" s="21"/>
      <c r="B6363" s="3" t="s">
        <v>6</v>
      </c>
      <c r="C6363" s="20" t="s">
        <v>72</v>
      </c>
      <c r="D6363" s="21"/>
    </row>
    <row r="6364" spans="1:4" ht="12.75" customHeight="1" x14ac:dyDescent="0.2">
      <c r="A6364" s="21"/>
      <c r="B6364" s="3" t="s">
        <v>8</v>
      </c>
      <c r="C6364" s="20" t="s">
        <v>1659</v>
      </c>
      <c r="D6364" s="21"/>
    </row>
    <row r="6365" spans="1:4" ht="12.75" customHeight="1" x14ac:dyDescent="0.2">
      <c r="A6365" s="21"/>
      <c r="B6365" s="3" t="s">
        <v>9</v>
      </c>
      <c r="C6365" s="20" t="s">
        <v>683</v>
      </c>
      <c r="D6365" s="21"/>
    </row>
    <row r="6366" spans="1:4" ht="12.75" customHeight="1" x14ac:dyDescent="0.2">
      <c r="A6366" s="21"/>
      <c r="B6366" s="3" t="s">
        <v>11</v>
      </c>
      <c r="C6366" s="20" t="s">
        <v>1661</v>
      </c>
      <c r="D6366" s="21"/>
    </row>
    <row r="6367" spans="1:4" ht="12.75" customHeight="1" x14ac:dyDescent="0.2">
      <c r="A6367" s="21"/>
      <c r="B6367" s="3" t="s">
        <v>13</v>
      </c>
      <c r="C6367" s="20" t="s">
        <v>14</v>
      </c>
      <c r="D6367" s="21"/>
    </row>
    <row r="6368" spans="1:4" ht="12.75" customHeight="1" x14ac:dyDescent="0.2">
      <c r="A6368" s="21"/>
      <c r="B6368" s="3" t="s">
        <v>15</v>
      </c>
      <c r="C6368" s="20" t="s">
        <v>24</v>
      </c>
      <c r="D6368" s="21"/>
    </row>
    <row r="6369" spans="1:4" ht="12.75" customHeight="1" x14ac:dyDescent="0.2">
      <c r="A6369" s="21"/>
      <c r="B6369" s="3" t="s">
        <v>16</v>
      </c>
      <c r="C6369" s="20"/>
      <c r="D6369" s="21"/>
    </row>
    <row r="6370" spans="1:4" ht="12.75" customHeight="1" x14ac:dyDescent="0.2">
      <c r="A6370" s="21"/>
      <c r="B6370" s="3" t="s">
        <v>17</v>
      </c>
      <c r="C6370" s="20"/>
      <c r="D6370" s="21"/>
    </row>
    <row r="6371" spans="1:4" ht="25.5" customHeight="1" x14ac:dyDescent="0.2">
      <c r="A6371" s="21"/>
      <c r="B6371" s="20" t="s">
        <v>18</v>
      </c>
      <c r="C6371" s="4" t="s">
        <v>44</v>
      </c>
      <c r="D6371" s="6" t="str">
        <f>HYPERLINK("javascript:void(0)","kenyérmorzsás mágusölő")</f>
        <v>kenyérmorzsás mágusölő</v>
      </c>
    </row>
    <row r="6372" spans="1:4" ht="12.75" customHeight="1" x14ac:dyDescent="0.2">
      <c r="A6372" s="21"/>
      <c r="B6372" s="21"/>
      <c r="C6372" s="4" t="s">
        <v>67</v>
      </c>
      <c r="D6372" s="6" t="str">
        <f>HYPERLINK("javascript:void(0)","roncogás")</f>
        <v>roncogás</v>
      </c>
    </row>
    <row r="6373" spans="1:4" ht="12.75" customHeight="1" x14ac:dyDescent="0.2">
      <c r="A6373" s="21"/>
      <c r="B6373" s="21"/>
      <c r="C6373" s="4" t="s">
        <v>67</v>
      </c>
      <c r="D6373" s="6" t="str">
        <f>HYPERLINK("javascript:void(0)","orrmányprém")</f>
        <v>orrmányprém</v>
      </c>
    </row>
    <row r="6374" spans="1:4" ht="12.75" customHeight="1" x14ac:dyDescent="0.2">
      <c r="A6374" s="5"/>
      <c r="B6374" s="2"/>
      <c r="C6374" s="2"/>
      <c r="D6374" s="2"/>
    </row>
    <row r="6375" spans="1:4" ht="12.75" customHeight="1" x14ac:dyDescent="0.2">
      <c r="A6375" s="22" t="str">
        <f>HYPERLINK("javascript:void(0)","orrmányzúzó")</f>
        <v>orrmányzúzó</v>
      </c>
      <c r="B6375" s="21"/>
      <c r="C6375" s="21"/>
      <c r="D6375" s="21"/>
    </row>
    <row r="6376" spans="1:4" ht="12.75" customHeight="1" x14ac:dyDescent="0.2">
      <c r="A6376" s="20"/>
      <c r="B6376" s="2"/>
      <c r="C6376" s="2"/>
      <c r="D6376" s="2"/>
    </row>
    <row r="6377" spans="1:4" ht="12.75" customHeight="1" x14ac:dyDescent="0.2">
      <c r="A6377" s="21"/>
      <c r="B6377" s="3" t="s">
        <v>0</v>
      </c>
      <c r="C6377" s="20" t="s">
        <v>330</v>
      </c>
      <c r="D6377" s="21"/>
    </row>
    <row r="6378" spans="1:4" ht="12.75" customHeight="1" x14ac:dyDescent="0.2">
      <c r="A6378" s="21"/>
      <c r="B6378" s="3" t="s">
        <v>2</v>
      </c>
      <c r="C6378" s="20" t="s">
        <v>122</v>
      </c>
      <c r="D6378" s="21"/>
    </row>
    <row r="6379" spans="1:4" ht="12.75" customHeight="1" x14ac:dyDescent="0.2">
      <c r="A6379" s="21"/>
      <c r="B6379" s="3" t="s">
        <v>4</v>
      </c>
      <c r="C6379" s="20" t="s">
        <v>1664</v>
      </c>
      <c r="D6379" s="21"/>
    </row>
    <row r="6380" spans="1:4" ht="12.75" customHeight="1" x14ac:dyDescent="0.2">
      <c r="A6380" s="21"/>
      <c r="B6380" s="3" t="s">
        <v>6</v>
      </c>
      <c r="C6380" s="20" t="s">
        <v>82</v>
      </c>
      <c r="D6380" s="21"/>
    </row>
    <row r="6381" spans="1:4" ht="12.75" customHeight="1" x14ac:dyDescent="0.2">
      <c r="A6381" s="21"/>
      <c r="B6381" s="3" t="s">
        <v>8</v>
      </c>
      <c r="C6381" s="20" t="s">
        <v>1664</v>
      </c>
      <c r="D6381" s="21"/>
    </row>
    <row r="6382" spans="1:4" ht="12.75" customHeight="1" x14ac:dyDescent="0.2">
      <c r="A6382" s="21"/>
      <c r="B6382" s="3" t="s">
        <v>9</v>
      </c>
      <c r="C6382" s="20" t="s">
        <v>1665</v>
      </c>
      <c r="D6382" s="21"/>
    </row>
    <row r="6383" spans="1:4" ht="12.75" customHeight="1" x14ac:dyDescent="0.2">
      <c r="A6383" s="21"/>
      <c r="B6383" s="3" t="s">
        <v>11</v>
      </c>
      <c r="C6383" s="20" t="s">
        <v>839</v>
      </c>
      <c r="D6383" s="21"/>
    </row>
    <row r="6384" spans="1:4" ht="12.75" customHeight="1" x14ac:dyDescent="0.2">
      <c r="A6384" s="21"/>
      <c r="B6384" s="3" t="s">
        <v>13</v>
      </c>
      <c r="C6384" s="20" t="s">
        <v>24</v>
      </c>
      <c r="D6384" s="21"/>
    </row>
    <row r="6385" spans="1:4" ht="12.75" customHeight="1" x14ac:dyDescent="0.2">
      <c r="A6385" s="21"/>
      <c r="B6385" s="3" t="s">
        <v>15</v>
      </c>
      <c r="C6385" s="20" t="s">
        <v>24</v>
      </c>
      <c r="D6385" s="21"/>
    </row>
    <row r="6386" spans="1:4" ht="12.75" customHeight="1" x14ac:dyDescent="0.2">
      <c r="A6386" s="21"/>
      <c r="B6386" s="3" t="s">
        <v>16</v>
      </c>
      <c r="C6386" s="20"/>
      <c r="D6386" s="21"/>
    </row>
    <row r="6387" spans="1:4" ht="12.75" customHeight="1" x14ac:dyDescent="0.2">
      <c r="A6387" s="21"/>
      <c r="B6387" s="3" t="s">
        <v>17</v>
      </c>
      <c r="C6387" s="20"/>
      <c r="D6387" s="21"/>
    </row>
    <row r="6388" spans="1:4" ht="12.75" customHeight="1" x14ac:dyDescent="0.2">
      <c r="A6388" s="21"/>
      <c r="B6388" s="20" t="s">
        <v>18</v>
      </c>
      <c r="C6388" s="4" t="s">
        <v>44</v>
      </c>
      <c r="D6388" s="6" t="str">
        <f>HYPERLINK("javascript:void(0)","haragcsapó")</f>
        <v>haragcsapó</v>
      </c>
    </row>
    <row r="6389" spans="1:4" ht="12.75" customHeight="1" x14ac:dyDescent="0.2">
      <c r="A6389" s="21"/>
      <c r="B6389" s="21"/>
      <c r="C6389" s="4" t="s">
        <v>67</v>
      </c>
      <c r="D6389" s="6" t="str">
        <f>HYPERLINK("javascript:void(0)","orrmányprém")</f>
        <v>orrmányprém</v>
      </c>
    </row>
    <row r="6390" spans="1:4" ht="12.75" customHeight="1" x14ac:dyDescent="0.2">
      <c r="A6390" s="21"/>
      <c r="B6390" s="21"/>
      <c r="C6390" s="4" t="s">
        <v>132</v>
      </c>
      <c r="D6390" s="6" t="str">
        <f>HYPERLINK("javascript:void(0)","szimbiótahártya")</f>
        <v>szimbiótahártya</v>
      </c>
    </row>
    <row r="6391" spans="1:4" ht="12.75" customHeight="1" x14ac:dyDescent="0.2">
      <c r="A6391" s="5"/>
      <c r="B6391" s="2"/>
      <c r="C6391" s="2"/>
      <c r="D6391" s="2"/>
    </row>
    <row r="6392" spans="1:4" ht="12.75" customHeight="1" x14ac:dyDescent="0.2">
      <c r="A6392" s="22" t="str">
        <f>HYPERLINK("javascript:void(0)","agysimító")</f>
        <v>agysimító</v>
      </c>
      <c r="B6392" s="21"/>
      <c r="C6392" s="21"/>
      <c r="D6392" s="21"/>
    </row>
    <row r="6393" spans="1:4" ht="12.75" customHeight="1" x14ac:dyDescent="0.2">
      <c r="A6393" s="20"/>
      <c r="B6393" s="2"/>
      <c r="C6393" s="2"/>
      <c r="D6393" s="2"/>
    </row>
    <row r="6394" spans="1:4" ht="12.75" customHeight="1" x14ac:dyDescent="0.2">
      <c r="A6394" s="21"/>
      <c r="B6394" s="3" t="s">
        <v>0</v>
      </c>
      <c r="C6394" s="20" t="s">
        <v>345</v>
      </c>
      <c r="D6394" s="21"/>
    </row>
    <row r="6395" spans="1:4" ht="12.75" customHeight="1" x14ac:dyDescent="0.2">
      <c r="A6395" s="21"/>
      <c r="B6395" s="3" t="s">
        <v>2</v>
      </c>
      <c r="C6395" s="20" t="s">
        <v>122</v>
      </c>
      <c r="D6395" s="21"/>
    </row>
    <row r="6396" spans="1:4" ht="12.75" customHeight="1" x14ac:dyDescent="0.2">
      <c r="A6396" s="21"/>
      <c r="B6396" s="3" t="s">
        <v>4</v>
      </c>
      <c r="C6396" s="20" t="s">
        <v>1669</v>
      </c>
      <c r="D6396" s="21"/>
    </row>
    <row r="6397" spans="1:4" ht="12.75" customHeight="1" x14ac:dyDescent="0.2">
      <c r="A6397" s="21"/>
      <c r="B6397" s="3" t="s">
        <v>6</v>
      </c>
      <c r="C6397" s="20" t="s">
        <v>178</v>
      </c>
      <c r="D6397" s="21"/>
    </row>
    <row r="6398" spans="1:4" ht="12.75" customHeight="1" x14ac:dyDescent="0.2">
      <c r="A6398" s="21"/>
      <c r="B6398" s="3" t="s">
        <v>8</v>
      </c>
      <c r="C6398" s="20" t="s">
        <v>1669</v>
      </c>
      <c r="D6398" s="21"/>
    </row>
    <row r="6399" spans="1:4" ht="12.75" customHeight="1" x14ac:dyDescent="0.2">
      <c r="A6399" s="21"/>
      <c r="B6399" s="3" t="s">
        <v>9</v>
      </c>
      <c r="C6399" s="20" t="s">
        <v>1670</v>
      </c>
      <c r="D6399" s="21"/>
    </row>
    <row r="6400" spans="1:4" ht="12.75" customHeight="1" x14ac:dyDescent="0.2">
      <c r="A6400" s="21"/>
      <c r="B6400" s="3" t="s">
        <v>11</v>
      </c>
      <c r="C6400" s="20" t="s">
        <v>1671</v>
      </c>
      <c r="D6400" s="21"/>
    </row>
    <row r="6401" spans="1:4" ht="12.75" customHeight="1" x14ac:dyDescent="0.2">
      <c r="A6401" s="21"/>
      <c r="B6401" s="3" t="s">
        <v>13</v>
      </c>
      <c r="C6401" s="20" t="s">
        <v>24</v>
      </c>
      <c r="D6401" s="21"/>
    </row>
    <row r="6402" spans="1:4" ht="12.75" customHeight="1" x14ac:dyDescent="0.2">
      <c r="A6402" s="21"/>
      <c r="B6402" s="3" t="s">
        <v>15</v>
      </c>
      <c r="C6402" s="20" t="s">
        <v>24</v>
      </c>
      <c r="D6402" s="21"/>
    </row>
    <row r="6403" spans="1:4" ht="12.75" customHeight="1" x14ac:dyDescent="0.2">
      <c r="A6403" s="21"/>
      <c r="B6403" s="3" t="s">
        <v>16</v>
      </c>
      <c r="C6403" s="20"/>
      <c r="D6403" s="21"/>
    </row>
    <row r="6404" spans="1:4" ht="12.75" customHeight="1" x14ac:dyDescent="0.2">
      <c r="A6404" s="21"/>
      <c r="B6404" s="3" t="s">
        <v>17</v>
      </c>
      <c r="C6404" s="20"/>
      <c r="D6404" s="21"/>
    </row>
    <row r="6405" spans="1:4" ht="12.75" customHeight="1" x14ac:dyDescent="0.2">
      <c r="A6405" s="21"/>
      <c r="B6405" s="20" t="s">
        <v>18</v>
      </c>
      <c r="C6405" s="4" t="s">
        <v>44</v>
      </c>
      <c r="D6405" s="6" t="str">
        <f>HYPERLINK("javascript:void(0)","orrmányzúzó")</f>
        <v>orrmányzúzó</v>
      </c>
    </row>
    <row r="6406" spans="1:4" ht="12.75" customHeight="1" x14ac:dyDescent="0.2">
      <c r="A6406" s="21"/>
      <c r="B6406" s="21"/>
      <c r="C6406" s="4" t="s">
        <v>55</v>
      </c>
      <c r="D6406" s="6" t="str">
        <f>HYPERLINK("javascript:void(0)","szinapszis")</f>
        <v>szinapszis</v>
      </c>
    </row>
    <row r="6407" spans="1:4" ht="12.75" customHeight="1" x14ac:dyDescent="0.2">
      <c r="A6407" s="21"/>
      <c r="B6407" s="21"/>
      <c r="C6407" s="4" t="s">
        <v>296</v>
      </c>
      <c r="D6407" s="6" t="str">
        <f>HYPERLINK("javascript:void(0)","píszkereszt")</f>
        <v>píszkereszt</v>
      </c>
    </row>
    <row r="6408" spans="1:4" ht="12.75" customHeight="1" x14ac:dyDescent="0.2">
      <c r="A6408" s="5"/>
      <c r="B6408" s="2"/>
      <c r="C6408" s="2"/>
      <c r="D6408" s="2"/>
    </row>
    <row r="6409" spans="1:4" ht="12.75" customHeight="1" x14ac:dyDescent="0.2">
      <c r="A6409" s="22" t="str">
        <f>HYPERLINK("javascript:void(0)","ármánybunkó")</f>
        <v>ármánybunkó</v>
      </c>
      <c r="B6409" s="21"/>
      <c r="C6409" s="21"/>
      <c r="D6409" s="21"/>
    </row>
    <row r="6410" spans="1:4" ht="12.75" customHeight="1" x14ac:dyDescent="0.2">
      <c r="A6410" s="20"/>
      <c r="B6410" s="2"/>
      <c r="C6410" s="2"/>
      <c r="D6410" s="2"/>
    </row>
    <row r="6411" spans="1:4" ht="12.75" customHeight="1" x14ac:dyDescent="0.2">
      <c r="A6411" s="21"/>
      <c r="B6411" s="3" t="s">
        <v>0</v>
      </c>
      <c r="C6411" s="20" t="s">
        <v>1252</v>
      </c>
      <c r="D6411" s="21"/>
    </row>
    <row r="6412" spans="1:4" ht="12.75" customHeight="1" x14ac:dyDescent="0.2">
      <c r="A6412" s="21"/>
      <c r="B6412" s="3" t="s">
        <v>2</v>
      </c>
      <c r="C6412" s="20" t="s">
        <v>122</v>
      </c>
      <c r="D6412" s="21"/>
    </row>
    <row r="6413" spans="1:4" ht="12.75" customHeight="1" x14ac:dyDescent="0.2">
      <c r="A6413" s="21"/>
      <c r="B6413" s="3" t="s">
        <v>4</v>
      </c>
      <c r="C6413" s="20" t="s">
        <v>1672</v>
      </c>
      <c r="D6413" s="21"/>
    </row>
    <row r="6414" spans="1:4" ht="12.75" customHeight="1" x14ac:dyDescent="0.2">
      <c r="A6414" s="21"/>
      <c r="B6414" s="3" t="s">
        <v>6</v>
      </c>
      <c r="C6414" s="20" t="s">
        <v>216</v>
      </c>
      <c r="D6414" s="21"/>
    </row>
    <row r="6415" spans="1:4" ht="12.75" customHeight="1" x14ac:dyDescent="0.2">
      <c r="A6415" s="21"/>
      <c r="B6415" s="3" t="s">
        <v>8</v>
      </c>
      <c r="C6415" s="20" t="s">
        <v>1672</v>
      </c>
      <c r="D6415" s="21"/>
    </row>
    <row r="6416" spans="1:4" ht="12.75" customHeight="1" x14ac:dyDescent="0.2">
      <c r="A6416" s="21"/>
      <c r="B6416" s="3" t="s">
        <v>9</v>
      </c>
      <c r="C6416" s="20" t="s">
        <v>1673</v>
      </c>
      <c r="D6416" s="21"/>
    </row>
    <row r="6417" spans="1:4" ht="12.75" customHeight="1" x14ac:dyDescent="0.2">
      <c r="A6417" s="21"/>
      <c r="B6417" s="3" t="s">
        <v>11</v>
      </c>
      <c r="C6417" s="20" t="s">
        <v>1674</v>
      </c>
      <c r="D6417" s="21"/>
    </row>
    <row r="6418" spans="1:4" ht="12.75" customHeight="1" x14ac:dyDescent="0.2">
      <c r="A6418" s="21"/>
      <c r="B6418" s="3" t="s">
        <v>13</v>
      </c>
      <c r="C6418" s="20" t="s">
        <v>24</v>
      </c>
      <c r="D6418" s="21"/>
    </row>
    <row r="6419" spans="1:4" ht="12.75" customHeight="1" x14ac:dyDescent="0.2">
      <c r="A6419" s="21"/>
      <c r="B6419" s="3" t="s">
        <v>15</v>
      </c>
      <c r="C6419" s="20" t="s">
        <v>24</v>
      </c>
      <c r="D6419" s="21"/>
    </row>
    <row r="6420" spans="1:4" ht="12.75" customHeight="1" x14ac:dyDescent="0.2">
      <c r="A6420" s="21"/>
      <c r="B6420" s="3" t="s">
        <v>16</v>
      </c>
      <c r="C6420" s="20"/>
      <c r="D6420" s="21"/>
    </row>
    <row r="6421" spans="1:4" ht="12.75" customHeight="1" x14ac:dyDescent="0.2">
      <c r="A6421" s="21"/>
      <c r="B6421" s="3" t="s">
        <v>17</v>
      </c>
      <c r="C6421" s="20"/>
      <c r="D6421" s="21"/>
    </row>
    <row r="6422" spans="1:4" ht="12.75" customHeight="1" x14ac:dyDescent="0.2">
      <c r="A6422" s="21"/>
      <c r="B6422" s="20" t="s">
        <v>18</v>
      </c>
      <c r="C6422" s="4" t="s">
        <v>102</v>
      </c>
      <c r="D6422" s="6" t="str">
        <f>HYPERLINK("javascript:void(0)","ármánylat")</f>
        <v>ármánylat</v>
      </c>
    </row>
    <row r="6423" spans="1:4" ht="12.75" customHeight="1" x14ac:dyDescent="0.2">
      <c r="A6423" s="21"/>
      <c r="B6423" s="21"/>
      <c r="C6423" s="4" t="s">
        <v>77</v>
      </c>
      <c r="D6423" s="6" t="str">
        <f>HYPERLINK("javascript:void(0)","okuláré")</f>
        <v>okuláré</v>
      </c>
    </row>
    <row r="6424" spans="1:4" ht="12.75" customHeight="1" x14ac:dyDescent="0.2">
      <c r="A6424" s="21"/>
      <c r="B6424" s="21"/>
      <c r="C6424" s="4" t="s">
        <v>77</v>
      </c>
      <c r="D6424" s="6" t="str">
        <f>HYPERLINK("javascript:void(0)","szinapszis")</f>
        <v>szinapszis</v>
      </c>
    </row>
    <row r="6425" spans="1:4" ht="12.75" customHeight="1" x14ac:dyDescent="0.2">
      <c r="A6425" s="5"/>
      <c r="B6425" s="2"/>
      <c r="C6425" s="2"/>
      <c r="D6425" s="2"/>
    </row>
    <row r="6426" spans="1:4" ht="12.75" customHeight="1" x14ac:dyDescent="0.2">
      <c r="A6426" s="22" t="str">
        <f>HYPERLINK("javascript:void(0)","rémképes mágusölő")</f>
        <v>rémképes mágusölő</v>
      </c>
      <c r="B6426" s="21"/>
      <c r="C6426" s="21"/>
      <c r="D6426" s="21"/>
    </row>
    <row r="6427" spans="1:4" ht="12.75" customHeight="1" x14ac:dyDescent="0.2">
      <c r="A6427" s="20"/>
      <c r="B6427" s="2"/>
      <c r="C6427" s="2"/>
      <c r="D6427" s="2"/>
    </row>
    <row r="6428" spans="1:4" ht="12.75" customHeight="1" x14ac:dyDescent="0.2">
      <c r="A6428" s="21"/>
      <c r="B6428" s="3" t="s">
        <v>0</v>
      </c>
      <c r="C6428" s="20" t="s">
        <v>1252</v>
      </c>
      <c r="D6428" s="21"/>
    </row>
    <row r="6429" spans="1:4" ht="12.75" customHeight="1" x14ac:dyDescent="0.2">
      <c r="A6429" s="21"/>
      <c r="B6429" s="3" t="s">
        <v>2</v>
      </c>
      <c r="C6429" s="20" t="s">
        <v>122</v>
      </c>
      <c r="D6429" s="21"/>
    </row>
    <row r="6430" spans="1:4" ht="12.75" customHeight="1" x14ac:dyDescent="0.2">
      <c r="A6430" s="21"/>
      <c r="B6430" s="3" t="s">
        <v>4</v>
      </c>
      <c r="C6430" s="20" t="s">
        <v>1675</v>
      </c>
      <c r="D6430" s="21"/>
    </row>
    <row r="6431" spans="1:4" ht="12.75" customHeight="1" x14ac:dyDescent="0.2">
      <c r="A6431" s="21"/>
      <c r="B6431" s="3" t="s">
        <v>6</v>
      </c>
      <c r="C6431" s="20" t="s">
        <v>90</v>
      </c>
      <c r="D6431" s="21"/>
    </row>
    <row r="6432" spans="1:4" ht="12.75" customHeight="1" x14ac:dyDescent="0.2">
      <c r="A6432" s="21"/>
      <c r="B6432" s="3" t="s">
        <v>8</v>
      </c>
      <c r="C6432" s="20" t="s">
        <v>1675</v>
      </c>
      <c r="D6432" s="21"/>
    </row>
    <row r="6433" spans="1:4" ht="12.75" customHeight="1" x14ac:dyDescent="0.2">
      <c r="A6433" s="21"/>
      <c r="B6433" s="3" t="s">
        <v>9</v>
      </c>
      <c r="C6433" s="20" t="s">
        <v>1676</v>
      </c>
      <c r="D6433" s="21"/>
    </row>
    <row r="6434" spans="1:4" ht="12.75" customHeight="1" x14ac:dyDescent="0.2">
      <c r="A6434" s="21"/>
      <c r="B6434" s="3" t="s">
        <v>11</v>
      </c>
      <c r="C6434" s="20" t="s">
        <v>1083</v>
      </c>
      <c r="D6434" s="21"/>
    </row>
    <row r="6435" spans="1:4" ht="12.75" customHeight="1" x14ac:dyDescent="0.2">
      <c r="A6435" s="21"/>
      <c r="B6435" s="3" t="s">
        <v>13</v>
      </c>
      <c r="C6435" s="20" t="s">
        <v>14</v>
      </c>
      <c r="D6435" s="21"/>
    </row>
    <row r="6436" spans="1:4" ht="12.75" customHeight="1" x14ac:dyDescent="0.2">
      <c r="A6436" s="21"/>
      <c r="B6436" s="3" t="s">
        <v>15</v>
      </c>
      <c r="C6436" s="20" t="s">
        <v>24</v>
      </c>
      <c r="D6436" s="21"/>
    </row>
    <row r="6437" spans="1:4" ht="12.75" customHeight="1" x14ac:dyDescent="0.2">
      <c r="A6437" s="21"/>
      <c r="B6437" s="3" t="s">
        <v>16</v>
      </c>
      <c r="C6437" s="20"/>
      <c r="D6437" s="21"/>
    </row>
    <row r="6438" spans="1:4" ht="12.75" customHeight="1" x14ac:dyDescent="0.2">
      <c r="A6438" s="21"/>
      <c r="B6438" s="3" t="s">
        <v>17</v>
      </c>
      <c r="C6438" s="20"/>
      <c r="D6438" s="21"/>
    </row>
    <row r="6439" spans="1:4" ht="12.75" customHeight="1" x14ac:dyDescent="0.2">
      <c r="A6439" s="21"/>
      <c r="B6439" s="20" t="s">
        <v>18</v>
      </c>
      <c r="C6439" s="4" t="s">
        <v>44</v>
      </c>
      <c r="D6439" s="6" t="str">
        <f>HYPERLINK("javascript:void(0)","gutaütő mágusölő")</f>
        <v>gutaütő mágusölő</v>
      </c>
    </row>
    <row r="6440" spans="1:4" ht="12.75" customHeight="1" x14ac:dyDescent="0.2">
      <c r="A6440" s="21"/>
      <c r="B6440" s="21"/>
      <c r="C6440" s="4" t="s">
        <v>196</v>
      </c>
      <c r="D6440" s="6" t="str">
        <f>HYPERLINK("javascript:void(0)","szőrpenge")</f>
        <v>szőrpenge</v>
      </c>
    </row>
    <row r="6441" spans="1:4" ht="12.75" customHeight="1" x14ac:dyDescent="0.2">
      <c r="A6441" s="21"/>
      <c r="B6441" s="21"/>
      <c r="C6441" s="4" t="s">
        <v>331</v>
      </c>
      <c r="D6441" s="6" t="str">
        <f>HYPERLINK("javascript:void(0)","rémkép")</f>
        <v>rémkép</v>
      </c>
    </row>
    <row r="6442" spans="1:4" ht="12.75" customHeight="1" x14ac:dyDescent="0.2">
      <c r="A6442" s="5"/>
      <c r="B6442" s="2"/>
      <c r="C6442" s="2"/>
      <c r="D6442" s="2"/>
    </row>
    <row r="6443" spans="1:4" ht="12.75" customHeight="1" x14ac:dyDescent="0.2">
      <c r="A6443" s="22" t="str">
        <f>HYPERLINK("javascript:void(0)","animált kalapács")</f>
        <v>animált kalapács</v>
      </c>
      <c r="B6443" s="21"/>
      <c r="C6443" s="21"/>
      <c r="D6443" s="21"/>
    </row>
    <row r="6444" spans="1:4" ht="12.75" customHeight="1" x14ac:dyDescent="0.2">
      <c r="A6444" s="20"/>
      <c r="B6444" s="2"/>
      <c r="C6444" s="2"/>
      <c r="D6444" s="2"/>
    </row>
    <row r="6445" spans="1:4" ht="12.75" customHeight="1" x14ac:dyDescent="0.2">
      <c r="A6445" s="21"/>
      <c r="B6445" s="3" t="s">
        <v>0</v>
      </c>
      <c r="C6445" s="20" t="s">
        <v>1263</v>
      </c>
      <c r="D6445" s="21"/>
    </row>
    <row r="6446" spans="1:4" ht="12.75" customHeight="1" x14ac:dyDescent="0.2">
      <c r="A6446" s="21"/>
      <c r="B6446" s="3" t="s">
        <v>2</v>
      </c>
      <c r="C6446" s="20" t="s">
        <v>122</v>
      </c>
      <c r="D6446" s="21"/>
    </row>
    <row r="6447" spans="1:4" ht="12.75" customHeight="1" x14ac:dyDescent="0.2">
      <c r="A6447" s="21"/>
      <c r="B6447" s="3" t="s">
        <v>4</v>
      </c>
      <c r="C6447" s="20" t="s">
        <v>1678</v>
      </c>
      <c r="D6447" s="21"/>
    </row>
    <row r="6448" spans="1:4" ht="12.75" customHeight="1" x14ac:dyDescent="0.2">
      <c r="A6448" s="21"/>
      <c r="B6448" s="3" t="s">
        <v>6</v>
      </c>
      <c r="C6448" s="20" t="s">
        <v>385</v>
      </c>
      <c r="D6448" s="21"/>
    </row>
    <row r="6449" spans="1:4" ht="12.75" customHeight="1" x14ac:dyDescent="0.2">
      <c r="A6449" s="21"/>
      <c r="B6449" s="3" t="s">
        <v>8</v>
      </c>
      <c r="C6449" s="20" t="s">
        <v>1678</v>
      </c>
      <c r="D6449" s="21"/>
    </row>
    <row r="6450" spans="1:4" ht="12.75" customHeight="1" x14ac:dyDescent="0.2">
      <c r="A6450" s="21"/>
      <c r="B6450" s="3" t="s">
        <v>9</v>
      </c>
      <c r="C6450" s="20" t="s">
        <v>462</v>
      </c>
      <c r="D6450" s="21"/>
    </row>
    <row r="6451" spans="1:4" ht="12.75" customHeight="1" x14ac:dyDescent="0.2">
      <c r="A6451" s="21"/>
      <c r="B6451" s="3" t="s">
        <v>11</v>
      </c>
      <c r="C6451" s="20" t="s">
        <v>1520</v>
      </c>
      <c r="D6451" s="21"/>
    </row>
    <row r="6452" spans="1:4" ht="12.75" customHeight="1" x14ac:dyDescent="0.2">
      <c r="A6452" s="21"/>
      <c r="B6452" s="3" t="s">
        <v>13</v>
      </c>
      <c r="C6452" s="20" t="s">
        <v>24</v>
      </c>
      <c r="D6452" s="21"/>
    </row>
    <row r="6453" spans="1:4" ht="12.75" customHeight="1" x14ac:dyDescent="0.2">
      <c r="A6453" s="21"/>
      <c r="B6453" s="3" t="s">
        <v>15</v>
      </c>
      <c r="C6453" s="20" t="s">
        <v>24</v>
      </c>
      <c r="D6453" s="21"/>
    </row>
    <row r="6454" spans="1:4" ht="12.75" customHeight="1" x14ac:dyDescent="0.2">
      <c r="A6454" s="21"/>
      <c r="B6454" s="3" t="s">
        <v>16</v>
      </c>
      <c r="C6454" s="20"/>
      <c r="D6454" s="21"/>
    </row>
    <row r="6455" spans="1:4" ht="12.75" customHeight="1" x14ac:dyDescent="0.2">
      <c r="A6455" s="21"/>
      <c r="B6455" s="3" t="s">
        <v>17</v>
      </c>
      <c r="C6455" s="20"/>
      <c r="D6455" s="21"/>
    </row>
    <row r="6456" spans="1:4" ht="12.75" customHeight="1" x14ac:dyDescent="0.2">
      <c r="A6456" s="21"/>
      <c r="B6456" s="20" t="s">
        <v>18</v>
      </c>
      <c r="C6456" s="4" t="s">
        <v>44</v>
      </c>
      <c r="D6456" s="6" t="str">
        <f>HYPERLINK("javascript:void(0)","agysimító")</f>
        <v>agysimító</v>
      </c>
    </row>
    <row r="6457" spans="1:4" ht="12.75" customHeight="1" x14ac:dyDescent="0.2">
      <c r="A6457" s="21"/>
      <c r="B6457" s="21"/>
      <c r="C6457" s="4" t="s">
        <v>44</v>
      </c>
      <c r="D6457" s="6" t="str">
        <f>HYPERLINK("javascript:void(0)","ármánybunkó")</f>
        <v>ármánybunkó</v>
      </c>
    </row>
    <row r="6458" spans="1:4" ht="12.75" customHeight="1" x14ac:dyDescent="0.2">
      <c r="A6458" s="21"/>
      <c r="B6458" s="21"/>
      <c r="C6458" s="4" t="s">
        <v>68</v>
      </c>
      <c r="D6458" s="6" t="str">
        <f>HYPERLINK("javascript:void(0)","animátum")</f>
        <v>animátum</v>
      </c>
    </row>
    <row r="6459" spans="1:4" ht="12.75" customHeight="1" x14ac:dyDescent="0.2">
      <c r="A6459" s="5"/>
      <c r="B6459" s="2"/>
      <c r="C6459" s="2"/>
      <c r="D6459" s="2"/>
    </row>
    <row r="6460" spans="1:4" ht="12.75" customHeight="1" x14ac:dyDescent="0.2">
      <c r="A6460" s="22" t="str">
        <f>HYPERLINK("javascript:void(0)","patacsatabárd")</f>
        <v>patacsatabárd</v>
      </c>
      <c r="B6460" s="21"/>
      <c r="C6460" s="21"/>
      <c r="D6460" s="21"/>
    </row>
    <row r="6461" spans="1:4" ht="12.75" customHeight="1" x14ac:dyDescent="0.2">
      <c r="A6461" s="20"/>
      <c r="B6461" s="2"/>
      <c r="C6461" s="2"/>
      <c r="D6461" s="2"/>
    </row>
    <row r="6462" spans="1:4" ht="12.75" customHeight="1" x14ac:dyDescent="0.2">
      <c r="A6462" s="21"/>
      <c r="B6462" s="3" t="s">
        <v>0</v>
      </c>
      <c r="C6462" s="20" t="s">
        <v>1270</v>
      </c>
      <c r="D6462" s="21"/>
    </row>
    <row r="6463" spans="1:4" ht="12.75" customHeight="1" x14ac:dyDescent="0.2">
      <c r="A6463" s="21"/>
      <c r="B6463" s="3" t="s">
        <v>2</v>
      </c>
      <c r="C6463" s="20" t="s">
        <v>122</v>
      </c>
      <c r="D6463" s="21"/>
    </row>
    <row r="6464" spans="1:4" ht="12.75" customHeight="1" x14ac:dyDescent="0.2">
      <c r="A6464" s="21"/>
      <c r="B6464" s="3" t="s">
        <v>4</v>
      </c>
      <c r="C6464" s="20" t="s">
        <v>1680</v>
      </c>
      <c r="D6464" s="21"/>
    </row>
    <row r="6465" spans="1:4" ht="12.75" customHeight="1" x14ac:dyDescent="0.2">
      <c r="A6465" s="21"/>
      <c r="B6465" s="3" t="s">
        <v>6</v>
      </c>
      <c r="C6465" s="20" t="s">
        <v>187</v>
      </c>
      <c r="D6465" s="21"/>
    </row>
    <row r="6466" spans="1:4" ht="12.75" customHeight="1" x14ac:dyDescent="0.2">
      <c r="A6466" s="21"/>
      <c r="B6466" s="3" t="s">
        <v>8</v>
      </c>
      <c r="C6466" s="20" t="s">
        <v>1680</v>
      </c>
      <c r="D6466" s="21"/>
    </row>
    <row r="6467" spans="1:4" ht="12.75" customHeight="1" x14ac:dyDescent="0.2">
      <c r="A6467" s="21"/>
      <c r="B6467" s="3" t="s">
        <v>9</v>
      </c>
      <c r="C6467" s="20" t="s">
        <v>1681</v>
      </c>
      <c r="D6467" s="21"/>
    </row>
    <row r="6468" spans="1:4" ht="12.75" customHeight="1" x14ac:dyDescent="0.2">
      <c r="A6468" s="21"/>
      <c r="B6468" s="3" t="s">
        <v>11</v>
      </c>
      <c r="C6468" s="20" t="s">
        <v>1029</v>
      </c>
      <c r="D6468" s="21"/>
    </row>
    <row r="6469" spans="1:4" ht="12.75" customHeight="1" x14ac:dyDescent="0.2">
      <c r="A6469" s="21"/>
      <c r="B6469" s="3" t="s">
        <v>13</v>
      </c>
      <c r="C6469" s="20" t="s">
        <v>24</v>
      </c>
      <c r="D6469" s="21"/>
    </row>
    <row r="6470" spans="1:4" ht="12.75" customHeight="1" x14ac:dyDescent="0.2">
      <c r="A6470" s="21"/>
      <c r="B6470" s="3" t="s">
        <v>15</v>
      </c>
      <c r="C6470" s="20" t="s">
        <v>24</v>
      </c>
      <c r="D6470" s="21"/>
    </row>
    <row r="6471" spans="1:4" ht="12.75" customHeight="1" x14ac:dyDescent="0.2">
      <c r="A6471" s="21"/>
      <c r="B6471" s="3" t="s">
        <v>16</v>
      </c>
      <c r="C6471" s="20"/>
      <c r="D6471" s="21"/>
    </row>
    <row r="6472" spans="1:4" ht="12.75" customHeight="1" x14ac:dyDescent="0.2">
      <c r="A6472" s="21"/>
      <c r="B6472" s="3" t="s">
        <v>17</v>
      </c>
      <c r="C6472" s="20"/>
      <c r="D6472" s="21"/>
    </row>
    <row r="6473" spans="1:4" ht="12.75" customHeight="1" x14ac:dyDescent="0.2">
      <c r="A6473" s="21"/>
      <c r="B6473" s="20" t="s">
        <v>18</v>
      </c>
      <c r="C6473" s="4" t="s">
        <v>44</v>
      </c>
      <c r="D6473" s="6" t="str">
        <f>HYPERLINK("javascript:void(0)","animált kalapács")</f>
        <v>animált kalapács</v>
      </c>
    </row>
    <row r="6474" spans="1:4" ht="12.75" customHeight="1" x14ac:dyDescent="0.2">
      <c r="A6474" s="21"/>
      <c r="B6474" s="21"/>
      <c r="C6474" s="4" t="s">
        <v>142</v>
      </c>
      <c r="D6474" s="6" t="str">
        <f>HYPERLINK("javascript:void(0)","csatapata")</f>
        <v>csatapata</v>
      </c>
    </row>
    <row r="6475" spans="1:4" ht="12.75" customHeight="1" x14ac:dyDescent="0.2">
      <c r="A6475" s="21"/>
      <c r="B6475" s="21"/>
      <c r="C6475" s="4" t="s">
        <v>296</v>
      </c>
      <c r="D6475" s="6" t="str">
        <f>HYPERLINK("javascript:void(0)","őrjöngés")</f>
        <v>őrjöngés</v>
      </c>
    </row>
    <row r="6476" spans="1:4" ht="12.75" customHeight="1" x14ac:dyDescent="0.2">
      <c r="A6476" s="5"/>
      <c r="B6476" s="2"/>
      <c r="C6476" s="2"/>
      <c r="D6476" s="2"/>
    </row>
    <row r="6477" spans="1:4" ht="12.75" customHeight="1" x14ac:dyDescent="0.2">
      <c r="A6477" s="22" t="str">
        <f>HYPERLINK("javascript:void(0)","szellemes mágusölő")</f>
        <v>szellemes mágusölő</v>
      </c>
      <c r="B6477" s="21"/>
      <c r="C6477" s="21"/>
      <c r="D6477" s="21"/>
    </row>
    <row r="6478" spans="1:4" ht="12.75" customHeight="1" x14ac:dyDescent="0.2">
      <c r="A6478" s="20"/>
      <c r="B6478" s="2"/>
      <c r="C6478" s="2"/>
      <c r="D6478" s="2"/>
    </row>
    <row r="6479" spans="1:4" ht="12.75" customHeight="1" x14ac:dyDescent="0.2">
      <c r="A6479" s="21"/>
      <c r="B6479" s="3" t="s">
        <v>0</v>
      </c>
      <c r="C6479" s="20" t="s">
        <v>1270</v>
      </c>
      <c r="D6479" s="21"/>
    </row>
    <row r="6480" spans="1:4" ht="12.75" customHeight="1" x14ac:dyDescent="0.2">
      <c r="A6480" s="21"/>
      <c r="B6480" s="3" t="s">
        <v>2</v>
      </c>
      <c r="C6480" s="20" t="s">
        <v>122</v>
      </c>
      <c r="D6480" s="21"/>
    </row>
    <row r="6481" spans="1:4" ht="12.75" customHeight="1" x14ac:dyDescent="0.2">
      <c r="A6481" s="21"/>
      <c r="B6481" s="3" t="s">
        <v>4</v>
      </c>
      <c r="C6481" s="20" t="s">
        <v>1684</v>
      </c>
      <c r="D6481" s="21"/>
    </row>
    <row r="6482" spans="1:4" ht="12.75" customHeight="1" x14ac:dyDescent="0.2">
      <c r="A6482" s="21"/>
      <c r="B6482" s="3" t="s">
        <v>6</v>
      </c>
      <c r="C6482" s="20" t="s">
        <v>82</v>
      </c>
      <c r="D6482" s="21"/>
    </row>
    <row r="6483" spans="1:4" ht="12.75" customHeight="1" x14ac:dyDescent="0.2">
      <c r="A6483" s="21"/>
      <c r="B6483" s="3" t="s">
        <v>8</v>
      </c>
      <c r="C6483" s="20" t="s">
        <v>1684</v>
      </c>
      <c r="D6483" s="21"/>
    </row>
    <row r="6484" spans="1:4" ht="12.75" customHeight="1" x14ac:dyDescent="0.2">
      <c r="A6484" s="21"/>
      <c r="B6484" s="3" t="s">
        <v>9</v>
      </c>
      <c r="C6484" s="20" t="s">
        <v>1685</v>
      </c>
      <c r="D6484" s="21"/>
    </row>
    <row r="6485" spans="1:4" ht="12.75" customHeight="1" x14ac:dyDescent="0.2">
      <c r="A6485" s="21"/>
      <c r="B6485" s="3" t="s">
        <v>11</v>
      </c>
      <c r="C6485" s="20" t="s">
        <v>1093</v>
      </c>
      <c r="D6485" s="21"/>
    </row>
    <row r="6486" spans="1:4" ht="12.75" customHeight="1" x14ac:dyDescent="0.2">
      <c r="A6486" s="21"/>
      <c r="B6486" s="3" t="s">
        <v>13</v>
      </c>
      <c r="C6486" s="20" t="s">
        <v>14</v>
      </c>
      <c r="D6486" s="21"/>
    </row>
    <row r="6487" spans="1:4" ht="12.75" customHeight="1" x14ac:dyDescent="0.2">
      <c r="A6487" s="21"/>
      <c r="B6487" s="3" t="s">
        <v>15</v>
      </c>
      <c r="C6487" s="20" t="s">
        <v>24</v>
      </c>
      <c r="D6487" s="21"/>
    </row>
    <row r="6488" spans="1:4" ht="12.75" customHeight="1" x14ac:dyDescent="0.2">
      <c r="A6488" s="21"/>
      <c r="B6488" s="3" t="s">
        <v>16</v>
      </c>
      <c r="C6488" s="20"/>
      <c r="D6488" s="21"/>
    </row>
    <row r="6489" spans="1:4" ht="12.75" customHeight="1" x14ac:dyDescent="0.2">
      <c r="A6489" s="21"/>
      <c r="B6489" s="3" t="s">
        <v>17</v>
      </c>
      <c r="C6489" s="20"/>
      <c r="D6489" s="21"/>
    </row>
    <row r="6490" spans="1:4" ht="12.75" customHeight="1" x14ac:dyDescent="0.2">
      <c r="A6490" s="21"/>
      <c r="B6490" s="20" t="s">
        <v>18</v>
      </c>
      <c r="C6490" s="4" t="s">
        <v>44</v>
      </c>
      <c r="D6490" s="6" t="str">
        <f>HYPERLINK("javascript:void(0)","pörgő mágusölő")</f>
        <v>pörgő mágusölő</v>
      </c>
    </row>
    <row r="6491" spans="1:4" ht="12.75" customHeight="1" x14ac:dyDescent="0.2">
      <c r="A6491" s="21"/>
      <c r="B6491" s="21"/>
      <c r="C6491" s="4" t="s">
        <v>68</v>
      </c>
      <c r="D6491" s="6" t="str">
        <f>HYPERLINK("javascript:void(0)","lélekfodor")</f>
        <v>lélekfodor</v>
      </c>
    </row>
    <row r="6492" spans="1:4" ht="12.75" customHeight="1" x14ac:dyDescent="0.2">
      <c r="A6492" s="21"/>
      <c r="B6492" s="21"/>
      <c r="C6492" s="4" t="s">
        <v>55</v>
      </c>
      <c r="D6492" s="6" t="str">
        <f>HYPERLINK("javascript:void(0)","őrjöngés")</f>
        <v>őrjöngés</v>
      </c>
    </row>
    <row r="6493" spans="1:4" ht="12.75" customHeight="1" x14ac:dyDescent="0.2">
      <c r="A6493" s="5"/>
      <c r="B6493" s="2"/>
      <c r="C6493" s="2"/>
      <c r="D6493" s="2"/>
    </row>
    <row r="6494" spans="1:4" ht="12.75" customHeight="1" x14ac:dyDescent="0.2">
      <c r="A6494" s="22" t="str">
        <f>HYPERLINK("javascript:void(0)","skivei klopfoló")</f>
        <v>skivei klopfoló</v>
      </c>
      <c r="B6494" s="21"/>
      <c r="C6494" s="21"/>
      <c r="D6494" s="21"/>
    </row>
    <row r="6495" spans="1:4" ht="12.75" customHeight="1" x14ac:dyDescent="0.2">
      <c r="A6495" s="20"/>
      <c r="B6495" s="2"/>
      <c r="C6495" s="2"/>
      <c r="D6495" s="2"/>
    </row>
    <row r="6496" spans="1:4" ht="12.75" customHeight="1" x14ac:dyDescent="0.2">
      <c r="A6496" s="21"/>
      <c r="B6496" s="3" t="s">
        <v>0</v>
      </c>
      <c r="C6496" s="20" t="s">
        <v>143</v>
      </c>
      <c r="D6496" s="21"/>
    </row>
    <row r="6497" spans="1:4" ht="12.75" customHeight="1" x14ac:dyDescent="0.2">
      <c r="A6497" s="21"/>
      <c r="B6497" s="3" t="s">
        <v>2</v>
      </c>
      <c r="C6497" s="20" t="s">
        <v>122</v>
      </c>
      <c r="D6497" s="21"/>
    </row>
    <row r="6498" spans="1:4" ht="12.75" customHeight="1" x14ac:dyDescent="0.2">
      <c r="A6498" s="21"/>
      <c r="B6498" s="3" t="s">
        <v>4</v>
      </c>
      <c r="C6498" s="20" t="s">
        <v>1688</v>
      </c>
      <c r="D6498" s="21"/>
    </row>
    <row r="6499" spans="1:4" ht="12.75" customHeight="1" x14ac:dyDescent="0.2">
      <c r="A6499" s="21"/>
      <c r="B6499" s="3" t="s">
        <v>6</v>
      </c>
      <c r="C6499" s="20" t="s">
        <v>284</v>
      </c>
      <c r="D6499" s="21"/>
    </row>
    <row r="6500" spans="1:4" ht="12.75" customHeight="1" x14ac:dyDescent="0.2">
      <c r="A6500" s="21"/>
      <c r="B6500" s="3" t="s">
        <v>8</v>
      </c>
      <c r="C6500" s="20" t="s">
        <v>1688</v>
      </c>
      <c r="D6500" s="21"/>
    </row>
    <row r="6501" spans="1:4" ht="12.75" customHeight="1" x14ac:dyDescent="0.2">
      <c r="A6501" s="21"/>
      <c r="B6501" s="3" t="s">
        <v>9</v>
      </c>
      <c r="C6501" s="20" t="s">
        <v>1689</v>
      </c>
      <c r="D6501" s="21"/>
    </row>
    <row r="6502" spans="1:4" ht="12.75" customHeight="1" x14ac:dyDescent="0.2">
      <c r="A6502" s="21"/>
      <c r="B6502" s="3" t="s">
        <v>11</v>
      </c>
      <c r="C6502" s="20" t="s">
        <v>1040</v>
      </c>
      <c r="D6502" s="21"/>
    </row>
    <row r="6503" spans="1:4" ht="12.75" customHeight="1" x14ac:dyDescent="0.2">
      <c r="A6503" s="21"/>
      <c r="B6503" s="3" t="s">
        <v>13</v>
      </c>
      <c r="C6503" s="20" t="s">
        <v>24</v>
      </c>
      <c r="D6503" s="21"/>
    </row>
    <row r="6504" spans="1:4" ht="12.75" customHeight="1" x14ac:dyDescent="0.2">
      <c r="A6504" s="21"/>
      <c r="B6504" s="3" t="s">
        <v>15</v>
      </c>
      <c r="C6504" s="20" t="s">
        <v>24</v>
      </c>
      <c r="D6504" s="21"/>
    </row>
    <row r="6505" spans="1:4" ht="12.75" customHeight="1" x14ac:dyDescent="0.2">
      <c r="A6505" s="21"/>
      <c r="B6505" s="3" t="s">
        <v>16</v>
      </c>
      <c r="C6505" s="20"/>
      <c r="D6505" s="21"/>
    </row>
    <row r="6506" spans="1:4" ht="12.75" customHeight="1" x14ac:dyDescent="0.2">
      <c r="A6506" s="21"/>
      <c r="B6506" s="3" t="s">
        <v>17</v>
      </c>
      <c r="C6506" s="20"/>
      <c r="D6506" s="21"/>
    </row>
    <row r="6507" spans="1:4" ht="12.75" customHeight="1" x14ac:dyDescent="0.2">
      <c r="A6507" s="21"/>
      <c r="B6507" s="20" t="s">
        <v>18</v>
      </c>
      <c r="C6507" s="4" t="s">
        <v>98</v>
      </c>
      <c r="D6507" s="6" t="str">
        <f>HYPERLINK("javascript:void(0)","animátum")</f>
        <v>animátum</v>
      </c>
    </row>
    <row r="6508" spans="1:4" ht="12.75" customHeight="1" x14ac:dyDescent="0.2">
      <c r="A6508" s="21"/>
      <c r="B6508" s="21"/>
      <c r="C6508" s="4" t="s">
        <v>77</v>
      </c>
      <c r="D6508" s="6" t="str">
        <f>HYPERLINK("javascript:void(0)","félhód")</f>
        <v>félhód</v>
      </c>
    </row>
    <row r="6509" spans="1:4" ht="12.75" customHeight="1" x14ac:dyDescent="0.2">
      <c r="A6509" s="21"/>
      <c r="B6509" s="21"/>
      <c r="C6509" s="4" t="s">
        <v>67</v>
      </c>
      <c r="D6509" s="6" t="str">
        <f>HYPERLINK("javascript:void(0)","hidegige")</f>
        <v>hidegige</v>
      </c>
    </row>
    <row r="6510" spans="1:4" ht="12.75" customHeight="1" x14ac:dyDescent="0.2">
      <c r="A6510" s="5"/>
      <c r="B6510" s="2"/>
      <c r="C6510" s="2"/>
      <c r="D6510" s="2"/>
    </row>
    <row r="6511" spans="1:4" ht="12.75" customHeight="1" x14ac:dyDescent="0.2">
      <c r="A6511" s="22" t="str">
        <f>HYPERLINK("javascript:void(0)","gyomorrontó")</f>
        <v>gyomorrontó</v>
      </c>
      <c r="B6511" s="21"/>
      <c r="C6511" s="21"/>
      <c r="D6511" s="21"/>
    </row>
    <row r="6512" spans="1:4" ht="12.75" customHeight="1" x14ac:dyDescent="0.2">
      <c r="A6512" s="20"/>
      <c r="B6512" s="2"/>
      <c r="C6512" s="2"/>
      <c r="D6512" s="2"/>
    </row>
    <row r="6513" spans="1:4" ht="12.75" customHeight="1" x14ac:dyDescent="0.2">
      <c r="A6513" s="21"/>
      <c r="B6513" s="3" t="s">
        <v>0</v>
      </c>
      <c r="C6513" s="20" t="s">
        <v>1284</v>
      </c>
      <c r="D6513" s="21"/>
    </row>
    <row r="6514" spans="1:4" ht="12.75" customHeight="1" x14ac:dyDescent="0.2">
      <c r="A6514" s="21"/>
      <c r="B6514" s="3" t="s">
        <v>2</v>
      </c>
      <c r="C6514" s="20" t="s">
        <v>122</v>
      </c>
      <c r="D6514" s="21"/>
    </row>
    <row r="6515" spans="1:4" ht="12.75" customHeight="1" x14ac:dyDescent="0.2">
      <c r="A6515" s="21"/>
      <c r="B6515" s="3" t="s">
        <v>4</v>
      </c>
      <c r="C6515" s="20" t="s">
        <v>1691</v>
      </c>
      <c r="D6515" s="21"/>
    </row>
    <row r="6516" spans="1:4" ht="12.75" customHeight="1" x14ac:dyDescent="0.2">
      <c r="A6516" s="21"/>
      <c r="B6516" s="3" t="s">
        <v>6</v>
      </c>
      <c r="C6516" s="20" t="s">
        <v>153</v>
      </c>
      <c r="D6516" s="21"/>
    </row>
    <row r="6517" spans="1:4" ht="12.75" customHeight="1" x14ac:dyDescent="0.2">
      <c r="A6517" s="21"/>
      <c r="B6517" s="3" t="s">
        <v>8</v>
      </c>
      <c r="C6517" s="20" t="s">
        <v>1691</v>
      </c>
      <c r="D6517" s="21"/>
    </row>
    <row r="6518" spans="1:4" ht="12.75" customHeight="1" x14ac:dyDescent="0.2">
      <c r="A6518" s="21"/>
      <c r="B6518" s="3" t="s">
        <v>9</v>
      </c>
      <c r="C6518" s="20" t="s">
        <v>1693</v>
      </c>
      <c r="D6518" s="21"/>
    </row>
    <row r="6519" spans="1:4" ht="12.75" customHeight="1" x14ac:dyDescent="0.2">
      <c r="A6519" s="21"/>
      <c r="B6519" s="3" t="s">
        <v>11</v>
      </c>
      <c r="C6519" s="20" t="s">
        <v>1287</v>
      </c>
      <c r="D6519" s="21"/>
    </row>
    <row r="6520" spans="1:4" ht="12.75" customHeight="1" x14ac:dyDescent="0.2">
      <c r="A6520" s="21"/>
      <c r="B6520" s="3" t="s">
        <v>13</v>
      </c>
      <c r="C6520" s="20" t="s">
        <v>24</v>
      </c>
      <c r="D6520" s="21"/>
    </row>
    <row r="6521" spans="1:4" ht="12.75" customHeight="1" x14ac:dyDescent="0.2">
      <c r="A6521" s="21"/>
      <c r="B6521" s="3" t="s">
        <v>15</v>
      </c>
      <c r="C6521" s="20" t="s">
        <v>24</v>
      </c>
      <c r="D6521" s="21"/>
    </row>
    <row r="6522" spans="1:4" ht="12.75" customHeight="1" x14ac:dyDescent="0.2">
      <c r="A6522" s="21"/>
      <c r="B6522" s="3" t="s">
        <v>16</v>
      </c>
      <c r="C6522" s="20"/>
      <c r="D6522" s="21"/>
    </row>
    <row r="6523" spans="1:4" ht="12.75" customHeight="1" x14ac:dyDescent="0.2">
      <c r="A6523" s="21"/>
      <c r="B6523" s="3" t="s">
        <v>17</v>
      </c>
      <c r="C6523" s="20"/>
      <c r="D6523" s="21"/>
    </row>
    <row r="6524" spans="1:4" ht="12.75" customHeight="1" x14ac:dyDescent="0.2">
      <c r="A6524" s="21"/>
      <c r="B6524" s="20" t="s">
        <v>18</v>
      </c>
      <c r="C6524" s="4" t="s">
        <v>44</v>
      </c>
      <c r="D6524" s="6" t="str">
        <f>HYPERLINK("javascript:void(0)","patacsatabárd")</f>
        <v>patacsatabárd</v>
      </c>
    </row>
    <row r="6525" spans="1:4" ht="12.75" customHeight="1" x14ac:dyDescent="0.2">
      <c r="A6525" s="21"/>
      <c r="B6525" s="21"/>
      <c r="C6525" s="4" t="s">
        <v>44</v>
      </c>
      <c r="D6525" s="6" t="str">
        <f>HYPERLINK("javascript:void(0)","skivei klopfoló")</f>
        <v>skivei klopfoló</v>
      </c>
    </row>
    <row r="6526" spans="1:4" ht="12.75" customHeight="1" x14ac:dyDescent="0.2">
      <c r="A6526" s="21"/>
      <c r="B6526" s="21"/>
      <c r="C6526" s="4" t="s">
        <v>68</v>
      </c>
      <c r="D6526" s="6" t="str">
        <f>HYPERLINK("javascript:void(0)","gyomorgörcs")</f>
        <v>gyomorgörcs</v>
      </c>
    </row>
    <row r="6527" spans="1:4" ht="12.75" customHeight="1" x14ac:dyDescent="0.2">
      <c r="A6527" s="5"/>
      <c r="B6527" s="2"/>
      <c r="C6527" s="2"/>
      <c r="D6527" s="2"/>
    </row>
    <row r="6528" spans="1:4" ht="12.75" customHeight="1" x14ac:dyDescent="0.2">
      <c r="A6528" s="22" t="str">
        <f>HYPERLINK("javascript:void(0)","ócska mágusölő")</f>
        <v>ócska mágusölő</v>
      </c>
      <c r="B6528" s="21"/>
      <c r="C6528" s="21"/>
      <c r="D6528" s="21"/>
    </row>
    <row r="6529" spans="1:4" ht="12.75" customHeight="1" x14ac:dyDescent="0.2">
      <c r="A6529" s="20"/>
      <c r="B6529" s="2"/>
      <c r="C6529" s="2"/>
      <c r="D6529" s="2"/>
    </row>
    <row r="6530" spans="1:4" ht="12.75" customHeight="1" x14ac:dyDescent="0.2">
      <c r="A6530" s="21"/>
      <c r="B6530" s="3" t="s">
        <v>0</v>
      </c>
      <c r="C6530" s="20" t="s">
        <v>1284</v>
      </c>
      <c r="D6530" s="21"/>
    </row>
    <row r="6531" spans="1:4" ht="12.75" customHeight="1" x14ac:dyDescent="0.2">
      <c r="A6531" s="21"/>
      <c r="B6531" s="3" t="s">
        <v>2</v>
      </c>
      <c r="C6531" s="20" t="s">
        <v>122</v>
      </c>
      <c r="D6531" s="21"/>
    </row>
    <row r="6532" spans="1:4" ht="12.75" customHeight="1" x14ac:dyDescent="0.2">
      <c r="A6532" s="21"/>
      <c r="B6532" s="3" t="s">
        <v>4</v>
      </c>
      <c r="C6532" s="20" t="s">
        <v>1694</v>
      </c>
      <c r="D6532" s="21"/>
    </row>
    <row r="6533" spans="1:4" ht="12.75" customHeight="1" x14ac:dyDescent="0.2">
      <c r="A6533" s="21"/>
      <c r="B6533" s="3" t="s">
        <v>6</v>
      </c>
      <c r="C6533" s="20" t="s">
        <v>155</v>
      </c>
      <c r="D6533" s="21"/>
    </row>
    <row r="6534" spans="1:4" ht="12.75" customHeight="1" x14ac:dyDescent="0.2">
      <c r="A6534" s="21"/>
      <c r="B6534" s="3" t="s">
        <v>8</v>
      </c>
      <c r="C6534" s="20" t="s">
        <v>1694</v>
      </c>
      <c r="D6534" s="21"/>
    </row>
    <row r="6535" spans="1:4" ht="12.75" customHeight="1" x14ac:dyDescent="0.2">
      <c r="A6535" s="21"/>
      <c r="B6535" s="3" t="s">
        <v>9</v>
      </c>
      <c r="C6535" s="20" t="s">
        <v>1695</v>
      </c>
      <c r="D6535" s="21"/>
    </row>
    <row r="6536" spans="1:4" ht="12.75" customHeight="1" x14ac:dyDescent="0.2">
      <c r="A6536" s="21"/>
      <c r="B6536" s="3" t="s">
        <v>11</v>
      </c>
      <c r="C6536" s="20" t="s">
        <v>1101</v>
      </c>
      <c r="D6536" s="21"/>
    </row>
    <row r="6537" spans="1:4" ht="12.75" customHeight="1" x14ac:dyDescent="0.2">
      <c r="A6537" s="21"/>
      <c r="B6537" s="3" t="s">
        <v>13</v>
      </c>
      <c r="C6537" s="20" t="s">
        <v>14</v>
      </c>
      <c r="D6537" s="21"/>
    </row>
    <row r="6538" spans="1:4" ht="12.75" customHeight="1" x14ac:dyDescent="0.2">
      <c r="A6538" s="21"/>
      <c r="B6538" s="3" t="s">
        <v>15</v>
      </c>
      <c r="C6538" s="20" t="s">
        <v>24</v>
      </c>
      <c r="D6538" s="21"/>
    </row>
    <row r="6539" spans="1:4" ht="12.75" customHeight="1" x14ac:dyDescent="0.2">
      <c r="A6539" s="21"/>
      <c r="B6539" s="3" t="s">
        <v>16</v>
      </c>
      <c r="C6539" s="20"/>
      <c r="D6539" s="21"/>
    </row>
    <row r="6540" spans="1:4" ht="12.75" customHeight="1" x14ac:dyDescent="0.2">
      <c r="A6540" s="21"/>
      <c r="B6540" s="3" t="s">
        <v>17</v>
      </c>
      <c r="C6540" s="20"/>
      <c r="D6540" s="21"/>
    </row>
    <row r="6541" spans="1:4" ht="12.75" customHeight="1" x14ac:dyDescent="0.2">
      <c r="A6541" s="21"/>
      <c r="B6541" s="20" t="s">
        <v>18</v>
      </c>
      <c r="C6541" s="4" t="s">
        <v>44</v>
      </c>
      <c r="D6541" s="6" t="str">
        <f>HYPERLINK("javascript:void(0)","isteni mágusölő")</f>
        <v>isteni mágusölő</v>
      </c>
    </row>
    <row r="6542" spans="1:4" ht="12.75" customHeight="1" x14ac:dyDescent="0.2">
      <c r="A6542" s="21"/>
      <c r="B6542" s="21"/>
      <c r="C6542" s="4" t="s">
        <v>142</v>
      </c>
      <c r="D6542" s="6" t="str">
        <f>HYPERLINK("javascript:void(0)","ócska nóta")</f>
        <v>ócska nóta</v>
      </c>
    </row>
    <row r="6543" spans="1:4" ht="12.75" customHeight="1" x14ac:dyDescent="0.2">
      <c r="A6543" s="21"/>
      <c r="B6543" s="21"/>
      <c r="C6543" s="4" t="s">
        <v>132</v>
      </c>
      <c r="D6543" s="6" t="str">
        <f>HYPERLINK("javascript:void(0)","rémkép")</f>
        <v>rémkép</v>
      </c>
    </row>
    <row r="6544" spans="1:4" ht="12.75" customHeight="1" x14ac:dyDescent="0.2">
      <c r="A6544" s="5"/>
      <c r="B6544" s="2"/>
      <c r="C6544" s="2"/>
      <c r="D6544" s="2"/>
    </row>
    <row r="6545" spans="1:4" ht="12.75" customHeight="1" x14ac:dyDescent="0.2">
      <c r="A6545" s="22" t="str">
        <f>HYPERLINK("javascript:void(0)","artini fagybunkó")</f>
        <v>artini fagybunkó</v>
      </c>
      <c r="B6545" s="21"/>
      <c r="C6545" s="21"/>
      <c r="D6545" s="21"/>
    </row>
    <row r="6546" spans="1:4" ht="12.75" customHeight="1" x14ac:dyDescent="0.2">
      <c r="A6546" s="20"/>
      <c r="B6546" s="2"/>
      <c r="C6546" s="2"/>
      <c r="D6546" s="2"/>
    </row>
    <row r="6547" spans="1:4" ht="12.75" customHeight="1" x14ac:dyDescent="0.2">
      <c r="A6547" s="21"/>
      <c r="B6547" s="3" t="s">
        <v>0</v>
      </c>
      <c r="C6547" s="20" t="s">
        <v>1294</v>
      </c>
      <c r="D6547" s="21"/>
    </row>
    <row r="6548" spans="1:4" ht="12.75" customHeight="1" x14ac:dyDescent="0.2">
      <c r="A6548" s="21"/>
      <c r="B6548" s="3" t="s">
        <v>2</v>
      </c>
      <c r="C6548" s="20" t="s">
        <v>122</v>
      </c>
      <c r="D6548" s="21"/>
    </row>
    <row r="6549" spans="1:4" ht="12.75" customHeight="1" x14ac:dyDescent="0.2">
      <c r="A6549" s="21"/>
      <c r="B6549" s="3" t="s">
        <v>4</v>
      </c>
      <c r="C6549" s="20" t="s">
        <v>1697</v>
      </c>
      <c r="D6549" s="21"/>
    </row>
    <row r="6550" spans="1:4" ht="12.75" customHeight="1" x14ac:dyDescent="0.2">
      <c r="A6550" s="21"/>
      <c r="B6550" s="3" t="s">
        <v>6</v>
      </c>
      <c r="C6550" s="20" t="s">
        <v>284</v>
      </c>
      <c r="D6550" s="21"/>
    </row>
    <row r="6551" spans="1:4" ht="12.75" customHeight="1" x14ac:dyDescent="0.2">
      <c r="A6551" s="21"/>
      <c r="B6551" s="3" t="s">
        <v>8</v>
      </c>
      <c r="C6551" s="20" t="s">
        <v>1697</v>
      </c>
      <c r="D6551" s="21"/>
    </row>
    <row r="6552" spans="1:4" ht="12.75" customHeight="1" x14ac:dyDescent="0.2">
      <c r="A6552" s="21"/>
      <c r="B6552" s="3" t="s">
        <v>9</v>
      </c>
      <c r="C6552" s="20" t="s">
        <v>1698</v>
      </c>
      <c r="D6552" s="21"/>
    </row>
    <row r="6553" spans="1:4" ht="12.75" customHeight="1" x14ac:dyDescent="0.2">
      <c r="A6553" s="21"/>
      <c r="B6553" s="3" t="s">
        <v>11</v>
      </c>
      <c r="C6553" s="20" t="s">
        <v>1047</v>
      </c>
      <c r="D6553" s="21"/>
    </row>
    <row r="6554" spans="1:4" ht="12.75" customHeight="1" x14ac:dyDescent="0.2">
      <c r="A6554" s="21"/>
      <c r="B6554" s="3" t="s">
        <v>13</v>
      </c>
      <c r="C6554" s="20" t="s">
        <v>24</v>
      </c>
      <c r="D6554" s="21"/>
    </row>
    <row r="6555" spans="1:4" ht="12.75" customHeight="1" x14ac:dyDescent="0.2">
      <c r="A6555" s="21"/>
      <c r="B6555" s="3" t="s">
        <v>15</v>
      </c>
      <c r="C6555" s="20" t="s">
        <v>24</v>
      </c>
      <c r="D6555" s="21"/>
    </row>
    <row r="6556" spans="1:4" ht="12.75" customHeight="1" x14ac:dyDescent="0.2">
      <c r="A6556" s="21"/>
      <c r="B6556" s="3" t="s">
        <v>16</v>
      </c>
      <c r="C6556" s="20"/>
      <c r="D6556" s="21"/>
    </row>
    <row r="6557" spans="1:4" ht="12.75" customHeight="1" x14ac:dyDescent="0.2">
      <c r="A6557" s="21"/>
      <c r="B6557" s="3" t="s">
        <v>17</v>
      </c>
      <c r="C6557" s="20"/>
      <c r="D6557" s="21"/>
    </row>
    <row r="6558" spans="1:4" ht="12.75" customHeight="1" x14ac:dyDescent="0.2">
      <c r="A6558" s="21"/>
      <c r="B6558" s="20" t="s">
        <v>18</v>
      </c>
      <c r="C6558" s="4" t="s">
        <v>44</v>
      </c>
      <c r="D6558" s="6" t="str">
        <f>HYPERLINK("javascript:void(0)","gyomorrontó")</f>
        <v>gyomorrontó</v>
      </c>
    </row>
    <row r="6559" spans="1:4" ht="12.75" customHeight="1" x14ac:dyDescent="0.2">
      <c r="A6559" s="21"/>
      <c r="B6559" s="21"/>
      <c r="C6559" s="4" t="s">
        <v>68</v>
      </c>
      <c r="D6559" s="6" t="str">
        <f>HYPERLINK("javascript:void(0)","feslett háló")</f>
        <v>feslett háló</v>
      </c>
    </row>
    <row r="6560" spans="1:4" ht="12.75" customHeight="1" x14ac:dyDescent="0.2">
      <c r="A6560" s="21"/>
      <c r="B6560" s="21"/>
      <c r="C6560" s="4" t="s">
        <v>67</v>
      </c>
      <c r="D6560" s="6" t="str">
        <f>HYPERLINK("javascript:void(0)","hidegige")</f>
        <v>hidegige</v>
      </c>
    </row>
    <row r="6561" spans="1:4" ht="12.75" customHeight="1" x14ac:dyDescent="0.2">
      <c r="A6561" s="5"/>
      <c r="B6561" s="2"/>
      <c r="C6561" s="2"/>
      <c r="D6561" s="2"/>
    </row>
    <row r="6562" spans="1:4" ht="12.75" customHeight="1" x14ac:dyDescent="0.2">
      <c r="A6562" s="22" t="str">
        <f>HYPERLINK("javascript:void(0)","arcképelő")</f>
        <v>arcképelő</v>
      </c>
      <c r="B6562" s="21"/>
      <c r="C6562" s="21"/>
      <c r="D6562" s="21"/>
    </row>
    <row r="6563" spans="1:4" ht="12.75" customHeight="1" x14ac:dyDescent="0.2">
      <c r="A6563" s="20"/>
      <c r="B6563" s="2"/>
      <c r="C6563" s="2"/>
      <c r="D6563" s="2"/>
    </row>
    <row r="6564" spans="1:4" ht="12.75" customHeight="1" x14ac:dyDescent="0.2">
      <c r="A6564" s="21"/>
      <c r="B6564" s="3" t="s">
        <v>0</v>
      </c>
      <c r="C6564" s="20" t="s">
        <v>242</v>
      </c>
      <c r="D6564" s="21"/>
    </row>
    <row r="6565" spans="1:4" ht="12.75" customHeight="1" x14ac:dyDescent="0.2">
      <c r="A6565" s="21"/>
      <c r="B6565" s="3" t="s">
        <v>2</v>
      </c>
      <c r="C6565" s="20" t="s">
        <v>122</v>
      </c>
      <c r="D6565" s="21"/>
    </row>
    <row r="6566" spans="1:4" ht="12.75" customHeight="1" x14ac:dyDescent="0.2">
      <c r="A6566" s="21"/>
      <c r="B6566" s="3" t="s">
        <v>4</v>
      </c>
      <c r="C6566" s="20" t="s">
        <v>1309</v>
      </c>
      <c r="D6566" s="21"/>
    </row>
    <row r="6567" spans="1:4" ht="12.75" customHeight="1" x14ac:dyDescent="0.2">
      <c r="A6567" s="21"/>
      <c r="B6567" s="3" t="s">
        <v>6</v>
      </c>
      <c r="C6567" s="20" t="s">
        <v>35</v>
      </c>
      <c r="D6567" s="21"/>
    </row>
    <row r="6568" spans="1:4" ht="12.75" customHeight="1" x14ac:dyDescent="0.2">
      <c r="A6568" s="21"/>
      <c r="B6568" s="3" t="s">
        <v>8</v>
      </c>
      <c r="C6568" s="20" t="s">
        <v>1309</v>
      </c>
      <c r="D6568" s="21"/>
    </row>
    <row r="6569" spans="1:4" ht="12.75" customHeight="1" x14ac:dyDescent="0.2">
      <c r="A6569" s="21"/>
      <c r="B6569" s="3" t="s">
        <v>9</v>
      </c>
      <c r="C6569" s="20" t="s">
        <v>1702</v>
      </c>
      <c r="D6569" s="21"/>
    </row>
    <row r="6570" spans="1:4" ht="12.75" customHeight="1" x14ac:dyDescent="0.2">
      <c r="A6570" s="21"/>
      <c r="B6570" s="3" t="s">
        <v>11</v>
      </c>
      <c r="C6570" s="20" t="s">
        <v>1301</v>
      </c>
      <c r="D6570" s="21"/>
    </row>
    <row r="6571" spans="1:4" ht="12.75" customHeight="1" x14ac:dyDescent="0.2">
      <c r="A6571" s="21"/>
      <c r="B6571" s="3" t="s">
        <v>13</v>
      </c>
      <c r="C6571" s="20" t="s">
        <v>24</v>
      </c>
      <c r="D6571" s="21"/>
    </row>
    <row r="6572" spans="1:4" ht="12.75" customHeight="1" x14ac:dyDescent="0.2">
      <c r="A6572" s="21"/>
      <c r="B6572" s="3" t="s">
        <v>15</v>
      </c>
      <c r="C6572" s="20" t="s">
        <v>24</v>
      </c>
      <c r="D6572" s="21"/>
    </row>
    <row r="6573" spans="1:4" ht="12.75" customHeight="1" x14ac:dyDescent="0.2">
      <c r="A6573" s="21"/>
      <c r="B6573" s="3" t="s">
        <v>16</v>
      </c>
      <c r="C6573" s="20"/>
      <c r="D6573" s="21"/>
    </row>
    <row r="6574" spans="1:4" ht="12.75" customHeight="1" x14ac:dyDescent="0.2">
      <c r="A6574" s="21"/>
      <c r="B6574" s="3" t="s">
        <v>17</v>
      </c>
      <c r="C6574" s="20"/>
      <c r="D6574" s="21"/>
    </row>
    <row r="6575" spans="1:4" ht="12.75" customHeight="1" x14ac:dyDescent="0.2">
      <c r="A6575" s="21"/>
      <c r="B6575" s="20" t="s">
        <v>18</v>
      </c>
      <c r="C6575" s="4" t="s">
        <v>68</v>
      </c>
      <c r="D6575" s="6" t="str">
        <f>HYPERLINK("javascript:void(0)","adattekercs")</f>
        <v>adattekercs</v>
      </c>
    </row>
    <row r="6576" spans="1:4" ht="12.75" customHeight="1" x14ac:dyDescent="0.2">
      <c r="A6576" s="21"/>
      <c r="B6576" s="21"/>
      <c r="C6576" s="4" t="s">
        <v>142</v>
      </c>
      <c r="D6576" s="6" t="str">
        <f>HYPERLINK("javascript:void(0)","zászlóvászon")</f>
        <v>zászlóvászon</v>
      </c>
    </row>
    <row r="6577" spans="1:4" ht="12.75" customHeight="1" x14ac:dyDescent="0.2">
      <c r="A6577" s="21"/>
      <c r="B6577" s="21"/>
      <c r="C6577" s="4" t="s">
        <v>67</v>
      </c>
      <c r="D6577" s="6" t="str">
        <f>HYPERLINK("javascript:void(0)","sündörgés")</f>
        <v>sündörgés</v>
      </c>
    </row>
    <row r="6578" spans="1:4" ht="12.75" customHeight="1" x14ac:dyDescent="0.2">
      <c r="A6578" s="5"/>
      <c r="B6578" s="2"/>
      <c r="C6578" s="2"/>
      <c r="D6578" s="2"/>
    </row>
    <row r="6579" spans="1:4" ht="12.75" customHeight="1" x14ac:dyDescent="0.2">
      <c r="A6579" s="22" t="str">
        <f>HYPERLINK("javascript:void(0)","zászlós mágusölő")</f>
        <v>zászlós mágusölő</v>
      </c>
      <c r="B6579" s="21"/>
      <c r="C6579" s="21"/>
      <c r="D6579" s="21"/>
    </row>
    <row r="6580" spans="1:4" ht="12.75" customHeight="1" x14ac:dyDescent="0.2">
      <c r="A6580" s="20"/>
      <c r="B6580" s="2"/>
      <c r="C6580" s="2"/>
      <c r="D6580" s="2"/>
    </row>
    <row r="6581" spans="1:4" ht="12.75" customHeight="1" x14ac:dyDescent="0.2">
      <c r="A6581" s="21"/>
      <c r="B6581" s="3" t="s">
        <v>0</v>
      </c>
      <c r="C6581" s="20" t="s">
        <v>242</v>
      </c>
      <c r="D6581" s="21"/>
    </row>
    <row r="6582" spans="1:4" ht="12.75" customHeight="1" x14ac:dyDescent="0.2">
      <c r="A6582" s="21"/>
      <c r="B6582" s="3" t="s">
        <v>2</v>
      </c>
      <c r="C6582" s="20" t="s">
        <v>122</v>
      </c>
      <c r="D6582" s="21"/>
    </row>
    <row r="6583" spans="1:4" ht="12.75" customHeight="1" x14ac:dyDescent="0.2">
      <c r="A6583" s="21"/>
      <c r="B6583" s="3" t="s">
        <v>4</v>
      </c>
      <c r="C6583" s="20" t="s">
        <v>1705</v>
      </c>
      <c r="D6583" s="21"/>
    </row>
    <row r="6584" spans="1:4" ht="12.75" customHeight="1" x14ac:dyDescent="0.2">
      <c r="A6584" s="21"/>
      <c r="B6584" s="3" t="s">
        <v>6</v>
      </c>
      <c r="C6584" s="20" t="s">
        <v>100</v>
      </c>
      <c r="D6584" s="21"/>
    </row>
    <row r="6585" spans="1:4" ht="12.75" customHeight="1" x14ac:dyDescent="0.2">
      <c r="A6585" s="21"/>
      <c r="B6585" s="3" t="s">
        <v>8</v>
      </c>
      <c r="C6585" s="20" t="s">
        <v>1705</v>
      </c>
      <c r="D6585" s="21"/>
    </row>
    <row r="6586" spans="1:4" ht="12.75" customHeight="1" x14ac:dyDescent="0.2">
      <c r="A6586" s="21"/>
      <c r="B6586" s="3" t="s">
        <v>9</v>
      </c>
      <c r="C6586" s="20" t="s">
        <v>1307</v>
      </c>
      <c r="D6586" s="21"/>
    </row>
    <row r="6587" spans="1:4" ht="12.75" customHeight="1" x14ac:dyDescent="0.2">
      <c r="A6587" s="21"/>
      <c r="B6587" s="3" t="s">
        <v>11</v>
      </c>
      <c r="C6587" s="20" t="s">
        <v>1109</v>
      </c>
      <c r="D6587" s="21"/>
    </row>
    <row r="6588" spans="1:4" ht="12.75" customHeight="1" x14ac:dyDescent="0.2">
      <c r="A6588" s="21"/>
      <c r="B6588" s="3" t="s">
        <v>13</v>
      </c>
      <c r="C6588" s="20" t="s">
        <v>14</v>
      </c>
      <c r="D6588" s="21"/>
    </row>
    <row r="6589" spans="1:4" ht="12.75" customHeight="1" x14ac:dyDescent="0.2">
      <c r="A6589" s="21"/>
      <c r="B6589" s="3" t="s">
        <v>15</v>
      </c>
      <c r="C6589" s="20" t="s">
        <v>24</v>
      </c>
      <c r="D6589" s="21"/>
    </row>
    <row r="6590" spans="1:4" ht="12.75" customHeight="1" x14ac:dyDescent="0.2">
      <c r="A6590" s="21"/>
      <c r="B6590" s="3" t="s">
        <v>16</v>
      </c>
      <c r="C6590" s="20"/>
      <c r="D6590" s="21"/>
    </row>
    <row r="6591" spans="1:4" ht="12.75" customHeight="1" x14ac:dyDescent="0.2">
      <c r="A6591" s="21"/>
      <c r="B6591" s="3" t="s">
        <v>17</v>
      </c>
      <c r="C6591" s="20"/>
      <c r="D6591" s="21"/>
    </row>
    <row r="6592" spans="1:4" ht="12.75" customHeight="1" x14ac:dyDescent="0.2">
      <c r="A6592" s="21"/>
      <c r="B6592" s="20" t="s">
        <v>18</v>
      </c>
      <c r="C6592" s="4" t="s">
        <v>44</v>
      </c>
      <c r="D6592" s="6" t="str">
        <f>HYPERLINK("javascript:void(0)","feslett mágusölő")</f>
        <v>feslett mágusölő</v>
      </c>
    </row>
    <row r="6593" spans="1:4" ht="12.75" customHeight="1" x14ac:dyDescent="0.2">
      <c r="A6593" s="21"/>
      <c r="B6593" s="21"/>
      <c r="C6593" s="4" t="s">
        <v>77</v>
      </c>
      <c r="D6593" s="6" t="str">
        <f>HYPERLINK("javascript:void(0)","zászlóvászon")</f>
        <v>zászlóvászon</v>
      </c>
    </row>
    <row r="6594" spans="1:4" ht="12.75" customHeight="1" x14ac:dyDescent="0.2">
      <c r="A6594" s="21"/>
      <c r="B6594" s="21"/>
      <c r="C6594" s="4" t="s">
        <v>77</v>
      </c>
      <c r="D6594" s="6" t="str">
        <f>HYPERLINK("javascript:void(0)","exorcium draconum")</f>
        <v>exorcium draconum</v>
      </c>
    </row>
    <row r="6595" spans="1:4" ht="12.75" customHeight="1" x14ac:dyDescent="0.2">
      <c r="A6595" s="5"/>
      <c r="B6595" s="2"/>
      <c r="C6595" s="2"/>
      <c r="D6595" s="2"/>
    </row>
    <row r="6596" spans="1:4" ht="12.75" customHeight="1" x14ac:dyDescent="0.2">
      <c r="A6596" s="22" t="str">
        <f>HYPERLINK("javascript:void(0)","ráncsimító")</f>
        <v>ráncsimító</v>
      </c>
      <c r="B6596" s="21"/>
      <c r="C6596" s="21"/>
      <c r="D6596" s="21"/>
    </row>
    <row r="6597" spans="1:4" ht="12.75" customHeight="1" x14ac:dyDescent="0.2">
      <c r="A6597" s="20"/>
      <c r="B6597" s="2"/>
      <c r="C6597" s="2"/>
      <c r="D6597" s="2"/>
    </row>
    <row r="6598" spans="1:4" ht="12.75" customHeight="1" x14ac:dyDescent="0.2">
      <c r="A6598" s="21"/>
      <c r="B6598" s="3" t="s">
        <v>0</v>
      </c>
      <c r="C6598" s="20" t="s">
        <v>1308</v>
      </c>
      <c r="D6598" s="21"/>
    </row>
    <row r="6599" spans="1:4" ht="12.75" customHeight="1" x14ac:dyDescent="0.2">
      <c r="A6599" s="21"/>
      <c r="B6599" s="3" t="s">
        <v>2</v>
      </c>
      <c r="C6599" s="20" t="s">
        <v>122</v>
      </c>
      <c r="D6599" s="21"/>
    </row>
    <row r="6600" spans="1:4" ht="12.75" customHeight="1" x14ac:dyDescent="0.2">
      <c r="A6600" s="21"/>
      <c r="B6600" s="3" t="s">
        <v>4</v>
      </c>
      <c r="C6600" s="20" t="s">
        <v>1707</v>
      </c>
      <c r="D6600" s="21"/>
    </row>
    <row r="6601" spans="1:4" ht="12.75" customHeight="1" x14ac:dyDescent="0.2">
      <c r="A6601" s="21"/>
      <c r="B6601" s="3" t="s">
        <v>6</v>
      </c>
      <c r="C6601" s="20" t="s">
        <v>392</v>
      </c>
      <c r="D6601" s="21"/>
    </row>
    <row r="6602" spans="1:4" ht="12.75" customHeight="1" x14ac:dyDescent="0.2">
      <c r="A6602" s="21"/>
      <c r="B6602" s="3" t="s">
        <v>8</v>
      </c>
      <c r="C6602" s="20" t="s">
        <v>1707</v>
      </c>
      <c r="D6602" s="21"/>
    </row>
    <row r="6603" spans="1:4" ht="12.75" customHeight="1" x14ac:dyDescent="0.2">
      <c r="A6603" s="21"/>
      <c r="B6603" s="3" t="s">
        <v>9</v>
      </c>
      <c r="C6603" s="20" t="s">
        <v>1708</v>
      </c>
      <c r="D6603" s="21"/>
    </row>
    <row r="6604" spans="1:4" ht="12.75" customHeight="1" x14ac:dyDescent="0.2">
      <c r="A6604" s="21"/>
      <c r="B6604" s="3" t="s">
        <v>11</v>
      </c>
      <c r="C6604" s="20" t="s">
        <v>1059</v>
      </c>
      <c r="D6604" s="21"/>
    </row>
    <row r="6605" spans="1:4" ht="12.75" customHeight="1" x14ac:dyDescent="0.2">
      <c r="A6605" s="21"/>
      <c r="B6605" s="3" t="s">
        <v>13</v>
      </c>
      <c r="C6605" s="20" t="s">
        <v>24</v>
      </c>
      <c r="D6605" s="21"/>
    </row>
    <row r="6606" spans="1:4" ht="12.75" customHeight="1" x14ac:dyDescent="0.2">
      <c r="A6606" s="21"/>
      <c r="B6606" s="3" t="s">
        <v>15</v>
      </c>
      <c r="C6606" s="20" t="s">
        <v>24</v>
      </c>
      <c r="D6606" s="21"/>
    </row>
    <row r="6607" spans="1:4" ht="12.75" customHeight="1" x14ac:dyDescent="0.2">
      <c r="A6607" s="21"/>
      <c r="B6607" s="3" t="s">
        <v>16</v>
      </c>
      <c r="C6607" s="20"/>
      <c r="D6607" s="21"/>
    </row>
    <row r="6608" spans="1:4" ht="12.75" customHeight="1" x14ac:dyDescent="0.2">
      <c r="A6608" s="21"/>
      <c r="B6608" s="3" t="s">
        <v>17</v>
      </c>
      <c r="C6608" s="20"/>
      <c r="D6608" s="21"/>
    </row>
    <row r="6609" spans="1:4" ht="12.75" customHeight="1" x14ac:dyDescent="0.2">
      <c r="A6609" s="21"/>
      <c r="B6609" s="20" t="s">
        <v>18</v>
      </c>
      <c r="C6609" s="4" t="s">
        <v>44</v>
      </c>
      <c r="D6609" s="6" t="str">
        <f>HYPERLINK("javascript:void(0)","artini fagybunkó")</f>
        <v>artini fagybunkó</v>
      </c>
    </row>
    <row r="6610" spans="1:4" ht="12.75" customHeight="1" x14ac:dyDescent="0.2">
      <c r="A6610" s="21"/>
      <c r="B6610" s="21"/>
      <c r="C6610" s="4" t="s">
        <v>44</v>
      </c>
      <c r="D6610" s="6" t="str">
        <f>HYPERLINK("javascript:void(0)","arcképelő")</f>
        <v>arcképelő</v>
      </c>
    </row>
    <row r="6611" spans="1:4" ht="12.75" customHeight="1" x14ac:dyDescent="0.2">
      <c r="A6611" s="21"/>
      <c r="B6611" s="21"/>
      <c r="C6611" s="4" t="s">
        <v>196</v>
      </c>
      <c r="D6611" s="6" t="str">
        <f>HYPERLINK("javascript:void(0)","homlokránc")</f>
        <v>homlokránc</v>
      </c>
    </row>
    <row r="6612" spans="1:4" ht="12.75" customHeight="1" x14ac:dyDescent="0.2">
      <c r="A6612" s="5"/>
      <c r="B6612" s="2"/>
      <c r="C6612" s="2"/>
      <c r="D6612" s="2"/>
    </row>
    <row r="6613" spans="1:4" ht="12.75" customHeight="1" x14ac:dyDescent="0.2">
      <c r="A6613" s="22" t="str">
        <f>HYPERLINK("javascript:void(0)","agyaló")</f>
        <v>agyaló</v>
      </c>
      <c r="B6613" s="21"/>
      <c r="C6613" s="21"/>
      <c r="D6613" s="21"/>
    </row>
    <row r="6614" spans="1:4" ht="12.75" customHeight="1" x14ac:dyDescent="0.2">
      <c r="A6614" s="20"/>
      <c r="B6614" s="2"/>
      <c r="C6614" s="2"/>
      <c r="D6614" s="2"/>
    </row>
    <row r="6615" spans="1:4" ht="12.75" customHeight="1" x14ac:dyDescent="0.2">
      <c r="A6615" s="21"/>
      <c r="B6615" s="3" t="s">
        <v>0</v>
      </c>
      <c r="C6615" s="20" t="s">
        <v>361</v>
      </c>
      <c r="D6615" s="21"/>
    </row>
    <row r="6616" spans="1:4" ht="12.75" customHeight="1" x14ac:dyDescent="0.2">
      <c r="A6616" s="21"/>
      <c r="B6616" s="3" t="s">
        <v>2</v>
      </c>
      <c r="C6616" s="20" t="s">
        <v>122</v>
      </c>
      <c r="D6616" s="21"/>
    </row>
    <row r="6617" spans="1:4" ht="12.75" customHeight="1" x14ac:dyDescent="0.2">
      <c r="A6617" s="21"/>
      <c r="B6617" s="3" t="s">
        <v>4</v>
      </c>
      <c r="C6617" s="20" t="s">
        <v>1710</v>
      </c>
      <c r="D6617" s="21"/>
    </row>
    <row r="6618" spans="1:4" ht="12.75" customHeight="1" x14ac:dyDescent="0.2">
      <c r="A6618" s="21"/>
      <c r="B6618" s="3" t="s">
        <v>6</v>
      </c>
      <c r="C6618" s="20" t="s">
        <v>298</v>
      </c>
      <c r="D6618" s="21"/>
    </row>
    <row r="6619" spans="1:4" ht="12.75" customHeight="1" x14ac:dyDescent="0.2">
      <c r="A6619" s="21"/>
      <c r="B6619" s="3" t="s">
        <v>8</v>
      </c>
      <c r="C6619" s="20" t="s">
        <v>1710</v>
      </c>
      <c r="D6619" s="21"/>
    </row>
    <row r="6620" spans="1:4" ht="12.75" customHeight="1" x14ac:dyDescent="0.2">
      <c r="A6620" s="21"/>
      <c r="B6620" s="3" t="s">
        <v>9</v>
      </c>
      <c r="C6620" s="20" t="s">
        <v>1711</v>
      </c>
      <c r="D6620" s="21"/>
    </row>
    <row r="6621" spans="1:4" ht="12.75" customHeight="1" x14ac:dyDescent="0.2">
      <c r="A6621" s="21"/>
      <c r="B6621" s="3" t="s">
        <v>11</v>
      </c>
      <c r="C6621" s="20" t="s">
        <v>1066</v>
      </c>
      <c r="D6621" s="21"/>
    </row>
    <row r="6622" spans="1:4" ht="12.75" customHeight="1" x14ac:dyDescent="0.2">
      <c r="A6622" s="21"/>
      <c r="B6622" s="3" t="s">
        <v>13</v>
      </c>
      <c r="C6622" s="20" t="s">
        <v>24</v>
      </c>
      <c r="D6622" s="21"/>
    </row>
    <row r="6623" spans="1:4" ht="12.75" customHeight="1" x14ac:dyDescent="0.2">
      <c r="A6623" s="21"/>
      <c r="B6623" s="3" t="s">
        <v>15</v>
      </c>
      <c r="C6623" s="20" t="s">
        <v>24</v>
      </c>
      <c r="D6623" s="21"/>
    </row>
    <row r="6624" spans="1:4" ht="12.75" customHeight="1" x14ac:dyDescent="0.2">
      <c r="A6624" s="21"/>
      <c r="B6624" s="3" t="s">
        <v>16</v>
      </c>
      <c r="C6624" s="20"/>
      <c r="D6624" s="21"/>
    </row>
    <row r="6625" spans="1:4" ht="12.75" customHeight="1" x14ac:dyDescent="0.2">
      <c r="A6625" s="21"/>
      <c r="B6625" s="3" t="s">
        <v>17</v>
      </c>
      <c r="C6625" s="20"/>
      <c r="D6625" s="21"/>
    </row>
    <row r="6626" spans="1:4" ht="12.75" customHeight="1" x14ac:dyDescent="0.2">
      <c r="A6626" s="21"/>
      <c r="B6626" s="20" t="s">
        <v>18</v>
      </c>
      <c r="C6626" s="4" t="s">
        <v>44</v>
      </c>
      <c r="D6626" s="6" t="str">
        <f>HYPERLINK("javascript:void(0)","ráncsimító")</f>
        <v>ráncsimító</v>
      </c>
    </row>
    <row r="6627" spans="1:4" ht="12.75" customHeight="1" x14ac:dyDescent="0.2">
      <c r="A6627" s="21"/>
      <c r="B6627" s="21"/>
      <c r="C6627" s="4" t="s">
        <v>142</v>
      </c>
      <c r="D6627" s="6" t="str">
        <f>HYPERLINK("javascript:void(0)","agydúc")</f>
        <v>agydúc</v>
      </c>
    </row>
    <row r="6628" spans="1:4" ht="12.75" customHeight="1" x14ac:dyDescent="0.2">
      <c r="A6628" s="21"/>
      <c r="B6628" s="21"/>
      <c r="C6628" s="4" t="s">
        <v>196</v>
      </c>
      <c r="D6628" s="6" t="str">
        <f>HYPERLINK("javascript:void(0)","holtprizma")</f>
        <v>holtprizma</v>
      </c>
    </row>
    <row r="6629" spans="1:4" ht="12.75" customHeight="1" x14ac:dyDescent="0.2">
      <c r="A6629" s="5"/>
      <c r="B6629" s="2"/>
      <c r="C6629" s="2"/>
      <c r="D6629" s="2"/>
    </row>
    <row r="6630" spans="1:4" ht="12.75" customHeight="1" x14ac:dyDescent="0.2">
      <c r="A6630" s="22" t="str">
        <f>HYPERLINK("javascript:void(0)","bolondos mágusölő")</f>
        <v>bolondos mágusölő</v>
      </c>
      <c r="B6630" s="21"/>
      <c r="C6630" s="21"/>
      <c r="D6630" s="21"/>
    </row>
    <row r="6631" spans="1:4" ht="12.75" customHeight="1" x14ac:dyDescent="0.2">
      <c r="A6631" s="20"/>
      <c r="B6631" s="2"/>
      <c r="C6631" s="2"/>
      <c r="D6631" s="2"/>
    </row>
    <row r="6632" spans="1:4" ht="12.75" customHeight="1" x14ac:dyDescent="0.2">
      <c r="A6632" s="21"/>
      <c r="B6632" s="3" t="s">
        <v>0</v>
      </c>
      <c r="C6632" s="20" t="s">
        <v>361</v>
      </c>
      <c r="D6632" s="21"/>
    </row>
    <row r="6633" spans="1:4" ht="12.75" customHeight="1" x14ac:dyDescent="0.2">
      <c r="A6633" s="21"/>
      <c r="B6633" s="3" t="s">
        <v>2</v>
      </c>
      <c r="C6633" s="20" t="s">
        <v>122</v>
      </c>
      <c r="D6633" s="21"/>
    </row>
    <row r="6634" spans="1:4" ht="12.75" customHeight="1" x14ac:dyDescent="0.2">
      <c r="A6634" s="21"/>
      <c r="B6634" s="3" t="s">
        <v>4</v>
      </c>
      <c r="C6634" s="20" t="s">
        <v>1713</v>
      </c>
      <c r="D6634" s="21"/>
    </row>
    <row r="6635" spans="1:4" ht="12.75" customHeight="1" x14ac:dyDescent="0.2">
      <c r="A6635" s="21"/>
      <c r="B6635" s="3" t="s">
        <v>6</v>
      </c>
      <c r="C6635" s="20" t="s">
        <v>206</v>
      </c>
      <c r="D6635" s="21"/>
    </row>
    <row r="6636" spans="1:4" ht="12.75" customHeight="1" x14ac:dyDescent="0.2">
      <c r="A6636" s="21"/>
      <c r="B6636" s="3" t="s">
        <v>8</v>
      </c>
      <c r="C6636" s="20" t="s">
        <v>1713</v>
      </c>
      <c r="D6636" s="21"/>
    </row>
    <row r="6637" spans="1:4" ht="12.75" customHeight="1" x14ac:dyDescent="0.2">
      <c r="A6637" s="21"/>
      <c r="B6637" s="3" t="s">
        <v>9</v>
      </c>
      <c r="C6637" s="20" t="s">
        <v>658</v>
      </c>
      <c r="D6637" s="21"/>
    </row>
    <row r="6638" spans="1:4" ht="12.75" customHeight="1" x14ac:dyDescent="0.2">
      <c r="A6638" s="21"/>
      <c r="B6638" s="3" t="s">
        <v>11</v>
      </c>
      <c r="C6638" s="20" t="s">
        <v>1121</v>
      </c>
      <c r="D6638" s="21"/>
    </row>
    <row r="6639" spans="1:4" ht="12.75" customHeight="1" x14ac:dyDescent="0.2">
      <c r="A6639" s="21"/>
      <c r="B6639" s="3" t="s">
        <v>13</v>
      </c>
      <c r="C6639" s="20" t="s">
        <v>14</v>
      </c>
      <c r="D6639" s="21"/>
    </row>
    <row r="6640" spans="1:4" ht="12.75" customHeight="1" x14ac:dyDescent="0.2">
      <c r="A6640" s="21"/>
      <c r="B6640" s="3" t="s">
        <v>15</v>
      </c>
      <c r="C6640" s="20" t="s">
        <v>24</v>
      </c>
      <c r="D6640" s="21"/>
    </row>
    <row r="6641" spans="1:4" ht="12.75" customHeight="1" x14ac:dyDescent="0.2">
      <c r="A6641" s="21"/>
      <c r="B6641" s="3" t="s">
        <v>16</v>
      </c>
      <c r="C6641" s="20"/>
      <c r="D6641" s="21"/>
    </row>
    <row r="6642" spans="1:4" ht="12.75" customHeight="1" x14ac:dyDescent="0.2">
      <c r="A6642" s="21"/>
      <c r="B6642" s="3" t="s">
        <v>17</v>
      </c>
      <c r="C6642" s="20"/>
      <c r="D6642" s="21"/>
    </row>
    <row r="6643" spans="1:4" ht="12.75" customHeight="1" x14ac:dyDescent="0.2">
      <c r="A6643" s="21"/>
      <c r="B6643" s="20" t="s">
        <v>18</v>
      </c>
      <c r="C6643" s="4" t="s">
        <v>44</v>
      </c>
      <c r="D6643" s="6" t="str">
        <f>HYPERLINK("javascript:void(0)","zsigerelő mágusölő")</f>
        <v>zsigerelő mágusölő</v>
      </c>
    </row>
    <row r="6644" spans="1:4" ht="12.75" customHeight="1" x14ac:dyDescent="0.2">
      <c r="A6644" s="21"/>
      <c r="B6644" s="21"/>
      <c r="C6644" s="4" t="s">
        <v>68</v>
      </c>
      <c r="D6644" s="6" t="str">
        <f>HYPERLINK("javascript:void(0)","bolondgomba")</f>
        <v>bolondgomba</v>
      </c>
    </row>
    <row r="6645" spans="1:4" ht="12.75" customHeight="1" x14ac:dyDescent="0.2">
      <c r="A6645" s="21"/>
      <c r="B6645" s="21"/>
      <c r="C6645" s="4" t="s">
        <v>77</v>
      </c>
      <c r="D6645" s="6" t="str">
        <f>HYPERLINK("javascript:void(0)","haszontalanság")</f>
        <v>haszontalanság</v>
      </c>
    </row>
    <row r="6646" spans="1:4" ht="12.75" customHeight="1" x14ac:dyDescent="0.2">
      <c r="A6646" s="5"/>
      <c r="B6646" s="2"/>
      <c r="C6646" s="2"/>
      <c r="D6646" s="2"/>
    </row>
    <row r="6647" spans="1:4" ht="12.75" customHeight="1" x14ac:dyDescent="0.2">
      <c r="A6647" s="22" t="str">
        <f>HYPERLINK("javascript:void(0)","tükörzúzó")</f>
        <v>tükörzúzó</v>
      </c>
      <c r="B6647" s="21"/>
      <c r="C6647" s="21"/>
      <c r="D6647" s="21"/>
    </row>
    <row r="6648" spans="1:4" ht="12.75" customHeight="1" x14ac:dyDescent="0.2">
      <c r="A6648" s="20"/>
      <c r="B6648" s="2"/>
      <c r="C6648" s="2"/>
      <c r="D6648" s="2"/>
    </row>
    <row r="6649" spans="1:4" ht="12.75" customHeight="1" x14ac:dyDescent="0.2">
      <c r="A6649" s="21"/>
      <c r="B6649" s="3" t="s">
        <v>0</v>
      </c>
      <c r="C6649" s="20" t="s">
        <v>1322</v>
      </c>
      <c r="D6649" s="21"/>
    </row>
    <row r="6650" spans="1:4" ht="12.75" customHeight="1" x14ac:dyDescent="0.2">
      <c r="A6650" s="21"/>
      <c r="B6650" s="3" t="s">
        <v>2</v>
      </c>
      <c r="C6650" s="20" t="s">
        <v>122</v>
      </c>
      <c r="D6650" s="21"/>
    </row>
    <row r="6651" spans="1:4" ht="12.75" customHeight="1" x14ac:dyDescent="0.2">
      <c r="A6651" s="21"/>
      <c r="B6651" s="3" t="s">
        <v>4</v>
      </c>
      <c r="C6651" s="20" t="s">
        <v>1714</v>
      </c>
      <c r="D6651" s="21"/>
    </row>
    <row r="6652" spans="1:4" ht="12.75" customHeight="1" x14ac:dyDescent="0.2">
      <c r="A6652" s="21"/>
      <c r="B6652" s="3" t="s">
        <v>6</v>
      </c>
      <c r="C6652" s="20" t="s">
        <v>206</v>
      </c>
      <c r="D6652" s="21"/>
    </row>
    <row r="6653" spans="1:4" ht="12.75" customHeight="1" x14ac:dyDescent="0.2">
      <c r="A6653" s="21"/>
      <c r="B6653" s="3" t="s">
        <v>8</v>
      </c>
      <c r="C6653" s="20" t="s">
        <v>1714</v>
      </c>
      <c r="D6653" s="21"/>
    </row>
    <row r="6654" spans="1:4" ht="12.75" customHeight="1" x14ac:dyDescent="0.2">
      <c r="A6654" s="21"/>
      <c r="B6654" s="3" t="s">
        <v>9</v>
      </c>
      <c r="C6654" s="20" t="s">
        <v>1715</v>
      </c>
      <c r="D6654" s="21"/>
    </row>
    <row r="6655" spans="1:4" ht="12.75" customHeight="1" x14ac:dyDescent="0.2">
      <c r="A6655" s="21"/>
      <c r="B6655" s="3" t="s">
        <v>11</v>
      </c>
      <c r="C6655" s="20" t="s">
        <v>1334</v>
      </c>
      <c r="D6655" s="21"/>
    </row>
    <row r="6656" spans="1:4" ht="12.75" customHeight="1" x14ac:dyDescent="0.2">
      <c r="A6656" s="21"/>
      <c r="B6656" s="3" t="s">
        <v>13</v>
      </c>
      <c r="C6656" s="20" t="s">
        <v>24</v>
      </c>
      <c r="D6656" s="21"/>
    </row>
    <row r="6657" spans="1:4" ht="12.75" customHeight="1" x14ac:dyDescent="0.2">
      <c r="A6657" s="21"/>
      <c r="B6657" s="3" t="s">
        <v>15</v>
      </c>
      <c r="C6657" s="20" t="s">
        <v>24</v>
      </c>
      <c r="D6657" s="21"/>
    </row>
    <row r="6658" spans="1:4" ht="12.75" customHeight="1" x14ac:dyDescent="0.2">
      <c r="A6658" s="21"/>
      <c r="B6658" s="3" t="s">
        <v>16</v>
      </c>
      <c r="C6658" s="20"/>
      <c r="D6658" s="21"/>
    </row>
    <row r="6659" spans="1:4" ht="12.75" customHeight="1" x14ac:dyDescent="0.2">
      <c r="A6659" s="21"/>
      <c r="B6659" s="3" t="s">
        <v>17</v>
      </c>
      <c r="C6659" s="20"/>
      <c r="D6659" s="21"/>
    </row>
    <row r="6660" spans="1:4" ht="12.75" customHeight="1" x14ac:dyDescent="0.2">
      <c r="A6660" s="21"/>
      <c r="B6660" s="20" t="s">
        <v>18</v>
      </c>
      <c r="C6660" s="4" t="s">
        <v>117</v>
      </c>
      <c r="D6660" s="6" t="str">
        <f>HYPERLINK("javascript:void(0)","regnum")</f>
        <v>regnum</v>
      </c>
    </row>
    <row r="6661" spans="1:4" ht="12.75" customHeight="1" x14ac:dyDescent="0.2">
      <c r="A6661" s="21"/>
      <c r="B6661" s="21"/>
      <c r="C6661" s="4" t="s">
        <v>68</v>
      </c>
      <c r="D6661" s="6" t="str">
        <f>HYPERLINK("javascript:void(0)","vérüreg")</f>
        <v>vérüreg</v>
      </c>
    </row>
    <row r="6662" spans="1:4" ht="12.75" customHeight="1" x14ac:dyDescent="0.2">
      <c r="A6662" s="21"/>
      <c r="B6662" s="21"/>
      <c r="C6662" s="4" t="s">
        <v>196</v>
      </c>
      <c r="D6662" s="6" t="str">
        <f>HYPERLINK("javascript:void(0)","kopoltyú")</f>
        <v>kopoltyú</v>
      </c>
    </row>
    <row r="6663" spans="1:4" ht="12.75" customHeight="1" x14ac:dyDescent="0.2">
      <c r="A6663" s="5"/>
      <c r="B6663" s="2"/>
      <c r="C6663" s="2"/>
      <c r="D6663" s="2"/>
    </row>
    <row r="6664" spans="1:4" ht="12.75" customHeight="1" x14ac:dyDescent="0.2">
      <c r="A6664" s="22" t="str">
        <f>HYPERLINK("javascript:void(0)","bíborbuzogány")</f>
        <v>bíborbuzogány</v>
      </c>
      <c r="B6664" s="21"/>
      <c r="C6664" s="21"/>
      <c r="D6664" s="21"/>
    </row>
    <row r="6665" spans="1:4" ht="12.75" customHeight="1" x14ac:dyDescent="0.2">
      <c r="A6665" s="20"/>
      <c r="B6665" s="2"/>
      <c r="C6665" s="2"/>
      <c r="D6665" s="2"/>
    </row>
    <row r="6666" spans="1:4" ht="12.75" customHeight="1" x14ac:dyDescent="0.2">
      <c r="A6666" s="21"/>
      <c r="B6666" s="3" t="s">
        <v>0</v>
      </c>
      <c r="C6666" s="20" t="s">
        <v>371</v>
      </c>
      <c r="D6666" s="21"/>
    </row>
    <row r="6667" spans="1:4" ht="12.75" customHeight="1" x14ac:dyDescent="0.2">
      <c r="A6667" s="21"/>
      <c r="B6667" s="3" t="s">
        <v>2</v>
      </c>
      <c r="C6667" s="20" t="s">
        <v>122</v>
      </c>
      <c r="D6667" s="21"/>
    </row>
    <row r="6668" spans="1:4" ht="12.75" customHeight="1" x14ac:dyDescent="0.2">
      <c r="A6668" s="21"/>
      <c r="B6668" s="3" t="s">
        <v>4</v>
      </c>
      <c r="C6668" s="20" t="s">
        <v>1719</v>
      </c>
      <c r="D6668" s="21"/>
    </row>
    <row r="6669" spans="1:4" ht="12.75" customHeight="1" x14ac:dyDescent="0.2">
      <c r="A6669" s="21"/>
      <c r="B6669" s="3" t="s">
        <v>6</v>
      </c>
      <c r="C6669" s="20" t="s">
        <v>291</v>
      </c>
      <c r="D6669" s="21"/>
    </row>
    <row r="6670" spans="1:4" ht="12.75" customHeight="1" x14ac:dyDescent="0.2">
      <c r="A6670" s="21"/>
      <c r="B6670" s="3" t="s">
        <v>8</v>
      </c>
      <c r="C6670" s="20" t="s">
        <v>1719</v>
      </c>
      <c r="D6670" s="21"/>
    </row>
    <row r="6671" spans="1:4" ht="12.75" customHeight="1" x14ac:dyDescent="0.2">
      <c r="A6671" s="21"/>
      <c r="B6671" s="3" t="s">
        <v>9</v>
      </c>
      <c r="C6671" s="20" t="s">
        <v>478</v>
      </c>
      <c r="D6671" s="21"/>
    </row>
    <row r="6672" spans="1:4" ht="12.75" customHeight="1" x14ac:dyDescent="0.2">
      <c r="A6672" s="21"/>
      <c r="B6672" s="3" t="s">
        <v>11</v>
      </c>
      <c r="C6672" s="20" t="s">
        <v>1075</v>
      </c>
      <c r="D6672" s="21"/>
    </row>
    <row r="6673" spans="1:4" ht="12.75" customHeight="1" x14ac:dyDescent="0.2">
      <c r="A6673" s="21"/>
      <c r="B6673" s="3" t="s">
        <v>13</v>
      </c>
      <c r="C6673" s="20" t="s">
        <v>24</v>
      </c>
      <c r="D6673" s="21"/>
    </row>
    <row r="6674" spans="1:4" ht="12.75" customHeight="1" x14ac:dyDescent="0.2">
      <c r="A6674" s="21"/>
      <c r="B6674" s="3" t="s">
        <v>15</v>
      </c>
      <c r="C6674" s="20" t="s">
        <v>24</v>
      </c>
      <c r="D6674" s="21"/>
    </row>
    <row r="6675" spans="1:4" ht="12.75" customHeight="1" x14ac:dyDescent="0.2">
      <c r="A6675" s="21"/>
      <c r="B6675" s="3" t="s">
        <v>16</v>
      </c>
      <c r="C6675" s="20"/>
      <c r="D6675" s="21"/>
    </row>
    <row r="6676" spans="1:4" ht="12.75" customHeight="1" x14ac:dyDescent="0.2">
      <c r="A6676" s="21"/>
      <c r="B6676" s="3" t="s">
        <v>17</v>
      </c>
      <c r="C6676" s="20"/>
      <c r="D6676" s="21"/>
    </row>
    <row r="6677" spans="1:4" ht="12.75" customHeight="1" x14ac:dyDescent="0.2">
      <c r="A6677" s="21"/>
      <c r="B6677" s="20" t="s">
        <v>18</v>
      </c>
      <c r="C6677" s="4" t="s">
        <v>44</v>
      </c>
      <c r="D6677" s="6" t="str">
        <f>HYPERLINK("javascript:void(0)","tükörzúzó")</f>
        <v>tükörzúzó</v>
      </c>
    </row>
    <row r="6678" spans="1:4" ht="12.75" customHeight="1" x14ac:dyDescent="0.2">
      <c r="A6678" s="21"/>
      <c r="B6678" s="21"/>
      <c r="C6678" s="4" t="s">
        <v>68</v>
      </c>
      <c r="D6678" s="6" t="str">
        <f>HYPERLINK("javascript:void(0)","életelixír")</f>
        <v>életelixír</v>
      </c>
    </row>
    <row r="6679" spans="1:4" ht="12.75" customHeight="1" x14ac:dyDescent="0.2">
      <c r="A6679" s="21"/>
      <c r="B6679" s="21"/>
      <c r="C6679" s="4" t="s">
        <v>331</v>
      </c>
      <c r="D6679" s="6" t="str">
        <f>HYPERLINK("javascript:void(0)","tükörgömb")</f>
        <v>tükörgömb</v>
      </c>
    </row>
    <row r="6680" spans="1:4" ht="12.75" customHeight="1" x14ac:dyDescent="0.2">
      <c r="A6680" s="5"/>
      <c r="B6680" s="2"/>
      <c r="C6680" s="2"/>
      <c r="D6680" s="2"/>
    </row>
    <row r="6681" spans="1:4" ht="12.75" customHeight="1" x14ac:dyDescent="0.2">
      <c r="A6681" s="22" t="str">
        <f>HYPERLINK("javascript:void(0)","bíbor mágusölő")</f>
        <v>bíbor mágusölő</v>
      </c>
      <c r="B6681" s="21"/>
      <c r="C6681" s="21"/>
      <c r="D6681" s="21"/>
    </row>
    <row r="6682" spans="1:4" ht="12.75" customHeight="1" x14ac:dyDescent="0.2">
      <c r="A6682" s="20"/>
      <c r="B6682" s="2"/>
      <c r="C6682" s="2"/>
      <c r="D6682" s="2"/>
    </row>
    <row r="6683" spans="1:4" ht="12.75" customHeight="1" x14ac:dyDescent="0.2">
      <c r="A6683" s="21"/>
      <c r="B6683" s="3" t="s">
        <v>0</v>
      </c>
      <c r="C6683" s="20" t="s">
        <v>371</v>
      </c>
      <c r="D6683" s="21"/>
    </row>
    <row r="6684" spans="1:4" ht="12.75" customHeight="1" x14ac:dyDescent="0.2">
      <c r="A6684" s="21"/>
      <c r="B6684" s="3" t="s">
        <v>2</v>
      </c>
      <c r="C6684" s="20" t="s">
        <v>122</v>
      </c>
      <c r="D6684" s="21"/>
    </row>
    <row r="6685" spans="1:4" ht="12.75" customHeight="1" x14ac:dyDescent="0.2">
      <c r="A6685" s="21"/>
      <c r="B6685" s="3" t="s">
        <v>4</v>
      </c>
      <c r="C6685" s="20" t="s">
        <v>1721</v>
      </c>
      <c r="D6685" s="21"/>
    </row>
    <row r="6686" spans="1:4" ht="12.75" customHeight="1" x14ac:dyDescent="0.2">
      <c r="A6686" s="21"/>
      <c r="B6686" s="3" t="s">
        <v>6</v>
      </c>
      <c r="C6686" s="20" t="s">
        <v>33</v>
      </c>
      <c r="D6686" s="21"/>
    </row>
    <row r="6687" spans="1:4" ht="12.75" customHeight="1" x14ac:dyDescent="0.2">
      <c r="A6687" s="21"/>
      <c r="B6687" s="3" t="s">
        <v>8</v>
      </c>
      <c r="C6687" s="20" t="s">
        <v>1721</v>
      </c>
      <c r="D6687" s="21"/>
    </row>
    <row r="6688" spans="1:4" ht="12.75" customHeight="1" x14ac:dyDescent="0.2">
      <c r="A6688" s="21"/>
      <c r="B6688" s="3" t="s">
        <v>9</v>
      </c>
      <c r="C6688" s="20" t="s">
        <v>1722</v>
      </c>
      <c r="D6688" s="21"/>
    </row>
    <row r="6689" spans="1:4" ht="12.75" customHeight="1" x14ac:dyDescent="0.2">
      <c r="A6689" s="21"/>
      <c r="B6689" s="3" t="s">
        <v>11</v>
      </c>
      <c r="C6689" s="20" t="s">
        <v>1131</v>
      </c>
      <c r="D6689" s="21"/>
    </row>
    <row r="6690" spans="1:4" ht="12.75" customHeight="1" x14ac:dyDescent="0.2">
      <c r="A6690" s="21"/>
      <c r="B6690" s="3" t="s">
        <v>13</v>
      </c>
      <c r="C6690" s="20" t="s">
        <v>14</v>
      </c>
      <c r="D6690" s="21"/>
    </row>
    <row r="6691" spans="1:4" ht="12.75" customHeight="1" x14ac:dyDescent="0.2">
      <c r="A6691" s="21"/>
      <c r="B6691" s="3" t="s">
        <v>15</v>
      </c>
      <c r="C6691" s="20" t="s">
        <v>24</v>
      </c>
      <c r="D6691" s="21"/>
    </row>
    <row r="6692" spans="1:4" ht="12.75" customHeight="1" x14ac:dyDescent="0.2">
      <c r="A6692" s="21"/>
      <c r="B6692" s="3" t="s">
        <v>16</v>
      </c>
      <c r="C6692" s="20"/>
      <c r="D6692" s="21"/>
    </row>
    <row r="6693" spans="1:4" ht="12.75" customHeight="1" x14ac:dyDescent="0.2">
      <c r="A6693" s="21"/>
      <c r="B6693" s="3" t="s">
        <v>17</v>
      </c>
      <c r="C6693" s="20"/>
      <c r="D6693" s="21"/>
    </row>
    <row r="6694" spans="1:4" ht="12.75" customHeight="1" x14ac:dyDescent="0.2">
      <c r="A6694" s="21"/>
      <c r="B6694" s="20" t="s">
        <v>18</v>
      </c>
      <c r="C6694" s="4" t="s">
        <v>44</v>
      </c>
      <c r="D6694" s="6" t="str">
        <f>HYPERLINK("javascript:void(0)","férges mágusölő")</f>
        <v>férges mágusölő</v>
      </c>
    </row>
    <row r="6695" spans="1:4" ht="12.75" customHeight="1" x14ac:dyDescent="0.2">
      <c r="A6695" s="21"/>
      <c r="B6695" s="21"/>
      <c r="C6695" s="4" t="s">
        <v>232</v>
      </c>
      <c r="D6695" s="6" t="str">
        <f>HYPERLINK("javascript:void(0)","lidérc érc")</f>
        <v>lidérc érc</v>
      </c>
    </row>
    <row r="6696" spans="1:4" ht="12.75" customHeight="1" x14ac:dyDescent="0.2">
      <c r="A6696" s="21"/>
      <c r="B6696" s="21"/>
      <c r="C6696" s="4" t="s">
        <v>196</v>
      </c>
      <c r="D6696" s="6" t="str">
        <f>HYPERLINK("javascript:void(0)","életelixír")</f>
        <v>életelixír</v>
      </c>
    </row>
    <row r="6697" spans="1:4" ht="12.75" customHeight="1" x14ac:dyDescent="0.2">
      <c r="A6697" s="5"/>
      <c r="B6697" s="2"/>
      <c r="C6697" s="2"/>
      <c r="D6697" s="2"/>
    </row>
    <row r="6698" spans="1:4" ht="12.75" customHeight="1" x14ac:dyDescent="0.2">
      <c r="A6698" s="22" t="str">
        <f>HYPERLINK("javascript:void(0)","tejacél buzogány")</f>
        <v>tejacél buzogány</v>
      </c>
      <c r="B6698" s="21"/>
      <c r="C6698" s="21"/>
      <c r="D6698" s="21"/>
    </row>
    <row r="6699" spans="1:4" ht="12.75" customHeight="1" x14ac:dyDescent="0.2">
      <c r="A6699" s="20"/>
      <c r="B6699" s="2"/>
      <c r="C6699" s="2"/>
      <c r="D6699" s="2"/>
    </row>
    <row r="6700" spans="1:4" ht="12.75" customHeight="1" x14ac:dyDescent="0.2">
      <c r="A6700" s="21"/>
      <c r="B6700" s="3" t="s">
        <v>0</v>
      </c>
      <c r="C6700" s="20" t="s">
        <v>1342</v>
      </c>
      <c r="D6700" s="21"/>
    </row>
    <row r="6701" spans="1:4" ht="12.75" customHeight="1" x14ac:dyDescent="0.2">
      <c r="A6701" s="21"/>
      <c r="B6701" s="3" t="s">
        <v>2</v>
      </c>
      <c r="C6701" s="20" t="s">
        <v>122</v>
      </c>
      <c r="D6701" s="21"/>
    </row>
    <row r="6702" spans="1:4" ht="12.75" customHeight="1" x14ac:dyDescent="0.2">
      <c r="A6702" s="21"/>
      <c r="B6702" s="3" t="s">
        <v>4</v>
      </c>
      <c r="C6702" s="20" t="s">
        <v>1725</v>
      </c>
      <c r="D6702" s="21"/>
    </row>
    <row r="6703" spans="1:4" ht="12.75" customHeight="1" x14ac:dyDescent="0.2">
      <c r="A6703" s="21"/>
      <c r="B6703" s="3" t="s">
        <v>6</v>
      </c>
      <c r="C6703" s="20" t="s">
        <v>260</v>
      </c>
      <c r="D6703" s="21"/>
    </row>
    <row r="6704" spans="1:4" ht="12.75" customHeight="1" x14ac:dyDescent="0.2">
      <c r="A6704" s="21"/>
      <c r="B6704" s="3" t="s">
        <v>8</v>
      </c>
      <c r="C6704" s="20" t="s">
        <v>1725</v>
      </c>
      <c r="D6704" s="21"/>
    </row>
    <row r="6705" spans="1:4" ht="12.75" customHeight="1" x14ac:dyDescent="0.2">
      <c r="A6705" s="21"/>
      <c r="B6705" s="3" t="s">
        <v>9</v>
      </c>
      <c r="C6705" s="20" t="s">
        <v>1726</v>
      </c>
      <c r="D6705" s="21"/>
    </row>
    <row r="6706" spans="1:4" ht="12.75" customHeight="1" x14ac:dyDescent="0.2">
      <c r="A6706" s="21"/>
      <c r="B6706" s="3" t="s">
        <v>11</v>
      </c>
      <c r="C6706" s="20" t="s">
        <v>1101</v>
      </c>
      <c r="D6706" s="21"/>
    </row>
    <row r="6707" spans="1:4" ht="12.75" customHeight="1" x14ac:dyDescent="0.2">
      <c r="A6707" s="21"/>
      <c r="B6707" s="3" t="s">
        <v>13</v>
      </c>
      <c r="C6707" s="20" t="s">
        <v>24</v>
      </c>
      <c r="D6707" s="21"/>
    </row>
    <row r="6708" spans="1:4" ht="12.75" customHeight="1" x14ac:dyDescent="0.2">
      <c r="A6708" s="21"/>
      <c r="B6708" s="3" t="s">
        <v>15</v>
      </c>
      <c r="C6708" s="20" t="s">
        <v>24</v>
      </c>
      <c r="D6708" s="21"/>
    </row>
    <row r="6709" spans="1:4" ht="12.75" customHeight="1" x14ac:dyDescent="0.2">
      <c r="A6709" s="21"/>
      <c r="B6709" s="3" t="s">
        <v>16</v>
      </c>
      <c r="C6709" s="20"/>
      <c r="D6709" s="21"/>
    </row>
    <row r="6710" spans="1:4" ht="12.75" customHeight="1" x14ac:dyDescent="0.2">
      <c r="A6710" s="21"/>
      <c r="B6710" s="3" t="s">
        <v>17</v>
      </c>
      <c r="C6710" s="20"/>
      <c r="D6710" s="21"/>
    </row>
    <row r="6711" spans="1:4" ht="12.75" customHeight="1" x14ac:dyDescent="0.2">
      <c r="A6711" s="21"/>
      <c r="B6711" s="20" t="s">
        <v>18</v>
      </c>
      <c r="C6711" s="4" t="s">
        <v>44</v>
      </c>
      <c r="D6711" s="6" t="str">
        <f>HYPERLINK("javascript:void(0)","bíborbuzogány")</f>
        <v>bíborbuzogány</v>
      </c>
    </row>
    <row r="6712" spans="1:4" ht="12.75" customHeight="1" x14ac:dyDescent="0.2">
      <c r="A6712" s="21"/>
      <c r="B6712" s="21"/>
      <c r="C6712" s="4" t="s">
        <v>68</v>
      </c>
      <c r="D6712" s="6" t="str">
        <f>HYPERLINK("javascript:void(0)","tejbeaprítás")</f>
        <v>tejbeaprítás</v>
      </c>
    </row>
    <row r="6713" spans="1:4" ht="12.75" customHeight="1" x14ac:dyDescent="0.2">
      <c r="A6713" s="21"/>
      <c r="B6713" s="21"/>
      <c r="C6713" s="4" t="s">
        <v>228</v>
      </c>
      <c r="D6713" s="6" t="str">
        <f>HYPERLINK("javascript:void(0)","pálha")</f>
        <v>pálha</v>
      </c>
    </row>
    <row r="6714" spans="1:4" ht="12.75" customHeight="1" x14ac:dyDescent="0.2">
      <c r="A6714" s="5"/>
      <c r="B6714" s="2"/>
      <c r="C6714" s="2"/>
      <c r="D6714" s="2"/>
    </row>
    <row r="6715" spans="1:4" ht="12.75" customHeight="1" x14ac:dyDescent="0.2">
      <c r="A6715" s="22" t="str">
        <f>HYPERLINK("javascript:void(0)","árnybuzogány")</f>
        <v>árnybuzogány</v>
      </c>
      <c r="B6715" s="21"/>
      <c r="C6715" s="21"/>
      <c r="D6715" s="21"/>
    </row>
    <row r="6716" spans="1:4" ht="12.75" customHeight="1" x14ac:dyDescent="0.2">
      <c r="A6716" s="20"/>
      <c r="B6716" s="2"/>
      <c r="C6716" s="2"/>
      <c r="D6716" s="2"/>
    </row>
    <row r="6717" spans="1:4" ht="12.75" customHeight="1" x14ac:dyDescent="0.2">
      <c r="A6717" s="21"/>
      <c r="B6717" s="3" t="s">
        <v>0</v>
      </c>
      <c r="C6717" s="20" t="s">
        <v>351</v>
      </c>
      <c r="D6717" s="21"/>
    </row>
    <row r="6718" spans="1:4" ht="12.75" customHeight="1" x14ac:dyDescent="0.2">
      <c r="A6718" s="21"/>
      <c r="B6718" s="3" t="s">
        <v>2</v>
      </c>
      <c r="C6718" s="20" t="s">
        <v>122</v>
      </c>
      <c r="D6718" s="21"/>
    </row>
    <row r="6719" spans="1:4" ht="12.75" customHeight="1" x14ac:dyDescent="0.2">
      <c r="A6719" s="21"/>
      <c r="B6719" s="3" t="s">
        <v>4</v>
      </c>
      <c r="C6719" s="20" t="s">
        <v>1728</v>
      </c>
      <c r="D6719" s="21"/>
    </row>
    <row r="6720" spans="1:4" ht="12.75" customHeight="1" x14ac:dyDescent="0.2">
      <c r="A6720" s="21"/>
      <c r="B6720" s="3" t="s">
        <v>6</v>
      </c>
      <c r="C6720" s="20" t="s">
        <v>284</v>
      </c>
      <c r="D6720" s="21"/>
    </row>
    <row r="6721" spans="1:4" ht="12.75" customHeight="1" x14ac:dyDescent="0.2">
      <c r="A6721" s="21"/>
      <c r="B6721" s="3" t="s">
        <v>8</v>
      </c>
      <c r="C6721" s="20" t="s">
        <v>1728</v>
      </c>
      <c r="D6721" s="21"/>
    </row>
    <row r="6722" spans="1:4" ht="12.75" customHeight="1" x14ac:dyDescent="0.2">
      <c r="A6722" s="21"/>
      <c r="B6722" s="3" t="s">
        <v>9</v>
      </c>
      <c r="C6722" s="20" t="s">
        <v>1729</v>
      </c>
      <c r="D6722" s="21"/>
    </row>
    <row r="6723" spans="1:4" ht="12.75" customHeight="1" x14ac:dyDescent="0.2">
      <c r="A6723" s="21"/>
      <c r="B6723" s="3" t="s">
        <v>11</v>
      </c>
      <c r="C6723" s="20" t="s">
        <v>1121</v>
      </c>
      <c r="D6723" s="21"/>
    </row>
    <row r="6724" spans="1:4" ht="12.75" customHeight="1" x14ac:dyDescent="0.2">
      <c r="A6724" s="21"/>
      <c r="B6724" s="3" t="s">
        <v>13</v>
      </c>
      <c r="C6724" s="20" t="s">
        <v>24</v>
      </c>
      <c r="D6724" s="21"/>
    </row>
    <row r="6725" spans="1:4" ht="12.75" customHeight="1" x14ac:dyDescent="0.2">
      <c r="A6725" s="21"/>
      <c r="B6725" s="3" t="s">
        <v>15</v>
      </c>
      <c r="C6725" s="20" t="s">
        <v>24</v>
      </c>
      <c r="D6725" s="21"/>
    </row>
    <row r="6726" spans="1:4" ht="12.75" customHeight="1" x14ac:dyDescent="0.2">
      <c r="A6726" s="21"/>
      <c r="B6726" s="3" t="s">
        <v>16</v>
      </c>
      <c r="C6726" s="20"/>
      <c r="D6726" s="21"/>
    </row>
    <row r="6727" spans="1:4" ht="12.75" customHeight="1" x14ac:dyDescent="0.2">
      <c r="A6727" s="21"/>
      <c r="B6727" s="3" t="s">
        <v>17</v>
      </c>
      <c r="C6727" s="20"/>
      <c r="D6727" s="21"/>
    </row>
    <row r="6728" spans="1:4" ht="12.75" customHeight="1" x14ac:dyDescent="0.2">
      <c r="A6728" s="21"/>
      <c r="B6728" s="20" t="s">
        <v>18</v>
      </c>
      <c r="C6728" s="4" t="s">
        <v>772</v>
      </c>
      <c r="D6728" s="6" t="str">
        <f>HYPERLINK("javascript:void(0)","árnyékláb")</f>
        <v>árnyékláb</v>
      </c>
    </row>
    <row r="6729" spans="1:4" ht="12.75" customHeight="1" x14ac:dyDescent="0.2">
      <c r="A6729" s="21"/>
      <c r="B6729" s="21"/>
      <c r="C6729" s="4" t="s">
        <v>77</v>
      </c>
      <c r="D6729" s="6" t="str">
        <f>HYPERLINK("javascript:void(0)","dobogás")</f>
        <v>dobogás</v>
      </c>
    </row>
    <row r="6730" spans="1:4" ht="12.75" customHeight="1" x14ac:dyDescent="0.2">
      <c r="A6730" s="21"/>
      <c r="B6730" s="21"/>
      <c r="C6730" s="4" t="s">
        <v>142</v>
      </c>
      <c r="D6730" s="6" t="str">
        <f>HYPERLINK("javascript:void(0)","valkript")</f>
        <v>valkript</v>
      </c>
    </row>
    <row r="6731" spans="1:4" ht="12.75" customHeight="1" x14ac:dyDescent="0.2">
      <c r="A6731" s="5"/>
      <c r="B6731" s="2"/>
      <c r="C6731" s="2"/>
      <c r="D6731" s="2"/>
    </row>
    <row r="6732" spans="1:4" ht="12.75" customHeight="1" x14ac:dyDescent="0.2">
      <c r="A6732" s="22" t="str">
        <f>HYPERLINK("javascript:void(0)","dobogó mágusölő")</f>
        <v>dobogó mágusölő</v>
      </c>
      <c r="B6732" s="21"/>
      <c r="C6732" s="21"/>
      <c r="D6732" s="21"/>
    </row>
    <row r="6733" spans="1:4" ht="12.75" customHeight="1" x14ac:dyDescent="0.2">
      <c r="A6733" s="20"/>
      <c r="B6733" s="2"/>
      <c r="C6733" s="2"/>
      <c r="D6733" s="2"/>
    </row>
    <row r="6734" spans="1:4" ht="12.75" customHeight="1" x14ac:dyDescent="0.2">
      <c r="A6734" s="21"/>
      <c r="B6734" s="3" t="s">
        <v>0</v>
      </c>
      <c r="C6734" s="20" t="s">
        <v>351</v>
      </c>
      <c r="D6734" s="21"/>
    </row>
    <row r="6735" spans="1:4" ht="12.75" customHeight="1" x14ac:dyDescent="0.2">
      <c r="A6735" s="21"/>
      <c r="B6735" s="3" t="s">
        <v>2</v>
      </c>
      <c r="C6735" s="20" t="s">
        <v>122</v>
      </c>
      <c r="D6735" s="21"/>
    </row>
    <row r="6736" spans="1:4" ht="12.75" customHeight="1" x14ac:dyDescent="0.2">
      <c r="A6736" s="21"/>
      <c r="B6736" s="3" t="s">
        <v>4</v>
      </c>
      <c r="C6736" s="20" t="s">
        <v>1730</v>
      </c>
      <c r="D6736" s="21"/>
    </row>
    <row r="6737" spans="1:4" ht="12.75" customHeight="1" x14ac:dyDescent="0.2">
      <c r="A6737" s="21"/>
      <c r="B6737" s="3" t="s">
        <v>6</v>
      </c>
      <c r="C6737" s="20" t="s">
        <v>48</v>
      </c>
      <c r="D6737" s="21"/>
    </row>
    <row r="6738" spans="1:4" ht="12.75" customHeight="1" x14ac:dyDescent="0.2">
      <c r="A6738" s="21"/>
      <c r="B6738" s="3" t="s">
        <v>8</v>
      </c>
      <c r="C6738" s="20" t="s">
        <v>1730</v>
      </c>
      <c r="D6738" s="21"/>
    </row>
    <row r="6739" spans="1:4" ht="12.75" customHeight="1" x14ac:dyDescent="0.2">
      <c r="A6739" s="21"/>
      <c r="B6739" s="3" t="s">
        <v>9</v>
      </c>
      <c r="C6739" s="20" t="s">
        <v>1731</v>
      </c>
      <c r="D6739" s="21"/>
    </row>
    <row r="6740" spans="1:4" ht="12.75" customHeight="1" x14ac:dyDescent="0.2">
      <c r="A6740" s="21"/>
      <c r="B6740" s="3" t="s">
        <v>11</v>
      </c>
      <c r="C6740" s="20" t="s">
        <v>1155</v>
      </c>
      <c r="D6740" s="21"/>
    </row>
    <row r="6741" spans="1:4" ht="12.75" customHeight="1" x14ac:dyDescent="0.2">
      <c r="A6741" s="21"/>
      <c r="B6741" s="3" t="s">
        <v>13</v>
      </c>
      <c r="C6741" s="20" t="s">
        <v>14</v>
      </c>
      <c r="D6741" s="21"/>
    </row>
    <row r="6742" spans="1:4" ht="12.75" customHeight="1" x14ac:dyDescent="0.2">
      <c r="A6742" s="21"/>
      <c r="B6742" s="3" t="s">
        <v>15</v>
      </c>
      <c r="C6742" s="20" t="s">
        <v>24</v>
      </c>
      <c r="D6742" s="21"/>
    </row>
    <row r="6743" spans="1:4" ht="12.75" customHeight="1" x14ac:dyDescent="0.2">
      <c r="A6743" s="21"/>
      <c r="B6743" s="3" t="s">
        <v>16</v>
      </c>
      <c r="C6743" s="20"/>
      <c r="D6743" s="21"/>
    </row>
    <row r="6744" spans="1:4" ht="12.75" customHeight="1" x14ac:dyDescent="0.2">
      <c r="A6744" s="21"/>
      <c r="B6744" s="3" t="s">
        <v>17</v>
      </c>
      <c r="C6744" s="20"/>
      <c r="D6744" s="21"/>
    </row>
    <row r="6745" spans="1:4" ht="12.75" customHeight="1" x14ac:dyDescent="0.2">
      <c r="A6745" s="21"/>
      <c r="B6745" s="20" t="s">
        <v>18</v>
      </c>
      <c r="C6745" s="4" t="s">
        <v>67</v>
      </c>
      <c r="D6745" s="6" t="str">
        <f>HYPERLINK("javascript:void(0)","dobogás")</f>
        <v>dobogás</v>
      </c>
    </row>
    <row r="6746" spans="1:4" ht="25.5" customHeight="1" x14ac:dyDescent="0.2">
      <c r="A6746" s="21"/>
      <c r="B6746" s="21"/>
      <c r="C6746" s="4" t="s">
        <v>68</v>
      </c>
      <c r="D6746" s="6" t="str">
        <f>HYPERLINK("javascript:void(0)","kommunikációképtelenség")</f>
        <v>kommunikációképtelenség</v>
      </c>
    </row>
    <row r="6747" spans="1:4" ht="12.75" customHeight="1" x14ac:dyDescent="0.2">
      <c r="A6747" s="21"/>
      <c r="B6747" s="21"/>
      <c r="C6747" s="4" t="s">
        <v>280</v>
      </c>
      <c r="D6747" s="6" t="str">
        <f>HYPERLINK("javascript:void(0)","szemgyöngy")</f>
        <v>szemgyöngy</v>
      </c>
    </row>
    <row r="6748" spans="1:4" ht="12.75" customHeight="1" x14ac:dyDescent="0.2">
      <c r="A6748" s="5"/>
      <c r="B6748" s="2"/>
      <c r="C6748" s="2"/>
      <c r="D6748" s="2"/>
    </row>
    <row r="6749" spans="1:4" ht="12.75" customHeight="1" x14ac:dyDescent="0.2">
      <c r="A6749" s="22" t="str">
        <f>HYPERLINK("javascript:void(0)","tejacél kalapács")</f>
        <v>tejacél kalapács</v>
      </c>
      <c r="B6749" s="21"/>
      <c r="C6749" s="21"/>
      <c r="D6749" s="21"/>
    </row>
    <row r="6750" spans="1:4" ht="12.75" customHeight="1" x14ac:dyDescent="0.2">
      <c r="A6750" s="20"/>
      <c r="B6750" s="2"/>
      <c r="C6750" s="2"/>
      <c r="D6750" s="2"/>
    </row>
    <row r="6751" spans="1:4" ht="12.75" customHeight="1" x14ac:dyDescent="0.2">
      <c r="A6751" s="21"/>
      <c r="B6751" s="3" t="s">
        <v>0</v>
      </c>
      <c r="C6751" s="20" t="s">
        <v>1355</v>
      </c>
      <c r="D6751" s="21"/>
    </row>
    <row r="6752" spans="1:4" ht="12.75" customHeight="1" x14ac:dyDescent="0.2">
      <c r="A6752" s="21"/>
      <c r="B6752" s="3" t="s">
        <v>2</v>
      </c>
      <c r="C6752" s="20" t="s">
        <v>122</v>
      </c>
      <c r="D6752" s="21"/>
    </row>
    <row r="6753" spans="1:4" ht="12.75" customHeight="1" x14ac:dyDescent="0.2">
      <c r="A6753" s="21"/>
      <c r="B6753" s="3" t="s">
        <v>4</v>
      </c>
      <c r="C6753" s="20" t="s">
        <v>1733</v>
      </c>
      <c r="D6753" s="21"/>
    </row>
    <row r="6754" spans="1:4" ht="12.75" customHeight="1" x14ac:dyDescent="0.2">
      <c r="A6754" s="21"/>
      <c r="B6754" s="3" t="s">
        <v>6</v>
      </c>
      <c r="C6754" s="20" t="s">
        <v>107</v>
      </c>
      <c r="D6754" s="21"/>
    </row>
    <row r="6755" spans="1:4" ht="12.75" customHeight="1" x14ac:dyDescent="0.2">
      <c r="A6755" s="21"/>
      <c r="B6755" s="3" t="s">
        <v>8</v>
      </c>
      <c r="C6755" s="20" t="s">
        <v>1733</v>
      </c>
      <c r="D6755" s="21"/>
    </row>
    <row r="6756" spans="1:4" ht="12.75" customHeight="1" x14ac:dyDescent="0.2">
      <c r="A6756" s="21"/>
      <c r="B6756" s="3" t="s">
        <v>9</v>
      </c>
      <c r="C6756" s="20" t="s">
        <v>1734</v>
      </c>
      <c r="D6756" s="21"/>
    </row>
    <row r="6757" spans="1:4" ht="12.75" customHeight="1" x14ac:dyDescent="0.2">
      <c r="A6757" s="21"/>
      <c r="B6757" s="3" t="s">
        <v>11</v>
      </c>
      <c r="C6757" s="20" t="s">
        <v>1141</v>
      </c>
      <c r="D6757" s="21"/>
    </row>
    <row r="6758" spans="1:4" ht="12.75" customHeight="1" x14ac:dyDescent="0.2">
      <c r="A6758" s="21"/>
      <c r="B6758" s="3" t="s">
        <v>13</v>
      </c>
      <c r="C6758" s="20" t="s">
        <v>24</v>
      </c>
      <c r="D6758" s="21"/>
    </row>
    <row r="6759" spans="1:4" ht="12.75" customHeight="1" x14ac:dyDescent="0.2">
      <c r="A6759" s="21"/>
      <c r="B6759" s="3" t="s">
        <v>15</v>
      </c>
      <c r="C6759" s="20" t="s">
        <v>24</v>
      </c>
      <c r="D6759" s="21"/>
    </row>
    <row r="6760" spans="1:4" ht="12.75" customHeight="1" x14ac:dyDescent="0.2">
      <c r="A6760" s="21"/>
      <c r="B6760" s="3" t="s">
        <v>16</v>
      </c>
      <c r="C6760" s="20"/>
      <c r="D6760" s="21"/>
    </row>
    <row r="6761" spans="1:4" ht="12.75" customHeight="1" x14ac:dyDescent="0.2">
      <c r="A6761" s="21"/>
      <c r="B6761" s="3" t="s">
        <v>17</v>
      </c>
      <c r="C6761" s="20"/>
      <c r="D6761" s="21"/>
    </row>
    <row r="6762" spans="1:4" ht="12.75" customHeight="1" x14ac:dyDescent="0.2">
      <c r="A6762" s="21"/>
      <c r="B6762" s="20" t="s">
        <v>18</v>
      </c>
      <c r="C6762" s="4" t="s">
        <v>44</v>
      </c>
      <c r="D6762" s="6" t="str">
        <f>HYPERLINK("javascript:void(0)","tejacél buzogány")</f>
        <v>tejacél buzogány</v>
      </c>
    </row>
    <row r="6763" spans="1:4" ht="12.75" customHeight="1" x14ac:dyDescent="0.2">
      <c r="A6763" s="21"/>
      <c r="B6763" s="21"/>
      <c r="C6763" s="4" t="s">
        <v>290</v>
      </c>
      <c r="D6763" s="6" t="str">
        <f>HYPERLINK("javascript:void(0)","tejbeaprítás")</f>
        <v>tejbeaprítás</v>
      </c>
    </row>
    <row r="6764" spans="1:4" ht="12.75" customHeight="1" x14ac:dyDescent="0.2">
      <c r="A6764" s="21"/>
      <c r="B6764" s="21"/>
      <c r="C6764" s="4" t="s">
        <v>55</v>
      </c>
      <c r="D6764" s="6" t="str">
        <f>HYPERLINK("javascript:void(0)","agyvihar")</f>
        <v>agyvihar</v>
      </c>
    </row>
    <row r="6765" spans="1:4" ht="12.75" customHeight="1" x14ac:dyDescent="0.2">
      <c r="A6765" s="5"/>
      <c r="B6765" s="2"/>
      <c r="C6765" s="2"/>
      <c r="D6765" s="2"/>
    </row>
    <row r="6766" spans="1:4" ht="12.75" customHeight="1" x14ac:dyDescent="0.2">
      <c r="A6766" s="22" t="str">
        <f>HYPERLINK("javascript:void(0)","árnykalapács")</f>
        <v>árnykalapács</v>
      </c>
      <c r="B6766" s="21"/>
      <c r="C6766" s="21"/>
      <c r="D6766" s="21"/>
    </row>
    <row r="6767" spans="1:4" ht="12.75" customHeight="1" x14ac:dyDescent="0.2">
      <c r="A6767" s="20"/>
      <c r="B6767" s="2"/>
      <c r="C6767" s="2"/>
      <c r="D6767" s="2"/>
    </row>
    <row r="6768" spans="1:4" ht="12.75" customHeight="1" x14ac:dyDescent="0.2">
      <c r="A6768" s="21"/>
      <c r="B6768" s="3" t="s">
        <v>0</v>
      </c>
      <c r="C6768" s="20" t="s">
        <v>1359</v>
      </c>
      <c r="D6768" s="21"/>
    </row>
    <row r="6769" spans="1:4" ht="12.75" customHeight="1" x14ac:dyDescent="0.2">
      <c r="A6769" s="21"/>
      <c r="B6769" s="3" t="s">
        <v>2</v>
      </c>
      <c r="C6769" s="20" t="s">
        <v>122</v>
      </c>
      <c r="D6769" s="21"/>
    </row>
    <row r="6770" spans="1:4" ht="12.75" customHeight="1" x14ac:dyDescent="0.2">
      <c r="A6770" s="21"/>
      <c r="B6770" s="3" t="s">
        <v>4</v>
      </c>
      <c r="C6770" s="20" t="s">
        <v>1738</v>
      </c>
      <c r="D6770" s="21"/>
    </row>
    <row r="6771" spans="1:4" ht="12.75" customHeight="1" x14ac:dyDescent="0.2">
      <c r="A6771" s="21"/>
      <c r="B6771" s="3" t="s">
        <v>6</v>
      </c>
      <c r="C6771" s="20" t="s">
        <v>115</v>
      </c>
      <c r="D6771" s="21"/>
    </row>
    <row r="6772" spans="1:4" ht="12.75" customHeight="1" x14ac:dyDescent="0.2">
      <c r="A6772" s="21"/>
      <c r="B6772" s="3" t="s">
        <v>8</v>
      </c>
      <c r="C6772" s="20" t="s">
        <v>1738</v>
      </c>
      <c r="D6772" s="21"/>
    </row>
    <row r="6773" spans="1:4" ht="12.75" customHeight="1" x14ac:dyDescent="0.2">
      <c r="A6773" s="21"/>
      <c r="B6773" s="3" t="s">
        <v>9</v>
      </c>
      <c r="C6773" s="20" t="s">
        <v>462</v>
      </c>
      <c r="D6773" s="21"/>
    </row>
    <row r="6774" spans="1:4" ht="12.75" customHeight="1" x14ac:dyDescent="0.2">
      <c r="A6774" s="21"/>
      <c r="B6774" s="3" t="s">
        <v>11</v>
      </c>
      <c r="C6774" s="20" t="s">
        <v>1155</v>
      </c>
      <c r="D6774" s="21"/>
    </row>
    <row r="6775" spans="1:4" ht="12.75" customHeight="1" x14ac:dyDescent="0.2">
      <c r="A6775" s="21"/>
      <c r="B6775" s="3" t="s">
        <v>13</v>
      </c>
      <c r="C6775" s="20" t="s">
        <v>24</v>
      </c>
      <c r="D6775" s="21"/>
    </row>
    <row r="6776" spans="1:4" ht="12.75" customHeight="1" x14ac:dyDescent="0.2">
      <c r="A6776" s="21"/>
      <c r="B6776" s="3" t="s">
        <v>15</v>
      </c>
      <c r="C6776" s="20" t="s">
        <v>24</v>
      </c>
      <c r="D6776" s="21"/>
    </row>
    <row r="6777" spans="1:4" ht="12.75" customHeight="1" x14ac:dyDescent="0.2">
      <c r="A6777" s="21"/>
      <c r="B6777" s="3" t="s">
        <v>16</v>
      </c>
      <c r="C6777" s="20"/>
      <c r="D6777" s="21"/>
    </row>
    <row r="6778" spans="1:4" ht="12.75" customHeight="1" x14ac:dyDescent="0.2">
      <c r="A6778" s="21"/>
      <c r="B6778" s="3" t="s">
        <v>17</v>
      </c>
      <c r="C6778" s="20"/>
      <c r="D6778" s="21"/>
    </row>
    <row r="6779" spans="1:4" ht="12.75" customHeight="1" x14ac:dyDescent="0.2">
      <c r="A6779" s="21"/>
      <c r="B6779" s="20" t="s">
        <v>18</v>
      </c>
      <c r="C6779" s="4" t="s">
        <v>44</v>
      </c>
      <c r="D6779" s="6" t="str">
        <f>HYPERLINK("javascript:void(0)","árnybuzogány")</f>
        <v>árnybuzogány</v>
      </c>
    </row>
    <row r="6780" spans="1:4" ht="12.75" customHeight="1" x14ac:dyDescent="0.2">
      <c r="A6780" s="21"/>
      <c r="B6780" s="21"/>
      <c r="C6780" s="4" t="s">
        <v>130</v>
      </c>
      <c r="D6780" s="6" t="str">
        <f>HYPERLINK("javascript:void(0)","árnyékláb")</f>
        <v>árnyékláb</v>
      </c>
    </row>
    <row r="6781" spans="1:4" ht="12.75" customHeight="1" x14ac:dyDescent="0.2">
      <c r="A6781" s="21"/>
      <c r="B6781" s="21"/>
      <c r="C6781" s="4" t="s">
        <v>142</v>
      </c>
      <c r="D6781" s="6" t="str">
        <f>HYPERLINK("javascript:void(0)","tábla")</f>
        <v>tábla</v>
      </c>
    </row>
    <row r="6782" spans="1:4" ht="12.75" customHeight="1" x14ac:dyDescent="0.2">
      <c r="A6782" s="5"/>
      <c r="B6782" s="2"/>
      <c r="C6782" s="2"/>
      <c r="D6782" s="2"/>
    </row>
    <row r="6783" spans="1:4" ht="12.75" customHeight="1" x14ac:dyDescent="0.2">
      <c r="A6783" s="22" t="str">
        <f>HYPERLINK("javascript:void(0)","keserű mágusölő")</f>
        <v>keserű mágusölő</v>
      </c>
      <c r="B6783" s="21"/>
      <c r="C6783" s="21"/>
      <c r="D6783" s="21"/>
    </row>
    <row r="6784" spans="1:4" ht="12.75" customHeight="1" x14ac:dyDescent="0.2">
      <c r="A6784" s="20"/>
      <c r="B6784" s="2"/>
      <c r="C6784" s="2"/>
      <c r="D6784" s="2"/>
    </row>
    <row r="6785" spans="1:4" ht="12.75" customHeight="1" x14ac:dyDescent="0.2">
      <c r="A6785" s="21"/>
      <c r="B6785" s="3" t="s">
        <v>0</v>
      </c>
      <c r="C6785" s="20" t="s">
        <v>1359</v>
      </c>
      <c r="D6785" s="21"/>
    </row>
    <row r="6786" spans="1:4" ht="12.75" customHeight="1" x14ac:dyDescent="0.2">
      <c r="A6786" s="21"/>
      <c r="B6786" s="3" t="s">
        <v>2</v>
      </c>
      <c r="C6786" s="20" t="s">
        <v>122</v>
      </c>
      <c r="D6786" s="21"/>
    </row>
    <row r="6787" spans="1:4" ht="12.75" customHeight="1" x14ac:dyDescent="0.2">
      <c r="A6787" s="21"/>
      <c r="B6787" s="3" t="s">
        <v>4</v>
      </c>
      <c r="C6787" s="20" t="s">
        <v>1742</v>
      </c>
      <c r="D6787" s="21"/>
    </row>
    <row r="6788" spans="1:4" ht="12.75" customHeight="1" x14ac:dyDescent="0.2">
      <c r="A6788" s="21"/>
      <c r="B6788" s="3" t="s">
        <v>6</v>
      </c>
      <c r="C6788" s="20" t="s">
        <v>48</v>
      </c>
      <c r="D6788" s="21"/>
    </row>
    <row r="6789" spans="1:4" ht="12.75" customHeight="1" x14ac:dyDescent="0.2">
      <c r="A6789" s="21"/>
      <c r="B6789" s="3" t="s">
        <v>8</v>
      </c>
      <c r="C6789" s="20" t="s">
        <v>1742</v>
      </c>
      <c r="D6789" s="21"/>
    </row>
    <row r="6790" spans="1:4" ht="12.75" customHeight="1" x14ac:dyDescent="0.2">
      <c r="A6790" s="21"/>
      <c r="B6790" s="3" t="s">
        <v>9</v>
      </c>
      <c r="C6790" s="20" t="s">
        <v>1743</v>
      </c>
      <c r="D6790" s="21"/>
    </row>
    <row r="6791" spans="1:4" ht="12.75" customHeight="1" x14ac:dyDescent="0.2">
      <c r="A6791" s="21"/>
      <c r="B6791" s="3" t="s">
        <v>11</v>
      </c>
      <c r="C6791" s="20" t="s">
        <v>1194</v>
      </c>
      <c r="D6791" s="21"/>
    </row>
    <row r="6792" spans="1:4" ht="12.75" customHeight="1" x14ac:dyDescent="0.2">
      <c r="A6792" s="21"/>
      <c r="B6792" s="3" t="s">
        <v>13</v>
      </c>
      <c r="C6792" s="20" t="s">
        <v>14</v>
      </c>
      <c r="D6792" s="21"/>
    </row>
    <row r="6793" spans="1:4" ht="12.75" customHeight="1" x14ac:dyDescent="0.2">
      <c r="A6793" s="21"/>
      <c r="B6793" s="3" t="s">
        <v>15</v>
      </c>
      <c r="C6793" s="20" t="s">
        <v>24</v>
      </c>
      <c r="D6793" s="21"/>
    </row>
    <row r="6794" spans="1:4" ht="12.75" customHeight="1" x14ac:dyDescent="0.2">
      <c r="A6794" s="21"/>
      <c r="B6794" s="3" t="s">
        <v>16</v>
      </c>
      <c r="C6794" s="20"/>
      <c r="D6794" s="21"/>
    </row>
    <row r="6795" spans="1:4" ht="12.75" customHeight="1" x14ac:dyDescent="0.2">
      <c r="A6795" s="21"/>
      <c r="B6795" s="3" t="s">
        <v>17</v>
      </c>
      <c r="C6795" s="20"/>
      <c r="D6795" s="21"/>
    </row>
    <row r="6796" spans="1:4" ht="12.75" customHeight="1" x14ac:dyDescent="0.2">
      <c r="A6796" s="21"/>
      <c r="B6796" s="20" t="s">
        <v>18</v>
      </c>
      <c r="C6796" s="4" t="s">
        <v>44</v>
      </c>
      <c r="D6796" s="6" t="str">
        <f>HYPERLINK("javascript:void(0)","gyíkacél wakizasi")</f>
        <v>gyíkacél wakizasi</v>
      </c>
    </row>
    <row r="6797" spans="1:4" ht="12.75" customHeight="1" x14ac:dyDescent="0.2">
      <c r="A6797" s="21"/>
      <c r="B6797" s="21"/>
      <c r="C6797" s="4" t="s">
        <v>77</v>
      </c>
      <c r="D6797" s="6" t="str">
        <f>HYPERLINK("javascript:void(0)","tábla")</f>
        <v>tábla</v>
      </c>
    </row>
    <row r="6798" spans="1:4" ht="12.75" customHeight="1" x14ac:dyDescent="0.2">
      <c r="A6798" s="21"/>
      <c r="B6798" s="21"/>
      <c r="C6798" s="4" t="s">
        <v>130</v>
      </c>
      <c r="D6798" s="6" t="str">
        <f>HYPERLINK("javascript:void(0)","árnyékláb")</f>
        <v>árnyékláb</v>
      </c>
    </row>
    <row r="6799" spans="1:4" ht="12.75" customHeight="1" x14ac:dyDescent="0.2">
      <c r="A6799" s="5"/>
      <c r="B6799" s="2"/>
      <c r="C6799" s="2"/>
      <c r="D6799" s="2"/>
    </row>
    <row r="6800" spans="1:4" ht="12.75" customHeight="1" x14ac:dyDescent="0.2">
      <c r="A6800" s="22" t="str">
        <f>HYPERLINK("javascript:void(0)","olvadt csákány")</f>
        <v>olvadt csákány</v>
      </c>
      <c r="B6800" s="21"/>
      <c r="C6800" s="21"/>
      <c r="D6800" s="21"/>
    </row>
    <row r="6801" spans="1:4" ht="12.75" customHeight="1" x14ac:dyDescent="0.2">
      <c r="A6801" s="20"/>
      <c r="B6801" s="2"/>
      <c r="C6801" s="2"/>
      <c r="D6801" s="2"/>
    </row>
    <row r="6802" spans="1:4" ht="12.75" customHeight="1" x14ac:dyDescent="0.2">
      <c r="A6802" s="21"/>
      <c r="B6802" s="3" t="s">
        <v>0</v>
      </c>
      <c r="C6802" s="20" t="s">
        <v>1362</v>
      </c>
      <c r="D6802" s="21"/>
    </row>
    <row r="6803" spans="1:4" ht="12.75" customHeight="1" x14ac:dyDescent="0.2">
      <c r="A6803" s="21"/>
      <c r="B6803" s="3" t="s">
        <v>2</v>
      </c>
      <c r="C6803" s="20" t="s">
        <v>122</v>
      </c>
      <c r="D6803" s="21"/>
    </row>
    <row r="6804" spans="1:4" ht="12.75" customHeight="1" x14ac:dyDescent="0.2">
      <c r="A6804" s="21"/>
      <c r="B6804" s="3" t="s">
        <v>4</v>
      </c>
      <c r="C6804" s="20" t="s">
        <v>1745</v>
      </c>
      <c r="D6804" s="21"/>
    </row>
    <row r="6805" spans="1:4" ht="12.75" customHeight="1" x14ac:dyDescent="0.2">
      <c r="A6805" s="21"/>
      <c r="B6805" s="3" t="s">
        <v>6</v>
      </c>
      <c r="C6805" s="20" t="s">
        <v>260</v>
      </c>
      <c r="D6805" s="21"/>
    </row>
    <row r="6806" spans="1:4" ht="12.75" customHeight="1" x14ac:dyDescent="0.2">
      <c r="A6806" s="21"/>
      <c r="B6806" s="3" t="s">
        <v>8</v>
      </c>
      <c r="C6806" s="20" t="s">
        <v>1745</v>
      </c>
      <c r="D6806" s="21"/>
    </row>
    <row r="6807" spans="1:4" ht="12.75" customHeight="1" x14ac:dyDescent="0.2">
      <c r="A6807" s="21"/>
      <c r="B6807" s="3" t="s">
        <v>9</v>
      </c>
      <c r="C6807" s="20" t="s">
        <v>511</v>
      </c>
      <c r="D6807" s="21"/>
    </row>
    <row r="6808" spans="1:4" ht="12.75" customHeight="1" x14ac:dyDescent="0.2">
      <c r="A6808" s="21"/>
      <c r="B6808" s="3" t="s">
        <v>11</v>
      </c>
      <c r="C6808" s="20" t="s">
        <v>1171</v>
      </c>
      <c r="D6808" s="21"/>
    </row>
    <row r="6809" spans="1:4" ht="12.75" customHeight="1" x14ac:dyDescent="0.2">
      <c r="A6809" s="21"/>
      <c r="B6809" s="3" t="s">
        <v>13</v>
      </c>
      <c r="C6809" s="20" t="s">
        <v>24</v>
      </c>
      <c r="D6809" s="21"/>
    </row>
    <row r="6810" spans="1:4" ht="12.75" customHeight="1" x14ac:dyDescent="0.2">
      <c r="A6810" s="21"/>
      <c r="B6810" s="3" t="s">
        <v>15</v>
      </c>
      <c r="C6810" s="20" t="s">
        <v>24</v>
      </c>
      <c r="D6810" s="21"/>
    </row>
    <row r="6811" spans="1:4" ht="12.75" customHeight="1" x14ac:dyDescent="0.2">
      <c r="A6811" s="21"/>
      <c r="B6811" s="3" t="s">
        <v>16</v>
      </c>
      <c r="C6811" s="20"/>
      <c r="D6811" s="21"/>
    </row>
    <row r="6812" spans="1:4" ht="12.75" customHeight="1" x14ac:dyDescent="0.2">
      <c r="A6812" s="21"/>
      <c r="B6812" s="3" t="s">
        <v>17</v>
      </c>
      <c r="C6812" s="20"/>
      <c r="D6812" s="21"/>
    </row>
    <row r="6813" spans="1:4" ht="12.75" customHeight="1" x14ac:dyDescent="0.2">
      <c r="A6813" s="21"/>
      <c r="B6813" s="20" t="s">
        <v>18</v>
      </c>
      <c r="C6813" s="4" t="s">
        <v>232</v>
      </c>
      <c r="D6813" s="6" t="str">
        <f>HYPERLINK("javascript:void(0)","olvadás")</f>
        <v>olvadás</v>
      </c>
    </row>
    <row r="6814" spans="1:4" ht="12.75" customHeight="1" x14ac:dyDescent="0.2">
      <c r="A6814" s="21"/>
      <c r="B6814" s="21"/>
      <c r="C6814" s="4" t="s">
        <v>55</v>
      </c>
      <c r="D6814" s="6" t="str">
        <f>HYPERLINK("javascript:void(0)","mogorv")</f>
        <v>mogorv</v>
      </c>
    </row>
    <row r="6815" spans="1:4" ht="12.75" customHeight="1" x14ac:dyDescent="0.2">
      <c r="A6815" s="21"/>
      <c r="B6815" s="21"/>
      <c r="C6815" s="4" t="s">
        <v>296</v>
      </c>
      <c r="D6815" s="6" t="str">
        <f>HYPERLINK("javascript:void(0)","dobogás")</f>
        <v>dobogás</v>
      </c>
    </row>
    <row r="6816" spans="1:4" ht="12.75" customHeight="1" x14ac:dyDescent="0.2">
      <c r="A6816" s="5"/>
      <c r="B6816" s="2"/>
      <c r="C6816" s="2"/>
      <c r="D6816" s="2"/>
    </row>
    <row r="6817" spans="1:4" ht="12.75" customHeight="1" x14ac:dyDescent="0.2">
      <c r="A6817" s="22" t="str">
        <f>HYPERLINK("javascript:void(0)","tomboló tomfa")</f>
        <v>tomboló tomfa</v>
      </c>
      <c r="B6817" s="21"/>
      <c r="C6817" s="21"/>
      <c r="D6817" s="21"/>
    </row>
    <row r="6818" spans="1:4" ht="12.75" customHeight="1" x14ac:dyDescent="0.2">
      <c r="A6818" s="20"/>
      <c r="B6818" s="2"/>
      <c r="C6818" s="2"/>
      <c r="D6818" s="2"/>
    </row>
    <row r="6819" spans="1:4" ht="12.75" customHeight="1" x14ac:dyDescent="0.2">
      <c r="A6819" s="21"/>
      <c r="B6819" s="3" t="s">
        <v>0</v>
      </c>
      <c r="C6819" s="20" t="s">
        <v>256</v>
      </c>
      <c r="D6819" s="21"/>
    </row>
    <row r="6820" spans="1:4" ht="12.75" customHeight="1" x14ac:dyDescent="0.2">
      <c r="A6820" s="21"/>
      <c r="B6820" s="3" t="s">
        <v>2</v>
      </c>
      <c r="C6820" s="20" t="s">
        <v>122</v>
      </c>
      <c r="D6820" s="21"/>
    </row>
    <row r="6821" spans="1:4" ht="12.75" customHeight="1" x14ac:dyDescent="0.2">
      <c r="A6821" s="21"/>
      <c r="B6821" s="3" t="s">
        <v>4</v>
      </c>
      <c r="C6821" s="20" t="s">
        <v>1749</v>
      </c>
      <c r="D6821" s="21"/>
    </row>
    <row r="6822" spans="1:4" ht="12.75" customHeight="1" x14ac:dyDescent="0.2">
      <c r="A6822" s="21"/>
      <c r="B6822" s="3" t="s">
        <v>6</v>
      </c>
      <c r="C6822" s="20" t="s">
        <v>340</v>
      </c>
      <c r="D6822" s="21"/>
    </row>
    <row r="6823" spans="1:4" ht="12.75" customHeight="1" x14ac:dyDescent="0.2">
      <c r="A6823" s="21"/>
      <c r="B6823" s="3" t="s">
        <v>8</v>
      </c>
      <c r="C6823" s="20" t="s">
        <v>1749</v>
      </c>
      <c r="D6823" s="21"/>
    </row>
    <row r="6824" spans="1:4" ht="12.75" customHeight="1" x14ac:dyDescent="0.2">
      <c r="A6824" s="21"/>
      <c r="B6824" s="3" t="s">
        <v>9</v>
      </c>
      <c r="C6824" s="20" t="s">
        <v>384</v>
      </c>
      <c r="D6824" s="21"/>
    </row>
    <row r="6825" spans="1:4" ht="12.75" customHeight="1" x14ac:dyDescent="0.2">
      <c r="A6825" s="21"/>
      <c r="B6825" s="3" t="s">
        <v>11</v>
      </c>
      <c r="C6825" s="20" t="s">
        <v>1194</v>
      </c>
      <c r="D6825" s="21"/>
    </row>
    <row r="6826" spans="1:4" ht="12.75" customHeight="1" x14ac:dyDescent="0.2">
      <c r="A6826" s="21"/>
      <c r="B6826" s="3" t="s">
        <v>13</v>
      </c>
      <c r="C6826" s="20" t="s">
        <v>24</v>
      </c>
      <c r="D6826" s="21"/>
    </row>
    <row r="6827" spans="1:4" ht="12.75" customHeight="1" x14ac:dyDescent="0.2">
      <c r="A6827" s="21"/>
      <c r="B6827" s="3" t="s">
        <v>15</v>
      </c>
      <c r="C6827" s="20" t="s">
        <v>24</v>
      </c>
      <c r="D6827" s="21"/>
    </row>
    <row r="6828" spans="1:4" ht="12.75" customHeight="1" x14ac:dyDescent="0.2">
      <c r="A6828" s="21"/>
      <c r="B6828" s="3" t="s">
        <v>16</v>
      </c>
      <c r="C6828" s="20"/>
      <c r="D6828" s="21"/>
    </row>
    <row r="6829" spans="1:4" ht="12.75" customHeight="1" x14ac:dyDescent="0.2">
      <c r="A6829" s="21"/>
      <c r="B6829" s="3" t="s">
        <v>17</v>
      </c>
      <c r="C6829" s="20"/>
      <c r="D6829" s="21"/>
    </row>
    <row r="6830" spans="1:4" ht="12.75" customHeight="1" x14ac:dyDescent="0.2">
      <c r="A6830" s="21"/>
      <c r="B6830" s="20" t="s">
        <v>18</v>
      </c>
      <c r="C6830" s="4" t="s">
        <v>44</v>
      </c>
      <c r="D6830" s="6" t="str">
        <f>HYPERLINK("javascript:void(0)","tejacél kalapács")</f>
        <v>tejacél kalapács</v>
      </c>
    </row>
    <row r="6831" spans="1:4" ht="12.75" customHeight="1" x14ac:dyDescent="0.2">
      <c r="A6831" s="21"/>
      <c r="B6831" s="21"/>
      <c r="C6831" s="4" t="s">
        <v>44</v>
      </c>
      <c r="D6831" s="6" t="str">
        <f>HYPERLINK("javascript:void(0)","árnykalapács")</f>
        <v>árnykalapács</v>
      </c>
    </row>
    <row r="6832" spans="1:4" ht="12.75" customHeight="1" x14ac:dyDescent="0.2">
      <c r="A6832" s="21"/>
      <c r="B6832" s="21"/>
      <c r="C6832" s="4" t="s">
        <v>44</v>
      </c>
      <c r="D6832" s="6" t="str">
        <f>HYPERLINK("javascript:void(0)","olvadt csákány")</f>
        <v>olvadt csákány</v>
      </c>
    </row>
    <row r="6833" spans="1:4" ht="12.75" customHeight="1" x14ac:dyDescent="0.2">
      <c r="A6833" s="5"/>
      <c r="B6833" s="2"/>
      <c r="C6833" s="2"/>
      <c r="D6833" s="2"/>
    </row>
    <row r="6834" spans="1:4" ht="12.75" customHeight="1" x14ac:dyDescent="0.2">
      <c r="A6834" s="22" t="str">
        <f>HYPERLINK("javascript:void(0)","gyűrűs mágusölő")</f>
        <v>gyűrűs mágusölő</v>
      </c>
      <c r="B6834" s="21"/>
      <c r="C6834" s="21"/>
      <c r="D6834" s="21"/>
    </row>
    <row r="6835" spans="1:4" ht="12.75" customHeight="1" x14ac:dyDescent="0.2">
      <c r="A6835" s="20"/>
      <c r="B6835" s="2"/>
      <c r="C6835" s="2"/>
      <c r="D6835" s="2"/>
    </row>
    <row r="6836" spans="1:4" ht="12.75" customHeight="1" x14ac:dyDescent="0.2">
      <c r="A6836" s="21"/>
      <c r="B6836" s="3" t="s">
        <v>0</v>
      </c>
      <c r="C6836" s="20" t="s">
        <v>256</v>
      </c>
      <c r="D6836" s="21"/>
    </row>
    <row r="6837" spans="1:4" ht="12.75" customHeight="1" x14ac:dyDescent="0.2">
      <c r="A6837" s="21"/>
      <c r="B6837" s="3" t="s">
        <v>2</v>
      </c>
      <c r="C6837" s="20" t="s">
        <v>122</v>
      </c>
      <c r="D6837" s="21"/>
    </row>
    <row r="6838" spans="1:4" ht="12.75" customHeight="1" x14ac:dyDescent="0.2">
      <c r="A6838" s="21"/>
      <c r="B6838" s="3" t="s">
        <v>4</v>
      </c>
      <c r="C6838" s="20" t="s">
        <v>1751</v>
      </c>
      <c r="D6838" s="21"/>
    </row>
    <row r="6839" spans="1:4" ht="12.75" customHeight="1" x14ac:dyDescent="0.2">
      <c r="A6839" s="21"/>
      <c r="B6839" s="3" t="s">
        <v>6</v>
      </c>
      <c r="C6839" s="20" t="s">
        <v>48</v>
      </c>
      <c r="D6839" s="21"/>
    </row>
    <row r="6840" spans="1:4" ht="12.75" customHeight="1" x14ac:dyDescent="0.2">
      <c r="A6840" s="21"/>
      <c r="B6840" s="3" t="s">
        <v>8</v>
      </c>
      <c r="C6840" s="20" t="s">
        <v>1751</v>
      </c>
      <c r="D6840" s="21"/>
    </row>
    <row r="6841" spans="1:4" ht="12.75" customHeight="1" x14ac:dyDescent="0.2">
      <c r="A6841" s="21"/>
      <c r="B6841" s="3" t="s">
        <v>9</v>
      </c>
      <c r="C6841" s="20" t="s">
        <v>1752</v>
      </c>
      <c r="D6841" s="21"/>
    </row>
    <row r="6842" spans="1:4" ht="12.75" customHeight="1" x14ac:dyDescent="0.2">
      <c r="A6842" s="21"/>
      <c r="B6842" s="3" t="s">
        <v>11</v>
      </c>
      <c r="C6842" s="20" t="s">
        <v>1241</v>
      </c>
      <c r="D6842" s="21"/>
    </row>
    <row r="6843" spans="1:4" ht="12.75" customHeight="1" x14ac:dyDescent="0.2">
      <c r="A6843" s="21"/>
      <c r="B6843" s="3" t="s">
        <v>13</v>
      </c>
      <c r="C6843" s="20" t="s">
        <v>14</v>
      </c>
      <c r="D6843" s="21"/>
    </row>
    <row r="6844" spans="1:4" ht="12.75" customHeight="1" x14ac:dyDescent="0.2">
      <c r="A6844" s="21"/>
      <c r="B6844" s="3" t="s">
        <v>15</v>
      </c>
      <c r="C6844" s="20" t="s">
        <v>24</v>
      </c>
      <c r="D6844" s="21"/>
    </row>
    <row r="6845" spans="1:4" ht="12.75" customHeight="1" x14ac:dyDescent="0.2">
      <c r="A6845" s="21"/>
      <c r="B6845" s="3" t="s">
        <v>16</v>
      </c>
      <c r="C6845" s="20"/>
      <c r="D6845" s="21"/>
    </row>
    <row r="6846" spans="1:4" ht="12.75" customHeight="1" x14ac:dyDescent="0.2">
      <c r="A6846" s="21"/>
      <c r="B6846" s="3" t="s">
        <v>17</v>
      </c>
      <c r="C6846" s="20"/>
      <c r="D6846" s="21"/>
    </row>
    <row r="6847" spans="1:4" ht="12.75" customHeight="1" x14ac:dyDescent="0.2">
      <c r="A6847" s="21"/>
      <c r="B6847" s="20" t="s">
        <v>18</v>
      </c>
      <c r="C6847" s="4" t="s">
        <v>193</v>
      </c>
      <c r="D6847" s="6" t="str">
        <f>HYPERLINK("javascript:void(0)","dadacsiganyál")</f>
        <v>dadacsiganyál</v>
      </c>
    </row>
    <row r="6848" spans="1:4" ht="12.75" customHeight="1" x14ac:dyDescent="0.2">
      <c r="A6848" s="21"/>
      <c r="B6848" s="21"/>
      <c r="C6848" s="4" t="s">
        <v>265</v>
      </c>
      <c r="D6848" s="6" t="str">
        <f>HYPERLINK("javascript:void(0)","gyűrű")</f>
        <v>gyűrű</v>
      </c>
    </row>
    <row r="6849" spans="1:4" ht="12.75" customHeight="1" x14ac:dyDescent="0.2">
      <c r="A6849" s="21"/>
      <c r="B6849" s="21"/>
      <c r="C6849" s="4" t="s">
        <v>327</v>
      </c>
      <c r="D6849" s="6" t="str">
        <f>HYPERLINK("javascript:void(0)","istenköröm")</f>
        <v>istenköröm</v>
      </c>
    </row>
    <row r="6850" spans="1:4" ht="12.75" customHeight="1" x14ac:dyDescent="0.2">
      <c r="A6850" s="5"/>
      <c r="B6850" s="2"/>
      <c r="C6850" s="2"/>
      <c r="D6850" s="2"/>
    </row>
    <row r="6851" spans="1:4" ht="12.75" customHeight="1" x14ac:dyDescent="0.2">
      <c r="A6851" s="22" t="str">
        <f>HYPERLINK("javascript:void(0)","dínódorong")</f>
        <v>dínódorong</v>
      </c>
      <c r="B6851" s="21"/>
      <c r="C6851" s="21"/>
      <c r="D6851" s="21"/>
    </row>
    <row r="6852" spans="1:4" ht="12.75" customHeight="1" x14ac:dyDescent="0.2">
      <c r="A6852" s="20"/>
      <c r="B6852" s="2"/>
      <c r="C6852" s="2"/>
      <c r="D6852" s="2"/>
    </row>
    <row r="6853" spans="1:4" ht="12.75" customHeight="1" x14ac:dyDescent="0.2">
      <c r="A6853" s="21"/>
      <c r="B6853" s="3" t="s">
        <v>0</v>
      </c>
      <c r="C6853" s="20" t="s">
        <v>146</v>
      </c>
      <c r="D6853" s="21"/>
    </row>
    <row r="6854" spans="1:4" ht="12.75" customHeight="1" x14ac:dyDescent="0.2">
      <c r="A6854" s="21"/>
      <c r="B6854" s="3" t="s">
        <v>2</v>
      </c>
      <c r="C6854" s="20" t="s">
        <v>122</v>
      </c>
      <c r="D6854" s="21"/>
    </row>
    <row r="6855" spans="1:4" ht="12.75" customHeight="1" x14ac:dyDescent="0.2">
      <c r="A6855" s="21"/>
      <c r="B6855" s="3" t="s">
        <v>4</v>
      </c>
      <c r="C6855" s="20" t="s">
        <v>1754</v>
      </c>
      <c r="D6855" s="21"/>
    </row>
    <row r="6856" spans="1:4" ht="12.75" customHeight="1" x14ac:dyDescent="0.2">
      <c r="A6856" s="21"/>
      <c r="B6856" s="3" t="s">
        <v>6</v>
      </c>
      <c r="C6856" s="20" t="s">
        <v>385</v>
      </c>
      <c r="D6856" s="21"/>
    </row>
    <row r="6857" spans="1:4" ht="12.75" customHeight="1" x14ac:dyDescent="0.2">
      <c r="A6857" s="21"/>
      <c r="B6857" s="3" t="s">
        <v>8</v>
      </c>
      <c r="C6857" s="20" t="s">
        <v>1754</v>
      </c>
      <c r="D6857" s="21"/>
    </row>
    <row r="6858" spans="1:4" ht="12.75" customHeight="1" x14ac:dyDescent="0.2">
      <c r="A6858" s="21"/>
      <c r="B6858" s="3" t="s">
        <v>9</v>
      </c>
      <c r="C6858" s="20" t="s">
        <v>1734</v>
      </c>
      <c r="D6858" s="21"/>
    </row>
    <row r="6859" spans="1:4" ht="12.75" customHeight="1" x14ac:dyDescent="0.2">
      <c r="A6859" s="21"/>
      <c r="B6859" s="3" t="s">
        <v>11</v>
      </c>
      <c r="C6859" s="20" t="s">
        <v>1227</v>
      </c>
      <c r="D6859" s="21"/>
    </row>
    <row r="6860" spans="1:4" ht="12.75" customHeight="1" x14ac:dyDescent="0.2">
      <c r="A6860" s="21"/>
      <c r="B6860" s="3" t="s">
        <v>13</v>
      </c>
      <c r="C6860" s="20" t="s">
        <v>24</v>
      </c>
      <c r="D6860" s="21"/>
    </row>
    <row r="6861" spans="1:4" ht="12.75" customHeight="1" x14ac:dyDescent="0.2">
      <c r="A6861" s="21"/>
      <c r="B6861" s="3" t="s">
        <v>15</v>
      </c>
      <c r="C6861" s="20" t="s">
        <v>24</v>
      </c>
      <c r="D6861" s="21"/>
    </row>
    <row r="6862" spans="1:4" ht="12.75" customHeight="1" x14ac:dyDescent="0.2">
      <c r="A6862" s="21"/>
      <c r="B6862" s="3" t="s">
        <v>16</v>
      </c>
      <c r="C6862" s="20"/>
      <c r="D6862" s="21"/>
    </row>
    <row r="6863" spans="1:4" ht="12.75" customHeight="1" x14ac:dyDescent="0.2">
      <c r="A6863" s="21"/>
      <c r="B6863" s="3" t="s">
        <v>17</v>
      </c>
      <c r="C6863" s="20"/>
      <c r="D6863" s="21"/>
    </row>
    <row r="6864" spans="1:4" ht="12.75" customHeight="1" x14ac:dyDescent="0.2">
      <c r="A6864" s="21"/>
      <c r="B6864" s="20" t="s">
        <v>18</v>
      </c>
      <c r="C6864" s="4" t="s">
        <v>44</v>
      </c>
      <c r="D6864" s="6" t="str">
        <f>HYPERLINK("javascript:void(0)","tomboló tomfa")</f>
        <v>tomboló tomfa</v>
      </c>
    </row>
    <row r="6865" spans="1:4" ht="12.75" customHeight="1" x14ac:dyDescent="0.2">
      <c r="A6865" s="21"/>
      <c r="B6865" s="21"/>
      <c r="C6865" s="4" t="s">
        <v>130</v>
      </c>
      <c r="D6865" s="6" t="str">
        <f>HYPERLINK("javascript:void(0)","dínófog")</f>
        <v>dínófog</v>
      </c>
    </row>
    <row r="6866" spans="1:4" ht="12.75" customHeight="1" x14ac:dyDescent="0.2">
      <c r="A6866" s="21"/>
      <c r="B6866" s="21"/>
      <c r="C6866" s="4" t="s">
        <v>232</v>
      </c>
      <c r="D6866" s="6" t="str">
        <f>HYPERLINK("javascript:void(0)","minta")</f>
        <v>minta</v>
      </c>
    </row>
    <row r="6867" spans="1:4" ht="12.75" customHeight="1" x14ac:dyDescent="0.2">
      <c r="A6867" s="5"/>
      <c r="B6867" s="2"/>
      <c r="C6867" s="2"/>
      <c r="D6867" s="2"/>
    </row>
    <row r="6868" spans="1:4" ht="12.75" customHeight="1" x14ac:dyDescent="0.2">
      <c r="A6868" s="22" t="str">
        <f>HYPERLINK("javascript:void(0)","ultarövidbot")</f>
        <v>ultarövidbot</v>
      </c>
      <c r="B6868" s="21"/>
      <c r="C6868" s="21"/>
      <c r="D6868" s="21"/>
    </row>
    <row r="6869" spans="1:4" ht="12.75" customHeight="1" x14ac:dyDescent="0.2">
      <c r="A6869" s="20"/>
      <c r="B6869" s="2"/>
      <c r="C6869" s="2"/>
      <c r="D6869" s="2"/>
    </row>
    <row r="6870" spans="1:4" ht="12.75" customHeight="1" x14ac:dyDescent="0.2">
      <c r="A6870" s="21"/>
      <c r="B6870" s="3" t="s">
        <v>0</v>
      </c>
      <c r="C6870" s="20" t="s">
        <v>1373</v>
      </c>
      <c r="D6870" s="21"/>
    </row>
    <row r="6871" spans="1:4" ht="12.75" customHeight="1" x14ac:dyDescent="0.2">
      <c r="A6871" s="21"/>
      <c r="B6871" s="3" t="s">
        <v>2</v>
      </c>
      <c r="C6871" s="20" t="s">
        <v>122</v>
      </c>
      <c r="D6871" s="21"/>
    </row>
    <row r="6872" spans="1:4" ht="12.75" customHeight="1" x14ac:dyDescent="0.2">
      <c r="A6872" s="21"/>
      <c r="B6872" s="3" t="s">
        <v>4</v>
      </c>
      <c r="C6872" s="20" t="s">
        <v>1757</v>
      </c>
      <c r="D6872" s="21"/>
    </row>
    <row r="6873" spans="1:4" ht="12.75" customHeight="1" x14ac:dyDescent="0.2">
      <c r="A6873" s="21"/>
      <c r="B6873" s="3" t="s">
        <v>6</v>
      </c>
      <c r="C6873" s="20" t="s">
        <v>340</v>
      </c>
      <c r="D6873" s="21"/>
    </row>
    <row r="6874" spans="1:4" ht="12.75" customHeight="1" x14ac:dyDescent="0.2">
      <c r="A6874" s="21"/>
      <c r="B6874" s="3" t="s">
        <v>8</v>
      </c>
      <c r="C6874" s="20" t="s">
        <v>1757</v>
      </c>
      <c r="D6874" s="21"/>
    </row>
    <row r="6875" spans="1:4" ht="12.75" customHeight="1" x14ac:dyDescent="0.2">
      <c r="A6875" s="21"/>
      <c r="B6875" s="3" t="s">
        <v>9</v>
      </c>
      <c r="C6875" s="20" t="s">
        <v>1375</v>
      </c>
      <c r="D6875" s="21"/>
    </row>
    <row r="6876" spans="1:4" ht="12.75" customHeight="1" x14ac:dyDescent="0.2">
      <c r="A6876" s="21"/>
      <c r="B6876" s="3" t="s">
        <v>11</v>
      </c>
      <c r="C6876" s="20" t="s">
        <v>1241</v>
      </c>
      <c r="D6876" s="21"/>
    </row>
    <row r="6877" spans="1:4" ht="12.75" customHeight="1" x14ac:dyDescent="0.2">
      <c r="A6877" s="21"/>
      <c r="B6877" s="3" t="s">
        <v>13</v>
      </c>
      <c r="C6877" s="20" t="s">
        <v>24</v>
      </c>
      <c r="D6877" s="21"/>
    </row>
    <row r="6878" spans="1:4" ht="12.75" customHeight="1" x14ac:dyDescent="0.2">
      <c r="A6878" s="21"/>
      <c r="B6878" s="3" t="s">
        <v>15</v>
      </c>
      <c r="C6878" s="20" t="s">
        <v>24</v>
      </c>
      <c r="D6878" s="21"/>
    </row>
    <row r="6879" spans="1:4" ht="12.75" customHeight="1" x14ac:dyDescent="0.2">
      <c r="A6879" s="21"/>
      <c r="B6879" s="3" t="s">
        <v>16</v>
      </c>
      <c r="C6879" s="20"/>
      <c r="D6879" s="21"/>
    </row>
    <row r="6880" spans="1:4" ht="12.75" customHeight="1" x14ac:dyDescent="0.2">
      <c r="A6880" s="21"/>
      <c r="B6880" s="3" t="s">
        <v>17</v>
      </c>
      <c r="C6880" s="20"/>
      <c r="D6880" s="21"/>
    </row>
    <row r="6881" spans="1:4" ht="12.75" customHeight="1" x14ac:dyDescent="0.2">
      <c r="A6881" s="21"/>
      <c r="B6881" s="20" t="s">
        <v>18</v>
      </c>
      <c r="C6881" s="4" t="s">
        <v>142</v>
      </c>
      <c r="D6881" s="6" t="str">
        <f>HYPERLINK("javascript:void(0)","mütyür")</f>
        <v>mütyür</v>
      </c>
    </row>
    <row r="6882" spans="1:4" ht="12.75" customHeight="1" x14ac:dyDescent="0.2">
      <c r="A6882" s="21"/>
      <c r="B6882" s="21"/>
      <c r="C6882" s="4" t="s">
        <v>117</v>
      </c>
      <c r="D6882" s="6" t="str">
        <f>HYPERLINK("javascript:void(0)","regnum")</f>
        <v>regnum</v>
      </c>
    </row>
    <row r="6883" spans="1:4" ht="12.75" customHeight="1" x14ac:dyDescent="0.2">
      <c r="A6883" s="21"/>
      <c r="B6883" s="21"/>
      <c r="C6883" s="4" t="s">
        <v>228</v>
      </c>
      <c r="D6883" s="6" t="str">
        <f>HYPERLINK("javascript:void(0)","tejbeaprítás")</f>
        <v>tejbeaprítás</v>
      </c>
    </row>
    <row r="6884" spans="1:4" ht="12.75" customHeight="1" x14ac:dyDescent="0.2">
      <c r="A6884" s="5"/>
      <c r="B6884" s="2"/>
      <c r="C6884" s="2"/>
      <c r="D6884" s="2"/>
    </row>
    <row r="6885" spans="1:4" ht="12.75" customHeight="1" x14ac:dyDescent="0.2">
      <c r="A6885" s="22" t="str">
        <f>HYPERLINK("javascript:void(0)","tomporoló")</f>
        <v>tomporoló</v>
      </c>
      <c r="B6885" s="21"/>
      <c r="C6885" s="21"/>
      <c r="D6885" s="21"/>
    </row>
    <row r="6886" spans="1:4" ht="12.75" customHeight="1" x14ac:dyDescent="0.2">
      <c r="A6886" s="20"/>
      <c r="B6886" s="2"/>
      <c r="C6886" s="2"/>
      <c r="D6886" s="2"/>
    </row>
    <row r="6887" spans="1:4" ht="12.75" customHeight="1" x14ac:dyDescent="0.2">
      <c r="A6887" s="21"/>
      <c r="B6887" s="3" t="s">
        <v>0</v>
      </c>
      <c r="C6887" s="20" t="s">
        <v>1381</v>
      </c>
      <c r="D6887" s="21"/>
    </row>
    <row r="6888" spans="1:4" ht="12.75" customHeight="1" x14ac:dyDescent="0.2">
      <c r="A6888" s="21"/>
      <c r="B6888" s="3" t="s">
        <v>2</v>
      </c>
      <c r="C6888" s="20" t="s">
        <v>122</v>
      </c>
      <c r="D6888" s="21"/>
    </row>
    <row r="6889" spans="1:4" ht="12.75" customHeight="1" x14ac:dyDescent="0.2">
      <c r="A6889" s="21"/>
      <c r="B6889" s="3" t="s">
        <v>4</v>
      </c>
      <c r="C6889" s="20" t="s">
        <v>1760</v>
      </c>
      <c r="D6889" s="21"/>
    </row>
    <row r="6890" spans="1:4" ht="12.75" customHeight="1" x14ac:dyDescent="0.2">
      <c r="A6890" s="21"/>
      <c r="B6890" s="3" t="s">
        <v>6</v>
      </c>
      <c r="C6890" s="20" t="s">
        <v>353</v>
      </c>
      <c r="D6890" s="21"/>
    </row>
    <row r="6891" spans="1:4" ht="12.75" customHeight="1" x14ac:dyDescent="0.2">
      <c r="A6891" s="21"/>
      <c r="B6891" s="3" t="s">
        <v>8</v>
      </c>
      <c r="C6891" s="20" t="s">
        <v>1760</v>
      </c>
      <c r="D6891" s="21"/>
    </row>
    <row r="6892" spans="1:4" ht="12.75" customHeight="1" x14ac:dyDescent="0.2">
      <c r="A6892" s="21"/>
      <c r="B6892" s="3" t="s">
        <v>9</v>
      </c>
      <c r="C6892" s="20" t="s">
        <v>1383</v>
      </c>
      <c r="D6892" s="21"/>
    </row>
    <row r="6893" spans="1:4" ht="12.75" customHeight="1" x14ac:dyDescent="0.2">
      <c r="A6893" s="21"/>
      <c r="B6893" s="3" t="s">
        <v>11</v>
      </c>
      <c r="C6893" s="20" t="s">
        <v>1261</v>
      </c>
      <c r="D6893" s="21"/>
    </row>
    <row r="6894" spans="1:4" ht="12.75" customHeight="1" x14ac:dyDescent="0.2">
      <c r="A6894" s="21"/>
      <c r="B6894" s="3" t="s">
        <v>13</v>
      </c>
      <c r="C6894" s="20" t="s">
        <v>24</v>
      </c>
      <c r="D6894" s="21"/>
    </row>
    <row r="6895" spans="1:4" ht="12.75" customHeight="1" x14ac:dyDescent="0.2">
      <c r="A6895" s="21"/>
      <c r="B6895" s="3" t="s">
        <v>15</v>
      </c>
      <c r="C6895" s="20" t="s">
        <v>24</v>
      </c>
      <c r="D6895" s="21"/>
    </row>
    <row r="6896" spans="1:4" ht="12.75" customHeight="1" x14ac:dyDescent="0.2">
      <c r="A6896" s="21"/>
      <c r="B6896" s="3" t="s">
        <v>16</v>
      </c>
      <c r="C6896" s="20"/>
      <c r="D6896" s="21"/>
    </row>
    <row r="6897" spans="1:4" ht="12.75" customHeight="1" x14ac:dyDescent="0.2">
      <c r="A6897" s="21"/>
      <c r="B6897" s="3" t="s">
        <v>17</v>
      </c>
      <c r="C6897" s="20"/>
      <c r="D6897" s="21"/>
    </row>
    <row r="6898" spans="1:4" ht="12.75" customHeight="1" x14ac:dyDescent="0.2">
      <c r="A6898" s="21"/>
      <c r="B6898" s="20" t="s">
        <v>18</v>
      </c>
      <c r="C6898" s="4" t="s">
        <v>44</v>
      </c>
      <c r="D6898" s="6" t="str">
        <f>HYPERLINK("javascript:void(0)","dínódorong")</f>
        <v>dínódorong</v>
      </c>
    </row>
    <row r="6899" spans="1:4" ht="12.75" customHeight="1" x14ac:dyDescent="0.2">
      <c r="A6899" s="21"/>
      <c r="B6899" s="21"/>
      <c r="C6899" s="4" t="s">
        <v>44</v>
      </c>
      <c r="D6899" s="6" t="str">
        <f>HYPERLINK("javascript:void(0)","ultarövidbot")</f>
        <v>ultarövidbot</v>
      </c>
    </row>
    <row r="6900" spans="1:4" ht="12.75" customHeight="1" x14ac:dyDescent="0.2">
      <c r="A6900" s="21"/>
      <c r="B6900" s="21"/>
      <c r="C6900" s="4" t="s">
        <v>196</v>
      </c>
      <c r="D6900" s="6" t="str">
        <f>HYPERLINK("javascript:void(0)","tompor")</f>
        <v>tompor</v>
      </c>
    </row>
    <row r="6901" spans="1:4" ht="12.75" customHeight="1" x14ac:dyDescent="0.2">
      <c r="A6901" s="5"/>
      <c r="B6901" s="2"/>
      <c r="C6901" s="2"/>
      <c r="D6901" s="2"/>
    </row>
    <row r="6902" spans="1:4" ht="12.75" customHeight="1" x14ac:dyDescent="0.2">
      <c r="A6902" s="22" t="str">
        <f>HYPERLINK("javascript:void(0)","homályhusáng")</f>
        <v>homályhusáng</v>
      </c>
      <c r="B6902" s="21"/>
      <c r="C6902" s="21"/>
      <c r="D6902" s="21"/>
    </row>
    <row r="6903" spans="1:4" ht="12.75" customHeight="1" x14ac:dyDescent="0.2">
      <c r="A6903" s="20"/>
      <c r="B6903" s="2"/>
      <c r="C6903" s="2"/>
      <c r="D6903" s="2"/>
    </row>
    <row r="6904" spans="1:4" ht="12.75" customHeight="1" x14ac:dyDescent="0.2">
      <c r="A6904" s="21"/>
      <c r="B6904" s="3" t="s">
        <v>0</v>
      </c>
      <c r="C6904" s="20" t="s">
        <v>1385</v>
      </c>
      <c r="D6904" s="21"/>
    </row>
    <row r="6905" spans="1:4" ht="12.75" customHeight="1" x14ac:dyDescent="0.2">
      <c r="A6905" s="21"/>
      <c r="B6905" s="3" t="s">
        <v>2</v>
      </c>
      <c r="C6905" s="20" t="s">
        <v>122</v>
      </c>
      <c r="D6905" s="21"/>
    </row>
    <row r="6906" spans="1:4" ht="12.75" customHeight="1" x14ac:dyDescent="0.2">
      <c r="A6906" s="21"/>
      <c r="B6906" s="3" t="s">
        <v>4</v>
      </c>
      <c r="C6906" s="20" t="s">
        <v>1762</v>
      </c>
      <c r="D6906" s="21"/>
    </row>
    <row r="6907" spans="1:4" ht="12.75" customHeight="1" x14ac:dyDescent="0.2">
      <c r="A6907" s="21"/>
      <c r="B6907" s="3" t="s">
        <v>6</v>
      </c>
      <c r="C6907" s="20" t="s">
        <v>192</v>
      </c>
      <c r="D6907" s="21"/>
    </row>
    <row r="6908" spans="1:4" ht="12.75" customHeight="1" x14ac:dyDescent="0.2">
      <c r="A6908" s="21"/>
      <c r="B6908" s="3" t="s">
        <v>8</v>
      </c>
      <c r="C6908" s="20" t="s">
        <v>1762</v>
      </c>
      <c r="D6908" s="21"/>
    </row>
    <row r="6909" spans="1:4" ht="12.75" customHeight="1" x14ac:dyDescent="0.2">
      <c r="A6909" s="21"/>
      <c r="B6909" s="3" t="s">
        <v>9</v>
      </c>
      <c r="C6909" s="20" t="s">
        <v>1387</v>
      </c>
      <c r="D6909" s="21"/>
    </row>
    <row r="6910" spans="1:4" ht="12.75" customHeight="1" x14ac:dyDescent="0.2">
      <c r="A6910" s="21"/>
      <c r="B6910" s="3" t="s">
        <v>11</v>
      </c>
      <c r="C6910" s="20" t="s">
        <v>1276</v>
      </c>
      <c r="D6910" s="21"/>
    </row>
    <row r="6911" spans="1:4" ht="12.75" customHeight="1" x14ac:dyDescent="0.2">
      <c r="A6911" s="21"/>
      <c r="B6911" s="3" t="s">
        <v>13</v>
      </c>
      <c r="C6911" s="20" t="s">
        <v>24</v>
      </c>
      <c r="D6911" s="21"/>
    </row>
    <row r="6912" spans="1:4" ht="12.75" customHeight="1" x14ac:dyDescent="0.2">
      <c r="A6912" s="21"/>
      <c r="B6912" s="3" t="s">
        <v>15</v>
      </c>
      <c r="C6912" s="20" t="s">
        <v>24</v>
      </c>
      <c r="D6912" s="21"/>
    </row>
    <row r="6913" spans="1:4" ht="12.75" customHeight="1" x14ac:dyDescent="0.2">
      <c r="A6913" s="21"/>
      <c r="B6913" s="3" t="s">
        <v>16</v>
      </c>
      <c r="C6913" s="20"/>
      <c r="D6913" s="21"/>
    </row>
    <row r="6914" spans="1:4" ht="12.75" customHeight="1" x14ac:dyDescent="0.2">
      <c r="A6914" s="21"/>
      <c r="B6914" s="3" t="s">
        <v>17</v>
      </c>
      <c r="C6914" s="20"/>
      <c r="D6914" s="21"/>
    </row>
    <row r="6915" spans="1:4" ht="12.75" customHeight="1" x14ac:dyDescent="0.2">
      <c r="A6915" s="21"/>
      <c r="B6915" s="20" t="s">
        <v>18</v>
      </c>
      <c r="C6915" s="4" t="s">
        <v>44</v>
      </c>
      <c r="D6915" s="6" t="str">
        <f>HYPERLINK("javascript:void(0)","tomporoló")</f>
        <v>tomporoló</v>
      </c>
    </row>
    <row r="6916" spans="1:4" ht="12.75" customHeight="1" x14ac:dyDescent="0.2">
      <c r="A6916" s="21"/>
      <c r="B6916" s="21"/>
      <c r="C6916" s="4" t="s">
        <v>77</v>
      </c>
      <c r="D6916" s="6" t="str">
        <f>HYPERLINK("javascript:void(0)","ködige")</f>
        <v>ködige</v>
      </c>
    </row>
    <row r="6917" spans="1:4" ht="12.75" customHeight="1" x14ac:dyDescent="0.2">
      <c r="A6917" s="21"/>
      <c r="B6917" s="21"/>
      <c r="C6917" s="4" t="s">
        <v>988</v>
      </c>
      <c r="D6917" s="6" t="str">
        <f>HYPERLINK("javascript:void(0)","cerka")</f>
        <v>cerka</v>
      </c>
    </row>
    <row r="6918" spans="1:4" ht="12.75" customHeight="1" x14ac:dyDescent="0.2">
      <c r="A6918" s="5"/>
      <c r="B6918" s="2"/>
      <c r="C6918" s="2"/>
      <c r="D6918" s="2"/>
    </row>
    <row r="6919" spans="1:4" ht="12.75" customHeight="1" x14ac:dyDescent="0.2">
      <c r="A6919" s="22" t="str">
        <f>HYPERLINK("javascript:void(0)","hukkalapács")</f>
        <v>hukkalapács</v>
      </c>
      <c r="B6919" s="21"/>
      <c r="C6919" s="21"/>
      <c r="D6919" s="21"/>
    </row>
    <row r="6920" spans="1:4" ht="12.75" customHeight="1" x14ac:dyDescent="0.2">
      <c r="A6920" s="20"/>
      <c r="B6920" s="2"/>
      <c r="C6920" s="2"/>
      <c r="D6920" s="2"/>
    </row>
    <row r="6921" spans="1:4" ht="12.75" customHeight="1" x14ac:dyDescent="0.2">
      <c r="A6921" s="21"/>
      <c r="B6921" s="3" t="s">
        <v>0</v>
      </c>
      <c r="C6921" s="20" t="s">
        <v>1390</v>
      </c>
      <c r="D6921" s="21"/>
    </row>
    <row r="6922" spans="1:4" ht="12.75" customHeight="1" x14ac:dyDescent="0.2">
      <c r="A6922" s="21"/>
      <c r="B6922" s="3" t="s">
        <v>2</v>
      </c>
      <c r="C6922" s="20" t="s">
        <v>122</v>
      </c>
      <c r="D6922" s="21"/>
    </row>
    <row r="6923" spans="1:4" ht="12.75" customHeight="1" x14ac:dyDescent="0.2">
      <c r="A6923" s="21"/>
      <c r="B6923" s="3" t="s">
        <v>4</v>
      </c>
      <c r="C6923" s="20" t="s">
        <v>1765</v>
      </c>
      <c r="D6923" s="21"/>
    </row>
    <row r="6924" spans="1:4" ht="12.75" customHeight="1" x14ac:dyDescent="0.2">
      <c r="A6924" s="21"/>
      <c r="B6924" s="3" t="s">
        <v>6</v>
      </c>
      <c r="C6924" s="20" t="s">
        <v>260</v>
      </c>
      <c r="D6924" s="21"/>
    </row>
    <row r="6925" spans="1:4" ht="12.75" customHeight="1" x14ac:dyDescent="0.2">
      <c r="A6925" s="21"/>
      <c r="B6925" s="3" t="s">
        <v>8</v>
      </c>
      <c r="C6925" s="20" t="s">
        <v>1765</v>
      </c>
      <c r="D6925" s="21"/>
    </row>
    <row r="6926" spans="1:4" ht="12.75" customHeight="1" x14ac:dyDescent="0.2">
      <c r="A6926" s="21"/>
      <c r="B6926" s="3" t="s">
        <v>9</v>
      </c>
      <c r="C6926" s="20" t="s">
        <v>1766</v>
      </c>
      <c r="D6926" s="21"/>
    </row>
    <row r="6927" spans="1:4" ht="12.75" customHeight="1" x14ac:dyDescent="0.2">
      <c r="A6927" s="21"/>
      <c r="B6927" s="3" t="s">
        <v>11</v>
      </c>
      <c r="C6927" s="20" t="s">
        <v>1291</v>
      </c>
      <c r="D6927" s="21"/>
    </row>
    <row r="6928" spans="1:4" ht="12.75" customHeight="1" x14ac:dyDescent="0.2">
      <c r="A6928" s="21"/>
      <c r="B6928" s="3" t="s">
        <v>13</v>
      </c>
      <c r="C6928" s="20" t="s">
        <v>24</v>
      </c>
      <c r="D6928" s="21"/>
    </row>
    <row r="6929" spans="1:4" ht="12.75" customHeight="1" x14ac:dyDescent="0.2">
      <c r="A6929" s="21"/>
      <c r="B6929" s="3" t="s">
        <v>15</v>
      </c>
      <c r="C6929" s="20" t="s">
        <v>24</v>
      </c>
      <c r="D6929" s="21"/>
    </row>
    <row r="6930" spans="1:4" ht="12.75" customHeight="1" x14ac:dyDescent="0.2">
      <c r="A6930" s="21"/>
      <c r="B6930" s="3" t="s">
        <v>16</v>
      </c>
      <c r="C6930" s="20"/>
      <c r="D6930" s="21"/>
    </row>
    <row r="6931" spans="1:4" ht="12.75" customHeight="1" x14ac:dyDescent="0.2">
      <c r="A6931" s="21"/>
      <c r="B6931" s="3" t="s">
        <v>17</v>
      </c>
      <c r="C6931" s="20"/>
      <c r="D6931" s="21"/>
    </row>
    <row r="6932" spans="1:4" ht="12.75" customHeight="1" x14ac:dyDescent="0.2">
      <c r="A6932" s="21"/>
      <c r="B6932" s="20" t="s">
        <v>18</v>
      </c>
      <c r="C6932" s="4" t="s">
        <v>265</v>
      </c>
      <c r="D6932" s="6" t="str">
        <f>HYPERLINK("javascript:void(0)","hukkantás")</f>
        <v>hukkantás</v>
      </c>
    </row>
    <row r="6933" spans="1:4" ht="12.75" customHeight="1" x14ac:dyDescent="0.2">
      <c r="A6933" s="21"/>
      <c r="B6933" s="21"/>
      <c r="C6933" s="4" t="s">
        <v>331</v>
      </c>
      <c r="D6933" s="6" t="str">
        <f>HYPERLINK("javascript:void(0)","átokhordozó")</f>
        <v>átokhordozó</v>
      </c>
    </row>
    <row r="6934" spans="1:4" ht="12.75" customHeight="1" x14ac:dyDescent="0.2">
      <c r="A6934" s="21"/>
      <c r="B6934" s="21"/>
      <c r="C6934" s="4" t="s">
        <v>296</v>
      </c>
      <c r="D6934" s="6" t="str">
        <f>HYPERLINK("javascript:void(0)","dínófog")</f>
        <v>dínófog</v>
      </c>
    </row>
    <row r="6935" spans="1:4" ht="12.75" customHeight="1" x14ac:dyDescent="0.2">
      <c r="A6935" s="5"/>
      <c r="B6935" s="2"/>
      <c r="C6935" s="2"/>
      <c r="D6935" s="2"/>
    </row>
    <row r="6936" spans="1:4" ht="12.75" customHeight="1" x14ac:dyDescent="0.2">
      <c r="A6936" s="22" t="str">
        <f>HYPERLINK("javascript:void(0)","tüskés pöröly")</f>
        <v>tüskés pöröly</v>
      </c>
      <c r="B6936" s="21"/>
      <c r="C6936" s="21"/>
      <c r="D6936" s="21"/>
    </row>
    <row r="6937" spans="1:4" ht="12.75" customHeight="1" x14ac:dyDescent="0.2">
      <c r="A6937" s="20"/>
      <c r="B6937" s="2"/>
      <c r="C6937" s="2"/>
      <c r="D6937" s="2"/>
    </row>
    <row r="6938" spans="1:4" ht="12.75" customHeight="1" x14ac:dyDescent="0.2">
      <c r="A6938" s="21"/>
      <c r="B6938" s="3" t="s">
        <v>0</v>
      </c>
      <c r="C6938" s="20" t="s">
        <v>411</v>
      </c>
      <c r="D6938" s="21"/>
    </row>
    <row r="6939" spans="1:4" ht="12.75" customHeight="1" x14ac:dyDescent="0.2">
      <c r="A6939" s="21"/>
      <c r="B6939" s="3" t="s">
        <v>2</v>
      </c>
      <c r="C6939" s="20" t="s">
        <v>122</v>
      </c>
      <c r="D6939" s="21"/>
    </row>
    <row r="6940" spans="1:4" ht="12.75" customHeight="1" x14ac:dyDescent="0.2">
      <c r="A6940" s="21"/>
      <c r="B6940" s="3" t="s">
        <v>4</v>
      </c>
      <c r="C6940" s="20" t="s">
        <v>1769</v>
      </c>
      <c r="D6940" s="21"/>
    </row>
    <row r="6941" spans="1:4" ht="12.75" customHeight="1" x14ac:dyDescent="0.2">
      <c r="A6941" s="21"/>
      <c r="B6941" s="3" t="s">
        <v>6</v>
      </c>
      <c r="C6941" s="20" t="s">
        <v>178</v>
      </c>
      <c r="D6941" s="21"/>
    </row>
    <row r="6942" spans="1:4" ht="12.75" customHeight="1" x14ac:dyDescent="0.2">
      <c r="A6942" s="21"/>
      <c r="B6942" s="3" t="s">
        <v>8</v>
      </c>
      <c r="C6942" s="20" t="s">
        <v>1769</v>
      </c>
      <c r="D6942" s="21"/>
    </row>
    <row r="6943" spans="1:4" ht="12.75" customHeight="1" x14ac:dyDescent="0.2">
      <c r="A6943" s="21"/>
      <c r="B6943" s="3" t="s">
        <v>9</v>
      </c>
      <c r="C6943" s="20" t="s">
        <v>1392</v>
      </c>
      <c r="D6943" s="21"/>
    </row>
    <row r="6944" spans="1:4" ht="12.75" customHeight="1" x14ac:dyDescent="0.2">
      <c r="A6944" s="21"/>
      <c r="B6944" s="3" t="s">
        <v>11</v>
      </c>
      <c r="C6944" s="20" t="s">
        <v>1305</v>
      </c>
      <c r="D6944" s="21"/>
    </row>
    <row r="6945" spans="1:4" ht="12.75" customHeight="1" x14ac:dyDescent="0.2">
      <c r="A6945" s="21"/>
      <c r="B6945" s="3" t="s">
        <v>13</v>
      </c>
      <c r="C6945" s="20" t="s">
        <v>24</v>
      </c>
      <c r="D6945" s="21"/>
    </row>
    <row r="6946" spans="1:4" ht="12.75" customHeight="1" x14ac:dyDescent="0.2">
      <c r="A6946" s="21"/>
      <c r="B6946" s="3" t="s">
        <v>15</v>
      </c>
      <c r="C6946" s="20" t="s">
        <v>24</v>
      </c>
      <c r="D6946" s="21"/>
    </row>
    <row r="6947" spans="1:4" ht="12.75" customHeight="1" x14ac:dyDescent="0.2">
      <c r="A6947" s="21"/>
      <c r="B6947" s="3" t="s">
        <v>16</v>
      </c>
      <c r="C6947" s="20"/>
      <c r="D6947" s="21"/>
    </row>
    <row r="6948" spans="1:4" ht="12.75" customHeight="1" x14ac:dyDescent="0.2">
      <c r="A6948" s="21"/>
      <c r="B6948" s="3" t="s">
        <v>17</v>
      </c>
      <c r="C6948" s="20"/>
      <c r="D6948" s="21"/>
    </row>
    <row r="6949" spans="1:4" ht="12.75" customHeight="1" x14ac:dyDescent="0.2">
      <c r="A6949" s="21"/>
      <c r="B6949" s="20" t="s">
        <v>18</v>
      </c>
      <c r="C6949" s="4" t="s">
        <v>44</v>
      </c>
      <c r="D6949" s="6" t="str">
        <f>HYPERLINK("javascript:void(0)","homályhusáng")</f>
        <v>homályhusáng</v>
      </c>
    </row>
    <row r="6950" spans="1:4" ht="12.75" customHeight="1" x14ac:dyDescent="0.2">
      <c r="A6950" s="21"/>
      <c r="B6950" s="21"/>
      <c r="C6950" s="4" t="s">
        <v>44</v>
      </c>
      <c r="D6950" s="6" t="str">
        <f>HYPERLINK("javascript:void(0)","hukkalapács")</f>
        <v>hukkalapács</v>
      </c>
    </row>
    <row r="6951" spans="1:4" ht="12.75" customHeight="1" x14ac:dyDescent="0.2">
      <c r="A6951" s="21"/>
      <c r="B6951" s="21"/>
      <c r="C6951" s="4" t="s">
        <v>142</v>
      </c>
      <c r="D6951" s="6" t="str">
        <f>HYPERLINK("javascript:void(0)","tőrpenge")</f>
        <v>tőrpenge</v>
      </c>
    </row>
    <row r="6952" spans="1:4" ht="12.75" customHeight="1" x14ac:dyDescent="0.2">
      <c r="A6952" s="5"/>
      <c r="B6952" s="2"/>
      <c r="C6952" s="2"/>
      <c r="D6952" s="2"/>
    </row>
    <row r="6953" spans="1:4" ht="12.75" customHeight="1" x14ac:dyDescent="0.2">
      <c r="A6953" s="22" t="str">
        <f>HYPERLINK("javascript:void(0)","dzsinndorong")</f>
        <v>dzsinndorong</v>
      </c>
      <c r="B6953" s="21"/>
      <c r="C6953" s="21"/>
      <c r="D6953" s="21"/>
    </row>
    <row r="6954" spans="1:4" ht="12.75" customHeight="1" x14ac:dyDescent="0.2">
      <c r="A6954" s="20"/>
      <c r="B6954" s="2"/>
      <c r="C6954" s="2"/>
      <c r="D6954" s="2"/>
    </row>
    <row r="6955" spans="1:4" ht="12.75" customHeight="1" x14ac:dyDescent="0.2">
      <c r="A6955" s="21"/>
      <c r="B6955" s="3" t="s">
        <v>0</v>
      </c>
      <c r="C6955" s="20" t="s">
        <v>1400</v>
      </c>
      <c r="D6955" s="21"/>
    </row>
    <row r="6956" spans="1:4" ht="12.75" customHeight="1" x14ac:dyDescent="0.2">
      <c r="A6956" s="21"/>
      <c r="B6956" s="3" t="s">
        <v>2</v>
      </c>
      <c r="C6956" s="20" t="s">
        <v>122</v>
      </c>
      <c r="D6956" s="21"/>
    </row>
    <row r="6957" spans="1:4" ht="12.75" customHeight="1" x14ac:dyDescent="0.2">
      <c r="A6957" s="21"/>
      <c r="B6957" s="3" t="s">
        <v>4</v>
      </c>
      <c r="C6957" s="20" t="s">
        <v>1772</v>
      </c>
      <c r="D6957" s="21"/>
    </row>
    <row r="6958" spans="1:4" ht="12.75" customHeight="1" x14ac:dyDescent="0.2">
      <c r="A6958" s="21"/>
      <c r="B6958" s="3" t="s">
        <v>6</v>
      </c>
      <c r="C6958" s="20" t="s">
        <v>291</v>
      </c>
      <c r="D6958" s="21"/>
    </row>
    <row r="6959" spans="1:4" ht="12.75" customHeight="1" x14ac:dyDescent="0.2">
      <c r="A6959" s="21"/>
      <c r="B6959" s="3" t="s">
        <v>8</v>
      </c>
      <c r="C6959" s="20" t="s">
        <v>1772</v>
      </c>
      <c r="D6959" s="21"/>
    </row>
    <row r="6960" spans="1:4" ht="12.75" customHeight="1" x14ac:dyDescent="0.2">
      <c r="A6960" s="21"/>
      <c r="B6960" s="3" t="s">
        <v>9</v>
      </c>
      <c r="C6960" s="20" t="s">
        <v>1383</v>
      </c>
      <c r="D6960" s="21"/>
    </row>
    <row r="6961" spans="1:4" ht="12.75" customHeight="1" x14ac:dyDescent="0.2">
      <c r="A6961" s="21"/>
      <c r="B6961" s="3" t="s">
        <v>11</v>
      </c>
      <c r="C6961" s="20" t="s">
        <v>1319</v>
      </c>
      <c r="D6961" s="21"/>
    </row>
    <row r="6962" spans="1:4" ht="12.75" customHeight="1" x14ac:dyDescent="0.2">
      <c r="A6962" s="21"/>
      <c r="B6962" s="3" t="s">
        <v>13</v>
      </c>
      <c r="C6962" s="20" t="s">
        <v>24</v>
      </c>
      <c r="D6962" s="21"/>
    </row>
    <row r="6963" spans="1:4" ht="12.75" customHeight="1" x14ac:dyDescent="0.2">
      <c r="A6963" s="21"/>
      <c r="B6963" s="3" t="s">
        <v>15</v>
      </c>
      <c r="C6963" s="20" t="s">
        <v>24</v>
      </c>
      <c r="D6963" s="21"/>
    </row>
    <row r="6964" spans="1:4" ht="12.75" customHeight="1" x14ac:dyDescent="0.2">
      <c r="A6964" s="21"/>
      <c r="B6964" s="3" t="s">
        <v>16</v>
      </c>
      <c r="C6964" s="20"/>
      <c r="D6964" s="21"/>
    </row>
    <row r="6965" spans="1:4" ht="12.75" customHeight="1" x14ac:dyDescent="0.2">
      <c r="A6965" s="21"/>
      <c r="B6965" s="3" t="s">
        <v>17</v>
      </c>
      <c r="C6965" s="20"/>
      <c r="D6965" s="21"/>
    </row>
    <row r="6966" spans="1:4" ht="12.75" customHeight="1" x14ac:dyDescent="0.2">
      <c r="A6966" s="21"/>
      <c r="B6966" s="20" t="s">
        <v>18</v>
      </c>
      <c r="C6966" s="4" t="s">
        <v>44</v>
      </c>
      <c r="D6966" s="6" t="str">
        <f>HYPERLINK("javascript:void(0)","tüskés pöröly")</f>
        <v>tüskés pöröly</v>
      </c>
    </row>
    <row r="6967" spans="1:4" ht="12.75" customHeight="1" x14ac:dyDescent="0.2">
      <c r="A6967" s="21"/>
      <c r="B6967" s="21"/>
      <c r="C6967" s="4" t="s">
        <v>68</v>
      </c>
      <c r="D6967" s="6" t="str">
        <f>HYPERLINK("javascript:void(0)","kívánság")</f>
        <v>kívánság</v>
      </c>
    </row>
    <row r="6968" spans="1:4" ht="12.75" customHeight="1" x14ac:dyDescent="0.2">
      <c r="A6968" s="21"/>
      <c r="B6968" s="21"/>
      <c r="C6968" s="4" t="s">
        <v>309</v>
      </c>
      <c r="D6968" s="6" t="str">
        <f>HYPERLINK("javascript:void(0)","ellenige")</f>
        <v>ellenige</v>
      </c>
    </row>
    <row r="6969" spans="1:4" ht="12.75" customHeight="1" x14ac:dyDescent="0.2">
      <c r="A6969" s="5"/>
      <c r="B6969" s="2"/>
      <c r="C6969" s="2"/>
      <c r="D6969" s="2"/>
    </row>
    <row r="6970" spans="1:4" ht="12.75" customHeight="1" x14ac:dyDescent="0.2">
      <c r="A6970" s="22" t="str">
        <f>HYPERLINK("javascript:void(0)","animált csép")</f>
        <v>animált csép</v>
      </c>
      <c r="B6970" s="21"/>
      <c r="C6970" s="21"/>
      <c r="D6970" s="21"/>
    </row>
    <row r="6971" spans="1:4" ht="12.75" customHeight="1" x14ac:dyDescent="0.2">
      <c r="A6971" s="20"/>
      <c r="B6971" s="2"/>
      <c r="C6971" s="2"/>
      <c r="D6971" s="2"/>
    </row>
    <row r="6972" spans="1:4" ht="12.75" customHeight="1" x14ac:dyDescent="0.2">
      <c r="A6972" s="21"/>
      <c r="B6972" s="3" t="s">
        <v>0</v>
      </c>
      <c r="C6972" s="20" t="s">
        <v>1406</v>
      </c>
      <c r="D6972" s="21"/>
    </row>
    <row r="6973" spans="1:4" ht="12.75" customHeight="1" x14ac:dyDescent="0.2">
      <c r="A6973" s="21"/>
      <c r="B6973" s="3" t="s">
        <v>2</v>
      </c>
      <c r="C6973" s="20" t="s">
        <v>122</v>
      </c>
      <c r="D6973" s="21"/>
    </row>
    <row r="6974" spans="1:4" ht="12.75" customHeight="1" x14ac:dyDescent="0.2">
      <c r="A6974" s="21"/>
      <c r="B6974" s="3" t="s">
        <v>4</v>
      </c>
      <c r="C6974" s="20" t="s">
        <v>1775</v>
      </c>
      <c r="D6974" s="21"/>
    </row>
    <row r="6975" spans="1:4" ht="12.75" customHeight="1" x14ac:dyDescent="0.2">
      <c r="A6975" s="21"/>
      <c r="B6975" s="3" t="s">
        <v>6</v>
      </c>
      <c r="C6975" s="20" t="s">
        <v>353</v>
      </c>
      <c r="D6975" s="21"/>
    </row>
    <row r="6976" spans="1:4" ht="12.75" customHeight="1" x14ac:dyDescent="0.2">
      <c r="A6976" s="21"/>
      <c r="B6976" s="3" t="s">
        <v>8</v>
      </c>
      <c r="C6976" s="20" t="s">
        <v>1775</v>
      </c>
      <c r="D6976" s="21"/>
    </row>
    <row r="6977" spans="1:4" ht="12.75" customHeight="1" x14ac:dyDescent="0.2">
      <c r="A6977" s="21"/>
      <c r="B6977" s="3" t="s">
        <v>9</v>
      </c>
      <c r="C6977" s="20" t="s">
        <v>1408</v>
      </c>
      <c r="D6977" s="21"/>
    </row>
    <row r="6978" spans="1:4" ht="12.75" customHeight="1" x14ac:dyDescent="0.2">
      <c r="A6978" s="21"/>
      <c r="B6978" s="3" t="s">
        <v>11</v>
      </c>
      <c r="C6978" s="20" t="s">
        <v>1338</v>
      </c>
      <c r="D6978" s="21"/>
    </row>
    <row r="6979" spans="1:4" ht="12.75" customHeight="1" x14ac:dyDescent="0.2">
      <c r="A6979" s="21"/>
      <c r="B6979" s="3" t="s">
        <v>13</v>
      </c>
      <c r="C6979" s="20" t="s">
        <v>24</v>
      </c>
      <c r="D6979" s="21"/>
    </row>
    <row r="6980" spans="1:4" ht="12.75" customHeight="1" x14ac:dyDescent="0.2">
      <c r="A6980" s="21"/>
      <c r="B6980" s="3" t="s">
        <v>15</v>
      </c>
      <c r="C6980" s="20" t="s">
        <v>24</v>
      </c>
      <c r="D6980" s="21"/>
    </row>
    <row r="6981" spans="1:4" ht="12.75" customHeight="1" x14ac:dyDescent="0.2">
      <c r="A6981" s="21"/>
      <c r="B6981" s="3" t="s">
        <v>16</v>
      </c>
      <c r="C6981" s="20"/>
      <c r="D6981" s="21"/>
    </row>
    <row r="6982" spans="1:4" ht="12.75" customHeight="1" x14ac:dyDescent="0.2">
      <c r="A6982" s="21"/>
      <c r="B6982" s="3" t="s">
        <v>17</v>
      </c>
      <c r="C6982" s="20"/>
      <c r="D6982" s="21"/>
    </row>
    <row r="6983" spans="1:4" ht="12.75" customHeight="1" x14ac:dyDescent="0.2">
      <c r="A6983" s="21"/>
      <c r="B6983" s="20" t="s">
        <v>18</v>
      </c>
      <c r="C6983" s="4" t="s">
        <v>142</v>
      </c>
      <c r="D6983" s="6" t="str">
        <f>HYPERLINK("javascript:void(0)","animált ige")</f>
        <v>animált ige</v>
      </c>
    </row>
    <row r="6984" spans="1:4" ht="12.75" customHeight="1" x14ac:dyDescent="0.2">
      <c r="A6984" s="21"/>
      <c r="B6984" s="21"/>
      <c r="C6984" s="4" t="s">
        <v>331</v>
      </c>
      <c r="D6984" s="6" t="str">
        <f>HYPERLINK("javascript:void(0)","szórioff")</f>
        <v>szórioff</v>
      </c>
    </row>
    <row r="6985" spans="1:4" ht="12.75" customHeight="1" x14ac:dyDescent="0.2">
      <c r="A6985" s="21"/>
      <c r="B6985" s="21"/>
      <c r="C6985" s="4" t="s">
        <v>98</v>
      </c>
      <c r="D6985" s="6" t="str">
        <f>HYPERLINK("javascript:void(0)","cseppkő")</f>
        <v>cseppkő</v>
      </c>
    </row>
    <row r="6986" spans="1:4" ht="12.75" customHeight="1" x14ac:dyDescent="0.2">
      <c r="A6986" s="5"/>
      <c r="B6986" s="2"/>
      <c r="C6986" s="2"/>
      <c r="D6986" s="2"/>
    </row>
    <row r="6987" spans="1:4" ht="12.75" customHeight="1" x14ac:dyDescent="0.2">
      <c r="A6987" s="22" t="str">
        <f>HYPERLINK("javascript:void(0)","rejtekszekerce")</f>
        <v>rejtekszekerce</v>
      </c>
      <c r="B6987" s="21"/>
      <c r="C6987" s="21"/>
      <c r="D6987" s="21"/>
    </row>
    <row r="6988" spans="1:4" ht="12.75" customHeight="1" x14ac:dyDescent="0.2">
      <c r="A6988" s="20"/>
      <c r="B6988" s="2"/>
      <c r="C6988" s="2"/>
      <c r="D6988" s="2"/>
    </row>
    <row r="6989" spans="1:4" ht="12.75" customHeight="1" x14ac:dyDescent="0.2">
      <c r="A6989" s="21"/>
      <c r="B6989" s="3" t="s">
        <v>0</v>
      </c>
      <c r="C6989" s="20" t="s">
        <v>1412</v>
      </c>
      <c r="D6989" s="21"/>
    </row>
    <row r="6990" spans="1:4" ht="12.75" customHeight="1" x14ac:dyDescent="0.2">
      <c r="A6990" s="21"/>
      <c r="B6990" s="3" t="s">
        <v>2</v>
      </c>
      <c r="C6990" s="20" t="s">
        <v>122</v>
      </c>
      <c r="D6990" s="21"/>
    </row>
    <row r="6991" spans="1:4" ht="12.75" customHeight="1" x14ac:dyDescent="0.2">
      <c r="A6991" s="21"/>
      <c r="B6991" s="3" t="s">
        <v>4</v>
      </c>
      <c r="C6991" s="20" t="s">
        <v>1777</v>
      </c>
      <c r="D6991" s="21"/>
    </row>
    <row r="6992" spans="1:4" ht="12.75" customHeight="1" x14ac:dyDescent="0.2">
      <c r="A6992" s="21"/>
      <c r="B6992" s="3" t="s">
        <v>6</v>
      </c>
      <c r="C6992" s="20" t="s">
        <v>392</v>
      </c>
      <c r="D6992" s="21"/>
    </row>
    <row r="6993" spans="1:4" ht="12.75" customHeight="1" x14ac:dyDescent="0.2">
      <c r="A6993" s="21"/>
      <c r="B6993" s="3" t="s">
        <v>8</v>
      </c>
      <c r="C6993" s="20" t="s">
        <v>1777</v>
      </c>
      <c r="D6993" s="21"/>
    </row>
    <row r="6994" spans="1:4" ht="12.75" customHeight="1" x14ac:dyDescent="0.2">
      <c r="A6994" s="21"/>
      <c r="B6994" s="3" t="s">
        <v>9</v>
      </c>
      <c r="C6994" s="20" t="s">
        <v>1414</v>
      </c>
      <c r="D6994" s="21"/>
    </row>
    <row r="6995" spans="1:4" ht="12.75" customHeight="1" x14ac:dyDescent="0.2">
      <c r="A6995" s="21"/>
      <c r="B6995" s="3" t="s">
        <v>11</v>
      </c>
      <c r="C6995" s="20" t="s">
        <v>1351</v>
      </c>
      <c r="D6995" s="21"/>
    </row>
    <row r="6996" spans="1:4" ht="12.75" customHeight="1" x14ac:dyDescent="0.2">
      <c r="A6996" s="21"/>
      <c r="B6996" s="3" t="s">
        <v>13</v>
      </c>
      <c r="C6996" s="20" t="s">
        <v>24</v>
      </c>
      <c r="D6996" s="21"/>
    </row>
    <row r="6997" spans="1:4" ht="12.75" customHeight="1" x14ac:dyDescent="0.2">
      <c r="A6997" s="21"/>
      <c r="B6997" s="3" t="s">
        <v>15</v>
      </c>
      <c r="C6997" s="20" t="s">
        <v>24</v>
      </c>
      <c r="D6997" s="21"/>
    </row>
    <row r="6998" spans="1:4" ht="12.75" customHeight="1" x14ac:dyDescent="0.2">
      <c r="A6998" s="21"/>
      <c r="B6998" s="3" t="s">
        <v>16</v>
      </c>
      <c r="C6998" s="20"/>
      <c r="D6998" s="21"/>
    </row>
    <row r="6999" spans="1:4" ht="12.75" customHeight="1" x14ac:dyDescent="0.2">
      <c r="A6999" s="21"/>
      <c r="B6999" s="3" t="s">
        <v>17</v>
      </c>
      <c r="C6999" s="20"/>
      <c r="D6999" s="21"/>
    </row>
    <row r="7000" spans="1:4" ht="12.75" customHeight="1" x14ac:dyDescent="0.2">
      <c r="A7000" s="21"/>
      <c r="B7000" s="20" t="s">
        <v>18</v>
      </c>
      <c r="C7000" s="4" t="s">
        <v>44</v>
      </c>
      <c r="D7000" s="6" t="str">
        <f>HYPERLINK("javascript:void(0)","dzsinndorong")</f>
        <v>dzsinndorong</v>
      </c>
    </row>
    <row r="7001" spans="1:4" ht="12.75" customHeight="1" x14ac:dyDescent="0.2">
      <c r="A7001" s="21"/>
      <c r="B7001" s="21"/>
      <c r="C7001" s="4" t="s">
        <v>44</v>
      </c>
      <c r="D7001" s="6" t="str">
        <f>HYPERLINK("javascript:void(0)","animált csép")</f>
        <v>animált csép</v>
      </c>
    </row>
    <row r="7002" spans="1:4" ht="12.75" customHeight="1" x14ac:dyDescent="0.2">
      <c r="A7002" s="21"/>
      <c r="B7002" s="21"/>
      <c r="C7002" s="4" t="s">
        <v>232</v>
      </c>
      <c r="D7002" s="6" t="str">
        <f>HYPERLINK("javascript:void(0)","rejtelem")</f>
        <v>rejtelem</v>
      </c>
    </row>
    <row r="7003" spans="1:4" ht="12.75" customHeight="1" x14ac:dyDescent="0.2">
      <c r="A7003" s="5"/>
      <c r="B7003" s="2"/>
      <c r="C7003" s="2"/>
      <c r="D7003" s="2"/>
    </row>
    <row r="7004" spans="1:4" ht="12.75" customHeight="1" x14ac:dyDescent="0.2">
      <c r="A7004" s="22" t="str">
        <f>HYPERLINK("javascript:void(0)","aszfaltpuhító")</f>
        <v>aszfaltpuhító</v>
      </c>
      <c r="B7004" s="21"/>
      <c r="C7004" s="21"/>
      <c r="D7004" s="21"/>
    </row>
    <row r="7005" spans="1:4" ht="12.75" customHeight="1" x14ac:dyDescent="0.2">
      <c r="A7005" s="20"/>
      <c r="B7005" s="2"/>
      <c r="C7005" s="2"/>
      <c r="D7005" s="2"/>
    </row>
    <row r="7006" spans="1:4" ht="12.75" customHeight="1" x14ac:dyDescent="0.2">
      <c r="A7006" s="21"/>
      <c r="B7006" s="3" t="s">
        <v>0</v>
      </c>
      <c r="C7006" s="20" t="s">
        <v>267</v>
      </c>
      <c r="D7006" s="21"/>
    </row>
    <row r="7007" spans="1:4" ht="12.75" customHeight="1" x14ac:dyDescent="0.2">
      <c r="A7007" s="21"/>
      <c r="B7007" s="3" t="s">
        <v>2</v>
      </c>
      <c r="C7007" s="20" t="s">
        <v>122</v>
      </c>
      <c r="D7007" s="21"/>
    </row>
    <row r="7008" spans="1:4" ht="12.75" customHeight="1" x14ac:dyDescent="0.2">
      <c r="A7008" s="21"/>
      <c r="B7008" s="3" t="s">
        <v>4</v>
      </c>
      <c r="C7008" s="20" t="s">
        <v>1780</v>
      </c>
      <c r="D7008" s="21"/>
    </row>
    <row r="7009" spans="1:4" ht="12.75" customHeight="1" x14ac:dyDescent="0.2">
      <c r="A7009" s="21"/>
      <c r="B7009" s="3" t="s">
        <v>6</v>
      </c>
      <c r="C7009" s="20" t="s">
        <v>340</v>
      </c>
      <c r="D7009" s="21"/>
    </row>
    <row r="7010" spans="1:4" ht="12.75" customHeight="1" x14ac:dyDescent="0.2">
      <c r="A7010" s="21"/>
      <c r="B7010" s="3" t="s">
        <v>8</v>
      </c>
      <c r="C7010" s="20" t="s">
        <v>1780</v>
      </c>
      <c r="D7010" s="21"/>
    </row>
    <row r="7011" spans="1:4" ht="12.75" customHeight="1" x14ac:dyDescent="0.2">
      <c r="A7011" s="21"/>
      <c r="B7011" s="3" t="s">
        <v>9</v>
      </c>
      <c r="C7011" s="20" t="s">
        <v>1375</v>
      </c>
      <c r="D7011" s="21"/>
    </row>
    <row r="7012" spans="1:4" ht="12.75" customHeight="1" x14ac:dyDescent="0.2">
      <c r="A7012" s="21"/>
      <c r="B7012" s="3" t="s">
        <v>11</v>
      </c>
      <c r="C7012" s="20" t="s">
        <v>1781</v>
      </c>
      <c r="D7012" s="21"/>
    </row>
    <row r="7013" spans="1:4" ht="12.75" customHeight="1" x14ac:dyDescent="0.2">
      <c r="A7013" s="21"/>
      <c r="B7013" s="3" t="s">
        <v>13</v>
      </c>
      <c r="C7013" s="20" t="s">
        <v>24</v>
      </c>
      <c r="D7013" s="21"/>
    </row>
    <row r="7014" spans="1:4" ht="12.75" customHeight="1" x14ac:dyDescent="0.2">
      <c r="A7014" s="21"/>
      <c r="B7014" s="3" t="s">
        <v>15</v>
      </c>
      <c r="C7014" s="20" t="s">
        <v>24</v>
      </c>
      <c r="D7014" s="21"/>
    </row>
    <row r="7015" spans="1:4" ht="12.75" customHeight="1" x14ac:dyDescent="0.2">
      <c r="A7015" s="21"/>
      <c r="B7015" s="3" t="s">
        <v>16</v>
      </c>
      <c r="C7015" s="20"/>
      <c r="D7015" s="21"/>
    </row>
    <row r="7016" spans="1:4" ht="12.75" customHeight="1" x14ac:dyDescent="0.2">
      <c r="A7016" s="21"/>
      <c r="B7016" s="3" t="s">
        <v>17</v>
      </c>
      <c r="C7016" s="20"/>
      <c r="D7016" s="21"/>
    </row>
    <row r="7017" spans="1:4" ht="12.75" customHeight="1" x14ac:dyDescent="0.2">
      <c r="A7017" s="21"/>
      <c r="B7017" s="20" t="s">
        <v>18</v>
      </c>
      <c r="C7017" s="4" t="s">
        <v>44</v>
      </c>
      <c r="D7017" s="6" t="str">
        <f>HYPERLINK("javascript:void(0)","rejtekszekerce")</f>
        <v>rejtekszekerce</v>
      </c>
    </row>
    <row r="7018" spans="1:4" ht="12.75" customHeight="1" x14ac:dyDescent="0.2">
      <c r="A7018" s="21"/>
      <c r="B7018" s="21"/>
      <c r="C7018" s="4" t="s">
        <v>142</v>
      </c>
      <c r="D7018" s="6" t="str">
        <f>HYPERLINK("javascript:void(0)","massza")</f>
        <v>massza</v>
      </c>
    </row>
    <row r="7019" spans="1:4" ht="12.75" customHeight="1" x14ac:dyDescent="0.2">
      <c r="A7019" s="21"/>
      <c r="B7019" s="21"/>
      <c r="C7019" s="4" t="s">
        <v>382</v>
      </c>
      <c r="D7019" s="6" t="str">
        <f>HYPERLINK("javascript:void(0)","hangjegy")</f>
        <v>hangjegy</v>
      </c>
    </row>
    <row r="7020" spans="1:4" ht="12.75" customHeight="1" x14ac:dyDescent="0.2">
      <c r="A7020" s="5"/>
      <c r="B7020" s="2"/>
      <c r="C7020" s="2"/>
      <c r="D7020" s="2"/>
    </row>
    <row r="7021" spans="1:4" ht="12.75" customHeight="1" x14ac:dyDescent="0.2">
      <c r="A7021" s="22" t="str">
        <f>HYPERLINK("javascript:void(0)","pálmalánc")</f>
        <v>pálmalánc</v>
      </c>
      <c r="B7021" s="21"/>
      <c r="C7021" s="21"/>
      <c r="D7021" s="21"/>
    </row>
    <row r="7022" spans="1:4" ht="12.75" customHeight="1" x14ac:dyDescent="0.2">
      <c r="A7022" s="20"/>
      <c r="B7022" s="2"/>
      <c r="C7022" s="2"/>
      <c r="D7022" s="2"/>
    </row>
    <row r="7023" spans="1:4" ht="12.75" customHeight="1" x14ac:dyDescent="0.2">
      <c r="A7023" s="21"/>
      <c r="B7023" s="3" t="s">
        <v>0</v>
      </c>
      <c r="C7023" s="20" t="s">
        <v>1422</v>
      </c>
      <c r="D7023" s="21"/>
    </row>
    <row r="7024" spans="1:4" ht="12.75" customHeight="1" x14ac:dyDescent="0.2">
      <c r="A7024" s="21"/>
      <c r="B7024" s="3" t="s">
        <v>2</v>
      </c>
      <c r="C7024" s="20" t="s">
        <v>122</v>
      </c>
      <c r="D7024" s="21"/>
    </row>
    <row r="7025" spans="1:4" ht="12.75" customHeight="1" x14ac:dyDescent="0.2">
      <c r="A7025" s="21"/>
      <c r="B7025" s="3" t="s">
        <v>4</v>
      </c>
      <c r="C7025" s="20" t="s">
        <v>1783</v>
      </c>
      <c r="D7025" s="21"/>
    </row>
    <row r="7026" spans="1:4" ht="12.75" customHeight="1" x14ac:dyDescent="0.2">
      <c r="A7026" s="21"/>
      <c r="B7026" s="3" t="s">
        <v>6</v>
      </c>
      <c r="C7026" s="20" t="s">
        <v>52</v>
      </c>
      <c r="D7026" s="21"/>
    </row>
    <row r="7027" spans="1:4" ht="12.75" customHeight="1" x14ac:dyDescent="0.2">
      <c r="A7027" s="21"/>
      <c r="B7027" s="3" t="s">
        <v>8</v>
      </c>
      <c r="C7027" s="20" t="s">
        <v>1783</v>
      </c>
      <c r="D7027" s="21"/>
    </row>
    <row r="7028" spans="1:4" ht="12.75" customHeight="1" x14ac:dyDescent="0.2">
      <c r="A7028" s="21"/>
      <c r="B7028" s="3" t="s">
        <v>9</v>
      </c>
      <c r="C7028" s="20" t="s">
        <v>1726</v>
      </c>
      <c r="D7028" s="21"/>
    </row>
    <row r="7029" spans="1:4" ht="12.75" customHeight="1" x14ac:dyDescent="0.2">
      <c r="A7029" s="21"/>
      <c r="B7029" s="3" t="s">
        <v>11</v>
      </c>
      <c r="C7029" s="20" t="s">
        <v>1785</v>
      </c>
      <c r="D7029" s="21"/>
    </row>
    <row r="7030" spans="1:4" ht="12.75" customHeight="1" x14ac:dyDescent="0.2">
      <c r="A7030" s="21"/>
      <c r="B7030" s="3" t="s">
        <v>13</v>
      </c>
      <c r="C7030" s="20" t="s">
        <v>24</v>
      </c>
      <c r="D7030" s="21"/>
    </row>
    <row r="7031" spans="1:4" ht="12.75" customHeight="1" x14ac:dyDescent="0.2">
      <c r="A7031" s="21"/>
      <c r="B7031" s="3" t="s">
        <v>15</v>
      </c>
      <c r="C7031" s="20" t="s">
        <v>24</v>
      </c>
      <c r="D7031" s="21"/>
    </row>
    <row r="7032" spans="1:4" ht="12.75" customHeight="1" x14ac:dyDescent="0.2">
      <c r="A7032" s="21"/>
      <c r="B7032" s="3" t="s">
        <v>16</v>
      </c>
      <c r="C7032" s="20"/>
      <c r="D7032" s="21"/>
    </row>
    <row r="7033" spans="1:4" ht="12.75" customHeight="1" x14ac:dyDescent="0.2">
      <c r="A7033" s="21"/>
      <c r="B7033" s="3" t="s">
        <v>17</v>
      </c>
      <c r="C7033" s="20"/>
      <c r="D7033" s="21"/>
    </row>
    <row r="7034" spans="1:4" ht="12.75" customHeight="1" x14ac:dyDescent="0.2">
      <c r="A7034" s="21"/>
      <c r="B7034" s="20" t="s">
        <v>18</v>
      </c>
      <c r="C7034" s="4" t="s">
        <v>780</v>
      </c>
      <c r="D7034" s="6" t="str">
        <f>HYPERLINK("javascript:void(0)","levél")</f>
        <v>levél</v>
      </c>
    </row>
    <row r="7035" spans="1:4" ht="12.75" customHeight="1" x14ac:dyDescent="0.2">
      <c r="A7035" s="21"/>
      <c r="B7035" s="21"/>
      <c r="C7035" s="4" t="s">
        <v>196</v>
      </c>
      <c r="D7035" s="6" t="str">
        <f>HYPERLINK("javascript:void(0)","fiola")</f>
        <v>fiola</v>
      </c>
    </row>
    <row r="7036" spans="1:4" ht="12.75" customHeight="1" x14ac:dyDescent="0.2">
      <c r="A7036" s="21"/>
      <c r="B7036" s="21"/>
      <c r="C7036" s="4" t="s">
        <v>228</v>
      </c>
      <c r="D7036" s="6" t="str">
        <f>HYPERLINK("javascript:void(0)","tartás")</f>
        <v>tartás</v>
      </c>
    </row>
  </sheetData>
  <mergeCells count="5526">
    <mergeCell ref="A1463:A1477"/>
    <mergeCell ref="A1480:A1494"/>
    <mergeCell ref="C1447:D1447"/>
    <mergeCell ref="C1448:D1448"/>
    <mergeCell ref="C1464:D1464"/>
    <mergeCell ref="A1462:D1462"/>
    <mergeCell ref="C1453:D1453"/>
    <mergeCell ref="C1454:D1454"/>
    <mergeCell ref="C1451:D1451"/>
    <mergeCell ref="C1452:D1452"/>
    <mergeCell ref="C1456:D1456"/>
    <mergeCell ref="C1457:D1457"/>
    <mergeCell ref="A1479:D1479"/>
    <mergeCell ref="B1458:B1460"/>
    <mergeCell ref="C1469:D1469"/>
    <mergeCell ref="C1455:D1455"/>
    <mergeCell ref="C1437:D1437"/>
    <mergeCell ref="C1439:D1439"/>
    <mergeCell ref="C1440:D1440"/>
    <mergeCell ref="B1441:B1443"/>
    <mergeCell ref="C1450:D1450"/>
    <mergeCell ref="A1445:D1445"/>
    <mergeCell ref="C1449:D1449"/>
    <mergeCell ref="A1446:A1460"/>
    <mergeCell ref="C1487:D1487"/>
    <mergeCell ref="C1481:D1481"/>
    <mergeCell ref="C1465:D1465"/>
    <mergeCell ref="C1468:D1468"/>
    <mergeCell ref="C1466:D1466"/>
    <mergeCell ref="C1467:D1467"/>
    <mergeCell ref="C1470:D1470"/>
    <mergeCell ref="C1472:D1472"/>
    <mergeCell ref="C1413:D1413"/>
    <mergeCell ref="C1414:D1414"/>
    <mergeCell ref="C1415:D1415"/>
    <mergeCell ref="C1416:D1416"/>
    <mergeCell ref="C1417:D1417"/>
    <mergeCell ref="C1418:D1418"/>
    <mergeCell ref="C1419:D1419"/>
    <mergeCell ref="B1407:B1409"/>
    <mergeCell ref="A1395:A1409"/>
    <mergeCell ref="A1412:A1426"/>
    <mergeCell ref="C1400:D1400"/>
    <mergeCell ref="C1401:D1401"/>
    <mergeCell ref="C1403:D1403"/>
    <mergeCell ref="C1402:D1402"/>
    <mergeCell ref="C1404:D1404"/>
    <mergeCell ref="C1405:D1405"/>
    <mergeCell ref="A1411:D1411"/>
    <mergeCell ref="C1436:D1436"/>
    <mergeCell ref="C1379:D1379"/>
    <mergeCell ref="C1380:D1380"/>
    <mergeCell ref="C1381:D1381"/>
    <mergeCell ref="C1382:D1382"/>
    <mergeCell ref="C1387:D1387"/>
    <mergeCell ref="C1388:D1388"/>
    <mergeCell ref="C1398:D1398"/>
    <mergeCell ref="C1396:D1396"/>
    <mergeCell ref="C1363:D1363"/>
    <mergeCell ref="C1364:D1364"/>
    <mergeCell ref="C1365:D1365"/>
    <mergeCell ref="C1366:D1366"/>
    <mergeCell ref="A1429:A1443"/>
    <mergeCell ref="C1430:D1430"/>
    <mergeCell ref="C1431:D1431"/>
    <mergeCell ref="C1432:D1432"/>
    <mergeCell ref="C1433:D1433"/>
    <mergeCell ref="C1434:D1434"/>
    <mergeCell ref="C1435:D1435"/>
    <mergeCell ref="C1423:D1423"/>
    <mergeCell ref="B1424:B1426"/>
    <mergeCell ref="A1428:D1428"/>
    <mergeCell ref="C1438:D1438"/>
    <mergeCell ref="A1394:D1394"/>
    <mergeCell ref="C1399:D1399"/>
    <mergeCell ref="C1383:D1383"/>
    <mergeCell ref="C1397:D1397"/>
    <mergeCell ref="C1420:D1420"/>
    <mergeCell ref="C1421:D1421"/>
    <mergeCell ref="C1406:D1406"/>
    <mergeCell ref="C1422:D1422"/>
    <mergeCell ref="C1348:D1348"/>
    <mergeCell ref="C1349:D1349"/>
    <mergeCell ref="C1350:D1350"/>
    <mergeCell ref="C1351:D1351"/>
    <mergeCell ref="C1367:D1367"/>
    <mergeCell ref="C1368:D1368"/>
    <mergeCell ref="C1372:D1372"/>
    <mergeCell ref="A1377:D1377"/>
    <mergeCell ref="C1389:D1389"/>
    <mergeCell ref="B1390:B1392"/>
    <mergeCell ref="C1371:D1371"/>
    <mergeCell ref="C1386:D1386"/>
    <mergeCell ref="A1378:A1392"/>
    <mergeCell ref="A1343:D1343"/>
    <mergeCell ref="C1352:D1352"/>
    <mergeCell ref="C1353:D1353"/>
    <mergeCell ref="C1338:D1338"/>
    <mergeCell ref="C1354:D1354"/>
    <mergeCell ref="C1345:D1345"/>
    <mergeCell ref="C1346:D1346"/>
    <mergeCell ref="C1347:D1347"/>
    <mergeCell ref="C1355:D1355"/>
    <mergeCell ref="A1344:A1358"/>
    <mergeCell ref="B1356:B1358"/>
    <mergeCell ref="A1360:D1360"/>
    <mergeCell ref="B1373:B1375"/>
    <mergeCell ref="A1361:A1375"/>
    <mergeCell ref="C1362:D1362"/>
    <mergeCell ref="C1369:D1369"/>
    <mergeCell ref="C1370:D1370"/>
    <mergeCell ref="C1384:D1384"/>
    <mergeCell ref="C1385:D1385"/>
    <mergeCell ref="A1326:D1326"/>
    <mergeCell ref="C1330:D1330"/>
    <mergeCell ref="C1331:D1331"/>
    <mergeCell ref="C1245:D1245"/>
    <mergeCell ref="C1246:D1246"/>
    <mergeCell ref="A1275:D1275"/>
    <mergeCell ref="A1276:A1290"/>
    <mergeCell ref="C1277:D1277"/>
    <mergeCell ref="C1278:D1278"/>
    <mergeCell ref="C1279:D1279"/>
    <mergeCell ref="C1299:D1299"/>
    <mergeCell ref="C1300:D1300"/>
    <mergeCell ref="C1313:D1313"/>
    <mergeCell ref="C1314:D1314"/>
    <mergeCell ref="C1296:D1296"/>
    <mergeCell ref="C1298:D1298"/>
    <mergeCell ref="C1280:D1280"/>
    <mergeCell ref="C1281:D1281"/>
    <mergeCell ref="C1282:D1282"/>
    <mergeCell ref="C1283:D1283"/>
    <mergeCell ref="C1253:D1253"/>
    <mergeCell ref="C1335:D1335"/>
    <mergeCell ref="C1334:D1334"/>
    <mergeCell ref="C1336:D1336"/>
    <mergeCell ref="C1337:D1337"/>
    <mergeCell ref="B1339:B1341"/>
    <mergeCell ref="A1327:A1341"/>
    <mergeCell ref="C1315:D1315"/>
    <mergeCell ref="C1316:D1316"/>
    <mergeCell ref="C1321:D1321"/>
    <mergeCell ref="B1322:B1324"/>
    <mergeCell ref="C1328:D1328"/>
    <mergeCell ref="C1329:D1329"/>
    <mergeCell ref="C1332:D1332"/>
    <mergeCell ref="C1333:D1333"/>
    <mergeCell ref="C1317:D1317"/>
    <mergeCell ref="C1320:D1320"/>
    <mergeCell ref="A1310:A1324"/>
    <mergeCell ref="C1311:D1311"/>
    <mergeCell ref="C1312:D1312"/>
    <mergeCell ref="B1288:B1290"/>
    <mergeCell ref="A1292:D1292"/>
    <mergeCell ref="B1305:B1307"/>
    <mergeCell ref="A1293:A1307"/>
    <mergeCell ref="C1294:D1294"/>
    <mergeCell ref="C1295:D1295"/>
    <mergeCell ref="C1302:D1302"/>
    <mergeCell ref="A1309:D1309"/>
    <mergeCell ref="C1303:D1303"/>
    <mergeCell ref="C1304:D1304"/>
    <mergeCell ref="C1318:D1318"/>
    <mergeCell ref="C1319:D1319"/>
    <mergeCell ref="B2971:B2973"/>
    <mergeCell ref="C1284:D1284"/>
    <mergeCell ref="C1285:D1285"/>
    <mergeCell ref="C2763:D2763"/>
    <mergeCell ref="C2764:D2764"/>
    <mergeCell ref="A2738:A2752"/>
    <mergeCell ref="B2750:B2752"/>
    <mergeCell ref="B2767:B2769"/>
    <mergeCell ref="A2755:A2769"/>
    <mergeCell ref="A2771:D2771"/>
    <mergeCell ref="B2903:B2905"/>
    <mergeCell ref="B2920:B2922"/>
    <mergeCell ref="C1192:D1192"/>
    <mergeCell ref="C1193:D1193"/>
    <mergeCell ref="A1190:D1190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A1191:A1205"/>
    <mergeCell ref="A1208:A1222"/>
    <mergeCell ref="A1259:A1273"/>
    <mergeCell ref="C1235:D1235"/>
    <mergeCell ref="C1233:D1233"/>
    <mergeCell ref="C1297:D1297"/>
    <mergeCell ref="C1301:D1301"/>
    <mergeCell ref="C1286:D1286"/>
    <mergeCell ref="C1287:D1287"/>
    <mergeCell ref="C3003:D3003"/>
    <mergeCell ref="C1260:D1260"/>
    <mergeCell ref="C1248:D1248"/>
    <mergeCell ref="A2959:A2973"/>
    <mergeCell ref="A2890:D2890"/>
    <mergeCell ref="A2874:A2888"/>
    <mergeCell ref="B2886:B2888"/>
    <mergeCell ref="A2891:A2905"/>
    <mergeCell ref="A2907:D2907"/>
    <mergeCell ref="A2856:D2856"/>
    <mergeCell ref="C3019:D3019"/>
    <mergeCell ref="C3020:D3020"/>
    <mergeCell ref="C3028:D3028"/>
    <mergeCell ref="C3029:D3029"/>
    <mergeCell ref="C3064:D3064"/>
    <mergeCell ref="C3065:D3065"/>
    <mergeCell ref="C3049:D3049"/>
    <mergeCell ref="C3050:D3050"/>
    <mergeCell ref="B2784:B2786"/>
    <mergeCell ref="B2801:B2803"/>
    <mergeCell ref="A2789:A2803"/>
    <mergeCell ref="A2772:A2786"/>
    <mergeCell ref="A2788:D2788"/>
    <mergeCell ref="B2852:B2854"/>
    <mergeCell ref="C2862:D2862"/>
    <mergeCell ref="C2863:D2863"/>
    <mergeCell ref="C2847:D2847"/>
    <mergeCell ref="C2848:D2848"/>
    <mergeCell ref="B2818:B2820"/>
    <mergeCell ref="B2835:B2837"/>
    <mergeCell ref="B2937:B2939"/>
    <mergeCell ref="B2954:B2956"/>
    <mergeCell ref="C2987:D2987"/>
    <mergeCell ref="C2977:D2977"/>
    <mergeCell ref="C2952:D2952"/>
    <mergeCell ref="C3086:D3086"/>
    <mergeCell ref="C3087:D3087"/>
    <mergeCell ref="C3069:D3069"/>
    <mergeCell ref="C3070:D3070"/>
    <mergeCell ref="C3085:D3085"/>
    <mergeCell ref="C2792:D2792"/>
    <mergeCell ref="C2793:D2793"/>
    <mergeCell ref="C2794:D2794"/>
    <mergeCell ref="C2795:D2795"/>
    <mergeCell ref="C2796:D2796"/>
    <mergeCell ref="C2799:D2799"/>
    <mergeCell ref="C2800:D2800"/>
    <mergeCell ref="C2817:D2817"/>
    <mergeCell ref="C2834:D2834"/>
    <mergeCell ref="C2978:D2978"/>
    <mergeCell ref="C2864:D2864"/>
    <mergeCell ref="C2867:D2867"/>
    <mergeCell ref="C2850:D2850"/>
    <mergeCell ref="C2932:D2932"/>
    <mergeCell ref="C2935:D2935"/>
    <mergeCell ref="C2936:D2936"/>
    <mergeCell ref="C2950:D2950"/>
    <mergeCell ref="C2951:D2951"/>
    <mergeCell ref="C2962:D2962"/>
    <mergeCell ref="C2963:D2963"/>
    <mergeCell ref="C2964:D2964"/>
    <mergeCell ref="C2948:D2948"/>
    <mergeCell ref="C2970:D2970"/>
    <mergeCell ref="C2953:D2953"/>
    <mergeCell ref="C2761:D2761"/>
    <mergeCell ref="C2729:D2729"/>
    <mergeCell ref="C2762:D2762"/>
    <mergeCell ref="C2748:D2748"/>
    <mergeCell ref="C2749:D2749"/>
    <mergeCell ref="C2979:D2979"/>
    <mergeCell ref="C2902:D2902"/>
    <mergeCell ref="C2884:D2884"/>
    <mergeCell ref="C2885:D2885"/>
    <mergeCell ref="C2892:D2892"/>
    <mergeCell ref="C2893:D2893"/>
    <mergeCell ref="C2949:D2949"/>
    <mergeCell ref="C2943:D2943"/>
    <mergeCell ref="C2944:D2944"/>
    <mergeCell ref="C2945:D2945"/>
    <mergeCell ref="C2946:D2946"/>
    <mergeCell ref="C2947:D2947"/>
    <mergeCell ref="C2933:D2933"/>
    <mergeCell ref="C2934:D2934"/>
    <mergeCell ref="C2965:D2965"/>
    <mergeCell ref="C2967:D2967"/>
    <mergeCell ref="C2966:D2966"/>
    <mergeCell ref="C2968:D2968"/>
    <mergeCell ref="C2969:D2969"/>
    <mergeCell ref="C2960:D2960"/>
    <mergeCell ref="C2961:D2961"/>
    <mergeCell ref="C2994:D2994"/>
    <mergeCell ref="C2995:D2995"/>
    <mergeCell ref="C2996:D2996"/>
    <mergeCell ref="C2997:D2997"/>
    <mergeCell ref="C2998:D2998"/>
    <mergeCell ref="C2999:D2999"/>
    <mergeCell ref="C2980:D2980"/>
    <mergeCell ref="C2981:D2981"/>
    <mergeCell ref="C2982:D2982"/>
    <mergeCell ref="C2983:D2983"/>
    <mergeCell ref="C2984:D2984"/>
    <mergeCell ref="C2985:D2985"/>
    <mergeCell ref="A2958:D2958"/>
    <mergeCell ref="B2988:B2990"/>
    <mergeCell ref="C2900:D2900"/>
    <mergeCell ref="C2901:D2901"/>
    <mergeCell ref="C2798:D2798"/>
    <mergeCell ref="C2829:D2829"/>
    <mergeCell ref="C2831:D2831"/>
    <mergeCell ref="C2830:D2830"/>
    <mergeCell ref="C2832:D2832"/>
    <mergeCell ref="C2833:D2833"/>
    <mergeCell ref="A2873:D2873"/>
    <mergeCell ref="B2869:B2871"/>
    <mergeCell ref="C2849:D2849"/>
    <mergeCell ref="A2857:A2871"/>
    <mergeCell ref="C2897:D2897"/>
    <mergeCell ref="C2899:D2899"/>
    <mergeCell ref="C2898:D2898"/>
    <mergeCell ref="C2826:D2826"/>
    <mergeCell ref="C2824:D2824"/>
    <mergeCell ref="C2986:D2986"/>
    <mergeCell ref="C2781:D2781"/>
    <mergeCell ref="C2918:D2918"/>
    <mergeCell ref="C2919:D2919"/>
    <mergeCell ref="C2858:D2858"/>
    <mergeCell ref="C2859:D2859"/>
    <mergeCell ref="C2860:D2860"/>
    <mergeCell ref="C2861:D2861"/>
    <mergeCell ref="C2930:D2930"/>
    <mergeCell ref="C2931:D2931"/>
    <mergeCell ref="C2926:D2926"/>
    <mergeCell ref="C2927:D2927"/>
    <mergeCell ref="C2928:D2928"/>
    <mergeCell ref="C2929:D2929"/>
    <mergeCell ref="C2915:D2915"/>
    <mergeCell ref="C2916:D2916"/>
    <mergeCell ref="C2909:D2909"/>
    <mergeCell ref="C2910:D2910"/>
    <mergeCell ref="C2911:D2911"/>
    <mergeCell ref="C2912:D2912"/>
    <mergeCell ref="C2913:D2913"/>
    <mergeCell ref="C2914:D2914"/>
    <mergeCell ref="C2917:D2917"/>
    <mergeCell ref="C2851:D2851"/>
    <mergeCell ref="C2825:D2825"/>
    <mergeCell ref="C2827:D2827"/>
    <mergeCell ref="C2828:D2828"/>
    <mergeCell ref="C2881:D2881"/>
    <mergeCell ref="C2875:D2875"/>
    <mergeCell ref="C2876:D2876"/>
    <mergeCell ref="C2877:D2877"/>
    <mergeCell ref="C2865:D2865"/>
    <mergeCell ref="C2866:D2866"/>
    <mergeCell ref="C1488:D1488"/>
    <mergeCell ref="C2730:D2730"/>
    <mergeCell ref="C2745:D2745"/>
    <mergeCell ref="C2739:D2739"/>
    <mergeCell ref="C2740:D2740"/>
    <mergeCell ref="C2741:D2741"/>
    <mergeCell ref="C2742:D2742"/>
    <mergeCell ref="C2743:D2743"/>
    <mergeCell ref="C2744:D2744"/>
    <mergeCell ref="C1929:D1929"/>
    <mergeCell ref="C1676:D1676"/>
    <mergeCell ref="C1677:D1677"/>
    <mergeCell ref="C1925:D1925"/>
    <mergeCell ref="C1673:D1673"/>
    <mergeCell ref="C1830:D1830"/>
    <mergeCell ref="C1831:D1831"/>
    <mergeCell ref="C1842:D1842"/>
    <mergeCell ref="C1896:D1896"/>
    <mergeCell ref="C1897:D1897"/>
    <mergeCell ref="C2506:D2506"/>
    <mergeCell ref="C2489:D2489"/>
    <mergeCell ref="C2491:D2491"/>
    <mergeCell ref="C2490:D2490"/>
    <mergeCell ref="C1678:D1678"/>
    <mergeCell ref="C1945:D1945"/>
    <mergeCell ref="C2630:D2630"/>
    <mergeCell ref="C2492:D2492"/>
    <mergeCell ref="C2493:D2493"/>
    <mergeCell ref="C2455:D2455"/>
    <mergeCell ref="C2450:D2450"/>
    <mergeCell ref="C2451:D2451"/>
    <mergeCell ref="C2452:D2452"/>
    <mergeCell ref="C2760:D2760"/>
    <mergeCell ref="C2756:D2756"/>
    <mergeCell ref="C2757:D2757"/>
    <mergeCell ref="C1908:D1908"/>
    <mergeCell ref="C1909:D1909"/>
    <mergeCell ref="C1910:D1910"/>
    <mergeCell ref="C1911:D1911"/>
    <mergeCell ref="C2100:D2100"/>
    <mergeCell ref="C2101:D2101"/>
    <mergeCell ref="C2099:D2099"/>
    <mergeCell ref="C2093:D2093"/>
    <mergeCell ref="C2098:D2098"/>
    <mergeCell ref="C1926:D1926"/>
    <mergeCell ref="C1927:D1927"/>
    <mergeCell ref="C1931:D1931"/>
    <mergeCell ref="C1930:D1930"/>
    <mergeCell ref="C1942:D1942"/>
    <mergeCell ref="C2418:D2418"/>
    <mergeCell ref="C2419:D2419"/>
    <mergeCell ref="C2390:D2390"/>
    <mergeCell ref="C2391:D2391"/>
    <mergeCell ref="C2392:D2392"/>
    <mergeCell ref="C2406:D2406"/>
    <mergeCell ref="C2400:D2400"/>
    <mergeCell ref="C2401:D2401"/>
    <mergeCell ref="C2407:D2407"/>
    <mergeCell ref="C1965:D1965"/>
    <mergeCell ref="C1957:D1957"/>
    <mergeCell ref="C1958:D1958"/>
    <mergeCell ref="C1959:D1959"/>
    <mergeCell ref="C1940:D1940"/>
    <mergeCell ref="C1941:D1941"/>
    <mergeCell ref="C1928:D1928"/>
    <mergeCell ref="C1974:D1974"/>
    <mergeCell ref="C1966:D1966"/>
    <mergeCell ref="C2791:D2791"/>
    <mergeCell ref="C2797:D2797"/>
    <mergeCell ref="C2779:D2779"/>
    <mergeCell ref="C2780:D2780"/>
    <mergeCell ref="C2782:D2782"/>
    <mergeCell ref="C2773:D2773"/>
    <mergeCell ref="C2774:D2774"/>
    <mergeCell ref="A2823:A2837"/>
    <mergeCell ref="A2806:A2820"/>
    <mergeCell ref="A2840:A2854"/>
    <mergeCell ref="C2775:D2775"/>
    <mergeCell ref="C2776:D2776"/>
    <mergeCell ref="C2777:D2777"/>
    <mergeCell ref="C2778:D2778"/>
    <mergeCell ref="C2811:D2811"/>
    <mergeCell ref="C2812:D2812"/>
    <mergeCell ref="C2815:D2815"/>
    <mergeCell ref="C2816:D2816"/>
    <mergeCell ref="C2814:D2814"/>
    <mergeCell ref="C2807:D2807"/>
    <mergeCell ref="C2808:D2808"/>
    <mergeCell ref="A2805:D2805"/>
    <mergeCell ref="A2839:D2839"/>
    <mergeCell ref="A2822:D2822"/>
    <mergeCell ref="C2813:D2813"/>
    <mergeCell ref="C2765:D2765"/>
    <mergeCell ref="C2766:D2766"/>
    <mergeCell ref="B1662:B1664"/>
    <mergeCell ref="C1641:D1641"/>
    <mergeCell ref="C1642:D1642"/>
    <mergeCell ref="C1675:D1675"/>
    <mergeCell ref="C1674:D1674"/>
    <mergeCell ref="C3035:D3035"/>
    <mergeCell ref="A3043:D3043"/>
    <mergeCell ref="C3036:D3036"/>
    <mergeCell ref="C3037:D3037"/>
    <mergeCell ref="C3038:D3038"/>
    <mergeCell ref="B3039:B3041"/>
    <mergeCell ref="A2975:D2975"/>
    <mergeCell ref="C3000:D3000"/>
    <mergeCell ref="C3001:D3001"/>
    <mergeCell ref="C3002:D3002"/>
    <mergeCell ref="C2110:D2110"/>
    <mergeCell ref="B2104:B2106"/>
    <mergeCell ref="A2108:D2108"/>
    <mergeCell ref="C2759:D2759"/>
    <mergeCell ref="C1821:D1821"/>
    <mergeCell ref="C1822:D1822"/>
    <mergeCell ref="C1814:D1814"/>
    <mergeCell ref="A2908:A2922"/>
    <mergeCell ref="A2976:A2990"/>
    <mergeCell ref="A2993:A3007"/>
    <mergeCell ref="C2809:D2809"/>
    <mergeCell ref="C2810:D2810"/>
    <mergeCell ref="A1973:A1987"/>
    <mergeCell ref="A1989:D1989"/>
    <mergeCell ref="A1921:D1921"/>
    <mergeCell ref="C1932:D1932"/>
    <mergeCell ref="C1933:D1933"/>
    <mergeCell ref="C3045:D3045"/>
    <mergeCell ref="C3046:D3046"/>
    <mergeCell ref="C3047:D3047"/>
    <mergeCell ref="C3034:D3034"/>
    <mergeCell ref="C3048:D3048"/>
    <mergeCell ref="C3051:D3051"/>
    <mergeCell ref="C3052:D3052"/>
    <mergeCell ref="A3026:D3026"/>
    <mergeCell ref="C3030:D3030"/>
    <mergeCell ref="C3031:D3031"/>
    <mergeCell ref="C3032:D3032"/>
    <mergeCell ref="C3033:D3033"/>
    <mergeCell ref="A3027:A3041"/>
    <mergeCell ref="A3044:A3058"/>
    <mergeCell ref="C3053:D3053"/>
    <mergeCell ref="C3004:D3004"/>
    <mergeCell ref="C3018:D3018"/>
    <mergeCell ref="C3011:D3011"/>
    <mergeCell ref="C3012:D3012"/>
    <mergeCell ref="C3013:D3013"/>
    <mergeCell ref="C3014:D3014"/>
    <mergeCell ref="C3015:D3015"/>
    <mergeCell ref="A3009:D3009"/>
    <mergeCell ref="A3010:A3024"/>
    <mergeCell ref="B3022:B3024"/>
    <mergeCell ref="B3005:B3007"/>
    <mergeCell ref="C3021:D3021"/>
    <mergeCell ref="C1115:D1115"/>
    <mergeCell ref="A1122:D1122"/>
    <mergeCell ref="C1116:D1116"/>
    <mergeCell ref="C1117:D1117"/>
    <mergeCell ref="A1106:A1120"/>
    <mergeCell ref="C1107:D1107"/>
    <mergeCell ref="C1108:D1108"/>
    <mergeCell ref="C1109:D1109"/>
    <mergeCell ref="C1110:D1110"/>
    <mergeCell ref="C1126:D1126"/>
    <mergeCell ref="C1127:D1127"/>
    <mergeCell ref="C1128:D1128"/>
    <mergeCell ref="C1129:D1129"/>
    <mergeCell ref="C1141:D1141"/>
    <mergeCell ref="B1135:B1137"/>
    <mergeCell ref="C1144:D1144"/>
    <mergeCell ref="C1145:D1145"/>
    <mergeCell ref="C1111:D1111"/>
    <mergeCell ref="C1112:D1112"/>
    <mergeCell ref="B1118:B1120"/>
    <mergeCell ref="C1124:D1124"/>
    <mergeCell ref="C1125:D1125"/>
    <mergeCell ref="C1132:D1132"/>
    <mergeCell ref="C1133:D1133"/>
    <mergeCell ref="C1134:D1134"/>
    <mergeCell ref="A1139:D1139"/>
    <mergeCell ref="A1123:A1137"/>
    <mergeCell ref="C1131:D1131"/>
    <mergeCell ref="C1130:D1130"/>
    <mergeCell ref="C1114:D1114"/>
    <mergeCell ref="C1113:D1113"/>
    <mergeCell ref="C3206:D3206"/>
    <mergeCell ref="A352:A366"/>
    <mergeCell ref="B364:B366"/>
    <mergeCell ref="C345:D345"/>
    <mergeCell ref="C346:D346"/>
    <mergeCell ref="B347:B349"/>
    <mergeCell ref="A335:A349"/>
    <mergeCell ref="A351:D351"/>
    <mergeCell ref="A369:A381"/>
    <mergeCell ref="A383:C383"/>
    <mergeCell ref="C340:D340"/>
    <mergeCell ref="C341:D341"/>
    <mergeCell ref="C342:D342"/>
    <mergeCell ref="C343:D343"/>
    <mergeCell ref="C339:D339"/>
    <mergeCell ref="C344:D344"/>
    <mergeCell ref="C571:D571"/>
    <mergeCell ref="C569:D569"/>
    <mergeCell ref="C570:D570"/>
    <mergeCell ref="C338:D338"/>
    <mergeCell ref="C336:D336"/>
    <mergeCell ref="C337:D337"/>
    <mergeCell ref="C1967:D1967"/>
    <mergeCell ref="C1160:D1160"/>
    <mergeCell ref="C1906:D1906"/>
    <mergeCell ref="C1892:D1892"/>
    <mergeCell ref="C1893:D1893"/>
    <mergeCell ref="C1894:D1894"/>
    <mergeCell ref="C1895:D1895"/>
    <mergeCell ref="B1917:B1919"/>
    <mergeCell ref="A1905:A1919"/>
    <mergeCell ref="C1907:D1907"/>
    <mergeCell ref="A3197:A3211"/>
    <mergeCell ref="C3216:D3216"/>
    <mergeCell ref="C3217:D3217"/>
    <mergeCell ref="C3234:D3234"/>
    <mergeCell ref="A3231:A3245"/>
    <mergeCell ref="C3135:D3135"/>
    <mergeCell ref="C3136:D3136"/>
    <mergeCell ref="C3130:D3130"/>
    <mergeCell ref="C3131:D3131"/>
    <mergeCell ref="C3137:D3137"/>
    <mergeCell ref="C3138:D3138"/>
    <mergeCell ref="C3132:D3132"/>
    <mergeCell ref="C3133:D3133"/>
    <mergeCell ref="C3134:D3134"/>
    <mergeCell ref="C3157:D3157"/>
    <mergeCell ref="B3158:B3160"/>
    <mergeCell ref="B3175:B3177"/>
    <mergeCell ref="A3163:A3177"/>
    <mergeCell ref="A3146:A3160"/>
    <mergeCell ref="C3164:D3164"/>
    <mergeCell ref="B3209:B3211"/>
    <mergeCell ref="C3205:D3205"/>
    <mergeCell ref="C3152:D3152"/>
    <mergeCell ref="C3153:D3153"/>
    <mergeCell ref="C3154:D3154"/>
    <mergeCell ref="C3147:D3147"/>
    <mergeCell ref="C3148:D3148"/>
    <mergeCell ref="C3149:D3149"/>
    <mergeCell ref="C3155:D3155"/>
    <mergeCell ref="C3166:D3166"/>
    <mergeCell ref="C3167:D3167"/>
    <mergeCell ref="C3156:D3156"/>
    <mergeCell ref="C3956:D3956"/>
    <mergeCell ref="C3970:D3970"/>
    <mergeCell ref="A3978:D3978"/>
    <mergeCell ref="A3961:D3961"/>
    <mergeCell ref="C3971:D3971"/>
    <mergeCell ref="A3962:A3976"/>
    <mergeCell ref="C3963:D3963"/>
    <mergeCell ref="C3964:D3964"/>
    <mergeCell ref="C3965:D3965"/>
    <mergeCell ref="C3966:D3966"/>
    <mergeCell ref="C3967:D3967"/>
    <mergeCell ref="C3232:D3232"/>
    <mergeCell ref="C3233:D3233"/>
    <mergeCell ref="A3230:D3230"/>
    <mergeCell ref="B3243:B3245"/>
    <mergeCell ref="C3592:D3592"/>
    <mergeCell ref="C3593:D3593"/>
    <mergeCell ref="C3594:D3594"/>
    <mergeCell ref="C3595:D3595"/>
    <mergeCell ref="C3596:D3596"/>
    <mergeCell ref="C3718:D3718"/>
    <mergeCell ref="B3566:B3568"/>
    <mergeCell ref="C3597:D3597"/>
    <mergeCell ref="C3581:D3581"/>
    <mergeCell ref="C3582:D3582"/>
    <mergeCell ref="C3598:D3598"/>
    <mergeCell ref="C3599:D3599"/>
    <mergeCell ref="C3589:D3589"/>
    <mergeCell ref="C3590:D3590"/>
    <mergeCell ref="C3591:D3591"/>
    <mergeCell ref="C3631:D3631"/>
    <mergeCell ref="C3633:D3633"/>
    <mergeCell ref="B3056:B3058"/>
    <mergeCell ref="C3174:D3174"/>
    <mergeCell ref="C3190:D3190"/>
    <mergeCell ref="C3191:D3191"/>
    <mergeCell ref="C3202:D3202"/>
    <mergeCell ref="C3187:D3187"/>
    <mergeCell ref="C3188:D3188"/>
    <mergeCell ref="C3189:D3189"/>
    <mergeCell ref="C2705:D2705"/>
    <mergeCell ref="C2706:D2706"/>
    <mergeCell ref="C2707:D2707"/>
    <mergeCell ref="C2715:D2715"/>
    <mergeCell ref="C2722:D2722"/>
    <mergeCell ref="C2723:D2723"/>
    <mergeCell ref="C2724:D2724"/>
    <mergeCell ref="C3165:D3165"/>
    <mergeCell ref="A3162:D3162"/>
    <mergeCell ref="C3150:D3150"/>
    <mergeCell ref="C3168:D3168"/>
    <mergeCell ref="C3169:D3169"/>
    <mergeCell ref="C3171:D3171"/>
    <mergeCell ref="C3170:D3170"/>
    <mergeCell ref="C3172:D3172"/>
    <mergeCell ref="C3173:D3173"/>
    <mergeCell ref="A3179:D3179"/>
    <mergeCell ref="A2941:D2941"/>
    <mergeCell ref="A2942:A2956"/>
    <mergeCell ref="A2924:D2924"/>
    <mergeCell ref="A2925:A2939"/>
    <mergeCell ref="A2992:D2992"/>
    <mergeCell ref="C2841:D2841"/>
    <mergeCell ref="C2842:D2842"/>
    <mergeCell ref="C3016:D3016"/>
    <mergeCell ref="C3017:D3017"/>
    <mergeCell ref="C2727:D2727"/>
    <mergeCell ref="C2728:D2728"/>
    <mergeCell ref="C2731:D2731"/>
    <mergeCell ref="C2732:D2732"/>
    <mergeCell ref="C2746:D2746"/>
    <mergeCell ref="C2747:D2747"/>
    <mergeCell ref="C2708:D2708"/>
    <mergeCell ref="C2709:D2709"/>
    <mergeCell ref="C2710:D2710"/>
    <mergeCell ref="C2711:D2711"/>
    <mergeCell ref="C2712:D2712"/>
    <mergeCell ref="C2713:D2713"/>
    <mergeCell ref="C2758:D2758"/>
    <mergeCell ref="C2843:D2843"/>
    <mergeCell ref="C2844:D2844"/>
    <mergeCell ref="C2845:D2845"/>
    <mergeCell ref="C2846:D2846"/>
    <mergeCell ref="C2883:D2883"/>
    <mergeCell ref="C2894:D2894"/>
    <mergeCell ref="C2895:D2895"/>
    <mergeCell ref="C2896:D2896"/>
    <mergeCell ref="C2878:D2878"/>
    <mergeCell ref="C2879:D2879"/>
    <mergeCell ref="C2868:D2868"/>
    <mergeCell ref="C2882:D2882"/>
    <mergeCell ref="C2880:D2880"/>
    <mergeCell ref="C2783:D2783"/>
    <mergeCell ref="C2790:D2790"/>
    <mergeCell ref="C2725:D2725"/>
    <mergeCell ref="C2726:D2726"/>
    <mergeCell ref="C3951:D3951"/>
    <mergeCell ref="C3952:D3952"/>
    <mergeCell ref="C3744:D3744"/>
    <mergeCell ref="C3745:D3745"/>
    <mergeCell ref="C3701:D3701"/>
    <mergeCell ref="C3700:D3700"/>
    <mergeCell ref="A3740:D3740"/>
    <mergeCell ref="A3673:A3687"/>
    <mergeCell ref="C3681:D3681"/>
    <mergeCell ref="A3672:D3672"/>
    <mergeCell ref="C3674:D3674"/>
    <mergeCell ref="C3675:D3675"/>
    <mergeCell ref="C3680:D3680"/>
    <mergeCell ref="C3684:D3684"/>
    <mergeCell ref="C3682:D3682"/>
    <mergeCell ref="C3683:D3683"/>
    <mergeCell ref="C3698:D3698"/>
    <mergeCell ref="B3685:B3687"/>
    <mergeCell ref="A3689:D3689"/>
    <mergeCell ref="B3719:B3721"/>
    <mergeCell ref="A3707:A3721"/>
    <mergeCell ref="C3709:D3709"/>
    <mergeCell ref="B3702:B3704"/>
    <mergeCell ref="A3690:A3704"/>
    <mergeCell ref="A3706:D3706"/>
    <mergeCell ref="C3694:D3694"/>
    <mergeCell ref="C3695:D3695"/>
    <mergeCell ref="C3696:D3696"/>
    <mergeCell ref="C3697:D3697"/>
    <mergeCell ref="C3717:D3717"/>
    <mergeCell ref="C3763:D3763"/>
    <mergeCell ref="A3757:D3757"/>
    <mergeCell ref="C3506:D3506"/>
    <mergeCell ref="C3507:D3507"/>
    <mergeCell ref="C3508:D3508"/>
    <mergeCell ref="C3495:D3495"/>
    <mergeCell ref="C3478:D3478"/>
    <mergeCell ref="C3505:D3505"/>
    <mergeCell ref="C3511:D3511"/>
    <mergeCell ref="C3510:D3510"/>
    <mergeCell ref="C3512:D3512"/>
    <mergeCell ref="C3513:D3513"/>
    <mergeCell ref="C3514:D3514"/>
    <mergeCell ref="B3515:B3517"/>
    <mergeCell ref="A3503:A3517"/>
    <mergeCell ref="A3519:D3519"/>
    <mergeCell ref="C3524:D3524"/>
    <mergeCell ref="C3509:D3509"/>
    <mergeCell ref="C3504:D3504"/>
    <mergeCell ref="C3521:D3521"/>
    <mergeCell ref="C3522:D3522"/>
    <mergeCell ref="C3523:D3523"/>
    <mergeCell ref="A3485:D3485"/>
    <mergeCell ref="C3487:D3487"/>
    <mergeCell ref="C3488:D3488"/>
    <mergeCell ref="C3489:D3489"/>
    <mergeCell ref="A3486:A3500"/>
    <mergeCell ref="A3520:A3534"/>
    <mergeCell ref="A3571:A3585"/>
    <mergeCell ref="A3588:A3602"/>
    <mergeCell ref="C3557:D3557"/>
    <mergeCell ref="C3558:D3558"/>
    <mergeCell ref="C3544:D3544"/>
    <mergeCell ref="C3547:D3547"/>
    <mergeCell ref="C3574:D3574"/>
    <mergeCell ref="C3575:D3575"/>
    <mergeCell ref="C3576:D3576"/>
    <mergeCell ref="C3577:D3577"/>
    <mergeCell ref="C3579:D3579"/>
    <mergeCell ref="B3549:B3551"/>
    <mergeCell ref="C3545:D3545"/>
    <mergeCell ref="C3542:D3542"/>
    <mergeCell ref="C3543:D3543"/>
    <mergeCell ref="C3578:D3578"/>
    <mergeCell ref="C3580:D3580"/>
    <mergeCell ref="A3537:A3551"/>
    <mergeCell ref="B3583:B3585"/>
    <mergeCell ref="B3600:B3602"/>
    <mergeCell ref="C3560:D3560"/>
    <mergeCell ref="C3561:D3561"/>
    <mergeCell ref="C3555:D3555"/>
    <mergeCell ref="A3553:D3553"/>
    <mergeCell ref="C3490:D3490"/>
    <mergeCell ref="C3491:D3491"/>
    <mergeCell ref="C3494:D3494"/>
    <mergeCell ref="A3502:D3502"/>
    <mergeCell ref="C3496:D3496"/>
    <mergeCell ref="C3497:D3497"/>
    <mergeCell ref="B3498:B3500"/>
    <mergeCell ref="C3492:D3492"/>
    <mergeCell ref="C3493:D3493"/>
    <mergeCell ref="A3604:D3604"/>
    <mergeCell ref="C3611:D3611"/>
    <mergeCell ref="C3612:D3612"/>
    <mergeCell ref="C3548:D3548"/>
    <mergeCell ref="C3562:D3562"/>
    <mergeCell ref="C3556:D3556"/>
    <mergeCell ref="C3563:D3563"/>
    <mergeCell ref="C3565:D3565"/>
    <mergeCell ref="C3530:D3530"/>
    <mergeCell ref="C3531:D3531"/>
    <mergeCell ref="C3572:D3572"/>
    <mergeCell ref="C3573:D3573"/>
    <mergeCell ref="C3610:D3610"/>
    <mergeCell ref="A3587:D3587"/>
    <mergeCell ref="A3554:A3568"/>
    <mergeCell ref="A3570:D3570"/>
    <mergeCell ref="C3559:D3559"/>
    <mergeCell ref="C3564:D3564"/>
    <mergeCell ref="C3525:D3525"/>
    <mergeCell ref="C3526:D3526"/>
    <mergeCell ref="C3527:D3527"/>
    <mergeCell ref="C3528:D3528"/>
    <mergeCell ref="C3529:D3529"/>
    <mergeCell ref="A3723:D3723"/>
    <mergeCell ref="C3728:D3728"/>
    <mergeCell ref="C3729:D3729"/>
    <mergeCell ref="C3730:D3730"/>
    <mergeCell ref="C3731:D3731"/>
    <mergeCell ref="C3732:D3732"/>
    <mergeCell ref="C3733:D3733"/>
    <mergeCell ref="C3734:D3734"/>
    <mergeCell ref="C3735:D3735"/>
    <mergeCell ref="A3724:A3738"/>
    <mergeCell ref="C3725:D3725"/>
    <mergeCell ref="C3726:D3726"/>
    <mergeCell ref="C3727:D3727"/>
    <mergeCell ref="B3668:B3670"/>
    <mergeCell ref="A3656:A3670"/>
    <mergeCell ref="C3665:D3665"/>
    <mergeCell ref="C3660:D3660"/>
    <mergeCell ref="C3659:D3659"/>
    <mergeCell ref="C3691:D3691"/>
    <mergeCell ref="C3692:D3692"/>
    <mergeCell ref="C3693:D3693"/>
    <mergeCell ref="C3699:D3699"/>
    <mergeCell ref="C3710:D3710"/>
    <mergeCell ref="C3711:D3711"/>
    <mergeCell ref="C3712:D3712"/>
    <mergeCell ref="C3713:D3713"/>
    <mergeCell ref="C3715:D3715"/>
    <mergeCell ref="C3714:D3714"/>
    <mergeCell ref="C3716:D3716"/>
    <mergeCell ref="C3676:D3676"/>
    <mergeCell ref="C3677:D3677"/>
    <mergeCell ref="C3624:D3624"/>
    <mergeCell ref="C3625:D3625"/>
    <mergeCell ref="C3626:D3626"/>
    <mergeCell ref="C3627:D3627"/>
    <mergeCell ref="A3622:A3636"/>
    <mergeCell ref="A3638:D3638"/>
    <mergeCell ref="B3634:B3636"/>
    <mergeCell ref="C3615:D3615"/>
    <mergeCell ref="C3616:D3616"/>
    <mergeCell ref="C3642:D3642"/>
    <mergeCell ref="C3647:D3647"/>
    <mergeCell ref="C3646:D3646"/>
    <mergeCell ref="C3648:D3648"/>
    <mergeCell ref="C3649:D3649"/>
    <mergeCell ref="C3708:D3708"/>
    <mergeCell ref="A3655:D3655"/>
    <mergeCell ref="C3661:D3661"/>
    <mergeCell ref="C3662:D3662"/>
    <mergeCell ref="C3663:D3663"/>
    <mergeCell ref="C3664:D3664"/>
    <mergeCell ref="C3645:D3645"/>
    <mergeCell ref="C3666:D3666"/>
    <mergeCell ref="C3657:D3657"/>
    <mergeCell ref="C3658:D3658"/>
    <mergeCell ref="C3667:D3667"/>
    <mergeCell ref="C3643:D3643"/>
    <mergeCell ref="C3644:D3644"/>
    <mergeCell ref="C3628:D3628"/>
    <mergeCell ref="C3629:D3629"/>
    <mergeCell ref="C3678:D3678"/>
    <mergeCell ref="C3679:D3679"/>
    <mergeCell ref="C3623:D3623"/>
    <mergeCell ref="C1185:D1185"/>
    <mergeCell ref="B1186:B1188"/>
    <mergeCell ref="C3546:D3546"/>
    <mergeCell ref="A3536:D3536"/>
    <mergeCell ref="C3538:D3538"/>
    <mergeCell ref="C3539:D3539"/>
    <mergeCell ref="C3540:D3540"/>
    <mergeCell ref="C3541:D3541"/>
    <mergeCell ref="C3310:D3310"/>
    <mergeCell ref="C3327:D3327"/>
    <mergeCell ref="C3302:D3302"/>
    <mergeCell ref="C3307:D3307"/>
    <mergeCell ref="C3306:D3306"/>
    <mergeCell ref="C3300:D3300"/>
    <mergeCell ref="C3301:D3301"/>
    <mergeCell ref="C3283:D3283"/>
    <mergeCell ref="C3284:D3284"/>
    <mergeCell ref="C3334:D3334"/>
    <mergeCell ref="C3303:D3303"/>
    <mergeCell ref="C3304:D3304"/>
    <mergeCell ref="C3305:D3305"/>
    <mergeCell ref="C3326:D3326"/>
    <mergeCell ref="C3317:D3317"/>
    <mergeCell ref="C3203:D3203"/>
    <mergeCell ref="C3204:D3204"/>
    <mergeCell ref="C3207:D3207"/>
    <mergeCell ref="C3208:D3208"/>
    <mergeCell ref="C3473:D3473"/>
    <mergeCell ref="C3474:D3474"/>
    <mergeCell ref="C3475:D3475"/>
    <mergeCell ref="C3479:D3479"/>
    <mergeCell ref="C3480:D3480"/>
    <mergeCell ref="C1210:D1210"/>
    <mergeCell ref="C1209:D1209"/>
    <mergeCell ref="C1215:D1215"/>
    <mergeCell ref="C1216:D1216"/>
    <mergeCell ref="C1219:D1219"/>
    <mergeCell ref="C1217:D1217"/>
    <mergeCell ref="A1207:D1207"/>
    <mergeCell ref="B1203:B1205"/>
    <mergeCell ref="C1202:D1202"/>
    <mergeCell ref="A1157:A1171"/>
    <mergeCell ref="C1158:D1158"/>
    <mergeCell ref="C1159:D1159"/>
    <mergeCell ref="C1211:D1211"/>
    <mergeCell ref="C1212:D1212"/>
    <mergeCell ref="C3650:D3650"/>
    <mergeCell ref="B3651:B3653"/>
    <mergeCell ref="A3639:A3653"/>
    <mergeCell ref="C3613:D3613"/>
    <mergeCell ref="B3617:B3619"/>
    <mergeCell ref="A3605:A3619"/>
    <mergeCell ref="C3606:D3606"/>
    <mergeCell ref="C3607:D3607"/>
    <mergeCell ref="C3608:D3608"/>
    <mergeCell ref="C3609:D3609"/>
    <mergeCell ref="A3621:D3621"/>
    <mergeCell ref="C3614:D3614"/>
    <mergeCell ref="C3630:D3630"/>
    <mergeCell ref="C3632:D3632"/>
    <mergeCell ref="C3640:D3640"/>
    <mergeCell ref="C3641:D3641"/>
    <mergeCell ref="B3532:B3534"/>
    <mergeCell ref="C3151:D3151"/>
    <mergeCell ref="C1151:D1151"/>
    <mergeCell ref="A1140:A1154"/>
    <mergeCell ref="C1142:D1142"/>
    <mergeCell ref="C1143:D1143"/>
    <mergeCell ref="B1152:B1154"/>
    <mergeCell ref="C1182:D1182"/>
    <mergeCell ref="C1175:D1175"/>
    <mergeCell ref="C1176:D1176"/>
    <mergeCell ref="C1177:D1177"/>
    <mergeCell ref="C1178:D1178"/>
    <mergeCell ref="C1179:D1179"/>
    <mergeCell ref="C1180:D1180"/>
    <mergeCell ref="C1181:D1181"/>
    <mergeCell ref="C1164:D1164"/>
    <mergeCell ref="C1165:D1165"/>
    <mergeCell ref="B1169:B1171"/>
    <mergeCell ref="A1173:D1173"/>
    <mergeCell ref="A1156:D1156"/>
    <mergeCell ref="C1146:D1146"/>
    <mergeCell ref="C1147:D1147"/>
    <mergeCell ref="C1148:D1148"/>
    <mergeCell ref="C1149:D1149"/>
    <mergeCell ref="C1150:D1150"/>
    <mergeCell ref="C1163:D1163"/>
    <mergeCell ref="C1167:D1167"/>
    <mergeCell ref="C1168:D1168"/>
    <mergeCell ref="A1174:A1188"/>
    <mergeCell ref="C1166:D1166"/>
    <mergeCell ref="C1161:D1161"/>
    <mergeCell ref="C1162:D1162"/>
    <mergeCell ref="C1183:D1183"/>
    <mergeCell ref="C1184:D1184"/>
    <mergeCell ref="C1077:D1077"/>
    <mergeCell ref="C1078:D1078"/>
    <mergeCell ref="C1076:D1076"/>
    <mergeCell ref="C1075:D1075"/>
    <mergeCell ref="C1081:D1081"/>
    <mergeCell ref="C1082:D1082"/>
    <mergeCell ref="C1083:D1083"/>
    <mergeCell ref="B1084:B1086"/>
    <mergeCell ref="A1088:D1088"/>
    <mergeCell ref="A1072:A1086"/>
    <mergeCell ref="A1071:D1071"/>
    <mergeCell ref="A1089:A1103"/>
    <mergeCell ref="B1050:B1052"/>
    <mergeCell ref="C1047:D1047"/>
    <mergeCell ref="C1048:D1048"/>
    <mergeCell ref="C1049:D1049"/>
    <mergeCell ref="A1038:A1052"/>
    <mergeCell ref="C1079:D1079"/>
    <mergeCell ref="C1080:D1080"/>
    <mergeCell ref="C1073:D1073"/>
    <mergeCell ref="C1074:D1074"/>
    <mergeCell ref="C1063:D1063"/>
    <mergeCell ref="C1043:D1043"/>
    <mergeCell ref="C1097:D1097"/>
    <mergeCell ref="C1096:D1096"/>
    <mergeCell ref="B1101:B1103"/>
    <mergeCell ref="C1099:D1099"/>
    <mergeCell ref="C1100:D1100"/>
    <mergeCell ref="C1029:D1029"/>
    <mergeCell ref="C1028:D1028"/>
    <mergeCell ref="C1057:D1057"/>
    <mergeCell ref="C1058:D1058"/>
    <mergeCell ref="C1059:D1059"/>
    <mergeCell ref="C1060:D1060"/>
    <mergeCell ref="C1061:D1061"/>
    <mergeCell ref="C1062:D1062"/>
    <mergeCell ref="C1066:D1066"/>
    <mergeCell ref="B1067:B1069"/>
    <mergeCell ref="A1055:A1069"/>
    <mergeCell ref="C1064:D1064"/>
    <mergeCell ref="C1065:D1065"/>
    <mergeCell ref="A1054:D1054"/>
    <mergeCell ref="C1056:D1056"/>
    <mergeCell ref="C971:D971"/>
    <mergeCell ref="C980:D980"/>
    <mergeCell ref="C981:D981"/>
    <mergeCell ref="C979:D979"/>
    <mergeCell ref="C1024:D1024"/>
    <mergeCell ref="C1025:D1025"/>
    <mergeCell ref="C1026:D1026"/>
    <mergeCell ref="C1027:D1027"/>
    <mergeCell ref="C1031:D1031"/>
    <mergeCell ref="A1037:D1037"/>
    <mergeCell ref="C1046:D1046"/>
    <mergeCell ref="C1039:D1039"/>
    <mergeCell ref="C1044:D1044"/>
    <mergeCell ref="C1045:D1045"/>
    <mergeCell ref="C1040:D1040"/>
    <mergeCell ref="C1041:D1041"/>
    <mergeCell ref="C1042:D1042"/>
    <mergeCell ref="C1030:D1030"/>
    <mergeCell ref="A1020:D1020"/>
    <mergeCell ref="C1022:D1022"/>
    <mergeCell ref="C1023:D1023"/>
    <mergeCell ref="C1032:D1032"/>
    <mergeCell ref="C897:D897"/>
    <mergeCell ref="C902:D902"/>
    <mergeCell ref="C901:D901"/>
    <mergeCell ref="C909:D909"/>
    <mergeCell ref="C913:D913"/>
    <mergeCell ref="C912:D912"/>
    <mergeCell ref="C910:D910"/>
    <mergeCell ref="C911:D911"/>
    <mergeCell ref="C914:D914"/>
    <mergeCell ref="C919:D919"/>
    <mergeCell ref="C917:D917"/>
    <mergeCell ref="C918:D918"/>
    <mergeCell ref="A891:A905"/>
    <mergeCell ref="B903:B905"/>
    <mergeCell ref="C1013:D1013"/>
    <mergeCell ref="C1014:D1014"/>
    <mergeCell ref="A1003:D1003"/>
    <mergeCell ref="B999:B1001"/>
    <mergeCell ref="C976:D976"/>
    <mergeCell ref="C977:D977"/>
    <mergeCell ref="A986:D986"/>
    <mergeCell ref="B982:B984"/>
    <mergeCell ref="C1012:D1012"/>
    <mergeCell ref="C1009:D1009"/>
    <mergeCell ref="C1010:D1010"/>
    <mergeCell ref="C1011:D1011"/>
    <mergeCell ref="C998:D998"/>
    <mergeCell ref="B1033:B1035"/>
    <mergeCell ref="B1016:B1018"/>
    <mergeCell ref="A1004:A1018"/>
    <mergeCell ref="A1021:A1035"/>
    <mergeCell ref="C718:D718"/>
    <mergeCell ref="C738:D738"/>
    <mergeCell ref="B739:B741"/>
    <mergeCell ref="A727:A741"/>
    <mergeCell ref="C729:D729"/>
    <mergeCell ref="C730:D730"/>
    <mergeCell ref="A743:D743"/>
    <mergeCell ref="A795:A809"/>
    <mergeCell ref="A812:A824"/>
    <mergeCell ref="A827:A839"/>
    <mergeCell ref="A842:A854"/>
    <mergeCell ref="A826:C826"/>
    <mergeCell ref="A841:C841"/>
    <mergeCell ref="B807:B809"/>
    <mergeCell ref="A811:C811"/>
    <mergeCell ref="C747:D747"/>
    <mergeCell ref="C748:D748"/>
    <mergeCell ref="C762:D762"/>
    <mergeCell ref="C763:D763"/>
    <mergeCell ref="C752:D752"/>
    <mergeCell ref="C753:D753"/>
    <mergeCell ref="A744:A758"/>
    <mergeCell ref="C745:D745"/>
    <mergeCell ref="C746:D746"/>
    <mergeCell ref="B790:B792"/>
    <mergeCell ref="A778:A792"/>
    <mergeCell ref="C772:D772"/>
    <mergeCell ref="C783:D783"/>
    <mergeCell ref="A77:A89"/>
    <mergeCell ref="A92:A104"/>
    <mergeCell ref="C110:D110"/>
    <mergeCell ref="C111:D111"/>
    <mergeCell ref="A91:C91"/>
    <mergeCell ref="A106:D106"/>
    <mergeCell ref="C108:D108"/>
    <mergeCell ref="C109:D109"/>
    <mergeCell ref="A76:C76"/>
    <mergeCell ref="C694:D694"/>
    <mergeCell ref="A692:D692"/>
    <mergeCell ref="C684:D684"/>
    <mergeCell ref="B688:B690"/>
    <mergeCell ref="C695:D695"/>
    <mergeCell ref="C696:D696"/>
    <mergeCell ref="A676:A690"/>
    <mergeCell ref="C687:D687"/>
    <mergeCell ref="A693:A707"/>
    <mergeCell ref="C704:D704"/>
    <mergeCell ref="B705:B707"/>
    <mergeCell ref="C319:D319"/>
    <mergeCell ref="B313:B315"/>
    <mergeCell ref="A317:D317"/>
    <mergeCell ref="A301:A315"/>
    <mergeCell ref="B330:B332"/>
    <mergeCell ref="A318:A332"/>
    <mergeCell ref="C326:D326"/>
    <mergeCell ref="C324:D324"/>
    <mergeCell ref="C325:D325"/>
    <mergeCell ref="C328:D328"/>
    <mergeCell ref="C329:D329"/>
    <mergeCell ref="C327:D327"/>
    <mergeCell ref="A286:A298"/>
    <mergeCell ref="A220:A232"/>
    <mergeCell ref="A203:A217"/>
    <mergeCell ref="A235:A249"/>
    <mergeCell ref="B458:B460"/>
    <mergeCell ref="B475:B477"/>
    <mergeCell ref="B264:B266"/>
    <mergeCell ref="B281:B283"/>
    <mergeCell ref="B215:B217"/>
    <mergeCell ref="B247:B249"/>
    <mergeCell ref="A285:C285"/>
    <mergeCell ref="A300:D300"/>
    <mergeCell ref="A219:C219"/>
    <mergeCell ref="A251:D251"/>
    <mergeCell ref="A268:D268"/>
    <mergeCell ref="A234:D234"/>
    <mergeCell ref="C353:D353"/>
    <mergeCell ref="C354:D354"/>
    <mergeCell ref="C355:D355"/>
    <mergeCell ref="C356:D356"/>
    <mergeCell ref="C357:D357"/>
    <mergeCell ref="C358:D358"/>
    <mergeCell ref="C322:D322"/>
    <mergeCell ref="C323:D323"/>
    <mergeCell ref="C362:D362"/>
    <mergeCell ref="C363:D363"/>
    <mergeCell ref="C359:D359"/>
    <mergeCell ref="C360:D360"/>
    <mergeCell ref="A368:C368"/>
    <mergeCell ref="A384:A396"/>
    <mergeCell ref="A334:D334"/>
    <mergeCell ref="C361:D361"/>
    <mergeCell ref="A1105:D1105"/>
    <mergeCell ref="C1092:D1092"/>
    <mergeCell ref="C1093:D1093"/>
    <mergeCell ref="C1094:D1094"/>
    <mergeCell ref="C1095:D1095"/>
    <mergeCell ref="C1090:D1090"/>
    <mergeCell ref="C1091:D1091"/>
    <mergeCell ref="C1098:D1098"/>
    <mergeCell ref="C1015:D1015"/>
    <mergeCell ref="A480:A494"/>
    <mergeCell ref="B509:B511"/>
    <mergeCell ref="A497:A511"/>
    <mergeCell ref="A514:A526"/>
    <mergeCell ref="A513:C513"/>
    <mergeCell ref="A543:D543"/>
    <mergeCell ref="A529:A541"/>
    <mergeCell ref="A544:A558"/>
    <mergeCell ref="A578:A590"/>
    <mergeCell ref="A561:A575"/>
    <mergeCell ref="A528:C528"/>
    <mergeCell ref="C786:D786"/>
    <mergeCell ref="C787:D787"/>
    <mergeCell ref="A709:D709"/>
    <mergeCell ref="B722:B724"/>
    <mergeCell ref="C788:D788"/>
    <mergeCell ref="C789:D789"/>
    <mergeCell ref="C858:D858"/>
    <mergeCell ref="C859:D859"/>
    <mergeCell ref="B869:B871"/>
    <mergeCell ref="A856:D856"/>
    <mergeCell ref="A857:A871"/>
    <mergeCell ref="A873:D873"/>
    <mergeCell ref="C881:D881"/>
    <mergeCell ref="C866:D866"/>
    <mergeCell ref="C860:D860"/>
    <mergeCell ref="C861:D861"/>
    <mergeCell ref="C862:D862"/>
    <mergeCell ref="C863:D863"/>
    <mergeCell ref="C864:D864"/>
    <mergeCell ref="C865:D865"/>
    <mergeCell ref="C804:D804"/>
    <mergeCell ref="C805:D805"/>
    <mergeCell ref="C716:D716"/>
    <mergeCell ref="C717:D717"/>
    <mergeCell ref="C780:D780"/>
    <mergeCell ref="C781:D781"/>
    <mergeCell ref="C765:D765"/>
    <mergeCell ref="C766:D766"/>
    <mergeCell ref="C767:D767"/>
    <mergeCell ref="C754:D754"/>
    <mergeCell ref="C779:D779"/>
    <mergeCell ref="C769:D769"/>
    <mergeCell ref="C768:D768"/>
    <mergeCell ref="C764:D764"/>
    <mergeCell ref="C782:D782"/>
    <mergeCell ref="C882:D882"/>
    <mergeCell ref="C883:D883"/>
    <mergeCell ref="C898:D898"/>
    <mergeCell ref="C899:D899"/>
    <mergeCell ref="C900:D900"/>
    <mergeCell ref="C892:D892"/>
    <mergeCell ref="C885:D885"/>
    <mergeCell ref="C877:D877"/>
    <mergeCell ref="C875:D875"/>
    <mergeCell ref="C876:D876"/>
    <mergeCell ref="B886:B888"/>
    <mergeCell ref="A874:A888"/>
    <mergeCell ref="C880:D880"/>
    <mergeCell ref="A890:D890"/>
    <mergeCell ref="A777:D777"/>
    <mergeCell ref="A794:D794"/>
    <mergeCell ref="C884:D884"/>
    <mergeCell ref="C894:D894"/>
    <mergeCell ref="C893:D893"/>
    <mergeCell ref="C895:D895"/>
    <mergeCell ref="C896:D896"/>
    <mergeCell ref="C878:D878"/>
    <mergeCell ref="C867:D867"/>
    <mergeCell ref="C868:D868"/>
    <mergeCell ref="C879:D879"/>
    <mergeCell ref="C806:D806"/>
    <mergeCell ref="C798:D798"/>
    <mergeCell ref="C800:D800"/>
    <mergeCell ref="C799:D799"/>
    <mergeCell ref="C801:D801"/>
    <mergeCell ref="C803:D803"/>
    <mergeCell ref="C802:D802"/>
    <mergeCell ref="A610:A624"/>
    <mergeCell ref="A644:A658"/>
    <mergeCell ref="B656:B658"/>
    <mergeCell ref="A660:C660"/>
    <mergeCell ref="A661:A673"/>
    <mergeCell ref="B639:B641"/>
    <mergeCell ref="C677:D677"/>
    <mergeCell ref="A675:D675"/>
    <mergeCell ref="A593:A607"/>
    <mergeCell ref="A627:A641"/>
    <mergeCell ref="B622:B624"/>
    <mergeCell ref="B605:B607"/>
    <mergeCell ref="C619:D619"/>
    <mergeCell ref="A609:D609"/>
    <mergeCell ref="A643:D643"/>
    <mergeCell ref="A592:D592"/>
    <mergeCell ref="A626:D626"/>
    <mergeCell ref="C648:D648"/>
    <mergeCell ref="C601:D601"/>
    <mergeCell ref="C650:D650"/>
    <mergeCell ref="C646:D646"/>
    <mergeCell ref="C647:D647"/>
    <mergeCell ref="C628:D628"/>
    <mergeCell ref="C554:D554"/>
    <mergeCell ref="C555:D555"/>
    <mergeCell ref="B556:B558"/>
    <mergeCell ref="A560:D560"/>
    <mergeCell ref="C568:D568"/>
    <mergeCell ref="C566:D566"/>
    <mergeCell ref="C567:D567"/>
    <mergeCell ref="C562:D562"/>
    <mergeCell ref="B573:B575"/>
    <mergeCell ref="A577:C577"/>
    <mergeCell ref="C565:D565"/>
    <mergeCell ref="A399:A411"/>
    <mergeCell ref="A398:C398"/>
    <mergeCell ref="A445:D445"/>
    <mergeCell ref="A428:D428"/>
    <mergeCell ref="B441:B443"/>
    <mergeCell ref="B492:B494"/>
    <mergeCell ref="A496:D496"/>
    <mergeCell ref="A462:D462"/>
    <mergeCell ref="A479:D479"/>
    <mergeCell ref="A446:A460"/>
    <mergeCell ref="A463:A477"/>
    <mergeCell ref="A414:A426"/>
    <mergeCell ref="A429:A443"/>
    <mergeCell ref="A413:C413"/>
    <mergeCell ref="C453:D453"/>
    <mergeCell ref="C472:D472"/>
    <mergeCell ref="C439:D439"/>
    <mergeCell ref="C438:D438"/>
    <mergeCell ref="C432:D432"/>
    <mergeCell ref="C686:D686"/>
    <mergeCell ref="C614:D614"/>
    <mergeCell ref="C645:D645"/>
    <mergeCell ref="C620:D620"/>
    <mergeCell ref="C621:D621"/>
    <mergeCell ref="C630:D630"/>
    <mergeCell ref="C636:D636"/>
    <mergeCell ref="C637:D637"/>
    <mergeCell ref="C638:D638"/>
    <mergeCell ref="C680:D680"/>
    <mergeCell ref="C681:D681"/>
    <mergeCell ref="C682:D682"/>
    <mergeCell ref="C683:D683"/>
    <mergeCell ref="C697:D697"/>
    <mergeCell ref="C698:D698"/>
    <mergeCell ref="C699:D699"/>
    <mergeCell ref="C700:D700"/>
    <mergeCell ref="C631:D631"/>
    <mergeCell ref="C632:D632"/>
    <mergeCell ref="C678:D678"/>
    <mergeCell ref="C701:D701"/>
    <mergeCell ref="C702:D702"/>
    <mergeCell ref="C703:D703"/>
    <mergeCell ref="C715:D715"/>
    <mergeCell ref="C711:D711"/>
    <mergeCell ref="A760:D760"/>
    <mergeCell ref="C770:D770"/>
    <mergeCell ref="C734:D734"/>
    <mergeCell ref="C735:D735"/>
    <mergeCell ref="C749:D749"/>
    <mergeCell ref="C750:D750"/>
    <mergeCell ref="C731:D731"/>
    <mergeCell ref="C732:D732"/>
    <mergeCell ref="C736:D736"/>
    <mergeCell ref="C737:D737"/>
    <mergeCell ref="C733:D733"/>
    <mergeCell ref="C719:D719"/>
    <mergeCell ref="C751:D751"/>
    <mergeCell ref="C720:D720"/>
    <mergeCell ref="C721:D721"/>
    <mergeCell ref="A710:A724"/>
    <mergeCell ref="C712:D712"/>
    <mergeCell ref="C713:D713"/>
    <mergeCell ref="C714:D714"/>
    <mergeCell ref="C755:D755"/>
    <mergeCell ref="B773:B775"/>
    <mergeCell ref="A761:A775"/>
    <mergeCell ref="B756:B758"/>
    <mergeCell ref="C797:D797"/>
    <mergeCell ref="C796:D796"/>
    <mergeCell ref="C784:D784"/>
    <mergeCell ref="C785:D785"/>
    <mergeCell ref="C771:D771"/>
    <mergeCell ref="C728:D728"/>
    <mergeCell ref="A726:D726"/>
    <mergeCell ref="C440:D440"/>
    <mergeCell ref="C483:D483"/>
    <mergeCell ref="C484:D484"/>
    <mergeCell ref="C485:D485"/>
    <mergeCell ref="C486:D486"/>
    <mergeCell ref="C488:D488"/>
    <mergeCell ref="C489:D489"/>
    <mergeCell ref="C490:D490"/>
    <mergeCell ref="C491:D491"/>
    <mergeCell ref="C506:D506"/>
    <mergeCell ref="C507:D507"/>
    <mergeCell ref="C455:D455"/>
    <mergeCell ref="C456:D456"/>
    <mergeCell ref="C470:D470"/>
    <mergeCell ref="C471:D471"/>
    <mergeCell ref="C464:D464"/>
    <mergeCell ref="C465:D465"/>
    <mergeCell ref="C498:D498"/>
    <mergeCell ref="C499:D499"/>
    <mergeCell ref="C450:D450"/>
    <mergeCell ref="C451:D451"/>
    <mergeCell ref="C452:D452"/>
    <mergeCell ref="C433:D433"/>
    <mergeCell ref="C434:D434"/>
    <mergeCell ref="C435:D435"/>
    <mergeCell ref="C436:D436"/>
    <mergeCell ref="C437:D437"/>
    <mergeCell ref="C598:D598"/>
    <mergeCell ref="C612:D612"/>
    <mergeCell ref="C617:D617"/>
    <mergeCell ref="C618:D618"/>
    <mergeCell ref="C679:D679"/>
    <mergeCell ref="C685:D685"/>
    <mergeCell ref="C320:D320"/>
    <mergeCell ref="C321:D321"/>
    <mergeCell ref="C655:D655"/>
    <mergeCell ref="C651:D651"/>
    <mergeCell ref="C652:D652"/>
    <mergeCell ref="C653:D653"/>
    <mergeCell ref="C654:D654"/>
    <mergeCell ref="C549:D549"/>
    <mergeCell ref="C550:D550"/>
    <mergeCell ref="C551:D551"/>
    <mergeCell ref="C547:D547"/>
    <mergeCell ref="C481:D481"/>
    <mergeCell ref="C482:D482"/>
    <mergeCell ref="C508:D508"/>
    <mergeCell ref="C599:D599"/>
    <mergeCell ref="C604:D604"/>
    <mergeCell ref="C600:D600"/>
    <mergeCell ref="C563:D563"/>
    <mergeCell ref="C564:D564"/>
    <mergeCell ref="C552:D552"/>
    <mergeCell ref="C553:D553"/>
    <mergeCell ref="C312:D312"/>
    <mergeCell ref="C308:D308"/>
    <mergeCell ref="C309:D309"/>
    <mergeCell ref="C310:D310"/>
    <mergeCell ref="C311:D311"/>
    <mergeCell ref="C473:D473"/>
    <mergeCell ref="C474:D474"/>
    <mergeCell ref="C447:D447"/>
    <mergeCell ref="C430:D430"/>
    <mergeCell ref="C431:D431"/>
    <mergeCell ref="C448:D448"/>
    <mergeCell ref="C449:D449"/>
    <mergeCell ref="C629:D629"/>
    <mergeCell ref="C633:D633"/>
    <mergeCell ref="C634:D634"/>
    <mergeCell ref="C635:D635"/>
    <mergeCell ref="C649:D649"/>
    <mergeCell ref="C615:D615"/>
    <mergeCell ref="C616:D616"/>
    <mergeCell ref="C487:D487"/>
    <mergeCell ref="C505:D505"/>
    <mergeCell ref="C500:D500"/>
    <mergeCell ref="C501:D501"/>
    <mergeCell ref="C502:D502"/>
    <mergeCell ref="C503:D503"/>
    <mergeCell ref="C504:D504"/>
    <mergeCell ref="C468:D468"/>
    <mergeCell ref="C469:D469"/>
    <mergeCell ref="C572:D572"/>
    <mergeCell ref="C545:D545"/>
    <mergeCell ref="C546:D546"/>
    <mergeCell ref="C548:D548"/>
    <mergeCell ref="C916:D916"/>
    <mergeCell ref="A925:A937"/>
    <mergeCell ref="C915:D915"/>
    <mergeCell ref="A907:D907"/>
    <mergeCell ref="C988:D988"/>
    <mergeCell ref="C989:D989"/>
    <mergeCell ref="C972:D972"/>
    <mergeCell ref="C973:D973"/>
    <mergeCell ref="C978:D978"/>
    <mergeCell ref="A970:A984"/>
    <mergeCell ref="A940:A952"/>
    <mergeCell ref="A955:A967"/>
    <mergeCell ref="A987:A1001"/>
    <mergeCell ref="A939:C939"/>
    <mergeCell ref="A954:C954"/>
    <mergeCell ref="C975:D975"/>
    <mergeCell ref="C974:D974"/>
    <mergeCell ref="C992:D992"/>
    <mergeCell ref="C993:D993"/>
    <mergeCell ref="B920:B922"/>
    <mergeCell ref="A924:C924"/>
    <mergeCell ref="A908:A922"/>
    <mergeCell ref="A969:D969"/>
    <mergeCell ref="A32:A44"/>
    <mergeCell ref="A62:A74"/>
    <mergeCell ref="A47:A59"/>
    <mergeCell ref="A31:C31"/>
    <mergeCell ref="A46:C46"/>
    <mergeCell ref="A1:C1"/>
    <mergeCell ref="A2:A14"/>
    <mergeCell ref="A16:C16"/>
    <mergeCell ref="A61:C61"/>
    <mergeCell ref="A17:A29"/>
    <mergeCell ref="C994:D994"/>
    <mergeCell ref="C997:D997"/>
    <mergeCell ref="C995:D995"/>
    <mergeCell ref="C996:D996"/>
    <mergeCell ref="C1008:D1008"/>
    <mergeCell ref="C1007:D1007"/>
    <mergeCell ref="C1005:D1005"/>
    <mergeCell ref="C1006:D1006"/>
    <mergeCell ref="C990:D990"/>
    <mergeCell ref="C991:D991"/>
    <mergeCell ref="C454:D454"/>
    <mergeCell ref="C467:D467"/>
    <mergeCell ref="C457:D457"/>
    <mergeCell ref="C466:D466"/>
    <mergeCell ref="C602:D602"/>
    <mergeCell ref="C603:D603"/>
    <mergeCell ref="C611:D611"/>
    <mergeCell ref="C613:D613"/>
    <mergeCell ref="C596:D596"/>
    <mergeCell ref="C597:D597"/>
    <mergeCell ref="C594:D594"/>
    <mergeCell ref="C595:D595"/>
    <mergeCell ref="C128:D128"/>
    <mergeCell ref="C129:D129"/>
    <mergeCell ref="C130:D130"/>
    <mergeCell ref="C131:D131"/>
    <mergeCell ref="C132:D132"/>
    <mergeCell ref="C133:D133"/>
    <mergeCell ref="C117:D117"/>
    <mergeCell ref="C118:D118"/>
    <mergeCell ref="B119:B121"/>
    <mergeCell ref="A123:D123"/>
    <mergeCell ref="C125:D125"/>
    <mergeCell ref="C126:D126"/>
    <mergeCell ref="C116:D116"/>
    <mergeCell ref="C112:D112"/>
    <mergeCell ref="C113:D113"/>
    <mergeCell ref="C114:D114"/>
    <mergeCell ref="C115:D115"/>
    <mergeCell ref="A107:A121"/>
    <mergeCell ref="A124:A138"/>
    <mergeCell ref="C127:D127"/>
    <mergeCell ref="A173:A185"/>
    <mergeCell ref="A172:C172"/>
    <mergeCell ref="C134:D134"/>
    <mergeCell ref="C135:D135"/>
    <mergeCell ref="B136:B138"/>
    <mergeCell ref="A140:D140"/>
    <mergeCell ref="A157:C157"/>
    <mergeCell ref="B153:B155"/>
    <mergeCell ref="A188:A200"/>
    <mergeCell ref="A187:C187"/>
    <mergeCell ref="A141:A155"/>
    <mergeCell ref="A158:A170"/>
    <mergeCell ref="A252:A266"/>
    <mergeCell ref="A269:A283"/>
    <mergeCell ref="C152:D152"/>
    <mergeCell ref="C148:D148"/>
    <mergeCell ref="C149:D149"/>
    <mergeCell ref="C277:D277"/>
    <mergeCell ref="C280:D280"/>
    <mergeCell ref="A202:D202"/>
    <mergeCell ref="C255:D255"/>
    <mergeCell ref="C256:D256"/>
    <mergeCell ref="C237:D237"/>
    <mergeCell ref="C238:D238"/>
    <mergeCell ref="C253:D253"/>
    <mergeCell ref="C254:D254"/>
    <mergeCell ref="C143:D143"/>
    <mergeCell ref="C144:D144"/>
    <mergeCell ref="C145:D145"/>
    <mergeCell ref="C150:D150"/>
    <mergeCell ref="C151:D151"/>
    <mergeCell ref="C146:D146"/>
    <mergeCell ref="C147:D147"/>
    <mergeCell ref="C142:D142"/>
    <mergeCell ref="C239:D239"/>
    <mergeCell ref="C240:D240"/>
    <mergeCell ref="C245:D245"/>
    <mergeCell ref="C204:D204"/>
    <mergeCell ref="C205:D205"/>
    <mergeCell ref="C206:D206"/>
    <mergeCell ref="C243:D243"/>
    <mergeCell ref="C244:D244"/>
    <mergeCell ref="C236:D236"/>
    <mergeCell ref="C241:D241"/>
    <mergeCell ref="C242:D242"/>
    <mergeCell ref="C212:D212"/>
    <mergeCell ref="C213:D213"/>
    <mergeCell ref="C306:D306"/>
    <mergeCell ref="C307:D307"/>
    <mergeCell ref="C304:D304"/>
    <mergeCell ref="C302:D302"/>
    <mergeCell ref="C305:D305"/>
    <mergeCell ref="C303:D303"/>
    <mergeCell ref="C278:D278"/>
    <mergeCell ref="C279:D279"/>
    <mergeCell ref="C276:D276"/>
    <mergeCell ref="C271:D271"/>
    <mergeCell ref="C274:D274"/>
    <mergeCell ref="C275:D275"/>
    <mergeCell ref="C270:D270"/>
    <mergeCell ref="C262:D262"/>
    <mergeCell ref="C263:D263"/>
    <mergeCell ref="C207:D207"/>
    <mergeCell ref="C214:D214"/>
    <mergeCell ref="C209:D209"/>
    <mergeCell ref="C246:D246"/>
    <mergeCell ref="C208:D208"/>
    <mergeCell ref="C257:D257"/>
    <mergeCell ref="C258:D258"/>
    <mergeCell ref="C259:D259"/>
    <mergeCell ref="C210:D210"/>
    <mergeCell ref="C211:D211"/>
    <mergeCell ref="C272:D272"/>
    <mergeCell ref="C273:D273"/>
    <mergeCell ref="C260:D260"/>
    <mergeCell ref="C261:D261"/>
    <mergeCell ref="C3476:D3476"/>
    <mergeCell ref="C3477:D3477"/>
    <mergeCell ref="C3215:D3215"/>
    <mergeCell ref="C3218:D3218"/>
    <mergeCell ref="C3235:D3235"/>
    <mergeCell ref="C3236:D3236"/>
    <mergeCell ref="C3291:D3291"/>
    <mergeCell ref="C3285:D3285"/>
    <mergeCell ref="C3286:D3286"/>
    <mergeCell ref="C3455:D3455"/>
    <mergeCell ref="C3409:D3409"/>
    <mergeCell ref="C3408:D3408"/>
    <mergeCell ref="C3389:D3389"/>
    <mergeCell ref="C3115:D3115"/>
    <mergeCell ref="C3066:D3066"/>
    <mergeCell ref="C3067:D3067"/>
    <mergeCell ref="C3054:D3054"/>
    <mergeCell ref="C3055:D3055"/>
    <mergeCell ref="C3438:D3438"/>
    <mergeCell ref="C3439:D3439"/>
    <mergeCell ref="A3468:D3468"/>
    <mergeCell ref="C3470:D3470"/>
    <mergeCell ref="C3471:D3471"/>
    <mergeCell ref="B3192:B3194"/>
    <mergeCell ref="A3180:A3194"/>
    <mergeCell ref="A3196:D3196"/>
    <mergeCell ref="C3436:D3436"/>
    <mergeCell ref="C3437:D3437"/>
    <mergeCell ref="C3461:D3461"/>
    <mergeCell ref="C3462:D3462"/>
    <mergeCell ref="C3463:D3463"/>
    <mergeCell ref="B3464:B3466"/>
    <mergeCell ref="C3453:D3453"/>
    <mergeCell ref="C3454:D3454"/>
    <mergeCell ref="C3456:D3456"/>
    <mergeCell ref="C3457:D3457"/>
    <mergeCell ref="C3458:D3458"/>
    <mergeCell ref="C3459:D3459"/>
    <mergeCell ref="C3460:D3460"/>
    <mergeCell ref="B3447:B3449"/>
    <mergeCell ref="B3226:B3228"/>
    <mergeCell ref="C3440:D3440"/>
    <mergeCell ref="C3441:D3441"/>
    <mergeCell ref="C3443:D3443"/>
    <mergeCell ref="C3442:D3442"/>
    <mergeCell ref="C3444:D3444"/>
    <mergeCell ref="C3445:D3445"/>
    <mergeCell ref="C3446:D3446"/>
    <mergeCell ref="A3451:D3451"/>
    <mergeCell ref="C3388:D3388"/>
    <mergeCell ref="A3383:D3383"/>
    <mergeCell ref="C3375:D3375"/>
    <mergeCell ref="B3481:B3483"/>
    <mergeCell ref="A3469:A3483"/>
    <mergeCell ref="C3181:D3181"/>
    <mergeCell ref="C3182:D3182"/>
    <mergeCell ref="C3183:D3183"/>
    <mergeCell ref="C3184:D3184"/>
    <mergeCell ref="C3185:D3185"/>
    <mergeCell ref="C3186:D3186"/>
    <mergeCell ref="C3198:D3198"/>
    <mergeCell ref="C3199:D3199"/>
    <mergeCell ref="C3390:D3390"/>
    <mergeCell ref="C3428:D3428"/>
    <mergeCell ref="C3429:D3429"/>
    <mergeCell ref="C3410:D3410"/>
    <mergeCell ref="C3405:D3405"/>
    <mergeCell ref="C3422:D3422"/>
    <mergeCell ref="C3423:D3423"/>
    <mergeCell ref="C3424:D3424"/>
    <mergeCell ref="C3425:D3425"/>
    <mergeCell ref="C3427:D3427"/>
    <mergeCell ref="A3434:D3434"/>
    <mergeCell ref="B3430:B3432"/>
    <mergeCell ref="C3411:D3411"/>
    <mergeCell ref="C3412:D3412"/>
    <mergeCell ref="C3426:D3426"/>
    <mergeCell ref="C3419:D3419"/>
    <mergeCell ref="C3420:D3420"/>
    <mergeCell ref="C3421:D3421"/>
    <mergeCell ref="A3418:A3432"/>
    <mergeCell ref="C3472:D3472"/>
    <mergeCell ref="A3452:A3466"/>
    <mergeCell ref="A3435:A3449"/>
    <mergeCell ref="B3124:B3126"/>
    <mergeCell ref="B3141:B3143"/>
    <mergeCell ref="A3129:A3143"/>
    <mergeCell ref="A3145:D3145"/>
    <mergeCell ref="C3123:D3123"/>
    <mergeCell ref="A3128:D3128"/>
    <mergeCell ref="C3116:D3116"/>
    <mergeCell ref="C3117:D3117"/>
    <mergeCell ref="C3118:D3118"/>
    <mergeCell ref="C3119:D3119"/>
    <mergeCell ref="C3120:D3120"/>
    <mergeCell ref="C3121:D3121"/>
    <mergeCell ref="C3139:D3139"/>
    <mergeCell ref="C3140:D3140"/>
    <mergeCell ref="C3101:D3101"/>
    <mergeCell ref="A3111:D3111"/>
    <mergeCell ref="C3122:D3122"/>
    <mergeCell ref="C3113:D3113"/>
    <mergeCell ref="C3114:D3114"/>
    <mergeCell ref="A3112:A3126"/>
    <mergeCell ref="A3061:A3075"/>
    <mergeCell ref="C3062:D3062"/>
    <mergeCell ref="C3063:D3063"/>
    <mergeCell ref="C3072:D3072"/>
    <mergeCell ref="A3060:D3060"/>
    <mergeCell ref="C3103:D3103"/>
    <mergeCell ref="C3102:D3102"/>
    <mergeCell ref="C3104:D3104"/>
    <mergeCell ref="C3105:D3105"/>
    <mergeCell ref="C3106:D3106"/>
    <mergeCell ref="B3107:B3109"/>
    <mergeCell ref="B3073:B3075"/>
    <mergeCell ref="A3078:A3092"/>
    <mergeCell ref="B3090:B3092"/>
    <mergeCell ref="C3079:D3079"/>
    <mergeCell ref="C3080:D3080"/>
    <mergeCell ref="C3081:D3081"/>
    <mergeCell ref="C3082:D3082"/>
    <mergeCell ref="C3098:D3098"/>
    <mergeCell ref="C3096:D3096"/>
    <mergeCell ref="C3097:D3097"/>
    <mergeCell ref="A3077:D3077"/>
    <mergeCell ref="A3094:D3094"/>
    <mergeCell ref="C3099:D3099"/>
    <mergeCell ref="C3100:D3100"/>
    <mergeCell ref="C3088:D3088"/>
    <mergeCell ref="C3089:D3089"/>
    <mergeCell ref="A3095:A3109"/>
    <mergeCell ref="C3083:D3083"/>
    <mergeCell ref="C3084:D3084"/>
    <mergeCell ref="C3068:D3068"/>
    <mergeCell ref="C3071:D3071"/>
    <mergeCell ref="C3374:D3374"/>
    <mergeCell ref="C3403:D3403"/>
    <mergeCell ref="C3404:D3404"/>
    <mergeCell ref="A3400:D3400"/>
    <mergeCell ref="A3417:D3417"/>
    <mergeCell ref="A3384:A3398"/>
    <mergeCell ref="A3367:A3381"/>
    <mergeCell ref="A3401:A3415"/>
    <mergeCell ref="C3391:D3391"/>
    <mergeCell ref="C3392:D3392"/>
    <mergeCell ref="C3373:D3373"/>
    <mergeCell ref="C3376:D3376"/>
    <mergeCell ref="C3377:D3377"/>
    <mergeCell ref="C3378:D3378"/>
    <mergeCell ref="C3394:D3394"/>
    <mergeCell ref="C3395:D3395"/>
    <mergeCell ref="C3393:D3393"/>
    <mergeCell ref="B3328:B3330"/>
    <mergeCell ref="A3332:D3332"/>
    <mergeCell ref="C3271:D3271"/>
    <mergeCell ref="C3290:D3290"/>
    <mergeCell ref="A3298:D3298"/>
    <mergeCell ref="B3311:B3313"/>
    <mergeCell ref="A3299:A3313"/>
    <mergeCell ref="A3315:D3315"/>
    <mergeCell ref="A3316:A3330"/>
    <mergeCell ref="B3396:B3398"/>
    <mergeCell ref="C3402:D3402"/>
    <mergeCell ref="C3371:D3371"/>
    <mergeCell ref="C3372:D3372"/>
    <mergeCell ref="B3379:B3381"/>
    <mergeCell ref="C3385:D3385"/>
    <mergeCell ref="C3386:D3386"/>
    <mergeCell ref="B3413:B3415"/>
    <mergeCell ref="C3407:D3407"/>
    <mergeCell ref="C3406:D3406"/>
    <mergeCell ref="C3360:D3360"/>
    <mergeCell ref="C3361:D3361"/>
    <mergeCell ref="C3368:D3368"/>
    <mergeCell ref="C3369:D3369"/>
    <mergeCell ref="B3345:B3347"/>
    <mergeCell ref="A3333:A3347"/>
    <mergeCell ref="A3349:D3349"/>
    <mergeCell ref="A3350:A3364"/>
    <mergeCell ref="C3353:D3353"/>
    <mergeCell ref="A3366:D3366"/>
    <mergeCell ref="C3370:D3370"/>
    <mergeCell ref="B3362:B3364"/>
    <mergeCell ref="C3387:D3387"/>
    <mergeCell ref="C3318:D3318"/>
    <mergeCell ref="C3319:D3319"/>
    <mergeCell ref="C3320:D3320"/>
    <mergeCell ref="C3321:D3321"/>
    <mergeCell ref="C3322:D3322"/>
    <mergeCell ref="C3325:D3325"/>
    <mergeCell ref="C3219:D3219"/>
    <mergeCell ref="C3220:D3220"/>
    <mergeCell ref="C3237:D3237"/>
    <mergeCell ref="C3239:D3239"/>
    <mergeCell ref="C3238:D3238"/>
    <mergeCell ref="C3240:D3240"/>
    <mergeCell ref="C3241:D3241"/>
    <mergeCell ref="C3223:D3223"/>
    <mergeCell ref="C3224:D3224"/>
    <mergeCell ref="C3250:D3250"/>
    <mergeCell ref="C3270:D3270"/>
    <mergeCell ref="C3272:D3272"/>
    <mergeCell ref="C3275:D3275"/>
    <mergeCell ref="C3273:D3273"/>
    <mergeCell ref="C3274:D3274"/>
    <mergeCell ref="C3242:D3242"/>
    <mergeCell ref="C3308:D3308"/>
    <mergeCell ref="C3309:D3309"/>
    <mergeCell ref="C3254:D3254"/>
    <mergeCell ref="C3255:D3255"/>
    <mergeCell ref="C3256:D3256"/>
    <mergeCell ref="C3257:D3257"/>
    <mergeCell ref="C3343:D3343"/>
    <mergeCell ref="C3344:D3344"/>
    <mergeCell ref="C3337:D3337"/>
    <mergeCell ref="C3338:D3338"/>
    <mergeCell ref="C3339:D3339"/>
    <mergeCell ref="C3340:D3340"/>
    <mergeCell ref="C3341:D3341"/>
    <mergeCell ref="C3342:D3342"/>
    <mergeCell ref="C3358:D3358"/>
    <mergeCell ref="C3359:D3359"/>
    <mergeCell ref="C3351:D3351"/>
    <mergeCell ref="C3352:D3352"/>
    <mergeCell ref="C3354:D3354"/>
    <mergeCell ref="C3355:D3355"/>
    <mergeCell ref="C3356:D3356"/>
    <mergeCell ref="C3357:D3357"/>
    <mergeCell ref="C3323:D3323"/>
    <mergeCell ref="C3324:D3324"/>
    <mergeCell ref="C3335:D3335"/>
    <mergeCell ref="C3336:D3336"/>
    <mergeCell ref="A3248:A3262"/>
    <mergeCell ref="B3277:B3279"/>
    <mergeCell ref="A3265:A3279"/>
    <mergeCell ref="B3260:B3262"/>
    <mergeCell ref="A3282:A3296"/>
    <mergeCell ref="B3294:B3296"/>
    <mergeCell ref="C3276:D3276"/>
    <mergeCell ref="A3281:D3281"/>
    <mergeCell ref="C3287:D3287"/>
    <mergeCell ref="C3288:D3288"/>
    <mergeCell ref="C3289:D3289"/>
    <mergeCell ref="C3292:D3292"/>
    <mergeCell ref="C3293:D3293"/>
    <mergeCell ref="C3222:D3222"/>
    <mergeCell ref="A3213:D3213"/>
    <mergeCell ref="C3221:D3221"/>
    <mergeCell ref="C3200:D3200"/>
    <mergeCell ref="C3201:D3201"/>
    <mergeCell ref="A3247:D3247"/>
    <mergeCell ref="C3251:D3251"/>
    <mergeCell ref="C3252:D3252"/>
    <mergeCell ref="C3253:D3253"/>
    <mergeCell ref="A3264:D3264"/>
    <mergeCell ref="A3214:A3228"/>
    <mergeCell ref="C3225:D3225"/>
    <mergeCell ref="C3249:D3249"/>
    <mergeCell ref="C3258:D3258"/>
    <mergeCell ref="C3259:D3259"/>
    <mergeCell ref="C3266:D3266"/>
    <mergeCell ref="C3267:D3267"/>
    <mergeCell ref="C3268:D3268"/>
    <mergeCell ref="C3269:D3269"/>
    <mergeCell ref="A2670:A2684"/>
    <mergeCell ref="B2631:B2633"/>
    <mergeCell ref="A2635:D2635"/>
    <mergeCell ref="B2733:B2735"/>
    <mergeCell ref="A2721:A2735"/>
    <mergeCell ref="A2737:D2737"/>
    <mergeCell ref="A2720:D2720"/>
    <mergeCell ref="A2754:D2754"/>
    <mergeCell ref="B2699:B2701"/>
    <mergeCell ref="A2687:A2701"/>
    <mergeCell ref="A2703:D2703"/>
    <mergeCell ref="B2716:B2718"/>
    <mergeCell ref="A2704:A2718"/>
    <mergeCell ref="C2695:D2695"/>
    <mergeCell ref="C2694:D2694"/>
    <mergeCell ref="C2696:D2696"/>
    <mergeCell ref="C2697:D2697"/>
    <mergeCell ref="C2698:D2698"/>
    <mergeCell ref="C2688:D2688"/>
    <mergeCell ref="C2689:D2689"/>
    <mergeCell ref="C2714:D2714"/>
    <mergeCell ref="B2665:B2667"/>
    <mergeCell ref="A2619:A2633"/>
    <mergeCell ref="A2669:D2669"/>
    <mergeCell ref="A2686:D2686"/>
    <mergeCell ref="B2682:B2684"/>
    <mergeCell ref="A2636:A2650"/>
    <mergeCell ref="A2653:A2667"/>
    <mergeCell ref="C2625:D2625"/>
    <mergeCell ref="C2681:D2681"/>
    <mergeCell ref="C2627:D2627"/>
    <mergeCell ref="C2626:D2626"/>
    <mergeCell ref="A2602:A2616"/>
    <mergeCell ref="A2533:D2533"/>
    <mergeCell ref="B2529:B2531"/>
    <mergeCell ref="B2512:B2514"/>
    <mergeCell ref="A2550:D2550"/>
    <mergeCell ref="A2516:D2516"/>
    <mergeCell ref="B2546:B2548"/>
    <mergeCell ref="B2563:B2565"/>
    <mergeCell ref="B2580:B2582"/>
    <mergeCell ref="A2584:D2584"/>
    <mergeCell ref="B2597:B2599"/>
    <mergeCell ref="A2585:A2599"/>
    <mergeCell ref="A2567:D2567"/>
    <mergeCell ref="C2586:D2586"/>
    <mergeCell ref="C2587:D2587"/>
    <mergeCell ref="C2588:D2588"/>
    <mergeCell ref="C2589:D2589"/>
    <mergeCell ref="C2590:D2590"/>
    <mergeCell ref="C2591:D2591"/>
    <mergeCell ref="C2594:D2594"/>
    <mergeCell ref="C2592:D2592"/>
    <mergeCell ref="C2593:D2593"/>
    <mergeCell ref="C2572:D2572"/>
    <mergeCell ref="C2573:D2573"/>
    <mergeCell ref="C2574:D2574"/>
    <mergeCell ref="C2575:D2575"/>
    <mergeCell ref="C2576:D2576"/>
    <mergeCell ref="C2612:D2612"/>
    <mergeCell ref="C2420:D2420"/>
    <mergeCell ref="C2416:D2416"/>
    <mergeCell ref="C2453:D2453"/>
    <mergeCell ref="C2522:D2522"/>
    <mergeCell ref="C2523:D2523"/>
    <mergeCell ref="C2504:D2504"/>
    <mergeCell ref="C2505:D2505"/>
    <mergeCell ref="C2511:D2511"/>
    <mergeCell ref="C2509:D2509"/>
    <mergeCell ref="A2466:A2480"/>
    <mergeCell ref="C2622:D2622"/>
    <mergeCell ref="C2623:D2623"/>
    <mergeCell ref="C2624:D2624"/>
    <mergeCell ref="C2562:D2562"/>
    <mergeCell ref="C2544:D2544"/>
    <mergeCell ref="C2545:D2545"/>
    <mergeCell ref="C2552:D2552"/>
    <mergeCell ref="C2553:D2553"/>
    <mergeCell ref="C2467:D2467"/>
    <mergeCell ref="C2468:D2468"/>
    <mergeCell ref="C2469:D2469"/>
    <mergeCell ref="C2470:D2470"/>
    <mergeCell ref="C2476:D2476"/>
    <mergeCell ref="C2477:D2477"/>
    <mergeCell ref="C2484:D2484"/>
    <mergeCell ref="C2485:D2485"/>
    <mergeCell ref="B2478:B2480"/>
    <mergeCell ref="A2500:A2514"/>
    <mergeCell ref="B2495:B2497"/>
    <mergeCell ref="C2577:D2577"/>
    <mergeCell ref="C2595:D2595"/>
    <mergeCell ref="C2611:D2611"/>
    <mergeCell ref="C2421:D2421"/>
    <mergeCell ref="C2423:D2423"/>
    <mergeCell ref="C2422:D2422"/>
    <mergeCell ref="C2424:D2424"/>
    <mergeCell ref="C2460:D2460"/>
    <mergeCell ref="C2474:D2474"/>
    <mergeCell ref="C2475:D2475"/>
    <mergeCell ref="C2486:D2486"/>
    <mergeCell ref="C2487:D2487"/>
    <mergeCell ref="C2488:D2488"/>
    <mergeCell ref="C2471:D2471"/>
    <mergeCell ref="A2465:D2465"/>
    <mergeCell ref="B2461:B2463"/>
    <mergeCell ref="A2482:D2482"/>
    <mergeCell ref="C2472:D2472"/>
    <mergeCell ref="C2473:D2473"/>
    <mergeCell ref="C2436:D2436"/>
    <mergeCell ref="C2437:D2437"/>
    <mergeCell ref="C2425:D2425"/>
    <mergeCell ref="C2438:D2438"/>
    <mergeCell ref="C2456:D2456"/>
    <mergeCell ref="C2459:D2459"/>
    <mergeCell ref="C2426:D2426"/>
    <mergeCell ref="C1213:D1213"/>
    <mergeCell ref="C1214:D1214"/>
    <mergeCell ref="C1249:D1249"/>
    <mergeCell ref="C1236:D1236"/>
    <mergeCell ref="C1250:D1250"/>
    <mergeCell ref="C1251:D1251"/>
    <mergeCell ref="C1218:D1218"/>
    <mergeCell ref="B1815:B1817"/>
    <mergeCell ref="A1224:D1224"/>
    <mergeCell ref="C1226:D1226"/>
    <mergeCell ref="C1227:D1227"/>
    <mergeCell ref="C1228:D1228"/>
    <mergeCell ref="C1229:D1229"/>
    <mergeCell ref="C1230:D1230"/>
    <mergeCell ref="C1231:D1231"/>
    <mergeCell ref="C1232:D1232"/>
    <mergeCell ref="B1220:B1222"/>
    <mergeCell ref="A1241:D1241"/>
    <mergeCell ref="A1242:A1256"/>
    <mergeCell ref="B1237:B1239"/>
    <mergeCell ref="A1225:A1239"/>
    <mergeCell ref="C1244:D1244"/>
    <mergeCell ref="C1793:D1793"/>
    <mergeCell ref="A1785:D1785"/>
    <mergeCell ref="A1786:A1800"/>
    <mergeCell ref="C1791:D1791"/>
    <mergeCell ref="B1798:B1800"/>
    <mergeCell ref="C1804:D1804"/>
    <mergeCell ref="C1805:D1805"/>
    <mergeCell ref="C1775:D1775"/>
    <mergeCell ref="C1776:D1776"/>
    <mergeCell ref="C1234:D1234"/>
    <mergeCell ref="A1803:A1817"/>
    <mergeCell ref="C1808:D1808"/>
    <mergeCell ref="C1809:D1809"/>
    <mergeCell ref="C1811:D1811"/>
    <mergeCell ref="C1810:D1810"/>
    <mergeCell ref="C1812:D1812"/>
    <mergeCell ref="C1813:D1813"/>
    <mergeCell ref="A1819:D1819"/>
    <mergeCell ref="C1695:D1695"/>
    <mergeCell ref="C1709:D1709"/>
    <mergeCell ref="C1710:D1710"/>
    <mergeCell ref="C1694:D1694"/>
    <mergeCell ref="B1696:B1698"/>
    <mergeCell ref="B1713:B1715"/>
    <mergeCell ref="C1706:D1706"/>
    <mergeCell ref="C1787:D1787"/>
    <mergeCell ref="C1788:D1788"/>
    <mergeCell ref="C1789:D1789"/>
    <mergeCell ref="C1790:D1790"/>
    <mergeCell ref="C1796:D1796"/>
    <mergeCell ref="C1797:D1797"/>
    <mergeCell ref="C1707:D1707"/>
    <mergeCell ref="C1708:D1708"/>
    <mergeCell ref="C1792:D1792"/>
    <mergeCell ref="C1773:D1773"/>
    <mergeCell ref="C1774:D1774"/>
    <mergeCell ref="C1779:D1779"/>
    <mergeCell ref="C1780:D1780"/>
    <mergeCell ref="C1777:D1777"/>
    <mergeCell ref="C1778:D1778"/>
    <mergeCell ref="B1764:B1766"/>
    <mergeCell ref="B1781:B1783"/>
    <mergeCell ref="A1258:D1258"/>
    <mergeCell ref="A1667:A1681"/>
    <mergeCell ref="C1268:D1268"/>
    <mergeCell ref="C1269:D1269"/>
    <mergeCell ref="C1262:D1262"/>
    <mergeCell ref="C1263:D1263"/>
    <mergeCell ref="C1264:D1264"/>
    <mergeCell ref="C1265:D1265"/>
    <mergeCell ref="C1267:D1267"/>
    <mergeCell ref="C1266:D1266"/>
    <mergeCell ref="C1243:D1243"/>
    <mergeCell ref="C1247:D1247"/>
    <mergeCell ref="C1270:D1270"/>
    <mergeCell ref="C1252:D1252"/>
    <mergeCell ref="B1254:B1256"/>
    <mergeCell ref="B1271:B1273"/>
    <mergeCell ref="C1261:D1261"/>
    <mergeCell ref="C1653:D1653"/>
    <mergeCell ref="C1507:D1507"/>
    <mergeCell ref="C1508:D1508"/>
    <mergeCell ref="C1672:D1672"/>
    <mergeCell ref="C1655:D1655"/>
    <mergeCell ref="C1656:D1656"/>
    <mergeCell ref="C1661:D1661"/>
    <mergeCell ref="C1644:D1644"/>
    <mergeCell ref="C1486:D1486"/>
    <mergeCell ref="C1489:D1489"/>
    <mergeCell ref="C1504:D1504"/>
    <mergeCell ref="C1657:D1657"/>
    <mergeCell ref="C1660:D1660"/>
    <mergeCell ref="C1658:D1658"/>
    <mergeCell ref="C1471:D1471"/>
    <mergeCell ref="C1770:D1770"/>
    <mergeCell ref="C1771:D1771"/>
    <mergeCell ref="C1772:D1772"/>
    <mergeCell ref="C1623:D1623"/>
    <mergeCell ref="C1624:D1624"/>
    <mergeCell ref="C1617:D1617"/>
    <mergeCell ref="C1618:D1618"/>
    <mergeCell ref="C1619:D1619"/>
    <mergeCell ref="A1632:D1632"/>
    <mergeCell ref="C1620:D1620"/>
    <mergeCell ref="C1621:D1621"/>
    <mergeCell ref="C1622:D1622"/>
    <mergeCell ref="C1625:D1625"/>
    <mergeCell ref="C1643:D1643"/>
    <mergeCell ref="A1649:D1649"/>
    <mergeCell ref="C1634:D1634"/>
    <mergeCell ref="C1635:D1635"/>
    <mergeCell ref="C1636:D1636"/>
    <mergeCell ref="C1637:D1637"/>
    <mergeCell ref="C1638:D1638"/>
    <mergeCell ref="C1639:D1639"/>
    <mergeCell ref="C1640:D1640"/>
    <mergeCell ref="C1723:D1723"/>
    <mergeCell ref="C1724:D1724"/>
    <mergeCell ref="C1729:D1729"/>
    <mergeCell ref="C1721:D1721"/>
    <mergeCell ref="C1746:D1746"/>
    <mergeCell ref="B1747:B1749"/>
    <mergeCell ref="C1760:D1760"/>
    <mergeCell ref="C1761:D1761"/>
    <mergeCell ref="C1753:D1753"/>
    <mergeCell ref="C1754:D1754"/>
    <mergeCell ref="C1755:D1755"/>
    <mergeCell ref="C1756:D1756"/>
    <mergeCell ref="C1757:D1757"/>
    <mergeCell ref="C1758:D1758"/>
    <mergeCell ref="C1762:D1762"/>
    <mergeCell ref="C1763:D1763"/>
    <mergeCell ref="C1743:D1743"/>
    <mergeCell ref="C1742:D1742"/>
    <mergeCell ref="C1744:D1744"/>
    <mergeCell ref="C1745:D1745"/>
    <mergeCell ref="B1730:B1732"/>
    <mergeCell ref="C1759:D1759"/>
    <mergeCell ref="A2415:A2429"/>
    <mergeCell ref="A2398:A2412"/>
    <mergeCell ref="A1616:A1630"/>
    <mergeCell ref="B1645:B1647"/>
    <mergeCell ref="A1633:A1647"/>
    <mergeCell ref="A1650:A1664"/>
    <mergeCell ref="A1666:D1666"/>
    <mergeCell ref="A1769:A1783"/>
    <mergeCell ref="C1794:D1794"/>
    <mergeCell ref="C1875:D1875"/>
    <mergeCell ref="C1876:D1876"/>
    <mergeCell ref="A1853:D1853"/>
    <mergeCell ref="A1854:A1868"/>
    <mergeCell ref="C1859:D1859"/>
    <mergeCell ref="C1864:D1864"/>
    <mergeCell ref="C1865:D1865"/>
    <mergeCell ref="C1857:D1857"/>
    <mergeCell ref="C1858:D1858"/>
    <mergeCell ref="A1922:A1936"/>
    <mergeCell ref="A1938:D1938"/>
    <mergeCell ref="A1939:A1953"/>
    <mergeCell ref="A1955:D1955"/>
    <mergeCell ref="A1956:A1970"/>
    <mergeCell ref="C1877:D1877"/>
    <mergeCell ref="C1845:D1845"/>
    <mergeCell ref="C1846:D1846"/>
    <mergeCell ref="C1860:D1860"/>
    <mergeCell ref="C1861:D1861"/>
    <mergeCell ref="C1855:D1855"/>
    <mergeCell ref="C1856:D1856"/>
    <mergeCell ref="C1882:D1882"/>
    <mergeCell ref="B1883:B1885"/>
    <mergeCell ref="C1898:D1898"/>
    <mergeCell ref="C1899:D1899"/>
    <mergeCell ref="B1900:B1902"/>
    <mergeCell ref="A1888:A1902"/>
    <mergeCell ref="C1889:D1889"/>
    <mergeCell ref="C1890:D1890"/>
    <mergeCell ref="C1891:D1891"/>
    <mergeCell ref="A1904:D1904"/>
    <mergeCell ref="A1871:A1885"/>
    <mergeCell ref="C1960:D1960"/>
    <mergeCell ref="C1961:D1961"/>
    <mergeCell ref="C1962:D1962"/>
    <mergeCell ref="C1963:D1963"/>
    <mergeCell ref="C1964:D1964"/>
    <mergeCell ref="C1944:D1944"/>
    <mergeCell ref="A1887:D1887"/>
    <mergeCell ref="C1879:D1879"/>
    <mergeCell ref="C1878:D1878"/>
    <mergeCell ref="C1880:D1880"/>
    <mergeCell ref="C1881:D1881"/>
    <mergeCell ref="C1826:D1826"/>
    <mergeCell ref="C1829:D1829"/>
    <mergeCell ref="C1844:D1844"/>
    <mergeCell ref="C1838:D1838"/>
    <mergeCell ref="C1839:D1839"/>
    <mergeCell ref="C1840:D1840"/>
    <mergeCell ref="C1841:D1841"/>
    <mergeCell ref="C1847:D1847"/>
    <mergeCell ref="C1848:D1848"/>
    <mergeCell ref="A1836:D1836"/>
    <mergeCell ref="B1849:B1851"/>
    <mergeCell ref="A1837:A1851"/>
    <mergeCell ref="C1862:D1862"/>
    <mergeCell ref="C1863:D1863"/>
    <mergeCell ref="A1870:D1870"/>
    <mergeCell ref="C1874:D1874"/>
    <mergeCell ref="B1866:B1868"/>
    <mergeCell ref="B1832:B1834"/>
    <mergeCell ref="A1820:A1834"/>
    <mergeCell ref="C1872:D1872"/>
    <mergeCell ref="C1873:D1873"/>
    <mergeCell ref="C1843:D1843"/>
    <mergeCell ref="C1827:D1827"/>
    <mergeCell ref="C1828:D1828"/>
    <mergeCell ref="A1684:A1698"/>
    <mergeCell ref="A1700:D1700"/>
    <mergeCell ref="A1701:A1715"/>
    <mergeCell ref="A1717:D1717"/>
    <mergeCell ref="A1718:A1732"/>
    <mergeCell ref="A1734:D1734"/>
    <mergeCell ref="A1735:A1749"/>
    <mergeCell ref="A1751:D1751"/>
    <mergeCell ref="A1752:A1766"/>
    <mergeCell ref="A1768:D1768"/>
    <mergeCell ref="C1795:D1795"/>
    <mergeCell ref="A1802:D1802"/>
    <mergeCell ref="C1806:D1806"/>
    <mergeCell ref="C1807:D1807"/>
    <mergeCell ref="C1823:D1823"/>
    <mergeCell ref="C1824:D1824"/>
    <mergeCell ref="C1825:D1825"/>
    <mergeCell ref="C1725:D1725"/>
    <mergeCell ref="C1728:D1728"/>
    <mergeCell ref="C1726:D1726"/>
    <mergeCell ref="C1727:D1727"/>
    <mergeCell ref="C1740:D1740"/>
    <mergeCell ref="C1736:D1736"/>
    <mergeCell ref="C1737:D1737"/>
    <mergeCell ref="C1738:D1738"/>
    <mergeCell ref="C1739:D1739"/>
    <mergeCell ref="C1719:D1719"/>
    <mergeCell ref="C1720:D1720"/>
    <mergeCell ref="C1711:D1711"/>
    <mergeCell ref="C1712:D1712"/>
    <mergeCell ref="C1741:D1741"/>
    <mergeCell ref="C1722:D1722"/>
    <mergeCell ref="C1702:D1702"/>
    <mergeCell ref="C1703:D1703"/>
    <mergeCell ref="C1704:D1704"/>
    <mergeCell ref="C1705:D1705"/>
    <mergeCell ref="C1693:D1693"/>
    <mergeCell ref="C1689:D1689"/>
    <mergeCell ref="C1690:D1690"/>
    <mergeCell ref="C1691:D1691"/>
    <mergeCell ref="C1692:D1692"/>
    <mergeCell ref="A1683:D1683"/>
    <mergeCell ref="C1491:D1491"/>
    <mergeCell ref="C1490:D1490"/>
    <mergeCell ref="B1492:B1494"/>
    <mergeCell ref="A1582:A1596"/>
    <mergeCell ref="A1599:A1613"/>
    <mergeCell ref="C1627:D1627"/>
    <mergeCell ref="B1628:B1630"/>
    <mergeCell ref="C1607:D1607"/>
    <mergeCell ref="C1606:D1606"/>
    <mergeCell ref="C1608:D1608"/>
    <mergeCell ref="C1609:D1609"/>
    <mergeCell ref="C1610:D1610"/>
    <mergeCell ref="B1611:B1613"/>
    <mergeCell ref="C1626:D1626"/>
    <mergeCell ref="C1570:D1570"/>
    <mergeCell ref="C1571:D1571"/>
    <mergeCell ref="C1574:D1574"/>
    <mergeCell ref="C1572:D1572"/>
    <mergeCell ref="C1573:D1573"/>
    <mergeCell ref="C1575:D1575"/>
    <mergeCell ref="C1576:D1576"/>
    <mergeCell ref="A1564:D1564"/>
    <mergeCell ref="C1473:D1473"/>
    <mergeCell ref="C1474:D1474"/>
    <mergeCell ref="B1475:B1477"/>
    <mergeCell ref="C1687:D1687"/>
    <mergeCell ref="C1688:D1688"/>
    <mergeCell ref="C1671:D1671"/>
    <mergeCell ref="C1668:D1668"/>
    <mergeCell ref="C1669:D1669"/>
    <mergeCell ref="C1670:D1670"/>
    <mergeCell ref="B1679:B1681"/>
    <mergeCell ref="C1685:D1685"/>
    <mergeCell ref="C1686:D1686"/>
    <mergeCell ref="C1482:D1482"/>
    <mergeCell ref="C1483:D1483"/>
    <mergeCell ref="C1484:D1484"/>
    <mergeCell ref="C1485:D1485"/>
    <mergeCell ref="C1659:D1659"/>
    <mergeCell ref="C1654:D1654"/>
    <mergeCell ref="C1651:D1651"/>
    <mergeCell ref="C1652:D1652"/>
    <mergeCell ref="C1592:D1592"/>
    <mergeCell ref="C1602:D1602"/>
    <mergeCell ref="C1600:D1600"/>
    <mergeCell ref="C1601:D1601"/>
    <mergeCell ref="A1581:D1581"/>
    <mergeCell ref="A1598:D1598"/>
    <mergeCell ref="C1603:D1603"/>
    <mergeCell ref="C1604:D1604"/>
    <mergeCell ref="C1605:D1605"/>
    <mergeCell ref="C1593:D1593"/>
    <mergeCell ref="B1594:B1596"/>
    <mergeCell ref="A1615:D1615"/>
    <mergeCell ref="B1577:B1579"/>
    <mergeCell ref="A1565:A1579"/>
    <mergeCell ref="C1566:D1566"/>
    <mergeCell ref="C1567:D1567"/>
    <mergeCell ref="C1568:D1568"/>
    <mergeCell ref="C1569:D1569"/>
    <mergeCell ref="C1591:D1591"/>
    <mergeCell ref="C1588:D1588"/>
    <mergeCell ref="C1589:D1589"/>
    <mergeCell ref="C1590:D1590"/>
    <mergeCell ref="C1583:D1583"/>
    <mergeCell ref="C1584:D1584"/>
    <mergeCell ref="C1585:D1585"/>
    <mergeCell ref="C1586:D1586"/>
    <mergeCell ref="C1587:D1587"/>
    <mergeCell ref="C1539:D1539"/>
    <mergeCell ref="C1540:D1540"/>
    <mergeCell ref="C1524:D1524"/>
    <mergeCell ref="C1525:D1525"/>
    <mergeCell ref="C1532:D1532"/>
    <mergeCell ref="C1533:D1533"/>
    <mergeCell ref="A1530:D1530"/>
    <mergeCell ref="C1534:D1534"/>
    <mergeCell ref="C1535:D1535"/>
    <mergeCell ref="C1536:D1536"/>
    <mergeCell ref="C1537:D1537"/>
    <mergeCell ref="A1514:A1528"/>
    <mergeCell ref="C1538:D1538"/>
    <mergeCell ref="B1526:B1528"/>
    <mergeCell ref="A1531:A1545"/>
    <mergeCell ref="A1548:A1562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41:D1541"/>
    <mergeCell ref="C1542:D1542"/>
    <mergeCell ref="B1543:B1545"/>
    <mergeCell ref="A1547:D1547"/>
    <mergeCell ref="C1558:D1558"/>
    <mergeCell ref="C1559:D1559"/>
    <mergeCell ref="B1560:B1562"/>
    <mergeCell ref="C1557:D1557"/>
    <mergeCell ref="C1522:D1522"/>
    <mergeCell ref="C1523:D1523"/>
    <mergeCell ref="C1520:D1520"/>
    <mergeCell ref="C1521:D1521"/>
    <mergeCell ref="C1519:D1519"/>
    <mergeCell ref="C1505:D1505"/>
    <mergeCell ref="C1506:D1506"/>
    <mergeCell ref="A1513:D1513"/>
    <mergeCell ref="C1515:D1515"/>
    <mergeCell ref="C1516:D1516"/>
    <mergeCell ref="C1517:D1517"/>
    <mergeCell ref="C1518:D1518"/>
    <mergeCell ref="A1496:D1496"/>
    <mergeCell ref="B1509:B1511"/>
    <mergeCell ref="A1497:A1511"/>
    <mergeCell ref="C1498:D1498"/>
    <mergeCell ref="C1499:D1499"/>
    <mergeCell ref="C1500:D1500"/>
    <mergeCell ref="C1501:D1501"/>
    <mergeCell ref="C1502:D1502"/>
    <mergeCell ref="C1503:D1503"/>
    <mergeCell ref="C2656:D2656"/>
    <mergeCell ref="C2657:D2657"/>
    <mergeCell ref="C2658:D2658"/>
    <mergeCell ref="C2659:D2659"/>
    <mergeCell ref="C2660:D2660"/>
    <mergeCell ref="C2690:D2690"/>
    <mergeCell ref="C2691:D2691"/>
    <mergeCell ref="C2692:D2692"/>
    <mergeCell ref="C2693:D2693"/>
    <mergeCell ref="C2672:D2672"/>
    <mergeCell ref="C2673:D2673"/>
    <mergeCell ref="C2663:D2663"/>
    <mergeCell ref="C2679:D2679"/>
    <mergeCell ref="C2676:D2676"/>
    <mergeCell ref="C2677:D2677"/>
    <mergeCell ref="C2664:D2664"/>
    <mergeCell ref="C2678:D2678"/>
    <mergeCell ref="C2671:D2671"/>
    <mergeCell ref="C2674:D2674"/>
    <mergeCell ref="C2675:D2675"/>
    <mergeCell ref="C2661:D2661"/>
    <mergeCell ref="C2662:D2662"/>
    <mergeCell ref="C2680:D2680"/>
    <mergeCell ref="C2629:D2629"/>
    <mergeCell ref="C2646:D2646"/>
    <mergeCell ref="C2647:D2647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54:D2654"/>
    <mergeCell ref="C2655:D2655"/>
    <mergeCell ref="C2608:D2608"/>
    <mergeCell ref="C2609:D2609"/>
    <mergeCell ref="C2596:D2596"/>
    <mergeCell ref="C2610:D2610"/>
    <mergeCell ref="C2603:D2603"/>
    <mergeCell ref="C2604:D2604"/>
    <mergeCell ref="C2605:D2605"/>
    <mergeCell ref="C2606:D2606"/>
    <mergeCell ref="C2607:D2607"/>
    <mergeCell ref="A2601:D2601"/>
    <mergeCell ref="A2618:D2618"/>
    <mergeCell ref="B2614:B2616"/>
    <mergeCell ref="B2648:B2650"/>
    <mergeCell ref="A2652:D2652"/>
    <mergeCell ref="C2628:D2628"/>
    <mergeCell ref="C2613:D2613"/>
    <mergeCell ref="C2620:D2620"/>
    <mergeCell ref="C2621:D2621"/>
    <mergeCell ref="C2578:D2578"/>
    <mergeCell ref="C2579:D2579"/>
    <mergeCell ref="C2569:D2569"/>
    <mergeCell ref="C2570:D2570"/>
    <mergeCell ref="C2571:D2571"/>
    <mergeCell ref="C2540:D2540"/>
    <mergeCell ref="C2541:D2541"/>
    <mergeCell ref="A2499:D2499"/>
    <mergeCell ref="C2524:D2524"/>
    <mergeCell ref="C2527:D2527"/>
    <mergeCell ref="C2525:D2525"/>
    <mergeCell ref="C2526:D2526"/>
    <mergeCell ref="C2528:D2528"/>
    <mergeCell ref="C2542:D2542"/>
    <mergeCell ref="C2535:D2535"/>
    <mergeCell ref="C2536:D2536"/>
    <mergeCell ref="C2537:D2537"/>
    <mergeCell ref="C2538:D2538"/>
    <mergeCell ref="C2539:D2539"/>
    <mergeCell ref="C2543:D2543"/>
    <mergeCell ref="C2554:D2554"/>
    <mergeCell ref="C2560:D2560"/>
    <mergeCell ref="C2561:D2561"/>
    <mergeCell ref="A2534:A2548"/>
    <mergeCell ref="A2517:A2531"/>
    <mergeCell ref="A2568:A2582"/>
    <mergeCell ref="A2551:A2565"/>
    <mergeCell ref="C2557:D2557"/>
    <mergeCell ref="C2559:D2559"/>
    <mergeCell ref="C2558:D2558"/>
    <mergeCell ref="B2393:B2395"/>
    <mergeCell ref="A2381:A2395"/>
    <mergeCell ref="C2408:D2408"/>
    <mergeCell ref="B2410:B2412"/>
    <mergeCell ref="B2427:B2429"/>
    <mergeCell ref="A2448:D2448"/>
    <mergeCell ref="A2449:A2463"/>
    <mergeCell ref="C2442:D2442"/>
    <mergeCell ref="C2439:D2439"/>
    <mergeCell ref="C2440:D2440"/>
    <mergeCell ref="C2433:D2433"/>
    <mergeCell ref="C2434:D2434"/>
    <mergeCell ref="C2435:D2435"/>
    <mergeCell ref="C2441:D2441"/>
    <mergeCell ref="A2483:A2497"/>
    <mergeCell ref="C2443:D2443"/>
    <mergeCell ref="C2454:D2454"/>
    <mergeCell ref="C2402:D2402"/>
    <mergeCell ref="C2403:D2403"/>
    <mergeCell ref="C2404:D2404"/>
    <mergeCell ref="C2405:D2405"/>
    <mergeCell ref="C2409:D2409"/>
    <mergeCell ref="C2417:D2417"/>
    <mergeCell ref="C2399:D2399"/>
    <mergeCell ref="A2397:D2397"/>
    <mergeCell ref="C2386:D2386"/>
    <mergeCell ref="C2387:D2387"/>
    <mergeCell ref="C2518:D2518"/>
    <mergeCell ref="C2519:D2519"/>
    <mergeCell ref="C2352:D2352"/>
    <mergeCell ref="C2353:D2353"/>
    <mergeCell ref="C2354:D2354"/>
    <mergeCell ref="A2347:A2361"/>
    <mergeCell ref="C2356:D2356"/>
    <mergeCell ref="C2357:D2357"/>
    <mergeCell ref="C2358:D2358"/>
    <mergeCell ref="B2359:B2361"/>
    <mergeCell ref="C2339:D2339"/>
    <mergeCell ref="C2340:D2340"/>
    <mergeCell ref="A2330:A2344"/>
    <mergeCell ref="B2342:B2344"/>
    <mergeCell ref="C2341:D2341"/>
    <mergeCell ref="C2348:D2348"/>
    <mergeCell ref="C2349:D2349"/>
    <mergeCell ref="C2555:D2555"/>
    <mergeCell ref="C2556:D2556"/>
    <mergeCell ref="C2494:D2494"/>
    <mergeCell ref="C2510:D2510"/>
    <mergeCell ref="C2507:D2507"/>
    <mergeCell ref="C2508:D2508"/>
    <mergeCell ref="C2501:D2501"/>
    <mergeCell ref="C2502:D2502"/>
    <mergeCell ref="C2503:D2503"/>
    <mergeCell ref="C2520:D2520"/>
    <mergeCell ref="C2521:D2521"/>
    <mergeCell ref="A2431:D2431"/>
    <mergeCell ref="A2414:D2414"/>
    <mergeCell ref="C2457:D2457"/>
    <mergeCell ref="C2458:D2458"/>
    <mergeCell ref="B2444:B2446"/>
    <mergeCell ref="A2432:A2446"/>
    <mergeCell ref="C2382:D2382"/>
    <mergeCell ref="C2383:D2383"/>
    <mergeCell ref="C2389:D2389"/>
    <mergeCell ref="A2380:D2380"/>
    <mergeCell ref="C2384:D2384"/>
    <mergeCell ref="C2385:D2385"/>
    <mergeCell ref="C2388:D2388"/>
    <mergeCell ref="B2376:B2378"/>
    <mergeCell ref="C2331:D2331"/>
    <mergeCell ref="C2332:D2332"/>
    <mergeCell ref="C2333:D2333"/>
    <mergeCell ref="C2334:D2334"/>
    <mergeCell ref="C2335:D2335"/>
    <mergeCell ref="C2336:D2336"/>
    <mergeCell ref="C2338:D2338"/>
    <mergeCell ref="A2364:A2378"/>
    <mergeCell ref="C2368:D2368"/>
    <mergeCell ref="C2369:D2369"/>
    <mergeCell ref="C2370:D2370"/>
    <mergeCell ref="C2371:D2371"/>
    <mergeCell ref="C2372:D2372"/>
    <mergeCell ref="C2373:D2373"/>
    <mergeCell ref="C2374:D2374"/>
    <mergeCell ref="C2365:D2365"/>
    <mergeCell ref="C2366:D2366"/>
    <mergeCell ref="C2367:D2367"/>
    <mergeCell ref="C2375:D2375"/>
    <mergeCell ref="C2355:D2355"/>
    <mergeCell ref="A2363:D2363"/>
    <mergeCell ref="A2346:D2346"/>
    <mergeCell ref="C2350:D2350"/>
    <mergeCell ref="C2351:D2351"/>
    <mergeCell ref="A2329:D2329"/>
    <mergeCell ref="A2296:A2310"/>
    <mergeCell ref="A2312:D2312"/>
    <mergeCell ref="C2300:D2300"/>
    <mergeCell ref="C2301:D2301"/>
    <mergeCell ref="C2337:D2337"/>
    <mergeCell ref="C2212:D2212"/>
    <mergeCell ref="C2213:D2213"/>
    <mergeCell ref="B2223:B2225"/>
    <mergeCell ref="A2228:A2242"/>
    <mergeCell ref="C2229:D2229"/>
    <mergeCell ref="C2230:D2230"/>
    <mergeCell ref="C2231:D2231"/>
    <mergeCell ref="B2240:B2242"/>
    <mergeCell ref="A2244:D2244"/>
    <mergeCell ref="B2257:B2259"/>
    <mergeCell ref="A2245:A2259"/>
    <mergeCell ref="C2246:D2246"/>
    <mergeCell ref="C2247:D2247"/>
    <mergeCell ref="C2248:D2248"/>
    <mergeCell ref="C2302:D2302"/>
    <mergeCell ref="C2303:D2303"/>
    <mergeCell ref="C2304:D2304"/>
    <mergeCell ref="C2305:D2305"/>
    <mergeCell ref="C2314:D2314"/>
    <mergeCell ref="C2283:D2283"/>
    <mergeCell ref="C2284:D2284"/>
    <mergeCell ref="C2256:D2256"/>
    <mergeCell ref="C2267:D2267"/>
    <mergeCell ref="A2262:A2276"/>
    <mergeCell ref="B2274:B2276"/>
    <mergeCell ref="C2285:D2285"/>
    <mergeCell ref="C2287:D2287"/>
    <mergeCell ref="C2286:D2286"/>
    <mergeCell ref="C2288:D2288"/>
    <mergeCell ref="C2289:D2289"/>
    <mergeCell ref="C2290:D2290"/>
    <mergeCell ref="A2279:A2293"/>
    <mergeCell ref="B2308:B2310"/>
    <mergeCell ref="B2325:B2327"/>
    <mergeCell ref="A2313:A2327"/>
    <mergeCell ref="B2291:B2293"/>
    <mergeCell ref="A2295:D2295"/>
    <mergeCell ref="C2306:D2306"/>
    <mergeCell ref="C2297:D2297"/>
    <mergeCell ref="C2298:D2298"/>
    <mergeCell ref="C2299:D2299"/>
    <mergeCell ref="C2307:D2307"/>
    <mergeCell ref="C2321:D2321"/>
    <mergeCell ref="C2322:D2322"/>
    <mergeCell ref="C2315:D2315"/>
    <mergeCell ref="C2316:D2316"/>
    <mergeCell ref="C2317:D2317"/>
    <mergeCell ref="C2318:D2318"/>
    <mergeCell ref="C2319:D2319"/>
    <mergeCell ref="C2320:D2320"/>
    <mergeCell ref="C2323:D2323"/>
    <mergeCell ref="C2324:D2324"/>
    <mergeCell ref="C2268:D2268"/>
    <mergeCell ref="C2269:D2269"/>
    <mergeCell ref="C2271:D2271"/>
    <mergeCell ref="C2270:D2270"/>
    <mergeCell ref="C2263:D2263"/>
    <mergeCell ref="C2264:D2264"/>
    <mergeCell ref="C2255:D2255"/>
    <mergeCell ref="C2253:D2253"/>
    <mergeCell ref="C2254:D2254"/>
    <mergeCell ref="C2265:D2265"/>
    <mergeCell ref="C2266:D2266"/>
    <mergeCell ref="C2282:D2282"/>
    <mergeCell ref="A2278:D2278"/>
    <mergeCell ref="C2280:D2280"/>
    <mergeCell ref="C2281:D2281"/>
    <mergeCell ref="C2272:D2272"/>
    <mergeCell ref="C2273:D2273"/>
    <mergeCell ref="A2261:D2261"/>
    <mergeCell ref="C2249:D2249"/>
    <mergeCell ref="C2250:D2250"/>
    <mergeCell ref="C2251:D2251"/>
    <mergeCell ref="C2252:D2252"/>
    <mergeCell ref="C2217:D2217"/>
    <mergeCell ref="A2227:D2227"/>
    <mergeCell ref="B2189:B2191"/>
    <mergeCell ref="A2194:A2208"/>
    <mergeCell ref="A2210:D2210"/>
    <mergeCell ref="C2214:D2214"/>
    <mergeCell ref="C2215:D2215"/>
    <mergeCell ref="C2216:D2216"/>
    <mergeCell ref="A2211:A2225"/>
    <mergeCell ref="C2183:D2183"/>
    <mergeCell ref="C2186:D2186"/>
    <mergeCell ref="C2184:D2184"/>
    <mergeCell ref="C2185:D2185"/>
    <mergeCell ref="C2203:D2203"/>
    <mergeCell ref="C2200:D2200"/>
    <mergeCell ref="C2188:D2188"/>
    <mergeCell ref="C2220:D2220"/>
    <mergeCell ref="C2221:D2221"/>
    <mergeCell ref="C2222:D2222"/>
    <mergeCell ref="C2238:D2238"/>
    <mergeCell ref="C2239:D2239"/>
    <mergeCell ref="C2204:D2204"/>
    <mergeCell ref="C2205:D2205"/>
    <mergeCell ref="B2206:B2208"/>
    <mergeCell ref="C2035:D2035"/>
    <mergeCell ref="C2196:D2196"/>
    <mergeCell ref="C2197:D2197"/>
    <mergeCell ref="C2198:D2198"/>
    <mergeCell ref="C2199:D2199"/>
    <mergeCell ref="C2219:D2219"/>
    <mergeCell ref="C2218:D2218"/>
    <mergeCell ref="C2232:D2232"/>
    <mergeCell ref="C2233:D2233"/>
    <mergeCell ref="C2234:D2234"/>
    <mergeCell ref="C2235:D2235"/>
    <mergeCell ref="C2236:D2236"/>
    <mergeCell ref="C2237:D2237"/>
    <mergeCell ref="C2111:D2111"/>
    <mergeCell ref="C2112:D2112"/>
    <mergeCell ref="C2113:D2113"/>
    <mergeCell ref="C2114:D2114"/>
    <mergeCell ref="C2115:D2115"/>
    <mergeCell ref="C2201:D2201"/>
    <mergeCell ref="C2202:D2202"/>
    <mergeCell ref="A2193:D2193"/>
    <mergeCell ref="C2195:D2195"/>
    <mergeCell ref="C2151:D2151"/>
    <mergeCell ref="C2150:D2150"/>
    <mergeCell ref="C2152:D2152"/>
    <mergeCell ref="C2153:D2153"/>
    <mergeCell ref="B2155:B2157"/>
    <mergeCell ref="A2143:A2157"/>
    <mergeCell ref="C2181:D2181"/>
    <mergeCell ref="C2182:D2182"/>
    <mergeCell ref="C2164:D2164"/>
    <mergeCell ref="C2165:D2165"/>
    <mergeCell ref="C2033:D2033"/>
    <mergeCell ref="C2025:D2025"/>
    <mergeCell ref="C2026:D2026"/>
    <mergeCell ref="C2027:D2027"/>
    <mergeCell ref="C2028:D2028"/>
    <mergeCell ref="C2029:D2029"/>
    <mergeCell ref="C2030:D2030"/>
    <mergeCell ref="C1991:D1991"/>
    <mergeCell ref="C1992:D1992"/>
    <mergeCell ref="C1993:D1993"/>
    <mergeCell ref="C2015:D2015"/>
    <mergeCell ref="C2014:D2014"/>
    <mergeCell ref="C2018:D2018"/>
    <mergeCell ref="C2031:D2031"/>
    <mergeCell ref="C2012:D2012"/>
    <mergeCell ref="C2008:D2008"/>
    <mergeCell ref="C2009:D2009"/>
    <mergeCell ref="C2010:D2010"/>
    <mergeCell ref="C2011:D2011"/>
    <mergeCell ref="C1998:D1998"/>
    <mergeCell ref="C1999:D1999"/>
    <mergeCell ref="C2013:D2013"/>
    <mergeCell ref="C1994:D1994"/>
    <mergeCell ref="C1995:D1995"/>
    <mergeCell ref="C2166:D2166"/>
    <mergeCell ref="C2167:D2167"/>
    <mergeCell ref="C2168:D2168"/>
    <mergeCell ref="C2169:D2169"/>
    <mergeCell ref="C2154:D2154"/>
    <mergeCell ref="C2170:D2170"/>
    <mergeCell ref="C2171:D2171"/>
    <mergeCell ref="A2160:A2174"/>
    <mergeCell ref="C2161:D2161"/>
    <mergeCell ref="C2162:D2162"/>
    <mergeCell ref="C2163:D2163"/>
    <mergeCell ref="A2159:D2159"/>
    <mergeCell ref="B2172:B2174"/>
    <mergeCell ref="A2176:D2176"/>
    <mergeCell ref="A2177:A2191"/>
    <mergeCell ref="C2178:D2178"/>
    <mergeCell ref="C2179:D2179"/>
    <mergeCell ref="C2180:D2180"/>
    <mergeCell ref="C2187:D2187"/>
    <mergeCell ref="C2146:D2146"/>
    <mergeCell ref="C2147:D2147"/>
    <mergeCell ref="C2148:D2148"/>
    <mergeCell ref="C2149:D2149"/>
    <mergeCell ref="C2076:D2076"/>
    <mergeCell ref="C2077:D2077"/>
    <mergeCell ref="C2078:D2078"/>
    <mergeCell ref="C2079:D2079"/>
    <mergeCell ref="C2080:D2080"/>
    <mergeCell ref="C2081:D2081"/>
    <mergeCell ref="C2083:D2083"/>
    <mergeCell ref="C2082:D2082"/>
    <mergeCell ref="C2084:D2084"/>
    <mergeCell ref="C2132:D2132"/>
    <mergeCell ref="C2133:D2133"/>
    <mergeCell ref="A2125:D2125"/>
    <mergeCell ref="A2126:A2140"/>
    <mergeCell ref="C2127:D2127"/>
    <mergeCell ref="C2128:D2128"/>
    <mergeCell ref="C2129:D2129"/>
    <mergeCell ref="B2138:B2140"/>
    <mergeCell ref="C2136:D2136"/>
    <mergeCell ref="C2137:D2137"/>
    <mergeCell ref="C2144:D2144"/>
    <mergeCell ref="C2145:D2145"/>
    <mergeCell ref="C2130:D2130"/>
    <mergeCell ref="C2131:D2131"/>
    <mergeCell ref="A2091:D2091"/>
    <mergeCell ref="C2102:D2102"/>
    <mergeCell ref="C2103:D2103"/>
    <mergeCell ref="C2117:D2117"/>
    <mergeCell ref="C2118:D2118"/>
    <mergeCell ref="C2047:D2047"/>
    <mergeCell ref="C2048:D2048"/>
    <mergeCell ref="B2053:B2055"/>
    <mergeCell ref="C2094:D2094"/>
    <mergeCell ref="C2095:D2095"/>
    <mergeCell ref="C2096:D2096"/>
    <mergeCell ref="C2097:D2097"/>
    <mergeCell ref="A2092:A2106"/>
    <mergeCell ref="A2109:A2123"/>
    <mergeCell ref="C2051:D2051"/>
    <mergeCell ref="C2052:D2052"/>
    <mergeCell ref="C2049:D2049"/>
    <mergeCell ref="C2050:D2050"/>
    <mergeCell ref="C2066:D2066"/>
    <mergeCell ref="A2074:D2074"/>
    <mergeCell ref="A2057:D2057"/>
    <mergeCell ref="B2070:B2072"/>
    <mergeCell ref="C2067:D2067"/>
    <mergeCell ref="A2058:A2072"/>
    <mergeCell ref="C2059:D2059"/>
    <mergeCell ref="C2060:D2060"/>
    <mergeCell ref="C1912:D1912"/>
    <mergeCell ref="C1915:D1915"/>
    <mergeCell ref="C1916:D1916"/>
    <mergeCell ref="C1923:D1923"/>
    <mergeCell ref="C1924:D1924"/>
    <mergeCell ref="A2024:A2038"/>
    <mergeCell ref="A2041:A2055"/>
    <mergeCell ref="A2075:A2089"/>
    <mergeCell ref="C1943:D1943"/>
    <mergeCell ref="B1934:B1936"/>
    <mergeCell ref="A1990:A2004"/>
    <mergeCell ref="A2006:D2006"/>
    <mergeCell ref="A2007:A2021"/>
    <mergeCell ref="A2023:D2023"/>
    <mergeCell ref="A2040:D2040"/>
    <mergeCell ref="C2064:D2064"/>
    <mergeCell ref="C2065:D2065"/>
    <mergeCell ref="C2085:D2085"/>
    <mergeCell ref="C2086:D2086"/>
    <mergeCell ref="B2087:B2089"/>
    <mergeCell ref="B2002:B2004"/>
    <mergeCell ref="B2019:B2021"/>
    <mergeCell ref="B2036:B2038"/>
    <mergeCell ref="C2042:D2042"/>
    <mergeCell ref="A1972:D1972"/>
    <mergeCell ref="C1947:D1947"/>
    <mergeCell ref="C1946:D1946"/>
    <mergeCell ref="C1948:D1948"/>
    <mergeCell ref="C1949:D1949"/>
    <mergeCell ref="C1950:D1950"/>
    <mergeCell ref="C1977:D1977"/>
    <mergeCell ref="C1978:D1978"/>
    <mergeCell ref="C3783:D3783"/>
    <mergeCell ref="C2061:D2061"/>
    <mergeCell ref="C2062:D2062"/>
    <mergeCell ref="C2063:D2063"/>
    <mergeCell ref="C1913:D1913"/>
    <mergeCell ref="C1914:D1914"/>
    <mergeCell ref="C1979:D1979"/>
    <mergeCell ref="C1980:D1980"/>
    <mergeCell ref="C1983:D1983"/>
    <mergeCell ref="C1984:D1984"/>
    <mergeCell ref="C1981:D1981"/>
    <mergeCell ref="C1982:D1982"/>
    <mergeCell ref="B1951:B1953"/>
    <mergeCell ref="B1968:B1970"/>
    <mergeCell ref="B1985:B1987"/>
    <mergeCell ref="C1975:D1975"/>
    <mergeCell ref="C1976:D1976"/>
    <mergeCell ref="C1996:D1996"/>
    <mergeCell ref="C1997:D1997"/>
    <mergeCell ref="C2000:D2000"/>
    <mergeCell ref="C2001:D2001"/>
    <mergeCell ref="C2116:D2116"/>
    <mergeCell ref="C2119:D2119"/>
    <mergeCell ref="C2120:D2120"/>
    <mergeCell ref="B2121:B2123"/>
    <mergeCell ref="C2134:D2134"/>
    <mergeCell ref="C2135:D2135"/>
    <mergeCell ref="A2142:D2142"/>
    <mergeCell ref="C2043:D2043"/>
    <mergeCell ref="C2044:D2044"/>
    <mergeCell ref="C2045:D2045"/>
    <mergeCell ref="C2046:D2046"/>
    <mergeCell ref="C4380:D4380"/>
    <mergeCell ref="C4373:D4373"/>
    <mergeCell ref="C4374:D4374"/>
    <mergeCell ref="C2068:D2068"/>
    <mergeCell ref="C2069:D2069"/>
    <mergeCell ref="C2016:D2016"/>
    <mergeCell ref="C2017:D2017"/>
    <mergeCell ref="C2034:D2034"/>
    <mergeCell ref="C2032:D2032"/>
    <mergeCell ref="C3819:D3819"/>
    <mergeCell ref="C3827:D3827"/>
    <mergeCell ref="A3825:D3825"/>
    <mergeCell ref="C3803:D3803"/>
    <mergeCell ref="B3804:B3806"/>
    <mergeCell ref="C3820:D3820"/>
    <mergeCell ref="C3834:D3834"/>
    <mergeCell ref="C3828:D3828"/>
    <mergeCell ref="C3829:D3829"/>
    <mergeCell ref="C3835:D3835"/>
    <mergeCell ref="C4058:D4058"/>
    <mergeCell ref="C3955:D3955"/>
    <mergeCell ref="C3766:D3766"/>
    <mergeCell ref="C3778:D3778"/>
    <mergeCell ref="C3767:D3767"/>
    <mergeCell ref="C3768:D3768"/>
    <mergeCell ref="C3769:D3769"/>
    <mergeCell ref="C3751:D3751"/>
    <mergeCell ref="C3764:D3764"/>
    <mergeCell ref="C3759:D3759"/>
    <mergeCell ref="C3760:D3760"/>
    <mergeCell ref="C3761:D3761"/>
    <mergeCell ref="C3762:D3762"/>
    <mergeCell ref="C3880:D3880"/>
    <mergeCell ref="C3950:D3950"/>
    <mergeCell ref="C3935:D3935"/>
    <mergeCell ref="C3936:D3936"/>
    <mergeCell ref="A3928:A3942"/>
    <mergeCell ref="C3937:D3937"/>
    <mergeCell ref="C3949:D3949"/>
    <mergeCell ref="C3972:D3972"/>
    <mergeCell ref="C4065:D4065"/>
    <mergeCell ref="C4020:D4020"/>
    <mergeCell ref="C4023:D4023"/>
    <mergeCell ref="C4424:D4424"/>
    <mergeCell ref="C4429:D4429"/>
    <mergeCell ref="C4024:D4024"/>
    <mergeCell ref="C4006:D4006"/>
    <mergeCell ref="C4007:D4007"/>
    <mergeCell ref="B4008:B4010"/>
    <mergeCell ref="C3998:D3998"/>
    <mergeCell ref="C3999:D3999"/>
    <mergeCell ref="A4012:D4012"/>
    <mergeCell ref="B4025:B4027"/>
    <mergeCell ref="C4001:D4001"/>
    <mergeCell ref="C4002:D4002"/>
    <mergeCell ref="C4003:D4003"/>
    <mergeCell ref="C4004:D4004"/>
    <mergeCell ref="C4005:D4005"/>
    <mergeCell ref="C4021:D4021"/>
    <mergeCell ref="C4022:D4022"/>
    <mergeCell ref="B4416:B4418"/>
    <mergeCell ref="A4420:D4420"/>
    <mergeCell ref="C4410:D4410"/>
    <mergeCell ref="C4411:D4411"/>
    <mergeCell ref="C5520:D5520"/>
    <mergeCell ref="B5521:B5523"/>
    <mergeCell ref="C5485:D5485"/>
    <mergeCell ref="C5486:D5486"/>
    <mergeCell ref="C5511:D5511"/>
    <mergeCell ref="C5512:D5512"/>
    <mergeCell ref="C5513:D5513"/>
    <mergeCell ref="C5500:D5500"/>
    <mergeCell ref="C3782:D3782"/>
    <mergeCell ref="C3784:D3784"/>
    <mergeCell ref="C3785:D3785"/>
    <mergeCell ref="C3765:D3765"/>
    <mergeCell ref="B3770:B3772"/>
    <mergeCell ref="C3786:D3786"/>
    <mergeCell ref="A3758:A3772"/>
    <mergeCell ref="A3775:A3789"/>
    <mergeCell ref="C3794:D3794"/>
    <mergeCell ref="C3795:D3795"/>
    <mergeCell ref="C3779:D3779"/>
    <mergeCell ref="C3780:D3780"/>
    <mergeCell ref="C4092:D4092"/>
    <mergeCell ref="C3968:D3968"/>
    <mergeCell ref="C3969:D3969"/>
    <mergeCell ref="C3953:D3953"/>
    <mergeCell ref="C3954:D3954"/>
    <mergeCell ref="B3957:B3959"/>
    <mergeCell ref="A3945:A3959"/>
    <mergeCell ref="A3944:D3944"/>
    <mergeCell ref="C3946:D3946"/>
    <mergeCell ref="C3947:D3947"/>
    <mergeCell ref="C3948:D3948"/>
    <mergeCell ref="C3879:D3879"/>
    <mergeCell ref="C5332:D5332"/>
    <mergeCell ref="C5333:D5333"/>
    <mergeCell ref="C5342:D5342"/>
    <mergeCell ref="C5340:D5340"/>
    <mergeCell ref="C5341:D5341"/>
    <mergeCell ref="C5313:D5313"/>
    <mergeCell ref="C5323:D5323"/>
    <mergeCell ref="C5324:D5324"/>
    <mergeCell ref="A5321:D5321"/>
    <mergeCell ref="C3973:D3973"/>
    <mergeCell ref="A3996:A4010"/>
    <mergeCell ref="A4013:A4027"/>
    <mergeCell ref="A4030:A4044"/>
    <mergeCell ref="C4000:D4000"/>
    <mergeCell ref="C5580:D5580"/>
    <mergeCell ref="B5351:B5353"/>
    <mergeCell ref="A5339:A5353"/>
    <mergeCell ref="C5427:D5427"/>
    <mergeCell ref="C5428:D5428"/>
    <mergeCell ref="C5429:D5429"/>
    <mergeCell ref="C5430:D5430"/>
    <mergeCell ref="C5431:D5431"/>
    <mergeCell ref="C5432:D5432"/>
    <mergeCell ref="A5543:A5557"/>
    <mergeCell ref="A5526:A5540"/>
    <mergeCell ref="C4444:D4444"/>
    <mergeCell ref="C4445:D4445"/>
    <mergeCell ref="C4448:D4448"/>
    <mergeCell ref="C4449:D4449"/>
    <mergeCell ref="C4458:D4458"/>
    <mergeCell ref="C4456:D4456"/>
    <mergeCell ref="C4457:D4457"/>
    <mergeCell ref="A4862:D4862"/>
    <mergeCell ref="C5208:D5208"/>
    <mergeCell ref="B5164:B5166"/>
    <mergeCell ref="B5181:B5183"/>
    <mergeCell ref="A5169:A5183"/>
    <mergeCell ref="A5185:D5185"/>
    <mergeCell ref="A5186:A5200"/>
    <mergeCell ref="A5202:D5202"/>
    <mergeCell ref="B5198:B5200"/>
    <mergeCell ref="B5215:B5217"/>
    <mergeCell ref="A5203:A5217"/>
    <mergeCell ref="A5219:D5219"/>
    <mergeCell ref="A5220:A5234"/>
    <mergeCell ref="A5118:A5132"/>
    <mergeCell ref="A5135:A5149"/>
    <mergeCell ref="B5504:B5506"/>
    <mergeCell ref="C5561:D5561"/>
    <mergeCell ref="C4919:D4919"/>
    <mergeCell ref="C4920:D4920"/>
    <mergeCell ref="C4884:D4884"/>
    <mergeCell ref="C4885:D4885"/>
    <mergeCell ref="C4886:D4886"/>
    <mergeCell ref="C4887:D4887"/>
    <mergeCell ref="C4888:D4888"/>
    <mergeCell ref="C4889:D4889"/>
    <mergeCell ref="C4874:D4874"/>
    <mergeCell ref="C4890:D4890"/>
    <mergeCell ref="C4881:D4881"/>
    <mergeCell ref="C4882:D4882"/>
    <mergeCell ref="C4883:D4883"/>
    <mergeCell ref="C5307:D5307"/>
    <mergeCell ref="C5327:D5327"/>
    <mergeCell ref="C5312:D5312"/>
    <mergeCell ref="C5308:D5308"/>
    <mergeCell ref="C5309:D5309"/>
    <mergeCell ref="C5310:D5310"/>
    <mergeCell ref="C5311:D5311"/>
    <mergeCell ref="C5298:D5298"/>
    <mergeCell ref="C5299:D5299"/>
    <mergeCell ref="B5300:B5302"/>
    <mergeCell ref="C5291:D5291"/>
    <mergeCell ref="A5304:D5304"/>
    <mergeCell ref="C5325:D5325"/>
    <mergeCell ref="C5326:D5326"/>
    <mergeCell ref="C5328:D5328"/>
    <mergeCell ref="C5294:D5294"/>
    <mergeCell ref="C5295:D5295"/>
    <mergeCell ref="C4831:D4831"/>
    <mergeCell ref="C4832:D4832"/>
    <mergeCell ref="C4833:D4833"/>
    <mergeCell ref="C4834:D4834"/>
    <mergeCell ref="C4835:D4835"/>
    <mergeCell ref="C4865:D4865"/>
    <mergeCell ref="C5209:D5209"/>
    <mergeCell ref="A5270:D5270"/>
    <mergeCell ref="C5195:D5195"/>
    <mergeCell ref="C5177:D5177"/>
    <mergeCell ref="C5190:D5190"/>
    <mergeCell ref="C5191:D5191"/>
    <mergeCell ref="C5196:D5196"/>
    <mergeCell ref="C5197:D5197"/>
    <mergeCell ref="C5206:D5206"/>
    <mergeCell ref="C5212:D5212"/>
    <mergeCell ref="A4846:A4860"/>
    <mergeCell ref="B5266:B5268"/>
    <mergeCell ref="C5264:D5264"/>
    <mergeCell ref="C5265:D5265"/>
    <mergeCell ref="A5253:D5253"/>
    <mergeCell ref="B5249:B5251"/>
    <mergeCell ref="B5232:B5234"/>
    <mergeCell ref="A5237:A5251"/>
    <mergeCell ref="C5256:D5256"/>
    <mergeCell ref="C5245:D5245"/>
    <mergeCell ref="A5236:D5236"/>
    <mergeCell ref="C5187:D5187"/>
    <mergeCell ref="C5188:D5188"/>
    <mergeCell ref="C5189:D5189"/>
    <mergeCell ref="C5178:D5178"/>
    <mergeCell ref="C5160:D5160"/>
    <mergeCell ref="C5161:D5161"/>
    <mergeCell ref="C5194:D5194"/>
    <mergeCell ref="C5263:D5263"/>
    <mergeCell ref="C5255:D5255"/>
    <mergeCell ref="C5204:D5204"/>
    <mergeCell ref="C5205:D5205"/>
    <mergeCell ref="C5207:D5207"/>
    <mergeCell ref="C5231:D5231"/>
    <mergeCell ref="A5152:A5166"/>
    <mergeCell ref="A5168:D5168"/>
    <mergeCell ref="C5162:D5162"/>
    <mergeCell ref="C5163:D5163"/>
    <mergeCell ref="C5210:D5210"/>
    <mergeCell ref="C5214:D5214"/>
    <mergeCell ref="C5224:D5224"/>
    <mergeCell ref="C5274:D5274"/>
    <mergeCell ref="C5275:D5275"/>
    <mergeCell ref="C5276:D5276"/>
    <mergeCell ref="C5277:D5277"/>
    <mergeCell ref="C5238:D5238"/>
    <mergeCell ref="C5239:D5239"/>
    <mergeCell ref="C5240:D5240"/>
    <mergeCell ref="C5241:D5241"/>
    <mergeCell ref="C5248:D5248"/>
    <mergeCell ref="C5246:D5246"/>
    <mergeCell ref="C5247:D5247"/>
    <mergeCell ref="C5257:D5257"/>
    <mergeCell ref="C5258:D5258"/>
    <mergeCell ref="C5260:D5260"/>
    <mergeCell ref="C5261:D5261"/>
    <mergeCell ref="C5259:D5259"/>
    <mergeCell ref="C5262:D5262"/>
    <mergeCell ref="C5242:D5242"/>
    <mergeCell ref="C5243:D5243"/>
    <mergeCell ref="B4960:B4962"/>
    <mergeCell ref="A4964:D4964"/>
    <mergeCell ref="A4914:A4928"/>
    <mergeCell ref="B4926:B4928"/>
    <mergeCell ref="A4930:D4930"/>
    <mergeCell ref="A4931:A4945"/>
    <mergeCell ref="A4947:D4947"/>
    <mergeCell ref="B4943:B4945"/>
    <mergeCell ref="A4948:A4962"/>
    <mergeCell ref="C4867:D4867"/>
    <mergeCell ref="C4868:D4868"/>
    <mergeCell ref="A5032:D5032"/>
    <mergeCell ref="C5034:D5034"/>
    <mergeCell ref="C5043:D5043"/>
    <mergeCell ref="C5044:D5044"/>
    <mergeCell ref="C5041:D5041"/>
    <mergeCell ref="C5042:D5042"/>
    <mergeCell ref="C5026:D5026"/>
    <mergeCell ref="C5027:D5027"/>
    <mergeCell ref="A5016:A5030"/>
    <mergeCell ref="C5017:D5017"/>
    <mergeCell ref="C4869:D4869"/>
    <mergeCell ref="B4892:B4894"/>
    <mergeCell ref="A4896:D4896"/>
    <mergeCell ref="B4909:B4911"/>
    <mergeCell ref="A4897:A4911"/>
    <mergeCell ref="A4913:D4913"/>
    <mergeCell ref="C4872:D4872"/>
    <mergeCell ref="C4873:D4873"/>
    <mergeCell ref="C4900:D4900"/>
    <mergeCell ref="C4905:D4905"/>
    <mergeCell ref="C4918:D4918"/>
    <mergeCell ref="A4965:A4979"/>
    <mergeCell ref="B4977:B4979"/>
    <mergeCell ref="A4981:D4981"/>
    <mergeCell ref="A4982:A4996"/>
    <mergeCell ref="B4994:B4996"/>
    <mergeCell ref="A4998:D4998"/>
    <mergeCell ref="B5028:B5030"/>
    <mergeCell ref="B5045:B5047"/>
    <mergeCell ref="A5049:D5049"/>
    <mergeCell ref="A5050:A5064"/>
    <mergeCell ref="B5062:B5064"/>
    <mergeCell ref="C5146:D5146"/>
    <mergeCell ref="C5153:D5153"/>
    <mergeCell ref="A4777:D4777"/>
    <mergeCell ref="B4773:B4775"/>
    <mergeCell ref="A4794:D4794"/>
    <mergeCell ref="B4790:B4792"/>
    <mergeCell ref="A5033:A5047"/>
    <mergeCell ref="B5011:B5013"/>
    <mergeCell ref="A4999:A5013"/>
    <mergeCell ref="A5015:D5015"/>
    <mergeCell ref="A5066:D5066"/>
    <mergeCell ref="A5067:A5081"/>
    <mergeCell ref="B5079:B5081"/>
    <mergeCell ref="A5083:D5083"/>
    <mergeCell ref="A5084:A5098"/>
    <mergeCell ref="B5096:B5098"/>
    <mergeCell ref="A5100:D5100"/>
    <mergeCell ref="B5113:B5115"/>
    <mergeCell ref="A5101:A5115"/>
    <mergeCell ref="B4875:B4877"/>
    <mergeCell ref="A4863:A4877"/>
    <mergeCell ref="C3931:D3931"/>
    <mergeCell ref="C3932:D3932"/>
    <mergeCell ref="C3933:D3933"/>
    <mergeCell ref="C3934:D3934"/>
    <mergeCell ref="C3938:D3938"/>
    <mergeCell ref="C3939:D3939"/>
    <mergeCell ref="B3940:B3942"/>
    <mergeCell ref="C3989:D3989"/>
    <mergeCell ref="C3990:D3990"/>
    <mergeCell ref="B3974:B3976"/>
    <mergeCell ref="B3991:B3993"/>
    <mergeCell ref="A3979:A3993"/>
    <mergeCell ref="B3872:B3874"/>
    <mergeCell ref="A3860:A3874"/>
    <mergeCell ref="C3897:D3897"/>
    <mergeCell ref="C3898:D3898"/>
    <mergeCell ref="A4811:D4811"/>
    <mergeCell ref="B4756:B4758"/>
    <mergeCell ref="A4795:A4809"/>
    <mergeCell ref="C4803:D4803"/>
    <mergeCell ref="C4802:D4802"/>
    <mergeCell ref="C4804:D4804"/>
    <mergeCell ref="C4805:D4805"/>
    <mergeCell ref="C4806:D4806"/>
    <mergeCell ref="B4807:B4809"/>
    <mergeCell ref="C4427:D4427"/>
    <mergeCell ref="C4428:D4428"/>
    <mergeCell ref="C4033:D4033"/>
    <mergeCell ref="C4034:D4034"/>
    <mergeCell ref="C4035:D4035"/>
    <mergeCell ref="C4036:D4036"/>
    <mergeCell ref="C4040:D4040"/>
    <mergeCell ref="C3929:D3929"/>
    <mergeCell ref="C3930:D3930"/>
    <mergeCell ref="A3910:D3910"/>
    <mergeCell ref="C3914:D3914"/>
    <mergeCell ref="C3915:D3915"/>
    <mergeCell ref="C3916:D3916"/>
    <mergeCell ref="C3922:D3922"/>
    <mergeCell ref="A3927:D3927"/>
    <mergeCell ref="C3746:D3746"/>
    <mergeCell ref="C3747:D3747"/>
    <mergeCell ref="B3736:B3738"/>
    <mergeCell ref="B3753:B3755"/>
    <mergeCell ref="A3741:A3755"/>
    <mergeCell ref="C3742:D3742"/>
    <mergeCell ref="C3743:D3743"/>
    <mergeCell ref="C3749:D3749"/>
    <mergeCell ref="C3748:D3748"/>
    <mergeCell ref="C3752:D3752"/>
    <mergeCell ref="C3750:D3750"/>
    <mergeCell ref="C3776:D3776"/>
    <mergeCell ref="C3777:D3777"/>
    <mergeCell ref="A3791:D3791"/>
    <mergeCell ref="C3802:D3802"/>
    <mergeCell ref="C3793:D3793"/>
    <mergeCell ref="C3781:D3781"/>
    <mergeCell ref="A3774:D3774"/>
    <mergeCell ref="B3821:B3823"/>
    <mergeCell ref="A3809:A3823"/>
    <mergeCell ref="C3810:D3810"/>
    <mergeCell ref="C3811:D3811"/>
    <mergeCell ref="C3817:D3817"/>
    <mergeCell ref="C3818:D3818"/>
    <mergeCell ref="C3920:D3920"/>
    <mergeCell ref="C3921:D3921"/>
    <mergeCell ref="C3902:D3902"/>
    <mergeCell ref="C3904:D3904"/>
    <mergeCell ref="C3900:D3900"/>
    <mergeCell ref="C3901:D3901"/>
    <mergeCell ref="A3893:D3893"/>
    <mergeCell ref="A3894:A3908"/>
    <mergeCell ref="C3895:D3895"/>
    <mergeCell ref="C3896:D3896"/>
    <mergeCell ref="C3899:D3899"/>
    <mergeCell ref="B3906:B3908"/>
    <mergeCell ref="C3903:D3903"/>
    <mergeCell ref="C3905:D3905"/>
    <mergeCell ref="B3923:B3925"/>
    <mergeCell ref="A3911:A3925"/>
    <mergeCell ref="C3912:D3912"/>
    <mergeCell ref="C3913:D3913"/>
    <mergeCell ref="B3787:B3789"/>
    <mergeCell ref="A3859:D3859"/>
    <mergeCell ref="C3869:D3869"/>
    <mergeCell ref="C3848:D3848"/>
    <mergeCell ref="C3849:D3849"/>
    <mergeCell ref="C3851:D3851"/>
    <mergeCell ref="C3850:D3850"/>
    <mergeCell ref="C3852:D3852"/>
    <mergeCell ref="C3853:D3853"/>
    <mergeCell ref="C3837:D3837"/>
    <mergeCell ref="B3838:B3840"/>
    <mergeCell ref="C3854:D3854"/>
    <mergeCell ref="B3855:B3857"/>
    <mergeCell ref="A3843:A3857"/>
    <mergeCell ref="C3844:D3844"/>
    <mergeCell ref="C3845:D3845"/>
    <mergeCell ref="C3846:D3846"/>
    <mergeCell ref="C3847:D3847"/>
    <mergeCell ref="A3826:A3840"/>
    <mergeCell ref="A3842:D3842"/>
    <mergeCell ref="C3830:D3830"/>
    <mergeCell ref="C3831:D3831"/>
    <mergeCell ref="C3832:D3832"/>
    <mergeCell ref="C3833:D3833"/>
    <mergeCell ref="C3836:D3836"/>
    <mergeCell ref="C3867:D3867"/>
    <mergeCell ref="C3868:D3868"/>
    <mergeCell ref="C3812:D3812"/>
    <mergeCell ref="C3813:D3813"/>
    <mergeCell ref="C3814:D3814"/>
    <mergeCell ref="C3815:D3815"/>
    <mergeCell ref="C3816:D3816"/>
    <mergeCell ref="A4505:D4505"/>
    <mergeCell ref="A3792:A3806"/>
    <mergeCell ref="A3808:D3808"/>
    <mergeCell ref="C3796:D3796"/>
    <mergeCell ref="C3797:D3797"/>
    <mergeCell ref="C3798:D3798"/>
    <mergeCell ref="C3799:D3799"/>
    <mergeCell ref="C3800:D3800"/>
    <mergeCell ref="C3801:D3801"/>
    <mergeCell ref="C3861:D3861"/>
    <mergeCell ref="C3862:D3862"/>
    <mergeCell ref="C3863:D3863"/>
    <mergeCell ref="C3864:D3864"/>
    <mergeCell ref="C3865:D3865"/>
    <mergeCell ref="C3866:D3866"/>
    <mergeCell ref="C3881:D3881"/>
    <mergeCell ref="C3884:D3884"/>
    <mergeCell ref="C3887:D3887"/>
    <mergeCell ref="C3888:D3888"/>
    <mergeCell ref="C3885:D3885"/>
    <mergeCell ref="C3886:D3886"/>
    <mergeCell ref="A3876:D3876"/>
    <mergeCell ref="B3889:B3891"/>
    <mergeCell ref="A3877:A3891"/>
    <mergeCell ref="C3878:D3878"/>
    <mergeCell ref="C3870:D3870"/>
    <mergeCell ref="C3871:D3871"/>
    <mergeCell ref="C3882:D3882"/>
    <mergeCell ref="C3883:D3883"/>
    <mergeCell ref="C3917:D3917"/>
    <mergeCell ref="C3919:D3919"/>
    <mergeCell ref="C3918:D3918"/>
    <mergeCell ref="A4471:D4471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2:D4482"/>
    <mergeCell ref="C4483:D4483"/>
    <mergeCell ref="C4481:D4481"/>
    <mergeCell ref="A4472:A4486"/>
    <mergeCell ref="B4484:B4486"/>
    <mergeCell ref="A4488:D4488"/>
    <mergeCell ref="A4489:A4503"/>
    <mergeCell ref="C4490:D4490"/>
    <mergeCell ref="C4491:D4491"/>
    <mergeCell ref="B4501:B4503"/>
    <mergeCell ref="C4492:D4492"/>
    <mergeCell ref="C4441:D4441"/>
    <mergeCell ref="B4450:B4452"/>
    <mergeCell ref="C4463:D4463"/>
    <mergeCell ref="C4464:D4464"/>
    <mergeCell ref="A4404:A4418"/>
    <mergeCell ref="A4438:A4452"/>
    <mergeCell ref="A4454:D4454"/>
    <mergeCell ref="C4459:D4459"/>
    <mergeCell ref="C4460:D4460"/>
    <mergeCell ref="C4461:D4461"/>
    <mergeCell ref="A4455:A4469"/>
    <mergeCell ref="B4467:B4469"/>
    <mergeCell ref="C4465:D4465"/>
    <mergeCell ref="C4466:D4466"/>
    <mergeCell ref="C4462:D4462"/>
    <mergeCell ref="C4442:D4442"/>
    <mergeCell ref="C4443:D4443"/>
    <mergeCell ref="C4408:D4408"/>
    <mergeCell ref="C4405:D4405"/>
    <mergeCell ref="C4406:D4406"/>
    <mergeCell ref="C4407:D4407"/>
    <mergeCell ref="C4409:D4409"/>
    <mergeCell ref="C4412:D4412"/>
    <mergeCell ref="C4413:D4413"/>
    <mergeCell ref="C4414:D4414"/>
    <mergeCell ref="C4415:D4415"/>
    <mergeCell ref="C4426:D4426"/>
    <mergeCell ref="C4347:D4347"/>
    <mergeCell ref="B4603:B4605"/>
    <mergeCell ref="A4608:A4622"/>
    <mergeCell ref="A4624:D4624"/>
    <mergeCell ref="B4620:B4622"/>
    <mergeCell ref="C4359:D4359"/>
    <mergeCell ref="C4364:D4364"/>
    <mergeCell ref="C4362:D4362"/>
    <mergeCell ref="C4371:D4371"/>
    <mergeCell ref="C4372:D4372"/>
    <mergeCell ref="B4348:B4350"/>
    <mergeCell ref="C4564:D4564"/>
    <mergeCell ref="C4551:D4551"/>
    <mergeCell ref="C4541:D4541"/>
    <mergeCell ref="C4543:D4543"/>
    <mergeCell ref="C4544:D4544"/>
    <mergeCell ref="C4545:D4545"/>
    <mergeCell ref="C4546:D4546"/>
    <mergeCell ref="C4547:D4547"/>
    <mergeCell ref="C4395:D4395"/>
    <mergeCell ref="C4396:D4396"/>
    <mergeCell ref="C4397:D4397"/>
    <mergeCell ref="B4399:B4401"/>
    <mergeCell ref="A4403:D4403"/>
    <mergeCell ref="C4398:D4398"/>
    <mergeCell ref="A4370:A4384"/>
    <mergeCell ref="A4369:D4369"/>
    <mergeCell ref="C4375:D4375"/>
    <mergeCell ref="B4433:B4435"/>
    <mergeCell ref="A4421:A4435"/>
    <mergeCell ref="A4437:D4437"/>
    <mergeCell ref="C4440:D4440"/>
    <mergeCell ref="B4637:B4639"/>
    <mergeCell ref="A4625:A4639"/>
    <mergeCell ref="A4302:A4316"/>
    <mergeCell ref="A4319:A4333"/>
    <mergeCell ref="A4336:A4350"/>
    <mergeCell ref="A4217:A4231"/>
    <mergeCell ref="A4234:A4248"/>
    <mergeCell ref="A4268:A4282"/>
    <mergeCell ref="A4387:A4401"/>
    <mergeCell ref="A4506:A4520"/>
    <mergeCell ref="A4522:D4522"/>
    <mergeCell ref="B4518:B4520"/>
    <mergeCell ref="C4168:D4168"/>
    <mergeCell ref="C4169:D4169"/>
    <mergeCell ref="C4176:D4176"/>
    <mergeCell ref="C4187:D4187"/>
    <mergeCell ref="C4188:D4188"/>
    <mergeCell ref="C4189:D4189"/>
    <mergeCell ref="C4191:D4191"/>
    <mergeCell ref="C4190:D4190"/>
    <mergeCell ref="C4202:D4202"/>
    <mergeCell ref="C4203:D4203"/>
    <mergeCell ref="C4204:D4204"/>
    <mergeCell ref="C4205:D4205"/>
    <mergeCell ref="C4206:D4206"/>
    <mergeCell ref="C4207:D4207"/>
    <mergeCell ref="C4194:D4194"/>
    <mergeCell ref="A4199:D4199"/>
    <mergeCell ref="C4394:D4394"/>
    <mergeCell ref="C4356:D4356"/>
    <mergeCell ref="C4357:D4357"/>
    <mergeCell ref="C4358:D4358"/>
    <mergeCell ref="C3980:D3980"/>
    <mergeCell ref="C3981:D3981"/>
    <mergeCell ref="C3982:D3982"/>
    <mergeCell ref="C3983:D3983"/>
    <mergeCell ref="C3984:D3984"/>
    <mergeCell ref="C3985:D3985"/>
    <mergeCell ref="C3987:D3987"/>
    <mergeCell ref="C3986:D3986"/>
    <mergeCell ref="C3988:D3988"/>
    <mergeCell ref="C3997:D3997"/>
    <mergeCell ref="A3995:D3995"/>
    <mergeCell ref="C4014:D4014"/>
    <mergeCell ref="C4015:D4015"/>
    <mergeCell ref="A4148:D4148"/>
    <mergeCell ref="B4161:B4163"/>
    <mergeCell ref="A4149:A4163"/>
    <mergeCell ref="B4365:B4367"/>
    <mergeCell ref="C4329:D4329"/>
    <mergeCell ref="C4330:D4330"/>
    <mergeCell ref="B4331:B4333"/>
    <mergeCell ref="A4335:D4335"/>
    <mergeCell ref="C4339:D4339"/>
    <mergeCell ref="A4352:D4352"/>
    <mergeCell ref="A4353:A4367"/>
    <mergeCell ref="C4360:D4360"/>
    <mergeCell ref="C4363:D4363"/>
    <mergeCell ref="C4361:D4361"/>
    <mergeCell ref="C4186:D4186"/>
    <mergeCell ref="C4184:D4184"/>
    <mergeCell ref="C4185:D4185"/>
    <mergeCell ref="C4290:D4290"/>
    <mergeCell ref="C4291:D4291"/>
    <mergeCell ref="C4376:D4376"/>
    <mergeCell ref="C4377:D4377"/>
    <mergeCell ref="C4378:D4378"/>
    <mergeCell ref="C4379:D4379"/>
    <mergeCell ref="C4210:D4210"/>
    <mergeCell ref="C4211:D4211"/>
    <mergeCell ref="A4200:A4214"/>
    <mergeCell ref="C4201:D4201"/>
    <mergeCell ref="A4216:D4216"/>
    <mergeCell ref="C4237:D4237"/>
    <mergeCell ref="B4246:B4248"/>
    <mergeCell ref="C4259:D4259"/>
    <mergeCell ref="C4260:D4260"/>
    <mergeCell ref="C4261:D4261"/>
    <mergeCell ref="C4262:D4262"/>
    <mergeCell ref="B4263:B4265"/>
    <mergeCell ref="A4251:A4265"/>
    <mergeCell ref="A4267:D4267"/>
    <mergeCell ref="C4272:D4272"/>
    <mergeCell ref="C4273:D4273"/>
    <mergeCell ref="C4274:D4274"/>
    <mergeCell ref="C4222:D4222"/>
    <mergeCell ref="C4223:D4223"/>
    <mergeCell ref="B4229:B4231"/>
    <mergeCell ref="C4227:D4227"/>
    <mergeCell ref="C4228:D4228"/>
    <mergeCell ref="C4218:D4218"/>
    <mergeCell ref="C4219:D4219"/>
    <mergeCell ref="C4327:D4327"/>
    <mergeCell ref="C4328:D4328"/>
    <mergeCell ref="C4240:D4240"/>
    <mergeCell ref="C4241:D4241"/>
    <mergeCell ref="C4242:D4242"/>
    <mergeCell ref="C4243:D4243"/>
    <mergeCell ref="C4238:D4238"/>
    <mergeCell ref="C4239:D4239"/>
    <mergeCell ref="C4244:D4244"/>
    <mergeCell ref="C4245:D4245"/>
    <mergeCell ref="C4254:D4254"/>
    <mergeCell ref="C4252:D4252"/>
    <mergeCell ref="C4307:D4307"/>
    <mergeCell ref="C4286:D4286"/>
    <mergeCell ref="C4287:D4287"/>
    <mergeCell ref="C4288:D4288"/>
    <mergeCell ref="C4289:D4289"/>
    <mergeCell ref="C4296:D4296"/>
    <mergeCell ref="C4292:D4292"/>
    <mergeCell ref="C4279:D4279"/>
    <mergeCell ref="C4294:D4294"/>
    <mergeCell ref="C4295:D4295"/>
    <mergeCell ref="A4284:D4284"/>
    <mergeCell ref="C4159:D4159"/>
    <mergeCell ref="C4160:D4160"/>
    <mergeCell ref="C4158:D4158"/>
    <mergeCell ref="B4110:B4112"/>
    <mergeCell ref="C4108:D4108"/>
    <mergeCell ref="C4109:D4109"/>
    <mergeCell ref="C4154:D4154"/>
    <mergeCell ref="C4155:D4155"/>
    <mergeCell ref="C4156:D4156"/>
    <mergeCell ref="C4157:D4157"/>
    <mergeCell ref="C4175:D4175"/>
    <mergeCell ref="A4182:D4182"/>
    <mergeCell ref="B4178:B4180"/>
    <mergeCell ref="C4170:D4170"/>
    <mergeCell ref="C4171:D4171"/>
    <mergeCell ref="C4172:D4172"/>
    <mergeCell ref="C4173:D4173"/>
    <mergeCell ref="C4174:D4174"/>
    <mergeCell ref="C4167:D4167"/>
    <mergeCell ref="A4166:A4180"/>
    <mergeCell ref="A4165:D4165"/>
    <mergeCell ref="A4098:A4112"/>
    <mergeCell ref="A4132:A4146"/>
    <mergeCell ref="A4115:A4129"/>
    <mergeCell ref="C4119:D4119"/>
    <mergeCell ref="C4120:D4120"/>
    <mergeCell ref="C4121:D4121"/>
    <mergeCell ref="C4123:D4123"/>
    <mergeCell ref="C4122:D4122"/>
    <mergeCell ref="C4152:D4152"/>
    <mergeCell ref="C4153:D4153"/>
    <mergeCell ref="C4150:D4150"/>
    <mergeCell ref="C4142:D4142"/>
    <mergeCell ref="C4143:D4143"/>
    <mergeCell ref="B4127:B4129"/>
    <mergeCell ref="B4144:B4146"/>
    <mergeCell ref="C4118:D4118"/>
    <mergeCell ref="C4116:D4116"/>
    <mergeCell ref="C4117:D4117"/>
    <mergeCell ref="C4126:D4126"/>
    <mergeCell ref="C4151:D4151"/>
    <mergeCell ref="C4125:D4125"/>
    <mergeCell ref="C4133:D4133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102:D4102"/>
    <mergeCell ref="C4103:D4103"/>
    <mergeCell ref="C4104:D4104"/>
    <mergeCell ref="C4105:D4105"/>
    <mergeCell ref="C4091:D4091"/>
    <mergeCell ref="C4016:D4016"/>
    <mergeCell ref="C4017:D4017"/>
    <mergeCell ref="C4051:D4051"/>
    <mergeCell ref="C4052:D4052"/>
    <mergeCell ref="C4053:D4053"/>
    <mergeCell ref="C4055:D4055"/>
    <mergeCell ref="C4054:D4054"/>
    <mergeCell ref="C4066:D4066"/>
    <mergeCell ref="C4067:D4067"/>
    <mergeCell ref="C4068:D4068"/>
    <mergeCell ref="C4069:D4069"/>
    <mergeCell ref="C4070:D4070"/>
    <mergeCell ref="C4071:D4071"/>
    <mergeCell ref="C4072:D4072"/>
    <mergeCell ref="C4073:D4073"/>
    <mergeCell ref="C4018:D4018"/>
    <mergeCell ref="C4019:D4019"/>
    <mergeCell ref="C4056:D4056"/>
    <mergeCell ref="C4057:D4057"/>
    <mergeCell ref="C4041:D4041"/>
    <mergeCell ref="C4038:D4038"/>
    <mergeCell ref="C4039:D4039"/>
    <mergeCell ref="C4050:D4050"/>
    <mergeCell ref="C4048:D4048"/>
    <mergeCell ref="C4049:D4049"/>
    <mergeCell ref="A4029:D4029"/>
    <mergeCell ref="C4031:D4031"/>
    <mergeCell ref="C4032:D4032"/>
    <mergeCell ref="C4037:D4037"/>
    <mergeCell ref="B4042:B4044"/>
    <mergeCell ref="B4059:B4061"/>
    <mergeCell ref="A4063:D4063"/>
    <mergeCell ref="A4761:A4775"/>
    <mergeCell ref="A4744:A4758"/>
    <mergeCell ref="B4654:B4656"/>
    <mergeCell ref="A4658:D4658"/>
    <mergeCell ref="A4659:A4673"/>
    <mergeCell ref="A4675:D4675"/>
    <mergeCell ref="B4671:B4673"/>
    <mergeCell ref="B4688:B4690"/>
    <mergeCell ref="A4692:D4692"/>
    <mergeCell ref="A4778:A4792"/>
    <mergeCell ref="A4641:D4641"/>
    <mergeCell ref="A4642:A4656"/>
    <mergeCell ref="A4693:A4707"/>
    <mergeCell ref="A4743:D4743"/>
    <mergeCell ref="A4760:D4760"/>
    <mergeCell ref="A4676:A4690"/>
    <mergeCell ref="B4705:B4707"/>
    <mergeCell ref="A4709:D4709"/>
    <mergeCell ref="C4766:D4766"/>
    <mergeCell ref="C4767:D4767"/>
    <mergeCell ref="C4663:D4663"/>
    <mergeCell ref="C4684:D4684"/>
    <mergeCell ref="C4685:D4685"/>
    <mergeCell ref="C4683:D4683"/>
    <mergeCell ref="C4686:D4686"/>
    <mergeCell ref="C4687:D4687"/>
    <mergeCell ref="C4718:D4718"/>
    <mergeCell ref="C4748:D4748"/>
    <mergeCell ref="C4749:D4749"/>
    <mergeCell ref="C4750:D4750"/>
    <mergeCell ref="C4751:D4751"/>
    <mergeCell ref="C4752:D4752"/>
    <mergeCell ref="A4591:A4605"/>
    <mergeCell ref="A4607:D4607"/>
    <mergeCell ref="A4557:A4571"/>
    <mergeCell ref="B4569:B4571"/>
    <mergeCell ref="A4540:A4554"/>
    <mergeCell ref="A4574:A4588"/>
    <mergeCell ref="A4556:D4556"/>
    <mergeCell ref="B4535:B4537"/>
    <mergeCell ref="A4523:A4537"/>
    <mergeCell ref="A4539:D4539"/>
    <mergeCell ref="A4590:D4590"/>
    <mergeCell ref="B4552:B4554"/>
    <mergeCell ref="A4573:D4573"/>
    <mergeCell ref="B4586:B4588"/>
    <mergeCell ref="C4381:D4381"/>
    <mergeCell ref="B4382:B4384"/>
    <mergeCell ref="C4390:D4390"/>
    <mergeCell ref="C4388:D4388"/>
    <mergeCell ref="C4389:D4389"/>
    <mergeCell ref="A4386:D4386"/>
    <mergeCell ref="C4391:D4391"/>
    <mergeCell ref="C4392:D4392"/>
    <mergeCell ref="C4393:D4393"/>
    <mergeCell ref="C4430:D4430"/>
    <mergeCell ref="C4431:D4431"/>
    <mergeCell ref="C4432:D4432"/>
    <mergeCell ref="C4446:D4446"/>
    <mergeCell ref="C4447:D4447"/>
    <mergeCell ref="C4425:D4425"/>
    <mergeCell ref="C4422:D4422"/>
    <mergeCell ref="C4423:D4423"/>
    <mergeCell ref="C4439:D4439"/>
    <mergeCell ref="C4269:D4269"/>
    <mergeCell ref="C4270:D4270"/>
    <mergeCell ref="B4195:B4197"/>
    <mergeCell ref="A4183:A4197"/>
    <mergeCell ref="C4177:D4177"/>
    <mergeCell ref="B4212:B4214"/>
    <mergeCell ref="C4208:D4208"/>
    <mergeCell ref="C4209:D4209"/>
    <mergeCell ref="A4250:D4250"/>
    <mergeCell ref="C4192:D4192"/>
    <mergeCell ref="C4193:D4193"/>
    <mergeCell ref="C4271:D4271"/>
    <mergeCell ref="C4220:D4220"/>
    <mergeCell ref="C4221:D4221"/>
    <mergeCell ref="A4301:D4301"/>
    <mergeCell ref="C4253:D4253"/>
    <mergeCell ref="C4255:D4255"/>
    <mergeCell ref="C4275:D4275"/>
    <mergeCell ref="C4276:D4276"/>
    <mergeCell ref="C4277:D4277"/>
    <mergeCell ref="C4278:D4278"/>
    <mergeCell ref="B4280:B4282"/>
    <mergeCell ref="A4285:A4299"/>
    <mergeCell ref="C4258:D4258"/>
    <mergeCell ref="C4256:D4256"/>
    <mergeCell ref="C4257:D4257"/>
    <mergeCell ref="A4233:D4233"/>
    <mergeCell ref="C4235:D4235"/>
    <mergeCell ref="C4236:D4236"/>
    <mergeCell ref="C4224:D4224"/>
    <mergeCell ref="C4226:D4226"/>
    <mergeCell ref="C4225:D4225"/>
    <mergeCell ref="C4354:D4354"/>
    <mergeCell ref="C4355:D4355"/>
    <mergeCell ref="C4340:D4340"/>
    <mergeCell ref="C4341:D4341"/>
    <mergeCell ref="C4342:D4342"/>
    <mergeCell ref="C4343:D4343"/>
    <mergeCell ref="C4344:D4344"/>
    <mergeCell ref="C4345:D4345"/>
    <mergeCell ref="C4322:D4322"/>
    <mergeCell ref="C4323:D4323"/>
    <mergeCell ref="C4324:D4324"/>
    <mergeCell ref="C4325:D4325"/>
    <mergeCell ref="C4293:D4293"/>
    <mergeCell ref="C4312:D4312"/>
    <mergeCell ref="C4313:D4313"/>
    <mergeCell ref="C4337:D4337"/>
    <mergeCell ref="C4338:D4338"/>
    <mergeCell ref="C4326:D4326"/>
    <mergeCell ref="C4320:D4320"/>
    <mergeCell ref="A4318:D4318"/>
    <mergeCell ref="B4297:B4299"/>
    <mergeCell ref="C4305:D4305"/>
    <mergeCell ref="C4306:D4306"/>
    <mergeCell ref="C4308:D4308"/>
    <mergeCell ref="C4309:D4309"/>
    <mergeCell ref="C4311:D4311"/>
    <mergeCell ref="C4303:D4303"/>
    <mergeCell ref="C4304:D4304"/>
    <mergeCell ref="C4321:D4321"/>
    <mergeCell ref="B4314:B4316"/>
    <mergeCell ref="C4310:D4310"/>
    <mergeCell ref="C4346:D4346"/>
    <mergeCell ref="C4075:D4075"/>
    <mergeCell ref="B4076:B4078"/>
    <mergeCell ref="A4097:D4097"/>
    <mergeCell ref="A4114:D4114"/>
    <mergeCell ref="A4046:D4046"/>
    <mergeCell ref="A4047:A4061"/>
    <mergeCell ref="C4124:D4124"/>
    <mergeCell ref="C4140:D4140"/>
    <mergeCell ref="C4141:D4141"/>
    <mergeCell ref="A4131:D4131"/>
    <mergeCell ref="C4134:D4134"/>
    <mergeCell ref="C4135:D4135"/>
    <mergeCell ref="C4136:D4136"/>
    <mergeCell ref="C4137:D4137"/>
    <mergeCell ref="C4138:D4138"/>
    <mergeCell ref="C4139:D4139"/>
    <mergeCell ref="C4106:D4106"/>
    <mergeCell ref="C4107:D4107"/>
    <mergeCell ref="C4099:D4099"/>
    <mergeCell ref="C4100:D4100"/>
    <mergeCell ref="C4101:D4101"/>
    <mergeCell ref="A4064:A4078"/>
    <mergeCell ref="A4081:A4095"/>
    <mergeCell ref="C4090:D4090"/>
    <mergeCell ref="C4074:D4074"/>
    <mergeCell ref="A4080:D4080"/>
    <mergeCell ref="B4093:B4095"/>
    <mergeCell ref="C6705:D6705"/>
    <mergeCell ref="C6707:D6707"/>
    <mergeCell ref="C6706:D6706"/>
    <mergeCell ref="C6708:D6708"/>
    <mergeCell ref="C6709:D6709"/>
    <mergeCell ref="C6710:D6710"/>
    <mergeCell ref="C6535:D6535"/>
    <mergeCell ref="C6556:D6556"/>
    <mergeCell ref="C6557:D6557"/>
    <mergeCell ref="C6564:D6564"/>
    <mergeCell ref="C6565:D6565"/>
    <mergeCell ref="C6584:D6584"/>
    <mergeCell ref="C6585:D6585"/>
    <mergeCell ref="C6586:D6586"/>
    <mergeCell ref="C6587:D6587"/>
    <mergeCell ref="C6598:D6598"/>
    <mergeCell ref="C6599:D6599"/>
    <mergeCell ref="C6600:D6600"/>
    <mergeCell ref="C6601:D6601"/>
    <mergeCell ref="C6602:D6602"/>
    <mergeCell ref="C6603:D6603"/>
    <mergeCell ref="C6615:D6615"/>
    <mergeCell ref="C6616:D6616"/>
    <mergeCell ref="C6581:D6581"/>
    <mergeCell ref="C6536:D6536"/>
    <mergeCell ref="C6539:D6539"/>
    <mergeCell ref="C6537:D6537"/>
    <mergeCell ref="C6538:D6538"/>
    <mergeCell ref="C6540:D6540"/>
    <mergeCell ref="C6554:D6554"/>
    <mergeCell ref="C6547:D6547"/>
    <mergeCell ref="C6548:D6548"/>
    <mergeCell ref="C6445:D6445"/>
    <mergeCell ref="C6402:D6402"/>
    <mergeCell ref="C6414:D6414"/>
    <mergeCell ref="C6454:D6454"/>
    <mergeCell ref="C6455:D6455"/>
    <mergeCell ref="C6401:D6401"/>
    <mergeCell ref="C6384:D6384"/>
    <mergeCell ref="C6385:D6385"/>
    <mergeCell ref="C6468:D6468"/>
    <mergeCell ref="C6471:D6471"/>
    <mergeCell ref="C6472:D6472"/>
    <mergeCell ref="C6486:D6486"/>
    <mergeCell ref="C6479:D6479"/>
    <mergeCell ref="C6480:D6480"/>
    <mergeCell ref="C6481:D6481"/>
    <mergeCell ref="C6487:D6487"/>
    <mergeCell ref="C6498:D6498"/>
    <mergeCell ref="C6462:D6462"/>
    <mergeCell ref="C6463:D6463"/>
    <mergeCell ref="C6464:D6464"/>
    <mergeCell ref="C6465:D6465"/>
    <mergeCell ref="C6466:D6466"/>
    <mergeCell ref="C6467:D6467"/>
    <mergeCell ref="C6448:D6448"/>
    <mergeCell ref="C6449:D6449"/>
    <mergeCell ref="C6450:D6450"/>
    <mergeCell ref="C6451:D6451"/>
    <mergeCell ref="C6452:D6452"/>
    <mergeCell ref="C6453:D6453"/>
    <mergeCell ref="C6432:D6432"/>
    <mergeCell ref="C6485:D6485"/>
    <mergeCell ref="C6470:D6470"/>
    <mergeCell ref="C6436:D6436"/>
    <mergeCell ref="C6437:D6437"/>
    <mergeCell ref="C6431:D6431"/>
    <mergeCell ref="C6386:D6386"/>
    <mergeCell ref="C6387:D6387"/>
    <mergeCell ref="C6377:D6377"/>
    <mergeCell ref="C6343:D6343"/>
    <mergeCell ref="C6344:D6344"/>
    <mergeCell ref="C6345:D6345"/>
    <mergeCell ref="C6334:D6334"/>
    <mergeCell ref="C6249:D6249"/>
    <mergeCell ref="C6284:D6284"/>
    <mergeCell ref="C6277:D6277"/>
    <mergeCell ref="C6266:D6266"/>
    <mergeCell ref="C6295:D6295"/>
    <mergeCell ref="C6296:D6296"/>
    <mergeCell ref="C6297:D6297"/>
    <mergeCell ref="C6293:D6293"/>
    <mergeCell ref="C6379:D6379"/>
    <mergeCell ref="C6380:D6380"/>
    <mergeCell ref="C6381:D6381"/>
    <mergeCell ref="C6382:D6382"/>
    <mergeCell ref="C6383:D6383"/>
    <mergeCell ref="C6336:D6336"/>
    <mergeCell ref="C6421:D6421"/>
    <mergeCell ref="C6335:D6335"/>
    <mergeCell ref="C6145:D6145"/>
    <mergeCell ref="C6148:D6148"/>
    <mergeCell ref="C6149:D6149"/>
    <mergeCell ref="C6146:D6146"/>
    <mergeCell ref="C6147:D6147"/>
    <mergeCell ref="C6139:D6139"/>
    <mergeCell ref="C6158:D6158"/>
    <mergeCell ref="C6156:D6156"/>
    <mergeCell ref="C6157:D6157"/>
    <mergeCell ref="C6166:D6166"/>
    <mergeCell ref="C6173:D6173"/>
    <mergeCell ref="C6190:D6190"/>
    <mergeCell ref="C6191:D6191"/>
    <mergeCell ref="C6192:D6192"/>
    <mergeCell ref="C6193:D6193"/>
    <mergeCell ref="C6194:D6194"/>
    <mergeCell ref="C6195:D6195"/>
    <mergeCell ref="C6165:D6165"/>
    <mergeCell ref="C6182:D6182"/>
    <mergeCell ref="C6183:D6183"/>
    <mergeCell ref="C6174:D6174"/>
    <mergeCell ref="C6175:D6175"/>
    <mergeCell ref="C6178:D6178"/>
    <mergeCell ref="C6179:D6179"/>
    <mergeCell ref="A6171:D6171"/>
    <mergeCell ref="C6159:D6159"/>
    <mergeCell ref="C6160:D6160"/>
    <mergeCell ref="C6161:D6161"/>
    <mergeCell ref="C6163:D6163"/>
    <mergeCell ref="C6162:D6162"/>
    <mergeCell ref="C6176:D6176"/>
    <mergeCell ref="C6177:D6177"/>
    <mergeCell ref="C6144:D6144"/>
    <mergeCell ref="C6113:D6113"/>
    <mergeCell ref="C6114:D6114"/>
    <mergeCell ref="C6115:D6115"/>
    <mergeCell ref="C6091:D6091"/>
    <mergeCell ref="C6092:D6092"/>
    <mergeCell ref="C6093:D6093"/>
    <mergeCell ref="C6094:D6094"/>
    <mergeCell ref="C6109:D6109"/>
    <mergeCell ref="C6110:D6110"/>
    <mergeCell ref="C6111:D6111"/>
    <mergeCell ref="C6107:D6107"/>
    <mergeCell ref="C6108:D6108"/>
    <mergeCell ref="C6095:D6095"/>
    <mergeCell ref="C6112:D6112"/>
    <mergeCell ref="C6096:D6096"/>
    <mergeCell ref="A6137:D6137"/>
    <mergeCell ref="C6591:D6591"/>
    <mergeCell ref="C6062:D6062"/>
    <mergeCell ref="C6090:D6090"/>
    <mergeCell ref="C6088:D6088"/>
    <mergeCell ref="C6080:D6080"/>
    <mergeCell ref="C6081:D6081"/>
    <mergeCell ref="C6063:D6063"/>
    <mergeCell ref="C6064:D6064"/>
    <mergeCell ref="C6078:D6078"/>
    <mergeCell ref="C6079:D6079"/>
    <mergeCell ref="C6077:D6077"/>
    <mergeCell ref="C6060:D6060"/>
    <mergeCell ref="C6029:D6029"/>
    <mergeCell ref="C6127:D6127"/>
    <mergeCell ref="C6128:D6128"/>
    <mergeCell ref="C6089:D6089"/>
    <mergeCell ref="C6129:D6129"/>
    <mergeCell ref="C6122:D6122"/>
    <mergeCell ref="C6123:D6123"/>
    <mergeCell ref="C6124:D6124"/>
    <mergeCell ref="C6125:D6125"/>
    <mergeCell ref="C6126:D6126"/>
    <mergeCell ref="A6069:D6069"/>
    <mergeCell ref="A6070:A6084"/>
    <mergeCell ref="A6103:D6103"/>
    <mergeCell ref="B6099:B6101"/>
    <mergeCell ref="A6120:D6120"/>
    <mergeCell ref="C6061:D6061"/>
    <mergeCell ref="C6132:D6132"/>
    <mergeCell ref="C6141:D6141"/>
    <mergeCell ref="C6142:D6142"/>
    <mergeCell ref="C6143:D6143"/>
    <mergeCell ref="C6003:D6003"/>
    <mergeCell ref="C6634:D6634"/>
    <mergeCell ref="C6632:D6632"/>
    <mergeCell ref="C6633:D6633"/>
    <mergeCell ref="C6621:D6621"/>
    <mergeCell ref="C6503:D6503"/>
    <mergeCell ref="C6502:D6502"/>
    <mergeCell ref="C6504:D6504"/>
    <mergeCell ref="C6505:D6505"/>
    <mergeCell ref="C6488:D6488"/>
    <mergeCell ref="C6489:D6489"/>
    <mergeCell ref="C6506:D6506"/>
    <mergeCell ref="C6496:D6496"/>
    <mergeCell ref="C6497:D6497"/>
    <mergeCell ref="C6499:D6499"/>
    <mergeCell ref="C6500:D6500"/>
    <mergeCell ref="C6522:D6522"/>
    <mergeCell ref="C6523:D6523"/>
    <mergeCell ref="C6515:D6515"/>
    <mergeCell ref="C6530:D6530"/>
    <mergeCell ref="C6516:D6516"/>
    <mergeCell ref="C6531:D6531"/>
    <mergeCell ref="C6532:D6532"/>
    <mergeCell ref="C6517:D6517"/>
    <mergeCell ref="C6518:D6518"/>
    <mergeCell ref="C6519:D6519"/>
    <mergeCell ref="C6520:D6520"/>
    <mergeCell ref="C6521:D6521"/>
    <mergeCell ref="C6589:D6589"/>
    <mergeCell ref="C6590:D6590"/>
    <mergeCell ref="C6582:D6582"/>
    <mergeCell ref="C6583:D6583"/>
    <mergeCell ref="C5935:D5935"/>
    <mergeCell ref="C5936:D5936"/>
    <mergeCell ref="C5937:D5937"/>
    <mergeCell ref="C6004:D6004"/>
    <mergeCell ref="C6415:D6415"/>
    <mergeCell ref="C6411:D6411"/>
    <mergeCell ref="C6412:D6412"/>
    <mergeCell ref="C6413:D6413"/>
    <mergeCell ref="C6363:D6363"/>
    <mergeCell ref="C6364:D6364"/>
    <mergeCell ref="C6416:D6416"/>
    <mergeCell ref="C6446:D6446"/>
    <mergeCell ref="C6447:D6447"/>
    <mergeCell ref="C6318:D6318"/>
    <mergeCell ref="C6319:D6319"/>
    <mergeCell ref="C6285:D6285"/>
    <mergeCell ref="C6350:D6350"/>
    <mergeCell ref="C6351:D6351"/>
    <mergeCell ref="C6370:D6370"/>
    <mergeCell ref="C6369:D6369"/>
    <mergeCell ref="C6097:D6097"/>
    <mergeCell ref="C6098:D6098"/>
    <mergeCell ref="C6105:D6105"/>
    <mergeCell ref="C6106:D6106"/>
    <mergeCell ref="C6007:D6007"/>
    <mergeCell ref="C6008:D6008"/>
    <mergeCell ref="C6009:D6009"/>
    <mergeCell ref="C6012:D6012"/>
    <mergeCell ref="C6010:D6010"/>
    <mergeCell ref="C6011:D6011"/>
    <mergeCell ref="C6013:D6013"/>
    <mergeCell ref="C6198:D6198"/>
    <mergeCell ref="C6248:D6248"/>
    <mergeCell ref="C6299:D6299"/>
    <mergeCell ref="C6298:D6298"/>
    <mergeCell ref="C6313:D6313"/>
    <mergeCell ref="C6314:D6314"/>
    <mergeCell ref="C6300:D6300"/>
    <mergeCell ref="C6315:D6315"/>
    <mergeCell ref="C6316:D6316"/>
    <mergeCell ref="C6317:D6317"/>
    <mergeCell ref="C6302:D6302"/>
    <mergeCell ref="C6301:D6301"/>
    <mergeCell ref="C6433:D6433"/>
    <mergeCell ref="C6419:D6419"/>
    <mergeCell ref="C6420:D6420"/>
    <mergeCell ref="C6430:D6430"/>
    <mergeCell ref="C6428:D6428"/>
    <mergeCell ref="C6429:D6429"/>
    <mergeCell ref="C6418:D6418"/>
    <mergeCell ref="C6417:D6417"/>
    <mergeCell ref="C6326:D6326"/>
    <mergeCell ref="C6327:D6327"/>
    <mergeCell ref="C6328:D6328"/>
    <mergeCell ref="C6329:D6329"/>
    <mergeCell ref="C6330:D6330"/>
    <mergeCell ref="C6331:D6331"/>
    <mergeCell ref="C6332:D6332"/>
    <mergeCell ref="C6333:D6333"/>
    <mergeCell ref="C6346:D6346"/>
    <mergeCell ref="C6347:D6347"/>
    <mergeCell ref="C6348:D6348"/>
    <mergeCell ref="C6349:D6349"/>
    <mergeCell ref="C6006:D6006"/>
    <mergeCell ref="C5918:D5918"/>
    <mergeCell ref="C5919:D5919"/>
    <mergeCell ref="C5959:D5959"/>
    <mergeCell ref="C5960:D5960"/>
    <mergeCell ref="C6229:D6229"/>
    <mergeCell ref="C6231:D6231"/>
    <mergeCell ref="C6230:D6230"/>
    <mergeCell ref="C6232:D6232"/>
    <mergeCell ref="C6242:D6242"/>
    <mergeCell ref="C6243:D6243"/>
    <mergeCell ref="C6244:D6244"/>
    <mergeCell ref="C6245:D6245"/>
    <mergeCell ref="C6246:D6246"/>
    <mergeCell ref="C6247:D6247"/>
    <mergeCell ref="C6196:D6196"/>
    <mergeCell ref="C6197:D6197"/>
    <mergeCell ref="C6210:D6210"/>
    <mergeCell ref="C6207:D6207"/>
    <mergeCell ref="C6211:D6211"/>
    <mergeCell ref="C6212:D6212"/>
    <mergeCell ref="C6213:D6213"/>
    <mergeCell ref="C6199:D6199"/>
    <mergeCell ref="C6200:D6200"/>
    <mergeCell ref="C6214:D6214"/>
    <mergeCell ref="C6215:D6215"/>
    <mergeCell ref="C6227:D6227"/>
    <mergeCell ref="C6228:D6228"/>
    <mergeCell ref="A6205:D6205"/>
    <mergeCell ref="C6226:D6226"/>
    <mergeCell ref="C6224:D6224"/>
    <mergeCell ref="C6225:D6225"/>
    <mergeCell ref="C5602:D5602"/>
    <mergeCell ref="C5603:D5603"/>
    <mergeCell ref="C5928:D5928"/>
    <mergeCell ref="C5873:D5873"/>
    <mergeCell ref="C5876:D5876"/>
    <mergeCell ref="C6022:D6022"/>
    <mergeCell ref="C6020:D6020"/>
    <mergeCell ref="C6021:D6021"/>
    <mergeCell ref="C5905:D5905"/>
    <mergeCell ref="C5906:D5906"/>
    <mergeCell ref="C5907:D5907"/>
    <mergeCell ref="C5908:D5908"/>
    <mergeCell ref="C5910:D5910"/>
    <mergeCell ref="C5909:D5909"/>
    <mergeCell ref="C5885:D5885"/>
    <mergeCell ref="C5823:D5823"/>
    <mergeCell ref="C5822:D5822"/>
    <mergeCell ref="C5824:D5824"/>
    <mergeCell ref="C5825:D5825"/>
    <mergeCell ref="C5836:D5836"/>
    <mergeCell ref="C5837:D5837"/>
    <mergeCell ref="C5838:D5838"/>
    <mergeCell ref="C5839:D5839"/>
    <mergeCell ref="C5840:D5840"/>
    <mergeCell ref="C5841:D5841"/>
    <mergeCell ref="C5826:D5826"/>
    <mergeCell ref="C5842:D5842"/>
    <mergeCell ref="C5833:D5833"/>
    <mergeCell ref="C5834:D5834"/>
    <mergeCell ref="C5835:D5835"/>
    <mergeCell ref="C5858:D5858"/>
    <mergeCell ref="C6005:D6005"/>
    <mergeCell ref="C5921:D5921"/>
    <mergeCell ref="C5942:D5942"/>
    <mergeCell ref="C5943:D5943"/>
    <mergeCell ref="C5922:D5922"/>
    <mergeCell ref="C5923:D5923"/>
    <mergeCell ref="C6294:D6294"/>
    <mergeCell ref="C6292:D6292"/>
    <mergeCell ref="C5944:D5944"/>
    <mergeCell ref="C5945:D5945"/>
    <mergeCell ref="C5954:D5954"/>
    <mergeCell ref="C5955:D5955"/>
    <mergeCell ref="C5956:D5956"/>
    <mergeCell ref="C5957:D5957"/>
    <mergeCell ref="C5958:D5958"/>
    <mergeCell ref="C5598:D5598"/>
    <mergeCell ref="C5599:D5599"/>
    <mergeCell ref="C5600:D5600"/>
    <mergeCell ref="C5601:D5601"/>
    <mergeCell ref="C5604:D5604"/>
    <mergeCell ref="C5605:D5605"/>
    <mergeCell ref="C5859:D5859"/>
    <mergeCell ref="C5622:D5622"/>
    <mergeCell ref="C5629:D5629"/>
    <mergeCell ref="C5890:D5890"/>
    <mergeCell ref="C5901:D5901"/>
    <mergeCell ref="C5902:D5902"/>
    <mergeCell ref="C5903:D5903"/>
    <mergeCell ref="C5904:D5904"/>
    <mergeCell ref="C5891:D5891"/>
    <mergeCell ref="C5892:D5892"/>
    <mergeCell ref="C5893:D5893"/>
    <mergeCell ref="C5894:D5894"/>
    <mergeCell ref="C6914:D6914"/>
    <mergeCell ref="C6896:D6896"/>
    <mergeCell ref="C6897:D6897"/>
    <mergeCell ref="C6913:D6913"/>
    <mergeCell ref="C6921:D6921"/>
    <mergeCell ref="C6912:D6912"/>
    <mergeCell ref="C6904:D6904"/>
    <mergeCell ref="C5877:D5877"/>
    <mergeCell ref="C5886:D5886"/>
    <mergeCell ref="C5884:D5884"/>
    <mergeCell ref="C6399:D6399"/>
    <mergeCell ref="C6400:D6400"/>
    <mergeCell ref="C6403:D6403"/>
    <mergeCell ref="C6404:D6404"/>
    <mergeCell ref="C6258:D6258"/>
    <mergeCell ref="C6259:D6259"/>
    <mergeCell ref="C6394:D6394"/>
    <mergeCell ref="C6395:D6395"/>
    <mergeCell ref="C6396:D6396"/>
    <mergeCell ref="C6397:D6397"/>
    <mergeCell ref="C6398:D6398"/>
    <mergeCell ref="C6311:D6311"/>
    <mergeCell ref="C6312:D6312"/>
    <mergeCell ref="C6208:D6208"/>
    <mergeCell ref="C6209:D6209"/>
    <mergeCell ref="C6241:D6241"/>
    <mergeCell ref="A6239:D6239"/>
    <mergeCell ref="A6240:A6254"/>
    <mergeCell ref="A6256:D6256"/>
    <mergeCell ref="B6252:B6254"/>
    <mergeCell ref="B6269:B6271"/>
    <mergeCell ref="C5971:D5971"/>
    <mergeCell ref="C6828:D6828"/>
    <mergeCell ref="C6829:D6829"/>
    <mergeCell ref="C6837:D6837"/>
    <mergeCell ref="C6838:D6838"/>
    <mergeCell ref="C6824:D6824"/>
    <mergeCell ref="C6839:D6839"/>
    <mergeCell ref="C6840:D6840"/>
    <mergeCell ref="C6841:D6841"/>
    <mergeCell ref="C6822:D6822"/>
    <mergeCell ref="C6823:D6823"/>
    <mergeCell ref="C6836:D6836"/>
    <mergeCell ref="C6943:D6943"/>
    <mergeCell ref="C6944:D6944"/>
    <mergeCell ref="C6927:D6927"/>
    <mergeCell ref="C6928:D6928"/>
    <mergeCell ref="C6930:D6930"/>
    <mergeCell ref="C6931:D6931"/>
    <mergeCell ref="C6923:D6923"/>
    <mergeCell ref="C6924:D6924"/>
    <mergeCell ref="C6925:D6925"/>
    <mergeCell ref="C6926:D6926"/>
    <mergeCell ref="C6929:D6929"/>
    <mergeCell ref="C6888:D6888"/>
    <mergeCell ref="C6889:D6889"/>
    <mergeCell ref="C6922:D6922"/>
    <mergeCell ref="C6892:D6892"/>
    <mergeCell ref="C6893:D6893"/>
    <mergeCell ref="C6890:D6890"/>
    <mergeCell ref="C6891:D6891"/>
    <mergeCell ref="C6894:D6894"/>
    <mergeCell ref="C6895:D6895"/>
    <mergeCell ref="C6905:D6905"/>
    <mergeCell ref="C6652:D6652"/>
    <mergeCell ref="A6664:D6664"/>
    <mergeCell ref="C6667:D6667"/>
    <mergeCell ref="C6668:D6668"/>
    <mergeCell ref="C6768:D6768"/>
    <mergeCell ref="C6769:D6769"/>
    <mergeCell ref="C6856:D6856"/>
    <mergeCell ref="C6758:D6758"/>
    <mergeCell ref="C6759:D6759"/>
    <mergeCell ref="C6843:D6843"/>
    <mergeCell ref="C6842:D6842"/>
    <mergeCell ref="C6945:D6945"/>
    <mergeCell ref="C6946:D6946"/>
    <mergeCell ref="C6947:D6947"/>
    <mergeCell ref="C6948:D6948"/>
    <mergeCell ref="C6938:D6938"/>
    <mergeCell ref="C6939:D6939"/>
    <mergeCell ref="C6940:D6940"/>
    <mergeCell ref="C6941:D6941"/>
    <mergeCell ref="C6942:D6942"/>
    <mergeCell ref="C6810:D6810"/>
    <mergeCell ref="C6811:D6811"/>
    <mergeCell ref="C6812:D6812"/>
    <mergeCell ref="C6819:D6819"/>
    <mergeCell ref="C6820:D6820"/>
    <mergeCell ref="C6821:D6821"/>
    <mergeCell ref="C6906:D6906"/>
    <mergeCell ref="C6907:D6907"/>
    <mergeCell ref="C6908:D6908"/>
    <mergeCell ref="C6909:D6909"/>
    <mergeCell ref="C6911:D6911"/>
    <mergeCell ref="C6910:D6910"/>
    <mergeCell ref="C6887:D6887"/>
    <mergeCell ref="C6877:D6877"/>
    <mergeCell ref="C6878:D6878"/>
    <mergeCell ref="C6275:D6275"/>
    <mergeCell ref="C6276:D6276"/>
    <mergeCell ref="C6366:D6366"/>
    <mergeCell ref="C6368:D6368"/>
    <mergeCell ref="C6180:D6180"/>
    <mergeCell ref="C6181:D6181"/>
    <mergeCell ref="C6216:D6216"/>
    <mergeCell ref="C6217:D6217"/>
    <mergeCell ref="C6234:D6234"/>
    <mergeCell ref="C6260:D6260"/>
    <mergeCell ref="C6261:D6261"/>
    <mergeCell ref="C6262:D6262"/>
    <mergeCell ref="C6263:D6263"/>
    <mergeCell ref="C6264:D6264"/>
    <mergeCell ref="C6265:D6265"/>
    <mergeCell ref="C6278:D6278"/>
    <mergeCell ref="C6279:D6279"/>
    <mergeCell ref="C6280:D6280"/>
    <mergeCell ref="C6281:D6281"/>
    <mergeCell ref="C6267:D6267"/>
    <mergeCell ref="C6268:D6268"/>
    <mergeCell ref="C6282:D6282"/>
    <mergeCell ref="C6283:D6283"/>
    <mergeCell ref="C6309:D6309"/>
    <mergeCell ref="C6362:D6362"/>
    <mergeCell ref="C6360:D6360"/>
    <mergeCell ref="C6361:D6361"/>
    <mergeCell ref="C6310:D6310"/>
    <mergeCell ref="C6549:D6549"/>
    <mergeCell ref="C5801:D5801"/>
    <mergeCell ref="C5802:D5802"/>
    <mergeCell ref="C5767:D5767"/>
    <mergeCell ref="C5804:D5804"/>
    <mergeCell ref="C5791:D5791"/>
    <mergeCell ref="C5799:D5799"/>
    <mergeCell ref="C5800:D5800"/>
    <mergeCell ref="C5789:D5789"/>
    <mergeCell ref="C5787:D5787"/>
    <mergeCell ref="C5788:D5788"/>
    <mergeCell ref="C5806:D5806"/>
    <mergeCell ref="C5807:D5807"/>
    <mergeCell ref="C5853:D5853"/>
    <mergeCell ref="C5854:D5854"/>
    <mergeCell ref="C5850:D5850"/>
    <mergeCell ref="C5851:D5851"/>
    <mergeCell ref="C5803:D5803"/>
    <mergeCell ref="C5808:D5808"/>
    <mergeCell ref="C5809:D5809"/>
    <mergeCell ref="C5816:D5816"/>
    <mergeCell ref="C5817:D5817"/>
    <mergeCell ref="C5785:D5785"/>
    <mergeCell ref="C5786:D5786"/>
    <mergeCell ref="C5792:D5792"/>
    <mergeCell ref="C5790:D5790"/>
    <mergeCell ref="C5805:D5805"/>
    <mergeCell ref="C5843:D5843"/>
    <mergeCell ref="C5784:D5784"/>
    <mergeCell ref="C6653:D6653"/>
    <mergeCell ref="C6654:D6654"/>
    <mergeCell ref="C6617:D6617"/>
    <mergeCell ref="C6233:D6233"/>
    <mergeCell ref="C6250:D6250"/>
    <mergeCell ref="C6251:D6251"/>
    <mergeCell ref="A6257:A6271"/>
    <mergeCell ref="A6273:D6273"/>
    <mergeCell ref="B6082:B6084"/>
    <mergeCell ref="A6086:D6086"/>
    <mergeCell ref="A6104:A6118"/>
    <mergeCell ref="B6116:B6118"/>
    <mergeCell ref="B6133:B6135"/>
    <mergeCell ref="A6121:A6135"/>
    <mergeCell ref="A6087:A6101"/>
    <mergeCell ref="A6138:A6152"/>
    <mergeCell ref="B6150:B6152"/>
    <mergeCell ref="B6167:B6169"/>
    <mergeCell ref="A6172:A6186"/>
    <mergeCell ref="A6188:D6188"/>
    <mergeCell ref="B6184:B6186"/>
    <mergeCell ref="B6201:B6203"/>
    <mergeCell ref="A6189:A6203"/>
    <mergeCell ref="A6223:A6237"/>
    <mergeCell ref="A6206:A6220"/>
    <mergeCell ref="B6235:B6237"/>
    <mergeCell ref="A6222:D6222"/>
    <mergeCell ref="C6550:D6550"/>
    <mergeCell ref="C6553:D6553"/>
    <mergeCell ref="B6218:B6220"/>
    <mergeCell ref="A6154:D6154"/>
    <mergeCell ref="A6155:A6169"/>
    <mergeCell ref="C6871:D6871"/>
    <mergeCell ref="C6872:D6872"/>
    <mergeCell ref="C6862:D6862"/>
    <mergeCell ref="C6863:D6863"/>
    <mergeCell ref="C6873:D6873"/>
    <mergeCell ref="C6857:D6857"/>
    <mergeCell ref="C6858:D6858"/>
    <mergeCell ref="C6861:D6861"/>
    <mergeCell ref="C6870:D6870"/>
    <mergeCell ref="C6789:D6789"/>
    <mergeCell ref="C6788:D6788"/>
    <mergeCell ref="C6790:D6790"/>
    <mergeCell ref="C6791:D6791"/>
    <mergeCell ref="C6792:D6792"/>
    <mergeCell ref="C6794:D6794"/>
    <mergeCell ref="C6795:D6795"/>
    <mergeCell ref="C6785:D6785"/>
    <mergeCell ref="C6793:D6793"/>
    <mergeCell ref="C6805:D6805"/>
    <mergeCell ref="C6806:D6806"/>
    <mergeCell ref="C6860:D6860"/>
    <mergeCell ref="C6808:D6808"/>
    <mergeCell ref="C6825:D6825"/>
    <mergeCell ref="C6827:D6827"/>
    <mergeCell ref="C6859:D6859"/>
    <mergeCell ref="C6844:D6844"/>
    <mergeCell ref="C6845:D6845"/>
    <mergeCell ref="C6846:D6846"/>
    <mergeCell ref="C6853:D6853"/>
    <mergeCell ref="C6854:D6854"/>
    <mergeCell ref="C6855:D6855"/>
    <mergeCell ref="C6826:D6826"/>
    <mergeCell ref="C6164:D6164"/>
    <mergeCell ref="C6072:D6072"/>
    <mergeCell ref="C6073:D6073"/>
    <mergeCell ref="C6071:D6071"/>
    <mergeCell ref="C6074:D6074"/>
    <mergeCell ref="C6075:D6075"/>
    <mergeCell ref="C6076:D6076"/>
    <mergeCell ref="C6130:D6130"/>
    <mergeCell ref="C6140:D6140"/>
    <mergeCell ref="C6131:D6131"/>
    <mergeCell ref="B6422:B6424"/>
    <mergeCell ref="B6439:B6441"/>
    <mergeCell ref="B6371:B6373"/>
    <mergeCell ref="A6375:D6375"/>
    <mergeCell ref="A6376:A6390"/>
    <mergeCell ref="A6392:D6392"/>
    <mergeCell ref="A6393:A6407"/>
    <mergeCell ref="A6410:A6424"/>
    <mergeCell ref="A6426:D6426"/>
    <mergeCell ref="A6274:A6288"/>
    <mergeCell ref="A6290:D6290"/>
    <mergeCell ref="B6286:B6288"/>
    <mergeCell ref="B6303:B6305"/>
    <mergeCell ref="A6307:D6307"/>
    <mergeCell ref="A6308:A6322"/>
    <mergeCell ref="A6324:D6324"/>
    <mergeCell ref="A6291:A6305"/>
    <mergeCell ref="C6352:D6352"/>
    <mergeCell ref="C6353:D6353"/>
    <mergeCell ref="C6365:D6365"/>
    <mergeCell ref="C6367:D6367"/>
    <mergeCell ref="C6378:D6378"/>
    <mergeCell ref="C6438:D6438"/>
    <mergeCell ref="C6435:D6435"/>
    <mergeCell ref="C6434:D6434"/>
    <mergeCell ref="C6659:D6659"/>
    <mergeCell ref="B6660:B6662"/>
    <mergeCell ref="C6670:D6670"/>
    <mergeCell ref="C6635:D6635"/>
    <mergeCell ref="C6636:D6636"/>
    <mergeCell ref="C6637:D6637"/>
    <mergeCell ref="C6639:D6639"/>
    <mergeCell ref="C6638:D6638"/>
    <mergeCell ref="C6640:D6640"/>
    <mergeCell ref="C6624:D6624"/>
    <mergeCell ref="C6625:D6625"/>
    <mergeCell ref="C6551:D6551"/>
    <mergeCell ref="C6552:D6552"/>
    <mergeCell ref="C6605:D6605"/>
    <mergeCell ref="C6606:D6606"/>
    <mergeCell ref="C6619:D6619"/>
    <mergeCell ref="C6620:D6620"/>
    <mergeCell ref="C6607:D6607"/>
    <mergeCell ref="C6569:D6569"/>
    <mergeCell ref="C6588:D6588"/>
    <mergeCell ref="C6571:D6571"/>
    <mergeCell ref="C6570:D6570"/>
    <mergeCell ref="C6572:D6572"/>
    <mergeCell ref="C6573:D6573"/>
    <mergeCell ref="C6574:D6574"/>
    <mergeCell ref="C6555:D6555"/>
    <mergeCell ref="C6566:D6566"/>
    <mergeCell ref="C6567:D6567"/>
    <mergeCell ref="C6568:D6568"/>
    <mergeCell ref="C6649:D6649"/>
    <mergeCell ref="C6650:D6650"/>
    <mergeCell ref="C6618:D6618"/>
    <mergeCell ref="C6756:D6756"/>
    <mergeCell ref="B6762:B6764"/>
    <mergeCell ref="B6864:B6866"/>
    <mergeCell ref="B6881:B6883"/>
    <mergeCell ref="B7000:B7002"/>
    <mergeCell ref="B6983:B6985"/>
    <mergeCell ref="B6898:B6900"/>
    <mergeCell ref="C6772:D6772"/>
    <mergeCell ref="C6773:D6773"/>
    <mergeCell ref="C6775:D6775"/>
    <mergeCell ref="C6774:D6774"/>
    <mergeCell ref="C6776:D6776"/>
    <mergeCell ref="C6777:D6777"/>
    <mergeCell ref="B6915:B6917"/>
    <mergeCell ref="C6958:D6958"/>
    <mergeCell ref="C6959:D6959"/>
    <mergeCell ref="C6972:D6972"/>
    <mergeCell ref="C6973:D6973"/>
    <mergeCell ref="A6885:D6885"/>
    <mergeCell ref="A6902:D6902"/>
    <mergeCell ref="B6813:B6815"/>
    <mergeCell ref="A6851:D6851"/>
    <mergeCell ref="A6817:D6817"/>
    <mergeCell ref="B6830:B6832"/>
    <mergeCell ref="B6847:B6849"/>
    <mergeCell ref="A6834:D6834"/>
    <mergeCell ref="A6868:D6868"/>
    <mergeCell ref="C6874:D6874"/>
    <mergeCell ref="C6876:D6876"/>
    <mergeCell ref="C6879:D6879"/>
    <mergeCell ref="C6880:D6880"/>
    <mergeCell ref="C6875:D6875"/>
    <mergeCell ref="C6955:D6955"/>
    <mergeCell ref="C6956:D6956"/>
    <mergeCell ref="A6919:D6919"/>
    <mergeCell ref="A6936:D6936"/>
    <mergeCell ref="A6970:D6970"/>
    <mergeCell ref="B6966:B6968"/>
    <mergeCell ref="B6932:B6934"/>
    <mergeCell ref="B6949:B6951"/>
    <mergeCell ref="A6953:D6953"/>
    <mergeCell ref="C6957:D6957"/>
    <mergeCell ref="C6760:D6760"/>
    <mergeCell ref="C6757:D6757"/>
    <mergeCell ref="C6778:D6778"/>
    <mergeCell ref="B6796:B6798"/>
    <mergeCell ref="A6800:D6800"/>
    <mergeCell ref="A6783:D6783"/>
    <mergeCell ref="A6784:A6798"/>
    <mergeCell ref="B6779:B6781"/>
    <mergeCell ref="C6761:D6761"/>
    <mergeCell ref="A6766:D6766"/>
    <mergeCell ref="C6770:D6770"/>
    <mergeCell ref="C6771:D6771"/>
    <mergeCell ref="C6786:D6786"/>
    <mergeCell ref="C6787:D6787"/>
    <mergeCell ref="C6809:D6809"/>
    <mergeCell ref="C6802:D6802"/>
    <mergeCell ref="C6803:D6803"/>
    <mergeCell ref="C6804:D6804"/>
    <mergeCell ref="C6807:D6807"/>
    <mergeCell ref="C6976:D6976"/>
    <mergeCell ref="C6977:D6977"/>
    <mergeCell ref="C6979:D6979"/>
    <mergeCell ref="C6978:D6978"/>
    <mergeCell ref="C6980:D6980"/>
    <mergeCell ref="C6981:D6981"/>
    <mergeCell ref="C6974:D6974"/>
    <mergeCell ref="C6975:D6975"/>
    <mergeCell ref="C6993:D6993"/>
    <mergeCell ref="C6994:D6994"/>
    <mergeCell ref="C6995:D6995"/>
    <mergeCell ref="C6996:D6996"/>
    <mergeCell ref="C6997:D6997"/>
    <mergeCell ref="C6982:D6982"/>
    <mergeCell ref="C6960:D6960"/>
    <mergeCell ref="C6961:D6961"/>
    <mergeCell ref="C6963:D6963"/>
    <mergeCell ref="C6964:D6964"/>
    <mergeCell ref="C6965:D6965"/>
    <mergeCell ref="C6962:D6962"/>
    <mergeCell ref="A7021:D7021"/>
    <mergeCell ref="C7023:D7023"/>
    <mergeCell ref="C7024:D7024"/>
    <mergeCell ref="C7025:D7025"/>
    <mergeCell ref="A7004:D7004"/>
    <mergeCell ref="C7006:D7006"/>
    <mergeCell ref="C7007:D7007"/>
    <mergeCell ref="C7008:D7008"/>
    <mergeCell ref="C7009:D7009"/>
    <mergeCell ref="C7010:D7010"/>
    <mergeCell ref="A6987:D6987"/>
    <mergeCell ref="C6992:D6992"/>
    <mergeCell ref="C6989:D6989"/>
    <mergeCell ref="C6990:D6990"/>
    <mergeCell ref="C6991:D6991"/>
    <mergeCell ref="C6998:D6998"/>
    <mergeCell ref="C6999:D6999"/>
    <mergeCell ref="A6920:A6934"/>
    <mergeCell ref="A6937:A6951"/>
    <mergeCell ref="A6954:A6968"/>
    <mergeCell ref="A6988:A7002"/>
    <mergeCell ref="A6971:A6985"/>
    <mergeCell ref="A7005:A7019"/>
    <mergeCell ref="A6903:A6917"/>
    <mergeCell ref="A7022:A7036"/>
    <mergeCell ref="A6750:A6764"/>
    <mergeCell ref="A6767:A6781"/>
    <mergeCell ref="A6801:A6815"/>
    <mergeCell ref="A6835:A6849"/>
    <mergeCell ref="A6818:A6832"/>
    <mergeCell ref="A6852:A6866"/>
    <mergeCell ref="A6869:A6883"/>
    <mergeCell ref="A6886:A6900"/>
    <mergeCell ref="C7026:D7026"/>
    <mergeCell ref="C7027:D7027"/>
    <mergeCell ref="C7013:D7013"/>
    <mergeCell ref="C7014:D7014"/>
    <mergeCell ref="C7015:D7015"/>
    <mergeCell ref="C7016:D7016"/>
    <mergeCell ref="B7017:B7019"/>
    <mergeCell ref="C7030:D7030"/>
    <mergeCell ref="C7031:D7031"/>
    <mergeCell ref="C7032:D7032"/>
    <mergeCell ref="C7029:D7029"/>
    <mergeCell ref="C7028:D7028"/>
    <mergeCell ref="C7011:D7011"/>
    <mergeCell ref="C7012:D7012"/>
    <mergeCell ref="C7033:D7033"/>
    <mergeCell ref="B7034:B7036"/>
    <mergeCell ref="A6444:A6458"/>
    <mergeCell ref="A6495:A6509"/>
    <mergeCell ref="A6529:A6543"/>
    <mergeCell ref="C6683:D6683"/>
    <mergeCell ref="C6684:D6684"/>
    <mergeCell ref="A6698:D6698"/>
    <mergeCell ref="B6694:B6696"/>
    <mergeCell ref="C6692:D6692"/>
    <mergeCell ref="C6693:D6693"/>
    <mergeCell ref="B6354:B6356"/>
    <mergeCell ref="B6388:B6390"/>
    <mergeCell ref="B6320:B6322"/>
    <mergeCell ref="B6337:B6339"/>
    <mergeCell ref="A6325:A6339"/>
    <mergeCell ref="A6341:D6341"/>
    <mergeCell ref="A6342:A6356"/>
    <mergeCell ref="A6358:D6358"/>
    <mergeCell ref="A6359:A6373"/>
    <mergeCell ref="C6673:D6673"/>
    <mergeCell ref="C6674:D6674"/>
    <mergeCell ref="B6677:B6679"/>
    <mergeCell ref="A6681:D6681"/>
    <mergeCell ref="C6608:D6608"/>
    <mergeCell ref="C6622:D6622"/>
    <mergeCell ref="C6623:D6623"/>
    <mergeCell ref="C6513:D6513"/>
    <mergeCell ref="C6514:D6514"/>
    <mergeCell ref="C6501:D6501"/>
    <mergeCell ref="C6469:D6469"/>
    <mergeCell ref="C6482:D6482"/>
    <mergeCell ref="C6483:D6483"/>
    <mergeCell ref="C6484:D6484"/>
    <mergeCell ref="C6533:D6533"/>
    <mergeCell ref="C6534:D6534"/>
    <mergeCell ref="A6630:D6630"/>
    <mergeCell ref="A6648:A6662"/>
    <mergeCell ref="A6647:D6647"/>
    <mergeCell ref="C6651:D6651"/>
    <mergeCell ref="A6579:D6579"/>
    <mergeCell ref="B6524:B6526"/>
    <mergeCell ref="A6528:D6528"/>
    <mergeCell ref="A6512:A6526"/>
    <mergeCell ref="B6473:B6475"/>
    <mergeCell ref="A6461:A6475"/>
    <mergeCell ref="B6405:B6407"/>
    <mergeCell ref="A6409:D6409"/>
    <mergeCell ref="B6456:B6458"/>
    <mergeCell ref="A6477:D6477"/>
    <mergeCell ref="A6494:D6494"/>
    <mergeCell ref="A6460:D6460"/>
    <mergeCell ref="B6490:B6492"/>
    <mergeCell ref="B6507:B6509"/>
    <mergeCell ref="A6511:D6511"/>
    <mergeCell ref="A6443:D6443"/>
    <mergeCell ref="C6655:D6655"/>
    <mergeCell ref="C6656:D6656"/>
    <mergeCell ref="A6631:A6645"/>
    <mergeCell ref="B6643:B6645"/>
    <mergeCell ref="C6657:D6657"/>
    <mergeCell ref="C6658:D6658"/>
    <mergeCell ref="C6641:D6641"/>
    <mergeCell ref="C6642:D6642"/>
    <mergeCell ref="A6427:A6441"/>
    <mergeCell ref="A6478:A6492"/>
    <mergeCell ref="C6752:D6752"/>
    <mergeCell ref="C6753:D6753"/>
    <mergeCell ref="A6749:D6749"/>
    <mergeCell ref="C6754:D6754"/>
    <mergeCell ref="C6755:D6755"/>
    <mergeCell ref="C6743:D6743"/>
    <mergeCell ref="C6744:D6744"/>
    <mergeCell ref="A6733:A6747"/>
    <mergeCell ref="B6745:B6747"/>
    <mergeCell ref="C6726:D6726"/>
    <mergeCell ref="C6725:D6725"/>
    <mergeCell ref="C6671:D6671"/>
    <mergeCell ref="C6672:D6672"/>
    <mergeCell ref="B6626:B6628"/>
    <mergeCell ref="A6614:A6628"/>
    <mergeCell ref="B6541:B6543"/>
    <mergeCell ref="A6545:D6545"/>
    <mergeCell ref="A6546:A6560"/>
    <mergeCell ref="A6562:D6562"/>
    <mergeCell ref="B6558:B6560"/>
    <mergeCell ref="A6580:A6594"/>
    <mergeCell ref="A6596:D6596"/>
    <mergeCell ref="B6592:B6594"/>
    <mergeCell ref="B6575:B6577"/>
    <mergeCell ref="A6563:A6577"/>
    <mergeCell ref="A6613:D6613"/>
    <mergeCell ref="B6609:B6611"/>
    <mergeCell ref="A6597:A6611"/>
    <mergeCell ref="C6604:D6604"/>
    <mergeCell ref="A6665:A6679"/>
    <mergeCell ref="A6682:A6696"/>
    <mergeCell ref="C6751:D6751"/>
    <mergeCell ref="C6739:D6739"/>
    <mergeCell ref="C6740:D6740"/>
    <mergeCell ref="C6727:D6727"/>
    <mergeCell ref="B6728:B6730"/>
    <mergeCell ref="A6716:A6730"/>
    <mergeCell ref="C6741:D6741"/>
    <mergeCell ref="C6742:D6742"/>
    <mergeCell ref="A6732:D6732"/>
    <mergeCell ref="C6734:D6734"/>
    <mergeCell ref="C6685:D6685"/>
    <mergeCell ref="C6690:D6690"/>
    <mergeCell ref="C6669:D6669"/>
    <mergeCell ref="C6666:D6666"/>
    <mergeCell ref="C6702:D6702"/>
    <mergeCell ref="C6700:D6700"/>
    <mergeCell ref="C6701:D6701"/>
    <mergeCell ref="C6676:D6676"/>
    <mergeCell ref="C6675:D6675"/>
    <mergeCell ref="C6691:D6691"/>
    <mergeCell ref="C6686:D6686"/>
    <mergeCell ref="C6687:D6687"/>
    <mergeCell ref="C6688:D6688"/>
    <mergeCell ref="C6689:D6689"/>
    <mergeCell ref="C6703:D6703"/>
    <mergeCell ref="C6704:D6704"/>
    <mergeCell ref="C6717:D6717"/>
    <mergeCell ref="C6718:D6718"/>
    <mergeCell ref="B6711:B6713"/>
    <mergeCell ref="A6699:A6713"/>
    <mergeCell ref="A6715:D6715"/>
    <mergeCell ref="C6735:D6735"/>
    <mergeCell ref="C6736:D6736"/>
    <mergeCell ref="C6737:D6737"/>
    <mergeCell ref="C6738:D6738"/>
    <mergeCell ref="C6719:D6719"/>
    <mergeCell ref="C6720:D6720"/>
    <mergeCell ref="C6721:D6721"/>
    <mergeCell ref="C6722:D6722"/>
    <mergeCell ref="C6723:D6723"/>
    <mergeCell ref="C6724:D6724"/>
    <mergeCell ref="B5589:B5591"/>
    <mergeCell ref="A5577:A5591"/>
    <mergeCell ref="C5585:D5585"/>
    <mergeCell ref="C5586:D5586"/>
    <mergeCell ref="C5578:D5578"/>
    <mergeCell ref="A5593:D5593"/>
    <mergeCell ref="C5733:D5733"/>
    <mergeCell ref="C5734:D5734"/>
    <mergeCell ref="C5596:D5596"/>
    <mergeCell ref="C5597:D5597"/>
    <mergeCell ref="A5594:A5608"/>
    <mergeCell ref="B5606:B5608"/>
    <mergeCell ref="A5610:D5610"/>
    <mergeCell ref="A5611:A5625"/>
    <mergeCell ref="A5627:D5627"/>
    <mergeCell ref="B5623:B5625"/>
    <mergeCell ref="C5670:D5670"/>
    <mergeCell ref="C5671:D5671"/>
    <mergeCell ref="B5708:B5710"/>
    <mergeCell ref="A5712:D5712"/>
    <mergeCell ref="B5725:B5727"/>
    <mergeCell ref="C5706:D5706"/>
    <mergeCell ref="C5707:D5707"/>
    <mergeCell ref="A5696:A5710"/>
    <mergeCell ref="A5679:A5693"/>
    <mergeCell ref="A5695:D5695"/>
    <mergeCell ref="C5700:D5700"/>
    <mergeCell ref="C5701:D5701"/>
    <mergeCell ref="C5736:D5736"/>
    <mergeCell ref="C5737:D5737"/>
    <mergeCell ref="C5738:D5738"/>
    <mergeCell ref="C5739:D5739"/>
    <mergeCell ref="C5731:D5731"/>
    <mergeCell ref="C5732:D5732"/>
    <mergeCell ref="C5723:D5723"/>
    <mergeCell ref="A5628:A5642"/>
    <mergeCell ref="A5644:D5644"/>
    <mergeCell ref="C5668:D5668"/>
    <mergeCell ref="C5669:D5669"/>
    <mergeCell ref="C5630:D5630"/>
    <mergeCell ref="C5631:D5631"/>
    <mergeCell ref="C5632:D5632"/>
    <mergeCell ref="C5633:D5633"/>
    <mergeCell ref="C5634:D5634"/>
    <mergeCell ref="C5635:D5635"/>
    <mergeCell ref="C5638:D5638"/>
    <mergeCell ref="C5639:D5639"/>
    <mergeCell ref="C5652:D5652"/>
    <mergeCell ref="C5646:D5646"/>
    <mergeCell ref="C5636:D5636"/>
    <mergeCell ref="B5657:B5659"/>
    <mergeCell ref="A5661:D5661"/>
    <mergeCell ref="C5663:D5663"/>
    <mergeCell ref="C5702:D5702"/>
    <mergeCell ref="C5703:D5703"/>
    <mergeCell ref="C5655:D5655"/>
    <mergeCell ref="C5656:D5656"/>
    <mergeCell ref="C5654:D5654"/>
    <mergeCell ref="C5717:D5717"/>
    <mergeCell ref="C5724:D5724"/>
    <mergeCell ref="C5720:D5720"/>
    <mergeCell ref="C5667:D5667"/>
    <mergeCell ref="C5672:D5672"/>
    <mergeCell ref="C5673:D5673"/>
    <mergeCell ref="C5682:D5682"/>
    <mergeCell ref="C5680:D5680"/>
    <mergeCell ref="C5681:D5681"/>
    <mergeCell ref="C5683:D5683"/>
    <mergeCell ref="C5684:D5684"/>
    <mergeCell ref="C5685:D5685"/>
    <mergeCell ref="C5686:D5686"/>
    <mergeCell ref="C5687:D5687"/>
    <mergeCell ref="C5688:D5688"/>
    <mergeCell ref="C5689:D5689"/>
    <mergeCell ref="C5690:D5690"/>
    <mergeCell ref="C5704:D5704"/>
    <mergeCell ref="C5705:D5705"/>
    <mergeCell ref="C5722:D5722"/>
    <mergeCell ref="C5697:D5697"/>
    <mergeCell ref="C5698:D5698"/>
    <mergeCell ref="C5699:D5699"/>
    <mergeCell ref="B5691:B5693"/>
    <mergeCell ref="A5798:A5812"/>
    <mergeCell ref="A5814:D5814"/>
    <mergeCell ref="B5912:B5914"/>
    <mergeCell ref="B5929:B5931"/>
    <mergeCell ref="C5665:D5665"/>
    <mergeCell ref="C5666:D5666"/>
    <mergeCell ref="C5649:D5649"/>
    <mergeCell ref="C5650:D5650"/>
    <mergeCell ref="B5640:B5642"/>
    <mergeCell ref="A5645:A5659"/>
    <mergeCell ref="C5664:D5664"/>
    <mergeCell ref="C5637:D5637"/>
    <mergeCell ref="C5653:D5653"/>
    <mergeCell ref="A5662:A5676"/>
    <mergeCell ref="A5678:D5678"/>
    <mergeCell ref="B5674:B5676"/>
    <mergeCell ref="C5651:D5651"/>
    <mergeCell ref="A5729:D5729"/>
    <mergeCell ref="C5748:D5748"/>
    <mergeCell ref="A5746:D5746"/>
    <mergeCell ref="A5713:A5727"/>
    <mergeCell ref="C5721:D5721"/>
    <mergeCell ref="A5730:A5744"/>
    <mergeCell ref="C5735:D5735"/>
    <mergeCell ref="C5714:D5714"/>
    <mergeCell ref="C5715:D5715"/>
    <mergeCell ref="C5716:D5716"/>
    <mergeCell ref="B5810:B5812"/>
    <mergeCell ref="B5827:B5829"/>
    <mergeCell ref="A5815:A5829"/>
    <mergeCell ref="A5831:D5831"/>
    <mergeCell ref="A5832:A5846"/>
    <mergeCell ref="A5865:D5865"/>
    <mergeCell ref="A5866:A5880"/>
    <mergeCell ref="B5878:B5880"/>
    <mergeCell ref="A5882:D5882"/>
    <mergeCell ref="A5883:A5897"/>
    <mergeCell ref="A5899:D5899"/>
    <mergeCell ref="B5895:B5897"/>
    <mergeCell ref="A5900:A5914"/>
    <mergeCell ref="A5916:D5916"/>
    <mergeCell ref="C5995:D5995"/>
    <mergeCell ref="C5993:D5993"/>
    <mergeCell ref="C5994:D5994"/>
    <mergeCell ref="C5978:D5978"/>
    <mergeCell ref="C5979:D5979"/>
    <mergeCell ref="C5986:D5986"/>
    <mergeCell ref="C5969:D5969"/>
    <mergeCell ref="C5970:D5970"/>
    <mergeCell ref="C5977:D5977"/>
    <mergeCell ref="A5968:A5982"/>
    <mergeCell ref="A5951:A5965"/>
    <mergeCell ref="A5917:A5931"/>
    <mergeCell ref="C5952:D5952"/>
    <mergeCell ref="C5953:D5953"/>
    <mergeCell ref="C5911:D5911"/>
    <mergeCell ref="C5920:D5920"/>
    <mergeCell ref="C5992:D5992"/>
    <mergeCell ref="C5972:D5972"/>
    <mergeCell ref="C5888:D5888"/>
    <mergeCell ref="C5889:D5889"/>
    <mergeCell ref="C5870:D5870"/>
    <mergeCell ref="C5871:D5871"/>
    <mergeCell ref="C5872:D5872"/>
    <mergeCell ref="C5860:D5860"/>
    <mergeCell ref="C5874:D5874"/>
    <mergeCell ref="C5867:D5867"/>
    <mergeCell ref="C5868:D5868"/>
    <mergeCell ref="A5967:D5967"/>
    <mergeCell ref="C5973:D5973"/>
    <mergeCell ref="C5974:D5974"/>
    <mergeCell ref="C5975:D5975"/>
    <mergeCell ref="A5984:D5984"/>
    <mergeCell ref="C5991:D5991"/>
    <mergeCell ref="A6001:D6001"/>
    <mergeCell ref="A6002:A6016"/>
    <mergeCell ref="B6014:B6016"/>
    <mergeCell ref="C6027:D6027"/>
    <mergeCell ref="C6028:D6028"/>
    <mergeCell ref="B5844:B5846"/>
    <mergeCell ref="A5848:D5848"/>
    <mergeCell ref="B5861:B5863"/>
    <mergeCell ref="A5849:A5863"/>
    <mergeCell ref="C5869:D5869"/>
    <mergeCell ref="C5875:D5875"/>
    <mergeCell ref="C5887:D5887"/>
    <mergeCell ref="C5852:D5852"/>
    <mergeCell ref="C5857:D5857"/>
    <mergeCell ref="C5924:D5924"/>
    <mergeCell ref="C5927:D5927"/>
    <mergeCell ref="C5925:D5925"/>
    <mergeCell ref="C5926:D5926"/>
    <mergeCell ref="C5938:D5938"/>
    <mergeCell ref="C5939:D5939"/>
    <mergeCell ref="C5940:D5940"/>
    <mergeCell ref="C5941:D5941"/>
    <mergeCell ref="C5855:D5855"/>
    <mergeCell ref="C5856:D5856"/>
    <mergeCell ref="C5782:D5782"/>
    <mergeCell ref="A5780:D5780"/>
    <mergeCell ref="C5783:D5783"/>
    <mergeCell ref="C5770:D5770"/>
    <mergeCell ref="C5771:D5771"/>
    <mergeCell ref="C5772:D5772"/>
    <mergeCell ref="C5773:D5773"/>
    <mergeCell ref="A5797:D5797"/>
    <mergeCell ref="B5793:B5795"/>
    <mergeCell ref="A5781:A5795"/>
    <mergeCell ref="A5985:A5999"/>
    <mergeCell ref="A5934:A5948"/>
    <mergeCell ref="A5950:D5950"/>
    <mergeCell ref="B5946:B5948"/>
    <mergeCell ref="C5818:D5818"/>
    <mergeCell ref="C5819:D5819"/>
    <mergeCell ref="C5820:D5820"/>
    <mergeCell ref="C5821:D5821"/>
    <mergeCell ref="B5963:B5965"/>
    <mergeCell ref="C5976:D5976"/>
    <mergeCell ref="A5933:D5933"/>
    <mergeCell ref="B5980:B5982"/>
    <mergeCell ref="C5996:D5996"/>
    <mergeCell ref="B5997:B5999"/>
    <mergeCell ref="C5961:D5961"/>
    <mergeCell ref="C5962:D5962"/>
    <mergeCell ref="C5987:D5987"/>
    <mergeCell ref="C5988:D5988"/>
    <mergeCell ref="C5989:D5989"/>
    <mergeCell ref="C5990:D5990"/>
    <mergeCell ref="B6031:B6033"/>
    <mergeCell ref="C6046:D6046"/>
    <mergeCell ref="A6036:A6050"/>
    <mergeCell ref="A6052:D6052"/>
    <mergeCell ref="C6030:D6030"/>
    <mergeCell ref="C6039:D6039"/>
    <mergeCell ref="C6047:D6047"/>
    <mergeCell ref="B6048:B6050"/>
    <mergeCell ref="B6065:B6067"/>
    <mergeCell ref="A6053:A6067"/>
    <mergeCell ref="C6054:D6054"/>
    <mergeCell ref="C6055:D6055"/>
    <mergeCell ref="C6056:D6056"/>
    <mergeCell ref="A6018:D6018"/>
    <mergeCell ref="C6023:D6023"/>
    <mergeCell ref="C6024:D6024"/>
    <mergeCell ref="C6025:D6025"/>
    <mergeCell ref="C6026:D6026"/>
    <mergeCell ref="A6019:A6033"/>
    <mergeCell ref="A6035:D6035"/>
    <mergeCell ref="C6037:D6037"/>
    <mergeCell ref="C6038:D6038"/>
    <mergeCell ref="C6040:D6040"/>
    <mergeCell ref="C6041:D6041"/>
    <mergeCell ref="C6042:D6042"/>
    <mergeCell ref="C6043:D6043"/>
    <mergeCell ref="C6044:D6044"/>
    <mergeCell ref="C6045:D6045"/>
    <mergeCell ref="C6057:D6057"/>
    <mergeCell ref="C6058:D6058"/>
    <mergeCell ref="C6059:D6059"/>
    <mergeCell ref="C5755:D5755"/>
    <mergeCell ref="C5756:D5756"/>
    <mergeCell ref="C5768:D5768"/>
    <mergeCell ref="C5769:D5769"/>
    <mergeCell ref="C5718:D5718"/>
    <mergeCell ref="C5719:D5719"/>
    <mergeCell ref="C5765:D5765"/>
    <mergeCell ref="C5766:D5766"/>
    <mergeCell ref="C5754:D5754"/>
    <mergeCell ref="C5757:D5757"/>
    <mergeCell ref="C5758:D5758"/>
    <mergeCell ref="B5759:B5761"/>
    <mergeCell ref="A5763:D5763"/>
    <mergeCell ref="C5749:D5749"/>
    <mergeCell ref="C5750:D5750"/>
    <mergeCell ref="C5751:D5751"/>
    <mergeCell ref="C5752:D5752"/>
    <mergeCell ref="C5753:D5753"/>
    <mergeCell ref="A5747:A5761"/>
    <mergeCell ref="A5764:A5778"/>
    <mergeCell ref="B5776:B5778"/>
    <mergeCell ref="B5742:B5744"/>
    <mergeCell ref="C5740:D5740"/>
    <mergeCell ref="C5741:D5741"/>
    <mergeCell ref="C5774:D5774"/>
    <mergeCell ref="C5775:D5775"/>
    <mergeCell ref="C5348:D5348"/>
    <mergeCell ref="C5349:D5349"/>
    <mergeCell ref="C5296:D5296"/>
    <mergeCell ref="C5297:D5297"/>
    <mergeCell ref="C5379:D5379"/>
    <mergeCell ref="C5380:D5380"/>
    <mergeCell ref="C5376:D5376"/>
    <mergeCell ref="C5381:D5381"/>
    <mergeCell ref="C5394:D5394"/>
    <mergeCell ref="C5595:D5595"/>
    <mergeCell ref="C5461:D5461"/>
    <mergeCell ref="A5474:D5474"/>
    <mergeCell ref="B5470:B5472"/>
    <mergeCell ref="B5487:B5489"/>
    <mergeCell ref="A5491:D5491"/>
    <mergeCell ref="C5534:D5534"/>
    <mergeCell ref="C5528:D5528"/>
    <mergeCell ref="C5529:D5529"/>
    <mergeCell ref="C5530:D5530"/>
    <mergeCell ref="C5531:D5531"/>
    <mergeCell ref="C5532:D5532"/>
    <mergeCell ref="C5536:D5536"/>
    <mergeCell ref="C5537:D5537"/>
    <mergeCell ref="C5535:D5535"/>
    <mergeCell ref="A5542:D5542"/>
    <mergeCell ref="C5587:D5587"/>
    <mergeCell ref="C5588:D5588"/>
    <mergeCell ref="B5317:B5319"/>
    <mergeCell ref="A5322:A5336"/>
    <mergeCell ref="A5338:D5338"/>
    <mergeCell ref="A5305:A5319"/>
    <mergeCell ref="C5316:D5316"/>
    <mergeCell ref="C5648:D5648"/>
    <mergeCell ref="C5581:D5581"/>
    <mergeCell ref="C5582:D5582"/>
    <mergeCell ref="C5571:D5571"/>
    <mergeCell ref="B5572:B5574"/>
    <mergeCell ref="C5467:D5467"/>
    <mergeCell ref="C5463:D5463"/>
    <mergeCell ref="C5468:D5468"/>
    <mergeCell ref="C5469:D5469"/>
    <mergeCell ref="C5478:D5478"/>
    <mergeCell ref="C5479:D5479"/>
    <mergeCell ref="C5480:D5480"/>
    <mergeCell ref="C5481:D5481"/>
    <mergeCell ref="C5483:D5483"/>
    <mergeCell ref="C5482:D5482"/>
    <mergeCell ref="C5549:D5549"/>
    <mergeCell ref="A5559:D5559"/>
    <mergeCell ref="C5552:D5552"/>
    <mergeCell ref="C5553:D5553"/>
    <mergeCell ref="B5555:B5557"/>
    <mergeCell ref="C5568:D5568"/>
    <mergeCell ref="C5569:D5569"/>
    <mergeCell ref="A5509:A5523"/>
    <mergeCell ref="A5458:A5472"/>
    <mergeCell ref="C5459:D5459"/>
    <mergeCell ref="C5460:D5460"/>
    <mergeCell ref="C5551:D5551"/>
    <mergeCell ref="C5550:D5550"/>
    <mergeCell ref="C5570:D5570"/>
    <mergeCell ref="A5560:A5574"/>
    <mergeCell ref="A5576:D5576"/>
    <mergeCell ref="C5554:D5554"/>
    <mergeCell ref="C5497:D5497"/>
    <mergeCell ref="C5514:D5514"/>
    <mergeCell ref="C5515:D5515"/>
    <mergeCell ref="A5508:D5508"/>
    <mergeCell ref="C5516:D5516"/>
    <mergeCell ref="C5410:D5410"/>
    <mergeCell ref="C5444:D5444"/>
    <mergeCell ref="C5466:D5466"/>
    <mergeCell ref="C5462:D5462"/>
    <mergeCell ref="C5464:D5464"/>
    <mergeCell ref="C5465:D5465"/>
    <mergeCell ref="C5614:D5614"/>
    <mergeCell ref="C5612:D5612"/>
    <mergeCell ref="C5613:D5613"/>
    <mergeCell ref="C5583:D5583"/>
    <mergeCell ref="C5584:D5584"/>
    <mergeCell ref="C5647:D5647"/>
    <mergeCell ref="C5563:D5563"/>
    <mergeCell ref="C5615:D5615"/>
    <mergeCell ref="C5616:D5616"/>
    <mergeCell ref="C5617:D5617"/>
    <mergeCell ref="C5619:D5619"/>
    <mergeCell ref="C5618:D5618"/>
    <mergeCell ref="C5620:D5620"/>
    <mergeCell ref="C5621:D5621"/>
    <mergeCell ref="C5562:D5562"/>
    <mergeCell ref="C5564:D5564"/>
    <mergeCell ref="C5565:D5565"/>
    <mergeCell ref="C5566:D5566"/>
    <mergeCell ref="C5567:D5567"/>
    <mergeCell ref="C5579:D5579"/>
    <mergeCell ref="A5457:D5457"/>
    <mergeCell ref="C5546:D5546"/>
    <mergeCell ref="C5544:D5544"/>
    <mergeCell ref="C5545:D5545"/>
    <mergeCell ref="C5547:D5547"/>
    <mergeCell ref="C5548:D5548"/>
    <mergeCell ref="A5525:D5525"/>
    <mergeCell ref="C5527:D5527"/>
    <mergeCell ref="A5254:A5268"/>
    <mergeCell ref="A5271:A5285"/>
    <mergeCell ref="A5288:A5302"/>
    <mergeCell ref="C5306:D5306"/>
    <mergeCell ref="C5292:D5292"/>
    <mergeCell ref="C5293:D5293"/>
    <mergeCell ref="A5287:D5287"/>
    <mergeCell ref="C5502:D5502"/>
    <mergeCell ref="C5503:D5503"/>
    <mergeCell ref="C5377:D5377"/>
    <mergeCell ref="C5378:D5378"/>
    <mergeCell ref="C5417:D5417"/>
    <mergeCell ref="C5418:D5418"/>
    <mergeCell ref="B5419:B5421"/>
    <mergeCell ref="C5434:D5434"/>
    <mergeCell ref="C5433:D5433"/>
    <mergeCell ref="C5533:D5533"/>
    <mergeCell ref="C5395:D5395"/>
    <mergeCell ref="C5396:D5396"/>
    <mergeCell ref="C5397:D5397"/>
    <mergeCell ref="C5400:D5400"/>
    <mergeCell ref="C5401:D5401"/>
    <mergeCell ref="C5408:D5408"/>
    <mergeCell ref="C5409:D5409"/>
    <mergeCell ref="C5519:D5519"/>
    <mergeCell ref="C5447:D5447"/>
    <mergeCell ref="C5448:D5448"/>
    <mergeCell ref="A5423:D5423"/>
    <mergeCell ref="C5425:D5425"/>
    <mergeCell ref="C5426:D5426"/>
    <mergeCell ref="C5452:D5452"/>
    <mergeCell ref="B5453:B5455"/>
    <mergeCell ref="C5435:D5435"/>
    <mergeCell ref="B5436:B5438"/>
    <mergeCell ref="A5424:A5438"/>
    <mergeCell ref="A5440:D5440"/>
    <mergeCell ref="A5441:A5455"/>
    <mergeCell ref="C5442:D5442"/>
    <mergeCell ref="C5443:D5443"/>
    <mergeCell ref="C5289:D5289"/>
    <mergeCell ref="C5290:D5290"/>
    <mergeCell ref="B5538:B5540"/>
    <mergeCell ref="C5517:D5517"/>
    <mergeCell ref="C5518:D5518"/>
    <mergeCell ref="A5492:A5506"/>
    <mergeCell ref="A5475:A5489"/>
    <mergeCell ref="C5476:D5476"/>
    <mergeCell ref="C5477:D5477"/>
    <mergeCell ref="C5484:D5484"/>
    <mergeCell ref="C5498:D5498"/>
    <mergeCell ref="C5499:D5499"/>
    <mergeCell ref="C5510:D5510"/>
    <mergeCell ref="C5493:D5493"/>
    <mergeCell ref="C5494:D5494"/>
    <mergeCell ref="C5501:D5501"/>
    <mergeCell ref="C5495:D5495"/>
    <mergeCell ref="C5496:D5496"/>
    <mergeCell ref="C5279:D5279"/>
    <mergeCell ref="C5278:D5278"/>
    <mergeCell ref="C5280:D5280"/>
    <mergeCell ref="C5281:D5281"/>
    <mergeCell ref="C5282:D5282"/>
    <mergeCell ref="B5283:B5285"/>
    <mergeCell ref="C5451:D5451"/>
    <mergeCell ref="C5449:D5449"/>
    <mergeCell ref="C5450:D5450"/>
    <mergeCell ref="C5329:D5329"/>
    <mergeCell ref="C5314:D5314"/>
    <mergeCell ref="C5315:D5315"/>
    <mergeCell ref="C5330:D5330"/>
    <mergeCell ref="C5331:D5331"/>
    <mergeCell ref="C5343:D5343"/>
    <mergeCell ref="C5344:D5344"/>
    <mergeCell ref="C5345:D5345"/>
    <mergeCell ref="B5334:B5336"/>
    <mergeCell ref="A5389:D5389"/>
    <mergeCell ref="C5382:D5382"/>
    <mergeCell ref="C5383:D5383"/>
    <mergeCell ref="C5384:D5384"/>
    <mergeCell ref="C5398:D5398"/>
    <mergeCell ref="A5390:A5404"/>
    <mergeCell ref="C5391:D5391"/>
    <mergeCell ref="C5392:D5392"/>
    <mergeCell ref="C5393:D5393"/>
    <mergeCell ref="B5402:B5404"/>
    <mergeCell ref="C5399:D5399"/>
    <mergeCell ref="A5406:D5406"/>
    <mergeCell ref="C5445:D5445"/>
    <mergeCell ref="C5446:D5446"/>
    <mergeCell ref="C4532:D4532"/>
    <mergeCell ref="C4768:D4768"/>
    <mergeCell ref="C4771:D4771"/>
    <mergeCell ref="C5411:D5411"/>
    <mergeCell ref="C5412:D5412"/>
    <mergeCell ref="C5413:D5413"/>
    <mergeCell ref="C5415:D5415"/>
    <mergeCell ref="C5416:D5416"/>
    <mergeCell ref="C5414:D5414"/>
    <mergeCell ref="A5407:A5421"/>
    <mergeCell ref="C5365:D5365"/>
    <mergeCell ref="C5366:D5366"/>
    <mergeCell ref="C5367:D5367"/>
    <mergeCell ref="A5356:A5370"/>
    <mergeCell ref="C5357:D5357"/>
    <mergeCell ref="C5358:D5358"/>
    <mergeCell ref="C5359:D5359"/>
    <mergeCell ref="C5347:D5347"/>
    <mergeCell ref="C5346:D5346"/>
    <mergeCell ref="C5361:D5361"/>
    <mergeCell ref="C5362:D5362"/>
    <mergeCell ref="C5363:D5363"/>
    <mergeCell ref="C5364:D5364"/>
    <mergeCell ref="C5350:D5350"/>
    <mergeCell ref="B5368:B5370"/>
    <mergeCell ref="A5372:D5372"/>
    <mergeCell ref="B5385:B5387"/>
    <mergeCell ref="A5373:A5387"/>
    <mergeCell ref="C5374:D5374"/>
    <mergeCell ref="C5375:D5375"/>
    <mergeCell ref="A5355:D5355"/>
    <mergeCell ref="C5360:D5360"/>
    <mergeCell ref="C4955:D4955"/>
    <mergeCell ref="C4956:D4956"/>
    <mergeCell ref="C4958:D4958"/>
    <mergeCell ref="C4548:D4548"/>
    <mergeCell ref="C4542:D4542"/>
    <mergeCell ref="C4549:D4549"/>
    <mergeCell ref="C4533:D4533"/>
    <mergeCell ref="C4534:D4534"/>
    <mergeCell ref="C4524:D4524"/>
    <mergeCell ref="C4525:D4525"/>
    <mergeCell ref="C4595:D4595"/>
    <mergeCell ref="C4596:D4596"/>
    <mergeCell ref="C4923:D4923"/>
    <mergeCell ref="C4935:D4935"/>
    <mergeCell ref="C4938:D4938"/>
    <mergeCell ref="C4949:D4949"/>
    <mergeCell ref="C4939:D4939"/>
    <mergeCell ref="C4940:D4940"/>
    <mergeCell ref="C4941:D4941"/>
    <mergeCell ref="C4942:D4942"/>
    <mergeCell ref="C4921:D4921"/>
    <mergeCell ref="C4924:D4924"/>
    <mergeCell ref="C4925:D4925"/>
    <mergeCell ref="C4934:D4934"/>
    <mergeCell ref="C4932:D4932"/>
    <mergeCell ref="C4933:D4933"/>
    <mergeCell ref="C4558:D4558"/>
    <mergeCell ref="C4527:D4527"/>
    <mergeCell ref="C4528:D4528"/>
    <mergeCell ref="C4529:D4529"/>
    <mergeCell ref="C4531:D4531"/>
    <mergeCell ref="C4530:D4530"/>
    <mergeCell ref="C4567:D4567"/>
    <mergeCell ref="C4565:D4565"/>
    <mergeCell ref="C4566:D4566"/>
    <mergeCell ref="A4845:D4845"/>
    <mergeCell ref="B4841:B4843"/>
    <mergeCell ref="B4824:B4826"/>
    <mergeCell ref="A4828:D4828"/>
    <mergeCell ref="A4829:A4843"/>
    <mergeCell ref="A4879:D4879"/>
    <mergeCell ref="A4880:A4894"/>
    <mergeCell ref="B4858:B4860"/>
    <mergeCell ref="A4812:A4826"/>
    <mergeCell ref="C4851:D4851"/>
    <mergeCell ref="C4856:D4856"/>
    <mergeCell ref="C4857:D4857"/>
    <mergeCell ref="C4866:D4866"/>
    <mergeCell ref="C4864:D4864"/>
    <mergeCell ref="C4644:D4644"/>
    <mergeCell ref="C4635:D4635"/>
    <mergeCell ref="C4636:D4636"/>
    <mergeCell ref="C4643:D4643"/>
    <mergeCell ref="C4632:D4632"/>
    <mergeCell ref="C4577:D4577"/>
    <mergeCell ref="C4578:D4578"/>
    <mergeCell ref="C4594:D4594"/>
    <mergeCell ref="C4592:D4592"/>
    <mergeCell ref="C4593:D4593"/>
    <mergeCell ref="A4710:A4724"/>
    <mergeCell ref="A4726:D4726"/>
    <mergeCell ref="B4722:B4724"/>
    <mergeCell ref="B4739:B4741"/>
    <mergeCell ref="A4727:A4741"/>
    <mergeCell ref="C5086:D5086"/>
    <mergeCell ref="C5087:D5087"/>
    <mergeCell ref="C5088:D5088"/>
    <mergeCell ref="C5109:D5109"/>
    <mergeCell ref="C5110:D5110"/>
    <mergeCell ref="C5102:D5102"/>
    <mergeCell ref="C5103:D5103"/>
    <mergeCell ref="C5104:D5104"/>
    <mergeCell ref="C5105:D5105"/>
    <mergeCell ref="C4916:D4916"/>
    <mergeCell ref="C4917:D4917"/>
    <mergeCell ref="C4903:D4903"/>
    <mergeCell ref="C4904:D4904"/>
    <mergeCell ref="C4906:D4906"/>
    <mergeCell ref="C4907:D4907"/>
    <mergeCell ref="C4908:D4908"/>
    <mergeCell ref="C4922:D4922"/>
    <mergeCell ref="C4915:D4915"/>
    <mergeCell ref="C5018:D5018"/>
    <mergeCell ref="C5025:D5025"/>
    <mergeCell ref="C5019:D5019"/>
    <mergeCell ref="C5020:D5020"/>
    <mergeCell ref="C5021:D5021"/>
    <mergeCell ref="C5022:D5022"/>
    <mergeCell ref="C5023:D5023"/>
    <mergeCell ref="C5024:D5024"/>
    <mergeCell ref="C5009:D5009"/>
    <mergeCell ref="C5010:D5010"/>
    <mergeCell ref="C5008:D5008"/>
    <mergeCell ref="C5000:D5000"/>
    <mergeCell ref="C5001:D5001"/>
    <mergeCell ref="C5035:D5035"/>
    <mergeCell ref="C4970:D4970"/>
    <mergeCell ref="C4971:D4971"/>
    <mergeCell ref="C4972:D4972"/>
    <mergeCell ref="C4975:D4975"/>
    <mergeCell ref="C4973:D4973"/>
    <mergeCell ref="C4974:D4974"/>
    <mergeCell ref="C4988:D4988"/>
    <mergeCell ref="C4989:D4989"/>
    <mergeCell ref="C4992:D4992"/>
    <mergeCell ref="C4993:D4993"/>
    <mergeCell ref="C5002:D5002"/>
    <mergeCell ref="C5003:D5003"/>
    <mergeCell ref="C5004:D5004"/>
    <mergeCell ref="C5005:D5005"/>
    <mergeCell ref="C5007:D5007"/>
    <mergeCell ref="C5006:D5006"/>
    <mergeCell ref="C5075:D5075"/>
    <mergeCell ref="C5070:D5070"/>
    <mergeCell ref="C5068:D5068"/>
    <mergeCell ref="C5069:D5069"/>
    <mergeCell ref="C5071:D5071"/>
    <mergeCell ref="C5072:D5072"/>
    <mergeCell ref="C5073:D5073"/>
    <mergeCell ref="C5074:D5074"/>
    <mergeCell ref="C5036:D5036"/>
    <mergeCell ref="C5037:D5037"/>
    <mergeCell ref="C5038:D5038"/>
    <mergeCell ref="C5039:D5039"/>
    <mergeCell ref="C5040:D5040"/>
    <mergeCell ref="C4514:D4514"/>
    <mergeCell ref="C5272:D5272"/>
    <mergeCell ref="C5273:D5273"/>
    <mergeCell ref="C5244:D5244"/>
    <mergeCell ref="C4891:D4891"/>
    <mergeCell ref="C4575:D4575"/>
    <mergeCell ref="C4579:D4579"/>
    <mergeCell ref="C4580:D4580"/>
    <mergeCell ref="C4581:D4581"/>
    <mergeCell ref="C4584:D4584"/>
    <mergeCell ref="C4583:D4583"/>
    <mergeCell ref="C4585:D4585"/>
    <mergeCell ref="C4582:D4582"/>
    <mergeCell ref="C4493:D4493"/>
    <mergeCell ref="C4494:D4494"/>
    <mergeCell ref="C4495:D4495"/>
    <mergeCell ref="C4496:D4496"/>
    <mergeCell ref="C4499:D4499"/>
    <mergeCell ref="C4497:D4497"/>
    <mergeCell ref="C4498:D4498"/>
    <mergeCell ref="C4510:D4510"/>
    <mergeCell ref="C4511:D4511"/>
    <mergeCell ref="C4986:D4986"/>
    <mergeCell ref="C4987:D4987"/>
    <mergeCell ref="C4991:D4991"/>
    <mergeCell ref="C4629:D4629"/>
    <mergeCell ref="C4630:D4630"/>
    <mergeCell ref="C4631:D4631"/>
    <mergeCell ref="C4500:D4500"/>
    <mergeCell ref="C4507:D4507"/>
    <mergeCell ref="C4568:D4568"/>
    <mergeCell ref="C4576:D4576"/>
    <mergeCell ref="C4508:D4508"/>
    <mergeCell ref="C4509:D4509"/>
    <mergeCell ref="C4512:D4512"/>
    <mergeCell ref="C4513:D4513"/>
    <mergeCell ref="C4516:D4516"/>
    <mergeCell ref="C4517:D4517"/>
    <mergeCell ref="C4526:D4526"/>
    <mergeCell ref="C4515:D4515"/>
    <mergeCell ref="C4550:D4550"/>
    <mergeCell ref="C4559:D4559"/>
    <mergeCell ref="C4560:D4560"/>
    <mergeCell ref="C4561:D4561"/>
    <mergeCell ref="C4562:D4562"/>
    <mergeCell ref="C4563:D4563"/>
    <mergeCell ref="C4951:D4951"/>
    <mergeCell ref="C4952:D4952"/>
    <mergeCell ref="C4953:D4953"/>
    <mergeCell ref="C4853:D4853"/>
    <mergeCell ref="C4836:D4836"/>
    <mergeCell ref="C4783:D4783"/>
    <mergeCell ref="C4796:D4796"/>
    <mergeCell ref="C4784:D4784"/>
    <mergeCell ref="C4785:D4785"/>
    <mergeCell ref="C4762:D4762"/>
    <mergeCell ref="C4763:D4763"/>
    <mergeCell ref="C4764:D4764"/>
    <mergeCell ref="C4765:D4765"/>
    <mergeCell ref="C4772:D4772"/>
    <mergeCell ref="C4770:D4770"/>
    <mergeCell ref="C4789:D4789"/>
    <mergeCell ref="C4781:D4781"/>
    <mergeCell ref="C4782:D4782"/>
    <mergeCell ref="C4966:D4966"/>
    <mergeCell ref="C4597:D4597"/>
    <mergeCell ref="C4599:D4599"/>
    <mergeCell ref="C4598:D4598"/>
    <mergeCell ref="C4600:D4600"/>
    <mergeCell ref="C4619:D4619"/>
    <mergeCell ref="C4602:D4602"/>
    <mergeCell ref="C4614:D4614"/>
    <mergeCell ref="C4615:D4615"/>
    <mergeCell ref="C4601:D4601"/>
    <mergeCell ref="C4618:D4618"/>
    <mergeCell ref="C4609:D4609"/>
    <mergeCell ref="C4610:D4610"/>
    <mergeCell ref="C4611:D4611"/>
    <mergeCell ref="C4612:D4612"/>
    <mergeCell ref="C4613:D4613"/>
    <mergeCell ref="C4616:D4616"/>
    <mergeCell ref="C4617:D4617"/>
    <mergeCell ref="C4633:D4633"/>
    <mergeCell ref="C4634:D4634"/>
    <mergeCell ref="C4626:D4626"/>
    <mergeCell ref="C4627:D4627"/>
    <mergeCell ref="C4628:D4628"/>
    <mergeCell ref="C4838:D4838"/>
    <mergeCell ref="C4839:D4839"/>
    <mergeCell ref="C4830:D4830"/>
    <mergeCell ref="C4840:D4840"/>
    <mergeCell ref="C4849:D4849"/>
    <mergeCell ref="C4850:D4850"/>
    <mergeCell ref="C4852:D4852"/>
    <mergeCell ref="C4959:D4959"/>
    <mergeCell ref="C4954:D4954"/>
    <mergeCell ref="C4753:D4753"/>
    <mergeCell ref="C4754:D4754"/>
    <mergeCell ref="C4755:D4755"/>
    <mergeCell ref="C4745:D4745"/>
    <mergeCell ref="C4746:D4746"/>
    <mergeCell ref="C4747:D4747"/>
    <mergeCell ref="C5106:D5106"/>
    <mergeCell ref="C5107:D5107"/>
    <mergeCell ref="C5108:D5108"/>
    <mergeCell ref="C4797:D4797"/>
    <mergeCell ref="C4798:D4798"/>
    <mergeCell ref="C4799:D4799"/>
    <mergeCell ref="C4800:D4800"/>
    <mergeCell ref="C4898:D4898"/>
    <mergeCell ref="C4899:D4899"/>
    <mergeCell ref="C4871:D4871"/>
    <mergeCell ref="C4870:D4870"/>
    <mergeCell ref="C4847:D4847"/>
    <mergeCell ref="C4848:D4848"/>
    <mergeCell ref="C4837:D4837"/>
    <mergeCell ref="C4901:D4901"/>
    <mergeCell ref="C4902:D4902"/>
    <mergeCell ref="C4969:D4969"/>
    <mergeCell ref="C4990:D4990"/>
    <mergeCell ref="C4936:D4936"/>
    <mergeCell ref="C4937:D4937"/>
    <mergeCell ref="C4950:D4950"/>
    <mergeCell ref="C4786:D4786"/>
    <mergeCell ref="C4787:D4787"/>
    <mergeCell ref="C4779:D4779"/>
    <mergeCell ref="C4780:D4780"/>
    <mergeCell ref="C4769:D4769"/>
    <mergeCell ref="C4653:D4653"/>
    <mergeCell ref="C4662:D4662"/>
    <mergeCell ref="C4660:D4660"/>
    <mergeCell ref="C4661:D4661"/>
    <mergeCell ref="C4664:D4664"/>
    <mergeCell ref="C4665:D4665"/>
    <mergeCell ref="C4666:D4666"/>
    <mergeCell ref="C4645:D4645"/>
    <mergeCell ref="C4646:D4646"/>
    <mergeCell ref="C4854:D4854"/>
    <mergeCell ref="C4855:D4855"/>
    <mergeCell ref="C4647:D4647"/>
    <mergeCell ref="C4648:D4648"/>
    <mergeCell ref="C4721:D4721"/>
    <mergeCell ref="C4700:D4700"/>
    <mergeCell ref="C4694:D4694"/>
    <mergeCell ref="C4695:D4695"/>
    <mergeCell ref="C4696:D4696"/>
    <mergeCell ref="C4697:D4697"/>
    <mergeCell ref="C4698:D4698"/>
    <mergeCell ref="C4699:D4699"/>
    <mergeCell ref="C4713:D4713"/>
    <mergeCell ref="C4702:D4702"/>
    <mergeCell ref="C4735:D4735"/>
    <mergeCell ref="C4736:D4736"/>
    <mergeCell ref="C4730:D4730"/>
    <mergeCell ref="C4822:D4822"/>
    <mergeCell ref="C4732:D4732"/>
    <mergeCell ref="C4733:D4733"/>
    <mergeCell ref="C4734:D4734"/>
    <mergeCell ref="C4737:D4737"/>
    <mergeCell ref="C4738:D4738"/>
    <mergeCell ref="C4703:D4703"/>
    <mergeCell ref="C4704:D4704"/>
    <mergeCell ref="C5120:D5120"/>
    <mergeCell ref="C5121:D5121"/>
    <mergeCell ref="C5122:D5122"/>
    <mergeCell ref="C5123:D5123"/>
    <mergeCell ref="C5124:D5124"/>
    <mergeCell ref="C5111:D5111"/>
    <mergeCell ref="C5112:D5112"/>
    <mergeCell ref="C4649:D4649"/>
    <mergeCell ref="C4652:D4652"/>
    <mergeCell ref="C4650:D4650"/>
    <mergeCell ref="C4651:D4651"/>
    <mergeCell ref="C4670:D4670"/>
    <mergeCell ref="C4677:D4677"/>
    <mergeCell ref="C4678:D4678"/>
    <mergeCell ref="C4679:D4679"/>
    <mergeCell ref="C4680:D4680"/>
    <mergeCell ref="C4681:D4681"/>
    <mergeCell ref="C4682:D4682"/>
    <mergeCell ref="C4711:D4711"/>
    <mergeCell ref="C4712:D4712"/>
    <mergeCell ref="C4701:D4701"/>
    <mergeCell ref="C4714:D4714"/>
    <mergeCell ref="C4715:D4715"/>
    <mergeCell ref="C4720:D4720"/>
    <mergeCell ref="C4719:D4719"/>
    <mergeCell ref="C4716:D4716"/>
    <mergeCell ref="C4717:D4717"/>
    <mergeCell ref="C4667:D4667"/>
    <mergeCell ref="C4668:D4668"/>
    <mergeCell ref="C4669:D4669"/>
    <mergeCell ref="C4788:D4788"/>
    <mergeCell ref="C5125:D5125"/>
    <mergeCell ref="C5128:D5128"/>
    <mergeCell ref="C5129:D5129"/>
    <mergeCell ref="C5159:D5159"/>
    <mergeCell ref="C5144:D5144"/>
    <mergeCell ref="C5145:D5145"/>
    <mergeCell ref="C5085:D5085"/>
    <mergeCell ref="C4967:D4967"/>
    <mergeCell ref="C4976:D4976"/>
    <mergeCell ref="C4983:D4983"/>
    <mergeCell ref="C4984:D4984"/>
    <mergeCell ref="C4985:D4985"/>
    <mergeCell ref="C5051:D5051"/>
    <mergeCell ref="C4801:D4801"/>
    <mergeCell ref="C4821:D4821"/>
    <mergeCell ref="C4823:D4823"/>
    <mergeCell ref="C4816:D4816"/>
    <mergeCell ref="C4817:D4817"/>
    <mergeCell ref="C4818:D4818"/>
    <mergeCell ref="C4819:D4819"/>
    <mergeCell ref="C4820:D4820"/>
    <mergeCell ref="C4815:D4815"/>
    <mergeCell ref="C4813:D4813"/>
    <mergeCell ref="C4814:D4814"/>
    <mergeCell ref="C4957:D4957"/>
    <mergeCell ref="C4968:D4968"/>
    <mergeCell ref="C5126:D5126"/>
    <mergeCell ref="C5127:D5127"/>
    <mergeCell ref="C5139:D5139"/>
    <mergeCell ref="C5140:D5140"/>
    <mergeCell ref="C5141:D5141"/>
    <mergeCell ref="C5095:D5095"/>
    <mergeCell ref="C5091:D5091"/>
    <mergeCell ref="C5092:D5092"/>
    <mergeCell ref="C5221:D5221"/>
    <mergeCell ref="C5222:D5222"/>
    <mergeCell ref="C5223:D5223"/>
    <mergeCell ref="C5225:D5225"/>
    <mergeCell ref="C5226:D5226"/>
    <mergeCell ref="C5227:D5227"/>
    <mergeCell ref="C5228:D5228"/>
    <mergeCell ref="C5229:D5229"/>
    <mergeCell ref="C5230:D5230"/>
    <mergeCell ref="C5155:D5155"/>
    <mergeCell ref="C5156:D5156"/>
    <mergeCell ref="C5173:D5173"/>
    <mergeCell ref="C5174:D5174"/>
    <mergeCell ref="C5211:D5211"/>
    <mergeCell ref="C5192:D5192"/>
    <mergeCell ref="C5193:D5193"/>
    <mergeCell ref="C5179:D5179"/>
    <mergeCell ref="C5180:D5180"/>
    <mergeCell ref="A5117:D5117"/>
    <mergeCell ref="B5130:B5132"/>
    <mergeCell ref="C5136:D5136"/>
    <mergeCell ref="C5137:D5137"/>
    <mergeCell ref="A5134:D5134"/>
    <mergeCell ref="A5151:D5151"/>
    <mergeCell ref="B5147:B5149"/>
    <mergeCell ref="C5093:D5093"/>
    <mergeCell ref="C5077:D5077"/>
    <mergeCell ref="C5094:D5094"/>
    <mergeCell ref="C5078:D5078"/>
    <mergeCell ref="C5143:D5143"/>
    <mergeCell ref="C5142:D5142"/>
    <mergeCell ref="C5154:D5154"/>
    <mergeCell ref="C5213:D5213"/>
    <mergeCell ref="C4728:D4728"/>
    <mergeCell ref="C4729:D4729"/>
    <mergeCell ref="C4731:D4731"/>
    <mergeCell ref="C5057:D5057"/>
    <mergeCell ref="C5058:D5058"/>
    <mergeCell ref="C5052:D5052"/>
    <mergeCell ref="C5053:D5053"/>
    <mergeCell ref="C5054:D5054"/>
    <mergeCell ref="C5055:D5055"/>
    <mergeCell ref="C5056:D5056"/>
    <mergeCell ref="C5060:D5060"/>
    <mergeCell ref="C5061:D5061"/>
    <mergeCell ref="C5059:D5059"/>
    <mergeCell ref="C5175:D5175"/>
    <mergeCell ref="C5176:D5176"/>
    <mergeCell ref="C5157:D5157"/>
    <mergeCell ref="C5158:D5158"/>
    <mergeCell ref="C5170:D5170"/>
    <mergeCell ref="C5171:D5171"/>
    <mergeCell ref="C5172:D5172"/>
    <mergeCell ref="C5119:D5119"/>
    <mergeCell ref="C5138:D5138"/>
    <mergeCell ref="C5076:D5076"/>
    <mergeCell ref="C5089:D5089"/>
    <mergeCell ref="C5090:D50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26"/>
  <sheetViews>
    <sheetView topLeftCell="A151" workbookViewId="0">
      <selection activeCell="D151" sqref="D151"/>
    </sheetView>
  </sheetViews>
  <sheetFormatPr defaultColWidth="14.42578125" defaultRowHeight="15" customHeight="1" x14ac:dyDescent="0.2"/>
  <cols>
    <col min="1" max="1" width="17.85546875" customWidth="1"/>
    <col min="2" max="2" width="12.85546875" customWidth="1"/>
    <col min="3" max="3" width="11.140625" customWidth="1"/>
    <col min="4" max="4" width="18.5703125" customWidth="1"/>
    <col min="5" max="26" width="8" customWidth="1"/>
  </cols>
  <sheetData>
    <row r="1" spans="1:4" ht="12.75" customHeight="1" x14ac:dyDescent="0.2">
      <c r="A1" s="22" t="str">
        <f>HYPERLINK("javascript:void(0)","parittya")</f>
        <v>parittya</v>
      </c>
      <c r="B1" s="21"/>
      <c r="C1" s="21"/>
      <c r="D1" s="2"/>
    </row>
    <row r="2" spans="1:4" ht="12.75" customHeight="1" x14ac:dyDescent="0.2">
      <c r="A2" s="20"/>
      <c r="B2" s="2"/>
      <c r="C2" s="2"/>
      <c r="D2" s="2"/>
    </row>
    <row r="3" spans="1:4" ht="12.75" customHeight="1" x14ac:dyDescent="0.2">
      <c r="A3" s="21"/>
      <c r="B3" s="3" t="s">
        <v>0</v>
      </c>
      <c r="C3" s="3" t="s">
        <v>1</v>
      </c>
      <c r="D3" s="2"/>
    </row>
    <row r="4" spans="1:4" ht="12.75" customHeight="1" x14ac:dyDescent="0.2">
      <c r="A4" s="21"/>
      <c r="B4" s="3" t="s">
        <v>2</v>
      </c>
      <c r="C4" s="3" t="s">
        <v>3</v>
      </c>
      <c r="D4" s="2"/>
    </row>
    <row r="5" spans="1:4" ht="12.75" customHeight="1" x14ac:dyDescent="0.2">
      <c r="A5" s="21"/>
      <c r="B5" s="3" t="s">
        <v>4</v>
      </c>
      <c r="C5" s="3" t="s">
        <v>5</v>
      </c>
      <c r="D5" s="2"/>
    </row>
    <row r="6" spans="1:4" ht="12.75" customHeight="1" x14ac:dyDescent="0.2">
      <c r="A6" s="21"/>
      <c r="B6" s="3" t="s">
        <v>6</v>
      </c>
      <c r="C6" s="3" t="s">
        <v>7</v>
      </c>
      <c r="D6" s="2"/>
    </row>
    <row r="7" spans="1:4" ht="12.75" customHeight="1" x14ac:dyDescent="0.2">
      <c r="A7" s="21"/>
      <c r="B7" s="3" t="s">
        <v>8</v>
      </c>
      <c r="C7" s="3" t="s">
        <v>5</v>
      </c>
      <c r="D7" s="2"/>
    </row>
    <row r="8" spans="1:4" ht="12.75" customHeight="1" x14ac:dyDescent="0.2">
      <c r="A8" s="21"/>
      <c r="B8" s="3" t="s">
        <v>9</v>
      </c>
      <c r="C8" s="3" t="s">
        <v>10</v>
      </c>
      <c r="D8" s="2"/>
    </row>
    <row r="9" spans="1:4" ht="12.75" customHeight="1" x14ac:dyDescent="0.2">
      <c r="A9" s="21"/>
      <c r="B9" s="3" t="s">
        <v>11</v>
      </c>
      <c r="C9" s="3" t="s">
        <v>12</v>
      </c>
      <c r="D9" s="2"/>
    </row>
    <row r="10" spans="1:4" ht="12.75" customHeight="1" x14ac:dyDescent="0.2">
      <c r="A10" s="21"/>
      <c r="B10" s="3" t="s">
        <v>13</v>
      </c>
      <c r="C10" s="3" t="s">
        <v>14</v>
      </c>
      <c r="D10" s="2"/>
    </row>
    <row r="11" spans="1:4" ht="12.75" customHeight="1" x14ac:dyDescent="0.2">
      <c r="A11" s="21"/>
      <c r="B11" s="3" t="s">
        <v>15</v>
      </c>
      <c r="C11" s="3" t="s">
        <v>14</v>
      </c>
      <c r="D11" s="2"/>
    </row>
    <row r="12" spans="1:4" ht="12.75" customHeight="1" x14ac:dyDescent="0.2">
      <c r="A12" s="21"/>
      <c r="B12" s="3" t="s">
        <v>16</v>
      </c>
      <c r="C12" s="3"/>
      <c r="D12" s="2"/>
    </row>
    <row r="13" spans="1:4" ht="12.75" customHeight="1" x14ac:dyDescent="0.2">
      <c r="A13" s="21"/>
      <c r="B13" s="3" t="s">
        <v>17</v>
      </c>
      <c r="C13" s="3"/>
      <c r="D13" s="2"/>
    </row>
    <row r="14" spans="1:4" ht="12.75" customHeight="1" x14ac:dyDescent="0.2">
      <c r="A14" s="21"/>
      <c r="B14" s="3" t="s">
        <v>18</v>
      </c>
      <c r="C14" s="4" t="s">
        <v>19</v>
      </c>
      <c r="D14" s="2"/>
    </row>
    <row r="15" spans="1:4" ht="12.75" customHeight="1" x14ac:dyDescent="0.2">
      <c r="A15" s="5"/>
      <c r="B15" s="2"/>
      <c r="C15" s="2"/>
      <c r="D15" s="2"/>
    </row>
    <row r="16" spans="1:4" ht="12.75" customHeight="1" x14ac:dyDescent="0.2">
      <c r="A16" s="22" t="str">
        <f>HYPERLINK("javascript:void(0)","Lorden mennydörgő ostora")</f>
        <v>Lorden mennydörgő ostora</v>
      </c>
      <c r="B16" s="21"/>
      <c r="C16" s="21"/>
      <c r="D16" s="2"/>
    </row>
    <row r="17" spans="1:4" ht="12.75" customHeight="1" x14ac:dyDescent="0.2">
      <c r="A17" s="20"/>
      <c r="B17" s="2"/>
      <c r="C17" s="2"/>
      <c r="D17" s="2"/>
    </row>
    <row r="18" spans="1:4" ht="12.75" customHeight="1" x14ac:dyDescent="0.2">
      <c r="A18" s="21"/>
      <c r="B18" s="3" t="s">
        <v>0</v>
      </c>
      <c r="C18" s="3" t="s">
        <v>1</v>
      </c>
      <c r="D18" s="2"/>
    </row>
    <row r="19" spans="1:4" ht="12.75" customHeight="1" x14ac:dyDescent="0.2">
      <c r="A19" s="21"/>
      <c r="B19" s="3" t="s">
        <v>2</v>
      </c>
      <c r="C19" s="3" t="s">
        <v>3</v>
      </c>
      <c r="D19" s="2"/>
    </row>
    <row r="20" spans="1:4" ht="12.75" customHeight="1" x14ac:dyDescent="0.2">
      <c r="A20" s="21"/>
      <c r="B20" s="3" t="s">
        <v>4</v>
      </c>
      <c r="C20" s="3" t="s">
        <v>20</v>
      </c>
      <c r="D20" s="2"/>
    </row>
    <row r="21" spans="1:4" ht="12.75" customHeight="1" x14ac:dyDescent="0.2">
      <c r="A21" s="21"/>
      <c r="B21" s="3" t="s">
        <v>6</v>
      </c>
      <c r="C21" s="3" t="s">
        <v>21</v>
      </c>
      <c r="D21" s="2"/>
    </row>
    <row r="22" spans="1:4" ht="12.75" customHeight="1" x14ac:dyDescent="0.2">
      <c r="A22" s="21"/>
      <c r="B22" s="3" t="s">
        <v>8</v>
      </c>
      <c r="C22" s="3" t="s">
        <v>20</v>
      </c>
      <c r="D22" s="2"/>
    </row>
    <row r="23" spans="1:4" ht="12.75" customHeight="1" x14ac:dyDescent="0.2">
      <c r="A23" s="21"/>
      <c r="B23" s="3" t="s">
        <v>9</v>
      </c>
      <c r="C23" s="3" t="s">
        <v>22</v>
      </c>
      <c r="D23" s="2"/>
    </row>
    <row r="24" spans="1:4" ht="12.75" customHeight="1" x14ac:dyDescent="0.2">
      <c r="A24" s="21"/>
      <c r="B24" s="3" t="s">
        <v>11</v>
      </c>
      <c r="C24" s="3" t="s">
        <v>23</v>
      </c>
      <c r="D24" s="2"/>
    </row>
    <row r="25" spans="1:4" ht="12.75" customHeight="1" x14ac:dyDescent="0.2">
      <c r="A25" s="21"/>
      <c r="B25" s="3" t="s">
        <v>13</v>
      </c>
      <c r="C25" s="3" t="s">
        <v>24</v>
      </c>
      <c r="D25" s="2"/>
    </row>
    <row r="26" spans="1:4" ht="12.75" customHeight="1" x14ac:dyDescent="0.2">
      <c r="A26" s="21"/>
      <c r="B26" s="3" t="s">
        <v>15</v>
      </c>
      <c r="C26" s="3" t="s">
        <v>24</v>
      </c>
      <c r="D26" s="2"/>
    </row>
    <row r="27" spans="1:4" ht="12.75" customHeight="1" x14ac:dyDescent="0.2">
      <c r="A27" s="21"/>
      <c r="B27" s="3" t="s">
        <v>16</v>
      </c>
      <c r="C27" s="3"/>
      <c r="D27" s="2"/>
    </row>
    <row r="28" spans="1:4" ht="12.75" customHeight="1" x14ac:dyDescent="0.2">
      <c r="A28" s="21"/>
      <c r="B28" s="3" t="s">
        <v>17</v>
      </c>
      <c r="C28" s="3"/>
      <c r="D28" s="2"/>
    </row>
    <row r="29" spans="1:4" ht="12.75" customHeight="1" x14ac:dyDescent="0.2">
      <c r="A29" s="21"/>
      <c r="B29" s="3" t="s">
        <v>18</v>
      </c>
      <c r="C29" s="4" t="s">
        <v>19</v>
      </c>
      <c r="D29" s="2"/>
    </row>
    <row r="30" spans="1:4" ht="12.75" customHeight="1" x14ac:dyDescent="0.2">
      <c r="A30" s="5"/>
      <c r="B30" s="2"/>
      <c r="C30" s="2"/>
      <c r="D30" s="2"/>
    </row>
    <row r="31" spans="1:4" ht="12.75" customHeight="1" x14ac:dyDescent="0.2">
      <c r="A31" s="22" t="str">
        <f>HYPERLINK("javascript:void(0)","rövid íj")</f>
        <v>rövid íj</v>
      </c>
      <c r="B31" s="21"/>
      <c r="C31" s="21"/>
      <c r="D31" s="2"/>
    </row>
    <row r="32" spans="1:4" ht="12.75" customHeight="1" x14ac:dyDescent="0.2">
      <c r="A32" s="20"/>
      <c r="B32" s="2"/>
      <c r="C32" s="2"/>
      <c r="D32" s="2"/>
    </row>
    <row r="33" spans="1:4" ht="12.75" customHeight="1" x14ac:dyDescent="0.2">
      <c r="A33" s="21"/>
      <c r="B33" s="3" t="s">
        <v>0</v>
      </c>
      <c r="C33" s="3" t="s">
        <v>25</v>
      </c>
      <c r="D33" s="2"/>
    </row>
    <row r="34" spans="1:4" ht="12.75" customHeight="1" x14ac:dyDescent="0.2">
      <c r="A34" s="21"/>
      <c r="B34" s="3" t="s">
        <v>2</v>
      </c>
      <c r="C34" s="3" t="s">
        <v>3</v>
      </c>
      <c r="D34" s="2"/>
    </row>
    <row r="35" spans="1:4" ht="12.75" customHeight="1" x14ac:dyDescent="0.2">
      <c r="A35" s="21"/>
      <c r="B35" s="3" t="s">
        <v>4</v>
      </c>
      <c r="C35" s="3" t="s">
        <v>26</v>
      </c>
      <c r="D35" s="2"/>
    </row>
    <row r="36" spans="1:4" ht="12.75" customHeight="1" x14ac:dyDescent="0.2">
      <c r="A36" s="21"/>
      <c r="B36" s="3" t="s">
        <v>6</v>
      </c>
      <c r="C36" s="3" t="s">
        <v>7</v>
      </c>
      <c r="D36" s="2"/>
    </row>
    <row r="37" spans="1:4" ht="12.75" customHeight="1" x14ac:dyDescent="0.2">
      <c r="A37" s="21"/>
      <c r="B37" s="3" t="s">
        <v>8</v>
      </c>
      <c r="C37" s="3" t="s">
        <v>26</v>
      </c>
      <c r="D37" s="2"/>
    </row>
    <row r="38" spans="1:4" ht="12.75" customHeight="1" x14ac:dyDescent="0.2">
      <c r="A38" s="21"/>
      <c r="B38" s="3" t="s">
        <v>9</v>
      </c>
      <c r="C38" s="3" t="s">
        <v>27</v>
      </c>
      <c r="D38" s="2"/>
    </row>
    <row r="39" spans="1:4" ht="12.75" customHeight="1" x14ac:dyDescent="0.2">
      <c r="A39" s="21"/>
      <c r="B39" s="3" t="s">
        <v>11</v>
      </c>
      <c r="C39" s="3" t="s">
        <v>28</v>
      </c>
      <c r="D39" s="2"/>
    </row>
    <row r="40" spans="1:4" ht="12.75" customHeight="1" x14ac:dyDescent="0.2">
      <c r="A40" s="21"/>
      <c r="B40" s="3" t="s">
        <v>13</v>
      </c>
      <c r="C40" s="3" t="s">
        <v>14</v>
      </c>
      <c r="D40" s="2"/>
    </row>
    <row r="41" spans="1:4" ht="12.75" customHeight="1" x14ac:dyDescent="0.2">
      <c r="A41" s="21"/>
      <c r="B41" s="3" t="s">
        <v>15</v>
      </c>
      <c r="C41" s="3" t="s">
        <v>14</v>
      </c>
      <c r="D41" s="2"/>
    </row>
    <row r="42" spans="1:4" ht="12.75" customHeight="1" x14ac:dyDescent="0.2">
      <c r="A42" s="21"/>
      <c r="B42" s="3" t="s">
        <v>16</v>
      </c>
      <c r="C42" s="3"/>
      <c r="D42" s="2"/>
    </row>
    <row r="43" spans="1:4" ht="12.75" customHeight="1" x14ac:dyDescent="0.2">
      <c r="A43" s="21"/>
      <c r="B43" s="3" t="s">
        <v>17</v>
      </c>
      <c r="C43" s="3"/>
      <c r="D43" s="2"/>
    </row>
    <row r="44" spans="1:4" ht="12.75" customHeight="1" x14ac:dyDescent="0.2">
      <c r="A44" s="21"/>
      <c r="B44" s="3" t="s">
        <v>18</v>
      </c>
      <c r="C44" s="4" t="s">
        <v>19</v>
      </c>
      <c r="D44" s="2"/>
    </row>
    <row r="45" spans="1:4" ht="12.75" customHeight="1" x14ac:dyDescent="0.2">
      <c r="A45" s="5"/>
      <c r="B45" s="2"/>
      <c r="C45" s="2"/>
      <c r="D45" s="2"/>
    </row>
    <row r="46" spans="1:4" ht="12.75" customHeight="1" x14ac:dyDescent="0.2">
      <c r="A46" s="22" t="str">
        <f>HYPERLINK("javascript:void(0)","íj")</f>
        <v>íj</v>
      </c>
      <c r="B46" s="21"/>
      <c r="C46" s="21"/>
      <c r="D46" s="2"/>
    </row>
    <row r="47" spans="1:4" ht="12.75" customHeight="1" x14ac:dyDescent="0.2">
      <c r="A47" s="20"/>
      <c r="B47" s="2"/>
      <c r="C47" s="2"/>
      <c r="D47" s="2"/>
    </row>
    <row r="48" spans="1:4" ht="12.75" customHeight="1" x14ac:dyDescent="0.2">
      <c r="A48" s="21"/>
      <c r="B48" s="3" t="s">
        <v>0</v>
      </c>
      <c r="C48" s="3" t="s">
        <v>29</v>
      </c>
      <c r="D48" s="2"/>
    </row>
    <row r="49" spans="1:4" ht="12.75" customHeight="1" x14ac:dyDescent="0.2">
      <c r="A49" s="21"/>
      <c r="B49" s="3" t="s">
        <v>2</v>
      </c>
      <c r="C49" s="3" t="s">
        <v>3</v>
      </c>
      <c r="D49" s="2"/>
    </row>
    <row r="50" spans="1:4" ht="12.75" customHeight="1" x14ac:dyDescent="0.2">
      <c r="A50" s="21"/>
      <c r="B50" s="3" t="s">
        <v>4</v>
      </c>
      <c r="C50" s="3" t="s">
        <v>5</v>
      </c>
      <c r="D50" s="2"/>
    </row>
    <row r="51" spans="1:4" ht="12.75" customHeight="1" x14ac:dyDescent="0.2">
      <c r="A51" s="21"/>
      <c r="B51" s="3" t="s">
        <v>6</v>
      </c>
      <c r="C51" s="3" t="s">
        <v>7</v>
      </c>
      <c r="D51" s="2"/>
    </row>
    <row r="52" spans="1:4" ht="12.75" customHeight="1" x14ac:dyDescent="0.2">
      <c r="A52" s="21"/>
      <c r="B52" s="3" t="s">
        <v>8</v>
      </c>
      <c r="C52" s="3" t="s">
        <v>5</v>
      </c>
      <c r="D52" s="2"/>
    </row>
    <row r="53" spans="1:4" ht="12.75" customHeight="1" x14ac:dyDescent="0.2">
      <c r="A53" s="21"/>
      <c r="B53" s="3" t="s">
        <v>9</v>
      </c>
      <c r="C53" s="3" t="s">
        <v>30</v>
      </c>
      <c r="D53" s="2"/>
    </row>
    <row r="54" spans="1:4" ht="12.75" customHeight="1" x14ac:dyDescent="0.2">
      <c r="A54" s="21"/>
      <c r="B54" s="3" t="s">
        <v>11</v>
      </c>
      <c r="C54" s="3" t="s">
        <v>31</v>
      </c>
      <c r="D54" s="2"/>
    </row>
    <row r="55" spans="1:4" ht="12.75" customHeight="1" x14ac:dyDescent="0.2">
      <c r="A55" s="21"/>
      <c r="B55" s="3" t="s">
        <v>13</v>
      </c>
      <c r="C55" s="3" t="s">
        <v>14</v>
      </c>
      <c r="D55" s="2"/>
    </row>
    <row r="56" spans="1:4" ht="12.75" customHeight="1" x14ac:dyDescent="0.2">
      <c r="A56" s="21"/>
      <c r="B56" s="3" t="s">
        <v>15</v>
      </c>
      <c r="C56" s="3" t="s">
        <v>14</v>
      </c>
      <c r="D56" s="2"/>
    </row>
    <row r="57" spans="1:4" ht="12.75" customHeight="1" x14ac:dyDescent="0.2">
      <c r="A57" s="21"/>
      <c r="B57" s="3" t="s">
        <v>16</v>
      </c>
      <c r="C57" s="3"/>
      <c r="D57" s="2"/>
    </row>
    <row r="58" spans="1:4" ht="12.75" customHeight="1" x14ac:dyDescent="0.2">
      <c r="A58" s="21"/>
      <c r="B58" s="3" t="s">
        <v>17</v>
      </c>
      <c r="C58" s="3"/>
      <c r="D58" s="2"/>
    </row>
    <row r="59" spans="1:4" ht="12.75" customHeight="1" x14ac:dyDescent="0.2">
      <c r="A59" s="21"/>
      <c r="B59" s="3" t="s">
        <v>18</v>
      </c>
      <c r="C59" s="4" t="s">
        <v>19</v>
      </c>
      <c r="D59" s="2"/>
    </row>
    <row r="60" spans="1:4" ht="12.75" customHeight="1" x14ac:dyDescent="0.2">
      <c r="A60" s="5"/>
      <c r="B60" s="2"/>
      <c r="C60" s="2"/>
      <c r="D60" s="2"/>
    </row>
    <row r="61" spans="1:4" ht="12.75" customHeight="1" x14ac:dyDescent="0.2">
      <c r="A61" s="22" t="str">
        <f>HYPERLINK("javascript:void(0)","dobótőr")</f>
        <v>dobótőr</v>
      </c>
      <c r="B61" s="21"/>
      <c r="C61" s="21"/>
      <c r="D61" s="2"/>
    </row>
    <row r="62" spans="1:4" ht="12.75" customHeight="1" x14ac:dyDescent="0.2">
      <c r="A62" s="20"/>
      <c r="B62" s="2"/>
      <c r="C62" s="2"/>
      <c r="D62" s="2"/>
    </row>
    <row r="63" spans="1:4" ht="12.75" customHeight="1" x14ac:dyDescent="0.2">
      <c r="A63" s="21"/>
      <c r="B63" s="3" t="s">
        <v>0</v>
      </c>
      <c r="C63" s="3" t="s">
        <v>7</v>
      </c>
      <c r="D63" s="2"/>
    </row>
    <row r="64" spans="1:4" ht="12.75" customHeight="1" x14ac:dyDescent="0.2">
      <c r="A64" s="21"/>
      <c r="B64" s="3" t="s">
        <v>2</v>
      </c>
      <c r="C64" s="3" t="s">
        <v>3</v>
      </c>
      <c r="D64" s="2"/>
    </row>
    <row r="65" spans="1:4" ht="12.75" customHeight="1" x14ac:dyDescent="0.2">
      <c r="A65" s="21"/>
      <c r="B65" s="3" t="s">
        <v>4</v>
      </c>
      <c r="C65" s="3" t="s">
        <v>32</v>
      </c>
      <c r="D65" s="2"/>
    </row>
    <row r="66" spans="1:4" ht="12.75" customHeight="1" x14ac:dyDescent="0.2">
      <c r="A66" s="21"/>
      <c r="B66" s="3" t="s">
        <v>6</v>
      </c>
      <c r="C66" s="3" t="s">
        <v>33</v>
      </c>
      <c r="D66" s="2"/>
    </row>
    <row r="67" spans="1:4" ht="12.75" customHeight="1" x14ac:dyDescent="0.2">
      <c r="A67" s="21"/>
      <c r="B67" s="3" t="s">
        <v>8</v>
      </c>
      <c r="C67" s="3" t="s">
        <v>32</v>
      </c>
      <c r="D67" s="2"/>
    </row>
    <row r="68" spans="1:4" ht="12.75" customHeight="1" x14ac:dyDescent="0.2">
      <c r="A68" s="21"/>
      <c r="B68" s="3" t="s">
        <v>9</v>
      </c>
      <c r="C68" s="3" t="s">
        <v>10</v>
      </c>
      <c r="D68" s="2"/>
    </row>
    <row r="69" spans="1:4" ht="12.75" customHeight="1" x14ac:dyDescent="0.2">
      <c r="A69" s="21"/>
      <c r="B69" s="3" t="s">
        <v>11</v>
      </c>
      <c r="C69" s="3" t="s">
        <v>34</v>
      </c>
      <c r="D69" s="2"/>
    </row>
    <row r="70" spans="1:4" ht="12.75" customHeight="1" x14ac:dyDescent="0.2">
      <c r="A70" s="21"/>
      <c r="B70" s="3" t="s">
        <v>13</v>
      </c>
      <c r="C70" s="3" t="s">
        <v>14</v>
      </c>
      <c r="D70" s="2"/>
    </row>
    <row r="71" spans="1:4" ht="12.75" customHeight="1" x14ac:dyDescent="0.2">
      <c r="A71" s="21"/>
      <c r="B71" s="3" t="s">
        <v>15</v>
      </c>
      <c r="C71" s="3" t="s">
        <v>14</v>
      </c>
      <c r="D71" s="2"/>
    </row>
    <row r="72" spans="1:4" ht="12.75" customHeight="1" x14ac:dyDescent="0.2">
      <c r="A72" s="21"/>
      <c r="B72" s="3" t="s">
        <v>16</v>
      </c>
      <c r="C72" s="3"/>
      <c r="D72" s="2"/>
    </row>
    <row r="73" spans="1:4" ht="12.75" customHeight="1" x14ac:dyDescent="0.2">
      <c r="A73" s="21"/>
      <c r="B73" s="3" t="s">
        <v>17</v>
      </c>
      <c r="C73" s="3"/>
      <c r="D73" s="2"/>
    </row>
    <row r="74" spans="1:4" ht="12.75" customHeight="1" x14ac:dyDescent="0.2">
      <c r="A74" s="21"/>
      <c r="B74" s="3" t="s">
        <v>18</v>
      </c>
      <c r="C74" s="4" t="s">
        <v>19</v>
      </c>
      <c r="D74" s="2"/>
    </row>
    <row r="75" spans="1:4" ht="12.75" customHeight="1" x14ac:dyDescent="0.2">
      <c r="A75" s="5"/>
      <c r="B75" s="2"/>
      <c r="C75" s="2"/>
      <c r="D75" s="2"/>
    </row>
    <row r="76" spans="1:4" ht="12.75" customHeight="1" x14ac:dyDescent="0.2">
      <c r="A76" s="22" t="str">
        <f>HYPERLINK("javascript:void(0)","hosszúij")</f>
        <v>hosszúij</v>
      </c>
      <c r="B76" s="21"/>
      <c r="C76" s="21"/>
      <c r="D76" s="2"/>
    </row>
    <row r="77" spans="1:4" ht="12.75" customHeight="1" x14ac:dyDescent="0.2">
      <c r="A77" s="20"/>
      <c r="B77" s="2"/>
      <c r="C77" s="2"/>
      <c r="D77" s="2"/>
    </row>
    <row r="78" spans="1:4" ht="12.75" customHeight="1" x14ac:dyDescent="0.2">
      <c r="A78" s="21"/>
      <c r="B78" s="3" t="s">
        <v>0</v>
      </c>
      <c r="C78" s="3" t="s">
        <v>26</v>
      </c>
      <c r="D78" s="2"/>
    </row>
    <row r="79" spans="1:4" ht="12.75" customHeight="1" x14ac:dyDescent="0.2">
      <c r="A79" s="21"/>
      <c r="B79" s="3" t="s">
        <v>2</v>
      </c>
      <c r="C79" s="3" t="s">
        <v>3</v>
      </c>
      <c r="D79" s="2"/>
    </row>
    <row r="80" spans="1:4" ht="12.75" customHeight="1" x14ac:dyDescent="0.2">
      <c r="A80" s="21"/>
      <c r="B80" s="3" t="s">
        <v>4</v>
      </c>
      <c r="C80" s="3" t="s">
        <v>35</v>
      </c>
      <c r="D80" s="2"/>
    </row>
    <row r="81" spans="1:4" ht="12.75" customHeight="1" x14ac:dyDescent="0.2">
      <c r="A81" s="21"/>
      <c r="B81" s="3" t="s">
        <v>6</v>
      </c>
      <c r="C81" s="3" t="s">
        <v>7</v>
      </c>
      <c r="D81" s="2"/>
    </row>
    <row r="82" spans="1:4" ht="12.75" customHeight="1" x14ac:dyDescent="0.2">
      <c r="A82" s="21"/>
      <c r="B82" s="3" t="s">
        <v>8</v>
      </c>
      <c r="C82" s="3" t="s">
        <v>35</v>
      </c>
      <c r="D82" s="2"/>
    </row>
    <row r="83" spans="1:4" ht="12.75" customHeight="1" x14ac:dyDescent="0.2">
      <c r="A83" s="21"/>
      <c r="B83" s="3" t="s">
        <v>9</v>
      </c>
      <c r="C83" s="3" t="s">
        <v>36</v>
      </c>
      <c r="D83" s="2"/>
    </row>
    <row r="84" spans="1:4" ht="12.75" customHeight="1" x14ac:dyDescent="0.2">
      <c r="A84" s="21"/>
      <c r="B84" s="3" t="s">
        <v>11</v>
      </c>
      <c r="C84" s="3" t="s">
        <v>37</v>
      </c>
      <c r="D84" s="2"/>
    </row>
    <row r="85" spans="1:4" ht="12.75" customHeight="1" x14ac:dyDescent="0.2">
      <c r="A85" s="21"/>
      <c r="B85" s="3" t="s">
        <v>13</v>
      </c>
      <c r="C85" s="3" t="s">
        <v>14</v>
      </c>
      <c r="D85" s="2"/>
    </row>
    <row r="86" spans="1:4" ht="12.75" customHeight="1" x14ac:dyDescent="0.2">
      <c r="A86" s="21"/>
      <c r="B86" s="3" t="s">
        <v>15</v>
      </c>
      <c r="C86" s="3" t="s">
        <v>14</v>
      </c>
      <c r="D86" s="2"/>
    </row>
    <row r="87" spans="1:4" ht="12.75" customHeight="1" x14ac:dyDescent="0.2">
      <c r="A87" s="21"/>
      <c r="B87" s="3" t="s">
        <v>16</v>
      </c>
      <c r="C87" s="3"/>
      <c r="D87" s="2"/>
    </row>
    <row r="88" spans="1:4" ht="12.75" customHeight="1" x14ac:dyDescent="0.2">
      <c r="A88" s="21"/>
      <c r="B88" s="3" t="s">
        <v>17</v>
      </c>
      <c r="C88" s="3"/>
      <c r="D88" s="2"/>
    </row>
    <row r="89" spans="1:4" ht="12.75" customHeight="1" x14ac:dyDescent="0.2">
      <c r="A89" s="21"/>
      <c r="B89" s="3" t="s">
        <v>18</v>
      </c>
      <c r="C89" s="4" t="s">
        <v>19</v>
      </c>
      <c r="D89" s="2"/>
    </row>
    <row r="90" spans="1:4" ht="12.75" customHeight="1" x14ac:dyDescent="0.2">
      <c r="A90" s="5"/>
      <c r="B90" s="2"/>
      <c r="C90" s="2"/>
      <c r="D90" s="2"/>
    </row>
    <row r="91" spans="1:4" ht="12.75" customHeight="1" x14ac:dyDescent="0.2">
      <c r="A91" s="22" t="str">
        <f>HYPERLINK("javascript:void(0)","dobófejsze")</f>
        <v>dobófejsze</v>
      </c>
      <c r="B91" s="21"/>
      <c r="C91" s="21"/>
      <c r="D91" s="2"/>
    </row>
    <row r="92" spans="1:4" ht="12.75" customHeight="1" x14ac:dyDescent="0.2">
      <c r="A92" s="20"/>
      <c r="B92" s="2"/>
      <c r="C92" s="2"/>
      <c r="D92" s="2"/>
    </row>
    <row r="93" spans="1:4" ht="12.75" customHeight="1" x14ac:dyDescent="0.2">
      <c r="A93" s="21"/>
      <c r="B93" s="3" t="s">
        <v>0</v>
      </c>
      <c r="C93" s="3" t="s">
        <v>5</v>
      </c>
      <c r="D93" s="2"/>
    </row>
    <row r="94" spans="1:4" ht="12.75" customHeight="1" x14ac:dyDescent="0.2">
      <c r="A94" s="21"/>
      <c r="B94" s="3" t="s">
        <v>2</v>
      </c>
      <c r="C94" s="3" t="s">
        <v>3</v>
      </c>
      <c r="D94" s="2"/>
    </row>
    <row r="95" spans="1:4" ht="12.75" customHeight="1" x14ac:dyDescent="0.2">
      <c r="A95" s="21"/>
      <c r="B95" s="3" t="s">
        <v>4</v>
      </c>
      <c r="C95" s="3" t="s">
        <v>38</v>
      </c>
      <c r="D95" s="2"/>
    </row>
    <row r="96" spans="1:4" ht="12.75" customHeight="1" x14ac:dyDescent="0.2">
      <c r="A96" s="21"/>
      <c r="B96" s="3" t="s">
        <v>6</v>
      </c>
      <c r="C96" s="3" t="s">
        <v>26</v>
      </c>
      <c r="D96" s="2"/>
    </row>
    <row r="97" spans="1:4" ht="12.75" customHeight="1" x14ac:dyDescent="0.2">
      <c r="A97" s="21"/>
      <c r="B97" s="3" t="s">
        <v>8</v>
      </c>
      <c r="C97" s="3" t="s">
        <v>38</v>
      </c>
      <c r="D97" s="2"/>
    </row>
    <row r="98" spans="1:4" ht="12.75" customHeight="1" x14ac:dyDescent="0.2">
      <c r="A98" s="21"/>
      <c r="B98" s="3" t="s">
        <v>9</v>
      </c>
      <c r="C98" s="3" t="s">
        <v>36</v>
      </c>
      <c r="D98" s="2"/>
    </row>
    <row r="99" spans="1:4" ht="12.75" customHeight="1" x14ac:dyDescent="0.2">
      <c r="A99" s="21"/>
      <c r="B99" s="3" t="s">
        <v>11</v>
      </c>
      <c r="C99" s="3" t="s">
        <v>39</v>
      </c>
      <c r="D99" s="2"/>
    </row>
    <row r="100" spans="1:4" ht="12.75" customHeight="1" x14ac:dyDescent="0.2">
      <c r="A100" s="21"/>
      <c r="B100" s="3" t="s">
        <v>13</v>
      </c>
      <c r="C100" s="3" t="s">
        <v>14</v>
      </c>
      <c r="D100" s="2"/>
    </row>
    <row r="101" spans="1:4" ht="12.75" customHeight="1" x14ac:dyDescent="0.2">
      <c r="A101" s="21"/>
      <c r="B101" s="3" t="s">
        <v>15</v>
      </c>
      <c r="C101" s="3" t="s">
        <v>14</v>
      </c>
      <c r="D101" s="2"/>
    </row>
    <row r="102" spans="1:4" ht="12.75" customHeight="1" x14ac:dyDescent="0.2">
      <c r="A102" s="21"/>
      <c r="B102" s="3" t="s">
        <v>16</v>
      </c>
      <c r="C102" s="3"/>
      <c r="D102" s="2"/>
    </row>
    <row r="103" spans="1:4" ht="12.75" customHeight="1" x14ac:dyDescent="0.2">
      <c r="A103" s="21"/>
      <c r="B103" s="3" t="s">
        <v>17</v>
      </c>
      <c r="C103" s="3"/>
      <c r="D103" s="2"/>
    </row>
    <row r="104" spans="1:4" ht="12.75" customHeight="1" x14ac:dyDescent="0.2">
      <c r="A104" s="21"/>
      <c r="B104" s="3" t="s">
        <v>18</v>
      </c>
      <c r="C104" s="4" t="s">
        <v>19</v>
      </c>
      <c r="D104" s="2"/>
    </row>
    <row r="105" spans="1:4" ht="12.75" customHeight="1" x14ac:dyDescent="0.2">
      <c r="A105" s="5"/>
      <c r="B105" s="2"/>
      <c r="C105" s="2"/>
      <c r="D105" s="2"/>
    </row>
    <row r="106" spans="1:4" ht="12.75" customHeight="1" x14ac:dyDescent="0.2">
      <c r="A106" s="22" t="str">
        <f>HYPERLINK("javascript:void(0)","skivei íj")</f>
        <v>skivei íj</v>
      </c>
      <c r="B106" s="21"/>
      <c r="C106" s="21"/>
      <c r="D106" s="21"/>
    </row>
    <row r="107" spans="1:4" ht="12.75" customHeight="1" x14ac:dyDescent="0.2">
      <c r="A107" s="20"/>
      <c r="B107" s="2"/>
      <c r="C107" s="2"/>
      <c r="D107" s="2"/>
    </row>
    <row r="108" spans="1:4" ht="12.75" customHeight="1" x14ac:dyDescent="0.2">
      <c r="A108" s="21"/>
      <c r="B108" s="3" t="s">
        <v>0</v>
      </c>
      <c r="C108" s="20" t="s">
        <v>40</v>
      </c>
      <c r="D108" s="21"/>
    </row>
    <row r="109" spans="1:4" ht="12.75" customHeight="1" x14ac:dyDescent="0.2">
      <c r="A109" s="21"/>
      <c r="B109" s="3" t="s">
        <v>2</v>
      </c>
      <c r="C109" s="20" t="s">
        <v>3</v>
      </c>
      <c r="D109" s="21"/>
    </row>
    <row r="110" spans="1:4" ht="12.75" customHeight="1" x14ac:dyDescent="0.2">
      <c r="A110" s="21"/>
      <c r="B110" s="3" t="s">
        <v>4</v>
      </c>
      <c r="C110" s="20" t="s">
        <v>41</v>
      </c>
      <c r="D110" s="21"/>
    </row>
    <row r="111" spans="1:4" ht="12.75" customHeight="1" x14ac:dyDescent="0.2">
      <c r="A111" s="21"/>
      <c r="B111" s="3" t="s">
        <v>6</v>
      </c>
      <c r="C111" s="20" t="s">
        <v>7</v>
      </c>
      <c r="D111" s="21"/>
    </row>
    <row r="112" spans="1:4" ht="12.75" customHeight="1" x14ac:dyDescent="0.2">
      <c r="A112" s="21"/>
      <c r="B112" s="3" t="s">
        <v>8</v>
      </c>
      <c r="C112" s="20" t="s">
        <v>41</v>
      </c>
      <c r="D112" s="21"/>
    </row>
    <row r="113" spans="1:4" ht="12.75" customHeight="1" x14ac:dyDescent="0.2">
      <c r="A113" s="21"/>
      <c r="B113" s="3" t="s">
        <v>9</v>
      </c>
      <c r="C113" s="20" t="s">
        <v>42</v>
      </c>
      <c r="D113" s="21"/>
    </row>
    <row r="114" spans="1:4" ht="12.75" customHeight="1" x14ac:dyDescent="0.2">
      <c r="A114" s="21"/>
      <c r="B114" s="3" t="s">
        <v>11</v>
      </c>
      <c r="C114" s="20" t="s">
        <v>43</v>
      </c>
      <c r="D114" s="21"/>
    </row>
    <row r="115" spans="1:4" ht="12.75" customHeight="1" x14ac:dyDescent="0.2">
      <c r="A115" s="21"/>
      <c r="B115" s="3" t="s">
        <v>13</v>
      </c>
      <c r="C115" s="20" t="s">
        <v>24</v>
      </c>
      <c r="D115" s="21"/>
    </row>
    <row r="116" spans="1:4" ht="12.75" customHeight="1" x14ac:dyDescent="0.2">
      <c r="A116" s="21"/>
      <c r="B116" s="3" t="s">
        <v>15</v>
      </c>
      <c r="C116" s="20" t="s">
        <v>14</v>
      </c>
      <c r="D116" s="21"/>
    </row>
    <row r="117" spans="1:4" ht="12.75" customHeight="1" x14ac:dyDescent="0.2">
      <c r="A117" s="21"/>
      <c r="B117" s="3" t="s">
        <v>16</v>
      </c>
      <c r="C117" s="20"/>
      <c r="D117" s="21"/>
    </row>
    <row r="118" spans="1:4" ht="12.75" customHeight="1" x14ac:dyDescent="0.2">
      <c r="A118" s="21"/>
      <c r="B118" s="3" t="s">
        <v>17</v>
      </c>
      <c r="C118" s="20"/>
      <c r="D118" s="21"/>
    </row>
    <row r="119" spans="1:4" ht="12.75" customHeight="1" x14ac:dyDescent="0.2">
      <c r="A119" s="21"/>
      <c r="B119" s="20" t="s">
        <v>18</v>
      </c>
      <c r="C119" s="4" t="s">
        <v>44</v>
      </c>
      <c r="D119" s="6" t="str">
        <f>HYPERLINK("javascript:void(0)","kithrill")</f>
        <v>kithrill</v>
      </c>
    </row>
    <row r="120" spans="1:4" ht="12.75" customHeight="1" x14ac:dyDescent="0.2">
      <c r="A120" s="21"/>
      <c r="B120" s="21"/>
      <c r="C120" s="4" t="s">
        <v>44</v>
      </c>
      <c r="D120" s="6" t="str">
        <f>HYPERLINK("javascript:void(0)","íj")</f>
        <v>íj</v>
      </c>
    </row>
    <row r="121" spans="1:4" ht="12.75" customHeight="1" x14ac:dyDescent="0.2">
      <c r="A121" s="21"/>
      <c r="B121" s="21"/>
      <c r="C121" s="4" t="s">
        <v>45</v>
      </c>
      <c r="D121" s="6" t="str">
        <f>HYPERLINK("javascript:void(0)","ezüst")</f>
        <v>ezüst</v>
      </c>
    </row>
    <row r="122" spans="1:4" ht="12.75" customHeight="1" x14ac:dyDescent="0.2">
      <c r="A122" s="5"/>
      <c r="B122" s="2"/>
      <c r="C122" s="2"/>
      <c r="D122" s="2"/>
    </row>
    <row r="123" spans="1:4" ht="12.75" customHeight="1" x14ac:dyDescent="0.2">
      <c r="A123" s="22" t="str">
        <f>HYPERLINK("javascript:void(0)","számszeríj")</f>
        <v>számszeríj</v>
      </c>
      <c r="B123" s="21"/>
      <c r="C123" s="21"/>
      <c r="D123" s="2"/>
    </row>
    <row r="124" spans="1:4" ht="12.75" customHeight="1" x14ac:dyDescent="0.2">
      <c r="A124" s="20"/>
      <c r="B124" s="2"/>
      <c r="C124" s="2"/>
      <c r="D124" s="2"/>
    </row>
    <row r="125" spans="1:4" ht="12.75" customHeight="1" x14ac:dyDescent="0.2">
      <c r="A125" s="21"/>
      <c r="B125" s="3" t="s">
        <v>0</v>
      </c>
      <c r="C125" s="3" t="s">
        <v>46</v>
      </c>
      <c r="D125" s="2"/>
    </row>
    <row r="126" spans="1:4" ht="12.75" customHeight="1" x14ac:dyDescent="0.2">
      <c r="A126" s="21"/>
      <c r="B126" s="3" t="s">
        <v>2</v>
      </c>
      <c r="C126" s="3" t="s">
        <v>3</v>
      </c>
      <c r="D126" s="2"/>
    </row>
    <row r="127" spans="1:4" ht="12.75" customHeight="1" x14ac:dyDescent="0.2">
      <c r="A127" s="21"/>
      <c r="B127" s="3" t="s">
        <v>4</v>
      </c>
      <c r="C127" s="3" t="s">
        <v>47</v>
      </c>
      <c r="D127" s="2"/>
    </row>
    <row r="128" spans="1:4" ht="12.75" customHeight="1" x14ac:dyDescent="0.2">
      <c r="A128" s="21"/>
      <c r="B128" s="3" t="s">
        <v>6</v>
      </c>
      <c r="C128" s="3" t="s">
        <v>48</v>
      </c>
      <c r="D128" s="2"/>
    </row>
    <row r="129" spans="1:4" ht="12.75" customHeight="1" x14ac:dyDescent="0.2">
      <c r="A129" s="21"/>
      <c r="B129" s="3" t="s">
        <v>8</v>
      </c>
      <c r="C129" s="3" t="s">
        <v>47</v>
      </c>
      <c r="D129" s="2"/>
    </row>
    <row r="130" spans="1:4" ht="12.75" customHeight="1" x14ac:dyDescent="0.2">
      <c r="A130" s="21"/>
      <c r="B130" s="3" t="s">
        <v>9</v>
      </c>
      <c r="C130" s="3" t="s">
        <v>49</v>
      </c>
      <c r="D130" s="2"/>
    </row>
    <row r="131" spans="1:4" ht="12.75" customHeight="1" x14ac:dyDescent="0.2">
      <c r="A131" s="21"/>
      <c r="B131" s="3" t="s">
        <v>11</v>
      </c>
      <c r="C131" s="3" t="s">
        <v>50</v>
      </c>
      <c r="D131" s="2"/>
    </row>
    <row r="132" spans="1:4" ht="12.75" customHeight="1" x14ac:dyDescent="0.2">
      <c r="A132" s="21"/>
      <c r="B132" s="3" t="s">
        <v>13</v>
      </c>
      <c r="C132" s="3" t="s">
        <v>14</v>
      </c>
      <c r="D132" s="2"/>
    </row>
    <row r="133" spans="1:4" ht="12.75" customHeight="1" x14ac:dyDescent="0.2">
      <c r="A133" s="21"/>
      <c r="B133" s="3" t="s">
        <v>15</v>
      </c>
      <c r="C133" s="3" t="s">
        <v>14</v>
      </c>
      <c r="D133" s="2"/>
    </row>
    <row r="134" spans="1:4" ht="12.75" customHeight="1" x14ac:dyDescent="0.2">
      <c r="A134" s="21"/>
      <c r="B134" s="3" t="s">
        <v>16</v>
      </c>
      <c r="C134" s="3"/>
      <c r="D134" s="2"/>
    </row>
    <row r="135" spans="1:4" ht="12.75" customHeight="1" x14ac:dyDescent="0.2">
      <c r="A135" s="21"/>
      <c r="B135" s="3" t="s">
        <v>17</v>
      </c>
      <c r="C135" s="3"/>
      <c r="D135" s="2"/>
    </row>
    <row r="136" spans="1:4" ht="12.75" customHeight="1" x14ac:dyDescent="0.2">
      <c r="A136" s="21"/>
      <c r="B136" s="3" t="s">
        <v>18</v>
      </c>
      <c r="C136" s="4" t="s">
        <v>19</v>
      </c>
      <c r="D136" s="2"/>
    </row>
    <row r="137" spans="1:4" ht="12.75" customHeight="1" x14ac:dyDescent="0.2">
      <c r="A137" s="5"/>
      <c r="B137" s="2"/>
      <c r="C137" s="2"/>
      <c r="D137" s="2"/>
    </row>
    <row r="138" spans="1:4" ht="12.75" customHeight="1" x14ac:dyDescent="0.2">
      <c r="A138" s="22" t="str">
        <f>HYPERLINK("javascript:void(0)","goblin shuriken")</f>
        <v>goblin shuriken</v>
      </c>
      <c r="B138" s="21"/>
      <c r="C138" s="21"/>
      <c r="D138" s="21"/>
    </row>
    <row r="139" spans="1:4" ht="12.75" customHeight="1" x14ac:dyDescent="0.2">
      <c r="A139" s="20"/>
      <c r="B139" s="2"/>
      <c r="C139" s="2"/>
      <c r="D139" s="2"/>
    </row>
    <row r="140" spans="1:4" ht="12.75" customHeight="1" x14ac:dyDescent="0.2">
      <c r="A140" s="21"/>
      <c r="B140" s="3" t="s">
        <v>0</v>
      </c>
      <c r="C140" s="20" t="s">
        <v>51</v>
      </c>
      <c r="D140" s="21"/>
    </row>
    <row r="141" spans="1:4" ht="12.75" customHeight="1" x14ac:dyDescent="0.2">
      <c r="A141" s="21"/>
      <c r="B141" s="3" t="s">
        <v>2</v>
      </c>
      <c r="C141" s="20" t="s">
        <v>3</v>
      </c>
      <c r="D141" s="21"/>
    </row>
    <row r="142" spans="1:4" ht="12.75" customHeight="1" x14ac:dyDescent="0.2">
      <c r="A142" s="21"/>
      <c r="B142" s="3" t="s">
        <v>4</v>
      </c>
      <c r="C142" s="20" t="s">
        <v>52</v>
      </c>
      <c r="D142" s="21"/>
    </row>
    <row r="143" spans="1:4" ht="12.75" customHeight="1" x14ac:dyDescent="0.2">
      <c r="A143" s="21"/>
      <c r="B143" s="3" t="s">
        <v>6</v>
      </c>
      <c r="C143" s="20" t="s">
        <v>29</v>
      </c>
      <c r="D143" s="21"/>
    </row>
    <row r="144" spans="1:4" ht="12.75" customHeight="1" x14ac:dyDescent="0.2">
      <c r="A144" s="21"/>
      <c r="B144" s="3" t="s">
        <v>8</v>
      </c>
      <c r="C144" s="20" t="s">
        <v>52</v>
      </c>
      <c r="D144" s="21"/>
    </row>
    <row r="145" spans="1:4" ht="12.75" customHeight="1" x14ac:dyDescent="0.2">
      <c r="A145" s="21"/>
      <c r="B145" s="3" t="s">
        <v>9</v>
      </c>
      <c r="C145" s="20" t="s">
        <v>53</v>
      </c>
      <c r="D145" s="21"/>
    </row>
    <row r="146" spans="1:4" ht="12.75" customHeight="1" x14ac:dyDescent="0.2">
      <c r="A146" s="21"/>
      <c r="B146" s="3" t="s">
        <v>11</v>
      </c>
      <c r="C146" s="20" t="s">
        <v>54</v>
      </c>
      <c r="D146" s="21"/>
    </row>
    <row r="147" spans="1:4" ht="12.75" customHeight="1" x14ac:dyDescent="0.2">
      <c r="A147" s="21"/>
      <c r="B147" s="3" t="s">
        <v>13</v>
      </c>
      <c r="C147" s="20" t="s">
        <v>14</v>
      </c>
      <c r="D147" s="21"/>
    </row>
    <row r="148" spans="1:4" ht="12.75" customHeight="1" x14ac:dyDescent="0.2">
      <c r="A148" s="21"/>
      <c r="B148" s="3" t="s">
        <v>15</v>
      </c>
      <c r="C148" s="20" t="s">
        <v>14</v>
      </c>
      <c r="D148" s="21"/>
    </row>
    <row r="149" spans="1:4" ht="12.75" customHeight="1" x14ac:dyDescent="0.2">
      <c r="A149" s="21"/>
      <c r="B149" s="3" t="s">
        <v>16</v>
      </c>
      <c r="C149" s="20"/>
      <c r="D149" s="21"/>
    </row>
    <row r="150" spans="1:4" ht="12.75" customHeight="1" x14ac:dyDescent="0.2">
      <c r="A150" s="21"/>
      <c r="B150" s="3" t="s">
        <v>17</v>
      </c>
      <c r="C150" s="20"/>
      <c r="D150" s="21"/>
    </row>
    <row r="151" spans="1:4" ht="12.75" customHeight="1" x14ac:dyDescent="0.2">
      <c r="A151" s="21"/>
      <c r="B151" s="20" t="s">
        <v>18</v>
      </c>
      <c r="C151" s="4" t="s">
        <v>55</v>
      </c>
      <c r="D151" s="6" t="str">
        <f>HYPERLINK("javascript:void(0)","halcsont")</f>
        <v>halcsont</v>
      </c>
    </row>
    <row r="152" spans="1:4" ht="12.75" customHeight="1" x14ac:dyDescent="0.2">
      <c r="A152" s="21"/>
      <c r="B152" s="21"/>
      <c r="C152" s="4" t="s">
        <v>56</v>
      </c>
      <c r="D152" s="6" t="str">
        <f>HYPERLINK("javascript:void(0)","rézérc")</f>
        <v>rézérc</v>
      </c>
    </row>
    <row r="153" spans="1:4" ht="12.75" customHeight="1" x14ac:dyDescent="0.2">
      <c r="A153" s="21"/>
      <c r="B153" s="21"/>
      <c r="C153" s="4" t="s">
        <v>57</v>
      </c>
      <c r="D153" s="6" t="str">
        <f>HYPERLINK("javascript:void(0)","ezüstfullánk")</f>
        <v>ezüstfullánk</v>
      </c>
    </row>
    <row r="154" spans="1:4" ht="12.75" customHeight="1" x14ac:dyDescent="0.2">
      <c r="A154" s="5"/>
      <c r="B154" s="2"/>
      <c r="C154" s="2"/>
      <c r="D154" s="2"/>
    </row>
    <row r="155" spans="1:4" ht="12.75" customHeight="1" x14ac:dyDescent="0.2">
      <c r="A155" s="22" t="str">
        <f>HYPERLINK("javascript:void(0)","bumeráng")</f>
        <v>bumeráng</v>
      </c>
      <c r="B155" s="21"/>
      <c r="C155" s="21"/>
      <c r="D155" s="2"/>
    </row>
    <row r="156" spans="1:4" ht="12.75" customHeight="1" x14ac:dyDescent="0.2">
      <c r="A156" s="20"/>
      <c r="B156" s="2"/>
      <c r="C156" s="2"/>
      <c r="D156" s="2"/>
    </row>
    <row r="157" spans="1:4" ht="12.75" customHeight="1" x14ac:dyDescent="0.2">
      <c r="A157" s="21"/>
      <c r="B157" s="3" t="s">
        <v>0</v>
      </c>
      <c r="C157" s="3" t="s">
        <v>51</v>
      </c>
      <c r="D157" s="2"/>
    </row>
    <row r="158" spans="1:4" ht="12.75" customHeight="1" x14ac:dyDescent="0.2">
      <c r="A158" s="21"/>
      <c r="B158" s="3" t="s">
        <v>2</v>
      </c>
      <c r="C158" s="3" t="s">
        <v>3</v>
      </c>
      <c r="D158" s="2"/>
    </row>
    <row r="159" spans="1:4" ht="12.75" customHeight="1" x14ac:dyDescent="0.2">
      <c r="A159" s="21"/>
      <c r="B159" s="3" t="s">
        <v>4</v>
      </c>
      <c r="C159" s="3" t="s">
        <v>58</v>
      </c>
      <c r="D159" s="2"/>
    </row>
    <row r="160" spans="1:4" ht="12.75" customHeight="1" x14ac:dyDescent="0.2">
      <c r="A160" s="21"/>
      <c r="B160" s="3" t="s">
        <v>6</v>
      </c>
      <c r="C160" s="3" t="s">
        <v>40</v>
      </c>
      <c r="D160" s="2"/>
    </row>
    <row r="161" spans="1:4" ht="12.75" customHeight="1" x14ac:dyDescent="0.2">
      <c r="A161" s="21"/>
      <c r="B161" s="3" t="s">
        <v>8</v>
      </c>
      <c r="C161" s="3" t="s">
        <v>58</v>
      </c>
      <c r="D161" s="2"/>
    </row>
    <row r="162" spans="1:4" ht="12.75" customHeight="1" x14ac:dyDescent="0.2">
      <c r="A162" s="21"/>
      <c r="B162" s="3" t="s">
        <v>9</v>
      </c>
      <c r="C162" s="3" t="s">
        <v>42</v>
      </c>
      <c r="D162" s="2"/>
    </row>
    <row r="163" spans="1:4" ht="12.75" customHeight="1" x14ac:dyDescent="0.2">
      <c r="A163" s="21"/>
      <c r="B163" s="3" t="s">
        <v>11</v>
      </c>
      <c r="C163" s="3" t="s">
        <v>59</v>
      </c>
      <c r="D163" s="2"/>
    </row>
    <row r="164" spans="1:4" ht="12.75" customHeight="1" x14ac:dyDescent="0.2">
      <c r="A164" s="21"/>
      <c r="B164" s="3" t="s">
        <v>13</v>
      </c>
      <c r="C164" s="3" t="s">
        <v>14</v>
      </c>
      <c r="D164" s="2"/>
    </row>
    <row r="165" spans="1:4" ht="12.75" customHeight="1" x14ac:dyDescent="0.2">
      <c r="A165" s="21"/>
      <c r="B165" s="3" t="s">
        <v>15</v>
      </c>
      <c r="C165" s="3" t="s">
        <v>14</v>
      </c>
      <c r="D165" s="2"/>
    </row>
    <row r="166" spans="1:4" ht="12.75" customHeight="1" x14ac:dyDescent="0.2">
      <c r="A166" s="21"/>
      <c r="B166" s="3" t="s">
        <v>16</v>
      </c>
      <c r="C166" s="3"/>
      <c r="D166" s="2"/>
    </row>
    <row r="167" spans="1:4" ht="12.75" customHeight="1" x14ac:dyDescent="0.2">
      <c r="A167" s="21"/>
      <c r="B167" s="3" t="s">
        <v>17</v>
      </c>
      <c r="C167" s="3"/>
      <c r="D167" s="2"/>
    </row>
    <row r="168" spans="1:4" ht="12.75" customHeight="1" x14ac:dyDescent="0.2">
      <c r="A168" s="21"/>
      <c r="B168" s="3" t="s">
        <v>18</v>
      </c>
      <c r="C168" s="4" t="s">
        <v>19</v>
      </c>
      <c r="D168" s="2"/>
    </row>
    <row r="169" spans="1:4" ht="12.75" customHeight="1" x14ac:dyDescent="0.2">
      <c r="A169" s="5"/>
      <c r="B169" s="2"/>
      <c r="C169" s="2"/>
      <c r="D169" s="2"/>
    </row>
    <row r="170" spans="1:4" ht="12.75" customHeight="1" x14ac:dyDescent="0.2">
      <c r="A170" s="22" t="str">
        <f>HYPERLINK("javascript:void(0)","skivei számszeríj")</f>
        <v>skivei számszeríj</v>
      </c>
      <c r="B170" s="21"/>
      <c r="C170" s="21"/>
      <c r="D170" s="21"/>
    </row>
    <row r="171" spans="1:4" ht="12.75" customHeight="1" x14ac:dyDescent="0.2">
      <c r="A171" s="20"/>
      <c r="B171" s="2"/>
      <c r="C171" s="2"/>
      <c r="D171" s="2"/>
    </row>
    <row r="172" spans="1:4" ht="12.75" customHeight="1" x14ac:dyDescent="0.2">
      <c r="A172" s="21"/>
      <c r="B172" s="3" t="s">
        <v>0</v>
      </c>
      <c r="C172" s="20" t="s">
        <v>51</v>
      </c>
      <c r="D172" s="21"/>
    </row>
    <row r="173" spans="1:4" ht="12.75" customHeight="1" x14ac:dyDescent="0.2">
      <c r="A173" s="21"/>
      <c r="B173" s="3" t="s">
        <v>2</v>
      </c>
      <c r="C173" s="20" t="s">
        <v>3</v>
      </c>
      <c r="D173" s="21"/>
    </row>
    <row r="174" spans="1:4" ht="12.75" customHeight="1" x14ac:dyDescent="0.2">
      <c r="A174" s="21"/>
      <c r="B174" s="3" t="s">
        <v>4</v>
      </c>
      <c r="C174" s="20" t="s">
        <v>60</v>
      </c>
      <c r="D174" s="21"/>
    </row>
    <row r="175" spans="1:4" ht="12.75" customHeight="1" x14ac:dyDescent="0.2">
      <c r="A175" s="21"/>
      <c r="B175" s="3" t="s">
        <v>6</v>
      </c>
      <c r="C175" s="20" t="s">
        <v>46</v>
      </c>
      <c r="D175" s="21"/>
    </row>
    <row r="176" spans="1:4" ht="12.75" customHeight="1" x14ac:dyDescent="0.2">
      <c r="A176" s="21"/>
      <c r="B176" s="3" t="s">
        <v>8</v>
      </c>
      <c r="C176" s="20" t="s">
        <v>60</v>
      </c>
      <c r="D176" s="21"/>
    </row>
    <row r="177" spans="1:4" ht="12.75" customHeight="1" x14ac:dyDescent="0.2">
      <c r="A177" s="21"/>
      <c r="B177" s="3" t="s">
        <v>9</v>
      </c>
      <c r="C177" s="20" t="s">
        <v>61</v>
      </c>
      <c r="D177" s="21"/>
    </row>
    <row r="178" spans="1:4" ht="12.75" customHeight="1" x14ac:dyDescent="0.2">
      <c r="A178" s="21"/>
      <c r="B178" s="3" t="s">
        <v>11</v>
      </c>
      <c r="C178" s="20" t="s">
        <v>62</v>
      </c>
      <c r="D178" s="21"/>
    </row>
    <row r="179" spans="1:4" ht="12.75" customHeight="1" x14ac:dyDescent="0.2">
      <c r="A179" s="21"/>
      <c r="B179" s="3" t="s">
        <v>13</v>
      </c>
      <c r="C179" s="20" t="s">
        <v>24</v>
      </c>
      <c r="D179" s="21"/>
    </row>
    <row r="180" spans="1:4" ht="12.75" customHeight="1" x14ac:dyDescent="0.2">
      <c r="A180" s="21"/>
      <c r="B180" s="3" t="s">
        <v>15</v>
      </c>
      <c r="C180" s="20" t="s">
        <v>14</v>
      </c>
      <c r="D180" s="21"/>
    </row>
    <row r="181" spans="1:4" ht="12.75" customHeight="1" x14ac:dyDescent="0.2">
      <c r="A181" s="21"/>
      <c r="B181" s="3" t="s">
        <v>16</v>
      </c>
      <c r="C181" s="20"/>
      <c r="D181" s="21"/>
    </row>
    <row r="182" spans="1:4" ht="12.75" customHeight="1" x14ac:dyDescent="0.2">
      <c r="A182" s="21"/>
      <c r="B182" s="3" t="s">
        <v>17</v>
      </c>
      <c r="C182" s="20"/>
      <c r="D182" s="21"/>
    </row>
    <row r="183" spans="1:4" ht="12.75" customHeight="1" x14ac:dyDescent="0.2">
      <c r="A183" s="21"/>
      <c r="B183" s="20" t="s">
        <v>18</v>
      </c>
      <c r="C183" s="4" t="s">
        <v>44</v>
      </c>
      <c r="D183" s="6" t="str">
        <f>HYPERLINK("javascript:void(0)","kithrill")</f>
        <v>kithrill</v>
      </c>
    </row>
    <row r="184" spans="1:4" ht="12.75" customHeight="1" x14ac:dyDescent="0.2">
      <c r="A184" s="21"/>
      <c r="B184" s="21"/>
      <c r="C184" s="4" t="s">
        <v>44</v>
      </c>
      <c r="D184" s="6" t="str">
        <f>HYPERLINK("javascript:void(0)","számszeríj")</f>
        <v>számszeríj</v>
      </c>
    </row>
    <row r="185" spans="1:4" ht="12.75" customHeight="1" x14ac:dyDescent="0.2">
      <c r="A185" s="21"/>
      <c r="B185" s="21"/>
      <c r="C185" s="4" t="s">
        <v>63</v>
      </c>
      <c r="D185" s="6" t="str">
        <f>HYPERLINK("javascript:void(0)","ezüst")</f>
        <v>ezüst</v>
      </c>
    </row>
    <row r="186" spans="1:4" ht="12.75" customHeight="1" x14ac:dyDescent="0.2">
      <c r="A186" s="5"/>
      <c r="B186" s="2"/>
      <c r="C186" s="2"/>
      <c r="D186" s="2"/>
    </row>
    <row r="187" spans="1:4" ht="12.75" customHeight="1" x14ac:dyDescent="0.2">
      <c r="A187" s="22" t="str">
        <f>HYPERLINK("javascript:void(0)","nyilvető")</f>
        <v>nyilvető</v>
      </c>
      <c r="B187" s="21"/>
      <c r="C187" s="21"/>
      <c r="D187" s="21"/>
    </row>
    <row r="188" spans="1:4" ht="12.75" customHeight="1" x14ac:dyDescent="0.2">
      <c r="A188" s="20"/>
      <c r="B188" s="2"/>
      <c r="C188" s="2"/>
      <c r="D188" s="2"/>
    </row>
    <row r="189" spans="1:4" ht="12.75" customHeight="1" x14ac:dyDescent="0.2">
      <c r="A189" s="21"/>
      <c r="B189" s="3" t="s">
        <v>0</v>
      </c>
      <c r="C189" s="20" t="s">
        <v>64</v>
      </c>
      <c r="D189" s="21"/>
    </row>
    <row r="190" spans="1:4" ht="12.75" customHeight="1" x14ac:dyDescent="0.2">
      <c r="A190" s="21"/>
      <c r="B190" s="3" t="s">
        <v>2</v>
      </c>
      <c r="C190" s="20" t="s">
        <v>3</v>
      </c>
      <c r="D190" s="21"/>
    </row>
    <row r="191" spans="1:4" ht="12.75" customHeight="1" x14ac:dyDescent="0.2">
      <c r="A191" s="21"/>
      <c r="B191" s="3" t="s">
        <v>4</v>
      </c>
      <c r="C191" s="20" t="s">
        <v>65</v>
      </c>
      <c r="D191" s="21"/>
    </row>
    <row r="192" spans="1:4" ht="12.75" customHeight="1" x14ac:dyDescent="0.2">
      <c r="A192" s="21"/>
      <c r="B192" s="3" t="s">
        <v>6</v>
      </c>
      <c r="C192" s="20" t="s">
        <v>26</v>
      </c>
      <c r="D192" s="21"/>
    </row>
    <row r="193" spans="1:4" ht="12.75" customHeight="1" x14ac:dyDescent="0.2">
      <c r="A193" s="21"/>
      <c r="B193" s="3" t="s">
        <v>8</v>
      </c>
      <c r="C193" s="20" t="s">
        <v>65</v>
      </c>
      <c r="D193" s="21"/>
    </row>
    <row r="194" spans="1:4" ht="12.75" customHeight="1" x14ac:dyDescent="0.2">
      <c r="A194" s="21"/>
      <c r="B194" s="3" t="s">
        <v>9</v>
      </c>
      <c r="C194" s="20" t="s">
        <v>42</v>
      </c>
      <c r="D194" s="21"/>
    </row>
    <row r="195" spans="1:4" ht="12.75" customHeight="1" x14ac:dyDescent="0.2">
      <c r="A195" s="21"/>
      <c r="B195" s="3" t="s">
        <v>11</v>
      </c>
      <c r="C195" s="20" t="s">
        <v>66</v>
      </c>
      <c r="D195" s="21"/>
    </row>
    <row r="196" spans="1:4" ht="12.75" customHeight="1" x14ac:dyDescent="0.2">
      <c r="A196" s="21"/>
      <c r="B196" s="3" t="s">
        <v>13</v>
      </c>
      <c r="C196" s="20" t="s">
        <v>14</v>
      </c>
      <c r="D196" s="21"/>
    </row>
    <row r="197" spans="1:4" ht="12.75" customHeight="1" x14ac:dyDescent="0.2">
      <c r="A197" s="21"/>
      <c r="B197" s="3" t="s">
        <v>15</v>
      </c>
      <c r="C197" s="20" t="s">
        <v>14</v>
      </c>
      <c r="D197" s="21"/>
    </row>
    <row r="198" spans="1:4" ht="12.75" customHeight="1" x14ac:dyDescent="0.2">
      <c r="A198" s="21"/>
      <c r="B198" s="3" t="s">
        <v>16</v>
      </c>
      <c r="C198" s="20"/>
      <c r="D198" s="21"/>
    </row>
    <row r="199" spans="1:4" ht="12.75" customHeight="1" x14ac:dyDescent="0.2">
      <c r="A199" s="21"/>
      <c r="B199" s="3" t="s">
        <v>17</v>
      </c>
      <c r="C199" s="20"/>
      <c r="D199" s="21"/>
    </row>
    <row r="200" spans="1:4" ht="12.75" customHeight="1" x14ac:dyDescent="0.2">
      <c r="A200" s="21"/>
      <c r="B200" s="20" t="s">
        <v>18</v>
      </c>
      <c r="C200" s="4" t="s">
        <v>56</v>
      </c>
      <c r="D200" s="6" t="str">
        <f>HYPERLINK("javascript:void(0)","lábszárcsont")</f>
        <v>lábszárcsont</v>
      </c>
    </row>
    <row r="201" spans="1:4" ht="12.75" customHeight="1" x14ac:dyDescent="0.2">
      <c r="A201" s="21"/>
      <c r="B201" s="21"/>
      <c r="C201" s="4" t="s">
        <v>67</v>
      </c>
      <c r="D201" s="6" t="str">
        <f>HYPERLINK("javascript:void(0)","süntüske")</f>
        <v>süntüske</v>
      </c>
    </row>
    <row r="202" spans="1:4" ht="12.75" customHeight="1" x14ac:dyDescent="0.2">
      <c r="A202" s="21"/>
      <c r="B202" s="21"/>
      <c r="C202" s="4" t="s">
        <v>68</v>
      </c>
      <c r="D202" s="6" t="str">
        <f>HYPERLINK("javascript:void(0)","acélrugó")</f>
        <v>acélrugó</v>
      </c>
    </row>
    <row r="203" spans="1:4" ht="12.75" customHeight="1" x14ac:dyDescent="0.2">
      <c r="A203" s="5"/>
      <c r="B203" s="2"/>
      <c r="C203" s="2"/>
      <c r="D203" s="2"/>
    </row>
    <row r="204" spans="1:4" ht="12.75" customHeight="1" x14ac:dyDescent="0.2">
      <c r="A204" s="22" t="str">
        <f>HYPERLINK("javascript:void(0)","vámpírbumeráng")</f>
        <v>vámpírbumeráng</v>
      </c>
      <c r="B204" s="21"/>
      <c r="C204" s="21"/>
      <c r="D204" s="21"/>
    </row>
    <row r="205" spans="1:4" ht="12.75" customHeight="1" x14ac:dyDescent="0.2">
      <c r="A205" s="20"/>
      <c r="B205" s="2"/>
      <c r="C205" s="2"/>
      <c r="D205" s="2"/>
    </row>
    <row r="206" spans="1:4" ht="12.75" customHeight="1" x14ac:dyDescent="0.2">
      <c r="A206" s="21"/>
      <c r="B206" s="3" t="s">
        <v>0</v>
      </c>
      <c r="C206" s="20" t="s">
        <v>64</v>
      </c>
      <c r="D206" s="21"/>
    </row>
    <row r="207" spans="1:4" ht="12.75" customHeight="1" x14ac:dyDescent="0.2">
      <c r="A207" s="21"/>
      <c r="B207" s="3" t="s">
        <v>2</v>
      </c>
      <c r="C207" s="20" t="s">
        <v>3</v>
      </c>
      <c r="D207" s="21"/>
    </row>
    <row r="208" spans="1:4" ht="12.75" customHeight="1" x14ac:dyDescent="0.2">
      <c r="A208" s="21"/>
      <c r="B208" s="3" t="s">
        <v>4</v>
      </c>
      <c r="C208" s="20" t="s">
        <v>69</v>
      </c>
      <c r="D208" s="21"/>
    </row>
    <row r="209" spans="1:4" ht="12.75" customHeight="1" x14ac:dyDescent="0.2">
      <c r="A209" s="21"/>
      <c r="B209" s="3" t="s">
        <v>6</v>
      </c>
      <c r="C209" s="20" t="s">
        <v>5</v>
      </c>
      <c r="D209" s="21"/>
    </row>
    <row r="210" spans="1:4" ht="12.75" customHeight="1" x14ac:dyDescent="0.2">
      <c r="A210" s="21"/>
      <c r="B210" s="3" t="s">
        <v>8</v>
      </c>
      <c r="C210" s="20" t="s">
        <v>69</v>
      </c>
      <c r="D210" s="21"/>
    </row>
    <row r="211" spans="1:4" ht="12.75" customHeight="1" x14ac:dyDescent="0.2">
      <c r="A211" s="21"/>
      <c r="B211" s="3" t="s">
        <v>9</v>
      </c>
      <c r="C211" s="20" t="s">
        <v>70</v>
      </c>
      <c r="D211" s="21"/>
    </row>
    <row r="212" spans="1:4" ht="12.75" customHeight="1" x14ac:dyDescent="0.2">
      <c r="A212" s="21"/>
      <c r="B212" s="3" t="s">
        <v>11</v>
      </c>
      <c r="C212" s="20" t="s">
        <v>71</v>
      </c>
      <c r="D212" s="21"/>
    </row>
    <row r="213" spans="1:4" ht="12.75" customHeight="1" x14ac:dyDescent="0.2">
      <c r="A213" s="21"/>
      <c r="B213" s="3" t="s">
        <v>13</v>
      </c>
      <c r="C213" s="20" t="s">
        <v>24</v>
      </c>
      <c r="D213" s="21"/>
    </row>
    <row r="214" spans="1:4" ht="12.75" customHeight="1" x14ac:dyDescent="0.2">
      <c r="A214" s="21"/>
      <c r="B214" s="3" t="s">
        <v>15</v>
      </c>
      <c r="C214" s="20" t="s">
        <v>24</v>
      </c>
      <c r="D214" s="21"/>
    </row>
    <row r="215" spans="1:4" ht="12.75" customHeight="1" x14ac:dyDescent="0.2">
      <c r="A215" s="21"/>
      <c r="B215" s="3" t="s">
        <v>16</v>
      </c>
      <c r="C215" s="20"/>
      <c r="D215" s="21"/>
    </row>
    <row r="216" spans="1:4" ht="12.75" customHeight="1" x14ac:dyDescent="0.2">
      <c r="A216" s="21"/>
      <c r="B216" s="3" t="s">
        <v>17</v>
      </c>
      <c r="C216" s="20"/>
      <c r="D216" s="21"/>
    </row>
    <row r="217" spans="1:4" ht="12.75" customHeight="1" x14ac:dyDescent="0.2">
      <c r="A217" s="21"/>
      <c r="B217" s="20" t="s">
        <v>18</v>
      </c>
      <c r="C217" s="4" t="s">
        <v>44</v>
      </c>
      <c r="D217" s="6" t="str">
        <f>HYPERLINK("javascript:void(0)","bumeráng")</f>
        <v>bumeráng</v>
      </c>
    </row>
    <row r="218" spans="1:4" ht="12.75" customHeight="1" x14ac:dyDescent="0.2">
      <c r="A218" s="21"/>
      <c r="B218" s="21"/>
      <c r="C218" s="4" t="s">
        <v>68</v>
      </c>
      <c r="D218" s="6" t="str">
        <f>HYPERLINK("javascript:void(0)","vámpírherbium")</f>
        <v>vámpírherbium</v>
      </c>
    </row>
    <row r="219" spans="1:4" ht="12.75" customHeight="1" x14ac:dyDescent="0.2">
      <c r="A219" s="21"/>
      <c r="B219" s="21"/>
      <c r="C219" s="4" t="s">
        <v>44</v>
      </c>
      <c r="D219" s="6" t="str">
        <f>HYPERLINK("javascript:void(0)","gyémánt")</f>
        <v>gyémánt</v>
      </c>
    </row>
    <row r="220" spans="1:4" ht="12.75" customHeight="1" x14ac:dyDescent="0.2">
      <c r="A220" s="5"/>
      <c r="B220" s="2"/>
      <c r="C220" s="2"/>
      <c r="D220" s="2"/>
    </row>
    <row r="221" spans="1:4" ht="12.75" customHeight="1" x14ac:dyDescent="0.2">
      <c r="A221" s="22" t="str">
        <f>HYPERLINK("javascript:void(0)","mágikus számszeríj")</f>
        <v>mágikus számszeríj</v>
      </c>
      <c r="B221" s="21"/>
      <c r="C221" s="21"/>
      <c r="D221" s="21"/>
    </row>
    <row r="222" spans="1:4" ht="12.75" customHeight="1" x14ac:dyDescent="0.2">
      <c r="A222" s="20"/>
      <c r="B222" s="2"/>
      <c r="C222" s="2"/>
      <c r="D222" s="2"/>
    </row>
    <row r="223" spans="1:4" ht="12.75" customHeight="1" x14ac:dyDescent="0.2">
      <c r="A223" s="21"/>
      <c r="B223" s="3" t="s">
        <v>0</v>
      </c>
      <c r="C223" s="20" t="s">
        <v>72</v>
      </c>
      <c r="D223" s="21"/>
    </row>
    <row r="224" spans="1:4" ht="12.75" customHeight="1" x14ac:dyDescent="0.2">
      <c r="A224" s="21"/>
      <c r="B224" s="3" t="s">
        <v>2</v>
      </c>
      <c r="C224" s="20" t="s">
        <v>3</v>
      </c>
      <c r="D224" s="21"/>
    </row>
    <row r="225" spans="1:4" ht="12.75" customHeight="1" x14ac:dyDescent="0.2">
      <c r="A225" s="21"/>
      <c r="B225" s="3" t="s">
        <v>4</v>
      </c>
      <c r="C225" s="20" t="s">
        <v>73</v>
      </c>
      <c r="D225" s="21"/>
    </row>
    <row r="226" spans="1:4" ht="12.75" customHeight="1" x14ac:dyDescent="0.2">
      <c r="A226" s="21"/>
      <c r="B226" s="3" t="s">
        <v>6</v>
      </c>
      <c r="C226" s="20" t="s">
        <v>74</v>
      </c>
      <c r="D226" s="21"/>
    </row>
    <row r="227" spans="1:4" ht="12.75" customHeight="1" x14ac:dyDescent="0.2">
      <c r="A227" s="21"/>
      <c r="B227" s="3" t="s">
        <v>8</v>
      </c>
      <c r="C227" s="20" t="s">
        <v>73</v>
      </c>
      <c r="D227" s="21"/>
    </row>
    <row r="228" spans="1:4" ht="12.75" customHeight="1" x14ac:dyDescent="0.2">
      <c r="A228" s="21"/>
      <c r="B228" s="3" t="s">
        <v>9</v>
      </c>
      <c r="C228" s="20" t="s">
        <v>75</v>
      </c>
      <c r="D228" s="21"/>
    </row>
    <row r="229" spans="1:4" ht="12.75" customHeight="1" x14ac:dyDescent="0.2">
      <c r="A229" s="21"/>
      <c r="B229" s="3" t="s">
        <v>11</v>
      </c>
      <c r="C229" s="20" t="s">
        <v>76</v>
      </c>
      <c r="D229" s="21"/>
    </row>
    <row r="230" spans="1:4" ht="12.75" customHeight="1" x14ac:dyDescent="0.2">
      <c r="A230" s="21"/>
      <c r="B230" s="3" t="s">
        <v>13</v>
      </c>
      <c r="C230" s="20" t="s">
        <v>24</v>
      </c>
      <c r="D230" s="21"/>
    </row>
    <row r="231" spans="1:4" ht="12.75" customHeight="1" x14ac:dyDescent="0.2">
      <c r="A231" s="21"/>
      <c r="B231" s="3" t="s">
        <v>15</v>
      </c>
      <c r="C231" s="20" t="s">
        <v>14</v>
      </c>
      <c r="D231" s="21"/>
    </row>
    <row r="232" spans="1:4" ht="12.75" customHeight="1" x14ac:dyDescent="0.2">
      <c r="A232" s="21"/>
      <c r="B232" s="3" t="s">
        <v>16</v>
      </c>
      <c r="C232" s="20"/>
      <c r="D232" s="21"/>
    </row>
    <row r="233" spans="1:4" ht="12.75" customHeight="1" x14ac:dyDescent="0.2">
      <c r="A233" s="21"/>
      <c r="B233" s="3" t="s">
        <v>17</v>
      </c>
      <c r="C233" s="20"/>
      <c r="D233" s="21"/>
    </row>
    <row r="234" spans="1:4" ht="12.75" customHeight="1" x14ac:dyDescent="0.2">
      <c r="A234" s="21"/>
      <c r="B234" s="20" t="s">
        <v>18</v>
      </c>
      <c r="C234" s="4" t="s">
        <v>44</v>
      </c>
      <c r="D234" s="6" t="str">
        <f>HYPERLINK("javascript:void(0)","számszeríj")</f>
        <v>számszeríj</v>
      </c>
    </row>
    <row r="235" spans="1:4" ht="12.75" customHeight="1" x14ac:dyDescent="0.2">
      <c r="A235" s="21"/>
      <c r="B235" s="21"/>
      <c r="C235" s="4" t="s">
        <v>44</v>
      </c>
      <c r="D235" s="6" t="str">
        <f>HYPERLINK("javascript:void(0)","diszprózium")</f>
        <v>diszprózium</v>
      </c>
    </row>
    <row r="236" spans="1:4" ht="12.75" customHeight="1" x14ac:dyDescent="0.2">
      <c r="A236" s="21"/>
      <c r="B236" s="21"/>
      <c r="C236" s="4" t="s">
        <v>77</v>
      </c>
      <c r="D236" s="6" t="str">
        <f>HYPERLINK("javascript:void(0)","arany")</f>
        <v>arany</v>
      </c>
    </row>
    <row r="237" spans="1:4" ht="12.75" customHeight="1" x14ac:dyDescent="0.2">
      <c r="A237" s="5"/>
      <c r="B237" s="2"/>
      <c r="C237" s="2"/>
      <c r="D237" s="2"/>
    </row>
    <row r="238" spans="1:4" ht="12.75" customHeight="1" x14ac:dyDescent="0.2">
      <c r="A238" s="22" t="str">
        <f>HYPERLINK("javascript:void(0)","skivei bumeráng")</f>
        <v>skivei bumeráng</v>
      </c>
      <c r="B238" s="21"/>
      <c r="C238" s="21"/>
      <c r="D238" s="21"/>
    </row>
    <row r="239" spans="1:4" ht="12.75" customHeight="1" x14ac:dyDescent="0.2">
      <c r="A239" s="20"/>
      <c r="B239" s="2"/>
      <c r="C239" s="2"/>
      <c r="D239" s="2"/>
    </row>
    <row r="240" spans="1:4" ht="12.75" customHeight="1" x14ac:dyDescent="0.2">
      <c r="A240" s="21"/>
      <c r="B240" s="3" t="s">
        <v>0</v>
      </c>
      <c r="C240" s="20" t="s">
        <v>72</v>
      </c>
      <c r="D240" s="21"/>
    </row>
    <row r="241" spans="1:4" ht="12.75" customHeight="1" x14ac:dyDescent="0.2">
      <c r="A241" s="21"/>
      <c r="B241" s="3" t="s">
        <v>2</v>
      </c>
      <c r="C241" s="20" t="s">
        <v>3</v>
      </c>
      <c r="D241" s="21"/>
    </row>
    <row r="242" spans="1:4" ht="12.75" customHeight="1" x14ac:dyDescent="0.2">
      <c r="A242" s="21"/>
      <c r="B242" s="3" t="s">
        <v>4</v>
      </c>
      <c r="C242" s="20" t="s">
        <v>78</v>
      </c>
      <c r="D242" s="21"/>
    </row>
    <row r="243" spans="1:4" ht="12.75" customHeight="1" x14ac:dyDescent="0.2">
      <c r="A243" s="21"/>
      <c r="B243" s="3" t="s">
        <v>6</v>
      </c>
      <c r="C243" s="20" t="s">
        <v>40</v>
      </c>
      <c r="D243" s="21"/>
    </row>
    <row r="244" spans="1:4" ht="12.75" customHeight="1" x14ac:dyDescent="0.2">
      <c r="A244" s="21"/>
      <c r="B244" s="3" t="s">
        <v>8</v>
      </c>
      <c r="C244" s="20" t="s">
        <v>78</v>
      </c>
      <c r="D244" s="21"/>
    </row>
    <row r="245" spans="1:4" ht="12.75" customHeight="1" x14ac:dyDescent="0.2">
      <c r="A245" s="21"/>
      <c r="B245" s="3" t="s">
        <v>9</v>
      </c>
      <c r="C245" s="20" t="s">
        <v>79</v>
      </c>
      <c r="D245" s="21"/>
    </row>
    <row r="246" spans="1:4" ht="12.75" customHeight="1" x14ac:dyDescent="0.2">
      <c r="A246" s="21"/>
      <c r="B246" s="3" t="s">
        <v>11</v>
      </c>
      <c r="C246" s="20" t="s">
        <v>80</v>
      </c>
      <c r="D246" s="21"/>
    </row>
    <row r="247" spans="1:4" ht="12.75" customHeight="1" x14ac:dyDescent="0.2">
      <c r="A247" s="21"/>
      <c r="B247" s="3" t="s">
        <v>13</v>
      </c>
      <c r="C247" s="20" t="s">
        <v>24</v>
      </c>
      <c r="D247" s="21"/>
    </row>
    <row r="248" spans="1:4" ht="12.75" customHeight="1" x14ac:dyDescent="0.2">
      <c r="A248" s="21"/>
      <c r="B248" s="3" t="s">
        <v>15</v>
      </c>
      <c r="C248" s="20" t="s">
        <v>14</v>
      </c>
      <c r="D248" s="21"/>
    </row>
    <row r="249" spans="1:4" ht="12.75" customHeight="1" x14ac:dyDescent="0.2">
      <c r="A249" s="21"/>
      <c r="B249" s="3" t="s">
        <v>16</v>
      </c>
      <c r="C249" s="20"/>
      <c r="D249" s="21"/>
    </row>
    <row r="250" spans="1:4" ht="12.75" customHeight="1" x14ac:dyDescent="0.2">
      <c r="A250" s="21"/>
      <c r="B250" s="3" t="s">
        <v>17</v>
      </c>
      <c r="C250" s="20"/>
      <c r="D250" s="21"/>
    </row>
    <row r="251" spans="1:4" ht="12.75" customHeight="1" x14ac:dyDescent="0.2">
      <c r="A251" s="21"/>
      <c r="B251" s="20" t="s">
        <v>18</v>
      </c>
      <c r="C251" s="4" t="s">
        <v>44</v>
      </c>
      <c r="D251" s="6" t="str">
        <f>HYPERLINK("javascript:void(0)","kithrill")</f>
        <v>kithrill</v>
      </c>
    </row>
    <row r="252" spans="1:4" ht="12.75" customHeight="1" x14ac:dyDescent="0.2">
      <c r="A252" s="21"/>
      <c r="B252" s="21"/>
      <c r="C252" s="4" t="s">
        <v>44</v>
      </c>
      <c r="D252" s="6" t="str">
        <f>HYPERLINK("javascript:void(0)","bumeráng")</f>
        <v>bumeráng</v>
      </c>
    </row>
    <row r="253" spans="1:4" ht="12.75" customHeight="1" x14ac:dyDescent="0.2">
      <c r="A253" s="21"/>
      <c r="B253" s="21"/>
      <c r="C253" s="4" t="s">
        <v>81</v>
      </c>
      <c r="D253" s="6" t="str">
        <f>HYPERLINK("javascript:void(0)","ezüst")</f>
        <v>ezüst</v>
      </c>
    </row>
    <row r="254" spans="1:4" ht="12.75" customHeight="1" x14ac:dyDescent="0.2">
      <c r="A254" s="5"/>
      <c r="B254" s="2"/>
      <c r="C254" s="2"/>
      <c r="D254" s="2"/>
    </row>
    <row r="255" spans="1:4" ht="12.75" customHeight="1" x14ac:dyDescent="0.2">
      <c r="A255" s="22" t="str">
        <f>HYPERLINK("javascript:void(0)","fúvócső")</f>
        <v>fúvócső</v>
      </c>
      <c r="B255" s="21"/>
      <c r="C255" s="21"/>
      <c r="D255" s="2"/>
    </row>
    <row r="256" spans="1:4" ht="12.75" customHeight="1" x14ac:dyDescent="0.2">
      <c r="A256" s="20"/>
      <c r="B256" s="2"/>
      <c r="C256" s="2"/>
      <c r="D256" s="2"/>
    </row>
    <row r="257" spans="1:4" ht="12.75" customHeight="1" x14ac:dyDescent="0.2">
      <c r="A257" s="21"/>
      <c r="B257" s="3" t="s">
        <v>0</v>
      </c>
      <c r="C257" s="3" t="s">
        <v>82</v>
      </c>
      <c r="D257" s="2"/>
    </row>
    <row r="258" spans="1:4" ht="12.75" customHeight="1" x14ac:dyDescent="0.2">
      <c r="A258" s="21"/>
      <c r="B258" s="3" t="s">
        <v>2</v>
      </c>
      <c r="C258" s="3" t="s">
        <v>3</v>
      </c>
      <c r="D258" s="2"/>
    </row>
    <row r="259" spans="1:4" ht="12.75" customHeight="1" x14ac:dyDescent="0.2">
      <c r="A259" s="21"/>
      <c r="B259" s="3" t="s">
        <v>4</v>
      </c>
      <c r="C259" s="3" t="s">
        <v>83</v>
      </c>
      <c r="D259" s="2"/>
    </row>
    <row r="260" spans="1:4" ht="12.75" customHeight="1" x14ac:dyDescent="0.2">
      <c r="A260" s="21"/>
      <c r="B260" s="3" t="s">
        <v>6</v>
      </c>
      <c r="C260" s="3" t="s">
        <v>74</v>
      </c>
      <c r="D260" s="2"/>
    </row>
    <row r="261" spans="1:4" ht="12.75" customHeight="1" x14ac:dyDescent="0.2">
      <c r="A261" s="21"/>
      <c r="B261" s="3" t="s">
        <v>8</v>
      </c>
      <c r="C261" s="3" t="s">
        <v>83</v>
      </c>
      <c r="D261" s="2"/>
    </row>
    <row r="262" spans="1:4" ht="12.75" customHeight="1" x14ac:dyDescent="0.2">
      <c r="A262" s="21"/>
      <c r="B262" s="3" t="s">
        <v>9</v>
      </c>
      <c r="C262" s="3" t="s">
        <v>84</v>
      </c>
      <c r="D262" s="2"/>
    </row>
    <row r="263" spans="1:4" ht="12.75" customHeight="1" x14ac:dyDescent="0.2">
      <c r="A263" s="21"/>
      <c r="B263" s="3" t="s">
        <v>11</v>
      </c>
      <c r="C263" s="3" t="s">
        <v>85</v>
      </c>
      <c r="D263" s="2"/>
    </row>
    <row r="264" spans="1:4" ht="12.75" customHeight="1" x14ac:dyDescent="0.2">
      <c r="A264" s="21"/>
      <c r="B264" s="3" t="s">
        <v>13</v>
      </c>
      <c r="C264" s="3" t="s">
        <v>14</v>
      </c>
      <c r="D264" s="2"/>
    </row>
    <row r="265" spans="1:4" ht="12.75" customHeight="1" x14ac:dyDescent="0.2">
      <c r="A265" s="21"/>
      <c r="B265" s="3" t="s">
        <v>15</v>
      </c>
      <c r="C265" s="3" t="s">
        <v>14</v>
      </c>
      <c r="D265" s="2"/>
    </row>
    <row r="266" spans="1:4" ht="12.75" customHeight="1" x14ac:dyDescent="0.2">
      <c r="A266" s="21"/>
      <c r="B266" s="3" t="s">
        <v>16</v>
      </c>
      <c r="C266" s="3"/>
      <c r="D266" s="2"/>
    </row>
    <row r="267" spans="1:4" ht="12.75" customHeight="1" x14ac:dyDescent="0.2">
      <c r="A267" s="21"/>
      <c r="B267" s="3" t="s">
        <v>17</v>
      </c>
      <c r="C267" s="3"/>
      <c r="D267" s="2"/>
    </row>
    <row r="268" spans="1:4" ht="12.75" customHeight="1" x14ac:dyDescent="0.2">
      <c r="A268" s="21"/>
      <c r="B268" s="3" t="s">
        <v>18</v>
      </c>
      <c r="C268" s="4" t="s">
        <v>19</v>
      </c>
      <c r="D268" s="2"/>
    </row>
    <row r="269" spans="1:4" ht="12.75" customHeight="1" x14ac:dyDescent="0.2">
      <c r="A269" s="5"/>
      <c r="B269" s="2"/>
      <c r="C269" s="2"/>
      <c r="D269" s="2"/>
    </row>
    <row r="270" spans="1:4" ht="12.75" customHeight="1" x14ac:dyDescent="0.2">
      <c r="A270" s="22" t="str">
        <f>HYPERLINK("javascript:void(0)","betüvető")</f>
        <v>betüvető</v>
      </c>
      <c r="B270" s="21"/>
      <c r="C270" s="21"/>
      <c r="D270" s="2"/>
    </row>
    <row r="271" spans="1:4" ht="12.75" customHeight="1" x14ac:dyDescent="0.2">
      <c r="A271" s="20"/>
      <c r="B271" s="2"/>
      <c r="C271" s="2"/>
      <c r="D271" s="2"/>
    </row>
    <row r="272" spans="1:4" ht="12.75" customHeight="1" x14ac:dyDescent="0.2">
      <c r="A272" s="21"/>
      <c r="B272" s="3" t="s">
        <v>0</v>
      </c>
      <c r="C272" s="3" t="s">
        <v>86</v>
      </c>
      <c r="D272" s="2"/>
    </row>
    <row r="273" spans="1:4" ht="12.75" customHeight="1" x14ac:dyDescent="0.2">
      <c r="A273" s="21"/>
      <c r="B273" s="3" t="s">
        <v>2</v>
      </c>
      <c r="C273" s="3" t="s">
        <v>3</v>
      </c>
      <c r="D273" s="2"/>
    </row>
    <row r="274" spans="1:4" ht="12.75" customHeight="1" x14ac:dyDescent="0.2">
      <c r="A274" s="21"/>
      <c r="B274" s="3" t="s">
        <v>4</v>
      </c>
      <c r="C274" s="3" t="s">
        <v>87</v>
      </c>
      <c r="D274" s="2"/>
    </row>
    <row r="275" spans="1:4" ht="12.75" customHeight="1" x14ac:dyDescent="0.2">
      <c r="A275" s="21"/>
      <c r="B275" s="3" t="s">
        <v>6</v>
      </c>
      <c r="C275" s="3" t="s">
        <v>88</v>
      </c>
      <c r="D275" s="2"/>
    </row>
    <row r="276" spans="1:4" ht="12.75" customHeight="1" x14ac:dyDescent="0.2">
      <c r="A276" s="21"/>
      <c r="B276" s="3" t="s">
        <v>8</v>
      </c>
      <c r="C276" s="3" t="s">
        <v>87</v>
      </c>
      <c r="D276" s="2"/>
    </row>
    <row r="277" spans="1:4" ht="12.75" customHeight="1" x14ac:dyDescent="0.2">
      <c r="A277" s="21"/>
      <c r="B277" s="3" t="s">
        <v>9</v>
      </c>
      <c r="C277" s="3" t="s">
        <v>84</v>
      </c>
      <c r="D277" s="2"/>
    </row>
    <row r="278" spans="1:4" ht="12.75" customHeight="1" x14ac:dyDescent="0.2">
      <c r="A278" s="21"/>
      <c r="B278" s="3" t="s">
        <v>11</v>
      </c>
      <c r="C278" s="3" t="s">
        <v>89</v>
      </c>
      <c r="D278" s="2"/>
    </row>
    <row r="279" spans="1:4" ht="12.75" customHeight="1" x14ac:dyDescent="0.2">
      <c r="A279" s="21"/>
      <c r="B279" s="3" t="s">
        <v>13</v>
      </c>
      <c r="C279" s="3" t="s">
        <v>24</v>
      </c>
      <c r="D279" s="2"/>
    </row>
    <row r="280" spans="1:4" ht="12.75" customHeight="1" x14ac:dyDescent="0.2">
      <c r="A280" s="21"/>
      <c r="B280" s="3" t="s">
        <v>15</v>
      </c>
      <c r="C280" s="3" t="s">
        <v>24</v>
      </c>
      <c r="D280" s="2"/>
    </row>
    <row r="281" spans="1:4" ht="12.75" customHeight="1" x14ac:dyDescent="0.2">
      <c r="A281" s="21"/>
      <c r="B281" s="3" t="s">
        <v>16</v>
      </c>
      <c r="C281" s="3"/>
      <c r="D281" s="2"/>
    </row>
    <row r="282" spans="1:4" ht="12.75" customHeight="1" x14ac:dyDescent="0.2">
      <c r="A282" s="21"/>
      <c r="B282" s="3" t="s">
        <v>17</v>
      </c>
      <c r="C282" s="3"/>
      <c r="D282" s="2"/>
    </row>
    <row r="283" spans="1:4" ht="12.75" customHeight="1" x14ac:dyDescent="0.2">
      <c r="A283" s="21"/>
      <c r="B283" s="3" t="s">
        <v>18</v>
      </c>
      <c r="C283" s="4" t="s">
        <v>19</v>
      </c>
      <c r="D283" s="2"/>
    </row>
    <row r="284" spans="1:4" ht="12.75" customHeight="1" x14ac:dyDescent="0.2">
      <c r="A284" s="5"/>
      <c r="B284" s="2"/>
      <c r="C284" s="2"/>
      <c r="D284" s="2"/>
    </row>
    <row r="285" spans="1:4" ht="12.75" customHeight="1" x14ac:dyDescent="0.2">
      <c r="A285" s="22" t="str">
        <f>HYPERLINK("javascript:void(0)","mágikus fúvócső")</f>
        <v>mágikus fúvócső</v>
      </c>
      <c r="B285" s="21"/>
      <c r="C285" s="21"/>
      <c r="D285" s="21"/>
    </row>
    <row r="286" spans="1:4" ht="12.75" customHeight="1" x14ac:dyDescent="0.2">
      <c r="A286" s="20"/>
      <c r="B286" s="2"/>
      <c r="C286" s="2"/>
      <c r="D286" s="2"/>
    </row>
    <row r="287" spans="1:4" ht="12.75" customHeight="1" x14ac:dyDescent="0.2">
      <c r="A287" s="21"/>
      <c r="B287" s="3" t="s">
        <v>0</v>
      </c>
      <c r="C287" s="20" t="s">
        <v>90</v>
      </c>
      <c r="D287" s="21"/>
    </row>
    <row r="288" spans="1:4" ht="12.75" customHeight="1" x14ac:dyDescent="0.2">
      <c r="A288" s="21"/>
      <c r="B288" s="3" t="s">
        <v>2</v>
      </c>
      <c r="C288" s="20" t="s">
        <v>3</v>
      </c>
      <c r="D288" s="21"/>
    </row>
    <row r="289" spans="1:4" ht="12.75" customHeight="1" x14ac:dyDescent="0.2">
      <c r="A289" s="21"/>
      <c r="B289" s="3" t="s">
        <v>4</v>
      </c>
      <c r="C289" s="20" t="s">
        <v>91</v>
      </c>
      <c r="D289" s="21"/>
    </row>
    <row r="290" spans="1:4" ht="12.75" customHeight="1" x14ac:dyDescent="0.2">
      <c r="A290" s="21"/>
      <c r="B290" s="3" t="s">
        <v>6</v>
      </c>
      <c r="C290" s="20" t="s">
        <v>92</v>
      </c>
      <c r="D290" s="21"/>
    </row>
    <row r="291" spans="1:4" ht="12.75" customHeight="1" x14ac:dyDescent="0.2">
      <c r="A291" s="21"/>
      <c r="B291" s="3" t="s">
        <v>8</v>
      </c>
      <c r="C291" s="20" t="s">
        <v>91</v>
      </c>
      <c r="D291" s="21"/>
    </row>
    <row r="292" spans="1:4" ht="12.75" customHeight="1" x14ac:dyDescent="0.2">
      <c r="A292" s="21"/>
      <c r="B292" s="3" t="s">
        <v>9</v>
      </c>
      <c r="C292" s="20" t="s">
        <v>93</v>
      </c>
      <c r="D292" s="21"/>
    </row>
    <row r="293" spans="1:4" ht="12.75" customHeight="1" x14ac:dyDescent="0.2">
      <c r="A293" s="21"/>
      <c r="B293" s="3" t="s">
        <v>11</v>
      </c>
      <c r="C293" s="20" t="s">
        <v>94</v>
      </c>
      <c r="D293" s="21"/>
    </row>
    <row r="294" spans="1:4" ht="12.75" customHeight="1" x14ac:dyDescent="0.2">
      <c r="A294" s="21"/>
      <c r="B294" s="3" t="s">
        <v>13</v>
      </c>
      <c r="C294" s="20" t="s">
        <v>24</v>
      </c>
      <c r="D294" s="21"/>
    </row>
    <row r="295" spans="1:4" ht="12.75" customHeight="1" x14ac:dyDescent="0.2">
      <c r="A295" s="21"/>
      <c r="B295" s="3" t="s">
        <v>15</v>
      </c>
      <c r="C295" s="20" t="s">
        <v>14</v>
      </c>
      <c r="D295" s="21"/>
    </row>
    <row r="296" spans="1:4" ht="12.75" customHeight="1" x14ac:dyDescent="0.2">
      <c r="A296" s="21"/>
      <c r="B296" s="3" t="s">
        <v>16</v>
      </c>
      <c r="C296" s="20"/>
      <c r="D296" s="21"/>
    </row>
    <row r="297" spans="1:4" ht="12.75" customHeight="1" x14ac:dyDescent="0.2">
      <c r="A297" s="21"/>
      <c r="B297" s="3" t="s">
        <v>17</v>
      </c>
      <c r="C297" s="20"/>
      <c r="D297" s="21"/>
    </row>
    <row r="298" spans="1:4" ht="12.75" customHeight="1" x14ac:dyDescent="0.2">
      <c r="A298" s="21"/>
      <c r="B298" s="20" t="s">
        <v>18</v>
      </c>
      <c r="C298" s="4" t="s">
        <v>44</v>
      </c>
      <c r="D298" s="6" t="str">
        <f>HYPERLINK("javascript:void(0)","fúvócső")</f>
        <v>fúvócső</v>
      </c>
    </row>
    <row r="299" spans="1:4" ht="12.75" customHeight="1" x14ac:dyDescent="0.2">
      <c r="A299" s="21"/>
      <c r="B299" s="21"/>
      <c r="C299" s="4" t="s">
        <v>44</v>
      </c>
      <c r="D299" s="6" t="str">
        <f>HYPERLINK("javascript:void(0)","gyémánt")</f>
        <v>gyémánt</v>
      </c>
    </row>
    <row r="300" spans="1:4" ht="12.75" customHeight="1" x14ac:dyDescent="0.2">
      <c r="A300" s="21"/>
      <c r="B300" s="21"/>
      <c r="C300" s="4" t="s">
        <v>67</v>
      </c>
      <c r="D300" s="6" t="str">
        <f>HYPERLINK("javascript:void(0)","ezüstfullánk")</f>
        <v>ezüstfullánk</v>
      </c>
    </row>
    <row r="301" spans="1:4" ht="12.75" customHeight="1" x14ac:dyDescent="0.2">
      <c r="A301" s="5"/>
      <c r="B301" s="2"/>
      <c r="C301" s="2"/>
      <c r="D301" s="2"/>
    </row>
    <row r="302" spans="1:4" ht="12.75" customHeight="1" x14ac:dyDescent="0.2">
      <c r="A302" s="22" t="str">
        <f>HYPERLINK("javascript:void(0)","visszacsapó íj")</f>
        <v>visszacsapó íj</v>
      </c>
      <c r="B302" s="21"/>
      <c r="C302" s="21"/>
      <c r="D302" s="21"/>
    </row>
    <row r="303" spans="1:4" ht="12.75" customHeight="1" x14ac:dyDescent="0.2">
      <c r="A303" s="20"/>
      <c r="B303" s="2"/>
      <c r="C303" s="2"/>
      <c r="D303" s="2"/>
    </row>
    <row r="304" spans="1:4" ht="12.75" customHeight="1" x14ac:dyDescent="0.2">
      <c r="A304" s="21"/>
      <c r="B304" s="3" t="s">
        <v>0</v>
      </c>
      <c r="C304" s="20" t="s">
        <v>90</v>
      </c>
      <c r="D304" s="21"/>
    </row>
    <row r="305" spans="1:4" ht="12.75" customHeight="1" x14ac:dyDescent="0.2">
      <c r="A305" s="21"/>
      <c r="B305" s="3" t="s">
        <v>2</v>
      </c>
      <c r="C305" s="20" t="s">
        <v>3</v>
      </c>
      <c r="D305" s="21"/>
    </row>
    <row r="306" spans="1:4" ht="12.75" customHeight="1" x14ac:dyDescent="0.2">
      <c r="A306" s="21"/>
      <c r="B306" s="3" t="s">
        <v>4</v>
      </c>
      <c r="C306" s="20" t="s">
        <v>95</v>
      </c>
      <c r="D306" s="21"/>
    </row>
    <row r="307" spans="1:4" ht="12.75" customHeight="1" x14ac:dyDescent="0.2">
      <c r="A307" s="21"/>
      <c r="B307" s="3" t="s">
        <v>6</v>
      </c>
      <c r="C307" s="20" t="s">
        <v>32</v>
      </c>
      <c r="D307" s="21"/>
    </row>
    <row r="308" spans="1:4" ht="12.75" customHeight="1" x14ac:dyDescent="0.2">
      <c r="A308" s="21"/>
      <c r="B308" s="3" t="s">
        <v>8</v>
      </c>
      <c r="C308" s="20" t="s">
        <v>95</v>
      </c>
      <c r="D308" s="21"/>
    </row>
    <row r="309" spans="1:4" ht="12.75" customHeight="1" x14ac:dyDescent="0.2">
      <c r="A309" s="21"/>
      <c r="B309" s="3" t="s">
        <v>9</v>
      </c>
      <c r="C309" s="20" t="s">
        <v>96</v>
      </c>
      <c r="D309" s="21"/>
    </row>
    <row r="310" spans="1:4" ht="12.75" customHeight="1" x14ac:dyDescent="0.2">
      <c r="A310" s="21"/>
      <c r="B310" s="3" t="s">
        <v>11</v>
      </c>
      <c r="C310" s="20" t="s">
        <v>97</v>
      </c>
      <c r="D310" s="21"/>
    </row>
    <row r="311" spans="1:4" ht="12.75" customHeight="1" x14ac:dyDescent="0.2">
      <c r="A311" s="21"/>
      <c r="B311" s="3" t="s">
        <v>13</v>
      </c>
      <c r="C311" s="20" t="s">
        <v>14</v>
      </c>
      <c r="D311" s="21"/>
    </row>
    <row r="312" spans="1:4" ht="12.75" customHeight="1" x14ac:dyDescent="0.2">
      <c r="A312" s="21"/>
      <c r="B312" s="3" t="s">
        <v>15</v>
      </c>
      <c r="C312" s="20" t="s">
        <v>14</v>
      </c>
      <c r="D312" s="21"/>
    </row>
    <row r="313" spans="1:4" ht="12.75" customHeight="1" x14ac:dyDescent="0.2">
      <c r="A313" s="21"/>
      <c r="B313" s="3" t="s">
        <v>16</v>
      </c>
      <c r="C313" s="20"/>
      <c r="D313" s="21"/>
    </row>
    <row r="314" spans="1:4" ht="12.75" customHeight="1" x14ac:dyDescent="0.2">
      <c r="A314" s="21"/>
      <c r="B314" s="3" t="s">
        <v>17</v>
      </c>
      <c r="C314" s="20"/>
      <c r="D314" s="21"/>
    </row>
    <row r="315" spans="1:4" ht="12.75" customHeight="1" x14ac:dyDescent="0.2">
      <c r="A315" s="21"/>
      <c r="B315" s="20" t="s">
        <v>18</v>
      </c>
      <c r="C315" s="4" t="s">
        <v>44</v>
      </c>
      <c r="D315" s="6" t="str">
        <f>HYPERLINK("javascript:void(0)","íj")</f>
        <v>íj</v>
      </c>
    </row>
    <row r="316" spans="1:4" ht="12.75" customHeight="1" x14ac:dyDescent="0.2">
      <c r="A316" s="21"/>
      <c r="B316" s="21"/>
      <c r="C316" s="4" t="s">
        <v>55</v>
      </c>
      <c r="D316" s="6" t="str">
        <f>HYPERLINK("javascript:void(0)","gorillanyelv")</f>
        <v>gorillanyelv</v>
      </c>
    </row>
    <row r="317" spans="1:4" ht="12.75" customHeight="1" x14ac:dyDescent="0.2">
      <c r="A317" s="21"/>
      <c r="B317" s="21"/>
      <c r="C317" s="4" t="s">
        <v>98</v>
      </c>
      <c r="D317" s="6" t="str">
        <f>HYPERLINK("javascript:void(0)","oroszlánbajusz")</f>
        <v>oroszlánbajusz</v>
      </c>
    </row>
    <row r="318" spans="1:4" ht="12.75" customHeight="1" x14ac:dyDescent="0.2">
      <c r="A318" s="5"/>
      <c r="B318" s="2"/>
      <c r="C318" s="2"/>
      <c r="D318" s="2"/>
    </row>
    <row r="319" spans="1:4" ht="12.75" customHeight="1" x14ac:dyDescent="0.2">
      <c r="A319" s="22" t="str">
        <f>HYPERLINK("javascript:void(0)","vámpír fúvócső")</f>
        <v>vámpír fúvócső</v>
      </c>
      <c r="B319" s="21"/>
      <c r="C319" s="21"/>
      <c r="D319" s="21"/>
    </row>
    <row r="320" spans="1:4" ht="12.75" customHeight="1" x14ac:dyDescent="0.2">
      <c r="A320" s="20"/>
      <c r="B320" s="2"/>
      <c r="C320" s="2"/>
      <c r="D320" s="2"/>
    </row>
    <row r="321" spans="1:4" ht="12.75" customHeight="1" x14ac:dyDescent="0.2">
      <c r="A321" s="21"/>
      <c r="B321" s="3" t="s">
        <v>0</v>
      </c>
      <c r="C321" s="20" t="s">
        <v>92</v>
      </c>
      <c r="D321" s="21"/>
    </row>
    <row r="322" spans="1:4" ht="12.75" customHeight="1" x14ac:dyDescent="0.2">
      <c r="A322" s="21"/>
      <c r="B322" s="3" t="s">
        <v>2</v>
      </c>
      <c r="C322" s="20" t="s">
        <v>3</v>
      </c>
      <c r="D322" s="21"/>
    </row>
    <row r="323" spans="1:4" ht="12.75" customHeight="1" x14ac:dyDescent="0.2">
      <c r="A323" s="21"/>
      <c r="B323" s="3" t="s">
        <v>4</v>
      </c>
      <c r="C323" s="20" t="s">
        <v>99</v>
      </c>
      <c r="D323" s="21"/>
    </row>
    <row r="324" spans="1:4" ht="12.75" customHeight="1" x14ac:dyDescent="0.2">
      <c r="A324" s="21"/>
      <c r="B324" s="3" t="s">
        <v>6</v>
      </c>
      <c r="C324" s="20" t="s">
        <v>100</v>
      </c>
      <c r="D324" s="21"/>
    </row>
    <row r="325" spans="1:4" ht="12.75" customHeight="1" x14ac:dyDescent="0.2">
      <c r="A325" s="21"/>
      <c r="B325" s="3" t="s">
        <v>8</v>
      </c>
      <c r="C325" s="20" t="s">
        <v>99</v>
      </c>
      <c r="D325" s="21"/>
    </row>
    <row r="326" spans="1:4" ht="12.75" customHeight="1" x14ac:dyDescent="0.2">
      <c r="A326" s="21"/>
      <c r="B326" s="3" t="s">
        <v>9</v>
      </c>
      <c r="C326" s="20" t="s">
        <v>93</v>
      </c>
      <c r="D326" s="21"/>
    </row>
    <row r="327" spans="1:4" ht="12.75" customHeight="1" x14ac:dyDescent="0.2">
      <c r="A327" s="21"/>
      <c r="B327" s="3" t="s">
        <v>11</v>
      </c>
      <c r="C327" s="20" t="s">
        <v>101</v>
      </c>
      <c r="D327" s="21"/>
    </row>
    <row r="328" spans="1:4" ht="12.75" customHeight="1" x14ac:dyDescent="0.2">
      <c r="A328" s="21"/>
      <c r="B328" s="3" t="s">
        <v>13</v>
      </c>
      <c r="C328" s="20" t="s">
        <v>14</v>
      </c>
      <c r="D328" s="21"/>
    </row>
    <row r="329" spans="1:4" ht="12.75" customHeight="1" x14ac:dyDescent="0.2">
      <c r="A329" s="21"/>
      <c r="B329" s="3" t="s">
        <v>15</v>
      </c>
      <c r="C329" s="20" t="s">
        <v>24</v>
      </c>
      <c r="D329" s="21"/>
    </row>
    <row r="330" spans="1:4" ht="12.75" customHeight="1" x14ac:dyDescent="0.2">
      <c r="A330" s="21"/>
      <c r="B330" s="3" t="s">
        <v>16</v>
      </c>
      <c r="C330" s="20"/>
      <c r="D330" s="21"/>
    </row>
    <row r="331" spans="1:4" ht="12.75" customHeight="1" x14ac:dyDescent="0.2">
      <c r="A331" s="21"/>
      <c r="B331" s="3" t="s">
        <v>17</v>
      </c>
      <c r="C331" s="20"/>
      <c r="D331" s="21"/>
    </row>
    <row r="332" spans="1:4" ht="12.75" customHeight="1" x14ac:dyDescent="0.2">
      <c r="A332" s="21"/>
      <c r="B332" s="20" t="s">
        <v>18</v>
      </c>
      <c r="C332" s="4" t="s">
        <v>44</v>
      </c>
      <c r="D332" s="6" t="str">
        <f>HYPERLINK("javascript:void(0)","fúvócső")</f>
        <v>fúvócső</v>
      </c>
    </row>
    <row r="333" spans="1:4" ht="12.75" customHeight="1" x14ac:dyDescent="0.2">
      <c r="A333" s="21"/>
      <c r="B333" s="21"/>
      <c r="C333" s="4" t="s">
        <v>102</v>
      </c>
      <c r="D333" s="6" t="str">
        <f>HYPERLINK("javascript:void(0)","ezüstfullánk")</f>
        <v>ezüstfullánk</v>
      </c>
    </row>
    <row r="334" spans="1:4" ht="12.75" customHeight="1" x14ac:dyDescent="0.2">
      <c r="A334" s="21"/>
      <c r="B334" s="21"/>
      <c r="C334" s="4" t="s">
        <v>55</v>
      </c>
      <c r="D334" s="6" t="str">
        <f>HYPERLINK("javascript:void(0)","vámpírherbium")</f>
        <v>vámpírherbium</v>
      </c>
    </row>
    <row r="335" spans="1:4" ht="12.75" customHeight="1" x14ac:dyDescent="0.2">
      <c r="A335" s="5"/>
      <c r="B335" s="2"/>
      <c r="C335" s="2"/>
      <c r="D335" s="2"/>
    </row>
    <row r="336" spans="1:4" ht="12.75" customHeight="1" x14ac:dyDescent="0.2">
      <c r="A336" s="22" t="str">
        <f>HYPERLINK("javascript:void(0)","skivei fúvócső")</f>
        <v>skivei fúvócső</v>
      </c>
      <c r="B336" s="21"/>
      <c r="C336" s="21"/>
      <c r="D336" s="21"/>
    </row>
    <row r="337" spans="1:4" ht="12.75" customHeight="1" x14ac:dyDescent="0.2">
      <c r="A337" s="20"/>
      <c r="B337" s="2"/>
      <c r="C337" s="2"/>
      <c r="D337" s="2"/>
    </row>
    <row r="338" spans="1:4" ht="12.75" customHeight="1" x14ac:dyDescent="0.2">
      <c r="A338" s="21"/>
      <c r="B338" s="3" t="s">
        <v>0</v>
      </c>
      <c r="C338" s="20" t="s">
        <v>92</v>
      </c>
      <c r="D338" s="21"/>
    </row>
    <row r="339" spans="1:4" ht="12.75" customHeight="1" x14ac:dyDescent="0.2">
      <c r="A339" s="21"/>
      <c r="B339" s="3" t="s">
        <v>2</v>
      </c>
      <c r="C339" s="20" t="s">
        <v>3</v>
      </c>
      <c r="D339" s="21"/>
    </row>
    <row r="340" spans="1:4" ht="12.75" customHeight="1" x14ac:dyDescent="0.2">
      <c r="A340" s="21"/>
      <c r="B340" s="3" t="s">
        <v>4</v>
      </c>
      <c r="C340" s="20" t="s">
        <v>103</v>
      </c>
      <c r="D340" s="21"/>
    </row>
    <row r="341" spans="1:4" ht="12.75" customHeight="1" x14ac:dyDescent="0.2">
      <c r="A341" s="21"/>
      <c r="B341" s="3" t="s">
        <v>6</v>
      </c>
      <c r="C341" s="20" t="s">
        <v>100</v>
      </c>
      <c r="D341" s="21"/>
    </row>
    <row r="342" spans="1:4" ht="12.75" customHeight="1" x14ac:dyDescent="0.2">
      <c r="A342" s="21"/>
      <c r="B342" s="3" t="s">
        <v>8</v>
      </c>
      <c r="C342" s="20" t="s">
        <v>103</v>
      </c>
      <c r="D342" s="21"/>
    </row>
    <row r="343" spans="1:4" ht="12.75" customHeight="1" x14ac:dyDescent="0.2">
      <c r="A343" s="21"/>
      <c r="B343" s="3" t="s">
        <v>9</v>
      </c>
      <c r="C343" s="20" t="s">
        <v>104</v>
      </c>
      <c r="D343" s="21"/>
    </row>
    <row r="344" spans="1:4" ht="12.75" customHeight="1" x14ac:dyDescent="0.2">
      <c r="A344" s="21"/>
      <c r="B344" s="3" t="s">
        <v>11</v>
      </c>
      <c r="C344" s="20" t="s">
        <v>105</v>
      </c>
      <c r="D344" s="21"/>
    </row>
    <row r="345" spans="1:4" ht="12.75" customHeight="1" x14ac:dyDescent="0.2">
      <c r="A345" s="21"/>
      <c r="B345" s="3" t="s">
        <v>13</v>
      </c>
      <c r="C345" s="20" t="s">
        <v>24</v>
      </c>
      <c r="D345" s="21"/>
    </row>
    <row r="346" spans="1:4" ht="12.75" customHeight="1" x14ac:dyDescent="0.2">
      <c r="A346" s="21"/>
      <c r="B346" s="3" t="s">
        <v>15</v>
      </c>
      <c r="C346" s="20" t="s">
        <v>14</v>
      </c>
      <c r="D346" s="21"/>
    </row>
    <row r="347" spans="1:4" ht="12.75" customHeight="1" x14ac:dyDescent="0.2">
      <c r="A347" s="21"/>
      <c r="B347" s="3" t="s">
        <v>16</v>
      </c>
      <c r="C347" s="20"/>
      <c r="D347" s="21"/>
    </row>
    <row r="348" spans="1:4" ht="12.75" customHeight="1" x14ac:dyDescent="0.2">
      <c r="A348" s="21"/>
      <c r="B348" s="3" t="s">
        <v>17</v>
      </c>
      <c r="C348" s="20"/>
      <c r="D348" s="21"/>
    </row>
    <row r="349" spans="1:4" ht="12.75" customHeight="1" x14ac:dyDescent="0.2">
      <c r="A349" s="21"/>
      <c r="B349" s="20" t="s">
        <v>18</v>
      </c>
      <c r="C349" s="4" t="s">
        <v>44</v>
      </c>
      <c r="D349" s="6" t="str">
        <f>HYPERLINK("javascript:void(0)","kithrill")</f>
        <v>kithrill</v>
      </c>
    </row>
    <row r="350" spans="1:4" ht="12.75" customHeight="1" x14ac:dyDescent="0.2">
      <c r="A350" s="21"/>
      <c r="B350" s="21"/>
      <c r="C350" s="4" t="s">
        <v>44</v>
      </c>
      <c r="D350" s="6" t="str">
        <f>HYPERLINK("javascript:void(0)","fúvócső")</f>
        <v>fúvócső</v>
      </c>
    </row>
    <row r="351" spans="1:4" ht="12.75" customHeight="1" x14ac:dyDescent="0.2">
      <c r="A351" s="21"/>
      <c r="B351" s="21"/>
      <c r="C351" s="4" t="s">
        <v>106</v>
      </c>
      <c r="D351" s="6" t="str">
        <f>HYPERLINK("javascript:void(0)","ezüst")</f>
        <v>ezüst</v>
      </c>
    </row>
    <row r="352" spans="1:4" ht="12.75" customHeight="1" x14ac:dyDescent="0.2">
      <c r="A352" s="5"/>
      <c r="B352" s="2"/>
      <c r="C352" s="2"/>
      <c r="D352" s="2"/>
    </row>
    <row r="353" spans="1:4" ht="12.75" customHeight="1" x14ac:dyDescent="0.2">
      <c r="A353" s="22" t="str">
        <f>HYPERLINK("javascript:void(0)","smaragd köpőcső")</f>
        <v>smaragd köpőcső</v>
      </c>
      <c r="B353" s="21"/>
      <c r="C353" s="21"/>
      <c r="D353" s="21"/>
    </row>
    <row r="354" spans="1:4" ht="12.75" customHeight="1" x14ac:dyDescent="0.2">
      <c r="A354" s="20"/>
      <c r="B354" s="2"/>
      <c r="C354" s="2"/>
      <c r="D354" s="2"/>
    </row>
    <row r="355" spans="1:4" ht="12.75" customHeight="1" x14ac:dyDescent="0.2">
      <c r="A355" s="21"/>
      <c r="B355" s="3" t="s">
        <v>0</v>
      </c>
      <c r="C355" s="20" t="s">
        <v>92</v>
      </c>
      <c r="D355" s="21"/>
    </row>
    <row r="356" spans="1:4" ht="12.75" customHeight="1" x14ac:dyDescent="0.2">
      <c r="A356" s="21"/>
      <c r="B356" s="3" t="s">
        <v>2</v>
      </c>
      <c r="C356" s="20" t="s">
        <v>3</v>
      </c>
      <c r="D356" s="21"/>
    </row>
    <row r="357" spans="1:4" ht="12.75" customHeight="1" x14ac:dyDescent="0.2">
      <c r="A357" s="21"/>
      <c r="B357" s="3" t="s">
        <v>4</v>
      </c>
      <c r="C357" s="20" t="s">
        <v>107</v>
      </c>
      <c r="D357" s="21"/>
    </row>
    <row r="358" spans="1:4" ht="12.75" customHeight="1" x14ac:dyDescent="0.2">
      <c r="A358" s="21"/>
      <c r="B358" s="3" t="s">
        <v>6</v>
      </c>
      <c r="C358" s="20" t="s">
        <v>92</v>
      </c>
      <c r="D358" s="21"/>
    </row>
    <row r="359" spans="1:4" ht="12.75" customHeight="1" x14ac:dyDescent="0.2">
      <c r="A359" s="21"/>
      <c r="B359" s="3" t="s">
        <v>8</v>
      </c>
      <c r="C359" s="20" t="s">
        <v>107</v>
      </c>
      <c r="D359" s="21"/>
    </row>
    <row r="360" spans="1:4" ht="12.75" customHeight="1" x14ac:dyDescent="0.2">
      <c r="A360" s="21"/>
      <c r="B360" s="3" t="s">
        <v>9</v>
      </c>
      <c r="C360" s="20" t="s">
        <v>30</v>
      </c>
      <c r="D360" s="21"/>
    </row>
    <row r="361" spans="1:4" ht="12.75" customHeight="1" x14ac:dyDescent="0.2">
      <c r="A361" s="21"/>
      <c r="B361" s="3" t="s">
        <v>11</v>
      </c>
      <c r="C361" s="20" t="s">
        <v>108</v>
      </c>
      <c r="D361" s="21"/>
    </row>
    <row r="362" spans="1:4" ht="12.75" customHeight="1" x14ac:dyDescent="0.2">
      <c r="A362" s="21"/>
      <c r="B362" s="3" t="s">
        <v>13</v>
      </c>
      <c r="C362" s="20" t="s">
        <v>24</v>
      </c>
      <c r="D362" s="21"/>
    </row>
    <row r="363" spans="1:4" ht="12.75" customHeight="1" x14ac:dyDescent="0.2">
      <c r="A363" s="21"/>
      <c r="B363" s="3" t="s">
        <v>15</v>
      </c>
      <c r="C363" s="20" t="s">
        <v>24</v>
      </c>
      <c r="D363" s="21"/>
    </row>
    <row r="364" spans="1:4" ht="12.75" customHeight="1" x14ac:dyDescent="0.2">
      <c r="A364" s="21"/>
      <c r="B364" s="3" t="s">
        <v>16</v>
      </c>
      <c r="C364" s="20"/>
      <c r="D364" s="21"/>
    </row>
    <row r="365" spans="1:4" ht="12.75" customHeight="1" x14ac:dyDescent="0.2">
      <c r="A365" s="21"/>
      <c r="B365" s="3" t="s">
        <v>17</v>
      </c>
      <c r="C365" s="20"/>
      <c r="D365" s="21"/>
    </row>
    <row r="366" spans="1:4" ht="12.75" customHeight="1" x14ac:dyDescent="0.2">
      <c r="A366" s="21"/>
      <c r="B366" s="20" t="s">
        <v>18</v>
      </c>
      <c r="C366" s="4" t="s">
        <v>109</v>
      </c>
      <c r="D366" s="6" t="str">
        <f>HYPERLINK("javascript:void(0)","smaragd")</f>
        <v>smaragd</v>
      </c>
    </row>
    <row r="367" spans="1:4" ht="12.75" customHeight="1" x14ac:dyDescent="0.2">
      <c r="A367" s="21"/>
      <c r="B367" s="21"/>
      <c r="C367" s="4" t="s">
        <v>68</v>
      </c>
      <c r="D367" s="6" t="str">
        <f>HYPERLINK("javascript:void(0)","undormány")</f>
        <v>undormány</v>
      </c>
    </row>
    <row r="368" spans="1:4" ht="12.75" customHeight="1" x14ac:dyDescent="0.2">
      <c r="A368" s="21"/>
      <c r="B368" s="21"/>
      <c r="C368" s="4" t="s">
        <v>56</v>
      </c>
      <c r="D368" s="6" t="str">
        <f>HYPERLINK("javascript:void(0)","képcső")</f>
        <v>képcső</v>
      </c>
    </row>
    <row r="369" spans="1:4" ht="12.75" customHeight="1" x14ac:dyDescent="0.2">
      <c r="A369" s="5"/>
      <c r="B369" s="2"/>
      <c r="C369" s="2"/>
      <c r="D369" s="2"/>
    </row>
    <row r="370" spans="1:4" ht="12.75" customHeight="1" x14ac:dyDescent="0.2">
      <c r="A370" s="22" t="str">
        <f>HYPERLINK("javascript:void(0)","csillagvető")</f>
        <v>csillagvető</v>
      </c>
      <c r="B370" s="21"/>
      <c r="C370" s="21"/>
      <c r="D370" s="21"/>
    </row>
    <row r="371" spans="1:4" ht="12.75" customHeight="1" x14ac:dyDescent="0.2">
      <c r="A371" s="20"/>
      <c r="B371" s="2"/>
      <c r="C371" s="2"/>
      <c r="D371" s="2"/>
    </row>
    <row r="372" spans="1:4" ht="12.75" customHeight="1" x14ac:dyDescent="0.2">
      <c r="A372" s="21"/>
      <c r="B372" s="3" t="s">
        <v>0</v>
      </c>
      <c r="C372" s="20" t="s">
        <v>100</v>
      </c>
      <c r="D372" s="21"/>
    </row>
    <row r="373" spans="1:4" ht="12.75" customHeight="1" x14ac:dyDescent="0.2">
      <c r="A373" s="21"/>
      <c r="B373" s="3" t="s">
        <v>2</v>
      </c>
      <c r="C373" s="20" t="s">
        <v>3</v>
      </c>
      <c r="D373" s="21"/>
    </row>
    <row r="374" spans="1:4" ht="12.75" customHeight="1" x14ac:dyDescent="0.2">
      <c r="A374" s="21"/>
      <c r="B374" s="3" t="s">
        <v>4</v>
      </c>
      <c r="C374" s="20" t="s">
        <v>110</v>
      </c>
      <c r="D374" s="21"/>
    </row>
    <row r="375" spans="1:4" ht="12.75" customHeight="1" x14ac:dyDescent="0.2">
      <c r="A375" s="21"/>
      <c r="B375" s="3" t="s">
        <v>6</v>
      </c>
      <c r="C375" s="20" t="s">
        <v>40</v>
      </c>
      <c r="D375" s="21"/>
    </row>
    <row r="376" spans="1:4" ht="12.75" customHeight="1" x14ac:dyDescent="0.2">
      <c r="A376" s="21"/>
      <c r="B376" s="3" t="s">
        <v>8</v>
      </c>
      <c r="C376" s="20" t="s">
        <v>110</v>
      </c>
      <c r="D376" s="21"/>
    </row>
    <row r="377" spans="1:4" ht="12.75" customHeight="1" x14ac:dyDescent="0.2">
      <c r="A377" s="21"/>
      <c r="B377" s="3" t="s">
        <v>9</v>
      </c>
      <c r="C377" s="20" t="s">
        <v>42</v>
      </c>
      <c r="D377" s="21"/>
    </row>
    <row r="378" spans="1:4" ht="12.75" customHeight="1" x14ac:dyDescent="0.2">
      <c r="A378" s="21"/>
      <c r="B378" s="3" t="s">
        <v>11</v>
      </c>
      <c r="C378" s="20" t="s">
        <v>111</v>
      </c>
      <c r="D378" s="21"/>
    </row>
    <row r="379" spans="1:4" ht="12.75" customHeight="1" x14ac:dyDescent="0.2">
      <c r="A379" s="21"/>
      <c r="B379" s="3" t="s">
        <v>13</v>
      </c>
      <c r="C379" s="20" t="s">
        <v>24</v>
      </c>
      <c r="D379" s="21"/>
    </row>
    <row r="380" spans="1:4" ht="12.75" customHeight="1" x14ac:dyDescent="0.2">
      <c r="A380" s="21"/>
      <c r="B380" s="3" t="s">
        <v>15</v>
      </c>
      <c r="C380" s="20" t="s">
        <v>14</v>
      </c>
      <c r="D380" s="21"/>
    </row>
    <row r="381" spans="1:4" ht="12.75" customHeight="1" x14ac:dyDescent="0.2">
      <c r="A381" s="21"/>
      <c r="B381" s="3" t="s">
        <v>16</v>
      </c>
      <c r="C381" s="20"/>
      <c r="D381" s="21"/>
    </row>
    <row r="382" spans="1:4" ht="12.75" customHeight="1" x14ac:dyDescent="0.2">
      <c r="A382" s="21"/>
      <c r="B382" s="3" t="s">
        <v>17</v>
      </c>
      <c r="C382" s="20"/>
      <c r="D382" s="21"/>
    </row>
    <row r="383" spans="1:4" ht="12.75" customHeight="1" x14ac:dyDescent="0.2">
      <c r="A383" s="21"/>
      <c r="B383" s="20" t="s">
        <v>18</v>
      </c>
      <c r="C383" s="4" t="s">
        <v>44</v>
      </c>
      <c r="D383" s="6" t="str">
        <f>HYPERLINK("javascript:void(0)","nyilvető")</f>
        <v>nyilvető</v>
      </c>
    </row>
    <row r="384" spans="1:4" ht="12.75" customHeight="1" x14ac:dyDescent="0.2">
      <c r="A384" s="21"/>
      <c r="B384" s="21"/>
      <c r="C384" s="4" t="s">
        <v>57</v>
      </c>
      <c r="D384" s="6" t="str">
        <f>HYPERLINK("javascript:void(0)","kristálylap")</f>
        <v>kristálylap</v>
      </c>
    </row>
    <row r="385" spans="1:4" ht="12.75" customHeight="1" x14ac:dyDescent="0.2">
      <c r="A385" s="21"/>
      <c r="B385" s="21"/>
      <c r="C385" s="4" t="s">
        <v>56</v>
      </c>
      <c r="D385" s="6" t="str">
        <f>HYPERLINK("javascript:void(0)","gyémánt")</f>
        <v>gyémánt</v>
      </c>
    </row>
    <row r="386" spans="1:4" ht="12.75" customHeight="1" x14ac:dyDescent="0.2">
      <c r="A386" s="5"/>
      <c r="B386" s="2"/>
      <c r="C386" s="2"/>
      <c r="D386" s="2"/>
    </row>
    <row r="387" spans="1:4" ht="12.75" customHeight="1" x14ac:dyDescent="0.2">
      <c r="A387" s="22" t="str">
        <f>HYPERLINK("javascript:void(0)","Kaltenekker íj")</f>
        <v>Kaltenekker íj</v>
      </c>
      <c r="B387" s="21"/>
      <c r="C387" s="21"/>
      <c r="D387" s="2"/>
    </row>
    <row r="388" spans="1:4" ht="12.75" customHeight="1" x14ac:dyDescent="0.2">
      <c r="A388" s="20"/>
      <c r="B388" s="2"/>
      <c r="C388" s="2"/>
      <c r="D388" s="2"/>
    </row>
    <row r="389" spans="1:4" ht="12.75" customHeight="1" x14ac:dyDescent="0.2">
      <c r="A389" s="21"/>
      <c r="B389" s="3" t="s">
        <v>0</v>
      </c>
      <c r="C389" s="3" t="s">
        <v>100</v>
      </c>
      <c r="D389" s="2"/>
    </row>
    <row r="390" spans="1:4" ht="12.75" customHeight="1" x14ac:dyDescent="0.2">
      <c r="A390" s="21"/>
      <c r="B390" s="3" t="s">
        <v>2</v>
      </c>
      <c r="C390" s="3" t="s">
        <v>3</v>
      </c>
      <c r="D390" s="2"/>
    </row>
    <row r="391" spans="1:4" ht="12.75" customHeight="1" x14ac:dyDescent="0.2">
      <c r="A391" s="21"/>
      <c r="B391" s="3" t="s">
        <v>4</v>
      </c>
      <c r="C391" s="3" t="s">
        <v>112</v>
      </c>
      <c r="D391" s="2"/>
    </row>
    <row r="392" spans="1:4" ht="12.75" customHeight="1" x14ac:dyDescent="0.2">
      <c r="A392" s="21"/>
      <c r="B392" s="3" t="s">
        <v>6</v>
      </c>
      <c r="C392" s="3" t="s">
        <v>5</v>
      </c>
      <c r="D392" s="2"/>
    </row>
    <row r="393" spans="1:4" ht="12.75" customHeight="1" x14ac:dyDescent="0.2">
      <c r="A393" s="21"/>
      <c r="B393" s="3" t="s">
        <v>8</v>
      </c>
      <c r="C393" s="3" t="s">
        <v>112</v>
      </c>
      <c r="D393" s="2"/>
    </row>
    <row r="394" spans="1:4" ht="12.75" customHeight="1" x14ac:dyDescent="0.2">
      <c r="A394" s="21"/>
      <c r="B394" s="3" t="s">
        <v>9</v>
      </c>
      <c r="C394" s="3" t="s">
        <v>113</v>
      </c>
      <c r="D394" s="2"/>
    </row>
    <row r="395" spans="1:4" ht="12.75" customHeight="1" x14ac:dyDescent="0.2">
      <c r="A395" s="21"/>
      <c r="B395" s="3" t="s">
        <v>11</v>
      </c>
      <c r="C395" s="3" t="s">
        <v>114</v>
      </c>
      <c r="D395" s="2"/>
    </row>
    <row r="396" spans="1:4" ht="12.75" customHeight="1" x14ac:dyDescent="0.2">
      <c r="A396" s="21"/>
      <c r="B396" s="3" t="s">
        <v>13</v>
      </c>
      <c r="C396" s="3" t="s">
        <v>24</v>
      </c>
      <c r="D396" s="2"/>
    </row>
    <row r="397" spans="1:4" ht="12.75" customHeight="1" x14ac:dyDescent="0.2">
      <c r="A397" s="21"/>
      <c r="B397" s="3" t="s">
        <v>15</v>
      </c>
      <c r="C397" s="3" t="s">
        <v>24</v>
      </c>
      <c r="D397" s="2"/>
    </row>
    <row r="398" spans="1:4" ht="12.75" customHeight="1" x14ac:dyDescent="0.2">
      <c r="A398" s="21"/>
      <c r="B398" s="3" t="s">
        <v>16</v>
      </c>
      <c r="C398" s="3"/>
      <c r="D398" s="2"/>
    </row>
    <row r="399" spans="1:4" ht="12.75" customHeight="1" x14ac:dyDescent="0.2">
      <c r="A399" s="21"/>
      <c r="B399" s="3" t="s">
        <v>17</v>
      </c>
      <c r="C399" s="3"/>
      <c r="D399" s="2"/>
    </row>
    <row r="400" spans="1:4" ht="12.75" customHeight="1" x14ac:dyDescent="0.2">
      <c r="A400" s="21"/>
      <c r="B400" s="3" t="s">
        <v>18</v>
      </c>
      <c r="C400" s="4" t="s">
        <v>19</v>
      </c>
      <c r="D400" s="2"/>
    </row>
    <row r="401" spans="1:4" ht="12.75" customHeight="1" x14ac:dyDescent="0.2">
      <c r="A401" s="5"/>
      <c r="B401" s="2"/>
      <c r="C401" s="2"/>
      <c r="D401" s="2"/>
    </row>
    <row r="402" spans="1:4" ht="12.75" customHeight="1" x14ac:dyDescent="0.2">
      <c r="A402" s="22" t="str">
        <f>HYPERLINK("javascript:void(0)","rubin köpőcső")</f>
        <v>rubin köpőcső</v>
      </c>
      <c r="B402" s="21"/>
      <c r="C402" s="21"/>
      <c r="D402" s="21"/>
    </row>
    <row r="403" spans="1:4" ht="12.75" customHeight="1" x14ac:dyDescent="0.2">
      <c r="A403" s="20"/>
      <c r="B403" s="2"/>
      <c r="C403" s="2"/>
      <c r="D403" s="2"/>
    </row>
    <row r="404" spans="1:4" ht="12.75" customHeight="1" x14ac:dyDescent="0.2">
      <c r="A404" s="21"/>
      <c r="B404" s="3" t="s">
        <v>0</v>
      </c>
      <c r="C404" s="20" t="s">
        <v>100</v>
      </c>
      <c r="D404" s="21"/>
    </row>
    <row r="405" spans="1:4" ht="12.75" customHeight="1" x14ac:dyDescent="0.2">
      <c r="A405" s="21"/>
      <c r="B405" s="3" t="s">
        <v>2</v>
      </c>
      <c r="C405" s="20" t="s">
        <v>3</v>
      </c>
      <c r="D405" s="21"/>
    </row>
    <row r="406" spans="1:4" ht="12.75" customHeight="1" x14ac:dyDescent="0.2">
      <c r="A406" s="21"/>
      <c r="B406" s="3" t="s">
        <v>4</v>
      </c>
      <c r="C406" s="20" t="s">
        <v>115</v>
      </c>
      <c r="D406" s="21"/>
    </row>
    <row r="407" spans="1:4" ht="12.75" customHeight="1" x14ac:dyDescent="0.2">
      <c r="A407" s="21"/>
      <c r="B407" s="3" t="s">
        <v>6</v>
      </c>
      <c r="C407" s="20" t="s">
        <v>92</v>
      </c>
      <c r="D407" s="21"/>
    </row>
    <row r="408" spans="1:4" ht="12.75" customHeight="1" x14ac:dyDescent="0.2">
      <c r="A408" s="21"/>
      <c r="B408" s="3" t="s">
        <v>8</v>
      </c>
      <c r="C408" s="20" t="s">
        <v>115</v>
      </c>
      <c r="D408" s="21"/>
    </row>
    <row r="409" spans="1:4" ht="12.75" customHeight="1" x14ac:dyDescent="0.2">
      <c r="A409" s="21"/>
      <c r="B409" s="3" t="s">
        <v>9</v>
      </c>
      <c r="C409" s="20" t="s">
        <v>93</v>
      </c>
      <c r="D409" s="21"/>
    </row>
    <row r="410" spans="1:4" ht="12.75" customHeight="1" x14ac:dyDescent="0.2">
      <c r="A410" s="21"/>
      <c r="B410" s="3" t="s">
        <v>11</v>
      </c>
      <c r="C410" s="20" t="s">
        <v>116</v>
      </c>
      <c r="D410" s="21"/>
    </row>
    <row r="411" spans="1:4" ht="12.75" customHeight="1" x14ac:dyDescent="0.2">
      <c r="A411" s="21"/>
      <c r="B411" s="3" t="s">
        <v>13</v>
      </c>
      <c r="C411" s="20" t="s">
        <v>24</v>
      </c>
      <c r="D411" s="21"/>
    </row>
    <row r="412" spans="1:4" ht="12.75" customHeight="1" x14ac:dyDescent="0.2">
      <c r="A412" s="21"/>
      <c r="B412" s="3" t="s">
        <v>15</v>
      </c>
      <c r="C412" s="20" t="s">
        <v>24</v>
      </c>
      <c r="D412" s="21"/>
    </row>
    <row r="413" spans="1:4" ht="12.75" customHeight="1" x14ac:dyDescent="0.2">
      <c r="A413" s="21"/>
      <c r="B413" s="3" t="s">
        <v>16</v>
      </c>
      <c r="C413" s="20"/>
      <c r="D413" s="21"/>
    </row>
    <row r="414" spans="1:4" ht="12.75" customHeight="1" x14ac:dyDescent="0.2">
      <c r="A414" s="21"/>
      <c r="B414" s="3" t="s">
        <v>17</v>
      </c>
      <c r="C414" s="20"/>
      <c r="D414" s="21"/>
    </row>
    <row r="415" spans="1:4" ht="12.75" customHeight="1" x14ac:dyDescent="0.2">
      <c r="A415" s="21"/>
      <c r="B415" s="20" t="s">
        <v>18</v>
      </c>
      <c r="C415" s="4" t="s">
        <v>109</v>
      </c>
      <c r="D415" s="6" t="str">
        <f>HYPERLINK("javascript:void(0)","rubin")</f>
        <v>rubin</v>
      </c>
    </row>
    <row r="416" spans="1:4" ht="12.75" customHeight="1" x14ac:dyDescent="0.2">
      <c r="A416" s="21"/>
      <c r="B416" s="21"/>
      <c r="C416" s="4" t="s">
        <v>117</v>
      </c>
      <c r="D416" s="6" t="str">
        <f>HYPERLINK("javascript:void(0)","undormány")</f>
        <v>undormány</v>
      </c>
    </row>
    <row r="417" spans="1:4" ht="12.75" customHeight="1" x14ac:dyDescent="0.2">
      <c r="A417" s="21"/>
      <c r="B417" s="21"/>
      <c r="C417" s="4" t="s">
        <v>68</v>
      </c>
      <c r="D417" s="6" t="str">
        <f>HYPERLINK("javascript:void(0)","képcső")</f>
        <v>képcső</v>
      </c>
    </row>
    <row r="418" spans="1:4" ht="12.75" customHeight="1" x14ac:dyDescent="0.2">
      <c r="A418" s="5"/>
      <c r="B418" s="2"/>
      <c r="C418" s="2"/>
      <c r="D418" s="2"/>
    </row>
    <row r="419" spans="1:4" ht="12.75" customHeight="1" x14ac:dyDescent="0.2">
      <c r="A419" s="22" t="str">
        <f>HYPERLINK("javascript:void(0)","ezüst bumeráng")</f>
        <v>ezüst bumeráng</v>
      </c>
      <c r="B419" s="21"/>
      <c r="C419" s="21"/>
      <c r="D419" s="21"/>
    </row>
    <row r="420" spans="1:4" ht="12.75" customHeight="1" x14ac:dyDescent="0.2">
      <c r="A420" s="20"/>
      <c r="B420" s="2"/>
      <c r="C420" s="2"/>
      <c r="D420" s="2"/>
    </row>
    <row r="421" spans="1:4" ht="12.75" customHeight="1" x14ac:dyDescent="0.2">
      <c r="A421" s="21"/>
      <c r="B421" s="3" t="s">
        <v>0</v>
      </c>
      <c r="C421" s="20" t="s">
        <v>118</v>
      </c>
      <c r="D421" s="21"/>
    </row>
    <row r="422" spans="1:4" ht="12.75" customHeight="1" x14ac:dyDescent="0.2">
      <c r="A422" s="21"/>
      <c r="B422" s="3" t="s">
        <v>2</v>
      </c>
      <c r="C422" s="20" t="s">
        <v>3</v>
      </c>
      <c r="D422" s="21"/>
    </row>
    <row r="423" spans="1:4" ht="12.75" customHeight="1" x14ac:dyDescent="0.2">
      <c r="A423" s="21"/>
      <c r="B423" s="3" t="s">
        <v>4</v>
      </c>
      <c r="C423" s="20" t="s">
        <v>119</v>
      </c>
      <c r="D423" s="21"/>
    </row>
    <row r="424" spans="1:4" ht="12.75" customHeight="1" x14ac:dyDescent="0.2">
      <c r="A424" s="21"/>
      <c r="B424" s="3" t="s">
        <v>6</v>
      </c>
      <c r="C424" s="20" t="s">
        <v>5</v>
      </c>
      <c r="D424" s="21"/>
    </row>
    <row r="425" spans="1:4" ht="12.75" customHeight="1" x14ac:dyDescent="0.2">
      <c r="A425" s="21"/>
      <c r="B425" s="3" t="s">
        <v>8</v>
      </c>
      <c r="C425" s="20" t="s">
        <v>119</v>
      </c>
      <c r="D425" s="21"/>
    </row>
    <row r="426" spans="1:4" ht="12.75" customHeight="1" x14ac:dyDescent="0.2">
      <c r="A426" s="21"/>
      <c r="B426" s="3" t="s">
        <v>9</v>
      </c>
      <c r="C426" s="20" t="s">
        <v>70</v>
      </c>
      <c r="D426" s="21"/>
    </row>
    <row r="427" spans="1:4" ht="12.75" customHeight="1" x14ac:dyDescent="0.2">
      <c r="A427" s="21"/>
      <c r="B427" s="3" t="s">
        <v>11</v>
      </c>
      <c r="C427" s="20" t="s">
        <v>120</v>
      </c>
      <c r="D427" s="21"/>
    </row>
    <row r="428" spans="1:4" ht="12.75" customHeight="1" x14ac:dyDescent="0.2">
      <c r="A428" s="21"/>
      <c r="B428" s="3" t="s">
        <v>13</v>
      </c>
      <c r="C428" s="20" t="s">
        <v>14</v>
      </c>
      <c r="D428" s="21"/>
    </row>
    <row r="429" spans="1:4" ht="12.75" customHeight="1" x14ac:dyDescent="0.2">
      <c r="A429" s="21"/>
      <c r="B429" s="3" t="s">
        <v>15</v>
      </c>
      <c r="C429" s="20" t="s">
        <v>14</v>
      </c>
      <c r="D429" s="21"/>
    </row>
    <row r="430" spans="1:4" ht="12.75" customHeight="1" x14ac:dyDescent="0.2">
      <c r="A430" s="21"/>
      <c r="B430" s="3" t="s">
        <v>16</v>
      </c>
      <c r="C430" s="20"/>
      <c r="D430" s="21"/>
    </row>
    <row r="431" spans="1:4" ht="12.75" customHeight="1" x14ac:dyDescent="0.2">
      <c r="A431" s="21"/>
      <c r="B431" s="3" t="s">
        <v>17</v>
      </c>
      <c r="C431" s="20"/>
      <c r="D431" s="21"/>
    </row>
    <row r="432" spans="1:4" ht="12.75" customHeight="1" x14ac:dyDescent="0.2">
      <c r="A432" s="21"/>
      <c r="B432" s="20" t="s">
        <v>18</v>
      </c>
      <c r="C432" s="4" t="s">
        <v>44</v>
      </c>
      <c r="D432" s="6" t="str">
        <f>HYPERLINK("javascript:void(0)","bumeráng")</f>
        <v>bumeráng</v>
      </c>
    </row>
    <row r="433" spans="1:4" ht="12.75" customHeight="1" x14ac:dyDescent="0.2">
      <c r="A433" s="21"/>
      <c r="B433" s="21"/>
      <c r="C433" s="4" t="s">
        <v>121</v>
      </c>
      <c r="D433" s="6" t="str">
        <f>HYPERLINK("javascript:void(0)","ezüst")</f>
        <v>ezüst</v>
      </c>
    </row>
    <row r="434" spans="1:4" ht="12.75" customHeight="1" x14ac:dyDescent="0.2">
      <c r="A434" s="21"/>
      <c r="B434" s="21"/>
      <c r="C434" s="4" t="s">
        <v>44</v>
      </c>
      <c r="D434" s="6" t="str">
        <f>HYPERLINK("javascript:void(0)","arany")</f>
        <v>arany</v>
      </c>
    </row>
    <row r="435" spans="1:4" ht="12.75" customHeight="1" x14ac:dyDescent="0.2">
      <c r="A435" s="5"/>
      <c r="B435" s="2"/>
      <c r="C435" s="2"/>
      <c r="D435" s="2"/>
    </row>
    <row r="436" spans="1:4" ht="12.75" customHeight="1" x14ac:dyDescent="0.2">
      <c r="A436" s="22" t="str">
        <f>HYPERLINK("javascript:void(0)","gyémánt köpőcső")</f>
        <v>gyémánt köpőcső</v>
      </c>
      <c r="B436" s="21"/>
      <c r="C436" s="21"/>
      <c r="D436" s="21"/>
    </row>
    <row r="437" spans="1:4" ht="12.75" customHeight="1" x14ac:dyDescent="0.2">
      <c r="A437" s="20"/>
      <c r="B437" s="2"/>
      <c r="C437" s="2"/>
      <c r="D437" s="2"/>
    </row>
    <row r="438" spans="1:4" ht="12.75" customHeight="1" x14ac:dyDescent="0.2">
      <c r="A438" s="21"/>
      <c r="B438" s="3" t="s">
        <v>0</v>
      </c>
      <c r="C438" s="20" t="s">
        <v>118</v>
      </c>
      <c r="D438" s="21"/>
    </row>
    <row r="439" spans="1:4" ht="12.75" customHeight="1" x14ac:dyDescent="0.2">
      <c r="A439" s="21"/>
      <c r="B439" s="3" t="s">
        <v>2</v>
      </c>
      <c r="C439" s="20" t="s">
        <v>3</v>
      </c>
      <c r="D439" s="21"/>
    </row>
    <row r="440" spans="1:4" ht="12.75" customHeight="1" x14ac:dyDescent="0.2">
      <c r="A440" s="21"/>
      <c r="B440" s="3" t="s">
        <v>4</v>
      </c>
      <c r="C440" s="20" t="s">
        <v>127</v>
      </c>
      <c r="D440" s="21"/>
    </row>
    <row r="441" spans="1:4" ht="12.75" customHeight="1" x14ac:dyDescent="0.2">
      <c r="A441" s="21"/>
      <c r="B441" s="3" t="s">
        <v>6</v>
      </c>
      <c r="C441" s="20" t="s">
        <v>92</v>
      </c>
      <c r="D441" s="21"/>
    </row>
    <row r="442" spans="1:4" ht="12.75" customHeight="1" x14ac:dyDescent="0.2">
      <c r="A442" s="21"/>
      <c r="B442" s="3" t="s">
        <v>8</v>
      </c>
      <c r="C442" s="20" t="s">
        <v>127</v>
      </c>
      <c r="D442" s="21"/>
    </row>
    <row r="443" spans="1:4" ht="12.75" customHeight="1" x14ac:dyDescent="0.2">
      <c r="A443" s="21"/>
      <c r="B443" s="3" t="s">
        <v>9</v>
      </c>
      <c r="C443" s="20" t="s">
        <v>30</v>
      </c>
      <c r="D443" s="21"/>
    </row>
    <row r="444" spans="1:4" ht="12.75" customHeight="1" x14ac:dyDescent="0.2">
      <c r="A444" s="21"/>
      <c r="B444" s="3" t="s">
        <v>11</v>
      </c>
      <c r="C444" s="20" t="s">
        <v>116</v>
      </c>
      <c r="D444" s="21"/>
    </row>
    <row r="445" spans="1:4" ht="12.75" customHeight="1" x14ac:dyDescent="0.2">
      <c r="A445" s="21"/>
      <c r="B445" s="3" t="s">
        <v>13</v>
      </c>
      <c r="C445" s="20" t="s">
        <v>24</v>
      </c>
      <c r="D445" s="21"/>
    </row>
    <row r="446" spans="1:4" ht="12.75" customHeight="1" x14ac:dyDescent="0.2">
      <c r="A446" s="21"/>
      <c r="B446" s="3" t="s">
        <v>15</v>
      </c>
      <c r="C446" s="20" t="s">
        <v>24</v>
      </c>
      <c r="D446" s="21"/>
    </row>
    <row r="447" spans="1:4" ht="12.75" customHeight="1" x14ac:dyDescent="0.2">
      <c r="A447" s="21"/>
      <c r="B447" s="3" t="s">
        <v>16</v>
      </c>
      <c r="C447" s="20"/>
      <c r="D447" s="21"/>
    </row>
    <row r="448" spans="1:4" ht="12.75" customHeight="1" x14ac:dyDescent="0.2">
      <c r="A448" s="21"/>
      <c r="B448" s="3" t="s">
        <v>17</v>
      </c>
      <c r="C448" s="20"/>
      <c r="D448" s="21"/>
    </row>
    <row r="449" spans="1:4" ht="12.75" customHeight="1" x14ac:dyDescent="0.2">
      <c r="A449" s="21"/>
      <c r="B449" s="20" t="s">
        <v>18</v>
      </c>
      <c r="C449" s="4" t="s">
        <v>130</v>
      </c>
      <c r="D449" s="6" t="str">
        <f>HYPERLINK("javascript:void(0)","gyémánt")</f>
        <v>gyémánt</v>
      </c>
    </row>
    <row r="450" spans="1:4" ht="12.75" customHeight="1" x14ac:dyDescent="0.2">
      <c r="A450" s="21"/>
      <c r="B450" s="21"/>
      <c r="C450" s="4" t="s">
        <v>132</v>
      </c>
      <c r="D450" s="6" t="str">
        <f>HYPERLINK("javascript:void(0)","undormány")</f>
        <v>undormány</v>
      </c>
    </row>
    <row r="451" spans="1:4" ht="12.75" customHeight="1" x14ac:dyDescent="0.2">
      <c r="A451" s="21"/>
      <c r="B451" s="21"/>
      <c r="C451" s="4" t="s">
        <v>67</v>
      </c>
      <c r="D451" s="6" t="str">
        <f>HYPERLINK("javascript:void(0)","képcső")</f>
        <v>képcső</v>
      </c>
    </row>
    <row r="452" spans="1:4" ht="12.75" customHeight="1" x14ac:dyDescent="0.2">
      <c r="A452" s="5"/>
      <c r="B452" s="2"/>
      <c r="C452" s="2"/>
      <c r="D452" s="2"/>
    </row>
    <row r="453" spans="1:4" ht="12.75" customHeight="1" x14ac:dyDescent="0.2">
      <c r="A453" s="22" t="str">
        <f>HYPERLINK("javascript:void(0)","diszpro fúvócső")</f>
        <v>diszpro fúvócső</v>
      </c>
      <c r="B453" s="21"/>
      <c r="C453" s="21"/>
      <c r="D453" s="21"/>
    </row>
    <row r="454" spans="1:4" ht="12.75" customHeight="1" x14ac:dyDescent="0.2">
      <c r="A454" s="20"/>
      <c r="B454" s="2"/>
      <c r="C454" s="2"/>
      <c r="D454" s="2"/>
    </row>
    <row r="455" spans="1:4" ht="12.75" customHeight="1" x14ac:dyDescent="0.2">
      <c r="A455" s="21"/>
      <c r="B455" s="3" t="s">
        <v>0</v>
      </c>
      <c r="C455" s="20" t="s">
        <v>32</v>
      </c>
      <c r="D455" s="21"/>
    </row>
    <row r="456" spans="1:4" ht="12.75" customHeight="1" x14ac:dyDescent="0.2">
      <c r="A456" s="21"/>
      <c r="B456" s="3" t="s">
        <v>2</v>
      </c>
      <c r="C456" s="20" t="s">
        <v>3</v>
      </c>
      <c r="D456" s="21"/>
    </row>
    <row r="457" spans="1:4" ht="12.75" customHeight="1" x14ac:dyDescent="0.2">
      <c r="A457" s="21"/>
      <c r="B457" s="3" t="s">
        <v>4</v>
      </c>
      <c r="C457" s="20" t="s">
        <v>134</v>
      </c>
      <c r="D457" s="21"/>
    </row>
    <row r="458" spans="1:4" ht="12.75" customHeight="1" x14ac:dyDescent="0.2">
      <c r="A458" s="21"/>
      <c r="B458" s="3" t="s">
        <v>6</v>
      </c>
      <c r="C458" s="20" t="s">
        <v>92</v>
      </c>
      <c r="D458" s="21"/>
    </row>
    <row r="459" spans="1:4" ht="12.75" customHeight="1" x14ac:dyDescent="0.2">
      <c r="A459" s="21"/>
      <c r="B459" s="3" t="s">
        <v>8</v>
      </c>
      <c r="C459" s="20" t="s">
        <v>134</v>
      </c>
      <c r="D459" s="21"/>
    </row>
    <row r="460" spans="1:4" ht="12.75" customHeight="1" x14ac:dyDescent="0.2">
      <c r="A460" s="21"/>
      <c r="B460" s="3" t="s">
        <v>9</v>
      </c>
      <c r="C460" s="20" t="s">
        <v>137</v>
      </c>
      <c r="D460" s="21"/>
    </row>
    <row r="461" spans="1:4" ht="12.75" customHeight="1" x14ac:dyDescent="0.2">
      <c r="A461" s="21"/>
      <c r="B461" s="3" t="s">
        <v>11</v>
      </c>
      <c r="C461" s="20" t="s">
        <v>138</v>
      </c>
      <c r="D461" s="21"/>
    </row>
    <row r="462" spans="1:4" ht="12.75" customHeight="1" x14ac:dyDescent="0.2">
      <c r="A462" s="21"/>
      <c r="B462" s="3" t="s">
        <v>13</v>
      </c>
      <c r="C462" s="20" t="s">
        <v>24</v>
      </c>
      <c r="D462" s="21"/>
    </row>
    <row r="463" spans="1:4" ht="12.75" customHeight="1" x14ac:dyDescent="0.2">
      <c r="A463" s="21"/>
      <c r="B463" s="3" t="s">
        <v>15</v>
      </c>
      <c r="C463" s="20" t="s">
        <v>24</v>
      </c>
      <c r="D463" s="21"/>
    </row>
    <row r="464" spans="1:4" ht="12.75" customHeight="1" x14ac:dyDescent="0.2">
      <c r="A464" s="21"/>
      <c r="B464" s="3" t="s">
        <v>16</v>
      </c>
      <c r="C464" s="20"/>
      <c r="D464" s="21"/>
    </row>
    <row r="465" spans="1:4" ht="12.75" customHeight="1" x14ac:dyDescent="0.2">
      <c r="A465" s="21"/>
      <c r="B465" s="3" t="s">
        <v>17</v>
      </c>
      <c r="C465" s="20"/>
      <c r="D465" s="21"/>
    </row>
    <row r="466" spans="1:4" ht="12.75" customHeight="1" x14ac:dyDescent="0.2">
      <c r="A466" s="21"/>
      <c r="B466" s="20" t="s">
        <v>18</v>
      </c>
      <c r="C466" s="4" t="s">
        <v>130</v>
      </c>
      <c r="D466" s="6" t="str">
        <f>HYPERLINK("javascript:void(0)","diszprózium")</f>
        <v>diszprózium</v>
      </c>
    </row>
    <row r="467" spans="1:4" ht="12.75" customHeight="1" x14ac:dyDescent="0.2">
      <c r="A467" s="21"/>
      <c r="B467" s="21"/>
      <c r="C467" s="4" t="s">
        <v>139</v>
      </c>
      <c r="D467" s="6" t="str">
        <f>HYPERLINK("javascript:void(0)","undormány")</f>
        <v>undormány</v>
      </c>
    </row>
    <row r="468" spans="1:4" ht="12.75" customHeight="1" x14ac:dyDescent="0.2">
      <c r="A468" s="21"/>
      <c r="B468" s="21"/>
      <c r="C468" s="4" t="s">
        <v>117</v>
      </c>
      <c r="D468" s="6" t="str">
        <f>HYPERLINK("javascript:void(0)","képcső")</f>
        <v>képcső</v>
      </c>
    </row>
    <row r="469" spans="1:4" ht="12.75" customHeight="1" x14ac:dyDescent="0.2">
      <c r="A469" s="5"/>
      <c r="B469" s="2"/>
      <c r="C469" s="2"/>
      <c r="D469" s="2"/>
    </row>
    <row r="470" spans="1:4" ht="12.75" customHeight="1" x14ac:dyDescent="0.2">
      <c r="A470" s="22" t="str">
        <f>HYPERLINK("javascript:void(0)","kézi ostromgép")</f>
        <v>kézi ostromgép</v>
      </c>
      <c r="B470" s="21"/>
      <c r="C470" s="21"/>
      <c r="D470" s="2"/>
    </row>
    <row r="471" spans="1:4" ht="12.75" customHeight="1" x14ac:dyDescent="0.2">
      <c r="A471" s="20"/>
      <c r="B471" s="2"/>
      <c r="C471" s="2"/>
      <c r="D471" s="2"/>
    </row>
    <row r="472" spans="1:4" ht="12.75" customHeight="1" x14ac:dyDescent="0.2">
      <c r="A472" s="21"/>
      <c r="B472" s="3" t="s">
        <v>0</v>
      </c>
      <c r="C472" s="3" t="s">
        <v>88</v>
      </c>
      <c r="D472" s="2"/>
    </row>
    <row r="473" spans="1:4" ht="12.75" customHeight="1" x14ac:dyDescent="0.2">
      <c r="A473" s="21"/>
      <c r="B473" s="3" t="s">
        <v>2</v>
      </c>
      <c r="C473" s="3" t="s">
        <v>3</v>
      </c>
      <c r="D473" s="2"/>
    </row>
    <row r="474" spans="1:4" ht="12.75" customHeight="1" x14ac:dyDescent="0.2">
      <c r="A474" s="21"/>
      <c r="B474" s="3" t="s">
        <v>4</v>
      </c>
      <c r="C474" s="3" t="s">
        <v>143</v>
      </c>
      <c r="D474" s="2"/>
    </row>
    <row r="475" spans="1:4" ht="12.75" customHeight="1" x14ac:dyDescent="0.2">
      <c r="A475" s="21"/>
      <c r="B475" s="3" t="s">
        <v>6</v>
      </c>
      <c r="C475" s="3" t="s">
        <v>5</v>
      </c>
      <c r="D475" s="2"/>
    </row>
    <row r="476" spans="1:4" ht="12.75" customHeight="1" x14ac:dyDescent="0.2">
      <c r="A476" s="21"/>
      <c r="B476" s="3" t="s">
        <v>8</v>
      </c>
      <c r="C476" s="3" t="s">
        <v>143</v>
      </c>
      <c r="D476" s="2"/>
    </row>
    <row r="477" spans="1:4" ht="12.75" customHeight="1" x14ac:dyDescent="0.2">
      <c r="A477" s="21"/>
      <c r="B477" s="3" t="s">
        <v>9</v>
      </c>
      <c r="C477" s="3" t="s">
        <v>144</v>
      </c>
      <c r="D477" s="2"/>
    </row>
    <row r="478" spans="1:4" ht="12.75" customHeight="1" x14ac:dyDescent="0.2">
      <c r="A478" s="21"/>
      <c r="B478" s="3" t="s">
        <v>11</v>
      </c>
      <c r="C478" s="3" t="s">
        <v>145</v>
      </c>
      <c r="D478" s="2"/>
    </row>
    <row r="479" spans="1:4" ht="12.75" customHeight="1" x14ac:dyDescent="0.2">
      <c r="A479" s="21"/>
      <c r="B479" s="3" t="s">
        <v>13</v>
      </c>
      <c r="C479" s="3" t="s">
        <v>24</v>
      </c>
      <c r="D479" s="2"/>
    </row>
    <row r="480" spans="1:4" ht="12.75" customHeight="1" x14ac:dyDescent="0.2">
      <c r="A480" s="21"/>
      <c r="B480" s="3" t="s">
        <v>15</v>
      </c>
      <c r="C480" s="3" t="s">
        <v>24</v>
      </c>
      <c r="D480" s="2"/>
    </row>
    <row r="481" spans="1:4" ht="12.75" customHeight="1" x14ac:dyDescent="0.2">
      <c r="A481" s="21"/>
      <c r="B481" s="3" t="s">
        <v>16</v>
      </c>
      <c r="C481" s="3"/>
      <c r="D481" s="2"/>
    </row>
    <row r="482" spans="1:4" ht="12.75" customHeight="1" x14ac:dyDescent="0.2">
      <c r="A482" s="21"/>
      <c r="B482" s="3" t="s">
        <v>17</v>
      </c>
      <c r="C482" s="3"/>
      <c r="D482" s="2"/>
    </row>
    <row r="483" spans="1:4" ht="12.75" customHeight="1" x14ac:dyDescent="0.2">
      <c r="A483" s="21"/>
      <c r="B483" s="3" t="s">
        <v>18</v>
      </c>
      <c r="C483" s="4" t="s">
        <v>19</v>
      </c>
      <c r="D483" s="2"/>
    </row>
    <row r="484" spans="1:4" ht="12.75" customHeight="1" x14ac:dyDescent="0.2">
      <c r="A484" s="5"/>
      <c r="B484" s="2"/>
      <c r="C484" s="2"/>
      <c r="D484" s="2"/>
    </row>
    <row r="485" spans="1:4" ht="12.75" customHeight="1" x14ac:dyDescent="0.2">
      <c r="A485" s="22" t="str">
        <f>HYPERLINK("javascript:void(0)","skivei hosszú íj")</f>
        <v>skivei hosszú íj</v>
      </c>
      <c r="B485" s="21"/>
      <c r="C485" s="21"/>
      <c r="D485" s="21"/>
    </row>
    <row r="486" spans="1:4" ht="12.75" customHeight="1" x14ac:dyDescent="0.2">
      <c r="A486" s="20"/>
      <c r="B486" s="2"/>
      <c r="C486" s="2"/>
      <c r="D486" s="2"/>
    </row>
    <row r="487" spans="1:4" ht="12.75" customHeight="1" x14ac:dyDescent="0.2">
      <c r="A487" s="21"/>
      <c r="B487" s="3" t="s">
        <v>0</v>
      </c>
      <c r="C487" s="20" t="s">
        <v>88</v>
      </c>
      <c r="D487" s="21"/>
    </row>
    <row r="488" spans="1:4" ht="12.75" customHeight="1" x14ac:dyDescent="0.2">
      <c r="A488" s="21"/>
      <c r="B488" s="3" t="s">
        <v>2</v>
      </c>
      <c r="C488" s="20" t="s">
        <v>3</v>
      </c>
      <c r="D488" s="21"/>
    </row>
    <row r="489" spans="1:4" ht="12.75" customHeight="1" x14ac:dyDescent="0.2">
      <c r="A489" s="21"/>
      <c r="B489" s="3" t="s">
        <v>4</v>
      </c>
      <c r="C489" s="20" t="s">
        <v>146</v>
      </c>
      <c r="D489" s="21"/>
    </row>
    <row r="490" spans="1:4" ht="12.75" customHeight="1" x14ac:dyDescent="0.2">
      <c r="A490" s="21"/>
      <c r="B490" s="3" t="s">
        <v>6</v>
      </c>
      <c r="C490" s="20" t="s">
        <v>33</v>
      </c>
      <c r="D490" s="21"/>
    </row>
    <row r="491" spans="1:4" ht="12.75" customHeight="1" x14ac:dyDescent="0.2">
      <c r="A491" s="21"/>
      <c r="B491" s="3" t="s">
        <v>8</v>
      </c>
      <c r="C491" s="20" t="s">
        <v>146</v>
      </c>
      <c r="D491" s="21"/>
    </row>
    <row r="492" spans="1:4" ht="12.75" customHeight="1" x14ac:dyDescent="0.2">
      <c r="A492" s="21"/>
      <c r="B492" s="3" t="s">
        <v>9</v>
      </c>
      <c r="C492" s="20" t="s">
        <v>147</v>
      </c>
      <c r="D492" s="21"/>
    </row>
    <row r="493" spans="1:4" ht="12.75" customHeight="1" x14ac:dyDescent="0.2">
      <c r="A493" s="21"/>
      <c r="B493" s="3" t="s">
        <v>11</v>
      </c>
      <c r="C493" s="20" t="s">
        <v>148</v>
      </c>
      <c r="D493" s="21"/>
    </row>
    <row r="494" spans="1:4" ht="12.75" customHeight="1" x14ac:dyDescent="0.2">
      <c r="A494" s="21"/>
      <c r="B494" s="3" t="s">
        <v>13</v>
      </c>
      <c r="C494" s="20" t="s">
        <v>24</v>
      </c>
      <c r="D494" s="21"/>
    </row>
    <row r="495" spans="1:4" ht="12.75" customHeight="1" x14ac:dyDescent="0.2">
      <c r="A495" s="21"/>
      <c r="B495" s="3" t="s">
        <v>15</v>
      </c>
      <c r="C495" s="20" t="s">
        <v>14</v>
      </c>
      <c r="D495" s="21"/>
    </row>
    <row r="496" spans="1:4" ht="12.75" customHeight="1" x14ac:dyDescent="0.2">
      <c r="A496" s="21"/>
      <c r="B496" s="3" t="s">
        <v>16</v>
      </c>
      <c r="C496" s="20"/>
      <c r="D496" s="21"/>
    </row>
    <row r="497" spans="1:4" ht="12.75" customHeight="1" x14ac:dyDescent="0.2">
      <c r="A497" s="21"/>
      <c r="B497" s="3" t="s">
        <v>17</v>
      </c>
      <c r="C497" s="20"/>
      <c r="D497" s="21"/>
    </row>
    <row r="498" spans="1:4" ht="12.75" customHeight="1" x14ac:dyDescent="0.2">
      <c r="A498" s="21"/>
      <c r="B498" s="20" t="s">
        <v>18</v>
      </c>
      <c r="C498" s="4" t="s">
        <v>44</v>
      </c>
      <c r="D498" s="6" t="str">
        <f>HYPERLINK("javascript:void(0)","kithrill")</f>
        <v>kithrill</v>
      </c>
    </row>
    <row r="499" spans="1:4" ht="12.75" customHeight="1" x14ac:dyDescent="0.2">
      <c r="A499" s="21"/>
      <c r="B499" s="21"/>
      <c r="C499" s="4" t="s">
        <v>44</v>
      </c>
      <c r="D499" s="6" t="str">
        <f>HYPERLINK("javascript:void(0)","skivei íj")</f>
        <v>skivei íj</v>
      </c>
    </row>
    <row r="500" spans="1:4" ht="12.75" customHeight="1" x14ac:dyDescent="0.2">
      <c r="A500" s="21"/>
      <c r="B500" s="21"/>
      <c r="C500" s="4" t="s">
        <v>149</v>
      </c>
      <c r="D500" s="6" t="str">
        <f>HYPERLINK("javascript:void(0)","ezüst")</f>
        <v>ezüst</v>
      </c>
    </row>
    <row r="501" spans="1:4" ht="12.75" customHeight="1" x14ac:dyDescent="0.2">
      <c r="A501" s="5"/>
      <c r="B501" s="2"/>
      <c r="C501" s="2"/>
      <c r="D501" s="2"/>
    </row>
    <row r="502" spans="1:4" ht="12.75" customHeight="1" x14ac:dyDescent="0.2">
      <c r="A502" s="22" t="str">
        <f>HYPERLINK("javascript:void(0)","kithrill köpőcső")</f>
        <v>kithrill köpőcső</v>
      </c>
      <c r="B502" s="21"/>
      <c r="C502" s="21"/>
      <c r="D502" s="21"/>
    </row>
    <row r="503" spans="1:4" ht="12.75" customHeight="1" x14ac:dyDescent="0.2">
      <c r="A503" s="20"/>
      <c r="B503" s="2"/>
      <c r="C503" s="2"/>
      <c r="D503" s="2"/>
    </row>
    <row r="504" spans="1:4" ht="12.75" customHeight="1" x14ac:dyDescent="0.2">
      <c r="A504" s="21"/>
      <c r="B504" s="3" t="s">
        <v>0</v>
      </c>
      <c r="C504" s="20" t="s">
        <v>88</v>
      </c>
      <c r="D504" s="21"/>
    </row>
    <row r="505" spans="1:4" ht="12.75" customHeight="1" x14ac:dyDescent="0.2">
      <c r="A505" s="21"/>
      <c r="B505" s="3" t="s">
        <v>2</v>
      </c>
      <c r="C505" s="20" t="s">
        <v>3</v>
      </c>
      <c r="D505" s="21"/>
    </row>
    <row r="506" spans="1:4" ht="12.75" customHeight="1" x14ac:dyDescent="0.2">
      <c r="A506" s="21"/>
      <c r="B506" s="3" t="s">
        <v>4</v>
      </c>
      <c r="C506" s="20" t="s">
        <v>151</v>
      </c>
      <c r="D506" s="21"/>
    </row>
    <row r="507" spans="1:4" ht="12.75" customHeight="1" x14ac:dyDescent="0.2">
      <c r="A507" s="21"/>
      <c r="B507" s="3" t="s">
        <v>6</v>
      </c>
      <c r="C507" s="20" t="s">
        <v>92</v>
      </c>
      <c r="D507" s="21"/>
    </row>
    <row r="508" spans="1:4" ht="12.75" customHeight="1" x14ac:dyDescent="0.2">
      <c r="A508" s="21"/>
      <c r="B508" s="3" t="s">
        <v>8</v>
      </c>
      <c r="C508" s="20" t="s">
        <v>151</v>
      </c>
      <c r="D508" s="21"/>
    </row>
    <row r="509" spans="1:4" ht="12.75" customHeight="1" x14ac:dyDescent="0.2">
      <c r="A509" s="21"/>
      <c r="B509" s="3" t="s">
        <v>9</v>
      </c>
      <c r="C509" s="20" t="s">
        <v>84</v>
      </c>
      <c r="D509" s="21"/>
    </row>
    <row r="510" spans="1:4" ht="12.75" customHeight="1" x14ac:dyDescent="0.2">
      <c r="A510" s="21"/>
      <c r="B510" s="3" t="s">
        <v>11</v>
      </c>
      <c r="C510" s="20" t="s">
        <v>152</v>
      </c>
      <c r="D510" s="21"/>
    </row>
    <row r="511" spans="1:4" ht="12.75" customHeight="1" x14ac:dyDescent="0.2">
      <c r="A511" s="21"/>
      <c r="B511" s="3" t="s">
        <v>13</v>
      </c>
      <c r="C511" s="20" t="s">
        <v>24</v>
      </c>
      <c r="D511" s="21"/>
    </row>
    <row r="512" spans="1:4" ht="12.75" customHeight="1" x14ac:dyDescent="0.2">
      <c r="A512" s="21"/>
      <c r="B512" s="3" t="s">
        <v>15</v>
      </c>
      <c r="C512" s="20" t="s">
        <v>24</v>
      </c>
      <c r="D512" s="21"/>
    </row>
    <row r="513" spans="1:4" ht="12.75" customHeight="1" x14ac:dyDescent="0.2">
      <c r="A513" s="21"/>
      <c r="B513" s="3" t="s">
        <v>16</v>
      </c>
      <c r="C513" s="20"/>
      <c r="D513" s="21"/>
    </row>
    <row r="514" spans="1:4" ht="12.75" customHeight="1" x14ac:dyDescent="0.2">
      <c r="A514" s="21"/>
      <c r="B514" s="3" t="s">
        <v>17</v>
      </c>
      <c r="C514" s="20"/>
      <c r="D514" s="21"/>
    </row>
    <row r="515" spans="1:4" ht="12.75" customHeight="1" x14ac:dyDescent="0.2">
      <c r="A515" s="21"/>
      <c r="B515" s="20" t="s">
        <v>18</v>
      </c>
      <c r="C515" s="4" t="s">
        <v>130</v>
      </c>
      <c r="D515" s="6" t="str">
        <f>HYPERLINK("javascript:void(0)","kithrill")</f>
        <v>kithrill</v>
      </c>
    </row>
    <row r="516" spans="1:4" ht="12.75" customHeight="1" x14ac:dyDescent="0.2">
      <c r="A516" s="21"/>
      <c r="B516" s="21"/>
      <c r="C516" s="4" t="s">
        <v>139</v>
      </c>
      <c r="D516" s="6" t="str">
        <f>HYPERLINK("javascript:void(0)","undormány")</f>
        <v>undormány</v>
      </c>
    </row>
    <row r="517" spans="1:4" ht="12.75" customHeight="1" x14ac:dyDescent="0.2">
      <c r="A517" s="21"/>
      <c r="B517" s="21"/>
      <c r="C517" s="4" t="s">
        <v>139</v>
      </c>
      <c r="D517" s="6" t="str">
        <f>HYPERLINK("javascript:void(0)","szent szimbólum")</f>
        <v>szent szimbólum</v>
      </c>
    </row>
    <row r="518" spans="1:4" ht="12.75" customHeight="1" x14ac:dyDescent="0.2">
      <c r="A518" s="5"/>
      <c r="B518" s="2"/>
      <c r="C518" s="2"/>
      <c r="D518" s="2"/>
    </row>
    <row r="519" spans="1:4" ht="12.75" customHeight="1" x14ac:dyDescent="0.2">
      <c r="A519" s="22" t="str">
        <f>HYPERLINK("javascript:void(0)","centro köpőcső")</f>
        <v>centro köpőcső</v>
      </c>
      <c r="B519" s="21"/>
      <c r="C519" s="21"/>
      <c r="D519" s="21"/>
    </row>
    <row r="520" spans="1:4" ht="12.75" customHeight="1" x14ac:dyDescent="0.2">
      <c r="A520" s="20"/>
      <c r="B520" s="2"/>
      <c r="C520" s="2"/>
      <c r="D520" s="2"/>
    </row>
    <row r="521" spans="1:4" ht="12.75" customHeight="1" x14ac:dyDescent="0.2">
      <c r="A521" s="21"/>
      <c r="B521" s="3" t="s">
        <v>0</v>
      </c>
      <c r="C521" s="20" t="s">
        <v>155</v>
      </c>
      <c r="D521" s="21"/>
    </row>
    <row r="522" spans="1:4" ht="12.75" customHeight="1" x14ac:dyDescent="0.2">
      <c r="A522" s="21"/>
      <c r="B522" s="3" t="s">
        <v>2</v>
      </c>
      <c r="C522" s="20" t="s">
        <v>3</v>
      </c>
      <c r="D522" s="21"/>
    </row>
    <row r="523" spans="1:4" ht="12.75" customHeight="1" x14ac:dyDescent="0.2">
      <c r="A523" s="21"/>
      <c r="B523" s="3" t="s">
        <v>4</v>
      </c>
      <c r="C523" s="20" t="s">
        <v>65</v>
      </c>
      <c r="D523" s="21"/>
    </row>
    <row r="524" spans="1:4" ht="12.75" customHeight="1" x14ac:dyDescent="0.2">
      <c r="A524" s="21"/>
      <c r="B524" s="3" t="s">
        <v>6</v>
      </c>
      <c r="C524" s="20" t="s">
        <v>92</v>
      </c>
      <c r="D524" s="21"/>
    </row>
    <row r="525" spans="1:4" ht="12.75" customHeight="1" x14ac:dyDescent="0.2">
      <c r="A525" s="21"/>
      <c r="B525" s="3" t="s">
        <v>8</v>
      </c>
      <c r="C525" s="20" t="s">
        <v>65</v>
      </c>
      <c r="D525" s="21"/>
    </row>
    <row r="526" spans="1:4" ht="12.75" customHeight="1" x14ac:dyDescent="0.2">
      <c r="A526" s="21"/>
      <c r="B526" s="3" t="s">
        <v>9</v>
      </c>
      <c r="C526" s="20" t="s">
        <v>79</v>
      </c>
      <c r="D526" s="21"/>
    </row>
    <row r="527" spans="1:4" ht="12.75" customHeight="1" x14ac:dyDescent="0.2">
      <c r="A527" s="21"/>
      <c r="B527" s="3" t="s">
        <v>11</v>
      </c>
      <c r="C527" s="20" t="s">
        <v>156</v>
      </c>
      <c r="D527" s="21"/>
    </row>
    <row r="528" spans="1:4" ht="12.75" customHeight="1" x14ac:dyDescent="0.2">
      <c r="A528" s="21"/>
      <c r="B528" s="3" t="s">
        <v>13</v>
      </c>
      <c r="C528" s="20" t="s">
        <v>24</v>
      </c>
      <c r="D528" s="21"/>
    </row>
    <row r="529" spans="1:4" ht="12.75" customHeight="1" x14ac:dyDescent="0.2">
      <c r="A529" s="21"/>
      <c r="B529" s="3" t="s">
        <v>15</v>
      </c>
      <c r="C529" s="20" t="s">
        <v>24</v>
      </c>
      <c r="D529" s="21"/>
    </row>
    <row r="530" spans="1:4" ht="12.75" customHeight="1" x14ac:dyDescent="0.2">
      <c r="A530" s="21"/>
      <c r="B530" s="3" t="s">
        <v>16</v>
      </c>
      <c r="C530" s="20"/>
      <c r="D530" s="21"/>
    </row>
    <row r="531" spans="1:4" ht="12.75" customHeight="1" x14ac:dyDescent="0.2">
      <c r="A531" s="21"/>
      <c r="B531" s="3" t="s">
        <v>17</v>
      </c>
      <c r="C531" s="20"/>
      <c r="D531" s="21"/>
    </row>
    <row r="532" spans="1:4" ht="12.75" customHeight="1" x14ac:dyDescent="0.2">
      <c r="A532" s="21"/>
      <c r="B532" s="20" t="s">
        <v>18</v>
      </c>
      <c r="C532" s="4" t="s">
        <v>130</v>
      </c>
      <c r="D532" s="6" t="str">
        <f>HYPERLINK("javascript:void(0)","centrolium")</f>
        <v>centrolium</v>
      </c>
    </row>
    <row r="533" spans="1:4" ht="12.75" customHeight="1" x14ac:dyDescent="0.2">
      <c r="A533" s="21"/>
      <c r="B533" s="21"/>
      <c r="C533" s="4" t="s">
        <v>139</v>
      </c>
      <c r="D533" s="6" t="str">
        <f>HYPERLINK("javascript:void(0)","undormány")</f>
        <v>undormány</v>
      </c>
    </row>
    <row r="534" spans="1:4" ht="12.75" customHeight="1" x14ac:dyDescent="0.2">
      <c r="A534" s="21"/>
      <c r="B534" s="21"/>
      <c r="C534" s="4" t="s">
        <v>117</v>
      </c>
      <c r="D534" s="6" t="str">
        <f>HYPERLINK("javascript:void(0)","fénynyaláb")</f>
        <v>fénynyaláb</v>
      </c>
    </row>
    <row r="535" spans="1:4" ht="12.75" customHeight="1" x14ac:dyDescent="0.2">
      <c r="A535" s="5"/>
      <c r="B535" s="2"/>
      <c r="C535" s="2"/>
      <c r="D535" s="2"/>
    </row>
    <row r="536" spans="1:4" ht="12.75" customHeight="1" x14ac:dyDescent="0.2">
      <c r="A536" s="22" t="str">
        <f>HYPERLINK("javascript:void(0)","hiper köpőcső")</f>
        <v>hiper köpőcső</v>
      </c>
      <c r="B536" s="21"/>
      <c r="C536" s="21"/>
      <c r="D536" s="21"/>
    </row>
    <row r="537" spans="1:4" ht="12.75" customHeight="1" x14ac:dyDescent="0.2">
      <c r="A537" s="20"/>
      <c r="B537" s="2"/>
      <c r="C537" s="2"/>
      <c r="D537" s="2"/>
    </row>
    <row r="538" spans="1:4" ht="12.75" customHeight="1" x14ac:dyDescent="0.2">
      <c r="A538" s="21"/>
      <c r="B538" s="3" t="s">
        <v>0</v>
      </c>
      <c r="C538" s="20" t="s">
        <v>159</v>
      </c>
      <c r="D538" s="21"/>
    </row>
    <row r="539" spans="1:4" ht="12.75" customHeight="1" x14ac:dyDescent="0.2">
      <c r="A539" s="21"/>
      <c r="B539" s="3" t="s">
        <v>2</v>
      </c>
      <c r="C539" s="20" t="s">
        <v>3</v>
      </c>
      <c r="D539" s="21"/>
    </row>
    <row r="540" spans="1:4" ht="12.75" customHeight="1" x14ac:dyDescent="0.2">
      <c r="A540" s="21"/>
      <c r="B540" s="3" t="s">
        <v>4</v>
      </c>
      <c r="C540" s="20" t="s">
        <v>161</v>
      </c>
      <c r="D540" s="21"/>
    </row>
    <row r="541" spans="1:4" ht="12.75" customHeight="1" x14ac:dyDescent="0.2">
      <c r="A541" s="21"/>
      <c r="B541" s="3" t="s">
        <v>6</v>
      </c>
      <c r="C541" s="20" t="s">
        <v>92</v>
      </c>
      <c r="D541" s="21"/>
    </row>
    <row r="542" spans="1:4" ht="12.75" customHeight="1" x14ac:dyDescent="0.2">
      <c r="A542" s="21"/>
      <c r="B542" s="3" t="s">
        <v>8</v>
      </c>
      <c r="C542" s="20" t="s">
        <v>161</v>
      </c>
      <c r="D542" s="21"/>
    </row>
    <row r="543" spans="1:4" ht="12.75" customHeight="1" x14ac:dyDescent="0.2">
      <c r="A543" s="21"/>
      <c r="B543" s="3" t="s">
        <v>9</v>
      </c>
      <c r="C543" s="20" t="s">
        <v>42</v>
      </c>
      <c r="D543" s="21"/>
    </row>
    <row r="544" spans="1:4" ht="12.75" customHeight="1" x14ac:dyDescent="0.2">
      <c r="A544" s="21"/>
      <c r="B544" s="3" t="s">
        <v>11</v>
      </c>
      <c r="C544" s="20" t="s">
        <v>162</v>
      </c>
      <c r="D544" s="21"/>
    </row>
    <row r="545" spans="1:4" ht="12.75" customHeight="1" x14ac:dyDescent="0.2">
      <c r="A545" s="21"/>
      <c r="B545" s="3" t="s">
        <v>13</v>
      </c>
      <c r="C545" s="20" t="s">
        <v>24</v>
      </c>
      <c r="D545" s="21"/>
    </row>
    <row r="546" spans="1:4" ht="12.75" customHeight="1" x14ac:dyDescent="0.2">
      <c r="A546" s="21"/>
      <c r="B546" s="3" t="s">
        <v>15</v>
      </c>
      <c r="C546" s="20" t="s">
        <v>24</v>
      </c>
      <c r="D546" s="21"/>
    </row>
    <row r="547" spans="1:4" ht="12.75" customHeight="1" x14ac:dyDescent="0.2">
      <c r="A547" s="21"/>
      <c r="B547" s="3" t="s">
        <v>16</v>
      </c>
      <c r="C547" s="20"/>
      <c r="D547" s="21"/>
    </row>
    <row r="548" spans="1:4" ht="12.75" customHeight="1" x14ac:dyDescent="0.2">
      <c r="A548" s="21"/>
      <c r="B548" s="3" t="s">
        <v>17</v>
      </c>
      <c r="C548" s="20"/>
      <c r="D548" s="21"/>
    </row>
    <row r="549" spans="1:4" ht="12.75" customHeight="1" x14ac:dyDescent="0.2">
      <c r="A549" s="21"/>
      <c r="B549" s="20" t="s">
        <v>18</v>
      </c>
      <c r="C549" s="4" t="s">
        <v>163</v>
      </c>
      <c r="D549" s="6" t="str">
        <f>HYPERLINK("javascript:void(0)","varázsige")</f>
        <v>varázsige</v>
      </c>
    </row>
    <row r="550" spans="1:4" ht="12.75" customHeight="1" x14ac:dyDescent="0.2">
      <c r="A550" s="21"/>
      <c r="B550" s="21"/>
      <c r="C550" s="4" t="s">
        <v>130</v>
      </c>
      <c r="D550" s="6" t="str">
        <f>HYPERLINK("javascript:void(0)","hiperium")</f>
        <v>hiperium</v>
      </c>
    </row>
    <row r="551" spans="1:4" ht="12.75" customHeight="1" x14ac:dyDescent="0.2">
      <c r="A551" s="21"/>
      <c r="B551" s="21"/>
      <c r="C551" s="4" t="s">
        <v>67</v>
      </c>
      <c r="D551" s="6" t="str">
        <f>HYPERLINK("javascript:void(0)","képcső")</f>
        <v>képcső</v>
      </c>
    </row>
    <row r="552" spans="1:4" ht="12.75" customHeight="1" x14ac:dyDescent="0.2">
      <c r="A552" s="5"/>
      <c r="B552" s="2"/>
      <c r="C552" s="2"/>
      <c r="D552" s="2"/>
    </row>
    <row r="553" spans="1:4" ht="12.75" customHeight="1" x14ac:dyDescent="0.2">
      <c r="A553" s="22" t="str">
        <f>HYPERLINK("javascript:void(0)","golyóvető")</f>
        <v>golyóvető</v>
      </c>
      <c r="B553" s="21"/>
      <c r="C553" s="21"/>
      <c r="D553" s="21"/>
    </row>
    <row r="554" spans="1:4" ht="12.75" customHeight="1" x14ac:dyDescent="0.2">
      <c r="A554" s="20"/>
      <c r="B554" s="2"/>
      <c r="C554" s="2"/>
      <c r="D554" s="2"/>
    </row>
    <row r="555" spans="1:4" ht="12.75" customHeight="1" x14ac:dyDescent="0.2">
      <c r="A555" s="21"/>
      <c r="B555" s="3" t="s">
        <v>0</v>
      </c>
      <c r="C555" s="20" t="s">
        <v>153</v>
      </c>
      <c r="D555" s="21"/>
    </row>
    <row r="556" spans="1:4" ht="12.75" customHeight="1" x14ac:dyDescent="0.2">
      <c r="A556" s="21"/>
      <c r="B556" s="3" t="s">
        <v>2</v>
      </c>
      <c r="C556" s="20" t="s">
        <v>3</v>
      </c>
      <c r="D556" s="21"/>
    </row>
    <row r="557" spans="1:4" ht="12.75" customHeight="1" x14ac:dyDescent="0.2">
      <c r="A557" s="21"/>
      <c r="B557" s="3" t="s">
        <v>4</v>
      </c>
      <c r="C557" s="20" t="s">
        <v>166</v>
      </c>
      <c r="D557" s="21"/>
    </row>
    <row r="558" spans="1:4" ht="12.75" customHeight="1" x14ac:dyDescent="0.2">
      <c r="A558" s="21"/>
      <c r="B558" s="3" t="s">
        <v>6</v>
      </c>
      <c r="C558" s="20" t="s">
        <v>167</v>
      </c>
      <c r="D558" s="21"/>
    </row>
    <row r="559" spans="1:4" ht="12.75" customHeight="1" x14ac:dyDescent="0.2">
      <c r="A559" s="21"/>
      <c r="B559" s="3" t="s">
        <v>8</v>
      </c>
      <c r="C559" s="20" t="s">
        <v>166</v>
      </c>
      <c r="D559" s="21"/>
    </row>
    <row r="560" spans="1:4" ht="12.75" customHeight="1" x14ac:dyDescent="0.2">
      <c r="A560" s="21"/>
      <c r="B560" s="3" t="s">
        <v>9</v>
      </c>
      <c r="C560" s="20" t="s">
        <v>129</v>
      </c>
      <c r="D560" s="21"/>
    </row>
    <row r="561" spans="1:4" ht="12.75" customHeight="1" x14ac:dyDescent="0.2">
      <c r="A561" s="21"/>
      <c r="B561" s="3" t="s">
        <v>11</v>
      </c>
      <c r="C561" s="20" t="s">
        <v>168</v>
      </c>
      <c r="D561" s="21"/>
    </row>
    <row r="562" spans="1:4" ht="12.75" customHeight="1" x14ac:dyDescent="0.2">
      <c r="A562" s="21"/>
      <c r="B562" s="3" t="s">
        <v>13</v>
      </c>
      <c r="C562" s="20" t="s">
        <v>24</v>
      </c>
      <c r="D562" s="21"/>
    </row>
    <row r="563" spans="1:4" ht="12.75" customHeight="1" x14ac:dyDescent="0.2">
      <c r="A563" s="21"/>
      <c r="B563" s="3" t="s">
        <v>15</v>
      </c>
      <c r="C563" s="20" t="s">
        <v>14</v>
      </c>
      <c r="D563" s="21"/>
    </row>
    <row r="564" spans="1:4" ht="12.75" customHeight="1" x14ac:dyDescent="0.2">
      <c r="A564" s="21"/>
      <c r="B564" s="3" t="s">
        <v>16</v>
      </c>
      <c r="C564" s="20"/>
      <c r="D564" s="21"/>
    </row>
    <row r="565" spans="1:4" ht="12.75" customHeight="1" x14ac:dyDescent="0.2">
      <c r="A565" s="21"/>
      <c r="B565" s="3" t="s">
        <v>17</v>
      </c>
      <c r="C565" s="20"/>
      <c r="D565" s="21"/>
    </row>
    <row r="566" spans="1:4" ht="12.75" customHeight="1" x14ac:dyDescent="0.2">
      <c r="A566" s="21"/>
      <c r="B566" s="20" t="s">
        <v>18</v>
      </c>
      <c r="C566" s="4" t="s">
        <v>44</v>
      </c>
      <c r="D566" s="6" t="str">
        <f>HYPERLINK("javascript:void(0)","nyilvető")</f>
        <v>nyilvető</v>
      </c>
    </row>
    <row r="567" spans="1:4" ht="12.75" customHeight="1" x14ac:dyDescent="0.2">
      <c r="A567" s="21"/>
      <c r="B567" s="21"/>
      <c r="C567" s="4" t="s">
        <v>55</v>
      </c>
      <c r="D567" s="6" t="str">
        <f>HYPERLINK("javascript:void(0)","nyukug bajusz")</f>
        <v>nyukug bajusz</v>
      </c>
    </row>
    <row r="568" spans="1:4" ht="12.75" customHeight="1" x14ac:dyDescent="0.2">
      <c r="A568" s="21"/>
      <c r="B568" s="21"/>
      <c r="C568" s="4" t="s">
        <v>77</v>
      </c>
      <c r="D568" s="6" t="str">
        <f>HYPERLINK("javascript:void(0)","kristálylap")</f>
        <v>kristálylap</v>
      </c>
    </row>
    <row r="569" spans="1:4" ht="12.75" customHeight="1" x14ac:dyDescent="0.2">
      <c r="A569" s="5"/>
      <c r="B569" s="2"/>
      <c r="C569" s="2"/>
      <c r="D569" s="2"/>
    </row>
    <row r="570" spans="1:4" ht="12.75" customHeight="1" x14ac:dyDescent="0.2">
      <c r="A570" s="22" t="str">
        <f>HYPERLINK("javascript:void(0)","arany bumeráng")</f>
        <v>arany bumeráng</v>
      </c>
      <c r="B570" s="21"/>
      <c r="C570" s="21"/>
      <c r="D570" s="21"/>
    </row>
    <row r="571" spans="1:4" ht="12.75" customHeight="1" x14ac:dyDescent="0.2">
      <c r="A571" s="20"/>
      <c r="B571" s="2"/>
      <c r="C571" s="2"/>
      <c r="D571" s="2"/>
    </row>
    <row r="572" spans="1:4" ht="12.75" customHeight="1" x14ac:dyDescent="0.2">
      <c r="A572" s="21"/>
      <c r="B572" s="3" t="s">
        <v>0</v>
      </c>
      <c r="C572" s="20" t="s">
        <v>153</v>
      </c>
      <c r="D572" s="21"/>
    </row>
    <row r="573" spans="1:4" ht="12.75" customHeight="1" x14ac:dyDescent="0.2">
      <c r="A573" s="21"/>
      <c r="B573" s="3" t="s">
        <v>2</v>
      </c>
      <c r="C573" s="20" t="s">
        <v>3</v>
      </c>
      <c r="D573" s="21"/>
    </row>
    <row r="574" spans="1:4" ht="12.75" customHeight="1" x14ac:dyDescent="0.2">
      <c r="A574" s="21"/>
      <c r="B574" s="3" t="s">
        <v>4</v>
      </c>
      <c r="C574" s="20" t="s">
        <v>171</v>
      </c>
      <c r="D574" s="21"/>
    </row>
    <row r="575" spans="1:4" ht="12.75" customHeight="1" x14ac:dyDescent="0.2">
      <c r="A575" s="21"/>
      <c r="B575" s="3" t="s">
        <v>6</v>
      </c>
      <c r="C575" s="20" t="s">
        <v>33</v>
      </c>
      <c r="D575" s="21"/>
    </row>
    <row r="576" spans="1:4" ht="12.75" customHeight="1" x14ac:dyDescent="0.2">
      <c r="A576" s="21"/>
      <c r="B576" s="3" t="s">
        <v>8</v>
      </c>
      <c r="C576" s="20" t="s">
        <v>171</v>
      </c>
      <c r="D576" s="21"/>
    </row>
    <row r="577" spans="1:4" ht="12.75" customHeight="1" x14ac:dyDescent="0.2">
      <c r="A577" s="21"/>
      <c r="B577" s="3" t="s">
        <v>9</v>
      </c>
      <c r="C577" s="20" t="s">
        <v>172</v>
      </c>
      <c r="D577" s="21"/>
    </row>
    <row r="578" spans="1:4" ht="12.75" customHeight="1" x14ac:dyDescent="0.2">
      <c r="A578" s="21"/>
      <c r="B578" s="3" t="s">
        <v>11</v>
      </c>
      <c r="C578" s="20" t="s">
        <v>173</v>
      </c>
      <c r="D578" s="21"/>
    </row>
    <row r="579" spans="1:4" ht="12.75" customHeight="1" x14ac:dyDescent="0.2">
      <c r="A579" s="21"/>
      <c r="B579" s="3" t="s">
        <v>13</v>
      </c>
      <c r="C579" s="20" t="s">
        <v>24</v>
      </c>
      <c r="D579" s="21"/>
    </row>
    <row r="580" spans="1:4" ht="12.75" customHeight="1" x14ac:dyDescent="0.2">
      <c r="A580" s="21"/>
      <c r="B580" s="3" t="s">
        <v>15</v>
      </c>
      <c r="C580" s="20" t="s">
        <v>14</v>
      </c>
      <c r="D580" s="21"/>
    </row>
    <row r="581" spans="1:4" ht="12.75" customHeight="1" x14ac:dyDescent="0.2">
      <c r="A581" s="21"/>
      <c r="B581" s="3" t="s">
        <v>16</v>
      </c>
      <c r="C581" s="20"/>
      <c r="D581" s="21"/>
    </row>
    <row r="582" spans="1:4" ht="12.75" customHeight="1" x14ac:dyDescent="0.2">
      <c r="A582" s="21"/>
      <c r="B582" s="3" t="s">
        <v>17</v>
      </c>
      <c r="C582" s="20"/>
      <c r="D582" s="21"/>
    </row>
    <row r="583" spans="1:4" ht="12.75" customHeight="1" x14ac:dyDescent="0.2">
      <c r="A583" s="21"/>
      <c r="B583" s="20" t="s">
        <v>18</v>
      </c>
      <c r="C583" s="4" t="s">
        <v>44</v>
      </c>
      <c r="D583" s="6" t="str">
        <f>HYPERLINK("javascript:void(0)","ezüst bumeráng")</f>
        <v>ezüst bumeráng</v>
      </c>
    </row>
    <row r="584" spans="1:4" ht="12.75" customHeight="1" x14ac:dyDescent="0.2">
      <c r="A584" s="21"/>
      <c r="B584" s="21"/>
      <c r="C584" s="4" t="s">
        <v>56</v>
      </c>
      <c r="D584" s="6" t="str">
        <f>HYPERLINK("javascript:void(0)","gyémánt")</f>
        <v>gyémánt</v>
      </c>
    </row>
    <row r="585" spans="1:4" ht="12.75" customHeight="1" x14ac:dyDescent="0.2">
      <c r="A585" s="21"/>
      <c r="B585" s="21"/>
      <c r="C585" s="4" t="s">
        <v>139</v>
      </c>
      <c r="D585" s="6" t="str">
        <f>HYPERLINK("javascript:void(0)","arany")</f>
        <v>arany</v>
      </c>
    </row>
    <row r="586" spans="1:4" ht="12.75" customHeight="1" x14ac:dyDescent="0.2">
      <c r="A586" s="5"/>
      <c r="B586" s="2"/>
      <c r="C586" s="2"/>
      <c r="D586" s="2"/>
    </row>
    <row r="587" spans="1:4" ht="12.75" customHeight="1" x14ac:dyDescent="0.2">
      <c r="A587" s="22" t="str">
        <f>HYPERLINK("javascript:void(0)","hajítócsillag")</f>
        <v>hajítócsillag</v>
      </c>
      <c r="B587" s="21"/>
      <c r="C587" s="21"/>
      <c r="D587" s="21"/>
    </row>
    <row r="588" spans="1:4" ht="12.75" customHeight="1" x14ac:dyDescent="0.2">
      <c r="A588" s="20"/>
      <c r="B588" s="2"/>
      <c r="C588" s="2"/>
      <c r="D588" s="2"/>
    </row>
    <row r="589" spans="1:4" ht="12.75" customHeight="1" x14ac:dyDescent="0.2">
      <c r="A589" s="21"/>
      <c r="B589" s="3" t="s">
        <v>0</v>
      </c>
      <c r="C589" s="20" t="s">
        <v>153</v>
      </c>
      <c r="D589" s="21"/>
    </row>
    <row r="590" spans="1:4" ht="12.75" customHeight="1" x14ac:dyDescent="0.2">
      <c r="A590" s="21"/>
      <c r="B590" s="3" t="s">
        <v>2</v>
      </c>
      <c r="C590" s="20" t="s">
        <v>3</v>
      </c>
      <c r="D590" s="21"/>
    </row>
    <row r="591" spans="1:4" ht="12.75" customHeight="1" x14ac:dyDescent="0.2">
      <c r="A591" s="21"/>
      <c r="B591" s="3" t="s">
        <v>4</v>
      </c>
      <c r="C591" s="20" t="s">
        <v>175</v>
      </c>
      <c r="D591" s="21"/>
    </row>
    <row r="592" spans="1:4" ht="12.75" customHeight="1" x14ac:dyDescent="0.2">
      <c r="A592" s="21"/>
      <c r="B592" s="3" t="s">
        <v>6</v>
      </c>
      <c r="C592" s="20" t="s">
        <v>92</v>
      </c>
      <c r="D592" s="21"/>
    </row>
    <row r="593" spans="1:4" ht="12.75" customHeight="1" x14ac:dyDescent="0.2">
      <c r="A593" s="21"/>
      <c r="B593" s="3" t="s">
        <v>8</v>
      </c>
      <c r="C593" s="20" t="s">
        <v>175</v>
      </c>
      <c r="D593" s="21"/>
    </row>
    <row r="594" spans="1:4" ht="12.75" customHeight="1" x14ac:dyDescent="0.2">
      <c r="A594" s="21"/>
      <c r="B594" s="3" t="s">
        <v>9</v>
      </c>
      <c r="C594" s="20" t="s">
        <v>176</v>
      </c>
      <c r="D594" s="21"/>
    </row>
    <row r="595" spans="1:4" ht="12.75" customHeight="1" x14ac:dyDescent="0.2">
      <c r="A595" s="21"/>
      <c r="B595" s="3" t="s">
        <v>11</v>
      </c>
      <c r="C595" s="20" t="s">
        <v>177</v>
      </c>
      <c r="D595" s="21"/>
    </row>
    <row r="596" spans="1:4" ht="12.75" customHeight="1" x14ac:dyDescent="0.2">
      <c r="A596" s="21"/>
      <c r="B596" s="3" t="s">
        <v>13</v>
      </c>
      <c r="C596" s="20" t="s">
        <v>24</v>
      </c>
      <c r="D596" s="21"/>
    </row>
    <row r="597" spans="1:4" ht="12.75" customHeight="1" x14ac:dyDescent="0.2">
      <c r="A597" s="21"/>
      <c r="B597" s="3" t="s">
        <v>15</v>
      </c>
      <c r="C597" s="20" t="s">
        <v>14</v>
      </c>
      <c r="D597" s="21"/>
    </row>
    <row r="598" spans="1:4" ht="12.75" customHeight="1" x14ac:dyDescent="0.2">
      <c r="A598" s="21"/>
      <c r="B598" s="3" t="s">
        <v>16</v>
      </c>
      <c r="C598" s="20"/>
      <c r="D598" s="21"/>
    </row>
    <row r="599" spans="1:4" ht="12.75" customHeight="1" x14ac:dyDescent="0.2">
      <c r="A599" s="21"/>
      <c r="B599" s="3" t="s">
        <v>17</v>
      </c>
      <c r="C599" s="20"/>
      <c r="D599" s="21"/>
    </row>
    <row r="600" spans="1:4" ht="12.75" customHeight="1" x14ac:dyDescent="0.2">
      <c r="A600" s="21"/>
      <c r="B600" s="20" t="s">
        <v>18</v>
      </c>
      <c r="C600" s="4" t="s">
        <v>44</v>
      </c>
      <c r="D600" s="6" t="str">
        <f>HYPERLINK("javascript:void(0)","ork csatacsillag")</f>
        <v>ork csatacsillag</v>
      </c>
    </row>
    <row r="601" spans="1:4" ht="12.75" customHeight="1" x14ac:dyDescent="0.2">
      <c r="A601" s="21"/>
      <c r="B601" s="21"/>
      <c r="C601" s="4" t="s">
        <v>56</v>
      </c>
      <c r="D601" s="6" t="str">
        <f>HYPERLINK("javascript:void(0)","kithrill")</f>
        <v>kithrill</v>
      </c>
    </row>
    <row r="602" spans="1:4" ht="12.75" customHeight="1" x14ac:dyDescent="0.2">
      <c r="A602" s="21"/>
      <c r="B602" s="21"/>
      <c r="C602" s="4" t="s">
        <v>77</v>
      </c>
      <c r="D602" s="6" t="str">
        <f>HYPERLINK("javascript:void(0)","kallandra fog")</f>
        <v>kallandra fog</v>
      </c>
    </row>
    <row r="603" spans="1:4" ht="12.75" customHeight="1" x14ac:dyDescent="0.2">
      <c r="A603" s="5"/>
      <c r="B603" s="2"/>
      <c r="C603" s="2"/>
      <c r="D603" s="2"/>
    </row>
    <row r="604" spans="1:4" ht="12.75" customHeight="1" x14ac:dyDescent="0.2">
      <c r="A604" s="22" t="str">
        <f>HYPERLINK("javascript:void(0)","hidracél köpőcső")</f>
        <v>hidracél köpőcső</v>
      </c>
      <c r="B604" s="21"/>
      <c r="C604" s="21"/>
      <c r="D604" s="21"/>
    </row>
    <row r="605" spans="1:4" ht="12.75" customHeight="1" x14ac:dyDescent="0.2">
      <c r="A605" s="20"/>
      <c r="B605" s="2"/>
      <c r="C605" s="2"/>
      <c r="D605" s="2"/>
    </row>
    <row r="606" spans="1:4" ht="12.75" customHeight="1" x14ac:dyDescent="0.2">
      <c r="A606" s="21"/>
      <c r="B606" s="3" t="s">
        <v>0</v>
      </c>
      <c r="C606" s="20" t="s">
        <v>153</v>
      </c>
      <c r="D606" s="21"/>
    </row>
    <row r="607" spans="1:4" ht="12.75" customHeight="1" x14ac:dyDescent="0.2">
      <c r="A607" s="21"/>
      <c r="B607" s="3" t="s">
        <v>2</v>
      </c>
      <c r="C607" s="20" t="s">
        <v>3</v>
      </c>
      <c r="D607" s="21"/>
    </row>
    <row r="608" spans="1:4" ht="12.75" customHeight="1" x14ac:dyDescent="0.2">
      <c r="A608" s="21"/>
      <c r="B608" s="3" t="s">
        <v>4</v>
      </c>
      <c r="C608" s="20" t="s">
        <v>181</v>
      </c>
      <c r="D608" s="21"/>
    </row>
    <row r="609" spans="1:4" ht="12.75" customHeight="1" x14ac:dyDescent="0.2">
      <c r="A609" s="21"/>
      <c r="B609" s="3" t="s">
        <v>6</v>
      </c>
      <c r="C609" s="20" t="s">
        <v>92</v>
      </c>
      <c r="D609" s="21"/>
    </row>
    <row r="610" spans="1:4" ht="12.75" customHeight="1" x14ac:dyDescent="0.2">
      <c r="A610" s="21"/>
      <c r="B610" s="3" t="s">
        <v>8</v>
      </c>
      <c r="C610" s="20" t="s">
        <v>181</v>
      </c>
      <c r="D610" s="21"/>
    </row>
    <row r="611" spans="1:4" ht="12.75" customHeight="1" x14ac:dyDescent="0.2">
      <c r="A611" s="21"/>
      <c r="B611" s="3" t="s">
        <v>9</v>
      </c>
      <c r="C611" s="20" t="s">
        <v>84</v>
      </c>
      <c r="D611" s="21"/>
    </row>
    <row r="612" spans="1:4" ht="12.75" customHeight="1" x14ac:dyDescent="0.2">
      <c r="A612" s="21"/>
      <c r="B612" s="3" t="s">
        <v>11</v>
      </c>
      <c r="C612" s="20" t="s">
        <v>182</v>
      </c>
      <c r="D612" s="21"/>
    </row>
    <row r="613" spans="1:4" ht="12.75" customHeight="1" x14ac:dyDescent="0.2">
      <c r="A613" s="21"/>
      <c r="B613" s="3" t="s">
        <v>13</v>
      </c>
      <c r="C613" s="20" t="s">
        <v>24</v>
      </c>
      <c r="D613" s="21"/>
    </row>
    <row r="614" spans="1:4" ht="12.75" customHeight="1" x14ac:dyDescent="0.2">
      <c r="A614" s="21"/>
      <c r="B614" s="3" t="s">
        <v>15</v>
      </c>
      <c r="C614" s="20" t="s">
        <v>24</v>
      </c>
      <c r="D614" s="21"/>
    </row>
    <row r="615" spans="1:4" ht="12.75" customHeight="1" x14ac:dyDescent="0.2">
      <c r="A615" s="21"/>
      <c r="B615" s="3" t="s">
        <v>16</v>
      </c>
      <c r="C615" s="20"/>
      <c r="D615" s="21"/>
    </row>
    <row r="616" spans="1:4" ht="12.75" customHeight="1" x14ac:dyDescent="0.2">
      <c r="A616" s="21"/>
      <c r="B616" s="3" t="s">
        <v>17</v>
      </c>
      <c r="C616" s="20"/>
      <c r="D616" s="21"/>
    </row>
    <row r="617" spans="1:4" ht="12.75" customHeight="1" x14ac:dyDescent="0.2">
      <c r="A617" s="21"/>
      <c r="B617" s="20" t="s">
        <v>18</v>
      </c>
      <c r="C617" s="4" t="s">
        <v>184</v>
      </c>
      <c r="D617" s="6" t="str">
        <f>HYPERLINK("javascript:void(0)","szén-hidragén")</f>
        <v>szén-hidragén</v>
      </c>
    </row>
    <row r="618" spans="1:4" ht="12.75" customHeight="1" x14ac:dyDescent="0.2">
      <c r="A618" s="21"/>
      <c r="B618" s="21"/>
      <c r="C618" s="4" t="s">
        <v>130</v>
      </c>
      <c r="D618" s="6" t="str">
        <f>HYPERLINK("javascript:void(0)","gigaköröm")</f>
        <v>gigaköröm</v>
      </c>
    </row>
    <row r="619" spans="1:4" ht="12.75" customHeight="1" x14ac:dyDescent="0.2">
      <c r="A619" s="21"/>
      <c r="B619" s="21"/>
      <c r="C619" s="4" t="s">
        <v>117</v>
      </c>
      <c r="D619" s="6" t="str">
        <f>HYPERLINK("javascript:void(0)","képcső")</f>
        <v>képcső</v>
      </c>
    </row>
    <row r="620" spans="1:4" ht="12.75" customHeight="1" x14ac:dyDescent="0.2">
      <c r="A620" s="5"/>
      <c r="B620" s="2"/>
      <c r="C620" s="2"/>
      <c r="D620" s="2"/>
    </row>
    <row r="621" spans="1:4" ht="12.75" customHeight="1" x14ac:dyDescent="0.2">
      <c r="A621" s="22" t="str">
        <f>HYPERLINK("javascript:void(0)","mágikus aranyalma")</f>
        <v>mágikus aranyalma</v>
      </c>
      <c r="B621" s="21"/>
      <c r="C621" s="21"/>
      <c r="D621" s="21"/>
    </row>
    <row r="622" spans="1:4" ht="12.75" customHeight="1" x14ac:dyDescent="0.2">
      <c r="A622" s="20"/>
      <c r="B622" s="2"/>
      <c r="C622" s="2"/>
      <c r="D622" s="2"/>
    </row>
    <row r="623" spans="1:4" ht="12.75" customHeight="1" x14ac:dyDescent="0.2">
      <c r="A623" s="21"/>
      <c r="B623" s="3" t="s">
        <v>0</v>
      </c>
      <c r="C623" s="20" t="s">
        <v>35</v>
      </c>
      <c r="D623" s="21"/>
    </row>
    <row r="624" spans="1:4" ht="12.75" customHeight="1" x14ac:dyDescent="0.2">
      <c r="A624" s="21"/>
      <c r="B624" s="3" t="s">
        <v>2</v>
      </c>
      <c r="C624" s="20" t="s">
        <v>3</v>
      </c>
      <c r="D624" s="21"/>
    </row>
    <row r="625" spans="1:4" ht="12.75" customHeight="1" x14ac:dyDescent="0.2">
      <c r="A625" s="21"/>
      <c r="B625" s="3" t="s">
        <v>4</v>
      </c>
      <c r="C625" s="20" t="s">
        <v>185</v>
      </c>
      <c r="D625" s="21"/>
    </row>
    <row r="626" spans="1:4" ht="12.75" customHeight="1" x14ac:dyDescent="0.2">
      <c r="A626" s="21"/>
      <c r="B626" s="3" t="s">
        <v>6</v>
      </c>
      <c r="C626" s="20" t="s">
        <v>48</v>
      </c>
      <c r="D626" s="21"/>
    </row>
    <row r="627" spans="1:4" ht="12.75" customHeight="1" x14ac:dyDescent="0.2">
      <c r="A627" s="21"/>
      <c r="B627" s="3" t="s">
        <v>8</v>
      </c>
      <c r="C627" s="20" t="s">
        <v>185</v>
      </c>
      <c r="D627" s="21"/>
    </row>
    <row r="628" spans="1:4" ht="12.75" customHeight="1" x14ac:dyDescent="0.2">
      <c r="A628" s="21"/>
      <c r="B628" s="3" t="s">
        <v>9</v>
      </c>
      <c r="C628" s="20" t="s">
        <v>124</v>
      </c>
      <c r="D628" s="21"/>
    </row>
    <row r="629" spans="1:4" ht="12.75" customHeight="1" x14ac:dyDescent="0.2">
      <c r="A629" s="21"/>
      <c r="B629" s="3" t="s">
        <v>11</v>
      </c>
      <c r="C629" s="20" t="s">
        <v>186</v>
      </c>
      <c r="D629" s="21"/>
    </row>
    <row r="630" spans="1:4" ht="12.75" customHeight="1" x14ac:dyDescent="0.2">
      <c r="A630" s="21"/>
      <c r="B630" s="3" t="s">
        <v>13</v>
      </c>
      <c r="C630" s="20" t="s">
        <v>24</v>
      </c>
      <c r="D630" s="21"/>
    </row>
    <row r="631" spans="1:4" ht="12.75" customHeight="1" x14ac:dyDescent="0.2">
      <c r="A631" s="21"/>
      <c r="B631" s="3" t="s">
        <v>15</v>
      </c>
      <c r="C631" s="20" t="s">
        <v>24</v>
      </c>
      <c r="D631" s="21"/>
    </row>
    <row r="632" spans="1:4" ht="12.75" customHeight="1" x14ac:dyDescent="0.2">
      <c r="A632" s="21"/>
      <c r="B632" s="3" t="s">
        <v>16</v>
      </c>
      <c r="C632" s="20"/>
      <c r="D632" s="21"/>
    </row>
    <row r="633" spans="1:4" ht="12.75" customHeight="1" x14ac:dyDescent="0.2">
      <c r="A633" s="21"/>
      <c r="B633" s="3" t="s">
        <v>17</v>
      </c>
      <c r="C633" s="20"/>
      <c r="D633" s="21"/>
    </row>
    <row r="634" spans="1:4" ht="12.75" customHeight="1" x14ac:dyDescent="0.2">
      <c r="A634" s="21"/>
      <c r="B634" s="20" t="s">
        <v>18</v>
      </c>
      <c r="C634" s="4" t="s">
        <v>67</v>
      </c>
      <c r="D634" s="6" t="str">
        <f>HYPERLINK("javascript:void(0)","kaja")</f>
        <v>kaja</v>
      </c>
    </row>
    <row r="635" spans="1:4" ht="12.75" customHeight="1" x14ac:dyDescent="0.2">
      <c r="A635" s="21"/>
      <c r="B635" s="21"/>
      <c r="C635" s="4" t="s">
        <v>188</v>
      </c>
      <c r="D635" s="6" t="str">
        <f>HYPERLINK("javascript:void(0)","arany")</f>
        <v>arany</v>
      </c>
    </row>
    <row r="636" spans="1:4" ht="12.75" customHeight="1" x14ac:dyDescent="0.2">
      <c r="A636" s="21"/>
      <c r="B636" s="21"/>
      <c r="C636" s="4" t="s">
        <v>55</v>
      </c>
      <c r="D636" s="6" t="str">
        <f>HYPERLINK("javascript:void(0)","hiperium")</f>
        <v>hiperium</v>
      </c>
    </row>
    <row r="637" spans="1:4" ht="12.75" customHeight="1" x14ac:dyDescent="0.2">
      <c r="A637" s="5"/>
      <c r="B637" s="2"/>
      <c r="C637" s="2"/>
      <c r="D637" s="2"/>
    </row>
    <row r="638" spans="1:4" ht="12.75" customHeight="1" x14ac:dyDescent="0.2">
      <c r="A638" s="22" t="str">
        <f>HYPERLINK("javascript:void(0)","démonacél köpőcső")</f>
        <v>démonacél köpőcső</v>
      </c>
      <c r="B638" s="21"/>
      <c r="C638" s="21"/>
      <c r="D638" s="21"/>
    </row>
    <row r="639" spans="1:4" ht="12.75" customHeight="1" x14ac:dyDescent="0.2">
      <c r="A639" s="20"/>
      <c r="B639" s="2"/>
      <c r="C639" s="2"/>
      <c r="D639" s="2"/>
    </row>
    <row r="640" spans="1:4" ht="12.75" customHeight="1" x14ac:dyDescent="0.2">
      <c r="A640" s="21"/>
      <c r="B640" s="3" t="s">
        <v>0</v>
      </c>
      <c r="C640" s="20" t="s">
        <v>35</v>
      </c>
      <c r="D640" s="21"/>
    </row>
    <row r="641" spans="1:4" ht="12.75" customHeight="1" x14ac:dyDescent="0.2">
      <c r="A641" s="21"/>
      <c r="B641" s="3" t="s">
        <v>2</v>
      </c>
      <c r="C641" s="20" t="s">
        <v>3</v>
      </c>
      <c r="D641" s="21"/>
    </row>
    <row r="642" spans="1:4" ht="12.75" customHeight="1" x14ac:dyDescent="0.2">
      <c r="A642" s="21"/>
      <c r="B642" s="3" t="s">
        <v>4</v>
      </c>
      <c r="C642" s="20" t="s">
        <v>190</v>
      </c>
      <c r="D642" s="21"/>
    </row>
    <row r="643" spans="1:4" ht="12.75" customHeight="1" x14ac:dyDescent="0.2">
      <c r="A643" s="21"/>
      <c r="B643" s="3" t="s">
        <v>6</v>
      </c>
      <c r="C643" s="20" t="s">
        <v>92</v>
      </c>
      <c r="D643" s="21"/>
    </row>
    <row r="644" spans="1:4" ht="12.75" customHeight="1" x14ac:dyDescent="0.2">
      <c r="A644" s="21"/>
      <c r="B644" s="3" t="s">
        <v>8</v>
      </c>
      <c r="C644" s="20" t="s">
        <v>190</v>
      </c>
      <c r="D644" s="21"/>
    </row>
    <row r="645" spans="1:4" ht="12.75" customHeight="1" x14ac:dyDescent="0.2">
      <c r="A645" s="21"/>
      <c r="B645" s="3" t="s">
        <v>9</v>
      </c>
      <c r="C645" s="20" t="s">
        <v>30</v>
      </c>
      <c r="D645" s="21"/>
    </row>
    <row r="646" spans="1:4" ht="12.75" customHeight="1" x14ac:dyDescent="0.2">
      <c r="A646" s="21"/>
      <c r="B646" s="3" t="s">
        <v>11</v>
      </c>
      <c r="C646" s="20" t="s">
        <v>191</v>
      </c>
      <c r="D646" s="21"/>
    </row>
    <row r="647" spans="1:4" ht="12.75" customHeight="1" x14ac:dyDescent="0.2">
      <c r="A647" s="21"/>
      <c r="B647" s="3" t="s">
        <v>13</v>
      </c>
      <c r="C647" s="20" t="s">
        <v>24</v>
      </c>
      <c r="D647" s="21"/>
    </row>
    <row r="648" spans="1:4" ht="12.75" customHeight="1" x14ac:dyDescent="0.2">
      <c r="A648" s="21"/>
      <c r="B648" s="3" t="s">
        <v>15</v>
      </c>
      <c r="C648" s="20" t="s">
        <v>24</v>
      </c>
      <c r="D648" s="21"/>
    </row>
    <row r="649" spans="1:4" ht="12.75" customHeight="1" x14ac:dyDescent="0.2">
      <c r="A649" s="21"/>
      <c r="B649" s="3" t="s">
        <v>16</v>
      </c>
      <c r="C649" s="20"/>
      <c r="D649" s="21"/>
    </row>
    <row r="650" spans="1:4" ht="12.75" customHeight="1" x14ac:dyDescent="0.2">
      <c r="A650" s="21"/>
      <c r="B650" s="3" t="s">
        <v>17</v>
      </c>
      <c r="C650" s="20"/>
      <c r="D650" s="21"/>
    </row>
    <row r="651" spans="1:4" ht="12.75" customHeight="1" x14ac:dyDescent="0.2">
      <c r="A651" s="21"/>
      <c r="B651" s="20" t="s">
        <v>18</v>
      </c>
      <c r="C651" s="4" t="s">
        <v>130</v>
      </c>
      <c r="D651" s="6" t="str">
        <f>HYPERLINK("javascript:void(0)","démonnyúlmáj")</f>
        <v>démonnyúlmáj</v>
      </c>
    </row>
    <row r="652" spans="1:4" ht="12.75" customHeight="1" x14ac:dyDescent="0.2">
      <c r="A652" s="21"/>
      <c r="B652" s="21"/>
      <c r="C652" s="4" t="s">
        <v>193</v>
      </c>
      <c r="D652" s="6" t="str">
        <f>HYPERLINK("javascript:void(0)","dadacsiganyál")</f>
        <v>dadacsiganyál</v>
      </c>
    </row>
    <row r="653" spans="1:4" ht="12.75" customHeight="1" x14ac:dyDescent="0.2">
      <c r="A653" s="21"/>
      <c r="B653" s="21"/>
      <c r="C653" s="4" t="s">
        <v>132</v>
      </c>
      <c r="D653" s="6" t="str">
        <f>HYPERLINK("javascript:void(0)","képcső")</f>
        <v>képcső</v>
      </c>
    </row>
    <row r="654" spans="1:4" ht="12.75" customHeight="1" x14ac:dyDescent="0.2">
      <c r="A654" s="5"/>
      <c r="B654" s="2"/>
      <c r="C654" s="2"/>
      <c r="D654" s="2"/>
    </row>
    <row r="655" spans="1:4" ht="12.75" customHeight="1" x14ac:dyDescent="0.2">
      <c r="A655" s="22" t="str">
        <f>HYPERLINK("javascript:void(0)","ezüst bűzíj")</f>
        <v>ezüst bűzíj</v>
      </c>
      <c r="B655" s="21"/>
      <c r="C655" s="21"/>
      <c r="D655" s="21"/>
    </row>
    <row r="656" spans="1:4" ht="12.75" customHeight="1" x14ac:dyDescent="0.2">
      <c r="A656" s="20"/>
      <c r="B656" s="2"/>
      <c r="C656" s="2"/>
      <c r="D656" s="2"/>
    </row>
    <row r="657" spans="1:4" ht="12.75" customHeight="1" x14ac:dyDescent="0.2">
      <c r="A657" s="21"/>
      <c r="B657" s="3" t="s">
        <v>0</v>
      </c>
      <c r="C657" s="20" t="s">
        <v>38</v>
      </c>
      <c r="D657" s="21"/>
    </row>
    <row r="658" spans="1:4" ht="12.75" customHeight="1" x14ac:dyDescent="0.2">
      <c r="A658" s="21"/>
      <c r="B658" s="3" t="s">
        <v>2</v>
      </c>
      <c r="C658" s="20" t="s">
        <v>3</v>
      </c>
      <c r="D658" s="21"/>
    </row>
    <row r="659" spans="1:4" ht="12.75" customHeight="1" x14ac:dyDescent="0.2">
      <c r="A659" s="21"/>
      <c r="B659" s="3" t="s">
        <v>4</v>
      </c>
      <c r="C659" s="20" t="s">
        <v>197</v>
      </c>
      <c r="D659" s="21"/>
    </row>
    <row r="660" spans="1:4" ht="12.75" customHeight="1" x14ac:dyDescent="0.2">
      <c r="A660" s="21"/>
      <c r="B660" s="3" t="s">
        <v>6</v>
      </c>
      <c r="C660" s="20" t="s">
        <v>82</v>
      </c>
      <c r="D660" s="21"/>
    </row>
    <row r="661" spans="1:4" ht="12.75" customHeight="1" x14ac:dyDescent="0.2">
      <c r="A661" s="21"/>
      <c r="B661" s="3" t="s">
        <v>8</v>
      </c>
      <c r="C661" s="20" t="s">
        <v>197</v>
      </c>
      <c r="D661" s="21"/>
    </row>
    <row r="662" spans="1:4" ht="12.75" customHeight="1" x14ac:dyDescent="0.2">
      <c r="A662" s="21"/>
      <c r="B662" s="3" t="s">
        <v>9</v>
      </c>
      <c r="C662" s="20" t="s">
        <v>198</v>
      </c>
      <c r="D662" s="21"/>
    </row>
    <row r="663" spans="1:4" ht="12.75" customHeight="1" x14ac:dyDescent="0.2">
      <c r="A663" s="21"/>
      <c r="B663" s="3" t="s">
        <v>11</v>
      </c>
      <c r="C663" s="20" t="s">
        <v>199</v>
      </c>
      <c r="D663" s="21"/>
    </row>
    <row r="664" spans="1:4" ht="12.75" customHeight="1" x14ac:dyDescent="0.2">
      <c r="A664" s="21"/>
      <c r="B664" s="3" t="s">
        <v>13</v>
      </c>
      <c r="C664" s="20" t="s">
        <v>24</v>
      </c>
      <c r="D664" s="21"/>
    </row>
    <row r="665" spans="1:4" ht="12.75" customHeight="1" x14ac:dyDescent="0.2">
      <c r="A665" s="21"/>
      <c r="B665" s="3" t="s">
        <v>15</v>
      </c>
      <c r="C665" s="20" t="s">
        <v>24</v>
      </c>
      <c r="D665" s="21"/>
    </row>
    <row r="666" spans="1:4" ht="12.75" customHeight="1" x14ac:dyDescent="0.2">
      <c r="A666" s="21"/>
      <c r="B666" s="3" t="s">
        <v>16</v>
      </c>
      <c r="C666" s="20"/>
      <c r="D666" s="21"/>
    </row>
    <row r="667" spans="1:4" ht="12.75" customHeight="1" x14ac:dyDescent="0.2">
      <c r="A667" s="21"/>
      <c r="B667" s="3" t="s">
        <v>17</v>
      </c>
      <c r="C667" s="20"/>
      <c r="D667" s="21"/>
    </row>
    <row r="668" spans="1:4" ht="12.75" customHeight="1" x14ac:dyDescent="0.2">
      <c r="A668" s="21"/>
      <c r="B668" s="20" t="s">
        <v>18</v>
      </c>
      <c r="C668" s="4" t="s">
        <v>117</v>
      </c>
      <c r="D668" s="6" t="str">
        <f>HYPERLINK("javascript:void(0)","bűzmirigy")</f>
        <v>bűzmirigy</v>
      </c>
    </row>
    <row r="669" spans="1:4" ht="12.75" customHeight="1" x14ac:dyDescent="0.2">
      <c r="A669" s="21"/>
      <c r="B669" s="21"/>
      <c r="C669" s="4" t="s">
        <v>44</v>
      </c>
      <c r="D669" s="6" t="str">
        <f>HYPERLINK("javascript:void(0)","skivei hosszú íj")</f>
        <v>skivei hosszú íj</v>
      </c>
    </row>
    <row r="670" spans="1:4" ht="12.75" customHeight="1" x14ac:dyDescent="0.2">
      <c r="A670" s="21"/>
      <c r="B670" s="21"/>
      <c r="C670" s="4" t="s">
        <v>202</v>
      </c>
      <c r="D670" s="6" t="str">
        <f>HYPERLINK("javascript:void(0)","ezüst")</f>
        <v>ezüst</v>
      </c>
    </row>
    <row r="671" spans="1:4" ht="12.75" customHeight="1" x14ac:dyDescent="0.2">
      <c r="A671" s="5"/>
      <c r="B671" s="2"/>
      <c r="C671" s="2"/>
      <c r="D671" s="2"/>
    </row>
    <row r="672" spans="1:4" ht="12.75" customHeight="1" x14ac:dyDescent="0.2">
      <c r="A672" s="22" t="str">
        <f>HYPERLINK("javascript:void(0)","dracoacél köpőcső")</f>
        <v>dracoacél köpőcső</v>
      </c>
      <c r="B672" s="21"/>
      <c r="C672" s="21"/>
      <c r="D672" s="21"/>
    </row>
    <row r="673" spans="1:4" ht="12.75" customHeight="1" x14ac:dyDescent="0.2">
      <c r="A673" s="20"/>
      <c r="B673" s="2"/>
      <c r="C673" s="2"/>
      <c r="D673" s="2"/>
    </row>
    <row r="674" spans="1:4" ht="12.75" customHeight="1" x14ac:dyDescent="0.2">
      <c r="A674" s="21"/>
      <c r="B674" s="3" t="s">
        <v>0</v>
      </c>
      <c r="C674" s="20" t="s">
        <v>38</v>
      </c>
      <c r="D674" s="21"/>
    </row>
    <row r="675" spans="1:4" ht="12.75" customHeight="1" x14ac:dyDescent="0.2">
      <c r="A675" s="21"/>
      <c r="B675" s="3" t="s">
        <v>2</v>
      </c>
      <c r="C675" s="20" t="s">
        <v>3</v>
      </c>
      <c r="D675" s="21"/>
    </row>
    <row r="676" spans="1:4" ht="12.75" customHeight="1" x14ac:dyDescent="0.2">
      <c r="A676" s="21"/>
      <c r="B676" s="3" t="s">
        <v>4</v>
      </c>
      <c r="C676" s="20" t="s">
        <v>99</v>
      </c>
      <c r="D676" s="21"/>
    </row>
    <row r="677" spans="1:4" ht="12.75" customHeight="1" x14ac:dyDescent="0.2">
      <c r="A677" s="21"/>
      <c r="B677" s="3" t="s">
        <v>6</v>
      </c>
      <c r="C677" s="20" t="s">
        <v>92</v>
      </c>
      <c r="D677" s="21"/>
    </row>
    <row r="678" spans="1:4" ht="12.75" customHeight="1" x14ac:dyDescent="0.2">
      <c r="A678" s="21"/>
      <c r="B678" s="3" t="s">
        <v>8</v>
      </c>
      <c r="C678" s="20" t="s">
        <v>99</v>
      </c>
      <c r="D678" s="21"/>
    </row>
    <row r="679" spans="1:4" ht="12.75" customHeight="1" x14ac:dyDescent="0.2">
      <c r="A679" s="21"/>
      <c r="B679" s="3" t="s">
        <v>9</v>
      </c>
      <c r="C679" s="20" t="s">
        <v>93</v>
      </c>
      <c r="D679" s="21"/>
    </row>
    <row r="680" spans="1:4" ht="12.75" customHeight="1" x14ac:dyDescent="0.2">
      <c r="A680" s="21"/>
      <c r="B680" s="3" t="s">
        <v>11</v>
      </c>
      <c r="C680" s="20" t="s">
        <v>203</v>
      </c>
      <c r="D680" s="21"/>
    </row>
    <row r="681" spans="1:4" ht="12.75" customHeight="1" x14ac:dyDescent="0.2">
      <c r="A681" s="21"/>
      <c r="B681" s="3" t="s">
        <v>13</v>
      </c>
      <c r="C681" s="20" t="s">
        <v>24</v>
      </c>
      <c r="D681" s="21"/>
    </row>
    <row r="682" spans="1:4" ht="12.75" customHeight="1" x14ac:dyDescent="0.2">
      <c r="A682" s="21"/>
      <c r="B682" s="3" t="s">
        <v>15</v>
      </c>
      <c r="C682" s="20" t="s">
        <v>24</v>
      </c>
      <c r="D682" s="21"/>
    </row>
    <row r="683" spans="1:4" ht="12.75" customHeight="1" x14ac:dyDescent="0.2">
      <c r="A683" s="21"/>
      <c r="B683" s="3" t="s">
        <v>16</v>
      </c>
      <c r="C683" s="20"/>
      <c r="D683" s="21"/>
    </row>
    <row r="684" spans="1:4" ht="12.75" customHeight="1" x14ac:dyDescent="0.2">
      <c r="A684" s="21"/>
      <c r="B684" s="3" t="s">
        <v>17</v>
      </c>
      <c r="C684" s="20"/>
      <c r="D684" s="21"/>
    </row>
    <row r="685" spans="1:4" ht="12.75" customHeight="1" x14ac:dyDescent="0.2">
      <c r="A685" s="21"/>
      <c r="B685" s="20" t="s">
        <v>18</v>
      </c>
      <c r="C685" s="4" t="s">
        <v>102</v>
      </c>
      <c r="D685" s="6" t="str">
        <f>HYPERLINK("javascript:void(0)","képcső")</f>
        <v>képcső</v>
      </c>
    </row>
    <row r="686" spans="1:4" ht="12.75" customHeight="1" x14ac:dyDescent="0.2">
      <c r="A686" s="21"/>
      <c r="B686" s="21"/>
      <c r="C686" s="4" t="s">
        <v>139</v>
      </c>
      <c r="D686" s="6" t="str">
        <f>HYPERLINK("javascript:void(0)","sárkány taréj")</f>
        <v>sárkány taréj</v>
      </c>
    </row>
    <row r="687" spans="1:4" ht="12.75" customHeight="1" x14ac:dyDescent="0.2">
      <c r="A687" s="21"/>
      <c r="B687" s="21"/>
      <c r="C687" s="4" t="s">
        <v>139</v>
      </c>
      <c r="D687" s="6" t="str">
        <f>HYPERLINK("javascript:void(0)","kígyócsörgő")</f>
        <v>kígyócsörgő</v>
      </c>
    </row>
    <row r="688" spans="1:4" ht="12.75" customHeight="1" x14ac:dyDescent="0.2">
      <c r="A688" s="5"/>
      <c r="B688" s="2"/>
      <c r="C688" s="2"/>
      <c r="D688" s="2"/>
    </row>
    <row r="689" spans="1:4" ht="12.75" customHeight="1" x14ac:dyDescent="0.2">
      <c r="A689" s="22" t="str">
        <f>HYPERLINK("javascript:void(0)","arany bűzíj")</f>
        <v>arany bűzíj</v>
      </c>
      <c r="B689" s="21"/>
      <c r="C689" s="21"/>
      <c r="D689" s="21"/>
    </row>
    <row r="690" spans="1:4" ht="12.75" customHeight="1" x14ac:dyDescent="0.2">
      <c r="A690" s="20"/>
      <c r="B690" s="2"/>
      <c r="C690" s="2"/>
      <c r="D690" s="2"/>
    </row>
    <row r="691" spans="1:4" ht="12.75" customHeight="1" x14ac:dyDescent="0.2">
      <c r="A691" s="21"/>
      <c r="B691" s="3" t="s">
        <v>0</v>
      </c>
      <c r="C691" s="20" t="s">
        <v>206</v>
      </c>
      <c r="D691" s="21"/>
    </row>
    <row r="692" spans="1:4" ht="12.75" customHeight="1" x14ac:dyDescent="0.2">
      <c r="A692" s="21"/>
      <c r="B692" s="3" t="s">
        <v>2</v>
      </c>
      <c r="C692" s="20" t="s">
        <v>3</v>
      </c>
      <c r="D692" s="21"/>
    </row>
    <row r="693" spans="1:4" ht="12.75" customHeight="1" x14ac:dyDescent="0.2">
      <c r="A693" s="21"/>
      <c r="B693" s="3" t="s">
        <v>4</v>
      </c>
      <c r="C693" s="20" t="s">
        <v>207</v>
      </c>
      <c r="D693" s="21"/>
    </row>
    <row r="694" spans="1:4" ht="12.75" customHeight="1" x14ac:dyDescent="0.2">
      <c r="A694" s="21"/>
      <c r="B694" s="3" t="s">
        <v>6</v>
      </c>
      <c r="C694" s="20" t="s">
        <v>64</v>
      </c>
      <c r="D694" s="21"/>
    </row>
    <row r="695" spans="1:4" ht="12.75" customHeight="1" x14ac:dyDescent="0.2">
      <c r="A695" s="21"/>
      <c r="B695" s="3" t="s">
        <v>8</v>
      </c>
      <c r="C695" s="20" t="s">
        <v>207</v>
      </c>
      <c r="D695" s="21"/>
    </row>
    <row r="696" spans="1:4" ht="12.75" customHeight="1" x14ac:dyDescent="0.2">
      <c r="A696" s="21"/>
      <c r="B696" s="3" t="s">
        <v>9</v>
      </c>
      <c r="C696" s="20" t="s">
        <v>208</v>
      </c>
      <c r="D696" s="21"/>
    </row>
    <row r="697" spans="1:4" ht="12.75" customHeight="1" x14ac:dyDescent="0.2">
      <c r="A697" s="21"/>
      <c r="B697" s="3" t="s">
        <v>11</v>
      </c>
      <c r="C697" s="20" t="s">
        <v>209</v>
      </c>
      <c r="D697" s="21"/>
    </row>
    <row r="698" spans="1:4" ht="12.75" customHeight="1" x14ac:dyDescent="0.2">
      <c r="A698" s="21"/>
      <c r="B698" s="3" t="s">
        <v>13</v>
      </c>
      <c r="C698" s="20" t="s">
        <v>24</v>
      </c>
      <c r="D698" s="21"/>
    </row>
    <row r="699" spans="1:4" ht="12.75" customHeight="1" x14ac:dyDescent="0.2">
      <c r="A699" s="21"/>
      <c r="B699" s="3" t="s">
        <v>15</v>
      </c>
      <c r="C699" s="20" t="s">
        <v>24</v>
      </c>
      <c r="D699" s="21"/>
    </row>
    <row r="700" spans="1:4" ht="12.75" customHeight="1" x14ac:dyDescent="0.2">
      <c r="A700" s="21"/>
      <c r="B700" s="3" t="s">
        <v>16</v>
      </c>
      <c r="C700" s="20"/>
      <c r="D700" s="21"/>
    </row>
    <row r="701" spans="1:4" ht="12.75" customHeight="1" x14ac:dyDescent="0.2">
      <c r="A701" s="21"/>
      <c r="B701" s="3" t="s">
        <v>17</v>
      </c>
      <c r="C701" s="20"/>
      <c r="D701" s="21"/>
    </row>
    <row r="702" spans="1:4" ht="12.75" customHeight="1" x14ac:dyDescent="0.2">
      <c r="A702" s="21"/>
      <c r="B702" s="20" t="s">
        <v>18</v>
      </c>
      <c r="C702" s="4" t="s">
        <v>98</v>
      </c>
      <c r="D702" s="6" t="str">
        <f>HYPERLINK("javascript:void(0)","bűzmirigy")</f>
        <v>bűzmirigy</v>
      </c>
    </row>
    <row r="703" spans="1:4" ht="12.75" customHeight="1" x14ac:dyDescent="0.2">
      <c r="A703" s="21"/>
      <c r="B703" s="21"/>
      <c r="C703" s="4" t="s">
        <v>44</v>
      </c>
      <c r="D703" s="6" t="str">
        <f>HYPERLINK("javascript:void(0)","ezüst bűzíj")</f>
        <v>ezüst bűzíj</v>
      </c>
    </row>
    <row r="704" spans="1:4" ht="12.75" customHeight="1" x14ac:dyDescent="0.2">
      <c r="A704" s="21"/>
      <c r="B704" s="21"/>
      <c r="C704" s="4" t="s">
        <v>212</v>
      </c>
      <c r="D704" s="6" t="str">
        <f>HYPERLINK("javascript:void(0)","arany")</f>
        <v>arany</v>
      </c>
    </row>
    <row r="705" spans="1:4" ht="12.75" customHeight="1" x14ac:dyDescent="0.2">
      <c r="A705" s="5"/>
      <c r="B705" s="2"/>
      <c r="C705" s="2"/>
      <c r="D705" s="2"/>
    </row>
    <row r="706" spans="1:4" ht="12.75" customHeight="1" x14ac:dyDescent="0.2">
      <c r="A706" s="22" t="str">
        <f>HYPERLINK("javascript:void(0)","elfacél köpőcső")</f>
        <v>elfacél köpőcső</v>
      </c>
      <c r="B706" s="21"/>
      <c r="C706" s="21"/>
      <c r="D706" s="21"/>
    </row>
    <row r="707" spans="1:4" ht="12.75" customHeight="1" x14ac:dyDescent="0.2">
      <c r="A707" s="20"/>
      <c r="B707" s="2"/>
      <c r="C707" s="2"/>
      <c r="D707" s="2"/>
    </row>
    <row r="708" spans="1:4" ht="12.75" customHeight="1" x14ac:dyDescent="0.2">
      <c r="A708" s="21"/>
      <c r="B708" s="3" t="s">
        <v>0</v>
      </c>
      <c r="C708" s="20" t="s">
        <v>206</v>
      </c>
      <c r="D708" s="21"/>
    </row>
    <row r="709" spans="1:4" ht="12.75" customHeight="1" x14ac:dyDescent="0.2">
      <c r="A709" s="21"/>
      <c r="B709" s="3" t="s">
        <v>2</v>
      </c>
      <c r="C709" s="20" t="s">
        <v>3</v>
      </c>
      <c r="D709" s="21"/>
    </row>
    <row r="710" spans="1:4" ht="12.75" customHeight="1" x14ac:dyDescent="0.2">
      <c r="A710" s="21"/>
      <c r="B710" s="3" t="s">
        <v>4</v>
      </c>
      <c r="C710" s="20" t="s">
        <v>110</v>
      </c>
      <c r="D710" s="21"/>
    </row>
    <row r="711" spans="1:4" ht="12.75" customHeight="1" x14ac:dyDescent="0.2">
      <c r="A711" s="21"/>
      <c r="B711" s="3" t="s">
        <v>6</v>
      </c>
      <c r="C711" s="20" t="s">
        <v>92</v>
      </c>
      <c r="D711" s="21"/>
    </row>
    <row r="712" spans="1:4" ht="12.75" customHeight="1" x14ac:dyDescent="0.2">
      <c r="A712" s="21"/>
      <c r="B712" s="3" t="s">
        <v>8</v>
      </c>
      <c r="C712" s="20" t="s">
        <v>110</v>
      </c>
      <c r="D712" s="21"/>
    </row>
    <row r="713" spans="1:4" ht="12.75" customHeight="1" x14ac:dyDescent="0.2">
      <c r="A713" s="21"/>
      <c r="B713" s="3" t="s">
        <v>9</v>
      </c>
      <c r="C713" s="20" t="s">
        <v>10</v>
      </c>
      <c r="D713" s="21"/>
    </row>
    <row r="714" spans="1:4" ht="12.75" customHeight="1" x14ac:dyDescent="0.2">
      <c r="A714" s="21"/>
      <c r="B714" s="3" t="s">
        <v>11</v>
      </c>
      <c r="C714" s="20" t="s">
        <v>215</v>
      </c>
      <c r="D714" s="21"/>
    </row>
    <row r="715" spans="1:4" ht="12.75" customHeight="1" x14ac:dyDescent="0.2">
      <c r="A715" s="21"/>
      <c r="B715" s="3" t="s">
        <v>13</v>
      </c>
      <c r="C715" s="20" t="s">
        <v>24</v>
      </c>
      <c r="D715" s="21"/>
    </row>
    <row r="716" spans="1:4" ht="12.75" customHeight="1" x14ac:dyDescent="0.2">
      <c r="A716" s="21"/>
      <c r="B716" s="3" t="s">
        <v>15</v>
      </c>
      <c r="C716" s="20" t="s">
        <v>24</v>
      </c>
      <c r="D716" s="21"/>
    </row>
    <row r="717" spans="1:4" ht="12.75" customHeight="1" x14ac:dyDescent="0.2">
      <c r="A717" s="21"/>
      <c r="B717" s="3" t="s">
        <v>16</v>
      </c>
      <c r="C717" s="20"/>
      <c r="D717" s="21"/>
    </row>
    <row r="718" spans="1:4" ht="12.75" customHeight="1" x14ac:dyDescent="0.2">
      <c r="A718" s="21"/>
      <c r="B718" s="3" t="s">
        <v>17</v>
      </c>
      <c r="C718" s="20"/>
      <c r="D718" s="21"/>
    </row>
    <row r="719" spans="1:4" ht="12.75" customHeight="1" x14ac:dyDescent="0.2">
      <c r="A719" s="21"/>
      <c r="B719" s="20" t="s">
        <v>18</v>
      </c>
      <c r="C719" s="4" t="s">
        <v>132</v>
      </c>
      <c r="D719" s="6" t="str">
        <f>HYPERLINK("javascript:void(0)","képcső")</f>
        <v>képcső</v>
      </c>
    </row>
    <row r="720" spans="1:4" ht="12.75" customHeight="1" x14ac:dyDescent="0.2">
      <c r="A720" s="21"/>
      <c r="B720" s="21"/>
      <c r="C720" s="4" t="s">
        <v>130</v>
      </c>
      <c r="D720" s="6" t="str">
        <f>HYPERLINK("javascript:void(0)","sárkányfű")</f>
        <v>sárkányfű</v>
      </c>
    </row>
    <row r="721" spans="1:4" ht="12.75" customHeight="1" x14ac:dyDescent="0.2">
      <c r="A721" s="21"/>
      <c r="B721" s="21"/>
      <c r="C721" s="4" t="s">
        <v>163</v>
      </c>
      <c r="D721" s="6" t="str">
        <f>HYPERLINK("javascript:void(0)","nekroige")</f>
        <v>nekroige</v>
      </c>
    </row>
    <row r="722" spans="1:4" ht="12.75" customHeight="1" x14ac:dyDescent="0.2">
      <c r="A722" s="5"/>
      <c r="B722" s="2"/>
      <c r="C722" s="2"/>
      <c r="D722" s="2"/>
    </row>
    <row r="723" spans="1:4" ht="12.75" customHeight="1" x14ac:dyDescent="0.2">
      <c r="A723" s="22" t="str">
        <f>HYPERLINK("javascript:void(0)","diszpro bűzíj")</f>
        <v>diszpro bűzíj</v>
      </c>
      <c r="B723" s="21"/>
      <c r="C723" s="21"/>
      <c r="D723" s="21"/>
    </row>
    <row r="724" spans="1:4" ht="12.75" customHeight="1" x14ac:dyDescent="0.2">
      <c r="A724" s="20"/>
      <c r="B724" s="2"/>
      <c r="C724" s="2"/>
      <c r="D724" s="2"/>
    </row>
    <row r="725" spans="1:4" ht="12.75" customHeight="1" x14ac:dyDescent="0.2">
      <c r="A725" s="21"/>
      <c r="B725" s="3" t="s">
        <v>0</v>
      </c>
      <c r="C725" s="20" t="s">
        <v>221</v>
      </c>
      <c r="D725" s="21"/>
    </row>
    <row r="726" spans="1:4" ht="12.75" customHeight="1" x14ac:dyDescent="0.2">
      <c r="A726" s="21"/>
      <c r="B726" s="3" t="s">
        <v>2</v>
      </c>
      <c r="C726" s="20" t="s">
        <v>3</v>
      </c>
      <c r="D726" s="21"/>
    </row>
    <row r="727" spans="1:4" ht="12.75" customHeight="1" x14ac:dyDescent="0.2">
      <c r="A727" s="21"/>
      <c r="B727" s="3" t="s">
        <v>4</v>
      </c>
      <c r="C727" s="20" t="s">
        <v>222</v>
      </c>
      <c r="D727" s="21"/>
    </row>
    <row r="728" spans="1:4" ht="12.75" customHeight="1" x14ac:dyDescent="0.2">
      <c r="A728" s="21"/>
      <c r="B728" s="3" t="s">
        <v>6</v>
      </c>
      <c r="C728" s="20" t="s">
        <v>35</v>
      </c>
      <c r="D728" s="21"/>
    </row>
    <row r="729" spans="1:4" ht="12.75" customHeight="1" x14ac:dyDescent="0.2">
      <c r="A729" s="21"/>
      <c r="B729" s="3" t="s">
        <v>8</v>
      </c>
      <c r="C729" s="20" t="s">
        <v>222</v>
      </c>
      <c r="D729" s="21"/>
    </row>
    <row r="730" spans="1:4" ht="12.75" customHeight="1" x14ac:dyDescent="0.2">
      <c r="A730" s="21"/>
      <c r="B730" s="3" t="s">
        <v>9</v>
      </c>
      <c r="C730" s="20" t="s">
        <v>226</v>
      </c>
      <c r="D730" s="21"/>
    </row>
    <row r="731" spans="1:4" ht="12.75" customHeight="1" x14ac:dyDescent="0.2">
      <c r="A731" s="21"/>
      <c r="B731" s="3" t="s">
        <v>11</v>
      </c>
      <c r="C731" s="20" t="s">
        <v>227</v>
      </c>
      <c r="D731" s="21"/>
    </row>
    <row r="732" spans="1:4" ht="12.75" customHeight="1" x14ac:dyDescent="0.2">
      <c r="A732" s="21"/>
      <c r="B732" s="3" t="s">
        <v>13</v>
      </c>
      <c r="C732" s="20" t="s">
        <v>24</v>
      </c>
      <c r="D732" s="21"/>
    </row>
    <row r="733" spans="1:4" ht="12.75" customHeight="1" x14ac:dyDescent="0.2">
      <c r="A733" s="21"/>
      <c r="B733" s="3" t="s">
        <v>15</v>
      </c>
      <c r="C733" s="20" t="s">
        <v>24</v>
      </c>
      <c r="D733" s="21"/>
    </row>
    <row r="734" spans="1:4" ht="12.75" customHeight="1" x14ac:dyDescent="0.2">
      <c r="A734" s="21"/>
      <c r="B734" s="3" t="s">
        <v>16</v>
      </c>
      <c r="C734" s="20"/>
      <c r="D734" s="21"/>
    </row>
    <row r="735" spans="1:4" ht="12.75" customHeight="1" x14ac:dyDescent="0.2">
      <c r="A735" s="21"/>
      <c r="B735" s="3" t="s">
        <v>17</v>
      </c>
      <c r="C735" s="20"/>
      <c r="D735" s="21"/>
    </row>
    <row r="736" spans="1:4" ht="12.75" customHeight="1" x14ac:dyDescent="0.2">
      <c r="A736" s="21"/>
      <c r="B736" s="20" t="s">
        <v>18</v>
      </c>
      <c r="C736" s="4" t="s">
        <v>44</v>
      </c>
      <c r="D736" s="6" t="str">
        <f>HYPERLINK("javascript:void(0)","arany bűzíj")</f>
        <v>arany bűzíj</v>
      </c>
    </row>
    <row r="737" spans="1:4" ht="12.75" customHeight="1" x14ac:dyDescent="0.2">
      <c r="A737" s="21"/>
      <c r="B737" s="21"/>
      <c r="C737" s="4" t="s">
        <v>228</v>
      </c>
      <c r="D737" s="6" t="str">
        <f>HYPERLINK("javascript:void(0)","bűzmirigy")</f>
        <v>bűzmirigy</v>
      </c>
    </row>
    <row r="738" spans="1:4" ht="12.75" customHeight="1" x14ac:dyDescent="0.2">
      <c r="A738" s="21"/>
      <c r="B738" s="21"/>
      <c r="C738" s="4" t="s">
        <v>56</v>
      </c>
      <c r="D738" s="6" t="str">
        <f>HYPERLINK("javascript:void(0)","diszprózium")</f>
        <v>diszprózium</v>
      </c>
    </row>
    <row r="739" spans="1:4" ht="12.75" customHeight="1" x14ac:dyDescent="0.2">
      <c r="A739" s="5"/>
      <c r="B739" s="2"/>
      <c r="C739" s="2"/>
      <c r="D739" s="2"/>
    </row>
    <row r="740" spans="1:4" ht="12.75" customHeight="1" x14ac:dyDescent="0.2">
      <c r="A740" s="22" t="str">
        <f>HYPERLINK("javascript:void(0)","óriásacél köpőcső")</f>
        <v>óriásacél köpőcső</v>
      </c>
      <c r="B740" s="21"/>
      <c r="C740" s="21"/>
      <c r="D740" s="21"/>
    </row>
    <row r="741" spans="1:4" ht="12.75" customHeight="1" x14ac:dyDescent="0.2">
      <c r="A741" s="20"/>
      <c r="B741" s="2"/>
      <c r="C741" s="2"/>
      <c r="D741" s="2"/>
    </row>
    <row r="742" spans="1:4" ht="12.75" customHeight="1" x14ac:dyDescent="0.2">
      <c r="A742" s="21"/>
      <c r="B742" s="3" t="s">
        <v>0</v>
      </c>
      <c r="C742" s="20" t="s">
        <v>221</v>
      </c>
      <c r="D742" s="21"/>
    </row>
    <row r="743" spans="1:4" ht="12.75" customHeight="1" x14ac:dyDescent="0.2">
      <c r="A743" s="21"/>
      <c r="B743" s="3" t="s">
        <v>2</v>
      </c>
      <c r="C743" s="20" t="s">
        <v>3</v>
      </c>
      <c r="D743" s="21"/>
    </row>
    <row r="744" spans="1:4" ht="12.75" customHeight="1" x14ac:dyDescent="0.2">
      <c r="A744" s="21"/>
      <c r="B744" s="3" t="s">
        <v>4</v>
      </c>
      <c r="C744" s="20" t="s">
        <v>230</v>
      </c>
      <c r="D744" s="21"/>
    </row>
    <row r="745" spans="1:4" ht="12.75" customHeight="1" x14ac:dyDescent="0.2">
      <c r="A745" s="21"/>
      <c r="B745" s="3" t="s">
        <v>6</v>
      </c>
      <c r="C745" s="20" t="s">
        <v>92</v>
      </c>
      <c r="D745" s="21"/>
    </row>
    <row r="746" spans="1:4" ht="12.75" customHeight="1" x14ac:dyDescent="0.2">
      <c r="A746" s="21"/>
      <c r="B746" s="3" t="s">
        <v>8</v>
      </c>
      <c r="C746" s="20" t="s">
        <v>230</v>
      </c>
      <c r="D746" s="21"/>
    </row>
    <row r="747" spans="1:4" ht="12.75" customHeight="1" x14ac:dyDescent="0.2">
      <c r="A747" s="21"/>
      <c r="B747" s="3" t="s">
        <v>9</v>
      </c>
      <c r="C747" s="20" t="s">
        <v>79</v>
      </c>
      <c r="D747" s="21"/>
    </row>
    <row r="748" spans="1:4" ht="12.75" customHeight="1" x14ac:dyDescent="0.2">
      <c r="A748" s="21"/>
      <c r="B748" s="3" t="s">
        <v>11</v>
      </c>
      <c r="C748" s="20" t="s">
        <v>215</v>
      </c>
      <c r="D748" s="21"/>
    </row>
    <row r="749" spans="1:4" ht="12.75" customHeight="1" x14ac:dyDescent="0.2">
      <c r="A749" s="21"/>
      <c r="B749" s="3" t="s">
        <v>13</v>
      </c>
      <c r="C749" s="20" t="s">
        <v>24</v>
      </c>
      <c r="D749" s="21"/>
    </row>
    <row r="750" spans="1:4" ht="12.75" customHeight="1" x14ac:dyDescent="0.2">
      <c r="A750" s="21"/>
      <c r="B750" s="3" t="s">
        <v>15</v>
      </c>
      <c r="C750" s="20" t="s">
        <v>24</v>
      </c>
      <c r="D750" s="21"/>
    </row>
    <row r="751" spans="1:4" ht="12.75" customHeight="1" x14ac:dyDescent="0.2">
      <c r="A751" s="21"/>
      <c r="B751" s="3" t="s">
        <v>16</v>
      </c>
      <c r="C751" s="20"/>
      <c r="D751" s="21"/>
    </row>
    <row r="752" spans="1:4" ht="12.75" customHeight="1" x14ac:dyDescent="0.2">
      <c r="A752" s="21"/>
      <c r="B752" s="3" t="s">
        <v>17</v>
      </c>
      <c r="C752" s="20"/>
      <c r="D752" s="21"/>
    </row>
    <row r="753" spans="1:4" ht="12.75" customHeight="1" x14ac:dyDescent="0.2">
      <c r="A753" s="21"/>
      <c r="B753" s="20" t="s">
        <v>18</v>
      </c>
      <c r="C753" s="4" t="s">
        <v>232</v>
      </c>
      <c r="D753" s="6" t="str">
        <f>HYPERLINK("javascript:void(0)","óriás korona")</f>
        <v>óriás korona</v>
      </c>
    </row>
    <row r="754" spans="1:4" ht="12.75" customHeight="1" x14ac:dyDescent="0.2">
      <c r="A754" s="21"/>
      <c r="B754" s="21"/>
      <c r="C754" s="4" t="s">
        <v>98</v>
      </c>
      <c r="D754" s="6" t="str">
        <f>HYPERLINK("javascript:void(0)","képcső")</f>
        <v>képcső</v>
      </c>
    </row>
    <row r="755" spans="1:4" ht="12.75" customHeight="1" x14ac:dyDescent="0.2">
      <c r="A755" s="21"/>
      <c r="B755" s="21"/>
      <c r="C755" s="4" t="s">
        <v>77</v>
      </c>
      <c r="D755" s="6" t="str">
        <f>HYPERLINK("javascript:void(0)","kompózium")</f>
        <v>kompózium</v>
      </c>
    </row>
    <row r="756" spans="1:4" ht="12.75" customHeight="1" x14ac:dyDescent="0.2">
      <c r="A756" s="5"/>
      <c r="B756" s="2"/>
      <c r="C756" s="2"/>
      <c r="D756" s="2"/>
    </row>
    <row r="757" spans="1:4" ht="12.75" customHeight="1" x14ac:dyDescent="0.2">
      <c r="A757" s="22" t="str">
        <f>HYPERLINK("javascript:void(0)","kith bűzíj")</f>
        <v>kith bűzíj</v>
      </c>
      <c r="B757" s="21"/>
      <c r="C757" s="21"/>
      <c r="D757" s="21"/>
    </row>
    <row r="758" spans="1:4" ht="12.75" customHeight="1" x14ac:dyDescent="0.2">
      <c r="A758" s="20"/>
      <c r="B758" s="2"/>
      <c r="C758" s="2"/>
      <c r="D758" s="2"/>
    </row>
    <row r="759" spans="1:4" ht="12.75" customHeight="1" x14ac:dyDescent="0.2">
      <c r="A759" s="21"/>
      <c r="B759" s="3" t="s">
        <v>0</v>
      </c>
      <c r="C759" s="20" t="s">
        <v>157</v>
      </c>
      <c r="D759" s="21"/>
    </row>
    <row r="760" spans="1:4" ht="12.75" customHeight="1" x14ac:dyDescent="0.2">
      <c r="A760" s="21"/>
      <c r="B760" s="3" t="s">
        <v>2</v>
      </c>
      <c r="C760" s="20" t="s">
        <v>3</v>
      </c>
      <c r="D760" s="21"/>
    </row>
    <row r="761" spans="1:4" ht="12.75" customHeight="1" x14ac:dyDescent="0.2">
      <c r="A761" s="21"/>
      <c r="B761" s="3" t="s">
        <v>4</v>
      </c>
      <c r="C761" s="20" t="s">
        <v>235</v>
      </c>
      <c r="D761" s="21"/>
    </row>
    <row r="762" spans="1:4" ht="12.75" customHeight="1" x14ac:dyDescent="0.2">
      <c r="A762" s="21"/>
      <c r="B762" s="3" t="s">
        <v>6</v>
      </c>
      <c r="C762" s="20" t="s">
        <v>155</v>
      </c>
      <c r="D762" s="21"/>
    </row>
    <row r="763" spans="1:4" ht="12.75" customHeight="1" x14ac:dyDescent="0.2">
      <c r="A763" s="21"/>
      <c r="B763" s="3" t="s">
        <v>8</v>
      </c>
      <c r="C763" s="20" t="s">
        <v>235</v>
      </c>
      <c r="D763" s="21"/>
    </row>
    <row r="764" spans="1:4" ht="12.75" customHeight="1" x14ac:dyDescent="0.2">
      <c r="A764" s="21"/>
      <c r="B764" s="3" t="s">
        <v>9</v>
      </c>
      <c r="C764" s="20" t="s">
        <v>236</v>
      </c>
      <c r="D764" s="21"/>
    </row>
    <row r="765" spans="1:4" ht="12.75" customHeight="1" x14ac:dyDescent="0.2">
      <c r="A765" s="21"/>
      <c r="B765" s="3" t="s">
        <v>11</v>
      </c>
      <c r="C765" s="20" t="s">
        <v>238</v>
      </c>
      <c r="D765" s="21"/>
    </row>
    <row r="766" spans="1:4" ht="12.75" customHeight="1" x14ac:dyDescent="0.2">
      <c r="A766" s="21"/>
      <c r="B766" s="3" t="s">
        <v>13</v>
      </c>
      <c r="C766" s="20" t="s">
        <v>24</v>
      </c>
      <c r="D766" s="21"/>
    </row>
    <row r="767" spans="1:4" ht="12.75" customHeight="1" x14ac:dyDescent="0.2">
      <c r="A767" s="21"/>
      <c r="B767" s="3" t="s">
        <v>15</v>
      </c>
      <c r="C767" s="20" t="s">
        <v>24</v>
      </c>
      <c r="D767" s="21"/>
    </row>
    <row r="768" spans="1:4" ht="12.75" customHeight="1" x14ac:dyDescent="0.2">
      <c r="A768" s="21"/>
      <c r="B768" s="3" t="s">
        <v>16</v>
      </c>
      <c r="C768" s="20"/>
      <c r="D768" s="21"/>
    </row>
    <row r="769" spans="1:4" ht="12.75" customHeight="1" x14ac:dyDescent="0.2">
      <c r="A769" s="21"/>
      <c r="B769" s="3" t="s">
        <v>17</v>
      </c>
      <c r="C769" s="20"/>
      <c r="D769" s="21"/>
    </row>
    <row r="770" spans="1:4" ht="12.75" customHeight="1" x14ac:dyDescent="0.2">
      <c r="A770" s="21"/>
      <c r="B770" s="20" t="s">
        <v>18</v>
      </c>
      <c r="C770" s="4" t="s">
        <v>44</v>
      </c>
      <c r="D770" s="6" t="str">
        <f>HYPERLINK("javascript:void(0)","diszpro bűzíj")</f>
        <v>diszpro bűzíj</v>
      </c>
    </row>
    <row r="771" spans="1:4" ht="12.75" customHeight="1" x14ac:dyDescent="0.2">
      <c r="A771" s="21"/>
      <c r="B771" s="21"/>
      <c r="C771" s="4" t="s">
        <v>240</v>
      </c>
      <c r="D771" s="6" t="str">
        <f>HYPERLINK("javascript:void(0)","bűzmirigy")</f>
        <v>bűzmirigy</v>
      </c>
    </row>
    <row r="772" spans="1:4" ht="12.75" customHeight="1" x14ac:dyDescent="0.2">
      <c r="A772" s="21"/>
      <c r="B772" s="21"/>
      <c r="C772" s="4" t="s">
        <v>56</v>
      </c>
      <c r="D772" s="6" t="str">
        <f>HYPERLINK("javascript:void(0)","kithrill")</f>
        <v>kithrill</v>
      </c>
    </row>
    <row r="773" spans="1:4" ht="12.75" customHeight="1" x14ac:dyDescent="0.2">
      <c r="A773" s="5"/>
      <c r="B773" s="2"/>
      <c r="C773" s="2"/>
      <c r="D773" s="2"/>
    </row>
    <row r="774" spans="1:4" ht="12.75" customHeight="1" x14ac:dyDescent="0.2">
      <c r="A774" s="22" t="str">
        <f>HYPERLINK("javascript:void(0)","kentacél köpőcső")</f>
        <v>kentacél köpőcső</v>
      </c>
      <c r="B774" s="21"/>
      <c r="C774" s="21"/>
      <c r="D774" s="21"/>
    </row>
    <row r="775" spans="1:4" ht="12.75" customHeight="1" x14ac:dyDescent="0.2">
      <c r="A775" s="20"/>
      <c r="B775" s="2"/>
      <c r="C775" s="2"/>
      <c r="D775" s="2"/>
    </row>
    <row r="776" spans="1:4" ht="12.75" customHeight="1" x14ac:dyDescent="0.2">
      <c r="A776" s="21"/>
      <c r="B776" s="3" t="s">
        <v>0</v>
      </c>
      <c r="C776" s="20" t="s">
        <v>157</v>
      </c>
      <c r="D776" s="21"/>
    </row>
    <row r="777" spans="1:4" ht="12.75" customHeight="1" x14ac:dyDescent="0.2">
      <c r="A777" s="21"/>
      <c r="B777" s="3" t="s">
        <v>2</v>
      </c>
      <c r="C777" s="20" t="s">
        <v>3</v>
      </c>
      <c r="D777" s="21"/>
    </row>
    <row r="778" spans="1:4" ht="12.75" customHeight="1" x14ac:dyDescent="0.2">
      <c r="A778" s="21"/>
      <c r="B778" s="3" t="s">
        <v>4</v>
      </c>
      <c r="C778" s="20" t="s">
        <v>242</v>
      </c>
      <c r="D778" s="21"/>
    </row>
    <row r="779" spans="1:4" ht="12.75" customHeight="1" x14ac:dyDescent="0.2">
      <c r="A779" s="21"/>
      <c r="B779" s="3" t="s">
        <v>6</v>
      </c>
      <c r="C779" s="20" t="s">
        <v>92</v>
      </c>
      <c r="D779" s="21"/>
    </row>
    <row r="780" spans="1:4" ht="12.75" customHeight="1" x14ac:dyDescent="0.2">
      <c r="A780" s="21"/>
      <c r="B780" s="3" t="s">
        <v>8</v>
      </c>
      <c r="C780" s="20" t="s">
        <v>242</v>
      </c>
      <c r="D780" s="21"/>
    </row>
    <row r="781" spans="1:4" ht="12.75" customHeight="1" x14ac:dyDescent="0.2">
      <c r="A781" s="21"/>
      <c r="B781" s="3" t="s">
        <v>9</v>
      </c>
      <c r="C781" s="20" t="s">
        <v>137</v>
      </c>
      <c r="D781" s="21"/>
    </row>
    <row r="782" spans="1:4" ht="12.75" customHeight="1" x14ac:dyDescent="0.2">
      <c r="A782" s="21"/>
      <c r="B782" s="3" t="s">
        <v>11</v>
      </c>
      <c r="C782" s="20" t="s">
        <v>243</v>
      </c>
      <c r="D782" s="21"/>
    </row>
    <row r="783" spans="1:4" ht="12.75" customHeight="1" x14ac:dyDescent="0.2">
      <c r="A783" s="21"/>
      <c r="B783" s="3" t="s">
        <v>13</v>
      </c>
      <c r="C783" s="20" t="s">
        <v>24</v>
      </c>
      <c r="D783" s="21"/>
    </row>
    <row r="784" spans="1:4" ht="12.75" customHeight="1" x14ac:dyDescent="0.2">
      <c r="A784" s="21"/>
      <c r="B784" s="3" t="s">
        <v>15</v>
      </c>
      <c r="C784" s="20" t="s">
        <v>24</v>
      </c>
      <c r="D784" s="21"/>
    </row>
    <row r="785" spans="1:4" ht="12.75" customHeight="1" x14ac:dyDescent="0.2">
      <c r="A785" s="21"/>
      <c r="B785" s="3" t="s">
        <v>16</v>
      </c>
      <c r="C785" s="20"/>
      <c r="D785" s="21"/>
    </row>
    <row r="786" spans="1:4" ht="12.75" customHeight="1" x14ac:dyDescent="0.2">
      <c r="A786" s="21"/>
      <c r="B786" s="3" t="s">
        <v>17</v>
      </c>
      <c r="C786" s="20"/>
      <c r="D786" s="21"/>
    </row>
    <row r="787" spans="1:4" ht="12.75" customHeight="1" x14ac:dyDescent="0.2">
      <c r="A787" s="21"/>
      <c r="B787" s="20" t="s">
        <v>18</v>
      </c>
      <c r="C787" s="4" t="s">
        <v>244</v>
      </c>
      <c r="D787" s="6" t="str">
        <f>HYPERLINK("javascript:void(0)","spiritusz")</f>
        <v>spiritusz</v>
      </c>
    </row>
    <row r="788" spans="1:4" ht="12.75" customHeight="1" x14ac:dyDescent="0.2">
      <c r="A788" s="21"/>
      <c r="B788" s="21"/>
      <c r="C788" s="4" t="s">
        <v>244</v>
      </c>
      <c r="D788" s="6" t="str">
        <f>HYPERLINK("javascript:void(0)","képcső")</f>
        <v>képcső</v>
      </c>
    </row>
    <row r="789" spans="1:4" ht="12.75" customHeight="1" x14ac:dyDescent="0.2">
      <c r="A789" s="21"/>
      <c r="B789" s="21"/>
      <c r="C789" s="4" t="s">
        <v>77</v>
      </c>
      <c r="D789" s="6" t="str">
        <f>HYPERLINK("javascript:void(0)","kompózium")</f>
        <v>kompózium</v>
      </c>
    </row>
    <row r="790" spans="1:4" ht="12.75" customHeight="1" x14ac:dyDescent="0.2">
      <c r="A790" s="5"/>
      <c r="B790" s="2"/>
      <c r="C790" s="2"/>
      <c r="D790" s="2"/>
    </row>
    <row r="791" spans="1:4" ht="12.75" customHeight="1" x14ac:dyDescent="0.2">
      <c r="A791" s="22" t="str">
        <f>HYPERLINK("javascript:void(0)","centro bűzíj")</f>
        <v>centro bűzíj</v>
      </c>
      <c r="B791" s="21"/>
      <c r="C791" s="21"/>
      <c r="D791" s="21"/>
    </row>
    <row r="792" spans="1:4" ht="12.75" customHeight="1" x14ac:dyDescent="0.2">
      <c r="A792" s="20"/>
      <c r="B792" s="2"/>
      <c r="C792" s="2"/>
      <c r="D792" s="2"/>
    </row>
    <row r="793" spans="1:4" ht="12.75" customHeight="1" x14ac:dyDescent="0.2">
      <c r="A793" s="21"/>
      <c r="B793" s="3" t="s">
        <v>0</v>
      </c>
      <c r="C793" s="20" t="s">
        <v>41</v>
      </c>
      <c r="D793" s="21"/>
    </row>
    <row r="794" spans="1:4" ht="12.75" customHeight="1" x14ac:dyDescent="0.2">
      <c r="A794" s="21"/>
      <c r="B794" s="3" t="s">
        <v>2</v>
      </c>
      <c r="C794" s="20" t="s">
        <v>3</v>
      </c>
      <c r="D794" s="21"/>
    </row>
    <row r="795" spans="1:4" ht="12.75" customHeight="1" x14ac:dyDescent="0.2">
      <c r="A795" s="21"/>
      <c r="B795" s="3" t="s">
        <v>4</v>
      </c>
      <c r="C795" s="20" t="s">
        <v>247</v>
      </c>
      <c r="D795" s="21"/>
    </row>
    <row r="796" spans="1:4" ht="12.75" customHeight="1" x14ac:dyDescent="0.2">
      <c r="A796" s="21"/>
      <c r="B796" s="3" t="s">
        <v>6</v>
      </c>
      <c r="C796" s="20" t="s">
        <v>155</v>
      </c>
      <c r="D796" s="21"/>
    </row>
    <row r="797" spans="1:4" ht="12.75" customHeight="1" x14ac:dyDescent="0.2">
      <c r="A797" s="21"/>
      <c r="B797" s="3" t="s">
        <v>8</v>
      </c>
      <c r="C797" s="20" t="s">
        <v>247</v>
      </c>
      <c r="D797" s="21"/>
    </row>
    <row r="798" spans="1:4" ht="12.75" customHeight="1" x14ac:dyDescent="0.2">
      <c r="A798" s="21"/>
      <c r="B798" s="3" t="s">
        <v>9</v>
      </c>
      <c r="C798" s="20" t="s">
        <v>250</v>
      </c>
      <c r="D798" s="21"/>
    </row>
    <row r="799" spans="1:4" ht="12.75" customHeight="1" x14ac:dyDescent="0.2">
      <c r="A799" s="21"/>
      <c r="B799" s="3" t="s">
        <v>11</v>
      </c>
      <c r="C799" s="20" t="s">
        <v>252</v>
      </c>
      <c r="D799" s="21"/>
    </row>
    <row r="800" spans="1:4" ht="12.75" customHeight="1" x14ac:dyDescent="0.2">
      <c r="A800" s="21"/>
      <c r="B800" s="3" t="s">
        <v>13</v>
      </c>
      <c r="C800" s="20" t="s">
        <v>24</v>
      </c>
      <c r="D800" s="21"/>
    </row>
    <row r="801" spans="1:4" ht="12.75" customHeight="1" x14ac:dyDescent="0.2">
      <c r="A801" s="21"/>
      <c r="B801" s="3" t="s">
        <v>15</v>
      </c>
      <c r="C801" s="20" t="s">
        <v>24</v>
      </c>
      <c r="D801" s="21"/>
    </row>
    <row r="802" spans="1:4" ht="12.75" customHeight="1" x14ac:dyDescent="0.2">
      <c r="A802" s="21"/>
      <c r="B802" s="3" t="s">
        <v>16</v>
      </c>
      <c r="C802" s="20"/>
      <c r="D802" s="21"/>
    </row>
    <row r="803" spans="1:4" ht="12.75" customHeight="1" x14ac:dyDescent="0.2">
      <c r="A803" s="21"/>
      <c r="B803" s="3" t="s">
        <v>17</v>
      </c>
      <c r="C803" s="20"/>
      <c r="D803" s="21"/>
    </row>
    <row r="804" spans="1:4" ht="12.75" customHeight="1" x14ac:dyDescent="0.2">
      <c r="A804" s="21"/>
      <c r="B804" s="20" t="s">
        <v>18</v>
      </c>
      <c r="C804" s="4" t="s">
        <v>44</v>
      </c>
      <c r="D804" s="6" t="str">
        <f>HYPERLINK("javascript:void(0)","kith bűzíj")</f>
        <v>kith bűzíj</v>
      </c>
    </row>
    <row r="805" spans="1:4" ht="12.75" customHeight="1" x14ac:dyDescent="0.2">
      <c r="A805" s="21"/>
      <c r="B805" s="21"/>
      <c r="C805" s="4" t="s">
        <v>139</v>
      </c>
      <c r="D805" s="6" t="str">
        <f>HYPERLINK("javascript:void(0)","bűzmirigy")</f>
        <v>bűzmirigy</v>
      </c>
    </row>
    <row r="806" spans="1:4" ht="12.75" customHeight="1" x14ac:dyDescent="0.2">
      <c r="A806" s="21"/>
      <c r="B806" s="21"/>
      <c r="C806" s="4" t="s">
        <v>56</v>
      </c>
      <c r="D806" s="6" t="str">
        <f>HYPERLINK("javascript:void(0)","centrolium")</f>
        <v>centrolium</v>
      </c>
    </row>
    <row r="807" spans="1:4" ht="12.75" customHeight="1" x14ac:dyDescent="0.2">
      <c r="A807" s="5"/>
      <c r="B807" s="2"/>
      <c r="C807" s="2"/>
      <c r="D807" s="2"/>
    </row>
    <row r="808" spans="1:4" ht="12.75" customHeight="1" x14ac:dyDescent="0.2">
      <c r="A808" s="22" t="str">
        <f>HYPERLINK("javascript:void(0)","mengorni köpőcső")</f>
        <v>mengorni köpőcső</v>
      </c>
      <c r="B808" s="21"/>
      <c r="C808" s="21"/>
      <c r="D808" s="21"/>
    </row>
    <row r="809" spans="1:4" ht="12.75" customHeight="1" x14ac:dyDescent="0.2">
      <c r="A809" s="20"/>
      <c r="B809" s="2"/>
      <c r="C809" s="2"/>
      <c r="D809" s="2"/>
    </row>
    <row r="810" spans="1:4" ht="12.75" customHeight="1" x14ac:dyDescent="0.2">
      <c r="A810" s="21"/>
      <c r="B810" s="3" t="s">
        <v>0</v>
      </c>
      <c r="C810" s="20" t="s">
        <v>41</v>
      </c>
      <c r="D810" s="21"/>
    </row>
    <row r="811" spans="1:4" ht="12.75" customHeight="1" x14ac:dyDescent="0.2">
      <c r="A811" s="21"/>
      <c r="B811" s="3" t="s">
        <v>2</v>
      </c>
      <c r="C811" s="20" t="s">
        <v>3</v>
      </c>
      <c r="D811" s="21"/>
    </row>
    <row r="812" spans="1:4" ht="12.75" customHeight="1" x14ac:dyDescent="0.2">
      <c r="A812" s="21"/>
      <c r="B812" s="3" t="s">
        <v>4</v>
      </c>
      <c r="C812" s="20" t="s">
        <v>256</v>
      </c>
      <c r="D812" s="21"/>
    </row>
    <row r="813" spans="1:4" ht="12.75" customHeight="1" x14ac:dyDescent="0.2">
      <c r="A813" s="21"/>
      <c r="B813" s="3" t="s">
        <v>6</v>
      </c>
      <c r="C813" s="20" t="s">
        <v>92</v>
      </c>
      <c r="D813" s="21"/>
    </row>
    <row r="814" spans="1:4" ht="12.75" customHeight="1" x14ac:dyDescent="0.2">
      <c r="A814" s="21"/>
      <c r="B814" s="3" t="s">
        <v>8</v>
      </c>
      <c r="C814" s="20" t="s">
        <v>256</v>
      </c>
      <c r="D814" s="21"/>
    </row>
    <row r="815" spans="1:4" ht="12.75" customHeight="1" x14ac:dyDescent="0.2">
      <c r="A815" s="21"/>
      <c r="B815" s="3" t="s">
        <v>9</v>
      </c>
      <c r="C815" s="20" t="s">
        <v>42</v>
      </c>
      <c r="D815" s="21"/>
    </row>
    <row r="816" spans="1:4" ht="12.75" customHeight="1" x14ac:dyDescent="0.2">
      <c r="A816" s="21"/>
      <c r="B816" s="3" t="s">
        <v>11</v>
      </c>
      <c r="C816" s="20" t="s">
        <v>259</v>
      </c>
      <c r="D816" s="21"/>
    </row>
    <row r="817" spans="1:4" ht="12.75" customHeight="1" x14ac:dyDescent="0.2">
      <c r="A817" s="21"/>
      <c r="B817" s="3" t="s">
        <v>13</v>
      </c>
      <c r="C817" s="20" t="s">
        <v>24</v>
      </c>
      <c r="D817" s="21"/>
    </row>
    <row r="818" spans="1:4" ht="12.75" customHeight="1" x14ac:dyDescent="0.2">
      <c r="A818" s="21"/>
      <c r="B818" s="3" t="s">
        <v>15</v>
      </c>
      <c r="C818" s="20" t="s">
        <v>24</v>
      </c>
      <c r="D818" s="21"/>
    </row>
    <row r="819" spans="1:4" ht="12.75" customHeight="1" x14ac:dyDescent="0.2">
      <c r="A819" s="21"/>
      <c r="B819" s="3" t="s">
        <v>16</v>
      </c>
      <c r="C819" s="20"/>
      <c r="D819" s="21"/>
    </row>
    <row r="820" spans="1:4" ht="12.75" customHeight="1" x14ac:dyDescent="0.2">
      <c r="A820" s="21"/>
      <c r="B820" s="3" t="s">
        <v>17</v>
      </c>
      <c r="C820" s="20"/>
      <c r="D820" s="21"/>
    </row>
    <row r="821" spans="1:4" ht="12.75" customHeight="1" x14ac:dyDescent="0.2">
      <c r="A821" s="21"/>
      <c r="B821" s="20" t="s">
        <v>18</v>
      </c>
      <c r="C821" s="4" t="s">
        <v>228</v>
      </c>
      <c r="D821" s="6" t="str">
        <f>HYPERLINK("javascript:void(0)","képcső")</f>
        <v>képcső</v>
      </c>
    </row>
    <row r="822" spans="1:4" ht="12.75" customHeight="1" x14ac:dyDescent="0.2">
      <c r="A822" s="21"/>
      <c r="B822" s="21"/>
      <c r="C822" s="4" t="s">
        <v>98</v>
      </c>
      <c r="D822" s="6" t="str">
        <f>HYPERLINK("javascript:void(0)","kocka")</f>
        <v>kocka</v>
      </c>
    </row>
    <row r="823" spans="1:4" ht="12.75" customHeight="1" x14ac:dyDescent="0.2">
      <c r="A823" s="21"/>
      <c r="B823" s="21"/>
      <c r="C823" s="4" t="s">
        <v>163</v>
      </c>
      <c r="D823" s="6" t="str">
        <f>HYPERLINK("javascript:void(0)","főnixtoll")</f>
        <v>főnixtoll</v>
      </c>
    </row>
    <row r="824" spans="1:4" ht="12.75" customHeight="1" x14ac:dyDescent="0.2">
      <c r="A824" s="5"/>
      <c r="B824" s="2"/>
      <c r="C824" s="2"/>
      <c r="D824" s="2"/>
    </row>
    <row r="825" spans="1:4" ht="12.75" customHeight="1" x14ac:dyDescent="0.2">
      <c r="A825" s="22" t="str">
        <f>HYPERLINK("javascript:void(0)","hiper bűzíj")</f>
        <v>hiper bűzíj</v>
      </c>
      <c r="B825" s="21"/>
      <c r="C825" s="21"/>
      <c r="D825" s="21"/>
    </row>
    <row r="826" spans="1:4" ht="12.75" customHeight="1" x14ac:dyDescent="0.2">
      <c r="A826" s="20"/>
      <c r="B826" s="2"/>
      <c r="C826" s="2"/>
      <c r="D826" s="2"/>
    </row>
    <row r="827" spans="1:4" ht="12.75" customHeight="1" x14ac:dyDescent="0.2">
      <c r="A827" s="21"/>
      <c r="B827" s="3" t="s">
        <v>0</v>
      </c>
      <c r="C827" s="20" t="s">
        <v>260</v>
      </c>
      <c r="D827" s="21"/>
    </row>
    <row r="828" spans="1:4" ht="12.75" customHeight="1" x14ac:dyDescent="0.2">
      <c r="A828" s="21"/>
      <c r="B828" s="3" t="s">
        <v>2</v>
      </c>
      <c r="C828" s="20" t="s">
        <v>3</v>
      </c>
      <c r="D828" s="21"/>
    </row>
    <row r="829" spans="1:4" ht="12.75" customHeight="1" x14ac:dyDescent="0.2">
      <c r="A829" s="21"/>
      <c r="B829" s="3" t="s">
        <v>4</v>
      </c>
      <c r="C829" s="20" t="s">
        <v>261</v>
      </c>
      <c r="D829" s="21"/>
    </row>
    <row r="830" spans="1:4" ht="12.75" customHeight="1" x14ac:dyDescent="0.2">
      <c r="A830" s="21"/>
      <c r="B830" s="3" t="s">
        <v>6</v>
      </c>
      <c r="C830" s="20" t="s">
        <v>155</v>
      </c>
      <c r="D830" s="21"/>
    </row>
    <row r="831" spans="1:4" ht="12.75" customHeight="1" x14ac:dyDescent="0.2">
      <c r="A831" s="21"/>
      <c r="B831" s="3" t="s">
        <v>8</v>
      </c>
      <c r="C831" s="20" t="s">
        <v>261</v>
      </c>
      <c r="D831" s="21"/>
    </row>
    <row r="832" spans="1:4" ht="12.75" customHeight="1" x14ac:dyDescent="0.2">
      <c r="A832" s="21"/>
      <c r="B832" s="3" t="s">
        <v>9</v>
      </c>
      <c r="C832" s="20" t="s">
        <v>262</v>
      </c>
      <c r="D832" s="21"/>
    </row>
    <row r="833" spans="1:4" ht="12.75" customHeight="1" x14ac:dyDescent="0.2">
      <c r="A833" s="21"/>
      <c r="B833" s="3" t="s">
        <v>11</v>
      </c>
      <c r="C833" s="20" t="s">
        <v>263</v>
      </c>
      <c r="D833" s="21"/>
    </row>
    <row r="834" spans="1:4" ht="12.75" customHeight="1" x14ac:dyDescent="0.2">
      <c r="A834" s="21"/>
      <c r="B834" s="3" t="s">
        <v>13</v>
      </c>
      <c r="C834" s="20" t="s">
        <v>24</v>
      </c>
      <c r="D834" s="21"/>
    </row>
    <row r="835" spans="1:4" ht="12.75" customHeight="1" x14ac:dyDescent="0.2">
      <c r="A835" s="21"/>
      <c r="B835" s="3" t="s">
        <v>15</v>
      </c>
      <c r="C835" s="20" t="s">
        <v>24</v>
      </c>
      <c r="D835" s="21"/>
    </row>
    <row r="836" spans="1:4" ht="12.75" customHeight="1" x14ac:dyDescent="0.2">
      <c r="A836" s="21"/>
      <c r="B836" s="3" t="s">
        <v>16</v>
      </c>
      <c r="C836" s="20"/>
      <c r="D836" s="21"/>
    </row>
    <row r="837" spans="1:4" ht="12.75" customHeight="1" x14ac:dyDescent="0.2">
      <c r="A837" s="21"/>
      <c r="B837" s="3" t="s">
        <v>17</v>
      </c>
      <c r="C837" s="20"/>
      <c r="D837" s="21"/>
    </row>
    <row r="838" spans="1:4" ht="12.75" customHeight="1" x14ac:dyDescent="0.2">
      <c r="A838" s="21"/>
      <c r="B838" s="20" t="s">
        <v>18</v>
      </c>
      <c r="C838" s="4" t="s">
        <v>44</v>
      </c>
      <c r="D838" s="6" t="str">
        <f>HYPERLINK("javascript:void(0)","centro bűzíj")</f>
        <v>centro bűzíj</v>
      </c>
    </row>
    <row r="839" spans="1:4" ht="12.75" customHeight="1" x14ac:dyDescent="0.2">
      <c r="A839" s="21"/>
      <c r="B839" s="21"/>
      <c r="C839" s="4" t="s">
        <v>265</v>
      </c>
      <c r="D839" s="6" t="str">
        <f>HYPERLINK("javascript:void(0)","bűzmirigy")</f>
        <v>bűzmirigy</v>
      </c>
    </row>
    <row r="840" spans="1:4" ht="12.75" customHeight="1" x14ac:dyDescent="0.2">
      <c r="A840" s="21"/>
      <c r="B840" s="21"/>
      <c r="C840" s="4" t="s">
        <v>56</v>
      </c>
      <c r="D840" s="6" t="str">
        <f>HYPERLINK("javascript:void(0)","hiperium")</f>
        <v>hiperium</v>
      </c>
    </row>
    <row r="841" spans="1:4" ht="12.75" customHeight="1" x14ac:dyDescent="0.2">
      <c r="A841" s="5"/>
      <c r="B841" s="2"/>
      <c r="C841" s="2"/>
      <c r="D841" s="2"/>
    </row>
    <row r="842" spans="1:4" ht="12.75" customHeight="1" x14ac:dyDescent="0.2">
      <c r="A842" s="22" t="str">
        <f>HYPERLINK("javascript:void(0)","skivei köpőcső")</f>
        <v>skivei köpőcső</v>
      </c>
      <c r="B842" s="21"/>
      <c r="C842" s="21"/>
      <c r="D842" s="21"/>
    </row>
    <row r="843" spans="1:4" ht="12.75" customHeight="1" x14ac:dyDescent="0.2">
      <c r="A843" s="20"/>
      <c r="B843" s="2"/>
      <c r="C843" s="2"/>
      <c r="D843" s="2"/>
    </row>
    <row r="844" spans="1:4" ht="12.75" customHeight="1" x14ac:dyDescent="0.2">
      <c r="A844" s="21"/>
      <c r="B844" s="3" t="s">
        <v>0</v>
      </c>
      <c r="C844" s="20" t="s">
        <v>260</v>
      </c>
      <c r="D844" s="21"/>
    </row>
    <row r="845" spans="1:4" ht="12.75" customHeight="1" x14ac:dyDescent="0.2">
      <c r="A845" s="21"/>
      <c r="B845" s="3" t="s">
        <v>2</v>
      </c>
      <c r="C845" s="20" t="s">
        <v>3</v>
      </c>
      <c r="D845" s="21"/>
    </row>
    <row r="846" spans="1:4" ht="12.75" customHeight="1" x14ac:dyDescent="0.2">
      <c r="A846" s="21"/>
      <c r="B846" s="3" t="s">
        <v>4</v>
      </c>
      <c r="C846" s="20" t="s">
        <v>267</v>
      </c>
      <c r="D846" s="21"/>
    </row>
    <row r="847" spans="1:4" ht="12.75" customHeight="1" x14ac:dyDescent="0.2">
      <c r="A847" s="21"/>
      <c r="B847" s="3" t="s">
        <v>6</v>
      </c>
      <c r="C847" s="20" t="s">
        <v>92</v>
      </c>
      <c r="D847" s="21"/>
    </row>
    <row r="848" spans="1:4" ht="12.75" customHeight="1" x14ac:dyDescent="0.2">
      <c r="A848" s="21"/>
      <c r="B848" s="3" t="s">
        <v>8</v>
      </c>
      <c r="C848" s="20" t="s">
        <v>267</v>
      </c>
      <c r="D848" s="21"/>
    </row>
    <row r="849" spans="1:4" ht="12.75" customHeight="1" x14ac:dyDescent="0.2">
      <c r="A849" s="21"/>
      <c r="B849" s="3" t="s">
        <v>9</v>
      </c>
      <c r="C849" s="20" t="s">
        <v>42</v>
      </c>
      <c r="D849" s="21"/>
    </row>
    <row r="850" spans="1:4" ht="12.75" customHeight="1" x14ac:dyDescent="0.2">
      <c r="A850" s="21"/>
      <c r="B850" s="3" t="s">
        <v>11</v>
      </c>
      <c r="C850" s="20" t="s">
        <v>268</v>
      </c>
      <c r="D850" s="21"/>
    </row>
    <row r="851" spans="1:4" ht="12.75" customHeight="1" x14ac:dyDescent="0.2">
      <c r="A851" s="21"/>
      <c r="B851" s="3" t="s">
        <v>13</v>
      </c>
      <c r="C851" s="20" t="s">
        <v>24</v>
      </c>
      <c r="D851" s="21"/>
    </row>
    <row r="852" spans="1:4" ht="12.75" customHeight="1" x14ac:dyDescent="0.2">
      <c r="A852" s="21"/>
      <c r="B852" s="3" t="s">
        <v>15</v>
      </c>
      <c r="C852" s="20" t="s">
        <v>24</v>
      </c>
      <c r="D852" s="21"/>
    </row>
    <row r="853" spans="1:4" ht="12.75" customHeight="1" x14ac:dyDescent="0.2">
      <c r="A853" s="21"/>
      <c r="B853" s="3" t="s">
        <v>16</v>
      </c>
      <c r="C853" s="20"/>
      <c r="D853" s="21"/>
    </row>
    <row r="854" spans="1:4" ht="12.75" customHeight="1" x14ac:dyDescent="0.2">
      <c r="A854" s="21"/>
      <c r="B854" s="3" t="s">
        <v>17</v>
      </c>
      <c r="C854" s="20"/>
      <c r="D854" s="21"/>
    </row>
    <row r="855" spans="1:4" ht="12.75" customHeight="1" x14ac:dyDescent="0.2">
      <c r="A855" s="21"/>
      <c r="B855" s="20" t="s">
        <v>18</v>
      </c>
      <c r="C855" s="4" t="s">
        <v>269</v>
      </c>
      <c r="D855" s="6" t="str">
        <f>HYPERLINK("javascript:void(0)","képcső")</f>
        <v>képcső</v>
      </c>
    </row>
    <row r="856" spans="1:4" ht="12.75" customHeight="1" x14ac:dyDescent="0.2">
      <c r="A856" s="21"/>
      <c r="B856" s="21"/>
      <c r="C856" s="4" t="s">
        <v>271</v>
      </c>
      <c r="D856" s="6" t="str">
        <f>HYPERLINK("javascript:void(0)","mantüske")</f>
        <v>mantüske</v>
      </c>
    </row>
    <row r="857" spans="1:4" ht="12.75" customHeight="1" x14ac:dyDescent="0.2">
      <c r="A857" s="21"/>
      <c r="B857" s="21"/>
      <c r="C857" s="4" t="s">
        <v>98</v>
      </c>
      <c r="D857" s="6" t="str">
        <f>HYPERLINK("javascript:void(0)","hárpia copf")</f>
        <v>hárpia copf</v>
      </c>
    </row>
    <row r="858" spans="1:4" ht="12.75" customHeight="1" x14ac:dyDescent="0.2">
      <c r="A858" s="5"/>
      <c r="B858" s="2"/>
      <c r="C858" s="2"/>
      <c r="D858" s="2"/>
    </row>
    <row r="859" spans="1:4" ht="12.75" customHeight="1" x14ac:dyDescent="0.2">
      <c r="A859" s="22" t="str">
        <f>HYPERLINK("javascript:void(0)","dracoacél dárda")</f>
        <v>dracoacél dárda</v>
      </c>
      <c r="B859" s="21"/>
      <c r="C859" s="21"/>
      <c r="D859" s="21"/>
    </row>
    <row r="860" spans="1:4" ht="12.75" customHeight="1" x14ac:dyDescent="0.2">
      <c r="A860" s="20"/>
      <c r="B860" s="2"/>
      <c r="C860" s="2"/>
      <c r="D860" s="2"/>
    </row>
    <row r="861" spans="1:4" ht="12.75" customHeight="1" x14ac:dyDescent="0.2">
      <c r="A861" s="21"/>
      <c r="B861" s="3" t="s">
        <v>0</v>
      </c>
      <c r="C861" s="20" t="s">
        <v>272</v>
      </c>
      <c r="D861" s="21"/>
    </row>
    <row r="862" spans="1:4" ht="12.75" customHeight="1" x14ac:dyDescent="0.2">
      <c r="A862" s="21"/>
      <c r="B862" s="3" t="s">
        <v>2</v>
      </c>
      <c r="C862" s="20" t="s">
        <v>3</v>
      </c>
      <c r="D862" s="21"/>
    </row>
    <row r="863" spans="1:4" ht="12.75" customHeight="1" x14ac:dyDescent="0.2">
      <c r="A863" s="21"/>
      <c r="B863" s="3" t="s">
        <v>4</v>
      </c>
      <c r="C863" s="20" t="s">
        <v>273</v>
      </c>
      <c r="D863" s="21"/>
    </row>
    <row r="864" spans="1:4" ht="12.75" customHeight="1" x14ac:dyDescent="0.2">
      <c r="A864" s="21"/>
      <c r="B864" s="3" t="s">
        <v>6</v>
      </c>
      <c r="C864" s="20" t="s">
        <v>274</v>
      </c>
      <c r="D864" s="21"/>
    </row>
    <row r="865" spans="1:4" ht="12.75" customHeight="1" x14ac:dyDescent="0.2">
      <c r="A865" s="21"/>
      <c r="B865" s="3" t="s">
        <v>8</v>
      </c>
      <c r="C865" s="20" t="s">
        <v>273</v>
      </c>
      <c r="D865" s="21"/>
    </row>
    <row r="866" spans="1:4" ht="12.75" customHeight="1" x14ac:dyDescent="0.2">
      <c r="A866" s="21"/>
      <c r="B866" s="3" t="s">
        <v>9</v>
      </c>
      <c r="C866" s="20" t="s">
        <v>249</v>
      </c>
      <c r="D866" s="21"/>
    </row>
    <row r="867" spans="1:4" ht="12.75" customHeight="1" x14ac:dyDescent="0.2">
      <c r="A867" s="21"/>
      <c r="B867" s="3" t="s">
        <v>11</v>
      </c>
      <c r="C867" s="20" t="s">
        <v>276</v>
      </c>
      <c r="D867" s="21"/>
    </row>
    <row r="868" spans="1:4" ht="12.75" customHeight="1" x14ac:dyDescent="0.2">
      <c r="A868" s="21"/>
      <c r="B868" s="3" t="s">
        <v>13</v>
      </c>
      <c r="C868" s="20" t="s">
        <v>24</v>
      </c>
      <c r="D868" s="21"/>
    </row>
    <row r="869" spans="1:4" ht="12.75" customHeight="1" x14ac:dyDescent="0.2">
      <c r="A869" s="21"/>
      <c r="B869" s="3" t="s">
        <v>15</v>
      </c>
      <c r="C869" s="20" t="s">
        <v>24</v>
      </c>
      <c r="D869" s="21"/>
    </row>
    <row r="870" spans="1:4" ht="12.75" customHeight="1" x14ac:dyDescent="0.2">
      <c r="A870" s="21"/>
      <c r="B870" s="3" t="s">
        <v>16</v>
      </c>
      <c r="C870" s="20"/>
      <c r="D870" s="21"/>
    </row>
    <row r="871" spans="1:4" ht="12.75" customHeight="1" x14ac:dyDescent="0.2">
      <c r="A871" s="21"/>
      <c r="B871" s="3" t="s">
        <v>17</v>
      </c>
      <c r="C871" s="20"/>
      <c r="D871" s="21"/>
    </row>
    <row r="872" spans="1:4" ht="12.75" customHeight="1" x14ac:dyDescent="0.2">
      <c r="A872" s="21"/>
      <c r="B872" s="20" t="s">
        <v>18</v>
      </c>
      <c r="C872" s="4" t="s">
        <v>44</v>
      </c>
      <c r="D872" s="6" t="str">
        <f>HYPERLINK("javascript:void(0)","dracoacél szigony")</f>
        <v>dracoacél szigony</v>
      </c>
    </row>
    <row r="873" spans="1:4" ht="12.75" customHeight="1" x14ac:dyDescent="0.2">
      <c r="A873" s="21"/>
      <c r="B873" s="21"/>
      <c r="C873" s="4" t="s">
        <v>139</v>
      </c>
      <c r="D873" s="6" t="str">
        <f>HYPERLINK("javascript:void(0)","sárkányfog")</f>
        <v>sárkányfog</v>
      </c>
    </row>
    <row r="874" spans="1:4" ht="12.75" customHeight="1" x14ac:dyDescent="0.2">
      <c r="A874" s="21"/>
      <c r="B874" s="21"/>
      <c r="C874" s="4" t="s">
        <v>117</v>
      </c>
      <c r="D874" s="6" t="str">
        <f>HYPERLINK("javascript:void(0)","sárkánypikkely")</f>
        <v>sárkánypikkely</v>
      </c>
    </row>
    <row r="875" spans="1:4" ht="12.75" customHeight="1" x14ac:dyDescent="0.2">
      <c r="A875" s="5"/>
      <c r="B875" s="2"/>
      <c r="C875" s="2"/>
      <c r="D875" s="2"/>
    </row>
    <row r="876" spans="1:4" ht="12.75" customHeight="1" x14ac:dyDescent="0.2">
      <c r="A876" s="22" t="str">
        <f>HYPERLINK("javascript:void(0)","parszi köpőcső")</f>
        <v>parszi köpőcső</v>
      </c>
      <c r="B876" s="21"/>
      <c r="C876" s="21"/>
      <c r="D876" s="21"/>
    </row>
    <row r="877" spans="1:4" ht="12.75" customHeight="1" x14ac:dyDescent="0.2">
      <c r="A877" s="20"/>
      <c r="B877" s="2"/>
      <c r="C877" s="2"/>
      <c r="D877" s="2"/>
    </row>
    <row r="878" spans="1:4" ht="12.75" customHeight="1" x14ac:dyDescent="0.2">
      <c r="A878" s="21"/>
      <c r="B878" s="3" t="s">
        <v>0</v>
      </c>
      <c r="C878" s="20" t="s">
        <v>272</v>
      </c>
      <c r="D878" s="21"/>
    </row>
    <row r="879" spans="1:4" ht="12.75" customHeight="1" x14ac:dyDescent="0.2">
      <c r="A879" s="21"/>
      <c r="B879" s="3" t="s">
        <v>2</v>
      </c>
      <c r="C879" s="20" t="s">
        <v>3</v>
      </c>
      <c r="D879" s="21"/>
    </row>
    <row r="880" spans="1:4" ht="12.75" customHeight="1" x14ac:dyDescent="0.2">
      <c r="A880" s="21"/>
      <c r="B880" s="3" t="s">
        <v>4</v>
      </c>
      <c r="C880" s="20" t="s">
        <v>278</v>
      </c>
      <c r="D880" s="21"/>
    </row>
    <row r="881" spans="1:4" ht="12.75" customHeight="1" x14ac:dyDescent="0.2">
      <c r="A881" s="21"/>
      <c r="B881" s="3" t="s">
        <v>6</v>
      </c>
      <c r="C881" s="20" t="s">
        <v>92</v>
      </c>
      <c r="D881" s="21"/>
    </row>
    <row r="882" spans="1:4" ht="12.75" customHeight="1" x14ac:dyDescent="0.2">
      <c r="A882" s="21"/>
      <c r="B882" s="3" t="s">
        <v>8</v>
      </c>
      <c r="C882" s="20" t="s">
        <v>278</v>
      </c>
      <c r="D882" s="21"/>
    </row>
    <row r="883" spans="1:4" ht="12.75" customHeight="1" x14ac:dyDescent="0.2">
      <c r="A883" s="21"/>
      <c r="B883" s="3" t="s">
        <v>9</v>
      </c>
      <c r="C883" s="20" t="s">
        <v>42</v>
      </c>
      <c r="D883" s="21"/>
    </row>
    <row r="884" spans="1:4" ht="12.75" customHeight="1" x14ac:dyDescent="0.2">
      <c r="A884" s="21"/>
      <c r="B884" s="3" t="s">
        <v>11</v>
      </c>
      <c r="C884" s="20" t="s">
        <v>279</v>
      </c>
      <c r="D884" s="21"/>
    </row>
    <row r="885" spans="1:4" ht="12.75" customHeight="1" x14ac:dyDescent="0.2">
      <c r="A885" s="21"/>
      <c r="B885" s="3" t="s">
        <v>13</v>
      </c>
      <c r="C885" s="20" t="s">
        <v>24</v>
      </c>
      <c r="D885" s="21"/>
    </row>
    <row r="886" spans="1:4" ht="12.75" customHeight="1" x14ac:dyDescent="0.2">
      <c r="A886" s="21"/>
      <c r="B886" s="3" t="s">
        <v>15</v>
      </c>
      <c r="C886" s="20" t="s">
        <v>24</v>
      </c>
      <c r="D886" s="21"/>
    </row>
    <row r="887" spans="1:4" ht="12.75" customHeight="1" x14ac:dyDescent="0.2">
      <c r="A887" s="21"/>
      <c r="B887" s="3" t="s">
        <v>16</v>
      </c>
      <c r="C887" s="20"/>
      <c r="D887" s="21"/>
    </row>
    <row r="888" spans="1:4" ht="12.75" customHeight="1" x14ac:dyDescent="0.2">
      <c r="A888" s="21"/>
      <c r="B888" s="3" t="s">
        <v>17</v>
      </c>
      <c r="C888" s="20"/>
      <c r="D888" s="21"/>
    </row>
    <row r="889" spans="1:4" ht="12.75" customHeight="1" x14ac:dyDescent="0.2">
      <c r="A889" s="21"/>
      <c r="B889" s="20" t="s">
        <v>18</v>
      </c>
      <c r="C889" s="4" t="s">
        <v>240</v>
      </c>
      <c r="D889" s="6" t="str">
        <f>HYPERLINK("javascript:void(0)","képcső")</f>
        <v>képcső</v>
      </c>
    </row>
    <row r="890" spans="1:4" ht="12.75" customHeight="1" x14ac:dyDescent="0.2">
      <c r="A890" s="21"/>
      <c r="B890" s="21"/>
      <c r="C890" s="4" t="s">
        <v>280</v>
      </c>
      <c r="D890" s="6" t="str">
        <f>HYPERLINK("javascript:void(0)","démonzanza")</f>
        <v>démonzanza</v>
      </c>
    </row>
    <row r="891" spans="1:4" ht="12.75" customHeight="1" x14ac:dyDescent="0.2">
      <c r="A891" s="21"/>
      <c r="B891" s="21"/>
      <c r="C891" s="4" t="s">
        <v>282</v>
      </c>
      <c r="D891" s="6" t="str">
        <f>HYPERLINK("javascript:void(0)","mantüske")</f>
        <v>mantüske</v>
      </c>
    </row>
    <row r="892" spans="1:4" ht="12.75" customHeight="1" x14ac:dyDescent="0.2">
      <c r="A892" s="5"/>
      <c r="B892" s="2"/>
      <c r="C892" s="2"/>
      <c r="D892" s="2"/>
    </row>
    <row r="893" spans="1:4" ht="12.75" customHeight="1" x14ac:dyDescent="0.2">
      <c r="A893" s="22" t="str">
        <f>HYPERLINK("javascript:void(0)","manó dárda")</f>
        <v>manó dárda</v>
      </c>
      <c r="B893" s="21"/>
      <c r="C893" s="21"/>
      <c r="D893" s="21"/>
    </row>
    <row r="894" spans="1:4" ht="12.75" customHeight="1" x14ac:dyDescent="0.2">
      <c r="A894" s="20"/>
      <c r="B894" s="2"/>
      <c r="C894" s="2"/>
      <c r="D894" s="2"/>
    </row>
    <row r="895" spans="1:4" ht="12.75" customHeight="1" x14ac:dyDescent="0.2">
      <c r="A895" s="21"/>
      <c r="B895" s="3" t="s">
        <v>0</v>
      </c>
      <c r="C895" s="20" t="s">
        <v>284</v>
      </c>
      <c r="D895" s="21"/>
    </row>
    <row r="896" spans="1:4" ht="12.75" customHeight="1" x14ac:dyDescent="0.2">
      <c r="A896" s="21"/>
      <c r="B896" s="3" t="s">
        <v>2</v>
      </c>
      <c r="C896" s="20" t="s">
        <v>3</v>
      </c>
      <c r="D896" s="21"/>
    </row>
    <row r="897" spans="1:4" ht="12.75" customHeight="1" x14ac:dyDescent="0.2">
      <c r="A897" s="21"/>
      <c r="B897" s="3" t="s">
        <v>4</v>
      </c>
      <c r="C897" s="20" t="s">
        <v>285</v>
      </c>
      <c r="D897" s="21"/>
    </row>
    <row r="898" spans="1:4" ht="12.75" customHeight="1" x14ac:dyDescent="0.2">
      <c r="A898" s="21"/>
      <c r="B898" s="3" t="s">
        <v>6</v>
      </c>
      <c r="C898" s="20" t="s">
        <v>155</v>
      </c>
      <c r="D898" s="21"/>
    </row>
    <row r="899" spans="1:4" ht="12.75" customHeight="1" x14ac:dyDescent="0.2">
      <c r="A899" s="21"/>
      <c r="B899" s="3" t="s">
        <v>8</v>
      </c>
      <c r="C899" s="20" t="s">
        <v>285</v>
      </c>
      <c r="D899" s="21"/>
    </row>
    <row r="900" spans="1:4" ht="12.75" customHeight="1" x14ac:dyDescent="0.2">
      <c r="A900" s="21"/>
      <c r="B900" s="3" t="s">
        <v>9</v>
      </c>
      <c r="C900" s="20" t="s">
        <v>250</v>
      </c>
      <c r="D900" s="21"/>
    </row>
    <row r="901" spans="1:4" ht="12.75" customHeight="1" x14ac:dyDescent="0.2">
      <c r="A901" s="21"/>
      <c r="B901" s="3" t="s">
        <v>11</v>
      </c>
      <c r="C901" s="20" t="s">
        <v>108</v>
      </c>
      <c r="D901" s="21"/>
    </row>
    <row r="902" spans="1:4" ht="12.75" customHeight="1" x14ac:dyDescent="0.2">
      <c r="A902" s="21"/>
      <c r="B902" s="3" t="s">
        <v>13</v>
      </c>
      <c r="C902" s="20" t="s">
        <v>24</v>
      </c>
      <c r="D902" s="21"/>
    </row>
    <row r="903" spans="1:4" ht="12.75" customHeight="1" x14ac:dyDescent="0.2">
      <c r="A903" s="21"/>
      <c r="B903" s="3" t="s">
        <v>15</v>
      </c>
      <c r="C903" s="20" t="s">
        <v>24</v>
      </c>
      <c r="D903" s="21"/>
    </row>
    <row r="904" spans="1:4" ht="12.75" customHeight="1" x14ac:dyDescent="0.2">
      <c r="A904" s="21"/>
      <c r="B904" s="3" t="s">
        <v>16</v>
      </c>
      <c r="C904" s="20"/>
      <c r="D904" s="21"/>
    </row>
    <row r="905" spans="1:4" ht="12.75" customHeight="1" x14ac:dyDescent="0.2">
      <c r="A905" s="21"/>
      <c r="B905" s="3" t="s">
        <v>17</v>
      </c>
      <c r="C905" s="20"/>
      <c r="D905" s="21"/>
    </row>
    <row r="906" spans="1:4" ht="12.75" customHeight="1" x14ac:dyDescent="0.2">
      <c r="A906" s="21"/>
      <c r="B906" s="20" t="s">
        <v>18</v>
      </c>
      <c r="C906" s="4" t="s">
        <v>44</v>
      </c>
      <c r="D906" s="6" t="str">
        <f>HYPERLINK("javascript:void(0)","dracoacél dárda")</f>
        <v>dracoacél dárda</v>
      </c>
    </row>
    <row r="907" spans="1:4" ht="12.75" customHeight="1" x14ac:dyDescent="0.2">
      <c r="A907" s="21"/>
      <c r="B907" s="21"/>
      <c r="C907" s="4" t="s">
        <v>286</v>
      </c>
      <c r="D907" s="6" t="str">
        <f>HYPERLINK("javascript:void(0)","goblinbatka")</f>
        <v>goblinbatka</v>
      </c>
    </row>
    <row r="908" spans="1:4" ht="12.75" customHeight="1" x14ac:dyDescent="0.2">
      <c r="A908" s="21"/>
      <c r="B908" s="21"/>
      <c r="C908" s="4" t="s">
        <v>56</v>
      </c>
      <c r="D908" s="6" t="str">
        <f>HYPERLINK("javascript:void(0)","hiperium")</f>
        <v>hiperium</v>
      </c>
    </row>
    <row r="909" spans="1:4" ht="12.75" customHeight="1" x14ac:dyDescent="0.2">
      <c r="A909" s="5"/>
      <c r="B909" s="2"/>
      <c r="C909" s="2"/>
      <c r="D909" s="2"/>
    </row>
    <row r="910" spans="1:4" ht="12.75" customHeight="1" x14ac:dyDescent="0.2">
      <c r="A910" s="22" t="str">
        <f>HYPERLINK("javascript:void(0)","rimföldi köpőcső")</f>
        <v>rimföldi köpőcső</v>
      </c>
      <c r="B910" s="21"/>
      <c r="C910" s="21"/>
      <c r="D910" s="21"/>
    </row>
    <row r="911" spans="1:4" ht="12.75" customHeight="1" x14ac:dyDescent="0.2">
      <c r="A911" s="20"/>
      <c r="B911" s="2"/>
      <c r="C911" s="2"/>
      <c r="D911" s="2"/>
    </row>
    <row r="912" spans="1:4" ht="12.75" customHeight="1" x14ac:dyDescent="0.2">
      <c r="A912" s="21"/>
      <c r="B912" s="3" t="s">
        <v>0</v>
      </c>
      <c r="C912" s="20" t="s">
        <v>284</v>
      </c>
      <c r="D912" s="21"/>
    </row>
    <row r="913" spans="1:4" ht="12.75" customHeight="1" x14ac:dyDescent="0.2">
      <c r="A913" s="21"/>
      <c r="B913" s="3" t="s">
        <v>2</v>
      </c>
      <c r="C913" s="20" t="s">
        <v>3</v>
      </c>
      <c r="D913" s="21"/>
    </row>
    <row r="914" spans="1:4" ht="12.75" customHeight="1" x14ac:dyDescent="0.2">
      <c r="A914" s="21"/>
      <c r="B914" s="3" t="s">
        <v>4</v>
      </c>
      <c r="C914" s="20" t="s">
        <v>287</v>
      </c>
      <c r="D914" s="21"/>
    </row>
    <row r="915" spans="1:4" ht="12.75" customHeight="1" x14ac:dyDescent="0.2">
      <c r="A915" s="21"/>
      <c r="B915" s="3" t="s">
        <v>6</v>
      </c>
      <c r="C915" s="20" t="s">
        <v>92</v>
      </c>
      <c r="D915" s="21"/>
    </row>
    <row r="916" spans="1:4" ht="12.75" customHeight="1" x14ac:dyDescent="0.2">
      <c r="A916" s="21"/>
      <c r="B916" s="3" t="s">
        <v>8</v>
      </c>
      <c r="C916" s="20" t="s">
        <v>287</v>
      </c>
      <c r="D916" s="21"/>
    </row>
    <row r="917" spans="1:4" ht="12.75" customHeight="1" x14ac:dyDescent="0.2">
      <c r="A917" s="21"/>
      <c r="B917" s="3" t="s">
        <v>9</v>
      </c>
      <c r="C917" s="20" t="s">
        <v>42</v>
      </c>
      <c r="D917" s="21"/>
    </row>
    <row r="918" spans="1:4" ht="12.75" customHeight="1" x14ac:dyDescent="0.2">
      <c r="A918" s="21"/>
      <c r="B918" s="3" t="s">
        <v>11</v>
      </c>
      <c r="C918" s="20" t="s">
        <v>289</v>
      </c>
      <c r="D918" s="21"/>
    </row>
    <row r="919" spans="1:4" ht="12.75" customHeight="1" x14ac:dyDescent="0.2">
      <c r="A919" s="21"/>
      <c r="B919" s="3" t="s">
        <v>13</v>
      </c>
      <c r="C919" s="20" t="s">
        <v>24</v>
      </c>
      <c r="D919" s="21"/>
    </row>
    <row r="920" spans="1:4" ht="12.75" customHeight="1" x14ac:dyDescent="0.2">
      <c r="A920" s="21"/>
      <c r="B920" s="3" t="s">
        <v>15</v>
      </c>
      <c r="C920" s="20" t="s">
        <v>24</v>
      </c>
      <c r="D920" s="21"/>
    </row>
    <row r="921" spans="1:4" ht="12.75" customHeight="1" x14ac:dyDescent="0.2">
      <c r="A921" s="21"/>
      <c r="B921" s="3" t="s">
        <v>16</v>
      </c>
      <c r="C921" s="20"/>
      <c r="D921" s="21"/>
    </row>
    <row r="922" spans="1:4" ht="12.75" customHeight="1" x14ac:dyDescent="0.2">
      <c r="A922" s="21"/>
      <c r="B922" s="3" t="s">
        <v>17</v>
      </c>
      <c r="C922" s="20"/>
      <c r="D922" s="21"/>
    </row>
    <row r="923" spans="1:4" ht="12.75" customHeight="1" x14ac:dyDescent="0.2">
      <c r="A923" s="21"/>
      <c r="B923" s="20" t="s">
        <v>18</v>
      </c>
      <c r="C923" s="4" t="s">
        <v>139</v>
      </c>
      <c r="D923" s="6" t="str">
        <f>HYPERLINK("javascript:void(0)","képcső")</f>
        <v>képcső</v>
      </c>
    </row>
    <row r="924" spans="1:4" ht="12.75" customHeight="1" x14ac:dyDescent="0.2">
      <c r="A924" s="21"/>
      <c r="B924" s="21"/>
      <c r="C924" s="4" t="s">
        <v>67</v>
      </c>
      <c r="D924" s="6" t="str">
        <f>HYPERLINK("javascript:void(0)","kocka")</f>
        <v>kocka</v>
      </c>
    </row>
    <row r="925" spans="1:4" ht="12.75" customHeight="1" x14ac:dyDescent="0.2">
      <c r="A925" s="21"/>
      <c r="B925" s="21"/>
      <c r="C925" s="4" t="s">
        <v>290</v>
      </c>
      <c r="D925" s="6" t="str">
        <f>HYPERLINK("javascript:void(0)","yetiláb")</f>
        <v>yetiláb</v>
      </c>
    </row>
    <row r="926" spans="1:4" ht="12.75" customHeight="1" x14ac:dyDescent="0.2">
      <c r="A926" s="5"/>
      <c r="B926" s="2"/>
      <c r="C926" s="2"/>
      <c r="D926" s="2"/>
    </row>
    <row r="927" spans="1:4" ht="12.75" customHeight="1" x14ac:dyDescent="0.2">
      <c r="A927" s="22" t="str">
        <f>HYPERLINK("javascript:void(0)","gyémánt bumeráng")</f>
        <v>gyémánt bumeráng</v>
      </c>
      <c r="B927" s="21"/>
      <c r="C927" s="21"/>
      <c r="D927" s="21"/>
    </row>
    <row r="928" spans="1:4" ht="12.75" customHeight="1" x14ac:dyDescent="0.2">
      <c r="A928" s="20"/>
      <c r="B928" s="2"/>
      <c r="C928" s="2"/>
      <c r="D928" s="2"/>
    </row>
    <row r="929" spans="1:4" ht="12.75" customHeight="1" x14ac:dyDescent="0.2">
      <c r="A929" s="21"/>
      <c r="B929" s="3" t="s">
        <v>0</v>
      </c>
      <c r="C929" s="20" t="s">
        <v>291</v>
      </c>
      <c r="D929" s="21"/>
    </row>
    <row r="930" spans="1:4" ht="12.75" customHeight="1" x14ac:dyDescent="0.2">
      <c r="A930" s="21"/>
      <c r="B930" s="3" t="s">
        <v>2</v>
      </c>
      <c r="C930" s="20" t="s">
        <v>3</v>
      </c>
      <c r="D930" s="21"/>
    </row>
    <row r="931" spans="1:4" ht="12.75" customHeight="1" x14ac:dyDescent="0.2">
      <c r="A931" s="21"/>
      <c r="B931" s="3" t="s">
        <v>4</v>
      </c>
      <c r="C931" s="20" t="s">
        <v>292</v>
      </c>
      <c r="D931" s="21"/>
    </row>
    <row r="932" spans="1:4" ht="12.75" customHeight="1" x14ac:dyDescent="0.2">
      <c r="A932" s="21"/>
      <c r="B932" s="3" t="s">
        <v>6</v>
      </c>
      <c r="C932" s="20" t="s">
        <v>155</v>
      </c>
      <c r="D932" s="21"/>
    </row>
    <row r="933" spans="1:4" ht="12.75" customHeight="1" x14ac:dyDescent="0.2">
      <c r="A933" s="21"/>
      <c r="B933" s="3" t="s">
        <v>8</v>
      </c>
      <c r="C933" s="20" t="s">
        <v>292</v>
      </c>
      <c r="D933" s="21"/>
    </row>
    <row r="934" spans="1:4" ht="12.75" customHeight="1" x14ac:dyDescent="0.2">
      <c r="A934" s="21"/>
      <c r="B934" s="3" t="s">
        <v>9</v>
      </c>
      <c r="C934" s="20" t="s">
        <v>42</v>
      </c>
      <c r="D934" s="21"/>
    </row>
    <row r="935" spans="1:4" ht="12.75" customHeight="1" x14ac:dyDescent="0.2">
      <c r="A935" s="21"/>
      <c r="B935" s="3" t="s">
        <v>11</v>
      </c>
      <c r="C935" s="20" t="s">
        <v>116</v>
      </c>
      <c r="D935" s="21"/>
    </row>
    <row r="936" spans="1:4" ht="12.75" customHeight="1" x14ac:dyDescent="0.2">
      <c r="A936" s="21"/>
      <c r="B936" s="3" t="s">
        <v>13</v>
      </c>
      <c r="C936" s="20" t="s">
        <v>24</v>
      </c>
      <c r="D936" s="21"/>
    </row>
    <row r="937" spans="1:4" ht="12.75" customHeight="1" x14ac:dyDescent="0.2">
      <c r="A937" s="21"/>
      <c r="B937" s="3" t="s">
        <v>15</v>
      </c>
      <c r="C937" s="20" t="s">
        <v>24</v>
      </c>
      <c r="D937" s="21"/>
    </row>
    <row r="938" spans="1:4" ht="12.75" customHeight="1" x14ac:dyDescent="0.2">
      <c r="A938" s="21"/>
      <c r="B938" s="3" t="s">
        <v>16</v>
      </c>
      <c r="C938" s="20"/>
      <c r="D938" s="21"/>
    </row>
    <row r="939" spans="1:4" ht="12.75" customHeight="1" x14ac:dyDescent="0.2">
      <c r="A939" s="21"/>
      <c r="B939" s="3" t="s">
        <v>17</v>
      </c>
      <c r="C939" s="20"/>
      <c r="D939" s="21"/>
    </row>
    <row r="940" spans="1:4" ht="12.75" customHeight="1" x14ac:dyDescent="0.2">
      <c r="A940" s="21"/>
      <c r="B940" s="20" t="s">
        <v>18</v>
      </c>
      <c r="C940" s="4" t="s">
        <v>44</v>
      </c>
      <c r="D940" s="6" t="str">
        <f>HYPERLINK("javascript:void(0)","arany bumeráng")</f>
        <v>arany bumeráng</v>
      </c>
    </row>
    <row r="941" spans="1:4" ht="12.75" customHeight="1" x14ac:dyDescent="0.2">
      <c r="A941" s="21"/>
      <c r="B941" s="21"/>
      <c r="C941" s="4" t="s">
        <v>55</v>
      </c>
      <c r="D941" s="6" t="str">
        <f>HYPERLINK("javascript:void(0)","gyémánt")</f>
        <v>gyémánt</v>
      </c>
    </row>
    <row r="942" spans="1:4" ht="12.75" customHeight="1" x14ac:dyDescent="0.2">
      <c r="A942" s="21"/>
      <c r="B942" s="21"/>
      <c r="C942" s="4" t="s">
        <v>67</v>
      </c>
      <c r="D942" s="6" t="str">
        <f>HYPERLINK("javascript:void(0)","démoncsőr")</f>
        <v>démoncsőr</v>
      </c>
    </row>
    <row r="943" spans="1:4" ht="12.75" customHeight="1" x14ac:dyDescent="0.2">
      <c r="A943" s="5"/>
      <c r="B943" s="2"/>
      <c r="C943" s="2"/>
      <c r="D943" s="2"/>
    </row>
    <row r="944" spans="1:4" ht="12.75" customHeight="1" x14ac:dyDescent="0.2">
      <c r="A944" s="22" t="str">
        <f>HYPERLINK("javascript:void(0)","wendír köpőcső")</f>
        <v>wendír köpőcső</v>
      </c>
      <c r="B944" s="21"/>
      <c r="C944" s="21"/>
      <c r="D944" s="21"/>
    </row>
    <row r="945" spans="1:4" ht="12.75" customHeight="1" x14ac:dyDescent="0.2">
      <c r="A945" s="20"/>
      <c r="B945" s="2"/>
      <c r="C945" s="2"/>
      <c r="D945" s="2"/>
    </row>
    <row r="946" spans="1:4" ht="12.75" customHeight="1" x14ac:dyDescent="0.2">
      <c r="A946" s="21"/>
      <c r="B946" s="3" t="s">
        <v>0</v>
      </c>
      <c r="C946" s="20" t="s">
        <v>291</v>
      </c>
      <c r="D946" s="21"/>
    </row>
    <row r="947" spans="1:4" ht="12.75" customHeight="1" x14ac:dyDescent="0.2">
      <c r="A947" s="21"/>
      <c r="B947" s="3" t="s">
        <v>2</v>
      </c>
      <c r="C947" s="20" t="s">
        <v>3</v>
      </c>
      <c r="D947" s="21"/>
    </row>
    <row r="948" spans="1:4" ht="12.75" customHeight="1" x14ac:dyDescent="0.2">
      <c r="A948" s="21"/>
      <c r="B948" s="3" t="s">
        <v>4</v>
      </c>
      <c r="C948" s="20" t="s">
        <v>175</v>
      </c>
      <c r="D948" s="21"/>
    </row>
    <row r="949" spans="1:4" ht="12.75" customHeight="1" x14ac:dyDescent="0.2">
      <c r="A949" s="21"/>
      <c r="B949" s="3" t="s">
        <v>6</v>
      </c>
      <c r="C949" s="20" t="s">
        <v>92</v>
      </c>
      <c r="D949" s="21"/>
    </row>
    <row r="950" spans="1:4" ht="12.75" customHeight="1" x14ac:dyDescent="0.2">
      <c r="A950" s="21"/>
      <c r="B950" s="3" t="s">
        <v>8</v>
      </c>
      <c r="C950" s="20" t="s">
        <v>175</v>
      </c>
      <c r="D950" s="21"/>
    </row>
    <row r="951" spans="1:4" ht="12.75" customHeight="1" x14ac:dyDescent="0.2">
      <c r="A951" s="21"/>
      <c r="B951" s="3" t="s">
        <v>9</v>
      </c>
      <c r="C951" s="20" t="s">
        <v>42</v>
      </c>
      <c r="D951" s="21"/>
    </row>
    <row r="952" spans="1:4" ht="12.75" customHeight="1" x14ac:dyDescent="0.2">
      <c r="A952" s="21"/>
      <c r="B952" s="3" t="s">
        <v>11</v>
      </c>
      <c r="C952" s="20" t="s">
        <v>295</v>
      </c>
      <c r="D952" s="21"/>
    </row>
    <row r="953" spans="1:4" ht="12.75" customHeight="1" x14ac:dyDescent="0.2">
      <c r="A953" s="21"/>
      <c r="B953" s="3" t="s">
        <v>13</v>
      </c>
      <c r="C953" s="20" t="s">
        <v>24</v>
      </c>
      <c r="D953" s="21"/>
    </row>
    <row r="954" spans="1:4" ht="12.75" customHeight="1" x14ac:dyDescent="0.2">
      <c r="A954" s="21"/>
      <c r="B954" s="3" t="s">
        <v>15</v>
      </c>
      <c r="C954" s="20" t="s">
        <v>24</v>
      </c>
      <c r="D954" s="21"/>
    </row>
    <row r="955" spans="1:4" ht="12.75" customHeight="1" x14ac:dyDescent="0.2">
      <c r="A955" s="21"/>
      <c r="B955" s="3" t="s">
        <v>16</v>
      </c>
      <c r="C955" s="20"/>
      <c r="D955" s="21"/>
    </row>
    <row r="956" spans="1:4" ht="12.75" customHeight="1" x14ac:dyDescent="0.2">
      <c r="A956" s="21"/>
      <c r="B956" s="3" t="s">
        <v>17</v>
      </c>
      <c r="C956" s="20"/>
      <c r="D956" s="21"/>
    </row>
    <row r="957" spans="1:4" ht="12.75" customHeight="1" x14ac:dyDescent="0.2">
      <c r="A957" s="21"/>
      <c r="B957" s="20" t="s">
        <v>18</v>
      </c>
      <c r="C957" s="4" t="s">
        <v>296</v>
      </c>
      <c r="D957" s="6" t="str">
        <f>HYPERLINK("javascript:void(0)","képcső")</f>
        <v>képcső</v>
      </c>
    </row>
    <row r="958" spans="1:4" ht="12.75" customHeight="1" x14ac:dyDescent="0.2">
      <c r="A958" s="21"/>
      <c r="B958" s="21"/>
      <c r="C958" s="4" t="s">
        <v>130</v>
      </c>
      <c r="D958" s="6" t="str">
        <f>HYPERLINK("javascript:void(0)","gyémánt")</f>
        <v>gyémánt</v>
      </c>
    </row>
    <row r="959" spans="1:4" ht="12.75" customHeight="1" x14ac:dyDescent="0.2">
      <c r="A959" s="21"/>
      <c r="B959" s="21"/>
      <c r="C959" s="4" t="s">
        <v>67</v>
      </c>
      <c r="D959" s="6" t="str">
        <f>HYPERLINK("javascript:void(0)","hárpia copf")</f>
        <v>hárpia copf</v>
      </c>
    </row>
    <row r="960" spans="1:4" ht="12.75" customHeight="1" x14ac:dyDescent="0.2">
      <c r="A960" s="5"/>
      <c r="B960" s="2"/>
      <c r="C960" s="2"/>
      <c r="D960" s="2"/>
    </row>
    <row r="961" spans="1:4" ht="12.75" customHeight="1" x14ac:dyDescent="0.2">
      <c r="A961" s="22" t="str">
        <f>HYPERLINK("javascript:void(0)","rézfánfütyülő íj")</f>
        <v>rézfánfütyülő íj</v>
      </c>
      <c r="B961" s="21"/>
      <c r="C961" s="21"/>
      <c r="D961" s="21"/>
    </row>
    <row r="962" spans="1:4" ht="12.75" customHeight="1" x14ac:dyDescent="0.2">
      <c r="A962" s="20"/>
      <c r="B962" s="2"/>
      <c r="C962" s="2"/>
      <c r="D962" s="2"/>
    </row>
    <row r="963" spans="1:4" ht="12.75" customHeight="1" x14ac:dyDescent="0.2">
      <c r="A963" s="21"/>
      <c r="B963" s="3" t="s">
        <v>0</v>
      </c>
      <c r="C963" s="20" t="s">
        <v>298</v>
      </c>
      <c r="D963" s="21"/>
    </row>
    <row r="964" spans="1:4" ht="12.75" customHeight="1" x14ac:dyDescent="0.2">
      <c r="A964" s="21"/>
      <c r="B964" s="3" t="s">
        <v>2</v>
      </c>
      <c r="C964" s="20" t="s">
        <v>3</v>
      </c>
      <c r="D964" s="21"/>
    </row>
    <row r="965" spans="1:4" ht="12.75" customHeight="1" x14ac:dyDescent="0.2">
      <c r="A965" s="21"/>
      <c r="B965" s="3" t="s">
        <v>4</v>
      </c>
      <c r="C965" s="20" t="s">
        <v>299</v>
      </c>
      <c r="D965" s="21"/>
    </row>
    <row r="966" spans="1:4" ht="12.75" customHeight="1" x14ac:dyDescent="0.2">
      <c r="A966" s="21"/>
      <c r="B966" s="3" t="s">
        <v>6</v>
      </c>
      <c r="C966" s="20" t="s">
        <v>38</v>
      </c>
      <c r="D966" s="21"/>
    </row>
    <row r="967" spans="1:4" ht="12.75" customHeight="1" x14ac:dyDescent="0.2">
      <c r="A967" s="21"/>
      <c r="B967" s="3" t="s">
        <v>8</v>
      </c>
      <c r="C967" s="20" t="s">
        <v>299</v>
      </c>
      <c r="D967" s="21"/>
    </row>
    <row r="968" spans="1:4" ht="12.75" customHeight="1" x14ac:dyDescent="0.2">
      <c r="A968" s="21"/>
      <c r="B968" s="3" t="s">
        <v>9</v>
      </c>
      <c r="C968" s="20" t="s">
        <v>300</v>
      </c>
      <c r="D968" s="21"/>
    </row>
    <row r="969" spans="1:4" ht="12.75" customHeight="1" x14ac:dyDescent="0.2">
      <c r="A969" s="21"/>
      <c r="B969" s="3" t="s">
        <v>11</v>
      </c>
      <c r="C969" s="20" t="s">
        <v>301</v>
      </c>
      <c r="D969" s="21"/>
    </row>
    <row r="970" spans="1:4" ht="12.75" customHeight="1" x14ac:dyDescent="0.2">
      <c r="A970" s="21"/>
      <c r="B970" s="3" t="s">
        <v>13</v>
      </c>
      <c r="C970" s="20" t="s">
        <v>24</v>
      </c>
      <c r="D970" s="21"/>
    </row>
    <row r="971" spans="1:4" ht="12.75" customHeight="1" x14ac:dyDescent="0.2">
      <c r="A971" s="21"/>
      <c r="B971" s="3" t="s">
        <v>15</v>
      </c>
      <c r="C971" s="20" t="s">
        <v>24</v>
      </c>
      <c r="D971" s="21"/>
    </row>
    <row r="972" spans="1:4" ht="12.75" customHeight="1" x14ac:dyDescent="0.2">
      <c r="A972" s="21"/>
      <c r="B972" s="3" t="s">
        <v>16</v>
      </c>
      <c r="C972" s="20"/>
      <c r="D972" s="21"/>
    </row>
    <row r="973" spans="1:4" ht="12.75" customHeight="1" x14ac:dyDescent="0.2">
      <c r="A973" s="21"/>
      <c r="B973" s="3" t="s">
        <v>17</v>
      </c>
      <c r="C973" s="20"/>
      <c r="D973" s="21"/>
    </row>
    <row r="974" spans="1:4" ht="12.75" customHeight="1" x14ac:dyDescent="0.2">
      <c r="A974" s="21"/>
      <c r="B974" s="20" t="s">
        <v>18</v>
      </c>
      <c r="C974" s="4" t="s">
        <v>56</v>
      </c>
      <c r="D974" s="6" t="str">
        <f>HYPERLINK("javascript:void(0)","hiper bűzíj")</f>
        <v>hiper bűzíj</v>
      </c>
    </row>
    <row r="975" spans="1:4" ht="12.75" customHeight="1" x14ac:dyDescent="0.2">
      <c r="A975" s="21"/>
      <c r="B975" s="21"/>
      <c r="C975" s="4" t="s">
        <v>280</v>
      </c>
      <c r="D975" s="6" t="str">
        <f>HYPERLINK("javascript:void(0)","rézérc")</f>
        <v>rézérc</v>
      </c>
    </row>
    <row r="976" spans="1:4" ht="12.75" customHeight="1" x14ac:dyDescent="0.2">
      <c r="A976" s="21"/>
      <c r="B976" s="21"/>
      <c r="C976" s="4" t="s">
        <v>57</v>
      </c>
      <c r="D976" s="6" t="str">
        <f>HYPERLINK("javascript:void(0)","centrolium")</f>
        <v>centrolium</v>
      </c>
    </row>
    <row r="977" spans="1:4" ht="12.75" customHeight="1" x14ac:dyDescent="0.2">
      <c r="A977" s="5"/>
      <c r="B977" s="2"/>
      <c r="C977" s="2"/>
      <c r="D977" s="2"/>
    </row>
    <row r="978" spans="1:4" ht="12.75" customHeight="1" x14ac:dyDescent="0.2">
      <c r="A978" s="22" t="str">
        <f>HYPERLINK("javascript:void(0)","artini köpőcső")</f>
        <v>artini köpőcső</v>
      </c>
      <c r="B978" s="21"/>
      <c r="C978" s="21"/>
      <c r="D978" s="21"/>
    </row>
    <row r="979" spans="1:4" ht="12.75" customHeight="1" x14ac:dyDescent="0.2">
      <c r="A979" s="20"/>
      <c r="B979" s="2"/>
      <c r="C979" s="2"/>
      <c r="D979" s="2"/>
    </row>
    <row r="980" spans="1:4" ht="12.75" customHeight="1" x14ac:dyDescent="0.2">
      <c r="A980" s="21"/>
      <c r="B980" s="3" t="s">
        <v>0</v>
      </c>
      <c r="C980" s="20" t="s">
        <v>298</v>
      </c>
      <c r="D980" s="21"/>
    </row>
    <row r="981" spans="1:4" ht="12.75" customHeight="1" x14ac:dyDescent="0.2">
      <c r="A981" s="21"/>
      <c r="B981" s="3" t="s">
        <v>2</v>
      </c>
      <c r="C981" s="20" t="s">
        <v>3</v>
      </c>
      <c r="D981" s="21"/>
    </row>
    <row r="982" spans="1:4" ht="12.75" customHeight="1" x14ac:dyDescent="0.2">
      <c r="A982" s="21"/>
      <c r="B982" s="3" t="s">
        <v>4</v>
      </c>
      <c r="C982" s="20" t="s">
        <v>304</v>
      </c>
      <c r="D982" s="21"/>
    </row>
    <row r="983" spans="1:4" ht="12.75" customHeight="1" x14ac:dyDescent="0.2">
      <c r="A983" s="21"/>
      <c r="B983" s="3" t="s">
        <v>6</v>
      </c>
      <c r="C983" s="20" t="s">
        <v>92</v>
      </c>
      <c r="D983" s="21"/>
    </row>
    <row r="984" spans="1:4" ht="12.75" customHeight="1" x14ac:dyDescent="0.2">
      <c r="A984" s="21"/>
      <c r="B984" s="3" t="s">
        <v>8</v>
      </c>
      <c r="C984" s="20" t="s">
        <v>304</v>
      </c>
      <c r="D984" s="21"/>
    </row>
    <row r="985" spans="1:4" ht="12.75" customHeight="1" x14ac:dyDescent="0.2">
      <c r="A985" s="21"/>
      <c r="B985" s="3" t="s">
        <v>9</v>
      </c>
      <c r="C985" s="20" t="s">
        <v>42</v>
      </c>
      <c r="D985" s="21"/>
    </row>
    <row r="986" spans="1:4" ht="12.75" customHeight="1" x14ac:dyDescent="0.2">
      <c r="A986" s="21"/>
      <c r="B986" s="3" t="s">
        <v>11</v>
      </c>
      <c r="C986" s="20" t="s">
        <v>307</v>
      </c>
      <c r="D986" s="21"/>
    </row>
    <row r="987" spans="1:4" ht="12.75" customHeight="1" x14ac:dyDescent="0.2">
      <c r="A987" s="21"/>
      <c r="B987" s="3" t="s">
        <v>13</v>
      </c>
      <c r="C987" s="20" t="s">
        <v>24</v>
      </c>
      <c r="D987" s="21"/>
    </row>
    <row r="988" spans="1:4" ht="12.75" customHeight="1" x14ac:dyDescent="0.2">
      <c r="A988" s="21"/>
      <c r="B988" s="3" t="s">
        <v>15</v>
      </c>
      <c r="C988" s="20" t="s">
        <v>24</v>
      </c>
      <c r="D988" s="21"/>
    </row>
    <row r="989" spans="1:4" ht="12.75" customHeight="1" x14ac:dyDescent="0.2">
      <c r="A989" s="21"/>
      <c r="B989" s="3" t="s">
        <v>16</v>
      </c>
      <c r="C989" s="20"/>
      <c r="D989" s="21"/>
    </row>
    <row r="990" spans="1:4" ht="12.75" customHeight="1" x14ac:dyDescent="0.2">
      <c r="A990" s="21"/>
      <c r="B990" s="3" t="s">
        <v>17</v>
      </c>
      <c r="C990" s="20"/>
      <c r="D990" s="21"/>
    </row>
    <row r="991" spans="1:4" ht="12.75" customHeight="1" x14ac:dyDescent="0.2">
      <c r="A991" s="21"/>
      <c r="B991" s="20" t="s">
        <v>18</v>
      </c>
      <c r="C991" s="4" t="s">
        <v>265</v>
      </c>
      <c r="D991" s="6" t="str">
        <f>HYPERLINK("javascript:void(0)","képcső")</f>
        <v>képcső</v>
      </c>
    </row>
    <row r="992" spans="1:4" ht="12.75" customHeight="1" x14ac:dyDescent="0.2">
      <c r="A992" s="21"/>
      <c r="B992" s="21"/>
      <c r="C992" s="4" t="s">
        <v>282</v>
      </c>
      <c r="D992" s="6" t="str">
        <f>HYPERLINK("javascript:void(0)","gyémánt")</f>
        <v>gyémánt</v>
      </c>
    </row>
    <row r="993" spans="1:4" ht="12.75" customHeight="1" x14ac:dyDescent="0.2">
      <c r="A993" s="21"/>
      <c r="B993" s="21"/>
      <c r="C993" s="4" t="s">
        <v>309</v>
      </c>
      <c r="D993" s="6" t="str">
        <f>HYPERLINK("javascript:void(0)","portgyűrű")</f>
        <v>portgyűrű</v>
      </c>
    </row>
    <row r="994" spans="1:4" ht="12.75" customHeight="1" x14ac:dyDescent="0.2">
      <c r="A994" s="5"/>
      <c r="B994" s="2"/>
      <c r="C994" s="2"/>
      <c r="D994" s="2"/>
    </row>
    <row r="995" spans="1:4" ht="12.75" customHeight="1" x14ac:dyDescent="0.2">
      <c r="A995" s="22" t="str">
        <f>HYPERLINK("javascript:void(0)","aranyfánfütyülő íj")</f>
        <v>aranyfánfütyülő íj</v>
      </c>
      <c r="B995" s="21"/>
      <c r="C995" s="21"/>
      <c r="D995" s="21"/>
    </row>
    <row r="996" spans="1:4" ht="12.75" customHeight="1" x14ac:dyDescent="0.2">
      <c r="A996" s="20"/>
      <c r="B996" s="2"/>
      <c r="C996" s="2"/>
      <c r="D996" s="2"/>
    </row>
    <row r="997" spans="1:4" ht="12.75" customHeight="1" x14ac:dyDescent="0.2">
      <c r="A997" s="21"/>
      <c r="B997" s="3" t="s">
        <v>0</v>
      </c>
      <c r="C997" s="20" t="s">
        <v>187</v>
      </c>
      <c r="D997" s="21"/>
    </row>
    <row r="998" spans="1:4" ht="12.75" customHeight="1" x14ac:dyDescent="0.2">
      <c r="A998" s="21"/>
      <c r="B998" s="3" t="s">
        <v>2</v>
      </c>
      <c r="C998" s="20" t="s">
        <v>3</v>
      </c>
      <c r="D998" s="21"/>
    </row>
    <row r="999" spans="1:4" ht="12.75" customHeight="1" x14ac:dyDescent="0.2">
      <c r="A999" s="21"/>
      <c r="B999" s="3" t="s">
        <v>4</v>
      </c>
      <c r="C999" s="20" t="s">
        <v>311</v>
      </c>
      <c r="D999" s="21"/>
    </row>
    <row r="1000" spans="1:4" ht="12.75" customHeight="1" x14ac:dyDescent="0.2">
      <c r="A1000" s="21"/>
      <c r="B1000" s="3" t="s">
        <v>6</v>
      </c>
      <c r="C1000" s="20" t="s">
        <v>88</v>
      </c>
      <c r="D1000" s="21"/>
    </row>
    <row r="1001" spans="1:4" ht="12.75" customHeight="1" x14ac:dyDescent="0.2">
      <c r="A1001" s="21"/>
      <c r="B1001" s="3" t="s">
        <v>8</v>
      </c>
      <c r="C1001" s="20" t="s">
        <v>311</v>
      </c>
      <c r="D1001" s="21"/>
    </row>
    <row r="1002" spans="1:4" ht="12.75" customHeight="1" x14ac:dyDescent="0.2">
      <c r="A1002" s="21"/>
      <c r="B1002" s="3" t="s">
        <v>9</v>
      </c>
      <c r="C1002" s="20" t="s">
        <v>300</v>
      </c>
      <c r="D1002" s="21"/>
    </row>
    <row r="1003" spans="1:4" ht="12.75" customHeight="1" x14ac:dyDescent="0.2">
      <c r="A1003" s="21"/>
      <c r="B1003" s="3" t="s">
        <v>11</v>
      </c>
      <c r="C1003" s="20" t="s">
        <v>313</v>
      </c>
      <c r="D1003" s="21"/>
    </row>
    <row r="1004" spans="1:4" ht="12.75" customHeight="1" x14ac:dyDescent="0.2">
      <c r="A1004" s="21"/>
      <c r="B1004" s="3" t="s">
        <v>13</v>
      </c>
      <c r="C1004" s="20" t="s">
        <v>24</v>
      </c>
      <c r="D1004" s="21"/>
    </row>
    <row r="1005" spans="1:4" ht="12.75" customHeight="1" x14ac:dyDescent="0.2">
      <c r="A1005" s="21"/>
      <c r="B1005" s="3" t="s">
        <v>15</v>
      </c>
      <c r="C1005" s="20" t="s">
        <v>24</v>
      </c>
      <c r="D1005" s="21"/>
    </row>
    <row r="1006" spans="1:4" ht="12.75" customHeight="1" x14ac:dyDescent="0.2">
      <c r="A1006" s="21"/>
      <c r="B1006" s="3" t="s">
        <v>16</v>
      </c>
      <c r="C1006" s="20"/>
      <c r="D1006" s="21"/>
    </row>
    <row r="1007" spans="1:4" ht="12.75" customHeight="1" x14ac:dyDescent="0.2">
      <c r="A1007" s="21"/>
      <c r="B1007" s="3" t="s">
        <v>17</v>
      </c>
      <c r="C1007" s="20"/>
      <c r="D1007" s="21"/>
    </row>
    <row r="1008" spans="1:4" ht="12.75" customHeight="1" x14ac:dyDescent="0.2">
      <c r="A1008" s="21"/>
      <c r="B1008" s="20" t="s">
        <v>18</v>
      </c>
      <c r="C1008" s="4" t="s">
        <v>44</v>
      </c>
      <c r="D1008" s="6" t="str">
        <f>HYPERLINK("javascript:void(0)","rézfánfütyülő íj")</f>
        <v>rézfánfütyülő íj</v>
      </c>
    </row>
    <row r="1009" spans="1:4" ht="12.75" customHeight="1" x14ac:dyDescent="0.2">
      <c r="A1009" s="21"/>
      <c r="B1009" s="21"/>
      <c r="C1009" s="4" t="s">
        <v>45</v>
      </c>
      <c r="D1009" s="6" t="str">
        <f>HYPERLINK("javascript:void(0)","arany")</f>
        <v>arany</v>
      </c>
    </row>
    <row r="1010" spans="1:4" ht="12.75" customHeight="1" x14ac:dyDescent="0.2">
      <c r="A1010" s="21"/>
      <c r="B1010" s="21"/>
      <c r="C1010" s="4" t="s">
        <v>55</v>
      </c>
      <c r="D1010" s="6" t="str">
        <f>HYPERLINK("javascript:void(0)","hiperium")</f>
        <v>hiperium</v>
      </c>
    </row>
    <row r="1011" spans="1:4" ht="12.75" customHeight="1" x14ac:dyDescent="0.2">
      <c r="A1011" s="5"/>
      <c r="B1011" s="2"/>
      <c r="C1011" s="2"/>
      <c r="D1011" s="2"/>
    </row>
    <row r="1012" spans="1:4" ht="12.75" customHeight="1" x14ac:dyDescent="0.2">
      <c r="A1012" s="22" t="str">
        <f>HYPERLINK("javascript:void(0)","thordi köpőcső")</f>
        <v>thordi köpőcső</v>
      </c>
      <c r="B1012" s="21"/>
      <c r="C1012" s="21"/>
      <c r="D1012" s="21"/>
    </row>
    <row r="1013" spans="1:4" ht="12.75" customHeight="1" x14ac:dyDescent="0.2">
      <c r="A1013" s="20"/>
      <c r="B1013" s="2"/>
      <c r="C1013" s="2"/>
      <c r="D1013" s="2"/>
    </row>
    <row r="1014" spans="1:4" ht="12.75" customHeight="1" x14ac:dyDescent="0.2">
      <c r="A1014" s="21"/>
      <c r="B1014" s="3" t="s">
        <v>0</v>
      </c>
      <c r="C1014" s="20" t="s">
        <v>187</v>
      </c>
      <c r="D1014" s="21"/>
    </row>
    <row r="1015" spans="1:4" ht="12.75" customHeight="1" x14ac:dyDescent="0.2">
      <c r="A1015" s="21"/>
      <c r="B1015" s="3" t="s">
        <v>2</v>
      </c>
      <c r="C1015" s="20" t="s">
        <v>3</v>
      </c>
      <c r="D1015" s="21"/>
    </row>
    <row r="1016" spans="1:4" ht="12.75" customHeight="1" x14ac:dyDescent="0.2">
      <c r="A1016" s="21"/>
      <c r="B1016" s="3" t="s">
        <v>4</v>
      </c>
      <c r="C1016" s="20" t="s">
        <v>197</v>
      </c>
      <c r="D1016" s="21"/>
    </row>
    <row r="1017" spans="1:4" ht="12.75" customHeight="1" x14ac:dyDescent="0.2">
      <c r="A1017" s="21"/>
      <c r="B1017" s="3" t="s">
        <v>6</v>
      </c>
      <c r="C1017" s="20" t="s">
        <v>92</v>
      </c>
      <c r="D1017" s="21"/>
    </row>
    <row r="1018" spans="1:4" ht="12.75" customHeight="1" x14ac:dyDescent="0.2">
      <c r="A1018" s="21"/>
      <c r="B1018" s="3" t="s">
        <v>8</v>
      </c>
      <c r="C1018" s="20" t="s">
        <v>197</v>
      </c>
      <c r="D1018" s="21"/>
    </row>
    <row r="1019" spans="1:4" ht="12.75" customHeight="1" x14ac:dyDescent="0.2">
      <c r="A1019" s="21"/>
      <c r="B1019" s="3" t="s">
        <v>9</v>
      </c>
      <c r="C1019" s="20" t="s">
        <v>42</v>
      </c>
      <c r="D1019" s="21"/>
    </row>
    <row r="1020" spans="1:4" ht="12.75" customHeight="1" x14ac:dyDescent="0.2">
      <c r="A1020" s="21"/>
      <c r="B1020" s="3" t="s">
        <v>11</v>
      </c>
      <c r="C1020" s="20" t="s">
        <v>315</v>
      </c>
      <c r="D1020" s="21"/>
    </row>
    <row r="1021" spans="1:4" ht="12.75" customHeight="1" x14ac:dyDescent="0.2">
      <c r="A1021" s="21"/>
      <c r="B1021" s="3" t="s">
        <v>13</v>
      </c>
      <c r="C1021" s="20" t="s">
        <v>24</v>
      </c>
      <c r="D1021" s="21"/>
    </row>
    <row r="1022" spans="1:4" ht="12.75" customHeight="1" x14ac:dyDescent="0.2">
      <c r="A1022" s="21"/>
      <c r="B1022" s="3" t="s">
        <v>15</v>
      </c>
      <c r="C1022" s="20" t="s">
        <v>24</v>
      </c>
      <c r="D1022" s="21"/>
    </row>
    <row r="1023" spans="1:4" ht="12.75" customHeight="1" x14ac:dyDescent="0.2">
      <c r="A1023" s="21"/>
      <c r="B1023" s="3" t="s">
        <v>16</v>
      </c>
      <c r="C1023" s="20"/>
      <c r="D1023" s="21"/>
    </row>
    <row r="1024" spans="1:4" ht="12.75" customHeight="1" x14ac:dyDescent="0.2">
      <c r="A1024" s="21"/>
      <c r="B1024" s="3" t="s">
        <v>17</v>
      </c>
      <c r="C1024" s="20"/>
      <c r="D1024" s="21"/>
    </row>
    <row r="1025" spans="1:4" ht="12.75" customHeight="1" x14ac:dyDescent="0.2">
      <c r="A1025" s="21"/>
      <c r="B1025" s="20" t="s">
        <v>18</v>
      </c>
      <c r="C1025" s="4" t="s">
        <v>316</v>
      </c>
      <c r="D1025" s="6" t="str">
        <f>HYPERLINK("javascript:void(0)","képcső")</f>
        <v>képcső</v>
      </c>
    </row>
    <row r="1026" spans="1:4" ht="12.75" customHeight="1" x14ac:dyDescent="0.2">
      <c r="A1026" s="21"/>
      <c r="B1026" s="21"/>
      <c r="C1026" s="4" t="s">
        <v>55</v>
      </c>
      <c r="D1026" s="6" t="str">
        <f>HYPERLINK("javascript:void(0)","istenköröm")</f>
        <v>istenköröm</v>
      </c>
    </row>
    <row r="1027" spans="1:4" ht="12.75" customHeight="1" x14ac:dyDescent="0.2">
      <c r="A1027" s="21"/>
      <c r="B1027" s="21"/>
      <c r="C1027" s="4" t="s">
        <v>117</v>
      </c>
      <c r="D1027" s="6" t="str">
        <f>HYPERLINK("javascript:void(0)","malacorr")</f>
        <v>malacorr</v>
      </c>
    </row>
    <row r="1028" spans="1:4" ht="12.75" customHeight="1" x14ac:dyDescent="0.2">
      <c r="A1028" s="5"/>
      <c r="B1028" s="2"/>
      <c r="C1028" s="2"/>
      <c r="D1028" s="2"/>
    </row>
    <row r="1029" spans="1:4" ht="12.75" customHeight="1" x14ac:dyDescent="0.2">
      <c r="A1029" s="22" t="str">
        <f>HYPERLINK("javascript:void(0)","isten nyila")</f>
        <v>isten nyila</v>
      </c>
      <c r="B1029" s="21"/>
      <c r="C1029" s="21"/>
      <c r="D1029" s="21"/>
    </row>
    <row r="1030" spans="1:4" ht="12.75" customHeight="1" x14ac:dyDescent="0.2">
      <c r="A1030" s="20"/>
      <c r="B1030" s="2"/>
      <c r="C1030" s="2"/>
      <c r="D1030" s="2"/>
    </row>
    <row r="1031" spans="1:4" ht="12.75" customHeight="1" x14ac:dyDescent="0.2">
      <c r="A1031" s="21"/>
      <c r="B1031" s="3" t="s">
        <v>0</v>
      </c>
      <c r="C1031" s="20" t="s">
        <v>107</v>
      </c>
      <c r="D1031" s="21"/>
    </row>
    <row r="1032" spans="1:4" ht="12.75" customHeight="1" x14ac:dyDescent="0.2">
      <c r="A1032" s="21"/>
      <c r="B1032" s="3" t="s">
        <v>2</v>
      </c>
      <c r="C1032" s="20" t="s">
        <v>3</v>
      </c>
      <c r="D1032" s="21"/>
    </row>
    <row r="1033" spans="1:4" ht="12.75" customHeight="1" x14ac:dyDescent="0.2">
      <c r="A1033" s="21"/>
      <c r="B1033" s="3" t="s">
        <v>4</v>
      </c>
      <c r="C1033" s="20" t="s">
        <v>318</v>
      </c>
      <c r="D1033" s="21"/>
    </row>
    <row r="1034" spans="1:4" ht="12.75" customHeight="1" x14ac:dyDescent="0.2">
      <c r="A1034" s="21"/>
      <c r="B1034" s="3" t="s">
        <v>6</v>
      </c>
      <c r="C1034" s="20" t="s">
        <v>92</v>
      </c>
      <c r="D1034" s="21"/>
    </row>
    <row r="1035" spans="1:4" ht="12.75" customHeight="1" x14ac:dyDescent="0.2">
      <c r="A1035" s="21"/>
      <c r="B1035" s="3" t="s">
        <v>8</v>
      </c>
      <c r="C1035" s="20" t="s">
        <v>318</v>
      </c>
      <c r="D1035" s="21"/>
    </row>
    <row r="1036" spans="1:4" ht="12.75" customHeight="1" x14ac:dyDescent="0.2">
      <c r="A1036" s="21"/>
      <c r="B1036" s="3" t="s">
        <v>9</v>
      </c>
      <c r="C1036" s="20" t="s">
        <v>42</v>
      </c>
      <c r="D1036" s="21"/>
    </row>
    <row r="1037" spans="1:4" ht="12.75" customHeight="1" x14ac:dyDescent="0.2">
      <c r="A1037" s="21"/>
      <c r="B1037" s="3" t="s">
        <v>11</v>
      </c>
      <c r="C1037" s="20" t="s">
        <v>152</v>
      </c>
      <c r="D1037" s="21"/>
    </row>
    <row r="1038" spans="1:4" ht="12.75" customHeight="1" x14ac:dyDescent="0.2">
      <c r="A1038" s="21"/>
      <c r="B1038" s="3" t="s">
        <v>13</v>
      </c>
      <c r="C1038" s="20" t="s">
        <v>24</v>
      </c>
      <c r="D1038" s="21"/>
    </row>
    <row r="1039" spans="1:4" ht="12.75" customHeight="1" x14ac:dyDescent="0.2">
      <c r="A1039" s="21"/>
      <c r="B1039" s="3" t="s">
        <v>15</v>
      </c>
      <c r="C1039" s="20" t="s">
        <v>24</v>
      </c>
      <c r="D1039" s="21"/>
    </row>
    <row r="1040" spans="1:4" ht="12.75" customHeight="1" x14ac:dyDescent="0.2">
      <c r="A1040" s="21"/>
      <c r="B1040" s="3" t="s">
        <v>16</v>
      </c>
      <c r="C1040" s="20"/>
      <c r="D1040" s="21"/>
    </row>
    <row r="1041" spans="1:4" ht="12.75" customHeight="1" x14ac:dyDescent="0.2">
      <c r="A1041" s="21"/>
      <c r="B1041" s="3" t="s">
        <v>17</v>
      </c>
      <c r="C1041" s="20"/>
      <c r="D1041" s="21"/>
    </row>
    <row r="1042" spans="1:4" ht="12.75" customHeight="1" x14ac:dyDescent="0.2">
      <c r="A1042" s="21"/>
      <c r="B1042" s="20" t="s">
        <v>18</v>
      </c>
      <c r="C1042" s="4" t="s">
        <v>44</v>
      </c>
      <c r="D1042" s="6" t="str">
        <f>HYPERLINK("javascript:void(0)","aranyfánfütyülő íj")</f>
        <v>aranyfánfütyülő íj</v>
      </c>
    </row>
    <row r="1043" spans="1:4" ht="12.75" customHeight="1" x14ac:dyDescent="0.2">
      <c r="A1043" s="21"/>
      <c r="B1043" s="21"/>
      <c r="C1043" s="4" t="s">
        <v>67</v>
      </c>
      <c r="D1043" s="6" t="str">
        <f>HYPERLINK("javascript:void(0)","idegen szerkentyű")</f>
        <v>idegen szerkentyű</v>
      </c>
    </row>
    <row r="1044" spans="1:4" ht="12.75" customHeight="1" x14ac:dyDescent="0.2">
      <c r="A1044" s="21"/>
      <c r="B1044" s="21"/>
      <c r="C1044" s="4" t="s">
        <v>228</v>
      </c>
      <c r="D1044" s="6" t="str">
        <f>HYPERLINK("javascript:void(0)","idegen bizgentyű")</f>
        <v>idegen bizgentyű</v>
      </c>
    </row>
    <row r="1045" spans="1:4" ht="12.75" customHeight="1" x14ac:dyDescent="0.2">
      <c r="A1045" s="5"/>
      <c r="B1045" s="2"/>
      <c r="C1045" s="2"/>
      <c r="D1045" s="2"/>
    </row>
    <row r="1046" spans="1:4" ht="12.75" customHeight="1" x14ac:dyDescent="0.2">
      <c r="A1046" s="22" t="str">
        <f>HYPERLINK("javascript:void(0)","smaragd átokszóró")</f>
        <v>smaragd átokszóró</v>
      </c>
      <c r="B1046" s="21"/>
      <c r="C1046" s="21"/>
      <c r="D1046" s="21"/>
    </row>
    <row r="1047" spans="1:4" ht="12.75" customHeight="1" x14ac:dyDescent="0.2">
      <c r="A1047" s="20"/>
      <c r="B1047" s="2"/>
      <c r="C1047" s="2"/>
      <c r="D1047" s="2"/>
    </row>
    <row r="1048" spans="1:4" ht="12.75" customHeight="1" x14ac:dyDescent="0.2">
      <c r="A1048" s="21"/>
      <c r="B1048" s="3" t="s">
        <v>0</v>
      </c>
      <c r="C1048" s="20" t="s">
        <v>107</v>
      </c>
      <c r="D1048" s="21"/>
    </row>
    <row r="1049" spans="1:4" ht="12.75" customHeight="1" x14ac:dyDescent="0.2">
      <c r="A1049" s="21"/>
      <c r="B1049" s="3" t="s">
        <v>2</v>
      </c>
      <c r="C1049" s="20" t="s">
        <v>3</v>
      </c>
      <c r="D1049" s="21"/>
    </row>
    <row r="1050" spans="1:4" ht="12.75" customHeight="1" x14ac:dyDescent="0.2">
      <c r="A1050" s="21"/>
      <c r="B1050" s="3" t="s">
        <v>4</v>
      </c>
      <c r="C1050" s="20" t="s">
        <v>320</v>
      </c>
      <c r="D1050" s="21"/>
    </row>
    <row r="1051" spans="1:4" ht="12.75" customHeight="1" x14ac:dyDescent="0.2">
      <c r="A1051" s="21"/>
      <c r="B1051" s="3" t="s">
        <v>6</v>
      </c>
      <c r="C1051" s="20" t="s">
        <v>65</v>
      </c>
      <c r="D1051" s="21"/>
    </row>
    <row r="1052" spans="1:4" ht="12.75" customHeight="1" x14ac:dyDescent="0.2">
      <c r="A1052" s="21"/>
      <c r="B1052" s="3" t="s">
        <v>8</v>
      </c>
      <c r="C1052" s="20" t="s">
        <v>320</v>
      </c>
      <c r="D1052" s="21"/>
    </row>
    <row r="1053" spans="1:4" ht="12.75" customHeight="1" x14ac:dyDescent="0.2">
      <c r="A1053" s="21"/>
      <c r="B1053" s="3" t="s">
        <v>9</v>
      </c>
      <c r="C1053" s="20" t="s">
        <v>42</v>
      </c>
      <c r="D1053" s="21"/>
    </row>
    <row r="1054" spans="1:4" ht="12.75" customHeight="1" x14ac:dyDescent="0.2">
      <c r="A1054" s="21"/>
      <c r="B1054" s="3" t="s">
        <v>11</v>
      </c>
      <c r="C1054" s="20" t="s">
        <v>321</v>
      </c>
      <c r="D1054" s="21"/>
    </row>
    <row r="1055" spans="1:4" ht="12.75" customHeight="1" x14ac:dyDescent="0.2">
      <c r="A1055" s="21"/>
      <c r="B1055" s="3" t="s">
        <v>13</v>
      </c>
      <c r="C1055" s="20" t="s">
        <v>24</v>
      </c>
      <c r="D1055" s="21"/>
    </row>
    <row r="1056" spans="1:4" ht="12.75" customHeight="1" x14ac:dyDescent="0.2">
      <c r="A1056" s="21"/>
      <c r="B1056" s="3" t="s">
        <v>15</v>
      </c>
      <c r="C1056" s="20" t="s">
        <v>24</v>
      </c>
      <c r="D1056" s="21"/>
    </row>
    <row r="1057" spans="1:4" ht="12.75" customHeight="1" x14ac:dyDescent="0.2">
      <c r="A1057" s="21"/>
      <c r="B1057" s="3" t="s">
        <v>16</v>
      </c>
      <c r="C1057" s="20"/>
      <c r="D1057" s="21"/>
    </row>
    <row r="1058" spans="1:4" ht="12.75" customHeight="1" x14ac:dyDescent="0.2">
      <c r="A1058" s="21"/>
      <c r="B1058" s="3" t="s">
        <v>17</v>
      </c>
      <c r="C1058" s="20"/>
      <c r="D1058" s="21"/>
    </row>
    <row r="1059" spans="1:4" ht="12.75" customHeight="1" x14ac:dyDescent="0.2">
      <c r="A1059" s="21"/>
      <c r="B1059" s="20" t="s">
        <v>18</v>
      </c>
      <c r="C1059" s="4" t="s">
        <v>67</v>
      </c>
      <c r="D1059" s="6" t="str">
        <f>HYPERLINK("javascript:void(0)","nekroige")</f>
        <v>nekroige</v>
      </c>
    </row>
    <row r="1060" spans="1:4" ht="12.75" customHeight="1" x14ac:dyDescent="0.2">
      <c r="A1060" s="21"/>
      <c r="B1060" s="21"/>
      <c r="C1060" s="4" t="s">
        <v>323</v>
      </c>
      <c r="D1060" s="6" t="str">
        <f>HYPERLINK("javascript:void(0)","smaragd")</f>
        <v>smaragd</v>
      </c>
    </row>
    <row r="1061" spans="1:4" ht="12.75" customHeight="1" x14ac:dyDescent="0.2">
      <c r="A1061" s="21"/>
      <c r="B1061" s="21"/>
      <c r="C1061" s="4" t="s">
        <v>244</v>
      </c>
      <c r="D1061" s="6" t="str">
        <f>HYPERLINK("javascript:void(0)","manókoponya")</f>
        <v>manókoponya</v>
      </c>
    </row>
    <row r="1062" spans="1:4" ht="12.75" customHeight="1" x14ac:dyDescent="0.2">
      <c r="A1062" s="5"/>
      <c r="B1062" s="2"/>
      <c r="C1062" s="2"/>
      <c r="D1062" s="2"/>
    </row>
    <row r="1063" spans="1:4" ht="12.75" customHeight="1" x14ac:dyDescent="0.2">
      <c r="A1063" s="22" t="str">
        <f>HYPERLINK("javascript:void(0)","smaragd gránitvető")</f>
        <v>smaragd gránitvető</v>
      </c>
      <c r="B1063" s="21"/>
      <c r="C1063" s="21"/>
      <c r="D1063" s="21"/>
    </row>
    <row r="1064" spans="1:4" ht="12.75" customHeight="1" x14ac:dyDescent="0.2">
      <c r="A1064" s="20"/>
      <c r="B1064" s="2"/>
      <c r="C1064" s="2"/>
      <c r="D1064" s="2"/>
    </row>
    <row r="1065" spans="1:4" ht="12.75" customHeight="1" x14ac:dyDescent="0.2">
      <c r="A1065" s="21"/>
      <c r="B1065" s="3" t="s">
        <v>0</v>
      </c>
      <c r="C1065" s="20" t="s">
        <v>324</v>
      </c>
      <c r="D1065" s="21"/>
    </row>
    <row r="1066" spans="1:4" ht="12.75" customHeight="1" x14ac:dyDescent="0.2">
      <c r="A1066" s="21"/>
      <c r="B1066" s="3" t="s">
        <v>2</v>
      </c>
      <c r="C1066" s="20" t="s">
        <v>3</v>
      </c>
      <c r="D1066" s="21"/>
    </row>
    <row r="1067" spans="1:4" ht="12.75" customHeight="1" x14ac:dyDescent="0.2">
      <c r="A1067" s="21"/>
      <c r="B1067" s="3" t="s">
        <v>4</v>
      </c>
      <c r="C1067" s="20" t="s">
        <v>325</v>
      </c>
      <c r="D1067" s="21"/>
    </row>
    <row r="1068" spans="1:4" ht="12.75" customHeight="1" x14ac:dyDescent="0.2">
      <c r="A1068" s="21"/>
      <c r="B1068" s="3" t="s">
        <v>6</v>
      </c>
      <c r="C1068" s="20" t="s">
        <v>86</v>
      </c>
      <c r="D1068" s="21"/>
    </row>
    <row r="1069" spans="1:4" ht="12.75" customHeight="1" x14ac:dyDescent="0.2">
      <c r="A1069" s="21"/>
      <c r="B1069" s="3" t="s">
        <v>8</v>
      </c>
      <c r="C1069" s="20" t="s">
        <v>325</v>
      </c>
      <c r="D1069" s="21"/>
    </row>
    <row r="1070" spans="1:4" ht="12.75" customHeight="1" x14ac:dyDescent="0.2">
      <c r="A1070" s="21"/>
      <c r="B1070" s="3" t="s">
        <v>9</v>
      </c>
      <c r="C1070" s="20" t="s">
        <v>42</v>
      </c>
      <c r="D1070" s="21"/>
    </row>
    <row r="1071" spans="1:4" ht="12.75" customHeight="1" x14ac:dyDescent="0.2">
      <c r="A1071" s="21"/>
      <c r="B1071" s="3" t="s">
        <v>11</v>
      </c>
      <c r="C1071" s="20" t="s">
        <v>215</v>
      </c>
      <c r="D1071" s="21"/>
    </row>
    <row r="1072" spans="1:4" ht="12.75" customHeight="1" x14ac:dyDescent="0.2">
      <c r="A1072" s="21"/>
      <c r="B1072" s="3" t="s">
        <v>13</v>
      </c>
      <c r="C1072" s="20" t="s">
        <v>24</v>
      </c>
      <c r="D1072" s="21"/>
    </row>
    <row r="1073" spans="1:4" ht="12.75" customHeight="1" x14ac:dyDescent="0.2">
      <c r="A1073" s="21"/>
      <c r="B1073" s="3" t="s">
        <v>15</v>
      </c>
      <c r="C1073" s="20" t="s">
        <v>24</v>
      </c>
      <c r="D1073" s="21"/>
    </row>
    <row r="1074" spans="1:4" ht="12.75" customHeight="1" x14ac:dyDescent="0.2">
      <c r="A1074" s="21"/>
      <c r="B1074" s="3" t="s">
        <v>16</v>
      </c>
      <c r="C1074" s="20"/>
      <c r="D1074" s="21"/>
    </row>
    <row r="1075" spans="1:4" ht="12.75" customHeight="1" x14ac:dyDescent="0.2">
      <c r="A1075" s="21"/>
      <c r="B1075" s="3" t="s">
        <v>17</v>
      </c>
      <c r="C1075" s="20"/>
      <c r="D1075" s="21"/>
    </row>
    <row r="1076" spans="1:4" ht="12.75" customHeight="1" x14ac:dyDescent="0.2">
      <c r="A1076" s="21"/>
      <c r="B1076" s="20" t="s">
        <v>18</v>
      </c>
      <c r="C1076" s="4" t="s">
        <v>309</v>
      </c>
      <c r="D1076" s="6" t="str">
        <f>HYPERLINK("javascript:void(0)","sárkány izom")</f>
        <v>sárkány izom</v>
      </c>
    </row>
    <row r="1077" spans="1:4" ht="12.75" customHeight="1" x14ac:dyDescent="0.2">
      <c r="A1077" s="21"/>
      <c r="B1077" s="21"/>
      <c r="C1077" s="4" t="s">
        <v>44</v>
      </c>
      <c r="D1077" s="6" t="str">
        <f>HYPERLINK("javascript:void(0)","smaragd köpőcső")</f>
        <v>smaragd köpőcső</v>
      </c>
    </row>
    <row r="1078" spans="1:4" ht="12.75" customHeight="1" x14ac:dyDescent="0.2">
      <c r="A1078" s="21"/>
      <c r="B1078" s="21"/>
      <c r="C1078" s="4" t="s">
        <v>327</v>
      </c>
      <c r="D1078" s="6" t="str">
        <f>HYPERLINK("javascript:void(0)","földige")</f>
        <v>földige</v>
      </c>
    </row>
    <row r="1079" spans="1:4" ht="12.75" customHeight="1" x14ac:dyDescent="0.2">
      <c r="A1079" s="5"/>
      <c r="B1079" s="2"/>
      <c r="C1079" s="2"/>
      <c r="D1079" s="2"/>
    </row>
    <row r="1080" spans="1:4" ht="12.75" customHeight="1" x14ac:dyDescent="0.2">
      <c r="A1080" s="22" t="str">
        <f>HYPERLINK("javascript:void(0)","rubin átokszóró")</f>
        <v>rubin átokszóró</v>
      </c>
      <c r="B1080" s="21"/>
      <c r="C1080" s="21"/>
      <c r="D1080" s="21"/>
    </row>
    <row r="1081" spans="1:4" ht="12.75" customHeight="1" x14ac:dyDescent="0.2">
      <c r="A1081" s="20"/>
      <c r="B1081" s="2"/>
      <c r="C1081" s="2"/>
      <c r="D1081" s="2"/>
    </row>
    <row r="1082" spans="1:4" ht="12.75" customHeight="1" x14ac:dyDescent="0.2">
      <c r="A1082" s="21"/>
      <c r="B1082" s="3" t="s">
        <v>0</v>
      </c>
      <c r="C1082" s="20" t="s">
        <v>324</v>
      </c>
      <c r="D1082" s="21"/>
    </row>
    <row r="1083" spans="1:4" ht="12.75" customHeight="1" x14ac:dyDescent="0.2">
      <c r="A1083" s="21"/>
      <c r="B1083" s="3" t="s">
        <v>2</v>
      </c>
      <c r="C1083" s="20" t="s">
        <v>3</v>
      </c>
      <c r="D1083" s="21"/>
    </row>
    <row r="1084" spans="1:4" ht="12.75" customHeight="1" x14ac:dyDescent="0.2">
      <c r="A1084" s="21"/>
      <c r="B1084" s="3" t="s">
        <v>4</v>
      </c>
      <c r="C1084" s="20" t="s">
        <v>328</v>
      </c>
      <c r="D1084" s="21"/>
    </row>
    <row r="1085" spans="1:4" ht="12.75" customHeight="1" x14ac:dyDescent="0.2">
      <c r="A1085" s="21"/>
      <c r="B1085" s="3" t="s">
        <v>6</v>
      </c>
      <c r="C1085" s="20" t="s">
        <v>65</v>
      </c>
      <c r="D1085" s="21"/>
    </row>
    <row r="1086" spans="1:4" ht="12.75" customHeight="1" x14ac:dyDescent="0.2">
      <c r="A1086" s="21"/>
      <c r="B1086" s="3" t="s">
        <v>8</v>
      </c>
      <c r="C1086" s="20" t="s">
        <v>328</v>
      </c>
      <c r="D1086" s="21"/>
    </row>
    <row r="1087" spans="1:4" ht="12.75" customHeight="1" x14ac:dyDescent="0.2">
      <c r="A1087" s="21"/>
      <c r="B1087" s="3" t="s">
        <v>9</v>
      </c>
      <c r="C1087" s="20" t="s">
        <v>42</v>
      </c>
      <c r="D1087" s="21"/>
    </row>
    <row r="1088" spans="1:4" ht="12.75" customHeight="1" x14ac:dyDescent="0.2">
      <c r="A1088" s="21"/>
      <c r="B1088" s="3" t="s">
        <v>11</v>
      </c>
      <c r="C1088" s="20" t="s">
        <v>329</v>
      </c>
      <c r="D1088" s="21"/>
    </row>
    <row r="1089" spans="1:4" ht="12.75" customHeight="1" x14ac:dyDescent="0.2">
      <c r="A1089" s="21"/>
      <c r="B1089" s="3" t="s">
        <v>13</v>
      </c>
      <c r="C1089" s="20" t="s">
        <v>24</v>
      </c>
      <c r="D1089" s="21"/>
    </row>
    <row r="1090" spans="1:4" ht="12.75" customHeight="1" x14ac:dyDescent="0.2">
      <c r="A1090" s="21"/>
      <c r="B1090" s="3" t="s">
        <v>15</v>
      </c>
      <c r="C1090" s="20" t="s">
        <v>24</v>
      </c>
      <c r="D1090" s="21"/>
    </row>
    <row r="1091" spans="1:4" ht="12.75" customHeight="1" x14ac:dyDescent="0.2">
      <c r="A1091" s="21"/>
      <c r="B1091" s="3" t="s">
        <v>16</v>
      </c>
      <c r="C1091" s="20"/>
      <c r="D1091" s="21"/>
    </row>
    <row r="1092" spans="1:4" ht="12.75" customHeight="1" x14ac:dyDescent="0.2">
      <c r="A1092" s="21"/>
      <c r="B1092" s="3" t="s">
        <v>17</v>
      </c>
      <c r="C1092" s="20"/>
      <c r="D1092" s="21"/>
    </row>
    <row r="1093" spans="1:4" ht="12.75" customHeight="1" x14ac:dyDescent="0.2">
      <c r="A1093" s="21"/>
      <c r="B1093" s="20" t="s">
        <v>18</v>
      </c>
      <c r="C1093" s="4" t="s">
        <v>331</v>
      </c>
      <c r="D1093" s="6" t="str">
        <f>HYPERLINK("javascript:void(0)","nekroige")</f>
        <v>nekroige</v>
      </c>
    </row>
    <row r="1094" spans="1:4" ht="12.75" customHeight="1" x14ac:dyDescent="0.2">
      <c r="A1094" s="21"/>
      <c r="B1094" s="21"/>
      <c r="C1094" s="4" t="s">
        <v>67</v>
      </c>
      <c r="D1094" s="6" t="str">
        <f>HYPERLINK("javascript:void(0)","rozsdalap")</f>
        <v>rozsdalap</v>
      </c>
    </row>
    <row r="1095" spans="1:4" ht="12.75" customHeight="1" x14ac:dyDescent="0.2">
      <c r="A1095" s="21"/>
      <c r="B1095" s="21"/>
      <c r="C1095" s="4" t="s">
        <v>117</v>
      </c>
      <c r="D1095" s="6" t="str">
        <f>HYPERLINK("javascript:void(0)","öbleny")</f>
        <v>öbleny</v>
      </c>
    </row>
    <row r="1096" spans="1:4" ht="12.75" customHeight="1" x14ac:dyDescent="0.2">
      <c r="A1096" s="5"/>
      <c r="B1096" s="2"/>
      <c r="C1096" s="2"/>
      <c r="D1096" s="2"/>
    </row>
    <row r="1097" spans="1:4" ht="12.75" customHeight="1" x14ac:dyDescent="0.2">
      <c r="A1097" s="22" t="str">
        <f>HYPERLINK("javascript:void(0)","rubin tűzköpő")</f>
        <v>rubin tűzköpő</v>
      </c>
      <c r="B1097" s="21"/>
      <c r="C1097" s="21"/>
      <c r="D1097" s="21"/>
    </row>
    <row r="1098" spans="1:4" ht="12.75" customHeight="1" x14ac:dyDescent="0.2">
      <c r="A1098" s="20"/>
      <c r="B1098" s="2"/>
      <c r="C1098" s="2"/>
      <c r="D1098" s="2"/>
    </row>
    <row r="1099" spans="1:4" ht="12.75" customHeight="1" x14ac:dyDescent="0.2">
      <c r="A1099" s="21"/>
      <c r="B1099" s="3" t="s">
        <v>0</v>
      </c>
      <c r="C1099" s="20" t="s">
        <v>178</v>
      </c>
      <c r="D1099" s="21"/>
    </row>
    <row r="1100" spans="1:4" ht="12.75" customHeight="1" x14ac:dyDescent="0.2">
      <c r="A1100" s="21"/>
      <c r="B1100" s="3" t="s">
        <v>2</v>
      </c>
      <c r="C1100" s="20" t="s">
        <v>3</v>
      </c>
      <c r="D1100" s="21"/>
    </row>
    <row r="1101" spans="1:4" ht="12.75" customHeight="1" x14ac:dyDescent="0.2">
      <c r="A1101" s="21"/>
      <c r="B1101" s="3" t="s">
        <v>4</v>
      </c>
      <c r="C1101" s="20" t="s">
        <v>333</v>
      </c>
      <c r="D1101" s="21"/>
    </row>
    <row r="1102" spans="1:4" ht="12.75" customHeight="1" x14ac:dyDescent="0.2">
      <c r="A1102" s="21"/>
      <c r="B1102" s="3" t="s">
        <v>6</v>
      </c>
      <c r="C1102" s="20" t="s">
        <v>284</v>
      </c>
      <c r="D1102" s="21"/>
    </row>
    <row r="1103" spans="1:4" ht="12.75" customHeight="1" x14ac:dyDescent="0.2">
      <c r="A1103" s="21"/>
      <c r="B1103" s="3" t="s">
        <v>8</v>
      </c>
      <c r="C1103" s="20" t="s">
        <v>333</v>
      </c>
      <c r="D1103" s="21"/>
    </row>
    <row r="1104" spans="1:4" ht="12.75" customHeight="1" x14ac:dyDescent="0.2">
      <c r="A1104" s="21"/>
      <c r="B1104" s="3" t="s">
        <v>9</v>
      </c>
      <c r="C1104" s="20" t="s">
        <v>172</v>
      </c>
      <c r="D1104" s="21"/>
    </row>
    <row r="1105" spans="1:4" ht="12.75" customHeight="1" x14ac:dyDescent="0.2">
      <c r="A1105" s="21"/>
      <c r="B1105" s="3" t="s">
        <v>11</v>
      </c>
      <c r="C1105" s="20" t="s">
        <v>268</v>
      </c>
      <c r="D1105" s="21"/>
    </row>
    <row r="1106" spans="1:4" ht="12.75" customHeight="1" x14ac:dyDescent="0.2">
      <c r="A1106" s="21"/>
      <c r="B1106" s="3" t="s">
        <v>13</v>
      </c>
      <c r="C1106" s="20" t="s">
        <v>24</v>
      </c>
      <c r="D1106" s="21"/>
    </row>
    <row r="1107" spans="1:4" ht="12.75" customHeight="1" x14ac:dyDescent="0.2">
      <c r="A1107" s="21"/>
      <c r="B1107" s="3" t="s">
        <v>15</v>
      </c>
      <c r="C1107" s="20" t="s">
        <v>24</v>
      </c>
      <c r="D1107" s="21"/>
    </row>
    <row r="1108" spans="1:4" ht="12.75" customHeight="1" x14ac:dyDescent="0.2">
      <c r="A1108" s="21"/>
      <c r="B1108" s="3" t="s">
        <v>16</v>
      </c>
      <c r="C1108" s="20"/>
      <c r="D1108" s="21"/>
    </row>
    <row r="1109" spans="1:4" ht="12.75" customHeight="1" x14ac:dyDescent="0.2">
      <c r="A1109" s="21"/>
      <c r="B1109" s="3" t="s">
        <v>17</v>
      </c>
      <c r="C1109" s="20"/>
      <c r="D1109" s="21"/>
    </row>
    <row r="1110" spans="1:4" ht="12.75" customHeight="1" x14ac:dyDescent="0.2">
      <c r="A1110" s="21"/>
      <c r="B1110" s="20" t="s">
        <v>18</v>
      </c>
      <c r="C1110" s="4" t="s">
        <v>309</v>
      </c>
      <c r="D1110" s="6" t="str">
        <f>HYPERLINK("javascript:void(0)","sárkány szív")</f>
        <v>sárkány szív</v>
      </c>
    </row>
    <row r="1111" spans="1:4" ht="12.75" customHeight="1" x14ac:dyDescent="0.2">
      <c r="A1111" s="21"/>
      <c r="B1111" s="21"/>
      <c r="C1111" s="4" t="s">
        <v>44</v>
      </c>
      <c r="D1111" s="6" t="str">
        <f>HYPERLINK("javascript:void(0)","rubin köpőcső")</f>
        <v>rubin köpőcső</v>
      </c>
    </row>
    <row r="1112" spans="1:4" ht="12.75" customHeight="1" x14ac:dyDescent="0.2">
      <c r="A1112" s="21"/>
      <c r="B1112" s="21"/>
      <c r="C1112" s="4" t="s">
        <v>335</v>
      </c>
      <c r="D1112" s="6" t="str">
        <f>HYPERLINK("javascript:void(0)","tűzige")</f>
        <v>tűzige</v>
      </c>
    </row>
    <row r="1113" spans="1:4" ht="12.75" customHeight="1" x14ac:dyDescent="0.2">
      <c r="A1113" s="5"/>
      <c r="B1113" s="2"/>
      <c r="C1113" s="2"/>
      <c r="D1113" s="2"/>
    </row>
    <row r="1114" spans="1:4" ht="12.75" customHeight="1" x14ac:dyDescent="0.2">
      <c r="A1114" s="22" t="str">
        <f>HYPERLINK("javascript:void(0)","gyémánt átokszóró")</f>
        <v>gyémánt átokszóró</v>
      </c>
      <c r="B1114" s="21"/>
      <c r="C1114" s="21"/>
      <c r="D1114" s="21"/>
    </row>
    <row r="1115" spans="1:4" ht="12.75" customHeight="1" x14ac:dyDescent="0.2">
      <c r="A1115" s="20"/>
      <c r="B1115" s="2"/>
      <c r="C1115" s="2"/>
      <c r="D1115" s="2"/>
    </row>
    <row r="1116" spans="1:4" ht="12.75" customHeight="1" x14ac:dyDescent="0.2">
      <c r="A1116" s="21"/>
      <c r="B1116" s="3" t="s">
        <v>0</v>
      </c>
      <c r="C1116" s="20" t="s">
        <v>178</v>
      </c>
      <c r="D1116" s="21"/>
    </row>
    <row r="1117" spans="1:4" ht="12.75" customHeight="1" x14ac:dyDescent="0.2">
      <c r="A1117" s="21"/>
      <c r="B1117" s="3" t="s">
        <v>2</v>
      </c>
      <c r="C1117" s="20" t="s">
        <v>3</v>
      </c>
      <c r="D1117" s="21"/>
    </row>
    <row r="1118" spans="1:4" ht="12.75" customHeight="1" x14ac:dyDescent="0.2">
      <c r="A1118" s="21"/>
      <c r="B1118" s="3" t="s">
        <v>4</v>
      </c>
      <c r="C1118" s="20" t="s">
        <v>338</v>
      </c>
      <c r="D1118" s="21"/>
    </row>
    <row r="1119" spans="1:4" ht="12.75" customHeight="1" x14ac:dyDescent="0.2">
      <c r="A1119" s="21"/>
      <c r="B1119" s="3" t="s">
        <v>6</v>
      </c>
      <c r="C1119" s="20" t="s">
        <v>65</v>
      </c>
      <c r="D1119" s="21"/>
    </row>
    <row r="1120" spans="1:4" ht="12.75" customHeight="1" x14ac:dyDescent="0.2">
      <c r="A1120" s="21"/>
      <c r="B1120" s="3" t="s">
        <v>8</v>
      </c>
      <c r="C1120" s="20" t="s">
        <v>338</v>
      </c>
      <c r="D1120" s="21"/>
    </row>
    <row r="1121" spans="1:4" ht="12.75" customHeight="1" x14ac:dyDescent="0.2">
      <c r="A1121" s="21"/>
      <c r="B1121" s="3" t="s">
        <v>9</v>
      </c>
      <c r="C1121" s="20" t="s">
        <v>42</v>
      </c>
      <c r="D1121" s="21"/>
    </row>
    <row r="1122" spans="1:4" ht="12.75" customHeight="1" x14ac:dyDescent="0.2">
      <c r="A1122" s="21"/>
      <c r="B1122" s="3" t="s">
        <v>11</v>
      </c>
      <c r="C1122" s="20" t="s">
        <v>339</v>
      </c>
      <c r="D1122" s="21"/>
    </row>
    <row r="1123" spans="1:4" ht="12.75" customHeight="1" x14ac:dyDescent="0.2">
      <c r="A1123" s="21"/>
      <c r="B1123" s="3" t="s">
        <v>13</v>
      </c>
      <c r="C1123" s="20" t="s">
        <v>24</v>
      </c>
      <c r="D1123" s="21"/>
    </row>
    <row r="1124" spans="1:4" ht="12.75" customHeight="1" x14ac:dyDescent="0.2">
      <c r="A1124" s="21"/>
      <c r="B1124" s="3" t="s">
        <v>15</v>
      </c>
      <c r="C1124" s="20" t="s">
        <v>24</v>
      </c>
      <c r="D1124" s="21"/>
    </row>
    <row r="1125" spans="1:4" ht="12.75" customHeight="1" x14ac:dyDescent="0.2">
      <c r="A1125" s="21"/>
      <c r="B1125" s="3" t="s">
        <v>16</v>
      </c>
      <c r="C1125" s="20"/>
      <c r="D1125" s="21"/>
    </row>
    <row r="1126" spans="1:4" ht="12.75" customHeight="1" x14ac:dyDescent="0.2">
      <c r="A1126" s="21"/>
      <c r="B1126" s="3" t="s">
        <v>17</v>
      </c>
      <c r="C1126" s="20"/>
      <c r="D1126" s="21"/>
    </row>
    <row r="1127" spans="1:4" ht="12.75" customHeight="1" x14ac:dyDescent="0.2">
      <c r="A1127" s="21"/>
      <c r="B1127" s="20" t="s">
        <v>18</v>
      </c>
      <c r="C1127" s="4" t="s">
        <v>117</v>
      </c>
      <c r="D1127" s="6" t="str">
        <f>HYPERLINK("javascript:void(0)","nekroige")</f>
        <v>nekroige</v>
      </c>
    </row>
    <row r="1128" spans="1:4" ht="12.75" customHeight="1" x14ac:dyDescent="0.2">
      <c r="A1128" s="21"/>
      <c r="B1128" s="21"/>
      <c r="C1128" s="4" t="s">
        <v>67</v>
      </c>
      <c r="D1128" s="6" t="str">
        <f>HYPERLINK("javascript:void(0)","manókoponya")</f>
        <v>manókoponya</v>
      </c>
    </row>
    <row r="1129" spans="1:4" ht="12.75" customHeight="1" x14ac:dyDescent="0.2">
      <c r="A1129" s="21"/>
      <c r="B1129" s="21"/>
      <c r="C1129" s="4" t="s">
        <v>117</v>
      </c>
      <c r="D1129" s="6" t="str">
        <f>HYPERLINK("javascript:void(0)","csigaház")</f>
        <v>csigaház</v>
      </c>
    </row>
    <row r="1130" spans="1:4" ht="12.75" customHeight="1" x14ac:dyDescent="0.2">
      <c r="A1130" s="5"/>
      <c r="B1130" s="2"/>
      <c r="C1130" s="2"/>
      <c r="D1130" s="2"/>
    </row>
    <row r="1131" spans="1:4" ht="12.75" customHeight="1" x14ac:dyDescent="0.2">
      <c r="A1131" s="22" t="str">
        <f>HYPERLINK("javascript:void(0)","gyémánt jégvető")</f>
        <v>gyémánt jégvető</v>
      </c>
      <c r="B1131" s="21"/>
      <c r="C1131" s="21"/>
      <c r="D1131" s="21"/>
    </row>
    <row r="1132" spans="1:4" ht="12.75" customHeight="1" x14ac:dyDescent="0.2">
      <c r="A1132" s="20"/>
      <c r="B1132" s="2"/>
      <c r="C1132" s="2"/>
      <c r="D1132" s="2"/>
    </row>
    <row r="1133" spans="1:4" ht="12.75" customHeight="1" x14ac:dyDescent="0.2">
      <c r="A1133" s="21"/>
      <c r="B1133" s="3" t="s">
        <v>0</v>
      </c>
      <c r="C1133" s="20" t="s">
        <v>340</v>
      </c>
      <c r="D1133" s="21"/>
    </row>
    <row r="1134" spans="1:4" ht="12.75" customHeight="1" x14ac:dyDescent="0.2">
      <c r="A1134" s="21"/>
      <c r="B1134" s="3" t="s">
        <v>2</v>
      </c>
      <c r="C1134" s="20" t="s">
        <v>3</v>
      </c>
      <c r="D1134" s="21"/>
    </row>
    <row r="1135" spans="1:4" ht="12.75" customHeight="1" x14ac:dyDescent="0.2">
      <c r="A1135" s="21"/>
      <c r="B1135" s="3" t="s">
        <v>4</v>
      </c>
      <c r="C1135" s="20" t="s">
        <v>342</v>
      </c>
      <c r="D1135" s="21"/>
    </row>
    <row r="1136" spans="1:4" ht="12.75" customHeight="1" x14ac:dyDescent="0.2">
      <c r="A1136" s="21"/>
      <c r="B1136" s="3" t="s">
        <v>6</v>
      </c>
      <c r="C1136" s="20" t="s">
        <v>284</v>
      </c>
      <c r="D1136" s="21"/>
    </row>
    <row r="1137" spans="1:4" ht="12.75" customHeight="1" x14ac:dyDescent="0.2">
      <c r="A1137" s="21"/>
      <c r="B1137" s="3" t="s">
        <v>8</v>
      </c>
      <c r="C1137" s="20" t="s">
        <v>342</v>
      </c>
      <c r="D1137" s="21"/>
    </row>
    <row r="1138" spans="1:4" ht="12.75" customHeight="1" x14ac:dyDescent="0.2">
      <c r="A1138" s="21"/>
      <c r="B1138" s="3" t="s">
        <v>9</v>
      </c>
      <c r="C1138" s="20" t="s">
        <v>210</v>
      </c>
      <c r="D1138" s="21"/>
    </row>
    <row r="1139" spans="1:4" ht="12.75" customHeight="1" x14ac:dyDescent="0.2">
      <c r="A1139" s="21"/>
      <c r="B1139" s="3" t="s">
        <v>11</v>
      </c>
      <c r="C1139" s="20" t="s">
        <v>279</v>
      </c>
      <c r="D1139" s="21"/>
    </row>
    <row r="1140" spans="1:4" ht="12.75" customHeight="1" x14ac:dyDescent="0.2">
      <c r="A1140" s="21"/>
      <c r="B1140" s="3" t="s">
        <v>13</v>
      </c>
      <c r="C1140" s="20" t="s">
        <v>24</v>
      </c>
      <c r="D1140" s="21"/>
    </row>
    <row r="1141" spans="1:4" ht="12.75" customHeight="1" x14ac:dyDescent="0.2">
      <c r="A1141" s="21"/>
      <c r="B1141" s="3" t="s">
        <v>15</v>
      </c>
      <c r="C1141" s="20" t="s">
        <v>24</v>
      </c>
      <c r="D1141" s="21"/>
    </row>
    <row r="1142" spans="1:4" ht="12.75" customHeight="1" x14ac:dyDescent="0.2">
      <c r="A1142" s="21"/>
      <c r="B1142" s="3" t="s">
        <v>16</v>
      </c>
      <c r="C1142" s="20"/>
      <c r="D1142" s="21"/>
    </row>
    <row r="1143" spans="1:4" ht="12.75" customHeight="1" x14ac:dyDescent="0.2">
      <c r="A1143" s="21"/>
      <c r="B1143" s="3" t="s">
        <v>17</v>
      </c>
      <c r="C1143" s="20"/>
      <c r="D1143" s="21"/>
    </row>
    <row r="1144" spans="1:4" ht="12.75" customHeight="1" x14ac:dyDescent="0.2">
      <c r="A1144" s="21"/>
      <c r="B1144" s="20" t="s">
        <v>18</v>
      </c>
      <c r="C1144" s="4" t="s">
        <v>290</v>
      </c>
      <c r="D1144" s="6" t="str">
        <f>HYPERLINK("javascript:void(0)","fülpenge")</f>
        <v>fülpenge</v>
      </c>
    </row>
    <row r="1145" spans="1:4" ht="12.75" customHeight="1" x14ac:dyDescent="0.2">
      <c r="A1145" s="21"/>
      <c r="B1145" s="21"/>
      <c r="C1145" s="4" t="s">
        <v>44</v>
      </c>
      <c r="D1145" s="6" t="str">
        <f>HYPERLINK("javascript:void(0)","gyémánt köpőcső")</f>
        <v>gyémánt köpőcső</v>
      </c>
    </row>
    <row r="1146" spans="1:4" ht="12.75" customHeight="1" x14ac:dyDescent="0.2">
      <c r="A1146" s="21"/>
      <c r="B1146" s="21"/>
      <c r="C1146" s="4" t="s">
        <v>280</v>
      </c>
      <c r="D1146" s="6" t="str">
        <f>HYPERLINK("javascript:void(0)","vízige")</f>
        <v>vízige</v>
      </c>
    </row>
    <row r="1147" spans="1:4" ht="12.75" customHeight="1" x14ac:dyDescent="0.2">
      <c r="A1147" s="5"/>
      <c r="B1147" s="2"/>
      <c r="C1147" s="2"/>
      <c r="D1147" s="2"/>
    </row>
    <row r="1148" spans="1:4" ht="12.75" customHeight="1" x14ac:dyDescent="0.2">
      <c r="A1148" s="22" t="str">
        <f>HYPERLINK("javascript:void(0)","diszpro átokszóró")</f>
        <v>diszpro átokszóró</v>
      </c>
      <c r="B1148" s="21"/>
      <c r="C1148" s="21"/>
      <c r="D1148" s="21"/>
    </row>
    <row r="1149" spans="1:4" ht="12.75" customHeight="1" x14ac:dyDescent="0.2">
      <c r="A1149" s="20"/>
      <c r="B1149" s="2"/>
      <c r="C1149" s="2"/>
      <c r="D1149" s="2"/>
    </row>
    <row r="1150" spans="1:4" ht="12.75" customHeight="1" x14ac:dyDescent="0.2">
      <c r="A1150" s="21"/>
      <c r="B1150" s="3" t="s">
        <v>0</v>
      </c>
      <c r="C1150" s="20" t="s">
        <v>340</v>
      </c>
      <c r="D1150" s="21"/>
    </row>
    <row r="1151" spans="1:4" ht="12.75" customHeight="1" x14ac:dyDescent="0.2">
      <c r="A1151" s="21"/>
      <c r="B1151" s="3" t="s">
        <v>2</v>
      </c>
      <c r="C1151" s="20" t="s">
        <v>3</v>
      </c>
      <c r="D1151" s="21"/>
    </row>
    <row r="1152" spans="1:4" ht="12.75" customHeight="1" x14ac:dyDescent="0.2">
      <c r="A1152" s="21"/>
      <c r="B1152" s="3" t="s">
        <v>4</v>
      </c>
      <c r="C1152" s="20" t="s">
        <v>348</v>
      </c>
      <c r="D1152" s="21"/>
    </row>
    <row r="1153" spans="1:4" ht="12.75" customHeight="1" x14ac:dyDescent="0.2">
      <c r="A1153" s="21"/>
      <c r="B1153" s="3" t="s">
        <v>6</v>
      </c>
      <c r="C1153" s="20" t="s">
        <v>65</v>
      </c>
      <c r="D1153" s="21"/>
    </row>
    <row r="1154" spans="1:4" ht="12.75" customHeight="1" x14ac:dyDescent="0.2">
      <c r="A1154" s="21"/>
      <c r="B1154" s="3" t="s">
        <v>8</v>
      </c>
      <c r="C1154" s="20" t="s">
        <v>348</v>
      </c>
      <c r="D1154" s="21"/>
    </row>
    <row r="1155" spans="1:4" ht="12.75" customHeight="1" x14ac:dyDescent="0.2">
      <c r="A1155" s="21"/>
      <c r="B1155" s="3" t="s">
        <v>9</v>
      </c>
      <c r="C1155" s="20" t="s">
        <v>42</v>
      </c>
      <c r="D1155" s="21"/>
    </row>
    <row r="1156" spans="1:4" ht="12.75" customHeight="1" x14ac:dyDescent="0.2">
      <c r="A1156" s="21"/>
      <c r="B1156" s="3" t="s">
        <v>11</v>
      </c>
      <c r="C1156" s="20" t="s">
        <v>350</v>
      </c>
      <c r="D1156" s="21"/>
    </row>
    <row r="1157" spans="1:4" ht="12.75" customHeight="1" x14ac:dyDescent="0.2">
      <c r="A1157" s="21"/>
      <c r="B1157" s="3" t="s">
        <v>13</v>
      </c>
      <c r="C1157" s="20" t="s">
        <v>24</v>
      </c>
      <c r="D1157" s="21"/>
    </row>
    <row r="1158" spans="1:4" ht="12.75" customHeight="1" x14ac:dyDescent="0.2">
      <c r="A1158" s="21"/>
      <c r="B1158" s="3" t="s">
        <v>15</v>
      </c>
      <c r="C1158" s="20" t="s">
        <v>24</v>
      </c>
      <c r="D1158" s="21"/>
    </row>
    <row r="1159" spans="1:4" ht="12.75" customHeight="1" x14ac:dyDescent="0.2">
      <c r="A1159" s="21"/>
      <c r="B1159" s="3" t="s">
        <v>16</v>
      </c>
      <c r="C1159" s="20"/>
      <c r="D1159" s="21"/>
    </row>
    <row r="1160" spans="1:4" ht="12.75" customHeight="1" x14ac:dyDescent="0.2">
      <c r="A1160" s="21"/>
      <c r="B1160" s="3" t="s">
        <v>17</v>
      </c>
      <c r="C1160" s="20"/>
      <c r="D1160" s="21"/>
    </row>
    <row r="1161" spans="1:4" ht="12.75" customHeight="1" x14ac:dyDescent="0.2">
      <c r="A1161" s="21"/>
      <c r="B1161" s="20" t="s">
        <v>18</v>
      </c>
      <c r="C1161" s="4" t="s">
        <v>102</v>
      </c>
      <c r="D1161" s="6" t="str">
        <f>HYPERLINK("javascript:void(0)","nekroige")</f>
        <v>nekroige</v>
      </c>
    </row>
    <row r="1162" spans="1:4" ht="12.75" customHeight="1" x14ac:dyDescent="0.2">
      <c r="A1162" s="21"/>
      <c r="B1162" s="21"/>
      <c r="C1162" s="4" t="s">
        <v>280</v>
      </c>
      <c r="D1162" s="6" t="str">
        <f>HYPERLINK("javascript:void(0)","csontszilánk")</f>
        <v>csontszilánk</v>
      </c>
    </row>
    <row r="1163" spans="1:4" ht="12.75" customHeight="1" x14ac:dyDescent="0.2">
      <c r="A1163" s="21"/>
      <c r="B1163" s="21"/>
      <c r="C1163" s="4" t="s">
        <v>98</v>
      </c>
      <c r="D1163" s="6" t="str">
        <f>HYPERLINK("javascript:void(0)","rozsdalap")</f>
        <v>rozsdalap</v>
      </c>
    </row>
    <row r="1164" spans="1:4" ht="12.75" customHeight="1" x14ac:dyDescent="0.2">
      <c r="A1164" s="5"/>
      <c r="B1164" s="2"/>
      <c r="C1164" s="2"/>
      <c r="D1164" s="2"/>
    </row>
    <row r="1165" spans="1:4" ht="12.75" customHeight="1" x14ac:dyDescent="0.2">
      <c r="A1165" s="22" t="str">
        <f>HYPERLINK("javascript:void(0)","diszpro fuvallat")</f>
        <v>diszpro fuvallat</v>
      </c>
      <c r="B1165" s="21"/>
      <c r="C1165" s="21"/>
      <c r="D1165" s="21"/>
    </row>
    <row r="1166" spans="1:4" ht="12.75" customHeight="1" x14ac:dyDescent="0.2">
      <c r="A1166" s="20"/>
      <c r="B1166" s="2"/>
      <c r="C1166" s="2"/>
      <c r="D1166" s="2"/>
    </row>
    <row r="1167" spans="1:4" ht="12.75" customHeight="1" x14ac:dyDescent="0.2">
      <c r="A1167" s="21"/>
      <c r="B1167" s="3" t="s">
        <v>0</v>
      </c>
      <c r="C1167" s="20" t="s">
        <v>353</v>
      </c>
      <c r="D1167" s="21"/>
    </row>
    <row r="1168" spans="1:4" ht="12.75" customHeight="1" x14ac:dyDescent="0.2">
      <c r="A1168" s="21"/>
      <c r="B1168" s="3" t="s">
        <v>2</v>
      </c>
      <c r="C1168" s="20" t="s">
        <v>3</v>
      </c>
      <c r="D1168" s="21"/>
    </row>
    <row r="1169" spans="1:4" ht="12.75" customHeight="1" x14ac:dyDescent="0.2">
      <c r="A1169" s="21"/>
      <c r="B1169" s="3" t="s">
        <v>4</v>
      </c>
      <c r="C1169" s="20" t="s">
        <v>355</v>
      </c>
      <c r="D1169" s="21"/>
    </row>
    <row r="1170" spans="1:4" ht="12.75" customHeight="1" x14ac:dyDescent="0.2">
      <c r="A1170" s="21"/>
      <c r="B1170" s="3" t="s">
        <v>6</v>
      </c>
      <c r="C1170" s="20" t="s">
        <v>178</v>
      </c>
      <c r="D1170" s="21"/>
    </row>
    <row r="1171" spans="1:4" ht="12.75" customHeight="1" x14ac:dyDescent="0.2">
      <c r="A1171" s="21"/>
      <c r="B1171" s="3" t="s">
        <v>8</v>
      </c>
      <c r="C1171" s="20" t="s">
        <v>355</v>
      </c>
      <c r="D1171" s="21"/>
    </row>
    <row r="1172" spans="1:4" ht="12.75" customHeight="1" x14ac:dyDescent="0.2">
      <c r="A1172" s="21"/>
      <c r="B1172" s="3" t="s">
        <v>9</v>
      </c>
      <c r="C1172" s="20" t="s">
        <v>84</v>
      </c>
      <c r="D1172" s="21"/>
    </row>
    <row r="1173" spans="1:4" ht="12.75" customHeight="1" x14ac:dyDescent="0.2">
      <c r="A1173" s="21"/>
      <c r="B1173" s="3" t="s">
        <v>11</v>
      </c>
      <c r="C1173" s="20" t="s">
        <v>295</v>
      </c>
      <c r="D1173" s="21"/>
    </row>
    <row r="1174" spans="1:4" ht="12.75" customHeight="1" x14ac:dyDescent="0.2">
      <c r="A1174" s="21"/>
      <c r="B1174" s="3" t="s">
        <v>13</v>
      </c>
      <c r="C1174" s="20" t="s">
        <v>24</v>
      </c>
      <c r="D1174" s="21"/>
    </row>
    <row r="1175" spans="1:4" ht="12.75" customHeight="1" x14ac:dyDescent="0.2">
      <c r="A1175" s="21"/>
      <c r="B1175" s="3" t="s">
        <v>15</v>
      </c>
      <c r="C1175" s="20" t="s">
        <v>24</v>
      </c>
      <c r="D1175" s="21"/>
    </row>
    <row r="1176" spans="1:4" ht="12.75" customHeight="1" x14ac:dyDescent="0.2">
      <c r="A1176" s="21"/>
      <c r="B1176" s="3" t="s">
        <v>16</v>
      </c>
      <c r="C1176" s="20"/>
      <c r="D1176" s="21"/>
    </row>
    <row r="1177" spans="1:4" ht="12.75" customHeight="1" x14ac:dyDescent="0.2">
      <c r="A1177" s="21"/>
      <c r="B1177" s="3" t="s">
        <v>17</v>
      </c>
      <c r="C1177" s="20"/>
      <c r="D1177" s="21"/>
    </row>
    <row r="1178" spans="1:4" ht="12.75" customHeight="1" x14ac:dyDescent="0.2">
      <c r="A1178" s="21"/>
      <c r="B1178" s="20" t="s">
        <v>18</v>
      </c>
      <c r="C1178" s="4" t="s">
        <v>358</v>
      </c>
      <c r="D1178" s="6" t="str">
        <f>HYPERLINK("javascript:void(0)","légige")</f>
        <v>légige</v>
      </c>
    </row>
    <row r="1179" spans="1:4" ht="12.75" customHeight="1" x14ac:dyDescent="0.2">
      <c r="A1179" s="21"/>
      <c r="B1179" s="21"/>
      <c r="C1179" s="4" t="s">
        <v>44</v>
      </c>
      <c r="D1179" s="6" t="str">
        <f>HYPERLINK("javascript:void(0)","diszpro fúvócső")</f>
        <v>diszpro fúvócső</v>
      </c>
    </row>
    <row r="1180" spans="1:4" ht="12.75" customHeight="1" x14ac:dyDescent="0.2">
      <c r="A1180" s="21"/>
      <c r="B1180" s="21"/>
      <c r="C1180" s="4" t="s">
        <v>193</v>
      </c>
      <c r="D1180" s="6" t="str">
        <f>HYPERLINK("javascript:void(0)","hiperzsír")</f>
        <v>hiperzsír</v>
      </c>
    </row>
    <row r="1181" spans="1:4" ht="12.75" customHeight="1" x14ac:dyDescent="0.2">
      <c r="A1181" s="5"/>
      <c r="B1181" s="2"/>
      <c r="C1181" s="2"/>
      <c r="D1181" s="2"/>
    </row>
    <row r="1182" spans="1:4" ht="12.75" customHeight="1" x14ac:dyDescent="0.2">
      <c r="A1182" s="22" t="str">
        <f>HYPERLINK("javascript:void(0)","kithrill átokszóró")</f>
        <v>kithrill átokszóró</v>
      </c>
      <c r="B1182" s="21"/>
      <c r="C1182" s="21"/>
      <c r="D1182" s="21"/>
    </row>
    <row r="1183" spans="1:4" ht="12.75" customHeight="1" x14ac:dyDescent="0.2">
      <c r="A1183" s="20"/>
      <c r="B1183" s="2"/>
      <c r="C1183" s="2"/>
      <c r="D1183" s="2"/>
    </row>
    <row r="1184" spans="1:4" ht="12.75" customHeight="1" x14ac:dyDescent="0.2">
      <c r="A1184" s="21"/>
      <c r="B1184" s="3" t="s">
        <v>0</v>
      </c>
      <c r="C1184" s="20" t="s">
        <v>353</v>
      </c>
      <c r="D1184" s="21"/>
    </row>
    <row r="1185" spans="1:4" ht="12.75" customHeight="1" x14ac:dyDescent="0.2">
      <c r="A1185" s="21"/>
      <c r="B1185" s="3" t="s">
        <v>2</v>
      </c>
      <c r="C1185" s="20" t="s">
        <v>3</v>
      </c>
      <c r="D1185" s="21"/>
    </row>
    <row r="1186" spans="1:4" ht="12.75" customHeight="1" x14ac:dyDescent="0.2">
      <c r="A1186" s="21"/>
      <c r="B1186" s="3" t="s">
        <v>4</v>
      </c>
      <c r="C1186" s="20" t="s">
        <v>359</v>
      </c>
      <c r="D1186" s="21"/>
    </row>
    <row r="1187" spans="1:4" ht="12.75" customHeight="1" x14ac:dyDescent="0.2">
      <c r="A1187" s="21"/>
      <c r="B1187" s="3" t="s">
        <v>6</v>
      </c>
      <c r="C1187" s="20" t="s">
        <v>65</v>
      </c>
      <c r="D1187" s="21"/>
    </row>
    <row r="1188" spans="1:4" ht="12.75" customHeight="1" x14ac:dyDescent="0.2">
      <c r="A1188" s="21"/>
      <c r="B1188" s="3" t="s">
        <v>8</v>
      </c>
      <c r="C1188" s="20" t="s">
        <v>359</v>
      </c>
      <c r="D1188" s="21"/>
    </row>
    <row r="1189" spans="1:4" ht="12.75" customHeight="1" x14ac:dyDescent="0.2">
      <c r="A1189" s="21"/>
      <c r="B1189" s="3" t="s">
        <v>9</v>
      </c>
      <c r="C1189" s="20" t="s">
        <v>42</v>
      </c>
      <c r="D1189" s="21"/>
    </row>
    <row r="1190" spans="1:4" ht="12.75" customHeight="1" x14ac:dyDescent="0.2">
      <c r="A1190" s="21"/>
      <c r="B1190" s="3" t="s">
        <v>11</v>
      </c>
      <c r="C1190" s="20" t="s">
        <v>360</v>
      </c>
      <c r="D1190" s="21"/>
    </row>
    <row r="1191" spans="1:4" ht="12.75" customHeight="1" x14ac:dyDescent="0.2">
      <c r="A1191" s="21"/>
      <c r="B1191" s="3" t="s">
        <v>13</v>
      </c>
      <c r="C1191" s="20" t="s">
        <v>24</v>
      </c>
      <c r="D1191" s="21"/>
    </row>
    <row r="1192" spans="1:4" ht="12.75" customHeight="1" x14ac:dyDescent="0.2">
      <c r="A1192" s="21"/>
      <c r="B1192" s="3" t="s">
        <v>15</v>
      </c>
      <c r="C1192" s="20" t="s">
        <v>24</v>
      </c>
      <c r="D1192" s="21"/>
    </row>
    <row r="1193" spans="1:4" ht="12.75" customHeight="1" x14ac:dyDescent="0.2">
      <c r="A1193" s="21"/>
      <c r="B1193" s="3" t="s">
        <v>16</v>
      </c>
      <c r="C1193" s="20"/>
      <c r="D1193" s="21"/>
    </row>
    <row r="1194" spans="1:4" ht="12.75" customHeight="1" x14ac:dyDescent="0.2">
      <c r="A1194" s="21"/>
      <c r="B1194" s="3" t="s">
        <v>17</v>
      </c>
      <c r="C1194" s="20"/>
      <c r="D1194" s="21"/>
    </row>
    <row r="1195" spans="1:4" ht="12.75" customHeight="1" x14ac:dyDescent="0.2">
      <c r="A1195" s="21"/>
      <c r="B1195" s="20" t="s">
        <v>18</v>
      </c>
      <c r="C1195" s="4" t="s">
        <v>132</v>
      </c>
      <c r="D1195" s="6" t="str">
        <f>HYPERLINK("javascript:void(0)","nekroige")</f>
        <v>nekroige</v>
      </c>
    </row>
    <row r="1196" spans="1:4" ht="12.75" customHeight="1" x14ac:dyDescent="0.2">
      <c r="A1196" s="21"/>
      <c r="B1196" s="21"/>
      <c r="C1196" s="4" t="s">
        <v>327</v>
      </c>
      <c r="D1196" s="6" t="str">
        <f>HYPERLINK("javascript:void(0)","homokóra")</f>
        <v>homokóra</v>
      </c>
    </row>
    <row r="1197" spans="1:4" ht="12.75" customHeight="1" x14ac:dyDescent="0.2">
      <c r="A1197" s="21"/>
      <c r="B1197" s="21"/>
      <c r="C1197" s="4" t="s">
        <v>98</v>
      </c>
      <c r="D1197" s="6" t="str">
        <f>HYPERLINK("javascript:void(0)","vérrög")</f>
        <v>vérrög</v>
      </c>
    </row>
    <row r="1198" spans="1:4" ht="12.75" customHeight="1" x14ac:dyDescent="0.2">
      <c r="A1198" s="5"/>
      <c r="B1198" s="2"/>
      <c r="C1198" s="2"/>
      <c r="D1198" s="2"/>
    </row>
    <row r="1199" spans="1:4" ht="12.75" customHeight="1" x14ac:dyDescent="0.2">
      <c r="A1199" s="22" t="str">
        <f>HYPERLINK("javascript:void(0)","kithrill pusztító")</f>
        <v>kithrill pusztító</v>
      </c>
      <c r="B1199" s="21"/>
      <c r="C1199" s="21"/>
      <c r="D1199" s="21"/>
    </row>
    <row r="1200" spans="1:4" ht="12.75" customHeight="1" x14ac:dyDescent="0.2">
      <c r="A1200" s="20"/>
      <c r="B1200" s="2"/>
      <c r="C1200" s="2"/>
      <c r="D1200" s="2"/>
    </row>
    <row r="1201" spans="1:4" ht="12.75" customHeight="1" x14ac:dyDescent="0.2">
      <c r="A1201" s="21"/>
      <c r="B1201" s="3" t="s">
        <v>0</v>
      </c>
      <c r="C1201" s="20" t="s">
        <v>274</v>
      </c>
      <c r="D1201" s="21"/>
    </row>
    <row r="1202" spans="1:4" ht="12.75" customHeight="1" x14ac:dyDescent="0.2">
      <c r="A1202" s="21"/>
      <c r="B1202" s="3" t="s">
        <v>2</v>
      </c>
      <c r="C1202" s="20" t="s">
        <v>3</v>
      </c>
      <c r="D1202" s="21"/>
    </row>
    <row r="1203" spans="1:4" ht="12.75" customHeight="1" x14ac:dyDescent="0.2">
      <c r="A1203" s="21"/>
      <c r="B1203" s="3" t="s">
        <v>4</v>
      </c>
      <c r="C1203" s="20" t="s">
        <v>362</v>
      </c>
      <c r="D1203" s="21"/>
    </row>
    <row r="1204" spans="1:4" ht="12.75" customHeight="1" x14ac:dyDescent="0.2">
      <c r="A1204" s="21"/>
      <c r="B1204" s="3" t="s">
        <v>6</v>
      </c>
      <c r="C1204" s="20" t="s">
        <v>178</v>
      </c>
      <c r="D1204" s="21"/>
    </row>
    <row r="1205" spans="1:4" ht="12.75" customHeight="1" x14ac:dyDescent="0.2">
      <c r="A1205" s="21"/>
      <c r="B1205" s="3" t="s">
        <v>8</v>
      </c>
      <c r="C1205" s="20" t="s">
        <v>362</v>
      </c>
      <c r="D1205" s="21"/>
    </row>
    <row r="1206" spans="1:4" ht="12.75" customHeight="1" x14ac:dyDescent="0.2">
      <c r="A1206" s="21"/>
      <c r="B1206" s="3" t="s">
        <v>9</v>
      </c>
      <c r="C1206" s="20" t="s">
        <v>36</v>
      </c>
      <c r="D1206" s="21"/>
    </row>
    <row r="1207" spans="1:4" ht="12.75" customHeight="1" x14ac:dyDescent="0.2">
      <c r="A1207" s="21"/>
      <c r="B1207" s="3" t="s">
        <v>11</v>
      </c>
      <c r="C1207" s="20" t="s">
        <v>315</v>
      </c>
      <c r="D1207" s="21"/>
    </row>
    <row r="1208" spans="1:4" ht="12.75" customHeight="1" x14ac:dyDescent="0.2">
      <c r="A1208" s="21"/>
      <c r="B1208" s="3" t="s">
        <v>13</v>
      </c>
      <c r="C1208" s="20" t="s">
        <v>24</v>
      </c>
      <c r="D1208" s="21"/>
    </row>
    <row r="1209" spans="1:4" ht="12.75" customHeight="1" x14ac:dyDescent="0.2">
      <c r="A1209" s="21"/>
      <c r="B1209" s="3" t="s">
        <v>15</v>
      </c>
      <c r="C1209" s="20" t="s">
        <v>24</v>
      </c>
      <c r="D1209" s="21"/>
    </row>
    <row r="1210" spans="1:4" ht="12.75" customHeight="1" x14ac:dyDescent="0.2">
      <c r="A1210" s="21"/>
      <c r="B1210" s="3" t="s">
        <v>16</v>
      </c>
      <c r="C1210" s="20"/>
      <c r="D1210" s="21"/>
    </row>
    <row r="1211" spans="1:4" ht="12.75" customHeight="1" x14ac:dyDescent="0.2">
      <c r="A1211" s="21"/>
      <c r="B1211" s="3" t="s">
        <v>17</v>
      </c>
      <c r="C1211" s="20"/>
      <c r="D1211" s="21"/>
    </row>
    <row r="1212" spans="1:4" ht="12.75" customHeight="1" x14ac:dyDescent="0.2">
      <c r="A1212" s="21"/>
      <c r="B1212" s="20" t="s">
        <v>18</v>
      </c>
      <c r="C1212" s="4" t="s">
        <v>44</v>
      </c>
      <c r="D1212" s="6" t="str">
        <f>HYPERLINK("javascript:void(0)","kithrill köpőcső")</f>
        <v>kithrill köpőcső</v>
      </c>
    </row>
    <row r="1213" spans="1:4" ht="12.75" customHeight="1" x14ac:dyDescent="0.2">
      <c r="A1213" s="21"/>
      <c r="B1213" s="21"/>
      <c r="C1213" s="4" t="s">
        <v>232</v>
      </c>
      <c r="D1213" s="6" t="str">
        <f>HYPERLINK("javascript:void(0)","robbanófej")</f>
        <v>robbanófej</v>
      </c>
    </row>
    <row r="1214" spans="1:4" ht="12.75" customHeight="1" x14ac:dyDescent="0.2">
      <c r="A1214" s="21"/>
      <c r="B1214" s="21"/>
      <c r="C1214" s="4" t="s">
        <v>232</v>
      </c>
      <c r="D1214" s="6" t="str">
        <f>HYPERLINK("javascript:void(0)","óriás korona")</f>
        <v>óriás korona</v>
      </c>
    </row>
    <row r="1215" spans="1:4" ht="12.75" customHeight="1" x14ac:dyDescent="0.2">
      <c r="A1215" s="5"/>
      <c r="B1215" s="2"/>
      <c r="C1215" s="2"/>
      <c r="D1215" s="2"/>
    </row>
    <row r="1216" spans="1:4" ht="12.75" customHeight="1" x14ac:dyDescent="0.2">
      <c r="A1216" s="22" t="str">
        <f>HYPERLINK("javascript:void(0)","centro átokszóró")</f>
        <v>centro átokszóró</v>
      </c>
      <c r="B1216" s="21"/>
      <c r="C1216" s="21"/>
      <c r="D1216" s="21"/>
    </row>
    <row r="1217" spans="1:4" ht="12.75" customHeight="1" x14ac:dyDescent="0.2">
      <c r="A1217" s="20"/>
      <c r="B1217" s="2"/>
      <c r="C1217" s="2"/>
      <c r="D1217" s="2"/>
    </row>
    <row r="1218" spans="1:4" ht="12.75" customHeight="1" x14ac:dyDescent="0.2">
      <c r="A1218" s="21"/>
      <c r="B1218" s="3" t="s">
        <v>0</v>
      </c>
      <c r="C1218" s="20" t="s">
        <v>274</v>
      </c>
      <c r="D1218" s="21"/>
    </row>
    <row r="1219" spans="1:4" ht="12.75" customHeight="1" x14ac:dyDescent="0.2">
      <c r="A1219" s="21"/>
      <c r="B1219" s="3" t="s">
        <v>2</v>
      </c>
      <c r="C1219" s="20" t="s">
        <v>3</v>
      </c>
      <c r="D1219" s="21"/>
    </row>
    <row r="1220" spans="1:4" ht="12.75" customHeight="1" x14ac:dyDescent="0.2">
      <c r="A1220" s="21"/>
      <c r="B1220" s="3" t="s">
        <v>4</v>
      </c>
      <c r="C1220" s="20" t="s">
        <v>365</v>
      </c>
      <c r="D1220" s="21"/>
    </row>
    <row r="1221" spans="1:4" ht="12.75" customHeight="1" x14ac:dyDescent="0.2">
      <c r="A1221" s="21"/>
      <c r="B1221" s="3" t="s">
        <v>6</v>
      </c>
      <c r="C1221" s="20" t="s">
        <v>65</v>
      </c>
      <c r="D1221" s="21"/>
    </row>
    <row r="1222" spans="1:4" ht="12.75" customHeight="1" x14ac:dyDescent="0.2">
      <c r="A1222" s="21"/>
      <c r="B1222" s="3" t="s">
        <v>8</v>
      </c>
      <c r="C1222" s="20" t="s">
        <v>365</v>
      </c>
      <c r="D1222" s="21"/>
    </row>
    <row r="1223" spans="1:4" ht="12.75" customHeight="1" x14ac:dyDescent="0.2">
      <c r="A1223" s="21"/>
      <c r="B1223" s="3" t="s">
        <v>9</v>
      </c>
      <c r="C1223" s="20" t="s">
        <v>42</v>
      </c>
      <c r="D1223" s="21"/>
    </row>
    <row r="1224" spans="1:4" ht="12.75" customHeight="1" x14ac:dyDescent="0.2">
      <c r="A1224" s="21"/>
      <c r="B1224" s="3" t="s">
        <v>11</v>
      </c>
      <c r="C1224" s="20" t="s">
        <v>368</v>
      </c>
      <c r="D1224" s="21"/>
    </row>
    <row r="1225" spans="1:4" ht="12.75" customHeight="1" x14ac:dyDescent="0.2">
      <c r="A1225" s="21"/>
      <c r="B1225" s="3" t="s">
        <v>13</v>
      </c>
      <c r="C1225" s="20" t="s">
        <v>24</v>
      </c>
      <c r="D1225" s="21"/>
    </row>
    <row r="1226" spans="1:4" ht="12.75" customHeight="1" x14ac:dyDescent="0.2">
      <c r="A1226" s="21"/>
      <c r="B1226" s="3" t="s">
        <v>15</v>
      </c>
      <c r="C1226" s="20" t="s">
        <v>24</v>
      </c>
      <c r="D1226" s="21"/>
    </row>
    <row r="1227" spans="1:4" ht="12.75" customHeight="1" x14ac:dyDescent="0.2">
      <c r="A1227" s="21"/>
      <c r="B1227" s="3" t="s">
        <v>16</v>
      </c>
      <c r="C1227" s="20"/>
      <c r="D1227" s="21"/>
    </row>
    <row r="1228" spans="1:4" ht="12.75" customHeight="1" x14ac:dyDescent="0.2">
      <c r="A1228" s="21"/>
      <c r="B1228" s="3" t="s">
        <v>17</v>
      </c>
      <c r="C1228" s="20"/>
      <c r="D1228" s="21"/>
    </row>
    <row r="1229" spans="1:4" ht="12.75" customHeight="1" x14ac:dyDescent="0.2">
      <c r="A1229" s="21"/>
      <c r="B1229" s="20" t="s">
        <v>18</v>
      </c>
      <c r="C1229" s="4" t="s">
        <v>98</v>
      </c>
      <c r="D1229" s="6" t="str">
        <f>HYPERLINK("javascript:void(0)","nekroige")</f>
        <v>nekroige</v>
      </c>
    </row>
    <row r="1230" spans="1:4" ht="12.75" customHeight="1" x14ac:dyDescent="0.2">
      <c r="A1230" s="21"/>
      <c r="B1230" s="21"/>
      <c r="C1230" s="4" t="s">
        <v>369</v>
      </c>
      <c r="D1230" s="6" t="str">
        <f>HYPERLINK("javascript:void(0)","homokóra")</f>
        <v>homokóra</v>
      </c>
    </row>
    <row r="1231" spans="1:4" ht="12.75" customHeight="1" x14ac:dyDescent="0.2">
      <c r="A1231" s="21"/>
      <c r="B1231" s="21"/>
      <c r="C1231" s="4" t="s">
        <v>139</v>
      </c>
      <c r="D1231" s="6" t="str">
        <f>HYPERLINK("javascript:void(0)","hörcsögagyar")</f>
        <v>hörcsögagyar</v>
      </c>
    </row>
    <row r="1232" spans="1:4" ht="12.75" customHeight="1" x14ac:dyDescent="0.2">
      <c r="A1232" s="5"/>
      <c r="B1232" s="2"/>
      <c r="C1232" s="2"/>
      <c r="D1232" s="2"/>
    </row>
    <row r="1233" spans="1:4" ht="12.75" customHeight="1" x14ac:dyDescent="0.2">
      <c r="A1233" s="22" t="str">
        <f>HYPERLINK("javascript:void(0)","centro pusztító")</f>
        <v>centro pusztító</v>
      </c>
      <c r="B1233" s="21"/>
      <c r="C1233" s="21"/>
      <c r="D1233" s="21"/>
    </row>
    <row r="1234" spans="1:4" ht="12.75" customHeight="1" x14ac:dyDescent="0.2">
      <c r="A1234" s="20"/>
      <c r="B1234" s="2"/>
      <c r="C1234" s="2"/>
      <c r="D1234" s="2"/>
    </row>
    <row r="1235" spans="1:4" ht="12.75" customHeight="1" x14ac:dyDescent="0.2">
      <c r="A1235" s="21"/>
      <c r="B1235" s="3" t="s">
        <v>0</v>
      </c>
      <c r="C1235" s="20" t="s">
        <v>52</v>
      </c>
      <c r="D1235" s="21"/>
    </row>
    <row r="1236" spans="1:4" ht="12.75" customHeight="1" x14ac:dyDescent="0.2">
      <c r="A1236" s="21"/>
      <c r="B1236" s="3" t="s">
        <v>2</v>
      </c>
      <c r="C1236" s="20" t="s">
        <v>3</v>
      </c>
      <c r="D1236" s="21"/>
    </row>
    <row r="1237" spans="1:4" ht="12.75" customHeight="1" x14ac:dyDescent="0.2">
      <c r="A1237" s="21"/>
      <c r="B1237" s="3" t="s">
        <v>4</v>
      </c>
      <c r="C1237" s="20" t="s">
        <v>372</v>
      </c>
      <c r="D1237" s="21"/>
    </row>
    <row r="1238" spans="1:4" ht="12.75" customHeight="1" x14ac:dyDescent="0.2">
      <c r="A1238" s="21"/>
      <c r="B1238" s="3" t="s">
        <v>6</v>
      </c>
      <c r="C1238" s="20" t="s">
        <v>221</v>
      </c>
      <c r="D1238" s="21"/>
    </row>
    <row r="1239" spans="1:4" ht="12.75" customHeight="1" x14ac:dyDescent="0.2">
      <c r="A1239" s="21"/>
      <c r="B1239" s="3" t="s">
        <v>8</v>
      </c>
      <c r="C1239" s="20" t="s">
        <v>372</v>
      </c>
      <c r="D1239" s="21"/>
    </row>
    <row r="1240" spans="1:4" ht="12.75" customHeight="1" x14ac:dyDescent="0.2">
      <c r="A1240" s="21"/>
      <c r="B1240" s="3" t="s">
        <v>9</v>
      </c>
      <c r="C1240" s="20" t="s">
        <v>374</v>
      </c>
      <c r="D1240" s="21"/>
    </row>
    <row r="1241" spans="1:4" ht="12.75" customHeight="1" x14ac:dyDescent="0.2">
      <c r="A1241" s="21"/>
      <c r="B1241" s="3" t="s">
        <v>11</v>
      </c>
      <c r="C1241" s="20" t="s">
        <v>329</v>
      </c>
      <c r="D1241" s="21"/>
    </row>
    <row r="1242" spans="1:4" ht="12.75" customHeight="1" x14ac:dyDescent="0.2">
      <c r="A1242" s="21"/>
      <c r="B1242" s="3" t="s">
        <v>13</v>
      </c>
      <c r="C1242" s="20" t="s">
        <v>24</v>
      </c>
      <c r="D1242" s="21"/>
    </row>
    <row r="1243" spans="1:4" ht="12.75" customHeight="1" x14ac:dyDescent="0.2">
      <c r="A1243" s="21"/>
      <c r="B1243" s="3" t="s">
        <v>15</v>
      </c>
      <c r="C1243" s="20" t="s">
        <v>24</v>
      </c>
      <c r="D1243" s="21"/>
    </row>
    <row r="1244" spans="1:4" ht="12.75" customHeight="1" x14ac:dyDescent="0.2">
      <c r="A1244" s="21"/>
      <c r="B1244" s="3" t="s">
        <v>16</v>
      </c>
      <c r="C1244" s="20"/>
      <c r="D1244" s="21"/>
    </row>
    <row r="1245" spans="1:4" ht="12.75" customHeight="1" x14ac:dyDescent="0.2">
      <c r="A1245" s="21"/>
      <c r="B1245" s="3" t="s">
        <v>17</v>
      </c>
      <c r="C1245" s="20"/>
      <c r="D1245" s="21"/>
    </row>
    <row r="1246" spans="1:4" ht="12.75" customHeight="1" x14ac:dyDescent="0.2">
      <c r="A1246" s="21"/>
      <c r="B1246" s="20" t="s">
        <v>18</v>
      </c>
      <c r="C1246" s="4" t="s">
        <v>44</v>
      </c>
      <c r="D1246" s="6" t="str">
        <f>HYPERLINK("javascript:void(0)","centro köpőcső")</f>
        <v>centro köpőcső</v>
      </c>
    </row>
    <row r="1247" spans="1:4" ht="12.75" customHeight="1" x14ac:dyDescent="0.2">
      <c r="A1247" s="21"/>
      <c r="B1247" s="21"/>
      <c r="C1247" s="4" t="s">
        <v>232</v>
      </c>
      <c r="D1247" s="6" t="str">
        <f>HYPERLINK("javascript:void(0)","lámpás")</f>
        <v>lámpás</v>
      </c>
    </row>
    <row r="1248" spans="1:4" ht="12.75" customHeight="1" x14ac:dyDescent="0.2">
      <c r="A1248" s="21"/>
      <c r="B1248" s="21"/>
      <c r="C1248" s="4" t="s">
        <v>232</v>
      </c>
      <c r="D1248" s="6" t="str">
        <f>HYPERLINK("javascript:void(0)","óriás korona")</f>
        <v>óriás korona</v>
      </c>
    </row>
    <row r="1249" spans="1:4" ht="12.75" customHeight="1" x14ac:dyDescent="0.2">
      <c r="A1249" s="5"/>
      <c r="B1249" s="2"/>
      <c r="C1249" s="2"/>
      <c r="D1249" s="2"/>
    </row>
    <row r="1250" spans="1:4" ht="12.75" customHeight="1" x14ac:dyDescent="0.2">
      <c r="A1250" s="22" t="str">
        <f>HYPERLINK("javascript:void(0)","hiper átokszóró")</f>
        <v>hiper átokszóró</v>
      </c>
      <c r="B1250" s="21"/>
      <c r="C1250" s="21"/>
      <c r="D1250" s="21"/>
    </row>
    <row r="1251" spans="1:4" ht="12.75" customHeight="1" x14ac:dyDescent="0.2">
      <c r="A1251" s="20"/>
      <c r="B1251" s="2"/>
      <c r="C1251" s="2"/>
      <c r="D1251" s="2"/>
    </row>
    <row r="1252" spans="1:4" ht="12.75" customHeight="1" x14ac:dyDescent="0.2">
      <c r="A1252" s="21"/>
      <c r="B1252" s="3" t="s">
        <v>0</v>
      </c>
      <c r="C1252" s="20" t="s">
        <v>52</v>
      </c>
      <c r="D1252" s="21"/>
    </row>
    <row r="1253" spans="1:4" ht="12.75" customHeight="1" x14ac:dyDescent="0.2">
      <c r="A1253" s="21"/>
      <c r="B1253" s="3" t="s">
        <v>2</v>
      </c>
      <c r="C1253" s="20" t="s">
        <v>3</v>
      </c>
      <c r="D1253" s="21"/>
    </row>
    <row r="1254" spans="1:4" ht="12.75" customHeight="1" x14ac:dyDescent="0.2">
      <c r="A1254" s="21"/>
      <c r="B1254" s="3" t="s">
        <v>4</v>
      </c>
      <c r="C1254" s="20" t="s">
        <v>379</v>
      </c>
      <c r="D1254" s="21"/>
    </row>
    <row r="1255" spans="1:4" ht="12.75" customHeight="1" x14ac:dyDescent="0.2">
      <c r="A1255" s="21"/>
      <c r="B1255" s="3" t="s">
        <v>6</v>
      </c>
      <c r="C1255" s="20" t="s">
        <v>65</v>
      </c>
      <c r="D1255" s="21"/>
    </row>
    <row r="1256" spans="1:4" ht="12.75" customHeight="1" x14ac:dyDescent="0.2">
      <c r="A1256" s="21"/>
      <c r="B1256" s="3" t="s">
        <v>8</v>
      </c>
      <c r="C1256" s="20" t="s">
        <v>379</v>
      </c>
      <c r="D1256" s="21"/>
    </row>
    <row r="1257" spans="1:4" ht="12.75" customHeight="1" x14ac:dyDescent="0.2">
      <c r="A1257" s="21"/>
      <c r="B1257" s="3" t="s">
        <v>9</v>
      </c>
      <c r="C1257" s="20" t="s">
        <v>42</v>
      </c>
      <c r="D1257" s="21"/>
    </row>
    <row r="1258" spans="1:4" ht="12.75" customHeight="1" x14ac:dyDescent="0.2">
      <c r="A1258" s="21"/>
      <c r="B1258" s="3" t="s">
        <v>11</v>
      </c>
      <c r="C1258" s="20" t="s">
        <v>381</v>
      </c>
      <c r="D1258" s="21"/>
    </row>
    <row r="1259" spans="1:4" ht="12.75" customHeight="1" x14ac:dyDescent="0.2">
      <c r="A1259" s="21"/>
      <c r="B1259" s="3" t="s">
        <v>13</v>
      </c>
      <c r="C1259" s="20" t="s">
        <v>24</v>
      </c>
      <c r="D1259" s="21"/>
    </row>
    <row r="1260" spans="1:4" ht="12.75" customHeight="1" x14ac:dyDescent="0.2">
      <c r="A1260" s="21"/>
      <c r="B1260" s="3" t="s">
        <v>15</v>
      </c>
      <c r="C1260" s="20" t="s">
        <v>24</v>
      </c>
      <c r="D1260" s="21"/>
    </row>
    <row r="1261" spans="1:4" ht="12.75" customHeight="1" x14ac:dyDescent="0.2">
      <c r="A1261" s="21"/>
      <c r="B1261" s="3" t="s">
        <v>16</v>
      </c>
      <c r="C1261" s="20"/>
      <c r="D1261" s="21"/>
    </row>
    <row r="1262" spans="1:4" ht="12.75" customHeight="1" x14ac:dyDescent="0.2">
      <c r="A1262" s="21"/>
      <c r="B1262" s="3" t="s">
        <v>17</v>
      </c>
      <c r="C1262" s="20"/>
      <c r="D1262" s="21"/>
    </row>
    <row r="1263" spans="1:4" ht="12.75" customHeight="1" x14ac:dyDescent="0.2">
      <c r="A1263" s="21"/>
      <c r="B1263" s="20" t="s">
        <v>18</v>
      </c>
      <c r="C1263" s="4" t="s">
        <v>244</v>
      </c>
      <c r="D1263" s="6" t="str">
        <f>HYPERLINK("javascript:void(0)","nekroige")</f>
        <v>nekroige</v>
      </c>
    </row>
    <row r="1264" spans="1:4" ht="12.75" customHeight="1" x14ac:dyDescent="0.2">
      <c r="A1264" s="21"/>
      <c r="B1264" s="21"/>
      <c r="C1264" s="4" t="s">
        <v>117</v>
      </c>
      <c r="D1264" s="6" t="str">
        <f>HYPERLINK("javascript:void(0)","imázs")</f>
        <v>imázs</v>
      </c>
    </row>
    <row r="1265" spans="1:4" ht="12.75" customHeight="1" x14ac:dyDescent="0.2">
      <c r="A1265" s="21"/>
      <c r="B1265" s="21"/>
      <c r="C1265" s="4" t="s">
        <v>382</v>
      </c>
      <c r="D1265" s="6" t="str">
        <f>HYPERLINK("javascript:void(0)","horog")</f>
        <v>horog</v>
      </c>
    </row>
    <row r="1266" spans="1:4" ht="12.75" customHeight="1" x14ac:dyDescent="0.2">
      <c r="A1266" s="5"/>
      <c r="B1266" s="2"/>
      <c r="C1266" s="2"/>
      <c r="D1266" s="2"/>
    </row>
    <row r="1267" spans="1:4" ht="12.75" customHeight="1" x14ac:dyDescent="0.2">
      <c r="A1267" s="22" t="str">
        <f>HYPERLINK("javascript:void(0)","hiper pusztító")</f>
        <v>hiper pusztító</v>
      </c>
      <c r="B1267" s="21"/>
      <c r="C1267" s="21"/>
      <c r="D1267" s="21"/>
    </row>
    <row r="1268" spans="1:4" ht="12.75" customHeight="1" x14ac:dyDescent="0.2">
      <c r="A1268" s="20"/>
      <c r="B1268" s="2"/>
      <c r="C1268" s="2"/>
      <c r="D1268" s="2"/>
    </row>
    <row r="1269" spans="1:4" ht="12.75" customHeight="1" x14ac:dyDescent="0.2">
      <c r="A1269" s="21"/>
      <c r="B1269" s="3" t="s">
        <v>0</v>
      </c>
      <c r="C1269" s="20" t="s">
        <v>385</v>
      </c>
      <c r="D1269" s="21"/>
    </row>
    <row r="1270" spans="1:4" ht="12.75" customHeight="1" x14ac:dyDescent="0.2">
      <c r="A1270" s="21"/>
      <c r="B1270" s="3" t="s">
        <v>2</v>
      </c>
      <c r="C1270" s="20" t="s">
        <v>3</v>
      </c>
      <c r="D1270" s="21"/>
    </row>
    <row r="1271" spans="1:4" ht="12.75" customHeight="1" x14ac:dyDescent="0.2">
      <c r="A1271" s="21"/>
      <c r="B1271" s="3" t="s">
        <v>4</v>
      </c>
      <c r="C1271" s="20" t="s">
        <v>386</v>
      </c>
      <c r="D1271" s="21"/>
    </row>
    <row r="1272" spans="1:4" ht="12.75" customHeight="1" x14ac:dyDescent="0.2">
      <c r="A1272" s="21"/>
      <c r="B1272" s="3" t="s">
        <v>6</v>
      </c>
      <c r="C1272" s="20" t="s">
        <v>153</v>
      </c>
      <c r="D1272" s="21"/>
    </row>
    <row r="1273" spans="1:4" ht="12.75" customHeight="1" x14ac:dyDescent="0.2">
      <c r="A1273" s="21"/>
      <c r="B1273" s="3" t="s">
        <v>8</v>
      </c>
      <c r="C1273" s="20" t="s">
        <v>386</v>
      </c>
      <c r="D1273" s="21"/>
    </row>
    <row r="1274" spans="1:4" ht="12.75" customHeight="1" x14ac:dyDescent="0.2">
      <c r="A1274" s="21"/>
      <c r="B1274" s="3" t="s">
        <v>9</v>
      </c>
      <c r="C1274" s="20" t="s">
        <v>374</v>
      </c>
      <c r="D1274" s="21"/>
    </row>
    <row r="1275" spans="1:4" ht="12.75" customHeight="1" x14ac:dyDescent="0.2">
      <c r="A1275" s="21"/>
      <c r="B1275" s="3" t="s">
        <v>11</v>
      </c>
      <c r="C1275" s="20" t="s">
        <v>350</v>
      </c>
      <c r="D1275" s="21"/>
    </row>
    <row r="1276" spans="1:4" ht="12.75" customHeight="1" x14ac:dyDescent="0.2">
      <c r="A1276" s="21"/>
      <c r="B1276" s="3" t="s">
        <v>13</v>
      </c>
      <c r="C1276" s="20" t="s">
        <v>24</v>
      </c>
      <c r="D1276" s="21"/>
    </row>
    <row r="1277" spans="1:4" ht="12.75" customHeight="1" x14ac:dyDescent="0.2">
      <c r="A1277" s="21"/>
      <c r="B1277" s="3" t="s">
        <v>15</v>
      </c>
      <c r="C1277" s="20" t="s">
        <v>24</v>
      </c>
      <c r="D1277" s="21"/>
    </row>
    <row r="1278" spans="1:4" ht="12.75" customHeight="1" x14ac:dyDescent="0.2">
      <c r="A1278" s="21"/>
      <c r="B1278" s="3" t="s">
        <v>16</v>
      </c>
      <c r="C1278" s="20"/>
      <c r="D1278" s="21"/>
    </row>
    <row r="1279" spans="1:4" ht="12.75" customHeight="1" x14ac:dyDescent="0.2">
      <c r="A1279" s="21"/>
      <c r="B1279" s="3" t="s">
        <v>17</v>
      </c>
      <c r="C1279" s="20"/>
      <c r="D1279" s="21"/>
    </row>
    <row r="1280" spans="1:4" ht="12.75" customHeight="1" x14ac:dyDescent="0.2">
      <c r="A1280" s="21"/>
      <c r="B1280" s="20" t="s">
        <v>18</v>
      </c>
      <c r="C1280" s="4" t="s">
        <v>44</v>
      </c>
      <c r="D1280" s="6" t="str">
        <f>HYPERLINK("javascript:void(0)","hiper köpőcső")</f>
        <v>hiper köpőcső</v>
      </c>
    </row>
    <row r="1281" spans="1:4" ht="12.75" customHeight="1" x14ac:dyDescent="0.2">
      <c r="A1281" s="21"/>
      <c r="B1281" s="21"/>
      <c r="C1281" s="4" t="s">
        <v>139</v>
      </c>
      <c r="D1281" s="6" t="str">
        <f>HYPERLINK("javascript:void(0)","ínszalag")</f>
        <v>ínszalag</v>
      </c>
    </row>
    <row r="1282" spans="1:4" ht="12.75" customHeight="1" x14ac:dyDescent="0.2">
      <c r="A1282" s="21"/>
      <c r="B1282" s="21"/>
      <c r="C1282" s="4" t="s">
        <v>232</v>
      </c>
      <c r="D1282" s="6" t="str">
        <f>HYPERLINK("javascript:void(0)","csáphárító")</f>
        <v>csáphárító</v>
      </c>
    </row>
    <row r="1283" spans="1:4" ht="12.75" customHeight="1" x14ac:dyDescent="0.2">
      <c r="A1283" s="5"/>
      <c r="B1283" s="2"/>
      <c r="C1283" s="2"/>
      <c r="D1283" s="2"/>
    </row>
    <row r="1284" spans="1:4" ht="12.75" customHeight="1" x14ac:dyDescent="0.2">
      <c r="A1284" s="22" t="str">
        <f>HYPERLINK("javascript:void(0)","hidracél átokszóró")</f>
        <v>hidracél átokszóró</v>
      </c>
      <c r="B1284" s="21"/>
      <c r="C1284" s="21"/>
      <c r="D1284" s="21"/>
    </row>
    <row r="1285" spans="1:4" ht="12.75" customHeight="1" x14ac:dyDescent="0.2">
      <c r="A1285" s="20"/>
      <c r="B1285" s="2"/>
      <c r="C1285" s="2"/>
      <c r="D1285" s="2"/>
    </row>
    <row r="1286" spans="1:4" ht="12.75" customHeight="1" x14ac:dyDescent="0.2">
      <c r="A1286" s="21"/>
      <c r="B1286" s="3" t="s">
        <v>0</v>
      </c>
      <c r="C1286" s="20" t="s">
        <v>385</v>
      </c>
      <c r="D1286" s="21"/>
    </row>
    <row r="1287" spans="1:4" ht="12.75" customHeight="1" x14ac:dyDescent="0.2">
      <c r="A1287" s="21"/>
      <c r="B1287" s="3" t="s">
        <v>2</v>
      </c>
      <c r="C1287" s="20" t="s">
        <v>3</v>
      </c>
      <c r="D1287" s="21"/>
    </row>
    <row r="1288" spans="1:4" ht="12.75" customHeight="1" x14ac:dyDescent="0.2">
      <c r="A1288" s="21"/>
      <c r="B1288" s="3" t="s">
        <v>4</v>
      </c>
      <c r="C1288" s="20" t="s">
        <v>389</v>
      </c>
      <c r="D1288" s="21"/>
    </row>
    <row r="1289" spans="1:4" ht="12.75" customHeight="1" x14ac:dyDescent="0.2">
      <c r="A1289" s="21"/>
      <c r="B1289" s="3" t="s">
        <v>6</v>
      </c>
      <c r="C1289" s="20" t="s">
        <v>65</v>
      </c>
      <c r="D1289" s="21"/>
    </row>
    <row r="1290" spans="1:4" ht="12.75" customHeight="1" x14ac:dyDescent="0.2">
      <c r="A1290" s="21"/>
      <c r="B1290" s="3" t="s">
        <v>8</v>
      </c>
      <c r="C1290" s="20" t="s">
        <v>389</v>
      </c>
      <c r="D1290" s="21"/>
    </row>
    <row r="1291" spans="1:4" ht="12.75" customHeight="1" x14ac:dyDescent="0.2">
      <c r="A1291" s="21"/>
      <c r="B1291" s="3" t="s">
        <v>9</v>
      </c>
      <c r="C1291" s="20" t="s">
        <v>42</v>
      </c>
      <c r="D1291" s="21"/>
    </row>
    <row r="1292" spans="1:4" ht="12.75" customHeight="1" x14ac:dyDescent="0.2">
      <c r="A1292" s="21"/>
      <c r="B1292" s="3" t="s">
        <v>11</v>
      </c>
      <c r="C1292" s="20" t="s">
        <v>390</v>
      </c>
      <c r="D1292" s="21"/>
    </row>
    <row r="1293" spans="1:4" ht="12.75" customHeight="1" x14ac:dyDescent="0.2">
      <c r="A1293" s="21"/>
      <c r="B1293" s="3" t="s">
        <v>13</v>
      </c>
      <c r="C1293" s="20" t="s">
        <v>24</v>
      </c>
      <c r="D1293" s="21"/>
    </row>
    <row r="1294" spans="1:4" ht="12.75" customHeight="1" x14ac:dyDescent="0.2">
      <c r="A1294" s="21"/>
      <c r="B1294" s="3" t="s">
        <v>15</v>
      </c>
      <c r="C1294" s="20" t="s">
        <v>24</v>
      </c>
      <c r="D1294" s="21"/>
    </row>
    <row r="1295" spans="1:4" ht="12.75" customHeight="1" x14ac:dyDescent="0.2">
      <c r="A1295" s="21"/>
      <c r="B1295" s="3" t="s">
        <v>16</v>
      </c>
      <c r="C1295" s="20"/>
      <c r="D1295" s="21"/>
    </row>
    <row r="1296" spans="1:4" ht="12.75" customHeight="1" x14ac:dyDescent="0.2">
      <c r="A1296" s="21"/>
      <c r="B1296" s="3" t="s">
        <v>17</v>
      </c>
      <c r="C1296" s="20"/>
      <c r="D1296" s="21"/>
    </row>
    <row r="1297" spans="1:4" ht="12.75" customHeight="1" x14ac:dyDescent="0.2">
      <c r="A1297" s="21"/>
      <c r="B1297" s="20" t="s">
        <v>18</v>
      </c>
      <c r="C1297" s="4" t="s">
        <v>44</v>
      </c>
      <c r="D1297" s="6" t="str">
        <f>HYPERLINK("javascript:void(0)","hidracél pusztító")</f>
        <v>hidracél pusztító</v>
      </c>
    </row>
    <row r="1298" spans="1:4" ht="12.75" customHeight="1" x14ac:dyDescent="0.2">
      <c r="A1298" s="21"/>
      <c r="B1298" s="21"/>
      <c r="C1298" s="4" t="s">
        <v>139</v>
      </c>
      <c r="D1298" s="6" t="str">
        <f>HYPERLINK("javascript:void(0)","szén-hidragén")</f>
        <v>szén-hidragén</v>
      </c>
    </row>
    <row r="1299" spans="1:4" ht="12.75" customHeight="1" x14ac:dyDescent="0.2">
      <c r="A1299" s="21"/>
      <c r="B1299" s="21"/>
      <c r="C1299" s="4" t="s">
        <v>163</v>
      </c>
      <c r="D1299" s="6" t="str">
        <f>HYPERLINK("javascript:void(0)","horog")</f>
        <v>horog</v>
      </c>
    </row>
    <row r="1300" spans="1:4" ht="12.75" customHeight="1" x14ac:dyDescent="0.2">
      <c r="A1300" s="5"/>
      <c r="B1300" s="2"/>
      <c r="C1300" s="2"/>
      <c r="D1300" s="2"/>
    </row>
    <row r="1301" spans="1:4" ht="12.75" customHeight="1" x14ac:dyDescent="0.2">
      <c r="A1301" s="22" t="str">
        <f>HYPERLINK("javascript:void(0)","hidracél pusztító")</f>
        <v>hidracél pusztító</v>
      </c>
      <c r="B1301" s="21"/>
      <c r="C1301" s="21"/>
      <c r="D1301" s="21"/>
    </row>
    <row r="1302" spans="1:4" ht="12.75" customHeight="1" x14ac:dyDescent="0.2">
      <c r="A1302" s="20"/>
      <c r="B1302" s="2"/>
      <c r="C1302" s="2"/>
      <c r="D1302" s="2"/>
    </row>
    <row r="1303" spans="1:4" ht="12.75" customHeight="1" x14ac:dyDescent="0.2">
      <c r="A1303" s="21"/>
      <c r="B1303" s="3" t="s">
        <v>0</v>
      </c>
      <c r="C1303" s="20" t="s">
        <v>392</v>
      </c>
      <c r="D1303" s="21"/>
    </row>
    <row r="1304" spans="1:4" ht="12.75" customHeight="1" x14ac:dyDescent="0.2">
      <c r="A1304" s="21"/>
      <c r="B1304" s="3" t="s">
        <v>2</v>
      </c>
      <c r="C1304" s="20" t="s">
        <v>3</v>
      </c>
      <c r="D1304" s="21"/>
    </row>
    <row r="1305" spans="1:4" ht="12.75" customHeight="1" x14ac:dyDescent="0.2">
      <c r="A1305" s="21"/>
      <c r="B1305" s="3" t="s">
        <v>4</v>
      </c>
      <c r="C1305" s="20" t="s">
        <v>393</v>
      </c>
      <c r="D1305" s="21"/>
    </row>
    <row r="1306" spans="1:4" ht="12.75" customHeight="1" x14ac:dyDescent="0.2">
      <c r="A1306" s="21"/>
      <c r="B1306" s="3" t="s">
        <v>6</v>
      </c>
      <c r="C1306" s="20" t="s">
        <v>324</v>
      </c>
      <c r="D1306" s="21"/>
    </row>
    <row r="1307" spans="1:4" ht="12.75" customHeight="1" x14ac:dyDescent="0.2">
      <c r="A1307" s="21"/>
      <c r="B1307" s="3" t="s">
        <v>8</v>
      </c>
      <c r="C1307" s="20" t="s">
        <v>393</v>
      </c>
      <c r="D1307" s="21"/>
    </row>
    <row r="1308" spans="1:4" ht="12.75" customHeight="1" x14ac:dyDescent="0.2">
      <c r="A1308" s="21"/>
      <c r="B1308" s="3" t="s">
        <v>9</v>
      </c>
      <c r="C1308" s="20" t="s">
        <v>210</v>
      </c>
      <c r="D1308" s="21"/>
    </row>
    <row r="1309" spans="1:4" ht="12.75" customHeight="1" x14ac:dyDescent="0.2">
      <c r="A1309" s="21"/>
      <c r="B1309" s="3" t="s">
        <v>11</v>
      </c>
      <c r="C1309" s="20" t="s">
        <v>368</v>
      </c>
      <c r="D1309" s="21"/>
    </row>
    <row r="1310" spans="1:4" ht="12.75" customHeight="1" x14ac:dyDescent="0.2">
      <c r="A1310" s="21"/>
      <c r="B1310" s="3" t="s">
        <v>13</v>
      </c>
      <c r="C1310" s="20" t="s">
        <v>24</v>
      </c>
      <c r="D1310" s="21"/>
    </row>
    <row r="1311" spans="1:4" ht="12.75" customHeight="1" x14ac:dyDescent="0.2">
      <c r="A1311" s="21"/>
      <c r="B1311" s="3" t="s">
        <v>15</v>
      </c>
      <c r="C1311" s="20" t="s">
        <v>24</v>
      </c>
      <c r="D1311" s="21"/>
    </row>
    <row r="1312" spans="1:4" ht="12.75" customHeight="1" x14ac:dyDescent="0.2">
      <c r="A1312" s="21"/>
      <c r="B1312" s="3" t="s">
        <v>16</v>
      </c>
      <c r="C1312" s="20"/>
      <c r="D1312" s="21"/>
    </row>
    <row r="1313" spans="1:4" ht="12.75" customHeight="1" x14ac:dyDescent="0.2">
      <c r="A1313" s="21"/>
      <c r="B1313" s="3" t="s">
        <v>17</v>
      </c>
      <c r="C1313" s="20"/>
      <c r="D1313" s="21"/>
    </row>
    <row r="1314" spans="1:4" ht="12.75" customHeight="1" x14ac:dyDescent="0.2">
      <c r="A1314" s="21"/>
      <c r="B1314" s="20" t="s">
        <v>18</v>
      </c>
      <c r="C1314" s="4" t="s">
        <v>44</v>
      </c>
      <c r="D1314" s="6" t="str">
        <f>HYPERLINK("javascript:void(0)","hidracél köpőcső")</f>
        <v>hidracél köpőcső</v>
      </c>
    </row>
    <row r="1315" spans="1:4" ht="12.75" customHeight="1" x14ac:dyDescent="0.2">
      <c r="A1315" s="21"/>
      <c r="B1315" s="21"/>
      <c r="C1315" s="4" t="s">
        <v>132</v>
      </c>
      <c r="D1315" s="6" t="str">
        <f>HYPERLINK("javascript:void(0)","lámpás")</f>
        <v>lámpás</v>
      </c>
    </row>
    <row r="1316" spans="1:4" ht="12.75" customHeight="1" x14ac:dyDescent="0.2">
      <c r="A1316" s="21"/>
      <c r="B1316" s="21"/>
      <c r="C1316" s="4" t="s">
        <v>232</v>
      </c>
      <c r="D1316" s="6" t="str">
        <f>HYPERLINK("javascript:void(0)","haspók")</f>
        <v>haspók</v>
      </c>
    </row>
    <row r="1317" spans="1:4" ht="12.75" customHeight="1" x14ac:dyDescent="0.2">
      <c r="A1317" s="5"/>
      <c r="B1317" s="2"/>
      <c r="C1317" s="2"/>
      <c r="D1317" s="2"/>
    </row>
    <row r="1318" spans="1:4" ht="12.75" customHeight="1" x14ac:dyDescent="0.2">
      <c r="A1318" s="22" t="str">
        <f>HYPERLINK("javascript:void(0)","démonacél átokszóró")</f>
        <v>démonacél átokszóró</v>
      </c>
      <c r="B1318" s="21"/>
      <c r="C1318" s="21"/>
      <c r="D1318" s="21"/>
    </row>
    <row r="1319" spans="1:4" ht="12.75" customHeight="1" x14ac:dyDescent="0.2">
      <c r="A1319" s="20"/>
      <c r="B1319" s="2"/>
      <c r="C1319" s="2"/>
      <c r="D1319" s="2"/>
    </row>
    <row r="1320" spans="1:4" ht="12.75" customHeight="1" x14ac:dyDescent="0.2">
      <c r="A1320" s="21"/>
      <c r="B1320" s="3" t="s">
        <v>0</v>
      </c>
      <c r="C1320" s="20" t="s">
        <v>392</v>
      </c>
      <c r="D1320" s="21"/>
    </row>
    <row r="1321" spans="1:4" ht="12.75" customHeight="1" x14ac:dyDescent="0.2">
      <c r="A1321" s="21"/>
      <c r="B1321" s="3" t="s">
        <v>2</v>
      </c>
      <c r="C1321" s="20" t="s">
        <v>3</v>
      </c>
      <c r="D1321" s="21"/>
    </row>
    <row r="1322" spans="1:4" ht="12.75" customHeight="1" x14ac:dyDescent="0.2">
      <c r="A1322" s="21"/>
      <c r="B1322" s="3" t="s">
        <v>4</v>
      </c>
      <c r="C1322" s="20" t="s">
        <v>396</v>
      </c>
      <c r="D1322" s="21"/>
    </row>
    <row r="1323" spans="1:4" ht="12.75" customHeight="1" x14ac:dyDescent="0.2">
      <c r="A1323" s="21"/>
      <c r="B1323" s="3" t="s">
        <v>6</v>
      </c>
      <c r="C1323" s="20" t="s">
        <v>65</v>
      </c>
      <c r="D1323" s="21"/>
    </row>
    <row r="1324" spans="1:4" ht="12.75" customHeight="1" x14ac:dyDescent="0.2">
      <c r="A1324" s="21"/>
      <c r="B1324" s="3" t="s">
        <v>8</v>
      </c>
      <c r="C1324" s="20" t="s">
        <v>396</v>
      </c>
      <c r="D1324" s="21"/>
    </row>
    <row r="1325" spans="1:4" ht="12.75" customHeight="1" x14ac:dyDescent="0.2">
      <c r="A1325" s="21"/>
      <c r="B1325" s="3" t="s">
        <v>9</v>
      </c>
      <c r="C1325" s="20" t="s">
        <v>42</v>
      </c>
      <c r="D1325" s="21"/>
    </row>
    <row r="1326" spans="1:4" ht="12.75" customHeight="1" x14ac:dyDescent="0.2">
      <c r="A1326" s="21"/>
      <c r="B1326" s="3" t="s">
        <v>11</v>
      </c>
      <c r="C1326" s="20" t="s">
        <v>397</v>
      </c>
      <c r="D1326" s="21"/>
    </row>
    <row r="1327" spans="1:4" ht="12.75" customHeight="1" x14ac:dyDescent="0.2">
      <c r="A1327" s="21"/>
      <c r="B1327" s="3" t="s">
        <v>13</v>
      </c>
      <c r="C1327" s="20" t="s">
        <v>24</v>
      </c>
      <c r="D1327" s="21"/>
    </row>
    <row r="1328" spans="1:4" ht="12.75" customHeight="1" x14ac:dyDescent="0.2">
      <c r="A1328" s="21"/>
      <c r="B1328" s="3" t="s">
        <v>15</v>
      </c>
      <c r="C1328" s="20" t="s">
        <v>24</v>
      </c>
      <c r="D1328" s="21"/>
    </row>
    <row r="1329" spans="1:4" ht="12.75" customHeight="1" x14ac:dyDescent="0.2">
      <c r="A1329" s="21"/>
      <c r="B1329" s="3" t="s">
        <v>16</v>
      </c>
      <c r="C1329" s="20"/>
      <c r="D1329" s="21"/>
    </row>
    <row r="1330" spans="1:4" ht="12.75" customHeight="1" x14ac:dyDescent="0.2">
      <c r="A1330" s="21"/>
      <c r="B1330" s="3" t="s">
        <v>17</v>
      </c>
      <c r="C1330" s="20"/>
      <c r="D1330" s="21"/>
    </row>
    <row r="1331" spans="1:4" ht="12.75" customHeight="1" x14ac:dyDescent="0.2">
      <c r="A1331" s="21"/>
      <c r="B1331" s="20" t="s">
        <v>18</v>
      </c>
      <c r="C1331" s="4" t="s">
        <v>44</v>
      </c>
      <c r="D1331" s="6" t="str">
        <f>HYPERLINK("javascript:void(0)","démonacél pusztító")</f>
        <v>démonacél pusztító</v>
      </c>
    </row>
    <row r="1332" spans="1:4" ht="12.75" customHeight="1" x14ac:dyDescent="0.2">
      <c r="A1332" s="21"/>
      <c r="B1332" s="21"/>
      <c r="C1332" s="4" t="s">
        <v>398</v>
      </c>
      <c r="D1332" s="6" t="str">
        <f>HYPERLINK("javascript:void(0)","bronzrög")</f>
        <v>bronzrög</v>
      </c>
    </row>
    <row r="1333" spans="1:4" ht="12.75" customHeight="1" x14ac:dyDescent="0.2">
      <c r="A1333" s="21"/>
      <c r="B1333" s="21"/>
      <c r="C1333" s="4" t="s">
        <v>280</v>
      </c>
      <c r="D1333" s="6" t="str">
        <f>HYPERLINK("javascript:void(0)","horog")</f>
        <v>horog</v>
      </c>
    </row>
    <row r="1334" spans="1:4" ht="12.75" customHeight="1" x14ac:dyDescent="0.2">
      <c r="A1334" s="5"/>
      <c r="B1334" s="2"/>
      <c r="C1334" s="2"/>
      <c r="D1334" s="2"/>
    </row>
    <row r="1335" spans="1:4" ht="12.75" customHeight="1" x14ac:dyDescent="0.2">
      <c r="A1335" s="22" t="str">
        <f>HYPERLINK("javascript:void(0)","démonacél pusztító")</f>
        <v>démonacél pusztító</v>
      </c>
      <c r="B1335" s="21"/>
      <c r="C1335" s="21"/>
      <c r="D1335" s="21"/>
    </row>
    <row r="1336" spans="1:4" ht="12.75" customHeight="1" x14ac:dyDescent="0.2">
      <c r="A1336" s="20"/>
      <c r="B1336" s="2"/>
      <c r="C1336" s="2"/>
      <c r="D1336" s="2"/>
    </row>
    <row r="1337" spans="1:4" ht="12.75" customHeight="1" x14ac:dyDescent="0.2">
      <c r="A1337" s="21"/>
      <c r="B1337" s="3" t="s">
        <v>0</v>
      </c>
      <c r="C1337" s="20" t="s">
        <v>192</v>
      </c>
      <c r="D1337" s="21"/>
    </row>
    <row r="1338" spans="1:4" ht="12.75" customHeight="1" x14ac:dyDescent="0.2">
      <c r="A1338" s="21"/>
      <c r="B1338" s="3" t="s">
        <v>2</v>
      </c>
      <c r="C1338" s="20" t="s">
        <v>3</v>
      </c>
      <c r="D1338" s="21"/>
    </row>
    <row r="1339" spans="1:4" ht="12.75" customHeight="1" x14ac:dyDescent="0.2">
      <c r="A1339" s="21"/>
      <c r="B1339" s="3" t="s">
        <v>4</v>
      </c>
      <c r="C1339" s="20" t="s">
        <v>400</v>
      </c>
      <c r="D1339" s="21"/>
    </row>
    <row r="1340" spans="1:4" ht="12.75" customHeight="1" x14ac:dyDescent="0.2">
      <c r="A1340" s="21"/>
      <c r="B1340" s="3" t="s">
        <v>6</v>
      </c>
      <c r="C1340" s="20" t="s">
        <v>41</v>
      </c>
      <c r="D1340" s="21"/>
    </row>
    <row r="1341" spans="1:4" ht="12.75" customHeight="1" x14ac:dyDescent="0.2">
      <c r="A1341" s="21"/>
      <c r="B1341" s="3" t="s">
        <v>8</v>
      </c>
      <c r="C1341" s="20" t="s">
        <v>400</v>
      </c>
      <c r="D1341" s="21"/>
    </row>
    <row r="1342" spans="1:4" ht="12.75" customHeight="1" x14ac:dyDescent="0.2">
      <c r="A1342" s="21"/>
      <c r="B1342" s="3" t="s">
        <v>9</v>
      </c>
      <c r="C1342" s="20" t="s">
        <v>124</v>
      </c>
      <c r="D1342" s="21"/>
    </row>
    <row r="1343" spans="1:4" ht="12.75" customHeight="1" x14ac:dyDescent="0.2">
      <c r="A1343" s="21"/>
      <c r="B1343" s="3" t="s">
        <v>11</v>
      </c>
      <c r="C1343" s="20" t="s">
        <v>381</v>
      </c>
      <c r="D1343" s="21"/>
    </row>
    <row r="1344" spans="1:4" ht="12.75" customHeight="1" x14ac:dyDescent="0.2">
      <c r="A1344" s="21"/>
      <c r="B1344" s="3" t="s">
        <v>13</v>
      </c>
      <c r="C1344" s="20" t="s">
        <v>24</v>
      </c>
      <c r="D1344" s="21"/>
    </row>
    <row r="1345" spans="1:4" ht="12.75" customHeight="1" x14ac:dyDescent="0.2">
      <c r="A1345" s="21"/>
      <c r="B1345" s="3" t="s">
        <v>15</v>
      </c>
      <c r="C1345" s="20" t="s">
        <v>24</v>
      </c>
      <c r="D1345" s="21"/>
    </row>
    <row r="1346" spans="1:4" ht="12.75" customHeight="1" x14ac:dyDescent="0.2">
      <c r="A1346" s="21"/>
      <c r="B1346" s="3" t="s">
        <v>16</v>
      </c>
      <c r="C1346" s="20"/>
      <c r="D1346" s="21"/>
    </row>
    <row r="1347" spans="1:4" ht="12.75" customHeight="1" x14ac:dyDescent="0.2">
      <c r="A1347" s="21"/>
      <c r="B1347" s="3" t="s">
        <v>17</v>
      </c>
      <c r="C1347" s="20"/>
      <c r="D1347" s="21"/>
    </row>
    <row r="1348" spans="1:4" ht="12.75" customHeight="1" x14ac:dyDescent="0.2">
      <c r="A1348" s="21"/>
      <c r="B1348" s="20" t="s">
        <v>18</v>
      </c>
      <c r="C1348" s="4" t="s">
        <v>44</v>
      </c>
      <c r="D1348" s="6" t="str">
        <f>HYPERLINK("javascript:void(0)","démonacél köpőcső")</f>
        <v>démonacél köpőcső</v>
      </c>
    </row>
    <row r="1349" spans="1:4" ht="12.75" customHeight="1" x14ac:dyDescent="0.2">
      <c r="A1349" s="21"/>
      <c r="B1349" s="21"/>
      <c r="C1349" s="4" t="s">
        <v>403</v>
      </c>
      <c r="D1349" s="6" t="str">
        <f>HYPERLINK("javascript:void(0)","mantüske")</f>
        <v>mantüske</v>
      </c>
    </row>
    <row r="1350" spans="1:4" ht="12.75" customHeight="1" x14ac:dyDescent="0.2">
      <c r="A1350" s="21"/>
      <c r="B1350" s="21"/>
      <c r="C1350" s="4" t="s">
        <v>290</v>
      </c>
      <c r="D1350" s="6" t="str">
        <f>HYPERLINK("javascript:void(0)","nekroige")</f>
        <v>nekroige</v>
      </c>
    </row>
    <row r="1351" spans="1:4" ht="12.75" customHeight="1" x14ac:dyDescent="0.2">
      <c r="A1351" s="5"/>
      <c r="B1351" s="2"/>
      <c r="C1351" s="2"/>
      <c r="D1351" s="2"/>
    </row>
    <row r="1352" spans="1:4" ht="12.75" customHeight="1" x14ac:dyDescent="0.2">
      <c r="A1352" s="22" t="str">
        <f>HYPERLINK("javascript:void(0)","dracoacél átokszóró")</f>
        <v>dracoacél átokszóró</v>
      </c>
      <c r="B1352" s="21"/>
      <c r="C1352" s="21"/>
      <c r="D1352" s="21"/>
    </row>
    <row r="1353" spans="1:4" ht="12.75" customHeight="1" x14ac:dyDescent="0.2">
      <c r="A1353" s="20"/>
      <c r="B1353" s="2"/>
      <c r="C1353" s="2"/>
      <c r="D1353" s="2"/>
    </row>
    <row r="1354" spans="1:4" ht="12.75" customHeight="1" x14ac:dyDescent="0.2">
      <c r="A1354" s="21"/>
      <c r="B1354" s="3" t="s">
        <v>0</v>
      </c>
      <c r="C1354" s="20" t="s">
        <v>192</v>
      </c>
      <c r="D1354" s="21"/>
    </row>
    <row r="1355" spans="1:4" ht="12.75" customHeight="1" x14ac:dyDescent="0.2">
      <c r="A1355" s="21"/>
      <c r="B1355" s="3" t="s">
        <v>2</v>
      </c>
      <c r="C1355" s="20" t="s">
        <v>3</v>
      </c>
      <c r="D1355" s="21"/>
    </row>
    <row r="1356" spans="1:4" ht="12.75" customHeight="1" x14ac:dyDescent="0.2">
      <c r="A1356" s="21"/>
      <c r="B1356" s="3" t="s">
        <v>4</v>
      </c>
      <c r="C1356" s="20" t="s">
        <v>405</v>
      </c>
      <c r="D1356" s="21"/>
    </row>
    <row r="1357" spans="1:4" ht="12.75" customHeight="1" x14ac:dyDescent="0.2">
      <c r="A1357" s="21"/>
      <c r="B1357" s="3" t="s">
        <v>6</v>
      </c>
      <c r="C1357" s="20" t="s">
        <v>65</v>
      </c>
      <c r="D1357" s="21"/>
    </row>
    <row r="1358" spans="1:4" ht="12.75" customHeight="1" x14ac:dyDescent="0.2">
      <c r="A1358" s="21"/>
      <c r="B1358" s="3" t="s">
        <v>8</v>
      </c>
      <c r="C1358" s="20" t="s">
        <v>405</v>
      </c>
      <c r="D1358" s="21"/>
    </row>
    <row r="1359" spans="1:4" ht="12.75" customHeight="1" x14ac:dyDescent="0.2">
      <c r="A1359" s="21"/>
      <c r="B1359" s="3" t="s">
        <v>9</v>
      </c>
      <c r="C1359" s="20" t="s">
        <v>42</v>
      </c>
      <c r="D1359" s="21"/>
    </row>
    <row r="1360" spans="1:4" ht="12.75" customHeight="1" x14ac:dyDescent="0.2">
      <c r="A1360" s="21"/>
      <c r="B1360" s="3" t="s">
        <v>11</v>
      </c>
      <c r="C1360" s="20" t="s">
        <v>406</v>
      </c>
      <c r="D1360" s="21"/>
    </row>
    <row r="1361" spans="1:4" ht="12.75" customHeight="1" x14ac:dyDescent="0.2">
      <c r="A1361" s="21"/>
      <c r="B1361" s="3" t="s">
        <v>13</v>
      </c>
      <c r="C1361" s="20" t="s">
        <v>24</v>
      </c>
      <c r="D1361" s="21"/>
    </row>
    <row r="1362" spans="1:4" ht="12.75" customHeight="1" x14ac:dyDescent="0.2">
      <c r="A1362" s="21"/>
      <c r="B1362" s="3" t="s">
        <v>15</v>
      </c>
      <c r="C1362" s="20" t="s">
        <v>24</v>
      </c>
      <c r="D1362" s="21"/>
    </row>
    <row r="1363" spans="1:4" ht="12.75" customHeight="1" x14ac:dyDescent="0.2">
      <c r="A1363" s="21"/>
      <c r="B1363" s="3" t="s">
        <v>16</v>
      </c>
      <c r="C1363" s="20"/>
      <c r="D1363" s="21"/>
    </row>
    <row r="1364" spans="1:4" ht="12.75" customHeight="1" x14ac:dyDescent="0.2">
      <c r="A1364" s="21"/>
      <c r="B1364" s="3" t="s">
        <v>17</v>
      </c>
      <c r="C1364" s="20"/>
      <c r="D1364" s="21"/>
    </row>
    <row r="1365" spans="1:4" ht="12.75" customHeight="1" x14ac:dyDescent="0.2">
      <c r="A1365" s="21"/>
      <c r="B1365" s="20" t="s">
        <v>18</v>
      </c>
      <c r="C1365" s="4" t="s">
        <v>44</v>
      </c>
      <c r="D1365" s="6" t="str">
        <f>HYPERLINK("javascript:void(0)","dracoacél pusztító")</f>
        <v>dracoacél pusztító</v>
      </c>
    </row>
    <row r="1366" spans="1:4" ht="12.75" customHeight="1" x14ac:dyDescent="0.2">
      <c r="A1366" s="21"/>
      <c r="B1366" s="21"/>
      <c r="C1366" s="4" t="s">
        <v>98</v>
      </c>
      <c r="D1366" s="6" t="str">
        <f>HYPERLINK("javascript:void(0)","yetiláb")</f>
        <v>yetiláb</v>
      </c>
    </row>
    <row r="1367" spans="1:4" ht="12.75" customHeight="1" x14ac:dyDescent="0.2">
      <c r="A1367" s="21"/>
      <c r="B1367" s="21"/>
      <c r="C1367" s="4" t="s">
        <v>382</v>
      </c>
      <c r="D1367" s="6" t="str">
        <f>HYPERLINK("javascript:void(0)","morfige")</f>
        <v>morfige</v>
      </c>
    </row>
    <row r="1368" spans="1:4" ht="12.75" customHeight="1" x14ac:dyDescent="0.2">
      <c r="A1368" s="5"/>
      <c r="B1368" s="2"/>
      <c r="C1368" s="2"/>
      <c r="D1368" s="2"/>
    </row>
    <row r="1369" spans="1:4" ht="12.75" customHeight="1" x14ac:dyDescent="0.2">
      <c r="A1369" s="22" t="str">
        <f>HYPERLINK("javascript:void(0)","dracoacél pusztító")</f>
        <v>dracoacél pusztító</v>
      </c>
      <c r="B1369" s="21"/>
      <c r="C1369" s="21"/>
      <c r="D1369" s="21"/>
    </row>
    <row r="1370" spans="1:4" ht="12.75" customHeight="1" x14ac:dyDescent="0.2">
      <c r="A1370" s="20"/>
      <c r="B1370" s="2"/>
      <c r="C1370" s="2"/>
      <c r="D1370" s="2"/>
    </row>
    <row r="1371" spans="1:4" ht="12.75" customHeight="1" x14ac:dyDescent="0.2">
      <c r="A1371" s="21"/>
      <c r="B1371" s="3" t="s">
        <v>0</v>
      </c>
      <c r="C1371" s="20" t="s">
        <v>115</v>
      </c>
      <c r="D1371" s="21"/>
    </row>
    <row r="1372" spans="1:4" ht="12.75" customHeight="1" x14ac:dyDescent="0.2">
      <c r="A1372" s="21"/>
      <c r="B1372" s="3" t="s">
        <v>2</v>
      </c>
      <c r="C1372" s="20" t="s">
        <v>3</v>
      </c>
      <c r="D1372" s="21"/>
    </row>
    <row r="1373" spans="1:4" ht="12.75" customHeight="1" x14ac:dyDescent="0.2">
      <c r="A1373" s="21"/>
      <c r="B1373" s="3" t="s">
        <v>4</v>
      </c>
      <c r="C1373" s="20" t="s">
        <v>410</v>
      </c>
      <c r="D1373" s="21"/>
    </row>
    <row r="1374" spans="1:4" ht="12.75" customHeight="1" x14ac:dyDescent="0.2">
      <c r="A1374" s="21"/>
      <c r="B1374" s="3" t="s">
        <v>6</v>
      </c>
      <c r="C1374" s="20" t="s">
        <v>107</v>
      </c>
      <c r="D1374" s="21"/>
    </row>
    <row r="1375" spans="1:4" ht="12.75" customHeight="1" x14ac:dyDescent="0.2">
      <c r="A1375" s="21"/>
      <c r="B1375" s="3" t="s">
        <v>8</v>
      </c>
      <c r="C1375" s="20" t="s">
        <v>410</v>
      </c>
      <c r="D1375" s="21"/>
    </row>
    <row r="1376" spans="1:4" ht="12.75" customHeight="1" x14ac:dyDescent="0.2">
      <c r="A1376" s="21"/>
      <c r="B1376" s="3" t="s">
        <v>9</v>
      </c>
      <c r="C1376" s="20" t="s">
        <v>306</v>
      </c>
      <c r="D1376" s="21"/>
    </row>
    <row r="1377" spans="1:4" ht="12.75" customHeight="1" x14ac:dyDescent="0.2">
      <c r="A1377" s="21"/>
      <c r="B1377" s="3" t="s">
        <v>11</v>
      </c>
      <c r="C1377" s="20" t="s">
        <v>397</v>
      </c>
      <c r="D1377" s="21"/>
    </row>
    <row r="1378" spans="1:4" ht="12.75" customHeight="1" x14ac:dyDescent="0.2">
      <c r="A1378" s="21"/>
      <c r="B1378" s="3" t="s">
        <v>13</v>
      </c>
      <c r="C1378" s="20" t="s">
        <v>24</v>
      </c>
      <c r="D1378" s="21"/>
    </row>
    <row r="1379" spans="1:4" ht="12.75" customHeight="1" x14ac:dyDescent="0.2">
      <c r="A1379" s="21"/>
      <c r="B1379" s="3" t="s">
        <v>15</v>
      </c>
      <c r="C1379" s="20" t="s">
        <v>24</v>
      </c>
      <c r="D1379" s="21"/>
    </row>
    <row r="1380" spans="1:4" ht="12.75" customHeight="1" x14ac:dyDescent="0.2">
      <c r="A1380" s="21"/>
      <c r="B1380" s="3" t="s">
        <v>16</v>
      </c>
      <c r="C1380" s="20"/>
      <c r="D1380" s="21"/>
    </row>
    <row r="1381" spans="1:4" ht="12.75" customHeight="1" x14ac:dyDescent="0.2">
      <c r="A1381" s="21"/>
      <c r="B1381" s="3" t="s">
        <v>17</v>
      </c>
      <c r="C1381" s="20"/>
      <c r="D1381" s="21"/>
    </row>
    <row r="1382" spans="1:4" ht="12.75" customHeight="1" x14ac:dyDescent="0.2">
      <c r="A1382" s="21"/>
      <c r="B1382" s="20" t="s">
        <v>18</v>
      </c>
      <c r="C1382" s="4" t="s">
        <v>44</v>
      </c>
      <c r="D1382" s="6" t="str">
        <f>HYPERLINK("javascript:void(0)","dracoacél köpőcső")</f>
        <v>dracoacél köpőcső</v>
      </c>
    </row>
    <row r="1383" spans="1:4" ht="12.75" customHeight="1" x14ac:dyDescent="0.2">
      <c r="A1383" s="21"/>
      <c r="B1383" s="21"/>
      <c r="C1383" s="4" t="s">
        <v>139</v>
      </c>
      <c r="D1383" s="6" t="str">
        <f>HYPERLINK("javascript:void(0)","sárkány szarv")</f>
        <v>sárkány szarv</v>
      </c>
    </row>
    <row r="1384" spans="1:4" ht="12.75" customHeight="1" x14ac:dyDescent="0.2">
      <c r="A1384" s="21"/>
      <c r="B1384" s="21"/>
      <c r="C1384" s="4" t="s">
        <v>142</v>
      </c>
      <c r="D1384" s="6" t="str">
        <f>HYPERLINK("javascript:void(0)","yetiláb")</f>
        <v>yetiláb</v>
      </c>
    </row>
    <row r="1385" spans="1:4" ht="12.75" customHeight="1" x14ac:dyDescent="0.2">
      <c r="A1385" s="5"/>
      <c r="B1385" s="2"/>
      <c r="C1385" s="2"/>
      <c r="D1385" s="2"/>
    </row>
    <row r="1386" spans="1:4" ht="12.75" customHeight="1" x14ac:dyDescent="0.2">
      <c r="A1386" s="22" t="str">
        <f>HYPERLINK("javascript:void(0)","elfacél átokszóró")</f>
        <v>elfacél átokszóró</v>
      </c>
      <c r="B1386" s="21"/>
      <c r="C1386" s="21"/>
      <c r="D1386" s="21"/>
    </row>
    <row r="1387" spans="1:4" ht="12.75" customHeight="1" x14ac:dyDescent="0.2">
      <c r="A1387" s="20"/>
      <c r="B1387" s="2"/>
      <c r="C1387" s="2"/>
      <c r="D1387" s="2"/>
    </row>
    <row r="1388" spans="1:4" ht="12.75" customHeight="1" x14ac:dyDescent="0.2">
      <c r="A1388" s="21"/>
      <c r="B1388" s="3" t="s">
        <v>0</v>
      </c>
      <c r="C1388" s="20" t="s">
        <v>115</v>
      </c>
      <c r="D1388" s="21"/>
    </row>
    <row r="1389" spans="1:4" ht="12.75" customHeight="1" x14ac:dyDescent="0.2">
      <c r="A1389" s="21"/>
      <c r="B1389" s="3" t="s">
        <v>2</v>
      </c>
      <c r="C1389" s="20" t="s">
        <v>3</v>
      </c>
      <c r="D1389" s="21"/>
    </row>
    <row r="1390" spans="1:4" ht="12.75" customHeight="1" x14ac:dyDescent="0.2">
      <c r="A1390" s="21"/>
      <c r="B1390" s="3" t="s">
        <v>4</v>
      </c>
      <c r="C1390" s="20" t="s">
        <v>413</v>
      </c>
      <c r="D1390" s="21"/>
    </row>
    <row r="1391" spans="1:4" ht="12.75" customHeight="1" x14ac:dyDescent="0.2">
      <c r="A1391" s="21"/>
      <c r="B1391" s="3" t="s">
        <v>6</v>
      </c>
      <c r="C1391" s="20" t="s">
        <v>65</v>
      </c>
      <c r="D1391" s="21"/>
    </row>
    <row r="1392" spans="1:4" ht="12.75" customHeight="1" x14ac:dyDescent="0.2">
      <c r="A1392" s="21"/>
      <c r="B1392" s="3" t="s">
        <v>8</v>
      </c>
      <c r="C1392" s="20" t="s">
        <v>413</v>
      </c>
      <c r="D1392" s="21"/>
    </row>
    <row r="1393" spans="1:4" ht="12.75" customHeight="1" x14ac:dyDescent="0.2">
      <c r="A1393" s="21"/>
      <c r="B1393" s="3" t="s">
        <v>9</v>
      </c>
      <c r="C1393" s="20" t="s">
        <v>42</v>
      </c>
      <c r="D1393" s="21"/>
    </row>
    <row r="1394" spans="1:4" ht="12.75" customHeight="1" x14ac:dyDescent="0.2">
      <c r="A1394" s="21"/>
      <c r="B1394" s="3" t="s">
        <v>11</v>
      </c>
      <c r="C1394" s="20" t="s">
        <v>414</v>
      </c>
      <c r="D1394" s="21"/>
    </row>
    <row r="1395" spans="1:4" ht="12.75" customHeight="1" x14ac:dyDescent="0.2">
      <c r="A1395" s="21"/>
      <c r="B1395" s="3" t="s">
        <v>13</v>
      </c>
      <c r="C1395" s="20" t="s">
        <v>24</v>
      </c>
      <c r="D1395" s="21"/>
    </row>
    <row r="1396" spans="1:4" ht="12.75" customHeight="1" x14ac:dyDescent="0.2">
      <c r="A1396" s="21"/>
      <c r="B1396" s="3" t="s">
        <v>15</v>
      </c>
      <c r="C1396" s="20" t="s">
        <v>24</v>
      </c>
      <c r="D1396" s="21"/>
    </row>
    <row r="1397" spans="1:4" ht="12.75" customHeight="1" x14ac:dyDescent="0.2">
      <c r="A1397" s="21"/>
      <c r="B1397" s="3" t="s">
        <v>16</v>
      </c>
      <c r="C1397" s="20"/>
      <c r="D1397" s="21"/>
    </row>
    <row r="1398" spans="1:4" ht="12.75" customHeight="1" x14ac:dyDescent="0.2">
      <c r="A1398" s="21"/>
      <c r="B1398" s="3" t="s">
        <v>17</v>
      </c>
      <c r="C1398" s="20"/>
      <c r="D1398" s="21"/>
    </row>
    <row r="1399" spans="1:4" ht="12.75" customHeight="1" x14ac:dyDescent="0.2">
      <c r="A1399" s="21"/>
      <c r="B1399" s="20" t="s">
        <v>18</v>
      </c>
      <c r="C1399" s="4" t="s">
        <v>44</v>
      </c>
      <c r="D1399" s="6" t="str">
        <f>HYPERLINK("javascript:void(0)","elfacél pusztító")</f>
        <v>elfacél pusztító</v>
      </c>
    </row>
    <row r="1400" spans="1:4" ht="12.75" customHeight="1" x14ac:dyDescent="0.2">
      <c r="A1400" s="21"/>
      <c r="B1400" s="21"/>
      <c r="C1400" s="4" t="s">
        <v>163</v>
      </c>
      <c r="D1400" s="6" t="str">
        <f>HYPERLINK("javascript:void(0)","főnixtoll")</f>
        <v>főnixtoll</v>
      </c>
    </row>
    <row r="1401" spans="1:4" ht="12.75" customHeight="1" x14ac:dyDescent="0.2">
      <c r="A1401" s="21"/>
      <c r="B1401" s="21"/>
      <c r="C1401" s="4" t="s">
        <v>98</v>
      </c>
      <c r="D1401" s="6" t="str">
        <f>HYPERLINK("javascript:void(0)","hörcsögagyar")</f>
        <v>hörcsögagyar</v>
      </c>
    </row>
    <row r="1402" spans="1:4" ht="12.75" customHeight="1" x14ac:dyDescent="0.2">
      <c r="A1402" s="5"/>
      <c r="B1402" s="2"/>
      <c r="C1402" s="2"/>
      <c r="D1402" s="2"/>
    </row>
    <row r="1403" spans="1:4" ht="12.75" customHeight="1" x14ac:dyDescent="0.2">
      <c r="A1403" s="22" t="str">
        <f>HYPERLINK("javascript:void(0)","elfacél pusztító")</f>
        <v>elfacél pusztító</v>
      </c>
      <c r="B1403" s="21"/>
      <c r="C1403" s="21"/>
      <c r="D1403" s="21"/>
    </row>
    <row r="1404" spans="1:4" ht="12.75" customHeight="1" x14ac:dyDescent="0.2">
      <c r="A1404" s="20"/>
      <c r="B1404" s="2"/>
      <c r="C1404" s="2"/>
      <c r="D1404" s="2"/>
    </row>
    <row r="1405" spans="1:4" ht="12.75" customHeight="1" x14ac:dyDescent="0.2">
      <c r="A1405" s="21"/>
      <c r="B1405" s="3" t="s">
        <v>0</v>
      </c>
      <c r="C1405" s="20" t="s">
        <v>417</v>
      </c>
      <c r="D1405" s="21"/>
    </row>
    <row r="1406" spans="1:4" ht="12.75" customHeight="1" x14ac:dyDescent="0.2">
      <c r="A1406" s="21"/>
      <c r="B1406" s="3" t="s">
        <v>2</v>
      </c>
      <c r="C1406" s="20" t="s">
        <v>3</v>
      </c>
      <c r="D1406" s="21"/>
    </row>
    <row r="1407" spans="1:4" ht="12.75" customHeight="1" x14ac:dyDescent="0.2">
      <c r="A1407" s="21"/>
      <c r="B1407" s="3" t="s">
        <v>4</v>
      </c>
      <c r="C1407" s="20" t="s">
        <v>418</v>
      </c>
      <c r="D1407" s="21"/>
    </row>
    <row r="1408" spans="1:4" ht="12.75" customHeight="1" x14ac:dyDescent="0.2">
      <c r="A1408" s="21"/>
      <c r="B1408" s="3" t="s">
        <v>6</v>
      </c>
      <c r="C1408" s="20" t="s">
        <v>115</v>
      </c>
      <c r="D1408" s="21"/>
    </row>
    <row r="1409" spans="1:4" ht="12.75" customHeight="1" x14ac:dyDescent="0.2">
      <c r="A1409" s="21"/>
      <c r="B1409" s="3" t="s">
        <v>8</v>
      </c>
      <c r="C1409" s="20" t="s">
        <v>418</v>
      </c>
      <c r="D1409" s="21"/>
    </row>
    <row r="1410" spans="1:4" ht="12.75" customHeight="1" x14ac:dyDescent="0.2">
      <c r="A1410" s="21"/>
      <c r="B1410" s="3" t="s">
        <v>9</v>
      </c>
      <c r="C1410" s="20" t="s">
        <v>27</v>
      </c>
      <c r="D1410" s="21"/>
    </row>
    <row r="1411" spans="1:4" ht="12.75" customHeight="1" x14ac:dyDescent="0.2">
      <c r="A1411" s="21"/>
      <c r="B1411" s="3" t="s">
        <v>11</v>
      </c>
      <c r="C1411" s="20" t="s">
        <v>414</v>
      </c>
      <c r="D1411" s="21"/>
    </row>
    <row r="1412" spans="1:4" ht="12.75" customHeight="1" x14ac:dyDescent="0.2">
      <c r="A1412" s="21"/>
      <c r="B1412" s="3" t="s">
        <v>13</v>
      </c>
      <c r="C1412" s="20" t="s">
        <v>24</v>
      </c>
      <c r="D1412" s="21"/>
    </row>
    <row r="1413" spans="1:4" ht="12.75" customHeight="1" x14ac:dyDescent="0.2">
      <c r="A1413" s="21"/>
      <c r="B1413" s="3" t="s">
        <v>15</v>
      </c>
      <c r="C1413" s="20" t="s">
        <v>24</v>
      </c>
      <c r="D1413" s="21"/>
    </row>
    <row r="1414" spans="1:4" ht="12.75" customHeight="1" x14ac:dyDescent="0.2">
      <c r="A1414" s="21"/>
      <c r="B1414" s="3" t="s">
        <v>16</v>
      </c>
      <c r="C1414" s="20"/>
      <c r="D1414" s="21"/>
    </row>
    <row r="1415" spans="1:4" ht="12.75" customHeight="1" x14ac:dyDescent="0.2">
      <c r="A1415" s="21"/>
      <c r="B1415" s="3" t="s">
        <v>17</v>
      </c>
      <c r="C1415" s="20"/>
      <c r="D1415" s="21"/>
    </row>
    <row r="1416" spans="1:4" ht="12.75" customHeight="1" x14ac:dyDescent="0.2">
      <c r="A1416" s="21"/>
      <c r="B1416" s="20" t="s">
        <v>18</v>
      </c>
      <c r="C1416" s="4" t="s">
        <v>44</v>
      </c>
      <c r="D1416" s="6" t="str">
        <f>HYPERLINK("javascript:void(0)","elfacél köpőcső")</f>
        <v>elfacél köpőcső</v>
      </c>
    </row>
    <row r="1417" spans="1:4" ht="12.75" customHeight="1" x14ac:dyDescent="0.2">
      <c r="A1417" s="21"/>
      <c r="B1417" s="21"/>
      <c r="C1417" s="4" t="s">
        <v>420</v>
      </c>
      <c r="D1417" s="6" t="str">
        <f>HYPERLINK("javascript:void(0)","szent szimbólum")</f>
        <v>szent szimbólum</v>
      </c>
    </row>
    <row r="1418" spans="1:4" ht="12.75" customHeight="1" x14ac:dyDescent="0.2">
      <c r="A1418" s="21"/>
      <c r="B1418" s="21"/>
      <c r="C1418" s="4" t="s">
        <v>142</v>
      </c>
      <c r="D1418" s="6" t="str">
        <f>HYPERLINK("javascript:void(0)","hárpia copf")</f>
        <v>hárpia copf</v>
      </c>
    </row>
    <row r="1419" spans="1:4" ht="12.75" customHeight="1" x14ac:dyDescent="0.2">
      <c r="A1419" s="5"/>
      <c r="B1419" s="2"/>
      <c r="C1419" s="2"/>
      <c r="D1419" s="2"/>
    </row>
    <row r="1420" spans="1:4" ht="12.75" customHeight="1" x14ac:dyDescent="0.2">
      <c r="A1420" s="22" t="str">
        <f>HYPERLINK("javascript:void(0)","óriásacél átokszóró")</f>
        <v>óriásacél átokszóró</v>
      </c>
      <c r="B1420" s="21"/>
      <c r="C1420" s="21"/>
      <c r="D1420" s="21"/>
    </row>
    <row r="1421" spans="1:4" ht="12.75" customHeight="1" x14ac:dyDescent="0.2">
      <c r="A1421" s="20"/>
      <c r="B1421" s="2"/>
      <c r="C1421" s="2"/>
      <c r="D1421" s="2"/>
    </row>
    <row r="1422" spans="1:4" ht="12.75" customHeight="1" x14ac:dyDescent="0.2">
      <c r="A1422" s="21"/>
      <c r="B1422" s="3" t="s">
        <v>0</v>
      </c>
      <c r="C1422" s="20" t="s">
        <v>417</v>
      </c>
      <c r="D1422" s="21"/>
    </row>
    <row r="1423" spans="1:4" ht="12.75" customHeight="1" x14ac:dyDescent="0.2">
      <c r="A1423" s="21"/>
      <c r="B1423" s="3" t="s">
        <v>2</v>
      </c>
      <c r="C1423" s="20" t="s">
        <v>3</v>
      </c>
      <c r="D1423" s="21"/>
    </row>
    <row r="1424" spans="1:4" ht="12.75" customHeight="1" x14ac:dyDescent="0.2">
      <c r="A1424" s="21"/>
      <c r="B1424" s="3" t="s">
        <v>4</v>
      </c>
      <c r="C1424" s="20" t="s">
        <v>422</v>
      </c>
      <c r="D1424" s="21"/>
    </row>
    <row r="1425" spans="1:4" ht="12.75" customHeight="1" x14ac:dyDescent="0.2">
      <c r="A1425" s="21"/>
      <c r="B1425" s="3" t="s">
        <v>6</v>
      </c>
      <c r="C1425" s="20" t="s">
        <v>65</v>
      </c>
      <c r="D1425" s="21"/>
    </row>
    <row r="1426" spans="1:4" ht="12.75" customHeight="1" x14ac:dyDescent="0.2">
      <c r="A1426" s="21"/>
      <c r="B1426" s="3" t="s">
        <v>8</v>
      </c>
      <c r="C1426" s="20" t="s">
        <v>422</v>
      </c>
      <c r="D1426" s="21"/>
    </row>
    <row r="1427" spans="1:4" ht="12.75" customHeight="1" x14ac:dyDescent="0.2">
      <c r="A1427" s="21"/>
      <c r="B1427" s="3" t="s">
        <v>9</v>
      </c>
      <c r="C1427" s="20" t="s">
        <v>42</v>
      </c>
      <c r="D1427" s="21"/>
    </row>
    <row r="1428" spans="1:4" ht="12.75" customHeight="1" x14ac:dyDescent="0.2">
      <c r="A1428" s="21"/>
      <c r="B1428" s="3" t="s">
        <v>11</v>
      </c>
      <c r="C1428" s="20" t="s">
        <v>424</v>
      </c>
      <c r="D1428" s="21"/>
    </row>
    <row r="1429" spans="1:4" ht="12.75" customHeight="1" x14ac:dyDescent="0.2">
      <c r="A1429" s="21"/>
      <c r="B1429" s="3" t="s">
        <v>13</v>
      </c>
      <c r="C1429" s="20" t="s">
        <v>24</v>
      </c>
      <c r="D1429" s="21"/>
    </row>
    <row r="1430" spans="1:4" ht="12.75" customHeight="1" x14ac:dyDescent="0.2">
      <c r="A1430" s="21"/>
      <c r="B1430" s="3" t="s">
        <v>15</v>
      </c>
      <c r="C1430" s="20" t="s">
        <v>24</v>
      </c>
      <c r="D1430" s="21"/>
    </row>
    <row r="1431" spans="1:4" ht="12.75" customHeight="1" x14ac:dyDescent="0.2">
      <c r="A1431" s="21"/>
      <c r="B1431" s="3" t="s">
        <v>16</v>
      </c>
      <c r="C1431" s="20"/>
      <c r="D1431" s="21"/>
    </row>
    <row r="1432" spans="1:4" ht="12.75" customHeight="1" x14ac:dyDescent="0.2">
      <c r="A1432" s="21"/>
      <c r="B1432" s="3" t="s">
        <v>17</v>
      </c>
      <c r="C1432" s="20"/>
      <c r="D1432" s="21"/>
    </row>
    <row r="1433" spans="1:4" ht="12.75" customHeight="1" x14ac:dyDescent="0.2">
      <c r="A1433" s="21"/>
      <c r="B1433" s="20" t="s">
        <v>18</v>
      </c>
      <c r="C1433" s="4" t="s">
        <v>44</v>
      </c>
      <c r="D1433" s="6" t="str">
        <f>HYPERLINK("javascript:void(0)","óriásacél pusztító")</f>
        <v>óriásacél pusztító</v>
      </c>
    </row>
    <row r="1434" spans="1:4" ht="12.75" customHeight="1" x14ac:dyDescent="0.2">
      <c r="A1434" s="21"/>
      <c r="B1434" s="21"/>
      <c r="C1434" s="4" t="s">
        <v>68</v>
      </c>
      <c r="D1434" s="6" t="str">
        <f>HYPERLINK("javascript:void(0)","óriás korona")</f>
        <v>óriás korona</v>
      </c>
    </row>
    <row r="1435" spans="1:4" ht="12.75" customHeight="1" x14ac:dyDescent="0.2">
      <c r="A1435" s="21"/>
      <c r="B1435" s="21"/>
      <c r="C1435" s="4" t="s">
        <v>139</v>
      </c>
      <c r="D1435" s="6" t="str">
        <f>HYPERLINK("javascript:void(0)","mechodron")</f>
        <v>mechodron</v>
      </c>
    </row>
    <row r="1436" spans="1:4" ht="12.75" customHeight="1" x14ac:dyDescent="0.2">
      <c r="A1436" s="5"/>
      <c r="B1436" s="2"/>
      <c r="C1436" s="2"/>
      <c r="D1436" s="2"/>
    </row>
    <row r="1437" spans="1:4" ht="12.75" customHeight="1" x14ac:dyDescent="0.2">
      <c r="A1437" s="22" t="str">
        <f>HYPERLINK("javascript:void(0)","óriásacél pusztító")</f>
        <v>óriásacél pusztító</v>
      </c>
      <c r="B1437" s="21"/>
      <c r="C1437" s="21"/>
      <c r="D1437" s="21"/>
    </row>
    <row r="1438" spans="1:4" ht="12.75" customHeight="1" x14ac:dyDescent="0.2">
      <c r="A1438" s="20"/>
      <c r="B1438" s="2"/>
      <c r="C1438" s="2"/>
      <c r="D1438" s="2"/>
    </row>
    <row r="1439" spans="1:4" ht="12.75" customHeight="1" x14ac:dyDescent="0.2">
      <c r="A1439" s="21"/>
      <c r="B1439" s="3" t="s">
        <v>0</v>
      </c>
      <c r="C1439" s="20" t="s">
        <v>216</v>
      </c>
      <c r="D1439" s="21"/>
    </row>
    <row r="1440" spans="1:4" ht="12.75" customHeight="1" x14ac:dyDescent="0.2">
      <c r="A1440" s="21"/>
      <c r="B1440" s="3" t="s">
        <v>2</v>
      </c>
      <c r="C1440" s="20" t="s">
        <v>3</v>
      </c>
      <c r="D1440" s="21"/>
    </row>
    <row r="1441" spans="1:4" ht="12.75" customHeight="1" x14ac:dyDescent="0.2">
      <c r="A1441" s="21"/>
      <c r="B1441" s="3" t="s">
        <v>4</v>
      </c>
      <c r="C1441" s="20" t="s">
        <v>425</v>
      </c>
      <c r="D1441" s="21"/>
    </row>
    <row r="1442" spans="1:4" ht="12.75" customHeight="1" x14ac:dyDescent="0.2">
      <c r="A1442" s="21"/>
      <c r="B1442" s="3" t="s">
        <v>6</v>
      </c>
      <c r="C1442" s="20" t="s">
        <v>392</v>
      </c>
      <c r="D1442" s="21"/>
    </row>
    <row r="1443" spans="1:4" ht="12.75" customHeight="1" x14ac:dyDescent="0.2">
      <c r="A1443" s="21"/>
      <c r="B1443" s="3" t="s">
        <v>8</v>
      </c>
      <c r="C1443" s="20" t="s">
        <v>425</v>
      </c>
      <c r="D1443" s="21"/>
    </row>
    <row r="1444" spans="1:4" ht="12.75" customHeight="1" x14ac:dyDescent="0.2">
      <c r="A1444" s="21"/>
      <c r="B1444" s="3" t="s">
        <v>9</v>
      </c>
      <c r="C1444" s="20" t="s">
        <v>126</v>
      </c>
      <c r="D1444" s="21"/>
    </row>
    <row r="1445" spans="1:4" ht="12.75" customHeight="1" x14ac:dyDescent="0.2">
      <c r="A1445" s="21"/>
      <c r="B1445" s="3" t="s">
        <v>11</v>
      </c>
      <c r="C1445" s="20" t="s">
        <v>427</v>
      </c>
      <c r="D1445" s="21"/>
    </row>
    <row r="1446" spans="1:4" ht="12.75" customHeight="1" x14ac:dyDescent="0.2">
      <c r="A1446" s="21"/>
      <c r="B1446" s="3" t="s">
        <v>13</v>
      </c>
      <c r="C1446" s="20" t="s">
        <v>24</v>
      </c>
      <c r="D1446" s="21"/>
    </row>
    <row r="1447" spans="1:4" ht="12.75" customHeight="1" x14ac:dyDescent="0.2">
      <c r="A1447" s="21"/>
      <c r="B1447" s="3" t="s">
        <v>15</v>
      </c>
      <c r="C1447" s="20" t="s">
        <v>24</v>
      </c>
      <c r="D1447" s="21"/>
    </row>
    <row r="1448" spans="1:4" ht="12.75" customHeight="1" x14ac:dyDescent="0.2">
      <c r="A1448" s="21"/>
      <c r="B1448" s="3" t="s">
        <v>16</v>
      </c>
      <c r="C1448" s="20"/>
      <c r="D1448" s="21"/>
    </row>
    <row r="1449" spans="1:4" ht="12.75" customHeight="1" x14ac:dyDescent="0.2">
      <c r="A1449" s="21"/>
      <c r="B1449" s="3" t="s">
        <v>17</v>
      </c>
      <c r="C1449" s="20"/>
      <c r="D1449" s="21"/>
    </row>
    <row r="1450" spans="1:4" ht="12.75" customHeight="1" x14ac:dyDescent="0.2">
      <c r="A1450" s="21"/>
      <c r="B1450" s="20" t="s">
        <v>18</v>
      </c>
      <c r="C1450" s="4" t="s">
        <v>44</v>
      </c>
      <c r="D1450" s="6" t="str">
        <f>HYPERLINK("javascript:void(0)","óriásacél köpőcső")</f>
        <v>óriásacél köpőcső</v>
      </c>
    </row>
    <row r="1451" spans="1:4" ht="12.75" customHeight="1" x14ac:dyDescent="0.2">
      <c r="A1451" s="21"/>
      <c r="B1451" s="21"/>
      <c r="C1451" s="4" t="s">
        <v>142</v>
      </c>
      <c r="D1451" s="6" t="str">
        <f>HYPERLINK("javascript:void(0)","portgyűrű")</f>
        <v>portgyűrű</v>
      </c>
    </row>
    <row r="1452" spans="1:4" ht="12.75" customHeight="1" x14ac:dyDescent="0.2">
      <c r="A1452" s="21"/>
      <c r="B1452" s="21"/>
      <c r="C1452" s="4" t="s">
        <v>98</v>
      </c>
      <c r="D1452" s="6" t="str">
        <f>HYPERLINK("javascript:void(0)","démonzanza")</f>
        <v>démonzanza</v>
      </c>
    </row>
    <row r="1453" spans="1:4" ht="12.75" customHeight="1" x14ac:dyDescent="0.2">
      <c r="A1453" s="5"/>
      <c r="B1453" s="2"/>
      <c r="C1453" s="2"/>
      <c r="D1453" s="2"/>
    </row>
    <row r="1454" spans="1:4" ht="12.75" customHeight="1" x14ac:dyDescent="0.2">
      <c r="A1454" s="22" t="str">
        <f>HYPERLINK("javascript:void(0)","kentacél átokszóró")</f>
        <v>kentacél átokszóró</v>
      </c>
      <c r="B1454" s="21"/>
      <c r="C1454" s="21"/>
      <c r="D1454" s="21"/>
    </row>
    <row r="1455" spans="1:4" ht="12.75" customHeight="1" x14ac:dyDescent="0.2">
      <c r="A1455" s="20"/>
      <c r="B1455" s="2"/>
      <c r="C1455" s="2"/>
      <c r="D1455" s="2"/>
    </row>
    <row r="1456" spans="1:4" ht="12.75" customHeight="1" x14ac:dyDescent="0.2">
      <c r="A1456" s="21"/>
      <c r="B1456" s="3" t="s">
        <v>0</v>
      </c>
      <c r="C1456" s="20" t="s">
        <v>216</v>
      </c>
      <c r="D1456" s="21"/>
    </row>
    <row r="1457" spans="1:4" ht="12.75" customHeight="1" x14ac:dyDescent="0.2">
      <c r="A1457" s="21"/>
      <c r="B1457" s="3" t="s">
        <v>2</v>
      </c>
      <c r="C1457" s="20" t="s">
        <v>3</v>
      </c>
      <c r="D1457" s="21"/>
    </row>
    <row r="1458" spans="1:4" ht="12.75" customHeight="1" x14ac:dyDescent="0.2">
      <c r="A1458" s="21"/>
      <c r="B1458" s="3" t="s">
        <v>4</v>
      </c>
      <c r="C1458" s="20" t="s">
        <v>430</v>
      </c>
      <c r="D1458" s="21"/>
    </row>
    <row r="1459" spans="1:4" ht="12.75" customHeight="1" x14ac:dyDescent="0.2">
      <c r="A1459" s="21"/>
      <c r="B1459" s="3" t="s">
        <v>6</v>
      </c>
      <c r="C1459" s="20" t="s">
        <v>65</v>
      </c>
      <c r="D1459" s="21"/>
    </row>
    <row r="1460" spans="1:4" ht="12.75" customHeight="1" x14ac:dyDescent="0.2">
      <c r="A1460" s="21"/>
      <c r="B1460" s="3" t="s">
        <v>8</v>
      </c>
      <c r="C1460" s="20" t="s">
        <v>430</v>
      </c>
      <c r="D1460" s="21"/>
    </row>
    <row r="1461" spans="1:4" ht="12.75" customHeight="1" x14ac:dyDescent="0.2">
      <c r="A1461" s="21"/>
      <c r="B1461" s="3" t="s">
        <v>9</v>
      </c>
      <c r="C1461" s="20" t="s">
        <v>42</v>
      </c>
      <c r="D1461" s="21"/>
    </row>
    <row r="1462" spans="1:4" ht="12.75" customHeight="1" x14ac:dyDescent="0.2">
      <c r="A1462" s="21"/>
      <c r="B1462" s="3" t="s">
        <v>11</v>
      </c>
      <c r="C1462" s="20" t="s">
        <v>427</v>
      </c>
      <c r="D1462" s="21"/>
    </row>
    <row r="1463" spans="1:4" ht="12.75" customHeight="1" x14ac:dyDescent="0.2">
      <c r="A1463" s="21"/>
      <c r="B1463" s="3" t="s">
        <v>13</v>
      </c>
      <c r="C1463" s="20" t="s">
        <v>24</v>
      </c>
      <c r="D1463" s="21"/>
    </row>
    <row r="1464" spans="1:4" ht="12.75" customHeight="1" x14ac:dyDescent="0.2">
      <c r="A1464" s="21"/>
      <c r="B1464" s="3" t="s">
        <v>15</v>
      </c>
      <c r="C1464" s="20" t="s">
        <v>24</v>
      </c>
      <c r="D1464" s="21"/>
    </row>
    <row r="1465" spans="1:4" ht="12.75" customHeight="1" x14ac:dyDescent="0.2">
      <c r="A1465" s="21"/>
      <c r="B1465" s="3" t="s">
        <v>16</v>
      </c>
      <c r="C1465" s="20"/>
      <c r="D1465" s="21"/>
    </row>
    <row r="1466" spans="1:4" ht="12.75" customHeight="1" x14ac:dyDescent="0.2">
      <c r="A1466" s="21"/>
      <c r="B1466" s="3" t="s">
        <v>17</v>
      </c>
      <c r="C1466" s="20"/>
      <c r="D1466" s="21"/>
    </row>
    <row r="1467" spans="1:4" ht="12.75" customHeight="1" x14ac:dyDescent="0.2">
      <c r="A1467" s="21"/>
      <c r="B1467" s="20" t="s">
        <v>18</v>
      </c>
      <c r="C1467" s="4" t="s">
        <v>44</v>
      </c>
      <c r="D1467" s="6" t="str">
        <f>HYPERLINK("javascript:void(0)","kentacél pusztító")</f>
        <v>kentacél pusztító</v>
      </c>
    </row>
    <row r="1468" spans="1:4" ht="12.75" customHeight="1" x14ac:dyDescent="0.2">
      <c r="A1468" s="21"/>
      <c r="B1468" s="21"/>
      <c r="C1468" s="4" t="s">
        <v>431</v>
      </c>
      <c r="D1468" s="6" t="str">
        <f>HYPERLINK("javascript:void(0)","szent szimbólum")</f>
        <v>szent szimbólum</v>
      </c>
    </row>
    <row r="1469" spans="1:4" ht="12.75" customHeight="1" x14ac:dyDescent="0.2">
      <c r="A1469" s="21"/>
      <c r="B1469" s="21"/>
      <c r="C1469" s="4" t="s">
        <v>280</v>
      </c>
      <c r="D1469" s="6" t="str">
        <f>HYPERLINK("javascript:void(0)","vérrög")</f>
        <v>vérrög</v>
      </c>
    </row>
    <row r="1470" spans="1:4" ht="12.75" customHeight="1" x14ac:dyDescent="0.2">
      <c r="A1470" s="5"/>
      <c r="B1470" s="2"/>
      <c r="C1470" s="2"/>
      <c r="D1470" s="2"/>
    </row>
    <row r="1471" spans="1:4" ht="12.75" customHeight="1" x14ac:dyDescent="0.2">
      <c r="A1471" s="22" t="str">
        <f>HYPERLINK("javascript:void(0)","kentacél pusztító")</f>
        <v>kentacél pusztító</v>
      </c>
      <c r="B1471" s="21"/>
      <c r="C1471" s="21"/>
      <c r="D1471" s="21"/>
    </row>
    <row r="1472" spans="1:4" ht="12.75" customHeight="1" x14ac:dyDescent="0.2">
      <c r="A1472" s="20"/>
      <c r="B1472" s="2"/>
      <c r="C1472" s="2"/>
      <c r="D1472" s="2"/>
    </row>
    <row r="1473" spans="1:4" ht="12.75" customHeight="1" x14ac:dyDescent="0.2">
      <c r="A1473" s="21"/>
      <c r="B1473" s="3" t="s">
        <v>0</v>
      </c>
      <c r="C1473" s="20" t="s">
        <v>435</v>
      </c>
      <c r="D1473" s="21"/>
    </row>
    <row r="1474" spans="1:4" ht="12.75" customHeight="1" x14ac:dyDescent="0.2">
      <c r="A1474" s="21"/>
      <c r="B1474" s="3" t="s">
        <v>2</v>
      </c>
      <c r="C1474" s="20" t="s">
        <v>3</v>
      </c>
      <c r="D1474" s="21"/>
    </row>
    <row r="1475" spans="1:4" ht="12.75" customHeight="1" x14ac:dyDescent="0.2">
      <c r="A1475" s="21"/>
      <c r="B1475" s="3" t="s">
        <v>4</v>
      </c>
      <c r="C1475" s="20" t="s">
        <v>436</v>
      </c>
      <c r="D1475" s="21"/>
    </row>
    <row r="1476" spans="1:4" ht="12.75" customHeight="1" x14ac:dyDescent="0.2">
      <c r="A1476" s="21"/>
      <c r="B1476" s="3" t="s">
        <v>6</v>
      </c>
      <c r="C1476" s="20" t="s">
        <v>272</v>
      </c>
      <c r="D1476" s="21"/>
    </row>
    <row r="1477" spans="1:4" ht="12.75" customHeight="1" x14ac:dyDescent="0.2">
      <c r="A1477" s="21"/>
      <c r="B1477" s="3" t="s">
        <v>8</v>
      </c>
      <c r="C1477" s="20" t="s">
        <v>436</v>
      </c>
      <c r="D1477" s="21"/>
    </row>
    <row r="1478" spans="1:4" ht="12.75" customHeight="1" x14ac:dyDescent="0.2">
      <c r="A1478" s="21"/>
      <c r="B1478" s="3" t="s">
        <v>9</v>
      </c>
      <c r="C1478" s="20" t="s">
        <v>27</v>
      </c>
      <c r="D1478" s="21"/>
    </row>
    <row r="1479" spans="1:4" ht="12.75" customHeight="1" x14ac:dyDescent="0.2">
      <c r="A1479" s="21"/>
      <c r="B1479" s="3" t="s">
        <v>11</v>
      </c>
      <c r="C1479" s="20" t="s">
        <v>437</v>
      </c>
      <c r="D1479" s="21"/>
    </row>
    <row r="1480" spans="1:4" ht="12.75" customHeight="1" x14ac:dyDescent="0.2">
      <c r="A1480" s="21"/>
      <c r="B1480" s="3" t="s">
        <v>13</v>
      </c>
      <c r="C1480" s="20" t="s">
        <v>24</v>
      </c>
      <c r="D1480" s="21"/>
    </row>
    <row r="1481" spans="1:4" ht="12.75" customHeight="1" x14ac:dyDescent="0.2">
      <c r="A1481" s="21"/>
      <c r="B1481" s="3" t="s">
        <v>15</v>
      </c>
      <c r="C1481" s="20" t="s">
        <v>24</v>
      </c>
      <c r="D1481" s="21"/>
    </row>
    <row r="1482" spans="1:4" ht="12.75" customHeight="1" x14ac:dyDescent="0.2">
      <c r="A1482" s="21"/>
      <c r="B1482" s="3" t="s">
        <v>16</v>
      </c>
      <c r="C1482" s="20"/>
      <c r="D1482" s="21"/>
    </row>
    <row r="1483" spans="1:4" ht="12.75" customHeight="1" x14ac:dyDescent="0.2">
      <c r="A1483" s="21"/>
      <c r="B1483" s="3" t="s">
        <v>17</v>
      </c>
      <c r="C1483" s="20"/>
      <c r="D1483" s="21"/>
    </row>
    <row r="1484" spans="1:4" ht="12.75" customHeight="1" x14ac:dyDescent="0.2">
      <c r="A1484" s="21"/>
      <c r="B1484" s="20" t="s">
        <v>18</v>
      </c>
      <c r="C1484" s="4" t="s">
        <v>44</v>
      </c>
      <c r="D1484" s="6" t="str">
        <f>HYPERLINK("javascript:void(0)","kentacél köpőcső")</f>
        <v>kentacél köpőcső</v>
      </c>
    </row>
    <row r="1485" spans="1:4" ht="12.75" customHeight="1" x14ac:dyDescent="0.2">
      <c r="A1485" s="21"/>
      <c r="B1485" s="21"/>
      <c r="C1485" s="4" t="s">
        <v>139</v>
      </c>
      <c r="D1485" s="6" t="str">
        <f>HYPERLINK("javascript:void(0)","yetiláb")</f>
        <v>yetiláb</v>
      </c>
    </row>
    <row r="1486" spans="1:4" ht="12.75" customHeight="1" x14ac:dyDescent="0.2">
      <c r="A1486" s="21"/>
      <c r="B1486" s="21"/>
      <c r="C1486" s="4" t="s">
        <v>142</v>
      </c>
      <c r="D1486" s="6" t="str">
        <f>HYPERLINK("javascript:void(0)","hordócsap")</f>
        <v>hordócsap</v>
      </c>
    </row>
    <row r="1487" spans="1:4" ht="12.75" customHeight="1" x14ac:dyDescent="0.2">
      <c r="A1487" s="5"/>
      <c r="B1487" s="2"/>
      <c r="C1487" s="2"/>
      <c r="D1487" s="2"/>
    </row>
    <row r="1488" spans="1:4" ht="12.75" customHeight="1" x14ac:dyDescent="0.2">
      <c r="A1488" s="22" t="str">
        <f>HYPERLINK("javascript:void(0)","mengorni átokszóró")</f>
        <v>mengorni átokszóró</v>
      </c>
      <c r="B1488" s="21"/>
      <c r="C1488" s="21"/>
      <c r="D1488" s="21"/>
    </row>
    <row r="1489" spans="1:4" ht="12.75" customHeight="1" x14ac:dyDescent="0.2">
      <c r="A1489" s="20"/>
      <c r="B1489" s="2"/>
      <c r="C1489" s="2"/>
      <c r="D1489" s="2"/>
    </row>
    <row r="1490" spans="1:4" ht="12.75" customHeight="1" x14ac:dyDescent="0.2">
      <c r="A1490" s="21"/>
      <c r="B1490" s="3" t="s">
        <v>0</v>
      </c>
      <c r="C1490" s="20" t="s">
        <v>435</v>
      </c>
      <c r="D1490" s="21"/>
    </row>
    <row r="1491" spans="1:4" ht="12.75" customHeight="1" x14ac:dyDescent="0.2">
      <c r="A1491" s="21"/>
      <c r="B1491" s="3" t="s">
        <v>2</v>
      </c>
      <c r="C1491" s="20" t="s">
        <v>3</v>
      </c>
      <c r="D1491" s="21"/>
    </row>
    <row r="1492" spans="1:4" ht="12.75" customHeight="1" x14ac:dyDescent="0.2">
      <c r="A1492" s="21"/>
      <c r="B1492" s="3" t="s">
        <v>4</v>
      </c>
      <c r="C1492" s="20" t="s">
        <v>439</v>
      </c>
      <c r="D1492" s="21"/>
    </row>
    <row r="1493" spans="1:4" ht="12.75" customHeight="1" x14ac:dyDescent="0.2">
      <c r="A1493" s="21"/>
      <c r="B1493" s="3" t="s">
        <v>6</v>
      </c>
      <c r="C1493" s="20" t="s">
        <v>65</v>
      </c>
      <c r="D1493" s="21"/>
    </row>
    <row r="1494" spans="1:4" ht="12.75" customHeight="1" x14ac:dyDescent="0.2">
      <c r="A1494" s="21"/>
      <c r="B1494" s="3" t="s">
        <v>8</v>
      </c>
      <c r="C1494" s="20" t="s">
        <v>439</v>
      </c>
      <c r="D1494" s="21"/>
    </row>
    <row r="1495" spans="1:4" ht="12.75" customHeight="1" x14ac:dyDescent="0.2">
      <c r="A1495" s="21"/>
      <c r="B1495" s="3" t="s">
        <v>9</v>
      </c>
      <c r="C1495" s="20" t="s">
        <v>42</v>
      </c>
      <c r="D1495" s="21"/>
    </row>
    <row r="1496" spans="1:4" ht="12.75" customHeight="1" x14ac:dyDescent="0.2">
      <c r="A1496" s="21"/>
      <c r="B1496" s="3" t="s">
        <v>11</v>
      </c>
      <c r="C1496" s="20" t="s">
        <v>442</v>
      </c>
      <c r="D1496" s="21"/>
    </row>
    <row r="1497" spans="1:4" ht="12.75" customHeight="1" x14ac:dyDescent="0.2">
      <c r="A1497" s="21"/>
      <c r="B1497" s="3" t="s">
        <v>13</v>
      </c>
      <c r="C1497" s="20" t="s">
        <v>24</v>
      </c>
      <c r="D1497" s="21"/>
    </row>
    <row r="1498" spans="1:4" ht="12.75" customHeight="1" x14ac:dyDescent="0.2">
      <c r="A1498" s="21"/>
      <c r="B1498" s="3" t="s">
        <v>15</v>
      </c>
      <c r="C1498" s="20" t="s">
        <v>24</v>
      </c>
      <c r="D1498" s="21"/>
    </row>
    <row r="1499" spans="1:4" ht="12.75" customHeight="1" x14ac:dyDescent="0.2">
      <c r="A1499" s="21"/>
      <c r="B1499" s="3" t="s">
        <v>16</v>
      </c>
      <c r="C1499" s="20"/>
      <c r="D1499" s="21"/>
    </row>
    <row r="1500" spans="1:4" ht="12.75" customHeight="1" x14ac:dyDescent="0.2">
      <c r="A1500" s="21"/>
      <c r="B1500" s="3" t="s">
        <v>17</v>
      </c>
      <c r="C1500" s="20"/>
      <c r="D1500" s="21"/>
    </row>
    <row r="1501" spans="1:4" ht="12.75" customHeight="1" x14ac:dyDescent="0.2">
      <c r="A1501" s="21"/>
      <c r="B1501" s="20" t="s">
        <v>18</v>
      </c>
      <c r="C1501" s="4" t="s">
        <v>44</v>
      </c>
      <c r="D1501" s="6" t="str">
        <f>HYPERLINK("javascript:void(0)","mengorni pusztító")</f>
        <v>mengorni pusztító</v>
      </c>
    </row>
    <row r="1502" spans="1:4" ht="12.75" customHeight="1" x14ac:dyDescent="0.2">
      <c r="A1502" s="21"/>
      <c r="B1502" s="21"/>
      <c r="C1502" s="4" t="s">
        <v>139</v>
      </c>
      <c r="D1502" s="6" t="str">
        <f>HYPERLINK("javascript:void(0)","vérrög")</f>
        <v>vérrög</v>
      </c>
    </row>
    <row r="1503" spans="1:4" ht="12.75" customHeight="1" x14ac:dyDescent="0.2">
      <c r="A1503" s="21"/>
      <c r="B1503" s="21"/>
      <c r="C1503" s="4" t="s">
        <v>130</v>
      </c>
      <c r="D1503" s="6" t="str">
        <f>HYPERLINK("javascript:void(0)","szent szimbólum")</f>
        <v>szent szimbólum</v>
      </c>
    </row>
    <row r="1504" spans="1:4" ht="12.75" customHeight="1" x14ac:dyDescent="0.2">
      <c r="A1504" s="5"/>
      <c r="B1504" s="2"/>
      <c r="C1504" s="2"/>
      <c r="D1504" s="2"/>
    </row>
    <row r="1505" spans="1:4" ht="12.75" customHeight="1" x14ac:dyDescent="0.2">
      <c r="A1505" s="22" t="str">
        <f>HYPERLINK("javascript:void(0)","mengorni pusztító")</f>
        <v>mengorni pusztító</v>
      </c>
      <c r="B1505" s="21"/>
      <c r="C1505" s="21"/>
      <c r="D1505" s="21"/>
    </row>
    <row r="1506" spans="1:4" ht="12.75" customHeight="1" x14ac:dyDescent="0.2">
      <c r="A1506" s="20"/>
      <c r="B1506" s="2"/>
      <c r="C1506" s="2"/>
      <c r="D1506" s="2"/>
    </row>
    <row r="1507" spans="1:4" ht="12.75" customHeight="1" x14ac:dyDescent="0.2">
      <c r="A1507" s="21"/>
      <c r="B1507" s="3" t="s">
        <v>0</v>
      </c>
      <c r="C1507" s="20" t="s">
        <v>47</v>
      </c>
      <c r="D1507" s="21"/>
    </row>
    <row r="1508" spans="1:4" ht="12.75" customHeight="1" x14ac:dyDescent="0.2">
      <c r="A1508" s="21"/>
      <c r="B1508" s="3" t="s">
        <v>2</v>
      </c>
      <c r="C1508" s="20" t="s">
        <v>3</v>
      </c>
      <c r="D1508" s="21"/>
    </row>
    <row r="1509" spans="1:4" ht="12.75" customHeight="1" x14ac:dyDescent="0.2">
      <c r="A1509" s="21"/>
      <c r="B1509" s="3" t="s">
        <v>4</v>
      </c>
      <c r="C1509" s="20" t="s">
        <v>446</v>
      </c>
      <c r="D1509" s="21"/>
    </row>
    <row r="1510" spans="1:4" ht="12.75" customHeight="1" x14ac:dyDescent="0.2">
      <c r="A1510" s="21"/>
      <c r="B1510" s="3" t="s">
        <v>6</v>
      </c>
      <c r="C1510" s="20" t="s">
        <v>284</v>
      </c>
      <c r="D1510" s="21"/>
    </row>
    <row r="1511" spans="1:4" ht="12.75" customHeight="1" x14ac:dyDescent="0.2">
      <c r="A1511" s="21"/>
      <c r="B1511" s="3" t="s">
        <v>8</v>
      </c>
      <c r="C1511" s="20" t="s">
        <v>446</v>
      </c>
      <c r="D1511" s="21"/>
    </row>
    <row r="1512" spans="1:4" ht="12.75" customHeight="1" x14ac:dyDescent="0.2">
      <c r="A1512" s="21"/>
      <c r="B1512" s="3" t="s">
        <v>9</v>
      </c>
      <c r="C1512" s="20" t="s">
        <v>172</v>
      </c>
      <c r="D1512" s="21"/>
    </row>
    <row r="1513" spans="1:4" ht="12.75" customHeight="1" x14ac:dyDescent="0.2">
      <c r="A1513" s="21"/>
      <c r="B1513" s="3" t="s">
        <v>11</v>
      </c>
      <c r="C1513" s="20" t="s">
        <v>447</v>
      </c>
      <c r="D1513" s="21"/>
    </row>
    <row r="1514" spans="1:4" ht="12.75" customHeight="1" x14ac:dyDescent="0.2">
      <c r="A1514" s="21"/>
      <c r="B1514" s="3" t="s">
        <v>13</v>
      </c>
      <c r="C1514" s="20" t="s">
        <v>24</v>
      </c>
      <c r="D1514" s="21"/>
    </row>
    <row r="1515" spans="1:4" ht="12.75" customHeight="1" x14ac:dyDescent="0.2">
      <c r="A1515" s="21"/>
      <c r="B1515" s="3" t="s">
        <v>15</v>
      </c>
      <c r="C1515" s="20" t="s">
        <v>24</v>
      </c>
      <c r="D1515" s="21"/>
    </row>
    <row r="1516" spans="1:4" ht="12.75" customHeight="1" x14ac:dyDescent="0.2">
      <c r="A1516" s="21"/>
      <c r="B1516" s="3" t="s">
        <v>16</v>
      </c>
      <c r="C1516" s="20"/>
      <c r="D1516" s="21"/>
    </row>
    <row r="1517" spans="1:4" ht="12.75" customHeight="1" x14ac:dyDescent="0.2">
      <c r="A1517" s="21"/>
      <c r="B1517" s="3" t="s">
        <v>17</v>
      </c>
      <c r="C1517" s="20"/>
      <c r="D1517" s="21"/>
    </row>
    <row r="1518" spans="1:4" ht="12.75" customHeight="1" x14ac:dyDescent="0.2">
      <c r="A1518" s="21"/>
      <c r="B1518" s="20" t="s">
        <v>18</v>
      </c>
      <c r="C1518" s="4" t="s">
        <v>44</v>
      </c>
      <c r="D1518" s="6" t="str">
        <f>HYPERLINK("javascript:void(0)","mengorni köpőcső")</f>
        <v>mengorni köpőcső</v>
      </c>
    </row>
    <row r="1519" spans="1:4" ht="12.75" customHeight="1" x14ac:dyDescent="0.2">
      <c r="A1519" s="21"/>
      <c r="B1519" s="21"/>
      <c r="C1519" s="4" t="s">
        <v>142</v>
      </c>
      <c r="D1519" s="6" t="str">
        <f>HYPERLINK("javascript:void(0)","göb")</f>
        <v>göb</v>
      </c>
    </row>
    <row r="1520" spans="1:4" ht="12.75" customHeight="1" x14ac:dyDescent="0.2">
      <c r="A1520" s="21"/>
      <c r="B1520" s="21"/>
      <c r="C1520" s="4" t="s">
        <v>184</v>
      </c>
      <c r="D1520" s="6" t="str">
        <f>HYPERLINK("javascript:void(0)","démonzanza")</f>
        <v>démonzanza</v>
      </c>
    </row>
    <row r="1521" spans="1:4" ht="12.75" customHeight="1" x14ac:dyDescent="0.2">
      <c r="A1521" s="5"/>
      <c r="B1521" s="2"/>
      <c r="C1521" s="2"/>
      <c r="D1521" s="2"/>
    </row>
    <row r="1522" spans="1:4" ht="12.75" customHeight="1" x14ac:dyDescent="0.2">
      <c r="A1522" s="22" t="str">
        <f>HYPERLINK("javascript:void(0)","skivei átokszóró")</f>
        <v>skivei átokszóró</v>
      </c>
      <c r="B1522" s="21"/>
      <c r="C1522" s="21"/>
      <c r="D1522" s="21"/>
    </row>
    <row r="1523" spans="1:4" ht="12.75" customHeight="1" x14ac:dyDescent="0.2">
      <c r="A1523" s="20"/>
      <c r="B1523" s="2"/>
      <c r="C1523" s="2"/>
      <c r="D1523" s="2"/>
    </row>
    <row r="1524" spans="1:4" ht="12.75" customHeight="1" x14ac:dyDescent="0.2">
      <c r="A1524" s="21"/>
      <c r="B1524" s="3" t="s">
        <v>0</v>
      </c>
      <c r="C1524" s="20" t="s">
        <v>47</v>
      </c>
      <c r="D1524" s="21"/>
    </row>
    <row r="1525" spans="1:4" ht="12.75" customHeight="1" x14ac:dyDescent="0.2">
      <c r="A1525" s="21"/>
      <c r="B1525" s="3" t="s">
        <v>2</v>
      </c>
      <c r="C1525" s="20" t="s">
        <v>3</v>
      </c>
      <c r="D1525" s="21"/>
    </row>
    <row r="1526" spans="1:4" ht="12.75" customHeight="1" x14ac:dyDescent="0.2">
      <c r="A1526" s="21"/>
      <c r="B1526" s="3" t="s">
        <v>4</v>
      </c>
      <c r="C1526" s="20" t="s">
        <v>450</v>
      </c>
      <c r="D1526" s="21"/>
    </row>
    <row r="1527" spans="1:4" ht="12.75" customHeight="1" x14ac:dyDescent="0.2">
      <c r="A1527" s="21"/>
      <c r="B1527" s="3" t="s">
        <v>6</v>
      </c>
      <c r="C1527" s="20" t="s">
        <v>65</v>
      </c>
      <c r="D1527" s="21"/>
    </row>
    <row r="1528" spans="1:4" ht="12.75" customHeight="1" x14ac:dyDescent="0.2">
      <c r="A1528" s="21"/>
      <c r="B1528" s="3" t="s">
        <v>8</v>
      </c>
      <c r="C1528" s="20" t="s">
        <v>450</v>
      </c>
      <c r="D1528" s="21"/>
    </row>
    <row r="1529" spans="1:4" ht="12.75" customHeight="1" x14ac:dyDescent="0.2">
      <c r="A1529" s="21"/>
      <c r="B1529" s="3" t="s">
        <v>9</v>
      </c>
      <c r="C1529" s="20" t="s">
        <v>42</v>
      </c>
      <c r="D1529" s="21"/>
    </row>
    <row r="1530" spans="1:4" ht="12.75" customHeight="1" x14ac:dyDescent="0.2">
      <c r="A1530" s="21"/>
      <c r="B1530" s="3" t="s">
        <v>11</v>
      </c>
      <c r="C1530" s="20" t="s">
        <v>437</v>
      </c>
      <c r="D1530" s="21"/>
    </row>
    <row r="1531" spans="1:4" ht="12.75" customHeight="1" x14ac:dyDescent="0.2">
      <c r="A1531" s="21"/>
      <c r="B1531" s="3" t="s">
        <v>13</v>
      </c>
      <c r="C1531" s="20" t="s">
        <v>24</v>
      </c>
      <c r="D1531" s="21"/>
    </row>
    <row r="1532" spans="1:4" ht="12.75" customHeight="1" x14ac:dyDescent="0.2">
      <c r="A1532" s="21"/>
      <c r="B1532" s="3" t="s">
        <v>15</v>
      </c>
      <c r="C1532" s="20" t="s">
        <v>24</v>
      </c>
      <c r="D1532" s="21"/>
    </row>
    <row r="1533" spans="1:4" ht="12.75" customHeight="1" x14ac:dyDescent="0.2">
      <c r="A1533" s="21"/>
      <c r="B1533" s="3" t="s">
        <v>16</v>
      </c>
      <c r="C1533" s="20"/>
      <c r="D1533" s="21"/>
    </row>
    <row r="1534" spans="1:4" ht="12.75" customHeight="1" x14ac:dyDescent="0.2">
      <c r="A1534" s="21"/>
      <c r="B1534" s="3" t="s">
        <v>17</v>
      </c>
      <c r="C1534" s="20"/>
      <c r="D1534" s="21"/>
    </row>
    <row r="1535" spans="1:4" ht="12.75" customHeight="1" x14ac:dyDescent="0.2">
      <c r="A1535" s="21"/>
      <c r="B1535" s="20" t="s">
        <v>18</v>
      </c>
      <c r="C1535" s="4" t="s">
        <v>44</v>
      </c>
      <c r="D1535" s="6" t="str">
        <f>HYPERLINK("javascript:void(0)","skivei pusztító")</f>
        <v>skivei pusztító</v>
      </c>
    </row>
    <row r="1536" spans="1:4" ht="12.75" customHeight="1" x14ac:dyDescent="0.2">
      <c r="A1536" s="21"/>
      <c r="B1536" s="21"/>
      <c r="C1536" s="4" t="s">
        <v>139</v>
      </c>
      <c r="D1536" s="6" t="str">
        <f>HYPERLINK("javascript:void(0)","uszony")</f>
        <v>uszony</v>
      </c>
    </row>
    <row r="1537" spans="1:4" ht="12.75" customHeight="1" x14ac:dyDescent="0.2">
      <c r="A1537" s="21"/>
      <c r="B1537" s="21"/>
      <c r="C1537" s="4" t="s">
        <v>130</v>
      </c>
      <c r="D1537" s="6" t="str">
        <f>HYPERLINK("javascript:void(0)","szent szimbólum")</f>
        <v>szent szimbólum</v>
      </c>
    </row>
    <row r="1538" spans="1:4" ht="12.75" customHeight="1" x14ac:dyDescent="0.2">
      <c r="A1538" s="5"/>
      <c r="B1538" s="2"/>
      <c r="C1538" s="2"/>
      <c r="D1538" s="2"/>
    </row>
    <row r="1539" spans="1:4" ht="12.75" customHeight="1" x14ac:dyDescent="0.2">
      <c r="A1539" s="22" t="str">
        <f>HYPERLINK("javascript:void(0)","skivei pusztító")</f>
        <v>skivei pusztító</v>
      </c>
      <c r="B1539" s="21"/>
      <c r="C1539" s="21"/>
      <c r="D1539" s="21"/>
    </row>
    <row r="1540" spans="1:4" ht="12.75" customHeight="1" x14ac:dyDescent="0.2">
      <c r="A1540" s="20"/>
      <c r="B1540" s="2"/>
      <c r="C1540" s="2"/>
      <c r="D1540" s="2"/>
    </row>
    <row r="1541" spans="1:4" ht="12.75" customHeight="1" x14ac:dyDescent="0.2">
      <c r="A1541" s="21"/>
      <c r="B1541" s="3" t="s">
        <v>0</v>
      </c>
      <c r="C1541" s="20" t="s">
        <v>127</v>
      </c>
      <c r="D1541" s="21"/>
    </row>
    <row r="1542" spans="1:4" ht="12.75" customHeight="1" x14ac:dyDescent="0.2">
      <c r="A1542" s="21"/>
      <c r="B1542" s="3" t="s">
        <v>2</v>
      </c>
      <c r="C1542" s="20" t="s">
        <v>3</v>
      </c>
      <c r="D1542" s="21"/>
    </row>
    <row r="1543" spans="1:4" ht="12.75" customHeight="1" x14ac:dyDescent="0.2">
      <c r="A1543" s="21"/>
      <c r="B1543" s="3" t="s">
        <v>4</v>
      </c>
      <c r="C1543" s="20" t="s">
        <v>452</v>
      </c>
      <c r="D1543" s="21"/>
    </row>
    <row r="1544" spans="1:4" ht="12.75" customHeight="1" x14ac:dyDescent="0.2">
      <c r="A1544" s="21"/>
      <c r="B1544" s="3" t="s">
        <v>6</v>
      </c>
      <c r="C1544" s="20" t="s">
        <v>260</v>
      </c>
      <c r="D1544" s="21"/>
    </row>
    <row r="1545" spans="1:4" ht="12.75" customHeight="1" x14ac:dyDescent="0.2">
      <c r="A1545" s="21"/>
      <c r="B1545" s="3" t="s">
        <v>8</v>
      </c>
      <c r="C1545" s="20" t="s">
        <v>452</v>
      </c>
      <c r="D1545" s="21"/>
    </row>
    <row r="1546" spans="1:4" ht="12.75" customHeight="1" x14ac:dyDescent="0.2">
      <c r="A1546" s="21"/>
      <c r="B1546" s="3" t="s">
        <v>9</v>
      </c>
      <c r="C1546" s="20" t="s">
        <v>210</v>
      </c>
      <c r="D1546" s="21"/>
    </row>
    <row r="1547" spans="1:4" ht="12.75" customHeight="1" x14ac:dyDescent="0.2">
      <c r="A1547" s="21"/>
      <c r="B1547" s="3" t="s">
        <v>11</v>
      </c>
      <c r="C1547" s="20" t="s">
        <v>453</v>
      </c>
      <c r="D1547" s="21"/>
    </row>
    <row r="1548" spans="1:4" ht="12.75" customHeight="1" x14ac:dyDescent="0.2">
      <c r="A1548" s="21"/>
      <c r="B1548" s="3" t="s">
        <v>13</v>
      </c>
      <c r="C1548" s="20" t="s">
        <v>24</v>
      </c>
      <c r="D1548" s="21"/>
    </row>
    <row r="1549" spans="1:4" ht="12.75" customHeight="1" x14ac:dyDescent="0.2">
      <c r="A1549" s="21"/>
      <c r="B1549" s="3" t="s">
        <v>15</v>
      </c>
      <c r="C1549" s="20" t="s">
        <v>24</v>
      </c>
      <c r="D1549" s="21"/>
    </row>
    <row r="1550" spans="1:4" ht="12.75" customHeight="1" x14ac:dyDescent="0.2">
      <c r="A1550" s="21"/>
      <c r="B1550" s="3" t="s">
        <v>16</v>
      </c>
      <c r="C1550" s="20"/>
      <c r="D1550" s="21"/>
    </row>
    <row r="1551" spans="1:4" ht="12.75" customHeight="1" x14ac:dyDescent="0.2">
      <c r="A1551" s="21"/>
      <c r="B1551" s="3" t="s">
        <v>17</v>
      </c>
      <c r="C1551" s="20"/>
      <c r="D1551" s="21"/>
    </row>
    <row r="1552" spans="1:4" ht="12.75" customHeight="1" x14ac:dyDescent="0.2">
      <c r="A1552" s="21"/>
      <c r="B1552" s="20" t="s">
        <v>18</v>
      </c>
      <c r="C1552" s="4" t="s">
        <v>44</v>
      </c>
      <c r="D1552" s="6" t="str">
        <f>HYPERLINK("javascript:void(0)","skivei köpőcső")</f>
        <v>skivei köpőcső</v>
      </c>
    </row>
    <row r="1553" spans="1:4" ht="12.75" customHeight="1" x14ac:dyDescent="0.2">
      <c r="A1553" s="21"/>
      <c r="B1553" s="21"/>
      <c r="C1553" s="4" t="s">
        <v>232</v>
      </c>
      <c r="D1553" s="6" t="str">
        <f>HYPERLINK("javascript:void(0)","malacorr")</f>
        <v>malacorr</v>
      </c>
    </row>
    <row r="1554" spans="1:4" ht="12.75" customHeight="1" x14ac:dyDescent="0.2">
      <c r="A1554" s="21"/>
      <c r="B1554" s="21"/>
      <c r="C1554" s="4" t="s">
        <v>193</v>
      </c>
      <c r="D1554" s="6" t="str">
        <f>HYPERLINK("javascript:void(0)","portgyűrű")</f>
        <v>portgyűrű</v>
      </c>
    </row>
    <row r="1555" spans="1:4" ht="12.75" customHeight="1" x14ac:dyDescent="0.2">
      <c r="A1555" s="5"/>
      <c r="B1555" s="2"/>
      <c r="C1555" s="2"/>
      <c r="D1555" s="2"/>
    </row>
    <row r="1556" spans="1:4" ht="12.75" customHeight="1" x14ac:dyDescent="0.2">
      <c r="A1556" s="22" t="str">
        <f>HYPERLINK("javascript:void(0)","parszi átokszóró")</f>
        <v>parszi átokszóró</v>
      </c>
      <c r="B1556" s="21"/>
      <c r="C1556" s="21"/>
      <c r="D1556" s="21"/>
    </row>
    <row r="1557" spans="1:4" ht="12.75" customHeight="1" x14ac:dyDescent="0.2">
      <c r="A1557" s="20"/>
      <c r="B1557" s="2"/>
      <c r="C1557" s="2"/>
      <c r="D1557" s="2"/>
    </row>
    <row r="1558" spans="1:4" ht="12.75" customHeight="1" x14ac:dyDescent="0.2">
      <c r="A1558" s="21"/>
      <c r="B1558" s="3" t="s">
        <v>0</v>
      </c>
      <c r="C1558" s="20" t="s">
        <v>127</v>
      </c>
      <c r="D1558" s="21"/>
    </row>
    <row r="1559" spans="1:4" ht="12.75" customHeight="1" x14ac:dyDescent="0.2">
      <c r="A1559" s="21"/>
      <c r="B1559" s="3" t="s">
        <v>2</v>
      </c>
      <c r="C1559" s="20" t="s">
        <v>3</v>
      </c>
      <c r="D1559" s="21"/>
    </row>
    <row r="1560" spans="1:4" ht="12.75" customHeight="1" x14ac:dyDescent="0.2">
      <c r="A1560" s="21"/>
      <c r="B1560" s="3" t="s">
        <v>4</v>
      </c>
      <c r="C1560" s="20" t="s">
        <v>454</v>
      </c>
      <c r="D1560" s="21"/>
    </row>
    <row r="1561" spans="1:4" ht="12.75" customHeight="1" x14ac:dyDescent="0.2">
      <c r="A1561" s="21"/>
      <c r="B1561" s="3" t="s">
        <v>6</v>
      </c>
      <c r="C1561" s="20" t="s">
        <v>65</v>
      </c>
      <c r="D1561" s="21"/>
    </row>
    <row r="1562" spans="1:4" ht="12.75" customHeight="1" x14ac:dyDescent="0.2">
      <c r="A1562" s="21"/>
      <c r="B1562" s="3" t="s">
        <v>8</v>
      </c>
      <c r="C1562" s="20" t="s">
        <v>454</v>
      </c>
      <c r="D1562" s="21"/>
    </row>
    <row r="1563" spans="1:4" ht="12.75" customHeight="1" x14ac:dyDescent="0.2">
      <c r="A1563" s="21"/>
      <c r="B1563" s="3" t="s">
        <v>9</v>
      </c>
      <c r="C1563" s="20" t="s">
        <v>42</v>
      </c>
      <c r="D1563" s="21"/>
    </row>
    <row r="1564" spans="1:4" ht="12.75" customHeight="1" x14ac:dyDescent="0.2">
      <c r="A1564" s="21"/>
      <c r="B1564" s="3" t="s">
        <v>11</v>
      </c>
      <c r="C1564" s="20" t="s">
        <v>456</v>
      </c>
      <c r="D1564" s="21"/>
    </row>
    <row r="1565" spans="1:4" ht="12.75" customHeight="1" x14ac:dyDescent="0.2">
      <c r="A1565" s="21"/>
      <c r="B1565" s="3" t="s">
        <v>13</v>
      </c>
      <c r="C1565" s="20" t="s">
        <v>24</v>
      </c>
      <c r="D1565" s="21"/>
    </row>
    <row r="1566" spans="1:4" ht="12.75" customHeight="1" x14ac:dyDescent="0.2">
      <c r="A1566" s="21"/>
      <c r="B1566" s="3" t="s">
        <v>15</v>
      </c>
      <c r="C1566" s="20" t="s">
        <v>24</v>
      </c>
      <c r="D1566" s="21"/>
    </row>
    <row r="1567" spans="1:4" ht="12.75" customHeight="1" x14ac:dyDescent="0.2">
      <c r="A1567" s="21"/>
      <c r="B1567" s="3" t="s">
        <v>16</v>
      </c>
      <c r="C1567" s="20"/>
      <c r="D1567" s="21"/>
    </row>
    <row r="1568" spans="1:4" ht="12.75" customHeight="1" x14ac:dyDescent="0.2">
      <c r="A1568" s="21"/>
      <c r="B1568" s="3" t="s">
        <v>17</v>
      </c>
      <c r="C1568" s="20"/>
      <c r="D1568" s="21"/>
    </row>
    <row r="1569" spans="1:4" ht="12.75" customHeight="1" x14ac:dyDescent="0.2">
      <c r="A1569" s="21"/>
      <c r="B1569" s="20" t="s">
        <v>18</v>
      </c>
      <c r="C1569" s="4" t="s">
        <v>44</v>
      </c>
      <c r="D1569" s="6" t="str">
        <f>HYPERLINK("javascript:void(0)","parszi pusztító")</f>
        <v>parszi pusztító</v>
      </c>
    </row>
    <row r="1570" spans="1:4" ht="12.75" customHeight="1" x14ac:dyDescent="0.2">
      <c r="A1570" s="21"/>
      <c r="B1570" s="21"/>
      <c r="C1570" s="4" t="s">
        <v>193</v>
      </c>
      <c r="D1570" s="6" t="str">
        <f>HYPERLINK("javascript:void(0)","szent szimbólum")</f>
        <v>szent szimbólum</v>
      </c>
    </row>
    <row r="1571" spans="1:4" ht="12.75" customHeight="1" x14ac:dyDescent="0.2">
      <c r="A1571" s="21"/>
      <c r="B1571" s="21"/>
      <c r="C1571" s="4" t="s">
        <v>67</v>
      </c>
      <c r="D1571" s="6" t="str">
        <f>HYPERLINK("javascript:void(0)","torokgyík")</f>
        <v>torokgyík</v>
      </c>
    </row>
    <row r="1572" spans="1:4" ht="12.75" customHeight="1" x14ac:dyDescent="0.2">
      <c r="A1572" s="5"/>
      <c r="B1572" s="2"/>
      <c r="C1572" s="2"/>
      <c r="D1572" s="2"/>
    </row>
    <row r="1573" spans="1:4" ht="12.75" customHeight="1" x14ac:dyDescent="0.2">
      <c r="A1573" s="22" t="str">
        <f>HYPERLINK("javascript:void(0)","parszi pusztító")</f>
        <v>parszi pusztító</v>
      </c>
      <c r="B1573" s="21"/>
      <c r="C1573" s="21"/>
      <c r="D1573" s="21"/>
    </row>
    <row r="1574" spans="1:4" ht="12.75" customHeight="1" x14ac:dyDescent="0.2">
      <c r="A1574" s="20"/>
      <c r="B1574" s="2"/>
      <c r="C1574" s="2"/>
      <c r="D1574" s="2"/>
    </row>
    <row r="1575" spans="1:4" ht="12.75" customHeight="1" x14ac:dyDescent="0.2">
      <c r="A1575" s="21"/>
      <c r="B1575" s="3" t="s">
        <v>0</v>
      </c>
      <c r="C1575" s="20" t="s">
        <v>204</v>
      </c>
      <c r="D1575" s="21"/>
    </row>
    <row r="1576" spans="1:4" ht="12.75" customHeight="1" x14ac:dyDescent="0.2">
      <c r="A1576" s="21"/>
      <c r="B1576" s="3" t="s">
        <v>2</v>
      </c>
      <c r="C1576" s="20" t="s">
        <v>3</v>
      </c>
      <c r="D1576" s="21"/>
    </row>
    <row r="1577" spans="1:4" ht="12.75" customHeight="1" x14ac:dyDescent="0.2">
      <c r="A1577" s="21"/>
      <c r="B1577" s="3" t="s">
        <v>4</v>
      </c>
      <c r="C1577" s="20" t="s">
        <v>461</v>
      </c>
      <c r="D1577" s="21"/>
    </row>
    <row r="1578" spans="1:4" ht="12.75" customHeight="1" x14ac:dyDescent="0.2">
      <c r="A1578" s="21"/>
      <c r="B1578" s="3" t="s">
        <v>6</v>
      </c>
      <c r="C1578" s="20" t="s">
        <v>178</v>
      </c>
      <c r="D1578" s="21"/>
    </row>
    <row r="1579" spans="1:4" ht="12.75" customHeight="1" x14ac:dyDescent="0.2">
      <c r="A1579" s="21"/>
      <c r="B1579" s="3" t="s">
        <v>8</v>
      </c>
      <c r="C1579" s="20" t="s">
        <v>461</v>
      </c>
      <c r="D1579" s="21"/>
    </row>
    <row r="1580" spans="1:4" ht="12.75" customHeight="1" x14ac:dyDescent="0.2">
      <c r="A1580" s="21"/>
      <c r="B1580" s="3" t="s">
        <v>9</v>
      </c>
      <c r="C1580" s="20" t="s">
        <v>464</v>
      </c>
      <c r="D1580" s="21"/>
    </row>
    <row r="1581" spans="1:4" ht="12.75" customHeight="1" x14ac:dyDescent="0.2">
      <c r="A1581" s="21"/>
      <c r="B1581" s="3" t="s">
        <v>11</v>
      </c>
      <c r="C1581" s="20" t="s">
        <v>465</v>
      </c>
      <c r="D1581" s="21"/>
    </row>
    <row r="1582" spans="1:4" ht="12.75" customHeight="1" x14ac:dyDescent="0.2">
      <c r="A1582" s="21"/>
      <c r="B1582" s="3" t="s">
        <v>13</v>
      </c>
      <c r="C1582" s="20" t="s">
        <v>24</v>
      </c>
      <c r="D1582" s="21"/>
    </row>
    <row r="1583" spans="1:4" ht="12.75" customHeight="1" x14ac:dyDescent="0.2">
      <c r="A1583" s="21"/>
      <c r="B1583" s="3" t="s">
        <v>15</v>
      </c>
      <c r="C1583" s="20" t="s">
        <v>24</v>
      </c>
      <c r="D1583" s="21"/>
    </row>
    <row r="1584" spans="1:4" ht="12.75" customHeight="1" x14ac:dyDescent="0.2">
      <c r="A1584" s="21"/>
      <c r="B1584" s="3" t="s">
        <v>16</v>
      </c>
      <c r="C1584" s="20"/>
      <c r="D1584" s="21"/>
    </row>
    <row r="1585" spans="1:4" ht="12.75" customHeight="1" x14ac:dyDescent="0.2">
      <c r="A1585" s="21"/>
      <c r="B1585" s="3" t="s">
        <v>17</v>
      </c>
      <c r="C1585" s="20"/>
      <c r="D1585" s="21"/>
    </row>
    <row r="1586" spans="1:4" ht="12.75" customHeight="1" x14ac:dyDescent="0.2">
      <c r="A1586" s="21"/>
      <c r="B1586" s="20" t="s">
        <v>18</v>
      </c>
      <c r="C1586" s="4" t="s">
        <v>44</v>
      </c>
      <c r="D1586" s="6" t="str">
        <f>HYPERLINK("javascript:void(0)","parszi köpőcső")</f>
        <v>parszi köpőcső</v>
      </c>
    </row>
    <row r="1587" spans="1:4" ht="12.75" customHeight="1" x14ac:dyDescent="0.2">
      <c r="A1587" s="21"/>
      <c r="B1587" s="21"/>
      <c r="C1587" s="4" t="s">
        <v>232</v>
      </c>
      <c r="D1587" s="6" t="str">
        <f>HYPERLINK("javascript:void(0)","öbleny")</f>
        <v>öbleny</v>
      </c>
    </row>
    <row r="1588" spans="1:4" ht="12.75" customHeight="1" x14ac:dyDescent="0.2">
      <c r="A1588" s="21"/>
      <c r="B1588" s="21"/>
      <c r="C1588" s="4" t="s">
        <v>117</v>
      </c>
      <c r="D1588" s="6" t="str">
        <f>HYPERLINK("javascript:void(0)","főnixtoll")</f>
        <v>főnixtoll</v>
      </c>
    </row>
    <row r="1589" spans="1:4" ht="12.75" customHeight="1" x14ac:dyDescent="0.2">
      <c r="A1589" s="5"/>
      <c r="B1589" s="2"/>
      <c r="C1589" s="2"/>
      <c r="D1589" s="2"/>
    </row>
    <row r="1590" spans="1:4" ht="12.75" customHeight="1" x14ac:dyDescent="0.2">
      <c r="A1590" s="22" t="str">
        <f>HYPERLINK("javascript:void(0)","rimföldi átokszóró")</f>
        <v>rimföldi átokszóró</v>
      </c>
      <c r="B1590" s="21"/>
      <c r="C1590" s="21"/>
      <c r="D1590" s="21"/>
    </row>
    <row r="1591" spans="1:4" ht="12.75" customHeight="1" x14ac:dyDescent="0.2">
      <c r="A1591" s="20"/>
      <c r="B1591" s="2"/>
      <c r="C1591" s="2"/>
      <c r="D1591" s="2"/>
    </row>
    <row r="1592" spans="1:4" ht="12.75" customHeight="1" x14ac:dyDescent="0.2">
      <c r="A1592" s="21"/>
      <c r="B1592" s="3" t="s">
        <v>0</v>
      </c>
      <c r="C1592" s="20" t="s">
        <v>204</v>
      </c>
      <c r="D1592" s="21"/>
    </row>
    <row r="1593" spans="1:4" ht="12.75" customHeight="1" x14ac:dyDescent="0.2">
      <c r="A1593" s="21"/>
      <c r="B1593" s="3" t="s">
        <v>2</v>
      </c>
      <c r="C1593" s="20" t="s">
        <v>3</v>
      </c>
      <c r="D1593" s="21"/>
    </row>
    <row r="1594" spans="1:4" ht="12.75" customHeight="1" x14ac:dyDescent="0.2">
      <c r="A1594" s="21"/>
      <c r="B1594" s="3" t="s">
        <v>4</v>
      </c>
      <c r="C1594" s="20" t="s">
        <v>466</v>
      </c>
      <c r="D1594" s="21"/>
    </row>
    <row r="1595" spans="1:4" ht="12.75" customHeight="1" x14ac:dyDescent="0.2">
      <c r="A1595" s="21"/>
      <c r="B1595" s="3" t="s">
        <v>6</v>
      </c>
      <c r="C1595" s="20" t="s">
        <v>65</v>
      </c>
      <c r="D1595" s="21"/>
    </row>
    <row r="1596" spans="1:4" ht="12.75" customHeight="1" x14ac:dyDescent="0.2">
      <c r="A1596" s="21"/>
      <c r="B1596" s="3" t="s">
        <v>8</v>
      </c>
      <c r="C1596" s="20" t="s">
        <v>466</v>
      </c>
      <c r="D1596" s="21"/>
    </row>
    <row r="1597" spans="1:4" ht="12.75" customHeight="1" x14ac:dyDescent="0.2">
      <c r="A1597" s="21"/>
      <c r="B1597" s="3" t="s">
        <v>9</v>
      </c>
      <c r="C1597" s="20" t="s">
        <v>42</v>
      </c>
      <c r="D1597" s="21"/>
    </row>
    <row r="1598" spans="1:4" ht="12.75" customHeight="1" x14ac:dyDescent="0.2">
      <c r="A1598" s="21"/>
      <c r="B1598" s="3" t="s">
        <v>11</v>
      </c>
      <c r="C1598" s="20" t="s">
        <v>447</v>
      </c>
      <c r="D1598" s="21"/>
    </row>
    <row r="1599" spans="1:4" ht="12.75" customHeight="1" x14ac:dyDescent="0.2">
      <c r="A1599" s="21"/>
      <c r="B1599" s="3" t="s">
        <v>13</v>
      </c>
      <c r="C1599" s="20" t="s">
        <v>24</v>
      </c>
      <c r="D1599" s="21"/>
    </row>
    <row r="1600" spans="1:4" ht="12.75" customHeight="1" x14ac:dyDescent="0.2">
      <c r="A1600" s="21"/>
      <c r="B1600" s="3" t="s">
        <v>15</v>
      </c>
      <c r="C1600" s="20" t="s">
        <v>24</v>
      </c>
      <c r="D1600" s="21"/>
    </row>
    <row r="1601" spans="1:4" ht="12.75" customHeight="1" x14ac:dyDescent="0.2">
      <c r="A1601" s="21"/>
      <c r="B1601" s="3" t="s">
        <v>16</v>
      </c>
      <c r="C1601" s="20"/>
      <c r="D1601" s="21"/>
    </row>
    <row r="1602" spans="1:4" ht="12.75" customHeight="1" x14ac:dyDescent="0.2">
      <c r="A1602" s="21"/>
      <c r="B1602" s="3" t="s">
        <v>17</v>
      </c>
      <c r="C1602" s="20"/>
      <c r="D1602" s="21"/>
    </row>
    <row r="1603" spans="1:4" ht="12.75" customHeight="1" x14ac:dyDescent="0.2">
      <c r="A1603" s="21"/>
      <c r="B1603" s="20" t="s">
        <v>18</v>
      </c>
      <c r="C1603" s="4" t="s">
        <v>44</v>
      </c>
      <c r="D1603" s="6" t="str">
        <f>HYPERLINK("javascript:void(0)","rimföldi pusztító")</f>
        <v>rimföldi pusztító</v>
      </c>
    </row>
    <row r="1604" spans="1:4" ht="12.75" customHeight="1" x14ac:dyDescent="0.2">
      <c r="A1604" s="21"/>
      <c r="B1604" s="21"/>
      <c r="C1604" s="4" t="s">
        <v>68</v>
      </c>
      <c r="D1604" s="6" t="str">
        <f>HYPERLINK("javascript:void(0)","istenpenge")</f>
        <v>istenpenge</v>
      </c>
    </row>
    <row r="1605" spans="1:4" ht="12.75" customHeight="1" x14ac:dyDescent="0.2">
      <c r="A1605" s="21"/>
      <c r="B1605" s="21"/>
      <c r="C1605" s="4" t="s">
        <v>280</v>
      </c>
      <c r="D1605" s="6" t="str">
        <f>HYPERLINK("javascript:void(0)","szent szimbólum")</f>
        <v>szent szimbólum</v>
      </c>
    </row>
    <row r="1606" spans="1:4" ht="12.75" customHeight="1" x14ac:dyDescent="0.2">
      <c r="A1606" s="5"/>
      <c r="B1606" s="2"/>
      <c r="C1606" s="2"/>
      <c r="D1606" s="2"/>
    </row>
    <row r="1607" spans="1:4" ht="12.75" customHeight="1" x14ac:dyDescent="0.2">
      <c r="A1607" s="22" t="str">
        <f>HYPERLINK("javascript:void(0)","rimföldi pusztító")</f>
        <v>rimföldi pusztító</v>
      </c>
      <c r="B1607" s="21"/>
      <c r="C1607" s="21"/>
      <c r="D1607" s="21"/>
    </row>
    <row r="1608" spans="1:4" ht="12.75" customHeight="1" x14ac:dyDescent="0.2">
      <c r="A1608" s="20"/>
      <c r="B1608" s="2"/>
      <c r="C1608" s="2"/>
      <c r="D1608" s="2"/>
    </row>
    <row r="1609" spans="1:4" ht="12.75" customHeight="1" x14ac:dyDescent="0.2">
      <c r="A1609" s="21"/>
      <c r="B1609" s="3" t="s">
        <v>0</v>
      </c>
      <c r="C1609" s="20" t="s">
        <v>468</v>
      </c>
      <c r="D1609" s="21"/>
    </row>
    <row r="1610" spans="1:4" ht="12.75" customHeight="1" x14ac:dyDescent="0.2">
      <c r="A1610" s="21"/>
      <c r="B1610" s="3" t="s">
        <v>2</v>
      </c>
      <c r="C1610" s="20" t="s">
        <v>3</v>
      </c>
      <c r="D1610" s="21"/>
    </row>
    <row r="1611" spans="1:4" ht="12.75" customHeight="1" x14ac:dyDescent="0.2">
      <c r="A1611" s="21"/>
      <c r="B1611" s="3" t="s">
        <v>4</v>
      </c>
      <c r="C1611" s="20" t="s">
        <v>469</v>
      </c>
      <c r="D1611" s="21"/>
    </row>
    <row r="1612" spans="1:4" ht="12.75" customHeight="1" x14ac:dyDescent="0.2">
      <c r="A1612" s="21"/>
      <c r="B1612" s="3" t="s">
        <v>6</v>
      </c>
      <c r="C1612" s="20" t="s">
        <v>115</v>
      </c>
      <c r="D1612" s="21"/>
    </row>
    <row r="1613" spans="1:4" ht="12.75" customHeight="1" x14ac:dyDescent="0.2">
      <c r="A1613" s="21"/>
      <c r="B1613" s="3" t="s">
        <v>8</v>
      </c>
      <c r="C1613" s="20" t="s">
        <v>469</v>
      </c>
      <c r="D1613" s="21"/>
    </row>
    <row r="1614" spans="1:4" ht="12.75" customHeight="1" x14ac:dyDescent="0.2">
      <c r="A1614" s="21"/>
      <c r="B1614" s="3" t="s">
        <v>9</v>
      </c>
      <c r="C1614" s="20" t="s">
        <v>374</v>
      </c>
      <c r="D1614" s="21"/>
    </row>
    <row r="1615" spans="1:4" ht="12.75" customHeight="1" x14ac:dyDescent="0.2">
      <c r="A1615" s="21"/>
      <c r="B1615" s="3" t="s">
        <v>11</v>
      </c>
      <c r="C1615" s="20" t="s">
        <v>470</v>
      </c>
      <c r="D1615" s="21"/>
    </row>
    <row r="1616" spans="1:4" ht="12.75" customHeight="1" x14ac:dyDescent="0.2">
      <c r="A1616" s="21"/>
      <c r="B1616" s="3" t="s">
        <v>13</v>
      </c>
      <c r="C1616" s="20" t="s">
        <v>24</v>
      </c>
      <c r="D1616" s="21"/>
    </row>
    <row r="1617" spans="1:4" ht="12.75" customHeight="1" x14ac:dyDescent="0.2">
      <c r="A1617" s="21"/>
      <c r="B1617" s="3" t="s">
        <v>15</v>
      </c>
      <c r="C1617" s="20" t="s">
        <v>24</v>
      </c>
      <c r="D1617" s="21"/>
    </row>
    <row r="1618" spans="1:4" ht="12.75" customHeight="1" x14ac:dyDescent="0.2">
      <c r="A1618" s="21"/>
      <c r="B1618" s="3" t="s">
        <v>16</v>
      </c>
      <c r="C1618" s="20"/>
      <c r="D1618" s="21"/>
    </row>
    <row r="1619" spans="1:4" ht="12.75" customHeight="1" x14ac:dyDescent="0.2">
      <c r="A1619" s="21"/>
      <c r="B1619" s="3" t="s">
        <v>17</v>
      </c>
      <c r="C1619" s="20"/>
      <c r="D1619" s="21"/>
    </row>
    <row r="1620" spans="1:4" ht="12.75" customHeight="1" x14ac:dyDescent="0.2">
      <c r="A1620" s="21"/>
      <c r="B1620" s="20" t="s">
        <v>18</v>
      </c>
      <c r="C1620" s="4" t="s">
        <v>44</v>
      </c>
      <c r="D1620" s="6" t="str">
        <f>HYPERLINK("javascript:void(0)","rimföldi köpőcső")</f>
        <v>rimföldi köpőcső</v>
      </c>
    </row>
    <row r="1621" spans="1:4" ht="12.75" customHeight="1" x14ac:dyDescent="0.2">
      <c r="A1621" s="21"/>
      <c r="B1621" s="21"/>
      <c r="C1621" s="4" t="s">
        <v>117</v>
      </c>
      <c r="D1621" s="6" t="str">
        <f>HYPERLINK("javascript:void(0)","esztétikum")</f>
        <v>esztétikum</v>
      </c>
    </row>
    <row r="1622" spans="1:4" ht="12.75" customHeight="1" x14ac:dyDescent="0.2">
      <c r="A1622" s="21"/>
      <c r="B1622" s="21"/>
      <c r="C1622" s="4" t="s">
        <v>232</v>
      </c>
      <c r="D1622" s="6" t="str">
        <f>HYPERLINK("javascript:void(0)","csigaház")</f>
        <v>csigaház</v>
      </c>
    </row>
    <row r="1623" spans="1:4" ht="12.75" customHeight="1" x14ac:dyDescent="0.2">
      <c r="A1623" s="5"/>
      <c r="B1623" s="2"/>
      <c r="C1623" s="2"/>
      <c r="D1623" s="2"/>
    </row>
    <row r="1624" spans="1:4" ht="12.75" customHeight="1" x14ac:dyDescent="0.2">
      <c r="A1624" s="22" t="str">
        <f>HYPERLINK("javascript:void(0)","wendír átokszóró")</f>
        <v>wendír átokszóró</v>
      </c>
      <c r="B1624" s="21"/>
      <c r="C1624" s="21"/>
      <c r="D1624" s="21"/>
    </row>
    <row r="1625" spans="1:4" ht="12.75" customHeight="1" x14ac:dyDescent="0.2">
      <c r="A1625" s="20"/>
      <c r="B1625" s="2"/>
      <c r="C1625" s="2"/>
      <c r="D1625" s="2"/>
    </row>
    <row r="1626" spans="1:4" ht="12.75" customHeight="1" x14ac:dyDescent="0.2">
      <c r="A1626" s="21"/>
      <c r="B1626" s="3" t="s">
        <v>0</v>
      </c>
      <c r="C1626" s="20" t="s">
        <v>468</v>
      </c>
      <c r="D1626" s="21"/>
    </row>
    <row r="1627" spans="1:4" ht="12.75" customHeight="1" x14ac:dyDescent="0.2">
      <c r="A1627" s="21"/>
      <c r="B1627" s="3" t="s">
        <v>2</v>
      </c>
      <c r="C1627" s="20" t="s">
        <v>3</v>
      </c>
      <c r="D1627" s="21"/>
    </row>
    <row r="1628" spans="1:4" ht="12.75" customHeight="1" x14ac:dyDescent="0.2">
      <c r="A1628" s="21"/>
      <c r="B1628" s="3" t="s">
        <v>4</v>
      </c>
      <c r="C1628" s="20" t="s">
        <v>475</v>
      </c>
      <c r="D1628" s="21"/>
    </row>
    <row r="1629" spans="1:4" ht="12.75" customHeight="1" x14ac:dyDescent="0.2">
      <c r="A1629" s="21"/>
      <c r="B1629" s="3" t="s">
        <v>6</v>
      </c>
      <c r="C1629" s="20" t="s">
        <v>65</v>
      </c>
      <c r="D1629" s="21"/>
    </row>
    <row r="1630" spans="1:4" ht="12.75" customHeight="1" x14ac:dyDescent="0.2">
      <c r="A1630" s="21"/>
      <c r="B1630" s="3" t="s">
        <v>8</v>
      </c>
      <c r="C1630" s="20" t="s">
        <v>475</v>
      </c>
      <c r="D1630" s="21"/>
    </row>
    <row r="1631" spans="1:4" ht="12.75" customHeight="1" x14ac:dyDescent="0.2">
      <c r="A1631" s="21"/>
      <c r="B1631" s="3" t="s">
        <v>9</v>
      </c>
      <c r="C1631" s="20" t="s">
        <v>42</v>
      </c>
      <c r="D1631" s="21"/>
    </row>
    <row r="1632" spans="1:4" ht="12.75" customHeight="1" x14ac:dyDescent="0.2">
      <c r="A1632" s="21"/>
      <c r="B1632" s="3" t="s">
        <v>11</v>
      </c>
      <c r="C1632" s="20" t="s">
        <v>477</v>
      </c>
      <c r="D1632" s="21"/>
    </row>
    <row r="1633" spans="1:4" ht="12.75" customHeight="1" x14ac:dyDescent="0.2">
      <c r="A1633" s="21"/>
      <c r="B1633" s="3" t="s">
        <v>13</v>
      </c>
      <c r="C1633" s="20" t="s">
        <v>24</v>
      </c>
      <c r="D1633" s="21"/>
    </row>
    <row r="1634" spans="1:4" ht="12.75" customHeight="1" x14ac:dyDescent="0.2">
      <c r="A1634" s="21"/>
      <c r="B1634" s="3" t="s">
        <v>15</v>
      </c>
      <c r="C1634" s="20" t="s">
        <v>24</v>
      </c>
      <c r="D1634" s="21"/>
    </row>
    <row r="1635" spans="1:4" ht="12.75" customHeight="1" x14ac:dyDescent="0.2">
      <c r="A1635" s="21"/>
      <c r="B1635" s="3" t="s">
        <v>16</v>
      </c>
      <c r="C1635" s="20"/>
      <c r="D1635" s="21"/>
    </row>
    <row r="1636" spans="1:4" ht="12.75" customHeight="1" x14ac:dyDescent="0.2">
      <c r="A1636" s="21"/>
      <c r="B1636" s="3" t="s">
        <v>17</v>
      </c>
      <c r="C1636" s="20"/>
      <c r="D1636" s="21"/>
    </row>
    <row r="1637" spans="1:4" ht="12.75" customHeight="1" x14ac:dyDescent="0.2">
      <c r="A1637" s="21"/>
      <c r="B1637" s="20" t="s">
        <v>18</v>
      </c>
      <c r="C1637" s="4" t="s">
        <v>44</v>
      </c>
      <c r="D1637" s="6" t="str">
        <f>HYPERLINK("javascript:void(0)","wendír pusztító")</f>
        <v>wendír pusztító</v>
      </c>
    </row>
    <row r="1638" spans="1:4" ht="12.75" customHeight="1" x14ac:dyDescent="0.2">
      <c r="A1638" s="21"/>
      <c r="B1638" s="21"/>
      <c r="C1638" s="4" t="s">
        <v>68</v>
      </c>
      <c r="D1638" s="6" t="str">
        <f>HYPERLINK("javascript:void(0)","kárópikkely")</f>
        <v>kárópikkely</v>
      </c>
    </row>
    <row r="1639" spans="1:4" ht="12.75" customHeight="1" x14ac:dyDescent="0.2">
      <c r="A1639" s="21"/>
      <c r="B1639" s="21"/>
      <c r="C1639" s="4" t="s">
        <v>98</v>
      </c>
      <c r="D1639" s="6" t="str">
        <f>HYPERLINK("javascript:void(0)","torokgyík")</f>
        <v>torokgyík</v>
      </c>
    </row>
    <row r="1640" spans="1:4" ht="12.75" customHeight="1" x14ac:dyDescent="0.2">
      <c r="A1640" s="5"/>
      <c r="B1640" s="2"/>
      <c r="C1640" s="2"/>
      <c r="D1640" s="2"/>
    </row>
    <row r="1641" spans="1:4" ht="12.75" customHeight="1" x14ac:dyDescent="0.2">
      <c r="A1641" s="22" t="str">
        <f>HYPERLINK("javascript:void(0)","wendír pusztító")</f>
        <v>wendír pusztító</v>
      </c>
      <c r="B1641" s="21"/>
      <c r="C1641" s="21"/>
      <c r="D1641" s="21"/>
    </row>
    <row r="1642" spans="1:4" ht="12.75" customHeight="1" x14ac:dyDescent="0.2">
      <c r="A1642" s="20"/>
      <c r="B1642" s="2"/>
      <c r="C1642" s="2"/>
      <c r="D1642" s="2"/>
    </row>
    <row r="1643" spans="1:4" ht="12.75" customHeight="1" x14ac:dyDescent="0.2">
      <c r="A1643" s="21"/>
      <c r="B1643" s="3" t="s">
        <v>0</v>
      </c>
      <c r="C1643" s="20" t="s">
        <v>213</v>
      </c>
      <c r="D1643" s="21"/>
    </row>
    <row r="1644" spans="1:4" ht="12.75" customHeight="1" x14ac:dyDescent="0.2">
      <c r="A1644" s="21"/>
      <c r="B1644" s="3" t="s">
        <v>2</v>
      </c>
      <c r="C1644" s="20" t="s">
        <v>3</v>
      </c>
      <c r="D1644" s="21"/>
    </row>
    <row r="1645" spans="1:4" ht="12.75" customHeight="1" x14ac:dyDescent="0.2">
      <c r="A1645" s="21"/>
      <c r="B1645" s="3" t="s">
        <v>4</v>
      </c>
      <c r="C1645" s="20" t="s">
        <v>481</v>
      </c>
      <c r="D1645" s="21"/>
    </row>
    <row r="1646" spans="1:4" ht="12.75" customHeight="1" x14ac:dyDescent="0.2">
      <c r="A1646" s="21"/>
      <c r="B1646" s="3" t="s">
        <v>6</v>
      </c>
      <c r="C1646" s="20" t="s">
        <v>115</v>
      </c>
      <c r="D1646" s="21"/>
    </row>
    <row r="1647" spans="1:4" ht="12.75" customHeight="1" x14ac:dyDescent="0.2">
      <c r="A1647" s="21"/>
      <c r="B1647" s="3" t="s">
        <v>8</v>
      </c>
      <c r="C1647" s="20" t="s">
        <v>481</v>
      </c>
      <c r="D1647" s="21"/>
    </row>
    <row r="1648" spans="1:4" ht="12.75" customHeight="1" x14ac:dyDescent="0.2">
      <c r="A1648" s="21"/>
      <c r="B1648" s="3" t="s">
        <v>9</v>
      </c>
      <c r="C1648" s="20" t="s">
        <v>147</v>
      </c>
      <c r="D1648" s="21"/>
    </row>
    <row r="1649" spans="1:4" ht="12.75" customHeight="1" x14ac:dyDescent="0.2">
      <c r="A1649" s="21"/>
      <c r="B1649" s="3" t="s">
        <v>11</v>
      </c>
      <c r="C1649" s="20" t="s">
        <v>483</v>
      </c>
      <c r="D1649" s="21"/>
    </row>
    <row r="1650" spans="1:4" ht="12.75" customHeight="1" x14ac:dyDescent="0.2">
      <c r="A1650" s="21"/>
      <c r="B1650" s="3" t="s">
        <v>13</v>
      </c>
      <c r="C1650" s="20" t="s">
        <v>24</v>
      </c>
      <c r="D1650" s="21"/>
    </row>
    <row r="1651" spans="1:4" ht="12.75" customHeight="1" x14ac:dyDescent="0.2">
      <c r="A1651" s="21"/>
      <c r="B1651" s="3" t="s">
        <v>15</v>
      </c>
      <c r="C1651" s="20" t="s">
        <v>24</v>
      </c>
      <c r="D1651" s="21"/>
    </row>
    <row r="1652" spans="1:4" ht="12.75" customHeight="1" x14ac:dyDescent="0.2">
      <c r="A1652" s="21"/>
      <c r="B1652" s="3" t="s">
        <v>16</v>
      </c>
      <c r="C1652" s="20"/>
      <c r="D1652" s="21"/>
    </row>
    <row r="1653" spans="1:4" ht="12.75" customHeight="1" x14ac:dyDescent="0.2">
      <c r="A1653" s="21"/>
      <c r="B1653" s="3" t="s">
        <v>17</v>
      </c>
      <c r="C1653" s="20"/>
      <c r="D1653" s="21"/>
    </row>
    <row r="1654" spans="1:4" ht="12.75" customHeight="1" x14ac:dyDescent="0.2">
      <c r="A1654" s="21"/>
      <c r="B1654" s="20" t="s">
        <v>18</v>
      </c>
      <c r="C1654" s="4" t="s">
        <v>44</v>
      </c>
      <c r="D1654" s="6" t="str">
        <f>HYPERLINK("javascript:void(0)","wendír köpőcső")</f>
        <v>wendír köpőcső</v>
      </c>
    </row>
    <row r="1655" spans="1:4" ht="12.75" customHeight="1" x14ac:dyDescent="0.2">
      <c r="A1655" s="21"/>
      <c r="B1655" s="21"/>
      <c r="C1655" s="4" t="s">
        <v>184</v>
      </c>
      <c r="D1655" s="6" t="str">
        <f>HYPERLINK("javascript:void(0)","démonzanza")</f>
        <v>démonzanza</v>
      </c>
    </row>
    <row r="1656" spans="1:4" ht="12.75" customHeight="1" x14ac:dyDescent="0.2">
      <c r="A1656" s="21"/>
      <c r="B1656" s="21"/>
      <c r="C1656" s="4" t="s">
        <v>232</v>
      </c>
      <c r="D1656" s="6" t="str">
        <f>HYPERLINK("javascript:void(0)","manókoponya")</f>
        <v>manókoponya</v>
      </c>
    </row>
    <row r="1657" spans="1:4" ht="12.75" customHeight="1" x14ac:dyDescent="0.2">
      <c r="A1657" s="5"/>
      <c r="B1657" s="2"/>
      <c r="C1657" s="2"/>
      <c r="D1657" s="2"/>
    </row>
    <row r="1658" spans="1:4" ht="12.75" customHeight="1" x14ac:dyDescent="0.2">
      <c r="A1658" s="22" t="str">
        <f>HYPERLINK("javascript:void(0)","artini átokszóró")</f>
        <v>artini átokszóró</v>
      </c>
      <c r="B1658" s="21"/>
      <c r="C1658" s="21"/>
      <c r="D1658" s="21"/>
    </row>
    <row r="1659" spans="1:4" ht="12.75" customHeight="1" x14ac:dyDescent="0.2">
      <c r="A1659" s="20"/>
      <c r="B1659" s="2"/>
      <c r="C1659" s="2"/>
      <c r="D1659" s="2"/>
    </row>
    <row r="1660" spans="1:4" ht="12.75" customHeight="1" x14ac:dyDescent="0.2">
      <c r="A1660" s="21"/>
      <c r="B1660" s="3" t="s">
        <v>0</v>
      </c>
      <c r="C1660" s="20" t="s">
        <v>213</v>
      </c>
      <c r="D1660" s="21"/>
    </row>
    <row r="1661" spans="1:4" ht="12.75" customHeight="1" x14ac:dyDescent="0.2">
      <c r="A1661" s="21"/>
      <c r="B1661" s="3" t="s">
        <v>2</v>
      </c>
      <c r="C1661" s="20" t="s">
        <v>3</v>
      </c>
      <c r="D1661" s="21"/>
    </row>
    <row r="1662" spans="1:4" ht="12.75" customHeight="1" x14ac:dyDescent="0.2">
      <c r="A1662" s="21"/>
      <c r="B1662" s="3" t="s">
        <v>4</v>
      </c>
      <c r="C1662" s="20" t="s">
        <v>485</v>
      </c>
      <c r="D1662" s="21"/>
    </row>
    <row r="1663" spans="1:4" ht="12.75" customHeight="1" x14ac:dyDescent="0.2">
      <c r="A1663" s="21"/>
      <c r="B1663" s="3" t="s">
        <v>6</v>
      </c>
      <c r="C1663" s="20" t="s">
        <v>65</v>
      </c>
      <c r="D1663" s="21"/>
    </row>
    <row r="1664" spans="1:4" ht="12.75" customHeight="1" x14ac:dyDescent="0.2">
      <c r="A1664" s="21"/>
      <c r="B1664" s="3" t="s">
        <v>8</v>
      </c>
      <c r="C1664" s="20" t="s">
        <v>485</v>
      </c>
      <c r="D1664" s="21"/>
    </row>
    <row r="1665" spans="1:4" ht="12.75" customHeight="1" x14ac:dyDescent="0.2">
      <c r="A1665" s="21"/>
      <c r="B1665" s="3" t="s">
        <v>9</v>
      </c>
      <c r="C1665" s="20" t="s">
        <v>42</v>
      </c>
      <c r="D1665" s="21"/>
    </row>
    <row r="1666" spans="1:4" ht="12.75" customHeight="1" x14ac:dyDescent="0.2">
      <c r="A1666" s="21"/>
      <c r="B1666" s="3" t="s">
        <v>11</v>
      </c>
      <c r="C1666" s="20" t="s">
        <v>453</v>
      </c>
      <c r="D1666" s="21"/>
    </row>
    <row r="1667" spans="1:4" ht="12.75" customHeight="1" x14ac:dyDescent="0.2">
      <c r="A1667" s="21"/>
      <c r="B1667" s="3" t="s">
        <v>13</v>
      </c>
      <c r="C1667" s="20" t="s">
        <v>24</v>
      </c>
      <c r="D1667" s="21"/>
    </row>
    <row r="1668" spans="1:4" ht="12.75" customHeight="1" x14ac:dyDescent="0.2">
      <c r="A1668" s="21"/>
      <c r="B1668" s="3" t="s">
        <v>15</v>
      </c>
      <c r="C1668" s="20" t="s">
        <v>24</v>
      </c>
      <c r="D1668" s="21"/>
    </row>
    <row r="1669" spans="1:4" ht="12.75" customHeight="1" x14ac:dyDescent="0.2">
      <c r="A1669" s="21"/>
      <c r="B1669" s="3" t="s">
        <v>16</v>
      </c>
      <c r="C1669" s="20"/>
      <c r="D1669" s="21"/>
    </row>
    <row r="1670" spans="1:4" ht="12.75" customHeight="1" x14ac:dyDescent="0.2">
      <c r="A1670" s="21"/>
      <c r="B1670" s="3" t="s">
        <v>17</v>
      </c>
      <c r="C1670" s="20"/>
      <c r="D1670" s="21"/>
    </row>
    <row r="1671" spans="1:4" ht="12.75" customHeight="1" x14ac:dyDescent="0.2">
      <c r="A1671" s="21"/>
      <c r="B1671" s="20" t="s">
        <v>18</v>
      </c>
      <c r="C1671" s="4" t="s">
        <v>44</v>
      </c>
      <c r="D1671" s="6" t="str">
        <f>HYPERLINK("javascript:void(0)","artini pusztító")</f>
        <v>artini pusztító</v>
      </c>
    </row>
    <row r="1672" spans="1:4" ht="12.75" customHeight="1" x14ac:dyDescent="0.2">
      <c r="A1672" s="21"/>
      <c r="B1672" s="21"/>
      <c r="C1672" s="4" t="s">
        <v>280</v>
      </c>
      <c r="D1672" s="6" t="str">
        <f>HYPERLINK("javascript:void(0)","szent szimbólum")</f>
        <v>szent szimbólum</v>
      </c>
    </row>
    <row r="1673" spans="1:4" ht="12.75" customHeight="1" x14ac:dyDescent="0.2">
      <c r="A1673" s="21"/>
      <c r="B1673" s="21"/>
      <c r="C1673" s="4" t="s">
        <v>117</v>
      </c>
      <c r="D1673" s="6" t="str">
        <f>HYPERLINK("javascript:void(0)","gigacsáp")</f>
        <v>gigacsáp</v>
      </c>
    </row>
    <row r="1674" spans="1:4" ht="12.75" customHeight="1" x14ac:dyDescent="0.2">
      <c r="A1674" s="5"/>
      <c r="B1674" s="2"/>
      <c r="C1674" s="2"/>
      <c r="D1674" s="2"/>
    </row>
    <row r="1675" spans="1:4" ht="12.75" customHeight="1" x14ac:dyDescent="0.2">
      <c r="A1675" s="22" t="str">
        <f>HYPERLINK("javascript:void(0)","artini pusztító")</f>
        <v>artini pusztító</v>
      </c>
      <c r="B1675" s="21"/>
      <c r="C1675" s="21"/>
      <c r="D1675" s="21"/>
    </row>
    <row r="1676" spans="1:4" ht="12.75" customHeight="1" x14ac:dyDescent="0.2">
      <c r="A1676" s="20"/>
      <c r="B1676" s="2"/>
      <c r="C1676" s="2"/>
      <c r="D1676" s="2"/>
    </row>
    <row r="1677" spans="1:4" ht="12.75" customHeight="1" x14ac:dyDescent="0.2">
      <c r="A1677" s="21"/>
      <c r="B1677" s="3" t="s">
        <v>0</v>
      </c>
      <c r="C1677" s="20" t="s">
        <v>58</v>
      </c>
      <c r="D1677" s="21"/>
    </row>
    <row r="1678" spans="1:4" ht="12.75" customHeight="1" x14ac:dyDescent="0.2">
      <c r="A1678" s="21"/>
      <c r="B1678" s="3" t="s">
        <v>2</v>
      </c>
      <c r="C1678" s="20" t="s">
        <v>3</v>
      </c>
      <c r="D1678" s="21"/>
    </row>
    <row r="1679" spans="1:4" ht="12.75" customHeight="1" x14ac:dyDescent="0.2">
      <c r="A1679" s="21"/>
      <c r="B1679" s="3" t="s">
        <v>4</v>
      </c>
      <c r="C1679" s="20" t="s">
        <v>487</v>
      </c>
      <c r="D1679" s="21"/>
    </row>
    <row r="1680" spans="1:4" ht="12.75" customHeight="1" x14ac:dyDescent="0.2">
      <c r="A1680" s="21"/>
      <c r="B1680" s="3" t="s">
        <v>6</v>
      </c>
      <c r="C1680" s="20" t="s">
        <v>298</v>
      </c>
      <c r="D1680" s="21"/>
    </row>
    <row r="1681" spans="1:4" ht="12.75" customHeight="1" x14ac:dyDescent="0.2">
      <c r="A1681" s="21"/>
      <c r="B1681" s="3" t="s">
        <v>8</v>
      </c>
      <c r="C1681" s="20" t="s">
        <v>487</v>
      </c>
      <c r="D1681" s="21"/>
    </row>
    <row r="1682" spans="1:4" ht="12.75" customHeight="1" x14ac:dyDescent="0.2">
      <c r="A1682" s="21"/>
      <c r="B1682" s="3" t="s">
        <v>9</v>
      </c>
      <c r="C1682" s="20" t="s">
        <v>70</v>
      </c>
      <c r="D1682" s="21"/>
    </row>
    <row r="1683" spans="1:4" ht="12.75" customHeight="1" x14ac:dyDescent="0.2">
      <c r="A1683" s="21"/>
      <c r="B1683" s="3" t="s">
        <v>11</v>
      </c>
      <c r="C1683" s="20" t="s">
        <v>488</v>
      </c>
      <c r="D1683" s="21"/>
    </row>
    <row r="1684" spans="1:4" ht="12.75" customHeight="1" x14ac:dyDescent="0.2">
      <c r="A1684" s="21"/>
      <c r="B1684" s="3" t="s">
        <v>13</v>
      </c>
      <c r="C1684" s="20" t="s">
        <v>24</v>
      </c>
      <c r="D1684" s="21"/>
    </row>
    <row r="1685" spans="1:4" ht="12.75" customHeight="1" x14ac:dyDescent="0.2">
      <c r="A1685" s="21"/>
      <c r="B1685" s="3" t="s">
        <v>15</v>
      </c>
      <c r="C1685" s="20" t="s">
        <v>24</v>
      </c>
      <c r="D1685" s="21"/>
    </row>
    <row r="1686" spans="1:4" ht="12.75" customHeight="1" x14ac:dyDescent="0.2">
      <c r="A1686" s="21"/>
      <c r="B1686" s="3" t="s">
        <v>16</v>
      </c>
      <c r="C1686" s="20"/>
      <c r="D1686" s="21"/>
    </row>
    <row r="1687" spans="1:4" ht="12.75" customHeight="1" x14ac:dyDescent="0.2">
      <c r="A1687" s="21"/>
      <c r="B1687" s="3" t="s">
        <v>17</v>
      </c>
      <c r="C1687" s="20"/>
      <c r="D1687" s="21"/>
    </row>
    <row r="1688" spans="1:4" ht="12.75" customHeight="1" x14ac:dyDescent="0.2">
      <c r="A1688" s="21"/>
      <c r="B1688" s="20" t="s">
        <v>18</v>
      </c>
      <c r="C1688" s="4" t="s">
        <v>44</v>
      </c>
      <c r="D1688" s="6" t="str">
        <f>HYPERLINK("javascript:void(0)","artini köpőcső")</f>
        <v>artini köpőcső</v>
      </c>
    </row>
    <row r="1689" spans="1:4" ht="12.75" customHeight="1" x14ac:dyDescent="0.2">
      <c r="A1689" s="21"/>
      <c r="B1689" s="21"/>
      <c r="C1689" s="4" t="s">
        <v>139</v>
      </c>
      <c r="D1689" s="6" t="str">
        <f>HYPERLINK("javascript:void(0)","hemoglobin")</f>
        <v>hemoglobin</v>
      </c>
    </row>
    <row r="1690" spans="1:4" ht="12.75" customHeight="1" x14ac:dyDescent="0.2">
      <c r="A1690" s="21"/>
      <c r="B1690" s="21"/>
      <c r="C1690" s="4" t="s">
        <v>232</v>
      </c>
      <c r="D1690" s="6" t="str">
        <f>HYPERLINK("javascript:void(0)","vérrög")</f>
        <v>vérrög</v>
      </c>
    </row>
    <row r="1691" spans="1:4" ht="12.75" customHeight="1" x14ac:dyDescent="0.2">
      <c r="A1691" s="5"/>
      <c r="B1691" s="2"/>
      <c r="C1691" s="2"/>
      <c r="D1691" s="2"/>
    </row>
    <row r="1692" spans="1:4" ht="12.75" customHeight="1" x14ac:dyDescent="0.2">
      <c r="A1692" s="22" t="str">
        <f>HYPERLINK("javascript:void(0)","thordi átokszóró")</f>
        <v>thordi átokszóró</v>
      </c>
      <c r="B1692" s="21"/>
      <c r="C1692" s="21"/>
      <c r="D1692" s="21"/>
    </row>
    <row r="1693" spans="1:4" ht="12.75" customHeight="1" x14ac:dyDescent="0.2">
      <c r="A1693" s="20"/>
      <c r="B1693" s="2"/>
      <c r="C1693" s="2"/>
      <c r="D1693" s="2"/>
    </row>
    <row r="1694" spans="1:4" ht="12.75" customHeight="1" x14ac:dyDescent="0.2">
      <c r="A1694" s="21"/>
      <c r="B1694" s="3" t="s">
        <v>0</v>
      </c>
      <c r="C1694" s="20" t="s">
        <v>58</v>
      </c>
      <c r="D1694" s="21"/>
    </row>
    <row r="1695" spans="1:4" ht="12.75" customHeight="1" x14ac:dyDescent="0.2">
      <c r="A1695" s="21"/>
      <c r="B1695" s="3" t="s">
        <v>2</v>
      </c>
      <c r="C1695" s="20" t="s">
        <v>3</v>
      </c>
      <c r="D1695" s="21"/>
    </row>
    <row r="1696" spans="1:4" ht="12.75" customHeight="1" x14ac:dyDescent="0.2">
      <c r="A1696" s="21"/>
      <c r="B1696" s="3" t="s">
        <v>4</v>
      </c>
      <c r="C1696" s="20" t="s">
        <v>491</v>
      </c>
      <c r="D1696" s="21"/>
    </row>
    <row r="1697" spans="1:4" ht="12.75" customHeight="1" x14ac:dyDescent="0.2">
      <c r="A1697" s="21"/>
      <c r="B1697" s="3" t="s">
        <v>6</v>
      </c>
      <c r="C1697" s="20" t="s">
        <v>65</v>
      </c>
      <c r="D1697" s="21"/>
    </row>
    <row r="1698" spans="1:4" ht="12.75" customHeight="1" x14ac:dyDescent="0.2">
      <c r="A1698" s="21"/>
      <c r="B1698" s="3" t="s">
        <v>8</v>
      </c>
      <c r="C1698" s="20" t="s">
        <v>491</v>
      </c>
      <c r="D1698" s="21"/>
    </row>
    <row r="1699" spans="1:4" ht="12.75" customHeight="1" x14ac:dyDescent="0.2">
      <c r="A1699" s="21"/>
      <c r="B1699" s="3" t="s">
        <v>9</v>
      </c>
      <c r="C1699" s="20" t="s">
        <v>42</v>
      </c>
      <c r="D1699" s="21"/>
    </row>
    <row r="1700" spans="1:4" ht="12.75" customHeight="1" x14ac:dyDescent="0.2">
      <c r="A1700" s="21"/>
      <c r="B1700" s="3" t="s">
        <v>11</v>
      </c>
      <c r="C1700" s="20" t="s">
        <v>492</v>
      </c>
      <c r="D1700" s="21"/>
    </row>
    <row r="1701" spans="1:4" ht="12.75" customHeight="1" x14ac:dyDescent="0.2">
      <c r="A1701" s="21"/>
      <c r="B1701" s="3" t="s">
        <v>13</v>
      </c>
      <c r="C1701" s="20" t="s">
        <v>24</v>
      </c>
      <c r="D1701" s="21"/>
    </row>
    <row r="1702" spans="1:4" ht="12.75" customHeight="1" x14ac:dyDescent="0.2">
      <c r="A1702" s="21"/>
      <c r="B1702" s="3" t="s">
        <v>15</v>
      </c>
      <c r="C1702" s="20" t="s">
        <v>24</v>
      </c>
      <c r="D1702" s="21"/>
    </row>
    <row r="1703" spans="1:4" ht="12.75" customHeight="1" x14ac:dyDescent="0.2">
      <c r="A1703" s="21"/>
      <c r="B1703" s="3" t="s">
        <v>16</v>
      </c>
      <c r="C1703" s="20"/>
      <c r="D1703" s="21"/>
    </row>
    <row r="1704" spans="1:4" ht="12.75" customHeight="1" x14ac:dyDescent="0.2">
      <c r="A1704" s="21"/>
      <c r="B1704" s="3" t="s">
        <v>17</v>
      </c>
      <c r="C1704" s="20"/>
      <c r="D1704" s="21"/>
    </row>
    <row r="1705" spans="1:4" ht="12.75" customHeight="1" x14ac:dyDescent="0.2">
      <c r="A1705" s="21"/>
      <c r="B1705" s="20" t="s">
        <v>18</v>
      </c>
      <c r="C1705" s="4" t="s">
        <v>44</v>
      </c>
      <c r="D1705" s="6" t="str">
        <f>HYPERLINK("javascript:void(0)","thordi pusztító")</f>
        <v>thordi pusztító</v>
      </c>
    </row>
    <row r="1706" spans="1:4" ht="12.75" customHeight="1" x14ac:dyDescent="0.2">
      <c r="A1706" s="21"/>
      <c r="B1706" s="21"/>
      <c r="C1706" s="4" t="s">
        <v>67</v>
      </c>
      <c r="D1706" s="6" t="str">
        <f>HYPERLINK("javascript:void(0)","zselatin")</f>
        <v>zselatin</v>
      </c>
    </row>
    <row r="1707" spans="1:4" ht="12.75" customHeight="1" x14ac:dyDescent="0.2">
      <c r="A1707" s="21"/>
      <c r="B1707" s="21"/>
      <c r="C1707" s="4" t="s">
        <v>494</v>
      </c>
      <c r="D1707" s="6" t="str">
        <f>HYPERLINK("javascript:void(0)","hangjegy")</f>
        <v>hangjegy</v>
      </c>
    </row>
    <row r="1708" spans="1:4" ht="12.75" customHeight="1" x14ac:dyDescent="0.2">
      <c r="A1708" s="5"/>
      <c r="B1708" s="2"/>
      <c r="C1708" s="2"/>
      <c r="D1708" s="2"/>
    </row>
    <row r="1709" spans="1:4" ht="12.75" customHeight="1" x14ac:dyDescent="0.2">
      <c r="A1709" s="22" t="str">
        <f>HYPERLINK("javascript:void(0)","thordi pusztító")</f>
        <v>thordi pusztító</v>
      </c>
      <c r="B1709" s="21"/>
      <c r="C1709" s="21"/>
      <c r="D1709" s="21"/>
    </row>
    <row r="1710" spans="1:4" ht="12.75" customHeight="1" x14ac:dyDescent="0.2">
      <c r="A1710" s="20"/>
      <c r="B1710" s="2"/>
      <c r="C1710" s="2"/>
      <c r="D1710" s="2"/>
    </row>
    <row r="1711" spans="1:4" ht="12.75" customHeight="1" x14ac:dyDescent="0.2">
      <c r="A1711" s="21"/>
      <c r="B1711" s="3" t="s">
        <v>0</v>
      </c>
      <c r="C1711" s="20" t="s">
        <v>134</v>
      </c>
      <c r="D1711" s="21"/>
    </row>
    <row r="1712" spans="1:4" ht="12.75" customHeight="1" x14ac:dyDescent="0.2">
      <c r="A1712" s="21"/>
      <c r="B1712" s="3" t="s">
        <v>2</v>
      </c>
      <c r="C1712" s="20" t="s">
        <v>3</v>
      </c>
      <c r="D1712" s="21"/>
    </row>
    <row r="1713" spans="1:4" ht="12.75" customHeight="1" x14ac:dyDescent="0.2">
      <c r="A1713" s="21"/>
      <c r="B1713" s="3" t="s">
        <v>4</v>
      </c>
      <c r="C1713" s="20" t="s">
        <v>495</v>
      </c>
      <c r="D1713" s="21"/>
    </row>
    <row r="1714" spans="1:4" ht="12.75" customHeight="1" x14ac:dyDescent="0.2">
      <c r="A1714" s="21"/>
      <c r="B1714" s="3" t="s">
        <v>6</v>
      </c>
      <c r="C1714" s="20" t="s">
        <v>284</v>
      </c>
      <c r="D1714" s="21"/>
    </row>
    <row r="1715" spans="1:4" ht="12.75" customHeight="1" x14ac:dyDescent="0.2">
      <c r="A1715" s="21"/>
      <c r="B1715" s="3" t="s">
        <v>8</v>
      </c>
      <c r="C1715" s="20" t="s">
        <v>495</v>
      </c>
      <c r="D1715" s="21"/>
    </row>
    <row r="1716" spans="1:4" ht="12.75" customHeight="1" x14ac:dyDescent="0.2">
      <c r="A1716" s="21"/>
      <c r="B1716" s="3" t="s">
        <v>9</v>
      </c>
      <c r="C1716" s="20" t="s">
        <v>172</v>
      </c>
      <c r="D1716" s="21"/>
    </row>
    <row r="1717" spans="1:4" ht="12.75" customHeight="1" x14ac:dyDescent="0.2">
      <c r="A1717" s="21"/>
      <c r="B1717" s="3" t="s">
        <v>11</v>
      </c>
      <c r="C1717" s="20" t="s">
        <v>497</v>
      </c>
      <c r="D1717" s="21"/>
    </row>
    <row r="1718" spans="1:4" ht="12.75" customHeight="1" x14ac:dyDescent="0.2">
      <c r="A1718" s="21"/>
      <c r="B1718" s="3" t="s">
        <v>13</v>
      </c>
      <c r="C1718" s="20" t="s">
        <v>24</v>
      </c>
      <c r="D1718" s="21"/>
    </row>
    <row r="1719" spans="1:4" ht="12.75" customHeight="1" x14ac:dyDescent="0.2">
      <c r="A1719" s="21"/>
      <c r="B1719" s="3" t="s">
        <v>15</v>
      </c>
      <c r="C1719" s="20" t="s">
        <v>24</v>
      </c>
      <c r="D1719" s="21"/>
    </row>
    <row r="1720" spans="1:4" ht="12.75" customHeight="1" x14ac:dyDescent="0.2">
      <c r="A1720" s="21"/>
      <c r="B1720" s="3" t="s">
        <v>16</v>
      </c>
      <c r="C1720" s="20"/>
      <c r="D1720" s="21"/>
    </row>
    <row r="1721" spans="1:4" ht="12.75" customHeight="1" x14ac:dyDescent="0.2">
      <c r="A1721" s="21"/>
      <c r="B1721" s="3" t="s">
        <v>17</v>
      </c>
      <c r="C1721" s="20"/>
      <c r="D1721" s="21"/>
    </row>
    <row r="1722" spans="1:4" ht="12.75" customHeight="1" x14ac:dyDescent="0.2">
      <c r="A1722" s="21"/>
      <c r="B1722" s="20" t="s">
        <v>18</v>
      </c>
      <c r="C1722" s="4" t="s">
        <v>44</v>
      </c>
      <c r="D1722" s="6" t="str">
        <f>HYPERLINK("javascript:void(0)","thordi köpőcső")</f>
        <v>thordi köpőcső</v>
      </c>
    </row>
    <row r="1723" spans="1:4" ht="12.75" customHeight="1" x14ac:dyDescent="0.2">
      <c r="A1723" s="21"/>
      <c r="B1723" s="21"/>
      <c r="C1723" s="4" t="s">
        <v>56</v>
      </c>
      <c r="D1723" s="6" t="str">
        <f>HYPERLINK("javascript:void(0)","rotorlapát")</f>
        <v>rotorlapát</v>
      </c>
    </row>
    <row r="1724" spans="1:4" ht="12.75" customHeight="1" x14ac:dyDescent="0.2">
      <c r="A1724" s="21"/>
      <c r="B1724" s="21"/>
      <c r="C1724" s="4" t="s">
        <v>67</v>
      </c>
      <c r="D1724" s="6" t="str">
        <f>HYPERLINK("javascript:void(0)","öbleny")</f>
        <v>öbleny</v>
      </c>
    </row>
    <row r="1725" spans="1:4" ht="12.75" customHeight="1" x14ac:dyDescent="0.2">
      <c r="A1725" s="5"/>
      <c r="B1725" s="2"/>
      <c r="C1725" s="2"/>
      <c r="D1725" s="2"/>
    </row>
    <row r="1726" spans="1:4" ht="12.75" customHeight="1" x14ac:dyDescent="0.2">
      <c r="A1726" s="22" t="str">
        <f>HYPERLINK("javascript:void(0)","fotoacél átokszóró")</f>
        <v>fotoacél átokszóró</v>
      </c>
      <c r="B1726" s="21"/>
      <c r="C1726" s="21"/>
      <c r="D1726" s="21"/>
    </row>
    <row r="1727" spans="1:4" ht="12.75" customHeight="1" x14ac:dyDescent="0.2">
      <c r="A1727" s="20"/>
      <c r="B1727" s="2"/>
      <c r="C1727" s="2"/>
      <c r="D1727" s="2"/>
    </row>
    <row r="1728" spans="1:4" ht="12.75" customHeight="1" x14ac:dyDescent="0.2">
      <c r="A1728" s="21"/>
      <c r="B1728" s="3" t="s">
        <v>0</v>
      </c>
      <c r="C1728" s="20" t="s">
        <v>134</v>
      </c>
      <c r="D1728" s="21"/>
    </row>
    <row r="1729" spans="1:4" ht="12.75" customHeight="1" x14ac:dyDescent="0.2">
      <c r="A1729" s="21"/>
      <c r="B1729" s="3" t="s">
        <v>2</v>
      </c>
      <c r="C1729" s="20" t="s">
        <v>3</v>
      </c>
      <c r="D1729" s="21"/>
    </row>
    <row r="1730" spans="1:4" ht="12.75" customHeight="1" x14ac:dyDescent="0.2">
      <c r="A1730" s="21"/>
      <c r="B1730" s="3" t="s">
        <v>4</v>
      </c>
      <c r="C1730" s="20" t="s">
        <v>498</v>
      </c>
      <c r="D1730" s="21"/>
    </row>
    <row r="1731" spans="1:4" ht="12.75" customHeight="1" x14ac:dyDescent="0.2">
      <c r="A1731" s="21"/>
      <c r="B1731" s="3" t="s">
        <v>6</v>
      </c>
      <c r="C1731" s="20" t="s">
        <v>65</v>
      </c>
      <c r="D1731" s="21"/>
    </row>
    <row r="1732" spans="1:4" ht="12.75" customHeight="1" x14ac:dyDescent="0.2">
      <c r="A1732" s="21"/>
      <c r="B1732" s="3" t="s">
        <v>8</v>
      </c>
      <c r="C1732" s="20" t="s">
        <v>498</v>
      </c>
      <c r="D1732" s="21"/>
    </row>
    <row r="1733" spans="1:4" ht="12.75" customHeight="1" x14ac:dyDescent="0.2">
      <c r="A1733" s="21"/>
      <c r="B1733" s="3" t="s">
        <v>9</v>
      </c>
      <c r="C1733" s="20" t="s">
        <v>42</v>
      </c>
      <c r="D1733" s="21"/>
    </row>
    <row r="1734" spans="1:4" ht="12.75" customHeight="1" x14ac:dyDescent="0.2">
      <c r="A1734" s="21"/>
      <c r="B1734" s="3" t="s">
        <v>11</v>
      </c>
      <c r="C1734" s="20" t="s">
        <v>465</v>
      </c>
      <c r="D1734" s="21"/>
    </row>
    <row r="1735" spans="1:4" ht="12.75" customHeight="1" x14ac:dyDescent="0.2">
      <c r="A1735" s="21"/>
      <c r="B1735" s="3" t="s">
        <v>13</v>
      </c>
      <c r="C1735" s="20" t="s">
        <v>24</v>
      </c>
      <c r="D1735" s="21"/>
    </row>
    <row r="1736" spans="1:4" ht="12.75" customHeight="1" x14ac:dyDescent="0.2">
      <c r="A1736" s="21"/>
      <c r="B1736" s="3" t="s">
        <v>15</v>
      </c>
      <c r="C1736" s="20" t="s">
        <v>24</v>
      </c>
      <c r="D1736" s="21"/>
    </row>
    <row r="1737" spans="1:4" ht="12.75" customHeight="1" x14ac:dyDescent="0.2">
      <c r="A1737" s="21"/>
      <c r="B1737" s="3" t="s">
        <v>16</v>
      </c>
      <c r="C1737" s="20"/>
      <c r="D1737" s="21"/>
    </row>
    <row r="1738" spans="1:4" ht="12.75" customHeight="1" x14ac:dyDescent="0.2">
      <c r="A1738" s="21"/>
      <c r="B1738" s="3" t="s">
        <v>17</v>
      </c>
      <c r="C1738" s="20"/>
      <c r="D1738" s="21"/>
    </row>
    <row r="1739" spans="1:4" ht="12.75" customHeight="1" x14ac:dyDescent="0.2">
      <c r="A1739" s="21"/>
      <c r="B1739" s="20" t="s">
        <v>18</v>
      </c>
      <c r="C1739" s="4" t="s">
        <v>280</v>
      </c>
      <c r="D1739" s="6" t="str">
        <f>HYPERLINK("javascript:void(0)","fotogén")</f>
        <v>fotogén</v>
      </c>
    </row>
    <row r="1740" spans="1:4" ht="12.75" customHeight="1" x14ac:dyDescent="0.2">
      <c r="A1740" s="21"/>
      <c r="B1740" s="21"/>
      <c r="C1740" s="4" t="s">
        <v>382</v>
      </c>
      <c r="D1740" s="6" t="str">
        <f>HYPERLINK("javascript:void(0)","elemi köpet")</f>
        <v>elemi köpet</v>
      </c>
    </row>
    <row r="1741" spans="1:4" ht="12.75" customHeight="1" x14ac:dyDescent="0.2">
      <c r="A1741" s="21"/>
      <c r="B1741" s="21"/>
      <c r="C1741" s="4" t="s">
        <v>139</v>
      </c>
      <c r="D1741" s="6" t="str">
        <f>HYPERLINK("javascript:void(0)","tudásmorzsa")</f>
        <v>tudásmorzsa</v>
      </c>
    </row>
    <row r="1742" spans="1:4" ht="12.75" customHeight="1" x14ac:dyDescent="0.2">
      <c r="A1742" s="5"/>
      <c r="B1742" s="2"/>
      <c r="C1742" s="2"/>
      <c r="D1742" s="2"/>
    </row>
    <row r="1743" spans="1:4" ht="12.75" customHeight="1" x14ac:dyDescent="0.2">
      <c r="A1743" s="22" t="str">
        <f>HYPERLINK("javascript:void(0)","smaragd halálosztó")</f>
        <v>smaragd halálosztó</v>
      </c>
      <c r="B1743" s="21"/>
      <c r="C1743" s="21"/>
      <c r="D1743" s="21"/>
    </row>
    <row r="1744" spans="1:4" ht="12.75" customHeight="1" x14ac:dyDescent="0.2">
      <c r="A1744" s="20"/>
      <c r="B1744" s="2"/>
      <c r="C1744" s="2"/>
      <c r="D1744" s="2"/>
    </row>
    <row r="1745" spans="1:4" ht="12.75" customHeight="1" x14ac:dyDescent="0.2">
      <c r="A1745" s="21"/>
      <c r="B1745" s="3" t="s">
        <v>0</v>
      </c>
      <c r="C1745" s="20" t="s">
        <v>376</v>
      </c>
      <c r="D1745" s="21"/>
    </row>
    <row r="1746" spans="1:4" ht="12.75" customHeight="1" x14ac:dyDescent="0.2">
      <c r="A1746" s="21"/>
      <c r="B1746" s="3" t="s">
        <v>2</v>
      </c>
      <c r="C1746" s="20" t="s">
        <v>3</v>
      </c>
      <c r="D1746" s="21"/>
    </row>
    <row r="1747" spans="1:4" ht="12.75" customHeight="1" x14ac:dyDescent="0.2">
      <c r="A1747" s="21"/>
      <c r="B1747" s="3" t="s">
        <v>4</v>
      </c>
      <c r="C1747" s="20" t="s">
        <v>499</v>
      </c>
      <c r="D1747" s="21"/>
    </row>
    <row r="1748" spans="1:4" ht="12.75" customHeight="1" x14ac:dyDescent="0.2">
      <c r="A1748" s="21"/>
      <c r="B1748" s="3" t="s">
        <v>6</v>
      </c>
      <c r="C1748" s="20" t="s">
        <v>178</v>
      </c>
      <c r="D1748" s="21"/>
    </row>
    <row r="1749" spans="1:4" ht="12.75" customHeight="1" x14ac:dyDescent="0.2">
      <c r="A1749" s="21"/>
      <c r="B1749" s="3" t="s">
        <v>8</v>
      </c>
      <c r="C1749" s="20" t="s">
        <v>499</v>
      </c>
      <c r="D1749" s="21"/>
    </row>
    <row r="1750" spans="1:4" ht="12.75" customHeight="1" x14ac:dyDescent="0.2">
      <c r="A1750" s="21"/>
      <c r="B1750" s="3" t="s">
        <v>9</v>
      </c>
      <c r="C1750" s="20" t="s">
        <v>210</v>
      </c>
      <c r="D1750" s="21"/>
    </row>
    <row r="1751" spans="1:4" ht="12.75" customHeight="1" x14ac:dyDescent="0.2">
      <c r="A1751" s="21"/>
      <c r="B1751" s="3" t="s">
        <v>11</v>
      </c>
      <c r="C1751" s="20" t="s">
        <v>501</v>
      </c>
      <c r="D1751" s="21"/>
    </row>
    <row r="1752" spans="1:4" ht="12.75" customHeight="1" x14ac:dyDescent="0.2">
      <c r="A1752" s="21"/>
      <c r="B1752" s="3" t="s">
        <v>13</v>
      </c>
      <c r="C1752" s="20" t="s">
        <v>24</v>
      </c>
      <c r="D1752" s="21"/>
    </row>
    <row r="1753" spans="1:4" ht="12.75" customHeight="1" x14ac:dyDescent="0.2">
      <c r="A1753" s="21"/>
      <c r="B1753" s="3" t="s">
        <v>15</v>
      </c>
      <c r="C1753" s="20" t="s">
        <v>24</v>
      </c>
      <c r="D1753" s="21"/>
    </row>
    <row r="1754" spans="1:4" ht="12.75" customHeight="1" x14ac:dyDescent="0.2">
      <c r="A1754" s="21"/>
      <c r="B1754" s="3" t="s">
        <v>16</v>
      </c>
      <c r="C1754" s="20"/>
      <c r="D1754" s="21"/>
    </row>
    <row r="1755" spans="1:4" ht="12.75" customHeight="1" x14ac:dyDescent="0.2">
      <c r="A1755" s="21"/>
      <c r="B1755" s="3" t="s">
        <v>17</v>
      </c>
      <c r="C1755" s="20"/>
      <c r="D1755" s="21"/>
    </row>
    <row r="1756" spans="1:4" ht="12.75" customHeight="1" x14ac:dyDescent="0.2">
      <c r="A1756" s="21"/>
      <c r="B1756" s="20" t="s">
        <v>18</v>
      </c>
      <c r="C1756" s="4" t="s">
        <v>44</v>
      </c>
      <c r="D1756" s="6" t="str">
        <f>HYPERLINK("javascript:void(0)","smaragd gránitvető")</f>
        <v>smaragd gránitvető</v>
      </c>
    </row>
    <row r="1757" spans="1:4" ht="12.75" customHeight="1" x14ac:dyDescent="0.2">
      <c r="A1757" s="21"/>
      <c r="B1757" s="21"/>
      <c r="C1757" s="4" t="s">
        <v>56</v>
      </c>
      <c r="D1757" s="6" t="str">
        <f>HYPERLINK("javascript:void(0)","homokóra")</f>
        <v>homokóra</v>
      </c>
    </row>
    <row r="1758" spans="1:4" ht="12.75" customHeight="1" x14ac:dyDescent="0.2">
      <c r="A1758" s="21"/>
      <c r="B1758" s="21"/>
      <c r="C1758" s="4" t="s">
        <v>44</v>
      </c>
      <c r="D1758" s="6" t="str">
        <f>HYPERLINK("javascript:void(0)","smaragd átokszóró")</f>
        <v>smaragd átokszóró</v>
      </c>
    </row>
    <row r="1759" spans="1:4" ht="12.75" customHeight="1" x14ac:dyDescent="0.2">
      <c r="A1759" s="5"/>
      <c r="B1759" s="2"/>
      <c r="C1759" s="2"/>
      <c r="D1759" s="2"/>
    </row>
    <row r="1760" spans="1:4" ht="12.75" customHeight="1" x14ac:dyDescent="0.2">
      <c r="A1760" s="22" t="str">
        <f>HYPERLINK("javascript:void(0)","magnetoacél átokszóró")</f>
        <v>magnetoacél átokszóró</v>
      </c>
      <c r="B1760" s="21"/>
      <c r="C1760" s="21"/>
      <c r="D1760" s="21"/>
    </row>
    <row r="1761" spans="1:4" ht="12.75" customHeight="1" x14ac:dyDescent="0.2">
      <c r="A1761" s="20"/>
      <c r="B1761" s="2"/>
      <c r="C1761" s="2"/>
      <c r="D1761" s="2"/>
    </row>
    <row r="1762" spans="1:4" ht="12.75" customHeight="1" x14ac:dyDescent="0.2">
      <c r="A1762" s="21"/>
      <c r="B1762" s="3" t="s">
        <v>0</v>
      </c>
      <c r="C1762" s="20" t="s">
        <v>376</v>
      </c>
      <c r="D1762" s="21"/>
    </row>
    <row r="1763" spans="1:4" ht="12.75" customHeight="1" x14ac:dyDescent="0.2">
      <c r="A1763" s="21"/>
      <c r="B1763" s="3" t="s">
        <v>2</v>
      </c>
      <c r="C1763" s="20" t="s">
        <v>3</v>
      </c>
      <c r="D1763" s="21"/>
    </row>
    <row r="1764" spans="1:4" ht="12.75" customHeight="1" x14ac:dyDescent="0.2">
      <c r="A1764" s="21"/>
      <c r="B1764" s="3" t="s">
        <v>4</v>
      </c>
      <c r="C1764" s="20" t="s">
        <v>503</v>
      </c>
      <c r="D1764" s="21"/>
    </row>
    <row r="1765" spans="1:4" ht="12.75" customHeight="1" x14ac:dyDescent="0.2">
      <c r="A1765" s="21"/>
      <c r="B1765" s="3" t="s">
        <v>6</v>
      </c>
      <c r="C1765" s="20" t="s">
        <v>65</v>
      </c>
      <c r="D1765" s="21"/>
    </row>
    <row r="1766" spans="1:4" ht="12.75" customHeight="1" x14ac:dyDescent="0.2">
      <c r="A1766" s="21"/>
      <c r="B1766" s="3" t="s">
        <v>8</v>
      </c>
      <c r="C1766" s="20" t="s">
        <v>503</v>
      </c>
      <c r="D1766" s="21"/>
    </row>
    <row r="1767" spans="1:4" ht="12.75" customHeight="1" x14ac:dyDescent="0.2">
      <c r="A1767" s="21"/>
      <c r="B1767" s="3" t="s">
        <v>9</v>
      </c>
      <c r="C1767" s="20" t="s">
        <v>42</v>
      </c>
      <c r="D1767" s="21"/>
    </row>
    <row r="1768" spans="1:4" ht="12.75" customHeight="1" x14ac:dyDescent="0.2">
      <c r="A1768" s="21"/>
      <c r="B1768" s="3" t="s">
        <v>11</v>
      </c>
      <c r="C1768" s="20" t="s">
        <v>506</v>
      </c>
      <c r="D1768" s="21"/>
    </row>
    <row r="1769" spans="1:4" ht="12.75" customHeight="1" x14ac:dyDescent="0.2">
      <c r="A1769" s="21"/>
      <c r="B1769" s="3" t="s">
        <v>13</v>
      </c>
      <c r="C1769" s="20" t="s">
        <v>24</v>
      </c>
      <c r="D1769" s="21"/>
    </row>
    <row r="1770" spans="1:4" ht="12.75" customHeight="1" x14ac:dyDescent="0.2">
      <c r="A1770" s="21"/>
      <c r="B1770" s="3" t="s">
        <v>15</v>
      </c>
      <c r="C1770" s="20" t="s">
        <v>24</v>
      </c>
      <c r="D1770" s="21"/>
    </row>
    <row r="1771" spans="1:4" ht="12.75" customHeight="1" x14ac:dyDescent="0.2">
      <c r="A1771" s="21"/>
      <c r="B1771" s="3" t="s">
        <v>16</v>
      </c>
      <c r="C1771" s="20"/>
      <c r="D1771" s="21"/>
    </row>
    <row r="1772" spans="1:4" ht="12.75" customHeight="1" x14ac:dyDescent="0.2">
      <c r="A1772" s="21"/>
      <c r="B1772" s="3" t="s">
        <v>17</v>
      </c>
      <c r="C1772" s="20"/>
      <c r="D1772" s="21"/>
    </row>
    <row r="1773" spans="1:4" ht="12.75" customHeight="1" x14ac:dyDescent="0.2">
      <c r="A1773" s="21"/>
      <c r="B1773" s="20" t="s">
        <v>18</v>
      </c>
      <c r="C1773" s="4" t="s">
        <v>163</v>
      </c>
      <c r="D1773" s="6" t="str">
        <f>HYPERLINK("javascript:void(0)","mágnes")</f>
        <v>mágnes</v>
      </c>
    </row>
    <row r="1774" spans="1:4" ht="12.75" customHeight="1" x14ac:dyDescent="0.2">
      <c r="A1774" s="21"/>
      <c r="B1774" s="21"/>
      <c r="C1774" s="4" t="s">
        <v>117</v>
      </c>
      <c r="D1774" s="6" t="str">
        <f>HYPERLINK("javascript:void(0)","zselatin")</f>
        <v>zselatin</v>
      </c>
    </row>
    <row r="1775" spans="1:4" ht="12.75" customHeight="1" x14ac:dyDescent="0.2">
      <c r="A1775" s="21"/>
      <c r="B1775" s="21"/>
      <c r="C1775" s="4" t="s">
        <v>280</v>
      </c>
      <c r="D1775" s="6" t="str">
        <f>HYPERLINK("javascript:void(0)","szent szimbólum")</f>
        <v>szent szimbólum</v>
      </c>
    </row>
    <row r="1776" spans="1:4" ht="12.75" customHeight="1" x14ac:dyDescent="0.2">
      <c r="A1776" s="5"/>
      <c r="B1776" s="2"/>
      <c r="C1776" s="2"/>
      <c r="D1776" s="2"/>
    </row>
    <row r="1777" spans="1:4" ht="12.75" customHeight="1" x14ac:dyDescent="0.2">
      <c r="A1777" s="22" t="str">
        <f>HYPERLINK("javascript:void(0)","rubin halálosztó")</f>
        <v>rubin halálosztó</v>
      </c>
      <c r="B1777" s="21"/>
      <c r="C1777" s="21"/>
      <c r="D1777" s="21"/>
    </row>
    <row r="1778" spans="1:4" ht="12.75" customHeight="1" x14ac:dyDescent="0.2">
      <c r="A1778" s="20"/>
      <c r="B1778" s="2"/>
      <c r="C1778" s="2"/>
      <c r="D1778" s="2"/>
    </row>
    <row r="1779" spans="1:4" ht="12.75" customHeight="1" x14ac:dyDescent="0.2">
      <c r="A1779" s="21"/>
      <c r="B1779" s="3" t="s">
        <v>0</v>
      </c>
      <c r="C1779" s="20" t="s">
        <v>60</v>
      </c>
      <c r="D1779" s="21"/>
    </row>
    <row r="1780" spans="1:4" ht="12.75" customHeight="1" x14ac:dyDescent="0.2">
      <c r="A1780" s="21"/>
      <c r="B1780" s="3" t="s">
        <v>2</v>
      </c>
      <c r="C1780" s="20" t="s">
        <v>3</v>
      </c>
      <c r="D1780" s="21"/>
    </row>
    <row r="1781" spans="1:4" ht="12.75" customHeight="1" x14ac:dyDescent="0.2">
      <c r="A1781" s="21"/>
      <c r="B1781" s="3" t="s">
        <v>4</v>
      </c>
      <c r="C1781" s="20" t="s">
        <v>510</v>
      </c>
      <c r="D1781" s="21"/>
    </row>
    <row r="1782" spans="1:4" ht="12.75" customHeight="1" x14ac:dyDescent="0.2">
      <c r="A1782" s="21"/>
      <c r="B1782" s="3" t="s">
        <v>6</v>
      </c>
      <c r="C1782" s="20" t="s">
        <v>107</v>
      </c>
      <c r="D1782" s="21"/>
    </row>
    <row r="1783" spans="1:4" ht="12.75" customHeight="1" x14ac:dyDescent="0.2">
      <c r="A1783" s="21"/>
      <c r="B1783" s="3" t="s">
        <v>8</v>
      </c>
      <c r="C1783" s="20" t="s">
        <v>510</v>
      </c>
      <c r="D1783" s="21"/>
    </row>
    <row r="1784" spans="1:4" ht="12.75" customHeight="1" x14ac:dyDescent="0.2">
      <c r="A1784" s="21"/>
      <c r="B1784" s="3" t="s">
        <v>9</v>
      </c>
      <c r="C1784" s="20" t="s">
        <v>147</v>
      </c>
      <c r="D1784" s="21"/>
    </row>
    <row r="1785" spans="1:4" ht="12.75" customHeight="1" x14ac:dyDescent="0.2">
      <c r="A1785" s="21"/>
      <c r="B1785" s="3" t="s">
        <v>11</v>
      </c>
      <c r="C1785" s="20" t="s">
        <v>514</v>
      </c>
      <c r="D1785" s="21"/>
    </row>
    <row r="1786" spans="1:4" ht="12.75" customHeight="1" x14ac:dyDescent="0.2">
      <c r="A1786" s="21"/>
      <c r="B1786" s="3" t="s">
        <v>13</v>
      </c>
      <c r="C1786" s="20" t="s">
        <v>24</v>
      </c>
      <c r="D1786" s="21"/>
    </row>
    <row r="1787" spans="1:4" ht="12.75" customHeight="1" x14ac:dyDescent="0.2">
      <c r="A1787" s="21"/>
      <c r="B1787" s="3" t="s">
        <v>15</v>
      </c>
      <c r="C1787" s="20" t="s">
        <v>24</v>
      </c>
      <c r="D1787" s="21"/>
    </row>
    <row r="1788" spans="1:4" ht="12.75" customHeight="1" x14ac:dyDescent="0.2">
      <c r="A1788" s="21"/>
      <c r="B1788" s="3" t="s">
        <v>16</v>
      </c>
      <c r="C1788" s="20"/>
      <c r="D1788" s="21"/>
    </row>
    <row r="1789" spans="1:4" ht="12.75" customHeight="1" x14ac:dyDescent="0.2">
      <c r="A1789" s="21"/>
      <c r="B1789" s="3" t="s">
        <v>17</v>
      </c>
      <c r="C1789" s="20"/>
      <c r="D1789" s="21"/>
    </row>
    <row r="1790" spans="1:4" ht="12.75" customHeight="1" x14ac:dyDescent="0.2">
      <c r="A1790" s="21"/>
      <c r="B1790" s="20" t="s">
        <v>18</v>
      </c>
      <c r="C1790" s="4" t="s">
        <v>44</v>
      </c>
      <c r="D1790" s="6" t="str">
        <f>HYPERLINK("javascript:void(0)","rubin átokszóró")</f>
        <v>rubin átokszóró</v>
      </c>
    </row>
    <row r="1791" spans="1:4" ht="12.75" customHeight="1" x14ac:dyDescent="0.2">
      <c r="A1791" s="21"/>
      <c r="B1791" s="21"/>
      <c r="C1791" s="4" t="s">
        <v>44</v>
      </c>
      <c r="D1791" s="6" t="str">
        <f>HYPERLINK("javascript:void(0)","rubin tűzköpő")</f>
        <v>rubin tűzköpő</v>
      </c>
    </row>
    <row r="1792" spans="1:4" ht="12.75" customHeight="1" x14ac:dyDescent="0.2">
      <c r="A1792" s="21"/>
      <c r="B1792" s="21"/>
      <c r="C1792" s="4" t="s">
        <v>57</v>
      </c>
      <c r="D1792" s="6" t="str">
        <f>HYPERLINK("javascript:void(0)","horog")</f>
        <v>horog</v>
      </c>
    </row>
    <row r="1793" spans="1:4" ht="12.75" customHeight="1" x14ac:dyDescent="0.2">
      <c r="A1793" s="5"/>
      <c r="B1793" s="2"/>
      <c r="C1793" s="2"/>
      <c r="D1793" s="2"/>
    </row>
    <row r="1794" spans="1:4" ht="12.75" customHeight="1" x14ac:dyDescent="0.2">
      <c r="A1794" s="22" t="str">
        <f>HYPERLINK("javascript:void(0)","helioacél átokszóró")</f>
        <v>helioacél átokszóró</v>
      </c>
      <c r="B1794" s="21"/>
      <c r="C1794" s="21"/>
      <c r="D1794" s="21"/>
    </row>
    <row r="1795" spans="1:4" ht="12.75" customHeight="1" x14ac:dyDescent="0.2">
      <c r="A1795" s="20"/>
      <c r="B1795" s="2"/>
      <c r="C1795" s="2"/>
      <c r="D1795" s="2"/>
    </row>
    <row r="1796" spans="1:4" ht="12.75" customHeight="1" x14ac:dyDescent="0.2">
      <c r="A1796" s="21"/>
      <c r="B1796" s="3" t="s">
        <v>0</v>
      </c>
      <c r="C1796" s="20" t="s">
        <v>60</v>
      </c>
      <c r="D1796" s="21"/>
    </row>
    <row r="1797" spans="1:4" ht="12.75" customHeight="1" x14ac:dyDescent="0.2">
      <c r="A1797" s="21"/>
      <c r="B1797" s="3" t="s">
        <v>2</v>
      </c>
      <c r="C1797" s="20" t="s">
        <v>3</v>
      </c>
      <c r="D1797" s="21"/>
    </row>
    <row r="1798" spans="1:4" ht="12.75" customHeight="1" x14ac:dyDescent="0.2">
      <c r="A1798" s="21"/>
      <c r="B1798" s="3" t="s">
        <v>4</v>
      </c>
      <c r="C1798" s="20" t="s">
        <v>516</v>
      </c>
      <c r="D1798" s="21"/>
    </row>
    <row r="1799" spans="1:4" ht="12.75" customHeight="1" x14ac:dyDescent="0.2">
      <c r="A1799" s="21"/>
      <c r="B1799" s="3" t="s">
        <v>6</v>
      </c>
      <c r="C1799" s="20" t="s">
        <v>65</v>
      </c>
      <c r="D1799" s="21"/>
    </row>
    <row r="1800" spans="1:4" ht="12.75" customHeight="1" x14ac:dyDescent="0.2">
      <c r="A1800" s="21"/>
      <c r="B1800" s="3" t="s">
        <v>8</v>
      </c>
      <c r="C1800" s="20" t="s">
        <v>516</v>
      </c>
      <c r="D1800" s="21"/>
    </row>
    <row r="1801" spans="1:4" ht="12.75" customHeight="1" x14ac:dyDescent="0.2">
      <c r="A1801" s="21"/>
      <c r="B1801" s="3" t="s">
        <v>9</v>
      </c>
      <c r="C1801" s="20" t="s">
        <v>42</v>
      </c>
      <c r="D1801" s="21"/>
    </row>
    <row r="1802" spans="1:4" ht="12.75" customHeight="1" x14ac:dyDescent="0.2">
      <c r="A1802" s="21"/>
      <c r="B1802" s="3" t="s">
        <v>11</v>
      </c>
      <c r="C1802" s="20" t="s">
        <v>470</v>
      </c>
      <c r="D1802" s="21"/>
    </row>
    <row r="1803" spans="1:4" ht="12.75" customHeight="1" x14ac:dyDescent="0.2">
      <c r="A1803" s="21"/>
      <c r="B1803" s="3" t="s">
        <v>13</v>
      </c>
      <c r="C1803" s="20" t="s">
        <v>24</v>
      </c>
      <c r="D1803" s="21"/>
    </row>
    <row r="1804" spans="1:4" ht="12.75" customHeight="1" x14ac:dyDescent="0.2">
      <c r="A1804" s="21"/>
      <c r="B1804" s="3" t="s">
        <v>15</v>
      </c>
      <c r="C1804" s="20" t="s">
        <v>24</v>
      </c>
      <c r="D1804" s="21"/>
    </row>
    <row r="1805" spans="1:4" ht="12.75" customHeight="1" x14ac:dyDescent="0.2">
      <c r="A1805" s="21"/>
      <c r="B1805" s="3" t="s">
        <v>16</v>
      </c>
      <c r="C1805" s="20"/>
      <c r="D1805" s="21"/>
    </row>
    <row r="1806" spans="1:4" ht="12.75" customHeight="1" x14ac:dyDescent="0.2">
      <c r="A1806" s="21"/>
      <c r="B1806" s="3" t="s">
        <v>17</v>
      </c>
      <c r="C1806" s="20"/>
      <c r="D1806" s="21"/>
    </row>
    <row r="1807" spans="1:4" ht="12.75" customHeight="1" x14ac:dyDescent="0.2">
      <c r="A1807" s="21"/>
      <c r="B1807" s="20" t="s">
        <v>18</v>
      </c>
      <c r="C1807" s="4" t="s">
        <v>67</v>
      </c>
      <c r="D1807" s="6" t="str">
        <f>HYPERLINK("javascript:void(0)","napfolt")</f>
        <v>napfolt</v>
      </c>
    </row>
    <row r="1808" spans="1:4" ht="12.75" customHeight="1" x14ac:dyDescent="0.2">
      <c r="A1808" s="21"/>
      <c r="B1808" s="21"/>
      <c r="C1808" s="4" t="s">
        <v>382</v>
      </c>
      <c r="D1808" s="6" t="str">
        <f>HYPERLINK("javascript:void(0)","horog")</f>
        <v>horog</v>
      </c>
    </row>
    <row r="1809" spans="1:4" ht="12.75" customHeight="1" x14ac:dyDescent="0.2">
      <c r="A1809" s="21"/>
      <c r="B1809" s="21"/>
      <c r="C1809" s="4" t="s">
        <v>193</v>
      </c>
      <c r="D1809" s="6" t="str">
        <f>HYPERLINK("javascript:void(0)","éjfény")</f>
        <v>éjfény</v>
      </c>
    </row>
    <row r="1810" spans="1:4" ht="12.75" customHeight="1" x14ac:dyDescent="0.2">
      <c r="A1810" s="5"/>
      <c r="B1810" s="2"/>
      <c r="C1810" s="2"/>
      <c r="D1810" s="2"/>
    </row>
    <row r="1811" spans="1:4" ht="12.75" customHeight="1" x14ac:dyDescent="0.2">
      <c r="A1811" s="22" t="str">
        <f>HYPERLINK("javascript:void(0)","gyémánt halálosztó")</f>
        <v>gyémánt halálosztó</v>
      </c>
      <c r="B1811" s="21"/>
      <c r="C1811" s="21"/>
      <c r="D1811" s="21"/>
    </row>
    <row r="1812" spans="1:4" ht="12.75" customHeight="1" x14ac:dyDescent="0.2">
      <c r="A1812" s="20"/>
      <c r="B1812" s="2"/>
      <c r="C1812" s="2"/>
      <c r="D1812" s="2"/>
    </row>
    <row r="1813" spans="1:4" ht="12.75" customHeight="1" x14ac:dyDescent="0.2">
      <c r="A1813" s="21"/>
      <c r="B1813" s="3" t="s">
        <v>0</v>
      </c>
      <c r="C1813" s="20" t="s">
        <v>167</v>
      </c>
      <c r="D1813" s="21"/>
    </row>
    <row r="1814" spans="1:4" ht="12.75" customHeight="1" x14ac:dyDescent="0.2">
      <c r="A1814" s="21"/>
      <c r="B1814" s="3" t="s">
        <v>2</v>
      </c>
      <c r="C1814" s="20" t="s">
        <v>3</v>
      </c>
      <c r="D1814" s="21"/>
    </row>
    <row r="1815" spans="1:4" ht="12.75" customHeight="1" x14ac:dyDescent="0.2">
      <c r="A1815" s="21"/>
      <c r="B1815" s="3" t="s">
        <v>4</v>
      </c>
      <c r="C1815" s="20" t="s">
        <v>521</v>
      </c>
      <c r="D1815" s="21"/>
    </row>
    <row r="1816" spans="1:4" ht="12.75" customHeight="1" x14ac:dyDescent="0.2">
      <c r="A1816" s="21"/>
      <c r="B1816" s="3" t="s">
        <v>6</v>
      </c>
      <c r="C1816" s="20" t="s">
        <v>298</v>
      </c>
      <c r="D1816" s="21"/>
    </row>
    <row r="1817" spans="1:4" ht="12.75" customHeight="1" x14ac:dyDescent="0.2">
      <c r="A1817" s="21"/>
      <c r="B1817" s="3" t="s">
        <v>8</v>
      </c>
      <c r="C1817" s="20" t="s">
        <v>521</v>
      </c>
      <c r="D1817" s="21"/>
    </row>
    <row r="1818" spans="1:4" ht="12.75" customHeight="1" x14ac:dyDescent="0.2">
      <c r="A1818" s="21"/>
      <c r="B1818" s="3" t="s">
        <v>9</v>
      </c>
      <c r="C1818" s="20" t="s">
        <v>70</v>
      </c>
      <c r="D1818" s="21"/>
    </row>
    <row r="1819" spans="1:4" ht="12.75" customHeight="1" x14ac:dyDescent="0.2">
      <c r="A1819" s="21"/>
      <c r="B1819" s="3" t="s">
        <v>11</v>
      </c>
      <c r="C1819" s="20" t="s">
        <v>523</v>
      </c>
      <c r="D1819" s="21"/>
    </row>
    <row r="1820" spans="1:4" ht="12.75" customHeight="1" x14ac:dyDescent="0.2">
      <c r="A1820" s="21"/>
      <c r="B1820" s="3" t="s">
        <v>13</v>
      </c>
      <c r="C1820" s="20" t="s">
        <v>24</v>
      </c>
      <c r="D1820" s="21"/>
    </row>
    <row r="1821" spans="1:4" ht="12.75" customHeight="1" x14ac:dyDescent="0.2">
      <c r="A1821" s="21"/>
      <c r="B1821" s="3" t="s">
        <v>15</v>
      </c>
      <c r="C1821" s="20" t="s">
        <v>24</v>
      </c>
      <c r="D1821" s="21"/>
    </row>
    <row r="1822" spans="1:4" ht="12.75" customHeight="1" x14ac:dyDescent="0.2">
      <c r="A1822" s="21"/>
      <c r="B1822" s="3" t="s">
        <v>16</v>
      </c>
      <c r="C1822" s="20"/>
      <c r="D1822" s="21"/>
    </row>
    <row r="1823" spans="1:4" ht="12.75" customHeight="1" x14ac:dyDescent="0.2">
      <c r="A1823" s="21"/>
      <c r="B1823" s="3" t="s">
        <v>17</v>
      </c>
      <c r="C1823" s="20"/>
      <c r="D1823" s="21"/>
    </row>
    <row r="1824" spans="1:4" ht="12.75" customHeight="1" x14ac:dyDescent="0.2">
      <c r="A1824" s="21"/>
      <c r="B1824" s="20" t="s">
        <v>18</v>
      </c>
      <c r="C1824" s="4" t="s">
        <v>44</v>
      </c>
      <c r="D1824" s="6" t="str">
        <f>HYPERLINK("javascript:void(0)","gyémánt átokszóró")</f>
        <v>gyémánt átokszóró</v>
      </c>
    </row>
    <row r="1825" spans="1:4" ht="12.75" customHeight="1" x14ac:dyDescent="0.2">
      <c r="A1825" s="21"/>
      <c r="B1825" s="21"/>
      <c r="C1825" s="4" t="s">
        <v>44</v>
      </c>
      <c r="D1825" s="6" t="str">
        <f>HYPERLINK("javascript:void(0)","gyémánt jégvető")</f>
        <v>gyémánt jégvető</v>
      </c>
    </row>
    <row r="1826" spans="1:4" ht="12.75" customHeight="1" x14ac:dyDescent="0.2">
      <c r="A1826" s="21"/>
      <c r="B1826" s="21"/>
      <c r="C1826" s="4" t="s">
        <v>77</v>
      </c>
      <c r="D1826" s="6" t="str">
        <f>HYPERLINK("javascript:void(0)","hörcsögagyar")</f>
        <v>hörcsögagyar</v>
      </c>
    </row>
    <row r="1827" spans="1:4" ht="12.75" customHeight="1" x14ac:dyDescent="0.2">
      <c r="A1827" s="5"/>
      <c r="B1827" s="2"/>
      <c r="C1827" s="2"/>
      <c r="D1827" s="2"/>
    </row>
    <row r="1828" spans="1:4" ht="12.75" customHeight="1" x14ac:dyDescent="0.2">
      <c r="A1828" s="22" t="str">
        <f>HYPERLINK("javascript:void(0)","hypnoacél átokszóró")</f>
        <v>hypnoacél átokszóró</v>
      </c>
      <c r="B1828" s="21"/>
      <c r="C1828" s="21"/>
      <c r="D1828" s="21"/>
    </row>
    <row r="1829" spans="1:4" ht="12.75" customHeight="1" x14ac:dyDescent="0.2">
      <c r="A1829" s="20"/>
      <c r="B1829" s="2"/>
      <c r="C1829" s="2"/>
      <c r="D1829" s="2"/>
    </row>
    <row r="1830" spans="1:4" ht="12.75" customHeight="1" x14ac:dyDescent="0.2">
      <c r="A1830" s="21"/>
      <c r="B1830" s="3" t="s">
        <v>0</v>
      </c>
      <c r="C1830" s="20" t="s">
        <v>167</v>
      </c>
      <c r="D1830" s="21"/>
    </row>
    <row r="1831" spans="1:4" ht="12.75" customHeight="1" x14ac:dyDescent="0.2">
      <c r="A1831" s="21"/>
      <c r="B1831" s="3" t="s">
        <v>2</v>
      </c>
      <c r="C1831" s="20" t="s">
        <v>3</v>
      </c>
      <c r="D1831" s="21"/>
    </row>
    <row r="1832" spans="1:4" ht="12.75" customHeight="1" x14ac:dyDescent="0.2">
      <c r="A1832" s="21"/>
      <c r="B1832" s="3" t="s">
        <v>4</v>
      </c>
      <c r="C1832" s="20" t="s">
        <v>528</v>
      </c>
      <c r="D1832" s="21"/>
    </row>
    <row r="1833" spans="1:4" ht="12.75" customHeight="1" x14ac:dyDescent="0.2">
      <c r="A1833" s="21"/>
      <c r="B1833" s="3" t="s">
        <v>6</v>
      </c>
      <c r="C1833" s="20" t="s">
        <v>65</v>
      </c>
      <c r="D1833" s="21"/>
    </row>
    <row r="1834" spans="1:4" ht="12.75" customHeight="1" x14ac:dyDescent="0.2">
      <c r="A1834" s="21"/>
      <c r="B1834" s="3" t="s">
        <v>8</v>
      </c>
      <c r="C1834" s="20" t="s">
        <v>528</v>
      </c>
      <c r="D1834" s="21"/>
    </row>
    <row r="1835" spans="1:4" ht="12.75" customHeight="1" x14ac:dyDescent="0.2">
      <c r="A1835" s="21"/>
      <c r="B1835" s="3" t="s">
        <v>9</v>
      </c>
      <c r="C1835" s="20" t="s">
        <v>42</v>
      </c>
      <c r="D1835" s="21"/>
    </row>
    <row r="1836" spans="1:4" ht="12.75" customHeight="1" x14ac:dyDescent="0.2">
      <c r="A1836" s="21"/>
      <c r="B1836" s="3" t="s">
        <v>11</v>
      </c>
      <c r="C1836" s="20" t="s">
        <v>531</v>
      </c>
      <c r="D1836" s="21"/>
    </row>
    <row r="1837" spans="1:4" ht="12.75" customHeight="1" x14ac:dyDescent="0.2">
      <c r="A1837" s="21"/>
      <c r="B1837" s="3" t="s">
        <v>13</v>
      </c>
      <c r="C1837" s="20" t="s">
        <v>24</v>
      </c>
      <c r="D1837" s="21"/>
    </row>
    <row r="1838" spans="1:4" ht="12.75" customHeight="1" x14ac:dyDescent="0.2">
      <c r="A1838" s="21"/>
      <c r="B1838" s="3" t="s">
        <v>15</v>
      </c>
      <c r="C1838" s="20" t="s">
        <v>24</v>
      </c>
      <c r="D1838" s="21"/>
    </row>
    <row r="1839" spans="1:4" ht="12.75" customHeight="1" x14ac:dyDescent="0.2">
      <c r="A1839" s="21"/>
      <c r="B1839" s="3" t="s">
        <v>16</v>
      </c>
      <c r="C1839" s="20"/>
      <c r="D1839" s="21"/>
    </row>
    <row r="1840" spans="1:4" ht="12.75" customHeight="1" x14ac:dyDescent="0.2">
      <c r="A1840" s="21"/>
      <c r="B1840" s="3" t="s">
        <v>17</v>
      </c>
      <c r="C1840" s="20"/>
      <c r="D1840" s="21"/>
    </row>
    <row r="1841" spans="1:4" ht="12.75" customHeight="1" x14ac:dyDescent="0.2">
      <c r="A1841" s="21"/>
      <c r="B1841" s="20" t="s">
        <v>18</v>
      </c>
      <c r="C1841" s="4" t="s">
        <v>67</v>
      </c>
      <c r="D1841" s="6" t="str">
        <f>HYPERLINK("javascript:void(0)","hypnogén")</f>
        <v>hypnogén</v>
      </c>
    </row>
    <row r="1842" spans="1:4" ht="12.75" customHeight="1" x14ac:dyDescent="0.2">
      <c r="A1842" s="21"/>
      <c r="B1842" s="21"/>
      <c r="C1842" s="4" t="s">
        <v>117</v>
      </c>
      <c r="D1842" s="6" t="str">
        <f>HYPERLINK("javascript:void(0)","tincs")</f>
        <v>tincs</v>
      </c>
    </row>
    <row r="1843" spans="1:4" ht="12.75" customHeight="1" x14ac:dyDescent="0.2">
      <c r="A1843" s="21"/>
      <c r="B1843" s="21"/>
      <c r="C1843" s="4" t="s">
        <v>212</v>
      </c>
      <c r="D1843" s="6" t="str">
        <f>HYPERLINK("javascript:void(0)","elemi köpet")</f>
        <v>elemi köpet</v>
      </c>
    </row>
    <row r="1844" spans="1:4" ht="12.75" customHeight="1" x14ac:dyDescent="0.2">
      <c r="A1844" s="5"/>
      <c r="B1844" s="2"/>
      <c r="C1844" s="2"/>
      <c r="D1844" s="2"/>
    </row>
    <row r="1845" spans="1:4" ht="12.75" customHeight="1" x14ac:dyDescent="0.2">
      <c r="A1845" s="22" t="str">
        <f>HYPERLINK("javascript:void(0)","diszpro halálosztó")</f>
        <v>diszpro halálosztó</v>
      </c>
      <c r="B1845" s="21"/>
      <c r="C1845" s="21"/>
      <c r="D1845" s="21"/>
    </row>
    <row r="1846" spans="1:4" ht="12.75" customHeight="1" x14ac:dyDescent="0.2">
      <c r="A1846" s="20"/>
      <c r="B1846" s="2"/>
      <c r="C1846" s="2"/>
      <c r="D1846" s="2"/>
    </row>
    <row r="1847" spans="1:4" ht="12.75" customHeight="1" x14ac:dyDescent="0.2">
      <c r="A1847" s="21"/>
      <c r="B1847" s="3" t="s">
        <v>0</v>
      </c>
      <c r="C1847" s="20" t="s">
        <v>532</v>
      </c>
      <c r="D1847" s="21"/>
    </row>
    <row r="1848" spans="1:4" ht="12.75" customHeight="1" x14ac:dyDescent="0.2">
      <c r="A1848" s="21"/>
      <c r="B1848" s="3" t="s">
        <v>2</v>
      </c>
      <c r="C1848" s="20" t="s">
        <v>3</v>
      </c>
      <c r="D1848" s="21"/>
    </row>
    <row r="1849" spans="1:4" ht="12.75" customHeight="1" x14ac:dyDescent="0.2">
      <c r="A1849" s="21"/>
      <c r="B1849" s="3" t="s">
        <v>4</v>
      </c>
      <c r="C1849" s="20" t="s">
        <v>534</v>
      </c>
      <c r="D1849" s="21"/>
    </row>
    <row r="1850" spans="1:4" ht="12.75" customHeight="1" x14ac:dyDescent="0.2">
      <c r="A1850" s="21"/>
      <c r="B1850" s="3" t="s">
        <v>6</v>
      </c>
      <c r="C1850" s="20" t="s">
        <v>157</v>
      </c>
      <c r="D1850" s="21"/>
    </row>
    <row r="1851" spans="1:4" ht="12.75" customHeight="1" x14ac:dyDescent="0.2">
      <c r="A1851" s="21"/>
      <c r="B1851" s="3" t="s">
        <v>8</v>
      </c>
      <c r="C1851" s="20" t="s">
        <v>534</v>
      </c>
      <c r="D1851" s="21"/>
    </row>
    <row r="1852" spans="1:4" ht="12.75" customHeight="1" x14ac:dyDescent="0.2">
      <c r="A1852" s="21"/>
      <c r="B1852" s="3" t="s">
        <v>9</v>
      </c>
      <c r="C1852" s="20" t="s">
        <v>36</v>
      </c>
      <c r="D1852" s="21"/>
    </row>
    <row r="1853" spans="1:4" ht="12.75" customHeight="1" x14ac:dyDescent="0.2">
      <c r="A1853" s="21"/>
      <c r="B1853" s="3" t="s">
        <v>11</v>
      </c>
      <c r="C1853" s="20" t="s">
        <v>536</v>
      </c>
      <c r="D1853" s="21"/>
    </row>
    <row r="1854" spans="1:4" ht="12.75" customHeight="1" x14ac:dyDescent="0.2">
      <c r="A1854" s="21"/>
      <c r="B1854" s="3" t="s">
        <v>13</v>
      </c>
      <c r="C1854" s="20" t="s">
        <v>24</v>
      </c>
      <c r="D1854" s="21"/>
    </row>
    <row r="1855" spans="1:4" ht="12.75" customHeight="1" x14ac:dyDescent="0.2">
      <c r="A1855" s="21"/>
      <c r="B1855" s="3" t="s">
        <v>15</v>
      </c>
      <c r="C1855" s="20" t="s">
        <v>24</v>
      </c>
      <c r="D1855" s="21"/>
    </row>
    <row r="1856" spans="1:4" ht="12.75" customHeight="1" x14ac:dyDescent="0.2">
      <c r="A1856" s="21"/>
      <c r="B1856" s="3" t="s">
        <v>16</v>
      </c>
      <c r="C1856" s="20"/>
      <c r="D1856" s="21"/>
    </row>
    <row r="1857" spans="1:4" ht="12.75" customHeight="1" x14ac:dyDescent="0.2">
      <c r="A1857" s="21"/>
      <c r="B1857" s="3" t="s">
        <v>17</v>
      </c>
      <c r="C1857" s="20"/>
      <c r="D1857" s="21"/>
    </row>
    <row r="1858" spans="1:4" ht="12.75" customHeight="1" x14ac:dyDescent="0.2">
      <c r="A1858" s="21"/>
      <c r="B1858" s="20" t="s">
        <v>18</v>
      </c>
      <c r="C1858" s="4" t="s">
        <v>44</v>
      </c>
      <c r="D1858" s="6" t="str">
        <f>HYPERLINK("javascript:void(0)","diszpro átokszóró")</f>
        <v>diszpro átokszóró</v>
      </c>
    </row>
    <row r="1859" spans="1:4" ht="12.75" customHeight="1" x14ac:dyDescent="0.2">
      <c r="A1859" s="21"/>
      <c r="B1859" s="21"/>
      <c r="C1859" s="4" t="s">
        <v>44</v>
      </c>
      <c r="D1859" s="6" t="str">
        <f>HYPERLINK("javascript:void(0)","diszpro fuvallat")</f>
        <v>diszpro fuvallat</v>
      </c>
    </row>
    <row r="1860" spans="1:4" ht="12.75" customHeight="1" x14ac:dyDescent="0.2">
      <c r="A1860" s="21"/>
      <c r="B1860" s="21"/>
      <c r="C1860" s="4" t="s">
        <v>57</v>
      </c>
      <c r="D1860" s="6" t="str">
        <f>HYPERLINK("javascript:void(0)","imázs")</f>
        <v>imázs</v>
      </c>
    </row>
    <row r="1861" spans="1:4" ht="12.75" customHeight="1" x14ac:dyDescent="0.2">
      <c r="A1861" s="5"/>
      <c r="B1861" s="2"/>
      <c r="C1861" s="2"/>
      <c r="D1861" s="2"/>
    </row>
    <row r="1862" spans="1:4" ht="12.75" customHeight="1" x14ac:dyDescent="0.2">
      <c r="A1862" s="22" t="str">
        <f>HYPERLINK("javascript:void(0)","harmatacél átokszóró")</f>
        <v>harmatacél átokszóró</v>
      </c>
      <c r="B1862" s="21"/>
      <c r="C1862" s="21"/>
      <c r="D1862" s="21"/>
    </row>
    <row r="1863" spans="1:4" ht="12.75" customHeight="1" x14ac:dyDescent="0.2">
      <c r="A1863" s="20"/>
      <c r="B1863" s="2"/>
      <c r="C1863" s="2"/>
      <c r="D1863" s="2"/>
    </row>
    <row r="1864" spans="1:4" ht="12.75" customHeight="1" x14ac:dyDescent="0.2">
      <c r="A1864" s="21"/>
      <c r="B1864" s="3" t="s">
        <v>0</v>
      </c>
      <c r="C1864" s="20" t="s">
        <v>532</v>
      </c>
      <c r="D1864" s="21"/>
    </row>
    <row r="1865" spans="1:4" ht="12.75" customHeight="1" x14ac:dyDescent="0.2">
      <c r="A1865" s="21"/>
      <c r="B1865" s="3" t="s">
        <v>2</v>
      </c>
      <c r="C1865" s="20" t="s">
        <v>3</v>
      </c>
      <c r="D1865" s="21"/>
    </row>
    <row r="1866" spans="1:4" ht="12.75" customHeight="1" x14ac:dyDescent="0.2">
      <c r="A1866" s="21"/>
      <c r="B1866" s="3" t="s">
        <v>4</v>
      </c>
      <c r="C1866" s="20" t="s">
        <v>538</v>
      </c>
      <c r="D1866" s="21"/>
    </row>
    <row r="1867" spans="1:4" ht="12.75" customHeight="1" x14ac:dyDescent="0.2">
      <c r="A1867" s="21"/>
      <c r="B1867" s="3" t="s">
        <v>6</v>
      </c>
      <c r="C1867" s="20" t="s">
        <v>65</v>
      </c>
      <c r="D1867" s="21"/>
    </row>
    <row r="1868" spans="1:4" ht="12.75" customHeight="1" x14ac:dyDescent="0.2">
      <c r="A1868" s="21"/>
      <c r="B1868" s="3" t="s">
        <v>8</v>
      </c>
      <c r="C1868" s="20" t="s">
        <v>538</v>
      </c>
      <c r="D1868" s="21"/>
    </row>
    <row r="1869" spans="1:4" ht="12.75" customHeight="1" x14ac:dyDescent="0.2">
      <c r="A1869" s="21"/>
      <c r="B1869" s="3" t="s">
        <v>9</v>
      </c>
      <c r="C1869" s="20" t="s">
        <v>42</v>
      </c>
      <c r="D1869" s="21"/>
    </row>
    <row r="1870" spans="1:4" ht="12.75" customHeight="1" x14ac:dyDescent="0.2">
      <c r="A1870" s="21"/>
      <c r="B1870" s="3" t="s">
        <v>11</v>
      </c>
      <c r="C1870" s="20" t="s">
        <v>483</v>
      </c>
      <c r="D1870" s="21"/>
    </row>
    <row r="1871" spans="1:4" ht="12.75" customHeight="1" x14ac:dyDescent="0.2">
      <c r="A1871" s="21"/>
      <c r="B1871" s="3" t="s">
        <v>13</v>
      </c>
      <c r="C1871" s="20" t="s">
        <v>24</v>
      </c>
      <c r="D1871" s="21"/>
    </row>
    <row r="1872" spans="1:4" ht="12.75" customHeight="1" x14ac:dyDescent="0.2">
      <c r="A1872" s="21"/>
      <c r="B1872" s="3" t="s">
        <v>15</v>
      </c>
      <c r="C1872" s="20" t="s">
        <v>24</v>
      </c>
      <c r="D1872" s="21"/>
    </row>
    <row r="1873" spans="1:4" ht="12.75" customHeight="1" x14ac:dyDescent="0.2">
      <c r="A1873" s="21"/>
      <c r="B1873" s="3" t="s">
        <v>16</v>
      </c>
      <c r="C1873" s="20"/>
      <c r="D1873" s="21"/>
    </row>
    <row r="1874" spans="1:4" ht="12.75" customHeight="1" x14ac:dyDescent="0.2">
      <c r="A1874" s="21"/>
      <c r="B1874" s="3" t="s">
        <v>17</v>
      </c>
      <c r="C1874" s="20"/>
      <c r="D1874" s="21"/>
    </row>
    <row r="1875" spans="1:4" ht="12.75" customHeight="1" x14ac:dyDescent="0.2">
      <c r="A1875" s="21"/>
      <c r="B1875" s="20" t="s">
        <v>18</v>
      </c>
      <c r="C1875" s="4" t="s">
        <v>309</v>
      </c>
      <c r="D1875" s="6" t="str">
        <f>HYPERLINK("javascript:void(0)","harmatcsepp")</f>
        <v>harmatcsepp</v>
      </c>
    </row>
    <row r="1876" spans="1:4" ht="12.75" customHeight="1" x14ac:dyDescent="0.2">
      <c r="A1876" s="21"/>
      <c r="B1876" s="21"/>
      <c r="C1876" s="4" t="s">
        <v>117</v>
      </c>
      <c r="D1876" s="6" t="str">
        <f>HYPERLINK("javascript:void(0)","tincs")</f>
        <v>tincs</v>
      </c>
    </row>
    <row r="1877" spans="1:4" ht="12.75" customHeight="1" x14ac:dyDescent="0.2">
      <c r="A1877" s="21"/>
      <c r="B1877" s="21"/>
      <c r="C1877" s="4" t="s">
        <v>163</v>
      </c>
      <c r="D1877" s="6" t="str">
        <f>HYPERLINK("javascript:void(0)","medúza csáp")</f>
        <v>medúza csáp</v>
      </c>
    </row>
    <row r="1878" spans="1:4" ht="12.75" customHeight="1" x14ac:dyDescent="0.2">
      <c r="A1878" s="5"/>
      <c r="B1878" s="2"/>
      <c r="C1878" s="2"/>
      <c r="D1878" s="2"/>
    </row>
    <row r="1879" spans="1:4" ht="12.75" customHeight="1" x14ac:dyDescent="0.2">
      <c r="A1879" s="22" t="str">
        <f>HYPERLINK("javascript:void(0)","kithrill halálosztó")</f>
        <v>kithrill halálosztó</v>
      </c>
      <c r="B1879" s="21"/>
      <c r="C1879" s="21"/>
      <c r="D1879" s="21"/>
    </row>
    <row r="1880" spans="1:4" ht="12.75" customHeight="1" x14ac:dyDescent="0.2">
      <c r="A1880" s="20"/>
      <c r="B1880" s="2"/>
      <c r="C1880" s="2"/>
      <c r="D1880" s="2"/>
    </row>
    <row r="1881" spans="1:4" ht="12.75" customHeight="1" x14ac:dyDescent="0.2">
      <c r="A1881" s="21"/>
      <c r="B1881" s="3" t="s">
        <v>0</v>
      </c>
      <c r="C1881" s="20" t="s">
        <v>223</v>
      </c>
      <c r="D1881" s="21"/>
    </row>
    <row r="1882" spans="1:4" ht="12.75" customHeight="1" x14ac:dyDescent="0.2">
      <c r="A1882" s="21"/>
      <c r="B1882" s="3" t="s">
        <v>2</v>
      </c>
      <c r="C1882" s="20" t="s">
        <v>3</v>
      </c>
      <c r="D1882" s="21"/>
    </row>
    <row r="1883" spans="1:4" ht="12.75" customHeight="1" x14ac:dyDescent="0.2">
      <c r="A1883" s="21"/>
      <c r="B1883" s="3" t="s">
        <v>4</v>
      </c>
      <c r="C1883" s="20" t="s">
        <v>541</v>
      </c>
      <c r="D1883" s="21"/>
    </row>
    <row r="1884" spans="1:4" ht="12.75" customHeight="1" x14ac:dyDescent="0.2">
      <c r="A1884" s="21"/>
      <c r="B1884" s="3" t="s">
        <v>6</v>
      </c>
      <c r="C1884" s="20" t="s">
        <v>178</v>
      </c>
      <c r="D1884" s="21"/>
    </row>
    <row r="1885" spans="1:4" ht="12.75" customHeight="1" x14ac:dyDescent="0.2">
      <c r="A1885" s="21"/>
      <c r="B1885" s="3" t="s">
        <v>8</v>
      </c>
      <c r="C1885" s="20" t="s">
        <v>541</v>
      </c>
      <c r="D1885" s="21"/>
    </row>
    <row r="1886" spans="1:4" ht="12.75" customHeight="1" x14ac:dyDescent="0.2">
      <c r="A1886" s="21"/>
      <c r="B1886" s="3" t="s">
        <v>9</v>
      </c>
      <c r="C1886" s="20" t="s">
        <v>42</v>
      </c>
      <c r="D1886" s="21"/>
    </row>
    <row r="1887" spans="1:4" ht="12.75" customHeight="1" x14ac:dyDescent="0.2">
      <c r="A1887" s="21"/>
      <c r="B1887" s="3" t="s">
        <v>11</v>
      </c>
      <c r="C1887" s="20" t="s">
        <v>542</v>
      </c>
      <c r="D1887" s="21"/>
    </row>
    <row r="1888" spans="1:4" ht="12.75" customHeight="1" x14ac:dyDescent="0.2">
      <c r="A1888" s="21"/>
      <c r="B1888" s="3" t="s">
        <v>13</v>
      </c>
      <c r="C1888" s="20" t="s">
        <v>24</v>
      </c>
      <c r="D1888" s="21"/>
    </row>
    <row r="1889" spans="1:4" ht="12.75" customHeight="1" x14ac:dyDescent="0.2">
      <c r="A1889" s="21"/>
      <c r="B1889" s="3" t="s">
        <v>15</v>
      </c>
      <c r="C1889" s="20" t="s">
        <v>24</v>
      </c>
      <c r="D1889" s="21"/>
    </row>
    <row r="1890" spans="1:4" ht="12.75" customHeight="1" x14ac:dyDescent="0.2">
      <c r="A1890" s="21"/>
      <c r="B1890" s="3" t="s">
        <v>16</v>
      </c>
      <c r="C1890" s="20"/>
      <c r="D1890" s="21"/>
    </row>
    <row r="1891" spans="1:4" ht="12.75" customHeight="1" x14ac:dyDescent="0.2">
      <c r="A1891" s="21"/>
      <c r="B1891" s="3" t="s">
        <v>17</v>
      </c>
      <c r="C1891" s="20"/>
      <c r="D1891" s="21"/>
    </row>
    <row r="1892" spans="1:4" ht="12.75" customHeight="1" x14ac:dyDescent="0.2">
      <c r="A1892" s="21"/>
      <c r="B1892" s="20" t="s">
        <v>18</v>
      </c>
      <c r="C1892" s="4" t="s">
        <v>44</v>
      </c>
      <c r="D1892" s="6" t="str">
        <f>HYPERLINK("javascript:void(0)","kithrill átokszóró")</f>
        <v>kithrill átokszóró</v>
      </c>
    </row>
    <row r="1893" spans="1:4" ht="12.75" customHeight="1" x14ac:dyDescent="0.2">
      <c r="A1893" s="21"/>
      <c r="B1893" s="21"/>
      <c r="C1893" s="4" t="s">
        <v>44</v>
      </c>
      <c r="D1893" s="6" t="str">
        <f>HYPERLINK("javascript:void(0)","kithrill pusztító")</f>
        <v>kithrill pusztító</v>
      </c>
    </row>
    <row r="1894" spans="1:4" ht="12.75" customHeight="1" x14ac:dyDescent="0.2">
      <c r="A1894" s="21"/>
      <c r="B1894" s="21"/>
      <c r="C1894" s="4" t="s">
        <v>57</v>
      </c>
      <c r="D1894" s="6" t="str">
        <f>HYPERLINK("javascript:void(0)","dimenzióforgács")</f>
        <v>dimenzióforgács</v>
      </c>
    </row>
    <row r="1895" spans="1:4" ht="12.75" customHeight="1" x14ac:dyDescent="0.2">
      <c r="A1895" s="5"/>
      <c r="B1895" s="2"/>
      <c r="C1895" s="2"/>
      <c r="D1895" s="2"/>
    </row>
    <row r="1896" spans="1:4" ht="12.75" customHeight="1" x14ac:dyDescent="0.2">
      <c r="A1896" s="22" t="str">
        <f>HYPERLINK("javascript:void(0)","smaragd csúzli")</f>
        <v>smaragd csúzli</v>
      </c>
      <c r="B1896" s="21"/>
      <c r="C1896" s="21"/>
      <c r="D1896" s="21"/>
    </row>
    <row r="1897" spans="1:4" ht="12.75" customHeight="1" x14ac:dyDescent="0.2">
      <c r="A1897" s="20"/>
      <c r="B1897" s="2"/>
      <c r="C1897" s="2"/>
      <c r="D1897" s="2"/>
    </row>
    <row r="1898" spans="1:4" ht="12.75" customHeight="1" x14ac:dyDescent="0.2">
      <c r="A1898" s="21"/>
      <c r="B1898" s="3" t="s">
        <v>0</v>
      </c>
      <c r="C1898" s="20" t="s">
        <v>223</v>
      </c>
      <c r="D1898" s="21"/>
    </row>
    <row r="1899" spans="1:4" ht="12.75" customHeight="1" x14ac:dyDescent="0.2">
      <c r="A1899" s="21"/>
      <c r="B1899" s="3" t="s">
        <v>2</v>
      </c>
      <c r="C1899" s="20" t="s">
        <v>3</v>
      </c>
      <c r="D1899" s="21"/>
    </row>
    <row r="1900" spans="1:4" ht="12.75" customHeight="1" x14ac:dyDescent="0.2">
      <c r="A1900" s="21"/>
      <c r="B1900" s="3" t="s">
        <v>4</v>
      </c>
      <c r="C1900" s="20" t="s">
        <v>546</v>
      </c>
      <c r="D1900" s="21"/>
    </row>
    <row r="1901" spans="1:4" ht="12.75" customHeight="1" x14ac:dyDescent="0.2">
      <c r="A1901" s="21"/>
      <c r="B1901" s="3" t="s">
        <v>6</v>
      </c>
      <c r="C1901" s="20" t="s">
        <v>65</v>
      </c>
      <c r="D1901" s="21"/>
    </row>
    <row r="1902" spans="1:4" ht="12.75" customHeight="1" x14ac:dyDescent="0.2">
      <c r="A1902" s="21"/>
      <c r="B1902" s="3" t="s">
        <v>8</v>
      </c>
      <c r="C1902" s="20" t="s">
        <v>546</v>
      </c>
      <c r="D1902" s="21"/>
    </row>
    <row r="1903" spans="1:4" ht="12.75" customHeight="1" x14ac:dyDescent="0.2">
      <c r="A1903" s="21"/>
      <c r="B1903" s="3" t="s">
        <v>9</v>
      </c>
      <c r="C1903" s="20" t="s">
        <v>42</v>
      </c>
      <c r="D1903" s="21"/>
    </row>
    <row r="1904" spans="1:4" ht="12.75" customHeight="1" x14ac:dyDescent="0.2">
      <c r="A1904" s="21"/>
      <c r="B1904" s="3" t="s">
        <v>11</v>
      </c>
      <c r="C1904" s="20" t="s">
        <v>547</v>
      </c>
      <c r="D1904" s="21"/>
    </row>
    <row r="1905" spans="1:4" ht="12.75" customHeight="1" x14ac:dyDescent="0.2">
      <c r="A1905" s="21"/>
      <c r="B1905" s="3" t="s">
        <v>13</v>
      </c>
      <c r="C1905" s="20" t="s">
        <v>24</v>
      </c>
      <c r="D1905" s="21"/>
    </row>
    <row r="1906" spans="1:4" ht="12.75" customHeight="1" x14ac:dyDescent="0.2">
      <c r="A1906" s="21"/>
      <c r="B1906" s="3" t="s">
        <v>15</v>
      </c>
      <c r="C1906" s="20" t="s">
        <v>24</v>
      </c>
      <c r="D1906" s="21"/>
    </row>
    <row r="1907" spans="1:4" ht="12.75" customHeight="1" x14ac:dyDescent="0.2">
      <c r="A1907" s="21"/>
      <c r="B1907" s="3" t="s">
        <v>16</v>
      </c>
      <c r="C1907" s="20"/>
      <c r="D1907" s="21"/>
    </row>
    <row r="1908" spans="1:4" ht="12.75" customHeight="1" x14ac:dyDescent="0.2">
      <c r="A1908" s="21"/>
      <c r="B1908" s="3" t="s">
        <v>17</v>
      </c>
      <c r="C1908" s="20"/>
      <c r="D1908" s="21"/>
    </row>
    <row r="1909" spans="1:4" ht="12.75" customHeight="1" x14ac:dyDescent="0.2">
      <c r="A1909" s="21"/>
      <c r="B1909" s="20" t="s">
        <v>18</v>
      </c>
      <c r="C1909" s="4" t="s">
        <v>44</v>
      </c>
      <c r="D1909" s="6" t="str">
        <f>HYPERLINK("javascript:void(0)","smaragd halálosztó")</f>
        <v>smaragd halálosztó</v>
      </c>
    </row>
    <row r="1910" spans="1:4" ht="12.75" customHeight="1" x14ac:dyDescent="0.2">
      <c r="A1910" s="21"/>
      <c r="B1910" s="21"/>
      <c r="C1910" s="4" t="s">
        <v>323</v>
      </c>
      <c r="D1910" s="6" t="str">
        <f>HYPERLINK("javascript:void(0)","smaragd")</f>
        <v>smaragd</v>
      </c>
    </row>
    <row r="1911" spans="1:4" ht="12.75" customHeight="1" x14ac:dyDescent="0.2">
      <c r="A1911" s="21"/>
      <c r="B1911" s="21"/>
      <c r="C1911" s="4" t="s">
        <v>280</v>
      </c>
      <c r="D1911" s="6" t="str">
        <f>HYPERLINK("javascript:void(0)","pamacsprém")</f>
        <v>pamacsprém</v>
      </c>
    </row>
    <row r="1912" spans="1:4" ht="12.75" customHeight="1" x14ac:dyDescent="0.2">
      <c r="A1912" s="5"/>
      <c r="B1912" s="2"/>
      <c r="C1912" s="2"/>
      <c r="D1912" s="2"/>
    </row>
    <row r="1913" spans="1:4" ht="12.75" customHeight="1" x14ac:dyDescent="0.2">
      <c r="A1913" s="22" t="str">
        <f>HYPERLINK("javascript:void(0)","centro halálosztó")</f>
        <v>centro halálosztó</v>
      </c>
      <c r="B1913" s="21"/>
      <c r="C1913" s="21"/>
      <c r="D1913" s="21"/>
    </row>
    <row r="1914" spans="1:4" ht="12.75" customHeight="1" x14ac:dyDescent="0.2">
      <c r="A1914" s="20"/>
      <c r="B1914" s="2"/>
      <c r="C1914" s="2"/>
      <c r="D1914" s="2"/>
    </row>
    <row r="1915" spans="1:4" ht="12.75" customHeight="1" x14ac:dyDescent="0.2">
      <c r="A1915" s="21"/>
      <c r="B1915" s="3" t="s">
        <v>0</v>
      </c>
      <c r="C1915" s="20" t="s">
        <v>229</v>
      </c>
      <c r="D1915" s="21"/>
    </row>
    <row r="1916" spans="1:4" ht="12.75" customHeight="1" x14ac:dyDescent="0.2">
      <c r="A1916" s="21"/>
      <c r="B1916" s="3" t="s">
        <v>2</v>
      </c>
      <c r="C1916" s="20" t="s">
        <v>3</v>
      </c>
      <c r="D1916" s="21"/>
    </row>
    <row r="1917" spans="1:4" ht="12.75" customHeight="1" x14ac:dyDescent="0.2">
      <c r="A1917" s="21"/>
      <c r="B1917" s="3" t="s">
        <v>4</v>
      </c>
      <c r="C1917" s="20" t="s">
        <v>550</v>
      </c>
      <c r="D1917" s="21"/>
    </row>
    <row r="1918" spans="1:4" ht="12.75" customHeight="1" x14ac:dyDescent="0.2">
      <c r="A1918" s="21"/>
      <c r="B1918" s="3" t="s">
        <v>6</v>
      </c>
      <c r="C1918" s="20" t="s">
        <v>52</v>
      </c>
      <c r="D1918" s="21"/>
    </row>
    <row r="1919" spans="1:4" ht="12.75" customHeight="1" x14ac:dyDescent="0.2">
      <c r="A1919" s="21"/>
      <c r="B1919" s="3" t="s">
        <v>8</v>
      </c>
      <c r="C1919" s="20" t="s">
        <v>550</v>
      </c>
      <c r="D1919" s="21"/>
    </row>
    <row r="1920" spans="1:4" ht="12.75" customHeight="1" x14ac:dyDescent="0.2">
      <c r="A1920" s="21"/>
      <c r="B1920" s="3" t="s">
        <v>9</v>
      </c>
      <c r="C1920" s="20" t="s">
        <v>172</v>
      </c>
      <c r="D1920" s="21"/>
    </row>
    <row r="1921" spans="1:4" ht="12.75" customHeight="1" x14ac:dyDescent="0.2">
      <c r="A1921" s="21"/>
      <c r="B1921" s="3" t="s">
        <v>11</v>
      </c>
      <c r="C1921" s="20" t="s">
        <v>552</v>
      </c>
      <c r="D1921" s="21"/>
    </row>
    <row r="1922" spans="1:4" ht="12.75" customHeight="1" x14ac:dyDescent="0.2">
      <c r="A1922" s="21"/>
      <c r="B1922" s="3" t="s">
        <v>13</v>
      </c>
      <c r="C1922" s="20" t="s">
        <v>24</v>
      </c>
      <c r="D1922" s="21"/>
    </row>
    <row r="1923" spans="1:4" ht="12.75" customHeight="1" x14ac:dyDescent="0.2">
      <c r="A1923" s="21"/>
      <c r="B1923" s="3" t="s">
        <v>15</v>
      </c>
      <c r="C1923" s="20" t="s">
        <v>24</v>
      </c>
      <c r="D1923" s="21"/>
    </row>
    <row r="1924" spans="1:4" ht="12.75" customHeight="1" x14ac:dyDescent="0.2">
      <c r="A1924" s="21"/>
      <c r="B1924" s="3" t="s">
        <v>16</v>
      </c>
      <c r="C1924" s="20"/>
      <c r="D1924" s="21"/>
    </row>
    <row r="1925" spans="1:4" ht="12.75" customHeight="1" x14ac:dyDescent="0.2">
      <c r="A1925" s="21"/>
      <c r="B1925" s="3" t="s">
        <v>17</v>
      </c>
      <c r="C1925" s="20"/>
      <c r="D1925" s="21"/>
    </row>
    <row r="1926" spans="1:4" ht="12.75" customHeight="1" x14ac:dyDescent="0.2">
      <c r="A1926" s="21"/>
      <c r="B1926" s="20" t="s">
        <v>18</v>
      </c>
      <c r="C1926" s="4" t="s">
        <v>44</v>
      </c>
      <c r="D1926" s="6" t="str">
        <f>HYPERLINK("javascript:void(0)","centro átokszóró")</f>
        <v>centro átokszóró</v>
      </c>
    </row>
    <row r="1927" spans="1:4" ht="12.75" customHeight="1" x14ac:dyDescent="0.2">
      <c r="A1927" s="21"/>
      <c r="B1927" s="21"/>
      <c r="C1927" s="4" t="s">
        <v>44</v>
      </c>
      <c r="D1927" s="6" t="str">
        <f>HYPERLINK("javascript:void(0)","centro pusztító")</f>
        <v>centro pusztító</v>
      </c>
    </row>
    <row r="1928" spans="1:4" ht="12.75" customHeight="1" x14ac:dyDescent="0.2">
      <c r="A1928" s="21"/>
      <c r="B1928" s="21"/>
      <c r="C1928" s="4" t="s">
        <v>57</v>
      </c>
      <c r="D1928" s="6" t="str">
        <f>HYPERLINK("javascript:void(0)","hacuka")</f>
        <v>hacuka</v>
      </c>
    </row>
    <row r="1929" spans="1:4" ht="12.75" customHeight="1" x14ac:dyDescent="0.2">
      <c r="A1929" s="5"/>
      <c r="B1929" s="2"/>
      <c r="C1929" s="2"/>
      <c r="D1929" s="2"/>
    </row>
    <row r="1930" spans="1:4" ht="12.75" customHeight="1" x14ac:dyDescent="0.2">
      <c r="A1930" s="22" t="str">
        <f>HYPERLINK("javascript:void(0)","rubin csúzli")</f>
        <v>rubin csúzli</v>
      </c>
      <c r="B1930" s="21"/>
      <c r="C1930" s="21"/>
      <c r="D1930" s="21"/>
    </row>
    <row r="1931" spans="1:4" ht="12.75" customHeight="1" x14ac:dyDescent="0.2">
      <c r="A1931" s="20"/>
      <c r="B1931" s="2"/>
      <c r="C1931" s="2"/>
      <c r="D1931" s="2"/>
    </row>
    <row r="1932" spans="1:4" ht="12.75" customHeight="1" x14ac:dyDescent="0.2">
      <c r="A1932" s="21"/>
      <c r="B1932" s="3" t="s">
        <v>0</v>
      </c>
      <c r="C1932" s="20" t="s">
        <v>229</v>
      </c>
      <c r="D1932" s="21"/>
    </row>
    <row r="1933" spans="1:4" ht="12.75" customHeight="1" x14ac:dyDescent="0.2">
      <c r="A1933" s="21"/>
      <c r="B1933" s="3" t="s">
        <v>2</v>
      </c>
      <c r="C1933" s="20" t="s">
        <v>3</v>
      </c>
      <c r="D1933" s="21"/>
    </row>
    <row r="1934" spans="1:4" ht="12.75" customHeight="1" x14ac:dyDescent="0.2">
      <c r="A1934" s="21"/>
      <c r="B1934" s="3" t="s">
        <v>4</v>
      </c>
      <c r="C1934" s="20" t="s">
        <v>556</v>
      </c>
      <c r="D1934" s="21"/>
    </row>
    <row r="1935" spans="1:4" ht="12.75" customHeight="1" x14ac:dyDescent="0.2">
      <c r="A1935" s="21"/>
      <c r="B1935" s="3" t="s">
        <v>6</v>
      </c>
      <c r="C1935" s="20" t="s">
        <v>65</v>
      </c>
      <c r="D1935" s="21"/>
    </row>
    <row r="1936" spans="1:4" ht="12.75" customHeight="1" x14ac:dyDescent="0.2">
      <c r="A1936" s="21"/>
      <c r="B1936" s="3" t="s">
        <v>8</v>
      </c>
      <c r="C1936" s="20" t="s">
        <v>556</v>
      </c>
      <c r="D1936" s="21"/>
    </row>
    <row r="1937" spans="1:4" ht="12.75" customHeight="1" x14ac:dyDescent="0.2">
      <c r="A1937" s="21"/>
      <c r="B1937" s="3" t="s">
        <v>9</v>
      </c>
      <c r="C1937" s="20" t="s">
        <v>42</v>
      </c>
      <c r="D1937" s="21"/>
    </row>
    <row r="1938" spans="1:4" ht="12.75" customHeight="1" x14ac:dyDescent="0.2">
      <c r="A1938" s="21"/>
      <c r="B1938" s="3" t="s">
        <v>11</v>
      </c>
      <c r="C1938" s="20" t="s">
        <v>488</v>
      </c>
      <c r="D1938" s="21"/>
    </row>
    <row r="1939" spans="1:4" ht="12.75" customHeight="1" x14ac:dyDescent="0.2">
      <c r="A1939" s="21"/>
      <c r="B1939" s="3" t="s">
        <v>13</v>
      </c>
      <c r="C1939" s="20" t="s">
        <v>24</v>
      </c>
      <c r="D1939" s="21"/>
    </row>
    <row r="1940" spans="1:4" ht="12.75" customHeight="1" x14ac:dyDescent="0.2">
      <c r="A1940" s="21"/>
      <c r="B1940" s="3" t="s">
        <v>15</v>
      </c>
      <c r="C1940" s="20" t="s">
        <v>24</v>
      </c>
      <c r="D1940" s="21"/>
    </row>
    <row r="1941" spans="1:4" ht="12.75" customHeight="1" x14ac:dyDescent="0.2">
      <c r="A1941" s="21"/>
      <c r="B1941" s="3" t="s">
        <v>16</v>
      </c>
      <c r="C1941" s="20"/>
      <c r="D1941" s="21"/>
    </row>
    <row r="1942" spans="1:4" ht="12.75" customHeight="1" x14ac:dyDescent="0.2">
      <c r="A1942" s="21"/>
      <c r="B1942" s="3" t="s">
        <v>17</v>
      </c>
      <c r="C1942" s="20"/>
      <c r="D1942" s="21"/>
    </row>
    <row r="1943" spans="1:4" ht="12.75" customHeight="1" x14ac:dyDescent="0.2">
      <c r="A1943" s="21"/>
      <c r="B1943" s="20" t="s">
        <v>18</v>
      </c>
      <c r="C1943" s="4" t="s">
        <v>44</v>
      </c>
      <c r="D1943" s="6" t="str">
        <f>HYPERLINK("javascript:void(0)","rubin halálosztó")</f>
        <v>rubin halálosztó</v>
      </c>
    </row>
    <row r="1944" spans="1:4" ht="12.75" customHeight="1" x14ac:dyDescent="0.2">
      <c r="A1944" s="21"/>
      <c r="B1944" s="21"/>
      <c r="C1944" s="4" t="s">
        <v>323</v>
      </c>
      <c r="D1944" s="6" t="str">
        <f>HYPERLINK("javascript:void(0)","rubin")</f>
        <v>rubin</v>
      </c>
    </row>
    <row r="1945" spans="1:4" ht="12.75" customHeight="1" x14ac:dyDescent="0.2">
      <c r="A1945" s="21"/>
      <c r="B1945" s="21"/>
      <c r="C1945" s="4" t="s">
        <v>163</v>
      </c>
      <c r="D1945" s="6" t="str">
        <f>HYPERLINK("javascript:void(0)","medúza csáp")</f>
        <v>medúza csáp</v>
      </c>
    </row>
    <row r="1946" spans="1:4" ht="12.75" customHeight="1" x14ac:dyDescent="0.2">
      <c r="A1946" s="5"/>
      <c r="B1946" s="2"/>
      <c r="C1946" s="2"/>
      <c r="D1946" s="2"/>
    </row>
    <row r="1947" spans="1:4" ht="12.75" customHeight="1" x14ac:dyDescent="0.2">
      <c r="A1947" s="22" t="str">
        <f>HYPERLINK("javascript:void(0)","hiper halálosztó")</f>
        <v>hiper halálosztó</v>
      </c>
      <c r="B1947" s="21"/>
      <c r="C1947" s="21"/>
      <c r="D1947" s="21"/>
    </row>
    <row r="1948" spans="1:4" ht="12.75" customHeight="1" x14ac:dyDescent="0.2">
      <c r="A1948" s="20"/>
      <c r="B1948" s="2"/>
      <c r="C1948" s="2"/>
      <c r="D1948" s="2"/>
    </row>
    <row r="1949" spans="1:4" ht="12.75" customHeight="1" x14ac:dyDescent="0.2">
      <c r="A1949" s="21"/>
      <c r="B1949" s="3" t="s">
        <v>0</v>
      </c>
      <c r="C1949" s="20" t="s">
        <v>562</v>
      </c>
      <c r="D1949" s="21"/>
    </row>
    <row r="1950" spans="1:4" ht="12.75" customHeight="1" x14ac:dyDescent="0.2">
      <c r="A1950" s="21"/>
      <c r="B1950" s="3" t="s">
        <v>2</v>
      </c>
      <c r="C1950" s="20" t="s">
        <v>3</v>
      </c>
      <c r="D1950" s="21"/>
    </row>
    <row r="1951" spans="1:4" ht="12.75" customHeight="1" x14ac:dyDescent="0.2">
      <c r="A1951" s="21"/>
      <c r="B1951" s="3" t="s">
        <v>4</v>
      </c>
      <c r="C1951" s="20" t="s">
        <v>563</v>
      </c>
      <c r="D1951" s="21"/>
    </row>
    <row r="1952" spans="1:4" ht="12.75" customHeight="1" x14ac:dyDescent="0.2">
      <c r="A1952" s="21"/>
      <c r="B1952" s="3" t="s">
        <v>6</v>
      </c>
      <c r="C1952" s="20" t="s">
        <v>284</v>
      </c>
      <c r="D1952" s="21"/>
    </row>
    <row r="1953" spans="1:4" ht="12.75" customHeight="1" x14ac:dyDescent="0.2">
      <c r="A1953" s="21"/>
      <c r="B1953" s="3" t="s">
        <v>8</v>
      </c>
      <c r="C1953" s="20" t="s">
        <v>563</v>
      </c>
      <c r="D1953" s="21"/>
    </row>
    <row r="1954" spans="1:4" ht="12.75" customHeight="1" x14ac:dyDescent="0.2">
      <c r="A1954" s="21"/>
      <c r="B1954" s="3" t="s">
        <v>9</v>
      </c>
      <c r="C1954" s="20" t="s">
        <v>70</v>
      </c>
      <c r="D1954" s="21"/>
    </row>
    <row r="1955" spans="1:4" ht="12.75" customHeight="1" x14ac:dyDescent="0.2">
      <c r="A1955" s="21"/>
      <c r="B1955" s="3" t="s">
        <v>11</v>
      </c>
      <c r="C1955" s="20" t="s">
        <v>566</v>
      </c>
      <c r="D1955" s="21"/>
    </row>
    <row r="1956" spans="1:4" ht="12.75" customHeight="1" x14ac:dyDescent="0.2">
      <c r="A1956" s="21"/>
      <c r="B1956" s="3" t="s">
        <v>13</v>
      </c>
      <c r="C1956" s="20" t="s">
        <v>24</v>
      </c>
      <c r="D1956" s="21"/>
    </row>
    <row r="1957" spans="1:4" ht="12.75" customHeight="1" x14ac:dyDescent="0.2">
      <c r="A1957" s="21"/>
      <c r="B1957" s="3" t="s">
        <v>15</v>
      </c>
      <c r="C1957" s="20" t="s">
        <v>24</v>
      </c>
      <c r="D1957" s="21"/>
    </row>
    <row r="1958" spans="1:4" ht="12.75" customHeight="1" x14ac:dyDescent="0.2">
      <c r="A1958" s="21"/>
      <c r="B1958" s="3" t="s">
        <v>16</v>
      </c>
      <c r="C1958" s="20"/>
      <c r="D1958" s="21"/>
    </row>
    <row r="1959" spans="1:4" ht="12.75" customHeight="1" x14ac:dyDescent="0.2">
      <c r="A1959" s="21"/>
      <c r="B1959" s="3" t="s">
        <v>17</v>
      </c>
      <c r="C1959" s="20"/>
      <c r="D1959" s="21"/>
    </row>
    <row r="1960" spans="1:4" ht="12.75" customHeight="1" x14ac:dyDescent="0.2">
      <c r="A1960" s="21"/>
      <c r="B1960" s="20" t="s">
        <v>18</v>
      </c>
      <c r="C1960" s="4" t="s">
        <v>44</v>
      </c>
      <c r="D1960" s="6" t="str">
        <f>HYPERLINK("javascript:void(0)","hiper átokszóró")</f>
        <v>hiper átokszóró</v>
      </c>
    </row>
    <row r="1961" spans="1:4" ht="12.75" customHeight="1" x14ac:dyDescent="0.2">
      <c r="A1961" s="21"/>
      <c r="B1961" s="21"/>
      <c r="C1961" s="4" t="s">
        <v>44</v>
      </c>
      <c r="D1961" s="6" t="str">
        <f>HYPERLINK("javascript:void(0)","hiper pusztító")</f>
        <v>hiper pusztító</v>
      </c>
    </row>
    <row r="1962" spans="1:4" ht="12.75" customHeight="1" x14ac:dyDescent="0.2">
      <c r="A1962" s="21"/>
      <c r="B1962" s="21"/>
      <c r="C1962" s="4" t="s">
        <v>57</v>
      </c>
      <c r="D1962" s="6" t="str">
        <f>HYPERLINK("javascript:void(0)","trolltartó")</f>
        <v>trolltartó</v>
      </c>
    </row>
    <row r="1963" spans="1:4" ht="12.75" customHeight="1" x14ac:dyDescent="0.2">
      <c r="A1963" s="5"/>
      <c r="B1963" s="2"/>
      <c r="C1963" s="2"/>
      <c r="D1963" s="2"/>
    </row>
    <row r="1964" spans="1:4" ht="12.75" customHeight="1" x14ac:dyDescent="0.2">
      <c r="A1964" s="22" t="str">
        <f>HYPERLINK("javascript:void(0)","gyémánt csúzli")</f>
        <v>gyémánt csúzli</v>
      </c>
      <c r="B1964" s="21"/>
      <c r="C1964" s="21"/>
      <c r="D1964" s="21"/>
    </row>
    <row r="1965" spans="1:4" ht="12.75" customHeight="1" x14ac:dyDescent="0.2">
      <c r="A1965" s="20"/>
      <c r="B1965" s="2"/>
      <c r="C1965" s="2"/>
      <c r="D1965" s="2"/>
    </row>
    <row r="1966" spans="1:4" ht="12.75" customHeight="1" x14ac:dyDescent="0.2">
      <c r="A1966" s="21"/>
      <c r="B1966" s="3" t="s">
        <v>0</v>
      </c>
      <c r="C1966" s="20" t="s">
        <v>562</v>
      </c>
      <c r="D1966" s="21"/>
    </row>
    <row r="1967" spans="1:4" ht="12.75" customHeight="1" x14ac:dyDescent="0.2">
      <c r="A1967" s="21"/>
      <c r="B1967" s="3" t="s">
        <v>2</v>
      </c>
      <c r="C1967" s="20" t="s">
        <v>3</v>
      </c>
      <c r="D1967" s="21"/>
    </row>
    <row r="1968" spans="1:4" ht="12.75" customHeight="1" x14ac:dyDescent="0.2">
      <c r="A1968" s="21"/>
      <c r="B1968" s="3" t="s">
        <v>4</v>
      </c>
      <c r="C1968" s="20" t="s">
        <v>570</v>
      </c>
      <c r="D1968" s="21"/>
    </row>
    <row r="1969" spans="1:4" ht="12.75" customHeight="1" x14ac:dyDescent="0.2">
      <c r="A1969" s="21"/>
      <c r="B1969" s="3" t="s">
        <v>6</v>
      </c>
      <c r="C1969" s="20" t="s">
        <v>65</v>
      </c>
      <c r="D1969" s="21"/>
    </row>
    <row r="1970" spans="1:4" ht="12.75" customHeight="1" x14ac:dyDescent="0.2">
      <c r="A1970" s="21"/>
      <c r="B1970" s="3" t="s">
        <v>8</v>
      </c>
      <c r="C1970" s="20" t="s">
        <v>570</v>
      </c>
      <c r="D1970" s="21"/>
    </row>
    <row r="1971" spans="1:4" ht="12.75" customHeight="1" x14ac:dyDescent="0.2">
      <c r="A1971" s="21"/>
      <c r="B1971" s="3" t="s">
        <v>9</v>
      </c>
      <c r="C1971" s="20" t="s">
        <v>42</v>
      </c>
      <c r="D1971" s="21"/>
    </row>
    <row r="1972" spans="1:4" ht="12.75" customHeight="1" x14ac:dyDescent="0.2">
      <c r="A1972" s="21"/>
      <c r="B1972" s="3" t="s">
        <v>11</v>
      </c>
      <c r="C1972" s="20" t="s">
        <v>571</v>
      </c>
      <c r="D1972" s="21"/>
    </row>
    <row r="1973" spans="1:4" ht="12.75" customHeight="1" x14ac:dyDescent="0.2">
      <c r="A1973" s="21"/>
      <c r="B1973" s="3" t="s">
        <v>13</v>
      </c>
      <c r="C1973" s="20" t="s">
        <v>24</v>
      </c>
      <c r="D1973" s="21"/>
    </row>
    <row r="1974" spans="1:4" ht="12.75" customHeight="1" x14ac:dyDescent="0.2">
      <c r="A1974" s="21"/>
      <c r="B1974" s="3" t="s">
        <v>15</v>
      </c>
      <c r="C1974" s="20" t="s">
        <v>24</v>
      </c>
      <c r="D1974" s="21"/>
    </row>
    <row r="1975" spans="1:4" ht="12.75" customHeight="1" x14ac:dyDescent="0.2">
      <c r="A1975" s="21"/>
      <c r="B1975" s="3" t="s">
        <v>16</v>
      </c>
      <c r="C1975" s="20"/>
      <c r="D1975" s="21"/>
    </row>
    <row r="1976" spans="1:4" ht="12.75" customHeight="1" x14ac:dyDescent="0.2">
      <c r="A1976" s="21"/>
      <c r="B1976" s="3" t="s">
        <v>17</v>
      </c>
      <c r="C1976" s="20"/>
      <c r="D1976" s="21"/>
    </row>
    <row r="1977" spans="1:4" ht="12.75" customHeight="1" x14ac:dyDescent="0.2">
      <c r="A1977" s="21"/>
      <c r="B1977" s="20" t="s">
        <v>18</v>
      </c>
      <c r="C1977" s="4" t="s">
        <v>44</v>
      </c>
      <c r="D1977" s="6" t="str">
        <f>HYPERLINK("javascript:void(0)","gyémánt halálosztó")</f>
        <v>gyémánt halálosztó</v>
      </c>
    </row>
    <row r="1978" spans="1:4" ht="12.75" customHeight="1" x14ac:dyDescent="0.2">
      <c r="A1978" s="21"/>
      <c r="B1978" s="21"/>
      <c r="C1978" s="4" t="s">
        <v>323</v>
      </c>
      <c r="D1978" s="6" t="str">
        <f>HYPERLINK("javascript:void(0)","gyémánt")</f>
        <v>gyémánt</v>
      </c>
    </row>
    <row r="1979" spans="1:4" ht="12.75" customHeight="1" x14ac:dyDescent="0.2">
      <c r="A1979" s="21"/>
      <c r="B1979" s="21"/>
      <c r="C1979" s="4" t="s">
        <v>57</v>
      </c>
      <c r="D1979" s="6" t="str">
        <f>HYPERLINK("javascript:void(0)","térszelet")</f>
        <v>térszelet</v>
      </c>
    </row>
    <row r="1980" spans="1:4" ht="12.75" customHeight="1" x14ac:dyDescent="0.2">
      <c r="A1980" s="5"/>
      <c r="B1980" s="2"/>
      <c r="C1980" s="2"/>
      <c r="D1980" s="2"/>
    </row>
    <row r="1981" spans="1:4" ht="12.75" customHeight="1" x14ac:dyDescent="0.2">
      <c r="A1981" s="22" t="str">
        <f>HYPERLINK("javascript:void(0)","hidracél halálosztó")</f>
        <v>hidracél halálosztó</v>
      </c>
      <c r="B1981" s="21"/>
      <c r="C1981" s="21"/>
      <c r="D1981" s="21"/>
    </row>
    <row r="1982" spans="1:4" ht="12.75" customHeight="1" x14ac:dyDescent="0.2">
      <c r="A1982" s="20"/>
      <c r="B1982" s="2"/>
      <c r="C1982" s="2"/>
      <c r="D1982" s="2"/>
    </row>
    <row r="1983" spans="1:4" ht="12.75" customHeight="1" x14ac:dyDescent="0.2">
      <c r="A1983" s="21"/>
      <c r="B1983" s="3" t="s">
        <v>0</v>
      </c>
      <c r="C1983" s="20" t="s">
        <v>575</v>
      </c>
      <c r="D1983" s="21"/>
    </row>
    <row r="1984" spans="1:4" ht="12.75" customHeight="1" x14ac:dyDescent="0.2">
      <c r="A1984" s="21"/>
      <c r="B1984" s="3" t="s">
        <v>2</v>
      </c>
      <c r="C1984" s="20" t="s">
        <v>3</v>
      </c>
      <c r="D1984" s="21"/>
    </row>
    <row r="1985" spans="1:4" ht="12.75" customHeight="1" x14ac:dyDescent="0.2">
      <c r="A1985" s="21"/>
      <c r="B1985" s="3" t="s">
        <v>4</v>
      </c>
      <c r="C1985" s="20" t="s">
        <v>576</v>
      </c>
      <c r="D1985" s="21"/>
    </row>
    <row r="1986" spans="1:4" ht="12.75" customHeight="1" x14ac:dyDescent="0.2">
      <c r="A1986" s="21"/>
      <c r="B1986" s="3" t="s">
        <v>6</v>
      </c>
      <c r="C1986" s="20" t="s">
        <v>52</v>
      </c>
      <c r="D1986" s="21"/>
    </row>
    <row r="1987" spans="1:4" ht="12.75" customHeight="1" x14ac:dyDescent="0.2">
      <c r="A1987" s="21"/>
      <c r="B1987" s="3" t="s">
        <v>8</v>
      </c>
      <c r="C1987" s="20" t="s">
        <v>576</v>
      </c>
      <c r="D1987" s="21"/>
    </row>
    <row r="1988" spans="1:4" ht="12.75" customHeight="1" x14ac:dyDescent="0.2">
      <c r="A1988" s="21"/>
      <c r="B1988" s="3" t="s">
        <v>9</v>
      </c>
      <c r="C1988" s="20" t="s">
        <v>172</v>
      </c>
      <c r="D1988" s="21"/>
    </row>
    <row r="1989" spans="1:4" ht="12.75" customHeight="1" x14ac:dyDescent="0.2">
      <c r="A1989" s="21"/>
      <c r="B1989" s="3" t="s">
        <v>11</v>
      </c>
      <c r="C1989" s="20" t="s">
        <v>578</v>
      </c>
      <c r="D1989" s="21"/>
    </row>
    <row r="1990" spans="1:4" ht="12.75" customHeight="1" x14ac:dyDescent="0.2">
      <c r="A1990" s="21"/>
      <c r="B1990" s="3" t="s">
        <v>13</v>
      </c>
      <c r="C1990" s="20" t="s">
        <v>24</v>
      </c>
      <c r="D1990" s="21"/>
    </row>
    <row r="1991" spans="1:4" ht="12.75" customHeight="1" x14ac:dyDescent="0.2">
      <c r="A1991" s="21"/>
      <c r="B1991" s="3" t="s">
        <v>15</v>
      </c>
      <c r="C1991" s="20" t="s">
        <v>24</v>
      </c>
      <c r="D1991" s="21"/>
    </row>
    <row r="1992" spans="1:4" ht="12.75" customHeight="1" x14ac:dyDescent="0.2">
      <c r="A1992" s="21"/>
      <c r="B1992" s="3" t="s">
        <v>16</v>
      </c>
      <c r="C1992" s="20"/>
      <c r="D1992" s="21"/>
    </row>
    <row r="1993" spans="1:4" ht="12.75" customHeight="1" x14ac:dyDescent="0.2">
      <c r="A1993" s="21"/>
      <c r="B1993" s="3" t="s">
        <v>17</v>
      </c>
      <c r="C1993" s="20"/>
      <c r="D1993" s="21"/>
    </row>
    <row r="1994" spans="1:4" ht="12.75" customHeight="1" x14ac:dyDescent="0.2">
      <c r="A1994" s="21"/>
      <c r="B1994" s="20" t="s">
        <v>18</v>
      </c>
      <c r="C1994" s="4" t="s">
        <v>44</v>
      </c>
      <c r="D1994" s="6" t="str">
        <f>HYPERLINK("javascript:void(0)","hidracél átokszóró")</f>
        <v>hidracél átokszóró</v>
      </c>
    </row>
    <row r="1995" spans="1:4" ht="12.75" customHeight="1" x14ac:dyDescent="0.2">
      <c r="A1995" s="21"/>
      <c r="B1995" s="21"/>
      <c r="C1995" s="4" t="s">
        <v>44</v>
      </c>
      <c r="D1995" s="6" t="str">
        <f>HYPERLINK("javascript:void(0)","betüvető")</f>
        <v>betüvető</v>
      </c>
    </row>
    <row r="1996" spans="1:4" ht="12.75" customHeight="1" x14ac:dyDescent="0.2">
      <c r="A1996" s="21"/>
      <c r="B1996" s="21"/>
      <c r="C1996" s="4" t="s">
        <v>44</v>
      </c>
      <c r="D1996" s="6" t="str">
        <f>HYPERLINK("javascript:void(0)","mechodron")</f>
        <v>mechodron</v>
      </c>
    </row>
    <row r="1997" spans="1:4" ht="12.75" customHeight="1" x14ac:dyDescent="0.2">
      <c r="A1997" s="5"/>
      <c r="B1997" s="2"/>
      <c r="C1997" s="2"/>
      <c r="D1997" s="2"/>
    </row>
    <row r="1998" spans="1:4" ht="12.75" customHeight="1" x14ac:dyDescent="0.2">
      <c r="A1998" s="22" t="str">
        <f>HYPERLINK("javascript:void(0)","diszpro csúzli")</f>
        <v>diszpro csúzli</v>
      </c>
      <c r="B1998" s="21"/>
      <c r="C1998" s="21"/>
      <c r="D1998" s="21"/>
    </row>
    <row r="1999" spans="1:4" ht="12.75" customHeight="1" x14ac:dyDescent="0.2">
      <c r="A1999" s="20"/>
      <c r="B1999" s="2"/>
      <c r="C1999" s="2"/>
      <c r="D1999" s="2"/>
    </row>
    <row r="2000" spans="1:4" ht="12.75" customHeight="1" x14ac:dyDescent="0.2">
      <c r="A2000" s="21"/>
      <c r="B2000" s="3" t="s">
        <v>0</v>
      </c>
      <c r="C2000" s="20" t="s">
        <v>575</v>
      </c>
      <c r="D2000" s="21"/>
    </row>
    <row r="2001" spans="1:4" ht="12.75" customHeight="1" x14ac:dyDescent="0.2">
      <c r="A2001" s="21"/>
      <c r="B2001" s="3" t="s">
        <v>2</v>
      </c>
      <c r="C2001" s="20" t="s">
        <v>3</v>
      </c>
      <c r="D2001" s="21"/>
    </row>
    <row r="2002" spans="1:4" ht="12.75" customHeight="1" x14ac:dyDescent="0.2">
      <c r="A2002" s="21"/>
      <c r="B2002" s="3" t="s">
        <v>4</v>
      </c>
      <c r="C2002" s="20" t="s">
        <v>581</v>
      </c>
      <c r="D2002" s="21"/>
    </row>
    <row r="2003" spans="1:4" ht="12.75" customHeight="1" x14ac:dyDescent="0.2">
      <c r="A2003" s="21"/>
      <c r="B2003" s="3" t="s">
        <v>6</v>
      </c>
      <c r="C2003" s="20" t="s">
        <v>65</v>
      </c>
      <c r="D2003" s="21"/>
    </row>
    <row r="2004" spans="1:4" ht="12.75" customHeight="1" x14ac:dyDescent="0.2">
      <c r="A2004" s="21"/>
      <c r="B2004" s="3" t="s">
        <v>8</v>
      </c>
      <c r="C2004" s="20" t="s">
        <v>581</v>
      </c>
      <c r="D2004" s="21"/>
    </row>
    <row r="2005" spans="1:4" ht="12.75" customHeight="1" x14ac:dyDescent="0.2">
      <c r="A2005" s="21"/>
      <c r="B2005" s="3" t="s">
        <v>9</v>
      </c>
      <c r="C2005" s="20" t="s">
        <v>42</v>
      </c>
      <c r="D2005" s="21"/>
    </row>
    <row r="2006" spans="1:4" ht="12.75" customHeight="1" x14ac:dyDescent="0.2">
      <c r="A2006" s="21"/>
      <c r="B2006" s="3" t="s">
        <v>11</v>
      </c>
      <c r="C2006" s="20" t="s">
        <v>497</v>
      </c>
      <c r="D2006" s="21"/>
    </row>
    <row r="2007" spans="1:4" ht="12.75" customHeight="1" x14ac:dyDescent="0.2">
      <c r="A2007" s="21"/>
      <c r="B2007" s="3" t="s">
        <v>13</v>
      </c>
      <c r="C2007" s="20" t="s">
        <v>24</v>
      </c>
      <c r="D2007" s="21"/>
    </row>
    <row r="2008" spans="1:4" ht="12.75" customHeight="1" x14ac:dyDescent="0.2">
      <c r="A2008" s="21"/>
      <c r="B2008" s="3" t="s">
        <v>15</v>
      </c>
      <c r="C2008" s="20" t="s">
        <v>24</v>
      </c>
      <c r="D2008" s="21"/>
    </row>
    <row r="2009" spans="1:4" ht="12.75" customHeight="1" x14ac:dyDescent="0.2">
      <c r="A2009" s="21"/>
      <c r="B2009" s="3" t="s">
        <v>16</v>
      </c>
      <c r="C2009" s="20"/>
      <c r="D2009" s="21"/>
    </row>
    <row r="2010" spans="1:4" ht="12.75" customHeight="1" x14ac:dyDescent="0.2">
      <c r="A2010" s="21"/>
      <c r="B2010" s="3" t="s">
        <v>17</v>
      </c>
      <c r="C2010" s="20"/>
      <c r="D2010" s="21"/>
    </row>
    <row r="2011" spans="1:4" ht="12.75" customHeight="1" x14ac:dyDescent="0.2">
      <c r="A2011" s="21"/>
      <c r="B2011" s="20" t="s">
        <v>18</v>
      </c>
      <c r="C2011" s="4" t="s">
        <v>44</v>
      </c>
      <c r="D2011" s="6" t="str">
        <f>HYPERLINK("javascript:void(0)","diszpro halálosztó")</f>
        <v>diszpro halálosztó</v>
      </c>
    </row>
    <row r="2012" spans="1:4" ht="12.75" customHeight="1" x14ac:dyDescent="0.2">
      <c r="A2012" s="21"/>
      <c r="B2012" s="21"/>
      <c r="C2012" s="4" t="s">
        <v>280</v>
      </c>
      <c r="D2012" s="6" t="str">
        <f>HYPERLINK("javascript:void(0)","diszprózium")</f>
        <v>diszprózium</v>
      </c>
    </row>
    <row r="2013" spans="1:4" ht="12.75" customHeight="1" x14ac:dyDescent="0.2">
      <c r="A2013" s="21"/>
      <c r="B2013" s="21"/>
      <c r="C2013" s="4" t="s">
        <v>57</v>
      </c>
      <c r="D2013" s="6" t="str">
        <f>HYPERLINK("javascript:void(0)","brummogás")</f>
        <v>brummogás</v>
      </c>
    </row>
    <row r="2014" spans="1:4" ht="12.75" customHeight="1" x14ac:dyDescent="0.2">
      <c r="A2014" s="5"/>
      <c r="B2014" s="2"/>
      <c r="C2014" s="2"/>
      <c r="D2014" s="2"/>
    </row>
    <row r="2015" spans="1:4" ht="12.75" customHeight="1" x14ac:dyDescent="0.2">
      <c r="A2015" s="22" t="str">
        <f>HYPERLINK("javascript:void(0)","démonacél halálosztó")</f>
        <v>démonacél halálosztó</v>
      </c>
      <c r="B2015" s="21"/>
      <c r="C2015" s="21"/>
      <c r="D2015" s="21"/>
    </row>
    <row r="2016" spans="1:4" ht="12.75" customHeight="1" x14ac:dyDescent="0.2">
      <c r="A2016" s="20"/>
      <c r="B2016" s="2"/>
      <c r="C2016" s="2"/>
      <c r="D2016" s="2"/>
    </row>
    <row r="2017" spans="1:4" ht="12.75" customHeight="1" x14ac:dyDescent="0.2">
      <c r="A2017" s="21"/>
      <c r="B2017" s="3" t="s">
        <v>0</v>
      </c>
      <c r="C2017" s="20" t="s">
        <v>585</v>
      </c>
      <c r="D2017" s="21"/>
    </row>
    <row r="2018" spans="1:4" ht="12.75" customHeight="1" x14ac:dyDescent="0.2">
      <c r="A2018" s="21"/>
      <c r="B2018" s="3" t="s">
        <v>2</v>
      </c>
      <c r="C2018" s="20" t="s">
        <v>3</v>
      </c>
      <c r="D2018" s="21"/>
    </row>
    <row r="2019" spans="1:4" ht="12.75" customHeight="1" x14ac:dyDescent="0.2">
      <c r="A2019" s="21"/>
      <c r="B2019" s="3" t="s">
        <v>4</v>
      </c>
      <c r="C2019" s="20" t="s">
        <v>586</v>
      </c>
      <c r="D2019" s="21"/>
    </row>
    <row r="2020" spans="1:4" ht="12.75" customHeight="1" x14ac:dyDescent="0.2">
      <c r="A2020" s="21"/>
      <c r="B2020" s="3" t="s">
        <v>6</v>
      </c>
      <c r="C2020" s="20" t="s">
        <v>284</v>
      </c>
      <c r="D2020" s="21"/>
    </row>
    <row r="2021" spans="1:4" ht="12.75" customHeight="1" x14ac:dyDescent="0.2">
      <c r="A2021" s="21"/>
      <c r="B2021" s="3" t="s">
        <v>8</v>
      </c>
      <c r="C2021" s="20" t="s">
        <v>586</v>
      </c>
      <c r="D2021" s="21"/>
    </row>
    <row r="2022" spans="1:4" ht="12.75" customHeight="1" x14ac:dyDescent="0.2">
      <c r="A2022" s="21"/>
      <c r="B2022" s="3" t="s">
        <v>9</v>
      </c>
      <c r="C2022" s="20" t="s">
        <v>70</v>
      </c>
      <c r="D2022" s="21"/>
    </row>
    <row r="2023" spans="1:4" ht="12.75" customHeight="1" x14ac:dyDescent="0.2">
      <c r="A2023" s="21"/>
      <c r="B2023" s="3" t="s">
        <v>11</v>
      </c>
      <c r="C2023" s="20" t="s">
        <v>587</v>
      </c>
      <c r="D2023" s="21"/>
    </row>
    <row r="2024" spans="1:4" ht="12.75" customHeight="1" x14ac:dyDescent="0.2">
      <c r="A2024" s="21"/>
      <c r="B2024" s="3" t="s">
        <v>13</v>
      </c>
      <c r="C2024" s="20" t="s">
        <v>24</v>
      </c>
      <c r="D2024" s="21"/>
    </row>
    <row r="2025" spans="1:4" ht="12.75" customHeight="1" x14ac:dyDescent="0.2">
      <c r="A2025" s="21"/>
      <c r="B2025" s="3" t="s">
        <v>15</v>
      </c>
      <c r="C2025" s="20" t="s">
        <v>24</v>
      </c>
      <c r="D2025" s="21"/>
    </row>
    <row r="2026" spans="1:4" ht="12.75" customHeight="1" x14ac:dyDescent="0.2">
      <c r="A2026" s="21"/>
      <c r="B2026" s="3" t="s">
        <v>16</v>
      </c>
      <c r="C2026" s="20"/>
      <c r="D2026" s="21"/>
    </row>
    <row r="2027" spans="1:4" ht="12.75" customHeight="1" x14ac:dyDescent="0.2">
      <c r="A2027" s="21"/>
      <c r="B2027" s="3" t="s">
        <v>17</v>
      </c>
      <c r="C2027" s="20"/>
      <c r="D2027" s="21"/>
    </row>
    <row r="2028" spans="1:4" ht="25.5" customHeight="1" x14ac:dyDescent="0.2">
      <c r="A2028" s="21"/>
      <c r="B2028" s="20" t="s">
        <v>18</v>
      </c>
      <c r="C2028" s="4" t="s">
        <v>44</v>
      </c>
      <c r="D2028" s="6" t="str">
        <f>HYPERLINK("javascript:void(0)","démonacél átokszóró")</f>
        <v>démonacél átokszóró</v>
      </c>
    </row>
    <row r="2029" spans="1:4" ht="12.75" customHeight="1" x14ac:dyDescent="0.2">
      <c r="A2029" s="21"/>
      <c r="B2029" s="21"/>
      <c r="C2029" s="4" t="s">
        <v>56</v>
      </c>
      <c r="D2029" s="6" t="str">
        <f>HYPERLINK("javascript:void(0)","betüvető")</f>
        <v>betüvető</v>
      </c>
    </row>
    <row r="2030" spans="1:4" ht="12.75" customHeight="1" x14ac:dyDescent="0.2">
      <c r="A2030" s="21"/>
      <c r="B2030" s="21"/>
      <c r="C2030" s="4" t="s">
        <v>56</v>
      </c>
      <c r="D2030" s="6" t="str">
        <f>HYPERLINK("javascript:void(0)","torokgyík")</f>
        <v>torokgyík</v>
      </c>
    </row>
    <row r="2031" spans="1:4" ht="12.75" customHeight="1" x14ac:dyDescent="0.2">
      <c r="A2031" s="5"/>
      <c r="B2031" s="2"/>
      <c r="C2031" s="2"/>
      <c r="D2031" s="2"/>
    </row>
    <row r="2032" spans="1:4" ht="12.75" customHeight="1" x14ac:dyDescent="0.2">
      <c r="A2032" s="22" t="str">
        <f>HYPERLINK("javascript:void(0)","kithrill csúzli")</f>
        <v>kithrill csúzli</v>
      </c>
      <c r="B2032" s="21"/>
      <c r="C2032" s="21"/>
      <c r="D2032" s="21"/>
    </row>
    <row r="2033" spans="1:4" ht="12.75" customHeight="1" x14ac:dyDescent="0.2">
      <c r="A2033" s="20"/>
      <c r="B2033" s="2"/>
      <c r="C2033" s="2"/>
      <c r="D2033" s="2"/>
    </row>
    <row r="2034" spans="1:4" ht="12.75" customHeight="1" x14ac:dyDescent="0.2">
      <c r="A2034" s="21"/>
      <c r="B2034" s="3" t="s">
        <v>0</v>
      </c>
      <c r="C2034" s="20" t="s">
        <v>585</v>
      </c>
      <c r="D2034" s="21"/>
    </row>
    <row r="2035" spans="1:4" ht="12.75" customHeight="1" x14ac:dyDescent="0.2">
      <c r="A2035" s="21"/>
      <c r="B2035" s="3" t="s">
        <v>2</v>
      </c>
      <c r="C2035" s="20" t="s">
        <v>3</v>
      </c>
      <c r="D2035" s="21"/>
    </row>
    <row r="2036" spans="1:4" ht="12.75" customHeight="1" x14ac:dyDescent="0.2">
      <c r="A2036" s="21"/>
      <c r="B2036" s="3" t="s">
        <v>4</v>
      </c>
      <c r="C2036" s="20" t="s">
        <v>591</v>
      </c>
      <c r="D2036" s="21"/>
    </row>
    <row r="2037" spans="1:4" ht="12.75" customHeight="1" x14ac:dyDescent="0.2">
      <c r="A2037" s="21"/>
      <c r="B2037" s="3" t="s">
        <v>6</v>
      </c>
      <c r="C2037" s="20" t="s">
        <v>65</v>
      </c>
      <c r="D2037" s="21"/>
    </row>
    <row r="2038" spans="1:4" ht="12.75" customHeight="1" x14ac:dyDescent="0.2">
      <c r="A2038" s="21"/>
      <c r="B2038" s="3" t="s">
        <v>8</v>
      </c>
      <c r="C2038" s="20" t="s">
        <v>591</v>
      </c>
      <c r="D2038" s="21"/>
    </row>
    <row r="2039" spans="1:4" ht="12.75" customHeight="1" x14ac:dyDescent="0.2">
      <c r="A2039" s="21"/>
      <c r="B2039" s="3" t="s">
        <v>9</v>
      </c>
      <c r="C2039" s="20" t="s">
        <v>42</v>
      </c>
      <c r="D2039" s="21"/>
    </row>
    <row r="2040" spans="1:4" ht="12.75" customHeight="1" x14ac:dyDescent="0.2">
      <c r="A2040" s="21"/>
      <c r="B2040" s="3" t="s">
        <v>11</v>
      </c>
      <c r="C2040" s="20" t="s">
        <v>592</v>
      </c>
      <c r="D2040" s="21"/>
    </row>
    <row r="2041" spans="1:4" ht="12.75" customHeight="1" x14ac:dyDescent="0.2">
      <c r="A2041" s="21"/>
      <c r="B2041" s="3" t="s">
        <v>13</v>
      </c>
      <c r="C2041" s="20" t="s">
        <v>24</v>
      </c>
      <c r="D2041" s="21"/>
    </row>
    <row r="2042" spans="1:4" ht="12.75" customHeight="1" x14ac:dyDescent="0.2">
      <c r="A2042" s="21"/>
      <c r="B2042" s="3" t="s">
        <v>15</v>
      </c>
      <c r="C2042" s="20" t="s">
        <v>24</v>
      </c>
      <c r="D2042" s="21"/>
    </row>
    <row r="2043" spans="1:4" ht="12.75" customHeight="1" x14ac:dyDescent="0.2">
      <c r="A2043" s="21"/>
      <c r="B2043" s="3" t="s">
        <v>16</v>
      </c>
      <c r="C2043" s="20"/>
      <c r="D2043" s="21"/>
    </row>
    <row r="2044" spans="1:4" ht="12.75" customHeight="1" x14ac:dyDescent="0.2">
      <c r="A2044" s="21"/>
      <c r="B2044" s="3" t="s">
        <v>17</v>
      </c>
      <c r="C2044" s="20"/>
      <c r="D2044" s="21"/>
    </row>
    <row r="2045" spans="1:4" ht="12.75" customHeight="1" x14ac:dyDescent="0.2">
      <c r="A2045" s="21"/>
      <c r="B2045" s="20" t="s">
        <v>18</v>
      </c>
      <c r="C2045" s="4" t="s">
        <v>44</v>
      </c>
      <c r="D2045" s="6" t="str">
        <f>HYPERLINK("javascript:void(0)","kithrill halálosztó")</f>
        <v>kithrill halálosztó</v>
      </c>
    </row>
    <row r="2046" spans="1:4" ht="12.75" customHeight="1" x14ac:dyDescent="0.2">
      <c r="A2046" s="21"/>
      <c r="B2046" s="21"/>
      <c r="C2046" s="4" t="s">
        <v>280</v>
      </c>
      <c r="D2046" s="6" t="str">
        <f>HYPERLINK("javascript:void(0)","kithrill")</f>
        <v>kithrill</v>
      </c>
    </row>
    <row r="2047" spans="1:4" ht="12.75" customHeight="1" x14ac:dyDescent="0.2">
      <c r="A2047" s="21"/>
      <c r="B2047" s="21"/>
      <c r="C2047" s="4" t="s">
        <v>232</v>
      </c>
      <c r="D2047" s="6" t="str">
        <f>HYPERLINK("javascript:void(0)","csigaszem")</f>
        <v>csigaszem</v>
      </c>
    </row>
    <row r="2048" spans="1:4" ht="12.75" customHeight="1" x14ac:dyDescent="0.2">
      <c r="A2048" s="5"/>
      <c r="B2048" s="2"/>
      <c r="C2048" s="2"/>
      <c r="D2048" s="2"/>
    </row>
    <row r="2049" spans="1:4" ht="12.75" customHeight="1" x14ac:dyDescent="0.2">
      <c r="A2049" s="22" t="str">
        <f>HYPERLINK("javascript:void(0)","dracoacél halálosztó")</f>
        <v>dracoacél halálosztó</v>
      </c>
      <c r="B2049" s="21"/>
      <c r="C2049" s="21"/>
      <c r="D2049" s="21"/>
    </row>
    <row r="2050" spans="1:4" ht="12.75" customHeight="1" x14ac:dyDescent="0.2">
      <c r="A2050" s="20"/>
      <c r="B2050" s="2"/>
      <c r="C2050" s="2"/>
      <c r="D2050" s="2"/>
    </row>
    <row r="2051" spans="1:4" ht="12.75" customHeight="1" x14ac:dyDescent="0.2">
      <c r="A2051" s="21"/>
      <c r="B2051" s="3" t="s">
        <v>0</v>
      </c>
      <c r="C2051" s="20" t="s">
        <v>151</v>
      </c>
      <c r="D2051" s="21"/>
    </row>
    <row r="2052" spans="1:4" ht="12.75" customHeight="1" x14ac:dyDescent="0.2">
      <c r="A2052" s="21"/>
      <c r="B2052" s="3" t="s">
        <v>2</v>
      </c>
      <c r="C2052" s="20" t="s">
        <v>3</v>
      </c>
      <c r="D2052" s="21"/>
    </row>
    <row r="2053" spans="1:4" ht="12.75" customHeight="1" x14ac:dyDescent="0.2">
      <c r="A2053" s="21"/>
      <c r="B2053" s="3" t="s">
        <v>4</v>
      </c>
      <c r="C2053" s="20" t="s">
        <v>595</v>
      </c>
      <c r="D2053" s="21"/>
    </row>
    <row r="2054" spans="1:4" ht="12.75" customHeight="1" x14ac:dyDescent="0.2">
      <c r="A2054" s="21"/>
      <c r="B2054" s="3" t="s">
        <v>6</v>
      </c>
      <c r="C2054" s="20" t="s">
        <v>178</v>
      </c>
      <c r="D2054" s="21"/>
    </row>
    <row r="2055" spans="1:4" ht="12.75" customHeight="1" x14ac:dyDescent="0.2">
      <c r="A2055" s="21"/>
      <c r="B2055" s="3" t="s">
        <v>8</v>
      </c>
      <c r="C2055" s="20" t="s">
        <v>595</v>
      </c>
      <c r="D2055" s="21"/>
    </row>
    <row r="2056" spans="1:4" ht="12.75" customHeight="1" x14ac:dyDescent="0.2">
      <c r="A2056" s="21"/>
      <c r="B2056" s="3" t="s">
        <v>9</v>
      </c>
      <c r="C2056" s="20" t="s">
        <v>210</v>
      </c>
      <c r="D2056" s="21"/>
    </row>
    <row r="2057" spans="1:4" ht="12.75" customHeight="1" x14ac:dyDescent="0.2">
      <c r="A2057" s="21"/>
      <c r="B2057" s="3" t="s">
        <v>11</v>
      </c>
      <c r="C2057" s="20" t="s">
        <v>596</v>
      </c>
      <c r="D2057" s="21"/>
    </row>
    <row r="2058" spans="1:4" ht="12.75" customHeight="1" x14ac:dyDescent="0.2">
      <c r="A2058" s="21"/>
      <c r="B2058" s="3" t="s">
        <v>13</v>
      </c>
      <c r="C2058" s="20" t="s">
        <v>24</v>
      </c>
      <c r="D2058" s="21"/>
    </row>
    <row r="2059" spans="1:4" ht="12.75" customHeight="1" x14ac:dyDescent="0.2">
      <c r="A2059" s="21"/>
      <c r="B2059" s="3" t="s">
        <v>15</v>
      </c>
      <c r="C2059" s="20" t="s">
        <v>24</v>
      </c>
      <c r="D2059" s="21"/>
    </row>
    <row r="2060" spans="1:4" ht="12.75" customHeight="1" x14ac:dyDescent="0.2">
      <c r="A2060" s="21"/>
      <c r="B2060" s="3" t="s">
        <v>16</v>
      </c>
      <c r="C2060" s="20"/>
      <c r="D2060" s="21"/>
    </row>
    <row r="2061" spans="1:4" ht="12.75" customHeight="1" x14ac:dyDescent="0.2">
      <c r="A2061" s="21"/>
      <c r="B2061" s="3" t="s">
        <v>17</v>
      </c>
      <c r="C2061" s="20"/>
      <c r="D2061" s="21"/>
    </row>
    <row r="2062" spans="1:4" ht="12.75" customHeight="1" x14ac:dyDescent="0.2">
      <c r="A2062" s="21"/>
      <c r="B2062" s="20" t="s">
        <v>18</v>
      </c>
      <c r="C2062" s="4" t="s">
        <v>44</v>
      </c>
      <c r="D2062" s="6" t="str">
        <f>HYPERLINK("javascript:void(0)","dracoacél átokszóró")</f>
        <v>dracoacél átokszóró</v>
      </c>
    </row>
    <row r="2063" spans="1:4" ht="12.75" customHeight="1" x14ac:dyDescent="0.2">
      <c r="A2063" s="21"/>
      <c r="B2063" s="21"/>
      <c r="C2063" s="4" t="s">
        <v>57</v>
      </c>
      <c r="D2063" s="6" t="str">
        <f>HYPERLINK("javascript:void(0)","betüvető")</f>
        <v>betüvető</v>
      </c>
    </row>
    <row r="2064" spans="1:4" ht="12.75" customHeight="1" x14ac:dyDescent="0.2">
      <c r="A2064" s="21"/>
      <c r="B2064" s="21"/>
      <c r="C2064" s="4" t="s">
        <v>269</v>
      </c>
      <c r="D2064" s="6" t="str">
        <f>HYPERLINK("javascript:void(0)","ámbra")</f>
        <v>ámbra</v>
      </c>
    </row>
    <row r="2065" spans="1:4" ht="12.75" customHeight="1" x14ac:dyDescent="0.2">
      <c r="A2065" s="5"/>
      <c r="B2065" s="2"/>
      <c r="C2065" s="2"/>
      <c r="D2065" s="2"/>
    </row>
    <row r="2066" spans="1:4" ht="12.75" customHeight="1" x14ac:dyDescent="0.2">
      <c r="A2066" s="22" t="str">
        <f>HYPERLINK("javascript:void(0)","centro csúzli")</f>
        <v>centro csúzli</v>
      </c>
      <c r="B2066" s="21"/>
      <c r="C2066" s="21"/>
      <c r="D2066" s="21"/>
    </row>
    <row r="2067" spans="1:4" ht="12.75" customHeight="1" x14ac:dyDescent="0.2">
      <c r="A2067" s="20"/>
      <c r="B2067" s="2"/>
      <c r="C2067" s="2"/>
      <c r="D2067" s="2"/>
    </row>
    <row r="2068" spans="1:4" ht="12.75" customHeight="1" x14ac:dyDescent="0.2">
      <c r="A2068" s="21"/>
      <c r="B2068" s="3" t="s">
        <v>0</v>
      </c>
      <c r="C2068" s="20" t="s">
        <v>151</v>
      </c>
      <c r="D2068" s="21"/>
    </row>
    <row r="2069" spans="1:4" ht="12.75" customHeight="1" x14ac:dyDescent="0.2">
      <c r="A2069" s="21"/>
      <c r="B2069" s="3" t="s">
        <v>2</v>
      </c>
      <c r="C2069" s="20" t="s">
        <v>3</v>
      </c>
      <c r="D2069" s="21"/>
    </row>
    <row r="2070" spans="1:4" ht="12.75" customHeight="1" x14ac:dyDescent="0.2">
      <c r="A2070" s="21"/>
      <c r="B2070" s="3" t="s">
        <v>4</v>
      </c>
      <c r="C2070" s="20" t="s">
        <v>598</v>
      </c>
      <c r="D2070" s="21"/>
    </row>
    <row r="2071" spans="1:4" ht="12.75" customHeight="1" x14ac:dyDescent="0.2">
      <c r="A2071" s="21"/>
      <c r="B2071" s="3" t="s">
        <v>6</v>
      </c>
      <c r="C2071" s="20" t="s">
        <v>65</v>
      </c>
      <c r="D2071" s="21"/>
    </row>
    <row r="2072" spans="1:4" ht="12.75" customHeight="1" x14ac:dyDescent="0.2">
      <c r="A2072" s="21"/>
      <c r="B2072" s="3" t="s">
        <v>8</v>
      </c>
      <c r="C2072" s="20" t="s">
        <v>598</v>
      </c>
      <c r="D2072" s="21"/>
    </row>
    <row r="2073" spans="1:4" ht="12.75" customHeight="1" x14ac:dyDescent="0.2">
      <c r="A2073" s="21"/>
      <c r="B2073" s="3" t="s">
        <v>9</v>
      </c>
      <c r="C2073" s="20" t="s">
        <v>42</v>
      </c>
      <c r="D2073" s="21"/>
    </row>
    <row r="2074" spans="1:4" ht="12.75" customHeight="1" x14ac:dyDescent="0.2">
      <c r="A2074" s="21"/>
      <c r="B2074" s="3" t="s">
        <v>11</v>
      </c>
      <c r="C2074" s="20" t="s">
        <v>501</v>
      </c>
      <c r="D2074" s="21"/>
    </row>
    <row r="2075" spans="1:4" ht="12.75" customHeight="1" x14ac:dyDescent="0.2">
      <c r="A2075" s="21"/>
      <c r="B2075" s="3" t="s">
        <v>13</v>
      </c>
      <c r="C2075" s="20" t="s">
        <v>24</v>
      </c>
      <c r="D2075" s="21"/>
    </row>
    <row r="2076" spans="1:4" ht="12.75" customHeight="1" x14ac:dyDescent="0.2">
      <c r="A2076" s="21"/>
      <c r="B2076" s="3" t="s">
        <v>15</v>
      </c>
      <c r="C2076" s="20" t="s">
        <v>24</v>
      </c>
      <c r="D2076" s="21"/>
    </row>
    <row r="2077" spans="1:4" ht="12.75" customHeight="1" x14ac:dyDescent="0.2">
      <c r="A2077" s="21"/>
      <c r="B2077" s="3" t="s">
        <v>16</v>
      </c>
      <c r="C2077" s="20"/>
      <c r="D2077" s="21"/>
    </row>
    <row r="2078" spans="1:4" ht="12.75" customHeight="1" x14ac:dyDescent="0.2">
      <c r="A2078" s="21"/>
      <c r="B2078" s="3" t="s">
        <v>17</v>
      </c>
      <c r="C2078" s="20"/>
      <c r="D2078" s="21"/>
    </row>
    <row r="2079" spans="1:4" ht="12.75" customHeight="1" x14ac:dyDescent="0.2">
      <c r="A2079" s="21"/>
      <c r="B2079" s="20" t="s">
        <v>18</v>
      </c>
      <c r="C2079" s="4" t="s">
        <v>44</v>
      </c>
      <c r="D2079" s="6" t="str">
        <f>HYPERLINK("javascript:void(0)","centro halálosztó")</f>
        <v>centro halálosztó</v>
      </c>
    </row>
    <row r="2080" spans="1:4" ht="12.75" customHeight="1" x14ac:dyDescent="0.2">
      <c r="A2080" s="21"/>
      <c r="B2080" s="21"/>
      <c r="C2080" s="4" t="s">
        <v>280</v>
      </c>
      <c r="D2080" s="6" t="str">
        <f>HYPERLINK("javascript:void(0)","centrolium")</f>
        <v>centrolium</v>
      </c>
    </row>
    <row r="2081" spans="1:4" ht="12.75" customHeight="1" x14ac:dyDescent="0.2">
      <c r="A2081" s="21"/>
      <c r="B2081" s="21"/>
      <c r="C2081" s="4" t="s">
        <v>98</v>
      </c>
      <c r="D2081" s="6" t="str">
        <f>HYPERLINK("javascript:void(0)","törmelék")</f>
        <v>törmelék</v>
      </c>
    </row>
    <row r="2082" spans="1:4" ht="12.75" customHeight="1" x14ac:dyDescent="0.2">
      <c r="A2082" s="5"/>
      <c r="B2082" s="2"/>
      <c r="C2082" s="2"/>
      <c r="D2082" s="2"/>
    </row>
    <row r="2083" spans="1:4" ht="12.75" customHeight="1" x14ac:dyDescent="0.2">
      <c r="A2083" s="22" t="str">
        <f>HYPERLINK("javascript:void(0)","elfacél halálosztó")</f>
        <v>elfacél halálosztó</v>
      </c>
      <c r="B2083" s="21"/>
      <c r="C2083" s="21"/>
      <c r="D2083" s="21"/>
    </row>
    <row r="2084" spans="1:4" ht="12.75" customHeight="1" x14ac:dyDescent="0.2">
      <c r="A2084" s="20"/>
      <c r="B2084" s="2"/>
      <c r="C2084" s="2"/>
      <c r="D2084" s="2"/>
    </row>
    <row r="2085" spans="1:4" ht="12.75" customHeight="1" x14ac:dyDescent="0.2">
      <c r="A2085" s="21"/>
      <c r="B2085" s="3" t="s">
        <v>0</v>
      </c>
      <c r="C2085" s="20" t="s">
        <v>219</v>
      </c>
      <c r="D2085" s="21"/>
    </row>
    <row r="2086" spans="1:4" ht="12.75" customHeight="1" x14ac:dyDescent="0.2">
      <c r="A2086" s="21"/>
      <c r="B2086" s="3" t="s">
        <v>2</v>
      </c>
      <c r="C2086" s="20" t="s">
        <v>3</v>
      </c>
      <c r="D2086" s="21"/>
    </row>
    <row r="2087" spans="1:4" ht="12.75" customHeight="1" x14ac:dyDescent="0.2">
      <c r="A2087" s="21"/>
      <c r="B2087" s="3" t="s">
        <v>4</v>
      </c>
      <c r="C2087" s="20" t="s">
        <v>602</v>
      </c>
      <c r="D2087" s="21"/>
    </row>
    <row r="2088" spans="1:4" ht="12.75" customHeight="1" x14ac:dyDescent="0.2">
      <c r="A2088" s="21"/>
      <c r="B2088" s="3" t="s">
        <v>6</v>
      </c>
      <c r="C2088" s="20" t="s">
        <v>298</v>
      </c>
      <c r="D2088" s="21"/>
    </row>
    <row r="2089" spans="1:4" ht="12.75" customHeight="1" x14ac:dyDescent="0.2">
      <c r="A2089" s="21"/>
      <c r="B2089" s="3" t="s">
        <v>8</v>
      </c>
      <c r="C2089" s="20" t="s">
        <v>602</v>
      </c>
      <c r="D2089" s="21"/>
    </row>
    <row r="2090" spans="1:4" ht="12.75" customHeight="1" x14ac:dyDescent="0.2">
      <c r="A2090" s="21"/>
      <c r="B2090" s="3" t="s">
        <v>9</v>
      </c>
      <c r="C2090" s="20" t="s">
        <v>36</v>
      </c>
      <c r="D2090" s="21"/>
    </row>
    <row r="2091" spans="1:4" ht="12.75" customHeight="1" x14ac:dyDescent="0.2">
      <c r="A2091" s="21"/>
      <c r="B2091" s="3" t="s">
        <v>11</v>
      </c>
      <c r="C2091" s="20" t="s">
        <v>603</v>
      </c>
      <c r="D2091" s="21"/>
    </row>
    <row r="2092" spans="1:4" ht="12.75" customHeight="1" x14ac:dyDescent="0.2">
      <c r="A2092" s="21"/>
      <c r="B2092" s="3" t="s">
        <v>13</v>
      </c>
      <c r="C2092" s="20" t="s">
        <v>24</v>
      </c>
      <c r="D2092" s="21"/>
    </row>
    <row r="2093" spans="1:4" ht="12.75" customHeight="1" x14ac:dyDescent="0.2">
      <c r="A2093" s="21"/>
      <c r="B2093" s="3" t="s">
        <v>15</v>
      </c>
      <c r="C2093" s="20" t="s">
        <v>24</v>
      </c>
      <c r="D2093" s="21"/>
    </row>
    <row r="2094" spans="1:4" ht="12.75" customHeight="1" x14ac:dyDescent="0.2">
      <c r="A2094" s="21"/>
      <c r="B2094" s="3" t="s">
        <v>16</v>
      </c>
      <c r="C2094" s="20"/>
      <c r="D2094" s="21"/>
    </row>
    <row r="2095" spans="1:4" ht="12.75" customHeight="1" x14ac:dyDescent="0.2">
      <c r="A2095" s="21"/>
      <c r="B2095" s="3" t="s">
        <v>17</v>
      </c>
      <c r="C2095" s="20"/>
      <c r="D2095" s="21"/>
    </row>
    <row r="2096" spans="1:4" ht="12.75" customHeight="1" x14ac:dyDescent="0.2">
      <c r="A2096" s="21"/>
      <c r="B2096" s="20" t="s">
        <v>18</v>
      </c>
      <c r="C2096" s="4" t="s">
        <v>44</v>
      </c>
      <c r="D2096" s="6" t="str">
        <f>HYPERLINK("javascript:void(0)","elfacél átokszóró")</f>
        <v>elfacél átokszóró</v>
      </c>
    </row>
    <row r="2097" spans="1:4" ht="12.75" customHeight="1" x14ac:dyDescent="0.2">
      <c r="A2097" s="21"/>
      <c r="B2097" s="21"/>
      <c r="C2097" s="4" t="s">
        <v>55</v>
      </c>
      <c r="D2097" s="6" t="str">
        <f>HYPERLINK("javascript:void(0)","betüvető")</f>
        <v>betüvető</v>
      </c>
    </row>
    <row r="2098" spans="1:4" ht="12.75" customHeight="1" x14ac:dyDescent="0.2">
      <c r="A2098" s="21"/>
      <c r="B2098" s="21"/>
      <c r="C2098" s="4" t="s">
        <v>98</v>
      </c>
      <c r="D2098" s="6" t="str">
        <f>HYPERLINK("javascript:void(0)","nukleon")</f>
        <v>nukleon</v>
      </c>
    </row>
    <row r="2099" spans="1:4" ht="12.75" customHeight="1" x14ac:dyDescent="0.2">
      <c r="A2099" s="5"/>
      <c r="B2099" s="2"/>
      <c r="C2099" s="2"/>
      <c r="D2099" s="2"/>
    </row>
    <row r="2100" spans="1:4" ht="12.75" customHeight="1" x14ac:dyDescent="0.2">
      <c r="A2100" s="22" t="str">
        <f>HYPERLINK("javascript:void(0)","hiper csúzli")</f>
        <v>hiper csúzli</v>
      </c>
      <c r="B2100" s="21"/>
      <c r="C2100" s="21"/>
      <c r="D2100" s="21"/>
    </row>
    <row r="2101" spans="1:4" ht="12.75" customHeight="1" x14ac:dyDescent="0.2">
      <c r="A2101" s="20"/>
      <c r="B2101" s="2"/>
      <c r="C2101" s="2"/>
      <c r="D2101" s="2"/>
    </row>
    <row r="2102" spans="1:4" ht="12.75" customHeight="1" x14ac:dyDescent="0.2">
      <c r="A2102" s="21"/>
      <c r="B2102" s="3" t="s">
        <v>0</v>
      </c>
      <c r="C2102" s="20" t="s">
        <v>219</v>
      </c>
      <c r="D2102" s="21"/>
    </row>
    <row r="2103" spans="1:4" ht="12.75" customHeight="1" x14ac:dyDescent="0.2">
      <c r="A2103" s="21"/>
      <c r="B2103" s="3" t="s">
        <v>2</v>
      </c>
      <c r="C2103" s="20" t="s">
        <v>3</v>
      </c>
      <c r="D2103" s="21"/>
    </row>
    <row r="2104" spans="1:4" ht="12.75" customHeight="1" x14ac:dyDescent="0.2">
      <c r="A2104" s="21"/>
      <c r="B2104" s="3" t="s">
        <v>4</v>
      </c>
      <c r="C2104" s="20" t="s">
        <v>608</v>
      </c>
      <c r="D2104" s="21"/>
    </row>
    <row r="2105" spans="1:4" ht="12.75" customHeight="1" x14ac:dyDescent="0.2">
      <c r="A2105" s="21"/>
      <c r="B2105" s="3" t="s">
        <v>6</v>
      </c>
      <c r="C2105" s="20" t="s">
        <v>65</v>
      </c>
      <c r="D2105" s="21"/>
    </row>
    <row r="2106" spans="1:4" ht="12.75" customHeight="1" x14ac:dyDescent="0.2">
      <c r="A2106" s="21"/>
      <c r="B2106" s="3" t="s">
        <v>8</v>
      </c>
      <c r="C2106" s="20" t="s">
        <v>608</v>
      </c>
      <c r="D2106" s="21"/>
    </row>
    <row r="2107" spans="1:4" ht="12.75" customHeight="1" x14ac:dyDescent="0.2">
      <c r="A2107" s="21"/>
      <c r="B2107" s="3" t="s">
        <v>9</v>
      </c>
      <c r="C2107" s="20" t="s">
        <v>42</v>
      </c>
      <c r="D2107" s="21"/>
    </row>
    <row r="2108" spans="1:4" ht="12.75" customHeight="1" x14ac:dyDescent="0.2">
      <c r="A2108" s="21"/>
      <c r="B2108" s="3" t="s">
        <v>11</v>
      </c>
      <c r="C2108" s="20" t="s">
        <v>609</v>
      </c>
      <c r="D2108" s="21"/>
    </row>
    <row r="2109" spans="1:4" ht="12.75" customHeight="1" x14ac:dyDescent="0.2">
      <c r="A2109" s="21"/>
      <c r="B2109" s="3" t="s">
        <v>13</v>
      </c>
      <c r="C2109" s="20" t="s">
        <v>24</v>
      </c>
      <c r="D2109" s="21"/>
    </row>
    <row r="2110" spans="1:4" ht="12.75" customHeight="1" x14ac:dyDescent="0.2">
      <c r="A2110" s="21"/>
      <c r="B2110" s="3" t="s">
        <v>15</v>
      </c>
      <c r="C2110" s="20" t="s">
        <v>24</v>
      </c>
      <c r="D2110" s="21"/>
    </row>
    <row r="2111" spans="1:4" ht="12.75" customHeight="1" x14ac:dyDescent="0.2">
      <c r="A2111" s="21"/>
      <c r="B2111" s="3" t="s">
        <v>16</v>
      </c>
      <c r="C2111" s="20"/>
      <c r="D2111" s="21"/>
    </row>
    <row r="2112" spans="1:4" ht="12.75" customHeight="1" x14ac:dyDescent="0.2">
      <c r="A2112" s="21"/>
      <c r="B2112" s="3" t="s">
        <v>17</v>
      </c>
      <c r="C2112" s="20"/>
      <c r="D2112" s="21"/>
    </row>
    <row r="2113" spans="1:4" ht="12.75" customHeight="1" x14ac:dyDescent="0.2">
      <c r="A2113" s="21"/>
      <c r="B2113" s="20" t="s">
        <v>18</v>
      </c>
      <c r="C2113" s="4" t="s">
        <v>44</v>
      </c>
      <c r="D2113" s="6" t="str">
        <f>HYPERLINK("javascript:void(0)","hiper halálosztó")</f>
        <v>hiper halálosztó</v>
      </c>
    </row>
    <row r="2114" spans="1:4" ht="12.75" customHeight="1" x14ac:dyDescent="0.2">
      <c r="A2114" s="21"/>
      <c r="B2114" s="21"/>
      <c r="C2114" s="4" t="s">
        <v>130</v>
      </c>
      <c r="D2114" s="6" t="str">
        <f>HYPERLINK("javascript:void(0)","hiperium")</f>
        <v>hiperium</v>
      </c>
    </row>
    <row r="2115" spans="1:4" ht="12.75" customHeight="1" x14ac:dyDescent="0.2">
      <c r="A2115" s="21"/>
      <c r="B2115" s="21"/>
      <c r="C2115" s="4" t="s">
        <v>56</v>
      </c>
      <c r="D2115" s="6" t="str">
        <f>HYPERLINK("javascript:void(0)","wattacsomó")</f>
        <v>wattacsomó</v>
      </c>
    </row>
    <row r="2116" spans="1:4" ht="12.75" customHeight="1" x14ac:dyDescent="0.2">
      <c r="A2116" s="5"/>
      <c r="B2116" s="2"/>
      <c r="C2116" s="2"/>
      <c r="D2116" s="2"/>
    </row>
    <row r="2117" spans="1:4" ht="12.75" customHeight="1" x14ac:dyDescent="0.2">
      <c r="A2117" s="22" t="str">
        <f>HYPERLINK("javascript:void(0)","óriásacél halálosztó")</f>
        <v>óriásacél halálosztó</v>
      </c>
      <c r="B2117" s="21"/>
      <c r="C2117" s="21"/>
      <c r="D2117" s="21"/>
    </row>
    <row r="2118" spans="1:4" ht="12.75" customHeight="1" x14ac:dyDescent="0.2">
      <c r="A2118" s="20"/>
      <c r="B2118" s="2"/>
      <c r="C2118" s="2"/>
      <c r="D2118" s="2"/>
    </row>
    <row r="2119" spans="1:4" ht="12.75" customHeight="1" x14ac:dyDescent="0.2">
      <c r="A2119" s="21"/>
      <c r="B2119" s="3" t="s">
        <v>0</v>
      </c>
      <c r="C2119" s="20" t="s">
        <v>613</v>
      </c>
      <c r="D2119" s="21"/>
    </row>
    <row r="2120" spans="1:4" ht="12.75" customHeight="1" x14ac:dyDescent="0.2">
      <c r="A2120" s="21"/>
      <c r="B2120" s="3" t="s">
        <v>2</v>
      </c>
      <c r="C2120" s="20" t="s">
        <v>3</v>
      </c>
      <c r="D2120" s="21"/>
    </row>
    <row r="2121" spans="1:4" ht="12.75" customHeight="1" x14ac:dyDescent="0.2">
      <c r="A2121" s="21"/>
      <c r="B2121" s="3" t="s">
        <v>4</v>
      </c>
      <c r="C2121" s="20" t="s">
        <v>614</v>
      </c>
      <c r="D2121" s="21"/>
    </row>
    <row r="2122" spans="1:4" ht="12.75" customHeight="1" x14ac:dyDescent="0.2">
      <c r="A2122" s="21"/>
      <c r="B2122" s="3" t="s">
        <v>6</v>
      </c>
      <c r="C2122" s="20" t="s">
        <v>115</v>
      </c>
      <c r="D2122" s="21"/>
    </row>
    <row r="2123" spans="1:4" ht="12.75" customHeight="1" x14ac:dyDescent="0.2">
      <c r="A2123" s="21"/>
      <c r="B2123" s="3" t="s">
        <v>8</v>
      </c>
      <c r="C2123" s="20" t="s">
        <v>614</v>
      </c>
      <c r="D2123" s="21"/>
    </row>
    <row r="2124" spans="1:4" ht="12.75" customHeight="1" x14ac:dyDescent="0.2">
      <c r="A2124" s="21"/>
      <c r="B2124" s="3" t="s">
        <v>9</v>
      </c>
      <c r="C2124" s="20" t="s">
        <v>30</v>
      </c>
      <c r="D2124" s="21"/>
    </row>
    <row r="2125" spans="1:4" ht="12.75" customHeight="1" x14ac:dyDescent="0.2">
      <c r="A2125" s="21"/>
      <c r="B2125" s="3" t="s">
        <v>11</v>
      </c>
      <c r="C2125" s="20" t="s">
        <v>615</v>
      </c>
      <c r="D2125" s="21"/>
    </row>
    <row r="2126" spans="1:4" ht="12.75" customHeight="1" x14ac:dyDescent="0.2">
      <c r="A2126" s="21"/>
      <c r="B2126" s="3" t="s">
        <v>13</v>
      </c>
      <c r="C2126" s="20" t="s">
        <v>24</v>
      </c>
      <c r="D2126" s="21"/>
    </row>
    <row r="2127" spans="1:4" ht="12.75" customHeight="1" x14ac:dyDescent="0.2">
      <c r="A2127" s="21"/>
      <c r="B2127" s="3" t="s">
        <v>15</v>
      </c>
      <c r="C2127" s="20" t="s">
        <v>24</v>
      </c>
      <c r="D2127" s="21"/>
    </row>
    <row r="2128" spans="1:4" ht="12.75" customHeight="1" x14ac:dyDescent="0.2">
      <c r="A2128" s="21"/>
      <c r="B2128" s="3" t="s">
        <v>16</v>
      </c>
      <c r="C2128" s="20"/>
      <c r="D2128" s="21"/>
    </row>
    <row r="2129" spans="1:4" ht="12.75" customHeight="1" x14ac:dyDescent="0.2">
      <c r="A2129" s="21"/>
      <c r="B2129" s="3" t="s">
        <v>17</v>
      </c>
      <c r="C2129" s="20"/>
      <c r="D2129" s="21"/>
    </row>
    <row r="2130" spans="1:4" ht="12.75" customHeight="1" x14ac:dyDescent="0.2">
      <c r="A2130" s="21"/>
      <c r="B2130" s="20" t="s">
        <v>18</v>
      </c>
      <c r="C2130" s="4" t="s">
        <v>44</v>
      </c>
      <c r="D2130" s="6" t="str">
        <f>HYPERLINK("javascript:void(0)","óriásacél átokszóró")</f>
        <v>óriásacél átokszóró</v>
      </c>
    </row>
    <row r="2131" spans="1:4" ht="12.75" customHeight="1" x14ac:dyDescent="0.2">
      <c r="A2131" s="21"/>
      <c r="B2131" s="21"/>
      <c r="C2131" s="4" t="s">
        <v>77</v>
      </c>
      <c r="D2131" s="6" t="str">
        <f>HYPERLINK("javascript:void(0)","betüvető")</f>
        <v>betüvető</v>
      </c>
    </row>
    <row r="2132" spans="1:4" ht="12.75" customHeight="1" x14ac:dyDescent="0.2">
      <c r="A2132" s="21"/>
      <c r="B2132" s="21"/>
      <c r="C2132" s="4" t="s">
        <v>309</v>
      </c>
      <c r="D2132" s="6" t="str">
        <f>HYPERLINK("javascript:void(0)","hangjegy")</f>
        <v>hangjegy</v>
      </c>
    </row>
    <row r="2133" spans="1:4" ht="12.75" customHeight="1" x14ac:dyDescent="0.2">
      <c r="A2133" s="5"/>
      <c r="B2133" s="2"/>
      <c r="C2133" s="2"/>
      <c r="D2133" s="2"/>
    </row>
    <row r="2134" spans="1:4" ht="12.75" customHeight="1" x14ac:dyDescent="0.2">
      <c r="A2134" s="22" t="str">
        <f>HYPERLINK("javascript:void(0)","hidracél csúzli")</f>
        <v>hidracél csúzli</v>
      </c>
      <c r="B2134" s="21"/>
      <c r="C2134" s="21"/>
      <c r="D2134" s="21"/>
    </row>
    <row r="2135" spans="1:4" ht="12.75" customHeight="1" x14ac:dyDescent="0.2">
      <c r="A2135" s="20"/>
      <c r="B2135" s="2"/>
      <c r="C2135" s="2"/>
      <c r="D2135" s="2"/>
    </row>
    <row r="2136" spans="1:4" ht="12.75" customHeight="1" x14ac:dyDescent="0.2">
      <c r="A2136" s="21"/>
      <c r="B2136" s="3" t="s">
        <v>0</v>
      </c>
      <c r="C2136" s="20" t="s">
        <v>613</v>
      </c>
      <c r="D2136" s="21"/>
    </row>
    <row r="2137" spans="1:4" ht="12.75" customHeight="1" x14ac:dyDescent="0.2">
      <c r="A2137" s="21"/>
      <c r="B2137" s="3" t="s">
        <v>2</v>
      </c>
      <c r="C2137" s="20" t="s">
        <v>3</v>
      </c>
      <c r="D2137" s="21"/>
    </row>
    <row r="2138" spans="1:4" ht="12.75" customHeight="1" x14ac:dyDescent="0.2">
      <c r="A2138" s="21"/>
      <c r="B2138" s="3" t="s">
        <v>4</v>
      </c>
      <c r="C2138" s="20" t="s">
        <v>617</v>
      </c>
      <c r="D2138" s="21"/>
    </row>
    <row r="2139" spans="1:4" ht="12.75" customHeight="1" x14ac:dyDescent="0.2">
      <c r="A2139" s="21"/>
      <c r="B2139" s="3" t="s">
        <v>6</v>
      </c>
      <c r="C2139" s="20" t="s">
        <v>65</v>
      </c>
      <c r="D2139" s="21"/>
    </row>
    <row r="2140" spans="1:4" ht="12.75" customHeight="1" x14ac:dyDescent="0.2">
      <c r="A2140" s="21"/>
      <c r="B2140" s="3" t="s">
        <v>8</v>
      </c>
      <c r="C2140" s="20" t="s">
        <v>617</v>
      </c>
      <c r="D2140" s="21"/>
    </row>
    <row r="2141" spans="1:4" ht="12.75" customHeight="1" x14ac:dyDescent="0.2">
      <c r="A2141" s="21"/>
      <c r="B2141" s="3" t="s">
        <v>9</v>
      </c>
      <c r="C2141" s="20" t="s">
        <v>42</v>
      </c>
      <c r="D2141" s="21"/>
    </row>
    <row r="2142" spans="1:4" ht="12.75" customHeight="1" x14ac:dyDescent="0.2">
      <c r="A2142" s="21"/>
      <c r="B2142" s="3" t="s">
        <v>11</v>
      </c>
      <c r="C2142" s="20" t="s">
        <v>514</v>
      </c>
      <c r="D2142" s="21"/>
    </row>
    <row r="2143" spans="1:4" ht="12.75" customHeight="1" x14ac:dyDescent="0.2">
      <c r="A2143" s="21"/>
      <c r="B2143" s="3" t="s">
        <v>13</v>
      </c>
      <c r="C2143" s="20" t="s">
        <v>24</v>
      </c>
      <c r="D2143" s="21"/>
    </row>
    <row r="2144" spans="1:4" ht="12.75" customHeight="1" x14ac:dyDescent="0.2">
      <c r="A2144" s="21"/>
      <c r="B2144" s="3" t="s">
        <v>15</v>
      </c>
      <c r="C2144" s="20" t="s">
        <v>24</v>
      </c>
      <c r="D2144" s="21"/>
    </row>
    <row r="2145" spans="1:4" ht="12.75" customHeight="1" x14ac:dyDescent="0.2">
      <c r="A2145" s="21"/>
      <c r="B2145" s="3" t="s">
        <v>16</v>
      </c>
      <c r="C2145" s="20"/>
      <c r="D2145" s="21"/>
    </row>
    <row r="2146" spans="1:4" ht="12.75" customHeight="1" x14ac:dyDescent="0.2">
      <c r="A2146" s="21"/>
      <c r="B2146" s="3" t="s">
        <v>17</v>
      </c>
      <c r="C2146" s="20"/>
      <c r="D2146" s="21"/>
    </row>
    <row r="2147" spans="1:4" ht="12.75" customHeight="1" x14ac:dyDescent="0.2">
      <c r="A2147" s="21"/>
      <c r="B2147" s="20" t="s">
        <v>18</v>
      </c>
      <c r="C2147" s="4" t="s">
        <v>44</v>
      </c>
      <c r="D2147" s="6" t="str">
        <f>HYPERLINK("javascript:void(0)","hidracél halálosztó")</f>
        <v>hidracél halálosztó</v>
      </c>
    </row>
    <row r="2148" spans="1:4" ht="12.75" customHeight="1" x14ac:dyDescent="0.2">
      <c r="A2148" s="21"/>
      <c r="B2148" s="21"/>
      <c r="C2148" s="4" t="s">
        <v>163</v>
      </c>
      <c r="D2148" s="6" t="str">
        <f>HYPERLINK("javascript:void(0)","szén-hidragén")</f>
        <v>szén-hidragén</v>
      </c>
    </row>
    <row r="2149" spans="1:4" ht="12.75" customHeight="1" x14ac:dyDescent="0.2">
      <c r="A2149" s="21"/>
      <c r="B2149" s="21"/>
      <c r="C2149" s="4" t="s">
        <v>67</v>
      </c>
      <c r="D2149" s="6" t="str">
        <f>HYPERLINK("javascript:void(0)","hagymapikkely")</f>
        <v>hagymapikkely</v>
      </c>
    </row>
    <row r="2150" spans="1:4" ht="12.75" customHeight="1" x14ac:dyDescent="0.2">
      <c r="A2150" s="5"/>
      <c r="B2150" s="2"/>
      <c r="C2150" s="2"/>
      <c r="D2150" s="2"/>
    </row>
    <row r="2151" spans="1:4" ht="12.75" customHeight="1" x14ac:dyDescent="0.2">
      <c r="A2151" s="22" t="str">
        <f>HYPERLINK("javascript:void(0)","kentacél halálosztó")</f>
        <v>kentacél halálosztó</v>
      </c>
      <c r="B2151" s="21"/>
      <c r="C2151" s="21"/>
      <c r="D2151" s="21"/>
    </row>
    <row r="2152" spans="1:4" ht="12.75" customHeight="1" x14ac:dyDescent="0.2">
      <c r="A2152" s="20"/>
      <c r="B2152" s="2"/>
      <c r="C2152" s="2"/>
      <c r="D2152" s="2"/>
    </row>
    <row r="2153" spans="1:4" ht="12.75" customHeight="1" x14ac:dyDescent="0.2">
      <c r="A2153" s="21"/>
      <c r="B2153" s="3" t="s">
        <v>0</v>
      </c>
      <c r="C2153" s="20" t="s">
        <v>248</v>
      </c>
      <c r="D2153" s="21"/>
    </row>
    <row r="2154" spans="1:4" ht="12.75" customHeight="1" x14ac:dyDescent="0.2">
      <c r="A2154" s="21"/>
      <c r="B2154" s="3" t="s">
        <v>2</v>
      </c>
      <c r="C2154" s="20" t="s">
        <v>3</v>
      </c>
      <c r="D2154" s="21"/>
    </row>
    <row r="2155" spans="1:4" ht="12.75" customHeight="1" x14ac:dyDescent="0.2">
      <c r="A2155" s="21"/>
      <c r="B2155" s="3" t="s">
        <v>4</v>
      </c>
      <c r="C2155" s="20" t="s">
        <v>623</v>
      </c>
      <c r="D2155" s="21"/>
    </row>
    <row r="2156" spans="1:4" ht="12.75" customHeight="1" x14ac:dyDescent="0.2">
      <c r="A2156" s="21"/>
      <c r="B2156" s="3" t="s">
        <v>6</v>
      </c>
      <c r="C2156" s="20" t="s">
        <v>298</v>
      </c>
      <c r="D2156" s="21"/>
    </row>
    <row r="2157" spans="1:4" ht="12.75" customHeight="1" x14ac:dyDescent="0.2">
      <c r="A2157" s="21"/>
      <c r="B2157" s="3" t="s">
        <v>8</v>
      </c>
      <c r="C2157" s="20" t="s">
        <v>623</v>
      </c>
      <c r="D2157" s="21"/>
    </row>
    <row r="2158" spans="1:4" ht="12.75" customHeight="1" x14ac:dyDescent="0.2">
      <c r="A2158" s="21"/>
      <c r="B2158" s="3" t="s">
        <v>9</v>
      </c>
      <c r="C2158" s="20" t="s">
        <v>624</v>
      </c>
      <c r="D2158" s="21"/>
    </row>
    <row r="2159" spans="1:4" ht="12.75" customHeight="1" x14ac:dyDescent="0.2">
      <c r="A2159" s="21"/>
      <c r="B2159" s="3" t="s">
        <v>11</v>
      </c>
      <c r="C2159" s="20" t="s">
        <v>625</v>
      </c>
      <c r="D2159" s="21"/>
    </row>
    <row r="2160" spans="1:4" ht="12.75" customHeight="1" x14ac:dyDescent="0.2">
      <c r="A2160" s="21"/>
      <c r="B2160" s="3" t="s">
        <v>13</v>
      </c>
      <c r="C2160" s="20" t="s">
        <v>24</v>
      </c>
      <c r="D2160" s="21"/>
    </row>
    <row r="2161" spans="1:4" ht="12.75" customHeight="1" x14ac:dyDescent="0.2">
      <c r="A2161" s="21"/>
      <c r="B2161" s="3" t="s">
        <v>15</v>
      </c>
      <c r="C2161" s="20" t="s">
        <v>24</v>
      </c>
      <c r="D2161" s="21"/>
    </row>
    <row r="2162" spans="1:4" ht="12.75" customHeight="1" x14ac:dyDescent="0.2">
      <c r="A2162" s="21"/>
      <c r="B2162" s="3" t="s">
        <v>16</v>
      </c>
      <c r="C2162" s="20"/>
      <c r="D2162" s="21"/>
    </row>
    <row r="2163" spans="1:4" ht="12.75" customHeight="1" x14ac:dyDescent="0.2">
      <c r="A2163" s="21"/>
      <c r="B2163" s="3" t="s">
        <v>17</v>
      </c>
      <c r="C2163" s="20"/>
      <c r="D2163" s="21"/>
    </row>
    <row r="2164" spans="1:4" ht="12.75" customHeight="1" x14ac:dyDescent="0.2">
      <c r="A2164" s="21"/>
      <c r="B2164" s="20" t="s">
        <v>18</v>
      </c>
      <c r="C2164" s="4" t="s">
        <v>44</v>
      </c>
      <c r="D2164" s="6" t="str">
        <f>HYPERLINK("javascript:void(0)","kentacél átokszóró")</f>
        <v>kentacél átokszóró</v>
      </c>
    </row>
    <row r="2165" spans="1:4" ht="12.75" customHeight="1" x14ac:dyDescent="0.2">
      <c r="A2165" s="21"/>
      <c r="B2165" s="21"/>
      <c r="C2165" s="4" t="s">
        <v>232</v>
      </c>
      <c r="D2165" s="6" t="str">
        <f>HYPERLINK("javascript:void(0)","betüvető")</f>
        <v>betüvető</v>
      </c>
    </row>
    <row r="2166" spans="1:4" ht="12.75" customHeight="1" x14ac:dyDescent="0.2">
      <c r="A2166" s="21"/>
      <c r="B2166" s="21"/>
      <c r="C2166" s="4" t="s">
        <v>57</v>
      </c>
      <c r="D2166" s="6" t="str">
        <f>HYPERLINK("javascript:void(0)","gigacsáp")</f>
        <v>gigacsáp</v>
      </c>
    </row>
    <row r="2167" spans="1:4" ht="12.75" customHeight="1" x14ac:dyDescent="0.2">
      <c r="A2167" s="5"/>
      <c r="B2167" s="2"/>
      <c r="C2167" s="2"/>
      <c r="D2167" s="2"/>
    </row>
    <row r="2168" spans="1:4" ht="12.75" customHeight="1" x14ac:dyDescent="0.2">
      <c r="A2168" s="22" t="str">
        <f>HYPERLINK("javascript:void(0)","démonacél csúzli")</f>
        <v>démonacél csúzli</v>
      </c>
      <c r="B2168" s="21"/>
      <c r="C2168" s="21"/>
      <c r="D2168" s="21"/>
    </row>
    <row r="2169" spans="1:4" ht="12.75" customHeight="1" x14ac:dyDescent="0.2">
      <c r="A2169" s="20"/>
      <c r="B2169" s="2"/>
      <c r="C2169" s="2"/>
      <c r="D2169" s="2"/>
    </row>
    <row r="2170" spans="1:4" ht="12.75" customHeight="1" x14ac:dyDescent="0.2">
      <c r="A2170" s="21"/>
      <c r="B2170" s="3" t="s">
        <v>0</v>
      </c>
      <c r="C2170" s="20" t="s">
        <v>248</v>
      </c>
      <c r="D2170" s="21"/>
    </row>
    <row r="2171" spans="1:4" ht="12.75" customHeight="1" x14ac:dyDescent="0.2">
      <c r="A2171" s="21"/>
      <c r="B2171" s="3" t="s">
        <v>2</v>
      </c>
      <c r="C2171" s="20" t="s">
        <v>3</v>
      </c>
      <c r="D2171" s="21"/>
    </row>
    <row r="2172" spans="1:4" ht="12.75" customHeight="1" x14ac:dyDescent="0.2">
      <c r="A2172" s="21"/>
      <c r="B2172" s="3" t="s">
        <v>4</v>
      </c>
      <c r="C2172" s="20" t="s">
        <v>629</v>
      </c>
      <c r="D2172" s="21"/>
    </row>
    <row r="2173" spans="1:4" ht="12.75" customHeight="1" x14ac:dyDescent="0.2">
      <c r="A2173" s="21"/>
      <c r="B2173" s="3" t="s">
        <v>6</v>
      </c>
      <c r="C2173" s="20" t="s">
        <v>65</v>
      </c>
      <c r="D2173" s="21"/>
    </row>
    <row r="2174" spans="1:4" ht="12.75" customHeight="1" x14ac:dyDescent="0.2">
      <c r="A2174" s="21"/>
      <c r="B2174" s="3" t="s">
        <v>8</v>
      </c>
      <c r="C2174" s="20" t="s">
        <v>629</v>
      </c>
      <c r="D2174" s="21"/>
    </row>
    <row r="2175" spans="1:4" ht="12.75" customHeight="1" x14ac:dyDescent="0.2">
      <c r="A2175" s="21"/>
      <c r="B2175" s="3" t="s">
        <v>9</v>
      </c>
      <c r="C2175" s="20" t="s">
        <v>42</v>
      </c>
      <c r="D2175" s="21"/>
    </row>
    <row r="2176" spans="1:4" ht="12.75" customHeight="1" x14ac:dyDescent="0.2">
      <c r="A2176" s="21"/>
      <c r="B2176" s="3" t="s">
        <v>11</v>
      </c>
      <c r="C2176" s="20" t="s">
        <v>631</v>
      </c>
      <c r="D2176" s="21"/>
    </row>
    <row r="2177" spans="1:4" ht="12.75" customHeight="1" x14ac:dyDescent="0.2">
      <c r="A2177" s="21"/>
      <c r="B2177" s="3" t="s">
        <v>13</v>
      </c>
      <c r="C2177" s="20" t="s">
        <v>24</v>
      </c>
      <c r="D2177" s="21"/>
    </row>
    <row r="2178" spans="1:4" ht="12.75" customHeight="1" x14ac:dyDescent="0.2">
      <c r="A2178" s="21"/>
      <c r="B2178" s="3" t="s">
        <v>15</v>
      </c>
      <c r="C2178" s="20" t="s">
        <v>24</v>
      </c>
      <c r="D2178" s="21"/>
    </row>
    <row r="2179" spans="1:4" ht="12.75" customHeight="1" x14ac:dyDescent="0.2">
      <c r="A2179" s="21"/>
      <c r="B2179" s="3" t="s">
        <v>16</v>
      </c>
      <c r="C2179" s="20"/>
      <c r="D2179" s="21"/>
    </row>
    <row r="2180" spans="1:4" ht="12.75" customHeight="1" x14ac:dyDescent="0.2">
      <c r="A2180" s="21"/>
      <c r="B2180" s="3" t="s">
        <v>17</v>
      </c>
      <c r="C2180" s="20"/>
      <c r="D2180" s="21"/>
    </row>
    <row r="2181" spans="1:4" ht="25.5" customHeight="1" x14ac:dyDescent="0.2">
      <c r="A2181" s="21"/>
      <c r="B2181" s="20" t="s">
        <v>18</v>
      </c>
      <c r="C2181" s="4" t="s">
        <v>44</v>
      </c>
      <c r="D2181" s="6" t="str">
        <f>HYPERLINK("javascript:void(0)","démonacél halálosztó")</f>
        <v>démonacél halálosztó</v>
      </c>
    </row>
    <row r="2182" spans="1:4" ht="12.75" customHeight="1" x14ac:dyDescent="0.2">
      <c r="A2182" s="21"/>
      <c r="B2182" s="21"/>
      <c r="C2182" s="4" t="s">
        <v>280</v>
      </c>
      <c r="D2182" s="6" t="str">
        <f>HYPERLINK("javascript:void(0)","démonzanza")</f>
        <v>démonzanza</v>
      </c>
    </row>
    <row r="2183" spans="1:4" ht="12.75" customHeight="1" x14ac:dyDescent="0.2">
      <c r="A2183" s="21"/>
      <c r="B2183" s="21"/>
      <c r="C2183" s="4" t="s">
        <v>55</v>
      </c>
      <c r="D2183" s="6" t="str">
        <f>HYPERLINK("javascript:void(0)","aszályige")</f>
        <v>aszályige</v>
      </c>
    </row>
    <row r="2184" spans="1:4" ht="12.75" customHeight="1" x14ac:dyDescent="0.2">
      <c r="A2184" s="5"/>
      <c r="B2184" s="2"/>
      <c r="C2184" s="2"/>
      <c r="D2184" s="2"/>
    </row>
    <row r="2185" spans="1:4" ht="12.75" customHeight="1" x14ac:dyDescent="0.2">
      <c r="A2185" s="22" t="str">
        <f>HYPERLINK("javascript:void(0)","mengorni halálosztó")</f>
        <v>mengorni halálosztó</v>
      </c>
      <c r="B2185" s="21"/>
      <c r="C2185" s="21"/>
      <c r="D2185" s="21"/>
    </row>
    <row r="2186" spans="1:4" ht="12.75" customHeight="1" x14ac:dyDescent="0.2">
      <c r="A2186" s="20"/>
      <c r="B2186" s="2"/>
      <c r="C2186" s="2"/>
      <c r="D2186" s="2"/>
    </row>
    <row r="2187" spans="1:4" ht="12.75" customHeight="1" x14ac:dyDescent="0.2">
      <c r="A2187" s="21"/>
      <c r="B2187" s="3" t="s">
        <v>0</v>
      </c>
      <c r="C2187" s="20" t="s">
        <v>635</v>
      </c>
      <c r="D2187" s="21"/>
    </row>
    <row r="2188" spans="1:4" ht="12.75" customHeight="1" x14ac:dyDescent="0.2">
      <c r="A2188" s="21"/>
      <c r="B2188" s="3" t="s">
        <v>2</v>
      </c>
      <c r="C2188" s="20" t="s">
        <v>3</v>
      </c>
      <c r="D2188" s="21"/>
    </row>
    <row r="2189" spans="1:4" ht="12.75" customHeight="1" x14ac:dyDescent="0.2">
      <c r="A2189" s="21"/>
      <c r="B2189" s="3" t="s">
        <v>4</v>
      </c>
      <c r="C2189" s="20" t="s">
        <v>636</v>
      </c>
      <c r="D2189" s="21"/>
    </row>
    <row r="2190" spans="1:4" ht="12.75" customHeight="1" x14ac:dyDescent="0.2">
      <c r="A2190" s="21"/>
      <c r="B2190" s="3" t="s">
        <v>6</v>
      </c>
      <c r="C2190" s="20" t="s">
        <v>353</v>
      </c>
      <c r="D2190" s="21"/>
    </row>
    <row r="2191" spans="1:4" ht="12.75" customHeight="1" x14ac:dyDescent="0.2">
      <c r="A2191" s="21"/>
      <c r="B2191" s="3" t="s">
        <v>8</v>
      </c>
      <c r="C2191" s="20" t="s">
        <v>636</v>
      </c>
      <c r="D2191" s="21"/>
    </row>
    <row r="2192" spans="1:4" ht="12.75" customHeight="1" x14ac:dyDescent="0.2">
      <c r="A2192" s="21"/>
      <c r="B2192" s="3" t="s">
        <v>9</v>
      </c>
      <c r="C2192" s="20" t="s">
        <v>637</v>
      </c>
      <c r="D2192" s="21"/>
    </row>
    <row r="2193" spans="1:4" ht="12.75" customHeight="1" x14ac:dyDescent="0.2">
      <c r="A2193" s="21"/>
      <c r="B2193" s="3" t="s">
        <v>11</v>
      </c>
      <c r="C2193" s="20" t="s">
        <v>638</v>
      </c>
      <c r="D2193" s="21"/>
    </row>
    <row r="2194" spans="1:4" ht="12.75" customHeight="1" x14ac:dyDescent="0.2">
      <c r="A2194" s="21"/>
      <c r="B2194" s="3" t="s">
        <v>13</v>
      </c>
      <c r="C2194" s="20" t="s">
        <v>24</v>
      </c>
      <c r="D2194" s="21"/>
    </row>
    <row r="2195" spans="1:4" ht="12.75" customHeight="1" x14ac:dyDescent="0.2">
      <c r="A2195" s="21"/>
      <c r="B2195" s="3" t="s">
        <v>15</v>
      </c>
      <c r="C2195" s="20" t="s">
        <v>24</v>
      </c>
      <c r="D2195" s="21"/>
    </row>
    <row r="2196" spans="1:4" ht="12.75" customHeight="1" x14ac:dyDescent="0.2">
      <c r="A2196" s="21"/>
      <c r="B2196" s="3" t="s">
        <v>16</v>
      </c>
      <c r="C2196" s="20"/>
      <c r="D2196" s="21"/>
    </row>
    <row r="2197" spans="1:4" ht="12.75" customHeight="1" x14ac:dyDescent="0.2">
      <c r="A2197" s="21"/>
      <c r="B2197" s="3" t="s">
        <v>17</v>
      </c>
      <c r="C2197" s="20"/>
      <c r="D2197" s="21"/>
    </row>
    <row r="2198" spans="1:4" ht="12.75" customHeight="1" x14ac:dyDescent="0.2">
      <c r="A2198" s="21"/>
      <c r="B2198" s="20" t="s">
        <v>18</v>
      </c>
      <c r="C2198" s="4" t="s">
        <v>44</v>
      </c>
      <c r="D2198" s="6" t="str">
        <f>HYPERLINK("javascript:void(0)","mengorni átokszóró")</f>
        <v>mengorni átokszóró</v>
      </c>
    </row>
    <row r="2199" spans="1:4" ht="12.75" customHeight="1" x14ac:dyDescent="0.2">
      <c r="A2199" s="21"/>
      <c r="B2199" s="21"/>
      <c r="C2199" s="4" t="s">
        <v>142</v>
      </c>
      <c r="D2199" s="6" t="str">
        <f>HYPERLINK("javascript:void(0)","betüvető")</f>
        <v>betüvető</v>
      </c>
    </row>
    <row r="2200" spans="1:4" ht="12.75" customHeight="1" x14ac:dyDescent="0.2">
      <c r="A2200" s="21"/>
      <c r="B2200" s="21"/>
      <c r="C2200" s="4" t="s">
        <v>57</v>
      </c>
      <c r="D2200" s="6" t="str">
        <f>HYPERLINK("javascript:void(0)","vasorr")</f>
        <v>vasorr</v>
      </c>
    </row>
    <row r="2201" spans="1:4" ht="12.75" customHeight="1" x14ac:dyDescent="0.2">
      <c r="A2201" s="5"/>
      <c r="B2201" s="2"/>
      <c r="C2201" s="2"/>
      <c r="D2201" s="2"/>
    </row>
    <row r="2202" spans="1:4" ht="12.75" customHeight="1" x14ac:dyDescent="0.2">
      <c r="A2202" s="22" t="str">
        <f>HYPERLINK("javascript:void(0)","dracoacél csúzli")</f>
        <v>dracoacél csúzli</v>
      </c>
      <c r="B2202" s="21"/>
      <c r="C2202" s="21"/>
      <c r="D2202" s="21"/>
    </row>
    <row r="2203" spans="1:4" ht="12.75" customHeight="1" x14ac:dyDescent="0.2">
      <c r="A2203" s="20"/>
      <c r="B2203" s="2"/>
      <c r="C2203" s="2"/>
      <c r="D2203" s="2"/>
    </row>
    <row r="2204" spans="1:4" ht="12.75" customHeight="1" x14ac:dyDescent="0.2">
      <c r="A2204" s="21"/>
      <c r="B2204" s="3" t="s">
        <v>0</v>
      </c>
      <c r="C2204" s="20" t="s">
        <v>635</v>
      </c>
      <c r="D2204" s="21"/>
    </row>
    <row r="2205" spans="1:4" ht="12.75" customHeight="1" x14ac:dyDescent="0.2">
      <c r="A2205" s="21"/>
      <c r="B2205" s="3" t="s">
        <v>2</v>
      </c>
      <c r="C2205" s="20" t="s">
        <v>3</v>
      </c>
      <c r="D2205" s="21"/>
    </row>
    <row r="2206" spans="1:4" ht="12.75" customHeight="1" x14ac:dyDescent="0.2">
      <c r="A2206" s="21"/>
      <c r="B2206" s="3" t="s">
        <v>4</v>
      </c>
      <c r="C2206" s="20" t="s">
        <v>640</v>
      </c>
      <c r="D2206" s="21"/>
    </row>
    <row r="2207" spans="1:4" ht="12.75" customHeight="1" x14ac:dyDescent="0.2">
      <c r="A2207" s="21"/>
      <c r="B2207" s="3" t="s">
        <v>6</v>
      </c>
      <c r="C2207" s="20" t="s">
        <v>65</v>
      </c>
      <c r="D2207" s="21"/>
    </row>
    <row r="2208" spans="1:4" ht="12.75" customHeight="1" x14ac:dyDescent="0.2">
      <c r="A2208" s="21"/>
      <c r="B2208" s="3" t="s">
        <v>8</v>
      </c>
      <c r="C2208" s="20" t="s">
        <v>640</v>
      </c>
      <c r="D2208" s="21"/>
    </row>
    <row r="2209" spans="1:4" ht="12.75" customHeight="1" x14ac:dyDescent="0.2">
      <c r="A2209" s="21"/>
      <c r="B2209" s="3" t="s">
        <v>9</v>
      </c>
      <c r="C2209" s="20" t="s">
        <v>42</v>
      </c>
      <c r="D2209" s="21"/>
    </row>
    <row r="2210" spans="1:4" ht="12.75" customHeight="1" x14ac:dyDescent="0.2">
      <c r="A2210" s="21"/>
      <c r="B2210" s="3" t="s">
        <v>11</v>
      </c>
      <c r="C2210" s="20" t="s">
        <v>523</v>
      </c>
      <c r="D2210" s="21"/>
    </row>
    <row r="2211" spans="1:4" ht="12.75" customHeight="1" x14ac:dyDescent="0.2">
      <c r="A2211" s="21"/>
      <c r="B2211" s="3" t="s">
        <v>13</v>
      </c>
      <c r="C2211" s="20" t="s">
        <v>24</v>
      </c>
      <c r="D2211" s="21"/>
    </row>
    <row r="2212" spans="1:4" ht="12.75" customHeight="1" x14ac:dyDescent="0.2">
      <c r="A2212" s="21"/>
      <c r="B2212" s="3" t="s">
        <v>15</v>
      </c>
      <c r="C2212" s="20" t="s">
        <v>24</v>
      </c>
      <c r="D2212" s="21"/>
    </row>
    <row r="2213" spans="1:4" ht="12.75" customHeight="1" x14ac:dyDescent="0.2">
      <c r="A2213" s="21"/>
      <c r="B2213" s="3" t="s">
        <v>16</v>
      </c>
      <c r="C2213" s="20"/>
      <c r="D2213" s="21"/>
    </row>
    <row r="2214" spans="1:4" ht="12.75" customHeight="1" x14ac:dyDescent="0.2">
      <c r="A2214" s="21"/>
      <c r="B2214" s="3" t="s">
        <v>17</v>
      </c>
      <c r="C2214" s="20"/>
      <c r="D2214" s="21"/>
    </row>
    <row r="2215" spans="1:4" ht="12.75" customHeight="1" x14ac:dyDescent="0.2">
      <c r="A2215" s="21"/>
      <c r="B2215" s="20" t="s">
        <v>18</v>
      </c>
      <c r="C2215" s="4" t="s">
        <v>44</v>
      </c>
      <c r="D2215" s="6" t="str">
        <f>HYPERLINK("javascript:void(0)","dracoacél halálosztó")</f>
        <v>dracoacél halálosztó</v>
      </c>
    </row>
    <row r="2216" spans="1:4" ht="12.75" customHeight="1" x14ac:dyDescent="0.2">
      <c r="A2216" s="21"/>
      <c r="B2216" s="21"/>
      <c r="C2216" s="4" t="s">
        <v>323</v>
      </c>
      <c r="D2216" s="6" t="str">
        <f>HYPERLINK("javascript:void(0)","szent szimbólum")</f>
        <v>szent szimbólum</v>
      </c>
    </row>
    <row r="2217" spans="1:4" ht="12.75" customHeight="1" x14ac:dyDescent="0.2">
      <c r="A2217" s="21"/>
      <c r="B2217" s="21"/>
      <c r="C2217" s="4" t="s">
        <v>56</v>
      </c>
      <c r="D2217" s="6" t="str">
        <f>HYPERLINK("javascript:void(0)","csapdaszeg")</f>
        <v>csapdaszeg</v>
      </c>
    </row>
    <row r="2218" spans="1:4" ht="12.75" customHeight="1" x14ac:dyDescent="0.2">
      <c r="A2218" s="5"/>
      <c r="B2218" s="2"/>
      <c r="C2218" s="2"/>
      <c r="D2218" s="2"/>
    </row>
    <row r="2219" spans="1:4" ht="12.75" customHeight="1" x14ac:dyDescent="0.2">
      <c r="A2219" s="22" t="str">
        <f>HYPERLINK("javascript:void(0)","skivei halálosztó")</f>
        <v>skivei halálosztó</v>
      </c>
      <c r="B2219" s="21"/>
      <c r="C2219" s="21"/>
      <c r="D2219" s="21"/>
    </row>
    <row r="2220" spans="1:4" ht="12.75" customHeight="1" x14ac:dyDescent="0.2">
      <c r="A2220" s="20"/>
      <c r="B2220" s="2"/>
      <c r="C2220" s="2"/>
      <c r="D2220" s="2"/>
    </row>
    <row r="2221" spans="1:4" ht="12.75" customHeight="1" x14ac:dyDescent="0.2">
      <c r="A2221" s="21"/>
      <c r="B2221" s="3" t="s">
        <v>0</v>
      </c>
      <c r="C2221" s="20" t="s">
        <v>239</v>
      </c>
      <c r="D2221" s="21"/>
    </row>
    <row r="2222" spans="1:4" ht="12.75" customHeight="1" x14ac:dyDescent="0.2">
      <c r="A2222" s="21"/>
      <c r="B2222" s="3" t="s">
        <v>2</v>
      </c>
      <c r="C2222" s="20" t="s">
        <v>3</v>
      </c>
      <c r="D2222" s="21"/>
    </row>
    <row r="2223" spans="1:4" ht="12.75" customHeight="1" x14ac:dyDescent="0.2">
      <c r="A2223" s="21"/>
      <c r="B2223" s="3" t="s">
        <v>4</v>
      </c>
      <c r="C2223" s="20" t="s">
        <v>642</v>
      </c>
      <c r="D2223" s="21"/>
    </row>
    <row r="2224" spans="1:4" ht="12.75" customHeight="1" x14ac:dyDescent="0.2">
      <c r="A2224" s="21"/>
      <c r="B2224" s="3" t="s">
        <v>6</v>
      </c>
      <c r="C2224" s="20" t="s">
        <v>178</v>
      </c>
      <c r="D2224" s="21"/>
    </row>
    <row r="2225" spans="1:4" ht="12.75" customHeight="1" x14ac:dyDescent="0.2">
      <c r="A2225" s="21"/>
      <c r="B2225" s="3" t="s">
        <v>8</v>
      </c>
      <c r="C2225" s="20" t="s">
        <v>642</v>
      </c>
      <c r="D2225" s="21"/>
    </row>
    <row r="2226" spans="1:4" ht="12.75" customHeight="1" x14ac:dyDescent="0.2">
      <c r="A2226" s="21"/>
      <c r="B2226" s="3" t="s">
        <v>9</v>
      </c>
      <c r="C2226" s="20" t="s">
        <v>644</v>
      </c>
      <c r="D2226" s="21"/>
    </row>
    <row r="2227" spans="1:4" ht="12.75" customHeight="1" x14ac:dyDescent="0.2">
      <c r="A2227" s="21"/>
      <c r="B2227" s="3" t="s">
        <v>11</v>
      </c>
      <c r="C2227" s="20" t="s">
        <v>645</v>
      </c>
      <c r="D2227" s="21"/>
    </row>
    <row r="2228" spans="1:4" ht="12.75" customHeight="1" x14ac:dyDescent="0.2">
      <c r="A2228" s="21"/>
      <c r="B2228" s="3" t="s">
        <v>13</v>
      </c>
      <c r="C2228" s="20" t="s">
        <v>24</v>
      </c>
      <c r="D2228" s="21"/>
    </row>
    <row r="2229" spans="1:4" ht="12.75" customHeight="1" x14ac:dyDescent="0.2">
      <c r="A2229" s="21"/>
      <c r="B2229" s="3" t="s">
        <v>15</v>
      </c>
      <c r="C2229" s="20" t="s">
        <v>24</v>
      </c>
      <c r="D2229" s="21"/>
    </row>
    <row r="2230" spans="1:4" ht="12.75" customHeight="1" x14ac:dyDescent="0.2">
      <c r="A2230" s="21"/>
      <c r="B2230" s="3" t="s">
        <v>16</v>
      </c>
      <c r="C2230" s="20"/>
      <c r="D2230" s="21"/>
    </row>
    <row r="2231" spans="1:4" ht="12.75" customHeight="1" x14ac:dyDescent="0.2">
      <c r="A2231" s="21"/>
      <c r="B2231" s="3" t="s">
        <v>17</v>
      </c>
      <c r="C2231" s="20"/>
      <c r="D2231" s="21"/>
    </row>
    <row r="2232" spans="1:4" ht="12.75" customHeight="1" x14ac:dyDescent="0.2">
      <c r="A2232" s="21"/>
      <c r="B2232" s="20" t="s">
        <v>18</v>
      </c>
      <c r="C2232" s="4" t="s">
        <v>44</v>
      </c>
      <c r="D2232" s="6" t="str">
        <f>HYPERLINK("javascript:void(0)","skivei átokszóró")</f>
        <v>skivei átokszóró</v>
      </c>
    </row>
    <row r="2233" spans="1:4" ht="12.75" customHeight="1" x14ac:dyDescent="0.2">
      <c r="A2233" s="21"/>
      <c r="B2233" s="21"/>
      <c r="C2233" s="4" t="s">
        <v>68</v>
      </c>
      <c r="D2233" s="6" t="str">
        <f>HYPERLINK("javascript:void(0)","betüvető")</f>
        <v>betüvető</v>
      </c>
    </row>
    <row r="2234" spans="1:4" ht="12.75" customHeight="1" x14ac:dyDescent="0.2">
      <c r="A2234" s="21"/>
      <c r="B2234" s="21"/>
      <c r="C2234" s="4" t="s">
        <v>196</v>
      </c>
      <c r="D2234" s="6" t="str">
        <f>HYPERLINK("javascript:void(0)","ragya")</f>
        <v>ragya</v>
      </c>
    </row>
    <row r="2235" spans="1:4" ht="12.75" customHeight="1" x14ac:dyDescent="0.2">
      <c r="A2235" s="5"/>
      <c r="B2235" s="2"/>
      <c r="C2235" s="2"/>
      <c r="D2235" s="2"/>
    </row>
    <row r="2236" spans="1:4" ht="12.75" customHeight="1" x14ac:dyDescent="0.2">
      <c r="A2236" s="22" t="str">
        <f>HYPERLINK("javascript:void(0)","elfacél csúzli")</f>
        <v>elfacél csúzli</v>
      </c>
      <c r="B2236" s="21"/>
      <c r="C2236" s="21"/>
      <c r="D2236" s="21"/>
    </row>
    <row r="2237" spans="1:4" ht="12.75" customHeight="1" x14ac:dyDescent="0.2">
      <c r="A2237" s="20"/>
      <c r="B2237" s="2"/>
      <c r="C2237" s="2"/>
      <c r="D2237" s="2"/>
    </row>
    <row r="2238" spans="1:4" ht="12.75" customHeight="1" x14ac:dyDescent="0.2">
      <c r="A2238" s="21"/>
      <c r="B2238" s="3" t="s">
        <v>0</v>
      </c>
      <c r="C2238" s="20" t="s">
        <v>239</v>
      </c>
      <c r="D2238" s="21"/>
    </row>
    <row r="2239" spans="1:4" ht="12.75" customHeight="1" x14ac:dyDescent="0.2">
      <c r="A2239" s="21"/>
      <c r="B2239" s="3" t="s">
        <v>2</v>
      </c>
      <c r="C2239" s="20" t="s">
        <v>3</v>
      </c>
      <c r="D2239" s="21"/>
    </row>
    <row r="2240" spans="1:4" ht="12.75" customHeight="1" x14ac:dyDescent="0.2">
      <c r="A2240" s="21"/>
      <c r="B2240" s="3" t="s">
        <v>4</v>
      </c>
      <c r="C2240" s="20" t="s">
        <v>648</v>
      </c>
      <c r="D2240" s="21"/>
    </row>
    <row r="2241" spans="1:4" ht="12.75" customHeight="1" x14ac:dyDescent="0.2">
      <c r="A2241" s="21"/>
      <c r="B2241" s="3" t="s">
        <v>6</v>
      </c>
      <c r="C2241" s="20" t="s">
        <v>65</v>
      </c>
      <c r="D2241" s="21"/>
    </row>
    <row r="2242" spans="1:4" ht="12.75" customHeight="1" x14ac:dyDescent="0.2">
      <c r="A2242" s="21"/>
      <c r="B2242" s="3" t="s">
        <v>8</v>
      </c>
      <c r="C2242" s="20" t="s">
        <v>648</v>
      </c>
      <c r="D2242" s="21"/>
    </row>
    <row r="2243" spans="1:4" ht="12.75" customHeight="1" x14ac:dyDescent="0.2">
      <c r="A2243" s="21"/>
      <c r="B2243" s="3" t="s">
        <v>9</v>
      </c>
      <c r="C2243" s="20" t="s">
        <v>147</v>
      </c>
      <c r="D2243" s="21"/>
    </row>
    <row r="2244" spans="1:4" ht="12.75" customHeight="1" x14ac:dyDescent="0.2">
      <c r="A2244" s="21"/>
      <c r="B2244" s="3" t="s">
        <v>11</v>
      </c>
      <c r="C2244" s="20" t="s">
        <v>649</v>
      </c>
      <c r="D2244" s="21"/>
    </row>
    <row r="2245" spans="1:4" ht="12.75" customHeight="1" x14ac:dyDescent="0.2">
      <c r="A2245" s="21"/>
      <c r="B2245" s="3" t="s">
        <v>13</v>
      </c>
      <c r="C2245" s="20" t="s">
        <v>24</v>
      </c>
      <c r="D2245" s="21"/>
    </row>
    <row r="2246" spans="1:4" ht="12.75" customHeight="1" x14ac:dyDescent="0.2">
      <c r="A2246" s="21"/>
      <c r="B2246" s="3" t="s">
        <v>15</v>
      </c>
      <c r="C2246" s="20" t="s">
        <v>24</v>
      </c>
      <c r="D2246" s="21"/>
    </row>
    <row r="2247" spans="1:4" ht="12.75" customHeight="1" x14ac:dyDescent="0.2">
      <c r="A2247" s="21"/>
      <c r="B2247" s="3" t="s">
        <v>16</v>
      </c>
      <c r="C2247" s="20"/>
      <c r="D2247" s="21"/>
    </row>
    <row r="2248" spans="1:4" ht="12.75" customHeight="1" x14ac:dyDescent="0.2">
      <c r="A2248" s="21"/>
      <c r="B2248" s="3" t="s">
        <v>17</v>
      </c>
      <c r="C2248" s="20"/>
      <c r="D2248" s="21"/>
    </row>
    <row r="2249" spans="1:4" ht="12.75" customHeight="1" x14ac:dyDescent="0.2">
      <c r="A2249" s="21"/>
      <c r="B2249" s="20" t="s">
        <v>18</v>
      </c>
      <c r="C2249" s="4" t="s">
        <v>44</v>
      </c>
      <c r="D2249" s="6" t="str">
        <f>HYPERLINK("javascript:void(0)","elfacél halálosztó")</f>
        <v>elfacél halálosztó</v>
      </c>
    </row>
    <row r="2250" spans="1:4" ht="12.75" customHeight="1" x14ac:dyDescent="0.2">
      <c r="A2250" s="21"/>
      <c r="B2250" s="21"/>
      <c r="C2250" s="4" t="s">
        <v>193</v>
      </c>
      <c r="D2250" s="6" t="str">
        <f>HYPERLINK("javascript:void(0)","csigaház")</f>
        <v>csigaház</v>
      </c>
    </row>
    <row r="2251" spans="1:4" ht="12.75" customHeight="1" x14ac:dyDescent="0.2">
      <c r="A2251" s="21"/>
      <c r="B2251" s="21"/>
      <c r="C2251" s="4" t="s">
        <v>55</v>
      </c>
      <c r="D2251" s="6" t="str">
        <f>HYPERLINK("javascript:void(0)","dobókocka")</f>
        <v>dobókocka</v>
      </c>
    </row>
    <row r="2252" spans="1:4" ht="12.75" customHeight="1" x14ac:dyDescent="0.2">
      <c r="A2252" s="5"/>
      <c r="B2252" s="2"/>
      <c r="C2252" s="2"/>
      <c r="D2252" s="2"/>
    </row>
    <row r="2253" spans="1:4" ht="12.75" customHeight="1" x14ac:dyDescent="0.2">
      <c r="A2253" s="22" t="str">
        <f>HYPERLINK("javascript:void(0)","parszi halálosztó")</f>
        <v>parszi halálosztó</v>
      </c>
      <c r="B2253" s="21"/>
      <c r="C2253" s="21"/>
      <c r="D2253" s="21"/>
    </row>
    <row r="2254" spans="1:4" ht="12.75" customHeight="1" x14ac:dyDescent="0.2">
      <c r="A2254" s="20"/>
      <c r="B2254" s="2"/>
      <c r="C2254" s="2"/>
      <c r="D2254" s="2"/>
    </row>
    <row r="2255" spans="1:4" ht="12.75" customHeight="1" x14ac:dyDescent="0.2">
      <c r="A2255" s="21"/>
      <c r="B2255" s="3" t="s">
        <v>0</v>
      </c>
      <c r="C2255" s="20" t="s">
        <v>651</v>
      </c>
      <c r="D2255" s="21"/>
    </row>
    <row r="2256" spans="1:4" ht="12.75" customHeight="1" x14ac:dyDescent="0.2">
      <c r="A2256" s="21"/>
      <c r="B2256" s="3" t="s">
        <v>2</v>
      </c>
      <c r="C2256" s="20" t="s">
        <v>3</v>
      </c>
      <c r="D2256" s="21"/>
    </row>
    <row r="2257" spans="1:4" ht="12.75" customHeight="1" x14ac:dyDescent="0.2">
      <c r="A2257" s="21"/>
      <c r="B2257" s="3" t="s">
        <v>4</v>
      </c>
      <c r="C2257" s="20" t="s">
        <v>652</v>
      </c>
      <c r="D2257" s="21"/>
    </row>
    <row r="2258" spans="1:4" ht="12.75" customHeight="1" x14ac:dyDescent="0.2">
      <c r="A2258" s="21"/>
      <c r="B2258" s="3" t="s">
        <v>6</v>
      </c>
      <c r="C2258" s="20" t="s">
        <v>392</v>
      </c>
      <c r="D2258" s="21"/>
    </row>
    <row r="2259" spans="1:4" ht="12.75" customHeight="1" x14ac:dyDescent="0.2">
      <c r="A2259" s="21"/>
      <c r="B2259" s="3" t="s">
        <v>8</v>
      </c>
      <c r="C2259" s="20" t="s">
        <v>652</v>
      </c>
      <c r="D2259" s="21"/>
    </row>
    <row r="2260" spans="1:4" ht="12.75" customHeight="1" x14ac:dyDescent="0.2">
      <c r="A2260" s="21"/>
      <c r="B2260" s="3" t="s">
        <v>9</v>
      </c>
      <c r="C2260" s="20" t="s">
        <v>637</v>
      </c>
      <c r="D2260" s="21"/>
    </row>
    <row r="2261" spans="1:4" ht="12.75" customHeight="1" x14ac:dyDescent="0.2">
      <c r="A2261" s="21"/>
      <c r="B2261" s="3" t="s">
        <v>11</v>
      </c>
      <c r="C2261" s="20" t="s">
        <v>653</v>
      </c>
      <c r="D2261" s="21"/>
    </row>
    <row r="2262" spans="1:4" ht="12.75" customHeight="1" x14ac:dyDescent="0.2">
      <c r="A2262" s="21"/>
      <c r="B2262" s="3" t="s">
        <v>13</v>
      </c>
      <c r="C2262" s="20" t="s">
        <v>24</v>
      </c>
      <c r="D2262" s="21"/>
    </row>
    <row r="2263" spans="1:4" ht="12.75" customHeight="1" x14ac:dyDescent="0.2">
      <c r="A2263" s="21"/>
      <c r="B2263" s="3" t="s">
        <v>15</v>
      </c>
      <c r="C2263" s="20" t="s">
        <v>24</v>
      </c>
      <c r="D2263" s="21"/>
    </row>
    <row r="2264" spans="1:4" ht="12.75" customHeight="1" x14ac:dyDescent="0.2">
      <c r="A2264" s="21"/>
      <c r="B2264" s="3" t="s">
        <v>16</v>
      </c>
      <c r="C2264" s="20"/>
      <c r="D2264" s="21"/>
    </row>
    <row r="2265" spans="1:4" ht="12.75" customHeight="1" x14ac:dyDescent="0.2">
      <c r="A2265" s="21"/>
      <c r="B2265" s="3" t="s">
        <v>17</v>
      </c>
      <c r="C2265" s="20"/>
      <c r="D2265" s="21"/>
    </row>
    <row r="2266" spans="1:4" ht="12.75" customHeight="1" x14ac:dyDescent="0.2">
      <c r="A2266" s="21"/>
      <c r="B2266" s="20" t="s">
        <v>18</v>
      </c>
      <c r="C2266" s="4" t="s">
        <v>44</v>
      </c>
      <c r="D2266" s="6" t="str">
        <f>HYPERLINK("javascript:void(0)","parszi átokszóró")</f>
        <v>parszi átokszóró</v>
      </c>
    </row>
    <row r="2267" spans="1:4" ht="12.75" customHeight="1" x14ac:dyDescent="0.2">
      <c r="A2267" s="21"/>
      <c r="B2267" s="21"/>
      <c r="C2267" s="4" t="s">
        <v>196</v>
      </c>
      <c r="D2267" s="6" t="str">
        <f>HYPERLINK("javascript:void(0)","betüvető")</f>
        <v>betüvető</v>
      </c>
    </row>
    <row r="2268" spans="1:4" ht="12.75" customHeight="1" x14ac:dyDescent="0.2">
      <c r="A2268" s="21"/>
      <c r="B2268" s="21"/>
      <c r="C2268" s="4" t="s">
        <v>117</v>
      </c>
      <c r="D2268" s="6" t="str">
        <f>HYPERLINK("javascript:void(0)","elemi köpet")</f>
        <v>elemi köpet</v>
      </c>
    </row>
    <row r="2269" spans="1:4" ht="12.75" customHeight="1" x14ac:dyDescent="0.2">
      <c r="A2269" s="5"/>
      <c r="B2269" s="2"/>
      <c r="C2269" s="2"/>
      <c r="D2269" s="2"/>
    </row>
    <row r="2270" spans="1:4" ht="12.75" customHeight="1" x14ac:dyDescent="0.2">
      <c r="A2270" s="22" t="str">
        <f>HYPERLINK("javascript:void(0)","óriásacél csúzli")</f>
        <v>óriásacél csúzli</v>
      </c>
      <c r="B2270" s="21"/>
      <c r="C2270" s="21"/>
      <c r="D2270" s="21"/>
    </row>
    <row r="2271" spans="1:4" ht="12.75" customHeight="1" x14ac:dyDescent="0.2">
      <c r="A2271" s="20"/>
      <c r="B2271" s="2"/>
      <c r="C2271" s="2"/>
      <c r="D2271" s="2"/>
    </row>
    <row r="2272" spans="1:4" ht="12.75" customHeight="1" x14ac:dyDescent="0.2">
      <c r="A2272" s="21"/>
      <c r="B2272" s="3" t="s">
        <v>0</v>
      </c>
      <c r="C2272" s="20" t="s">
        <v>651</v>
      </c>
      <c r="D2272" s="21"/>
    </row>
    <row r="2273" spans="1:4" ht="12.75" customHeight="1" x14ac:dyDescent="0.2">
      <c r="A2273" s="21"/>
      <c r="B2273" s="3" t="s">
        <v>2</v>
      </c>
      <c r="C2273" s="20" t="s">
        <v>3</v>
      </c>
      <c r="D2273" s="21"/>
    </row>
    <row r="2274" spans="1:4" ht="12.75" customHeight="1" x14ac:dyDescent="0.2">
      <c r="A2274" s="21"/>
      <c r="B2274" s="3" t="s">
        <v>4</v>
      </c>
      <c r="C2274" s="20" t="s">
        <v>656</v>
      </c>
      <c r="D2274" s="21"/>
    </row>
    <row r="2275" spans="1:4" ht="12.75" customHeight="1" x14ac:dyDescent="0.2">
      <c r="A2275" s="21"/>
      <c r="B2275" s="3" t="s">
        <v>6</v>
      </c>
      <c r="C2275" s="20" t="s">
        <v>65</v>
      </c>
      <c r="D2275" s="21"/>
    </row>
    <row r="2276" spans="1:4" ht="12.75" customHeight="1" x14ac:dyDescent="0.2">
      <c r="A2276" s="21"/>
      <c r="B2276" s="3" t="s">
        <v>8</v>
      </c>
      <c r="C2276" s="20" t="s">
        <v>656</v>
      </c>
      <c r="D2276" s="21"/>
    </row>
    <row r="2277" spans="1:4" ht="12.75" customHeight="1" x14ac:dyDescent="0.2">
      <c r="A2277" s="21"/>
      <c r="B2277" s="3" t="s">
        <v>9</v>
      </c>
      <c r="C2277" s="20" t="s">
        <v>147</v>
      </c>
      <c r="D2277" s="21"/>
    </row>
    <row r="2278" spans="1:4" ht="12.75" customHeight="1" x14ac:dyDescent="0.2">
      <c r="A2278" s="21"/>
      <c r="B2278" s="3" t="s">
        <v>11</v>
      </c>
      <c r="C2278" s="20" t="s">
        <v>536</v>
      </c>
      <c r="D2278" s="21"/>
    </row>
    <row r="2279" spans="1:4" ht="12.75" customHeight="1" x14ac:dyDescent="0.2">
      <c r="A2279" s="21"/>
      <c r="B2279" s="3" t="s">
        <v>13</v>
      </c>
      <c r="C2279" s="20" t="s">
        <v>24</v>
      </c>
      <c r="D2279" s="21"/>
    </row>
    <row r="2280" spans="1:4" ht="12.75" customHeight="1" x14ac:dyDescent="0.2">
      <c r="A2280" s="21"/>
      <c r="B2280" s="3" t="s">
        <v>15</v>
      </c>
      <c r="C2280" s="20" t="s">
        <v>24</v>
      </c>
      <c r="D2280" s="21"/>
    </row>
    <row r="2281" spans="1:4" ht="12.75" customHeight="1" x14ac:dyDescent="0.2">
      <c r="A2281" s="21"/>
      <c r="B2281" s="3" t="s">
        <v>16</v>
      </c>
      <c r="C2281" s="20"/>
      <c r="D2281" s="21"/>
    </row>
    <row r="2282" spans="1:4" ht="12.75" customHeight="1" x14ac:dyDescent="0.2">
      <c r="A2282" s="21"/>
      <c r="B2282" s="3" t="s">
        <v>17</v>
      </c>
      <c r="C2282" s="20"/>
      <c r="D2282" s="21"/>
    </row>
    <row r="2283" spans="1:4" ht="12.75" customHeight="1" x14ac:dyDescent="0.2">
      <c r="A2283" s="21"/>
      <c r="B2283" s="20" t="s">
        <v>18</v>
      </c>
      <c r="C2283" s="4" t="s">
        <v>44</v>
      </c>
      <c r="D2283" s="6" t="str">
        <f>HYPERLINK("javascript:void(0)","óriásacél halálosztó")</f>
        <v>óriásacél halálosztó</v>
      </c>
    </row>
    <row r="2284" spans="1:4" ht="12.75" customHeight="1" x14ac:dyDescent="0.2">
      <c r="A2284" s="21"/>
      <c r="B2284" s="21"/>
      <c r="C2284" s="4" t="s">
        <v>382</v>
      </c>
      <c r="D2284" s="6" t="str">
        <f>HYPERLINK("javascript:void(0)","hörcsögagyar")</f>
        <v>hörcsögagyar</v>
      </c>
    </row>
    <row r="2285" spans="1:4" ht="12.75" customHeight="1" x14ac:dyDescent="0.2">
      <c r="A2285" s="21"/>
      <c r="B2285" s="21"/>
      <c r="C2285" s="4" t="s">
        <v>55</v>
      </c>
      <c r="D2285" s="6" t="str">
        <f>HYPERLINK("javascript:void(0)","cerka")</f>
        <v>cerka</v>
      </c>
    </row>
    <row r="2286" spans="1:4" ht="12.75" customHeight="1" x14ac:dyDescent="0.2">
      <c r="A2286" s="5"/>
      <c r="B2286" s="2"/>
      <c r="C2286" s="2"/>
      <c r="D2286" s="2"/>
    </row>
    <row r="2287" spans="1:4" ht="12.75" customHeight="1" x14ac:dyDescent="0.2">
      <c r="A2287" s="22" t="str">
        <f>HYPERLINK("javascript:void(0)","rimföldi halálosztó")</f>
        <v>rimföldi halálosztó</v>
      </c>
      <c r="B2287" s="21"/>
      <c r="C2287" s="21"/>
      <c r="D2287" s="21"/>
    </row>
    <row r="2288" spans="1:4" ht="12.75" customHeight="1" x14ac:dyDescent="0.2">
      <c r="A2288" s="20"/>
      <c r="B2288" s="2"/>
      <c r="C2288" s="2"/>
      <c r="D2288" s="2"/>
    </row>
    <row r="2289" spans="1:4" ht="12.75" customHeight="1" x14ac:dyDescent="0.2">
      <c r="A2289" s="21"/>
      <c r="B2289" s="3" t="s">
        <v>0</v>
      </c>
      <c r="C2289" s="20" t="s">
        <v>69</v>
      </c>
      <c r="D2289" s="21"/>
    </row>
    <row r="2290" spans="1:4" ht="12.75" customHeight="1" x14ac:dyDescent="0.2">
      <c r="A2290" s="21"/>
      <c r="B2290" s="3" t="s">
        <v>2</v>
      </c>
      <c r="C2290" s="20" t="s">
        <v>3</v>
      </c>
      <c r="D2290" s="21"/>
    </row>
    <row r="2291" spans="1:4" ht="12.75" customHeight="1" x14ac:dyDescent="0.2">
      <c r="A2291" s="21"/>
      <c r="B2291" s="3" t="s">
        <v>4</v>
      </c>
      <c r="C2291" s="20" t="s">
        <v>659</v>
      </c>
      <c r="D2291" s="21"/>
    </row>
    <row r="2292" spans="1:4" ht="12.75" customHeight="1" x14ac:dyDescent="0.2">
      <c r="A2292" s="21"/>
      <c r="B2292" s="3" t="s">
        <v>6</v>
      </c>
      <c r="C2292" s="20" t="s">
        <v>115</v>
      </c>
      <c r="D2292" s="21"/>
    </row>
    <row r="2293" spans="1:4" ht="12.75" customHeight="1" x14ac:dyDescent="0.2">
      <c r="A2293" s="21"/>
      <c r="B2293" s="3" t="s">
        <v>8</v>
      </c>
      <c r="C2293" s="20" t="s">
        <v>659</v>
      </c>
      <c r="D2293" s="21"/>
    </row>
    <row r="2294" spans="1:4" ht="12.75" customHeight="1" x14ac:dyDescent="0.2">
      <c r="A2294" s="21"/>
      <c r="B2294" s="3" t="s">
        <v>9</v>
      </c>
      <c r="C2294" s="20" t="s">
        <v>644</v>
      </c>
      <c r="D2294" s="21"/>
    </row>
    <row r="2295" spans="1:4" ht="12.75" customHeight="1" x14ac:dyDescent="0.2">
      <c r="A2295" s="21"/>
      <c r="B2295" s="3" t="s">
        <v>11</v>
      </c>
      <c r="C2295" s="20" t="s">
        <v>660</v>
      </c>
      <c r="D2295" s="21"/>
    </row>
    <row r="2296" spans="1:4" ht="12.75" customHeight="1" x14ac:dyDescent="0.2">
      <c r="A2296" s="21"/>
      <c r="B2296" s="3" t="s">
        <v>13</v>
      </c>
      <c r="C2296" s="20" t="s">
        <v>24</v>
      </c>
      <c r="D2296" s="21"/>
    </row>
    <row r="2297" spans="1:4" ht="12.75" customHeight="1" x14ac:dyDescent="0.2">
      <c r="A2297" s="21"/>
      <c r="B2297" s="3" t="s">
        <v>15</v>
      </c>
      <c r="C2297" s="20" t="s">
        <v>24</v>
      </c>
      <c r="D2297" s="21"/>
    </row>
    <row r="2298" spans="1:4" ht="12.75" customHeight="1" x14ac:dyDescent="0.2">
      <c r="A2298" s="21"/>
      <c r="B2298" s="3" t="s">
        <v>16</v>
      </c>
      <c r="C2298" s="20"/>
      <c r="D2298" s="21"/>
    </row>
    <row r="2299" spans="1:4" ht="12.75" customHeight="1" x14ac:dyDescent="0.2">
      <c r="A2299" s="21"/>
      <c r="B2299" s="3" t="s">
        <v>17</v>
      </c>
      <c r="C2299" s="20"/>
      <c r="D2299" s="21"/>
    </row>
    <row r="2300" spans="1:4" ht="12.75" customHeight="1" x14ac:dyDescent="0.2">
      <c r="A2300" s="21"/>
      <c r="B2300" s="20" t="s">
        <v>18</v>
      </c>
      <c r="C2300" s="4" t="s">
        <v>44</v>
      </c>
      <c r="D2300" s="6" t="str">
        <f>HYPERLINK("javascript:void(0)","rimföldi átokszóró")</f>
        <v>rimföldi átokszóró</v>
      </c>
    </row>
    <row r="2301" spans="1:4" ht="12.75" customHeight="1" x14ac:dyDescent="0.2">
      <c r="A2301" s="21"/>
      <c r="B2301" s="21"/>
      <c r="C2301" s="4" t="s">
        <v>67</v>
      </c>
      <c r="D2301" s="6" t="str">
        <f>HYPERLINK("javascript:void(0)","betüvető")</f>
        <v>betüvető</v>
      </c>
    </row>
    <row r="2302" spans="1:4" ht="12.75" customHeight="1" x14ac:dyDescent="0.2">
      <c r="A2302" s="21"/>
      <c r="B2302" s="21"/>
      <c r="C2302" s="4" t="s">
        <v>56</v>
      </c>
      <c r="D2302" s="6" t="str">
        <f>HYPERLINK("javascript:void(0)","zselatin")</f>
        <v>zselatin</v>
      </c>
    </row>
    <row r="2303" spans="1:4" ht="12.75" customHeight="1" x14ac:dyDescent="0.2">
      <c r="A2303" s="5"/>
      <c r="B2303" s="2"/>
      <c r="C2303" s="2"/>
      <c r="D2303" s="2"/>
    </row>
    <row r="2304" spans="1:4" ht="12.75" customHeight="1" x14ac:dyDescent="0.2">
      <c r="A2304" s="22" t="str">
        <f>HYPERLINK("javascript:void(0)","kentacél csúzli")</f>
        <v>kentacél csúzli</v>
      </c>
      <c r="B2304" s="21"/>
      <c r="C2304" s="21"/>
      <c r="D2304" s="21"/>
    </row>
    <row r="2305" spans="1:4" ht="12.75" customHeight="1" x14ac:dyDescent="0.2">
      <c r="A2305" s="20"/>
      <c r="B2305" s="2"/>
      <c r="C2305" s="2"/>
      <c r="D2305" s="2"/>
    </row>
    <row r="2306" spans="1:4" ht="12.75" customHeight="1" x14ac:dyDescent="0.2">
      <c r="A2306" s="21"/>
      <c r="B2306" s="3" t="s">
        <v>0</v>
      </c>
      <c r="C2306" s="20" t="s">
        <v>69</v>
      </c>
      <c r="D2306" s="21"/>
    </row>
    <row r="2307" spans="1:4" ht="12.75" customHeight="1" x14ac:dyDescent="0.2">
      <c r="A2307" s="21"/>
      <c r="B2307" s="3" t="s">
        <v>2</v>
      </c>
      <c r="C2307" s="20" t="s">
        <v>3</v>
      </c>
      <c r="D2307" s="21"/>
    </row>
    <row r="2308" spans="1:4" ht="12.75" customHeight="1" x14ac:dyDescent="0.2">
      <c r="A2308" s="21"/>
      <c r="B2308" s="3" t="s">
        <v>4</v>
      </c>
      <c r="C2308" s="20" t="s">
        <v>662</v>
      </c>
      <c r="D2308" s="21"/>
    </row>
    <row r="2309" spans="1:4" ht="12.75" customHeight="1" x14ac:dyDescent="0.2">
      <c r="A2309" s="21"/>
      <c r="B2309" s="3" t="s">
        <v>6</v>
      </c>
      <c r="C2309" s="20" t="s">
        <v>65</v>
      </c>
      <c r="D2309" s="21"/>
    </row>
    <row r="2310" spans="1:4" ht="12.75" customHeight="1" x14ac:dyDescent="0.2">
      <c r="A2310" s="21"/>
      <c r="B2310" s="3" t="s">
        <v>8</v>
      </c>
      <c r="C2310" s="20" t="s">
        <v>662</v>
      </c>
      <c r="D2310" s="21"/>
    </row>
    <row r="2311" spans="1:4" ht="12.75" customHeight="1" x14ac:dyDescent="0.2">
      <c r="A2311" s="21"/>
      <c r="B2311" s="3" t="s">
        <v>9</v>
      </c>
      <c r="C2311" s="20" t="s">
        <v>147</v>
      </c>
      <c r="D2311" s="21"/>
    </row>
    <row r="2312" spans="1:4" ht="12.75" customHeight="1" x14ac:dyDescent="0.2">
      <c r="A2312" s="21"/>
      <c r="B2312" s="3" t="s">
        <v>11</v>
      </c>
      <c r="C2312" s="20" t="s">
        <v>663</v>
      </c>
      <c r="D2312" s="21"/>
    </row>
    <row r="2313" spans="1:4" ht="12.75" customHeight="1" x14ac:dyDescent="0.2">
      <c r="A2313" s="21"/>
      <c r="B2313" s="3" t="s">
        <v>13</v>
      </c>
      <c r="C2313" s="20" t="s">
        <v>24</v>
      </c>
      <c r="D2313" s="21"/>
    </row>
    <row r="2314" spans="1:4" ht="12.75" customHeight="1" x14ac:dyDescent="0.2">
      <c r="A2314" s="21"/>
      <c r="B2314" s="3" t="s">
        <v>15</v>
      </c>
      <c r="C2314" s="20" t="s">
        <v>24</v>
      </c>
      <c r="D2314" s="21"/>
    </row>
    <row r="2315" spans="1:4" ht="12.75" customHeight="1" x14ac:dyDescent="0.2">
      <c r="A2315" s="21"/>
      <c r="B2315" s="3" t="s">
        <v>16</v>
      </c>
      <c r="C2315" s="20"/>
      <c r="D2315" s="21"/>
    </row>
    <row r="2316" spans="1:4" ht="12.75" customHeight="1" x14ac:dyDescent="0.2">
      <c r="A2316" s="21"/>
      <c r="B2316" s="3" t="s">
        <v>17</v>
      </c>
      <c r="C2316" s="20"/>
      <c r="D2316" s="21"/>
    </row>
    <row r="2317" spans="1:4" ht="12.75" customHeight="1" x14ac:dyDescent="0.2">
      <c r="A2317" s="21"/>
      <c r="B2317" s="20" t="s">
        <v>18</v>
      </c>
      <c r="C2317" s="4" t="s">
        <v>44</v>
      </c>
      <c r="D2317" s="6" t="str">
        <f>HYPERLINK("javascript:void(0)","kentacél halálosztó")</f>
        <v>kentacél halálosztó</v>
      </c>
    </row>
    <row r="2318" spans="1:4" ht="12.75" customHeight="1" x14ac:dyDescent="0.2">
      <c r="A2318" s="21"/>
      <c r="B2318" s="21"/>
      <c r="C2318" s="4" t="s">
        <v>382</v>
      </c>
      <c r="D2318" s="6" t="str">
        <f>HYPERLINK("javascript:void(0)","szent szimbólum")</f>
        <v>szent szimbólum</v>
      </c>
    </row>
    <row r="2319" spans="1:4" ht="12.75" customHeight="1" x14ac:dyDescent="0.2">
      <c r="A2319" s="21"/>
      <c r="B2319" s="21"/>
      <c r="C2319" s="4" t="s">
        <v>55</v>
      </c>
      <c r="D2319" s="6" t="str">
        <f>HYPERLINK("javascript:void(0)","monsztabéklyó")</f>
        <v>monsztabéklyó</v>
      </c>
    </row>
    <row r="2320" spans="1:4" ht="12.75" customHeight="1" x14ac:dyDescent="0.2">
      <c r="A2320" s="5"/>
      <c r="B2320" s="2"/>
      <c r="C2320" s="2"/>
      <c r="D2320" s="2"/>
    </row>
    <row r="2321" spans="1:4" ht="12.75" customHeight="1" x14ac:dyDescent="0.2">
      <c r="A2321" s="22" t="str">
        <f>HYPERLINK("javascript:void(0)","wendír halálosztó")</f>
        <v>wendír halálosztó</v>
      </c>
      <c r="B2321" s="21"/>
      <c r="C2321" s="21"/>
      <c r="D2321" s="21"/>
    </row>
    <row r="2322" spans="1:4" ht="12.75" customHeight="1" x14ac:dyDescent="0.2">
      <c r="A2322" s="20"/>
      <c r="B2322" s="2"/>
      <c r="C2322" s="2"/>
      <c r="D2322" s="2"/>
    </row>
    <row r="2323" spans="1:4" ht="12.75" customHeight="1" x14ac:dyDescent="0.2">
      <c r="A2323" s="21"/>
      <c r="B2323" s="3" t="s">
        <v>0</v>
      </c>
      <c r="C2323" s="20" t="s">
        <v>245</v>
      </c>
      <c r="D2323" s="21"/>
    </row>
    <row r="2324" spans="1:4" ht="12.75" customHeight="1" x14ac:dyDescent="0.2">
      <c r="A2324" s="21"/>
      <c r="B2324" s="3" t="s">
        <v>2</v>
      </c>
      <c r="C2324" s="20" t="s">
        <v>3</v>
      </c>
      <c r="D2324" s="21"/>
    </row>
    <row r="2325" spans="1:4" ht="12.75" customHeight="1" x14ac:dyDescent="0.2">
      <c r="A2325" s="21"/>
      <c r="B2325" s="3" t="s">
        <v>4</v>
      </c>
      <c r="C2325" s="20" t="s">
        <v>664</v>
      </c>
      <c r="D2325" s="21"/>
    </row>
    <row r="2326" spans="1:4" ht="12.75" customHeight="1" x14ac:dyDescent="0.2">
      <c r="A2326" s="21"/>
      <c r="B2326" s="3" t="s">
        <v>6</v>
      </c>
      <c r="C2326" s="20" t="s">
        <v>115</v>
      </c>
      <c r="D2326" s="21"/>
    </row>
    <row r="2327" spans="1:4" ht="12.75" customHeight="1" x14ac:dyDescent="0.2">
      <c r="A2327" s="21"/>
      <c r="B2327" s="3" t="s">
        <v>8</v>
      </c>
      <c r="C2327" s="20" t="s">
        <v>664</v>
      </c>
      <c r="D2327" s="21"/>
    </row>
    <row r="2328" spans="1:4" ht="12.75" customHeight="1" x14ac:dyDescent="0.2">
      <c r="A2328" s="21"/>
      <c r="B2328" s="3" t="s">
        <v>9</v>
      </c>
      <c r="C2328" s="20" t="s">
        <v>665</v>
      </c>
      <c r="D2328" s="21"/>
    </row>
    <row r="2329" spans="1:4" ht="12.75" customHeight="1" x14ac:dyDescent="0.2">
      <c r="A2329" s="21"/>
      <c r="B2329" s="3" t="s">
        <v>11</v>
      </c>
      <c r="C2329" s="20" t="s">
        <v>666</v>
      </c>
      <c r="D2329" s="21"/>
    </row>
    <row r="2330" spans="1:4" ht="12.75" customHeight="1" x14ac:dyDescent="0.2">
      <c r="A2330" s="21"/>
      <c r="B2330" s="3" t="s">
        <v>13</v>
      </c>
      <c r="C2330" s="20" t="s">
        <v>24</v>
      </c>
      <c r="D2330" s="21"/>
    </row>
    <row r="2331" spans="1:4" ht="12.75" customHeight="1" x14ac:dyDescent="0.2">
      <c r="A2331" s="21"/>
      <c r="B2331" s="3" t="s">
        <v>15</v>
      </c>
      <c r="C2331" s="20" t="s">
        <v>24</v>
      </c>
      <c r="D2331" s="21"/>
    </row>
    <row r="2332" spans="1:4" ht="12.75" customHeight="1" x14ac:dyDescent="0.2">
      <c r="A2332" s="21"/>
      <c r="B2332" s="3" t="s">
        <v>16</v>
      </c>
      <c r="C2332" s="20"/>
      <c r="D2332" s="21"/>
    </row>
    <row r="2333" spans="1:4" ht="12.75" customHeight="1" x14ac:dyDescent="0.2">
      <c r="A2333" s="21"/>
      <c r="B2333" s="3" t="s">
        <v>17</v>
      </c>
      <c r="C2333" s="20"/>
      <c r="D2333" s="21"/>
    </row>
    <row r="2334" spans="1:4" ht="12.75" customHeight="1" x14ac:dyDescent="0.2">
      <c r="A2334" s="21"/>
      <c r="B2334" s="20" t="s">
        <v>18</v>
      </c>
      <c r="C2334" s="4" t="s">
        <v>44</v>
      </c>
      <c r="D2334" s="6" t="str">
        <f>HYPERLINK("javascript:void(0)","wendír átokszóró")</f>
        <v>wendír átokszóró</v>
      </c>
    </row>
    <row r="2335" spans="1:4" ht="12.75" customHeight="1" x14ac:dyDescent="0.2">
      <c r="A2335" s="21"/>
      <c r="B2335" s="21"/>
      <c r="C2335" s="4" t="s">
        <v>331</v>
      </c>
      <c r="D2335" s="6" t="str">
        <f>HYPERLINK("javascript:void(0)","betüvető")</f>
        <v>betüvető</v>
      </c>
    </row>
    <row r="2336" spans="1:4" ht="12.75" customHeight="1" x14ac:dyDescent="0.2">
      <c r="A2336" s="21"/>
      <c r="B2336" s="21"/>
      <c r="C2336" s="4" t="s">
        <v>56</v>
      </c>
      <c r="D2336" s="6" t="str">
        <f>HYPERLINK("javascript:void(0)","pamacsprém")</f>
        <v>pamacsprém</v>
      </c>
    </row>
    <row r="2337" spans="1:4" ht="12.75" customHeight="1" x14ac:dyDescent="0.2">
      <c r="A2337" s="5"/>
      <c r="B2337" s="2"/>
      <c r="C2337" s="2"/>
      <c r="D2337" s="2"/>
    </row>
    <row r="2338" spans="1:4" ht="12.75" customHeight="1" x14ac:dyDescent="0.2">
      <c r="A2338" s="22" t="str">
        <f>HYPERLINK("javascript:void(0)","mengorni csúzli")</f>
        <v>mengorni csúzli</v>
      </c>
      <c r="B2338" s="21"/>
      <c r="C2338" s="21"/>
      <c r="D2338" s="21"/>
    </row>
    <row r="2339" spans="1:4" ht="12.75" customHeight="1" x14ac:dyDescent="0.2">
      <c r="A2339" s="20"/>
      <c r="B2339" s="2"/>
      <c r="C2339" s="2"/>
      <c r="D2339" s="2"/>
    </row>
    <row r="2340" spans="1:4" ht="12.75" customHeight="1" x14ac:dyDescent="0.2">
      <c r="A2340" s="21"/>
      <c r="B2340" s="3" t="s">
        <v>0</v>
      </c>
      <c r="C2340" s="20" t="s">
        <v>245</v>
      </c>
      <c r="D2340" s="21"/>
    </row>
    <row r="2341" spans="1:4" ht="12.75" customHeight="1" x14ac:dyDescent="0.2">
      <c r="A2341" s="21"/>
      <c r="B2341" s="3" t="s">
        <v>2</v>
      </c>
      <c r="C2341" s="20" t="s">
        <v>3</v>
      </c>
      <c r="D2341" s="21"/>
    </row>
    <row r="2342" spans="1:4" ht="12.75" customHeight="1" x14ac:dyDescent="0.2">
      <c r="A2342" s="21"/>
      <c r="B2342" s="3" t="s">
        <v>4</v>
      </c>
      <c r="C2342" s="20" t="s">
        <v>667</v>
      </c>
      <c r="D2342" s="21"/>
    </row>
    <row r="2343" spans="1:4" ht="12.75" customHeight="1" x14ac:dyDescent="0.2">
      <c r="A2343" s="21"/>
      <c r="B2343" s="3" t="s">
        <v>6</v>
      </c>
      <c r="C2343" s="20" t="s">
        <v>65</v>
      </c>
      <c r="D2343" s="21"/>
    </row>
    <row r="2344" spans="1:4" ht="12.75" customHeight="1" x14ac:dyDescent="0.2">
      <c r="A2344" s="21"/>
      <c r="B2344" s="3" t="s">
        <v>8</v>
      </c>
      <c r="C2344" s="20" t="s">
        <v>667</v>
      </c>
      <c r="D2344" s="21"/>
    </row>
    <row r="2345" spans="1:4" ht="12.75" customHeight="1" x14ac:dyDescent="0.2">
      <c r="A2345" s="21"/>
      <c r="B2345" s="3" t="s">
        <v>9</v>
      </c>
      <c r="C2345" s="20" t="s">
        <v>147</v>
      </c>
      <c r="D2345" s="21"/>
    </row>
    <row r="2346" spans="1:4" ht="12.75" customHeight="1" x14ac:dyDescent="0.2">
      <c r="A2346" s="21"/>
      <c r="B2346" s="3" t="s">
        <v>11</v>
      </c>
      <c r="C2346" s="20" t="s">
        <v>542</v>
      </c>
      <c r="D2346" s="21"/>
    </row>
    <row r="2347" spans="1:4" ht="12.75" customHeight="1" x14ac:dyDescent="0.2">
      <c r="A2347" s="21"/>
      <c r="B2347" s="3" t="s">
        <v>13</v>
      </c>
      <c r="C2347" s="20" t="s">
        <v>24</v>
      </c>
      <c r="D2347" s="21"/>
    </row>
    <row r="2348" spans="1:4" ht="12.75" customHeight="1" x14ac:dyDescent="0.2">
      <c r="A2348" s="21"/>
      <c r="B2348" s="3" t="s">
        <v>15</v>
      </c>
      <c r="C2348" s="20" t="s">
        <v>24</v>
      </c>
      <c r="D2348" s="21"/>
    </row>
    <row r="2349" spans="1:4" ht="12.75" customHeight="1" x14ac:dyDescent="0.2">
      <c r="A2349" s="21"/>
      <c r="B2349" s="3" t="s">
        <v>16</v>
      </c>
      <c r="C2349" s="20"/>
      <c r="D2349" s="21"/>
    </row>
    <row r="2350" spans="1:4" ht="12.75" customHeight="1" x14ac:dyDescent="0.2">
      <c r="A2350" s="21"/>
      <c r="B2350" s="3" t="s">
        <v>17</v>
      </c>
      <c r="C2350" s="20"/>
      <c r="D2350" s="21"/>
    </row>
    <row r="2351" spans="1:4" ht="12.75" customHeight="1" x14ac:dyDescent="0.2">
      <c r="A2351" s="21"/>
      <c r="B2351" s="20" t="s">
        <v>18</v>
      </c>
      <c r="C2351" s="4" t="s">
        <v>44</v>
      </c>
      <c r="D2351" s="6" t="str">
        <f>HYPERLINK("javascript:void(0)","mengorni halálosztó")</f>
        <v>mengorni halálosztó</v>
      </c>
    </row>
    <row r="2352" spans="1:4" ht="12.75" customHeight="1" x14ac:dyDescent="0.2">
      <c r="A2352" s="21"/>
      <c r="B2352" s="21"/>
      <c r="C2352" s="4" t="s">
        <v>668</v>
      </c>
      <c r="D2352" s="6" t="str">
        <f>HYPERLINK("javascript:void(0)","ámbra")</f>
        <v>ámbra</v>
      </c>
    </row>
    <row r="2353" spans="1:4" ht="12.75" customHeight="1" x14ac:dyDescent="0.2">
      <c r="A2353" s="21"/>
      <c r="B2353" s="21"/>
      <c r="C2353" s="4" t="s">
        <v>232</v>
      </c>
      <c r="D2353" s="6" t="str">
        <f>HYPERLINK("javascript:void(0)","kígyóborda")</f>
        <v>kígyóborda</v>
      </c>
    </row>
    <row r="2354" spans="1:4" ht="12.75" customHeight="1" x14ac:dyDescent="0.2">
      <c r="A2354" s="5"/>
      <c r="B2354" s="2"/>
      <c r="C2354" s="2"/>
      <c r="D2354" s="2"/>
    </row>
    <row r="2355" spans="1:4" ht="12.75" customHeight="1" x14ac:dyDescent="0.2">
      <c r="A2355" s="22" t="str">
        <f>HYPERLINK("javascript:void(0)","artini halálosztó")</f>
        <v>artini halálosztó</v>
      </c>
      <c r="B2355" s="21"/>
      <c r="C2355" s="21"/>
      <c r="D2355" s="21"/>
    </row>
    <row r="2356" spans="1:4" ht="12.75" customHeight="1" x14ac:dyDescent="0.2">
      <c r="A2356" s="20"/>
      <c r="B2356" s="2"/>
      <c r="C2356" s="2"/>
      <c r="D2356" s="2"/>
    </row>
    <row r="2357" spans="1:4" ht="12.75" customHeight="1" x14ac:dyDescent="0.2">
      <c r="A2357" s="21"/>
      <c r="B2357" s="3" t="s">
        <v>0</v>
      </c>
      <c r="C2357" s="20" t="s">
        <v>671</v>
      </c>
      <c r="D2357" s="21"/>
    </row>
    <row r="2358" spans="1:4" ht="12.75" customHeight="1" x14ac:dyDescent="0.2">
      <c r="A2358" s="21"/>
      <c r="B2358" s="3" t="s">
        <v>2</v>
      </c>
      <c r="C2358" s="20" t="s">
        <v>3</v>
      </c>
      <c r="D2358" s="21"/>
    </row>
    <row r="2359" spans="1:4" ht="12.75" customHeight="1" x14ac:dyDescent="0.2">
      <c r="A2359" s="21"/>
      <c r="B2359" s="3" t="s">
        <v>4</v>
      </c>
      <c r="C2359" s="20" t="s">
        <v>672</v>
      </c>
      <c r="D2359" s="21"/>
    </row>
    <row r="2360" spans="1:4" ht="12.75" customHeight="1" x14ac:dyDescent="0.2">
      <c r="A2360" s="21"/>
      <c r="B2360" s="3" t="s">
        <v>6</v>
      </c>
      <c r="C2360" s="20" t="s">
        <v>52</v>
      </c>
      <c r="D2360" s="21"/>
    </row>
    <row r="2361" spans="1:4" ht="12.75" customHeight="1" x14ac:dyDescent="0.2">
      <c r="A2361" s="21"/>
      <c r="B2361" s="3" t="s">
        <v>8</v>
      </c>
      <c r="C2361" s="20" t="s">
        <v>672</v>
      </c>
      <c r="D2361" s="21"/>
    </row>
    <row r="2362" spans="1:4" ht="12.75" customHeight="1" x14ac:dyDescent="0.2">
      <c r="A2362" s="21"/>
      <c r="B2362" s="3" t="s">
        <v>9</v>
      </c>
      <c r="C2362" s="20" t="s">
        <v>673</v>
      </c>
      <c r="D2362" s="21"/>
    </row>
    <row r="2363" spans="1:4" ht="12.75" customHeight="1" x14ac:dyDescent="0.2">
      <c r="A2363" s="21"/>
      <c r="B2363" s="3" t="s">
        <v>11</v>
      </c>
      <c r="C2363" s="20" t="s">
        <v>674</v>
      </c>
      <c r="D2363" s="21"/>
    </row>
    <row r="2364" spans="1:4" ht="12.75" customHeight="1" x14ac:dyDescent="0.2">
      <c r="A2364" s="21"/>
      <c r="B2364" s="3" t="s">
        <v>13</v>
      </c>
      <c r="C2364" s="20" t="s">
        <v>24</v>
      </c>
      <c r="D2364" s="21"/>
    </row>
    <row r="2365" spans="1:4" ht="12.75" customHeight="1" x14ac:dyDescent="0.2">
      <c r="A2365" s="21"/>
      <c r="B2365" s="3" t="s">
        <v>15</v>
      </c>
      <c r="C2365" s="20" t="s">
        <v>24</v>
      </c>
      <c r="D2365" s="21"/>
    </row>
    <row r="2366" spans="1:4" ht="12.75" customHeight="1" x14ac:dyDescent="0.2">
      <c r="A2366" s="21"/>
      <c r="B2366" s="3" t="s">
        <v>16</v>
      </c>
      <c r="C2366" s="20"/>
      <c r="D2366" s="21"/>
    </row>
    <row r="2367" spans="1:4" ht="12.75" customHeight="1" x14ac:dyDescent="0.2">
      <c r="A2367" s="21"/>
      <c r="B2367" s="3" t="s">
        <v>17</v>
      </c>
      <c r="C2367" s="20"/>
      <c r="D2367" s="21"/>
    </row>
    <row r="2368" spans="1:4" ht="12.75" customHeight="1" x14ac:dyDescent="0.2">
      <c r="A2368" s="21"/>
      <c r="B2368" s="20" t="s">
        <v>18</v>
      </c>
      <c r="C2368" s="4" t="s">
        <v>44</v>
      </c>
      <c r="D2368" s="6" t="str">
        <f>HYPERLINK("javascript:void(0)","artini átokszóró")</f>
        <v>artini átokszóró</v>
      </c>
    </row>
    <row r="2369" spans="1:4" ht="12.75" customHeight="1" x14ac:dyDescent="0.2">
      <c r="A2369" s="21"/>
      <c r="B2369" s="21"/>
      <c r="C2369" s="4" t="s">
        <v>117</v>
      </c>
      <c r="D2369" s="6" t="str">
        <f>HYPERLINK("javascript:void(0)","betüvető")</f>
        <v>betüvető</v>
      </c>
    </row>
    <row r="2370" spans="1:4" ht="12.75" customHeight="1" x14ac:dyDescent="0.2">
      <c r="A2370" s="21"/>
      <c r="B2370" s="21"/>
      <c r="C2370" s="4" t="s">
        <v>56</v>
      </c>
      <c r="D2370" s="6" t="str">
        <f>HYPERLINK("javascript:void(0)","lux")</f>
        <v>lux</v>
      </c>
    </row>
    <row r="2371" spans="1:4" ht="12.75" customHeight="1" x14ac:dyDescent="0.2">
      <c r="A2371" s="5"/>
      <c r="B2371" s="2"/>
      <c r="C2371" s="2"/>
      <c r="D2371" s="2"/>
    </row>
    <row r="2372" spans="1:4" ht="12.75" customHeight="1" x14ac:dyDescent="0.2">
      <c r="A2372" s="22" t="str">
        <f>HYPERLINK("javascript:void(0)","thordi halálosztó")</f>
        <v>thordi halálosztó</v>
      </c>
      <c r="B2372" s="21"/>
      <c r="C2372" s="21"/>
      <c r="D2372" s="21"/>
    </row>
    <row r="2373" spans="1:4" ht="12.75" customHeight="1" x14ac:dyDescent="0.2">
      <c r="A2373" s="20"/>
      <c r="B2373" s="2"/>
      <c r="C2373" s="2"/>
      <c r="D2373" s="2"/>
    </row>
    <row r="2374" spans="1:4" ht="12.75" customHeight="1" x14ac:dyDescent="0.2">
      <c r="A2374" s="21"/>
      <c r="B2374" s="3" t="s">
        <v>0</v>
      </c>
      <c r="C2374" s="20" t="s">
        <v>65</v>
      </c>
      <c r="D2374" s="21"/>
    </row>
    <row r="2375" spans="1:4" ht="12.75" customHeight="1" x14ac:dyDescent="0.2">
      <c r="A2375" s="21"/>
      <c r="B2375" s="3" t="s">
        <v>2</v>
      </c>
      <c r="C2375" s="20" t="s">
        <v>3</v>
      </c>
      <c r="D2375" s="21"/>
    </row>
    <row r="2376" spans="1:4" ht="12.75" customHeight="1" x14ac:dyDescent="0.2">
      <c r="A2376" s="21"/>
      <c r="B2376" s="3" t="s">
        <v>4</v>
      </c>
      <c r="C2376" s="20" t="s">
        <v>677</v>
      </c>
      <c r="D2376" s="21"/>
    </row>
    <row r="2377" spans="1:4" ht="12.75" customHeight="1" x14ac:dyDescent="0.2">
      <c r="A2377" s="21"/>
      <c r="B2377" s="3" t="s">
        <v>6</v>
      </c>
      <c r="C2377" s="20" t="s">
        <v>392</v>
      </c>
      <c r="D2377" s="21"/>
    </row>
    <row r="2378" spans="1:4" ht="12.75" customHeight="1" x14ac:dyDescent="0.2">
      <c r="A2378" s="21"/>
      <c r="B2378" s="3" t="s">
        <v>8</v>
      </c>
      <c r="C2378" s="20" t="s">
        <v>677</v>
      </c>
      <c r="D2378" s="21"/>
    </row>
    <row r="2379" spans="1:4" ht="12.75" customHeight="1" x14ac:dyDescent="0.2">
      <c r="A2379" s="21"/>
      <c r="B2379" s="3" t="s">
        <v>9</v>
      </c>
      <c r="C2379" s="20" t="s">
        <v>678</v>
      </c>
      <c r="D2379" s="21"/>
    </row>
    <row r="2380" spans="1:4" ht="12.75" customHeight="1" x14ac:dyDescent="0.2">
      <c r="A2380" s="21"/>
      <c r="B2380" s="3" t="s">
        <v>11</v>
      </c>
      <c r="C2380" s="20" t="s">
        <v>679</v>
      </c>
      <c r="D2380" s="21"/>
    </row>
    <row r="2381" spans="1:4" ht="12.75" customHeight="1" x14ac:dyDescent="0.2">
      <c r="A2381" s="21"/>
      <c r="B2381" s="3" t="s">
        <v>13</v>
      </c>
      <c r="C2381" s="20" t="s">
        <v>24</v>
      </c>
      <c r="D2381" s="21"/>
    </row>
    <row r="2382" spans="1:4" ht="12.75" customHeight="1" x14ac:dyDescent="0.2">
      <c r="A2382" s="21"/>
      <c r="B2382" s="3" t="s">
        <v>15</v>
      </c>
      <c r="C2382" s="20" t="s">
        <v>24</v>
      </c>
      <c r="D2382" s="21"/>
    </row>
    <row r="2383" spans="1:4" ht="12.75" customHeight="1" x14ac:dyDescent="0.2">
      <c r="A2383" s="21"/>
      <c r="B2383" s="3" t="s">
        <v>16</v>
      </c>
      <c r="C2383" s="20"/>
      <c r="D2383" s="21"/>
    </row>
    <row r="2384" spans="1:4" ht="12.75" customHeight="1" x14ac:dyDescent="0.2">
      <c r="A2384" s="21"/>
      <c r="B2384" s="3" t="s">
        <v>17</v>
      </c>
      <c r="C2384" s="20"/>
      <c r="D2384" s="21"/>
    </row>
    <row r="2385" spans="1:4" ht="12.75" customHeight="1" x14ac:dyDescent="0.2">
      <c r="A2385" s="21"/>
      <c r="B2385" s="20" t="s">
        <v>18</v>
      </c>
      <c r="C2385" s="4" t="s">
        <v>44</v>
      </c>
      <c r="D2385" s="6" t="str">
        <f>HYPERLINK("javascript:void(0)","thordi átokszóró")</f>
        <v>thordi átokszóró</v>
      </c>
    </row>
    <row r="2386" spans="1:4" ht="12.75" customHeight="1" x14ac:dyDescent="0.2">
      <c r="A2386" s="21"/>
      <c r="B2386" s="21"/>
      <c r="C2386" s="4" t="s">
        <v>102</v>
      </c>
      <c r="D2386" s="6" t="str">
        <f>HYPERLINK("javascript:void(0)","betüvető")</f>
        <v>betüvető</v>
      </c>
    </row>
    <row r="2387" spans="1:4" ht="12.75" customHeight="1" x14ac:dyDescent="0.2">
      <c r="A2387" s="21"/>
      <c r="B2387" s="21"/>
      <c r="C2387" s="4" t="s">
        <v>56</v>
      </c>
      <c r="D2387" s="6" t="str">
        <f>HYPERLINK("javascript:void(0)","tincs")</f>
        <v>tincs</v>
      </c>
    </row>
    <row r="2388" spans="1:4" ht="12.75" customHeight="1" x14ac:dyDescent="0.2">
      <c r="A2388" s="5"/>
      <c r="B2388" s="2"/>
      <c r="C2388" s="2"/>
      <c r="D2388" s="2"/>
    </row>
    <row r="2389" spans="1:4" ht="12.75" customHeight="1" x14ac:dyDescent="0.2">
      <c r="A2389" s="22" t="str">
        <f>HYPERLINK("javascript:void(0)","fotoacél halálosztó")</f>
        <v>fotoacél halálosztó</v>
      </c>
      <c r="B2389" s="21"/>
      <c r="C2389" s="21"/>
      <c r="D2389" s="21"/>
    </row>
    <row r="2390" spans="1:4" ht="12.75" customHeight="1" x14ac:dyDescent="0.2">
      <c r="A2390" s="20"/>
      <c r="B2390" s="2"/>
      <c r="C2390" s="2"/>
      <c r="D2390" s="2"/>
    </row>
    <row r="2391" spans="1:4" ht="12.75" customHeight="1" x14ac:dyDescent="0.2">
      <c r="A2391" s="21"/>
      <c r="B2391" s="3" t="s">
        <v>0</v>
      </c>
      <c r="C2391" s="20" t="s">
        <v>680</v>
      </c>
      <c r="D2391" s="21"/>
    </row>
    <row r="2392" spans="1:4" ht="12.75" customHeight="1" x14ac:dyDescent="0.2">
      <c r="A2392" s="21"/>
      <c r="B2392" s="3" t="s">
        <v>2</v>
      </c>
      <c r="C2392" s="20" t="s">
        <v>3</v>
      </c>
      <c r="D2392" s="21"/>
    </row>
    <row r="2393" spans="1:4" ht="12.75" customHeight="1" x14ac:dyDescent="0.2">
      <c r="A2393" s="21"/>
      <c r="B2393" s="3" t="s">
        <v>4</v>
      </c>
      <c r="C2393" s="20" t="s">
        <v>681</v>
      </c>
      <c r="D2393" s="21"/>
    </row>
    <row r="2394" spans="1:4" ht="12.75" customHeight="1" x14ac:dyDescent="0.2">
      <c r="A2394" s="21"/>
      <c r="B2394" s="3" t="s">
        <v>6</v>
      </c>
      <c r="C2394" s="20" t="s">
        <v>298</v>
      </c>
      <c r="D2394" s="21"/>
    </row>
    <row r="2395" spans="1:4" ht="12.75" customHeight="1" x14ac:dyDescent="0.2">
      <c r="A2395" s="21"/>
      <c r="B2395" s="3" t="s">
        <v>8</v>
      </c>
      <c r="C2395" s="20" t="s">
        <v>681</v>
      </c>
      <c r="D2395" s="21"/>
    </row>
    <row r="2396" spans="1:4" ht="12.75" customHeight="1" x14ac:dyDescent="0.2">
      <c r="A2396" s="21"/>
      <c r="B2396" s="3" t="s">
        <v>9</v>
      </c>
      <c r="C2396" s="20" t="s">
        <v>84</v>
      </c>
      <c r="D2396" s="21"/>
    </row>
    <row r="2397" spans="1:4" ht="12.75" customHeight="1" x14ac:dyDescent="0.2">
      <c r="A2397" s="21"/>
      <c r="B2397" s="3" t="s">
        <v>11</v>
      </c>
      <c r="C2397" s="20" t="s">
        <v>684</v>
      </c>
      <c r="D2397" s="21"/>
    </row>
    <row r="2398" spans="1:4" ht="12.75" customHeight="1" x14ac:dyDescent="0.2">
      <c r="A2398" s="21"/>
      <c r="B2398" s="3" t="s">
        <v>13</v>
      </c>
      <c r="C2398" s="20" t="s">
        <v>24</v>
      </c>
      <c r="D2398" s="21"/>
    </row>
    <row r="2399" spans="1:4" ht="12.75" customHeight="1" x14ac:dyDescent="0.2">
      <c r="A2399" s="21"/>
      <c r="B2399" s="3" t="s">
        <v>15</v>
      </c>
      <c r="C2399" s="20" t="s">
        <v>24</v>
      </c>
      <c r="D2399" s="21"/>
    </row>
    <row r="2400" spans="1:4" ht="12.75" customHeight="1" x14ac:dyDescent="0.2">
      <c r="A2400" s="21"/>
      <c r="B2400" s="3" t="s">
        <v>16</v>
      </c>
      <c r="C2400" s="20"/>
      <c r="D2400" s="21"/>
    </row>
    <row r="2401" spans="1:4" ht="12.75" customHeight="1" x14ac:dyDescent="0.2">
      <c r="A2401" s="21"/>
      <c r="B2401" s="3" t="s">
        <v>17</v>
      </c>
      <c r="C2401" s="20"/>
      <c r="D2401" s="21"/>
    </row>
    <row r="2402" spans="1:4" ht="12.75" customHeight="1" x14ac:dyDescent="0.2">
      <c r="A2402" s="21"/>
      <c r="B2402" s="20" t="s">
        <v>18</v>
      </c>
      <c r="C2402" s="4" t="s">
        <v>44</v>
      </c>
      <c r="D2402" s="6" t="str">
        <f>HYPERLINK("javascript:void(0)","fotoacél átokszóró")</f>
        <v>fotoacél átokszóró</v>
      </c>
    </row>
    <row r="2403" spans="1:4" ht="12.75" customHeight="1" x14ac:dyDescent="0.2">
      <c r="A2403" s="21"/>
      <c r="B2403" s="21"/>
      <c r="C2403" s="4" t="s">
        <v>132</v>
      </c>
      <c r="D2403" s="6" t="str">
        <f>HYPERLINK("javascript:void(0)","betüvető")</f>
        <v>betüvető</v>
      </c>
    </row>
    <row r="2404" spans="1:4" ht="12.75" customHeight="1" x14ac:dyDescent="0.2">
      <c r="A2404" s="21"/>
      <c r="B2404" s="21"/>
      <c r="C2404" s="4" t="s">
        <v>56</v>
      </c>
      <c r="D2404" s="6" t="str">
        <f>HYPERLINK("javascript:void(0)","fúrófej")</f>
        <v>fúrófej</v>
      </c>
    </row>
    <row r="2405" spans="1:4" ht="12.75" customHeight="1" x14ac:dyDescent="0.2">
      <c r="A2405" s="5"/>
      <c r="B2405" s="2"/>
      <c r="C2405" s="2"/>
      <c r="D2405" s="2"/>
    </row>
    <row r="2406" spans="1:4" ht="12.75" customHeight="1" x14ac:dyDescent="0.2">
      <c r="A2406" s="22" t="str">
        <f>HYPERLINK("javascript:void(0)","skivei csúzli")</f>
        <v>skivei csúzli</v>
      </c>
      <c r="B2406" s="21"/>
      <c r="C2406" s="21"/>
      <c r="D2406" s="21"/>
    </row>
    <row r="2407" spans="1:4" ht="12.75" customHeight="1" x14ac:dyDescent="0.2">
      <c r="A2407" s="20"/>
      <c r="B2407" s="2"/>
      <c r="C2407" s="2"/>
      <c r="D2407" s="2"/>
    </row>
    <row r="2408" spans="1:4" ht="12.75" customHeight="1" x14ac:dyDescent="0.2">
      <c r="A2408" s="21"/>
      <c r="B2408" s="3" t="s">
        <v>0</v>
      </c>
      <c r="C2408" s="20" t="s">
        <v>680</v>
      </c>
      <c r="D2408" s="21"/>
    </row>
    <row r="2409" spans="1:4" ht="12.75" customHeight="1" x14ac:dyDescent="0.2">
      <c r="A2409" s="21"/>
      <c r="B2409" s="3" t="s">
        <v>2</v>
      </c>
      <c r="C2409" s="20" t="s">
        <v>3</v>
      </c>
      <c r="D2409" s="21"/>
    </row>
    <row r="2410" spans="1:4" ht="12.75" customHeight="1" x14ac:dyDescent="0.2">
      <c r="A2410" s="21"/>
      <c r="B2410" s="3" t="s">
        <v>4</v>
      </c>
      <c r="C2410" s="20" t="s">
        <v>686</v>
      </c>
      <c r="D2410" s="21"/>
    </row>
    <row r="2411" spans="1:4" ht="12.75" customHeight="1" x14ac:dyDescent="0.2">
      <c r="A2411" s="21"/>
      <c r="B2411" s="3" t="s">
        <v>6</v>
      </c>
      <c r="C2411" s="20" t="s">
        <v>65</v>
      </c>
      <c r="D2411" s="21"/>
    </row>
    <row r="2412" spans="1:4" ht="12.75" customHeight="1" x14ac:dyDescent="0.2">
      <c r="A2412" s="21"/>
      <c r="B2412" s="3" t="s">
        <v>8</v>
      </c>
      <c r="C2412" s="20" t="s">
        <v>686</v>
      </c>
      <c r="D2412" s="21"/>
    </row>
    <row r="2413" spans="1:4" ht="12.75" customHeight="1" x14ac:dyDescent="0.2">
      <c r="A2413" s="21"/>
      <c r="B2413" s="3" t="s">
        <v>9</v>
      </c>
      <c r="C2413" s="20" t="s">
        <v>147</v>
      </c>
      <c r="D2413" s="21"/>
    </row>
    <row r="2414" spans="1:4" ht="12.75" customHeight="1" x14ac:dyDescent="0.2">
      <c r="A2414" s="21"/>
      <c r="B2414" s="3" t="s">
        <v>11</v>
      </c>
      <c r="C2414" s="20" t="s">
        <v>688</v>
      </c>
      <c r="D2414" s="21"/>
    </row>
    <row r="2415" spans="1:4" ht="12.75" customHeight="1" x14ac:dyDescent="0.2">
      <c r="A2415" s="21"/>
      <c r="B2415" s="3" t="s">
        <v>13</v>
      </c>
      <c r="C2415" s="20" t="s">
        <v>24</v>
      </c>
      <c r="D2415" s="21"/>
    </row>
    <row r="2416" spans="1:4" ht="12.75" customHeight="1" x14ac:dyDescent="0.2">
      <c r="A2416" s="21"/>
      <c r="B2416" s="3" t="s">
        <v>15</v>
      </c>
      <c r="C2416" s="20" t="s">
        <v>24</v>
      </c>
      <c r="D2416" s="21"/>
    </row>
    <row r="2417" spans="1:4" ht="12.75" customHeight="1" x14ac:dyDescent="0.2">
      <c r="A2417" s="21"/>
      <c r="B2417" s="3" t="s">
        <v>16</v>
      </c>
      <c r="C2417" s="20"/>
      <c r="D2417" s="21"/>
    </row>
    <row r="2418" spans="1:4" ht="12.75" customHeight="1" x14ac:dyDescent="0.2">
      <c r="A2418" s="21"/>
      <c r="B2418" s="3" t="s">
        <v>17</v>
      </c>
      <c r="C2418" s="20"/>
      <c r="D2418" s="21"/>
    </row>
    <row r="2419" spans="1:4" ht="12.75" customHeight="1" x14ac:dyDescent="0.2">
      <c r="A2419" s="21"/>
      <c r="B2419" s="20" t="s">
        <v>18</v>
      </c>
      <c r="C2419" s="4" t="s">
        <v>44</v>
      </c>
      <c r="D2419" s="6" t="str">
        <f>HYPERLINK("javascript:void(0)","skivei halálosztó")</f>
        <v>skivei halálosztó</v>
      </c>
    </row>
    <row r="2420" spans="1:4" ht="12.75" customHeight="1" x14ac:dyDescent="0.2">
      <c r="A2420" s="21"/>
      <c r="B2420" s="21"/>
      <c r="C2420" s="4" t="s">
        <v>139</v>
      </c>
      <c r="D2420" s="6" t="str">
        <f>HYPERLINK("javascript:void(0)","robbanófej")</f>
        <v>robbanófej</v>
      </c>
    </row>
    <row r="2421" spans="1:4" ht="12.75" customHeight="1" x14ac:dyDescent="0.2">
      <c r="A2421" s="21"/>
      <c r="B2421" s="21"/>
      <c r="C2421" s="4" t="s">
        <v>55</v>
      </c>
      <c r="D2421" s="6" t="str">
        <f>HYPERLINK("javascript:void(0)","lidérclámpás")</f>
        <v>lidérclámpás</v>
      </c>
    </row>
    <row r="2422" spans="1:4" ht="12.75" customHeight="1" x14ac:dyDescent="0.2">
      <c r="A2422" s="5"/>
      <c r="B2422" s="2"/>
      <c r="C2422" s="2"/>
      <c r="D2422" s="2"/>
    </row>
    <row r="2423" spans="1:4" ht="12.75" customHeight="1" x14ac:dyDescent="0.2">
      <c r="A2423" s="22" t="str">
        <f>HYPERLINK("javascript:void(0)","magnetoacél halálosztó")</f>
        <v>magnetoacél halálosztó</v>
      </c>
      <c r="B2423" s="21"/>
      <c r="C2423" s="21"/>
      <c r="D2423" s="21"/>
    </row>
    <row r="2424" spans="1:4" ht="12.75" customHeight="1" x14ac:dyDescent="0.2">
      <c r="A2424" s="20"/>
      <c r="B2424" s="2"/>
      <c r="C2424" s="2"/>
      <c r="D2424" s="2"/>
    </row>
    <row r="2425" spans="1:4" ht="12.75" customHeight="1" x14ac:dyDescent="0.2">
      <c r="A2425" s="21"/>
      <c r="B2425" s="3" t="s">
        <v>0</v>
      </c>
      <c r="C2425" s="20" t="s">
        <v>690</v>
      </c>
      <c r="D2425" s="21"/>
    </row>
    <row r="2426" spans="1:4" ht="12.75" customHeight="1" x14ac:dyDescent="0.2">
      <c r="A2426" s="21"/>
      <c r="B2426" s="3" t="s">
        <v>2</v>
      </c>
      <c r="C2426" s="20" t="s">
        <v>3</v>
      </c>
      <c r="D2426" s="21"/>
    </row>
    <row r="2427" spans="1:4" ht="12.75" customHeight="1" x14ac:dyDescent="0.2">
      <c r="A2427" s="21"/>
      <c r="B2427" s="3" t="s">
        <v>4</v>
      </c>
      <c r="C2427" s="20" t="s">
        <v>691</v>
      </c>
      <c r="D2427" s="21"/>
    </row>
    <row r="2428" spans="1:4" ht="12.75" customHeight="1" x14ac:dyDescent="0.2">
      <c r="A2428" s="21"/>
      <c r="B2428" s="3" t="s">
        <v>6</v>
      </c>
      <c r="C2428" s="20" t="s">
        <v>178</v>
      </c>
      <c r="D2428" s="21"/>
    </row>
    <row r="2429" spans="1:4" ht="12.75" customHeight="1" x14ac:dyDescent="0.2">
      <c r="A2429" s="21"/>
      <c r="B2429" s="3" t="s">
        <v>8</v>
      </c>
      <c r="C2429" s="20" t="s">
        <v>691</v>
      </c>
      <c r="D2429" s="21"/>
    </row>
    <row r="2430" spans="1:4" ht="12.75" customHeight="1" x14ac:dyDescent="0.2">
      <c r="A2430" s="21"/>
      <c r="B2430" s="3" t="s">
        <v>9</v>
      </c>
      <c r="C2430" s="20" t="s">
        <v>692</v>
      </c>
      <c r="D2430" s="21"/>
    </row>
    <row r="2431" spans="1:4" ht="12.75" customHeight="1" x14ac:dyDescent="0.2">
      <c r="A2431" s="21"/>
      <c r="B2431" s="3" t="s">
        <v>11</v>
      </c>
      <c r="C2431" s="20" t="s">
        <v>693</v>
      </c>
      <c r="D2431" s="21"/>
    </row>
    <row r="2432" spans="1:4" ht="12.75" customHeight="1" x14ac:dyDescent="0.2">
      <c r="A2432" s="21"/>
      <c r="B2432" s="3" t="s">
        <v>13</v>
      </c>
      <c r="C2432" s="20" t="s">
        <v>24</v>
      </c>
      <c r="D2432" s="21"/>
    </row>
    <row r="2433" spans="1:4" ht="12.75" customHeight="1" x14ac:dyDescent="0.2">
      <c r="A2433" s="21"/>
      <c r="B2433" s="3" t="s">
        <v>15</v>
      </c>
      <c r="C2433" s="20" t="s">
        <v>24</v>
      </c>
      <c r="D2433" s="21"/>
    </row>
    <row r="2434" spans="1:4" ht="12.75" customHeight="1" x14ac:dyDescent="0.2">
      <c r="A2434" s="21"/>
      <c r="B2434" s="3" t="s">
        <v>16</v>
      </c>
      <c r="C2434" s="20"/>
      <c r="D2434" s="21"/>
    </row>
    <row r="2435" spans="1:4" ht="12.75" customHeight="1" x14ac:dyDescent="0.2">
      <c r="A2435" s="21"/>
      <c r="B2435" s="3" t="s">
        <v>17</v>
      </c>
      <c r="C2435" s="20"/>
      <c r="D2435" s="21"/>
    </row>
    <row r="2436" spans="1:4" ht="25.5" customHeight="1" x14ac:dyDescent="0.2">
      <c r="A2436" s="21"/>
      <c r="B2436" s="20" t="s">
        <v>18</v>
      </c>
      <c r="C2436" s="4" t="s">
        <v>44</v>
      </c>
      <c r="D2436" s="6" t="str">
        <f>HYPERLINK("javascript:void(0)","magnetoacél átokszóró")</f>
        <v>magnetoacél átokszóró</v>
      </c>
    </row>
    <row r="2437" spans="1:4" ht="12.75" customHeight="1" x14ac:dyDescent="0.2">
      <c r="A2437" s="21"/>
      <c r="B2437" s="21"/>
      <c r="C2437" s="4" t="s">
        <v>98</v>
      </c>
      <c r="D2437" s="6" t="str">
        <f>HYPERLINK("javascript:void(0)","betüvető")</f>
        <v>betüvető</v>
      </c>
    </row>
    <row r="2438" spans="1:4" ht="12.75" customHeight="1" x14ac:dyDescent="0.2">
      <c r="A2438" s="21"/>
      <c r="B2438" s="21"/>
      <c r="C2438" s="4" t="s">
        <v>56</v>
      </c>
      <c r="D2438" s="6" t="str">
        <f>HYPERLINK("javascript:void(0)","hőgolyó")</f>
        <v>hőgolyó</v>
      </c>
    </row>
    <row r="2439" spans="1:4" ht="12.75" customHeight="1" x14ac:dyDescent="0.2">
      <c r="A2439" s="5"/>
      <c r="B2439" s="2"/>
      <c r="C2439" s="2"/>
      <c r="D2439" s="2"/>
    </row>
    <row r="2440" spans="1:4" ht="12.75" customHeight="1" x14ac:dyDescent="0.2">
      <c r="A2440" s="22" t="str">
        <f>HYPERLINK("javascript:void(0)","parszi csúzli")</f>
        <v>parszi csúzli</v>
      </c>
      <c r="B2440" s="21"/>
      <c r="C2440" s="21"/>
      <c r="D2440" s="21"/>
    </row>
    <row r="2441" spans="1:4" ht="12.75" customHeight="1" x14ac:dyDescent="0.2">
      <c r="A2441" s="20"/>
      <c r="B2441" s="2"/>
      <c r="C2441" s="2"/>
      <c r="D2441" s="2"/>
    </row>
    <row r="2442" spans="1:4" ht="12.75" customHeight="1" x14ac:dyDescent="0.2">
      <c r="A2442" s="21"/>
      <c r="B2442" s="3" t="s">
        <v>0</v>
      </c>
      <c r="C2442" s="20" t="s">
        <v>690</v>
      </c>
      <c r="D2442" s="21"/>
    </row>
    <row r="2443" spans="1:4" ht="12.75" customHeight="1" x14ac:dyDescent="0.2">
      <c r="A2443" s="21"/>
      <c r="B2443" s="3" t="s">
        <v>2</v>
      </c>
      <c r="C2443" s="20" t="s">
        <v>3</v>
      </c>
      <c r="D2443" s="21"/>
    </row>
    <row r="2444" spans="1:4" ht="12.75" customHeight="1" x14ac:dyDescent="0.2">
      <c r="A2444" s="21"/>
      <c r="B2444" s="3" t="s">
        <v>4</v>
      </c>
      <c r="C2444" s="20" t="s">
        <v>696</v>
      </c>
      <c r="D2444" s="21"/>
    </row>
    <row r="2445" spans="1:4" ht="12.75" customHeight="1" x14ac:dyDescent="0.2">
      <c r="A2445" s="21"/>
      <c r="B2445" s="3" t="s">
        <v>6</v>
      </c>
      <c r="C2445" s="20" t="s">
        <v>65</v>
      </c>
      <c r="D2445" s="21"/>
    </row>
    <row r="2446" spans="1:4" ht="12.75" customHeight="1" x14ac:dyDescent="0.2">
      <c r="A2446" s="21"/>
      <c r="B2446" s="3" t="s">
        <v>8</v>
      </c>
      <c r="C2446" s="20" t="s">
        <v>696</v>
      </c>
      <c r="D2446" s="21"/>
    </row>
    <row r="2447" spans="1:4" ht="12.75" customHeight="1" x14ac:dyDescent="0.2">
      <c r="A2447" s="21"/>
      <c r="B2447" s="3" t="s">
        <v>9</v>
      </c>
      <c r="C2447" s="20" t="s">
        <v>147</v>
      </c>
      <c r="D2447" s="21"/>
    </row>
    <row r="2448" spans="1:4" ht="12.75" customHeight="1" x14ac:dyDescent="0.2">
      <c r="A2448" s="21"/>
      <c r="B2448" s="3" t="s">
        <v>11</v>
      </c>
      <c r="C2448" s="20" t="s">
        <v>566</v>
      </c>
      <c r="D2448" s="21"/>
    </row>
    <row r="2449" spans="1:4" ht="12.75" customHeight="1" x14ac:dyDescent="0.2">
      <c r="A2449" s="21"/>
      <c r="B2449" s="3" t="s">
        <v>13</v>
      </c>
      <c r="C2449" s="20" t="s">
        <v>24</v>
      </c>
      <c r="D2449" s="21"/>
    </row>
    <row r="2450" spans="1:4" ht="12.75" customHeight="1" x14ac:dyDescent="0.2">
      <c r="A2450" s="21"/>
      <c r="B2450" s="3" t="s">
        <v>15</v>
      </c>
      <c r="C2450" s="20" t="s">
        <v>24</v>
      </c>
      <c r="D2450" s="21"/>
    </row>
    <row r="2451" spans="1:4" ht="12.75" customHeight="1" x14ac:dyDescent="0.2">
      <c r="A2451" s="21"/>
      <c r="B2451" s="3" t="s">
        <v>16</v>
      </c>
      <c r="C2451" s="20"/>
      <c r="D2451" s="21"/>
    </row>
    <row r="2452" spans="1:4" ht="12.75" customHeight="1" x14ac:dyDescent="0.2">
      <c r="A2452" s="21"/>
      <c r="B2452" s="3" t="s">
        <v>17</v>
      </c>
      <c r="C2452" s="20"/>
      <c r="D2452" s="21"/>
    </row>
    <row r="2453" spans="1:4" ht="12.75" customHeight="1" x14ac:dyDescent="0.2">
      <c r="A2453" s="21"/>
      <c r="B2453" s="20" t="s">
        <v>18</v>
      </c>
      <c r="C2453" s="4" t="s">
        <v>44</v>
      </c>
      <c r="D2453" s="6" t="str">
        <f>HYPERLINK("javascript:void(0)","parszi halálosztó")</f>
        <v>parszi halálosztó</v>
      </c>
    </row>
    <row r="2454" spans="1:4" ht="12.75" customHeight="1" x14ac:dyDescent="0.2">
      <c r="A2454" s="21"/>
      <c r="B2454" s="21"/>
      <c r="C2454" s="4" t="s">
        <v>316</v>
      </c>
      <c r="D2454" s="6" t="str">
        <f>HYPERLINK("javascript:void(0)","harmatcsepp")</f>
        <v>harmatcsepp</v>
      </c>
    </row>
    <row r="2455" spans="1:4" ht="12.75" customHeight="1" x14ac:dyDescent="0.2">
      <c r="A2455" s="21"/>
      <c r="B2455" s="21"/>
      <c r="C2455" s="4" t="s">
        <v>55</v>
      </c>
      <c r="D2455" s="6" t="str">
        <f>HYPERLINK("javascript:void(0)","démonamulett")</f>
        <v>démonamulett</v>
      </c>
    </row>
    <row r="2456" spans="1:4" ht="12.75" customHeight="1" x14ac:dyDescent="0.2">
      <c r="A2456" s="5"/>
      <c r="B2456" s="2"/>
      <c r="C2456" s="2"/>
      <c r="D2456" s="2"/>
    </row>
    <row r="2457" spans="1:4" ht="12.75" customHeight="1" x14ac:dyDescent="0.2">
      <c r="A2457" s="22" t="str">
        <f>HYPERLINK("javascript:void(0)","helioacél halálosztó")</f>
        <v>helioacél halálosztó</v>
      </c>
      <c r="B2457" s="21"/>
      <c r="C2457" s="21"/>
      <c r="D2457" s="21"/>
    </row>
    <row r="2458" spans="1:4" ht="12.75" customHeight="1" x14ac:dyDescent="0.2">
      <c r="A2458" s="20"/>
      <c r="B2458" s="2"/>
      <c r="C2458" s="2"/>
      <c r="D2458" s="2"/>
    </row>
    <row r="2459" spans="1:4" ht="12.75" customHeight="1" x14ac:dyDescent="0.2">
      <c r="A2459" s="21"/>
      <c r="B2459" s="3" t="s">
        <v>0</v>
      </c>
      <c r="C2459" s="20" t="s">
        <v>699</v>
      </c>
      <c r="D2459" s="21"/>
    </row>
    <row r="2460" spans="1:4" ht="12.75" customHeight="1" x14ac:dyDescent="0.2">
      <c r="A2460" s="21"/>
      <c r="B2460" s="3" t="s">
        <v>2</v>
      </c>
      <c r="C2460" s="20" t="s">
        <v>3</v>
      </c>
      <c r="D2460" s="21"/>
    </row>
    <row r="2461" spans="1:4" ht="12.75" customHeight="1" x14ac:dyDescent="0.2">
      <c r="A2461" s="21"/>
      <c r="B2461" s="3" t="s">
        <v>4</v>
      </c>
      <c r="C2461" s="20" t="s">
        <v>700</v>
      </c>
      <c r="D2461" s="21"/>
    </row>
    <row r="2462" spans="1:4" ht="12.75" customHeight="1" x14ac:dyDescent="0.2">
      <c r="A2462" s="21"/>
      <c r="B2462" s="3" t="s">
        <v>6</v>
      </c>
      <c r="C2462" s="20" t="s">
        <v>115</v>
      </c>
      <c r="D2462" s="21"/>
    </row>
    <row r="2463" spans="1:4" ht="12.75" customHeight="1" x14ac:dyDescent="0.2">
      <c r="A2463" s="21"/>
      <c r="B2463" s="3" t="s">
        <v>8</v>
      </c>
      <c r="C2463" s="20" t="s">
        <v>700</v>
      </c>
      <c r="D2463" s="21"/>
    </row>
    <row r="2464" spans="1:4" ht="12.75" customHeight="1" x14ac:dyDescent="0.2">
      <c r="A2464" s="21"/>
      <c r="B2464" s="3" t="s">
        <v>9</v>
      </c>
      <c r="C2464" s="20" t="s">
        <v>701</v>
      </c>
      <c r="D2464" s="21"/>
    </row>
    <row r="2465" spans="1:4" ht="12.75" customHeight="1" x14ac:dyDescent="0.2">
      <c r="A2465" s="21"/>
      <c r="B2465" s="3" t="s">
        <v>11</v>
      </c>
      <c r="C2465" s="20" t="s">
        <v>702</v>
      </c>
      <c r="D2465" s="21"/>
    </row>
    <row r="2466" spans="1:4" ht="12.75" customHeight="1" x14ac:dyDescent="0.2">
      <c r="A2466" s="21"/>
      <c r="B2466" s="3" t="s">
        <v>13</v>
      </c>
      <c r="C2466" s="20" t="s">
        <v>24</v>
      </c>
      <c r="D2466" s="21"/>
    </row>
    <row r="2467" spans="1:4" ht="12.75" customHeight="1" x14ac:dyDescent="0.2">
      <c r="A2467" s="21"/>
      <c r="B2467" s="3" t="s">
        <v>15</v>
      </c>
      <c r="C2467" s="20" t="s">
        <v>24</v>
      </c>
      <c r="D2467" s="21"/>
    </row>
    <row r="2468" spans="1:4" ht="12.75" customHeight="1" x14ac:dyDescent="0.2">
      <c r="A2468" s="21"/>
      <c r="B2468" s="3" t="s">
        <v>16</v>
      </c>
      <c r="C2468" s="20"/>
      <c r="D2468" s="21"/>
    </row>
    <row r="2469" spans="1:4" ht="12.75" customHeight="1" x14ac:dyDescent="0.2">
      <c r="A2469" s="21"/>
      <c r="B2469" s="3" t="s">
        <v>17</v>
      </c>
      <c r="C2469" s="20"/>
      <c r="D2469" s="21"/>
    </row>
    <row r="2470" spans="1:4" ht="12.75" customHeight="1" x14ac:dyDescent="0.2">
      <c r="A2470" s="21"/>
      <c r="B2470" s="20" t="s">
        <v>18</v>
      </c>
      <c r="C2470" s="4" t="s">
        <v>44</v>
      </c>
      <c r="D2470" s="6" t="str">
        <f>HYPERLINK("javascript:void(0)","helioacél átokszóró")</f>
        <v>helioacél átokszóró</v>
      </c>
    </row>
    <row r="2471" spans="1:4" ht="12.75" customHeight="1" x14ac:dyDescent="0.2">
      <c r="A2471" s="21"/>
      <c r="B2471" s="21"/>
      <c r="C2471" s="4" t="s">
        <v>244</v>
      </c>
      <c r="D2471" s="6" t="str">
        <f>HYPERLINK("javascript:void(0)","betüvető")</f>
        <v>betüvető</v>
      </c>
    </row>
    <row r="2472" spans="1:4" ht="12.75" customHeight="1" x14ac:dyDescent="0.2">
      <c r="A2472" s="21"/>
      <c r="B2472" s="21"/>
      <c r="C2472" s="4" t="s">
        <v>67</v>
      </c>
      <c r="D2472" s="6" t="str">
        <f>HYPERLINK("javascript:void(0)","fűrészfog")</f>
        <v>fűrészfog</v>
      </c>
    </row>
    <row r="2473" spans="1:4" ht="12.75" customHeight="1" x14ac:dyDescent="0.2">
      <c r="A2473" s="5"/>
      <c r="B2473" s="2"/>
      <c r="C2473" s="2"/>
      <c r="D2473" s="2"/>
    </row>
    <row r="2474" spans="1:4" ht="12.75" customHeight="1" x14ac:dyDescent="0.2">
      <c r="A2474" s="22" t="str">
        <f>HYPERLINK("javascript:void(0)","rimföldi csúzli")</f>
        <v>rimföldi csúzli</v>
      </c>
      <c r="B2474" s="21"/>
      <c r="C2474" s="21"/>
      <c r="D2474" s="21"/>
    </row>
    <row r="2475" spans="1:4" ht="12.75" customHeight="1" x14ac:dyDescent="0.2">
      <c r="A2475" s="20"/>
      <c r="B2475" s="2"/>
      <c r="C2475" s="2"/>
      <c r="D2475" s="2"/>
    </row>
    <row r="2476" spans="1:4" ht="12.75" customHeight="1" x14ac:dyDescent="0.2">
      <c r="A2476" s="21"/>
      <c r="B2476" s="3" t="s">
        <v>0</v>
      </c>
      <c r="C2476" s="20" t="s">
        <v>699</v>
      </c>
      <c r="D2476" s="21"/>
    </row>
    <row r="2477" spans="1:4" ht="12.75" customHeight="1" x14ac:dyDescent="0.2">
      <c r="A2477" s="21"/>
      <c r="B2477" s="3" t="s">
        <v>2</v>
      </c>
      <c r="C2477" s="20" t="s">
        <v>3</v>
      </c>
      <c r="D2477" s="21"/>
    </row>
    <row r="2478" spans="1:4" ht="12.75" customHeight="1" x14ac:dyDescent="0.2">
      <c r="A2478" s="21"/>
      <c r="B2478" s="3" t="s">
        <v>4</v>
      </c>
      <c r="C2478" s="20" t="s">
        <v>706</v>
      </c>
      <c r="D2478" s="21"/>
    </row>
    <row r="2479" spans="1:4" ht="12.75" customHeight="1" x14ac:dyDescent="0.2">
      <c r="A2479" s="21"/>
      <c r="B2479" s="3" t="s">
        <v>6</v>
      </c>
      <c r="C2479" s="20" t="s">
        <v>65</v>
      </c>
      <c r="D2479" s="21"/>
    </row>
    <row r="2480" spans="1:4" ht="12.75" customHeight="1" x14ac:dyDescent="0.2">
      <c r="A2480" s="21"/>
      <c r="B2480" s="3" t="s">
        <v>8</v>
      </c>
      <c r="C2480" s="20" t="s">
        <v>706</v>
      </c>
      <c r="D2480" s="21"/>
    </row>
    <row r="2481" spans="1:4" ht="12.75" customHeight="1" x14ac:dyDescent="0.2">
      <c r="A2481" s="21"/>
      <c r="B2481" s="3" t="s">
        <v>9</v>
      </c>
      <c r="C2481" s="20" t="s">
        <v>707</v>
      </c>
      <c r="D2481" s="21"/>
    </row>
    <row r="2482" spans="1:4" ht="12.75" customHeight="1" x14ac:dyDescent="0.2">
      <c r="A2482" s="21"/>
      <c r="B2482" s="3" t="s">
        <v>11</v>
      </c>
      <c r="C2482" s="20" t="s">
        <v>578</v>
      </c>
      <c r="D2482" s="21"/>
    </row>
    <row r="2483" spans="1:4" ht="12.75" customHeight="1" x14ac:dyDescent="0.2">
      <c r="A2483" s="21"/>
      <c r="B2483" s="3" t="s">
        <v>13</v>
      </c>
      <c r="C2483" s="20" t="s">
        <v>24</v>
      </c>
      <c r="D2483" s="21"/>
    </row>
    <row r="2484" spans="1:4" ht="12.75" customHeight="1" x14ac:dyDescent="0.2">
      <c r="A2484" s="21"/>
      <c r="B2484" s="3" t="s">
        <v>15</v>
      </c>
      <c r="C2484" s="20" t="s">
        <v>24</v>
      </c>
      <c r="D2484" s="21"/>
    </row>
    <row r="2485" spans="1:4" ht="12.75" customHeight="1" x14ac:dyDescent="0.2">
      <c r="A2485" s="21"/>
      <c r="B2485" s="3" t="s">
        <v>16</v>
      </c>
      <c r="C2485" s="20"/>
      <c r="D2485" s="21"/>
    </row>
    <row r="2486" spans="1:4" ht="12.75" customHeight="1" x14ac:dyDescent="0.2">
      <c r="A2486" s="21"/>
      <c r="B2486" s="3" t="s">
        <v>17</v>
      </c>
      <c r="C2486" s="20"/>
      <c r="D2486" s="21"/>
    </row>
    <row r="2487" spans="1:4" ht="12.75" customHeight="1" x14ac:dyDescent="0.2">
      <c r="A2487" s="21"/>
      <c r="B2487" s="20" t="s">
        <v>18</v>
      </c>
      <c r="C2487" s="4" t="s">
        <v>44</v>
      </c>
      <c r="D2487" s="6" t="str">
        <f>HYPERLINK("javascript:void(0)","rimföldi halálosztó")</f>
        <v>rimföldi halálosztó</v>
      </c>
    </row>
    <row r="2488" spans="1:4" ht="12.75" customHeight="1" x14ac:dyDescent="0.2">
      <c r="A2488" s="21"/>
      <c r="B2488" s="21"/>
      <c r="C2488" s="4" t="s">
        <v>98</v>
      </c>
      <c r="D2488" s="6" t="str">
        <f>HYPERLINK("javascript:void(0)","vasrög")</f>
        <v>vasrög</v>
      </c>
    </row>
    <row r="2489" spans="1:4" ht="12.75" customHeight="1" x14ac:dyDescent="0.2">
      <c r="A2489" s="21"/>
      <c r="B2489" s="21"/>
      <c r="C2489" s="4" t="s">
        <v>77</v>
      </c>
      <c r="D2489" s="6" t="str">
        <f>HYPERLINK("javascript:void(0)","iránytű")</f>
        <v>iránytű</v>
      </c>
    </row>
    <row r="2490" spans="1:4" ht="12.75" customHeight="1" x14ac:dyDescent="0.2">
      <c r="A2490" s="5"/>
      <c r="B2490" s="2"/>
      <c r="C2490" s="2"/>
      <c r="D2490" s="2"/>
    </row>
    <row r="2491" spans="1:4" ht="12.75" customHeight="1" x14ac:dyDescent="0.2">
      <c r="A2491" s="22" t="str">
        <f>HYPERLINK("javascript:void(0)","hypnoacél halálosztó")</f>
        <v>hypnoacél halálosztó</v>
      </c>
      <c r="B2491" s="21"/>
      <c r="C2491" s="21"/>
      <c r="D2491" s="21"/>
    </row>
    <row r="2492" spans="1:4" ht="12.75" customHeight="1" x14ac:dyDescent="0.2">
      <c r="A2492" s="20"/>
      <c r="B2492" s="2"/>
      <c r="C2492" s="2"/>
      <c r="D2492" s="2"/>
    </row>
    <row r="2493" spans="1:4" ht="12.75" customHeight="1" x14ac:dyDescent="0.2">
      <c r="A2493" s="21"/>
      <c r="B2493" s="3" t="s">
        <v>0</v>
      </c>
      <c r="C2493" s="20" t="s">
        <v>709</v>
      </c>
      <c r="D2493" s="21"/>
    </row>
    <row r="2494" spans="1:4" ht="12.75" customHeight="1" x14ac:dyDescent="0.2">
      <c r="A2494" s="21"/>
      <c r="B2494" s="3" t="s">
        <v>2</v>
      </c>
      <c r="C2494" s="20" t="s">
        <v>3</v>
      </c>
      <c r="D2494" s="21"/>
    </row>
    <row r="2495" spans="1:4" ht="12.75" customHeight="1" x14ac:dyDescent="0.2">
      <c r="A2495" s="21"/>
      <c r="B2495" s="3" t="s">
        <v>4</v>
      </c>
      <c r="C2495" s="20" t="s">
        <v>710</v>
      </c>
      <c r="D2495" s="21"/>
    </row>
    <row r="2496" spans="1:4" ht="12.75" customHeight="1" x14ac:dyDescent="0.2">
      <c r="A2496" s="21"/>
      <c r="B2496" s="3" t="s">
        <v>6</v>
      </c>
      <c r="C2496" s="20" t="s">
        <v>284</v>
      </c>
      <c r="D2496" s="21"/>
    </row>
    <row r="2497" spans="1:4" ht="12.75" customHeight="1" x14ac:dyDescent="0.2">
      <c r="A2497" s="21"/>
      <c r="B2497" s="3" t="s">
        <v>8</v>
      </c>
      <c r="C2497" s="20" t="s">
        <v>710</v>
      </c>
      <c r="D2497" s="21"/>
    </row>
    <row r="2498" spans="1:4" ht="12.75" customHeight="1" x14ac:dyDescent="0.2">
      <c r="A2498" s="21"/>
      <c r="B2498" s="3" t="s">
        <v>9</v>
      </c>
      <c r="C2498" s="20" t="s">
        <v>712</v>
      </c>
      <c r="D2498" s="21"/>
    </row>
    <row r="2499" spans="1:4" ht="12.75" customHeight="1" x14ac:dyDescent="0.2">
      <c r="A2499" s="21"/>
      <c r="B2499" s="3" t="s">
        <v>11</v>
      </c>
      <c r="C2499" s="20" t="s">
        <v>713</v>
      </c>
      <c r="D2499" s="21"/>
    </row>
    <row r="2500" spans="1:4" ht="12.75" customHeight="1" x14ac:dyDescent="0.2">
      <c r="A2500" s="21"/>
      <c r="B2500" s="3" t="s">
        <v>13</v>
      </c>
      <c r="C2500" s="20" t="s">
        <v>24</v>
      </c>
      <c r="D2500" s="21"/>
    </row>
    <row r="2501" spans="1:4" ht="12.75" customHeight="1" x14ac:dyDescent="0.2">
      <c r="A2501" s="21"/>
      <c r="B2501" s="3" t="s">
        <v>15</v>
      </c>
      <c r="C2501" s="20" t="s">
        <v>24</v>
      </c>
      <c r="D2501" s="21"/>
    </row>
    <row r="2502" spans="1:4" ht="12.75" customHeight="1" x14ac:dyDescent="0.2">
      <c r="A2502" s="21"/>
      <c r="B2502" s="3" t="s">
        <v>16</v>
      </c>
      <c r="C2502" s="20"/>
      <c r="D2502" s="21"/>
    </row>
    <row r="2503" spans="1:4" ht="12.75" customHeight="1" x14ac:dyDescent="0.2">
      <c r="A2503" s="21"/>
      <c r="B2503" s="3" t="s">
        <v>17</v>
      </c>
      <c r="C2503" s="20"/>
      <c r="D2503" s="21"/>
    </row>
    <row r="2504" spans="1:4" ht="12.75" customHeight="1" x14ac:dyDescent="0.2">
      <c r="A2504" s="21"/>
      <c r="B2504" s="20" t="s">
        <v>18</v>
      </c>
      <c r="C2504" s="4" t="s">
        <v>44</v>
      </c>
      <c r="D2504" s="6" t="str">
        <f>HYPERLINK("javascript:void(0)","hypnoacél átokszóró")</f>
        <v>hypnoacél átokszóró</v>
      </c>
    </row>
    <row r="2505" spans="1:4" ht="12.75" customHeight="1" x14ac:dyDescent="0.2">
      <c r="A2505" s="21"/>
      <c r="B2505" s="21"/>
      <c r="C2505" s="4" t="s">
        <v>228</v>
      </c>
      <c r="D2505" s="6" t="str">
        <f>HYPERLINK("javascript:void(0)","betüvető")</f>
        <v>betüvető</v>
      </c>
    </row>
    <row r="2506" spans="1:4" ht="12.75" customHeight="1" x14ac:dyDescent="0.2">
      <c r="A2506" s="21"/>
      <c r="B2506" s="21"/>
      <c r="C2506" s="4" t="s">
        <v>56</v>
      </c>
      <c r="D2506" s="6" t="str">
        <f>HYPERLINK("javascript:void(0)","fókaprém")</f>
        <v>fókaprém</v>
      </c>
    </row>
    <row r="2507" spans="1:4" ht="12.75" customHeight="1" x14ac:dyDescent="0.2">
      <c r="A2507" s="5"/>
      <c r="B2507" s="2"/>
      <c r="C2507" s="2"/>
      <c r="D2507" s="2"/>
    </row>
    <row r="2508" spans="1:4" ht="12.75" customHeight="1" x14ac:dyDescent="0.2">
      <c r="A2508" s="22" t="str">
        <f>HYPERLINK("javascript:void(0)","artini csúzli")</f>
        <v>artini csúzli</v>
      </c>
      <c r="B2508" s="21"/>
      <c r="C2508" s="21"/>
      <c r="D2508" s="21"/>
    </row>
    <row r="2509" spans="1:4" ht="12.75" customHeight="1" x14ac:dyDescent="0.2">
      <c r="A2509" s="20"/>
      <c r="B2509" s="2"/>
      <c r="C2509" s="2"/>
      <c r="D2509" s="2"/>
    </row>
    <row r="2510" spans="1:4" ht="12.75" customHeight="1" x14ac:dyDescent="0.2">
      <c r="A2510" s="21"/>
      <c r="B2510" s="3" t="s">
        <v>0</v>
      </c>
      <c r="C2510" s="20" t="s">
        <v>709</v>
      </c>
      <c r="D2510" s="21"/>
    </row>
    <row r="2511" spans="1:4" ht="12.75" customHeight="1" x14ac:dyDescent="0.2">
      <c r="A2511" s="21"/>
      <c r="B2511" s="3" t="s">
        <v>2</v>
      </c>
      <c r="C2511" s="20" t="s">
        <v>3</v>
      </c>
      <c r="D2511" s="21"/>
    </row>
    <row r="2512" spans="1:4" ht="12.75" customHeight="1" x14ac:dyDescent="0.2">
      <c r="A2512" s="21"/>
      <c r="B2512" s="3" t="s">
        <v>4</v>
      </c>
      <c r="C2512" s="20" t="s">
        <v>715</v>
      </c>
      <c r="D2512" s="21"/>
    </row>
    <row r="2513" spans="1:4" ht="12.75" customHeight="1" x14ac:dyDescent="0.2">
      <c r="A2513" s="21"/>
      <c r="B2513" s="3" t="s">
        <v>6</v>
      </c>
      <c r="C2513" s="20" t="s">
        <v>65</v>
      </c>
      <c r="D2513" s="21"/>
    </row>
    <row r="2514" spans="1:4" ht="12.75" customHeight="1" x14ac:dyDescent="0.2">
      <c r="A2514" s="21"/>
      <c r="B2514" s="3" t="s">
        <v>8</v>
      </c>
      <c r="C2514" s="20" t="s">
        <v>715</v>
      </c>
      <c r="D2514" s="21"/>
    </row>
    <row r="2515" spans="1:4" ht="12.75" customHeight="1" x14ac:dyDescent="0.2">
      <c r="A2515" s="21"/>
      <c r="B2515" s="3" t="s">
        <v>9</v>
      </c>
      <c r="C2515" s="20" t="s">
        <v>716</v>
      </c>
      <c r="D2515" s="21"/>
    </row>
    <row r="2516" spans="1:4" ht="12.75" customHeight="1" x14ac:dyDescent="0.2">
      <c r="A2516" s="21"/>
      <c r="B2516" s="3" t="s">
        <v>11</v>
      </c>
      <c r="C2516" s="20" t="s">
        <v>587</v>
      </c>
      <c r="D2516" s="21"/>
    </row>
    <row r="2517" spans="1:4" ht="12.75" customHeight="1" x14ac:dyDescent="0.2">
      <c r="A2517" s="21"/>
      <c r="B2517" s="3" t="s">
        <v>13</v>
      </c>
      <c r="C2517" s="20" t="s">
        <v>24</v>
      </c>
      <c r="D2517" s="21"/>
    </row>
    <row r="2518" spans="1:4" ht="12.75" customHeight="1" x14ac:dyDescent="0.2">
      <c r="A2518" s="21"/>
      <c r="B2518" s="3" t="s">
        <v>15</v>
      </c>
      <c r="C2518" s="20" t="s">
        <v>24</v>
      </c>
      <c r="D2518" s="21"/>
    </row>
    <row r="2519" spans="1:4" ht="12.75" customHeight="1" x14ac:dyDescent="0.2">
      <c r="A2519" s="21"/>
      <c r="B2519" s="3" t="s">
        <v>16</v>
      </c>
      <c r="C2519" s="20"/>
      <c r="D2519" s="21"/>
    </row>
    <row r="2520" spans="1:4" ht="12.75" customHeight="1" x14ac:dyDescent="0.2">
      <c r="A2520" s="21"/>
      <c r="B2520" s="3" t="s">
        <v>17</v>
      </c>
      <c r="C2520" s="20"/>
      <c r="D2520" s="21"/>
    </row>
    <row r="2521" spans="1:4" ht="12.75" customHeight="1" x14ac:dyDescent="0.2">
      <c r="A2521" s="21"/>
      <c r="B2521" s="20" t="s">
        <v>18</v>
      </c>
      <c r="C2521" s="4" t="s">
        <v>44</v>
      </c>
      <c r="D2521" s="6" t="str">
        <f>HYPERLINK("javascript:void(0)","artini halálosztó")</f>
        <v>artini halálosztó</v>
      </c>
    </row>
    <row r="2522" spans="1:4" ht="12.75" customHeight="1" x14ac:dyDescent="0.2">
      <c r="A2522" s="21"/>
      <c r="B2522" s="21"/>
      <c r="C2522" s="4" t="s">
        <v>102</v>
      </c>
      <c r="D2522" s="6" t="str">
        <f>HYPERLINK("javascript:void(0)","térszelet")</f>
        <v>térszelet</v>
      </c>
    </row>
    <row r="2523" spans="1:4" ht="12.75" customHeight="1" x14ac:dyDescent="0.2">
      <c r="A2523" s="21"/>
      <c r="B2523" s="21"/>
      <c r="C2523" s="4" t="s">
        <v>55</v>
      </c>
      <c r="D2523" s="6" t="str">
        <f>HYPERLINK("javascript:void(0)","ejtőernyő")</f>
        <v>ejtőernyő</v>
      </c>
    </row>
    <row r="2524" spans="1:4" ht="12.75" customHeight="1" x14ac:dyDescent="0.2">
      <c r="A2524" s="5"/>
      <c r="B2524" s="2"/>
      <c r="C2524" s="2"/>
      <c r="D2524" s="2"/>
    </row>
    <row r="2525" spans="1:4" ht="12.75" customHeight="1" x14ac:dyDescent="0.2">
      <c r="A2525" s="22" t="str">
        <f>HYPERLINK("javascript:void(0)","harmatacél halálosztó")</f>
        <v>harmatacél halálosztó</v>
      </c>
      <c r="B2525" s="21"/>
      <c r="C2525" s="21"/>
      <c r="D2525" s="21"/>
    </row>
    <row r="2526" spans="1:4" ht="12.75" customHeight="1" x14ac:dyDescent="0.2">
      <c r="A2526" s="20"/>
      <c r="B2526" s="2"/>
      <c r="C2526" s="2"/>
      <c r="D2526" s="2"/>
    </row>
    <row r="2527" spans="1:4" ht="12.75" customHeight="1" x14ac:dyDescent="0.2">
      <c r="A2527" s="21"/>
      <c r="B2527" s="3" t="s">
        <v>0</v>
      </c>
      <c r="C2527" s="20" t="s">
        <v>719</v>
      </c>
      <c r="D2527" s="21"/>
    </row>
    <row r="2528" spans="1:4" ht="12.75" customHeight="1" x14ac:dyDescent="0.2">
      <c r="A2528" s="21"/>
      <c r="B2528" s="3" t="s">
        <v>2</v>
      </c>
      <c r="C2528" s="20" t="s">
        <v>3</v>
      </c>
      <c r="D2528" s="21"/>
    </row>
    <row r="2529" spans="1:4" ht="12.75" customHeight="1" x14ac:dyDescent="0.2">
      <c r="A2529" s="21"/>
      <c r="B2529" s="3" t="s">
        <v>4</v>
      </c>
      <c r="C2529" s="20" t="s">
        <v>720</v>
      </c>
      <c r="D2529" s="21"/>
    </row>
    <row r="2530" spans="1:4" ht="12.75" customHeight="1" x14ac:dyDescent="0.2">
      <c r="A2530" s="21"/>
      <c r="B2530" s="3" t="s">
        <v>6</v>
      </c>
      <c r="C2530" s="20" t="s">
        <v>157</v>
      </c>
      <c r="D2530" s="21"/>
    </row>
    <row r="2531" spans="1:4" ht="12.75" customHeight="1" x14ac:dyDescent="0.2">
      <c r="A2531" s="21"/>
      <c r="B2531" s="3" t="s">
        <v>8</v>
      </c>
      <c r="C2531" s="20" t="s">
        <v>720</v>
      </c>
      <c r="D2531" s="21"/>
    </row>
    <row r="2532" spans="1:4" ht="12.75" customHeight="1" x14ac:dyDescent="0.2">
      <c r="A2532" s="21"/>
      <c r="B2532" s="3" t="s">
        <v>9</v>
      </c>
      <c r="C2532" s="20" t="s">
        <v>343</v>
      </c>
      <c r="D2532" s="21"/>
    </row>
    <row r="2533" spans="1:4" ht="12.75" customHeight="1" x14ac:dyDescent="0.2">
      <c r="A2533" s="21"/>
      <c r="B2533" s="3" t="s">
        <v>11</v>
      </c>
      <c r="C2533" s="20" t="s">
        <v>722</v>
      </c>
      <c r="D2533" s="21"/>
    </row>
    <row r="2534" spans="1:4" ht="12.75" customHeight="1" x14ac:dyDescent="0.2">
      <c r="A2534" s="21"/>
      <c r="B2534" s="3" t="s">
        <v>13</v>
      </c>
      <c r="C2534" s="20" t="s">
        <v>24</v>
      </c>
      <c r="D2534" s="21"/>
    </row>
    <row r="2535" spans="1:4" ht="12.75" customHeight="1" x14ac:dyDescent="0.2">
      <c r="A2535" s="21"/>
      <c r="B2535" s="3" t="s">
        <v>15</v>
      </c>
      <c r="C2535" s="20" t="s">
        <v>24</v>
      </c>
      <c r="D2535" s="21"/>
    </row>
    <row r="2536" spans="1:4" ht="12.75" customHeight="1" x14ac:dyDescent="0.2">
      <c r="A2536" s="21"/>
      <c r="B2536" s="3" t="s">
        <v>16</v>
      </c>
      <c r="C2536" s="20"/>
      <c r="D2536" s="21"/>
    </row>
    <row r="2537" spans="1:4" ht="12.75" customHeight="1" x14ac:dyDescent="0.2">
      <c r="A2537" s="21"/>
      <c r="B2537" s="3" t="s">
        <v>17</v>
      </c>
      <c r="C2537" s="20"/>
      <c r="D2537" s="21"/>
    </row>
    <row r="2538" spans="1:4" ht="25.5" customHeight="1" x14ac:dyDescent="0.2">
      <c r="A2538" s="21"/>
      <c r="B2538" s="20" t="s">
        <v>18</v>
      </c>
      <c r="C2538" s="4" t="s">
        <v>44</v>
      </c>
      <c r="D2538" s="6" t="str">
        <f>HYPERLINK("javascript:void(0)","harmatacél átokszóró")</f>
        <v>harmatacél átokszóró</v>
      </c>
    </row>
    <row r="2539" spans="1:4" ht="12.75" customHeight="1" x14ac:dyDescent="0.2">
      <c r="A2539" s="21"/>
      <c r="B2539" s="21"/>
      <c r="C2539" s="4" t="s">
        <v>269</v>
      </c>
      <c r="D2539" s="6" t="str">
        <f>HYPERLINK("javascript:void(0)","betüvető")</f>
        <v>betüvető</v>
      </c>
    </row>
    <row r="2540" spans="1:4" ht="12.75" customHeight="1" x14ac:dyDescent="0.2">
      <c r="A2540" s="21"/>
      <c r="B2540" s="21"/>
      <c r="C2540" s="4" t="s">
        <v>56</v>
      </c>
      <c r="D2540" s="6" t="str">
        <f>HYPERLINK("javascript:void(0)","teleportige")</f>
        <v>teleportige</v>
      </c>
    </row>
    <row r="2541" spans="1:4" ht="12.75" customHeight="1" x14ac:dyDescent="0.2">
      <c r="A2541" s="5"/>
      <c r="B2541" s="2"/>
      <c r="C2541" s="2"/>
      <c r="D2541" s="2"/>
    </row>
    <row r="2542" spans="1:4" ht="12.75" customHeight="1" x14ac:dyDescent="0.2">
      <c r="A2542" s="22" t="str">
        <f>HYPERLINK("javascript:void(0)","wendír csúzli")</f>
        <v>wendír csúzli</v>
      </c>
      <c r="B2542" s="21"/>
      <c r="C2542" s="21"/>
      <c r="D2542" s="21"/>
    </row>
    <row r="2543" spans="1:4" ht="12.75" customHeight="1" x14ac:dyDescent="0.2">
      <c r="A2543" s="20"/>
      <c r="B2543" s="2"/>
      <c r="C2543" s="2"/>
      <c r="D2543" s="2"/>
    </row>
    <row r="2544" spans="1:4" ht="12.75" customHeight="1" x14ac:dyDescent="0.2">
      <c r="A2544" s="21"/>
      <c r="B2544" s="3" t="s">
        <v>0</v>
      </c>
      <c r="C2544" s="20" t="s">
        <v>719</v>
      </c>
      <c r="D2544" s="21"/>
    </row>
    <row r="2545" spans="1:4" ht="12.75" customHeight="1" x14ac:dyDescent="0.2">
      <c r="A2545" s="21"/>
      <c r="B2545" s="3" t="s">
        <v>2</v>
      </c>
      <c r="C2545" s="20" t="s">
        <v>3</v>
      </c>
      <c r="D2545" s="21"/>
    </row>
    <row r="2546" spans="1:4" ht="12.75" customHeight="1" x14ac:dyDescent="0.2">
      <c r="A2546" s="21"/>
      <c r="B2546" s="3" t="s">
        <v>4</v>
      </c>
      <c r="C2546" s="20" t="s">
        <v>725</v>
      </c>
      <c r="D2546" s="21"/>
    </row>
    <row r="2547" spans="1:4" ht="12.75" customHeight="1" x14ac:dyDescent="0.2">
      <c r="A2547" s="21"/>
      <c r="B2547" s="3" t="s">
        <v>6</v>
      </c>
      <c r="C2547" s="20" t="s">
        <v>65</v>
      </c>
      <c r="D2547" s="21"/>
    </row>
    <row r="2548" spans="1:4" ht="12.75" customHeight="1" x14ac:dyDescent="0.2">
      <c r="A2548" s="21"/>
      <c r="B2548" s="3" t="s">
        <v>8</v>
      </c>
      <c r="C2548" s="20" t="s">
        <v>725</v>
      </c>
      <c r="D2548" s="21"/>
    </row>
    <row r="2549" spans="1:4" ht="12.75" customHeight="1" x14ac:dyDescent="0.2">
      <c r="A2549" s="21"/>
      <c r="B2549" s="3" t="s">
        <v>9</v>
      </c>
      <c r="C2549" s="20" t="s">
        <v>707</v>
      </c>
      <c r="D2549" s="21"/>
    </row>
    <row r="2550" spans="1:4" ht="12.75" customHeight="1" x14ac:dyDescent="0.2">
      <c r="A2550" s="21"/>
      <c r="B2550" s="3" t="s">
        <v>11</v>
      </c>
      <c r="C2550" s="20" t="s">
        <v>596</v>
      </c>
      <c r="D2550" s="21"/>
    </row>
    <row r="2551" spans="1:4" ht="12.75" customHeight="1" x14ac:dyDescent="0.2">
      <c r="A2551" s="21"/>
      <c r="B2551" s="3" t="s">
        <v>13</v>
      </c>
      <c r="C2551" s="20" t="s">
        <v>24</v>
      </c>
      <c r="D2551" s="21"/>
    </row>
    <row r="2552" spans="1:4" ht="12.75" customHeight="1" x14ac:dyDescent="0.2">
      <c r="A2552" s="21"/>
      <c r="B2552" s="3" t="s">
        <v>15</v>
      </c>
      <c r="C2552" s="20" t="s">
        <v>24</v>
      </c>
      <c r="D2552" s="21"/>
    </row>
    <row r="2553" spans="1:4" ht="12.75" customHeight="1" x14ac:dyDescent="0.2">
      <c r="A2553" s="21"/>
      <c r="B2553" s="3" t="s">
        <v>16</v>
      </c>
      <c r="C2553" s="20"/>
      <c r="D2553" s="21"/>
    </row>
    <row r="2554" spans="1:4" ht="12.75" customHeight="1" x14ac:dyDescent="0.2">
      <c r="A2554" s="21"/>
      <c r="B2554" s="3" t="s">
        <v>17</v>
      </c>
      <c r="C2554" s="20"/>
      <c r="D2554" s="21"/>
    </row>
    <row r="2555" spans="1:4" ht="12.75" customHeight="1" x14ac:dyDescent="0.2">
      <c r="A2555" s="21"/>
      <c r="B2555" s="20" t="s">
        <v>18</v>
      </c>
      <c r="C2555" s="4" t="s">
        <v>44</v>
      </c>
      <c r="D2555" s="6" t="str">
        <f>HYPERLINK("javascript:void(0)","wendír halálosztó")</f>
        <v>wendír halálosztó</v>
      </c>
    </row>
    <row r="2556" spans="1:4" ht="12.75" customHeight="1" x14ac:dyDescent="0.2">
      <c r="A2556" s="21"/>
      <c r="B2556" s="21"/>
      <c r="C2556" s="4" t="s">
        <v>98</v>
      </c>
      <c r="D2556" s="6" t="str">
        <f>HYPERLINK("javascript:void(0)","aranyrög")</f>
        <v>aranyrög</v>
      </c>
    </row>
    <row r="2557" spans="1:4" ht="12.75" customHeight="1" x14ac:dyDescent="0.2">
      <c r="A2557" s="21"/>
      <c r="B2557" s="21"/>
      <c r="C2557" s="4" t="s">
        <v>98</v>
      </c>
      <c r="D2557" s="6" t="str">
        <f>HYPERLINK("javascript:void(0)","banánhéj")</f>
        <v>banánhéj</v>
      </c>
    </row>
    <row r="2558" spans="1:4" ht="12.75" customHeight="1" x14ac:dyDescent="0.2">
      <c r="A2558" s="5"/>
      <c r="B2558" s="2"/>
      <c r="C2558" s="2"/>
      <c r="D2558" s="2"/>
    </row>
    <row r="2559" spans="1:4" ht="12.75" customHeight="1" x14ac:dyDescent="0.2">
      <c r="A2559" s="22" t="str">
        <f>HYPERLINK("javascript:void(0)","smaragd kéziágyú")</f>
        <v>smaragd kéziágyú</v>
      </c>
      <c r="B2559" s="21"/>
      <c r="C2559" s="21"/>
      <c r="D2559" s="21"/>
    </row>
    <row r="2560" spans="1:4" ht="12.75" customHeight="1" x14ac:dyDescent="0.2">
      <c r="A2560" s="20"/>
      <c r="B2560" s="2"/>
      <c r="C2560" s="2"/>
      <c r="D2560" s="2"/>
    </row>
    <row r="2561" spans="1:4" ht="12.75" customHeight="1" x14ac:dyDescent="0.2">
      <c r="A2561" s="21"/>
      <c r="B2561" s="3" t="s">
        <v>0</v>
      </c>
      <c r="C2561" s="20" t="s">
        <v>728</v>
      </c>
      <c r="D2561" s="21"/>
    </row>
    <row r="2562" spans="1:4" ht="12.75" customHeight="1" x14ac:dyDescent="0.2">
      <c r="A2562" s="21"/>
      <c r="B2562" s="3" t="s">
        <v>2</v>
      </c>
      <c r="C2562" s="20" t="s">
        <v>3</v>
      </c>
      <c r="D2562" s="21"/>
    </row>
    <row r="2563" spans="1:4" ht="12.75" customHeight="1" x14ac:dyDescent="0.2">
      <c r="A2563" s="21"/>
      <c r="B2563" s="3" t="s">
        <v>4</v>
      </c>
      <c r="C2563" s="20" t="s">
        <v>729</v>
      </c>
      <c r="D2563" s="21"/>
    </row>
    <row r="2564" spans="1:4" ht="12.75" customHeight="1" x14ac:dyDescent="0.2">
      <c r="A2564" s="21"/>
      <c r="B2564" s="3" t="s">
        <v>6</v>
      </c>
      <c r="C2564" s="20" t="s">
        <v>284</v>
      </c>
      <c r="D2564" s="21"/>
    </row>
    <row r="2565" spans="1:4" ht="12.75" customHeight="1" x14ac:dyDescent="0.2">
      <c r="A2565" s="21"/>
      <c r="B2565" s="3" t="s">
        <v>8</v>
      </c>
      <c r="C2565" s="20" t="s">
        <v>729</v>
      </c>
      <c r="D2565" s="21"/>
    </row>
    <row r="2566" spans="1:4" ht="12.75" customHeight="1" x14ac:dyDescent="0.2">
      <c r="A2566" s="21"/>
      <c r="B2566" s="3" t="s">
        <v>9</v>
      </c>
      <c r="C2566" s="20" t="s">
        <v>730</v>
      </c>
      <c r="D2566" s="21"/>
    </row>
    <row r="2567" spans="1:4" ht="12.75" customHeight="1" x14ac:dyDescent="0.2">
      <c r="A2567" s="21"/>
      <c r="B2567" s="3" t="s">
        <v>11</v>
      </c>
      <c r="C2567" s="20" t="s">
        <v>731</v>
      </c>
      <c r="D2567" s="21"/>
    </row>
    <row r="2568" spans="1:4" ht="12.75" customHeight="1" x14ac:dyDescent="0.2">
      <c r="A2568" s="21"/>
      <c r="B2568" s="3" t="s">
        <v>13</v>
      </c>
      <c r="C2568" s="20" t="s">
        <v>24</v>
      </c>
      <c r="D2568" s="21"/>
    </row>
    <row r="2569" spans="1:4" ht="12.75" customHeight="1" x14ac:dyDescent="0.2">
      <c r="A2569" s="21"/>
      <c r="B2569" s="3" t="s">
        <v>15</v>
      </c>
      <c r="C2569" s="20" t="s">
        <v>24</v>
      </c>
      <c r="D2569" s="21"/>
    </row>
    <row r="2570" spans="1:4" ht="12.75" customHeight="1" x14ac:dyDescent="0.2">
      <c r="A2570" s="21"/>
      <c r="B2570" s="3" t="s">
        <v>16</v>
      </c>
      <c r="C2570" s="20"/>
      <c r="D2570" s="21"/>
    </row>
    <row r="2571" spans="1:4" ht="12.75" customHeight="1" x14ac:dyDescent="0.2">
      <c r="A2571" s="21"/>
      <c r="B2571" s="3" t="s">
        <v>17</v>
      </c>
      <c r="C2571" s="20"/>
      <c r="D2571" s="21"/>
    </row>
    <row r="2572" spans="1:4" ht="12.75" customHeight="1" x14ac:dyDescent="0.2">
      <c r="A2572" s="21"/>
      <c r="B2572" s="20" t="s">
        <v>18</v>
      </c>
      <c r="C2572" s="4" t="s">
        <v>44</v>
      </c>
      <c r="D2572" s="6" t="str">
        <f>HYPERLINK("javascript:void(0)","smaragd csúzli")</f>
        <v>smaragd csúzli</v>
      </c>
    </row>
    <row r="2573" spans="1:4" ht="12.75" customHeight="1" x14ac:dyDescent="0.2">
      <c r="A2573" s="21"/>
      <c r="B2573" s="21"/>
      <c r="C2573" s="4" t="s">
        <v>240</v>
      </c>
      <c r="D2573" s="6" t="str">
        <f>HYPERLINK("javascript:void(0)","betüvető")</f>
        <v>betüvető</v>
      </c>
    </row>
    <row r="2574" spans="1:4" ht="12.75" customHeight="1" x14ac:dyDescent="0.2">
      <c r="A2574" s="21"/>
      <c r="B2574" s="21"/>
      <c r="C2574" s="4" t="s">
        <v>55</v>
      </c>
      <c r="D2574" s="6" t="str">
        <f>HYPERLINK("javascript:void(0)","bázispár")</f>
        <v>bázispár</v>
      </c>
    </row>
    <row r="2575" spans="1:4" ht="12.75" customHeight="1" x14ac:dyDescent="0.2">
      <c r="A2575" s="5"/>
      <c r="B2575" s="2"/>
      <c r="C2575" s="2"/>
      <c r="D2575" s="2"/>
    </row>
    <row r="2576" spans="1:4" ht="12.75" customHeight="1" x14ac:dyDescent="0.2">
      <c r="A2576" s="22" t="str">
        <f>HYPERLINK("javascript:void(0)","thordi csúzli")</f>
        <v>thordi csúzli</v>
      </c>
      <c r="B2576" s="21"/>
      <c r="C2576" s="21"/>
      <c r="D2576" s="21"/>
    </row>
    <row r="2577" spans="1:4" ht="12.75" customHeight="1" x14ac:dyDescent="0.2">
      <c r="A2577" s="20"/>
      <c r="B2577" s="2"/>
      <c r="C2577" s="2"/>
      <c r="D2577" s="2"/>
    </row>
    <row r="2578" spans="1:4" ht="12.75" customHeight="1" x14ac:dyDescent="0.2">
      <c r="A2578" s="21"/>
      <c r="B2578" s="3" t="s">
        <v>0</v>
      </c>
      <c r="C2578" s="20" t="s">
        <v>728</v>
      </c>
      <c r="D2578" s="21"/>
    </row>
    <row r="2579" spans="1:4" ht="12.75" customHeight="1" x14ac:dyDescent="0.2">
      <c r="A2579" s="21"/>
      <c r="B2579" s="3" t="s">
        <v>2</v>
      </c>
      <c r="C2579" s="20" t="s">
        <v>3</v>
      </c>
      <c r="D2579" s="21"/>
    </row>
    <row r="2580" spans="1:4" ht="12.75" customHeight="1" x14ac:dyDescent="0.2">
      <c r="A2580" s="21"/>
      <c r="B2580" s="3" t="s">
        <v>4</v>
      </c>
      <c r="C2580" s="20" t="s">
        <v>735</v>
      </c>
      <c r="D2580" s="21"/>
    </row>
    <row r="2581" spans="1:4" ht="12.75" customHeight="1" x14ac:dyDescent="0.2">
      <c r="A2581" s="21"/>
      <c r="B2581" s="3" t="s">
        <v>6</v>
      </c>
      <c r="C2581" s="20" t="s">
        <v>65</v>
      </c>
      <c r="D2581" s="21"/>
    </row>
    <row r="2582" spans="1:4" ht="12.75" customHeight="1" x14ac:dyDescent="0.2">
      <c r="A2582" s="21"/>
      <c r="B2582" s="3" t="s">
        <v>8</v>
      </c>
      <c r="C2582" s="20" t="s">
        <v>735</v>
      </c>
      <c r="D2582" s="21"/>
    </row>
    <row r="2583" spans="1:4" ht="12.75" customHeight="1" x14ac:dyDescent="0.2">
      <c r="A2583" s="21"/>
      <c r="B2583" s="3" t="s">
        <v>9</v>
      </c>
      <c r="C2583" s="20" t="s">
        <v>716</v>
      </c>
      <c r="D2583" s="21"/>
    </row>
    <row r="2584" spans="1:4" ht="12.75" customHeight="1" x14ac:dyDescent="0.2">
      <c r="A2584" s="21"/>
      <c r="B2584" s="3" t="s">
        <v>11</v>
      </c>
      <c r="C2584" s="20" t="s">
        <v>603</v>
      </c>
      <c r="D2584" s="21"/>
    </row>
    <row r="2585" spans="1:4" ht="12.75" customHeight="1" x14ac:dyDescent="0.2">
      <c r="A2585" s="21"/>
      <c r="B2585" s="3" t="s">
        <v>13</v>
      </c>
      <c r="C2585" s="20" t="s">
        <v>24</v>
      </c>
      <c r="D2585" s="21"/>
    </row>
    <row r="2586" spans="1:4" ht="12.75" customHeight="1" x14ac:dyDescent="0.2">
      <c r="A2586" s="21"/>
      <c r="B2586" s="3" t="s">
        <v>15</v>
      </c>
      <c r="C2586" s="20" t="s">
        <v>24</v>
      </c>
      <c r="D2586" s="21"/>
    </row>
    <row r="2587" spans="1:4" ht="12.75" customHeight="1" x14ac:dyDescent="0.2">
      <c r="A2587" s="21"/>
      <c r="B2587" s="3" t="s">
        <v>16</v>
      </c>
      <c r="C2587" s="20"/>
      <c r="D2587" s="21"/>
    </row>
    <row r="2588" spans="1:4" ht="12.75" customHeight="1" x14ac:dyDescent="0.2">
      <c r="A2588" s="21"/>
      <c r="B2588" s="3" t="s">
        <v>17</v>
      </c>
      <c r="C2588" s="20"/>
      <c r="D2588" s="21"/>
    </row>
    <row r="2589" spans="1:4" ht="12.75" customHeight="1" x14ac:dyDescent="0.2">
      <c r="A2589" s="21"/>
      <c r="B2589" s="20" t="s">
        <v>18</v>
      </c>
      <c r="C2589" s="4" t="s">
        <v>44</v>
      </c>
      <c r="D2589" s="6" t="str">
        <f>HYPERLINK("javascript:void(0)","thordi halálosztó")</f>
        <v>thordi halálosztó</v>
      </c>
    </row>
    <row r="2590" spans="1:4" ht="12.75" customHeight="1" x14ac:dyDescent="0.2">
      <c r="A2590" s="21"/>
      <c r="B2590" s="21"/>
      <c r="C2590" s="4" t="s">
        <v>193</v>
      </c>
      <c r="D2590" s="6" t="str">
        <f>HYPERLINK("javascript:void(0)","rotorlapát")</f>
        <v>rotorlapát</v>
      </c>
    </row>
    <row r="2591" spans="1:4" ht="12.75" customHeight="1" x14ac:dyDescent="0.2">
      <c r="A2591" s="21"/>
      <c r="B2591" s="21"/>
      <c r="C2591" s="4" t="s">
        <v>142</v>
      </c>
      <c r="D2591" s="6" t="str">
        <f>HYPERLINK("javascript:void(0)","plecsni")</f>
        <v>plecsni</v>
      </c>
    </row>
    <row r="2592" spans="1:4" ht="12.75" customHeight="1" x14ac:dyDescent="0.2">
      <c r="A2592" s="5"/>
      <c r="B2592" s="2"/>
      <c r="C2592" s="2"/>
      <c r="D2592" s="2"/>
    </row>
    <row r="2593" spans="1:4" ht="12.75" customHeight="1" x14ac:dyDescent="0.2">
      <c r="A2593" s="22" t="str">
        <f>HYPERLINK("javascript:void(0)","rubin kéziágyú")</f>
        <v>rubin kéziágyú</v>
      </c>
      <c r="B2593" s="21"/>
      <c r="C2593" s="21"/>
      <c r="D2593" s="21"/>
    </row>
    <row r="2594" spans="1:4" ht="12.75" customHeight="1" x14ac:dyDescent="0.2">
      <c r="A2594" s="20"/>
      <c r="B2594" s="2"/>
      <c r="C2594" s="2"/>
      <c r="D2594" s="2"/>
    </row>
    <row r="2595" spans="1:4" ht="12.75" customHeight="1" x14ac:dyDescent="0.2">
      <c r="A2595" s="21"/>
      <c r="B2595" s="3" t="s">
        <v>0</v>
      </c>
      <c r="C2595" s="20" t="s">
        <v>78</v>
      </c>
      <c r="D2595" s="21"/>
    </row>
    <row r="2596" spans="1:4" ht="12.75" customHeight="1" x14ac:dyDescent="0.2">
      <c r="A2596" s="21"/>
      <c r="B2596" s="3" t="s">
        <v>2</v>
      </c>
      <c r="C2596" s="20" t="s">
        <v>3</v>
      </c>
      <c r="D2596" s="21"/>
    </row>
    <row r="2597" spans="1:4" ht="12.75" customHeight="1" x14ac:dyDescent="0.2">
      <c r="A2597" s="21"/>
      <c r="B2597" s="3" t="s">
        <v>4</v>
      </c>
      <c r="C2597" s="20" t="s">
        <v>737</v>
      </c>
      <c r="D2597" s="21"/>
    </row>
    <row r="2598" spans="1:4" ht="12.75" customHeight="1" x14ac:dyDescent="0.2">
      <c r="A2598" s="21"/>
      <c r="B2598" s="3" t="s">
        <v>6</v>
      </c>
      <c r="C2598" s="20" t="s">
        <v>353</v>
      </c>
      <c r="D2598" s="21"/>
    </row>
    <row r="2599" spans="1:4" ht="12.75" customHeight="1" x14ac:dyDescent="0.2">
      <c r="A2599" s="21"/>
      <c r="B2599" s="3" t="s">
        <v>8</v>
      </c>
      <c r="C2599" s="20" t="s">
        <v>737</v>
      </c>
      <c r="D2599" s="21"/>
    </row>
    <row r="2600" spans="1:4" ht="12.75" customHeight="1" x14ac:dyDescent="0.2">
      <c r="A2600" s="21"/>
      <c r="B2600" s="3" t="s">
        <v>9</v>
      </c>
      <c r="C2600" s="20" t="s">
        <v>738</v>
      </c>
      <c r="D2600" s="21"/>
    </row>
    <row r="2601" spans="1:4" ht="12.75" customHeight="1" x14ac:dyDescent="0.2">
      <c r="A2601" s="21"/>
      <c r="B2601" s="3" t="s">
        <v>11</v>
      </c>
      <c r="C2601" s="20" t="s">
        <v>739</v>
      </c>
      <c r="D2601" s="21"/>
    </row>
    <row r="2602" spans="1:4" ht="12.75" customHeight="1" x14ac:dyDescent="0.2">
      <c r="A2602" s="21"/>
      <c r="B2602" s="3" t="s">
        <v>13</v>
      </c>
      <c r="C2602" s="20" t="s">
        <v>24</v>
      </c>
      <c r="D2602" s="21"/>
    </row>
    <row r="2603" spans="1:4" ht="12.75" customHeight="1" x14ac:dyDescent="0.2">
      <c r="A2603" s="21"/>
      <c r="B2603" s="3" t="s">
        <v>15</v>
      </c>
      <c r="C2603" s="20" t="s">
        <v>24</v>
      </c>
      <c r="D2603" s="21"/>
    </row>
    <row r="2604" spans="1:4" ht="12.75" customHeight="1" x14ac:dyDescent="0.2">
      <c r="A2604" s="21"/>
      <c r="B2604" s="3" t="s">
        <v>16</v>
      </c>
      <c r="C2604" s="20"/>
      <c r="D2604" s="21"/>
    </row>
    <row r="2605" spans="1:4" ht="12.75" customHeight="1" x14ac:dyDescent="0.2">
      <c r="A2605" s="21"/>
      <c r="B2605" s="3" t="s">
        <v>17</v>
      </c>
      <c r="C2605" s="20"/>
      <c r="D2605" s="21"/>
    </row>
    <row r="2606" spans="1:4" ht="12.75" customHeight="1" x14ac:dyDescent="0.2">
      <c r="A2606" s="21"/>
      <c r="B2606" s="20" t="s">
        <v>18</v>
      </c>
      <c r="C2606" s="4" t="s">
        <v>44</v>
      </c>
      <c r="D2606" s="6" t="str">
        <f>HYPERLINK("javascript:void(0)","rubin csúzli")</f>
        <v>rubin csúzli</v>
      </c>
    </row>
    <row r="2607" spans="1:4" ht="12.75" customHeight="1" x14ac:dyDescent="0.2">
      <c r="A2607" s="21"/>
      <c r="B2607" s="21"/>
      <c r="C2607" s="4" t="s">
        <v>139</v>
      </c>
      <c r="D2607" s="6" t="str">
        <f>HYPERLINK("javascript:void(0)","betüvető")</f>
        <v>betüvető</v>
      </c>
    </row>
    <row r="2608" spans="1:4" ht="12.75" customHeight="1" x14ac:dyDescent="0.2">
      <c r="A2608" s="21"/>
      <c r="B2608" s="21"/>
      <c r="C2608" s="4" t="s">
        <v>67</v>
      </c>
      <c r="D2608" s="6" t="str">
        <f>HYPERLINK("javascript:void(0)","serte")</f>
        <v>serte</v>
      </c>
    </row>
    <row r="2609" spans="1:4" ht="12.75" customHeight="1" x14ac:dyDescent="0.2">
      <c r="A2609" s="5"/>
      <c r="B2609" s="2"/>
      <c r="C2609" s="2"/>
      <c r="D2609" s="2"/>
    </row>
    <row r="2610" spans="1:4" ht="12.75" customHeight="1" x14ac:dyDescent="0.2">
      <c r="A2610" s="22" t="str">
        <f>HYPERLINK("javascript:void(0)","fotoacél csúzli")</f>
        <v>fotoacél csúzli</v>
      </c>
      <c r="B2610" s="21"/>
      <c r="C2610" s="21"/>
      <c r="D2610" s="21"/>
    </row>
    <row r="2611" spans="1:4" ht="12.75" customHeight="1" x14ac:dyDescent="0.2">
      <c r="A2611" s="20"/>
      <c r="B2611" s="2"/>
      <c r="C2611" s="2"/>
      <c r="D2611" s="2"/>
    </row>
    <row r="2612" spans="1:4" ht="12.75" customHeight="1" x14ac:dyDescent="0.2">
      <c r="A2612" s="21"/>
      <c r="B2612" s="3" t="s">
        <v>0</v>
      </c>
      <c r="C2612" s="20" t="s">
        <v>78</v>
      </c>
      <c r="D2612" s="21"/>
    </row>
    <row r="2613" spans="1:4" ht="12.75" customHeight="1" x14ac:dyDescent="0.2">
      <c r="A2613" s="21"/>
      <c r="B2613" s="3" t="s">
        <v>2</v>
      </c>
      <c r="C2613" s="20" t="s">
        <v>3</v>
      </c>
      <c r="D2613" s="21"/>
    </row>
    <row r="2614" spans="1:4" ht="12.75" customHeight="1" x14ac:dyDescent="0.2">
      <c r="A2614" s="21"/>
      <c r="B2614" s="3" t="s">
        <v>4</v>
      </c>
      <c r="C2614" s="20" t="s">
        <v>741</v>
      </c>
      <c r="D2614" s="21"/>
    </row>
    <row r="2615" spans="1:4" ht="12.75" customHeight="1" x14ac:dyDescent="0.2">
      <c r="A2615" s="21"/>
      <c r="B2615" s="3" t="s">
        <v>6</v>
      </c>
      <c r="C2615" s="20" t="s">
        <v>65</v>
      </c>
      <c r="D2615" s="21"/>
    </row>
    <row r="2616" spans="1:4" ht="12.75" customHeight="1" x14ac:dyDescent="0.2">
      <c r="A2616" s="21"/>
      <c r="B2616" s="3" t="s">
        <v>8</v>
      </c>
      <c r="C2616" s="20" t="s">
        <v>741</v>
      </c>
      <c r="D2616" s="21"/>
    </row>
    <row r="2617" spans="1:4" ht="12.75" customHeight="1" x14ac:dyDescent="0.2">
      <c r="A2617" s="21"/>
      <c r="B2617" s="3" t="s">
        <v>9</v>
      </c>
      <c r="C2617" s="20" t="s">
        <v>707</v>
      </c>
      <c r="D2617" s="21"/>
    </row>
    <row r="2618" spans="1:4" ht="12.75" customHeight="1" x14ac:dyDescent="0.2">
      <c r="A2618" s="21"/>
      <c r="B2618" s="3" t="s">
        <v>11</v>
      </c>
      <c r="C2618" s="20" t="s">
        <v>615</v>
      </c>
      <c r="D2618" s="21"/>
    </row>
    <row r="2619" spans="1:4" ht="12.75" customHeight="1" x14ac:dyDescent="0.2">
      <c r="A2619" s="21"/>
      <c r="B2619" s="3" t="s">
        <v>13</v>
      </c>
      <c r="C2619" s="20" t="s">
        <v>24</v>
      </c>
      <c r="D2619" s="21"/>
    </row>
    <row r="2620" spans="1:4" ht="12.75" customHeight="1" x14ac:dyDescent="0.2">
      <c r="A2620" s="21"/>
      <c r="B2620" s="3" t="s">
        <v>15</v>
      </c>
      <c r="C2620" s="20" t="s">
        <v>24</v>
      </c>
      <c r="D2620" s="21"/>
    </row>
    <row r="2621" spans="1:4" ht="12.75" customHeight="1" x14ac:dyDescent="0.2">
      <c r="A2621" s="21"/>
      <c r="B2621" s="3" t="s">
        <v>16</v>
      </c>
      <c r="C2621" s="20"/>
      <c r="D2621" s="21"/>
    </row>
    <row r="2622" spans="1:4" ht="12.75" customHeight="1" x14ac:dyDescent="0.2">
      <c r="A2622" s="21"/>
      <c r="B2622" s="3" t="s">
        <v>17</v>
      </c>
      <c r="C2622" s="20"/>
      <c r="D2622" s="21"/>
    </row>
    <row r="2623" spans="1:4" ht="12.75" customHeight="1" x14ac:dyDescent="0.2">
      <c r="A2623" s="21"/>
      <c r="B2623" s="20" t="s">
        <v>18</v>
      </c>
      <c r="C2623" s="4" t="s">
        <v>44</v>
      </c>
      <c r="D2623" s="6" t="str">
        <f>HYPERLINK("javascript:void(0)","fotoacél halálosztó")</f>
        <v>fotoacél halálosztó</v>
      </c>
    </row>
    <row r="2624" spans="1:4" ht="12.75" customHeight="1" x14ac:dyDescent="0.2">
      <c r="A2624" s="21"/>
      <c r="B2624" s="21"/>
      <c r="C2624" s="4" t="s">
        <v>98</v>
      </c>
      <c r="D2624" s="6" t="str">
        <f>HYPERLINK("javascript:void(0)","átokige")</f>
        <v>átokige</v>
      </c>
    </row>
    <row r="2625" spans="1:4" ht="12.75" customHeight="1" x14ac:dyDescent="0.2">
      <c r="A2625" s="21"/>
      <c r="B2625" s="21"/>
      <c r="C2625" s="4" t="s">
        <v>67</v>
      </c>
      <c r="D2625" s="6" t="str">
        <f>HYPERLINK("javascript:void(0)","tépőfog")</f>
        <v>tépőfog</v>
      </c>
    </row>
    <row r="2626" spans="1:4" ht="12.75" customHeight="1" x14ac:dyDescent="0.2">
      <c r="A2626" s="5"/>
      <c r="B2626" s="2"/>
      <c r="C2626" s="2"/>
      <c r="D2626" s="2"/>
    </row>
    <row r="2627" spans="1:4" ht="12.75" customHeight="1" x14ac:dyDescent="0.2">
      <c r="A2627" s="22" t="str">
        <f>HYPERLINK("javascript:void(0)","gyémánt kéziágyú")</f>
        <v>gyémánt kéziágyú</v>
      </c>
      <c r="B2627" s="21"/>
      <c r="C2627" s="21"/>
      <c r="D2627" s="21"/>
    </row>
    <row r="2628" spans="1:4" ht="12.75" customHeight="1" x14ac:dyDescent="0.2">
      <c r="A2628" s="20"/>
      <c r="B2628" s="2"/>
      <c r="C2628" s="2"/>
      <c r="D2628" s="2"/>
    </row>
    <row r="2629" spans="1:4" ht="12.75" customHeight="1" x14ac:dyDescent="0.2">
      <c r="A2629" s="21"/>
      <c r="B2629" s="3" t="s">
        <v>0</v>
      </c>
      <c r="C2629" s="20" t="s">
        <v>73</v>
      </c>
      <c r="D2629" s="21"/>
    </row>
    <row r="2630" spans="1:4" ht="12.75" customHeight="1" x14ac:dyDescent="0.2">
      <c r="A2630" s="21"/>
      <c r="B2630" s="3" t="s">
        <v>2</v>
      </c>
      <c r="C2630" s="20" t="s">
        <v>3</v>
      </c>
      <c r="D2630" s="21"/>
    </row>
    <row r="2631" spans="1:4" ht="12.75" customHeight="1" x14ac:dyDescent="0.2">
      <c r="A2631" s="21"/>
      <c r="B2631" s="3" t="s">
        <v>4</v>
      </c>
      <c r="C2631" s="20" t="s">
        <v>743</v>
      </c>
      <c r="D2631" s="21"/>
    </row>
    <row r="2632" spans="1:4" ht="12.75" customHeight="1" x14ac:dyDescent="0.2">
      <c r="A2632" s="21"/>
      <c r="B2632" s="3" t="s">
        <v>6</v>
      </c>
      <c r="C2632" s="20" t="s">
        <v>353</v>
      </c>
      <c r="D2632" s="21"/>
    </row>
    <row r="2633" spans="1:4" ht="12.75" customHeight="1" x14ac:dyDescent="0.2">
      <c r="A2633" s="21"/>
      <c r="B2633" s="3" t="s">
        <v>8</v>
      </c>
      <c r="C2633" s="20" t="s">
        <v>743</v>
      </c>
      <c r="D2633" s="21"/>
    </row>
    <row r="2634" spans="1:4" ht="12.75" customHeight="1" x14ac:dyDescent="0.2">
      <c r="A2634" s="21"/>
      <c r="B2634" s="3" t="s">
        <v>9</v>
      </c>
      <c r="C2634" s="20" t="s">
        <v>744</v>
      </c>
      <c r="D2634" s="21"/>
    </row>
    <row r="2635" spans="1:4" ht="12.75" customHeight="1" x14ac:dyDescent="0.2">
      <c r="A2635" s="21"/>
      <c r="B2635" s="3" t="s">
        <v>11</v>
      </c>
      <c r="C2635" s="20" t="s">
        <v>745</v>
      </c>
      <c r="D2635" s="21"/>
    </row>
    <row r="2636" spans="1:4" ht="12.75" customHeight="1" x14ac:dyDescent="0.2">
      <c r="A2636" s="21"/>
      <c r="B2636" s="3" t="s">
        <v>13</v>
      </c>
      <c r="C2636" s="20" t="s">
        <v>24</v>
      </c>
      <c r="D2636" s="21"/>
    </row>
    <row r="2637" spans="1:4" ht="12.75" customHeight="1" x14ac:dyDescent="0.2">
      <c r="A2637" s="21"/>
      <c r="B2637" s="3" t="s">
        <v>15</v>
      </c>
      <c r="C2637" s="20" t="s">
        <v>24</v>
      </c>
      <c r="D2637" s="21"/>
    </row>
    <row r="2638" spans="1:4" ht="12.75" customHeight="1" x14ac:dyDescent="0.2">
      <c r="A2638" s="21"/>
      <c r="B2638" s="3" t="s">
        <v>16</v>
      </c>
      <c r="C2638" s="20"/>
      <c r="D2638" s="21"/>
    </row>
    <row r="2639" spans="1:4" ht="12.75" customHeight="1" x14ac:dyDescent="0.2">
      <c r="A2639" s="21"/>
      <c r="B2639" s="3" t="s">
        <v>17</v>
      </c>
      <c r="C2639" s="20"/>
      <c r="D2639" s="21"/>
    </row>
    <row r="2640" spans="1:4" ht="12.75" customHeight="1" x14ac:dyDescent="0.2">
      <c r="A2640" s="21"/>
      <c r="B2640" s="20" t="s">
        <v>18</v>
      </c>
      <c r="C2640" s="4" t="s">
        <v>44</v>
      </c>
      <c r="D2640" s="6" t="str">
        <f>HYPERLINK("javascript:void(0)","gyémánt csúzli")</f>
        <v>gyémánt csúzli</v>
      </c>
    </row>
    <row r="2641" spans="1:4" ht="12.75" customHeight="1" x14ac:dyDescent="0.2">
      <c r="A2641" s="21"/>
      <c r="B2641" s="21"/>
      <c r="C2641" s="4" t="s">
        <v>296</v>
      </c>
      <c r="D2641" s="6" t="str">
        <f>HYPERLINK("javascript:void(0)","betüvető")</f>
        <v>betüvető</v>
      </c>
    </row>
    <row r="2642" spans="1:4" ht="12.75" customHeight="1" x14ac:dyDescent="0.2">
      <c r="A2642" s="21"/>
      <c r="B2642" s="21"/>
      <c r="C2642" s="4" t="s">
        <v>67</v>
      </c>
      <c r="D2642" s="6" t="str">
        <f>HYPERLINK("javascript:void(0)","hőgolyó")</f>
        <v>hőgolyó</v>
      </c>
    </row>
    <row r="2643" spans="1:4" ht="12.75" customHeight="1" x14ac:dyDescent="0.2">
      <c r="A2643" s="5"/>
      <c r="B2643" s="2"/>
      <c r="C2643" s="2"/>
      <c r="D2643" s="2"/>
    </row>
    <row r="2644" spans="1:4" ht="12.75" customHeight="1" x14ac:dyDescent="0.2">
      <c r="A2644" s="22" t="str">
        <f>HYPERLINK("javascript:void(0)","magnetoacél csúzli")</f>
        <v>magnetoacél csúzli</v>
      </c>
      <c r="B2644" s="21"/>
      <c r="C2644" s="21"/>
      <c r="D2644" s="21"/>
    </row>
    <row r="2645" spans="1:4" ht="12.75" customHeight="1" x14ac:dyDescent="0.2">
      <c r="A2645" s="20"/>
      <c r="B2645" s="2"/>
      <c r="C2645" s="2"/>
      <c r="D2645" s="2"/>
    </row>
    <row r="2646" spans="1:4" ht="12.75" customHeight="1" x14ac:dyDescent="0.2">
      <c r="A2646" s="21"/>
      <c r="B2646" s="3" t="s">
        <v>0</v>
      </c>
      <c r="C2646" s="20" t="s">
        <v>73</v>
      </c>
      <c r="D2646" s="21"/>
    </row>
    <row r="2647" spans="1:4" ht="12.75" customHeight="1" x14ac:dyDescent="0.2">
      <c r="A2647" s="21"/>
      <c r="B2647" s="3" t="s">
        <v>2</v>
      </c>
      <c r="C2647" s="20" t="s">
        <v>3</v>
      </c>
      <c r="D2647" s="21"/>
    </row>
    <row r="2648" spans="1:4" ht="12.75" customHeight="1" x14ac:dyDescent="0.2">
      <c r="A2648" s="21"/>
      <c r="B2648" s="3" t="s">
        <v>4</v>
      </c>
      <c r="C2648" s="20" t="s">
        <v>748</v>
      </c>
      <c r="D2648" s="21"/>
    </row>
    <row r="2649" spans="1:4" ht="12.75" customHeight="1" x14ac:dyDescent="0.2">
      <c r="A2649" s="21"/>
      <c r="B2649" s="3" t="s">
        <v>6</v>
      </c>
      <c r="C2649" s="20" t="s">
        <v>65</v>
      </c>
      <c r="D2649" s="21"/>
    </row>
    <row r="2650" spans="1:4" ht="12.75" customHeight="1" x14ac:dyDescent="0.2">
      <c r="A2650" s="21"/>
      <c r="B2650" s="3" t="s">
        <v>8</v>
      </c>
      <c r="C2650" s="20" t="s">
        <v>748</v>
      </c>
      <c r="D2650" s="21"/>
    </row>
    <row r="2651" spans="1:4" ht="12.75" customHeight="1" x14ac:dyDescent="0.2">
      <c r="A2651" s="21"/>
      <c r="B2651" s="3" t="s">
        <v>9</v>
      </c>
      <c r="C2651" s="20" t="s">
        <v>716</v>
      </c>
      <c r="D2651" s="21"/>
    </row>
    <row r="2652" spans="1:4" ht="12.75" customHeight="1" x14ac:dyDescent="0.2">
      <c r="A2652" s="21"/>
      <c r="B2652" s="3" t="s">
        <v>11</v>
      </c>
      <c r="C2652" s="20" t="s">
        <v>625</v>
      </c>
      <c r="D2652" s="21"/>
    </row>
    <row r="2653" spans="1:4" ht="12.75" customHeight="1" x14ac:dyDescent="0.2">
      <c r="A2653" s="21"/>
      <c r="B2653" s="3" t="s">
        <v>13</v>
      </c>
      <c r="C2653" s="20" t="s">
        <v>24</v>
      </c>
      <c r="D2653" s="21"/>
    </row>
    <row r="2654" spans="1:4" ht="12.75" customHeight="1" x14ac:dyDescent="0.2">
      <c r="A2654" s="21"/>
      <c r="B2654" s="3" t="s">
        <v>15</v>
      </c>
      <c r="C2654" s="20" t="s">
        <v>24</v>
      </c>
      <c r="D2654" s="21"/>
    </row>
    <row r="2655" spans="1:4" ht="12.75" customHeight="1" x14ac:dyDescent="0.2">
      <c r="A2655" s="21"/>
      <c r="B2655" s="3" t="s">
        <v>16</v>
      </c>
      <c r="C2655" s="20"/>
      <c r="D2655" s="21"/>
    </row>
    <row r="2656" spans="1:4" ht="12.75" customHeight="1" x14ac:dyDescent="0.2">
      <c r="A2656" s="21"/>
      <c r="B2656" s="3" t="s">
        <v>17</v>
      </c>
      <c r="C2656" s="20"/>
      <c r="D2656" s="21"/>
    </row>
    <row r="2657" spans="1:4" ht="25.5" customHeight="1" x14ac:dyDescent="0.2">
      <c r="A2657" s="21"/>
      <c r="B2657" s="20" t="s">
        <v>18</v>
      </c>
      <c r="C2657" s="4" t="s">
        <v>44</v>
      </c>
      <c r="D2657" s="6" t="str">
        <f>HYPERLINK("javascript:void(0)","magnetoacél halálosztó")</f>
        <v>magnetoacél halálosztó</v>
      </c>
    </row>
    <row r="2658" spans="1:4" ht="12.75" customHeight="1" x14ac:dyDescent="0.2">
      <c r="A2658" s="21"/>
      <c r="B2658" s="21"/>
      <c r="C2658" s="4" t="s">
        <v>98</v>
      </c>
      <c r="D2658" s="6" t="str">
        <f>HYPERLINK("javascript:void(0)","mágnes")</f>
        <v>mágnes</v>
      </c>
    </row>
    <row r="2659" spans="1:4" ht="12.75" customHeight="1" x14ac:dyDescent="0.2">
      <c r="A2659" s="21"/>
      <c r="B2659" s="21"/>
      <c r="C2659" s="4" t="s">
        <v>142</v>
      </c>
      <c r="D2659" s="6" t="str">
        <f>HYPERLINK("javascript:void(0)","valkript")</f>
        <v>valkript</v>
      </c>
    </row>
    <row r="2660" spans="1:4" ht="12.75" customHeight="1" x14ac:dyDescent="0.2">
      <c r="A2660" s="5"/>
      <c r="B2660" s="2"/>
      <c r="C2660" s="2"/>
      <c r="D2660" s="2"/>
    </row>
    <row r="2661" spans="1:4" ht="12.75" customHeight="1" x14ac:dyDescent="0.2">
      <c r="A2661" s="22" t="str">
        <f>HYPERLINK("javascript:void(0)","diszpro kéziágyú")</f>
        <v>diszpro kéziágyú</v>
      </c>
      <c r="B2661" s="21"/>
      <c r="C2661" s="21"/>
      <c r="D2661" s="21"/>
    </row>
    <row r="2662" spans="1:4" ht="12.75" customHeight="1" x14ac:dyDescent="0.2">
      <c r="A2662" s="20"/>
      <c r="B2662" s="2"/>
      <c r="C2662" s="2"/>
      <c r="D2662" s="2"/>
    </row>
    <row r="2663" spans="1:4" ht="12.75" customHeight="1" x14ac:dyDescent="0.2">
      <c r="A2663" s="21"/>
      <c r="B2663" s="3" t="s">
        <v>0</v>
      </c>
      <c r="C2663" s="20" t="s">
        <v>275</v>
      </c>
      <c r="D2663" s="21"/>
    </row>
    <row r="2664" spans="1:4" ht="12.75" customHeight="1" x14ac:dyDescent="0.2">
      <c r="A2664" s="21"/>
      <c r="B2664" s="3" t="s">
        <v>2</v>
      </c>
      <c r="C2664" s="20" t="s">
        <v>3</v>
      </c>
      <c r="D2664" s="21"/>
    </row>
    <row r="2665" spans="1:4" ht="12.75" customHeight="1" x14ac:dyDescent="0.2">
      <c r="A2665" s="21"/>
      <c r="B2665" s="3" t="s">
        <v>4</v>
      </c>
      <c r="C2665" s="20" t="s">
        <v>751</v>
      </c>
      <c r="D2665" s="21"/>
    </row>
    <row r="2666" spans="1:4" ht="12.75" customHeight="1" x14ac:dyDescent="0.2">
      <c r="A2666" s="21"/>
      <c r="B2666" s="3" t="s">
        <v>6</v>
      </c>
      <c r="C2666" s="20" t="s">
        <v>284</v>
      </c>
      <c r="D2666" s="21"/>
    </row>
    <row r="2667" spans="1:4" ht="12.75" customHeight="1" x14ac:dyDescent="0.2">
      <c r="A2667" s="21"/>
      <c r="B2667" s="3" t="s">
        <v>8</v>
      </c>
      <c r="C2667" s="20" t="s">
        <v>751</v>
      </c>
      <c r="D2667" s="21"/>
    </row>
    <row r="2668" spans="1:4" ht="12.75" customHeight="1" x14ac:dyDescent="0.2">
      <c r="A2668" s="21"/>
      <c r="B2668" s="3" t="s">
        <v>9</v>
      </c>
      <c r="C2668" s="20" t="s">
        <v>753</v>
      </c>
      <c r="D2668" s="21"/>
    </row>
    <row r="2669" spans="1:4" ht="12.75" customHeight="1" x14ac:dyDescent="0.2">
      <c r="A2669" s="21"/>
      <c r="B2669" s="3" t="s">
        <v>11</v>
      </c>
      <c r="C2669" s="20" t="s">
        <v>754</v>
      </c>
      <c r="D2669" s="21"/>
    </row>
    <row r="2670" spans="1:4" ht="12.75" customHeight="1" x14ac:dyDescent="0.2">
      <c r="A2670" s="21"/>
      <c r="B2670" s="3" t="s">
        <v>13</v>
      </c>
      <c r="C2670" s="20" t="s">
        <v>24</v>
      </c>
      <c r="D2670" s="21"/>
    </row>
    <row r="2671" spans="1:4" ht="12.75" customHeight="1" x14ac:dyDescent="0.2">
      <c r="A2671" s="21"/>
      <c r="B2671" s="3" t="s">
        <v>15</v>
      </c>
      <c r="C2671" s="20" t="s">
        <v>24</v>
      </c>
      <c r="D2671" s="21"/>
    </row>
    <row r="2672" spans="1:4" ht="12.75" customHeight="1" x14ac:dyDescent="0.2">
      <c r="A2672" s="21"/>
      <c r="B2672" s="3" t="s">
        <v>16</v>
      </c>
      <c r="C2672" s="20"/>
      <c r="D2672" s="21"/>
    </row>
    <row r="2673" spans="1:4" ht="12.75" customHeight="1" x14ac:dyDescent="0.2">
      <c r="A2673" s="21"/>
      <c r="B2673" s="3" t="s">
        <v>17</v>
      </c>
      <c r="C2673" s="20"/>
      <c r="D2673" s="21"/>
    </row>
    <row r="2674" spans="1:4" ht="12.75" customHeight="1" x14ac:dyDescent="0.2">
      <c r="A2674" s="21"/>
      <c r="B2674" s="20" t="s">
        <v>18</v>
      </c>
      <c r="C2674" s="4" t="s">
        <v>44</v>
      </c>
      <c r="D2674" s="6" t="str">
        <f>HYPERLINK("javascript:void(0)","diszpro csúzli")</f>
        <v>diszpro csúzli</v>
      </c>
    </row>
    <row r="2675" spans="1:4" ht="12.75" customHeight="1" x14ac:dyDescent="0.2">
      <c r="A2675" s="21"/>
      <c r="B2675" s="21"/>
      <c r="C2675" s="4" t="s">
        <v>265</v>
      </c>
      <c r="D2675" s="6" t="str">
        <f>HYPERLINK("javascript:void(0)","betüvető")</f>
        <v>betüvető</v>
      </c>
    </row>
    <row r="2676" spans="1:4" ht="12.75" customHeight="1" x14ac:dyDescent="0.2">
      <c r="A2676" s="21"/>
      <c r="B2676" s="21"/>
      <c r="C2676" s="4" t="s">
        <v>431</v>
      </c>
      <c r="D2676" s="6" t="str">
        <f>HYPERLINK("javascript:void(0)","ámbra")</f>
        <v>ámbra</v>
      </c>
    </row>
    <row r="2677" spans="1:4" ht="12.75" customHeight="1" x14ac:dyDescent="0.2">
      <c r="A2677" s="5"/>
      <c r="B2677" s="2"/>
      <c r="C2677" s="2"/>
      <c r="D2677" s="2"/>
    </row>
    <row r="2678" spans="1:4" ht="12.75" customHeight="1" x14ac:dyDescent="0.2">
      <c r="A2678" s="22" t="str">
        <f>HYPERLINK("javascript:void(0)","helioacél csúzli")</f>
        <v>helioacél csúzli</v>
      </c>
      <c r="B2678" s="21"/>
      <c r="C2678" s="21"/>
      <c r="D2678" s="21"/>
    </row>
    <row r="2679" spans="1:4" ht="12.75" customHeight="1" x14ac:dyDescent="0.2">
      <c r="A2679" s="20"/>
      <c r="B2679" s="2"/>
      <c r="C2679" s="2"/>
      <c r="D2679" s="2"/>
    </row>
    <row r="2680" spans="1:4" ht="12.75" customHeight="1" x14ac:dyDescent="0.2">
      <c r="A2680" s="21"/>
      <c r="B2680" s="3" t="s">
        <v>0</v>
      </c>
      <c r="C2680" s="20" t="s">
        <v>275</v>
      </c>
      <c r="D2680" s="21"/>
    </row>
    <row r="2681" spans="1:4" ht="12.75" customHeight="1" x14ac:dyDescent="0.2">
      <c r="A2681" s="21"/>
      <c r="B2681" s="3" t="s">
        <v>2</v>
      </c>
      <c r="C2681" s="20" t="s">
        <v>3</v>
      </c>
      <c r="D2681" s="21"/>
    </row>
    <row r="2682" spans="1:4" ht="12.75" customHeight="1" x14ac:dyDescent="0.2">
      <c r="A2682" s="21"/>
      <c r="B2682" s="3" t="s">
        <v>4</v>
      </c>
      <c r="C2682" s="20" t="s">
        <v>757</v>
      </c>
      <c r="D2682" s="21"/>
    </row>
    <row r="2683" spans="1:4" ht="12.75" customHeight="1" x14ac:dyDescent="0.2">
      <c r="A2683" s="21"/>
      <c r="B2683" s="3" t="s">
        <v>6</v>
      </c>
      <c r="C2683" s="20" t="s">
        <v>65</v>
      </c>
      <c r="D2683" s="21"/>
    </row>
    <row r="2684" spans="1:4" ht="12.75" customHeight="1" x14ac:dyDescent="0.2">
      <c r="A2684" s="21"/>
      <c r="B2684" s="3" t="s">
        <v>8</v>
      </c>
      <c r="C2684" s="20" t="s">
        <v>757</v>
      </c>
      <c r="D2684" s="21"/>
    </row>
    <row r="2685" spans="1:4" ht="12.75" customHeight="1" x14ac:dyDescent="0.2">
      <c r="A2685" s="21"/>
      <c r="B2685" s="3" t="s">
        <v>9</v>
      </c>
      <c r="C2685" s="20" t="s">
        <v>707</v>
      </c>
      <c r="D2685" s="21"/>
    </row>
    <row r="2686" spans="1:4" ht="12.75" customHeight="1" x14ac:dyDescent="0.2">
      <c r="A2686" s="21"/>
      <c r="B2686" s="3" t="s">
        <v>11</v>
      </c>
      <c r="C2686" s="20" t="s">
        <v>638</v>
      </c>
      <c r="D2686" s="21"/>
    </row>
    <row r="2687" spans="1:4" ht="12.75" customHeight="1" x14ac:dyDescent="0.2">
      <c r="A2687" s="21"/>
      <c r="B2687" s="3" t="s">
        <v>13</v>
      </c>
      <c r="C2687" s="20" t="s">
        <v>24</v>
      </c>
      <c r="D2687" s="21"/>
    </row>
    <row r="2688" spans="1:4" ht="12.75" customHeight="1" x14ac:dyDescent="0.2">
      <c r="A2688" s="21"/>
      <c r="B2688" s="3" t="s">
        <v>15</v>
      </c>
      <c r="C2688" s="20" t="s">
        <v>24</v>
      </c>
      <c r="D2688" s="21"/>
    </row>
    <row r="2689" spans="1:4" ht="12.75" customHeight="1" x14ac:dyDescent="0.2">
      <c r="A2689" s="21"/>
      <c r="B2689" s="3" t="s">
        <v>16</v>
      </c>
      <c r="C2689" s="20"/>
      <c r="D2689" s="21"/>
    </row>
    <row r="2690" spans="1:4" ht="12.75" customHeight="1" x14ac:dyDescent="0.2">
      <c r="A2690" s="21"/>
      <c r="B2690" s="3" t="s">
        <v>17</v>
      </c>
      <c r="C2690" s="20"/>
      <c r="D2690" s="21"/>
    </row>
    <row r="2691" spans="1:4" ht="12.75" customHeight="1" x14ac:dyDescent="0.2">
      <c r="A2691" s="21"/>
      <c r="B2691" s="20" t="s">
        <v>18</v>
      </c>
      <c r="C2691" s="4" t="s">
        <v>44</v>
      </c>
      <c r="D2691" s="6" t="str">
        <f>HYPERLINK("javascript:void(0)","helioacél halálosztó")</f>
        <v>helioacél halálosztó</v>
      </c>
    </row>
    <row r="2692" spans="1:4" ht="12.75" customHeight="1" x14ac:dyDescent="0.2">
      <c r="A2692" s="21"/>
      <c r="B2692" s="21"/>
      <c r="C2692" s="4" t="s">
        <v>139</v>
      </c>
      <c r="D2692" s="6" t="str">
        <f>HYPERLINK("javascript:void(0)","hidegige")</f>
        <v>hidegige</v>
      </c>
    </row>
    <row r="2693" spans="1:4" ht="12.75" customHeight="1" x14ac:dyDescent="0.2">
      <c r="A2693" s="21"/>
      <c r="B2693" s="21"/>
      <c r="C2693" s="4" t="s">
        <v>196</v>
      </c>
      <c r="D2693" s="6" t="str">
        <f>HYPERLINK("javascript:void(0)","kártyalap")</f>
        <v>kártyalap</v>
      </c>
    </row>
    <row r="2694" spans="1:4" ht="12.75" customHeight="1" x14ac:dyDescent="0.2">
      <c r="A2694" s="5"/>
      <c r="B2694" s="2"/>
      <c r="C2694" s="2"/>
      <c r="D2694" s="2"/>
    </row>
    <row r="2695" spans="1:4" ht="12.75" customHeight="1" x14ac:dyDescent="0.2">
      <c r="A2695" s="22" t="str">
        <f>HYPERLINK("javascript:void(0)","kithrill kéziágyú")</f>
        <v>kithrill kéziágyú</v>
      </c>
      <c r="B2695" s="21"/>
      <c r="C2695" s="21"/>
      <c r="D2695" s="21"/>
    </row>
    <row r="2696" spans="1:4" ht="12.75" customHeight="1" x14ac:dyDescent="0.2">
      <c r="A2696" s="20"/>
      <c r="B2696" s="2"/>
      <c r="C2696" s="2"/>
      <c r="D2696" s="2"/>
    </row>
    <row r="2697" spans="1:4" ht="12.75" customHeight="1" x14ac:dyDescent="0.2">
      <c r="A2697" s="21"/>
      <c r="B2697" s="3" t="s">
        <v>0</v>
      </c>
      <c r="C2697" s="20" t="s">
        <v>161</v>
      </c>
      <c r="D2697" s="21"/>
    </row>
    <row r="2698" spans="1:4" ht="12.75" customHeight="1" x14ac:dyDescent="0.2">
      <c r="A2698" s="21"/>
      <c r="B2698" s="3" t="s">
        <v>2</v>
      </c>
      <c r="C2698" s="20" t="s">
        <v>3</v>
      </c>
      <c r="D2698" s="21"/>
    </row>
    <row r="2699" spans="1:4" ht="12.75" customHeight="1" x14ac:dyDescent="0.2">
      <c r="A2699" s="21"/>
      <c r="B2699" s="3" t="s">
        <v>4</v>
      </c>
      <c r="C2699" s="20" t="s">
        <v>760</v>
      </c>
      <c r="D2699" s="21"/>
    </row>
    <row r="2700" spans="1:4" ht="12.75" customHeight="1" x14ac:dyDescent="0.2">
      <c r="A2700" s="21"/>
      <c r="B2700" s="3" t="s">
        <v>6</v>
      </c>
      <c r="C2700" s="20" t="s">
        <v>178</v>
      </c>
      <c r="D2700" s="21"/>
    </row>
    <row r="2701" spans="1:4" ht="12.75" customHeight="1" x14ac:dyDescent="0.2">
      <c r="A2701" s="21"/>
      <c r="B2701" s="3" t="s">
        <v>8</v>
      </c>
      <c r="C2701" s="20" t="s">
        <v>760</v>
      </c>
      <c r="D2701" s="21"/>
    </row>
    <row r="2702" spans="1:4" ht="12.75" customHeight="1" x14ac:dyDescent="0.2">
      <c r="A2702" s="21"/>
      <c r="B2702" s="3" t="s">
        <v>9</v>
      </c>
      <c r="C2702" s="20" t="s">
        <v>762</v>
      </c>
      <c r="D2702" s="21"/>
    </row>
    <row r="2703" spans="1:4" ht="12.75" customHeight="1" x14ac:dyDescent="0.2">
      <c r="A2703" s="21"/>
      <c r="B2703" s="3" t="s">
        <v>11</v>
      </c>
      <c r="C2703" s="20" t="s">
        <v>763</v>
      </c>
      <c r="D2703" s="21"/>
    </row>
    <row r="2704" spans="1:4" ht="12.75" customHeight="1" x14ac:dyDescent="0.2">
      <c r="A2704" s="21"/>
      <c r="B2704" s="3" t="s">
        <v>13</v>
      </c>
      <c r="C2704" s="20" t="s">
        <v>24</v>
      </c>
      <c r="D2704" s="21"/>
    </row>
    <row r="2705" spans="1:4" ht="12.75" customHeight="1" x14ac:dyDescent="0.2">
      <c r="A2705" s="21"/>
      <c r="B2705" s="3" t="s">
        <v>15</v>
      </c>
      <c r="C2705" s="20" t="s">
        <v>24</v>
      </c>
      <c r="D2705" s="21"/>
    </row>
    <row r="2706" spans="1:4" ht="12.75" customHeight="1" x14ac:dyDescent="0.2">
      <c r="A2706" s="21"/>
      <c r="B2706" s="3" t="s">
        <v>16</v>
      </c>
      <c r="C2706" s="20"/>
      <c r="D2706" s="21"/>
    </row>
    <row r="2707" spans="1:4" ht="12.75" customHeight="1" x14ac:dyDescent="0.2">
      <c r="A2707" s="21"/>
      <c r="B2707" s="3" t="s">
        <v>17</v>
      </c>
      <c r="C2707" s="20"/>
      <c r="D2707" s="21"/>
    </row>
    <row r="2708" spans="1:4" ht="12.75" customHeight="1" x14ac:dyDescent="0.2">
      <c r="A2708" s="21"/>
      <c r="B2708" s="20" t="s">
        <v>18</v>
      </c>
      <c r="C2708" s="4" t="s">
        <v>44</v>
      </c>
      <c r="D2708" s="6" t="str">
        <f>HYPERLINK("javascript:void(0)","kithrill csúzli")</f>
        <v>kithrill csúzli</v>
      </c>
    </row>
    <row r="2709" spans="1:4" ht="12.75" customHeight="1" x14ac:dyDescent="0.2">
      <c r="A2709" s="21"/>
      <c r="B2709" s="21"/>
      <c r="C2709" s="4" t="s">
        <v>316</v>
      </c>
      <c r="D2709" s="6" t="str">
        <f>HYPERLINK("javascript:void(0)","betüvető")</f>
        <v>betüvető</v>
      </c>
    </row>
    <row r="2710" spans="1:4" ht="12.75" customHeight="1" x14ac:dyDescent="0.2">
      <c r="A2710" s="21"/>
      <c r="B2710" s="21"/>
      <c r="C2710" s="4" t="s">
        <v>280</v>
      </c>
      <c r="D2710" s="6" t="str">
        <f>HYPERLINK("javascript:void(0)","serte")</f>
        <v>serte</v>
      </c>
    </row>
    <row r="2711" spans="1:4" ht="12.75" customHeight="1" x14ac:dyDescent="0.2">
      <c r="A2711" s="5"/>
      <c r="B2711" s="2"/>
      <c r="C2711" s="2"/>
      <c r="D2711" s="2"/>
    </row>
    <row r="2712" spans="1:4" ht="12.75" customHeight="1" x14ac:dyDescent="0.2">
      <c r="A2712" s="22" t="str">
        <f>HYPERLINK("javascript:void(0)","hypnoacél csúzli")</f>
        <v>hypnoacél csúzli</v>
      </c>
      <c r="B2712" s="21"/>
      <c r="C2712" s="21"/>
      <c r="D2712" s="21"/>
    </row>
    <row r="2713" spans="1:4" ht="12.75" customHeight="1" x14ac:dyDescent="0.2">
      <c r="A2713" s="20"/>
      <c r="B2713" s="2"/>
      <c r="C2713" s="2"/>
      <c r="D2713" s="2"/>
    </row>
    <row r="2714" spans="1:4" ht="12.75" customHeight="1" x14ac:dyDescent="0.2">
      <c r="A2714" s="21"/>
      <c r="B2714" s="3" t="s">
        <v>0</v>
      </c>
      <c r="C2714" s="20" t="s">
        <v>161</v>
      </c>
      <c r="D2714" s="21"/>
    </row>
    <row r="2715" spans="1:4" ht="12.75" customHeight="1" x14ac:dyDescent="0.2">
      <c r="A2715" s="21"/>
      <c r="B2715" s="3" t="s">
        <v>2</v>
      </c>
      <c r="C2715" s="20" t="s">
        <v>3</v>
      </c>
      <c r="D2715" s="21"/>
    </row>
    <row r="2716" spans="1:4" ht="12.75" customHeight="1" x14ac:dyDescent="0.2">
      <c r="A2716" s="21"/>
      <c r="B2716" s="3" t="s">
        <v>4</v>
      </c>
      <c r="C2716" s="20" t="s">
        <v>764</v>
      </c>
      <c r="D2716" s="21"/>
    </row>
    <row r="2717" spans="1:4" ht="12.75" customHeight="1" x14ac:dyDescent="0.2">
      <c r="A2717" s="21"/>
      <c r="B2717" s="3" t="s">
        <v>6</v>
      </c>
      <c r="C2717" s="20" t="s">
        <v>65</v>
      </c>
      <c r="D2717" s="21"/>
    </row>
    <row r="2718" spans="1:4" ht="12.75" customHeight="1" x14ac:dyDescent="0.2">
      <c r="A2718" s="21"/>
      <c r="B2718" s="3" t="s">
        <v>8</v>
      </c>
      <c r="C2718" s="20" t="s">
        <v>764</v>
      </c>
      <c r="D2718" s="21"/>
    </row>
    <row r="2719" spans="1:4" ht="12.75" customHeight="1" x14ac:dyDescent="0.2">
      <c r="A2719" s="21"/>
      <c r="B2719" s="3" t="s">
        <v>9</v>
      </c>
      <c r="C2719" s="20" t="s">
        <v>716</v>
      </c>
      <c r="D2719" s="21"/>
    </row>
    <row r="2720" spans="1:4" ht="12.75" customHeight="1" x14ac:dyDescent="0.2">
      <c r="A2720" s="21"/>
      <c r="B2720" s="3" t="s">
        <v>11</v>
      </c>
      <c r="C2720" s="20" t="s">
        <v>645</v>
      </c>
      <c r="D2720" s="21"/>
    </row>
    <row r="2721" spans="1:4" ht="12.75" customHeight="1" x14ac:dyDescent="0.2">
      <c r="A2721" s="21"/>
      <c r="B2721" s="3" t="s">
        <v>13</v>
      </c>
      <c r="C2721" s="20" t="s">
        <v>24</v>
      </c>
      <c r="D2721" s="21"/>
    </row>
    <row r="2722" spans="1:4" ht="12.75" customHeight="1" x14ac:dyDescent="0.2">
      <c r="A2722" s="21"/>
      <c r="B2722" s="3" t="s">
        <v>15</v>
      </c>
      <c r="C2722" s="20" t="s">
        <v>24</v>
      </c>
      <c r="D2722" s="21"/>
    </row>
    <row r="2723" spans="1:4" ht="12.75" customHeight="1" x14ac:dyDescent="0.2">
      <c r="A2723" s="21"/>
      <c r="B2723" s="3" t="s">
        <v>16</v>
      </c>
      <c r="C2723" s="20"/>
      <c r="D2723" s="21"/>
    </row>
    <row r="2724" spans="1:4" ht="12.75" customHeight="1" x14ac:dyDescent="0.2">
      <c r="A2724" s="21"/>
      <c r="B2724" s="3" t="s">
        <v>17</v>
      </c>
      <c r="C2724" s="20"/>
      <c r="D2724" s="21"/>
    </row>
    <row r="2725" spans="1:4" ht="25.5" customHeight="1" x14ac:dyDescent="0.2">
      <c r="A2725" s="21"/>
      <c r="B2725" s="20" t="s">
        <v>18</v>
      </c>
      <c r="C2725" s="4" t="s">
        <v>44</v>
      </c>
      <c r="D2725" s="6" t="str">
        <f>HYPERLINK("javascript:void(0)","hypnoacél halálosztó")</f>
        <v>hypnoacél halálosztó</v>
      </c>
    </row>
    <row r="2726" spans="1:4" ht="12.75" customHeight="1" x14ac:dyDescent="0.2">
      <c r="A2726" s="21"/>
      <c r="B2726" s="21"/>
      <c r="C2726" s="4" t="s">
        <v>193</v>
      </c>
      <c r="D2726" s="6" t="str">
        <f>HYPERLINK("javascript:void(0)","ördögpihe")</f>
        <v>ördögpihe</v>
      </c>
    </row>
    <row r="2727" spans="1:4" ht="12.75" customHeight="1" x14ac:dyDescent="0.2">
      <c r="A2727" s="21"/>
      <c r="B2727" s="21"/>
      <c r="C2727" s="4" t="s">
        <v>142</v>
      </c>
      <c r="D2727" s="6" t="str">
        <f>HYPERLINK("javascript:void(0)","rozmáragyar")</f>
        <v>rozmáragyar</v>
      </c>
    </row>
    <row r="2728" spans="1:4" ht="12.75" customHeight="1" x14ac:dyDescent="0.2">
      <c r="A2728" s="5"/>
      <c r="B2728" s="2"/>
      <c r="C2728" s="2"/>
      <c r="D2728" s="2"/>
    </row>
    <row r="2729" spans="1:4" ht="12.75" customHeight="1" x14ac:dyDescent="0.2">
      <c r="A2729" s="22" t="str">
        <f>HYPERLINK("javascript:void(0)","centro kéziágyú")</f>
        <v>centro kéziágyú</v>
      </c>
      <c r="B2729" s="21"/>
      <c r="C2729" s="21"/>
      <c r="D2729" s="21"/>
    </row>
    <row r="2730" spans="1:4" ht="12.75" customHeight="1" x14ac:dyDescent="0.2">
      <c r="A2730" s="20"/>
      <c r="B2730" s="2"/>
      <c r="C2730" s="2"/>
      <c r="D2730" s="2"/>
    </row>
    <row r="2731" spans="1:4" ht="12.75" customHeight="1" x14ac:dyDescent="0.2">
      <c r="A2731" s="21"/>
      <c r="B2731" s="3" t="s">
        <v>0</v>
      </c>
      <c r="C2731" s="20" t="s">
        <v>253</v>
      </c>
      <c r="D2731" s="21"/>
    </row>
    <row r="2732" spans="1:4" ht="12.75" customHeight="1" x14ac:dyDescent="0.2">
      <c r="A2732" s="21"/>
      <c r="B2732" s="3" t="s">
        <v>2</v>
      </c>
      <c r="C2732" s="20" t="s">
        <v>3</v>
      </c>
      <c r="D2732" s="21"/>
    </row>
    <row r="2733" spans="1:4" ht="12.75" customHeight="1" x14ac:dyDescent="0.2">
      <c r="A2733" s="21"/>
      <c r="B2733" s="3" t="s">
        <v>4</v>
      </c>
      <c r="C2733" s="20" t="s">
        <v>768</v>
      </c>
      <c r="D2733" s="21"/>
    </row>
    <row r="2734" spans="1:4" ht="12.75" customHeight="1" x14ac:dyDescent="0.2">
      <c r="A2734" s="21"/>
      <c r="B2734" s="3" t="s">
        <v>6</v>
      </c>
      <c r="C2734" s="20" t="s">
        <v>178</v>
      </c>
      <c r="D2734" s="21"/>
    </row>
    <row r="2735" spans="1:4" ht="12.75" customHeight="1" x14ac:dyDescent="0.2">
      <c r="A2735" s="21"/>
      <c r="B2735" s="3" t="s">
        <v>8</v>
      </c>
      <c r="C2735" s="20" t="s">
        <v>768</v>
      </c>
      <c r="D2735" s="21"/>
    </row>
    <row r="2736" spans="1:4" ht="12.75" customHeight="1" x14ac:dyDescent="0.2">
      <c r="A2736" s="21"/>
      <c r="B2736" s="3" t="s">
        <v>9</v>
      </c>
      <c r="C2736" s="20" t="s">
        <v>769</v>
      </c>
      <c r="D2736" s="21"/>
    </row>
    <row r="2737" spans="1:4" ht="12.75" customHeight="1" x14ac:dyDescent="0.2">
      <c r="A2737" s="21"/>
      <c r="B2737" s="3" t="s">
        <v>11</v>
      </c>
      <c r="C2737" s="20" t="s">
        <v>770</v>
      </c>
      <c r="D2737" s="21"/>
    </row>
    <row r="2738" spans="1:4" ht="12.75" customHeight="1" x14ac:dyDescent="0.2">
      <c r="A2738" s="21"/>
      <c r="B2738" s="3" t="s">
        <v>13</v>
      </c>
      <c r="C2738" s="20" t="s">
        <v>24</v>
      </c>
      <c r="D2738" s="21"/>
    </row>
    <row r="2739" spans="1:4" ht="12.75" customHeight="1" x14ac:dyDescent="0.2">
      <c r="A2739" s="21"/>
      <c r="B2739" s="3" t="s">
        <v>15</v>
      </c>
      <c r="C2739" s="20" t="s">
        <v>24</v>
      </c>
      <c r="D2739" s="21"/>
    </row>
    <row r="2740" spans="1:4" ht="12.75" customHeight="1" x14ac:dyDescent="0.2">
      <c r="A2740" s="21"/>
      <c r="B2740" s="3" t="s">
        <v>16</v>
      </c>
      <c r="C2740" s="20"/>
      <c r="D2740" s="21"/>
    </row>
    <row r="2741" spans="1:4" ht="12.75" customHeight="1" x14ac:dyDescent="0.2">
      <c r="A2741" s="21"/>
      <c r="B2741" s="3" t="s">
        <v>17</v>
      </c>
      <c r="C2741" s="20"/>
      <c r="D2741" s="21"/>
    </row>
    <row r="2742" spans="1:4" ht="12.75" customHeight="1" x14ac:dyDescent="0.2">
      <c r="A2742" s="21"/>
      <c r="B2742" s="20" t="s">
        <v>18</v>
      </c>
      <c r="C2742" s="4" t="s">
        <v>44</v>
      </c>
      <c r="D2742" s="6" t="str">
        <f>HYPERLINK("javascript:void(0)","centro csúzli")</f>
        <v>centro csúzli</v>
      </c>
    </row>
    <row r="2743" spans="1:4" ht="12.75" customHeight="1" x14ac:dyDescent="0.2">
      <c r="A2743" s="21"/>
      <c r="B2743" s="21"/>
      <c r="C2743" s="4" t="s">
        <v>290</v>
      </c>
      <c r="D2743" s="6" t="str">
        <f>HYPERLINK("javascript:void(0)","betüvető")</f>
        <v>betüvető</v>
      </c>
    </row>
    <row r="2744" spans="1:4" ht="12.75" customHeight="1" x14ac:dyDescent="0.2">
      <c r="A2744" s="21"/>
      <c r="B2744" s="21"/>
      <c r="C2744" s="4" t="s">
        <v>98</v>
      </c>
      <c r="D2744" s="6" t="str">
        <f>HYPERLINK("javascript:void(0)","gőg")</f>
        <v>gőg</v>
      </c>
    </row>
    <row r="2745" spans="1:4" ht="12.75" customHeight="1" x14ac:dyDescent="0.2">
      <c r="A2745" s="5"/>
      <c r="B2745" s="2"/>
      <c r="C2745" s="2"/>
      <c r="D2745" s="2"/>
    </row>
    <row r="2746" spans="1:4" ht="12.75" customHeight="1" x14ac:dyDescent="0.2">
      <c r="A2746" s="22" t="str">
        <f>HYPERLINK("javascript:void(0)","harmatacél csúzli")</f>
        <v>harmatacél csúzli</v>
      </c>
      <c r="B2746" s="21"/>
      <c r="C2746" s="21"/>
      <c r="D2746" s="21"/>
    </row>
    <row r="2747" spans="1:4" ht="12.75" customHeight="1" x14ac:dyDescent="0.2">
      <c r="A2747" s="20"/>
      <c r="B2747" s="2"/>
      <c r="C2747" s="2"/>
      <c r="D2747" s="2"/>
    </row>
    <row r="2748" spans="1:4" ht="12.75" customHeight="1" x14ac:dyDescent="0.2">
      <c r="A2748" s="21"/>
      <c r="B2748" s="3" t="s">
        <v>0</v>
      </c>
      <c r="C2748" s="20" t="s">
        <v>253</v>
      </c>
      <c r="D2748" s="21"/>
    </row>
    <row r="2749" spans="1:4" ht="12.75" customHeight="1" x14ac:dyDescent="0.2">
      <c r="A2749" s="21"/>
      <c r="B2749" s="3" t="s">
        <v>2</v>
      </c>
      <c r="C2749" s="20" t="s">
        <v>3</v>
      </c>
      <c r="D2749" s="21"/>
    </row>
    <row r="2750" spans="1:4" ht="12.75" customHeight="1" x14ac:dyDescent="0.2">
      <c r="A2750" s="21"/>
      <c r="B2750" s="3" t="s">
        <v>4</v>
      </c>
      <c r="C2750" s="20" t="s">
        <v>771</v>
      </c>
      <c r="D2750" s="21"/>
    </row>
    <row r="2751" spans="1:4" ht="12.75" customHeight="1" x14ac:dyDescent="0.2">
      <c r="A2751" s="21"/>
      <c r="B2751" s="3" t="s">
        <v>6</v>
      </c>
      <c r="C2751" s="20" t="s">
        <v>65</v>
      </c>
      <c r="D2751" s="21"/>
    </row>
    <row r="2752" spans="1:4" ht="12.75" customHeight="1" x14ac:dyDescent="0.2">
      <c r="A2752" s="21"/>
      <c r="B2752" s="3" t="s">
        <v>8</v>
      </c>
      <c r="C2752" s="20" t="s">
        <v>771</v>
      </c>
      <c r="D2752" s="21"/>
    </row>
    <row r="2753" spans="1:4" ht="12.75" customHeight="1" x14ac:dyDescent="0.2">
      <c r="A2753" s="21"/>
      <c r="B2753" s="3" t="s">
        <v>9</v>
      </c>
      <c r="C2753" s="20" t="s">
        <v>707</v>
      </c>
      <c r="D2753" s="21"/>
    </row>
    <row r="2754" spans="1:4" ht="12.75" customHeight="1" x14ac:dyDescent="0.2">
      <c r="A2754" s="21"/>
      <c r="B2754" s="3" t="s">
        <v>11</v>
      </c>
      <c r="C2754" s="20" t="s">
        <v>653</v>
      </c>
      <c r="D2754" s="21"/>
    </row>
    <row r="2755" spans="1:4" ht="12.75" customHeight="1" x14ac:dyDescent="0.2">
      <c r="A2755" s="21"/>
      <c r="B2755" s="3" t="s">
        <v>13</v>
      </c>
      <c r="C2755" s="20" t="s">
        <v>24</v>
      </c>
      <c r="D2755" s="21"/>
    </row>
    <row r="2756" spans="1:4" ht="12.75" customHeight="1" x14ac:dyDescent="0.2">
      <c r="A2756" s="21"/>
      <c r="B2756" s="3" t="s">
        <v>15</v>
      </c>
      <c r="C2756" s="20" t="s">
        <v>24</v>
      </c>
      <c r="D2756" s="21"/>
    </row>
    <row r="2757" spans="1:4" ht="12.75" customHeight="1" x14ac:dyDescent="0.2">
      <c r="A2757" s="21"/>
      <c r="B2757" s="3" t="s">
        <v>16</v>
      </c>
      <c r="C2757" s="20"/>
      <c r="D2757" s="21"/>
    </row>
    <row r="2758" spans="1:4" ht="12.75" customHeight="1" x14ac:dyDescent="0.2">
      <c r="A2758" s="21"/>
      <c r="B2758" s="3" t="s">
        <v>17</v>
      </c>
      <c r="C2758" s="20"/>
      <c r="D2758" s="21"/>
    </row>
    <row r="2759" spans="1:4" ht="25.5" customHeight="1" x14ac:dyDescent="0.2">
      <c r="A2759" s="21"/>
      <c r="B2759" s="20" t="s">
        <v>18</v>
      </c>
      <c r="C2759" s="4" t="s">
        <v>44</v>
      </c>
      <c r="D2759" s="6" t="str">
        <f>HYPERLINK("javascript:void(0)","harmatacél halálosztó")</f>
        <v>harmatacél halálosztó</v>
      </c>
    </row>
    <row r="2760" spans="1:4" ht="12.75" customHeight="1" x14ac:dyDescent="0.2">
      <c r="A2760" s="21"/>
      <c r="B2760" s="21"/>
      <c r="C2760" s="4" t="s">
        <v>772</v>
      </c>
      <c r="D2760" s="6" t="str">
        <f>HYPERLINK("javascript:void(0)","harmatcsepp")</f>
        <v>harmatcsepp</v>
      </c>
    </row>
    <row r="2761" spans="1:4" ht="12.75" customHeight="1" x14ac:dyDescent="0.2">
      <c r="A2761" s="21"/>
      <c r="B2761" s="21"/>
      <c r="C2761" s="4" t="s">
        <v>98</v>
      </c>
      <c r="D2761" s="6" t="str">
        <f>HYPERLINK("javascript:void(0)","pillepikkely")</f>
        <v>pillepikkely</v>
      </c>
    </row>
    <row r="2762" spans="1:4" ht="12.75" customHeight="1" x14ac:dyDescent="0.2">
      <c r="A2762" s="5"/>
      <c r="B2762" s="2"/>
      <c r="C2762" s="2"/>
      <c r="D2762" s="2"/>
    </row>
    <row r="2763" spans="1:4" ht="12.75" customHeight="1" x14ac:dyDescent="0.2">
      <c r="A2763" s="22" t="str">
        <f>HYPERLINK("javascript:void(0)","hiper kéziágyú")</f>
        <v>hiper kéziágyú</v>
      </c>
      <c r="B2763" s="21"/>
      <c r="C2763" s="21"/>
      <c r="D2763" s="21"/>
    </row>
    <row r="2764" spans="1:4" ht="12.75" customHeight="1" x14ac:dyDescent="0.2">
      <c r="A2764" s="20"/>
      <c r="B2764" s="2"/>
      <c r="C2764" s="2"/>
      <c r="D2764" s="2"/>
    </row>
    <row r="2765" spans="1:4" ht="12.75" customHeight="1" x14ac:dyDescent="0.2">
      <c r="A2765" s="21"/>
      <c r="B2765" s="3" t="s">
        <v>0</v>
      </c>
      <c r="C2765" s="20" t="s">
        <v>773</v>
      </c>
      <c r="D2765" s="21"/>
    </row>
    <row r="2766" spans="1:4" ht="12.75" customHeight="1" x14ac:dyDescent="0.2">
      <c r="A2766" s="21"/>
      <c r="B2766" s="3" t="s">
        <v>2</v>
      </c>
      <c r="C2766" s="20" t="s">
        <v>3</v>
      </c>
      <c r="D2766" s="21"/>
    </row>
    <row r="2767" spans="1:4" ht="12.75" customHeight="1" x14ac:dyDescent="0.2">
      <c r="A2767" s="21"/>
      <c r="B2767" s="3" t="s">
        <v>4</v>
      </c>
      <c r="C2767" s="20" t="s">
        <v>774</v>
      </c>
      <c r="D2767" s="21"/>
    </row>
    <row r="2768" spans="1:4" ht="12.75" customHeight="1" x14ac:dyDescent="0.2">
      <c r="A2768" s="21"/>
      <c r="B2768" s="3" t="s">
        <v>6</v>
      </c>
      <c r="C2768" s="20" t="s">
        <v>178</v>
      </c>
      <c r="D2768" s="21"/>
    </row>
    <row r="2769" spans="1:4" ht="12.75" customHeight="1" x14ac:dyDescent="0.2">
      <c r="A2769" s="21"/>
      <c r="B2769" s="3" t="s">
        <v>8</v>
      </c>
      <c r="C2769" s="20" t="s">
        <v>774</v>
      </c>
      <c r="D2769" s="21"/>
    </row>
    <row r="2770" spans="1:4" ht="12.75" customHeight="1" x14ac:dyDescent="0.2">
      <c r="A2770" s="21"/>
      <c r="B2770" s="3" t="s">
        <v>9</v>
      </c>
      <c r="C2770" s="20" t="s">
        <v>27</v>
      </c>
      <c r="D2770" s="21"/>
    </row>
    <row r="2771" spans="1:4" ht="12.75" customHeight="1" x14ac:dyDescent="0.2">
      <c r="A2771" s="21"/>
      <c r="B2771" s="3" t="s">
        <v>11</v>
      </c>
      <c r="C2771" s="20" t="s">
        <v>775</v>
      </c>
      <c r="D2771" s="21"/>
    </row>
    <row r="2772" spans="1:4" ht="12.75" customHeight="1" x14ac:dyDescent="0.2">
      <c r="A2772" s="21"/>
      <c r="B2772" s="3" t="s">
        <v>13</v>
      </c>
      <c r="C2772" s="20" t="s">
        <v>24</v>
      </c>
      <c r="D2772" s="21"/>
    </row>
    <row r="2773" spans="1:4" ht="12.75" customHeight="1" x14ac:dyDescent="0.2">
      <c r="A2773" s="21"/>
      <c r="B2773" s="3" t="s">
        <v>15</v>
      </c>
      <c r="C2773" s="20" t="s">
        <v>24</v>
      </c>
      <c r="D2773" s="21"/>
    </row>
    <row r="2774" spans="1:4" ht="12.75" customHeight="1" x14ac:dyDescent="0.2">
      <c r="A2774" s="21"/>
      <c r="B2774" s="3" t="s">
        <v>16</v>
      </c>
      <c r="C2774" s="20"/>
      <c r="D2774" s="21"/>
    </row>
    <row r="2775" spans="1:4" ht="12.75" customHeight="1" x14ac:dyDescent="0.2">
      <c r="A2775" s="21"/>
      <c r="B2775" s="3" t="s">
        <v>17</v>
      </c>
      <c r="C2775" s="20"/>
      <c r="D2775" s="21"/>
    </row>
    <row r="2776" spans="1:4" ht="12.75" customHeight="1" x14ac:dyDescent="0.2">
      <c r="A2776" s="21"/>
      <c r="B2776" s="20" t="s">
        <v>18</v>
      </c>
      <c r="C2776" s="4" t="s">
        <v>44</v>
      </c>
      <c r="D2776" s="6" t="str">
        <f>HYPERLINK("javascript:void(0)","hiper csúzli")</f>
        <v>hiper csúzli</v>
      </c>
    </row>
    <row r="2777" spans="1:4" ht="12.75" customHeight="1" x14ac:dyDescent="0.2">
      <c r="A2777" s="21"/>
      <c r="B2777" s="21"/>
      <c r="C2777" s="4" t="s">
        <v>309</v>
      </c>
      <c r="D2777" s="6" t="str">
        <f>HYPERLINK("javascript:void(0)","betüvető")</f>
        <v>betüvető</v>
      </c>
    </row>
    <row r="2778" spans="1:4" ht="12.75" customHeight="1" x14ac:dyDescent="0.2">
      <c r="A2778" s="21"/>
      <c r="B2778" s="21"/>
      <c r="C2778" s="4" t="s">
        <v>369</v>
      </c>
      <c r="D2778" s="6" t="str">
        <f>HYPERLINK("javascript:void(0)","orr")</f>
        <v>orr</v>
      </c>
    </row>
    <row r="2779" spans="1:4" ht="12.75" customHeight="1" x14ac:dyDescent="0.2">
      <c r="A2779" s="5"/>
      <c r="B2779" s="2"/>
      <c r="C2779" s="2"/>
      <c r="D2779" s="2"/>
    </row>
    <row r="2780" spans="1:4" ht="12.75" customHeight="1" x14ac:dyDescent="0.2">
      <c r="A2780" s="22" t="str">
        <f>HYPERLINK("javascript:void(0)","hidracél kéziágyú")</f>
        <v>hidracél kéziágyú</v>
      </c>
      <c r="B2780" s="21"/>
      <c r="C2780" s="21"/>
      <c r="D2780" s="21"/>
    </row>
    <row r="2781" spans="1:4" ht="12.75" customHeight="1" x14ac:dyDescent="0.2">
      <c r="A2781" s="20"/>
      <c r="B2781" s="2"/>
      <c r="C2781" s="2"/>
      <c r="D2781" s="2"/>
    </row>
    <row r="2782" spans="1:4" ht="12.75" customHeight="1" x14ac:dyDescent="0.2">
      <c r="A2782" s="21"/>
      <c r="B2782" s="3" t="s">
        <v>0</v>
      </c>
      <c r="C2782" s="20" t="s">
        <v>776</v>
      </c>
      <c r="D2782" s="21"/>
    </row>
    <row r="2783" spans="1:4" ht="12.75" customHeight="1" x14ac:dyDescent="0.2">
      <c r="A2783" s="21"/>
      <c r="B2783" s="3" t="s">
        <v>2</v>
      </c>
      <c r="C2783" s="20" t="s">
        <v>3</v>
      </c>
      <c r="D2783" s="21"/>
    </row>
    <row r="2784" spans="1:4" ht="12.75" customHeight="1" x14ac:dyDescent="0.2">
      <c r="A2784" s="21"/>
      <c r="B2784" s="3" t="s">
        <v>4</v>
      </c>
      <c r="C2784" s="20" t="s">
        <v>777</v>
      </c>
      <c r="D2784" s="21"/>
    </row>
    <row r="2785" spans="1:4" ht="12.75" customHeight="1" x14ac:dyDescent="0.2">
      <c r="A2785" s="21"/>
      <c r="B2785" s="3" t="s">
        <v>6</v>
      </c>
      <c r="C2785" s="20" t="s">
        <v>260</v>
      </c>
      <c r="D2785" s="21"/>
    </row>
    <row r="2786" spans="1:4" ht="12.75" customHeight="1" x14ac:dyDescent="0.2">
      <c r="A2786" s="21"/>
      <c r="B2786" s="3" t="s">
        <v>8</v>
      </c>
      <c r="C2786" s="20" t="s">
        <v>777</v>
      </c>
      <c r="D2786" s="21"/>
    </row>
    <row r="2787" spans="1:4" ht="12.75" customHeight="1" x14ac:dyDescent="0.2">
      <c r="A2787" s="21"/>
      <c r="B2787" s="3" t="s">
        <v>9</v>
      </c>
      <c r="C2787" s="20" t="s">
        <v>778</v>
      </c>
      <c r="D2787" s="21"/>
    </row>
    <row r="2788" spans="1:4" ht="12.75" customHeight="1" x14ac:dyDescent="0.2">
      <c r="A2788" s="21"/>
      <c r="B2788" s="3" t="s">
        <v>11</v>
      </c>
      <c r="C2788" s="20" t="s">
        <v>779</v>
      </c>
      <c r="D2788" s="21"/>
    </row>
    <row r="2789" spans="1:4" ht="12.75" customHeight="1" x14ac:dyDescent="0.2">
      <c r="A2789" s="21"/>
      <c r="B2789" s="3" t="s">
        <v>13</v>
      </c>
      <c r="C2789" s="20" t="s">
        <v>24</v>
      </c>
      <c r="D2789" s="21"/>
    </row>
    <row r="2790" spans="1:4" ht="12.75" customHeight="1" x14ac:dyDescent="0.2">
      <c r="A2790" s="21"/>
      <c r="B2790" s="3" t="s">
        <v>15</v>
      </c>
      <c r="C2790" s="20" t="s">
        <v>24</v>
      </c>
      <c r="D2790" s="21"/>
    </row>
    <row r="2791" spans="1:4" ht="12.75" customHeight="1" x14ac:dyDescent="0.2">
      <c r="A2791" s="21"/>
      <c r="B2791" s="3" t="s">
        <v>16</v>
      </c>
      <c r="C2791" s="20"/>
      <c r="D2791" s="21"/>
    </row>
    <row r="2792" spans="1:4" ht="12.75" customHeight="1" x14ac:dyDescent="0.2">
      <c r="A2792" s="21"/>
      <c r="B2792" s="3" t="s">
        <v>17</v>
      </c>
      <c r="C2792" s="20"/>
      <c r="D2792" s="21"/>
    </row>
    <row r="2793" spans="1:4" ht="12.75" customHeight="1" x14ac:dyDescent="0.2">
      <c r="A2793" s="21"/>
      <c r="B2793" s="20" t="s">
        <v>18</v>
      </c>
      <c r="C2793" s="4" t="s">
        <v>44</v>
      </c>
      <c r="D2793" s="6" t="str">
        <f>HYPERLINK("javascript:void(0)","hidracél csúzli")</f>
        <v>hidracél csúzli</v>
      </c>
    </row>
    <row r="2794" spans="1:4" ht="12.75" customHeight="1" x14ac:dyDescent="0.2">
      <c r="A2794" s="21"/>
      <c r="B2794" s="21"/>
      <c r="C2794" s="4" t="s">
        <v>780</v>
      </c>
      <c r="D2794" s="6" t="str">
        <f>HYPERLINK("javascript:void(0)","betüvető")</f>
        <v>betüvető</v>
      </c>
    </row>
    <row r="2795" spans="1:4" ht="12.75" customHeight="1" x14ac:dyDescent="0.2">
      <c r="A2795" s="21"/>
      <c r="B2795" s="21"/>
      <c r="C2795" s="4" t="s">
        <v>132</v>
      </c>
      <c r="D2795" s="6" t="str">
        <f>HYPERLINK("javascript:void(0)","brummogás")</f>
        <v>brummogás</v>
      </c>
    </row>
    <row r="2796" spans="1:4" ht="12.75" customHeight="1" x14ac:dyDescent="0.2">
      <c r="A2796" s="5"/>
      <c r="B2796" s="2"/>
      <c r="C2796" s="2"/>
      <c r="D2796" s="2"/>
    </row>
    <row r="2797" spans="1:4" ht="12.75" customHeight="1" x14ac:dyDescent="0.2">
      <c r="A2797" s="22" t="str">
        <f>HYPERLINK("javascript:void(0)","smaragd tűdobó")</f>
        <v>smaragd tűdobó</v>
      </c>
      <c r="B2797" s="21"/>
      <c r="C2797" s="21"/>
      <c r="D2797" s="21"/>
    </row>
    <row r="2798" spans="1:4" ht="12.75" customHeight="1" x14ac:dyDescent="0.2">
      <c r="A2798" s="20"/>
      <c r="B2798" s="2"/>
      <c r="C2798" s="2"/>
      <c r="D2798" s="2"/>
    </row>
    <row r="2799" spans="1:4" ht="12.75" customHeight="1" x14ac:dyDescent="0.2">
      <c r="A2799" s="21"/>
      <c r="B2799" s="3" t="s">
        <v>0</v>
      </c>
      <c r="C2799" s="20" t="s">
        <v>776</v>
      </c>
      <c r="D2799" s="21"/>
    </row>
    <row r="2800" spans="1:4" ht="12.75" customHeight="1" x14ac:dyDescent="0.2">
      <c r="A2800" s="21"/>
      <c r="B2800" s="3" t="s">
        <v>2</v>
      </c>
      <c r="C2800" s="20" t="s">
        <v>3</v>
      </c>
      <c r="D2800" s="21"/>
    </row>
    <row r="2801" spans="1:4" ht="12.75" customHeight="1" x14ac:dyDescent="0.2">
      <c r="A2801" s="21"/>
      <c r="B2801" s="3" t="s">
        <v>4</v>
      </c>
      <c r="C2801" s="20" t="s">
        <v>781</v>
      </c>
      <c r="D2801" s="21"/>
    </row>
    <row r="2802" spans="1:4" ht="12.75" customHeight="1" x14ac:dyDescent="0.2">
      <c r="A2802" s="21"/>
      <c r="B2802" s="3" t="s">
        <v>6</v>
      </c>
      <c r="C2802" s="20" t="s">
        <v>65</v>
      </c>
      <c r="D2802" s="21"/>
    </row>
    <row r="2803" spans="1:4" ht="12.75" customHeight="1" x14ac:dyDescent="0.2">
      <c r="A2803" s="21"/>
      <c r="B2803" s="3" t="s">
        <v>8</v>
      </c>
      <c r="C2803" s="20" t="s">
        <v>781</v>
      </c>
      <c r="D2803" s="21"/>
    </row>
    <row r="2804" spans="1:4" ht="12.75" customHeight="1" x14ac:dyDescent="0.2">
      <c r="A2804" s="21"/>
      <c r="B2804" s="3" t="s">
        <v>9</v>
      </c>
      <c r="C2804" s="20" t="s">
        <v>707</v>
      </c>
      <c r="D2804" s="21"/>
    </row>
    <row r="2805" spans="1:4" ht="12.75" customHeight="1" x14ac:dyDescent="0.2">
      <c r="A2805" s="21"/>
      <c r="B2805" s="3" t="s">
        <v>11</v>
      </c>
      <c r="C2805" s="20" t="s">
        <v>666</v>
      </c>
      <c r="D2805" s="21"/>
    </row>
    <row r="2806" spans="1:4" ht="12.75" customHeight="1" x14ac:dyDescent="0.2">
      <c r="A2806" s="21"/>
      <c r="B2806" s="3" t="s">
        <v>13</v>
      </c>
      <c r="C2806" s="20" t="s">
        <v>24</v>
      </c>
      <c r="D2806" s="21"/>
    </row>
    <row r="2807" spans="1:4" ht="12.75" customHeight="1" x14ac:dyDescent="0.2">
      <c r="A2807" s="21"/>
      <c r="B2807" s="3" t="s">
        <v>15</v>
      </c>
      <c r="C2807" s="20" t="s">
        <v>24</v>
      </c>
      <c r="D2807" s="21"/>
    </row>
    <row r="2808" spans="1:4" ht="12.75" customHeight="1" x14ac:dyDescent="0.2">
      <c r="A2808" s="21"/>
      <c r="B2808" s="3" t="s">
        <v>16</v>
      </c>
      <c r="C2808" s="20"/>
      <c r="D2808" s="21"/>
    </row>
    <row r="2809" spans="1:4" ht="12.75" customHeight="1" x14ac:dyDescent="0.2">
      <c r="A2809" s="21"/>
      <c r="B2809" s="3" t="s">
        <v>17</v>
      </c>
      <c r="C2809" s="20"/>
      <c r="D2809" s="21"/>
    </row>
    <row r="2810" spans="1:4" ht="12.75" customHeight="1" x14ac:dyDescent="0.2">
      <c r="A2810" s="21"/>
      <c r="B2810" s="20" t="s">
        <v>18</v>
      </c>
      <c r="C2810" s="4" t="s">
        <v>44</v>
      </c>
      <c r="D2810" s="6" t="str">
        <f>HYPERLINK("javascript:void(0)","smaragd kéziágyú")</f>
        <v>smaragd kéziágyú</v>
      </c>
    </row>
    <row r="2811" spans="1:4" ht="12.75" customHeight="1" x14ac:dyDescent="0.2">
      <c r="A2811" s="21"/>
      <c r="B2811" s="21"/>
      <c r="C2811" s="4" t="s">
        <v>370</v>
      </c>
      <c r="D2811" s="6" t="str">
        <f>HYPERLINK("javascript:void(0)","smaragd")</f>
        <v>smaragd</v>
      </c>
    </row>
    <row r="2812" spans="1:4" ht="12.75" customHeight="1" x14ac:dyDescent="0.2">
      <c r="A2812" s="21"/>
      <c r="B2812" s="21"/>
      <c r="C2812" s="4" t="s">
        <v>102</v>
      </c>
      <c r="D2812" s="6" t="str">
        <f>HYPERLINK("javascript:void(0)","hálószem")</f>
        <v>hálószem</v>
      </c>
    </row>
    <row r="2813" spans="1:4" ht="12.75" customHeight="1" x14ac:dyDescent="0.2">
      <c r="A2813" s="5"/>
      <c r="B2813" s="2"/>
      <c r="C2813" s="2"/>
      <c r="D2813" s="2"/>
    </row>
    <row r="2814" spans="1:4" ht="12.75" customHeight="1" x14ac:dyDescent="0.2">
      <c r="A2814" s="22" t="str">
        <f>HYPERLINK("javascript:void(0)","démonacél kéziágyú")</f>
        <v>démonacél kéziágyú</v>
      </c>
      <c r="B2814" s="21"/>
      <c r="C2814" s="21"/>
      <c r="D2814" s="21"/>
    </row>
    <row r="2815" spans="1:4" ht="12.75" customHeight="1" x14ac:dyDescent="0.2">
      <c r="A2815" s="20"/>
      <c r="B2815" s="2"/>
      <c r="C2815" s="2"/>
      <c r="D2815" s="2"/>
    </row>
    <row r="2816" spans="1:4" ht="12.75" customHeight="1" x14ac:dyDescent="0.2">
      <c r="A2816" s="21"/>
      <c r="B2816" s="3" t="s">
        <v>0</v>
      </c>
      <c r="C2816" s="20" t="s">
        <v>782</v>
      </c>
      <c r="D2816" s="21"/>
    </row>
    <row r="2817" spans="1:4" ht="12.75" customHeight="1" x14ac:dyDescent="0.2">
      <c r="A2817" s="21"/>
      <c r="B2817" s="3" t="s">
        <v>2</v>
      </c>
      <c r="C2817" s="20" t="s">
        <v>3</v>
      </c>
      <c r="D2817" s="21"/>
    </row>
    <row r="2818" spans="1:4" ht="12.75" customHeight="1" x14ac:dyDescent="0.2">
      <c r="A2818" s="21"/>
      <c r="B2818" s="3" t="s">
        <v>4</v>
      </c>
      <c r="C2818" s="20" t="s">
        <v>783</v>
      </c>
      <c r="D2818" s="21"/>
    </row>
    <row r="2819" spans="1:4" ht="12.75" customHeight="1" x14ac:dyDescent="0.2">
      <c r="A2819" s="21"/>
      <c r="B2819" s="3" t="s">
        <v>6</v>
      </c>
      <c r="C2819" s="20" t="s">
        <v>284</v>
      </c>
      <c r="D2819" s="21"/>
    </row>
    <row r="2820" spans="1:4" ht="12.75" customHeight="1" x14ac:dyDescent="0.2">
      <c r="A2820" s="21"/>
      <c r="B2820" s="3" t="s">
        <v>8</v>
      </c>
      <c r="C2820" s="20" t="s">
        <v>783</v>
      </c>
      <c r="D2820" s="21"/>
    </row>
    <row r="2821" spans="1:4" ht="12.75" customHeight="1" x14ac:dyDescent="0.2">
      <c r="A2821" s="21"/>
      <c r="B2821" s="3" t="s">
        <v>9</v>
      </c>
      <c r="C2821" s="20" t="s">
        <v>784</v>
      </c>
      <c r="D2821" s="21"/>
    </row>
    <row r="2822" spans="1:4" ht="12.75" customHeight="1" x14ac:dyDescent="0.2">
      <c r="A2822" s="21"/>
      <c r="B2822" s="3" t="s">
        <v>11</v>
      </c>
      <c r="C2822" s="20" t="s">
        <v>785</v>
      </c>
      <c r="D2822" s="21"/>
    </row>
    <row r="2823" spans="1:4" ht="12.75" customHeight="1" x14ac:dyDescent="0.2">
      <c r="A2823" s="21"/>
      <c r="B2823" s="3" t="s">
        <v>13</v>
      </c>
      <c r="C2823" s="20" t="s">
        <v>24</v>
      </c>
      <c r="D2823" s="21"/>
    </row>
    <row r="2824" spans="1:4" ht="12.75" customHeight="1" x14ac:dyDescent="0.2">
      <c r="A2824" s="21"/>
      <c r="B2824" s="3" t="s">
        <v>15</v>
      </c>
      <c r="C2824" s="20" t="s">
        <v>24</v>
      </c>
      <c r="D2824" s="21"/>
    </row>
    <row r="2825" spans="1:4" ht="12.75" customHeight="1" x14ac:dyDescent="0.2">
      <c r="A2825" s="21"/>
      <c r="B2825" s="3" t="s">
        <v>16</v>
      </c>
      <c r="C2825" s="20"/>
      <c r="D2825" s="21"/>
    </row>
    <row r="2826" spans="1:4" ht="12.75" customHeight="1" x14ac:dyDescent="0.2">
      <c r="A2826" s="21"/>
      <c r="B2826" s="3" t="s">
        <v>17</v>
      </c>
      <c r="C2826" s="20"/>
      <c r="D2826" s="21"/>
    </row>
    <row r="2827" spans="1:4" ht="12.75" customHeight="1" x14ac:dyDescent="0.2">
      <c r="A2827" s="21"/>
      <c r="B2827" s="20" t="s">
        <v>18</v>
      </c>
      <c r="C2827" s="4" t="s">
        <v>44</v>
      </c>
      <c r="D2827" s="6" t="str">
        <f>HYPERLINK("javascript:void(0)","démonacél csúzli")</f>
        <v>démonacél csúzli</v>
      </c>
    </row>
    <row r="2828" spans="1:4" ht="12.75" customHeight="1" x14ac:dyDescent="0.2">
      <c r="A2828" s="21"/>
      <c r="B2828" s="21"/>
      <c r="C2828" s="4" t="s">
        <v>786</v>
      </c>
      <c r="D2828" s="6" t="str">
        <f>HYPERLINK("javascript:void(0)","betüvető")</f>
        <v>betüvető</v>
      </c>
    </row>
    <row r="2829" spans="1:4" ht="12.75" customHeight="1" x14ac:dyDescent="0.2">
      <c r="A2829" s="21"/>
      <c r="B2829" s="21"/>
      <c r="C2829" s="4" t="s">
        <v>474</v>
      </c>
      <c r="D2829" s="6" t="str">
        <f>HYPERLINK("javascript:void(0)","ördögpihe")</f>
        <v>ördögpihe</v>
      </c>
    </row>
    <row r="2830" spans="1:4" ht="12.75" customHeight="1" x14ac:dyDescent="0.2">
      <c r="A2830" s="5"/>
      <c r="B2830" s="2"/>
      <c r="C2830" s="2"/>
      <c r="D2830" s="2"/>
    </row>
    <row r="2831" spans="1:4" ht="12.75" customHeight="1" x14ac:dyDescent="0.2">
      <c r="A2831" s="22" t="str">
        <f>HYPERLINK("javascript:void(0)","rubin tűdobó")</f>
        <v>rubin tűdobó</v>
      </c>
      <c r="B2831" s="21"/>
      <c r="C2831" s="21"/>
      <c r="D2831" s="21"/>
    </row>
    <row r="2832" spans="1:4" ht="12.75" customHeight="1" x14ac:dyDescent="0.2">
      <c r="A2832" s="20"/>
      <c r="B2832" s="2"/>
      <c r="C2832" s="2"/>
      <c r="D2832" s="2"/>
    </row>
    <row r="2833" spans="1:4" ht="12.75" customHeight="1" x14ac:dyDescent="0.2">
      <c r="A2833" s="21"/>
      <c r="B2833" s="3" t="s">
        <v>0</v>
      </c>
      <c r="C2833" s="20" t="s">
        <v>782</v>
      </c>
      <c r="D2833" s="21"/>
    </row>
    <row r="2834" spans="1:4" ht="12.75" customHeight="1" x14ac:dyDescent="0.2">
      <c r="A2834" s="21"/>
      <c r="B2834" s="3" t="s">
        <v>2</v>
      </c>
      <c r="C2834" s="20" t="s">
        <v>3</v>
      </c>
      <c r="D2834" s="21"/>
    </row>
    <row r="2835" spans="1:4" ht="12.75" customHeight="1" x14ac:dyDescent="0.2">
      <c r="A2835" s="21"/>
      <c r="B2835" s="3" t="s">
        <v>4</v>
      </c>
      <c r="C2835" s="20" t="s">
        <v>787</v>
      </c>
      <c r="D2835" s="21"/>
    </row>
    <row r="2836" spans="1:4" ht="12.75" customHeight="1" x14ac:dyDescent="0.2">
      <c r="A2836" s="21"/>
      <c r="B2836" s="3" t="s">
        <v>6</v>
      </c>
      <c r="C2836" s="20" t="s">
        <v>65</v>
      </c>
      <c r="D2836" s="21"/>
    </row>
    <row r="2837" spans="1:4" ht="12.75" customHeight="1" x14ac:dyDescent="0.2">
      <c r="A2837" s="21"/>
      <c r="B2837" s="3" t="s">
        <v>8</v>
      </c>
      <c r="C2837" s="20" t="s">
        <v>787</v>
      </c>
      <c r="D2837" s="21"/>
    </row>
    <row r="2838" spans="1:4" ht="12.75" customHeight="1" x14ac:dyDescent="0.2">
      <c r="A2838" s="21"/>
      <c r="B2838" s="3" t="s">
        <v>9</v>
      </c>
      <c r="C2838" s="20" t="s">
        <v>716</v>
      </c>
      <c r="D2838" s="21"/>
    </row>
    <row r="2839" spans="1:4" ht="12.75" customHeight="1" x14ac:dyDescent="0.2">
      <c r="A2839" s="21"/>
      <c r="B2839" s="3" t="s">
        <v>11</v>
      </c>
      <c r="C2839" s="20" t="s">
        <v>674</v>
      </c>
      <c r="D2839" s="21"/>
    </row>
    <row r="2840" spans="1:4" ht="12.75" customHeight="1" x14ac:dyDescent="0.2">
      <c r="A2840" s="21"/>
      <c r="B2840" s="3" t="s">
        <v>13</v>
      </c>
      <c r="C2840" s="20" t="s">
        <v>24</v>
      </c>
      <c r="D2840" s="21"/>
    </row>
    <row r="2841" spans="1:4" ht="12.75" customHeight="1" x14ac:dyDescent="0.2">
      <c r="A2841" s="21"/>
      <c r="B2841" s="3" t="s">
        <v>15</v>
      </c>
      <c r="C2841" s="20" t="s">
        <v>24</v>
      </c>
      <c r="D2841" s="21"/>
    </row>
    <row r="2842" spans="1:4" ht="12.75" customHeight="1" x14ac:dyDescent="0.2">
      <c r="A2842" s="21"/>
      <c r="B2842" s="3" t="s">
        <v>16</v>
      </c>
      <c r="C2842" s="20"/>
      <c r="D2842" s="21"/>
    </row>
    <row r="2843" spans="1:4" ht="12.75" customHeight="1" x14ac:dyDescent="0.2">
      <c r="A2843" s="21"/>
      <c r="B2843" s="3" t="s">
        <v>17</v>
      </c>
      <c r="C2843" s="20"/>
      <c r="D2843" s="21"/>
    </row>
    <row r="2844" spans="1:4" ht="12.75" customHeight="1" x14ac:dyDescent="0.2">
      <c r="A2844" s="21"/>
      <c r="B2844" s="20" t="s">
        <v>18</v>
      </c>
      <c r="C2844" s="4" t="s">
        <v>44</v>
      </c>
      <c r="D2844" s="6" t="str">
        <f>HYPERLINK("javascript:void(0)","rubin kéziágyú")</f>
        <v>rubin kéziágyú</v>
      </c>
    </row>
    <row r="2845" spans="1:4" ht="12.75" customHeight="1" x14ac:dyDescent="0.2">
      <c r="A2845" s="21"/>
      <c r="B2845" s="21"/>
      <c r="C2845" s="4" t="s">
        <v>789</v>
      </c>
      <c r="D2845" s="6" t="str">
        <f>HYPERLINK("javascript:void(0)","rubin")</f>
        <v>rubin</v>
      </c>
    </row>
    <row r="2846" spans="1:4" ht="12.75" customHeight="1" x14ac:dyDescent="0.2">
      <c r="A2846" s="21"/>
      <c r="B2846" s="21"/>
      <c r="C2846" s="4" t="s">
        <v>68</v>
      </c>
      <c r="D2846" s="6" t="str">
        <f>HYPERLINK("javascript:void(0)","lékék")</f>
        <v>lékék</v>
      </c>
    </row>
    <row r="2847" spans="1:4" ht="12.75" customHeight="1" x14ac:dyDescent="0.2">
      <c r="A2847" s="5"/>
      <c r="B2847" s="2"/>
      <c r="C2847" s="2"/>
      <c r="D2847" s="2"/>
    </row>
    <row r="2848" spans="1:4" ht="12.75" customHeight="1" x14ac:dyDescent="0.2">
      <c r="A2848" s="22" t="str">
        <f>HYPERLINK("javascript:void(0)","dracoacél kéziágyú")</f>
        <v>dracoacél kéziágyú</v>
      </c>
      <c r="B2848" s="21"/>
      <c r="C2848" s="21"/>
      <c r="D2848" s="21"/>
    </row>
    <row r="2849" spans="1:4" ht="12.75" customHeight="1" x14ac:dyDescent="0.2">
      <c r="A2849" s="20"/>
      <c r="B2849" s="2"/>
      <c r="C2849" s="2"/>
      <c r="D2849" s="2"/>
    </row>
    <row r="2850" spans="1:4" ht="12.75" customHeight="1" x14ac:dyDescent="0.2">
      <c r="A2850" s="21"/>
      <c r="B2850" s="3" t="s">
        <v>0</v>
      </c>
      <c r="C2850" s="20" t="s">
        <v>790</v>
      </c>
      <c r="D2850" s="21"/>
    </row>
    <row r="2851" spans="1:4" ht="12.75" customHeight="1" x14ac:dyDescent="0.2">
      <c r="A2851" s="21"/>
      <c r="B2851" s="3" t="s">
        <v>2</v>
      </c>
      <c r="C2851" s="20" t="s">
        <v>3</v>
      </c>
      <c r="D2851" s="21"/>
    </row>
    <row r="2852" spans="1:4" ht="12.75" customHeight="1" x14ac:dyDescent="0.2">
      <c r="A2852" s="21"/>
      <c r="B2852" s="3" t="s">
        <v>4</v>
      </c>
      <c r="C2852" s="20" t="s">
        <v>791</v>
      </c>
      <c r="D2852" s="21"/>
    </row>
    <row r="2853" spans="1:4" ht="12.75" customHeight="1" x14ac:dyDescent="0.2">
      <c r="A2853" s="21"/>
      <c r="B2853" s="3" t="s">
        <v>6</v>
      </c>
      <c r="C2853" s="20" t="s">
        <v>260</v>
      </c>
      <c r="D2853" s="21"/>
    </row>
    <row r="2854" spans="1:4" ht="12.75" customHeight="1" x14ac:dyDescent="0.2">
      <c r="A2854" s="21"/>
      <c r="B2854" s="3" t="s">
        <v>8</v>
      </c>
      <c r="C2854" s="20" t="s">
        <v>791</v>
      </c>
      <c r="D2854" s="21"/>
    </row>
    <row r="2855" spans="1:4" ht="12.75" customHeight="1" x14ac:dyDescent="0.2">
      <c r="A2855" s="21"/>
      <c r="B2855" s="3" t="s">
        <v>9</v>
      </c>
      <c r="C2855" s="20" t="s">
        <v>792</v>
      </c>
      <c r="D2855" s="21"/>
    </row>
    <row r="2856" spans="1:4" ht="12.75" customHeight="1" x14ac:dyDescent="0.2">
      <c r="A2856" s="21"/>
      <c r="B2856" s="3" t="s">
        <v>11</v>
      </c>
      <c r="C2856" s="20" t="s">
        <v>793</v>
      </c>
      <c r="D2856" s="21"/>
    </row>
    <row r="2857" spans="1:4" ht="12.75" customHeight="1" x14ac:dyDescent="0.2">
      <c r="A2857" s="21"/>
      <c r="B2857" s="3" t="s">
        <v>13</v>
      </c>
      <c r="C2857" s="20" t="s">
        <v>24</v>
      </c>
      <c r="D2857" s="21"/>
    </row>
    <row r="2858" spans="1:4" ht="12.75" customHeight="1" x14ac:dyDescent="0.2">
      <c r="A2858" s="21"/>
      <c r="B2858" s="3" t="s">
        <v>15</v>
      </c>
      <c r="C2858" s="20" t="s">
        <v>24</v>
      </c>
      <c r="D2858" s="21"/>
    </row>
    <row r="2859" spans="1:4" ht="12.75" customHeight="1" x14ac:dyDescent="0.2">
      <c r="A2859" s="21"/>
      <c r="B2859" s="3" t="s">
        <v>16</v>
      </c>
      <c r="C2859" s="20"/>
      <c r="D2859" s="21"/>
    </row>
    <row r="2860" spans="1:4" ht="12.75" customHeight="1" x14ac:dyDescent="0.2">
      <c r="A2860" s="21"/>
      <c r="B2860" s="3" t="s">
        <v>17</v>
      </c>
      <c r="C2860" s="20"/>
      <c r="D2860" s="21"/>
    </row>
    <row r="2861" spans="1:4" ht="12.75" customHeight="1" x14ac:dyDescent="0.2">
      <c r="A2861" s="21"/>
      <c r="B2861" s="20" t="s">
        <v>18</v>
      </c>
      <c r="C2861" s="4" t="s">
        <v>44</v>
      </c>
      <c r="D2861" s="6" t="str">
        <f>HYPERLINK("javascript:void(0)","dracoacél csúzli")</f>
        <v>dracoacél csúzli</v>
      </c>
    </row>
    <row r="2862" spans="1:4" ht="12.75" customHeight="1" x14ac:dyDescent="0.2">
      <c r="A2862" s="21"/>
      <c r="B2862" s="21"/>
      <c r="C2862" s="4" t="s">
        <v>772</v>
      </c>
      <c r="D2862" s="6" t="str">
        <f>HYPERLINK("javascript:void(0)","betüvető")</f>
        <v>betüvető</v>
      </c>
    </row>
    <row r="2863" spans="1:4" ht="12.75" customHeight="1" x14ac:dyDescent="0.2">
      <c r="A2863" s="21"/>
      <c r="B2863" s="21"/>
      <c r="C2863" s="4" t="s">
        <v>796</v>
      </c>
      <c r="D2863" s="6" t="str">
        <f>HYPERLINK("javascript:void(0)","teleportige")</f>
        <v>teleportige</v>
      </c>
    </row>
    <row r="2864" spans="1:4" ht="12.75" customHeight="1" x14ac:dyDescent="0.2">
      <c r="A2864" s="5"/>
      <c r="B2864" s="2"/>
      <c r="C2864" s="2"/>
      <c r="D2864" s="2"/>
    </row>
    <row r="2865" spans="1:4" ht="12.75" customHeight="1" x14ac:dyDescent="0.2">
      <c r="A2865" s="22" t="str">
        <f>HYPERLINK("javascript:void(0)","opál tűdobó")</f>
        <v>opál tűdobó</v>
      </c>
      <c r="B2865" s="21"/>
      <c r="C2865" s="21"/>
      <c r="D2865" s="21"/>
    </row>
    <row r="2866" spans="1:4" ht="12.75" customHeight="1" x14ac:dyDescent="0.2">
      <c r="A2866" s="20"/>
      <c r="B2866" s="2"/>
      <c r="C2866" s="2"/>
      <c r="D2866" s="2"/>
    </row>
    <row r="2867" spans="1:4" ht="12.75" customHeight="1" x14ac:dyDescent="0.2">
      <c r="A2867" s="21"/>
      <c r="B2867" s="3" t="s">
        <v>0</v>
      </c>
      <c r="C2867" s="20" t="s">
        <v>790</v>
      </c>
      <c r="D2867" s="21"/>
    </row>
    <row r="2868" spans="1:4" ht="12.75" customHeight="1" x14ac:dyDescent="0.2">
      <c r="A2868" s="21"/>
      <c r="B2868" s="3" t="s">
        <v>2</v>
      </c>
      <c r="C2868" s="20" t="s">
        <v>3</v>
      </c>
      <c r="D2868" s="21"/>
    </row>
    <row r="2869" spans="1:4" ht="12.75" customHeight="1" x14ac:dyDescent="0.2">
      <c r="A2869" s="21"/>
      <c r="B2869" s="3" t="s">
        <v>4</v>
      </c>
      <c r="C2869" s="20" t="s">
        <v>798</v>
      </c>
      <c r="D2869" s="21"/>
    </row>
    <row r="2870" spans="1:4" ht="12.75" customHeight="1" x14ac:dyDescent="0.2">
      <c r="A2870" s="21"/>
      <c r="B2870" s="3" t="s">
        <v>6</v>
      </c>
      <c r="C2870" s="20" t="s">
        <v>65</v>
      </c>
      <c r="D2870" s="21"/>
    </row>
    <row r="2871" spans="1:4" ht="12.75" customHeight="1" x14ac:dyDescent="0.2">
      <c r="A2871" s="21"/>
      <c r="B2871" s="3" t="s">
        <v>8</v>
      </c>
      <c r="C2871" s="20" t="s">
        <v>798</v>
      </c>
      <c r="D2871" s="21"/>
    </row>
    <row r="2872" spans="1:4" ht="12.75" customHeight="1" x14ac:dyDescent="0.2">
      <c r="A2872" s="21"/>
      <c r="B2872" s="3" t="s">
        <v>9</v>
      </c>
      <c r="C2872" s="20" t="s">
        <v>799</v>
      </c>
      <c r="D2872" s="21"/>
    </row>
    <row r="2873" spans="1:4" ht="12.75" customHeight="1" x14ac:dyDescent="0.2">
      <c r="A2873" s="21"/>
      <c r="B2873" s="3" t="s">
        <v>11</v>
      </c>
      <c r="C2873" s="20" t="s">
        <v>679</v>
      </c>
      <c r="D2873" s="21"/>
    </row>
    <row r="2874" spans="1:4" ht="12.75" customHeight="1" x14ac:dyDescent="0.2">
      <c r="A2874" s="21"/>
      <c r="B2874" s="3" t="s">
        <v>13</v>
      </c>
      <c r="C2874" s="20" t="s">
        <v>24</v>
      </c>
      <c r="D2874" s="21"/>
    </row>
    <row r="2875" spans="1:4" ht="12.75" customHeight="1" x14ac:dyDescent="0.2">
      <c r="A2875" s="21"/>
      <c r="B2875" s="3" t="s">
        <v>15</v>
      </c>
      <c r="C2875" s="20" t="s">
        <v>24</v>
      </c>
      <c r="D2875" s="21"/>
    </row>
    <row r="2876" spans="1:4" ht="12.75" customHeight="1" x14ac:dyDescent="0.2">
      <c r="A2876" s="21"/>
      <c r="B2876" s="3" t="s">
        <v>16</v>
      </c>
      <c r="C2876" s="20"/>
      <c r="D2876" s="21"/>
    </row>
    <row r="2877" spans="1:4" ht="12.75" customHeight="1" x14ac:dyDescent="0.2">
      <c r="A2877" s="21"/>
      <c r="B2877" s="3" t="s">
        <v>17</v>
      </c>
      <c r="C2877" s="20"/>
      <c r="D2877" s="21"/>
    </row>
    <row r="2878" spans="1:4" ht="12.75" customHeight="1" x14ac:dyDescent="0.2">
      <c r="A2878" s="21"/>
      <c r="B2878" s="20" t="s">
        <v>18</v>
      </c>
      <c r="C2878" s="4" t="s">
        <v>132</v>
      </c>
      <c r="D2878" s="6" t="str">
        <f>HYPERLINK("javascript:void(0)","rozmáragyar")</f>
        <v>rozmáragyar</v>
      </c>
    </row>
    <row r="2879" spans="1:4" ht="12.75" customHeight="1" x14ac:dyDescent="0.2">
      <c r="A2879" s="21"/>
      <c r="B2879" s="21"/>
      <c r="C2879" s="4" t="s">
        <v>803</v>
      </c>
      <c r="D2879" s="6" t="str">
        <f>HYPERLINK("javascript:void(0)","opál")</f>
        <v>opál</v>
      </c>
    </row>
    <row r="2880" spans="1:4" ht="12.75" customHeight="1" x14ac:dyDescent="0.2">
      <c r="A2880" s="21"/>
      <c r="B2880" s="21"/>
      <c r="C2880" s="4" t="s">
        <v>67</v>
      </c>
      <c r="D2880" s="6" t="str">
        <f>HYPERLINK("javascript:void(0)","törtvény")</f>
        <v>törtvény</v>
      </c>
    </row>
    <row r="2881" spans="1:4" ht="12.75" customHeight="1" x14ac:dyDescent="0.2">
      <c r="A2881" s="5"/>
      <c r="B2881" s="2"/>
      <c r="C2881" s="2"/>
      <c r="D2881" s="2"/>
    </row>
    <row r="2882" spans="1:4" ht="12.75" customHeight="1" x14ac:dyDescent="0.2">
      <c r="A2882" s="22" t="str">
        <f>HYPERLINK("javascript:void(0)","elfacél kéziágyú")</f>
        <v>elfacél kéziágyú</v>
      </c>
      <c r="B2882" s="21"/>
      <c r="C2882" s="21"/>
      <c r="D2882" s="21"/>
    </row>
    <row r="2883" spans="1:4" ht="12.75" customHeight="1" x14ac:dyDescent="0.2">
      <c r="A2883" s="20"/>
      <c r="B2883" s="2"/>
      <c r="C2883" s="2"/>
      <c r="D2883" s="2"/>
    </row>
    <row r="2884" spans="1:4" ht="12.75" customHeight="1" x14ac:dyDescent="0.2">
      <c r="A2884" s="21"/>
      <c r="B2884" s="3" t="s">
        <v>0</v>
      </c>
      <c r="C2884" s="20" t="s">
        <v>83</v>
      </c>
      <c r="D2884" s="21"/>
    </row>
    <row r="2885" spans="1:4" ht="12.75" customHeight="1" x14ac:dyDescent="0.2">
      <c r="A2885" s="21"/>
      <c r="B2885" s="3" t="s">
        <v>2</v>
      </c>
      <c r="C2885" s="20" t="s">
        <v>3</v>
      </c>
      <c r="D2885" s="21"/>
    </row>
    <row r="2886" spans="1:4" ht="12.75" customHeight="1" x14ac:dyDescent="0.2">
      <c r="A2886" s="21"/>
      <c r="B2886" s="3" t="s">
        <v>4</v>
      </c>
      <c r="C2886" s="20" t="s">
        <v>806</v>
      </c>
      <c r="D2886" s="21"/>
    </row>
    <row r="2887" spans="1:4" ht="12.75" customHeight="1" x14ac:dyDescent="0.2">
      <c r="A2887" s="21"/>
      <c r="B2887" s="3" t="s">
        <v>6</v>
      </c>
      <c r="C2887" s="20" t="s">
        <v>392</v>
      </c>
      <c r="D2887" s="21"/>
    </row>
    <row r="2888" spans="1:4" ht="12.75" customHeight="1" x14ac:dyDescent="0.2">
      <c r="A2888" s="21"/>
      <c r="B2888" s="3" t="s">
        <v>8</v>
      </c>
      <c r="C2888" s="20" t="s">
        <v>806</v>
      </c>
      <c r="D2888" s="21"/>
    </row>
    <row r="2889" spans="1:4" ht="12.75" customHeight="1" x14ac:dyDescent="0.2">
      <c r="A2889" s="21"/>
      <c r="B2889" s="3" t="s">
        <v>9</v>
      </c>
      <c r="C2889" s="20" t="s">
        <v>70</v>
      </c>
      <c r="D2889" s="21"/>
    </row>
    <row r="2890" spans="1:4" ht="12.75" customHeight="1" x14ac:dyDescent="0.2">
      <c r="A2890" s="21"/>
      <c r="B2890" s="3" t="s">
        <v>11</v>
      </c>
      <c r="C2890" s="20" t="s">
        <v>807</v>
      </c>
      <c r="D2890" s="21"/>
    </row>
    <row r="2891" spans="1:4" ht="12.75" customHeight="1" x14ac:dyDescent="0.2">
      <c r="A2891" s="21"/>
      <c r="B2891" s="3" t="s">
        <v>13</v>
      </c>
      <c r="C2891" s="20" t="s">
        <v>24</v>
      </c>
      <c r="D2891" s="21"/>
    </row>
    <row r="2892" spans="1:4" ht="12.75" customHeight="1" x14ac:dyDescent="0.2">
      <c r="A2892" s="21"/>
      <c r="B2892" s="3" t="s">
        <v>15</v>
      </c>
      <c r="C2892" s="20" t="s">
        <v>24</v>
      </c>
      <c r="D2892" s="21"/>
    </row>
    <row r="2893" spans="1:4" ht="12.75" customHeight="1" x14ac:dyDescent="0.2">
      <c r="A2893" s="21"/>
      <c r="B2893" s="3" t="s">
        <v>16</v>
      </c>
      <c r="C2893" s="20"/>
      <c r="D2893" s="21"/>
    </row>
    <row r="2894" spans="1:4" ht="12.75" customHeight="1" x14ac:dyDescent="0.2">
      <c r="A2894" s="21"/>
      <c r="B2894" s="3" t="s">
        <v>17</v>
      </c>
      <c r="C2894" s="20"/>
      <c r="D2894" s="21"/>
    </row>
    <row r="2895" spans="1:4" ht="12.75" customHeight="1" x14ac:dyDescent="0.2">
      <c r="A2895" s="21"/>
      <c r="B2895" s="20" t="s">
        <v>18</v>
      </c>
      <c r="C2895" s="4" t="s">
        <v>44</v>
      </c>
      <c r="D2895" s="6" t="str">
        <f>HYPERLINK("javascript:void(0)","elfacél csúzli")</f>
        <v>elfacél csúzli</v>
      </c>
    </row>
    <row r="2896" spans="1:4" ht="12.75" customHeight="1" x14ac:dyDescent="0.2">
      <c r="A2896" s="21"/>
      <c r="B2896" s="21"/>
      <c r="C2896" s="4" t="s">
        <v>809</v>
      </c>
      <c r="D2896" s="6" t="str">
        <f>HYPERLINK("javascript:void(0)","betüvető")</f>
        <v>betüvető</v>
      </c>
    </row>
    <row r="2897" spans="1:4" ht="12.75" customHeight="1" x14ac:dyDescent="0.2">
      <c r="A2897" s="21"/>
      <c r="B2897" s="21"/>
      <c r="C2897" s="4" t="s">
        <v>184</v>
      </c>
      <c r="D2897" s="6" t="str">
        <f>HYPERLINK("javascript:void(0)","vitorla")</f>
        <v>vitorla</v>
      </c>
    </row>
    <row r="2898" spans="1:4" ht="12.75" customHeight="1" x14ac:dyDescent="0.2">
      <c r="A2898" s="5"/>
      <c r="B2898" s="2"/>
      <c r="C2898" s="2"/>
      <c r="D2898" s="2"/>
    </row>
    <row r="2899" spans="1:4" ht="12.75" customHeight="1" x14ac:dyDescent="0.2">
      <c r="A2899" s="22" t="str">
        <f>HYPERLINK("javascript:void(0)","jáspis tűdobó")</f>
        <v>jáspis tűdobó</v>
      </c>
      <c r="B2899" s="21"/>
      <c r="C2899" s="21"/>
      <c r="D2899" s="21"/>
    </row>
    <row r="2900" spans="1:4" ht="12.75" customHeight="1" x14ac:dyDescent="0.2">
      <c r="A2900" s="20"/>
      <c r="B2900" s="2"/>
      <c r="C2900" s="2"/>
      <c r="D2900" s="2"/>
    </row>
    <row r="2901" spans="1:4" ht="12.75" customHeight="1" x14ac:dyDescent="0.2">
      <c r="A2901" s="21"/>
      <c r="B2901" s="3" t="s">
        <v>0</v>
      </c>
      <c r="C2901" s="20" t="s">
        <v>83</v>
      </c>
      <c r="D2901" s="21"/>
    </row>
    <row r="2902" spans="1:4" ht="12.75" customHeight="1" x14ac:dyDescent="0.2">
      <c r="A2902" s="21"/>
      <c r="B2902" s="3" t="s">
        <v>2</v>
      </c>
      <c r="C2902" s="20" t="s">
        <v>3</v>
      </c>
      <c r="D2902" s="21"/>
    </row>
    <row r="2903" spans="1:4" ht="12.75" customHeight="1" x14ac:dyDescent="0.2">
      <c r="A2903" s="21"/>
      <c r="B2903" s="3" t="s">
        <v>4</v>
      </c>
      <c r="C2903" s="20" t="s">
        <v>811</v>
      </c>
      <c r="D2903" s="21"/>
    </row>
    <row r="2904" spans="1:4" ht="12.75" customHeight="1" x14ac:dyDescent="0.2">
      <c r="A2904" s="21"/>
      <c r="B2904" s="3" t="s">
        <v>6</v>
      </c>
      <c r="C2904" s="20" t="s">
        <v>65</v>
      </c>
      <c r="D2904" s="21"/>
    </row>
    <row r="2905" spans="1:4" ht="12.75" customHeight="1" x14ac:dyDescent="0.2">
      <c r="A2905" s="21"/>
      <c r="B2905" s="3" t="s">
        <v>8</v>
      </c>
      <c r="C2905" s="20" t="s">
        <v>811</v>
      </c>
      <c r="D2905" s="21"/>
    </row>
    <row r="2906" spans="1:4" ht="12.75" customHeight="1" x14ac:dyDescent="0.2">
      <c r="A2906" s="21"/>
      <c r="B2906" s="3" t="s">
        <v>9</v>
      </c>
      <c r="C2906" s="20" t="s">
        <v>812</v>
      </c>
      <c r="D2906" s="21"/>
    </row>
    <row r="2907" spans="1:4" ht="12.75" customHeight="1" x14ac:dyDescent="0.2">
      <c r="A2907" s="21"/>
      <c r="B2907" s="3" t="s">
        <v>11</v>
      </c>
      <c r="C2907" s="20" t="s">
        <v>684</v>
      </c>
      <c r="D2907" s="21"/>
    </row>
    <row r="2908" spans="1:4" ht="12.75" customHeight="1" x14ac:dyDescent="0.2">
      <c r="A2908" s="21"/>
      <c r="B2908" s="3" t="s">
        <v>13</v>
      </c>
      <c r="C2908" s="20" t="s">
        <v>24</v>
      </c>
      <c r="D2908" s="21"/>
    </row>
    <row r="2909" spans="1:4" ht="12.75" customHeight="1" x14ac:dyDescent="0.2">
      <c r="A2909" s="21"/>
      <c r="B2909" s="3" t="s">
        <v>15</v>
      </c>
      <c r="C2909" s="20" t="s">
        <v>24</v>
      </c>
      <c r="D2909" s="21"/>
    </row>
    <row r="2910" spans="1:4" ht="12.75" customHeight="1" x14ac:dyDescent="0.2">
      <c r="A2910" s="21"/>
      <c r="B2910" s="3" t="s">
        <v>16</v>
      </c>
      <c r="C2910" s="20"/>
      <c r="D2910" s="21"/>
    </row>
    <row r="2911" spans="1:4" ht="12.75" customHeight="1" x14ac:dyDescent="0.2">
      <c r="A2911" s="21"/>
      <c r="B2911" s="3" t="s">
        <v>17</v>
      </c>
      <c r="C2911" s="20"/>
      <c r="D2911" s="21"/>
    </row>
    <row r="2912" spans="1:4" ht="12.75" customHeight="1" x14ac:dyDescent="0.2">
      <c r="A2912" s="21"/>
      <c r="B2912" s="20" t="s">
        <v>18</v>
      </c>
      <c r="C2912" s="4" t="s">
        <v>331</v>
      </c>
      <c r="D2912" s="6" t="str">
        <f>HYPERLINK("javascript:void(0)","fülcsáp")</f>
        <v>fülcsáp</v>
      </c>
    </row>
    <row r="2913" spans="1:4" ht="12.75" customHeight="1" x14ac:dyDescent="0.2">
      <c r="A2913" s="21"/>
      <c r="B2913" s="21"/>
      <c r="C2913" s="4" t="s">
        <v>803</v>
      </c>
      <c r="D2913" s="6" t="str">
        <f>HYPERLINK("javascript:void(0)","jáspis")</f>
        <v>jáspis</v>
      </c>
    </row>
    <row r="2914" spans="1:4" ht="12.75" customHeight="1" x14ac:dyDescent="0.2">
      <c r="A2914" s="21"/>
      <c r="B2914" s="21"/>
      <c r="C2914" s="4" t="s">
        <v>244</v>
      </c>
      <c r="D2914" s="6" t="str">
        <f>HYPERLINK("javascript:void(0)","kártyalap")</f>
        <v>kártyalap</v>
      </c>
    </row>
    <row r="2915" spans="1:4" ht="12.75" customHeight="1" x14ac:dyDescent="0.2">
      <c r="A2915" s="5"/>
      <c r="B2915" s="2"/>
      <c r="C2915" s="2"/>
      <c r="D2915" s="2"/>
    </row>
    <row r="2916" spans="1:4" ht="12.75" customHeight="1" x14ac:dyDescent="0.2">
      <c r="A2916" s="22" t="str">
        <f>HYPERLINK("javascript:void(0)","óriásacél kéziágyú")</f>
        <v>óriásacél kéziágyú</v>
      </c>
      <c r="B2916" s="21"/>
      <c r="C2916" s="21"/>
      <c r="D2916" s="21"/>
    </row>
    <row r="2917" spans="1:4" ht="12.75" customHeight="1" x14ac:dyDescent="0.2">
      <c r="A2917" s="20"/>
      <c r="B2917" s="2"/>
      <c r="C2917" s="2"/>
      <c r="D2917" s="2"/>
    </row>
    <row r="2918" spans="1:4" ht="12.75" customHeight="1" x14ac:dyDescent="0.2">
      <c r="A2918" s="21"/>
      <c r="B2918" s="3" t="s">
        <v>0</v>
      </c>
      <c r="C2918" s="20" t="s">
        <v>302</v>
      </c>
      <c r="D2918" s="21"/>
    </row>
    <row r="2919" spans="1:4" ht="12.75" customHeight="1" x14ac:dyDescent="0.2">
      <c r="A2919" s="21"/>
      <c r="B2919" s="3" t="s">
        <v>2</v>
      </c>
      <c r="C2919" s="20" t="s">
        <v>3</v>
      </c>
      <c r="D2919" s="21"/>
    </row>
    <row r="2920" spans="1:4" ht="12.75" customHeight="1" x14ac:dyDescent="0.2">
      <c r="A2920" s="21"/>
      <c r="B2920" s="3" t="s">
        <v>4</v>
      </c>
      <c r="C2920" s="20" t="s">
        <v>815</v>
      </c>
      <c r="D2920" s="21"/>
    </row>
    <row r="2921" spans="1:4" ht="12.75" customHeight="1" x14ac:dyDescent="0.2">
      <c r="A2921" s="21"/>
      <c r="B2921" s="3" t="s">
        <v>6</v>
      </c>
      <c r="C2921" s="20" t="s">
        <v>353</v>
      </c>
      <c r="D2921" s="21"/>
    </row>
    <row r="2922" spans="1:4" ht="12.75" customHeight="1" x14ac:dyDescent="0.2">
      <c r="A2922" s="21"/>
      <c r="B2922" s="3" t="s">
        <v>8</v>
      </c>
      <c r="C2922" s="20" t="s">
        <v>815</v>
      </c>
      <c r="D2922" s="21"/>
    </row>
    <row r="2923" spans="1:4" ht="12.75" customHeight="1" x14ac:dyDescent="0.2">
      <c r="A2923" s="21"/>
      <c r="B2923" s="3" t="s">
        <v>9</v>
      </c>
      <c r="C2923" s="20" t="s">
        <v>816</v>
      </c>
      <c r="D2923" s="21"/>
    </row>
    <row r="2924" spans="1:4" ht="12.75" customHeight="1" x14ac:dyDescent="0.2">
      <c r="A2924" s="21"/>
      <c r="B2924" s="3" t="s">
        <v>11</v>
      </c>
      <c r="C2924" s="20" t="s">
        <v>817</v>
      </c>
      <c r="D2924" s="21"/>
    </row>
    <row r="2925" spans="1:4" ht="12.75" customHeight="1" x14ac:dyDescent="0.2">
      <c r="A2925" s="21"/>
      <c r="B2925" s="3" t="s">
        <v>13</v>
      </c>
      <c r="C2925" s="20" t="s">
        <v>24</v>
      </c>
      <c r="D2925" s="21"/>
    </row>
    <row r="2926" spans="1:4" ht="12.75" customHeight="1" x14ac:dyDescent="0.2">
      <c r="A2926" s="21"/>
      <c r="B2926" s="3" t="s">
        <v>15</v>
      </c>
      <c r="C2926" s="20" t="s">
        <v>24</v>
      </c>
      <c r="D2926" s="21"/>
    </row>
    <row r="2927" spans="1:4" ht="12.75" customHeight="1" x14ac:dyDescent="0.2">
      <c r="A2927" s="21"/>
      <c r="B2927" s="3" t="s">
        <v>16</v>
      </c>
      <c r="C2927" s="20"/>
      <c r="D2927" s="21"/>
    </row>
    <row r="2928" spans="1:4" ht="12.75" customHeight="1" x14ac:dyDescent="0.2">
      <c r="A2928" s="21"/>
      <c r="B2928" s="3" t="s">
        <v>17</v>
      </c>
      <c r="C2928" s="20"/>
      <c r="D2928" s="21"/>
    </row>
    <row r="2929" spans="1:4" ht="12.75" customHeight="1" x14ac:dyDescent="0.2">
      <c r="A2929" s="21"/>
      <c r="B2929" s="20" t="s">
        <v>18</v>
      </c>
      <c r="C2929" s="4" t="s">
        <v>44</v>
      </c>
      <c r="D2929" s="6" t="str">
        <f>HYPERLINK("javascript:void(0)","óriásacél csúzli")</f>
        <v>óriásacél csúzli</v>
      </c>
    </row>
    <row r="2930" spans="1:4" ht="12.75" customHeight="1" x14ac:dyDescent="0.2">
      <c r="A2930" s="21"/>
      <c r="B2930" s="21"/>
      <c r="C2930" s="4" t="s">
        <v>193</v>
      </c>
      <c r="D2930" s="6" t="str">
        <f>HYPERLINK("javascript:void(0)","betüvető")</f>
        <v>betüvető</v>
      </c>
    </row>
    <row r="2931" spans="1:4" ht="12.75" customHeight="1" x14ac:dyDescent="0.2">
      <c r="A2931" s="21"/>
      <c r="B2931" s="21"/>
      <c r="C2931" s="4" t="s">
        <v>132</v>
      </c>
      <c r="D2931" s="6" t="str">
        <f>HYPERLINK("javascript:void(0)","wattacsomó")</f>
        <v>wattacsomó</v>
      </c>
    </row>
    <row r="2932" spans="1:4" ht="12.75" customHeight="1" x14ac:dyDescent="0.2">
      <c r="A2932" s="5"/>
      <c r="B2932" s="2"/>
      <c r="C2932" s="2"/>
      <c r="D2932" s="2"/>
    </row>
    <row r="2933" spans="1:4" ht="12.75" customHeight="1" x14ac:dyDescent="0.2">
      <c r="A2933" s="22" t="str">
        <f>HYPERLINK("javascript:void(0)","arany tűdobó")</f>
        <v>arany tűdobó</v>
      </c>
      <c r="B2933" s="21"/>
      <c r="C2933" s="21"/>
      <c r="D2933" s="21"/>
    </row>
    <row r="2934" spans="1:4" ht="12.75" customHeight="1" x14ac:dyDescent="0.2">
      <c r="A2934" s="20"/>
      <c r="B2934" s="2"/>
      <c r="C2934" s="2"/>
      <c r="D2934" s="2"/>
    </row>
    <row r="2935" spans="1:4" ht="12.75" customHeight="1" x14ac:dyDescent="0.2">
      <c r="A2935" s="21"/>
      <c r="B2935" s="3" t="s">
        <v>0</v>
      </c>
      <c r="C2935" s="20" t="s">
        <v>302</v>
      </c>
      <c r="D2935" s="21"/>
    </row>
    <row r="2936" spans="1:4" ht="12.75" customHeight="1" x14ac:dyDescent="0.2">
      <c r="A2936" s="21"/>
      <c r="B2936" s="3" t="s">
        <v>2</v>
      </c>
      <c r="C2936" s="20" t="s">
        <v>3</v>
      </c>
      <c r="D2936" s="21"/>
    </row>
    <row r="2937" spans="1:4" ht="12.75" customHeight="1" x14ac:dyDescent="0.2">
      <c r="A2937" s="21"/>
      <c r="B2937" s="3" t="s">
        <v>4</v>
      </c>
      <c r="C2937" s="20" t="s">
        <v>819</v>
      </c>
      <c r="D2937" s="21"/>
    </row>
    <row r="2938" spans="1:4" ht="12.75" customHeight="1" x14ac:dyDescent="0.2">
      <c r="A2938" s="21"/>
      <c r="B2938" s="3" t="s">
        <v>6</v>
      </c>
      <c r="C2938" s="20" t="s">
        <v>65</v>
      </c>
      <c r="D2938" s="21"/>
    </row>
    <row r="2939" spans="1:4" ht="12.75" customHeight="1" x14ac:dyDescent="0.2">
      <c r="A2939" s="21"/>
      <c r="B2939" s="3" t="s">
        <v>8</v>
      </c>
      <c r="C2939" s="20" t="s">
        <v>819</v>
      </c>
      <c r="D2939" s="21"/>
    </row>
    <row r="2940" spans="1:4" ht="12.75" customHeight="1" x14ac:dyDescent="0.2">
      <c r="A2940" s="21"/>
      <c r="B2940" s="3" t="s">
        <v>9</v>
      </c>
      <c r="C2940" s="20" t="s">
        <v>707</v>
      </c>
      <c r="D2940" s="21"/>
    </row>
    <row r="2941" spans="1:4" ht="12.75" customHeight="1" x14ac:dyDescent="0.2">
      <c r="A2941" s="21"/>
      <c r="B2941" s="3" t="s">
        <v>11</v>
      </c>
      <c r="C2941" s="20" t="s">
        <v>693</v>
      </c>
      <c r="D2941" s="21"/>
    </row>
    <row r="2942" spans="1:4" ht="12.75" customHeight="1" x14ac:dyDescent="0.2">
      <c r="A2942" s="21"/>
      <c r="B2942" s="3" t="s">
        <v>13</v>
      </c>
      <c r="C2942" s="20" t="s">
        <v>24</v>
      </c>
      <c r="D2942" s="21"/>
    </row>
    <row r="2943" spans="1:4" ht="12.75" customHeight="1" x14ac:dyDescent="0.2">
      <c r="A2943" s="21"/>
      <c r="B2943" s="3" t="s">
        <v>15</v>
      </c>
      <c r="C2943" s="20" t="s">
        <v>24</v>
      </c>
      <c r="D2943" s="21"/>
    </row>
    <row r="2944" spans="1:4" ht="12.75" customHeight="1" x14ac:dyDescent="0.2">
      <c r="A2944" s="21"/>
      <c r="B2944" s="3" t="s">
        <v>16</v>
      </c>
      <c r="C2944" s="20"/>
      <c r="D2944" s="21"/>
    </row>
    <row r="2945" spans="1:4" ht="12.75" customHeight="1" x14ac:dyDescent="0.2">
      <c r="A2945" s="21"/>
      <c r="B2945" s="3" t="s">
        <v>17</v>
      </c>
      <c r="C2945" s="20"/>
      <c r="D2945" s="21"/>
    </row>
    <row r="2946" spans="1:4" ht="12.75" customHeight="1" x14ac:dyDescent="0.2">
      <c r="A2946" s="21"/>
      <c r="B2946" s="20" t="s">
        <v>18</v>
      </c>
      <c r="C2946" s="4" t="s">
        <v>98</v>
      </c>
      <c r="D2946" s="6" t="str">
        <f>HYPERLINK("javascript:void(0)","hálószem")</f>
        <v>hálószem</v>
      </c>
    </row>
    <row r="2947" spans="1:4" ht="12.75" customHeight="1" x14ac:dyDescent="0.2">
      <c r="A2947" s="21"/>
      <c r="B2947" s="21"/>
      <c r="C2947" s="4" t="s">
        <v>309</v>
      </c>
      <c r="D2947" s="6" t="str">
        <f>HYPERLINK("javascript:void(0)","aranyrög")</f>
        <v>aranyrög</v>
      </c>
    </row>
    <row r="2948" spans="1:4" ht="12.75" customHeight="1" x14ac:dyDescent="0.2">
      <c r="A2948" s="21"/>
      <c r="B2948" s="21"/>
      <c r="C2948" s="4" t="s">
        <v>67</v>
      </c>
      <c r="D2948" s="6" t="str">
        <f>HYPERLINK("javascript:void(0)","gyutacs")</f>
        <v>gyutacs</v>
      </c>
    </row>
    <row r="2949" spans="1:4" ht="12.75" customHeight="1" x14ac:dyDescent="0.2">
      <c r="A2949" s="5"/>
      <c r="B2949" s="2"/>
      <c r="C2949" s="2"/>
      <c r="D2949" s="2"/>
    </row>
    <row r="2950" spans="1:4" ht="12.75" customHeight="1" x14ac:dyDescent="0.2">
      <c r="A2950" s="22" t="str">
        <f>HYPERLINK("javascript:void(0)","kentacél kéziágyú")</f>
        <v>kentacél kéziágyú</v>
      </c>
      <c r="B2950" s="21"/>
      <c r="C2950" s="21"/>
      <c r="D2950" s="21"/>
    </row>
    <row r="2951" spans="1:4" ht="12.75" customHeight="1" x14ac:dyDescent="0.2">
      <c r="A2951" s="20"/>
      <c r="B2951" s="2"/>
      <c r="C2951" s="2"/>
      <c r="D2951" s="2"/>
    </row>
    <row r="2952" spans="1:4" ht="12.75" customHeight="1" x14ac:dyDescent="0.2">
      <c r="A2952" s="21"/>
      <c r="B2952" s="3" t="s">
        <v>0</v>
      </c>
      <c r="C2952" s="20" t="s">
        <v>255</v>
      </c>
      <c r="D2952" s="21"/>
    </row>
    <row r="2953" spans="1:4" ht="12.75" customHeight="1" x14ac:dyDescent="0.2">
      <c r="A2953" s="21"/>
      <c r="B2953" s="3" t="s">
        <v>2</v>
      </c>
      <c r="C2953" s="20" t="s">
        <v>3</v>
      </c>
      <c r="D2953" s="21"/>
    </row>
    <row r="2954" spans="1:4" ht="12.75" customHeight="1" x14ac:dyDescent="0.2">
      <c r="A2954" s="21"/>
      <c r="B2954" s="3" t="s">
        <v>4</v>
      </c>
      <c r="C2954" s="20" t="s">
        <v>825</v>
      </c>
      <c r="D2954" s="21"/>
    </row>
    <row r="2955" spans="1:4" ht="12.75" customHeight="1" x14ac:dyDescent="0.2">
      <c r="A2955" s="21"/>
      <c r="B2955" s="3" t="s">
        <v>6</v>
      </c>
      <c r="C2955" s="20" t="s">
        <v>284</v>
      </c>
      <c r="D2955" s="21"/>
    </row>
    <row r="2956" spans="1:4" ht="12.75" customHeight="1" x14ac:dyDescent="0.2">
      <c r="A2956" s="21"/>
      <c r="B2956" s="3" t="s">
        <v>8</v>
      </c>
      <c r="C2956" s="20" t="s">
        <v>825</v>
      </c>
      <c r="D2956" s="21"/>
    </row>
    <row r="2957" spans="1:4" ht="12.75" customHeight="1" x14ac:dyDescent="0.2">
      <c r="A2957" s="21"/>
      <c r="B2957" s="3" t="s">
        <v>9</v>
      </c>
      <c r="C2957" s="20" t="s">
        <v>826</v>
      </c>
      <c r="D2957" s="21"/>
    </row>
    <row r="2958" spans="1:4" ht="12.75" customHeight="1" x14ac:dyDescent="0.2">
      <c r="A2958" s="21"/>
      <c r="B2958" s="3" t="s">
        <v>11</v>
      </c>
      <c r="C2958" s="20" t="s">
        <v>827</v>
      </c>
      <c r="D2958" s="21"/>
    </row>
    <row r="2959" spans="1:4" ht="12.75" customHeight="1" x14ac:dyDescent="0.2">
      <c r="A2959" s="21"/>
      <c r="B2959" s="3" t="s">
        <v>13</v>
      </c>
      <c r="C2959" s="20" t="s">
        <v>24</v>
      </c>
      <c r="D2959" s="21"/>
    </row>
    <row r="2960" spans="1:4" ht="12.75" customHeight="1" x14ac:dyDescent="0.2">
      <c r="A2960" s="21"/>
      <c r="B2960" s="3" t="s">
        <v>15</v>
      </c>
      <c r="C2960" s="20" t="s">
        <v>24</v>
      </c>
      <c r="D2960" s="21"/>
    </row>
    <row r="2961" spans="1:4" ht="12.75" customHeight="1" x14ac:dyDescent="0.2">
      <c r="A2961" s="21"/>
      <c r="B2961" s="3" t="s">
        <v>16</v>
      </c>
      <c r="C2961" s="20"/>
      <c r="D2961" s="21"/>
    </row>
    <row r="2962" spans="1:4" ht="12.75" customHeight="1" x14ac:dyDescent="0.2">
      <c r="A2962" s="21"/>
      <c r="B2962" s="3" t="s">
        <v>17</v>
      </c>
      <c r="C2962" s="20"/>
      <c r="D2962" s="21"/>
    </row>
    <row r="2963" spans="1:4" ht="12.75" customHeight="1" x14ac:dyDescent="0.2">
      <c r="A2963" s="21"/>
      <c r="B2963" s="20" t="s">
        <v>18</v>
      </c>
      <c r="C2963" s="4" t="s">
        <v>44</v>
      </c>
      <c r="D2963" s="6" t="str">
        <f>HYPERLINK("javascript:void(0)","kentacél csúzli")</f>
        <v>kentacél csúzli</v>
      </c>
    </row>
    <row r="2964" spans="1:4" ht="12.75" customHeight="1" x14ac:dyDescent="0.2">
      <c r="A2964" s="21"/>
      <c r="B2964" s="21"/>
      <c r="C2964" s="4" t="s">
        <v>244</v>
      </c>
      <c r="D2964" s="6" t="str">
        <f>HYPERLINK("javascript:void(0)","lux")</f>
        <v>lux</v>
      </c>
    </row>
    <row r="2965" spans="1:4" ht="12.75" customHeight="1" x14ac:dyDescent="0.2">
      <c r="A2965" s="21"/>
      <c r="B2965" s="21"/>
      <c r="C2965" s="4" t="s">
        <v>67</v>
      </c>
      <c r="D2965" s="6" t="str">
        <f>HYPERLINK("javascript:void(0)","lexikon")</f>
        <v>lexikon</v>
      </c>
    </row>
    <row r="2966" spans="1:4" ht="12.75" customHeight="1" x14ac:dyDescent="0.2">
      <c r="A2966" s="5"/>
      <c r="B2966" s="2"/>
      <c r="C2966" s="2"/>
      <c r="D2966" s="2"/>
    </row>
    <row r="2967" spans="1:4" ht="12.75" customHeight="1" x14ac:dyDescent="0.2">
      <c r="A2967" s="22" t="str">
        <f>HYPERLINK("javascript:void(0)","gyémánt tűdobó")</f>
        <v>gyémánt tűdobó</v>
      </c>
      <c r="B2967" s="21"/>
      <c r="C2967" s="21"/>
      <c r="D2967" s="21"/>
    </row>
    <row r="2968" spans="1:4" ht="12.75" customHeight="1" x14ac:dyDescent="0.2">
      <c r="A2968" s="20"/>
      <c r="B2968" s="2"/>
      <c r="C2968" s="2"/>
      <c r="D2968" s="2"/>
    </row>
    <row r="2969" spans="1:4" ht="12.75" customHeight="1" x14ac:dyDescent="0.2">
      <c r="A2969" s="21"/>
      <c r="B2969" s="3" t="s">
        <v>0</v>
      </c>
      <c r="C2969" s="20" t="s">
        <v>255</v>
      </c>
      <c r="D2969" s="21"/>
    </row>
    <row r="2970" spans="1:4" ht="12.75" customHeight="1" x14ac:dyDescent="0.2">
      <c r="A2970" s="21"/>
      <c r="B2970" s="3" t="s">
        <v>2</v>
      </c>
      <c r="C2970" s="20" t="s">
        <v>3</v>
      </c>
      <c r="D2970" s="21"/>
    </row>
    <row r="2971" spans="1:4" ht="12.75" customHeight="1" x14ac:dyDescent="0.2">
      <c r="A2971" s="21"/>
      <c r="B2971" s="3" t="s">
        <v>4</v>
      </c>
      <c r="C2971" s="20" t="s">
        <v>831</v>
      </c>
      <c r="D2971" s="21"/>
    </row>
    <row r="2972" spans="1:4" ht="12.75" customHeight="1" x14ac:dyDescent="0.2">
      <c r="A2972" s="21"/>
      <c r="B2972" s="3" t="s">
        <v>6</v>
      </c>
      <c r="C2972" s="20" t="s">
        <v>65</v>
      </c>
      <c r="D2972" s="21"/>
    </row>
    <row r="2973" spans="1:4" ht="12.75" customHeight="1" x14ac:dyDescent="0.2">
      <c r="A2973" s="21"/>
      <c r="B2973" s="3" t="s">
        <v>8</v>
      </c>
      <c r="C2973" s="20" t="s">
        <v>831</v>
      </c>
      <c r="D2973" s="21"/>
    </row>
    <row r="2974" spans="1:4" ht="12.75" customHeight="1" x14ac:dyDescent="0.2">
      <c r="A2974" s="21"/>
      <c r="B2974" s="3" t="s">
        <v>9</v>
      </c>
      <c r="C2974" s="20" t="s">
        <v>716</v>
      </c>
      <c r="D2974" s="21"/>
    </row>
    <row r="2975" spans="1:4" ht="12.75" customHeight="1" x14ac:dyDescent="0.2">
      <c r="A2975" s="21"/>
      <c r="B2975" s="3" t="s">
        <v>11</v>
      </c>
      <c r="C2975" s="20" t="s">
        <v>702</v>
      </c>
      <c r="D2975" s="21"/>
    </row>
    <row r="2976" spans="1:4" ht="12.75" customHeight="1" x14ac:dyDescent="0.2">
      <c r="A2976" s="21"/>
      <c r="B2976" s="3" t="s">
        <v>13</v>
      </c>
      <c r="C2976" s="20" t="s">
        <v>24</v>
      </c>
      <c r="D2976" s="21"/>
    </row>
    <row r="2977" spans="1:4" ht="12.75" customHeight="1" x14ac:dyDescent="0.2">
      <c r="A2977" s="21"/>
      <c r="B2977" s="3" t="s">
        <v>15</v>
      </c>
      <c r="C2977" s="20" t="s">
        <v>24</v>
      </c>
      <c r="D2977" s="21"/>
    </row>
    <row r="2978" spans="1:4" ht="12.75" customHeight="1" x14ac:dyDescent="0.2">
      <c r="A2978" s="21"/>
      <c r="B2978" s="3" t="s">
        <v>16</v>
      </c>
      <c r="C2978" s="20"/>
      <c r="D2978" s="21"/>
    </row>
    <row r="2979" spans="1:4" ht="12.75" customHeight="1" x14ac:dyDescent="0.2">
      <c r="A2979" s="21"/>
      <c r="B2979" s="3" t="s">
        <v>17</v>
      </c>
      <c r="C2979" s="20"/>
      <c r="D2979" s="21"/>
    </row>
    <row r="2980" spans="1:4" ht="12.75" customHeight="1" x14ac:dyDescent="0.2">
      <c r="A2980" s="21"/>
      <c r="B2980" s="20" t="s">
        <v>18</v>
      </c>
      <c r="C2980" s="4" t="s">
        <v>331</v>
      </c>
      <c r="D2980" s="6" t="str">
        <f>HYPERLINK("javascript:void(0)","toplaty")</f>
        <v>toplaty</v>
      </c>
    </row>
    <row r="2981" spans="1:4" ht="12.75" customHeight="1" x14ac:dyDescent="0.2">
      <c r="A2981" s="21"/>
      <c r="B2981" s="21"/>
      <c r="C2981" s="4" t="s">
        <v>244</v>
      </c>
      <c r="D2981" s="6" t="str">
        <f>HYPERLINK("javascript:void(0)","zanzahúr")</f>
        <v>zanzahúr</v>
      </c>
    </row>
    <row r="2982" spans="1:4" ht="12.75" customHeight="1" x14ac:dyDescent="0.2">
      <c r="A2982" s="21"/>
      <c r="B2982" s="21"/>
      <c r="C2982" s="4" t="s">
        <v>44</v>
      </c>
      <c r="D2982" s="6" t="str">
        <f>HYPERLINK("javascript:void(0)","gyémánt kéziágyú")</f>
        <v>gyémánt kéziágyú</v>
      </c>
    </row>
    <row r="2983" spans="1:4" ht="12.75" customHeight="1" x14ac:dyDescent="0.2">
      <c r="A2983" s="5"/>
      <c r="B2983" s="2"/>
      <c r="C2983" s="2"/>
      <c r="D2983" s="2"/>
    </row>
    <row r="2984" spans="1:4" ht="12.75" customHeight="1" x14ac:dyDescent="0.2">
      <c r="A2984" s="22" t="str">
        <f>HYPERLINK("javascript:void(0)","mengorni kéziágyú")</f>
        <v>mengorni kéziágyú</v>
      </c>
      <c r="B2984" s="21"/>
      <c r="C2984" s="21"/>
      <c r="D2984" s="21"/>
    </row>
    <row r="2985" spans="1:4" ht="12.75" customHeight="1" x14ac:dyDescent="0.2">
      <c r="A2985" s="20"/>
      <c r="B2985" s="2"/>
      <c r="C2985" s="2"/>
      <c r="D2985" s="2"/>
    </row>
    <row r="2986" spans="1:4" ht="12.75" customHeight="1" x14ac:dyDescent="0.2">
      <c r="A2986" s="21"/>
      <c r="B2986" s="3" t="s">
        <v>0</v>
      </c>
      <c r="C2986" s="20" t="s">
        <v>281</v>
      </c>
      <c r="D2986" s="21"/>
    </row>
    <row r="2987" spans="1:4" ht="12.75" customHeight="1" x14ac:dyDescent="0.2">
      <c r="A2987" s="21"/>
      <c r="B2987" s="3" t="s">
        <v>2</v>
      </c>
      <c r="C2987" s="20" t="s">
        <v>3</v>
      </c>
      <c r="D2987" s="21"/>
    </row>
    <row r="2988" spans="1:4" ht="12.75" customHeight="1" x14ac:dyDescent="0.2">
      <c r="A2988" s="21"/>
      <c r="B2988" s="3" t="s">
        <v>4</v>
      </c>
      <c r="C2988" s="20" t="s">
        <v>833</v>
      </c>
      <c r="D2988" s="21"/>
    </row>
    <row r="2989" spans="1:4" ht="12.75" customHeight="1" x14ac:dyDescent="0.2">
      <c r="A2989" s="21"/>
      <c r="B2989" s="3" t="s">
        <v>6</v>
      </c>
      <c r="C2989" s="20" t="s">
        <v>157</v>
      </c>
      <c r="D2989" s="21"/>
    </row>
    <row r="2990" spans="1:4" ht="12.75" customHeight="1" x14ac:dyDescent="0.2">
      <c r="A2990" s="21"/>
      <c r="B2990" s="3" t="s">
        <v>8</v>
      </c>
      <c r="C2990" s="20" t="s">
        <v>833</v>
      </c>
      <c r="D2990" s="21"/>
    </row>
    <row r="2991" spans="1:4" ht="12.75" customHeight="1" x14ac:dyDescent="0.2">
      <c r="A2991" s="21"/>
      <c r="B2991" s="3" t="s">
        <v>9</v>
      </c>
      <c r="C2991" s="20" t="s">
        <v>834</v>
      </c>
      <c r="D2991" s="21"/>
    </row>
    <row r="2992" spans="1:4" ht="12.75" customHeight="1" x14ac:dyDescent="0.2">
      <c r="A2992" s="21"/>
      <c r="B2992" s="3" t="s">
        <v>11</v>
      </c>
      <c r="C2992" s="20" t="s">
        <v>835</v>
      </c>
      <c r="D2992" s="21"/>
    </row>
    <row r="2993" spans="1:4" ht="12.75" customHeight="1" x14ac:dyDescent="0.2">
      <c r="A2993" s="21"/>
      <c r="B2993" s="3" t="s">
        <v>13</v>
      </c>
      <c r="C2993" s="20" t="s">
        <v>24</v>
      </c>
      <c r="D2993" s="21"/>
    </row>
    <row r="2994" spans="1:4" ht="12.75" customHeight="1" x14ac:dyDescent="0.2">
      <c r="A2994" s="21"/>
      <c r="B2994" s="3" t="s">
        <v>15</v>
      </c>
      <c r="C2994" s="20" t="s">
        <v>24</v>
      </c>
      <c r="D2994" s="21"/>
    </row>
    <row r="2995" spans="1:4" ht="12.75" customHeight="1" x14ac:dyDescent="0.2">
      <c r="A2995" s="21"/>
      <c r="B2995" s="3" t="s">
        <v>16</v>
      </c>
      <c r="C2995" s="20"/>
      <c r="D2995" s="21"/>
    </row>
    <row r="2996" spans="1:4" ht="12.75" customHeight="1" x14ac:dyDescent="0.2">
      <c r="A2996" s="21"/>
      <c r="B2996" s="3" t="s">
        <v>17</v>
      </c>
      <c r="C2996" s="20"/>
      <c r="D2996" s="21"/>
    </row>
    <row r="2997" spans="1:4" ht="12.75" customHeight="1" x14ac:dyDescent="0.2">
      <c r="A2997" s="21"/>
      <c r="B2997" s="20" t="s">
        <v>18</v>
      </c>
      <c r="C2997" s="4" t="s">
        <v>44</v>
      </c>
      <c r="D2997" s="6" t="str">
        <f>HYPERLINK("javascript:void(0)","mengorni csúzli")</f>
        <v>mengorni csúzli</v>
      </c>
    </row>
    <row r="2998" spans="1:4" ht="12.75" customHeight="1" x14ac:dyDescent="0.2">
      <c r="A2998" s="21"/>
      <c r="B2998" s="21"/>
      <c r="C2998" s="4" t="s">
        <v>139</v>
      </c>
      <c r="D2998" s="6" t="str">
        <f>HYPERLINK("javascript:void(0)","harmatcsepp")</f>
        <v>harmatcsepp</v>
      </c>
    </row>
    <row r="2999" spans="1:4" ht="12.75" customHeight="1" x14ac:dyDescent="0.2">
      <c r="A2999" s="21"/>
      <c r="B2999" s="21"/>
      <c r="C2999" s="4" t="s">
        <v>132</v>
      </c>
      <c r="D2999" s="6" t="str">
        <f>HYPERLINK("javascript:void(0)","aszályige")</f>
        <v>aszályige</v>
      </c>
    </row>
    <row r="3000" spans="1:4" ht="12.75" customHeight="1" x14ac:dyDescent="0.2">
      <c r="A3000" s="5"/>
      <c r="B3000" s="2"/>
      <c r="C3000" s="2"/>
      <c r="D3000" s="2"/>
    </row>
    <row r="3001" spans="1:4" ht="12.75" customHeight="1" x14ac:dyDescent="0.2">
      <c r="A3001" s="22" t="str">
        <f>HYPERLINK("javascript:void(0)","diszpro tűdobó")</f>
        <v>diszpro tűdobó</v>
      </c>
      <c r="B3001" s="21"/>
      <c r="C3001" s="21"/>
      <c r="D3001" s="21"/>
    </row>
    <row r="3002" spans="1:4" ht="12.75" customHeight="1" x14ac:dyDescent="0.2">
      <c r="A3002" s="20"/>
      <c r="B3002" s="2"/>
      <c r="C3002" s="2"/>
      <c r="D3002" s="2"/>
    </row>
    <row r="3003" spans="1:4" ht="12.75" customHeight="1" x14ac:dyDescent="0.2">
      <c r="A3003" s="21"/>
      <c r="B3003" s="3" t="s">
        <v>0</v>
      </c>
      <c r="C3003" s="20" t="s">
        <v>281</v>
      </c>
      <c r="D3003" s="21"/>
    </row>
    <row r="3004" spans="1:4" ht="12.75" customHeight="1" x14ac:dyDescent="0.2">
      <c r="A3004" s="21"/>
      <c r="B3004" s="3" t="s">
        <v>2</v>
      </c>
      <c r="C3004" s="20" t="s">
        <v>3</v>
      </c>
      <c r="D3004" s="21"/>
    </row>
    <row r="3005" spans="1:4" ht="12.75" customHeight="1" x14ac:dyDescent="0.2">
      <c r="A3005" s="21"/>
      <c r="B3005" s="3" t="s">
        <v>4</v>
      </c>
      <c r="C3005" s="20" t="s">
        <v>840</v>
      </c>
      <c r="D3005" s="21"/>
    </row>
    <row r="3006" spans="1:4" ht="12.75" customHeight="1" x14ac:dyDescent="0.2">
      <c r="A3006" s="21"/>
      <c r="B3006" s="3" t="s">
        <v>6</v>
      </c>
      <c r="C3006" s="20" t="s">
        <v>65</v>
      </c>
      <c r="D3006" s="21"/>
    </row>
    <row r="3007" spans="1:4" ht="12.75" customHeight="1" x14ac:dyDescent="0.2">
      <c r="A3007" s="21"/>
      <c r="B3007" s="3" t="s">
        <v>8</v>
      </c>
      <c r="C3007" s="20" t="s">
        <v>840</v>
      </c>
      <c r="D3007" s="21"/>
    </row>
    <row r="3008" spans="1:4" ht="12.75" customHeight="1" x14ac:dyDescent="0.2">
      <c r="A3008" s="21"/>
      <c r="B3008" s="3" t="s">
        <v>9</v>
      </c>
      <c r="C3008" s="20" t="s">
        <v>707</v>
      </c>
      <c r="D3008" s="21"/>
    </row>
    <row r="3009" spans="1:4" ht="12.75" customHeight="1" x14ac:dyDescent="0.2">
      <c r="A3009" s="21"/>
      <c r="B3009" s="3" t="s">
        <v>11</v>
      </c>
      <c r="C3009" s="20" t="s">
        <v>713</v>
      </c>
      <c r="D3009" s="21"/>
    </row>
    <row r="3010" spans="1:4" ht="12.75" customHeight="1" x14ac:dyDescent="0.2">
      <c r="A3010" s="21"/>
      <c r="B3010" s="3" t="s">
        <v>13</v>
      </c>
      <c r="C3010" s="20" t="s">
        <v>24</v>
      </c>
      <c r="D3010" s="21"/>
    </row>
    <row r="3011" spans="1:4" ht="12.75" customHeight="1" x14ac:dyDescent="0.2">
      <c r="A3011" s="21"/>
      <c r="B3011" s="3" t="s">
        <v>15</v>
      </c>
      <c r="C3011" s="20" t="s">
        <v>24</v>
      </c>
      <c r="D3011" s="21"/>
    </row>
    <row r="3012" spans="1:4" ht="12.75" customHeight="1" x14ac:dyDescent="0.2">
      <c r="A3012" s="21"/>
      <c r="B3012" s="3" t="s">
        <v>16</v>
      </c>
      <c r="C3012" s="20"/>
      <c r="D3012" s="21"/>
    </row>
    <row r="3013" spans="1:4" ht="12.75" customHeight="1" x14ac:dyDescent="0.2">
      <c r="A3013" s="21"/>
      <c r="B3013" s="3" t="s">
        <v>17</v>
      </c>
      <c r="C3013" s="20"/>
      <c r="D3013" s="21"/>
    </row>
    <row r="3014" spans="1:4" ht="12.75" customHeight="1" x14ac:dyDescent="0.2">
      <c r="A3014" s="21"/>
      <c r="B3014" s="20" t="s">
        <v>18</v>
      </c>
      <c r="C3014" s="4" t="s">
        <v>44</v>
      </c>
      <c r="D3014" s="6" t="str">
        <f>HYPERLINK("javascript:void(0)","diszpro kéziágyú")</f>
        <v>diszpro kéziágyú</v>
      </c>
    </row>
    <row r="3015" spans="1:4" ht="12.75" customHeight="1" x14ac:dyDescent="0.2">
      <c r="A3015" s="21"/>
      <c r="B3015" s="21"/>
      <c r="C3015" s="4" t="s">
        <v>193</v>
      </c>
      <c r="D3015" s="6" t="str">
        <f>HYPERLINK("javascript:void(0)","angyalhaj")</f>
        <v>angyalhaj</v>
      </c>
    </row>
    <row r="3016" spans="1:4" ht="12.75" customHeight="1" x14ac:dyDescent="0.2">
      <c r="A3016" s="21"/>
      <c r="B3016" s="21"/>
      <c r="C3016" s="4" t="s">
        <v>269</v>
      </c>
      <c r="D3016" s="6" t="str">
        <f>HYPERLINK("javascript:void(0)","rojt")</f>
        <v>rojt</v>
      </c>
    </row>
    <row r="3017" spans="1:4" ht="12.75" customHeight="1" x14ac:dyDescent="0.2">
      <c r="A3017" s="5"/>
      <c r="B3017" s="2"/>
      <c r="C3017" s="2"/>
      <c r="D3017" s="2"/>
    </row>
    <row r="3018" spans="1:4" ht="12.75" customHeight="1" x14ac:dyDescent="0.2">
      <c r="A3018" s="22" t="str">
        <f>HYPERLINK("javascript:void(0)","skivei kéziágyú")</f>
        <v>skivei kéziágyú</v>
      </c>
      <c r="B3018" s="21"/>
      <c r="C3018" s="21"/>
      <c r="D3018" s="21"/>
    </row>
    <row r="3019" spans="1:4" ht="12.75" customHeight="1" x14ac:dyDescent="0.2">
      <c r="A3019" s="20"/>
      <c r="B3019" s="2"/>
      <c r="C3019" s="2"/>
      <c r="D3019" s="2"/>
    </row>
    <row r="3020" spans="1:4" ht="12.75" customHeight="1" x14ac:dyDescent="0.2">
      <c r="A3020" s="21"/>
      <c r="B3020" s="3" t="s">
        <v>0</v>
      </c>
      <c r="C3020" s="20" t="s">
        <v>181</v>
      </c>
      <c r="D3020" s="21"/>
    </row>
    <row r="3021" spans="1:4" ht="12.75" customHeight="1" x14ac:dyDescent="0.2">
      <c r="A3021" s="21"/>
      <c r="B3021" s="3" t="s">
        <v>2</v>
      </c>
      <c r="C3021" s="20" t="s">
        <v>3</v>
      </c>
      <c r="D3021" s="21"/>
    </row>
    <row r="3022" spans="1:4" ht="12.75" customHeight="1" x14ac:dyDescent="0.2">
      <c r="A3022" s="21"/>
      <c r="B3022" s="3" t="s">
        <v>4</v>
      </c>
      <c r="C3022" s="20" t="s">
        <v>844</v>
      </c>
      <c r="D3022" s="21"/>
    </row>
    <row r="3023" spans="1:4" ht="12.75" customHeight="1" x14ac:dyDescent="0.2">
      <c r="A3023" s="21"/>
      <c r="B3023" s="3" t="s">
        <v>6</v>
      </c>
      <c r="C3023" s="20" t="s">
        <v>260</v>
      </c>
      <c r="D3023" s="21"/>
    </row>
    <row r="3024" spans="1:4" ht="12.75" customHeight="1" x14ac:dyDescent="0.2">
      <c r="A3024" s="21"/>
      <c r="B3024" s="3" t="s">
        <v>8</v>
      </c>
      <c r="C3024" s="20" t="s">
        <v>844</v>
      </c>
      <c r="D3024" s="21"/>
    </row>
    <row r="3025" spans="1:4" ht="12.75" customHeight="1" x14ac:dyDescent="0.2">
      <c r="A3025" s="21"/>
      <c r="B3025" s="3" t="s">
        <v>9</v>
      </c>
      <c r="C3025" s="20" t="s">
        <v>845</v>
      </c>
      <c r="D3025" s="21"/>
    </row>
    <row r="3026" spans="1:4" ht="12.75" customHeight="1" x14ac:dyDescent="0.2">
      <c r="A3026" s="21"/>
      <c r="B3026" s="3" t="s">
        <v>11</v>
      </c>
      <c r="C3026" s="20" t="s">
        <v>847</v>
      </c>
      <c r="D3026" s="21"/>
    </row>
    <row r="3027" spans="1:4" ht="12.75" customHeight="1" x14ac:dyDescent="0.2">
      <c r="A3027" s="21"/>
      <c r="B3027" s="3" t="s">
        <v>13</v>
      </c>
      <c r="C3027" s="20" t="s">
        <v>24</v>
      </c>
      <c r="D3027" s="21"/>
    </row>
    <row r="3028" spans="1:4" ht="12.75" customHeight="1" x14ac:dyDescent="0.2">
      <c r="A3028" s="21"/>
      <c r="B3028" s="3" t="s">
        <v>15</v>
      </c>
      <c r="C3028" s="20" t="s">
        <v>24</v>
      </c>
      <c r="D3028" s="21"/>
    </row>
    <row r="3029" spans="1:4" ht="12.75" customHeight="1" x14ac:dyDescent="0.2">
      <c r="A3029" s="21"/>
      <c r="B3029" s="3" t="s">
        <v>16</v>
      </c>
      <c r="C3029" s="20"/>
      <c r="D3029" s="21"/>
    </row>
    <row r="3030" spans="1:4" ht="12.75" customHeight="1" x14ac:dyDescent="0.2">
      <c r="A3030" s="21"/>
      <c r="B3030" s="3" t="s">
        <v>17</v>
      </c>
      <c r="C3030" s="20"/>
      <c r="D3030" s="21"/>
    </row>
    <row r="3031" spans="1:4" ht="12.75" customHeight="1" x14ac:dyDescent="0.2">
      <c r="A3031" s="21"/>
      <c r="B3031" s="20" t="s">
        <v>18</v>
      </c>
      <c r="C3031" s="4" t="s">
        <v>44</v>
      </c>
      <c r="D3031" s="6" t="str">
        <f>HYPERLINK("javascript:void(0)","skivei csúzli")</f>
        <v>skivei csúzli</v>
      </c>
    </row>
    <row r="3032" spans="1:4" ht="12.75" customHeight="1" x14ac:dyDescent="0.2">
      <c r="A3032" s="21"/>
      <c r="B3032" s="21"/>
      <c r="C3032" s="4" t="s">
        <v>269</v>
      </c>
      <c r="D3032" s="6" t="str">
        <f>HYPERLINK("javascript:void(0)","ördögpihe")</f>
        <v>ördögpihe</v>
      </c>
    </row>
    <row r="3033" spans="1:4" ht="12.75" customHeight="1" x14ac:dyDescent="0.2">
      <c r="A3033" s="21"/>
      <c r="B3033" s="21"/>
      <c r="C3033" s="4" t="s">
        <v>67</v>
      </c>
      <c r="D3033" s="6" t="str">
        <f>HYPERLINK("javascript:void(0)","csapdaszeg")</f>
        <v>csapdaszeg</v>
      </c>
    </row>
    <row r="3034" spans="1:4" ht="12.75" customHeight="1" x14ac:dyDescent="0.2">
      <c r="A3034" s="5"/>
      <c r="B3034" s="2"/>
      <c r="C3034" s="2"/>
      <c r="D3034" s="2"/>
    </row>
    <row r="3035" spans="1:4" ht="12.75" customHeight="1" x14ac:dyDescent="0.2">
      <c r="A3035" s="22" t="str">
        <f>HYPERLINK("javascript:void(0)","kithrill tűdobó")</f>
        <v>kithrill tűdobó</v>
      </c>
      <c r="B3035" s="21"/>
      <c r="C3035" s="21"/>
      <c r="D3035" s="21"/>
    </row>
    <row r="3036" spans="1:4" ht="12.75" customHeight="1" x14ac:dyDescent="0.2">
      <c r="A3036" s="20"/>
      <c r="B3036" s="2"/>
      <c r="C3036" s="2"/>
      <c r="D3036" s="2"/>
    </row>
    <row r="3037" spans="1:4" ht="12.75" customHeight="1" x14ac:dyDescent="0.2">
      <c r="A3037" s="21"/>
      <c r="B3037" s="3" t="s">
        <v>0</v>
      </c>
      <c r="C3037" s="20" t="s">
        <v>181</v>
      </c>
      <c r="D3037" s="21"/>
    </row>
    <row r="3038" spans="1:4" ht="12.75" customHeight="1" x14ac:dyDescent="0.2">
      <c r="A3038" s="21"/>
      <c r="B3038" s="3" t="s">
        <v>2</v>
      </c>
      <c r="C3038" s="20" t="s">
        <v>3</v>
      </c>
      <c r="D3038" s="21"/>
    </row>
    <row r="3039" spans="1:4" ht="12.75" customHeight="1" x14ac:dyDescent="0.2">
      <c r="A3039" s="21"/>
      <c r="B3039" s="3" t="s">
        <v>4</v>
      </c>
      <c r="C3039" s="20" t="s">
        <v>850</v>
      </c>
      <c r="D3039" s="21"/>
    </row>
    <row r="3040" spans="1:4" ht="12.75" customHeight="1" x14ac:dyDescent="0.2">
      <c r="A3040" s="21"/>
      <c r="B3040" s="3" t="s">
        <v>6</v>
      </c>
      <c r="C3040" s="20" t="s">
        <v>65</v>
      </c>
      <c r="D3040" s="21"/>
    </row>
    <row r="3041" spans="1:4" ht="12.75" customHeight="1" x14ac:dyDescent="0.2">
      <c r="A3041" s="21"/>
      <c r="B3041" s="3" t="s">
        <v>8</v>
      </c>
      <c r="C3041" s="20" t="s">
        <v>850</v>
      </c>
      <c r="D3041" s="21"/>
    </row>
    <row r="3042" spans="1:4" ht="12.75" customHeight="1" x14ac:dyDescent="0.2">
      <c r="A3042" s="21"/>
      <c r="B3042" s="3" t="s">
        <v>9</v>
      </c>
      <c r="C3042" s="20" t="s">
        <v>716</v>
      </c>
      <c r="D3042" s="21"/>
    </row>
    <row r="3043" spans="1:4" ht="12.75" customHeight="1" x14ac:dyDescent="0.2">
      <c r="A3043" s="21"/>
      <c r="B3043" s="3" t="s">
        <v>11</v>
      </c>
      <c r="C3043" s="20" t="s">
        <v>722</v>
      </c>
      <c r="D3043" s="21"/>
    </row>
    <row r="3044" spans="1:4" ht="12.75" customHeight="1" x14ac:dyDescent="0.2">
      <c r="A3044" s="21"/>
      <c r="B3044" s="3" t="s">
        <v>13</v>
      </c>
      <c r="C3044" s="20" t="s">
        <v>24</v>
      </c>
      <c r="D3044" s="21"/>
    </row>
    <row r="3045" spans="1:4" ht="12.75" customHeight="1" x14ac:dyDescent="0.2">
      <c r="A3045" s="21"/>
      <c r="B3045" s="3" t="s">
        <v>15</v>
      </c>
      <c r="C3045" s="20" t="s">
        <v>24</v>
      </c>
      <c r="D3045" s="21"/>
    </row>
    <row r="3046" spans="1:4" ht="12.75" customHeight="1" x14ac:dyDescent="0.2">
      <c r="A3046" s="21"/>
      <c r="B3046" s="3" t="s">
        <v>16</v>
      </c>
      <c r="C3046" s="20"/>
      <c r="D3046" s="21"/>
    </row>
    <row r="3047" spans="1:4" ht="12.75" customHeight="1" x14ac:dyDescent="0.2">
      <c r="A3047" s="21"/>
      <c r="B3047" s="3" t="s">
        <v>17</v>
      </c>
      <c r="C3047" s="20"/>
      <c r="D3047" s="21"/>
    </row>
    <row r="3048" spans="1:4" ht="12.75" customHeight="1" x14ac:dyDescent="0.2">
      <c r="A3048" s="21"/>
      <c r="B3048" s="20" t="s">
        <v>18</v>
      </c>
      <c r="C3048" s="4" t="s">
        <v>44</v>
      </c>
      <c r="D3048" s="6" t="str">
        <f>HYPERLINK("javascript:void(0)","kithrill kéziágyú")</f>
        <v>kithrill kéziágyú</v>
      </c>
    </row>
    <row r="3049" spans="1:4" ht="12.75" customHeight="1" x14ac:dyDescent="0.2">
      <c r="A3049" s="21"/>
      <c r="B3049" s="21"/>
      <c r="C3049" s="4" t="s">
        <v>98</v>
      </c>
      <c r="D3049" s="6" t="str">
        <f>HYPERLINK("javascript:void(0)","zászlórúd")</f>
        <v>zászlórúd</v>
      </c>
    </row>
    <row r="3050" spans="1:4" ht="12.75" customHeight="1" x14ac:dyDescent="0.2">
      <c r="A3050" s="21"/>
      <c r="B3050" s="21"/>
      <c r="C3050" s="4" t="s">
        <v>117</v>
      </c>
      <c r="D3050" s="6" t="str">
        <f>HYPERLINK("javascript:void(0)","kónya")</f>
        <v>kónya</v>
      </c>
    </row>
    <row r="3051" spans="1:4" ht="12.75" customHeight="1" x14ac:dyDescent="0.2">
      <c r="A3051" s="5"/>
      <c r="B3051" s="2"/>
      <c r="C3051" s="2"/>
      <c r="D3051" s="2"/>
    </row>
    <row r="3052" spans="1:4" ht="12.75" customHeight="1" x14ac:dyDescent="0.2">
      <c r="A3052" s="22" t="str">
        <f>HYPERLINK("javascript:void(0)","parszi kéziágyú")</f>
        <v>parszi kéziágyú</v>
      </c>
      <c r="B3052" s="21"/>
      <c r="C3052" s="21"/>
      <c r="D3052" s="21"/>
    </row>
    <row r="3053" spans="1:4" ht="12.75" customHeight="1" x14ac:dyDescent="0.2">
      <c r="A3053" s="20"/>
      <c r="B3053" s="2"/>
      <c r="C3053" s="2"/>
      <c r="D3053" s="2"/>
    </row>
    <row r="3054" spans="1:4" ht="12.75" customHeight="1" x14ac:dyDescent="0.2">
      <c r="A3054" s="21"/>
      <c r="B3054" s="3" t="s">
        <v>0</v>
      </c>
      <c r="C3054" s="20" t="s">
        <v>853</v>
      </c>
      <c r="D3054" s="21"/>
    </row>
    <row r="3055" spans="1:4" ht="12.75" customHeight="1" x14ac:dyDescent="0.2">
      <c r="A3055" s="21"/>
      <c r="B3055" s="3" t="s">
        <v>2</v>
      </c>
      <c r="C3055" s="20" t="s">
        <v>3</v>
      </c>
      <c r="D3055" s="21"/>
    </row>
    <row r="3056" spans="1:4" ht="12.75" customHeight="1" x14ac:dyDescent="0.2">
      <c r="A3056" s="21"/>
      <c r="B3056" s="3" t="s">
        <v>4</v>
      </c>
      <c r="C3056" s="20" t="s">
        <v>854</v>
      </c>
      <c r="D3056" s="21"/>
    </row>
    <row r="3057" spans="1:4" ht="12.75" customHeight="1" x14ac:dyDescent="0.2">
      <c r="A3057" s="21"/>
      <c r="B3057" s="3" t="s">
        <v>6</v>
      </c>
      <c r="C3057" s="20" t="s">
        <v>260</v>
      </c>
      <c r="D3057" s="21"/>
    </row>
    <row r="3058" spans="1:4" ht="12.75" customHeight="1" x14ac:dyDescent="0.2">
      <c r="A3058" s="21"/>
      <c r="B3058" s="3" t="s">
        <v>8</v>
      </c>
      <c r="C3058" s="20" t="s">
        <v>854</v>
      </c>
      <c r="D3058" s="21"/>
    </row>
    <row r="3059" spans="1:4" ht="12.75" customHeight="1" x14ac:dyDescent="0.2">
      <c r="A3059" s="21"/>
      <c r="B3059" s="3" t="s">
        <v>9</v>
      </c>
      <c r="C3059" s="20" t="s">
        <v>573</v>
      </c>
      <c r="D3059" s="21"/>
    </row>
    <row r="3060" spans="1:4" ht="12.75" customHeight="1" x14ac:dyDescent="0.2">
      <c r="A3060" s="21"/>
      <c r="B3060" s="3" t="s">
        <v>11</v>
      </c>
      <c r="C3060" s="20" t="s">
        <v>856</v>
      </c>
      <c r="D3060" s="21"/>
    </row>
    <row r="3061" spans="1:4" ht="12.75" customHeight="1" x14ac:dyDescent="0.2">
      <c r="A3061" s="21"/>
      <c r="B3061" s="3" t="s">
        <v>13</v>
      </c>
      <c r="C3061" s="20" t="s">
        <v>24</v>
      </c>
      <c r="D3061" s="21"/>
    </row>
    <row r="3062" spans="1:4" ht="12.75" customHeight="1" x14ac:dyDescent="0.2">
      <c r="A3062" s="21"/>
      <c r="B3062" s="3" t="s">
        <v>15</v>
      </c>
      <c r="C3062" s="20" t="s">
        <v>24</v>
      </c>
      <c r="D3062" s="21"/>
    </row>
    <row r="3063" spans="1:4" ht="12.75" customHeight="1" x14ac:dyDescent="0.2">
      <c r="A3063" s="21"/>
      <c r="B3063" s="3" t="s">
        <v>16</v>
      </c>
      <c r="C3063" s="20"/>
      <c r="D3063" s="21"/>
    </row>
    <row r="3064" spans="1:4" ht="12.75" customHeight="1" x14ac:dyDescent="0.2">
      <c r="A3064" s="21"/>
      <c r="B3064" s="3" t="s">
        <v>17</v>
      </c>
      <c r="C3064" s="20"/>
      <c r="D3064" s="21"/>
    </row>
    <row r="3065" spans="1:4" ht="12.75" customHeight="1" x14ac:dyDescent="0.2">
      <c r="A3065" s="21"/>
      <c r="B3065" s="20" t="s">
        <v>18</v>
      </c>
      <c r="C3065" s="4" t="s">
        <v>44</v>
      </c>
      <c r="D3065" s="6" t="str">
        <f>HYPERLINK("javascript:void(0)","parszi csúzli")</f>
        <v>parszi csúzli</v>
      </c>
    </row>
    <row r="3066" spans="1:4" ht="12.75" customHeight="1" x14ac:dyDescent="0.2">
      <c r="A3066" s="21"/>
      <c r="B3066" s="21"/>
      <c r="C3066" s="4" t="s">
        <v>331</v>
      </c>
      <c r="D3066" s="6" t="str">
        <f>HYPERLINK("javascript:void(0)","dobókocka")</f>
        <v>dobókocka</v>
      </c>
    </row>
    <row r="3067" spans="1:4" ht="12.75" customHeight="1" x14ac:dyDescent="0.2">
      <c r="A3067" s="21"/>
      <c r="B3067" s="21"/>
      <c r="C3067" s="4" t="s">
        <v>98</v>
      </c>
      <c r="D3067" s="6" t="str">
        <f>HYPERLINK("javascript:void(0)","brummogás")</f>
        <v>brummogás</v>
      </c>
    </row>
    <row r="3068" spans="1:4" ht="12.75" customHeight="1" x14ac:dyDescent="0.2">
      <c r="A3068" s="5"/>
      <c r="B3068" s="2"/>
      <c r="C3068" s="2"/>
      <c r="D3068" s="2"/>
    </row>
    <row r="3069" spans="1:4" ht="12.75" customHeight="1" x14ac:dyDescent="0.2">
      <c r="A3069" s="22" t="str">
        <f>HYPERLINK("javascript:void(0)","centro tűdobó")</f>
        <v>centro tűdobó</v>
      </c>
      <c r="B3069" s="21"/>
      <c r="C3069" s="21"/>
      <c r="D3069" s="21"/>
    </row>
    <row r="3070" spans="1:4" ht="12.75" customHeight="1" x14ac:dyDescent="0.2">
      <c r="A3070" s="20"/>
      <c r="B3070" s="2"/>
      <c r="C3070" s="2"/>
      <c r="D3070" s="2"/>
    </row>
    <row r="3071" spans="1:4" ht="12.75" customHeight="1" x14ac:dyDescent="0.2">
      <c r="A3071" s="21"/>
      <c r="B3071" s="3" t="s">
        <v>0</v>
      </c>
      <c r="C3071" s="20" t="s">
        <v>853</v>
      </c>
      <c r="D3071" s="21"/>
    </row>
    <row r="3072" spans="1:4" ht="12.75" customHeight="1" x14ac:dyDescent="0.2">
      <c r="A3072" s="21"/>
      <c r="B3072" s="3" t="s">
        <v>2</v>
      </c>
      <c r="C3072" s="20" t="s">
        <v>3</v>
      </c>
      <c r="D3072" s="21"/>
    </row>
    <row r="3073" spans="1:4" ht="12.75" customHeight="1" x14ac:dyDescent="0.2">
      <c r="A3073" s="21"/>
      <c r="B3073" s="3" t="s">
        <v>4</v>
      </c>
      <c r="C3073" s="20" t="s">
        <v>857</v>
      </c>
      <c r="D3073" s="21"/>
    </row>
    <row r="3074" spans="1:4" ht="12.75" customHeight="1" x14ac:dyDescent="0.2">
      <c r="A3074" s="21"/>
      <c r="B3074" s="3" t="s">
        <v>6</v>
      </c>
      <c r="C3074" s="20" t="s">
        <v>99</v>
      </c>
      <c r="D3074" s="21"/>
    </row>
    <row r="3075" spans="1:4" ht="12.75" customHeight="1" x14ac:dyDescent="0.2">
      <c r="A3075" s="21"/>
      <c r="B3075" s="3" t="s">
        <v>8</v>
      </c>
      <c r="C3075" s="20" t="s">
        <v>857</v>
      </c>
      <c r="D3075" s="21"/>
    </row>
    <row r="3076" spans="1:4" ht="12.75" customHeight="1" x14ac:dyDescent="0.2">
      <c r="A3076" s="21"/>
      <c r="B3076" s="3" t="s">
        <v>9</v>
      </c>
      <c r="C3076" s="20" t="s">
        <v>707</v>
      </c>
      <c r="D3076" s="21"/>
    </row>
    <row r="3077" spans="1:4" ht="12.75" customHeight="1" x14ac:dyDescent="0.2">
      <c r="A3077" s="21"/>
      <c r="B3077" s="3" t="s">
        <v>11</v>
      </c>
      <c r="C3077" s="20" t="s">
        <v>731</v>
      </c>
      <c r="D3077" s="21"/>
    </row>
    <row r="3078" spans="1:4" ht="12.75" customHeight="1" x14ac:dyDescent="0.2">
      <c r="A3078" s="21"/>
      <c r="B3078" s="3" t="s">
        <v>13</v>
      </c>
      <c r="C3078" s="20" t="s">
        <v>24</v>
      </c>
      <c r="D3078" s="21"/>
    </row>
    <row r="3079" spans="1:4" ht="12.75" customHeight="1" x14ac:dyDescent="0.2">
      <c r="A3079" s="21"/>
      <c r="B3079" s="3" t="s">
        <v>15</v>
      </c>
      <c r="C3079" s="20" t="s">
        <v>24</v>
      </c>
      <c r="D3079" s="21"/>
    </row>
    <row r="3080" spans="1:4" ht="12.75" customHeight="1" x14ac:dyDescent="0.2">
      <c r="A3080" s="21"/>
      <c r="B3080" s="3" t="s">
        <v>16</v>
      </c>
      <c r="C3080" s="20"/>
      <c r="D3080" s="21"/>
    </row>
    <row r="3081" spans="1:4" ht="12.75" customHeight="1" x14ac:dyDescent="0.2">
      <c r="A3081" s="21"/>
      <c r="B3081" s="3" t="s">
        <v>17</v>
      </c>
      <c r="C3081" s="20"/>
      <c r="D3081" s="21"/>
    </row>
    <row r="3082" spans="1:4" ht="12.75" customHeight="1" x14ac:dyDescent="0.2">
      <c r="A3082" s="21"/>
      <c r="B3082" s="20" t="s">
        <v>18</v>
      </c>
      <c r="C3082" s="4" t="s">
        <v>44</v>
      </c>
      <c r="D3082" s="6" t="str">
        <f>HYPERLINK("javascript:void(0)","centro kéziágyú")</f>
        <v>centro kéziágyú</v>
      </c>
    </row>
    <row r="3083" spans="1:4" ht="12.75" customHeight="1" x14ac:dyDescent="0.2">
      <c r="A3083" s="21"/>
      <c r="B3083" s="21"/>
      <c r="C3083" s="4" t="s">
        <v>327</v>
      </c>
      <c r="D3083" s="6" t="str">
        <f>HYPERLINK("javascript:void(0)","pillepikkely")</f>
        <v>pillepikkely</v>
      </c>
    </row>
    <row r="3084" spans="1:4" ht="12.75" customHeight="1" x14ac:dyDescent="0.2">
      <c r="A3084" s="21"/>
      <c r="B3084" s="21"/>
      <c r="C3084" s="4" t="s">
        <v>772</v>
      </c>
      <c r="D3084" s="6" t="str">
        <f>HYPERLINK("javascript:void(0)","dobverő")</f>
        <v>dobverő</v>
      </c>
    </row>
    <row r="3085" spans="1:4" ht="12.75" customHeight="1" x14ac:dyDescent="0.2">
      <c r="A3085" s="5"/>
      <c r="B3085" s="2"/>
      <c r="C3085" s="2"/>
      <c r="D3085" s="2"/>
    </row>
    <row r="3086" spans="1:4" ht="12.75" customHeight="1" x14ac:dyDescent="0.2">
      <c r="A3086" s="22" t="str">
        <f>HYPERLINK("javascript:void(0)","rimföldi kéziágyú")</f>
        <v>rimföldi kéziágyú</v>
      </c>
      <c r="B3086" s="21"/>
      <c r="C3086" s="21"/>
      <c r="D3086" s="21"/>
    </row>
    <row r="3087" spans="1:4" ht="12.75" customHeight="1" x14ac:dyDescent="0.2">
      <c r="A3087" s="20"/>
      <c r="B3087" s="2"/>
      <c r="C3087" s="2"/>
      <c r="D3087" s="2"/>
    </row>
    <row r="3088" spans="1:4" ht="12.75" customHeight="1" x14ac:dyDescent="0.2">
      <c r="A3088" s="21"/>
      <c r="B3088" s="3" t="s">
        <v>0</v>
      </c>
      <c r="C3088" s="20" t="s">
        <v>862</v>
      </c>
      <c r="D3088" s="21"/>
    </row>
    <row r="3089" spans="1:4" ht="12.75" customHeight="1" x14ac:dyDescent="0.2">
      <c r="A3089" s="21"/>
      <c r="B3089" s="3" t="s">
        <v>2</v>
      </c>
      <c r="C3089" s="20" t="s">
        <v>3</v>
      </c>
      <c r="D3089" s="21"/>
    </row>
    <row r="3090" spans="1:4" ht="12.75" customHeight="1" x14ac:dyDescent="0.2">
      <c r="A3090" s="21"/>
      <c r="B3090" s="3" t="s">
        <v>4</v>
      </c>
      <c r="C3090" s="20" t="s">
        <v>863</v>
      </c>
      <c r="D3090" s="21"/>
    </row>
    <row r="3091" spans="1:4" ht="12.75" customHeight="1" x14ac:dyDescent="0.2">
      <c r="A3091" s="21"/>
      <c r="B3091" s="3" t="s">
        <v>6</v>
      </c>
      <c r="C3091" s="20" t="s">
        <v>157</v>
      </c>
      <c r="D3091" s="21"/>
    </row>
    <row r="3092" spans="1:4" ht="12.75" customHeight="1" x14ac:dyDescent="0.2">
      <c r="A3092" s="21"/>
      <c r="B3092" s="3" t="s">
        <v>8</v>
      </c>
      <c r="C3092" s="20" t="s">
        <v>863</v>
      </c>
      <c r="D3092" s="21"/>
    </row>
    <row r="3093" spans="1:4" ht="12.75" customHeight="1" x14ac:dyDescent="0.2">
      <c r="A3093" s="21"/>
      <c r="B3093" s="3" t="s">
        <v>9</v>
      </c>
      <c r="C3093" s="20" t="s">
        <v>865</v>
      </c>
      <c r="D3093" s="21"/>
    </row>
    <row r="3094" spans="1:4" ht="12.75" customHeight="1" x14ac:dyDescent="0.2">
      <c r="A3094" s="21"/>
      <c r="B3094" s="3" t="s">
        <v>11</v>
      </c>
      <c r="C3094" s="20" t="s">
        <v>866</v>
      </c>
      <c r="D3094" s="21"/>
    </row>
    <row r="3095" spans="1:4" ht="12.75" customHeight="1" x14ac:dyDescent="0.2">
      <c r="A3095" s="21"/>
      <c r="B3095" s="3" t="s">
        <v>13</v>
      </c>
      <c r="C3095" s="20" t="s">
        <v>24</v>
      </c>
      <c r="D3095" s="21"/>
    </row>
    <row r="3096" spans="1:4" ht="12.75" customHeight="1" x14ac:dyDescent="0.2">
      <c r="A3096" s="21"/>
      <c r="B3096" s="3" t="s">
        <v>15</v>
      </c>
      <c r="C3096" s="20" t="s">
        <v>24</v>
      </c>
      <c r="D3096" s="21"/>
    </row>
    <row r="3097" spans="1:4" ht="12.75" customHeight="1" x14ac:dyDescent="0.2">
      <c r="A3097" s="21"/>
      <c r="B3097" s="3" t="s">
        <v>16</v>
      </c>
      <c r="C3097" s="20"/>
      <c r="D3097" s="21"/>
    </row>
    <row r="3098" spans="1:4" ht="12.75" customHeight="1" x14ac:dyDescent="0.2">
      <c r="A3098" s="21"/>
      <c r="B3098" s="3" t="s">
        <v>17</v>
      </c>
      <c r="C3098" s="20"/>
      <c r="D3098" s="21"/>
    </row>
    <row r="3099" spans="1:4" ht="12.75" customHeight="1" x14ac:dyDescent="0.2">
      <c r="A3099" s="21"/>
      <c r="B3099" s="20" t="s">
        <v>18</v>
      </c>
      <c r="C3099" s="4" t="s">
        <v>44</v>
      </c>
      <c r="D3099" s="6" t="str">
        <f>HYPERLINK("javascript:void(0)","rimföldi csúzli")</f>
        <v>rimföldi csúzli</v>
      </c>
    </row>
    <row r="3100" spans="1:4" ht="12.75" customHeight="1" x14ac:dyDescent="0.2">
      <c r="A3100" s="21"/>
      <c r="B3100" s="21"/>
      <c r="C3100" s="4" t="s">
        <v>68</v>
      </c>
      <c r="D3100" s="6" t="str">
        <f>HYPERLINK("javascript:void(0)","lexikon")</f>
        <v>lexikon</v>
      </c>
    </row>
    <row r="3101" spans="1:4" ht="12.75" customHeight="1" x14ac:dyDescent="0.2">
      <c r="A3101" s="21"/>
      <c r="B3101" s="21"/>
      <c r="C3101" s="4" t="s">
        <v>139</v>
      </c>
      <c r="D3101" s="6" t="str">
        <f>HYPERLINK("javascript:void(0)","átokige")</f>
        <v>átokige</v>
      </c>
    </row>
    <row r="3102" spans="1:4" ht="12.75" customHeight="1" x14ac:dyDescent="0.2">
      <c r="A3102" s="5"/>
      <c r="B3102" s="2"/>
      <c r="C3102" s="2"/>
      <c r="D3102" s="2"/>
    </row>
    <row r="3103" spans="1:4" ht="12.75" customHeight="1" x14ac:dyDescent="0.2">
      <c r="A3103" s="22" t="str">
        <f>HYPERLINK("javascript:void(0)","hiper tűdobó")</f>
        <v>hiper tűdobó</v>
      </c>
      <c r="B3103" s="21"/>
      <c r="C3103" s="21"/>
      <c r="D3103" s="21"/>
    </row>
    <row r="3104" spans="1:4" ht="12.75" customHeight="1" x14ac:dyDescent="0.2">
      <c r="A3104" s="20"/>
      <c r="B3104" s="2"/>
      <c r="C3104" s="2"/>
      <c r="D3104" s="2"/>
    </row>
    <row r="3105" spans="1:4" ht="12.75" customHeight="1" x14ac:dyDescent="0.2">
      <c r="A3105" s="21"/>
      <c r="B3105" s="3" t="s">
        <v>0</v>
      </c>
      <c r="C3105" s="20" t="s">
        <v>862</v>
      </c>
      <c r="D3105" s="21"/>
    </row>
    <row r="3106" spans="1:4" ht="12.75" customHeight="1" x14ac:dyDescent="0.2">
      <c r="A3106" s="21"/>
      <c r="B3106" s="3" t="s">
        <v>2</v>
      </c>
      <c r="C3106" s="20" t="s">
        <v>3</v>
      </c>
      <c r="D3106" s="21"/>
    </row>
    <row r="3107" spans="1:4" ht="12.75" customHeight="1" x14ac:dyDescent="0.2">
      <c r="A3107" s="21"/>
      <c r="B3107" s="3" t="s">
        <v>4</v>
      </c>
      <c r="C3107" s="20" t="s">
        <v>869</v>
      </c>
      <c r="D3107" s="21"/>
    </row>
    <row r="3108" spans="1:4" ht="12.75" customHeight="1" x14ac:dyDescent="0.2">
      <c r="A3108" s="21"/>
      <c r="B3108" s="3" t="s">
        <v>6</v>
      </c>
      <c r="C3108" s="20" t="s">
        <v>99</v>
      </c>
      <c r="D3108" s="21"/>
    </row>
    <row r="3109" spans="1:4" ht="12.75" customHeight="1" x14ac:dyDescent="0.2">
      <c r="A3109" s="21"/>
      <c r="B3109" s="3" t="s">
        <v>8</v>
      </c>
      <c r="C3109" s="20" t="s">
        <v>869</v>
      </c>
      <c r="D3109" s="21"/>
    </row>
    <row r="3110" spans="1:4" ht="12.75" customHeight="1" x14ac:dyDescent="0.2">
      <c r="A3110" s="21"/>
      <c r="B3110" s="3" t="s">
        <v>9</v>
      </c>
      <c r="C3110" s="20" t="s">
        <v>716</v>
      </c>
      <c r="D3110" s="21"/>
    </row>
    <row r="3111" spans="1:4" ht="12.75" customHeight="1" x14ac:dyDescent="0.2">
      <c r="A3111" s="21"/>
      <c r="B3111" s="3" t="s">
        <v>11</v>
      </c>
      <c r="C3111" s="20" t="s">
        <v>739</v>
      </c>
      <c r="D3111" s="21"/>
    </row>
    <row r="3112" spans="1:4" ht="12.75" customHeight="1" x14ac:dyDescent="0.2">
      <c r="A3112" s="21"/>
      <c r="B3112" s="3" t="s">
        <v>13</v>
      </c>
      <c r="C3112" s="20" t="s">
        <v>24</v>
      </c>
      <c r="D3112" s="21"/>
    </row>
    <row r="3113" spans="1:4" ht="12.75" customHeight="1" x14ac:dyDescent="0.2">
      <c r="A3113" s="21"/>
      <c r="B3113" s="3" t="s">
        <v>15</v>
      </c>
      <c r="C3113" s="20" t="s">
        <v>24</v>
      </c>
      <c r="D3113" s="21"/>
    </row>
    <row r="3114" spans="1:4" ht="12.75" customHeight="1" x14ac:dyDescent="0.2">
      <c r="A3114" s="21"/>
      <c r="B3114" s="3" t="s">
        <v>16</v>
      </c>
      <c r="C3114" s="20"/>
      <c r="D3114" s="21"/>
    </row>
    <row r="3115" spans="1:4" ht="12.75" customHeight="1" x14ac:dyDescent="0.2">
      <c r="A3115" s="21"/>
      <c r="B3115" s="3" t="s">
        <v>17</v>
      </c>
      <c r="C3115" s="20"/>
      <c r="D3115" s="21"/>
    </row>
    <row r="3116" spans="1:4" ht="12.75" customHeight="1" x14ac:dyDescent="0.2">
      <c r="A3116" s="21"/>
      <c r="B3116" s="20" t="s">
        <v>18</v>
      </c>
      <c r="C3116" s="4" t="s">
        <v>44</v>
      </c>
      <c r="D3116" s="6" t="str">
        <f>HYPERLINK("javascript:void(0)","hiper kéziágyú")</f>
        <v>hiper kéziágyú</v>
      </c>
    </row>
    <row r="3117" spans="1:4" ht="12.75" customHeight="1" x14ac:dyDescent="0.2">
      <c r="A3117" s="21"/>
      <c r="B3117" s="21"/>
      <c r="C3117" s="4" t="s">
        <v>269</v>
      </c>
      <c r="D3117" s="6" t="str">
        <f>HYPERLINK("javascript:void(0)","lékék")</f>
        <v>lékék</v>
      </c>
    </row>
    <row r="3118" spans="1:4" ht="12.75" customHeight="1" x14ac:dyDescent="0.2">
      <c r="A3118" s="21"/>
      <c r="B3118" s="21"/>
      <c r="C3118" s="4" t="s">
        <v>132</v>
      </c>
      <c r="D3118" s="6" t="str">
        <f>HYPERLINK("javascript:void(0)","cingulum")</f>
        <v>cingulum</v>
      </c>
    </row>
    <row r="3119" spans="1:4" ht="12.75" customHeight="1" x14ac:dyDescent="0.2">
      <c r="A3119" s="5"/>
      <c r="B3119" s="2"/>
      <c r="C3119" s="2"/>
      <c r="D3119" s="2"/>
    </row>
    <row r="3120" spans="1:4" ht="12.75" customHeight="1" x14ac:dyDescent="0.2">
      <c r="A3120" s="22" t="str">
        <f>HYPERLINK("javascript:void(0)","artini kéziágyú")</f>
        <v>artini kéziágyú</v>
      </c>
      <c r="B3120" s="21"/>
      <c r="C3120" s="21"/>
      <c r="D3120" s="21"/>
    </row>
    <row r="3121" spans="1:4" ht="12.75" customHeight="1" x14ac:dyDescent="0.2">
      <c r="A3121" s="20"/>
      <c r="B3121" s="2"/>
      <c r="C3121" s="2"/>
      <c r="D3121" s="2"/>
    </row>
    <row r="3122" spans="1:4" ht="12.75" customHeight="1" x14ac:dyDescent="0.2">
      <c r="A3122" s="21"/>
      <c r="B3122" s="3" t="s">
        <v>0</v>
      </c>
      <c r="C3122" s="20" t="s">
        <v>874</v>
      </c>
      <c r="D3122" s="21"/>
    </row>
    <row r="3123" spans="1:4" ht="12.75" customHeight="1" x14ac:dyDescent="0.2">
      <c r="A3123" s="21"/>
      <c r="B3123" s="3" t="s">
        <v>2</v>
      </c>
      <c r="C3123" s="20" t="s">
        <v>3</v>
      </c>
      <c r="D3123" s="21"/>
    </row>
    <row r="3124" spans="1:4" ht="12.75" customHeight="1" x14ac:dyDescent="0.2">
      <c r="A3124" s="21"/>
      <c r="B3124" s="3" t="s">
        <v>4</v>
      </c>
      <c r="C3124" s="20" t="s">
        <v>875</v>
      </c>
      <c r="D3124" s="21"/>
    </row>
    <row r="3125" spans="1:4" ht="12.75" customHeight="1" x14ac:dyDescent="0.2">
      <c r="A3125" s="21"/>
      <c r="B3125" s="3" t="s">
        <v>6</v>
      </c>
      <c r="C3125" s="20" t="s">
        <v>284</v>
      </c>
      <c r="D3125" s="21"/>
    </row>
    <row r="3126" spans="1:4" ht="12.75" customHeight="1" x14ac:dyDescent="0.2">
      <c r="A3126" s="21"/>
      <c r="B3126" s="3" t="s">
        <v>8</v>
      </c>
      <c r="C3126" s="20" t="s">
        <v>875</v>
      </c>
      <c r="D3126" s="21"/>
    </row>
    <row r="3127" spans="1:4" ht="12.75" customHeight="1" x14ac:dyDescent="0.2">
      <c r="A3127" s="21"/>
      <c r="B3127" s="3" t="s">
        <v>9</v>
      </c>
      <c r="C3127" s="20" t="s">
        <v>877</v>
      </c>
      <c r="D3127" s="21"/>
    </row>
    <row r="3128" spans="1:4" ht="12.75" customHeight="1" x14ac:dyDescent="0.2">
      <c r="A3128" s="21"/>
      <c r="B3128" s="3" t="s">
        <v>11</v>
      </c>
      <c r="C3128" s="20" t="s">
        <v>879</v>
      </c>
      <c r="D3128" s="21"/>
    </row>
    <row r="3129" spans="1:4" ht="12.75" customHeight="1" x14ac:dyDescent="0.2">
      <c r="A3129" s="21"/>
      <c r="B3129" s="3" t="s">
        <v>13</v>
      </c>
      <c r="C3129" s="20" t="s">
        <v>24</v>
      </c>
      <c r="D3129" s="21"/>
    </row>
    <row r="3130" spans="1:4" ht="12.75" customHeight="1" x14ac:dyDescent="0.2">
      <c r="A3130" s="21"/>
      <c r="B3130" s="3" t="s">
        <v>15</v>
      </c>
      <c r="C3130" s="20" t="s">
        <v>24</v>
      </c>
      <c r="D3130" s="21"/>
    </row>
    <row r="3131" spans="1:4" ht="12.75" customHeight="1" x14ac:dyDescent="0.2">
      <c r="A3131" s="21"/>
      <c r="B3131" s="3" t="s">
        <v>16</v>
      </c>
      <c r="C3131" s="20"/>
      <c r="D3131" s="21"/>
    </row>
    <row r="3132" spans="1:4" ht="12.75" customHeight="1" x14ac:dyDescent="0.2">
      <c r="A3132" s="21"/>
      <c r="B3132" s="3" t="s">
        <v>17</v>
      </c>
      <c r="C3132" s="20"/>
      <c r="D3132" s="21"/>
    </row>
    <row r="3133" spans="1:4" ht="12.75" customHeight="1" x14ac:dyDescent="0.2">
      <c r="A3133" s="21"/>
      <c r="B3133" s="20" t="s">
        <v>18</v>
      </c>
      <c r="C3133" s="4" t="s">
        <v>44</v>
      </c>
      <c r="D3133" s="6" t="str">
        <f>HYPERLINK("javascript:void(0)","artini csúzli")</f>
        <v>artini csúzli</v>
      </c>
    </row>
    <row r="3134" spans="1:4" ht="12.75" customHeight="1" x14ac:dyDescent="0.2">
      <c r="A3134" s="21"/>
      <c r="B3134" s="21"/>
      <c r="C3134" s="4" t="s">
        <v>132</v>
      </c>
      <c r="D3134" s="6" t="str">
        <f>HYPERLINK("javascript:void(0)","cerka")</f>
        <v>cerka</v>
      </c>
    </row>
    <row r="3135" spans="1:4" ht="12.75" customHeight="1" x14ac:dyDescent="0.2">
      <c r="A3135" s="21"/>
      <c r="B3135" s="21"/>
      <c r="C3135" s="4" t="s">
        <v>265</v>
      </c>
      <c r="D3135" s="6" t="str">
        <f>HYPERLINK("javascript:void(0)","vitorla")</f>
        <v>vitorla</v>
      </c>
    </row>
    <row r="3136" spans="1:4" ht="12.75" customHeight="1" x14ac:dyDescent="0.2">
      <c r="A3136" s="5"/>
      <c r="B3136" s="2"/>
      <c r="C3136" s="2"/>
      <c r="D3136" s="2"/>
    </row>
    <row r="3137" spans="1:4" ht="12.75" customHeight="1" x14ac:dyDescent="0.2">
      <c r="A3137" s="22" t="str">
        <f>HYPERLINK("javascript:void(0)","hidracél tűdobó")</f>
        <v>hidracél tűdobó</v>
      </c>
      <c r="B3137" s="21"/>
      <c r="C3137" s="21"/>
      <c r="D3137" s="21"/>
    </row>
    <row r="3138" spans="1:4" ht="12.75" customHeight="1" x14ac:dyDescent="0.2">
      <c r="A3138" s="20"/>
      <c r="B3138" s="2"/>
      <c r="C3138" s="2"/>
      <c r="D3138" s="2"/>
    </row>
    <row r="3139" spans="1:4" ht="12.75" customHeight="1" x14ac:dyDescent="0.2">
      <c r="A3139" s="21"/>
      <c r="B3139" s="3" t="s">
        <v>0</v>
      </c>
      <c r="C3139" s="20" t="s">
        <v>874</v>
      </c>
      <c r="D3139" s="21"/>
    </row>
    <row r="3140" spans="1:4" ht="12.75" customHeight="1" x14ac:dyDescent="0.2">
      <c r="A3140" s="21"/>
      <c r="B3140" s="3" t="s">
        <v>2</v>
      </c>
      <c r="C3140" s="20" t="s">
        <v>3</v>
      </c>
      <c r="D3140" s="21"/>
    </row>
    <row r="3141" spans="1:4" ht="12.75" customHeight="1" x14ac:dyDescent="0.2">
      <c r="A3141" s="21"/>
      <c r="B3141" s="3" t="s">
        <v>4</v>
      </c>
      <c r="C3141" s="20" t="s">
        <v>880</v>
      </c>
      <c r="D3141" s="21"/>
    </row>
    <row r="3142" spans="1:4" ht="12.75" customHeight="1" x14ac:dyDescent="0.2">
      <c r="A3142" s="21"/>
      <c r="B3142" s="3" t="s">
        <v>6</v>
      </c>
      <c r="C3142" s="20" t="s">
        <v>65</v>
      </c>
      <c r="D3142" s="21"/>
    </row>
    <row r="3143" spans="1:4" ht="12.75" customHeight="1" x14ac:dyDescent="0.2">
      <c r="A3143" s="21"/>
      <c r="B3143" s="3" t="s">
        <v>8</v>
      </c>
      <c r="C3143" s="20" t="s">
        <v>880</v>
      </c>
      <c r="D3143" s="21"/>
    </row>
    <row r="3144" spans="1:4" ht="12.75" customHeight="1" x14ac:dyDescent="0.2">
      <c r="A3144" s="21"/>
      <c r="B3144" s="3" t="s">
        <v>9</v>
      </c>
      <c r="C3144" s="20" t="s">
        <v>707</v>
      </c>
      <c r="D3144" s="21"/>
    </row>
    <row r="3145" spans="1:4" ht="12.75" customHeight="1" x14ac:dyDescent="0.2">
      <c r="A3145" s="21"/>
      <c r="B3145" s="3" t="s">
        <v>11</v>
      </c>
      <c r="C3145" s="20" t="s">
        <v>745</v>
      </c>
      <c r="D3145" s="21"/>
    </row>
    <row r="3146" spans="1:4" ht="12.75" customHeight="1" x14ac:dyDescent="0.2">
      <c r="A3146" s="21"/>
      <c r="B3146" s="3" t="s">
        <v>13</v>
      </c>
      <c r="C3146" s="20" t="s">
        <v>24</v>
      </c>
      <c r="D3146" s="21"/>
    </row>
    <row r="3147" spans="1:4" ht="12.75" customHeight="1" x14ac:dyDescent="0.2">
      <c r="A3147" s="21"/>
      <c r="B3147" s="3" t="s">
        <v>15</v>
      </c>
      <c r="C3147" s="20" t="s">
        <v>24</v>
      </c>
      <c r="D3147" s="21"/>
    </row>
    <row r="3148" spans="1:4" ht="12.75" customHeight="1" x14ac:dyDescent="0.2">
      <c r="A3148" s="21"/>
      <c r="B3148" s="3" t="s">
        <v>16</v>
      </c>
      <c r="C3148" s="20"/>
      <c r="D3148" s="21"/>
    </row>
    <row r="3149" spans="1:4" ht="12.75" customHeight="1" x14ac:dyDescent="0.2">
      <c r="A3149" s="21"/>
      <c r="B3149" s="3" t="s">
        <v>17</v>
      </c>
      <c r="C3149" s="20"/>
      <c r="D3149" s="21"/>
    </row>
    <row r="3150" spans="1:4" ht="12.75" customHeight="1" x14ac:dyDescent="0.2">
      <c r="A3150" s="21"/>
      <c r="B3150" s="20" t="s">
        <v>18</v>
      </c>
      <c r="C3150" s="4" t="s">
        <v>44</v>
      </c>
      <c r="D3150" s="6" t="str">
        <f>HYPERLINK("javascript:void(0)","hidracél kéziágyú")</f>
        <v>hidracél kéziágyú</v>
      </c>
    </row>
    <row r="3151" spans="1:4" ht="12.75" customHeight="1" x14ac:dyDescent="0.2">
      <c r="A3151" s="21"/>
      <c r="B3151" s="21"/>
      <c r="C3151" s="4" t="s">
        <v>309</v>
      </c>
      <c r="D3151" s="6" t="str">
        <f>HYPERLINK("javascript:void(0)","monsztabéklyó")</f>
        <v>monsztabéklyó</v>
      </c>
    </row>
    <row r="3152" spans="1:4" ht="12.75" customHeight="1" x14ac:dyDescent="0.2">
      <c r="A3152" s="21"/>
      <c r="B3152" s="21"/>
      <c r="C3152" s="4" t="s">
        <v>244</v>
      </c>
      <c r="D3152" s="6" t="str">
        <f>HYPERLINK("javascript:void(0)","foglalat")</f>
        <v>foglalat</v>
      </c>
    </row>
    <row r="3153" spans="1:4" ht="12.75" customHeight="1" x14ac:dyDescent="0.2">
      <c r="A3153" s="5"/>
      <c r="B3153" s="2"/>
      <c r="C3153" s="2"/>
      <c r="D3153" s="2"/>
    </row>
    <row r="3154" spans="1:4" ht="12.75" customHeight="1" x14ac:dyDescent="0.2">
      <c r="A3154" s="22" t="str">
        <f>HYPERLINK("javascript:void(0)","wendír kéziágyú")</f>
        <v>wendír kéziágyú</v>
      </c>
      <c r="B3154" s="21"/>
      <c r="C3154" s="21"/>
      <c r="D3154" s="21"/>
    </row>
    <row r="3155" spans="1:4" ht="12.75" customHeight="1" x14ac:dyDescent="0.2">
      <c r="A3155" s="20"/>
      <c r="B3155" s="2"/>
      <c r="C3155" s="2"/>
      <c r="D3155" s="2"/>
    </row>
    <row r="3156" spans="1:4" ht="12.75" customHeight="1" x14ac:dyDescent="0.2">
      <c r="A3156" s="21"/>
      <c r="B3156" s="3" t="s">
        <v>0</v>
      </c>
      <c r="C3156" s="20" t="s">
        <v>883</v>
      </c>
      <c r="D3156" s="21"/>
    </row>
    <row r="3157" spans="1:4" ht="12.75" customHeight="1" x14ac:dyDescent="0.2">
      <c r="A3157" s="21"/>
      <c r="B3157" s="3" t="s">
        <v>2</v>
      </c>
      <c r="C3157" s="20" t="s">
        <v>3</v>
      </c>
      <c r="D3157" s="21"/>
    </row>
    <row r="3158" spans="1:4" ht="12.75" customHeight="1" x14ac:dyDescent="0.2">
      <c r="A3158" s="21"/>
      <c r="B3158" s="3" t="s">
        <v>4</v>
      </c>
      <c r="C3158" s="20" t="s">
        <v>884</v>
      </c>
      <c r="D3158" s="21"/>
    </row>
    <row r="3159" spans="1:4" ht="12.75" customHeight="1" x14ac:dyDescent="0.2">
      <c r="A3159" s="21"/>
      <c r="B3159" s="3" t="s">
        <v>6</v>
      </c>
      <c r="C3159" s="20" t="s">
        <v>52</v>
      </c>
      <c r="D3159" s="21"/>
    </row>
    <row r="3160" spans="1:4" ht="12.75" customHeight="1" x14ac:dyDescent="0.2">
      <c r="A3160" s="21"/>
      <c r="B3160" s="3" t="s">
        <v>8</v>
      </c>
      <c r="C3160" s="20" t="s">
        <v>884</v>
      </c>
      <c r="D3160" s="21"/>
    </row>
    <row r="3161" spans="1:4" ht="12.75" customHeight="1" x14ac:dyDescent="0.2">
      <c r="A3161" s="21"/>
      <c r="B3161" s="3" t="s">
        <v>9</v>
      </c>
      <c r="C3161" s="20" t="s">
        <v>886</v>
      </c>
      <c r="D3161" s="21"/>
    </row>
    <row r="3162" spans="1:4" ht="12.75" customHeight="1" x14ac:dyDescent="0.2">
      <c r="A3162" s="21"/>
      <c r="B3162" s="3" t="s">
        <v>11</v>
      </c>
      <c r="C3162" s="20" t="s">
        <v>887</v>
      </c>
      <c r="D3162" s="21"/>
    </row>
    <row r="3163" spans="1:4" ht="12.75" customHeight="1" x14ac:dyDescent="0.2">
      <c r="A3163" s="21"/>
      <c r="B3163" s="3" t="s">
        <v>13</v>
      </c>
      <c r="C3163" s="20" t="s">
        <v>24</v>
      </c>
      <c r="D3163" s="21"/>
    </row>
    <row r="3164" spans="1:4" ht="12.75" customHeight="1" x14ac:dyDescent="0.2">
      <c r="A3164" s="21"/>
      <c r="B3164" s="3" t="s">
        <v>15</v>
      </c>
      <c r="C3164" s="20" t="s">
        <v>24</v>
      </c>
      <c r="D3164" s="21"/>
    </row>
    <row r="3165" spans="1:4" ht="12.75" customHeight="1" x14ac:dyDescent="0.2">
      <c r="A3165" s="21"/>
      <c r="B3165" s="3" t="s">
        <v>16</v>
      </c>
      <c r="C3165" s="20"/>
      <c r="D3165" s="21"/>
    </row>
    <row r="3166" spans="1:4" ht="12.75" customHeight="1" x14ac:dyDescent="0.2">
      <c r="A3166" s="21"/>
      <c r="B3166" s="3" t="s">
        <v>17</v>
      </c>
      <c r="C3166" s="20"/>
      <c r="D3166" s="21"/>
    </row>
    <row r="3167" spans="1:4" ht="12.75" customHeight="1" x14ac:dyDescent="0.2">
      <c r="A3167" s="21"/>
      <c r="B3167" s="20" t="s">
        <v>18</v>
      </c>
      <c r="C3167" s="4" t="s">
        <v>44</v>
      </c>
      <c r="D3167" s="6" t="str">
        <f>HYPERLINK("javascript:void(0)","wendír csúzli")</f>
        <v>wendír csúzli</v>
      </c>
    </row>
    <row r="3168" spans="1:4" ht="12.75" customHeight="1" x14ac:dyDescent="0.2">
      <c r="A3168" s="21"/>
      <c r="B3168" s="21"/>
      <c r="C3168" s="4" t="s">
        <v>117</v>
      </c>
      <c r="D3168" s="6" t="str">
        <f>HYPERLINK("javascript:void(0)","bigapata")</f>
        <v>bigapata</v>
      </c>
    </row>
    <row r="3169" spans="1:4" ht="12.75" customHeight="1" x14ac:dyDescent="0.2">
      <c r="A3169" s="21"/>
      <c r="B3169" s="21"/>
      <c r="C3169" s="4" t="s">
        <v>244</v>
      </c>
      <c r="D3169" s="6" t="str">
        <f>HYPERLINK("javascript:void(0)","zanzahúr")</f>
        <v>zanzahúr</v>
      </c>
    </row>
    <row r="3170" spans="1:4" ht="12.75" customHeight="1" x14ac:dyDescent="0.2">
      <c r="A3170" s="5"/>
      <c r="B3170" s="2"/>
      <c r="C3170" s="2"/>
      <c r="D3170" s="2"/>
    </row>
    <row r="3171" spans="1:4" ht="12.75" customHeight="1" x14ac:dyDescent="0.2">
      <c r="A3171" s="22" t="str">
        <f>HYPERLINK("javascript:void(0)","démonacél tűdobó")</f>
        <v>démonacél tűdobó</v>
      </c>
      <c r="B3171" s="21"/>
      <c r="C3171" s="21"/>
      <c r="D3171" s="21"/>
    </row>
    <row r="3172" spans="1:4" ht="12.75" customHeight="1" x14ac:dyDescent="0.2">
      <c r="A3172" s="20"/>
      <c r="B3172" s="2"/>
      <c r="C3172" s="2"/>
      <c r="D3172" s="2"/>
    </row>
    <row r="3173" spans="1:4" ht="12.75" customHeight="1" x14ac:dyDescent="0.2">
      <c r="A3173" s="21"/>
      <c r="B3173" s="3" t="s">
        <v>0</v>
      </c>
      <c r="C3173" s="20" t="s">
        <v>883</v>
      </c>
      <c r="D3173" s="21"/>
    </row>
    <row r="3174" spans="1:4" ht="12.75" customHeight="1" x14ac:dyDescent="0.2">
      <c r="A3174" s="21"/>
      <c r="B3174" s="3" t="s">
        <v>2</v>
      </c>
      <c r="C3174" s="20" t="s">
        <v>3</v>
      </c>
      <c r="D3174" s="21"/>
    </row>
    <row r="3175" spans="1:4" ht="12.75" customHeight="1" x14ac:dyDescent="0.2">
      <c r="A3175" s="21"/>
      <c r="B3175" s="3" t="s">
        <v>4</v>
      </c>
      <c r="C3175" s="20" t="s">
        <v>891</v>
      </c>
      <c r="D3175" s="21"/>
    </row>
    <row r="3176" spans="1:4" ht="12.75" customHeight="1" x14ac:dyDescent="0.2">
      <c r="A3176" s="21"/>
      <c r="B3176" s="3" t="s">
        <v>6</v>
      </c>
      <c r="C3176" s="20" t="s">
        <v>65</v>
      </c>
      <c r="D3176" s="21"/>
    </row>
    <row r="3177" spans="1:4" ht="12.75" customHeight="1" x14ac:dyDescent="0.2">
      <c r="A3177" s="21"/>
      <c r="B3177" s="3" t="s">
        <v>8</v>
      </c>
      <c r="C3177" s="20" t="s">
        <v>891</v>
      </c>
      <c r="D3177" s="21"/>
    </row>
    <row r="3178" spans="1:4" ht="12.75" customHeight="1" x14ac:dyDescent="0.2">
      <c r="A3178" s="21"/>
      <c r="B3178" s="3" t="s">
        <v>9</v>
      </c>
      <c r="C3178" s="20" t="s">
        <v>716</v>
      </c>
      <c r="D3178" s="21"/>
    </row>
    <row r="3179" spans="1:4" ht="12.75" customHeight="1" x14ac:dyDescent="0.2">
      <c r="A3179" s="21"/>
      <c r="B3179" s="3" t="s">
        <v>11</v>
      </c>
      <c r="C3179" s="20" t="s">
        <v>754</v>
      </c>
      <c r="D3179" s="21"/>
    </row>
    <row r="3180" spans="1:4" ht="12.75" customHeight="1" x14ac:dyDescent="0.2">
      <c r="A3180" s="21"/>
      <c r="B3180" s="3" t="s">
        <v>13</v>
      </c>
      <c r="C3180" s="20" t="s">
        <v>24</v>
      </c>
      <c r="D3180" s="21"/>
    </row>
    <row r="3181" spans="1:4" ht="12.75" customHeight="1" x14ac:dyDescent="0.2">
      <c r="A3181" s="21"/>
      <c r="B3181" s="3" t="s">
        <v>15</v>
      </c>
      <c r="C3181" s="20" t="s">
        <v>24</v>
      </c>
      <c r="D3181" s="21"/>
    </row>
    <row r="3182" spans="1:4" ht="12.75" customHeight="1" x14ac:dyDescent="0.2">
      <c r="A3182" s="21"/>
      <c r="B3182" s="3" t="s">
        <v>16</v>
      </c>
      <c r="C3182" s="20"/>
      <c r="D3182" s="21"/>
    </row>
    <row r="3183" spans="1:4" ht="12.75" customHeight="1" x14ac:dyDescent="0.2">
      <c r="A3183" s="21"/>
      <c r="B3183" s="3" t="s">
        <v>17</v>
      </c>
      <c r="C3183" s="20"/>
      <c r="D3183" s="21"/>
    </row>
    <row r="3184" spans="1:4" ht="12.75" customHeight="1" x14ac:dyDescent="0.2">
      <c r="A3184" s="21"/>
      <c r="B3184" s="20" t="s">
        <v>18</v>
      </c>
      <c r="C3184" s="4" t="s">
        <v>894</v>
      </c>
      <c r="D3184" s="6" t="str">
        <f>HYPERLINK("javascript:void(0)","kvarc")</f>
        <v>kvarc</v>
      </c>
    </row>
    <row r="3185" spans="1:4" ht="12.75" customHeight="1" x14ac:dyDescent="0.2">
      <c r="A3185" s="21"/>
      <c r="B3185" s="21"/>
      <c r="C3185" s="4" t="s">
        <v>240</v>
      </c>
      <c r="D3185" s="6" t="str">
        <f>HYPERLINK("javascript:void(0)","aszályige")</f>
        <v>aszályige</v>
      </c>
    </row>
    <row r="3186" spans="1:4" ht="12.75" customHeight="1" x14ac:dyDescent="0.2">
      <c r="A3186" s="21"/>
      <c r="B3186" s="21"/>
      <c r="C3186" s="4" t="s">
        <v>44</v>
      </c>
      <c r="D3186" s="6" t="str">
        <f>HYPERLINK("javascript:void(0)","démonacél kéziágyú")</f>
        <v>démonacél kéziágyú</v>
      </c>
    </row>
    <row r="3187" spans="1:4" ht="12.75" customHeight="1" x14ac:dyDescent="0.2">
      <c r="A3187" s="5"/>
      <c r="B3187" s="2"/>
      <c r="C3187" s="2"/>
      <c r="D3187" s="2"/>
    </row>
    <row r="3188" spans="1:4" ht="12.75" customHeight="1" x14ac:dyDescent="0.2">
      <c r="A3188" s="22" t="str">
        <f>HYPERLINK("javascript:void(0)","thordi kéziágyú")</f>
        <v>thordi kéziágyú</v>
      </c>
      <c r="B3188" s="21"/>
      <c r="C3188" s="21"/>
      <c r="D3188" s="21"/>
    </row>
    <row r="3189" spans="1:4" ht="12.75" customHeight="1" x14ac:dyDescent="0.2">
      <c r="A3189" s="20"/>
      <c r="B3189" s="2"/>
      <c r="C3189" s="2"/>
      <c r="D3189" s="2"/>
    </row>
    <row r="3190" spans="1:4" ht="12.75" customHeight="1" x14ac:dyDescent="0.2">
      <c r="A3190" s="21"/>
      <c r="B3190" s="3" t="s">
        <v>0</v>
      </c>
      <c r="C3190" s="20" t="s">
        <v>896</v>
      </c>
      <c r="D3190" s="21"/>
    </row>
    <row r="3191" spans="1:4" ht="12.75" customHeight="1" x14ac:dyDescent="0.2">
      <c r="A3191" s="21"/>
      <c r="B3191" s="3" t="s">
        <v>2</v>
      </c>
      <c r="C3191" s="20" t="s">
        <v>3</v>
      </c>
      <c r="D3191" s="21"/>
    </row>
    <row r="3192" spans="1:4" ht="12.75" customHeight="1" x14ac:dyDescent="0.2">
      <c r="A3192" s="21"/>
      <c r="B3192" s="3" t="s">
        <v>4</v>
      </c>
      <c r="C3192" s="20" t="s">
        <v>897</v>
      </c>
      <c r="D3192" s="21"/>
    </row>
    <row r="3193" spans="1:4" ht="12.75" customHeight="1" x14ac:dyDescent="0.2">
      <c r="A3193" s="21"/>
      <c r="B3193" s="3" t="s">
        <v>6</v>
      </c>
      <c r="C3193" s="20" t="s">
        <v>157</v>
      </c>
      <c r="D3193" s="21"/>
    </row>
    <row r="3194" spans="1:4" ht="12.75" customHeight="1" x14ac:dyDescent="0.2">
      <c r="A3194" s="21"/>
      <c r="B3194" s="3" t="s">
        <v>8</v>
      </c>
      <c r="C3194" s="20" t="s">
        <v>897</v>
      </c>
      <c r="D3194" s="21"/>
    </row>
    <row r="3195" spans="1:4" ht="12.75" customHeight="1" x14ac:dyDescent="0.2">
      <c r="A3195" s="21"/>
      <c r="B3195" s="3" t="s">
        <v>9</v>
      </c>
      <c r="C3195" s="20" t="s">
        <v>899</v>
      </c>
      <c r="D3195" s="21"/>
    </row>
    <row r="3196" spans="1:4" ht="12.75" customHeight="1" x14ac:dyDescent="0.2">
      <c r="A3196" s="21"/>
      <c r="B3196" s="3" t="s">
        <v>11</v>
      </c>
      <c r="C3196" s="20" t="s">
        <v>901</v>
      </c>
      <c r="D3196" s="21"/>
    </row>
    <row r="3197" spans="1:4" ht="12.75" customHeight="1" x14ac:dyDescent="0.2">
      <c r="A3197" s="21"/>
      <c r="B3197" s="3" t="s">
        <v>13</v>
      </c>
      <c r="C3197" s="20" t="s">
        <v>24</v>
      </c>
      <c r="D3197" s="21"/>
    </row>
    <row r="3198" spans="1:4" ht="12.75" customHeight="1" x14ac:dyDescent="0.2">
      <c r="A3198" s="21"/>
      <c r="B3198" s="3" t="s">
        <v>15</v>
      </c>
      <c r="C3198" s="20" t="s">
        <v>24</v>
      </c>
      <c r="D3198" s="21"/>
    </row>
    <row r="3199" spans="1:4" ht="12.75" customHeight="1" x14ac:dyDescent="0.2">
      <c r="A3199" s="21"/>
      <c r="B3199" s="3" t="s">
        <v>16</v>
      </c>
      <c r="C3199" s="20"/>
      <c r="D3199" s="21"/>
    </row>
    <row r="3200" spans="1:4" ht="12.75" customHeight="1" x14ac:dyDescent="0.2">
      <c r="A3200" s="21"/>
      <c r="B3200" s="3" t="s">
        <v>17</v>
      </c>
      <c r="C3200" s="20"/>
      <c r="D3200" s="21"/>
    </row>
    <row r="3201" spans="1:4" ht="12.75" customHeight="1" x14ac:dyDescent="0.2">
      <c r="A3201" s="21"/>
      <c r="B3201" s="20" t="s">
        <v>18</v>
      </c>
      <c r="C3201" s="4" t="s">
        <v>44</v>
      </c>
      <c r="D3201" s="6" t="str">
        <f>HYPERLINK("javascript:void(0)","thordi csúzli")</f>
        <v>thordi csúzli</v>
      </c>
    </row>
    <row r="3202" spans="1:4" ht="12.75" customHeight="1" x14ac:dyDescent="0.2">
      <c r="A3202" s="21"/>
      <c r="B3202" s="21"/>
      <c r="C3202" s="4" t="s">
        <v>290</v>
      </c>
      <c r="D3202" s="6" t="str">
        <f>HYPERLINK("javascript:void(0)","átokige")</f>
        <v>átokige</v>
      </c>
    </row>
    <row r="3203" spans="1:4" ht="12.75" customHeight="1" x14ac:dyDescent="0.2">
      <c r="A3203" s="21"/>
      <c r="B3203" s="21"/>
      <c r="C3203" s="4" t="s">
        <v>67</v>
      </c>
      <c r="D3203" s="6" t="str">
        <f>HYPERLINK("javascript:void(0)","ejtőernyő")</f>
        <v>ejtőernyő</v>
      </c>
    </row>
    <row r="3204" spans="1:4" ht="12.75" customHeight="1" x14ac:dyDescent="0.2">
      <c r="A3204" s="5"/>
      <c r="B3204" s="2"/>
      <c r="C3204" s="2"/>
      <c r="D3204" s="2"/>
    </row>
    <row r="3205" spans="1:4" ht="12.75" customHeight="1" x14ac:dyDescent="0.2">
      <c r="A3205" s="22" t="str">
        <f>HYPERLINK("javascript:void(0)","dracocél tűdobó")</f>
        <v>dracocél tűdobó</v>
      </c>
      <c r="B3205" s="21"/>
      <c r="C3205" s="21"/>
      <c r="D3205" s="21"/>
    </row>
    <row r="3206" spans="1:4" ht="12.75" customHeight="1" x14ac:dyDescent="0.2">
      <c r="A3206" s="20"/>
      <c r="B3206" s="2"/>
      <c r="C3206" s="2"/>
      <c r="D3206" s="2"/>
    </row>
    <row r="3207" spans="1:4" ht="12.75" customHeight="1" x14ac:dyDescent="0.2">
      <c r="A3207" s="21"/>
      <c r="B3207" s="3" t="s">
        <v>0</v>
      </c>
      <c r="C3207" s="20" t="s">
        <v>896</v>
      </c>
      <c r="D3207" s="21"/>
    </row>
    <row r="3208" spans="1:4" ht="12.75" customHeight="1" x14ac:dyDescent="0.2">
      <c r="A3208" s="21"/>
      <c r="B3208" s="3" t="s">
        <v>2</v>
      </c>
      <c r="C3208" s="20" t="s">
        <v>3</v>
      </c>
      <c r="D3208" s="21"/>
    </row>
    <row r="3209" spans="1:4" ht="12.75" customHeight="1" x14ac:dyDescent="0.2">
      <c r="A3209" s="21"/>
      <c r="B3209" s="3" t="s">
        <v>4</v>
      </c>
      <c r="C3209" s="20" t="s">
        <v>902</v>
      </c>
      <c r="D3209" s="21"/>
    </row>
    <row r="3210" spans="1:4" ht="12.75" customHeight="1" x14ac:dyDescent="0.2">
      <c r="A3210" s="21"/>
      <c r="B3210" s="3" t="s">
        <v>6</v>
      </c>
      <c r="C3210" s="20" t="s">
        <v>65</v>
      </c>
      <c r="D3210" s="21"/>
    </row>
    <row r="3211" spans="1:4" ht="12.75" customHeight="1" x14ac:dyDescent="0.2">
      <c r="A3211" s="21"/>
      <c r="B3211" s="3" t="s">
        <v>8</v>
      </c>
      <c r="C3211" s="20" t="s">
        <v>902</v>
      </c>
      <c r="D3211" s="21"/>
    </row>
    <row r="3212" spans="1:4" ht="12.75" customHeight="1" x14ac:dyDescent="0.2">
      <c r="A3212" s="21"/>
      <c r="B3212" s="3" t="s">
        <v>9</v>
      </c>
      <c r="C3212" s="20" t="s">
        <v>707</v>
      </c>
      <c r="D3212" s="21"/>
    </row>
    <row r="3213" spans="1:4" ht="12.75" customHeight="1" x14ac:dyDescent="0.2">
      <c r="A3213" s="21"/>
      <c r="B3213" s="3" t="s">
        <v>11</v>
      </c>
      <c r="C3213" s="20" t="s">
        <v>763</v>
      </c>
      <c r="D3213" s="21"/>
    </row>
    <row r="3214" spans="1:4" ht="12.75" customHeight="1" x14ac:dyDescent="0.2">
      <c r="A3214" s="21"/>
      <c r="B3214" s="3" t="s">
        <v>13</v>
      </c>
      <c r="C3214" s="20" t="s">
        <v>24</v>
      </c>
      <c r="D3214" s="21"/>
    </row>
    <row r="3215" spans="1:4" ht="12.75" customHeight="1" x14ac:dyDescent="0.2">
      <c r="A3215" s="21"/>
      <c r="B3215" s="3" t="s">
        <v>15</v>
      </c>
      <c r="C3215" s="20" t="s">
        <v>24</v>
      </c>
      <c r="D3215" s="21"/>
    </row>
    <row r="3216" spans="1:4" ht="12.75" customHeight="1" x14ac:dyDescent="0.2">
      <c r="A3216" s="21"/>
      <c r="B3216" s="3" t="s">
        <v>16</v>
      </c>
      <c r="C3216" s="20"/>
      <c r="D3216" s="21"/>
    </row>
    <row r="3217" spans="1:4" ht="12.75" customHeight="1" x14ac:dyDescent="0.2">
      <c r="A3217" s="21"/>
      <c r="B3217" s="3" t="s">
        <v>17</v>
      </c>
      <c r="C3217" s="20"/>
      <c r="D3217" s="21"/>
    </row>
    <row r="3218" spans="1:4" ht="12.75" customHeight="1" x14ac:dyDescent="0.2">
      <c r="A3218" s="21"/>
      <c r="B3218" s="20" t="s">
        <v>18</v>
      </c>
      <c r="C3218" s="4" t="s">
        <v>44</v>
      </c>
      <c r="D3218" s="6" t="str">
        <f>HYPERLINK("javascript:void(0)","dracoacél kéziágyú")</f>
        <v>dracoacél kéziágyú</v>
      </c>
    </row>
    <row r="3219" spans="1:4" ht="12.75" customHeight="1" x14ac:dyDescent="0.2">
      <c r="A3219" s="21"/>
      <c r="B3219" s="21"/>
      <c r="C3219" s="4" t="s">
        <v>98</v>
      </c>
      <c r="D3219" s="6" t="str">
        <f>HYPERLINK("javascript:void(0)","lexikon")</f>
        <v>lexikon</v>
      </c>
    </row>
    <row r="3220" spans="1:4" ht="12.75" customHeight="1" x14ac:dyDescent="0.2">
      <c r="A3220" s="21"/>
      <c r="B3220" s="21"/>
      <c r="C3220" s="4" t="s">
        <v>244</v>
      </c>
      <c r="D3220" s="6" t="str">
        <f>HYPERLINK("javascript:void(0)","suhanás")</f>
        <v>suhanás</v>
      </c>
    </row>
    <row r="3221" spans="1:4" ht="12.75" customHeight="1" x14ac:dyDescent="0.2">
      <c r="A3221" s="5"/>
      <c r="B3221" s="2"/>
      <c r="C3221" s="2"/>
      <c r="D3221" s="2"/>
    </row>
    <row r="3222" spans="1:4" ht="12.75" customHeight="1" x14ac:dyDescent="0.2">
      <c r="A3222" s="22" t="str">
        <f>HYPERLINK("javascript:void(0)","fotoacél kéziágyú")</f>
        <v>fotoacél kéziágyú</v>
      </c>
      <c r="B3222" s="21"/>
      <c r="C3222" s="21"/>
      <c r="D3222" s="21"/>
    </row>
    <row r="3223" spans="1:4" ht="12.75" customHeight="1" x14ac:dyDescent="0.2">
      <c r="A3223" s="20"/>
      <c r="B3223" s="2"/>
      <c r="C3223" s="2"/>
      <c r="D3223" s="2"/>
    </row>
    <row r="3224" spans="1:4" ht="12.75" customHeight="1" x14ac:dyDescent="0.2">
      <c r="A3224" s="21"/>
      <c r="B3224" s="3" t="s">
        <v>0</v>
      </c>
      <c r="C3224" s="20" t="s">
        <v>905</v>
      </c>
      <c r="D3224" s="21"/>
    </row>
    <row r="3225" spans="1:4" ht="12.75" customHeight="1" x14ac:dyDescent="0.2">
      <c r="A3225" s="21"/>
      <c r="B3225" s="3" t="s">
        <v>2</v>
      </c>
      <c r="C3225" s="20" t="s">
        <v>3</v>
      </c>
      <c r="D3225" s="21"/>
    </row>
    <row r="3226" spans="1:4" ht="12.75" customHeight="1" x14ac:dyDescent="0.2">
      <c r="A3226" s="21"/>
      <c r="B3226" s="3" t="s">
        <v>4</v>
      </c>
      <c r="C3226" s="20" t="s">
        <v>906</v>
      </c>
      <c r="D3226" s="21"/>
    </row>
    <row r="3227" spans="1:4" ht="12.75" customHeight="1" x14ac:dyDescent="0.2">
      <c r="A3227" s="21"/>
      <c r="B3227" s="3" t="s">
        <v>6</v>
      </c>
      <c r="C3227" s="20" t="s">
        <v>115</v>
      </c>
      <c r="D3227" s="21"/>
    </row>
    <row r="3228" spans="1:4" ht="12.75" customHeight="1" x14ac:dyDescent="0.2">
      <c r="A3228" s="21"/>
      <c r="B3228" s="3" t="s">
        <v>8</v>
      </c>
      <c r="C3228" s="20" t="s">
        <v>906</v>
      </c>
      <c r="D3228" s="21"/>
    </row>
    <row r="3229" spans="1:4" ht="12.75" customHeight="1" x14ac:dyDescent="0.2">
      <c r="A3229" s="21"/>
      <c r="B3229" s="3" t="s">
        <v>9</v>
      </c>
      <c r="C3229" s="20" t="s">
        <v>908</v>
      </c>
      <c r="D3229" s="21"/>
    </row>
    <row r="3230" spans="1:4" ht="12.75" customHeight="1" x14ac:dyDescent="0.2">
      <c r="A3230" s="21"/>
      <c r="B3230" s="3" t="s">
        <v>11</v>
      </c>
      <c r="C3230" s="20" t="s">
        <v>909</v>
      </c>
      <c r="D3230" s="21"/>
    </row>
    <row r="3231" spans="1:4" ht="12.75" customHeight="1" x14ac:dyDescent="0.2">
      <c r="A3231" s="21"/>
      <c r="B3231" s="3" t="s">
        <v>13</v>
      </c>
      <c r="C3231" s="20" t="s">
        <v>24</v>
      </c>
      <c r="D3231" s="21"/>
    </row>
    <row r="3232" spans="1:4" ht="12.75" customHeight="1" x14ac:dyDescent="0.2">
      <c r="A3232" s="21"/>
      <c r="B3232" s="3" t="s">
        <v>15</v>
      </c>
      <c r="C3232" s="20" t="s">
        <v>24</v>
      </c>
      <c r="D3232" s="21"/>
    </row>
    <row r="3233" spans="1:4" ht="12.75" customHeight="1" x14ac:dyDescent="0.2">
      <c r="A3233" s="21"/>
      <c r="B3233" s="3" t="s">
        <v>16</v>
      </c>
      <c r="C3233" s="20"/>
      <c r="D3233" s="21"/>
    </row>
    <row r="3234" spans="1:4" ht="12.75" customHeight="1" x14ac:dyDescent="0.2">
      <c r="A3234" s="21"/>
      <c r="B3234" s="3" t="s">
        <v>17</v>
      </c>
      <c r="C3234" s="20"/>
      <c r="D3234" s="21"/>
    </row>
    <row r="3235" spans="1:4" ht="12.75" customHeight="1" x14ac:dyDescent="0.2">
      <c r="A3235" s="21"/>
      <c r="B3235" s="20" t="s">
        <v>18</v>
      </c>
      <c r="C3235" s="4" t="s">
        <v>44</v>
      </c>
      <c r="D3235" s="6" t="str">
        <f>HYPERLINK("javascript:void(0)","fotoacél csúzli")</f>
        <v>fotoacél csúzli</v>
      </c>
    </row>
    <row r="3236" spans="1:4" ht="12.75" customHeight="1" x14ac:dyDescent="0.2">
      <c r="A3236" s="21"/>
      <c r="B3236" s="21"/>
      <c r="C3236" s="4" t="s">
        <v>117</v>
      </c>
      <c r="D3236" s="6" t="str">
        <f>HYPERLINK("javascript:void(0)","monsztabéklyó")</f>
        <v>monsztabéklyó</v>
      </c>
    </row>
    <row r="3237" spans="1:4" ht="12.75" customHeight="1" x14ac:dyDescent="0.2">
      <c r="A3237" s="21"/>
      <c r="B3237" s="21"/>
      <c r="C3237" s="4" t="s">
        <v>244</v>
      </c>
      <c r="D3237" s="6" t="str">
        <f>HYPERLINK("javascript:void(0)","banánhéj")</f>
        <v>banánhéj</v>
      </c>
    </row>
    <row r="3238" spans="1:4" ht="12.75" customHeight="1" x14ac:dyDescent="0.2">
      <c r="A3238" s="5"/>
      <c r="B3238" s="2"/>
      <c r="C3238" s="2"/>
      <c r="D3238" s="2"/>
    </row>
    <row r="3239" spans="1:4" ht="12.75" customHeight="1" x14ac:dyDescent="0.2">
      <c r="A3239" s="22" t="str">
        <f>HYPERLINK("javascript:void(0)","elfacél tűdobó")</f>
        <v>elfacél tűdobó</v>
      </c>
      <c r="B3239" s="21"/>
      <c r="C3239" s="21"/>
      <c r="D3239" s="21"/>
    </row>
    <row r="3240" spans="1:4" ht="12.75" customHeight="1" x14ac:dyDescent="0.2">
      <c r="A3240" s="20"/>
      <c r="B3240" s="2"/>
      <c r="C3240" s="2"/>
      <c r="D3240" s="2"/>
    </row>
    <row r="3241" spans="1:4" ht="12.75" customHeight="1" x14ac:dyDescent="0.2">
      <c r="A3241" s="21"/>
      <c r="B3241" s="3" t="s">
        <v>0</v>
      </c>
      <c r="C3241" s="20" t="s">
        <v>905</v>
      </c>
      <c r="D3241" s="21"/>
    </row>
    <row r="3242" spans="1:4" ht="12.75" customHeight="1" x14ac:dyDescent="0.2">
      <c r="A3242" s="21"/>
      <c r="B3242" s="3" t="s">
        <v>2</v>
      </c>
      <c r="C3242" s="20" t="s">
        <v>3</v>
      </c>
      <c r="D3242" s="21"/>
    </row>
    <row r="3243" spans="1:4" ht="12.75" customHeight="1" x14ac:dyDescent="0.2">
      <c r="A3243" s="21"/>
      <c r="B3243" s="3" t="s">
        <v>4</v>
      </c>
      <c r="C3243" s="20" t="s">
        <v>910</v>
      </c>
      <c r="D3243" s="21"/>
    </row>
    <row r="3244" spans="1:4" ht="12.75" customHeight="1" x14ac:dyDescent="0.2">
      <c r="A3244" s="21"/>
      <c r="B3244" s="3" t="s">
        <v>6</v>
      </c>
      <c r="C3244" s="20" t="s">
        <v>65</v>
      </c>
      <c r="D3244" s="21"/>
    </row>
    <row r="3245" spans="1:4" ht="12.75" customHeight="1" x14ac:dyDescent="0.2">
      <c r="A3245" s="21"/>
      <c r="B3245" s="3" t="s">
        <v>8</v>
      </c>
      <c r="C3245" s="20" t="s">
        <v>910</v>
      </c>
      <c r="D3245" s="21"/>
    </row>
    <row r="3246" spans="1:4" ht="12.75" customHeight="1" x14ac:dyDescent="0.2">
      <c r="A3246" s="21"/>
      <c r="B3246" s="3" t="s">
        <v>9</v>
      </c>
      <c r="C3246" s="20" t="s">
        <v>716</v>
      </c>
      <c r="D3246" s="21"/>
    </row>
    <row r="3247" spans="1:4" ht="12.75" customHeight="1" x14ac:dyDescent="0.2">
      <c r="A3247" s="21"/>
      <c r="B3247" s="3" t="s">
        <v>11</v>
      </c>
      <c r="C3247" s="20" t="s">
        <v>770</v>
      </c>
      <c r="D3247" s="21"/>
    </row>
    <row r="3248" spans="1:4" ht="12.75" customHeight="1" x14ac:dyDescent="0.2">
      <c r="A3248" s="21"/>
      <c r="B3248" s="3" t="s">
        <v>13</v>
      </c>
      <c r="C3248" s="20" t="s">
        <v>24</v>
      </c>
      <c r="D3248" s="21"/>
    </row>
    <row r="3249" spans="1:4" ht="12.75" customHeight="1" x14ac:dyDescent="0.2">
      <c r="A3249" s="21"/>
      <c r="B3249" s="3" t="s">
        <v>15</v>
      </c>
      <c r="C3249" s="20" t="s">
        <v>24</v>
      </c>
      <c r="D3249" s="21"/>
    </row>
    <row r="3250" spans="1:4" ht="12.75" customHeight="1" x14ac:dyDescent="0.2">
      <c r="A3250" s="21"/>
      <c r="B3250" s="3" t="s">
        <v>16</v>
      </c>
      <c r="C3250" s="20"/>
      <c r="D3250" s="21"/>
    </row>
    <row r="3251" spans="1:4" ht="12.75" customHeight="1" x14ac:dyDescent="0.2">
      <c r="A3251" s="21"/>
      <c r="B3251" s="3" t="s">
        <v>17</v>
      </c>
      <c r="C3251" s="20"/>
      <c r="D3251" s="21"/>
    </row>
    <row r="3252" spans="1:4" ht="12.75" customHeight="1" x14ac:dyDescent="0.2">
      <c r="A3252" s="21"/>
      <c r="B3252" s="20" t="s">
        <v>18</v>
      </c>
      <c r="C3252" s="4" t="s">
        <v>894</v>
      </c>
      <c r="D3252" s="6" t="str">
        <f>HYPERLINK("javascript:void(0)","csatatüske")</f>
        <v>csatatüske</v>
      </c>
    </row>
    <row r="3253" spans="1:4" ht="12.75" customHeight="1" x14ac:dyDescent="0.2">
      <c r="A3253" s="21"/>
      <c r="B3253" s="21"/>
      <c r="C3253" s="4" t="s">
        <v>240</v>
      </c>
      <c r="D3253" s="6" t="str">
        <f>HYPERLINK("javascript:void(0)","aszályige")</f>
        <v>aszályige</v>
      </c>
    </row>
    <row r="3254" spans="1:4" ht="12.75" customHeight="1" x14ac:dyDescent="0.2">
      <c r="A3254" s="21"/>
      <c r="B3254" s="21"/>
      <c r="C3254" s="4" t="s">
        <v>44</v>
      </c>
      <c r="D3254" s="6" t="str">
        <f>HYPERLINK("javascript:void(0)","elfacél kéziágyú")</f>
        <v>elfacél kéziágyú</v>
      </c>
    </row>
    <row r="3255" spans="1:4" ht="12.75" customHeight="1" x14ac:dyDescent="0.2">
      <c r="A3255" s="5"/>
      <c r="B3255" s="2"/>
      <c r="C3255" s="2"/>
      <c r="D3255" s="2"/>
    </row>
    <row r="3256" spans="1:4" ht="12.75" customHeight="1" x14ac:dyDescent="0.2">
      <c r="A3256" s="22" t="str">
        <f>HYPERLINK("javascript:void(0)","magnetoacél kéziágyú")</f>
        <v>magnetoacél kéziágyú</v>
      </c>
      <c r="B3256" s="21"/>
      <c r="C3256" s="21"/>
      <c r="D3256" s="21"/>
    </row>
    <row r="3257" spans="1:4" ht="12.75" customHeight="1" x14ac:dyDescent="0.2">
      <c r="A3257" s="20"/>
      <c r="B3257" s="2"/>
      <c r="C3257" s="2"/>
      <c r="D3257" s="2"/>
    </row>
    <row r="3258" spans="1:4" ht="12.75" customHeight="1" x14ac:dyDescent="0.2">
      <c r="A3258" s="21"/>
      <c r="B3258" s="3" t="s">
        <v>0</v>
      </c>
      <c r="C3258" s="20" t="s">
        <v>319</v>
      </c>
      <c r="D3258" s="21"/>
    </row>
    <row r="3259" spans="1:4" ht="12.75" customHeight="1" x14ac:dyDescent="0.2">
      <c r="A3259" s="21"/>
      <c r="B3259" s="3" t="s">
        <v>2</v>
      </c>
      <c r="C3259" s="20" t="s">
        <v>3</v>
      </c>
      <c r="D3259" s="21"/>
    </row>
    <row r="3260" spans="1:4" ht="12.75" customHeight="1" x14ac:dyDescent="0.2">
      <c r="A3260" s="21"/>
      <c r="B3260" s="3" t="s">
        <v>4</v>
      </c>
      <c r="C3260" s="20" t="s">
        <v>915</v>
      </c>
      <c r="D3260" s="21"/>
    </row>
    <row r="3261" spans="1:4" ht="12.75" customHeight="1" x14ac:dyDescent="0.2">
      <c r="A3261" s="21"/>
      <c r="B3261" s="3" t="s">
        <v>6</v>
      </c>
      <c r="C3261" s="20" t="s">
        <v>115</v>
      </c>
      <c r="D3261" s="21"/>
    </row>
    <row r="3262" spans="1:4" ht="12.75" customHeight="1" x14ac:dyDescent="0.2">
      <c r="A3262" s="21"/>
      <c r="B3262" s="3" t="s">
        <v>8</v>
      </c>
      <c r="C3262" s="20" t="s">
        <v>915</v>
      </c>
      <c r="D3262" s="21"/>
    </row>
    <row r="3263" spans="1:4" ht="12.75" customHeight="1" x14ac:dyDescent="0.2">
      <c r="A3263" s="21"/>
      <c r="B3263" s="3" t="s">
        <v>9</v>
      </c>
      <c r="C3263" s="20" t="s">
        <v>916</v>
      </c>
      <c r="D3263" s="21"/>
    </row>
    <row r="3264" spans="1:4" ht="12.75" customHeight="1" x14ac:dyDescent="0.2">
      <c r="A3264" s="21"/>
      <c r="B3264" s="3" t="s">
        <v>11</v>
      </c>
      <c r="C3264" s="20" t="s">
        <v>917</v>
      </c>
      <c r="D3264" s="21"/>
    </row>
    <row r="3265" spans="1:4" ht="12.75" customHeight="1" x14ac:dyDescent="0.2">
      <c r="A3265" s="21"/>
      <c r="B3265" s="3" t="s">
        <v>13</v>
      </c>
      <c r="C3265" s="20" t="s">
        <v>24</v>
      </c>
      <c r="D3265" s="21"/>
    </row>
    <row r="3266" spans="1:4" ht="12.75" customHeight="1" x14ac:dyDescent="0.2">
      <c r="A3266" s="21"/>
      <c r="B3266" s="3" t="s">
        <v>15</v>
      </c>
      <c r="C3266" s="20" t="s">
        <v>24</v>
      </c>
      <c r="D3266" s="21"/>
    </row>
    <row r="3267" spans="1:4" ht="12.75" customHeight="1" x14ac:dyDescent="0.2">
      <c r="A3267" s="21"/>
      <c r="B3267" s="3" t="s">
        <v>16</v>
      </c>
      <c r="C3267" s="20"/>
      <c r="D3267" s="21"/>
    </row>
    <row r="3268" spans="1:4" ht="12.75" customHeight="1" x14ac:dyDescent="0.2">
      <c r="A3268" s="21"/>
      <c r="B3268" s="3" t="s">
        <v>17</v>
      </c>
      <c r="C3268" s="20"/>
      <c r="D3268" s="21"/>
    </row>
    <row r="3269" spans="1:4" ht="12.75" customHeight="1" x14ac:dyDescent="0.2">
      <c r="A3269" s="21"/>
      <c r="B3269" s="20" t="s">
        <v>18</v>
      </c>
      <c r="C3269" s="4" t="s">
        <v>44</v>
      </c>
      <c r="D3269" s="6" t="str">
        <f>HYPERLINK("javascript:void(0)","magnetoacél csúzli")</f>
        <v>magnetoacél csúzli</v>
      </c>
    </row>
    <row r="3270" spans="1:4" ht="12.75" customHeight="1" x14ac:dyDescent="0.2">
      <c r="A3270" s="21"/>
      <c r="B3270" s="21"/>
      <c r="C3270" s="4" t="s">
        <v>244</v>
      </c>
      <c r="D3270" s="6" t="str">
        <f>HYPERLINK("javascript:void(0)","kígyóborda")</f>
        <v>kígyóborda</v>
      </c>
    </row>
    <row r="3271" spans="1:4" ht="12.75" customHeight="1" x14ac:dyDescent="0.2">
      <c r="A3271" s="21"/>
      <c r="B3271" s="21"/>
      <c r="C3271" s="4" t="s">
        <v>68</v>
      </c>
      <c r="D3271" s="6" t="str">
        <f>HYPERLINK("javascript:void(0)","plecsni")</f>
        <v>plecsni</v>
      </c>
    </row>
    <row r="3272" spans="1:4" ht="12.75" customHeight="1" x14ac:dyDescent="0.2">
      <c r="A3272" s="5"/>
      <c r="B3272" s="2"/>
      <c r="C3272" s="2"/>
      <c r="D3272" s="2"/>
    </row>
    <row r="3273" spans="1:4" ht="12.75" customHeight="1" x14ac:dyDescent="0.2">
      <c r="A3273" s="22" t="str">
        <f>HYPERLINK("javascript:void(0)","óriásacél tűdobó")</f>
        <v>óriásacél tűdobó</v>
      </c>
      <c r="B3273" s="21"/>
      <c r="C3273" s="21"/>
      <c r="D3273" s="21"/>
    </row>
    <row r="3274" spans="1:4" ht="12.75" customHeight="1" x14ac:dyDescent="0.2">
      <c r="A3274" s="20"/>
      <c r="B3274" s="2"/>
      <c r="C3274" s="2"/>
      <c r="D3274" s="2"/>
    </row>
    <row r="3275" spans="1:4" ht="12.75" customHeight="1" x14ac:dyDescent="0.2">
      <c r="A3275" s="21"/>
      <c r="B3275" s="3" t="s">
        <v>0</v>
      </c>
      <c r="C3275" s="20" t="s">
        <v>319</v>
      </c>
      <c r="D3275" s="21"/>
    </row>
    <row r="3276" spans="1:4" ht="12.75" customHeight="1" x14ac:dyDescent="0.2">
      <c r="A3276" s="21"/>
      <c r="B3276" s="3" t="s">
        <v>2</v>
      </c>
      <c r="C3276" s="20" t="s">
        <v>3</v>
      </c>
      <c r="D3276" s="21"/>
    </row>
    <row r="3277" spans="1:4" ht="12.75" customHeight="1" x14ac:dyDescent="0.2">
      <c r="A3277" s="21"/>
      <c r="B3277" s="3" t="s">
        <v>4</v>
      </c>
      <c r="C3277" s="20" t="s">
        <v>921</v>
      </c>
      <c r="D3277" s="21"/>
    </row>
    <row r="3278" spans="1:4" ht="12.75" customHeight="1" x14ac:dyDescent="0.2">
      <c r="A3278" s="21"/>
      <c r="B3278" s="3" t="s">
        <v>6</v>
      </c>
      <c r="C3278" s="20" t="s">
        <v>134</v>
      </c>
      <c r="D3278" s="21"/>
    </row>
    <row r="3279" spans="1:4" ht="12.75" customHeight="1" x14ac:dyDescent="0.2">
      <c r="A3279" s="21"/>
      <c r="B3279" s="3" t="s">
        <v>8</v>
      </c>
      <c r="C3279" s="20" t="s">
        <v>921</v>
      </c>
      <c r="D3279" s="21"/>
    </row>
    <row r="3280" spans="1:4" ht="12.75" customHeight="1" x14ac:dyDescent="0.2">
      <c r="A3280" s="21"/>
      <c r="B3280" s="3" t="s">
        <v>9</v>
      </c>
      <c r="C3280" s="20" t="s">
        <v>707</v>
      </c>
      <c r="D3280" s="21"/>
    </row>
    <row r="3281" spans="1:4" ht="12.75" customHeight="1" x14ac:dyDescent="0.2">
      <c r="A3281" s="21"/>
      <c r="B3281" s="3" t="s">
        <v>11</v>
      </c>
      <c r="C3281" s="20" t="s">
        <v>775</v>
      </c>
      <c r="D3281" s="21"/>
    </row>
    <row r="3282" spans="1:4" ht="12.75" customHeight="1" x14ac:dyDescent="0.2">
      <c r="A3282" s="21"/>
      <c r="B3282" s="3" t="s">
        <v>13</v>
      </c>
      <c r="C3282" s="20" t="s">
        <v>24</v>
      </c>
      <c r="D3282" s="21"/>
    </row>
    <row r="3283" spans="1:4" ht="12.75" customHeight="1" x14ac:dyDescent="0.2">
      <c r="A3283" s="21"/>
      <c r="B3283" s="3" t="s">
        <v>15</v>
      </c>
      <c r="C3283" s="20" t="s">
        <v>24</v>
      </c>
      <c r="D3283" s="21"/>
    </row>
    <row r="3284" spans="1:4" ht="12.75" customHeight="1" x14ac:dyDescent="0.2">
      <c r="A3284" s="21"/>
      <c r="B3284" s="3" t="s">
        <v>16</v>
      </c>
      <c r="C3284" s="20"/>
      <c r="D3284" s="21"/>
    </row>
    <row r="3285" spans="1:4" ht="12.75" customHeight="1" x14ac:dyDescent="0.2">
      <c r="A3285" s="21"/>
      <c r="B3285" s="3" t="s">
        <v>17</v>
      </c>
      <c r="C3285" s="20"/>
      <c r="D3285" s="21"/>
    </row>
    <row r="3286" spans="1:4" ht="12.75" customHeight="1" x14ac:dyDescent="0.2">
      <c r="A3286" s="21"/>
      <c r="B3286" s="20" t="s">
        <v>18</v>
      </c>
      <c r="C3286" s="4" t="s">
        <v>44</v>
      </c>
      <c r="D3286" s="6" t="str">
        <f>HYPERLINK("javascript:void(0)","óriásacél kéziágyú")</f>
        <v>óriásacél kéziágyú</v>
      </c>
    </row>
    <row r="3287" spans="1:4" ht="12.75" customHeight="1" x14ac:dyDescent="0.2">
      <c r="A3287" s="21"/>
      <c r="B3287" s="21"/>
      <c r="C3287" s="4" t="s">
        <v>809</v>
      </c>
      <c r="D3287" s="6" t="str">
        <f>HYPERLINK("javascript:void(0)","göb")</f>
        <v>göb</v>
      </c>
    </row>
    <row r="3288" spans="1:4" ht="12.75" customHeight="1" x14ac:dyDescent="0.2">
      <c r="A3288" s="21"/>
      <c r="B3288" s="21"/>
      <c r="C3288" s="4" t="s">
        <v>756</v>
      </c>
      <c r="D3288" s="6" t="str">
        <f>HYPERLINK("javascript:void(0)","patkányfarok")</f>
        <v>patkányfarok</v>
      </c>
    </row>
    <row r="3289" spans="1:4" ht="12.75" customHeight="1" x14ac:dyDescent="0.2">
      <c r="A3289" s="5"/>
      <c r="B3289" s="2"/>
      <c r="C3289" s="2"/>
      <c r="D3289" s="2"/>
    </row>
    <row r="3290" spans="1:4" ht="12.75" customHeight="1" x14ac:dyDescent="0.2">
      <c r="A3290" s="22" t="str">
        <f>HYPERLINK("javascript:void(0)","helioacél kéziágyú")</f>
        <v>helioacél kéziágyú</v>
      </c>
      <c r="B3290" s="21"/>
      <c r="C3290" s="21"/>
      <c r="D3290" s="21"/>
    </row>
    <row r="3291" spans="1:4" ht="12.75" customHeight="1" x14ac:dyDescent="0.2">
      <c r="A3291" s="20"/>
      <c r="B3291" s="2"/>
      <c r="C3291" s="2"/>
      <c r="D3291" s="2"/>
    </row>
    <row r="3292" spans="1:4" ht="12.75" customHeight="1" x14ac:dyDescent="0.2">
      <c r="A3292" s="21"/>
      <c r="B3292" s="3" t="s">
        <v>0</v>
      </c>
      <c r="C3292" s="20" t="s">
        <v>926</v>
      </c>
      <c r="D3292" s="21"/>
    </row>
    <row r="3293" spans="1:4" ht="12.75" customHeight="1" x14ac:dyDescent="0.2">
      <c r="A3293" s="21"/>
      <c r="B3293" s="3" t="s">
        <v>2</v>
      </c>
      <c r="C3293" s="20" t="s">
        <v>3</v>
      </c>
      <c r="D3293" s="21"/>
    </row>
    <row r="3294" spans="1:4" ht="12.75" customHeight="1" x14ac:dyDescent="0.2">
      <c r="A3294" s="21"/>
      <c r="B3294" s="3" t="s">
        <v>4</v>
      </c>
      <c r="C3294" s="20" t="s">
        <v>928</v>
      </c>
      <c r="D3294" s="21"/>
    </row>
    <row r="3295" spans="1:4" ht="12.75" customHeight="1" x14ac:dyDescent="0.2">
      <c r="A3295" s="21"/>
      <c r="B3295" s="3" t="s">
        <v>6</v>
      </c>
      <c r="C3295" s="20" t="s">
        <v>107</v>
      </c>
      <c r="D3295" s="21"/>
    </row>
    <row r="3296" spans="1:4" ht="12.75" customHeight="1" x14ac:dyDescent="0.2">
      <c r="A3296" s="21"/>
      <c r="B3296" s="3" t="s">
        <v>8</v>
      </c>
      <c r="C3296" s="20" t="s">
        <v>928</v>
      </c>
      <c r="D3296" s="21"/>
    </row>
    <row r="3297" spans="1:4" ht="12.75" customHeight="1" x14ac:dyDescent="0.2">
      <c r="A3297" s="21"/>
      <c r="B3297" s="3" t="s">
        <v>9</v>
      </c>
      <c r="C3297" s="20" t="s">
        <v>135</v>
      </c>
      <c r="D3297" s="21"/>
    </row>
    <row r="3298" spans="1:4" ht="12.75" customHeight="1" x14ac:dyDescent="0.2">
      <c r="A3298" s="21"/>
      <c r="B3298" s="3" t="s">
        <v>11</v>
      </c>
      <c r="C3298" s="20" t="s">
        <v>929</v>
      </c>
      <c r="D3298" s="21"/>
    </row>
    <row r="3299" spans="1:4" ht="12.75" customHeight="1" x14ac:dyDescent="0.2">
      <c r="A3299" s="21"/>
      <c r="B3299" s="3" t="s">
        <v>13</v>
      </c>
      <c r="C3299" s="20" t="s">
        <v>24</v>
      </c>
      <c r="D3299" s="21"/>
    </row>
    <row r="3300" spans="1:4" ht="12.75" customHeight="1" x14ac:dyDescent="0.2">
      <c r="A3300" s="21"/>
      <c r="B3300" s="3" t="s">
        <v>15</v>
      </c>
      <c r="C3300" s="20" t="s">
        <v>24</v>
      </c>
      <c r="D3300" s="21"/>
    </row>
    <row r="3301" spans="1:4" ht="12.75" customHeight="1" x14ac:dyDescent="0.2">
      <c r="A3301" s="21"/>
      <c r="B3301" s="3" t="s">
        <v>16</v>
      </c>
      <c r="C3301" s="20"/>
      <c r="D3301" s="21"/>
    </row>
    <row r="3302" spans="1:4" ht="12.75" customHeight="1" x14ac:dyDescent="0.2">
      <c r="A3302" s="21"/>
      <c r="B3302" s="3" t="s">
        <v>17</v>
      </c>
      <c r="C3302" s="20"/>
      <c r="D3302" s="21"/>
    </row>
    <row r="3303" spans="1:4" ht="12.75" customHeight="1" x14ac:dyDescent="0.2">
      <c r="A3303" s="21"/>
      <c r="B3303" s="20" t="s">
        <v>18</v>
      </c>
      <c r="C3303" s="4" t="s">
        <v>44</v>
      </c>
      <c r="D3303" s="6" t="str">
        <f>HYPERLINK("javascript:void(0)","helioacél csúzli")</f>
        <v>helioacél csúzli</v>
      </c>
    </row>
    <row r="3304" spans="1:4" ht="12.75" customHeight="1" x14ac:dyDescent="0.2">
      <c r="A3304" s="21"/>
      <c r="B3304" s="21"/>
      <c r="C3304" s="4" t="s">
        <v>117</v>
      </c>
      <c r="D3304" s="6" t="str">
        <f>HYPERLINK("javascript:void(0)","csapdaszeg")</f>
        <v>csapdaszeg</v>
      </c>
    </row>
    <row r="3305" spans="1:4" ht="12.75" customHeight="1" x14ac:dyDescent="0.2">
      <c r="A3305" s="21"/>
      <c r="B3305" s="21"/>
      <c r="C3305" s="4" t="s">
        <v>132</v>
      </c>
      <c r="D3305" s="6" t="str">
        <f>HYPERLINK("javascript:void(0)","lidérclámpás")</f>
        <v>lidérclámpás</v>
      </c>
    </row>
    <row r="3306" spans="1:4" ht="12.75" customHeight="1" x14ac:dyDescent="0.2">
      <c r="A3306" s="5"/>
      <c r="B3306" s="2"/>
      <c r="C3306" s="2"/>
      <c r="D3306" s="2"/>
    </row>
    <row r="3307" spans="1:4" ht="12.75" customHeight="1" x14ac:dyDescent="0.2">
      <c r="A3307" s="22" t="str">
        <f>HYPERLINK("javascript:void(0)","kentacél tűdobó")</f>
        <v>kentacél tűdobó</v>
      </c>
      <c r="B3307" s="21"/>
      <c r="C3307" s="21"/>
      <c r="D3307" s="21"/>
    </row>
    <row r="3308" spans="1:4" ht="12.75" customHeight="1" x14ac:dyDescent="0.2">
      <c r="A3308" s="20"/>
      <c r="B3308" s="2"/>
      <c r="C3308" s="2"/>
      <c r="D3308" s="2"/>
    </row>
    <row r="3309" spans="1:4" ht="12.75" customHeight="1" x14ac:dyDescent="0.2">
      <c r="A3309" s="21"/>
      <c r="B3309" s="3" t="s">
        <v>0</v>
      </c>
      <c r="C3309" s="20" t="s">
        <v>926</v>
      </c>
      <c r="D3309" s="21"/>
    </row>
    <row r="3310" spans="1:4" ht="12.75" customHeight="1" x14ac:dyDescent="0.2">
      <c r="A3310" s="21"/>
      <c r="B3310" s="3" t="s">
        <v>2</v>
      </c>
      <c r="C3310" s="20" t="s">
        <v>3</v>
      </c>
      <c r="D3310" s="21"/>
    </row>
    <row r="3311" spans="1:4" ht="12.75" customHeight="1" x14ac:dyDescent="0.2">
      <c r="A3311" s="21"/>
      <c r="B3311" s="3" t="s">
        <v>4</v>
      </c>
      <c r="C3311" s="20" t="s">
        <v>933</v>
      </c>
      <c r="D3311" s="21"/>
    </row>
    <row r="3312" spans="1:4" ht="12.75" customHeight="1" x14ac:dyDescent="0.2">
      <c r="A3312" s="21"/>
      <c r="B3312" s="3" t="s">
        <v>6</v>
      </c>
      <c r="C3312" s="20" t="s">
        <v>73</v>
      </c>
      <c r="D3312" s="21"/>
    </row>
    <row r="3313" spans="1:4" ht="12.75" customHeight="1" x14ac:dyDescent="0.2">
      <c r="A3313" s="21"/>
      <c r="B3313" s="3" t="s">
        <v>8</v>
      </c>
      <c r="C3313" s="20" t="s">
        <v>933</v>
      </c>
      <c r="D3313" s="21"/>
    </row>
    <row r="3314" spans="1:4" ht="12.75" customHeight="1" x14ac:dyDescent="0.2">
      <c r="A3314" s="21"/>
      <c r="B3314" s="3" t="s">
        <v>9</v>
      </c>
      <c r="C3314" s="20" t="s">
        <v>716</v>
      </c>
      <c r="D3314" s="21"/>
    </row>
    <row r="3315" spans="1:4" ht="12.75" customHeight="1" x14ac:dyDescent="0.2">
      <c r="A3315" s="21"/>
      <c r="B3315" s="3" t="s">
        <v>11</v>
      </c>
      <c r="C3315" s="20" t="s">
        <v>779</v>
      </c>
      <c r="D3315" s="21"/>
    </row>
    <row r="3316" spans="1:4" ht="12.75" customHeight="1" x14ac:dyDescent="0.2">
      <c r="A3316" s="21"/>
      <c r="B3316" s="3" t="s">
        <v>13</v>
      </c>
      <c r="C3316" s="20" t="s">
        <v>24</v>
      </c>
      <c r="D3316" s="21"/>
    </row>
    <row r="3317" spans="1:4" ht="12.75" customHeight="1" x14ac:dyDescent="0.2">
      <c r="A3317" s="21"/>
      <c r="B3317" s="3" t="s">
        <v>15</v>
      </c>
      <c r="C3317" s="20" t="s">
        <v>24</v>
      </c>
      <c r="D3317" s="21"/>
    </row>
    <row r="3318" spans="1:4" ht="12.75" customHeight="1" x14ac:dyDescent="0.2">
      <c r="A3318" s="21"/>
      <c r="B3318" s="3" t="s">
        <v>16</v>
      </c>
      <c r="C3318" s="20"/>
      <c r="D3318" s="21"/>
    </row>
    <row r="3319" spans="1:4" ht="12.75" customHeight="1" x14ac:dyDescent="0.2">
      <c r="A3319" s="21"/>
      <c r="B3319" s="3" t="s">
        <v>17</v>
      </c>
      <c r="C3319" s="20"/>
      <c r="D3319" s="21"/>
    </row>
    <row r="3320" spans="1:4" ht="12.75" customHeight="1" x14ac:dyDescent="0.2">
      <c r="A3320" s="21"/>
      <c r="B3320" s="20" t="s">
        <v>18</v>
      </c>
      <c r="C3320" s="4" t="s">
        <v>240</v>
      </c>
      <c r="D3320" s="6" t="str">
        <f>HYPERLINK("javascript:void(0)","drótkosár")</f>
        <v>drótkosár</v>
      </c>
    </row>
    <row r="3321" spans="1:4" ht="12.75" customHeight="1" x14ac:dyDescent="0.2">
      <c r="A3321" s="21"/>
      <c r="B3321" s="21"/>
      <c r="C3321" s="4" t="s">
        <v>936</v>
      </c>
      <c r="D3321" s="6" t="str">
        <f>HYPERLINK("javascript:void(0)","csapdaszeg")</f>
        <v>csapdaszeg</v>
      </c>
    </row>
    <row r="3322" spans="1:4" ht="12.75" customHeight="1" x14ac:dyDescent="0.2">
      <c r="A3322" s="21"/>
      <c r="B3322" s="21"/>
      <c r="C3322" s="4" t="s">
        <v>44</v>
      </c>
      <c r="D3322" s="6" t="str">
        <f>HYPERLINK("javascript:void(0)","kentacél kéziágyú")</f>
        <v>kentacél kéziágyú</v>
      </c>
    </row>
    <row r="3323" spans="1:4" ht="12.75" customHeight="1" x14ac:dyDescent="0.2">
      <c r="A3323" s="5"/>
      <c r="B3323" s="2"/>
      <c r="C3323" s="2"/>
      <c r="D3323" s="2"/>
    </row>
    <row r="3324" spans="1:4" ht="12.75" customHeight="1" x14ac:dyDescent="0.2">
      <c r="A3324" s="22" t="str">
        <f>HYPERLINK("javascript:void(0)","hypnoacél kéziágyú")</f>
        <v>hypnoacél kéziágyú</v>
      </c>
      <c r="B3324" s="21"/>
      <c r="C3324" s="21"/>
      <c r="D3324" s="21"/>
    </row>
    <row r="3325" spans="1:4" ht="12.75" customHeight="1" x14ac:dyDescent="0.2">
      <c r="A3325" s="20"/>
      <c r="B3325" s="2"/>
      <c r="C3325" s="2"/>
      <c r="D3325" s="2"/>
    </row>
    <row r="3326" spans="1:4" ht="12.75" customHeight="1" x14ac:dyDescent="0.2">
      <c r="A3326" s="21"/>
      <c r="B3326" s="3" t="s">
        <v>0</v>
      </c>
      <c r="C3326" s="20" t="s">
        <v>937</v>
      </c>
      <c r="D3326" s="21"/>
    </row>
    <row r="3327" spans="1:4" ht="12.75" customHeight="1" x14ac:dyDescent="0.2">
      <c r="A3327" s="21"/>
      <c r="B3327" s="3" t="s">
        <v>2</v>
      </c>
      <c r="C3327" s="20" t="s">
        <v>3</v>
      </c>
      <c r="D3327" s="21"/>
    </row>
    <row r="3328" spans="1:4" ht="12.75" customHeight="1" x14ac:dyDescent="0.2">
      <c r="A3328" s="21"/>
      <c r="B3328" s="3" t="s">
        <v>4</v>
      </c>
      <c r="C3328" s="20" t="s">
        <v>938</v>
      </c>
      <c r="D3328" s="21"/>
    </row>
    <row r="3329" spans="1:4" ht="12.75" customHeight="1" x14ac:dyDescent="0.2">
      <c r="A3329" s="21"/>
      <c r="B3329" s="3" t="s">
        <v>6</v>
      </c>
      <c r="C3329" s="20" t="s">
        <v>298</v>
      </c>
      <c r="D3329" s="21"/>
    </row>
    <row r="3330" spans="1:4" ht="12.75" customHeight="1" x14ac:dyDescent="0.2">
      <c r="A3330" s="21"/>
      <c r="B3330" s="3" t="s">
        <v>8</v>
      </c>
      <c r="C3330" s="20" t="s">
        <v>938</v>
      </c>
      <c r="D3330" s="21"/>
    </row>
    <row r="3331" spans="1:4" ht="12.75" customHeight="1" x14ac:dyDescent="0.2">
      <c r="A3331" s="21"/>
      <c r="B3331" s="3" t="s">
        <v>9</v>
      </c>
      <c r="C3331" s="20" t="s">
        <v>886</v>
      </c>
      <c r="D3331" s="21"/>
    </row>
    <row r="3332" spans="1:4" ht="12.75" customHeight="1" x14ac:dyDescent="0.2">
      <c r="A3332" s="21"/>
      <c r="B3332" s="3" t="s">
        <v>11</v>
      </c>
      <c r="C3332" s="20" t="s">
        <v>939</v>
      </c>
      <c r="D3332" s="21"/>
    </row>
    <row r="3333" spans="1:4" ht="12.75" customHeight="1" x14ac:dyDescent="0.2">
      <c r="A3333" s="21"/>
      <c r="B3333" s="3" t="s">
        <v>13</v>
      </c>
      <c r="C3333" s="20" t="s">
        <v>24</v>
      </c>
      <c r="D3333" s="21"/>
    </row>
    <row r="3334" spans="1:4" ht="12.75" customHeight="1" x14ac:dyDescent="0.2">
      <c r="A3334" s="21"/>
      <c r="B3334" s="3" t="s">
        <v>15</v>
      </c>
      <c r="C3334" s="20" t="s">
        <v>24</v>
      </c>
      <c r="D3334" s="21"/>
    </row>
    <row r="3335" spans="1:4" ht="12.75" customHeight="1" x14ac:dyDescent="0.2">
      <c r="A3335" s="21"/>
      <c r="B3335" s="3" t="s">
        <v>16</v>
      </c>
      <c r="C3335" s="20"/>
      <c r="D3335" s="21"/>
    </row>
    <row r="3336" spans="1:4" ht="12.75" customHeight="1" x14ac:dyDescent="0.2">
      <c r="A3336" s="21"/>
      <c r="B3336" s="3" t="s">
        <v>17</v>
      </c>
      <c r="C3336" s="20"/>
      <c r="D3336" s="21"/>
    </row>
    <row r="3337" spans="1:4" ht="12.75" customHeight="1" x14ac:dyDescent="0.2">
      <c r="A3337" s="21"/>
      <c r="B3337" s="20" t="s">
        <v>18</v>
      </c>
      <c r="C3337" s="4" t="s">
        <v>44</v>
      </c>
      <c r="D3337" s="6" t="str">
        <f>HYPERLINK("javascript:void(0)","hypnoacél csúzli")</f>
        <v>hypnoacél csúzli</v>
      </c>
    </row>
    <row r="3338" spans="1:4" ht="12.75" customHeight="1" x14ac:dyDescent="0.2">
      <c r="A3338" s="21"/>
      <c r="B3338" s="21"/>
      <c r="C3338" s="4" t="s">
        <v>269</v>
      </c>
      <c r="D3338" s="6" t="str">
        <f>HYPERLINK("javascript:void(0)","aszályige")</f>
        <v>aszályige</v>
      </c>
    </row>
    <row r="3339" spans="1:4" ht="12.75" customHeight="1" x14ac:dyDescent="0.2">
      <c r="A3339" s="21"/>
      <c r="B3339" s="21"/>
      <c r="C3339" s="4" t="s">
        <v>67</v>
      </c>
      <c r="D3339" s="6" t="str">
        <f>HYPERLINK("javascript:void(0)","monsztabéklyó")</f>
        <v>monsztabéklyó</v>
      </c>
    </row>
    <row r="3340" spans="1:4" ht="12.75" customHeight="1" x14ac:dyDescent="0.2">
      <c r="A3340" s="5"/>
      <c r="B3340" s="2"/>
      <c r="C3340" s="2"/>
      <c r="D3340" s="2"/>
    </row>
    <row r="3341" spans="1:4" ht="12.75" customHeight="1" x14ac:dyDescent="0.2">
      <c r="A3341" s="22" t="str">
        <f>HYPERLINK("javascript:void(0)","cordioacél tűdobó")</f>
        <v>cordioacél tűdobó</v>
      </c>
      <c r="B3341" s="21"/>
      <c r="C3341" s="21"/>
      <c r="D3341" s="21"/>
    </row>
    <row r="3342" spans="1:4" ht="12.75" customHeight="1" x14ac:dyDescent="0.2">
      <c r="A3342" s="20"/>
      <c r="B3342" s="2"/>
      <c r="C3342" s="2"/>
      <c r="D3342" s="2"/>
    </row>
    <row r="3343" spans="1:4" ht="12.75" customHeight="1" x14ac:dyDescent="0.2">
      <c r="A3343" s="21"/>
      <c r="B3343" s="3" t="s">
        <v>0</v>
      </c>
      <c r="C3343" s="20" t="s">
        <v>937</v>
      </c>
      <c r="D3343" s="21"/>
    </row>
    <row r="3344" spans="1:4" ht="12.75" customHeight="1" x14ac:dyDescent="0.2">
      <c r="A3344" s="21"/>
      <c r="B3344" s="3" t="s">
        <v>2</v>
      </c>
      <c r="C3344" s="20" t="s">
        <v>3</v>
      </c>
      <c r="D3344" s="21"/>
    </row>
    <row r="3345" spans="1:4" ht="12.75" customHeight="1" x14ac:dyDescent="0.2">
      <c r="A3345" s="21"/>
      <c r="B3345" s="3" t="s">
        <v>4</v>
      </c>
      <c r="C3345" s="20" t="s">
        <v>942</v>
      </c>
      <c r="D3345" s="21"/>
    </row>
    <row r="3346" spans="1:4" ht="12.75" customHeight="1" x14ac:dyDescent="0.2">
      <c r="A3346" s="21"/>
      <c r="B3346" s="3" t="s">
        <v>6</v>
      </c>
      <c r="C3346" s="20" t="s">
        <v>181</v>
      </c>
      <c r="D3346" s="21"/>
    </row>
    <row r="3347" spans="1:4" ht="12.75" customHeight="1" x14ac:dyDescent="0.2">
      <c r="A3347" s="21"/>
      <c r="B3347" s="3" t="s">
        <v>8</v>
      </c>
      <c r="C3347" s="20" t="s">
        <v>942</v>
      </c>
      <c r="D3347" s="21"/>
    </row>
    <row r="3348" spans="1:4" ht="12.75" customHeight="1" x14ac:dyDescent="0.2">
      <c r="A3348" s="21"/>
      <c r="B3348" s="3" t="s">
        <v>9</v>
      </c>
      <c r="C3348" s="20" t="s">
        <v>943</v>
      </c>
      <c r="D3348" s="21"/>
    </row>
    <row r="3349" spans="1:4" ht="12.75" customHeight="1" x14ac:dyDescent="0.2">
      <c r="A3349" s="21"/>
      <c r="B3349" s="3" t="s">
        <v>11</v>
      </c>
      <c r="C3349" s="20" t="s">
        <v>785</v>
      </c>
      <c r="D3349" s="21"/>
    </row>
    <row r="3350" spans="1:4" ht="12.75" customHeight="1" x14ac:dyDescent="0.2">
      <c r="A3350" s="21"/>
      <c r="B3350" s="3" t="s">
        <v>13</v>
      </c>
      <c r="C3350" s="20" t="s">
        <v>24</v>
      </c>
      <c r="D3350" s="21"/>
    </row>
    <row r="3351" spans="1:4" ht="12.75" customHeight="1" x14ac:dyDescent="0.2">
      <c r="A3351" s="21"/>
      <c r="B3351" s="3" t="s">
        <v>15</v>
      </c>
      <c r="C3351" s="20" t="s">
        <v>24</v>
      </c>
      <c r="D3351" s="21"/>
    </row>
    <row r="3352" spans="1:4" ht="12.75" customHeight="1" x14ac:dyDescent="0.2">
      <c r="A3352" s="21"/>
      <c r="B3352" s="3" t="s">
        <v>16</v>
      </c>
      <c r="C3352" s="20"/>
      <c r="D3352" s="21"/>
    </row>
    <row r="3353" spans="1:4" ht="12.75" customHeight="1" x14ac:dyDescent="0.2">
      <c r="A3353" s="21"/>
      <c r="B3353" s="3" t="s">
        <v>17</v>
      </c>
      <c r="C3353" s="20"/>
      <c r="D3353" s="21"/>
    </row>
    <row r="3354" spans="1:4" ht="12.75" customHeight="1" x14ac:dyDescent="0.2">
      <c r="A3354" s="21"/>
      <c r="B3354" s="20" t="s">
        <v>18</v>
      </c>
      <c r="C3354" s="4" t="s">
        <v>139</v>
      </c>
      <c r="D3354" s="6" t="str">
        <f>HYPERLINK("javascript:void(0)","aranyrög")</f>
        <v>aranyrög</v>
      </c>
    </row>
    <row r="3355" spans="1:4" ht="12.75" customHeight="1" x14ac:dyDescent="0.2">
      <c r="A3355" s="21"/>
      <c r="B3355" s="21"/>
      <c r="C3355" s="4" t="s">
        <v>106</v>
      </c>
      <c r="D3355" s="6" t="str">
        <f>HYPERLINK("javascript:void(0)","cordionium")</f>
        <v>cordionium</v>
      </c>
    </row>
    <row r="3356" spans="1:4" ht="12.75" customHeight="1" x14ac:dyDescent="0.2">
      <c r="A3356" s="21"/>
      <c r="B3356" s="21"/>
      <c r="C3356" s="4" t="s">
        <v>139</v>
      </c>
      <c r="D3356" s="6" t="str">
        <f>HYPERLINK("javascript:void(0)","ostornyelv")</f>
        <v>ostornyelv</v>
      </c>
    </row>
    <row r="3357" spans="1:4" ht="12.75" customHeight="1" x14ac:dyDescent="0.2">
      <c r="A3357" s="5"/>
      <c r="B3357" s="2"/>
      <c r="C3357" s="2"/>
      <c r="D3357" s="2"/>
    </row>
    <row r="3358" spans="1:4" ht="12.75" customHeight="1" x14ac:dyDescent="0.2">
      <c r="A3358" s="22" t="str">
        <f>HYPERLINK("javascript:void(0)","harmatacél kéziágyú")</f>
        <v>harmatacél kéziágyú</v>
      </c>
      <c r="B3358" s="21"/>
      <c r="C3358" s="21"/>
      <c r="D3358" s="21"/>
    </row>
    <row r="3359" spans="1:4" ht="12.75" customHeight="1" x14ac:dyDescent="0.2">
      <c r="A3359" s="20"/>
      <c r="B3359" s="2"/>
      <c r="C3359" s="2"/>
      <c r="D3359" s="2"/>
    </row>
    <row r="3360" spans="1:4" ht="12.75" customHeight="1" x14ac:dyDescent="0.2">
      <c r="A3360" s="21"/>
      <c r="B3360" s="3" t="s">
        <v>0</v>
      </c>
      <c r="C3360" s="20" t="s">
        <v>190</v>
      </c>
      <c r="D3360" s="21"/>
    </row>
    <row r="3361" spans="1:4" ht="12.75" customHeight="1" x14ac:dyDescent="0.2">
      <c r="A3361" s="21"/>
      <c r="B3361" s="3" t="s">
        <v>2</v>
      </c>
      <c r="C3361" s="20" t="s">
        <v>3</v>
      </c>
      <c r="D3361" s="21"/>
    </row>
    <row r="3362" spans="1:4" ht="12.75" customHeight="1" x14ac:dyDescent="0.2">
      <c r="A3362" s="21"/>
      <c r="B3362" s="3" t="s">
        <v>4</v>
      </c>
      <c r="C3362" s="20" t="s">
        <v>945</v>
      </c>
      <c r="D3362" s="21"/>
    </row>
    <row r="3363" spans="1:4" ht="12.75" customHeight="1" x14ac:dyDescent="0.2">
      <c r="A3363" s="21"/>
      <c r="B3363" s="3" t="s">
        <v>6</v>
      </c>
      <c r="C3363" s="20" t="s">
        <v>284</v>
      </c>
      <c r="D3363" s="21"/>
    </row>
    <row r="3364" spans="1:4" ht="12.75" customHeight="1" x14ac:dyDescent="0.2">
      <c r="A3364" s="21"/>
      <c r="B3364" s="3" t="s">
        <v>8</v>
      </c>
      <c r="C3364" s="20" t="s">
        <v>945</v>
      </c>
      <c r="D3364" s="21"/>
    </row>
    <row r="3365" spans="1:4" ht="12.75" customHeight="1" x14ac:dyDescent="0.2">
      <c r="A3365" s="21"/>
      <c r="B3365" s="3" t="s">
        <v>9</v>
      </c>
      <c r="C3365" s="20" t="s">
        <v>135</v>
      </c>
      <c r="D3365" s="21"/>
    </row>
    <row r="3366" spans="1:4" ht="12.75" customHeight="1" x14ac:dyDescent="0.2">
      <c r="A3366" s="21"/>
      <c r="B3366" s="3" t="s">
        <v>11</v>
      </c>
      <c r="C3366" s="20" t="s">
        <v>946</v>
      </c>
      <c r="D3366" s="21"/>
    </row>
    <row r="3367" spans="1:4" ht="12.75" customHeight="1" x14ac:dyDescent="0.2">
      <c r="A3367" s="21"/>
      <c r="B3367" s="3" t="s">
        <v>13</v>
      </c>
      <c r="C3367" s="20" t="s">
        <v>24</v>
      </c>
      <c r="D3367" s="21"/>
    </row>
    <row r="3368" spans="1:4" ht="12.75" customHeight="1" x14ac:dyDescent="0.2">
      <c r="A3368" s="21"/>
      <c r="B3368" s="3" t="s">
        <v>15</v>
      </c>
      <c r="C3368" s="20" t="s">
        <v>24</v>
      </c>
      <c r="D3368" s="21"/>
    </row>
    <row r="3369" spans="1:4" ht="12.75" customHeight="1" x14ac:dyDescent="0.2">
      <c r="A3369" s="21"/>
      <c r="B3369" s="3" t="s">
        <v>16</v>
      </c>
      <c r="C3369" s="20"/>
      <c r="D3369" s="21"/>
    </row>
    <row r="3370" spans="1:4" ht="12.75" customHeight="1" x14ac:dyDescent="0.2">
      <c r="A3370" s="21"/>
      <c r="B3370" s="3" t="s">
        <v>17</v>
      </c>
      <c r="C3370" s="20"/>
      <c r="D3370" s="21"/>
    </row>
    <row r="3371" spans="1:4" ht="12.75" customHeight="1" x14ac:dyDescent="0.2">
      <c r="A3371" s="21"/>
      <c r="B3371" s="20" t="s">
        <v>18</v>
      </c>
      <c r="C3371" s="4" t="s">
        <v>44</v>
      </c>
      <c r="D3371" s="6" t="str">
        <f>HYPERLINK("javascript:void(0)","harmatacél csúzli")</f>
        <v>harmatacél csúzli</v>
      </c>
    </row>
    <row r="3372" spans="1:4" ht="12.75" customHeight="1" x14ac:dyDescent="0.2">
      <c r="A3372" s="21"/>
      <c r="B3372" s="21"/>
      <c r="C3372" s="4" t="s">
        <v>780</v>
      </c>
      <c r="D3372" s="6" t="str">
        <f>HYPERLINK("javascript:void(0)","ördögpihe")</f>
        <v>ördögpihe</v>
      </c>
    </row>
    <row r="3373" spans="1:4" ht="12.75" customHeight="1" x14ac:dyDescent="0.2">
      <c r="A3373" s="21"/>
      <c r="B3373" s="21"/>
      <c r="C3373" s="4" t="s">
        <v>132</v>
      </c>
      <c r="D3373" s="6" t="str">
        <f>HYPERLINK("javascript:void(0)","kígyóborda")</f>
        <v>kígyóborda</v>
      </c>
    </row>
    <row r="3374" spans="1:4" ht="12.75" customHeight="1" x14ac:dyDescent="0.2">
      <c r="A3374" s="5"/>
      <c r="B3374" s="2"/>
      <c r="C3374" s="2"/>
      <c r="D3374" s="2"/>
    </row>
    <row r="3375" spans="1:4" ht="12.75" customHeight="1" x14ac:dyDescent="0.2">
      <c r="A3375" s="22" t="str">
        <f>HYPERLINK("javascript:void(0)","radioacél tűdobó")</f>
        <v>radioacél tűdobó</v>
      </c>
      <c r="B3375" s="21"/>
      <c r="C3375" s="21"/>
      <c r="D3375" s="21"/>
    </row>
    <row r="3376" spans="1:4" ht="12.75" customHeight="1" x14ac:dyDescent="0.2">
      <c r="A3376" s="20"/>
      <c r="B3376" s="2"/>
      <c r="C3376" s="2"/>
      <c r="D3376" s="2"/>
    </row>
    <row r="3377" spans="1:4" ht="12.75" customHeight="1" x14ac:dyDescent="0.2">
      <c r="A3377" s="21"/>
      <c r="B3377" s="3" t="s">
        <v>0</v>
      </c>
      <c r="C3377" s="20" t="s">
        <v>190</v>
      </c>
      <c r="D3377" s="21"/>
    </row>
    <row r="3378" spans="1:4" ht="12.75" customHeight="1" x14ac:dyDescent="0.2">
      <c r="A3378" s="21"/>
      <c r="B3378" s="3" t="s">
        <v>2</v>
      </c>
      <c r="C3378" s="20" t="s">
        <v>3</v>
      </c>
      <c r="D3378" s="21"/>
    </row>
    <row r="3379" spans="1:4" ht="12.75" customHeight="1" x14ac:dyDescent="0.2">
      <c r="A3379" s="21"/>
      <c r="B3379" s="3" t="s">
        <v>4</v>
      </c>
      <c r="C3379" s="20" t="s">
        <v>949</v>
      </c>
      <c r="D3379" s="21"/>
    </row>
    <row r="3380" spans="1:4" ht="12.75" customHeight="1" x14ac:dyDescent="0.2">
      <c r="A3380" s="21"/>
      <c r="B3380" s="3" t="s">
        <v>6</v>
      </c>
      <c r="C3380" s="20" t="s">
        <v>73</v>
      </c>
      <c r="D3380" s="21"/>
    </row>
    <row r="3381" spans="1:4" ht="12.75" customHeight="1" x14ac:dyDescent="0.2">
      <c r="A3381" s="21"/>
      <c r="B3381" s="3" t="s">
        <v>8</v>
      </c>
      <c r="C3381" s="20" t="s">
        <v>949</v>
      </c>
      <c r="D3381" s="21"/>
    </row>
    <row r="3382" spans="1:4" ht="12.75" customHeight="1" x14ac:dyDescent="0.2">
      <c r="A3382" s="21"/>
      <c r="B3382" s="3" t="s">
        <v>9</v>
      </c>
      <c r="C3382" s="20" t="s">
        <v>716</v>
      </c>
      <c r="D3382" s="21"/>
    </row>
    <row r="3383" spans="1:4" ht="12.75" customHeight="1" x14ac:dyDescent="0.2">
      <c r="A3383" s="21"/>
      <c r="B3383" s="3" t="s">
        <v>11</v>
      </c>
      <c r="C3383" s="20" t="s">
        <v>793</v>
      </c>
      <c r="D3383" s="21"/>
    </row>
    <row r="3384" spans="1:4" ht="12.75" customHeight="1" x14ac:dyDescent="0.2">
      <c r="A3384" s="21"/>
      <c r="B3384" s="3" t="s">
        <v>13</v>
      </c>
      <c r="C3384" s="20" t="s">
        <v>24</v>
      </c>
      <c r="D3384" s="21"/>
    </row>
    <row r="3385" spans="1:4" ht="12.75" customHeight="1" x14ac:dyDescent="0.2">
      <c r="A3385" s="21"/>
      <c r="B3385" s="3" t="s">
        <v>15</v>
      </c>
      <c r="C3385" s="20" t="s">
        <v>24</v>
      </c>
      <c r="D3385" s="21"/>
    </row>
    <row r="3386" spans="1:4" ht="12.75" customHeight="1" x14ac:dyDescent="0.2">
      <c r="A3386" s="21"/>
      <c r="B3386" s="3" t="s">
        <v>16</v>
      </c>
      <c r="C3386" s="20"/>
      <c r="D3386" s="21"/>
    </row>
    <row r="3387" spans="1:4" ht="12.75" customHeight="1" x14ac:dyDescent="0.2">
      <c r="A3387" s="21"/>
      <c r="B3387" s="3" t="s">
        <v>17</v>
      </c>
      <c r="C3387" s="20"/>
      <c r="D3387" s="21"/>
    </row>
    <row r="3388" spans="1:4" ht="12.75" customHeight="1" x14ac:dyDescent="0.2">
      <c r="A3388" s="21"/>
      <c r="B3388" s="20" t="s">
        <v>18</v>
      </c>
      <c r="C3388" s="4" t="s">
        <v>951</v>
      </c>
      <c r="D3388" s="6" t="str">
        <f>HYPERLINK("javascript:void(0)","kincs")</f>
        <v>kincs</v>
      </c>
    </row>
    <row r="3389" spans="1:4" ht="12.75" customHeight="1" x14ac:dyDescent="0.2">
      <c r="A3389" s="21"/>
      <c r="B3389" s="21"/>
      <c r="C3389" s="4" t="s">
        <v>106</v>
      </c>
      <c r="D3389" s="6" t="str">
        <f>HYPERLINK("javascript:void(0)","radiolium")</f>
        <v>radiolium</v>
      </c>
    </row>
    <row r="3390" spans="1:4" ht="12.75" customHeight="1" x14ac:dyDescent="0.2">
      <c r="A3390" s="21"/>
      <c r="B3390" s="21"/>
      <c r="C3390" s="4" t="s">
        <v>756</v>
      </c>
      <c r="D3390" s="6" t="str">
        <f>HYPERLINK("javascript:void(0)","zombiszem")</f>
        <v>zombiszem</v>
      </c>
    </row>
    <row r="3391" spans="1:4" ht="12.75" customHeight="1" x14ac:dyDescent="0.2">
      <c r="A3391" s="5"/>
      <c r="B3391" s="2"/>
      <c r="C3391" s="2"/>
      <c r="D3391" s="2"/>
    </row>
    <row r="3392" spans="1:4" ht="12.75" customHeight="1" x14ac:dyDescent="0.2">
      <c r="A3392" s="22" t="str">
        <f>HYPERLINK("javascript:void(0)","kriptonacél kéziágyú")</f>
        <v>kriptonacél kéziágyú</v>
      </c>
      <c r="B3392" s="21"/>
      <c r="C3392" s="21"/>
      <c r="D3392" s="21"/>
    </row>
    <row r="3393" spans="1:4" ht="12.75" customHeight="1" x14ac:dyDescent="0.2">
      <c r="A3393" s="20"/>
      <c r="B3393" s="2"/>
      <c r="C3393" s="2"/>
      <c r="D3393" s="2"/>
    </row>
    <row r="3394" spans="1:4" ht="12.75" customHeight="1" x14ac:dyDescent="0.2">
      <c r="A3394" s="21"/>
      <c r="B3394" s="3" t="s">
        <v>0</v>
      </c>
      <c r="C3394" s="20" t="s">
        <v>953</v>
      </c>
      <c r="D3394" s="21"/>
    </row>
    <row r="3395" spans="1:4" ht="12.75" customHeight="1" x14ac:dyDescent="0.2">
      <c r="A3395" s="21"/>
      <c r="B3395" s="3" t="s">
        <v>2</v>
      </c>
      <c r="C3395" s="20" t="s">
        <v>3</v>
      </c>
      <c r="D3395" s="21"/>
    </row>
    <row r="3396" spans="1:4" ht="12.75" customHeight="1" x14ac:dyDescent="0.2">
      <c r="A3396" s="21"/>
      <c r="B3396" s="3" t="s">
        <v>4</v>
      </c>
      <c r="C3396" s="20" t="s">
        <v>954</v>
      </c>
      <c r="D3396" s="21"/>
    </row>
    <row r="3397" spans="1:4" ht="12.75" customHeight="1" x14ac:dyDescent="0.2">
      <c r="A3397" s="21"/>
      <c r="B3397" s="3" t="s">
        <v>6</v>
      </c>
      <c r="C3397" s="20" t="s">
        <v>260</v>
      </c>
      <c r="D3397" s="21"/>
    </row>
    <row r="3398" spans="1:4" ht="12.75" customHeight="1" x14ac:dyDescent="0.2">
      <c r="A3398" s="21"/>
      <c r="B3398" s="3" t="s">
        <v>8</v>
      </c>
      <c r="C3398" s="20" t="s">
        <v>954</v>
      </c>
      <c r="D3398" s="21"/>
    </row>
    <row r="3399" spans="1:4" ht="12.75" customHeight="1" x14ac:dyDescent="0.2">
      <c r="A3399" s="21"/>
      <c r="B3399" s="3" t="s">
        <v>9</v>
      </c>
      <c r="C3399" s="20" t="s">
        <v>955</v>
      </c>
      <c r="D3399" s="21"/>
    </row>
    <row r="3400" spans="1:4" ht="12.75" customHeight="1" x14ac:dyDescent="0.2">
      <c r="A3400" s="21"/>
      <c r="B3400" s="3" t="s">
        <v>11</v>
      </c>
      <c r="C3400" s="20" t="s">
        <v>956</v>
      </c>
      <c r="D3400" s="21"/>
    </row>
    <row r="3401" spans="1:4" ht="12.75" customHeight="1" x14ac:dyDescent="0.2">
      <c r="A3401" s="21"/>
      <c r="B3401" s="3" t="s">
        <v>13</v>
      </c>
      <c r="C3401" s="20" t="s">
        <v>24</v>
      </c>
      <c r="D3401" s="21"/>
    </row>
    <row r="3402" spans="1:4" ht="12.75" customHeight="1" x14ac:dyDescent="0.2">
      <c r="A3402" s="21"/>
      <c r="B3402" s="3" t="s">
        <v>15</v>
      </c>
      <c r="C3402" s="20" t="s">
        <v>24</v>
      </c>
      <c r="D3402" s="21"/>
    </row>
    <row r="3403" spans="1:4" ht="12.75" customHeight="1" x14ac:dyDescent="0.2">
      <c r="A3403" s="21"/>
      <c r="B3403" s="3" t="s">
        <v>16</v>
      </c>
      <c r="C3403" s="20"/>
      <c r="D3403" s="21"/>
    </row>
    <row r="3404" spans="1:4" ht="12.75" customHeight="1" x14ac:dyDescent="0.2">
      <c r="A3404" s="21"/>
      <c r="B3404" s="3" t="s">
        <v>17</v>
      </c>
      <c r="C3404" s="20"/>
      <c r="D3404" s="21"/>
    </row>
    <row r="3405" spans="1:4" ht="12.75" customHeight="1" x14ac:dyDescent="0.2">
      <c r="A3405" s="21"/>
      <c r="B3405" s="20" t="s">
        <v>18</v>
      </c>
      <c r="C3405" s="4" t="s">
        <v>67</v>
      </c>
      <c r="D3405" s="6" t="str">
        <f>HYPERLINK("javascript:void(0)","valkript")</f>
        <v>valkript</v>
      </c>
    </row>
    <row r="3406" spans="1:4" ht="12.75" customHeight="1" x14ac:dyDescent="0.2">
      <c r="A3406" s="21"/>
      <c r="B3406" s="21"/>
      <c r="C3406" s="4" t="s">
        <v>296</v>
      </c>
      <c r="D3406" s="6" t="str">
        <f>HYPERLINK("javascript:void(0)","sárkányzsák")</f>
        <v>sárkányzsák</v>
      </c>
    </row>
    <row r="3407" spans="1:4" ht="12.75" customHeight="1" x14ac:dyDescent="0.2">
      <c r="A3407" s="21"/>
      <c r="B3407" s="21"/>
      <c r="C3407" s="4" t="s">
        <v>68</v>
      </c>
      <c r="D3407" s="6" t="str">
        <f>HYPERLINK("javascript:void(0)","fiola")</f>
        <v>fiola</v>
      </c>
    </row>
    <row r="3408" spans="1:4" ht="12.75" customHeight="1" x14ac:dyDescent="0.2">
      <c r="A3408" s="5"/>
      <c r="B3408" s="2"/>
      <c r="C3408" s="2"/>
      <c r="D3408" s="2"/>
    </row>
    <row r="3409" spans="1:4" ht="12.75" customHeight="1" x14ac:dyDescent="0.2">
      <c r="A3409" s="22" t="str">
        <f>HYPERLINK("javascript:void(0)","diffacél tűdobó")</f>
        <v>diffacél tűdobó</v>
      </c>
      <c r="B3409" s="21"/>
      <c r="C3409" s="21"/>
      <c r="D3409" s="21"/>
    </row>
    <row r="3410" spans="1:4" ht="12.75" customHeight="1" x14ac:dyDescent="0.2">
      <c r="A3410" s="20"/>
      <c r="B3410" s="2"/>
      <c r="C3410" s="2"/>
      <c r="D3410" s="2"/>
    </row>
    <row r="3411" spans="1:4" ht="12.75" customHeight="1" x14ac:dyDescent="0.2">
      <c r="A3411" s="21"/>
      <c r="B3411" s="3" t="s">
        <v>0</v>
      </c>
      <c r="C3411" s="20" t="s">
        <v>953</v>
      </c>
      <c r="D3411" s="21"/>
    </row>
    <row r="3412" spans="1:4" ht="12.75" customHeight="1" x14ac:dyDescent="0.2">
      <c r="A3412" s="21"/>
      <c r="B3412" s="3" t="s">
        <v>2</v>
      </c>
      <c r="C3412" s="20" t="s">
        <v>3</v>
      </c>
      <c r="D3412" s="21"/>
    </row>
    <row r="3413" spans="1:4" ht="12.75" customHeight="1" x14ac:dyDescent="0.2">
      <c r="A3413" s="21"/>
      <c r="B3413" s="3" t="s">
        <v>4</v>
      </c>
      <c r="C3413" s="20" t="s">
        <v>957</v>
      </c>
      <c r="D3413" s="21"/>
    </row>
    <row r="3414" spans="1:4" ht="12.75" customHeight="1" x14ac:dyDescent="0.2">
      <c r="A3414" s="21"/>
      <c r="B3414" s="3" t="s">
        <v>6</v>
      </c>
      <c r="C3414" s="20" t="s">
        <v>613</v>
      </c>
      <c r="D3414" s="21"/>
    </row>
    <row r="3415" spans="1:4" ht="12.75" customHeight="1" x14ac:dyDescent="0.2">
      <c r="A3415" s="21"/>
      <c r="B3415" s="3" t="s">
        <v>8</v>
      </c>
      <c r="C3415" s="20" t="s">
        <v>957</v>
      </c>
      <c r="D3415" s="21"/>
    </row>
    <row r="3416" spans="1:4" ht="12.75" customHeight="1" x14ac:dyDescent="0.2">
      <c r="A3416" s="21"/>
      <c r="B3416" s="3" t="s">
        <v>9</v>
      </c>
      <c r="C3416" s="20" t="s">
        <v>958</v>
      </c>
      <c r="D3416" s="21"/>
    </row>
    <row r="3417" spans="1:4" ht="12.75" customHeight="1" x14ac:dyDescent="0.2">
      <c r="A3417" s="21"/>
      <c r="B3417" s="3" t="s">
        <v>11</v>
      </c>
      <c r="C3417" s="20" t="s">
        <v>807</v>
      </c>
      <c r="D3417" s="21"/>
    </row>
    <row r="3418" spans="1:4" ht="12.75" customHeight="1" x14ac:dyDescent="0.2">
      <c r="A3418" s="21"/>
      <c r="B3418" s="3" t="s">
        <v>13</v>
      </c>
      <c r="C3418" s="20" t="s">
        <v>24</v>
      </c>
      <c r="D3418" s="21"/>
    </row>
    <row r="3419" spans="1:4" ht="12.75" customHeight="1" x14ac:dyDescent="0.2">
      <c r="A3419" s="21"/>
      <c r="B3419" s="3" t="s">
        <v>15</v>
      </c>
      <c r="C3419" s="20" t="s">
        <v>24</v>
      </c>
      <c r="D3419" s="21"/>
    </row>
    <row r="3420" spans="1:4" ht="12.75" customHeight="1" x14ac:dyDescent="0.2">
      <c r="A3420" s="21"/>
      <c r="B3420" s="3" t="s">
        <v>16</v>
      </c>
      <c r="C3420" s="20"/>
      <c r="D3420" s="21"/>
    </row>
    <row r="3421" spans="1:4" ht="12.75" customHeight="1" x14ac:dyDescent="0.2">
      <c r="A3421" s="21"/>
      <c r="B3421" s="3" t="s">
        <v>17</v>
      </c>
      <c r="C3421" s="20"/>
      <c r="D3421" s="21"/>
    </row>
    <row r="3422" spans="1:4" ht="12.75" customHeight="1" x14ac:dyDescent="0.2">
      <c r="A3422" s="21"/>
      <c r="B3422" s="20" t="s">
        <v>18</v>
      </c>
      <c r="C3422" s="4" t="s">
        <v>193</v>
      </c>
      <c r="D3422" s="6" t="str">
        <f>HYPERLINK("javascript:void(0)","tűzige")</f>
        <v>tűzige</v>
      </c>
    </row>
    <row r="3423" spans="1:4" ht="12.75" customHeight="1" x14ac:dyDescent="0.2">
      <c r="A3423" s="21"/>
      <c r="B3423" s="21"/>
      <c r="C3423" s="4" t="s">
        <v>106</v>
      </c>
      <c r="D3423" s="6" t="str">
        <f>HYPERLINK("javascript:void(0)","diffuzionit")</f>
        <v>diffuzionit</v>
      </c>
    </row>
    <row r="3424" spans="1:4" ht="12.75" customHeight="1" x14ac:dyDescent="0.2">
      <c r="A3424" s="21"/>
      <c r="B3424" s="21"/>
      <c r="C3424" s="4" t="s">
        <v>786</v>
      </c>
      <c r="D3424" s="6" t="str">
        <f>HYPERLINK("javascript:void(0)","üvegcserép")</f>
        <v>üvegcserép</v>
      </c>
    </row>
    <row r="3425" spans="1:4" ht="12.75" customHeight="1" x14ac:dyDescent="0.2">
      <c r="A3425" s="5"/>
      <c r="B3425" s="2"/>
      <c r="C3425" s="2"/>
      <c r="D3425" s="2"/>
    </row>
    <row r="3426" spans="1:4" ht="12.75" customHeight="1" x14ac:dyDescent="0.2">
      <c r="A3426" s="22" t="str">
        <f>HYPERLINK("javascript:void(0)","smaragd tűvető")</f>
        <v>smaragd tűvető</v>
      </c>
      <c r="B3426" s="21"/>
      <c r="C3426" s="21"/>
      <c r="D3426" s="21"/>
    </row>
    <row r="3427" spans="1:4" ht="12.75" customHeight="1" x14ac:dyDescent="0.2">
      <c r="A3427" s="20"/>
      <c r="B3427" s="2"/>
      <c r="C3427" s="2"/>
      <c r="D3427" s="2"/>
    </row>
    <row r="3428" spans="1:4" ht="12.75" customHeight="1" x14ac:dyDescent="0.2">
      <c r="A3428" s="21"/>
      <c r="B3428" s="3" t="s">
        <v>0</v>
      </c>
      <c r="C3428" s="20" t="s">
        <v>293</v>
      </c>
      <c r="D3428" s="21"/>
    </row>
    <row r="3429" spans="1:4" ht="12.75" customHeight="1" x14ac:dyDescent="0.2">
      <c r="A3429" s="21"/>
      <c r="B3429" s="3" t="s">
        <v>2</v>
      </c>
      <c r="C3429" s="20" t="s">
        <v>3</v>
      </c>
      <c r="D3429" s="21"/>
    </row>
    <row r="3430" spans="1:4" ht="12.75" customHeight="1" x14ac:dyDescent="0.2">
      <c r="A3430" s="21"/>
      <c r="B3430" s="3" t="s">
        <v>4</v>
      </c>
      <c r="C3430" s="20" t="s">
        <v>961</v>
      </c>
      <c r="D3430" s="21"/>
    </row>
    <row r="3431" spans="1:4" ht="12.75" customHeight="1" x14ac:dyDescent="0.2">
      <c r="A3431" s="21"/>
      <c r="B3431" s="3" t="s">
        <v>6</v>
      </c>
      <c r="C3431" s="20" t="s">
        <v>284</v>
      </c>
      <c r="D3431" s="21"/>
    </row>
    <row r="3432" spans="1:4" ht="12.75" customHeight="1" x14ac:dyDescent="0.2">
      <c r="A3432" s="21"/>
      <c r="B3432" s="3" t="s">
        <v>8</v>
      </c>
      <c r="C3432" s="20" t="s">
        <v>961</v>
      </c>
      <c r="D3432" s="21"/>
    </row>
    <row r="3433" spans="1:4" ht="12.75" customHeight="1" x14ac:dyDescent="0.2">
      <c r="A3433" s="21"/>
      <c r="B3433" s="3" t="s">
        <v>9</v>
      </c>
      <c r="C3433" s="20" t="s">
        <v>962</v>
      </c>
      <c r="D3433" s="21"/>
    </row>
    <row r="3434" spans="1:4" ht="12.75" customHeight="1" x14ac:dyDescent="0.2">
      <c r="A3434" s="21"/>
      <c r="B3434" s="3" t="s">
        <v>11</v>
      </c>
      <c r="C3434" s="20" t="s">
        <v>963</v>
      </c>
      <c r="D3434" s="21"/>
    </row>
    <row r="3435" spans="1:4" ht="12.75" customHeight="1" x14ac:dyDescent="0.2">
      <c r="A3435" s="21"/>
      <c r="B3435" s="3" t="s">
        <v>13</v>
      </c>
      <c r="C3435" s="20" t="s">
        <v>24</v>
      </c>
      <c r="D3435" s="21"/>
    </row>
    <row r="3436" spans="1:4" ht="12.75" customHeight="1" x14ac:dyDescent="0.2">
      <c r="A3436" s="21"/>
      <c r="B3436" s="3" t="s">
        <v>15</v>
      </c>
      <c r="C3436" s="20" t="s">
        <v>24</v>
      </c>
      <c r="D3436" s="21"/>
    </row>
    <row r="3437" spans="1:4" ht="12.75" customHeight="1" x14ac:dyDescent="0.2">
      <c r="A3437" s="21"/>
      <c r="B3437" s="3" t="s">
        <v>16</v>
      </c>
      <c r="C3437" s="20"/>
      <c r="D3437" s="21"/>
    </row>
    <row r="3438" spans="1:4" ht="12.75" customHeight="1" x14ac:dyDescent="0.2">
      <c r="A3438" s="21"/>
      <c r="B3438" s="3" t="s">
        <v>17</v>
      </c>
      <c r="C3438" s="20"/>
      <c r="D3438" s="21"/>
    </row>
    <row r="3439" spans="1:4" ht="12.75" customHeight="1" x14ac:dyDescent="0.2">
      <c r="A3439" s="21"/>
      <c r="B3439" s="20" t="s">
        <v>18</v>
      </c>
      <c r="C3439" s="4" t="s">
        <v>44</v>
      </c>
      <c r="D3439" s="6" t="str">
        <f>HYPERLINK("javascript:void(0)","smaragd tűdobó")</f>
        <v>smaragd tűdobó</v>
      </c>
    </row>
    <row r="3440" spans="1:4" ht="12.75" customHeight="1" x14ac:dyDescent="0.2">
      <c r="A3440" s="21"/>
      <c r="B3440" s="21"/>
      <c r="C3440" s="4" t="s">
        <v>98</v>
      </c>
      <c r="D3440" s="6" t="str">
        <f>HYPERLINK("javascript:void(0)","banánhéj")</f>
        <v>banánhéj</v>
      </c>
    </row>
    <row r="3441" spans="1:4" ht="12.75" customHeight="1" x14ac:dyDescent="0.2">
      <c r="A3441" s="21"/>
      <c r="B3441" s="21"/>
      <c r="C3441" s="4" t="s">
        <v>290</v>
      </c>
      <c r="D3441" s="6" t="str">
        <f>HYPERLINK("javascript:void(0)","ördögpihe")</f>
        <v>ördögpihe</v>
      </c>
    </row>
    <row r="3442" spans="1:4" ht="12.75" customHeight="1" x14ac:dyDescent="0.2">
      <c r="A3442" s="5"/>
      <c r="B3442" s="2"/>
      <c r="C3442" s="2"/>
      <c r="D3442" s="2"/>
    </row>
    <row r="3443" spans="1:4" ht="12.75" customHeight="1" x14ac:dyDescent="0.2">
      <c r="A3443" s="22" t="str">
        <f>HYPERLINK("javascript:void(0)","kriptonacél tűdobó")</f>
        <v>kriptonacél tűdobó</v>
      </c>
      <c r="B3443" s="21"/>
      <c r="C3443" s="21"/>
      <c r="D3443" s="21"/>
    </row>
    <row r="3444" spans="1:4" ht="12.75" customHeight="1" x14ac:dyDescent="0.2">
      <c r="A3444" s="20"/>
      <c r="B3444" s="2"/>
      <c r="C3444" s="2"/>
      <c r="D3444" s="2"/>
    </row>
    <row r="3445" spans="1:4" ht="12.75" customHeight="1" x14ac:dyDescent="0.2">
      <c r="A3445" s="21"/>
      <c r="B3445" s="3" t="s">
        <v>0</v>
      </c>
      <c r="C3445" s="20" t="s">
        <v>293</v>
      </c>
      <c r="D3445" s="21"/>
    </row>
    <row r="3446" spans="1:4" ht="12.75" customHeight="1" x14ac:dyDescent="0.2">
      <c r="A3446" s="21"/>
      <c r="B3446" s="3" t="s">
        <v>2</v>
      </c>
      <c r="C3446" s="20" t="s">
        <v>3</v>
      </c>
      <c r="D3446" s="21"/>
    </row>
    <row r="3447" spans="1:4" ht="12.75" customHeight="1" x14ac:dyDescent="0.2">
      <c r="A3447" s="21"/>
      <c r="B3447" s="3" t="s">
        <v>4</v>
      </c>
      <c r="C3447" s="20" t="s">
        <v>965</v>
      </c>
      <c r="D3447" s="21"/>
    </row>
    <row r="3448" spans="1:4" ht="12.75" customHeight="1" x14ac:dyDescent="0.2">
      <c r="A3448" s="21"/>
      <c r="B3448" s="3" t="s">
        <v>6</v>
      </c>
      <c r="C3448" s="20" t="s">
        <v>181</v>
      </c>
      <c r="D3448" s="21"/>
    </row>
    <row r="3449" spans="1:4" ht="12.75" customHeight="1" x14ac:dyDescent="0.2">
      <c r="A3449" s="21"/>
      <c r="B3449" s="3" t="s">
        <v>8</v>
      </c>
      <c r="C3449" s="20" t="s">
        <v>965</v>
      </c>
      <c r="D3449" s="21"/>
    </row>
    <row r="3450" spans="1:4" ht="12.75" customHeight="1" x14ac:dyDescent="0.2">
      <c r="A3450" s="21"/>
      <c r="B3450" s="3" t="s">
        <v>9</v>
      </c>
      <c r="C3450" s="20" t="s">
        <v>36</v>
      </c>
      <c r="D3450" s="21"/>
    </row>
    <row r="3451" spans="1:4" ht="12.75" customHeight="1" x14ac:dyDescent="0.2">
      <c r="A3451" s="21"/>
      <c r="B3451" s="3" t="s">
        <v>11</v>
      </c>
      <c r="C3451" s="20" t="s">
        <v>817</v>
      </c>
      <c r="D3451" s="21"/>
    </row>
    <row r="3452" spans="1:4" ht="12.75" customHeight="1" x14ac:dyDescent="0.2">
      <c r="A3452" s="21"/>
      <c r="B3452" s="3" t="s">
        <v>13</v>
      </c>
      <c r="C3452" s="20" t="s">
        <v>24</v>
      </c>
      <c r="D3452" s="21"/>
    </row>
    <row r="3453" spans="1:4" ht="12.75" customHeight="1" x14ac:dyDescent="0.2">
      <c r="A3453" s="21"/>
      <c r="B3453" s="3" t="s">
        <v>15</v>
      </c>
      <c r="C3453" s="20" t="s">
        <v>24</v>
      </c>
      <c r="D3453" s="21"/>
    </row>
    <row r="3454" spans="1:4" ht="12.75" customHeight="1" x14ac:dyDescent="0.2">
      <c r="A3454" s="21"/>
      <c r="B3454" s="3" t="s">
        <v>16</v>
      </c>
      <c r="C3454" s="20"/>
      <c r="D3454" s="21"/>
    </row>
    <row r="3455" spans="1:4" ht="12.75" customHeight="1" x14ac:dyDescent="0.2">
      <c r="A3455" s="21"/>
      <c r="B3455" s="3" t="s">
        <v>17</v>
      </c>
      <c r="C3455" s="20"/>
      <c r="D3455" s="21"/>
    </row>
    <row r="3456" spans="1:4" ht="12.75" customHeight="1" x14ac:dyDescent="0.2">
      <c r="A3456" s="21"/>
      <c r="B3456" s="20" t="s">
        <v>18</v>
      </c>
      <c r="C3456" s="4" t="s">
        <v>163</v>
      </c>
      <c r="D3456" s="6" t="str">
        <f>HYPERLINK("javascript:void(0)","pálha")</f>
        <v>pálha</v>
      </c>
    </row>
    <row r="3457" spans="1:4" ht="12.75" customHeight="1" x14ac:dyDescent="0.2">
      <c r="A3457" s="21"/>
      <c r="B3457" s="21"/>
      <c r="C3457" s="4" t="s">
        <v>44</v>
      </c>
      <c r="D3457" s="6" t="str">
        <f>HYPERLINK("javascript:void(0)","kriptonacél kéziágyú")</f>
        <v>kriptonacél kéziágyú</v>
      </c>
    </row>
    <row r="3458" spans="1:4" ht="12.75" customHeight="1" x14ac:dyDescent="0.2">
      <c r="A3458" s="21"/>
      <c r="B3458" s="21"/>
      <c r="C3458" s="4" t="s">
        <v>756</v>
      </c>
      <c r="D3458" s="6" t="str">
        <f>HYPERLINK("javascript:void(0)","csonttoll")</f>
        <v>csonttoll</v>
      </c>
    </row>
    <row r="3459" spans="1:4" ht="12.75" customHeight="1" x14ac:dyDescent="0.2">
      <c r="A3459" s="5"/>
      <c r="B3459" s="2"/>
      <c r="C3459" s="2"/>
      <c r="D3459" s="2"/>
    </row>
    <row r="3460" spans="1:4" ht="12.75" customHeight="1" x14ac:dyDescent="0.2">
      <c r="A3460" s="22" t="str">
        <f>HYPERLINK("javascript:void(0)","rubin tűvető")</f>
        <v>rubin tűvető</v>
      </c>
      <c r="B3460" s="21"/>
      <c r="C3460" s="21"/>
      <c r="D3460" s="21"/>
    </row>
    <row r="3461" spans="1:4" ht="12.75" customHeight="1" x14ac:dyDescent="0.2">
      <c r="A3461" s="20"/>
      <c r="B3461" s="2"/>
      <c r="C3461" s="2"/>
      <c r="D3461" s="2"/>
    </row>
    <row r="3462" spans="1:4" ht="12.75" customHeight="1" x14ac:dyDescent="0.2">
      <c r="A3462" s="21"/>
      <c r="B3462" s="3" t="s">
        <v>0</v>
      </c>
      <c r="C3462" s="20" t="s">
        <v>968</v>
      </c>
      <c r="D3462" s="21"/>
    </row>
    <row r="3463" spans="1:4" ht="12.75" customHeight="1" x14ac:dyDescent="0.2">
      <c r="A3463" s="21"/>
      <c r="B3463" s="3" t="s">
        <v>2</v>
      </c>
      <c r="C3463" s="20" t="s">
        <v>3</v>
      </c>
      <c r="D3463" s="21"/>
    </row>
    <row r="3464" spans="1:4" ht="12.75" customHeight="1" x14ac:dyDescent="0.2">
      <c r="A3464" s="21"/>
      <c r="B3464" s="3" t="s">
        <v>4</v>
      </c>
      <c r="C3464" s="20" t="s">
        <v>970</v>
      </c>
      <c r="D3464" s="21"/>
    </row>
    <row r="3465" spans="1:4" ht="12.75" customHeight="1" x14ac:dyDescent="0.2">
      <c r="A3465" s="21"/>
      <c r="B3465" s="3" t="s">
        <v>6</v>
      </c>
      <c r="C3465" s="20" t="s">
        <v>206</v>
      </c>
      <c r="D3465" s="21"/>
    </row>
    <row r="3466" spans="1:4" ht="12.75" customHeight="1" x14ac:dyDescent="0.2">
      <c r="A3466" s="21"/>
      <c r="B3466" s="3" t="s">
        <v>8</v>
      </c>
      <c r="C3466" s="20" t="s">
        <v>970</v>
      </c>
      <c r="D3466" s="21"/>
    </row>
    <row r="3467" spans="1:4" ht="12.75" customHeight="1" x14ac:dyDescent="0.2">
      <c r="A3467" s="21"/>
      <c r="B3467" s="3" t="s">
        <v>9</v>
      </c>
      <c r="C3467" s="20" t="s">
        <v>972</v>
      </c>
      <c r="D3467" s="21"/>
    </row>
    <row r="3468" spans="1:4" ht="12.75" customHeight="1" x14ac:dyDescent="0.2">
      <c r="A3468" s="21"/>
      <c r="B3468" s="3" t="s">
        <v>11</v>
      </c>
      <c r="C3468" s="20" t="s">
        <v>973</v>
      </c>
      <c r="D3468" s="21"/>
    </row>
    <row r="3469" spans="1:4" ht="12.75" customHeight="1" x14ac:dyDescent="0.2">
      <c r="A3469" s="21"/>
      <c r="B3469" s="3" t="s">
        <v>13</v>
      </c>
      <c r="C3469" s="20" t="s">
        <v>24</v>
      </c>
      <c r="D3469" s="21"/>
    </row>
    <row r="3470" spans="1:4" ht="12.75" customHeight="1" x14ac:dyDescent="0.2">
      <c r="A3470" s="21"/>
      <c r="B3470" s="3" t="s">
        <v>15</v>
      </c>
      <c r="C3470" s="20" t="s">
        <v>24</v>
      </c>
      <c r="D3470" s="21"/>
    </row>
    <row r="3471" spans="1:4" ht="12.75" customHeight="1" x14ac:dyDescent="0.2">
      <c r="A3471" s="21"/>
      <c r="B3471" s="3" t="s">
        <v>16</v>
      </c>
      <c r="C3471" s="20"/>
      <c r="D3471" s="21"/>
    </row>
    <row r="3472" spans="1:4" ht="12.75" customHeight="1" x14ac:dyDescent="0.2">
      <c r="A3472" s="21"/>
      <c r="B3472" s="3" t="s">
        <v>17</v>
      </c>
      <c r="C3472" s="20"/>
      <c r="D3472" s="21"/>
    </row>
    <row r="3473" spans="1:4" ht="12.75" customHeight="1" x14ac:dyDescent="0.2">
      <c r="A3473" s="21"/>
      <c r="B3473" s="20" t="s">
        <v>18</v>
      </c>
      <c r="C3473" s="4" t="s">
        <v>269</v>
      </c>
      <c r="D3473" s="6" t="str">
        <f>HYPERLINK("javascript:void(0)","pálha")</f>
        <v>pálha</v>
      </c>
    </row>
    <row r="3474" spans="1:4" ht="12.75" customHeight="1" x14ac:dyDescent="0.2">
      <c r="A3474" s="21"/>
      <c r="B3474" s="21"/>
      <c r="C3474" s="4" t="s">
        <v>98</v>
      </c>
      <c r="D3474" s="6" t="str">
        <f>HYPERLINK("javascript:void(0)","monsztabéklyó")</f>
        <v>monsztabéklyó</v>
      </c>
    </row>
    <row r="3475" spans="1:4" ht="12.75" customHeight="1" x14ac:dyDescent="0.2">
      <c r="A3475" s="21"/>
      <c r="B3475" s="21"/>
      <c r="C3475" s="4" t="s">
        <v>44</v>
      </c>
      <c r="D3475" s="6" t="str">
        <f>HYPERLINK("javascript:void(0)","rubin tűdobó")</f>
        <v>rubin tűdobó</v>
      </c>
    </row>
    <row r="3476" spans="1:4" ht="12.75" customHeight="1" x14ac:dyDescent="0.2">
      <c r="A3476" s="5"/>
      <c r="B3476" s="2"/>
      <c r="C3476" s="2"/>
      <c r="D3476" s="2"/>
    </row>
    <row r="3477" spans="1:4" ht="12.75" customHeight="1" x14ac:dyDescent="0.2">
      <c r="A3477" s="22" t="str">
        <f>HYPERLINK("javascript:void(0)","mengorni tűdobó")</f>
        <v>mengorni tűdobó</v>
      </c>
      <c r="B3477" s="21"/>
      <c r="C3477" s="21"/>
      <c r="D3477" s="21"/>
    </row>
    <row r="3478" spans="1:4" ht="12.75" customHeight="1" x14ac:dyDescent="0.2">
      <c r="A3478" s="20"/>
      <c r="B3478" s="2"/>
      <c r="C3478" s="2"/>
      <c r="D3478" s="2"/>
    </row>
    <row r="3479" spans="1:4" ht="12.75" customHeight="1" x14ac:dyDescent="0.2">
      <c r="A3479" s="21"/>
      <c r="B3479" s="3" t="s">
        <v>0</v>
      </c>
      <c r="C3479" s="20" t="s">
        <v>968</v>
      </c>
      <c r="D3479" s="21"/>
    </row>
    <row r="3480" spans="1:4" ht="12.75" customHeight="1" x14ac:dyDescent="0.2">
      <c r="A3480" s="21"/>
      <c r="B3480" s="3" t="s">
        <v>2</v>
      </c>
      <c r="C3480" s="20" t="s">
        <v>3</v>
      </c>
      <c r="D3480" s="21"/>
    </row>
    <row r="3481" spans="1:4" ht="12.75" customHeight="1" x14ac:dyDescent="0.2">
      <c r="A3481" s="21"/>
      <c r="B3481" s="3" t="s">
        <v>4</v>
      </c>
      <c r="C3481" s="20" t="s">
        <v>975</v>
      </c>
      <c r="D3481" s="21"/>
    </row>
    <row r="3482" spans="1:4" ht="12.75" customHeight="1" x14ac:dyDescent="0.2">
      <c r="A3482" s="21"/>
      <c r="B3482" s="3" t="s">
        <v>6</v>
      </c>
      <c r="C3482" s="20" t="s">
        <v>613</v>
      </c>
      <c r="D3482" s="21"/>
    </row>
    <row r="3483" spans="1:4" ht="12.75" customHeight="1" x14ac:dyDescent="0.2">
      <c r="A3483" s="21"/>
      <c r="B3483" s="3" t="s">
        <v>8</v>
      </c>
      <c r="C3483" s="20" t="s">
        <v>975</v>
      </c>
      <c r="D3483" s="21"/>
    </row>
    <row r="3484" spans="1:4" ht="12.75" customHeight="1" x14ac:dyDescent="0.2">
      <c r="A3484" s="21"/>
      <c r="B3484" s="3" t="s">
        <v>9</v>
      </c>
      <c r="C3484" s="20" t="s">
        <v>958</v>
      </c>
      <c r="D3484" s="21"/>
    </row>
    <row r="3485" spans="1:4" ht="12.75" customHeight="1" x14ac:dyDescent="0.2">
      <c r="A3485" s="21"/>
      <c r="B3485" s="3" t="s">
        <v>11</v>
      </c>
      <c r="C3485" s="20" t="s">
        <v>827</v>
      </c>
      <c r="D3485" s="21"/>
    </row>
    <row r="3486" spans="1:4" ht="12.75" customHeight="1" x14ac:dyDescent="0.2">
      <c r="A3486" s="21"/>
      <c r="B3486" s="3" t="s">
        <v>13</v>
      </c>
      <c r="C3486" s="20" t="s">
        <v>24</v>
      </c>
      <c r="D3486" s="21"/>
    </row>
    <row r="3487" spans="1:4" ht="12.75" customHeight="1" x14ac:dyDescent="0.2">
      <c r="A3487" s="21"/>
      <c r="B3487" s="3" t="s">
        <v>15</v>
      </c>
      <c r="C3487" s="20" t="s">
        <v>24</v>
      </c>
      <c r="D3487" s="21"/>
    </row>
    <row r="3488" spans="1:4" ht="12.75" customHeight="1" x14ac:dyDescent="0.2">
      <c r="A3488" s="21"/>
      <c r="B3488" s="3" t="s">
        <v>16</v>
      </c>
      <c r="C3488" s="20"/>
      <c r="D3488" s="21"/>
    </row>
    <row r="3489" spans="1:4" ht="12.75" customHeight="1" x14ac:dyDescent="0.2">
      <c r="A3489" s="21"/>
      <c r="B3489" s="3" t="s">
        <v>17</v>
      </c>
      <c r="C3489" s="20"/>
      <c r="D3489" s="21"/>
    </row>
    <row r="3490" spans="1:4" ht="12.75" customHeight="1" x14ac:dyDescent="0.2">
      <c r="A3490" s="21"/>
      <c r="B3490" s="20" t="s">
        <v>18</v>
      </c>
      <c r="C3490" s="4" t="s">
        <v>193</v>
      </c>
      <c r="D3490" s="6" t="str">
        <f>HYPERLINK("javascript:void(0)","dobverő")</f>
        <v>dobverő</v>
      </c>
    </row>
    <row r="3491" spans="1:4" ht="12.75" customHeight="1" x14ac:dyDescent="0.2">
      <c r="A3491" s="21"/>
      <c r="B3491" s="21"/>
      <c r="C3491" s="4" t="s">
        <v>44</v>
      </c>
      <c r="D3491" s="6" t="str">
        <f>HYPERLINK("javascript:void(0)","mengorni kéziágyú")</f>
        <v>mengorni kéziágyú</v>
      </c>
    </row>
    <row r="3492" spans="1:4" ht="12.75" customHeight="1" x14ac:dyDescent="0.2">
      <c r="A3492" s="21"/>
      <c r="B3492" s="21"/>
      <c r="C3492" s="4" t="s">
        <v>894</v>
      </c>
      <c r="D3492" s="6" t="str">
        <f>HYPERLINK("javascript:void(0)","tarsus")</f>
        <v>tarsus</v>
      </c>
    </row>
    <row r="3493" spans="1:4" ht="12.75" customHeight="1" x14ac:dyDescent="0.2">
      <c r="A3493" s="5"/>
      <c r="B3493" s="2"/>
      <c r="C3493" s="2"/>
      <c r="D3493" s="2"/>
    </row>
    <row r="3494" spans="1:4" ht="12.75" customHeight="1" x14ac:dyDescent="0.2">
      <c r="A3494" s="22" t="str">
        <f>HYPERLINK("javascript:void(0)","opál tűvető")</f>
        <v>opál tűvető</v>
      </c>
      <c r="B3494" s="21"/>
      <c r="C3494" s="21"/>
      <c r="D3494" s="21"/>
    </row>
    <row r="3495" spans="1:4" ht="12.75" customHeight="1" x14ac:dyDescent="0.2">
      <c r="A3495" s="20"/>
      <c r="B3495" s="2"/>
      <c r="C3495" s="2"/>
      <c r="D3495" s="2"/>
    </row>
    <row r="3496" spans="1:4" ht="12.75" customHeight="1" x14ac:dyDescent="0.2">
      <c r="A3496" s="21"/>
      <c r="B3496" s="3" t="s">
        <v>0</v>
      </c>
      <c r="C3496" s="20" t="s">
        <v>978</v>
      </c>
      <c r="D3496" s="21"/>
    </row>
    <row r="3497" spans="1:4" ht="12.75" customHeight="1" x14ac:dyDescent="0.2">
      <c r="A3497" s="21"/>
      <c r="B3497" s="3" t="s">
        <v>2</v>
      </c>
      <c r="C3497" s="20" t="s">
        <v>3</v>
      </c>
      <c r="D3497" s="21"/>
    </row>
    <row r="3498" spans="1:4" ht="12.75" customHeight="1" x14ac:dyDescent="0.2">
      <c r="A3498" s="21"/>
      <c r="B3498" s="3" t="s">
        <v>4</v>
      </c>
      <c r="C3498" s="20" t="s">
        <v>979</v>
      </c>
      <c r="D3498" s="21"/>
    </row>
    <row r="3499" spans="1:4" ht="12.75" customHeight="1" x14ac:dyDescent="0.2">
      <c r="A3499" s="21"/>
      <c r="B3499" s="3" t="s">
        <v>6</v>
      </c>
      <c r="C3499" s="20" t="s">
        <v>206</v>
      </c>
      <c r="D3499" s="21"/>
    </row>
    <row r="3500" spans="1:4" ht="12.75" customHeight="1" x14ac:dyDescent="0.2">
      <c r="A3500" s="21"/>
      <c r="B3500" s="3" t="s">
        <v>8</v>
      </c>
      <c r="C3500" s="20" t="s">
        <v>979</v>
      </c>
      <c r="D3500" s="21"/>
    </row>
    <row r="3501" spans="1:4" ht="12.75" customHeight="1" x14ac:dyDescent="0.2">
      <c r="A3501" s="21"/>
      <c r="B3501" s="3" t="s">
        <v>9</v>
      </c>
      <c r="C3501" s="20" t="s">
        <v>877</v>
      </c>
      <c r="D3501" s="21"/>
    </row>
    <row r="3502" spans="1:4" ht="12.75" customHeight="1" x14ac:dyDescent="0.2">
      <c r="A3502" s="21"/>
      <c r="B3502" s="3" t="s">
        <v>11</v>
      </c>
      <c r="C3502" s="20" t="s">
        <v>980</v>
      </c>
      <c r="D3502" s="21"/>
    </row>
    <row r="3503" spans="1:4" ht="12.75" customHeight="1" x14ac:dyDescent="0.2">
      <c r="A3503" s="21"/>
      <c r="B3503" s="3" t="s">
        <v>13</v>
      </c>
      <c r="C3503" s="20" t="s">
        <v>24</v>
      </c>
      <c r="D3503" s="21"/>
    </row>
    <row r="3504" spans="1:4" ht="12.75" customHeight="1" x14ac:dyDescent="0.2">
      <c r="A3504" s="21"/>
      <c r="B3504" s="3" t="s">
        <v>15</v>
      </c>
      <c r="C3504" s="20" t="s">
        <v>24</v>
      </c>
      <c r="D3504" s="21"/>
    </row>
    <row r="3505" spans="1:4" ht="12.75" customHeight="1" x14ac:dyDescent="0.2">
      <c r="A3505" s="21"/>
      <c r="B3505" s="3" t="s">
        <v>16</v>
      </c>
      <c r="C3505" s="20"/>
      <c r="D3505" s="21"/>
    </row>
    <row r="3506" spans="1:4" ht="12.75" customHeight="1" x14ac:dyDescent="0.2">
      <c r="A3506" s="21"/>
      <c r="B3506" s="3" t="s">
        <v>17</v>
      </c>
      <c r="C3506" s="20"/>
      <c r="D3506" s="21"/>
    </row>
    <row r="3507" spans="1:4" ht="12.75" customHeight="1" x14ac:dyDescent="0.2">
      <c r="A3507" s="21"/>
      <c r="B3507" s="20" t="s">
        <v>18</v>
      </c>
      <c r="C3507" s="4" t="s">
        <v>44</v>
      </c>
      <c r="D3507" s="6" t="str">
        <f>HYPERLINK("javascript:void(0)","opál tűdobó")</f>
        <v>opál tűdobó</v>
      </c>
    </row>
    <row r="3508" spans="1:4" ht="12.75" customHeight="1" x14ac:dyDescent="0.2">
      <c r="A3508" s="21"/>
      <c r="B3508" s="21"/>
      <c r="C3508" s="4" t="s">
        <v>98</v>
      </c>
      <c r="D3508" s="6" t="str">
        <f>HYPERLINK("javascript:void(0)","pillepikkely")</f>
        <v>pillepikkely</v>
      </c>
    </row>
    <row r="3509" spans="1:4" ht="12.75" customHeight="1" x14ac:dyDescent="0.2">
      <c r="A3509" s="21"/>
      <c r="B3509" s="21"/>
      <c r="C3509" s="4" t="s">
        <v>296</v>
      </c>
      <c r="D3509" s="6" t="str">
        <f>HYPERLINK("javascript:void(0)","csapdaszeg")</f>
        <v>csapdaszeg</v>
      </c>
    </row>
    <row r="3510" spans="1:4" ht="12.75" customHeight="1" x14ac:dyDescent="0.2">
      <c r="A3510" s="5"/>
      <c r="B3510" s="2"/>
      <c r="C3510" s="2"/>
      <c r="D3510" s="2"/>
    </row>
    <row r="3511" spans="1:4" ht="12.75" customHeight="1" x14ac:dyDescent="0.2">
      <c r="A3511" s="22" t="str">
        <f>HYPERLINK("javascript:void(0)","skivei tűdobó")</f>
        <v>skivei tűdobó</v>
      </c>
      <c r="B3511" s="21"/>
      <c r="C3511" s="21"/>
      <c r="D3511" s="21"/>
    </row>
    <row r="3512" spans="1:4" ht="12.75" customHeight="1" x14ac:dyDescent="0.2">
      <c r="A3512" s="20"/>
      <c r="B3512" s="2"/>
      <c r="C3512" s="2"/>
      <c r="D3512" s="2"/>
    </row>
    <row r="3513" spans="1:4" ht="12.75" customHeight="1" x14ac:dyDescent="0.2">
      <c r="A3513" s="21"/>
      <c r="B3513" s="3" t="s">
        <v>0</v>
      </c>
      <c r="C3513" s="20" t="s">
        <v>978</v>
      </c>
      <c r="D3513" s="21"/>
    </row>
    <row r="3514" spans="1:4" ht="12.75" customHeight="1" x14ac:dyDescent="0.2">
      <c r="A3514" s="21"/>
      <c r="B3514" s="3" t="s">
        <v>2</v>
      </c>
      <c r="C3514" s="20" t="s">
        <v>3</v>
      </c>
      <c r="D3514" s="21"/>
    </row>
    <row r="3515" spans="1:4" ht="12.75" customHeight="1" x14ac:dyDescent="0.2">
      <c r="A3515" s="21"/>
      <c r="B3515" s="3" t="s">
        <v>4</v>
      </c>
      <c r="C3515" s="20" t="s">
        <v>984</v>
      </c>
      <c r="D3515" s="21"/>
    </row>
    <row r="3516" spans="1:4" ht="12.75" customHeight="1" x14ac:dyDescent="0.2">
      <c r="A3516" s="21"/>
      <c r="B3516" s="3" t="s">
        <v>6</v>
      </c>
      <c r="C3516" s="20" t="s">
        <v>532</v>
      </c>
      <c r="D3516" s="21"/>
    </row>
    <row r="3517" spans="1:4" ht="12.75" customHeight="1" x14ac:dyDescent="0.2">
      <c r="A3517" s="21"/>
      <c r="B3517" s="3" t="s">
        <v>8</v>
      </c>
      <c r="C3517" s="20" t="s">
        <v>984</v>
      </c>
      <c r="D3517" s="21"/>
    </row>
    <row r="3518" spans="1:4" ht="12.75" customHeight="1" x14ac:dyDescent="0.2">
      <c r="A3518" s="21"/>
      <c r="B3518" s="3" t="s">
        <v>9</v>
      </c>
      <c r="C3518" s="20" t="s">
        <v>985</v>
      </c>
      <c r="D3518" s="21"/>
    </row>
    <row r="3519" spans="1:4" ht="12.75" customHeight="1" x14ac:dyDescent="0.2">
      <c r="A3519" s="21"/>
      <c r="B3519" s="3" t="s">
        <v>11</v>
      </c>
      <c r="C3519" s="20" t="s">
        <v>835</v>
      </c>
      <c r="D3519" s="21"/>
    </row>
    <row r="3520" spans="1:4" ht="12.75" customHeight="1" x14ac:dyDescent="0.2">
      <c r="A3520" s="21"/>
      <c r="B3520" s="3" t="s">
        <v>13</v>
      </c>
      <c r="C3520" s="20" t="s">
        <v>24</v>
      </c>
      <c r="D3520" s="21"/>
    </row>
    <row r="3521" spans="1:4" ht="12.75" customHeight="1" x14ac:dyDescent="0.2">
      <c r="A3521" s="21"/>
      <c r="B3521" s="3" t="s">
        <v>15</v>
      </c>
      <c r="C3521" s="20" t="s">
        <v>24</v>
      </c>
      <c r="D3521" s="21"/>
    </row>
    <row r="3522" spans="1:4" ht="12.75" customHeight="1" x14ac:dyDescent="0.2">
      <c r="A3522" s="21"/>
      <c r="B3522" s="3" t="s">
        <v>16</v>
      </c>
      <c r="C3522" s="20"/>
      <c r="D3522" s="21"/>
    </row>
    <row r="3523" spans="1:4" ht="12.75" customHeight="1" x14ac:dyDescent="0.2">
      <c r="A3523" s="21"/>
      <c r="B3523" s="3" t="s">
        <v>17</v>
      </c>
      <c r="C3523" s="20"/>
      <c r="D3523" s="21"/>
    </row>
    <row r="3524" spans="1:4" ht="12.75" customHeight="1" x14ac:dyDescent="0.2">
      <c r="A3524" s="21"/>
      <c r="B3524" s="20" t="s">
        <v>18</v>
      </c>
      <c r="C3524" s="4" t="s">
        <v>44</v>
      </c>
      <c r="D3524" s="6" t="str">
        <f>HYPERLINK("javascript:void(0)","skivei kéziágyú")</f>
        <v>skivei kéziágyú</v>
      </c>
    </row>
    <row r="3525" spans="1:4" ht="12.75" customHeight="1" x14ac:dyDescent="0.2">
      <c r="A3525" s="21"/>
      <c r="B3525" s="21"/>
      <c r="C3525" s="4" t="s">
        <v>988</v>
      </c>
      <c r="D3525" s="6" t="str">
        <f>HYPERLINK("javascript:void(0)","pillepikkely")</f>
        <v>pillepikkely</v>
      </c>
    </row>
    <row r="3526" spans="1:4" ht="12.75" customHeight="1" x14ac:dyDescent="0.2">
      <c r="A3526" s="21"/>
      <c r="B3526" s="21"/>
      <c r="C3526" s="4" t="s">
        <v>240</v>
      </c>
      <c r="D3526" s="6" t="str">
        <f>HYPERLINK("javascript:void(0)","merkantid")</f>
        <v>merkantid</v>
      </c>
    </row>
    <row r="3527" spans="1:4" ht="12.75" customHeight="1" x14ac:dyDescent="0.2">
      <c r="A3527" s="5"/>
      <c r="B3527" s="2"/>
      <c r="C3527" s="2"/>
      <c r="D3527" s="2"/>
    </row>
    <row r="3528" spans="1:4" ht="12.75" customHeight="1" x14ac:dyDescent="0.2">
      <c r="A3528" s="22" t="str">
        <f>HYPERLINK("javascript:void(0)","jáspis tűvető")</f>
        <v>jáspis tűvető</v>
      </c>
      <c r="B3528" s="21"/>
      <c r="C3528" s="21"/>
      <c r="D3528" s="21"/>
    </row>
    <row r="3529" spans="1:4" ht="12.75" customHeight="1" x14ac:dyDescent="0.2">
      <c r="A3529" s="20"/>
      <c r="B3529" s="2"/>
      <c r="C3529" s="2"/>
      <c r="D3529" s="2"/>
    </row>
    <row r="3530" spans="1:4" ht="12.75" customHeight="1" x14ac:dyDescent="0.2">
      <c r="A3530" s="21"/>
      <c r="B3530" s="3" t="s">
        <v>0</v>
      </c>
      <c r="C3530" s="20" t="s">
        <v>87</v>
      </c>
      <c r="D3530" s="21"/>
    </row>
    <row r="3531" spans="1:4" ht="12.75" customHeight="1" x14ac:dyDescent="0.2">
      <c r="A3531" s="21"/>
      <c r="B3531" s="3" t="s">
        <v>2</v>
      </c>
      <c r="C3531" s="20" t="s">
        <v>3</v>
      </c>
      <c r="D3531" s="21"/>
    </row>
    <row r="3532" spans="1:4" ht="12.75" customHeight="1" x14ac:dyDescent="0.2">
      <c r="A3532" s="21"/>
      <c r="B3532" s="3" t="s">
        <v>4</v>
      </c>
      <c r="C3532" s="20" t="s">
        <v>992</v>
      </c>
      <c r="D3532" s="21"/>
    </row>
    <row r="3533" spans="1:4" ht="12.75" customHeight="1" x14ac:dyDescent="0.2">
      <c r="A3533" s="21"/>
      <c r="B3533" s="3" t="s">
        <v>6</v>
      </c>
      <c r="C3533" s="20" t="s">
        <v>284</v>
      </c>
      <c r="D3533" s="21"/>
    </row>
    <row r="3534" spans="1:4" ht="12.75" customHeight="1" x14ac:dyDescent="0.2">
      <c r="A3534" s="21"/>
      <c r="B3534" s="3" t="s">
        <v>8</v>
      </c>
      <c r="C3534" s="20" t="s">
        <v>992</v>
      </c>
      <c r="D3534" s="21"/>
    </row>
    <row r="3535" spans="1:4" ht="12.75" customHeight="1" x14ac:dyDescent="0.2">
      <c r="A3535" s="21"/>
      <c r="B3535" s="3" t="s">
        <v>9</v>
      </c>
      <c r="C3535" s="20" t="s">
        <v>799</v>
      </c>
      <c r="D3535" s="21"/>
    </row>
    <row r="3536" spans="1:4" ht="12.75" customHeight="1" x14ac:dyDescent="0.2">
      <c r="A3536" s="21"/>
      <c r="B3536" s="3" t="s">
        <v>11</v>
      </c>
      <c r="C3536" s="20" t="s">
        <v>993</v>
      </c>
      <c r="D3536" s="21"/>
    </row>
    <row r="3537" spans="1:4" ht="12.75" customHeight="1" x14ac:dyDescent="0.2">
      <c r="A3537" s="21"/>
      <c r="B3537" s="3" t="s">
        <v>13</v>
      </c>
      <c r="C3537" s="20" t="s">
        <v>24</v>
      </c>
      <c r="D3537" s="21"/>
    </row>
    <row r="3538" spans="1:4" ht="12.75" customHeight="1" x14ac:dyDescent="0.2">
      <c r="A3538" s="21"/>
      <c r="B3538" s="3" t="s">
        <v>15</v>
      </c>
      <c r="C3538" s="20" t="s">
        <v>24</v>
      </c>
      <c r="D3538" s="21"/>
    </row>
    <row r="3539" spans="1:4" ht="12.75" customHeight="1" x14ac:dyDescent="0.2">
      <c r="A3539" s="21"/>
      <c r="B3539" s="3" t="s">
        <v>16</v>
      </c>
      <c r="C3539" s="20"/>
      <c r="D3539" s="21"/>
    </row>
    <row r="3540" spans="1:4" ht="12.75" customHeight="1" x14ac:dyDescent="0.2">
      <c r="A3540" s="21"/>
      <c r="B3540" s="3" t="s">
        <v>17</v>
      </c>
      <c r="C3540" s="20"/>
      <c r="D3540" s="21"/>
    </row>
    <row r="3541" spans="1:4" ht="12.75" customHeight="1" x14ac:dyDescent="0.2">
      <c r="A3541" s="21"/>
      <c r="B3541" s="20" t="s">
        <v>18</v>
      </c>
      <c r="C3541" s="4" t="s">
        <v>244</v>
      </c>
      <c r="D3541" s="6" t="str">
        <f>HYPERLINK("javascript:void(0)","hálószem")</f>
        <v>hálószem</v>
      </c>
    </row>
    <row r="3542" spans="1:4" ht="12.75" customHeight="1" x14ac:dyDescent="0.2">
      <c r="A3542" s="21"/>
      <c r="B3542" s="21"/>
      <c r="C3542" s="4" t="s">
        <v>132</v>
      </c>
      <c r="D3542" s="6" t="str">
        <f>HYPERLINK("javascript:void(0)","hídpenge")</f>
        <v>hídpenge</v>
      </c>
    </row>
    <row r="3543" spans="1:4" ht="12.75" customHeight="1" x14ac:dyDescent="0.2">
      <c r="A3543" s="21"/>
      <c r="B3543" s="21"/>
      <c r="C3543" s="4" t="s">
        <v>44</v>
      </c>
      <c r="D3543" s="6" t="str">
        <f>HYPERLINK("javascript:void(0)","jáspis tűdobó")</f>
        <v>jáspis tűdobó</v>
      </c>
    </row>
    <row r="3544" spans="1:4" ht="12.75" customHeight="1" x14ac:dyDescent="0.2">
      <c r="A3544" s="5"/>
      <c r="B3544" s="2"/>
      <c r="C3544" s="2"/>
      <c r="D3544" s="2"/>
    </row>
    <row r="3545" spans="1:4" ht="12.75" customHeight="1" x14ac:dyDescent="0.2">
      <c r="A3545" s="22" t="str">
        <f>HYPERLINK("javascript:void(0)","parsz tűdobó")</f>
        <v>parsz tűdobó</v>
      </c>
      <c r="B3545" s="21"/>
      <c r="C3545" s="21"/>
      <c r="D3545" s="21"/>
    </row>
    <row r="3546" spans="1:4" ht="12.75" customHeight="1" x14ac:dyDescent="0.2">
      <c r="A3546" s="20"/>
      <c r="B3546" s="2"/>
      <c r="C3546" s="2"/>
      <c r="D3546" s="2"/>
    </row>
    <row r="3547" spans="1:4" ht="12.75" customHeight="1" x14ac:dyDescent="0.2">
      <c r="A3547" s="21"/>
      <c r="B3547" s="3" t="s">
        <v>0</v>
      </c>
      <c r="C3547" s="20" t="s">
        <v>87</v>
      </c>
      <c r="D3547" s="21"/>
    </row>
    <row r="3548" spans="1:4" ht="12.75" customHeight="1" x14ac:dyDescent="0.2">
      <c r="A3548" s="21"/>
      <c r="B3548" s="3" t="s">
        <v>2</v>
      </c>
      <c r="C3548" s="20" t="s">
        <v>3</v>
      </c>
      <c r="D3548" s="21"/>
    </row>
    <row r="3549" spans="1:4" ht="12.75" customHeight="1" x14ac:dyDescent="0.2">
      <c r="A3549" s="21"/>
      <c r="B3549" s="3" t="s">
        <v>4</v>
      </c>
      <c r="C3549" s="20" t="s">
        <v>995</v>
      </c>
      <c r="D3549" s="21"/>
    </row>
    <row r="3550" spans="1:4" ht="12.75" customHeight="1" x14ac:dyDescent="0.2">
      <c r="A3550" s="21"/>
      <c r="B3550" s="3" t="s">
        <v>6</v>
      </c>
      <c r="C3550" s="20" t="s">
        <v>134</v>
      </c>
      <c r="D3550" s="21"/>
    </row>
    <row r="3551" spans="1:4" ht="12.75" customHeight="1" x14ac:dyDescent="0.2">
      <c r="A3551" s="21"/>
      <c r="B3551" s="3" t="s">
        <v>8</v>
      </c>
      <c r="C3551" s="20" t="s">
        <v>995</v>
      </c>
      <c r="D3551" s="21"/>
    </row>
    <row r="3552" spans="1:4" ht="12.75" customHeight="1" x14ac:dyDescent="0.2">
      <c r="A3552" s="21"/>
      <c r="B3552" s="3" t="s">
        <v>9</v>
      </c>
      <c r="C3552" s="20" t="s">
        <v>996</v>
      </c>
      <c r="D3552" s="21"/>
    </row>
    <row r="3553" spans="1:4" ht="12.75" customHeight="1" x14ac:dyDescent="0.2">
      <c r="A3553" s="21"/>
      <c r="B3553" s="3" t="s">
        <v>11</v>
      </c>
      <c r="C3553" s="20" t="s">
        <v>847</v>
      </c>
      <c r="D3553" s="21"/>
    </row>
    <row r="3554" spans="1:4" ht="12.75" customHeight="1" x14ac:dyDescent="0.2">
      <c r="A3554" s="21"/>
      <c r="B3554" s="3" t="s">
        <v>13</v>
      </c>
      <c r="C3554" s="20" t="s">
        <v>24</v>
      </c>
      <c r="D3554" s="21"/>
    </row>
    <row r="3555" spans="1:4" ht="12.75" customHeight="1" x14ac:dyDescent="0.2">
      <c r="A3555" s="21"/>
      <c r="B3555" s="3" t="s">
        <v>15</v>
      </c>
      <c r="C3555" s="20" t="s">
        <v>24</v>
      </c>
      <c r="D3555" s="21"/>
    </row>
    <row r="3556" spans="1:4" ht="12.75" customHeight="1" x14ac:dyDescent="0.2">
      <c r="A3556" s="21"/>
      <c r="B3556" s="3" t="s">
        <v>16</v>
      </c>
      <c r="C3556" s="20"/>
      <c r="D3556" s="21"/>
    </row>
    <row r="3557" spans="1:4" ht="12.75" customHeight="1" x14ac:dyDescent="0.2">
      <c r="A3557" s="21"/>
      <c r="B3557" s="3" t="s">
        <v>17</v>
      </c>
      <c r="C3557" s="20"/>
      <c r="D3557" s="21"/>
    </row>
    <row r="3558" spans="1:4" ht="12.75" customHeight="1" x14ac:dyDescent="0.2">
      <c r="A3558" s="21"/>
      <c r="B3558" s="20" t="s">
        <v>18</v>
      </c>
      <c r="C3558" s="4" t="s">
        <v>269</v>
      </c>
      <c r="D3558" s="6" t="str">
        <f>HYPERLINK("javascript:void(0)","kvarc")</f>
        <v>kvarc</v>
      </c>
    </row>
    <row r="3559" spans="1:4" ht="12.75" customHeight="1" x14ac:dyDescent="0.2">
      <c r="A3559" s="21"/>
      <c r="B3559" s="21"/>
      <c r="C3559" s="4" t="s">
        <v>44</v>
      </c>
      <c r="D3559" s="6" t="str">
        <f>HYPERLINK("javascript:void(0)","parszi kéziágyú")</f>
        <v>parszi kéziágyú</v>
      </c>
    </row>
    <row r="3560" spans="1:4" ht="12.75" customHeight="1" x14ac:dyDescent="0.2">
      <c r="A3560" s="21"/>
      <c r="B3560" s="21"/>
      <c r="C3560" s="4" t="s">
        <v>894</v>
      </c>
      <c r="D3560" s="6" t="str">
        <f>HYPERLINK("javascript:void(0)","légpatkó")</f>
        <v>légpatkó</v>
      </c>
    </row>
    <row r="3561" spans="1:4" ht="12.75" customHeight="1" x14ac:dyDescent="0.2">
      <c r="A3561" s="5"/>
      <c r="B3561" s="2"/>
      <c r="C3561" s="2"/>
      <c r="D3561" s="2"/>
    </row>
    <row r="3562" spans="1:4" ht="12.75" customHeight="1" x14ac:dyDescent="0.2">
      <c r="A3562" s="22" t="str">
        <f>HYPERLINK("javascript:void(0)","arany tűvető")</f>
        <v>arany tűvető</v>
      </c>
      <c r="B3562" s="21"/>
      <c r="C3562" s="21"/>
      <c r="D3562" s="21"/>
    </row>
    <row r="3563" spans="1:4" ht="12.75" customHeight="1" x14ac:dyDescent="0.2">
      <c r="A3563" s="20"/>
      <c r="B3563" s="2"/>
      <c r="C3563" s="2"/>
      <c r="D3563" s="2"/>
    </row>
    <row r="3564" spans="1:4" ht="12.75" customHeight="1" x14ac:dyDescent="0.2">
      <c r="A3564" s="21"/>
      <c r="B3564" s="3" t="s">
        <v>0</v>
      </c>
      <c r="C3564" s="20" t="s">
        <v>999</v>
      </c>
      <c r="D3564" s="21"/>
    </row>
    <row r="3565" spans="1:4" ht="12.75" customHeight="1" x14ac:dyDescent="0.2">
      <c r="A3565" s="21"/>
      <c r="B3565" s="3" t="s">
        <v>2</v>
      </c>
      <c r="C3565" s="20" t="s">
        <v>3</v>
      </c>
      <c r="D3565" s="21"/>
    </row>
    <row r="3566" spans="1:4" ht="12.75" customHeight="1" x14ac:dyDescent="0.2">
      <c r="A3566" s="21"/>
      <c r="B3566" s="3" t="s">
        <v>4</v>
      </c>
      <c r="C3566" s="20" t="s">
        <v>1000</v>
      </c>
      <c r="D3566" s="21"/>
    </row>
    <row r="3567" spans="1:4" ht="12.75" customHeight="1" x14ac:dyDescent="0.2">
      <c r="A3567" s="21"/>
      <c r="B3567" s="3" t="s">
        <v>6</v>
      </c>
      <c r="C3567" s="20" t="s">
        <v>178</v>
      </c>
      <c r="D3567" s="21"/>
    </row>
    <row r="3568" spans="1:4" ht="12.75" customHeight="1" x14ac:dyDescent="0.2">
      <c r="A3568" s="21"/>
      <c r="B3568" s="3" t="s">
        <v>8</v>
      </c>
      <c r="C3568" s="20" t="s">
        <v>1000</v>
      </c>
      <c r="D3568" s="21"/>
    </row>
    <row r="3569" spans="1:4" ht="12.75" customHeight="1" x14ac:dyDescent="0.2">
      <c r="A3569" s="21"/>
      <c r="B3569" s="3" t="s">
        <v>9</v>
      </c>
      <c r="C3569" s="20" t="s">
        <v>1001</v>
      </c>
      <c r="D3569" s="21"/>
    </row>
    <row r="3570" spans="1:4" ht="12.75" customHeight="1" x14ac:dyDescent="0.2">
      <c r="A3570" s="21"/>
      <c r="B3570" s="3" t="s">
        <v>11</v>
      </c>
      <c r="C3570" s="20" t="s">
        <v>1002</v>
      </c>
      <c r="D3570" s="21"/>
    </row>
    <row r="3571" spans="1:4" ht="12.75" customHeight="1" x14ac:dyDescent="0.2">
      <c r="A3571" s="21"/>
      <c r="B3571" s="3" t="s">
        <v>13</v>
      </c>
      <c r="C3571" s="20" t="s">
        <v>24</v>
      </c>
      <c r="D3571" s="21"/>
    </row>
    <row r="3572" spans="1:4" ht="12.75" customHeight="1" x14ac:dyDescent="0.2">
      <c r="A3572" s="21"/>
      <c r="B3572" s="3" t="s">
        <v>15</v>
      </c>
      <c r="C3572" s="20" t="s">
        <v>24</v>
      </c>
      <c r="D3572" s="21"/>
    </row>
    <row r="3573" spans="1:4" ht="12.75" customHeight="1" x14ac:dyDescent="0.2">
      <c r="A3573" s="21"/>
      <c r="B3573" s="3" t="s">
        <v>16</v>
      </c>
      <c r="C3573" s="20"/>
      <c r="D3573" s="21"/>
    </row>
    <row r="3574" spans="1:4" ht="12.75" customHeight="1" x14ac:dyDescent="0.2">
      <c r="A3574" s="21"/>
      <c r="B3574" s="3" t="s">
        <v>17</v>
      </c>
      <c r="C3574" s="20"/>
      <c r="D3574" s="21"/>
    </row>
    <row r="3575" spans="1:4" ht="12.75" customHeight="1" x14ac:dyDescent="0.2">
      <c r="A3575" s="21"/>
      <c r="B3575" s="20" t="s">
        <v>18</v>
      </c>
      <c r="C3575" s="4" t="s">
        <v>44</v>
      </c>
      <c r="D3575" s="6" t="str">
        <f>HYPERLINK("javascript:void(0)","arany tűdobó")</f>
        <v>arany tűdobó</v>
      </c>
    </row>
    <row r="3576" spans="1:4" ht="12.75" customHeight="1" x14ac:dyDescent="0.2">
      <c r="A3576" s="21"/>
      <c r="B3576" s="21"/>
      <c r="C3576" s="4" t="s">
        <v>132</v>
      </c>
      <c r="D3576" s="6" t="str">
        <f>HYPERLINK("javascript:void(0)","képszél")</f>
        <v>képszél</v>
      </c>
    </row>
    <row r="3577" spans="1:4" ht="12.75" customHeight="1" x14ac:dyDescent="0.2">
      <c r="A3577" s="21"/>
      <c r="B3577" s="21"/>
      <c r="C3577" s="4" t="s">
        <v>240</v>
      </c>
      <c r="D3577" s="6" t="str">
        <f>HYPERLINK("javascript:void(0)","rozmáragyar")</f>
        <v>rozmáragyar</v>
      </c>
    </row>
    <row r="3578" spans="1:4" ht="12.75" customHeight="1" x14ac:dyDescent="0.2">
      <c r="A3578" s="5"/>
      <c r="B3578" s="2"/>
      <c r="C3578" s="2"/>
      <c r="D3578" s="2"/>
    </row>
    <row r="3579" spans="1:4" ht="12.75" customHeight="1" x14ac:dyDescent="0.2">
      <c r="A3579" s="22" t="str">
        <f>HYPERLINK("javascript:void(0)","rimföldi tűdobó")</f>
        <v>rimföldi tűdobó</v>
      </c>
      <c r="B3579" s="21"/>
      <c r="C3579" s="21"/>
      <c r="D3579" s="21"/>
    </row>
    <row r="3580" spans="1:4" ht="12.75" customHeight="1" x14ac:dyDescent="0.2">
      <c r="A3580" s="20"/>
      <c r="B3580" s="2"/>
      <c r="C3580" s="2"/>
      <c r="D3580" s="2"/>
    </row>
    <row r="3581" spans="1:4" ht="12.75" customHeight="1" x14ac:dyDescent="0.2">
      <c r="A3581" s="21"/>
      <c r="B3581" s="3" t="s">
        <v>0</v>
      </c>
      <c r="C3581" s="20" t="s">
        <v>999</v>
      </c>
      <c r="D3581" s="21"/>
    </row>
    <row r="3582" spans="1:4" ht="12.75" customHeight="1" x14ac:dyDescent="0.2">
      <c r="A3582" s="21"/>
      <c r="B3582" s="3" t="s">
        <v>2</v>
      </c>
      <c r="C3582" s="20" t="s">
        <v>3</v>
      </c>
      <c r="D3582" s="21"/>
    </row>
    <row r="3583" spans="1:4" ht="12.75" customHeight="1" x14ac:dyDescent="0.2">
      <c r="A3583" s="21"/>
      <c r="B3583" s="3" t="s">
        <v>4</v>
      </c>
      <c r="C3583" s="20" t="s">
        <v>1008</v>
      </c>
      <c r="D3583" s="21"/>
    </row>
    <row r="3584" spans="1:4" ht="12.75" customHeight="1" x14ac:dyDescent="0.2">
      <c r="A3584" s="21"/>
      <c r="B3584" s="3" t="s">
        <v>6</v>
      </c>
      <c r="C3584" s="20" t="s">
        <v>575</v>
      </c>
      <c r="D3584" s="21"/>
    </row>
    <row r="3585" spans="1:4" ht="12.75" customHeight="1" x14ac:dyDescent="0.2">
      <c r="A3585" s="21"/>
      <c r="B3585" s="3" t="s">
        <v>8</v>
      </c>
      <c r="C3585" s="20" t="s">
        <v>1008</v>
      </c>
      <c r="D3585" s="21"/>
    </row>
    <row r="3586" spans="1:4" ht="12.75" customHeight="1" x14ac:dyDescent="0.2">
      <c r="A3586" s="21"/>
      <c r="B3586" s="3" t="s">
        <v>9</v>
      </c>
      <c r="C3586" s="20" t="s">
        <v>1009</v>
      </c>
      <c r="D3586" s="21"/>
    </row>
    <row r="3587" spans="1:4" ht="12.75" customHeight="1" x14ac:dyDescent="0.2">
      <c r="A3587" s="21"/>
      <c r="B3587" s="3" t="s">
        <v>11</v>
      </c>
      <c r="C3587" s="20" t="s">
        <v>856</v>
      </c>
      <c r="D3587" s="21"/>
    </row>
    <row r="3588" spans="1:4" ht="12.75" customHeight="1" x14ac:dyDescent="0.2">
      <c r="A3588" s="21"/>
      <c r="B3588" s="3" t="s">
        <v>13</v>
      </c>
      <c r="C3588" s="20" t="s">
        <v>24</v>
      </c>
      <c r="D3588" s="21"/>
    </row>
    <row r="3589" spans="1:4" ht="12.75" customHeight="1" x14ac:dyDescent="0.2">
      <c r="A3589" s="21"/>
      <c r="B3589" s="3" t="s">
        <v>15</v>
      </c>
      <c r="C3589" s="20" t="s">
        <v>24</v>
      </c>
      <c r="D3589" s="21"/>
    </row>
    <row r="3590" spans="1:4" ht="12.75" customHeight="1" x14ac:dyDescent="0.2">
      <c r="A3590" s="21"/>
      <c r="B3590" s="3" t="s">
        <v>16</v>
      </c>
      <c r="C3590" s="20"/>
      <c r="D3590" s="21"/>
    </row>
    <row r="3591" spans="1:4" ht="12.75" customHeight="1" x14ac:dyDescent="0.2">
      <c r="A3591" s="21"/>
      <c r="B3591" s="3" t="s">
        <v>17</v>
      </c>
      <c r="C3591" s="20"/>
      <c r="D3591" s="21"/>
    </row>
    <row r="3592" spans="1:4" ht="12.75" customHeight="1" x14ac:dyDescent="0.2">
      <c r="A3592" s="21"/>
      <c r="B3592" s="20" t="s">
        <v>18</v>
      </c>
      <c r="C3592" s="4" t="s">
        <v>44</v>
      </c>
      <c r="D3592" s="6" t="str">
        <f>HYPERLINK("javascript:void(0)","rimföldi kéziágyú")</f>
        <v>rimföldi kéziágyú</v>
      </c>
    </row>
    <row r="3593" spans="1:4" ht="12.75" customHeight="1" x14ac:dyDescent="0.2">
      <c r="A3593" s="21"/>
      <c r="B3593" s="21"/>
      <c r="C3593" s="4" t="s">
        <v>780</v>
      </c>
      <c r="D3593" s="6" t="str">
        <f>HYPERLINK("javascript:void(0)","tuskójelvény")</f>
        <v>tuskójelvény</v>
      </c>
    </row>
    <row r="3594" spans="1:4" ht="12.75" customHeight="1" x14ac:dyDescent="0.2">
      <c r="A3594" s="21"/>
      <c r="B3594" s="21"/>
      <c r="C3594" s="4" t="s">
        <v>265</v>
      </c>
      <c r="D3594" s="6" t="str">
        <f>HYPERLINK("javascript:void(0)","kutyasíp")</f>
        <v>kutyasíp</v>
      </c>
    </row>
    <row r="3595" spans="1:4" ht="12.75" customHeight="1" x14ac:dyDescent="0.2">
      <c r="A3595" s="5"/>
      <c r="B3595" s="2"/>
      <c r="C3595" s="2"/>
      <c r="D3595" s="2"/>
    </row>
    <row r="3596" spans="1:4" ht="12.75" customHeight="1" x14ac:dyDescent="0.2">
      <c r="A3596" s="22" t="str">
        <f>HYPERLINK("javascript:void(0)","gyémánt tűvető")</f>
        <v>gyémánt tűvető</v>
      </c>
      <c r="B3596" s="21"/>
      <c r="C3596" s="21"/>
      <c r="D3596" s="21"/>
    </row>
    <row r="3597" spans="1:4" ht="12.75" customHeight="1" x14ac:dyDescent="0.2">
      <c r="A3597" s="20"/>
      <c r="B3597" s="2"/>
      <c r="C3597" s="2"/>
      <c r="D3597" s="2"/>
    </row>
    <row r="3598" spans="1:4" ht="12.75" customHeight="1" x14ac:dyDescent="0.2">
      <c r="A3598" s="21"/>
      <c r="B3598" s="3" t="s">
        <v>0</v>
      </c>
      <c r="C3598" s="20" t="s">
        <v>1012</v>
      </c>
      <c r="D3598" s="21"/>
    </row>
    <row r="3599" spans="1:4" ht="12.75" customHeight="1" x14ac:dyDescent="0.2">
      <c r="A3599" s="21"/>
      <c r="B3599" s="3" t="s">
        <v>2</v>
      </c>
      <c r="C3599" s="20" t="s">
        <v>3</v>
      </c>
      <c r="D3599" s="21"/>
    </row>
    <row r="3600" spans="1:4" ht="12.75" customHeight="1" x14ac:dyDescent="0.2">
      <c r="A3600" s="21"/>
      <c r="B3600" s="3" t="s">
        <v>4</v>
      </c>
      <c r="C3600" s="20" t="s">
        <v>1013</v>
      </c>
      <c r="D3600" s="21"/>
    </row>
    <row r="3601" spans="1:4" ht="12.75" customHeight="1" x14ac:dyDescent="0.2">
      <c r="A3601" s="21"/>
      <c r="B3601" s="3" t="s">
        <v>6</v>
      </c>
      <c r="C3601" s="20" t="s">
        <v>107</v>
      </c>
      <c r="D3601" s="21"/>
    </row>
    <row r="3602" spans="1:4" ht="12.75" customHeight="1" x14ac:dyDescent="0.2">
      <c r="A3602" s="21"/>
      <c r="B3602" s="3" t="s">
        <v>8</v>
      </c>
      <c r="C3602" s="20" t="s">
        <v>1013</v>
      </c>
      <c r="D3602" s="21"/>
    </row>
    <row r="3603" spans="1:4" ht="12.75" customHeight="1" x14ac:dyDescent="0.2">
      <c r="A3603" s="21"/>
      <c r="B3603" s="3" t="s">
        <v>9</v>
      </c>
      <c r="C3603" s="20" t="s">
        <v>1014</v>
      </c>
      <c r="D3603" s="21"/>
    </row>
    <row r="3604" spans="1:4" ht="12.75" customHeight="1" x14ac:dyDescent="0.2">
      <c r="A3604" s="21"/>
      <c r="B3604" s="3" t="s">
        <v>11</v>
      </c>
      <c r="C3604" s="20" t="s">
        <v>1015</v>
      </c>
      <c r="D3604" s="21"/>
    </row>
    <row r="3605" spans="1:4" ht="12.75" customHeight="1" x14ac:dyDescent="0.2">
      <c r="A3605" s="21"/>
      <c r="B3605" s="3" t="s">
        <v>13</v>
      </c>
      <c r="C3605" s="20" t="s">
        <v>24</v>
      </c>
      <c r="D3605" s="21"/>
    </row>
    <row r="3606" spans="1:4" ht="12.75" customHeight="1" x14ac:dyDescent="0.2">
      <c r="A3606" s="21"/>
      <c r="B3606" s="3" t="s">
        <v>15</v>
      </c>
      <c r="C3606" s="20" t="s">
        <v>24</v>
      </c>
      <c r="D3606" s="21"/>
    </row>
    <row r="3607" spans="1:4" ht="12.75" customHeight="1" x14ac:dyDescent="0.2">
      <c r="A3607" s="21"/>
      <c r="B3607" s="3" t="s">
        <v>16</v>
      </c>
      <c r="C3607" s="20"/>
      <c r="D3607" s="21"/>
    </row>
    <row r="3608" spans="1:4" ht="12.75" customHeight="1" x14ac:dyDescent="0.2">
      <c r="A3608" s="21"/>
      <c r="B3608" s="3" t="s">
        <v>17</v>
      </c>
      <c r="C3608" s="20"/>
      <c r="D3608" s="21"/>
    </row>
    <row r="3609" spans="1:4" ht="12.75" customHeight="1" x14ac:dyDescent="0.2">
      <c r="A3609" s="21"/>
      <c r="B3609" s="20" t="s">
        <v>18</v>
      </c>
      <c r="C3609" s="4" t="s">
        <v>772</v>
      </c>
      <c r="D3609" s="6" t="str">
        <f>HYPERLINK("javascript:void(0)","pillepikkely")</f>
        <v>pillepikkely</v>
      </c>
    </row>
    <row r="3610" spans="1:4" ht="12.75" customHeight="1" x14ac:dyDescent="0.2">
      <c r="A3610" s="21"/>
      <c r="B3610" s="21"/>
      <c r="C3610" s="4" t="s">
        <v>117</v>
      </c>
      <c r="D3610" s="6" t="str">
        <f>HYPERLINK("javascript:void(0)","glóriahasító")</f>
        <v>glóriahasító</v>
      </c>
    </row>
    <row r="3611" spans="1:4" ht="12.75" customHeight="1" x14ac:dyDescent="0.2">
      <c r="A3611" s="21"/>
      <c r="B3611" s="21"/>
      <c r="C3611" s="4" t="s">
        <v>44</v>
      </c>
      <c r="D3611" s="6" t="str">
        <f>HYPERLINK("javascript:void(0)","gyémánt tűdobó")</f>
        <v>gyémánt tűdobó</v>
      </c>
    </row>
    <row r="3612" spans="1:4" ht="12.75" customHeight="1" x14ac:dyDescent="0.2">
      <c r="A3612" s="5"/>
      <c r="B3612" s="2"/>
      <c r="C3612" s="2"/>
      <c r="D3612" s="2"/>
    </row>
    <row r="3613" spans="1:4" ht="12.75" customHeight="1" x14ac:dyDescent="0.2">
      <c r="A3613" s="22" t="str">
        <f>HYPERLINK("javascript:void(0)","kriptonacél pattantyú")</f>
        <v>kriptonacél pattantyú</v>
      </c>
      <c r="B3613" s="21"/>
      <c r="C3613" s="21"/>
      <c r="D3613" s="21"/>
    </row>
    <row r="3614" spans="1:4" ht="12.75" customHeight="1" x14ac:dyDescent="0.2">
      <c r="A3614" s="20"/>
      <c r="B3614" s="2"/>
      <c r="C3614" s="2"/>
      <c r="D3614" s="2"/>
    </row>
    <row r="3615" spans="1:4" ht="12.75" customHeight="1" x14ac:dyDescent="0.2">
      <c r="A3615" s="21"/>
      <c r="B3615" s="3" t="s">
        <v>0</v>
      </c>
      <c r="C3615" s="20" t="s">
        <v>1012</v>
      </c>
      <c r="D3615" s="21"/>
    </row>
    <row r="3616" spans="1:4" ht="12.75" customHeight="1" x14ac:dyDescent="0.2">
      <c r="A3616" s="21"/>
      <c r="B3616" s="3" t="s">
        <v>2</v>
      </c>
      <c r="C3616" s="20" t="s">
        <v>3</v>
      </c>
      <c r="D3616" s="21"/>
    </row>
    <row r="3617" spans="1:4" ht="12.75" customHeight="1" x14ac:dyDescent="0.2">
      <c r="A3617" s="21"/>
      <c r="B3617" s="3" t="s">
        <v>4</v>
      </c>
      <c r="C3617" s="20" t="s">
        <v>1019</v>
      </c>
      <c r="D3617" s="21"/>
    </row>
    <row r="3618" spans="1:4" ht="12.75" customHeight="1" x14ac:dyDescent="0.2">
      <c r="A3618" s="21"/>
      <c r="B3618" s="3" t="s">
        <v>6</v>
      </c>
      <c r="C3618" s="20" t="s">
        <v>65</v>
      </c>
      <c r="D3618" s="21"/>
    </row>
    <row r="3619" spans="1:4" ht="12.75" customHeight="1" x14ac:dyDescent="0.2">
      <c r="A3619" s="21"/>
      <c r="B3619" s="3" t="s">
        <v>8</v>
      </c>
      <c r="C3619" s="20" t="s">
        <v>1019</v>
      </c>
      <c r="D3619" s="21"/>
    </row>
    <row r="3620" spans="1:4" ht="12.75" customHeight="1" x14ac:dyDescent="0.2">
      <c r="A3620" s="21"/>
      <c r="B3620" s="3" t="s">
        <v>9</v>
      </c>
      <c r="C3620" s="20" t="s">
        <v>1020</v>
      </c>
      <c r="D3620" s="21"/>
    </row>
    <row r="3621" spans="1:4" ht="12.75" customHeight="1" x14ac:dyDescent="0.2">
      <c r="A3621" s="21"/>
      <c r="B3621" s="3" t="s">
        <v>11</v>
      </c>
      <c r="C3621" s="20" t="s">
        <v>839</v>
      </c>
      <c r="D3621" s="21"/>
    </row>
    <row r="3622" spans="1:4" ht="12.75" customHeight="1" x14ac:dyDescent="0.2">
      <c r="A3622" s="21"/>
      <c r="B3622" s="3" t="s">
        <v>13</v>
      </c>
      <c r="C3622" s="20" t="s">
        <v>24</v>
      </c>
      <c r="D3622" s="21"/>
    </row>
    <row r="3623" spans="1:4" ht="12.75" customHeight="1" x14ac:dyDescent="0.2">
      <c r="A3623" s="21"/>
      <c r="B3623" s="3" t="s">
        <v>15</v>
      </c>
      <c r="C3623" s="20" t="s">
        <v>24</v>
      </c>
      <c r="D3623" s="21"/>
    </row>
    <row r="3624" spans="1:4" ht="12.75" customHeight="1" x14ac:dyDescent="0.2">
      <c r="A3624" s="21"/>
      <c r="B3624" s="3" t="s">
        <v>16</v>
      </c>
      <c r="C3624" s="20"/>
      <c r="D3624" s="21"/>
    </row>
    <row r="3625" spans="1:4" ht="12.75" customHeight="1" x14ac:dyDescent="0.2">
      <c r="A3625" s="21"/>
      <c r="B3625" s="3" t="s">
        <v>17</v>
      </c>
      <c r="C3625" s="20"/>
      <c r="D3625" s="21"/>
    </row>
    <row r="3626" spans="1:4" ht="12.75" customHeight="1" x14ac:dyDescent="0.2">
      <c r="A3626" s="21"/>
      <c r="B3626" s="20" t="s">
        <v>18</v>
      </c>
      <c r="C3626" s="4" t="s">
        <v>44</v>
      </c>
      <c r="D3626" s="6" t="str">
        <f>HYPERLINK("javascript:void(0)","kriptonacél tűvető")</f>
        <v>kriptonacél tűvető</v>
      </c>
    </row>
    <row r="3627" spans="1:4" ht="12.75" customHeight="1" x14ac:dyDescent="0.2">
      <c r="A3627" s="21"/>
      <c r="B3627" s="21"/>
      <c r="C3627" s="4" t="s">
        <v>77</v>
      </c>
      <c r="D3627" s="6" t="str">
        <f>HYPERLINK("javascript:void(0)","állásfoglalás")</f>
        <v>állásfoglalás</v>
      </c>
    </row>
    <row r="3628" spans="1:4" ht="12.75" customHeight="1" x14ac:dyDescent="0.2">
      <c r="A3628" s="21"/>
      <c r="B3628" s="21"/>
      <c r="C3628" s="4" t="s">
        <v>56</v>
      </c>
      <c r="D3628" s="6" t="str">
        <f>HYPERLINK("javascript:void(0)","kincsgúla")</f>
        <v>kincsgúla</v>
      </c>
    </row>
    <row r="3629" spans="1:4" ht="12.75" customHeight="1" x14ac:dyDescent="0.2">
      <c r="A3629" s="5"/>
      <c r="B3629" s="2"/>
      <c r="C3629" s="2"/>
      <c r="D3629" s="2"/>
    </row>
    <row r="3630" spans="1:4" ht="12.75" customHeight="1" x14ac:dyDescent="0.2">
      <c r="A3630" s="22" t="str">
        <f>HYPERLINK("javascript:void(0)","diszpro tűvető")</f>
        <v>diszpro tűvető</v>
      </c>
      <c r="B3630" s="21"/>
      <c r="C3630" s="21"/>
      <c r="D3630" s="21"/>
    </row>
    <row r="3631" spans="1:4" ht="12.75" customHeight="1" x14ac:dyDescent="0.2">
      <c r="A3631" s="20"/>
      <c r="B3631" s="2"/>
      <c r="C3631" s="2"/>
      <c r="D3631" s="2"/>
    </row>
    <row r="3632" spans="1:4" ht="12.75" customHeight="1" x14ac:dyDescent="0.2">
      <c r="A3632" s="21"/>
      <c r="B3632" s="3" t="s">
        <v>0</v>
      </c>
      <c r="C3632" s="20" t="s">
        <v>91</v>
      </c>
      <c r="D3632" s="21"/>
    </row>
    <row r="3633" spans="1:4" ht="12.75" customHeight="1" x14ac:dyDescent="0.2">
      <c r="A3633" s="21"/>
      <c r="B3633" s="3" t="s">
        <v>2</v>
      </c>
      <c r="C3633" s="20" t="s">
        <v>3</v>
      </c>
      <c r="D3633" s="21"/>
    </row>
    <row r="3634" spans="1:4" ht="12.75" customHeight="1" x14ac:dyDescent="0.2">
      <c r="A3634" s="21"/>
      <c r="B3634" s="3" t="s">
        <v>4</v>
      </c>
      <c r="C3634" s="20" t="s">
        <v>1024</v>
      </c>
      <c r="D3634" s="21"/>
    </row>
    <row r="3635" spans="1:4" ht="12.75" customHeight="1" x14ac:dyDescent="0.2">
      <c r="A3635" s="21"/>
      <c r="B3635" s="3" t="s">
        <v>6</v>
      </c>
      <c r="C3635" s="20" t="s">
        <v>353</v>
      </c>
      <c r="D3635" s="21"/>
    </row>
    <row r="3636" spans="1:4" ht="12.75" customHeight="1" x14ac:dyDescent="0.2">
      <c r="A3636" s="21"/>
      <c r="B3636" s="3" t="s">
        <v>8</v>
      </c>
      <c r="C3636" s="20" t="s">
        <v>1024</v>
      </c>
      <c r="D3636" s="21"/>
    </row>
    <row r="3637" spans="1:4" ht="12.75" customHeight="1" x14ac:dyDescent="0.2">
      <c r="A3637" s="21"/>
      <c r="B3637" s="3" t="s">
        <v>9</v>
      </c>
      <c r="C3637" s="20" t="s">
        <v>1025</v>
      </c>
      <c r="D3637" s="21"/>
    </row>
    <row r="3638" spans="1:4" ht="12.75" customHeight="1" x14ac:dyDescent="0.2">
      <c r="A3638" s="21"/>
      <c r="B3638" s="3" t="s">
        <v>11</v>
      </c>
      <c r="C3638" s="20" t="s">
        <v>1026</v>
      </c>
      <c r="D3638" s="21"/>
    </row>
    <row r="3639" spans="1:4" ht="12.75" customHeight="1" x14ac:dyDescent="0.2">
      <c r="A3639" s="21"/>
      <c r="B3639" s="3" t="s">
        <v>13</v>
      </c>
      <c r="C3639" s="20" t="s">
        <v>24</v>
      </c>
      <c r="D3639" s="21"/>
    </row>
    <row r="3640" spans="1:4" ht="12.75" customHeight="1" x14ac:dyDescent="0.2">
      <c r="A3640" s="21"/>
      <c r="B3640" s="3" t="s">
        <v>15</v>
      </c>
      <c r="C3640" s="20" t="s">
        <v>24</v>
      </c>
      <c r="D3640" s="21"/>
    </row>
    <row r="3641" spans="1:4" ht="12.75" customHeight="1" x14ac:dyDescent="0.2">
      <c r="A3641" s="21"/>
      <c r="B3641" s="3" t="s">
        <v>16</v>
      </c>
      <c r="C3641" s="20"/>
      <c r="D3641" s="21"/>
    </row>
    <row r="3642" spans="1:4" ht="12.75" customHeight="1" x14ac:dyDescent="0.2">
      <c r="A3642" s="21"/>
      <c r="B3642" s="3" t="s">
        <v>17</v>
      </c>
      <c r="C3642" s="20"/>
      <c r="D3642" s="21"/>
    </row>
    <row r="3643" spans="1:4" ht="12.75" customHeight="1" x14ac:dyDescent="0.2">
      <c r="A3643" s="21"/>
      <c r="B3643" s="20" t="s">
        <v>18</v>
      </c>
      <c r="C3643" s="4" t="s">
        <v>44</v>
      </c>
      <c r="D3643" s="6" t="str">
        <f>HYPERLINK("javascript:void(0)","diszpro tűdobó")</f>
        <v>diszpro tűdobó</v>
      </c>
    </row>
    <row r="3644" spans="1:4" ht="12.75" customHeight="1" x14ac:dyDescent="0.2">
      <c r="A3644" s="21"/>
      <c r="B3644" s="21"/>
      <c r="C3644" s="4" t="s">
        <v>132</v>
      </c>
      <c r="D3644" s="6" t="str">
        <f>HYPERLINK("javascript:void(0)","gyutacs")</f>
        <v>gyutacs</v>
      </c>
    </row>
    <row r="3645" spans="1:4" ht="12.75" customHeight="1" x14ac:dyDescent="0.2">
      <c r="A3645" s="21"/>
      <c r="B3645" s="21"/>
      <c r="C3645" s="4" t="s">
        <v>98</v>
      </c>
      <c r="D3645" s="6" t="str">
        <f>HYPERLINK("javascript:void(0)","kártyalap")</f>
        <v>kártyalap</v>
      </c>
    </row>
    <row r="3646" spans="1:4" ht="12.75" customHeight="1" x14ac:dyDescent="0.2">
      <c r="A3646" s="5"/>
      <c r="B3646" s="2"/>
      <c r="C3646" s="2"/>
      <c r="D3646" s="2"/>
    </row>
    <row r="3647" spans="1:4" ht="12.75" customHeight="1" x14ac:dyDescent="0.2">
      <c r="A3647" s="22" t="str">
        <f>HYPERLINK("javascript:void(0)","mengorni pattantyú")</f>
        <v>mengorni pattantyú</v>
      </c>
      <c r="B3647" s="21"/>
      <c r="C3647" s="21"/>
      <c r="D3647" s="21"/>
    </row>
    <row r="3648" spans="1:4" ht="12.75" customHeight="1" x14ac:dyDescent="0.2">
      <c r="A3648" s="20"/>
      <c r="B3648" s="2"/>
      <c r="C3648" s="2"/>
      <c r="D3648" s="2"/>
    </row>
    <row r="3649" spans="1:4" ht="12.75" customHeight="1" x14ac:dyDescent="0.2">
      <c r="A3649" s="21"/>
      <c r="B3649" s="3" t="s">
        <v>0</v>
      </c>
      <c r="C3649" s="20" t="s">
        <v>91</v>
      </c>
      <c r="D3649" s="21"/>
    </row>
    <row r="3650" spans="1:4" ht="12.75" customHeight="1" x14ac:dyDescent="0.2">
      <c r="A3650" s="21"/>
      <c r="B3650" s="3" t="s">
        <v>2</v>
      </c>
      <c r="C3650" s="20" t="s">
        <v>3</v>
      </c>
      <c r="D3650" s="21"/>
    </row>
    <row r="3651" spans="1:4" ht="12.75" customHeight="1" x14ac:dyDescent="0.2">
      <c r="A3651" s="21"/>
      <c r="B3651" s="3" t="s">
        <v>4</v>
      </c>
      <c r="C3651" s="20" t="s">
        <v>1027</v>
      </c>
      <c r="D3651" s="21"/>
    </row>
    <row r="3652" spans="1:4" ht="12.75" customHeight="1" x14ac:dyDescent="0.2">
      <c r="A3652" s="21"/>
      <c r="B3652" s="3" t="s">
        <v>6</v>
      </c>
      <c r="C3652" s="20" t="s">
        <v>65</v>
      </c>
      <c r="D3652" s="21"/>
    </row>
    <row r="3653" spans="1:4" ht="12.75" customHeight="1" x14ac:dyDescent="0.2">
      <c r="A3653" s="21"/>
      <c r="B3653" s="3" t="s">
        <v>8</v>
      </c>
      <c r="C3653" s="20" t="s">
        <v>1027</v>
      </c>
      <c r="D3653" s="21"/>
    </row>
    <row r="3654" spans="1:4" ht="12.75" customHeight="1" x14ac:dyDescent="0.2">
      <c r="A3654" s="21"/>
      <c r="B3654" s="3" t="s">
        <v>9</v>
      </c>
      <c r="C3654" s="20" t="s">
        <v>1028</v>
      </c>
      <c r="D3654" s="21"/>
    </row>
    <row r="3655" spans="1:4" ht="12.75" customHeight="1" x14ac:dyDescent="0.2">
      <c r="A3655" s="21"/>
      <c r="B3655" s="3" t="s">
        <v>11</v>
      </c>
      <c r="C3655" s="20" t="s">
        <v>1029</v>
      </c>
      <c r="D3655" s="21"/>
    </row>
    <row r="3656" spans="1:4" ht="12.75" customHeight="1" x14ac:dyDescent="0.2">
      <c r="A3656" s="21"/>
      <c r="B3656" s="3" t="s">
        <v>13</v>
      </c>
      <c r="C3656" s="20" t="s">
        <v>24</v>
      </c>
      <c r="D3656" s="21"/>
    </row>
    <row r="3657" spans="1:4" ht="12.75" customHeight="1" x14ac:dyDescent="0.2">
      <c r="A3657" s="21"/>
      <c r="B3657" s="3" t="s">
        <v>15</v>
      </c>
      <c r="C3657" s="20" t="s">
        <v>24</v>
      </c>
      <c r="D3657" s="21"/>
    </row>
    <row r="3658" spans="1:4" ht="12.75" customHeight="1" x14ac:dyDescent="0.2">
      <c r="A3658" s="21"/>
      <c r="B3658" s="3" t="s">
        <v>16</v>
      </c>
      <c r="C3658" s="20"/>
      <c r="D3658" s="21"/>
    </row>
    <row r="3659" spans="1:4" ht="12.75" customHeight="1" x14ac:dyDescent="0.2">
      <c r="A3659" s="21"/>
      <c r="B3659" s="3" t="s">
        <v>17</v>
      </c>
      <c r="C3659" s="20"/>
      <c r="D3659" s="21"/>
    </row>
    <row r="3660" spans="1:4" ht="12.75" customHeight="1" x14ac:dyDescent="0.2">
      <c r="A3660" s="21"/>
      <c r="B3660" s="20" t="s">
        <v>18</v>
      </c>
      <c r="C3660" s="4" t="s">
        <v>44</v>
      </c>
      <c r="D3660" s="6" t="str">
        <f>HYPERLINK("javascript:void(0)","mengorni tűvető")</f>
        <v>mengorni tűvető</v>
      </c>
    </row>
    <row r="3661" spans="1:4" ht="12.75" customHeight="1" x14ac:dyDescent="0.2">
      <c r="A3661" s="21"/>
      <c r="B3661" s="21"/>
      <c r="C3661" s="4" t="s">
        <v>55</v>
      </c>
      <c r="D3661" s="6" t="str">
        <f>HYPERLINK("javascript:void(0)","pengeszálka")</f>
        <v>pengeszálka</v>
      </c>
    </row>
    <row r="3662" spans="1:4" ht="12.75" customHeight="1" x14ac:dyDescent="0.2">
      <c r="A3662" s="21"/>
      <c r="B3662" s="21"/>
      <c r="C3662" s="4" t="s">
        <v>56</v>
      </c>
      <c r="D3662" s="6" t="str">
        <f>HYPERLINK("javascript:void(0)","kincsgúla")</f>
        <v>kincsgúla</v>
      </c>
    </row>
    <row r="3663" spans="1:4" ht="12.75" customHeight="1" x14ac:dyDescent="0.2">
      <c r="A3663" s="5"/>
      <c r="B3663" s="2"/>
      <c r="C3663" s="2"/>
      <c r="D3663" s="2"/>
    </row>
    <row r="3664" spans="1:4" ht="12.75" customHeight="1" x14ac:dyDescent="0.2">
      <c r="A3664" s="22" t="str">
        <f>HYPERLINK("javascript:void(0)","kithrill tűvető")</f>
        <v>kithrill tűvető</v>
      </c>
      <c r="B3664" s="21"/>
      <c r="C3664" s="21"/>
      <c r="D3664" s="21"/>
    </row>
    <row r="3665" spans="1:4" ht="12.75" customHeight="1" x14ac:dyDescent="0.2">
      <c r="A3665" s="20"/>
      <c r="B3665" s="2"/>
      <c r="C3665" s="2"/>
      <c r="D3665" s="2"/>
    </row>
    <row r="3666" spans="1:4" ht="12.75" customHeight="1" x14ac:dyDescent="0.2">
      <c r="A3666" s="21"/>
      <c r="B3666" s="3" t="s">
        <v>0</v>
      </c>
      <c r="C3666" s="20" t="s">
        <v>1032</v>
      </c>
      <c r="D3666" s="21"/>
    </row>
    <row r="3667" spans="1:4" ht="12.75" customHeight="1" x14ac:dyDescent="0.2">
      <c r="A3667" s="21"/>
      <c r="B3667" s="3" t="s">
        <v>2</v>
      </c>
      <c r="C3667" s="20" t="s">
        <v>3</v>
      </c>
      <c r="D3667" s="21"/>
    </row>
    <row r="3668" spans="1:4" ht="12.75" customHeight="1" x14ac:dyDescent="0.2">
      <c r="A3668" s="21"/>
      <c r="B3668" s="3" t="s">
        <v>4</v>
      </c>
      <c r="C3668" s="20" t="s">
        <v>1033</v>
      </c>
      <c r="D3668" s="21"/>
    </row>
    <row r="3669" spans="1:4" ht="12.75" customHeight="1" x14ac:dyDescent="0.2">
      <c r="A3669" s="21"/>
      <c r="B3669" s="3" t="s">
        <v>6</v>
      </c>
      <c r="C3669" s="20" t="s">
        <v>157</v>
      </c>
      <c r="D3669" s="21"/>
    </row>
    <row r="3670" spans="1:4" ht="12.75" customHeight="1" x14ac:dyDescent="0.2">
      <c r="A3670" s="21"/>
      <c r="B3670" s="3" t="s">
        <v>8</v>
      </c>
      <c r="C3670" s="20" t="s">
        <v>1033</v>
      </c>
      <c r="D3670" s="21"/>
    </row>
    <row r="3671" spans="1:4" ht="12.75" customHeight="1" x14ac:dyDescent="0.2">
      <c r="A3671" s="21"/>
      <c r="B3671" s="3" t="s">
        <v>9</v>
      </c>
      <c r="C3671" s="20" t="s">
        <v>1034</v>
      </c>
      <c r="D3671" s="21"/>
    </row>
    <row r="3672" spans="1:4" ht="12.75" customHeight="1" x14ac:dyDescent="0.2">
      <c r="A3672" s="21"/>
      <c r="B3672" s="3" t="s">
        <v>11</v>
      </c>
      <c r="C3672" s="20" t="s">
        <v>1035</v>
      </c>
      <c r="D3672" s="21"/>
    </row>
    <row r="3673" spans="1:4" ht="12.75" customHeight="1" x14ac:dyDescent="0.2">
      <c r="A3673" s="21"/>
      <c r="B3673" s="3" t="s">
        <v>13</v>
      </c>
      <c r="C3673" s="20" t="s">
        <v>24</v>
      </c>
      <c r="D3673" s="21"/>
    </row>
    <row r="3674" spans="1:4" ht="12.75" customHeight="1" x14ac:dyDescent="0.2">
      <c r="A3674" s="21"/>
      <c r="B3674" s="3" t="s">
        <v>15</v>
      </c>
      <c r="C3674" s="20" t="s">
        <v>24</v>
      </c>
      <c r="D3674" s="21"/>
    </row>
    <row r="3675" spans="1:4" ht="12.75" customHeight="1" x14ac:dyDescent="0.2">
      <c r="A3675" s="21"/>
      <c r="B3675" s="3" t="s">
        <v>16</v>
      </c>
      <c r="C3675" s="20"/>
      <c r="D3675" s="21"/>
    </row>
    <row r="3676" spans="1:4" ht="12.75" customHeight="1" x14ac:dyDescent="0.2">
      <c r="A3676" s="21"/>
      <c r="B3676" s="3" t="s">
        <v>17</v>
      </c>
      <c r="C3676" s="20"/>
      <c r="D3676" s="21"/>
    </row>
    <row r="3677" spans="1:4" ht="12.75" customHeight="1" x14ac:dyDescent="0.2">
      <c r="A3677" s="21"/>
      <c r="B3677" s="20" t="s">
        <v>18</v>
      </c>
      <c r="C3677" s="4" t="s">
        <v>244</v>
      </c>
      <c r="D3677" s="6" t="str">
        <f>HYPERLINK("javascript:void(0)","hálószem")</f>
        <v>hálószem</v>
      </c>
    </row>
    <row r="3678" spans="1:4" ht="12.75" customHeight="1" x14ac:dyDescent="0.2">
      <c r="A3678" s="21"/>
      <c r="B3678" s="21"/>
      <c r="C3678" s="4" t="s">
        <v>327</v>
      </c>
      <c r="D3678" s="6" t="str">
        <f>HYPERLINK("javascript:void(0)","angyalhaj")</f>
        <v>angyalhaj</v>
      </c>
    </row>
    <row r="3679" spans="1:4" ht="12.75" customHeight="1" x14ac:dyDescent="0.2">
      <c r="A3679" s="21"/>
      <c r="B3679" s="21"/>
      <c r="C3679" s="4" t="s">
        <v>44</v>
      </c>
      <c r="D3679" s="6" t="str">
        <f>HYPERLINK("javascript:void(0)","kithrill tűdobó")</f>
        <v>kithrill tűdobó</v>
      </c>
    </row>
    <row r="3680" spans="1:4" ht="12.75" customHeight="1" x14ac:dyDescent="0.2">
      <c r="A3680" s="5"/>
      <c r="B3680" s="2"/>
      <c r="C3680" s="2"/>
      <c r="D3680" s="2"/>
    </row>
    <row r="3681" spans="1:4" ht="12.75" customHeight="1" x14ac:dyDescent="0.2">
      <c r="A3681" s="22" t="str">
        <f>HYPERLINK("javascript:void(0)","skivei pattantyú")</f>
        <v>skivei pattantyú</v>
      </c>
      <c r="B3681" s="21"/>
      <c r="C3681" s="21"/>
      <c r="D3681" s="21"/>
    </row>
    <row r="3682" spans="1:4" ht="12.75" customHeight="1" x14ac:dyDescent="0.2">
      <c r="A3682" s="20"/>
      <c r="B3682" s="2"/>
      <c r="C3682" s="2"/>
      <c r="D3682" s="2"/>
    </row>
    <row r="3683" spans="1:4" ht="12.75" customHeight="1" x14ac:dyDescent="0.2">
      <c r="A3683" s="21"/>
      <c r="B3683" s="3" t="s">
        <v>0</v>
      </c>
      <c r="C3683" s="20" t="s">
        <v>1032</v>
      </c>
      <c r="D3683" s="21"/>
    </row>
    <row r="3684" spans="1:4" ht="12.75" customHeight="1" x14ac:dyDescent="0.2">
      <c r="A3684" s="21"/>
      <c r="B3684" s="3" t="s">
        <v>2</v>
      </c>
      <c r="C3684" s="20" t="s">
        <v>3</v>
      </c>
      <c r="D3684" s="21"/>
    </row>
    <row r="3685" spans="1:4" ht="12.75" customHeight="1" x14ac:dyDescent="0.2">
      <c r="A3685" s="21"/>
      <c r="B3685" s="3" t="s">
        <v>4</v>
      </c>
      <c r="C3685" s="20" t="s">
        <v>1038</v>
      </c>
      <c r="D3685" s="21"/>
    </row>
    <row r="3686" spans="1:4" ht="12.75" customHeight="1" x14ac:dyDescent="0.2">
      <c r="A3686" s="21"/>
      <c r="B3686" s="3" t="s">
        <v>6</v>
      </c>
      <c r="C3686" s="20" t="s">
        <v>65</v>
      </c>
      <c r="D3686" s="21"/>
    </row>
    <row r="3687" spans="1:4" ht="12.75" customHeight="1" x14ac:dyDescent="0.2">
      <c r="A3687" s="21"/>
      <c r="B3687" s="3" t="s">
        <v>8</v>
      </c>
      <c r="C3687" s="20" t="s">
        <v>1038</v>
      </c>
      <c r="D3687" s="21"/>
    </row>
    <row r="3688" spans="1:4" ht="12.75" customHeight="1" x14ac:dyDescent="0.2">
      <c r="A3688" s="21"/>
      <c r="B3688" s="3" t="s">
        <v>9</v>
      </c>
      <c r="C3688" s="20" t="s">
        <v>1039</v>
      </c>
      <c r="D3688" s="21"/>
    </row>
    <row r="3689" spans="1:4" ht="12.75" customHeight="1" x14ac:dyDescent="0.2">
      <c r="A3689" s="21"/>
      <c r="B3689" s="3" t="s">
        <v>11</v>
      </c>
      <c r="C3689" s="20" t="s">
        <v>1040</v>
      </c>
      <c r="D3689" s="21"/>
    </row>
    <row r="3690" spans="1:4" ht="12.75" customHeight="1" x14ac:dyDescent="0.2">
      <c r="A3690" s="21"/>
      <c r="B3690" s="3" t="s">
        <v>13</v>
      </c>
      <c r="C3690" s="20" t="s">
        <v>24</v>
      </c>
      <c r="D3690" s="21"/>
    </row>
    <row r="3691" spans="1:4" ht="12.75" customHeight="1" x14ac:dyDescent="0.2">
      <c r="A3691" s="21"/>
      <c r="B3691" s="3" t="s">
        <v>15</v>
      </c>
      <c r="C3691" s="20" t="s">
        <v>24</v>
      </c>
      <c r="D3691" s="21"/>
    </row>
    <row r="3692" spans="1:4" ht="12.75" customHeight="1" x14ac:dyDescent="0.2">
      <c r="A3692" s="21"/>
      <c r="B3692" s="3" t="s">
        <v>16</v>
      </c>
      <c r="C3692" s="20"/>
      <c r="D3692" s="21"/>
    </row>
    <row r="3693" spans="1:4" ht="12.75" customHeight="1" x14ac:dyDescent="0.2">
      <c r="A3693" s="21"/>
      <c r="B3693" s="3" t="s">
        <v>17</v>
      </c>
      <c r="C3693" s="20"/>
      <c r="D3693" s="21"/>
    </row>
    <row r="3694" spans="1:4" ht="12.75" customHeight="1" x14ac:dyDescent="0.2">
      <c r="A3694" s="21"/>
      <c r="B3694" s="20" t="s">
        <v>18</v>
      </c>
      <c r="C3694" s="4" t="s">
        <v>44</v>
      </c>
      <c r="D3694" s="6" t="str">
        <f>HYPERLINK("javascript:void(0)","skivei tűvető")</f>
        <v>skivei tűvető</v>
      </c>
    </row>
    <row r="3695" spans="1:4" ht="12.75" customHeight="1" x14ac:dyDescent="0.2">
      <c r="A3695" s="21"/>
      <c r="B3695" s="21"/>
      <c r="C3695" s="4" t="s">
        <v>117</v>
      </c>
      <c r="D3695" s="6" t="str">
        <f>HYPERLINK("javascript:void(0)","kőfaragvány")</f>
        <v>kőfaragvány</v>
      </c>
    </row>
    <row r="3696" spans="1:4" ht="12.75" customHeight="1" x14ac:dyDescent="0.2">
      <c r="A3696" s="21"/>
      <c r="B3696" s="21"/>
      <c r="C3696" s="4" t="s">
        <v>56</v>
      </c>
      <c r="D3696" s="6" t="str">
        <f>HYPERLINK("javascript:void(0)","kincsgúla")</f>
        <v>kincsgúla</v>
      </c>
    </row>
    <row r="3697" spans="1:4" ht="12.75" customHeight="1" x14ac:dyDescent="0.2">
      <c r="A3697" s="5"/>
      <c r="B3697" s="2"/>
      <c r="C3697" s="2"/>
      <c r="D3697" s="2"/>
    </row>
    <row r="3698" spans="1:4" ht="12.75" customHeight="1" x14ac:dyDescent="0.2">
      <c r="A3698" s="22" t="str">
        <f>HYPERLINK("javascript:void(0)","centro tűvető")</f>
        <v>centro tűvető</v>
      </c>
      <c r="B3698" s="21"/>
      <c r="C3698" s="21"/>
      <c r="D3698" s="21"/>
    </row>
    <row r="3699" spans="1:4" ht="12.75" customHeight="1" x14ac:dyDescent="0.2">
      <c r="A3699" s="20"/>
      <c r="B3699" s="2"/>
      <c r="C3699" s="2"/>
      <c r="D3699" s="2"/>
    </row>
    <row r="3700" spans="1:4" ht="12.75" customHeight="1" x14ac:dyDescent="0.2">
      <c r="A3700" s="21"/>
      <c r="B3700" s="3" t="s">
        <v>0</v>
      </c>
      <c r="C3700" s="20" t="s">
        <v>99</v>
      </c>
      <c r="D3700" s="21"/>
    </row>
    <row r="3701" spans="1:4" ht="12.75" customHeight="1" x14ac:dyDescent="0.2">
      <c r="A3701" s="21"/>
      <c r="B3701" s="3" t="s">
        <v>2</v>
      </c>
      <c r="C3701" s="20" t="s">
        <v>3</v>
      </c>
      <c r="D3701" s="21"/>
    </row>
    <row r="3702" spans="1:4" ht="12.75" customHeight="1" x14ac:dyDescent="0.2">
      <c r="A3702" s="21"/>
      <c r="B3702" s="3" t="s">
        <v>4</v>
      </c>
      <c r="C3702" s="20" t="s">
        <v>1041</v>
      </c>
      <c r="D3702" s="21"/>
    </row>
    <row r="3703" spans="1:4" ht="12.75" customHeight="1" x14ac:dyDescent="0.2">
      <c r="A3703" s="21"/>
      <c r="B3703" s="3" t="s">
        <v>6</v>
      </c>
      <c r="C3703" s="20" t="s">
        <v>284</v>
      </c>
      <c r="D3703" s="21"/>
    </row>
    <row r="3704" spans="1:4" ht="12.75" customHeight="1" x14ac:dyDescent="0.2">
      <c r="A3704" s="21"/>
      <c r="B3704" s="3" t="s">
        <v>8</v>
      </c>
      <c r="C3704" s="20" t="s">
        <v>1041</v>
      </c>
      <c r="D3704" s="21"/>
    </row>
    <row r="3705" spans="1:4" ht="12.75" customHeight="1" x14ac:dyDescent="0.2">
      <c r="A3705" s="21"/>
      <c r="B3705" s="3" t="s">
        <v>9</v>
      </c>
      <c r="C3705" s="20" t="s">
        <v>1042</v>
      </c>
      <c r="D3705" s="21"/>
    </row>
    <row r="3706" spans="1:4" ht="12.75" customHeight="1" x14ac:dyDescent="0.2">
      <c r="A3706" s="21"/>
      <c r="B3706" s="3" t="s">
        <v>11</v>
      </c>
      <c r="C3706" s="20" t="s">
        <v>1043</v>
      </c>
      <c r="D3706" s="21"/>
    </row>
    <row r="3707" spans="1:4" ht="12.75" customHeight="1" x14ac:dyDescent="0.2">
      <c r="A3707" s="21"/>
      <c r="B3707" s="3" t="s">
        <v>13</v>
      </c>
      <c r="C3707" s="20" t="s">
        <v>24</v>
      </c>
      <c r="D3707" s="21"/>
    </row>
    <row r="3708" spans="1:4" ht="12.75" customHeight="1" x14ac:dyDescent="0.2">
      <c r="A3708" s="21"/>
      <c r="B3708" s="3" t="s">
        <v>15</v>
      </c>
      <c r="C3708" s="20" t="s">
        <v>24</v>
      </c>
      <c r="D3708" s="21"/>
    </row>
    <row r="3709" spans="1:4" ht="12.75" customHeight="1" x14ac:dyDescent="0.2">
      <c r="A3709" s="21"/>
      <c r="B3709" s="3" t="s">
        <v>16</v>
      </c>
      <c r="C3709" s="20"/>
      <c r="D3709" s="21"/>
    </row>
    <row r="3710" spans="1:4" ht="12.75" customHeight="1" x14ac:dyDescent="0.2">
      <c r="A3710" s="21"/>
      <c r="B3710" s="3" t="s">
        <v>17</v>
      </c>
      <c r="C3710" s="20"/>
      <c r="D3710" s="21"/>
    </row>
    <row r="3711" spans="1:4" ht="12.75" customHeight="1" x14ac:dyDescent="0.2">
      <c r="A3711" s="21"/>
      <c r="B3711" s="20" t="s">
        <v>18</v>
      </c>
      <c r="C3711" s="4" t="s">
        <v>44</v>
      </c>
      <c r="D3711" s="6" t="str">
        <f>HYPERLINK("javascript:void(0)","centro tűdobó")</f>
        <v>centro tűdobó</v>
      </c>
    </row>
    <row r="3712" spans="1:4" ht="12.75" customHeight="1" x14ac:dyDescent="0.2">
      <c r="A3712" s="21"/>
      <c r="B3712" s="21"/>
      <c r="C3712" s="4" t="s">
        <v>296</v>
      </c>
      <c r="D3712" s="6" t="str">
        <f>HYPERLINK("javascript:void(0)","tépőfog")</f>
        <v>tépőfog</v>
      </c>
    </row>
    <row r="3713" spans="1:4" ht="12.75" customHeight="1" x14ac:dyDescent="0.2">
      <c r="A3713" s="21"/>
      <c r="B3713" s="21"/>
      <c r="C3713" s="4" t="s">
        <v>309</v>
      </c>
      <c r="D3713" s="6" t="str">
        <f>HYPERLINK("javascript:void(0)","hálószem")</f>
        <v>hálószem</v>
      </c>
    </row>
    <row r="3714" spans="1:4" ht="12.75" customHeight="1" x14ac:dyDescent="0.2">
      <c r="A3714" s="5"/>
      <c r="B3714" s="2"/>
      <c r="C3714" s="2"/>
      <c r="D3714" s="2"/>
    </row>
    <row r="3715" spans="1:4" ht="12.75" customHeight="1" x14ac:dyDescent="0.2">
      <c r="A3715" s="22" t="str">
        <f>HYPERLINK("javascript:void(0)","parszi pattantyú")</f>
        <v>parszi pattantyú</v>
      </c>
      <c r="B3715" s="21"/>
      <c r="C3715" s="21"/>
      <c r="D3715" s="21"/>
    </row>
    <row r="3716" spans="1:4" ht="12.75" customHeight="1" x14ac:dyDescent="0.2">
      <c r="A3716" s="20"/>
      <c r="B3716" s="2"/>
      <c r="C3716" s="2"/>
      <c r="D3716" s="2"/>
    </row>
    <row r="3717" spans="1:4" ht="12.75" customHeight="1" x14ac:dyDescent="0.2">
      <c r="A3717" s="21"/>
      <c r="B3717" s="3" t="s">
        <v>0</v>
      </c>
      <c r="C3717" s="20" t="s">
        <v>99</v>
      </c>
      <c r="D3717" s="21"/>
    </row>
    <row r="3718" spans="1:4" ht="12.75" customHeight="1" x14ac:dyDescent="0.2">
      <c r="A3718" s="21"/>
      <c r="B3718" s="3" t="s">
        <v>2</v>
      </c>
      <c r="C3718" s="20" t="s">
        <v>3</v>
      </c>
      <c r="D3718" s="21"/>
    </row>
    <row r="3719" spans="1:4" ht="12.75" customHeight="1" x14ac:dyDescent="0.2">
      <c r="A3719" s="21"/>
      <c r="B3719" s="3" t="s">
        <v>4</v>
      </c>
      <c r="C3719" s="20" t="s">
        <v>1045</v>
      </c>
      <c r="D3719" s="21"/>
    </row>
    <row r="3720" spans="1:4" ht="12.75" customHeight="1" x14ac:dyDescent="0.2">
      <c r="A3720" s="21"/>
      <c r="B3720" s="3" t="s">
        <v>6</v>
      </c>
      <c r="C3720" s="20" t="s">
        <v>65</v>
      </c>
      <c r="D3720" s="21"/>
    </row>
    <row r="3721" spans="1:4" ht="12.75" customHeight="1" x14ac:dyDescent="0.2">
      <c r="A3721" s="21"/>
      <c r="B3721" s="3" t="s">
        <v>8</v>
      </c>
      <c r="C3721" s="20" t="s">
        <v>1045</v>
      </c>
      <c r="D3721" s="21"/>
    </row>
    <row r="3722" spans="1:4" ht="12.75" customHeight="1" x14ac:dyDescent="0.2">
      <c r="A3722" s="21"/>
      <c r="B3722" s="3" t="s">
        <v>9</v>
      </c>
      <c r="C3722" s="20" t="s">
        <v>1046</v>
      </c>
      <c r="D3722" s="21"/>
    </row>
    <row r="3723" spans="1:4" ht="12.75" customHeight="1" x14ac:dyDescent="0.2">
      <c r="A3723" s="21"/>
      <c r="B3723" s="3" t="s">
        <v>11</v>
      </c>
      <c r="C3723" s="20" t="s">
        <v>1047</v>
      </c>
      <c r="D3723" s="21"/>
    </row>
    <row r="3724" spans="1:4" ht="12.75" customHeight="1" x14ac:dyDescent="0.2">
      <c r="A3724" s="21"/>
      <c r="B3724" s="3" t="s">
        <v>13</v>
      </c>
      <c r="C3724" s="20" t="s">
        <v>24</v>
      </c>
      <c r="D3724" s="21"/>
    </row>
    <row r="3725" spans="1:4" ht="12.75" customHeight="1" x14ac:dyDescent="0.2">
      <c r="A3725" s="21"/>
      <c r="B3725" s="3" t="s">
        <v>15</v>
      </c>
      <c r="C3725" s="20" t="s">
        <v>24</v>
      </c>
      <c r="D3725" s="21"/>
    </row>
    <row r="3726" spans="1:4" ht="12.75" customHeight="1" x14ac:dyDescent="0.2">
      <c r="A3726" s="21"/>
      <c r="B3726" s="3" t="s">
        <v>16</v>
      </c>
      <c r="C3726" s="20"/>
      <c r="D3726" s="21"/>
    </row>
    <row r="3727" spans="1:4" ht="12.75" customHeight="1" x14ac:dyDescent="0.2">
      <c r="A3727" s="21"/>
      <c r="B3727" s="3" t="s">
        <v>17</v>
      </c>
      <c r="C3727" s="20"/>
      <c r="D3727" s="21"/>
    </row>
    <row r="3728" spans="1:4" ht="12.75" customHeight="1" x14ac:dyDescent="0.2">
      <c r="A3728" s="21"/>
      <c r="B3728" s="20" t="s">
        <v>18</v>
      </c>
      <c r="C3728" s="4" t="s">
        <v>44</v>
      </c>
      <c r="D3728" s="6" t="str">
        <f>HYPERLINK("javascript:void(0)","parszi tűvető")</f>
        <v>parszi tűvető</v>
      </c>
    </row>
    <row r="3729" spans="1:4" ht="12.75" customHeight="1" x14ac:dyDescent="0.2">
      <c r="A3729" s="21"/>
      <c r="B3729" s="21"/>
      <c r="C3729" s="4" t="s">
        <v>55</v>
      </c>
      <c r="D3729" s="6" t="str">
        <f>HYPERLINK("javascript:void(0)","nullgravita")</f>
        <v>nullgravita</v>
      </c>
    </row>
    <row r="3730" spans="1:4" ht="12.75" customHeight="1" x14ac:dyDescent="0.2">
      <c r="A3730" s="21"/>
      <c r="B3730" s="21"/>
      <c r="C3730" s="4" t="s">
        <v>56</v>
      </c>
      <c r="D3730" s="6" t="str">
        <f>HYPERLINK("javascript:void(0)","kincsgúla")</f>
        <v>kincsgúla</v>
      </c>
    </row>
    <row r="3731" spans="1:4" ht="12.75" customHeight="1" x14ac:dyDescent="0.2">
      <c r="A3731" s="5"/>
      <c r="B3731" s="2"/>
      <c r="C3731" s="2"/>
      <c r="D3731" s="2"/>
    </row>
    <row r="3732" spans="1:4" ht="12.75" customHeight="1" x14ac:dyDescent="0.2">
      <c r="A3732" s="22" t="str">
        <f>HYPERLINK("javascript:void(0)","hiper tűvető")</f>
        <v>hiper tűvető</v>
      </c>
      <c r="B3732" s="21"/>
      <c r="C3732" s="21"/>
      <c r="D3732" s="21"/>
    </row>
    <row r="3733" spans="1:4" ht="12.75" customHeight="1" x14ac:dyDescent="0.2">
      <c r="A3733" s="20"/>
      <c r="B3733" s="2"/>
      <c r="C3733" s="2"/>
      <c r="D3733" s="2"/>
    </row>
    <row r="3734" spans="1:4" ht="12.75" customHeight="1" x14ac:dyDescent="0.2">
      <c r="A3734" s="21"/>
      <c r="B3734" s="3" t="s">
        <v>0</v>
      </c>
      <c r="C3734" s="20" t="s">
        <v>341</v>
      </c>
      <c r="D3734" s="21"/>
    </row>
    <row r="3735" spans="1:4" ht="12.75" customHeight="1" x14ac:dyDescent="0.2">
      <c r="A3735" s="21"/>
      <c r="B3735" s="3" t="s">
        <v>2</v>
      </c>
      <c r="C3735" s="20" t="s">
        <v>3</v>
      </c>
      <c r="D3735" s="21"/>
    </row>
    <row r="3736" spans="1:4" ht="12.75" customHeight="1" x14ac:dyDescent="0.2">
      <c r="A3736" s="21"/>
      <c r="B3736" s="3" t="s">
        <v>4</v>
      </c>
      <c r="C3736" s="20" t="s">
        <v>1052</v>
      </c>
      <c r="D3736" s="21"/>
    </row>
    <row r="3737" spans="1:4" ht="12.75" customHeight="1" x14ac:dyDescent="0.2">
      <c r="A3737" s="21"/>
      <c r="B3737" s="3" t="s">
        <v>6</v>
      </c>
      <c r="C3737" s="20" t="s">
        <v>260</v>
      </c>
      <c r="D3737" s="21"/>
    </row>
    <row r="3738" spans="1:4" ht="12.75" customHeight="1" x14ac:dyDescent="0.2">
      <c r="A3738" s="21"/>
      <c r="B3738" s="3" t="s">
        <v>8</v>
      </c>
      <c r="C3738" s="20" t="s">
        <v>1052</v>
      </c>
      <c r="D3738" s="21"/>
    </row>
    <row r="3739" spans="1:4" ht="12.75" customHeight="1" x14ac:dyDescent="0.2">
      <c r="A3739" s="21"/>
      <c r="B3739" s="3" t="s">
        <v>9</v>
      </c>
      <c r="C3739" s="20" t="s">
        <v>1054</v>
      </c>
      <c r="D3739" s="21"/>
    </row>
    <row r="3740" spans="1:4" ht="12.75" customHeight="1" x14ac:dyDescent="0.2">
      <c r="A3740" s="21"/>
      <c r="B3740" s="3" t="s">
        <v>11</v>
      </c>
      <c r="C3740" s="20" t="s">
        <v>1055</v>
      </c>
      <c r="D3740" s="21"/>
    </row>
    <row r="3741" spans="1:4" ht="12.75" customHeight="1" x14ac:dyDescent="0.2">
      <c r="A3741" s="21"/>
      <c r="B3741" s="3" t="s">
        <v>13</v>
      </c>
      <c r="C3741" s="20" t="s">
        <v>24</v>
      </c>
      <c r="D3741" s="21"/>
    </row>
    <row r="3742" spans="1:4" ht="12.75" customHeight="1" x14ac:dyDescent="0.2">
      <c r="A3742" s="21"/>
      <c r="B3742" s="3" t="s">
        <v>15</v>
      </c>
      <c r="C3742" s="20" t="s">
        <v>24</v>
      </c>
      <c r="D3742" s="21"/>
    </row>
    <row r="3743" spans="1:4" ht="12.75" customHeight="1" x14ac:dyDescent="0.2">
      <c r="A3743" s="21"/>
      <c r="B3743" s="3" t="s">
        <v>16</v>
      </c>
      <c r="C3743" s="20"/>
      <c r="D3743" s="21"/>
    </row>
    <row r="3744" spans="1:4" ht="12.75" customHeight="1" x14ac:dyDescent="0.2">
      <c r="A3744" s="21"/>
      <c r="B3744" s="3" t="s">
        <v>17</v>
      </c>
      <c r="C3744" s="20"/>
      <c r="D3744" s="21"/>
    </row>
    <row r="3745" spans="1:4" ht="12.75" customHeight="1" x14ac:dyDescent="0.2">
      <c r="A3745" s="21"/>
      <c r="B3745" s="20" t="s">
        <v>18</v>
      </c>
      <c r="C3745" s="4" t="s">
        <v>772</v>
      </c>
      <c r="D3745" s="6" t="str">
        <f>HYPERLINK("javascript:void(0)","fülcsáp")</f>
        <v>fülcsáp</v>
      </c>
    </row>
    <row r="3746" spans="1:4" ht="12.75" customHeight="1" x14ac:dyDescent="0.2">
      <c r="A3746" s="21"/>
      <c r="B3746" s="21"/>
      <c r="C3746" s="4" t="s">
        <v>296</v>
      </c>
      <c r="D3746" s="6" t="str">
        <f>HYPERLINK("javascript:void(0)","kártyalap")</f>
        <v>kártyalap</v>
      </c>
    </row>
    <row r="3747" spans="1:4" ht="12.75" customHeight="1" x14ac:dyDescent="0.2">
      <c r="A3747" s="21"/>
      <c r="B3747" s="21"/>
      <c r="C3747" s="4" t="s">
        <v>44</v>
      </c>
      <c r="D3747" s="6" t="str">
        <f>HYPERLINK("javascript:void(0)","hiper tűdobó")</f>
        <v>hiper tűdobó</v>
      </c>
    </row>
    <row r="3748" spans="1:4" ht="12.75" customHeight="1" x14ac:dyDescent="0.2">
      <c r="A3748" s="5"/>
      <c r="B3748" s="2"/>
      <c r="C3748" s="2"/>
      <c r="D3748" s="2"/>
    </row>
    <row r="3749" spans="1:4" ht="12.75" customHeight="1" x14ac:dyDescent="0.2">
      <c r="A3749" s="22" t="str">
        <f>HYPERLINK("javascript:void(0)","rimföldi pattantyú")</f>
        <v>rimföldi pattantyú</v>
      </c>
      <c r="B3749" s="21"/>
      <c r="C3749" s="21"/>
      <c r="D3749" s="21"/>
    </row>
    <row r="3750" spans="1:4" ht="12.75" customHeight="1" x14ac:dyDescent="0.2">
      <c r="A3750" s="20"/>
      <c r="B3750" s="2"/>
      <c r="C3750" s="2"/>
      <c r="D3750" s="2"/>
    </row>
    <row r="3751" spans="1:4" ht="12.75" customHeight="1" x14ac:dyDescent="0.2">
      <c r="A3751" s="21"/>
      <c r="B3751" s="3" t="s">
        <v>0</v>
      </c>
      <c r="C3751" s="20" t="s">
        <v>341</v>
      </c>
      <c r="D3751" s="21"/>
    </row>
    <row r="3752" spans="1:4" ht="12.75" customHeight="1" x14ac:dyDescent="0.2">
      <c r="A3752" s="21"/>
      <c r="B3752" s="3" t="s">
        <v>2</v>
      </c>
      <c r="C3752" s="20" t="s">
        <v>3</v>
      </c>
      <c r="D3752" s="21"/>
    </row>
    <row r="3753" spans="1:4" ht="12.75" customHeight="1" x14ac:dyDescent="0.2">
      <c r="A3753" s="21"/>
      <c r="B3753" s="3" t="s">
        <v>4</v>
      </c>
      <c r="C3753" s="20" t="s">
        <v>1056</v>
      </c>
      <c r="D3753" s="21"/>
    </row>
    <row r="3754" spans="1:4" ht="12.75" customHeight="1" x14ac:dyDescent="0.2">
      <c r="A3754" s="21"/>
      <c r="B3754" s="3" t="s">
        <v>6</v>
      </c>
      <c r="C3754" s="20" t="s">
        <v>65</v>
      </c>
      <c r="D3754" s="21"/>
    </row>
    <row r="3755" spans="1:4" ht="12.75" customHeight="1" x14ac:dyDescent="0.2">
      <c r="A3755" s="21"/>
      <c r="B3755" s="3" t="s">
        <v>8</v>
      </c>
      <c r="C3755" s="20" t="s">
        <v>1056</v>
      </c>
      <c r="D3755" s="21"/>
    </row>
    <row r="3756" spans="1:4" ht="12.75" customHeight="1" x14ac:dyDescent="0.2">
      <c r="A3756" s="21"/>
      <c r="B3756" s="3" t="s">
        <v>9</v>
      </c>
      <c r="C3756" s="20" t="s">
        <v>1046</v>
      </c>
      <c r="D3756" s="21"/>
    </row>
    <row r="3757" spans="1:4" ht="12.75" customHeight="1" x14ac:dyDescent="0.2">
      <c r="A3757" s="21"/>
      <c r="B3757" s="3" t="s">
        <v>11</v>
      </c>
      <c r="C3757" s="20" t="s">
        <v>1059</v>
      </c>
      <c r="D3757" s="21"/>
    </row>
    <row r="3758" spans="1:4" ht="12.75" customHeight="1" x14ac:dyDescent="0.2">
      <c r="A3758" s="21"/>
      <c r="B3758" s="3" t="s">
        <v>13</v>
      </c>
      <c r="C3758" s="20" t="s">
        <v>24</v>
      </c>
      <c r="D3758" s="21"/>
    </row>
    <row r="3759" spans="1:4" ht="12.75" customHeight="1" x14ac:dyDescent="0.2">
      <c r="A3759" s="21"/>
      <c r="B3759" s="3" t="s">
        <v>15</v>
      </c>
      <c r="C3759" s="20" t="s">
        <v>24</v>
      </c>
      <c r="D3759" s="21"/>
    </row>
    <row r="3760" spans="1:4" ht="12.75" customHeight="1" x14ac:dyDescent="0.2">
      <c r="A3760" s="21"/>
      <c r="B3760" s="3" t="s">
        <v>16</v>
      </c>
      <c r="C3760" s="20"/>
      <c r="D3760" s="21"/>
    </row>
    <row r="3761" spans="1:4" ht="12.75" customHeight="1" x14ac:dyDescent="0.2">
      <c r="A3761" s="21"/>
      <c r="B3761" s="3" t="s">
        <v>17</v>
      </c>
      <c r="C3761" s="20"/>
      <c r="D3761" s="21"/>
    </row>
    <row r="3762" spans="1:4" ht="12.75" customHeight="1" x14ac:dyDescent="0.2">
      <c r="A3762" s="21"/>
      <c r="B3762" s="20" t="s">
        <v>18</v>
      </c>
      <c r="C3762" s="4" t="s">
        <v>44</v>
      </c>
      <c r="D3762" s="6" t="str">
        <f>HYPERLINK("javascript:void(0)","rimföldi tűvető")</f>
        <v>rimföldi tűvető</v>
      </c>
    </row>
    <row r="3763" spans="1:4" ht="12.75" customHeight="1" x14ac:dyDescent="0.2">
      <c r="A3763" s="21"/>
      <c r="B3763" s="21"/>
      <c r="C3763" s="4" t="s">
        <v>77</v>
      </c>
      <c r="D3763" s="6" t="str">
        <f>HYPERLINK("javascript:void(0)","kolomp")</f>
        <v>kolomp</v>
      </c>
    </row>
    <row r="3764" spans="1:4" ht="12.75" customHeight="1" x14ac:dyDescent="0.2">
      <c r="A3764" s="21"/>
      <c r="B3764" s="21"/>
      <c r="C3764" s="4" t="s">
        <v>56</v>
      </c>
      <c r="D3764" s="6" t="str">
        <f>HYPERLINK("javascript:void(0)","kincsgúla")</f>
        <v>kincsgúla</v>
      </c>
    </row>
    <row r="3765" spans="1:4" ht="12.75" customHeight="1" x14ac:dyDescent="0.2">
      <c r="A3765" s="5"/>
      <c r="B3765" s="2"/>
      <c r="C3765" s="2"/>
      <c r="D3765" s="2"/>
    </row>
    <row r="3766" spans="1:4" ht="12.75" customHeight="1" x14ac:dyDescent="0.2">
      <c r="A3766" s="22" t="str">
        <f>HYPERLINK("javascript:void(0)","hidracél tűvető")</f>
        <v>hidracél tűvető</v>
      </c>
      <c r="B3766" s="21"/>
      <c r="C3766" s="21"/>
      <c r="D3766" s="21"/>
    </row>
    <row r="3767" spans="1:4" ht="12.75" customHeight="1" x14ac:dyDescent="0.2">
      <c r="A3767" s="20"/>
      <c r="B3767" s="2"/>
      <c r="C3767" s="2"/>
      <c r="D3767" s="2"/>
    </row>
    <row r="3768" spans="1:4" ht="12.75" customHeight="1" x14ac:dyDescent="0.2">
      <c r="A3768" s="21"/>
      <c r="B3768" s="3" t="s">
        <v>0</v>
      </c>
      <c r="C3768" s="20" t="s">
        <v>1060</v>
      </c>
      <c r="D3768" s="21"/>
    </row>
    <row r="3769" spans="1:4" ht="12.75" customHeight="1" x14ac:dyDescent="0.2">
      <c r="A3769" s="21"/>
      <c r="B3769" s="3" t="s">
        <v>2</v>
      </c>
      <c r="C3769" s="20" t="s">
        <v>3</v>
      </c>
      <c r="D3769" s="21"/>
    </row>
    <row r="3770" spans="1:4" ht="12.75" customHeight="1" x14ac:dyDescent="0.2">
      <c r="A3770" s="21"/>
      <c r="B3770" s="3" t="s">
        <v>4</v>
      </c>
      <c r="C3770" s="20" t="s">
        <v>1061</v>
      </c>
      <c r="D3770" s="21"/>
    </row>
    <row r="3771" spans="1:4" ht="12.75" customHeight="1" x14ac:dyDescent="0.2">
      <c r="A3771" s="21"/>
      <c r="B3771" s="3" t="s">
        <v>6</v>
      </c>
      <c r="C3771" s="20" t="s">
        <v>260</v>
      </c>
      <c r="D3771" s="21"/>
    </row>
    <row r="3772" spans="1:4" ht="12.75" customHeight="1" x14ac:dyDescent="0.2">
      <c r="A3772" s="21"/>
      <c r="B3772" s="3" t="s">
        <v>8</v>
      </c>
      <c r="C3772" s="20" t="s">
        <v>1061</v>
      </c>
      <c r="D3772" s="21"/>
    </row>
    <row r="3773" spans="1:4" ht="12.75" customHeight="1" x14ac:dyDescent="0.2">
      <c r="A3773" s="21"/>
      <c r="B3773" s="3" t="s">
        <v>9</v>
      </c>
      <c r="C3773" s="20" t="s">
        <v>464</v>
      </c>
      <c r="D3773" s="21"/>
    </row>
    <row r="3774" spans="1:4" ht="12.75" customHeight="1" x14ac:dyDescent="0.2">
      <c r="A3774" s="21"/>
      <c r="B3774" s="3" t="s">
        <v>11</v>
      </c>
      <c r="C3774" s="20" t="s">
        <v>1062</v>
      </c>
      <c r="D3774" s="21"/>
    </row>
    <row r="3775" spans="1:4" ht="12.75" customHeight="1" x14ac:dyDescent="0.2">
      <c r="A3775" s="21"/>
      <c r="B3775" s="3" t="s">
        <v>13</v>
      </c>
      <c r="C3775" s="20" t="s">
        <v>24</v>
      </c>
      <c r="D3775" s="21"/>
    </row>
    <row r="3776" spans="1:4" ht="12.75" customHeight="1" x14ac:dyDescent="0.2">
      <c r="A3776" s="21"/>
      <c r="B3776" s="3" t="s">
        <v>15</v>
      </c>
      <c r="C3776" s="20" t="s">
        <v>24</v>
      </c>
      <c r="D3776" s="21"/>
    </row>
    <row r="3777" spans="1:4" ht="12.75" customHeight="1" x14ac:dyDescent="0.2">
      <c r="A3777" s="21"/>
      <c r="B3777" s="3" t="s">
        <v>16</v>
      </c>
      <c r="C3777" s="20"/>
      <c r="D3777" s="21"/>
    </row>
    <row r="3778" spans="1:4" ht="12.75" customHeight="1" x14ac:dyDescent="0.2">
      <c r="A3778" s="21"/>
      <c r="B3778" s="3" t="s">
        <v>17</v>
      </c>
      <c r="C3778" s="20"/>
      <c r="D3778" s="21"/>
    </row>
    <row r="3779" spans="1:4" ht="12.75" customHeight="1" x14ac:dyDescent="0.2">
      <c r="A3779" s="21"/>
      <c r="B3779" s="20" t="s">
        <v>18</v>
      </c>
      <c r="C3779" s="4" t="s">
        <v>44</v>
      </c>
      <c r="D3779" s="6" t="str">
        <f>HYPERLINK("javascript:void(0)","hidracél tűdobó")</f>
        <v>hidracél tűdobó</v>
      </c>
    </row>
    <row r="3780" spans="1:4" ht="12.75" customHeight="1" x14ac:dyDescent="0.2">
      <c r="A3780" s="21"/>
      <c r="B3780" s="21"/>
      <c r="C3780" s="4" t="s">
        <v>139</v>
      </c>
      <c r="D3780" s="6" t="str">
        <f>HYPERLINK("javascript:void(0)","fülcsáp")</f>
        <v>fülcsáp</v>
      </c>
    </row>
    <row r="3781" spans="1:4" ht="12.75" customHeight="1" x14ac:dyDescent="0.2">
      <c r="A3781" s="21"/>
      <c r="B3781" s="21"/>
      <c r="C3781" s="4" t="s">
        <v>398</v>
      </c>
      <c r="D3781" s="6" t="str">
        <f>HYPERLINK("javascript:void(0)","dobverő")</f>
        <v>dobverő</v>
      </c>
    </row>
    <row r="3782" spans="1:4" ht="12.75" customHeight="1" x14ac:dyDescent="0.2">
      <c r="A3782" s="5"/>
      <c r="B3782" s="2"/>
      <c r="C3782" s="2"/>
      <c r="D3782" s="2"/>
    </row>
    <row r="3783" spans="1:4" ht="12.75" customHeight="1" x14ac:dyDescent="0.2">
      <c r="A3783" s="22" t="str">
        <f>HYPERLINK("javascript:void(0)","wendír pattantyú")</f>
        <v>wendír pattantyú</v>
      </c>
      <c r="B3783" s="21"/>
      <c r="C3783" s="21"/>
      <c r="D3783" s="21"/>
    </row>
    <row r="3784" spans="1:4" ht="12.75" customHeight="1" x14ac:dyDescent="0.2">
      <c r="A3784" s="20"/>
      <c r="B3784" s="2"/>
      <c r="C3784" s="2"/>
      <c r="D3784" s="2"/>
    </row>
    <row r="3785" spans="1:4" ht="12.75" customHeight="1" x14ac:dyDescent="0.2">
      <c r="A3785" s="21"/>
      <c r="B3785" s="3" t="s">
        <v>0</v>
      </c>
      <c r="C3785" s="20" t="s">
        <v>1060</v>
      </c>
      <c r="D3785" s="21"/>
    </row>
    <row r="3786" spans="1:4" ht="12.75" customHeight="1" x14ac:dyDescent="0.2">
      <c r="A3786" s="21"/>
      <c r="B3786" s="3" t="s">
        <v>2</v>
      </c>
      <c r="C3786" s="20" t="s">
        <v>3</v>
      </c>
      <c r="D3786" s="21"/>
    </row>
    <row r="3787" spans="1:4" ht="12.75" customHeight="1" x14ac:dyDescent="0.2">
      <c r="A3787" s="21"/>
      <c r="B3787" s="3" t="s">
        <v>4</v>
      </c>
      <c r="C3787" s="20" t="s">
        <v>1065</v>
      </c>
      <c r="D3787" s="21"/>
    </row>
    <row r="3788" spans="1:4" ht="12.75" customHeight="1" x14ac:dyDescent="0.2">
      <c r="A3788" s="21"/>
      <c r="B3788" s="3" t="s">
        <v>6</v>
      </c>
      <c r="C3788" s="20" t="s">
        <v>65</v>
      </c>
      <c r="D3788" s="21"/>
    </row>
    <row r="3789" spans="1:4" ht="12.75" customHeight="1" x14ac:dyDescent="0.2">
      <c r="A3789" s="21"/>
      <c r="B3789" s="3" t="s">
        <v>8</v>
      </c>
      <c r="C3789" s="20" t="s">
        <v>1065</v>
      </c>
      <c r="D3789" s="21"/>
    </row>
    <row r="3790" spans="1:4" ht="12.75" customHeight="1" x14ac:dyDescent="0.2">
      <c r="A3790" s="21"/>
      <c r="B3790" s="3" t="s">
        <v>9</v>
      </c>
      <c r="C3790" s="20" t="s">
        <v>1028</v>
      </c>
      <c r="D3790" s="21"/>
    </row>
    <row r="3791" spans="1:4" ht="12.75" customHeight="1" x14ac:dyDescent="0.2">
      <c r="A3791" s="21"/>
      <c r="B3791" s="3" t="s">
        <v>11</v>
      </c>
      <c r="C3791" s="20" t="s">
        <v>1066</v>
      </c>
      <c r="D3791" s="21"/>
    </row>
    <row r="3792" spans="1:4" ht="12.75" customHeight="1" x14ac:dyDescent="0.2">
      <c r="A3792" s="21"/>
      <c r="B3792" s="3" t="s">
        <v>13</v>
      </c>
      <c r="C3792" s="20" t="s">
        <v>24</v>
      </c>
      <c r="D3792" s="21"/>
    </row>
    <row r="3793" spans="1:4" ht="12.75" customHeight="1" x14ac:dyDescent="0.2">
      <c r="A3793" s="21"/>
      <c r="B3793" s="3" t="s">
        <v>15</v>
      </c>
      <c r="C3793" s="20" t="s">
        <v>24</v>
      </c>
      <c r="D3793" s="21"/>
    </row>
    <row r="3794" spans="1:4" ht="12.75" customHeight="1" x14ac:dyDescent="0.2">
      <c r="A3794" s="21"/>
      <c r="B3794" s="3" t="s">
        <v>16</v>
      </c>
      <c r="C3794" s="20"/>
      <c r="D3794" s="21"/>
    </row>
    <row r="3795" spans="1:4" ht="12.75" customHeight="1" x14ac:dyDescent="0.2">
      <c r="A3795" s="21"/>
      <c r="B3795" s="3" t="s">
        <v>17</v>
      </c>
      <c r="C3795" s="20"/>
      <c r="D3795" s="21"/>
    </row>
    <row r="3796" spans="1:4" ht="12.75" customHeight="1" x14ac:dyDescent="0.2">
      <c r="A3796" s="21"/>
      <c r="B3796" s="20" t="s">
        <v>18</v>
      </c>
      <c r="C3796" s="4" t="s">
        <v>44</v>
      </c>
      <c r="D3796" s="6" t="str">
        <f>HYPERLINK("javascript:void(0)","wendír kéziágyú")</f>
        <v>wendír kéziágyú</v>
      </c>
    </row>
    <row r="3797" spans="1:4" ht="12.75" customHeight="1" x14ac:dyDescent="0.2">
      <c r="A3797" s="21"/>
      <c r="B3797" s="21"/>
      <c r="C3797" s="4" t="s">
        <v>232</v>
      </c>
      <c r="D3797" s="6" t="str">
        <f>HYPERLINK("javascript:void(0)","kívánság")</f>
        <v>kívánság</v>
      </c>
    </row>
    <row r="3798" spans="1:4" ht="12.75" customHeight="1" x14ac:dyDescent="0.2">
      <c r="A3798" s="21"/>
      <c r="B3798" s="21"/>
      <c r="C3798" s="4" t="s">
        <v>56</v>
      </c>
      <c r="D3798" s="6" t="str">
        <f>HYPERLINK("javascript:void(0)","kincsgúla")</f>
        <v>kincsgúla</v>
      </c>
    </row>
    <row r="3799" spans="1:4" ht="12.75" customHeight="1" x14ac:dyDescent="0.2">
      <c r="A3799" s="5"/>
      <c r="B3799" s="2"/>
      <c r="C3799" s="2"/>
      <c r="D3799" s="2"/>
    </row>
    <row r="3800" spans="1:4" ht="12.75" customHeight="1" x14ac:dyDescent="0.2">
      <c r="A3800" s="22" t="str">
        <f>HYPERLINK("javascript:void(0)","démonacél tűvető")</f>
        <v>démonacél tűvető</v>
      </c>
      <c r="B3800" s="21"/>
      <c r="C3800" s="21"/>
      <c r="D3800" s="21"/>
    </row>
    <row r="3801" spans="1:4" ht="12.75" customHeight="1" x14ac:dyDescent="0.2">
      <c r="A3801" s="20"/>
      <c r="B3801" s="2"/>
      <c r="C3801" s="2"/>
      <c r="D3801" s="2"/>
    </row>
    <row r="3802" spans="1:4" ht="12.75" customHeight="1" x14ac:dyDescent="0.2">
      <c r="A3802" s="21"/>
      <c r="B3802" s="3" t="s">
        <v>0</v>
      </c>
      <c r="C3802" s="20" t="s">
        <v>95</v>
      </c>
      <c r="D3802" s="21"/>
    </row>
    <row r="3803" spans="1:4" ht="12.75" customHeight="1" x14ac:dyDescent="0.2">
      <c r="A3803" s="21"/>
      <c r="B3803" s="3" t="s">
        <v>2</v>
      </c>
      <c r="C3803" s="20" t="s">
        <v>3</v>
      </c>
      <c r="D3803" s="21"/>
    </row>
    <row r="3804" spans="1:4" ht="12.75" customHeight="1" x14ac:dyDescent="0.2">
      <c r="A3804" s="21"/>
      <c r="B3804" s="3" t="s">
        <v>4</v>
      </c>
      <c r="C3804" s="20" t="s">
        <v>1069</v>
      </c>
      <c r="D3804" s="21"/>
    </row>
    <row r="3805" spans="1:4" ht="12.75" customHeight="1" x14ac:dyDescent="0.2">
      <c r="A3805" s="21"/>
      <c r="B3805" s="3" t="s">
        <v>6</v>
      </c>
      <c r="C3805" s="20" t="s">
        <v>353</v>
      </c>
      <c r="D3805" s="21"/>
    </row>
    <row r="3806" spans="1:4" ht="12.75" customHeight="1" x14ac:dyDescent="0.2">
      <c r="A3806" s="21"/>
      <c r="B3806" s="3" t="s">
        <v>8</v>
      </c>
      <c r="C3806" s="20" t="s">
        <v>1069</v>
      </c>
      <c r="D3806" s="21"/>
    </row>
    <row r="3807" spans="1:4" ht="12.75" customHeight="1" x14ac:dyDescent="0.2">
      <c r="A3807" s="21"/>
      <c r="B3807" s="3" t="s">
        <v>9</v>
      </c>
      <c r="C3807" s="20" t="s">
        <v>1070</v>
      </c>
      <c r="D3807" s="21"/>
    </row>
    <row r="3808" spans="1:4" ht="12.75" customHeight="1" x14ac:dyDescent="0.2">
      <c r="A3808" s="21"/>
      <c r="B3808" s="3" t="s">
        <v>11</v>
      </c>
      <c r="C3808" s="20" t="s">
        <v>1071</v>
      </c>
      <c r="D3808" s="21"/>
    </row>
    <row r="3809" spans="1:4" ht="12.75" customHeight="1" x14ac:dyDescent="0.2">
      <c r="A3809" s="21"/>
      <c r="B3809" s="3" t="s">
        <v>13</v>
      </c>
      <c r="C3809" s="20" t="s">
        <v>24</v>
      </c>
      <c r="D3809" s="21"/>
    </row>
    <row r="3810" spans="1:4" ht="12.75" customHeight="1" x14ac:dyDescent="0.2">
      <c r="A3810" s="21"/>
      <c r="B3810" s="3" t="s">
        <v>15</v>
      </c>
      <c r="C3810" s="20" t="s">
        <v>24</v>
      </c>
      <c r="D3810" s="21"/>
    </row>
    <row r="3811" spans="1:4" ht="12.75" customHeight="1" x14ac:dyDescent="0.2">
      <c r="A3811" s="21"/>
      <c r="B3811" s="3" t="s">
        <v>16</v>
      </c>
      <c r="C3811" s="20"/>
      <c r="D3811" s="21"/>
    </row>
    <row r="3812" spans="1:4" ht="12.75" customHeight="1" x14ac:dyDescent="0.2">
      <c r="A3812" s="21"/>
      <c r="B3812" s="3" t="s">
        <v>17</v>
      </c>
      <c r="C3812" s="20"/>
      <c r="D3812" s="21"/>
    </row>
    <row r="3813" spans="1:4" ht="12.75" customHeight="1" x14ac:dyDescent="0.2">
      <c r="A3813" s="21"/>
      <c r="B3813" s="20" t="s">
        <v>18</v>
      </c>
      <c r="C3813" s="4" t="s">
        <v>269</v>
      </c>
      <c r="D3813" s="6" t="str">
        <f>HYPERLINK("javascript:void(0)","cingulum")</f>
        <v>cingulum</v>
      </c>
    </row>
    <row r="3814" spans="1:4" ht="12.75" customHeight="1" x14ac:dyDescent="0.2">
      <c r="A3814" s="21"/>
      <c r="B3814" s="21"/>
      <c r="C3814" s="4" t="s">
        <v>756</v>
      </c>
      <c r="D3814" s="6" t="str">
        <f>HYPERLINK("javascript:void(0)","angyalhaj")</f>
        <v>angyalhaj</v>
      </c>
    </row>
    <row r="3815" spans="1:4" ht="12.75" customHeight="1" x14ac:dyDescent="0.2">
      <c r="A3815" s="21"/>
      <c r="B3815" s="21"/>
      <c r="C3815" s="4" t="s">
        <v>44</v>
      </c>
      <c r="D3815" s="6" t="str">
        <f>HYPERLINK("javascript:void(0)","démonacél tűdobó")</f>
        <v>démonacél tűdobó</v>
      </c>
    </row>
    <row r="3816" spans="1:4" ht="12.75" customHeight="1" x14ac:dyDescent="0.2">
      <c r="A3816" s="5"/>
      <c r="B3816" s="2"/>
      <c r="C3816" s="2"/>
      <c r="D3816" s="2"/>
    </row>
    <row r="3817" spans="1:4" ht="12.75" customHeight="1" x14ac:dyDescent="0.2">
      <c r="A3817" s="22" t="str">
        <f>HYPERLINK("javascript:void(0)","artini pattantyú")</f>
        <v>artini pattantyú</v>
      </c>
      <c r="B3817" s="21"/>
      <c r="C3817" s="21"/>
      <c r="D3817" s="21"/>
    </row>
    <row r="3818" spans="1:4" ht="12.75" customHeight="1" x14ac:dyDescent="0.2">
      <c r="A3818" s="20"/>
      <c r="B3818" s="2"/>
      <c r="C3818" s="2"/>
      <c r="D3818" s="2"/>
    </row>
    <row r="3819" spans="1:4" ht="12.75" customHeight="1" x14ac:dyDescent="0.2">
      <c r="A3819" s="21"/>
      <c r="B3819" s="3" t="s">
        <v>0</v>
      </c>
      <c r="C3819" s="20" t="s">
        <v>95</v>
      </c>
      <c r="D3819" s="21"/>
    </row>
    <row r="3820" spans="1:4" ht="12.75" customHeight="1" x14ac:dyDescent="0.2">
      <c r="A3820" s="21"/>
      <c r="B3820" s="3" t="s">
        <v>2</v>
      </c>
      <c r="C3820" s="20" t="s">
        <v>3</v>
      </c>
      <c r="D3820" s="21"/>
    </row>
    <row r="3821" spans="1:4" ht="12.75" customHeight="1" x14ac:dyDescent="0.2">
      <c r="A3821" s="21"/>
      <c r="B3821" s="3" t="s">
        <v>4</v>
      </c>
      <c r="C3821" s="20" t="s">
        <v>1073</v>
      </c>
      <c r="D3821" s="21"/>
    </row>
    <row r="3822" spans="1:4" ht="12.75" customHeight="1" x14ac:dyDescent="0.2">
      <c r="A3822" s="21"/>
      <c r="B3822" s="3" t="s">
        <v>6</v>
      </c>
      <c r="C3822" s="20" t="s">
        <v>65</v>
      </c>
      <c r="D3822" s="21"/>
    </row>
    <row r="3823" spans="1:4" ht="12.75" customHeight="1" x14ac:dyDescent="0.2">
      <c r="A3823" s="21"/>
      <c r="B3823" s="3" t="s">
        <v>8</v>
      </c>
      <c r="C3823" s="20" t="s">
        <v>1073</v>
      </c>
      <c r="D3823" s="21"/>
    </row>
    <row r="3824" spans="1:4" ht="12.75" customHeight="1" x14ac:dyDescent="0.2">
      <c r="A3824" s="21"/>
      <c r="B3824" s="3" t="s">
        <v>9</v>
      </c>
      <c r="C3824" s="20" t="s">
        <v>1074</v>
      </c>
      <c r="D3824" s="21"/>
    </row>
    <row r="3825" spans="1:4" ht="12.75" customHeight="1" x14ac:dyDescent="0.2">
      <c r="A3825" s="21"/>
      <c r="B3825" s="3" t="s">
        <v>11</v>
      </c>
      <c r="C3825" s="20" t="s">
        <v>1075</v>
      </c>
      <c r="D3825" s="21"/>
    </row>
    <row r="3826" spans="1:4" ht="12.75" customHeight="1" x14ac:dyDescent="0.2">
      <c r="A3826" s="21"/>
      <c r="B3826" s="3" t="s">
        <v>13</v>
      </c>
      <c r="C3826" s="20" t="s">
        <v>24</v>
      </c>
      <c r="D3826" s="21"/>
    </row>
    <row r="3827" spans="1:4" ht="12.75" customHeight="1" x14ac:dyDescent="0.2">
      <c r="A3827" s="21"/>
      <c r="B3827" s="3" t="s">
        <v>15</v>
      </c>
      <c r="C3827" s="20" t="s">
        <v>24</v>
      </c>
      <c r="D3827" s="21"/>
    </row>
    <row r="3828" spans="1:4" ht="12.75" customHeight="1" x14ac:dyDescent="0.2">
      <c r="A3828" s="21"/>
      <c r="B3828" s="3" t="s">
        <v>16</v>
      </c>
      <c r="C3828" s="20"/>
      <c r="D3828" s="21"/>
    </row>
    <row r="3829" spans="1:4" ht="12.75" customHeight="1" x14ac:dyDescent="0.2">
      <c r="A3829" s="21"/>
      <c r="B3829" s="3" t="s">
        <v>17</v>
      </c>
      <c r="C3829" s="20"/>
      <c r="D3829" s="21"/>
    </row>
    <row r="3830" spans="1:4" ht="12.75" customHeight="1" x14ac:dyDescent="0.2">
      <c r="A3830" s="21"/>
      <c r="B3830" s="20" t="s">
        <v>18</v>
      </c>
      <c r="C3830" s="4" t="s">
        <v>44</v>
      </c>
      <c r="D3830" s="6" t="str">
        <f>HYPERLINK("javascript:void(0)","artini kéziágyú")</f>
        <v>artini kéziágyú</v>
      </c>
    </row>
    <row r="3831" spans="1:4" ht="12.75" customHeight="1" x14ac:dyDescent="0.2">
      <c r="A3831" s="21"/>
      <c r="B3831" s="21"/>
      <c r="C3831" s="4" t="s">
        <v>68</v>
      </c>
      <c r="D3831" s="6" t="str">
        <f>HYPERLINK("javascript:void(0)","gépelés")</f>
        <v>gépelés</v>
      </c>
    </row>
    <row r="3832" spans="1:4" ht="12.75" customHeight="1" x14ac:dyDescent="0.2">
      <c r="A3832" s="21"/>
      <c r="B3832" s="21"/>
      <c r="C3832" s="4" t="s">
        <v>56</v>
      </c>
      <c r="D3832" s="6" t="str">
        <f>HYPERLINK("javascript:void(0)","kincsgúla")</f>
        <v>kincsgúla</v>
      </c>
    </row>
    <row r="3833" spans="1:4" ht="12.75" customHeight="1" x14ac:dyDescent="0.2">
      <c r="A3833" s="5"/>
      <c r="B3833" s="2"/>
      <c r="C3833" s="2"/>
      <c r="D3833" s="2"/>
    </row>
    <row r="3834" spans="1:4" ht="12.75" customHeight="1" x14ac:dyDescent="0.2">
      <c r="A3834" s="22" t="str">
        <f>HYPERLINK("javascript:void(0)","dracocél tűvető")</f>
        <v>dracocél tűvető</v>
      </c>
      <c r="B3834" s="21"/>
      <c r="C3834" s="21"/>
      <c r="D3834" s="21"/>
    </row>
    <row r="3835" spans="1:4" ht="12.75" customHeight="1" x14ac:dyDescent="0.2">
      <c r="A3835" s="20"/>
      <c r="B3835" s="2"/>
      <c r="C3835" s="2"/>
      <c r="D3835" s="2"/>
    </row>
    <row r="3836" spans="1:4" ht="12.75" customHeight="1" x14ac:dyDescent="0.2">
      <c r="A3836" s="21"/>
      <c r="B3836" s="3" t="s">
        <v>0</v>
      </c>
      <c r="C3836" s="20" t="s">
        <v>336</v>
      </c>
      <c r="D3836" s="21"/>
    </row>
    <row r="3837" spans="1:4" ht="12.75" customHeight="1" x14ac:dyDescent="0.2">
      <c r="A3837" s="21"/>
      <c r="B3837" s="3" t="s">
        <v>2</v>
      </c>
      <c r="C3837" s="20" t="s">
        <v>3</v>
      </c>
      <c r="D3837" s="21"/>
    </row>
    <row r="3838" spans="1:4" ht="12.75" customHeight="1" x14ac:dyDescent="0.2">
      <c r="A3838" s="21"/>
      <c r="B3838" s="3" t="s">
        <v>4</v>
      </c>
      <c r="C3838" s="20" t="s">
        <v>1077</v>
      </c>
      <c r="D3838" s="21"/>
    </row>
    <row r="3839" spans="1:4" ht="12.75" customHeight="1" x14ac:dyDescent="0.2">
      <c r="A3839" s="21"/>
      <c r="B3839" s="3" t="s">
        <v>6</v>
      </c>
      <c r="C3839" s="20" t="s">
        <v>284</v>
      </c>
      <c r="D3839" s="21"/>
    </row>
    <row r="3840" spans="1:4" ht="12.75" customHeight="1" x14ac:dyDescent="0.2">
      <c r="A3840" s="21"/>
      <c r="B3840" s="3" t="s">
        <v>8</v>
      </c>
      <c r="C3840" s="20" t="s">
        <v>1077</v>
      </c>
      <c r="D3840" s="21"/>
    </row>
    <row r="3841" spans="1:4" ht="12.75" customHeight="1" x14ac:dyDescent="0.2">
      <c r="A3841" s="21"/>
      <c r="B3841" s="3" t="s">
        <v>9</v>
      </c>
      <c r="C3841" s="20" t="s">
        <v>1042</v>
      </c>
      <c r="D3841" s="21"/>
    </row>
    <row r="3842" spans="1:4" ht="12.75" customHeight="1" x14ac:dyDescent="0.2">
      <c r="A3842" s="21"/>
      <c r="B3842" s="3" t="s">
        <v>11</v>
      </c>
      <c r="C3842" s="20" t="s">
        <v>1078</v>
      </c>
      <c r="D3842" s="21"/>
    </row>
    <row r="3843" spans="1:4" ht="12.75" customHeight="1" x14ac:dyDescent="0.2">
      <c r="A3843" s="21"/>
      <c r="B3843" s="3" t="s">
        <v>13</v>
      </c>
      <c r="C3843" s="20" t="s">
        <v>24</v>
      </c>
      <c r="D3843" s="21"/>
    </row>
    <row r="3844" spans="1:4" ht="12.75" customHeight="1" x14ac:dyDescent="0.2">
      <c r="A3844" s="21"/>
      <c r="B3844" s="3" t="s">
        <v>15</v>
      </c>
      <c r="C3844" s="20" t="s">
        <v>24</v>
      </c>
      <c r="D3844" s="21"/>
    </row>
    <row r="3845" spans="1:4" ht="12.75" customHeight="1" x14ac:dyDescent="0.2">
      <c r="A3845" s="21"/>
      <c r="B3845" s="3" t="s">
        <v>16</v>
      </c>
      <c r="C3845" s="20"/>
      <c r="D3845" s="21"/>
    </row>
    <row r="3846" spans="1:4" ht="12.75" customHeight="1" x14ac:dyDescent="0.2">
      <c r="A3846" s="21"/>
      <c r="B3846" s="3" t="s">
        <v>17</v>
      </c>
      <c r="C3846" s="20"/>
      <c r="D3846" s="21"/>
    </row>
    <row r="3847" spans="1:4" ht="12.75" customHeight="1" x14ac:dyDescent="0.2">
      <c r="A3847" s="21"/>
      <c r="B3847" s="20" t="s">
        <v>18</v>
      </c>
      <c r="C3847" s="4" t="s">
        <v>44</v>
      </c>
      <c r="D3847" s="6" t="str">
        <f>HYPERLINK("javascript:void(0)","dracocél tűdobó")</f>
        <v>dracocél tűdobó</v>
      </c>
    </row>
    <row r="3848" spans="1:4" ht="12.75" customHeight="1" x14ac:dyDescent="0.2">
      <c r="A3848" s="21"/>
      <c r="B3848" s="21"/>
      <c r="C3848" s="4" t="s">
        <v>139</v>
      </c>
      <c r="D3848" s="6" t="str">
        <f>HYPERLINK("javascript:void(0)","monsztabéklyó")</f>
        <v>monsztabéklyó</v>
      </c>
    </row>
    <row r="3849" spans="1:4" ht="12.75" customHeight="1" x14ac:dyDescent="0.2">
      <c r="A3849" s="21"/>
      <c r="B3849" s="21"/>
      <c r="C3849" s="4" t="s">
        <v>369</v>
      </c>
      <c r="D3849" s="6" t="str">
        <f>HYPERLINK("javascript:void(0)","rojt")</f>
        <v>rojt</v>
      </c>
    </row>
    <row r="3850" spans="1:4" ht="12.75" customHeight="1" x14ac:dyDescent="0.2">
      <c r="A3850" s="5"/>
      <c r="B3850" s="2"/>
      <c r="C3850" s="2"/>
      <c r="D3850" s="2"/>
    </row>
    <row r="3851" spans="1:4" ht="12.75" customHeight="1" x14ac:dyDescent="0.2">
      <c r="A3851" s="22" t="str">
        <f>HYPERLINK("javascript:void(0)","thordi pattantyú")</f>
        <v>thordi pattantyú</v>
      </c>
      <c r="B3851" s="21"/>
      <c r="C3851" s="21"/>
      <c r="D3851" s="21"/>
    </row>
    <row r="3852" spans="1:4" ht="12.75" customHeight="1" x14ac:dyDescent="0.2">
      <c r="A3852" s="20"/>
      <c r="B3852" s="2"/>
      <c r="C3852" s="2"/>
      <c r="D3852" s="2"/>
    </row>
    <row r="3853" spans="1:4" ht="12.75" customHeight="1" x14ac:dyDescent="0.2">
      <c r="A3853" s="21"/>
      <c r="B3853" s="3" t="s">
        <v>0</v>
      </c>
      <c r="C3853" s="20" t="s">
        <v>336</v>
      </c>
      <c r="D3853" s="21"/>
    </row>
    <row r="3854" spans="1:4" ht="12.75" customHeight="1" x14ac:dyDescent="0.2">
      <c r="A3854" s="21"/>
      <c r="B3854" s="3" t="s">
        <v>2</v>
      </c>
      <c r="C3854" s="20" t="s">
        <v>3</v>
      </c>
      <c r="D3854" s="21"/>
    </row>
    <row r="3855" spans="1:4" ht="12.75" customHeight="1" x14ac:dyDescent="0.2">
      <c r="A3855" s="21"/>
      <c r="B3855" s="3" t="s">
        <v>4</v>
      </c>
      <c r="C3855" s="20" t="s">
        <v>1081</v>
      </c>
      <c r="D3855" s="21"/>
    </row>
    <row r="3856" spans="1:4" ht="12.75" customHeight="1" x14ac:dyDescent="0.2">
      <c r="A3856" s="21"/>
      <c r="B3856" s="3" t="s">
        <v>6</v>
      </c>
      <c r="C3856" s="20" t="s">
        <v>65</v>
      </c>
      <c r="D3856" s="21"/>
    </row>
    <row r="3857" spans="1:4" ht="12.75" customHeight="1" x14ac:dyDescent="0.2">
      <c r="A3857" s="21"/>
      <c r="B3857" s="3" t="s">
        <v>8</v>
      </c>
      <c r="C3857" s="20" t="s">
        <v>1081</v>
      </c>
      <c r="D3857" s="21"/>
    </row>
    <row r="3858" spans="1:4" ht="12.75" customHeight="1" x14ac:dyDescent="0.2">
      <c r="A3858" s="21"/>
      <c r="B3858" s="3" t="s">
        <v>9</v>
      </c>
      <c r="C3858" s="20" t="s">
        <v>845</v>
      </c>
      <c r="D3858" s="21"/>
    </row>
    <row r="3859" spans="1:4" ht="12.75" customHeight="1" x14ac:dyDescent="0.2">
      <c r="A3859" s="21"/>
      <c r="B3859" s="3" t="s">
        <v>11</v>
      </c>
      <c r="C3859" s="20" t="s">
        <v>1083</v>
      </c>
      <c r="D3859" s="21"/>
    </row>
    <row r="3860" spans="1:4" ht="12.75" customHeight="1" x14ac:dyDescent="0.2">
      <c r="A3860" s="21"/>
      <c r="B3860" s="3" t="s">
        <v>13</v>
      </c>
      <c r="C3860" s="20" t="s">
        <v>24</v>
      </c>
      <c r="D3860" s="21"/>
    </row>
    <row r="3861" spans="1:4" ht="12.75" customHeight="1" x14ac:dyDescent="0.2">
      <c r="A3861" s="21"/>
      <c r="B3861" s="3" t="s">
        <v>15</v>
      </c>
      <c r="C3861" s="20" t="s">
        <v>24</v>
      </c>
      <c r="D3861" s="21"/>
    </row>
    <row r="3862" spans="1:4" ht="12.75" customHeight="1" x14ac:dyDescent="0.2">
      <c r="A3862" s="21"/>
      <c r="B3862" s="3" t="s">
        <v>16</v>
      </c>
      <c r="C3862" s="20"/>
      <c r="D3862" s="21"/>
    </row>
    <row r="3863" spans="1:4" ht="12.75" customHeight="1" x14ac:dyDescent="0.2">
      <c r="A3863" s="21"/>
      <c r="B3863" s="3" t="s">
        <v>17</v>
      </c>
      <c r="C3863" s="20"/>
      <c r="D3863" s="21"/>
    </row>
    <row r="3864" spans="1:4" ht="12.75" customHeight="1" x14ac:dyDescent="0.2">
      <c r="A3864" s="21"/>
      <c r="B3864" s="20" t="s">
        <v>18</v>
      </c>
      <c r="C3864" s="4" t="s">
        <v>44</v>
      </c>
      <c r="D3864" s="6" t="str">
        <f>HYPERLINK("javascript:void(0)","thordi kéziágyú")</f>
        <v>thordi kéziágyú</v>
      </c>
    </row>
    <row r="3865" spans="1:4" ht="12.75" customHeight="1" x14ac:dyDescent="0.2">
      <c r="A3865" s="21"/>
      <c r="B3865" s="21"/>
      <c r="C3865" s="4" t="s">
        <v>55</v>
      </c>
      <c r="D3865" s="6" t="str">
        <f>HYPERLINK("javascript:void(0)","rejtelem")</f>
        <v>rejtelem</v>
      </c>
    </row>
    <row r="3866" spans="1:4" ht="12.75" customHeight="1" x14ac:dyDescent="0.2">
      <c r="A3866" s="21"/>
      <c r="B3866" s="21"/>
      <c r="C3866" s="4" t="s">
        <v>56</v>
      </c>
      <c r="D3866" s="6" t="str">
        <f>HYPERLINK("javascript:void(0)","kincsgúla")</f>
        <v>kincsgúla</v>
      </c>
    </row>
    <row r="3867" spans="1:4" ht="12.75" customHeight="1" x14ac:dyDescent="0.2">
      <c r="A3867" s="5"/>
      <c r="B3867" s="2"/>
      <c r="C3867" s="2"/>
      <c r="D3867" s="2"/>
    </row>
    <row r="3868" spans="1:4" ht="12.75" customHeight="1" x14ac:dyDescent="0.2">
      <c r="A3868" s="22" t="str">
        <f>HYPERLINK("javascript:void(0)","elfacél tűvető")</f>
        <v>elfacél tűvető</v>
      </c>
      <c r="B3868" s="21"/>
      <c r="C3868" s="21"/>
      <c r="D3868" s="21"/>
    </row>
    <row r="3869" spans="1:4" ht="12.75" customHeight="1" x14ac:dyDescent="0.2">
      <c r="A3869" s="20"/>
      <c r="B3869" s="2"/>
      <c r="C3869" s="2"/>
      <c r="D3869" s="2"/>
    </row>
    <row r="3870" spans="1:4" ht="12.75" customHeight="1" x14ac:dyDescent="0.2">
      <c r="A3870" s="21"/>
      <c r="B3870" s="3" t="s">
        <v>0</v>
      </c>
      <c r="C3870" s="20" t="s">
        <v>347</v>
      </c>
      <c r="D3870" s="21"/>
    </row>
    <row r="3871" spans="1:4" ht="12.75" customHeight="1" x14ac:dyDescent="0.2">
      <c r="A3871" s="21"/>
      <c r="B3871" s="3" t="s">
        <v>2</v>
      </c>
      <c r="C3871" s="20" t="s">
        <v>3</v>
      </c>
      <c r="D3871" s="21"/>
    </row>
    <row r="3872" spans="1:4" ht="12.75" customHeight="1" x14ac:dyDescent="0.2">
      <c r="A3872" s="21"/>
      <c r="B3872" s="3" t="s">
        <v>4</v>
      </c>
      <c r="C3872" s="20" t="s">
        <v>1087</v>
      </c>
      <c r="D3872" s="21"/>
    </row>
    <row r="3873" spans="1:4" ht="12.75" customHeight="1" x14ac:dyDescent="0.2">
      <c r="A3873" s="21"/>
      <c r="B3873" s="3" t="s">
        <v>6</v>
      </c>
      <c r="C3873" s="20" t="s">
        <v>157</v>
      </c>
      <c r="D3873" s="21"/>
    </row>
    <row r="3874" spans="1:4" ht="12.75" customHeight="1" x14ac:dyDescent="0.2">
      <c r="A3874" s="21"/>
      <c r="B3874" s="3" t="s">
        <v>8</v>
      </c>
      <c r="C3874" s="20" t="s">
        <v>1087</v>
      </c>
      <c r="D3874" s="21"/>
    </row>
    <row r="3875" spans="1:4" ht="12.75" customHeight="1" x14ac:dyDescent="0.2">
      <c r="A3875" s="21"/>
      <c r="B3875" s="3" t="s">
        <v>9</v>
      </c>
      <c r="C3875" s="20" t="s">
        <v>1089</v>
      </c>
      <c r="D3875" s="21"/>
    </row>
    <row r="3876" spans="1:4" ht="12.75" customHeight="1" x14ac:dyDescent="0.2">
      <c r="A3876" s="21"/>
      <c r="B3876" s="3" t="s">
        <v>11</v>
      </c>
      <c r="C3876" s="20" t="s">
        <v>1090</v>
      </c>
      <c r="D3876" s="21"/>
    </row>
    <row r="3877" spans="1:4" ht="12.75" customHeight="1" x14ac:dyDescent="0.2">
      <c r="A3877" s="21"/>
      <c r="B3877" s="3" t="s">
        <v>13</v>
      </c>
      <c r="C3877" s="20" t="s">
        <v>24</v>
      </c>
      <c r="D3877" s="21"/>
    </row>
    <row r="3878" spans="1:4" ht="12.75" customHeight="1" x14ac:dyDescent="0.2">
      <c r="A3878" s="21"/>
      <c r="B3878" s="3" t="s">
        <v>15</v>
      </c>
      <c r="C3878" s="20" t="s">
        <v>24</v>
      </c>
      <c r="D3878" s="21"/>
    </row>
    <row r="3879" spans="1:4" ht="12.75" customHeight="1" x14ac:dyDescent="0.2">
      <c r="A3879" s="21"/>
      <c r="B3879" s="3" t="s">
        <v>16</v>
      </c>
      <c r="C3879" s="20"/>
      <c r="D3879" s="21"/>
    </row>
    <row r="3880" spans="1:4" ht="12.75" customHeight="1" x14ac:dyDescent="0.2">
      <c r="A3880" s="21"/>
      <c r="B3880" s="3" t="s">
        <v>17</v>
      </c>
      <c r="C3880" s="20"/>
      <c r="D3880" s="21"/>
    </row>
    <row r="3881" spans="1:4" ht="12.75" customHeight="1" x14ac:dyDescent="0.2">
      <c r="A3881" s="21"/>
      <c r="B3881" s="20" t="s">
        <v>18</v>
      </c>
      <c r="C3881" s="4" t="s">
        <v>296</v>
      </c>
      <c r="D3881" s="6" t="str">
        <f>HYPERLINK("javascript:void(0)","rémkép")</f>
        <v>rémkép</v>
      </c>
    </row>
    <row r="3882" spans="1:4" ht="12.75" customHeight="1" x14ac:dyDescent="0.2">
      <c r="A3882" s="21"/>
      <c r="B3882" s="21"/>
      <c r="C3882" s="4" t="s">
        <v>244</v>
      </c>
      <c r="D3882" s="6" t="str">
        <f>HYPERLINK("javascript:void(0)","toplaty")</f>
        <v>toplaty</v>
      </c>
    </row>
    <row r="3883" spans="1:4" ht="12.75" customHeight="1" x14ac:dyDescent="0.2">
      <c r="A3883" s="21"/>
      <c r="B3883" s="21"/>
      <c r="C3883" s="4" t="s">
        <v>44</v>
      </c>
      <c r="D3883" s="6" t="str">
        <f>HYPERLINK("javascript:void(0)","elfacél tűdobó")</f>
        <v>elfacél tűdobó</v>
      </c>
    </row>
    <row r="3884" spans="1:4" ht="12.75" customHeight="1" x14ac:dyDescent="0.2">
      <c r="A3884" s="5"/>
      <c r="B3884" s="2"/>
      <c r="C3884" s="2"/>
      <c r="D3884" s="2"/>
    </row>
    <row r="3885" spans="1:4" ht="12.75" customHeight="1" x14ac:dyDescent="0.2">
      <c r="A3885" s="22" t="str">
        <f>HYPERLINK("javascript:void(0)","fotoacél pattantyú")</f>
        <v>fotoacél pattantyú</v>
      </c>
      <c r="B3885" s="21"/>
      <c r="C3885" s="21"/>
      <c r="D3885" s="21"/>
    </row>
    <row r="3886" spans="1:4" ht="12.75" customHeight="1" x14ac:dyDescent="0.2">
      <c r="A3886" s="20"/>
      <c r="B3886" s="2"/>
      <c r="C3886" s="2"/>
      <c r="D3886" s="2"/>
    </row>
    <row r="3887" spans="1:4" ht="12.75" customHeight="1" x14ac:dyDescent="0.2">
      <c r="A3887" s="21"/>
      <c r="B3887" s="3" t="s">
        <v>0</v>
      </c>
      <c r="C3887" s="20" t="s">
        <v>347</v>
      </c>
      <c r="D3887" s="21"/>
    </row>
    <row r="3888" spans="1:4" ht="12.75" customHeight="1" x14ac:dyDescent="0.2">
      <c r="A3888" s="21"/>
      <c r="B3888" s="3" t="s">
        <v>2</v>
      </c>
      <c r="C3888" s="20" t="s">
        <v>3</v>
      </c>
      <c r="D3888" s="21"/>
    </row>
    <row r="3889" spans="1:4" ht="12.75" customHeight="1" x14ac:dyDescent="0.2">
      <c r="A3889" s="21"/>
      <c r="B3889" s="3" t="s">
        <v>4</v>
      </c>
      <c r="C3889" s="20" t="s">
        <v>1091</v>
      </c>
      <c r="D3889" s="21"/>
    </row>
    <row r="3890" spans="1:4" ht="12.75" customHeight="1" x14ac:dyDescent="0.2">
      <c r="A3890" s="21"/>
      <c r="B3890" s="3" t="s">
        <v>6</v>
      </c>
      <c r="C3890" s="20" t="s">
        <v>65</v>
      </c>
      <c r="D3890" s="21"/>
    </row>
    <row r="3891" spans="1:4" ht="12.75" customHeight="1" x14ac:dyDescent="0.2">
      <c r="A3891" s="21"/>
      <c r="B3891" s="3" t="s">
        <v>8</v>
      </c>
      <c r="C3891" s="20" t="s">
        <v>1091</v>
      </c>
      <c r="D3891" s="21"/>
    </row>
    <row r="3892" spans="1:4" ht="12.75" customHeight="1" x14ac:dyDescent="0.2">
      <c r="A3892" s="21"/>
      <c r="B3892" s="3" t="s">
        <v>9</v>
      </c>
      <c r="C3892" s="20" t="s">
        <v>1020</v>
      </c>
      <c r="D3892" s="21"/>
    </row>
    <row r="3893" spans="1:4" ht="12.75" customHeight="1" x14ac:dyDescent="0.2">
      <c r="A3893" s="21"/>
      <c r="B3893" s="3" t="s">
        <v>11</v>
      </c>
      <c r="C3893" s="20" t="s">
        <v>1093</v>
      </c>
      <c r="D3893" s="21"/>
    </row>
    <row r="3894" spans="1:4" ht="12.75" customHeight="1" x14ac:dyDescent="0.2">
      <c r="A3894" s="21"/>
      <c r="B3894" s="3" t="s">
        <v>13</v>
      </c>
      <c r="C3894" s="20" t="s">
        <v>24</v>
      </c>
      <c r="D3894" s="21"/>
    </row>
    <row r="3895" spans="1:4" ht="12.75" customHeight="1" x14ac:dyDescent="0.2">
      <c r="A3895" s="21"/>
      <c r="B3895" s="3" t="s">
        <v>15</v>
      </c>
      <c r="C3895" s="20" t="s">
        <v>24</v>
      </c>
      <c r="D3895" s="21"/>
    </row>
    <row r="3896" spans="1:4" ht="12.75" customHeight="1" x14ac:dyDescent="0.2">
      <c r="A3896" s="21"/>
      <c r="B3896" s="3" t="s">
        <v>16</v>
      </c>
      <c r="C3896" s="20"/>
      <c r="D3896" s="21"/>
    </row>
    <row r="3897" spans="1:4" ht="12.75" customHeight="1" x14ac:dyDescent="0.2">
      <c r="A3897" s="21"/>
      <c r="B3897" s="3" t="s">
        <v>17</v>
      </c>
      <c r="C3897" s="20"/>
      <c r="D3897" s="21"/>
    </row>
    <row r="3898" spans="1:4" ht="12.75" customHeight="1" x14ac:dyDescent="0.2">
      <c r="A3898" s="21"/>
      <c r="B3898" s="20" t="s">
        <v>18</v>
      </c>
      <c r="C3898" s="4" t="s">
        <v>44</v>
      </c>
      <c r="D3898" s="6" t="str">
        <f>HYPERLINK("javascript:void(0)","fotoacél kéziágyú")</f>
        <v>fotoacél kéziágyú</v>
      </c>
    </row>
    <row r="3899" spans="1:4" ht="12.75" customHeight="1" x14ac:dyDescent="0.2">
      <c r="A3899" s="21"/>
      <c r="B3899" s="21"/>
      <c r="C3899" s="4" t="s">
        <v>232</v>
      </c>
      <c r="D3899" s="6" t="str">
        <f>HYPERLINK("javascript:void(0)","titkos jelszó")</f>
        <v>titkos jelszó</v>
      </c>
    </row>
    <row r="3900" spans="1:4" ht="12.75" customHeight="1" x14ac:dyDescent="0.2">
      <c r="A3900" s="21"/>
      <c r="B3900" s="21"/>
      <c r="C3900" s="4" t="s">
        <v>56</v>
      </c>
      <c r="D3900" s="6" t="str">
        <f>HYPERLINK("javascript:void(0)","kincsgúla")</f>
        <v>kincsgúla</v>
      </c>
    </row>
    <row r="3901" spans="1:4" ht="12.75" customHeight="1" x14ac:dyDescent="0.2">
      <c r="A3901" s="5"/>
      <c r="B3901" s="2"/>
      <c r="C3901" s="2"/>
      <c r="D3901" s="2"/>
    </row>
    <row r="3902" spans="1:4" ht="12.75" customHeight="1" x14ac:dyDescent="0.2">
      <c r="A3902" s="22" t="str">
        <f>HYPERLINK("javascript:void(0)","óriásacél tűvető")</f>
        <v>óriásacél tűvető</v>
      </c>
      <c r="B3902" s="21"/>
      <c r="C3902" s="21"/>
      <c r="D3902" s="21"/>
    </row>
    <row r="3903" spans="1:4" ht="12.75" customHeight="1" x14ac:dyDescent="0.2">
      <c r="A3903" s="20"/>
      <c r="B3903" s="2"/>
      <c r="C3903" s="2"/>
      <c r="D3903" s="2"/>
    </row>
    <row r="3904" spans="1:4" ht="12.75" customHeight="1" x14ac:dyDescent="0.2">
      <c r="A3904" s="21"/>
      <c r="B3904" s="3" t="s">
        <v>0</v>
      </c>
      <c r="C3904" s="20" t="s">
        <v>312</v>
      </c>
      <c r="D3904" s="21"/>
    </row>
    <row r="3905" spans="1:4" ht="12.75" customHeight="1" x14ac:dyDescent="0.2">
      <c r="A3905" s="21"/>
      <c r="B3905" s="3" t="s">
        <v>2</v>
      </c>
      <c r="C3905" s="20" t="s">
        <v>3</v>
      </c>
      <c r="D3905" s="21"/>
    </row>
    <row r="3906" spans="1:4" ht="12.75" customHeight="1" x14ac:dyDescent="0.2">
      <c r="A3906" s="21"/>
      <c r="B3906" s="3" t="s">
        <v>4</v>
      </c>
      <c r="C3906" s="20" t="s">
        <v>1095</v>
      </c>
      <c r="D3906" s="21"/>
    </row>
    <row r="3907" spans="1:4" ht="12.75" customHeight="1" x14ac:dyDescent="0.2">
      <c r="A3907" s="21"/>
      <c r="B3907" s="3" t="s">
        <v>6</v>
      </c>
      <c r="C3907" s="20" t="s">
        <v>206</v>
      </c>
      <c r="D3907" s="21"/>
    </row>
    <row r="3908" spans="1:4" ht="12.75" customHeight="1" x14ac:dyDescent="0.2">
      <c r="A3908" s="21"/>
      <c r="B3908" s="3" t="s">
        <v>8</v>
      </c>
      <c r="C3908" s="20" t="s">
        <v>1095</v>
      </c>
      <c r="D3908" s="21"/>
    </row>
    <row r="3909" spans="1:4" ht="12.75" customHeight="1" x14ac:dyDescent="0.2">
      <c r="A3909" s="21"/>
      <c r="B3909" s="3" t="s">
        <v>9</v>
      </c>
      <c r="C3909" s="20" t="s">
        <v>1096</v>
      </c>
      <c r="D3909" s="21"/>
    </row>
    <row r="3910" spans="1:4" ht="12.75" customHeight="1" x14ac:dyDescent="0.2">
      <c r="A3910" s="21"/>
      <c r="B3910" s="3" t="s">
        <v>11</v>
      </c>
      <c r="C3910" s="20" t="s">
        <v>1097</v>
      </c>
      <c r="D3910" s="21"/>
    </row>
    <row r="3911" spans="1:4" ht="12.75" customHeight="1" x14ac:dyDescent="0.2">
      <c r="A3911" s="21"/>
      <c r="B3911" s="3" t="s">
        <v>13</v>
      </c>
      <c r="C3911" s="20" t="s">
        <v>24</v>
      </c>
      <c r="D3911" s="21"/>
    </row>
    <row r="3912" spans="1:4" ht="12.75" customHeight="1" x14ac:dyDescent="0.2">
      <c r="A3912" s="21"/>
      <c r="B3912" s="3" t="s">
        <v>15</v>
      </c>
      <c r="C3912" s="20" t="s">
        <v>24</v>
      </c>
      <c r="D3912" s="21"/>
    </row>
    <row r="3913" spans="1:4" ht="12.75" customHeight="1" x14ac:dyDescent="0.2">
      <c r="A3913" s="21"/>
      <c r="B3913" s="3" t="s">
        <v>16</v>
      </c>
      <c r="C3913" s="20"/>
      <c r="D3913" s="21"/>
    </row>
    <row r="3914" spans="1:4" ht="12.75" customHeight="1" x14ac:dyDescent="0.2">
      <c r="A3914" s="21"/>
      <c r="B3914" s="3" t="s">
        <v>17</v>
      </c>
      <c r="C3914" s="20"/>
      <c r="D3914" s="21"/>
    </row>
    <row r="3915" spans="1:4" ht="12.75" customHeight="1" x14ac:dyDescent="0.2">
      <c r="A3915" s="21"/>
      <c r="B3915" s="20" t="s">
        <v>18</v>
      </c>
      <c r="C3915" s="4" t="s">
        <v>44</v>
      </c>
      <c r="D3915" s="6" t="str">
        <f>HYPERLINK("javascript:void(0)","óriásacél tűdobó")</f>
        <v>óriásacél tűdobó</v>
      </c>
    </row>
    <row r="3916" spans="1:4" ht="12.75" customHeight="1" x14ac:dyDescent="0.2">
      <c r="A3916" s="21"/>
      <c r="B3916" s="21"/>
      <c r="C3916" s="4" t="s">
        <v>139</v>
      </c>
      <c r="D3916" s="6" t="str">
        <f>HYPERLINK("javascript:void(0)","rozmáragyar")</f>
        <v>rozmáragyar</v>
      </c>
    </row>
    <row r="3917" spans="1:4" ht="12.75" customHeight="1" x14ac:dyDescent="0.2">
      <c r="A3917" s="21"/>
      <c r="B3917" s="21"/>
      <c r="C3917" s="4" t="s">
        <v>398</v>
      </c>
      <c r="D3917" s="6" t="str">
        <f>HYPERLINK("javascript:void(0)","lélekfodor")</f>
        <v>lélekfodor</v>
      </c>
    </row>
    <row r="3918" spans="1:4" ht="12.75" customHeight="1" x14ac:dyDescent="0.2">
      <c r="A3918" s="5"/>
      <c r="B3918" s="2"/>
      <c r="C3918" s="2"/>
      <c r="D3918" s="2"/>
    </row>
    <row r="3919" spans="1:4" ht="12.75" customHeight="1" x14ac:dyDescent="0.2">
      <c r="A3919" s="22" t="str">
        <f>HYPERLINK("javascript:void(0)","magnetoacél pattantyú")</f>
        <v>magnetoacél pattantyú</v>
      </c>
      <c r="B3919" s="21"/>
      <c r="C3919" s="21"/>
      <c r="D3919" s="21"/>
    </row>
    <row r="3920" spans="1:4" ht="12.75" customHeight="1" x14ac:dyDescent="0.2">
      <c r="A3920" s="20"/>
      <c r="B3920" s="2"/>
      <c r="C3920" s="2"/>
      <c r="D3920" s="2"/>
    </row>
    <row r="3921" spans="1:4" ht="12.75" customHeight="1" x14ac:dyDescent="0.2">
      <c r="A3921" s="21"/>
      <c r="B3921" s="3" t="s">
        <v>0</v>
      </c>
      <c r="C3921" s="20" t="s">
        <v>312</v>
      </c>
      <c r="D3921" s="21"/>
    </row>
    <row r="3922" spans="1:4" ht="12.75" customHeight="1" x14ac:dyDescent="0.2">
      <c r="A3922" s="21"/>
      <c r="B3922" s="3" t="s">
        <v>2</v>
      </c>
      <c r="C3922" s="20" t="s">
        <v>3</v>
      </c>
      <c r="D3922" s="21"/>
    </row>
    <row r="3923" spans="1:4" ht="12.75" customHeight="1" x14ac:dyDescent="0.2">
      <c r="A3923" s="21"/>
      <c r="B3923" s="3" t="s">
        <v>4</v>
      </c>
      <c r="C3923" s="20" t="s">
        <v>1100</v>
      </c>
      <c r="D3923" s="21"/>
    </row>
    <row r="3924" spans="1:4" ht="12.75" customHeight="1" x14ac:dyDescent="0.2">
      <c r="A3924" s="21"/>
      <c r="B3924" s="3" t="s">
        <v>6</v>
      </c>
      <c r="C3924" s="20" t="s">
        <v>65</v>
      </c>
      <c r="D3924" s="21"/>
    </row>
    <row r="3925" spans="1:4" ht="12.75" customHeight="1" x14ac:dyDescent="0.2">
      <c r="A3925" s="21"/>
      <c r="B3925" s="3" t="s">
        <v>8</v>
      </c>
      <c r="C3925" s="20" t="s">
        <v>1100</v>
      </c>
      <c r="D3925" s="21"/>
    </row>
    <row r="3926" spans="1:4" ht="12.75" customHeight="1" x14ac:dyDescent="0.2">
      <c r="A3926" s="21"/>
      <c r="B3926" s="3" t="s">
        <v>9</v>
      </c>
      <c r="C3926" s="20" t="s">
        <v>1046</v>
      </c>
      <c r="D3926" s="21"/>
    </row>
    <row r="3927" spans="1:4" ht="12.75" customHeight="1" x14ac:dyDescent="0.2">
      <c r="A3927" s="21"/>
      <c r="B3927" s="3" t="s">
        <v>11</v>
      </c>
      <c r="C3927" s="20" t="s">
        <v>1101</v>
      </c>
      <c r="D3927" s="21"/>
    </row>
    <row r="3928" spans="1:4" ht="12.75" customHeight="1" x14ac:dyDescent="0.2">
      <c r="A3928" s="21"/>
      <c r="B3928" s="3" t="s">
        <v>13</v>
      </c>
      <c r="C3928" s="20" t="s">
        <v>24</v>
      </c>
      <c r="D3928" s="21"/>
    </row>
    <row r="3929" spans="1:4" ht="12.75" customHeight="1" x14ac:dyDescent="0.2">
      <c r="A3929" s="21"/>
      <c r="B3929" s="3" t="s">
        <v>15</v>
      </c>
      <c r="C3929" s="20" t="s">
        <v>24</v>
      </c>
      <c r="D3929" s="21"/>
    </row>
    <row r="3930" spans="1:4" ht="12.75" customHeight="1" x14ac:dyDescent="0.2">
      <c r="A3930" s="21"/>
      <c r="B3930" s="3" t="s">
        <v>16</v>
      </c>
      <c r="C3930" s="20"/>
      <c r="D3930" s="21"/>
    </row>
    <row r="3931" spans="1:4" ht="12.75" customHeight="1" x14ac:dyDescent="0.2">
      <c r="A3931" s="21"/>
      <c r="B3931" s="3" t="s">
        <v>17</v>
      </c>
      <c r="C3931" s="20"/>
      <c r="D3931" s="21"/>
    </row>
    <row r="3932" spans="1:4" ht="25.5" customHeight="1" x14ac:dyDescent="0.2">
      <c r="A3932" s="21"/>
      <c r="B3932" s="20" t="s">
        <v>18</v>
      </c>
      <c r="C3932" s="4" t="s">
        <v>44</v>
      </c>
      <c r="D3932" s="6" t="str">
        <f>HYPERLINK("javascript:void(0)","magnetoacél kéziágyú")</f>
        <v>magnetoacél kéziágyú</v>
      </c>
    </row>
    <row r="3933" spans="1:4" ht="12.75" customHeight="1" x14ac:dyDescent="0.2">
      <c r="A3933" s="21"/>
      <c r="B3933" s="21"/>
      <c r="C3933" s="4" t="s">
        <v>142</v>
      </c>
      <c r="D3933" s="6" t="str">
        <f>HYPERLINK("javascript:void(0)","ágyaskörtye")</f>
        <v>ágyaskörtye</v>
      </c>
    </row>
    <row r="3934" spans="1:4" ht="12.75" customHeight="1" x14ac:dyDescent="0.2">
      <c r="A3934" s="21"/>
      <c r="B3934" s="21"/>
      <c r="C3934" s="4" t="s">
        <v>56</v>
      </c>
      <c r="D3934" s="6" t="str">
        <f>HYPERLINK("javascript:void(0)","kincsgúla")</f>
        <v>kincsgúla</v>
      </c>
    </row>
    <row r="3935" spans="1:4" ht="12.75" customHeight="1" x14ac:dyDescent="0.2">
      <c r="A3935" s="5"/>
      <c r="B3935" s="2"/>
      <c r="C3935" s="2"/>
      <c r="D3935" s="2"/>
    </row>
    <row r="3936" spans="1:4" ht="12.75" customHeight="1" x14ac:dyDescent="0.2">
      <c r="A3936" s="22" t="str">
        <f>HYPERLINK("javascript:void(0)","kentacél tűvető")</f>
        <v>kentacél tűvető</v>
      </c>
      <c r="B3936" s="21"/>
      <c r="C3936" s="21"/>
      <c r="D3936" s="21"/>
    </row>
    <row r="3937" spans="1:4" ht="12.75" customHeight="1" x14ac:dyDescent="0.2">
      <c r="A3937" s="20"/>
      <c r="B3937" s="2"/>
      <c r="C3937" s="2"/>
      <c r="D3937" s="2"/>
    </row>
    <row r="3938" spans="1:4" ht="12.75" customHeight="1" x14ac:dyDescent="0.2">
      <c r="A3938" s="21"/>
      <c r="B3938" s="3" t="s">
        <v>0</v>
      </c>
      <c r="C3938" s="20" t="s">
        <v>305</v>
      </c>
      <c r="D3938" s="21"/>
    </row>
    <row r="3939" spans="1:4" ht="12.75" customHeight="1" x14ac:dyDescent="0.2">
      <c r="A3939" s="21"/>
      <c r="B3939" s="3" t="s">
        <v>2</v>
      </c>
      <c r="C3939" s="20" t="s">
        <v>3</v>
      </c>
      <c r="D3939" s="21"/>
    </row>
    <row r="3940" spans="1:4" ht="12.75" customHeight="1" x14ac:dyDescent="0.2">
      <c r="A3940" s="21"/>
      <c r="B3940" s="3" t="s">
        <v>4</v>
      </c>
      <c r="C3940" s="20" t="s">
        <v>1103</v>
      </c>
      <c r="D3940" s="21"/>
    </row>
    <row r="3941" spans="1:4" ht="12.75" customHeight="1" x14ac:dyDescent="0.2">
      <c r="A3941" s="21"/>
      <c r="B3941" s="3" t="s">
        <v>6</v>
      </c>
      <c r="C3941" s="20" t="s">
        <v>353</v>
      </c>
      <c r="D3941" s="21"/>
    </row>
    <row r="3942" spans="1:4" ht="12.75" customHeight="1" x14ac:dyDescent="0.2">
      <c r="A3942" s="21"/>
      <c r="B3942" s="3" t="s">
        <v>8</v>
      </c>
      <c r="C3942" s="20" t="s">
        <v>1103</v>
      </c>
      <c r="D3942" s="21"/>
    </row>
    <row r="3943" spans="1:4" ht="12.75" customHeight="1" x14ac:dyDescent="0.2">
      <c r="A3943" s="21"/>
      <c r="B3943" s="3" t="s">
        <v>9</v>
      </c>
      <c r="C3943" s="20" t="s">
        <v>1104</v>
      </c>
      <c r="D3943" s="21"/>
    </row>
    <row r="3944" spans="1:4" ht="12.75" customHeight="1" x14ac:dyDescent="0.2">
      <c r="A3944" s="21"/>
      <c r="B3944" s="3" t="s">
        <v>11</v>
      </c>
      <c r="C3944" s="20" t="s">
        <v>1105</v>
      </c>
      <c r="D3944" s="21"/>
    </row>
    <row r="3945" spans="1:4" ht="12.75" customHeight="1" x14ac:dyDescent="0.2">
      <c r="A3945" s="21"/>
      <c r="B3945" s="3" t="s">
        <v>13</v>
      </c>
      <c r="C3945" s="20" t="s">
        <v>24</v>
      </c>
      <c r="D3945" s="21"/>
    </row>
    <row r="3946" spans="1:4" ht="12.75" customHeight="1" x14ac:dyDescent="0.2">
      <c r="A3946" s="21"/>
      <c r="B3946" s="3" t="s">
        <v>15</v>
      </c>
      <c r="C3946" s="20" t="s">
        <v>24</v>
      </c>
      <c r="D3946" s="21"/>
    </row>
    <row r="3947" spans="1:4" ht="12.75" customHeight="1" x14ac:dyDescent="0.2">
      <c r="A3947" s="21"/>
      <c r="B3947" s="3" t="s">
        <v>16</v>
      </c>
      <c r="C3947" s="20"/>
      <c r="D3947" s="21"/>
    </row>
    <row r="3948" spans="1:4" ht="12.75" customHeight="1" x14ac:dyDescent="0.2">
      <c r="A3948" s="21"/>
      <c r="B3948" s="3" t="s">
        <v>17</v>
      </c>
      <c r="C3948" s="20"/>
      <c r="D3948" s="21"/>
    </row>
    <row r="3949" spans="1:4" ht="12.75" customHeight="1" x14ac:dyDescent="0.2">
      <c r="A3949" s="21"/>
      <c r="B3949" s="20" t="s">
        <v>18</v>
      </c>
      <c r="C3949" s="4" t="s">
        <v>786</v>
      </c>
      <c r="D3949" s="6" t="str">
        <f>HYPERLINK("javascript:void(0)","fiola")</f>
        <v>fiola</v>
      </c>
    </row>
    <row r="3950" spans="1:4" ht="12.75" customHeight="1" x14ac:dyDescent="0.2">
      <c r="A3950" s="21"/>
      <c r="B3950" s="21"/>
      <c r="C3950" s="4" t="s">
        <v>316</v>
      </c>
      <c r="D3950" s="6" t="str">
        <f>HYPERLINK("javascript:void(0)","csatatüske")</f>
        <v>csatatüske</v>
      </c>
    </row>
    <row r="3951" spans="1:4" ht="12.75" customHeight="1" x14ac:dyDescent="0.2">
      <c r="A3951" s="21"/>
      <c r="B3951" s="21"/>
      <c r="C3951" s="4" t="s">
        <v>44</v>
      </c>
      <c r="D3951" s="6" t="str">
        <f>HYPERLINK("javascript:void(0)","kentacél tűdobó")</f>
        <v>kentacél tűdobó</v>
      </c>
    </row>
    <row r="3952" spans="1:4" ht="12.75" customHeight="1" x14ac:dyDescent="0.2">
      <c r="A3952" s="5"/>
      <c r="B3952" s="2"/>
      <c r="C3952" s="2"/>
      <c r="D3952" s="2"/>
    </row>
    <row r="3953" spans="1:4" ht="12.75" customHeight="1" x14ac:dyDescent="0.2">
      <c r="A3953" s="22" t="str">
        <f>HYPERLINK("javascript:void(0)","helioacél pattantyú")</f>
        <v>helioacél pattantyú</v>
      </c>
      <c r="B3953" s="21"/>
      <c r="C3953" s="21"/>
      <c r="D3953" s="21"/>
    </row>
    <row r="3954" spans="1:4" ht="12.75" customHeight="1" x14ac:dyDescent="0.2">
      <c r="A3954" s="20"/>
      <c r="B3954" s="2"/>
      <c r="C3954" s="2"/>
      <c r="D3954" s="2"/>
    </row>
    <row r="3955" spans="1:4" ht="12.75" customHeight="1" x14ac:dyDescent="0.2">
      <c r="A3955" s="21"/>
      <c r="B3955" s="3" t="s">
        <v>0</v>
      </c>
      <c r="C3955" s="20" t="s">
        <v>305</v>
      </c>
      <c r="D3955" s="21"/>
    </row>
    <row r="3956" spans="1:4" ht="12.75" customHeight="1" x14ac:dyDescent="0.2">
      <c r="A3956" s="21"/>
      <c r="B3956" s="3" t="s">
        <v>2</v>
      </c>
      <c r="C3956" s="20" t="s">
        <v>3</v>
      </c>
      <c r="D3956" s="21"/>
    </row>
    <row r="3957" spans="1:4" ht="12.75" customHeight="1" x14ac:dyDescent="0.2">
      <c r="A3957" s="21"/>
      <c r="B3957" s="3" t="s">
        <v>4</v>
      </c>
      <c r="C3957" s="20" t="s">
        <v>1107</v>
      </c>
      <c r="D3957" s="21"/>
    </row>
    <row r="3958" spans="1:4" ht="12.75" customHeight="1" x14ac:dyDescent="0.2">
      <c r="A3958" s="21"/>
      <c r="B3958" s="3" t="s">
        <v>6</v>
      </c>
      <c r="C3958" s="20" t="s">
        <v>65</v>
      </c>
      <c r="D3958" s="21"/>
    </row>
    <row r="3959" spans="1:4" ht="12.75" customHeight="1" x14ac:dyDescent="0.2">
      <c r="A3959" s="21"/>
      <c r="B3959" s="3" t="s">
        <v>8</v>
      </c>
      <c r="C3959" s="20" t="s">
        <v>1107</v>
      </c>
      <c r="D3959" s="21"/>
    </row>
    <row r="3960" spans="1:4" ht="12.75" customHeight="1" x14ac:dyDescent="0.2">
      <c r="A3960" s="21"/>
      <c r="B3960" s="3" t="s">
        <v>9</v>
      </c>
      <c r="C3960" s="20" t="s">
        <v>1028</v>
      </c>
      <c r="D3960" s="21"/>
    </row>
    <row r="3961" spans="1:4" ht="12.75" customHeight="1" x14ac:dyDescent="0.2">
      <c r="A3961" s="21"/>
      <c r="B3961" s="3" t="s">
        <v>11</v>
      </c>
      <c r="C3961" s="20" t="s">
        <v>1109</v>
      </c>
      <c r="D3961" s="21"/>
    </row>
    <row r="3962" spans="1:4" ht="12.75" customHeight="1" x14ac:dyDescent="0.2">
      <c r="A3962" s="21"/>
      <c r="B3962" s="3" t="s">
        <v>13</v>
      </c>
      <c r="C3962" s="20" t="s">
        <v>24</v>
      </c>
      <c r="D3962" s="21"/>
    </row>
    <row r="3963" spans="1:4" ht="12.75" customHeight="1" x14ac:dyDescent="0.2">
      <c r="A3963" s="21"/>
      <c r="B3963" s="3" t="s">
        <v>15</v>
      </c>
      <c r="C3963" s="20" t="s">
        <v>24</v>
      </c>
      <c r="D3963" s="21"/>
    </row>
    <row r="3964" spans="1:4" ht="12.75" customHeight="1" x14ac:dyDescent="0.2">
      <c r="A3964" s="21"/>
      <c r="B3964" s="3" t="s">
        <v>16</v>
      </c>
      <c r="C3964" s="20"/>
      <c r="D3964" s="21"/>
    </row>
    <row r="3965" spans="1:4" ht="12.75" customHeight="1" x14ac:dyDescent="0.2">
      <c r="A3965" s="21"/>
      <c r="B3965" s="3" t="s">
        <v>17</v>
      </c>
      <c r="C3965" s="20"/>
      <c r="D3965" s="21"/>
    </row>
    <row r="3966" spans="1:4" ht="12.75" customHeight="1" x14ac:dyDescent="0.2">
      <c r="A3966" s="21"/>
      <c r="B3966" s="20" t="s">
        <v>18</v>
      </c>
      <c r="C3966" s="4" t="s">
        <v>44</v>
      </c>
      <c r="D3966" s="6" t="str">
        <f>HYPERLINK("javascript:void(0)","helioacél kéziágyú")</f>
        <v>helioacél kéziágyú</v>
      </c>
    </row>
    <row r="3967" spans="1:4" ht="12.75" customHeight="1" x14ac:dyDescent="0.2">
      <c r="A3967" s="21"/>
      <c r="B3967" s="21"/>
      <c r="C3967" s="4" t="s">
        <v>68</v>
      </c>
      <c r="D3967" s="6" t="str">
        <f>HYPERLINK("javascript:void(0)","manorr")</f>
        <v>manorr</v>
      </c>
    </row>
    <row r="3968" spans="1:4" ht="12.75" customHeight="1" x14ac:dyDescent="0.2">
      <c r="A3968" s="21"/>
      <c r="B3968" s="21"/>
      <c r="C3968" s="4" t="s">
        <v>56</v>
      </c>
      <c r="D3968" s="6" t="str">
        <f>HYPERLINK("javascript:void(0)","kincsgúla")</f>
        <v>kincsgúla</v>
      </c>
    </row>
    <row r="3969" spans="1:4" ht="12.75" customHeight="1" x14ac:dyDescent="0.2">
      <c r="A3969" s="5"/>
      <c r="B3969" s="2"/>
      <c r="C3969" s="2"/>
      <c r="D3969" s="2"/>
    </row>
    <row r="3970" spans="1:4" ht="12.75" customHeight="1" x14ac:dyDescent="0.2">
      <c r="A3970" s="22" t="str">
        <f>HYPERLINK("javascript:void(0)","cordioacél tűvető")</f>
        <v>cordioacél tűvető</v>
      </c>
      <c r="B3970" s="21"/>
      <c r="C3970" s="21"/>
      <c r="D3970" s="21"/>
    </row>
    <row r="3971" spans="1:4" ht="12.75" customHeight="1" x14ac:dyDescent="0.2">
      <c r="A3971" s="20"/>
      <c r="B3971" s="2"/>
      <c r="C3971" s="2"/>
      <c r="D3971" s="2"/>
    </row>
    <row r="3972" spans="1:4" ht="12.75" customHeight="1" x14ac:dyDescent="0.2">
      <c r="A3972" s="21"/>
      <c r="B3972" s="3" t="s">
        <v>0</v>
      </c>
      <c r="C3972" s="20" t="s">
        <v>1114</v>
      </c>
      <c r="D3972" s="21"/>
    </row>
    <row r="3973" spans="1:4" ht="12.75" customHeight="1" x14ac:dyDescent="0.2">
      <c r="A3973" s="21"/>
      <c r="B3973" s="3" t="s">
        <v>2</v>
      </c>
      <c r="C3973" s="20" t="s">
        <v>3</v>
      </c>
      <c r="D3973" s="21"/>
    </row>
    <row r="3974" spans="1:4" ht="12.75" customHeight="1" x14ac:dyDescent="0.2">
      <c r="A3974" s="21"/>
      <c r="B3974" s="3" t="s">
        <v>4</v>
      </c>
      <c r="C3974" s="20" t="s">
        <v>1115</v>
      </c>
      <c r="D3974" s="21"/>
    </row>
    <row r="3975" spans="1:4" ht="12.75" customHeight="1" x14ac:dyDescent="0.2">
      <c r="A3975" s="21"/>
      <c r="B3975" s="3" t="s">
        <v>6</v>
      </c>
      <c r="C3975" s="20" t="s">
        <v>115</v>
      </c>
      <c r="D3975" s="21"/>
    </row>
    <row r="3976" spans="1:4" ht="12.75" customHeight="1" x14ac:dyDescent="0.2">
      <c r="A3976" s="21"/>
      <c r="B3976" s="3" t="s">
        <v>8</v>
      </c>
      <c r="C3976" s="20" t="s">
        <v>1115</v>
      </c>
      <c r="D3976" s="21"/>
    </row>
    <row r="3977" spans="1:4" ht="12.75" customHeight="1" x14ac:dyDescent="0.2">
      <c r="A3977" s="21"/>
      <c r="B3977" s="3" t="s">
        <v>9</v>
      </c>
      <c r="C3977" s="20" t="s">
        <v>1001</v>
      </c>
      <c r="D3977" s="21"/>
    </row>
    <row r="3978" spans="1:4" ht="12.75" customHeight="1" x14ac:dyDescent="0.2">
      <c r="A3978" s="21"/>
      <c r="B3978" s="3" t="s">
        <v>11</v>
      </c>
      <c r="C3978" s="20" t="s">
        <v>1117</v>
      </c>
      <c r="D3978" s="21"/>
    </row>
    <row r="3979" spans="1:4" ht="12.75" customHeight="1" x14ac:dyDescent="0.2">
      <c r="A3979" s="21"/>
      <c r="B3979" s="3" t="s">
        <v>13</v>
      </c>
      <c r="C3979" s="20" t="s">
        <v>24</v>
      </c>
      <c r="D3979" s="21"/>
    </row>
    <row r="3980" spans="1:4" ht="12.75" customHeight="1" x14ac:dyDescent="0.2">
      <c r="A3980" s="21"/>
      <c r="B3980" s="3" t="s">
        <v>15</v>
      </c>
      <c r="C3980" s="20" t="s">
        <v>24</v>
      </c>
      <c r="D3980" s="21"/>
    </row>
    <row r="3981" spans="1:4" ht="12.75" customHeight="1" x14ac:dyDescent="0.2">
      <c r="A3981" s="21"/>
      <c r="B3981" s="3" t="s">
        <v>16</v>
      </c>
      <c r="C3981" s="20"/>
      <c r="D3981" s="21"/>
    </row>
    <row r="3982" spans="1:4" ht="12.75" customHeight="1" x14ac:dyDescent="0.2">
      <c r="A3982" s="21"/>
      <c r="B3982" s="3" t="s">
        <v>17</v>
      </c>
      <c r="C3982" s="20"/>
      <c r="D3982" s="21"/>
    </row>
    <row r="3983" spans="1:4" ht="12.75" customHeight="1" x14ac:dyDescent="0.2">
      <c r="A3983" s="21"/>
      <c r="B3983" s="20" t="s">
        <v>18</v>
      </c>
      <c r="C3983" s="4" t="s">
        <v>44</v>
      </c>
      <c r="D3983" s="6" t="str">
        <f>HYPERLINK("javascript:void(0)","cordioacél tűdobó")</f>
        <v>cordioacél tűdobó</v>
      </c>
    </row>
    <row r="3984" spans="1:4" ht="12.75" customHeight="1" x14ac:dyDescent="0.2">
      <c r="A3984" s="21"/>
      <c r="B3984" s="21"/>
      <c r="C3984" s="4" t="s">
        <v>280</v>
      </c>
      <c r="D3984" s="6" t="str">
        <f>HYPERLINK("javascript:void(0)","szent szimbólum")</f>
        <v>szent szimbólum</v>
      </c>
    </row>
    <row r="3985" spans="1:4" ht="12.75" customHeight="1" x14ac:dyDescent="0.2">
      <c r="A3985" s="21"/>
      <c r="B3985" s="21"/>
      <c r="C3985" s="4" t="s">
        <v>139</v>
      </c>
      <c r="D3985" s="6" t="str">
        <f>HYPERLINK("javascript:void(0)","kvarc")</f>
        <v>kvarc</v>
      </c>
    </row>
    <row r="3986" spans="1:4" ht="12.75" customHeight="1" x14ac:dyDescent="0.2">
      <c r="A3986" s="5"/>
      <c r="B3986" s="2"/>
      <c r="C3986" s="2"/>
      <c r="D3986" s="2"/>
    </row>
    <row r="3987" spans="1:4" ht="12.75" customHeight="1" x14ac:dyDescent="0.2">
      <c r="A3987" s="22" t="str">
        <f>HYPERLINK("javascript:void(0)","hypnoacél pattantyú")</f>
        <v>hypnoacél pattantyú</v>
      </c>
      <c r="B3987" s="21"/>
      <c r="C3987" s="21"/>
      <c r="D3987" s="21"/>
    </row>
    <row r="3988" spans="1:4" ht="12.75" customHeight="1" x14ac:dyDescent="0.2">
      <c r="A3988" s="20"/>
      <c r="B3988" s="2"/>
      <c r="C3988" s="2"/>
      <c r="D3988" s="2"/>
    </row>
    <row r="3989" spans="1:4" ht="12.75" customHeight="1" x14ac:dyDescent="0.2">
      <c r="A3989" s="21"/>
      <c r="B3989" s="3" t="s">
        <v>0</v>
      </c>
      <c r="C3989" s="20" t="s">
        <v>1114</v>
      </c>
      <c r="D3989" s="21"/>
    </row>
    <row r="3990" spans="1:4" ht="12.75" customHeight="1" x14ac:dyDescent="0.2">
      <c r="A3990" s="21"/>
      <c r="B3990" s="3" t="s">
        <v>2</v>
      </c>
      <c r="C3990" s="20" t="s">
        <v>3</v>
      </c>
      <c r="D3990" s="21"/>
    </row>
    <row r="3991" spans="1:4" ht="12.75" customHeight="1" x14ac:dyDescent="0.2">
      <c r="A3991" s="21"/>
      <c r="B3991" s="3" t="s">
        <v>4</v>
      </c>
      <c r="C3991" s="20" t="s">
        <v>1119</v>
      </c>
      <c r="D3991" s="21"/>
    </row>
    <row r="3992" spans="1:4" ht="12.75" customHeight="1" x14ac:dyDescent="0.2">
      <c r="A3992" s="21"/>
      <c r="B3992" s="3" t="s">
        <v>6</v>
      </c>
      <c r="C3992" s="20" t="s">
        <v>65</v>
      </c>
      <c r="D3992" s="21"/>
    </row>
    <row r="3993" spans="1:4" ht="12.75" customHeight="1" x14ac:dyDescent="0.2">
      <c r="A3993" s="21"/>
      <c r="B3993" s="3" t="s">
        <v>8</v>
      </c>
      <c r="C3993" s="20" t="s">
        <v>1119</v>
      </c>
      <c r="D3993" s="21"/>
    </row>
    <row r="3994" spans="1:4" ht="12.75" customHeight="1" x14ac:dyDescent="0.2">
      <c r="A3994" s="21"/>
      <c r="B3994" s="3" t="s">
        <v>9</v>
      </c>
      <c r="C3994" s="20" t="s">
        <v>1074</v>
      </c>
      <c r="D3994" s="21"/>
    </row>
    <row r="3995" spans="1:4" ht="12.75" customHeight="1" x14ac:dyDescent="0.2">
      <c r="A3995" s="21"/>
      <c r="B3995" s="3" t="s">
        <v>11</v>
      </c>
      <c r="C3995" s="20" t="s">
        <v>1121</v>
      </c>
      <c r="D3995" s="21"/>
    </row>
    <row r="3996" spans="1:4" ht="12.75" customHeight="1" x14ac:dyDescent="0.2">
      <c r="A3996" s="21"/>
      <c r="B3996" s="3" t="s">
        <v>13</v>
      </c>
      <c r="C3996" s="20" t="s">
        <v>24</v>
      </c>
      <c r="D3996" s="21"/>
    </row>
    <row r="3997" spans="1:4" ht="12.75" customHeight="1" x14ac:dyDescent="0.2">
      <c r="A3997" s="21"/>
      <c r="B3997" s="3" t="s">
        <v>15</v>
      </c>
      <c r="C3997" s="20" t="s">
        <v>24</v>
      </c>
      <c r="D3997" s="21"/>
    </row>
    <row r="3998" spans="1:4" ht="12.75" customHeight="1" x14ac:dyDescent="0.2">
      <c r="A3998" s="21"/>
      <c r="B3998" s="3" t="s">
        <v>16</v>
      </c>
      <c r="C3998" s="20"/>
      <c r="D3998" s="21"/>
    </row>
    <row r="3999" spans="1:4" ht="12.75" customHeight="1" x14ac:dyDescent="0.2">
      <c r="A3999" s="21"/>
      <c r="B3999" s="3" t="s">
        <v>17</v>
      </c>
      <c r="C3999" s="20"/>
      <c r="D3999" s="21"/>
    </row>
    <row r="4000" spans="1:4" ht="12.75" customHeight="1" x14ac:dyDescent="0.2">
      <c r="A4000" s="21"/>
      <c r="B4000" s="20" t="s">
        <v>18</v>
      </c>
      <c r="C4000" s="4" t="s">
        <v>44</v>
      </c>
      <c r="D4000" s="6" t="str">
        <f>HYPERLINK("javascript:void(0)","hypnoacél kéziágyú")</f>
        <v>hypnoacél kéziágyú</v>
      </c>
    </row>
    <row r="4001" spans="1:4" ht="12.75" customHeight="1" x14ac:dyDescent="0.2">
      <c r="A4001" s="21"/>
      <c r="B4001" s="21"/>
      <c r="C4001" s="4" t="s">
        <v>232</v>
      </c>
      <c r="D4001" s="6" t="str">
        <f>HYPERLINK("javascript:void(0)","kampó")</f>
        <v>kampó</v>
      </c>
    </row>
    <row r="4002" spans="1:4" ht="12.75" customHeight="1" x14ac:dyDescent="0.2">
      <c r="A4002" s="21"/>
      <c r="B4002" s="21"/>
      <c r="C4002" s="4" t="s">
        <v>56</v>
      </c>
      <c r="D4002" s="6" t="str">
        <f>HYPERLINK("javascript:void(0)","kincsgúla")</f>
        <v>kincsgúla</v>
      </c>
    </row>
    <row r="4003" spans="1:4" ht="12.75" customHeight="1" x14ac:dyDescent="0.2">
      <c r="A4003" s="5"/>
      <c r="B4003" s="2"/>
      <c r="C4003" s="2"/>
      <c r="D4003" s="2"/>
    </row>
    <row r="4004" spans="1:4" ht="12.75" customHeight="1" x14ac:dyDescent="0.2">
      <c r="A4004" s="22" t="str">
        <f>HYPERLINK("javascript:void(0)","radioacél tűvető")</f>
        <v>radioacél tűvető</v>
      </c>
      <c r="B4004" s="21"/>
      <c r="C4004" s="21"/>
      <c r="D4004" s="21"/>
    </row>
    <row r="4005" spans="1:4" ht="12.75" customHeight="1" x14ac:dyDescent="0.2">
      <c r="A4005" s="20"/>
      <c r="B4005" s="2"/>
      <c r="C4005" s="2"/>
      <c r="D4005" s="2"/>
    </row>
    <row r="4006" spans="1:4" ht="12.75" customHeight="1" x14ac:dyDescent="0.2">
      <c r="A4006" s="21"/>
      <c r="B4006" s="3" t="s">
        <v>0</v>
      </c>
      <c r="C4006" s="20" t="s">
        <v>356</v>
      </c>
      <c r="D4006" s="21"/>
    </row>
    <row r="4007" spans="1:4" ht="12.75" customHeight="1" x14ac:dyDescent="0.2">
      <c r="A4007" s="21"/>
      <c r="B4007" s="3" t="s">
        <v>2</v>
      </c>
      <c r="C4007" s="20" t="s">
        <v>3</v>
      </c>
      <c r="D4007" s="21"/>
    </row>
    <row r="4008" spans="1:4" ht="12.75" customHeight="1" x14ac:dyDescent="0.2">
      <c r="A4008" s="21"/>
      <c r="B4008" s="3" t="s">
        <v>4</v>
      </c>
      <c r="C4008" s="20" t="s">
        <v>1124</v>
      </c>
      <c r="D4008" s="21"/>
    </row>
    <row r="4009" spans="1:4" ht="12.75" customHeight="1" x14ac:dyDescent="0.2">
      <c r="A4009" s="21"/>
      <c r="B4009" s="3" t="s">
        <v>6</v>
      </c>
      <c r="C4009" s="20" t="s">
        <v>353</v>
      </c>
      <c r="D4009" s="21"/>
    </row>
    <row r="4010" spans="1:4" ht="12.75" customHeight="1" x14ac:dyDescent="0.2">
      <c r="A4010" s="21"/>
      <c r="B4010" s="3" t="s">
        <v>8</v>
      </c>
      <c r="C4010" s="20" t="s">
        <v>1124</v>
      </c>
      <c r="D4010" s="21"/>
    </row>
    <row r="4011" spans="1:4" ht="12.75" customHeight="1" x14ac:dyDescent="0.2">
      <c r="A4011" s="21"/>
      <c r="B4011" s="3" t="s">
        <v>9</v>
      </c>
      <c r="C4011" s="20" t="s">
        <v>79</v>
      </c>
      <c r="D4011" s="21"/>
    </row>
    <row r="4012" spans="1:4" ht="12.75" customHeight="1" x14ac:dyDescent="0.2">
      <c r="A4012" s="21"/>
      <c r="B4012" s="3" t="s">
        <v>11</v>
      </c>
      <c r="C4012" s="20" t="s">
        <v>1125</v>
      </c>
      <c r="D4012" s="21"/>
    </row>
    <row r="4013" spans="1:4" ht="12.75" customHeight="1" x14ac:dyDescent="0.2">
      <c r="A4013" s="21"/>
      <c r="B4013" s="3" t="s">
        <v>13</v>
      </c>
      <c r="C4013" s="20" t="s">
        <v>24</v>
      </c>
      <c r="D4013" s="21"/>
    </row>
    <row r="4014" spans="1:4" ht="12.75" customHeight="1" x14ac:dyDescent="0.2">
      <c r="A4014" s="21"/>
      <c r="B4014" s="3" t="s">
        <v>15</v>
      </c>
      <c r="C4014" s="20" t="s">
        <v>24</v>
      </c>
      <c r="D4014" s="21"/>
    </row>
    <row r="4015" spans="1:4" ht="12.75" customHeight="1" x14ac:dyDescent="0.2">
      <c r="A4015" s="21"/>
      <c r="B4015" s="3" t="s">
        <v>16</v>
      </c>
      <c r="C4015" s="20"/>
      <c r="D4015" s="21"/>
    </row>
    <row r="4016" spans="1:4" ht="12.75" customHeight="1" x14ac:dyDescent="0.2">
      <c r="A4016" s="21"/>
      <c r="B4016" s="3" t="s">
        <v>17</v>
      </c>
      <c r="C4016" s="20"/>
      <c r="D4016" s="21"/>
    </row>
    <row r="4017" spans="1:4" ht="12.75" customHeight="1" x14ac:dyDescent="0.2">
      <c r="A4017" s="21"/>
      <c r="B4017" s="20" t="s">
        <v>18</v>
      </c>
      <c r="C4017" s="4" t="s">
        <v>44</v>
      </c>
      <c r="D4017" s="6" t="str">
        <f>HYPERLINK("javascript:void(0)","radioacél tűdobó")</f>
        <v>radioacél tűdobó</v>
      </c>
    </row>
    <row r="4018" spans="1:4" ht="12.75" customHeight="1" x14ac:dyDescent="0.2">
      <c r="A4018" s="21"/>
      <c r="B4018" s="21"/>
      <c r="C4018" s="4" t="s">
        <v>193</v>
      </c>
      <c r="D4018" s="6" t="str">
        <f>HYPERLINK("javascript:void(0)","betüvető")</f>
        <v>betüvető</v>
      </c>
    </row>
    <row r="4019" spans="1:4" ht="12.75" customHeight="1" x14ac:dyDescent="0.2">
      <c r="A4019" s="21"/>
      <c r="B4019" s="21"/>
      <c r="C4019" s="4" t="s">
        <v>327</v>
      </c>
      <c r="D4019" s="6" t="str">
        <f>HYPERLINK("javascript:void(0)","cingulum")</f>
        <v>cingulum</v>
      </c>
    </row>
    <row r="4020" spans="1:4" ht="12.75" customHeight="1" x14ac:dyDescent="0.2">
      <c r="A4020" s="5"/>
      <c r="B4020" s="2"/>
      <c r="C4020" s="2"/>
      <c r="D4020" s="2"/>
    </row>
    <row r="4021" spans="1:4" ht="12.75" customHeight="1" x14ac:dyDescent="0.2">
      <c r="A4021" s="22" t="str">
        <f>HYPERLINK("javascript:void(0)","harmatacél pattantyú")</f>
        <v>harmatacél pattantyú</v>
      </c>
      <c r="B4021" s="21"/>
      <c r="C4021" s="21"/>
      <c r="D4021" s="21"/>
    </row>
    <row r="4022" spans="1:4" ht="12.75" customHeight="1" x14ac:dyDescent="0.2">
      <c r="A4022" s="20"/>
      <c r="B4022" s="2"/>
      <c r="C4022" s="2"/>
      <c r="D4022" s="2"/>
    </row>
    <row r="4023" spans="1:4" ht="12.75" customHeight="1" x14ac:dyDescent="0.2">
      <c r="A4023" s="21"/>
      <c r="B4023" s="3" t="s">
        <v>0</v>
      </c>
      <c r="C4023" s="20" t="s">
        <v>356</v>
      </c>
      <c r="D4023" s="21"/>
    </row>
    <row r="4024" spans="1:4" ht="12.75" customHeight="1" x14ac:dyDescent="0.2">
      <c r="A4024" s="21"/>
      <c r="B4024" s="3" t="s">
        <v>2</v>
      </c>
      <c r="C4024" s="20" t="s">
        <v>3</v>
      </c>
      <c r="D4024" s="21"/>
    </row>
    <row r="4025" spans="1:4" ht="12.75" customHeight="1" x14ac:dyDescent="0.2">
      <c r="A4025" s="21"/>
      <c r="B4025" s="3" t="s">
        <v>4</v>
      </c>
      <c r="C4025" s="20" t="s">
        <v>1130</v>
      </c>
      <c r="D4025" s="21"/>
    </row>
    <row r="4026" spans="1:4" ht="12.75" customHeight="1" x14ac:dyDescent="0.2">
      <c r="A4026" s="21"/>
      <c r="B4026" s="3" t="s">
        <v>6</v>
      </c>
      <c r="C4026" s="20" t="s">
        <v>65</v>
      </c>
      <c r="D4026" s="21"/>
    </row>
    <row r="4027" spans="1:4" ht="12.75" customHeight="1" x14ac:dyDescent="0.2">
      <c r="A4027" s="21"/>
      <c r="B4027" s="3" t="s">
        <v>8</v>
      </c>
      <c r="C4027" s="20" t="s">
        <v>1130</v>
      </c>
      <c r="D4027" s="21"/>
    </row>
    <row r="4028" spans="1:4" ht="12.75" customHeight="1" x14ac:dyDescent="0.2">
      <c r="A4028" s="21"/>
      <c r="B4028" s="3" t="s">
        <v>9</v>
      </c>
      <c r="C4028" s="20" t="s">
        <v>845</v>
      </c>
      <c r="D4028" s="21"/>
    </row>
    <row r="4029" spans="1:4" ht="12.75" customHeight="1" x14ac:dyDescent="0.2">
      <c r="A4029" s="21"/>
      <c r="B4029" s="3" t="s">
        <v>11</v>
      </c>
      <c r="C4029" s="20" t="s">
        <v>1131</v>
      </c>
      <c r="D4029" s="21"/>
    </row>
    <row r="4030" spans="1:4" ht="12.75" customHeight="1" x14ac:dyDescent="0.2">
      <c r="A4030" s="21"/>
      <c r="B4030" s="3" t="s">
        <v>13</v>
      </c>
      <c r="C4030" s="20" t="s">
        <v>24</v>
      </c>
      <c r="D4030" s="21"/>
    </row>
    <row r="4031" spans="1:4" ht="12.75" customHeight="1" x14ac:dyDescent="0.2">
      <c r="A4031" s="21"/>
      <c r="B4031" s="3" t="s">
        <v>15</v>
      </c>
      <c r="C4031" s="20" t="s">
        <v>24</v>
      </c>
      <c r="D4031" s="21"/>
    </row>
    <row r="4032" spans="1:4" ht="12.75" customHeight="1" x14ac:dyDescent="0.2">
      <c r="A4032" s="21"/>
      <c r="B4032" s="3" t="s">
        <v>16</v>
      </c>
      <c r="C4032" s="20"/>
      <c r="D4032" s="21"/>
    </row>
    <row r="4033" spans="1:4" ht="12.75" customHeight="1" x14ac:dyDescent="0.2">
      <c r="A4033" s="21"/>
      <c r="B4033" s="3" t="s">
        <v>17</v>
      </c>
      <c r="C4033" s="20"/>
      <c r="D4033" s="21"/>
    </row>
    <row r="4034" spans="1:4" ht="12.75" customHeight="1" x14ac:dyDescent="0.2">
      <c r="A4034" s="21"/>
      <c r="B4034" s="20" t="s">
        <v>18</v>
      </c>
      <c r="C4034" s="4" t="s">
        <v>44</v>
      </c>
      <c r="D4034" s="6" t="str">
        <f>HYPERLINK("javascript:void(0)","harmatacél kéziágyú")</f>
        <v>harmatacél kéziágyú</v>
      </c>
    </row>
    <row r="4035" spans="1:4" ht="12.75" customHeight="1" x14ac:dyDescent="0.2">
      <c r="A4035" s="21"/>
      <c r="B4035" s="21"/>
      <c r="C4035" s="4" t="s">
        <v>142</v>
      </c>
      <c r="D4035" s="6" t="str">
        <f>HYPERLINK("javascript:void(0)","vacogás")</f>
        <v>vacogás</v>
      </c>
    </row>
    <row r="4036" spans="1:4" ht="12.75" customHeight="1" x14ac:dyDescent="0.2">
      <c r="A4036" s="21"/>
      <c r="B4036" s="21"/>
      <c r="C4036" s="4" t="s">
        <v>56</v>
      </c>
      <c r="D4036" s="6" t="str">
        <f>HYPERLINK("javascript:void(0)","kincsgúla")</f>
        <v>kincsgúla</v>
      </c>
    </row>
    <row r="4037" spans="1:4" ht="12.75" customHeight="1" x14ac:dyDescent="0.2">
      <c r="A4037" s="5"/>
      <c r="B4037" s="2"/>
      <c r="C4037" s="2"/>
      <c r="D4037" s="2"/>
    </row>
    <row r="4038" spans="1:4" ht="12.75" customHeight="1" x14ac:dyDescent="0.2">
      <c r="A4038" s="22" t="str">
        <f>HYPERLINK("javascript:void(0)","diffacél tűvető")</f>
        <v>diffacél tűvető</v>
      </c>
      <c r="B4038" s="21"/>
      <c r="C4038" s="21"/>
      <c r="D4038" s="21"/>
    </row>
    <row r="4039" spans="1:4" ht="12.75" customHeight="1" x14ac:dyDescent="0.2">
      <c r="A4039" s="20"/>
      <c r="B4039" s="2"/>
      <c r="C4039" s="2"/>
      <c r="D4039" s="2"/>
    </row>
    <row r="4040" spans="1:4" ht="12.75" customHeight="1" x14ac:dyDescent="0.2">
      <c r="A4040" s="21"/>
      <c r="B4040" s="3" t="s">
        <v>0</v>
      </c>
      <c r="C4040" s="20" t="s">
        <v>110</v>
      </c>
      <c r="D4040" s="21"/>
    </row>
    <row r="4041" spans="1:4" ht="12.75" customHeight="1" x14ac:dyDescent="0.2">
      <c r="A4041" s="21"/>
      <c r="B4041" s="3" t="s">
        <v>2</v>
      </c>
      <c r="C4041" s="20" t="s">
        <v>3</v>
      </c>
      <c r="D4041" s="21"/>
    </row>
    <row r="4042" spans="1:4" ht="12.75" customHeight="1" x14ac:dyDescent="0.2">
      <c r="A4042" s="21"/>
      <c r="B4042" s="3" t="s">
        <v>4</v>
      </c>
      <c r="C4042" s="20" t="s">
        <v>1135</v>
      </c>
      <c r="D4042" s="21"/>
    </row>
    <row r="4043" spans="1:4" ht="12.75" customHeight="1" x14ac:dyDescent="0.2">
      <c r="A4043" s="21"/>
      <c r="B4043" s="3" t="s">
        <v>6</v>
      </c>
      <c r="C4043" s="20" t="s">
        <v>284</v>
      </c>
      <c r="D4043" s="21"/>
    </row>
    <row r="4044" spans="1:4" ht="12.75" customHeight="1" x14ac:dyDescent="0.2">
      <c r="A4044" s="21"/>
      <c r="B4044" s="3" t="s">
        <v>8</v>
      </c>
      <c r="C4044" s="20" t="s">
        <v>1135</v>
      </c>
      <c r="D4044" s="21"/>
    </row>
    <row r="4045" spans="1:4" ht="12.75" customHeight="1" x14ac:dyDescent="0.2">
      <c r="A4045" s="21"/>
      <c r="B4045" s="3" t="s">
        <v>9</v>
      </c>
      <c r="C4045" s="20" t="s">
        <v>441</v>
      </c>
      <c r="D4045" s="21"/>
    </row>
    <row r="4046" spans="1:4" ht="12.75" customHeight="1" x14ac:dyDescent="0.2">
      <c r="A4046" s="21"/>
      <c r="B4046" s="3" t="s">
        <v>11</v>
      </c>
      <c r="C4046" s="20" t="s">
        <v>1136</v>
      </c>
      <c r="D4046" s="21"/>
    </row>
    <row r="4047" spans="1:4" ht="12.75" customHeight="1" x14ac:dyDescent="0.2">
      <c r="A4047" s="21"/>
      <c r="B4047" s="3" t="s">
        <v>13</v>
      </c>
      <c r="C4047" s="20" t="s">
        <v>24</v>
      </c>
      <c r="D4047" s="21"/>
    </row>
    <row r="4048" spans="1:4" ht="12.75" customHeight="1" x14ac:dyDescent="0.2">
      <c r="A4048" s="21"/>
      <c r="B4048" s="3" t="s">
        <v>15</v>
      </c>
      <c r="C4048" s="20" t="s">
        <v>24</v>
      </c>
      <c r="D4048" s="21"/>
    </row>
    <row r="4049" spans="1:4" ht="12.75" customHeight="1" x14ac:dyDescent="0.2">
      <c r="A4049" s="21"/>
      <c r="B4049" s="3" t="s">
        <v>16</v>
      </c>
      <c r="C4049" s="20"/>
      <c r="D4049" s="21"/>
    </row>
    <row r="4050" spans="1:4" ht="12.75" customHeight="1" x14ac:dyDescent="0.2">
      <c r="A4050" s="21"/>
      <c r="B4050" s="3" t="s">
        <v>17</v>
      </c>
      <c r="C4050" s="20"/>
      <c r="D4050" s="21"/>
    </row>
    <row r="4051" spans="1:4" ht="12.75" customHeight="1" x14ac:dyDescent="0.2">
      <c r="A4051" s="21"/>
      <c r="B4051" s="20" t="s">
        <v>18</v>
      </c>
      <c r="C4051" s="4" t="s">
        <v>44</v>
      </c>
      <c r="D4051" s="6" t="str">
        <f>HYPERLINK("javascript:void(0)","diffacél tűdobó")</f>
        <v>diffacél tűdobó</v>
      </c>
    </row>
    <row r="4052" spans="1:4" ht="12.75" customHeight="1" x14ac:dyDescent="0.2">
      <c r="A4052" s="21"/>
      <c r="B4052" s="21"/>
      <c r="C4052" s="4" t="s">
        <v>280</v>
      </c>
      <c r="D4052" s="6" t="str">
        <f>HYPERLINK("javascript:void(0)","démonzanza")</f>
        <v>démonzanza</v>
      </c>
    </row>
    <row r="4053" spans="1:4" ht="12.75" customHeight="1" x14ac:dyDescent="0.2">
      <c r="A4053" s="21"/>
      <c r="B4053" s="21"/>
      <c r="C4053" s="4" t="s">
        <v>139</v>
      </c>
      <c r="D4053" s="6" t="str">
        <f>HYPERLINK("javascript:void(0)","maxilla")</f>
        <v>maxilla</v>
      </c>
    </row>
    <row r="4054" spans="1:4" ht="12.75" customHeight="1" x14ac:dyDescent="0.2">
      <c r="A4054" s="5"/>
      <c r="B4054" s="2"/>
      <c r="C4054" s="2"/>
      <c r="D4054" s="2"/>
    </row>
    <row r="4055" spans="1:4" ht="12.75" customHeight="1" x14ac:dyDescent="0.2">
      <c r="A4055" s="22" t="str">
        <f>HYPERLINK("javascript:void(0)","zagyvacél pattantyú")</f>
        <v>zagyvacél pattantyú</v>
      </c>
      <c r="B4055" s="21"/>
      <c r="C4055" s="21"/>
      <c r="D4055" s="21"/>
    </row>
    <row r="4056" spans="1:4" ht="12.75" customHeight="1" x14ac:dyDescent="0.2">
      <c r="A4056" s="20"/>
      <c r="B4056" s="2"/>
      <c r="C4056" s="2"/>
      <c r="D4056" s="2"/>
    </row>
    <row r="4057" spans="1:4" ht="12.75" customHeight="1" x14ac:dyDescent="0.2">
      <c r="A4057" s="21"/>
      <c r="B4057" s="3" t="s">
        <v>0</v>
      </c>
      <c r="C4057" s="20" t="s">
        <v>110</v>
      </c>
      <c r="D4057" s="21"/>
    </row>
    <row r="4058" spans="1:4" ht="12.75" customHeight="1" x14ac:dyDescent="0.2">
      <c r="A4058" s="21"/>
      <c r="B4058" s="3" t="s">
        <v>2</v>
      </c>
      <c r="C4058" s="20" t="s">
        <v>3</v>
      </c>
      <c r="D4058" s="21"/>
    </row>
    <row r="4059" spans="1:4" ht="12.75" customHeight="1" x14ac:dyDescent="0.2">
      <c r="A4059" s="21"/>
      <c r="B4059" s="3" t="s">
        <v>4</v>
      </c>
      <c r="C4059" s="20" t="s">
        <v>1140</v>
      </c>
      <c r="D4059" s="21"/>
    </row>
    <row r="4060" spans="1:4" ht="12.75" customHeight="1" x14ac:dyDescent="0.2">
      <c r="A4060" s="21"/>
      <c r="B4060" s="3" t="s">
        <v>6</v>
      </c>
      <c r="C4060" s="20" t="s">
        <v>65</v>
      </c>
      <c r="D4060" s="21"/>
    </row>
    <row r="4061" spans="1:4" ht="12.75" customHeight="1" x14ac:dyDescent="0.2">
      <c r="A4061" s="21"/>
      <c r="B4061" s="3" t="s">
        <v>8</v>
      </c>
      <c r="C4061" s="20" t="s">
        <v>1140</v>
      </c>
      <c r="D4061" s="21"/>
    </row>
    <row r="4062" spans="1:4" ht="12.75" customHeight="1" x14ac:dyDescent="0.2">
      <c r="A4062" s="21"/>
      <c r="B4062" s="3" t="s">
        <v>9</v>
      </c>
      <c r="C4062" s="20" t="s">
        <v>1020</v>
      </c>
      <c r="D4062" s="21"/>
    </row>
    <row r="4063" spans="1:4" ht="12.75" customHeight="1" x14ac:dyDescent="0.2">
      <c r="A4063" s="21"/>
      <c r="B4063" s="3" t="s">
        <v>11</v>
      </c>
      <c r="C4063" s="20" t="s">
        <v>1141</v>
      </c>
      <c r="D4063" s="21"/>
    </row>
    <row r="4064" spans="1:4" ht="12.75" customHeight="1" x14ac:dyDescent="0.2">
      <c r="A4064" s="21"/>
      <c r="B4064" s="3" t="s">
        <v>13</v>
      </c>
      <c r="C4064" s="20" t="s">
        <v>24</v>
      </c>
      <c r="D4064" s="21"/>
    </row>
    <row r="4065" spans="1:4" ht="12.75" customHeight="1" x14ac:dyDescent="0.2">
      <c r="A4065" s="21"/>
      <c r="B4065" s="3" t="s">
        <v>15</v>
      </c>
      <c r="C4065" s="20" t="s">
        <v>24</v>
      </c>
      <c r="D4065" s="21"/>
    </row>
    <row r="4066" spans="1:4" ht="12.75" customHeight="1" x14ac:dyDescent="0.2">
      <c r="A4066" s="21"/>
      <c r="B4066" s="3" t="s">
        <v>16</v>
      </c>
      <c r="C4066" s="20"/>
      <c r="D4066" s="21"/>
    </row>
    <row r="4067" spans="1:4" ht="12.75" customHeight="1" x14ac:dyDescent="0.2">
      <c r="A4067" s="21"/>
      <c r="B4067" s="3" t="s">
        <v>17</v>
      </c>
      <c r="C4067" s="20"/>
      <c r="D4067" s="21"/>
    </row>
    <row r="4068" spans="1:4" ht="12.75" customHeight="1" x14ac:dyDescent="0.2">
      <c r="A4068" s="21"/>
      <c r="B4068" s="20" t="s">
        <v>18</v>
      </c>
      <c r="C4068" s="4" t="s">
        <v>117</v>
      </c>
      <c r="D4068" s="6" t="str">
        <f>HYPERLINK("javascript:void(0)","titkos jelszó")</f>
        <v>titkos jelszó</v>
      </c>
    </row>
    <row r="4069" spans="1:4" ht="12.75" customHeight="1" x14ac:dyDescent="0.2">
      <c r="A4069" s="21"/>
      <c r="B4069" s="21"/>
      <c r="C4069" s="4" t="s">
        <v>68</v>
      </c>
      <c r="D4069" s="6" t="str">
        <f>HYPERLINK("javascript:void(0)","zagyvaság")</f>
        <v>zagyvaság</v>
      </c>
    </row>
    <row r="4070" spans="1:4" ht="12.75" customHeight="1" x14ac:dyDescent="0.2">
      <c r="A4070" s="21"/>
      <c r="B4070" s="21"/>
      <c r="C4070" s="4" t="s">
        <v>56</v>
      </c>
      <c r="D4070" s="6" t="str">
        <f>HYPERLINK("javascript:void(0)","kincsgúla")</f>
        <v>kincsgúla</v>
      </c>
    </row>
    <row r="4071" spans="1:4" ht="12.75" customHeight="1" x14ac:dyDescent="0.2">
      <c r="A4071" s="5"/>
      <c r="B4071" s="2"/>
      <c r="C4071" s="2"/>
      <c r="D4071" s="2"/>
    </row>
    <row r="4072" spans="1:4" ht="12.75" customHeight="1" x14ac:dyDescent="0.2">
      <c r="A4072" s="22" t="str">
        <f>HYPERLINK("javascript:void(0)","kriptonacél tűvető")</f>
        <v>kriptonacél tűvető</v>
      </c>
      <c r="B4072" s="21"/>
      <c r="C4072" s="21"/>
      <c r="D4072" s="21"/>
    </row>
    <row r="4073" spans="1:4" ht="12.75" customHeight="1" x14ac:dyDescent="0.2">
      <c r="A4073" s="20"/>
      <c r="B4073" s="2"/>
      <c r="C4073" s="2"/>
      <c r="D4073" s="2"/>
    </row>
    <row r="4074" spans="1:4" ht="12.75" customHeight="1" x14ac:dyDescent="0.2">
      <c r="A4074" s="21"/>
      <c r="B4074" s="3" t="s">
        <v>0</v>
      </c>
      <c r="C4074" s="20" t="s">
        <v>1142</v>
      </c>
      <c r="D4074" s="21"/>
    </row>
    <row r="4075" spans="1:4" ht="12.75" customHeight="1" x14ac:dyDescent="0.2">
      <c r="A4075" s="21"/>
      <c r="B4075" s="3" t="s">
        <v>2</v>
      </c>
      <c r="C4075" s="20" t="s">
        <v>3</v>
      </c>
      <c r="D4075" s="21"/>
    </row>
    <row r="4076" spans="1:4" ht="12.75" customHeight="1" x14ac:dyDescent="0.2">
      <c r="A4076" s="21"/>
      <c r="B4076" s="3" t="s">
        <v>4</v>
      </c>
      <c r="C4076" s="20" t="s">
        <v>1143</v>
      </c>
      <c r="D4076" s="21"/>
    </row>
    <row r="4077" spans="1:4" ht="12.75" customHeight="1" x14ac:dyDescent="0.2">
      <c r="A4077" s="21"/>
      <c r="B4077" s="3" t="s">
        <v>6</v>
      </c>
      <c r="C4077" s="20" t="s">
        <v>115</v>
      </c>
      <c r="D4077" s="21"/>
    </row>
    <row r="4078" spans="1:4" ht="12.75" customHeight="1" x14ac:dyDescent="0.2">
      <c r="A4078" s="21"/>
      <c r="B4078" s="3" t="s">
        <v>8</v>
      </c>
      <c r="C4078" s="20" t="s">
        <v>1143</v>
      </c>
      <c r="D4078" s="21"/>
    </row>
    <row r="4079" spans="1:4" ht="12.75" customHeight="1" x14ac:dyDescent="0.2">
      <c r="A4079" s="21"/>
      <c r="B4079" s="3" t="s">
        <v>9</v>
      </c>
      <c r="C4079" s="20" t="s">
        <v>1144</v>
      </c>
      <c r="D4079" s="21"/>
    </row>
    <row r="4080" spans="1:4" ht="12.75" customHeight="1" x14ac:dyDescent="0.2">
      <c r="A4080" s="21"/>
      <c r="B4080" s="3" t="s">
        <v>11</v>
      </c>
      <c r="C4080" s="20" t="s">
        <v>1145</v>
      </c>
      <c r="D4080" s="21"/>
    </row>
    <row r="4081" spans="1:4" ht="12.75" customHeight="1" x14ac:dyDescent="0.2">
      <c r="A4081" s="21"/>
      <c r="B4081" s="3" t="s">
        <v>13</v>
      </c>
      <c r="C4081" s="20" t="s">
        <v>24</v>
      </c>
      <c r="D4081" s="21"/>
    </row>
    <row r="4082" spans="1:4" ht="12.75" customHeight="1" x14ac:dyDescent="0.2">
      <c r="A4082" s="21"/>
      <c r="B4082" s="3" t="s">
        <v>15</v>
      </c>
      <c r="C4082" s="20" t="s">
        <v>24</v>
      </c>
      <c r="D4082" s="21"/>
    </row>
    <row r="4083" spans="1:4" ht="12.75" customHeight="1" x14ac:dyDescent="0.2">
      <c r="A4083" s="21"/>
      <c r="B4083" s="3" t="s">
        <v>16</v>
      </c>
      <c r="C4083" s="20"/>
      <c r="D4083" s="21"/>
    </row>
    <row r="4084" spans="1:4" ht="12.75" customHeight="1" x14ac:dyDescent="0.2">
      <c r="A4084" s="21"/>
      <c r="B4084" s="3" t="s">
        <v>17</v>
      </c>
      <c r="C4084" s="20"/>
      <c r="D4084" s="21"/>
    </row>
    <row r="4085" spans="1:4" ht="12.75" customHeight="1" x14ac:dyDescent="0.2">
      <c r="A4085" s="21"/>
      <c r="B4085" s="20" t="s">
        <v>18</v>
      </c>
      <c r="C4085" s="4" t="s">
        <v>44</v>
      </c>
      <c r="D4085" s="6" t="str">
        <f>HYPERLINK("javascript:void(0)","kriptonacél tűdobó")</f>
        <v>kriptonacél tűdobó</v>
      </c>
    </row>
    <row r="4086" spans="1:4" ht="12.75" customHeight="1" x14ac:dyDescent="0.2">
      <c r="A4086" s="21"/>
      <c r="B4086" s="21"/>
      <c r="C4086" s="4" t="s">
        <v>193</v>
      </c>
      <c r="D4086" s="6" t="str">
        <f>HYPERLINK("javascript:void(0)","uszony")</f>
        <v>uszony</v>
      </c>
    </row>
    <row r="4087" spans="1:4" ht="12.75" customHeight="1" x14ac:dyDescent="0.2">
      <c r="A4087" s="21"/>
      <c r="B4087" s="21"/>
      <c r="C4087" s="4" t="s">
        <v>780</v>
      </c>
      <c r="D4087" s="6" t="str">
        <f>HYPERLINK("javascript:void(0)","csatatüske")</f>
        <v>csatatüske</v>
      </c>
    </row>
    <row r="4088" spans="1:4" ht="12.75" customHeight="1" x14ac:dyDescent="0.2">
      <c r="A4088" s="5"/>
      <c r="B4088" s="2"/>
      <c r="C4088" s="2"/>
      <c r="D4088" s="2"/>
    </row>
    <row r="4089" spans="1:4" ht="12.75" customHeight="1" x14ac:dyDescent="0.2">
      <c r="A4089" s="22" t="str">
        <f>HYPERLINK("javascript:void(0)","masszacél pattantyú")</f>
        <v>masszacél pattantyú</v>
      </c>
      <c r="B4089" s="21"/>
      <c r="C4089" s="21"/>
      <c r="D4089" s="21"/>
    </row>
    <row r="4090" spans="1:4" ht="12.75" customHeight="1" x14ac:dyDescent="0.2">
      <c r="A4090" s="20"/>
      <c r="B4090" s="2"/>
      <c r="C4090" s="2"/>
      <c r="D4090" s="2"/>
    </row>
    <row r="4091" spans="1:4" ht="12.75" customHeight="1" x14ac:dyDescent="0.2">
      <c r="A4091" s="21"/>
      <c r="B4091" s="3" t="s">
        <v>0</v>
      </c>
      <c r="C4091" s="20" t="s">
        <v>1142</v>
      </c>
      <c r="D4091" s="21"/>
    </row>
    <row r="4092" spans="1:4" ht="12.75" customHeight="1" x14ac:dyDescent="0.2">
      <c r="A4092" s="21"/>
      <c r="B4092" s="3" t="s">
        <v>2</v>
      </c>
      <c r="C4092" s="20" t="s">
        <v>3</v>
      </c>
      <c r="D4092" s="21"/>
    </row>
    <row r="4093" spans="1:4" ht="12.75" customHeight="1" x14ac:dyDescent="0.2">
      <c r="A4093" s="21"/>
      <c r="B4093" s="3" t="s">
        <v>4</v>
      </c>
      <c r="C4093" s="20" t="s">
        <v>1147</v>
      </c>
      <c r="D4093" s="21"/>
    </row>
    <row r="4094" spans="1:4" ht="12.75" customHeight="1" x14ac:dyDescent="0.2">
      <c r="A4094" s="21"/>
      <c r="B4094" s="3" t="s">
        <v>6</v>
      </c>
      <c r="C4094" s="20" t="s">
        <v>65</v>
      </c>
      <c r="D4094" s="21"/>
    </row>
    <row r="4095" spans="1:4" ht="12.75" customHeight="1" x14ac:dyDescent="0.2">
      <c r="A4095" s="21"/>
      <c r="B4095" s="3" t="s">
        <v>8</v>
      </c>
      <c r="C4095" s="20" t="s">
        <v>1147</v>
      </c>
      <c r="D4095" s="21"/>
    </row>
    <row r="4096" spans="1:4" ht="12.75" customHeight="1" x14ac:dyDescent="0.2">
      <c r="A4096" s="21"/>
      <c r="B4096" s="3" t="s">
        <v>9</v>
      </c>
      <c r="C4096" s="20" t="s">
        <v>1020</v>
      </c>
      <c r="D4096" s="21"/>
    </row>
    <row r="4097" spans="1:4" ht="12.75" customHeight="1" x14ac:dyDescent="0.2">
      <c r="A4097" s="21"/>
      <c r="B4097" s="3" t="s">
        <v>11</v>
      </c>
      <c r="C4097" s="20" t="s">
        <v>1148</v>
      </c>
      <c r="D4097" s="21"/>
    </row>
    <row r="4098" spans="1:4" ht="12.75" customHeight="1" x14ac:dyDescent="0.2">
      <c r="A4098" s="21"/>
      <c r="B4098" s="3" t="s">
        <v>13</v>
      </c>
      <c r="C4098" s="20" t="s">
        <v>24</v>
      </c>
      <c r="D4098" s="21"/>
    </row>
    <row r="4099" spans="1:4" ht="12.75" customHeight="1" x14ac:dyDescent="0.2">
      <c r="A4099" s="21"/>
      <c r="B4099" s="3" t="s">
        <v>15</v>
      </c>
      <c r="C4099" s="20" t="s">
        <v>24</v>
      </c>
      <c r="D4099" s="21"/>
    </row>
    <row r="4100" spans="1:4" ht="12.75" customHeight="1" x14ac:dyDescent="0.2">
      <c r="A4100" s="21"/>
      <c r="B4100" s="3" t="s">
        <v>16</v>
      </c>
      <c r="C4100" s="20"/>
      <c r="D4100" s="21"/>
    </row>
    <row r="4101" spans="1:4" ht="12.75" customHeight="1" x14ac:dyDescent="0.2">
      <c r="A4101" s="21"/>
      <c r="B4101" s="3" t="s">
        <v>17</v>
      </c>
      <c r="C4101" s="20"/>
      <c r="D4101" s="21"/>
    </row>
    <row r="4102" spans="1:4" ht="12.75" customHeight="1" x14ac:dyDescent="0.2">
      <c r="A4102" s="21"/>
      <c r="B4102" s="20" t="s">
        <v>18</v>
      </c>
      <c r="C4102" s="4" t="s">
        <v>132</v>
      </c>
      <c r="D4102" s="6" t="str">
        <f>HYPERLINK("javascript:void(0)","titkos jelszó")</f>
        <v>titkos jelszó</v>
      </c>
    </row>
    <row r="4103" spans="1:4" ht="12.75" customHeight="1" x14ac:dyDescent="0.2">
      <c r="A4103" s="21"/>
      <c r="B4103" s="21"/>
      <c r="C4103" s="4" t="s">
        <v>142</v>
      </c>
      <c r="D4103" s="6" t="str">
        <f>HYPERLINK("javascript:void(0)","manlobogó")</f>
        <v>manlobogó</v>
      </c>
    </row>
    <row r="4104" spans="1:4" ht="12.75" customHeight="1" x14ac:dyDescent="0.2">
      <c r="A4104" s="21"/>
      <c r="B4104" s="21"/>
      <c r="C4104" s="4" t="s">
        <v>56</v>
      </c>
      <c r="D4104" s="6" t="str">
        <f>HYPERLINK("javascript:void(0)","kincsgúla")</f>
        <v>kincsgúla</v>
      </c>
    </row>
    <row r="4105" spans="1:4" ht="12.75" customHeight="1" x14ac:dyDescent="0.2">
      <c r="A4105" s="5"/>
      <c r="B4105" s="2"/>
      <c r="C4105" s="2"/>
      <c r="D4105" s="2"/>
    </row>
    <row r="4106" spans="1:4" ht="12.75" customHeight="1" x14ac:dyDescent="0.2">
      <c r="A4106" s="22" t="str">
        <f>HYPERLINK("javascript:void(0)","mengorni tűvető")</f>
        <v>mengorni tűvető</v>
      </c>
      <c r="B4106" s="21"/>
      <c r="C4106" s="21"/>
      <c r="D4106" s="21"/>
    </row>
    <row r="4107" spans="1:4" ht="12.75" customHeight="1" x14ac:dyDescent="0.2">
      <c r="A4107" s="20"/>
      <c r="B4107" s="2"/>
      <c r="C4107" s="2"/>
      <c r="D4107" s="2"/>
    </row>
    <row r="4108" spans="1:4" ht="12.75" customHeight="1" x14ac:dyDescent="0.2">
      <c r="A4108" s="21"/>
      <c r="B4108" s="3" t="s">
        <v>0</v>
      </c>
      <c r="C4108" s="20" t="s">
        <v>103</v>
      </c>
      <c r="D4108" s="21"/>
    </row>
    <row r="4109" spans="1:4" ht="12.75" customHeight="1" x14ac:dyDescent="0.2">
      <c r="A4109" s="21"/>
      <c r="B4109" s="3" t="s">
        <v>2</v>
      </c>
      <c r="C4109" s="20" t="s">
        <v>3</v>
      </c>
      <c r="D4109" s="21"/>
    </row>
    <row r="4110" spans="1:4" ht="12.75" customHeight="1" x14ac:dyDescent="0.2">
      <c r="A4110" s="21"/>
      <c r="B4110" s="3" t="s">
        <v>4</v>
      </c>
      <c r="C4110" s="20" t="s">
        <v>1151</v>
      </c>
      <c r="D4110" s="21"/>
    </row>
    <row r="4111" spans="1:4" ht="12.75" customHeight="1" x14ac:dyDescent="0.2">
      <c r="A4111" s="21"/>
      <c r="B4111" s="3" t="s">
        <v>6</v>
      </c>
      <c r="C4111" s="20" t="s">
        <v>284</v>
      </c>
      <c r="D4111" s="21"/>
    </row>
    <row r="4112" spans="1:4" ht="12.75" customHeight="1" x14ac:dyDescent="0.2">
      <c r="A4112" s="21"/>
      <c r="B4112" s="3" t="s">
        <v>8</v>
      </c>
      <c r="C4112" s="20" t="s">
        <v>1151</v>
      </c>
      <c r="D4112" s="21"/>
    </row>
    <row r="4113" spans="1:4" ht="12.75" customHeight="1" x14ac:dyDescent="0.2">
      <c r="A4113" s="21"/>
      <c r="B4113" s="3" t="s">
        <v>9</v>
      </c>
      <c r="C4113" s="20" t="s">
        <v>1152</v>
      </c>
      <c r="D4113" s="21"/>
    </row>
    <row r="4114" spans="1:4" ht="12.75" customHeight="1" x14ac:dyDescent="0.2">
      <c r="A4114" s="21"/>
      <c r="B4114" s="3" t="s">
        <v>11</v>
      </c>
      <c r="C4114" s="20" t="s">
        <v>1153</v>
      </c>
      <c r="D4114" s="21"/>
    </row>
    <row r="4115" spans="1:4" ht="12.75" customHeight="1" x14ac:dyDescent="0.2">
      <c r="A4115" s="21"/>
      <c r="B4115" s="3" t="s">
        <v>13</v>
      </c>
      <c r="C4115" s="20" t="s">
        <v>24</v>
      </c>
      <c r="D4115" s="21"/>
    </row>
    <row r="4116" spans="1:4" ht="12.75" customHeight="1" x14ac:dyDescent="0.2">
      <c r="A4116" s="21"/>
      <c r="B4116" s="3" t="s">
        <v>15</v>
      </c>
      <c r="C4116" s="20" t="s">
        <v>24</v>
      </c>
      <c r="D4116" s="21"/>
    </row>
    <row r="4117" spans="1:4" ht="12.75" customHeight="1" x14ac:dyDescent="0.2">
      <c r="A4117" s="21"/>
      <c r="B4117" s="3" t="s">
        <v>16</v>
      </c>
      <c r="C4117" s="20"/>
      <c r="D4117" s="21"/>
    </row>
    <row r="4118" spans="1:4" ht="12.75" customHeight="1" x14ac:dyDescent="0.2">
      <c r="A4118" s="21"/>
      <c r="B4118" s="3" t="s">
        <v>17</v>
      </c>
      <c r="C4118" s="20"/>
      <c r="D4118" s="21"/>
    </row>
    <row r="4119" spans="1:4" ht="12.75" customHeight="1" x14ac:dyDescent="0.2">
      <c r="A4119" s="21"/>
      <c r="B4119" s="20" t="s">
        <v>18</v>
      </c>
      <c r="C4119" s="4" t="s">
        <v>44</v>
      </c>
      <c r="D4119" s="6" t="str">
        <f>HYPERLINK("javascript:void(0)","mengorni tűdobó")</f>
        <v>mengorni tűdobó</v>
      </c>
    </row>
    <row r="4120" spans="1:4" ht="12.75" customHeight="1" x14ac:dyDescent="0.2">
      <c r="A4120" s="21"/>
      <c r="B4120" s="21"/>
      <c r="C4120" s="4" t="s">
        <v>139</v>
      </c>
      <c r="D4120" s="6" t="str">
        <f>HYPERLINK("javascript:void(0)","aranyrög")</f>
        <v>aranyrög</v>
      </c>
    </row>
    <row r="4121" spans="1:4" ht="12.75" customHeight="1" x14ac:dyDescent="0.2">
      <c r="A4121" s="21"/>
      <c r="B4121" s="21"/>
      <c r="C4121" s="4" t="s">
        <v>309</v>
      </c>
      <c r="D4121" s="6" t="str">
        <f>HYPERLINK("javascript:void(0)","betüvető")</f>
        <v>betüvető</v>
      </c>
    </row>
    <row r="4122" spans="1:4" ht="12.75" customHeight="1" x14ac:dyDescent="0.2">
      <c r="A4122" s="5"/>
      <c r="B4122" s="2"/>
      <c r="C4122" s="2"/>
      <c r="D4122" s="2"/>
    </row>
    <row r="4123" spans="1:4" ht="12.75" customHeight="1" x14ac:dyDescent="0.2">
      <c r="A4123" s="22" t="str">
        <f>HYPERLINK("javascript:void(0)","féregacél pattantyú")</f>
        <v>féregacél pattantyú</v>
      </c>
      <c r="B4123" s="21"/>
      <c r="C4123" s="21"/>
      <c r="D4123" s="21"/>
    </row>
    <row r="4124" spans="1:4" ht="12.75" customHeight="1" x14ac:dyDescent="0.2">
      <c r="A4124" s="20"/>
      <c r="B4124" s="2"/>
      <c r="C4124" s="2"/>
      <c r="D4124" s="2"/>
    </row>
    <row r="4125" spans="1:4" ht="12.75" customHeight="1" x14ac:dyDescent="0.2">
      <c r="A4125" s="21"/>
      <c r="B4125" s="3" t="s">
        <v>0</v>
      </c>
      <c r="C4125" s="20" t="s">
        <v>103</v>
      </c>
      <c r="D4125" s="21"/>
    </row>
    <row r="4126" spans="1:4" ht="12.75" customHeight="1" x14ac:dyDescent="0.2">
      <c r="A4126" s="21"/>
      <c r="B4126" s="3" t="s">
        <v>2</v>
      </c>
      <c r="C4126" s="20" t="s">
        <v>3</v>
      </c>
      <c r="D4126" s="21"/>
    </row>
    <row r="4127" spans="1:4" ht="12.75" customHeight="1" x14ac:dyDescent="0.2">
      <c r="A4127" s="21"/>
      <c r="B4127" s="3" t="s">
        <v>4</v>
      </c>
      <c r="C4127" s="20" t="s">
        <v>1154</v>
      </c>
      <c r="D4127" s="21"/>
    </row>
    <row r="4128" spans="1:4" ht="12.75" customHeight="1" x14ac:dyDescent="0.2">
      <c r="A4128" s="21"/>
      <c r="B4128" s="3" t="s">
        <v>6</v>
      </c>
      <c r="C4128" s="20" t="s">
        <v>65</v>
      </c>
      <c r="D4128" s="21"/>
    </row>
    <row r="4129" spans="1:4" ht="12.75" customHeight="1" x14ac:dyDescent="0.2">
      <c r="A4129" s="21"/>
      <c r="B4129" s="3" t="s">
        <v>8</v>
      </c>
      <c r="C4129" s="20" t="s">
        <v>1154</v>
      </c>
      <c r="D4129" s="21"/>
    </row>
    <row r="4130" spans="1:4" ht="12.75" customHeight="1" x14ac:dyDescent="0.2">
      <c r="A4130" s="21"/>
      <c r="B4130" s="3" t="s">
        <v>9</v>
      </c>
      <c r="C4130" s="20" t="s">
        <v>1028</v>
      </c>
      <c r="D4130" s="21"/>
    </row>
    <row r="4131" spans="1:4" ht="12.75" customHeight="1" x14ac:dyDescent="0.2">
      <c r="A4131" s="21"/>
      <c r="B4131" s="3" t="s">
        <v>11</v>
      </c>
      <c r="C4131" s="20" t="s">
        <v>1155</v>
      </c>
      <c r="D4131" s="21"/>
    </row>
    <row r="4132" spans="1:4" ht="12.75" customHeight="1" x14ac:dyDescent="0.2">
      <c r="A4132" s="21"/>
      <c r="B4132" s="3" t="s">
        <v>13</v>
      </c>
      <c r="C4132" s="20" t="s">
        <v>24</v>
      </c>
      <c r="D4132" s="21"/>
    </row>
    <row r="4133" spans="1:4" ht="12.75" customHeight="1" x14ac:dyDescent="0.2">
      <c r="A4133" s="21"/>
      <c r="B4133" s="3" t="s">
        <v>15</v>
      </c>
      <c r="C4133" s="20" t="s">
        <v>24</v>
      </c>
      <c r="D4133" s="21"/>
    </row>
    <row r="4134" spans="1:4" ht="12.75" customHeight="1" x14ac:dyDescent="0.2">
      <c r="A4134" s="21"/>
      <c r="B4134" s="3" t="s">
        <v>16</v>
      </c>
      <c r="C4134" s="20"/>
      <c r="D4134" s="21"/>
    </row>
    <row r="4135" spans="1:4" ht="12.75" customHeight="1" x14ac:dyDescent="0.2">
      <c r="A4135" s="21"/>
      <c r="B4135" s="3" t="s">
        <v>17</v>
      </c>
      <c r="C4135" s="20"/>
      <c r="D4135" s="21"/>
    </row>
    <row r="4136" spans="1:4" ht="12.75" customHeight="1" x14ac:dyDescent="0.2">
      <c r="A4136" s="21"/>
      <c r="B4136" s="20" t="s">
        <v>18</v>
      </c>
      <c r="C4136" s="4" t="s">
        <v>244</v>
      </c>
      <c r="D4136" s="6" t="str">
        <f>HYPERLINK("javascript:void(0)","titkos jelszó")</f>
        <v>titkos jelszó</v>
      </c>
    </row>
    <row r="4137" spans="1:4" ht="12.75" customHeight="1" x14ac:dyDescent="0.2">
      <c r="A4137" s="21"/>
      <c r="B4137" s="21"/>
      <c r="C4137" s="4" t="s">
        <v>280</v>
      </c>
      <c r="D4137" s="6" t="str">
        <f>HYPERLINK("javascript:void(0)","cölöp")</f>
        <v>cölöp</v>
      </c>
    </row>
    <row r="4138" spans="1:4" ht="12.75" customHeight="1" x14ac:dyDescent="0.2">
      <c r="A4138" s="21"/>
      <c r="B4138" s="21"/>
      <c r="C4138" s="4" t="s">
        <v>56</v>
      </c>
      <c r="D4138" s="6" t="str">
        <f>HYPERLINK("javascript:void(0)","kincsgúla")</f>
        <v>kincsgúla</v>
      </c>
    </row>
    <row r="4139" spans="1:4" ht="12.75" customHeight="1" x14ac:dyDescent="0.2">
      <c r="A4139" s="5"/>
      <c r="B4139" s="2"/>
      <c r="C4139" s="2"/>
      <c r="D4139" s="2"/>
    </row>
    <row r="4140" spans="1:4" ht="12.75" customHeight="1" x14ac:dyDescent="0.2">
      <c r="A4140" s="22" t="str">
        <f>HYPERLINK("javascript:void(0)","skivei tűvető")</f>
        <v>skivei tűvető</v>
      </c>
      <c r="B4140" s="21"/>
      <c r="C4140" s="21"/>
      <c r="D4140" s="21"/>
    </row>
    <row r="4141" spans="1:4" ht="12.75" customHeight="1" x14ac:dyDescent="0.2">
      <c r="A4141" s="20"/>
      <c r="B4141" s="2"/>
      <c r="C4141" s="2"/>
      <c r="D4141" s="2"/>
    </row>
    <row r="4142" spans="1:4" ht="12.75" customHeight="1" x14ac:dyDescent="0.2">
      <c r="A4142" s="21"/>
      <c r="B4142" s="3" t="s">
        <v>0</v>
      </c>
      <c r="C4142" s="20" t="s">
        <v>112</v>
      </c>
      <c r="D4142" s="21"/>
    </row>
    <row r="4143" spans="1:4" ht="12.75" customHeight="1" x14ac:dyDescent="0.2">
      <c r="A4143" s="21"/>
      <c r="B4143" s="3" t="s">
        <v>2</v>
      </c>
      <c r="C4143" s="20" t="s">
        <v>3</v>
      </c>
      <c r="D4143" s="21"/>
    </row>
    <row r="4144" spans="1:4" ht="12.75" customHeight="1" x14ac:dyDescent="0.2">
      <c r="A4144" s="21"/>
      <c r="B4144" s="3" t="s">
        <v>4</v>
      </c>
      <c r="C4144" s="20" t="s">
        <v>1157</v>
      </c>
      <c r="D4144" s="21"/>
    </row>
    <row r="4145" spans="1:4" ht="12.75" customHeight="1" x14ac:dyDescent="0.2">
      <c r="A4145" s="21"/>
      <c r="B4145" s="3" t="s">
        <v>6</v>
      </c>
      <c r="C4145" s="20" t="s">
        <v>157</v>
      </c>
      <c r="D4145" s="21"/>
    </row>
    <row r="4146" spans="1:4" ht="12.75" customHeight="1" x14ac:dyDescent="0.2">
      <c r="A4146" s="21"/>
      <c r="B4146" s="3" t="s">
        <v>8</v>
      </c>
      <c r="C4146" s="20" t="s">
        <v>1157</v>
      </c>
      <c r="D4146" s="21"/>
    </row>
    <row r="4147" spans="1:4" ht="12.75" customHeight="1" x14ac:dyDescent="0.2">
      <c r="A4147" s="21"/>
      <c r="B4147" s="3" t="s">
        <v>9</v>
      </c>
      <c r="C4147" s="20" t="s">
        <v>913</v>
      </c>
      <c r="D4147" s="21"/>
    </row>
    <row r="4148" spans="1:4" ht="12.75" customHeight="1" x14ac:dyDescent="0.2">
      <c r="A4148" s="21"/>
      <c r="B4148" s="3" t="s">
        <v>11</v>
      </c>
      <c r="C4148" s="20" t="s">
        <v>1159</v>
      </c>
      <c r="D4148" s="21"/>
    </row>
    <row r="4149" spans="1:4" ht="12.75" customHeight="1" x14ac:dyDescent="0.2">
      <c r="A4149" s="21"/>
      <c r="B4149" s="3" t="s">
        <v>13</v>
      </c>
      <c r="C4149" s="20" t="s">
        <v>24</v>
      </c>
      <c r="D4149" s="21"/>
    </row>
    <row r="4150" spans="1:4" ht="12.75" customHeight="1" x14ac:dyDescent="0.2">
      <c r="A4150" s="21"/>
      <c r="B4150" s="3" t="s">
        <v>15</v>
      </c>
      <c r="C4150" s="20" t="s">
        <v>24</v>
      </c>
      <c r="D4150" s="21"/>
    </row>
    <row r="4151" spans="1:4" ht="12.75" customHeight="1" x14ac:dyDescent="0.2">
      <c r="A4151" s="21"/>
      <c r="B4151" s="3" t="s">
        <v>16</v>
      </c>
      <c r="C4151" s="20"/>
      <c r="D4151" s="21"/>
    </row>
    <row r="4152" spans="1:4" ht="12.75" customHeight="1" x14ac:dyDescent="0.2">
      <c r="A4152" s="21"/>
      <c r="B4152" s="3" t="s">
        <v>17</v>
      </c>
      <c r="C4152" s="20"/>
      <c r="D4152" s="21"/>
    </row>
    <row r="4153" spans="1:4" ht="12.75" customHeight="1" x14ac:dyDescent="0.2">
      <c r="A4153" s="21"/>
      <c r="B4153" s="20" t="s">
        <v>18</v>
      </c>
      <c r="C4153" s="4" t="s">
        <v>44</v>
      </c>
      <c r="D4153" s="6" t="str">
        <f>HYPERLINK("javascript:void(0)","skivei tűdobó")</f>
        <v>skivei tűdobó</v>
      </c>
    </row>
    <row r="4154" spans="1:4" ht="12.75" customHeight="1" x14ac:dyDescent="0.2">
      <c r="A4154" s="21"/>
      <c r="B4154" s="21"/>
      <c r="C4154" s="4" t="s">
        <v>98</v>
      </c>
      <c r="D4154" s="6" t="str">
        <f>HYPERLINK("javascript:void(0)","lexikon")</f>
        <v>lexikon</v>
      </c>
    </row>
    <row r="4155" spans="1:4" ht="12.75" customHeight="1" x14ac:dyDescent="0.2">
      <c r="A4155" s="21"/>
      <c r="B4155" s="21"/>
      <c r="C4155" s="4" t="s">
        <v>756</v>
      </c>
      <c r="D4155" s="6" t="str">
        <f>HYPERLINK("javascript:void(0)","fügetövis")</f>
        <v>fügetövis</v>
      </c>
    </row>
    <row r="4156" spans="1:4" ht="12.75" customHeight="1" x14ac:dyDescent="0.2">
      <c r="A4156" s="5"/>
      <c r="B4156" s="2"/>
      <c r="C4156" s="2"/>
      <c r="D4156" s="2"/>
    </row>
    <row r="4157" spans="1:4" ht="12.75" customHeight="1" x14ac:dyDescent="0.2">
      <c r="A4157" s="22" t="str">
        <f>HYPERLINK("javascript:void(0)","manóacél pattantyú")</f>
        <v>manóacél pattantyú</v>
      </c>
      <c r="B4157" s="21"/>
      <c r="C4157" s="21"/>
      <c r="D4157" s="21"/>
    </row>
    <row r="4158" spans="1:4" ht="12.75" customHeight="1" x14ac:dyDescent="0.2">
      <c r="A4158" s="20"/>
      <c r="B4158" s="2"/>
      <c r="C4158" s="2"/>
      <c r="D4158" s="2"/>
    </row>
    <row r="4159" spans="1:4" ht="12.75" customHeight="1" x14ac:dyDescent="0.2">
      <c r="A4159" s="21"/>
      <c r="B4159" s="3" t="s">
        <v>0</v>
      </c>
      <c r="C4159" s="20" t="s">
        <v>112</v>
      </c>
      <c r="D4159" s="21"/>
    </row>
    <row r="4160" spans="1:4" ht="12.75" customHeight="1" x14ac:dyDescent="0.2">
      <c r="A4160" s="21"/>
      <c r="B4160" s="3" t="s">
        <v>2</v>
      </c>
      <c r="C4160" s="20" t="s">
        <v>3</v>
      </c>
      <c r="D4160" s="21"/>
    </row>
    <row r="4161" spans="1:4" ht="12.75" customHeight="1" x14ac:dyDescent="0.2">
      <c r="A4161" s="21"/>
      <c r="B4161" s="3" t="s">
        <v>4</v>
      </c>
      <c r="C4161" s="20" t="s">
        <v>1161</v>
      </c>
      <c r="D4161" s="21"/>
    </row>
    <row r="4162" spans="1:4" ht="12.75" customHeight="1" x14ac:dyDescent="0.2">
      <c r="A4162" s="21"/>
      <c r="B4162" s="3" t="s">
        <v>6</v>
      </c>
      <c r="C4162" s="20" t="s">
        <v>65</v>
      </c>
      <c r="D4162" s="21"/>
    </row>
    <row r="4163" spans="1:4" ht="12.75" customHeight="1" x14ac:dyDescent="0.2">
      <c r="A4163" s="21"/>
      <c r="B4163" s="3" t="s">
        <v>8</v>
      </c>
      <c r="C4163" s="20" t="s">
        <v>1161</v>
      </c>
      <c r="D4163" s="21"/>
    </row>
    <row r="4164" spans="1:4" ht="12.75" customHeight="1" x14ac:dyDescent="0.2">
      <c r="A4164" s="21"/>
      <c r="B4164" s="3" t="s">
        <v>9</v>
      </c>
      <c r="C4164" s="20" t="s">
        <v>1039</v>
      </c>
      <c r="D4164" s="21"/>
    </row>
    <row r="4165" spans="1:4" ht="12.75" customHeight="1" x14ac:dyDescent="0.2">
      <c r="A4165" s="21"/>
      <c r="B4165" s="3" t="s">
        <v>11</v>
      </c>
      <c r="C4165" s="20" t="s">
        <v>1163</v>
      </c>
      <c r="D4165" s="21"/>
    </row>
    <row r="4166" spans="1:4" ht="12.75" customHeight="1" x14ac:dyDescent="0.2">
      <c r="A4166" s="21"/>
      <c r="B4166" s="3" t="s">
        <v>13</v>
      </c>
      <c r="C4166" s="20" t="s">
        <v>24</v>
      </c>
      <c r="D4166" s="21"/>
    </row>
    <row r="4167" spans="1:4" ht="12.75" customHeight="1" x14ac:dyDescent="0.2">
      <c r="A4167" s="21"/>
      <c r="B4167" s="3" t="s">
        <v>15</v>
      </c>
      <c r="C4167" s="20" t="s">
        <v>24</v>
      </c>
      <c r="D4167" s="21"/>
    </row>
    <row r="4168" spans="1:4" ht="12.75" customHeight="1" x14ac:dyDescent="0.2">
      <c r="A4168" s="21"/>
      <c r="B4168" s="3" t="s">
        <v>16</v>
      </c>
      <c r="C4168" s="20"/>
      <c r="D4168" s="21"/>
    </row>
    <row r="4169" spans="1:4" ht="12.75" customHeight="1" x14ac:dyDescent="0.2">
      <c r="A4169" s="21"/>
      <c r="B4169" s="3" t="s">
        <v>17</v>
      </c>
      <c r="C4169" s="20"/>
      <c r="D4169" s="21"/>
    </row>
    <row r="4170" spans="1:4" ht="12.75" customHeight="1" x14ac:dyDescent="0.2">
      <c r="A4170" s="21"/>
      <c r="B4170" s="20" t="s">
        <v>18</v>
      </c>
      <c r="C4170" s="4" t="s">
        <v>269</v>
      </c>
      <c r="D4170" s="6" t="str">
        <f>HYPERLINK("javascript:void(0)","titkos jelszó")</f>
        <v>titkos jelszó</v>
      </c>
    </row>
    <row r="4171" spans="1:4" ht="12.75" customHeight="1" x14ac:dyDescent="0.2">
      <c r="A4171" s="21"/>
      <c r="B4171" s="21"/>
      <c r="C4171" s="4" t="s">
        <v>228</v>
      </c>
      <c r="D4171" s="6" t="str">
        <f>HYPERLINK("javascript:void(0)","bambulás")</f>
        <v>bambulás</v>
      </c>
    </row>
    <row r="4172" spans="1:4" ht="12.75" customHeight="1" x14ac:dyDescent="0.2">
      <c r="A4172" s="21"/>
      <c r="B4172" s="21"/>
      <c r="C4172" s="4" t="s">
        <v>56</v>
      </c>
      <c r="D4172" s="6" t="str">
        <f>HYPERLINK("javascript:void(0)","kincsgúla")</f>
        <v>kincsgúla</v>
      </c>
    </row>
    <row r="4173" spans="1:4" ht="12.75" customHeight="1" x14ac:dyDescent="0.2">
      <c r="A4173" s="5"/>
      <c r="B4173" s="2"/>
      <c r="C4173" s="2"/>
      <c r="D4173" s="2"/>
    </row>
    <row r="4174" spans="1:4" ht="12.75" customHeight="1" x14ac:dyDescent="0.2">
      <c r="A4174" s="22" t="str">
        <f>HYPERLINK("javascript:void(0)","parszi tűvető")</f>
        <v>parszi tűvető</v>
      </c>
      <c r="B4174" s="21"/>
      <c r="C4174" s="21"/>
      <c r="D4174" s="21"/>
    </row>
    <row r="4175" spans="1:4" ht="12.75" customHeight="1" x14ac:dyDescent="0.2">
      <c r="A4175" s="20"/>
      <c r="B4175" s="2"/>
      <c r="C4175" s="2"/>
      <c r="D4175" s="2"/>
    </row>
    <row r="4176" spans="1:4" ht="12.75" customHeight="1" x14ac:dyDescent="0.2">
      <c r="A4176" s="21"/>
      <c r="B4176" s="3" t="s">
        <v>0</v>
      </c>
      <c r="C4176" s="20" t="s">
        <v>1165</v>
      </c>
      <c r="D4176" s="21"/>
    </row>
    <row r="4177" spans="1:4" ht="12.75" customHeight="1" x14ac:dyDescent="0.2">
      <c r="A4177" s="21"/>
      <c r="B4177" s="3" t="s">
        <v>2</v>
      </c>
      <c r="C4177" s="20" t="s">
        <v>3</v>
      </c>
      <c r="D4177" s="21"/>
    </row>
    <row r="4178" spans="1:4" ht="12.75" customHeight="1" x14ac:dyDescent="0.2">
      <c r="A4178" s="21"/>
      <c r="B4178" s="3" t="s">
        <v>4</v>
      </c>
      <c r="C4178" s="20" t="s">
        <v>1166</v>
      </c>
      <c r="D4178" s="21"/>
    </row>
    <row r="4179" spans="1:4" ht="12.75" customHeight="1" x14ac:dyDescent="0.2">
      <c r="A4179" s="21"/>
      <c r="B4179" s="3" t="s">
        <v>6</v>
      </c>
      <c r="C4179" s="20" t="s">
        <v>206</v>
      </c>
      <c r="D4179" s="21"/>
    </row>
    <row r="4180" spans="1:4" ht="12.75" customHeight="1" x14ac:dyDescent="0.2">
      <c r="A4180" s="21"/>
      <c r="B4180" s="3" t="s">
        <v>8</v>
      </c>
      <c r="C4180" s="20" t="s">
        <v>1166</v>
      </c>
      <c r="D4180" s="21"/>
    </row>
    <row r="4181" spans="1:4" ht="12.75" customHeight="1" x14ac:dyDescent="0.2">
      <c r="A4181" s="21"/>
      <c r="B4181" s="3" t="s">
        <v>9</v>
      </c>
      <c r="C4181" s="20" t="s">
        <v>1167</v>
      </c>
      <c r="D4181" s="21"/>
    </row>
    <row r="4182" spans="1:4" ht="12.75" customHeight="1" x14ac:dyDescent="0.2">
      <c r="A4182" s="21"/>
      <c r="B4182" s="3" t="s">
        <v>11</v>
      </c>
      <c r="C4182" s="20" t="s">
        <v>1168</v>
      </c>
      <c r="D4182" s="21"/>
    </row>
    <row r="4183" spans="1:4" ht="12.75" customHeight="1" x14ac:dyDescent="0.2">
      <c r="A4183" s="21"/>
      <c r="B4183" s="3" t="s">
        <v>13</v>
      </c>
      <c r="C4183" s="20" t="s">
        <v>24</v>
      </c>
      <c r="D4183" s="21"/>
    </row>
    <row r="4184" spans="1:4" ht="12.75" customHeight="1" x14ac:dyDescent="0.2">
      <c r="A4184" s="21"/>
      <c r="B4184" s="3" t="s">
        <v>15</v>
      </c>
      <c r="C4184" s="20" t="s">
        <v>24</v>
      </c>
      <c r="D4184" s="21"/>
    </row>
    <row r="4185" spans="1:4" ht="12.75" customHeight="1" x14ac:dyDescent="0.2">
      <c r="A4185" s="21"/>
      <c r="B4185" s="3" t="s">
        <v>16</v>
      </c>
      <c r="C4185" s="20"/>
      <c r="D4185" s="21"/>
    </row>
    <row r="4186" spans="1:4" ht="12.75" customHeight="1" x14ac:dyDescent="0.2">
      <c r="A4186" s="21"/>
      <c r="B4186" s="3" t="s">
        <v>17</v>
      </c>
      <c r="C4186" s="20"/>
      <c r="D4186" s="21"/>
    </row>
    <row r="4187" spans="1:4" ht="12.75" customHeight="1" x14ac:dyDescent="0.2">
      <c r="A4187" s="21"/>
      <c r="B4187" s="20" t="s">
        <v>18</v>
      </c>
      <c r="C4187" s="4" t="s">
        <v>44</v>
      </c>
      <c r="D4187" s="6" t="str">
        <f>HYPERLINK("javascript:void(0)","parsz tűdobó")</f>
        <v>parsz tűdobó</v>
      </c>
    </row>
    <row r="4188" spans="1:4" ht="12.75" customHeight="1" x14ac:dyDescent="0.2">
      <c r="A4188" s="21"/>
      <c r="B4188" s="21"/>
      <c r="C4188" s="4" t="s">
        <v>163</v>
      </c>
      <c r="D4188" s="6" t="str">
        <f>HYPERLINK("javascript:void(0)","fűrészfog")</f>
        <v>fűrészfog</v>
      </c>
    </row>
    <row r="4189" spans="1:4" ht="12.75" customHeight="1" x14ac:dyDescent="0.2">
      <c r="A4189" s="21"/>
      <c r="B4189" s="21"/>
      <c r="C4189" s="4" t="s">
        <v>163</v>
      </c>
      <c r="D4189" s="6" t="str">
        <f>HYPERLINK("javascript:void(0)","légige")</f>
        <v>légige</v>
      </c>
    </row>
    <row r="4190" spans="1:4" ht="12.75" customHeight="1" x14ac:dyDescent="0.2">
      <c r="A4190" s="5"/>
      <c r="B4190" s="2"/>
      <c r="C4190" s="2"/>
      <c r="D4190" s="2"/>
    </row>
    <row r="4191" spans="1:4" ht="12.75" customHeight="1" x14ac:dyDescent="0.2">
      <c r="A4191" s="22" t="str">
        <f>HYPERLINK("javascript:void(0)","trolacél pattantyú")</f>
        <v>trolacél pattantyú</v>
      </c>
      <c r="B4191" s="21"/>
      <c r="C4191" s="21"/>
      <c r="D4191" s="21"/>
    </row>
    <row r="4192" spans="1:4" ht="12.75" customHeight="1" x14ac:dyDescent="0.2">
      <c r="A4192" s="20"/>
      <c r="B4192" s="2"/>
      <c r="C4192" s="2"/>
      <c r="D4192" s="2"/>
    </row>
    <row r="4193" spans="1:4" ht="12.75" customHeight="1" x14ac:dyDescent="0.2">
      <c r="A4193" s="21"/>
      <c r="B4193" s="3" t="s">
        <v>0</v>
      </c>
      <c r="C4193" s="20" t="s">
        <v>1165</v>
      </c>
      <c r="D4193" s="21"/>
    </row>
    <row r="4194" spans="1:4" ht="12.75" customHeight="1" x14ac:dyDescent="0.2">
      <c r="A4194" s="21"/>
      <c r="B4194" s="3" t="s">
        <v>2</v>
      </c>
      <c r="C4194" s="20" t="s">
        <v>3</v>
      </c>
      <c r="D4194" s="21"/>
    </row>
    <row r="4195" spans="1:4" ht="12.75" customHeight="1" x14ac:dyDescent="0.2">
      <c r="A4195" s="21"/>
      <c r="B4195" s="3" t="s">
        <v>4</v>
      </c>
      <c r="C4195" s="20" t="s">
        <v>1170</v>
      </c>
      <c r="D4195" s="21"/>
    </row>
    <row r="4196" spans="1:4" ht="12.75" customHeight="1" x14ac:dyDescent="0.2">
      <c r="A4196" s="21"/>
      <c r="B4196" s="3" t="s">
        <v>6</v>
      </c>
      <c r="C4196" s="20" t="s">
        <v>65</v>
      </c>
      <c r="D4196" s="21"/>
    </row>
    <row r="4197" spans="1:4" ht="12.75" customHeight="1" x14ac:dyDescent="0.2">
      <c r="A4197" s="21"/>
      <c r="B4197" s="3" t="s">
        <v>8</v>
      </c>
      <c r="C4197" s="20" t="s">
        <v>1170</v>
      </c>
      <c r="D4197" s="21"/>
    </row>
    <row r="4198" spans="1:4" ht="12.75" customHeight="1" x14ac:dyDescent="0.2">
      <c r="A4198" s="21"/>
      <c r="B4198" s="3" t="s">
        <v>9</v>
      </c>
      <c r="C4198" s="20" t="s">
        <v>1046</v>
      </c>
      <c r="D4198" s="21"/>
    </row>
    <row r="4199" spans="1:4" ht="12.75" customHeight="1" x14ac:dyDescent="0.2">
      <c r="A4199" s="21"/>
      <c r="B4199" s="3" t="s">
        <v>11</v>
      </c>
      <c r="C4199" s="20" t="s">
        <v>1171</v>
      </c>
      <c r="D4199" s="21"/>
    </row>
    <row r="4200" spans="1:4" ht="12.75" customHeight="1" x14ac:dyDescent="0.2">
      <c r="A4200" s="21"/>
      <c r="B4200" s="3" t="s">
        <v>13</v>
      </c>
      <c r="C4200" s="20" t="s">
        <v>24</v>
      </c>
      <c r="D4200" s="21"/>
    </row>
    <row r="4201" spans="1:4" ht="12.75" customHeight="1" x14ac:dyDescent="0.2">
      <c r="A4201" s="21"/>
      <c r="B4201" s="3" t="s">
        <v>15</v>
      </c>
      <c r="C4201" s="20" t="s">
        <v>24</v>
      </c>
      <c r="D4201" s="21"/>
    </row>
    <row r="4202" spans="1:4" ht="12.75" customHeight="1" x14ac:dyDescent="0.2">
      <c r="A4202" s="21"/>
      <c r="B4202" s="3" t="s">
        <v>16</v>
      </c>
      <c r="C4202" s="20"/>
      <c r="D4202" s="21"/>
    </row>
    <row r="4203" spans="1:4" ht="12.75" customHeight="1" x14ac:dyDescent="0.2">
      <c r="A4203" s="21"/>
      <c r="B4203" s="3" t="s">
        <v>17</v>
      </c>
      <c r="C4203" s="20"/>
      <c r="D4203" s="21"/>
    </row>
    <row r="4204" spans="1:4" ht="12.75" customHeight="1" x14ac:dyDescent="0.2">
      <c r="A4204" s="21"/>
      <c r="B4204" s="20" t="s">
        <v>18</v>
      </c>
      <c r="C4204" s="4" t="s">
        <v>139</v>
      </c>
      <c r="D4204" s="6" t="str">
        <f>HYPERLINK("javascript:void(0)","titkos jelszó")</f>
        <v>titkos jelszó</v>
      </c>
    </row>
    <row r="4205" spans="1:4" ht="12.75" customHeight="1" x14ac:dyDescent="0.2">
      <c r="A4205" s="21"/>
      <c r="B4205" s="21"/>
      <c r="C4205" s="4" t="s">
        <v>228</v>
      </c>
      <c r="D4205" s="6" t="str">
        <f>HYPERLINK("javascript:void(0)","rőzseszál")</f>
        <v>rőzseszál</v>
      </c>
    </row>
    <row r="4206" spans="1:4" ht="12.75" customHeight="1" x14ac:dyDescent="0.2">
      <c r="A4206" s="21"/>
      <c r="B4206" s="21"/>
      <c r="C4206" s="4" t="s">
        <v>56</v>
      </c>
      <c r="D4206" s="6" t="str">
        <f>HYPERLINK("javascript:void(0)","kincsgúla")</f>
        <v>kincsgúla</v>
      </c>
    </row>
    <row r="4207" spans="1:4" ht="12.75" customHeight="1" x14ac:dyDescent="0.2">
      <c r="A4207" s="5"/>
      <c r="B4207" s="2"/>
      <c r="C4207" s="2"/>
      <c r="D4207" s="2"/>
    </row>
    <row r="4208" spans="1:4" ht="12.75" customHeight="1" x14ac:dyDescent="0.2">
      <c r="A4208" s="22" t="str">
        <f>HYPERLINK("javascript:void(0)","rimföldi tűvető")</f>
        <v>rimföldi tűvető</v>
      </c>
      <c r="B4208" s="21"/>
      <c r="C4208" s="21"/>
      <c r="D4208" s="21"/>
    </row>
    <row r="4209" spans="1:4" ht="12.75" customHeight="1" x14ac:dyDescent="0.2">
      <c r="A4209" s="20"/>
      <c r="B4209" s="2"/>
      <c r="C4209" s="2"/>
      <c r="D4209" s="2"/>
    </row>
    <row r="4210" spans="1:4" ht="12.75" customHeight="1" x14ac:dyDescent="0.2">
      <c r="A4210" s="21"/>
      <c r="B4210" s="3" t="s">
        <v>0</v>
      </c>
      <c r="C4210" s="20" t="s">
        <v>1174</v>
      </c>
      <c r="D4210" s="21"/>
    </row>
    <row r="4211" spans="1:4" ht="12.75" customHeight="1" x14ac:dyDescent="0.2">
      <c r="A4211" s="21"/>
      <c r="B4211" s="3" t="s">
        <v>2</v>
      </c>
      <c r="C4211" s="20" t="s">
        <v>3</v>
      </c>
      <c r="D4211" s="21"/>
    </row>
    <row r="4212" spans="1:4" ht="12.75" customHeight="1" x14ac:dyDescent="0.2">
      <c r="A4212" s="21"/>
      <c r="B4212" s="3" t="s">
        <v>4</v>
      </c>
      <c r="C4212" s="20" t="s">
        <v>1175</v>
      </c>
      <c r="D4212" s="21"/>
    </row>
    <row r="4213" spans="1:4" ht="12.75" customHeight="1" x14ac:dyDescent="0.2">
      <c r="A4213" s="21"/>
      <c r="B4213" s="3" t="s">
        <v>6</v>
      </c>
      <c r="C4213" s="20" t="s">
        <v>260</v>
      </c>
      <c r="D4213" s="21"/>
    </row>
    <row r="4214" spans="1:4" ht="12.75" customHeight="1" x14ac:dyDescent="0.2">
      <c r="A4214" s="21"/>
      <c r="B4214" s="3" t="s">
        <v>8</v>
      </c>
      <c r="C4214" s="20" t="s">
        <v>1175</v>
      </c>
      <c r="D4214" s="21"/>
    </row>
    <row r="4215" spans="1:4" ht="12.75" customHeight="1" x14ac:dyDescent="0.2">
      <c r="A4215" s="21"/>
      <c r="B4215" s="3" t="s">
        <v>9</v>
      </c>
      <c r="C4215" s="20" t="s">
        <v>1176</v>
      </c>
      <c r="D4215" s="21"/>
    </row>
    <row r="4216" spans="1:4" ht="12.75" customHeight="1" x14ac:dyDescent="0.2">
      <c r="A4216" s="21"/>
      <c r="B4216" s="3" t="s">
        <v>11</v>
      </c>
      <c r="C4216" s="20" t="s">
        <v>1177</v>
      </c>
      <c r="D4216" s="21"/>
    </row>
    <row r="4217" spans="1:4" ht="12.75" customHeight="1" x14ac:dyDescent="0.2">
      <c r="A4217" s="21"/>
      <c r="B4217" s="3" t="s">
        <v>13</v>
      </c>
      <c r="C4217" s="20" t="s">
        <v>24</v>
      </c>
      <c r="D4217" s="21"/>
    </row>
    <row r="4218" spans="1:4" ht="12.75" customHeight="1" x14ac:dyDescent="0.2">
      <c r="A4218" s="21"/>
      <c r="B4218" s="3" t="s">
        <v>15</v>
      </c>
      <c r="C4218" s="20" t="s">
        <v>24</v>
      </c>
      <c r="D4218" s="21"/>
    </row>
    <row r="4219" spans="1:4" ht="12.75" customHeight="1" x14ac:dyDescent="0.2">
      <c r="A4219" s="21"/>
      <c r="B4219" s="3" t="s">
        <v>16</v>
      </c>
      <c r="C4219" s="20"/>
      <c r="D4219" s="21"/>
    </row>
    <row r="4220" spans="1:4" ht="12.75" customHeight="1" x14ac:dyDescent="0.2">
      <c r="A4220" s="21"/>
      <c r="B4220" s="3" t="s">
        <v>17</v>
      </c>
      <c r="C4220" s="20"/>
      <c r="D4220" s="21"/>
    </row>
    <row r="4221" spans="1:4" ht="12.75" customHeight="1" x14ac:dyDescent="0.2">
      <c r="A4221" s="21"/>
      <c r="B4221" s="20" t="s">
        <v>18</v>
      </c>
      <c r="C4221" s="4" t="s">
        <v>44</v>
      </c>
      <c r="D4221" s="6" t="str">
        <f>HYPERLINK("javascript:void(0)","rimföldi tűdobó")</f>
        <v>rimföldi tűdobó</v>
      </c>
    </row>
    <row r="4222" spans="1:4" ht="12.75" customHeight="1" x14ac:dyDescent="0.2">
      <c r="A4222" s="21"/>
      <c r="B4222" s="21"/>
      <c r="C4222" s="4" t="s">
        <v>269</v>
      </c>
      <c r="D4222" s="6" t="str">
        <f>HYPERLINK("javascript:void(0)","vitorla")</f>
        <v>vitorla</v>
      </c>
    </row>
    <row r="4223" spans="1:4" ht="12.75" customHeight="1" x14ac:dyDescent="0.2">
      <c r="A4223" s="21"/>
      <c r="B4223" s="21"/>
      <c r="C4223" s="4" t="s">
        <v>163</v>
      </c>
      <c r="D4223" s="6" t="str">
        <f>HYPERLINK("javascript:void(0)","vízige")</f>
        <v>vízige</v>
      </c>
    </row>
    <row r="4224" spans="1:4" ht="12.75" customHeight="1" x14ac:dyDescent="0.2">
      <c r="A4224" s="5"/>
      <c r="B4224" s="2"/>
      <c r="C4224" s="2"/>
      <c r="D4224" s="2"/>
    </row>
    <row r="4225" spans="1:4" ht="12.75" customHeight="1" x14ac:dyDescent="0.2">
      <c r="A4225" s="22" t="str">
        <f>HYPERLINK("javascript:void(0)","tévacél pattantyú")</f>
        <v>tévacél pattantyú</v>
      </c>
      <c r="B4225" s="21"/>
      <c r="C4225" s="21"/>
      <c r="D4225" s="21"/>
    </row>
    <row r="4226" spans="1:4" ht="12.75" customHeight="1" x14ac:dyDescent="0.2">
      <c r="A4226" s="20"/>
      <c r="B4226" s="2"/>
      <c r="C4226" s="2"/>
      <c r="D4226" s="2"/>
    </row>
    <row r="4227" spans="1:4" ht="12.75" customHeight="1" x14ac:dyDescent="0.2">
      <c r="A4227" s="21"/>
      <c r="B4227" s="3" t="s">
        <v>0</v>
      </c>
      <c r="C4227" s="20" t="s">
        <v>1174</v>
      </c>
      <c r="D4227" s="21"/>
    </row>
    <row r="4228" spans="1:4" ht="12.75" customHeight="1" x14ac:dyDescent="0.2">
      <c r="A4228" s="21"/>
      <c r="B4228" s="3" t="s">
        <v>2</v>
      </c>
      <c r="C4228" s="20" t="s">
        <v>3</v>
      </c>
      <c r="D4228" s="21"/>
    </row>
    <row r="4229" spans="1:4" ht="12.75" customHeight="1" x14ac:dyDescent="0.2">
      <c r="A4229" s="21"/>
      <c r="B4229" s="3" t="s">
        <v>4</v>
      </c>
      <c r="C4229" s="20" t="s">
        <v>1179</v>
      </c>
      <c r="D4229" s="21"/>
    </row>
    <row r="4230" spans="1:4" ht="12.75" customHeight="1" x14ac:dyDescent="0.2">
      <c r="A4230" s="21"/>
      <c r="B4230" s="3" t="s">
        <v>6</v>
      </c>
      <c r="C4230" s="20" t="s">
        <v>65</v>
      </c>
      <c r="D4230" s="21"/>
    </row>
    <row r="4231" spans="1:4" ht="12.75" customHeight="1" x14ac:dyDescent="0.2">
      <c r="A4231" s="21"/>
      <c r="B4231" s="3" t="s">
        <v>8</v>
      </c>
      <c r="C4231" s="20" t="s">
        <v>1179</v>
      </c>
      <c r="D4231" s="21"/>
    </row>
    <row r="4232" spans="1:4" ht="12.75" customHeight="1" x14ac:dyDescent="0.2">
      <c r="A4232" s="21"/>
      <c r="B4232" s="3" t="s">
        <v>9</v>
      </c>
      <c r="C4232" s="20" t="s">
        <v>1074</v>
      </c>
      <c r="D4232" s="21"/>
    </row>
    <row r="4233" spans="1:4" ht="12.75" customHeight="1" x14ac:dyDescent="0.2">
      <c r="A4233" s="21"/>
      <c r="B4233" s="3" t="s">
        <v>11</v>
      </c>
      <c r="C4233" s="20" t="s">
        <v>1180</v>
      </c>
      <c r="D4233" s="21"/>
    </row>
    <row r="4234" spans="1:4" ht="12.75" customHeight="1" x14ac:dyDescent="0.2">
      <c r="A4234" s="21"/>
      <c r="B4234" s="3" t="s">
        <v>13</v>
      </c>
      <c r="C4234" s="20" t="s">
        <v>24</v>
      </c>
      <c r="D4234" s="21"/>
    </row>
    <row r="4235" spans="1:4" ht="12.75" customHeight="1" x14ac:dyDescent="0.2">
      <c r="A4235" s="21"/>
      <c r="B4235" s="3" t="s">
        <v>15</v>
      </c>
      <c r="C4235" s="20" t="s">
        <v>24</v>
      </c>
      <c r="D4235" s="21"/>
    </row>
    <row r="4236" spans="1:4" ht="12.75" customHeight="1" x14ac:dyDescent="0.2">
      <c r="A4236" s="21"/>
      <c r="B4236" s="3" t="s">
        <v>16</v>
      </c>
      <c r="C4236" s="20"/>
      <c r="D4236" s="21"/>
    </row>
    <row r="4237" spans="1:4" ht="12.75" customHeight="1" x14ac:dyDescent="0.2">
      <c r="A4237" s="21"/>
      <c r="B4237" s="3" t="s">
        <v>17</v>
      </c>
      <c r="C4237" s="20"/>
      <c r="D4237" s="21"/>
    </row>
    <row r="4238" spans="1:4" ht="12.75" customHeight="1" x14ac:dyDescent="0.2">
      <c r="A4238" s="21"/>
      <c r="B4238" s="20" t="s">
        <v>18</v>
      </c>
      <c r="C4238" s="4" t="s">
        <v>265</v>
      </c>
      <c r="D4238" s="6" t="str">
        <f>HYPERLINK("javascript:void(0)","titkos jelszó")</f>
        <v>titkos jelszó</v>
      </c>
    </row>
    <row r="4239" spans="1:4" ht="12.75" customHeight="1" x14ac:dyDescent="0.2">
      <c r="A4239" s="21"/>
      <c r="B4239" s="21"/>
      <c r="C4239" s="4" t="s">
        <v>196</v>
      </c>
      <c r="D4239" s="6" t="str">
        <f>HYPERLINK("javascript:void(0)","fényszem")</f>
        <v>fényszem</v>
      </c>
    </row>
    <row r="4240" spans="1:4" ht="12.75" customHeight="1" x14ac:dyDescent="0.2">
      <c r="A4240" s="21"/>
      <c r="B4240" s="21"/>
      <c r="C4240" s="4" t="s">
        <v>56</v>
      </c>
      <c r="D4240" s="6" t="str">
        <f>HYPERLINK("javascript:void(0)","kincsgúla")</f>
        <v>kincsgúla</v>
      </c>
    </row>
    <row r="4241" spans="1:4" ht="12.75" customHeight="1" x14ac:dyDescent="0.2">
      <c r="A4241" s="5"/>
      <c r="B4241" s="2"/>
      <c r="C4241" s="2"/>
      <c r="D4241" s="2"/>
    </row>
    <row r="4242" spans="1:4" ht="12.75" customHeight="1" x14ac:dyDescent="0.2">
      <c r="A4242" s="22" t="str">
        <f>HYPERLINK("javascript:void(0)","gyíkacél dobókés")</f>
        <v>gyíkacél dobókés</v>
      </c>
      <c r="B4242" s="21"/>
      <c r="C4242" s="21"/>
      <c r="D4242" s="21"/>
    </row>
    <row r="4243" spans="1:4" ht="12.75" customHeight="1" x14ac:dyDescent="0.2">
      <c r="A4243" s="20"/>
      <c r="B4243" s="2"/>
      <c r="C4243" s="2"/>
      <c r="D4243" s="2"/>
    </row>
    <row r="4244" spans="1:4" ht="12.75" customHeight="1" x14ac:dyDescent="0.2">
      <c r="A4244" s="21"/>
      <c r="B4244" s="3" t="s">
        <v>0</v>
      </c>
      <c r="C4244" s="20" t="s">
        <v>119</v>
      </c>
      <c r="D4244" s="21"/>
    </row>
    <row r="4245" spans="1:4" ht="12.75" customHeight="1" x14ac:dyDescent="0.2">
      <c r="A4245" s="21"/>
      <c r="B4245" s="3" t="s">
        <v>2</v>
      </c>
      <c r="C4245" s="20" t="s">
        <v>3</v>
      </c>
      <c r="D4245" s="21"/>
    </row>
    <row r="4246" spans="1:4" ht="12.75" customHeight="1" x14ac:dyDescent="0.2">
      <c r="A4246" s="21"/>
      <c r="B4246" s="3" t="s">
        <v>4</v>
      </c>
      <c r="C4246" s="20" t="s">
        <v>1183</v>
      </c>
      <c r="D4246" s="21"/>
    </row>
    <row r="4247" spans="1:4" ht="12.75" customHeight="1" x14ac:dyDescent="0.2">
      <c r="A4247" s="21"/>
      <c r="B4247" s="3" t="s">
        <v>6</v>
      </c>
      <c r="C4247" s="20" t="s">
        <v>392</v>
      </c>
      <c r="D4247" s="21"/>
    </row>
    <row r="4248" spans="1:4" ht="12.75" customHeight="1" x14ac:dyDescent="0.2">
      <c r="A4248" s="21"/>
      <c r="B4248" s="3" t="s">
        <v>8</v>
      </c>
      <c r="C4248" s="20" t="s">
        <v>1183</v>
      </c>
      <c r="D4248" s="21"/>
    </row>
    <row r="4249" spans="1:4" ht="12.75" customHeight="1" x14ac:dyDescent="0.2">
      <c r="A4249" s="21"/>
      <c r="B4249" s="3" t="s">
        <v>9</v>
      </c>
      <c r="C4249" s="20" t="s">
        <v>1186</v>
      </c>
      <c r="D4249" s="21"/>
    </row>
    <row r="4250" spans="1:4" ht="12.75" customHeight="1" x14ac:dyDescent="0.2">
      <c r="A4250" s="21"/>
      <c r="B4250" s="3" t="s">
        <v>11</v>
      </c>
      <c r="C4250" s="20" t="s">
        <v>963</v>
      </c>
      <c r="D4250" s="21"/>
    </row>
    <row r="4251" spans="1:4" ht="12.75" customHeight="1" x14ac:dyDescent="0.2">
      <c r="A4251" s="21"/>
      <c r="B4251" s="3" t="s">
        <v>13</v>
      </c>
      <c r="C4251" s="20" t="s">
        <v>24</v>
      </c>
      <c r="D4251" s="21"/>
    </row>
    <row r="4252" spans="1:4" ht="12.75" customHeight="1" x14ac:dyDescent="0.2">
      <c r="A4252" s="21"/>
      <c r="B4252" s="3" t="s">
        <v>15</v>
      </c>
      <c r="C4252" s="20" t="s">
        <v>24</v>
      </c>
      <c r="D4252" s="21"/>
    </row>
    <row r="4253" spans="1:4" ht="12.75" customHeight="1" x14ac:dyDescent="0.2">
      <c r="A4253" s="21"/>
      <c r="B4253" s="3" t="s">
        <v>16</v>
      </c>
      <c r="C4253" s="20"/>
      <c r="D4253" s="21"/>
    </row>
    <row r="4254" spans="1:4" ht="12.75" customHeight="1" x14ac:dyDescent="0.2">
      <c r="A4254" s="21"/>
      <c r="B4254" s="3" t="s">
        <v>17</v>
      </c>
      <c r="C4254" s="20"/>
      <c r="D4254" s="21"/>
    </row>
    <row r="4255" spans="1:4" ht="12.75" customHeight="1" x14ac:dyDescent="0.2">
      <c r="A4255" s="21"/>
      <c r="B4255" s="20" t="s">
        <v>18</v>
      </c>
      <c r="C4255" s="4" t="s">
        <v>163</v>
      </c>
      <c r="D4255" s="6" t="str">
        <f>HYPERLINK("javascript:void(0)","kompózium")</f>
        <v>kompózium</v>
      </c>
    </row>
    <row r="4256" spans="1:4" ht="12.75" customHeight="1" x14ac:dyDescent="0.2">
      <c r="A4256" s="21"/>
      <c r="B4256" s="21"/>
      <c r="C4256" s="4" t="s">
        <v>269</v>
      </c>
      <c r="D4256" s="6" t="str">
        <f>HYPERLINK("javascript:void(0)","démonfog")</f>
        <v>démonfog</v>
      </c>
    </row>
    <row r="4257" spans="1:4" ht="12.75" customHeight="1" x14ac:dyDescent="0.2">
      <c r="A4257" s="21"/>
      <c r="B4257" s="21"/>
      <c r="C4257" s="4" t="s">
        <v>494</v>
      </c>
      <c r="D4257" s="6" t="str">
        <f>HYPERLINK("javascript:void(0)","madártoll")</f>
        <v>madártoll</v>
      </c>
    </row>
    <row r="4258" spans="1:4" ht="12.75" customHeight="1" x14ac:dyDescent="0.2">
      <c r="A4258" s="5"/>
      <c r="B4258" s="2"/>
      <c r="C4258" s="2"/>
      <c r="D4258" s="2"/>
    </row>
    <row r="4259" spans="1:4" ht="12.75" customHeight="1" x14ac:dyDescent="0.2">
      <c r="A4259" s="22" t="str">
        <f>HYPERLINK("javascript:void(0)","lombikvető")</f>
        <v>lombikvető</v>
      </c>
      <c r="B4259" s="21"/>
      <c r="C4259" s="21"/>
      <c r="D4259" s="21"/>
    </row>
    <row r="4260" spans="1:4" ht="12.75" customHeight="1" x14ac:dyDescent="0.2">
      <c r="A4260" s="20"/>
      <c r="B4260" s="2"/>
      <c r="C4260" s="2"/>
      <c r="D4260" s="2"/>
    </row>
    <row r="4261" spans="1:4" ht="12.75" customHeight="1" x14ac:dyDescent="0.2">
      <c r="A4261" s="21"/>
      <c r="B4261" s="3" t="s">
        <v>0</v>
      </c>
      <c r="C4261" s="20" t="s">
        <v>119</v>
      </c>
      <c r="D4261" s="21"/>
    </row>
    <row r="4262" spans="1:4" ht="12.75" customHeight="1" x14ac:dyDescent="0.2">
      <c r="A4262" s="21"/>
      <c r="B4262" s="3" t="s">
        <v>2</v>
      </c>
      <c r="C4262" s="20" t="s">
        <v>3</v>
      </c>
      <c r="D4262" s="21"/>
    </row>
    <row r="4263" spans="1:4" ht="12.75" customHeight="1" x14ac:dyDescent="0.2">
      <c r="A4263" s="21"/>
      <c r="B4263" s="3" t="s">
        <v>4</v>
      </c>
      <c r="C4263" s="20" t="s">
        <v>1188</v>
      </c>
      <c r="D4263" s="21"/>
    </row>
    <row r="4264" spans="1:4" ht="12.75" customHeight="1" x14ac:dyDescent="0.2">
      <c r="A4264" s="21"/>
      <c r="B4264" s="3" t="s">
        <v>6</v>
      </c>
      <c r="C4264" s="20" t="s">
        <v>153</v>
      </c>
      <c r="D4264" s="21"/>
    </row>
    <row r="4265" spans="1:4" ht="12.75" customHeight="1" x14ac:dyDescent="0.2">
      <c r="A4265" s="21"/>
      <c r="B4265" s="3" t="s">
        <v>8</v>
      </c>
      <c r="C4265" s="20" t="s">
        <v>1188</v>
      </c>
      <c r="D4265" s="21"/>
    </row>
    <row r="4266" spans="1:4" ht="12.75" customHeight="1" x14ac:dyDescent="0.2">
      <c r="A4266" s="21"/>
      <c r="B4266" s="3" t="s">
        <v>9</v>
      </c>
      <c r="C4266" s="20" t="s">
        <v>1189</v>
      </c>
      <c r="D4266" s="21"/>
    </row>
    <row r="4267" spans="1:4" ht="12.75" customHeight="1" x14ac:dyDescent="0.2">
      <c r="A4267" s="21"/>
      <c r="B4267" s="3" t="s">
        <v>11</v>
      </c>
      <c r="C4267" s="20" t="s">
        <v>1190</v>
      </c>
      <c r="D4267" s="21"/>
    </row>
    <row r="4268" spans="1:4" ht="12.75" customHeight="1" x14ac:dyDescent="0.2">
      <c r="A4268" s="21"/>
      <c r="B4268" s="3" t="s">
        <v>13</v>
      </c>
      <c r="C4268" s="20" t="s">
        <v>24</v>
      </c>
      <c r="D4268" s="21"/>
    </row>
    <row r="4269" spans="1:4" ht="12.75" customHeight="1" x14ac:dyDescent="0.2">
      <c r="A4269" s="21"/>
      <c r="B4269" s="3" t="s">
        <v>15</v>
      </c>
      <c r="C4269" s="20" t="s">
        <v>24</v>
      </c>
      <c r="D4269" s="21"/>
    </row>
    <row r="4270" spans="1:4" ht="12.75" customHeight="1" x14ac:dyDescent="0.2">
      <c r="A4270" s="21"/>
      <c r="B4270" s="3" t="s">
        <v>16</v>
      </c>
      <c r="C4270" s="20"/>
      <c r="D4270" s="21"/>
    </row>
    <row r="4271" spans="1:4" ht="12.75" customHeight="1" x14ac:dyDescent="0.2">
      <c r="A4271" s="21"/>
      <c r="B4271" s="3" t="s">
        <v>17</v>
      </c>
      <c r="C4271" s="20"/>
      <c r="D4271" s="21"/>
    </row>
    <row r="4272" spans="1:4" ht="12.75" customHeight="1" x14ac:dyDescent="0.2">
      <c r="A4272" s="21"/>
      <c r="B4272" s="20" t="s">
        <v>18</v>
      </c>
      <c r="C4272" s="4" t="s">
        <v>196</v>
      </c>
      <c r="D4272" s="6" t="str">
        <f>HYPERLINK("javascript:void(0)","lombik")</f>
        <v>lombik</v>
      </c>
    </row>
    <row r="4273" spans="1:4" ht="12.75" customHeight="1" x14ac:dyDescent="0.2">
      <c r="A4273" s="21"/>
      <c r="B4273" s="21"/>
      <c r="C4273" s="4" t="s">
        <v>44</v>
      </c>
      <c r="D4273" s="6" t="str">
        <f>HYPERLINK("javascript:void(0)","rimföldi tűvető")</f>
        <v>rimföldi tűvető</v>
      </c>
    </row>
    <row r="4274" spans="1:4" ht="12.75" customHeight="1" x14ac:dyDescent="0.2">
      <c r="A4274" s="21"/>
      <c r="B4274" s="21"/>
      <c r="C4274" s="4" t="s">
        <v>309</v>
      </c>
      <c r="D4274" s="6" t="str">
        <f>HYPERLINK("javascript:void(0)","méregcsepp")</f>
        <v>méregcsepp</v>
      </c>
    </row>
    <row r="4275" spans="1:4" ht="12.75" customHeight="1" x14ac:dyDescent="0.2">
      <c r="A4275" s="5"/>
      <c r="B4275" s="2"/>
      <c r="C4275" s="2"/>
      <c r="D4275" s="2"/>
    </row>
    <row r="4276" spans="1:4" ht="12.75" customHeight="1" x14ac:dyDescent="0.2">
      <c r="A4276" s="22" t="str">
        <f>HYPERLINK("javascript:void(0)","diacél pattantyú")</f>
        <v>diacél pattantyú</v>
      </c>
      <c r="B4276" s="21"/>
      <c r="C4276" s="21"/>
      <c r="D4276" s="21"/>
    </row>
    <row r="4277" spans="1:4" ht="12.75" customHeight="1" x14ac:dyDescent="0.2">
      <c r="A4277" s="20"/>
      <c r="B4277" s="2"/>
      <c r="C4277" s="2"/>
      <c r="D4277" s="2"/>
    </row>
    <row r="4278" spans="1:4" ht="12.75" customHeight="1" x14ac:dyDescent="0.2">
      <c r="A4278" s="21"/>
      <c r="B4278" s="3" t="s">
        <v>0</v>
      </c>
      <c r="C4278" s="20" t="s">
        <v>119</v>
      </c>
      <c r="D4278" s="21"/>
    </row>
    <row r="4279" spans="1:4" ht="12.75" customHeight="1" x14ac:dyDescent="0.2">
      <c r="A4279" s="21"/>
      <c r="B4279" s="3" t="s">
        <v>2</v>
      </c>
      <c r="C4279" s="20" t="s">
        <v>3</v>
      </c>
      <c r="D4279" s="21"/>
    </row>
    <row r="4280" spans="1:4" ht="12.75" customHeight="1" x14ac:dyDescent="0.2">
      <c r="A4280" s="21"/>
      <c r="B4280" s="3" t="s">
        <v>4</v>
      </c>
      <c r="C4280" s="20" t="s">
        <v>1193</v>
      </c>
      <c r="D4280" s="21"/>
    </row>
    <row r="4281" spans="1:4" ht="12.75" customHeight="1" x14ac:dyDescent="0.2">
      <c r="A4281" s="21"/>
      <c r="B4281" s="3" t="s">
        <v>6</v>
      </c>
      <c r="C4281" s="20" t="s">
        <v>65</v>
      </c>
      <c r="D4281" s="21"/>
    </row>
    <row r="4282" spans="1:4" ht="12.75" customHeight="1" x14ac:dyDescent="0.2">
      <c r="A4282" s="21"/>
      <c r="B4282" s="3" t="s">
        <v>8</v>
      </c>
      <c r="C4282" s="20" t="s">
        <v>1193</v>
      </c>
      <c r="D4282" s="21"/>
    </row>
    <row r="4283" spans="1:4" ht="12.75" customHeight="1" x14ac:dyDescent="0.2">
      <c r="A4283" s="21"/>
      <c r="B4283" s="3" t="s">
        <v>9</v>
      </c>
      <c r="C4283" s="20" t="s">
        <v>845</v>
      </c>
      <c r="D4283" s="21"/>
    </row>
    <row r="4284" spans="1:4" ht="12.75" customHeight="1" x14ac:dyDescent="0.2">
      <c r="A4284" s="21"/>
      <c r="B4284" s="3" t="s">
        <v>11</v>
      </c>
      <c r="C4284" s="20" t="s">
        <v>1194</v>
      </c>
      <c r="D4284" s="21"/>
    </row>
    <row r="4285" spans="1:4" ht="12.75" customHeight="1" x14ac:dyDescent="0.2">
      <c r="A4285" s="21"/>
      <c r="B4285" s="3" t="s">
        <v>13</v>
      </c>
      <c r="C4285" s="20" t="s">
        <v>24</v>
      </c>
      <c r="D4285" s="21"/>
    </row>
    <row r="4286" spans="1:4" ht="12.75" customHeight="1" x14ac:dyDescent="0.2">
      <c r="A4286" s="21"/>
      <c r="B4286" s="3" t="s">
        <v>15</v>
      </c>
      <c r="C4286" s="20" t="s">
        <v>24</v>
      </c>
      <c r="D4286" s="21"/>
    </row>
    <row r="4287" spans="1:4" ht="12.75" customHeight="1" x14ac:dyDescent="0.2">
      <c r="A4287" s="21"/>
      <c r="B4287" s="3" t="s">
        <v>16</v>
      </c>
      <c r="C4287" s="20"/>
      <c r="D4287" s="21"/>
    </row>
    <row r="4288" spans="1:4" ht="12.75" customHeight="1" x14ac:dyDescent="0.2">
      <c r="A4288" s="21"/>
      <c r="B4288" s="3" t="s">
        <v>17</v>
      </c>
      <c r="C4288" s="20"/>
      <c r="D4288" s="21"/>
    </row>
    <row r="4289" spans="1:4" ht="12.75" customHeight="1" x14ac:dyDescent="0.2">
      <c r="A4289" s="21"/>
      <c r="B4289" s="20" t="s">
        <v>18</v>
      </c>
      <c r="C4289" s="4" t="s">
        <v>290</v>
      </c>
      <c r="D4289" s="6" t="str">
        <f>HYPERLINK("javascript:void(0)","titkos jelszó")</f>
        <v>titkos jelszó</v>
      </c>
    </row>
    <row r="4290" spans="1:4" ht="12.75" customHeight="1" x14ac:dyDescent="0.2">
      <c r="A4290" s="21"/>
      <c r="B4290" s="21"/>
      <c r="C4290" s="4" t="s">
        <v>142</v>
      </c>
      <c r="D4290" s="6" t="str">
        <f>HYPERLINK("javascript:void(0)","dühítés")</f>
        <v>dühítés</v>
      </c>
    </row>
    <row r="4291" spans="1:4" ht="12.75" customHeight="1" x14ac:dyDescent="0.2">
      <c r="A4291" s="21"/>
      <c r="B4291" s="21"/>
      <c r="C4291" s="4" t="s">
        <v>56</v>
      </c>
      <c r="D4291" s="6" t="str">
        <f>HYPERLINK("javascript:void(0)","kincsgúla")</f>
        <v>kincsgúla</v>
      </c>
    </row>
    <row r="4292" spans="1:4" ht="12.75" customHeight="1" x14ac:dyDescent="0.2">
      <c r="A4292" s="5"/>
      <c r="B4292" s="2"/>
      <c r="C4292" s="2"/>
      <c r="D4292" s="2"/>
    </row>
    <row r="4293" spans="1:4" ht="12.75" customHeight="1" x14ac:dyDescent="0.2">
      <c r="A4293" s="22" t="str">
        <f>HYPERLINK("javascript:void(0)","méregvető")</f>
        <v>méregvető</v>
      </c>
      <c r="B4293" s="21"/>
      <c r="C4293" s="21"/>
      <c r="D4293" s="21"/>
    </row>
    <row r="4294" spans="1:4" ht="12.75" customHeight="1" x14ac:dyDescent="0.2">
      <c r="A4294" s="20"/>
      <c r="B4294" s="2"/>
      <c r="C4294" s="2"/>
      <c r="D4294" s="2"/>
    </row>
    <row r="4295" spans="1:4" ht="12.75" customHeight="1" x14ac:dyDescent="0.2">
      <c r="A4295" s="21"/>
      <c r="B4295" s="3" t="s">
        <v>0</v>
      </c>
      <c r="C4295" s="20" t="s">
        <v>1196</v>
      </c>
      <c r="D4295" s="21"/>
    </row>
    <row r="4296" spans="1:4" ht="12.75" customHeight="1" x14ac:dyDescent="0.2">
      <c r="A4296" s="21"/>
      <c r="B4296" s="3" t="s">
        <v>2</v>
      </c>
      <c r="C4296" s="20" t="s">
        <v>3</v>
      </c>
      <c r="D4296" s="21"/>
    </row>
    <row r="4297" spans="1:4" ht="12.75" customHeight="1" x14ac:dyDescent="0.2">
      <c r="A4297" s="21"/>
      <c r="B4297" s="3" t="s">
        <v>4</v>
      </c>
      <c r="C4297" s="20" t="s">
        <v>1198</v>
      </c>
      <c r="D4297" s="21"/>
    </row>
    <row r="4298" spans="1:4" ht="12.75" customHeight="1" x14ac:dyDescent="0.2">
      <c r="A4298" s="21"/>
      <c r="B4298" s="3" t="s">
        <v>6</v>
      </c>
      <c r="C4298" s="20" t="s">
        <v>187</v>
      </c>
      <c r="D4298" s="21"/>
    </row>
    <row r="4299" spans="1:4" ht="12.75" customHeight="1" x14ac:dyDescent="0.2">
      <c r="A4299" s="21"/>
      <c r="B4299" s="3" t="s">
        <v>8</v>
      </c>
      <c r="C4299" s="20" t="s">
        <v>1198</v>
      </c>
      <c r="D4299" s="21"/>
    </row>
    <row r="4300" spans="1:4" ht="12.75" customHeight="1" x14ac:dyDescent="0.2">
      <c r="A4300" s="21"/>
      <c r="B4300" s="3" t="s">
        <v>9</v>
      </c>
      <c r="C4300" s="20" t="s">
        <v>129</v>
      </c>
      <c r="D4300" s="21"/>
    </row>
    <row r="4301" spans="1:4" ht="12.75" customHeight="1" x14ac:dyDescent="0.2">
      <c r="A4301" s="21"/>
      <c r="B4301" s="3" t="s">
        <v>11</v>
      </c>
      <c r="C4301" s="20" t="s">
        <v>1199</v>
      </c>
      <c r="D4301" s="21"/>
    </row>
    <row r="4302" spans="1:4" ht="12.75" customHeight="1" x14ac:dyDescent="0.2">
      <c r="A4302" s="21"/>
      <c r="B4302" s="3" t="s">
        <v>13</v>
      </c>
      <c r="C4302" s="20" t="s">
        <v>24</v>
      </c>
      <c r="D4302" s="21"/>
    </row>
    <row r="4303" spans="1:4" ht="12.75" customHeight="1" x14ac:dyDescent="0.2">
      <c r="A4303" s="21"/>
      <c r="B4303" s="3" t="s">
        <v>15</v>
      </c>
      <c r="C4303" s="20" t="s">
        <v>24</v>
      </c>
      <c r="D4303" s="21"/>
    </row>
    <row r="4304" spans="1:4" ht="12.75" customHeight="1" x14ac:dyDescent="0.2">
      <c r="A4304" s="21"/>
      <c r="B4304" s="3" t="s">
        <v>16</v>
      </c>
      <c r="C4304" s="20"/>
      <c r="D4304" s="21"/>
    </row>
    <row r="4305" spans="1:4" ht="12.75" customHeight="1" x14ac:dyDescent="0.2">
      <c r="A4305" s="21"/>
      <c r="B4305" s="3" t="s">
        <v>17</v>
      </c>
      <c r="C4305" s="20"/>
      <c r="D4305" s="21"/>
    </row>
    <row r="4306" spans="1:4" ht="12.75" customHeight="1" x14ac:dyDescent="0.2">
      <c r="A4306" s="21"/>
      <c r="B4306" s="20" t="s">
        <v>18</v>
      </c>
      <c r="C4306" s="4" t="s">
        <v>44</v>
      </c>
      <c r="D4306" s="6" t="str">
        <f>HYPERLINK("javascript:void(0)","lombikvető")</f>
        <v>lombikvető</v>
      </c>
    </row>
    <row r="4307" spans="1:4" ht="12.75" customHeight="1" x14ac:dyDescent="0.2">
      <c r="A4307" s="21"/>
      <c r="B4307" s="21"/>
      <c r="C4307" s="4" t="s">
        <v>77</v>
      </c>
      <c r="D4307" s="6" t="str">
        <f>HYPERLINK("javascript:void(0)","méregfog")</f>
        <v>méregfog</v>
      </c>
    </row>
    <row r="4308" spans="1:4" ht="12.75" customHeight="1" x14ac:dyDescent="0.2">
      <c r="A4308" s="21"/>
      <c r="B4308" s="21"/>
      <c r="C4308" s="4" t="s">
        <v>142</v>
      </c>
      <c r="D4308" s="6" t="str">
        <f>HYPERLINK("javascript:void(0)","rémkép")</f>
        <v>rémkép</v>
      </c>
    </row>
    <row r="4309" spans="1:4" ht="12.75" customHeight="1" x14ac:dyDescent="0.2">
      <c r="A4309" s="5"/>
      <c r="B4309" s="2"/>
      <c r="C4309" s="2"/>
      <c r="D4309" s="2"/>
    </row>
    <row r="4310" spans="1:4" ht="12.75" customHeight="1" x14ac:dyDescent="0.2">
      <c r="A4310" s="22" t="str">
        <f>HYPERLINK("javascript:void(0)","véracél pattantyú")</f>
        <v>véracél pattantyú</v>
      </c>
      <c r="B4310" s="21"/>
      <c r="C4310" s="21"/>
      <c r="D4310" s="21"/>
    </row>
    <row r="4311" spans="1:4" ht="12.75" customHeight="1" x14ac:dyDescent="0.2">
      <c r="A4311" s="20"/>
      <c r="B4311" s="2"/>
      <c r="C4311" s="2"/>
      <c r="D4311" s="2"/>
    </row>
    <row r="4312" spans="1:4" ht="12.75" customHeight="1" x14ac:dyDescent="0.2">
      <c r="A4312" s="21"/>
      <c r="B4312" s="3" t="s">
        <v>0</v>
      </c>
      <c r="C4312" s="20" t="s">
        <v>1196</v>
      </c>
      <c r="D4312" s="21"/>
    </row>
    <row r="4313" spans="1:4" ht="12.75" customHeight="1" x14ac:dyDescent="0.2">
      <c r="A4313" s="21"/>
      <c r="B4313" s="3" t="s">
        <v>2</v>
      </c>
      <c r="C4313" s="20" t="s">
        <v>3</v>
      </c>
      <c r="D4313" s="21"/>
    </row>
    <row r="4314" spans="1:4" ht="12.75" customHeight="1" x14ac:dyDescent="0.2">
      <c r="A4314" s="21"/>
      <c r="B4314" s="3" t="s">
        <v>4</v>
      </c>
      <c r="C4314" s="20" t="s">
        <v>1201</v>
      </c>
      <c r="D4314" s="21"/>
    </row>
    <row r="4315" spans="1:4" ht="12.75" customHeight="1" x14ac:dyDescent="0.2">
      <c r="A4315" s="21"/>
      <c r="B4315" s="3" t="s">
        <v>6</v>
      </c>
      <c r="C4315" s="20" t="s">
        <v>65</v>
      </c>
      <c r="D4315" s="21"/>
    </row>
    <row r="4316" spans="1:4" ht="12.75" customHeight="1" x14ac:dyDescent="0.2">
      <c r="A4316" s="21"/>
      <c r="B4316" s="3" t="s">
        <v>8</v>
      </c>
      <c r="C4316" s="20" t="s">
        <v>1201</v>
      </c>
      <c r="D4316" s="21"/>
    </row>
    <row r="4317" spans="1:4" ht="12.75" customHeight="1" x14ac:dyDescent="0.2">
      <c r="A4317" s="21"/>
      <c r="B4317" s="3" t="s">
        <v>9</v>
      </c>
      <c r="C4317" s="20" t="s">
        <v>1020</v>
      </c>
      <c r="D4317" s="21"/>
    </row>
    <row r="4318" spans="1:4" ht="12.75" customHeight="1" x14ac:dyDescent="0.2">
      <c r="A4318" s="21"/>
      <c r="B4318" s="3" t="s">
        <v>11</v>
      </c>
      <c r="C4318" s="20" t="s">
        <v>1203</v>
      </c>
      <c r="D4318" s="21"/>
    </row>
    <row r="4319" spans="1:4" ht="12.75" customHeight="1" x14ac:dyDescent="0.2">
      <c r="A4319" s="21"/>
      <c r="B4319" s="3" t="s">
        <v>13</v>
      </c>
      <c r="C4319" s="20" t="s">
        <v>24</v>
      </c>
      <c r="D4319" s="21"/>
    </row>
    <row r="4320" spans="1:4" ht="12.75" customHeight="1" x14ac:dyDescent="0.2">
      <c r="A4320" s="21"/>
      <c r="B4320" s="3" t="s">
        <v>15</v>
      </c>
      <c r="C4320" s="20" t="s">
        <v>24</v>
      </c>
      <c r="D4320" s="21"/>
    </row>
    <row r="4321" spans="1:4" ht="12.75" customHeight="1" x14ac:dyDescent="0.2">
      <c r="A4321" s="21"/>
      <c r="B4321" s="3" t="s">
        <v>16</v>
      </c>
      <c r="C4321" s="20"/>
      <c r="D4321" s="21"/>
    </row>
    <row r="4322" spans="1:4" ht="12.75" customHeight="1" x14ac:dyDescent="0.2">
      <c r="A4322" s="21"/>
      <c r="B4322" s="3" t="s">
        <v>17</v>
      </c>
      <c r="C4322" s="20"/>
      <c r="D4322" s="21"/>
    </row>
    <row r="4323" spans="1:4" ht="12.75" customHeight="1" x14ac:dyDescent="0.2">
      <c r="A4323" s="21"/>
      <c r="B4323" s="20" t="s">
        <v>18</v>
      </c>
      <c r="C4323" s="4" t="s">
        <v>780</v>
      </c>
      <c r="D4323" s="6" t="str">
        <f>HYPERLINK("javascript:void(0)","titkos jelszó")</f>
        <v>titkos jelszó</v>
      </c>
    </row>
    <row r="4324" spans="1:4" ht="12.75" customHeight="1" x14ac:dyDescent="0.2">
      <c r="A4324" s="21"/>
      <c r="B4324" s="21"/>
      <c r="C4324" s="4" t="s">
        <v>196</v>
      </c>
      <c r="D4324" s="6" t="str">
        <f>HYPERLINK("javascript:void(0)","fartroll")</f>
        <v>fartroll</v>
      </c>
    </row>
    <row r="4325" spans="1:4" ht="12.75" customHeight="1" x14ac:dyDescent="0.2">
      <c r="A4325" s="21"/>
      <c r="B4325" s="21"/>
      <c r="C4325" s="4" t="s">
        <v>56</v>
      </c>
      <c r="D4325" s="6" t="str">
        <f>HYPERLINK("javascript:void(0)","kincsgúla")</f>
        <v>kincsgúla</v>
      </c>
    </row>
    <row r="4326" spans="1:4" ht="12.75" customHeight="1" x14ac:dyDescent="0.2">
      <c r="A4326" s="5"/>
      <c r="B4326" s="2"/>
      <c r="C4326" s="2"/>
      <c r="D4326" s="2"/>
    </row>
    <row r="4327" spans="1:4" ht="12.75" customHeight="1" x14ac:dyDescent="0.2">
      <c r="A4327" s="22" t="str">
        <f>HYPERLINK("javascript:void(0)","kajahajító")</f>
        <v>kajahajító</v>
      </c>
      <c r="B4327" s="21"/>
      <c r="C4327" s="21"/>
      <c r="D4327" s="21"/>
    </row>
    <row r="4328" spans="1:4" ht="12.75" customHeight="1" x14ac:dyDescent="0.2">
      <c r="A4328" s="20"/>
      <c r="B4328" s="2"/>
      <c r="C4328" s="2"/>
      <c r="D4328" s="2"/>
    </row>
    <row r="4329" spans="1:4" ht="12.75" customHeight="1" x14ac:dyDescent="0.2">
      <c r="A4329" s="21"/>
      <c r="B4329" s="3" t="s">
        <v>0</v>
      </c>
      <c r="C4329" s="20" t="s">
        <v>1207</v>
      </c>
      <c r="D4329" s="21"/>
    </row>
    <row r="4330" spans="1:4" ht="12.75" customHeight="1" x14ac:dyDescent="0.2">
      <c r="A4330" s="21"/>
      <c r="B4330" s="3" t="s">
        <v>2</v>
      </c>
      <c r="C4330" s="20" t="s">
        <v>3</v>
      </c>
      <c r="D4330" s="21"/>
    </row>
    <row r="4331" spans="1:4" ht="12.75" customHeight="1" x14ac:dyDescent="0.2">
      <c r="A4331" s="21"/>
      <c r="B4331" s="3" t="s">
        <v>4</v>
      </c>
      <c r="C4331" s="20" t="s">
        <v>1208</v>
      </c>
      <c r="D4331" s="21"/>
    </row>
    <row r="4332" spans="1:4" ht="12.75" customHeight="1" x14ac:dyDescent="0.2">
      <c r="A4332" s="21"/>
      <c r="B4332" s="3" t="s">
        <v>6</v>
      </c>
      <c r="C4332" s="20" t="s">
        <v>274</v>
      </c>
      <c r="D4332" s="21"/>
    </row>
    <row r="4333" spans="1:4" ht="12.75" customHeight="1" x14ac:dyDescent="0.2">
      <c r="A4333" s="21"/>
      <c r="B4333" s="3" t="s">
        <v>8</v>
      </c>
      <c r="C4333" s="20" t="s">
        <v>1208</v>
      </c>
      <c r="D4333" s="21"/>
    </row>
    <row r="4334" spans="1:4" ht="12.75" customHeight="1" x14ac:dyDescent="0.2">
      <c r="A4334" s="21"/>
      <c r="B4334" s="3" t="s">
        <v>9</v>
      </c>
      <c r="C4334" s="20" t="s">
        <v>306</v>
      </c>
      <c r="D4334" s="21"/>
    </row>
    <row r="4335" spans="1:4" ht="12.75" customHeight="1" x14ac:dyDescent="0.2">
      <c r="A4335" s="21"/>
      <c r="B4335" s="3" t="s">
        <v>11</v>
      </c>
      <c r="C4335" s="20" t="s">
        <v>1209</v>
      </c>
      <c r="D4335" s="21"/>
    </row>
    <row r="4336" spans="1:4" ht="12.75" customHeight="1" x14ac:dyDescent="0.2">
      <c r="A4336" s="21"/>
      <c r="B4336" s="3" t="s">
        <v>13</v>
      </c>
      <c r="C4336" s="20" t="s">
        <v>24</v>
      </c>
      <c r="D4336" s="21"/>
    </row>
    <row r="4337" spans="1:4" ht="12.75" customHeight="1" x14ac:dyDescent="0.2">
      <c r="A4337" s="21"/>
      <c r="B4337" s="3" t="s">
        <v>15</v>
      </c>
      <c r="C4337" s="20" t="s">
        <v>24</v>
      </c>
      <c r="D4337" s="21"/>
    </row>
    <row r="4338" spans="1:4" ht="12.75" customHeight="1" x14ac:dyDescent="0.2">
      <c r="A4338" s="21"/>
      <c r="B4338" s="3" t="s">
        <v>16</v>
      </c>
      <c r="C4338" s="20"/>
      <c r="D4338" s="21"/>
    </row>
    <row r="4339" spans="1:4" ht="12.75" customHeight="1" x14ac:dyDescent="0.2">
      <c r="A4339" s="21"/>
      <c r="B4339" s="3" t="s">
        <v>17</v>
      </c>
      <c r="C4339" s="20"/>
      <c r="D4339" s="21"/>
    </row>
    <row r="4340" spans="1:4" ht="12.75" customHeight="1" x14ac:dyDescent="0.2">
      <c r="A4340" s="21"/>
      <c r="B4340" s="20" t="s">
        <v>18</v>
      </c>
      <c r="C4340" s="4" t="s">
        <v>196</v>
      </c>
      <c r="D4340" s="6" t="str">
        <f>HYPERLINK("javascript:void(0)","eledel")</f>
        <v>eledel</v>
      </c>
    </row>
    <row r="4341" spans="1:4" ht="12.75" customHeight="1" x14ac:dyDescent="0.2">
      <c r="A4341" s="21"/>
      <c r="B4341" s="21"/>
      <c r="C4341" s="4" t="s">
        <v>44</v>
      </c>
      <c r="D4341" s="6" t="str">
        <f>HYPERLINK("javascript:void(0)","méregvető")</f>
        <v>méregvető</v>
      </c>
    </row>
    <row r="4342" spans="1:4" ht="12.75" customHeight="1" x14ac:dyDescent="0.2">
      <c r="A4342" s="21"/>
      <c r="B4342" s="21"/>
      <c r="C4342" s="4" t="s">
        <v>316</v>
      </c>
      <c r="D4342" s="6" t="str">
        <f>HYPERLINK("javascript:void(0)","raszta")</f>
        <v>raszta</v>
      </c>
    </row>
    <row r="4343" spans="1:4" ht="12.75" customHeight="1" x14ac:dyDescent="0.2">
      <c r="A4343" s="5"/>
      <c r="B4343" s="2"/>
      <c r="C4343" s="2"/>
      <c r="D4343" s="2"/>
    </row>
    <row r="4344" spans="1:4" ht="12.75" customHeight="1" x14ac:dyDescent="0.2">
      <c r="A4344" s="22" t="str">
        <f>HYPERLINK("javascript:void(0)","ezüst parittya")</f>
        <v>ezüst parittya</v>
      </c>
      <c r="B4344" s="21"/>
      <c r="C4344" s="21"/>
      <c r="D4344" s="21"/>
    </row>
    <row r="4345" spans="1:4" ht="12.75" customHeight="1" x14ac:dyDescent="0.2">
      <c r="A4345" s="20"/>
      <c r="B4345" s="2"/>
      <c r="C4345" s="2"/>
      <c r="D4345" s="2"/>
    </row>
    <row r="4346" spans="1:4" ht="12.75" customHeight="1" x14ac:dyDescent="0.2">
      <c r="A4346" s="21"/>
      <c r="B4346" s="3" t="s">
        <v>0</v>
      </c>
      <c r="C4346" s="20" t="s">
        <v>1207</v>
      </c>
      <c r="D4346" s="21"/>
    </row>
    <row r="4347" spans="1:4" ht="12.75" customHeight="1" x14ac:dyDescent="0.2">
      <c r="A4347" s="21"/>
      <c r="B4347" s="3" t="s">
        <v>2</v>
      </c>
      <c r="C4347" s="20" t="s">
        <v>3</v>
      </c>
      <c r="D4347" s="21"/>
    </row>
    <row r="4348" spans="1:4" ht="12.75" customHeight="1" x14ac:dyDescent="0.2">
      <c r="A4348" s="21"/>
      <c r="B4348" s="3" t="s">
        <v>4</v>
      </c>
      <c r="C4348" s="20" t="s">
        <v>1211</v>
      </c>
      <c r="D4348" s="21"/>
    </row>
    <row r="4349" spans="1:4" ht="12.75" customHeight="1" x14ac:dyDescent="0.2">
      <c r="A4349" s="21"/>
      <c r="B4349" s="3" t="s">
        <v>6</v>
      </c>
      <c r="C4349" s="20" t="s">
        <v>65</v>
      </c>
      <c r="D4349" s="21"/>
    </row>
    <row r="4350" spans="1:4" ht="12.75" customHeight="1" x14ac:dyDescent="0.2">
      <c r="A4350" s="21"/>
      <c r="B4350" s="3" t="s">
        <v>8</v>
      </c>
      <c r="C4350" s="20" t="s">
        <v>1211</v>
      </c>
      <c r="D4350" s="21"/>
    </row>
    <row r="4351" spans="1:4" ht="12.75" customHeight="1" x14ac:dyDescent="0.2">
      <c r="A4351" s="21"/>
      <c r="B4351" s="3" t="s">
        <v>9</v>
      </c>
      <c r="C4351" s="20" t="s">
        <v>1046</v>
      </c>
      <c r="D4351" s="21"/>
    </row>
    <row r="4352" spans="1:4" ht="12.75" customHeight="1" x14ac:dyDescent="0.2">
      <c r="A4352" s="21"/>
      <c r="B4352" s="3" t="s">
        <v>11</v>
      </c>
      <c r="C4352" s="20" t="s">
        <v>1194</v>
      </c>
      <c r="D4352" s="21"/>
    </row>
    <row r="4353" spans="1:4" ht="12.75" customHeight="1" x14ac:dyDescent="0.2">
      <c r="A4353" s="21"/>
      <c r="B4353" s="3" t="s">
        <v>13</v>
      </c>
      <c r="C4353" s="20" t="s">
        <v>24</v>
      </c>
      <c r="D4353" s="21"/>
    </row>
    <row r="4354" spans="1:4" ht="12.75" customHeight="1" x14ac:dyDescent="0.2">
      <c r="A4354" s="21"/>
      <c r="B4354" s="3" t="s">
        <v>15</v>
      </c>
      <c r="C4354" s="20" t="s">
        <v>24</v>
      </c>
      <c r="D4354" s="21"/>
    </row>
    <row r="4355" spans="1:4" ht="12.75" customHeight="1" x14ac:dyDescent="0.2">
      <c r="A4355" s="21"/>
      <c r="B4355" s="3" t="s">
        <v>16</v>
      </c>
      <c r="C4355" s="20"/>
      <c r="D4355" s="21"/>
    </row>
    <row r="4356" spans="1:4" ht="12.75" customHeight="1" x14ac:dyDescent="0.2">
      <c r="A4356" s="21"/>
      <c r="B4356" s="3" t="s">
        <v>17</v>
      </c>
      <c r="C4356" s="20"/>
      <c r="D4356" s="21"/>
    </row>
    <row r="4357" spans="1:4" ht="12.75" customHeight="1" x14ac:dyDescent="0.2">
      <c r="A4357" s="21"/>
      <c r="B4357" s="20" t="s">
        <v>18</v>
      </c>
      <c r="C4357" s="4" t="s">
        <v>139</v>
      </c>
      <c r="D4357" s="6" t="str">
        <f>HYPERLINK("javascript:void(0)","ezüströg")</f>
        <v>ezüströg</v>
      </c>
    </row>
    <row r="4358" spans="1:4" ht="12.75" customHeight="1" x14ac:dyDescent="0.2">
      <c r="A4358" s="21"/>
      <c r="B4358" s="21"/>
      <c r="C4358" s="4" t="s">
        <v>77</v>
      </c>
      <c r="D4358" s="6" t="str">
        <f>HYPERLINK("javascript:void(0)","nyávogás")</f>
        <v>nyávogás</v>
      </c>
    </row>
    <row r="4359" spans="1:4" ht="12.75" customHeight="1" x14ac:dyDescent="0.2">
      <c r="A4359" s="21"/>
      <c r="B4359" s="21"/>
      <c r="C4359" s="4" t="s">
        <v>56</v>
      </c>
      <c r="D4359" s="6" t="str">
        <f>HYPERLINK("javascript:void(0)","kincsgúla")</f>
        <v>kincsgúla</v>
      </c>
    </row>
    <row r="4360" spans="1:4" ht="12.75" customHeight="1" x14ac:dyDescent="0.2">
      <c r="A4360" s="5"/>
      <c r="B4360" s="2"/>
      <c r="C4360" s="2"/>
      <c r="D4360" s="2"/>
    </row>
    <row r="4361" spans="1:4" ht="12.75" customHeight="1" x14ac:dyDescent="0.2">
      <c r="A4361" s="22" t="str">
        <f>HYPERLINK("javascript:void(0)","morzsavető")</f>
        <v>morzsavető</v>
      </c>
      <c r="B4361" s="21"/>
      <c r="C4361" s="21"/>
      <c r="D4361" s="21"/>
    </row>
    <row r="4362" spans="1:4" ht="12.75" customHeight="1" x14ac:dyDescent="0.2">
      <c r="A4362" s="20"/>
      <c r="B4362" s="2"/>
      <c r="C4362" s="2"/>
      <c r="D4362" s="2"/>
    </row>
    <row r="4363" spans="1:4" ht="12.75" customHeight="1" x14ac:dyDescent="0.2">
      <c r="A4363" s="21"/>
      <c r="B4363" s="3" t="s">
        <v>0</v>
      </c>
      <c r="C4363" s="20" t="s">
        <v>1213</v>
      </c>
      <c r="D4363" s="21"/>
    </row>
    <row r="4364" spans="1:4" ht="12.75" customHeight="1" x14ac:dyDescent="0.2">
      <c r="A4364" s="21"/>
      <c r="B4364" s="3" t="s">
        <v>2</v>
      </c>
      <c r="C4364" s="20" t="s">
        <v>3</v>
      </c>
      <c r="D4364" s="21"/>
    </row>
    <row r="4365" spans="1:4" ht="12.75" customHeight="1" x14ac:dyDescent="0.2">
      <c r="A4365" s="21"/>
      <c r="B4365" s="3" t="s">
        <v>4</v>
      </c>
      <c r="C4365" s="20" t="s">
        <v>1214</v>
      </c>
      <c r="D4365" s="21"/>
    </row>
    <row r="4366" spans="1:4" ht="12.75" customHeight="1" x14ac:dyDescent="0.2">
      <c r="A4366" s="21"/>
      <c r="B4366" s="3" t="s">
        <v>6</v>
      </c>
      <c r="C4366" s="20" t="s">
        <v>221</v>
      </c>
      <c r="D4366" s="21"/>
    </row>
    <row r="4367" spans="1:4" ht="12.75" customHeight="1" x14ac:dyDescent="0.2">
      <c r="A4367" s="21"/>
      <c r="B4367" s="3" t="s">
        <v>8</v>
      </c>
      <c r="C4367" s="20" t="s">
        <v>1214</v>
      </c>
      <c r="D4367" s="21"/>
    </row>
    <row r="4368" spans="1:4" ht="12.75" customHeight="1" x14ac:dyDescent="0.2">
      <c r="A4368" s="21"/>
      <c r="B4368" s="3" t="s">
        <v>9</v>
      </c>
      <c r="C4368" s="20" t="s">
        <v>1215</v>
      </c>
      <c r="D4368" s="21"/>
    </row>
    <row r="4369" spans="1:4" ht="12.75" customHeight="1" x14ac:dyDescent="0.2">
      <c r="A4369" s="21"/>
      <c r="B4369" s="3" t="s">
        <v>11</v>
      </c>
      <c r="C4369" s="20" t="s">
        <v>1216</v>
      </c>
      <c r="D4369" s="21"/>
    </row>
    <row r="4370" spans="1:4" ht="12.75" customHeight="1" x14ac:dyDescent="0.2">
      <c r="A4370" s="21"/>
      <c r="B4370" s="3" t="s">
        <v>13</v>
      </c>
      <c r="C4370" s="20" t="s">
        <v>24</v>
      </c>
      <c r="D4370" s="21"/>
    </row>
    <row r="4371" spans="1:4" ht="12.75" customHeight="1" x14ac:dyDescent="0.2">
      <c r="A4371" s="21"/>
      <c r="B4371" s="3" t="s">
        <v>15</v>
      </c>
      <c r="C4371" s="20" t="s">
        <v>24</v>
      </c>
      <c r="D4371" s="21"/>
    </row>
    <row r="4372" spans="1:4" ht="12.75" customHeight="1" x14ac:dyDescent="0.2">
      <c r="A4372" s="21"/>
      <c r="B4372" s="3" t="s">
        <v>16</v>
      </c>
      <c r="C4372" s="20"/>
      <c r="D4372" s="21"/>
    </row>
    <row r="4373" spans="1:4" ht="12.75" customHeight="1" x14ac:dyDescent="0.2">
      <c r="A4373" s="21"/>
      <c r="B4373" s="3" t="s">
        <v>17</v>
      </c>
      <c r="C4373" s="20"/>
      <c r="D4373" s="21"/>
    </row>
    <row r="4374" spans="1:4" ht="12.75" customHeight="1" x14ac:dyDescent="0.2">
      <c r="A4374" s="21"/>
      <c r="B4374" s="20" t="s">
        <v>18</v>
      </c>
      <c r="C4374" s="4" t="s">
        <v>44</v>
      </c>
      <c r="D4374" s="6" t="str">
        <f>HYPERLINK("javascript:void(0)","kajahajító")</f>
        <v>kajahajító</v>
      </c>
    </row>
    <row r="4375" spans="1:4" ht="12.75" customHeight="1" x14ac:dyDescent="0.2">
      <c r="A4375" s="21"/>
      <c r="B4375" s="21"/>
      <c r="C4375" s="4" t="s">
        <v>309</v>
      </c>
      <c r="D4375" s="6" t="str">
        <f>HYPERLINK("javascript:void(0)","kenyérhéj")</f>
        <v>kenyérhéj</v>
      </c>
    </row>
    <row r="4376" spans="1:4" ht="12.75" customHeight="1" x14ac:dyDescent="0.2">
      <c r="A4376" s="21"/>
      <c r="B4376" s="21"/>
      <c r="C4376" s="4" t="s">
        <v>244</v>
      </c>
      <c r="D4376" s="6" t="str">
        <f>HYPERLINK("javascript:void(0)","patron")</f>
        <v>patron</v>
      </c>
    </row>
    <row r="4377" spans="1:4" ht="12.75" customHeight="1" x14ac:dyDescent="0.2">
      <c r="A4377" s="5"/>
      <c r="B4377" s="2"/>
      <c r="C4377" s="2"/>
      <c r="D4377" s="2"/>
    </row>
    <row r="4378" spans="1:4" ht="12.75" customHeight="1" x14ac:dyDescent="0.2">
      <c r="A4378" s="22" t="str">
        <f>HYPERLINK("javascript:void(0)","arany parittya")</f>
        <v>arany parittya</v>
      </c>
      <c r="B4378" s="21"/>
      <c r="C4378" s="21"/>
      <c r="D4378" s="21"/>
    </row>
    <row r="4379" spans="1:4" ht="12.75" customHeight="1" x14ac:dyDescent="0.2">
      <c r="A4379" s="20"/>
      <c r="B4379" s="2"/>
      <c r="C4379" s="2"/>
      <c r="D4379" s="2"/>
    </row>
    <row r="4380" spans="1:4" ht="12.75" customHeight="1" x14ac:dyDescent="0.2">
      <c r="A4380" s="21"/>
      <c r="B4380" s="3" t="s">
        <v>0</v>
      </c>
      <c r="C4380" s="20" t="s">
        <v>1213</v>
      </c>
      <c r="D4380" s="21"/>
    </row>
    <row r="4381" spans="1:4" ht="12.75" customHeight="1" x14ac:dyDescent="0.2">
      <c r="A4381" s="21"/>
      <c r="B4381" s="3" t="s">
        <v>2</v>
      </c>
      <c r="C4381" s="20" t="s">
        <v>3</v>
      </c>
      <c r="D4381" s="21"/>
    </row>
    <row r="4382" spans="1:4" ht="12.75" customHeight="1" x14ac:dyDescent="0.2">
      <c r="A4382" s="21"/>
      <c r="B4382" s="3" t="s">
        <v>4</v>
      </c>
      <c r="C4382" s="20" t="s">
        <v>1220</v>
      </c>
      <c r="D4382" s="21"/>
    </row>
    <row r="4383" spans="1:4" ht="12.75" customHeight="1" x14ac:dyDescent="0.2">
      <c r="A4383" s="21"/>
      <c r="B4383" s="3" t="s">
        <v>6</v>
      </c>
      <c r="C4383" s="20" t="s">
        <v>65</v>
      </c>
      <c r="D4383" s="21"/>
    </row>
    <row r="4384" spans="1:4" ht="12.75" customHeight="1" x14ac:dyDescent="0.2">
      <c r="A4384" s="21"/>
      <c r="B4384" s="3" t="s">
        <v>8</v>
      </c>
      <c r="C4384" s="20" t="s">
        <v>1220</v>
      </c>
      <c r="D4384" s="21"/>
    </row>
    <row r="4385" spans="1:4" ht="12.75" customHeight="1" x14ac:dyDescent="0.2">
      <c r="A4385" s="21"/>
      <c r="B4385" s="3" t="s">
        <v>9</v>
      </c>
      <c r="C4385" s="20" t="s">
        <v>1028</v>
      </c>
      <c r="D4385" s="21"/>
    </row>
    <row r="4386" spans="1:4" ht="12.75" customHeight="1" x14ac:dyDescent="0.2">
      <c r="A4386" s="21"/>
      <c r="B4386" s="3" t="s">
        <v>11</v>
      </c>
      <c r="C4386" s="20" t="s">
        <v>1203</v>
      </c>
      <c r="D4386" s="21"/>
    </row>
    <row r="4387" spans="1:4" ht="12.75" customHeight="1" x14ac:dyDescent="0.2">
      <c r="A4387" s="21"/>
      <c r="B4387" s="3" t="s">
        <v>13</v>
      </c>
      <c r="C4387" s="20" t="s">
        <v>24</v>
      </c>
      <c r="D4387" s="21"/>
    </row>
    <row r="4388" spans="1:4" ht="12.75" customHeight="1" x14ac:dyDescent="0.2">
      <c r="A4388" s="21"/>
      <c r="B4388" s="3" t="s">
        <v>15</v>
      </c>
      <c r="C4388" s="20" t="s">
        <v>24</v>
      </c>
      <c r="D4388" s="21"/>
    </row>
    <row r="4389" spans="1:4" ht="12.75" customHeight="1" x14ac:dyDescent="0.2">
      <c r="A4389" s="21"/>
      <c r="B4389" s="3" t="s">
        <v>16</v>
      </c>
      <c r="C4389" s="20"/>
      <c r="D4389" s="21"/>
    </row>
    <row r="4390" spans="1:4" ht="12.75" customHeight="1" x14ac:dyDescent="0.2">
      <c r="A4390" s="21"/>
      <c r="B4390" s="3" t="s">
        <v>17</v>
      </c>
      <c r="C4390" s="20"/>
      <c r="D4390" s="21"/>
    </row>
    <row r="4391" spans="1:4" ht="12.75" customHeight="1" x14ac:dyDescent="0.2">
      <c r="A4391" s="21"/>
      <c r="B4391" s="20" t="s">
        <v>18</v>
      </c>
      <c r="C4391" s="4" t="s">
        <v>44</v>
      </c>
      <c r="D4391" s="6" t="str">
        <f>HYPERLINK("javascript:void(0)","arany ostromtarack")</f>
        <v>arany ostromtarack</v>
      </c>
    </row>
    <row r="4392" spans="1:4" ht="12.75" customHeight="1" x14ac:dyDescent="0.2">
      <c r="A4392" s="21"/>
      <c r="B4392" s="21"/>
      <c r="C4392" s="4" t="s">
        <v>196</v>
      </c>
      <c r="D4392" s="6" t="str">
        <f>HYPERLINK("javascript:void(0)","dióda")</f>
        <v>dióda</v>
      </c>
    </row>
    <row r="4393" spans="1:4" ht="12.75" customHeight="1" x14ac:dyDescent="0.2">
      <c r="A4393" s="21"/>
      <c r="B4393" s="21"/>
      <c r="C4393" s="4" t="s">
        <v>56</v>
      </c>
      <c r="D4393" s="6" t="str">
        <f>HYPERLINK("javascript:void(0)","kincsgúla")</f>
        <v>kincsgúla</v>
      </c>
    </row>
    <row r="4394" spans="1:4" ht="12.75" customHeight="1" x14ac:dyDescent="0.2">
      <c r="A4394" s="5"/>
      <c r="B4394" s="2"/>
      <c r="C4394" s="2"/>
      <c r="D4394" s="2"/>
    </row>
    <row r="4395" spans="1:4" ht="12.75" customHeight="1" x14ac:dyDescent="0.2">
      <c r="A4395" s="22" t="str">
        <f>HYPERLINK("javascript:void(0)","szárnyas íjpuska")</f>
        <v>szárnyas íjpuska</v>
      </c>
      <c r="B4395" s="21"/>
      <c r="C4395" s="21"/>
      <c r="D4395" s="21"/>
    </row>
    <row r="4396" spans="1:4" ht="12.75" customHeight="1" x14ac:dyDescent="0.2">
      <c r="A4396" s="20"/>
      <c r="B4396" s="2"/>
      <c r="C4396" s="2"/>
      <c r="D4396" s="2"/>
    </row>
    <row r="4397" spans="1:4" ht="12.75" customHeight="1" x14ac:dyDescent="0.2">
      <c r="A4397" s="21"/>
      <c r="B4397" s="3" t="s">
        <v>0</v>
      </c>
      <c r="C4397" s="20" t="s">
        <v>230</v>
      </c>
      <c r="D4397" s="21"/>
    </row>
    <row r="4398" spans="1:4" ht="12.75" customHeight="1" x14ac:dyDescent="0.2">
      <c r="A4398" s="21"/>
      <c r="B4398" s="3" t="s">
        <v>2</v>
      </c>
      <c r="C4398" s="20" t="s">
        <v>3</v>
      </c>
      <c r="D4398" s="21"/>
    </row>
    <row r="4399" spans="1:4" ht="12.75" customHeight="1" x14ac:dyDescent="0.2">
      <c r="A4399" s="21"/>
      <c r="B4399" s="3" t="s">
        <v>4</v>
      </c>
      <c r="C4399" s="20" t="s">
        <v>1221</v>
      </c>
      <c r="D4399" s="21"/>
    </row>
    <row r="4400" spans="1:4" ht="12.75" customHeight="1" x14ac:dyDescent="0.2">
      <c r="A4400" s="21"/>
      <c r="B4400" s="3" t="s">
        <v>6</v>
      </c>
      <c r="C4400" s="20" t="s">
        <v>64</v>
      </c>
      <c r="D4400" s="21"/>
    </row>
    <row r="4401" spans="1:4" ht="12.75" customHeight="1" x14ac:dyDescent="0.2">
      <c r="A4401" s="21"/>
      <c r="B4401" s="3" t="s">
        <v>8</v>
      </c>
      <c r="C4401" s="20" t="s">
        <v>1221</v>
      </c>
      <c r="D4401" s="21"/>
    </row>
    <row r="4402" spans="1:4" ht="12.75" customHeight="1" x14ac:dyDescent="0.2">
      <c r="A4402" s="21"/>
      <c r="B4402" s="3" t="s">
        <v>9</v>
      </c>
      <c r="C4402" s="20" t="s">
        <v>1222</v>
      </c>
      <c r="D4402" s="21"/>
    </row>
    <row r="4403" spans="1:4" ht="12.75" customHeight="1" x14ac:dyDescent="0.2">
      <c r="A4403" s="21"/>
      <c r="B4403" s="3" t="s">
        <v>11</v>
      </c>
      <c r="C4403" s="20" t="s">
        <v>1223</v>
      </c>
      <c r="D4403" s="21"/>
    </row>
    <row r="4404" spans="1:4" ht="12.75" customHeight="1" x14ac:dyDescent="0.2">
      <c r="A4404" s="21"/>
      <c r="B4404" s="3" t="s">
        <v>13</v>
      </c>
      <c r="C4404" s="20" t="s">
        <v>24</v>
      </c>
      <c r="D4404" s="21"/>
    </row>
    <row r="4405" spans="1:4" ht="12.75" customHeight="1" x14ac:dyDescent="0.2">
      <c r="A4405" s="21"/>
      <c r="B4405" s="3" t="s">
        <v>15</v>
      </c>
      <c r="C4405" s="20" t="s">
        <v>24</v>
      </c>
      <c r="D4405" s="21"/>
    </row>
    <row r="4406" spans="1:4" ht="12.75" customHeight="1" x14ac:dyDescent="0.2">
      <c r="A4406" s="21"/>
      <c r="B4406" s="3" t="s">
        <v>16</v>
      </c>
      <c r="C4406" s="20"/>
      <c r="D4406" s="21"/>
    </row>
    <row r="4407" spans="1:4" ht="12.75" customHeight="1" x14ac:dyDescent="0.2">
      <c r="A4407" s="21"/>
      <c r="B4407" s="3" t="s">
        <v>17</v>
      </c>
      <c r="C4407" s="20"/>
      <c r="D4407" s="21"/>
    </row>
    <row r="4408" spans="1:4" ht="12.75" customHeight="1" x14ac:dyDescent="0.2">
      <c r="A4408" s="21"/>
      <c r="B4408" s="20" t="s">
        <v>18</v>
      </c>
      <c r="C4408" s="4" t="s">
        <v>44</v>
      </c>
      <c r="D4408" s="6" t="str">
        <f>HYPERLINK("javascript:void(0)","morzsavető")</f>
        <v>morzsavető</v>
      </c>
    </row>
    <row r="4409" spans="1:4" ht="12.75" customHeight="1" x14ac:dyDescent="0.2">
      <c r="A4409" s="21"/>
      <c r="B4409" s="21"/>
      <c r="C4409" s="4" t="s">
        <v>67</v>
      </c>
      <c r="D4409" s="6" t="str">
        <f>HYPERLINK("javascript:void(0)","úszó")</f>
        <v>úszó</v>
      </c>
    </row>
    <row r="4410" spans="1:4" ht="12.75" customHeight="1" x14ac:dyDescent="0.2">
      <c r="A4410" s="21"/>
      <c r="B4410" s="21"/>
      <c r="C4410" s="4" t="s">
        <v>228</v>
      </c>
      <c r="D4410" s="6" t="str">
        <f>HYPERLINK("javascript:void(0)","bőrszárny")</f>
        <v>bőrszárny</v>
      </c>
    </row>
    <row r="4411" spans="1:4" ht="12.75" customHeight="1" x14ac:dyDescent="0.2">
      <c r="A4411" s="5"/>
      <c r="B4411" s="2"/>
      <c r="C4411" s="2"/>
      <c r="D4411" s="2"/>
    </row>
    <row r="4412" spans="1:4" ht="12.75" customHeight="1" x14ac:dyDescent="0.2">
      <c r="A4412" s="22" t="str">
        <f>HYPERLINK("javascript:void(0)","opál parittya")</f>
        <v>opál parittya</v>
      </c>
      <c r="B4412" s="21"/>
      <c r="C4412" s="21"/>
      <c r="D4412" s="21"/>
    </row>
    <row r="4413" spans="1:4" ht="12.75" customHeight="1" x14ac:dyDescent="0.2">
      <c r="A4413" s="20"/>
      <c r="B4413" s="2"/>
      <c r="C4413" s="2"/>
      <c r="D4413" s="2"/>
    </row>
    <row r="4414" spans="1:4" ht="12.75" customHeight="1" x14ac:dyDescent="0.2">
      <c r="A4414" s="21"/>
      <c r="B4414" s="3" t="s">
        <v>0</v>
      </c>
      <c r="C4414" s="20" t="s">
        <v>230</v>
      </c>
      <c r="D4414" s="21"/>
    </row>
    <row r="4415" spans="1:4" ht="12.75" customHeight="1" x14ac:dyDescent="0.2">
      <c r="A4415" s="21"/>
      <c r="B4415" s="3" t="s">
        <v>2</v>
      </c>
      <c r="C4415" s="20" t="s">
        <v>3</v>
      </c>
      <c r="D4415" s="21"/>
    </row>
    <row r="4416" spans="1:4" ht="12.75" customHeight="1" x14ac:dyDescent="0.2">
      <c r="A4416" s="21"/>
      <c r="B4416" s="3" t="s">
        <v>4</v>
      </c>
      <c r="C4416" s="20" t="s">
        <v>1226</v>
      </c>
      <c r="D4416" s="21"/>
    </row>
    <row r="4417" spans="1:4" ht="12.75" customHeight="1" x14ac:dyDescent="0.2">
      <c r="A4417" s="21"/>
      <c r="B4417" s="3" t="s">
        <v>6</v>
      </c>
      <c r="C4417" s="20" t="s">
        <v>65</v>
      </c>
      <c r="D4417" s="21"/>
    </row>
    <row r="4418" spans="1:4" ht="12.75" customHeight="1" x14ac:dyDescent="0.2">
      <c r="A4418" s="21"/>
      <c r="B4418" s="3" t="s">
        <v>8</v>
      </c>
      <c r="C4418" s="20" t="s">
        <v>1226</v>
      </c>
      <c r="D4418" s="21"/>
    </row>
    <row r="4419" spans="1:4" ht="12.75" customHeight="1" x14ac:dyDescent="0.2">
      <c r="A4419" s="21"/>
      <c r="B4419" s="3" t="s">
        <v>9</v>
      </c>
      <c r="C4419" s="20" t="s">
        <v>1074</v>
      </c>
      <c r="D4419" s="21"/>
    </row>
    <row r="4420" spans="1:4" ht="12.75" customHeight="1" x14ac:dyDescent="0.2">
      <c r="A4420" s="21"/>
      <c r="B4420" s="3" t="s">
        <v>11</v>
      </c>
      <c r="C4420" s="20" t="s">
        <v>1227</v>
      </c>
      <c r="D4420" s="21"/>
    </row>
    <row r="4421" spans="1:4" ht="12.75" customHeight="1" x14ac:dyDescent="0.2">
      <c r="A4421" s="21"/>
      <c r="B4421" s="3" t="s">
        <v>13</v>
      </c>
      <c r="C4421" s="20" t="s">
        <v>24</v>
      </c>
      <c r="D4421" s="21"/>
    </row>
    <row r="4422" spans="1:4" ht="12.75" customHeight="1" x14ac:dyDescent="0.2">
      <c r="A4422" s="21"/>
      <c r="B4422" s="3" t="s">
        <v>15</v>
      </c>
      <c r="C4422" s="20" t="s">
        <v>24</v>
      </c>
      <c r="D4422" s="21"/>
    </row>
    <row r="4423" spans="1:4" ht="12.75" customHeight="1" x14ac:dyDescent="0.2">
      <c r="A4423" s="21"/>
      <c r="B4423" s="3" t="s">
        <v>16</v>
      </c>
      <c r="C4423" s="20"/>
      <c r="D4423" s="21"/>
    </row>
    <row r="4424" spans="1:4" ht="12.75" customHeight="1" x14ac:dyDescent="0.2">
      <c r="A4424" s="21"/>
      <c r="B4424" s="3" t="s">
        <v>17</v>
      </c>
      <c r="C4424" s="20"/>
      <c r="D4424" s="21"/>
    </row>
    <row r="4425" spans="1:4" ht="12.75" customHeight="1" x14ac:dyDescent="0.2">
      <c r="A4425" s="21"/>
      <c r="B4425" s="20" t="s">
        <v>18</v>
      </c>
      <c r="C4425" s="4" t="s">
        <v>44</v>
      </c>
      <c r="D4425" s="6" t="str">
        <f>HYPERLINK("javascript:void(0)","opál ostromtarack")</f>
        <v>opál ostromtarack</v>
      </c>
    </row>
    <row r="4426" spans="1:4" ht="12.75" customHeight="1" x14ac:dyDescent="0.2">
      <c r="A4426" s="21"/>
      <c r="B4426" s="21"/>
      <c r="C4426" s="4" t="s">
        <v>232</v>
      </c>
      <c r="D4426" s="6" t="str">
        <f>HYPERLINK("javascript:void(0)","bébipata")</f>
        <v>bébipata</v>
      </c>
    </row>
    <row r="4427" spans="1:4" ht="12.75" customHeight="1" x14ac:dyDescent="0.2">
      <c r="A4427" s="21"/>
      <c r="B4427" s="21"/>
      <c r="C4427" s="4" t="s">
        <v>56</v>
      </c>
      <c r="D4427" s="6" t="str">
        <f>HYPERLINK("javascript:void(0)","kincsgúla")</f>
        <v>kincsgúla</v>
      </c>
    </row>
    <row r="4428" spans="1:4" ht="12.75" customHeight="1" x14ac:dyDescent="0.2">
      <c r="A4428" s="5"/>
      <c r="B4428" s="2"/>
      <c r="C4428" s="2"/>
      <c r="D4428" s="2"/>
    </row>
    <row r="4429" spans="1:4" ht="12.75" customHeight="1" x14ac:dyDescent="0.2">
      <c r="A4429" s="22" t="str">
        <f>HYPERLINK("javascript:void(0)","méregtollas íjpuska")</f>
        <v>méregtollas íjpuska</v>
      </c>
      <c r="B4429" s="21"/>
      <c r="C4429" s="21"/>
      <c r="D4429" s="21"/>
    </row>
    <row r="4430" spans="1:4" ht="12.75" customHeight="1" x14ac:dyDescent="0.2">
      <c r="A4430" s="20"/>
      <c r="B4430" s="2"/>
      <c r="C4430" s="2"/>
      <c r="D4430" s="2"/>
    </row>
    <row r="4431" spans="1:4" ht="12.75" customHeight="1" x14ac:dyDescent="0.2">
      <c r="A4431" s="21"/>
      <c r="B4431" s="3" t="s">
        <v>0</v>
      </c>
      <c r="C4431" s="20" t="s">
        <v>1230</v>
      </c>
      <c r="D4431" s="21"/>
    </row>
    <row r="4432" spans="1:4" ht="12.75" customHeight="1" x14ac:dyDescent="0.2">
      <c r="A4432" s="21"/>
      <c r="B4432" s="3" t="s">
        <v>2</v>
      </c>
      <c r="C4432" s="20" t="s">
        <v>3</v>
      </c>
      <c r="D4432" s="21"/>
    </row>
    <row r="4433" spans="1:4" ht="12.75" customHeight="1" x14ac:dyDescent="0.2">
      <c r="A4433" s="21"/>
      <c r="B4433" s="3" t="s">
        <v>4</v>
      </c>
      <c r="C4433" s="20" t="s">
        <v>1231</v>
      </c>
      <c r="D4433" s="21"/>
    </row>
    <row r="4434" spans="1:4" ht="12.75" customHeight="1" x14ac:dyDescent="0.2">
      <c r="A4434" s="21"/>
      <c r="B4434" s="3" t="s">
        <v>6</v>
      </c>
      <c r="C4434" s="20" t="s">
        <v>118</v>
      </c>
      <c r="D4434" s="21"/>
    </row>
    <row r="4435" spans="1:4" ht="12.75" customHeight="1" x14ac:dyDescent="0.2">
      <c r="A4435" s="21"/>
      <c r="B4435" s="3" t="s">
        <v>8</v>
      </c>
      <c r="C4435" s="20" t="s">
        <v>1231</v>
      </c>
      <c r="D4435" s="21"/>
    </row>
    <row r="4436" spans="1:4" ht="12.75" customHeight="1" x14ac:dyDescent="0.2">
      <c r="A4436" s="21"/>
      <c r="B4436" s="3" t="s">
        <v>9</v>
      </c>
      <c r="C4436" s="20" t="s">
        <v>317</v>
      </c>
      <c r="D4436" s="21"/>
    </row>
    <row r="4437" spans="1:4" ht="12.75" customHeight="1" x14ac:dyDescent="0.2">
      <c r="A4437" s="21"/>
      <c r="B4437" s="3" t="s">
        <v>11</v>
      </c>
      <c r="C4437" s="20" t="s">
        <v>839</v>
      </c>
      <c r="D4437" s="21"/>
    </row>
    <row r="4438" spans="1:4" ht="12.75" customHeight="1" x14ac:dyDescent="0.2">
      <c r="A4438" s="21"/>
      <c r="B4438" s="3" t="s">
        <v>13</v>
      </c>
      <c r="C4438" s="20" t="s">
        <v>24</v>
      </c>
      <c r="D4438" s="21"/>
    </row>
    <row r="4439" spans="1:4" ht="12.75" customHeight="1" x14ac:dyDescent="0.2">
      <c r="A4439" s="21"/>
      <c r="B4439" s="3" t="s">
        <v>15</v>
      </c>
      <c r="C4439" s="20" t="s">
        <v>24</v>
      </c>
      <c r="D4439" s="21"/>
    </row>
    <row r="4440" spans="1:4" ht="12.75" customHeight="1" x14ac:dyDescent="0.2">
      <c r="A4440" s="21"/>
      <c r="B4440" s="3" t="s">
        <v>16</v>
      </c>
      <c r="C4440" s="20"/>
      <c r="D4440" s="21"/>
    </row>
    <row r="4441" spans="1:4" ht="12.75" customHeight="1" x14ac:dyDescent="0.2">
      <c r="A4441" s="21"/>
      <c r="B4441" s="3" t="s">
        <v>17</v>
      </c>
      <c r="C4441" s="20"/>
      <c r="D4441" s="21"/>
    </row>
    <row r="4442" spans="1:4" ht="12.75" customHeight="1" x14ac:dyDescent="0.2">
      <c r="A4442" s="21"/>
      <c r="B4442" s="20" t="s">
        <v>18</v>
      </c>
      <c r="C4442" s="4" t="s">
        <v>44</v>
      </c>
      <c r="D4442" s="6" t="str">
        <f>HYPERLINK("javascript:void(0)","szárnyas íjpuska")</f>
        <v>szárnyas íjpuska</v>
      </c>
    </row>
    <row r="4443" spans="1:4" ht="12.75" customHeight="1" x14ac:dyDescent="0.2">
      <c r="A4443" s="21"/>
      <c r="B4443" s="21"/>
      <c r="C4443" s="4" t="s">
        <v>240</v>
      </c>
      <c r="D4443" s="6" t="str">
        <f>HYPERLINK("javascript:void(0)","patron")</f>
        <v>patron</v>
      </c>
    </row>
    <row r="4444" spans="1:4" ht="12.75" customHeight="1" x14ac:dyDescent="0.2">
      <c r="A4444" s="21"/>
      <c r="B4444" s="21"/>
      <c r="C4444" s="4" t="s">
        <v>244</v>
      </c>
      <c r="D4444" s="6" t="str">
        <f>HYPERLINK("javascript:void(0)","tollcsomó")</f>
        <v>tollcsomó</v>
      </c>
    </row>
    <row r="4445" spans="1:4" ht="12.75" customHeight="1" x14ac:dyDescent="0.2">
      <c r="A4445" s="5"/>
      <c r="B4445" s="2"/>
      <c r="C4445" s="2"/>
      <c r="D4445" s="2"/>
    </row>
    <row r="4446" spans="1:4" ht="12.75" customHeight="1" x14ac:dyDescent="0.2">
      <c r="A4446" s="22" t="str">
        <f>HYPERLINK("javascript:void(0)","jáspis parittya")</f>
        <v>jáspis parittya</v>
      </c>
      <c r="B4446" s="21"/>
      <c r="C4446" s="21"/>
      <c r="D4446" s="21"/>
    </row>
    <row r="4447" spans="1:4" ht="12.75" customHeight="1" x14ac:dyDescent="0.2">
      <c r="A4447" s="20"/>
      <c r="B4447" s="2"/>
      <c r="C4447" s="2"/>
      <c r="D4447" s="2"/>
    </row>
    <row r="4448" spans="1:4" ht="12.75" customHeight="1" x14ac:dyDescent="0.2">
      <c r="A4448" s="21"/>
      <c r="B4448" s="3" t="s">
        <v>0</v>
      </c>
      <c r="C4448" s="20" t="s">
        <v>1230</v>
      </c>
      <c r="D4448" s="21"/>
    </row>
    <row r="4449" spans="1:4" ht="12.75" customHeight="1" x14ac:dyDescent="0.2">
      <c r="A4449" s="21"/>
      <c r="B4449" s="3" t="s">
        <v>2</v>
      </c>
      <c r="C4449" s="20" t="s">
        <v>3</v>
      </c>
      <c r="D4449" s="21"/>
    </row>
    <row r="4450" spans="1:4" ht="12.75" customHeight="1" x14ac:dyDescent="0.2">
      <c r="A4450" s="21"/>
      <c r="B4450" s="3" t="s">
        <v>4</v>
      </c>
      <c r="C4450" s="20" t="s">
        <v>1234</v>
      </c>
      <c r="D4450" s="21"/>
    </row>
    <row r="4451" spans="1:4" ht="12.75" customHeight="1" x14ac:dyDescent="0.2">
      <c r="A4451" s="21"/>
      <c r="B4451" s="3" t="s">
        <v>6</v>
      </c>
      <c r="C4451" s="20" t="s">
        <v>65</v>
      </c>
      <c r="D4451" s="21"/>
    </row>
    <row r="4452" spans="1:4" ht="12.75" customHeight="1" x14ac:dyDescent="0.2">
      <c r="A4452" s="21"/>
      <c r="B4452" s="3" t="s">
        <v>8</v>
      </c>
      <c r="C4452" s="20" t="s">
        <v>1234</v>
      </c>
      <c r="D4452" s="21"/>
    </row>
    <row r="4453" spans="1:4" ht="12.75" customHeight="1" x14ac:dyDescent="0.2">
      <c r="A4453" s="21"/>
      <c r="B4453" s="3" t="s">
        <v>9</v>
      </c>
      <c r="C4453" s="20" t="s">
        <v>845</v>
      </c>
      <c r="D4453" s="21"/>
    </row>
    <row r="4454" spans="1:4" ht="12.75" customHeight="1" x14ac:dyDescent="0.2">
      <c r="A4454" s="21"/>
      <c r="B4454" s="3" t="s">
        <v>11</v>
      </c>
      <c r="C4454" s="20" t="s">
        <v>1235</v>
      </c>
      <c r="D4454" s="21"/>
    </row>
    <row r="4455" spans="1:4" ht="12.75" customHeight="1" x14ac:dyDescent="0.2">
      <c r="A4455" s="21"/>
      <c r="B4455" s="3" t="s">
        <v>13</v>
      </c>
      <c r="C4455" s="20" t="s">
        <v>24</v>
      </c>
      <c r="D4455" s="21"/>
    </row>
    <row r="4456" spans="1:4" ht="12.75" customHeight="1" x14ac:dyDescent="0.2">
      <c r="A4456" s="21"/>
      <c r="B4456" s="3" t="s">
        <v>15</v>
      </c>
      <c r="C4456" s="20" t="s">
        <v>24</v>
      </c>
      <c r="D4456" s="21"/>
    </row>
    <row r="4457" spans="1:4" ht="12.75" customHeight="1" x14ac:dyDescent="0.2">
      <c r="A4457" s="21"/>
      <c r="B4457" s="3" t="s">
        <v>16</v>
      </c>
      <c r="C4457" s="20"/>
      <c r="D4457" s="21"/>
    </row>
    <row r="4458" spans="1:4" ht="12.75" customHeight="1" x14ac:dyDescent="0.2">
      <c r="A4458" s="21"/>
      <c r="B4458" s="3" t="s">
        <v>17</v>
      </c>
      <c r="C4458" s="20"/>
      <c r="D4458" s="21"/>
    </row>
    <row r="4459" spans="1:4" ht="12.75" customHeight="1" x14ac:dyDescent="0.2">
      <c r="A4459" s="21"/>
      <c r="B4459" s="20" t="s">
        <v>18</v>
      </c>
      <c r="C4459" s="4" t="s">
        <v>44</v>
      </c>
      <c r="D4459" s="6" t="str">
        <f>HYPERLINK("javascript:void(0)","jáspis ostromtarack")</f>
        <v>jáspis ostromtarack</v>
      </c>
    </row>
    <row r="4460" spans="1:4" ht="12.75" customHeight="1" x14ac:dyDescent="0.2">
      <c r="A4460" s="21"/>
      <c r="B4460" s="21"/>
      <c r="C4460" s="4" t="s">
        <v>142</v>
      </c>
      <c r="D4460" s="6" t="str">
        <f>HYPERLINK("javascript:void(0)","tévelygés")</f>
        <v>tévelygés</v>
      </c>
    </row>
    <row r="4461" spans="1:4" ht="12.75" customHeight="1" x14ac:dyDescent="0.2">
      <c r="A4461" s="21"/>
      <c r="B4461" s="21"/>
      <c r="C4461" s="4" t="s">
        <v>56</v>
      </c>
      <c r="D4461" s="6" t="str">
        <f>HYPERLINK("javascript:void(0)","kincsgúla")</f>
        <v>kincsgúla</v>
      </c>
    </row>
    <row r="4462" spans="1:4" ht="12.75" customHeight="1" x14ac:dyDescent="0.2">
      <c r="A4462" s="5"/>
      <c r="B4462" s="2"/>
      <c r="C4462" s="2"/>
      <c r="D4462" s="2"/>
    </row>
    <row r="4463" spans="1:4" ht="12.75" customHeight="1" x14ac:dyDescent="0.2">
      <c r="A4463" s="22" t="str">
        <f>HYPERLINK("javascript:void(0)","ormánycsúzli")</f>
        <v>ormánycsúzli</v>
      </c>
      <c r="B4463" s="21"/>
      <c r="C4463" s="21"/>
      <c r="D4463" s="21"/>
    </row>
    <row r="4464" spans="1:4" ht="12.75" customHeight="1" x14ac:dyDescent="0.2">
      <c r="A4464" s="20"/>
      <c r="B4464" s="2"/>
      <c r="C4464" s="2"/>
      <c r="D4464" s="2"/>
    </row>
    <row r="4465" spans="1:4" ht="12.75" customHeight="1" x14ac:dyDescent="0.2">
      <c r="A4465" s="21"/>
      <c r="B4465" s="3" t="s">
        <v>0</v>
      </c>
      <c r="C4465" s="20" t="s">
        <v>330</v>
      </c>
      <c r="D4465" s="21"/>
    </row>
    <row r="4466" spans="1:4" ht="12.75" customHeight="1" x14ac:dyDescent="0.2">
      <c r="A4466" s="21"/>
      <c r="B4466" s="3" t="s">
        <v>2</v>
      </c>
      <c r="C4466" s="20" t="s">
        <v>3</v>
      </c>
      <c r="D4466" s="21"/>
    </row>
    <row r="4467" spans="1:4" ht="12.75" customHeight="1" x14ac:dyDescent="0.2">
      <c r="A4467" s="21"/>
      <c r="B4467" s="3" t="s">
        <v>4</v>
      </c>
      <c r="C4467" s="20" t="s">
        <v>1236</v>
      </c>
      <c r="D4467" s="21"/>
    </row>
    <row r="4468" spans="1:4" ht="12.75" customHeight="1" x14ac:dyDescent="0.2">
      <c r="A4468" s="21"/>
      <c r="B4468" s="3" t="s">
        <v>6</v>
      </c>
      <c r="C4468" s="20" t="s">
        <v>274</v>
      </c>
      <c r="D4468" s="21"/>
    </row>
    <row r="4469" spans="1:4" ht="12.75" customHeight="1" x14ac:dyDescent="0.2">
      <c r="A4469" s="21"/>
      <c r="B4469" s="3" t="s">
        <v>8</v>
      </c>
      <c r="C4469" s="20" t="s">
        <v>1236</v>
      </c>
      <c r="D4469" s="21"/>
    </row>
    <row r="4470" spans="1:4" ht="12.75" customHeight="1" x14ac:dyDescent="0.2">
      <c r="A4470" s="21"/>
      <c r="B4470" s="3" t="s">
        <v>9</v>
      </c>
      <c r="C4470" s="20" t="s">
        <v>1237</v>
      </c>
      <c r="D4470" s="21"/>
    </row>
    <row r="4471" spans="1:4" ht="12.75" customHeight="1" x14ac:dyDescent="0.2">
      <c r="A4471" s="21"/>
      <c r="B4471" s="3" t="s">
        <v>11</v>
      </c>
      <c r="C4471" s="20" t="s">
        <v>1029</v>
      </c>
      <c r="D4471" s="21"/>
    </row>
    <row r="4472" spans="1:4" ht="12.75" customHeight="1" x14ac:dyDescent="0.2">
      <c r="A4472" s="21"/>
      <c r="B4472" s="3" t="s">
        <v>13</v>
      </c>
      <c r="C4472" s="20" t="s">
        <v>24</v>
      </c>
      <c r="D4472" s="21"/>
    </row>
    <row r="4473" spans="1:4" ht="12.75" customHeight="1" x14ac:dyDescent="0.2">
      <c r="A4473" s="21"/>
      <c r="B4473" s="3" t="s">
        <v>15</v>
      </c>
      <c r="C4473" s="20" t="s">
        <v>24</v>
      </c>
      <c r="D4473" s="21"/>
    </row>
    <row r="4474" spans="1:4" ht="12.75" customHeight="1" x14ac:dyDescent="0.2">
      <c r="A4474" s="21"/>
      <c r="B4474" s="3" t="s">
        <v>16</v>
      </c>
      <c r="C4474" s="20"/>
      <c r="D4474" s="21"/>
    </row>
    <row r="4475" spans="1:4" ht="12.75" customHeight="1" x14ac:dyDescent="0.2">
      <c r="A4475" s="21"/>
      <c r="B4475" s="3" t="s">
        <v>17</v>
      </c>
      <c r="C4475" s="20"/>
      <c r="D4475" s="21"/>
    </row>
    <row r="4476" spans="1:4" ht="12.75" customHeight="1" x14ac:dyDescent="0.2">
      <c r="A4476" s="21"/>
      <c r="B4476" s="20" t="s">
        <v>18</v>
      </c>
      <c r="C4476" s="4" t="s">
        <v>44</v>
      </c>
      <c r="D4476" s="6" t="str">
        <f>HYPERLINK("javascript:void(0)","méregtollas íjpuska")</f>
        <v>méregtollas íjpuska</v>
      </c>
    </row>
    <row r="4477" spans="1:4" ht="12.75" customHeight="1" x14ac:dyDescent="0.2">
      <c r="A4477" s="21"/>
      <c r="B4477" s="21"/>
      <c r="C4477" s="4" t="s">
        <v>132</v>
      </c>
      <c r="D4477" s="6" t="str">
        <f>HYPERLINK("javascript:void(0)","orrmányprém")</f>
        <v>orrmányprém</v>
      </c>
    </row>
    <row r="4478" spans="1:4" ht="12.75" customHeight="1" x14ac:dyDescent="0.2">
      <c r="A4478" s="21"/>
      <c r="B4478" s="21"/>
      <c r="C4478" s="4" t="s">
        <v>142</v>
      </c>
      <c r="D4478" s="6" t="str">
        <f>HYPERLINK("javascript:void(0)","utóguta")</f>
        <v>utóguta</v>
      </c>
    </row>
    <row r="4479" spans="1:4" ht="12.75" customHeight="1" x14ac:dyDescent="0.2">
      <c r="A4479" s="5"/>
      <c r="B4479" s="2"/>
      <c r="C4479" s="2"/>
      <c r="D4479" s="2"/>
    </row>
    <row r="4480" spans="1:4" ht="12.75" customHeight="1" x14ac:dyDescent="0.2">
      <c r="A4480" s="22" t="str">
        <f>HYPERLINK("javascript:void(0)","smaragd parittya")</f>
        <v>smaragd parittya</v>
      </c>
      <c r="B4480" s="21"/>
      <c r="C4480" s="21"/>
      <c r="D4480" s="21"/>
    </row>
    <row r="4481" spans="1:4" ht="12.75" customHeight="1" x14ac:dyDescent="0.2">
      <c r="A4481" s="20"/>
      <c r="B4481" s="2"/>
      <c r="C4481" s="2"/>
      <c r="D4481" s="2"/>
    </row>
    <row r="4482" spans="1:4" ht="12.75" customHeight="1" x14ac:dyDescent="0.2">
      <c r="A4482" s="21"/>
      <c r="B4482" s="3" t="s">
        <v>0</v>
      </c>
      <c r="C4482" s="20" t="s">
        <v>330</v>
      </c>
      <c r="D4482" s="21"/>
    </row>
    <row r="4483" spans="1:4" ht="12.75" customHeight="1" x14ac:dyDescent="0.2">
      <c r="A4483" s="21"/>
      <c r="B4483" s="3" t="s">
        <v>2</v>
      </c>
      <c r="C4483" s="20" t="s">
        <v>3</v>
      </c>
      <c r="D4483" s="21"/>
    </row>
    <row r="4484" spans="1:4" ht="12.75" customHeight="1" x14ac:dyDescent="0.2">
      <c r="A4484" s="21"/>
      <c r="B4484" s="3" t="s">
        <v>4</v>
      </c>
      <c r="C4484" s="20" t="s">
        <v>1239</v>
      </c>
      <c r="D4484" s="21"/>
    </row>
    <row r="4485" spans="1:4" ht="12.75" customHeight="1" x14ac:dyDescent="0.2">
      <c r="A4485" s="21"/>
      <c r="B4485" s="3" t="s">
        <v>6</v>
      </c>
      <c r="C4485" s="20" t="s">
        <v>65</v>
      </c>
      <c r="D4485" s="21"/>
    </row>
    <row r="4486" spans="1:4" ht="12.75" customHeight="1" x14ac:dyDescent="0.2">
      <c r="A4486" s="21"/>
      <c r="B4486" s="3" t="s">
        <v>8</v>
      </c>
      <c r="C4486" s="20" t="s">
        <v>1239</v>
      </c>
      <c r="D4486" s="21"/>
    </row>
    <row r="4487" spans="1:4" ht="12.75" customHeight="1" x14ac:dyDescent="0.2">
      <c r="A4487" s="21"/>
      <c r="B4487" s="3" t="s">
        <v>9</v>
      </c>
      <c r="C4487" s="20" t="s">
        <v>1020</v>
      </c>
      <c r="D4487" s="21"/>
    </row>
    <row r="4488" spans="1:4" ht="12.75" customHeight="1" x14ac:dyDescent="0.2">
      <c r="A4488" s="21"/>
      <c r="B4488" s="3" t="s">
        <v>11</v>
      </c>
      <c r="C4488" s="20" t="s">
        <v>1241</v>
      </c>
      <c r="D4488" s="21"/>
    </row>
    <row r="4489" spans="1:4" ht="12.75" customHeight="1" x14ac:dyDescent="0.2">
      <c r="A4489" s="21"/>
      <c r="B4489" s="3" t="s">
        <v>13</v>
      </c>
      <c r="C4489" s="20" t="s">
        <v>24</v>
      </c>
      <c r="D4489" s="21"/>
    </row>
    <row r="4490" spans="1:4" ht="12.75" customHeight="1" x14ac:dyDescent="0.2">
      <c r="A4490" s="21"/>
      <c r="B4490" s="3" t="s">
        <v>15</v>
      </c>
      <c r="C4490" s="20" t="s">
        <v>24</v>
      </c>
      <c r="D4490" s="21"/>
    </row>
    <row r="4491" spans="1:4" ht="12.75" customHeight="1" x14ac:dyDescent="0.2">
      <c r="A4491" s="21"/>
      <c r="B4491" s="3" t="s">
        <v>16</v>
      </c>
      <c r="C4491" s="20"/>
      <c r="D4491" s="21"/>
    </row>
    <row r="4492" spans="1:4" ht="12.75" customHeight="1" x14ac:dyDescent="0.2">
      <c r="A4492" s="21"/>
      <c r="B4492" s="3" t="s">
        <v>17</v>
      </c>
      <c r="C4492" s="20"/>
      <c r="D4492" s="21"/>
    </row>
    <row r="4493" spans="1:4" ht="25.5" customHeight="1" x14ac:dyDescent="0.2">
      <c r="A4493" s="21"/>
      <c r="B4493" s="20" t="s">
        <v>18</v>
      </c>
      <c r="C4493" s="4" t="s">
        <v>44</v>
      </c>
      <c r="D4493" s="6" t="str">
        <f>HYPERLINK("javascript:void(0)","smaragd ostromtarack")</f>
        <v>smaragd ostromtarack</v>
      </c>
    </row>
    <row r="4494" spans="1:4" ht="12.75" customHeight="1" x14ac:dyDescent="0.2">
      <c r="A4494" s="21"/>
      <c r="B4494" s="21"/>
      <c r="C4494" s="4" t="s">
        <v>67</v>
      </c>
      <c r="D4494" s="6" t="str">
        <f>HYPERLINK("javascript:void(0)","jégcsap")</f>
        <v>jégcsap</v>
      </c>
    </row>
    <row r="4495" spans="1:4" ht="12.75" customHeight="1" x14ac:dyDescent="0.2">
      <c r="A4495" s="21"/>
      <c r="B4495" s="21"/>
      <c r="C4495" s="4" t="s">
        <v>56</v>
      </c>
      <c r="D4495" s="6" t="str">
        <f>HYPERLINK("javascript:void(0)","kincsgúla")</f>
        <v>kincsgúla</v>
      </c>
    </row>
    <row r="4496" spans="1:4" ht="12.75" customHeight="1" x14ac:dyDescent="0.2">
      <c r="A4496" s="5"/>
      <c r="B4496" s="2"/>
      <c r="C4496" s="2"/>
      <c r="D4496" s="2"/>
    </row>
    <row r="4497" spans="1:4" ht="12.75" customHeight="1" x14ac:dyDescent="0.2">
      <c r="A4497" s="22" t="str">
        <f>HYPERLINK("javascript:void(0)","szárnyas fúvócső")</f>
        <v>szárnyas fúvócső</v>
      </c>
      <c r="B4497" s="21"/>
      <c r="C4497" s="21"/>
      <c r="D4497" s="21"/>
    </row>
    <row r="4498" spans="1:4" ht="12.75" customHeight="1" x14ac:dyDescent="0.2">
      <c r="A4498" s="20"/>
      <c r="B4498" s="2"/>
      <c r="C4498" s="2"/>
      <c r="D4498" s="2"/>
    </row>
    <row r="4499" spans="1:4" ht="12.75" customHeight="1" x14ac:dyDescent="0.2">
      <c r="A4499" s="21"/>
      <c r="B4499" s="3" t="s">
        <v>0</v>
      </c>
      <c r="C4499" s="20" t="s">
        <v>345</v>
      </c>
      <c r="D4499" s="21"/>
    </row>
    <row r="4500" spans="1:4" ht="12.75" customHeight="1" x14ac:dyDescent="0.2">
      <c r="A4500" s="21"/>
      <c r="B4500" s="3" t="s">
        <v>2</v>
      </c>
      <c r="C4500" s="20" t="s">
        <v>3</v>
      </c>
      <c r="D4500" s="21"/>
    </row>
    <row r="4501" spans="1:4" ht="12.75" customHeight="1" x14ac:dyDescent="0.2">
      <c r="A4501" s="21"/>
      <c r="B4501" s="3" t="s">
        <v>4</v>
      </c>
      <c r="C4501" s="20" t="s">
        <v>1243</v>
      </c>
      <c r="D4501" s="21"/>
    </row>
    <row r="4502" spans="1:4" ht="12.75" customHeight="1" x14ac:dyDescent="0.2">
      <c r="A4502" s="21"/>
      <c r="B4502" s="3" t="s">
        <v>6</v>
      </c>
      <c r="C4502" s="20" t="s">
        <v>159</v>
      </c>
      <c r="D4502" s="21"/>
    </row>
    <row r="4503" spans="1:4" ht="12.75" customHeight="1" x14ac:dyDescent="0.2">
      <c r="A4503" s="21"/>
      <c r="B4503" s="3" t="s">
        <v>8</v>
      </c>
      <c r="C4503" s="20" t="s">
        <v>1243</v>
      </c>
      <c r="D4503" s="21"/>
    </row>
    <row r="4504" spans="1:4" ht="12.75" customHeight="1" x14ac:dyDescent="0.2">
      <c r="A4504" s="21"/>
      <c r="B4504" s="3" t="s">
        <v>9</v>
      </c>
      <c r="C4504" s="20" t="s">
        <v>200</v>
      </c>
      <c r="D4504" s="21"/>
    </row>
    <row r="4505" spans="1:4" ht="12.75" customHeight="1" x14ac:dyDescent="0.2">
      <c r="A4505" s="21"/>
      <c r="B4505" s="3" t="s">
        <v>11</v>
      </c>
      <c r="C4505" s="20" t="s">
        <v>1244</v>
      </c>
      <c r="D4505" s="21"/>
    </row>
    <row r="4506" spans="1:4" ht="12.75" customHeight="1" x14ac:dyDescent="0.2">
      <c r="A4506" s="21"/>
      <c r="B4506" s="3" t="s">
        <v>13</v>
      </c>
      <c r="C4506" s="20" t="s">
        <v>24</v>
      </c>
      <c r="D4506" s="21"/>
    </row>
    <row r="4507" spans="1:4" ht="12.75" customHeight="1" x14ac:dyDescent="0.2">
      <c r="A4507" s="21"/>
      <c r="B4507" s="3" t="s">
        <v>15</v>
      </c>
      <c r="C4507" s="20" t="s">
        <v>24</v>
      </c>
      <c r="D4507" s="21"/>
    </row>
    <row r="4508" spans="1:4" ht="12.75" customHeight="1" x14ac:dyDescent="0.2">
      <c r="A4508" s="21"/>
      <c r="B4508" s="3" t="s">
        <v>16</v>
      </c>
      <c r="C4508" s="20"/>
      <c r="D4508" s="21"/>
    </row>
    <row r="4509" spans="1:4" ht="12.75" customHeight="1" x14ac:dyDescent="0.2">
      <c r="A4509" s="21"/>
      <c r="B4509" s="3" t="s">
        <v>17</v>
      </c>
      <c r="C4509" s="20"/>
      <c r="D4509" s="21"/>
    </row>
    <row r="4510" spans="1:4" ht="12.75" customHeight="1" x14ac:dyDescent="0.2">
      <c r="A4510" s="21"/>
      <c r="B4510" s="20" t="s">
        <v>18</v>
      </c>
      <c r="C4510" s="4" t="s">
        <v>44</v>
      </c>
      <c r="D4510" s="6" t="str">
        <f>HYPERLINK("javascript:void(0)","ormánycsúzli")</f>
        <v>ormánycsúzli</v>
      </c>
    </row>
    <row r="4511" spans="1:4" ht="12.75" customHeight="1" x14ac:dyDescent="0.2">
      <c r="A4511" s="21"/>
      <c r="B4511" s="21"/>
      <c r="C4511" s="4" t="s">
        <v>139</v>
      </c>
      <c r="D4511" s="6" t="str">
        <f>HYPERLINK("javascript:void(0)","bőrszárny")</f>
        <v>bőrszárny</v>
      </c>
    </row>
    <row r="4512" spans="1:4" ht="12.75" customHeight="1" x14ac:dyDescent="0.2">
      <c r="A4512" s="21"/>
      <c r="B4512" s="21"/>
      <c r="C4512" s="4" t="s">
        <v>163</v>
      </c>
      <c r="D4512" s="6" t="str">
        <f>HYPERLINK("javascript:void(0)","tollcsomó")</f>
        <v>tollcsomó</v>
      </c>
    </row>
    <row r="4513" spans="1:4" ht="12.75" customHeight="1" x14ac:dyDescent="0.2">
      <c r="A4513" s="5"/>
      <c r="B4513" s="2"/>
      <c r="C4513" s="2"/>
      <c r="D4513" s="2"/>
    </row>
    <row r="4514" spans="1:4" ht="12.75" customHeight="1" x14ac:dyDescent="0.2">
      <c r="A4514" s="22" t="str">
        <f>HYPERLINK("javascript:void(0)","rubin parittya")</f>
        <v>rubin parittya</v>
      </c>
      <c r="B4514" s="21"/>
      <c r="C4514" s="21"/>
      <c r="D4514" s="21"/>
    </row>
    <row r="4515" spans="1:4" ht="12.75" customHeight="1" x14ac:dyDescent="0.2">
      <c r="A4515" s="20"/>
      <c r="B4515" s="2"/>
      <c r="C4515" s="2"/>
      <c r="D4515" s="2"/>
    </row>
    <row r="4516" spans="1:4" ht="12.75" customHeight="1" x14ac:dyDescent="0.2">
      <c r="A4516" s="21"/>
      <c r="B4516" s="3" t="s">
        <v>0</v>
      </c>
      <c r="C4516" s="20" t="s">
        <v>345</v>
      </c>
      <c r="D4516" s="21"/>
    </row>
    <row r="4517" spans="1:4" ht="12.75" customHeight="1" x14ac:dyDescent="0.2">
      <c r="A4517" s="21"/>
      <c r="B4517" s="3" t="s">
        <v>2</v>
      </c>
      <c r="C4517" s="20" t="s">
        <v>3</v>
      </c>
      <c r="D4517" s="21"/>
    </row>
    <row r="4518" spans="1:4" ht="12.75" customHeight="1" x14ac:dyDescent="0.2">
      <c r="A4518" s="21"/>
      <c r="B4518" s="3" t="s">
        <v>4</v>
      </c>
      <c r="C4518" s="20" t="s">
        <v>1247</v>
      </c>
      <c r="D4518" s="21"/>
    </row>
    <row r="4519" spans="1:4" ht="12.75" customHeight="1" x14ac:dyDescent="0.2">
      <c r="A4519" s="21"/>
      <c r="B4519" s="3" t="s">
        <v>6</v>
      </c>
      <c r="C4519" s="20" t="s">
        <v>65</v>
      </c>
      <c r="D4519" s="21"/>
    </row>
    <row r="4520" spans="1:4" ht="12.75" customHeight="1" x14ac:dyDescent="0.2">
      <c r="A4520" s="21"/>
      <c r="B4520" s="3" t="s">
        <v>8</v>
      </c>
      <c r="C4520" s="20" t="s">
        <v>1247</v>
      </c>
      <c r="D4520" s="21"/>
    </row>
    <row r="4521" spans="1:4" ht="12.75" customHeight="1" x14ac:dyDescent="0.2">
      <c r="A4521" s="21"/>
      <c r="B4521" s="3" t="s">
        <v>9</v>
      </c>
      <c r="C4521" s="20" t="s">
        <v>1020</v>
      </c>
      <c r="D4521" s="21"/>
    </row>
    <row r="4522" spans="1:4" ht="12.75" customHeight="1" x14ac:dyDescent="0.2">
      <c r="A4522" s="21"/>
      <c r="B4522" s="3" t="s">
        <v>11</v>
      </c>
      <c r="C4522" s="20" t="s">
        <v>1248</v>
      </c>
      <c r="D4522" s="21"/>
    </row>
    <row r="4523" spans="1:4" ht="12.75" customHeight="1" x14ac:dyDescent="0.2">
      <c r="A4523" s="21"/>
      <c r="B4523" s="3" t="s">
        <v>13</v>
      </c>
      <c r="C4523" s="20" t="s">
        <v>24</v>
      </c>
      <c r="D4523" s="21"/>
    </row>
    <row r="4524" spans="1:4" ht="12.75" customHeight="1" x14ac:dyDescent="0.2">
      <c r="A4524" s="21"/>
      <c r="B4524" s="3" t="s">
        <v>15</v>
      </c>
      <c r="C4524" s="20" t="s">
        <v>24</v>
      </c>
      <c r="D4524" s="21"/>
    </row>
    <row r="4525" spans="1:4" ht="12.75" customHeight="1" x14ac:dyDescent="0.2">
      <c r="A4525" s="21"/>
      <c r="B4525" s="3" t="s">
        <v>16</v>
      </c>
      <c r="C4525" s="20"/>
      <c r="D4525" s="21"/>
    </row>
    <row r="4526" spans="1:4" ht="12.75" customHeight="1" x14ac:dyDescent="0.2">
      <c r="A4526" s="21"/>
      <c r="B4526" s="3" t="s">
        <v>17</v>
      </c>
      <c r="C4526" s="20"/>
      <c r="D4526" s="21"/>
    </row>
    <row r="4527" spans="1:4" ht="12.75" customHeight="1" x14ac:dyDescent="0.2">
      <c r="A4527" s="21"/>
      <c r="B4527" s="20" t="s">
        <v>18</v>
      </c>
      <c r="C4527" s="4" t="s">
        <v>44</v>
      </c>
      <c r="D4527" s="6" t="str">
        <f>HYPERLINK("javascript:void(0)","rubin ostromtarack")</f>
        <v>rubin ostromtarack</v>
      </c>
    </row>
    <row r="4528" spans="1:4" ht="12.75" customHeight="1" x14ac:dyDescent="0.2">
      <c r="A4528" s="21"/>
      <c r="B4528" s="21"/>
      <c r="C4528" s="4" t="s">
        <v>67</v>
      </c>
      <c r="D4528" s="6" t="str">
        <f>HYPERLINK("javascript:void(0)","gigacsigaház")</f>
        <v>gigacsigaház</v>
      </c>
    </row>
    <row r="4529" spans="1:4" ht="12.75" customHeight="1" x14ac:dyDescent="0.2">
      <c r="A4529" s="21"/>
      <c r="B4529" s="21"/>
      <c r="C4529" s="4" t="s">
        <v>56</v>
      </c>
      <c r="D4529" s="6" t="str">
        <f>HYPERLINK("javascript:void(0)","kincsgúla")</f>
        <v>kincsgúla</v>
      </c>
    </row>
    <row r="4530" spans="1:4" ht="12.75" customHeight="1" x14ac:dyDescent="0.2">
      <c r="A4530" s="5"/>
      <c r="B4530" s="2"/>
      <c r="C4530" s="2"/>
      <c r="D4530" s="2"/>
    </row>
    <row r="4531" spans="1:4" ht="12.75" customHeight="1" x14ac:dyDescent="0.2">
      <c r="A4531" s="22" t="str">
        <f>HYPERLINK("javascript:void(0)","smaragd ostromtarack")</f>
        <v>smaragd ostromtarack</v>
      </c>
      <c r="B4531" s="21"/>
      <c r="C4531" s="21"/>
      <c r="D4531" s="21"/>
    </row>
    <row r="4532" spans="1:4" ht="12.75" customHeight="1" x14ac:dyDescent="0.2">
      <c r="A4532" s="20"/>
      <c r="B4532" s="2"/>
      <c r="C4532" s="2"/>
      <c r="D4532" s="2"/>
    </row>
    <row r="4533" spans="1:4" ht="12.75" customHeight="1" x14ac:dyDescent="0.2">
      <c r="A4533" s="21"/>
      <c r="B4533" s="3" t="s">
        <v>0</v>
      </c>
      <c r="C4533" s="20" t="s">
        <v>1252</v>
      </c>
      <c r="D4533" s="21"/>
    </row>
    <row r="4534" spans="1:4" ht="12.75" customHeight="1" x14ac:dyDescent="0.2">
      <c r="A4534" s="21"/>
      <c r="B4534" s="3" t="s">
        <v>2</v>
      </c>
      <c r="C4534" s="20" t="s">
        <v>3</v>
      </c>
      <c r="D4534" s="21"/>
    </row>
    <row r="4535" spans="1:4" ht="12.75" customHeight="1" x14ac:dyDescent="0.2">
      <c r="A4535" s="21"/>
      <c r="B4535" s="3" t="s">
        <v>4</v>
      </c>
      <c r="C4535" s="20" t="s">
        <v>1253</v>
      </c>
      <c r="D4535" s="21"/>
    </row>
    <row r="4536" spans="1:4" ht="12.75" customHeight="1" x14ac:dyDescent="0.2">
      <c r="A4536" s="21"/>
      <c r="B4536" s="3" t="s">
        <v>6</v>
      </c>
      <c r="C4536" s="20" t="s">
        <v>72</v>
      </c>
      <c r="D4536" s="21"/>
    </row>
    <row r="4537" spans="1:4" ht="12.75" customHeight="1" x14ac:dyDescent="0.2">
      <c r="A4537" s="21"/>
      <c r="B4537" s="3" t="s">
        <v>8</v>
      </c>
      <c r="C4537" s="20" t="s">
        <v>1253</v>
      </c>
      <c r="D4537" s="21"/>
    </row>
    <row r="4538" spans="1:4" ht="12.75" customHeight="1" x14ac:dyDescent="0.2">
      <c r="A4538" s="21"/>
      <c r="B4538" s="3" t="s">
        <v>9</v>
      </c>
      <c r="C4538" s="20" t="s">
        <v>1255</v>
      </c>
      <c r="D4538" s="21"/>
    </row>
    <row r="4539" spans="1:4" ht="12.75" customHeight="1" x14ac:dyDescent="0.2">
      <c r="A4539" s="21"/>
      <c r="B4539" s="3" t="s">
        <v>11</v>
      </c>
      <c r="C4539" s="20" t="s">
        <v>1257</v>
      </c>
      <c r="D4539" s="21"/>
    </row>
    <row r="4540" spans="1:4" ht="12.75" customHeight="1" x14ac:dyDescent="0.2">
      <c r="A4540" s="21"/>
      <c r="B4540" s="3" t="s">
        <v>13</v>
      </c>
      <c r="C4540" s="20" t="s">
        <v>24</v>
      </c>
      <c r="D4540" s="21"/>
    </row>
    <row r="4541" spans="1:4" ht="12.75" customHeight="1" x14ac:dyDescent="0.2">
      <c r="A4541" s="21"/>
      <c r="B4541" s="3" t="s">
        <v>15</v>
      </c>
      <c r="C4541" s="20" t="s">
        <v>24</v>
      </c>
      <c r="D4541" s="21"/>
    </row>
    <row r="4542" spans="1:4" ht="12.75" customHeight="1" x14ac:dyDescent="0.2">
      <c r="A4542" s="21"/>
      <c r="B4542" s="3" t="s">
        <v>16</v>
      </c>
      <c r="C4542" s="20"/>
      <c r="D4542" s="21"/>
    </row>
    <row r="4543" spans="1:4" ht="12.75" customHeight="1" x14ac:dyDescent="0.2">
      <c r="A4543" s="21"/>
      <c r="B4543" s="3" t="s">
        <v>17</v>
      </c>
      <c r="C4543" s="20"/>
      <c r="D4543" s="21"/>
    </row>
    <row r="4544" spans="1:4" ht="12.75" customHeight="1" x14ac:dyDescent="0.2">
      <c r="A4544" s="21"/>
      <c r="B4544" s="20" t="s">
        <v>18</v>
      </c>
      <c r="C4544" s="4" t="s">
        <v>44</v>
      </c>
      <c r="D4544" s="6" t="str">
        <f>HYPERLINK("javascript:void(0)","smaragd tűvető")</f>
        <v>smaragd tűvető</v>
      </c>
    </row>
    <row r="4545" spans="1:4" ht="12.75" customHeight="1" x14ac:dyDescent="0.2">
      <c r="A4545" s="21"/>
      <c r="B4545" s="21"/>
      <c r="C4545" s="4" t="s">
        <v>232</v>
      </c>
      <c r="D4545" s="6" t="str">
        <f>HYPERLINK("javascript:void(0)","pörgeszilánk")</f>
        <v>pörgeszilánk</v>
      </c>
    </row>
    <row r="4546" spans="1:4" ht="12.75" customHeight="1" x14ac:dyDescent="0.2">
      <c r="A4546" s="21"/>
      <c r="B4546" s="21"/>
      <c r="C4546" s="4" t="s">
        <v>68</v>
      </c>
      <c r="D4546" s="6" t="str">
        <f>HYPERLINK("javascript:void(0)","rémkép")</f>
        <v>rémkép</v>
      </c>
    </row>
    <row r="4547" spans="1:4" ht="12.75" customHeight="1" x14ac:dyDescent="0.2">
      <c r="A4547" s="5"/>
      <c r="B4547" s="2"/>
      <c r="C4547" s="2"/>
      <c r="D4547" s="2"/>
    </row>
    <row r="4548" spans="1:4" ht="12.75" customHeight="1" x14ac:dyDescent="0.2">
      <c r="A4548" s="22" t="str">
        <f>HYPERLINK("javascript:void(0)","gyöngy parittya")</f>
        <v>gyöngy parittya</v>
      </c>
      <c r="B4548" s="21"/>
      <c r="C4548" s="21"/>
      <c r="D4548" s="21"/>
    </row>
    <row r="4549" spans="1:4" ht="12.75" customHeight="1" x14ac:dyDescent="0.2">
      <c r="A4549" s="20"/>
      <c r="B4549" s="2"/>
      <c r="C4549" s="2"/>
      <c r="D4549" s="2"/>
    </row>
    <row r="4550" spans="1:4" ht="12.75" customHeight="1" x14ac:dyDescent="0.2">
      <c r="A4550" s="21"/>
      <c r="B4550" s="3" t="s">
        <v>0</v>
      </c>
      <c r="C4550" s="20" t="s">
        <v>1252</v>
      </c>
      <c r="D4550" s="21"/>
    </row>
    <row r="4551" spans="1:4" ht="12.75" customHeight="1" x14ac:dyDescent="0.2">
      <c r="A4551" s="21"/>
      <c r="B4551" s="3" t="s">
        <v>2</v>
      </c>
      <c r="C4551" s="20" t="s">
        <v>3</v>
      </c>
      <c r="D4551" s="21"/>
    </row>
    <row r="4552" spans="1:4" ht="12.75" customHeight="1" x14ac:dyDescent="0.2">
      <c r="A4552" s="21"/>
      <c r="B4552" s="3" t="s">
        <v>4</v>
      </c>
      <c r="C4552" s="20" t="s">
        <v>1259</v>
      </c>
      <c r="D4552" s="21"/>
    </row>
    <row r="4553" spans="1:4" ht="12.75" customHeight="1" x14ac:dyDescent="0.2">
      <c r="A4553" s="21"/>
      <c r="B4553" s="3" t="s">
        <v>6</v>
      </c>
      <c r="C4553" s="20" t="s">
        <v>65</v>
      </c>
      <c r="D4553" s="21"/>
    </row>
    <row r="4554" spans="1:4" ht="12.75" customHeight="1" x14ac:dyDescent="0.2">
      <c r="A4554" s="21"/>
      <c r="B4554" s="3" t="s">
        <v>8</v>
      </c>
      <c r="C4554" s="20" t="s">
        <v>1259</v>
      </c>
      <c r="D4554" s="21"/>
    </row>
    <row r="4555" spans="1:4" ht="12.75" customHeight="1" x14ac:dyDescent="0.2">
      <c r="A4555" s="21"/>
      <c r="B4555" s="3" t="s">
        <v>9</v>
      </c>
      <c r="C4555" s="20" t="s">
        <v>1028</v>
      </c>
      <c r="D4555" s="21"/>
    </row>
    <row r="4556" spans="1:4" ht="12.75" customHeight="1" x14ac:dyDescent="0.2">
      <c r="A4556" s="21"/>
      <c r="B4556" s="3" t="s">
        <v>11</v>
      </c>
      <c r="C4556" s="20" t="s">
        <v>1261</v>
      </c>
      <c r="D4556" s="21"/>
    </row>
    <row r="4557" spans="1:4" ht="12.75" customHeight="1" x14ac:dyDescent="0.2">
      <c r="A4557" s="21"/>
      <c r="B4557" s="3" t="s">
        <v>13</v>
      </c>
      <c r="C4557" s="20" t="s">
        <v>24</v>
      </c>
      <c r="D4557" s="21"/>
    </row>
    <row r="4558" spans="1:4" ht="12.75" customHeight="1" x14ac:dyDescent="0.2">
      <c r="A4558" s="21"/>
      <c r="B4558" s="3" t="s">
        <v>15</v>
      </c>
      <c r="C4558" s="20" t="s">
        <v>24</v>
      </c>
      <c r="D4558" s="21"/>
    </row>
    <row r="4559" spans="1:4" ht="12.75" customHeight="1" x14ac:dyDescent="0.2">
      <c r="A4559" s="21"/>
      <c r="B4559" s="3" t="s">
        <v>16</v>
      </c>
      <c r="C4559" s="20"/>
      <c r="D4559" s="21"/>
    </row>
    <row r="4560" spans="1:4" ht="12.75" customHeight="1" x14ac:dyDescent="0.2">
      <c r="A4560" s="21"/>
      <c r="B4560" s="3" t="s">
        <v>17</v>
      </c>
      <c r="C4560" s="20"/>
      <c r="D4560" s="21"/>
    </row>
    <row r="4561" spans="1:4" ht="12.75" customHeight="1" x14ac:dyDescent="0.2">
      <c r="A4561" s="21"/>
      <c r="B4561" s="20" t="s">
        <v>18</v>
      </c>
      <c r="C4561" s="4" t="s">
        <v>67</v>
      </c>
      <c r="D4561" s="6" t="str">
        <f>HYPERLINK("javascript:void(0)","gyöngyfonal")</f>
        <v>gyöngyfonal</v>
      </c>
    </row>
    <row r="4562" spans="1:4" ht="12.75" customHeight="1" x14ac:dyDescent="0.2">
      <c r="A4562" s="21"/>
      <c r="B4562" s="21"/>
      <c r="C4562" s="4" t="s">
        <v>232</v>
      </c>
      <c r="D4562" s="6" t="str">
        <f>HYPERLINK("javascript:void(0)","szintkülönbség")</f>
        <v>szintkülönbség</v>
      </c>
    </row>
    <row r="4563" spans="1:4" ht="12.75" customHeight="1" x14ac:dyDescent="0.2">
      <c r="A4563" s="21"/>
      <c r="B4563" s="21"/>
      <c r="C4563" s="4" t="s">
        <v>56</v>
      </c>
      <c r="D4563" s="6" t="str">
        <f>HYPERLINK("javascript:void(0)","kincsgúla")</f>
        <v>kincsgúla</v>
      </c>
    </row>
    <row r="4564" spans="1:4" ht="12.75" customHeight="1" x14ac:dyDescent="0.2">
      <c r="A4564" s="5"/>
      <c r="B4564" s="2"/>
      <c r="C4564" s="2"/>
      <c r="D4564" s="2"/>
    </row>
    <row r="4565" spans="1:4" ht="12.75" customHeight="1" x14ac:dyDescent="0.2">
      <c r="A4565" s="22" t="str">
        <f>HYPERLINK("javascript:void(0)","rubin ostromtarack")</f>
        <v>rubin ostromtarack</v>
      </c>
      <c r="B4565" s="21"/>
      <c r="C4565" s="21"/>
      <c r="D4565" s="21"/>
    </row>
    <row r="4566" spans="1:4" ht="12.75" customHeight="1" x14ac:dyDescent="0.2">
      <c r="A4566" s="20"/>
      <c r="B4566" s="2"/>
      <c r="C4566" s="2"/>
      <c r="D4566" s="2"/>
    </row>
    <row r="4567" spans="1:4" ht="12.75" customHeight="1" x14ac:dyDescent="0.2">
      <c r="A4567" s="21"/>
      <c r="B4567" s="3" t="s">
        <v>0</v>
      </c>
      <c r="C4567" s="20" t="s">
        <v>1263</v>
      </c>
      <c r="D4567" s="21"/>
    </row>
    <row r="4568" spans="1:4" ht="12.75" customHeight="1" x14ac:dyDescent="0.2">
      <c r="A4568" s="21"/>
      <c r="B4568" s="3" t="s">
        <v>2</v>
      </c>
      <c r="C4568" s="20" t="s">
        <v>3</v>
      </c>
      <c r="D4568" s="21"/>
    </row>
    <row r="4569" spans="1:4" ht="12.75" customHeight="1" x14ac:dyDescent="0.2">
      <c r="A4569" s="21"/>
      <c r="B4569" s="3" t="s">
        <v>4</v>
      </c>
      <c r="C4569" s="20" t="s">
        <v>1264</v>
      </c>
      <c r="D4569" s="21"/>
    </row>
    <row r="4570" spans="1:4" ht="12.75" customHeight="1" x14ac:dyDescent="0.2">
      <c r="A4570" s="21"/>
      <c r="B4570" s="3" t="s">
        <v>6</v>
      </c>
      <c r="C4570" s="20" t="s">
        <v>74</v>
      </c>
      <c r="D4570" s="21"/>
    </row>
    <row r="4571" spans="1:4" ht="12.75" customHeight="1" x14ac:dyDescent="0.2">
      <c r="A4571" s="21"/>
      <c r="B4571" s="3" t="s">
        <v>8</v>
      </c>
      <c r="C4571" s="20" t="s">
        <v>1264</v>
      </c>
      <c r="D4571" s="21"/>
    </row>
    <row r="4572" spans="1:4" ht="12.75" customHeight="1" x14ac:dyDescent="0.2">
      <c r="A4572" s="21"/>
      <c r="B4572" s="3" t="s">
        <v>9</v>
      </c>
      <c r="C4572" s="20" t="s">
        <v>169</v>
      </c>
      <c r="D4572" s="21"/>
    </row>
    <row r="4573" spans="1:4" ht="12.75" customHeight="1" x14ac:dyDescent="0.2">
      <c r="A4573" s="21"/>
      <c r="B4573" s="3" t="s">
        <v>11</v>
      </c>
      <c r="C4573" s="20" t="s">
        <v>1266</v>
      </c>
      <c r="D4573" s="21"/>
    </row>
    <row r="4574" spans="1:4" ht="12.75" customHeight="1" x14ac:dyDescent="0.2">
      <c r="A4574" s="21"/>
      <c r="B4574" s="3" t="s">
        <v>13</v>
      </c>
      <c r="C4574" s="20" t="s">
        <v>24</v>
      </c>
      <c r="D4574" s="21"/>
    </row>
    <row r="4575" spans="1:4" ht="12.75" customHeight="1" x14ac:dyDescent="0.2">
      <c r="A4575" s="21"/>
      <c r="B4575" s="3" t="s">
        <v>15</v>
      </c>
      <c r="C4575" s="20" t="s">
        <v>24</v>
      </c>
      <c r="D4575" s="21"/>
    </row>
    <row r="4576" spans="1:4" ht="12.75" customHeight="1" x14ac:dyDescent="0.2">
      <c r="A4576" s="21"/>
      <c r="B4576" s="3" t="s">
        <v>16</v>
      </c>
      <c r="C4576" s="20"/>
      <c r="D4576" s="21"/>
    </row>
    <row r="4577" spans="1:4" ht="12.75" customHeight="1" x14ac:dyDescent="0.2">
      <c r="A4577" s="21"/>
      <c r="B4577" s="3" t="s">
        <v>17</v>
      </c>
      <c r="C4577" s="20"/>
      <c r="D4577" s="21"/>
    </row>
    <row r="4578" spans="1:4" ht="12.75" customHeight="1" x14ac:dyDescent="0.2">
      <c r="A4578" s="21"/>
      <c r="B4578" s="20" t="s">
        <v>18</v>
      </c>
      <c r="C4578" s="4" t="s">
        <v>44</v>
      </c>
      <c r="D4578" s="6" t="str">
        <f>HYPERLINK("javascript:void(0)","rubin tűvető")</f>
        <v>rubin tűvető</v>
      </c>
    </row>
    <row r="4579" spans="1:4" ht="12.75" customHeight="1" x14ac:dyDescent="0.2">
      <c r="A4579" s="21"/>
      <c r="B4579" s="21"/>
      <c r="C4579" s="4" t="s">
        <v>232</v>
      </c>
      <c r="D4579" s="6" t="str">
        <f>HYPERLINK("javascript:void(0)","őrjöngés")</f>
        <v>őrjöngés</v>
      </c>
    </row>
    <row r="4580" spans="1:4" ht="12.75" customHeight="1" x14ac:dyDescent="0.2">
      <c r="A4580" s="21"/>
      <c r="B4580" s="21"/>
      <c r="C4580" s="4" t="s">
        <v>68</v>
      </c>
      <c r="D4580" s="6" t="str">
        <f>HYPERLINK("javascript:void(0)","regnum")</f>
        <v>regnum</v>
      </c>
    </row>
    <row r="4581" spans="1:4" ht="12.75" customHeight="1" x14ac:dyDescent="0.2">
      <c r="A4581" s="5"/>
      <c r="B4581" s="2"/>
      <c r="C4581" s="2"/>
      <c r="D4581" s="2"/>
    </row>
    <row r="4582" spans="1:4" ht="12.75" customHeight="1" x14ac:dyDescent="0.2">
      <c r="A4582" s="22" t="str">
        <f>HYPERLINK("javascript:void(0)","gyémánt parittya")</f>
        <v>gyémánt parittya</v>
      </c>
      <c r="B4582" s="21"/>
      <c r="C4582" s="21"/>
      <c r="D4582" s="21"/>
    </row>
    <row r="4583" spans="1:4" ht="12.75" customHeight="1" x14ac:dyDescent="0.2">
      <c r="A4583" s="20"/>
      <c r="B4583" s="2"/>
      <c r="C4583" s="2"/>
      <c r="D4583" s="2"/>
    </row>
    <row r="4584" spans="1:4" ht="12.75" customHeight="1" x14ac:dyDescent="0.2">
      <c r="A4584" s="21"/>
      <c r="B4584" s="3" t="s">
        <v>0</v>
      </c>
      <c r="C4584" s="20" t="s">
        <v>1263</v>
      </c>
      <c r="D4584" s="21"/>
    </row>
    <row r="4585" spans="1:4" ht="12.75" customHeight="1" x14ac:dyDescent="0.2">
      <c r="A4585" s="21"/>
      <c r="B4585" s="3" t="s">
        <v>2</v>
      </c>
      <c r="C4585" s="20" t="s">
        <v>3</v>
      </c>
      <c r="D4585" s="21"/>
    </row>
    <row r="4586" spans="1:4" ht="12.75" customHeight="1" x14ac:dyDescent="0.2">
      <c r="A4586" s="21"/>
      <c r="B4586" s="3" t="s">
        <v>4</v>
      </c>
      <c r="C4586" s="20" t="s">
        <v>1268</v>
      </c>
      <c r="D4586" s="21"/>
    </row>
    <row r="4587" spans="1:4" ht="12.75" customHeight="1" x14ac:dyDescent="0.2">
      <c r="A4587" s="21"/>
      <c r="B4587" s="3" t="s">
        <v>6</v>
      </c>
      <c r="C4587" s="20" t="s">
        <v>65</v>
      </c>
      <c r="D4587" s="21"/>
    </row>
    <row r="4588" spans="1:4" ht="12.75" customHeight="1" x14ac:dyDescent="0.2">
      <c r="A4588" s="21"/>
      <c r="B4588" s="3" t="s">
        <v>8</v>
      </c>
      <c r="C4588" s="20" t="s">
        <v>1268</v>
      </c>
      <c r="D4588" s="21"/>
    </row>
    <row r="4589" spans="1:4" ht="12.75" customHeight="1" x14ac:dyDescent="0.2">
      <c r="A4589" s="21"/>
      <c r="B4589" s="3" t="s">
        <v>9</v>
      </c>
      <c r="C4589" s="20" t="s">
        <v>1039</v>
      </c>
      <c r="D4589" s="21"/>
    </row>
    <row r="4590" spans="1:4" ht="12.75" customHeight="1" x14ac:dyDescent="0.2">
      <c r="A4590" s="21"/>
      <c r="B4590" s="3" t="s">
        <v>11</v>
      </c>
      <c r="C4590" s="20" t="s">
        <v>1269</v>
      </c>
      <c r="D4590" s="21"/>
    </row>
    <row r="4591" spans="1:4" ht="12.75" customHeight="1" x14ac:dyDescent="0.2">
      <c r="A4591" s="21"/>
      <c r="B4591" s="3" t="s">
        <v>13</v>
      </c>
      <c r="C4591" s="20" t="s">
        <v>24</v>
      </c>
      <c r="D4591" s="21"/>
    </row>
    <row r="4592" spans="1:4" ht="12.75" customHeight="1" x14ac:dyDescent="0.2">
      <c r="A4592" s="21"/>
      <c r="B4592" s="3" t="s">
        <v>15</v>
      </c>
      <c r="C4592" s="20" t="s">
        <v>24</v>
      </c>
      <c r="D4592" s="21"/>
    </row>
    <row r="4593" spans="1:4" ht="12.75" customHeight="1" x14ac:dyDescent="0.2">
      <c r="A4593" s="21"/>
      <c r="B4593" s="3" t="s">
        <v>16</v>
      </c>
      <c r="C4593" s="20"/>
      <c r="D4593" s="21"/>
    </row>
    <row r="4594" spans="1:4" ht="12.75" customHeight="1" x14ac:dyDescent="0.2">
      <c r="A4594" s="21"/>
      <c r="B4594" s="3" t="s">
        <v>17</v>
      </c>
      <c r="C4594" s="20"/>
      <c r="D4594" s="21"/>
    </row>
    <row r="4595" spans="1:4" ht="12.75" customHeight="1" x14ac:dyDescent="0.2">
      <c r="A4595" s="21"/>
      <c r="B4595" s="20" t="s">
        <v>18</v>
      </c>
      <c r="C4595" s="4" t="s">
        <v>44</v>
      </c>
      <c r="D4595" s="6" t="str">
        <f>HYPERLINK("javascript:void(0)","gyémánt tűvető")</f>
        <v>gyémánt tűvető</v>
      </c>
    </row>
    <row r="4596" spans="1:4" ht="12.75" customHeight="1" x14ac:dyDescent="0.2">
      <c r="A4596" s="21"/>
      <c r="B4596" s="21"/>
      <c r="C4596" s="4" t="s">
        <v>77</v>
      </c>
      <c r="D4596" s="6" t="str">
        <f>HYPERLINK("javascript:void(0)","manókorona")</f>
        <v>manókorona</v>
      </c>
    </row>
    <row r="4597" spans="1:4" ht="12.75" customHeight="1" x14ac:dyDescent="0.2">
      <c r="A4597" s="21"/>
      <c r="B4597" s="21"/>
      <c r="C4597" s="4" t="s">
        <v>56</v>
      </c>
      <c r="D4597" s="6" t="str">
        <f>HYPERLINK("javascript:void(0)","kincsgúla")</f>
        <v>kincsgúla</v>
      </c>
    </row>
    <row r="4598" spans="1:4" ht="12.75" customHeight="1" x14ac:dyDescent="0.2">
      <c r="A4598" s="5"/>
      <c r="B4598" s="2"/>
      <c r="C4598" s="2"/>
      <c r="D4598" s="2"/>
    </row>
    <row r="4599" spans="1:4" ht="12.75" customHeight="1" x14ac:dyDescent="0.2">
      <c r="A4599" s="22" t="str">
        <f>HYPERLINK("javascript:void(0)","opál ostromtarack")</f>
        <v>opál ostromtarack</v>
      </c>
      <c r="B4599" s="21"/>
      <c r="C4599" s="21"/>
      <c r="D4599" s="21"/>
    </row>
    <row r="4600" spans="1:4" ht="12.75" customHeight="1" x14ac:dyDescent="0.2">
      <c r="A4600" s="20"/>
      <c r="B4600" s="2"/>
      <c r="C4600" s="2"/>
      <c r="D4600" s="2"/>
    </row>
    <row r="4601" spans="1:4" ht="12.75" customHeight="1" x14ac:dyDescent="0.2">
      <c r="A4601" s="21"/>
      <c r="B4601" s="3" t="s">
        <v>0</v>
      </c>
      <c r="C4601" s="20" t="s">
        <v>1270</v>
      </c>
      <c r="D4601" s="21"/>
    </row>
    <row r="4602" spans="1:4" ht="12.75" customHeight="1" x14ac:dyDescent="0.2">
      <c r="A4602" s="21"/>
      <c r="B4602" s="3" t="s">
        <v>2</v>
      </c>
      <c r="C4602" s="20" t="s">
        <v>3</v>
      </c>
      <c r="D4602" s="21"/>
    </row>
    <row r="4603" spans="1:4" ht="12.75" customHeight="1" x14ac:dyDescent="0.2">
      <c r="A4603" s="21"/>
      <c r="B4603" s="3" t="s">
        <v>4</v>
      </c>
      <c r="C4603" s="20" t="s">
        <v>1271</v>
      </c>
      <c r="D4603" s="21"/>
    </row>
    <row r="4604" spans="1:4" ht="12.75" customHeight="1" x14ac:dyDescent="0.2">
      <c r="A4604" s="21"/>
      <c r="B4604" s="3" t="s">
        <v>6</v>
      </c>
      <c r="C4604" s="20" t="s">
        <v>100</v>
      </c>
      <c r="D4604" s="21"/>
    </row>
    <row r="4605" spans="1:4" ht="12.75" customHeight="1" x14ac:dyDescent="0.2">
      <c r="A4605" s="21"/>
      <c r="B4605" s="3" t="s">
        <v>8</v>
      </c>
      <c r="C4605" s="20" t="s">
        <v>1271</v>
      </c>
      <c r="D4605" s="21"/>
    </row>
    <row r="4606" spans="1:4" ht="12.75" customHeight="1" x14ac:dyDescent="0.2">
      <c r="A4606" s="21"/>
      <c r="B4606" s="3" t="s">
        <v>9</v>
      </c>
      <c r="C4606" s="20" t="s">
        <v>1272</v>
      </c>
      <c r="D4606" s="21"/>
    </row>
    <row r="4607" spans="1:4" ht="12.75" customHeight="1" x14ac:dyDescent="0.2">
      <c r="A4607" s="21"/>
      <c r="B4607" s="3" t="s">
        <v>11</v>
      </c>
      <c r="C4607" s="20" t="s">
        <v>1273</v>
      </c>
      <c r="D4607" s="21"/>
    </row>
    <row r="4608" spans="1:4" ht="12.75" customHeight="1" x14ac:dyDescent="0.2">
      <c r="A4608" s="21"/>
      <c r="B4608" s="3" t="s">
        <v>13</v>
      </c>
      <c r="C4608" s="20" t="s">
        <v>24</v>
      </c>
      <c r="D4608" s="21"/>
    </row>
    <row r="4609" spans="1:4" ht="12.75" customHeight="1" x14ac:dyDescent="0.2">
      <c r="A4609" s="21"/>
      <c r="B4609" s="3" t="s">
        <v>15</v>
      </c>
      <c r="C4609" s="20" t="s">
        <v>24</v>
      </c>
      <c r="D4609" s="21"/>
    </row>
    <row r="4610" spans="1:4" ht="12.75" customHeight="1" x14ac:dyDescent="0.2">
      <c r="A4610" s="21"/>
      <c r="B4610" s="3" t="s">
        <v>16</v>
      </c>
      <c r="C4610" s="20"/>
      <c r="D4610" s="21"/>
    </row>
    <row r="4611" spans="1:4" ht="12.75" customHeight="1" x14ac:dyDescent="0.2">
      <c r="A4611" s="21"/>
      <c r="B4611" s="3" t="s">
        <v>17</v>
      </c>
      <c r="C4611" s="20"/>
      <c r="D4611" s="21"/>
    </row>
    <row r="4612" spans="1:4" ht="12.75" customHeight="1" x14ac:dyDescent="0.2">
      <c r="A4612" s="21"/>
      <c r="B4612" s="20" t="s">
        <v>18</v>
      </c>
      <c r="C4612" s="4" t="s">
        <v>44</v>
      </c>
      <c r="D4612" s="6" t="str">
        <f>HYPERLINK("javascript:void(0)","opál tűvető")</f>
        <v>opál tűvető</v>
      </c>
    </row>
    <row r="4613" spans="1:4" ht="12.75" customHeight="1" x14ac:dyDescent="0.2">
      <c r="A4613" s="21"/>
      <c r="B4613" s="21"/>
      <c r="C4613" s="4" t="s">
        <v>193</v>
      </c>
      <c r="D4613" s="6" t="str">
        <f>HYPERLINK("javascript:void(0)","légzsák")</f>
        <v>légzsák</v>
      </c>
    </row>
    <row r="4614" spans="1:4" ht="12.75" customHeight="1" x14ac:dyDescent="0.2">
      <c r="A4614" s="21"/>
      <c r="B4614" s="21"/>
      <c r="C4614" s="4" t="s">
        <v>117</v>
      </c>
      <c r="D4614" s="6" t="str">
        <f>HYPERLINK("javascript:void(0)","rémkép")</f>
        <v>rémkép</v>
      </c>
    </row>
    <row r="4615" spans="1:4" ht="12.75" customHeight="1" x14ac:dyDescent="0.2">
      <c r="A4615" s="5"/>
      <c r="B4615" s="2"/>
      <c r="C4615" s="2"/>
      <c r="D4615" s="2"/>
    </row>
    <row r="4616" spans="1:4" ht="12.75" customHeight="1" x14ac:dyDescent="0.2">
      <c r="A4616" s="22" t="str">
        <f>HYPERLINK("javascript:void(0)","bronz parittya")</f>
        <v>bronz parittya</v>
      </c>
      <c r="B4616" s="21"/>
      <c r="C4616" s="21"/>
      <c r="D4616" s="21"/>
    </row>
    <row r="4617" spans="1:4" ht="12.75" customHeight="1" x14ac:dyDescent="0.2">
      <c r="A4617" s="20"/>
      <c r="B4617" s="2"/>
      <c r="C4617" s="2"/>
      <c r="D4617" s="2"/>
    </row>
    <row r="4618" spans="1:4" ht="12.75" customHeight="1" x14ac:dyDescent="0.2">
      <c r="A4618" s="21"/>
      <c r="B4618" s="3" t="s">
        <v>0</v>
      </c>
      <c r="C4618" s="20" t="s">
        <v>1270</v>
      </c>
      <c r="D4618" s="21"/>
    </row>
    <row r="4619" spans="1:4" ht="12.75" customHeight="1" x14ac:dyDescent="0.2">
      <c r="A4619" s="21"/>
      <c r="B4619" s="3" t="s">
        <v>2</v>
      </c>
      <c r="C4619" s="20" t="s">
        <v>3</v>
      </c>
      <c r="D4619" s="21"/>
    </row>
    <row r="4620" spans="1:4" ht="12.75" customHeight="1" x14ac:dyDescent="0.2">
      <c r="A4620" s="21"/>
      <c r="B4620" s="3" t="s">
        <v>4</v>
      </c>
      <c r="C4620" s="20" t="s">
        <v>1275</v>
      </c>
      <c r="D4620" s="21"/>
    </row>
    <row r="4621" spans="1:4" ht="12.75" customHeight="1" x14ac:dyDescent="0.2">
      <c r="A4621" s="21"/>
      <c r="B4621" s="3" t="s">
        <v>6</v>
      </c>
      <c r="C4621" s="20" t="s">
        <v>65</v>
      </c>
      <c r="D4621" s="21"/>
    </row>
    <row r="4622" spans="1:4" ht="12.75" customHeight="1" x14ac:dyDescent="0.2">
      <c r="A4622" s="21"/>
      <c r="B4622" s="3" t="s">
        <v>8</v>
      </c>
      <c r="C4622" s="20" t="s">
        <v>1275</v>
      </c>
      <c r="D4622" s="21"/>
    </row>
    <row r="4623" spans="1:4" ht="12.75" customHeight="1" x14ac:dyDescent="0.2">
      <c r="A4623" s="21"/>
      <c r="B4623" s="3" t="s">
        <v>9</v>
      </c>
      <c r="C4623" s="20" t="s">
        <v>1046</v>
      </c>
      <c r="D4623" s="21"/>
    </row>
    <row r="4624" spans="1:4" ht="12.75" customHeight="1" x14ac:dyDescent="0.2">
      <c r="A4624" s="21"/>
      <c r="B4624" s="3" t="s">
        <v>11</v>
      </c>
      <c r="C4624" s="20" t="s">
        <v>1276</v>
      </c>
      <c r="D4624" s="21"/>
    </row>
    <row r="4625" spans="1:4" ht="12.75" customHeight="1" x14ac:dyDescent="0.2">
      <c r="A4625" s="21"/>
      <c r="B4625" s="3" t="s">
        <v>13</v>
      </c>
      <c r="C4625" s="20" t="s">
        <v>24</v>
      </c>
      <c r="D4625" s="21"/>
    </row>
    <row r="4626" spans="1:4" ht="12.75" customHeight="1" x14ac:dyDescent="0.2">
      <c r="A4626" s="21"/>
      <c r="B4626" s="3" t="s">
        <v>15</v>
      </c>
      <c r="C4626" s="20" t="s">
        <v>24</v>
      </c>
      <c r="D4626" s="21"/>
    </row>
    <row r="4627" spans="1:4" ht="12.75" customHeight="1" x14ac:dyDescent="0.2">
      <c r="A4627" s="21"/>
      <c r="B4627" s="3" t="s">
        <v>16</v>
      </c>
      <c r="C4627" s="20"/>
      <c r="D4627" s="21"/>
    </row>
    <row r="4628" spans="1:4" ht="12.75" customHeight="1" x14ac:dyDescent="0.2">
      <c r="A4628" s="21"/>
      <c r="B4628" s="3" t="s">
        <v>17</v>
      </c>
      <c r="C4628" s="20"/>
      <c r="D4628" s="21"/>
    </row>
    <row r="4629" spans="1:4" ht="12.75" customHeight="1" x14ac:dyDescent="0.2">
      <c r="A4629" s="21"/>
      <c r="B4629" s="20" t="s">
        <v>18</v>
      </c>
      <c r="C4629" s="4" t="s">
        <v>139</v>
      </c>
      <c r="D4629" s="6" t="str">
        <f>HYPERLINK("javascript:void(0)","bronzrög")</f>
        <v>bronzrög</v>
      </c>
    </row>
    <row r="4630" spans="1:4" ht="12.75" customHeight="1" x14ac:dyDescent="0.2">
      <c r="A4630" s="21"/>
      <c r="B4630" s="21"/>
      <c r="C4630" s="4" t="s">
        <v>196</v>
      </c>
      <c r="D4630" s="6" t="str">
        <f>HYPERLINK("javascript:void(0)","hangyacsáp")</f>
        <v>hangyacsáp</v>
      </c>
    </row>
    <row r="4631" spans="1:4" ht="12.75" customHeight="1" x14ac:dyDescent="0.2">
      <c r="A4631" s="21"/>
      <c r="B4631" s="21"/>
      <c r="C4631" s="4" t="s">
        <v>56</v>
      </c>
      <c r="D4631" s="6" t="str">
        <f>HYPERLINK("javascript:void(0)","kincsgúla")</f>
        <v>kincsgúla</v>
      </c>
    </row>
    <row r="4632" spans="1:4" ht="12.75" customHeight="1" x14ac:dyDescent="0.2">
      <c r="A4632" s="5"/>
      <c r="B4632" s="2"/>
      <c r="C4632" s="2"/>
      <c r="D4632" s="2"/>
    </row>
    <row r="4633" spans="1:4" ht="12.75" customHeight="1" x14ac:dyDescent="0.2">
      <c r="A4633" s="22" t="str">
        <f>HYPERLINK("javascript:void(0)","jáspis ostromtarack")</f>
        <v>jáspis ostromtarack</v>
      </c>
      <c r="B4633" s="21"/>
      <c r="C4633" s="21"/>
      <c r="D4633" s="21"/>
    </row>
    <row r="4634" spans="1:4" ht="12.75" customHeight="1" x14ac:dyDescent="0.2">
      <c r="A4634" s="20"/>
      <c r="B4634" s="2"/>
      <c r="C4634" s="2"/>
      <c r="D4634" s="2"/>
    </row>
    <row r="4635" spans="1:4" ht="12.75" customHeight="1" x14ac:dyDescent="0.2">
      <c r="A4635" s="21"/>
      <c r="B4635" s="3" t="s">
        <v>0</v>
      </c>
      <c r="C4635" s="20" t="s">
        <v>143</v>
      </c>
      <c r="D4635" s="21"/>
    </row>
    <row r="4636" spans="1:4" ht="12.75" customHeight="1" x14ac:dyDescent="0.2">
      <c r="A4636" s="21"/>
      <c r="B4636" s="3" t="s">
        <v>2</v>
      </c>
      <c r="C4636" s="20" t="s">
        <v>3</v>
      </c>
      <c r="D4636" s="21"/>
    </row>
    <row r="4637" spans="1:4" ht="12.75" customHeight="1" x14ac:dyDescent="0.2">
      <c r="A4637" s="21"/>
      <c r="B4637" s="3" t="s">
        <v>4</v>
      </c>
      <c r="C4637" s="20" t="s">
        <v>1278</v>
      </c>
      <c r="D4637" s="21"/>
    </row>
    <row r="4638" spans="1:4" ht="12.75" customHeight="1" x14ac:dyDescent="0.2">
      <c r="A4638" s="21"/>
      <c r="B4638" s="3" t="s">
        <v>6</v>
      </c>
      <c r="C4638" s="20" t="s">
        <v>33</v>
      </c>
      <c r="D4638" s="21"/>
    </row>
    <row r="4639" spans="1:4" ht="12.75" customHeight="1" x14ac:dyDescent="0.2">
      <c r="A4639" s="21"/>
      <c r="B4639" s="3" t="s">
        <v>8</v>
      </c>
      <c r="C4639" s="20" t="s">
        <v>1278</v>
      </c>
      <c r="D4639" s="21"/>
    </row>
    <row r="4640" spans="1:4" ht="12.75" customHeight="1" x14ac:dyDescent="0.2">
      <c r="A4640" s="21"/>
      <c r="B4640" s="3" t="s">
        <v>9</v>
      </c>
      <c r="C4640" s="20" t="s">
        <v>1279</v>
      </c>
      <c r="D4640" s="21"/>
    </row>
    <row r="4641" spans="1:4" ht="12.75" customHeight="1" x14ac:dyDescent="0.2">
      <c r="A4641" s="21"/>
      <c r="B4641" s="3" t="s">
        <v>11</v>
      </c>
      <c r="C4641" s="20" t="s">
        <v>1040</v>
      </c>
      <c r="D4641" s="21"/>
    </row>
    <row r="4642" spans="1:4" ht="12.75" customHeight="1" x14ac:dyDescent="0.2">
      <c r="A4642" s="21"/>
      <c r="B4642" s="3" t="s">
        <v>13</v>
      </c>
      <c r="C4642" s="20" t="s">
        <v>24</v>
      </c>
      <c r="D4642" s="21"/>
    </row>
    <row r="4643" spans="1:4" ht="12.75" customHeight="1" x14ac:dyDescent="0.2">
      <c r="A4643" s="21"/>
      <c r="B4643" s="3" t="s">
        <v>15</v>
      </c>
      <c r="C4643" s="20" t="s">
        <v>24</v>
      </c>
      <c r="D4643" s="21"/>
    </row>
    <row r="4644" spans="1:4" ht="12.75" customHeight="1" x14ac:dyDescent="0.2">
      <c r="A4644" s="21"/>
      <c r="B4644" s="3" t="s">
        <v>16</v>
      </c>
      <c r="C4644" s="20"/>
      <c r="D4644" s="21"/>
    </row>
    <row r="4645" spans="1:4" ht="12.75" customHeight="1" x14ac:dyDescent="0.2">
      <c r="A4645" s="21"/>
      <c r="B4645" s="3" t="s">
        <v>17</v>
      </c>
      <c r="C4645" s="20"/>
      <c r="D4645" s="21"/>
    </row>
    <row r="4646" spans="1:4" ht="12.75" customHeight="1" x14ac:dyDescent="0.2">
      <c r="A4646" s="21"/>
      <c r="B4646" s="20" t="s">
        <v>18</v>
      </c>
      <c r="C4646" s="4" t="s">
        <v>44</v>
      </c>
      <c r="D4646" s="6" t="str">
        <f>HYPERLINK("javascript:void(0)","jáspis tűvető")</f>
        <v>jáspis tűvető</v>
      </c>
    </row>
    <row r="4647" spans="1:4" ht="12.75" customHeight="1" x14ac:dyDescent="0.2">
      <c r="A4647" s="21"/>
      <c r="B4647" s="21"/>
      <c r="C4647" s="4" t="s">
        <v>142</v>
      </c>
      <c r="D4647" s="6" t="str">
        <f>HYPERLINK("javascript:void(0)","igazolvány")</f>
        <v>igazolvány</v>
      </c>
    </row>
    <row r="4648" spans="1:4" ht="12.75" customHeight="1" x14ac:dyDescent="0.2">
      <c r="A4648" s="21"/>
      <c r="B4648" s="21"/>
      <c r="C4648" s="4" t="s">
        <v>117</v>
      </c>
      <c r="D4648" s="6" t="str">
        <f>HYPERLINK("javascript:void(0)","regnum")</f>
        <v>regnum</v>
      </c>
    </row>
    <row r="4649" spans="1:4" ht="12.75" customHeight="1" x14ac:dyDescent="0.2">
      <c r="A4649" s="5"/>
      <c r="B4649" s="2"/>
      <c r="C4649" s="2"/>
      <c r="D4649" s="2"/>
    </row>
    <row r="4650" spans="1:4" ht="12.75" customHeight="1" x14ac:dyDescent="0.2">
      <c r="A4650" s="22" t="str">
        <f>HYPERLINK("javascript:void(0)","réz parittya")</f>
        <v>réz parittya</v>
      </c>
      <c r="B4650" s="21"/>
      <c r="C4650" s="21"/>
      <c r="D4650" s="21"/>
    </row>
    <row r="4651" spans="1:4" ht="12.75" customHeight="1" x14ac:dyDescent="0.2">
      <c r="A4651" s="20"/>
      <c r="B4651" s="2"/>
      <c r="C4651" s="2"/>
      <c r="D4651" s="2"/>
    </row>
    <row r="4652" spans="1:4" ht="12.75" customHeight="1" x14ac:dyDescent="0.2">
      <c r="A4652" s="21"/>
      <c r="B4652" s="3" t="s">
        <v>0</v>
      </c>
      <c r="C4652" s="20" t="s">
        <v>143</v>
      </c>
      <c r="D4652" s="21"/>
    </row>
    <row r="4653" spans="1:4" ht="12.75" customHeight="1" x14ac:dyDescent="0.2">
      <c r="A4653" s="21"/>
      <c r="B4653" s="3" t="s">
        <v>2</v>
      </c>
      <c r="C4653" s="20" t="s">
        <v>3</v>
      </c>
      <c r="D4653" s="21"/>
    </row>
    <row r="4654" spans="1:4" ht="12.75" customHeight="1" x14ac:dyDescent="0.2">
      <c r="A4654" s="21"/>
      <c r="B4654" s="3" t="s">
        <v>4</v>
      </c>
      <c r="C4654" s="20" t="s">
        <v>1282</v>
      </c>
      <c r="D4654" s="21"/>
    </row>
    <row r="4655" spans="1:4" ht="12.75" customHeight="1" x14ac:dyDescent="0.2">
      <c r="A4655" s="21"/>
      <c r="B4655" s="3" t="s">
        <v>6</v>
      </c>
      <c r="C4655" s="20" t="s">
        <v>65</v>
      </c>
      <c r="D4655" s="21"/>
    </row>
    <row r="4656" spans="1:4" ht="12.75" customHeight="1" x14ac:dyDescent="0.2">
      <c r="A4656" s="21"/>
      <c r="B4656" s="3" t="s">
        <v>8</v>
      </c>
      <c r="C4656" s="20" t="s">
        <v>1282</v>
      </c>
      <c r="D4656" s="21"/>
    </row>
    <row r="4657" spans="1:4" ht="12.75" customHeight="1" x14ac:dyDescent="0.2">
      <c r="A4657" s="21"/>
      <c r="B4657" s="3" t="s">
        <v>9</v>
      </c>
      <c r="C4657" s="20" t="s">
        <v>1074</v>
      </c>
      <c r="D4657" s="21"/>
    </row>
    <row r="4658" spans="1:4" ht="12.75" customHeight="1" x14ac:dyDescent="0.2">
      <c r="A4658" s="21"/>
      <c r="B4658" s="3" t="s">
        <v>11</v>
      </c>
      <c r="C4658" s="20" t="s">
        <v>1283</v>
      </c>
      <c r="D4658" s="21"/>
    </row>
    <row r="4659" spans="1:4" ht="12.75" customHeight="1" x14ac:dyDescent="0.2">
      <c r="A4659" s="21"/>
      <c r="B4659" s="3" t="s">
        <v>13</v>
      </c>
      <c r="C4659" s="20" t="s">
        <v>24</v>
      </c>
      <c r="D4659" s="21"/>
    </row>
    <row r="4660" spans="1:4" ht="12.75" customHeight="1" x14ac:dyDescent="0.2">
      <c r="A4660" s="21"/>
      <c r="B4660" s="3" t="s">
        <v>15</v>
      </c>
      <c r="C4660" s="20" t="s">
        <v>24</v>
      </c>
      <c r="D4660" s="21"/>
    </row>
    <row r="4661" spans="1:4" ht="12.75" customHeight="1" x14ac:dyDescent="0.2">
      <c r="A4661" s="21"/>
      <c r="B4661" s="3" t="s">
        <v>16</v>
      </c>
      <c r="C4661" s="20"/>
      <c r="D4661" s="21"/>
    </row>
    <row r="4662" spans="1:4" ht="12.75" customHeight="1" x14ac:dyDescent="0.2">
      <c r="A4662" s="21"/>
      <c r="B4662" s="3" t="s">
        <v>17</v>
      </c>
      <c r="C4662" s="20"/>
      <c r="D4662" s="21"/>
    </row>
    <row r="4663" spans="1:4" ht="12.75" customHeight="1" x14ac:dyDescent="0.2">
      <c r="A4663" s="21"/>
      <c r="B4663" s="20" t="s">
        <v>18</v>
      </c>
      <c r="C4663" s="4" t="s">
        <v>139</v>
      </c>
      <c r="D4663" s="6" t="str">
        <f>HYPERLINK("javascript:void(0)","rézrög")</f>
        <v>rézrög</v>
      </c>
    </row>
    <row r="4664" spans="1:4" ht="12.75" customHeight="1" x14ac:dyDescent="0.2">
      <c r="A4664" s="21"/>
      <c r="B4664" s="21"/>
      <c r="C4664" s="4" t="s">
        <v>296</v>
      </c>
      <c r="D4664" s="6" t="str">
        <f>HYPERLINK("javascript:void(0)","gumicucore")</f>
        <v>gumicucore</v>
      </c>
    </row>
    <row r="4665" spans="1:4" ht="12.75" customHeight="1" x14ac:dyDescent="0.2">
      <c r="A4665" s="21"/>
      <c r="B4665" s="21"/>
      <c r="C4665" s="4" t="s">
        <v>56</v>
      </c>
      <c r="D4665" s="6" t="str">
        <f>HYPERLINK("javascript:void(0)","kincsgúla")</f>
        <v>kincsgúla</v>
      </c>
    </row>
    <row r="4666" spans="1:4" ht="12.75" customHeight="1" x14ac:dyDescent="0.2">
      <c r="A4666" s="5"/>
      <c r="B4666" s="2"/>
      <c r="C4666" s="2"/>
      <c r="D4666" s="2"/>
    </row>
    <row r="4667" spans="1:4" ht="12.75" customHeight="1" x14ac:dyDescent="0.2">
      <c r="A4667" s="22" t="str">
        <f>HYPERLINK("javascript:void(0)","arany ostromtarack")</f>
        <v>arany ostromtarack</v>
      </c>
      <c r="B4667" s="21"/>
      <c r="C4667" s="21"/>
      <c r="D4667" s="21"/>
    </row>
    <row r="4668" spans="1:4" ht="12.75" customHeight="1" x14ac:dyDescent="0.2">
      <c r="A4668" s="20"/>
      <c r="B4668" s="2"/>
      <c r="C4668" s="2"/>
      <c r="D4668" s="2"/>
    </row>
    <row r="4669" spans="1:4" ht="12.75" customHeight="1" x14ac:dyDescent="0.2">
      <c r="A4669" s="21"/>
      <c r="B4669" s="3" t="s">
        <v>0</v>
      </c>
      <c r="C4669" s="20" t="s">
        <v>1284</v>
      </c>
      <c r="D4669" s="21"/>
    </row>
    <row r="4670" spans="1:4" ht="12.75" customHeight="1" x14ac:dyDescent="0.2">
      <c r="A4670" s="21"/>
      <c r="B4670" s="3" t="s">
        <v>2</v>
      </c>
      <c r="C4670" s="20" t="s">
        <v>3</v>
      </c>
      <c r="D4670" s="21"/>
    </row>
    <row r="4671" spans="1:4" ht="12.75" customHeight="1" x14ac:dyDescent="0.2">
      <c r="A4671" s="21"/>
      <c r="B4671" s="3" t="s">
        <v>4</v>
      </c>
      <c r="C4671" s="20" t="s">
        <v>1285</v>
      </c>
      <c r="D4671" s="21"/>
    </row>
    <row r="4672" spans="1:4" ht="12.75" customHeight="1" x14ac:dyDescent="0.2">
      <c r="A4672" s="21"/>
      <c r="B4672" s="3" t="s">
        <v>6</v>
      </c>
      <c r="C4672" s="20" t="s">
        <v>32</v>
      </c>
      <c r="D4672" s="21"/>
    </row>
    <row r="4673" spans="1:4" ht="12.75" customHeight="1" x14ac:dyDescent="0.2">
      <c r="A4673" s="21"/>
      <c r="B4673" s="3" t="s">
        <v>8</v>
      </c>
      <c r="C4673" s="20" t="s">
        <v>1285</v>
      </c>
      <c r="D4673" s="21"/>
    </row>
    <row r="4674" spans="1:4" ht="12.75" customHeight="1" x14ac:dyDescent="0.2">
      <c r="A4674" s="21"/>
      <c r="B4674" s="3" t="s">
        <v>9</v>
      </c>
      <c r="C4674" s="20" t="s">
        <v>1286</v>
      </c>
      <c r="D4674" s="21"/>
    </row>
    <row r="4675" spans="1:4" ht="12.75" customHeight="1" x14ac:dyDescent="0.2">
      <c r="A4675" s="21"/>
      <c r="B4675" s="3" t="s">
        <v>11</v>
      </c>
      <c r="C4675" s="20" t="s">
        <v>1287</v>
      </c>
      <c r="D4675" s="21"/>
    </row>
    <row r="4676" spans="1:4" ht="12.75" customHeight="1" x14ac:dyDescent="0.2">
      <c r="A4676" s="21"/>
      <c r="B4676" s="3" t="s">
        <v>13</v>
      </c>
      <c r="C4676" s="20" t="s">
        <v>24</v>
      </c>
      <c r="D4676" s="21"/>
    </row>
    <row r="4677" spans="1:4" ht="12.75" customHeight="1" x14ac:dyDescent="0.2">
      <c r="A4677" s="21"/>
      <c r="B4677" s="3" t="s">
        <v>15</v>
      </c>
      <c r="C4677" s="20" t="s">
        <v>24</v>
      </c>
      <c r="D4677" s="21"/>
    </row>
    <row r="4678" spans="1:4" ht="12.75" customHeight="1" x14ac:dyDescent="0.2">
      <c r="A4678" s="21"/>
      <c r="B4678" s="3" t="s">
        <v>16</v>
      </c>
      <c r="C4678" s="20"/>
      <c r="D4678" s="21"/>
    </row>
    <row r="4679" spans="1:4" ht="12.75" customHeight="1" x14ac:dyDescent="0.2">
      <c r="A4679" s="21"/>
      <c r="B4679" s="3" t="s">
        <v>17</v>
      </c>
      <c r="C4679" s="20"/>
      <c r="D4679" s="21"/>
    </row>
    <row r="4680" spans="1:4" ht="12.75" customHeight="1" x14ac:dyDescent="0.2">
      <c r="A4680" s="21"/>
      <c r="B4680" s="20" t="s">
        <v>18</v>
      </c>
      <c r="C4680" s="4" t="s">
        <v>44</v>
      </c>
      <c r="D4680" s="6" t="str">
        <f>HYPERLINK("javascript:void(0)","arany tűvető")</f>
        <v>arany tűvető</v>
      </c>
    </row>
    <row r="4681" spans="1:4" ht="12.75" customHeight="1" x14ac:dyDescent="0.2">
      <c r="A4681" s="21"/>
      <c r="B4681" s="21"/>
      <c r="C4681" s="4" t="s">
        <v>232</v>
      </c>
      <c r="D4681" s="6" t="str">
        <f>HYPERLINK("javascript:void(0)","felhő-szkóp")</f>
        <v>felhő-szkóp</v>
      </c>
    </row>
    <row r="4682" spans="1:4" ht="12.75" customHeight="1" x14ac:dyDescent="0.2">
      <c r="A4682" s="21"/>
      <c r="B4682" s="21"/>
      <c r="C4682" s="4" t="s">
        <v>244</v>
      </c>
      <c r="D4682" s="6" t="str">
        <f>HYPERLINK("javascript:void(0)","rémkép")</f>
        <v>rémkép</v>
      </c>
    </row>
    <row r="4683" spans="1:4" ht="12.75" customHeight="1" x14ac:dyDescent="0.2">
      <c r="A4683" s="5"/>
      <c r="B4683" s="2"/>
      <c r="C4683" s="2"/>
      <c r="D4683" s="2"/>
    </row>
    <row r="4684" spans="1:4" ht="12.75" customHeight="1" x14ac:dyDescent="0.2">
      <c r="A4684" s="22" t="str">
        <f>HYPERLINK("javascript:void(0)","vas parittya")</f>
        <v>vas parittya</v>
      </c>
      <c r="B4684" s="21"/>
      <c r="C4684" s="21"/>
      <c r="D4684" s="21"/>
    </row>
    <row r="4685" spans="1:4" ht="12.75" customHeight="1" x14ac:dyDescent="0.2">
      <c r="A4685" s="20"/>
      <c r="B4685" s="2"/>
      <c r="C4685" s="2"/>
      <c r="D4685" s="2"/>
    </row>
    <row r="4686" spans="1:4" ht="12.75" customHeight="1" x14ac:dyDescent="0.2">
      <c r="A4686" s="21"/>
      <c r="B4686" s="3" t="s">
        <v>0</v>
      </c>
      <c r="C4686" s="20" t="s">
        <v>1284</v>
      </c>
      <c r="D4686" s="21"/>
    </row>
    <row r="4687" spans="1:4" ht="12.75" customHeight="1" x14ac:dyDescent="0.2">
      <c r="A4687" s="21"/>
      <c r="B4687" s="3" t="s">
        <v>2</v>
      </c>
      <c r="C4687" s="20" t="s">
        <v>3</v>
      </c>
      <c r="D4687" s="21"/>
    </row>
    <row r="4688" spans="1:4" ht="12.75" customHeight="1" x14ac:dyDescent="0.2">
      <c r="A4688" s="21"/>
      <c r="B4688" s="3" t="s">
        <v>4</v>
      </c>
      <c r="C4688" s="20" t="s">
        <v>1290</v>
      </c>
      <c r="D4688" s="21"/>
    </row>
    <row r="4689" spans="1:4" ht="12.75" customHeight="1" x14ac:dyDescent="0.2">
      <c r="A4689" s="21"/>
      <c r="B4689" s="3" t="s">
        <v>6</v>
      </c>
      <c r="C4689" s="20" t="s">
        <v>65</v>
      </c>
      <c r="D4689" s="21"/>
    </row>
    <row r="4690" spans="1:4" ht="12.75" customHeight="1" x14ac:dyDescent="0.2">
      <c r="A4690" s="21"/>
      <c r="B4690" s="3" t="s">
        <v>8</v>
      </c>
      <c r="C4690" s="20" t="s">
        <v>1290</v>
      </c>
      <c r="D4690" s="21"/>
    </row>
    <row r="4691" spans="1:4" ht="12.75" customHeight="1" x14ac:dyDescent="0.2">
      <c r="A4691" s="21"/>
      <c r="B4691" s="3" t="s">
        <v>9</v>
      </c>
      <c r="C4691" s="20" t="s">
        <v>1046</v>
      </c>
      <c r="D4691" s="21"/>
    </row>
    <row r="4692" spans="1:4" ht="12.75" customHeight="1" x14ac:dyDescent="0.2">
      <c r="A4692" s="21"/>
      <c r="B4692" s="3" t="s">
        <v>11</v>
      </c>
      <c r="C4692" s="20" t="s">
        <v>1291</v>
      </c>
      <c r="D4692" s="21"/>
    </row>
    <row r="4693" spans="1:4" ht="12.75" customHeight="1" x14ac:dyDescent="0.2">
      <c r="A4693" s="21"/>
      <c r="B4693" s="3" t="s">
        <v>13</v>
      </c>
      <c r="C4693" s="20" t="s">
        <v>24</v>
      </c>
      <c r="D4693" s="21"/>
    </row>
    <row r="4694" spans="1:4" ht="12.75" customHeight="1" x14ac:dyDescent="0.2">
      <c r="A4694" s="21"/>
      <c r="B4694" s="3" t="s">
        <v>15</v>
      </c>
      <c r="C4694" s="20" t="s">
        <v>24</v>
      </c>
      <c r="D4694" s="21"/>
    </row>
    <row r="4695" spans="1:4" ht="12.75" customHeight="1" x14ac:dyDescent="0.2">
      <c r="A4695" s="21"/>
      <c r="B4695" s="3" t="s">
        <v>16</v>
      </c>
      <c r="C4695" s="20"/>
      <c r="D4695" s="21"/>
    </row>
    <row r="4696" spans="1:4" ht="12.75" customHeight="1" x14ac:dyDescent="0.2">
      <c r="A4696" s="21"/>
      <c r="B4696" s="3" t="s">
        <v>17</v>
      </c>
      <c r="C4696" s="20"/>
      <c r="D4696" s="21"/>
    </row>
    <row r="4697" spans="1:4" ht="12.75" customHeight="1" x14ac:dyDescent="0.2">
      <c r="A4697" s="21"/>
      <c r="B4697" s="20" t="s">
        <v>18</v>
      </c>
      <c r="C4697" s="4" t="s">
        <v>139</v>
      </c>
      <c r="D4697" s="6" t="str">
        <f>HYPERLINK("javascript:void(0)","vasrög")</f>
        <v>vasrög</v>
      </c>
    </row>
    <row r="4698" spans="1:4" ht="12.75" customHeight="1" x14ac:dyDescent="0.2">
      <c r="A4698" s="21"/>
      <c r="B4698" s="21"/>
      <c r="C4698" s="4" t="s">
        <v>142</v>
      </c>
      <c r="D4698" s="6" t="str">
        <f>HYPERLINK("javascript:void(0)","ektoplazma")</f>
        <v>ektoplazma</v>
      </c>
    </row>
    <row r="4699" spans="1:4" ht="12.75" customHeight="1" x14ac:dyDescent="0.2">
      <c r="A4699" s="21"/>
      <c r="B4699" s="21"/>
      <c r="C4699" s="4" t="s">
        <v>56</v>
      </c>
      <c r="D4699" s="6" t="str">
        <f>HYPERLINK("javascript:void(0)","kincsgúla")</f>
        <v>kincsgúla</v>
      </c>
    </row>
    <row r="4700" spans="1:4" ht="12.75" customHeight="1" x14ac:dyDescent="0.2">
      <c r="A4700" s="5"/>
      <c r="B4700" s="2"/>
      <c r="C4700" s="2"/>
      <c r="D4700" s="2"/>
    </row>
    <row r="4701" spans="1:4" ht="12.75" customHeight="1" x14ac:dyDescent="0.2">
      <c r="A4701" s="22" t="str">
        <f>HYPERLINK("javascript:void(0)","diszpro ostromtarack")</f>
        <v>diszpro ostromtarack</v>
      </c>
      <c r="B4701" s="21"/>
      <c r="C4701" s="21"/>
      <c r="D4701" s="21"/>
    </row>
    <row r="4702" spans="1:4" ht="12.75" customHeight="1" x14ac:dyDescent="0.2">
      <c r="A4702" s="20"/>
      <c r="B4702" s="2"/>
      <c r="C4702" s="2"/>
      <c r="D4702" s="2"/>
    </row>
    <row r="4703" spans="1:4" ht="12.75" customHeight="1" x14ac:dyDescent="0.2">
      <c r="A4703" s="21"/>
      <c r="B4703" s="3" t="s">
        <v>0</v>
      </c>
      <c r="C4703" s="20" t="s">
        <v>1294</v>
      </c>
      <c r="D4703" s="21"/>
    </row>
    <row r="4704" spans="1:4" ht="12.75" customHeight="1" x14ac:dyDescent="0.2">
      <c r="A4704" s="21"/>
      <c r="B4704" s="3" t="s">
        <v>2</v>
      </c>
      <c r="C4704" s="20" t="s">
        <v>3</v>
      </c>
      <c r="D4704" s="21"/>
    </row>
    <row r="4705" spans="1:4" ht="12.75" customHeight="1" x14ac:dyDescent="0.2">
      <c r="A4705" s="21"/>
      <c r="B4705" s="3" t="s">
        <v>4</v>
      </c>
      <c r="C4705" s="20" t="s">
        <v>1295</v>
      </c>
      <c r="D4705" s="21"/>
    </row>
    <row r="4706" spans="1:4" ht="12.75" customHeight="1" x14ac:dyDescent="0.2">
      <c r="A4706" s="21"/>
      <c r="B4706" s="3" t="s">
        <v>6</v>
      </c>
      <c r="C4706" s="20" t="s">
        <v>51</v>
      </c>
      <c r="D4706" s="21"/>
    </row>
    <row r="4707" spans="1:4" ht="12.75" customHeight="1" x14ac:dyDescent="0.2">
      <c r="A4707" s="21"/>
      <c r="B4707" s="3" t="s">
        <v>8</v>
      </c>
      <c r="C4707" s="20" t="s">
        <v>1295</v>
      </c>
      <c r="D4707" s="21"/>
    </row>
    <row r="4708" spans="1:4" ht="12.75" customHeight="1" x14ac:dyDescent="0.2">
      <c r="A4708" s="21"/>
      <c r="B4708" s="3" t="s">
        <v>9</v>
      </c>
      <c r="C4708" s="20" t="s">
        <v>934</v>
      </c>
      <c r="D4708" s="21"/>
    </row>
    <row r="4709" spans="1:4" ht="12.75" customHeight="1" x14ac:dyDescent="0.2">
      <c r="A4709" s="21"/>
      <c r="B4709" s="3" t="s">
        <v>11</v>
      </c>
      <c r="C4709" s="20" t="s">
        <v>1047</v>
      </c>
      <c r="D4709" s="21"/>
    </row>
    <row r="4710" spans="1:4" ht="12.75" customHeight="1" x14ac:dyDescent="0.2">
      <c r="A4710" s="21"/>
      <c r="B4710" s="3" t="s">
        <v>13</v>
      </c>
      <c r="C4710" s="20" t="s">
        <v>24</v>
      </c>
      <c r="D4710" s="21"/>
    </row>
    <row r="4711" spans="1:4" ht="12.75" customHeight="1" x14ac:dyDescent="0.2">
      <c r="A4711" s="21"/>
      <c r="B4711" s="3" t="s">
        <v>15</v>
      </c>
      <c r="C4711" s="20" t="s">
        <v>24</v>
      </c>
      <c r="D4711" s="21"/>
    </row>
    <row r="4712" spans="1:4" ht="12.75" customHeight="1" x14ac:dyDescent="0.2">
      <c r="A4712" s="21"/>
      <c r="B4712" s="3" t="s">
        <v>16</v>
      </c>
      <c r="C4712" s="20"/>
      <c r="D4712" s="21"/>
    </row>
    <row r="4713" spans="1:4" ht="12.75" customHeight="1" x14ac:dyDescent="0.2">
      <c r="A4713" s="21"/>
      <c r="B4713" s="3" t="s">
        <v>17</v>
      </c>
      <c r="C4713" s="20"/>
      <c r="D4713" s="21"/>
    </row>
    <row r="4714" spans="1:4" ht="12.75" customHeight="1" x14ac:dyDescent="0.2">
      <c r="A4714" s="21"/>
      <c r="B4714" s="20" t="s">
        <v>18</v>
      </c>
      <c r="C4714" s="4" t="s">
        <v>44</v>
      </c>
      <c r="D4714" s="6" t="str">
        <f>HYPERLINK("javascript:void(0)","diszpro tűvető")</f>
        <v>diszpro tűvető</v>
      </c>
    </row>
    <row r="4715" spans="1:4" ht="12.75" customHeight="1" x14ac:dyDescent="0.2">
      <c r="A4715" s="21"/>
      <c r="B4715" s="21"/>
      <c r="C4715" s="4" t="s">
        <v>232</v>
      </c>
      <c r="D4715" s="6" t="str">
        <f>HYPERLINK("javascript:void(0)","feslett háló")</f>
        <v>feslett háló</v>
      </c>
    </row>
    <row r="4716" spans="1:4" ht="12.75" customHeight="1" x14ac:dyDescent="0.2">
      <c r="A4716" s="21"/>
      <c r="B4716" s="21"/>
      <c r="C4716" s="4" t="s">
        <v>244</v>
      </c>
      <c r="D4716" s="6" t="str">
        <f>HYPERLINK("javascript:void(0)","regnum")</f>
        <v>regnum</v>
      </c>
    </row>
    <row r="4717" spans="1:4" ht="12.75" customHeight="1" x14ac:dyDescent="0.2">
      <c r="A4717" s="5"/>
      <c r="B4717" s="2"/>
      <c r="C4717" s="2"/>
      <c r="D4717" s="2"/>
    </row>
    <row r="4718" spans="1:4" ht="12.75" customHeight="1" x14ac:dyDescent="0.2">
      <c r="A4718" s="22" t="str">
        <f>HYPERLINK("javascript:void(0)","diszpro parittya")</f>
        <v>diszpro parittya</v>
      </c>
      <c r="B4718" s="21"/>
      <c r="C4718" s="21"/>
      <c r="D4718" s="21"/>
    </row>
    <row r="4719" spans="1:4" ht="12.75" customHeight="1" x14ac:dyDescent="0.2">
      <c r="A4719" s="20"/>
      <c r="B4719" s="2"/>
      <c r="C4719" s="2"/>
      <c r="D4719" s="2"/>
    </row>
    <row r="4720" spans="1:4" ht="12.75" customHeight="1" x14ac:dyDescent="0.2">
      <c r="A4720" s="21"/>
      <c r="B4720" s="3" t="s">
        <v>0</v>
      </c>
      <c r="C4720" s="20" t="s">
        <v>1294</v>
      </c>
      <c r="D4720" s="21"/>
    </row>
    <row r="4721" spans="1:4" ht="12.75" customHeight="1" x14ac:dyDescent="0.2">
      <c r="A4721" s="21"/>
      <c r="B4721" s="3" t="s">
        <v>2</v>
      </c>
      <c r="C4721" s="20" t="s">
        <v>3</v>
      </c>
      <c r="D4721" s="21"/>
    </row>
    <row r="4722" spans="1:4" ht="12.75" customHeight="1" x14ac:dyDescent="0.2">
      <c r="A4722" s="21"/>
      <c r="B4722" s="3" t="s">
        <v>4</v>
      </c>
      <c r="C4722" s="20" t="s">
        <v>1297</v>
      </c>
      <c r="D4722" s="21"/>
    </row>
    <row r="4723" spans="1:4" ht="12.75" customHeight="1" x14ac:dyDescent="0.2">
      <c r="A4723" s="21"/>
      <c r="B4723" s="3" t="s">
        <v>6</v>
      </c>
      <c r="C4723" s="20" t="s">
        <v>65</v>
      </c>
      <c r="D4723" s="21"/>
    </row>
    <row r="4724" spans="1:4" ht="12.75" customHeight="1" x14ac:dyDescent="0.2">
      <c r="A4724" s="21"/>
      <c r="B4724" s="3" t="s">
        <v>8</v>
      </c>
      <c r="C4724" s="20" t="s">
        <v>1297</v>
      </c>
      <c r="D4724" s="21"/>
    </row>
    <row r="4725" spans="1:4" ht="12.75" customHeight="1" x14ac:dyDescent="0.2">
      <c r="A4725" s="21"/>
      <c r="B4725" s="3" t="s">
        <v>9</v>
      </c>
      <c r="C4725" s="20" t="s">
        <v>1028</v>
      </c>
      <c r="D4725" s="21"/>
    </row>
    <row r="4726" spans="1:4" ht="12.75" customHeight="1" x14ac:dyDescent="0.2">
      <c r="A4726" s="21"/>
      <c r="B4726" s="3" t="s">
        <v>11</v>
      </c>
      <c r="C4726" s="20" t="s">
        <v>1298</v>
      </c>
      <c r="D4726" s="21"/>
    </row>
    <row r="4727" spans="1:4" ht="12.75" customHeight="1" x14ac:dyDescent="0.2">
      <c r="A4727" s="21"/>
      <c r="B4727" s="3" t="s">
        <v>13</v>
      </c>
      <c r="C4727" s="20" t="s">
        <v>24</v>
      </c>
      <c r="D4727" s="21"/>
    </row>
    <row r="4728" spans="1:4" ht="12.75" customHeight="1" x14ac:dyDescent="0.2">
      <c r="A4728" s="21"/>
      <c r="B4728" s="3" t="s">
        <v>15</v>
      </c>
      <c r="C4728" s="20" t="s">
        <v>24</v>
      </c>
      <c r="D4728" s="21"/>
    </row>
    <row r="4729" spans="1:4" ht="12.75" customHeight="1" x14ac:dyDescent="0.2">
      <c r="A4729" s="21"/>
      <c r="B4729" s="3" t="s">
        <v>16</v>
      </c>
      <c r="C4729" s="20"/>
      <c r="D4729" s="21"/>
    </row>
    <row r="4730" spans="1:4" ht="12.75" customHeight="1" x14ac:dyDescent="0.2">
      <c r="A4730" s="21"/>
      <c r="B4730" s="3" t="s">
        <v>17</v>
      </c>
      <c r="C4730" s="20"/>
      <c r="D4730" s="21"/>
    </row>
    <row r="4731" spans="1:4" ht="25.5" customHeight="1" x14ac:dyDescent="0.2">
      <c r="A4731" s="21"/>
      <c r="B4731" s="20" t="s">
        <v>18</v>
      </c>
      <c r="C4731" s="4" t="s">
        <v>44</v>
      </c>
      <c r="D4731" s="6" t="str">
        <f>HYPERLINK("javascript:void(0)","diszpro ostromtarack")</f>
        <v>diszpro ostromtarack</v>
      </c>
    </row>
    <row r="4732" spans="1:4" ht="12.75" customHeight="1" x14ac:dyDescent="0.2">
      <c r="A4732" s="21"/>
      <c r="B4732" s="21"/>
      <c r="C4732" s="4" t="s">
        <v>232</v>
      </c>
      <c r="D4732" s="6" t="str">
        <f>HYPERLINK("javascript:void(0)","eszmeiség")</f>
        <v>eszmeiség</v>
      </c>
    </row>
    <row r="4733" spans="1:4" ht="12.75" customHeight="1" x14ac:dyDescent="0.2">
      <c r="A4733" s="21"/>
      <c r="B4733" s="21"/>
      <c r="C4733" s="4" t="s">
        <v>56</v>
      </c>
      <c r="D4733" s="6" t="str">
        <f>HYPERLINK("javascript:void(0)","kincsgúla")</f>
        <v>kincsgúla</v>
      </c>
    </row>
    <row r="4734" spans="1:4" ht="12.75" customHeight="1" x14ac:dyDescent="0.2">
      <c r="A4734" s="5"/>
      <c r="B4734" s="2"/>
      <c r="C4734" s="2"/>
      <c r="D4734" s="2"/>
    </row>
    <row r="4735" spans="1:4" ht="12.75" customHeight="1" x14ac:dyDescent="0.2">
      <c r="A4735" s="22" t="str">
        <f>HYPERLINK("javascript:void(0)","kith ostromtarack")</f>
        <v>kith ostromtarack</v>
      </c>
      <c r="B4735" s="21"/>
      <c r="C4735" s="21"/>
      <c r="D4735" s="21"/>
    </row>
    <row r="4736" spans="1:4" ht="12.75" customHeight="1" x14ac:dyDescent="0.2">
      <c r="A4736" s="20"/>
      <c r="B4736" s="2"/>
      <c r="C4736" s="2"/>
      <c r="D4736" s="2"/>
    </row>
    <row r="4737" spans="1:4" ht="12.75" customHeight="1" x14ac:dyDescent="0.2">
      <c r="A4737" s="21"/>
      <c r="B4737" s="3" t="s">
        <v>0</v>
      </c>
      <c r="C4737" s="20" t="s">
        <v>242</v>
      </c>
      <c r="D4737" s="21"/>
    </row>
    <row r="4738" spans="1:4" ht="12.75" customHeight="1" x14ac:dyDescent="0.2">
      <c r="A4738" s="21"/>
      <c r="B4738" s="3" t="s">
        <v>2</v>
      </c>
      <c r="C4738" s="20" t="s">
        <v>3</v>
      </c>
      <c r="D4738" s="21"/>
    </row>
    <row r="4739" spans="1:4" ht="12.75" customHeight="1" x14ac:dyDescent="0.2">
      <c r="A4739" s="21"/>
      <c r="B4739" s="3" t="s">
        <v>4</v>
      </c>
      <c r="C4739" s="20" t="s">
        <v>1300</v>
      </c>
      <c r="D4739" s="21"/>
    </row>
    <row r="4740" spans="1:4" ht="12.75" customHeight="1" x14ac:dyDescent="0.2">
      <c r="A4740" s="21"/>
      <c r="B4740" s="3" t="s">
        <v>6</v>
      </c>
      <c r="C4740" s="20" t="s">
        <v>82</v>
      </c>
      <c r="D4740" s="21"/>
    </row>
    <row r="4741" spans="1:4" ht="12.75" customHeight="1" x14ac:dyDescent="0.2">
      <c r="A4741" s="21"/>
      <c r="B4741" s="3" t="s">
        <v>8</v>
      </c>
      <c r="C4741" s="20" t="s">
        <v>1300</v>
      </c>
      <c r="D4741" s="21"/>
    </row>
    <row r="4742" spans="1:4" ht="12.75" customHeight="1" x14ac:dyDescent="0.2">
      <c r="A4742" s="21"/>
      <c r="B4742" s="3" t="s">
        <v>9</v>
      </c>
      <c r="C4742" s="20" t="s">
        <v>75</v>
      </c>
      <c r="D4742" s="21"/>
    </row>
    <row r="4743" spans="1:4" ht="12.75" customHeight="1" x14ac:dyDescent="0.2">
      <c r="A4743" s="21"/>
      <c r="B4743" s="3" t="s">
        <v>11</v>
      </c>
      <c r="C4743" s="20" t="s">
        <v>1301</v>
      </c>
      <c r="D4743" s="21"/>
    </row>
    <row r="4744" spans="1:4" ht="12.75" customHeight="1" x14ac:dyDescent="0.2">
      <c r="A4744" s="21"/>
      <c r="B4744" s="3" t="s">
        <v>13</v>
      </c>
      <c r="C4744" s="20" t="s">
        <v>24</v>
      </c>
      <c r="D4744" s="21"/>
    </row>
    <row r="4745" spans="1:4" ht="12.75" customHeight="1" x14ac:dyDescent="0.2">
      <c r="A4745" s="21"/>
      <c r="B4745" s="3" t="s">
        <v>15</v>
      </c>
      <c r="C4745" s="20" t="s">
        <v>24</v>
      </c>
      <c r="D4745" s="21"/>
    </row>
    <row r="4746" spans="1:4" ht="12.75" customHeight="1" x14ac:dyDescent="0.2">
      <c r="A4746" s="21"/>
      <c r="B4746" s="3" t="s">
        <v>16</v>
      </c>
      <c r="C4746" s="20"/>
      <c r="D4746" s="21"/>
    </row>
    <row r="4747" spans="1:4" ht="12.75" customHeight="1" x14ac:dyDescent="0.2">
      <c r="A4747" s="21"/>
      <c r="B4747" s="3" t="s">
        <v>17</v>
      </c>
      <c r="C4747" s="20"/>
      <c r="D4747" s="21"/>
    </row>
    <row r="4748" spans="1:4" ht="12.75" customHeight="1" x14ac:dyDescent="0.2">
      <c r="A4748" s="21"/>
      <c r="B4748" s="20" t="s">
        <v>18</v>
      </c>
      <c r="C4748" s="4" t="s">
        <v>44</v>
      </c>
      <c r="D4748" s="6" t="str">
        <f>HYPERLINK("javascript:void(0)","kithrill tűvető")</f>
        <v>kithrill tűvető</v>
      </c>
    </row>
    <row r="4749" spans="1:4" ht="12.75" customHeight="1" x14ac:dyDescent="0.2">
      <c r="A4749" s="21"/>
      <c r="B4749" s="21"/>
      <c r="C4749" s="4" t="s">
        <v>232</v>
      </c>
      <c r="D4749" s="6" t="str">
        <f>HYPERLINK("javascript:void(0)","vértócsa")</f>
        <v>vértócsa</v>
      </c>
    </row>
    <row r="4750" spans="1:4" ht="12.75" customHeight="1" x14ac:dyDescent="0.2">
      <c r="A4750" s="21"/>
      <c r="B4750" s="21"/>
      <c r="C4750" s="4" t="s">
        <v>139</v>
      </c>
      <c r="D4750" s="6" t="str">
        <f>HYPERLINK("javascript:void(0)","rémkép")</f>
        <v>rémkép</v>
      </c>
    </row>
    <row r="4751" spans="1:4" ht="12.75" customHeight="1" x14ac:dyDescent="0.2">
      <c r="A4751" s="5"/>
      <c r="B4751" s="2"/>
      <c r="C4751" s="2"/>
      <c r="D4751" s="2"/>
    </row>
    <row r="4752" spans="1:4" ht="12.75" customHeight="1" x14ac:dyDescent="0.2">
      <c r="A4752" s="22" t="str">
        <f>HYPERLINK("javascript:void(0)","kith parittya")</f>
        <v>kith parittya</v>
      </c>
      <c r="B4752" s="21"/>
      <c r="C4752" s="21"/>
      <c r="D4752" s="21"/>
    </row>
    <row r="4753" spans="1:4" ht="12.75" customHeight="1" x14ac:dyDescent="0.2">
      <c r="A4753" s="20"/>
      <c r="B4753" s="2"/>
      <c r="C4753" s="2"/>
      <c r="D4753" s="2"/>
    </row>
    <row r="4754" spans="1:4" ht="12.75" customHeight="1" x14ac:dyDescent="0.2">
      <c r="A4754" s="21"/>
      <c r="B4754" s="3" t="s">
        <v>0</v>
      </c>
      <c r="C4754" s="20" t="s">
        <v>242</v>
      </c>
      <c r="D4754" s="21"/>
    </row>
    <row r="4755" spans="1:4" ht="12.75" customHeight="1" x14ac:dyDescent="0.2">
      <c r="A4755" s="21"/>
      <c r="B4755" s="3" t="s">
        <v>2</v>
      </c>
      <c r="C4755" s="20" t="s">
        <v>3</v>
      </c>
      <c r="D4755" s="21"/>
    </row>
    <row r="4756" spans="1:4" ht="12.75" customHeight="1" x14ac:dyDescent="0.2">
      <c r="A4756" s="21"/>
      <c r="B4756" s="3" t="s">
        <v>4</v>
      </c>
      <c r="C4756" s="20" t="s">
        <v>1304</v>
      </c>
      <c r="D4756" s="21"/>
    </row>
    <row r="4757" spans="1:4" ht="12.75" customHeight="1" x14ac:dyDescent="0.2">
      <c r="A4757" s="21"/>
      <c r="B4757" s="3" t="s">
        <v>6</v>
      </c>
      <c r="C4757" s="20" t="s">
        <v>65</v>
      </c>
      <c r="D4757" s="21"/>
    </row>
    <row r="4758" spans="1:4" ht="12.75" customHeight="1" x14ac:dyDescent="0.2">
      <c r="A4758" s="21"/>
      <c r="B4758" s="3" t="s">
        <v>8</v>
      </c>
      <c r="C4758" s="20" t="s">
        <v>1304</v>
      </c>
      <c r="D4758" s="21"/>
    </row>
    <row r="4759" spans="1:4" ht="12.75" customHeight="1" x14ac:dyDescent="0.2">
      <c r="A4759" s="21"/>
      <c r="B4759" s="3" t="s">
        <v>9</v>
      </c>
      <c r="C4759" s="20" t="s">
        <v>1074</v>
      </c>
      <c r="D4759" s="21"/>
    </row>
    <row r="4760" spans="1:4" ht="12.75" customHeight="1" x14ac:dyDescent="0.2">
      <c r="A4760" s="21"/>
      <c r="B4760" s="3" t="s">
        <v>11</v>
      </c>
      <c r="C4760" s="20" t="s">
        <v>1305</v>
      </c>
      <c r="D4760" s="21"/>
    </row>
    <row r="4761" spans="1:4" ht="12.75" customHeight="1" x14ac:dyDescent="0.2">
      <c r="A4761" s="21"/>
      <c r="B4761" s="3" t="s">
        <v>13</v>
      </c>
      <c r="C4761" s="20" t="s">
        <v>24</v>
      </c>
      <c r="D4761" s="21"/>
    </row>
    <row r="4762" spans="1:4" ht="12.75" customHeight="1" x14ac:dyDescent="0.2">
      <c r="A4762" s="21"/>
      <c r="B4762" s="3" t="s">
        <v>15</v>
      </c>
      <c r="C4762" s="20" t="s">
        <v>24</v>
      </c>
      <c r="D4762" s="21"/>
    </row>
    <row r="4763" spans="1:4" ht="12.75" customHeight="1" x14ac:dyDescent="0.2">
      <c r="A4763" s="21"/>
      <c r="B4763" s="3" t="s">
        <v>16</v>
      </c>
      <c r="C4763" s="20"/>
      <c r="D4763" s="21"/>
    </row>
    <row r="4764" spans="1:4" ht="12.75" customHeight="1" x14ac:dyDescent="0.2">
      <c r="A4764" s="21"/>
      <c r="B4764" s="3" t="s">
        <v>17</v>
      </c>
      <c r="C4764" s="20"/>
      <c r="D4764" s="21"/>
    </row>
    <row r="4765" spans="1:4" ht="12.75" customHeight="1" x14ac:dyDescent="0.2">
      <c r="A4765" s="21"/>
      <c r="B4765" s="20" t="s">
        <v>18</v>
      </c>
      <c r="C4765" s="4" t="s">
        <v>44</v>
      </c>
      <c r="D4765" s="6" t="str">
        <f>HYPERLINK("javascript:void(0)","kith ostromtarack")</f>
        <v>kith ostromtarack</v>
      </c>
    </row>
    <row r="4766" spans="1:4" ht="12.75" customHeight="1" x14ac:dyDescent="0.2">
      <c r="A4766" s="21"/>
      <c r="B4766" s="21"/>
      <c r="C4766" s="4" t="s">
        <v>67</v>
      </c>
      <c r="D4766" s="6" t="str">
        <f>HYPERLINK("javascript:void(0)","mellkantár")</f>
        <v>mellkantár</v>
      </c>
    </row>
    <row r="4767" spans="1:4" ht="12.75" customHeight="1" x14ac:dyDescent="0.2">
      <c r="A4767" s="21"/>
      <c r="B4767" s="21"/>
      <c r="C4767" s="4" t="s">
        <v>56</v>
      </c>
      <c r="D4767" s="6" t="str">
        <f>HYPERLINK("javascript:void(0)","kincsgúla")</f>
        <v>kincsgúla</v>
      </c>
    </row>
    <row r="4768" spans="1:4" ht="12.75" customHeight="1" x14ac:dyDescent="0.2">
      <c r="A4768" s="5"/>
      <c r="B4768" s="2"/>
      <c r="C4768" s="2"/>
      <c r="D4768" s="2"/>
    </row>
    <row r="4769" spans="1:4" ht="12.75" customHeight="1" x14ac:dyDescent="0.2">
      <c r="A4769" s="22" t="str">
        <f>HYPERLINK("javascript:void(0)","centro ostromtarack")</f>
        <v>centro ostromtarack</v>
      </c>
      <c r="B4769" s="21"/>
      <c r="C4769" s="21"/>
      <c r="D4769" s="21"/>
    </row>
    <row r="4770" spans="1:4" ht="12.75" customHeight="1" x14ac:dyDescent="0.2">
      <c r="A4770" s="20"/>
      <c r="B4770" s="2"/>
      <c r="C4770" s="2"/>
      <c r="D4770" s="2"/>
    </row>
    <row r="4771" spans="1:4" ht="12.75" customHeight="1" x14ac:dyDescent="0.2">
      <c r="A4771" s="21"/>
      <c r="B4771" s="3" t="s">
        <v>0</v>
      </c>
      <c r="C4771" s="20" t="s">
        <v>1308</v>
      </c>
      <c r="D4771" s="21"/>
    </row>
    <row r="4772" spans="1:4" ht="12.75" customHeight="1" x14ac:dyDescent="0.2">
      <c r="A4772" s="21"/>
      <c r="B4772" s="3" t="s">
        <v>2</v>
      </c>
      <c r="C4772" s="20" t="s">
        <v>3</v>
      </c>
      <c r="D4772" s="21"/>
    </row>
    <row r="4773" spans="1:4" ht="12.75" customHeight="1" x14ac:dyDescent="0.2">
      <c r="A4773" s="21"/>
      <c r="B4773" s="3" t="s">
        <v>4</v>
      </c>
      <c r="C4773" s="20" t="s">
        <v>1309</v>
      </c>
      <c r="D4773" s="21"/>
    </row>
    <row r="4774" spans="1:4" ht="12.75" customHeight="1" x14ac:dyDescent="0.2">
      <c r="A4774" s="21"/>
      <c r="B4774" s="3" t="s">
        <v>6</v>
      </c>
      <c r="C4774" s="20" t="s">
        <v>128</v>
      </c>
      <c r="D4774" s="21"/>
    </row>
    <row r="4775" spans="1:4" ht="12.75" customHeight="1" x14ac:dyDescent="0.2">
      <c r="A4775" s="21"/>
      <c r="B4775" s="3" t="s">
        <v>8</v>
      </c>
      <c r="C4775" s="20" t="s">
        <v>1309</v>
      </c>
      <c r="D4775" s="21"/>
    </row>
    <row r="4776" spans="1:4" ht="12.75" customHeight="1" x14ac:dyDescent="0.2">
      <c r="A4776" s="21"/>
      <c r="B4776" s="3" t="s">
        <v>9</v>
      </c>
      <c r="C4776" s="20" t="s">
        <v>1310</v>
      </c>
      <c r="D4776" s="21"/>
    </row>
    <row r="4777" spans="1:4" ht="12.75" customHeight="1" x14ac:dyDescent="0.2">
      <c r="A4777" s="21"/>
      <c r="B4777" s="3" t="s">
        <v>11</v>
      </c>
      <c r="C4777" s="20" t="s">
        <v>1059</v>
      </c>
      <c r="D4777" s="21"/>
    </row>
    <row r="4778" spans="1:4" ht="12.75" customHeight="1" x14ac:dyDescent="0.2">
      <c r="A4778" s="21"/>
      <c r="B4778" s="3" t="s">
        <v>13</v>
      </c>
      <c r="C4778" s="20" t="s">
        <v>24</v>
      </c>
      <c r="D4778" s="21"/>
    </row>
    <row r="4779" spans="1:4" ht="12.75" customHeight="1" x14ac:dyDescent="0.2">
      <c r="A4779" s="21"/>
      <c r="B4779" s="3" t="s">
        <v>15</v>
      </c>
      <c r="C4779" s="20" t="s">
        <v>24</v>
      </c>
      <c r="D4779" s="21"/>
    </row>
    <row r="4780" spans="1:4" ht="12.75" customHeight="1" x14ac:dyDescent="0.2">
      <c r="A4780" s="21"/>
      <c r="B4780" s="3" t="s">
        <v>16</v>
      </c>
      <c r="C4780" s="20"/>
      <c r="D4780" s="21"/>
    </row>
    <row r="4781" spans="1:4" ht="12.75" customHeight="1" x14ac:dyDescent="0.2">
      <c r="A4781" s="21"/>
      <c r="B4781" s="3" t="s">
        <v>17</v>
      </c>
      <c r="C4781" s="20"/>
      <c r="D4781" s="21"/>
    </row>
    <row r="4782" spans="1:4" ht="12.75" customHeight="1" x14ac:dyDescent="0.2">
      <c r="A4782" s="21"/>
      <c r="B4782" s="20" t="s">
        <v>18</v>
      </c>
      <c r="C4782" s="4" t="s">
        <v>44</v>
      </c>
      <c r="D4782" s="6" t="str">
        <f>HYPERLINK("javascript:void(0)","centro tűvető")</f>
        <v>centro tűvető</v>
      </c>
    </row>
    <row r="4783" spans="1:4" ht="12.75" customHeight="1" x14ac:dyDescent="0.2">
      <c r="A4783" s="21"/>
      <c r="B4783" s="21"/>
      <c r="C4783" s="4" t="s">
        <v>142</v>
      </c>
      <c r="D4783" s="6" t="str">
        <f>HYPERLINK("javascript:void(0)","pánszarv")</f>
        <v>pánszarv</v>
      </c>
    </row>
    <row r="4784" spans="1:4" ht="12.75" customHeight="1" x14ac:dyDescent="0.2">
      <c r="A4784" s="21"/>
      <c r="B4784" s="21"/>
      <c r="C4784" s="4" t="s">
        <v>139</v>
      </c>
      <c r="D4784" s="6" t="str">
        <f>HYPERLINK("javascript:void(0)","regnum")</f>
        <v>regnum</v>
      </c>
    </row>
    <row r="4785" spans="1:4" ht="12.75" customHeight="1" x14ac:dyDescent="0.2">
      <c r="A4785" s="5"/>
      <c r="B4785" s="2"/>
      <c r="C4785" s="2"/>
      <c r="D4785" s="2"/>
    </row>
    <row r="4786" spans="1:4" ht="12.75" customHeight="1" x14ac:dyDescent="0.2">
      <c r="A4786" s="22" t="str">
        <f>HYPERLINK("javascript:void(0)","centro parittya")</f>
        <v>centro parittya</v>
      </c>
      <c r="B4786" s="21"/>
      <c r="C4786" s="21"/>
      <c r="D4786" s="21"/>
    </row>
    <row r="4787" spans="1:4" ht="12.75" customHeight="1" x14ac:dyDescent="0.2">
      <c r="A4787" s="20"/>
      <c r="B4787" s="2"/>
      <c r="C4787" s="2"/>
      <c r="D4787" s="2"/>
    </row>
    <row r="4788" spans="1:4" ht="12.75" customHeight="1" x14ac:dyDescent="0.2">
      <c r="A4788" s="21"/>
      <c r="B4788" s="3" t="s">
        <v>0</v>
      </c>
      <c r="C4788" s="20" t="s">
        <v>1308</v>
      </c>
      <c r="D4788" s="21"/>
    </row>
    <row r="4789" spans="1:4" ht="12.75" customHeight="1" x14ac:dyDescent="0.2">
      <c r="A4789" s="21"/>
      <c r="B4789" s="3" t="s">
        <v>2</v>
      </c>
      <c r="C4789" s="20" t="s">
        <v>3</v>
      </c>
      <c r="D4789" s="21"/>
    </row>
    <row r="4790" spans="1:4" ht="12.75" customHeight="1" x14ac:dyDescent="0.2">
      <c r="A4790" s="21"/>
      <c r="B4790" s="3" t="s">
        <v>4</v>
      </c>
      <c r="C4790" s="20" t="s">
        <v>1311</v>
      </c>
      <c r="D4790" s="21"/>
    </row>
    <row r="4791" spans="1:4" ht="12.75" customHeight="1" x14ac:dyDescent="0.2">
      <c r="A4791" s="21"/>
      <c r="B4791" s="3" t="s">
        <v>6</v>
      </c>
      <c r="C4791" s="20" t="s">
        <v>65</v>
      </c>
      <c r="D4791" s="21"/>
    </row>
    <row r="4792" spans="1:4" ht="12.75" customHeight="1" x14ac:dyDescent="0.2">
      <c r="A4792" s="21"/>
      <c r="B4792" s="3" t="s">
        <v>8</v>
      </c>
      <c r="C4792" s="20" t="s">
        <v>1311</v>
      </c>
      <c r="D4792" s="21"/>
    </row>
    <row r="4793" spans="1:4" ht="12.75" customHeight="1" x14ac:dyDescent="0.2">
      <c r="A4793" s="21"/>
      <c r="B4793" s="3" t="s">
        <v>9</v>
      </c>
      <c r="C4793" s="20" t="s">
        <v>845</v>
      </c>
      <c r="D4793" s="21"/>
    </row>
    <row r="4794" spans="1:4" ht="12.75" customHeight="1" x14ac:dyDescent="0.2">
      <c r="A4794" s="21"/>
      <c r="B4794" s="3" t="s">
        <v>11</v>
      </c>
      <c r="C4794" s="20" t="s">
        <v>1312</v>
      </c>
      <c r="D4794" s="21"/>
    </row>
    <row r="4795" spans="1:4" ht="12.75" customHeight="1" x14ac:dyDescent="0.2">
      <c r="A4795" s="21"/>
      <c r="B4795" s="3" t="s">
        <v>13</v>
      </c>
      <c r="C4795" s="20" t="s">
        <v>24</v>
      </c>
      <c r="D4795" s="21"/>
    </row>
    <row r="4796" spans="1:4" ht="12.75" customHeight="1" x14ac:dyDescent="0.2">
      <c r="A4796" s="21"/>
      <c r="B4796" s="3" t="s">
        <v>15</v>
      </c>
      <c r="C4796" s="20" t="s">
        <v>24</v>
      </c>
      <c r="D4796" s="21"/>
    </row>
    <row r="4797" spans="1:4" ht="12.75" customHeight="1" x14ac:dyDescent="0.2">
      <c r="A4797" s="21"/>
      <c r="B4797" s="3" t="s">
        <v>16</v>
      </c>
      <c r="C4797" s="20"/>
      <c r="D4797" s="21"/>
    </row>
    <row r="4798" spans="1:4" ht="12.75" customHeight="1" x14ac:dyDescent="0.2">
      <c r="A4798" s="21"/>
      <c r="B4798" s="3" t="s">
        <v>17</v>
      </c>
      <c r="C4798" s="20"/>
      <c r="D4798" s="21"/>
    </row>
    <row r="4799" spans="1:4" ht="12.75" customHeight="1" x14ac:dyDescent="0.2">
      <c r="A4799" s="21"/>
      <c r="B4799" s="20" t="s">
        <v>18</v>
      </c>
      <c r="C4799" s="4" t="s">
        <v>44</v>
      </c>
      <c r="D4799" s="6" t="str">
        <f>HYPERLINK("javascript:void(0)","centro ostromtarack")</f>
        <v>centro ostromtarack</v>
      </c>
    </row>
    <row r="4800" spans="1:4" ht="12.75" customHeight="1" x14ac:dyDescent="0.2">
      <c r="A4800" s="21"/>
      <c r="B4800" s="21"/>
      <c r="C4800" s="4" t="s">
        <v>142</v>
      </c>
      <c r="D4800" s="6" t="str">
        <f>HYPERLINK("javascript:void(0)","rémarc")</f>
        <v>rémarc</v>
      </c>
    </row>
    <row r="4801" spans="1:4" ht="12.75" customHeight="1" x14ac:dyDescent="0.2">
      <c r="A4801" s="21"/>
      <c r="B4801" s="21"/>
      <c r="C4801" s="4" t="s">
        <v>56</v>
      </c>
      <c r="D4801" s="6" t="str">
        <f>HYPERLINK("javascript:void(0)","kincsgúla")</f>
        <v>kincsgúla</v>
      </c>
    </row>
    <row r="4802" spans="1:4" ht="12.75" customHeight="1" x14ac:dyDescent="0.2">
      <c r="A4802" s="5"/>
      <c r="B4802" s="2"/>
      <c r="C4802" s="2"/>
      <c r="D4802" s="2"/>
    </row>
    <row r="4803" spans="1:4" ht="12.75" customHeight="1" x14ac:dyDescent="0.2">
      <c r="A4803" s="22" t="str">
        <f>HYPERLINK("javascript:void(0)","hiper ostromtarack")</f>
        <v>hiper ostromtarack</v>
      </c>
      <c r="B4803" s="21"/>
      <c r="C4803" s="21"/>
      <c r="D4803" s="21"/>
    </row>
    <row r="4804" spans="1:4" ht="12.75" customHeight="1" x14ac:dyDescent="0.2">
      <c r="A4804" s="20"/>
      <c r="B4804" s="2"/>
      <c r="C4804" s="2"/>
      <c r="D4804" s="2"/>
    </row>
    <row r="4805" spans="1:4" ht="12.75" customHeight="1" x14ac:dyDescent="0.2">
      <c r="A4805" s="21"/>
      <c r="B4805" s="3" t="s">
        <v>0</v>
      </c>
      <c r="C4805" s="20" t="s">
        <v>361</v>
      </c>
      <c r="D4805" s="21"/>
    </row>
    <row r="4806" spans="1:4" ht="12.75" customHeight="1" x14ac:dyDescent="0.2">
      <c r="A4806" s="21"/>
      <c r="B4806" s="3" t="s">
        <v>2</v>
      </c>
      <c r="C4806" s="20" t="s">
        <v>3</v>
      </c>
      <c r="D4806" s="21"/>
    </row>
    <row r="4807" spans="1:4" ht="12.75" customHeight="1" x14ac:dyDescent="0.2">
      <c r="A4807" s="21"/>
      <c r="B4807" s="3" t="s">
        <v>4</v>
      </c>
      <c r="C4807" s="20" t="s">
        <v>1314</v>
      </c>
      <c r="D4807" s="21"/>
    </row>
    <row r="4808" spans="1:4" ht="12.75" customHeight="1" x14ac:dyDescent="0.2">
      <c r="A4808" s="21"/>
      <c r="B4808" s="3" t="s">
        <v>6</v>
      </c>
      <c r="C4808" s="20" t="s">
        <v>32</v>
      </c>
      <c r="D4808" s="21"/>
    </row>
    <row r="4809" spans="1:4" ht="12.75" customHeight="1" x14ac:dyDescent="0.2">
      <c r="A4809" s="21"/>
      <c r="B4809" s="3" t="s">
        <v>8</v>
      </c>
      <c r="C4809" s="20" t="s">
        <v>1314</v>
      </c>
      <c r="D4809" s="21"/>
    </row>
    <row r="4810" spans="1:4" ht="12.75" customHeight="1" x14ac:dyDescent="0.2">
      <c r="A4810" s="21"/>
      <c r="B4810" s="3" t="s">
        <v>9</v>
      </c>
      <c r="C4810" s="20" t="s">
        <v>343</v>
      </c>
      <c r="D4810" s="21"/>
    </row>
    <row r="4811" spans="1:4" ht="12.75" customHeight="1" x14ac:dyDescent="0.2">
      <c r="A4811" s="21"/>
      <c r="B4811" s="3" t="s">
        <v>11</v>
      </c>
      <c r="C4811" s="20" t="s">
        <v>1315</v>
      </c>
      <c r="D4811" s="21"/>
    </row>
    <row r="4812" spans="1:4" ht="12.75" customHeight="1" x14ac:dyDescent="0.2">
      <c r="A4812" s="21"/>
      <c r="B4812" s="3" t="s">
        <v>13</v>
      </c>
      <c r="C4812" s="20" t="s">
        <v>24</v>
      </c>
      <c r="D4812" s="21"/>
    </row>
    <row r="4813" spans="1:4" ht="12.75" customHeight="1" x14ac:dyDescent="0.2">
      <c r="A4813" s="21"/>
      <c r="B4813" s="3" t="s">
        <v>15</v>
      </c>
      <c r="C4813" s="20" t="s">
        <v>24</v>
      </c>
      <c r="D4813" s="21"/>
    </row>
    <row r="4814" spans="1:4" ht="12.75" customHeight="1" x14ac:dyDescent="0.2">
      <c r="A4814" s="21"/>
      <c r="B4814" s="3" t="s">
        <v>16</v>
      </c>
      <c r="C4814" s="20"/>
      <c r="D4814" s="21"/>
    </row>
    <row r="4815" spans="1:4" ht="12.75" customHeight="1" x14ac:dyDescent="0.2">
      <c r="A4815" s="21"/>
      <c r="B4815" s="3" t="s">
        <v>17</v>
      </c>
      <c r="C4815" s="20"/>
      <c r="D4815" s="21"/>
    </row>
    <row r="4816" spans="1:4" ht="12.75" customHeight="1" x14ac:dyDescent="0.2">
      <c r="A4816" s="21"/>
      <c r="B4816" s="20" t="s">
        <v>18</v>
      </c>
      <c r="C4816" s="4" t="s">
        <v>44</v>
      </c>
      <c r="D4816" s="6" t="str">
        <f>HYPERLINK("javascript:void(0)","hiper tűvető")</f>
        <v>hiper tűvető</v>
      </c>
    </row>
    <row r="4817" spans="1:4" ht="12.75" customHeight="1" x14ac:dyDescent="0.2">
      <c r="A4817" s="21"/>
      <c r="B4817" s="21"/>
      <c r="C4817" s="4" t="s">
        <v>142</v>
      </c>
      <c r="D4817" s="6" t="str">
        <f>HYPERLINK("javascript:void(0)","haszontalanság")</f>
        <v>haszontalanság</v>
      </c>
    </row>
    <row r="4818" spans="1:4" ht="12.75" customHeight="1" x14ac:dyDescent="0.2">
      <c r="A4818" s="21"/>
      <c r="B4818" s="21"/>
      <c r="C4818" s="4" t="s">
        <v>290</v>
      </c>
      <c r="D4818" s="6" t="str">
        <f>HYPERLINK("javascript:void(0)","rémkép")</f>
        <v>rémkép</v>
      </c>
    </row>
    <row r="4819" spans="1:4" ht="12.75" customHeight="1" x14ac:dyDescent="0.2">
      <c r="A4819" s="5"/>
      <c r="B4819" s="2"/>
      <c r="C4819" s="2"/>
      <c r="D4819" s="2"/>
    </row>
    <row r="4820" spans="1:4" ht="12.75" customHeight="1" x14ac:dyDescent="0.2">
      <c r="A4820" s="22" t="str">
        <f>HYPERLINK("javascript:void(0)","hiper parittya")</f>
        <v>hiper parittya</v>
      </c>
      <c r="B4820" s="21"/>
      <c r="C4820" s="21"/>
      <c r="D4820" s="21"/>
    </row>
    <row r="4821" spans="1:4" ht="12.75" customHeight="1" x14ac:dyDescent="0.2">
      <c r="A4821" s="20"/>
      <c r="B4821" s="2"/>
      <c r="C4821" s="2"/>
      <c r="D4821" s="2"/>
    </row>
    <row r="4822" spans="1:4" ht="12.75" customHeight="1" x14ac:dyDescent="0.2">
      <c r="A4822" s="21"/>
      <c r="B4822" s="3" t="s">
        <v>0</v>
      </c>
      <c r="C4822" s="20" t="s">
        <v>361</v>
      </c>
      <c r="D4822" s="21"/>
    </row>
    <row r="4823" spans="1:4" ht="12.75" customHeight="1" x14ac:dyDescent="0.2">
      <c r="A4823" s="21"/>
      <c r="B4823" s="3" t="s">
        <v>2</v>
      </c>
      <c r="C4823" s="20" t="s">
        <v>3</v>
      </c>
      <c r="D4823" s="21"/>
    </row>
    <row r="4824" spans="1:4" ht="12.75" customHeight="1" x14ac:dyDescent="0.2">
      <c r="A4824" s="21"/>
      <c r="B4824" s="3" t="s">
        <v>4</v>
      </c>
      <c r="C4824" s="20" t="s">
        <v>1318</v>
      </c>
      <c r="D4824" s="21"/>
    </row>
    <row r="4825" spans="1:4" ht="12.75" customHeight="1" x14ac:dyDescent="0.2">
      <c r="A4825" s="21"/>
      <c r="B4825" s="3" t="s">
        <v>6</v>
      </c>
      <c r="C4825" s="20" t="s">
        <v>65</v>
      </c>
      <c r="D4825" s="21"/>
    </row>
    <row r="4826" spans="1:4" ht="12.75" customHeight="1" x14ac:dyDescent="0.2">
      <c r="A4826" s="21"/>
      <c r="B4826" s="3" t="s">
        <v>8</v>
      </c>
      <c r="C4826" s="20" t="s">
        <v>1318</v>
      </c>
      <c r="D4826" s="21"/>
    </row>
    <row r="4827" spans="1:4" ht="12.75" customHeight="1" x14ac:dyDescent="0.2">
      <c r="A4827" s="21"/>
      <c r="B4827" s="3" t="s">
        <v>9</v>
      </c>
      <c r="C4827" s="20" t="s">
        <v>1020</v>
      </c>
      <c r="D4827" s="21"/>
    </row>
    <row r="4828" spans="1:4" ht="12.75" customHeight="1" x14ac:dyDescent="0.2">
      <c r="A4828" s="21"/>
      <c r="B4828" s="3" t="s">
        <v>11</v>
      </c>
      <c r="C4828" s="20" t="s">
        <v>1319</v>
      </c>
      <c r="D4828" s="21"/>
    </row>
    <row r="4829" spans="1:4" ht="12.75" customHeight="1" x14ac:dyDescent="0.2">
      <c r="A4829" s="21"/>
      <c r="B4829" s="3" t="s">
        <v>13</v>
      </c>
      <c r="C4829" s="20" t="s">
        <v>24</v>
      </c>
      <c r="D4829" s="21"/>
    </row>
    <row r="4830" spans="1:4" ht="12.75" customHeight="1" x14ac:dyDescent="0.2">
      <c r="A4830" s="21"/>
      <c r="B4830" s="3" t="s">
        <v>15</v>
      </c>
      <c r="C4830" s="20" t="s">
        <v>24</v>
      </c>
      <c r="D4830" s="21"/>
    </row>
    <row r="4831" spans="1:4" ht="12.75" customHeight="1" x14ac:dyDescent="0.2">
      <c r="A4831" s="21"/>
      <c r="B4831" s="3" t="s">
        <v>16</v>
      </c>
      <c r="C4831" s="20"/>
      <c r="D4831" s="21"/>
    </row>
    <row r="4832" spans="1:4" ht="12.75" customHeight="1" x14ac:dyDescent="0.2">
      <c r="A4832" s="21"/>
      <c r="B4832" s="3" t="s">
        <v>17</v>
      </c>
      <c r="C4832" s="20"/>
      <c r="D4832" s="21"/>
    </row>
    <row r="4833" spans="1:4" ht="12.75" customHeight="1" x14ac:dyDescent="0.2">
      <c r="A4833" s="21"/>
      <c r="B4833" s="20" t="s">
        <v>18</v>
      </c>
      <c r="C4833" s="4" t="s">
        <v>44</v>
      </c>
      <c r="D4833" s="6" t="str">
        <f>HYPERLINK("javascript:void(0)","hiper ostromtarack")</f>
        <v>hiper ostromtarack</v>
      </c>
    </row>
    <row r="4834" spans="1:4" ht="12.75" customHeight="1" x14ac:dyDescent="0.2">
      <c r="A4834" s="21"/>
      <c r="B4834" s="21"/>
      <c r="C4834" s="4" t="s">
        <v>232</v>
      </c>
      <c r="D4834" s="6" t="str">
        <f>HYPERLINK("javascript:void(0)","fésütő")</f>
        <v>fésütő</v>
      </c>
    </row>
    <row r="4835" spans="1:4" ht="12.75" customHeight="1" x14ac:dyDescent="0.2">
      <c r="A4835" s="21"/>
      <c r="B4835" s="21"/>
      <c r="C4835" s="4" t="s">
        <v>56</v>
      </c>
      <c r="D4835" s="6" t="str">
        <f>HYPERLINK("javascript:void(0)","kincsgúla")</f>
        <v>kincsgúla</v>
      </c>
    </row>
    <row r="4836" spans="1:4" ht="12.75" customHeight="1" x14ac:dyDescent="0.2">
      <c r="A4836" s="5"/>
      <c r="B4836" s="2"/>
      <c r="C4836" s="2"/>
      <c r="D4836" s="2"/>
    </row>
    <row r="4837" spans="1:4" ht="12.75" customHeight="1" x14ac:dyDescent="0.2">
      <c r="A4837" s="22" t="str">
        <f>HYPERLINK("javascript:void(0)","hidracél ostromtarack")</f>
        <v>hidracél ostromtarack</v>
      </c>
      <c r="B4837" s="21"/>
      <c r="C4837" s="21"/>
      <c r="D4837" s="21"/>
    </row>
    <row r="4838" spans="1:4" ht="12.75" customHeight="1" x14ac:dyDescent="0.2">
      <c r="A4838" s="20"/>
      <c r="B4838" s="2"/>
      <c r="C4838" s="2"/>
      <c r="D4838" s="2"/>
    </row>
    <row r="4839" spans="1:4" ht="12.75" customHeight="1" x14ac:dyDescent="0.2">
      <c r="A4839" s="21"/>
      <c r="B4839" s="3" t="s">
        <v>0</v>
      </c>
      <c r="C4839" s="20" t="s">
        <v>1322</v>
      </c>
      <c r="D4839" s="21"/>
    </row>
    <row r="4840" spans="1:4" ht="12.75" customHeight="1" x14ac:dyDescent="0.2">
      <c r="A4840" s="21"/>
      <c r="B4840" s="3" t="s">
        <v>2</v>
      </c>
      <c r="C4840" s="20" t="s">
        <v>3</v>
      </c>
      <c r="D4840" s="21"/>
    </row>
    <row r="4841" spans="1:4" ht="12.75" customHeight="1" x14ac:dyDescent="0.2">
      <c r="A4841" s="21"/>
      <c r="B4841" s="3" t="s">
        <v>4</v>
      </c>
      <c r="C4841" s="20" t="s">
        <v>1323</v>
      </c>
      <c r="D4841" s="21"/>
    </row>
    <row r="4842" spans="1:4" ht="12.75" customHeight="1" x14ac:dyDescent="0.2">
      <c r="A4842" s="21"/>
      <c r="B4842" s="3" t="s">
        <v>6</v>
      </c>
      <c r="C4842" s="20" t="s">
        <v>90</v>
      </c>
      <c r="D4842" s="21"/>
    </row>
    <row r="4843" spans="1:4" ht="12.75" customHeight="1" x14ac:dyDescent="0.2">
      <c r="A4843" s="21"/>
      <c r="B4843" s="3" t="s">
        <v>8</v>
      </c>
      <c r="C4843" s="20" t="s">
        <v>1323</v>
      </c>
      <c r="D4843" s="21"/>
    </row>
    <row r="4844" spans="1:4" ht="12.75" customHeight="1" x14ac:dyDescent="0.2">
      <c r="A4844" s="21"/>
      <c r="B4844" s="3" t="s">
        <v>9</v>
      </c>
      <c r="C4844" s="20" t="s">
        <v>1324</v>
      </c>
      <c r="D4844" s="21"/>
    </row>
    <row r="4845" spans="1:4" ht="12.75" customHeight="1" x14ac:dyDescent="0.2">
      <c r="A4845" s="21"/>
      <c r="B4845" s="3" t="s">
        <v>11</v>
      </c>
      <c r="C4845" s="20" t="s">
        <v>1066</v>
      </c>
      <c r="D4845" s="21"/>
    </row>
    <row r="4846" spans="1:4" ht="12.75" customHeight="1" x14ac:dyDescent="0.2">
      <c r="A4846" s="21"/>
      <c r="B4846" s="3" t="s">
        <v>13</v>
      </c>
      <c r="C4846" s="20" t="s">
        <v>24</v>
      </c>
      <c r="D4846" s="21"/>
    </row>
    <row r="4847" spans="1:4" ht="12.75" customHeight="1" x14ac:dyDescent="0.2">
      <c r="A4847" s="21"/>
      <c r="B4847" s="3" t="s">
        <v>15</v>
      </c>
      <c r="C4847" s="20" t="s">
        <v>24</v>
      </c>
      <c r="D4847" s="21"/>
    </row>
    <row r="4848" spans="1:4" ht="12.75" customHeight="1" x14ac:dyDescent="0.2">
      <c r="A4848" s="21"/>
      <c r="B4848" s="3" t="s">
        <v>16</v>
      </c>
      <c r="C4848" s="20"/>
      <c r="D4848" s="21"/>
    </row>
    <row r="4849" spans="1:4" ht="12.75" customHeight="1" x14ac:dyDescent="0.2">
      <c r="A4849" s="21"/>
      <c r="B4849" s="3" t="s">
        <v>17</v>
      </c>
      <c r="C4849" s="20"/>
      <c r="D4849" s="21"/>
    </row>
    <row r="4850" spans="1:4" ht="12.75" customHeight="1" x14ac:dyDescent="0.2">
      <c r="A4850" s="21"/>
      <c r="B4850" s="20" t="s">
        <v>18</v>
      </c>
      <c r="C4850" s="4" t="s">
        <v>44</v>
      </c>
      <c r="D4850" s="6" t="str">
        <f>HYPERLINK("javascript:void(0)","hidracél tűvető")</f>
        <v>hidracél tűvető</v>
      </c>
    </row>
    <row r="4851" spans="1:4" ht="12.75" customHeight="1" x14ac:dyDescent="0.2">
      <c r="A4851" s="21"/>
      <c r="B4851" s="21"/>
      <c r="C4851" s="4" t="s">
        <v>232</v>
      </c>
      <c r="D4851" s="6" t="str">
        <f>HYPERLINK("javascript:void(0)","skalp")</f>
        <v>skalp</v>
      </c>
    </row>
    <row r="4852" spans="1:4" ht="12.75" customHeight="1" x14ac:dyDescent="0.2">
      <c r="A4852" s="21"/>
      <c r="B4852" s="21"/>
      <c r="C4852" s="4" t="s">
        <v>290</v>
      </c>
      <c r="D4852" s="6" t="str">
        <f>HYPERLINK("javascript:void(0)","regnum")</f>
        <v>regnum</v>
      </c>
    </row>
    <row r="4853" spans="1:4" ht="12.75" customHeight="1" x14ac:dyDescent="0.2">
      <c r="A4853" s="5"/>
      <c r="B4853" s="2"/>
      <c r="C4853" s="2"/>
      <c r="D4853" s="2"/>
    </row>
    <row r="4854" spans="1:4" ht="12.75" customHeight="1" x14ac:dyDescent="0.2">
      <c r="A4854" s="22" t="str">
        <f>HYPERLINK("javascript:void(0)","hidracél parittya")</f>
        <v>hidracél parittya</v>
      </c>
      <c r="B4854" s="21"/>
      <c r="C4854" s="21"/>
      <c r="D4854" s="21"/>
    </row>
    <row r="4855" spans="1:4" ht="12.75" customHeight="1" x14ac:dyDescent="0.2">
      <c r="A4855" s="20"/>
      <c r="B4855" s="2"/>
      <c r="C4855" s="2"/>
      <c r="D4855" s="2"/>
    </row>
    <row r="4856" spans="1:4" ht="12.75" customHeight="1" x14ac:dyDescent="0.2">
      <c r="A4856" s="21"/>
      <c r="B4856" s="3" t="s">
        <v>0</v>
      </c>
      <c r="C4856" s="20" t="s">
        <v>1322</v>
      </c>
      <c r="D4856" s="21"/>
    </row>
    <row r="4857" spans="1:4" ht="12.75" customHeight="1" x14ac:dyDescent="0.2">
      <c r="A4857" s="21"/>
      <c r="B4857" s="3" t="s">
        <v>2</v>
      </c>
      <c r="C4857" s="20" t="s">
        <v>3</v>
      </c>
      <c r="D4857" s="21"/>
    </row>
    <row r="4858" spans="1:4" ht="12.75" customHeight="1" x14ac:dyDescent="0.2">
      <c r="A4858" s="21"/>
      <c r="B4858" s="3" t="s">
        <v>4</v>
      </c>
      <c r="C4858" s="20" t="s">
        <v>1328</v>
      </c>
      <c r="D4858" s="21"/>
    </row>
    <row r="4859" spans="1:4" ht="12.75" customHeight="1" x14ac:dyDescent="0.2">
      <c r="A4859" s="21"/>
      <c r="B4859" s="3" t="s">
        <v>6</v>
      </c>
      <c r="C4859" s="20" t="s">
        <v>65</v>
      </c>
      <c r="D4859" s="21"/>
    </row>
    <row r="4860" spans="1:4" ht="12.75" customHeight="1" x14ac:dyDescent="0.2">
      <c r="A4860" s="21"/>
      <c r="B4860" s="3" t="s">
        <v>8</v>
      </c>
      <c r="C4860" s="20" t="s">
        <v>1328</v>
      </c>
      <c r="D4860" s="21"/>
    </row>
    <row r="4861" spans="1:4" ht="12.75" customHeight="1" x14ac:dyDescent="0.2">
      <c r="A4861" s="21"/>
      <c r="B4861" s="3" t="s">
        <v>9</v>
      </c>
      <c r="C4861" s="20" t="s">
        <v>1020</v>
      </c>
      <c r="D4861" s="21"/>
    </row>
    <row r="4862" spans="1:4" ht="12.75" customHeight="1" x14ac:dyDescent="0.2">
      <c r="A4862" s="21"/>
      <c r="B4862" s="3" t="s">
        <v>11</v>
      </c>
      <c r="C4862" s="20" t="s">
        <v>1329</v>
      </c>
      <c r="D4862" s="21"/>
    </row>
    <row r="4863" spans="1:4" ht="12.75" customHeight="1" x14ac:dyDescent="0.2">
      <c r="A4863" s="21"/>
      <c r="B4863" s="3" t="s">
        <v>13</v>
      </c>
      <c r="C4863" s="20" t="s">
        <v>24</v>
      </c>
      <c r="D4863" s="21"/>
    </row>
    <row r="4864" spans="1:4" ht="12.75" customHeight="1" x14ac:dyDescent="0.2">
      <c r="A4864" s="21"/>
      <c r="B4864" s="3" t="s">
        <v>15</v>
      </c>
      <c r="C4864" s="20" t="s">
        <v>24</v>
      </c>
      <c r="D4864" s="21"/>
    </row>
    <row r="4865" spans="1:4" ht="12.75" customHeight="1" x14ac:dyDescent="0.2">
      <c r="A4865" s="21"/>
      <c r="B4865" s="3" t="s">
        <v>16</v>
      </c>
      <c r="C4865" s="20"/>
      <c r="D4865" s="21"/>
    </row>
    <row r="4866" spans="1:4" ht="12.75" customHeight="1" x14ac:dyDescent="0.2">
      <c r="A4866" s="21"/>
      <c r="B4866" s="3" t="s">
        <v>17</v>
      </c>
      <c r="C4866" s="20"/>
      <c r="D4866" s="21"/>
    </row>
    <row r="4867" spans="1:4" ht="25.5" customHeight="1" x14ac:dyDescent="0.2">
      <c r="A4867" s="21"/>
      <c r="B4867" s="20" t="s">
        <v>18</v>
      </c>
      <c r="C4867" s="4" t="s">
        <v>44</v>
      </c>
      <c r="D4867" s="6" t="str">
        <f>HYPERLINK("javascript:void(0)","hidracél ostromtarack")</f>
        <v>hidracél ostromtarack</v>
      </c>
    </row>
    <row r="4868" spans="1:4" ht="12.75" customHeight="1" x14ac:dyDescent="0.2">
      <c r="A4868" s="21"/>
      <c r="B4868" s="21"/>
      <c r="C4868" s="4" t="s">
        <v>77</v>
      </c>
      <c r="D4868" s="6" t="str">
        <f>HYPERLINK("javascript:void(0)","lepény")</f>
        <v>lepény</v>
      </c>
    </row>
    <row r="4869" spans="1:4" ht="12.75" customHeight="1" x14ac:dyDescent="0.2">
      <c r="A4869" s="21"/>
      <c r="B4869" s="21"/>
      <c r="C4869" s="4" t="s">
        <v>56</v>
      </c>
      <c r="D4869" s="6" t="str">
        <f>HYPERLINK("javascript:void(0)","kincsgúla")</f>
        <v>kincsgúla</v>
      </c>
    </row>
    <row r="4870" spans="1:4" ht="12.75" customHeight="1" x14ac:dyDescent="0.2">
      <c r="A4870" s="5"/>
      <c r="B4870" s="2"/>
      <c r="C4870" s="2"/>
      <c r="D4870" s="2"/>
    </row>
    <row r="4871" spans="1:4" ht="12.75" customHeight="1" x14ac:dyDescent="0.2">
      <c r="A4871" s="22" t="str">
        <f>HYPERLINK("javascript:void(0)","démonacél ostromtarack")</f>
        <v>démonacél ostromtarack</v>
      </c>
      <c r="B4871" s="21"/>
      <c r="C4871" s="21"/>
      <c r="D4871" s="21"/>
    </row>
    <row r="4872" spans="1:4" ht="12.75" customHeight="1" x14ac:dyDescent="0.2">
      <c r="A4872" s="20"/>
      <c r="B4872" s="2"/>
      <c r="C4872" s="2"/>
      <c r="D4872" s="2"/>
    </row>
    <row r="4873" spans="1:4" ht="12.75" customHeight="1" x14ac:dyDescent="0.2">
      <c r="A4873" s="21"/>
      <c r="B4873" s="3" t="s">
        <v>0</v>
      </c>
      <c r="C4873" s="20" t="s">
        <v>371</v>
      </c>
      <c r="D4873" s="21"/>
    </row>
    <row r="4874" spans="1:4" ht="12.75" customHeight="1" x14ac:dyDescent="0.2">
      <c r="A4874" s="21"/>
      <c r="B4874" s="3" t="s">
        <v>2</v>
      </c>
      <c r="C4874" s="20" t="s">
        <v>3</v>
      </c>
      <c r="D4874" s="21"/>
    </row>
    <row r="4875" spans="1:4" ht="12.75" customHeight="1" x14ac:dyDescent="0.2">
      <c r="A4875" s="21"/>
      <c r="B4875" s="3" t="s">
        <v>4</v>
      </c>
      <c r="C4875" s="20" t="s">
        <v>1332</v>
      </c>
      <c r="D4875" s="21"/>
    </row>
    <row r="4876" spans="1:4" ht="12.75" customHeight="1" x14ac:dyDescent="0.2">
      <c r="A4876" s="21"/>
      <c r="B4876" s="3" t="s">
        <v>6</v>
      </c>
      <c r="C4876" s="20" t="s">
        <v>118</v>
      </c>
      <c r="D4876" s="21"/>
    </row>
    <row r="4877" spans="1:4" ht="12.75" customHeight="1" x14ac:dyDescent="0.2">
      <c r="A4877" s="21"/>
      <c r="B4877" s="3" t="s">
        <v>8</v>
      </c>
      <c r="C4877" s="20" t="s">
        <v>1332</v>
      </c>
      <c r="D4877" s="21"/>
    </row>
    <row r="4878" spans="1:4" ht="12.75" customHeight="1" x14ac:dyDescent="0.2">
      <c r="A4878" s="21"/>
      <c r="B4878" s="3" t="s">
        <v>9</v>
      </c>
      <c r="C4878" s="20" t="s">
        <v>1333</v>
      </c>
      <c r="D4878" s="21"/>
    </row>
    <row r="4879" spans="1:4" ht="12.75" customHeight="1" x14ac:dyDescent="0.2">
      <c r="A4879" s="21"/>
      <c r="B4879" s="3" t="s">
        <v>11</v>
      </c>
      <c r="C4879" s="20" t="s">
        <v>1334</v>
      </c>
      <c r="D4879" s="21"/>
    </row>
    <row r="4880" spans="1:4" ht="12.75" customHeight="1" x14ac:dyDescent="0.2">
      <c r="A4880" s="21"/>
      <c r="B4880" s="3" t="s">
        <v>13</v>
      </c>
      <c r="C4880" s="20" t="s">
        <v>24</v>
      </c>
      <c r="D4880" s="21"/>
    </row>
    <row r="4881" spans="1:4" ht="12.75" customHeight="1" x14ac:dyDescent="0.2">
      <c r="A4881" s="21"/>
      <c r="B4881" s="3" t="s">
        <v>15</v>
      </c>
      <c r="C4881" s="20" t="s">
        <v>24</v>
      </c>
      <c r="D4881" s="21"/>
    </row>
    <row r="4882" spans="1:4" ht="12.75" customHeight="1" x14ac:dyDescent="0.2">
      <c r="A4882" s="21"/>
      <c r="B4882" s="3" t="s">
        <v>16</v>
      </c>
      <c r="C4882" s="20"/>
      <c r="D4882" s="21"/>
    </row>
    <row r="4883" spans="1:4" ht="12.75" customHeight="1" x14ac:dyDescent="0.2">
      <c r="A4883" s="21"/>
      <c r="B4883" s="3" t="s">
        <v>17</v>
      </c>
      <c r="C4883" s="20"/>
      <c r="D4883" s="21"/>
    </row>
    <row r="4884" spans="1:4" ht="12.75" customHeight="1" x14ac:dyDescent="0.2">
      <c r="A4884" s="21"/>
      <c r="B4884" s="20" t="s">
        <v>18</v>
      </c>
      <c r="C4884" s="4" t="s">
        <v>44</v>
      </c>
      <c r="D4884" s="6" t="str">
        <f>HYPERLINK("javascript:void(0)","démonacél tűvető")</f>
        <v>démonacél tűvető</v>
      </c>
    </row>
    <row r="4885" spans="1:4" ht="12.75" customHeight="1" x14ac:dyDescent="0.2">
      <c r="A4885" s="21"/>
      <c r="B4885" s="21"/>
      <c r="C4885" s="4" t="s">
        <v>142</v>
      </c>
      <c r="D4885" s="6" t="str">
        <f>HYPERLINK("javascript:void(0)","léghajóvászon")</f>
        <v>léghajóvászon</v>
      </c>
    </row>
    <row r="4886" spans="1:4" ht="12.75" customHeight="1" x14ac:dyDescent="0.2">
      <c r="A4886" s="21"/>
      <c r="B4886" s="21"/>
      <c r="C4886" s="4" t="s">
        <v>772</v>
      </c>
      <c r="D4886" s="6" t="str">
        <f>HYPERLINK("javascript:void(0)","regnum")</f>
        <v>regnum</v>
      </c>
    </row>
    <row r="4887" spans="1:4" ht="12.75" customHeight="1" x14ac:dyDescent="0.2">
      <c r="A4887" s="5"/>
      <c r="B4887" s="2"/>
      <c r="C4887" s="2"/>
      <c r="D4887" s="2"/>
    </row>
    <row r="4888" spans="1:4" ht="12.75" customHeight="1" x14ac:dyDescent="0.2">
      <c r="A4888" s="22" t="str">
        <f>HYPERLINK("javascript:void(0)","démonacél parittya")</f>
        <v>démonacél parittya</v>
      </c>
      <c r="B4888" s="21"/>
      <c r="C4888" s="21"/>
      <c r="D4888" s="21"/>
    </row>
    <row r="4889" spans="1:4" ht="12.75" customHeight="1" x14ac:dyDescent="0.2">
      <c r="A4889" s="20"/>
      <c r="B4889" s="2"/>
      <c r="C4889" s="2"/>
      <c r="D4889" s="2"/>
    </row>
    <row r="4890" spans="1:4" ht="12.75" customHeight="1" x14ac:dyDescent="0.2">
      <c r="A4890" s="21"/>
      <c r="B4890" s="3" t="s">
        <v>0</v>
      </c>
      <c r="C4890" s="20" t="s">
        <v>371</v>
      </c>
      <c r="D4890" s="21"/>
    </row>
    <row r="4891" spans="1:4" ht="12.75" customHeight="1" x14ac:dyDescent="0.2">
      <c r="A4891" s="21"/>
      <c r="B4891" s="3" t="s">
        <v>2</v>
      </c>
      <c r="C4891" s="20" t="s">
        <v>3</v>
      </c>
      <c r="D4891" s="21"/>
    </row>
    <row r="4892" spans="1:4" ht="12.75" customHeight="1" x14ac:dyDescent="0.2">
      <c r="A4892" s="21"/>
      <c r="B4892" s="3" t="s">
        <v>4</v>
      </c>
      <c r="C4892" s="20" t="s">
        <v>1337</v>
      </c>
      <c r="D4892" s="21"/>
    </row>
    <row r="4893" spans="1:4" ht="12.75" customHeight="1" x14ac:dyDescent="0.2">
      <c r="A4893" s="21"/>
      <c r="B4893" s="3" t="s">
        <v>6</v>
      </c>
      <c r="C4893" s="20" t="s">
        <v>65</v>
      </c>
      <c r="D4893" s="21"/>
    </row>
    <row r="4894" spans="1:4" ht="12.75" customHeight="1" x14ac:dyDescent="0.2">
      <c r="A4894" s="21"/>
      <c r="B4894" s="3" t="s">
        <v>8</v>
      </c>
      <c r="C4894" s="20" t="s">
        <v>1337</v>
      </c>
      <c r="D4894" s="21"/>
    </row>
    <row r="4895" spans="1:4" ht="12.75" customHeight="1" x14ac:dyDescent="0.2">
      <c r="A4895" s="21"/>
      <c r="B4895" s="3" t="s">
        <v>9</v>
      </c>
      <c r="C4895" s="20" t="s">
        <v>1028</v>
      </c>
      <c r="D4895" s="21"/>
    </row>
    <row r="4896" spans="1:4" ht="12.75" customHeight="1" x14ac:dyDescent="0.2">
      <c r="A4896" s="21"/>
      <c r="B4896" s="3" t="s">
        <v>11</v>
      </c>
      <c r="C4896" s="20" t="s">
        <v>1338</v>
      </c>
      <c r="D4896" s="21"/>
    </row>
    <row r="4897" spans="1:4" ht="12.75" customHeight="1" x14ac:dyDescent="0.2">
      <c r="A4897" s="21"/>
      <c r="B4897" s="3" t="s">
        <v>13</v>
      </c>
      <c r="C4897" s="20" t="s">
        <v>24</v>
      </c>
      <c r="D4897" s="21"/>
    </row>
    <row r="4898" spans="1:4" ht="12.75" customHeight="1" x14ac:dyDescent="0.2">
      <c r="A4898" s="21"/>
      <c r="B4898" s="3" t="s">
        <v>15</v>
      </c>
      <c r="C4898" s="20" t="s">
        <v>24</v>
      </c>
      <c r="D4898" s="21"/>
    </row>
    <row r="4899" spans="1:4" ht="12.75" customHeight="1" x14ac:dyDescent="0.2">
      <c r="A4899" s="21"/>
      <c r="B4899" s="3" t="s">
        <v>16</v>
      </c>
      <c r="C4899" s="20"/>
      <c r="D4899" s="21"/>
    </row>
    <row r="4900" spans="1:4" ht="12.75" customHeight="1" x14ac:dyDescent="0.2">
      <c r="A4900" s="21"/>
      <c r="B4900" s="3" t="s">
        <v>17</v>
      </c>
      <c r="C4900" s="20"/>
      <c r="D4900" s="21"/>
    </row>
    <row r="4901" spans="1:4" ht="25.5" customHeight="1" x14ac:dyDescent="0.2">
      <c r="A4901" s="21"/>
      <c r="B4901" s="20" t="s">
        <v>18</v>
      </c>
      <c r="C4901" s="4" t="s">
        <v>44</v>
      </c>
      <c r="D4901" s="6" t="str">
        <f>HYPERLINK("javascript:void(0)","démonacél ostromtarack")</f>
        <v>démonacél ostromtarack</v>
      </c>
    </row>
    <row r="4902" spans="1:4" ht="12.75" customHeight="1" x14ac:dyDescent="0.2">
      <c r="A4902" s="21"/>
      <c r="B4902" s="21"/>
      <c r="C4902" s="4" t="s">
        <v>142</v>
      </c>
      <c r="D4902" s="6" t="str">
        <f>HYPERLINK("javascript:void(0)","kátrányszárny")</f>
        <v>kátrányszárny</v>
      </c>
    </row>
    <row r="4903" spans="1:4" ht="12.75" customHeight="1" x14ac:dyDescent="0.2">
      <c r="A4903" s="21"/>
      <c r="B4903" s="21"/>
      <c r="C4903" s="4" t="s">
        <v>56</v>
      </c>
      <c r="D4903" s="6" t="str">
        <f>HYPERLINK("javascript:void(0)","kincsgúla")</f>
        <v>kincsgúla</v>
      </c>
    </row>
    <row r="4904" spans="1:4" ht="12.75" customHeight="1" x14ac:dyDescent="0.2">
      <c r="A4904" s="5"/>
      <c r="B4904" s="2"/>
      <c r="C4904" s="2"/>
      <c r="D4904" s="2"/>
    </row>
    <row r="4905" spans="1:4" ht="12.75" customHeight="1" x14ac:dyDescent="0.2">
      <c r="A4905" s="22" t="str">
        <f>HYPERLINK("javascript:void(0)","dracoacél ostromtarack")</f>
        <v>dracoacél ostromtarack</v>
      </c>
      <c r="B4905" s="21"/>
      <c r="C4905" s="21"/>
      <c r="D4905" s="21"/>
    </row>
    <row r="4906" spans="1:4" ht="12.75" customHeight="1" x14ac:dyDescent="0.2">
      <c r="A4906" s="20"/>
      <c r="B4906" s="2"/>
      <c r="C4906" s="2"/>
      <c r="D4906" s="2"/>
    </row>
    <row r="4907" spans="1:4" ht="12.75" customHeight="1" x14ac:dyDescent="0.2">
      <c r="A4907" s="21"/>
      <c r="B4907" s="3" t="s">
        <v>0</v>
      </c>
      <c r="C4907" s="20" t="s">
        <v>1342</v>
      </c>
      <c r="D4907" s="21"/>
    </row>
    <row r="4908" spans="1:4" ht="12.75" customHeight="1" x14ac:dyDescent="0.2">
      <c r="A4908" s="21"/>
      <c r="B4908" s="3" t="s">
        <v>2</v>
      </c>
      <c r="C4908" s="20" t="s">
        <v>3</v>
      </c>
      <c r="D4908" s="21"/>
    </row>
    <row r="4909" spans="1:4" ht="12.75" customHeight="1" x14ac:dyDescent="0.2">
      <c r="A4909" s="21"/>
      <c r="B4909" s="3" t="s">
        <v>4</v>
      </c>
      <c r="C4909" s="20" t="s">
        <v>1343</v>
      </c>
      <c r="D4909" s="21"/>
    </row>
    <row r="4910" spans="1:4" ht="12.75" customHeight="1" x14ac:dyDescent="0.2">
      <c r="A4910" s="21"/>
      <c r="B4910" s="3" t="s">
        <v>6</v>
      </c>
      <c r="C4910" s="20" t="s">
        <v>221</v>
      </c>
      <c r="D4910" s="21"/>
    </row>
    <row r="4911" spans="1:4" ht="12.75" customHeight="1" x14ac:dyDescent="0.2">
      <c r="A4911" s="21"/>
      <c r="B4911" s="3" t="s">
        <v>8</v>
      </c>
      <c r="C4911" s="20" t="s">
        <v>1343</v>
      </c>
      <c r="D4911" s="21"/>
    </row>
    <row r="4912" spans="1:4" ht="12.75" customHeight="1" x14ac:dyDescent="0.2">
      <c r="A4912" s="21"/>
      <c r="B4912" s="3" t="s">
        <v>9</v>
      </c>
      <c r="C4912" s="20" t="s">
        <v>93</v>
      </c>
      <c r="D4912" s="21"/>
    </row>
    <row r="4913" spans="1:4" ht="12.75" customHeight="1" x14ac:dyDescent="0.2">
      <c r="A4913" s="21"/>
      <c r="B4913" s="3" t="s">
        <v>11</v>
      </c>
      <c r="C4913" s="20" t="s">
        <v>1075</v>
      </c>
      <c r="D4913" s="21"/>
    </row>
    <row r="4914" spans="1:4" ht="12.75" customHeight="1" x14ac:dyDescent="0.2">
      <c r="A4914" s="21"/>
      <c r="B4914" s="3" t="s">
        <v>13</v>
      </c>
      <c r="C4914" s="20" t="s">
        <v>24</v>
      </c>
      <c r="D4914" s="21"/>
    </row>
    <row r="4915" spans="1:4" ht="12.75" customHeight="1" x14ac:dyDescent="0.2">
      <c r="A4915" s="21"/>
      <c r="B4915" s="3" t="s">
        <v>15</v>
      </c>
      <c r="C4915" s="20" t="s">
        <v>24</v>
      </c>
      <c r="D4915" s="21"/>
    </row>
    <row r="4916" spans="1:4" ht="12.75" customHeight="1" x14ac:dyDescent="0.2">
      <c r="A4916" s="21"/>
      <c r="B4916" s="3" t="s">
        <v>16</v>
      </c>
      <c r="C4916" s="20"/>
      <c r="D4916" s="21"/>
    </row>
    <row r="4917" spans="1:4" ht="12.75" customHeight="1" x14ac:dyDescent="0.2">
      <c r="A4917" s="21"/>
      <c r="B4917" s="3" t="s">
        <v>17</v>
      </c>
      <c r="C4917" s="20"/>
      <c r="D4917" s="21"/>
    </row>
    <row r="4918" spans="1:4" ht="12.75" customHeight="1" x14ac:dyDescent="0.2">
      <c r="A4918" s="21"/>
      <c r="B4918" s="20" t="s">
        <v>18</v>
      </c>
      <c r="C4918" s="4" t="s">
        <v>44</v>
      </c>
      <c r="D4918" s="6" t="str">
        <f>HYPERLINK("javascript:void(0)","dracocél tűvető")</f>
        <v>dracocél tűvető</v>
      </c>
    </row>
    <row r="4919" spans="1:4" ht="12.75" customHeight="1" x14ac:dyDescent="0.2">
      <c r="A4919" s="21"/>
      <c r="B4919" s="21"/>
      <c r="C4919" s="4" t="s">
        <v>68</v>
      </c>
      <c r="D4919" s="6" t="str">
        <f>HYPERLINK("javascript:void(0)","árnyékláb")</f>
        <v>árnyékláb</v>
      </c>
    </row>
    <row r="4920" spans="1:4" ht="12.75" customHeight="1" x14ac:dyDescent="0.2">
      <c r="A4920" s="21"/>
      <c r="B4920" s="21"/>
      <c r="C4920" s="4" t="s">
        <v>67</v>
      </c>
      <c r="D4920" s="6" t="str">
        <f>HYPERLINK("javascript:void(0)","bajuszkötő")</f>
        <v>bajuszkötő</v>
      </c>
    </row>
    <row r="4921" spans="1:4" ht="12.75" customHeight="1" x14ac:dyDescent="0.2">
      <c r="A4921" s="5"/>
      <c r="B4921" s="2"/>
      <c r="C4921" s="2"/>
      <c r="D4921" s="2"/>
    </row>
    <row r="4922" spans="1:4" ht="12.75" customHeight="1" x14ac:dyDescent="0.2">
      <c r="A4922" s="22" t="str">
        <f>HYPERLINK("javascript:void(0)","dracoacél parittya")</f>
        <v>dracoacél parittya</v>
      </c>
      <c r="B4922" s="21"/>
      <c r="C4922" s="21"/>
      <c r="D4922" s="21"/>
    </row>
    <row r="4923" spans="1:4" ht="12.75" customHeight="1" x14ac:dyDescent="0.2">
      <c r="A4923" s="20"/>
      <c r="B4923" s="2"/>
      <c r="C4923" s="2"/>
      <c r="D4923" s="2"/>
    </row>
    <row r="4924" spans="1:4" ht="12.75" customHeight="1" x14ac:dyDescent="0.2">
      <c r="A4924" s="21"/>
      <c r="B4924" s="3" t="s">
        <v>0</v>
      </c>
      <c r="C4924" s="20" t="s">
        <v>1342</v>
      </c>
      <c r="D4924" s="21"/>
    </row>
    <row r="4925" spans="1:4" ht="12.75" customHeight="1" x14ac:dyDescent="0.2">
      <c r="A4925" s="21"/>
      <c r="B4925" s="3" t="s">
        <v>2</v>
      </c>
      <c r="C4925" s="20" t="s">
        <v>3</v>
      </c>
      <c r="D4925" s="21"/>
    </row>
    <row r="4926" spans="1:4" ht="12.75" customHeight="1" x14ac:dyDescent="0.2">
      <c r="A4926" s="21"/>
      <c r="B4926" s="3" t="s">
        <v>4</v>
      </c>
      <c r="C4926" s="20" t="s">
        <v>1346</v>
      </c>
      <c r="D4926" s="21"/>
    </row>
    <row r="4927" spans="1:4" ht="12.75" customHeight="1" x14ac:dyDescent="0.2">
      <c r="A4927" s="21"/>
      <c r="B4927" s="3" t="s">
        <v>6</v>
      </c>
      <c r="C4927" s="20" t="s">
        <v>65</v>
      </c>
      <c r="D4927" s="21"/>
    </row>
    <row r="4928" spans="1:4" ht="12.75" customHeight="1" x14ac:dyDescent="0.2">
      <c r="A4928" s="21"/>
      <c r="B4928" s="3" t="s">
        <v>8</v>
      </c>
      <c r="C4928" s="20" t="s">
        <v>1346</v>
      </c>
      <c r="D4928" s="21"/>
    </row>
    <row r="4929" spans="1:4" ht="12.75" customHeight="1" x14ac:dyDescent="0.2">
      <c r="A4929" s="21"/>
      <c r="B4929" s="3" t="s">
        <v>9</v>
      </c>
      <c r="C4929" s="20" t="s">
        <v>1039</v>
      </c>
      <c r="D4929" s="21"/>
    </row>
    <row r="4930" spans="1:4" ht="12.75" customHeight="1" x14ac:dyDescent="0.2">
      <c r="A4930" s="21"/>
      <c r="B4930" s="3" t="s">
        <v>11</v>
      </c>
      <c r="C4930" s="20" t="s">
        <v>1347</v>
      </c>
      <c r="D4930" s="21"/>
    </row>
    <row r="4931" spans="1:4" ht="12.75" customHeight="1" x14ac:dyDescent="0.2">
      <c r="A4931" s="21"/>
      <c r="B4931" s="3" t="s">
        <v>13</v>
      </c>
      <c r="C4931" s="20" t="s">
        <v>24</v>
      </c>
      <c r="D4931" s="21"/>
    </row>
    <row r="4932" spans="1:4" ht="12.75" customHeight="1" x14ac:dyDescent="0.2">
      <c r="A4932" s="21"/>
      <c r="B4932" s="3" t="s">
        <v>15</v>
      </c>
      <c r="C4932" s="20" t="s">
        <v>24</v>
      </c>
      <c r="D4932" s="21"/>
    </row>
    <row r="4933" spans="1:4" ht="12.75" customHeight="1" x14ac:dyDescent="0.2">
      <c r="A4933" s="21"/>
      <c r="B4933" s="3" t="s">
        <v>16</v>
      </c>
      <c r="C4933" s="20"/>
      <c r="D4933" s="21"/>
    </row>
    <row r="4934" spans="1:4" ht="12.75" customHeight="1" x14ac:dyDescent="0.2">
      <c r="A4934" s="21"/>
      <c r="B4934" s="3" t="s">
        <v>17</v>
      </c>
      <c r="C4934" s="20"/>
      <c r="D4934" s="21"/>
    </row>
    <row r="4935" spans="1:4" ht="25.5" customHeight="1" x14ac:dyDescent="0.2">
      <c r="A4935" s="21"/>
      <c r="B4935" s="20" t="s">
        <v>18</v>
      </c>
      <c r="C4935" s="4" t="s">
        <v>44</v>
      </c>
      <c r="D4935" s="6" t="str">
        <f>HYPERLINK("javascript:void(0)","dracoacél ostromtarack")</f>
        <v>dracoacél ostromtarack</v>
      </c>
    </row>
    <row r="4936" spans="1:4" ht="12.75" customHeight="1" x14ac:dyDescent="0.2">
      <c r="A4936" s="21"/>
      <c r="B4936" s="21"/>
      <c r="C4936" s="4" t="s">
        <v>77</v>
      </c>
      <c r="D4936" s="6" t="str">
        <f>HYPERLINK("javascript:void(0)","démonbendő")</f>
        <v>démonbendő</v>
      </c>
    </row>
    <row r="4937" spans="1:4" ht="12.75" customHeight="1" x14ac:dyDescent="0.2">
      <c r="A4937" s="21"/>
      <c r="B4937" s="21"/>
      <c r="C4937" s="4" t="s">
        <v>56</v>
      </c>
      <c r="D4937" s="6" t="str">
        <f>HYPERLINK("javascript:void(0)","kincsgúla")</f>
        <v>kincsgúla</v>
      </c>
    </row>
    <row r="4938" spans="1:4" ht="12.75" customHeight="1" x14ac:dyDescent="0.2">
      <c r="A4938" s="5"/>
      <c r="B4938" s="2"/>
      <c r="C4938" s="2"/>
      <c r="D4938" s="2"/>
    </row>
    <row r="4939" spans="1:4" ht="12.75" customHeight="1" x14ac:dyDescent="0.2">
      <c r="A4939" s="22" t="str">
        <f>HYPERLINK("javascript:void(0)","elfacél ostromtarack")</f>
        <v>elfacél ostromtarack</v>
      </c>
      <c r="B4939" s="21"/>
      <c r="C4939" s="21"/>
      <c r="D4939" s="21"/>
    </row>
    <row r="4940" spans="1:4" ht="12.75" customHeight="1" x14ac:dyDescent="0.2">
      <c r="A4940" s="20"/>
      <c r="B4940" s="2"/>
      <c r="C4940" s="2"/>
      <c r="D4940" s="2"/>
    </row>
    <row r="4941" spans="1:4" ht="12.75" customHeight="1" x14ac:dyDescent="0.2">
      <c r="A4941" s="21"/>
      <c r="B4941" s="3" t="s">
        <v>0</v>
      </c>
      <c r="C4941" s="20" t="s">
        <v>351</v>
      </c>
      <c r="D4941" s="21"/>
    </row>
    <row r="4942" spans="1:4" ht="12.75" customHeight="1" x14ac:dyDescent="0.2">
      <c r="A4942" s="21"/>
      <c r="B4942" s="3" t="s">
        <v>2</v>
      </c>
      <c r="C4942" s="20" t="s">
        <v>3</v>
      </c>
      <c r="D4942" s="21"/>
    </row>
    <row r="4943" spans="1:4" ht="12.75" customHeight="1" x14ac:dyDescent="0.2">
      <c r="A4943" s="21"/>
      <c r="B4943" s="3" t="s">
        <v>4</v>
      </c>
      <c r="C4943" s="20" t="s">
        <v>1348</v>
      </c>
      <c r="D4943" s="21"/>
    </row>
    <row r="4944" spans="1:4" ht="12.75" customHeight="1" x14ac:dyDescent="0.2">
      <c r="A4944" s="21"/>
      <c r="B4944" s="3" t="s">
        <v>6</v>
      </c>
      <c r="C4944" s="20" t="s">
        <v>274</v>
      </c>
      <c r="D4944" s="21"/>
    </row>
    <row r="4945" spans="1:4" ht="12.75" customHeight="1" x14ac:dyDescent="0.2">
      <c r="A4945" s="21"/>
      <c r="B4945" s="3" t="s">
        <v>8</v>
      </c>
      <c r="C4945" s="20" t="s">
        <v>1348</v>
      </c>
      <c r="D4945" s="21"/>
    </row>
    <row r="4946" spans="1:4" ht="12.75" customHeight="1" x14ac:dyDescent="0.2">
      <c r="A4946" s="21"/>
      <c r="B4946" s="3" t="s">
        <v>9</v>
      </c>
      <c r="C4946" s="20" t="s">
        <v>36</v>
      </c>
      <c r="D4946" s="21"/>
    </row>
    <row r="4947" spans="1:4" ht="12.75" customHeight="1" x14ac:dyDescent="0.2">
      <c r="A4947" s="21"/>
      <c r="B4947" s="3" t="s">
        <v>11</v>
      </c>
      <c r="C4947" s="20" t="s">
        <v>1093</v>
      </c>
      <c r="D4947" s="21"/>
    </row>
    <row r="4948" spans="1:4" ht="12.75" customHeight="1" x14ac:dyDescent="0.2">
      <c r="A4948" s="21"/>
      <c r="B4948" s="3" t="s">
        <v>13</v>
      </c>
      <c r="C4948" s="20" t="s">
        <v>24</v>
      </c>
      <c r="D4948" s="21"/>
    </row>
    <row r="4949" spans="1:4" ht="12.75" customHeight="1" x14ac:dyDescent="0.2">
      <c r="A4949" s="21"/>
      <c r="B4949" s="3" t="s">
        <v>15</v>
      </c>
      <c r="C4949" s="20" t="s">
        <v>24</v>
      </c>
      <c r="D4949" s="21"/>
    </row>
    <row r="4950" spans="1:4" ht="12.75" customHeight="1" x14ac:dyDescent="0.2">
      <c r="A4950" s="21"/>
      <c r="B4950" s="3" t="s">
        <v>16</v>
      </c>
      <c r="C4950" s="20"/>
      <c r="D4950" s="21"/>
    </row>
    <row r="4951" spans="1:4" ht="12.75" customHeight="1" x14ac:dyDescent="0.2">
      <c r="A4951" s="21"/>
      <c r="B4951" s="3" t="s">
        <v>17</v>
      </c>
      <c r="C4951" s="20"/>
      <c r="D4951" s="21"/>
    </row>
    <row r="4952" spans="1:4" ht="12.75" customHeight="1" x14ac:dyDescent="0.2">
      <c r="A4952" s="21"/>
      <c r="B4952" s="20" t="s">
        <v>18</v>
      </c>
      <c r="C4952" s="4" t="s">
        <v>44</v>
      </c>
      <c r="D4952" s="6" t="str">
        <f>HYPERLINK("javascript:void(0)","elfacél tűvető")</f>
        <v>elfacél tűvető</v>
      </c>
    </row>
    <row r="4953" spans="1:4" ht="12.75" customHeight="1" x14ac:dyDescent="0.2">
      <c r="A4953" s="21"/>
      <c r="B4953" s="21"/>
      <c r="C4953" s="4" t="s">
        <v>244</v>
      </c>
      <c r="D4953" s="6" t="str">
        <f>HYPERLINK("javascript:void(0)","árnyékláb")</f>
        <v>árnyékláb</v>
      </c>
    </row>
    <row r="4954" spans="1:4" ht="12.75" customHeight="1" x14ac:dyDescent="0.2">
      <c r="A4954" s="21"/>
      <c r="B4954" s="21"/>
      <c r="C4954" s="4" t="s">
        <v>67</v>
      </c>
      <c r="D4954" s="6" t="str">
        <f>HYPERLINK("javascript:void(0)","kifordultság")</f>
        <v>kifordultság</v>
      </c>
    </row>
    <row r="4955" spans="1:4" ht="12.75" customHeight="1" x14ac:dyDescent="0.2">
      <c r="A4955" s="5"/>
      <c r="B4955" s="2"/>
      <c r="C4955" s="2"/>
      <c r="D4955" s="2"/>
    </row>
    <row r="4956" spans="1:4" ht="12.75" customHeight="1" x14ac:dyDescent="0.2">
      <c r="A4956" s="22" t="str">
        <f>HYPERLINK("javascript:void(0)","elfacél parittya")</f>
        <v>elfacél parittya</v>
      </c>
      <c r="B4956" s="21"/>
      <c r="C4956" s="21"/>
      <c r="D4956" s="21"/>
    </row>
    <row r="4957" spans="1:4" ht="12.75" customHeight="1" x14ac:dyDescent="0.2">
      <c r="A4957" s="20"/>
      <c r="B4957" s="2"/>
      <c r="C4957" s="2"/>
      <c r="D4957" s="2"/>
    </row>
    <row r="4958" spans="1:4" ht="12.75" customHeight="1" x14ac:dyDescent="0.2">
      <c r="A4958" s="21"/>
      <c r="B4958" s="3" t="s">
        <v>0</v>
      </c>
      <c r="C4958" s="20" t="s">
        <v>351</v>
      </c>
      <c r="D4958" s="21"/>
    </row>
    <row r="4959" spans="1:4" ht="12.75" customHeight="1" x14ac:dyDescent="0.2">
      <c r="A4959" s="21"/>
      <c r="B4959" s="3" t="s">
        <v>2</v>
      </c>
      <c r="C4959" s="20" t="s">
        <v>3</v>
      </c>
      <c r="D4959" s="21"/>
    </row>
    <row r="4960" spans="1:4" ht="12.75" customHeight="1" x14ac:dyDescent="0.2">
      <c r="A4960" s="21"/>
      <c r="B4960" s="3" t="s">
        <v>4</v>
      </c>
      <c r="C4960" s="20" t="s">
        <v>1350</v>
      </c>
      <c r="D4960" s="21"/>
    </row>
    <row r="4961" spans="1:4" ht="12.75" customHeight="1" x14ac:dyDescent="0.2">
      <c r="A4961" s="21"/>
      <c r="B4961" s="3" t="s">
        <v>6</v>
      </c>
      <c r="C4961" s="20" t="s">
        <v>65</v>
      </c>
      <c r="D4961" s="21"/>
    </row>
    <row r="4962" spans="1:4" ht="12.75" customHeight="1" x14ac:dyDescent="0.2">
      <c r="A4962" s="21"/>
      <c r="B4962" s="3" t="s">
        <v>8</v>
      </c>
      <c r="C4962" s="20" t="s">
        <v>1350</v>
      </c>
      <c r="D4962" s="21"/>
    </row>
    <row r="4963" spans="1:4" ht="12.75" customHeight="1" x14ac:dyDescent="0.2">
      <c r="A4963" s="21"/>
      <c r="B4963" s="3" t="s">
        <v>9</v>
      </c>
      <c r="C4963" s="20" t="s">
        <v>1046</v>
      </c>
      <c r="D4963" s="21"/>
    </row>
    <row r="4964" spans="1:4" ht="12.75" customHeight="1" x14ac:dyDescent="0.2">
      <c r="A4964" s="21"/>
      <c r="B4964" s="3" t="s">
        <v>11</v>
      </c>
      <c r="C4964" s="20" t="s">
        <v>1351</v>
      </c>
      <c r="D4964" s="21"/>
    </row>
    <row r="4965" spans="1:4" ht="12.75" customHeight="1" x14ac:dyDescent="0.2">
      <c r="A4965" s="21"/>
      <c r="B4965" s="3" t="s">
        <v>13</v>
      </c>
      <c r="C4965" s="20" t="s">
        <v>24</v>
      </c>
      <c r="D4965" s="21"/>
    </row>
    <row r="4966" spans="1:4" ht="12.75" customHeight="1" x14ac:dyDescent="0.2">
      <c r="A4966" s="21"/>
      <c r="B4966" s="3" t="s">
        <v>15</v>
      </c>
      <c r="C4966" s="20" t="s">
        <v>24</v>
      </c>
      <c r="D4966" s="21"/>
    </row>
    <row r="4967" spans="1:4" ht="12.75" customHeight="1" x14ac:dyDescent="0.2">
      <c r="A4967" s="21"/>
      <c r="B4967" s="3" t="s">
        <v>16</v>
      </c>
      <c r="C4967" s="20"/>
      <c r="D4967" s="21"/>
    </row>
    <row r="4968" spans="1:4" ht="12.75" customHeight="1" x14ac:dyDescent="0.2">
      <c r="A4968" s="21"/>
      <c r="B4968" s="3" t="s">
        <v>17</v>
      </c>
      <c r="C4968" s="20"/>
      <c r="D4968" s="21"/>
    </row>
    <row r="4969" spans="1:4" ht="12.75" customHeight="1" x14ac:dyDescent="0.2">
      <c r="A4969" s="21"/>
      <c r="B4969" s="20" t="s">
        <v>18</v>
      </c>
      <c r="C4969" s="4" t="s">
        <v>44</v>
      </c>
      <c r="D4969" s="6" t="str">
        <f>HYPERLINK("javascript:void(0)","elfacél ostromtarack")</f>
        <v>elfacél ostromtarack</v>
      </c>
    </row>
    <row r="4970" spans="1:4" ht="12.75" customHeight="1" x14ac:dyDescent="0.2">
      <c r="A4970" s="21"/>
      <c r="B4970" s="21"/>
      <c r="C4970" s="4" t="s">
        <v>232</v>
      </c>
      <c r="D4970" s="6" t="str">
        <f>HYPERLINK("javascript:void(0)","feketetem")</f>
        <v>feketetem</v>
      </c>
    </row>
    <row r="4971" spans="1:4" ht="12.75" customHeight="1" x14ac:dyDescent="0.2">
      <c r="A4971" s="21"/>
      <c r="B4971" s="21"/>
      <c r="C4971" s="4" t="s">
        <v>56</v>
      </c>
      <c r="D4971" s="6" t="str">
        <f>HYPERLINK("javascript:void(0)","kincsgúla")</f>
        <v>kincsgúla</v>
      </c>
    </row>
    <row r="4972" spans="1:4" ht="12.75" customHeight="1" x14ac:dyDescent="0.2">
      <c r="A4972" s="5"/>
      <c r="B4972" s="2"/>
      <c r="C4972" s="2"/>
      <c r="D4972" s="2"/>
    </row>
    <row r="4973" spans="1:4" ht="12.75" customHeight="1" x14ac:dyDescent="0.2">
      <c r="A4973" s="22" t="str">
        <f>HYPERLINK("javascript:void(0)","óriásacél ostromtarack")</f>
        <v>óriásacél ostromtarack</v>
      </c>
      <c r="B4973" s="21"/>
      <c r="C4973" s="21"/>
      <c r="D4973" s="21"/>
    </row>
    <row r="4974" spans="1:4" ht="12.75" customHeight="1" x14ac:dyDescent="0.2">
      <c r="A4974" s="20"/>
      <c r="B4974" s="2"/>
      <c r="C4974" s="2"/>
      <c r="D4974" s="2"/>
    </row>
    <row r="4975" spans="1:4" ht="12.75" customHeight="1" x14ac:dyDescent="0.2">
      <c r="A4975" s="21"/>
      <c r="B4975" s="3" t="s">
        <v>0</v>
      </c>
      <c r="C4975" s="20" t="s">
        <v>1355</v>
      </c>
      <c r="D4975" s="21"/>
    </row>
    <row r="4976" spans="1:4" ht="12.75" customHeight="1" x14ac:dyDescent="0.2">
      <c r="A4976" s="21"/>
      <c r="B4976" s="3" t="s">
        <v>2</v>
      </c>
      <c r="C4976" s="20" t="s">
        <v>3</v>
      </c>
      <c r="D4976" s="21"/>
    </row>
    <row r="4977" spans="1:4" ht="12.75" customHeight="1" x14ac:dyDescent="0.2">
      <c r="A4977" s="21"/>
      <c r="B4977" s="3" t="s">
        <v>4</v>
      </c>
      <c r="C4977" s="20" t="s">
        <v>1356</v>
      </c>
      <c r="D4977" s="21"/>
    </row>
    <row r="4978" spans="1:4" ht="12.75" customHeight="1" x14ac:dyDescent="0.2">
      <c r="A4978" s="21"/>
      <c r="B4978" s="3" t="s">
        <v>6</v>
      </c>
      <c r="C4978" s="20" t="s">
        <v>157</v>
      </c>
      <c r="D4978" s="21"/>
    </row>
    <row r="4979" spans="1:4" ht="12.75" customHeight="1" x14ac:dyDescent="0.2">
      <c r="A4979" s="21"/>
      <c r="B4979" s="3" t="s">
        <v>8</v>
      </c>
      <c r="C4979" s="20" t="s">
        <v>1356</v>
      </c>
      <c r="D4979" s="21"/>
    </row>
    <row r="4980" spans="1:4" ht="12.75" customHeight="1" x14ac:dyDescent="0.2">
      <c r="A4980" s="21"/>
      <c r="B4980" s="3" t="s">
        <v>9</v>
      </c>
      <c r="C4980" s="20" t="s">
        <v>36</v>
      </c>
      <c r="D4980" s="21"/>
    </row>
    <row r="4981" spans="1:4" ht="12.75" customHeight="1" x14ac:dyDescent="0.2">
      <c r="A4981" s="21"/>
      <c r="B4981" s="3" t="s">
        <v>11</v>
      </c>
      <c r="C4981" s="20" t="s">
        <v>1109</v>
      </c>
      <c r="D4981" s="21"/>
    </row>
    <row r="4982" spans="1:4" ht="12.75" customHeight="1" x14ac:dyDescent="0.2">
      <c r="A4982" s="21"/>
      <c r="B4982" s="3" t="s">
        <v>13</v>
      </c>
      <c r="C4982" s="20" t="s">
        <v>24</v>
      </c>
      <c r="D4982" s="21"/>
    </row>
    <row r="4983" spans="1:4" ht="12.75" customHeight="1" x14ac:dyDescent="0.2">
      <c r="A4983" s="21"/>
      <c r="B4983" s="3" t="s">
        <v>15</v>
      </c>
      <c r="C4983" s="20" t="s">
        <v>24</v>
      </c>
      <c r="D4983" s="21"/>
    </row>
    <row r="4984" spans="1:4" ht="12.75" customHeight="1" x14ac:dyDescent="0.2">
      <c r="A4984" s="21"/>
      <c r="B4984" s="3" t="s">
        <v>16</v>
      </c>
      <c r="C4984" s="20"/>
      <c r="D4984" s="21"/>
    </row>
    <row r="4985" spans="1:4" ht="12.75" customHeight="1" x14ac:dyDescent="0.2">
      <c r="A4985" s="21"/>
      <c r="B4985" s="3" t="s">
        <v>17</v>
      </c>
      <c r="C4985" s="20"/>
      <c r="D4985" s="21"/>
    </row>
    <row r="4986" spans="1:4" ht="12.75" customHeight="1" x14ac:dyDescent="0.2">
      <c r="A4986" s="21"/>
      <c r="B4986" s="20" t="s">
        <v>18</v>
      </c>
      <c r="C4986" s="4" t="s">
        <v>44</v>
      </c>
      <c r="D4986" s="6" t="str">
        <f>HYPERLINK("javascript:void(0)","óriásacél tűvető")</f>
        <v>óriásacél tűvető</v>
      </c>
    </row>
    <row r="4987" spans="1:4" ht="12.75" customHeight="1" x14ac:dyDescent="0.2">
      <c r="A4987" s="21"/>
      <c r="B4987" s="21"/>
      <c r="C4987" s="4" t="s">
        <v>290</v>
      </c>
      <c r="D4987" s="6" t="str">
        <f>HYPERLINK("javascript:void(0)","árnyékláb")</f>
        <v>árnyékláb</v>
      </c>
    </row>
    <row r="4988" spans="1:4" ht="12.75" customHeight="1" x14ac:dyDescent="0.2">
      <c r="A4988" s="21"/>
      <c r="B4988" s="21"/>
      <c r="C4988" s="4" t="s">
        <v>67</v>
      </c>
      <c r="D4988" s="6" t="str">
        <f>HYPERLINK("javascript:void(0)","savige")</f>
        <v>savige</v>
      </c>
    </row>
    <row r="4989" spans="1:4" ht="12.75" customHeight="1" x14ac:dyDescent="0.2">
      <c r="A4989" s="5"/>
      <c r="B4989" s="2"/>
      <c r="C4989" s="2"/>
      <c r="D4989" s="2"/>
    </row>
    <row r="4990" spans="1:4" ht="12.75" customHeight="1" x14ac:dyDescent="0.2">
      <c r="A4990" s="22" t="str">
        <f>HYPERLINK("javascript:void(0)","kentacél ostromtarack")</f>
        <v>kentacél ostromtarack</v>
      </c>
      <c r="B4990" s="21"/>
      <c r="C4990" s="21"/>
      <c r="D4990" s="21"/>
    </row>
    <row r="4991" spans="1:4" ht="12.75" customHeight="1" x14ac:dyDescent="0.2">
      <c r="A4991" s="20"/>
      <c r="B4991" s="2"/>
      <c r="C4991" s="2"/>
      <c r="D4991" s="2"/>
    </row>
    <row r="4992" spans="1:4" ht="12.75" customHeight="1" x14ac:dyDescent="0.2">
      <c r="A4992" s="21"/>
      <c r="B4992" s="3" t="s">
        <v>0</v>
      </c>
      <c r="C4992" s="20" t="s">
        <v>1359</v>
      </c>
      <c r="D4992" s="21"/>
    </row>
    <row r="4993" spans="1:4" ht="12.75" customHeight="1" x14ac:dyDescent="0.2">
      <c r="A4993" s="21"/>
      <c r="B4993" s="3" t="s">
        <v>2</v>
      </c>
      <c r="C4993" s="20" t="s">
        <v>3</v>
      </c>
      <c r="D4993" s="21"/>
    </row>
    <row r="4994" spans="1:4" ht="12.75" customHeight="1" x14ac:dyDescent="0.2">
      <c r="A4994" s="21"/>
      <c r="B4994" s="3" t="s">
        <v>4</v>
      </c>
      <c r="C4994" s="20" t="s">
        <v>1360</v>
      </c>
      <c r="D4994" s="21"/>
    </row>
    <row r="4995" spans="1:4" ht="12.75" customHeight="1" x14ac:dyDescent="0.2">
      <c r="A4995" s="21"/>
      <c r="B4995" s="3" t="s">
        <v>6</v>
      </c>
      <c r="C4995" s="20" t="s">
        <v>291</v>
      </c>
      <c r="D4995" s="21"/>
    </row>
    <row r="4996" spans="1:4" ht="12.75" customHeight="1" x14ac:dyDescent="0.2">
      <c r="A4996" s="21"/>
      <c r="B4996" s="3" t="s">
        <v>8</v>
      </c>
      <c r="C4996" s="20" t="s">
        <v>1360</v>
      </c>
      <c r="D4996" s="21"/>
    </row>
    <row r="4997" spans="1:4" ht="12.75" customHeight="1" x14ac:dyDescent="0.2">
      <c r="A4997" s="21"/>
      <c r="B4997" s="3" t="s">
        <v>9</v>
      </c>
      <c r="C4997" s="20" t="s">
        <v>84</v>
      </c>
      <c r="D4997" s="21"/>
    </row>
    <row r="4998" spans="1:4" ht="12.75" customHeight="1" x14ac:dyDescent="0.2">
      <c r="A4998" s="21"/>
      <c r="B4998" s="3" t="s">
        <v>11</v>
      </c>
      <c r="C4998" s="20" t="s">
        <v>1131</v>
      </c>
      <c r="D4998" s="21"/>
    </row>
    <row r="4999" spans="1:4" ht="12.75" customHeight="1" x14ac:dyDescent="0.2">
      <c r="A4999" s="21"/>
      <c r="B4999" s="3" t="s">
        <v>13</v>
      </c>
      <c r="C4999" s="20" t="s">
        <v>24</v>
      </c>
      <c r="D4999" s="21"/>
    </row>
    <row r="5000" spans="1:4" ht="12.75" customHeight="1" x14ac:dyDescent="0.2">
      <c r="A5000" s="21"/>
      <c r="B5000" s="3" t="s">
        <v>15</v>
      </c>
      <c r="C5000" s="20" t="s">
        <v>24</v>
      </c>
      <c r="D5000" s="21"/>
    </row>
    <row r="5001" spans="1:4" ht="12.75" customHeight="1" x14ac:dyDescent="0.2">
      <c r="A5001" s="21"/>
      <c r="B5001" s="3" t="s">
        <v>16</v>
      </c>
      <c r="C5001" s="20"/>
      <c r="D5001" s="21"/>
    </row>
    <row r="5002" spans="1:4" ht="12.75" customHeight="1" x14ac:dyDescent="0.2">
      <c r="A5002" s="21"/>
      <c r="B5002" s="3" t="s">
        <v>17</v>
      </c>
      <c r="C5002" s="20"/>
      <c r="D5002" s="21"/>
    </row>
    <row r="5003" spans="1:4" ht="12.75" customHeight="1" x14ac:dyDescent="0.2">
      <c r="A5003" s="21"/>
      <c r="B5003" s="20" t="s">
        <v>18</v>
      </c>
      <c r="C5003" s="4" t="s">
        <v>44</v>
      </c>
      <c r="D5003" s="6" t="str">
        <f>HYPERLINK("javascript:void(0)","kentacél tűvető")</f>
        <v>kentacél tűvető</v>
      </c>
    </row>
    <row r="5004" spans="1:4" ht="12.75" customHeight="1" x14ac:dyDescent="0.2">
      <c r="A5004" s="21"/>
      <c r="B5004" s="21"/>
      <c r="C5004" s="4" t="s">
        <v>327</v>
      </c>
      <c r="D5004" s="6" t="str">
        <f>HYPERLINK("javascript:void(0)","árnyékláb")</f>
        <v>árnyékláb</v>
      </c>
    </row>
    <row r="5005" spans="1:4" ht="25.5" customHeight="1" x14ac:dyDescent="0.2">
      <c r="A5005" s="21"/>
      <c r="B5005" s="21"/>
      <c r="C5005" s="4" t="s">
        <v>67</v>
      </c>
      <c r="D5005" s="6" t="str">
        <f>HYPERLINK("javascript:void(0)","kommunikációképtelenség")</f>
        <v>kommunikációképtelenség</v>
      </c>
    </row>
    <row r="5006" spans="1:4" ht="12.75" customHeight="1" x14ac:dyDescent="0.2">
      <c r="A5006" s="5"/>
      <c r="B5006" s="2"/>
      <c r="C5006" s="2"/>
      <c r="D5006" s="2"/>
    </row>
    <row r="5007" spans="1:4" ht="12.75" customHeight="1" x14ac:dyDescent="0.2">
      <c r="A5007" s="22" t="str">
        <f>HYPERLINK("javascript:void(0)","cordioacél ostromtarack")</f>
        <v>cordioacél ostromtarack</v>
      </c>
      <c r="B5007" s="21"/>
      <c r="C5007" s="21"/>
      <c r="D5007" s="21"/>
    </row>
    <row r="5008" spans="1:4" ht="12.75" customHeight="1" x14ac:dyDescent="0.2">
      <c r="A5008" s="20"/>
      <c r="B5008" s="2"/>
      <c r="C5008" s="2"/>
      <c r="D5008" s="2"/>
    </row>
    <row r="5009" spans="1:4" ht="12.75" customHeight="1" x14ac:dyDescent="0.2">
      <c r="A5009" s="21"/>
      <c r="B5009" s="3" t="s">
        <v>0</v>
      </c>
      <c r="C5009" s="20" t="s">
        <v>1362</v>
      </c>
      <c r="D5009" s="21"/>
    </row>
    <row r="5010" spans="1:4" ht="12.75" customHeight="1" x14ac:dyDescent="0.2">
      <c r="A5010" s="21"/>
      <c r="B5010" s="3" t="s">
        <v>2</v>
      </c>
      <c r="C5010" s="20" t="s">
        <v>3</v>
      </c>
      <c r="D5010" s="21"/>
    </row>
    <row r="5011" spans="1:4" ht="12.75" customHeight="1" x14ac:dyDescent="0.2">
      <c r="A5011" s="21"/>
      <c r="B5011" s="3" t="s">
        <v>4</v>
      </c>
      <c r="C5011" s="20" t="s">
        <v>1363</v>
      </c>
      <c r="D5011" s="21"/>
    </row>
    <row r="5012" spans="1:4" ht="12.75" customHeight="1" x14ac:dyDescent="0.2">
      <c r="A5012" s="21"/>
      <c r="B5012" s="3" t="s">
        <v>6</v>
      </c>
      <c r="C5012" s="20" t="s">
        <v>52</v>
      </c>
      <c r="D5012" s="21"/>
    </row>
    <row r="5013" spans="1:4" ht="12.75" customHeight="1" x14ac:dyDescent="0.2">
      <c r="A5013" s="21"/>
      <c r="B5013" s="3" t="s">
        <v>8</v>
      </c>
      <c r="C5013" s="20" t="s">
        <v>1363</v>
      </c>
      <c r="D5013" s="21"/>
    </row>
    <row r="5014" spans="1:4" ht="12.75" customHeight="1" x14ac:dyDescent="0.2">
      <c r="A5014" s="21"/>
      <c r="B5014" s="3" t="s">
        <v>9</v>
      </c>
      <c r="C5014" s="20" t="s">
        <v>172</v>
      </c>
      <c r="D5014" s="21"/>
    </row>
    <row r="5015" spans="1:4" ht="12.75" customHeight="1" x14ac:dyDescent="0.2">
      <c r="A5015" s="21"/>
      <c r="B5015" s="3" t="s">
        <v>11</v>
      </c>
      <c r="C5015" s="20" t="s">
        <v>1148</v>
      </c>
      <c r="D5015" s="21"/>
    </row>
    <row r="5016" spans="1:4" ht="12.75" customHeight="1" x14ac:dyDescent="0.2">
      <c r="A5016" s="21"/>
      <c r="B5016" s="3" t="s">
        <v>13</v>
      </c>
      <c r="C5016" s="20" t="s">
        <v>24</v>
      </c>
      <c r="D5016" s="21"/>
    </row>
    <row r="5017" spans="1:4" ht="12.75" customHeight="1" x14ac:dyDescent="0.2">
      <c r="A5017" s="21"/>
      <c r="B5017" s="3" t="s">
        <v>15</v>
      </c>
      <c r="C5017" s="20" t="s">
        <v>24</v>
      </c>
      <c r="D5017" s="21"/>
    </row>
    <row r="5018" spans="1:4" ht="12.75" customHeight="1" x14ac:dyDescent="0.2">
      <c r="A5018" s="21"/>
      <c r="B5018" s="3" t="s">
        <v>16</v>
      </c>
      <c r="C5018" s="20"/>
      <c r="D5018" s="21"/>
    </row>
    <row r="5019" spans="1:4" ht="12.75" customHeight="1" x14ac:dyDescent="0.2">
      <c r="A5019" s="21"/>
      <c r="B5019" s="3" t="s">
        <v>17</v>
      </c>
      <c r="C5019" s="20"/>
      <c r="D5019" s="21"/>
    </row>
    <row r="5020" spans="1:4" ht="12.75" customHeight="1" x14ac:dyDescent="0.2">
      <c r="A5020" s="21"/>
      <c r="B5020" s="20" t="s">
        <v>18</v>
      </c>
      <c r="C5020" s="4" t="s">
        <v>44</v>
      </c>
      <c r="D5020" s="6" t="str">
        <f>HYPERLINK("javascript:void(0)","cordioacél tűvető")</f>
        <v>cordioacél tűvető</v>
      </c>
    </row>
    <row r="5021" spans="1:4" ht="12.75" customHeight="1" x14ac:dyDescent="0.2">
      <c r="A5021" s="21"/>
      <c r="B5021" s="21"/>
      <c r="C5021" s="4" t="s">
        <v>163</v>
      </c>
      <c r="D5021" s="6" t="str">
        <f>HYPERLINK("javascript:void(0)","árnyékláb")</f>
        <v>árnyékláb</v>
      </c>
    </row>
    <row r="5022" spans="1:4" ht="12.75" customHeight="1" x14ac:dyDescent="0.2">
      <c r="A5022" s="21"/>
      <c r="B5022" s="21"/>
      <c r="C5022" s="4" t="s">
        <v>139</v>
      </c>
      <c r="D5022" s="6" t="str">
        <f>HYPERLINK("javascript:void(0)","kocka")</f>
        <v>kocka</v>
      </c>
    </row>
    <row r="5023" spans="1:4" ht="12.75" customHeight="1" x14ac:dyDescent="0.2">
      <c r="A5023" s="5"/>
      <c r="B5023" s="2"/>
      <c r="C5023" s="2"/>
      <c r="D5023" s="2"/>
    </row>
    <row r="5024" spans="1:4" ht="12.75" customHeight="1" x14ac:dyDescent="0.2">
      <c r="A5024" s="22" t="str">
        <f>HYPERLINK("javascript:void(0)","radioacél ostromtarack")</f>
        <v>radioacél ostromtarack</v>
      </c>
      <c r="B5024" s="21"/>
      <c r="C5024" s="21"/>
      <c r="D5024" s="21"/>
    </row>
    <row r="5025" spans="1:4" ht="12.75" customHeight="1" x14ac:dyDescent="0.2">
      <c r="A5025" s="20"/>
      <c r="B5025" s="2"/>
      <c r="C5025" s="2"/>
      <c r="D5025" s="2"/>
    </row>
    <row r="5026" spans="1:4" ht="12.75" customHeight="1" x14ac:dyDescent="0.2">
      <c r="A5026" s="21"/>
      <c r="B5026" s="3" t="s">
        <v>0</v>
      </c>
      <c r="C5026" s="20" t="s">
        <v>256</v>
      </c>
      <c r="D5026" s="21"/>
    </row>
    <row r="5027" spans="1:4" ht="12.75" customHeight="1" x14ac:dyDescent="0.2">
      <c r="A5027" s="21"/>
      <c r="B5027" s="3" t="s">
        <v>2</v>
      </c>
      <c r="C5027" s="20" t="s">
        <v>3</v>
      </c>
      <c r="D5027" s="21"/>
    </row>
    <row r="5028" spans="1:4" ht="12.75" customHeight="1" x14ac:dyDescent="0.2">
      <c r="A5028" s="21"/>
      <c r="B5028" s="3" t="s">
        <v>4</v>
      </c>
      <c r="C5028" s="20" t="s">
        <v>1366</v>
      </c>
      <c r="D5028" s="21"/>
    </row>
    <row r="5029" spans="1:4" ht="12.75" customHeight="1" x14ac:dyDescent="0.2">
      <c r="A5029" s="21"/>
      <c r="B5029" s="3" t="s">
        <v>6</v>
      </c>
      <c r="C5029" s="20" t="s">
        <v>206</v>
      </c>
      <c r="D5029" s="21"/>
    </row>
    <row r="5030" spans="1:4" ht="12.75" customHeight="1" x14ac:dyDescent="0.2">
      <c r="A5030" s="21"/>
      <c r="B5030" s="3" t="s">
        <v>8</v>
      </c>
      <c r="C5030" s="20" t="s">
        <v>1366</v>
      </c>
      <c r="D5030" s="21"/>
    </row>
    <row r="5031" spans="1:4" ht="12.75" customHeight="1" x14ac:dyDescent="0.2">
      <c r="A5031" s="21"/>
      <c r="B5031" s="3" t="s">
        <v>9</v>
      </c>
      <c r="C5031" s="20" t="s">
        <v>79</v>
      </c>
      <c r="D5031" s="21"/>
    </row>
    <row r="5032" spans="1:4" ht="12.75" customHeight="1" x14ac:dyDescent="0.2">
      <c r="A5032" s="21"/>
      <c r="B5032" s="3" t="s">
        <v>11</v>
      </c>
      <c r="C5032" s="20" t="s">
        <v>1163</v>
      </c>
      <c r="D5032" s="21"/>
    </row>
    <row r="5033" spans="1:4" ht="12.75" customHeight="1" x14ac:dyDescent="0.2">
      <c r="A5033" s="21"/>
      <c r="B5033" s="3" t="s">
        <v>13</v>
      </c>
      <c r="C5033" s="20" t="s">
        <v>24</v>
      </c>
      <c r="D5033" s="21"/>
    </row>
    <row r="5034" spans="1:4" ht="12.75" customHeight="1" x14ac:dyDescent="0.2">
      <c r="A5034" s="21"/>
      <c r="B5034" s="3" t="s">
        <v>15</v>
      </c>
      <c r="C5034" s="20" t="s">
        <v>24</v>
      </c>
      <c r="D5034" s="21"/>
    </row>
    <row r="5035" spans="1:4" ht="12.75" customHeight="1" x14ac:dyDescent="0.2">
      <c r="A5035" s="21"/>
      <c r="B5035" s="3" t="s">
        <v>16</v>
      </c>
      <c r="C5035" s="20"/>
      <c r="D5035" s="21"/>
    </row>
    <row r="5036" spans="1:4" ht="12.75" customHeight="1" x14ac:dyDescent="0.2">
      <c r="A5036" s="21"/>
      <c r="B5036" s="3" t="s">
        <v>17</v>
      </c>
      <c r="C5036" s="20"/>
      <c r="D5036" s="21"/>
    </row>
    <row r="5037" spans="1:4" ht="12.75" customHeight="1" x14ac:dyDescent="0.2">
      <c r="A5037" s="21"/>
      <c r="B5037" s="20" t="s">
        <v>18</v>
      </c>
      <c r="C5037" s="4" t="s">
        <v>44</v>
      </c>
      <c r="D5037" s="6" t="str">
        <f>HYPERLINK("javascript:void(0)","radioacél tűvető")</f>
        <v>radioacél tűvető</v>
      </c>
    </row>
    <row r="5038" spans="1:4" ht="12.75" customHeight="1" x14ac:dyDescent="0.2">
      <c r="A5038" s="21"/>
      <c r="B5038" s="21"/>
      <c r="C5038" s="4" t="s">
        <v>950</v>
      </c>
      <c r="D5038" s="6" t="str">
        <f>HYPERLINK("javascript:void(0)","árnyékláb")</f>
        <v>árnyékláb</v>
      </c>
    </row>
    <row r="5039" spans="1:4" ht="12.75" customHeight="1" x14ac:dyDescent="0.2">
      <c r="A5039" s="21"/>
      <c r="B5039" s="21"/>
      <c r="C5039" s="4" t="s">
        <v>77</v>
      </c>
      <c r="D5039" s="6" t="str">
        <f>HYPERLINK("javascript:void(0)","árnyige")</f>
        <v>árnyige</v>
      </c>
    </row>
    <row r="5040" spans="1:4" ht="12.75" customHeight="1" x14ac:dyDescent="0.2">
      <c r="A5040" s="5"/>
      <c r="B5040" s="2"/>
      <c r="C5040" s="2"/>
      <c r="D5040" s="2"/>
    </row>
    <row r="5041" spans="1:4" ht="12.75" customHeight="1" x14ac:dyDescent="0.2">
      <c r="A5041" s="22" t="str">
        <f>HYPERLINK("javascript:void(0)","diffacél ostromtarack")</f>
        <v>diffacél ostromtarack</v>
      </c>
      <c r="B5041" s="21"/>
      <c r="C5041" s="21"/>
      <c r="D5041" s="21"/>
    </row>
    <row r="5042" spans="1:4" ht="12.75" customHeight="1" x14ac:dyDescent="0.2">
      <c r="A5042" s="20"/>
      <c r="B5042" s="2"/>
      <c r="C5042" s="2"/>
      <c r="D5042" s="2"/>
    </row>
    <row r="5043" spans="1:4" ht="12.75" customHeight="1" x14ac:dyDescent="0.2">
      <c r="A5043" s="21"/>
      <c r="B5043" s="3" t="s">
        <v>0</v>
      </c>
      <c r="C5043" s="20" t="s">
        <v>146</v>
      </c>
      <c r="D5043" s="21"/>
    </row>
    <row r="5044" spans="1:4" ht="12.75" customHeight="1" x14ac:dyDescent="0.2">
      <c r="A5044" s="21"/>
      <c r="B5044" s="3" t="s">
        <v>2</v>
      </c>
      <c r="C5044" s="20" t="s">
        <v>3</v>
      </c>
      <c r="D5044" s="21"/>
    </row>
    <row r="5045" spans="1:4" ht="12.75" customHeight="1" x14ac:dyDescent="0.2">
      <c r="A5045" s="21"/>
      <c r="B5045" s="3" t="s">
        <v>4</v>
      </c>
      <c r="C5045" s="20" t="s">
        <v>1369</v>
      </c>
      <c r="D5045" s="21"/>
    </row>
    <row r="5046" spans="1:4" ht="12.75" customHeight="1" x14ac:dyDescent="0.2">
      <c r="A5046" s="21"/>
      <c r="B5046" s="3" t="s">
        <v>6</v>
      </c>
      <c r="C5046" s="20" t="s">
        <v>324</v>
      </c>
      <c r="D5046" s="21"/>
    </row>
    <row r="5047" spans="1:4" ht="12.75" customHeight="1" x14ac:dyDescent="0.2">
      <c r="A5047" s="21"/>
      <c r="B5047" s="3" t="s">
        <v>8</v>
      </c>
      <c r="C5047" s="20" t="s">
        <v>1369</v>
      </c>
      <c r="D5047" s="21"/>
    </row>
    <row r="5048" spans="1:4" ht="12.75" customHeight="1" x14ac:dyDescent="0.2">
      <c r="A5048" s="21"/>
      <c r="B5048" s="3" t="s">
        <v>9</v>
      </c>
      <c r="C5048" s="20" t="s">
        <v>343</v>
      </c>
      <c r="D5048" s="21"/>
    </row>
    <row r="5049" spans="1:4" ht="12.75" customHeight="1" x14ac:dyDescent="0.2">
      <c r="A5049" s="21"/>
      <c r="B5049" s="3" t="s">
        <v>11</v>
      </c>
      <c r="C5049" s="20" t="s">
        <v>1180</v>
      </c>
      <c r="D5049" s="21"/>
    </row>
    <row r="5050" spans="1:4" ht="12.75" customHeight="1" x14ac:dyDescent="0.2">
      <c r="A5050" s="21"/>
      <c r="B5050" s="3" t="s">
        <v>13</v>
      </c>
      <c r="C5050" s="20" t="s">
        <v>24</v>
      </c>
      <c r="D5050" s="21"/>
    </row>
    <row r="5051" spans="1:4" ht="12.75" customHeight="1" x14ac:dyDescent="0.2">
      <c r="A5051" s="21"/>
      <c r="B5051" s="3" t="s">
        <v>15</v>
      </c>
      <c r="C5051" s="20" t="s">
        <v>24</v>
      </c>
      <c r="D5051" s="21"/>
    </row>
    <row r="5052" spans="1:4" ht="12.75" customHeight="1" x14ac:dyDescent="0.2">
      <c r="A5052" s="21"/>
      <c r="B5052" s="3" t="s">
        <v>16</v>
      </c>
      <c r="C5052" s="20"/>
      <c r="D5052" s="21"/>
    </row>
    <row r="5053" spans="1:4" ht="12.75" customHeight="1" x14ac:dyDescent="0.2">
      <c r="A5053" s="21"/>
      <c r="B5053" s="3" t="s">
        <v>17</v>
      </c>
      <c r="C5053" s="20"/>
      <c r="D5053" s="21"/>
    </row>
    <row r="5054" spans="1:4" ht="12.75" customHeight="1" x14ac:dyDescent="0.2">
      <c r="A5054" s="21"/>
      <c r="B5054" s="20" t="s">
        <v>18</v>
      </c>
      <c r="C5054" s="4" t="s">
        <v>44</v>
      </c>
      <c r="D5054" s="6" t="str">
        <f>HYPERLINK("javascript:void(0)","diffacél tűvető")</f>
        <v>diffacél tűvető</v>
      </c>
    </row>
    <row r="5055" spans="1:4" ht="12.75" customHeight="1" x14ac:dyDescent="0.2">
      <c r="A5055" s="21"/>
      <c r="B5055" s="21"/>
      <c r="C5055" s="4" t="s">
        <v>796</v>
      </c>
      <c r="D5055" s="6" t="str">
        <f>HYPERLINK("javascript:void(0)","árnyékláb")</f>
        <v>árnyékláb</v>
      </c>
    </row>
    <row r="5056" spans="1:4" ht="12.75" customHeight="1" x14ac:dyDescent="0.2">
      <c r="A5056" s="21"/>
      <c r="B5056" s="21"/>
      <c r="C5056" s="4" t="s">
        <v>67</v>
      </c>
      <c r="D5056" s="6" t="str">
        <f>HYPERLINK("javascript:void(0)","cerka")</f>
        <v>cerka</v>
      </c>
    </row>
    <row r="5057" spans="1:4" ht="12.75" customHeight="1" x14ac:dyDescent="0.2">
      <c r="A5057" s="5"/>
      <c r="B5057" s="2"/>
      <c r="C5057" s="2"/>
      <c r="D5057" s="2"/>
    </row>
    <row r="5058" spans="1:4" ht="12.75" customHeight="1" x14ac:dyDescent="0.2">
      <c r="A5058" s="22" t="str">
        <f>HYPERLINK("javascript:void(0)","kriptonacél ostromtarack")</f>
        <v>kriptonacél ostromtarack</v>
      </c>
      <c r="B5058" s="21"/>
      <c r="C5058" s="21"/>
      <c r="D5058" s="21"/>
    </row>
    <row r="5059" spans="1:4" ht="12.75" customHeight="1" x14ac:dyDescent="0.2">
      <c r="A5059" s="20"/>
      <c r="B5059" s="2"/>
      <c r="C5059" s="2"/>
      <c r="D5059" s="2"/>
    </row>
    <row r="5060" spans="1:4" ht="12.75" customHeight="1" x14ac:dyDescent="0.2">
      <c r="A5060" s="21"/>
      <c r="B5060" s="3" t="s">
        <v>0</v>
      </c>
      <c r="C5060" s="20" t="s">
        <v>1373</v>
      </c>
      <c r="D5060" s="21"/>
    </row>
    <row r="5061" spans="1:4" ht="12.75" customHeight="1" x14ac:dyDescent="0.2">
      <c r="A5061" s="21"/>
      <c r="B5061" s="3" t="s">
        <v>2</v>
      </c>
      <c r="C5061" s="20" t="s">
        <v>3</v>
      </c>
      <c r="D5061" s="21"/>
    </row>
    <row r="5062" spans="1:4" ht="12.75" customHeight="1" x14ac:dyDescent="0.2">
      <c r="A5062" s="21"/>
      <c r="B5062" s="3" t="s">
        <v>4</v>
      </c>
      <c r="C5062" s="20" t="s">
        <v>1374</v>
      </c>
      <c r="D5062" s="21"/>
    </row>
    <row r="5063" spans="1:4" ht="12.75" customHeight="1" x14ac:dyDescent="0.2">
      <c r="A5063" s="21"/>
      <c r="B5063" s="3" t="s">
        <v>6</v>
      </c>
      <c r="C5063" s="20" t="s">
        <v>274</v>
      </c>
      <c r="D5063" s="21"/>
    </row>
    <row r="5064" spans="1:4" ht="12.75" customHeight="1" x14ac:dyDescent="0.2">
      <c r="A5064" s="21"/>
      <c r="B5064" s="3" t="s">
        <v>8</v>
      </c>
      <c r="C5064" s="20" t="s">
        <v>1374</v>
      </c>
      <c r="D5064" s="21"/>
    </row>
    <row r="5065" spans="1:4" ht="12.75" customHeight="1" x14ac:dyDescent="0.2">
      <c r="A5065" s="21"/>
      <c r="B5065" s="3" t="s">
        <v>9</v>
      </c>
      <c r="C5065" s="20" t="s">
        <v>1375</v>
      </c>
      <c r="D5065" s="21"/>
    </row>
    <row r="5066" spans="1:4" ht="12.75" customHeight="1" x14ac:dyDescent="0.2">
      <c r="A5066" s="21"/>
      <c r="B5066" s="3" t="s">
        <v>11</v>
      </c>
      <c r="C5066" s="20" t="s">
        <v>1203</v>
      </c>
      <c r="D5066" s="21"/>
    </row>
    <row r="5067" spans="1:4" ht="12.75" customHeight="1" x14ac:dyDescent="0.2">
      <c r="A5067" s="21"/>
      <c r="B5067" s="3" t="s">
        <v>13</v>
      </c>
      <c r="C5067" s="20" t="s">
        <v>24</v>
      </c>
      <c r="D5067" s="21"/>
    </row>
    <row r="5068" spans="1:4" ht="12.75" customHeight="1" x14ac:dyDescent="0.2">
      <c r="A5068" s="21"/>
      <c r="B5068" s="3" t="s">
        <v>15</v>
      </c>
      <c r="C5068" s="20" t="s">
        <v>24</v>
      </c>
      <c r="D5068" s="21"/>
    </row>
    <row r="5069" spans="1:4" ht="12.75" customHeight="1" x14ac:dyDescent="0.2">
      <c r="A5069" s="21"/>
      <c r="B5069" s="3" t="s">
        <v>16</v>
      </c>
      <c r="C5069" s="20"/>
      <c r="D5069" s="21"/>
    </row>
    <row r="5070" spans="1:4" ht="12.75" customHeight="1" x14ac:dyDescent="0.2">
      <c r="A5070" s="21"/>
      <c r="B5070" s="3" t="s">
        <v>17</v>
      </c>
      <c r="C5070" s="20"/>
      <c r="D5070" s="21"/>
    </row>
    <row r="5071" spans="1:4" ht="12.75" customHeight="1" x14ac:dyDescent="0.2">
      <c r="A5071" s="21"/>
      <c r="B5071" s="20" t="s">
        <v>18</v>
      </c>
      <c r="C5071" s="4" t="s">
        <v>44</v>
      </c>
      <c r="D5071" s="6" t="str">
        <f>HYPERLINK("javascript:void(0)","kriptonacél pattantyú")</f>
        <v>kriptonacél pattantyú</v>
      </c>
    </row>
    <row r="5072" spans="1:4" ht="12.75" customHeight="1" x14ac:dyDescent="0.2">
      <c r="A5072" s="21"/>
      <c r="B5072" s="21"/>
      <c r="C5072" s="4" t="s">
        <v>796</v>
      </c>
      <c r="D5072" s="6" t="str">
        <f>HYPERLINK("javascript:void(0)","árnyékláb")</f>
        <v>árnyékláb</v>
      </c>
    </row>
    <row r="5073" spans="1:4" ht="12.75" customHeight="1" x14ac:dyDescent="0.2">
      <c r="A5073" s="21"/>
      <c r="B5073" s="21"/>
      <c r="C5073" s="4" t="s">
        <v>193</v>
      </c>
      <c r="D5073" s="6" t="str">
        <f>HYPERLINK("javascript:void(0)","fókaprém")</f>
        <v>fókaprém</v>
      </c>
    </row>
    <row r="5074" spans="1:4" ht="12.75" customHeight="1" x14ac:dyDescent="0.2">
      <c r="A5074" s="5"/>
      <c r="B5074" s="2"/>
      <c r="C5074" s="2"/>
      <c r="D5074" s="2"/>
    </row>
    <row r="5075" spans="1:4" ht="12.75" customHeight="1" x14ac:dyDescent="0.2">
      <c r="A5075" s="22" t="str">
        <f>HYPERLINK("javascript:void(0)","mengorni ostromtarack")</f>
        <v>mengorni ostromtarack</v>
      </c>
      <c r="B5075" s="21"/>
      <c r="C5075" s="21"/>
      <c r="D5075" s="21"/>
    </row>
    <row r="5076" spans="1:4" ht="12.75" customHeight="1" x14ac:dyDescent="0.2">
      <c r="A5076" s="20"/>
      <c r="B5076" s="2"/>
      <c r="C5076" s="2"/>
      <c r="D5076" s="2"/>
    </row>
    <row r="5077" spans="1:4" ht="12.75" customHeight="1" x14ac:dyDescent="0.2">
      <c r="A5077" s="21"/>
      <c r="B5077" s="3" t="s">
        <v>0</v>
      </c>
      <c r="C5077" s="20" t="s">
        <v>1381</v>
      </c>
      <c r="D5077" s="21"/>
    </row>
    <row r="5078" spans="1:4" ht="12.75" customHeight="1" x14ac:dyDescent="0.2">
      <c r="A5078" s="21"/>
      <c r="B5078" s="3" t="s">
        <v>2</v>
      </c>
      <c r="C5078" s="20" t="s">
        <v>3</v>
      </c>
      <c r="D5078" s="21"/>
    </row>
    <row r="5079" spans="1:4" ht="12.75" customHeight="1" x14ac:dyDescent="0.2">
      <c r="A5079" s="21"/>
      <c r="B5079" s="3" t="s">
        <v>4</v>
      </c>
      <c r="C5079" s="20" t="s">
        <v>1382</v>
      </c>
      <c r="D5079" s="21"/>
    </row>
    <row r="5080" spans="1:4" ht="12.75" customHeight="1" x14ac:dyDescent="0.2">
      <c r="A5080" s="21"/>
      <c r="B5080" s="3" t="s">
        <v>6</v>
      </c>
      <c r="C5080" s="20" t="s">
        <v>272</v>
      </c>
      <c r="D5080" s="21"/>
    </row>
    <row r="5081" spans="1:4" ht="12.75" customHeight="1" x14ac:dyDescent="0.2">
      <c r="A5081" s="21"/>
      <c r="B5081" s="3" t="s">
        <v>8</v>
      </c>
      <c r="C5081" s="20" t="s">
        <v>1382</v>
      </c>
      <c r="D5081" s="21"/>
    </row>
    <row r="5082" spans="1:4" ht="12.75" customHeight="1" x14ac:dyDescent="0.2">
      <c r="A5082" s="21"/>
      <c r="B5082" s="3" t="s">
        <v>9</v>
      </c>
      <c r="C5082" s="20" t="s">
        <v>1383</v>
      </c>
      <c r="D5082" s="21"/>
    </row>
    <row r="5083" spans="1:4" ht="12.75" customHeight="1" x14ac:dyDescent="0.2">
      <c r="A5083" s="21"/>
      <c r="B5083" s="3" t="s">
        <v>11</v>
      </c>
      <c r="C5083" s="20" t="s">
        <v>1235</v>
      </c>
      <c r="D5083" s="21"/>
    </row>
    <row r="5084" spans="1:4" ht="12.75" customHeight="1" x14ac:dyDescent="0.2">
      <c r="A5084" s="21"/>
      <c r="B5084" s="3" t="s">
        <v>13</v>
      </c>
      <c r="C5084" s="20" t="s">
        <v>24</v>
      </c>
      <c r="D5084" s="21"/>
    </row>
    <row r="5085" spans="1:4" ht="12.75" customHeight="1" x14ac:dyDescent="0.2">
      <c r="A5085" s="21"/>
      <c r="B5085" s="3" t="s">
        <v>15</v>
      </c>
      <c r="C5085" s="20" t="s">
        <v>24</v>
      </c>
      <c r="D5085" s="21"/>
    </row>
    <row r="5086" spans="1:4" ht="12.75" customHeight="1" x14ac:dyDescent="0.2">
      <c r="A5086" s="21"/>
      <c r="B5086" s="3" t="s">
        <v>16</v>
      </c>
      <c r="C5086" s="20"/>
      <c r="D5086" s="21"/>
    </row>
    <row r="5087" spans="1:4" ht="12.75" customHeight="1" x14ac:dyDescent="0.2">
      <c r="A5087" s="21"/>
      <c r="B5087" s="3" t="s">
        <v>17</v>
      </c>
      <c r="C5087" s="20"/>
      <c r="D5087" s="21"/>
    </row>
    <row r="5088" spans="1:4" ht="12.75" customHeight="1" x14ac:dyDescent="0.2">
      <c r="A5088" s="21"/>
      <c r="B5088" s="20" t="s">
        <v>18</v>
      </c>
      <c r="C5088" s="4" t="s">
        <v>44</v>
      </c>
      <c r="D5088" s="6" t="str">
        <f>HYPERLINK("javascript:void(0)","mengorni pattantyú")</f>
        <v>mengorni pattantyú</v>
      </c>
    </row>
    <row r="5089" spans="1:4" ht="12.75" customHeight="1" x14ac:dyDescent="0.2">
      <c r="A5089" s="21"/>
      <c r="B5089" s="21"/>
      <c r="C5089" s="4" t="s">
        <v>1384</v>
      </c>
      <c r="D5089" s="6" t="str">
        <f>HYPERLINK("javascript:void(0)","árnyékláb")</f>
        <v>árnyékláb</v>
      </c>
    </row>
    <row r="5090" spans="1:4" ht="12.75" customHeight="1" x14ac:dyDescent="0.2">
      <c r="A5090" s="21"/>
      <c r="B5090" s="21"/>
      <c r="C5090" s="4" t="s">
        <v>193</v>
      </c>
      <c r="D5090" s="6" t="str">
        <f>HYPERLINK("javascript:void(0)","banánhéj")</f>
        <v>banánhéj</v>
      </c>
    </row>
    <row r="5091" spans="1:4" ht="12.75" customHeight="1" x14ac:dyDescent="0.2">
      <c r="A5091" s="5"/>
      <c r="B5091" s="2"/>
      <c r="C5091" s="2"/>
      <c r="D5091" s="2"/>
    </row>
    <row r="5092" spans="1:4" ht="12.75" customHeight="1" x14ac:dyDescent="0.2">
      <c r="A5092" s="22" t="str">
        <f>HYPERLINK("javascript:void(0)","skivei ostromtarack")</f>
        <v>skivei ostromtarack</v>
      </c>
      <c r="B5092" s="21"/>
      <c r="C5092" s="21"/>
      <c r="D5092" s="21"/>
    </row>
    <row r="5093" spans="1:4" ht="12.75" customHeight="1" x14ac:dyDescent="0.2">
      <c r="A5093" s="20"/>
      <c r="B5093" s="2"/>
      <c r="C5093" s="2"/>
      <c r="D5093" s="2"/>
    </row>
    <row r="5094" spans="1:4" ht="12.75" customHeight="1" x14ac:dyDescent="0.2">
      <c r="A5094" s="21"/>
      <c r="B5094" s="3" t="s">
        <v>0</v>
      </c>
      <c r="C5094" s="20" t="s">
        <v>1385</v>
      </c>
      <c r="D5094" s="21"/>
    </row>
    <row r="5095" spans="1:4" ht="12.75" customHeight="1" x14ac:dyDescent="0.2">
      <c r="A5095" s="21"/>
      <c r="B5095" s="3" t="s">
        <v>2</v>
      </c>
      <c r="C5095" s="20" t="s">
        <v>3</v>
      </c>
      <c r="D5095" s="21"/>
    </row>
    <row r="5096" spans="1:4" ht="12.75" customHeight="1" x14ac:dyDescent="0.2">
      <c r="A5096" s="21"/>
      <c r="B5096" s="3" t="s">
        <v>4</v>
      </c>
      <c r="C5096" s="20" t="s">
        <v>1386</v>
      </c>
      <c r="D5096" s="21"/>
    </row>
    <row r="5097" spans="1:4" ht="12.75" customHeight="1" x14ac:dyDescent="0.2">
      <c r="A5097" s="21"/>
      <c r="B5097" s="3" t="s">
        <v>6</v>
      </c>
      <c r="C5097" s="20" t="s">
        <v>284</v>
      </c>
      <c r="D5097" s="21"/>
    </row>
    <row r="5098" spans="1:4" ht="12.75" customHeight="1" x14ac:dyDescent="0.2">
      <c r="A5098" s="21"/>
      <c r="B5098" s="3" t="s">
        <v>8</v>
      </c>
      <c r="C5098" s="20" t="s">
        <v>1386</v>
      </c>
      <c r="D5098" s="21"/>
    </row>
    <row r="5099" spans="1:4" ht="12.75" customHeight="1" x14ac:dyDescent="0.2">
      <c r="A5099" s="21"/>
      <c r="B5099" s="3" t="s">
        <v>9</v>
      </c>
      <c r="C5099" s="20" t="s">
        <v>1387</v>
      </c>
      <c r="D5099" s="21"/>
    </row>
    <row r="5100" spans="1:4" ht="12.75" customHeight="1" x14ac:dyDescent="0.2">
      <c r="A5100" s="21"/>
      <c r="B5100" s="3" t="s">
        <v>11</v>
      </c>
      <c r="C5100" s="20" t="s">
        <v>1248</v>
      </c>
      <c r="D5100" s="21"/>
    </row>
    <row r="5101" spans="1:4" ht="12.75" customHeight="1" x14ac:dyDescent="0.2">
      <c r="A5101" s="21"/>
      <c r="B5101" s="3" t="s">
        <v>13</v>
      </c>
      <c r="C5101" s="20" t="s">
        <v>24</v>
      </c>
      <c r="D5101" s="21"/>
    </row>
    <row r="5102" spans="1:4" ht="12.75" customHeight="1" x14ac:dyDescent="0.2">
      <c r="A5102" s="21"/>
      <c r="B5102" s="3" t="s">
        <v>15</v>
      </c>
      <c r="C5102" s="20" t="s">
        <v>24</v>
      </c>
      <c r="D5102" s="21"/>
    </row>
    <row r="5103" spans="1:4" ht="12.75" customHeight="1" x14ac:dyDescent="0.2">
      <c r="A5103" s="21"/>
      <c r="B5103" s="3" t="s">
        <v>16</v>
      </c>
      <c r="C5103" s="20"/>
      <c r="D5103" s="21"/>
    </row>
    <row r="5104" spans="1:4" ht="12.75" customHeight="1" x14ac:dyDescent="0.2">
      <c r="A5104" s="21"/>
      <c r="B5104" s="3" t="s">
        <v>17</v>
      </c>
      <c r="C5104" s="20"/>
      <c r="D5104" s="21"/>
    </row>
    <row r="5105" spans="1:4" ht="12.75" customHeight="1" x14ac:dyDescent="0.2">
      <c r="A5105" s="21"/>
      <c r="B5105" s="20" t="s">
        <v>18</v>
      </c>
      <c r="C5105" s="4" t="s">
        <v>44</v>
      </c>
      <c r="D5105" s="6" t="str">
        <f>HYPERLINK("javascript:void(0)","skivei pattantyú")</f>
        <v>skivei pattantyú</v>
      </c>
    </row>
    <row r="5106" spans="1:4" ht="12.75" customHeight="1" x14ac:dyDescent="0.2">
      <c r="A5106" s="21"/>
      <c r="B5106" s="21"/>
      <c r="C5106" s="4" t="s">
        <v>1388</v>
      </c>
      <c r="D5106" s="6" t="str">
        <f>HYPERLINK("javascript:void(0)","árnyékláb")</f>
        <v>árnyékláb</v>
      </c>
    </row>
    <row r="5107" spans="1:4" ht="12.75" customHeight="1" x14ac:dyDescent="0.2">
      <c r="A5107" s="21"/>
      <c r="B5107" s="21"/>
      <c r="C5107" s="4" t="s">
        <v>193</v>
      </c>
      <c r="D5107" s="6" t="str">
        <f>HYPERLINK("javascript:void(0)","cerka")</f>
        <v>cerka</v>
      </c>
    </row>
    <row r="5108" spans="1:4" ht="12.75" customHeight="1" x14ac:dyDescent="0.2">
      <c r="A5108" s="5"/>
      <c r="B5108" s="2"/>
      <c r="C5108" s="2"/>
      <c r="D5108" s="2"/>
    </row>
    <row r="5109" spans="1:4" ht="12.75" customHeight="1" x14ac:dyDescent="0.2">
      <c r="A5109" s="22" t="str">
        <f>HYPERLINK("javascript:void(0)","parszi ostromtarack")</f>
        <v>parszi ostromtarack</v>
      </c>
      <c r="B5109" s="21"/>
      <c r="C5109" s="21"/>
      <c r="D5109" s="21"/>
    </row>
    <row r="5110" spans="1:4" ht="12.75" customHeight="1" x14ac:dyDescent="0.2">
      <c r="A5110" s="20"/>
      <c r="B5110" s="2"/>
      <c r="C5110" s="2"/>
      <c r="D5110" s="2"/>
    </row>
    <row r="5111" spans="1:4" ht="12.75" customHeight="1" x14ac:dyDescent="0.2">
      <c r="A5111" s="21"/>
      <c r="B5111" s="3" t="s">
        <v>0</v>
      </c>
      <c r="C5111" s="20" t="s">
        <v>1390</v>
      </c>
      <c r="D5111" s="21"/>
    </row>
    <row r="5112" spans="1:4" ht="12.75" customHeight="1" x14ac:dyDescent="0.2">
      <c r="A5112" s="21"/>
      <c r="B5112" s="3" t="s">
        <v>2</v>
      </c>
      <c r="C5112" s="20" t="s">
        <v>3</v>
      </c>
      <c r="D5112" s="21"/>
    </row>
    <row r="5113" spans="1:4" ht="12.75" customHeight="1" x14ac:dyDescent="0.2">
      <c r="A5113" s="21"/>
      <c r="B5113" s="3" t="s">
        <v>4</v>
      </c>
      <c r="C5113" s="20" t="s">
        <v>1391</v>
      </c>
      <c r="D5113" s="21"/>
    </row>
    <row r="5114" spans="1:4" ht="12.75" customHeight="1" x14ac:dyDescent="0.2">
      <c r="A5114" s="21"/>
      <c r="B5114" s="3" t="s">
        <v>6</v>
      </c>
      <c r="C5114" s="20" t="s">
        <v>392</v>
      </c>
      <c r="D5114" s="21"/>
    </row>
    <row r="5115" spans="1:4" ht="12.75" customHeight="1" x14ac:dyDescent="0.2">
      <c r="A5115" s="21"/>
      <c r="B5115" s="3" t="s">
        <v>8</v>
      </c>
      <c r="C5115" s="20" t="s">
        <v>1391</v>
      </c>
      <c r="D5115" s="21"/>
    </row>
    <row r="5116" spans="1:4" ht="12.75" customHeight="1" x14ac:dyDescent="0.2">
      <c r="A5116" s="21"/>
      <c r="B5116" s="3" t="s">
        <v>9</v>
      </c>
      <c r="C5116" s="20" t="s">
        <v>1392</v>
      </c>
      <c r="D5116" s="21"/>
    </row>
    <row r="5117" spans="1:4" ht="12.75" customHeight="1" x14ac:dyDescent="0.2">
      <c r="A5117" s="21"/>
      <c r="B5117" s="3" t="s">
        <v>11</v>
      </c>
      <c r="C5117" s="20" t="s">
        <v>1269</v>
      </c>
      <c r="D5117" s="21"/>
    </row>
    <row r="5118" spans="1:4" ht="12.75" customHeight="1" x14ac:dyDescent="0.2">
      <c r="A5118" s="21"/>
      <c r="B5118" s="3" t="s">
        <v>13</v>
      </c>
      <c r="C5118" s="20" t="s">
        <v>24</v>
      </c>
      <c r="D5118" s="21"/>
    </row>
    <row r="5119" spans="1:4" ht="12.75" customHeight="1" x14ac:dyDescent="0.2">
      <c r="A5119" s="21"/>
      <c r="B5119" s="3" t="s">
        <v>15</v>
      </c>
      <c r="C5119" s="20" t="s">
        <v>24</v>
      </c>
      <c r="D5119" s="21"/>
    </row>
    <row r="5120" spans="1:4" ht="12.75" customHeight="1" x14ac:dyDescent="0.2">
      <c r="A5120" s="21"/>
      <c r="B5120" s="3" t="s">
        <v>16</v>
      </c>
      <c r="C5120" s="20"/>
      <c r="D5120" s="21"/>
    </row>
    <row r="5121" spans="1:4" ht="12.75" customHeight="1" x14ac:dyDescent="0.2">
      <c r="A5121" s="21"/>
      <c r="B5121" s="3" t="s">
        <v>17</v>
      </c>
      <c r="C5121" s="20"/>
      <c r="D5121" s="21"/>
    </row>
    <row r="5122" spans="1:4" ht="12.75" customHeight="1" x14ac:dyDescent="0.2">
      <c r="A5122" s="21"/>
      <c r="B5122" s="20" t="s">
        <v>18</v>
      </c>
      <c r="C5122" s="4" t="s">
        <v>44</v>
      </c>
      <c r="D5122" s="6" t="str">
        <f>HYPERLINK("javascript:void(0)","parszi pattantyú")</f>
        <v>parszi pattantyú</v>
      </c>
    </row>
    <row r="5123" spans="1:4" ht="12.75" customHeight="1" x14ac:dyDescent="0.2">
      <c r="A5123" s="21"/>
      <c r="B5123" s="21"/>
      <c r="C5123" s="4" t="s">
        <v>474</v>
      </c>
      <c r="D5123" s="6" t="str">
        <f>HYPERLINK("javascript:void(0)","árnyékláb")</f>
        <v>árnyékláb</v>
      </c>
    </row>
    <row r="5124" spans="1:4" ht="12.75" customHeight="1" x14ac:dyDescent="0.2">
      <c r="A5124" s="21"/>
      <c r="B5124" s="21"/>
      <c r="C5124" s="4" t="s">
        <v>193</v>
      </c>
      <c r="D5124" s="6" t="str">
        <f>HYPERLINK("javascript:void(0)","átokhordozó")</f>
        <v>átokhordozó</v>
      </c>
    </row>
    <row r="5125" spans="1:4" ht="12.75" customHeight="1" x14ac:dyDescent="0.2">
      <c r="A5125" s="5"/>
      <c r="B5125" s="2"/>
      <c r="C5125" s="2"/>
      <c r="D5125" s="2"/>
    </row>
    <row r="5126" spans="1:4" ht="12.75" customHeight="1" x14ac:dyDescent="0.2">
      <c r="A5126" s="22" t="str">
        <f>HYPERLINK("javascript:void(0)","rimföldi ostromtarack")</f>
        <v>rimföldi ostromtarack</v>
      </c>
      <c r="B5126" s="21"/>
      <c r="C5126" s="21"/>
      <c r="D5126" s="21"/>
    </row>
    <row r="5127" spans="1:4" ht="12.75" customHeight="1" x14ac:dyDescent="0.2">
      <c r="A5127" s="20"/>
      <c r="B5127" s="2"/>
      <c r="C5127" s="2"/>
      <c r="D5127" s="2"/>
    </row>
    <row r="5128" spans="1:4" ht="12.75" customHeight="1" x14ac:dyDescent="0.2">
      <c r="A5128" s="21"/>
      <c r="B5128" s="3" t="s">
        <v>0</v>
      </c>
      <c r="C5128" s="20" t="s">
        <v>411</v>
      </c>
      <c r="D5128" s="21"/>
    </row>
    <row r="5129" spans="1:4" ht="12.75" customHeight="1" x14ac:dyDescent="0.2">
      <c r="A5129" s="21"/>
      <c r="B5129" s="3" t="s">
        <v>2</v>
      </c>
      <c r="C5129" s="20" t="s">
        <v>3</v>
      </c>
      <c r="D5129" s="21"/>
    </row>
    <row r="5130" spans="1:4" ht="12.75" customHeight="1" x14ac:dyDescent="0.2">
      <c r="A5130" s="21"/>
      <c r="B5130" s="3" t="s">
        <v>4</v>
      </c>
      <c r="C5130" s="20" t="s">
        <v>1395</v>
      </c>
      <c r="D5130" s="21"/>
    </row>
    <row r="5131" spans="1:4" ht="12.75" customHeight="1" x14ac:dyDescent="0.2">
      <c r="A5131" s="21"/>
      <c r="B5131" s="3" t="s">
        <v>6</v>
      </c>
      <c r="C5131" s="20" t="s">
        <v>41</v>
      </c>
      <c r="D5131" s="21"/>
    </row>
    <row r="5132" spans="1:4" ht="12.75" customHeight="1" x14ac:dyDescent="0.2">
      <c r="A5132" s="21"/>
      <c r="B5132" s="3" t="s">
        <v>8</v>
      </c>
      <c r="C5132" s="20" t="s">
        <v>1395</v>
      </c>
      <c r="D5132" s="21"/>
    </row>
    <row r="5133" spans="1:4" ht="12.75" customHeight="1" x14ac:dyDescent="0.2">
      <c r="A5133" s="21"/>
      <c r="B5133" s="3" t="s">
        <v>9</v>
      </c>
      <c r="C5133" s="20" t="s">
        <v>1392</v>
      </c>
      <c r="D5133" s="21"/>
    </row>
    <row r="5134" spans="1:4" ht="12.75" customHeight="1" x14ac:dyDescent="0.2">
      <c r="A5134" s="21"/>
      <c r="B5134" s="3" t="s">
        <v>11</v>
      </c>
      <c r="C5134" s="20" t="s">
        <v>1283</v>
      </c>
      <c r="D5134" s="21"/>
    </row>
    <row r="5135" spans="1:4" ht="12.75" customHeight="1" x14ac:dyDescent="0.2">
      <c r="A5135" s="21"/>
      <c r="B5135" s="3" t="s">
        <v>13</v>
      </c>
      <c r="C5135" s="20" t="s">
        <v>24</v>
      </c>
      <c r="D5135" s="21"/>
    </row>
    <row r="5136" spans="1:4" ht="12.75" customHeight="1" x14ac:dyDescent="0.2">
      <c r="A5136" s="21"/>
      <c r="B5136" s="3" t="s">
        <v>15</v>
      </c>
      <c r="C5136" s="20" t="s">
        <v>24</v>
      </c>
      <c r="D5136" s="21"/>
    </row>
    <row r="5137" spans="1:4" ht="12.75" customHeight="1" x14ac:dyDescent="0.2">
      <c r="A5137" s="21"/>
      <c r="B5137" s="3" t="s">
        <v>16</v>
      </c>
      <c r="C5137" s="20"/>
      <c r="D5137" s="21"/>
    </row>
    <row r="5138" spans="1:4" ht="12.75" customHeight="1" x14ac:dyDescent="0.2">
      <c r="A5138" s="21"/>
      <c r="B5138" s="3" t="s">
        <v>17</v>
      </c>
      <c r="C5138" s="20"/>
      <c r="D5138" s="21"/>
    </row>
    <row r="5139" spans="1:4" ht="12.75" customHeight="1" x14ac:dyDescent="0.2">
      <c r="A5139" s="21"/>
      <c r="B5139" s="20" t="s">
        <v>18</v>
      </c>
      <c r="C5139" s="4" t="s">
        <v>44</v>
      </c>
      <c r="D5139" s="6" t="str">
        <f>HYPERLINK("javascript:void(0)","rimföldi pattantyú")</f>
        <v>rimföldi pattantyú</v>
      </c>
    </row>
    <row r="5140" spans="1:4" ht="12.75" customHeight="1" x14ac:dyDescent="0.2">
      <c r="A5140" s="21"/>
      <c r="B5140" s="21"/>
      <c r="C5140" s="4" t="s">
        <v>1398</v>
      </c>
      <c r="D5140" s="6" t="str">
        <f>HYPERLINK("javascript:void(0)","árnyékláb")</f>
        <v>árnyékláb</v>
      </c>
    </row>
    <row r="5141" spans="1:4" ht="12.75" customHeight="1" x14ac:dyDescent="0.2">
      <c r="A5141" s="21"/>
      <c r="B5141" s="21"/>
      <c r="C5141" s="4" t="s">
        <v>193</v>
      </c>
      <c r="D5141" s="6" t="str">
        <f>HYPERLINK("javascript:void(0)","szőrpenge")</f>
        <v>szőrpenge</v>
      </c>
    </row>
    <row r="5142" spans="1:4" ht="12.75" customHeight="1" x14ac:dyDescent="0.2">
      <c r="A5142" s="5"/>
      <c r="B5142" s="2"/>
      <c r="C5142" s="2"/>
      <c r="D5142" s="2"/>
    </row>
    <row r="5143" spans="1:4" ht="12.75" customHeight="1" x14ac:dyDescent="0.2">
      <c r="A5143" s="22" t="str">
        <f>HYPERLINK("javascript:void(0)","wendír ostromtarack")</f>
        <v>wendír ostromtarack</v>
      </c>
      <c r="B5143" s="21"/>
      <c r="C5143" s="21"/>
      <c r="D5143" s="21"/>
    </row>
    <row r="5144" spans="1:4" ht="12.75" customHeight="1" x14ac:dyDescent="0.2">
      <c r="A5144" s="20"/>
      <c r="B5144" s="2"/>
      <c r="C5144" s="2"/>
      <c r="D5144" s="2"/>
    </row>
    <row r="5145" spans="1:4" ht="12.75" customHeight="1" x14ac:dyDescent="0.2">
      <c r="A5145" s="21"/>
      <c r="B5145" s="3" t="s">
        <v>0</v>
      </c>
      <c r="C5145" s="20" t="s">
        <v>1400</v>
      </c>
      <c r="D5145" s="21"/>
    </row>
    <row r="5146" spans="1:4" ht="12.75" customHeight="1" x14ac:dyDescent="0.2">
      <c r="A5146" s="21"/>
      <c r="B5146" s="3" t="s">
        <v>2</v>
      </c>
      <c r="C5146" s="20" t="s">
        <v>3</v>
      </c>
      <c r="D5146" s="21"/>
    </row>
    <row r="5147" spans="1:4" ht="12.75" customHeight="1" x14ac:dyDescent="0.2">
      <c r="A5147" s="21"/>
      <c r="B5147" s="3" t="s">
        <v>4</v>
      </c>
      <c r="C5147" s="20" t="s">
        <v>1401</v>
      </c>
      <c r="D5147" s="21"/>
    </row>
    <row r="5148" spans="1:4" ht="12.75" customHeight="1" x14ac:dyDescent="0.2">
      <c r="A5148" s="21"/>
      <c r="B5148" s="3" t="s">
        <v>6</v>
      </c>
      <c r="C5148" s="20" t="s">
        <v>52</v>
      </c>
      <c r="D5148" s="21"/>
    </row>
    <row r="5149" spans="1:4" ht="12.75" customHeight="1" x14ac:dyDescent="0.2">
      <c r="A5149" s="21"/>
      <c r="B5149" s="3" t="s">
        <v>8</v>
      </c>
      <c r="C5149" s="20" t="s">
        <v>1401</v>
      </c>
      <c r="D5149" s="21"/>
    </row>
    <row r="5150" spans="1:4" ht="12.75" customHeight="1" x14ac:dyDescent="0.2">
      <c r="A5150" s="21"/>
      <c r="B5150" s="3" t="s">
        <v>9</v>
      </c>
      <c r="C5150" s="20" t="s">
        <v>1383</v>
      </c>
      <c r="D5150" s="21"/>
    </row>
    <row r="5151" spans="1:4" ht="12.75" customHeight="1" x14ac:dyDescent="0.2">
      <c r="A5151" s="21"/>
      <c r="B5151" s="3" t="s">
        <v>11</v>
      </c>
      <c r="C5151" s="20" t="s">
        <v>1298</v>
      </c>
      <c r="D5151" s="21"/>
    </row>
    <row r="5152" spans="1:4" ht="12.75" customHeight="1" x14ac:dyDescent="0.2">
      <c r="A5152" s="21"/>
      <c r="B5152" s="3" t="s">
        <v>13</v>
      </c>
      <c r="C5152" s="20" t="s">
        <v>24</v>
      </c>
      <c r="D5152" s="21"/>
    </row>
    <row r="5153" spans="1:4" ht="12.75" customHeight="1" x14ac:dyDescent="0.2">
      <c r="A5153" s="21"/>
      <c r="B5153" s="3" t="s">
        <v>15</v>
      </c>
      <c r="C5153" s="20" t="s">
        <v>24</v>
      </c>
      <c r="D5153" s="21"/>
    </row>
    <row r="5154" spans="1:4" ht="12.75" customHeight="1" x14ac:dyDescent="0.2">
      <c r="A5154" s="21"/>
      <c r="B5154" s="3" t="s">
        <v>16</v>
      </c>
      <c r="C5154" s="20"/>
      <c r="D5154" s="21"/>
    </row>
    <row r="5155" spans="1:4" ht="12.75" customHeight="1" x14ac:dyDescent="0.2">
      <c r="A5155" s="21"/>
      <c r="B5155" s="3" t="s">
        <v>17</v>
      </c>
      <c r="C5155" s="20"/>
      <c r="D5155" s="21"/>
    </row>
    <row r="5156" spans="1:4" ht="12.75" customHeight="1" x14ac:dyDescent="0.2">
      <c r="A5156" s="21"/>
      <c r="B5156" s="20" t="s">
        <v>18</v>
      </c>
      <c r="C5156" s="4" t="s">
        <v>44</v>
      </c>
      <c r="D5156" s="6" t="str">
        <f>HYPERLINK("javascript:void(0)","wendír pattantyú")</f>
        <v>wendír pattantyú</v>
      </c>
    </row>
    <row r="5157" spans="1:4" ht="12.75" customHeight="1" x14ac:dyDescent="0.2">
      <c r="A5157" s="21"/>
      <c r="B5157" s="21"/>
      <c r="C5157" s="4" t="s">
        <v>1405</v>
      </c>
      <c r="D5157" s="6" t="str">
        <f>HYPERLINK("javascript:void(0)","árnyékláb")</f>
        <v>árnyékláb</v>
      </c>
    </row>
    <row r="5158" spans="1:4" ht="12.75" customHeight="1" x14ac:dyDescent="0.2">
      <c r="A5158" s="21"/>
      <c r="B5158" s="21"/>
      <c r="C5158" s="4" t="s">
        <v>193</v>
      </c>
      <c r="D5158" s="6" t="str">
        <f>HYPERLINK("javascript:void(0)","fiola")</f>
        <v>fiola</v>
      </c>
    </row>
    <row r="5159" spans="1:4" ht="12.75" customHeight="1" x14ac:dyDescent="0.2">
      <c r="A5159" s="5"/>
      <c r="B5159" s="2"/>
      <c r="C5159" s="2"/>
      <c r="D5159" s="2"/>
    </row>
    <row r="5160" spans="1:4" ht="12.75" customHeight="1" x14ac:dyDescent="0.2">
      <c r="A5160" s="22" t="str">
        <f>HYPERLINK("javascript:void(0)","artini ostromtarack")</f>
        <v>artini ostromtarack</v>
      </c>
      <c r="B5160" s="21"/>
      <c r="C5160" s="21"/>
      <c r="D5160" s="21"/>
    </row>
    <row r="5161" spans="1:4" ht="12.75" customHeight="1" x14ac:dyDescent="0.2">
      <c r="A5161" s="20"/>
      <c r="B5161" s="2"/>
      <c r="C5161" s="2"/>
      <c r="D5161" s="2"/>
    </row>
    <row r="5162" spans="1:4" ht="12.75" customHeight="1" x14ac:dyDescent="0.2">
      <c r="A5162" s="21"/>
      <c r="B5162" s="3" t="s">
        <v>0</v>
      </c>
      <c r="C5162" s="20" t="s">
        <v>1406</v>
      </c>
      <c r="D5162" s="21"/>
    </row>
    <row r="5163" spans="1:4" ht="12.75" customHeight="1" x14ac:dyDescent="0.2">
      <c r="A5163" s="21"/>
      <c r="B5163" s="3" t="s">
        <v>2</v>
      </c>
      <c r="C5163" s="20" t="s">
        <v>3</v>
      </c>
      <c r="D5163" s="21"/>
    </row>
    <row r="5164" spans="1:4" ht="12.75" customHeight="1" x14ac:dyDescent="0.2">
      <c r="A5164" s="21"/>
      <c r="B5164" s="3" t="s">
        <v>4</v>
      </c>
      <c r="C5164" s="20" t="s">
        <v>1407</v>
      </c>
      <c r="D5164" s="21"/>
    </row>
    <row r="5165" spans="1:4" ht="12.75" customHeight="1" x14ac:dyDescent="0.2">
      <c r="A5165" s="21"/>
      <c r="B5165" s="3" t="s">
        <v>6</v>
      </c>
      <c r="C5165" s="20" t="s">
        <v>107</v>
      </c>
      <c r="D5165" s="21"/>
    </row>
    <row r="5166" spans="1:4" ht="12.75" customHeight="1" x14ac:dyDescent="0.2">
      <c r="A5166" s="21"/>
      <c r="B5166" s="3" t="s">
        <v>8</v>
      </c>
      <c r="C5166" s="20" t="s">
        <v>1407</v>
      </c>
      <c r="D5166" s="21"/>
    </row>
    <row r="5167" spans="1:4" ht="12.75" customHeight="1" x14ac:dyDescent="0.2">
      <c r="A5167" s="21"/>
      <c r="B5167" s="3" t="s">
        <v>9</v>
      </c>
      <c r="C5167" s="20" t="s">
        <v>1408</v>
      </c>
      <c r="D5167" s="21"/>
    </row>
    <row r="5168" spans="1:4" ht="12.75" customHeight="1" x14ac:dyDescent="0.2">
      <c r="A5168" s="21"/>
      <c r="B5168" s="3" t="s">
        <v>11</v>
      </c>
      <c r="C5168" s="20" t="s">
        <v>1312</v>
      </c>
      <c r="D5168" s="21"/>
    </row>
    <row r="5169" spans="1:4" ht="12.75" customHeight="1" x14ac:dyDescent="0.2">
      <c r="A5169" s="21"/>
      <c r="B5169" s="3" t="s">
        <v>13</v>
      </c>
      <c r="C5169" s="20" t="s">
        <v>24</v>
      </c>
      <c r="D5169" s="21"/>
    </row>
    <row r="5170" spans="1:4" ht="12.75" customHeight="1" x14ac:dyDescent="0.2">
      <c r="A5170" s="21"/>
      <c r="B5170" s="3" t="s">
        <v>15</v>
      </c>
      <c r="C5170" s="20" t="s">
        <v>24</v>
      </c>
      <c r="D5170" s="21"/>
    </row>
    <row r="5171" spans="1:4" ht="12.75" customHeight="1" x14ac:dyDescent="0.2">
      <c r="A5171" s="21"/>
      <c r="B5171" s="3" t="s">
        <v>16</v>
      </c>
      <c r="C5171" s="20"/>
      <c r="D5171" s="21"/>
    </row>
    <row r="5172" spans="1:4" ht="12.75" customHeight="1" x14ac:dyDescent="0.2">
      <c r="A5172" s="21"/>
      <c r="B5172" s="3" t="s">
        <v>17</v>
      </c>
      <c r="C5172" s="20"/>
      <c r="D5172" s="21"/>
    </row>
    <row r="5173" spans="1:4" ht="12.75" customHeight="1" x14ac:dyDescent="0.2">
      <c r="A5173" s="21"/>
      <c r="B5173" s="20" t="s">
        <v>18</v>
      </c>
      <c r="C5173" s="4" t="s">
        <v>44</v>
      </c>
      <c r="D5173" s="6" t="str">
        <f>HYPERLINK("javascript:void(0)","artini pattantyú")</f>
        <v>artini pattantyú</v>
      </c>
    </row>
    <row r="5174" spans="1:4" ht="12.75" customHeight="1" x14ac:dyDescent="0.2">
      <c r="A5174" s="21"/>
      <c r="B5174" s="21"/>
      <c r="C5174" s="4" t="s">
        <v>1411</v>
      </c>
      <c r="D5174" s="6" t="str">
        <f>HYPERLINK("javascript:void(0)","árnyékláb")</f>
        <v>árnyékláb</v>
      </c>
    </row>
    <row r="5175" spans="1:4" ht="12.75" customHeight="1" x14ac:dyDescent="0.2">
      <c r="A5175" s="21"/>
      <c r="B5175" s="21"/>
      <c r="C5175" s="4" t="s">
        <v>193</v>
      </c>
      <c r="D5175" s="6" t="str">
        <f>HYPERLINK("javascript:void(0)","hangjegy")</f>
        <v>hangjegy</v>
      </c>
    </row>
    <row r="5176" spans="1:4" ht="12.75" customHeight="1" x14ac:dyDescent="0.2">
      <c r="A5176" s="5"/>
      <c r="B5176" s="2"/>
      <c r="C5176" s="2"/>
      <c r="D5176" s="2"/>
    </row>
    <row r="5177" spans="1:4" ht="12.75" customHeight="1" x14ac:dyDescent="0.2">
      <c r="A5177" s="22" t="str">
        <f>HYPERLINK("javascript:void(0)","thordi ostromtarack")</f>
        <v>thordi ostromtarack</v>
      </c>
      <c r="B5177" s="21"/>
      <c r="C5177" s="21"/>
      <c r="D5177" s="21"/>
    </row>
    <row r="5178" spans="1:4" ht="12.75" customHeight="1" x14ac:dyDescent="0.2">
      <c r="A5178" s="20"/>
      <c r="B5178" s="2"/>
      <c r="C5178" s="2"/>
      <c r="D5178" s="2"/>
    </row>
    <row r="5179" spans="1:4" ht="12.75" customHeight="1" x14ac:dyDescent="0.2">
      <c r="A5179" s="21"/>
      <c r="B5179" s="3" t="s">
        <v>0</v>
      </c>
      <c r="C5179" s="20" t="s">
        <v>1412</v>
      </c>
      <c r="D5179" s="21"/>
    </row>
    <row r="5180" spans="1:4" ht="12.75" customHeight="1" x14ac:dyDescent="0.2">
      <c r="A5180" s="21"/>
      <c r="B5180" s="3" t="s">
        <v>2</v>
      </c>
      <c r="C5180" s="20" t="s">
        <v>3</v>
      </c>
      <c r="D5180" s="21"/>
    </row>
    <row r="5181" spans="1:4" ht="12.75" customHeight="1" x14ac:dyDescent="0.2">
      <c r="A5181" s="21"/>
      <c r="B5181" s="3" t="s">
        <v>4</v>
      </c>
      <c r="C5181" s="20" t="s">
        <v>1413</v>
      </c>
      <c r="D5181" s="21"/>
    </row>
    <row r="5182" spans="1:4" ht="12.75" customHeight="1" x14ac:dyDescent="0.2">
      <c r="A5182" s="21"/>
      <c r="B5182" s="3" t="s">
        <v>6</v>
      </c>
      <c r="C5182" s="20" t="s">
        <v>284</v>
      </c>
      <c r="D5182" s="21"/>
    </row>
    <row r="5183" spans="1:4" ht="12.75" customHeight="1" x14ac:dyDescent="0.2">
      <c r="A5183" s="21"/>
      <c r="B5183" s="3" t="s">
        <v>8</v>
      </c>
      <c r="C5183" s="20" t="s">
        <v>1413</v>
      </c>
      <c r="D5183" s="21"/>
    </row>
    <row r="5184" spans="1:4" ht="12.75" customHeight="1" x14ac:dyDescent="0.2">
      <c r="A5184" s="21"/>
      <c r="B5184" s="3" t="s">
        <v>9</v>
      </c>
      <c r="C5184" s="20" t="s">
        <v>1414</v>
      </c>
      <c r="D5184" s="21"/>
    </row>
    <row r="5185" spans="1:4" ht="12.75" customHeight="1" x14ac:dyDescent="0.2">
      <c r="A5185" s="21"/>
      <c r="B5185" s="3" t="s">
        <v>11</v>
      </c>
      <c r="C5185" s="20" t="s">
        <v>1329</v>
      </c>
      <c r="D5185" s="21"/>
    </row>
    <row r="5186" spans="1:4" ht="12.75" customHeight="1" x14ac:dyDescent="0.2">
      <c r="A5186" s="21"/>
      <c r="B5186" s="3" t="s">
        <v>13</v>
      </c>
      <c r="C5186" s="20" t="s">
        <v>24</v>
      </c>
      <c r="D5186" s="21"/>
    </row>
    <row r="5187" spans="1:4" ht="12.75" customHeight="1" x14ac:dyDescent="0.2">
      <c r="A5187" s="21"/>
      <c r="B5187" s="3" t="s">
        <v>15</v>
      </c>
      <c r="C5187" s="20" t="s">
        <v>24</v>
      </c>
      <c r="D5187" s="21"/>
    </row>
    <row r="5188" spans="1:4" ht="12.75" customHeight="1" x14ac:dyDescent="0.2">
      <c r="A5188" s="21"/>
      <c r="B5188" s="3" t="s">
        <v>16</v>
      </c>
      <c r="C5188" s="20"/>
      <c r="D5188" s="21"/>
    </row>
    <row r="5189" spans="1:4" ht="12.75" customHeight="1" x14ac:dyDescent="0.2">
      <c r="A5189" s="21"/>
      <c r="B5189" s="3" t="s">
        <v>17</v>
      </c>
      <c r="C5189" s="20"/>
      <c r="D5189" s="21"/>
    </row>
    <row r="5190" spans="1:4" ht="12.75" customHeight="1" x14ac:dyDescent="0.2">
      <c r="A5190" s="21"/>
      <c r="B5190" s="20" t="s">
        <v>18</v>
      </c>
      <c r="C5190" s="4" t="s">
        <v>44</v>
      </c>
      <c r="D5190" s="6" t="str">
        <f>HYPERLINK("javascript:void(0)","thordi pattantyú")</f>
        <v>thordi pattantyú</v>
      </c>
    </row>
    <row r="5191" spans="1:4" ht="12.75" customHeight="1" x14ac:dyDescent="0.2">
      <c r="A5191" s="21"/>
      <c r="B5191" s="21"/>
      <c r="C5191" s="4" t="s">
        <v>1416</v>
      </c>
      <c r="D5191" s="6" t="str">
        <f>HYPERLINK("javascript:void(0)","árnyékláb")</f>
        <v>árnyékláb</v>
      </c>
    </row>
    <row r="5192" spans="1:4" ht="12.75" customHeight="1" x14ac:dyDescent="0.2">
      <c r="A5192" s="21"/>
      <c r="B5192" s="21"/>
      <c r="C5192" s="4" t="s">
        <v>193</v>
      </c>
      <c r="D5192" s="6" t="str">
        <f>HYPERLINK("javascript:void(0)","lélekfodor")</f>
        <v>lélekfodor</v>
      </c>
    </row>
    <row r="5193" spans="1:4" ht="12.75" customHeight="1" x14ac:dyDescent="0.2">
      <c r="A5193" s="5"/>
      <c r="B5193" s="2"/>
      <c r="C5193" s="2"/>
      <c r="D5193" s="2"/>
    </row>
    <row r="5194" spans="1:4" ht="12.75" customHeight="1" x14ac:dyDescent="0.2">
      <c r="A5194" s="22" t="str">
        <f>HYPERLINK("javascript:void(0)","fotoacél ostromtarack")</f>
        <v>fotoacél ostromtarack</v>
      </c>
      <c r="B5194" s="21"/>
      <c r="C5194" s="21"/>
      <c r="D5194" s="21"/>
    </row>
    <row r="5195" spans="1:4" ht="12.75" customHeight="1" x14ac:dyDescent="0.2">
      <c r="A5195" s="20"/>
      <c r="B5195" s="2"/>
      <c r="C5195" s="2"/>
      <c r="D5195" s="2"/>
    </row>
    <row r="5196" spans="1:4" ht="12.75" customHeight="1" x14ac:dyDescent="0.2">
      <c r="A5196" s="21"/>
      <c r="B5196" s="3" t="s">
        <v>0</v>
      </c>
      <c r="C5196" s="20" t="s">
        <v>267</v>
      </c>
      <c r="D5196" s="21"/>
    </row>
    <row r="5197" spans="1:4" ht="12.75" customHeight="1" x14ac:dyDescent="0.2">
      <c r="A5197" s="21"/>
      <c r="B5197" s="3" t="s">
        <v>2</v>
      </c>
      <c r="C5197" s="20" t="s">
        <v>3</v>
      </c>
      <c r="D5197" s="21"/>
    </row>
    <row r="5198" spans="1:4" ht="12.75" customHeight="1" x14ac:dyDescent="0.2">
      <c r="A5198" s="21"/>
      <c r="B5198" s="3" t="s">
        <v>4</v>
      </c>
      <c r="C5198" s="20" t="s">
        <v>1419</v>
      </c>
      <c r="D5198" s="21"/>
    </row>
    <row r="5199" spans="1:4" ht="12.75" customHeight="1" x14ac:dyDescent="0.2">
      <c r="A5199" s="21"/>
      <c r="B5199" s="3" t="s">
        <v>6</v>
      </c>
      <c r="C5199" s="20" t="s">
        <v>260</v>
      </c>
      <c r="D5199" s="21"/>
    </row>
    <row r="5200" spans="1:4" ht="12.75" customHeight="1" x14ac:dyDescent="0.2">
      <c r="A5200" s="21"/>
      <c r="B5200" s="3" t="s">
        <v>8</v>
      </c>
      <c r="C5200" s="20" t="s">
        <v>1419</v>
      </c>
      <c r="D5200" s="21"/>
    </row>
    <row r="5201" spans="1:4" ht="12.75" customHeight="1" x14ac:dyDescent="0.2">
      <c r="A5201" s="21"/>
      <c r="B5201" s="3" t="s">
        <v>9</v>
      </c>
      <c r="C5201" s="20" t="s">
        <v>1375</v>
      </c>
      <c r="D5201" s="21"/>
    </row>
    <row r="5202" spans="1:4" ht="12.75" customHeight="1" x14ac:dyDescent="0.2">
      <c r="A5202" s="21"/>
      <c r="B5202" s="3" t="s">
        <v>11</v>
      </c>
      <c r="C5202" s="20" t="s">
        <v>1347</v>
      </c>
      <c r="D5202" s="21"/>
    </row>
    <row r="5203" spans="1:4" ht="12.75" customHeight="1" x14ac:dyDescent="0.2">
      <c r="A5203" s="21"/>
      <c r="B5203" s="3" t="s">
        <v>13</v>
      </c>
      <c r="C5203" s="20" t="s">
        <v>24</v>
      </c>
      <c r="D5203" s="21"/>
    </row>
    <row r="5204" spans="1:4" ht="12.75" customHeight="1" x14ac:dyDescent="0.2">
      <c r="A5204" s="21"/>
      <c r="B5204" s="3" t="s">
        <v>15</v>
      </c>
      <c r="C5204" s="20" t="s">
        <v>24</v>
      </c>
      <c r="D5204" s="21"/>
    </row>
    <row r="5205" spans="1:4" ht="12.75" customHeight="1" x14ac:dyDescent="0.2">
      <c r="A5205" s="21"/>
      <c r="B5205" s="3" t="s">
        <v>16</v>
      </c>
      <c r="C5205" s="20"/>
      <c r="D5205" s="21"/>
    </row>
    <row r="5206" spans="1:4" ht="12.75" customHeight="1" x14ac:dyDescent="0.2">
      <c r="A5206" s="21"/>
      <c r="B5206" s="3" t="s">
        <v>17</v>
      </c>
      <c r="C5206" s="20"/>
      <c r="D5206" s="21"/>
    </row>
    <row r="5207" spans="1:4" ht="12.75" customHeight="1" x14ac:dyDescent="0.2">
      <c r="A5207" s="21"/>
      <c r="B5207" s="20" t="s">
        <v>18</v>
      </c>
      <c r="C5207" s="4" t="s">
        <v>44</v>
      </c>
      <c r="D5207" s="6" t="str">
        <f>HYPERLINK("javascript:void(0)","fotoacél pattantyú")</f>
        <v>fotoacél pattantyú</v>
      </c>
    </row>
    <row r="5208" spans="1:4" ht="12.75" customHeight="1" x14ac:dyDescent="0.2">
      <c r="A5208" s="21"/>
      <c r="B5208" s="21"/>
      <c r="C5208" s="4" t="s">
        <v>494</v>
      </c>
      <c r="D5208" s="6" t="str">
        <f>HYPERLINK("javascript:void(0)","árnyékláb")</f>
        <v>árnyékláb</v>
      </c>
    </row>
    <row r="5209" spans="1:4" ht="12.75" customHeight="1" x14ac:dyDescent="0.2">
      <c r="A5209" s="21"/>
      <c r="B5209" s="21"/>
      <c r="C5209" s="4" t="s">
        <v>193</v>
      </c>
      <c r="D5209" s="6" t="str">
        <f>HYPERLINK("javascript:void(0)","tartás")</f>
        <v>tartás</v>
      </c>
    </row>
    <row r="5210" spans="1:4" ht="12.75" customHeight="1" x14ac:dyDescent="0.2">
      <c r="A5210" s="5"/>
      <c r="B5210" s="2"/>
      <c r="C5210" s="2"/>
      <c r="D5210" s="2"/>
    </row>
    <row r="5211" spans="1:4" ht="12.75" customHeight="1" x14ac:dyDescent="0.2">
      <c r="A5211" s="22" t="str">
        <f>HYPERLINK("javascript:void(0)","magnetoacél ostromtarack")</f>
        <v>magnetoacél ostromtarack</v>
      </c>
      <c r="B5211" s="21"/>
      <c r="C5211" s="21"/>
      <c r="D5211" s="21"/>
    </row>
    <row r="5212" spans="1:4" ht="12.75" customHeight="1" x14ac:dyDescent="0.2">
      <c r="A5212" s="20"/>
      <c r="B5212" s="2"/>
      <c r="C5212" s="2"/>
      <c r="D5212" s="2"/>
    </row>
    <row r="5213" spans="1:4" ht="12.75" customHeight="1" x14ac:dyDescent="0.2">
      <c r="A5213" s="21"/>
      <c r="B5213" s="3" t="s">
        <v>0</v>
      </c>
      <c r="C5213" s="20" t="s">
        <v>1422</v>
      </c>
      <c r="D5213" s="21"/>
    </row>
    <row r="5214" spans="1:4" ht="12.75" customHeight="1" x14ac:dyDescent="0.2">
      <c r="A5214" s="21"/>
      <c r="B5214" s="3" t="s">
        <v>2</v>
      </c>
      <c r="C5214" s="20" t="s">
        <v>3</v>
      </c>
      <c r="D5214" s="21"/>
    </row>
    <row r="5215" spans="1:4" ht="12.75" customHeight="1" x14ac:dyDescent="0.2">
      <c r="A5215" s="21"/>
      <c r="B5215" s="3" t="s">
        <v>4</v>
      </c>
      <c r="C5215" s="20" t="s">
        <v>1423</v>
      </c>
      <c r="D5215" s="21"/>
    </row>
    <row r="5216" spans="1:4" ht="12.75" customHeight="1" x14ac:dyDescent="0.2">
      <c r="A5216" s="21"/>
      <c r="B5216" s="3" t="s">
        <v>6</v>
      </c>
      <c r="C5216" s="20" t="s">
        <v>157</v>
      </c>
      <c r="D5216" s="21"/>
    </row>
    <row r="5217" spans="1:4" ht="12.75" customHeight="1" x14ac:dyDescent="0.2">
      <c r="A5217" s="21"/>
      <c r="B5217" s="3" t="s">
        <v>8</v>
      </c>
      <c r="C5217" s="20" t="s">
        <v>1423</v>
      </c>
      <c r="D5217" s="21"/>
    </row>
    <row r="5218" spans="1:4" ht="12.75" customHeight="1" x14ac:dyDescent="0.2">
      <c r="A5218" s="21"/>
      <c r="B5218" s="3" t="s">
        <v>9</v>
      </c>
      <c r="C5218" s="20" t="s">
        <v>1392</v>
      </c>
      <c r="D5218" s="21"/>
    </row>
    <row r="5219" spans="1:4" ht="12.75" customHeight="1" x14ac:dyDescent="0.2">
      <c r="A5219" s="21"/>
      <c r="B5219" s="3" t="s">
        <v>11</v>
      </c>
      <c r="C5219" s="20" t="s">
        <v>1425</v>
      </c>
      <c r="D5219" s="21"/>
    </row>
    <row r="5220" spans="1:4" ht="12.75" customHeight="1" x14ac:dyDescent="0.2">
      <c r="A5220" s="21"/>
      <c r="B5220" s="3" t="s">
        <v>13</v>
      </c>
      <c r="C5220" s="20" t="s">
        <v>24</v>
      </c>
      <c r="D5220" s="21"/>
    </row>
    <row r="5221" spans="1:4" ht="12.75" customHeight="1" x14ac:dyDescent="0.2">
      <c r="A5221" s="21"/>
      <c r="B5221" s="3" t="s">
        <v>15</v>
      </c>
      <c r="C5221" s="20" t="s">
        <v>24</v>
      </c>
      <c r="D5221" s="21"/>
    </row>
    <row r="5222" spans="1:4" ht="12.75" customHeight="1" x14ac:dyDescent="0.2">
      <c r="A5222" s="21"/>
      <c r="B5222" s="3" t="s">
        <v>16</v>
      </c>
      <c r="C5222" s="20"/>
      <c r="D5222" s="21"/>
    </row>
    <row r="5223" spans="1:4" ht="12.75" customHeight="1" x14ac:dyDescent="0.2">
      <c r="A5223" s="21"/>
      <c r="B5223" s="3" t="s">
        <v>17</v>
      </c>
      <c r="C5223" s="20"/>
      <c r="D5223" s="21"/>
    </row>
    <row r="5224" spans="1:4" ht="25.5" customHeight="1" x14ac:dyDescent="0.2">
      <c r="A5224" s="21"/>
      <c r="B5224" s="20" t="s">
        <v>18</v>
      </c>
      <c r="C5224" s="4" t="s">
        <v>44</v>
      </c>
      <c r="D5224" s="6" t="str">
        <f>HYPERLINK("javascript:void(0)","magnetoacél pattantyú")</f>
        <v>magnetoacél pattantyú</v>
      </c>
    </row>
    <row r="5225" spans="1:4" ht="12.75" customHeight="1" x14ac:dyDescent="0.2">
      <c r="A5225" s="21"/>
      <c r="B5225" s="21"/>
      <c r="C5225" s="4" t="s">
        <v>1426</v>
      </c>
      <c r="D5225" s="6" t="str">
        <f>HYPERLINK("javascript:void(0)","árnyékláb")</f>
        <v>árnyékláb</v>
      </c>
    </row>
    <row r="5226" spans="1:4" ht="12.75" customHeight="1" x14ac:dyDescent="0.2">
      <c r="A5226" s="21"/>
      <c r="B5226" s="21"/>
      <c r="C5226" s="4" t="s">
        <v>196</v>
      </c>
      <c r="D5226" s="6" t="str">
        <f>HYPERLINK("javascript:void(0)","pengeszálka")</f>
        <v>pengeszálka</v>
      </c>
    </row>
  </sheetData>
  <mergeCells count="4170">
    <mergeCell ref="A5041:D5041"/>
    <mergeCell ref="A5025:A5039"/>
    <mergeCell ref="A5042:A5056"/>
    <mergeCell ref="B5054:B5056"/>
    <mergeCell ref="A5024:D5024"/>
    <mergeCell ref="A5075:D5075"/>
    <mergeCell ref="A5058:D5058"/>
    <mergeCell ref="C5062:D5062"/>
    <mergeCell ref="C5063:D5063"/>
    <mergeCell ref="C5064:D5064"/>
    <mergeCell ref="C5067:D5067"/>
    <mergeCell ref="C5068:D5068"/>
    <mergeCell ref="C5053:D5053"/>
    <mergeCell ref="C5065:D5065"/>
    <mergeCell ref="C5066:D5066"/>
    <mergeCell ref="C5049:D5049"/>
    <mergeCell ref="C5050:D5050"/>
    <mergeCell ref="C5051:D5051"/>
    <mergeCell ref="C5052:D5052"/>
    <mergeCell ref="C5048:D5048"/>
    <mergeCell ref="C5030:D5030"/>
    <mergeCell ref="C5031:D5031"/>
    <mergeCell ref="B4799:B4801"/>
    <mergeCell ref="A4820:D4820"/>
    <mergeCell ref="A4786:D4786"/>
    <mergeCell ref="B4816:B4818"/>
    <mergeCell ref="C4806:D4806"/>
    <mergeCell ref="C4807:D4807"/>
    <mergeCell ref="A5092:D5092"/>
    <mergeCell ref="C5099:D5099"/>
    <mergeCell ref="C5078:D5078"/>
    <mergeCell ref="C5079:D5079"/>
    <mergeCell ref="C5104:D5104"/>
    <mergeCell ref="B5105:B5107"/>
    <mergeCell ref="C5100:D5100"/>
    <mergeCell ref="C5101:D5101"/>
    <mergeCell ref="C5102:D5102"/>
    <mergeCell ref="C5103:D5103"/>
    <mergeCell ref="C5080:D5080"/>
    <mergeCell ref="C5081:D5081"/>
    <mergeCell ref="B5088:B5090"/>
    <mergeCell ref="C5082:D5082"/>
    <mergeCell ref="C5083:D5083"/>
    <mergeCell ref="A5076:A5090"/>
    <mergeCell ref="A5093:A5107"/>
    <mergeCell ref="C5084:D5084"/>
    <mergeCell ref="C5077:D5077"/>
    <mergeCell ref="C5060:D5060"/>
    <mergeCell ref="C5061:D5061"/>
    <mergeCell ref="C5069:D5069"/>
    <mergeCell ref="A5059:A5073"/>
    <mergeCell ref="C5070:D5070"/>
    <mergeCell ref="B5071:B5073"/>
    <mergeCell ref="B5037:B5039"/>
    <mergeCell ref="C4961:D4961"/>
    <mergeCell ref="C4946:D4946"/>
    <mergeCell ref="A4702:A4716"/>
    <mergeCell ref="A4685:A4699"/>
    <mergeCell ref="B4731:B4733"/>
    <mergeCell ref="A4719:A4733"/>
    <mergeCell ref="C4713:D4713"/>
    <mergeCell ref="A4735:D4735"/>
    <mergeCell ref="A4701:D4701"/>
    <mergeCell ref="C4781:D4781"/>
    <mergeCell ref="C4797:D4797"/>
    <mergeCell ref="C4791:D4791"/>
    <mergeCell ref="C4792:D4792"/>
    <mergeCell ref="C4793:D4793"/>
    <mergeCell ref="C4794:D4794"/>
    <mergeCell ref="C4795:D4795"/>
    <mergeCell ref="C4796:D4796"/>
    <mergeCell ref="C4775:D4775"/>
    <mergeCell ref="C4776:D4776"/>
    <mergeCell ref="C4826:D4826"/>
    <mergeCell ref="C4832:D4832"/>
    <mergeCell ref="B4850:B4852"/>
    <mergeCell ref="A4854:D4854"/>
    <mergeCell ref="A4871:D4871"/>
    <mergeCell ref="C4777:D4777"/>
    <mergeCell ref="C4778:D4778"/>
    <mergeCell ref="B4782:B4784"/>
    <mergeCell ref="C4824:D4824"/>
    <mergeCell ref="C4825:D4825"/>
    <mergeCell ref="C4822:D4822"/>
    <mergeCell ref="C4823:D4823"/>
    <mergeCell ref="C4779:D4779"/>
    <mergeCell ref="C4743:D4743"/>
    <mergeCell ref="C4744:D4744"/>
    <mergeCell ref="C4771:D4771"/>
    <mergeCell ref="C4772:D4772"/>
    <mergeCell ref="A4753:A4767"/>
    <mergeCell ref="A4770:A4784"/>
    <mergeCell ref="A4821:A4835"/>
    <mergeCell ref="A4804:A4818"/>
    <mergeCell ref="A4838:A4852"/>
    <mergeCell ref="A4787:A4801"/>
    <mergeCell ref="C4839:D4839"/>
    <mergeCell ref="C4840:D4840"/>
    <mergeCell ref="C4760:D4760"/>
    <mergeCell ref="C4757:D4757"/>
    <mergeCell ref="C4758:D4758"/>
    <mergeCell ref="C4759:D4759"/>
    <mergeCell ref="C4773:D4773"/>
    <mergeCell ref="C4780:D4780"/>
    <mergeCell ref="C4790:D4790"/>
    <mergeCell ref="C4788:D4788"/>
    <mergeCell ref="C4789:D4789"/>
    <mergeCell ref="C4805:D4805"/>
    <mergeCell ref="C4798:D4798"/>
    <mergeCell ref="C4808:D4808"/>
    <mergeCell ref="C4809:D4809"/>
    <mergeCell ref="C4813:D4813"/>
    <mergeCell ref="C4810:D4810"/>
    <mergeCell ref="C4811:D4811"/>
    <mergeCell ref="C4812:D4812"/>
    <mergeCell ref="C4814:D4814"/>
    <mergeCell ref="C4815:D4815"/>
    <mergeCell ref="A4803:D4803"/>
    <mergeCell ref="C4761:D4761"/>
    <mergeCell ref="C4762:D4762"/>
    <mergeCell ref="C4763:D4763"/>
    <mergeCell ref="C4737:D4737"/>
    <mergeCell ref="C4738:D4738"/>
    <mergeCell ref="A4736:A4750"/>
    <mergeCell ref="B4748:B4750"/>
    <mergeCell ref="C4774:D4774"/>
    <mergeCell ref="A4769:D4769"/>
    <mergeCell ref="C4747:D4747"/>
    <mergeCell ref="C4745:D4745"/>
    <mergeCell ref="C4746:D4746"/>
    <mergeCell ref="C4764:D4764"/>
    <mergeCell ref="B4765:B4767"/>
    <mergeCell ref="C4739:D4739"/>
    <mergeCell ref="C4740:D4740"/>
    <mergeCell ref="A4684:D4684"/>
    <mergeCell ref="C4688:D4688"/>
    <mergeCell ref="C4686:D4686"/>
    <mergeCell ref="C4687:D4687"/>
    <mergeCell ref="C4691:D4691"/>
    <mergeCell ref="C4692:D4692"/>
    <mergeCell ref="A4752:D4752"/>
    <mergeCell ref="C4756:D4756"/>
    <mergeCell ref="C4754:D4754"/>
    <mergeCell ref="C4755:D4755"/>
    <mergeCell ref="C4741:D4741"/>
    <mergeCell ref="C4742:D4742"/>
    <mergeCell ref="C4693:D4693"/>
    <mergeCell ref="C4694:D4694"/>
    <mergeCell ref="C4696:D4696"/>
    <mergeCell ref="B4697:B4699"/>
    <mergeCell ref="C4695:D4695"/>
    <mergeCell ref="C4689:D4689"/>
    <mergeCell ref="C4690:D4690"/>
    <mergeCell ref="C4673:D4673"/>
    <mergeCell ref="C4678:D4678"/>
    <mergeCell ref="A4668:A4682"/>
    <mergeCell ref="C4722:D4722"/>
    <mergeCell ref="C4723:D4723"/>
    <mergeCell ref="C4720:D4720"/>
    <mergeCell ref="C4721:D4721"/>
    <mergeCell ref="C4724:D4724"/>
    <mergeCell ref="C4725:D4725"/>
    <mergeCell ref="C4727:D4727"/>
    <mergeCell ref="C4730:D4730"/>
    <mergeCell ref="C4728:D4728"/>
    <mergeCell ref="C4729:D4729"/>
    <mergeCell ref="C4726:D4726"/>
    <mergeCell ref="C4679:D4679"/>
    <mergeCell ref="B4680:B4682"/>
    <mergeCell ref="B4714:B4716"/>
    <mergeCell ref="A4718:D4718"/>
    <mergeCell ref="C4708:D4708"/>
    <mergeCell ref="C4709:D4709"/>
    <mergeCell ref="C4704:D4704"/>
    <mergeCell ref="C4705:D4705"/>
    <mergeCell ref="C4710:D4710"/>
    <mergeCell ref="C4703:D4703"/>
    <mergeCell ref="C4706:D4706"/>
    <mergeCell ref="C4707:D4707"/>
    <mergeCell ref="C4711:D4711"/>
    <mergeCell ref="C4712:D4712"/>
    <mergeCell ref="C4674:D4674"/>
    <mergeCell ref="C4675:D4675"/>
    <mergeCell ref="C4676:D4676"/>
    <mergeCell ref="C4677:D4677"/>
    <mergeCell ref="C4608:D4608"/>
    <mergeCell ref="C4609:D4609"/>
    <mergeCell ref="C4659:D4659"/>
    <mergeCell ref="C4661:D4661"/>
    <mergeCell ref="C4662:D4662"/>
    <mergeCell ref="C4660:D4660"/>
    <mergeCell ref="C4611:D4611"/>
    <mergeCell ref="C4636:D4636"/>
    <mergeCell ref="C4637:D4637"/>
    <mergeCell ref="A4667:D4667"/>
    <mergeCell ref="C4669:D4669"/>
    <mergeCell ref="C4670:D4670"/>
    <mergeCell ref="C4671:D4671"/>
    <mergeCell ref="B4629:B4631"/>
    <mergeCell ref="A4633:D4633"/>
    <mergeCell ref="A4617:A4631"/>
    <mergeCell ref="C4644:D4644"/>
    <mergeCell ref="C4645:D4645"/>
    <mergeCell ref="A4650:D4650"/>
    <mergeCell ref="B4646:B4648"/>
    <mergeCell ref="A4634:A4648"/>
    <mergeCell ref="A4599:D4599"/>
    <mergeCell ref="C4590:D4590"/>
    <mergeCell ref="C4591:D4591"/>
    <mergeCell ref="C4592:D4592"/>
    <mergeCell ref="C4602:D4602"/>
    <mergeCell ref="C4603:D4603"/>
    <mergeCell ref="C4593:D4593"/>
    <mergeCell ref="C4601:D4601"/>
    <mergeCell ref="B4408:B4410"/>
    <mergeCell ref="A4396:A4410"/>
    <mergeCell ref="A4395:D4395"/>
    <mergeCell ref="C4397:D4397"/>
    <mergeCell ref="C4398:D4398"/>
    <mergeCell ref="C4399:D4399"/>
    <mergeCell ref="C4400:D4400"/>
    <mergeCell ref="C4407:D4407"/>
    <mergeCell ref="C4423:D4423"/>
    <mergeCell ref="A4413:A4427"/>
    <mergeCell ref="C4424:D4424"/>
    <mergeCell ref="B4425:B4427"/>
    <mergeCell ref="A4412:D4412"/>
    <mergeCell ref="C4415:D4415"/>
    <mergeCell ref="C4455:D4455"/>
    <mergeCell ref="C4469:D4469"/>
    <mergeCell ref="C4523:D4523"/>
    <mergeCell ref="C4526:D4526"/>
    <mergeCell ref="C4534:D4534"/>
    <mergeCell ref="A4531:D4531"/>
    <mergeCell ref="C4533:D4533"/>
    <mergeCell ref="C4518:D4518"/>
    <mergeCell ref="C4516:D4516"/>
    <mergeCell ref="C4517:D4517"/>
    <mergeCell ref="C4330:D4330"/>
    <mergeCell ref="C4329:D4329"/>
    <mergeCell ref="C4335:D4335"/>
    <mergeCell ref="C4336:D4336"/>
    <mergeCell ref="C4331:D4331"/>
    <mergeCell ref="C4334:D4334"/>
    <mergeCell ref="A4328:A4342"/>
    <mergeCell ref="C4387:D4387"/>
    <mergeCell ref="C4388:D4388"/>
    <mergeCell ref="C4370:D4370"/>
    <mergeCell ref="C4403:D4403"/>
    <mergeCell ref="C4404:D4404"/>
    <mergeCell ref="C4405:D4405"/>
    <mergeCell ref="C4406:D4406"/>
    <mergeCell ref="C4401:D4401"/>
    <mergeCell ref="C4402:D4402"/>
    <mergeCell ref="C4594:D4594"/>
    <mergeCell ref="A4583:A4597"/>
    <mergeCell ref="B4595:B4597"/>
    <mergeCell ref="C4519:D4519"/>
    <mergeCell ref="C4520:D4520"/>
    <mergeCell ref="C4521:D4521"/>
    <mergeCell ref="C4522:D4522"/>
    <mergeCell ref="A4532:A4546"/>
    <mergeCell ref="A4515:A4529"/>
    <mergeCell ref="C4490:D4490"/>
    <mergeCell ref="C4491:D4491"/>
    <mergeCell ref="C4470:D4470"/>
    <mergeCell ref="C4475:D4475"/>
    <mergeCell ref="C4485:D4485"/>
    <mergeCell ref="C4486:D4486"/>
    <mergeCell ref="C4487:D4487"/>
    <mergeCell ref="C4672:D4672"/>
    <mergeCell ref="C4635:D4635"/>
    <mergeCell ref="C4620:D4620"/>
    <mergeCell ref="C4621:D4621"/>
    <mergeCell ref="C4622:D4622"/>
    <mergeCell ref="C4623:D4623"/>
    <mergeCell ref="C4624:D4624"/>
    <mergeCell ref="B4663:B4665"/>
    <mergeCell ref="C4929:D4929"/>
    <mergeCell ref="C4924:D4924"/>
    <mergeCell ref="C4925:D4925"/>
    <mergeCell ref="C4900:D4900"/>
    <mergeCell ref="C4907:D4907"/>
    <mergeCell ref="C4898:D4898"/>
    <mergeCell ref="C4908:D4908"/>
    <mergeCell ref="C4909:D4909"/>
    <mergeCell ref="C4914:D4914"/>
    <mergeCell ref="C4917:D4917"/>
    <mergeCell ref="C4892:D4892"/>
    <mergeCell ref="C4893:D4893"/>
    <mergeCell ref="C4873:D4873"/>
    <mergeCell ref="C4874:D4874"/>
    <mergeCell ref="C4875:D4875"/>
    <mergeCell ref="C4876:D4876"/>
    <mergeCell ref="B4833:B4835"/>
    <mergeCell ref="A4837:D4837"/>
    <mergeCell ref="C4858:D4858"/>
    <mergeCell ref="C4856:D4856"/>
    <mergeCell ref="C4857:D4857"/>
    <mergeCell ref="C4927:D4927"/>
    <mergeCell ref="C4928:D4928"/>
    <mergeCell ref="C4656:D4656"/>
    <mergeCell ref="B4612:B4614"/>
    <mergeCell ref="A4616:D4616"/>
    <mergeCell ref="C4638:D4638"/>
    <mergeCell ref="C4639:D4639"/>
    <mergeCell ref="C4625:D4625"/>
    <mergeCell ref="C4626:D4626"/>
    <mergeCell ref="C4627:D4627"/>
    <mergeCell ref="C4628:D4628"/>
    <mergeCell ref="C4618:D4618"/>
    <mergeCell ref="C4619:D4619"/>
    <mergeCell ref="C4652:D4652"/>
    <mergeCell ref="C4653:D4653"/>
    <mergeCell ref="C4654:D4654"/>
    <mergeCell ref="C4655:D4655"/>
    <mergeCell ref="C4641:D4641"/>
    <mergeCell ref="C4642:D4642"/>
    <mergeCell ref="A4600:A4614"/>
    <mergeCell ref="C4606:D4606"/>
    <mergeCell ref="C4607:D4607"/>
    <mergeCell ref="C4610:D4610"/>
    <mergeCell ref="A4651:A4665"/>
    <mergeCell ref="C4604:D4604"/>
    <mergeCell ref="C4605:D4605"/>
    <mergeCell ref="C4657:D4657"/>
    <mergeCell ref="C4643:D4643"/>
    <mergeCell ref="C4658:D4658"/>
    <mergeCell ref="C4640:D4640"/>
    <mergeCell ref="C4912:D4912"/>
    <mergeCell ref="C4913:D4913"/>
    <mergeCell ref="A4922:D4922"/>
    <mergeCell ref="C4926:D4926"/>
    <mergeCell ref="C4841:D4841"/>
    <mergeCell ref="C4842:D4842"/>
    <mergeCell ref="C4846:D4846"/>
    <mergeCell ref="C4847:D4847"/>
    <mergeCell ref="C4848:D4848"/>
    <mergeCell ref="C4843:D4843"/>
    <mergeCell ref="C4844:D4844"/>
    <mergeCell ref="C4894:D4894"/>
    <mergeCell ref="C4895:D4895"/>
    <mergeCell ref="C4896:D4896"/>
    <mergeCell ref="C4897:D4897"/>
    <mergeCell ref="C4915:D4915"/>
    <mergeCell ref="C4916:D4916"/>
    <mergeCell ref="C4890:D4890"/>
    <mergeCell ref="C4891:D4891"/>
    <mergeCell ref="B4901:B4903"/>
    <mergeCell ref="A4905:D4905"/>
    <mergeCell ref="B4918:B4920"/>
    <mergeCell ref="C4899:D4899"/>
    <mergeCell ref="A4906:A4920"/>
    <mergeCell ref="C4865:D4865"/>
    <mergeCell ref="A4855:A4869"/>
    <mergeCell ref="C4827:D4827"/>
    <mergeCell ref="C4828:D4828"/>
    <mergeCell ref="C4829:D4829"/>
    <mergeCell ref="C4830:D4830"/>
    <mergeCell ref="B4867:B4869"/>
    <mergeCell ref="C4866:D4866"/>
    <mergeCell ref="C4859:D4859"/>
    <mergeCell ref="C4860:D4860"/>
    <mergeCell ref="C4861:D4861"/>
    <mergeCell ref="C4862:D4862"/>
    <mergeCell ref="C4849:D4849"/>
    <mergeCell ref="C4845:D4845"/>
    <mergeCell ref="A4872:A4886"/>
    <mergeCell ref="A4889:A4903"/>
    <mergeCell ref="C4877:D4877"/>
    <mergeCell ref="C4878:D4878"/>
    <mergeCell ref="C4863:D4863"/>
    <mergeCell ref="C4864:D4864"/>
    <mergeCell ref="C4879:D4879"/>
    <mergeCell ref="C4880:D4880"/>
    <mergeCell ref="C4881:D4881"/>
    <mergeCell ref="C4882:D4882"/>
    <mergeCell ref="C4883:D4883"/>
    <mergeCell ref="C4831:D4831"/>
    <mergeCell ref="A4447:A4461"/>
    <mergeCell ref="A4464:A4478"/>
    <mergeCell ref="C4472:D4472"/>
    <mergeCell ref="C4473:D4473"/>
    <mergeCell ref="C4474:D4474"/>
    <mergeCell ref="C4465:D4465"/>
    <mergeCell ref="C4466:D4466"/>
    <mergeCell ref="C4467:D4467"/>
    <mergeCell ref="C4468:D4468"/>
    <mergeCell ref="C4452:D4452"/>
    <mergeCell ref="A4463:D4463"/>
    <mergeCell ref="C4458:D4458"/>
    <mergeCell ref="B4459:B4461"/>
    <mergeCell ref="C4456:D4456"/>
    <mergeCell ref="C4457:D4457"/>
    <mergeCell ref="C4471:D4471"/>
    <mergeCell ref="C4502:D4502"/>
    <mergeCell ref="C4488:D4488"/>
    <mergeCell ref="C4489:D4489"/>
    <mergeCell ref="B4476:B4478"/>
    <mergeCell ref="A4480:D4480"/>
    <mergeCell ref="C4453:D4453"/>
    <mergeCell ref="C4454:D4454"/>
    <mergeCell ref="C4508:D4508"/>
    <mergeCell ref="C4509:D4509"/>
    <mergeCell ref="A4498:A4512"/>
    <mergeCell ref="B4510:B4512"/>
    <mergeCell ref="A4549:A4563"/>
    <mergeCell ref="A4548:D4548"/>
    <mergeCell ref="A4514:D4514"/>
    <mergeCell ref="B4527:B4529"/>
    <mergeCell ref="A4497:D4497"/>
    <mergeCell ref="A4481:A4495"/>
    <mergeCell ref="C4492:D4492"/>
    <mergeCell ref="B4493:B4495"/>
    <mergeCell ref="C4484:D4484"/>
    <mergeCell ref="C4482:D4482"/>
    <mergeCell ref="C4483:D4483"/>
    <mergeCell ref="C4503:D4503"/>
    <mergeCell ref="C4500:D4500"/>
    <mergeCell ref="C4501:D4501"/>
    <mergeCell ref="C4505:D4505"/>
    <mergeCell ref="C4506:D4506"/>
    <mergeCell ref="C4507:D4507"/>
    <mergeCell ref="C4499:D4499"/>
    <mergeCell ref="C4504:D4504"/>
    <mergeCell ref="C4556:D4556"/>
    <mergeCell ref="C4550:D4550"/>
    <mergeCell ref="C4551:D4551"/>
    <mergeCell ref="C4552:D4552"/>
    <mergeCell ref="C4553:D4553"/>
    <mergeCell ref="C4554:D4554"/>
    <mergeCell ref="C4555:D4555"/>
    <mergeCell ref="C4558:D4558"/>
    <mergeCell ref="C4559:D4559"/>
    <mergeCell ref="A4566:A4580"/>
    <mergeCell ref="A4565:D4565"/>
    <mergeCell ref="A4582:D4582"/>
    <mergeCell ref="C4537:D4537"/>
    <mergeCell ref="C4538:D4538"/>
    <mergeCell ref="C4536:D4536"/>
    <mergeCell ref="C4535:D4535"/>
    <mergeCell ref="C4524:D4524"/>
    <mergeCell ref="C4525:D4525"/>
    <mergeCell ref="C4539:D4539"/>
    <mergeCell ref="C4540:D4540"/>
    <mergeCell ref="C5085:D5085"/>
    <mergeCell ref="C5086:D5086"/>
    <mergeCell ref="C5045:D5045"/>
    <mergeCell ref="C5046:D5046"/>
    <mergeCell ref="C5047:D5047"/>
    <mergeCell ref="C5002:D5002"/>
    <mergeCell ref="C5019:D5019"/>
    <mergeCell ref="C5034:D5034"/>
    <mergeCell ref="C5035:D5035"/>
    <mergeCell ref="C5026:D5026"/>
    <mergeCell ref="C5027:D5027"/>
    <mergeCell ref="C4983:D4983"/>
    <mergeCell ref="C4982:D4982"/>
    <mergeCell ref="C5043:D5043"/>
    <mergeCell ref="C5044:D5044"/>
    <mergeCell ref="C5032:D5032"/>
    <mergeCell ref="C5033:D5033"/>
    <mergeCell ref="A4888:D4888"/>
    <mergeCell ref="B4884:B4886"/>
    <mergeCell ref="C4910:D4910"/>
    <mergeCell ref="C4911:D4911"/>
    <mergeCell ref="C4998:D4998"/>
    <mergeCell ref="C4999:D4999"/>
    <mergeCell ref="C5000:D5000"/>
    <mergeCell ref="C5001:D5001"/>
    <mergeCell ref="C5017:D5017"/>
    <mergeCell ref="C5018:D5018"/>
    <mergeCell ref="C5029:D5029"/>
    <mergeCell ref="C5036:D5036"/>
    <mergeCell ref="C4960:D4960"/>
    <mergeCell ref="C5028:D5028"/>
    <mergeCell ref="C5087:D5087"/>
    <mergeCell ref="C5097:D5097"/>
    <mergeCell ref="C5098:D5098"/>
    <mergeCell ref="C5096:D5096"/>
    <mergeCell ref="C5094:D5094"/>
    <mergeCell ref="C5095:D5095"/>
    <mergeCell ref="C5134:D5134"/>
    <mergeCell ref="C5131:D5131"/>
    <mergeCell ref="C5132:D5132"/>
    <mergeCell ref="C5133:D5133"/>
    <mergeCell ref="C5130:D5130"/>
    <mergeCell ref="C5128:D5128"/>
    <mergeCell ref="C5129:D5129"/>
    <mergeCell ref="C5113:D5113"/>
    <mergeCell ref="C5114:D5114"/>
    <mergeCell ref="C5115:D5115"/>
    <mergeCell ref="C5116:D5116"/>
    <mergeCell ref="C5121:D5121"/>
    <mergeCell ref="C5111:D5111"/>
    <mergeCell ref="C5112:D5112"/>
    <mergeCell ref="A5109:D5109"/>
    <mergeCell ref="A5127:A5141"/>
    <mergeCell ref="A4939:D4939"/>
    <mergeCell ref="C4941:D4941"/>
    <mergeCell ref="C4930:D4930"/>
    <mergeCell ref="C4931:D4931"/>
    <mergeCell ref="C4932:D4932"/>
    <mergeCell ref="C4933:D4933"/>
    <mergeCell ref="C4942:D4942"/>
    <mergeCell ref="C4943:D4943"/>
    <mergeCell ref="C4944:D4944"/>
    <mergeCell ref="C4945:D4945"/>
    <mergeCell ref="C4947:D4947"/>
    <mergeCell ref="C4948:D4948"/>
    <mergeCell ref="C4949:D4949"/>
    <mergeCell ref="C4950:D4950"/>
    <mergeCell ref="C4951:D4951"/>
    <mergeCell ref="C4977:D4977"/>
    <mergeCell ref="C4980:D4980"/>
    <mergeCell ref="C4976:D4976"/>
    <mergeCell ref="C4958:D4958"/>
    <mergeCell ref="C4959:D4959"/>
    <mergeCell ref="C4978:D4978"/>
    <mergeCell ref="C4979:D4979"/>
    <mergeCell ref="C4962:D4962"/>
    <mergeCell ref="C4963:D4963"/>
    <mergeCell ref="C4975:D4975"/>
    <mergeCell ref="B4969:B4971"/>
    <mergeCell ref="B4952:B4954"/>
    <mergeCell ref="A4956:D4956"/>
    <mergeCell ref="C4934:D4934"/>
    <mergeCell ref="B4935:B4937"/>
    <mergeCell ref="A4923:A4937"/>
    <mergeCell ref="A4940:A4954"/>
    <mergeCell ref="B5003:B5005"/>
    <mergeCell ref="B5020:B5022"/>
    <mergeCell ref="B4986:B4988"/>
    <mergeCell ref="A4974:A4988"/>
    <mergeCell ref="A4991:A5005"/>
    <mergeCell ref="A5008:A5022"/>
    <mergeCell ref="C4992:D4992"/>
    <mergeCell ref="A4990:D4990"/>
    <mergeCell ref="C4994:D4994"/>
    <mergeCell ref="C4993:D4993"/>
    <mergeCell ref="C4995:D4995"/>
    <mergeCell ref="C4996:D4996"/>
    <mergeCell ref="C4984:D4984"/>
    <mergeCell ref="C4985:D4985"/>
    <mergeCell ref="C4964:D4964"/>
    <mergeCell ref="A4957:A4971"/>
    <mergeCell ref="C4967:D4967"/>
    <mergeCell ref="C4968:D4968"/>
    <mergeCell ref="A4973:D4973"/>
    <mergeCell ref="A5007:D5007"/>
    <mergeCell ref="C4997:D4997"/>
    <mergeCell ref="C4965:D4965"/>
    <mergeCell ref="C4966:D4966"/>
    <mergeCell ref="C4981:D4981"/>
    <mergeCell ref="C5015:D5015"/>
    <mergeCell ref="C5016:D5016"/>
    <mergeCell ref="C5014:D5014"/>
    <mergeCell ref="C5009:D5009"/>
    <mergeCell ref="C5010:D5010"/>
    <mergeCell ref="C5011:D5011"/>
    <mergeCell ref="C5012:D5012"/>
    <mergeCell ref="C5013:D5013"/>
    <mergeCell ref="C5202:D5202"/>
    <mergeCell ref="C5203:D5203"/>
    <mergeCell ref="C5204:D5204"/>
    <mergeCell ref="C5223:D5223"/>
    <mergeCell ref="B5224:B5226"/>
    <mergeCell ref="C5222:D5222"/>
    <mergeCell ref="C5218:D5218"/>
    <mergeCell ref="C5219:D5219"/>
    <mergeCell ref="C5220:D5220"/>
    <mergeCell ref="C5221:D5221"/>
    <mergeCell ref="C5216:D5216"/>
    <mergeCell ref="C5217:D5217"/>
    <mergeCell ref="A5212:A5226"/>
    <mergeCell ref="C5146:D5146"/>
    <mergeCell ref="C5137:D5137"/>
    <mergeCell ref="C5196:D5196"/>
    <mergeCell ref="C5197:D5197"/>
    <mergeCell ref="C5198:D5198"/>
    <mergeCell ref="C5199:D5199"/>
    <mergeCell ref="C5200:D5200"/>
    <mergeCell ref="C5201:D5201"/>
    <mergeCell ref="A5194:D5194"/>
    <mergeCell ref="A5195:A5209"/>
    <mergeCell ref="C5206:D5206"/>
    <mergeCell ref="B5207:B5209"/>
    <mergeCell ref="C5205:D5205"/>
    <mergeCell ref="A5211:D5211"/>
    <mergeCell ref="C5213:D5213"/>
    <mergeCell ref="C5214:D5214"/>
    <mergeCell ref="C5215:D5215"/>
    <mergeCell ref="C5151:D5151"/>
    <mergeCell ref="C5152:D5152"/>
    <mergeCell ref="C5183:D5183"/>
    <mergeCell ref="C5184:D5184"/>
    <mergeCell ref="B5190:B5192"/>
    <mergeCell ref="A5178:A5192"/>
    <mergeCell ref="C5187:D5187"/>
    <mergeCell ref="C5188:D5188"/>
    <mergeCell ref="C5189:D5189"/>
    <mergeCell ref="C5171:D5171"/>
    <mergeCell ref="C5179:D5179"/>
    <mergeCell ref="C5185:D5185"/>
    <mergeCell ref="C5186:D5186"/>
    <mergeCell ref="C5172:D5172"/>
    <mergeCell ref="B5173:B5175"/>
    <mergeCell ref="A5161:A5175"/>
    <mergeCell ref="A5177:D5177"/>
    <mergeCell ref="C5164:D5164"/>
    <mergeCell ref="C5165:D5165"/>
    <mergeCell ref="C5166:D5166"/>
    <mergeCell ref="C5182:D5182"/>
    <mergeCell ref="C5180:D5180"/>
    <mergeCell ref="C5149:D5149"/>
    <mergeCell ref="C5150:D5150"/>
    <mergeCell ref="C5181:D5181"/>
    <mergeCell ref="C5155:D5155"/>
    <mergeCell ref="A5160:D5160"/>
    <mergeCell ref="C5153:D5153"/>
    <mergeCell ref="C5154:D5154"/>
    <mergeCell ref="C5135:D5135"/>
    <mergeCell ref="C5138:D5138"/>
    <mergeCell ref="C5136:D5136"/>
    <mergeCell ref="C5167:D5167"/>
    <mergeCell ref="C5168:D5168"/>
    <mergeCell ref="C5169:D5169"/>
    <mergeCell ref="C5170:D5170"/>
    <mergeCell ref="C5162:D5162"/>
    <mergeCell ref="C5163:D5163"/>
    <mergeCell ref="C5147:D5147"/>
    <mergeCell ref="C5148:D5148"/>
    <mergeCell ref="B5139:B5141"/>
    <mergeCell ref="A5144:A5158"/>
    <mergeCell ref="B5156:B5158"/>
    <mergeCell ref="A5143:D5143"/>
    <mergeCell ref="C5145:D5145"/>
    <mergeCell ref="C5117:D5117"/>
    <mergeCell ref="C5118:D5118"/>
    <mergeCell ref="C5119:D5119"/>
    <mergeCell ref="C5120:D5120"/>
    <mergeCell ref="A5110:A5124"/>
    <mergeCell ref="B5122:B5124"/>
    <mergeCell ref="A5126:D5126"/>
    <mergeCell ref="C3752:D3752"/>
    <mergeCell ref="C3908:D3908"/>
    <mergeCell ref="C3909:D3909"/>
    <mergeCell ref="C1577:D1577"/>
    <mergeCell ref="C1578:D1578"/>
    <mergeCell ref="C1579:D1579"/>
    <mergeCell ref="C1580:D1580"/>
    <mergeCell ref="A2950:D2950"/>
    <mergeCell ref="A2984:D2984"/>
    <mergeCell ref="A3001:D3001"/>
    <mergeCell ref="A2967:D2967"/>
    <mergeCell ref="A2831:D2831"/>
    <mergeCell ref="A2848:D2848"/>
    <mergeCell ref="A2882:D2882"/>
    <mergeCell ref="A2899:D2899"/>
    <mergeCell ref="A2814:D2814"/>
    <mergeCell ref="A2933:D2933"/>
    <mergeCell ref="A2916:D2916"/>
    <mergeCell ref="A2865:D2865"/>
    <mergeCell ref="A2202:D2202"/>
    <mergeCell ref="A2236:D2236"/>
    <mergeCell ref="A2015:D2015"/>
    <mergeCell ref="A2321:D2321"/>
    <mergeCell ref="A2338:D2338"/>
    <mergeCell ref="A2270:D2270"/>
    <mergeCell ref="A2287:D2287"/>
    <mergeCell ref="A2304:D2304"/>
    <mergeCell ref="A2355:D2355"/>
    <mergeCell ref="A2678:D2678"/>
    <mergeCell ref="B2929:B2931"/>
    <mergeCell ref="B2878:B2880"/>
    <mergeCell ref="B2895:B2897"/>
    <mergeCell ref="B2912:B2914"/>
    <mergeCell ref="B1926:B1928"/>
    <mergeCell ref="B1909:B1911"/>
    <mergeCell ref="B1960:B1962"/>
    <mergeCell ref="C1558:D1558"/>
    <mergeCell ref="C1559:D1559"/>
    <mergeCell ref="C1192:D1192"/>
    <mergeCell ref="C1193:D1193"/>
    <mergeCell ref="C1561:D1561"/>
    <mergeCell ref="C1562:D1562"/>
    <mergeCell ref="C1563:D1563"/>
    <mergeCell ref="C1575:D1575"/>
    <mergeCell ref="C1576:D1576"/>
    <mergeCell ref="B1297:B1299"/>
    <mergeCell ref="A1301:D1301"/>
    <mergeCell ref="C1322:D1322"/>
    <mergeCell ref="C1323:D1323"/>
    <mergeCell ref="C1324:D1324"/>
    <mergeCell ref="C1325:D1325"/>
    <mergeCell ref="C1326:D1326"/>
    <mergeCell ref="C1358:D1358"/>
    <mergeCell ref="C1327:D1327"/>
    <mergeCell ref="C1328:D1328"/>
    <mergeCell ref="C1340:D1340"/>
    <mergeCell ref="C1341:D1341"/>
    <mergeCell ref="A2457:D2457"/>
    <mergeCell ref="A2474:D2474"/>
    <mergeCell ref="A2525:D2525"/>
    <mergeCell ref="A2508:D2508"/>
    <mergeCell ref="A2593:D2593"/>
    <mergeCell ref="A2644:D2644"/>
    <mergeCell ref="A2576:D2576"/>
    <mergeCell ref="A2695:D2695"/>
    <mergeCell ref="A2746:D2746"/>
    <mergeCell ref="C3907:D3907"/>
    <mergeCell ref="C3906:D3906"/>
    <mergeCell ref="C3904:D3904"/>
    <mergeCell ref="C3905:D3905"/>
    <mergeCell ref="C2955:D2955"/>
    <mergeCell ref="C2956:D2956"/>
    <mergeCell ref="C2957:D2957"/>
    <mergeCell ref="C2962:D2962"/>
    <mergeCell ref="C2958:D2958"/>
    <mergeCell ref="C2959:D2959"/>
    <mergeCell ref="C2960:D2960"/>
    <mergeCell ref="C2961:D2961"/>
    <mergeCell ref="C2975:D2975"/>
    <mergeCell ref="C2976:D2976"/>
    <mergeCell ref="C2799:D2799"/>
    <mergeCell ref="C2800:D2800"/>
    <mergeCell ref="C2801:D2801"/>
    <mergeCell ref="C2802:D2802"/>
    <mergeCell ref="C2803:D2803"/>
    <mergeCell ref="C2804:D2804"/>
    <mergeCell ref="C2818:D2818"/>
    <mergeCell ref="C2836:D2836"/>
    <mergeCell ref="C2834:D2834"/>
    <mergeCell ref="C3921:D3921"/>
    <mergeCell ref="C3922:D3922"/>
    <mergeCell ref="C3923:D3923"/>
    <mergeCell ref="C3924:D3924"/>
    <mergeCell ref="C3925:D3925"/>
    <mergeCell ref="C3926:D3926"/>
    <mergeCell ref="C3911:D3911"/>
    <mergeCell ref="C3912:D3912"/>
    <mergeCell ref="C3913:D3913"/>
    <mergeCell ref="C3914:D3914"/>
    <mergeCell ref="C3940:D3940"/>
    <mergeCell ref="C3938:D3938"/>
    <mergeCell ref="A3936:D3936"/>
    <mergeCell ref="B3932:B3934"/>
    <mergeCell ref="A3920:A3934"/>
    <mergeCell ref="A3937:A3951"/>
    <mergeCell ref="B3949:B3951"/>
    <mergeCell ref="A3919:D3919"/>
    <mergeCell ref="C3927:D3927"/>
    <mergeCell ref="C3931:D3931"/>
    <mergeCell ref="C3928:D3928"/>
    <mergeCell ref="C3929:D3929"/>
    <mergeCell ref="C3930:D3930"/>
    <mergeCell ref="A3903:A3917"/>
    <mergeCell ref="B3915:B3917"/>
    <mergeCell ref="C3963:D3963"/>
    <mergeCell ref="C3964:D3964"/>
    <mergeCell ref="C3974:D3974"/>
    <mergeCell ref="C3957:D3957"/>
    <mergeCell ref="C3958:D3958"/>
    <mergeCell ref="C3959:D3959"/>
    <mergeCell ref="C3960:D3960"/>
    <mergeCell ref="C3961:D3961"/>
    <mergeCell ref="C3962:D3962"/>
    <mergeCell ref="C3939:D3939"/>
    <mergeCell ref="C3943:D3943"/>
    <mergeCell ref="C3944:D3944"/>
    <mergeCell ref="C3945:D3945"/>
    <mergeCell ref="C3965:D3965"/>
    <mergeCell ref="C3956:D3956"/>
    <mergeCell ref="C3947:D3947"/>
    <mergeCell ref="C3948:D3948"/>
    <mergeCell ref="C3946:D3946"/>
    <mergeCell ref="C3955:D3955"/>
    <mergeCell ref="C3941:D3941"/>
    <mergeCell ref="C3942:D3942"/>
    <mergeCell ref="C1345:D1345"/>
    <mergeCell ref="C1346:D1346"/>
    <mergeCell ref="C1356:D1356"/>
    <mergeCell ref="A1488:D1488"/>
    <mergeCell ref="A1505:D1505"/>
    <mergeCell ref="A1556:D1556"/>
    <mergeCell ref="A1539:D1539"/>
    <mergeCell ref="A1828:D1828"/>
    <mergeCell ref="A1794:D1794"/>
    <mergeCell ref="A1760:D1760"/>
    <mergeCell ref="A1743:D1743"/>
    <mergeCell ref="A2372:D2372"/>
    <mergeCell ref="A2253:D2253"/>
    <mergeCell ref="A2219:D2219"/>
    <mergeCell ref="B1365:B1367"/>
    <mergeCell ref="A1386:D1386"/>
    <mergeCell ref="B2249:B2251"/>
    <mergeCell ref="B2198:B2200"/>
    <mergeCell ref="C1371:D1371"/>
    <mergeCell ref="C1372:D1372"/>
    <mergeCell ref="A1709:D1709"/>
    <mergeCell ref="A1641:D1641"/>
    <mergeCell ref="A1658:D1658"/>
    <mergeCell ref="A1675:D1675"/>
    <mergeCell ref="A1573:D1573"/>
    <mergeCell ref="A1930:D1930"/>
    <mergeCell ref="A1726:D1726"/>
    <mergeCell ref="A1998:D1998"/>
    <mergeCell ref="A1862:D1862"/>
    <mergeCell ref="A1913:D1913"/>
    <mergeCell ref="A1964:D1964"/>
    <mergeCell ref="B1433:B1435"/>
    <mergeCell ref="B1280:B1282"/>
    <mergeCell ref="A1285:A1299"/>
    <mergeCell ref="A1302:A1316"/>
    <mergeCell ref="A1421:A1435"/>
    <mergeCell ref="A1284:D1284"/>
    <mergeCell ref="A1318:D1318"/>
    <mergeCell ref="C1363:D1363"/>
    <mergeCell ref="C1359:D1359"/>
    <mergeCell ref="A1335:D1335"/>
    <mergeCell ref="A1352:D1352"/>
    <mergeCell ref="C1339:D1339"/>
    <mergeCell ref="C1342:D1342"/>
    <mergeCell ref="C1338:D1338"/>
    <mergeCell ref="C1337:D1337"/>
    <mergeCell ref="C1347:D1347"/>
    <mergeCell ref="A1369:D1369"/>
    <mergeCell ref="C1373:D1373"/>
    <mergeCell ref="C1374:D1374"/>
    <mergeCell ref="C1364:D1364"/>
    <mergeCell ref="C1361:D1361"/>
    <mergeCell ref="C1362:D1362"/>
    <mergeCell ref="B1314:B1316"/>
    <mergeCell ref="C1309:D1309"/>
    <mergeCell ref="C1310:D1310"/>
    <mergeCell ref="C1311:D1311"/>
    <mergeCell ref="C1312:D1312"/>
    <mergeCell ref="C1313:D1313"/>
    <mergeCell ref="C1320:D1320"/>
    <mergeCell ref="C1321:D1321"/>
    <mergeCell ref="C1329:D1329"/>
    <mergeCell ref="C1330:D1330"/>
    <mergeCell ref="C1357:D1357"/>
    <mergeCell ref="A1420:D1420"/>
    <mergeCell ref="A1403:D1403"/>
    <mergeCell ref="A1437:D1437"/>
    <mergeCell ref="A1454:D1454"/>
    <mergeCell ref="A1471:D1471"/>
    <mergeCell ref="A1522:D1522"/>
    <mergeCell ref="C1380:D1380"/>
    <mergeCell ref="C1381:D1381"/>
    <mergeCell ref="C1393:D1393"/>
    <mergeCell ref="C1394:D1394"/>
    <mergeCell ref="C1377:D1377"/>
    <mergeCell ref="C1378:D1378"/>
    <mergeCell ref="C1379:D1379"/>
    <mergeCell ref="C1446:D1446"/>
    <mergeCell ref="C1499:D1499"/>
    <mergeCell ref="C1464:D1464"/>
    <mergeCell ref="C1493:D1493"/>
    <mergeCell ref="C1492:D1492"/>
    <mergeCell ref="C1482:D1482"/>
    <mergeCell ref="C1500:D1500"/>
    <mergeCell ref="C1494:D1494"/>
    <mergeCell ref="C1495:D1495"/>
    <mergeCell ref="C1496:D1496"/>
    <mergeCell ref="C1497:D1497"/>
    <mergeCell ref="C1498:D1498"/>
    <mergeCell ref="C1465:D1465"/>
    <mergeCell ref="C1490:D1490"/>
    <mergeCell ref="C1457:D1457"/>
    <mergeCell ref="C1440:D1440"/>
    <mergeCell ref="C1441:D1441"/>
    <mergeCell ref="C1459:D1459"/>
    <mergeCell ref="C1456:D1456"/>
    <mergeCell ref="C1260:D1260"/>
    <mergeCell ref="C1261:D1261"/>
    <mergeCell ref="C1262:D1262"/>
    <mergeCell ref="C1258:D1258"/>
    <mergeCell ref="C1274:D1274"/>
    <mergeCell ref="C1275:D1275"/>
    <mergeCell ref="C1270:D1270"/>
    <mergeCell ref="C1271:D1271"/>
    <mergeCell ref="C1375:D1375"/>
    <mergeCell ref="C1376:D1376"/>
    <mergeCell ref="C1765:D1765"/>
    <mergeCell ref="C1751:D1751"/>
    <mergeCell ref="C1754:D1754"/>
    <mergeCell ref="C1755:D1755"/>
    <mergeCell ref="C1752:D1752"/>
    <mergeCell ref="C1753:D1753"/>
    <mergeCell ref="C2056:D2056"/>
    <mergeCell ref="C2051:D2051"/>
    <mergeCell ref="C2052:D2052"/>
    <mergeCell ref="C2053:D2053"/>
    <mergeCell ref="C2054:D2054"/>
    <mergeCell ref="C1687:D1687"/>
    <mergeCell ref="C1712:D1712"/>
    <mergeCell ref="C2025:D2025"/>
    <mergeCell ref="C2026:D2026"/>
    <mergeCell ref="C2040:D2040"/>
    <mergeCell ref="C2041:D2041"/>
    <mergeCell ref="C2042:D2042"/>
    <mergeCell ref="C2043:D2043"/>
    <mergeCell ref="C1822:D1822"/>
    <mergeCell ref="C1823:D1823"/>
    <mergeCell ref="C1970:D1970"/>
    <mergeCell ref="C1254:D1254"/>
    <mergeCell ref="C1253:D1253"/>
    <mergeCell ref="C1255:D1255"/>
    <mergeCell ref="C1256:D1256"/>
    <mergeCell ref="C1244:D1244"/>
    <mergeCell ref="C1245:D1245"/>
    <mergeCell ref="C1252:D1252"/>
    <mergeCell ref="C1221:D1221"/>
    <mergeCell ref="C1227:D1227"/>
    <mergeCell ref="C1228:D1228"/>
    <mergeCell ref="C1242:D1242"/>
    <mergeCell ref="C1239:D1239"/>
    <mergeCell ref="C1243:D1243"/>
    <mergeCell ref="C1259:D1259"/>
    <mergeCell ref="C1140:D1140"/>
    <mergeCell ref="C1141:D1141"/>
    <mergeCell ref="C1194:D1194"/>
    <mergeCell ref="C1207:D1207"/>
    <mergeCell ref="C1155:D1155"/>
    <mergeCell ref="C1156:D1156"/>
    <mergeCell ref="C1157:D1157"/>
    <mergeCell ref="C1158:D1158"/>
    <mergeCell ref="C1240:D1240"/>
    <mergeCell ref="C1241:D1241"/>
    <mergeCell ref="C1237:D1237"/>
    <mergeCell ref="C1235:D1235"/>
    <mergeCell ref="C1205:D1205"/>
    <mergeCell ref="C1206:D1206"/>
    <mergeCell ref="C1208:D1208"/>
    <mergeCell ref="C1238:D1238"/>
    <mergeCell ref="C1236:D1236"/>
    <mergeCell ref="C1150:D1150"/>
    <mergeCell ref="C1272:D1272"/>
    <mergeCell ref="C1273:D1273"/>
    <mergeCell ref="C1269:D1269"/>
    <mergeCell ref="C1296:D1296"/>
    <mergeCell ref="C1303:D1303"/>
    <mergeCell ref="C1304:D1304"/>
    <mergeCell ref="C1305:D1305"/>
    <mergeCell ref="C1306:D1306"/>
    <mergeCell ref="C1307:D1307"/>
    <mergeCell ref="C1308:D1308"/>
    <mergeCell ref="C1291:D1291"/>
    <mergeCell ref="C1292:D1292"/>
    <mergeCell ref="C1293:D1293"/>
    <mergeCell ref="C1294:D1294"/>
    <mergeCell ref="C1286:D1286"/>
    <mergeCell ref="C1287:D1287"/>
    <mergeCell ref="C1277:D1277"/>
    <mergeCell ref="C1276:D1276"/>
    <mergeCell ref="C1288:D1288"/>
    <mergeCell ref="C1289:D1289"/>
    <mergeCell ref="C1290:D1290"/>
    <mergeCell ref="C1295:D1295"/>
    <mergeCell ref="C1278:D1278"/>
    <mergeCell ref="C1279:D1279"/>
    <mergeCell ref="C1533:D1533"/>
    <mergeCell ref="C1534:D1534"/>
    <mergeCell ref="C1526:D1526"/>
    <mergeCell ref="C1524:D1524"/>
    <mergeCell ref="C1525:D1525"/>
    <mergeCell ref="C1527:D1527"/>
    <mergeCell ref="C1528:D1528"/>
    <mergeCell ref="C1529:D1529"/>
    <mergeCell ref="C1530:D1530"/>
    <mergeCell ref="C1531:D1531"/>
    <mergeCell ref="C1532:D1532"/>
    <mergeCell ref="C1477:D1477"/>
    <mergeCell ref="C1478:D1478"/>
    <mergeCell ref="C1475:D1475"/>
    <mergeCell ref="C1476:D1476"/>
    <mergeCell ref="C1425:D1425"/>
    <mergeCell ref="C1491:D1491"/>
    <mergeCell ref="C1516:D1516"/>
    <mergeCell ref="C1480:D1480"/>
    <mergeCell ref="C1481:D1481"/>
    <mergeCell ref="C1463:D1463"/>
    <mergeCell ref="C1479:D1479"/>
    <mergeCell ref="C1513:D1513"/>
    <mergeCell ref="C1512:D1512"/>
    <mergeCell ref="C1443:D1443"/>
    <mergeCell ref="C1447:D1447"/>
    <mergeCell ref="C1466:D1466"/>
    <mergeCell ref="C1462:D1462"/>
    <mergeCell ref="C1473:D1473"/>
    <mergeCell ref="C1474:D1474"/>
    <mergeCell ref="C1483:D1483"/>
    <mergeCell ref="C1458:D1458"/>
    <mergeCell ref="C1460:D1460"/>
    <mergeCell ref="C1461:D1461"/>
    <mergeCell ref="C1398:D1398"/>
    <mergeCell ref="C1405:D1405"/>
    <mergeCell ref="C1406:D1406"/>
    <mergeCell ref="C1407:D1407"/>
    <mergeCell ref="C1408:D1408"/>
    <mergeCell ref="C1411:D1411"/>
    <mergeCell ref="C1412:D1412"/>
    <mergeCell ref="C1413:D1413"/>
    <mergeCell ref="C1449:D1449"/>
    <mergeCell ref="C1424:D1424"/>
    <mergeCell ref="C1432:D1432"/>
    <mergeCell ref="C1439:D1439"/>
    <mergeCell ref="C1444:D1444"/>
    <mergeCell ref="C1445:D1445"/>
    <mergeCell ref="C2954:D2954"/>
    <mergeCell ref="C2952:D2952"/>
    <mergeCell ref="C2953:D2953"/>
    <mergeCell ref="C1430:D1430"/>
    <mergeCell ref="C1442:D1442"/>
    <mergeCell ref="C1583:D1583"/>
    <mergeCell ref="C2928:D2928"/>
    <mergeCell ref="C2943:D2943"/>
    <mergeCell ref="C2944:D2944"/>
    <mergeCell ref="C2945:D2945"/>
    <mergeCell ref="C2940:D2940"/>
    <mergeCell ref="C2941:D2941"/>
    <mergeCell ref="C2942:D2942"/>
    <mergeCell ref="C2920:D2920"/>
    <mergeCell ref="C2837:D2837"/>
    <mergeCell ref="C2838:D2838"/>
    <mergeCell ref="C1395:D1395"/>
    <mergeCell ref="C1422:D1422"/>
    <mergeCell ref="C1423:D1423"/>
    <mergeCell ref="C1431:D1431"/>
    <mergeCell ref="C1427:D1427"/>
    <mergeCell ref="C1415:D1415"/>
    <mergeCell ref="C1581:D1581"/>
    <mergeCell ref="C1582:D1582"/>
    <mergeCell ref="C1396:D1396"/>
    <mergeCell ref="C1397:D1397"/>
    <mergeCell ref="C1428:D1428"/>
    <mergeCell ref="C1429:D1429"/>
    <mergeCell ref="C1414:D1414"/>
    <mergeCell ref="C1409:D1409"/>
    <mergeCell ref="C1410:D1410"/>
    <mergeCell ref="C1426:D1426"/>
    <mergeCell ref="C2927:D2927"/>
    <mergeCell ref="C2922:D2922"/>
    <mergeCell ref="C2923:D2923"/>
    <mergeCell ref="C2924:D2924"/>
    <mergeCell ref="C2925:D2925"/>
    <mergeCell ref="C2926:D2926"/>
    <mergeCell ref="C2918:D2918"/>
    <mergeCell ref="C2919:D2919"/>
    <mergeCell ref="C2901:D2901"/>
    <mergeCell ref="C2902:D2902"/>
    <mergeCell ref="C2921:D2921"/>
    <mergeCell ref="C2894:D2894"/>
    <mergeCell ref="C2907:D2907"/>
    <mergeCell ref="C2908:D2908"/>
    <mergeCell ref="C2909:D2909"/>
    <mergeCell ref="C2910:D2910"/>
    <mergeCell ref="C2835:D2835"/>
    <mergeCell ref="C2809:D2809"/>
    <mergeCell ref="C2859:D2859"/>
    <mergeCell ref="C2816:D2816"/>
    <mergeCell ref="C2817:D2817"/>
    <mergeCell ref="C2826:D2826"/>
    <mergeCell ref="C2824:D2824"/>
    <mergeCell ref="C2825:D2825"/>
    <mergeCell ref="C2886:D2886"/>
    <mergeCell ref="C2884:D2884"/>
    <mergeCell ref="C2885:D2885"/>
    <mergeCell ref="C2619:D2619"/>
    <mergeCell ref="C2620:D2620"/>
    <mergeCell ref="C2655:D2655"/>
    <mergeCell ref="C1665:D1665"/>
    <mergeCell ref="C1670:D1670"/>
    <mergeCell ref="C1683:D1683"/>
    <mergeCell ref="C1684:D1684"/>
    <mergeCell ref="C1685:D1685"/>
    <mergeCell ref="C1686:D1686"/>
    <mergeCell ref="C1942:D1942"/>
    <mergeCell ref="C2566:D2566"/>
    <mergeCell ref="C2567:D2567"/>
    <mergeCell ref="C2568:D2568"/>
    <mergeCell ref="C2546:D2546"/>
    <mergeCell ref="C2536:D2536"/>
    <mergeCell ref="C2537:D2537"/>
    <mergeCell ref="C2585:D2585"/>
    <mergeCell ref="C2586:D2586"/>
    <mergeCell ref="C2587:D2587"/>
    <mergeCell ref="C2615:D2615"/>
    <mergeCell ref="C2614:D2614"/>
    <mergeCell ref="C2704:D2704"/>
    <mergeCell ref="C2705:D2705"/>
    <mergeCell ref="C2702:D2702"/>
    <mergeCell ref="C2697:D2697"/>
    <mergeCell ref="C2698:D2698"/>
    <mergeCell ref="A2543:A2557"/>
    <mergeCell ref="B2555:B2557"/>
    <mergeCell ref="C2938:D2938"/>
    <mergeCell ref="C2939:D2939"/>
    <mergeCell ref="C2936:D2936"/>
    <mergeCell ref="C2937:D2937"/>
    <mergeCell ref="C2903:D2903"/>
    <mergeCell ref="C2904:D2904"/>
    <mergeCell ref="C2935:D2935"/>
    <mergeCell ref="C2791:D2791"/>
    <mergeCell ref="C2792:D2792"/>
    <mergeCell ref="C2805:D2805"/>
    <mergeCell ref="C2806:D2806"/>
    <mergeCell ref="C2807:D2807"/>
    <mergeCell ref="C2808:D2808"/>
    <mergeCell ref="C2857:D2857"/>
    <mergeCell ref="C2852:D2852"/>
    <mergeCell ref="C2839:D2839"/>
    <mergeCell ref="C2840:D2840"/>
    <mergeCell ref="C2860:D2860"/>
    <mergeCell ref="C2858:D2858"/>
    <mergeCell ref="C2850:D2850"/>
    <mergeCell ref="C2841:D2841"/>
    <mergeCell ref="C2842:D2842"/>
    <mergeCell ref="C2819:D2819"/>
    <mergeCell ref="C2820:D2820"/>
    <mergeCell ref="C2821:D2821"/>
    <mergeCell ref="C2683:D2683"/>
    <mergeCell ref="C2564:D2564"/>
    <mergeCell ref="C2612:D2612"/>
    <mergeCell ref="C2616:D2616"/>
    <mergeCell ref="C2617:D2617"/>
    <mergeCell ref="C2618:D2618"/>
    <mergeCell ref="C2565:D2565"/>
    <mergeCell ref="C2569:D2569"/>
    <mergeCell ref="A2542:D2542"/>
    <mergeCell ref="A2559:D2559"/>
    <mergeCell ref="A2610:D2610"/>
    <mergeCell ref="C2562:D2562"/>
    <mergeCell ref="C2563:D2563"/>
    <mergeCell ref="C2599:D2599"/>
    <mergeCell ref="C2600:D2600"/>
    <mergeCell ref="C2588:D2588"/>
    <mergeCell ref="C2584:D2584"/>
    <mergeCell ref="C2553:D2553"/>
    <mergeCell ref="C2548:D2548"/>
    <mergeCell ref="C2549:D2549"/>
    <mergeCell ref="C2570:D2570"/>
    <mergeCell ref="C2580:D2580"/>
    <mergeCell ref="C2578:D2578"/>
    <mergeCell ref="C2579:D2579"/>
    <mergeCell ref="C2451:D2451"/>
    <mergeCell ref="C2452:D2452"/>
    <mergeCell ref="C2459:D2459"/>
    <mergeCell ref="C2581:D2581"/>
    <mergeCell ref="C2582:D2582"/>
    <mergeCell ref="C2653:D2653"/>
    <mergeCell ref="C2654:D2654"/>
    <mergeCell ref="C2681:D2681"/>
    <mergeCell ref="C2703:D2703"/>
    <mergeCell ref="C2656:D2656"/>
    <mergeCell ref="C2649:D2649"/>
    <mergeCell ref="C2650:D2650"/>
    <mergeCell ref="C2651:D2651"/>
    <mergeCell ref="C2652:D2652"/>
    <mergeCell ref="C2583:D2583"/>
    <mergeCell ref="C2680:D2680"/>
    <mergeCell ref="C2520:D2520"/>
    <mergeCell ref="C2513:D2513"/>
    <mergeCell ref="C2514:D2514"/>
    <mergeCell ref="C2515:D2515"/>
    <mergeCell ref="C2516:D2516"/>
    <mergeCell ref="C2552:D2552"/>
    <mergeCell ref="C2530:D2530"/>
    <mergeCell ref="C2639:D2639"/>
    <mergeCell ref="C2547:D2547"/>
    <mergeCell ref="C2571:D2571"/>
    <mergeCell ref="C2613:D2613"/>
    <mergeCell ref="C2595:D2595"/>
    <mergeCell ref="C2596:D2596"/>
    <mergeCell ref="C2597:D2597"/>
    <mergeCell ref="C2598:D2598"/>
    <mergeCell ref="C2605:D2605"/>
    <mergeCell ref="C2469:D2469"/>
    <mergeCell ref="C2601:D2601"/>
    <mergeCell ref="C2602:D2602"/>
    <mergeCell ref="C2603:D2603"/>
    <mergeCell ref="C2604:D2604"/>
    <mergeCell ref="C2554:D2554"/>
    <mergeCell ref="C2561:D2561"/>
    <mergeCell ref="C2647:D2647"/>
    <mergeCell ref="C2629:D2629"/>
    <mergeCell ref="C2622:D2622"/>
    <mergeCell ref="C2621:D2621"/>
    <mergeCell ref="C2463:D2463"/>
    <mergeCell ref="C2464:D2464"/>
    <mergeCell ref="C2465:D2465"/>
    <mergeCell ref="C2466:D2466"/>
    <mergeCell ref="C2478:D2478"/>
    <mergeCell ref="C2479:D2479"/>
    <mergeCell ref="C2517:D2517"/>
    <mergeCell ref="C2480:D2480"/>
    <mergeCell ref="C2481:D2481"/>
    <mergeCell ref="C2445:D2445"/>
    <mergeCell ref="C2550:D2550"/>
    <mergeCell ref="C2551:D2551"/>
    <mergeCell ref="C2531:D2531"/>
    <mergeCell ref="C2533:D2533"/>
    <mergeCell ref="C2532:D2532"/>
    <mergeCell ref="C2534:D2534"/>
    <mergeCell ref="C2535:D2535"/>
    <mergeCell ref="C2527:D2527"/>
    <mergeCell ref="C2528:D2528"/>
    <mergeCell ref="C2529:D2529"/>
    <mergeCell ref="C2512:D2512"/>
    <mergeCell ref="C2510:D2510"/>
    <mergeCell ref="C2511:D2511"/>
    <mergeCell ref="C2503:D2503"/>
    <mergeCell ref="C2484:D2484"/>
    <mergeCell ref="C2485:D2485"/>
    <mergeCell ref="C2519:D2519"/>
    <mergeCell ref="C2544:D2544"/>
    <mergeCell ref="C2497:D2497"/>
    <mergeCell ref="C2486:D2486"/>
    <mergeCell ref="C2493:D2493"/>
    <mergeCell ref="C2494:D2494"/>
    <mergeCell ref="C2496:D2496"/>
    <mergeCell ref="C2446:D2446"/>
    <mergeCell ref="C2518:D2518"/>
    <mergeCell ref="C2545:D2545"/>
    <mergeCell ref="C2449:D2449"/>
    <mergeCell ref="C2450:D2450"/>
    <mergeCell ref="C2462:D2462"/>
    <mergeCell ref="C2467:D2467"/>
    <mergeCell ref="C2468:D2468"/>
    <mergeCell ref="C2263:D2263"/>
    <mergeCell ref="C2264:D2264"/>
    <mergeCell ref="C2684:D2684"/>
    <mergeCell ref="C2685:D2685"/>
    <mergeCell ref="C2666:D2666"/>
    <mergeCell ref="C2667:D2667"/>
    <mergeCell ref="C2668:D2668"/>
    <mergeCell ref="C2669:D2669"/>
    <mergeCell ref="C2665:D2665"/>
    <mergeCell ref="C2690:D2690"/>
    <mergeCell ref="C2686:D2686"/>
    <mergeCell ref="C2687:D2687"/>
    <mergeCell ref="C2688:D2688"/>
    <mergeCell ref="C2689:D2689"/>
    <mergeCell ref="C2673:D2673"/>
    <mergeCell ref="C2670:D2670"/>
    <mergeCell ref="C2671:D2671"/>
    <mergeCell ref="C2672:D2672"/>
    <mergeCell ref="C2664:D2664"/>
    <mergeCell ref="C2663:D2663"/>
    <mergeCell ref="C2631:D2631"/>
    <mergeCell ref="C2632:D2632"/>
    <mergeCell ref="C2633:D2633"/>
    <mergeCell ref="C2634:D2634"/>
    <mergeCell ref="C2635:D2635"/>
    <mergeCell ref="C2637:D2637"/>
    <mergeCell ref="C2638:D2638"/>
    <mergeCell ref="C2636:D2636"/>
    <mergeCell ref="C2648:D2648"/>
    <mergeCell ref="C2646:D2646"/>
    <mergeCell ref="C2630:D2630"/>
    <mergeCell ref="C2682:D2682"/>
    <mergeCell ref="C2260:D2260"/>
    <mergeCell ref="C2277:D2277"/>
    <mergeCell ref="C2278:D2278"/>
    <mergeCell ref="C2279:D2279"/>
    <mergeCell ref="C2280:D2280"/>
    <mergeCell ref="C2262:D2262"/>
    <mergeCell ref="C2265:D2265"/>
    <mergeCell ref="C2448:D2448"/>
    <mergeCell ref="C2248:D2248"/>
    <mergeCell ref="C2281:D2281"/>
    <mergeCell ref="C2282:D2282"/>
    <mergeCell ref="C2290:D2290"/>
    <mergeCell ref="C2261:D2261"/>
    <mergeCell ref="C2274:D2274"/>
    <mergeCell ref="A2406:D2406"/>
    <mergeCell ref="A2389:D2389"/>
    <mergeCell ref="A2440:D2440"/>
    <mergeCell ref="C2414:D2414"/>
    <mergeCell ref="C2411:D2411"/>
    <mergeCell ref="C2412:D2412"/>
    <mergeCell ref="C2413:D2413"/>
    <mergeCell ref="C2383:D2383"/>
    <mergeCell ref="C2384:D2384"/>
    <mergeCell ref="C2399:D2399"/>
    <mergeCell ref="C2400:D2400"/>
    <mergeCell ref="C2415:D2415"/>
    <mergeCell ref="C2396:D2396"/>
    <mergeCell ref="C2410:D2410"/>
    <mergeCell ref="C2408:D2408"/>
    <mergeCell ref="C2409:D2409"/>
    <mergeCell ref="C2397:D2397"/>
    <mergeCell ref="C2398:D2398"/>
    <mergeCell ref="C2207:D2207"/>
    <mergeCell ref="C2193:D2193"/>
    <mergeCell ref="C2247:D2247"/>
    <mergeCell ref="C2197:D2197"/>
    <mergeCell ref="C2214:D2214"/>
    <mergeCell ref="C2210:D2210"/>
    <mergeCell ref="C2211:D2211"/>
    <mergeCell ref="C2231:D2231"/>
    <mergeCell ref="C2194:D2194"/>
    <mergeCell ref="C2204:D2204"/>
    <mergeCell ref="C2205:D2205"/>
    <mergeCell ref="C2241:D2241"/>
    <mergeCell ref="C2242:D2242"/>
    <mergeCell ref="C2243:D2243"/>
    <mergeCell ref="C2244:D2244"/>
    <mergeCell ref="C2208:D2208"/>
    <mergeCell ref="C2209:D2209"/>
    <mergeCell ref="C2376:D2376"/>
    <mergeCell ref="C2374:D2374"/>
    <mergeCell ref="C2375:D2375"/>
    <mergeCell ref="C2362:D2362"/>
    <mergeCell ref="C2367:D2367"/>
    <mergeCell ref="C2343:D2343"/>
    <mergeCell ref="C2340:D2340"/>
    <mergeCell ref="C2341:D2341"/>
    <mergeCell ref="C2342:D2342"/>
    <mergeCell ref="C2358:D2358"/>
    <mergeCell ref="C2359:D2359"/>
    <mergeCell ref="C2401:D2401"/>
    <mergeCell ref="C2377:D2377"/>
    <mergeCell ref="C2378:D2378"/>
    <mergeCell ref="C2379:D2379"/>
    <mergeCell ref="C2380:D2380"/>
    <mergeCell ref="C2381:D2381"/>
    <mergeCell ref="C2382:D2382"/>
    <mergeCell ref="C2391:D2391"/>
    <mergeCell ref="C2392:D2392"/>
    <mergeCell ref="C2393:D2393"/>
    <mergeCell ref="C2394:D2394"/>
    <mergeCell ref="C2395:D2395"/>
    <mergeCell ref="C2357:D2357"/>
    <mergeCell ref="C2363:D2363"/>
    <mergeCell ref="C2364:D2364"/>
    <mergeCell ref="C2365:D2365"/>
    <mergeCell ref="C2366:D2366"/>
    <mergeCell ref="C1649:D1649"/>
    <mergeCell ref="C1650:D1650"/>
    <mergeCell ref="C1653:D1653"/>
    <mergeCell ref="C1663:D1663"/>
    <mergeCell ref="C1664:D1664"/>
    <mergeCell ref="C1857:D1857"/>
    <mergeCell ref="C1887:D1887"/>
    <mergeCell ref="C2346:D2346"/>
    <mergeCell ref="C2347:D2347"/>
    <mergeCell ref="C2348:D2348"/>
    <mergeCell ref="C2190:D2190"/>
    <mergeCell ref="C2187:D2187"/>
    <mergeCell ref="C2188:D2188"/>
    <mergeCell ref="C2189:D2189"/>
    <mergeCell ref="C2245:D2245"/>
    <mergeCell ref="C2246:D2246"/>
    <mergeCell ref="C2212:D2212"/>
    <mergeCell ref="C2213:D2213"/>
    <mergeCell ref="C2227:D2227"/>
    <mergeCell ref="C2228:D2228"/>
    <mergeCell ref="C2255:D2255"/>
    <mergeCell ref="C2256:D2256"/>
    <mergeCell ref="C2257:D2257"/>
    <mergeCell ref="C2258:D2258"/>
    <mergeCell ref="C2259:D2259"/>
    <mergeCell ref="C2223:D2223"/>
    <mergeCell ref="C2224:D2224"/>
    <mergeCell ref="C2225:D2225"/>
    <mergeCell ref="C2226:D2226"/>
    <mergeCell ref="C2191:D2191"/>
    <mergeCell ref="C2192:D2192"/>
    <mergeCell ref="C2206:D2206"/>
    <mergeCell ref="C1959:D1959"/>
    <mergeCell ref="C1917:D1917"/>
    <mergeCell ref="C1918:D1918"/>
    <mergeCell ref="C1906:D1906"/>
    <mergeCell ref="C1907:D1907"/>
    <mergeCell ref="C1899:D1899"/>
    <mergeCell ref="C1901:D1901"/>
    <mergeCell ref="C1902:D1902"/>
    <mergeCell ref="C1903:D1903"/>
    <mergeCell ref="C1904:D1904"/>
    <mergeCell ref="C1905:D1905"/>
    <mergeCell ref="C1971:D1971"/>
    <mergeCell ref="C1972:D1972"/>
    <mergeCell ref="C1973:D1973"/>
    <mergeCell ref="C1714:D1714"/>
    <mergeCell ref="C1545:D1545"/>
    <mergeCell ref="C1632:D1632"/>
    <mergeCell ref="C1633:D1633"/>
    <mergeCell ref="C1631:D1631"/>
    <mergeCell ref="C1662:D1662"/>
    <mergeCell ref="C1661:D1661"/>
    <mergeCell ref="C1715:D1715"/>
    <mergeCell ref="C1719:D1719"/>
    <mergeCell ref="C1697:D1697"/>
    <mergeCell ref="C1698:D1698"/>
    <mergeCell ref="C1699:D1699"/>
    <mergeCell ref="C1700:D1700"/>
    <mergeCell ref="C1701:D1701"/>
    <mergeCell ref="C1702:D1702"/>
    <mergeCell ref="C1888:D1888"/>
    <mergeCell ref="C1889:D1889"/>
    <mergeCell ref="C1832:D1832"/>
    <mergeCell ref="C1881:D1881"/>
    <mergeCell ref="C1882:D1882"/>
    <mergeCell ref="C1883:D1883"/>
    <mergeCell ref="C1884:D1884"/>
    <mergeCell ref="C1885:D1885"/>
    <mergeCell ref="C1886:D1886"/>
    <mergeCell ref="C1991:D1991"/>
    <mergeCell ref="C1988:D1988"/>
    <mergeCell ref="C1989:D1989"/>
    <mergeCell ref="C1990:D1990"/>
    <mergeCell ref="C1986:D1986"/>
    <mergeCell ref="C1987:D1987"/>
    <mergeCell ref="C1992:D1992"/>
    <mergeCell ref="C2002:D2002"/>
    <mergeCell ref="C2000:D2000"/>
    <mergeCell ref="C2001:D2001"/>
    <mergeCell ref="C1993:D1993"/>
    <mergeCell ref="C1921:D1921"/>
    <mergeCell ref="C1950:D1950"/>
    <mergeCell ref="C1984:D1984"/>
    <mergeCell ref="C1890:D1890"/>
    <mergeCell ref="C1920:D1920"/>
    <mergeCell ref="C1916:D1916"/>
    <mergeCell ref="C1915:D1915"/>
    <mergeCell ref="C1922:D1922"/>
    <mergeCell ref="C1937:D1937"/>
    <mergeCell ref="C1934:D1934"/>
    <mergeCell ref="C1983:D1983"/>
    <mergeCell ref="C1955:D1955"/>
    <mergeCell ref="C1956:D1956"/>
    <mergeCell ref="C1957:D1957"/>
    <mergeCell ref="C1958:D1958"/>
    <mergeCell ref="C1344:D1344"/>
    <mergeCell ref="C1360:D1360"/>
    <mergeCell ref="C1355:D1355"/>
    <mergeCell ref="C1257:D1257"/>
    <mergeCell ref="C1390:D1390"/>
    <mergeCell ref="C1388:D1388"/>
    <mergeCell ref="C1389:D1389"/>
    <mergeCell ref="C1391:D1391"/>
    <mergeCell ref="C1392:D1392"/>
    <mergeCell ref="C1517:D1517"/>
    <mergeCell ref="C1853:D1853"/>
    <mergeCell ref="C1854:D1854"/>
    <mergeCell ref="C1855:D1855"/>
    <mergeCell ref="C1856:D1856"/>
    <mergeCell ref="C1866:D1866"/>
    <mergeCell ref="C1864:D1864"/>
    <mergeCell ref="C1865:D1865"/>
    <mergeCell ref="C1847:D1847"/>
    <mergeCell ref="C1848:D1848"/>
    <mergeCell ref="C1849:D1849"/>
    <mergeCell ref="C1850:D1850"/>
    <mergeCell ref="C1851:D1851"/>
    <mergeCell ref="C1852:D1852"/>
    <mergeCell ref="C1703:D1703"/>
    <mergeCell ref="C1704:D1704"/>
    <mergeCell ref="C1833:D1833"/>
    <mergeCell ref="C1834:D1834"/>
    <mergeCell ref="C1835:D1835"/>
    <mergeCell ref="C1819:D1819"/>
    <mergeCell ref="C1820:D1820"/>
    <mergeCell ref="C1660:D1660"/>
    <mergeCell ref="C1648:D1648"/>
    <mergeCell ref="C2272:D2272"/>
    <mergeCell ref="C2273:D2273"/>
    <mergeCell ref="C2275:D2275"/>
    <mergeCell ref="C2276:D2276"/>
    <mergeCell ref="C2293:D2293"/>
    <mergeCell ref="C2315:D2315"/>
    <mergeCell ref="C2055:D2055"/>
    <mergeCell ref="C2179:D2179"/>
    <mergeCell ref="C2077:D2077"/>
    <mergeCell ref="C2078:D2078"/>
    <mergeCell ref="C2085:D2085"/>
    <mergeCell ref="C2146:D2146"/>
    <mergeCell ref="C2159:D2159"/>
    <mergeCell ref="C2160:D2160"/>
    <mergeCell ref="C1951:D1951"/>
    <mergeCell ref="C1949:D1949"/>
    <mergeCell ref="C1974:D1974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229:D2229"/>
    <mergeCell ref="C2230:D2230"/>
    <mergeCell ref="C2240:D2240"/>
    <mergeCell ref="C2238:D2238"/>
    <mergeCell ref="C2239:D2239"/>
    <mergeCell ref="C2221:D2221"/>
    <mergeCell ref="C2222:D2222"/>
    <mergeCell ref="C2332:D2332"/>
    <mergeCell ref="C2333:D2333"/>
    <mergeCell ref="C2328:D2328"/>
    <mergeCell ref="C2349:D2349"/>
    <mergeCell ref="C2350:D2350"/>
    <mergeCell ref="C2360:D2360"/>
    <mergeCell ref="C2361:D2361"/>
    <mergeCell ref="C2344:D2344"/>
    <mergeCell ref="C2345:D2345"/>
    <mergeCell ref="C2292:D2292"/>
    <mergeCell ref="C2289:D2289"/>
    <mergeCell ref="C2291:D2291"/>
    <mergeCell ref="C2294:D2294"/>
    <mergeCell ref="C2295:D2295"/>
    <mergeCell ref="C2296:D2296"/>
    <mergeCell ref="C2308:D2308"/>
    <mergeCell ref="C2306:D2306"/>
    <mergeCell ref="C2307:D2307"/>
    <mergeCell ref="C2299:D2299"/>
    <mergeCell ref="C2309:D2309"/>
    <mergeCell ref="C2310:D2310"/>
    <mergeCell ref="C2311:D2311"/>
    <mergeCell ref="C2312:D2312"/>
    <mergeCell ref="C2313:D2313"/>
    <mergeCell ref="C2314:D2314"/>
    <mergeCell ref="C2323:D2323"/>
    <mergeCell ref="C2324:D2324"/>
    <mergeCell ref="C2325:D2325"/>
    <mergeCell ref="C2326:D2326"/>
    <mergeCell ref="C2297:D2297"/>
    <mergeCell ref="C2298:D2298"/>
    <mergeCell ref="C1644:D1644"/>
    <mergeCell ref="C1804:D1804"/>
    <mergeCell ref="C1816:D1816"/>
    <mergeCell ref="C1817:D1817"/>
    <mergeCell ref="C1821:D1821"/>
    <mergeCell ref="C1818:D1818"/>
    <mergeCell ref="C2036:D2036"/>
    <mergeCell ref="C2034:D2034"/>
    <mergeCell ref="C2035:D2035"/>
    <mergeCell ref="C2022:D2022"/>
    <mergeCell ref="C2037:D2037"/>
    <mergeCell ref="C1969:D1969"/>
    <mergeCell ref="C1966:D1966"/>
    <mergeCell ref="C1967:D1967"/>
    <mergeCell ref="C1935:D1935"/>
    <mergeCell ref="C1936:D1936"/>
    <mergeCell ref="C1938:D1938"/>
    <mergeCell ref="C1941:D1941"/>
    <mergeCell ref="C1939:D1939"/>
    <mergeCell ref="C1940:D1940"/>
    <mergeCell ref="C1932:D1932"/>
    <mergeCell ref="C1933:D1933"/>
    <mergeCell ref="C1711:D1711"/>
    <mergeCell ref="C1720:D1720"/>
    <mergeCell ref="C1716:D1716"/>
    <mergeCell ref="C1721:D1721"/>
    <mergeCell ref="C1730:D1730"/>
    <mergeCell ref="C1731:D1731"/>
    <mergeCell ref="C1732:D1732"/>
    <mergeCell ref="C1900:D1900"/>
    <mergeCell ref="C1898:D1898"/>
    <mergeCell ref="C1891:D1891"/>
    <mergeCell ref="C2733:D2733"/>
    <mergeCell ref="C2706:D2706"/>
    <mergeCell ref="C2707:D2707"/>
    <mergeCell ref="C3006:D3006"/>
    <mergeCell ref="C3007:D3007"/>
    <mergeCell ref="C1645:D1645"/>
    <mergeCell ref="C1646:D1646"/>
    <mergeCell ref="C1647:D1647"/>
    <mergeCell ref="C1695:D1695"/>
    <mergeCell ref="C1679:D1679"/>
    <mergeCell ref="C1680:D1680"/>
    <mergeCell ref="C1681:D1681"/>
    <mergeCell ref="C1682:D1682"/>
    <mergeCell ref="C1677:D1677"/>
    <mergeCell ref="C1678:D1678"/>
    <mergeCell ref="C1770:D1770"/>
    <mergeCell ref="C1771:D1771"/>
    <mergeCell ref="C1766:D1766"/>
    <mergeCell ref="C1767:D1767"/>
    <mergeCell ref="C1768:D1768"/>
    <mergeCell ref="C1769:D1769"/>
    <mergeCell ref="C1762:D1762"/>
    <mergeCell ref="C1763:D1763"/>
    <mergeCell ref="C1799:D1799"/>
    <mergeCell ref="C1800:D1800"/>
    <mergeCell ref="C1801:D1801"/>
    <mergeCell ref="C1802:D1802"/>
    <mergeCell ref="C1734:D1734"/>
    <mergeCell ref="C1728:D1728"/>
    <mergeCell ref="C1729:D1729"/>
    <mergeCell ref="C1696:D1696"/>
    <mergeCell ref="C2906:D2906"/>
    <mergeCell ref="C2905:D2905"/>
    <mergeCell ref="C2772:D2772"/>
    <mergeCell ref="C2737:D2737"/>
    <mergeCell ref="C2738:D2738"/>
    <mergeCell ref="C2753:D2753"/>
    <mergeCell ref="C3005:D3005"/>
    <mergeCell ref="C2996:D2996"/>
    <mergeCell ref="C3003:D3003"/>
    <mergeCell ref="C3004:D3004"/>
    <mergeCell ref="C3008:D3008"/>
    <mergeCell ref="C3009:D3009"/>
    <mergeCell ref="C3010:D3010"/>
    <mergeCell ref="C3011:D3011"/>
    <mergeCell ref="C3012:D3012"/>
    <mergeCell ref="C3013:D3013"/>
    <mergeCell ref="C3740:D3740"/>
    <mergeCell ref="C3741:D3741"/>
    <mergeCell ref="C2867:D2867"/>
    <mergeCell ref="C2868:D2868"/>
    <mergeCell ref="C2869:D2869"/>
    <mergeCell ref="C2870:D2870"/>
    <mergeCell ref="C2873:D2873"/>
    <mergeCell ref="C2874:D2874"/>
    <mergeCell ref="C2875:D2875"/>
    <mergeCell ref="C2876:D2876"/>
    <mergeCell ref="C2871:D2871"/>
    <mergeCell ref="C2872:D2872"/>
    <mergeCell ref="C2911:D2911"/>
    <mergeCell ref="C2989:D2989"/>
    <mergeCell ref="C2990:D2990"/>
    <mergeCell ref="C2991:D2991"/>
    <mergeCell ref="C2822:D2822"/>
    <mergeCell ref="A2797:D2797"/>
    <mergeCell ref="B2776:B2778"/>
    <mergeCell ref="B2793:B2795"/>
    <mergeCell ref="A2781:A2795"/>
    <mergeCell ref="A2798:A2812"/>
    <mergeCell ref="C2992:D2992"/>
    <mergeCell ref="C2993:D2993"/>
    <mergeCell ref="C2994:D2994"/>
    <mergeCell ref="C2995:D2995"/>
    <mergeCell ref="C2736:D2736"/>
    <mergeCell ref="C2734:D2734"/>
    <mergeCell ref="C2735:D2735"/>
    <mergeCell ref="C2717:D2717"/>
    <mergeCell ref="C2718:D2718"/>
    <mergeCell ref="C2714:D2714"/>
    <mergeCell ref="C2715:D2715"/>
    <mergeCell ref="C2716:D2716"/>
    <mergeCell ref="C2719:D2719"/>
    <mergeCell ref="C2887:D2887"/>
    <mergeCell ref="C2888:D2888"/>
    <mergeCell ref="C2889:D2889"/>
    <mergeCell ref="C2890:D2890"/>
    <mergeCell ref="C2891:D2891"/>
    <mergeCell ref="C2892:D2892"/>
    <mergeCell ref="C2893:D2893"/>
    <mergeCell ref="C2877:D2877"/>
    <mergeCell ref="C2823:D2823"/>
    <mergeCell ref="C2833:D2833"/>
    <mergeCell ref="C2843:D2843"/>
    <mergeCell ref="C2853:D2853"/>
    <mergeCell ref="C2854:D2854"/>
    <mergeCell ref="C2855:D2855"/>
    <mergeCell ref="C700:D700"/>
    <mergeCell ref="C701:D701"/>
    <mergeCell ref="C695:D695"/>
    <mergeCell ref="C696:D696"/>
    <mergeCell ref="C697:D697"/>
    <mergeCell ref="C678:D678"/>
    <mergeCell ref="C679:D679"/>
    <mergeCell ref="C680:D680"/>
    <mergeCell ref="C681:D681"/>
    <mergeCell ref="C682:D682"/>
    <mergeCell ref="C683:D683"/>
    <mergeCell ref="C684:D684"/>
    <mergeCell ref="C2699:D2699"/>
    <mergeCell ref="C2700:D2700"/>
    <mergeCell ref="C2701:D2701"/>
    <mergeCell ref="C745:D745"/>
    <mergeCell ref="C732:D732"/>
    <mergeCell ref="C734:D734"/>
    <mergeCell ref="C735:D735"/>
    <mergeCell ref="C751:D751"/>
    <mergeCell ref="C881:D881"/>
    <mergeCell ref="C880:D880"/>
    <mergeCell ref="C878:D878"/>
    <mergeCell ref="C879:D879"/>
    <mergeCell ref="C1084:D1084"/>
    <mergeCell ref="C1085:D1085"/>
    <mergeCell ref="C1086:D1086"/>
    <mergeCell ref="C1092:D1092"/>
    <mergeCell ref="C1091:D1091"/>
    <mergeCell ref="C1803:D1803"/>
    <mergeCell ref="C1764:D1764"/>
    <mergeCell ref="C1643:D1643"/>
    <mergeCell ref="C2977:D2977"/>
    <mergeCell ref="C2978:D2978"/>
    <mergeCell ref="C2988:D2988"/>
    <mergeCell ref="C2986:D2986"/>
    <mergeCell ref="C2987:D2987"/>
    <mergeCell ref="C2969:D2969"/>
    <mergeCell ref="C2970:D2970"/>
    <mergeCell ref="C2971:D2971"/>
    <mergeCell ref="C2972:D2972"/>
    <mergeCell ref="C2973:D2973"/>
    <mergeCell ref="C2974:D2974"/>
    <mergeCell ref="C2979:D2979"/>
    <mergeCell ref="C2754:D2754"/>
    <mergeCell ref="C2755:D2755"/>
    <mergeCell ref="C2756:D2756"/>
    <mergeCell ref="C2788:D2788"/>
    <mergeCell ref="C2769:D2769"/>
    <mergeCell ref="C2782:D2782"/>
    <mergeCell ref="C2783:D2783"/>
    <mergeCell ref="C2770:D2770"/>
    <mergeCell ref="C2771:D2771"/>
    <mergeCell ref="C2774:D2774"/>
    <mergeCell ref="C2775:D2775"/>
    <mergeCell ref="C2765:D2765"/>
    <mergeCell ref="C2766:D2766"/>
    <mergeCell ref="C2856:D2856"/>
    <mergeCell ref="C2851:D2851"/>
    <mergeCell ref="C2784:D2784"/>
    <mergeCell ref="C2785:D2785"/>
    <mergeCell ref="C2789:D2789"/>
    <mergeCell ref="C2790:D2790"/>
    <mergeCell ref="A2763:D2763"/>
    <mergeCell ref="B600:B602"/>
    <mergeCell ref="C597:D597"/>
    <mergeCell ref="C598:D598"/>
    <mergeCell ref="C599:D599"/>
    <mergeCell ref="B532:B534"/>
    <mergeCell ref="B549:B551"/>
    <mergeCell ref="B583:B585"/>
    <mergeCell ref="C650:D650"/>
    <mergeCell ref="C649:D649"/>
    <mergeCell ref="C627:D627"/>
    <mergeCell ref="C628:D628"/>
    <mergeCell ref="C623:D623"/>
    <mergeCell ref="C624:D624"/>
    <mergeCell ref="C625:D625"/>
    <mergeCell ref="C626:D626"/>
    <mergeCell ref="C632:D632"/>
    <mergeCell ref="C631:D631"/>
    <mergeCell ref="B566:B568"/>
    <mergeCell ref="C565:D565"/>
    <mergeCell ref="C561:D561"/>
    <mergeCell ref="C562:D562"/>
    <mergeCell ref="C563:D563"/>
    <mergeCell ref="C564:D564"/>
    <mergeCell ref="C589:D589"/>
    <mergeCell ref="C590:D590"/>
    <mergeCell ref="C608:D608"/>
    <mergeCell ref="C609:D609"/>
    <mergeCell ref="C606:D606"/>
    <mergeCell ref="C646:D646"/>
    <mergeCell ref="C640:D640"/>
    <mergeCell ref="C641:D641"/>
    <mergeCell ref="C642:D642"/>
    <mergeCell ref="C643:D643"/>
    <mergeCell ref="C644:D644"/>
    <mergeCell ref="C645:D645"/>
    <mergeCell ref="C612:D612"/>
    <mergeCell ref="C613:D613"/>
    <mergeCell ref="C677:D677"/>
    <mergeCell ref="A655:D655"/>
    <mergeCell ref="A638:D638"/>
    <mergeCell ref="C405:D405"/>
    <mergeCell ref="C406:D406"/>
    <mergeCell ref="C455:D455"/>
    <mergeCell ref="C411:D411"/>
    <mergeCell ref="C412:D412"/>
    <mergeCell ref="C413:D413"/>
    <mergeCell ref="C414:D414"/>
    <mergeCell ref="C440:D440"/>
    <mergeCell ref="C441:D441"/>
    <mergeCell ref="A453:D453"/>
    <mergeCell ref="C462:D462"/>
    <mergeCell ref="C463:D463"/>
    <mergeCell ref="C464:D464"/>
    <mergeCell ref="C465:D465"/>
    <mergeCell ref="C445:D445"/>
    <mergeCell ref="C448:D448"/>
    <mergeCell ref="A604:D604"/>
    <mergeCell ref="A621:D621"/>
    <mergeCell ref="C610:D610"/>
    <mergeCell ref="C611:D611"/>
    <mergeCell ref="C422:D422"/>
    <mergeCell ref="A673:A687"/>
    <mergeCell ref="C579:D579"/>
    <mergeCell ref="C580:D580"/>
    <mergeCell ref="C404:D404"/>
    <mergeCell ref="A402:D402"/>
    <mergeCell ref="B383:B385"/>
    <mergeCell ref="A387:C387"/>
    <mergeCell ref="A388:A400"/>
    <mergeCell ref="C408:D408"/>
    <mergeCell ref="C409:D409"/>
    <mergeCell ref="C410:D410"/>
    <mergeCell ref="C407:D407"/>
    <mergeCell ref="C674:D674"/>
    <mergeCell ref="C675:D675"/>
    <mergeCell ref="C663:D663"/>
    <mergeCell ref="C661:D661"/>
    <mergeCell ref="C662:D662"/>
    <mergeCell ref="C657:D657"/>
    <mergeCell ref="C658:D658"/>
    <mergeCell ref="C647:D647"/>
    <mergeCell ref="C648:D648"/>
    <mergeCell ref="C664:D664"/>
    <mergeCell ref="C665:D665"/>
    <mergeCell ref="C666:D666"/>
    <mergeCell ref="C667:D667"/>
    <mergeCell ref="C490:D490"/>
    <mergeCell ref="C491:D491"/>
    <mergeCell ref="C447:D447"/>
    <mergeCell ref="C492:D492"/>
    <mergeCell ref="C493:D493"/>
    <mergeCell ref="C459:D459"/>
    <mergeCell ref="C460:D460"/>
    <mergeCell ref="C461:D461"/>
    <mergeCell ref="C508:D508"/>
    <mergeCell ref="C509:D509"/>
    <mergeCell ref="C344:D344"/>
    <mergeCell ref="C345:D345"/>
    <mergeCell ref="C343:D343"/>
    <mergeCell ref="C365:D365"/>
    <mergeCell ref="C364:D364"/>
    <mergeCell ref="C361:D361"/>
    <mergeCell ref="C362:D362"/>
    <mergeCell ref="C357:D357"/>
    <mergeCell ref="C355:D355"/>
    <mergeCell ref="C356:D356"/>
    <mergeCell ref="C346:D346"/>
    <mergeCell ref="C347:D347"/>
    <mergeCell ref="C348:D348"/>
    <mergeCell ref="A353:D353"/>
    <mergeCell ref="A370:D370"/>
    <mergeCell ref="C360:D360"/>
    <mergeCell ref="C363:D363"/>
    <mergeCell ref="C358:D358"/>
    <mergeCell ref="C359:D359"/>
    <mergeCell ref="C326:D326"/>
    <mergeCell ref="C327:D327"/>
    <mergeCell ref="A319:D319"/>
    <mergeCell ref="C324:D324"/>
    <mergeCell ref="C325:D325"/>
    <mergeCell ref="C323:D323"/>
    <mergeCell ref="C328:D328"/>
    <mergeCell ref="C329:D329"/>
    <mergeCell ref="C312:D312"/>
    <mergeCell ref="C313:D313"/>
    <mergeCell ref="C321:D321"/>
    <mergeCell ref="C322:D322"/>
    <mergeCell ref="C314:D314"/>
    <mergeCell ref="C311:D311"/>
    <mergeCell ref="C330:D330"/>
    <mergeCell ref="C341:D341"/>
    <mergeCell ref="C342:D342"/>
    <mergeCell ref="C331:D331"/>
    <mergeCell ref="C339:D339"/>
    <mergeCell ref="C338:D338"/>
    <mergeCell ref="C340:D340"/>
    <mergeCell ref="A336:D336"/>
    <mergeCell ref="A320:A334"/>
    <mergeCell ref="B332:B334"/>
    <mergeCell ref="C296:D296"/>
    <mergeCell ref="C297:D297"/>
    <mergeCell ref="C290:D290"/>
    <mergeCell ref="C291:D291"/>
    <mergeCell ref="C292:D292"/>
    <mergeCell ref="C293:D293"/>
    <mergeCell ref="C294:D294"/>
    <mergeCell ref="C295:D295"/>
    <mergeCell ref="C308:D308"/>
    <mergeCell ref="A302:D302"/>
    <mergeCell ref="A270:C270"/>
    <mergeCell ref="A271:A283"/>
    <mergeCell ref="C309:D309"/>
    <mergeCell ref="C289:D289"/>
    <mergeCell ref="C287:D287"/>
    <mergeCell ref="C288:D288"/>
    <mergeCell ref="A285:D285"/>
    <mergeCell ref="C304:D304"/>
    <mergeCell ref="C305:D305"/>
    <mergeCell ref="C306:D306"/>
    <mergeCell ref="C307:D307"/>
    <mergeCell ref="C882:D882"/>
    <mergeCell ref="C883:D883"/>
    <mergeCell ref="C884:D884"/>
    <mergeCell ref="C885:D885"/>
    <mergeCell ref="C886:D886"/>
    <mergeCell ref="C887:D887"/>
    <mergeCell ref="C888:D888"/>
    <mergeCell ref="B415:B417"/>
    <mergeCell ref="B449:B451"/>
    <mergeCell ref="B498:B500"/>
    <mergeCell ref="B466:B468"/>
    <mergeCell ref="B515:B517"/>
    <mergeCell ref="C676:D676"/>
    <mergeCell ref="C458:D458"/>
    <mergeCell ref="C581:D581"/>
    <mergeCell ref="C582:D582"/>
    <mergeCell ref="C591:D591"/>
    <mergeCell ref="C592:D592"/>
    <mergeCell ref="C593:D593"/>
    <mergeCell ref="C594:D594"/>
    <mergeCell ref="C595:D595"/>
    <mergeCell ref="C596:D596"/>
    <mergeCell ref="C574:D574"/>
    <mergeCell ref="C785:D785"/>
    <mergeCell ref="C786:D786"/>
    <mergeCell ref="C801:D801"/>
    <mergeCell ref="C802:D802"/>
    <mergeCell ref="C867:D867"/>
    <mergeCell ref="C868:D868"/>
    <mergeCell ref="C837:D837"/>
    <mergeCell ref="C793:D793"/>
    <mergeCell ref="A791:D791"/>
    <mergeCell ref="A31:C31"/>
    <mergeCell ref="A17:A29"/>
    <mergeCell ref="A32:A44"/>
    <mergeCell ref="A47:A59"/>
    <mergeCell ref="A77:A89"/>
    <mergeCell ref="A92:A104"/>
    <mergeCell ref="A204:D204"/>
    <mergeCell ref="B183:B185"/>
    <mergeCell ref="A171:A185"/>
    <mergeCell ref="A170:D170"/>
    <mergeCell ref="A138:D138"/>
    <mergeCell ref="C141:D141"/>
    <mergeCell ref="A156:A168"/>
    <mergeCell ref="B151:B153"/>
    <mergeCell ref="A155:C155"/>
    <mergeCell ref="C177:D177"/>
    <mergeCell ref="C178:D178"/>
    <mergeCell ref="C179:D179"/>
    <mergeCell ref="C180:D180"/>
    <mergeCell ref="C181:D181"/>
    <mergeCell ref="A187:D187"/>
    <mergeCell ref="C189:D189"/>
    <mergeCell ref="C190:D190"/>
    <mergeCell ref="C191:D191"/>
    <mergeCell ref="C192:D192"/>
    <mergeCell ref="C147:D147"/>
    <mergeCell ref="C142:D142"/>
    <mergeCell ref="C143:D143"/>
    <mergeCell ref="C144:D144"/>
    <mergeCell ref="C145:D145"/>
    <mergeCell ref="C146:D146"/>
    <mergeCell ref="C148:D148"/>
    <mergeCell ref="C249:D249"/>
    <mergeCell ref="C250:D250"/>
    <mergeCell ref="C209:D209"/>
    <mergeCell ref="C210:D210"/>
    <mergeCell ref="C211:D211"/>
    <mergeCell ref="C212:D212"/>
    <mergeCell ref="C213:D213"/>
    <mergeCell ref="C214:D214"/>
    <mergeCell ref="C216:D216"/>
    <mergeCell ref="C224:D224"/>
    <mergeCell ref="C225:D225"/>
    <mergeCell ref="C227:D227"/>
    <mergeCell ref="C228:D228"/>
    <mergeCell ref="C149:D149"/>
    <mergeCell ref="C172:D172"/>
    <mergeCell ref="C173:D173"/>
    <mergeCell ref="C150:D150"/>
    <mergeCell ref="C182:D182"/>
    <mergeCell ref="C174:D174"/>
    <mergeCell ref="C176:D176"/>
    <mergeCell ref="C175:D175"/>
    <mergeCell ref="C229:D229"/>
    <mergeCell ref="C230:D230"/>
    <mergeCell ref="C231:D231"/>
    <mergeCell ref="C232:D232"/>
    <mergeCell ref="C233:D233"/>
    <mergeCell ref="C242:D242"/>
    <mergeCell ref="C243:D243"/>
    <mergeCell ref="C244:D244"/>
    <mergeCell ref="C226:D226"/>
    <mergeCell ref="C207:D207"/>
    <mergeCell ref="C208:D208"/>
    <mergeCell ref="C215:D215"/>
    <mergeCell ref="C223:D223"/>
    <mergeCell ref="C197:D197"/>
    <mergeCell ref="C198:D198"/>
    <mergeCell ref="C206:D206"/>
    <mergeCell ref="C196:D196"/>
    <mergeCell ref="C199:D199"/>
    <mergeCell ref="C195:D195"/>
    <mergeCell ref="C193:D193"/>
    <mergeCell ref="C194:D194"/>
    <mergeCell ref="B889:B891"/>
    <mergeCell ref="B872:B874"/>
    <mergeCell ref="B855:B857"/>
    <mergeCell ref="A843:A857"/>
    <mergeCell ref="A860:A874"/>
    <mergeCell ref="A877:A891"/>
    <mergeCell ref="B668:B670"/>
    <mergeCell ref="B651:B653"/>
    <mergeCell ref="A222:A236"/>
    <mergeCell ref="B234:B236"/>
    <mergeCell ref="A256:A268"/>
    <mergeCell ref="A303:A317"/>
    <mergeCell ref="A337:A351"/>
    <mergeCell ref="B200:B202"/>
    <mergeCell ref="B315:B317"/>
    <mergeCell ref="B349:B351"/>
    <mergeCell ref="A205:A219"/>
    <mergeCell ref="B217:B219"/>
    <mergeCell ref="A403:A417"/>
    <mergeCell ref="A437:A451"/>
    <mergeCell ref="A454:A468"/>
    <mergeCell ref="A471:A483"/>
    <mergeCell ref="C818:D818"/>
    <mergeCell ref="C819:D819"/>
    <mergeCell ref="C803:D803"/>
    <mergeCell ref="C797:D797"/>
    <mergeCell ref="C798:D798"/>
    <mergeCell ref="C795:D795"/>
    <mergeCell ref="A825:D825"/>
    <mergeCell ref="C833:D833"/>
    <mergeCell ref="C836:D836"/>
    <mergeCell ref="A808:D808"/>
    <mergeCell ref="A859:D859"/>
    <mergeCell ref="C861:D861"/>
    <mergeCell ref="C849:D849"/>
    <mergeCell ref="C852:D852"/>
    <mergeCell ref="C845:D845"/>
    <mergeCell ref="C799:D799"/>
    <mergeCell ref="C800:D800"/>
    <mergeCell ref="C834:D834"/>
    <mergeCell ref="C835:D835"/>
    <mergeCell ref="C831:D831"/>
    <mergeCell ref="C832:D832"/>
    <mergeCell ref="C811:D811"/>
    <mergeCell ref="C812:D812"/>
    <mergeCell ref="A876:D876"/>
    <mergeCell ref="C850:D850"/>
    <mergeCell ref="C851:D851"/>
    <mergeCell ref="C854:D854"/>
    <mergeCell ref="C871:D871"/>
    <mergeCell ref="C866:D866"/>
    <mergeCell ref="C869:D869"/>
    <mergeCell ref="C870:D870"/>
    <mergeCell ref="C847:D847"/>
    <mergeCell ref="C848:D848"/>
    <mergeCell ref="C853:D853"/>
    <mergeCell ref="A436:D436"/>
    <mergeCell ref="C444:D444"/>
    <mergeCell ref="C442:D442"/>
    <mergeCell ref="C443:D443"/>
    <mergeCell ref="C439:D439"/>
    <mergeCell ref="C746:D746"/>
    <mergeCell ref="C747:D747"/>
    <mergeCell ref="C749:D749"/>
    <mergeCell ref="C750:D750"/>
    <mergeCell ref="C765:D765"/>
    <mergeCell ref="C766:D766"/>
    <mergeCell ref="C767:D767"/>
    <mergeCell ref="C768:D768"/>
    <mergeCell ref="C862:D862"/>
    <mergeCell ref="C863:D863"/>
    <mergeCell ref="C864:D864"/>
    <mergeCell ref="C865:D865"/>
    <mergeCell ref="C748:D748"/>
    <mergeCell ref="A842:D842"/>
    <mergeCell ref="C844:D844"/>
    <mergeCell ref="C846:D846"/>
    <mergeCell ref="C794:D794"/>
    <mergeCell ref="C827:D827"/>
    <mergeCell ref="C828:D828"/>
    <mergeCell ref="C507:D507"/>
    <mergeCell ref="C425:D425"/>
    <mergeCell ref="C438:D438"/>
    <mergeCell ref="C310:D310"/>
    <mergeCell ref="C780:D780"/>
    <mergeCell ref="C778:D778"/>
    <mergeCell ref="C779:D779"/>
    <mergeCell ref="C810:D810"/>
    <mergeCell ref="C796:D796"/>
    <mergeCell ref="C759:D759"/>
    <mergeCell ref="C760:D760"/>
    <mergeCell ref="C761:D761"/>
    <mergeCell ref="C762:D762"/>
    <mergeCell ref="C763:D763"/>
    <mergeCell ref="C764:D764"/>
    <mergeCell ref="C781:D781"/>
    <mergeCell ref="C712:D712"/>
    <mergeCell ref="C698:D698"/>
    <mergeCell ref="C783:D783"/>
    <mergeCell ref="C784:D784"/>
    <mergeCell ref="A774:D774"/>
    <mergeCell ref="C717:D717"/>
    <mergeCell ref="C815:D815"/>
    <mergeCell ref="C816:D816"/>
    <mergeCell ref="C817:D817"/>
    <mergeCell ref="A741:A755"/>
    <mergeCell ref="A792:A806"/>
    <mergeCell ref="A809:A823"/>
    <mergeCell ref="C421:D421"/>
    <mergeCell ref="A690:A704"/>
    <mergeCell ref="A707:A721"/>
    <mergeCell ref="C728:D728"/>
    <mergeCell ref="C731:D731"/>
    <mergeCell ref="A826:A840"/>
    <mergeCell ref="C424:D424"/>
    <mergeCell ref="C423:D423"/>
    <mergeCell ref="C428:D428"/>
    <mergeCell ref="C429:D429"/>
    <mergeCell ref="C430:D430"/>
    <mergeCell ref="C431:D431"/>
    <mergeCell ref="C505:D505"/>
    <mergeCell ref="C506:D506"/>
    <mergeCell ref="C525:D525"/>
    <mergeCell ref="C526:D526"/>
    <mergeCell ref="C510:D510"/>
    <mergeCell ref="C511:D511"/>
    <mergeCell ref="C512:D512"/>
    <mergeCell ref="C513:D513"/>
    <mergeCell ref="C504:D504"/>
    <mergeCell ref="C514:D514"/>
    <mergeCell ref="C527:D527"/>
    <mergeCell ref="C521:D521"/>
    <mergeCell ref="C782:D782"/>
    <mergeCell ref="C829:D829"/>
    <mergeCell ref="C830:D830"/>
    <mergeCell ref="C522:D522"/>
    <mergeCell ref="C523:D523"/>
    <mergeCell ref="C524:D524"/>
    <mergeCell ref="C820:D820"/>
    <mergeCell ref="C813:D813"/>
    <mergeCell ref="C814:D814"/>
    <mergeCell ref="C614:D614"/>
    <mergeCell ref="C616:D616"/>
    <mergeCell ref="C615:D615"/>
    <mergeCell ref="C776:D776"/>
    <mergeCell ref="C777:D777"/>
    <mergeCell ref="C769:D769"/>
    <mergeCell ref="A672:D672"/>
    <mergeCell ref="A689:D689"/>
    <mergeCell ref="C691:D691"/>
    <mergeCell ref="C692:D692"/>
    <mergeCell ref="C693:D693"/>
    <mergeCell ref="C694:D694"/>
    <mergeCell ref="C718:D718"/>
    <mergeCell ref="C725:D725"/>
    <mergeCell ref="C726:D726"/>
    <mergeCell ref="A723:D723"/>
    <mergeCell ref="A740:D740"/>
    <mergeCell ref="C752:D752"/>
    <mergeCell ref="A757:D757"/>
    <mergeCell ref="A758:A772"/>
    <mergeCell ref="A775:A789"/>
    <mergeCell ref="C708:D708"/>
    <mergeCell ref="C709:D709"/>
    <mergeCell ref="C711:D711"/>
    <mergeCell ref="C733:D733"/>
    <mergeCell ref="C699:D699"/>
    <mergeCell ref="C713:D713"/>
    <mergeCell ref="C714:D714"/>
    <mergeCell ref="C715:D715"/>
    <mergeCell ref="C716:D716"/>
    <mergeCell ref="C727:D727"/>
    <mergeCell ref="A706:D706"/>
    <mergeCell ref="C545:D545"/>
    <mergeCell ref="C546:D546"/>
    <mergeCell ref="C547:D547"/>
    <mergeCell ref="C540:D540"/>
    <mergeCell ref="C538:D538"/>
    <mergeCell ref="C539:D539"/>
    <mergeCell ref="C531:D531"/>
    <mergeCell ref="C559:D559"/>
    <mergeCell ref="C548:D548"/>
    <mergeCell ref="C556:D556"/>
    <mergeCell ref="C557:D557"/>
    <mergeCell ref="C558:D558"/>
    <mergeCell ref="A536:D536"/>
    <mergeCell ref="C575:D575"/>
    <mergeCell ref="C577:D577"/>
    <mergeCell ref="C578:D578"/>
    <mergeCell ref="C576:D576"/>
    <mergeCell ref="A724:A738"/>
    <mergeCell ref="C607:D607"/>
    <mergeCell ref="C629:D629"/>
    <mergeCell ref="C630:D630"/>
    <mergeCell ref="C633:D633"/>
    <mergeCell ref="A2:A14"/>
    <mergeCell ref="A107:A121"/>
    <mergeCell ref="A139:A153"/>
    <mergeCell ref="B119:B121"/>
    <mergeCell ref="A124:A136"/>
    <mergeCell ref="A221:D221"/>
    <mergeCell ref="A188:A202"/>
    <mergeCell ref="A354:A368"/>
    <mergeCell ref="A46:C46"/>
    <mergeCell ref="A1:C1"/>
    <mergeCell ref="A255:C255"/>
    <mergeCell ref="A16:C16"/>
    <mergeCell ref="C140:D140"/>
    <mergeCell ref="A123:C123"/>
    <mergeCell ref="A371:A385"/>
    <mergeCell ref="B366:B368"/>
    <mergeCell ref="B432:B434"/>
    <mergeCell ref="A420:A434"/>
    <mergeCell ref="C426:D426"/>
    <mergeCell ref="C427:D427"/>
    <mergeCell ref="A419:D419"/>
    <mergeCell ref="C247:D247"/>
    <mergeCell ref="C248:D248"/>
    <mergeCell ref="A239:A253"/>
    <mergeCell ref="B251:B253"/>
    <mergeCell ref="A286:A300"/>
    <mergeCell ref="B298:B300"/>
    <mergeCell ref="C246:D246"/>
    <mergeCell ref="C240:D240"/>
    <mergeCell ref="C241:D241"/>
    <mergeCell ref="C3534:D3534"/>
    <mergeCell ref="C3535:D3535"/>
    <mergeCell ref="B3541:B3543"/>
    <mergeCell ref="A3545:D3545"/>
    <mergeCell ref="A3529:A3543"/>
    <mergeCell ref="A61:C61"/>
    <mergeCell ref="C110:D110"/>
    <mergeCell ref="A106:D106"/>
    <mergeCell ref="C108:D108"/>
    <mergeCell ref="C109:D109"/>
    <mergeCell ref="A62:A74"/>
    <mergeCell ref="A91:C91"/>
    <mergeCell ref="A76:C76"/>
    <mergeCell ref="C111:D111"/>
    <mergeCell ref="C112:D112"/>
    <mergeCell ref="C113:D113"/>
    <mergeCell ref="C118:D118"/>
    <mergeCell ref="C114:D114"/>
    <mergeCell ref="C115:D115"/>
    <mergeCell ref="C116:D116"/>
    <mergeCell ref="C117:D117"/>
    <mergeCell ref="C245:D245"/>
    <mergeCell ref="A238:D238"/>
    <mergeCell ref="B685:B687"/>
    <mergeCell ref="A470:C470"/>
    <mergeCell ref="A639:A653"/>
    <mergeCell ref="C456:D456"/>
    <mergeCell ref="C457:D457"/>
    <mergeCell ref="A519:D519"/>
    <mergeCell ref="C530:D530"/>
    <mergeCell ref="C528:D528"/>
    <mergeCell ref="C529:D529"/>
    <mergeCell ref="A3613:D3613"/>
    <mergeCell ref="C3615:D3615"/>
    <mergeCell ref="C3616:D3616"/>
    <mergeCell ref="C3617:D3617"/>
    <mergeCell ref="A3614:A3628"/>
    <mergeCell ref="A3597:A3611"/>
    <mergeCell ref="B3609:B3611"/>
    <mergeCell ref="C3604:D3604"/>
    <mergeCell ref="C3603:D3603"/>
    <mergeCell ref="C3598:D3598"/>
    <mergeCell ref="C3599:D3599"/>
    <mergeCell ref="C3600:D3600"/>
    <mergeCell ref="C3618:D3618"/>
    <mergeCell ref="C3538:D3538"/>
    <mergeCell ref="C3539:D3539"/>
    <mergeCell ref="C3589:D3589"/>
    <mergeCell ref="C3590:D3590"/>
    <mergeCell ref="C3566:D3566"/>
    <mergeCell ref="C3583:D3583"/>
    <mergeCell ref="C3584:D3584"/>
    <mergeCell ref="C3587:D3587"/>
    <mergeCell ref="B3575:B3577"/>
    <mergeCell ref="C3588:D3588"/>
    <mergeCell ref="C3573:D3573"/>
    <mergeCell ref="C3574:D3574"/>
    <mergeCell ref="C3582:D3582"/>
    <mergeCell ref="C3581:D3581"/>
    <mergeCell ref="C3585:D3585"/>
    <mergeCell ref="C3605:D3605"/>
    <mergeCell ref="C3606:D3606"/>
    <mergeCell ref="C3608:D3608"/>
    <mergeCell ref="C3607:D3607"/>
    <mergeCell ref="C3485:D3485"/>
    <mergeCell ref="C3479:D3479"/>
    <mergeCell ref="C3451:D3451"/>
    <mergeCell ref="C3452:D3452"/>
    <mergeCell ref="C3453:D3453"/>
    <mergeCell ref="C3454:D3454"/>
    <mergeCell ref="C3455:D3455"/>
    <mergeCell ref="C3503:D3503"/>
    <mergeCell ref="C3489:D3489"/>
    <mergeCell ref="B3490:B3492"/>
    <mergeCell ref="A3494:D3494"/>
    <mergeCell ref="C3532:D3532"/>
    <mergeCell ref="C3533:D3533"/>
    <mergeCell ref="C3521:D3521"/>
    <mergeCell ref="C3522:D3522"/>
    <mergeCell ref="A3528:D3528"/>
    <mergeCell ref="C3530:D3530"/>
    <mergeCell ref="C3517:D3517"/>
    <mergeCell ref="A3512:A3526"/>
    <mergeCell ref="B3524:B3526"/>
    <mergeCell ref="C3519:D3519"/>
    <mergeCell ref="C3520:D3520"/>
    <mergeCell ref="C3523:D3523"/>
    <mergeCell ref="C3515:D3515"/>
    <mergeCell ref="C3516:D3516"/>
    <mergeCell ref="B3456:B3458"/>
    <mergeCell ref="C3465:D3465"/>
    <mergeCell ref="C3466:D3466"/>
    <mergeCell ref="A3461:A3475"/>
    <mergeCell ref="C3229:D3229"/>
    <mergeCell ref="A3222:D3222"/>
    <mergeCell ref="C3216:D3216"/>
    <mergeCell ref="C3217:D3217"/>
    <mergeCell ref="C3212:D3212"/>
    <mergeCell ref="C3213:D3213"/>
    <mergeCell ref="C3177:D3177"/>
    <mergeCell ref="C3178:D3178"/>
    <mergeCell ref="C3166:D3166"/>
    <mergeCell ref="B3167:B3169"/>
    <mergeCell ref="B3150:B3152"/>
    <mergeCell ref="C3173:D3173"/>
    <mergeCell ref="C3174:D3174"/>
    <mergeCell ref="C3175:D3175"/>
    <mergeCell ref="C3176:D3176"/>
    <mergeCell ref="C3504:D3504"/>
    <mergeCell ref="C3505:D3505"/>
    <mergeCell ref="C3482:D3482"/>
    <mergeCell ref="C3483:D3483"/>
    <mergeCell ref="C3467:D3467"/>
    <mergeCell ref="C3468:D3468"/>
    <mergeCell ref="C3469:D3469"/>
    <mergeCell ref="C3470:D3470"/>
    <mergeCell ref="C3471:D3471"/>
    <mergeCell ref="C3472:D3472"/>
    <mergeCell ref="C3500:D3500"/>
    <mergeCell ref="C3501:D3501"/>
    <mergeCell ref="C3502:D3502"/>
    <mergeCell ref="C3486:D3486"/>
    <mergeCell ref="C3488:D3488"/>
    <mergeCell ref="C3498:D3498"/>
    <mergeCell ref="C3496:D3496"/>
    <mergeCell ref="C3420:D3420"/>
    <mergeCell ref="C3421:D3421"/>
    <mergeCell ref="B3422:B3424"/>
    <mergeCell ref="C3413:D3413"/>
    <mergeCell ref="C3411:D3411"/>
    <mergeCell ref="A3409:D3409"/>
    <mergeCell ref="C3414:D3414"/>
    <mergeCell ref="C3415:D3415"/>
    <mergeCell ref="C3416:D3416"/>
    <mergeCell ref="C3417:D3417"/>
    <mergeCell ref="C3419:D3419"/>
    <mergeCell ref="C3418:D3418"/>
    <mergeCell ref="A3410:A3424"/>
    <mergeCell ref="C3450:D3450"/>
    <mergeCell ref="A3443:D3443"/>
    <mergeCell ref="C3445:D3445"/>
    <mergeCell ref="C3446:D3446"/>
    <mergeCell ref="C3447:D3447"/>
    <mergeCell ref="C3412:D3412"/>
    <mergeCell ref="C3434:D3434"/>
    <mergeCell ref="C3428:D3428"/>
    <mergeCell ref="C3429:D3429"/>
    <mergeCell ref="C3430:D3430"/>
    <mergeCell ref="C3431:D3431"/>
    <mergeCell ref="C3432:D3432"/>
    <mergeCell ref="C3433:D3433"/>
    <mergeCell ref="C3448:D3448"/>
    <mergeCell ref="C3449:D3449"/>
    <mergeCell ref="C3438:D3438"/>
    <mergeCell ref="B3439:B3441"/>
    <mergeCell ref="C3435:D3435"/>
    <mergeCell ref="C3436:D3436"/>
    <mergeCell ref="C3437:D3437"/>
    <mergeCell ref="A3426:D3426"/>
    <mergeCell ref="A3427:A3441"/>
    <mergeCell ref="C3601:D3601"/>
    <mergeCell ref="C3602:D3602"/>
    <mergeCell ref="C3536:D3536"/>
    <mergeCell ref="C3537:D3537"/>
    <mergeCell ref="C3506:D3506"/>
    <mergeCell ref="B3507:B3509"/>
    <mergeCell ref="C3497:D3497"/>
    <mergeCell ref="C3499:D3499"/>
    <mergeCell ref="B3473:B3475"/>
    <mergeCell ref="C3462:D3462"/>
    <mergeCell ref="C3463:D3463"/>
    <mergeCell ref="C3464:D3464"/>
    <mergeCell ref="A3460:D3460"/>
    <mergeCell ref="C3487:D3487"/>
    <mergeCell ref="A3579:D3579"/>
    <mergeCell ref="B3592:B3594"/>
    <mergeCell ref="A3596:D3596"/>
    <mergeCell ref="C3591:D3591"/>
    <mergeCell ref="C3586:D3586"/>
    <mergeCell ref="C3554:D3554"/>
    <mergeCell ref="C3555:D3555"/>
    <mergeCell ref="C3556:D3556"/>
    <mergeCell ref="C3564:D3564"/>
    <mergeCell ref="C3557:D3557"/>
    <mergeCell ref="A3580:A3594"/>
    <mergeCell ref="A3562:D3562"/>
    <mergeCell ref="C3480:D3480"/>
    <mergeCell ref="C3481:D3481"/>
    <mergeCell ref="C3484:D3484"/>
    <mergeCell ref="C3641:D3641"/>
    <mergeCell ref="C3642:D3642"/>
    <mergeCell ref="C3649:D3649"/>
    <mergeCell ref="C3650:D3650"/>
    <mergeCell ref="C3651:D3651"/>
    <mergeCell ref="C3652:D3652"/>
    <mergeCell ref="C3621:D3621"/>
    <mergeCell ref="C3622:D3622"/>
    <mergeCell ref="C3623:D3623"/>
    <mergeCell ref="C3624:D3624"/>
    <mergeCell ref="C3619:D3619"/>
    <mergeCell ref="C3620:D3620"/>
    <mergeCell ref="C3635:D3635"/>
    <mergeCell ref="C3636:D3636"/>
    <mergeCell ref="C3637:D3637"/>
    <mergeCell ref="C3638:D3638"/>
    <mergeCell ref="C3639:D3639"/>
    <mergeCell ref="C3625:D3625"/>
    <mergeCell ref="C3634:D3634"/>
    <mergeCell ref="C3632:D3632"/>
    <mergeCell ref="C3633:D3633"/>
    <mergeCell ref="A3069:D3069"/>
    <mergeCell ref="A3070:A3084"/>
    <mergeCell ref="C3077:D3077"/>
    <mergeCell ref="C3078:D3078"/>
    <mergeCell ref="C3076:D3076"/>
    <mergeCell ref="C3547:D3547"/>
    <mergeCell ref="C3540:D3540"/>
    <mergeCell ref="A3546:A3560"/>
    <mergeCell ref="B3558:B3560"/>
    <mergeCell ref="C3518:D3518"/>
    <mergeCell ref="C3553:D3553"/>
    <mergeCell ref="C3548:D3548"/>
    <mergeCell ref="C3549:D3549"/>
    <mergeCell ref="C3550:D3550"/>
    <mergeCell ref="C3551:D3551"/>
    <mergeCell ref="C3552:D3552"/>
    <mergeCell ref="C3565:D3565"/>
    <mergeCell ref="A3563:A3577"/>
    <mergeCell ref="A3511:D3511"/>
    <mergeCell ref="A3495:A3509"/>
    <mergeCell ref="C3567:D3567"/>
    <mergeCell ref="C3568:D3568"/>
    <mergeCell ref="C3569:D3569"/>
    <mergeCell ref="C3570:D3570"/>
    <mergeCell ref="C3571:D3571"/>
    <mergeCell ref="C3572:D3572"/>
    <mergeCell ref="C3513:D3513"/>
    <mergeCell ref="C3514:D3514"/>
    <mergeCell ref="C3531:D3531"/>
    <mergeCell ref="A3477:D3477"/>
    <mergeCell ref="A3478:A3492"/>
    <mergeCell ref="A3444:A3458"/>
    <mergeCell ref="C3194:D3194"/>
    <mergeCell ref="C3195:D3195"/>
    <mergeCell ref="C3196:D3196"/>
    <mergeCell ref="C3301:D3301"/>
    <mergeCell ref="C3302:D3302"/>
    <mergeCell ref="C3309:D3309"/>
    <mergeCell ref="C3311:D3311"/>
    <mergeCell ref="B3320:B3322"/>
    <mergeCell ref="C3314:D3314"/>
    <mergeCell ref="C3263:D3263"/>
    <mergeCell ref="C3264:D3264"/>
    <mergeCell ref="A3291:A3305"/>
    <mergeCell ref="B3303:B3305"/>
    <mergeCell ref="A3307:D3307"/>
    <mergeCell ref="A3324:D3324"/>
    <mergeCell ref="A3308:A3322"/>
    <mergeCell ref="C3074:D3074"/>
    <mergeCell ref="C3075:D3075"/>
    <mergeCell ref="B3082:B3084"/>
    <mergeCell ref="C3231:D3231"/>
    <mergeCell ref="C3232:D3232"/>
    <mergeCell ref="C3233:D3233"/>
    <mergeCell ref="C3224:D3224"/>
    <mergeCell ref="C3281:D3281"/>
    <mergeCell ref="C3282:D3282"/>
    <mergeCell ref="C3283:D3283"/>
    <mergeCell ref="C3284:D3284"/>
    <mergeCell ref="C3279:D3279"/>
    <mergeCell ref="C3280:D3280"/>
    <mergeCell ref="C3267:D3267"/>
    <mergeCell ref="C3268:D3268"/>
    <mergeCell ref="C3275:D3275"/>
    <mergeCell ref="A3018:D3018"/>
    <mergeCell ref="C3692:D3692"/>
    <mergeCell ref="C3693:D3693"/>
    <mergeCell ref="A3681:D3681"/>
    <mergeCell ref="A3698:D3698"/>
    <mergeCell ref="C3684:D3684"/>
    <mergeCell ref="C3685:D3685"/>
    <mergeCell ref="A3682:A3696"/>
    <mergeCell ref="C3686:D3686"/>
    <mergeCell ref="C3691:D3691"/>
    <mergeCell ref="C2435:D2435"/>
    <mergeCell ref="C2460:D2460"/>
    <mergeCell ref="C2128:D2128"/>
    <mergeCell ref="C2129:D2129"/>
    <mergeCell ref="A2134:D2134"/>
    <mergeCell ref="A2151:D2151"/>
    <mergeCell ref="A2185:D2185"/>
    <mergeCell ref="A2168:D2168"/>
    <mergeCell ref="C2498:D2498"/>
    <mergeCell ref="C3260:D3260"/>
    <mergeCell ref="C3258:D3258"/>
    <mergeCell ref="C3259:D3259"/>
    <mergeCell ref="C3265:D3265"/>
    <mergeCell ref="C3266:D3266"/>
    <mergeCell ref="C3277:D3277"/>
    <mergeCell ref="C3278:D3278"/>
    <mergeCell ref="C3181:D3181"/>
    <mergeCell ref="C3192:D3192"/>
    <mergeCell ref="C3182:D3182"/>
    <mergeCell ref="C3190:D3190"/>
    <mergeCell ref="C3191:D3191"/>
    <mergeCell ref="C3183:D3183"/>
    <mergeCell ref="C3062:D3062"/>
    <mergeCell ref="C3056:D3056"/>
    <mergeCell ref="C3040:D3040"/>
    <mergeCell ref="C3041:D3041"/>
    <mergeCell ref="B3048:B3050"/>
    <mergeCell ref="A3036:A3050"/>
    <mergeCell ref="C3037:D3037"/>
    <mergeCell ref="A3052:D3052"/>
    <mergeCell ref="C3042:D3042"/>
    <mergeCell ref="C3063:D3063"/>
    <mergeCell ref="A3053:A3067"/>
    <mergeCell ref="C3022:D3022"/>
    <mergeCell ref="C3020:D3020"/>
    <mergeCell ref="C3021:D3021"/>
    <mergeCell ref="C3023:D3023"/>
    <mergeCell ref="C3024:D3024"/>
    <mergeCell ref="C3025:D3025"/>
    <mergeCell ref="C3026:D3026"/>
    <mergeCell ref="C3027:D3027"/>
    <mergeCell ref="C3028:D3028"/>
    <mergeCell ref="C3038:D3038"/>
    <mergeCell ref="C3039:D3039"/>
    <mergeCell ref="C3029:D3029"/>
    <mergeCell ref="A3019:A3033"/>
    <mergeCell ref="C3030:D3030"/>
    <mergeCell ref="B3031:B3033"/>
    <mergeCell ref="A3035:D3035"/>
    <mergeCell ref="B3065:B3067"/>
    <mergeCell ref="C3054:D3054"/>
    <mergeCell ref="C3055:D3055"/>
    <mergeCell ref="C3061:D3061"/>
    <mergeCell ref="C3057:D3057"/>
    <mergeCell ref="A3086:D3086"/>
    <mergeCell ref="C3092:D3092"/>
    <mergeCell ref="C3093:D3093"/>
    <mergeCell ref="C3094:D3094"/>
    <mergeCell ref="C3095:D3095"/>
    <mergeCell ref="C3096:D3096"/>
    <mergeCell ref="C3072:D3072"/>
    <mergeCell ref="C3073:D3073"/>
    <mergeCell ref="C3106:D3106"/>
    <mergeCell ref="C3107:D3107"/>
    <mergeCell ref="A3103:D3103"/>
    <mergeCell ref="A3087:A3101"/>
    <mergeCell ref="C3105:D3105"/>
    <mergeCell ref="C3097:D3097"/>
    <mergeCell ref="C3122:D3122"/>
    <mergeCell ref="C3123:D3123"/>
    <mergeCell ref="C3113:D3113"/>
    <mergeCell ref="C3114:D3114"/>
    <mergeCell ref="C3110:D3110"/>
    <mergeCell ref="C3111:D3111"/>
    <mergeCell ref="C3112:D3112"/>
    <mergeCell ref="C3115:D3115"/>
    <mergeCell ref="C3091:D3091"/>
    <mergeCell ref="C3088:D3088"/>
    <mergeCell ref="C3089:D3089"/>
    <mergeCell ref="C3090:D3090"/>
    <mergeCell ref="C3108:D3108"/>
    <mergeCell ref="C3109:D3109"/>
    <mergeCell ref="B3116:B3118"/>
    <mergeCell ref="A3120:D3120"/>
    <mergeCell ref="C3079:D3079"/>
    <mergeCell ref="C3080:D3080"/>
    <mergeCell ref="C3144:D3144"/>
    <mergeCell ref="C3145:D3145"/>
    <mergeCell ref="C3148:D3148"/>
    <mergeCell ref="C3149:D3149"/>
    <mergeCell ref="C3139:D3139"/>
    <mergeCell ref="C3140:D3140"/>
    <mergeCell ref="C3141:D3141"/>
    <mergeCell ref="C3142:D3142"/>
    <mergeCell ref="A3137:D3137"/>
    <mergeCell ref="C3147:D3147"/>
    <mergeCell ref="C3163:D3163"/>
    <mergeCell ref="C3146:D3146"/>
    <mergeCell ref="C3143:D3143"/>
    <mergeCell ref="A3154:D3154"/>
    <mergeCell ref="A3171:D3171"/>
    <mergeCell ref="B3099:B3101"/>
    <mergeCell ref="C3098:D3098"/>
    <mergeCell ref="C3124:D3124"/>
    <mergeCell ref="C3158:D3158"/>
    <mergeCell ref="C3159:D3159"/>
    <mergeCell ref="B3133:B3135"/>
    <mergeCell ref="A3138:A3152"/>
    <mergeCell ref="C3131:D3131"/>
    <mergeCell ref="C3132:D3132"/>
    <mergeCell ref="C3125:D3125"/>
    <mergeCell ref="C3126:D3126"/>
    <mergeCell ref="C3128:D3128"/>
    <mergeCell ref="C3129:D3129"/>
    <mergeCell ref="C3130:D3130"/>
    <mergeCell ref="C3127:D3127"/>
    <mergeCell ref="C3197:D3197"/>
    <mergeCell ref="C3208:D3208"/>
    <mergeCell ref="C3207:D3207"/>
    <mergeCell ref="C3198:D3198"/>
    <mergeCell ref="C3164:D3164"/>
    <mergeCell ref="C3165:D3165"/>
    <mergeCell ref="C3179:D3179"/>
    <mergeCell ref="C3180:D3180"/>
    <mergeCell ref="C3401:D3401"/>
    <mergeCell ref="C3209:D3209"/>
    <mergeCell ref="C3285:D3285"/>
    <mergeCell ref="A3155:A3169"/>
    <mergeCell ref="C3162:D3162"/>
    <mergeCell ref="C3160:D3160"/>
    <mergeCell ref="C3161:D3161"/>
    <mergeCell ref="C3156:D3156"/>
    <mergeCell ref="C3157:D3157"/>
    <mergeCell ref="B3201:B3203"/>
    <mergeCell ref="A3205:D3205"/>
    <mergeCell ref="C3200:D3200"/>
    <mergeCell ref="C3210:D3210"/>
    <mergeCell ref="C3211:D3211"/>
    <mergeCell ref="C3215:D3215"/>
    <mergeCell ref="C3214:D3214"/>
    <mergeCell ref="A3172:A3186"/>
    <mergeCell ref="B3184:B3186"/>
    <mergeCell ref="A3189:A3203"/>
    <mergeCell ref="A3206:A3220"/>
    <mergeCell ref="B3218:B3220"/>
    <mergeCell ref="C3199:D3199"/>
    <mergeCell ref="A3188:D3188"/>
    <mergeCell ref="C3193:D3193"/>
    <mergeCell ref="C3245:D3245"/>
    <mergeCell ref="C3246:D3246"/>
    <mergeCell ref="C3251:D3251"/>
    <mergeCell ref="C3241:D3241"/>
    <mergeCell ref="C3242:D3242"/>
    <mergeCell ref="C3243:D3243"/>
    <mergeCell ref="C3244:D3244"/>
    <mergeCell ref="C3295:D3295"/>
    <mergeCell ref="C3296:D3296"/>
    <mergeCell ref="C3297:D3297"/>
    <mergeCell ref="C3298:D3298"/>
    <mergeCell ref="C3225:D3225"/>
    <mergeCell ref="C3226:D3226"/>
    <mergeCell ref="C3227:D3227"/>
    <mergeCell ref="C3230:D3230"/>
    <mergeCell ref="B3252:B3254"/>
    <mergeCell ref="A3256:D3256"/>
    <mergeCell ref="C3261:D3261"/>
    <mergeCell ref="C3262:D3262"/>
    <mergeCell ref="B3235:B3237"/>
    <mergeCell ref="A3239:D3239"/>
    <mergeCell ref="A3240:A3254"/>
    <mergeCell ref="A3223:A3237"/>
    <mergeCell ref="C3234:D3234"/>
    <mergeCell ref="C3276:D3276"/>
    <mergeCell ref="A3290:D3290"/>
    <mergeCell ref="B3286:B3288"/>
    <mergeCell ref="A3257:A3271"/>
    <mergeCell ref="A3274:A3288"/>
    <mergeCell ref="B3269:B3271"/>
    <mergeCell ref="A3273:D3273"/>
    <mergeCell ref="C3228:D3228"/>
    <mergeCell ref="C3397:D3397"/>
    <mergeCell ref="C3398:D3398"/>
    <mergeCell ref="A3392:D3392"/>
    <mergeCell ref="A3393:A3407"/>
    <mergeCell ref="B3405:B3407"/>
    <mergeCell ref="C3402:D3402"/>
    <mergeCell ref="C3403:D3403"/>
    <mergeCell ref="C3399:D3399"/>
    <mergeCell ref="C3400:D3400"/>
    <mergeCell ref="C3383:D3383"/>
    <mergeCell ref="C3384:D3384"/>
    <mergeCell ref="C3385:D3385"/>
    <mergeCell ref="C3377:D3377"/>
    <mergeCell ref="A3376:A3390"/>
    <mergeCell ref="C3247:D3247"/>
    <mergeCell ref="C3248:D3248"/>
    <mergeCell ref="C3249:D3249"/>
    <mergeCell ref="C3250:D3250"/>
    <mergeCell ref="C3318:D3318"/>
    <mergeCell ref="C3317:D3317"/>
    <mergeCell ref="C3386:D3386"/>
    <mergeCell ref="B3388:B3390"/>
    <mergeCell ref="C3378:D3378"/>
    <mergeCell ref="C3379:D3379"/>
    <mergeCell ref="C3313:D3313"/>
    <mergeCell ref="A3359:A3373"/>
    <mergeCell ref="C3328:D3328"/>
    <mergeCell ref="C3329:D3329"/>
    <mergeCell ref="C3396:D3396"/>
    <mergeCell ref="C3394:D3394"/>
    <mergeCell ref="C3395:D3395"/>
    <mergeCell ref="C3382:D3382"/>
    <mergeCell ref="C3349:D3349"/>
    <mergeCell ref="C3387:D3387"/>
    <mergeCell ref="C3294:D3294"/>
    <mergeCell ref="C3292:D3292"/>
    <mergeCell ref="C3293:D3293"/>
    <mergeCell ref="C3312:D3312"/>
    <mergeCell ref="C3310:D3310"/>
    <mergeCell ref="C3345:D3345"/>
    <mergeCell ref="C3346:D3346"/>
    <mergeCell ref="C3380:D3380"/>
    <mergeCell ref="C3381:D3381"/>
    <mergeCell ref="C3327:D3327"/>
    <mergeCell ref="C3330:D3330"/>
    <mergeCell ref="C3331:D3331"/>
    <mergeCell ref="C3336:D3336"/>
    <mergeCell ref="C3332:D3332"/>
    <mergeCell ref="C3333:D3333"/>
    <mergeCell ref="C3334:D3334"/>
    <mergeCell ref="C3335:D3335"/>
    <mergeCell ref="C3350:D3350"/>
    <mergeCell ref="C3362:D3362"/>
    <mergeCell ref="C3360:D3360"/>
    <mergeCell ref="C3361:D3361"/>
    <mergeCell ref="C3343:D3343"/>
    <mergeCell ref="C3344:D3344"/>
    <mergeCell ref="C3299:D3299"/>
    <mergeCell ref="C3300:D3300"/>
    <mergeCell ref="C3326:D3326"/>
    <mergeCell ref="A1607:D1607"/>
    <mergeCell ref="A3342:A3356"/>
    <mergeCell ref="A3341:D3341"/>
    <mergeCell ref="A3325:A3339"/>
    <mergeCell ref="B3337:B3339"/>
    <mergeCell ref="C3319:D3319"/>
    <mergeCell ref="B3354:B3356"/>
    <mergeCell ref="A3358:D3358"/>
    <mergeCell ref="B3371:B3373"/>
    <mergeCell ref="A3375:D3375"/>
    <mergeCell ref="C1510:D1510"/>
    <mergeCell ref="C1511:D1511"/>
    <mergeCell ref="C1514:D1514"/>
    <mergeCell ref="C1515:D1515"/>
    <mergeCell ref="C1507:D1507"/>
    <mergeCell ref="C1508:D1508"/>
    <mergeCell ref="C1509:D1509"/>
    <mergeCell ref="C3315:D3315"/>
    <mergeCell ref="C3316:D3316"/>
    <mergeCell ref="C3370:D3370"/>
    <mergeCell ref="C3363:D3363"/>
    <mergeCell ref="C3364:D3364"/>
    <mergeCell ref="C3365:D3365"/>
    <mergeCell ref="C3366:D3366"/>
    <mergeCell ref="C3367:D3367"/>
    <mergeCell ref="C3368:D3368"/>
    <mergeCell ref="C3369:D3369"/>
    <mergeCell ref="C3353:D3353"/>
    <mergeCell ref="C3347:D3347"/>
    <mergeCell ref="C3348:D3348"/>
    <mergeCell ref="C3351:D3351"/>
    <mergeCell ref="C3352:D3352"/>
    <mergeCell ref="C1814:D1814"/>
    <mergeCell ref="C1815:D1815"/>
    <mergeCell ref="C1830:D1830"/>
    <mergeCell ref="C1806:D1806"/>
    <mergeCell ref="C1550:D1550"/>
    <mergeCell ref="C1551:D1551"/>
    <mergeCell ref="C1549:D1549"/>
    <mergeCell ref="C1543:D1543"/>
    <mergeCell ref="C1568:D1568"/>
    <mergeCell ref="C1564:D1564"/>
    <mergeCell ref="C1565:D1565"/>
    <mergeCell ref="C1566:D1566"/>
    <mergeCell ref="C1567:D1567"/>
    <mergeCell ref="C1666:D1666"/>
    <mergeCell ref="C1667:D1667"/>
    <mergeCell ref="C1628:D1628"/>
    <mergeCell ref="C1592:D1592"/>
    <mergeCell ref="C1593:D1593"/>
    <mergeCell ref="C1596:D1596"/>
    <mergeCell ref="C1597:D1597"/>
    <mergeCell ref="C1598:D1598"/>
    <mergeCell ref="C1599:D1599"/>
    <mergeCell ref="C1612:D1612"/>
    <mergeCell ref="C1610:D1610"/>
    <mergeCell ref="C1611:D1611"/>
    <mergeCell ref="C1615:D1615"/>
    <mergeCell ref="C1614:D1614"/>
    <mergeCell ref="C1613:D1613"/>
    <mergeCell ref="C1595:D1595"/>
    <mergeCell ref="C1594:D1594"/>
    <mergeCell ref="C1600:D1600"/>
    <mergeCell ref="C1609:D1609"/>
    <mergeCell ref="C2017:D2017"/>
    <mergeCell ref="C2018:D2018"/>
    <mergeCell ref="C2019:D2019"/>
    <mergeCell ref="C2020:D2020"/>
    <mergeCell ref="C2021:D2021"/>
    <mergeCell ref="C2044:D2044"/>
    <mergeCell ref="C2057:D2057"/>
    <mergeCell ref="C2058:D2058"/>
    <mergeCell ref="C2059:D2059"/>
    <mergeCell ref="C2074:D2074"/>
    <mergeCell ref="C2070:D2070"/>
    <mergeCell ref="B1756:B1758"/>
    <mergeCell ref="B1722:B1724"/>
    <mergeCell ref="A1931:A1945"/>
    <mergeCell ref="A1948:A1962"/>
    <mergeCell ref="C1733:D1733"/>
    <mergeCell ref="C1669:D1669"/>
    <mergeCell ref="C1779:D1779"/>
    <mergeCell ref="C1780:D1780"/>
    <mergeCell ref="C1781:D1781"/>
    <mergeCell ref="C1782:D1782"/>
    <mergeCell ref="C1788:D1788"/>
    <mergeCell ref="C1789:D1789"/>
    <mergeCell ref="C1831:D1831"/>
    <mergeCell ref="C1840:D1840"/>
    <mergeCell ref="C1836:D1836"/>
    <mergeCell ref="C1837:D1837"/>
    <mergeCell ref="C1838:D1838"/>
    <mergeCell ref="C1839:D1839"/>
    <mergeCell ref="C1796:D1796"/>
    <mergeCell ref="C1797:D1797"/>
    <mergeCell ref="C1813:D1813"/>
    <mergeCell ref="C2039:D2039"/>
    <mergeCell ref="C2023:D2023"/>
    <mergeCell ref="C2024:D2024"/>
    <mergeCell ref="C2027:D2027"/>
    <mergeCell ref="C2060:D2060"/>
    <mergeCell ref="C2068:D2068"/>
    <mergeCell ref="C2069:D2069"/>
    <mergeCell ref="C2175:D2175"/>
    <mergeCell ref="C2176:D2176"/>
    <mergeCell ref="C2177:D2177"/>
    <mergeCell ref="C2178:D2178"/>
    <mergeCell ref="C2107:D2107"/>
    <mergeCell ref="C2156:D2156"/>
    <mergeCell ref="C2087:D2087"/>
    <mergeCell ref="C2088:D2088"/>
    <mergeCell ref="C2089:D2089"/>
    <mergeCell ref="C2090:D2090"/>
    <mergeCell ref="C2071:D2071"/>
    <mergeCell ref="C2086:D2086"/>
    <mergeCell ref="C2091:D2091"/>
    <mergeCell ref="C2092:D2092"/>
    <mergeCell ref="C2072:D2072"/>
    <mergeCell ref="C2073:D2073"/>
    <mergeCell ref="C2076:D2076"/>
    <mergeCell ref="C2094:D2094"/>
    <mergeCell ref="C2095:D2095"/>
    <mergeCell ref="C2061:D2061"/>
    <mergeCell ref="C3081:D3081"/>
    <mergeCell ref="C3071:D3071"/>
    <mergeCell ref="C3064:D3064"/>
    <mergeCell ref="C3043:D3043"/>
    <mergeCell ref="C3044:D3044"/>
    <mergeCell ref="C3045:D3045"/>
    <mergeCell ref="C3059:D3059"/>
    <mergeCell ref="C2126:D2126"/>
    <mergeCell ref="C2127:D2127"/>
    <mergeCell ref="C2138:D2138"/>
    <mergeCell ref="C2136:D2136"/>
    <mergeCell ref="C2137:D2137"/>
    <mergeCell ref="C2139:D2139"/>
    <mergeCell ref="C2140:D2140"/>
    <mergeCell ref="C2141:D2141"/>
    <mergeCell ref="C2142:D2142"/>
    <mergeCell ref="C2143:D2143"/>
    <mergeCell ref="C2144:D2144"/>
    <mergeCell ref="C2153:D2153"/>
    <mergeCell ref="C2145:D2145"/>
    <mergeCell ref="C2173:D2173"/>
    <mergeCell ref="C2161:D2161"/>
    <mergeCell ref="C2162:D2162"/>
    <mergeCell ref="C2172:D2172"/>
    <mergeCell ref="C2170:D2170"/>
    <mergeCell ref="C2171:D2171"/>
    <mergeCell ref="C2163:D2163"/>
    <mergeCell ref="C2157:D2157"/>
    <mergeCell ref="C2158:D2158"/>
    <mergeCell ref="C2154:D2154"/>
    <mergeCell ref="C2180:D2180"/>
    <mergeCell ref="C3060:D3060"/>
    <mergeCell ref="C3058:D3058"/>
    <mergeCell ref="C3046:D3046"/>
    <mergeCell ref="C3047:D3047"/>
    <mergeCell ref="C1952:D1952"/>
    <mergeCell ref="C1953:D1953"/>
    <mergeCell ref="C1954:D1954"/>
    <mergeCell ref="C1985:D1985"/>
    <mergeCell ref="C1976:D1976"/>
    <mergeCell ref="C1968:D1968"/>
    <mergeCell ref="C1975:D1975"/>
    <mergeCell ref="C1872:D1872"/>
    <mergeCell ref="C1919:D1919"/>
    <mergeCell ref="C1923:D1923"/>
    <mergeCell ref="C1924:D1924"/>
    <mergeCell ref="C1925:D1925"/>
    <mergeCell ref="C1908:D1908"/>
    <mergeCell ref="C1873:D1873"/>
    <mergeCell ref="C1874:D1874"/>
    <mergeCell ref="C2119:D2119"/>
    <mergeCell ref="C2120:D2120"/>
    <mergeCell ref="C2121:D2121"/>
    <mergeCell ref="C2122:D2122"/>
    <mergeCell ref="C2123:D2123"/>
    <mergeCell ref="C2155:D2155"/>
    <mergeCell ref="C2102:D2102"/>
    <mergeCell ref="C2104:D2104"/>
    <mergeCell ref="C2499:D2499"/>
    <mergeCell ref="C2495:D2495"/>
    <mergeCell ref="C2500:D2500"/>
    <mergeCell ref="C2501:D2501"/>
    <mergeCell ref="C2502:D2502"/>
    <mergeCell ref="C2483:D2483"/>
    <mergeCell ref="B2436:B2438"/>
    <mergeCell ref="B2487:B2489"/>
    <mergeCell ref="A2491:D2491"/>
    <mergeCell ref="C2108:D2108"/>
    <mergeCell ref="A2100:D2100"/>
    <mergeCell ref="C2124:D2124"/>
    <mergeCell ref="C2125:D2125"/>
    <mergeCell ref="C2112:D2112"/>
    <mergeCell ref="C2109:D2109"/>
    <mergeCell ref="C2110:D2110"/>
    <mergeCell ref="C2111:D2111"/>
    <mergeCell ref="A2117:D2117"/>
    <mergeCell ref="C2425:D2425"/>
    <mergeCell ref="C2426:D2426"/>
    <mergeCell ref="C2427:D2427"/>
    <mergeCell ref="C2428:D2428"/>
    <mergeCell ref="C2482:D2482"/>
    <mergeCell ref="C2476:D2476"/>
    <mergeCell ref="C2477:D2477"/>
    <mergeCell ref="C2196:D2196"/>
    <mergeCell ref="C2461:D2461"/>
    <mergeCell ref="C2103:D2103"/>
    <mergeCell ref="C2106:D2106"/>
    <mergeCell ref="C2195:D2195"/>
    <mergeCell ref="C2105:D2105"/>
    <mergeCell ref="C2174:D2174"/>
    <mergeCell ref="A2271:A2285"/>
    <mergeCell ref="C2327:D2327"/>
    <mergeCell ref="C2316:D2316"/>
    <mergeCell ref="C2329:D2329"/>
    <mergeCell ref="C2330:D2330"/>
    <mergeCell ref="C2331:D2331"/>
    <mergeCell ref="C1021:D1021"/>
    <mergeCell ref="C1022:D1022"/>
    <mergeCell ref="C1023:D1023"/>
    <mergeCell ref="C1052:D1052"/>
    <mergeCell ref="C1053:D1053"/>
    <mergeCell ref="C1054:D1054"/>
    <mergeCell ref="C1055:D1055"/>
    <mergeCell ref="C1137:D1137"/>
    <mergeCell ref="C1139:D1139"/>
    <mergeCell ref="C1068:D1068"/>
    <mergeCell ref="C1069:D1069"/>
    <mergeCell ref="C1073:D1073"/>
    <mergeCell ref="C1074:D1074"/>
    <mergeCell ref="C1065:D1065"/>
    <mergeCell ref="C1075:D1075"/>
    <mergeCell ref="C1070:D1070"/>
    <mergeCell ref="C1087:D1087"/>
    <mergeCell ref="C1088:D1088"/>
    <mergeCell ref="C1082:D1082"/>
    <mergeCell ref="C1083:D1083"/>
    <mergeCell ref="C1123:D1123"/>
    <mergeCell ref="C1133:D1133"/>
    <mergeCell ref="C1071:D1071"/>
    <mergeCell ref="A1046:D1046"/>
    <mergeCell ref="C1072:D1072"/>
    <mergeCell ref="C1089:D1089"/>
    <mergeCell ref="C1090:D1090"/>
    <mergeCell ref="C1105:D1105"/>
    <mergeCell ref="C1224:D1224"/>
    <mergeCell ref="C1225:D1225"/>
    <mergeCell ref="C1226:D1226"/>
    <mergeCell ref="C1218:D1218"/>
    <mergeCell ref="C1219:D1219"/>
    <mergeCell ref="C1201:D1201"/>
    <mergeCell ref="C1202:D1202"/>
    <mergeCell ref="C1203:D1203"/>
    <mergeCell ref="C1204:D1204"/>
    <mergeCell ref="C1136:D1136"/>
    <mergeCell ref="C1134:D1134"/>
    <mergeCell ref="C1135:D1135"/>
    <mergeCell ref="C1138:D1138"/>
    <mergeCell ref="B1144:B1146"/>
    <mergeCell ref="C1175:D1175"/>
    <mergeCell ref="C1176:D1176"/>
    <mergeCell ref="B1178:B1180"/>
    <mergeCell ref="A1166:A1180"/>
    <mergeCell ref="C1173:D1173"/>
    <mergeCell ref="C1174:D1174"/>
    <mergeCell ref="C1152:D1152"/>
    <mergeCell ref="C1142:D1142"/>
    <mergeCell ref="C1143:D1143"/>
    <mergeCell ref="C1151:D1151"/>
    <mergeCell ref="C1153:D1153"/>
    <mergeCell ref="C1154:D1154"/>
    <mergeCell ref="A1097:D1097"/>
    <mergeCell ref="A1148:D1148"/>
    <mergeCell ref="C1209:D1209"/>
    <mergeCell ref="C1210:D1210"/>
    <mergeCell ref="C1211:D1211"/>
    <mergeCell ref="C1222:D1222"/>
    <mergeCell ref="C1223:D1223"/>
    <mergeCell ref="C1220:D1220"/>
    <mergeCell ref="C1119:D1119"/>
    <mergeCell ref="C1120:D1120"/>
    <mergeCell ref="C1121:D1121"/>
    <mergeCell ref="C1122:D1122"/>
    <mergeCell ref="C1125:D1125"/>
    <mergeCell ref="C1101:D1101"/>
    <mergeCell ref="C1106:D1106"/>
    <mergeCell ref="C1107:D1107"/>
    <mergeCell ref="C1108:D1108"/>
    <mergeCell ref="C1118:D1118"/>
    <mergeCell ref="C1116:D1116"/>
    <mergeCell ref="C1117:D1117"/>
    <mergeCell ref="C1099:D1099"/>
    <mergeCell ref="C1100:D1100"/>
    <mergeCell ref="C1104:D1104"/>
    <mergeCell ref="C935:D935"/>
    <mergeCell ref="C929:D929"/>
    <mergeCell ref="C930:D930"/>
    <mergeCell ref="C954:D954"/>
    <mergeCell ref="C984:D984"/>
    <mergeCell ref="C982:D982"/>
    <mergeCell ref="C1016:D1016"/>
    <mergeCell ref="C1014:D1014"/>
    <mergeCell ref="C1015:D1015"/>
    <mergeCell ref="C1017:D1017"/>
    <mergeCell ref="C1018:D1018"/>
    <mergeCell ref="C1019:D1019"/>
    <mergeCell ref="C1020:D1020"/>
    <mergeCell ref="C1051:D1051"/>
    <mergeCell ref="C1050:D1050"/>
    <mergeCell ref="C1056:D1056"/>
    <mergeCell ref="C1057:D1057"/>
    <mergeCell ref="C1048:D1048"/>
    <mergeCell ref="C1049:D1049"/>
    <mergeCell ref="C1032:D1032"/>
    <mergeCell ref="C1033:D1033"/>
    <mergeCell ref="A1029:D1029"/>
    <mergeCell ref="C1024:D1024"/>
    <mergeCell ref="C1031:D1031"/>
    <mergeCell ref="C1034:D1034"/>
    <mergeCell ref="C1037:D1037"/>
    <mergeCell ref="C1035:D1035"/>
    <mergeCell ref="C1036:D1036"/>
    <mergeCell ref="C1038:D1038"/>
    <mergeCell ref="C1039:D1039"/>
    <mergeCell ref="C1040:D1040"/>
    <mergeCell ref="C1041:D1041"/>
    <mergeCell ref="C937:D937"/>
    <mergeCell ref="C938:D938"/>
    <mergeCell ref="C939:D939"/>
    <mergeCell ref="C950:D950"/>
    <mergeCell ref="C951:D951"/>
    <mergeCell ref="A893:D893"/>
    <mergeCell ref="C895:D895"/>
    <mergeCell ref="A1012:D1012"/>
    <mergeCell ref="A927:D927"/>
    <mergeCell ref="C1005:D1005"/>
    <mergeCell ref="C1002:D1002"/>
    <mergeCell ref="C990:D990"/>
    <mergeCell ref="C986:D986"/>
    <mergeCell ref="C987:D987"/>
    <mergeCell ref="C988:D988"/>
    <mergeCell ref="C989:D989"/>
    <mergeCell ref="C980:D980"/>
    <mergeCell ref="C981:D981"/>
    <mergeCell ref="C1000:D1000"/>
    <mergeCell ref="C1001:D1001"/>
    <mergeCell ref="C1006:D1006"/>
    <mergeCell ref="C1007:D1007"/>
    <mergeCell ref="C1003:D1003"/>
    <mergeCell ref="C1004:D1004"/>
    <mergeCell ref="A995:D995"/>
    <mergeCell ref="C997:D997"/>
    <mergeCell ref="C998:D998"/>
    <mergeCell ref="C999:D999"/>
    <mergeCell ref="C965:D965"/>
    <mergeCell ref="C964:D964"/>
    <mergeCell ref="C897:D897"/>
    <mergeCell ref="C934:D934"/>
    <mergeCell ref="C949:D949"/>
    <mergeCell ref="A944:D944"/>
    <mergeCell ref="C946:D946"/>
    <mergeCell ref="C1190:D1190"/>
    <mergeCell ref="C1186:D1186"/>
    <mergeCell ref="C983:D983"/>
    <mergeCell ref="C985:D985"/>
    <mergeCell ref="C971:D971"/>
    <mergeCell ref="C972:D972"/>
    <mergeCell ref="C973:D973"/>
    <mergeCell ref="C968:D968"/>
    <mergeCell ref="C969:D969"/>
    <mergeCell ref="C970:D970"/>
    <mergeCell ref="A978:D978"/>
    <mergeCell ref="C955:D955"/>
    <mergeCell ref="C956:D956"/>
    <mergeCell ref="A961:D961"/>
    <mergeCell ref="C963:D963"/>
    <mergeCell ref="C966:D966"/>
    <mergeCell ref="C967:D967"/>
    <mergeCell ref="C1187:D1187"/>
    <mergeCell ref="C1170:D1170"/>
    <mergeCell ref="C1171:D1171"/>
    <mergeCell ref="C1167:D1167"/>
    <mergeCell ref="A1081:A1095"/>
    <mergeCell ref="C948:D948"/>
    <mergeCell ref="C1058:D1058"/>
    <mergeCell ref="A1063:D1063"/>
    <mergeCell ref="A1182:D1182"/>
    <mergeCell ref="C1124:D1124"/>
    <mergeCell ref="C1109:D1109"/>
    <mergeCell ref="C1126:D1126"/>
    <mergeCell ref="C914:D914"/>
    <mergeCell ref="C915:D915"/>
    <mergeCell ref="C916:D916"/>
    <mergeCell ref="C917:D917"/>
    <mergeCell ref="C896:D896"/>
    <mergeCell ref="C901:D901"/>
    <mergeCell ref="C900:D900"/>
    <mergeCell ref="C898:D898"/>
    <mergeCell ref="C899:D899"/>
    <mergeCell ref="C902:D902"/>
    <mergeCell ref="C903:D903"/>
    <mergeCell ref="C904:D904"/>
    <mergeCell ref="C918:D918"/>
    <mergeCell ref="C905:D905"/>
    <mergeCell ref="C919:D919"/>
    <mergeCell ref="C920:D920"/>
    <mergeCell ref="C933:D933"/>
    <mergeCell ref="C912:D912"/>
    <mergeCell ref="C913:D913"/>
    <mergeCell ref="A910:D910"/>
    <mergeCell ref="C931:D931"/>
    <mergeCell ref="C932:D932"/>
    <mergeCell ref="C921:D921"/>
    <mergeCell ref="A2951:A2965"/>
    <mergeCell ref="A2968:A2982"/>
    <mergeCell ref="A2866:A2880"/>
    <mergeCell ref="A2883:A2897"/>
    <mergeCell ref="A2900:A2914"/>
    <mergeCell ref="B2980:B2982"/>
    <mergeCell ref="B2997:B2999"/>
    <mergeCell ref="A2985:A2999"/>
    <mergeCell ref="A3002:A3016"/>
    <mergeCell ref="A2917:A2931"/>
    <mergeCell ref="A3121:A3135"/>
    <mergeCell ref="B3014:B3016"/>
    <mergeCell ref="B2963:B2965"/>
    <mergeCell ref="A2934:A2948"/>
    <mergeCell ref="B2946:B2948"/>
    <mergeCell ref="A3104:A3118"/>
    <mergeCell ref="C1188:D1188"/>
    <mergeCell ref="C1189:D1189"/>
    <mergeCell ref="B1195:B1197"/>
    <mergeCell ref="A1183:A1197"/>
    <mergeCell ref="C1184:D1184"/>
    <mergeCell ref="C1185:D1185"/>
    <mergeCell ref="A1199:D1199"/>
    <mergeCell ref="A1216:D1216"/>
    <mergeCell ref="A1217:A1231"/>
    <mergeCell ref="B1229:B1231"/>
    <mergeCell ref="A1200:A1214"/>
    <mergeCell ref="B1212:B1214"/>
    <mergeCell ref="A1234:A1248"/>
    <mergeCell ref="A1250:D1250"/>
    <mergeCell ref="A1233:D1233"/>
    <mergeCell ref="B1246:B1248"/>
    <mergeCell ref="B2861:B2863"/>
    <mergeCell ref="A2849:A2863"/>
    <mergeCell ref="B2844:B2846"/>
    <mergeCell ref="A2577:A2591"/>
    <mergeCell ref="A2594:A2608"/>
    <mergeCell ref="B2606:B2608"/>
    <mergeCell ref="B2623:B2625"/>
    <mergeCell ref="B2589:B2591"/>
    <mergeCell ref="A2611:A2625"/>
    <mergeCell ref="A2628:A2642"/>
    <mergeCell ref="A2713:A2727"/>
    <mergeCell ref="B2725:B2727"/>
    <mergeCell ref="A2645:A2659"/>
    <mergeCell ref="A2662:A2676"/>
    <mergeCell ref="A2696:A2710"/>
    <mergeCell ref="B2708:B2710"/>
    <mergeCell ref="B2742:B2744"/>
    <mergeCell ref="B2759:B2761"/>
    <mergeCell ref="A2747:A2761"/>
    <mergeCell ref="A2730:A2744"/>
    <mergeCell ref="B2640:B2642"/>
    <mergeCell ref="B2691:B2693"/>
    <mergeCell ref="B2674:B2676"/>
    <mergeCell ref="B2657:B2659"/>
    <mergeCell ref="A2679:A2693"/>
    <mergeCell ref="A2661:D2661"/>
    <mergeCell ref="A2627:D2627"/>
    <mergeCell ref="A2815:A2829"/>
    <mergeCell ref="A2832:A2846"/>
    <mergeCell ref="B2810:B2812"/>
    <mergeCell ref="B2827:B2829"/>
    <mergeCell ref="A2764:A2778"/>
    <mergeCell ref="C2429:D2429"/>
    <mergeCell ref="C2430:D2430"/>
    <mergeCell ref="C2416:D2416"/>
    <mergeCell ref="C2739:D2739"/>
    <mergeCell ref="C2740:D2740"/>
    <mergeCell ref="C2748:D2748"/>
    <mergeCell ref="C2749:D2749"/>
    <mergeCell ref="C2741:D2741"/>
    <mergeCell ref="C2750:D2750"/>
    <mergeCell ref="C2751:D2751"/>
    <mergeCell ref="C2752:D2752"/>
    <mergeCell ref="C2786:D2786"/>
    <mergeCell ref="C2787:D2787"/>
    <mergeCell ref="C2767:D2767"/>
    <mergeCell ref="C2768:D2768"/>
    <mergeCell ref="C2757:D2757"/>
    <mergeCell ref="C2758:D2758"/>
    <mergeCell ref="C2773:D2773"/>
    <mergeCell ref="C2444:D2444"/>
    <mergeCell ref="C2442:D2442"/>
    <mergeCell ref="C2443:D2443"/>
    <mergeCell ref="C2447:D2447"/>
    <mergeCell ref="A2712:D2712"/>
    <mergeCell ref="A2729:D2729"/>
    <mergeCell ref="C2720:D2720"/>
    <mergeCell ref="C2721:D2721"/>
    <mergeCell ref="C2722:D2722"/>
    <mergeCell ref="C2732:D2732"/>
    <mergeCell ref="C2731:D2731"/>
    <mergeCell ref="C2723:D2723"/>
    <mergeCell ref="A2780:D2780"/>
    <mergeCell ref="C2724:D2724"/>
    <mergeCell ref="A1591:A1605"/>
    <mergeCell ref="B1603:B1605"/>
    <mergeCell ref="A1761:A1775"/>
    <mergeCell ref="A1778:A1792"/>
    <mergeCell ref="B1705:B1707"/>
    <mergeCell ref="B1654:B1656"/>
    <mergeCell ref="B1994:B1996"/>
    <mergeCell ref="B1875:B1877"/>
    <mergeCell ref="B1824:B1826"/>
    <mergeCell ref="A1863:A1877"/>
    <mergeCell ref="A1880:A1894"/>
    <mergeCell ref="A1879:D1879"/>
    <mergeCell ref="A1811:D1811"/>
    <mergeCell ref="A1777:D1777"/>
    <mergeCell ref="A1845:D1845"/>
    <mergeCell ref="C1867:D1867"/>
    <mergeCell ref="C1868:D1868"/>
    <mergeCell ref="C1869:D1869"/>
    <mergeCell ref="C1870:D1870"/>
    <mergeCell ref="C1871:D1871"/>
    <mergeCell ref="C1798:D1798"/>
    <mergeCell ref="C1805:D1805"/>
    <mergeCell ref="A1693:A1707"/>
    <mergeCell ref="A1710:A1724"/>
    <mergeCell ref="C1787:D1787"/>
    <mergeCell ref="C1745:D1745"/>
    <mergeCell ref="C1746:D1746"/>
    <mergeCell ref="C1747:D1747"/>
    <mergeCell ref="C1748:D1748"/>
    <mergeCell ref="C1749:D1749"/>
    <mergeCell ref="C1750:D1750"/>
    <mergeCell ref="C1717:D1717"/>
    <mergeCell ref="A1268:A1282"/>
    <mergeCell ref="A1267:D1267"/>
    <mergeCell ref="B1263:B1265"/>
    <mergeCell ref="A1251:A1265"/>
    <mergeCell ref="C1159:D1159"/>
    <mergeCell ref="C1160:D1160"/>
    <mergeCell ref="A1165:D1165"/>
    <mergeCell ref="B1161:B1163"/>
    <mergeCell ref="A1149:A1163"/>
    <mergeCell ref="B787:B789"/>
    <mergeCell ref="B804:B806"/>
    <mergeCell ref="A894:A908"/>
    <mergeCell ref="B906:B908"/>
    <mergeCell ref="B923:B925"/>
    <mergeCell ref="A911:A925"/>
    <mergeCell ref="A928:A942"/>
    <mergeCell ref="B940:B942"/>
    <mergeCell ref="A996:A1010"/>
    <mergeCell ref="B1008:B1010"/>
    <mergeCell ref="A962:A976"/>
    <mergeCell ref="B974:B976"/>
    <mergeCell ref="A945:A959"/>
    <mergeCell ref="A979:A993"/>
    <mergeCell ref="A1013:A1027"/>
    <mergeCell ref="A1030:A1044"/>
    <mergeCell ref="B991:B993"/>
    <mergeCell ref="B957:B959"/>
    <mergeCell ref="B1025:B1027"/>
    <mergeCell ref="B1042:B1044"/>
    <mergeCell ref="B821:B823"/>
    <mergeCell ref="B838:B840"/>
    <mergeCell ref="C936:D936"/>
    <mergeCell ref="B2538:B2540"/>
    <mergeCell ref="A2560:A2574"/>
    <mergeCell ref="B2572:B2574"/>
    <mergeCell ref="A1472:A1486"/>
    <mergeCell ref="B1484:B1486"/>
    <mergeCell ref="B1773:B1775"/>
    <mergeCell ref="B1790:B1792"/>
    <mergeCell ref="A1506:A1520"/>
    <mergeCell ref="A1523:A1537"/>
    <mergeCell ref="B1501:B1503"/>
    <mergeCell ref="A1489:A1503"/>
    <mergeCell ref="B1518:B1520"/>
    <mergeCell ref="B1569:B1571"/>
    <mergeCell ref="B1552:B1554"/>
    <mergeCell ref="B1535:B1537"/>
    <mergeCell ref="A1540:A1554"/>
    <mergeCell ref="A1557:A1571"/>
    <mergeCell ref="A2033:A2047"/>
    <mergeCell ref="A2050:A2064"/>
    <mergeCell ref="A2424:A2438"/>
    <mergeCell ref="A2458:A2472"/>
    <mergeCell ref="A2441:A2455"/>
    <mergeCell ref="A2169:A2183"/>
    <mergeCell ref="A2186:A2200"/>
    <mergeCell ref="A2203:A2217"/>
    <mergeCell ref="A1727:A1741"/>
    <mergeCell ref="A1744:A1758"/>
    <mergeCell ref="A2220:A2234"/>
    <mergeCell ref="B2232:B2234"/>
    <mergeCell ref="A2288:A2302"/>
    <mergeCell ref="B1620:B1622"/>
    <mergeCell ref="B1637:B1639"/>
    <mergeCell ref="B2470:B2472"/>
    <mergeCell ref="B2453:B2455"/>
    <mergeCell ref="B2181:B2183"/>
    <mergeCell ref="A1608:A1622"/>
    <mergeCell ref="A1659:A1673"/>
    <mergeCell ref="B1671:B1673"/>
    <mergeCell ref="B1688:B1690"/>
    <mergeCell ref="A1676:A1690"/>
    <mergeCell ref="B1739:B1741"/>
    <mergeCell ref="A1795:A1809"/>
    <mergeCell ref="A1812:A1826"/>
    <mergeCell ref="A1829:A1843"/>
    <mergeCell ref="A1846:A1860"/>
    <mergeCell ref="B1841:B1843"/>
    <mergeCell ref="B1858:B1860"/>
    <mergeCell ref="B1892:B1894"/>
    <mergeCell ref="B2266:B2268"/>
    <mergeCell ref="B2164:B2166"/>
    <mergeCell ref="A2016:A2030"/>
    <mergeCell ref="B2045:B2047"/>
    <mergeCell ref="B2062:B2064"/>
    <mergeCell ref="B1943:B1945"/>
    <mergeCell ref="A1999:A2013"/>
    <mergeCell ref="A1965:A1979"/>
    <mergeCell ref="A1982:A1996"/>
    <mergeCell ref="A2083:D2083"/>
    <mergeCell ref="A2066:D2066"/>
    <mergeCell ref="A1981:D1981"/>
    <mergeCell ref="A2067:A2081"/>
    <mergeCell ref="B2096:B2098"/>
    <mergeCell ref="B2079:B2081"/>
    <mergeCell ref="B2113:B2115"/>
    <mergeCell ref="B2351:B2353"/>
    <mergeCell ref="B2334:B2336"/>
    <mergeCell ref="B2368:B2370"/>
    <mergeCell ref="B2385:B2387"/>
    <mergeCell ref="A2373:A2387"/>
    <mergeCell ref="A2390:A2404"/>
    <mergeCell ref="B2011:B2013"/>
    <mergeCell ref="B2028:B2030"/>
    <mergeCell ref="B1977:B1979"/>
    <mergeCell ref="B1807:B1809"/>
    <mergeCell ref="B2130:B2132"/>
    <mergeCell ref="B2147:B2149"/>
    <mergeCell ref="A1625:A1639"/>
    <mergeCell ref="A1642:A1656"/>
    <mergeCell ref="B2317:B2319"/>
    <mergeCell ref="B2300:B2302"/>
    <mergeCell ref="A1947:D1947"/>
    <mergeCell ref="A1896:D1896"/>
    <mergeCell ref="A2032:D2032"/>
    <mergeCell ref="A2049:D2049"/>
    <mergeCell ref="C2093:D2093"/>
    <mergeCell ref="A2305:A2319"/>
    <mergeCell ref="A2322:A2336"/>
    <mergeCell ref="A2356:A2370"/>
    <mergeCell ref="A1897:A1911"/>
    <mergeCell ref="A1914:A1928"/>
    <mergeCell ref="C2075:D2075"/>
    <mergeCell ref="C2038:D2038"/>
    <mergeCell ref="C1783:D1783"/>
    <mergeCell ref="C1785:D1785"/>
    <mergeCell ref="C1784:D1784"/>
    <mergeCell ref="C1786:D1786"/>
    <mergeCell ref="C3658:D3658"/>
    <mergeCell ref="C3653:D3653"/>
    <mergeCell ref="C3654:D3654"/>
    <mergeCell ref="C3819:D3819"/>
    <mergeCell ref="C3820:D3820"/>
    <mergeCell ref="C3751:D3751"/>
    <mergeCell ref="B2283:B2285"/>
    <mergeCell ref="B2402:B2404"/>
    <mergeCell ref="B2215:B2217"/>
    <mergeCell ref="A2237:A2251"/>
    <mergeCell ref="A2254:A2268"/>
    <mergeCell ref="A2084:A2098"/>
    <mergeCell ref="A2101:A2115"/>
    <mergeCell ref="A2118:A2132"/>
    <mergeCell ref="A2135:A2149"/>
    <mergeCell ref="A2152:A2166"/>
    <mergeCell ref="A2339:A2353"/>
    <mergeCell ref="A2475:A2489"/>
    <mergeCell ref="A2492:A2506"/>
    <mergeCell ref="B2504:B2506"/>
    <mergeCell ref="A2407:A2421"/>
    <mergeCell ref="B2419:B2421"/>
    <mergeCell ref="C2417:D2417"/>
    <mergeCell ref="C2418:D2418"/>
    <mergeCell ref="A2423:D2423"/>
    <mergeCell ref="C2431:D2431"/>
    <mergeCell ref="C2432:D2432"/>
    <mergeCell ref="C2433:D2433"/>
    <mergeCell ref="C2434:D2434"/>
    <mergeCell ref="B2521:B2523"/>
    <mergeCell ref="A2509:A2523"/>
    <mergeCell ref="A2526:A2540"/>
    <mergeCell ref="A3664:D3664"/>
    <mergeCell ref="C3821:D3821"/>
    <mergeCell ref="C3822:D3822"/>
    <mergeCell ref="C3823:D3823"/>
    <mergeCell ref="C3824:D3824"/>
    <mergeCell ref="C3825:D3825"/>
    <mergeCell ref="C3709:D3709"/>
    <mergeCell ref="C3700:D3700"/>
    <mergeCell ref="C3701:D3701"/>
    <mergeCell ref="C3773:D3773"/>
    <mergeCell ref="C3774:D3774"/>
    <mergeCell ref="A3801:A3815"/>
    <mergeCell ref="B3796:B3798"/>
    <mergeCell ref="B3813:B3815"/>
    <mergeCell ref="C3806:D3806"/>
    <mergeCell ref="C3812:D3812"/>
    <mergeCell ref="C3808:D3808"/>
    <mergeCell ref="C3809:D3809"/>
    <mergeCell ref="C3810:D3810"/>
    <mergeCell ref="C3811:D3811"/>
    <mergeCell ref="C3807:D3807"/>
    <mergeCell ref="C3742:D3742"/>
    <mergeCell ref="C3710:D3710"/>
    <mergeCell ref="C3734:D3734"/>
    <mergeCell ref="C3735:D3735"/>
    <mergeCell ref="C3717:D3717"/>
    <mergeCell ref="A3784:A3798"/>
    <mergeCell ref="A3767:A3781"/>
    <mergeCell ref="C3704:D3704"/>
    <mergeCell ref="C3672:D3672"/>
    <mergeCell ref="C3673:D3673"/>
    <mergeCell ref="C3674:D3674"/>
    <mergeCell ref="B3626:B3628"/>
    <mergeCell ref="A3630:D3630"/>
    <mergeCell ref="A3631:A3645"/>
    <mergeCell ref="B3643:B3645"/>
    <mergeCell ref="C3655:D3655"/>
    <mergeCell ref="C3659:D3659"/>
    <mergeCell ref="C3640:D3640"/>
    <mergeCell ref="B3779:B3781"/>
    <mergeCell ref="A3733:A3747"/>
    <mergeCell ref="A3750:A3764"/>
    <mergeCell ref="B3677:B3679"/>
    <mergeCell ref="B3694:B3696"/>
    <mergeCell ref="B3762:B3764"/>
    <mergeCell ref="A3699:A3713"/>
    <mergeCell ref="A3716:A3730"/>
    <mergeCell ref="B3728:B3730"/>
    <mergeCell ref="B3745:B3747"/>
    <mergeCell ref="C3670:D3670"/>
    <mergeCell ref="C3708:D3708"/>
    <mergeCell ref="A3732:D3732"/>
    <mergeCell ref="A3749:D3749"/>
    <mergeCell ref="A3715:D3715"/>
    <mergeCell ref="A3766:D3766"/>
    <mergeCell ref="C3656:D3656"/>
    <mergeCell ref="C3657:D3657"/>
    <mergeCell ref="B3660:B3662"/>
    <mergeCell ref="A3648:A3662"/>
    <mergeCell ref="A3647:D3647"/>
    <mergeCell ref="A3665:A3679"/>
    <mergeCell ref="C3705:D3705"/>
    <mergeCell ref="C3726:D3726"/>
    <mergeCell ref="C3736:D3736"/>
    <mergeCell ref="C3826:D3826"/>
    <mergeCell ref="C3827:D3827"/>
    <mergeCell ref="C3828:D3828"/>
    <mergeCell ref="C3761:D3761"/>
    <mergeCell ref="C3805:D3805"/>
    <mergeCell ref="C3802:D3802"/>
    <mergeCell ref="C3788:D3788"/>
    <mergeCell ref="C3789:D3789"/>
    <mergeCell ref="C3794:D3794"/>
    <mergeCell ref="C3795:D3795"/>
    <mergeCell ref="A3783:D3783"/>
    <mergeCell ref="A3852:A3866"/>
    <mergeCell ref="C3888:D3888"/>
    <mergeCell ref="C3880:D3880"/>
    <mergeCell ref="B3881:B3883"/>
    <mergeCell ref="C3844:D3844"/>
    <mergeCell ref="C3845:D3845"/>
    <mergeCell ref="B3830:B3832"/>
    <mergeCell ref="A3834:D3834"/>
    <mergeCell ref="A3835:A3849"/>
    <mergeCell ref="B3847:B3849"/>
    <mergeCell ref="A3851:D3851"/>
    <mergeCell ref="C3853:D3853"/>
    <mergeCell ref="B3864:B3866"/>
    <mergeCell ref="A3868:D3868"/>
    <mergeCell ref="A3885:D3885"/>
    <mergeCell ref="C3838:D3838"/>
    <mergeCell ref="C3842:D3842"/>
    <mergeCell ref="C3843:D3843"/>
    <mergeCell ref="A3818:A3832"/>
    <mergeCell ref="C3846:D3846"/>
    <mergeCell ref="C3840:D3840"/>
    <mergeCell ref="C3841:D3841"/>
    <mergeCell ref="C3895:D3895"/>
    <mergeCell ref="C3896:D3896"/>
    <mergeCell ref="C3897:D3897"/>
    <mergeCell ref="A3886:A3900"/>
    <mergeCell ref="B3898:B3900"/>
    <mergeCell ref="A3902:D3902"/>
    <mergeCell ref="C3863:D3863"/>
    <mergeCell ref="C3854:D3854"/>
    <mergeCell ref="C3861:D3861"/>
    <mergeCell ref="C3862:D3862"/>
    <mergeCell ref="C3859:D3859"/>
    <mergeCell ref="C3860:D3860"/>
    <mergeCell ref="C3856:D3856"/>
    <mergeCell ref="C3891:D3891"/>
    <mergeCell ref="C3887:D3887"/>
    <mergeCell ref="C3910:D3910"/>
    <mergeCell ref="C3894:D3894"/>
    <mergeCell ref="C3889:D3889"/>
    <mergeCell ref="C3890:D3890"/>
    <mergeCell ref="C3855:D3855"/>
    <mergeCell ref="C3872:D3872"/>
    <mergeCell ref="C3870:D3870"/>
    <mergeCell ref="C3871:D3871"/>
    <mergeCell ref="C3874:D3874"/>
    <mergeCell ref="C3875:D3875"/>
    <mergeCell ref="C3857:D3857"/>
    <mergeCell ref="C3858:D3858"/>
    <mergeCell ref="C3879:D3879"/>
    <mergeCell ref="C3876:D3876"/>
    <mergeCell ref="C3877:D3877"/>
    <mergeCell ref="C3878:D3878"/>
    <mergeCell ref="A3869:A3883"/>
    <mergeCell ref="C3976:D3976"/>
    <mergeCell ref="C3977:D3977"/>
    <mergeCell ref="A3970:D3970"/>
    <mergeCell ref="A3954:A3968"/>
    <mergeCell ref="A3971:A3985"/>
    <mergeCell ref="B3966:B3968"/>
    <mergeCell ref="A3953:D3953"/>
    <mergeCell ref="C3995:D3995"/>
    <mergeCell ref="A4004:D4004"/>
    <mergeCell ref="A4021:D4021"/>
    <mergeCell ref="C3989:D3989"/>
    <mergeCell ref="C3990:D3990"/>
    <mergeCell ref="C3991:D3991"/>
    <mergeCell ref="C3992:D3992"/>
    <mergeCell ref="C3993:D3993"/>
    <mergeCell ref="C3994:D3994"/>
    <mergeCell ref="A3988:A4002"/>
    <mergeCell ref="A3987:D3987"/>
    <mergeCell ref="C3979:D3979"/>
    <mergeCell ref="C3982:D3982"/>
    <mergeCell ref="B3983:B3985"/>
    <mergeCell ref="C3980:D3980"/>
    <mergeCell ref="C3981:D3981"/>
    <mergeCell ref="C3997:D3997"/>
    <mergeCell ref="C3998:D3998"/>
    <mergeCell ref="C3978:D3978"/>
    <mergeCell ref="C3972:D3972"/>
    <mergeCell ref="C3973:D3973"/>
    <mergeCell ref="C3999:D3999"/>
    <mergeCell ref="C3996:D3996"/>
    <mergeCell ref="C3975:D3975"/>
    <mergeCell ref="B4000:B4002"/>
    <mergeCell ref="C3719:D3719"/>
    <mergeCell ref="C3404:D3404"/>
    <mergeCell ref="C3893:D3893"/>
    <mergeCell ref="C3892:D3892"/>
    <mergeCell ref="C3873:D3873"/>
    <mergeCell ref="C3722:D3722"/>
    <mergeCell ref="C3804:D3804"/>
    <mergeCell ref="C3727:D3727"/>
    <mergeCell ref="C3777:D3777"/>
    <mergeCell ref="C3770:D3770"/>
    <mergeCell ref="C3768:D3768"/>
    <mergeCell ref="C3769:D3769"/>
    <mergeCell ref="C3771:D3771"/>
    <mergeCell ref="C3772:D3772"/>
    <mergeCell ref="C3829:D3829"/>
    <mergeCell ref="C3839:D3839"/>
    <mergeCell ref="C3836:D3836"/>
    <mergeCell ref="C3837:D3837"/>
    <mergeCell ref="A3817:D3817"/>
    <mergeCell ref="B3711:B3713"/>
    <mergeCell ref="C3725:D3725"/>
    <mergeCell ref="C3668:D3668"/>
    <mergeCell ref="C3666:D3666"/>
    <mergeCell ref="C3667:D3667"/>
    <mergeCell ref="C3675:D3675"/>
    <mergeCell ref="C3676:D3676"/>
    <mergeCell ref="C3743:D3743"/>
    <mergeCell ref="C3753:D3753"/>
    <mergeCell ref="C3754:D3754"/>
    <mergeCell ref="C3720:D3720"/>
    <mergeCell ref="C3721:D372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2:D382"/>
    <mergeCell ref="C381:D381"/>
    <mergeCell ref="C446:D446"/>
    <mergeCell ref="C744:D744"/>
    <mergeCell ref="C742:D742"/>
    <mergeCell ref="C743:D743"/>
    <mergeCell ref="C496:D496"/>
    <mergeCell ref="C497:D497"/>
    <mergeCell ref="A485:D485"/>
    <mergeCell ref="C487:D487"/>
    <mergeCell ref="C488:D488"/>
    <mergeCell ref="A656:A670"/>
    <mergeCell ref="C573:D573"/>
    <mergeCell ref="C560:D560"/>
    <mergeCell ref="A570:D570"/>
    <mergeCell ref="C555:D555"/>
    <mergeCell ref="A553:D553"/>
    <mergeCell ref="C541:D541"/>
    <mergeCell ref="C542:D542"/>
    <mergeCell ref="C543:D543"/>
    <mergeCell ref="C544:D544"/>
    <mergeCell ref="C729:D729"/>
    <mergeCell ref="C730:D730"/>
    <mergeCell ref="C3755:D3755"/>
    <mergeCell ref="C3744:D3744"/>
    <mergeCell ref="C3778:D3778"/>
    <mergeCell ref="C3803:D3803"/>
    <mergeCell ref="C3790:D3790"/>
    <mergeCell ref="C3791:D3791"/>
    <mergeCell ref="C3785:D3785"/>
    <mergeCell ref="C3786:D3786"/>
    <mergeCell ref="C3683:D3683"/>
    <mergeCell ref="C3669:D3669"/>
    <mergeCell ref="A3800:D3800"/>
    <mergeCell ref="C3738:D3738"/>
    <mergeCell ref="C3739:D3739"/>
    <mergeCell ref="C3689:D3689"/>
    <mergeCell ref="C3690:D3690"/>
    <mergeCell ref="C3706:D3706"/>
    <mergeCell ref="C3707:D3707"/>
    <mergeCell ref="C3723:D3723"/>
    <mergeCell ref="C3724:D3724"/>
    <mergeCell ref="C3737:D3737"/>
    <mergeCell ref="C3757:D3757"/>
    <mergeCell ref="C3758:D3758"/>
    <mergeCell ref="C3759:D3759"/>
    <mergeCell ref="C3760:D3760"/>
    <mergeCell ref="C3688:D3688"/>
    <mergeCell ref="C3687:D3687"/>
    <mergeCell ref="C3702:D3702"/>
    <mergeCell ref="C3703:D3703"/>
    <mergeCell ref="C3718:D3718"/>
    <mergeCell ref="C489:D489"/>
    <mergeCell ref="A502:D502"/>
    <mergeCell ref="C659:D659"/>
    <mergeCell ref="C660:D660"/>
    <mergeCell ref="B634:B636"/>
    <mergeCell ref="A605:A619"/>
    <mergeCell ref="B617:B619"/>
    <mergeCell ref="A622:A636"/>
    <mergeCell ref="A587:D587"/>
    <mergeCell ref="C572:D572"/>
    <mergeCell ref="C1168:D1168"/>
    <mergeCell ref="C1191:D1191"/>
    <mergeCell ref="C1177:D1177"/>
    <mergeCell ref="A486:A500"/>
    <mergeCell ref="A503:A517"/>
    <mergeCell ref="A520:A534"/>
    <mergeCell ref="A537:A551"/>
    <mergeCell ref="A554:A568"/>
    <mergeCell ref="A588:A602"/>
    <mergeCell ref="A571:A585"/>
    <mergeCell ref="C1169:D1169"/>
    <mergeCell ref="C1172:D1172"/>
    <mergeCell ref="B702:B704"/>
    <mergeCell ref="B719:B721"/>
    <mergeCell ref="B736:B738"/>
    <mergeCell ref="B753:B755"/>
    <mergeCell ref="C494:D494"/>
    <mergeCell ref="C495:D495"/>
    <mergeCell ref="C710:D710"/>
    <mergeCell ref="A1080:D1080"/>
    <mergeCell ref="A1114:D1114"/>
    <mergeCell ref="A1131:D1131"/>
    <mergeCell ref="B770:B772"/>
    <mergeCell ref="A1047:A1061"/>
    <mergeCell ref="B1059:B1061"/>
    <mergeCell ref="A1064:A1078"/>
    <mergeCell ref="B1110:B1112"/>
    <mergeCell ref="B1127:B1129"/>
    <mergeCell ref="B1076:B1078"/>
    <mergeCell ref="B1093:B1095"/>
    <mergeCell ref="C947:D947"/>
    <mergeCell ref="A1098:A1112"/>
    <mergeCell ref="A1115:A1129"/>
    <mergeCell ref="A1590:D1590"/>
    <mergeCell ref="C1601:D1601"/>
    <mergeCell ref="C1602:D1602"/>
    <mergeCell ref="C1584:D1584"/>
    <mergeCell ref="C1585:D1585"/>
    <mergeCell ref="B1450:B1452"/>
    <mergeCell ref="A1438:A1452"/>
    <mergeCell ref="A1455:A1469"/>
    <mergeCell ref="A1319:A1333"/>
    <mergeCell ref="B1331:B1333"/>
    <mergeCell ref="A1353:A1367"/>
    <mergeCell ref="A1370:A1384"/>
    <mergeCell ref="B1382:B1384"/>
    <mergeCell ref="B1399:B1401"/>
    <mergeCell ref="A1336:A1350"/>
    <mergeCell ref="B1348:B1350"/>
    <mergeCell ref="A1387:A1401"/>
    <mergeCell ref="A1404:A1418"/>
    <mergeCell ref="A1574:A1588"/>
    <mergeCell ref="A1132:A1146"/>
    <mergeCell ref="C922:D922"/>
    <mergeCell ref="C952:D952"/>
    <mergeCell ref="C953:D953"/>
    <mergeCell ref="C1616:D1616"/>
    <mergeCell ref="C1617:D1617"/>
    <mergeCell ref="C1618:D1618"/>
    <mergeCell ref="C1626:D1626"/>
    <mergeCell ref="C1627:D1627"/>
    <mergeCell ref="C1619:D1619"/>
    <mergeCell ref="C1668:D1668"/>
    <mergeCell ref="C1629:D1629"/>
    <mergeCell ref="C1630:D1630"/>
    <mergeCell ref="A1624:D1624"/>
    <mergeCell ref="C1634:D1634"/>
    <mergeCell ref="C1635:D1635"/>
    <mergeCell ref="C1636:D1636"/>
    <mergeCell ref="C1102:D1102"/>
    <mergeCell ref="C1103:D1103"/>
    <mergeCell ref="C1066:D1066"/>
    <mergeCell ref="C1067:D1067"/>
    <mergeCell ref="B1416:B1418"/>
    <mergeCell ref="B1467:B1469"/>
    <mergeCell ref="B1586:B1588"/>
    <mergeCell ref="C1560:D1560"/>
    <mergeCell ref="C1544:D1544"/>
    <mergeCell ref="C1548:D1548"/>
    <mergeCell ref="C1542:D1542"/>
    <mergeCell ref="C1541:D1541"/>
    <mergeCell ref="C1354:D1354"/>
    <mergeCell ref="C1343:D1343"/>
    <mergeCell ref="C1448:D1448"/>
    <mergeCell ref="C1546:D1546"/>
    <mergeCell ref="C1547:D1547"/>
    <mergeCell ref="C1718:D1718"/>
    <mergeCell ref="C1651:D1651"/>
    <mergeCell ref="C1652:D1652"/>
    <mergeCell ref="C1736:D1736"/>
    <mergeCell ref="C1737:D1737"/>
    <mergeCell ref="A1692:D1692"/>
    <mergeCell ref="C1694:D1694"/>
    <mergeCell ref="C1713:D1713"/>
    <mergeCell ref="C1738:D1738"/>
    <mergeCell ref="C1735:D1735"/>
    <mergeCell ref="A4446:D4446"/>
    <mergeCell ref="C4450:D4450"/>
    <mergeCell ref="C4451:D4451"/>
    <mergeCell ref="C4448:D4448"/>
    <mergeCell ref="C4449:D4449"/>
    <mergeCell ref="C4416:D4416"/>
    <mergeCell ref="C4414:D4414"/>
    <mergeCell ref="C4432:D4432"/>
    <mergeCell ref="C4417:D4417"/>
    <mergeCell ref="C4418:D4418"/>
    <mergeCell ref="C4419:D4419"/>
    <mergeCell ref="C4420:D4420"/>
    <mergeCell ref="C4421:D4421"/>
    <mergeCell ref="C4422:D4422"/>
    <mergeCell ref="C1772:D1772"/>
    <mergeCell ref="C3793:D3793"/>
    <mergeCell ref="C3792:D3792"/>
    <mergeCell ref="C3756:D3756"/>
    <mergeCell ref="C3787:D3787"/>
    <mergeCell ref="C3775:D3775"/>
    <mergeCell ref="C3776:D3776"/>
    <mergeCell ref="C3671:D3671"/>
    <mergeCell ref="C4441:D4441"/>
    <mergeCell ref="B4442:B4444"/>
    <mergeCell ref="C4436:D4436"/>
    <mergeCell ref="C4435:D4435"/>
    <mergeCell ref="C4437:D4437"/>
    <mergeCell ref="C4438:D4438"/>
    <mergeCell ref="A4429:D4429"/>
    <mergeCell ref="C4433:D4433"/>
    <mergeCell ref="A4430:A4444"/>
    <mergeCell ref="C4434:D4434"/>
    <mergeCell ref="C4439:D4439"/>
    <mergeCell ref="C4440:D4440"/>
    <mergeCell ref="C4431:D4431"/>
    <mergeCell ref="C4351:D4351"/>
    <mergeCell ref="C4353:D4353"/>
    <mergeCell ref="C4352:D4352"/>
    <mergeCell ref="C4346:D4346"/>
    <mergeCell ref="C4347:D4347"/>
    <mergeCell ref="C4349:D4349"/>
    <mergeCell ref="C4350:D4350"/>
    <mergeCell ref="C4369:D4369"/>
    <mergeCell ref="C4356:D4356"/>
    <mergeCell ref="C4348:D4348"/>
    <mergeCell ref="C4383:D4383"/>
    <mergeCell ref="C4384:D4384"/>
    <mergeCell ref="C4385:D4385"/>
    <mergeCell ref="C4386:D4386"/>
    <mergeCell ref="C4389:D4389"/>
    <mergeCell ref="C4390:D4390"/>
    <mergeCell ref="B4391:B4393"/>
    <mergeCell ref="C4367:D4367"/>
    <mergeCell ref="C4368:D4368"/>
    <mergeCell ref="C4373:D4373"/>
    <mergeCell ref="B4374:B4376"/>
    <mergeCell ref="C4354:D4354"/>
    <mergeCell ref="C4355:D4355"/>
    <mergeCell ref="B4357:B4359"/>
    <mergeCell ref="A4344:D4344"/>
    <mergeCell ref="A4345:A4359"/>
    <mergeCell ref="A4361:D4361"/>
    <mergeCell ref="C4363:D4363"/>
    <mergeCell ref="C4364:D4364"/>
    <mergeCell ref="C4365:D4365"/>
    <mergeCell ref="C4332:D4332"/>
    <mergeCell ref="C4333:D4333"/>
    <mergeCell ref="A4362:A4376"/>
    <mergeCell ref="A4379:A4393"/>
    <mergeCell ref="C4371:D4371"/>
    <mergeCell ref="C4372:D4372"/>
    <mergeCell ref="C4382:D4382"/>
    <mergeCell ref="C4380:D4380"/>
    <mergeCell ref="C4381:D4381"/>
    <mergeCell ref="A4378:D4378"/>
    <mergeCell ref="C4366:D4366"/>
    <mergeCell ref="C4337:D4337"/>
    <mergeCell ref="C4338:D4338"/>
    <mergeCell ref="C4339:D4339"/>
    <mergeCell ref="B4340:B4342"/>
    <mergeCell ref="C4541:D4541"/>
    <mergeCell ref="C4542:D4542"/>
    <mergeCell ref="C4543:D4543"/>
    <mergeCell ref="B4544:B4546"/>
    <mergeCell ref="C4588:D4588"/>
    <mergeCell ref="C4589:D4589"/>
    <mergeCell ref="B4561:B4563"/>
    <mergeCell ref="C4575:D4575"/>
    <mergeCell ref="C4576:D4576"/>
    <mergeCell ref="C4587:D4587"/>
    <mergeCell ref="C4586:D4586"/>
    <mergeCell ref="C4577:D4577"/>
    <mergeCell ref="B4578:B4580"/>
    <mergeCell ref="C4567:D4567"/>
    <mergeCell ref="C4568:D4568"/>
    <mergeCell ref="C4569:D4569"/>
    <mergeCell ref="C4570:D4570"/>
    <mergeCell ref="C4571:D4571"/>
    <mergeCell ref="C4572:D4572"/>
    <mergeCell ref="C4560:D4560"/>
    <mergeCell ref="C4557:D4557"/>
    <mergeCell ref="C4584:D4584"/>
    <mergeCell ref="C4585:D4585"/>
    <mergeCell ref="C4573:D4573"/>
    <mergeCell ref="C4574:D4574"/>
    <mergeCell ref="C4162:D4162"/>
    <mergeCell ref="C4163:D4163"/>
    <mergeCell ref="C4164:D4164"/>
    <mergeCell ref="C4165:D4165"/>
    <mergeCell ref="C4167:D4167"/>
    <mergeCell ref="C4168:D4168"/>
    <mergeCell ref="C4150:D4150"/>
    <mergeCell ref="C4151:D4151"/>
    <mergeCell ref="B4170:B4172"/>
    <mergeCell ref="C4182:D4182"/>
    <mergeCell ref="C4152:D4152"/>
    <mergeCell ref="B4153:B4155"/>
    <mergeCell ref="C4160:D4160"/>
    <mergeCell ref="C4161:D4161"/>
    <mergeCell ref="C4159:D4159"/>
    <mergeCell ref="C4315:D4315"/>
    <mergeCell ref="C4316:D4316"/>
    <mergeCell ref="C4253:D4253"/>
    <mergeCell ref="C4254:D4254"/>
    <mergeCell ref="A4259:D4259"/>
    <mergeCell ref="A4276:D4276"/>
    <mergeCell ref="B4306:B4308"/>
    <mergeCell ref="C4304:D4304"/>
    <mergeCell ref="C4305:D4305"/>
    <mergeCell ref="A4310:D4310"/>
    <mergeCell ref="A4311:A4325"/>
    <mergeCell ref="A4158:A4172"/>
    <mergeCell ref="A4175:A4189"/>
    <mergeCell ref="C4322:D4322"/>
    <mergeCell ref="B4323:B4325"/>
    <mergeCell ref="C4279:D4279"/>
    <mergeCell ref="A4293:D4293"/>
    <mergeCell ref="C4049:D4049"/>
    <mergeCell ref="C4050:D4050"/>
    <mergeCell ref="B4051:B4053"/>
    <mergeCell ref="A4055:D4055"/>
    <mergeCell ref="C4027:D4027"/>
    <mergeCell ref="C4028:D4028"/>
    <mergeCell ref="C4044:D4044"/>
    <mergeCell ref="C4045:D4045"/>
    <mergeCell ref="C4046:D4046"/>
    <mergeCell ref="C4047:D4047"/>
    <mergeCell ref="C4048:D4048"/>
    <mergeCell ref="C4041:D4041"/>
    <mergeCell ref="A4039:A4053"/>
    <mergeCell ref="A4072:D4072"/>
    <mergeCell ref="A4073:A4087"/>
    <mergeCell ref="C4064:D4064"/>
    <mergeCell ref="C4058:D4058"/>
    <mergeCell ref="A4056:A4070"/>
    <mergeCell ref="C4057:D4057"/>
    <mergeCell ref="B4068:B4070"/>
    <mergeCell ref="C4076:D4076"/>
    <mergeCell ref="C4077:D4077"/>
    <mergeCell ref="C4062:D4062"/>
    <mergeCell ref="C4063:D4063"/>
    <mergeCell ref="C4059:D4059"/>
    <mergeCell ref="C4060:D4060"/>
    <mergeCell ref="C4061:D4061"/>
    <mergeCell ref="C4065:D4065"/>
    <mergeCell ref="C4066:D4066"/>
    <mergeCell ref="C4067:D4067"/>
    <mergeCell ref="C4043:D4043"/>
    <mergeCell ref="C4084:D4084"/>
    <mergeCell ref="C4026:D4026"/>
    <mergeCell ref="B4034:B4036"/>
    <mergeCell ref="A4038:D4038"/>
    <mergeCell ref="C4029:D4029"/>
    <mergeCell ref="C4030:D4030"/>
    <mergeCell ref="C4031:D4031"/>
    <mergeCell ref="C4032:D4032"/>
    <mergeCell ref="C4042:D4042"/>
    <mergeCell ref="A4022:A4036"/>
    <mergeCell ref="C4033:D4033"/>
    <mergeCell ref="C4016:D4016"/>
    <mergeCell ref="B4017:B4019"/>
    <mergeCell ref="C4009:D4009"/>
    <mergeCell ref="C4010:D4010"/>
    <mergeCell ref="C4008:D4008"/>
    <mergeCell ref="C4006:D4006"/>
    <mergeCell ref="C4007:D4007"/>
    <mergeCell ref="C4011:D4011"/>
    <mergeCell ref="C4012:D4012"/>
    <mergeCell ref="C4013:D4013"/>
    <mergeCell ref="C4014:D4014"/>
    <mergeCell ref="C4015:D4015"/>
    <mergeCell ref="C4024:D4024"/>
    <mergeCell ref="C4025:D4025"/>
    <mergeCell ref="C4040:D4040"/>
    <mergeCell ref="A4005:A4019"/>
    <mergeCell ref="C4023:D4023"/>
    <mergeCell ref="C4081:D4081"/>
    <mergeCell ref="C4082:D4082"/>
    <mergeCell ref="C4074:D4074"/>
    <mergeCell ref="C4075:D4075"/>
    <mergeCell ref="C4111:D4111"/>
    <mergeCell ref="C4112:D4112"/>
    <mergeCell ref="C4110:D4110"/>
    <mergeCell ref="C4108:D4108"/>
    <mergeCell ref="C4109:D4109"/>
    <mergeCell ref="C4078:D4078"/>
    <mergeCell ref="C4079:D4079"/>
    <mergeCell ref="C4096:D4096"/>
    <mergeCell ref="C4101:D4101"/>
    <mergeCell ref="C4093:D4093"/>
    <mergeCell ref="C4094:D4094"/>
    <mergeCell ref="C4095:D4095"/>
    <mergeCell ref="B4102:B4104"/>
    <mergeCell ref="C4091:D4091"/>
    <mergeCell ref="C4092:D4092"/>
    <mergeCell ref="A4089:D4089"/>
    <mergeCell ref="A4106:D4106"/>
    <mergeCell ref="C4097:D4097"/>
    <mergeCell ref="C4098:D4098"/>
    <mergeCell ref="C4099:D4099"/>
    <mergeCell ref="C4100:D4100"/>
    <mergeCell ref="B4085:B4087"/>
    <mergeCell ref="C4080:D4080"/>
    <mergeCell ref="C4083:D4083"/>
    <mergeCell ref="A4090:A4104"/>
    <mergeCell ref="A4107:A4121"/>
    <mergeCell ref="B4119:B4121"/>
    <mergeCell ref="A4327:D4327"/>
    <mergeCell ref="C4280:D4280"/>
    <mergeCell ref="C4281:D4281"/>
    <mergeCell ref="C4282:D4282"/>
    <mergeCell ref="C4283:D4283"/>
    <mergeCell ref="C4284:D4284"/>
    <mergeCell ref="C4285:D4285"/>
    <mergeCell ref="C4286:D4286"/>
    <mergeCell ref="C4299:D4299"/>
    <mergeCell ref="C4300:D4300"/>
    <mergeCell ref="B4289:B4291"/>
    <mergeCell ref="A4277:A4291"/>
    <mergeCell ref="A4294:A4308"/>
    <mergeCell ref="C4233:D4233"/>
    <mergeCell ref="C4234:D4234"/>
    <mergeCell ref="C4295:D4295"/>
    <mergeCell ref="C4296:D4296"/>
    <mergeCell ref="C4297:D4297"/>
    <mergeCell ref="C4298:D4298"/>
    <mergeCell ref="C4313:D4313"/>
    <mergeCell ref="C4314:D4314"/>
    <mergeCell ref="C4317:D4317"/>
    <mergeCell ref="C4318:D4318"/>
    <mergeCell ref="C4319:D4319"/>
    <mergeCell ref="C4320:D4320"/>
    <mergeCell ref="A4260:A4274"/>
    <mergeCell ref="C4267:D4267"/>
    <mergeCell ref="C4268:D4268"/>
    <mergeCell ref="C4269:D4269"/>
    <mergeCell ref="C4270:D4270"/>
    <mergeCell ref="C4266:D4266"/>
    <mergeCell ref="C4271:D4271"/>
    <mergeCell ref="C4211:D4211"/>
    <mergeCell ref="C4200:D4200"/>
    <mergeCell ref="C4201:D4201"/>
    <mergeCell ref="C4214:D4214"/>
    <mergeCell ref="C4215:D4215"/>
    <mergeCell ref="C4216:D4216"/>
    <mergeCell ref="C4217:D4217"/>
    <mergeCell ref="C4218:D4218"/>
    <mergeCell ref="C4288:D4288"/>
    <mergeCell ref="C4180:D4180"/>
    <mergeCell ref="C4181:D4181"/>
    <mergeCell ref="C4186:D4186"/>
    <mergeCell ref="C4199:D4199"/>
    <mergeCell ref="C4193:D4193"/>
    <mergeCell ref="C4194:D4194"/>
    <mergeCell ref="C4195:D4195"/>
    <mergeCell ref="C4196:D4196"/>
    <mergeCell ref="C4197:D4197"/>
    <mergeCell ref="C4198:D4198"/>
    <mergeCell ref="C4287:D4287"/>
    <mergeCell ref="C4231:D4231"/>
    <mergeCell ref="C4219:D4219"/>
    <mergeCell ref="C4220:D4220"/>
    <mergeCell ref="C4265:D4265"/>
    <mergeCell ref="C4232:D4232"/>
    <mergeCell ref="C4230:D4230"/>
    <mergeCell ref="C4147:D4147"/>
    <mergeCell ref="C4148:D4148"/>
    <mergeCell ref="C4302:D4302"/>
    <mergeCell ref="C4303:D4303"/>
    <mergeCell ref="C4312:D4312"/>
    <mergeCell ref="C4321:D4321"/>
    <mergeCell ref="C4245:D4245"/>
    <mergeCell ref="C4301:D4301"/>
    <mergeCell ref="C4278:D4278"/>
    <mergeCell ref="C4183:D4183"/>
    <mergeCell ref="C4184:D4184"/>
    <mergeCell ref="C4227:D4227"/>
    <mergeCell ref="C4235:D4235"/>
    <mergeCell ref="C4228:D4228"/>
    <mergeCell ref="C4229:D4229"/>
    <mergeCell ref="C4202:D4202"/>
    <mergeCell ref="C4203:D4203"/>
    <mergeCell ref="C4236:D4236"/>
    <mergeCell ref="C4244:D4244"/>
    <mergeCell ref="C4237:D4237"/>
    <mergeCell ref="C4246:D4246"/>
    <mergeCell ref="C4247:D4247"/>
    <mergeCell ref="C4248:D4248"/>
    <mergeCell ref="C4249:D4249"/>
    <mergeCell ref="C4213:D4213"/>
    <mergeCell ref="C4210:D4210"/>
    <mergeCell ref="C4149:D4149"/>
    <mergeCell ref="C4166:D4166"/>
    <mergeCell ref="C4176:D4176"/>
    <mergeCell ref="C4177:D4177"/>
    <mergeCell ref="C4178:D4178"/>
    <mergeCell ref="C4179:D4179"/>
    <mergeCell ref="C4144:D4144"/>
    <mergeCell ref="C4142:D4142"/>
    <mergeCell ref="C4143:D4143"/>
    <mergeCell ref="C4145:D4145"/>
    <mergeCell ref="C4146:D4146"/>
    <mergeCell ref="A4141:A4155"/>
    <mergeCell ref="A4157:D4157"/>
    <mergeCell ref="C4264:D4264"/>
    <mergeCell ref="C4261:D4261"/>
    <mergeCell ref="C4262:D4262"/>
    <mergeCell ref="C4263:D4263"/>
    <mergeCell ref="C4250:D4250"/>
    <mergeCell ref="C4251:D4251"/>
    <mergeCell ref="C4252:D4252"/>
    <mergeCell ref="B4255:B4257"/>
    <mergeCell ref="B4272:B4274"/>
    <mergeCell ref="A4243:A4257"/>
    <mergeCell ref="B4204:B4206"/>
    <mergeCell ref="B4187:B4189"/>
    <mergeCell ref="A4191:D4191"/>
    <mergeCell ref="A4174:D4174"/>
    <mergeCell ref="A4192:A4206"/>
    <mergeCell ref="B4238:B4240"/>
    <mergeCell ref="A4242:D4242"/>
    <mergeCell ref="B4221:B4223"/>
    <mergeCell ref="A4225:D4225"/>
    <mergeCell ref="A4226:A4240"/>
    <mergeCell ref="A4209:A4223"/>
    <mergeCell ref="A4208:D4208"/>
    <mergeCell ref="C4185:D4185"/>
    <mergeCell ref="C4212:D4212"/>
    <mergeCell ref="C4169:D4169"/>
    <mergeCell ref="A4123:D4123"/>
    <mergeCell ref="C4113:D4113"/>
    <mergeCell ref="C4114:D4114"/>
    <mergeCell ref="C4115:D4115"/>
    <mergeCell ref="C4116:D4116"/>
    <mergeCell ref="C4117:D4117"/>
    <mergeCell ref="C4130:D4130"/>
    <mergeCell ref="A4124:A4138"/>
    <mergeCell ref="B4136:B4138"/>
    <mergeCell ref="C4126:D4126"/>
    <mergeCell ref="C4127:D4127"/>
    <mergeCell ref="C4135:D4135"/>
    <mergeCell ref="A4140:D4140"/>
    <mergeCell ref="C4128:D4128"/>
    <mergeCell ref="C4129:D4129"/>
    <mergeCell ref="C4131:D4131"/>
    <mergeCell ref="C4132:D4132"/>
    <mergeCell ref="C4133:D4133"/>
    <mergeCell ref="C4134:D4134"/>
    <mergeCell ref="C4125:D4125"/>
    <mergeCell ref="C4118:D41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38"/>
  <sheetViews>
    <sheetView topLeftCell="A1809" workbookViewId="0">
      <selection activeCell="D1840" sqref="D1840"/>
    </sheetView>
  </sheetViews>
  <sheetFormatPr defaultColWidth="14.42578125" defaultRowHeight="15" customHeight="1" x14ac:dyDescent="0.2"/>
  <cols>
    <col min="1" max="1" width="18.42578125" customWidth="1"/>
    <col min="2" max="2" width="12.85546875" customWidth="1"/>
    <col min="3" max="3" width="11.140625" customWidth="1"/>
    <col min="4" max="4" width="18.42578125" customWidth="1"/>
    <col min="5" max="26" width="8" customWidth="1"/>
  </cols>
  <sheetData>
    <row r="1" spans="1:4" ht="12.75" customHeight="1" x14ac:dyDescent="0.2">
      <c r="A1" s="22" t="str">
        <f>HYPERLINK("javascript:void(0)","fejsze")</f>
        <v>fejsze</v>
      </c>
      <c r="B1" s="21"/>
      <c r="C1" s="21"/>
      <c r="D1" s="2"/>
    </row>
    <row r="2" spans="1:4" ht="12.75" customHeight="1" x14ac:dyDescent="0.2">
      <c r="A2" s="20"/>
      <c r="B2" s="2"/>
      <c r="C2" s="2"/>
      <c r="D2" s="2"/>
    </row>
    <row r="3" spans="1:4" ht="12.75" customHeight="1" x14ac:dyDescent="0.2">
      <c r="A3" s="21"/>
      <c r="B3" s="3" t="s">
        <v>0</v>
      </c>
      <c r="C3" s="3" t="s">
        <v>1</v>
      </c>
      <c r="D3" s="2"/>
    </row>
    <row r="4" spans="1:4" ht="12.75" customHeight="1" x14ac:dyDescent="0.2">
      <c r="A4" s="21"/>
      <c r="B4" s="3" t="s">
        <v>2</v>
      </c>
      <c r="C4" s="3" t="s">
        <v>1598</v>
      </c>
      <c r="D4" s="2"/>
    </row>
    <row r="5" spans="1:4" ht="12.75" customHeight="1" x14ac:dyDescent="0.2">
      <c r="A5" s="21"/>
      <c r="B5" s="3" t="s">
        <v>4</v>
      </c>
      <c r="C5" s="3" t="s">
        <v>40</v>
      </c>
      <c r="D5" s="2"/>
    </row>
    <row r="6" spans="1:4" ht="12.75" customHeight="1" x14ac:dyDescent="0.2">
      <c r="A6" s="21"/>
      <c r="B6" s="3" t="s">
        <v>6</v>
      </c>
      <c r="C6" s="3" t="s">
        <v>26</v>
      </c>
      <c r="D6" s="2"/>
    </row>
    <row r="7" spans="1:4" ht="12.75" customHeight="1" x14ac:dyDescent="0.2">
      <c r="A7" s="21"/>
      <c r="B7" s="3" t="s">
        <v>8</v>
      </c>
      <c r="C7" s="3" t="s">
        <v>40</v>
      </c>
      <c r="D7" s="2"/>
    </row>
    <row r="8" spans="1:4" ht="12.75" customHeight="1" x14ac:dyDescent="0.2">
      <c r="A8" s="21"/>
      <c r="B8" s="3" t="s">
        <v>9</v>
      </c>
      <c r="C8" s="3" t="s">
        <v>129</v>
      </c>
      <c r="D8" s="2"/>
    </row>
    <row r="9" spans="1:4" ht="12.75" customHeight="1" x14ac:dyDescent="0.2">
      <c r="A9" s="21"/>
      <c r="B9" s="3" t="s">
        <v>11</v>
      </c>
      <c r="C9" s="3" t="s">
        <v>1010</v>
      </c>
      <c r="D9" s="2"/>
    </row>
    <row r="10" spans="1:4" ht="12.75" customHeight="1" x14ac:dyDescent="0.2">
      <c r="A10" s="21"/>
      <c r="B10" s="3" t="s">
        <v>13</v>
      </c>
      <c r="C10" s="3" t="s">
        <v>14</v>
      </c>
      <c r="D10" s="2"/>
    </row>
    <row r="11" spans="1:4" ht="12.75" customHeight="1" x14ac:dyDescent="0.2">
      <c r="A11" s="21"/>
      <c r="B11" s="3" t="s">
        <v>15</v>
      </c>
      <c r="C11" s="3" t="s">
        <v>14</v>
      </c>
      <c r="D11" s="2"/>
    </row>
    <row r="12" spans="1:4" ht="12.75" customHeight="1" x14ac:dyDescent="0.2">
      <c r="A12" s="21"/>
      <c r="B12" s="3" t="s">
        <v>16</v>
      </c>
      <c r="C12" s="3"/>
      <c r="D12" s="2"/>
    </row>
    <row r="13" spans="1:4" ht="12.75" customHeight="1" x14ac:dyDescent="0.2">
      <c r="A13" s="21"/>
      <c r="B13" s="3" t="s">
        <v>17</v>
      </c>
      <c r="C13" s="3"/>
      <c r="D13" s="2"/>
    </row>
    <row r="14" spans="1:4" ht="12.75" customHeight="1" x14ac:dyDescent="0.2">
      <c r="A14" s="21"/>
      <c r="B14" s="3" t="s">
        <v>18</v>
      </c>
      <c r="C14" s="4" t="s">
        <v>19</v>
      </c>
      <c r="D14" s="2"/>
    </row>
    <row r="15" spans="1:4" ht="12.75" customHeight="1" x14ac:dyDescent="0.2">
      <c r="A15" s="5"/>
      <c r="B15" s="2"/>
      <c r="C15" s="2"/>
      <c r="D15" s="2"/>
    </row>
    <row r="16" spans="1:4" ht="12.75" customHeight="1" x14ac:dyDescent="0.2">
      <c r="A16" s="22" t="str">
        <f>HYPERLINK("javascript:void(0)","lándzsa")</f>
        <v>lándzsa</v>
      </c>
      <c r="B16" s="21"/>
      <c r="C16" s="21"/>
      <c r="D16" s="2"/>
    </row>
    <row r="17" spans="1:4" ht="12.75" customHeight="1" x14ac:dyDescent="0.2">
      <c r="A17" s="20"/>
      <c r="B17" s="2"/>
      <c r="C17" s="2"/>
      <c r="D17" s="2"/>
    </row>
    <row r="18" spans="1:4" ht="12.75" customHeight="1" x14ac:dyDescent="0.2">
      <c r="A18" s="21"/>
      <c r="B18" s="3" t="s">
        <v>0</v>
      </c>
      <c r="C18" s="3" t="s">
        <v>1</v>
      </c>
      <c r="D18" s="2"/>
    </row>
    <row r="19" spans="1:4" ht="12.75" customHeight="1" x14ac:dyDescent="0.2">
      <c r="A19" s="21"/>
      <c r="B19" s="3" t="s">
        <v>2</v>
      </c>
      <c r="C19" s="3" t="s">
        <v>1598</v>
      </c>
      <c r="D19" s="2"/>
    </row>
    <row r="20" spans="1:4" ht="12.75" customHeight="1" x14ac:dyDescent="0.2">
      <c r="A20" s="21"/>
      <c r="B20" s="3" t="s">
        <v>4</v>
      </c>
      <c r="C20" s="3" t="s">
        <v>51</v>
      </c>
      <c r="D20" s="2"/>
    </row>
    <row r="21" spans="1:4" ht="12.75" customHeight="1" x14ac:dyDescent="0.2">
      <c r="A21" s="21"/>
      <c r="B21" s="3" t="s">
        <v>6</v>
      </c>
      <c r="C21" s="3" t="s">
        <v>7</v>
      </c>
      <c r="D21" s="2"/>
    </row>
    <row r="22" spans="1:4" ht="12.75" customHeight="1" x14ac:dyDescent="0.2">
      <c r="A22" s="21"/>
      <c r="B22" s="3" t="s">
        <v>8</v>
      </c>
      <c r="C22" s="3" t="s">
        <v>51</v>
      </c>
      <c r="D22" s="2"/>
    </row>
    <row r="23" spans="1:4" ht="12.75" customHeight="1" x14ac:dyDescent="0.2">
      <c r="A23" s="21"/>
      <c r="B23" s="3" t="s">
        <v>9</v>
      </c>
      <c r="C23" s="3" t="s">
        <v>374</v>
      </c>
      <c r="D23" s="2"/>
    </row>
    <row r="24" spans="1:4" ht="12.75" customHeight="1" x14ac:dyDescent="0.2">
      <c r="A24" s="21"/>
      <c r="B24" s="3" t="s">
        <v>11</v>
      </c>
      <c r="C24" s="3" t="s">
        <v>136</v>
      </c>
      <c r="D24" s="2"/>
    </row>
    <row r="25" spans="1:4" ht="12.75" customHeight="1" x14ac:dyDescent="0.2">
      <c r="A25" s="21"/>
      <c r="B25" s="3" t="s">
        <v>13</v>
      </c>
      <c r="C25" s="3" t="s">
        <v>14</v>
      </c>
      <c r="D25" s="2"/>
    </row>
    <row r="26" spans="1:4" ht="12.75" customHeight="1" x14ac:dyDescent="0.2">
      <c r="A26" s="21"/>
      <c r="B26" s="3" t="s">
        <v>15</v>
      </c>
      <c r="C26" s="3" t="s">
        <v>14</v>
      </c>
      <c r="D26" s="2"/>
    </row>
    <row r="27" spans="1:4" ht="12.75" customHeight="1" x14ac:dyDescent="0.2">
      <c r="A27" s="21"/>
      <c r="B27" s="3" t="s">
        <v>16</v>
      </c>
      <c r="C27" s="3"/>
      <c r="D27" s="2"/>
    </row>
    <row r="28" spans="1:4" ht="12.75" customHeight="1" x14ac:dyDescent="0.2">
      <c r="A28" s="21"/>
      <c r="B28" s="3" t="s">
        <v>17</v>
      </c>
      <c r="C28" s="3"/>
      <c r="D28" s="2"/>
    </row>
    <row r="29" spans="1:4" ht="12.75" customHeight="1" x14ac:dyDescent="0.2">
      <c r="A29" s="21"/>
      <c r="B29" s="3" t="s">
        <v>18</v>
      </c>
      <c r="C29" s="4" t="s">
        <v>19</v>
      </c>
      <c r="D29" s="2"/>
    </row>
    <row r="30" spans="1:4" ht="12.75" customHeight="1" x14ac:dyDescent="0.2">
      <c r="A30" s="5"/>
      <c r="B30" s="2"/>
      <c r="C30" s="2"/>
      <c r="D30" s="2"/>
    </row>
    <row r="31" spans="1:4" ht="12.75" customHeight="1" x14ac:dyDescent="0.2">
      <c r="A31" s="22" t="str">
        <f>HYPERLINK("javascript:void(0)","csonttőr")</f>
        <v>csonttőr</v>
      </c>
      <c r="B31" s="21"/>
      <c r="C31" s="21"/>
      <c r="D31" s="2"/>
    </row>
    <row r="32" spans="1:4" ht="12.75" customHeight="1" x14ac:dyDescent="0.2">
      <c r="A32" s="20"/>
      <c r="B32" s="2"/>
      <c r="C32" s="2"/>
      <c r="D32" s="2"/>
    </row>
    <row r="33" spans="1:4" ht="12.75" customHeight="1" x14ac:dyDescent="0.2">
      <c r="A33" s="21"/>
      <c r="B33" s="3" t="s">
        <v>0</v>
      </c>
      <c r="C33" s="3" t="s">
        <v>1</v>
      </c>
      <c r="D33" s="2"/>
    </row>
    <row r="34" spans="1:4" ht="12.75" customHeight="1" x14ac:dyDescent="0.2">
      <c r="A34" s="21"/>
      <c r="B34" s="3" t="s">
        <v>2</v>
      </c>
      <c r="C34" s="3" t="s">
        <v>1598</v>
      </c>
      <c r="D34" s="2"/>
    </row>
    <row r="35" spans="1:4" ht="12.75" customHeight="1" x14ac:dyDescent="0.2">
      <c r="A35" s="21"/>
      <c r="B35" s="3" t="s">
        <v>4</v>
      </c>
      <c r="C35" s="3" t="s">
        <v>40</v>
      </c>
      <c r="D35" s="2"/>
    </row>
    <row r="36" spans="1:4" ht="12.75" customHeight="1" x14ac:dyDescent="0.2">
      <c r="A36" s="21"/>
      <c r="B36" s="3" t="s">
        <v>6</v>
      </c>
      <c r="C36" s="3" t="s">
        <v>7</v>
      </c>
      <c r="D36" s="2"/>
    </row>
    <row r="37" spans="1:4" ht="12.75" customHeight="1" x14ac:dyDescent="0.2">
      <c r="A37" s="21"/>
      <c r="B37" s="3" t="s">
        <v>8</v>
      </c>
      <c r="C37" s="3" t="s">
        <v>40</v>
      </c>
      <c r="D37" s="2"/>
    </row>
    <row r="38" spans="1:4" ht="12.75" customHeight="1" x14ac:dyDescent="0.2">
      <c r="A38" s="21"/>
      <c r="B38" s="3" t="s">
        <v>9</v>
      </c>
      <c r="C38" s="3" t="s">
        <v>137</v>
      </c>
      <c r="D38" s="2"/>
    </row>
    <row r="39" spans="1:4" ht="12.75" customHeight="1" x14ac:dyDescent="0.2">
      <c r="A39" s="21"/>
      <c r="B39" s="3" t="s">
        <v>11</v>
      </c>
      <c r="C39" s="3" t="s">
        <v>154</v>
      </c>
      <c r="D39" s="2"/>
    </row>
    <row r="40" spans="1:4" ht="12.75" customHeight="1" x14ac:dyDescent="0.2">
      <c r="A40" s="21"/>
      <c r="B40" s="3" t="s">
        <v>13</v>
      </c>
      <c r="C40" s="3" t="s">
        <v>24</v>
      </c>
      <c r="D40" s="2"/>
    </row>
    <row r="41" spans="1:4" ht="12.75" customHeight="1" x14ac:dyDescent="0.2">
      <c r="A41" s="21"/>
      <c r="B41" s="3" t="s">
        <v>15</v>
      </c>
      <c r="C41" s="3" t="s">
        <v>14</v>
      </c>
      <c r="D41" s="2"/>
    </row>
    <row r="42" spans="1:4" ht="12.75" customHeight="1" x14ac:dyDescent="0.2">
      <c r="A42" s="21"/>
      <c r="B42" s="3" t="s">
        <v>16</v>
      </c>
      <c r="C42" s="3"/>
      <c r="D42" s="2"/>
    </row>
    <row r="43" spans="1:4" ht="12.75" customHeight="1" x14ac:dyDescent="0.2">
      <c r="A43" s="21"/>
      <c r="B43" s="3" t="s">
        <v>17</v>
      </c>
      <c r="C43" s="3"/>
      <c r="D43" s="2"/>
    </row>
    <row r="44" spans="1:4" ht="12.75" customHeight="1" x14ac:dyDescent="0.2">
      <c r="A44" s="21"/>
      <c r="B44" s="3" t="s">
        <v>18</v>
      </c>
      <c r="C44" s="4" t="s">
        <v>19</v>
      </c>
      <c r="D44" s="2"/>
    </row>
    <row r="45" spans="1:4" ht="12.75" customHeight="1" x14ac:dyDescent="0.2">
      <c r="A45" s="5"/>
      <c r="B45" s="2"/>
      <c r="C45" s="2"/>
      <c r="D45" s="2"/>
    </row>
    <row r="46" spans="1:4" ht="12.75" customHeight="1" x14ac:dyDescent="0.2">
      <c r="A46" s="22" t="str">
        <f>HYPERLINK("javascript:void(0)","3 élű kard")</f>
        <v>3 élű kard</v>
      </c>
      <c r="B46" s="21"/>
      <c r="C46" s="21"/>
      <c r="D46" s="2"/>
    </row>
    <row r="47" spans="1:4" ht="12.75" customHeight="1" x14ac:dyDescent="0.2">
      <c r="A47" s="20"/>
      <c r="B47" s="2"/>
      <c r="C47" s="2"/>
      <c r="D47" s="2"/>
    </row>
    <row r="48" spans="1:4" ht="12.75" customHeight="1" x14ac:dyDescent="0.2">
      <c r="A48" s="21"/>
      <c r="B48" s="3" t="s">
        <v>0</v>
      </c>
      <c r="C48" s="3" t="s">
        <v>25</v>
      </c>
      <c r="D48" s="2"/>
    </row>
    <row r="49" spans="1:4" ht="12.75" customHeight="1" x14ac:dyDescent="0.2">
      <c r="A49" s="21"/>
      <c r="B49" s="3" t="s">
        <v>2</v>
      </c>
      <c r="C49" s="3" t="s">
        <v>1598</v>
      </c>
      <c r="D49" s="2"/>
    </row>
    <row r="50" spans="1:4" ht="12.75" customHeight="1" x14ac:dyDescent="0.2">
      <c r="A50" s="21"/>
      <c r="B50" s="3" t="s">
        <v>4</v>
      </c>
      <c r="C50" s="3" t="s">
        <v>48</v>
      </c>
      <c r="D50" s="2"/>
    </row>
    <row r="51" spans="1:4" ht="12.75" customHeight="1" x14ac:dyDescent="0.2">
      <c r="A51" s="21"/>
      <c r="B51" s="3" t="s">
        <v>6</v>
      </c>
      <c r="C51" s="3" t="s">
        <v>40</v>
      </c>
      <c r="D51" s="2"/>
    </row>
    <row r="52" spans="1:4" ht="12.75" customHeight="1" x14ac:dyDescent="0.2">
      <c r="A52" s="21"/>
      <c r="B52" s="3" t="s">
        <v>8</v>
      </c>
      <c r="C52" s="3" t="s">
        <v>48</v>
      </c>
      <c r="D52" s="2"/>
    </row>
    <row r="53" spans="1:4" ht="12.75" customHeight="1" x14ac:dyDescent="0.2">
      <c r="A53" s="21"/>
      <c r="B53" s="3" t="s">
        <v>9</v>
      </c>
      <c r="C53" s="3" t="s">
        <v>210</v>
      </c>
      <c r="D53" s="2"/>
    </row>
    <row r="54" spans="1:4" ht="12.75" customHeight="1" x14ac:dyDescent="0.2">
      <c r="A54" s="21"/>
      <c r="B54" s="3" t="s">
        <v>11</v>
      </c>
      <c r="C54" s="3" t="s">
        <v>1602</v>
      </c>
      <c r="D54" s="2"/>
    </row>
    <row r="55" spans="1:4" ht="12.75" customHeight="1" x14ac:dyDescent="0.2">
      <c r="A55" s="21"/>
      <c r="B55" s="3" t="s">
        <v>13</v>
      </c>
      <c r="C55" s="3" t="s">
        <v>14</v>
      </c>
      <c r="D55" s="2"/>
    </row>
    <row r="56" spans="1:4" ht="12.75" customHeight="1" x14ac:dyDescent="0.2">
      <c r="A56" s="21"/>
      <c r="B56" s="3" t="s">
        <v>15</v>
      </c>
      <c r="C56" s="3" t="s">
        <v>14</v>
      </c>
      <c r="D56" s="2"/>
    </row>
    <row r="57" spans="1:4" ht="12.75" customHeight="1" x14ac:dyDescent="0.2">
      <c r="A57" s="21"/>
      <c r="B57" s="3" t="s">
        <v>16</v>
      </c>
      <c r="C57" s="3"/>
      <c r="D57" s="2"/>
    </row>
    <row r="58" spans="1:4" ht="12.75" customHeight="1" x14ac:dyDescent="0.2">
      <c r="A58" s="21"/>
      <c r="B58" s="3" t="s">
        <v>17</v>
      </c>
      <c r="C58" s="3"/>
      <c r="D58" s="2"/>
    </row>
    <row r="59" spans="1:4" ht="12.75" customHeight="1" x14ac:dyDescent="0.2">
      <c r="A59" s="21"/>
      <c r="B59" s="3" t="s">
        <v>18</v>
      </c>
      <c r="C59" s="4" t="s">
        <v>19</v>
      </c>
      <c r="D59" s="2"/>
    </row>
    <row r="60" spans="1:4" ht="12.75" customHeight="1" x14ac:dyDescent="0.2">
      <c r="A60" s="5"/>
      <c r="B60" s="2"/>
      <c r="C60" s="2"/>
      <c r="D60" s="2"/>
    </row>
    <row r="61" spans="1:4" ht="12.75" customHeight="1" x14ac:dyDescent="0.2">
      <c r="A61" s="22" t="str">
        <f>HYPERLINK("javascript:void(0)","varázsfogpiszkáló")</f>
        <v>varázsfogpiszkáló</v>
      </c>
      <c r="B61" s="21"/>
      <c r="C61" s="21"/>
      <c r="D61" s="21"/>
    </row>
    <row r="62" spans="1:4" ht="12.75" customHeight="1" x14ac:dyDescent="0.2">
      <c r="A62" s="20"/>
      <c r="B62" s="2"/>
      <c r="C62" s="2"/>
      <c r="D62" s="2"/>
    </row>
    <row r="63" spans="1:4" ht="12.75" customHeight="1" x14ac:dyDescent="0.2">
      <c r="A63" s="21"/>
      <c r="B63" s="3" t="s">
        <v>0</v>
      </c>
      <c r="C63" s="20" t="s">
        <v>25</v>
      </c>
      <c r="D63" s="21"/>
    </row>
    <row r="64" spans="1:4" ht="12.75" customHeight="1" x14ac:dyDescent="0.2">
      <c r="A64" s="21"/>
      <c r="B64" s="3" t="s">
        <v>2</v>
      </c>
      <c r="C64" s="20" t="s">
        <v>1598</v>
      </c>
      <c r="D64" s="21"/>
    </row>
    <row r="65" spans="1:4" ht="12.75" customHeight="1" x14ac:dyDescent="0.2">
      <c r="A65" s="21"/>
      <c r="B65" s="3" t="s">
        <v>4</v>
      </c>
      <c r="C65" s="20" t="s">
        <v>7</v>
      </c>
      <c r="D65" s="21"/>
    </row>
    <row r="66" spans="1:4" ht="12.75" customHeight="1" x14ac:dyDescent="0.2">
      <c r="A66" s="21"/>
      <c r="B66" s="3" t="s">
        <v>6</v>
      </c>
      <c r="C66" s="20" t="s">
        <v>1</v>
      </c>
      <c r="D66" s="21"/>
    </row>
    <row r="67" spans="1:4" ht="12.75" customHeight="1" x14ac:dyDescent="0.2">
      <c r="A67" s="21"/>
      <c r="B67" s="3" t="s">
        <v>8</v>
      </c>
      <c r="C67" s="20" t="s">
        <v>7</v>
      </c>
      <c r="D67" s="21"/>
    </row>
    <row r="68" spans="1:4" ht="12.75" customHeight="1" x14ac:dyDescent="0.2">
      <c r="A68" s="21"/>
      <c r="B68" s="3" t="s">
        <v>9</v>
      </c>
      <c r="C68" s="20" t="s">
        <v>22</v>
      </c>
      <c r="D68" s="21"/>
    </row>
    <row r="69" spans="1:4" ht="12.75" customHeight="1" x14ac:dyDescent="0.2">
      <c r="A69" s="21"/>
      <c r="B69" s="3" t="s">
        <v>11</v>
      </c>
      <c r="C69" s="20" t="s">
        <v>1606</v>
      </c>
      <c r="D69" s="21"/>
    </row>
    <row r="70" spans="1:4" ht="12.75" customHeight="1" x14ac:dyDescent="0.2">
      <c r="A70" s="21"/>
      <c r="B70" s="3" t="s">
        <v>13</v>
      </c>
      <c r="C70" s="20" t="s">
        <v>24</v>
      </c>
      <c r="D70" s="21"/>
    </row>
    <row r="71" spans="1:4" ht="12.75" customHeight="1" x14ac:dyDescent="0.2">
      <c r="A71" s="21"/>
      <c r="B71" s="3" t="s">
        <v>15</v>
      </c>
      <c r="C71" s="20" t="s">
        <v>24</v>
      </c>
      <c r="D71" s="21"/>
    </row>
    <row r="72" spans="1:4" ht="12.75" customHeight="1" x14ac:dyDescent="0.2">
      <c r="A72" s="21"/>
      <c r="B72" s="3" t="s">
        <v>16</v>
      </c>
      <c r="C72" s="20"/>
      <c r="D72" s="21"/>
    </row>
    <row r="73" spans="1:4" ht="12.75" customHeight="1" x14ac:dyDescent="0.2">
      <c r="A73" s="21"/>
      <c r="B73" s="3" t="s">
        <v>17</v>
      </c>
      <c r="C73" s="20"/>
      <c r="D73" s="21"/>
    </row>
    <row r="74" spans="1:4" ht="12.75" customHeight="1" x14ac:dyDescent="0.2">
      <c r="A74" s="21"/>
      <c r="B74" s="20" t="s">
        <v>18</v>
      </c>
      <c r="C74" s="4" t="s">
        <v>44</v>
      </c>
      <c r="D74" s="6" t="str">
        <f>HYPERLINK("javascript:void(0)","halcsont")</f>
        <v>halcsont</v>
      </c>
    </row>
    <row r="75" spans="1:4" ht="12.75" customHeight="1" x14ac:dyDescent="0.2">
      <c r="A75" s="21"/>
      <c r="B75" s="21"/>
      <c r="C75" s="4" t="s">
        <v>44</v>
      </c>
      <c r="D75" s="6" t="str">
        <f>HYPERLINK("javascript:void(0)","savkristály")</f>
        <v>savkristály</v>
      </c>
    </row>
    <row r="76" spans="1:4" ht="12.75" customHeight="1" x14ac:dyDescent="0.2">
      <c r="A76" s="21"/>
      <c r="B76" s="21"/>
      <c r="C76" s="4" t="s">
        <v>44</v>
      </c>
      <c r="D76" s="6" t="str">
        <f>HYPERLINK("javascript:void(0)","varázsszálka")</f>
        <v>varázsszálka</v>
      </c>
    </row>
    <row r="77" spans="1:4" ht="12.75" customHeight="1" x14ac:dyDescent="0.2">
      <c r="A77" s="5"/>
      <c r="B77" s="2"/>
      <c r="C77" s="2"/>
      <c r="D77" s="2"/>
    </row>
    <row r="78" spans="1:4" ht="12.75" customHeight="1" x14ac:dyDescent="0.2">
      <c r="A78" s="22" t="str">
        <f>HYPERLINK("javascript:void(0)","Parciló kelyhe")</f>
        <v>Parciló kelyhe</v>
      </c>
      <c r="B78" s="21"/>
      <c r="C78" s="21"/>
      <c r="D78" s="21"/>
    </row>
    <row r="79" spans="1:4" ht="12.75" customHeight="1" x14ac:dyDescent="0.2">
      <c r="A79" s="20"/>
      <c r="B79" s="2"/>
      <c r="C79" s="2"/>
      <c r="D79" s="2"/>
    </row>
    <row r="80" spans="1:4" ht="12.75" customHeight="1" x14ac:dyDescent="0.2">
      <c r="A80" s="21"/>
      <c r="B80" s="3" t="s">
        <v>0</v>
      </c>
      <c r="C80" s="20" t="s">
        <v>25</v>
      </c>
      <c r="D80" s="21"/>
    </row>
    <row r="81" spans="1:4" ht="12.75" customHeight="1" x14ac:dyDescent="0.2">
      <c r="A81" s="21"/>
      <c r="B81" s="3" t="s">
        <v>2</v>
      </c>
      <c r="C81" s="20" t="s">
        <v>1598</v>
      </c>
      <c r="D81" s="21"/>
    </row>
    <row r="82" spans="1:4" ht="12.75" customHeight="1" x14ac:dyDescent="0.2">
      <c r="A82" s="21"/>
      <c r="B82" s="3" t="s">
        <v>4</v>
      </c>
      <c r="C82" s="20" t="s">
        <v>115</v>
      </c>
      <c r="D82" s="21"/>
    </row>
    <row r="83" spans="1:4" ht="12.75" customHeight="1" x14ac:dyDescent="0.2">
      <c r="A83" s="21"/>
      <c r="B83" s="3" t="s">
        <v>6</v>
      </c>
      <c r="C83" s="20" t="s">
        <v>48</v>
      </c>
      <c r="D83" s="21"/>
    </row>
    <row r="84" spans="1:4" ht="12.75" customHeight="1" x14ac:dyDescent="0.2">
      <c r="A84" s="21"/>
      <c r="B84" s="3" t="s">
        <v>8</v>
      </c>
      <c r="C84" s="20" t="s">
        <v>115</v>
      </c>
      <c r="D84" s="21"/>
    </row>
    <row r="85" spans="1:4" ht="12.75" customHeight="1" x14ac:dyDescent="0.2">
      <c r="A85" s="21"/>
      <c r="B85" s="3" t="s">
        <v>9</v>
      </c>
      <c r="C85" s="20" t="s">
        <v>129</v>
      </c>
      <c r="D85" s="21"/>
    </row>
    <row r="86" spans="1:4" ht="12.75" customHeight="1" x14ac:dyDescent="0.2">
      <c r="A86" s="21"/>
      <c r="B86" s="3" t="s">
        <v>11</v>
      </c>
      <c r="C86" s="20" t="s">
        <v>23</v>
      </c>
      <c r="D86" s="21"/>
    </row>
    <row r="87" spans="1:4" ht="12.75" customHeight="1" x14ac:dyDescent="0.2">
      <c r="A87" s="21"/>
      <c r="B87" s="3" t="s">
        <v>13</v>
      </c>
      <c r="C87" s="20" t="s">
        <v>14</v>
      </c>
      <c r="D87" s="21"/>
    </row>
    <row r="88" spans="1:4" ht="12.75" customHeight="1" x14ac:dyDescent="0.2">
      <c r="A88" s="21"/>
      <c r="B88" s="3" t="s">
        <v>15</v>
      </c>
      <c r="C88" s="20" t="s">
        <v>24</v>
      </c>
      <c r="D88" s="21"/>
    </row>
    <row r="89" spans="1:4" ht="12.75" customHeight="1" x14ac:dyDescent="0.2">
      <c r="A89" s="21"/>
      <c r="B89" s="3" t="s">
        <v>16</v>
      </c>
      <c r="C89" s="20"/>
      <c r="D89" s="21"/>
    </row>
    <row r="90" spans="1:4" ht="12.75" customHeight="1" x14ac:dyDescent="0.2">
      <c r="A90" s="21"/>
      <c r="B90" s="3" t="s">
        <v>17</v>
      </c>
      <c r="C90" s="20"/>
      <c r="D90" s="21"/>
    </row>
    <row r="91" spans="1:4" ht="12.75" customHeight="1" x14ac:dyDescent="0.2">
      <c r="A91" s="21"/>
      <c r="B91" s="20" t="s">
        <v>18</v>
      </c>
      <c r="C91" s="4" t="s">
        <v>196</v>
      </c>
      <c r="D91" s="6" t="str">
        <f>HYPERLINK("javascript:void(0)","rubin gemma")</f>
        <v>rubin gemma</v>
      </c>
    </row>
    <row r="92" spans="1:4" ht="12.75" customHeight="1" x14ac:dyDescent="0.2">
      <c r="A92" s="21"/>
      <c r="B92" s="21"/>
      <c r="C92" s="4" t="s">
        <v>56</v>
      </c>
      <c r="D92" s="6" t="str">
        <f>HYPERLINK("javascript:void(0)","ezüst kígyó")</f>
        <v>ezüst kígyó</v>
      </c>
    </row>
    <row r="93" spans="1:4" ht="12.75" customHeight="1" x14ac:dyDescent="0.2">
      <c r="A93" s="21"/>
      <c r="B93" s="21"/>
      <c r="C93" s="4" t="s">
        <v>56</v>
      </c>
      <c r="D93" s="6" t="str">
        <f>HYPERLINK("javascript:void(0)","ezüsttál")</f>
        <v>ezüsttál</v>
      </c>
    </row>
    <row r="94" spans="1:4" ht="12.75" customHeight="1" x14ac:dyDescent="0.2">
      <c r="A94" s="5"/>
      <c r="B94" s="2"/>
      <c r="C94" s="2"/>
      <c r="D94" s="2"/>
    </row>
    <row r="95" spans="1:4" ht="12.75" customHeight="1" x14ac:dyDescent="0.2">
      <c r="A95" s="22" t="str">
        <f>HYPERLINK("javascript:void(0)","skivei tőr")</f>
        <v>skivei tőr</v>
      </c>
      <c r="B95" s="21"/>
      <c r="C95" s="21"/>
      <c r="D95" s="21"/>
    </row>
    <row r="96" spans="1:4" ht="12.75" customHeight="1" x14ac:dyDescent="0.2">
      <c r="A96" s="20"/>
      <c r="B96" s="2"/>
      <c r="C96" s="2"/>
      <c r="D96" s="2"/>
    </row>
    <row r="97" spans="1:4" ht="12.75" customHeight="1" x14ac:dyDescent="0.2">
      <c r="A97" s="21"/>
      <c r="B97" s="3" t="s">
        <v>0</v>
      </c>
      <c r="C97" s="20" t="s">
        <v>29</v>
      </c>
      <c r="D97" s="21"/>
    </row>
    <row r="98" spans="1:4" ht="12.75" customHeight="1" x14ac:dyDescent="0.2">
      <c r="A98" s="21"/>
      <c r="B98" s="3" t="s">
        <v>2</v>
      </c>
      <c r="C98" s="20" t="s">
        <v>1598</v>
      </c>
      <c r="D98" s="21"/>
    </row>
    <row r="99" spans="1:4" ht="12.75" customHeight="1" x14ac:dyDescent="0.2">
      <c r="A99" s="21"/>
      <c r="B99" s="3" t="s">
        <v>4</v>
      </c>
      <c r="C99" s="20" t="s">
        <v>64</v>
      </c>
      <c r="D99" s="21"/>
    </row>
    <row r="100" spans="1:4" ht="12.75" customHeight="1" x14ac:dyDescent="0.2">
      <c r="A100" s="21"/>
      <c r="B100" s="3" t="s">
        <v>6</v>
      </c>
      <c r="C100" s="20" t="s">
        <v>26</v>
      </c>
      <c r="D100" s="21"/>
    </row>
    <row r="101" spans="1:4" ht="12.75" customHeight="1" x14ac:dyDescent="0.2">
      <c r="A101" s="21"/>
      <c r="B101" s="3" t="s">
        <v>8</v>
      </c>
      <c r="C101" s="20" t="s">
        <v>64</v>
      </c>
      <c r="D101" s="21"/>
    </row>
    <row r="102" spans="1:4" ht="12.75" customHeight="1" x14ac:dyDescent="0.2">
      <c r="A102" s="21"/>
      <c r="B102" s="3" t="s">
        <v>9</v>
      </c>
      <c r="C102" s="20" t="s">
        <v>10</v>
      </c>
      <c r="D102" s="21"/>
    </row>
    <row r="103" spans="1:4" ht="12.75" customHeight="1" x14ac:dyDescent="0.2">
      <c r="A103" s="21"/>
      <c r="B103" s="3" t="s">
        <v>11</v>
      </c>
      <c r="C103" s="20" t="s">
        <v>1615</v>
      </c>
      <c r="D103" s="21"/>
    </row>
    <row r="104" spans="1:4" ht="12.75" customHeight="1" x14ac:dyDescent="0.2">
      <c r="A104" s="21"/>
      <c r="B104" s="3" t="s">
        <v>13</v>
      </c>
      <c r="C104" s="20" t="s">
        <v>24</v>
      </c>
      <c r="D104" s="21"/>
    </row>
    <row r="105" spans="1:4" ht="12.75" customHeight="1" x14ac:dyDescent="0.2">
      <c r="A105" s="21"/>
      <c r="B105" s="3" t="s">
        <v>15</v>
      </c>
      <c r="C105" s="20" t="s">
        <v>14</v>
      </c>
      <c r="D105" s="21"/>
    </row>
    <row r="106" spans="1:4" ht="12.75" customHeight="1" x14ac:dyDescent="0.2">
      <c r="A106" s="21"/>
      <c r="B106" s="3" t="s">
        <v>16</v>
      </c>
      <c r="C106" s="20"/>
      <c r="D106" s="21"/>
    </row>
    <row r="107" spans="1:4" ht="12.75" customHeight="1" x14ac:dyDescent="0.2">
      <c r="A107" s="21"/>
      <c r="B107" s="3" t="s">
        <v>17</v>
      </c>
      <c r="C107" s="20"/>
      <c r="D107" s="21"/>
    </row>
    <row r="108" spans="1:4" ht="12.75" customHeight="1" x14ac:dyDescent="0.2">
      <c r="A108" s="21"/>
      <c r="B108" s="20" t="s">
        <v>18</v>
      </c>
      <c r="C108" s="4" t="s">
        <v>44</v>
      </c>
      <c r="D108" s="6" t="str">
        <f>HYPERLINK("javascript:void(0)","kithrill")</f>
        <v>kithrill</v>
      </c>
    </row>
    <row r="109" spans="1:4" ht="12.75" customHeight="1" x14ac:dyDescent="0.2">
      <c r="A109" s="21"/>
      <c r="B109" s="21"/>
      <c r="C109" s="4" t="s">
        <v>44</v>
      </c>
      <c r="D109" s="6" t="str">
        <f>HYPERLINK("javascript:void(0)","csonttőr")</f>
        <v>csonttőr</v>
      </c>
    </row>
    <row r="110" spans="1:4" ht="12.75" customHeight="1" x14ac:dyDescent="0.2">
      <c r="A110" s="21"/>
      <c r="B110" s="21"/>
      <c r="C110" s="4" t="s">
        <v>188</v>
      </c>
      <c r="D110" s="6" t="str">
        <f>HYPERLINK("javascript:void(0)","ezüst")</f>
        <v>ezüst</v>
      </c>
    </row>
    <row r="111" spans="1:4" ht="12.75" customHeight="1" x14ac:dyDescent="0.2">
      <c r="A111" s="5"/>
      <c r="B111" s="2"/>
      <c r="C111" s="2"/>
      <c r="D111" s="2"/>
    </row>
    <row r="112" spans="1:4" ht="12.75" customHeight="1" x14ac:dyDescent="0.2">
      <c r="A112" s="22" t="str">
        <f>HYPERLINK("javascript:void(0)","kasza")</f>
        <v>kasza</v>
      </c>
      <c r="B112" s="21"/>
      <c r="C112" s="21"/>
      <c r="D112" s="2"/>
    </row>
    <row r="113" spans="1:4" ht="12.75" customHeight="1" x14ac:dyDescent="0.2">
      <c r="A113" s="20"/>
      <c r="B113" s="2"/>
      <c r="C113" s="2"/>
      <c r="D113" s="2"/>
    </row>
    <row r="114" spans="1:4" ht="12.75" customHeight="1" x14ac:dyDescent="0.2">
      <c r="A114" s="21"/>
      <c r="B114" s="3" t="s">
        <v>0</v>
      </c>
      <c r="C114" s="3" t="s">
        <v>7</v>
      </c>
      <c r="D114" s="2"/>
    </row>
    <row r="115" spans="1:4" ht="12.75" customHeight="1" x14ac:dyDescent="0.2">
      <c r="A115" s="21"/>
      <c r="B115" s="3" t="s">
        <v>2</v>
      </c>
      <c r="C115" s="3" t="s">
        <v>1598</v>
      </c>
      <c r="D115" s="2"/>
    </row>
    <row r="116" spans="1:4" ht="12.75" customHeight="1" x14ac:dyDescent="0.2">
      <c r="A116" s="21"/>
      <c r="B116" s="3" t="s">
        <v>4</v>
      </c>
      <c r="C116" s="3" t="s">
        <v>155</v>
      </c>
      <c r="D116" s="2"/>
    </row>
    <row r="117" spans="1:4" ht="12.75" customHeight="1" x14ac:dyDescent="0.2">
      <c r="A117" s="21"/>
      <c r="B117" s="3" t="s">
        <v>6</v>
      </c>
      <c r="C117" s="3" t="s">
        <v>64</v>
      </c>
      <c r="D117" s="2"/>
    </row>
    <row r="118" spans="1:4" ht="12.75" customHeight="1" x14ac:dyDescent="0.2">
      <c r="A118" s="21"/>
      <c r="B118" s="3" t="s">
        <v>8</v>
      </c>
      <c r="C118" s="3" t="s">
        <v>155</v>
      </c>
      <c r="D118" s="2"/>
    </row>
    <row r="119" spans="1:4" ht="12.75" customHeight="1" x14ac:dyDescent="0.2">
      <c r="A119" s="21"/>
      <c r="B119" s="3" t="s">
        <v>9</v>
      </c>
      <c r="C119" s="3" t="s">
        <v>1617</v>
      </c>
      <c r="D119" s="2"/>
    </row>
    <row r="120" spans="1:4" ht="12.75" customHeight="1" x14ac:dyDescent="0.2">
      <c r="A120" s="21"/>
      <c r="B120" s="3" t="s">
        <v>11</v>
      </c>
      <c r="C120" s="3" t="s">
        <v>141</v>
      </c>
      <c r="D120" s="2"/>
    </row>
    <row r="121" spans="1:4" ht="12.75" customHeight="1" x14ac:dyDescent="0.2">
      <c r="A121" s="21"/>
      <c r="B121" s="3" t="s">
        <v>13</v>
      </c>
      <c r="C121" s="3" t="s">
        <v>14</v>
      </c>
      <c r="D121" s="2"/>
    </row>
    <row r="122" spans="1:4" ht="12.75" customHeight="1" x14ac:dyDescent="0.2">
      <c r="A122" s="21"/>
      <c r="B122" s="3" t="s">
        <v>15</v>
      </c>
      <c r="C122" s="3" t="s">
        <v>14</v>
      </c>
      <c r="D122" s="2"/>
    </row>
    <row r="123" spans="1:4" ht="12.75" customHeight="1" x14ac:dyDescent="0.2">
      <c r="A123" s="21"/>
      <c r="B123" s="3" t="s">
        <v>16</v>
      </c>
      <c r="C123" s="3"/>
      <c r="D123" s="2"/>
    </row>
    <row r="124" spans="1:4" ht="12.75" customHeight="1" x14ac:dyDescent="0.2">
      <c r="A124" s="21"/>
      <c r="B124" s="3" t="s">
        <v>17</v>
      </c>
      <c r="C124" s="3"/>
      <c r="D124" s="2"/>
    </row>
    <row r="125" spans="1:4" ht="12.75" customHeight="1" x14ac:dyDescent="0.2">
      <c r="A125" s="21"/>
      <c r="B125" s="3" t="s">
        <v>18</v>
      </c>
      <c r="C125" s="4" t="s">
        <v>19</v>
      </c>
      <c r="D125" s="2"/>
    </row>
    <row r="126" spans="1:4" ht="12.75" customHeight="1" x14ac:dyDescent="0.2">
      <c r="A126" s="5"/>
      <c r="B126" s="2"/>
      <c r="C126" s="2"/>
      <c r="D126" s="2"/>
    </row>
    <row r="127" spans="1:4" ht="12.75" customHeight="1" x14ac:dyDescent="0.2">
      <c r="A127" s="22" t="str">
        <f>HYPERLINK("javascript:void(0)","bárd")</f>
        <v>bárd</v>
      </c>
      <c r="B127" s="21"/>
      <c r="C127" s="21"/>
      <c r="D127" s="2"/>
    </row>
    <row r="128" spans="1:4" ht="12.75" customHeight="1" x14ac:dyDescent="0.2">
      <c r="A128" s="20"/>
      <c r="B128" s="2"/>
      <c r="C128" s="2"/>
      <c r="D128" s="2"/>
    </row>
    <row r="129" spans="1:4" ht="12.75" customHeight="1" x14ac:dyDescent="0.2">
      <c r="A129" s="21"/>
      <c r="B129" s="3" t="s">
        <v>0</v>
      </c>
      <c r="C129" s="3" t="s">
        <v>7</v>
      </c>
      <c r="D129" s="2"/>
    </row>
    <row r="130" spans="1:4" ht="12.75" customHeight="1" x14ac:dyDescent="0.2">
      <c r="A130" s="21"/>
      <c r="B130" s="3" t="s">
        <v>2</v>
      </c>
      <c r="C130" s="3" t="s">
        <v>1598</v>
      </c>
      <c r="D130" s="2"/>
    </row>
    <row r="131" spans="1:4" ht="12.75" customHeight="1" x14ac:dyDescent="0.2">
      <c r="A131" s="21"/>
      <c r="B131" s="3" t="s">
        <v>4</v>
      </c>
      <c r="C131" s="3" t="s">
        <v>159</v>
      </c>
      <c r="D131" s="2"/>
    </row>
    <row r="132" spans="1:4" ht="12.75" customHeight="1" x14ac:dyDescent="0.2">
      <c r="A132" s="21"/>
      <c r="B132" s="3" t="s">
        <v>6</v>
      </c>
      <c r="C132" s="3" t="s">
        <v>82</v>
      </c>
      <c r="D132" s="2"/>
    </row>
    <row r="133" spans="1:4" ht="12.75" customHeight="1" x14ac:dyDescent="0.2">
      <c r="A133" s="21"/>
      <c r="B133" s="3" t="s">
        <v>8</v>
      </c>
      <c r="C133" s="3" t="s">
        <v>159</v>
      </c>
      <c r="D133" s="2"/>
    </row>
    <row r="134" spans="1:4" ht="12.75" customHeight="1" x14ac:dyDescent="0.2">
      <c r="A134" s="21"/>
      <c r="B134" s="3" t="s">
        <v>9</v>
      </c>
      <c r="C134" s="3" t="s">
        <v>249</v>
      </c>
      <c r="D134" s="2"/>
    </row>
    <row r="135" spans="1:4" ht="12.75" customHeight="1" x14ac:dyDescent="0.2">
      <c r="A135" s="21"/>
      <c r="B135" s="3" t="s">
        <v>11</v>
      </c>
      <c r="C135" s="3" t="s">
        <v>154</v>
      </c>
      <c r="D135" s="2"/>
    </row>
    <row r="136" spans="1:4" ht="12.75" customHeight="1" x14ac:dyDescent="0.2">
      <c r="A136" s="21"/>
      <c r="B136" s="3" t="s">
        <v>13</v>
      </c>
      <c r="C136" s="3" t="s">
        <v>14</v>
      </c>
      <c r="D136" s="2"/>
    </row>
    <row r="137" spans="1:4" ht="12.75" customHeight="1" x14ac:dyDescent="0.2">
      <c r="A137" s="21"/>
      <c r="B137" s="3" t="s">
        <v>15</v>
      </c>
      <c r="C137" s="3" t="s">
        <v>14</v>
      </c>
      <c r="D137" s="2"/>
    </row>
    <row r="138" spans="1:4" ht="12.75" customHeight="1" x14ac:dyDescent="0.2">
      <c r="A138" s="21"/>
      <c r="B138" s="3" t="s">
        <v>16</v>
      </c>
      <c r="C138" s="3"/>
      <c r="D138" s="2"/>
    </row>
    <row r="139" spans="1:4" ht="12.75" customHeight="1" x14ac:dyDescent="0.2">
      <c r="A139" s="21"/>
      <c r="B139" s="3" t="s">
        <v>17</v>
      </c>
      <c r="C139" s="3"/>
      <c r="D139" s="2"/>
    </row>
    <row r="140" spans="1:4" ht="12.75" customHeight="1" x14ac:dyDescent="0.2">
      <c r="A140" s="21"/>
      <c r="B140" s="3" t="s">
        <v>18</v>
      </c>
      <c r="C140" s="4" t="s">
        <v>19</v>
      </c>
      <c r="D140" s="2"/>
    </row>
    <row r="141" spans="1:4" ht="12.75" customHeight="1" x14ac:dyDescent="0.2">
      <c r="A141" s="5"/>
      <c r="B141" s="2"/>
      <c r="C141" s="2"/>
      <c r="D141" s="2"/>
    </row>
    <row r="142" spans="1:4" ht="12.75" customHeight="1" x14ac:dyDescent="0.2">
      <c r="A142" s="22" t="str">
        <f>HYPERLINK("javascript:void(0)","atomantium tőr")</f>
        <v>atomantium tőr</v>
      </c>
      <c r="B142" s="21"/>
      <c r="C142" s="21"/>
      <c r="D142" s="2"/>
    </row>
    <row r="143" spans="1:4" ht="12.75" customHeight="1" x14ac:dyDescent="0.2">
      <c r="A143" s="20"/>
      <c r="B143" s="2"/>
      <c r="C143" s="2"/>
      <c r="D143" s="2"/>
    </row>
    <row r="144" spans="1:4" ht="12.75" customHeight="1" x14ac:dyDescent="0.2">
      <c r="A144" s="21"/>
      <c r="B144" s="3" t="s">
        <v>0</v>
      </c>
      <c r="C144" s="3" t="s">
        <v>123</v>
      </c>
      <c r="D144" s="2"/>
    </row>
    <row r="145" spans="1:4" ht="12.75" customHeight="1" x14ac:dyDescent="0.2">
      <c r="A145" s="21"/>
      <c r="B145" s="3" t="s">
        <v>2</v>
      </c>
      <c r="C145" s="3" t="s">
        <v>1598</v>
      </c>
      <c r="D145" s="2"/>
    </row>
    <row r="146" spans="1:4" ht="12.75" customHeight="1" x14ac:dyDescent="0.2">
      <c r="A146" s="21"/>
      <c r="B146" s="3" t="s">
        <v>4</v>
      </c>
      <c r="C146" s="3" t="s">
        <v>100</v>
      </c>
      <c r="D146" s="2"/>
    </row>
    <row r="147" spans="1:4" ht="12.75" customHeight="1" x14ac:dyDescent="0.2">
      <c r="A147" s="21"/>
      <c r="B147" s="3" t="s">
        <v>6</v>
      </c>
      <c r="C147" s="3" t="s">
        <v>25</v>
      </c>
      <c r="D147" s="2"/>
    </row>
    <row r="148" spans="1:4" ht="12.75" customHeight="1" x14ac:dyDescent="0.2">
      <c r="A148" s="21"/>
      <c r="B148" s="3" t="s">
        <v>8</v>
      </c>
      <c r="C148" s="3" t="s">
        <v>100</v>
      </c>
      <c r="D148" s="2"/>
    </row>
    <row r="149" spans="1:4" ht="12.75" customHeight="1" x14ac:dyDescent="0.2">
      <c r="A149" s="21"/>
      <c r="B149" s="3" t="s">
        <v>9</v>
      </c>
      <c r="C149" s="3" t="s">
        <v>147</v>
      </c>
      <c r="D149" s="2"/>
    </row>
    <row r="150" spans="1:4" ht="12.75" customHeight="1" x14ac:dyDescent="0.2">
      <c r="A150" s="21"/>
      <c r="B150" s="3" t="s">
        <v>11</v>
      </c>
      <c r="C150" s="3" t="s">
        <v>695</v>
      </c>
      <c r="D150" s="2"/>
    </row>
    <row r="151" spans="1:4" ht="12.75" customHeight="1" x14ac:dyDescent="0.2">
      <c r="A151" s="21"/>
      <c r="B151" s="3" t="s">
        <v>13</v>
      </c>
      <c r="C151" s="3" t="s">
        <v>14</v>
      </c>
      <c r="D151" s="2"/>
    </row>
    <row r="152" spans="1:4" ht="12.75" customHeight="1" x14ac:dyDescent="0.2">
      <c r="A152" s="21"/>
      <c r="B152" s="3" t="s">
        <v>15</v>
      </c>
      <c r="C152" s="3" t="s">
        <v>24</v>
      </c>
      <c r="D152" s="2"/>
    </row>
    <row r="153" spans="1:4" ht="12.75" customHeight="1" x14ac:dyDescent="0.2">
      <c r="A153" s="21"/>
      <c r="B153" s="3" t="s">
        <v>16</v>
      </c>
      <c r="C153" s="3"/>
      <c r="D153" s="2"/>
    </row>
    <row r="154" spans="1:4" ht="12.75" customHeight="1" x14ac:dyDescent="0.2">
      <c r="A154" s="21"/>
      <c r="B154" s="3" t="s">
        <v>17</v>
      </c>
      <c r="C154" s="3"/>
      <c r="D154" s="2"/>
    </row>
    <row r="155" spans="1:4" ht="12.75" customHeight="1" x14ac:dyDescent="0.2">
      <c r="A155" s="21"/>
      <c r="B155" s="3" t="s">
        <v>18</v>
      </c>
      <c r="C155" s="4" t="s">
        <v>19</v>
      </c>
      <c r="D155" s="2"/>
    </row>
    <row r="156" spans="1:4" ht="12.75" customHeight="1" x14ac:dyDescent="0.2">
      <c r="A156" s="5"/>
      <c r="B156" s="2"/>
      <c r="C156" s="2"/>
      <c r="D156" s="2"/>
    </row>
    <row r="157" spans="1:4" ht="12.75" customHeight="1" x14ac:dyDescent="0.2">
      <c r="A157" s="22" t="str">
        <f>HYPERLINK("javascript:void(0)","bronzfejsze")</f>
        <v>bronzfejsze</v>
      </c>
      <c r="B157" s="21"/>
      <c r="C157" s="21"/>
      <c r="D157" s="21"/>
    </row>
    <row r="158" spans="1:4" ht="12.75" customHeight="1" x14ac:dyDescent="0.2">
      <c r="A158" s="20"/>
      <c r="B158" s="2"/>
      <c r="C158" s="2"/>
      <c r="D158" s="2"/>
    </row>
    <row r="159" spans="1:4" ht="12.75" customHeight="1" x14ac:dyDescent="0.2">
      <c r="A159" s="21"/>
      <c r="B159" s="3" t="s">
        <v>0</v>
      </c>
      <c r="C159" s="20" t="s">
        <v>123</v>
      </c>
      <c r="D159" s="21"/>
    </row>
    <row r="160" spans="1:4" ht="12.75" customHeight="1" x14ac:dyDescent="0.2">
      <c r="A160" s="21"/>
      <c r="B160" s="3" t="s">
        <v>2</v>
      </c>
      <c r="C160" s="20" t="s">
        <v>1598</v>
      </c>
      <c r="D160" s="21"/>
    </row>
    <row r="161" spans="1:4" ht="12.75" customHeight="1" x14ac:dyDescent="0.2">
      <c r="A161" s="21"/>
      <c r="B161" s="3" t="s">
        <v>4</v>
      </c>
      <c r="C161" s="20" t="s">
        <v>100</v>
      </c>
      <c r="D161" s="21"/>
    </row>
    <row r="162" spans="1:4" ht="12.75" customHeight="1" x14ac:dyDescent="0.2">
      <c r="A162" s="21"/>
      <c r="B162" s="3" t="s">
        <v>6</v>
      </c>
      <c r="C162" s="20" t="s">
        <v>5</v>
      </c>
      <c r="D162" s="21"/>
    </row>
    <row r="163" spans="1:4" ht="12.75" customHeight="1" x14ac:dyDescent="0.2">
      <c r="A163" s="21"/>
      <c r="B163" s="3" t="s">
        <v>8</v>
      </c>
      <c r="C163" s="20" t="s">
        <v>100</v>
      </c>
      <c r="D163" s="21"/>
    </row>
    <row r="164" spans="1:4" ht="12.75" customHeight="1" x14ac:dyDescent="0.2">
      <c r="A164" s="21"/>
      <c r="B164" s="3" t="s">
        <v>9</v>
      </c>
      <c r="C164" s="20" t="s">
        <v>61</v>
      </c>
      <c r="D164" s="21"/>
    </row>
    <row r="165" spans="1:4" ht="12.75" customHeight="1" x14ac:dyDescent="0.2">
      <c r="A165" s="21"/>
      <c r="B165" s="3" t="s">
        <v>11</v>
      </c>
      <c r="C165" s="20" t="s">
        <v>154</v>
      </c>
      <c r="D165" s="21"/>
    </row>
    <row r="166" spans="1:4" ht="12.75" customHeight="1" x14ac:dyDescent="0.2">
      <c r="A166" s="21"/>
      <c r="B166" s="3" t="s">
        <v>13</v>
      </c>
      <c r="C166" s="20" t="s">
        <v>14</v>
      </c>
      <c r="D166" s="21"/>
    </row>
    <row r="167" spans="1:4" ht="12.75" customHeight="1" x14ac:dyDescent="0.2">
      <c r="A167" s="21"/>
      <c r="B167" s="3" t="s">
        <v>15</v>
      </c>
      <c r="C167" s="20" t="s">
        <v>14</v>
      </c>
      <c r="D167" s="21"/>
    </row>
    <row r="168" spans="1:4" ht="12.75" customHeight="1" x14ac:dyDescent="0.2">
      <c r="A168" s="21"/>
      <c r="B168" s="3" t="s">
        <v>16</v>
      </c>
      <c r="C168" s="20"/>
      <c r="D168" s="21"/>
    </row>
    <row r="169" spans="1:4" ht="12.75" customHeight="1" x14ac:dyDescent="0.2">
      <c r="A169" s="21"/>
      <c r="B169" s="3" t="s">
        <v>17</v>
      </c>
      <c r="C169" s="20"/>
      <c r="D169" s="21"/>
    </row>
    <row r="170" spans="1:4" ht="12.75" customHeight="1" x14ac:dyDescent="0.2">
      <c r="A170" s="21"/>
      <c r="B170" s="20" t="s">
        <v>18</v>
      </c>
      <c r="C170" s="4" t="s">
        <v>44</v>
      </c>
      <c r="D170" s="6" t="str">
        <f>HYPERLINK("javascript:void(0)","fejsze")</f>
        <v>fejsze</v>
      </c>
    </row>
    <row r="171" spans="1:4" ht="12.75" customHeight="1" x14ac:dyDescent="0.2">
      <c r="A171" s="21"/>
      <c r="B171" s="21"/>
      <c r="C171" s="4" t="s">
        <v>55</v>
      </c>
      <c r="D171" s="6" t="str">
        <f>HYPERLINK("javascript:void(0)","rézérc")</f>
        <v>rézérc</v>
      </c>
    </row>
    <row r="172" spans="1:4" ht="12.75" customHeight="1" x14ac:dyDescent="0.2">
      <c r="A172" s="21"/>
      <c r="B172" s="21"/>
      <c r="C172" s="4" t="s">
        <v>77</v>
      </c>
      <c r="D172" s="6" t="str">
        <f>HYPERLINK("javascript:void(0)","óngolyó")</f>
        <v>óngolyó</v>
      </c>
    </row>
    <row r="173" spans="1:4" ht="12.75" customHeight="1" x14ac:dyDescent="0.2">
      <c r="A173" s="5"/>
      <c r="B173" s="2"/>
      <c r="C173" s="2"/>
      <c r="D173" s="2"/>
    </row>
    <row r="174" spans="1:4" ht="12.75" customHeight="1" x14ac:dyDescent="0.2">
      <c r="A174" s="22" t="str">
        <f>HYPERLINK("javascript:void(0)","rövid kard")</f>
        <v>rövid kard</v>
      </c>
      <c r="B174" s="21"/>
      <c r="C174" s="21"/>
      <c r="D174" s="2"/>
    </row>
    <row r="175" spans="1:4" ht="12.75" customHeight="1" x14ac:dyDescent="0.2">
      <c r="A175" s="20"/>
      <c r="B175" s="2"/>
      <c r="C175" s="2"/>
      <c r="D175" s="2"/>
    </row>
    <row r="176" spans="1:4" ht="12.75" customHeight="1" x14ac:dyDescent="0.2">
      <c r="A176" s="21"/>
      <c r="B176" s="3" t="s">
        <v>0</v>
      </c>
      <c r="C176" s="3" t="s">
        <v>26</v>
      </c>
      <c r="D176" s="2"/>
    </row>
    <row r="177" spans="1:4" ht="12.75" customHeight="1" x14ac:dyDescent="0.2">
      <c r="A177" s="21"/>
      <c r="B177" s="3" t="s">
        <v>2</v>
      </c>
      <c r="C177" s="3" t="s">
        <v>1598</v>
      </c>
      <c r="D177" s="2"/>
    </row>
    <row r="178" spans="1:4" ht="12.75" customHeight="1" x14ac:dyDescent="0.2">
      <c r="A178" s="21"/>
      <c r="B178" s="3" t="s">
        <v>4</v>
      </c>
      <c r="C178" s="3" t="s">
        <v>92</v>
      </c>
      <c r="D178" s="2"/>
    </row>
    <row r="179" spans="1:4" ht="12.75" customHeight="1" x14ac:dyDescent="0.2">
      <c r="A179" s="21"/>
      <c r="B179" s="3" t="s">
        <v>6</v>
      </c>
      <c r="C179" s="3" t="s">
        <v>29</v>
      </c>
      <c r="D179" s="2"/>
    </row>
    <row r="180" spans="1:4" ht="12.75" customHeight="1" x14ac:dyDescent="0.2">
      <c r="A180" s="21"/>
      <c r="B180" s="3" t="s">
        <v>8</v>
      </c>
      <c r="C180" s="3" t="s">
        <v>92</v>
      </c>
      <c r="D180" s="2"/>
    </row>
    <row r="181" spans="1:4" ht="12.75" customHeight="1" x14ac:dyDescent="0.2">
      <c r="A181" s="21"/>
      <c r="B181" s="3" t="s">
        <v>9</v>
      </c>
      <c r="C181" s="3" t="s">
        <v>42</v>
      </c>
      <c r="D181" s="2"/>
    </row>
    <row r="182" spans="1:4" ht="12.75" customHeight="1" x14ac:dyDescent="0.2">
      <c r="A182" s="21"/>
      <c r="B182" s="3" t="s">
        <v>11</v>
      </c>
      <c r="C182" s="3" t="s">
        <v>1629</v>
      </c>
      <c r="D182" s="2"/>
    </row>
    <row r="183" spans="1:4" ht="12.75" customHeight="1" x14ac:dyDescent="0.2">
      <c r="A183" s="21"/>
      <c r="B183" s="3" t="s">
        <v>13</v>
      </c>
      <c r="C183" s="3" t="s">
        <v>14</v>
      </c>
      <c r="D183" s="2"/>
    </row>
    <row r="184" spans="1:4" ht="12.75" customHeight="1" x14ac:dyDescent="0.2">
      <c r="A184" s="21"/>
      <c r="B184" s="3" t="s">
        <v>15</v>
      </c>
      <c r="C184" s="3" t="s">
        <v>14</v>
      </c>
      <c r="D184" s="2"/>
    </row>
    <row r="185" spans="1:4" ht="12.75" customHeight="1" x14ac:dyDescent="0.2">
      <c r="A185" s="21"/>
      <c r="B185" s="3" t="s">
        <v>16</v>
      </c>
      <c r="C185" s="3"/>
      <c r="D185" s="2"/>
    </row>
    <row r="186" spans="1:4" ht="12.75" customHeight="1" x14ac:dyDescent="0.2">
      <c r="A186" s="21"/>
      <c r="B186" s="3" t="s">
        <v>17</v>
      </c>
      <c r="C186" s="3"/>
      <c r="D186" s="2"/>
    </row>
    <row r="187" spans="1:4" ht="12.75" customHeight="1" x14ac:dyDescent="0.2">
      <c r="A187" s="21"/>
      <c r="B187" s="3" t="s">
        <v>18</v>
      </c>
      <c r="C187" s="4" t="s">
        <v>19</v>
      </c>
      <c r="D187" s="2"/>
    </row>
    <row r="188" spans="1:4" ht="12.75" customHeight="1" x14ac:dyDescent="0.2">
      <c r="A188" s="5"/>
      <c r="B188" s="2"/>
      <c r="C188" s="2"/>
      <c r="D188" s="2"/>
    </row>
    <row r="189" spans="1:4" ht="12.75" customHeight="1" x14ac:dyDescent="0.2">
      <c r="A189" s="22" t="str">
        <f>HYPERLINK("javascript:void(0)","kitinpenge")</f>
        <v>kitinpenge</v>
      </c>
      <c r="B189" s="21"/>
      <c r="C189" s="21"/>
      <c r="D189" s="2"/>
    </row>
    <row r="190" spans="1:4" ht="12.75" customHeight="1" x14ac:dyDescent="0.2">
      <c r="A190" s="20"/>
      <c r="B190" s="2"/>
      <c r="C190" s="2"/>
      <c r="D190" s="2"/>
    </row>
    <row r="191" spans="1:4" ht="12.75" customHeight="1" x14ac:dyDescent="0.2">
      <c r="A191" s="21"/>
      <c r="B191" s="3" t="s">
        <v>0</v>
      </c>
      <c r="C191" s="3" t="s">
        <v>26</v>
      </c>
      <c r="D191" s="2"/>
    </row>
    <row r="192" spans="1:4" ht="12.75" customHeight="1" x14ac:dyDescent="0.2">
      <c r="A192" s="21"/>
      <c r="B192" s="3" t="s">
        <v>2</v>
      </c>
      <c r="C192" s="3" t="s">
        <v>1598</v>
      </c>
      <c r="D192" s="2"/>
    </row>
    <row r="193" spans="1:4" ht="12.75" customHeight="1" x14ac:dyDescent="0.2">
      <c r="A193" s="21"/>
      <c r="B193" s="3" t="s">
        <v>4</v>
      </c>
      <c r="C193" s="3" t="s">
        <v>100</v>
      </c>
      <c r="D193" s="2"/>
    </row>
    <row r="194" spans="1:4" ht="12.75" customHeight="1" x14ac:dyDescent="0.2">
      <c r="A194" s="21"/>
      <c r="B194" s="3" t="s">
        <v>6</v>
      </c>
      <c r="C194" s="3" t="s">
        <v>5</v>
      </c>
      <c r="D194" s="2"/>
    </row>
    <row r="195" spans="1:4" ht="12.75" customHeight="1" x14ac:dyDescent="0.2">
      <c r="A195" s="21"/>
      <c r="B195" s="3" t="s">
        <v>8</v>
      </c>
      <c r="C195" s="3" t="s">
        <v>100</v>
      </c>
      <c r="D195" s="2"/>
    </row>
    <row r="196" spans="1:4" ht="12.75" customHeight="1" x14ac:dyDescent="0.2">
      <c r="A196" s="21"/>
      <c r="B196" s="3" t="s">
        <v>9</v>
      </c>
      <c r="C196" s="3" t="s">
        <v>22</v>
      </c>
      <c r="D196" s="2"/>
    </row>
    <row r="197" spans="1:4" ht="12.75" customHeight="1" x14ac:dyDescent="0.2">
      <c r="A197" s="21"/>
      <c r="B197" s="3" t="s">
        <v>11</v>
      </c>
      <c r="C197" s="3" t="s">
        <v>622</v>
      </c>
      <c r="D197" s="2"/>
    </row>
    <row r="198" spans="1:4" ht="12.75" customHeight="1" x14ac:dyDescent="0.2">
      <c r="A198" s="21"/>
      <c r="B198" s="3" t="s">
        <v>13</v>
      </c>
      <c r="C198" s="3" t="s">
        <v>14</v>
      </c>
      <c r="D198" s="2"/>
    </row>
    <row r="199" spans="1:4" ht="12.75" customHeight="1" x14ac:dyDescent="0.2">
      <c r="A199" s="21"/>
      <c r="B199" s="3" t="s">
        <v>15</v>
      </c>
      <c r="C199" s="3" t="s">
        <v>14</v>
      </c>
      <c r="D199" s="2"/>
    </row>
    <row r="200" spans="1:4" ht="12.75" customHeight="1" x14ac:dyDescent="0.2">
      <c r="A200" s="21"/>
      <c r="B200" s="3" t="s">
        <v>16</v>
      </c>
      <c r="C200" s="3"/>
      <c r="D200" s="2"/>
    </row>
    <row r="201" spans="1:4" ht="12.75" customHeight="1" x14ac:dyDescent="0.2">
      <c r="A201" s="21"/>
      <c r="B201" s="3" t="s">
        <v>17</v>
      </c>
      <c r="C201" s="3"/>
      <c r="D201" s="2"/>
    </row>
    <row r="202" spans="1:4" ht="12.75" customHeight="1" x14ac:dyDescent="0.2">
      <c r="A202" s="21"/>
      <c r="B202" s="3" t="s">
        <v>18</v>
      </c>
      <c r="C202" s="4" t="s">
        <v>19</v>
      </c>
      <c r="D202" s="2"/>
    </row>
    <row r="203" spans="1:4" ht="12.75" customHeight="1" x14ac:dyDescent="0.2">
      <c r="A203" s="5"/>
      <c r="B203" s="2"/>
      <c r="C203" s="2"/>
      <c r="D203" s="2"/>
    </row>
    <row r="204" spans="1:4" ht="12.75" customHeight="1" x14ac:dyDescent="0.2">
      <c r="A204" s="22" t="str">
        <f>HYPERLINK("javascript:void(0)","4 élű kard")</f>
        <v>4 élű kard</v>
      </c>
      <c r="B204" s="21"/>
      <c r="C204" s="21"/>
      <c r="D204" s="21"/>
    </row>
    <row r="205" spans="1:4" ht="12.75" customHeight="1" x14ac:dyDescent="0.2">
      <c r="A205" s="20"/>
      <c r="B205" s="2"/>
      <c r="C205" s="2"/>
      <c r="D205" s="2"/>
    </row>
    <row r="206" spans="1:4" ht="12.75" customHeight="1" x14ac:dyDescent="0.2">
      <c r="A206" s="21"/>
      <c r="B206" s="3" t="s">
        <v>0</v>
      </c>
      <c r="C206" s="20" t="s">
        <v>5</v>
      </c>
      <c r="D206" s="21"/>
    </row>
    <row r="207" spans="1:4" ht="12.75" customHeight="1" x14ac:dyDescent="0.2">
      <c r="A207" s="21"/>
      <c r="B207" s="3" t="s">
        <v>2</v>
      </c>
      <c r="C207" s="20" t="s">
        <v>1598</v>
      </c>
      <c r="D207" s="21"/>
    </row>
    <row r="208" spans="1:4" ht="12.75" customHeight="1" x14ac:dyDescent="0.2">
      <c r="A208" s="21"/>
      <c r="B208" s="3" t="s">
        <v>4</v>
      </c>
      <c r="C208" s="20" t="s">
        <v>221</v>
      </c>
      <c r="D208" s="21"/>
    </row>
    <row r="209" spans="1:4" ht="12.75" customHeight="1" x14ac:dyDescent="0.2">
      <c r="A209" s="21"/>
      <c r="B209" s="3" t="s">
        <v>6</v>
      </c>
      <c r="C209" s="20" t="s">
        <v>40</v>
      </c>
      <c r="D209" s="21"/>
    </row>
    <row r="210" spans="1:4" ht="12.75" customHeight="1" x14ac:dyDescent="0.2">
      <c r="A210" s="21"/>
      <c r="B210" s="3" t="s">
        <v>8</v>
      </c>
      <c r="C210" s="20" t="s">
        <v>221</v>
      </c>
      <c r="D210" s="21"/>
    </row>
    <row r="211" spans="1:4" ht="12.75" customHeight="1" x14ac:dyDescent="0.2">
      <c r="A211" s="21"/>
      <c r="B211" s="3" t="s">
        <v>9</v>
      </c>
      <c r="C211" s="20" t="s">
        <v>36</v>
      </c>
      <c r="D211" s="21"/>
    </row>
    <row r="212" spans="1:4" ht="12.75" customHeight="1" x14ac:dyDescent="0.2">
      <c r="A212" s="21"/>
      <c r="B212" s="3" t="s">
        <v>11</v>
      </c>
      <c r="C212" s="20" t="s">
        <v>1633</v>
      </c>
      <c r="D212" s="21"/>
    </row>
    <row r="213" spans="1:4" ht="12.75" customHeight="1" x14ac:dyDescent="0.2">
      <c r="A213" s="21"/>
      <c r="B213" s="3" t="s">
        <v>13</v>
      </c>
      <c r="C213" s="20" t="s">
        <v>14</v>
      </c>
      <c r="D213" s="21"/>
    </row>
    <row r="214" spans="1:4" ht="12.75" customHeight="1" x14ac:dyDescent="0.2">
      <c r="A214" s="21"/>
      <c r="B214" s="3" t="s">
        <v>15</v>
      </c>
      <c r="C214" s="20" t="s">
        <v>14</v>
      </c>
      <c r="D214" s="21"/>
    </row>
    <row r="215" spans="1:4" ht="12.75" customHeight="1" x14ac:dyDescent="0.2">
      <c r="A215" s="21"/>
      <c r="B215" s="3" t="s">
        <v>16</v>
      </c>
      <c r="C215" s="20"/>
      <c r="D215" s="21"/>
    </row>
    <row r="216" spans="1:4" ht="12.75" customHeight="1" x14ac:dyDescent="0.2">
      <c r="A216" s="21"/>
      <c r="B216" s="3" t="s">
        <v>17</v>
      </c>
      <c r="C216" s="20"/>
      <c r="D216" s="21"/>
    </row>
    <row r="217" spans="1:4" ht="12.75" customHeight="1" x14ac:dyDescent="0.2">
      <c r="A217" s="21"/>
      <c r="B217" s="20" t="s">
        <v>18</v>
      </c>
      <c r="C217" s="4" t="s">
        <v>44</v>
      </c>
      <c r="D217" s="6" t="str">
        <f>HYPERLINK("javascript:void(0)","3 élű kard")</f>
        <v>3 élű kard</v>
      </c>
    </row>
    <row r="218" spans="1:4" ht="12.75" customHeight="1" x14ac:dyDescent="0.2">
      <c r="A218" s="21"/>
      <c r="B218" s="21"/>
      <c r="C218" s="4" t="s">
        <v>77</v>
      </c>
      <c r="D218" s="6" t="str">
        <f>HYPERLINK("javascript:void(0)","ezüst patkó")</f>
        <v>ezüst patkó</v>
      </c>
    </row>
    <row r="219" spans="1:4" ht="12.75" customHeight="1" x14ac:dyDescent="0.2">
      <c r="A219" s="21"/>
      <c r="B219" s="21"/>
      <c r="C219" s="4" t="s">
        <v>44</v>
      </c>
      <c r="D219" s="6" t="str">
        <f>HYPERLINK("javascript:void(0)","kitinpenge")</f>
        <v>kitinpenge</v>
      </c>
    </row>
    <row r="220" spans="1:4" ht="12.75" customHeight="1" x14ac:dyDescent="0.2">
      <c r="A220" s="5"/>
      <c r="B220" s="2"/>
      <c r="C220" s="2"/>
      <c r="D220" s="2"/>
    </row>
    <row r="221" spans="1:4" ht="12.75" customHeight="1" x14ac:dyDescent="0.2">
      <c r="A221" s="22" t="str">
        <f>HYPERLINK("javascript:void(0)","vámpír kard")</f>
        <v>vámpír kard</v>
      </c>
      <c r="B221" s="21"/>
      <c r="C221" s="21"/>
      <c r="D221" s="21"/>
    </row>
    <row r="222" spans="1:4" ht="12.75" customHeight="1" x14ac:dyDescent="0.2">
      <c r="A222" s="20"/>
      <c r="B222" s="2"/>
      <c r="C222" s="2"/>
      <c r="D222" s="2"/>
    </row>
    <row r="223" spans="1:4" ht="12.75" customHeight="1" x14ac:dyDescent="0.2">
      <c r="A223" s="21"/>
      <c r="B223" s="3" t="s">
        <v>0</v>
      </c>
      <c r="C223" s="20" t="s">
        <v>128</v>
      </c>
      <c r="D223" s="21"/>
    </row>
    <row r="224" spans="1:4" ht="12.75" customHeight="1" x14ac:dyDescent="0.2">
      <c r="A224" s="21"/>
      <c r="B224" s="3" t="s">
        <v>2</v>
      </c>
      <c r="C224" s="20" t="s">
        <v>1598</v>
      </c>
      <c r="D224" s="21"/>
    </row>
    <row r="225" spans="1:4" ht="12.75" customHeight="1" x14ac:dyDescent="0.2">
      <c r="A225" s="21"/>
      <c r="B225" s="3" t="s">
        <v>4</v>
      </c>
      <c r="C225" s="20" t="s">
        <v>260</v>
      </c>
      <c r="D225" s="21"/>
    </row>
    <row r="226" spans="1:4" ht="12.75" customHeight="1" x14ac:dyDescent="0.2">
      <c r="A226" s="21"/>
      <c r="B226" s="3" t="s">
        <v>6</v>
      </c>
      <c r="C226" s="20" t="s">
        <v>40</v>
      </c>
      <c r="D226" s="21"/>
    </row>
    <row r="227" spans="1:4" ht="12.75" customHeight="1" x14ac:dyDescent="0.2">
      <c r="A227" s="21"/>
      <c r="B227" s="3" t="s">
        <v>8</v>
      </c>
      <c r="C227" s="20" t="s">
        <v>260</v>
      </c>
      <c r="D227" s="21"/>
    </row>
    <row r="228" spans="1:4" ht="12.75" customHeight="1" x14ac:dyDescent="0.2">
      <c r="A228" s="21"/>
      <c r="B228" s="3" t="s">
        <v>9</v>
      </c>
      <c r="C228" s="20" t="s">
        <v>147</v>
      </c>
      <c r="D228" s="21"/>
    </row>
    <row r="229" spans="1:4" ht="12.75" customHeight="1" x14ac:dyDescent="0.2">
      <c r="A229" s="21"/>
      <c r="B229" s="3" t="s">
        <v>11</v>
      </c>
      <c r="C229" s="20" t="s">
        <v>201</v>
      </c>
      <c r="D229" s="21"/>
    </row>
    <row r="230" spans="1:4" ht="12.75" customHeight="1" x14ac:dyDescent="0.2">
      <c r="A230" s="21"/>
      <c r="B230" s="3" t="s">
        <v>13</v>
      </c>
      <c r="C230" s="20" t="s">
        <v>24</v>
      </c>
      <c r="D230" s="21"/>
    </row>
    <row r="231" spans="1:4" ht="12.75" customHeight="1" x14ac:dyDescent="0.2">
      <c r="A231" s="21"/>
      <c r="B231" s="3" t="s">
        <v>15</v>
      </c>
      <c r="C231" s="20" t="s">
        <v>24</v>
      </c>
      <c r="D231" s="21"/>
    </row>
    <row r="232" spans="1:4" ht="12.75" customHeight="1" x14ac:dyDescent="0.2">
      <c r="A232" s="21"/>
      <c r="B232" s="3" t="s">
        <v>16</v>
      </c>
      <c r="C232" s="20"/>
      <c r="D232" s="21"/>
    </row>
    <row r="233" spans="1:4" ht="12.75" customHeight="1" x14ac:dyDescent="0.2">
      <c r="A233" s="21"/>
      <c r="B233" s="3" t="s">
        <v>17</v>
      </c>
      <c r="C233" s="20"/>
      <c r="D233" s="21"/>
    </row>
    <row r="234" spans="1:4" ht="12.75" customHeight="1" x14ac:dyDescent="0.2">
      <c r="A234" s="21"/>
      <c r="B234" s="20" t="s">
        <v>18</v>
      </c>
      <c r="C234" s="4" t="s">
        <v>44</v>
      </c>
      <c r="D234" s="6" t="str">
        <f>HYPERLINK("javascript:void(0)","rövid kard")</f>
        <v>rövid kard</v>
      </c>
    </row>
    <row r="235" spans="1:4" ht="12.75" customHeight="1" x14ac:dyDescent="0.2">
      <c r="A235" s="21"/>
      <c r="B235" s="21"/>
      <c r="C235" s="4" t="s">
        <v>44</v>
      </c>
      <c r="D235" s="6" t="str">
        <f>HYPERLINK("javascript:void(0)","opál")</f>
        <v>opál</v>
      </c>
    </row>
    <row r="236" spans="1:4" ht="12.75" customHeight="1" x14ac:dyDescent="0.2">
      <c r="A236" s="21"/>
      <c r="B236" s="21"/>
      <c r="C236" s="4" t="s">
        <v>56</v>
      </c>
      <c r="D236" s="6" t="str">
        <f>HYPERLINK("javascript:void(0)","elementál eszencia")</f>
        <v>elementál eszencia</v>
      </c>
    </row>
    <row r="237" spans="1:4" ht="12.75" customHeight="1" x14ac:dyDescent="0.2">
      <c r="A237" s="5"/>
      <c r="B237" s="2"/>
      <c r="C237" s="2"/>
      <c r="D237" s="2"/>
    </row>
    <row r="238" spans="1:4" ht="12.75" customHeight="1" x14ac:dyDescent="0.2">
      <c r="A238" s="22" t="str">
        <f>HYPERLINK("javascript:void(0)","hosszúkard")</f>
        <v>hosszúkard</v>
      </c>
      <c r="B238" s="21"/>
      <c r="C238" s="21"/>
      <c r="D238" s="2"/>
    </row>
    <row r="239" spans="1:4" ht="12.75" customHeight="1" x14ac:dyDescent="0.2">
      <c r="A239" s="20"/>
      <c r="B239" s="2"/>
      <c r="C239" s="2"/>
      <c r="D239" s="2"/>
    </row>
    <row r="240" spans="1:4" ht="12.75" customHeight="1" x14ac:dyDescent="0.2">
      <c r="A240" s="21"/>
      <c r="B240" s="3" t="s">
        <v>0</v>
      </c>
      <c r="C240" s="3" t="s">
        <v>128</v>
      </c>
      <c r="D240" s="2"/>
    </row>
    <row r="241" spans="1:4" ht="12.75" customHeight="1" x14ac:dyDescent="0.2">
      <c r="A241" s="21"/>
      <c r="B241" s="3" t="s">
        <v>2</v>
      </c>
      <c r="C241" s="3" t="s">
        <v>1598</v>
      </c>
      <c r="D241" s="2"/>
    </row>
    <row r="242" spans="1:4" ht="12.75" customHeight="1" x14ac:dyDescent="0.2">
      <c r="A242" s="21"/>
      <c r="B242" s="3" t="s">
        <v>4</v>
      </c>
      <c r="C242" s="3" t="s">
        <v>272</v>
      </c>
      <c r="D242" s="2"/>
    </row>
    <row r="243" spans="1:4" ht="12.75" customHeight="1" x14ac:dyDescent="0.2">
      <c r="A243" s="21"/>
      <c r="B243" s="3" t="s">
        <v>6</v>
      </c>
      <c r="C243" s="3" t="s">
        <v>48</v>
      </c>
      <c r="D243" s="2"/>
    </row>
    <row r="244" spans="1:4" ht="12.75" customHeight="1" x14ac:dyDescent="0.2">
      <c r="A244" s="21"/>
      <c r="B244" s="3" t="s">
        <v>8</v>
      </c>
      <c r="C244" s="3" t="s">
        <v>272</v>
      </c>
      <c r="D244" s="2"/>
    </row>
    <row r="245" spans="1:4" ht="12.75" customHeight="1" x14ac:dyDescent="0.2">
      <c r="A245" s="21"/>
      <c r="B245" s="3" t="s">
        <v>9</v>
      </c>
      <c r="C245" s="3" t="s">
        <v>124</v>
      </c>
      <c r="D245" s="2"/>
    </row>
    <row r="246" spans="1:4" ht="12.75" customHeight="1" x14ac:dyDescent="0.2">
      <c r="A246" s="21"/>
      <c r="B246" s="3" t="s">
        <v>11</v>
      </c>
      <c r="C246" s="3" t="s">
        <v>1636</v>
      </c>
      <c r="D246" s="2"/>
    </row>
    <row r="247" spans="1:4" ht="12.75" customHeight="1" x14ac:dyDescent="0.2">
      <c r="A247" s="21"/>
      <c r="B247" s="3" t="s">
        <v>13</v>
      </c>
      <c r="C247" s="3" t="s">
        <v>14</v>
      </c>
      <c r="D247" s="2"/>
    </row>
    <row r="248" spans="1:4" ht="12.75" customHeight="1" x14ac:dyDescent="0.2">
      <c r="A248" s="21"/>
      <c r="B248" s="3" t="s">
        <v>15</v>
      </c>
      <c r="C248" s="3" t="s">
        <v>14</v>
      </c>
      <c r="D248" s="2"/>
    </row>
    <row r="249" spans="1:4" ht="12.75" customHeight="1" x14ac:dyDescent="0.2">
      <c r="A249" s="21"/>
      <c r="B249" s="3" t="s">
        <v>16</v>
      </c>
      <c r="C249" s="3"/>
      <c r="D249" s="2"/>
    </row>
    <row r="250" spans="1:4" ht="12.75" customHeight="1" x14ac:dyDescent="0.2">
      <c r="A250" s="21"/>
      <c r="B250" s="3" t="s">
        <v>17</v>
      </c>
      <c r="C250" s="3"/>
      <c r="D250" s="2"/>
    </row>
    <row r="251" spans="1:4" ht="12.75" customHeight="1" x14ac:dyDescent="0.2">
      <c r="A251" s="21"/>
      <c r="B251" s="3" t="s">
        <v>18</v>
      </c>
      <c r="C251" s="4" t="s">
        <v>19</v>
      </c>
      <c r="D251" s="2"/>
    </row>
    <row r="252" spans="1:4" ht="12.75" customHeight="1" x14ac:dyDescent="0.2">
      <c r="A252" s="5"/>
      <c r="B252" s="2"/>
      <c r="C252" s="2"/>
      <c r="D252" s="2"/>
    </row>
    <row r="253" spans="1:4" ht="12.75" customHeight="1" x14ac:dyDescent="0.2">
      <c r="A253" s="22" t="str">
        <f>HYPERLINK("javascript:void(0)","orkszigony")</f>
        <v>orkszigony</v>
      </c>
      <c r="B253" s="21"/>
      <c r="C253" s="21"/>
      <c r="D253" s="2"/>
    </row>
    <row r="254" spans="1:4" ht="12.75" customHeight="1" x14ac:dyDescent="0.2">
      <c r="A254" s="20"/>
      <c r="B254" s="2"/>
      <c r="C254" s="2"/>
      <c r="D254" s="2"/>
    </row>
    <row r="255" spans="1:4" ht="12.75" customHeight="1" x14ac:dyDescent="0.2">
      <c r="A255" s="21"/>
      <c r="B255" s="3" t="s">
        <v>0</v>
      </c>
      <c r="C255" s="3" t="s">
        <v>128</v>
      </c>
      <c r="D255" s="2"/>
    </row>
    <row r="256" spans="1:4" ht="12.75" customHeight="1" x14ac:dyDescent="0.2">
      <c r="A256" s="21"/>
      <c r="B256" s="2"/>
      <c r="C256" s="2"/>
      <c r="D256" s="2"/>
    </row>
    <row r="257" spans="1:4" ht="12.75" customHeight="1" x14ac:dyDescent="0.2">
      <c r="A257" s="21"/>
      <c r="B257" s="3" t="s">
        <v>4</v>
      </c>
      <c r="C257" s="3" t="s">
        <v>41</v>
      </c>
      <c r="D257" s="2"/>
    </row>
    <row r="258" spans="1:4" ht="12.75" customHeight="1" x14ac:dyDescent="0.2">
      <c r="A258" s="21"/>
      <c r="B258" s="3" t="s">
        <v>6</v>
      </c>
      <c r="C258" s="3" t="s">
        <v>26</v>
      </c>
      <c r="D258" s="2"/>
    </row>
    <row r="259" spans="1:4" ht="12.75" customHeight="1" x14ac:dyDescent="0.2">
      <c r="A259" s="21"/>
      <c r="B259" s="3" t="s">
        <v>8</v>
      </c>
      <c r="C259" s="3" t="s">
        <v>41</v>
      </c>
      <c r="D259" s="2"/>
    </row>
    <row r="260" spans="1:4" ht="12.75" customHeight="1" x14ac:dyDescent="0.2">
      <c r="A260" s="21"/>
      <c r="B260" s="3" t="s">
        <v>9</v>
      </c>
      <c r="C260" s="3" t="s">
        <v>1637</v>
      </c>
      <c r="D260" s="2"/>
    </row>
    <row r="261" spans="1:4" ht="12.75" customHeight="1" x14ac:dyDescent="0.2">
      <c r="A261" s="21"/>
      <c r="B261" s="3" t="s">
        <v>11</v>
      </c>
      <c r="C261" s="3" t="s">
        <v>39</v>
      </c>
      <c r="D261" s="2"/>
    </row>
    <row r="262" spans="1:4" ht="12.75" customHeight="1" x14ac:dyDescent="0.2">
      <c r="A262" s="21"/>
      <c r="B262" s="3" t="s">
        <v>13</v>
      </c>
      <c r="C262" s="3" t="s">
        <v>14</v>
      </c>
      <c r="D262" s="2"/>
    </row>
    <row r="263" spans="1:4" ht="12.75" customHeight="1" x14ac:dyDescent="0.2">
      <c r="A263" s="21"/>
      <c r="B263" s="3" t="s">
        <v>15</v>
      </c>
      <c r="C263" s="3" t="s">
        <v>14</v>
      </c>
      <c r="D263" s="2"/>
    </row>
    <row r="264" spans="1:4" ht="12.75" customHeight="1" x14ac:dyDescent="0.2">
      <c r="A264" s="21"/>
      <c r="B264" s="3" t="s">
        <v>16</v>
      </c>
      <c r="C264" s="3"/>
      <c r="D264" s="2"/>
    </row>
    <row r="265" spans="1:4" ht="12.75" customHeight="1" x14ac:dyDescent="0.2">
      <c r="A265" s="21"/>
      <c r="B265" s="3" t="s">
        <v>17</v>
      </c>
      <c r="C265" s="3"/>
      <c r="D265" s="2"/>
    </row>
    <row r="266" spans="1:4" ht="12.75" customHeight="1" x14ac:dyDescent="0.2">
      <c r="A266" s="21"/>
      <c r="B266" s="3" t="s">
        <v>18</v>
      </c>
      <c r="C266" s="4" t="s">
        <v>19</v>
      </c>
      <c r="D266" s="2"/>
    </row>
    <row r="267" spans="1:4" ht="12.75" customHeight="1" x14ac:dyDescent="0.2">
      <c r="A267" s="5"/>
      <c r="B267" s="2"/>
      <c r="C267" s="2"/>
      <c r="D267" s="2"/>
    </row>
    <row r="268" spans="1:4" ht="12.75" customHeight="1" x14ac:dyDescent="0.2">
      <c r="A268" s="22" t="str">
        <f>HYPERLINK("javascript:void(0)","kitintőr")</f>
        <v>kitintőr</v>
      </c>
      <c r="B268" s="21"/>
      <c r="C268" s="21"/>
      <c r="D268" s="21"/>
    </row>
    <row r="269" spans="1:4" ht="12.75" customHeight="1" x14ac:dyDescent="0.2">
      <c r="A269" s="20"/>
      <c r="B269" s="2"/>
      <c r="C269" s="2"/>
      <c r="D269" s="2"/>
    </row>
    <row r="270" spans="1:4" ht="12.75" customHeight="1" x14ac:dyDescent="0.2">
      <c r="A270" s="21"/>
      <c r="B270" s="3" t="s">
        <v>0</v>
      </c>
      <c r="C270" s="20" t="s">
        <v>128</v>
      </c>
      <c r="D270" s="21"/>
    </row>
    <row r="271" spans="1:4" ht="12.75" customHeight="1" x14ac:dyDescent="0.2">
      <c r="A271" s="21"/>
      <c r="B271" s="3" t="s">
        <v>2</v>
      </c>
      <c r="C271" s="20" t="s">
        <v>1598</v>
      </c>
      <c r="D271" s="21"/>
    </row>
    <row r="272" spans="1:4" ht="12.75" customHeight="1" x14ac:dyDescent="0.2">
      <c r="A272" s="21"/>
      <c r="B272" s="3" t="s">
        <v>4</v>
      </c>
      <c r="C272" s="20" t="s">
        <v>272</v>
      </c>
      <c r="D272" s="21"/>
    </row>
    <row r="273" spans="1:4" ht="12.75" customHeight="1" x14ac:dyDescent="0.2">
      <c r="A273" s="21"/>
      <c r="B273" s="3" t="s">
        <v>6</v>
      </c>
      <c r="C273" s="20" t="s">
        <v>29</v>
      </c>
      <c r="D273" s="21"/>
    </row>
    <row r="274" spans="1:4" ht="12.75" customHeight="1" x14ac:dyDescent="0.2">
      <c r="A274" s="21"/>
      <c r="B274" s="3" t="s">
        <v>8</v>
      </c>
      <c r="C274" s="20" t="s">
        <v>272</v>
      </c>
      <c r="D274" s="21"/>
    </row>
    <row r="275" spans="1:4" ht="12.75" customHeight="1" x14ac:dyDescent="0.2">
      <c r="A275" s="21"/>
      <c r="B275" s="3" t="s">
        <v>9</v>
      </c>
      <c r="C275" s="20" t="s">
        <v>53</v>
      </c>
      <c r="D275" s="21"/>
    </row>
    <row r="276" spans="1:4" ht="12.75" customHeight="1" x14ac:dyDescent="0.2">
      <c r="A276" s="21"/>
      <c r="B276" s="3" t="s">
        <v>11</v>
      </c>
      <c r="C276" s="20" t="s">
        <v>801</v>
      </c>
      <c r="D276" s="21"/>
    </row>
    <row r="277" spans="1:4" ht="12.75" customHeight="1" x14ac:dyDescent="0.2">
      <c r="A277" s="21"/>
      <c r="B277" s="3" t="s">
        <v>13</v>
      </c>
      <c r="C277" s="20" t="s">
        <v>14</v>
      </c>
      <c r="D277" s="21"/>
    </row>
    <row r="278" spans="1:4" ht="12.75" customHeight="1" x14ac:dyDescent="0.2">
      <c r="A278" s="21"/>
      <c r="B278" s="3" t="s">
        <v>15</v>
      </c>
      <c r="C278" s="20" t="s">
        <v>14</v>
      </c>
      <c r="D278" s="21"/>
    </row>
    <row r="279" spans="1:4" ht="12.75" customHeight="1" x14ac:dyDescent="0.2">
      <c r="A279" s="21"/>
      <c r="B279" s="3" t="s">
        <v>16</v>
      </c>
      <c r="C279" s="20"/>
      <c r="D279" s="21"/>
    </row>
    <row r="280" spans="1:4" ht="12.75" customHeight="1" x14ac:dyDescent="0.2">
      <c r="A280" s="21"/>
      <c r="B280" s="3" t="s">
        <v>17</v>
      </c>
      <c r="C280" s="20"/>
      <c r="D280" s="21"/>
    </row>
    <row r="281" spans="1:4" ht="12.75" customHeight="1" x14ac:dyDescent="0.2">
      <c r="A281" s="21"/>
      <c r="B281" s="20" t="s">
        <v>18</v>
      </c>
      <c r="C281" s="4" t="s">
        <v>44</v>
      </c>
      <c r="D281" s="6" t="str">
        <f>HYPERLINK("javascript:void(0)","kitinpenge")</f>
        <v>kitinpenge</v>
      </c>
    </row>
    <row r="282" spans="1:4" ht="12.75" customHeight="1" x14ac:dyDescent="0.2">
      <c r="A282" s="21"/>
      <c r="B282" s="21"/>
      <c r="C282" s="4" t="s">
        <v>56</v>
      </c>
      <c r="D282" s="6" t="str">
        <f>HYPERLINK("javascript:void(0)","gyíkbőr")</f>
        <v>gyíkbőr</v>
      </c>
    </row>
    <row r="283" spans="1:4" ht="12.75" customHeight="1" x14ac:dyDescent="0.2">
      <c r="A283" s="21"/>
      <c r="B283" s="21"/>
      <c r="C283" s="4" t="s">
        <v>44</v>
      </c>
      <c r="D283" s="6" t="str">
        <f>HYPERLINK("javascript:void(0)","rézérc")</f>
        <v>rézérc</v>
      </c>
    </row>
    <row r="284" spans="1:4" ht="12.75" customHeight="1" x14ac:dyDescent="0.2">
      <c r="A284" s="5"/>
      <c r="B284" s="2"/>
      <c r="C284" s="2"/>
      <c r="D284" s="2"/>
    </row>
    <row r="285" spans="1:4" ht="12.75" customHeight="1" x14ac:dyDescent="0.2">
      <c r="A285" s="22" t="str">
        <f>HYPERLINK("javascript:void(0)","5 élű kard")</f>
        <v>5 élű kard</v>
      </c>
      <c r="B285" s="21"/>
      <c r="C285" s="21"/>
      <c r="D285" s="21"/>
    </row>
    <row r="286" spans="1:4" ht="12.75" customHeight="1" x14ac:dyDescent="0.2">
      <c r="A286" s="20"/>
      <c r="B286" s="2"/>
      <c r="C286" s="2"/>
      <c r="D286" s="2"/>
    </row>
    <row r="287" spans="1:4" ht="12.75" customHeight="1" x14ac:dyDescent="0.2">
      <c r="A287" s="21"/>
      <c r="B287" s="3" t="s">
        <v>0</v>
      </c>
      <c r="C287" s="20" t="s">
        <v>48</v>
      </c>
      <c r="D287" s="21"/>
    </row>
    <row r="288" spans="1:4" ht="12.75" customHeight="1" x14ac:dyDescent="0.2">
      <c r="A288" s="21"/>
      <c r="B288" s="3" t="s">
        <v>2</v>
      </c>
      <c r="C288" s="20" t="s">
        <v>1598</v>
      </c>
      <c r="D288" s="21"/>
    </row>
    <row r="289" spans="1:4" ht="12.75" customHeight="1" x14ac:dyDescent="0.2">
      <c r="A289" s="21"/>
      <c r="B289" s="3" t="s">
        <v>4</v>
      </c>
      <c r="C289" s="20" t="s">
        <v>353</v>
      </c>
      <c r="D289" s="21"/>
    </row>
    <row r="290" spans="1:4" ht="12.75" customHeight="1" x14ac:dyDescent="0.2">
      <c r="A290" s="21"/>
      <c r="B290" s="3" t="s">
        <v>6</v>
      </c>
      <c r="C290" s="20" t="s">
        <v>40</v>
      </c>
      <c r="D290" s="21"/>
    </row>
    <row r="291" spans="1:4" ht="12.75" customHeight="1" x14ac:dyDescent="0.2">
      <c r="A291" s="21"/>
      <c r="B291" s="3" t="s">
        <v>8</v>
      </c>
      <c r="C291" s="20" t="s">
        <v>353</v>
      </c>
      <c r="D291" s="21"/>
    </row>
    <row r="292" spans="1:4" ht="12.75" customHeight="1" x14ac:dyDescent="0.2">
      <c r="A292" s="21"/>
      <c r="B292" s="3" t="s">
        <v>9</v>
      </c>
      <c r="C292" s="20" t="s">
        <v>464</v>
      </c>
      <c r="D292" s="21"/>
    </row>
    <row r="293" spans="1:4" ht="12.75" customHeight="1" x14ac:dyDescent="0.2">
      <c r="A293" s="21"/>
      <c r="B293" s="3" t="s">
        <v>11</v>
      </c>
      <c r="C293" s="20" t="s">
        <v>1642</v>
      </c>
      <c r="D293" s="21"/>
    </row>
    <row r="294" spans="1:4" ht="12.75" customHeight="1" x14ac:dyDescent="0.2">
      <c r="A294" s="21"/>
      <c r="B294" s="3" t="s">
        <v>13</v>
      </c>
      <c r="C294" s="20" t="s">
        <v>14</v>
      </c>
      <c r="D294" s="21"/>
    </row>
    <row r="295" spans="1:4" ht="12.75" customHeight="1" x14ac:dyDescent="0.2">
      <c r="A295" s="21"/>
      <c r="B295" s="3" t="s">
        <v>15</v>
      </c>
      <c r="C295" s="20" t="s">
        <v>14</v>
      </c>
      <c r="D295" s="21"/>
    </row>
    <row r="296" spans="1:4" ht="12.75" customHeight="1" x14ac:dyDescent="0.2">
      <c r="A296" s="21"/>
      <c r="B296" s="3" t="s">
        <v>16</v>
      </c>
      <c r="C296" s="20"/>
      <c r="D296" s="21"/>
    </row>
    <row r="297" spans="1:4" ht="12.75" customHeight="1" x14ac:dyDescent="0.2">
      <c r="A297" s="21"/>
      <c r="B297" s="3" t="s">
        <v>17</v>
      </c>
      <c r="C297" s="20"/>
      <c r="D297" s="21"/>
    </row>
    <row r="298" spans="1:4" ht="12.75" customHeight="1" x14ac:dyDescent="0.2">
      <c r="A298" s="21"/>
      <c r="B298" s="20" t="s">
        <v>18</v>
      </c>
      <c r="C298" s="4" t="s">
        <v>44</v>
      </c>
      <c r="D298" s="6" t="str">
        <f>HYPERLINK("javascript:void(0)","4 élű kard")</f>
        <v>4 élű kard</v>
      </c>
    </row>
    <row r="299" spans="1:4" ht="12.75" customHeight="1" x14ac:dyDescent="0.2">
      <c r="A299" s="21"/>
      <c r="B299" s="21"/>
      <c r="C299" s="4" t="s">
        <v>142</v>
      </c>
      <c r="D299" s="6" t="str">
        <f>HYPERLINK("javascript:void(0)","ezüst patkó")</f>
        <v>ezüst patkó</v>
      </c>
    </row>
    <row r="300" spans="1:4" ht="12.75" customHeight="1" x14ac:dyDescent="0.2">
      <c r="A300" s="21"/>
      <c r="B300" s="21"/>
      <c r="C300" s="4" t="s">
        <v>57</v>
      </c>
      <c r="D300" s="6" t="str">
        <f>HYPERLINK("javascript:void(0)","kitinpenge")</f>
        <v>kitinpenge</v>
      </c>
    </row>
    <row r="301" spans="1:4" ht="12.75" customHeight="1" x14ac:dyDescent="0.2">
      <c r="A301" s="5"/>
      <c r="B301" s="2"/>
      <c r="C301" s="2"/>
      <c r="D301" s="2"/>
    </row>
    <row r="302" spans="1:4" ht="12.75" customHeight="1" x14ac:dyDescent="0.2">
      <c r="A302" s="22" t="str">
        <f>HYPERLINK("javascript:void(0)","acélfejsze")</f>
        <v>acélfejsze</v>
      </c>
      <c r="B302" s="21"/>
      <c r="C302" s="21"/>
      <c r="D302" s="21"/>
    </row>
    <row r="303" spans="1:4" ht="12.75" customHeight="1" x14ac:dyDescent="0.2">
      <c r="A303" s="20"/>
      <c r="B303" s="2"/>
      <c r="C303" s="2"/>
      <c r="D303" s="2"/>
    </row>
    <row r="304" spans="1:4" ht="12.75" customHeight="1" x14ac:dyDescent="0.2">
      <c r="A304" s="21"/>
      <c r="B304" s="3" t="s">
        <v>0</v>
      </c>
      <c r="C304" s="20" t="s">
        <v>46</v>
      </c>
      <c r="D304" s="21"/>
    </row>
    <row r="305" spans="1:4" ht="12.75" customHeight="1" x14ac:dyDescent="0.2">
      <c r="A305" s="21"/>
      <c r="B305" s="3" t="s">
        <v>2</v>
      </c>
      <c r="C305" s="20" t="s">
        <v>1598</v>
      </c>
      <c r="D305" s="21"/>
    </row>
    <row r="306" spans="1:4" ht="12.75" customHeight="1" x14ac:dyDescent="0.2">
      <c r="A306" s="21"/>
      <c r="B306" s="3" t="s">
        <v>4</v>
      </c>
      <c r="C306" s="20" t="s">
        <v>115</v>
      </c>
      <c r="D306" s="21"/>
    </row>
    <row r="307" spans="1:4" ht="12.75" customHeight="1" x14ac:dyDescent="0.2">
      <c r="A307" s="21"/>
      <c r="B307" s="3" t="s">
        <v>6</v>
      </c>
      <c r="C307" s="20" t="s">
        <v>128</v>
      </c>
      <c r="D307" s="21"/>
    </row>
    <row r="308" spans="1:4" ht="12.75" customHeight="1" x14ac:dyDescent="0.2">
      <c r="A308" s="21"/>
      <c r="B308" s="3" t="s">
        <v>8</v>
      </c>
      <c r="C308" s="20" t="s">
        <v>115</v>
      </c>
      <c r="D308" s="21"/>
    </row>
    <row r="309" spans="1:4" ht="12.75" customHeight="1" x14ac:dyDescent="0.2">
      <c r="A309" s="21"/>
      <c r="B309" s="3" t="s">
        <v>9</v>
      </c>
      <c r="C309" s="20" t="s">
        <v>1637</v>
      </c>
      <c r="D309" s="21"/>
    </row>
    <row r="310" spans="1:4" ht="12.75" customHeight="1" x14ac:dyDescent="0.2">
      <c r="A310" s="21"/>
      <c r="B310" s="3" t="s">
        <v>11</v>
      </c>
      <c r="C310" s="20" t="s">
        <v>1645</v>
      </c>
      <c r="D310" s="21"/>
    </row>
    <row r="311" spans="1:4" ht="12.75" customHeight="1" x14ac:dyDescent="0.2">
      <c r="A311" s="21"/>
      <c r="B311" s="3" t="s">
        <v>13</v>
      </c>
      <c r="C311" s="20" t="s">
        <v>14</v>
      </c>
      <c r="D311" s="21"/>
    </row>
    <row r="312" spans="1:4" ht="12.75" customHeight="1" x14ac:dyDescent="0.2">
      <c r="A312" s="21"/>
      <c r="B312" s="3" t="s">
        <v>15</v>
      </c>
      <c r="C312" s="20" t="s">
        <v>14</v>
      </c>
      <c r="D312" s="21"/>
    </row>
    <row r="313" spans="1:4" ht="12.75" customHeight="1" x14ac:dyDescent="0.2">
      <c r="A313" s="21"/>
      <c r="B313" s="3" t="s">
        <v>16</v>
      </c>
      <c r="C313" s="20"/>
      <c r="D313" s="21"/>
    </row>
    <row r="314" spans="1:4" ht="12.75" customHeight="1" x14ac:dyDescent="0.2">
      <c r="A314" s="21"/>
      <c r="B314" s="3" t="s">
        <v>17</v>
      </c>
      <c r="C314" s="20"/>
      <c r="D314" s="21"/>
    </row>
    <row r="315" spans="1:4" ht="12.75" customHeight="1" x14ac:dyDescent="0.2">
      <c r="A315" s="21"/>
      <c r="B315" s="20" t="s">
        <v>18</v>
      </c>
      <c r="C315" s="4" t="s">
        <v>44</v>
      </c>
      <c r="D315" s="6" t="str">
        <f>HYPERLINK("javascript:void(0)","bronzfejsze")</f>
        <v>bronzfejsze</v>
      </c>
    </row>
    <row r="316" spans="1:4" ht="12.75" customHeight="1" x14ac:dyDescent="0.2">
      <c r="A316" s="21"/>
      <c r="B316" s="21"/>
      <c r="C316" s="4" t="s">
        <v>67</v>
      </c>
      <c r="D316" s="6" t="str">
        <f>HYPERLINK("javascript:void(0)","vasérc")</f>
        <v>vasérc</v>
      </c>
    </row>
    <row r="317" spans="1:4" ht="12.75" customHeight="1" x14ac:dyDescent="0.2">
      <c r="A317" s="21"/>
      <c r="B317" s="21"/>
      <c r="C317" s="4" t="s">
        <v>56</v>
      </c>
      <c r="D317" s="6" t="str">
        <f>HYPERLINK("javascript:void(0)","arany")</f>
        <v>arany</v>
      </c>
    </row>
    <row r="318" spans="1:4" ht="12.75" customHeight="1" x14ac:dyDescent="0.2">
      <c r="A318" s="5"/>
      <c r="B318" s="2"/>
      <c r="C318" s="2"/>
      <c r="D318" s="2"/>
    </row>
    <row r="319" spans="1:4" ht="12.75" customHeight="1" x14ac:dyDescent="0.2">
      <c r="A319" s="22" t="str">
        <f>HYPERLINK("javascript:void(0)","ork aprító")</f>
        <v>ork aprító</v>
      </c>
      <c r="B319" s="21"/>
      <c r="C319" s="21"/>
      <c r="D319" s="21"/>
    </row>
    <row r="320" spans="1:4" ht="12.75" customHeight="1" x14ac:dyDescent="0.2">
      <c r="A320" s="20"/>
      <c r="B320" s="2"/>
      <c r="C320" s="2"/>
      <c r="D320" s="2"/>
    </row>
    <row r="321" spans="1:4" ht="12.75" customHeight="1" x14ac:dyDescent="0.2">
      <c r="A321" s="21"/>
      <c r="B321" s="3" t="s">
        <v>0</v>
      </c>
      <c r="C321" s="20" t="s">
        <v>51</v>
      </c>
      <c r="D321" s="21"/>
    </row>
    <row r="322" spans="1:4" ht="12.75" customHeight="1" x14ac:dyDescent="0.2">
      <c r="A322" s="21"/>
      <c r="B322" s="3" t="s">
        <v>2</v>
      </c>
      <c r="C322" s="20" t="s">
        <v>1598</v>
      </c>
      <c r="D322" s="21"/>
    </row>
    <row r="323" spans="1:4" ht="12.75" customHeight="1" x14ac:dyDescent="0.2">
      <c r="A323" s="21"/>
      <c r="B323" s="3" t="s">
        <v>4</v>
      </c>
      <c r="C323" s="20" t="s">
        <v>47</v>
      </c>
      <c r="D323" s="21"/>
    </row>
    <row r="324" spans="1:4" ht="12.75" customHeight="1" x14ac:dyDescent="0.2">
      <c r="A324" s="21"/>
      <c r="B324" s="3" t="s">
        <v>6</v>
      </c>
      <c r="C324" s="20" t="s">
        <v>82</v>
      </c>
      <c r="D324" s="21"/>
    </row>
    <row r="325" spans="1:4" ht="12.75" customHeight="1" x14ac:dyDescent="0.2">
      <c r="A325" s="21"/>
      <c r="B325" s="3" t="s">
        <v>8</v>
      </c>
      <c r="C325" s="20" t="s">
        <v>47</v>
      </c>
      <c r="D325" s="21"/>
    </row>
    <row r="326" spans="1:4" ht="12.75" customHeight="1" x14ac:dyDescent="0.2">
      <c r="A326" s="21"/>
      <c r="B326" s="3" t="s">
        <v>9</v>
      </c>
      <c r="C326" s="20" t="s">
        <v>1649</v>
      </c>
      <c r="D326" s="21"/>
    </row>
    <row r="327" spans="1:4" ht="12.75" customHeight="1" x14ac:dyDescent="0.2">
      <c r="A327" s="21"/>
      <c r="B327" s="3" t="s">
        <v>11</v>
      </c>
      <c r="C327" s="20" t="s">
        <v>989</v>
      </c>
      <c r="D327" s="21"/>
    </row>
    <row r="328" spans="1:4" ht="12.75" customHeight="1" x14ac:dyDescent="0.2">
      <c r="A328" s="21"/>
      <c r="B328" s="3" t="s">
        <v>13</v>
      </c>
      <c r="C328" s="20" t="s">
        <v>14</v>
      </c>
      <c r="D328" s="21"/>
    </row>
    <row r="329" spans="1:4" ht="12.75" customHeight="1" x14ac:dyDescent="0.2">
      <c r="A329" s="21"/>
      <c r="B329" s="3" t="s">
        <v>15</v>
      </c>
      <c r="C329" s="20" t="s">
        <v>14</v>
      </c>
      <c r="D329" s="21"/>
    </row>
    <row r="330" spans="1:4" ht="12.75" customHeight="1" x14ac:dyDescent="0.2">
      <c r="A330" s="21"/>
      <c r="B330" s="3" t="s">
        <v>16</v>
      </c>
      <c r="C330" s="20"/>
      <c r="D330" s="21"/>
    </row>
    <row r="331" spans="1:4" ht="12.75" customHeight="1" x14ac:dyDescent="0.2">
      <c r="A331" s="21"/>
      <c r="B331" s="3" t="s">
        <v>17</v>
      </c>
      <c r="C331" s="20"/>
      <c r="D331" s="21"/>
    </row>
    <row r="332" spans="1:4" ht="12.75" customHeight="1" x14ac:dyDescent="0.2">
      <c r="A332" s="21"/>
      <c r="B332" s="20" t="s">
        <v>18</v>
      </c>
      <c r="C332" s="4" t="s">
        <v>44</v>
      </c>
      <c r="D332" s="6" t="str">
        <f>HYPERLINK("javascript:void(0)","zombifejsze")</f>
        <v>zombifejsze</v>
      </c>
    </row>
    <row r="333" spans="1:4" ht="12.75" customHeight="1" x14ac:dyDescent="0.2">
      <c r="A333" s="21"/>
      <c r="B333" s="21"/>
      <c r="C333" s="4" t="s">
        <v>68</v>
      </c>
      <c r="D333" s="6" t="str">
        <f>HYPERLINK("javascript:void(0)","ezüst")</f>
        <v>ezüst</v>
      </c>
    </row>
    <row r="334" spans="1:4" ht="12.75" customHeight="1" x14ac:dyDescent="0.2">
      <c r="A334" s="21"/>
      <c r="B334" s="21"/>
      <c r="C334" s="4" t="s">
        <v>56</v>
      </c>
      <c r="D334" s="6" t="str">
        <f>HYPERLINK("javascript:void(0)","vasérc")</f>
        <v>vasérc</v>
      </c>
    </row>
    <row r="335" spans="1:4" ht="12.75" customHeight="1" x14ac:dyDescent="0.2">
      <c r="A335" s="5"/>
      <c r="B335" s="2"/>
      <c r="C335" s="2"/>
      <c r="D335" s="2"/>
    </row>
    <row r="336" spans="1:4" ht="12.75" customHeight="1" x14ac:dyDescent="0.2">
      <c r="A336" s="22" t="str">
        <f>HYPERLINK("javascript:void(0)","tuskótőr")</f>
        <v>tuskótőr</v>
      </c>
      <c r="B336" s="21"/>
      <c r="C336" s="21"/>
      <c r="D336" s="21"/>
    </row>
    <row r="337" spans="1:4" ht="12.75" customHeight="1" x14ac:dyDescent="0.2">
      <c r="A337" s="20"/>
      <c r="B337" s="2"/>
      <c r="C337" s="2"/>
      <c r="D337" s="2"/>
    </row>
    <row r="338" spans="1:4" ht="12.75" customHeight="1" x14ac:dyDescent="0.2">
      <c r="A338" s="21"/>
      <c r="B338" s="3" t="s">
        <v>0</v>
      </c>
      <c r="C338" s="20" t="s">
        <v>51</v>
      </c>
      <c r="D338" s="21"/>
    </row>
    <row r="339" spans="1:4" ht="12.75" customHeight="1" x14ac:dyDescent="0.2">
      <c r="A339" s="21"/>
      <c r="B339" s="3" t="s">
        <v>2</v>
      </c>
      <c r="C339" s="20" t="s">
        <v>1598</v>
      </c>
      <c r="D339" s="21"/>
    </row>
    <row r="340" spans="1:4" ht="12.75" customHeight="1" x14ac:dyDescent="0.2">
      <c r="A340" s="21"/>
      <c r="B340" s="3" t="s">
        <v>4</v>
      </c>
      <c r="C340" s="20" t="s">
        <v>58</v>
      </c>
      <c r="D340" s="21"/>
    </row>
    <row r="341" spans="1:4" ht="12.75" customHeight="1" x14ac:dyDescent="0.2">
      <c r="A341" s="21"/>
      <c r="B341" s="3" t="s">
        <v>6</v>
      </c>
      <c r="C341" s="20" t="s">
        <v>33</v>
      </c>
      <c r="D341" s="21"/>
    </row>
    <row r="342" spans="1:4" ht="12.75" customHeight="1" x14ac:dyDescent="0.2">
      <c r="A342" s="21"/>
      <c r="B342" s="3" t="s">
        <v>8</v>
      </c>
      <c r="C342" s="20" t="s">
        <v>58</v>
      </c>
      <c r="D342" s="21"/>
    </row>
    <row r="343" spans="1:4" ht="12.75" customHeight="1" x14ac:dyDescent="0.2">
      <c r="A343" s="21"/>
      <c r="B343" s="3" t="s">
        <v>9</v>
      </c>
      <c r="C343" s="20" t="s">
        <v>30</v>
      </c>
      <c r="D343" s="21"/>
    </row>
    <row r="344" spans="1:4" ht="12.75" customHeight="1" x14ac:dyDescent="0.2">
      <c r="A344" s="21"/>
      <c r="B344" s="3" t="s">
        <v>11</v>
      </c>
      <c r="C344" s="20" t="s">
        <v>1652</v>
      </c>
      <c r="D344" s="21"/>
    </row>
    <row r="345" spans="1:4" ht="12.75" customHeight="1" x14ac:dyDescent="0.2">
      <c r="A345" s="21"/>
      <c r="B345" s="3" t="s">
        <v>13</v>
      </c>
      <c r="C345" s="20" t="s">
        <v>24</v>
      </c>
      <c r="D345" s="21"/>
    </row>
    <row r="346" spans="1:4" ht="12.75" customHeight="1" x14ac:dyDescent="0.2">
      <c r="A346" s="21"/>
      <c r="B346" s="3" t="s">
        <v>15</v>
      </c>
      <c r="C346" s="20" t="s">
        <v>14</v>
      </c>
      <c r="D346" s="21"/>
    </row>
    <row r="347" spans="1:4" ht="12.75" customHeight="1" x14ac:dyDescent="0.2">
      <c r="A347" s="21"/>
      <c r="B347" s="3" t="s">
        <v>16</v>
      </c>
      <c r="C347" s="20"/>
      <c r="D347" s="21"/>
    </row>
    <row r="348" spans="1:4" ht="12.75" customHeight="1" x14ac:dyDescent="0.2">
      <c r="A348" s="21"/>
      <c r="B348" s="3" t="s">
        <v>17</v>
      </c>
      <c r="C348" s="20"/>
      <c r="D348" s="21"/>
    </row>
    <row r="349" spans="1:4" ht="12.75" customHeight="1" x14ac:dyDescent="0.2">
      <c r="A349" s="21"/>
      <c r="B349" s="20" t="s">
        <v>18</v>
      </c>
      <c r="C349" s="4" t="s">
        <v>44</v>
      </c>
      <c r="D349" s="6" t="str">
        <f>HYPERLINK("javascript:void(0)","kitintőr")</f>
        <v>kitintőr</v>
      </c>
    </row>
    <row r="350" spans="1:4" ht="12.75" customHeight="1" x14ac:dyDescent="0.2">
      <c r="A350" s="21"/>
      <c r="B350" s="21"/>
      <c r="C350" s="4" t="s">
        <v>44</v>
      </c>
      <c r="D350" s="6" t="str">
        <f>HYPERLINK("javascript:void(0)","bot")</f>
        <v>bot</v>
      </c>
    </row>
    <row r="351" spans="1:4" ht="12.75" customHeight="1" x14ac:dyDescent="0.2">
      <c r="A351" s="21"/>
      <c r="B351" s="21"/>
      <c r="C351" s="4" t="s">
        <v>56</v>
      </c>
      <c r="D351" s="6" t="str">
        <f>HYPERLINK("javascript:void(0)","pegazustoll")</f>
        <v>pegazustoll</v>
      </c>
    </row>
    <row r="352" spans="1:4" ht="12.75" customHeight="1" x14ac:dyDescent="0.2">
      <c r="A352" s="5"/>
      <c r="B352" s="2"/>
      <c r="C352" s="2"/>
      <c r="D352" s="2"/>
    </row>
    <row r="353" spans="1:4" ht="12.75" customHeight="1" x14ac:dyDescent="0.2">
      <c r="A353" s="22" t="str">
        <f>HYPERLINK("javascript:void(0)","elit-őr lándzsa")</f>
        <v>elit-őr lándzsa</v>
      </c>
      <c r="B353" s="21"/>
      <c r="C353" s="21"/>
      <c r="D353" s="21"/>
    </row>
    <row r="354" spans="1:4" ht="12.75" customHeight="1" x14ac:dyDescent="0.2">
      <c r="A354" s="20"/>
      <c r="B354" s="2"/>
      <c r="C354" s="2"/>
      <c r="D354" s="2"/>
    </row>
    <row r="355" spans="1:4" ht="12.75" customHeight="1" x14ac:dyDescent="0.2">
      <c r="A355" s="21"/>
      <c r="B355" s="3" t="s">
        <v>0</v>
      </c>
      <c r="C355" s="20" t="s">
        <v>51</v>
      </c>
      <c r="D355" s="21"/>
    </row>
    <row r="356" spans="1:4" ht="12.75" customHeight="1" x14ac:dyDescent="0.2">
      <c r="A356" s="21"/>
      <c r="B356" s="3" t="s">
        <v>2</v>
      </c>
      <c r="C356" s="20" t="s">
        <v>1598</v>
      </c>
      <c r="D356" s="21"/>
    </row>
    <row r="357" spans="1:4" ht="12.75" customHeight="1" x14ac:dyDescent="0.2">
      <c r="A357" s="21"/>
      <c r="B357" s="3" t="s">
        <v>4</v>
      </c>
      <c r="C357" s="20" t="s">
        <v>134</v>
      </c>
      <c r="D357" s="21"/>
    </row>
    <row r="358" spans="1:4" ht="12.75" customHeight="1" x14ac:dyDescent="0.2">
      <c r="A358" s="21"/>
      <c r="B358" s="3" t="s">
        <v>6</v>
      </c>
      <c r="C358" s="20" t="s">
        <v>123</v>
      </c>
      <c r="D358" s="21"/>
    </row>
    <row r="359" spans="1:4" ht="12.75" customHeight="1" x14ac:dyDescent="0.2">
      <c r="A359" s="21"/>
      <c r="B359" s="3" t="s">
        <v>8</v>
      </c>
      <c r="C359" s="20" t="s">
        <v>134</v>
      </c>
      <c r="D359" s="21"/>
    </row>
    <row r="360" spans="1:4" ht="12.75" customHeight="1" x14ac:dyDescent="0.2">
      <c r="A360" s="21"/>
      <c r="B360" s="3" t="s">
        <v>9</v>
      </c>
      <c r="C360" s="20" t="s">
        <v>464</v>
      </c>
      <c r="D360" s="21"/>
    </row>
    <row r="361" spans="1:4" ht="12.75" customHeight="1" x14ac:dyDescent="0.2">
      <c r="A361" s="21"/>
      <c r="B361" s="3" t="s">
        <v>11</v>
      </c>
      <c r="C361" s="20" t="s">
        <v>1596</v>
      </c>
      <c r="D361" s="21"/>
    </row>
    <row r="362" spans="1:4" ht="12.75" customHeight="1" x14ac:dyDescent="0.2">
      <c r="A362" s="21"/>
      <c r="B362" s="3" t="s">
        <v>13</v>
      </c>
      <c r="C362" s="20" t="s">
        <v>14</v>
      </c>
      <c r="D362" s="21"/>
    </row>
    <row r="363" spans="1:4" ht="12.75" customHeight="1" x14ac:dyDescent="0.2">
      <c r="A363" s="21"/>
      <c r="B363" s="3" t="s">
        <v>15</v>
      </c>
      <c r="C363" s="20" t="s">
        <v>14</v>
      </c>
      <c r="D363" s="21"/>
    </row>
    <row r="364" spans="1:4" ht="12.75" customHeight="1" x14ac:dyDescent="0.2">
      <c r="A364" s="21"/>
      <c r="B364" s="3" t="s">
        <v>16</v>
      </c>
      <c r="C364" s="20"/>
      <c r="D364" s="21"/>
    </row>
    <row r="365" spans="1:4" ht="12.75" customHeight="1" x14ac:dyDescent="0.2">
      <c r="A365" s="21"/>
      <c r="B365" s="3" t="s">
        <v>17</v>
      </c>
      <c r="C365" s="20"/>
      <c r="D365" s="21"/>
    </row>
    <row r="366" spans="1:4" ht="12.75" customHeight="1" x14ac:dyDescent="0.2">
      <c r="A366" s="21"/>
      <c r="B366" s="20" t="s">
        <v>18</v>
      </c>
      <c r="C366" s="4" t="s">
        <v>77</v>
      </c>
      <c r="D366" s="6" t="str">
        <f>HYPERLINK("javascript:void(0)","vasérc")</f>
        <v>vasérc</v>
      </c>
    </row>
    <row r="367" spans="1:4" ht="12.75" customHeight="1" x14ac:dyDescent="0.2">
      <c r="A367" s="21"/>
      <c r="B367" s="21"/>
      <c r="C367" s="4" t="s">
        <v>56</v>
      </c>
      <c r="D367" s="6" t="str">
        <f>HYPERLINK("javascript:void(0)","gyíkbőr")</f>
        <v>gyíkbőr</v>
      </c>
    </row>
    <row r="368" spans="1:4" ht="12.75" customHeight="1" x14ac:dyDescent="0.2">
      <c r="A368" s="21"/>
      <c r="B368" s="21"/>
      <c r="C368" s="4" t="s">
        <v>44</v>
      </c>
      <c r="D368" s="6" t="str">
        <f>HYPERLINK("javascript:void(0)","kitintőr")</f>
        <v>kitintőr</v>
      </c>
    </row>
    <row r="369" spans="1:4" ht="12.75" customHeight="1" x14ac:dyDescent="0.2">
      <c r="A369" s="5"/>
      <c r="B369" s="2"/>
      <c r="C369" s="2"/>
      <c r="D369" s="2"/>
    </row>
    <row r="370" spans="1:4" ht="12.75" customHeight="1" x14ac:dyDescent="0.2">
      <c r="A370" s="22" t="str">
        <f>HYPERLINK("javascript:void(0)","6 élű kard")</f>
        <v>6 élű kard</v>
      </c>
      <c r="B370" s="21"/>
      <c r="C370" s="21"/>
      <c r="D370" s="21"/>
    </row>
    <row r="371" spans="1:4" ht="12.75" customHeight="1" x14ac:dyDescent="0.2">
      <c r="A371" s="20"/>
      <c r="B371" s="2"/>
      <c r="C371" s="2"/>
      <c r="D371" s="2"/>
    </row>
    <row r="372" spans="1:4" ht="12.75" customHeight="1" x14ac:dyDescent="0.2">
      <c r="A372" s="21"/>
      <c r="B372" s="3" t="s">
        <v>0</v>
      </c>
      <c r="C372" s="20" t="s">
        <v>33</v>
      </c>
      <c r="D372" s="21"/>
    </row>
    <row r="373" spans="1:4" ht="12.75" customHeight="1" x14ac:dyDescent="0.2">
      <c r="A373" s="21"/>
      <c r="B373" s="3" t="s">
        <v>2</v>
      </c>
      <c r="C373" s="20" t="s">
        <v>1598</v>
      </c>
      <c r="D373" s="21"/>
    </row>
    <row r="374" spans="1:4" ht="12.75" customHeight="1" x14ac:dyDescent="0.2">
      <c r="A374" s="21"/>
      <c r="B374" s="3" t="s">
        <v>4</v>
      </c>
      <c r="C374" s="20" t="s">
        <v>60</v>
      </c>
      <c r="D374" s="21"/>
    </row>
    <row r="375" spans="1:4" ht="12.75" customHeight="1" x14ac:dyDescent="0.2">
      <c r="A375" s="21"/>
      <c r="B375" s="3" t="s">
        <v>6</v>
      </c>
      <c r="C375" s="20" t="s">
        <v>40</v>
      </c>
      <c r="D375" s="21"/>
    </row>
    <row r="376" spans="1:4" ht="12.75" customHeight="1" x14ac:dyDescent="0.2">
      <c r="A376" s="21"/>
      <c r="B376" s="3" t="s">
        <v>8</v>
      </c>
      <c r="C376" s="20" t="s">
        <v>60</v>
      </c>
      <c r="D376" s="21"/>
    </row>
    <row r="377" spans="1:4" ht="12.75" customHeight="1" x14ac:dyDescent="0.2">
      <c r="A377" s="21"/>
      <c r="B377" s="3" t="s">
        <v>9</v>
      </c>
      <c r="C377" s="20" t="s">
        <v>573</v>
      </c>
      <c r="D377" s="21"/>
    </row>
    <row r="378" spans="1:4" ht="12.75" customHeight="1" x14ac:dyDescent="0.2">
      <c r="A378" s="21"/>
      <c r="B378" s="3" t="s">
        <v>11</v>
      </c>
      <c r="C378" s="20" t="s">
        <v>1658</v>
      </c>
      <c r="D378" s="21"/>
    </row>
    <row r="379" spans="1:4" ht="12.75" customHeight="1" x14ac:dyDescent="0.2">
      <c r="A379" s="21"/>
      <c r="B379" s="3" t="s">
        <v>13</v>
      </c>
      <c r="C379" s="20" t="s">
        <v>14</v>
      </c>
      <c r="D379" s="21"/>
    </row>
    <row r="380" spans="1:4" ht="12.75" customHeight="1" x14ac:dyDescent="0.2">
      <c r="A380" s="21"/>
      <c r="B380" s="3" t="s">
        <v>15</v>
      </c>
      <c r="C380" s="20" t="s">
        <v>14</v>
      </c>
      <c r="D380" s="21"/>
    </row>
    <row r="381" spans="1:4" ht="12.75" customHeight="1" x14ac:dyDescent="0.2">
      <c r="A381" s="21"/>
      <c r="B381" s="3" t="s">
        <v>16</v>
      </c>
      <c r="C381" s="20"/>
      <c r="D381" s="21"/>
    </row>
    <row r="382" spans="1:4" ht="12.75" customHeight="1" x14ac:dyDescent="0.2">
      <c r="A382" s="21"/>
      <c r="B382" s="3" t="s">
        <v>17</v>
      </c>
      <c r="C382" s="20"/>
      <c r="D382" s="21"/>
    </row>
    <row r="383" spans="1:4" ht="12.75" customHeight="1" x14ac:dyDescent="0.2">
      <c r="A383" s="21"/>
      <c r="B383" s="20" t="s">
        <v>18</v>
      </c>
      <c r="C383" s="4" t="s">
        <v>44</v>
      </c>
      <c r="D383" s="6" t="str">
        <f>HYPERLINK("javascript:void(0)","5 élű kard")</f>
        <v>5 élű kard</v>
      </c>
    </row>
    <row r="384" spans="1:4" ht="12.75" customHeight="1" x14ac:dyDescent="0.2">
      <c r="A384" s="21"/>
      <c r="B384" s="21"/>
      <c r="C384" s="4" t="s">
        <v>196</v>
      </c>
      <c r="D384" s="6" t="str">
        <f>HYPERLINK("javascript:void(0)","ezüst patkó")</f>
        <v>ezüst patkó</v>
      </c>
    </row>
    <row r="385" spans="1:4" ht="12.75" customHeight="1" x14ac:dyDescent="0.2">
      <c r="A385" s="21"/>
      <c r="B385" s="21"/>
      <c r="C385" s="4" t="s">
        <v>77</v>
      </c>
      <c r="D385" s="6" t="str">
        <f>HYPERLINK("javascript:void(0)","kitinpenge")</f>
        <v>kitinpenge</v>
      </c>
    </row>
    <row r="386" spans="1:4" ht="12.75" customHeight="1" x14ac:dyDescent="0.2">
      <c r="A386" s="5"/>
      <c r="B386" s="2"/>
      <c r="C386" s="2"/>
      <c r="D386" s="2"/>
    </row>
    <row r="387" spans="1:4" ht="12.75" customHeight="1" x14ac:dyDescent="0.2">
      <c r="A387" s="22" t="str">
        <f>HYPERLINK("javascript:void(0)","skivei kard")</f>
        <v>skivei kard</v>
      </c>
      <c r="B387" s="21"/>
      <c r="C387" s="21"/>
      <c r="D387" s="21"/>
    </row>
    <row r="388" spans="1:4" ht="12.75" customHeight="1" x14ac:dyDescent="0.2">
      <c r="A388" s="20"/>
      <c r="B388" s="2"/>
      <c r="C388" s="2"/>
      <c r="D388" s="2"/>
    </row>
    <row r="389" spans="1:4" ht="12.75" customHeight="1" x14ac:dyDescent="0.2">
      <c r="A389" s="21"/>
      <c r="B389" s="3" t="s">
        <v>0</v>
      </c>
      <c r="C389" s="20" t="s">
        <v>33</v>
      </c>
      <c r="D389" s="21"/>
    </row>
    <row r="390" spans="1:4" ht="12.75" customHeight="1" x14ac:dyDescent="0.2">
      <c r="A390" s="21"/>
      <c r="B390" s="3" t="s">
        <v>2</v>
      </c>
      <c r="C390" s="20" t="s">
        <v>1598</v>
      </c>
      <c r="D390" s="21"/>
    </row>
    <row r="391" spans="1:4" ht="12.75" customHeight="1" x14ac:dyDescent="0.2">
      <c r="A391" s="21"/>
      <c r="B391" s="3" t="s">
        <v>4</v>
      </c>
      <c r="C391" s="20" t="s">
        <v>562</v>
      </c>
      <c r="D391" s="21"/>
    </row>
    <row r="392" spans="1:4" ht="12.75" customHeight="1" x14ac:dyDescent="0.2">
      <c r="A392" s="21"/>
      <c r="B392" s="3" t="s">
        <v>6</v>
      </c>
      <c r="C392" s="20" t="s">
        <v>48</v>
      </c>
      <c r="D392" s="21"/>
    </row>
    <row r="393" spans="1:4" ht="12.75" customHeight="1" x14ac:dyDescent="0.2">
      <c r="A393" s="21"/>
      <c r="B393" s="3" t="s">
        <v>8</v>
      </c>
      <c r="C393" s="20" t="s">
        <v>562</v>
      </c>
      <c r="D393" s="21"/>
    </row>
    <row r="394" spans="1:4" ht="12.75" customHeight="1" x14ac:dyDescent="0.2">
      <c r="A394" s="21"/>
      <c r="B394" s="3" t="s">
        <v>9</v>
      </c>
      <c r="C394" s="20" t="s">
        <v>147</v>
      </c>
      <c r="D394" s="21"/>
    </row>
    <row r="395" spans="1:4" ht="12.75" customHeight="1" x14ac:dyDescent="0.2">
      <c r="A395" s="21"/>
      <c r="B395" s="3" t="s">
        <v>11</v>
      </c>
      <c r="C395" s="20" t="s">
        <v>1662</v>
      </c>
      <c r="D395" s="21"/>
    </row>
    <row r="396" spans="1:4" ht="12.75" customHeight="1" x14ac:dyDescent="0.2">
      <c r="A396" s="21"/>
      <c r="B396" s="3" t="s">
        <v>13</v>
      </c>
      <c r="C396" s="20" t="s">
        <v>24</v>
      </c>
      <c r="D396" s="21"/>
    </row>
    <row r="397" spans="1:4" ht="12.75" customHeight="1" x14ac:dyDescent="0.2">
      <c r="A397" s="21"/>
      <c r="B397" s="3" t="s">
        <v>15</v>
      </c>
      <c r="C397" s="20" t="s">
        <v>14</v>
      </c>
      <c r="D397" s="21"/>
    </row>
    <row r="398" spans="1:4" ht="12.75" customHeight="1" x14ac:dyDescent="0.2">
      <c r="A398" s="21"/>
      <c r="B398" s="3" t="s">
        <v>16</v>
      </c>
      <c r="C398" s="20"/>
      <c r="D398" s="21"/>
    </row>
    <row r="399" spans="1:4" ht="12.75" customHeight="1" x14ac:dyDescent="0.2">
      <c r="A399" s="21"/>
      <c r="B399" s="3" t="s">
        <v>17</v>
      </c>
      <c r="C399" s="20"/>
      <c r="D399" s="21"/>
    </row>
    <row r="400" spans="1:4" ht="12.75" customHeight="1" x14ac:dyDescent="0.2">
      <c r="A400" s="21"/>
      <c r="B400" s="20" t="s">
        <v>18</v>
      </c>
      <c r="C400" s="4" t="s">
        <v>44</v>
      </c>
      <c r="D400" s="6" t="str">
        <f>HYPERLINK("javascript:void(0)","kithrill")</f>
        <v>kithrill</v>
      </c>
    </row>
    <row r="401" spans="1:4" ht="12.75" customHeight="1" x14ac:dyDescent="0.2">
      <c r="A401" s="21"/>
      <c r="B401" s="21"/>
      <c r="C401" s="4" t="s">
        <v>44</v>
      </c>
      <c r="D401" s="6" t="str">
        <f>HYPERLINK("javascript:void(0)","rövid kard")</f>
        <v>rövid kard</v>
      </c>
    </row>
    <row r="402" spans="1:4" ht="12.75" customHeight="1" x14ac:dyDescent="0.2">
      <c r="A402" s="21"/>
      <c r="B402" s="21"/>
      <c r="C402" s="4" t="s">
        <v>1663</v>
      </c>
      <c r="D402" s="6" t="str">
        <f>HYPERLINK("javascript:void(0)","ezüst")</f>
        <v>ezüst</v>
      </c>
    </row>
    <row r="403" spans="1:4" ht="12.75" customHeight="1" x14ac:dyDescent="0.2">
      <c r="A403" s="5"/>
      <c r="B403" s="2"/>
      <c r="C403" s="2"/>
      <c r="D403" s="2"/>
    </row>
    <row r="404" spans="1:4" ht="12.75" customHeight="1" x14ac:dyDescent="0.2">
      <c r="A404" s="22" t="str">
        <f>HYPERLINK("javascript:void(0)","mengorni kard")</f>
        <v>mengorni kard</v>
      </c>
      <c r="B404" s="21"/>
      <c r="C404" s="21"/>
      <c r="D404" s="21"/>
    </row>
    <row r="405" spans="1:4" ht="12.75" customHeight="1" x14ac:dyDescent="0.2">
      <c r="A405" s="20"/>
      <c r="B405" s="2"/>
      <c r="C405" s="2"/>
      <c r="D405" s="2"/>
    </row>
    <row r="406" spans="1:4" ht="12.75" customHeight="1" x14ac:dyDescent="0.2">
      <c r="A406" s="21"/>
      <c r="B406" s="3" t="s">
        <v>0</v>
      </c>
      <c r="C406" s="20" t="s">
        <v>74</v>
      </c>
      <c r="D406" s="21"/>
    </row>
    <row r="407" spans="1:4" ht="12.75" customHeight="1" x14ac:dyDescent="0.2">
      <c r="A407" s="21"/>
      <c r="B407" s="3" t="s">
        <v>2</v>
      </c>
      <c r="C407" s="20" t="s">
        <v>1598</v>
      </c>
      <c r="D407" s="21"/>
    </row>
    <row r="408" spans="1:4" ht="12.75" customHeight="1" x14ac:dyDescent="0.2">
      <c r="A408" s="21"/>
      <c r="B408" s="3" t="s">
        <v>4</v>
      </c>
      <c r="C408" s="20" t="s">
        <v>229</v>
      </c>
      <c r="D408" s="21"/>
    </row>
    <row r="409" spans="1:4" ht="12.75" customHeight="1" x14ac:dyDescent="0.2">
      <c r="A409" s="21"/>
      <c r="B409" s="3" t="s">
        <v>6</v>
      </c>
      <c r="C409" s="20" t="s">
        <v>48</v>
      </c>
      <c r="D409" s="21"/>
    </row>
    <row r="410" spans="1:4" ht="12.75" customHeight="1" x14ac:dyDescent="0.2">
      <c r="A410" s="21"/>
      <c r="B410" s="3" t="s">
        <v>8</v>
      </c>
      <c r="C410" s="20" t="s">
        <v>229</v>
      </c>
      <c r="D410" s="21"/>
    </row>
    <row r="411" spans="1:4" ht="12.75" customHeight="1" x14ac:dyDescent="0.2">
      <c r="A411" s="21"/>
      <c r="B411" s="3" t="s">
        <v>9</v>
      </c>
      <c r="C411" s="20" t="s">
        <v>172</v>
      </c>
      <c r="D411" s="21"/>
    </row>
    <row r="412" spans="1:4" ht="12.75" customHeight="1" x14ac:dyDescent="0.2">
      <c r="A412" s="21"/>
      <c r="B412" s="3" t="s">
        <v>11</v>
      </c>
      <c r="C412" s="20" t="s">
        <v>1668</v>
      </c>
      <c r="D412" s="21"/>
    </row>
    <row r="413" spans="1:4" ht="12.75" customHeight="1" x14ac:dyDescent="0.2">
      <c r="A413" s="21"/>
      <c r="B413" s="3" t="s">
        <v>13</v>
      </c>
      <c r="C413" s="20" t="s">
        <v>14</v>
      </c>
      <c r="D413" s="21"/>
    </row>
    <row r="414" spans="1:4" ht="12.75" customHeight="1" x14ac:dyDescent="0.2">
      <c r="A414" s="21"/>
      <c r="B414" s="3" t="s">
        <v>15</v>
      </c>
      <c r="C414" s="20" t="s">
        <v>24</v>
      </c>
      <c r="D414" s="21"/>
    </row>
    <row r="415" spans="1:4" ht="12.75" customHeight="1" x14ac:dyDescent="0.2">
      <c r="A415" s="21"/>
      <c r="B415" s="3" t="s">
        <v>16</v>
      </c>
      <c r="C415" s="20"/>
      <c r="D415" s="21"/>
    </row>
    <row r="416" spans="1:4" ht="12.75" customHeight="1" x14ac:dyDescent="0.2">
      <c r="A416" s="21"/>
      <c r="B416" s="3" t="s">
        <v>17</v>
      </c>
      <c r="C416" s="20"/>
      <c r="D416" s="21"/>
    </row>
    <row r="417" spans="1:4" ht="12.75" customHeight="1" x14ac:dyDescent="0.2">
      <c r="A417" s="21"/>
      <c r="B417" s="20" t="s">
        <v>18</v>
      </c>
      <c r="C417" s="4" t="s">
        <v>44</v>
      </c>
      <c r="D417" s="6" t="str">
        <f>HYPERLINK("javascript:void(0)","diszprózium")</f>
        <v>diszprózium</v>
      </c>
    </row>
    <row r="418" spans="1:4" ht="12.75" customHeight="1" x14ac:dyDescent="0.2">
      <c r="A418" s="21"/>
      <c r="B418" s="21"/>
      <c r="C418" s="4" t="s">
        <v>44</v>
      </c>
      <c r="D418" s="6" t="str">
        <f>HYPERLINK("javascript:void(0)","rövid kard")</f>
        <v>rövid kard</v>
      </c>
    </row>
    <row r="419" spans="1:4" ht="12.75" customHeight="1" x14ac:dyDescent="0.2">
      <c r="A419" s="21"/>
      <c r="B419" s="21"/>
      <c r="C419" s="4" t="s">
        <v>322</v>
      </c>
      <c r="D419" s="6" t="str">
        <f>HYPERLINK("javascript:void(0)","ezüst")</f>
        <v>ezüst</v>
      </c>
    </row>
    <row r="420" spans="1:4" ht="12.75" customHeight="1" x14ac:dyDescent="0.2">
      <c r="A420" s="5"/>
      <c r="B420" s="2"/>
      <c r="C420" s="2"/>
      <c r="D420" s="2"/>
    </row>
    <row r="421" spans="1:4" ht="12.75" customHeight="1" x14ac:dyDescent="0.2">
      <c r="A421" s="22" t="str">
        <f>HYPERLINK("javascript:void(0)","mágikus fejsze")</f>
        <v>mágikus fejsze</v>
      </c>
      <c r="B421" s="21"/>
      <c r="C421" s="21"/>
      <c r="D421" s="21"/>
    </row>
    <row r="422" spans="1:4" ht="12.75" customHeight="1" x14ac:dyDescent="0.2">
      <c r="A422" s="20"/>
      <c r="B422" s="2"/>
      <c r="C422" s="2"/>
      <c r="D422" s="2"/>
    </row>
    <row r="423" spans="1:4" ht="12.75" customHeight="1" x14ac:dyDescent="0.2">
      <c r="A423" s="21"/>
      <c r="B423" s="3" t="s">
        <v>0</v>
      </c>
      <c r="C423" s="20" t="s">
        <v>64</v>
      </c>
      <c r="D423" s="21"/>
    </row>
    <row r="424" spans="1:4" ht="12.75" customHeight="1" x14ac:dyDescent="0.2">
      <c r="A424" s="21"/>
      <c r="B424" s="3" t="s">
        <v>2</v>
      </c>
      <c r="C424" s="20" t="s">
        <v>1598</v>
      </c>
      <c r="D424" s="21"/>
    </row>
    <row r="425" spans="1:4" ht="12.75" customHeight="1" x14ac:dyDescent="0.2">
      <c r="A425" s="21"/>
      <c r="B425" s="3" t="s">
        <v>4</v>
      </c>
      <c r="C425" s="20" t="s">
        <v>532</v>
      </c>
      <c r="D425" s="21"/>
    </row>
    <row r="426" spans="1:4" ht="12.75" customHeight="1" x14ac:dyDescent="0.2">
      <c r="A426" s="21"/>
      <c r="B426" s="3" t="s">
        <v>6</v>
      </c>
      <c r="C426" s="20" t="s">
        <v>46</v>
      </c>
      <c r="D426" s="21"/>
    </row>
    <row r="427" spans="1:4" ht="12.75" customHeight="1" x14ac:dyDescent="0.2">
      <c r="A427" s="21"/>
      <c r="B427" s="3" t="s">
        <v>8</v>
      </c>
      <c r="C427" s="20" t="s">
        <v>532</v>
      </c>
      <c r="D427" s="21"/>
    </row>
    <row r="428" spans="1:4" ht="12.75" customHeight="1" x14ac:dyDescent="0.2">
      <c r="A428" s="21"/>
      <c r="B428" s="3" t="s">
        <v>9</v>
      </c>
      <c r="C428" s="20" t="s">
        <v>374</v>
      </c>
      <c r="D428" s="21"/>
    </row>
    <row r="429" spans="1:4" ht="12.75" customHeight="1" x14ac:dyDescent="0.2">
      <c r="A429" s="21"/>
      <c r="B429" s="3" t="s">
        <v>11</v>
      </c>
      <c r="C429" s="20" t="s">
        <v>695</v>
      </c>
      <c r="D429" s="21"/>
    </row>
    <row r="430" spans="1:4" ht="12.75" customHeight="1" x14ac:dyDescent="0.2">
      <c r="A430" s="21"/>
      <c r="B430" s="3" t="s">
        <v>13</v>
      </c>
      <c r="C430" s="20" t="s">
        <v>24</v>
      </c>
      <c r="D430" s="21"/>
    </row>
    <row r="431" spans="1:4" ht="12.75" customHeight="1" x14ac:dyDescent="0.2">
      <c r="A431" s="21"/>
      <c r="B431" s="3" t="s">
        <v>15</v>
      </c>
      <c r="C431" s="20" t="s">
        <v>14</v>
      </c>
      <c r="D431" s="21"/>
    </row>
    <row r="432" spans="1:4" ht="12.75" customHeight="1" x14ac:dyDescent="0.2">
      <c r="A432" s="21"/>
      <c r="B432" s="3" t="s">
        <v>16</v>
      </c>
      <c r="C432" s="20"/>
      <c r="D432" s="21"/>
    </row>
    <row r="433" spans="1:4" ht="12.75" customHeight="1" x14ac:dyDescent="0.2">
      <c r="A433" s="21"/>
      <c r="B433" s="3" t="s">
        <v>17</v>
      </c>
      <c r="C433" s="20"/>
      <c r="D433" s="21"/>
    </row>
    <row r="434" spans="1:4" ht="12.75" customHeight="1" x14ac:dyDescent="0.2">
      <c r="A434" s="21"/>
      <c r="B434" s="20" t="s">
        <v>18</v>
      </c>
      <c r="C434" s="4" t="s">
        <v>44</v>
      </c>
      <c r="D434" s="6" t="str">
        <f>HYPERLINK("javascript:void(0)","fejsze")</f>
        <v>fejsze</v>
      </c>
    </row>
    <row r="435" spans="1:4" ht="12.75" customHeight="1" x14ac:dyDescent="0.2">
      <c r="A435" s="21"/>
      <c r="B435" s="21"/>
      <c r="C435" s="4" t="s">
        <v>56</v>
      </c>
      <c r="D435" s="6" t="str">
        <f>HYPERLINK("javascript:void(0)","pegazustoll")</f>
        <v>pegazustoll</v>
      </c>
    </row>
    <row r="436" spans="1:4" ht="12.75" customHeight="1" x14ac:dyDescent="0.2">
      <c r="A436" s="21"/>
      <c r="B436" s="21"/>
      <c r="C436" s="4" t="s">
        <v>57</v>
      </c>
      <c r="D436" s="6" t="str">
        <f>HYPERLINK("javascript:void(0)","elementál eszencia")</f>
        <v>elementál eszencia</v>
      </c>
    </row>
    <row r="437" spans="1:4" ht="12.75" customHeight="1" x14ac:dyDescent="0.2">
      <c r="A437" s="5"/>
      <c r="B437" s="2"/>
      <c r="C437" s="2"/>
      <c r="D437" s="2"/>
    </row>
    <row r="438" spans="1:4" ht="12.75" customHeight="1" x14ac:dyDescent="0.2">
      <c r="A438" s="22" t="str">
        <f>HYPERLINK("javascript:void(0)","vasvilla")</f>
        <v>vasvilla</v>
      </c>
      <c r="B438" s="21"/>
      <c r="C438" s="21"/>
      <c r="D438" s="21"/>
    </row>
    <row r="439" spans="1:4" ht="12.75" customHeight="1" x14ac:dyDescent="0.2">
      <c r="A439" s="20"/>
      <c r="B439" s="2"/>
      <c r="C439" s="2"/>
      <c r="D439" s="2"/>
    </row>
    <row r="440" spans="1:4" ht="12.75" customHeight="1" x14ac:dyDescent="0.2">
      <c r="A440" s="21"/>
      <c r="B440" s="3" t="s">
        <v>0</v>
      </c>
      <c r="C440" s="20" t="s">
        <v>64</v>
      </c>
      <c r="D440" s="21"/>
    </row>
    <row r="441" spans="1:4" ht="12.75" customHeight="1" x14ac:dyDescent="0.2">
      <c r="A441" s="21"/>
      <c r="B441" s="3" t="s">
        <v>2</v>
      </c>
      <c r="C441" s="20" t="s">
        <v>1598</v>
      </c>
      <c r="D441" s="21"/>
    </row>
    <row r="442" spans="1:4" ht="12.75" customHeight="1" x14ac:dyDescent="0.2">
      <c r="A442" s="21"/>
      <c r="B442" s="3" t="s">
        <v>4</v>
      </c>
      <c r="C442" s="20" t="s">
        <v>161</v>
      </c>
      <c r="D442" s="21"/>
    </row>
    <row r="443" spans="1:4" ht="12.75" customHeight="1" x14ac:dyDescent="0.2">
      <c r="A443" s="21"/>
      <c r="B443" s="3" t="s">
        <v>6</v>
      </c>
      <c r="C443" s="20" t="s">
        <v>92</v>
      </c>
      <c r="D443" s="21"/>
    </row>
    <row r="444" spans="1:4" ht="12.75" customHeight="1" x14ac:dyDescent="0.2">
      <c r="A444" s="21"/>
      <c r="B444" s="3" t="s">
        <v>8</v>
      </c>
      <c r="C444" s="20" t="s">
        <v>161</v>
      </c>
      <c r="D444" s="21"/>
    </row>
    <row r="445" spans="1:4" ht="12.75" customHeight="1" x14ac:dyDescent="0.2">
      <c r="A445" s="21"/>
      <c r="B445" s="3" t="s">
        <v>9</v>
      </c>
      <c r="C445" s="20" t="s">
        <v>934</v>
      </c>
      <c r="D445" s="21"/>
    </row>
    <row r="446" spans="1:4" ht="12.75" customHeight="1" x14ac:dyDescent="0.2">
      <c r="A446" s="21"/>
      <c r="B446" s="3" t="s">
        <v>11</v>
      </c>
      <c r="C446" s="20" t="s">
        <v>254</v>
      </c>
      <c r="D446" s="21"/>
    </row>
    <row r="447" spans="1:4" ht="12.75" customHeight="1" x14ac:dyDescent="0.2">
      <c r="A447" s="21"/>
      <c r="B447" s="3" t="s">
        <v>13</v>
      </c>
      <c r="C447" s="20" t="s">
        <v>14</v>
      </c>
      <c r="D447" s="21"/>
    </row>
    <row r="448" spans="1:4" ht="12.75" customHeight="1" x14ac:dyDescent="0.2">
      <c r="A448" s="21"/>
      <c r="B448" s="3" t="s">
        <v>15</v>
      </c>
      <c r="C448" s="20" t="s">
        <v>14</v>
      </c>
      <c r="D448" s="21"/>
    </row>
    <row r="449" spans="1:4" ht="12.75" customHeight="1" x14ac:dyDescent="0.2">
      <c r="A449" s="21"/>
      <c r="B449" s="3" t="s">
        <v>16</v>
      </c>
      <c r="C449" s="20"/>
      <c r="D449" s="21"/>
    </row>
    <row r="450" spans="1:4" ht="12.75" customHeight="1" x14ac:dyDescent="0.2">
      <c r="A450" s="21"/>
      <c r="B450" s="3" t="s">
        <v>17</v>
      </c>
      <c r="C450" s="20"/>
      <c r="D450" s="21"/>
    </row>
    <row r="451" spans="1:4" ht="12.75" customHeight="1" x14ac:dyDescent="0.2">
      <c r="A451" s="21"/>
      <c r="B451" s="20" t="s">
        <v>18</v>
      </c>
      <c r="C451" s="4" t="s">
        <v>44</v>
      </c>
      <c r="D451" s="6" t="str">
        <f>HYPERLINK("javascript:void(0)","elit-őr lándzsa")</f>
        <v>elit-őr lándzsa</v>
      </c>
    </row>
    <row r="452" spans="1:4" ht="12.75" customHeight="1" x14ac:dyDescent="0.2">
      <c r="A452" s="21"/>
      <c r="B452" s="21"/>
      <c r="C452" s="4" t="s">
        <v>77</v>
      </c>
      <c r="D452" s="6" t="str">
        <f>HYPERLINK("javascript:void(0)","rézérc")</f>
        <v>rézérc</v>
      </c>
    </row>
    <row r="453" spans="1:4" ht="12.75" customHeight="1" x14ac:dyDescent="0.2">
      <c r="A453" s="21"/>
      <c r="B453" s="21"/>
      <c r="C453" s="4" t="s">
        <v>44</v>
      </c>
      <c r="D453" s="6" t="str">
        <f>HYPERLINK("javascript:void(0)","démongyapjú")</f>
        <v>démongyapjú</v>
      </c>
    </row>
    <row r="454" spans="1:4" ht="12.75" customHeight="1" x14ac:dyDescent="0.2">
      <c r="A454" s="5"/>
      <c r="B454" s="2"/>
      <c r="C454" s="2"/>
      <c r="D454" s="2"/>
    </row>
    <row r="455" spans="1:4" ht="12.75" customHeight="1" x14ac:dyDescent="0.2">
      <c r="A455" s="22" t="str">
        <f>HYPERLINK("javascript:void(0)","ork pallos")</f>
        <v>ork pallos</v>
      </c>
      <c r="B455" s="21"/>
      <c r="C455" s="21"/>
      <c r="D455" s="21"/>
    </row>
    <row r="456" spans="1:4" ht="12.75" customHeight="1" x14ac:dyDescent="0.2">
      <c r="A456" s="20"/>
      <c r="B456" s="2"/>
      <c r="C456" s="2"/>
      <c r="D456" s="2"/>
    </row>
    <row r="457" spans="1:4" ht="12.75" customHeight="1" x14ac:dyDescent="0.2">
      <c r="A457" s="21"/>
      <c r="B457" s="3" t="s">
        <v>0</v>
      </c>
      <c r="C457" s="20" t="s">
        <v>64</v>
      </c>
      <c r="D457" s="21"/>
    </row>
    <row r="458" spans="1:4" ht="12.75" customHeight="1" x14ac:dyDescent="0.2">
      <c r="A458" s="21"/>
      <c r="B458" s="3" t="s">
        <v>2</v>
      </c>
      <c r="C458" s="20" t="s">
        <v>1598</v>
      </c>
      <c r="D458" s="21"/>
    </row>
    <row r="459" spans="1:4" ht="12.75" customHeight="1" x14ac:dyDescent="0.2">
      <c r="A459" s="21"/>
      <c r="B459" s="3" t="s">
        <v>4</v>
      </c>
      <c r="C459" s="20" t="s">
        <v>728</v>
      </c>
      <c r="D459" s="21"/>
    </row>
    <row r="460" spans="1:4" ht="12.75" customHeight="1" x14ac:dyDescent="0.2">
      <c r="A460" s="21"/>
      <c r="B460" s="3" t="s">
        <v>6</v>
      </c>
      <c r="C460" s="20" t="s">
        <v>74</v>
      </c>
      <c r="D460" s="21"/>
    </row>
    <row r="461" spans="1:4" ht="12.75" customHeight="1" x14ac:dyDescent="0.2">
      <c r="A461" s="21"/>
      <c r="B461" s="3" t="s">
        <v>8</v>
      </c>
      <c r="C461" s="20" t="s">
        <v>728</v>
      </c>
      <c r="D461" s="21"/>
    </row>
    <row r="462" spans="1:4" ht="12.75" customHeight="1" x14ac:dyDescent="0.2">
      <c r="A462" s="21"/>
      <c r="B462" s="3" t="s">
        <v>9</v>
      </c>
      <c r="C462" s="20" t="s">
        <v>131</v>
      </c>
      <c r="D462" s="21"/>
    </row>
    <row r="463" spans="1:4" ht="12.75" customHeight="1" x14ac:dyDescent="0.2">
      <c r="A463" s="21"/>
      <c r="B463" s="3" t="s">
        <v>11</v>
      </c>
      <c r="C463" s="20" t="s">
        <v>1677</v>
      </c>
      <c r="D463" s="21"/>
    </row>
    <row r="464" spans="1:4" ht="12.75" customHeight="1" x14ac:dyDescent="0.2">
      <c r="A464" s="21"/>
      <c r="B464" s="3" t="s">
        <v>13</v>
      </c>
      <c r="C464" s="20" t="s">
        <v>14</v>
      </c>
      <c r="D464" s="21"/>
    </row>
    <row r="465" spans="1:4" ht="12.75" customHeight="1" x14ac:dyDescent="0.2">
      <c r="A465" s="21"/>
      <c r="B465" s="3" t="s">
        <v>15</v>
      </c>
      <c r="C465" s="20" t="s">
        <v>14</v>
      </c>
      <c r="D465" s="21"/>
    </row>
    <row r="466" spans="1:4" ht="12.75" customHeight="1" x14ac:dyDescent="0.2">
      <c r="A466" s="21"/>
      <c r="B466" s="3" t="s">
        <v>16</v>
      </c>
      <c r="C466" s="20"/>
      <c r="D466" s="21"/>
    </row>
    <row r="467" spans="1:4" ht="12.75" customHeight="1" x14ac:dyDescent="0.2">
      <c r="A467" s="21"/>
      <c r="B467" s="3" t="s">
        <v>17</v>
      </c>
      <c r="C467" s="20"/>
      <c r="D467" s="21"/>
    </row>
    <row r="468" spans="1:4" ht="12.75" customHeight="1" x14ac:dyDescent="0.2">
      <c r="A468" s="21"/>
      <c r="B468" s="20" t="s">
        <v>18</v>
      </c>
      <c r="C468" s="4" t="s">
        <v>55</v>
      </c>
      <c r="D468" s="6" t="str">
        <f>HYPERLINK("javascript:void(0)","vasérc")</f>
        <v>vasérc</v>
      </c>
    </row>
    <row r="469" spans="1:4" ht="12.75" customHeight="1" x14ac:dyDescent="0.2">
      <c r="A469" s="21"/>
      <c r="B469" s="21"/>
      <c r="C469" s="4" t="s">
        <v>44</v>
      </c>
      <c r="D469" s="6" t="str">
        <f>HYPERLINK("javascript:void(0)","ork aprító")</f>
        <v>ork aprító</v>
      </c>
    </row>
    <row r="470" spans="1:4" ht="12.75" customHeight="1" x14ac:dyDescent="0.2">
      <c r="A470" s="21"/>
      <c r="B470" s="21"/>
      <c r="C470" s="4" t="s">
        <v>56</v>
      </c>
      <c r="D470" s="6" t="str">
        <f>HYPERLINK("javascript:void(0)","varázsszálka")</f>
        <v>varázsszálka</v>
      </c>
    </row>
    <row r="471" spans="1:4" ht="12.75" customHeight="1" x14ac:dyDescent="0.2">
      <c r="A471" s="5"/>
      <c r="B471" s="2"/>
      <c r="C471" s="2"/>
      <c r="D471" s="2"/>
    </row>
    <row r="472" spans="1:4" ht="12.75" customHeight="1" x14ac:dyDescent="0.2">
      <c r="A472" s="22" t="str">
        <f>HYPERLINK("javascript:void(0)","lovagi kard")</f>
        <v>lovagi kard</v>
      </c>
      <c r="B472" s="21"/>
      <c r="C472" s="21"/>
      <c r="D472" s="21"/>
    </row>
    <row r="473" spans="1:4" ht="12.75" customHeight="1" x14ac:dyDescent="0.2">
      <c r="A473" s="20"/>
      <c r="B473" s="2"/>
      <c r="C473" s="2"/>
      <c r="D473" s="2"/>
    </row>
    <row r="474" spans="1:4" ht="12.75" customHeight="1" x14ac:dyDescent="0.2">
      <c r="A474" s="21"/>
      <c r="B474" s="3" t="s">
        <v>0</v>
      </c>
      <c r="C474" s="20" t="s">
        <v>64</v>
      </c>
      <c r="D474" s="21"/>
    </row>
    <row r="475" spans="1:4" ht="12.75" customHeight="1" x14ac:dyDescent="0.2">
      <c r="A475" s="21"/>
      <c r="B475" s="3" t="s">
        <v>2</v>
      </c>
      <c r="C475" s="20" t="s">
        <v>1598</v>
      </c>
      <c r="D475" s="21"/>
    </row>
    <row r="476" spans="1:4" ht="12.75" customHeight="1" x14ac:dyDescent="0.2">
      <c r="A476" s="21"/>
      <c r="B476" s="3" t="s">
        <v>4</v>
      </c>
      <c r="C476" s="20" t="s">
        <v>690</v>
      </c>
      <c r="D476" s="21"/>
    </row>
    <row r="477" spans="1:4" ht="12.75" customHeight="1" x14ac:dyDescent="0.2">
      <c r="A477" s="21"/>
      <c r="B477" s="3" t="s">
        <v>6</v>
      </c>
      <c r="C477" s="20" t="s">
        <v>100</v>
      </c>
      <c r="D477" s="21"/>
    </row>
    <row r="478" spans="1:4" ht="12.75" customHeight="1" x14ac:dyDescent="0.2">
      <c r="A478" s="21"/>
      <c r="B478" s="3" t="s">
        <v>8</v>
      </c>
      <c r="C478" s="20" t="s">
        <v>690</v>
      </c>
      <c r="D478" s="21"/>
    </row>
    <row r="479" spans="1:4" ht="12.75" customHeight="1" x14ac:dyDescent="0.2">
      <c r="A479" s="21"/>
      <c r="B479" s="3" t="s">
        <v>9</v>
      </c>
      <c r="C479" s="20" t="s">
        <v>129</v>
      </c>
      <c r="D479" s="21"/>
    </row>
    <row r="480" spans="1:4" ht="12.75" customHeight="1" x14ac:dyDescent="0.2">
      <c r="A480" s="21"/>
      <c r="B480" s="3" t="s">
        <v>11</v>
      </c>
      <c r="C480" s="20" t="s">
        <v>1679</v>
      </c>
      <c r="D480" s="21"/>
    </row>
    <row r="481" spans="1:4" ht="12.75" customHeight="1" x14ac:dyDescent="0.2">
      <c r="A481" s="21"/>
      <c r="B481" s="3" t="s">
        <v>13</v>
      </c>
      <c r="C481" s="20" t="s">
        <v>14</v>
      </c>
      <c r="D481" s="21"/>
    </row>
    <row r="482" spans="1:4" ht="12.75" customHeight="1" x14ac:dyDescent="0.2">
      <c r="A482" s="21"/>
      <c r="B482" s="3" t="s">
        <v>15</v>
      </c>
      <c r="C482" s="20" t="s">
        <v>24</v>
      </c>
      <c r="D482" s="21"/>
    </row>
    <row r="483" spans="1:4" ht="12.75" customHeight="1" x14ac:dyDescent="0.2">
      <c r="A483" s="21"/>
      <c r="B483" s="3" t="s">
        <v>16</v>
      </c>
      <c r="C483" s="20"/>
      <c r="D483" s="21"/>
    </row>
    <row r="484" spans="1:4" ht="12.75" customHeight="1" x14ac:dyDescent="0.2">
      <c r="A484" s="21"/>
      <c r="B484" s="3" t="s">
        <v>17</v>
      </c>
      <c r="C484" s="20"/>
      <c r="D484" s="21"/>
    </row>
    <row r="485" spans="1:4" ht="12.75" customHeight="1" x14ac:dyDescent="0.2">
      <c r="A485" s="21"/>
      <c r="B485" s="20" t="s">
        <v>18</v>
      </c>
      <c r="C485" s="4" t="s">
        <v>44</v>
      </c>
      <c r="D485" s="6" t="str">
        <f>HYPERLINK("javascript:void(0)","vámpír kard")</f>
        <v>vámpír kard</v>
      </c>
    </row>
    <row r="486" spans="1:4" ht="12.75" customHeight="1" x14ac:dyDescent="0.2">
      <c r="A486" s="21"/>
      <c r="B486" s="21"/>
      <c r="C486" s="4" t="s">
        <v>55</v>
      </c>
      <c r="D486" s="6" t="str">
        <f>HYPERLINK("javascript:void(0)","jáspis")</f>
        <v>jáspis</v>
      </c>
    </row>
    <row r="487" spans="1:4" ht="12.75" customHeight="1" x14ac:dyDescent="0.2">
      <c r="A487" s="21"/>
      <c r="B487" s="21"/>
      <c r="C487" s="4" t="s">
        <v>77</v>
      </c>
      <c r="D487" s="6" t="str">
        <f>HYPERLINK("javascript:void(0)","pegazustoll")</f>
        <v>pegazustoll</v>
      </c>
    </row>
    <row r="488" spans="1:4" ht="12.75" customHeight="1" x14ac:dyDescent="0.2">
      <c r="A488" s="5"/>
      <c r="B488" s="2"/>
      <c r="C488" s="2"/>
      <c r="D488" s="2"/>
    </row>
    <row r="489" spans="1:4" ht="12.75" customHeight="1" x14ac:dyDescent="0.2">
      <c r="A489" s="22" t="str">
        <f>HYPERLINK("javascript:void(0)","skivei szablya")</f>
        <v>skivei szablya</v>
      </c>
      <c r="B489" s="21"/>
      <c r="C489" s="21"/>
      <c r="D489" s="21"/>
    </row>
    <row r="490" spans="1:4" ht="12.75" customHeight="1" x14ac:dyDescent="0.2">
      <c r="A490" s="20"/>
      <c r="B490" s="2"/>
      <c r="C490" s="2"/>
      <c r="D490" s="2"/>
    </row>
    <row r="491" spans="1:4" ht="12.75" customHeight="1" x14ac:dyDescent="0.2">
      <c r="A491" s="21"/>
      <c r="B491" s="3" t="s">
        <v>0</v>
      </c>
      <c r="C491" s="20" t="s">
        <v>64</v>
      </c>
      <c r="D491" s="21"/>
    </row>
    <row r="492" spans="1:4" ht="12.75" customHeight="1" x14ac:dyDescent="0.2">
      <c r="A492" s="21"/>
      <c r="B492" s="3" t="s">
        <v>2</v>
      </c>
      <c r="C492" s="20" t="s">
        <v>1598</v>
      </c>
      <c r="D492" s="21"/>
    </row>
    <row r="493" spans="1:4" ht="12.75" customHeight="1" x14ac:dyDescent="0.2">
      <c r="A493" s="21"/>
      <c r="B493" s="3" t="s">
        <v>4</v>
      </c>
      <c r="C493" s="20" t="s">
        <v>690</v>
      </c>
      <c r="D493" s="21"/>
    </row>
    <row r="494" spans="1:4" ht="12.75" customHeight="1" x14ac:dyDescent="0.2">
      <c r="A494" s="21"/>
      <c r="B494" s="3" t="s">
        <v>6</v>
      </c>
      <c r="C494" s="20" t="s">
        <v>46</v>
      </c>
      <c r="D494" s="21"/>
    </row>
    <row r="495" spans="1:4" ht="12.75" customHeight="1" x14ac:dyDescent="0.2">
      <c r="A495" s="21"/>
      <c r="B495" s="3" t="s">
        <v>8</v>
      </c>
      <c r="C495" s="20" t="s">
        <v>690</v>
      </c>
      <c r="D495" s="21"/>
    </row>
    <row r="496" spans="1:4" ht="12.75" customHeight="1" x14ac:dyDescent="0.2">
      <c r="A496" s="21"/>
      <c r="B496" s="3" t="s">
        <v>9</v>
      </c>
      <c r="C496" s="20" t="s">
        <v>210</v>
      </c>
      <c r="D496" s="21"/>
    </row>
    <row r="497" spans="1:4" ht="12.75" customHeight="1" x14ac:dyDescent="0.2">
      <c r="A497" s="21"/>
      <c r="B497" s="3" t="s">
        <v>11</v>
      </c>
      <c r="C497" s="20" t="s">
        <v>1683</v>
      </c>
      <c r="D497" s="21"/>
    </row>
    <row r="498" spans="1:4" ht="12.75" customHeight="1" x14ac:dyDescent="0.2">
      <c r="A498" s="21"/>
      <c r="B498" s="3" t="s">
        <v>13</v>
      </c>
      <c r="C498" s="20" t="s">
        <v>24</v>
      </c>
      <c r="D498" s="21"/>
    </row>
    <row r="499" spans="1:4" ht="12.75" customHeight="1" x14ac:dyDescent="0.2">
      <c r="A499" s="21"/>
      <c r="B499" s="3" t="s">
        <v>15</v>
      </c>
      <c r="C499" s="20" t="s">
        <v>14</v>
      </c>
      <c r="D499" s="21"/>
    </row>
    <row r="500" spans="1:4" ht="12.75" customHeight="1" x14ac:dyDescent="0.2">
      <c r="A500" s="21"/>
      <c r="B500" s="3" t="s">
        <v>16</v>
      </c>
      <c r="C500" s="20"/>
      <c r="D500" s="21"/>
    </row>
    <row r="501" spans="1:4" ht="12.75" customHeight="1" x14ac:dyDescent="0.2">
      <c r="A501" s="21"/>
      <c r="B501" s="3" t="s">
        <v>17</v>
      </c>
      <c r="C501" s="20"/>
      <c r="D501" s="21"/>
    </row>
    <row r="502" spans="1:4" ht="12.75" customHeight="1" x14ac:dyDescent="0.2">
      <c r="A502" s="21"/>
      <c r="B502" s="20" t="s">
        <v>18</v>
      </c>
      <c r="C502" s="4" t="s">
        <v>44</v>
      </c>
      <c r="D502" s="6" t="str">
        <f>HYPERLINK("javascript:void(0)","kithrill")</f>
        <v>kithrill</v>
      </c>
    </row>
    <row r="503" spans="1:4" ht="12.75" customHeight="1" x14ac:dyDescent="0.2">
      <c r="A503" s="21"/>
      <c r="B503" s="21"/>
      <c r="C503" s="4" t="s">
        <v>44</v>
      </c>
      <c r="D503" s="6" t="str">
        <f>HYPERLINK("javascript:void(0)","csontszablya")</f>
        <v>csontszablya</v>
      </c>
    </row>
    <row r="504" spans="1:4" ht="12.75" customHeight="1" x14ac:dyDescent="0.2">
      <c r="A504" s="21"/>
      <c r="B504" s="21"/>
      <c r="C504" s="4" t="s">
        <v>323</v>
      </c>
      <c r="D504" s="6" t="str">
        <f>HYPERLINK("javascript:void(0)","ezüst")</f>
        <v>ezüst</v>
      </c>
    </row>
    <row r="505" spans="1:4" ht="12.75" customHeight="1" x14ac:dyDescent="0.2">
      <c r="A505" s="5"/>
      <c r="B505" s="2"/>
      <c r="C505" s="2"/>
      <c r="D505" s="2"/>
    </row>
    <row r="506" spans="1:4" ht="12.75" customHeight="1" x14ac:dyDescent="0.2">
      <c r="A506" s="22" t="str">
        <f>HYPERLINK("javascript:void(0)","7 élű kard")</f>
        <v>7 élű kard</v>
      </c>
      <c r="B506" s="21"/>
      <c r="C506" s="21"/>
      <c r="D506" s="21"/>
    </row>
    <row r="507" spans="1:4" ht="12.75" customHeight="1" x14ac:dyDescent="0.2">
      <c r="A507" s="20"/>
      <c r="B507" s="2"/>
      <c r="C507" s="2"/>
      <c r="D507" s="2"/>
    </row>
    <row r="508" spans="1:4" ht="12.75" customHeight="1" x14ac:dyDescent="0.2">
      <c r="A508" s="21"/>
      <c r="B508" s="3" t="s">
        <v>0</v>
      </c>
      <c r="C508" s="20" t="s">
        <v>72</v>
      </c>
      <c r="D508" s="21"/>
    </row>
    <row r="509" spans="1:4" ht="12.75" customHeight="1" x14ac:dyDescent="0.2">
      <c r="A509" s="21"/>
      <c r="B509" s="3" t="s">
        <v>2</v>
      </c>
      <c r="C509" s="20" t="s">
        <v>1598</v>
      </c>
      <c r="D509" s="21"/>
    </row>
    <row r="510" spans="1:4" ht="12.75" customHeight="1" x14ac:dyDescent="0.2">
      <c r="A510" s="21"/>
      <c r="B510" s="3" t="s">
        <v>4</v>
      </c>
      <c r="C510" s="20" t="s">
        <v>709</v>
      </c>
      <c r="D510" s="21"/>
    </row>
    <row r="511" spans="1:4" ht="12.75" customHeight="1" x14ac:dyDescent="0.2">
      <c r="A511" s="21"/>
      <c r="B511" s="3" t="s">
        <v>6</v>
      </c>
      <c r="C511" s="20" t="s">
        <v>40</v>
      </c>
      <c r="D511" s="21"/>
    </row>
    <row r="512" spans="1:4" ht="12.75" customHeight="1" x14ac:dyDescent="0.2">
      <c r="A512" s="21"/>
      <c r="B512" s="3" t="s">
        <v>8</v>
      </c>
      <c r="C512" s="20" t="s">
        <v>709</v>
      </c>
      <c r="D512" s="21"/>
    </row>
    <row r="513" spans="1:4" ht="12.75" customHeight="1" x14ac:dyDescent="0.2">
      <c r="A513" s="21"/>
      <c r="B513" s="3" t="s">
        <v>9</v>
      </c>
      <c r="C513" s="20" t="s">
        <v>374</v>
      </c>
      <c r="D513" s="21"/>
    </row>
    <row r="514" spans="1:4" ht="12.75" customHeight="1" x14ac:dyDescent="0.2">
      <c r="A514" s="21"/>
      <c r="B514" s="3" t="s">
        <v>11</v>
      </c>
      <c r="C514" s="20" t="s">
        <v>1686</v>
      </c>
      <c r="D514" s="21"/>
    </row>
    <row r="515" spans="1:4" ht="12.75" customHeight="1" x14ac:dyDescent="0.2">
      <c r="A515" s="21"/>
      <c r="B515" s="3" t="s">
        <v>13</v>
      </c>
      <c r="C515" s="20" t="s">
        <v>14</v>
      </c>
      <c r="D515" s="21"/>
    </row>
    <row r="516" spans="1:4" ht="12.75" customHeight="1" x14ac:dyDescent="0.2">
      <c r="A516" s="21"/>
      <c r="B516" s="3" t="s">
        <v>15</v>
      </c>
      <c r="C516" s="20" t="s">
        <v>24</v>
      </c>
      <c r="D516" s="21"/>
    </row>
    <row r="517" spans="1:4" ht="12.75" customHeight="1" x14ac:dyDescent="0.2">
      <c r="A517" s="21"/>
      <c r="B517" s="3" t="s">
        <v>16</v>
      </c>
      <c r="C517" s="20"/>
      <c r="D517" s="21"/>
    </row>
    <row r="518" spans="1:4" ht="12.75" customHeight="1" x14ac:dyDescent="0.2">
      <c r="A518" s="21"/>
      <c r="B518" s="3" t="s">
        <v>17</v>
      </c>
      <c r="C518" s="20"/>
      <c r="D518" s="21"/>
    </row>
    <row r="519" spans="1:4" ht="12.75" customHeight="1" x14ac:dyDescent="0.2">
      <c r="A519" s="21"/>
      <c r="B519" s="20" t="s">
        <v>18</v>
      </c>
      <c r="C519" s="4" t="s">
        <v>44</v>
      </c>
      <c r="D519" s="6" t="str">
        <f>HYPERLINK("javascript:void(0)","6 élű kard")</f>
        <v>6 élű kard</v>
      </c>
    </row>
    <row r="520" spans="1:4" ht="12.75" customHeight="1" x14ac:dyDescent="0.2">
      <c r="A520" s="21"/>
      <c r="B520" s="21"/>
      <c r="C520" s="4" t="s">
        <v>44</v>
      </c>
      <c r="D520" s="6" t="str">
        <f>HYPERLINK("javascript:void(0)","gyémánt")</f>
        <v>gyémánt</v>
      </c>
    </row>
    <row r="521" spans="1:4" ht="12.75" customHeight="1" x14ac:dyDescent="0.2">
      <c r="A521" s="21"/>
      <c r="B521" s="21"/>
      <c r="C521" s="4" t="s">
        <v>196</v>
      </c>
      <c r="D521" s="6" t="str">
        <f>HYPERLINK("javascript:void(0)","ezüst patkó")</f>
        <v>ezüst patkó</v>
      </c>
    </row>
    <row r="522" spans="1:4" ht="12.75" customHeight="1" x14ac:dyDescent="0.2">
      <c r="A522" s="5"/>
      <c r="B522" s="2"/>
      <c r="C522" s="2"/>
      <c r="D522" s="2"/>
    </row>
    <row r="523" spans="1:4" ht="12.75" customHeight="1" x14ac:dyDescent="0.2">
      <c r="A523" s="22" t="str">
        <f>HYPERLINK("javascript:void(0)","mengorni szablya")</f>
        <v>mengorni szablya</v>
      </c>
      <c r="B523" s="21"/>
      <c r="C523" s="21"/>
      <c r="D523" s="21"/>
    </row>
    <row r="524" spans="1:4" ht="12.75" customHeight="1" x14ac:dyDescent="0.2">
      <c r="A524" s="20"/>
      <c r="B524" s="2"/>
      <c r="C524" s="2"/>
      <c r="D524" s="2"/>
    </row>
    <row r="525" spans="1:4" ht="12.75" customHeight="1" x14ac:dyDescent="0.2">
      <c r="A525" s="21"/>
      <c r="B525" s="3" t="s">
        <v>0</v>
      </c>
      <c r="C525" s="20" t="s">
        <v>72</v>
      </c>
      <c r="D525" s="21"/>
    </row>
    <row r="526" spans="1:4" ht="12.75" customHeight="1" x14ac:dyDescent="0.2">
      <c r="A526" s="21"/>
      <c r="B526" s="3" t="s">
        <v>2</v>
      </c>
      <c r="C526" s="20" t="s">
        <v>1598</v>
      </c>
      <c r="D526" s="21"/>
    </row>
    <row r="527" spans="1:4" ht="12.75" customHeight="1" x14ac:dyDescent="0.2">
      <c r="A527" s="21"/>
      <c r="B527" s="3" t="s">
        <v>4</v>
      </c>
      <c r="C527" s="20" t="s">
        <v>680</v>
      </c>
      <c r="D527" s="21"/>
    </row>
    <row r="528" spans="1:4" ht="12.75" customHeight="1" x14ac:dyDescent="0.2">
      <c r="A528" s="21"/>
      <c r="B528" s="3" t="s">
        <v>6</v>
      </c>
      <c r="C528" s="20" t="s">
        <v>46</v>
      </c>
      <c r="D528" s="21"/>
    </row>
    <row r="529" spans="1:4" ht="12.75" customHeight="1" x14ac:dyDescent="0.2">
      <c r="A529" s="21"/>
      <c r="B529" s="3" t="s">
        <v>8</v>
      </c>
      <c r="C529" s="20" t="s">
        <v>680</v>
      </c>
      <c r="D529" s="21"/>
    </row>
    <row r="530" spans="1:4" ht="12.75" customHeight="1" x14ac:dyDescent="0.2">
      <c r="A530" s="21"/>
      <c r="B530" s="3" t="s">
        <v>9</v>
      </c>
      <c r="C530" s="20" t="s">
        <v>147</v>
      </c>
      <c r="D530" s="21"/>
    </row>
    <row r="531" spans="1:4" ht="12.75" customHeight="1" x14ac:dyDescent="0.2">
      <c r="A531" s="21"/>
      <c r="B531" s="3" t="s">
        <v>11</v>
      </c>
      <c r="C531" s="20" t="s">
        <v>1690</v>
      </c>
      <c r="D531" s="21"/>
    </row>
    <row r="532" spans="1:4" ht="12.75" customHeight="1" x14ac:dyDescent="0.2">
      <c r="A532" s="21"/>
      <c r="B532" s="3" t="s">
        <v>13</v>
      </c>
      <c r="C532" s="20" t="s">
        <v>14</v>
      </c>
      <c r="D532" s="21"/>
    </row>
    <row r="533" spans="1:4" ht="12.75" customHeight="1" x14ac:dyDescent="0.2">
      <c r="A533" s="21"/>
      <c r="B533" s="3" t="s">
        <v>15</v>
      </c>
      <c r="C533" s="20" t="s">
        <v>24</v>
      </c>
      <c r="D533" s="21"/>
    </row>
    <row r="534" spans="1:4" ht="12.75" customHeight="1" x14ac:dyDescent="0.2">
      <c r="A534" s="21"/>
      <c r="B534" s="3" t="s">
        <v>16</v>
      </c>
      <c r="C534" s="20"/>
      <c r="D534" s="21"/>
    </row>
    <row r="535" spans="1:4" ht="12.75" customHeight="1" x14ac:dyDescent="0.2">
      <c r="A535" s="21"/>
      <c r="B535" s="3" t="s">
        <v>17</v>
      </c>
      <c r="C535" s="20"/>
      <c r="D535" s="21"/>
    </row>
    <row r="536" spans="1:4" ht="12.75" customHeight="1" x14ac:dyDescent="0.2">
      <c r="A536" s="21"/>
      <c r="B536" s="20" t="s">
        <v>18</v>
      </c>
      <c r="C536" s="4" t="s">
        <v>44</v>
      </c>
      <c r="D536" s="6" t="str">
        <f>HYPERLINK("javascript:void(0)","diszprózium")</f>
        <v>diszprózium</v>
      </c>
    </row>
    <row r="537" spans="1:4" ht="12.75" customHeight="1" x14ac:dyDescent="0.2">
      <c r="A537" s="21"/>
      <c r="B537" s="21"/>
      <c r="C537" s="4" t="s">
        <v>44</v>
      </c>
      <c r="D537" s="6" t="str">
        <f>HYPERLINK("javascript:void(0)","csontszablya")</f>
        <v>csontszablya</v>
      </c>
    </row>
    <row r="538" spans="1:4" ht="12.75" customHeight="1" x14ac:dyDescent="0.2">
      <c r="A538" s="21"/>
      <c r="B538" s="21"/>
      <c r="C538" s="4" t="s">
        <v>150</v>
      </c>
      <c r="D538" s="6" t="str">
        <f>HYPERLINK("javascript:void(0)","ezüst")</f>
        <v>ezüst</v>
      </c>
    </row>
    <row r="539" spans="1:4" ht="12.75" customHeight="1" x14ac:dyDescent="0.2">
      <c r="A539" s="5"/>
      <c r="B539" s="2"/>
      <c r="C539" s="2"/>
      <c r="D539" s="2"/>
    </row>
    <row r="540" spans="1:4" ht="12.75" customHeight="1" x14ac:dyDescent="0.2">
      <c r="A540" s="22" t="str">
        <f>HYPERLINK("javascript:void(0)","varázsgereblye")</f>
        <v>varázsgereblye</v>
      </c>
      <c r="B540" s="21"/>
      <c r="C540" s="21"/>
      <c r="D540" s="2"/>
    </row>
    <row r="541" spans="1:4" ht="12.75" customHeight="1" x14ac:dyDescent="0.2">
      <c r="A541" s="20"/>
      <c r="B541" s="2"/>
      <c r="C541" s="2"/>
      <c r="D541" s="2"/>
    </row>
    <row r="542" spans="1:4" ht="12.75" customHeight="1" x14ac:dyDescent="0.2">
      <c r="A542" s="21"/>
      <c r="B542" s="3" t="s">
        <v>0</v>
      </c>
      <c r="C542" s="3" t="s">
        <v>82</v>
      </c>
      <c r="D542" s="2"/>
    </row>
    <row r="543" spans="1:4" ht="12.75" customHeight="1" x14ac:dyDescent="0.2">
      <c r="A543" s="21"/>
      <c r="B543" s="3" t="s">
        <v>2</v>
      </c>
      <c r="C543" s="3" t="s">
        <v>1598</v>
      </c>
      <c r="D543" s="2"/>
    </row>
    <row r="544" spans="1:4" ht="12.75" customHeight="1" x14ac:dyDescent="0.2">
      <c r="A544" s="21"/>
      <c r="B544" s="3" t="s">
        <v>4</v>
      </c>
      <c r="C544" s="3" t="s">
        <v>874</v>
      </c>
      <c r="D544" s="2"/>
    </row>
    <row r="545" spans="1:4" ht="12.75" customHeight="1" x14ac:dyDescent="0.2">
      <c r="A545" s="21"/>
      <c r="B545" s="3" t="s">
        <v>6</v>
      </c>
      <c r="C545" s="3" t="s">
        <v>86</v>
      </c>
      <c r="D545" s="2"/>
    </row>
    <row r="546" spans="1:4" ht="12.75" customHeight="1" x14ac:dyDescent="0.2">
      <c r="A546" s="21"/>
      <c r="B546" s="3" t="s">
        <v>8</v>
      </c>
      <c r="C546" s="3" t="s">
        <v>874</v>
      </c>
      <c r="D546" s="2"/>
    </row>
    <row r="547" spans="1:4" ht="12.75" customHeight="1" x14ac:dyDescent="0.2">
      <c r="A547" s="21"/>
      <c r="B547" s="3" t="s">
        <v>9</v>
      </c>
      <c r="C547" s="3" t="s">
        <v>140</v>
      </c>
      <c r="D547" s="2"/>
    </row>
    <row r="548" spans="1:4" ht="12.75" customHeight="1" x14ac:dyDescent="0.2">
      <c r="A548" s="21"/>
      <c r="B548" s="3" t="s">
        <v>11</v>
      </c>
      <c r="C548" s="3" t="s">
        <v>1692</v>
      </c>
      <c r="D548" s="2"/>
    </row>
    <row r="549" spans="1:4" ht="12.75" customHeight="1" x14ac:dyDescent="0.2">
      <c r="A549" s="21"/>
      <c r="B549" s="3" t="s">
        <v>13</v>
      </c>
      <c r="C549" s="3" t="s">
        <v>24</v>
      </c>
      <c r="D549" s="2"/>
    </row>
    <row r="550" spans="1:4" ht="12.75" customHeight="1" x14ac:dyDescent="0.2">
      <c r="A550" s="21"/>
      <c r="B550" s="3" t="s">
        <v>15</v>
      </c>
      <c r="C550" s="3" t="s">
        <v>14</v>
      </c>
      <c r="D550" s="2"/>
    </row>
    <row r="551" spans="1:4" ht="12.75" customHeight="1" x14ac:dyDescent="0.2">
      <c r="A551" s="21"/>
      <c r="B551" s="3" t="s">
        <v>16</v>
      </c>
      <c r="C551" s="3"/>
      <c r="D551" s="2"/>
    </row>
    <row r="552" spans="1:4" ht="12.75" customHeight="1" x14ac:dyDescent="0.2">
      <c r="A552" s="21"/>
      <c r="B552" s="3" t="s">
        <v>17</v>
      </c>
      <c r="C552" s="3"/>
      <c r="D552" s="2"/>
    </row>
    <row r="553" spans="1:4" ht="12.75" customHeight="1" x14ac:dyDescent="0.2">
      <c r="A553" s="21"/>
      <c r="B553" s="3" t="s">
        <v>18</v>
      </c>
      <c r="C553" s="4" t="s">
        <v>19</v>
      </c>
      <c r="D553" s="2"/>
    </row>
    <row r="554" spans="1:4" ht="12.75" customHeight="1" x14ac:dyDescent="0.2">
      <c r="A554" s="5"/>
      <c r="B554" s="2"/>
      <c r="C554" s="2"/>
      <c r="D554" s="2"/>
    </row>
    <row r="555" spans="1:4" ht="12.75" customHeight="1" x14ac:dyDescent="0.2">
      <c r="A555" s="22" t="str">
        <f>HYPERLINK("javascript:void(0)","ezüst fejsze")</f>
        <v>ezüst fejsze</v>
      </c>
      <c r="B555" s="21"/>
      <c r="C555" s="21"/>
      <c r="D555" s="21"/>
    </row>
    <row r="556" spans="1:4" ht="12.75" customHeight="1" x14ac:dyDescent="0.2">
      <c r="A556" s="20"/>
      <c r="B556" s="2"/>
      <c r="C556" s="2"/>
      <c r="D556" s="2"/>
    </row>
    <row r="557" spans="1:4" ht="12.75" customHeight="1" x14ac:dyDescent="0.2">
      <c r="A557" s="21"/>
      <c r="B557" s="3" t="s">
        <v>0</v>
      </c>
      <c r="C557" s="20" t="s">
        <v>82</v>
      </c>
      <c r="D557" s="21"/>
    </row>
    <row r="558" spans="1:4" ht="12.75" customHeight="1" x14ac:dyDescent="0.2">
      <c r="A558" s="21"/>
      <c r="B558" s="3" t="s">
        <v>2</v>
      </c>
      <c r="C558" s="20" t="s">
        <v>1598</v>
      </c>
      <c r="D558" s="21"/>
    </row>
    <row r="559" spans="1:4" ht="12.75" customHeight="1" x14ac:dyDescent="0.2">
      <c r="A559" s="21"/>
      <c r="B559" s="3" t="s">
        <v>4</v>
      </c>
      <c r="C559" s="20" t="s">
        <v>776</v>
      </c>
      <c r="D559" s="21"/>
    </row>
    <row r="560" spans="1:4" ht="12.75" customHeight="1" x14ac:dyDescent="0.2">
      <c r="A560" s="21"/>
      <c r="B560" s="3" t="s">
        <v>6</v>
      </c>
      <c r="C560" s="20" t="s">
        <v>51</v>
      </c>
      <c r="D560" s="21"/>
    </row>
    <row r="561" spans="1:4" ht="12.75" customHeight="1" x14ac:dyDescent="0.2">
      <c r="A561" s="21"/>
      <c r="B561" s="3" t="s">
        <v>8</v>
      </c>
      <c r="C561" s="20" t="s">
        <v>776</v>
      </c>
      <c r="D561" s="21"/>
    </row>
    <row r="562" spans="1:4" ht="12.75" customHeight="1" x14ac:dyDescent="0.2">
      <c r="A562" s="21"/>
      <c r="B562" s="3" t="s">
        <v>9</v>
      </c>
      <c r="C562" s="20" t="s">
        <v>61</v>
      </c>
      <c r="D562" s="21"/>
    </row>
    <row r="563" spans="1:4" ht="12.75" customHeight="1" x14ac:dyDescent="0.2">
      <c r="A563" s="21"/>
      <c r="B563" s="3" t="s">
        <v>11</v>
      </c>
      <c r="C563" s="20" t="s">
        <v>277</v>
      </c>
      <c r="D563" s="21"/>
    </row>
    <row r="564" spans="1:4" ht="12.75" customHeight="1" x14ac:dyDescent="0.2">
      <c r="A564" s="21"/>
      <c r="B564" s="3" t="s">
        <v>13</v>
      </c>
      <c r="C564" s="20" t="s">
        <v>14</v>
      </c>
      <c r="D564" s="21"/>
    </row>
    <row r="565" spans="1:4" ht="12.75" customHeight="1" x14ac:dyDescent="0.2">
      <c r="A565" s="21"/>
      <c r="B565" s="3" t="s">
        <v>15</v>
      </c>
      <c r="C565" s="20" t="s">
        <v>14</v>
      </c>
      <c r="D565" s="21"/>
    </row>
    <row r="566" spans="1:4" ht="12.75" customHeight="1" x14ac:dyDescent="0.2">
      <c r="A566" s="21"/>
      <c r="B566" s="3" t="s">
        <v>16</v>
      </c>
      <c r="C566" s="20"/>
      <c r="D566" s="21"/>
    </row>
    <row r="567" spans="1:4" ht="12.75" customHeight="1" x14ac:dyDescent="0.2">
      <c r="A567" s="21"/>
      <c r="B567" s="3" t="s">
        <v>17</v>
      </c>
      <c r="C567" s="20"/>
      <c r="D567" s="21"/>
    </row>
    <row r="568" spans="1:4" ht="12.75" customHeight="1" x14ac:dyDescent="0.2">
      <c r="A568" s="21"/>
      <c r="B568" s="20" t="s">
        <v>18</v>
      </c>
      <c r="C568" s="4" t="s">
        <v>44</v>
      </c>
      <c r="D568" s="6" t="str">
        <f>HYPERLINK("javascript:void(0)","acélfejsze")</f>
        <v>acélfejsze</v>
      </c>
    </row>
    <row r="569" spans="1:4" ht="12.75" customHeight="1" x14ac:dyDescent="0.2">
      <c r="A569" s="21"/>
      <c r="B569" s="21"/>
      <c r="C569" s="4" t="s">
        <v>63</v>
      </c>
      <c r="D569" s="6" t="str">
        <f>HYPERLINK("javascript:void(0)","ezüst")</f>
        <v>ezüst</v>
      </c>
    </row>
    <row r="570" spans="1:4" ht="12.75" customHeight="1" x14ac:dyDescent="0.2">
      <c r="A570" s="21"/>
      <c r="B570" s="21"/>
      <c r="C570" s="4" t="s">
        <v>77</v>
      </c>
      <c r="D570" s="6" t="str">
        <f>HYPERLINK("javascript:void(0)","arany")</f>
        <v>arany</v>
      </c>
    </row>
    <row r="571" spans="1:4" ht="12.75" customHeight="1" x14ac:dyDescent="0.2">
      <c r="A571" s="5"/>
      <c r="B571" s="2"/>
      <c r="C571" s="2"/>
      <c r="D571" s="2"/>
    </row>
    <row r="572" spans="1:4" ht="12.75" customHeight="1" x14ac:dyDescent="0.2">
      <c r="A572" s="22" t="str">
        <f>HYPERLINK("javascript:void(0)","skivei fejsze")</f>
        <v>skivei fejsze</v>
      </c>
      <c r="B572" s="21"/>
      <c r="C572" s="21"/>
      <c r="D572" s="21"/>
    </row>
    <row r="573" spans="1:4" ht="12.75" customHeight="1" x14ac:dyDescent="0.2">
      <c r="A573" s="20"/>
      <c r="B573" s="2"/>
      <c r="C573" s="2"/>
      <c r="D573" s="2"/>
    </row>
    <row r="574" spans="1:4" ht="12.75" customHeight="1" x14ac:dyDescent="0.2">
      <c r="A574" s="21"/>
      <c r="B574" s="3" t="s">
        <v>0</v>
      </c>
      <c r="C574" s="20" t="s">
        <v>82</v>
      </c>
      <c r="D574" s="21"/>
    </row>
    <row r="575" spans="1:4" ht="12.75" customHeight="1" x14ac:dyDescent="0.2">
      <c r="A575" s="21"/>
      <c r="B575" s="3" t="s">
        <v>2</v>
      </c>
      <c r="C575" s="20" t="s">
        <v>1598</v>
      </c>
      <c r="D575" s="21"/>
    </row>
    <row r="576" spans="1:4" ht="12.75" customHeight="1" x14ac:dyDescent="0.2">
      <c r="A576" s="21"/>
      <c r="B576" s="3" t="s">
        <v>4</v>
      </c>
      <c r="C576" s="20" t="s">
        <v>853</v>
      </c>
      <c r="D576" s="21"/>
    </row>
    <row r="577" spans="1:4" ht="12.75" customHeight="1" x14ac:dyDescent="0.2">
      <c r="A577" s="21"/>
      <c r="B577" s="3" t="s">
        <v>6</v>
      </c>
      <c r="C577" s="20" t="s">
        <v>74</v>
      </c>
      <c r="D577" s="21"/>
    </row>
    <row r="578" spans="1:4" ht="12.75" customHeight="1" x14ac:dyDescent="0.2">
      <c r="A578" s="21"/>
      <c r="B578" s="3" t="s">
        <v>8</v>
      </c>
      <c r="C578" s="20" t="s">
        <v>853</v>
      </c>
      <c r="D578" s="21"/>
    </row>
    <row r="579" spans="1:4" ht="12.75" customHeight="1" x14ac:dyDescent="0.2">
      <c r="A579" s="21"/>
      <c r="B579" s="3" t="s">
        <v>9</v>
      </c>
      <c r="C579" s="20" t="s">
        <v>200</v>
      </c>
      <c r="D579" s="21"/>
    </row>
    <row r="580" spans="1:4" ht="12.75" customHeight="1" x14ac:dyDescent="0.2">
      <c r="A580" s="21"/>
      <c r="B580" s="3" t="s">
        <v>11</v>
      </c>
      <c r="C580" s="20" t="s">
        <v>1696</v>
      </c>
      <c r="D580" s="21"/>
    </row>
    <row r="581" spans="1:4" ht="12.75" customHeight="1" x14ac:dyDescent="0.2">
      <c r="A581" s="21"/>
      <c r="B581" s="3" t="s">
        <v>13</v>
      </c>
      <c r="C581" s="20" t="s">
        <v>24</v>
      </c>
      <c r="D581" s="21"/>
    </row>
    <row r="582" spans="1:4" ht="12.75" customHeight="1" x14ac:dyDescent="0.2">
      <c r="A582" s="21"/>
      <c r="B582" s="3" t="s">
        <v>15</v>
      </c>
      <c r="C582" s="20" t="s">
        <v>14</v>
      </c>
      <c r="D582" s="21"/>
    </row>
    <row r="583" spans="1:4" ht="12.75" customHeight="1" x14ac:dyDescent="0.2">
      <c r="A583" s="21"/>
      <c r="B583" s="3" t="s">
        <v>16</v>
      </c>
      <c r="C583" s="20"/>
      <c r="D583" s="21"/>
    </row>
    <row r="584" spans="1:4" ht="12.75" customHeight="1" x14ac:dyDescent="0.2">
      <c r="A584" s="21"/>
      <c r="B584" s="3" t="s">
        <v>17</v>
      </c>
      <c r="C584" s="20"/>
      <c r="D584" s="21"/>
    </row>
    <row r="585" spans="1:4" ht="12.75" customHeight="1" x14ac:dyDescent="0.2">
      <c r="A585" s="21"/>
      <c r="B585" s="20" t="s">
        <v>18</v>
      </c>
      <c r="C585" s="4" t="s">
        <v>44</v>
      </c>
      <c r="D585" s="6" t="str">
        <f>HYPERLINK("javascript:void(0)","kithrill")</f>
        <v>kithrill</v>
      </c>
    </row>
    <row r="586" spans="1:4" ht="12.75" customHeight="1" x14ac:dyDescent="0.2">
      <c r="A586" s="21"/>
      <c r="B586" s="21"/>
      <c r="C586" s="4" t="s">
        <v>44</v>
      </c>
      <c r="D586" s="6" t="str">
        <f>HYPERLINK("javascript:void(0)","ezüst fejsze")</f>
        <v>ezüst fejsze</v>
      </c>
    </row>
    <row r="587" spans="1:4" ht="12.75" customHeight="1" x14ac:dyDescent="0.2">
      <c r="A587" s="21"/>
      <c r="B587" s="21"/>
      <c r="C587" s="4" t="s">
        <v>1699</v>
      </c>
      <c r="D587" s="6" t="str">
        <f>HYPERLINK("javascript:void(0)","ezüst")</f>
        <v>ezüst</v>
      </c>
    </row>
    <row r="588" spans="1:4" ht="12.75" customHeight="1" x14ac:dyDescent="0.2">
      <c r="A588" s="5"/>
      <c r="B588" s="2"/>
      <c r="C588" s="2"/>
      <c r="D588" s="2"/>
    </row>
    <row r="589" spans="1:4" ht="12.75" customHeight="1" x14ac:dyDescent="0.2">
      <c r="A589" s="22" t="str">
        <f>HYPERLINK("javascript:void(0)","mérgezett tőr")</f>
        <v>mérgezett tőr</v>
      </c>
      <c r="B589" s="21"/>
      <c r="C589" s="21"/>
      <c r="D589" s="21"/>
    </row>
    <row r="590" spans="1:4" ht="12.75" customHeight="1" x14ac:dyDescent="0.2">
      <c r="A590" s="20"/>
      <c r="B590" s="2"/>
      <c r="C590" s="2"/>
      <c r="D590" s="2"/>
    </row>
    <row r="591" spans="1:4" ht="12.75" customHeight="1" x14ac:dyDescent="0.2">
      <c r="A591" s="21"/>
      <c r="B591" s="3" t="s">
        <v>0</v>
      </c>
      <c r="C591" s="20" t="s">
        <v>86</v>
      </c>
      <c r="D591" s="21"/>
    </row>
    <row r="592" spans="1:4" ht="12.75" customHeight="1" x14ac:dyDescent="0.2">
      <c r="A592" s="21"/>
      <c r="B592" s="3" t="s">
        <v>2</v>
      </c>
      <c r="C592" s="20" t="s">
        <v>1598</v>
      </c>
      <c r="D592" s="21"/>
    </row>
    <row r="593" spans="1:4" ht="12.75" customHeight="1" x14ac:dyDescent="0.2">
      <c r="A593" s="21"/>
      <c r="B593" s="3" t="s">
        <v>4</v>
      </c>
      <c r="C593" s="20" t="s">
        <v>896</v>
      </c>
      <c r="D593" s="21"/>
    </row>
    <row r="594" spans="1:4" ht="12.75" customHeight="1" x14ac:dyDescent="0.2">
      <c r="A594" s="21"/>
      <c r="B594" s="3" t="s">
        <v>6</v>
      </c>
      <c r="C594" s="20" t="s">
        <v>90</v>
      </c>
      <c r="D594" s="21"/>
    </row>
    <row r="595" spans="1:4" ht="12.75" customHeight="1" x14ac:dyDescent="0.2">
      <c r="A595" s="21"/>
      <c r="B595" s="3" t="s">
        <v>8</v>
      </c>
      <c r="C595" s="20" t="s">
        <v>896</v>
      </c>
      <c r="D595" s="21"/>
    </row>
    <row r="596" spans="1:4" ht="12.75" customHeight="1" x14ac:dyDescent="0.2">
      <c r="A596" s="21"/>
      <c r="B596" s="3" t="s">
        <v>9</v>
      </c>
      <c r="C596" s="20" t="s">
        <v>93</v>
      </c>
      <c r="D596" s="21"/>
    </row>
    <row r="597" spans="1:4" ht="12.75" customHeight="1" x14ac:dyDescent="0.2">
      <c r="A597" s="21"/>
      <c r="B597" s="3" t="s">
        <v>11</v>
      </c>
      <c r="C597" s="20" t="s">
        <v>1701</v>
      </c>
      <c r="D597" s="21"/>
    </row>
    <row r="598" spans="1:4" ht="12.75" customHeight="1" x14ac:dyDescent="0.2">
      <c r="A598" s="21"/>
      <c r="B598" s="3" t="s">
        <v>13</v>
      </c>
      <c r="C598" s="20" t="s">
        <v>24</v>
      </c>
      <c r="D598" s="21"/>
    </row>
    <row r="599" spans="1:4" ht="12.75" customHeight="1" x14ac:dyDescent="0.2">
      <c r="A599" s="21"/>
      <c r="B599" s="3" t="s">
        <v>15</v>
      </c>
      <c r="C599" s="20" t="s">
        <v>14</v>
      </c>
      <c r="D599" s="21"/>
    </row>
    <row r="600" spans="1:4" ht="12.75" customHeight="1" x14ac:dyDescent="0.2">
      <c r="A600" s="21"/>
      <c r="B600" s="3" t="s">
        <v>16</v>
      </c>
      <c r="C600" s="20"/>
      <c r="D600" s="21"/>
    </row>
    <row r="601" spans="1:4" ht="12.75" customHeight="1" x14ac:dyDescent="0.2">
      <c r="A601" s="21"/>
      <c r="B601" s="3" t="s">
        <v>17</v>
      </c>
      <c r="C601" s="20"/>
      <c r="D601" s="21"/>
    </row>
    <row r="602" spans="1:4" ht="12.75" customHeight="1" x14ac:dyDescent="0.2">
      <c r="A602" s="21"/>
      <c r="B602" s="20" t="s">
        <v>18</v>
      </c>
      <c r="C602" s="4" t="s">
        <v>77</v>
      </c>
      <c r="D602" s="6" t="str">
        <f>HYPERLINK("javascript:void(0)","savkristály")</f>
        <v>savkristály</v>
      </c>
    </row>
    <row r="603" spans="1:4" ht="12.75" customHeight="1" x14ac:dyDescent="0.2">
      <c r="A603" s="21"/>
      <c r="B603" s="21"/>
      <c r="C603" s="4" t="s">
        <v>44</v>
      </c>
      <c r="D603" s="6" t="str">
        <f>HYPERLINK("javascript:void(0)","kitinpenge")</f>
        <v>kitinpenge</v>
      </c>
    </row>
    <row r="604" spans="1:4" ht="12.75" customHeight="1" x14ac:dyDescent="0.2">
      <c r="A604" s="21"/>
      <c r="B604" s="21"/>
      <c r="C604" s="4" t="s">
        <v>68</v>
      </c>
      <c r="D604" s="6" t="str">
        <f>HYPERLINK("javascript:void(0)","gyöngy")</f>
        <v>gyöngy</v>
      </c>
    </row>
    <row r="605" spans="1:4" ht="12.75" customHeight="1" x14ac:dyDescent="0.2">
      <c r="A605" s="5"/>
      <c r="B605" s="2"/>
      <c r="C605" s="2"/>
      <c r="D605" s="2"/>
    </row>
    <row r="606" spans="1:4" ht="12.75" customHeight="1" x14ac:dyDescent="0.2">
      <c r="A606" s="22" t="str">
        <f>HYPERLINK("javascript:void(0)","csontszablya")</f>
        <v>csontszablya</v>
      </c>
      <c r="B606" s="21"/>
      <c r="C606" s="21"/>
      <c r="D606" s="21"/>
    </row>
    <row r="607" spans="1:4" ht="12.75" customHeight="1" x14ac:dyDescent="0.2">
      <c r="A607" s="20"/>
      <c r="B607" s="2"/>
      <c r="C607" s="2"/>
      <c r="D607" s="2"/>
    </row>
    <row r="608" spans="1:4" ht="12.75" customHeight="1" x14ac:dyDescent="0.2">
      <c r="A608" s="21"/>
      <c r="B608" s="3" t="s">
        <v>0</v>
      </c>
      <c r="C608" s="20" t="s">
        <v>86</v>
      </c>
      <c r="D608" s="21"/>
    </row>
    <row r="609" spans="1:4" ht="12.75" customHeight="1" x14ac:dyDescent="0.2">
      <c r="A609" s="21"/>
      <c r="B609" s="3" t="s">
        <v>2</v>
      </c>
      <c r="C609" s="20" t="s">
        <v>1598</v>
      </c>
      <c r="D609" s="21"/>
    </row>
    <row r="610" spans="1:4" ht="12.75" customHeight="1" x14ac:dyDescent="0.2">
      <c r="A610" s="21"/>
      <c r="B610" s="3" t="s">
        <v>4</v>
      </c>
      <c r="C610" s="20" t="s">
        <v>953</v>
      </c>
      <c r="D610" s="21"/>
    </row>
    <row r="611" spans="1:4" ht="12.75" customHeight="1" x14ac:dyDescent="0.2">
      <c r="A611" s="21"/>
      <c r="B611" s="3" t="s">
        <v>6</v>
      </c>
      <c r="C611" s="20" t="s">
        <v>51</v>
      </c>
      <c r="D611" s="21"/>
    </row>
    <row r="612" spans="1:4" ht="12.75" customHeight="1" x14ac:dyDescent="0.2">
      <c r="A612" s="21"/>
      <c r="B612" s="3" t="s">
        <v>8</v>
      </c>
      <c r="C612" s="20" t="s">
        <v>953</v>
      </c>
      <c r="D612" s="21"/>
    </row>
    <row r="613" spans="1:4" ht="12.75" customHeight="1" x14ac:dyDescent="0.2">
      <c r="A613" s="21"/>
      <c r="B613" s="3" t="s">
        <v>9</v>
      </c>
      <c r="C613" s="20" t="s">
        <v>42</v>
      </c>
      <c r="D613" s="21"/>
    </row>
    <row r="614" spans="1:4" ht="12.75" customHeight="1" x14ac:dyDescent="0.2">
      <c r="A614" s="21"/>
      <c r="B614" s="3" t="s">
        <v>11</v>
      </c>
      <c r="C614" s="20" t="s">
        <v>1704</v>
      </c>
      <c r="D614" s="21"/>
    </row>
    <row r="615" spans="1:4" ht="12.75" customHeight="1" x14ac:dyDescent="0.2">
      <c r="A615" s="21"/>
      <c r="B615" s="3" t="s">
        <v>13</v>
      </c>
      <c r="C615" s="20" t="s">
        <v>14</v>
      </c>
      <c r="D615" s="21"/>
    </row>
    <row r="616" spans="1:4" ht="12.75" customHeight="1" x14ac:dyDescent="0.2">
      <c r="A616" s="21"/>
      <c r="B616" s="3" t="s">
        <v>15</v>
      </c>
      <c r="C616" s="20" t="s">
        <v>14</v>
      </c>
      <c r="D616" s="21"/>
    </row>
    <row r="617" spans="1:4" ht="12.75" customHeight="1" x14ac:dyDescent="0.2">
      <c r="A617" s="21"/>
      <c r="B617" s="3" t="s">
        <v>16</v>
      </c>
      <c r="C617" s="20"/>
      <c r="D617" s="21"/>
    </row>
    <row r="618" spans="1:4" ht="12.75" customHeight="1" x14ac:dyDescent="0.2">
      <c r="A618" s="21"/>
      <c r="B618" s="3" t="s">
        <v>17</v>
      </c>
      <c r="C618" s="20"/>
      <c r="D618" s="21"/>
    </row>
    <row r="619" spans="1:4" ht="12.75" customHeight="1" x14ac:dyDescent="0.2">
      <c r="A619" s="21"/>
      <c r="B619" s="20" t="s">
        <v>18</v>
      </c>
      <c r="C619" s="4" t="s">
        <v>56</v>
      </c>
      <c r="D619" s="6" t="str">
        <f>HYPERLINK("javascript:void(0)","csonttőr")</f>
        <v>csonttőr</v>
      </c>
    </row>
    <row r="620" spans="1:4" ht="12.75" customHeight="1" x14ac:dyDescent="0.2">
      <c r="A620" s="21"/>
      <c r="B620" s="21"/>
      <c r="C620" s="4" t="s">
        <v>142</v>
      </c>
      <c r="D620" s="6" t="str">
        <f>HYPERLINK("javascript:void(0)","halcsont")</f>
        <v>halcsont</v>
      </c>
    </row>
    <row r="621" spans="1:4" ht="12.75" customHeight="1" x14ac:dyDescent="0.2">
      <c r="A621" s="21"/>
      <c r="B621" s="21"/>
      <c r="C621" s="4" t="s">
        <v>55</v>
      </c>
      <c r="D621" s="6" t="str">
        <f>HYPERLINK("javascript:void(0)","yorick")</f>
        <v>yorick</v>
      </c>
    </row>
    <row r="622" spans="1:4" ht="12.75" customHeight="1" x14ac:dyDescent="0.2">
      <c r="A622" s="5"/>
      <c r="B622" s="2"/>
      <c r="C622" s="2"/>
      <c r="D622" s="2"/>
    </row>
    <row r="623" spans="1:4" ht="12.75" customHeight="1" x14ac:dyDescent="0.2">
      <c r="A623" s="22" t="str">
        <f>HYPERLINK("javascript:void(0)","Pöszméte szablyája")</f>
        <v>Pöszméte szablyája</v>
      </c>
      <c r="B623" s="21"/>
      <c r="C623" s="21"/>
      <c r="D623" s="2"/>
    </row>
    <row r="624" spans="1:4" ht="12.75" customHeight="1" x14ac:dyDescent="0.2">
      <c r="A624" s="20"/>
      <c r="B624" s="2"/>
      <c r="C624" s="2"/>
      <c r="D624" s="2"/>
    </row>
    <row r="625" spans="1:4" ht="12.75" customHeight="1" x14ac:dyDescent="0.2">
      <c r="A625" s="21"/>
      <c r="B625" s="3" t="s">
        <v>0</v>
      </c>
      <c r="C625" s="3" t="s">
        <v>86</v>
      </c>
      <c r="D625" s="2"/>
    </row>
    <row r="626" spans="1:4" ht="12.75" customHeight="1" x14ac:dyDescent="0.2">
      <c r="A626" s="21"/>
      <c r="B626" s="3" t="s">
        <v>2</v>
      </c>
      <c r="C626" s="3" t="s">
        <v>1598</v>
      </c>
      <c r="D626" s="2"/>
    </row>
    <row r="627" spans="1:4" ht="12.75" customHeight="1" x14ac:dyDescent="0.2">
      <c r="A627" s="21"/>
      <c r="B627" s="3" t="s">
        <v>4</v>
      </c>
      <c r="C627" s="3" t="s">
        <v>968</v>
      </c>
      <c r="D627" s="2"/>
    </row>
    <row r="628" spans="1:4" ht="12.75" customHeight="1" x14ac:dyDescent="0.2">
      <c r="A628" s="21"/>
      <c r="B628" s="3" t="s">
        <v>6</v>
      </c>
      <c r="C628" s="3" t="s">
        <v>72</v>
      </c>
      <c r="D628" s="2"/>
    </row>
    <row r="629" spans="1:4" ht="12.75" customHeight="1" x14ac:dyDescent="0.2">
      <c r="A629" s="21"/>
      <c r="B629" s="3" t="s">
        <v>8</v>
      </c>
      <c r="C629" s="3" t="s">
        <v>968</v>
      </c>
      <c r="D629" s="2"/>
    </row>
    <row r="630" spans="1:4" ht="12.75" customHeight="1" x14ac:dyDescent="0.2">
      <c r="A630" s="21"/>
      <c r="B630" s="3" t="s">
        <v>9</v>
      </c>
      <c r="C630" s="3" t="s">
        <v>36</v>
      </c>
      <c r="D630" s="2"/>
    </row>
    <row r="631" spans="1:4" ht="12.75" customHeight="1" x14ac:dyDescent="0.2">
      <c r="A631" s="21"/>
      <c r="B631" s="3" t="s">
        <v>11</v>
      </c>
      <c r="C631" s="3" t="s">
        <v>1706</v>
      </c>
      <c r="D631" s="2"/>
    </row>
    <row r="632" spans="1:4" ht="12.75" customHeight="1" x14ac:dyDescent="0.2">
      <c r="A632" s="21"/>
      <c r="B632" s="3" t="s">
        <v>13</v>
      </c>
      <c r="C632" s="3" t="s">
        <v>14</v>
      </c>
      <c r="D632" s="2"/>
    </row>
    <row r="633" spans="1:4" ht="12.75" customHeight="1" x14ac:dyDescent="0.2">
      <c r="A633" s="21"/>
      <c r="B633" s="3" t="s">
        <v>15</v>
      </c>
      <c r="C633" s="3" t="s">
        <v>24</v>
      </c>
      <c r="D633" s="2"/>
    </row>
    <row r="634" spans="1:4" ht="12.75" customHeight="1" x14ac:dyDescent="0.2">
      <c r="A634" s="21"/>
      <c r="B634" s="3" t="s">
        <v>16</v>
      </c>
      <c r="C634" s="3"/>
      <c r="D634" s="2"/>
    </row>
    <row r="635" spans="1:4" ht="12.75" customHeight="1" x14ac:dyDescent="0.2">
      <c r="A635" s="21"/>
      <c r="B635" s="3" t="s">
        <v>17</v>
      </c>
      <c r="C635" s="3"/>
      <c r="D635" s="2"/>
    </row>
    <row r="636" spans="1:4" ht="12.75" customHeight="1" x14ac:dyDescent="0.2">
      <c r="A636" s="21"/>
      <c r="B636" s="3" t="s">
        <v>18</v>
      </c>
      <c r="C636" s="4" t="s">
        <v>19</v>
      </c>
      <c r="D636" s="2"/>
    </row>
    <row r="637" spans="1:4" ht="12.75" customHeight="1" x14ac:dyDescent="0.2">
      <c r="A637" s="5"/>
      <c r="B637" s="2"/>
      <c r="C637" s="2"/>
      <c r="D637" s="2"/>
    </row>
    <row r="638" spans="1:4" ht="12.75" customHeight="1" x14ac:dyDescent="0.2">
      <c r="A638" s="22" t="str">
        <f>HYPERLINK("javascript:void(0)","mengorni fejsze")</f>
        <v>mengorni fejsze</v>
      </c>
      <c r="B638" s="21"/>
      <c r="C638" s="21"/>
      <c r="D638" s="21"/>
    </row>
    <row r="639" spans="1:4" ht="12.75" customHeight="1" x14ac:dyDescent="0.2">
      <c r="A639" s="20"/>
      <c r="B639" s="2"/>
      <c r="C639" s="2"/>
      <c r="D639" s="2"/>
    </row>
    <row r="640" spans="1:4" ht="12.75" customHeight="1" x14ac:dyDescent="0.2">
      <c r="A640" s="21"/>
      <c r="B640" s="3" t="s">
        <v>0</v>
      </c>
      <c r="C640" s="20" t="s">
        <v>86</v>
      </c>
      <c r="D640" s="21"/>
    </row>
    <row r="641" spans="1:4" ht="12.75" customHeight="1" x14ac:dyDescent="0.2">
      <c r="A641" s="21"/>
      <c r="B641" s="3" t="s">
        <v>2</v>
      </c>
      <c r="C641" s="20" t="s">
        <v>1598</v>
      </c>
      <c r="D641" s="21"/>
    </row>
    <row r="642" spans="1:4" ht="12.75" customHeight="1" x14ac:dyDescent="0.2">
      <c r="A642" s="21"/>
      <c r="B642" s="3" t="s">
        <v>4</v>
      </c>
      <c r="C642" s="20" t="s">
        <v>896</v>
      </c>
      <c r="D642" s="21"/>
    </row>
    <row r="643" spans="1:4" ht="12.75" customHeight="1" x14ac:dyDescent="0.2">
      <c r="A643" s="21"/>
      <c r="B643" s="3" t="s">
        <v>6</v>
      </c>
      <c r="C643" s="20" t="s">
        <v>64</v>
      </c>
      <c r="D643" s="21"/>
    </row>
    <row r="644" spans="1:4" ht="12.75" customHeight="1" x14ac:dyDescent="0.2">
      <c r="A644" s="21"/>
      <c r="B644" s="3" t="s">
        <v>8</v>
      </c>
      <c r="C644" s="20" t="s">
        <v>896</v>
      </c>
      <c r="D644" s="21"/>
    </row>
    <row r="645" spans="1:4" ht="12.75" customHeight="1" x14ac:dyDescent="0.2">
      <c r="A645" s="21"/>
      <c r="B645" s="3" t="s">
        <v>9</v>
      </c>
      <c r="C645" s="20" t="s">
        <v>126</v>
      </c>
      <c r="D645" s="21"/>
    </row>
    <row r="646" spans="1:4" ht="12.75" customHeight="1" x14ac:dyDescent="0.2">
      <c r="A646" s="21"/>
      <c r="B646" s="3" t="s">
        <v>11</v>
      </c>
      <c r="C646" s="20" t="s">
        <v>1709</v>
      </c>
      <c r="D646" s="21"/>
    </row>
    <row r="647" spans="1:4" ht="12.75" customHeight="1" x14ac:dyDescent="0.2">
      <c r="A647" s="21"/>
      <c r="B647" s="3" t="s">
        <v>13</v>
      </c>
      <c r="C647" s="20" t="s">
        <v>14</v>
      </c>
      <c r="D647" s="21"/>
    </row>
    <row r="648" spans="1:4" ht="12.75" customHeight="1" x14ac:dyDescent="0.2">
      <c r="A648" s="21"/>
      <c r="B648" s="3" t="s">
        <v>15</v>
      </c>
      <c r="C648" s="20" t="s">
        <v>24</v>
      </c>
      <c r="D648" s="21"/>
    </row>
    <row r="649" spans="1:4" ht="12.75" customHeight="1" x14ac:dyDescent="0.2">
      <c r="A649" s="21"/>
      <c r="B649" s="3" t="s">
        <v>16</v>
      </c>
      <c r="C649" s="20"/>
      <c r="D649" s="21"/>
    </row>
    <row r="650" spans="1:4" ht="12.75" customHeight="1" x14ac:dyDescent="0.2">
      <c r="A650" s="21"/>
      <c r="B650" s="3" t="s">
        <v>17</v>
      </c>
      <c r="C650" s="20"/>
      <c r="D650" s="21"/>
    </row>
    <row r="651" spans="1:4" ht="12.75" customHeight="1" x14ac:dyDescent="0.2">
      <c r="A651" s="21"/>
      <c r="B651" s="20" t="s">
        <v>18</v>
      </c>
      <c r="C651" s="4" t="s">
        <v>44</v>
      </c>
      <c r="D651" s="6" t="str">
        <f>HYPERLINK("javascript:void(0)","diszprózium")</f>
        <v>diszprózium</v>
      </c>
    </row>
    <row r="652" spans="1:4" ht="12.75" customHeight="1" x14ac:dyDescent="0.2">
      <c r="A652" s="21"/>
      <c r="B652" s="21"/>
      <c r="C652" s="4" t="s">
        <v>44</v>
      </c>
      <c r="D652" s="6" t="str">
        <f>HYPERLINK("javascript:void(0)","ezüst fejsze")</f>
        <v>ezüst fejsze</v>
      </c>
    </row>
    <row r="653" spans="1:4" ht="12.75" customHeight="1" x14ac:dyDescent="0.2">
      <c r="A653" s="21"/>
      <c r="B653" s="21"/>
      <c r="C653" s="4" t="s">
        <v>45</v>
      </c>
      <c r="D653" s="6" t="str">
        <f>HYPERLINK("javascript:void(0)","ezüst")</f>
        <v>ezüst</v>
      </c>
    </row>
    <row r="654" spans="1:4" ht="12.75" customHeight="1" x14ac:dyDescent="0.2">
      <c r="A654" s="5"/>
      <c r="B654" s="2"/>
      <c r="C654" s="2"/>
      <c r="D654" s="2"/>
    </row>
    <row r="655" spans="1:4" ht="12.75" customHeight="1" x14ac:dyDescent="0.2">
      <c r="A655" s="22" t="str">
        <f>HYPERLINK("javascript:void(0)","8 élű kard")</f>
        <v>8 élű kard</v>
      </c>
      <c r="B655" s="21"/>
      <c r="C655" s="21"/>
      <c r="D655" s="21"/>
    </row>
    <row r="656" spans="1:4" ht="12.75" customHeight="1" x14ac:dyDescent="0.2">
      <c r="A656" s="20"/>
      <c r="B656" s="2"/>
      <c r="C656" s="2"/>
      <c r="D656" s="2"/>
    </row>
    <row r="657" spans="1:4" ht="12.75" customHeight="1" x14ac:dyDescent="0.2">
      <c r="A657" s="21"/>
      <c r="B657" s="3" t="s">
        <v>0</v>
      </c>
      <c r="C657" s="20" t="s">
        <v>90</v>
      </c>
      <c r="D657" s="21"/>
    </row>
    <row r="658" spans="1:4" ht="12.75" customHeight="1" x14ac:dyDescent="0.2">
      <c r="A658" s="21"/>
      <c r="B658" s="3" t="s">
        <v>2</v>
      </c>
      <c r="C658" s="20" t="s">
        <v>1598</v>
      </c>
      <c r="D658" s="21"/>
    </row>
    <row r="659" spans="1:4" ht="12.75" customHeight="1" x14ac:dyDescent="0.2">
      <c r="A659" s="21"/>
      <c r="B659" s="3" t="s">
        <v>4</v>
      </c>
      <c r="C659" s="20" t="s">
        <v>926</v>
      </c>
      <c r="D659" s="21"/>
    </row>
    <row r="660" spans="1:4" ht="12.75" customHeight="1" x14ac:dyDescent="0.2">
      <c r="A660" s="21"/>
      <c r="B660" s="3" t="s">
        <v>6</v>
      </c>
      <c r="C660" s="20" t="s">
        <v>40</v>
      </c>
      <c r="D660" s="21"/>
    </row>
    <row r="661" spans="1:4" ht="12.75" customHeight="1" x14ac:dyDescent="0.2">
      <c r="A661" s="21"/>
      <c r="B661" s="3" t="s">
        <v>8</v>
      </c>
      <c r="C661" s="20" t="s">
        <v>926</v>
      </c>
      <c r="D661" s="21"/>
    </row>
    <row r="662" spans="1:4" ht="12.75" customHeight="1" x14ac:dyDescent="0.2">
      <c r="A662" s="21"/>
      <c r="B662" s="3" t="s">
        <v>9</v>
      </c>
      <c r="C662" s="20" t="s">
        <v>343</v>
      </c>
      <c r="D662" s="21"/>
    </row>
    <row r="663" spans="1:4" ht="12.75" customHeight="1" x14ac:dyDescent="0.2">
      <c r="A663" s="21"/>
      <c r="B663" s="3" t="s">
        <v>11</v>
      </c>
      <c r="C663" s="20" t="s">
        <v>1712</v>
      </c>
      <c r="D663" s="21"/>
    </row>
    <row r="664" spans="1:4" ht="12.75" customHeight="1" x14ac:dyDescent="0.2">
      <c r="A664" s="21"/>
      <c r="B664" s="3" t="s">
        <v>13</v>
      </c>
      <c r="C664" s="20" t="s">
        <v>14</v>
      </c>
      <c r="D664" s="21"/>
    </row>
    <row r="665" spans="1:4" ht="12.75" customHeight="1" x14ac:dyDescent="0.2">
      <c r="A665" s="21"/>
      <c r="B665" s="3" t="s">
        <v>15</v>
      </c>
      <c r="C665" s="20" t="s">
        <v>24</v>
      </c>
      <c r="D665" s="21"/>
    </row>
    <row r="666" spans="1:4" ht="12.75" customHeight="1" x14ac:dyDescent="0.2">
      <c r="A666" s="21"/>
      <c r="B666" s="3" t="s">
        <v>16</v>
      </c>
      <c r="C666" s="20"/>
      <c r="D666" s="21"/>
    </row>
    <row r="667" spans="1:4" ht="12.75" customHeight="1" x14ac:dyDescent="0.2">
      <c r="A667" s="21"/>
      <c r="B667" s="3" t="s">
        <v>17</v>
      </c>
      <c r="C667" s="20"/>
      <c r="D667" s="21"/>
    </row>
    <row r="668" spans="1:4" ht="12.75" customHeight="1" x14ac:dyDescent="0.2">
      <c r="A668" s="21"/>
      <c r="B668" s="20" t="s">
        <v>18</v>
      </c>
      <c r="C668" s="4" t="s">
        <v>44</v>
      </c>
      <c r="D668" s="6" t="str">
        <f>HYPERLINK("javascript:void(0)","7 élű kard")</f>
        <v>7 élű kard</v>
      </c>
    </row>
    <row r="669" spans="1:4" ht="12.75" customHeight="1" x14ac:dyDescent="0.2">
      <c r="A669" s="21"/>
      <c r="B669" s="21"/>
      <c r="C669" s="4" t="s">
        <v>56</v>
      </c>
      <c r="D669" s="6" t="str">
        <f>HYPERLINK("javascript:void(0)","gyémánt")</f>
        <v>gyémánt</v>
      </c>
    </row>
    <row r="670" spans="1:4" ht="12.75" customHeight="1" x14ac:dyDescent="0.2">
      <c r="A670" s="21"/>
      <c r="B670" s="21"/>
      <c r="C670" s="4" t="s">
        <v>102</v>
      </c>
      <c r="D670" s="6" t="str">
        <f>HYPERLINK("javascript:void(0)","ezüst patkó")</f>
        <v>ezüst patkó</v>
      </c>
    </row>
    <row r="671" spans="1:4" ht="12.75" customHeight="1" x14ac:dyDescent="0.2">
      <c r="A671" s="5"/>
      <c r="B671" s="2"/>
      <c r="C671" s="2"/>
      <c r="D671" s="2"/>
    </row>
    <row r="672" spans="1:4" ht="12.75" customHeight="1" x14ac:dyDescent="0.2">
      <c r="A672" s="22" t="str">
        <f>HYPERLINK("javascript:void(0)","vámpírszablya")</f>
        <v>vámpírszablya</v>
      </c>
      <c r="B672" s="21"/>
      <c r="C672" s="21"/>
      <c r="D672" s="21"/>
    </row>
    <row r="673" spans="1:4" ht="12.75" customHeight="1" x14ac:dyDescent="0.2">
      <c r="A673" s="20"/>
      <c r="B673" s="2"/>
      <c r="C673" s="2"/>
      <c r="D673" s="2"/>
    </row>
    <row r="674" spans="1:4" ht="12.75" customHeight="1" x14ac:dyDescent="0.2">
      <c r="A674" s="21"/>
      <c r="B674" s="3" t="s">
        <v>0</v>
      </c>
      <c r="C674" s="20" t="s">
        <v>100</v>
      </c>
      <c r="D674" s="21"/>
    </row>
    <row r="675" spans="1:4" ht="12.75" customHeight="1" x14ac:dyDescent="0.2">
      <c r="A675" s="21"/>
      <c r="B675" s="3" t="s">
        <v>2</v>
      </c>
      <c r="C675" s="20" t="s">
        <v>1598</v>
      </c>
      <c r="D675" s="21"/>
    </row>
    <row r="676" spans="1:4" ht="12.75" customHeight="1" x14ac:dyDescent="0.2">
      <c r="A676" s="21"/>
      <c r="B676" s="3" t="s">
        <v>4</v>
      </c>
      <c r="C676" s="20" t="s">
        <v>978</v>
      </c>
      <c r="D676" s="21"/>
    </row>
    <row r="677" spans="1:4" ht="12.75" customHeight="1" x14ac:dyDescent="0.2">
      <c r="A677" s="21"/>
      <c r="B677" s="3" t="s">
        <v>6</v>
      </c>
      <c r="C677" s="20" t="s">
        <v>26</v>
      </c>
      <c r="D677" s="21"/>
    </row>
    <row r="678" spans="1:4" ht="12.75" customHeight="1" x14ac:dyDescent="0.2">
      <c r="A678" s="21"/>
      <c r="B678" s="3" t="s">
        <v>8</v>
      </c>
      <c r="C678" s="20" t="s">
        <v>978</v>
      </c>
      <c r="D678" s="21"/>
    </row>
    <row r="679" spans="1:4" ht="12.75" customHeight="1" x14ac:dyDescent="0.2">
      <c r="A679" s="21"/>
      <c r="B679" s="3" t="s">
        <v>9</v>
      </c>
      <c r="C679" s="20" t="s">
        <v>36</v>
      </c>
      <c r="D679" s="21"/>
    </row>
    <row r="680" spans="1:4" ht="12.75" customHeight="1" x14ac:dyDescent="0.2">
      <c r="A680" s="21"/>
      <c r="B680" s="3" t="s">
        <v>11</v>
      </c>
      <c r="C680" s="20" t="s">
        <v>170</v>
      </c>
      <c r="D680" s="21"/>
    </row>
    <row r="681" spans="1:4" ht="12.75" customHeight="1" x14ac:dyDescent="0.2">
      <c r="A681" s="21"/>
      <c r="B681" s="3" t="s">
        <v>13</v>
      </c>
      <c r="C681" s="20" t="s">
        <v>14</v>
      </c>
      <c r="D681" s="21"/>
    </row>
    <row r="682" spans="1:4" ht="12.75" customHeight="1" x14ac:dyDescent="0.2">
      <c r="A682" s="21"/>
      <c r="B682" s="3" t="s">
        <v>15</v>
      </c>
      <c r="C682" s="20" t="s">
        <v>24</v>
      </c>
      <c r="D682" s="21"/>
    </row>
    <row r="683" spans="1:4" ht="12.75" customHeight="1" x14ac:dyDescent="0.2">
      <c r="A683" s="21"/>
      <c r="B683" s="3" t="s">
        <v>16</v>
      </c>
      <c r="C683" s="20"/>
      <c r="D683" s="21"/>
    </row>
    <row r="684" spans="1:4" ht="12.75" customHeight="1" x14ac:dyDescent="0.2">
      <c r="A684" s="21"/>
      <c r="B684" s="3" t="s">
        <v>17</v>
      </c>
      <c r="C684" s="20"/>
      <c r="D684" s="21"/>
    </row>
    <row r="685" spans="1:4" ht="12.75" customHeight="1" x14ac:dyDescent="0.2">
      <c r="A685" s="21"/>
      <c r="B685" s="20" t="s">
        <v>18</v>
      </c>
      <c r="C685" s="4" t="s">
        <v>44</v>
      </c>
      <c r="D685" s="6" t="str">
        <f>HYPERLINK("javascript:void(0)","lovagi kard")</f>
        <v>lovagi kard</v>
      </c>
    </row>
    <row r="686" spans="1:4" ht="12.75" customHeight="1" x14ac:dyDescent="0.2">
      <c r="A686" s="21"/>
      <c r="B686" s="21"/>
      <c r="C686" s="4" t="s">
        <v>44</v>
      </c>
      <c r="D686" s="6" t="str">
        <f>HYPERLINK("javascript:void(0)","ezüstgerinc")</f>
        <v>ezüstgerinc</v>
      </c>
    </row>
    <row r="687" spans="1:4" ht="12.75" customHeight="1" x14ac:dyDescent="0.2">
      <c r="A687" s="21"/>
      <c r="B687" s="21"/>
      <c r="C687" s="4" t="s">
        <v>77</v>
      </c>
      <c r="D687" s="6" t="str">
        <f>HYPERLINK("javascript:void(0)","kristályfolyadék")</f>
        <v>kristályfolyadék</v>
      </c>
    </row>
    <row r="688" spans="1:4" ht="12.75" customHeight="1" x14ac:dyDescent="0.2">
      <c r="A688" s="5"/>
      <c r="B688" s="2"/>
      <c r="C688" s="2"/>
      <c r="D688" s="2"/>
    </row>
    <row r="689" spans="1:4" ht="12.75" customHeight="1" x14ac:dyDescent="0.2">
      <c r="A689" s="22" t="str">
        <f>HYPERLINK("javascript:void(0)","lari szigony")</f>
        <v>lari szigony</v>
      </c>
      <c r="B689" s="21"/>
      <c r="C689" s="21"/>
      <c r="D689" s="2"/>
    </row>
    <row r="690" spans="1:4" ht="12.75" customHeight="1" x14ac:dyDescent="0.2">
      <c r="A690" s="20"/>
      <c r="B690" s="2"/>
      <c r="C690" s="2"/>
      <c r="D690" s="2"/>
    </row>
    <row r="691" spans="1:4" ht="12.75" customHeight="1" x14ac:dyDescent="0.2">
      <c r="A691" s="21"/>
      <c r="B691" s="3" t="s">
        <v>0</v>
      </c>
      <c r="C691" s="3" t="s">
        <v>100</v>
      </c>
      <c r="D691" s="2"/>
    </row>
    <row r="692" spans="1:4" ht="12.75" customHeight="1" x14ac:dyDescent="0.2">
      <c r="A692" s="21"/>
      <c r="B692" s="3" t="s">
        <v>2</v>
      </c>
      <c r="C692" s="3" t="s">
        <v>1598</v>
      </c>
      <c r="D692" s="2"/>
    </row>
    <row r="693" spans="1:4" ht="12.75" customHeight="1" x14ac:dyDescent="0.2">
      <c r="A693" s="21"/>
      <c r="B693" s="3" t="s">
        <v>4</v>
      </c>
      <c r="C693" s="3" t="s">
        <v>345</v>
      </c>
      <c r="D693" s="2"/>
    </row>
    <row r="694" spans="1:4" ht="12.75" customHeight="1" x14ac:dyDescent="0.2">
      <c r="A694" s="21"/>
      <c r="B694" s="3" t="s">
        <v>6</v>
      </c>
      <c r="C694" s="3" t="s">
        <v>187</v>
      </c>
      <c r="D694" s="2"/>
    </row>
    <row r="695" spans="1:4" ht="12.75" customHeight="1" x14ac:dyDescent="0.2">
      <c r="A695" s="21"/>
      <c r="B695" s="3" t="s">
        <v>8</v>
      </c>
      <c r="C695" s="3" t="s">
        <v>345</v>
      </c>
      <c r="D695" s="2"/>
    </row>
    <row r="696" spans="1:4" ht="12.75" customHeight="1" x14ac:dyDescent="0.2">
      <c r="A696" s="21"/>
      <c r="B696" s="3" t="s">
        <v>9</v>
      </c>
      <c r="C696" s="3" t="s">
        <v>75</v>
      </c>
      <c r="D696" s="2"/>
    </row>
    <row r="697" spans="1:4" ht="12.75" customHeight="1" x14ac:dyDescent="0.2">
      <c r="A697" s="21"/>
      <c r="B697" s="3" t="s">
        <v>11</v>
      </c>
      <c r="C697" s="3" t="s">
        <v>1716</v>
      </c>
      <c r="D697" s="2"/>
    </row>
    <row r="698" spans="1:4" ht="12.75" customHeight="1" x14ac:dyDescent="0.2">
      <c r="A698" s="21"/>
      <c r="B698" s="3" t="s">
        <v>13</v>
      </c>
      <c r="C698" s="3" t="s">
        <v>14</v>
      </c>
      <c r="D698" s="2"/>
    </row>
    <row r="699" spans="1:4" ht="12.75" customHeight="1" x14ac:dyDescent="0.2">
      <c r="A699" s="21"/>
      <c r="B699" s="3" t="s">
        <v>15</v>
      </c>
      <c r="C699" s="3" t="s">
        <v>14</v>
      </c>
      <c r="D699" s="2"/>
    </row>
    <row r="700" spans="1:4" ht="12.75" customHeight="1" x14ac:dyDescent="0.2">
      <c r="A700" s="21"/>
      <c r="B700" s="3" t="s">
        <v>16</v>
      </c>
      <c r="C700" s="3"/>
      <c r="D700" s="2"/>
    </row>
    <row r="701" spans="1:4" ht="12.75" customHeight="1" x14ac:dyDescent="0.2">
      <c r="A701" s="21"/>
      <c r="B701" s="3" t="s">
        <v>17</v>
      </c>
      <c r="C701" s="3"/>
      <c r="D701" s="2"/>
    </row>
    <row r="702" spans="1:4" ht="12.75" customHeight="1" x14ac:dyDescent="0.2">
      <c r="A702" s="21"/>
      <c r="B702" s="3" t="s">
        <v>18</v>
      </c>
      <c r="C702" s="4" t="s">
        <v>19</v>
      </c>
      <c r="D702" s="2"/>
    </row>
    <row r="703" spans="1:4" ht="12.75" customHeight="1" x14ac:dyDescent="0.2">
      <c r="A703" s="5"/>
      <c r="B703" s="2"/>
      <c r="C703" s="2"/>
      <c r="D703" s="2"/>
    </row>
    <row r="704" spans="1:4" ht="12.75" customHeight="1" x14ac:dyDescent="0.2">
      <c r="A704" s="22" t="str">
        <f>HYPERLINK("javascript:void(0)","nappallos")</f>
        <v>nappallos</v>
      </c>
      <c r="B704" s="21"/>
      <c r="C704" s="21"/>
      <c r="D704" s="2"/>
    </row>
    <row r="705" spans="1:4" ht="12.75" customHeight="1" x14ac:dyDescent="0.2">
      <c r="A705" s="20"/>
      <c r="B705" s="2"/>
      <c r="C705" s="2"/>
      <c r="D705" s="2"/>
    </row>
    <row r="706" spans="1:4" ht="12.75" customHeight="1" x14ac:dyDescent="0.2">
      <c r="A706" s="21"/>
      <c r="B706" s="3" t="s">
        <v>0</v>
      </c>
      <c r="C706" s="3" t="s">
        <v>100</v>
      </c>
      <c r="D706" s="2"/>
    </row>
    <row r="707" spans="1:4" ht="12.75" customHeight="1" x14ac:dyDescent="0.2">
      <c r="A707" s="21"/>
      <c r="B707" s="3" t="s">
        <v>2</v>
      </c>
      <c r="C707" s="3" t="s">
        <v>1598</v>
      </c>
      <c r="D707" s="2"/>
    </row>
    <row r="708" spans="1:4" ht="12.75" customHeight="1" x14ac:dyDescent="0.2">
      <c r="A708" s="21"/>
      <c r="B708" s="3" t="s">
        <v>4</v>
      </c>
      <c r="C708" s="3" t="s">
        <v>1142</v>
      </c>
      <c r="D708" s="2"/>
    </row>
    <row r="709" spans="1:4" ht="12.75" customHeight="1" x14ac:dyDescent="0.2">
      <c r="A709" s="21"/>
      <c r="B709" s="3" t="s">
        <v>6</v>
      </c>
      <c r="C709" s="3" t="s">
        <v>25</v>
      </c>
      <c r="D709" s="2"/>
    </row>
    <row r="710" spans="1:4" ht="12.75" customHeight="1" x14ac:dyDescent="0.2">
      <c r="A710" s="21"/>
      <c r="B710" s="3" t="s">
        <v>8</v>
      </c>
      <c r="C710" s="3" t="s">
        <v>1142</v>
      </c>
      <c r="D710" s="2"/>
    </row>
    <row r="711" spans="1:4" ht="12.75" customHeight="1" x14ac:dyDescent="0.2">
      <c r="A711" s="21"/>
      <c r="B711" s="3" t="s">
        <v>9</v>
      </c>
      <c r="C711" s="3" t="s">
        <v>129</v>
      </c>
      <c r="D711" s="2"/>
    </row>
    <row r="712" spans="1:4" ht="12.75" customHeight="1" x14ac:dyDescent="0.2">
      <c r="A712" s="21"/>
      <c r="B712" s="3" t="s">
        <v>11</v>
      </c>
      <c r="C712" s="3" t="s">
        <v>689</v>
      </c>
      <c r="D712" s="2"/>
    </row>
    <row r="713" spans="1:4" ht="12.75" customHeight="1" x14ac:dyDescent="0.2">
      <c r="A713" s="21"/>
      <c r="B713" s="3" t="s">
        <v>13</v>
      </c>
      <c r="C713" s="3" t="s">
        <v>24</v>
      </c>
      <c r="D713" s="2"/>
    </row>
    <row r="714" spans="1:4" ht="12.75" customHeight="1" x14ac:dyDescent="0.2">
      <c r="A714" s="21"/>
      <c r="B714" s="3" t="s">
        <v>15</v>
      </c>
      <c r="C714" s="3" t="s">
        <v>14</v>
      </c>
      <c r="D714" s="2"/>
    </row>
    <row r="715" spans="1:4" ht="12.75" customHeight="1" x14ac:dyDescent="0.2">
      <c r="A715" s="21"/>
      <c r="B715" s="3" t="s">
        <v>16</v>
      </c>
      <c r="C715" s="3"/>
      <c r="D715" s="2"/>
    </row>
    <row r="716" spans="1:4" ht="12.75" customHeight="1" x14ac:dyDescent="0.2">
      <c r="A716" s="21"/>
      <c r="B716" s="3" t="s">
        <v>17</v>
      </c>
      <c r="C716" s="3"/>
      <c r="D716" s="2"/>
    </row>
    <row r="717" spans="1:4" ht="12.75" customHeight="1" x14ac:dyDescent="0.2">
      <c r="A717" s="21"/>
      <c r="B717" s="3" t="s">
        <v>18</v>
      </c>
      <c r="C717" s="4" t="s">
        <v>19</v>
      </c>
      <c r="D717" s="2"/>
    </row>
    <row r="718" spans="1:4" ht="12.75" customHeight="1" x14ac:dyDescent="0.2">
      <c r="A718" s="5"/>
      <c r="B718" s="2"/>
      <c r="C718" s="2"/>
      <c r="D718" s="2"/>
    </row>
    <row r="719" spans="1:4" ht="12.75" customHeight="1" x14ac:dyDescent="0.2">
      <c r="A719" s="22" t="str">
        <f>HYPERLINK("javascript:void(0)","lángpenge")</f>
        <v>lángpenge</v>
      </c>
      <c r="B719" s="21"/>
      <c r="C719" s="21"/>
      <c r="D719" s="2"/>
    </row>
    <row r="720" spans="1:4" ht="12.75" customHeight="1" x14ac:dyDescent="0.2">
      <c r="A720" s="20"/>
      <c r="B720" s="2"/>
      <c r="C720" s="2"/>
      <c r="D720" s="2"/>
    </row>
    <row r="721" spans="1:4" ht="12.75" customHeight="1" x14ac:dyDescent="0.2">
      <c r="A721" s="21"/>
      <c r="B721" s="3" t="s">
        <v>0</v>
      </c>
      <c r="C721" s="3" t="s">
        <v>100</v>
      </c>
      <c r="D721" s="2"/>
    </row>
    <row r="722" spans="1:4" ht="12.75" customHeight="1" x14ac:dyDescent="0.2">
      <c r="A722" s="21"/>
      <c r="B722" s="3" t="s">
        <v>2</v>
      </c>
      <c r="C722" s="3" t="s">
        <v>1598</v>
      </c>
      <c r="D722" s="2"/>
    </row>
    <row r="723" spans="1:4" ht="12.75" customHeight="1" x14ac:dyDescent="0.2">
      <c r="A723" s="21"/>
      <c r="B723" s="3" t="s">
        <v>4</v>
      </c>
      <c r="C723" s="3" t="s">
        <v>1060</v>
      </c>
      <c r="D723" s="2"/>
    </row>
    <row r="724" spans="1:4" ht="12.75" customHeight="1" x14ac:dyDescent="0.2">
      <c r="A724" s="21"/>
      <c r="B724" s="3" t="s">
        <v>6</v>
      </c>
      <c r="C724" s="3" t="s">
        <v>92</v>
      </c>
      <c r="D724" s="2"/>
    </row>
    <row r="725" spans="1:4" ht="12.75" customHeight="1" x14ac:dyDescent="0.2">
      <c r="A725" s="21"/>
      <c r="B725" s="3" t="s">
        <v>8</v>
      </c>
      <c r="C725" s="3" t="s">
        <v>1060</v>
      </c>
      <c r="D725" s="2"/>
    </row>
    <row r="726" spans="1:4" ht="12.75" customHeight="1" x14ac:dyDescent="0.2">
      <c r="A726" s="21"/>
      <c r="B726" s="3" t="s">
        <v>9</v>
      </c>
      <c r="C726" s="3" t="s">
        <v>573</v>
      </c>
      <c r="D726" s="2"/>
    </row>
    <row r="727" spans="1:4" ht="12.75" customHeight="1" x14ac:dyDescent="0.2">
      <c r="A727" s="21"/>
      <c r="B727" s="3" t="s">
        <v>11</v>
      </c>
      <c r="C727" s="3" t="s">
        <v>1718</v>
      </c>
      <c r="D727" s="2"/>
    </row>
    <row r="728" spans="1:4" ht="12.75" customHeight="1" x14ac:dyDescent="0.2">
      <c r="A728" s="21"/>
      <c r="B728" s="3" t="s">
        <v>13</v>
      </c>
      <c r="C728" s="3" t="s">
        <v>24</v>
      </c>
      <c r="D728" s="2"/>
    </row>
    <row r="729" spans="1:4" ht="12.75" customHeight="1" x14ac:dyDescent="0.2">
      <c r="A729" s="21"/>
      <c r="B729" s="3" t="s">
        <v>15</v>
      </c>
      <c r="C729" s="3" t="s">
        <v>24</v>
      </c>
      <c r="D729" s="2"/>
    </row>
    <row r="730" spans="1:4" ht="12.75" customHeight="1" x14ac:dyDescent="0.2">
      <c r="A730" s="21"/>
      <c r="B730" s="3" t="s">
        <v>16</v>
      </c>
      <c r="C730" s="3"/>
      <c r="D730" s="2"/>
    </row>
    <row r="731" spans="1:4" ht="12.75" customHeight="1" x14ac:dyDescent="0.2">
      <c r="A731" s="21"/>
      <c r="B731" s="3" t="s">
        <v>17</v>
      </c>
      <c r="C731" s="3"/>
      <c r="D731" s="2"/>
    </row>
    <row r="732" spans="1:4" ht="12.75" customHeight="1" x14ac:dyDescent="0.2">
      <c r="A732" s="21"/>
      <c r="B732" s="3" t="s">
        <v>18</v>
      </c>
      <c r="C732" s="4" t="s">
        <v>19</v>
      </c>
      <c r="D732" s="2"/>
    </row>
    <row r="733" spans="1:4" ht="12.75" customHeight="1" x14ac:dyDescent="0.2">
      <c r="A733" s="5"/>
      <c r="B733" s="2"/>
      <c r="C733" s="2"/>
      <c r="D733" s="2"/>
    </row>
    <row r="734" spans="1:4" ht="12.75" customHeight="1" x14ac:dyDescent="0.2">
      <c r="A734" s="22" t="str">
        <f>HYPERLINK("javascript:void(0)","skivei lándzsa")</f>
        <v>skivei lándzsa</v>
      </c>
      <c r="B734" s="21"/>
      <c r="C734" s="21"/>
      <c r="D734" s="21"/>
    </row>
    <row r="735" spans="1:4" ht="12.75" customHeight="1" x14ac:dyDescent="0.2">
      <c r="A735" s="20"/>
      <c r="B735" s="2"/>
      <c r="C735" s="2"/>
      <c r="D735" s="2"/>
    </row>
    <row r="736" spans="1:4" ht="12.75" customHeight="1" x14ac:dyDescent="0.2">
      <c r="A736" s="21"/>
      <c r="B736" s="3" t="s">
        <v>0</v>
      </c>
      <c r="C736" s="20" t="s">
        <v>100</v>
      </c>
      <c r="D736" s="21"/>
    </row>
    <row r="737" spans="1:4" ht="12.75" customHeight="1" x14ac:dyDescent="0.2">
      <c r="A737" s="21"/>
      <c r="B737" s="3" t="s">
        <v>2</v>
      </c>
      <c r="C737" s="20" t="s">
        <v>1598</v>
      </c>
      <c r="D737" s="21"/>
    </row>
    <row r="738" spans="1:4" ht="12.75" customHeight="1" x14ac:dyDescent="0.2">
      <c r="A738" s="21"/>
      <c r="B738" s="3" t="s">
        <v>4</v>
      </c>
      <c r="C738" s="20" t="s">
        <v>312</v>
      </c>
      <c r="D738" s="21"/>
    </row>
    <row r="739" spans="1:4" ht="12.75" customHeight="1" x14ac:dyDescent="0.2">
      <c r="A739" s="21"/>
      <c r="B739" s="3" t="s">
        <v>6</v>
      </c>
      <c r="C739" s="20" t="s">
        <v>5</v>
      </c>
      <c r="D739" s="21"/>
    </row>
    <row r="740" spans="1:4" ht="12.75" customHeight="1" x14ac:dyDescent="0.2">
      <c r="A740" s="21"/>
      <c r="B740" s="3" t="s">
        <v>8</v>
      </c>
      <c r="C740" s="20" t="s">
        <v>312</v>
      </c>
      <c r="D740" s="21"/>
    </row>
    <row r="741" spans="1:4" ht="12.75" customHeight="1" x14ac:dyDescent="0.2">
      <c r="A741" s="21"/>
      <c r="B741" s="3" t="s">
        <v>9</v>
      </c>
      <c r="C741" s="20" t="s">
        <v>36</v>
      </c>
      <c r="D741" s="21"/>
    </row>
    <row r="742" spans="1:4" ht="12.75" customHeight="1" x14ac:dyDescent="0.2">
      <c r="A742" s="21"/>
      <c r="B742" s="3" t="s">
        <v>11</v>
      </c>
      <c r="C742" s="20" t="s">
        <v>1720</v>
      </c>
      <c r="D742" s="21"/>
    </row>
    <row r="743" spans="1:4" ht="12.75" customHeight="1" x14ac:dyDescent="0.2">
      <c r="A743" s="21"/>
      <c r="B743" s="3" t="s">
        <v>13</v>
      </c>
      <c r="C743" s="20" t="s">
        <v>24</v>
      </c>
      <c r="D743" s="21"/>
    </row>
    <row r="744" spans="1:4" ht="12.75" customHeight="1" x14ac:dyDescent="0.2">
      <c r="A744" s="21"/>
      <c r="B744" s="3" t="s">
        <v>15</v>
      </c>
      <c r="C744" s="20" t="s">
        <v>14</v>
      </c>
      <c r="D744" s="21"/>
    </row>
    <row r="745" spans="1:4" ht="12.75" customHeight="1" x14ac:dyDescent="0.2">
      <c r="A745" s="21"/>
      <c r="B745" s="3" t="s">
        <v>16</v>
      </c>
      <c r="C745" s="20"/>
      <c r="D745" s="21"/>
    </row>
    <row r="746" spans="1:4" ht="12.75" customHeight="1" x14ac:dyDescent="0.2">
      <c r="A746" s="21"/>
      <c r="B746" s="3" t="s">
        <v>17</v>
      </c>
      <c r="C746" s="20"/>
      <c r="D746" s="21"/>
    </row>
    <row r="747" spans="1:4" ht="12.75" customHeight="1" x14ac:dyDescent="0.2">
      <c r="A747" s="21"/>
      <c r="B747" s="20" t="s">
        <v>18</v>
      </c>
      <c r="C747" s="4" t="s">
        <v>56</v>
      </c>
      <c r="D747" s="6" t="str">
        <f>HYPERLINK("javascript:void(0)","kithrill")</f>
        <v>kithrill</v>
      </c>
    </row>
    <row r="748" spans="1:4" ht="12.75" customHeight="1" x14ac:dyDescent="0.2">
      <c r="A748" s="21"/>
      <c r="B748" s="21"/>
      <c r="C748" s="4" t="s">
        <v>44</v>
      </c>
      <c r="D748" s="6" t="str">
        <f>HYPERLINK("javascript:void(0)","elit-őr lándzsa")</f>
        <v>elit-őr lándzsa</v>
      </c>
    </row>
    <row r="749" spans="1:4" ht="12.75" customHeight="1" x14ac:dyDescent="0.2">
      <c r="A749" s="21"/>
      <c r="B749" s="21"/>
      <c r="C749" s="4" t="s">
        <v>149</v>
      </c>
      <c r="D749" s="6" t="str">
        <f>HYPERLINK("javascript:void(0)","ezüst")</f>
        <v>ezüst</v>
      </c>
    </row>
    <row r="750" spans="1:4" ht="12.75" customHeight="1" x14ac:dyDescent="0.2">
      <c r="A750" s="5"/>
      <c r="B750" s="2"/>
      <c r="C750" s="2"/>
      <c r="D750" s="2"/>
    </row>
    <row r="751" spans="1:4" ht="12.75" customHeight="1" x14ac:dyDescent="0.2">
      <c r="A751" s="22" t="str">
        <f>HYPERLINK("javascript:void(0)","démonacél fejsze")</f>
        <v>démonacél fejsze</v>
      </c>
      <c r="B751" s="21"/>
      <c r="C751" s="21"/>
      <c r="D751" s="21"/>
    </row>
    <row r="752" spans="1:4" ht="12.75" customHeight="1" x14ac:dyDescent="0.2">
      <c r="A752" s="20"/>
      <c r="B752" s="2"/>
      <c r="C752" s="2"/>
      <c r="D752" s="2"/>
    </row>
    <row r="753" spans="1:4" ht="12.75" customHeight="1" x14ac:dyDescent="0.2">
      <c r="A753" s="21"/>
      <c r="B753" s="3" t="s">
        <v>0</v>
      </c>
      <c r="C753" s="20" t="s">
        <v>100</v>
      </c>
      <c r="D753" s="21"/>
    </row>
    <row r="754" spans="1:4" ht="12.75" customHeight="1" x14ac:dyDescent="0.2">
      <c r="A754" s="21"/>
      <c r="B754" s="3" t="s">
        <v>2</v>
      </c>
      <c r="C754" s="20" t="s">
        <v>1598</v>
      </c>
      <c r="D754" s="21"/>
    </row>
    <row r="755" spans="1:4" ht="12.75" customHeight="1" x14ac:dyDescent="0.2">
      <c r="A755" s="21"/>
      <c r="B755" s="3" t="s">
        <v>4</v>
      </c>
      <c r="C755" s="20" t="s">
        <v>1294</v>
      </c>
      <c r="D755" s="21"/>
    </row>
    <row r="756" spans="1:4" ht="12.75" customHeight="1" x14ac:dyDescent="0.2">
      <c r="A756" s="21"/>
      <c r="B756" s="3" t="s">
        <v>6</v>
      </c>
      <c r="C756" s="20" t="s">
        <v>206</v>
      </c>
      <c r="D756" s="21"/>
    </row>
    <row r="757" spans="1:4" ht="12.75" customHeight="1" x14ac:dyDescent="0.2">
      <c r="A757" s="21"/>
      <c r="B757" s="3" t="s">
        <v>8</v>
      </c>
      <c r="C757" s="20" t="s">
        <v>1294</v>
      </c>
      <c r="D757" s="21"/>
    </row>
    <row r="758" spans="1:4" ht="12.75" customHeight="1" x14ac:dyDescent="0.2">
      <c r="A758" s="21"/>
      <c r="B758" s="3" t="s">
        <v>9</v>
      </c>
      <c r="C758" s="20" t="s">
        <v>126</v>
      </c>
      <c r="D758" s="21"/>
    </row>
    <row r="759" spans="1:4" ht="12.75" customHeight="1" x14ac:dyDescent="0.2">
      <c r="A759" s="21"/>
      <c r="B759" s="3" t="s">
        <v>11</v>
      </c>
      <c r="C759" s="20" t="s">
        <v>1724</v>
      </c>
      <c r="D759" s="21"/>
    </row>
    <row r="760" spans="1:4" ht="12.75" customHeight="1" x14ac:dyDescent="0.2">
      <c r="A760" s="21"/>
      <c r="B760" s="3" t="s">
        <v>13</v>
      </c>
      <c r="C760" s="20" t="s">
        <v>24</v>
      </c>
      <c r="D760" s="21"/>
    </row>
    <row r="761" spans="1:4" ht="12.75" customHeight="1" x14ac:dyDescent="0.2">
      <c r="A761" s="21"/>
      <c r="B761" s="3" t="s">
        <v>15</v>
      </c>
      <c r="C761" s="20" t="s">
        <v>14</v>
      </c>
      <c r="D761" s="21"/>
    </row>
    <row r="762" spans="1:4" ht="12.75" customHeight="1" x14ac:dyDescent="0.2">
      <c r="A762" s="21"/>
      <c r="B762" s="3" t="s">
        <v>16</v>
      </c>
      <c r="C762" s="20"/>
      <c r="D762" s="21"/>
    </row>
    <row r="763" spans="1:4" ht="12.75" customHeight="1" x14ac:dyDescent="0.2">
      <c r="A763" s="21"/>
      <c r="B763" s="3" t="s">
        <v>17</v>
      </c>
      <c r="C763" s="20"/>
      <c r="D763" s="21"/>
    </row>
    <row r="764" spans="1:4" ht="12.75" customHeight="1" x14ac:dyDescent="0.2">
      <c r="A764" s="21"/>
      <c r="B764" s="20" t="s">
        <v>18</v>
      </c>
      <c r="C764" s="4" t="s">
        <v>44</v>
      </c>
      <c r="D764" s="6" t="str">
        <f>HYPERLINK("javascript:void(0)","skivei fejsze")</f>
        <v>skivei fejsze</v>
      </c>
    </row>
    <row r="765" spans="1:4" ht="12.75" customHeight="1" x14ac:dyDescent="0.2">
      <c r="A765" s="21"/>
      <c r="B765" s="21"/>
      <c r="C765" s="4" t="s">
        <v>56</v>
      </c>
      <c r="D765" s="6" t="str">
        <f>HYPERLINK("javascript:void(0)","dadacsiganyál")</f>
        <v>dadacsiganyál</v>
      </c>
    </row>
    <row r="766" spans="1:4" ht="12.75" customHeight="1" x14ac:dyDescent="0.2">
      <c r="A766" s="21"/>
      <c r="B766" s="21"/>
      <c r="C766" s="4" t="s">
        <v>232</v>
      </c>
      <c r="D766" s="6" t="str">
        <f>HYPERLINK("javascript:void(0)","nyukug bajusz")</f>
        <v>nyukug bajusz</v>
      </c>
    </row>
    <row r="767" spans="1:4" ht="12.75" customHeight="1" x14ac:dyDescent="0.2">
      <c r="A767" s="5"/>
      <c r="B767" s="2"/>
      <c r="C767" s="2"/>
      <c r="D767" s="2"/>
    </row>
    <row r="768" spans="1:4" ht="12.75" customHeight="1" x14ac:dyDescent="0.2">
      <c r="A768" s="22" t="str">
        <f>HYPERLINK("javascript:void(0)","démonacél tőr")</f>
        <v>démonacél tőr</v>
      </c>
      <c r="B768" s="21"/>
      <c r="C768" s="21"/>
      <c r="D768" s="21"/>
    </row>
    <row r="769" spans="1:4" ht="12.75" customHeight="1" x14ac:dyDescent="0.2">
      <c r="A769" s="20"/>
      <c r="B769" s="2"/>
      <c r="C769" s="2"/>
      <c r="D769" s="2"/>
    </row>
    <row r="770" spans="1:4" ht="12.75" customHeight="1" x14ac:dyDescent="0.2">
      <c r="A770" s="21"/>
      <c r="B770" s="3" t="s">
        <v>0</v>
      </c>
      <c r="C770" s="20" t="s">
        <v>118</v>
      </c>
      <c r="D770" s="21"/>
    </row>
    <row r="771" spans="1:4" ht="12.75" customHeight="1" x14ac:dyDescent="0.2">
      <c r="A771" s="21"/>
      <c r="B771" s="3" t="s">
        <v>2</v>
      </c>
      <c r="C771" s="20" t="s">
        <v>1598</v>
      </c>
      <c r="D771" s="21"/>
    </row>
    <row r="772" spans="1:4" ht="12.75" customHeight="1" x14ac:dyDescent="0.2">
      <c r="A772" s="21"/>
      <c r="B772" s="3" t="s">
        <v>4</v>
      </c>
      <c r="C772" s="20" t="s">
        <v>1196</v>
      </c>
      <c r="D772" s="21"/>
    </row>
    <row r="773" spans="1:4" ht="12.75" customHeight="1" x14ac:dyDescent="0.2">
      <c r="A773" s="21"/>
      <c r="B773" s="3" t="s">
        <v>6</v>
      </c>
      <c r="C773" s="20" t="s">
        <v>29</v>
      </c>
      <c r="D773" s="21"/>
    </row>
    <row r="774" spans="1:4" ht="12.75" customHeight="1" x14ac:dyDescent="0.2">
      <c r="A774" s="21"/>
      <c r="B774" s="3" t="s">
        <v>8</v>
      </c>
      <c r="C774" s="20" t="s">
        <v>1196</v>
      </c>
      <c r="D774" s="21"/>
    </row>
    <row r="775" spans="1:4" ht="12.75" customHeight="1" x14ac:dyDescent="0.2">
      <c r="A775" s="21"/>
      <c r="B775" s="3" t="s">
        <v>9</v>
      </c>
      <c r="C775" s="20" t="s">
        <v>137</v>
      </c>
      <c r="D775" s="21"/>
    </row>
    <row r="776" spans="1:4" ht="12.75" customHeight="1" x14ac:dyDescent="0.2">
      <c r="A776" s="21"/>
      <c r="B776" s="3" t="s">
        <v>11</v>
      </c>
      <c r="C776" s="20" t="s">
        <v>1727</v>
      </c>
      <c r="D776" s="21"/>
    </row>
    <row r="777" spans="1:4" ht="12.75" customHeight="1" x14ac:dyDescent="0.2">
      <c r="A777" s="21"/>
      <c r="B777" s="3" t="s">
        <v>13</v>
      </c>
      <c r="C777" s="20" t="s">
        <v>24</v>
      </c>
      <c r="D777" s="21"/>
    </row>
    <row r="778" spans="1:4" ht="12.75" customHeight="1" x14ac:dyDescent="0.2">
      <c r="A778" s="21"/>
      <c r="B778" s="3" t="s">
        <v>15</v>
      </c>
      <c r="C778" s="20" t="s">
        <v>14</v>
      </c>
      <c r="D778" s="21"/>
    </row>
    <row r="779" spans="1:4" ht="12.75" customHeight="1" x14ac:dyDescent="0.2">
      <c r="A779" s="21"/>
      <c r="B779" s="3" t="s">
        <v>16</v>
      </c>
      <c r="C779" s="20"/>
      <c r="D779" s="21"/>
    </row>
    <row r="780" spans="1:4" ht="12.75" customHeight="1" x14ac:dyDescent="0.2">
      <c r="A780" s="21"/>
      <c r="B780" s="3" t="s">
        <v>17</v>
      </c>
      <c r="C780" s="20"/>
      <c r="D780" s="21"/>
    </row>
    <row r="781" spans="1:4" ht="12.75" customHeight="1" x14ac:dyDescent="0.2">
      <c r="A781" s="21"/>
      <c r="B781" s="20" t="s">
        <v>18</v>
      </c>
      <c r="C781" s="4" t="s">
        <v>44</v>
      </c>
      <c r="D781" s="6" t="str">
        <f>HYPERLINK("javascript:void(0)","skivei tőr")</f>
        <v>skivei tőr</v>
      </c>
    </row>
    <row r="782" spans="1:4" ht="12.75" customHeight="1" x14ac:dyDescent="0.2">
      <c r="A782" s="21"/>
      <c r="B782" s="21"/>
      <c r="C782" s="4" t="s">
        <v>57</v>
      </c>
      <c r="D782" s="6" t="str">
        <f>HYPERLINK("javascript:void(0)","démoncsőr")</f>
        <v>démoncsőr</v>
      </c>
    </row>
    <row r="783" spans="1:4" ht="12.75" customHeight="1" x14ac:dyDescent="0.2">
      <c r="A783" s="21"/>
      <c r="B783" s="21"/>
      <c r="C783" s="4" t="s">
        <v>142</v>
      </c>
      <c r="D783" s="6" t="str">
        <f>HYPERLINK("javascript:void(0)","nyonyóc fog")</f>
        <v>nyonyóc fog</v>
      </c>
    </row>
    <row r="784" spans="1:4" ht="12.75" customHeight="1" x14ac:dyDescent="0.2">
      <c r="A784" s="5"/>
      <c r="B784" s="2"/>
      <c r="C784" s="2"/>
      <c r="D784" s="2"/>
    </row>
    <row r="785" spans="1:4" ht="12.75" customHeight="1" x14ac:dyDescent="0.2">
      <c r="A785" s="22" t="str">
        <f>HYPERLINK("javascript:void(0)","arany fejsze")</f>
        <v>arany fejsze</v>
      </c>
      <c r="B785" s="21"/>
      <c r="C785" s="21"/>
      <c r="D785" s="21"/>
    </row>
    <row r="786" spans="1:4" ht="12.75" customHeight="1" x14ac:dyDescent="0.2">
      <c r="A786" s="20"/>
      <c r="B786" s="2"/>
      <c r="C786" s="2"/>
      <c r="D786" s="2"/>
    </row>
    <row r="787" spans="1:4" ht="12.75" customHeight="1" x14ac:dyDescent="0.2">
      <c r="A787" s="21"/>
      <c r="B787" s="3" t="s">
        <v>0</v>
      </c>
      <c r="C787" s="20" t="s">
        <v>32</v>
      </c>
      <c r="D787" s="21"/>
    </row>
    <row r="788" spans="1:4" ht="12.75" customHeight="1" x14ac:dyDescent="0.2">
      <c r="A788" s="21"/>
      <c r="B788" s="3" t="s">
        <v>2</v>
      </c>
      <c r="C788" s="20" t="s">
        <v>1598</v>
      </c>
      <c r="D788" s="21"/>
    </row>
    <row r="789" spans="1:4" ht="12.75" customHeight="1" x14ac:dyDescent="0.2">
      <c r="A789" s="21"/>
      <c r="B789" s="3" t="s">
        <v>4</v>
      </c>
      <c r="C789" s="20" t="s">
        <v>1308</v>
      </c>
      <c r="D789" s="21"/>
    </row>
    <row r="790" spans="1:4" ht="12.75" customHeight="1" x14ac:dyDescent="0.2">
      <c r="A790" s="21"/>
      <c r="B790" s="3" t="s">
        <v>6</v>
      </c>
      <c r="C790" s="20" t="s">
        <v>92</v>
      </c>
      <c r="D790" s="21"/>
    </row>
    <row r="791" spans="1:4" ht="12.75" customHeight="1" x14ac:dyDescent="0.2">
      <c r="A791" s="21"/>
      <c r="B791" s="3" t="s">
        <v>8</v>
      </c>
      <c r="C791" s="20" t="s">
        <v>1308</v>
      </c>
      <c r="D791" s="21"/>
    </row>
    <row r="792" spans="1:4" ht="12.75" customHeight="1" x14ac:dyDescent="0.2">
      <c r="A792" s="21"/>
      <c r="B792" s="3" t="s">
        <v>9</v>
      </c>
      <c r="C792" s="20" t="s">
        <v>934</v>
      </c>
      <c r="D792" s="21"/>
    </row>
    <row r="793" spans="1:4" ht="12.75" customHeight="1" x14ac:dyDescent="0.2">
      <c r="A793" s="21"/>
      <c r="B793" s="3" t="s">
        <v>11</v>
      </c>
      <c r="C793" s="20" t="s">
        <v>1727</v>
      </c>
      <c r="D793" s="21"/>
    </row>
    <row r="794" spans="1:4" ht="12.75" customHeight="1" x14ac:dyDescent="0.2">
      <c r="A794" s="21"/>
      <c r="B794" s="3" t="s">
        <v>13</v>
      </c>
      <c r="C794" s="20" t="s">
        <v>24</v>
      </c>
      <c r="D794" s="21"/>
    </row>
    <row r="795" spans="1:4" ht="12.75" customHeight="1" x14ac:dyDescent="0.2">
      <c r="A795" s="21"/>
      <c r="B795" s="3" t="s">
        <v>15</v>
      </c>
      <c r="C795" s="20" t="s">
        <v>14</v>
      </c>
      <c r="D795" s="21"/>
    </row>
    <row r="796" spans="1:4" ht="12.75" customHeight="1" x14ac:dyDescent="0.2">
      <c r="A796" s="21"/>
      <c r="B796" s="3" t="s">
        <v>16</v>
      </c>
      <c r="C796" s="20"/>
      <c r="D796" s="21"/>
    </row>
    <row r="797" spans="1:4" ht="12.75" customHeight="1" x14ac:dyDescent="0.2">
      <c r="A797" s="21"/>
      <c r="B797" s="3" t="s">
        <v>17</v>
      </c>
      <c r="C797" s="20"/>
      <c r="D797" s="21"/>
    </row>
    <row r="798" spans="1:4" ht="12.75" customHeight="1" x14ac:dyDescent="0.2">
      <c r="A798" s="21"/>
      <c r="B798" s="20" t="s">
        <v>18</v>
      </c>
      <c r="C798" s="4" t="s">
        <v>44</v>
      </c>
      <c r="D798" s="6" t="str">
        <f>HYPERLINK("javascript:void(0)","ezüst fejsze")</f>
        <v>ezüst fejsze</v>
      </c>
    </row>
    <row r="799" spans="1:4" ht="12.75" customHeight="1" x14ac:dyDescent="0.2">
      <c r="A799" s="21"/>
      <c r="B799" s="21"/>
      <c r="C799" s="4" t="s">
        <v>132</v>
      </c>
      <c r="D799" s="6" t="str">
        <f>HYPERLINK("javascript:void(0)","arany")</f>
        <v>arany</v>
      </c>
    </row>
    <row r="800" spans="1:4" ht="12.75" customHeight="1" x14ac:dyDescent="0.2">
      <c r="A800" s="21"/>
      <c r="B800" s="21"/>
      <c r="C800" s="4" t="s">
        <v>44</v>
      </c>
      <c r="D800" s="6" t="str">
        <f>HYPERLINK("javascript:void(0)","gyémánt")</f>
        <v>gyémánt</v>
      </c>
    </row>
    <row r="801" spans="1:4" ht="12.75" customHeight="1" x14ac:dyDescent="0.2">
      <c r="A801" s="5"/>
      <c r="B801" s="2"/>
      <c r="C801" s="2"/>
      <c r="D801" s="2"/>
    </row>
    <row r="802" spans="1:4" ht="12.75" customHeight="1" x14ac:dyDescent="0.2">
      <c r="A802" s="22" t="str">
        <f>HYPERLINK("javascript:void(0)","démonacél lándzsa")</f>
        <v>démonacél lándzsa</v>
      </c>
      <c r="B802" s="21"/>
      <c r="C802" s="21"/>
      <c r="D802" s="21"/>
    </row>
    <row r="803" spans="1:4" ht="12.75" customHeight="1" x14ac:dyDescent="0.2">
      <c r="A803" s="20"/>
      <c r="B803" s="2"/>
      <c r="C803" s="2"/>
      <c r="D803" s="2"/>
    </row>
    <row r="804" spans="1:4" ht="12.75" customHeight="1" x14ac:dyDescent="0.2">
      <c r="A804" s="21"/>
      <c r="B804" s="3" t="s">
        <v>0</v>
      </c>
      <c r="C804" s="20" t="s">
        <v>32</v>
      </c>
      <c r="D804" s="21"/>
    </row>
    <row r="805" spans="1:4" ht="12.75" customHeight="1" x14ac:dyDescent="0.2">
      <c r="A805" s="21"/>
      <c r="B805" s="3" t="s">
        <v>2</v>
      </c>
      <c r="C805" s="20" t="s">
        <v>1598</v>
      </c>
      <c r="D805" s="21"/>
    </row>
    <row r="806" spans="1:4" ht="12.75" customHeight="1" x14ac:dyDescent="0.2">
      <c r="A806" s="21"/>
      <c r="B806" s="3" t="s">
        <v>4</v>
      </c>
      <c r="C806" s="20" t="s">
        <v>1406</v>
      </c>
      <c r="D806" s="21"/>
    </row>
    <row r="807" spans="1:4" ht="12.75" customHeight="1" x14ac:dyDescent="0.2">
      <c r="A807" s="21"/>
      <c r="B807" s="3" t="s">
        <v>6</v>
      </c>
      <c r="C807" s="20" t="s">
        <v>35</v>
      </c>
      <c r="D807" s="21"/>
    </row>
    <row r="808" spans="1:4" ht="12.75" customHeight="1" x14ac:dyDescent="0.2">
      <c r="A808" s="21"/>
      <c r="B808" s="3" t="s">
        <v>8</v>
      </c>
      <c r="C808" s="20" t="s">
        <v>1406</v>
      </c>
      <c r="D808" s="21"/>
    </row>
    <row r="809" spans="1:4" ht="12.75" customHeight="1" x14ac:dyDescent="0.2">
      <c r="A809" s="21"/>
      <c r="B809" s="3" t="s">
        <v>9</v>
      </c>
      <c r="C809" s="20" t="s">
        <v>1255</v>
      </c>
      <c r="D809" s="21"/>
    </row>
    <row r="810" spans="1:4" ht="12.75" customHeight="1" x14ac:dyDescent="0.2">
      <c r="A810" s="21"/>
      <c r="B810" s="3" t="s">
        <v>11</v>
      </c>
      <c r="C810" s="20" t="s">
        <v>1732</v>
      </c>
      <c r="D810" s="21"/>
    </row>
    <row r="811" spans="1:4" ht="12.75" customHeight="1" x14ac:dyDescent="0.2">
      <c r="A811" s="21"/>
      <c r="B811" s="3" t="s">
        <v>13</v>
      </c>
      <c r="C811" s="20" t="s">
        <v>24</v>
      </c>
      <c r="D811" s="21"/>
    </row>
    <row r="812" spans="1:4" ht="12.75" customHeight="1" x14ac:dyDescent="0.2">
      <c r="A812" s="21"/>
      <c r="B812" s="3" t="s">
        <v>15</v>
      </c>
      <c r="C812" s="20" t="s">
        <v>14</v>
      </c>
      <c r="D812" s="21"/>
    </row>
    <row r="813" spans="1:4" ht="12.75" customHeight="1" x14ac:dyDescent="0.2">
      <c r="A813" s="21"/>
      <c r="B813" s="3" t="s">
        <v>16</v>
      </c>
      <c r="C813" s="20"/>
      <c r="D813" s="21"/>
    </row>
    <row r="814" spans="1:4" ht="12.75" customHeight="1" x14ac:dyDescent="0.2">
      <c r="A814" s="21"/>
      <c r="B814" s="3" t="s">
        <v>17</v>
      </c>
      <c r="C814" s="20"/>
      <c r="D814" s="21"/>
    </row>
    <row r="815" spans="1:4" ht="12.75" customHeight="1" x14ac:dyDescent="0.2">
      <c r="A815" s="21"/>
      <c r="B815" s="20" t="s">
        <v>18</v>
      </c>
      <c r="C815" s="4" t="s">
        <v>44</v>
      </c>
      <c r="D815" s="6" t="str">
        <f>HYPERLINK("javascript:void(0)","skivei lándzsa")</f>
        <v>skivei lándzsa</v>
      </c>
    </row>
    <row r="816" spans="1:4" ht="12.75" customHeight="1" x14ac:dyDescent="0.2">
      <c r="A816" s="21"/>
      <c r="B816" s="21"/>
      <c r="C816" s="4" t="s">
        <v>142</v>
      </c>
      <c r="D816" s="6" t="str">
        <f>HYPERLINK("javascript:void(0)","nyenyere nyak")</f>
        <v>nyenyere nyak</v>
      </c>
    </row>
    <row r="817" spans="1:4" ht="12.75" customHeight="1" x14ac:dyDescent="0.2">
      <c r="A817" s="21"/>
      <c r="B817" s="21"/>
      <c r="C817" s="4" t="s">
        <v>67</v>
      </c>
      <c r="D817" s="6" t="str">
        <f>HYPERLINK("javascript:void(0)","nyonyóc fog")</f>
        <v>nyonyóc fog</v>
      </c>
    </row>
    <row r="818" spans="1:4" ht="12.75" customHeight="1" x14ac:dyDescent="0.2">
      <c r="A818" s="5"/>
      <c r="B818" s="2"/>
      <c r="C818" s="2"/>
      <c r="D818" s="2"/>
    </row>
    <row r="819" spans="1:4" ht="12.75" customHeight="1" x14ac:dyDescent="0.2">
      <c r="A819" s="22" t="str">
        <f>HYPERLINK("javascript:void(0)","hidracél gigapallos")</f>
        <v>hidracél gigapallos</v>
      </c>
      <c r="B819" s="21"/>
      <c r="C819" s="21"/>
      <c r="D819" s="21"/>
    </row>
    <row r="820" spans="1:4" ht="12.75" customHeight="1" x14ac:dyDescent="0.2">
      <c r="A820" s="20"/>
      <c r="B820" s="2"/>
      <c r="C820" s="2"/>
      <c r="D820" s="2"/>
    </row>
    <row r="821" spans="1:4" ht="12.75" customHeight="1" x14ac:dyDescent="0.2">
      <c r="A821" s="21"/>
      <c r="B821" s="3" t="s">
        <v>0</v>
      </c>
      <c r="C821" s="20" t="s">
        <v>32</v>
      </c>
      <c r="D821" s="21"/>
    </row>
    <row r="822" spans="1:4" ht="12.75" customHeight="1" x14ac:dyDescent="0.2">
      <c r="A822" s="21"/>
      <c r="B822" s="3" t="s">
        <v>2</v>
      </c>
      <c r="C822" s="20" t="s">
        <v>1598</v>
      </c>
      <c r="D822" s="21"/>
    </row>
    <row r="823" spans="1:4" ht="12.75" customHeight="1" x14ac:dyDescent="0.2">
      <c r="A823" s="21"/>
      <c r="B823" s="3" t="s">
        <v>4</v>
      </c>
      <c r="C823" s="20" t="s">
        <v>267</v>
      </c>
      <c r="D823" s="21"/>
    </row>
    <row r="824" spans="1:4" ht="12.75" customHeight="1" x14ac:dyDescent="0.2">
      <c r="A824" s="21"/>
      <c r="B824" s="3" t="s">
        <v>6</v>
      </c>
      <c r="C824" s="20" t="s">
        <v>48</v>
      </c>
      <c r="D824" s="21"/>
    </row>
    <row r="825" spans="1:4" ht="12.75" customHeight="1" x14ac:dyDescent="0.2">
      <c r="A825" s="21"/>
      <c r="B825" s="3" t="s">
        <v>8</v>
      </c>
      <c r="C825" s="20" t="s">
        <v>267</v>
      </c>
      <c r="D825" s="21"/>
    </row>
    <row r="826" spans="1:4" ht="12.75" customHeight="1" x14ac:dyDescent="0.2">
      <c r="A826" s="21"/>
      <c r="B826" s="3" t="s">
        <v>9</v>
      </c>
      <c r="C826" s="20" t="s">
        <v>1736</v>
      </c>
      <c r="D826" s="21"/>
    </row>
    <row r="827" spans="1:4" ht="12.75" customHeight="1" x14ac:dyDescent="0.2">
      <c r="A827" s="21"/>
      <c r="B827" s="3" t="s">
        <v>11</v>
      </c>
      <c r="C827" s="20" t="s">
        <v>423</v>
      </c>
      <c r="D827" s="21"/>
    </row>
    <row r="828" spans="1:4" ht="12.75" customHeight="1" x14ac:dyDescent="0.2">
      <c r="A828" s="21"/>
      <c r="B828" s="3" t="s">
        <v>13</v>
      </c>
      <c r="C828" s="20" t="s">
        <v>14</v>
      </c>
      <c r="D828" s="21"/>
    </row>
    <row r="829" spans="1:4" ht="12.75" customHeight="1" x14ac:dyDescent="0.2">
      <c r="A829" s="21"/>
      <c r="B829" s="3" t="s">
        <v>15</v>
      </c>
      <c r="C829" s="20" t="s">
        <v>24</v>
      </c>
      <c r="D829" s="21"/>
    </row>
    <row r="830" spans="1:4" ht="12.75" customHeight="1" x14ac:dyDescent="0.2">
      <c r="A830" s="21"/>
      <c r="B830" s="3" t="s">
        <v>16</v>
      </c>
      <c r="C830" s="20"/>
      <c r="D830" s="21"/>
    </row>
    <row r="831" spans="1:4" ht="12.75" customHeight="1" x14ac:dyDescent="0.2">
      <c r="A831" s="21"/>
      <c r="B831" s="3" t="s">
        <v>17</v>
      </c>
      <c r="C831" s="20"/>
      <c r="D831" s="21"/>
    </row>
    <row r="832" spans="1:4" ht="12.75" customHeight="1" x14ac:dyDescent="0.2">
      <c r="A832" s="21"/>
      <c r="B832" s="20" t="s">
        <v>18</v>
      </c>
      <c r="C832" s="4" t="s">
        <v>130</v>
      </c>
      <c r="D832" s="6" t="str">
        <f>HYPERLINK("javascript:void(0)","szén-hidragén")</f>
        <v>szén-hidragén</v>
      </c>
    </row>
    <row r="833" spans="1:4" ht="12.75" customHeight="1" x14ac:dyDescent="0.2">
      <c r="A833" s="21"/>
      <c r="B833" s="21"/>
      <c r="C833" s="4" t="s">
        <v>106</v>
      </c>
      <c r="D833" s="6" t="str">
        <f>HYPERLINK("javascript:void(0)","oroszlánbajusz")</f>
        <v>oroszlánbajusz</v>
      </c>
    </row>
    <row r="834" spans="1:4" ht="12.75" customHeight="1" x14ac:dyDescent="0.2">
      <c r="A834" s="21"/>
      <c r="B834" s="21"/>
      <c r="C834" s="4" t="s">
        <v>323</v>
      </c>
      <c r="D834" s="6" t="str">
        <f>HYPERLINK("javascript:void(0)","vámpírherbium")</f>
        <v>vámpírherbium</v>
      </c>
    </row>
    <row r="835" spans="1:4" ht="12.75" customHeight="1" x14ac:dyDescent="0.2">
      <c r="A835" s="5"/>
      <c r="B835" s="2"/>
      <c r="C835" s="2"/>
      <c r="D835" s="2"/>
    </row>
    <row r="836" spans="1:4" ht="12.75" customHeight="1" x14ac:dyDescent="0.2">
      <c r="A836" s="22" t="str">
        <f>HYPERLINK("javascript:void(0)","obszidián tőr")</f>
        <v>obszidián tőr</v>
      </c>
      <c r="B836" s="21"/>
      <c r="C836" s="21"/>
      <c r="D836" s="2"/>
    </row>
    <row r="837" spans="1:4" ht="12.75" customHeight="1" x14ac:dyDescent="0.2">
      <c r="A837" s="20"/>
      <c r="B837" s="2"/>
      <c r="C837" s="2"/>
      <c r="D837" s="2"/>
    </row>
    <row r="838" spans="1:4" ht="12.75" customHeight="1" x14ac:dyDescent="0.2">
      <c r="A838" s="21"/>
      <c r="B838" s="3" t="s">
        <v>0</v>
      </c>
      <c r="C838" s="3" t="s">
        <v>88</v>
      </c>
      <c r="D838" s="2"/>
    </row>
    <row r="839" spans="1:4" ht="12.75" customHeight="1" x14ac:dyDescent="0.2">
      <c r="A839" s="21"/>
      <c r="B839" s="3" t="s">
        <v>2</v>
      </c>
      <c r="C839" s="3" t="s">
        <v>1598</v>
      </c>
      <c r="D839" s="2"/>
    </row>
    <row r="840" spans="1:4" ht="12.75" customHeight="1" x14ac:dyDescent="0.2">
      <c r="A840" s="21"/>
      <c r="B840" s="3" t="s">
        <v>4</v>
      </c>
      <c r="C840" s="3" t="s">
        <v>345</v>
      </c>
      <c r="D840" s="2"/>
    </row>
    <row r="841" spans="1:4" ht="12.75" customHeight="1" x14ac:dyDescent="0.2">
      <c r="A841" s="21"/>
      <c r="B841" s="3" t="s">
        <v>6</v>
      </c>
      <c r="C841" s="3" t="s">
        <v>128</v>
      </c>
      <c r="D841" s="2"/>
    </row>
    <row r="842" spans="1:4" ht="12.75" customHeight="1" x14ac:dyDescent="0.2">
      <c r="A842" s="21"/>
      <c r="B842" s="3" t="s">
        <v>8</v>
      </c>
      <c r="C842" s="3" t="s">
        <v>345</v>
      </c>
      <c r="D842" s="2"/>
    </row>
    <row r="843" spans="1:4" ht="12.75" customHeight="1" x14ac:dyDescent="0.2">
      <c r="A843" s="21"/>
      <c r="B843" s="3" t="s">
        <v>9</v>
      </c>
      <c r="C843" s="3" t="s">
        <v>42</v>
      </c>
      <c r="D843" s="2"/>
    </row>
    <row r="844" spans="1:4" ht="12.75" customHeight="1" x14ac:dyDescent="0.2">
      <c r="A844" s="21"/>
      <c r="B844" s="3" t="s">
        <v>11</v>
      </c>
      <c r="C844" s="3" t="s">
        <v>1739</v>
      </c>
      <c r="D844" s="2"/>
    </row>
    <row r="845" spans="1:4" ht="12.75" customHeight="1" x14ac:dyDescent="0.2">
      <c r="A845" s="21"/>
      <c r="B845" s="3" t="s">
        <v>13</v>
      </c>
      <c r="C845" s="3" t="s">
        <v>14</v>
      </c>
      <c r="D845" s="2"/>
    </row>
    <row r="846" spans="1:4" ht="12.75" customHeight="1" x14ac:dyDescent="0.2">
      <c r="A846" s="21"/>
      <c r="B846" s="3" t="s">
        <v>15</v>
      </c>
      <c r="C846" s="3" t="s">
        <v>14</v>
      </c>
      <c r="D846" s="2"/>
    </row>
    <row r="847" spans="1:4" ht="12.75" customHeight="1" x14ac:dyDescent="0.2">
      <c r="A847" s="21"/>
      <c r="B847" s="3" t="s">
        <v>16</v>
      </c>
      <c r="C847" s="3"/>
      <c r="D847" s="2"/>
    </row>
    <row r="848" spans="1:4" ht="12.75" customHeight="1" x14ac:dyDescent="0.2">
      <c r="A848" s="21"/>
      <c r="B848" s="3" t="s">
        <v>17</v>
      </c>
      <c r="C848" s="3"/>
      <c r="D848" s="2"/>
    </row>
    <row r="849" spans="1:4" ht="12.75" customHeight="1" x14ac:dyDescent="0.2">
      <c r="A849" s="21"/>
      <c r="B849" s="3" t="s">
        <v>18</v>
      </c>
      <c r="C849" s="4" t="s">
        <v>19</v>
      </c>
      <c r="D849" s="2"/>
    </row>
    <row r="850" spans="1:4" ht="12.75" customHeight="1" x14ac:dyDescent="0.2">
      <c r="A850" s="5"/>
      <c r="B850" s="2"/>
      <c r="C850" s="2"/>
      <c r="D850" s="2"/>
    </row>
    <row r="851" spans="1:4" ht="12.75" customHeight="1" x14ac:dyDescent="0.2">
      <c r="A851" s="22" t="str">
        <f>HYPERLINK("javascript:void(0)","lávakard")</f>
        <v>lávakard</v>
      </c>
      <c r="B851" s="21"/>
      <c r="C851" s="21"/>
      <c r="D851" s="2"/>
    </row>
    <row r="852" spans="1:4" ht="12.75" customHeight="1" x14ac:dyDescent="0.2">
      <c r="A852" s="20"/>
      <c r="B852" s="2"/>
      <c r="C852" s="2"/>
      <c r="D852" s="2"/>
    </row>
    <row r="853" spans="1:4" ht="12.75" customHeight="1" x14ac:dyDescent="0.2">
      <c r="A853" s="21"/>
      <c r="B853" s="3" t="s">
        <v>0</v>
      </c>
      <c r="C853" s="3" t="s">
        <v>88</v>
      </c>
      <c r="D853" s="2"/>
    </row>
    <row r="854" spans="1:4" ht="12.75" customHeight="1" x14ac:dyDescent="0.2">
      <c r="A854" s="21"/>
      <c r="B854" s="3" t="s">
        <v>2</v>
      </c>
      <c r="C854" s="3" t="s">
        <v>1598</v>
      </c>
      <c r="D854" s="2"/>
    </row>
    <row r="855" spans="1:4" ht="12.75" customHeight="1" x14ac:dyDescent="0.2">
      <c r="A855" s="21"/>
      <c r="B855" s="3" t="s">
        <v>4</v>
      </c>
      <c r="C855" s="3" t="s">
        <v>1740</v>
      </c>
      <c r="D855" s="2"/>
    </row>
    <row r="856" spans="1:4" ht="12.75" customHeight="1" x14ac:dyDescent="0.2">
      <c r="A856" s="21"/>
      <c r="B856" s="3" t="s">
        <v>6</v>
      </c>
      <c r="C856" s="3" t="s">
        <v>38</v>
      </c>
      <c r="D856" s="2"/>
    </row>
    <row r="857" spans="1:4" ht="12.75" customHeight="1" x14ac:dyDescent="0.2">
      <c r="A857" s="21"/>
      <c r="B857" s="3" t="s">
        <v>8</v>
      </c>
      <c r="C857" s="3" t="s">
        <v>1740</v>
      </c>
      <c r="D857" s="2"/>
    </row>
    <row r="858" spans="1:4" ht="12.75" customHeight="1" x14ac:dyDescent="0.2">
      <c r="A858" s="21"/>
      <c r="B858" s="3" t="s">
        <v>9</v>
      </c>
      <c r="C858" s="3" t="s">
        <v>131</v>
      </c>
      <c r="D858" s="2"/>
    </row>
    <row r="859" spans="1:4" ht="12.75" customHeight="1" x14ac:dyDescent="0.2">
      <c r="A859" s="21"/>
      <c r="B859" s="3" t="s">
        <v>11</v>
      </c>
      <c r="C859" s="3" t="s">
        <v>1741</v>
      </c>
      <c r="D859" s="2"/>
    </row>
    <row r="860" spans="1:4" ht="12.75" customHeight="1" x14ac:dyDescent="0.2">
      <c r="A860" s="21"/>
      <c r="B860" s="3" t="s">
        <v>13</v>
      </c>
      <c r="C860" s="3" t="s">
        <v>24</v>
      </c>
      <c r="D860" s="2"/>
    </row>
    <row r="861" spans="1:4" ht="12.75" customHeight="1" x14ac:dyDescent="0.2">
      <c r="A861" s="21"/>
      <c r="B861" s="3" t="s">
        <v>15</v>
      </c>
      <c r="C861" s="3" t="s">
        <v>24</v>
      </c>
      <c r="D861" s="2"/>
    </row>
    <row r="862" spans="1:4" ht="12.75" customHeight="1" x14ac:dyDescent="0.2">
      <c r="A862" s="21"/>
      <c r="B862" s="3" t="s">
        <v>16</v>
      </c>
      <c r="C862" s="3"/>
      <c r="D862" s="2"/>
    </row>
    <row r="863" spans="1:4" ht="12.75" customHeight="1" x14ac:dyDescent="0.2">
      <c r="A863" s="21"/>
      <c r="B863" s="3" t="s">
        <v>17</v>
      </c>
      <c r="C863" s="3"/>
      <c r="D863" s="2"/>
    </row>
    <row r="864" spans="1:4" ht="12.75" customHeight="1" x14ac:dyDescent="0.2">
      <c r="A864" s="21"/>
      <c r="B864" s="3" t="s">
        <v>18</v>
      </c>
      <c r="C864" s="4" t="s">
        <v>19</v>
      </c>
      <c r="D864" s="2"/>
    </row>
    <row r="865" spans="1:4" ht="12.75" customHeight="1" x14ac:dyDescent="0.2">
      <c r="A865" s="5"/>
      <c r="B865" s="2"/>
      <c r="C865" s="2"/>
      <c r="D865" s="2"/>
    </row>
    <row r="866" spans="1:4" ht="12.75" customHeight="1" x14ac:dyDescent="0.2">
      <c r="A866" s="22" t="str">
        <f>HYPERLINK("javascript:void(0)","holdszigony")</f>
        <v>holdszigony</v>
      </c>
      <c r="B866" s="21"/>
      <c r="C866" s="21"/>
      <c r="D866" s="21"/>
    </row>
    <row r="867" spans="1:4" ht="12.75" customHeight="1" x14ac:dyDescent="0.2">
      <c r="A867" s="20"/>
      <c r="B867" s="2"/>
      <c r="C867" s="2"/>
      <c r="D867" s="2"/>
    </row>
    <row r="868" spans="1:4" ht="12.75" customHeight="1" x14ac:dyDescent="0.2">
      <c r="A868" s="21"/>
      <c r="B868" s="3" t="s">
        <v>0</v>
      </c>
      <c r="C868" s="20" t="s">
        <v>88</v>
      </c>
      <c r="D868" s="21"/>
    </row>
    <row r="869" spans="1:4" ht="12.75" customHeight="1" x14ac:dyDescent="0.2">
      <c r="A869" s="21"/>
      <c r="B869" s="3" t="s">
        <v>2</v>
      </c>
      <c r="C869" s="20" t="s">
        <v>1598</v>
      </c>
      <c r="D869" s="21"/>
    </row>
    <row r="870" spans="1:4" ht="12.75" customHeight="1" x14ac:dyDescent="0.2">
      <c r="A870" s="21"/>
      <c r="B870" s="3" t="s">
        <v>4</v>
      </c>
      <c r="C870" s="20" t="s">
        <v>1400</v>
      </c>
      <c r="D870" s="21"/>
    </row>
    <row r="871" spans="1:4" ht="12.75" customHeight="1" x14ac:dyDescent="0.2">
      <c r="A871" s="21"/>
      <c r="B871" s="3" t="s">
        <v>6</v>
      </c>
      <c r="C871" s="20" t="s">
        <v>157</v>
      </c>
      <c r="D871" s="21"/>
    </row>
    <row r="872" spans="1:4" ht="12.75" customHeight="1" x14ac:dyDescent="0.2">
      <c r="A872" s="21"/>
      <c r="B872" s="3" t="s">
        <v>8</v>
      </c>
      <c r="C872" s="20" t="s">
        <v>1400</v>
      </c>
      <c r="D872" s="21"/>
    </row>
    <row r="873" spans="1:4" ht="12.75" customHeight="1" x14ac:dyDescent="0.2">
      <c r="A873" s="21"/>
      <c r="B873" s="3" t="s">
        <v>9</v>
      </c>
      <c r="C873" s="20" t="s">
        <v>124</v>
      </c>
      <c r="D873" s="21"/>
    </row>
    <row r="874" spans="1:4" ht="12.75" customHeight="1" x14ac:dyDescent="0.2">
      <c r="A874" s="21"/>
      <c r="B874" s="3" t="s">
        <v>11</v>
      </c>
      <c r="C874" s="20" t="s">
        <v>1744</v>
      </c>
      <c r="D874" s="21"/>
    </row>
    <row r="875" spans="1:4" ht="12.75" customHeight="1" x14ac:dyDescent="0.2">
      <c r="A875" s="21"/>
      <c r="B875" s="3" t="s">
        <v>13</v>
      </c>
      <c r="C875" s="20" t="s">
        <v>24</v>
      </c>
      <c r="D875" s="21"/>
    </row>
    <row r="876" spans="1:4" ht="12.75" customHeight="1" x14ac:dyDescent="0.2">
      <c r="A876" s="21"/>
      <c r="B876" s="3" t="s">
        <v>15</v>
      </c>
      <c r="C876" s="20" t="s">
        <v>24</v>
      </c>
      <c r="D876" s="21"/>
    </row>
    <row r="877" spans="1:4" ht="12.75" customHeight="1" x14ac:dyDescent="0.2">
      <c r="A877" s="21"/>
      <c r="B877" s="3" t="s">
        <v>16</v>
      </c>
      <c r="C877" s="20"/>
      <c r="D877" s="21"/>
    </row>
    <row r="878" spans="1:4" ht="12.75" customHeight="1" x14ac:dyDescent="0.2">
      <c r="A878" s="21"/>
      <c r="B878" s="3" t="s">
        <v>17</v>
      </c>
      <c r="C878" s="20"/>
      <c r="D878" s="21"/>
    </row>
    <row r="879" spans="1:4" ht="12.75" customHeight="1" x14ac:dyDescent="0.2">
      <c r="A879" s="21"/>
      <c r="B879" s="20" t="s">
        <v>18</v>
      </c>
      <c r="C879" s="4" t="s">
        <v>44</v>
      </c>
      <c r="D879" s="6" t="str">
        <f>HYPERLINK("javascript:void(0)","lari szigony")</f>
        <v>lari szigony</v>
      </c>
    </row>
    <row r="880" spans="1:4" ht="12.75" customHeight="1" x14ac:dyDescent="0.2">
      <c r="A880" s="21"/>
      <c r="B880" s="21"/>
      <c r="C880" s="4" t="s">
        <v>56</v>
      </c>
      <c r="D880" s="6" t="str">
        <f>HYPERLINK("javascript:void(0)","gyémánt")</f>
        <v>gyémánt</v>
      </c>
    </row>
    <row r="881" spans="1:4" ht="12.75" customHeight="1" x14ac:dyDescent="0.2">
      <c r="A881" s="21"/>
      <c r="B881" s="21"/>
      <c r="C881" s="4" t="s">
        <v>77</v>
      </c>
      <c r="D881" s="6" t="str">
        <f>HYPERLINK("javascript:void(0)","kristálylap")</f>
        <v>kristálylap</v>
      </c>
    </row>
    <row r="882" spans="1:4" ht="12.75" customHeight="1" x14ac:dyDescent="0.2">
      <c r="A882" s="5"/>
      <c r="B882" s="2"/>
      <c r="C882" s="2"/>
      <c r="D882" s="2"/>
    </row>
    <row r="883" spans="1:4" ht="12.75" customHeight="1" x14ac:dyDescent="0.2">
      <c r="A883" s="22" t="str">
        <f>HYPERLINK("javascript:void(0)","démonacél kard")</f>
        <v>démonacél kard</v>
      </c>
      <c r="B883" s="21"/>
      <c r="C883" s="21"/>
      <c r="D883" s="21"/>
    </row>
    <row r="884" spans="1:4" ht="12.75" customHeight="1" x14ac:dyDescent="0.2">
      <c r="A884" s="20"/>
      <c r="B884" s="2"/>
      <c r="C884" s="2"/>
      <c r="D884" s="2"/>
    </row>
    <row r="885" spans="1:4" ht="12.75" customHeight="1" x14ac:dyDescent="0.2">
      <c r="A885" s="21"/>
      <c r="B885" s="3" t="s">
        <v>0</v>
      </c>
      <c r="C885" s="20" t="s">
        <v>88</v>
      </c>
      <c r="D885" s="21"/>
    </row>
    <row r="886" spans="1:4" ht="12.75" customHeight="1" x14ac:dyDescent="0.2">
      <c r="A886" s="21"/>
      <c r="B886" s="3" t="s">
        <v>2</v>
      </c>
      <c r="C886" s="20" t="s">
        <v>1598</v>
      </c>
      <c r="D886" s="21"/>
    </row>
    <row r="887" spans="1:4" ht="12.75" customHeight="1" x14ac:dyDescent="0.2">
      <c r="A887" s="21"/>
      <c r="B887" s="3" t="s">
        <v>4</v>
      </c>
      <c r="C887" s="20" t="s">
        <v>267</v>
      </c>
      <c r="D887" s="21"/>
    </row>
    <row r="888" spans="1:4" ht="12.75" customHeight="1" x14ac:dyDescent="0.2">
      <c r="A888" s="21"/>
      <c r="B888" s="3" t="s">
        <v>6</v>
      </c>
      <c r="C888" s="20" t="s">
        <v>100</v>
      </c>
      <c r="D888" s="21"/>
    </row>
    <row r="889" spans="1:4" ht="12.75" customHeight="1" x14ac:dyDescent="0.2">
      <c r="A889" s="21"/>
      <c r="B889" s="3" t="s">
        <v>8</v>
      </c>
      <c r="C889" s="20" t="s">
        <v>267</v>
      </c>
      <c r="D889" s="21"/>
    </row>
    <row r="890" spans="1:4" ht="12.75" customHeight="1" x14ac:dyDescent="0.2">
      <c r="A890" s="21"/>
      <c r="B890" s="3" t="s">
        <v>9</v>
      </c>
      <c r="C890" s="20" t="s">
        <v>573</v>
      </c>
      <c r="D890" s="21"/>
    </row>
    <row r="891" spans="1:4" ht="12.75" customHeight="1" x14ac:dyDescent="0.2">
      <c r="A891" s="21"/>
      <c r="B891" s="3" t="s">
        <v>11</v>
      </c>
      <c r="C891" s="20" t="s">
        <v>1747</v>
      </c>
      <c r="D891" s="21"/>
    </row>
    <row r="892" spans="1:4" ht="12.75" customHeight="1" x14ac:dyDescent="0.2">
      <c r="A892" s="21"/>
      <c r="B892" s="3" t="s">
        <v>13</v>
      </c>
      <c r="C892" s="20" t="s">
        <v>24</v>
      </c>
      <c r="D892" s="21"/>
    </row>
    <row r="893" spans="1:4" ht="12.75" customHeight="1" x14ac:dyDescent="0.2">
      <c r="A893" s="21"/>
      <c r="B893" s="3" t="s">
        <v>15</v>
      </c>
      <c r="C893" s="20" t="s">
        <v>14</v>
      </c>
      <c r="D893" s="21"/>
    </row>
    <row r="894" spans="1:4" ht="12.75" customHeight="1" x14ac:dyDescent="0.2">
      <c r="A894" s="21"/>
      <c r="B894" s="3" t="s">
        <v>16</v>
      </c>
      <c r="C894" s="20"/>
      <c r="D894" s="21"/>
    </row>
    <row r="895" spans="1:4" ht="12.75" customHeight="1" x14ac:dyDescent="0.2">
      <c r="A895" s="21"/>
      <c r="B895" s="3" t="s">
        <v>17</v>
      </c>
      <c r="C895" s="20"/>
      <c r="D895" s="21"/>
    </row>
    <row r="896" spans="1:4" ht="12.75" customHeight="1" x14ac:dyDescent="0.2">
      <c r="A896" s="21"/>
      <c r="B896" s="20" t="s">
        <v>18</v>
      </c>
      <c r="C896" s="4" t="s">
        <v>44</v>
      </c>
      <c r="D896" s="6" t="str">
        <f>HYPERLINK("javascript:void(0)","skivei kard")</f>
        <v>skivei kard</v>
      </c>
    </row>
    <row r="897" spans="1:4" ht="12.75" customHeight="1" x14ac:dyDescent="0.2">
      <c r="A897" s="21"/>
      <c r="B897" s="21"/>
      <c r="C897" s="4" t="s">
        <v>77</v>
      </c>
      <c r="D897" s="6" t="str">
        <f>HYPERLINK("javascript:void(0)","démoncsőr")</f>
        <v>démoncsőr</v>
      </c>
    </row>
    <row r="898" spans="1:4" ht="12.75" customHeight="1" x14ac:dyDescent="0.2">
      <c r="A898" s="21"/>
      <c r="B898" s="21"/>
      <c r="C898" s="4" t="s">
        <v>55</v>
      </c>
      <c r="D898" s="6" t="str">
        <f>HYPERLINK("javascript:void(0)","nyukug bajusz")</f>
        <v>nyukug bajusz</v>
      </c>
    </row>
    <row r="899" spans="1:4" ht="12.75" customHeight="1" x14ac:dyDescent="0.2">
      <c r="A899" s="5"/>
      <c r="B899" s="2"/>
      <c r="C899" s="2"/>
      <c r="D899" s="2"/>
    </row>
    <row r="900" spans="1:4" ht="12.75" customHeight="1" x14ac:dyDescent="0.2">
      <c r="A900" s="22" t="str">
        <f>HYPERLINK("javascript:void(0)","hidracél fejsze")</f>
        <v>hidracél fejsze</v>
      </c>
      <c r="B900" s="21"/>
      <c r="C900" s="21"/>
      <c r="D900" s="21"/>
    </row>
    <row r="901" spans="1:4" ht="12.75" customHeight="1" x14ac:dyDescent="0.2">
      <c r="A901" s="20"/>
      <c r="B901" s="2"/>
      <c r="C901" s="2"/>
      <c r="D901" s="2"/>
    </row>
    <row r="902" spans="1:4" ht="12.75" customHeight="1" x14ac:dyDescent="0.2">
      <c r="A902" s="21"/>
      <c r="B902" s="3" t="s">
        <v>0</v>
      </c>
      <c r="C902" s="20" t="s">
        <v>88</v>
      </c>
      <c r="D902" s="21"/>
    </row>
    <row r="903" spans="1:4" ht="12.75" customHeight="1" x14ac:dyDescent="0.2">
      <c r="A903" s="21"/>
      <c r="B903" s="3" t="s">
        <v>2</v>
      </c>
      <c r="C903" s="20" t="s">
        <v>1598</v>
      </c>
      <c r="D903" s="21"/>
    </row>
    <row r="904" spans="1:4" ht="12.75" customHeight="1" x14ac:dyDescent="0.2">
      <c r="A904" s="21"/>
      <c r="B904" s="3" t="s">
        <v>4</v>
      </c>
      <c r="C904" s="20" t="s">
        <v>278</v>
      </c>
      <c r="D904" s="21"/>
    </row>
    <row r="905" spans="1:4" ht="12.75" customHeight="1" x14ac:dyDescent="0.2">
      <c r="A905" s="21"/>
      <c r="B905" s="3" t="s">
        <v>6</v>
      </c>
      <c r="C905" s="20" t="s">
        <v>206</v>
      </c>
      <c r="D905" s="21"/>
    </row>
    <row r="906" spans="1:4" ht="12.75" customHeight="1" x14ac:dyDescent="0.2">
      <c r="A906" s="21"/>
      <c r="B906" s="3" t="s">
        <v>8</v>
      </c>
      <c r="C906" s="20" t="s">
        <v>278</v>
      </c>
      <c r="D906" s="21"/>
    </row>
    <row r="907" spans="1:4" ht="12.75" customHeight="1" x14ac:dyDescent="0.2">
      <c r="A907" s="21"/>
      <c r="B907" s="3" t="s">
        <v>9</v>
      </c>
      <c r="C907" s="20" t="s">
        <v>200</v>
      </c>
      <c r="D907" s="21"/>
    </row>
    <row r="908" spans="1:4" ht="12.75" customHeight="1" x14ac:dyDescent="0.2">
      <c r="A908" s="21"/>
      <c r="B908" s="3" t="s">
        <v>11</v>
      </c>
      <c r="C908" s="20" t="s">
        <v>412</v>
      </c>
      <c r="D908" s="21"/>
    </row>
    <row r="909" spans="1:4" ht="12.75" customHeight="1" x14ac:dyDescent="0.2">
      <c r="A909" s="21"/>
      <c r="B909" s="3" t="s">
        <v>13</v>
      </c>
      <c r="C909" s="20" t="s">
        <v>14</v>
      </c>
      <c r="D909" s="21"/>
    </row>
    <row r="910" spans="1:4" ht="12.75" customHeight="1" x14ac:dyDescent="0.2">
      <c r="A910" s="21"/>
      <c r="B910" s="3" t="s">
        <v>15</v>
      </c>
      <c r="C910" s="20" t="s">
        <v>24</v>
      </c>
      <c r="D910" s="21"/>
    </row>
    <row r="911" spans="1:4" ht="12.75" customHeight="1" x14ac:dyDescent="0.2">
      <c r="A911" s="21"/>
      <c r="B911" s="3" t="s">
        <v>16</v>
      </c>
      <c r="C911" s="20"/>
      <c r="D911" s="21"/>
    </row>
    <row r="912" spans="1:4" ht="12.75" customHeight="1" x14ac:dyDescent="0.2">
      <c r="A912" s="21"/>
      <c r="B912" s="3" t="s">
        <v>17</v>
      </c>
      <c r="C912" s="20"/>
      <c r="D912" s="21"/>
    </row>
    <row r="913" spans="1:4" ht="12.75" customHeight="1" x14ac:dyDescent="0.2">
      <c r="A913" s="21"/>
      <c r="B913" s="20" t="s">
        <v>18</v>
      </c>
      <c r="C913" s="4" t="s">
        <v>44</v>
      </c>
      <c r="D913" s="6" t="str">
        <f>HYPERLINK("javascript:void(0)","mengorni fejsze")</f>
        <v>mengorni fejsze</v>
      </c>
    </row>
    <row r="914" spans="1:4" ht="12.75" customHeight="1" x14ac:dyDescent="0.2">
      <c r="A914" s="21"/>
      <c r="B914" s="21"/>
      <c r="C914" s="4" t="s">
        <v>77</v>
      </c>
      <c r="D914" s="6" t="str">
        <f>HYPERLINK("javascript:void(0)","szén-hidragén")</f>
        <v>szén-hidragén</v>
      </c>
    </row>
    <row r="915" spans="1:4" ht="12.75" customHeight="1" x14ac:dyDescent="0.2">
      <c r="A915" s="21"/>
      <c r="B915" s="21"/>
      <c r="C915" s="4" t="s">
        <v>1753</v>
      </c>
      <c r="D915" s="6" t="str">
        <f>HYPERLINK("javascript:void(0)","ezüst")</f>
        <v>ezüst</v>
      </c>
    </row>
    <row r="916" spans="1:4" ht="12.75" customHeight="1" x14ac:dyDescent="0.2">
      <c r="A916" s="5"/>
      <c r="B916" s="2"/>
      <c r="C916" s="2"/>
      <c r="D916" s="2"/>
    </row>
    <row r="917" spans="1:4" ht="12.75" customHeight="1" x14ac:dyDescent="0.2">
      <c r="A917" s="22" t="str">
        <f>HYPERLINK("javascript:void(0)","dracoacél sarló")</f>
        <v>dracoacél sarló</v>
      </c>
      <c r="B917" s="21"/>
      <c r="C917" s="21"/>
      <c r="D917" s="21"/>
    </row>
    <row r="918" spans="1:4" ht="12.75" customHeight="1" x14ac:dyDescent="0.2">
      <c r="A918" s="20"/>
      <c r="B918" s="2"/>
      <c r="C918" s="2"/>
      <c r="D918" s="2"/>
    </row>
    <row r="919" spans="1:4" ht="12.75" customHeight="1" x14ac:dyDescent="0.2">
      <c r="A919" s="21"/>
      <c r="B919" s="3" t="s">
        <v>0</v>
      </c>
      <c r="C919" s="20" t="s">
        <v>88</v>
      </c>
      <c r="D919" s="21"/>
    </row>
    <row r="920" spans="1:4" ht="12.75" customHeight="1" x14ac:dyDescent="0.2">
      <c r="A920" s="21"/>
      <c r="B920" s="3" t="s">
        <v>2</v>
      </c>
      <c r="C920" s="20" t="s">
        <v>1598</v>
      </c>
      <c r="D920" s="21"/>
    </row>
    <row r="921" spans="1:4" ht="12.75" customHeight="1" x14ac:dyDescent="0.2">
      <c r="A921" s="21"/>
      <c r="B921" s="3" t="s">
        <v>4</v>
      </c>
      <c r="C921" s="20" t="s">
        <v>1385</v>
      </c>
      <c r="D921" s="21"/>
    </row>
    <row r="922" spans="1:4" ht="12.75" customHeight="1" x14ac:dyDescent="0.2">
      <c r="A922" s="21"/>
      <c r="B922" s="3" t="s">
        <v>6</v>
      </c>
      <c r="C922" s="20" t="s">
        <v>33</v>
      </c>
      <c r="D922" s="21"/>
    </row>
    <row r="923" spans="1:4" ht="12.75" customHeight="1" x14ac:dyDescent="0.2">
      <c r="A923" s="21"/>
      <c r="B923" s="3" t="s">
        <v>8</v>
      </c>
      <c r="C923" s="20" t="s">
        <v>1385</v>
      </c>
      <c r="D923" s="21"/>
    </row>
    <row r="924" spans="1:4" ht="12.75" customHeight="1" x14ac:dyDescent="0.2">
      <c r="A924" s="21"/>
      <c r="B924" s="3" t="s">
        <v>9</v>
      </c>
      <c r="C924" s="20" t="s">
        <v>415</v>
      </c>
      <c r="D924" s="21"/>
    </row>
    <row r="925" spans="1:4" ht="12.75" customHeight="1" x14ac:dyDescent="0.2">
      <c r="A925" s="21"/>
      <c r="B925" s="3" t="s">
        <v>11</v>
      </c>
      <c r="C925" s="20" t="s">
        <v>391</v>
      </c>
      <c r="D925" s="21"/>
    </row>
    <row r="926" spans="1:4" ht="12.75" customHeight="1" x14ac:dyDescent="0.2">
      <c r="A926" s="21"/>
      <c r="B926" s="3" t="s">
        <v>13</v>
      </c>
      <c r="C926" s="20" t="s">
        <v>24</v>
      </c>
      <c r="D926" s="21"/>
    </row>
    <row r="927" spans="1:4" ht="12.75" customHeight="1" x14ac:dyDescent="0.2">
      <c r="A927" s="21"/>
      <c r="B927" s="3" t="s">
        <v>15</v>
      </c>
      <c r="C927" s="20" t="s">
        <v>24</v>
      </c>
      <c r="D927" s="21"/>
    </row>
    <row r="928" spans="1:4" ht="12.75" customHeight="1" x14ac:dyDescent="0.2">
      <c r="A928" s="21"/>
      <c r="B928" s="3" t="s">
        <v>16</v>
      </c>
      <c r="C928" s="20"/>
      <c r="D928" s="21"/>
    </row>
    <row r="929" spans="1:4" ht="12.75" customHeight="1" x14ac:dyDescent="0.2">
      <c r="A929" s="21"/>
      <c r="B929" s="3" t="s">
        <v>17</v>
      </c>
      <c r="C929" s="20"/>
      <c r="D929" s="21"/>
    </row>
    <row r="930" spans="1:4" ht="12.75" customHeight="1" x14ac:dyDescent="0.2">
      <c r="A930" s="21"/>
      <c r="B930" s="20" t="s">
        <v>18</v>
      </c>
      <c r="C930" s="4" t="s">
        <v>56</v>
      </c>
      <c r="D930" s="6" t="str">
        <f>HYPERLINK("javascript:void(0)","dzsinka sarló")</f>
        <v>dzsinka sarló</v>
      </c>
    </row>
    <row r="931" spans="1:4" ht="12.75" customHeight="1" x14ac:dyDescent="0.2">
      <c r="A931" s="21"/>
      <c r="B931" s="21"/>
      <c r="C931" s="4" t="s">
        <v>68</v>
      </c>
      <c r="D931" s="6" t="str">
        <f>HYPERLINK("javascript:void(0)","sárkányfog")</f>
        <v>sárkányfog</v>
      </c>
    </row>
    <row r="932" spans="1:4" ht="12.75" customHeight="1" x14ac:dyDescent="0.2">
      <c r="A932" s="21"/>
      <c r="B932" s="21"/>
      <c r="C932" s="4" t="s">
        <v>67</v>
      </c>
      <c r="D932" s="6" t="str">
        <f>HYPERLINK("javascript:void(0)","sárkánypikkely")</f>
        <v>sárkánypikkely</v>
      </c>
    </row>
    <row r="933" spans="1:4" ht="12.75" customHeight="1" x14ac:dyDescent="0.2">
      <c r="A933" s="5"/>
      <c r="B933" s="2"/>
      <c r="C933" s="2"/>
      <c r="D933" s="2"/>
    </row>
    <row r="934" spans="1:4" ht="12.75" customHeight="1" x14ac:dyDescent="0.2">
      <c r="A934" s="22" t="str">
        <f>HYPERLINK("javascript:void(0)","Wendír kard")</f>
        <v>Wendír kard</v>
      </c>
      <c r="B934" s="21"/>
      <c r="C934" s="21"/>
      <c r="D934" s="2"/>
    </row>
    <row r="935" spans="1:4" ht="12.75" customHeight="1" x14ac:dyDescent="0.2">
      <c r="A935" s="20"/>
      <c r="B935" s="2"/>
      <c r="C935" s="2"/>
      <c r="D935" s="2"/>
    </row>
    <row r="936" spans="1:4" ht="12.75" customHeight="1" x14ac:dyDescent="0.2">
      <c r="A936" s="21"/>
      <c r="B936" s="3" t="s">
        <v>0</v>
      </c>
      <c r="C936" s="3" t="s">
        <v>155</v>
      </c>
      <c r="D936" s="2"/>
    </row>
    <row r="937" spans="1:4" ht="12.75" customHeight="1" x14ac:dyDescent="0.2">
      <c r="A937" s="21"/>
      <c r="B937" s="3" t="s">
        <v>2</v>
      </c>
      <c r="C937" s="3" t="s">
        <v>1598</v>
      </c>
      <c r="D937" s="2"/>
    </row>
    <row r="938" spans="1:4" ht="12.75" customHeight="1" x14ac:dyDescent="0.2">
      <c r="A938" s="21"/>
      <c r="B938" s="3" t="s">
        <v>4</v>
      </c>
      <c r="C938" s="3" t="s">
        <v>1284</v>
      </c>
      <c r="D938" s="2"/>
    </row>
    <row r="939" spans="1:4" ht="12.75" customHeight="1" x14ac:dyDescent="0.2">
      <c r="A939" s="21"/>
      <c r="B939" s="3" t="s">
        <v>6</v>
      </c>
      <c r="C939" s="3" t="s">
        <v>123</v>
      </c>
      <c r="D939" s="2"/>
    </row>
    <row r="940" spans="1:4" ht="12.75" customHeight="1" x14ac:dyDescent="0.2">
      <c r="A940" s="21"/>
      <c r="B940" s="3" t="s">
        <v>8</v>
      </c>
      <c r="C940" s="3" t="s">
        <v>1284</v>
      </c>
      <c r="D940" s="2"/>
    </row>
    <row r="941" spans="1:4" ht="12.75" customHeight="1" x14ac:dyDescent="0.2">
      <c r="A941" s="21"/>
      <c r="B941" s="3" t="s">
        <v>9</v>
      </c>
      <c r="C941" s="3" t="s">
        <v>200</v>
      </c>
      <c r="D941" s="2"/>
    </row>
    <row r="942" spans="1:4" ht="12.75" customHeight="1" x14ac:dyDescent="0.2">
      <c r="A942" s="21"/>
      <c r="B942" s="3" t="s">
        <v>11</v>
      </c>
      <c r="C942" s="3" t="s">
        <v>1755</v>
      </c>
      <c r="D942" s="2"/>
    </row>
    <row r="943" spans="1:4" ht="12.75" customHeight="1" x14ac:dyDescent="0.2">
      <c r="A943" s="21"/>
      <c r="B943" s="3" t="s">
        <v>13</v>
      </c>
      <c r="C943" s="3" t="s">
        <v>24</v>
      </c>
      <c r="D943" s="2"/>
    </row>
    <row r="944" spans="1:4" ht="12.75" customHeight="1" x14ac:dyDescent="0.2">
      <c r="A944" s="21"/>
      <c r="B944" s="3" t="s">
        <v>15</v>
      </c>
      <c r="C944" s="3" t="s">
        <v>24</v>
      </c>
      <c r="D944" s="2"/>
    </row>
    <row r="945" spans="1:4" ht="12.75" customHeight="1" x14ac:dyDescent="0.2">
      <c r="A945" s="21"/>
      <c r="B945" s="3" t="s">
        <v>16</v>
      </c>
      <c r="C945" s="3"/>
      <c r="D945" s="2"/>
    </row>
    <row r="946" spans="1:4" ht="12.75" customHeight="1" x14ac:dyDescent="0.2">
      <c r="A946" s="21"/>
      <c r="B946" s="3" t="s">
        <v>17</v>
      </c>
      <c r="C946" s="3"/>
      <c r="D946" s="2"/>
    </row>
    <row r="947" spans="1:4" ht="12.75" customHeight="1" x14ac:dyDescent="0.2">
      <c r="A947" s="21"/>
      <c r="B947" s="3" t="s">
        <v>18</v>
      </c>
      <c r="C947" s="4" t="s">
        <v>19</v>
      </c>
      <c r="D947" s="2"/>
    </row>
    <row r="948" spans="1:4" ht="12.75" customHeight="1" x14ac:dyDescent="0.2">
      <c r="A948" s="5"/>
      <c r="B948" s="2"/>
      <c r="C948" s="2"/>
      <c r="D948" s="2"/>
    </row>
    <row r="949" spans="1:4" ht="12.75" customHeight="1" x14ac:dyDescent="0.2">
      <c r="A949" s="22" t="str">
        <f>HYPERLINK("javascript:void(0)","hidracél tőr")</f>
        <v>hidracél tőr</v>
      </c>
      <c r="B949" s="21"/>
      <c r="C949" s="21"/>
      <c r="D949" s="21"/>
    </row>
    <row r="950" spans="1:4" ht="12.75" customHeight="1" x14ac:dyDescent="0.2">
      <c r="A950" s="20"/>
      <c r="B950" s="2"/>
      <c r="C950" s="2"/>
      <c r="D950" s="2"/>
    </row>
    <row r="951" spans="1:4" ht="12.75" customHeight="1" x14ac:dyDescent="0.2">
      <c r="A951" s="21"/>
      <c r="B951" s="3" t="s">
        <v>0</v>
      </c>
      <c r="C951" s="20" t="s">
        <v>155</v>
      </c>
      <c r="D951" s="21"/>
    </row>
    <row r="952" spans="1:4" ht="12.75" customHeight="1" x14ac:dyDescent="0.2">
      <c r="A952" s="21"/>
      <c r="B952" s="3" t="s">
        <v>2</v>
      </c>
      <c r="C952" s="20" t="s">
        <v>1598</v>
      </c>
      <c r="D952" s="21"/>
    </row>
    <row r="953" spans="1:4" ht="12.75" customHeight="1" x14ac:dyDescent="0.2">
      <c r="A953" s="21"/>
      <c r="B953" s="3" t="s">
        <v>4</v>
      </c>
      <c r="C953" s="20" t="s">
        <v>1385</v>
      </c>
      <c r="D953" s="21"/>
    </row>
    <row r="954" spans="1:4" ht="12.75" customHeight="1" x14ac:dyDescent="0.2">
      <c r="A954" s="21"/>
      <c r="B954" s="3" t="s">
        <v>6</v>
      </c>
      <c r="C954" s="20" t="s">
        <v>7</v>
      </c>
      <c r="D954" s="21"/>
    </row>
    <row r="955" spans="1:4" ht="12.75" customHeight="1" x14ac:dyDescent="0.2">
      <c r="A955" s="21"/>
      <c r="B955" s="3" t="s">
        <v>8</v>
      </c>
      <c r="C955" s="20" t="s">
        <v>1385</v>
      </c>
      <c r="D955" s="21"/>
    </row>
    <row r="956" spans="1:4" ht="12.75" customHeight="1" x14ac:dyDescent="0.2">
      <c r="A956" s="21"/>
      <c r="B956" s="3" t="s">
        <v>9</v>
      </c>
      <c r="C956" s="20" t="s">
        <v>137</v>
      </c>
      <c r="D956" s="21"/>
    </row>
    <row r="957" spans="1:4" ht="12.75" customHeight="1" x14ac:dyDescent="0.2">
      <c r="A957" s="21"/>
      <c r="B957" s="3" t="s">
        <v>11</v>
      </c>
      <c r="C957" s="20" t="s">
        <v>1758</v>
      </c>
      <c r="D957" s="21"/>
    </row>
    <row r="958" spans="1:4" ht="12.75" customHeight="1" x14ac:dyDescent="0.2">
      <c r="A958" s="21"/>
      <c r="B958" s="3" t="s">
        <v>13</v>
      </c>
      <c r="C958" s="20" t="s">
        <v>14</v>
      </c>
      <c r="D958" s="21"/>
    </row>
    <row r="959" spans="1:4" ht="12.75" customHeight="1" x14ac:dyDescent="0.2">
      <c r="A959" s="21"/>
      <c r="B959" s="3" t="s">
        <v>15</v>
      </c>
      <c r="C959" s="20" t="s">
        <v>24</v>
      </c>
      <c r="D959" s="21"/>
    </row>
    <row r="960" spans="1:4" ht="12.75" customHeight="1" x14ac:dyDescent="0.2">
      <c r="A960" s="21"/>
      <c r="B960" s="3" t="s">
        <v>16</v>
      </c>
      <c r="C960" s="20"/>
      <c r="D960" s="21"/>
    </row>
    <row r="961" spans="1:4" ht="12.75" customHeight="1" x14ac:dyDescent="0.2">
      <c r="A961" s="21"/>
      <c r="B961" s="3" t="s">
        <v>17</v>
      </c>
      <c r="C961" s="20"/>
      <c r="D961" s="21"/>
    </row>
    <row r="962" spans="1:4" ht="12.75" customHeight="1" x14ac:dyDescent="0.2">
      <c r="A962" s="21"/>
      <c r="B962" s="20" t="s">
        <v>18</v>
      </c>
      <c r="C962" s="4" t="s">
        <v>77</v>
      </c>
      <c r="D962" s="6" t="str">
        <f>HYPERLINK("javascript:void(0)","kitintőr")</f>
        <v>kitintőr</v>
      </c>
    </row>
    <row r="963" spans="1:4" ht="12.75" customHeight="1" x14ac:dyDescent="0.2">
      <c r="A963" s="21"/>
      <c r="B963" s="21"/>
      <c r="C963" s="4" t="s">
        <v>56</v>
      </c>
      <c r="D963" s="6" t="str">
        <f>HYPERLINK("javascript:void(0)","szén-hidragén")</f>
        <v>szén-hidragén</v>
      </c>
    </row>
    <row r="964" spans="1:4" ht="12.75" customHeight="1" x14ac:dyDescent="0.2">
      <c r="A964" s="21"/>
      <c r="B964" s="21"/>
      <c r="C964" s="4" t="s">
        <v>1759</v>
      </c>
      <c r="D964" s="6" t="str">
        <f>HYPERLINK("javascript:void(0)","ezüst")</f>
        <v>ezüst</v>
      </c>
    </row>
    <row r="965" spans="1:4" ht="12.75" customHeight="1" x14ac:dyDescent="0.2">
      <c r="A965" s="5"/>
      <c r="B965" s="2"/>
      <c r="C965" s="2"/>
      <c r="D965" s="2"/>
    </row>
    <row r="966" spans="1:4" ht="12.75" customHeight="1" x14ac:dyDescent="0.2">
      <c r="A966" s="22" t="str">
        <f>HYPERLINK("javascript:void(0)","hídpenge")</f>
        <v>hídpenge</v>
      </c>
      <c r="B966" s="21"/>
      <c r="C966" s="21"/>
      <c r="D966" s="2"/>
    </row>
    <row r="967" spans="1:4" ht="12.75" customHeight="1" x14ac:dyDescent="0.2">
      <c r="A967" s="20"/>
      <c r="B967" s="2"/>
      <c r="C967" s="2"/>
      <c r="D967" s="2"/>
    </row>
    <row r="968" spans="1:4" ht="12.75" customHeight="1" x14ac:dyDescent="0.2">
      <c r="A968" s="21"/>
      <c r="B968" s="3" t="s">
        <v>0</v>
      </c>
      <c r="C968" s="3" t="s">
        <v>155</v>
      </c>
      <c r="D968" s="2"/>
    </row>
    <row r="969" spans="1:4" ht="12.75" customHeight="1" x14ac:dyDescent="0.2">
      <c r="A969" s="21"/>
      <c r="B969" s="3" t="s">
        <v>2</v>
      </c>
      <c r="C969" s="3" t="s">
        <v>1598</v>
      </c>
      <c r="D969" s="2"/>
    </row>
    <row r="970" spans="1:4" ht="12.75" customHeight="1" x14ac:dyDescent="0.2">
      <c r="A970" s="21"/>
      <c r="B970" s="3" t="s">
        <v>4</v>
      </c>
      <c r="C970" s="3" t="s">
        <v>87</v>
      </c>
      <c r="D970" s="2"/>
    </row>
    <row r="971" spans="1:4" ht="12.75" customHeight="1" x14ac:dyDescent="0.2">
      <c r="A971" s="21"/>
      <c r="B971" s="3" t="s">
        <v>6</v>
      </c>
      <c r="C971" s="3" t="s">
        <v>88</v>
      </c>
      <c r="D971" s="2"/>
    </row>
    <row r="972" spans="1:4" ht="12.75" customHeight="1" x14ac:dyDescent="0.2">
      <c r="A972" s="21"/>
      <c r="B972" s="3" t="s">
        <v>8</v>
      </c>
      <c r="C972" s="3" t="s">
        <v>87</v>
      </c>
      <c r="D972" s="2"/>
    </row>
    <row r="973" spans="1:4" ht="12.75" customHeight="1" x14ac:dyDescent="0.2">
      <c r="A973" s="21"/>
      <c r="B973" s="3" t="s">
        <v>9</v>
      </c>
      <c r="C973" s="3" t="s">
        <v>27</v>
      </c>
      <c r="D973" s="2"/>
    </row>
    <row r="974" spans="1:4" ht="12.75" customHeight="1" x14ac:dyDescent="0.2">
      <c r="A974" s="21"/>
      <c r="B974" s="3" t="s">
        <v>11</v>
      </c>
      <c r="C974" s="3" t="s">
        <v>749</v>
      </c>
      <c r="D974" s="2"/>
    </row>
    <row r="975" spans="1:4" ht="12.75" customHeight="1" x14ac:dyDescent="0.2">
      <c r="A975" s="21"/>
      <c r="B975" s="3" t="s">
        <v>13</v>
      </c>
      <c r="C975" s="3" t="s">
        <v>24</v>
      </c>
      <c r="D975" s="2"/>
    </row>
    <row r="976" spans="1:4" ht="12.75" customHeight="1" x14ac:dyDescent="0.2">
      <c r="A976" s="21"/>
      <c r="B976" s="3" t="s">
        <v>15</v>
      </c>
      <c r="C976" s="3" t="s">
        <v>24</v>
      </c>
      <c r="D976" s="2"/>
    </row>
    <row r="977" spans="1:4" ht="12.75" customHeight="1" x14ac:dyDescent="0.2">
      <c r="A977" s="21"/>
      <c r="B977" s="3" t="s">
        <v>16</v>
      </c>
      <c r="C977" s="3"/>
      <c r="D977" s="2"/>
    </row>
    <row r="978" spans="1:4" ht="12.75" customHeight="1" x14ac:dyDescent="0.2">
      <c r="A978" s="21"/>
      <c r="B978" s="3" t="s">
        <v>17</v>
      </c>
      <c r="C978" s="3"/>
      <c r="D978" s="2"/>
    </row>
    <row r="979" spans="1:4" ht="12.75" customHeight="1" x14ac:dyDescent="0.2">
      <c r="A979" s="21"/>
      <c r="B979" s="3" t="s">
        <v>18</v>
      </c>
      <c r="C979" s="4" t="s">
        <v>19</v>
      </c>
      <c r="D979" s="2"/>
    </row>
    <row r="980" spans="1:4" ht="12.75" customHeight="1" x14ac:dyDescent="0.2">
      <c r="A980" s="5"/>
      <c r="B980" s="2"/>
      <c r="C980" s="2"/>
      <c r="D980" s="2"/>
    </row>
    <row r="981" spans="1:4" ht="12.75" customHeight="1" x14ac:dyDescent="0.2">
      <c r="A981" s="22" t="str">
        <f>HYPERLINK("javascript:void(0)","démonacél szablya")</f>
        <v>démonacél szablya</v>
      </c>
      <c r="B981" s="21"/>
      <c r="C981" s="21"/>
      <c r="D981" s="21"/>
    </row>
    <row r="982" spans="1:4" ht="12.75" customHeight="1" x14ac:dyDescent="0.2">
      <c r="A982" s="20"/>
      <c r="B982" s="2"/>
      <c r="C982" s="2"/>
      <c r="D982" s="2"/>
    </row>
    <row r="983" spans="1:4" ht="12.75" customHeight="1" x14ac:dyDescent="0.2">
      <c r="A983" s="21"/>
      <c r="B983" s="3" t="s">
        <v>0</v>
      </c>
      <c r="C983" s="20" t="s">
        <v>159</v>
      </c>
      <c r="D983" s="21"/>
    </row>
    <row r="984" spans="1:4" ht="12.75" customHeight="1" x14ac:dyDescent="0.2">
      <c r="A984" s="21"/>
      <c r="B984" s="3" t="s">
        <v>2</v>
      </c>
      <c r="C984" s="20" t="s">
        <v>1598</v>
      </c>
      <c r="D984" s="21"/>
    </row>
    <row r="985" spans="1:4" ht="12.75" customHeight="1" x14ac:dyDescent="0.2">
      <c r="A985" s="21"/>
      <c r="B985" s="3" t="s">
        <v>4</v>
      </c>
      <c r="C985" s="20" t="s">
        <v>407</v>
      </c>
      <c r="D985" s="21"/>
    </row>
    <row r="986" spans="1:4" ht="12.75" customHeight="1" x14ac:dyDescent="0.2">
      <c r="A986" s="21"/>
      <c r="B986" s="3" t="s">
        <v>6</v>
      </c>
      <c r="C986" s="20" t="s">
        <v>155</v>
      </c>
      <c r="D986" s="21"/>
    </row>
    <row r="987" spans="1:4" ht="12.75" customHeight="1" x14ac:dyDescent="0.2">
      <c r="A987" s="21"/>
      <c r="B987" s="3" t="s">
        <v>8</v>
      </c>
      <c r="C987" s="20" t="s">
        <v>407</v>
      </c>
      <c r="D987" s="21"/>
    </row>
    <row r="988" spans="1:4" ht="12.75" customHeight="1" x14ac:dyDescent="0.2">
      <c r="A988" s="21"/>
      <c r="B988" s="3" t="s">
        <v>9</v>
      </c>
      <c r="C988" s="20" t="s">
        <v>343</v>
      </c>
      <c r="D988" s="21"/>
    </row>
    <row r="989" spans="1:4" ht="12.75" customHeight="1" x14ac:dyDescent="0.2">
      <c r="A989" s="21"/>
      <c r="B989" s="3" t="s">
        <v>11</v>
      </c>
      <c r="C989" s="20" t="s">
        <v>1761</v>
      </c>
      <c r="D989" s="21"/>
    </row>
    <row r="990" spans="1:4" ht="12.75" customHeight="1" x14ac:dyDescent="0.2">
      <c r="A990" s="21"/>
      <c r="B990" s="3" t="s">
        <v>13</v>
      </c>
      <c r="C990" s="20" t="s">
        <v>24</v>
      </c>
      <c r="D990" s="21"/>
    </row>
    <row r="991" spans="1:4" ht="12.75" customHeight="1" x14ac:dyDescent="0.2">
      <c r="A991" s="21"/>
      <c r="B991" s="3" t="s">
        <v>15</v>
      </c>
      <c r="C991" s="20" t="s">
        <v>14</v>
      </c>
      <c r="D991" s="21"/>
    </row>
    <row r="992" spans="1:4" ht="12.75" customHeight="1" x14ac:dyDescent="0.2">
      <c r="A992" s="21"/>
      <c r="B992" s="3" t="s">
        <v>16</v>
      </c>
      <c r="C992" s="20"/>
      <c r="D992" s="21"/>
    </row>
    <row r="993" spans="1:4" ht="12.75" customHeight="1" x14ac:dyDescent="0.2">
      <c r="A993" s="21"/>
      <c r="B993" s="3" t="s">
        <v>17</v>
      </c>
      <c r="C993" s="20"/>
      <c r="D993" s="21"/>
    </row>
    <row r="994" spans="1:4" ht="12.75" customHeight="1" x14ac:dyDescent="0.2">
      <c r="A994" s="21"/>
      <c r="B994" s="20" t="s">
        <v>18</v>
      </c>
      <c r="C994" s="4" t="s">
        <v>44</v>
      </c>
      <c r="D994" s="6" t="str">
        <f>HYPERLINK("javascript:void(0)","skivei szablya")</f>
        <v>skivei szablya</v>
      </c>
    </row>
    <row r="995" spans="1:4" ht="12.75" customHeight="1" x14ac:dyDescent="0.2">
      <c r="A995" s="21"/>
      <c r="B995" s="21"/>
      <c r="C995" s="4" t="s">
        <v>55</v>
      </c>
      <c r="D995" s="6" t="str">
        <f>HYPERLINK("javascript:void(0)","nyenyere nyak")</f>
        <v>nyenyere nyak</v>
      </c>
    </row>
    <row r="996" spans="1:4" ht="12.75" customHeight="1" x14ac:dyDescent="0.2">
      <c r="A996" s="21"/>
      <c r="B996" s="21"/>
      <c r="C996" s="4" t="s">
        <v>77</v>
      </c>
      <c r="D996" s="6" t="str">
        <f>HYPERLINK("javascript:void(0)","nyonyóc fog")</f>
        <v>nyonyóc fog</v>
      </c>
    </row>
    <row r="997" spans="1:4" ht="12.75" customHeight="1" x14ac:dyDescent="0.2">
      <c r="A997" s="5"/>
      <c r="B997" s="2"/>
      <c r="C997" s="2"/>
      <c r="D997" s="2"/>
    </row>
    <row r="998" spans="1:4" ht="12.75" customHeight="1" x14ac:dyDescent="0.2">
      <c r="A998" s="22" t="str">
        <f>HYPERLINK("javascript:void(0)","hidracél kard")</f>
        <v>hidracél kard</v>
      </c>
      <c r="B998" s="21"/>
      <c r="C998" s="21"/>
      <c r="D998" s="21"/>
    </row>
    <row r="999" spans="1:4" ht="12.75" customHeight="1" x14ac:dyDescent="0.2">
      <c r="A999" s="20"/>
      <c r="B999" s="2"/>
      <c r="C999" s="2"/>
      <c r="D999" s="2"/>
    </row>
    <row r="1000" spans="1:4" ht="12.75" customHeight="1" x14ac:dyDescent="0.2">
      <c r="A1000" s="21"/>
      <c r="B1000" s="3" t="s">
        <v>0</v>
      </c>
      <c r="C1000" s="20" t="s">
        <v>159</v>
      </c>
      <c r="D1000" s="21"/>
    </row>
    <row r="1001" spans="1:4" ht="12.75" customHeight="1" x14ac:dyDescent="0.2">
      <c r="A1001" s="21"/>
      <c r="B1001" s="3" t="s">
        <v>2</v>
      </c>
      <c r="C1001" s="20" t="s">
        <v>1598</v>
      </c>
      <c r="D1001" s="21"/>
    </row>
    <row r="1002" spans="1:4" ht="12.75" customHeight="1" x14ac:dyDescent="0.2">
      <c r="A1002" s="21"/>
      <c r="B1002" s="3" t="s">
        <v>4</v>
      </c>
      <c r="C1002" s="20" t="s">
        <v>175</v>
      </c>
      <c r="D1002" s="21"/>
    </row>
    <row r="1003" spans="1:4" ht="12.75" customHeight="1" x14ac:dyDescent="0.2">
      <c r="A1003" s="21"/>
      <c r="B1003" s="3" t="s">
        <v>6</v>
      </c>
      <c r="C1003" s="20" t="s">
        <v>100</v>
      </c>
      <c r="D1003" s="21"/>
    </row>
    <row r="1004" spans="1:4" ht="12.75" customHeight="1" x14ac:dyDescent="0.2">
      <c r="A1004" s="21"/>
      <c r="B1004" s="3" t="s">
        <v>8</v>
      </c>
      <c r="C1004" s="20" t="s">
        <v>175</v>
      </c>
      <c r="D1004" s="21"/>
    </row>
    <row r="1005" spans="1:4" ht="12.75" customHeight="1" x14ac:dyDescent="0.2">
      <c r="A1005" s="21"/>
      <c r="B1005" s="3" t="s">
        <v>9</v>
      </c>
      <c r="C1005" s="20" t="s">
        <v>464</v>
      </c>
      <c r="D1005" s="21"/>
    </row>
    <row r="1006" spans="1:4" ht="12.75" customHeight="1" x14ac:dyDescent="0.2">
      <c r="A1006" s="21"/>
      <c r="B1006" s="3" t="s">
        <v>11</v>
      </c>
      <c r="C1006" s="20" t="s">
        <v>1763</v>
      </c>
      <c r="D1006" s="21"/>
    </row>
    <row r="1007" spans="1:4" ht="12.75" customHeight="1" x14ac:dyDescent="0.2">
      <c r="A1007" s="21"/>
      <c r="B1007" s="3" t="s">
        <v>13</v>
      </c>
      <c r="C1007" s="20" t="s">
        <v>14</v>
      </c>
      <c r="D1007" s="21"/>
    </row>
    <row r="1008" spans="1:4" ht="12.75" customHeight="1" x14ac:dyDescent="0.2">
      <c r="A1008" s="21"/>
      <c r="B1008" s="3" t="s">
        <v>15</v>
      </c>
      <c r="C1008" s="20" t="s">
        <v>24</v>
      </c>
      <c r="D1008" s="21"/>
    </row>
    <row r="1009" spans="1:4" ht="12.75" customHeight="1" x14ac:dyDescent="0.2">
      <c r="A1009" s="21"/>
      <c r="B1009" s="3" t="s">
        <v>16</v>
      </c>
      <c r="C1009" s="20"/>
      <c r="D1009" s="21"/>
    </row>
    <row r="1010" spans="1:4" ht="12.75" customHeight="1" x14ac:dyDescent="0.2">
      <c r="A1010" s="21"/>
      <c r="B1010" s="3" t="s">
        <v>17</v>
      </c>
      <c r="C1010" s="20"/>
      <c r="D1010" s="21"/>
    </row>
    <row r="1011" spans="1:4" ht="12.75" customHeight="1" x14ac:dyDescent="0.2">
      <c r="A1011" s="21"/>
      <c r="B1011" s="20" t="s">
        <v>18</v>
      </c>
      <c r="C1011" s="4" t="s">
        <v>44</v>
      </c>
      <c r="D1011" s="6" t="str">
        <f>HYPERLINK("javascript:void(0)","mengorni kard")</f>
        <v>mengorni kard</v>
      </c>
    </row>
    <row r="1012" spans="1:4" ht="12.75" customHeight="1" x14ac:dyDescent="0.2">
      <c r="A1012" s="21"/>
      <c r="B1012" s="21"/>
      <c r="C1012" s="4" t="s">
        <v>57</v>
      </c>
      <c r="D1012" s="6" t="str">
        <f>HYPERLINK("javascript:void(0)","szén-hidragén")</f>
        <v>szén-hidragén</v>
      </c>
    </row>
    <row r="1013" spans="1:4" ht="12.75" customHeight="1" x14ac:dyDescent="0.2">
      <c r="A1013" s="21"/>
      <c r="B1013" s="21"/>
      <c r="C1013" s="4" t="s">
        <v>334</v>
      </c>
      <c r="D1013" s="6" t="str">
        <f>HYPERLINK("javascript:void(0)","ezüst")</f>
        <v>ezüst</v>
      </c>
    </row>
    <row r="1014" spans="1:4" ht="12.75" customHeight="1" x14ac:dyDescent="0.2">
      <c r="A1014" s="5"/>
      <c r="B1014" s="2"/>
      <c r="C1014" s="2"/>
      <c r="D1014" s="2"/>
    </row>
    <row r="1015" spans="1:4" ht="12.75" customHeight="1" x14ac:dyDescent="0.2">
      <c r="A1015" s="22" t="str">
        <f>HYPERLINK("javascript:void(0)","démonacél gigapallos")</f>
        <v>démonacél gigapallos</v>
      </c>
      <c r="B1015" s="21"/>
      <c r="C1015" s="21"/>
      <c r="D1015" s="21"/>
    </row>
    <row r="1016" spans="1:4" ht="12.75" customHeight="1" x14ac:dyDescent="0.2">
      <c r="A1016" s="20"/>
      <c r="B1016" s="2"/>
      <c r="C1016" s="2"/>
      <c r="D1016" s="2"/>
    </row>
    <row r="1017" spans="1:4" ht="12.75" customHeight="1" x14ac:dyDescent="0.2">
      <c r="A1017" s="21"/>
      <c r="B1017" s="3" t="s">
        <v>0</v>
      </c>
      <c r="C1017" s="20" t="s">
        <v>159</v>
      </c>
      <c r="D1017" s="21"/>
    </row>
    <row r="1018" spans="1:4" ht="12.75" customHeight="1" x14ac:dyDescent="0.2">
      <c r="A1018" s="21"/>
      <c r="B1018" s="3" t="s">
        <v>2</v>
      </c>
      <c r="C1018" s="20" t="s">
        <v>1598</v>
      </c>
      <c r="D1018" s="21"/>
    </row>
    <row r="1019" spans="1:4" ht="12.75" customHeight="1" x14ac:dyDescent="0.2">
      <c r="A1019" s="21"/>
      <c r="B1019" s="3" t="s">
        <v>4</v>
      </c>
      <c r="C1019" s="20" t="s">
        <v>471</v>
      </c>
      <c r="D1019" s="21"/>
    </row>
    <row r="1020" spans="1:4" ht="12.75" customHeight="1" x14ac:dyDescent="0.2">
      <c r="A1020" s="21"/>
      <c r="B1020" s="3" t="s">
        <v>6</v>
      </c>
      <c r="C1020" s="20" t="s">
        <v>260</v>
      </c>
      <c r="D1020" s="21"/>
    </row>
    <row r="1021" spans="1:4" ht="12.75" customHeight="1" x14ac:dyDescent="0.2">
      <c r="A1021" s="21"/>
      <c r="B1021" s="3" t="s">
        <v>8</v>
      </c>
      <c r="C1021" s="20" t="s">
        <v>471</v>
      </c>
      <c r="D1021" s="21"/>
    </row>
    <row r="1022" spans="1:4" ht="12.75" customHeight="1" x14ac:dyDescent="0.2">
      <c r="A1022" s="21"/>
      <c r="B1022" s="3" t="s">
        <v>9</v>
      </c>
      <c r="C1022" s="20" t="s">
        <v>1764</v>
      </c>
      <c r="D1022" s="21"/>
    </row>
    <row r="1023" spans="1:4" ht="12.75" customHeight="1" x14ac:dyDescent="0.2">
      <c r="A1023" s="21"/>
      <c r="B1023" s="3" t="s">
        <v>11</v>
      </c>
      <c r="C1023" s="20" t="s">
        <v>490</v>
      </c>
      <c r="D1023" s="21"/>
    </row>
    <row r="1024" spans="1:4" ht="12.75" customHeight="1" x14ac:dyDescent="0.2">
      <c r="A1024" s="21"/>
      <c r="B1024" s="3" t="s">
        <v>13</v>
      </c>
      <c r="C1024" s="20" t="s">
        <v>24</v>
      </c>
      <c r="D1024" s="21"/>
    </row>
    <row r="1025" spans="1:4" ht="12.75" customHeight="1" x14ac:dyDescent="0.2">
      <c r="A1025" s="21"/>
      <c r="B1025" s="3" t="s">
        <v>15</v>
      </c>
      <c r="C1025" s="20" t="s">
        <v>14</v>
      </c>
      <c r="D1025" s="21"/>
    </row>
    <row r="1026" spans="1:4" ht="12.75" customHeight="1" x14ac:dyDescent="0.2">
      <c r="A1026" s="21"/>
      <c r="B1026" s="3" t="s">
        <v>16</v>
      </c>
      <c r="C1026" s="20"/>
      <c r="D1026" s="21"/>
    </row>
    <row r="1027" spans="1:4" ht="12.75" customHeight="1" x14ac:dyDescent="0.2">
      <c r="A1027" s="21"/>
      <c r="B1027" s="3" t="s">
        <v>17</v>
      </c>
      <c r="C1027" s="20"/>
      <c r="D1027" s="21"/>
    </row>
    <row r="1028" spans="1:4" ht="12.75" customHeight="1" x14ac:dyDescent="0.2">
      <c r="A1028" s="21"/>
      <c r="B1028" s="20" t="s">
        <v>18</v>
      </c>
      <c r="C1028" s="4" t="s">
        <v>193</v>
      </c>
      <c r="D1028" s="6" t="str">
        <f>HYPERLINK("javascript:void(0)","nyukug bajusz")</f>
        <v>nyukug bajusz</v>
      </c>
    </row>
    <row r="1029" spans="1:4" ht="12.75" customHeight="1" x14ac:dyDescent="0.2">
      <c r="A1029" s="21"/>
      <c r="B1029" s="21"/>
      <c r="C1029" s="4" t="s">
        <v>316</v>
      </c>
      <c r="D1029" s="6" t="str">
        <f>HYPERLINK("javascript:void(0)","dadacsiganyál")</f>
        <v>dadacsiganyál</v>
      </c>
    </row>
    <row r="1030" spans="1:4" ht="12.75" customHeight="1" x14ac:dyDescent="0.2">
      <c r="A1030" s="21"/>
      <c r="B1030" s="21"/>
      <c r="C1030" s="4" t="s">
        <v>163</v>
      </c>
      <c r="D1030" s="6" t="str">
        <f>HYPERLINK("javascript:void(0)","sárkánypikkely")</f>
        <v>sárkánypikkely</v>
      </c>
    </row>
    <row r="1031" spans="1:4" ht="12.75" customHeight="1" x14ac:dyDescent="0.2">
      <c r="A1031" s="5"/>
      <c r="B1031" s="2"/>
      <c r="C1031" s="2"/>
      <c r="D1031" s="2"/>
    </row>
    <row r="1032" spans="1:4" ht="12.75" customHeight="1" x14ac:dyDescent="0.2">
      <c r="A1032" s="22" t="str">
        <f>HYPERLINK("javascript:void(0)","csillagszurony")</f>
        <v>csillagszurony</v>
      </c>
      <c r="B1032" s="21"/>
      <c r="C1032" s="21"/>
      <c r="D1032" s="21"/>
    </row>
    <row r="1033" spans="1:4" ht="12.75" customHeight="1" x14ac:dyDescent="0.2">
      <c r="A1033" s="20"/>
      <c r="B1033" s="2"/>
      <c r="C1033" s="2"/>
      <c r="D1033" s="2"/>
    </row>
    <row r="1034" spans="1:4" ht="12.75" customHeight="1" x14ac:dyDescent="0.2">
      <c r="A1034" s="21"/>
      <c r="B1034" s="3" t="s">
        <v>0</v>
      </c>
      <c r="C1034" s="20" t="s">
        <v>153</v>
      </c>
      <c r="D1034" s="21"/>
    </row>
    <row r="1035" spans="1:4" ht="12.75" customHeight="1" x14ac:dyDescent="0.2">
      <c r="A1035" s="21"/>
      <c r="B1035" s="3" t="s">
        <v>2</v>
      </c>
      <c r="C1035" s="20" t="s">
        <v>1598</v>
      </c>
      <c r="D1035" s="21"/>
    </row>
    <row r="1036" spans="1:4" ht="12.75" customHeight="1" x14ac:dyDescent="0.2">
      <c r="A1036" s="21"/>
      <c r="B1036" s="3" t="s">
        <v>4</v>
      </c>
      <c r="C1036" s="20" t="s">
        <v>1768</v>
      </c>
      <c r="D1036" s="21"/>
    </row>
    <row r="1037" spans="1:4" ht="12.75" customHeight="1" x14ac:dyDescent="0.2">
      <c r="A1037" s="21"/>
      <c r="B1037" s="3" t="s">
        <v>6</v>
      </c>
      <c r="C1037" s="20" t="s">
        <v>26</v>
      </c>
      <c r="D1037" s="21"/>
    </row>
    <row r="1038" spans="1:4" ht="12.75" customHeight="1" x14ac:dyDescent="0.2">
      <c r="A1038" s="21"/>
      <c r="B1038" s="3" t="s">
        <v>8</v>
      </c>
      <c r="C1038" s="20" t="s">
        <v>1768</v>
      </c>
      <c r="D1038" s="21"/>
    </row>
    <row r="1039" spans="1:4" ht="12.75" customHeight="1" x14ac:dyDescent="0.2">
      <c r="A1039" s="21"/>
      <c r="B1039" s="3" t="s">
        <v>9</v>
      </c>
      <c r="C1039" s="20" t="s">
        <v>374</v>
      </c>
      <c r="D1039" s="21"/>
    </row>
    <row r="1040" spans="1:4" ht="12.75" customHeight="1" x14ac:dyDescent="0.2">
      <c r="A1040" s="21"/>
      <c r="B1040" s="3" t="s">
        <v>11</v>
      </c>
      <c r="C1040" s="20" t="s">
        <v>689</v>
      </c>
      <c r="D1040" s="21"/>
    </row>
    <row r="1041" spans="1:4" ht="12.75" customHeight="1" x14ac:dyDescent="0.2">
      <c r="A1041" s="21"/>
      <c r="B1041" s="3" t="s">
        <v>13</v>
      </c>
      <c r="C1041" s="20" t="s">
        <v>14</v>
      </c>
      <c r="D1041" s="21"/>
    </row>
    <row r="1042" spans="1:4" ht="12.75" customHeight="1" x14ac:dyDescent="0.2">
      <c r="A1042" s="21"/>
      <c r="B1042" s="3" t="s">
        <v>15</v>
      </c>
      <c r="C1042" s="20" t="s">
        <v>14</v>
      </c>
      <c r="D1042" s="21"/>
    </row>
    <row r="1043" spans="1:4" ht="12.75" customHeight="1" x14ac:dyDescent="0.2">
      <c r="A1043" s="21"/>
      <c r="B1043" s="3" t="s">
        <v>16</v>
      </c>
      <c r="C1043" s="20"/>
      <c r="D1043" s="21"/>
    </row>
    <row r="1044" spans="1:4" ht="12.75" customHeight="1" x14ac:dyDescent="0.2">
      <c r="A1044" s="21"/>
      <c r="B1044" s="3" t="s">
        <v>17</v>
      </c>
      <c r="C1044" s="20"/>
      <c r="D1044" s="21"/>
    </row>
    <row r="1045" spans="1:4" ht="12.75" customHeight="1" x14ac:dyDescent="0.2">
      <c r="A1045" s="21"/>
      <c r="B1045" s="20" t="s">
        <v>18</v>
      </c>
      <c r="C1045" s="4" t="s">
        <v>44</v>
      </c>
      <c r="D1045" s="6" t="str">
        <f>HYPERLINK("javascript:void(0)","elit-őr lándzsa")</f>
        <v>elit-őr lándzsa</v>
      </c>
    </row>
    <row r="1046" spans="1:4" ht="12.75" customHeight="1" x14ac:dyDescent="0.2">
      <c r="A1046" s="21"/>
      <c r="B1046" s="21"/>
      <c r="C1046" s="4" t="s">
        <v>56</v>
      </c>
      <c r="D1046" s="6" t="str">
        <f>HYPERLINK("javascript:void(0)","gyémánt")</f>
        <v>gyémánt</v>
      </c>
    </row>
    <row r="1047" spans="1:4" ht="12.75" customHeight="1" x14ac:dyDescent="0.2">
      <c r="A1047" s="21"/>
      <c r="B1047" s="21"/>
      <c r="C1047" s="4" t="s">
        <v>142</v>
      </c>
      <c r="D1047" s="6" t="str">
        <f>HYPERLINK("javascript:void(0)","kristálylap")</f>
        <v>kristálylap</v>
      </c>
    </row>
    <row r="1048" spans="1:4" ht="12.75" customHeight="1" x14ac:dyDescent="0.2">
      <c r="A1048" s="5"/>
      <c r="B1048" s="2"/>
      <c r="C1048" s="2"/>
      <c r="D1048" s="2"/>
    </row>
    <row r="1049" spans="1:4" ht="12.75" customHeight="1" x14ac:dyDescent="0.2">
      <c r="A1049" s="22" t="str">
        <f>HYPERLINK("javascript:void(0)","rubinszablya")</f>
        <v>rubinszablya</v>
      </c>
      <c r="B1049" s="21"/>
      <c r="C1049" s="21"/>
      <c r="D1049" s="21"/>
    </row>
    <row r="1050" spans="1:4" ht="12.75" customHeight="1" x14ac:dyDescent="0.2">
      <c r="A1050" s="20"/>
      <c r="B1050" s="2"/>
      <c r="C1050" s="2"/>
      <c r="D1050" s="2"/>
    </row>
    <row r="1051" spans="1:4" ht="12.75" customHeight="1" x14ac:dyDescent="0.2">
      <c r="A1051" s="21"/>
      <c r="B1051" s="3" t="s">
        <v>0</v>
      </c>
      <c r="C1051" s="20" t="s">
        <v>153</v>
      </c>
      <c r="D1051" s="21"/>
    </row>
    <row r="1052" spans="1:4" ht="12.75" customHeight="1" x14ac:dyDescent="0.2">
      <c r="A1052" s="21"/>
      <c r="B1052" s="3" t="s">
        <v>2</v>
      </c>
      <c r="C1052" s="20" t="s">
        <v>1598</v>
      </c>
      <c r="D1052" s="21"/>
    </row>
    <row r="1053" spans="1:4" ht="12.75" customHeight="1" x14ac:dyDescent="0.2">
      <c r="A1053" s="21"/>
      <c r="B1053" s="3" t="s">
        <v>4</v>
      </c>
      <c r="C1053" s="20" t="s">
        <v>1770</v>
      </c>
      <c r="D1053" s="21"/>
    </row>
    <row r="1054" spans="1:4" ht="12.75" customHeight="1" x14ac:dyDescent="0.2">
      <c r="A1054" s="21"/>
      <c r="B1054" s="3" t="s">
        <v>6</v>
      </c>
      <c r="C1054" s="20" t="s">
        <v>291</v>
      </c>
      <c r="D1054" s="21"/>
    </row>
    <row r="1055" spans="1:4" ht="12.75" customHeight="1" x14ac:dyDescent="0.2">
      <c r="A1055" s="21"/>
      <c r="B1055" s="3" t="s">
        <v>8</v>
      </c>
      <c r="C1055" s="20" t="s">
        <v>1770</v>
      </c>
      <c r="D1055" s="21"/>
    </row>
    <row r="1056" spans="1:4" ht="12.75" customHeight="1" x14ac:dyDescent="0.2">
      <c r="A1056" s="21"/>
      <c r="B1056" s="3" t="s">
        <v>9</v>
      </c>
      <c r="C1056" s="20" t="s">
        <v>124</v>
      </c>
      <c r="D1056" s="21"/>
    </row>
    <row r="1057" spans="1:4" ht="12.75" customHeight="1" x14ac:dyDescent="0.2">
      <c r="A1057" s="21"/>
      <c r="B1057" s="3" t="s">
        <v>11</v>
      </c>
      <c r="C1057" s="20" t="s">
        <v>1771</v>
      </c>
      <c r="D1057" s="21"/>
    </row>
    <row r="1058" spans="1:4" ht="12.75" customHeight="1" x14ac:dyDescent="0.2">
      <c r="A1058" s="21"/>
      <c r="B1058" s="3" t="s">
        <v>13</v>
      </c>
      <c r="C1058" s="20" t="s">
        <v>24</v>
      </c>
      <c r="D1058" s="21"/>
    </row>
    <row r="1059" spans="1:4" ht="12.75" customHeight="1" x14ac:dyDescent="0.2">
      <c r="A1059" s="21"/>
      <c r="B1059" s="3" t="s">
        <v>15</v>
      </c>
      <c r="C1059" s="20" t="s">
        <v>24</v>
      </c>
      <c r="D1059" s="21"/>
    </row>
    <row r="1060" spans="1:4" ht="12.75" customHeight="1" x14ac:dyDescent="0.2">
      <c r="A1060" s="21"/>
      <c r="B1060" s="3" t="s">
        <v>16</v>
      </c>
      <c r="C1060" s="20"/>
      <c r="D1060" s="21"/>
    </row>
    <row r="1061" spans="1:4" ht="12.75" customHeight="1" x14ac:dyDescent="0.2">
      <c r="A1061" s="21"/>
      <c r="B1061" s="3" t="s">
        <v>17</v>
      </c>
      <c r="C1061" s="20"/>
      <c r="D1061" s="21"/>
    </row>
    <row r="1062" spans="1:4" ht="12.75" customHeight="1" x14ac:dyDescent="0.2">
      <c r="A1062" s="21"/>
      <c r="B1062" s="20" t="s">
        <v>18</v>
      </c>
      <c r="C1062" s="4" t="s">
        <v>44</v>
      </c>
      <c r="D1062" s="6" t="str">
        <f>HYPERLINK("javascript:void(0)","vámpírszablya")</f>
        <v>vámpírszablya</v>
      </c>
    </row>
    <row r="1063" spans="1:4" ht="12.75" customHeight="1" x14ac:dyDescent="0.2">
      <c r="A1063" s="21"/>
      <c r="B1063" s="21"/>
      <c r="C1063" s="4" t="s">
        <v>77</v>
      </c>
      <c r="D1063" s="6" t="str">
        <f>HYPERLINK("javascript:void(0)","rubin")</f>
        <v>rubin</v>
      </c>
    </row>
    <row r="1064" spans="1:4" ht="12.75" customHeight="1" x14ac:dyDescent="0.2">
      <c r="A1064" s="21"/>
      <c r="B1064" s="21"/>
      <c r="C1064" s="4" t="s">
        <v>77</v>
      </c>
      <c r="D1064" s="6" t="str">
        <f>HYPERLINK("javascript:void(0)","dadacsiganyál")</f>
        <v>dadacsiganyál</v>
      </c>
    </row>
    <row r="1065" spans="1:4" ht="12.75" customHeight="1" x14ac:dyDescent="0.2">
      <c r="A1065" s="5"/>
      <c r="B1065" s="2"/>
      <c r="C1065" s="2"/>
      <c r="D1065" s="2"/>
    </row>
    <row r="1066" spans="1:4" ht="12.75" customHeight="1" x14ac:dyDescent="0.2">
      <c r="A1066" s="22" t="str">
        <f>HYPERLINK("javascript:void(0)","smaragdtőr")</f>
        <v>smaragdtőr</v>
      </c>
      <c r="B1066" s="21"/>
      <c r="C1066" s="21"/>
      <c r="D1066" s="21"/>
    </row>
    <row r="1067" spans="1:4" ht="12.75" customHeight="1" x14ac:dyDescent="0.2">
      <c r="A1067" s="20"/>
      <c r="B1067" s="2"/>
      <c r="C1067" s="2"/>
      <c r="D1067" s="2"/>
    </row>
    <row r="1068" spans="1:4" ht="12.75" customHeight="1" x14ac:dyDescent="0.2">
      <c r="A1068" s="21"/>
      <c r="B1068" s="3" t="s">
        <v>0</v>
      </c>
      <c r="C1068" s="20" t="s">
        <v>153</v>
      </c>
      <c r="D1068" s="21"/>
    </row>
    <row r="1069" spans="1:4" ht="12.75" customHeight="1" x14ac:dyDescent="0.2">
      <c r="A1069" s="21"/>
      <c r="B1069" s="3" t="s">
        <v>2</v>
      </c>
      <c r="C1069" s="20" t="s">
        <v>1598</v>
      </c>
      <c r="D1069" s="21"/>
    </row>
    <row r="1070" spans="1:4" ht="12.75" customHeight="1" x14ac:dyDescent="0.2">
      <c r="A1070" s="21"/>
      <c r="B1070" s="3" t="s">
        <v>4</v>
      </c>
      <c r="C1070" s="20" t="s">
        <v>1773</v>
      </c>
      <c r="D1070" s="21"/>
    </row>
    <row r="1071" spans="1:4" ht="12.75" customHeight="1" x14ac:dyDescent="0.2">
      <c r="A1071" s="21"/>
      <c r="B1071" s="3" t="s">
        <v>6</v>
      </c>
      <c r="C1071" s="20" t="s">
        <v>155</v>
      </c>
      <c r="D1071" s="21"/>
    </row>
    <row r="1072" spans="1:4" ht="12.75" customHeight="1" x14ac:dyDescent="0.2">
      <c r="A1072" s="21"/>
      <c r="B1072" s="3" t="s">
        <v>8</v>
      </c>
      <c r="C1072" s="20" t="s">
        <v>1773</v>
      </c>
      <c r="D1072" s="21"/>
    </row>
    <row r="1073" spans="1:4" ht="12.75" customHeight="1" x14ac:dyDescent="0.2">
      <c r="A1073" s="21"/>
      <c r="B1073" s="3" t="s">
        <v>9</v>
      </c>
      <c r="C1073" s="20" t="s">
        <v>27</v>
      </c>
      <c r="D1073" s="21"/>
    </row>
    <row r="1074" spans="1:4" ht="12.75" customHeight="1" x14ac:dyDescent="0.2">
      <c r="A1074" s="21"/>
      <c r="B1074" s="3" t="s">
        <v>11</v>
      </c>
      <c r="C1074" s="20" t="s">
        <v>1774</v>
      </c>
      <c r="D1074" s="21"/>
    </row>
    <row r="1075" spans="1:4" ht="12.75" customHeight="1" x14ac:dyDescent="0.2">
      <c r="A1075" s="21"/>
      <c r="B1075" s="3" t="s">
        <v>13</v>
      </c>
      <c r="C1075" s="20" t="s">
        <v>24</v>
      </c>
      <c r="D1075" s="21"/>
    </row>
    <row r="1076" spans="1:4" ht="12.75" customHeight="1" x14ac:dyDescent="0.2">
      <c r="A1076" s="21"/>
      <c r="B1076" s="3" t="s">
        <v>15</v>
      </c>
      <c r="C1076" s="20" t="s">
        <v>14</v>
      </c>
      <c r="D1076" s="21"/>
    </row>
    <row r="1077" spans="1:4" ht="12.75" customHeight="1" x14ac:dyDescent="0.2">
      <c r="A1077" s="21"/>
      <c r="B1077" s="3" t="s">
        <v>16</v>
      </c>
      <c r="C1077" s="20"/>
      <c r="D1077" s="21"/>
    </row>
    <row r="1078" spans="1:4" ht="12.75" customHeight="1" x14ac:dyDescent="0.2">
      <c r="A1078" s="21"/>
      <c r="B1078" s="3" t="s">
        <v>17</v>
      </c>
      <c r="C1078" s="20"/>
      <c r="D1078" s="21"/>
    </row>
    <row r="1079" spans="1:4" ht="12.75" customHeight="1" x14ac:dyDescent="0.2">
      <c r="A1079" s="21"/>
      <c r="B1079" s="20" t="s">
        <v>18</v>
      </c>
      <c r="C1079" s="4" t="s">
        <v>44</v>
      </c>
      <c r="D1079" s="6" t="str">
        <f>HYPERLINK("javascript:void(0)","obszidián tőr")</f>
        <v>obszidián tőr</v>
      </c>
    </row>
    <row r="1080" spans="1:4" ht="12.75" customHeight="1" x14ac:dyDescent="0.2">
      <c r="A1080" s="21"/>
      <c r="B1080" s="21"/>
      <c r="C1080" s="4" t="s">
        <v>77</v>
      </c>
      <c r="D1080" s="6" t="str">
        <f>HYPERLINK("javascript:void(0)","smaragd")</f>
        <v>smaragd</v>
      </c>
    </row>
    <row r="1081" spans="1:4" ht="12.75" customHeight="1" x14ac:dyDescent="0.2">
      <c r="A1081" s="21"/>
      <c r="B1081" s="21"/>
      <c r="C1081" s="4" t="s">
        <v>68</v>
      </c>
      <c r="D1081" s="6" t="str">
        <f>HYPERLINK("javascript:void(0)","kristálylap")</f>
        <v>kristálylap</v>
      </c>
    </row>
    <row r="1082" spans="1:4" ht="12.75" customHeight="1" x14ac:dyDescent="0.2">
      <c r="A1082" s="5"/>
      <c r="B1082" s="2"/>
      <c r="C1082" s="2"/>
      <c r="D1082" s="2"/>
    </row>
    <row r="1083" spans="1:4" ht="12.75" customHeight="1" x14ac:dyDescent="0.2">
      <c r="A1083" s="22" t="str">
        <f>HYPERLINK("javascript:void(0)","chang-kard")</f>
        <v>chang-kard</v>
      </c>
      <c r="B1083" s="21"/>
      <c r="C1083" s="21"/>
      <c r="D1083" s="21"/>
    </row>
    <row r="1084" spans="1:4" ht="12.75" customHeight="1" x14ac:dyDescent="0.2">
      <c r="A1084" s="20"/>
      <c r="B1084" s="2"/>
      <c r="C1084" s="2"/>
      <c r="D1084" s="2"/>
    </row>
    <row r="1085" spans="1:4" ht="12.75" customHeight="1" x14ac:dyDescent="0.2">
      <c r="A1085" s="21"/>
      <c r="B1085" s="3" t="s">
        <v>0</v>
      </c>
      <c r="C1085" s="20" t="s">
        <v>153</v>
      </c>
      <c r="D1085" s="21"/>
    </row>
    <row r="1086" spans="1:4" ht="12.75" customHeight="1" x14ac:dyDescent="0.2">
      <c r="A1086" s="21"/>
      <c r="B1086" s="3" t="s">
        <v>2</v>
      </c>
      <c r="C1086" s="20" t="s">
        <v>1598</v>
      </c>
      <c r="D1086" s="21"/>
    </row>
    <row r="1087" spans="1:4" ht="12.75" customHeight="1" x14ac:dyDescent="0.2">
      <c r="A1087" s="21"/>
      <c r="B1087" s="3" t="s">
        <v>4</v>
      </c>
      <c r="C1087" s="20" t="s">
        <v>171</v>
      </c>
      <c r="D1087" s="21"/>
    </row>
    <row r="1088" spans="1:4" ht="12.75" customHeight="1" x14ac:dyDescent="0.2">
      <c r="A1088" s="21"/>
      <c r="B1088" s="3" t="s">
        <v>6</v>
      </c>
      <c r="C1088" s="20" t="s">
        <v>90</v>
      </c>
      <c r="D1088" s="21"/>
    </row>
    <row r="1089" spans="1:4" ht="12.75" customHeight="1" x14ac:dyDescent="0.2">
      <c r="A1089" s="21"/>
      <c r="B1089" s="3" t="s">
        <v>8</v>
      </c>
      <c r="C1089" s="20" t="s">
        <v>171</v>
      </c>
      <c r="D1089" s="21"/>
    </row>
    <row r="1090" spans="1:4" ht="12.75" customHeight="1" x14ac:dyDescent="0.2">
      <c r="A1090" s="21"/>
      <c r="B1090" s="3" t="s">
        <v>9</v>
      </c>
      <c r="C1090" s="20" t="s">
        <v>113</v>
      </c>
      <c r="D1090" s="21"/>
    </row>
    <row r="1091" spans="1:4" ht="12.75" customHeight="1" x14ac:dyDescent="0.2">
      <c r="A1091" s="21"/>
      <c r="B1091" s="3" t="s">
        <v>11</v>
      </c>
      <c r="C1091" s="20" t="s">
        <v>1778</v>
      </c>
      <c r="D1091" s="21"/>
    </row>
    <row r="1092" spans="1:4" ht="12.75" customHeight="1" x14ac:dyDescent="0.2">
      <c r="A1092" s="21"/>
      <c r="B1092" s="3" t="s">
        <v>13</v>
      </c>
      <c r="C1092" s="20" t="s">
        <v>14</v>
      </c>
      <c r="D1092" s="21"/>
    </row>
    <row r="1093" spans="1:4" ht="12.75" customHeight="1" x14ac:dyDescent="0.2">
      <c r="A1093" s="21"/>
      <c r="B1093" s="3" t="s">
        <v>15</v>
      </c>
      <c r="C1093" s="20" t="s">
        <v>14</v>
      </c>
      <c r="D1093" s="21"/>
    </row>
    <row r="1094" spans="1:4" ht="12.75" customHeight="1" x14ac:dyDescent="0.2">
      <c r="A1094" s="21"/>
      <c r="B1094" s="3" t="s">
        <v>16</v>
      </c>
      <c r="C1094" s="20"/>
      <c r="D1094" s="21"/>
    </row>
    <row r="1095" spans="1:4" ht="12.75" customHeight="1" x14ac:dyDescent="0.2">
      <c r="A1095" s="21"/>
      <c r="B1095" s="3" t="s">
        <v>17</v>
      </c>
      <c r="C1095" s="20"/>
      <c r="D1095" s="21"/>
    </row>
    <row r="1096" spans="1:4" ht="12.75" customHeight="1" x14ac:dyDescent="0.2">
      <c r="A1096" s="21"/>
      <c r="B1096" s="20" t="s">
        <v>18</v>
      </c>
      <c r="C1096" s="4" t="s">
        <v>44</v>
      </c>
      <c r="D1096" s="6" t="str">
        <f>HYPERLINK("javascript:void(0)","lovagi kard")</f>
        <v>lovagi kard</v>
      </c>
    </row>
    <row r="1097" spans="1:4" ht="12.75" customHeight="1" x14ac:dyDescent="0.2">
      <c r="A1097" s="21"/>
      <c r="B1097" s="21"/>
      <c r="C1097" s="4" t="s">
        <v>77</v>
      </c>
      <c r="D1097" s="6" t="str">
        <f>HYPERLINK("javascript:void(0)","gyémántkarika")</f>
        <v>gyémántkarika</v>
      </c>
    </row>
    <row r="1098" spans="1:4" ht="12.75" customHeight="1" x14ac:dyDescent="0.2">
      <c r="A1098" s="21"/>
      <c r="B1098" s="21"/>
      <c r="C1098" s="4" t="s">
        <v>67</v>
      </c>
      <c r="D1098" s="6" t="str">
        <f>HYPERLINK("javascript:void(0)","vasérc")</f>
        <v>vasérc</v>
      </c>
    </row>
    <row r="1099" spans="1:4" ht="12.75" customHeight="1" x14ac:dyDescent="0.2">
      <c r="A1099" s="5"/>
      <c r="B1099" s="2"/>
      <c r="C1099" s="2"/>
      <c r="D1099" s="2"/>
    </row>
    <row r="1100" spans="1:4" ht="12.75" customHeight="1" x14ac:dyDescent="0.2">
      <c r="A1100" s="22" t="str">
        <f>HYPERLINK("javascript:void(0)","dzsinka sarló")</f>
        <v>dzsinka sarló</v>
      </c>
      <c r="B1100" s="21"/>
      <c r="C1100" s="21"/>
      <c r="D1100" s="2"/>
    </row>
    <row r="1101" spans="1:4" ht="12.75" customHeight="1" x14ac:dyDescent="0.2">
      <c r="A1101" s="20"/>
      <c r="B1101" s="2"/>
      <c r="C1101" s="2"/>
      <c r="D1101" s="2"/>
    </row>
    <row r="1102" spans="1:4" ht="12.75" customHeight="1" x14ac:dyDescent="0.2">
      <c r="A1102" s="21"/>
      <c r="B1102" s="3" t="s">
        <v>0</v>
      </c>
      <c r="C1102" s="3" t="s">
        <v>153</v>
      </c>
      <c r="D1102" s="2"/>
    </row>
    <row r="1103" spans="1:4" ht="12.75" customHeight="1" x14ac:dyDescent="0.2">
      <c r="A1103" s="21"/>
      <c r="B1103" s="3" t="s">
        <v>2</v>
      </c>
      <c r="C1103" s="3" t="s">
        <v>1598</v>
      </c>
      <c r="D1103" s="2"/>
    </row>
    <row r="1104" spans="1:4" ht="12.75" customHeight="1" x14ac:dyDescent="0.2">
      <c r="A1104" s="21"/>
      <c r="B1104" s="3" t="s">
        <v>4</v>
      </c>
      <c r="C1104" s="3" t="s">
        <v>267</v>
      </c>
      <c r="D1104" s="2"/>
    </row>
    <row r="1105" spans="1:4" ht="12.75" customHeight="1" x14ac:dyDescent="0.2">
      <c r="A1105" s="21"/>
      <c r="B1105" s="3" t="s">
        <v>6</v>
      </c>
      <c r="C1105" s="3" t="s">
        <v>5</v>
      </c>
      <c r="D1105" s="2"/>
    </row>
    <row r="1106" spans="1:4" ht="12.75" customHeight="1" x14ac:dyDescent="0.2">
      <c r="A1106" s="21"/>
      <c r="B1106" s="3" t="s">
        <v>8</v>
      </c>
      <c r="C1106" s="3" t="s">
        <v>267</v>
      </c>
      <c r="D1106" s="2"/>
    </row>
    <row r="1107" spans="1:4" ht="12.75" customHeight="1" x14ac:dyDescent="0.2">
      <c r="A1107" s="21"/>
      <c r="B1107" s="3" t="s">
        <v>9</v>
      </c>
      <c r="C1107" s="3" t="s">
        <v>126</v>
      </c>
      <c r="D1107" s="2"/>
    </row>
    <row r="1108" spans="1:4" ht="12.75" customHeight="1" x14ac:dyDescent="0.2">
      <c r="A1108" s="21"/>
      <c r="B1108" s="3" t="s">
        <v>11</v>
      </c>
      <c r="C1108" s="3" t="s">
        <v>1779</v>
      </c>
      <c r="D1108" s="2"/>
    </row>
    <row r="1109" spans="1:4" ht="12.75" customHeight="1" x14ac:dyDescent="0.2">
      <c r="A1109" s="21"/>
      <c r="B1109" s="3" t="s">
        <v>13</v>
      </c>
      <c r="C1109" s="3" t="s">
        <v>24</v>
      </c>
      <c r="D1109" s="2"/>
    </row>
    <row r="1110" spans="1:4" ht="12.75" customHeight="1" x14ac:dyDescent="0.2">
      <c r="A1110" s="21"/>
      <c r="B1110" s="3" t="s">
        <v>15</v>
      </c>
      <c r="C1110" s="3" t="s">
        <v>14</v>
      </c>
      <c r="D1110" s="2"/>
    </row>
    <row r="1111" spans="1:4" ht="12.75" customHeight="1" x14ac:dyDescent="0.2">
      <c r="A1111" s="21"/>
      <c r="B1111" s="3" t="s">
        <v>16</v>
      </c>
      <c r="C1111" s="3"/>
      <c r="D1111" s="2"/>
    </row>
    <row r="1112" spans="1:4" ht="12.75" customHeight="1" x14ac:dyDescent="0.2">
      <c r="A1112" s="21"/>
      <c r="B1112" s="3" t="s">
        <v>17</v>
      </c>
      <c r="C1112" s="3"/>
      <c r="D1112" s="2"/>
    </row>
    <row r="1113" spans="1:4" ht="12.75" customHeight="1" x14ac:dyDescent="0.2">
      <c r="A1113" s="21"/>
      <c r="B1113" s="3" t="s">
        <v>18</v>
      </c>
      <c r="C1113" s="4" t="s">
        <v>19</v>
      </c>
      <c r="D1113" s="2"/>
    </row>
    <row r="1114" spans="1:4" ht="12.75" customHeight="1" x14ac:dyDescent="0.2">
      <c r="A1114" s="5"/>
      <c r="B1114" s="2"/>
      <c r="C1114" s="2"/>
      <c r="D1114" s="2"/>
    </row>
    <row r="1115" spans="1:4" ht="12.75" customHeight="1" x14ac:dyDescent="0.2">
      <c r="A1115" s="22" t="str">
        <f>HYPERLINK("javascript:void(0)","démonacél kasza")</f>
        <v>démonacél kasza</v>
      </c>
      <c r="B1115" s="21"/>
      <c r="C1115" s="21"/>
      <c r="D1115" s="21"/>
    </row>
    <row r="1116" spans="1:4" ht="12.75" customHeight="1" x14ac:dyDescent="0.2">
      <c r="A1116" s="20"/>
      <c r="B1116" s="2"/>
      <c r="C1116" s="2"/>
      <c r="D1116" s="2"/>
    </row>
    <row r="1117" spans="1:4" ht="12.75" customHeight="1" x14ac:dyDescent="0.2">
      <c r="A1117" s="21"/>
      <c r="B1117" s="3" t="s">
        <v>0</v>
      </c>
      <c r="C1117" s="20" t="s">
        <v>153</v>
      </c>
      <c r="D1117" s="21"/>
    </row>
    <row r="1118" spans="1:4" ht="12.75" customHeight="1" x14ac:dyDescent="0.2">
      <c r="A1118" s="21"/>
      <c r="B1118" s="3" t="s">
        <v>2</v>
      </c>
      <c r="C1118" s="20" t="s">
        <v>1598</v>
      </c>
      <c r="D1118" s="21"/>
    </row>
    <row r="1119" spans="1:4" ht="12.75" customHeight="1" x14ac:dyDescent="0.2">
      <c r="A1119" s="21"/>
      <c r="B1119" s="3" t="s">
        <v>4</v>
      </c>
      <c r="C1119" s="20" t="s">
        <v>1782</v>
      </c>
      <c r="D1119" s="21"/>
    </row>
    <row r="1120" spans="1:4" ht="12.75" customHeight="1" x14ac:dyDescent="0.2">
      <c r="A1120" s="21"/>
      <c r="B1120" s="3" t="s">
        <v>6</v>
      </c>
      <c r="C1120" s="20" t="s">
        <v>298</v>
      </c>
      <c r="D1120" s="21"/>
    </row>
    <row r="1121" spans="1:4" ht="12.75" customHeight="1" x14ac:dyDescent="0.2">
      <c r="A1121" s="21"/>
      <c r="B1121" s="3" t="s">
        <v>8</v>
      </c>
      <c r="C1121" s="20" t="s">
        <v>1782</v>
      </c>
      <c r="D1121" s="21"/>
    </row>
    <row r="1122" spans="1:4" ht="12.75" customHeight="1" x14ac:dyDescent="0.2">
      <c r="A1122" s="21"/>
      <c r="B1122" s="3" t="s">
        <v>9</v>
      </c>
      <c r="C1122" s="20" t="s">
        <v>462</v>
      </c>
      <c r="D1122" s="21"/>
    </row>
    <row r="1123" spans="1:4" ht="12.75" customHeight="1" x14ac:dyDescent="0.2">
      <c r="A1123" s="21"/>
      <c r="B1123" s="3" t="s">
        <v>11</v>
      </c>
      <c r="C1123" s="20" t="s">
        <v>467</v>
      </c>
      <c r="D1123" s="21"/>
    </row>
    <row r="1124" spans="1:4" ht="12.75" customHeight="1" x14ac:dyDescent="0.2">
      <c r="A1124" s="21"/>
      <c r="B1124" s="3" t="s">
        <v>13</v>
      </c>
      <c r="C1124" s="20" t="s">
        <v>24</v>
      </c>
      <c r="D1124" s="21"/>
    </row>
    <row r="1125" spans="1:4" ht="12.75" customHeight="1" x14ac:dyDescent="0.2">
      <c r="A1125" s="21"/>
      <c r="B1125" s="3" t="s">
        <v>15</v>
      </c>
      <c r="C1125" s="20" t="s">
        <v>14</v>
      </c>
      <c r="D1125" s="21"/>
    </row>
    <row r="1126" spans="1:4" ht="12.75" customHeight="1" x14ac:dyDescent="0.2">
      <c r="A1126" s="21"/>
      <c r="B1126" s="3" t="s">
        <v>16</v>
      </c>
      <c r="C1126" s="20"/>
      <c r="D1126" s="21"/>
    </row>
    <row r="1127" spans="1:4" ht="12.75" customHeight="1" x14ac:dyDescent="0.2">
      <c r="A1127" s="21"/>
      <c r="B1127" s="3" t="s">
        <v>17</v>
      </c>
      <c r="C1127" s="20"/>
      <c r="D1127" s="21"/>
    </row>
    <row r="1128" spans="1:4" ht="12.75" customHeight="1" x14ac:dyDescent="0.2">
      <c r="A1128" s="21"/>
      <c r="B1128" s="20" t="s">
        <v>18</v>
      </c>
      <c r="C1128" s="4" t="s">
        <v>55</v>
      </c>
      <c r="D1128" s="6" t="str">
        <f>HYPERLINK("javascript:void(0)","dadacsiganyál")</f>
        <v>dadacsiganyál</v>
      </c>
    </row>
    <row r="1129" spans="1:4" ht="12.75" customHeight="1" x14ac:dyDescent="0.2">
      <c r="A1129" s="21"/>
      <c r="B1129" s="21"/>
      <c r="C1129" s="4" t="s">
        <v>57</v>
      </c>
      <c r="D1129" s="6" t="str">
        <f>HYPERLINK("javascript:void(0)","kasza")</f>
        <v>kasza</v>
      </c>
    </row>
    <row r="1130" spans="1:4" ht="12.75" customHeight="1" x14ac:dyDescent="0.2">
      <c r="A1130" s="21"/>
      <c r="B1130" s="21"/>
      <c r="C1130" s="4" t="s">
        <v>56</v>
      </c>
      <c r="D1130" s="6" t="str">
        <f>HYPERLINK("javascript:void(0)","gyémánt")</f>
        <v>gyémánt</v>
      </c>
    </row>
    <row r="1131" spans="1:4" ht="12.75" customHeight="1" x14ac:dyDescent="0.2">
      <c r="A1131" s="5"/>
      <c r="B1131" s="2"/>
      <c r="C1131" s="2"/>
      <c r="D1131" s="2"/>
    </row>
    <row r="1132" spans="1:4" ht="12.75" customHeight="1" x14ac:dyDescent="0.2">
      <c r="A1132" s="22" t="str">
        <f>HYPERLINK("javascript:void(0)","hidracél szablya")</f>
        <v>hidracél szablya</v>
      </c>
      <c r="B1132" s="21"/>
      <c r="C1132" s="21"/>
      <c r="D1132" s="21"/>
    </row>
    <row r="1133" spans="1:4" ht="12.75" customHeight="1" x14ac:dyDescent="0.2">
      <c r="A1133" s="20"/>
      <c r="B1133" s="2"/>
      <c r="C1133" s="2"/>
      <c r="D1133" s="2"/>
    </row>
    <row r="1134" spans="1:4" ht="12.75" customHeight="1" x14ac:dyDescent="0.2">
      <c r="A1134" s="21"/>
      <c r="B1134" s="3" t="s">
        <v>0</v>
      </c>
      <c r="C1134" s="20" t="s">
        <v>153</v>
      </c>
      <c r="D1134" s="21"/>
    </row>
    <row r="1135" spans="1:4" ht="12.75" customHeight="1" x14ac:dyDescent="0.2">
      <c r="A1135" s="21"/>
      <c r="B1135" s="3" t="s">
        <v>2</v>
      </c>
      <c r="C1135" s="20" t="s">
        <v>1598</v>
      </c>
      <c r="D1135" s="21"/>
    </row>
    <row r="1136" spans="1:4" ht="12.75" customHeight="1" x14ac:dyDescent="0.2">
      <c r="A1136" s="21"/>
      <c r="B1136" s="3" t="s">
        <v>4</v>
      </c>
      <c r="C1136" s="20" t="s">
        <v>1786</v>
      </c>
      <c r="D1136" s="21"/>
    </row>
    <row r="1137" spans="1:4" ht="12.75" customHeight="1" x14ac:dyDescent="0.2">
      <c r="A1137" s="21"/>
      <c r="B1137" s="3" t="s">
        <v>6</v>
      </c>
      <c r="C1137" s="20" t="s">
        <v>88</v>
      </c>
      <c r="D1137" s="21"/>
    </row>
    <row r="1138" spans="1:4" ht="12.75" customHeight="1" x14ac:dyDescent="0.2">
      <c r="A1138" s="21"/>
      <c r="B1138" s="3" t="s">
        <v>8</v>
      </c>
      <c r="C1138" s="20" t="s">
        <v>1786</v>
      </c>
      <c r="D1138" s="21"/>
    </row>
    <row r="1139" spans="1:4" ht="12.75" customHeight="1" x14ac:dyDescent="0.2">
      <c r="A1139" s="21"/>
      <c r="B1139" s="3" t="s">
        <v>9</v>
      </c>
      <c r="C1139" s="20" t="s">
        <v>374</v>
      </c>
      <c r="D1139" s="21"/>
    </row>
    <row r="1140" spans="1:4" ht="12.75" customHeight="1" x14ac:dyDescent="0.2">
      <c r="A1140" s="21"/>
      <c r="B1140" s="3" t="s">
        <v>11</v>
      </c>
      <c r="C1140" s="20" t="s">
        <v>1787</v>
      </c>
      <c r="D1140" s="21"/>
    </row>
    <row r="1141" spans="1:4" ht="12.75" customHeight="1" x14ac:dyDescent="0.2">
      <c r="A1141" s="21"/>
      <c r="B1141" s="3" t="s">
        <v>13</v>
      </c>
      <c r="C1141" s="20" t="s">
        <v>14</v>
      </c>
      <c r="D1141" s="21"/>
    </row>
    <row r="1142" spans="1:4" ht="12.75" customHeight="1" x14ac:dyDescent="0.2">
      <c r="A1142" s="21"/>
      <c r="B1142" s="3" t="s">
        <v>15</v>
      </c>
      <c r="C1142" s="20" t="s">
        <v>24</v>
      </c>
      <c r="D1142" s="21"/>
    </row>
    <row r="1143" spans="1:4" ht="12.75" customHeight="1" x14ac:dyDescent="0.2">
      <c r="A1143" s="21"/>
      <c r="B1143" s="3" t="s">
        <v>16</v>
      </c>
      <c r="C1143" s="20"/>
      <c r="D1143" s="21"/>
    </row>
    <row r="1144" spans="1:4" ht="12.75" customHeight="1" x14ac:dyDescent="0.2">
      <c r="A1144" s="21"/>
      <c r="B1144" s="3" t="s">
        <v>17</v>
      </c>
      <c r="C1144" s="20"/>
      <c r="D1144" s="21"/>
    </row>
    <row r="1145" spans="1:4" ht="12.75" customHeight="1" x14ac:dyDescent="0.2">
      <c r="A1145" s="21"/>
      <c r="B1145" s="20" t="s">
        <v>18</v>
      </c>
      <c r="C1145" s="4" t="s">
        <v>44</v>
      </c>
      <c r="D1145" s="6" t="str">
        <f>HYPERLINK("javascript:void(0)","mengorni szablya")</f>
        <v>mengorni szablya</v>
      </c>
    </row>
    <row r="1146" spans="1:4" ht="12.75" customHeight="1" x14ac:dyDescent="0.2">
      <c r="A1146" s="21"/>
      <c r="B1146" s="21"/>
      <c r="C1146" s="4" t="s">
        <v>55</v>
      </c>
      <c r="D1146" s="6" t="str">
        <f>HYPERLINK("javascript:void(0)","szén-hidragén")</f>
        <v>szén-hidragén</v>
      </c>
    </row>
    <row r="1147" spans="1:4" ht="12.75" customHeight="1" x14ac:dyDescent="0.2">
      <c r="A1147" s="21"/>
      <c r="B1147" s="21"/>
      <c r="C1147" s="4" t="s">
        <v>121</v>
      </c>
      <c r="D1147" s="6" t="str">
        <f>HYPERLINK("javascript:void(0)","ezüst")</f>
        <v>ezüst</v>
      </c>
    </row>
    <row r="1148" spans="1:4" ht="12.75" customHeight="1" x14ac:dyDescent="0.2">
      <c r="A1148" s="5"/>
      <c r="B1148" s="2"/>
      <c r="C1148" s="2"/>
      <c r="D1148" s="2"/>
    </row>
    <row r="1149" spans="1:4" ht="12.75" customHeight="1" x14ac:dyDescent="0.2">
      <c r="A1149" s="22" t="str">
        <f>HYPERLINK("javascript:void(0)","dracoacél kasza")</f>
        <v>dracoacél kasza</v>
      </c>
      <c r="B1149" s="21"/>
      <c r="C1149" s="21"/>
      <c r="D1149" s="21"/>
    </row>
    <row r="1150" spans="1:4" ht="12.75" customHeight="1" x14ac:dyDescent="0.2">
      <c r="A1150" s="20"/>
      <c r="B1150" s="2"/>
      <c r="C1150" s="2"/>
      <c r="D1150" s="2"/>
    </row>
    <row r="1151" spans="1:4" ht="12.75" customHeight="1" x14ac:dyDescent="0.2">
      <c r="A1151" s="21"/>
      <c r="B1151" s="3" t="s">
        <v>0</v>
      </c>
      <c r="C1151" s="20" t="s">
        <v>153</v>
      </c>
      <c r="D1151" s="21"/>
    </row>
    <row r="1152" spans="1:4" ht="12.75" customHeight="1" x14ac:dyDescent="0.2">
      <c r="A1152" s="21"/>
      <c r="B1152" s="3" t="s">
        <v>2</v>
      </c>
      <c r="C1152" s="20" t="s">
        <v>1598</v>
      </c>
      <c r="D1152" s="21"/>
    </row>
    <row r="1153" spans="1:4" ht="12.75" customHeight="1" x14ac:dyDescent="0.2">
      <c r="A1153" s="21"/>
      <c r="B1153" s="3" t="s">
        <v>4</v>
      </c>
      <c r="C1153" s="20" t="s">
        <v>426</v>
      </c>
      <c r="D1153" s="21"/>
    </row>
    <row r="1154" spans="1:4" ht="12.75" customHeight="1" x14ac:dyDescent="0.2">
      <c r="A1154" s="21"/>
      <c r="B1154" s="3" t="s">
        <v>6</v>
      </c>
      <c r="C1154" s="20" t="s">
        <v>298</v>
      </c>
      <c r="D1154" s="21"/>
    </row>
    <row r="1155" spans="1:4" ht="12.75" customHeight="1" x14ac:dyDescent="0.2">
      <c r="A1155" s="21"/>
      <c r="B1155" s="3" t="s">
        <v>8</v>
      </c>
      <c r="C1155" s="20" t="s">
        <v>426</v>
      </c>
      <c r="D1155" s="21"/>
    </row>
    <row r="1156" spans="1:4" ht="12.75" customHeight="1" x14ac:dyDescent="0.2">
      <c r="A1156" s="21"/>
      <c r="B1156" s="3" t="s">
        <v>9</v>
      </c>
      <c r="C1156" s="20" t="s">
        <v>249</v>
      </c>
      <c r="D1156" s="21"/>
    </row>
    <row r="1157" spans="1:4" ht="12.75" customHeight="1" x14ac:dyDescent="0.2">
      <c r="A1157" s="21"/>
      <c r="B1157" s="3" t="s">
        <v>11</v>
      </c>
      <c r="C1157" s="20" t="s">
        <v>467</v>
      </c>
      <c r="D1157" s="21"/>
    </row>
    <row r="1158" spans="1:4" ht="12.75" customHeight="1" x14ac:dyDescent="0.2">
      <c r="A1158" s="21"/>
      <c r="B1158" s="3" t="s">
        <v>13</v>
      </c>
      <c r="C1158" s="20" t="s">
        <v>24</v>
      </c>
      <c r="D1158" s="21"/>
    </row>
    <row r="1159" spans="1:4" ht="12.75" customHeight="1" x14ac:dyDescent="0.2">
      <c r="A1159" s="21"/>
      <c r="B1159" s="3" t="s">
        <v>15</v>
      </c>
      <c r="C1159" s="20" t="s">
        <v>24</v>
      </c>
      <c r="D1159" s="21"/>
    </row>
    <row r="1160" spans="1:4" ht="12.75" customHeight="1" x14ac:dyDescent="0.2">
      <c r="A1160" s="21"/>
      <c r="B1160" s="3" t="s">
        <v>16</v>
      </c>
      <c r="C1160" s="20"/>
      <c r="D1160" s="21"/>
    </row>
    <row r="1161" spans="1:4" ht="12.75" customHeight="1" x14ac:dyDescent="0.2">
      <c r="A1161" s="21"/>
      <c r="B1161" s="3" t="s">
        <v>17</v>
      </c>
      <c r="C1161" s="20"/>
      <c r="D1161" s="21"/>
    </row>
    <row r="1162" spans="1:4" ht="12.75" customHeight="1" x14ac:dyDescent="0.2">
      <c r="A1162" s="21"/>
      <c r="B1162" s="20" t="s">
        <v>18</v>
      </c>
      <c r="C1162" s="4" t="s">
        <v>44</v>
      </c>
      <c r="D1162" s="6" t="str">
        <f>HYPERLINK("javascript:void(0)","démonacél kasza")</f>
        <v>démonacél kasza</v>
      </c>
    </row>
    <row r="1163" spans="1:4" ht="12.75" customHeight="1" x14ac:dyDescent="0.2">
      <c r="A1163" s="21"/>
      <c r="B1163" s="21"/>
      <c r="C1163" s="4" t="s">
        <v>331</v>
      </c>
      <c r="D1163" s="6" t="str">
        <f>HYPERLINK("javascript:void(0)","sárkánykarom")</f>
        <v>sárkánykarom</v>
      </c>
    </row>
    <row r="1164" spans="1:4" ht="12.75" customHeight="1" x14ac:dyDescent="0.2">
      <c r="A1164" s="21"/>
      <c r="B1164" s="21"/>
      <c r="C1164" s="4" t="s">
        <v>67</v>
      </c>
      <c r="D1164" s="6" t="str">
        <f>HYPERLINK("javascript:void(0)","sárkánypikkely")</f>
        <v>sárkánypikkely</v>
      </c>
    </row>
    <row r="1165" spans="1:4" ht="12.75" customHeight="1" x14ac:dyDescent="0.2">
      <c r="A1165" s="5"/>
      <c r="B1165" s="2"/>
      <c r="C1165" s="2"/>
      <c r="D1165" s="2"/>
    </row>
    <row r="1166" spans="1:4" ht="12.75" customHeight="1" x14ac:dyDescent="0.2">
      <c r="A1166" s="22" t="str">
        <f>HYPERLINK("javascript:void(0)","démonacél bárd")</f>
        <v>démonacél bárd</v>
      </c>
      <c r="B1166" s="21"/>
      <c r="C1166" s="21"/>
      <c r="D1166" s="21"/>
    </row>
    <row r="1167" spans="1:4" ht="12.75" customHeight="1" x14ac:dyDescent="0.2">
      <c r="A1167" s="20"/>
      <c r="B1167" s="2"/>
      <c r="C1167" s="2"/>
      <c r="D1167" s="2"/>
    </row>
    <row r="1168" spans="1:4" ht="12.75" customHeight="1" x14ac:dyDescent="0.2">
      <c r="A1168" s="21"/>
      <c r="B1168" s="3" t="s">
        <v>0</v>
      </c>
      <c r="C1168" s="20" t="s">
        <v>35</v>
      </c>
      <c r="D1168" s="21"/>
    </row>
    <row r="1169" spans="1:4" ht="12.75" customHeight="1" x14ac:dyDescent="0.2">
      <c r="A1169" s="21"/>
      <c r="B1169" s="3" t="s">
        <v>2</v>
      </c>
      <c r="C1169" s="20" t="s">
        <v>1598</v>
      </c>
      <c r="D1169" s="21"/>
    </row>
    <row r="1170" spans="1:4" ht="12.75" customHeight="1" x14ac:dyDescent="0.2">
      <c r="A1170" s="21"/>
      <c r="B1170" s="3" t="s">
        <v>4</v>
      </c>
      <c r="C1170" s="20" t="s">
        <v>1788</v>
      </c>
      <c r="D1170" s="21"/>
    </row>
    <row r="1171" spans="1:4" ht="12.75" customHeight="1" x14ac:dyDescent="0.2">
      <c r="A1171" s="21"/>
      <c r="B1171" s="3" t="s">
        <v>6</v>
      </c>
      <c r="C1171" s="20" t="s">
        <v>107</v>
      </c>
      <c r="D1171" s="21"/>
    </row>
    <row r="1172" spans="1:4" ht="12.75" customHeight="1" x14ac:dyDescent="0.2">
      <c r="A1172" s="21"/>
      <c r="B1172" s="3" t="s">
        <v>8</v>
      </c>
      <c r="C1172" s="20" t="s">
        <v>1788</v>
      </c>
      <c r="D1172" s="21"/>
    </row>
    <row r="1173" spans="1:4" ht="12.75" customHeight="1" x14ac:dyDescent="0.2">
      <c r="A1173" s="21"/>
      <c r="B1173" s="3" t="s">
        <v>9</v>
      </c>
      <c r="C1173" s="20" t="s">
        <v>1789</v>
      </c>
      <c r="D1173" s="21"/>
    </row>
    <row r="1174" spans="1:4" ht="12.75" customHeight="1" x14ac:dyDescent="0.2">
      <c r="A1174" s="21"/>
      <c r="B1174" s="3" t="s">
        <v>11</v>
      </c>
      <c r="C1174" s="20" t="s">
        <v>484</v>
      </c>
      <c r="D1174" s="21"/>
    </row>
    <row r="1175" spans="1:4" ht="12.75" customHeight="1" x14ac:dyDescent="0.2">
      <c r="A1175" s="21"/>
      <c r="B1175" s="3" t="s">
        <v>13</v>
      </c>
      <c r="C1175" s="20" t="s">
        <v>24</v>
      </c>
      <c r="D1175" s="21"/>
    </row>
    <row r="1176" spans="1:4" ht="12.75" customHeight="1" x14ac:dyDescent="0.2">
      <c r="A1176" s="21"/>
      <c r="B1176" s="3" t="s">
        <v>15</v>
      </c>
      <c r="C1176" s="20" t="s">
        <v>14</v>
      </c>
      <c r="D1176" s="21"/>
    </row>
    <row r="1177" spans="1:4" ht="12.75" customHeight="1" x14ac:dyDescent="0.2">
      <c r="A1177" s="21"/>
      <c r="B1177" s="3" t="s">
        <v>16</v>
      </c>
      <c r="C1177" s="20"/>
      <c r="D1177" s="21"/>
    </row>
    <row r="1178" spans="1:4" ht="12.75" customHeight="1" x14ac:dyDescent="0.2">
      <c r="A1178" s="21"/>
      <c r="B1178" s="3" t="s">
        <v>17</v>
      </c>
      <c r="C1178" s="20"/>
      <c r="D1178" s="21"/>
    </row>
    <row r="1179" spans="1:4" ht="12.75" customHeight="1" x14ac:dyDescent="0.2">
      <c r="A1179" s="21"/>
      <c r="B1179" s="20" t="s">
        <v>18</v>
      </c>
      <c r="C1179" s="4" t="s">
        <v>55</v>
      </c>
      <c r="D1179" s="6" t="str">
        <f>HYPERLINK("javascript:void(0)","bárd")</f>
        <v>bárd</v>
      </c>
    </row>
    <row r="1180" spans="1:4" ht="12.75" customHeight="1" x14ac:dyDescent="0.2">
      <c r="A1180" s="21"/>
      <c r="B1180" s="21"/>
      <c r="C1180" s="4" t="s">
        <v>55</v>
      </c>
      <c r="D1180" s="6" t="str">
        <f>HYPERLINK("javascript:void(0)","kasza")</f>
        <v>kasza</v>
      </c>
    </row>
    <row r="1181" spans="1:4" ht="12.75" customHeight="1" x14ac:dyDescent="0.2">
      <c r="A1181" s="21"/>
      <c r="B1181" s="21"/>
      <c r="C1181" s="4" t="s">
        <v>57</v>
      </c>
      <c r="D1181" s="6" t="str">
        <f>HYPERLINK("javascript:void(0)","gyémánt")</f>
        <v>gyémánt</v>
      </c>
    </row>
    <row r="1182" spans="1:4" ht="12.75" customHeight="1" x14ac:dyDescent="0.2">
      <c r="A1182" s="5"/>
      <c r="B1182" s="2"/>
      <c r="C1182" s="2"/>
      <c r="D1182" s="2"/>
    </row>
    <row r="1183" spans="1:4" ht="12.75" customHeight="1" x14ac:dyDescent="0.2">
      <c r="A1183" s="22" t="str">
        <f>HYPERLINK("javascript:void(0)","hidracél lándzsa")</f>
        <v>hidracél lándzsa</v>
      </c>
      <c r="B1183" s="21"/>
      <c r="C1183" s="21"/>
      <c r="D1183" s="21"/>
    </row>
    <row r="1184" spans="1:4" ht="12.75" customHeight="1" x14ac:dyDescent="0.2">
      <c r="A1184" s="20"/>
      <c r="B1184" s="2"/>
      <c r="C1184" s="2"/>
      <c r="D1184" s="2"/>
    </row>
    <row r="1185" spans="1:4" ht="12.75" customHeight="1" x14ac:dyDescent="0.2">
      <c r="A1185" s="21"/>
      <c r="B1185" s="3" t="s">
        <v>0</v>
      </c>
      <c r="C1185" s="20" t="s">
        <v>35</v>
      </c>
      <c r="D1185" s="21"/>
    </row>
    <row r="1186" spans="1:4" ht="12.75" customHeight="1" x14ac:dyDescent="0.2">
      <c r="A1186" s="21"/>
      <c r="B1186" s="3" t="s">
        <v>2</v>
      </c>
      <c r="C1186" s="20" t="s">
        <v>1598</v>
      </c>
      <c r="D1186" s="21"/>
    </row>
    <row r="1187" spans="1:4" ht="12.75" customHeight="1" x14ac:dyDescent="0.2">
      <c r="A1187" s="21"/>
      <c r="B1187" s="3" t="s">
        <v>4</v>
      </c>
      <c r="C1187" s="20" t="s">
        <v>1792</v>
      </c>
      <c r="D1187" s="21"/>
    </row>
    <row r="1188" spans="1:4" ht="12.75" customHeight="1" x14ac:dyDescent="0.2">
      <c r="A1188" s="21"/>
      <c r="B1188" s="3" t="s">
        <v>6</v>
      </c>
      <c r="C1188" s="20" t="s">
        <v>38</v>
      </c>
      <c r="D1188" s="21"/>
    </row>
    <row r="1189" spans="1:4" ht="12.75" customHeight="1" x14ac:dyDescent="0.2">
      <c r="A1189" s="21"/>
      <c r="B1189" s="3" t="s">
        <v>8</v>
      </c>
      <c r="C1189" s="20" t="s">
        <v>1792</v>
      </c>
      <c r="D1189" s="21"/>
    </row>
    <row r="1190" spans="1:4" ht="12.75" customHeight="1" x14ac:dyDescent="0.2">
      <c r="A1190" s="21"/>
      <c r="B1190" s="3" t="s">
        <v>9</v>
      </c>
      <c r="C1190" s="20" t="s">
        <v>1255</v>
      </c>
      <c r="D1190" s="21"/>
    </row>
    <row r="1191" spans="1:4" ht="12.75" customHeight="1" x14ac:dyDescent="0.2">
      <c r="A1191" s="21"/>
      <c r="B1191" s="3" t="s">
        <v>11</v>
      </c>
      <c r="C1191" s="20" t="s">
        <v>1793</v>
      </c>
      <c r="D1191" s="21"/>
    </row>
    <row r="1192" spans="1:4" ht="12.75" customHeight="1" x14ac:dyDescent="0.2">
      <c r="A1192" s="21"/>
      <c r="B1192" s="3" t="s">
        <v>13</v>
      </c>
      <c r="C1192" s="20" t="s">
        <v>14</v>
      </c>
      <c r="D1192" s="21"/>
    </row>
    <row r="1193" spans="1:4" ht="12.75" customHeight="1" x14ac:dyDescent="0.2">
      <c r="A1193" s="21"/>
      <c r="B1193" s="3" t="s">
        <v>15</v>
      </c>
      <c r="C1193" s="20" t="s">
        <v>24</v>
      </c>
      <c r="D1193" s="21"/>
    </row>
    <row r="1194" spans="1:4" ht="12.75" customHeight="1" x14ac:dyDescent="0.2">
      <c r="A1194" s="21"/>
      <c r="B1194" s="3" t="s">
        <v>16</v>
      </c>
      <c r="C1194" s="20"/>
      <c r="D1194" s="21"/>
    </row>
    <row r="1195" spans="1:4" ht="12.75" customHeight="1" x14ac:dyDescent="0.2">
      <c r="A1195" s="21"/>
      <c r="B1195" s="3" t="s">
        <v>17</v>
      </c>
      <c r="C1195" s="20"/>
      <c r="D1195" s="21"/>
    </row>
    <row r="1196" spans="1:4" ht="12.75" customHeight="1" x14ac:dyDescent="0.2">
      <c r="A1196" s="21"/>
      <c r="B1196" s="20" t="s">
        <v>18</v>
      </c>
      <c r="C1196" s="4" t="s">
        <v>57</v>
      </c>
      <c r="D1196" s="6" t="str">
        <f>HYPERLINK("javascript:void(0)","elit-őr lándzsa")</f>
        <v>elit-őr lándzsa</v>
      </c>
    </row>
    <row r="1197" spans="1:4" ht="12.75" customHeight="1" x14ac:dyDescent="0.2">
      <c r="A1197" s="21"/>
      <c r="B1197" s="21"/>
      <c r="C1197" s="4" t="s">
        <v>68</v>
      </c>
      <c r="D1197" s="6" t="str">
        <f>HYPERLINK("javascript:void(0)","szén-hidragén")</f>
        <v>szén-hidragén</v>
      </c>
    </row>
    <row r="1198" spans="1:4" ht="12.75" customHeight="1" x14ac:dyDescent="0.2">
      <c r="A1198" s="21"/>
      <c r="B1198" s="21"/>
      <c r="C1198" s="4" t="s">
        <v>1794</v>
      </c>
      <c r="D1198" s="6" t="str">
        <f>HYPERLINK("javascript:void(0)","ezüst")</f>
        <v>ezüst</v>
      </c>
    </row>
    <row r="1199" spans="1:4" ht="12.75" customHeight="1" x14ac:dyDescent="0.2">
      <c r="A1199" s="5"/>
      <c r="B1199" s="2"/>
      <c r="C1199" s="2"/>
      <c r="D1199" s="2"/>
    </row>
    <row r="1200" spans="1:4" ht="12.75" customHeight="1" x14ac:dyDescent="0.2">
      <c r="A1200" s="22" t="str">
        <f>HYPERLINK("javascript:void(0)","dracoacél kard")</f>
        <v>dracoacél kard</v>
      </c>
      <c r="B1200" s="21"/>
      <c r="C1200" s="21"/>
      <c r="D1200" s="21"/>
    </row>
    <row r="1201" spans="1:4" ht="12.75" customHeight="1" x14ac:dyDescent="0.2">
      <c r="A1201" s="20"/>
      <c r="B1201" s="2"/>
      <c r="C1201" s="2"/>
      <c r="D1201" s="2"/>
    </row>
    <row r="1202" spans="1:4" ht="12.75" customHeight="1" x14ac:dyDescent="0.2">
      <c r="A1202" s="21"/>
      <c r="B1202" s="3" t="s">
        <v>0</v>
      </c>
      <c r="C1202" s="20" t="s">
        <v>35</v>
      </c>
      <c r="D1202" s="21"/>
    </row>
    <row r="1203" spans="1:4" ht="12.75" customHeight="1" x14ac:dyDescent="0.2">
      <c r="A1203" s="21"/>
      <c r="B1203" s="3" t="s">
        <v>2</v>
      </c>
      <c r="C1203" s="20" t="s">
        <v>1598</v>
      </c>
      <c r="D1203" s="21"/>
    </row>
    <row r="1204" spans="1:4" ht="12.75" customHeight="1" x14ac:dyDescent="0.2">
      <c r="A1204" s="21"/>
      <c r="B1204" s="3" t="s">
        <v>4</v>
      </c>
      <c r="C1204" s="20" t="s">
        <v>166</v>
      </c>
      <c r="D1204" s="21"/>
    </row>
    <row r="1205" spans="1:4" ht="12.75" customHeight="1" x14ac:dyDescent="0.2">
      <c r="A1205" s="21"/>
      <c r="B1205" s="3" t="s">
        <v>6</v>
      </c>
      <c r="C1205" s="20" t="s">
        <v>118</v>
      </c>
      <c r="D1205" s="21"/>
    </row>
    <row r="1206" spans="1:4" ht="12.75" customHeight="1" x14ac:dyDescent="0.2">
      <c r="A1206" s="21"/>
      <c r="B1206" s="3" t="s">
        <v>8</v>
      </c>
      <c r="C1206" s="20" t="s">
        <v>166</v>
      </c>
      <c r="D1206" s="21"/>
    </row>
    <row r="1207" spans="1:4" ht="12.75" customHeight="1" x14ac:dyDescent="0.2">
      <c r="A1207" s="21"/>
      <c r="B1207" s="3" t="s">
        <v>9</v>
      </c>
      <c r="C1207" s="20" t="s">
        <v>374</v>
      </c>
      <c r="D1207" s="21"/>
    </row>
    <row r="1208" spans="1:4" ht="12.75" customHeight="1" x14ac:dyDescent="0.2">
      <c r="A1208" s="21"/>
      <c r="B1208" s="3" t="s">
        <v>11</v>
      </c>
      <c r="C1208" s="20" t="s">
        <v>484</v>
      </c>
      <c r="D1208" s="21"/>
    </row>
    <row r="1209" spans="1:4" ht="12.75" customHeight="1" x14ac:dyDescent="0.2">
      <c r="A1209" s="21"/>
      <c r="B1209" s="3" t="s">
        <v>13</v>
      </c>
      <c r="C1209" s="20" t="s">
        <v>24</v>
      </c>
      <c r="D1209" s="21"/>
    </row>
    <row r="1210" spans="1:4" ht="12.75" customHeight="1" x14ac:dyDescent="0.2">
      <c r="A1210" s="21"/>
      <c r="B1210" s="3" t="s">
        <v>15</v>
      </c>
      <c r="C1210" s="20" t="s">
        <v>24</v>
      </c>
      <c r="D1210" s="21"/>
    </row>
    <row r="1211" spans="1:4" ht="12.75" customHeight="1" x14ac:dyDescent="0.2">
      <c r="A1211" s="21"/>
      <c r="B1211" s="3" t="s">
        <v>16</v>
      </c>
      <c r="C1211" s="20"/>
      <c r="D1211" s="21"/>
    </row>
    <row r="1212" spans="1:4" ht="12.75" customHeight="1" x14ac:dyDescent="0.2">
      <c r="A1212" s="21"/>
      <c r="B1212" s="3" t="s">
        <v>17</v>
      </c>
      <c r="C1212" s="20"/>
      <c r="D1212" s="21"/>
    </row>
    <row r="1213" spans="1:4" ht="12.75" customHeight="1" x14ac:dyDescent="0.2">
      <c r="A1213" s="21"/>
      <c r="B1213" s="20" t="s">
        <v>18</v>
      </c>
      <c r="C1213" s="4" t="s">
        <v>44</v>
      </c>
      <c r="D1213" s="6" t="str">
        <f>HYPERLINK("javascript:void(0)","démonacél kard")</f>
        <v>démonacél kard</v>
      </c>
    </row>
    <row r="1214" spans="1:4" ht="12.75" customHeight="1" x14ac:dyDescent="0.2">
      <c r="A1214" s="21"/>
      <c r="B1214" s="21"/>
      <c r="C1214" s="4" t="s">
        <v>142</v>
      </c>
      <c r="D1214" s="6" t="str">
        <f>HYPERLINK("javascript:void(0)","sárkánypikkely")</f>
        <v>sárkánypikkely</v>
      </c>
    </row>
    <row r="1215" spans="1:4" ht="12.75" customHeight="1" x14ac:dyDescent="0.2">
      <c r="A1215" s="21"/>
      <c r="B1215" s="21"/>
      <c r="C1215" s="4" t="s">
        <v>142</v>
      </c>
      <c r="D1215" s="6" t="str">
        <f>HYPERLINK("javascript:void(0)","sárkánykarom")</f>
        <v>sárkánykarom</v>
      </c>
    </row>
    <row r="1216" spans="1:4" ht="12.75" customHeight="1" x14ac:dyDescent="0.2">
      <c r="A1216" s="5"/>
      <c r="B1216" s="2"/>
      <c r="C1216" s="2"/>
      <c r="D1216" s="2"/>
    </row>
    <row r="1217" spans="1:4" ht="12.75" customHeight="1" x14ac:dyDescent="0.2">
      <c r="A1217" s="22" t="str">
        <f>HYPERLINK("javascript:void(0)","dimenziópenge")</f>
        <v>dimenziópenge</v>
      </c>
      <c r="B1217" s="21"/>
      <c r="C1217" s="21"/>
      <c r="D1217" s="21"/>
    </row>
    <row r="1218" spans="1:4" ht="12.75" customHeight="1" x14ac:dyDescent="0.2">
      <c r="A1218" s="20"/>
      <c r="B1218" s="2"/>
      <c r="C1218" s="2"/>
      <c r="D1218" s="2"/>
    </row>
    <row r="1219" spans="1:4" ht="12.75" customHeight="1" x14ac:dyDescent="0.2">
      <c r="A1219" s="21"/>
      <c r="B1219" s="3" t="s">
        <v>0</v>
      </c>
      <c r="C1219" s="20" t="s">
        <v>35</v>
      </c>
      <c r="D1219" s="21"/>
    </row>
    <row r="1220" spans="1:4" ht="12.75" customHeight="1" x14ac:dyDescent="0.2">
      <c r="A1220" s="21"/>
      <c r="B1220" s="3" t="s">
        <v>2</v>
      </c>
      <c r="C1220" s="20" t="s">
        <v>1598</v>
      </c>
      <c r="D1220" s="21"/>
    </row>
    <row r="1221" spans="1:4" ht="12.75" customHeight="1" x14ac:dyDescent="0.2">
      <c r="A1221" s="21"/>
      <c r="B1221" s="3" t="s">
        <v>4</v>
      </c>
      <c r="C1221" s="20" t="s">
        <v>1796</v>
      </c>
      <c r="D1221" s="21"/>
    </row>
    <row r="1222" spans="1:4" ht="12.75" customHeight="1" x14ac:dyDescent="0.2">
      <c r="A1222" s="21"/>
      <c r="B1222" s="3" t="s">
        <v>6</v>
      </c>
      <c r="C1222" s="20" t="s">
        <v>568</v>
      </c>
      <c r="D1222" s="21"/>
    </row>
    <row r="1223" spans="1:4" ht="12.75" customHeight="1" x14ac:dyDescent="0.2">
      <c r="A1223" s="21"/>
      <c r="B1223" s="3" t="s">
        <v>8</v>
      </c>
      <c r="C1223" s="20" t="s">
        <v>1796</v>
      </c>
      <c r="D1223" s="21"/>
    </row>
    <row r="1224" spans="1:4" ht="12.75" customHeight="1" x14ac:dyDescent="0.2">
      <c r="A1224" s="21"/>
      <c r="B1224" s="3" t="s">
        <v>9</v>
      </c>
      <c r="C1224" s="20" t="s">
        <v>626</v>
      </c>
      <c r="D1224" s="21"/>
    </row>
    <row r="1225" spans="1:4" ht="12.75" customHeight="1" x14ac:dyDescent="0.2">
      <c r="A1225" s="21"/>
      <c r="B1225" s="3" t="s">
        <v>11</v>
      </c>
      <c r="C1225" s="20" t="s">
        <v>177</v>
      </c>
      <c r="D1225" s="21"/>
    </row>
    <row r="1226" spans="1:4" ht="12.75" customHeight="1" x14ac:dyDescent="0.2">
      <c r="A1226" s="21"/>
      <c r="B1226" s="3" t="s">
        <v>13</v>
      </c>
      <c r="C1226" s="20" t="s">
        <v>24</v>
      </c>
      <c r="D1226" s="21"/>
    </row>
    <row r="1227" spans="1:4" ht="12.75" customHeight="1" x14ac:dyDescent="0.2">
      <c r="A1227" s="21"/>
      <c r="B1227" s="3" t="s">
        <v>15</v>
      </c>
      <c r="C1227" s="20" t="s">
        <v>14</v>
      </c>
      <c r="D1227" s="21"/>
    </row>
    <row r="1228" spans="1:4" ht="12.75" customHeight="1" x14ac:dyDescent="0.2">
      <c r="A1228" s="21"/>
      <c r="B1228" s="3" t="s">
        <v>16</v>
      </c>
      <c r="C1228" s="20"/>
      <c r="D1228" s="21"/>
    </row>
    <row r="1229" spans="1:4" ht="12.75" customHeight="1" x14ac:dyDescent="0.2">
      <c r="A1229" s="21"/>
      <c r="B1229" s="3" t="s">
        <v>17</v>
      </c>
      <c r="C1229" s="20"/>
      <c r="D1229" s="21"/>
    </row>
    <row r="1230" spans="1:4" ht="12.75" customHeight="1" x14ac:dyDescent="0.2">
      <c r="A1230" s="21"/>
      <c r="B1230" s="20" t="s">
        <v>18</v>
      </c>
      <c r="C1230" s="4" t="s">
        <v>67</v>
      </c>
      <c r="D1230" s="6" t="str">
        <f>HYPERLINK("javascript:void(0)","hiperium")</f>
        <v>hiperium</v>
      </c>
    </row>
    <row r="1231" spans="1:4" ht="12.75" customHeight="1" x14ac:dyDescent="0.2">
      <c r="A1231" s="21"/>
      <c r="B1231" s="21"/>
      <c r="C1231" s="4" t="s">
        <v>139</v>
      </c>
      <c r="D1231" s="6" t="str">
        <f>HYPERLINK("javascript:void(0)","diszprózium")</f>
        <v>diszprózium</v>
      </c>
    </row>
    <row r="1232" spans="1:4" ht="12.75" customHeight="1" x14ac:dyDescent="0.2">
      <c r="A1232" s="21"/>
      <c r="B1232" s="21"/>
      <c r="C1232" s="4" t="s">
        <v>67</v>
      </c>
      <c r="D1232" s="6" t="str">
        <f>HYPERLINK("javascript:void(0)","centrolium")</f>
        <v>centrolium</v>
      </c>
    </row>
    <row r="1233" spans="1:4" ht="12.75" customHeight="1" x14ac:dyDescent="0.2">
      <c r="A1233" s="5"/>
      <c r="B1233" s="2"/>
      <c r="C1233" s="2"/>
      <c r="D1233" s="2"/>
    </row>
    <row r="1234" spans="1:4" ht="12.75" customHeight="1" x14ac:dyDescent="0.2">
      <c r="A1234" s="22" t="str">
        <f>HYPERLINK("javascript:void(0)","rubin fejsze")</f>
        <v>rubin fejsze</v>
      </c>
      <c r="B1234" s="21"/>
      <c r="C1234" s="21"/>
      <c r="D1234" s="21"/>
    </row>
    <row r="1235" spans="1:4" ht="12.75" customHeight="1" x14ac:dyDescent="0.2">
      <c r="A1235" s="20"/>
      <c r="B1235" s="2"/>
      <c r="C1235" s="2"/>
      <c r="D1235" s="2"/>
    </row>
    <row r="1236" spans="1:4" ht="12.75" customHeight="1" x14ac:dyDescent="0.2">
      <c r="A1236" s="21"/>
      <c r="B1236" s="3" t="s">
        <v>0</v>
      </c>
      <c r="C1236" s="20" t="s">
        <v>38</v>
      </c>
      <c r="D1236" s="21"/>
    </row>
    <row r="1237" spans="1:4" ht="12.75" customHeight="1" x14ac:dyDescent="0.2">
      <c r="A1237" s="21"/>
      <c r="B1237" s="3" t="s">
        <v>2</v>
      </c>
      <c r="C1237" s="20" t="s">
        <v>1598</v>
      </c>
      <c r="D1237" s="21"/>
    </row>
    <row r="1238" spans="1:4" ht="12.75" customHeight="1" x14ac:dyDescent="0.2">
      <c r="A1238" s="21"/>
      <c r="B1238" s="3" t="s">
        <v>4</v>
      </c>
      <c r="C1238" s="20" t="s">
        <v>489</v>
      </c>
      <c r="D1238" s="21"/>
    </row>
    <row r="1239" spans="1:4" ht="12.75" customHeight="1" x14ac:dyDescent="0.2">
      <c r="A1239" s="21"/>
      <c r="B1239" s="3" t="s">
        <v>6</v>
      </c>
      <c r="C1239" s="20" t="s">
        <v>32</v>
      </c>
      <c r="D1239" s="21"/>
    </row>
    <row r="1240" spans="1:4" ht="12.75" customHeight="1" x14ac:dyDescent="0.2">
      <c r="A1240" s="21"/>
      <c r="B1240" s="3" t="s">
        <v>8</v>
      </c>
      <c r="C1240" s="20" t="s">
        <v>489</v>
      </c>
      <c r="D1240" s="21"/>
    </row>
    <row r="1241" spans="1:4" ht="12.75" customHeight="1" x14ac:dyDescent="0.2">
      <c r="A1241" s="21"/>
      <c r="B1241" s="3" t="s">
        <v>9</v>
      </c>
      <c r="C1241" s="20" t="s">
        <v>49</v>
      </c>
      <c r="D1241" s="21"/>
    </row>
    <row r="1242" spans="1:4" ht="12.75" customHeight="1" x14ac:dyDescent="0.2">
      <c r="A1242" s="21"/>
      <c r="B1242" s="3" t="s">
        <v>11</v>
      </c>
      <c r="C1242" s="20" t="s">
        <v>1296</v>
      </c>
      <c r="D1242" s="21"/>
    </row>
    <row r="1243" spans="1:4" ht="12.75" customHeight="1" x14ac:dyDescent="0.2">
      <c r="A1243" s="21"/>
      <c r="B1243" s="3" t="s">
        <v>13</v>
      </c>
      <c r="C1243" s="20" t="s">
        <v>24</v>
      </c>
      <c r="D1243" s="21"/>
    </row>
    <row r="1244" spans="1:4" ht="12.75" customHeight="1" x14ac:dyDescent="0.2">
      <c r="A1244" s="21"/>
      <c r="B1244" s="3" t="s">
        <v>15</v>
      </c>
      <c r="C1244" s="20" t="s">
        <v>14</v>
      </c>
      <c r="D1244" s="21"/>
    </row>
    <row r="1245" spans="1:4" ht="12.75" customHeight="1" x14ac:dyDescent="0.2">
      <c r="A1245" s="21"/>
      <c r="B1245" s="3" t="s">
        <v>16</v>
      </c>
      <c r="C1245" s="20"/>
      <c r="D1245" s="21"/>
    </row>
    <row r="1246" spans="1:4" ht="12.75" customHeight="1" x14ac:dyDescent="0.2">
      <c r="A1246" s="21"/>
      <c r="B1246" s="3" t="s">
        <v>17</v>
      </c>
      <c r="C1246" s="20"/>
      <c r="D1246" s="21"/>
    </row>
    <row r="1247" spans="1:4" ht="12.75" customHeight="1" x14ac:dyDescent="0.2">
      <c r="A1247" s="21"/>
      <c r="B1247" s="20" t="s">
        <v>18</v>
      </c>
      <c r="C1247" s="4" t="s">
        <v>44</v>
      </c>
      <c r="D1247" s="6" t="str">
        <f>HYPERLINK("javascript:void(0)","arany fejsze")</f>
        <v>arany fejsze</v>
      </c>
    </row>
    <row r="1248" spans="1:4" ht="12.75" customHeight="1" x14ac:dyDescent="0.2">
      <c r="A1248" s="21"/>
      <c r="B1248" s="21"/>
      <c r="C1248" s="4" t="s">
        <v>56</v>
      </c>
      <c r="D1248" s="6" t="str">
        <f>HYPERLINK("javascript:void(0)","gyémánt")</f>
        <v>gyémánt</v>
      </c>
    </row>
    <row r="1249" spans="1:4" ht="12.75" customHeight="1" x14ac:dyDescent="0.2">
      <c r="A1249" s="21"/>
      <c r="B1249" s="21"/>
      <c r="C1249" s="4" t="s">
        <v>55</v>
      </c>
      <c r="D1249" s="6" t="str">
        <f>HYPERLINK("javascript:void(0)","rubin")</f>
        <v>rubin</v>
      </c>
    </row>
    <row r="1250" spans="1:4" ht="12.75" customHeight="1" x14ac:dyDescent="0.2">
      <c r="A1250" s="5"/>
      <c r="B1250" s="2"/>
      <c r="C1250" s="2"/>
      <c r="D1250" s="2"/>
    </row>
    <row r="1251" spans="1:4" ht="12.75" customHeight="1" x14ac:dyDescent="0.2">
      <c r="A1251" s="22" t="str">
        <f>HYPERLINK("javascript:void(0)","démonacél szigony")</f>
        <v>démonacél szigony</v>
      </c>
      <c r="B1251" s="21"/>
      <c r="C1251" s="21"/>
      <c r="D1251" s="21"/>
    </row>
    <row r="1252" spans="1:4" ht="12.75" customHeight="1" x14ac:dyDescent="0.2">
      <c r="A1252" s="20"/>
      <c r="B1252" s="2"/>
      <c r="C1252" s="2"/>
      <c r="D1252" s="2"/>
    </row>
    <row r="1253" spans="1:4" ht="12.75" customHeight="1" x14ac:dyDescent="0.2">
      <c r="A1253" s="21"/>
      <c r="B1253" s="3" t="s">
        <v>0</v>
      </c>
      <c r="C1253" s="20" t="s">
        <v>38</v>
      </c>
      <c r="D1253" s="21"/>
    </row>
    <row r="1254" spans="1:4" ht="12.75" customHeight="1" x14ac:dyDescent="0.2">
      <c r="A1254" s="21"/>
      <c r="B1254" s="3" t="s">
        <v>2</v>
      </c>
      <c r="C1254" s="20" t="s">
        <v>1598</v>
      </c>
      <c r="D1254" s="21"/>
    </row>
    <row r="1255" spans="1:4" ht="12.75" customHeight="1" x14ac:dyDescent="0.2">
      <c r="A1255" s="21"/>
      <c r="B1255" s="3" t="s">
        <v>4</v>
      </c>
      <c r="C1255" s="20" t="s">
        <v>493</v>
      </c>
      <c r="D1255" s="21"/>
    </row>
    <row r="1256" spans="1:4" ht="12.75" customHeight="1" x14ac:dyDescent="0.2">
      <c r="A1256" s="21"/>
      <c r="B1256" s="3" t="s">
        <v>6</v>
      </c>
      <c r="C1256" s="20" t="s">
        <v>107</v>
      </c>
      <c r="D1256" s="21"/>
    </row>
    <row r="1257" spans="1:4" ht="12.75" customHeight="1" x14ac:dyDescent="0.2">
      <c r="A1257" s="21"/>
      <c r="B1257" s="3" t="s">
        <v>8</v>
      </c>
      <c r="C1257" s="20" t="s">
        <v>493</v>
      </c>
      <c r="D1257" s="21"/>
    </row>
    <row r="1258" spans="1:4" ht="12.75" customHeight="1" x14ac:dyDescent="0.2">
      <c r="A1258" s="21"/>
      <c r="B1258" s="3" t="s">
        <v>9</v>
      </c>
      <c r="C1258" s="20" t="s">
        <v>164</v>
      </c>
      <c r="D1258" s="21"/>
    </row>
    <row r="1259" spans="1:4" ht="12.75" customHeight="1" x14ac:dyDescent="0.2">
      <c r="A1259" s="21"/>
      <c r="B1259" s="3" t="s">
        <v>11</v>
      </c>
      <c r="C1259" s="20" t="s">
        <v>1797</v>
      </c>
      <c r="D1259" s="21"/>
    </row>
    <row r="1260" spans="1:4" ht="12.75" customHeight="1" x14ac:dyDescent="0.2">
      <c r="A1260" s="21"/>
      <c r="B1260" s="3" t="s">
        <v>13</v>
      </c>
      <c r="C1260" s="20" t="s">
        <v>24</v>
      </c>
      <c r="D1260" s="21"/>
    </row>
    <row r="1261" spans="1:4" ht="12.75" customHeight="1" x14ac:dyDescent="0.2">
      <c r="A1261" s="21"/>
      <c r="B1261" s="3" t="s">
        <v>15</v>
      </c>
      <c r="C1261" s="20" t="s">
        <v>14</v>
      </c>
      <c r="D1261" s="21"/>
    </row>
    <row r="1262" spans="1:4" ht="12.75" customHeight="1" x14ac:dyDescent="0.2">
      <c r="A1262" s="21"/>
      <c r="B1262" s="3" t="s">
        <v>16</v>
      </c>
      <c r="C1262" s="20"/>
      <c r="D1262" s="21"/>
    </row>
    <row r="1263" spans="1:4" ht="12.75" customHeight="1" x14ac:dyDescent="0.2">
      <c r="A1263" s="21"/>
      <c r="B1263" s="3" t="s">
        <v>17</v>
      </c>
      <c r="C1263" s="20"/>
      <c r="D1263" s="21"/>
    </row>
    <row r="1264" spans="1:4" ht="12.75" customHeight="1" x14ac:dyDescent="0.2">
      <c r="A1264" s="21"/>
      <c r="B1264" s="20" t="s">
        <v>18</v>
      </c>
      <c r="C1264" s="4" t="s">
        <v>57</v>
      </c>
      <c r="D1264" s="6" t="str">
        <f>HYPERLINK("javascript:void(0)","lari szigony")</f>
        <v>lari szigony</v>
      </c>
    </row>
    <row r="1265" spans="1:4" ht="12.75" customHeight="1" x14ac:dyDescent="0.2">
      <c r="A1265" s="21"/>
      <c r="B1265" s="21"/>
      <c r="C1265" s="4" t="s">
        <v>55</v>
      </c>
      <c r="D1265" s="6" t="str">
        <f>HYPERLINK("javascript:void(0)","kasza")</f>
        <v>kasza</v>
      </c>
    </row>
    <row r="1266" spans="1:4" ht="12.75" customHeight="1" x14ac:dyDescent="0.2">
      <c r="A1266" s="21"/>
      <c r="B1266" s="21"/>
      <c r="C1266" s="4" t="s">
        <v>55</v>
      </c>
      <c r="D1266" s="6" t="str">
        <f>HYPERLINK("javascript:void(0)","gyémánt")</f>
        <v>gyémánt</v>
      </c>
    </row>
    <row r="1267" spans="1:4" ht="12.75" customHeight="1" x14ac:dyDescent="0.2">
      <c r="A1267" s="5"/>
      <c r="B1267" s="2"/>
      <c r="C1267" s="2"/>
      <c r="D1267" s="2"/>
    </row>
    <row r="1268" spans="1:4" ht="12.75" customHeight="1" x14ac:dyDescent="0.2">
      <c r="A1268" s="22" t="str">
        <f>HYPERLINK("javascript:void(0)","dracoacél tőr")</f>
        <v>dracoacél tőr</v>
      </c>
      <c r="B1268" s="21"/>
      <c r="C1268" s="21"/>
      <c r="D1268" s="21"/>
    </row>
    <row r="1269" spans="1:4" ht="12.75" customHeight="1" x14ac:dyDescent="0.2">
      <c r="A1269" s="20"/>
      <c r="B1269" s="2"/>
      <c r="C1269" s="2"/>
      <c r="D1269" s="2"/>
    </row>
    <row r="1270" spans="1:4" ht="12.75" customHeight="1" x14ac:dyDescent="0.2">
      <c r="A1270" s="21"/>
      <c r="B1270" s="3" t="s">
        <v>0</v>
      </c>
      <c r="C1270" s="20" t="s">
        <v>38</v>
      </c>
      <c r="D1270" s="21"/>
    </row>
    <row r="1271" spans="1:4" ht="12.75" customHeight="1" x14ac:dyDescent="0.2">
      <c r="A1271" s="21"/>
      <c r="B1271" s="3" t="s">
        <v>2</v>
      </c>
      <c r="C1271" s="20" t="s">
        <v>1598</v>
      </c>
      <c r="D1271" s="21"/>
    </row>
    <row r="1272" spans="1:4" ht="12.75" customHeight="1" x14ac:dyDescent="0.2">
      <c r="A1272" s="21"/>
      <c r="B1272" s="3" t="s">
        <v>4</v>
      </c>
      <c r="C1272" s="20" t="s">
        <v>1798</v>
      </c>
      <c r="D1272" s="21"/>
    </row>
    <row r="1273" spans="1:4" ht="12.75" customHeight="1" x14ac:dyDescent="0.2">
      <c r="A1273" s="21"/>
      <c r="B1273" s="3" t="s">
        <v>6</v>
      </c>
      <c r="C1273" s="20" t="s">
        <v>40</v>
      </c>
      <c r="D1273" s="21"/>
    </row>
    <row r="1274" spans="1:4" ht="12.75" customHeight="1" x14ac:dyDescent="0.2">
      <c r="A1274" s="21"/>
      <c r="B1274" s="3" t="s">
        <v>8</v>
      </c>
      <c r="C1274" s="20" t="s">
        <v>1798</v>
      </c>
      <c r="D1274" s="21"/>
    </row>
    <row r="1275" spans="1:4" ht="12.75" customHeight="1" x14ac:dyDescent="0.2">
      <c r="A1275" s="21"/>
      <c r="B1275" s="3" t="s">
        <v>9</v>
      </c>
      <c r="C1275" s="20" t="s">
        <v>42</v>
      </c>
      <c r="D1275" s="21"/>
    </row>
    <row r="1276" spans="1:4" ht="12.75" customHeight="1" x14ac:dyDescent="0.2">
      <c r="A1276" s="21"/>
      <c r="B1276" s="3" t="s">
        <v>11</v>
      </c>
      <c r="C1276" s="20" t="s">
        <v>711</v>
      </c>
      <c r="D1276" s="21"/>
    </row>
    <row r="1277" spans="1:4" ht="12.75" customHeight="1" x14ac:dyDescent="0.2">
      <c r="A1277" s="21"/>
      <c r="B1277" s="3" t="s">
        <v>13</v>
      </c>
      <c r="C1277" s="20" t="s">
        <v>24</v>
      </c>
      <c r="D1277" s="21"/>
    </row>
    <row r="1278" spans="1:4" ht="12.75" customHeight="1" x14ac:dyDescent="0.2">
      <c r="A1278" s="21"/>
      <c r="B1278" s="3" t="s">
        <v>15</v>
      </c>
      <c r="C1278" s="20" t="s">
        <v>24</v>
      </c>
      <c r="D1278" s="21"/>
    </row>
    <row r="1279" spans="1:4" ht="12.75" customHeight="1" x14ac:dyDescent="0.2">
      <c r="A1279" s="21"/>
      <c r="B1279" s="3" t="s">
        <v>16</v>
      </c>
      <c r="C1279" s="20"/>
      <c r="D1279" s="21"/>
    </row>
    <row r="1280" spans="1:4" ht="12.75" customHeight="1" x14ac:dyDescent="0.2">
      <c r="A1280" s="21"/>
      <c r="B1280" s="3" t="s">
        <v>17</v>
      </c>
      <c r="C1280" s="20"/>
      <c r="D1280" s="21"/>
    </row>
    <row r="1281" spans="1:4" ht="12.75" customHeight="1" x14ac:dyDescent="0.2">
      <c r="A1281" s="21"/>
      <c r="B1281" s="20" t="s">
        <v>18</v>
      </c>
      <c r="C1281" s="4" t="s">
        <v>44</v>
      </c>
      <c r="D1281" s="6" t="str">
        <f>HYPERLINK("javascript:void(0)","démonacél tőr")</f>
        <v>démonacél tőr</v>
      </c>
    </row>
    <row r="1282" spans="1:4" ht="12.75" customHeight="1" x14ac:dyDescent="0.2">
      <c r="A1282" s="21"/>
      <c r="B1282" s="21"/>
      <c r="C1282" s="4" t="s">
        <v>232</v>
      </c>
      <c r="D1282" s="6" t="str">
        <f>HYPERLINK("javascript:void(0)","sárkánykarom")</f>
        <v>sárkánykarom</v>
      </c>
    </row>
    <row r="1283" spans="1:4" ht="12.75" customHeight="1" x14ac:dyDescent="0.2">
      <c r="A1283" s="21"/>
      <c r="B1283" s="21"/>
      <c r="C1283" s="4" t="s">
        <v>232</v>
      </c>
      <c r="D1283" s="6" t="str">
        <f>HYPERLINK("javascript:void(0)","sárkányfog")</f>
        <v>sárkányfog</v>
      </c>
    </row>
    <row r="1284" spans="1:4" ht="12.75" customHeight="1" x14ac:dyDescent="0.2">
      <c r="A1284" s="5"/>
      <c r="B1284" s="2"/>
      <c r="C1284" s="2"/>
      <c r="D1284" s="2"/>
    </row>
    <row r="1285" spans="1:4" ht="12.75" customHeight="1" x14ac:dyDescent="0.2">
      <c r="A1285" s="22" t="str">
        <f>HYPERLINK("javascript:void(0)","rozsdás bökő")</f>
        <v>rozsdás bökő</v>
      </c>
      <c r="B1285" s="21"/>
      <c r="C1285" s="21"/>
      <c r="D1285" s="21"/>
    </row>
    <row r="1286" spans="1:4" ht="12.75" customHeight="1" x14ac:dyDescent="0.2">
      <c r="A1286" s="20"/>
      <c r="B1286" s="2"/>
      <c r="C1286" s="2"/>
      <c r="D1286" s="2"/>
    </row>
    <row r="1287" spans="1:4" ht="12.75" customHeight="1" x14ac:dyDescent="0.2">
      <c r="A1287" s="21"/>
      <c r="B1287" s="3" t="s">
        <v>0</v>
      </c>
      <c r="C1287" s="20" t="s">
        <v>38</v>
      </c>
      <c r="D1287" s="21"/>
    </row>
    <row r="1288" spans="1:4" ht="12.75" customHeight="1" x14ac:dyDescent="0.2">
      <c r="A1288" s="21"/>
      <c r="B1288" s="3" t="s">
        <v>2</v>
      </c>
      <c r="C1288" s="20" t="s">
        <v>1598</v>
      </c>
      <c r="D1288" s="21"/>
    </row>
    <row r="1289" spans="1:4" ht="12.75" customHeight="1" x14ac:dyDescent="0.2">
      <c r="A1289" s="21"/>
      <c r="B1289" s="3" t="s">
        <v>4</v>
      </c>
      <c r="C1289" s="20" t="s">
        <v>1800</v>
      </c>
      <c r="D1289" s="21"/>
    </row>
    <row r="1290" spans="1:4" ht="12.75" customHeight="1" x14ac:dyDescent="0.2">
      <c r="A1290" s="21"/>
      <c r="B1290" s="3" t="s">
        <v>6</v>
      </c>
      <c r="C1290" s="20" t="s">
        <v>153</v>
      </c>
      <c r="D1290" s="21"/>
    </row>
    <row r="1291" spans="1:4" ht="12.75" customHeight="1" x14ac:dyDescent="0.2">
      <c r="A1291" s="21"/>
      <c r="B1291" s="3" t="s">
        <v>8</v>
      </c>
      <c r="C1291" s="20" t="s">
        <v>1800</v>
      </c>
      <c r="D1291" s="21"/>
    </row>
    <row r="1292" spans="1:4" ht="12.75" customHeight="1" x14ac:dyDescent="0.2">
      <c r="A1292" s="21"/>
      <c r="B1292" s="3" t="s">
        <v>9</v>
      </c>
      <c r="C1292" s="20" t="s">
        <v>210</v>
      </c>
      <c r="D1292" s="21"/>
    </row>
    <row r="1293" spans="1:4" ht="12.75" customHeight="1" x14ac:dyDescent="0.2">
      <c r="A1293" s="21"/>
      <c r="B1293" s="3" t="s">
        <v>11</v>
      </c>
      <c r="C1293" s="20" t="s">
        <v>1801</v>
      </c>
      <c r="D1293" s="21"/>
    </row>
    <row r="1294" spans="1:4" ht="12.75" customHeight="1" x14ac:dyDescent="0.2">
      <c r="A1294" s="21"/>
      <c r="B1294" s="3" t="s">
        <v>13</v>
      </c>
      <c r="C1294" s="20" t="s">
        <v>24</v>
      </c>
      <c r="D1294" s="21"/>
    </row>
    <row r="1295" spans="1:4" ht="12.75" customHeight="1" x14ac:dyDescent="0.2">
      <c r="A1295" s="21"/>
      <c r="B1295" s="3" t="s">
        <v>15</v>
      </c>
      <c r="C1295" s="20" t="s">
        <v>14</v>
      </c>
      <c r="D1295" s="21"/>
    </row>
    <row r="1296" spans="1:4" ht="12.75" customHeight="1" x14ac:dyDescent="0.2">
      <c r="A1296" s="21"/>
      <c r="B1296" s="3" t="s">
        <v>16</v>
      </c>
      <c r="C1296" s="20"/>
      <c r="D1296" s="21"/>
    </row>
    <row r="1297" spans="1:4" ht="12.75" customHeight="1" x14ac:dyDescent="0.2">
      <c r="A1297" s="21"/>
      <c r="B1297" s="3" t="s">
        <v>17</v>
      </c>
      <c r="C1297" s="20"/>
      <c r="D1297" s="21"/>
    </row>
    <row r="1298" spans="1:4" ht="12.75" customHeight="1" x14ac:dyDescent="0.2">
      <c r="A1298" s="21"/>
      <c r="B1298" s="20" t="s">
        <v>18</v>
      </c>
      <c r="C1298" s="4" t="s">
        <v>44</v>
      </c>
      <c r="D1298" s="6" t="str">
        <f>HYPERLINK("javascript:void(0)","dracoacél tőr")</f>
        <v>dracoacél tőr</v>
      </c>
    </row>
    <row r="1299" spans="1:4" ht="12.75" customHeight="1" x14ac:dyDescent="0.2">
      <c r="A1299" s="21"/>
      <c r="B1299" s="21"/>
      <c r="C1299" s="4" t="s">
        <v>68</v>
      </c>
      <c r="D1299" s="6" t="str">
        <f>HYPERLINK("javascript:void(0)","egoplazma")</f>
        <v>egoplazma</v>
      </c>
    </row>
    <row r="1300" spans="1:4" ht="12.75" customHeight="1" x14ac:dyDescent="0.2">
      <c r="A1300" s="21"/>
      <c r="B1300" s="21"/>
      <c r="C1300" s="4" t="s">
        <v>55</v>
      </c>
      <c r="D1300" s="6" t="str">
        <f>HYPERLINK("javascript:void(0)","lélegző sarokkő")</f>
        <v>lélegző sarokkő</v>
      </c>
    </row>
    <row r="1301" spans="1:4" ht="12.75" customHeight="1" x14ac:dyDescent="0.2">
      <c r="A1301" s="5"/>
      <c r="B1301" s="2"/>
      <c r="C1301" s="2"/>
      <c r="D1301" s="2"/>
    </row>
    <row r="1302" spans="1:4" ht="12.75" customHeight="1" x14ac:dyDescent="0.2">
      <c r="A1302" s="22" t="str">
        <f>HYPERLINK("javascript:void(0)","arany mágusölő")</f>
        <v>arany mágusölő</v>
      </c>
      <c r="B1302" s="21"/>
      <c r="C1302" s="21"/>
      <c r="D1302" s="21"/>
    </row>
    <row r="1303" spans="1:4" ht="12.75" customHeight="1" x14ac:dyDescent="0.2">
      <c r="A1303" s="20"/>
      <c r="B1303" s="2"/>
      <c r="C1303" s="2"/>
      <c r="D1303" s="2"/>
    </row>
    <row r="1304" spans="1:4" ht="12.75" customHeight="1" x14ac:dyDescent="0.2">
      <c r="A1304" s="21"/>
      <c r="B1304" s="3" t="s">
        <v>0</v>
      </c>
      <c r="C1304" s="20" t="s">
        <v>38</v>
      </c>
      <c r="D1304" s="21"/>
    </row>
    <row r="1305" spans="1:4" ht="12.75" customHeight="1" x14ac:dyDescent="0.2">
      <c r="A1305" s="21"/>
      <c r="B1305" s="3" t="s">
        <v>2</v>
      </c>
      <c r="C1305" s="20" t="s">
        <v>1598</v>
      </c>
      <c r="D1305" s="21"/>
    </row>
    <row r="1306" spans="1:4" ht="12.75" customHeight="1" x14ac:dyDescent="0.2">
      <c r="A1306" s="21"/>
      <c r="B1306" s="3" t="s">
        <v>4</v>
      </c>
      <c r="C1306" s="20" t="s">
        <v>493</v>
      </c>
      <c r="D1306" s="21"/>
    </row>
    <row r="1307" spans="1:4" ht="12.75" customHeight="1" x14ac:dyDescent="0.2">
      <c r="A1307" s="21"/>
      <c r="B1307" s="3" t="s">
        <v>6</v>
      </c>
      <c r="C1307" s="20" t="s">
        <v>48</v>
      </c>
      <c r="D1307" s="21"/>
    </row>
    <row r="1308" spans="1:4" ht="12.75" customHeight="1" x14ac:dyDescent="0.2">
      <c r="A1308" s="21"/>
      <c r="B1308" s="3" t="s">
        <v>8</v>
      </c>
      <c r="C1308" s="20" t="s">
        <v>493</v>
      </c>
      <c r="D1308" s="21"/>
    </row>
    <row r="1309" spans="1:4" ht="12.75" customHeight="1" x14ac:dyDescent="0.2">
      <c r="A1309" s="21"/>
      <c r="B1309" s="3" t="s">
        <v>9</v>
      </c>
      <c r="C1309" s="20" t="s">
        <v>377</v>
      </c>
      <c r="D1309" s="21"/>
    </row>
    <row r="1310" spans="1:4" ht="12.75" customHeight="1" x14ac:dyDescent="0.2">
      <c r="A1310" s="21"/>
      <c r="B1310" s="3" t="s">
        <v>11</v>
      </c>
      <c r="C1310" s="20" t="s">
        <v>177</v>
      </c>
      <c r="D1310" s="21"/>
    </row>
    <row r="1311" spans="1:4" ht="12.75" customHeight="1" x14ac:dyDescent="0.2">
      <c r="A1311" s="21"/>
      <c r="B1311" s="3" t="s">
        <v>13</v>
      </c>
      <c r="C1311" s="20" t="s">
        <v>14</v>
      </c>
      <c r="D1311" s="21"/>
    </row>
    <row r="1312" spans="1:4" ht="12.75" customHeight="1" x14ac:dyDescent="0.2">
      <c r="A1312" s="21"/>
      <c r="B1312" s="3" t="s">
        <v>15</v>
      </c>
      <c r="C1312" s="20" t="s">
        <v>24</v>
      </c>
      <c r="D1312" s="21"/>
    </row>
    <row r="1313" spans="1:4" ht="12.75" customHeight="1" x14ac:dyDescent="0.2">
      <c r="A1313" s="21"/>
      <c r="B1313" s="3" t="s">
        <v>16</v>
      </c>
      <c r="C1313" s="20"/>
      <c r="D1313" s="21"/>
    </row>
    <row r="1314" spans="1:4" ht="12.75" customHeight="1" x14ac:dyDescent="0.2">
      <c r="A1314" s="21"/>
      <c r="B1314" s="3" t="s">
        <v>17</v>
      </c>
      <c r="C1314" s="20"/>
      <c r="D1314" s="21"/>
    </row>
    <row r="1315" spans="1:4" ht="12.75" customHeight="1" x14ac:dyDescent="0.2">
      <c r="A1315" s="21"/>
      <c r="B1315" s="20" t="s">
        <v>18</v>
      </c>
      <c r="C1315" s="4" t="s">
        <v>44</v>
      </c>
      <c r="D1315" s="6" t="str">
        <f>HYPERLINK("javascript:void(0)","ezüst mágusölő")</f>
        <v>ezüst mágusölő</v>
      </c>
    </row>
    <row r="1316" spans="1:4" ht="12.75" customHeight="1" x14ac:dyDescent="0.2">
      <c r="A1316" s="21"/>
      <c r="B1316" s="21"/>
      <c r="C1316" s="4" t="s">
        <v>67</v>
      </c>
      <c r="D1316" s="6" t="str">
        <f>HYPERLINK("javascript:void(0)","agyar")</f>
        <v>agyar</v>
      </c>
    </row>
    <row r="1317" spans="1:4" ht="12.75" customHeight="1" x14ac:dyDescent="0.2">
      <c r="A1317" s="21"/>
      <c r="B1317" s="21"/>
      <c r="C1317" s="4" t="s">
        <v>323</v>
      </c>
      <c r="D1317" s="6" t="str">
        <f>HYPERLINK("javascript:void(0)","arany")</f>
        <v>arany</v>
      </c>
    </row>
    <row r="1318" spans="1:4" ht="12.75" customHeight="1" x14ac:dyDescent="0.2">
      <c r="A1318" s="5"/>
      <c r="B1318" s="2"/>
      <c r="C1318" s="2"/>
      <c r="D1318" s="2"/>
    </row>
    <row r="1319" spans="1:4" ht="12.75" customHeight="1" x14ac:dyDescent="0.2">
      <c r="A1319" s="22" t="str">
        <f>HYPERLINK("javascript:void(0)","dracoacél gigapallos")</f>
        <v>dracoacél gigapallos</v>
      </c>
      <c r="B1319" s="21"/>
      <c r="C1319" s="21"/>
      <c r="D1319" s="21"/>
    </row>
    <row r="1320" spans="1:4" ht="12.75" customHeight="1" x14ac:dyDescent="0.2">
      <c r="A1320" s="20"/>
      <c r="B1320" s="2"/>
      <c r="C1320" s="2"/>
      <c r="D1320" s="2"/>
    </row>
    <row r="1321" spans="1:4" ht="12.75" customHeight="1" x14ac:dyDescent="0.2">
      <c r="A1321" s="21"/>
      <c r="B1321" s="3" t="s">
        <v>0</v>
      </c>
      <c r="C1321" s="20" t="s">
        <v>38</v>
      </c>
      <c r="D1321" s="21"/>
    </row>
    <row r="1322" spans="1:4" ht="12.75" customHeight="1" x14ac:dyDescent="0.2">
      <c r="A1322" s="21"/>
      <c r="B1322" s="3" t="s">
        <v>2</v>
      </c>
      <c r="C1322" s="20" t="s">
        <v>1598</v>
      </c>
      <c r="D1322" s="21"/>
    </row>
    <row r="1323" spans="1:4" ht="12.75" customHeight="1" x14ac:dyDescent="0.2">
      <c r="A1323" s="21"/>
      <c r="B1323" s="3" t="s">
        <v>4</v>
      </c>
      <c r="C1323" s="20" t="s">
        <v>1802</v>
      </c>
      <c r="D1323" s="21"/>
    </row>
    <row r="1324" spans="1:4" ht="12.75" customHeight="1" x14ac:dyDescent="0.2">
      <c r="A1324" s="21"/>
      <c r="B1324" s="3" t="s">
        <v>6</v>
      </c>
      <c r="C1324" s="20" t="s">
        <v>21</v>
      </c>
      <c r="D1324" s="21"/>
    </row>
    <row r="1325" spans="1:4" ht="12.75" customHeight="1" x14ac:dyDescent="0.2">
      <c r="A1325" s="21"/>
      <c r="B1325" s="3" t="s">
        <v>8</v>
      </c>
      <c r="C1325" s="20" t="s">
        <v>1802</v>
      </c>
      <c r="D1325" s="21"/>
    </row>
    <row r="1326" spans="1:4" ht="12.75" customHeight="1" x14ac:dyDescent="0.2">
      <c r="A1326" s="21"/>
      <c r="B1326" s="3" t="s">
        <v>9</v>
      </c>
      <c r="C1326" s="20" t="s">
        <v>1803</v>
      </c>
      <c r="D1326" s="21"/>
    </row>
    <row r="1327" spans="1:4" ht="12.75" customHeight="1" x14ac:dyDescent="0.2">
      <c r="A1327" s="21"/>
      <c r="B1327" s="3" t="s">
        <v>11</v>
      </c>
      <c r="C1327" s="20" t="s">
        <v>238</v>
      </c>
      <c r="D1327" s="21"/>
    </row>
    <row r="1328" spans="1:4" ht="12.75" customHeight="1" x14ac:dyDescent="0.2">
      <c r="A1328" s="21"/>
      <c r="B1328" s="3" t="s">
        <v>13</v>
      </c>
      <c r="C1328" s="20" t="s">
        <v>24</v>
      </c>
      <c r="D1328" s="21"/>
    </row>
    <row r="1329" spans="1:4" ht="12.75" customHeight="1" x14ac:dyDescent="0.2">
      <c r="A1329" s="21"/>
      <c r="B1329" s="3" t="s">
        <v>15</v>
      </c>
      <c r="C1329" s="20" t="s">
        <v>24</v>
      </c>
      <c r="D1329" s="21"/>
    </row>
    <row r="1330" spans="1:4" ht="12.75" customHeight="1" x14ac:dyDescent="0.2">
      <c r="A1330" s="21"/>
      <c r="B1330" s="3" t="s">
        <v>16</v>
      </c>
      <c r="C1330" s="20"/>
      <c r="D1330" s="21"/>
    </row>
    <row r="1331" spans="1:4" ht="12.75" customHeight="1" x14ac:dyDescent="0.2">
      <c r="A1331" s="21"/>
      <c r="B1331" s="3" t="s">
        <v>17</v>
      </c>
      <c r="C1331" s="20"/>
      <c r="D1331" s="21"/>
    </row>
    <row r="1332" spans="1:4" ht="12.75" customHeight="1" x14ac:dyDescent="0.2">
      <c r="A1332" s="21"/>
      <c r="B1332" s="20" t="s">
        <v>18</v>
      </c>
      <c r="C1332" s="4" t="s">
        <v>139</v>
      </c>
      <c r="D1332" s="6" t="str">
        <f>HYPERLINK("javascript:void(0)","sárkány izom")</f>
        <v>sárkány izom</v>
      </c>
    </row>
    <row r="1333" spans="1:4" ht="12.75" customHeight="1" x14ac:dyDescent="0.2">
      <c r="A1333" s="21"/>
      <c r="B1333" s="21"/>
      <c r="C1333" s="4" t="s">
        <v>382</v>
      </c>
      <c r="D1333" s="6" t="str">
        <f>HYPERLINK("javascript:void(0)","sárkánypikkely")</f>
        <v>sárkánypikkely</v>
      </c>
    </row>
    <row r="1334" spans="1:4" ht="12.75" customHeight="1" x14ac:dyDescent="0.2">
      <c r="A1334" s="21"/>
      <c r="B1334" s="21"/>
      <c r="C1334" s="4" t="s">
        <v>193</v>
      </c>
      <c r="D1334" s="6" t="str">
        <f>HYPERLINK("javascript:void(0)","sárkányfog")</f>
        <v>sárkányfog</v>
      </c>
    </row>
    <row r="1335" spans="1:4" ht="12.75" customHeight="1" x14ac:dyDescent="0.2">
      <c r="A1335" s="5"/>
      <c r="B1335" s="2"/>
      <c r="C1335" s="2"/>
      <c r="D1335" s="2"/>
    </row>
    <row r="1336" spans="1:4" ht="12.75" customHeight="1" x14ac:dyDescent="0.2">
      <c r="A1336" s="22" t="str">
        <f>HYPERLINK("javascript:void(0)","gyémántkard")</f>
        <v>gyémántkard</v>
      </c>
      <c r="B1336" s="21"/>
      <c r="C1336" s="21"/>
      <c r="D1336" s="21"/>
    </row>
    <row r="1337" spans="1:4" ht="12.75" customHeight="1" x14ac:dyDescent="0.2">
      <c r="A1337" s="20"/>
      <c r="B1337" s="2"/>
      <c r="C1337" s="2"/>
      <c r="D1337" s="2"/>
    </row>
    <row r="1338" spans="1:4" ht="12.75" customHeight="1" x14ac:dyDescent="0.2">
      <c r="A1338" s="21"/>
      <c r="B1338" s="3" t="s">
        <v>0</v>
      </c>
      <c r="C1338" s="20" t="s">
        <v>206</v>
      </c>
      <c r="D1338" s="21"/>
    </row>
    <row r="1339" spans="1:4" ht="12.75" customHeight="1" x14ac:dyDescent="0.2">
      <c r="A1339" s="21"/>
      <c r="B1339" s="3" t="s">
        <v>2</v>
      </c>
      <c r="C1339" s="20" t="s">
        <v>1598</v>
      </c>
      <c r="D1339" s="21"/>
    </row>
    <row r="1340" spans="1:4" ht="12.75" customHeight="1" x14ac:dyDescent="0.2">
      <c r="A1340" s="21"/>
      <c r="B1340" s="3" t="s">
        <v>4</v>
      </c>
      <c r="C1340" s="20" t="s">
        <v>1773</v>
      </c>
      <c r="D1340" s="21"/>
    </row>
    <row r="1341" spans="1:4" ht="12.75" customHeight="1" x14ac:dyDescent="0.2">
      <c r="A1341" s="21"/>
      <c r="B1341" s="3" t="s">
        <v>6</v>
      </c>
      <c r="C1341" s="20" t="s">
        <v>26</v>
      </c>
      <c r="D1341" s="21"/>
    </row>
    <row r="1342" spans="1:4" ht="12.75" customHeight="1" x14ac:dyDescent="0.2">
      <c r="A1342" s="21"/>
      <c r="B1342" s="3" t="s">
        <v>8</v>
      </c>
      <c r="C1342" s="20" t="s">
        <v>1773</v>
      </c>
      <c r="D1342" s="21"/>
    </row>
    <row r="1343" spans="1:4" ht="12.75" customHeight="1" x14ac:dyDescent="0.2">
      <c r="A1343" s="21"/>
      <c r="B1343" s="3" t="s">
        <v>9</v>
      </c>
      <c r="C1343" s="20" t="s">
        <v>129</v>
      </c>
      <c r="D1343" s="21"/>
    </row>
    <row r="1344" spans="1:4" ht="12.75" customHeight="1" x14ac:dyDescent="0.2">
      <c r="A1344" s="21"/>
      <c r="B1344" s="3" t="s">
        <v>11</v>
      </c>
      <c r="C1344" s="20" t="s">
        <v>505</v>
      </c>
      <c r="D1344" s="21"/>
    </row>
    <row r="1345" spans="1:4" ht="12.75" customHeight="1" x14ac:dyDescent="0.2">
      <c r="A1345" s="21"/>
      <c r="B1345" s="3" t="s">
        <v>13</v>
      </c>
      <c r="C1345" s="20" t="s">
        <v>24</v>
      </c>
      <c r="D1345" s="21"/>
    </row>
    <row r="1346" spans="1:4" ht="12.75" customHeight="1" x14ac:dyDescent="0.2">
      <c r="A1346" s="21"/>
      <c r="B1346" s="3" t="s">
        <v>15</v>
      </c>
      <c r="C1346" s="20" t="s">
        <v>24</v>
      </c>
      <c r="D1346" s="21"/>
    </row>
    <row r="1347" spans="1:4" ht="12.75" customHeight="1" x14ac:dyDescent="0.2">
      <c r="A1347" s="21"/>
      <c r="B1347" s="3" t="s">
        <v>16</v>
      </c>
      <c r="C1347" s="20"/>
      <c r="D1347" s="21"/>
    </row>
    <row r="1348" spans="1:4" ht="12.75" customHeight="1" x14ac:dyDescent="0.2">
      <c r="A1348" s="21"/>
      <c r="B1348" s="3" t="s">
        <v>17</v>
      </c>
      <c r="C1348" s="20"/>
      <c r="D1348" s="21"/>
    </row>
    <row r="1349" spans="1:4" ht="12.75" customHeight="1" x14ac:dyDescent="0.2">
      <c r="A1349" s="21"/>
      <c r="B1349" s="20" t="s">
        <v>18</v>
      </c>
      <c r="C1349" s="4" t="s">
        <v>44</v>
      </c>
      <c r="D1349" s="6" t="str">
        <f>HYPERLINK("javascript:void(0)","lovagi kard")</f>
        <v>lovagi kard</v>
      </c>
    </row>
    <row r="1350" spans="1:4" ht="12.75" customHeight="1" x14ac:dyDescent="0.2">
      <c r="A1350" s="21"/>
      <c r="B1350" s="21"/>
      <c r="C1350" s="4" t="s">
        <v>55</v>
      </c>
      <c r="D1350" s="6" t="str">
        <f>HYPERLINK("javascript:void(0)","gyémánt")</f>
        <v>gyémánt</v>
      </c>
    </row>
    <row r="1351" spans="1:4" ht="12.75" customHeight="1" x14ac:dyDescent="0.2">
      <c r="A1351" s="21"/>
      <c r="B1351" s="21"/>
      <c r="C1351" s="4" t="s">
        <v>77</v>
      </c>
      <c r="D1351" s="6" t="str">
        <f>HYPERLINK("javascript:void(0)","szemhéj")</f>
        <v>szemhéj</v>
      </c>
    </row>
    <row r="1352" spans="1:4" ht="12.75" customHeight="1" x14ac:dyDescent="0.2">
      <c r="A1352" s="5"/>
      <c r="B1352" s="2"/>
      <c r="C1352" s="2"/>
      <c r="D1352" s="2"/>
    </row>
    <row r="1353" spans="1:4" ht="12.75" customHeight="1" x14ac:dyDescent="0.2">
      <c r="A1353" s="22" t="str">
        <f>HYPERLINK("javascript:void(0)","óriás fejsze")</f>
        <v>óriás fejsze</v>
      </c>
      <c r="B1353" s="21"/>
      <c r="C1353" s="21"/>
      <c r="D1353" s="21"/>
    </row>
    <row r="1354" spans="1:4" ht="12.75" customHeight="1" x14ac:dyDescent="0.2">
      <c r="A1354" s="20"/>
      <c r="B1354" s="2"/>
      <c r="C1354" s="2"/>
      <c r="D1354" s="2"/>
    </row>
    <row r="1355" spans="1:4" ht="12.75" customHeight="1" x14ac:dyDescent="0.2">
      <c r="A1355" s="21"/>
      <c r="B1355" s="3" t="s">
        <v>0</v>
      </c>
      <c r="C1355" s="20" t="s">
        <v>206</v>
      </c>
      <c r="D1355" s="21"/>
    </row>
    <row r="1356" spans="1:4" ht="12.75" customHeight="1" x14ac:dyDescent="0.2">
      <c r="A1356" s="21"/>
      <c r="B1356" s="3" t="s">
        <v>2</v>
      </c>
      <c r="C1356" s="20" t="s">
        <v>1598</v>
      </c>
      <c r="D1356" s="21"/>
    </row>
    <row r="1357" spans="1:4" ht="12.75" customHeight="1" x14ac:dyDescent="0.2">
      <c r="A1357" s="21"/>
      <c r="B1357" s="3" t="s">
        <v>4</v>
      </c>
      <c r="C1357" s="20" t="s">
        <v>496</v>
      </c>
      <c r="D1357" s="21"/>
    </row>
    <row r="1358" spans="1:4" ht="12.75" customHeight="1" x14ac:dyDescent="0.2">
      <c r="A1358" s="21"/>
      <c r="B1358" s="3" t="s">
        <v>6</v>
      </c>
      <c r="C1358" s="20" t="s">
        <v>32</v>
      </c>
      <c r="D1358" s="21"/>
    </row>
    <row r="1359" spans="1:4" ht="12.75" customHeight="1" x14ac:dyDescent="0.2">
      <c r="A1359" s="21"/>
      <c r="B1359" s="3" t="s">
        <v>8</v>
      </c>
      <c r="C1359" s="20" t="s">
        <v>496</v>
      </c>
      <c r="D1359" s="21"/>
    </row>
    <row r="1360" spans="1:4" ht="12.75" customHeight="1" x14ac:dyDescent="0.2">
      <c r="A1360" s="21"/>
      <c r="B1360" s="3" t="s">
        <v>9</v>
      </c>
      <c r="C1360" s="20" t="s">
        <v>569</v>
      </c>
      <c r="D1360" s="21"/>
    </row>
    <row r="1361" spans="1:4" ht="12.75" customHeight="1" x14ac:dyDescent="0.2">
      <c r="A1361" s="21"/>
      <c r="B1361" s="3" t="s">
        <v>11</v>
      </c>
      <c r="C1361" s="20" t="s">
        <v>1804</v>
      </c>
      <c r="D1361" s="21"/>
    </row>
    <row r="1362" spans="1:4" ht="12.75" customHeight="1" x14ac:dyDescent="0.2">
      <c r="A1362" s="21"/>
      <c r="B1362" s="3" t="s">
        <v>13</v>
      </c>
      <c r="C1362" s="20" t="s">
        <v>24</v>
      </c>
      <c r="D1362" s="21"/>
    </row>
    <row r="1363" spans="1:4" ht="12.75" customHeight="1" x14ac:dyDescent="0.2">
      <c r="A1363" s="21"/>
      <c r="B1363" s="3" t="s">
        <v>15</v>
      </c>
      <c r="C1363" s="20" t="s">
        <v>14</v>
      </c>
      <c r="D1363" s="21"/>
    </row>
    <row r="1364" spans="1:4" ht="12.75" customHeight="1" x14ac:dyDescent="0.2">
      <c r="A1364" s="21"/>
      <c r="B1364" s="3" t="s">
        <v>16</v>
      </c>
      <c r="C1364" s="20"/>
      <c r="D1364" s="21"/>
    </row>
    <row r="1365" spans="1:4" ht="12.75" customHeight="1" x14ac:dyDescent="0.2">
      <c r="A1365" s="21"/>
      <c r="B1365" s="3" t="s">
        <v>17</v>
      </c>
      <c r="C1365" s="20"/>
      <c r="D1365" s="21"/>
    </row>
    <row r="1366" spans="1:4" ht="12.75" customHeight="1" x14ac:dyDescent="0.2">
      <c r="A1366" s="21"/>
      <c r="B1366" s="20" t="s">
        <v>18</v>
      </c>
      <c r="C1366" s="4" t="s">
        <v>56</v>
      </c>
      <c r="D1366" s="6" t="str">
        <f>HYPERLINK("javascript:void(0)","rubin fejsze")</f>
        <v>rubin fejsze</v>
      </c>
    </row>
    <row r="1367" spans="1:4" ht="12.75" customHeight="1" x14ac:dyDescent="0.2">
      <c r="A1367" s="21"/>
      <c r="B1367" s="21"/>
      <c r="C1367" s="4" t="s">
        <v>44</v>
      </c>
      <c r="D1367" s="6" t="str">
        <f>HYPERLINK("javascript:void(0)","diszprózium")</f>
        <v>diszprózium</v>
      </c>
    </row>
    <row r="1368" spans="1:4" ht="12.75" customHeight="1" x14ac:dyDescent="0.2">
      <c r="A1368" s="21"/>
      <c r="B1368" s="21"/>
      <c r="C1368" s="4" t="s">
        <v>139</v>
      </c>
      <c r="D1368" s="6" t="str">
        <f>HYPERLINK("javascript:void(0)","arany")</f>
        <v>arany</v>
      </c>
    </row>
    <row r="1369" spans="1:4" ht="12.75" customHeight="1" x14ac:dyDescent="0.2">
      <c r="A1369" s="5"/>
      <c r="B1369" s="2"/>
      <c r="C1369" s="2"/>
      <c r="D1369" s="2"/>
    </row>
    <row r="1370" spans="1:4" ht="12.75" customHeight="1" x14ac:dyDescent="0.2">
      <c r="A1370" s="22" t="str">
        <f>HYPERLINK("javascript:void(0)","hidracél kasza")</f>
        <v>hidracél kasza</v>
      </c>
      <c r="B1370" s="21"/>
      <c r="C1370" s="21"/>
      <c r="D1370" s="21"/>
    </row>
    <row r="1371" spans="1:4" ht="12.75" customHeight="1" x14ac:dyDescent="0.2">
      <c r="A1371" s="20"/>
      <c r="B1371" s="2"/>
      <c r="C1371" s="2"/>
      <c r="D1371" s="2"/>
    </row>
    <row r="1372" spans="1:4" ht="12.75" customHeight="1" x14ac:dyDescent="0.2">
      <c r="A1372" s="21"/>
      <c r="B1372" s="3" t="s">
        <v>0</v>
      </c>
      <c r="C1372" s="20" t="s">
        <v>206</v>
      </c>
      <c r="D1372" s="21"/>
    </row>
    <row r="1373" spans="1:4" ht="12.75" customHeight="1" x14ac:dyDescent="0.2">
      <c r="A1373" s="21"/>
      <c r="B1373" s="3" t="s">
        <v>2</v>
      </c>
      <c r="C1373" s="20" t="s">
        <v>1598</v>
      </c>
      <c r="D1373" s="21"/>
    </row>
    <row r="1374" spans="1:4" ht="12.75" customHeight="1" x14ac:dyDescent="0.2">
      <c r="A1374" s="21"/>
      <c r="B1374" s="3" t="s">
        <v>4</v>
      </c>
      <c r="C1374" s="20" t="s">
        <v>1805</v>
      </c>
      <c r="D1374" s="21"/>
    </row>
    <row r="1375" spans="1:4" ht="12.75" customHeight="1" x14ac:dyDescent="0.2">
      <c r="A1375" s="21"/>
      <c r="B1375" s="3" t="s">
        <v>6</v>
      </c>
      <c r="C1375" s="20" t="s">
        <v>298</v>
      </c>
      <c r="D1375" s="21"/>
    </row>
    <row r="1376" spans="1:4" ht="12.75" customHeight="1" x14ac:dyDescent="0.2">
      <c r="A1376" s="21"/>
      <c r="B1376" s="3" t="s">
        <v>8</v>
      </c>
      <c r="C1376" s="20" t="s">
        <v>1805</v>
      </c>
      <c r="D1376" s="21"/>
    </row>
    <row r="1377" spans="1:4" ht="12.75" customHeight="1" x14ac:dyDescent="0.2">
      <c r="A1377" s="21"/>
      <c r="B1377" s="3" t="s">
        <v>9</v>
      </c>
      <c r="C1377" s="20" t="s">
        <v>433</v>
      </c>
      <c r="D1377" s="21"/>
    </row>
    <row r="1378" spans="1:4" ht="12.75" customHeight="1" x14ac:dyDescent="0.2">
      <c r="A1378" s="21"/>
      <c r="B1378" s="3" t="s">
        <v>11</v>
      </c>
      <c r="C1378" s="20" t="s">
        <v>1806</v>
      </c>
      <c r="D1378" s="21"/>
    </row>
    <row r="1379" spans="1:4" ht="12.75" customHeight="1" x14ac:dyDescent="0.2">
      <c r="A1379" s="21"/>
      <c r="B1379" s="3" t="s">
        <v>13</v>
      </c>
      <c r="C1379" s="20" t="s">
        <v>14</v>
      </c>
      <c r="D1379" s="21"/>
    </row>
    <row r="1380" spans="1:4" ht="12.75" customHeight="1" x14ac:dyDescent="0.2">
      <c r="A1380" s="21"/>
      <c r="B1380" s="3" t="s">
        <v>15</v>
      </c>
      <c r="C1380" s="20" t="s">
        <v>24</v>
      </c>
      <c r="D1380" s="21"/>
    </row>
    <row r="1381" spans="1:4" ht="12.75" customHeight="1" x14ac:dyDescent="0.2">
      <c r="A1381" s="21"/>
      <c r="B1381" s="3" t="s">
        <v>16</v>
      </c>
      <c r="C1381" s="20"/>
      <c r="D1381" s="21"/>
    </row>
    <row r="1382" spans="1:4" ht="12.75" customHeight="1" x14ac:dyDescent="0.2">
      <c r="A1382" s="21"/>
      <c r="B1382" s="3" t="s">
        <v>17</v>
      </c>
      <c r="C1382" s="20"/>
      <c r="D1382" s="21"/>
    </row>
    <row r="1383" spans="1:4" ht="12.75" customHeight="1" x14ac:dyDescent="0.2">
      <c r="A1383" s="21"/>
      <c r="B1383" s="20" t="s">
        <v>18</v>
      </c>
      <c r="C1383" s="4" t="s">
        <v>57</v>
      </c>
      <c r="D1383" s="6" t="str">
        <f>HYPERLINK("javascript:void(0)","kasza")</f>
        <v>kasza</v>
      </c>
    </row>
    <row r="1384" spans="1:4" ht="12.75" customHeight="1" x14ac:dyDescent="0.2">
      <c r="A1384" s="21"/>
      <c r="B1384" s="21"/>
      <c r="C1384" s="4" t="s">
        <v>244</v>
      </c>
      <c r="D1384" s="6" t="str">
        <f>HYPERLINK("javascript:void(0)","szén-hidragén")</f>
        <v>szén-hidragén</v>
      </c>
    </row>
    <row r="1385" spans="1:4" ht="12.75" customHeight="1" x14ac:dyDescent="0.2">
      <c r="A1385" s="21"/>
      <c r="B1385" s="21"/>
      <c r="C1385" s="4" t="s">
        <v>1807</v>
      </c>
      <c r="D1385" s="6" t="str">
        <f>HYPERLINK("javascript:void(0)","ezüst")</f>
        <v>ezüst</v>
      </c>
    </row>
    <row r="1386" spans="1:4" ht="12.75" customHeight="1" x14ac:dyDescent="0.2">
      <c r="A1386" s="5"/>
      <c r="B1386" s="2"/>
      <c r="C1386" s="2"/>
      <c r="D1386" s="2"/>
    </row>
    <row r="1387" spans="1:4" ht="12.75" customHeight="1" x14ac:dyDescent="0.2">
      <c r="A1387" s="22" t="str">
        <f>HYPERLINK("javascript:void(0)","elfacél tőr")</f>
        <v>elfacél tőr</v>
      </c>
      <c r="B1387" s="21"/>
      <c r="C1387" s="21"/>
      <c r="D1387" s="21"/>
    </row>
    <row r="1388" spans="1:4" ht="12.75" customHeight="1" x14ac:dyDescent="0.2">
      <c r="A1388" s="20"/>
      <c r="B1388" s="2"/>
      <c r="C1388" s="2"/>
      <c r="D1388" s="2"/>
    </row>
    <row r="1389" spans="1:4" ht="12.75" customHeight="1" x14ac:dyDescent="0.2">
      <c r="A1389" s="21"/>
      <c r="B1389" s="3" t="s">
        <v>0</v>
      </c>
      <c r="C1389" s="20" t="s">
        <v>206</v>
      </c>
      <c r="D1389" s="21"/>
    </row>
    <row r="1390" spans="1:4" ht="12.75" customHeight="1" x14ac:dyDescent="0.2">
      <c r="A1390" s="21"/>
      <c r="B1390" s="3" t="s">
        <v>2</v>
      </c>
      <c r="C1390" s="20" t="s">
        <v>1598</v>
      </c>
      <c r="D1390" s="21"/>
    </row>
    <row r="1391" spans="1:4" ht="12.75" customHeight="1" x14ac:dyDescent="0.2">
      <c r="A1391" s="21"/>
      <c r="B1391" s="3" t="s">
        <v>4</v>
      </c>
      <c r="C1391" s="20" t="s">
        <v>1808</v>
      </c>
      <c r="D1391" s="21"/>
    </row>
    <row r="1392" spans="1:4" ht="12.75" customHeight="1" x14ac:dyDescent="0.2">
      <c r="A1392" s="21"/>
      <c r="B1392" s="3" t="s">
        <v>6</v>
      </c>
      <c r="C1392" s="20" t="s">
        <v>435</v>
      </c>
      <c r="D1392" s="21"/>
    </row>
    <row r="1393" spans="1:4" ht="12.75" customHeight="1" x14ac:dyDescent="0.2">
      <c r="A1393" s="21"/>
      <c r="B1393" s="3" t="s">
        <v>8</v>
      </c>
      <c r="C1393" s="20" t="s">
        <v>1808</v>
      </c>
      <c r="D1393" s="21"/>
    </row>
    <row r="1394" spans="1:4" ht="12.75" customHeight="1" x14ac:dyDescent="0.2">
      <c r="A1394" s="21"/>
      <c r="B1394" s="3" t="s">
        <v>9</v>
      </c>
      <c r="C1394" s="20" t="s">
        <v>22</v>
      </c>
      <c r="D1394" s="21"/>
    </row>
    <row r="1395" spans="1:4" ht="12.75" customHeight="1" x14ac:dyDescent="0.2">
      <c r="A1395" s="21"/>
      <c r="B1395" s="3" t="s">
        <v>11</v>
      </c>
      <c r="C1395" s="20" t="s">
        <v>1809</v>
      </c>
      <c r="D1395" s="21"/>
    </row>
    <row r="1396" spans="1:4" ht="12.75" customHeight="1" x14ac:dyDescent="0.2">
      <c r="A1396" s="21"/>
      <c r="B1396" s="3" t="s">
        <v>13</v>
      </c>
      <c r="C1396" s="20" t="s">
        <v>24</v>
      </c>
      <c r="D1396" s="21"/>
    </row>
    <row r="1397" spans="1:4" ht="12.75" customHeight="1" x14ac:dyDescent="0.2">
      <c r="A1397" s="21"/>
      <c r="B1397" s="3" t="s">
        <v>15</v>
      </c>
      <c r="C1397" s="20" t="s">
        <v>24</v>
      </c>
      <c r="D1397" s="21"/>
    </row>
    <row r="1398" spans="1:4" ht="12.75" customHeight="1" x14ac:dyDescent="0.2">
      <c r="A1398" s="21"/>
      <c r="B1398" s="3" t="s">
        <v>16</v>
      </c>
      <c r="C1398" s="20"/>
      <c r="D1398" s="21"/>
    </row>
    <row r="1399" spans="1:4" ht="12.75" customHeight="1" x14ac:dyDescent="0.2">
      <c r="A1399" s="21"/>
      <c r="B1399" s="3" t="s">
        <v>17</v>
      </c>
      <c r="C1399" s="20"/>
      <c r="D1399" s="21"/>
    </row>
    <row r="1400" spans="1:4" ht="12.75" customHeight="1" x14ac:dyDescent="0.2">
      <c r="A1400" s="21"/>
      <c r="B1400" s="20" t="s">
        <v>18</v>
      </c>
      <c r="C1400" s="4" t="s">
        <v>44</v>
      </c>
      <c r="D1400" s="6" t="str">
        <f>HYPERLINK("javascript:void(0)","hidracél tőr")</f>
        <v>hidracél tőr</v>
      </c>
    </row>
    <row r="1401" spans="1:4" ht="12.75" customHeight="1" x14ac:dyDescent="0.2">
      <c r="A1401" s="21"/>
      <c r="B1401" s="21"/>
      <c r="C1401" s="4" t="s">
        <v>56</v>
      </c>
      <c r="D1401" s="6" t="str">
        <f>HYPERLINK("javascript:void(0)","platinarugó")</f>
        <v>platinarugó</v>
      </c>
    </row>
    <row r="1402" spans="1:4" ht="12.75" customHeight="1" x14ac:dyDescent="0.2">
      <c r="A1402" s="21"/>
      <c r="B1402" s="21"/>
      <c r="C1402" s="4" t="s">
        <v>109</v>
      </c>
      <c r="D1402" s="6" t="str">
        <f>HYPERLINK("javascript:void(0)","smaragd")</f>
        <v>smaragd</v>
      </c>
    </row>
    <row r="1403" spans="1:4" ht="12.75" customHeight="1" x14ac:dyDescent="0.2">
      <c r="A1403" s="5"/>
      <c r="B1403" s="2"/>
      <c r="C1403" s="2"/>
      <c r="D1403" s="2"/>
    </row>
    <row r="1404" spans="1:4" ht="12.75" customHeight="1" x14ac:dyDescent="0.2">
      <c r="A1404" s="22" t="str">
        <f>HYPERLINK("javascript:void(0)","dracoacél szablya")</f>
        <v>dracoacél szablya</v>
      </c>
      <c r="B1404" s="21"/>
      <c r="C1404" s="21"/>
      <c r="D1404" s="21"/>
    </row>
    <row r="1405" spans="1:4" ht="12.75" customHeight="1" x14ac:dyDescent="0.2">
      <c r="A1405" s="20"/>
      <c r="B1405" s="2"/>
      <c r="C1405" s="2"/>
      <c r="D1405" s="2"/>
    </row>
    <row r="1406" spans="1:4" ht="12.75" customHeight="1" x14ac:dyDescent="0.2">
      <c r="A1406" s="21"/>
      <c r="B1406" s="3" t="s">
        <v>0</v>
      </c>
      <c r="C1406" s="20" t="s">
        <v>221</v>
      </c>
      <c r="D1406" s="21"/>
    </row>
    <row r="1407" spans="1:4" ht="12.75" customHeight="1" x14ac:dyDescent="0.2">
      <c r="A1407" s="21"/>
      <c r="B1407" s="3" t="s">
        <v>2</v>
      </c>
      <c r="C1407" s="20" t="s">
        <v>1598</v>
      </c>
      <c r="D1407" s="21"/>
    </row>
    <row r="1408" spans="1:4" ht="12.75" customHeight="1" x14ac:dyDescent="0.2">
      <c r="A1408" s="21"/>
      <c r="B1408" s="3" t="s">
        <v>4</v>
      </c>
      <c r="C1408" s="20" t="s">
        <v>1808</v>
      </c>
      <c r="D1408" s="21"/>
    </row>
    <row r="1409" spans="1:4" ht="12.75" customHeight="1" x14ac:dyDescent="0.2">
      <c r="A1409" s="21"/>
      <c r="B1409" s="3" t="s">
        <v>6</v>
      </c>
      <c r="C1409" s="20" t="s">
        <v>159</v>
      </c>
      <c r="D1409" s="21"/>
    </row>
    <row r="1410" spans="1:4" ht="12.75" customHeight="1" x14ac:dyDescent="0.2">
      <c r="A1410" s="21"/>
      <c r="B1410" s="3" t="s">
        <v>8</v>
      </c>
      <c r="C1410" s="20" t="s">
        <v>1808</v>
      </c>
      <c r="D1410" s="21"/>
    </row>
    <row r="1411" spans="1:4" ht="12.75" customHeight="1" x14ac:dyDescent="0.2">
      <c r="A1411" s="21"/>
      <c r="B1411" s="3" t="s">
        <v>9</v>
      </c>
      <c r="C1411" s="20" t="s">
        <v>962</v>
      </c>
      <c r="D1411" s="21"/>
    </row>
    <row r="1412" spans="1:4" ht="12.75" customHeight="1" x14ac:dyDescent="0.2">
      <c r="A1412" s="21"/>
      <c r="B1412" s="3" t="s">
        <v>11</v>
      </c>
      <c r="C1412" s="20" t="s">
        <v>749</v>
      </c>
      <c r="D1412" s="21"/>
    </row>
    <row r="1413" spans="1:4" ht="12.75" customHeight="1" x14ac:dyDescent="0.2">
      <c r="A1413" s="21"/>
      <c r="B1413" s="3" t="s">
        <v>13</v>
      </c>
      <c r="C1413" s="20" t="s">
        <v>24</v>
      </c>
      <c r="D1413" s="21"/>
    </row>
    <row r="1414" spans="1:4" ht="12.75" customHeight="1" x14ac:dyDescent="0.2">
      <c r="A1414" s="21"/>
      <c r="B1414" s="3" t="s">
        <v>15</v>
      </c>
      <c r="C1414" s="20" t="s">
        <v>24</v>
      </c>
      <c r="D1414" s="21"/>
    </row>
    <row r="1415" spans="1:4" ht="12.75" customHeight="1" x14ac:dyDescent="0.2">
      <c r="A1415" s="21"/>
      <c r="B1415" s="3" t="s">
        <v>16</v>
      </c>
      <c r="C1415" s="20"/>
      <c r="D1415" s="21"/>
    </row>
    <row r="1416" spans="1:4" ht="12.75" customHeight="1" x14ac:dyDescent="0.2">
      <c r="A1416" s="21"/>
      <c r="B1416" s="3" t="s">
        <v>17</v>
      </c>
      <c r="C1416" s="20"/>
      <c r="D1416" s="21"/>
    </row>
    <row r="1417" spans="1:4" ht="12.75" customHeight="1" x14ac:dyDescent="0.2">
      <c r="A1417" s="21"/>
      <c r="B1417" s="20" t="s">
        <v>18</v>
      </c>
      <c r="C1417" s="4" t="s">
        <v>44</v>
      </c>
      <c r="D1417" s="6" t="str">
        <f>HYPERLINK("javascript:void(0)","démonacél szablya")</f>
        <v>démonacél szablya</v>
      </c>
    </row>
    <row r="1418" spans="1:4" ht="12.75" customHeight="1" x14ac:dyDescent="0.2">
      <c r="A1418" s="21"/>
      <c r="B1418" s="21"/>
      <c r="C1418" s="4" t="s">
        <v>196</v>
      </c>
      <c r="D1418" s="6" t="str">
        <f>HYPERLINK("javascript:void(0)","sárkányfog")</f>
        <v>sárkányfog</v>
      </c>
    </row>
    <row r="1419" spans="1:4" ht="12.75" customHeight="1" x14ac:dyDescent="0.2">
      <c r="A1419" s="21"/>
      <c r="B1419" s="21"/>
      <c r="C1419" s="4" t="s">
        <v>68</v>
      </c>
      <c r="D1419" s="6" t="str">
        <f>HYPERLINK("javascript:void(0)","sárkánypikkely")</f>
        <v>sárkánypikkely</v>
      </c>
    </row>
    <row r="1420" spans="1:4" ht="12.75" customHeight="1" x14ac:dyDescent="0.2">
      <c r="A1420" s="5"/>
      <c r="B1420" s="2"/>
      <c r="C1420" s="2"/>
      <c r="D1420" s="2"/>
    </row>
    <row r="1421" spans="1:4" ht="12.75" customHeight="1" x14ac:dyDescent="0.2">
      <c r="A1421" s="22" t="str">
        <f>HYPERLINK("javascript:void(0)","rubin mágusölő")</f>
        <v>rubin mágusölő</v>
      </c>
      <c r="B1421" s="21"/>
      <c r="C1421" s="21"/>
      <c r="D1421" s="21"/>
    </row>
    <row r="1422" spans="1:4" ht="12.75" customHeight="1" x14ac:dyDescent="0.2">
      <c r="A1422" s="20"/>
      <c r="B1422" s="2"/>
      <c r="C1422" s="2"/>
      <c r="D1422" s="2"/>
    </row>
    <row r="1423" spans="1:4" ht="12.75" customHeight="1" x14ac:dyDescent="0.2">
      <c r="A1423" s="21"/>
      <c r="B1423" s="3" t="s">
        <v>0</v>
      </c>
      <c r="C1423" s="20" t="s">
        <v>221</v>
      </c>
      <c r="D1423" s="21"/>
    </row>
    <row r="1424" spans="1:4" ht="12.75" customHeight="1" x14ac:dyDescent="0.2">
      <c r="A1424" s="21"/>
      <c r="B1424" s="3" t="s">
        <v>2</v>
      </c>
      <c r="C1424" s="20" t="s">
        <v>1598</v>
      </c>
      <c r="D1424" s="21"/>
    </row>
    <row r="1425" spans="1:4" ht="12.75" customHeight="1" x14ac:dyDescent="0.2">
      <c r="A1425" s="21"/>
      <c r="B1425" s="3" t="s">
        <v>4</v>
      </c>
      <c r="C1425" s="20" t="s">
        <v>1811</v>
      </c>
      <c r="D1425" s="21"/>
    </row>
    <row r="1426" spans="1:4" ht="12.75" customHeight="1" x14ac:dyDescent="0.2">
      <c r="A1426" s="21"/>
      <c r="B1426" s="3" t="s">
        <v>6</v>
      </c>
      <c r="C1426" s="20" t="s">
        <v>48</v>
      </c>
      <c r="D1426" s="21"/>
    </row>
    <row r="1427" spans="1:4" ht="12.75" customHeight="1" x14ac:dyDescent="0.2">
      <c r="A1427" s="21"/>
      <c r="B1427" s="3" t="s">
        <v>8</v>
      </c>
      <c r="C1427" s="20" t="s">
        <v>1811</v>
      </c>
      <c r="D1427" s="21"/>
    </row>
    <row r="1428" spans="1:4" ht="12.75" customHeight="1" x14ac:dyDescent="0.2">
      <c r="A1428" s="21"/>
      <c r="B1428" s="3" t="s">
        <v>9</v>
      </c>
      <c r="C1428" s="20" t="s">
        <v>236</v>
      </c>
      <c r="D1428" s="21"/>
    </row>
    <row r="1429" spans="1:4" ht="12.75" customHeight="1" x14ac:dyDescent="0.2">
      <c r="A1429" s="21"/>
      <c r="B1429" s="3" t="s">
        <v>11</v>
      </c>
      <c r="C1429" s="20" t="s">
        <v>227</v>
      </c>
      <c r="D1429" s="21"/>
    </row>
    <row r="1430" spans="1:4" ht="12.75" customHeight="1" x14ac:dyDescent="0.2">
      <c r="A1430" s="21"/>
      <c r="B1430" s="3" t="s">
        <v>13</v>
      </c>
      <c r="C1430" s="20" t="s">
        <v>14</v>
      </c>
      <c r="D1430" s="21"/>
    </row>
    <row r="1431" spans="1:4" ht="12.75" customHeight="1" x14ac:dyDescent="0.2">
      <c r="A1431" s="21"/>
      <c r="B1431" s="3" t="s">
        <v>15</v>
      </c>
      <c r="C1431" s="20" t="s">
        <v>24</v>
      </c>
      <c r="D1431" s="21"/>
    </row>
    <row r="1432" spans="1:4" ht="12.75" customHeight="1" x14ac:dyDescent="0.2">
      <c r="A1432" s="21"/>
      <c r="B1432" s="3" t="s">
        <v>16</v>
      </c>
      <c r="C1432" s="20"/>
      <c r="D1432" s="21"/>
    </row>
    <row r="1433" spans="1:4" ht="12.75" customHeight="1" x14ac:dyDescent="0.2">
      <c r="A1433" s="21"/>
      <c r="B1433" s="3" t="s">
        <v>17</v>
      </c>
      <c r="C1433" s="20"/>
      <c r="D1433" s="21"/>
    </row>
    <row r="1434" spans="1:4" ht="12.75" customHeight="1" x14ac:dyDescent="0.2">
      <c r="A1434" s="21"/>
      <c r="B1434" s="20" t="s">
        <v>18</v>
      </c>
      <c r="C1434" s="4" t="s">
        <v>44</v>
      </c>
      <c r="D1434" s="6" t="str">
        <f>HYPERLINK("javascript:void(0)","smaragd mágusölő")</f>
        <v>smaragd mágusölő</v>
      </c>
    </row>
    <row r="1435" spans="1:4" ht="12.75" customHeight="1" x14ac:dyDescent="0.2">
      <c r="A1435" s="21"/>
      <c r="B1435" s="21"/>
      <c r="C1435" s="4" t="s">
        <v>117</v>
      </c>
      <c r="D1435" s="6" t="str">
        <f>HYPERLINK("javascript:void(0)","orrszarv")</f>
        <v>orrszarv</v>
      </c>
    </row>
    <row r="1436" spans="1:4" ht="12.75" customHeight="1" x14ac:dyDescent="0.2">
      <c r="A1436" s="21"/>
      <c r="B1436" s="21"/>
      <c r="C1436" s="4" t="s">
        <v>323</v>
      </c>
      <c r="D1436" s="6" t="str">
        <f>HYPERLINK("javascript:void(0)","rubin")</f>
        <v>rubin</v>
      </c>
    </row>
    <row r="1437" spans="1:4" ht="12.75" customHeight="1" x14ac:dyDescent="0.2">
      <c r="A1437" s="5"/>
      <c r="B1437" s="2"/>
      <c r="C1437" s="2"/>
      <c r="D1437" s="2"/>
    </row>
    <row r="1438" spans="1:4" ht="12.75" customHeight="1" x14ac:dyDescent="0.2">
      <c r="A1438" s="22" t="str">
        <f>HYPERLINK("javascript:void(0)","dracoacél fejsze")</f>
        <v>dracoacél fejsze</v>
      </c>
      <c r="B1438" s="21"/>
      <c r="C1438" s="21"/>
      <c r="D1438" s="21"/>
    </row>
    <row r="1439" spans="1:4" ht="12.75" customHeight="1" x14ac:dyDescent="0.2">
      <c r="A1439" s="20"/>
      <c r="B1439" s="2"/>
      <c r="C1439" s="2"/>
      <c r="D1439" s="2"/>
    </row>
    <row r="1440" spans="1:4" ht="12.75" customHeight="1" x14ac:dyDescent="0.2">
      <c r="A1440" s="21"/>
      <c r="B1440" s="3" t="s">
        <v>0</v>
      </c>
      <c r="C1440" s="20" t="s">
        <v>157</v>
      </c>
      <c r="D1440" s="21"/>
    </row>
    <row r="1441" spans="1:4" ht="12.75" customHeight="1" x14ac:dyDescent="0.2">
      <c r="A1441" s="21"/>
      <c r="B1441" s="3" t="s">
        <v>2</v>
      </c>
      <c r="C1441" s="20" t="s">
        <v>1598</v>
      </c>
      <c r="D1441" s="21"/>
    </row>
    <row r="1442" spans="1:4" ht="12.75" customHeight="1" x14ac:dyDescent="0.2">
      <c r="A1442" s="21"/>
      <c r="B1442" s="3" t="s">
        <v>4</v>
      </c>
      <c r="C1442" s="20" t="s">
        <v>1812</v>
      </c>
      <c r="D1442" s="21"/>
    </row>
    <row r="1443" spans="1:4" ht="12.75" customHeight="1" x14ac:dyDescent="0.2">
      <c r="A1443" s="21"/>
      <c r="B1443" s="3" t="s">
        <v>6</v>
      </c>
      <c r="C1443" s="20" t="s">
        <v>221</v>
      </c>
      <c r="D1443" s="21"/>
    </row>
    <row r="1444" spans="1:4" ht="12.75" customHeight="1" x14ac:dyDescent="0.2">
      <c r="A1444" s="21"/>
      <c r="B1444" s="3" t="s">
        <v>8</v>
      </c>
      <c r="C1444" s="20" t="s">
        <v>1812</v>
      </c>
      <c r="D1444" s="21"/>
    </row>
    <row r="1445" spans="1:4" ht="12.75" customHeight="1" x14ac:dyDescent="0.2">
      <c r="A1445" s="21"/>
      <c r="B1445" s="3" t="s">
        <v>9</v>
      </c>
      <c r="C1445" s="20" t="s">
        <v>129</v>
      </c>
      <c r="D1445" s="21"/>
    </row>
    <row r="1446" spans="1:4" ht="12.75" customHeight="1" x14ac:dyDescent="0.2">
      <c r="A1446" s="21"/>
      <c r="B1446" s="3" t="s">
        <v>11</v>
      </c>
      <c r="C1446" s="20" t="s">
        <v>1031</v>
      </c>
      <c r="D1446" s="21"/>
    </row>
    <row r="1447" spans="1:4" ht="12.75" customHeight="1" x14ac:dyDescent="0.2">
      <c r="A1447" s="21"/>
      <c r="B1447" s="3" t="s">
        <v>13</v>
      </c>
      <c r="C1447" s="20" t="s">
        <v>24</v>
      </c>
      <c r="D1447" s="21"/>
    </row>
    <row r="1448" spans="1:4" ht="12.75" customHeight="1" x14ac:dyDescent="0.2">
      <c r="A1448" s="21"/>
      <c r="B1448" s="3" t="s">
        <v>15</v>
      </c>
      <c r="C1448" s="20" t="s">
        <v>24</v>
      </c>
      <c r="D1448" s="21"/>
    </row>
    <row r="1449" spans="1:4" ht="12.75" customHeight="1" x14ac:dyDescent="0.2">
      <c r="A1449" s="21"/>
      <c r="B1449" s="3" t="s">
        <v>16</v>
      </c>
      <c r="C1449" s="20"/>
      <c r="D1449" s="21"/>
    </row>
    <row r="1450" spans="1:4" ht="12.75" customHeight="1" x14ac:dyDescent="0.2">
      <c r="A1450" s="21"/>
      <c r="B1450" s="3" t="s">
        <v>17</v>
      </c>
      <c r="C1450" s="20"/>
      <c r="D1450" s="21"/>
    </row>
    <row r="1451" spans="1:4" ht="12.75" customHeight="1" x14ac:dyDescent="0.2">
      <c r="A1451" s="21"/>
      <c r="B1451" s="20" t="s">
        <v>18</v>
      </c>
      <c r="C1451" s="4" t="s">
        <v>44</v>
      </c>
      <c r="D1451" s="6" t="str">
        <f>HYPERLINK("javascript:void(0)","démonacél fejsze")</f>
        <v>démonacél fejsze</v>
      </c>
    </row>
    <row r="1452" spans="1:4" ht="12.75" customHeight="1" x14ac:dyDescent="0.2">
      <c r="A1452" s="21"/>
      <c r="B1452" s="21"/>
      <c r="C1452" s="4" t="s">
        <v>117</v>
      </c>
      <c r="D1452" s="6" t="str">
        <f>HYPERLINK("javascript:void(0)","sárkánypikkely")</f>
        <v>sárkánypikkely</v>
      </c>
    </row>
    <row r="1453" spans="1:4" ht="12.75" customHeight="1" x14ac:dyDescent="0.2">
      <c r="A1453" s="21"/>
      <c r="B1453" s="21"/>
      <c r="C1453" s="4" t="s">
        <v>67</v>
      </c>
      <c r="D1453" s="6" t="str">
        <f>HYPERLINK("javascript:void(0)","sárkányfog")</f>
        <v>sárkányfog</v>
      </c>
    </row>
    <row r="1454" spans="1:4" ht="12.75" customHeight="1" x14ac:dyDescent="0.2">
      <c r="A1454" s="5"/>
      <c r="B1454" s="2"/>
      <c r="C1454" s="2"/>
      <c r="D1454" s="2"/>
    </row>
    <row r="1455" spans="1:4" ht="12.75" customHeight="1" x14ac:dyDescent="0.2">
      <c r="A1455" s="22" t="str">
        <f>HYPERLINK("javascript:void(0)","hidracél szigony")</f>
        <v>hidracél szigony</v>
      </c>
      <c r="B1455" s="21"/>
      <c r="C1455" s="21"/>
      <c r="D1455" s="21"/>
    </row>
    <row r="1456" spans="1:4" ht="12.75" customHeight="1" x14ac:dyDescent="0.2">
      <c r="A1456" s="20"/>
      <c r="B1456" s="2"/>
      <c r="C1456" s="2"/>
      <c r="D1456" s="2"/>
    </row>
    <row r="1457" spans="1:4" ht="12.75" customHeight="1" x14ac:dyDescent="0.2">
      <c r="A1457" s="21"/>
      <c r="B1457" s="3" t="s">
        <v>0</v>
      </c>
      <c r="C1457" s="20" t="s">
        <v>41</v>
      </c>
      <c r="D1457" s="21"/>
    </row>
    <row r="1458" spans="1:4" ht="12.75" customHeight="1" x14ac:dyDescent="0.2">
      <c r="A1458" s="21"/>
      <c r="B1458" s="3" t="s">
        <v>2</v>
      </c>
      <c r="C1458" s="20" t="s">
        <v>1598</v>
      </c>
      <c r="D1458" s="21"/>
    </row>
    <row r="1459" spans="1:4" ht="12.75" customHeight="1" x14ac:dyDescent="0.2">
      <c r="A1459" s="21"/>
      <c r="B1459" s="3" t="s">
        <v>4</v>
      </c>
      <c r="C1459" s="20" t="s">
        <v>1814</v>
      </c>
      <c r="D1459" s="21"/>
    </row>
    <row r="1460" spans="1:4" ht="12.75" customHeight="1" x14ac:dyDescent="0.2">
      <c r="A1460" s="21"/>
      <c r="B1460" s="3" t="s">
        <v>6</v>
      </c>
      <c r="C1460" s="20" t="s">
        <v>107</v>
      </c>
      <c r="D1460" s="21"/>
    </row>
    <row r="1461" spans="1:4" ht="12.75" customHeight="1" x14ac:dyDescent="0.2">
      <c r="A1461" s="21"/>
      <c r="B1461" s="3" t="s">
        <v>8</v>
      </c>
      <c r="C1461" s="20" t="s">
        <v>1814</v>
      </c>
      <c r="D1461" s="21"/>
    </row>
    <row r="1462" spans="1:4" ht="12.75" customHeight="1" x14ac:dyDescent="0.2">
      <c r="A1462" s="21"/>
      <c r="B1462" s="3" t="s">
        <v>9</v>
      </c>
      <c r="C1462" s="20" t="s">
        <v>317</v>
      </c>
      <c r="D1462" s="21"/>
    </row>
    <row r="1463" spans="1:4" ht="12.75" customHeight="1" x14ac:dyDescent="0.2">
      <c r="A1463" s="21"/>
      <c r="B1463" s="3" t="s">
        <v>11</v>
      </c>
      <c r="C1463" s="20" t="s">
        <v>1815</v>
      </c>
      <c r="D1463" s="21"/>
    </row>
    <row r="1464" spans="1:4" ht="12.75" customHeight="1" x14ac:dyDescent="0.2">
      <c r="A1464" s="21"/>
      <c r="B1464" s="3" t="s">
        <v>13</v>
      </c>
      <c r="C1464" s="20" t="s">
        <v>14</v>
      </c>
      <c r="D1464" s="21"/>
    </row>
    <row r="1465" spans="1:4" ht="12.75" customHeight="1" x14ac:dyDescent="0.2">
      <c r="A1465" s="21"/>
      <c r="B1465" s="3" t="s">
        <v>15</v>
      </c>
      <c r="C1465" s="20" t="s">
        <v>24</v>
      </c>
      <c r="D1465" s="21"/>
    </row>
    <row r="1466" spans="1:4" ht="12.75" customHeight="1" x14ac:dyDescent="0.2">
      <c r="A1466" s="21"/>
      <c r="B1466" s="3" t="s">
        <v>16</v>
      </c>
      <c r="C1466" s="20"/>
      <c r="D1466" s="21"/>
    </row>
    <row r="1467" spans="1:4" ht="12.75" customHeight="1" x14ac:dyDescent="0.2">
      <c r="A1467" s="21"/>
      <c r="B1467" s="3" t="s">
        <v>17</v>
      </c>
      <c r="C1467" s="20"/>
      <c r="D1467" s="21"/>
    </row>
    <row r="1468" spans="1:4" ht="12.75" customHeight="1" x14ac:dyDescent="0.2">
      <c r="A1468" s="21"/>
      <c r="B1468" s="20" t="s">
        <v>18</v>
      </c>
      <c r="C1468" s="4" t="s">
        <v>55</v>
      </c>
      <c r="D1468" s="6" t="str">
        <f>HYPERLINK("javascript:void(0)","lari szigony")</f>
        <v>lari szigony</v>
      </c>
    </row>
    <row r="1469" spans="1:4" ht="12.75" customHeight="1" x14ac:dyDescent="0.2">
      <c r="A1469" s="21"/>
      <c r="B1469" s="21"/>
      <c r="C1469" s="4" t="s">
        <v>139</v>
      </c>
      <c r="D1469" s="6" t="str">
        <f>HYPERLINK("javascript:void(0)","szén-hidragén")</f>
        <v>szén-hidragén</v>
      </c>
    </row>
    <row r="1470" spans="1:4" ht="12.75" customHeight="1" x14ac:dyDescent="0.2">
      <c r="A1470" s="21"/>
      <c r="B1470" s="21"/>
      <c r="C1470" s="4" t="s">
        <v>1816</v>
      </c>
      <c r="D1470" s="6" t="str">
        <f>HYPERLINK("javascript:void(0)","ezüst")</f>
        <v>ezüst</v>
      </c>
    </row>
    <row r="1471" spans="1:4" ht="12.75" customHeight="1" x14ac:dyDescent="0.2">
      <c r="A1471" s="5"/>
      <c r="B1471" s="2"/>
      <c r="C1471" s="2"/>
      <c r="D1471" s="2"/>
    </row>
    <row r="1472" spans="1:4" ht="12.75" customHeight="1" x14ac:dyDescent="0.2">
      <c r="A1472" s="22" t="str">
        <f>HYPERLINK("javascript:void(0)","dracoacél lándzsa")</f>
        <v>dracoacél lándzsa</v>
      </c>
      <c r="B1472" s="21"/>
      <c r="C1472" s="21"/>
      <c r="D1472" s="21"/>
    </row>
    <row r="1473" spans="1:4" ht="12.75" customHeight="1" x14ac:dyDescent="0.2">
      <c r="A1473" s="20"/>
      <c r="B1473" s="2"/>
      <c r="C1473" s="2"/>
      <c r="D1473" s="2"/>
    </row>
    <row r="1474" spans="1:4" ht="12.75" customHeight="1" x14ac:dyDescent="0.2">
      <c r="A1474" s="21"/>
      <c r="B1474" s="3" t="s">
        <v>0</v>
      </c>
      <c r="C1474" s="20" t="s">
        <v>41</v>
      </c>
      <c r="D1474" s="21"/>
    </row>
    <row r="1475" spans="1:4" ht="12.75" customHeight="1" x14ac:dyDescent="0.2">
      <c r="A1475" s="21"/>
      <c r="B1475" s="3" t="s">
        <v>2</v>
      </c>
      <c r="C1475" s="20" t="s">
        <v>1598</v>
      </c>
      <c r="D1475" s="21"/>
    </row>
    <row r="1476" spans="1:4" ht="12.75" customHeight="1" x14ac:dyDescent="0.2">
      <c r="A1476" s="21"/>
      <c r="B1476" s="3" t="s">
        <v>4</v>
      </c>
      <c r="C1476" s="20" t="s">
        <v>1817</v>
      </c>
      <c r="D1476" s="21"/>
    </row>
    <row r="1477" spans="1:4" ht="12.75" customHeight="1" x14ac:dyDescent="0.2">
      <c r="A1477" s="21"/>
      <c r="B1477" s="3" t="s">
        <v>6</v>
      </c>
      <c r="C1477" s="20" t="s">
        <v>35</v>
      </c>
      <c r="D1477" s="21"/>
    </row>
    <row r="1478" spans="1:4" ht="12.75" customHeight="1" x14ac:dyDescent="0.2">
      <c r="A1478" s="21"/>
      <c r="B1478" s="3" t="s">
        <v>8</v>
      </c>
      <c r="C1478" s="20" t="s">
        <v>1817</v>
      </c>
      <c r="D1478" s="21"/>
    </row>
    <row r="1479" spans="1:4" ht="12.75" customHeight="1" x14ac:dyDescent="0.2">
      <c r="A1479" s="21"/>
      <c r="B1479" s="3" t="s">
        <v>9</v>
      </c>
      <c r="C1479" s="20" t="s">
        <v>49</v>
      </c>
      <c r="D1479" s="21"/>
    </row>
    <row r="1480" spans="1:4" ht="12.75" customHeight="1" x14ac:dyDescent="0.2">
      <c r="A1480" s="21"/>
      <c r="B1480" s="3" t="s">
        <v>11</v>
      </c>
      <c r="C1480" s="20" t="s">
        <v>395</v>
      </c>
      <c r="D1480" s="21"/>
    </row>
    <row r="1481" spans="1:4" ht="12.75" customHeight="1" x14ac:dyDescent="0.2">
      <c r="A1481" s="21"/>
      <c r="B1481" s="3" t="s">
        <v>13</v>
      </c>
      <c r="C1481" s="20" t="s">
        <v>24</v>
      </c>
      <c r="D1481" s="21"/>
    </row>
    <row r="1482" spans="1:4" ht="12.75" customHeight="1" x14ac:dyDescent="0.2">
      <c r="A1482" s="21"/>
      <c r="B1482" s="3" t="s">
        <v>15</v>
      </c>
      <c r="C1482" s="20" t="s">
        <v>24</v>
      </c>
      <c r="D1482" s="21"/>
    </row>
    <row r="1483" spans="1:4" ht="12.75" customHeight="1" x14ac:dyDescent="0.2">
      <c r="A1483" s="21"/>
      <c r="B1483" s="3" t="s">
        <v>16</v>
      </c>
      <c r="C1483" s="20"/>
      <c r="D1483" s="21"/>
    </row>
    <row r="1484" spans="1:4" ht="12.75" customHeight="1" x14ac:dyDescent="0.2">
      <c r="A1484" s="21"/>
      <c r="B1484" s="3" t="s">
        <v>17</v>
      </c>
      <c r="C1484" s="20"/>
      <c r="D1484" s="21"/>
    </row>
    <row r="1485" spans="1:4" ht="12.75" customHeight="1" x14ac:dyDescent="0.2">
      <c r="A1485" s="21"/>
      <c r="B1485" s="20" t="s">
        <v>18</v>
      </c>
      <c r="C1485" s="4" t="s">
        <v>44</v>
      </c>
      <c r="D1485" s="6" t="str">
        <f>HYPERLINK("javascript:void(0)","démonacél lándzsa")</f>
        <v>démonacél lándzsa</v>
      </c>
    </row>
    <row r="1486" spans="1:4" ht="12.75" customHeight="1" x14ac:dyDescent="0.2">
      <c r="A1486" s="21"/>
      <c r="B1486" s="21"/>
      <c r="C1486" s="4" t="s">
        <v>102</v>
      </c>
      <c r="D1486" s="6" t="str">
        <f>HYPERLINK("javascript:void(0)","sárkányfog")</f>
        <v>sárkányfog</v>
      </c>
    </row>
    <row r="1487" spans="1:4" ht="12.75" customHeight="1" x14ac:dyDescent="0.2">
      <c r="A1487" s="21"/>
      <c r="B1487" s="21"/>
      <c r="C1487" s="4" t="s">
        <v>132</v>
      </c>
      <c r="D1487" s="6" t="str">
        <f>HYPERLINK("javascript:void(0)","sárkánykarom")</f>
        <v>sárkánykarom</v>
      </c>
    </row>
    <row r="1488" spans="1:4" ht="12.75" customHeight="1" x14ac:dyDescent="0.2">
      <c r="A1488" s="5"/>
      <c r="B1488" s="2"/>
      <c r="C1488" s="2"/>
      <c r="D1488" s="2"/>
    </row>
    <row r="1489" spans="1:4" ht="12.75" customHeight="1" x14ac:dyDescent="0.2">
      <c r="A1489" s="22" t="str">
        <f>HYPERLINK("javascript:void(0)","diszpro mágusölő")</f>
        <v>diszpro mágusölő</v>
      </c>
      <c r="B1489" s="21"/>
      <c r="C1489" s="21"/>
      <c r="D1489" s="21"/>
    </row>
    <row r="1490" spans="1:4" ht="12.75" customHeight="1" x14ac:dyDescent="0.2">
      <c r="A1490" s="20"/>
      <c r="B1490" s="2"/>
      <c r="C1490" s="2"/>
      <c r="D1490" s="2"/>
    </row>
    <row r="1491" spans="1:4" ht="12.75" customHeight="1" x14ac:dyDescent="0.2">
      <c r="A1491" s="21"/>
      <c r="B1491" s="3" t="s">
        <v>0</v>
      </c>
      <c r="C1491" s="20" t="s">
        <v>41</v>
      </c>
      <c r="D1491" s="21"/>
    </row>
    <row r="1492" spans="1:4" ht="12.75" customHeight="1" x14ac:dyDescent="0.2">
      <c r="A1492" s="21"/>
      <c r="B1492" s="3" t="s">
        <v>2</v>
      </c>
      <c r="C1492" s="20" t="s">
        <v>1598</v>
      </c>
      <c r="D1492" s="21"/>
    </row>
    <row r="1493" spans="1:4" ht="12.75" customHeight="1" x14ac:dyDescent="0.2">
      <c r="A1493" s="21"/>
      <c r="B1493" s="3" t="s">
        <v>4</v>
      </c>
      <c r="C1493" s="20" t="s">
        <v>533</v>
      </c>
      <c r="D1493" s="21"/>
    </row>
    <row r="1494" spans="1:4" ht="12.75" customHeight="1" x14ac:dyDescent="0.2">
      <c r="A1494" s="21"/>
      <c r="B1494" s="3" t="s">
        <v>6</v>
      </c>
      <c r="C1494" s="20" t="s">
        <v>48</v>
      </c>
      <c r="D1494" s="21"/>
    </row>
    <row r="1495" spans="1:4" ht="12.75" customHeight="1" x14ac:dyDescent="0.2">
      <c r="A1495" s="21"/>
      <c r="B1495" s="3" t="s">
        <v>8</v>
      </c>
      <c r="C1495" s="20" t="s">
        <v>533</v>
      </c>
      <c r="D1495" s="21"/>
    </row>
    <row r="1496" spans="1:4" ht="12.75" customHeight="1" x14ac:dyDescent="0.2">
      <c r="A1496" s="21"/>
      <c r="B1496" s="3" t="s">
        <v>9</v>
      </c>
      <c r="C1496" s="20" t="s">
        <v>300</v>
      </c>
      <c r="D1496" s="21"/>
    </row>
    <row r="1497" spans="1:4" ht="12.75" customHeight="1" x14ac:dyDescent="0.2">
      <c r="A1497" s="21"/>
      <c r="B1497" s="3" t="s">
        <v>11</v>
      </c>
      <c r="C1497" s="20" t="s">
        <v>520</v>
      </c>
      <c r="D1497" s="21"/>
    </row>
    <row r="1498" spans="1:4" ht="12.75" customHeight="1" x14ac:dyDescent="0.2">
      <c r="A1498" s="21"/>
      <c r="B1498" s="3" t="s">
        <v>13</v>
      </c>
      <c r="C1498" s="20" t="s">
        <v>14</v>
      </c>
      <c r="D1498" s="21"/>
    </row>
    <row r="1499" spans="1:4" ht="12.75" customHeight="1" x14ac:dyDescent="0.2">
      <c r="A1499" s="21"/>
      <c r="B1499" s="3" t="s">
        <v>15</v>
      </c>
      <c r="C1499" s="20" t="s">
        <v>24</v>
      </c>
      <c r="D1499" s="21"/>
    </row>
    <row r="1500" spans="1:4" ht="12.75" customHeight="1" x14ac:dyDescent="0.2">
      <c r="A1500" s="21"/>
      <c r="B1500" s="3" t="s">
        <v>16</v>
      </c>
      <c r="C1500" s="20"/>
      <c r="D1500" s="21"/>
    </row>
    <row r="1501" spans="1:4" ht="12.75" customHeight="1" x14ac:dyDescent="0.2">
      <c r="A1501" s="21"/>
      <c r="B1501" s="3" t="s">
        <v>17</v>
      </c>
      <c r="C1501" s="20"/>
      <c r="D1501" s="21"/>
    </row>
    <row r="1502" spans="1:4" ht="12.75" customHeight="1" x14ac:dyDescent="0.2">
      <c r="A1502" s="21"/>
      <c r="B1502" s="20" t="s">
        <v>18</v>
      </c>
      <c r="C1502" s="4" t="s">
        <v>44</v>
      </c>
      <c r="D1502" s="6" t="str">
        <f>HYPERLINK("javascript:void(0)","gyémánt mágusölő")</f>
        <v>gyémánt mágusölő</v>
      </c>
    </row>
    <row r="1503" spans="1:4" ht="12.75" customHeight="1" x14ac:dyDescent="0.2">
      <c r="A1503" s="21"/>
      <c r="B1503" s="21"/>
      <c r="C1503" s="4" t="s">
        <v>474</v>
      </c>
      <c r="D1503" s="6" t="str">
        <f>HYPERLINK("javascript:void(0)","pegazustoll")</f>
        <v>pegazustoll</v>
      </c>
    </row>
    <row r="1504" spans="1:4" ht="12.75" customHeight="1" x14ac:dyDescent="0.2">
      <c r="A1504" s="21"/>
      <c r="B1504" s="21"/>
      <c r="C1504" s="4" t="s">
        <v>139</v>
      </c>
      <c r="D1504" s="6" t="str">
        <f>HYPERLINK("javascript:void(0)","diszprózium")</f>
        <v>diszprózium</v>
      </c>
    </row>
    <row r="1505" spans="1:4" ht="12.75" customHeight="1" x14ac:dyDescent="0.2">
      <c r="A1505" s="5"/>
      <c r="B1505" s="2"/>
      <c r="C1505" s="2"/>
      <c r="D1505" s="2"/>
    </row>
    <row r="1506" spans="1:4" ht="12.75" customHeight="1" x14ac:dyDescent="0.2">
      <c r="A1506" s="22" t="str">
        <f>HYPERLINK("javascript:void(0)","elfacél gigapallos")</f>
        <v>elfacél gigapallos</v>
      </c>
      <c r="B1506" s="21"/>
      <c r="C1506" s="21"/>
      <c r="D1506" s="21"/>
    </row>
    <row r="1507" spans="1:4" ht="12.75" customHeight="1" x14ac:dyDescent="0.2">
      <c r="A1507" s="20"/>
      <c r="B1507" s="2"/>
      <c r="C1507" s="2"/>
      <c r="D1507" s="2"/>
    </row>
    <row r="1508" spans="1:4" ht="12.75" customHeight="1" x14ac:dyDescent="0.2">
      <c r="A1508" s="21"/>
      <c r="B1508" s="3" t="s">
        <v>0</v>
      </c>
      <c r="C1508" s="20" t="s">
        <v>41</v>
      </c>
      <c r="D1508" s="21"/>
    </row>
    <row r="1509" spans="1:4" ht="12.75" customHeight="1" x14ac:dyDescent="0.2">
      <c r="A1509" s="21"/>
      <c r="B1509" s="3" t="s">
        <v>2</v>
      </c>
      <c r="C1509" s="20" t="s">
        <v>1598</v>
      </c>
      <c r="D1509" s="21"/>
    </row>
    <row r="1510" spans="1:4" ht="12.75" customHeight="1" x14ac:dyDescent="0.2">
      <c r="A1510" s="21"/>
      <c r="B1510" s="3" t="s">
        <v>4</v>
      </c>
      <c r="C1510" s="20" t="s">
        <v>1818</v>
      </c>
      <c r="D1510" s="21"/>
    </row>
    <row r="1511" spans="1:4" ht="12.75" customHeight="1" x14ac:dyDescent="0.2">
      <c r="A1511" s="21"/>
      <c r="B1511" s="3" t="s">
        <v>6</v>
      </c>
      <c r="C1511" s="20" t="s">
        <v>51</v>
      </c>
      <c r="D1511" s="21"/>
    </row>
    <row r="1512" spans="1:4" ht="12.75" customHeight="1" x14ac:dyDescent="0.2">
      <c r="A1512" s="21"/>
      <c r="B1512" s="3" t="s">
        <v>8</v>
      </c>
      <c r="C1512" s="20" t="s">
        <v>1818</v>
      </c>
      <c r="D1512" s="21"/>
    </row>
    <row r="1513" spans="1:4" ht="12.75" customHeight="1" x14ac:dyDescent="0.2">
      <c r="A1513" s="21"/>
      <c r="B1513" s="3" t="s">
        <v>9</v>
      </c>
      <c r="C1513" s="20" t="s">
        <v>1819</v>
      </c>
      <c r="D1513" s="21"/>
    </row>
    <row r="1514" spans="1:4" ht="12.75" customHeight="1" x14ac:dyDescent="0.2">
      <c r="A1514" s="21"/>
      <c r="B1514" s="3" t="s">
        <v>11</v>
      </c>
      <c r="C1514" s="20" t="s">
        <v>1531</v>
      </c>
      <c r="D1514" s="21"/>
    </row>
    <row r="1515" spans="1:4" ht="12.75" customHeight="1" x14ac:dyDescent="0.2">
      <c r="A1515" s="21"/>
      <c r="B1515" s="3" t="s">
        <v>13</v>
      </c>
      <c r="C1515" s="20" t="s">
        <v>24</v>
      </c>
      <c r="D1515" s="21"/>
    </row>
    <row r="1516" spans="1:4" ht="12.75" customHeight="1" x14ac:dyDescent="0.2">
      <c r="A1516" s="21"/>
      <c r="B1516" s="3" t="s">
        <v>15</v>
      </c>
      <c r="C1516" s="20" t="s">
        <v>24</v>
      </c>
      <c r="D1516" s="21"/>
    </row>
    <row r="1517" spans="1:4" ht="12.75" customHeight="1" x14ac:dyDescent="0.2">
      <c r="A1517" s="21"/>
      <c r="B1517" s="3" t="s">
        <v>16</v>
      </c>
      <c r="C1517" s="20"/>
      <c r="D1517" s="21"/>
    </row>
    <row r="1518" spans="1:4" ht="12.75" customHeight="1" x14ac:dyDescent="0.2">
      <c r="A1518" s="21"/>
      <c r="B1518" s="3" t="s">
        <v>17</v>
      </c>
      <c r="C1518" s="20"/>
      <c r="D1518" s="21"/>
    </row>
    <row r="1519" spans="1:4" ht="12.75" customHeight="1" x14ac:dyDescent="0.2">
      <c r="A1519" s="21"/>
      <c r="B1519" s="20" t="s">
        <v>18</v>
      </c>
      <c r="C1519" s="4" t="s">
        <v>139</v>
      </c>
      <c r="D1519" s="6" t="str">
        <f>HYPERLINK("javascript:void(0)","sárkányfű")</f>
        <v>sárkányfű</v>
      </c>
    </row>
    <row r="1520" spans="1:4" ht="12.75" customHeight="1" x14ac:dyDescent="0.2">
      <c r="A1520" s="21"/>
      <c r="B1520" s="21"/>
      <c r="C1520" s="4" t="s">
        <v>142</v>
      </c>
      <c r="D1520" s="6" t="str">
        <f>HYPERLINK("javascript:void(0)","klopfoló henger")</f>
        <v>klopfoló henger</v>
      </c>
    </row>
    <row r="1521" spans="1:4" ht="12.75" customHeight="1" x14ac:dyDescent="0.2">
      <c r="A1521" s="21"/>
      <c r="B1521" s="21"/>
      <c r="C1521" s="4" t="s">
        <v>232</v>
      </c>
      <c r="D1521" s="6" t="str">
        <f>HYPERLINK("javascript:void(0)","lélegző sarokkő")</f>
        <v>lélegző sarokkő</v>
      </c>
    </row>
    <row r="1522" spans="1:4" ht="12.75" customHeight="1" x14ac:dyDescent="0.2">
      <c r="A1522" s="5"/>
      <c r="B1522" s="2"/>
      <c r="C1522" s="2"/>
      <c r="D1522" s="2"/>
    </row>
    <row r="1523" spans="1:4" ht="12.75" customHeight="1" x14ac:dyDescent="0.2">
      <c r="A1523" s="22" t="str">
        <f>HYPERLINK("javascript:void(0)","elfacél duplapenge")</f>
        <v>elfacél duplapenge</v>
      </c>
      <c r="B1523" s="21"/>
      <c r="C1523" s="21"/>
      <c r="D1523" s="21"/>
    </row>
    <row r="1524" spans="1:4" ht="12.75" customHeight="1" x14ac:dyDescent="0.2">
      <c r="A1524" s="20"/>
      <c r="B1524" s="2"/>
      <c r="C1524" s="2"/>
      <c r="D1524" s="2"/>
    </row>
    <row r="1525" spans="1:4" ht="12.75" customHeight="1" x14ac:dyDescent="0.2">
      <c r="A1525" s="21"/>
      <c r="B1525" s="3" t="s">
        <v>0</v>
      </c>
      <c r="C1525" s="20" t="s">
        <v>260</v>
      </c>
      <c r="D1525" s="21"/>
    </row>
    <row r="1526" spans="1:4" ht="12.75" customHeight="1" x14ac:dyDescent="0.2">
      <c r="A1526" s="21"/>
      <c r="B1526" s="3" t="s">
        <v>2</v>
      </c>
      <c r="C1526" s="20" t="s">
        <v>1598</v>
      </c>
      <c r="D1526" s="21"/>
    </row>
    <row r="1527" spans="1:4" ht="12.75" customHeight="1" x14ac:dyDescent="0.2">
      <c r="A1527" s="21"/>
      <c r="B1527" s="3" t="s">
        <v>4</v>
      </c>
      <c r="C1527" s="20" t="s">
        <v>533</v>
      </c>
      <c r="D1527" s="21"/>
    </row>
    <row r="1528" spans="1:4" ht="12.75" customHeight="1" x14ac:dyDescent="0.2">
      <c r="A1528" s="21"/>
      <c r="B1528" s="3" t="s">
        <v>6</v>
      </c>
      <c r="C1528" s="20" t="s">
        <v>35</v>
      </c>
      <c r="D1528" s="21"/>
    </row>
    <row r="1529" spans="1:4" ht="12.75" customHeight="1" x14ac:dyDescent="0.2">
      <c r="A1529" s="21"/>
      <c r="B1529" s="3" t="s">
        <v>8</v>
      </c>
      <c r="C1529" s="20" t="s">
        <v>533</v>
      </c>
      <c r="D1529" s="21"/>
    </row>
    <row r="1530" spans="1:4" ht="12.75" customHeight="1" x14ac:dyDescent="0.2">
      <c r="A1530" s="21"/>
      <c r="B1530" s="3" t="s">
        <v>9</v>
      </c>
      <c r="C1530" s="20" t="s">
        <v>573</v>
      </c>
      <c r="D1530" s="21"/>
    </row>
    <row r="1531" spans="1:4" ht="12.75" customHeight="1" x14ac:dyDescent="0.2">
      <c r="A1531" s="21"/>
      <c r="B1531" s="3" t="s">
        <v>11</v>
      </c>
      <c r="C1531" s="20" t="s">
        <v>1820</v>
      </c>
      <c r="D1531" s="21"/>
    </row>
    <row r="1532" spans="1:4" ht="12.75" customHeight="1" x14ac:dyDescent="0.2">
      <c r="A1532" s="21"/>
      <c r="B1532" s="3" t="s">
        <v>13</v>
      </c>
      <c r="C1532" s="20" t="s">
        <v>24</v>
      </c>
      <c r="D1532" s="21"/>
    </row>
    <row r="1533" spans="1:4" ht="12.75" customHeight="1" x14ac:dyDescent="0.2">
      <c r="A1533" s="21"/>
      <c r="B1533" s="3" t="s">
        <v>15</v>
      </c>
      <c r="C1533" s="20" t="s">
        <v>24</v>
      </c>
      <c r="D1533" s="21"/>
    </row>
    <row r="1534" spans="1:4" ht="12.75" customHeight="1" x14ac:dyDescent="0.2">
      <c r="A1534" s="21"/>
      <c r="B1534" s="3" t="s">
        <v>16</v>
      </c>
      <c r="C1534" s="20"/>
      <c r="D1534" s="21"/>
    </row>
    <row r="1535" spans="1:4" ht="12.75" customHeight="1" x14ac:dyDescent="0.2">
      <c r="A1535" s="21"/>
      <c r="B1535" s="3" t="s">
        <v>17</v>
      </c>
      <c r="C1535" s="20"/>
      <c r="D1535" s="21"/>
    </row>
    <row r="1536" spans="1:4" ht="12.75" customHeight="1" x14ac:dyDescent="0.2">
      <c r="A1536" s="21"/>
      <c r="B1536" s="20" t="s">
        <v>18</v>
      </c>
      <c r="C1536" s="4" t="s">
        <v>56</v>
      </c>
      <c r="D1536" s="6" t="str">
        <f>HYPERLINK("javascript:void(0)","smaragdtőr")</f>
        <v>smaragdtőr</v>
      </c>
    </row>
    <row r="1537" spans="1:4" ht="12.75" customHeight="1" x14ac:dyDescent="0.2">
      <c r="A1537" s="21"/>
      <c r="B1537" s="21"/>
      <c r="C1537" s="4" t="s">
        <v>139</v>
      </c>
      <c r="D1537" s="6" t="str">
        <f>HYPERLINK("javascript:void(0)","pegazustoll")</f>
        <v>pegazustoll</v>
      </c>
    </row>
    <row r="1538" spans="1:4" ht="12.75" customHeight="1" x14ac:dyDescent="0.2">
      <c r="A1538" s="21"/>
      <c r="B1538" s="21"/>
      <c r="C1538" s="4" t="s">
        <v>244</v>
      </c>
      <c r="D1538" s="6" t="str">
        <f>HYPERLINK("javascript:void(0)","szén-hidragén")</f>
        <v>szén-hidragén</v>
      </c>
    </row>
    <row r="1539" spans="1:4" ht="12.75" customHeight="1" x14ac:dyDescent="0.2">
      <c r="A1539" s="5"/>
      <c r="B1539" s="2"/>
      <c r="C1539" s="2"/>
      <c r="D1539" s="2"/>
    </row>
    <row r="1540" spans="1:4" ht="12.75" customHeight="1" x14ac:dyDescent="0.2">
      <c r="A1540" s="22" t="str">
        <f>HYPERLINK("javascript:void(0)","dracoacél szigony")</f>
        <v>dracoacél szigony</v>
      </c>
      <c r="B1540" s="21"/>
      <c r="C1540" s="21"/>
      <c r="D1540" s="21"/>
    </row>
    <row r="1541" spans="1:4" ht="12.75" customHeight="1" x14ac:dyDescent="0.2">
      <c r="A1541" s="20"/>
      <c r="B1541" s="2"/>
      <c r="C1541" s="2"/>
      <c r="D1541" s="2"/>
    </row>
    <row r="1542" spans="1:4" ht="12.75" customHeight="1" x14ac:dyDescent="0.2">
      <c r="A1542" s="21"/>
      <c r="B1542" s="3" t="s">
        <v>0</v>
      </c>
      <c r="C1542" s="20" t="s">
        <v>272</v>
      </c>
      <c r="D1542" s="21"/>
    </row>
    <row r="1543" spans="1:4" ht="12.75" customHeight="1" x14ac:dyDescent="0.2">
      <c r="A1543" s="21"/>
      <c r="B1543" s="3" t="s">
        <v>2</v>
      </c>
      <c r="C1543" s="20" t="s">
        <v>1598</v>
      </c>
      <c r="D1543" s="21"/>
    </row>
    <row r="1544" spans="1:4" ht="12.75" customHeight="1" x14ac:dyDescent="0.2">
      <c r="A1544" s="21"/>
      <c r="B1544" s="3" t="s">
        <v>4</v>
      </c>
      <c r="C1544" s="20" t="s">
        <v>1821</v>
      </c>
      <c r="D1544" s="21"/>
    </row>
    <row r="1545" spans="1:4" ht="12.75" customHeight="1" x14ac:dyDescent="0.2">
      <c r="A1545" s="21"/>
      <c r="B1545" s="3" t="s">
        <v>6</v>
      </c>
      <c r="C1545" s="20" t="s">
        <v>107</v>
      </c>
      <c r="D1545" s="21"/>
    </row>
    <row r="1546" spans="1:4" ht="12.75" customHeight="1" x14ac:dyDescent="0.2">
      <c r="A1546" s="21"/>
      <c r="B1546" s="3" t="s">
        <v>8</v>
      </c>
      <c r="C1546" s="20" t="s">
        <v>1821</v>
      </c>
      <c r="D1546" s="21"/>
    </row>
    <row r="1547" spans="1:4" ht="12.75" customHeight="1" x14ac:dyDescent="0.2">
      <c r="A1547" s="21"/>
      <c r="B1547" s="3" t="s">
        <v>9</v>
      </c>
      <c r="C1547" s="20" t="s">
        <v>179</v>
      </c>
      <c r="D1547" s="21"/>
    </row>
    <row r="1548" spans="1:4" ht="12.75" customHeight="1" x14ac:dyDescent="0.2">
      <c r="A1548" s="21"/>
      <c r="B1548" s="3" t="s">
        <v>11</v>
      </c>
      <c r="C1548" s="20" t="s">
        <v>1822</v>
      </c>
      <c r="D1548" s="21"/>
    </row>
    <row r="1549" spans="1:4" ht="12.75" customHeight="1" x14ac:dyDescent="0.2">
      <c r="A1549" s="21"/>
      <c r="B1549" s="3" t="s">
        <v>13</v>
      </c>
      <c r="C1549" s="20" t="s">
        <v>24</v>
      </c>
      <c r="D1549" s="21"/>
    </row>
    <row r="1550" spans="1:4" ht="12.75" customHeight="1" x14ac:dyDescent="0.2">
      <c r="A1550" s="21"/>
      <c r="B1550" s="3" t="s">
        <v>15</v>
      </c>
      <c r="C1550" s="20" t="s">
        <v>24</v>
      </c>
      <c r="D1550" s="21"/>
    </row>
    <row r="1551" spans="1:4" ht="12.75" customHeight="1" x14ac:dyDescent="0.2">
      <c r="A1551" s="21"/>
      <c r="B1551" s="3" t="s">
        <v>16</v>
      </c>
      <c r="C1551" s="20"/>
      <c r="D1551" s="21"/>
    </row>
    <row r="1552" spans="1:4" ht="12.75" customHeight="1" x14ac:dyDescent="0.2">
      <c r="A1552" s="21"/>
      <c r="B1552" s="3" t="s">
        <v>17</v>
      </c>
      <c r="C1552" s="20"/>
      <c r="D1552" s="21"/>
    </row>
    <row r="1553" spans="1:4" ht="12.75" customHeight="1" x14ac:dyDescent="0.2">
      <c r="A1553" s="21"/>
      <c r="B1553" s="20" t="s">
        <v>18</v>
      </c>
      <c r="C1553" s="4" t="s">
        <v>44</v>
      </c>
      <c r="D1553" s="6" t="str">
        <f>HYPERLINK("javascript:void(0)","démonacél szigony")</f>
        <v>démonacél szigony</v>
      </c>
    </row>
    <row r="1554" spans="1:4" ht="12.75" customHeight="1" x14ac:dyDescent="0.2">
      <c r="A1554" s="21"/>
      <c r="B1554" s="21"/>
      <c r="C1554" s="4" t="s">
        <v>98</v>
      </c>
      <c r="D1554" s="6" t="str">
        <f>HYPERLINK("javascript:void(0)","sárkánypikkely")</f>
        <v>sárkánypikkely</v>
      </c>
    </row>
    <row r="1555" spans="1:4" ht="12.75" customHeight="1" x14ac:dyDescent="0.2">
      <c r="A1555" s="21"/>
      <c r="B1555" s="21"/>
      <c r="C1555" s="4" t="s">
        <v>269</v>
      </c>
      <c r="D1555" s="6" t="str">
        <f>HYPERLINK("javascript:void(0)","sárkányfog")</f>
        <v>sárkányfog</v>
      </c>
    </row>
    <row r="1556" spans="1:4" ht="12.75" customHeight="1" x14ac:dyDescent="0.2">
      <c r="A1556" s="5"/>
      <c r="B1556" s="2"/>
      <c r="C1556" s="2"/>
      <c r="D1556" s="2"/>
    </row>
    <row r="1557" spans="1:4" ht="12.75" customHeight="1" x14ac:dyDescent="0.2">
      <c r="A1557" s="22" t="str">
        <f>HYPERLINK("javascript:void(0)","mágikus fullánk")</f>
        <v>mágikus fullánk</v>
      </c>
      <c r="B1557" s="21"/>
      <c r="C1557" s="21"/>
      <c r="D1557" s="21"/>
    </row>
    <row r="1558" spans="1:4" ht="12.75" customHeight="1" x14ac:dyDescent="0.2">
      <c r="A1558" s="20"/>
      <c r="B1558" s="2"/>
      <c r="C1558" s="2"/>
      <c r="D1558" s="2"/>
    </row>
    <row r="1559" spans="1:4" ht="12.75" customHeight="1" x14ac:dyDescent="0.2">
      <c r="A1559" s="21"/>
      <c r="B1559" s="3" t="s">
        <v>0</v>
      </c>
      <c r="C1559" s="20" t="s">
        <v>272</v>
      </c>
      <c r="D1559" s="21"/>
    </row>
    <row r="1560" spans="1:4" ht="12.75" customHeight="1" x14ac:dyDescent="0.2">
      <c r="A1560" s="21"/>
      <c r="B1560" s="3" t="s">
        <v>2</v>
      </c>
      <c r="C1560" s="20" t="s">
        <v>1598</v>
      </c>
      <c r="D1560" s="21"/>
    </row>
    <row r="1561" spans="1:4" ht="12.75" customHeight="1" x14ac:dyDescent="0.2">
      <c r="A1561" s="21"/>
      <c r="B1561" s="3" t="s">
        <v>4</v>
      </c>
      <c r="C1561" s="20" t="s">
        <v>583</v>
      </c>
      <c r="D1561" s="21"/>
    </row>
    <row r="1562" spans="1:4" ht="12.75" customHeight="1" x14ac:dyDescent="0.2">
      <c r="A1562" s="21"/>
      <c r="B1562" s="3" t="s">
        <v>6</v>
      </c>
      <c r="C1562" s="20" t="s">
        <v>874</v>
      </c>
      <c r="D1562" s="21"/>
    </row>
    <row r="1563" spans="1:4" ht="12.75" customHeight="1" x14ac:dyDescent="0.2">
      <c r="A1563" s="21"/>
      <c r="B1563" s="3" t="s">
        <v>8</v>
      </c>
      <c r="C1563" s="20" t="s">
        <v>583</v>
      </c>
      <c r="D1563" s="21"/>
    </row>
    <row r="1564" spans="1:4" ht="12.75" customHeight="1" x14ac:dyDescent="0.2">
      <c r="A1564" s="21"/>
      <c r="B1564" s="3" t="s">
        <v>9</v>
      </c>
      <c r="C1564" s="20" t="s">
        <v>147</v>
      </c>
      <c r="D1564" s="21"/>
    </row>
    <row r="1565" spans="1:4" ht="12.75" customHeight="1" x14ac:dyDescent="0.2">
      <c r="A1565" s="21"/>
      <c r="B1565" s="3" t="s">
        <v>11</v>
      </c>
      <c r="C1565" s="20" t="s">
        <v>1092</v>
      </c>
      <c r="D1565" s="21"/>
    </row>
    <row r="1566" spans="1:4" ht="12.75" customHeight="1" x14ac:dyDescent="0.2">
      <c r="A1566" s="21"/>
      <c r="B1566" s="3" t="s">
        <v>13</v>
      </c>
      <c r="C1566" s="20" t="s">
        <v>24</v>
      </c>
      <c r="D1566" s="21"/>
    </row>
    <row r="1567" spans="1:4" ht="12.75" customHeight="1" x14ac:dyDescent="0.2">
      <c r="A1567" s="21"/>
      <c r="B1567" s="3" t="s">
        <v>15</v>
      </c>
      <c r="C1567" s="20" t="s">
        <v>14</v>
      </c>
      <c r="D1567" s="21"/>
    </row>
    <row r="1568" spans="1:4" ht="12.75" customHeight="1" x14ac:dyDescent="0.2">
      <c r="A1568" s="21"/>
      <c r="B1568" s="3" t="s">
        <v>16</v>
      </c>
      <c r="C1568" s="20"/>
      <c r="D1568" s="21"/>
    </row>
    <row r="1569" spans="1:4" ht="12.75" customHeight="1" x14ac:dyDescent="0.2">
      <c r="A1569" s="21"/>
      <c r="B1569" s="3" t="s">
        <v>17</v>
      </c>
      <c r="C1569" s="20"/>
      <c r="D1569" s="21"/>
    </row>
    <row r="1570" spans="1:4" ht="12.75" customHeight="1" x14ac:dyDescent="0.2">
      <c r="A1570" s="21"/>
      <c r="B1570" s="20" t="s">
        <v>18</v>
      </c>
      <c r="C1570" s="4" t="s">
        <v>98</v>
      </c>
      <c r="D1570" s="6" t="str">
        <f>HYPERLINK("javascript:void(0)","ezüstfullánk")</f>
        <v>ezüstfullánk</v>
      </c>
    </row>
    <row r="1571" spans="1:4" ht="12.75" customHeight="1" x14ac:dyDescent="0.2">
      <c r="A1571" s="21"/>
      <c r="B1571" s="21"/>
      <c r="C1571" s="4" t="s">
        <v>98</v>
      </c>
      <c r="D1571" s="6" t="str">
        <f>HYPERLINK("javascript:void(0)","gyémánt")</f>
        <v>gyémánt</v>
      </c>
    </row>
    <row r="1572" spans="1:4" ht="12.75" customHeight="1" x14ac:dyDescent="0.2">
      <c r="A1572" s="21"/>
      <c r="B1572" s="21"/>
      <c r="C1572" s="4" t="s">
        <v>68</v>
      </c>
      <c r="D1572" s="6" t="str">
        <f>HYPERLINK("javascript:void(0)","idegen bizgentyű")</f>
        <v>idegen bizgentyű</v>
      </c>
    </row>
    <row r="1573" spans="1:4" ht="12.75" customHeight="1" x14ac:dyDescent="0.2">
      <c r="A1573" s="5"/>
      <c r="B1573" s="2"/>
      <c r="C1573" s="2"/>
      <c r="D1573" s="2"/>
    </row>
    <row r="1574" spans="1:4" ht="12.75" customHeight="1" x14ac:dyDescent="0.2">
      <c r="A1574" s="22" t="str">
        <f>HYPERLINK("javascript:void(0)","centro mágusölő")</f>
        <v>centro mágusölő</v>
      </c>
      <c r="B1574" s="21"/>
      <c r="C1574" s="21"/>
      <c r="D1574" s="21"/>
    </row>
    <row r="1575" spans="1:4" ht="12.75" customHeight="1" x14ac:dyDescent="0.2">
      <c r="A1575" s="20"/>
      <c r="B1575" s="2"/>
      <c r="C1575" s="2"/>
      <c r="D1575" s="2"/>
    </row>
    <row r="1576" spans="1:4" ht="12.75" customHeight="1" x14ac:dyDescent="0.2">
      <c r="A1576" s="21"/>
      <c r="B1576" s="3" t="s">
        <v>0</v>
      </c>
      <c r="C1576" s="20" t="s">
        <v>272</v>
      </c>
      <c r="D1576" s="21"/>
    </row>
    <row r="1577" spans="1:4" ht="12.75" customHeight="1" x14ac:dyDescent="0.2">
      <c r="A1577" s="21"/>
      <c r="B1577" s="3" t="s">
        <v>2</v>
      </c>
      <c r="C1577" s="20" t="s">
        <v>1598</v>
      </c>
      <c r="D1577" s="21"/>
    </row>
    <row r="1578" spans="1:4" ht="12.75" customHeight="1" x14ac:dyDescent="0.2">
      <c r="A1578" s="21"/>
      <c r="B1578" s="3" t="s">
        <v>4</v>
      </c>
      <c r="C1578" s="20" t="s">
        <v>1823</v>
      </c>
      <c r="D1578" s="21"/>
    </row>
    <row r="1579" spans="1:4" ht="12.75" customHeight="1" x14ac:dyDescent="0.2">
      <c r="A1579" s="21"/>
      <c r="B1579" s="3" t="s">
        <v>6</v>
      </c>
      <c r="C1579" s="20" t="s">
        <v>48</v>
      </c>
      <c r="D1579" s="21"/>
    </row>
    <row r="1580" spans="1:4" ht="12.75" customHeight="1" x14ac:dyDescent="0.2">
      <c r="A1580" s="21"/>
      <c r="B1580" s="3" t="s">
        <v>8</v>
      </c>
      <c r="C1580" s="20" t="s">
        <v>1823</v>
      </c>
      <c r="D1580" s="21"/>
    </row>
    <row r="1581" spans="1:4" ht="12.75" customHeight="1" x14ac:dyDescent="0.2">
      <c r="A1581" s="21"/>
      <c r="B1581" s="3" t="s">
        <v>9</v>
      </c>
      <c r="C1581" s="20" t="s">
        <v>1824</v>
      </c>
      <c r="D1581" s="21"/>
    </row>
    <row r="1582" spans="1:4" ht="12.75" customHeight="1" x14ac:dyDescent="0.2">
      <c r="A1582" s="21"/>
      <c r="B1582" s="3" t="s">
        <v>11</v>
      </c>
      <c r="C1582" s="20" t="s">
        <v>551</v>
      </c>
      <c r="D1582" s="21"/>
    </row>
    <row r="1583" spans="1:4" ht="12.75" customHeight="1" x14ac:dyDescent="0.2">
      <c r="A1583" s="21"/>
      <c r="B1583" s="3" t="s">
        <v>13</v>
      </c>
      <c r="C1583" s="20" t="s">
        <v>14</v>
      </c>
      <c r="D1583" s="21"/>
    </row>
    <row r="1584" spans="1:4" ht="12.75" customHeight="1" x14ac:dyDescent="0.2">
      <c r="A1584" s="21"/>
      <c r="B1584" s="3" t="s">
        <v>15</v>
      </c>
      <c r="C1584" s="20" t="s">
        <v>24</v>
      </c>
      <c r="D1584" s="21"/>
    </row>
    <row r="1585" spans="1:4" ht="12.75" customHeight="1" x14ac:dyDescent="0.2">
      <c r="A1585" s="21"/>
      <c r="B1585" s="3" t="s">
        <v>16</v>
      </c>
      <c r="C1585" s="20"/>
      <c r="D1585" s="21"/>
    </row>
    <row r="1586" spans="1:4" ht="12.75" customHeight="1" x14ac:dyDescent="0.2">
      <c r="A1586" s="21"/>
      <c r="B1586" s="3" t="s">
        <v>17</v>
      </c>
      <c r="C1586" s="20"/>
      <c r="D1586" s="21"/>
    </row>
    <row r="1587" spans="1:4" ht="12.75" customHeight="1" x14ac:dyDescent="0.2">
      <c r="A1587" s="21"/>
      <c r="B1587" s="20" t="s">
        <v>18</v>
      </c>
      <c r="C1587" s="4" t="s">
        <v>44</v>
      </c>
      <c r="D1587" s="6" t="str">
        <f>HYPERLINK("javascript:void(0)","kithrill mágusölő")</f>
        <v>kithrill mágusölő</v>
      </c>
    </row>
    <row r="1588" spans="1:4" ht="12.75" customHeight="1" x14ac:dyDescent="0.2">
      <c r="A1588" s="21"/>
      <c r="B1588" s="21"/>
      <c r="C1588" s="4" t="s">
        <v>55</v>
      </c>
      <c r="D1588" s="6" t="str">
        <f>HYPERLINK("javascript:void(0)","sárkány szarv")</f>
        <v>sárkány szarv</v>
      </c>
    </row>
    <row r="1589" spans="1:4" ht="12.75" customHeight="1" x14ac:dyDescent="0.2">
      <c r="A1589" s="21"/>
      <c r="B1589" s="21"/>
      <c r="C1589" s="4" t="s">
        <v>117</v>
      </c>
      <c r="D1589" s="6" t="str">
        <f>HYPERLINK("javascript:void(0)","centrolium")</f>
        <v>centrolium</v>
      </c>
    </row>
    <row r="1590" spans="1:4" ht="12.75" customHeight="1" x14ac:dyDescent="0.2">
      <c r="A1590" s="5"/>
      <c r="B1590" s="2"/>
      <c r="C1590" s="2"/>
      <c r="D1590" s="2"/>
    </row>
    <row r="1591" spans="1:4" ht="12.75" customHeight="1" x14ac:dyDescent="0.2">
      <c r="A1591" s="22" t="str">
        <f>HYPERLINK("javascript:void(0)","óriásacél gigapallos")</f>
        <v>óriásacél gigapallos</v>
      </c>
      <c r="B1591" s="21"/>
      <c r="C1591" s="21"/>
      <c r="D1591" s="21"/>
    </row>
    <row r="1592" spans="1:4" ht="12.75" customHeight="1" x14ac:dyDescent="0.2">
      <c r="A1592" s="20"/>
      <c r="B1592" s="2"/>
      <c r="C1592" s="2"/>
      <c r="D1592" s="2"/>
    </row>
    <row r="1593" spans="1:4" ht="12.75" customHeight="1" x14ac:dyDescent="0.2">
      <c r="A1593" s="21"/>
      <c r="B1593" s="3" t="s">
        <v>0</v>
      </c>
      <c r="C1593" s="20" t="s">
        <v>284</v>
      </c>
      <c r="D1593" s="21"/>
    </row>
    <row r="1594" spans="1:4" ht="12.75" customHeight="1" x14ac:dyDescent="0.2">
      <c r="A1594" s="21"/>
      <c r="B1594" s="3" t="s">
        <v>2</v>
      </c>
      <c r="C1594" s="20" t="s">
        <v>1598</v>
      </c>
      <c r="D1594" s="21"/>
    </row>
    <row r="1595" spans="1:4" ht="12.75" customHeight="1" x14ac:dyDescent="0.2">
      <c r="A1595" s="21"/>
      <c r="B1595" s="3" t="s">
        <v>4</v>
      </c>
      <c r="C1595" s="20" t="s">
        <v>593</v>
      </c>
      <c r="D1595" s="21"/>
    </row>
    <row r="1596" spans="1:4" ht="12.75" customHeight="1" x14ac:dyDescent="0.2">
      <c r="A1596" s="21"/>
      <c r="B1596" s="3" t="s">
        <v>6</v>
      </c>
      <c r="C1596" s="20" t="s">
        <v>92</v>
      </c>
      <c r="D1596" s="21"/>
    </row>
    <row r="1597" spans="1:4" ht="12.75" customHeight="1" x14ac:dyDescent="0.2">
      <c r="A1597" s="21"/>
      <c r="B1597" s="3" t="s">
        <v>8</v>
      </c>
      <c r="C1597" s="20" t="s">
        <v>593</v>
      </c>
      <c r="D1597" s="21"/>
    </row>
    <row r="1598" spans="1:4" ht="12.75" customHeight="1" x14ac:dyDescent="0.2">
      <c r="A1598" s="21"/>
      <c r="B1598" s="3" t="s">
        <v>9</v>
      </c>
      <c r="C1598" s="20" t="s">
        <v>1826</v>
      </c>
      <c r="D1598" s="21"/>
    </row>
    <row r="1599" spans="1:4" ht="12.75" customHeight="1" x14ac:dyDescent="0.2">
      <c r="A1599" s="21"/>
      <c r="B1599" s="3" t="s">
        <v>11</v>
      </c>
      <c r="C1599" s="20" t="s">
        <v>560</v>
      </c>
      <c r="D1599" s="21"/>
    </row>
    <row r="1600" spans="1:4" ht="12.75" customHeight="1" x14ac:dyDescent="0.2">
      <c r="A1600" s="21"/>
      <c r="B1600" s="3" t="s">
        <v>13</v>
      </c>
      <c r="C1600" s="20" t="s">
        <v>24</v>
      </c>
      <c r="D1600" s="21"/>
    </row>
    <row r="1601" spans="1:4" ht="12.75" customHeight="1" x14ac:dyDescent="0.2">
      <c r="A1601" s="21"/>
      <c r="B1601" s="3" t="s">
        <v>15</v>
      </c>
      <c r="C1601" s="20" t="s">
        <v>24</v>
      </c>
      <c r="D1601" s="21"/>
    </row>
    <row r="1602" spans="1:4" ht="12.75" customHeight="1" x14ac:dyDescent="0.2">
      <c r="A1602" s="21"/>
      <c r="B1602" s="3" t="s">
        <v>16</v>
      </c>
      <c r="C1602" s="20"/>
      <c r="D1602" s="21"/>
    </row>
    <row r="1603" spans="1:4" ht="12.75" customHeight="1" x14ac:dyDescent="0.2">
      <c r="A1603" s="21"/>
      <c r="B1603" s="3" t="s">
        <v>17</v>
      </c>
      <c r="C1603" s="20"/>
      <c r="D1603" s="21"/>
    </row>
    <row r="1604" spans="1:4" ht="12.75" customHeight="1" x14ac:dyDescent="0.2">
      <c r="A1604" s="21"/>
      <c r="B1604" s="20" t="s">
        <v>18</v>
      </c>
      <c r="C1604" s="4" t="s">
        <v>67</v>
      </c>
      <c r="D1604" s="6" t="str">
        <f>HYPERLINK("javascript:void(0)","óriás korona")</f>
        <v>óriás korona</v>
      </c>
    </row>
    <row r="1605" spans="1:4" ht="12.75" customHeight="1" x14ac:dyDescent="0.2">
      <c r="A1605" s="21"/>
      <c r="B1605" s="21"/>
      <c r="C1605" s="4" t="s">
        <v>55</v>
      </c>
      <c r="D1605" s="6" t="str">
        <f>HYPERLINK("javascript:void(0)","platinarugó")</f>
        <v>platinarugó</v>
      </c>
    </row>
    <row r="1606" spans="1:4" ht="12.75" customHeight="1" x14ac:dyDescent="0.2">
      <c r="A1606" s="21"/>
      <c r="B1606" s="21"/>
      <c r="C1606" s="4" t="s">
        <v>67</v>
      </c>
      <c r="D1606" s="6" t="str">
        <f>HYPERLINK("javascript:void(0)","aranylánc")</f>
        <v>aranylánc</v>
      </c>
    </row>
    <row r="1607" spans="1:4" ht="12.75" customHeight="1" x14ac:dyDescent="0.2">
      <c r="A1607" s="5"/>
      <c r="B1607" s="2"/>
      <c r="C1607" s="2"/>
      <c r="D1607" s="2"/>
    </row>
    <row r="1608" spans="1:4" ht="12.75" customHeight="1" x14ac:dyDescent="0.2">
      <c r="A1608" s="22" t="str">
        <f>HYPERLINK("javascript:void(0)","elfacél kard")</f>
        <v>elfacél kard</v>
      </c>
      <c r="B1608" s="21"/>
      <c r="C1608" s="21"/>
      <c r="D1608" s="21"/>
    </row>
    <row r="1609" spans="1:4" ht="12.75" customHeight="1" x14ac:dyDescent="0.2">
      <c r="A1609" s="20"/>
      <c r="B1609" s="2"/>
      <c r="C1609" s="2"/>
      <c r="D1609" s="2"/>
    </row>
    <row r="1610" spans="1:4" ht="12.75" customHeight="1" x14ac:dyDescent="0.2">
      <c r="A1610" s="21"/>
      <c r="B1610" s="3" t="s">
        <v>0</v>
      </c>
      <c r="C1610" s="20" t="s">
        <v>284</v>
      </c>
      <c r="D1610" s="21"/>
    </row>
    <row r="1611" spans="1:4" ht="12.75" customHeight="1" x14ac:dyDescent="0.2">
      <c r="A1611" s="21"/>
      <c r="B1611" s="3" t="s">
        <v>2</v>
      </c>
      <c r="C1611" s="20" t="s">
        <v>1598</v>
      </c>
      <c r="D1611" s="21"/>
    </row>
    <row r="1612" spans="1:4" ht="12.75" customHeight="1" x14ac:dyDescent="0.2">
      <c r="A1612" s="21"/>
      <c r="B1612" s="3" t="s">
        <v>4</v>
      </c>
      <c r="C1612" s="20" t="s">
        <v>572</v>
      </c>
      <c r="D1612" s="21"/>
    </row>
    <row r="1613" spans="1:4" ht="12.75" customHeight="1" x14ac:dyDescent="0.2">
      <c r="A1613" s="21"/>
      <c r="B1613" s="3" t="s">
        <v>6</v>
      </c>
      <c r="C1613" s="20" t="s">
        <v>221</v>
      </c>
      <c r="D1613" s="21"/>
    </row>
    <row r="1614" spans="1:4" ht="12.75" customHeight="1" x14ac:dyDescent="0.2">
      <c r="A1614" s="21"/>
      <c r="B1614" s="3" t="s">
        <v>8</v>
      </c>
      <c r="C1614" s="20" t="s">
        <v>572</v>
      </c>
      <c r="D1614" s="21"/>
    </row>
    <row r="1615" spans="1:4" ht="12.75" customHeight="1" x14ac:dyDescent="0.2">
      <c r="A1615" s="21"/>
      <c r="B1615" s="3" t="s">
        <v>9</v>
      </c>
      <c r="C1615" s="20" t="s">
        <v>147</v>
      </c>
      <c r="D1615" s="21"/>
    </row>
    <row r="1616" spans="1:4" ht="12.75" customHeight="1" x14ac:dyDescent="0.2">
      <c r="A1616" s="21"/>
      <c r="B1616" s="3" t="s">
        <v>11</v>
      </c>
      <c r="C1616" s="20" t="s">
        <v>1827</v>
      </c>
      <c r="D1616" s="21"/>
    </row>
    <row r="1617" spans="1:4" ht="12.75" customHeight="1" x14ac:dyDescent="0.2">
      <c r="A1617" s="21"/>
      <c r="B1617" s="3" t="s">
        <v>13</v>
      </c>
      <c r="C1617" s="20" t="s">
        <v>24</v>
      </c>
      <c r="D1617" s="21"/>
    </row>
    <row r="1618" spans="1:4" ht="12.75" customHeight="1" x14ac:dyDescent="0.2">
      <c r="A1618" s="21"/>
      <c r="B1618" s="3" t="s">
        <v>15</v>
      </c>
      <c r="C1618" s="20" t="s">
        <v>24</v>
      </c>
      <c r="D1618" s="21"/>
    </row>
    <row r="1619" spans="1:4" ht="12.75" customHeight="1" x14ac:dyDescent="0.2">
      <c r="A1619" s="21"/>
      <c r="B1619" s="3" t="s">
        <v>16</v>
      </c>
      <c r="C1619" s="20"/>
      <c r="D1619" s="21"/>
    </row>
    <row r="1620" spans="1:4" ht="12.75" customHeight="1" x14ac:dyDescent="0.2">
      <c r="A1620" s="21"/>
      <c r="B1620" s="3" t="s">
        <v>17</v>
      </c>
      <c r="C1620" s="20"/>
      <c r="D1620" s="21"/>
    </row>
    <row r="1621" spans="1:4" ht="12.75" customHeight="1" x14ac:dyDescent="0.2">
      <c r="A1621" s="21"/>
      <c r="B1621" s="20" t="s">
        <v>18</v>
      </c>
      <c r="C1621" s="4" t="s">
        <v>67</v>
      </c>
      <c r="D1621" s="6" t="str">
        <f>HYPERLINK("javascript:void(0)","sárkányfű")</f>
        <v>sárkányfű</v>
      </c>
    </row>
    <row r="1622" spans="1:4" ht="12.75" customHeight="1" x14ac:dyDescent="0.2">
      <c r="A1622" s="21"/>
      <c r="B1622" s="21"/>
      <c r="C1622" s="4" t="s">
        <v>57</v>
      </c>
      <c r="D1622" s="6" t="str">
        <f>HYPERLINK("javascript:void(0)","szent szimbólum")</f>
        <v>szent szimbólum</v>
      </c>
    </row>
    <row r="1623" spans="1:4" ht="12.75" customHeight="1" x14ac:dyDescent="0.2">
      <c r="A1623" s="21"/>
      <c r="B1623" s="21"/>
      <c r="C1623" s="4" t="s">
        <v>57</v>
      </c>
      <c r="D1623" s="6" t="str">
        <f>HYPERLINK("javascript:void(0)","légzsák")</f>
        <v>légzsák</v>
      </c>
    </row>
    <row r="1624" spans="1:4" ht="12.75" customHeight="1" x14ac:dyDescent="0.2">
      <c r="A1624" s="5"/>
      <c r="B1624" s="2"/>
      <c r="C1624" s="2"/>
      <c r="D1624" s="2"/>
    </row>
    <row r="1625" spans="1:4" ht="12.75" customHeight="1" x14ac:dyDescent="0.2">
      <c r="A1625" s="22" t="str">
        <f>HYPERLINK("javascript:void(0)","gyíkacél tőr")</f>
        <v>gyíkacél tőr</v>
      </c>
      <c r="B1625" s="21"/>
      <c r="C1625" s="21"/>
      <c r="D1625" s="21"/>
    </row>
    <row r="1626" spans="1:4" ht="12.75" customHeight="1" x14ac:dyDescent="0.2">
      <c r="A1626" s="20"/>
      <c r="B1626" s="2"/>
      <c r="C1626" s="2"/>
      <c r="D1626" s="2"/>
    </row>
    <row r="1627" spans="1:4" ht="12.75" customHeight="1" x14ac:dyDescent="0.2">
      <c r="A1627" s="21"/>
      <c r="B1627" s="3" t="s">
        <v>0</v>
      </c>
      <c r="C1627" s="20" t="s">
        <v>284</v>
      </c>
      <c r="D1627" s="21"/>
    </row>
    <row r="1628" spans="1:4" ht="12.75" customHeight="1" x14ac:dyDescent="0.2">
      <c r="A1628" s="21"/>
      <c r="B1628" s="3" t="s">
        <v>2</v>
      </c>
      <c r="C1628" s="20" t="s">
        <v>1598</v>
      </c>
      <c r="D1628" s="21"/>
    </row>
    <row r="1629" spans="1:4" ht="12.75" customHeight="1" x14ac:dyDescent="0.2">
      <c r="A1629" s="21"/>
      <c r="B1629" s="3" t="s">
        <v>4</v>
      </c>
      <c r="C1629" s="20" t="s">
        <v>579</v>
      </c>
      <c r="D1629" s="21"/>
    </row>
    <row r="1630" spans="1:4" ht="12.75" customHeight="1" x14ac:dyDescent="0.2">
      <c r="A1630" s="21"/>
      <c r="B1630" s="3" t="s">
        <v>6</v>
      </c>
      <c r="C1630" s="20" t="s">
        <v>88</v>
      </c>
      <c r="D1630" s="21"/>
    </row>
    <row r="1631" spans="1:4" ht="12.75" customHeight="1" x14ac:dyDescent="0.2">
      <c r="A1631" s="21"/>
      <c r="B1631" s="3" t="s">
        <v>8</v>
      </c>
      <c r="C1631" s="20" t="s">
        <v>579</v>
      </c>
      <c r="D1631" s="21"/>
    </row>
    <row r="1632" spans="1:4" ht="12.75" customHeight="1" x14ac:dyDescent="0.2">
      <c r="A1632" s="21"/>
      <c r="B1632" s="3" t="s">
        <v>9</v>
      </c>
      <c r="C1632" s="20" t="s">
        <v>580</v>
      </c>
      <c r="D1632" s="21"/>
    </row>
    <row r="1633" spans="1:4" ht="12.75" customHeight="1" x14ac:dyDescent="0.2">
      <c r="A1633" s="21"/>
      <c r="B1633" s="3" t="s">
        <v>11</v>
      </c>
      <c r="C1633" s="20" t="s">
        <v>395</v>
      </c>
      <c r="D1633" s="21"/>
    </row>
    <row r="1634" spans="1:4" ht="12.75" customHeight="1" x14ac:dyDescent="0.2">
      <c r="A1634" s="21"/>
      <c r="B1634" s="3" t="s">
        <v>13</v>
      </c>
      <c r="C1634" s="20" t="s">
        <v>24</v>
      </c>
      <c r="D1634" s="21"/>
    </row>
    <row r="1635" spans="1:4" ht="12.75" customHeight="1" x14ac:dyDescent="0.2">
      <c r="A1635" s="21"/>
      <c r="B1635" s="3" t="s">
        <v>15</v>
      </c>
      <c r="C1635" s="20" t="s">
        <v>24</v>
      </c>
      <c r="D1635" s="21"/>
    </row>
    <row r="1636" spans="1:4" ht="12.75" customHeight="1" x14ac:dyDescent="0.2">
      <c r="A1636" s="21"/>
      <c r="B1636" s="3" t="s">
        <v>16</v>
      </c>
      <c r="C1636" s="20"/>
      <c r="D1636" s="21"/>
    </row>
    <row r="1637" spans="1:4" ht="12.75" customHeight="1" x14ac:dyDescent="0.2">
      <c r="A1637" s="21"/>
      <c r="B1637" s="3" t="s">
        <v>17</v>
      </c>
      <c r="C1637" s="20"/>
      <c r="D1637" s="21"/>
    </row>
    <row r="1638" spans="1:4" ht="12.75" customHeight="1" x14ac:dyDescent="0.2">
      <c r="A1638" s="21"/>
      <c r="B1638" s="20" t="s">
        <v>18</v>
      </c>
      <c r="C1638" s="4" t="s">
        <v>67</v>
      </c>
      <c r="D1638" s="6" t="str">
        <f>HYPERLINK("javascript:void(0)","bűzmirigy")</f>
        <v>bűzmirigy</v>
      </c>
    </row>
    <row r="1639" spans="1:4" ht="12.75" customHeight="1" x14ac:dyDescent="0.2">
      <c r="A1639" s="21"/>
      <c r="B1639" s="21"/>
      <c r="C1639" s="4" t="s">
        <v>67</v>
      </c>
      <c r="D1639" s="6" t="str">
        <f>HYPERLINK("javascript:void(0)","démoncsőr")</f>
        <v>démoncsőr</v>
      </c>
    </row>
    <row r="1640" spans="1:4" ht="12.75" customHeight="1" x14ac:dyDescent="0.2">
      <c r="A1640" s="21"/>
      <c r="B1640" s="21"/>
      <c r="C1640" s="4" t="s">
        <v>57</v>
      </c>
      <c r="D1640" s="6" t="str">
        <f>HYPERLINK("javascript:void(0)","gillpenge")</f>
        <v>gillpenge</v>
      </c>
    </row>
    <row r="1641" spans="1:4" ht="12.75" customHeight="1" x14ac:dyDescent="0.2">
      <c r="A1641" s="5"/>
      <c r="B1641" s="2"/>
      <c r="C1641" s="2"/>
      <c r="D1641" s="2"/>
    </row>
    <row r="1642" spans="1:4" ht="12.75" customHeight="1" x14ac:dyDescent="0.2">
      <c r="A1642" s="22" t="str">
        <f>HYPERLINK("javascript:void(0)","óriásacél kard")</f>
        <v>óriásacél kard</v>
      </c>
      <c r="B1642" s="21"/>
      <c r="C1642" s="21"/>
      <c r="D1642" s="21"/>
    </row>
    <row r="1643" spans="1:4" ht="12.75" customHeight="1" x14ac:dyDescent="0.2">
      <c r="A1643" s="20"/>
      <c r="B1643" s="2"/>
      <c r="C1643" s="2"/>
      <c r="D1643" s="2"/>
    </row>
    <row r="1644" spans="1:4" ht="12.75" customHeight="1" x14ac:dyDescent="0.2">
      <c r="A1644" s="21"/>
      <c r="B1644" s="3" t="s">
        <v>0</v>
      </c>
      <c r="C1644" s="20" t="s">
        <v>291</v>
      </c>
      <c r="D1644" s="21"/>
    </row>
    <row r="1645" spans="1:4" ht="12.75" customHeight="1" x14ac:dyDescent="0.2">
      <c r="A1645" s="21"/>
      <c r="B1645" s="3" t="s">
        <v>2</v>
      </c>
      <c r="C1645" s="20" t="s">
        <v>1598</v>
      </c>
      <c r="D1645" s="21"/>
    </row>
    <row r="1646" spans="1:4" ht="12.75" customHeight="1" x14ac:dyDescent="0.2">
      <c r="A1646" s="21"/>
      <c r="B1646" s="3" t="s">
        <v>4</v>
      </c>
      <c r="C1646" s="20" t="s">
        <v>588</v>
      </c>
      <c r="D1646" s="21"/>
    </row>
    <row r="1647" spans="1:4" ht="12.75" customHeight="1" x14ac:dyDescent="0.2">
      <c r="A1647" s="21"/>
      <c r="B1647" s="3" t="s">
        <v>6</v>
      </c>
      <c r="C1647" s="20" t="s">
        <v>221</v>
      </c>
      <c r="D1647" s="21"/>
    </row>
    <row r="1648" spans="1:4" ht="12.75" customHeight="1" x14ac:dyDescent="0.2">
      <c r="A1648" s="21"/>
      <c r="B1648" s="3" t="s">
        <v>8</v>
      </c>
      <c r="C1648" s="20" t="s">
        <v>588</v>
      </c>
      <c r="D1648" s="21"/>
    </row>
    <row r="1649" spans="1:4" ht="12.75" customHeight="1" x14ac:dyDescent="0.2">
      <c r="A1649" s="21"/>
      <c r="B1649" s="3" t="s">
        <v>9</v>
      </c>
      <c r="C1649" s="20" t="s">
        <v>306</v>
      </c>
      <c r="D1649" s="21"/>
    </row>
    <row r="1650" spans="1:4" ht="12.75" customHeight="1" x14ac:dyDescent="0.2">
      <c r="A1650" s="21"/>
      <c r="B1650" s="3" t="s">
        <v>11</v>
      </c>
      <c r="C1650" s="20" t="s">
        <v>1828</v>
      </c>
      <c r="D1650" s="21"/>
    </row>
    <row r="1651" spans="1:4" ht="12.75" customHeight="1" x14ac:dyDescent="0.2">
      <c r="A1651" s="21"/>
      <c r="B1651" s="3" t="s">
        <v>13</v>
      </c>
      <c r="C1651" s="20" t="s">
        <v>24</v>
      </c>
      <c r="D1651" s="21"/>
    </row>
    <row r="1652" spans="1:4" ht="12.75" customHeight="1" x14ac:dyDescent="0.2">
      <c r="A1652" s="21"/>
      <c r="B1652" s="3" t="s">
        <v>15</v>
      </c>
      <c r="C1652" s="20" t="s">
        <v>24</v>
      </c>
      <c r="D1652" s="21"/>
    </row>
    <row r="1653" spans="1:4" ht="12.75" customHeight="1" x14ac:dyDescent="0.2">
      <c r="A1653" s="21"/>
      <c r="B1653" s="3" t="s">
        <v>16</v>
      </c>
      <c r="C1653" s="20"/>
      <c r="D1653" s="21"/>
    </row>
    <row r="1654" spans="1:4" ht="12.75" customHeight="1" x14ac:dyDescent="0.2">
      <c r="A1654" s="21"/>
      <c r="B1654" s="3" t="s">
        <v>17</v>
      </c>
      <c r="C1654" s="20"/>
      <c r="D1654" s="21"/>
    </row>
    <row r="1655" spans="1:4" ht="12.75" customHeight="1" x14ac:dyDescent="0.2">
      <c r="A1655" s="21"/>
      <c r="B1655" s="20" t="s">
        <v>18</v>
      </c>
      <c r="C1655" s="4" t="s">
        <v>56</v>
      </c>
      <c r="D1655" s="6" t="str">
        <f>HYPERLINK("javascript:void(0)","óriás korona")</f>
        <v>óriás korona</v>
      </c>
    </row>
    <row r="1656" spans="1:4" ht="12.75" customHeight="1" x14ac:dyDescent="0.2">
      <c r="A1656" s="21"/>
      <c r="B1656" s="21"/>
      <c r="C1656" s="4" t="s">
        <v>56</v>
      </c>
      <c r="D1656" s="6" t="str">
        <f>HYPERLINK("javascript:void(0)","szépia")</f>
        <v>szépia</v>
      </c>
    </row>
    <row r="1657" spans="1:4" ht="12.75" customHeight="1" x14ac:dyDescent="0.2">
      <c r="A1657" s="21"/>
      <c r="B1657" s="21"/>
      <c r="C1657" s="4" t="s">
        <v>77</v>
      </c>
      <c r="D1657" s="6" t="str">
        <f>HYPERLINK("javascript:void(0)","légzsák")</f>
        <v>légzsák</v>
      </c>
    </row>
    <row r="1658" spans="1:4" ht="12.75" customHeight="1" x14ac:dyDescent="0.2">
      <c r="A1658" s="5"/>
      <c r="B1658" s="2"/>
      <c r="C1658" s="2"/>
      <c r="D1658" s="2"/>
    </row>
    <row r="1659" spans="1:4" ht="12.75" customHeight="1" x14ac:dyDescent="0.2">
      <c r="A1659" s="22" t="str">
        <f>HYPERLINK("javascript:void(0)","fülpenge")</f>
        <v>fülpenge</v>
      </c>
      <c r="B1659" s="21"/>
      <c r="C1659" s="21"/>
      <c r="D1659" s="2"/>
    </row>
    <row r="1660" spans="1:4" ht="12.75" customHeight="1" x14ac:dyDescent="0.2">
      <c r="A1660" s="20"/>
      <c r="B1660" s="2"/>
      <c r="C1660" s="2"/>
      <c r="D1660" s="2"/>
    </row>
    <row r="1661" spans="1:4" ht="12.75" customHeight="1" x14ac:dyDescent="0.2">
      <c r="A1661" s="21"/>
      <c r="B1661" s="3" t="s">
        <v>0</v>
      </c>
      <c r="C1661" s="3" t="s">
        <v>291</v>
      </c>
      <c r="D1661" s="2"/>
    </row>
    <row r="1662" spans="1:4" ht="12.75" customHeight="1" x14ac:dyDescent="0.2">
      <c r="A1662" s="21"/>
      <c r="B1662" s="3" t="s">
        <v>2</v>
      </c>
      <c r="C1662" s="3" t="s">
        <v>1598</v>
      </c>
      <c r="D1662" s="2"/>
    </row>
    <row r="1663" spans="1:4" ht="12.75" customHeight="1" x14ac:dyDescent="0.2">
      <c r="A1663" s="21"/>
      <c r="B1663" s="3" t="s">
        <v>4</v>
      </c>
      <c r="C1663" s="3" t="s">
        <v>175</v>
      </c>
      <c r="D1663" s="2"/>
    </row>
    <row r="1664" spans="1:4" ht="12.75" customHeight="1" x14ac:dyDescent="0.2">
      <c r="A1664" s="21"/>
      <c r="B1664" s="3" t="s">
        <v>6</v>
      </c>
      <c r="C1664" s="3" t="s">
        <v>115</v>
      </c>
      <c r="D1664" s="2"/>
    </row>
    <row r="1665" spans="1:4" ht="12.75" customHeight="1" x14ac:dyDescent="0.2">
      <c r="A1665" s="21"/>
      <c r="B1665" s="3" t="s">
        <v>8</v>
      </c>
      <c r="C1665" s="3" t="s">
        <v>175</v>
      </c>
      <c r="D1665" s="2"/>
    </row>
    <row r="1666" spans="1:4" ht="12.75" customHeight="1" x14ac:dyDescent="0.2">
      <c r="A1666" s="21"/>
      <c r="B1666" s="3" t="s">
        <v>9</v>
      </c>
      <c r="C1666" s="3" t="s">
        <v>30</v>
      </c>
      <c r="D1666" s="2"/>
    </row>
    <row r="1667" spans="1:4" ht="12.75" customHeight="1" x14ac:dyDescent="0.2">
      <c r="A1667" s="21"/>
      <c r="B1667" s="3" t="s">
        <v>11</v>
      </c>
      <c r="C1667" s="3" t="s">
        <v>486</v>
      </c>
      <c r="D1667" s="2"/>
    </row>
    <row r="1668" spans="1:4" ht="12.75" customHeight="1" x14ac:dyDescent="0.2">
      <c r="A1668" s="21"/>
      <c r="B1668" s="3" t="s">
        <v>13</v>
      </c>
      <c r="C1668" s="3" t="s">
        <v>24</v>
      </c>
      <c r="D1668" s="2"/>
    </row>
    <row r="1669" spans="1:4" ht="12.75" customHeight="1" x14ac:dyDescent="0.2">
      <c r="A1669" s="21"/>
      <c r="B1669" s="3" t="s">
        <v>15</v>
      </c>
      <c r="C1669" s="3" t="s">
        <v>24</v>
      </c>
      <c r="D1669" s="2"/>
    </row>
    <row r="1670" spans="1:4" ht="12.75" customHeight="1" x14ac:dyDescent="0.2">
      <c r="A1670" s="21"/>
      <c r="B1670" s="3" t="s">
        <v>16</v>
      </c>
      <c r="C1670" s="3"/>
      <c r="D1670" s="2"/>
    </row>
    <row r="1671" spans="1:4" ht="12.75" customHeight="1" x14ac:dyDescent="0.2">
      <c r="A1671" s="21"/>
      <c r="B1671" s="3" t="s">
        <v>17</v>
      </c>
      <c r="C1671" s="3"/>
      <c r="D1671" s="2"/>
    </row>
    <row r="1672" spans="1:4" ht="12.75" customHeight="1" x14ac:dyDescent="0.2">
      <c r="A1672" s="21"/>
      <c r="B1672" s="3" t="s">
        <v>18</v>
      </c>
      <c r="C1672" s="4" t="s">
        <v>19</v>
      </c>
      <c r="D1672" s="2"/>
    </row>
    <row r="1673" spans="1:4" ht="12.75" customHeight="1" x14ac:dyDescent="0.2">
      <c r="A1673" s="5"/>
      <c r="B1673" s="2"/>
      <c r="C1673" s="2"/>
      <c r="D1673" s="2"/>
    </row>
    <row r="1674" spans="1:4" ht="12.75" customHeight="1" x14ac:dyDescent="0.2">
      <c r="A1674" s="22" t="str">
        <f>HYPERLINK("javascript:void(0)","kompózium mágusölő")</f>
        <v>kompózium mágusölő</v>
      </c>
      <c r="B1674" s="21"/>
      <c r="C1674" s="21"/>
      <c r="D1674" s="21"/>
    </row>
    <row r="1675" spans="1:4" ht="12.75" customHeight="1" x14ac:dyDescent="0.2">
      <c r="A1675" s="20"/>
      <c r="B1675" s="2"/>
      <c r="C1675" s="2"/>
      <c r="D1675" s="2"/>
    </row>
    <row r="1676" spans="1:4" ht="12.75" customHeight="1" x14ac:dyDescent="0.2">
      <c r="A1676" s="21"/>
      <c r="B1676" s="3" t="s">
        <v>0</v>
      </c>
      <c r="C1676" s="20" t="s">
        <v>291</v>
      </c>
      <c r="D1676" s="21"/>
    </row>
    <row r="1677" spans="1:4" ht="12.75" customHeight="1" x14ac:dyDescent="0.2">
      <c r="A1677" s="21"/>
      <c r="B1677" s="3" t="s">
        <v>2</v>
      </c>
      <c r="C1677" s="20" t="s">
        <v>1598</v>
      </c>
      <c r="D1677" s="21"/>
    </row>
    <row r="1678" spans="1:4" ht="12.75" customHeight="1" x14ac:dyDescent="0.2">
      <c r="A1678" s="21"/>
      <c r="B1678" s="3" t="s">
        <v>4</v>
      </c>
      <c r="C1678" s="20" t="s">
        <v>1829</v>
      </c>
      <c r="D1678" s="21"/>
    </row>
    <row r="1679" spans="1:4" ht="12.75" customHeight="1" x14ac:dyDescent="0.2">
      <c r="A1679" s="21"/>
      <c r="B1679" s="3" t="s">
        <v>6</v>
      </c>
      <c r="C1679" s="20" t="s">
        <v>48</v>
      </c>
      <c r="D1679" s="21"/>
    </row>
    <row r="1680" spans="1:4" ht="12.75" customHeight="1" x14ac:dyDescent="0.2">
      <c r="A1680" s="21"/>
      <c r="B1680" s="3" t="s">
        <v>8</v>
      </c>
      <c r="C1680" s="20" t="s">
        <v>1829</v>
      </c>
      <c r="D1680" s="21"/>
    </row>
    <row r="1681" spans="1:4" ht="12.75" customHeight="1" x14ac:dyDescent="0.2">
      <c r="A1681" s="21"/>
      <c r="B1681" s="3" t="s">
        <v>9</v>
      </c>
      <c r="C1681" s="20" t="s">
        <v>401</v>
      </c>
      <c r="D1681" s="21"/>
    </row>
    <row r="1682" spans="1:4" ht="12.75" customHeight="1" x14ac:dyDescent="0.2">
      <c r="A1682" s="21"/>
      <c r="B1682" s="3" t="s">
        <v>11</v>
      </c>
      <c r="C1682" s="20" t="s">
        <v>395</v>
      </c>
      <c r="D1682" s="21"/>
    </row>
    <row r="1683" spans="1:4" ht="12.75" customHeight="1" x14ac:dyDescent="0.2">
      <c r="A1683" s="21"/>
      <c r="B1683" s="3" t="s">
        <v>13</v>
      </c>
      <c r="C1683" s="20" t="s">
        <v>14</v>
      </c>
      <c r="D1683" s="21"/>
    </row>
    <row r="1684" spans="1:4" ht="12.75" customHeight="1" x14ac:dyDescent="0.2">
      <c r="A1684" s="21"/>
      <c r="B1684" s="3" t="s">
        <v>15</v>
      </c>
      <c r="C1684" s="20" t="s">
        <v>24</v>
      </c>
      <c r="D1684" s="21"/>
    </row>
    <row r="1685" spans="1:4" ht="12.75" customHeight="1" x14ac:dyDescent="0.2">
      <c r="A1685" s="21"/>
      <c r="B1685" s="3" t="s">
        <v>16</v>
      </c>
      <c r="C1685" s="20"/>
      <c r="D1685" s="21"/>
    </row>
    <row r="1686" spans="1:4" ht="12.75" customHeight="1" x14ac:dyDescent="0.2">
      <c r="A1686" s="21"/>
      <c r="B1686" s="3" t="s">
        <v>17</v>
      </c>
      <c r="C1686" s="20"/>
      <c r="D1686" s="21"/>
    </row>
    <row r="1687" spans="1:4" ht="12.75" customHeight="1" x14ac:dyDescent="0.2">
      <c r="A1687" s="21"/>
      <c r="B1687" s="20" t="s">
        <v>18</v>
      </c>
      <c r="C1687" s="4" t="s">
        <v>139</v>
      </c>
      <c r="D1687" s="6" t="str">
        <f>HYPERLINK("javascript:void(0)","kompózium")</f>
        <v>kompózium</v>
      </c>
    </row>
    <row r="1688" spans="1:4" ht="12.75" customHeight="1" x14ac:dyDescent="0.2">
      <c r="A1688" s="21"/>
      <c r="B1688" s="21"/>
      <c r="C1688" s="4" t="s">
        <v>130</v>
      </c>
      <c r="D1688" s="6" t="str">
        <f>HYPERLINK("javascript:void(0)","vámpírherbium")</f>
        <v>vámpírherbium</v>
      </c>
    </row>
    <row r="1689" spans="1:4" ht="12.75" customHeight="1" x14ac:dyDescent="0.2">
      <c r="A1689" s="21"/>
      <c r="B1689" s="21"/>
      <c r="C1689" s="4" t="s">
        <v>232</v>
      </c>
      <c r="D1689" s="6" t="str">
        <f>HYPERLINK("javascript:void(0)","légzsák")</f>
        <v>légzsák</v>
      </c>
    </row>
    <row r="1690" spans="1:4" ht="12.75" customHeight="1" x14ac:dyDescent="0.2">
      <c r="A1690" s="5"/>
      <c r="B1690" s="2"/>
      <c r="C1690" s="2"/>
      <c r="D1690" s="2"/>
    </row>
    <row r="1691" spans="1:4" ht="12.75" customHeight="1" x14ac:dyDescent="0.2">
      <c r="A1691" s="22" t="str">
        <f>HYPERLINK("javascript:void(0)","elfacél olló")</f>
        <v>elfacél olló</v>
      </c>
      <c r="B1691" s="21"/>
      <c r="C1691" s="21"/>
      <c r="D1691" s="21"/>
    </row>
    <row r="1692" spans="1:4" ht="12.75" customHeight="1" x14ac:dyDescent="0.2">
      <c r="A1692" s="20"/>
      <c r="B1692" s="2"/>
      <c r="C1692" s="2"/>
      <c r="D1692" s="2"/>
    </row>
    <row r="1693" spans="1:4" ht="12.75" customHeight="1" x14ac:dyDescent="0.2">
      <c r="A1693" s="21"/>
      <c r="B1693" s="3" t="s">
        <v>0</v>
      </c>
      <c r="C1693" s="20" t="s">
        <v>298</v>
      </c>
      <c r="D1693" s="21"/>
    </row>
    <row r="1694" spans="1:4" ht="12.75" customHeight="1" x14ac:dyDescent="0.2">
      <c r="A1694" s="21"/>
      <c r="B1694" s="3" t="s">
        <v>2</v>
      </c>
      <c r="C1694" s="20" t="s">
        <v>1598</v>
      </c>
      <c r="D1694" s="21"/>
    </row>
    <row r="1695" spans="1:4" ht="12.75" customHeight="1" x14ac:dyDescent="0.2">
      <c r="A1695" s="21"/>
      <c r="B1695" s="3" t="s">
        <v>4</v>
      </c>
      <c r="C1695" s="20" t="s">
        <v>583</v>
      </c>
      <c r="D1695" s="21"/>
    </row>
    <row r="1696" spans="1:4" ht="12.75" customHeight="1" x14ac:dyDescent="0.2">
      <c r="A1696" s="21"/>
      <c r="B1696" s="3" t="s">
        <v>6</v>
      </c>
      <c r="C1696" s="20" t="s">
        <v>178</v>
      </c>
      <c r="D1696" s="21"/>
    </row>
    <row r="1697" spans="1:4" ht="12.75" customHeight="1" x14ac:dyDescent="0.2">
      <c r="A1697" s="21"/>
      <c r="B1697" s="3" t="s">
        <v>8</v>
      </c>
      <c r="C1697" s="20" t="s">
        <v>583</v>
      </c>
      <c r="D1697" s="21"/>
    </row>
    <row r="1698" spans="1:4" ht="12.75" customHeight="1" x14ac:dyDescent="0.2">
      <c r="A1698" s="21"/>
      <c r="B1698" s="3" t="s">
        <v>9</v>
      </c>
      <c r="C1698" s="20" t="s">
        <v>374</v>
      </c>
      <c r="D1698" s="21"/>
    </row>
    <row r="1699" spans="1:4" ht="12.75" customHeight="1" x14ac:dyDescent="0.2">
      <c r="A1699" s="21"/>
      <c r="B1699" s="3" t="s">
        <v>11</v>
      </c>
      <c r="C1699" s="20" t="s">
        <v>1830</v>
      </c>
      <c r="D1699" s="21"/>
    </row>
    <row r="1700" spans="1:4" ht="12.75" customHeight="1" x14ac:dyDescent="0.2">
      <c r="A1700" s="21"/>
      <c r="B1700" s="3" t="s">
        <v>13</v>
      </c>
      <c r="C1700" s="20" t="s">
        <v>24</v>
      </c>
      <c r="D1700" s="21"/>
    </row>
    <row r="1701" spans="1:4" ht="12.75" customHeight="1" x14ac:dyDescent="0.2">
      <c r="A1701" s="21"/>
      <c r="B1701" s="3" t="s">
        <v>15</v>
      </c>
      <c r="C1701" s="20" t="s">
        <v>24</v>
      </c>
      <c r="D1701" s="21"/>
    </row>
    <row r="1702" spans="1:4" ht="12.75" customHeight="1" x14ac:dyDescent="0.2">
      <c r="A1702" s="21"/>
      <c r="B1702" s="3" t="s">
        <v>16</v>
      </c>
      <c r="C1702" s="20"/>
      <c r="D1702" s="21"/>
    </row>
    <row r="1703" spans="1:4" ht="12.75" customHeight="1" x14ac:dyDescent="0.2">
      <c r="A1703" s="21"/>
      <c r="B1703" s="3" t="s">
        <v>17</v>
      </c>
      <c r="C1703" s="20"/>
      <c r="D1703" s="21"/>
    </row>
    <row r="1704" spans="1:4" ht="12.75" customHeight="1" x14ac:dyDescent="0.2">
      <c r="A1704" s="21"/>
      <c r="B1704" s="20" t="s">
        <v>18</v>
      </c>
      <c r="C1704" s="4" t="s">
        <v>56</v>
      </c>
      <c r="D1704" s="6" t="str">
        <f>HYPERLINK("javascript:void(0)","elfacél keresztvas")</f>
        <v>elfacél keresztvas</v>
      </c>
    </row>
    <row r="1705" spans="1:4" ht="12.75" customHeight="1" x14ac:dyDescent="0.2">
      <c r="A1705" s="21"/>
      <c r="B1705" s="21"/>
      <c r="C1705" s="4" t="s">
        <v>44</v>
      </c>
      <c r="D1705" s="6" t="str">
        <f>HYPERLINK("javascript:void(0)","elfacél kard")</f>
        <v>elfacél kard</v>
      </c>
    </row>
    <row r="1706" spans="1:4" ht="12.75" customHeight="1" x14ac:dyDescent="0.2">
      <c r="A1706" s="21"/>
      <c r="B1706" s="21"/>
      <c r="C1706" s="4" t="s">
        <v>232</v>
      </c>
      <c r="D1706" s="6" t="str">
        <f>HYPERLINK("javascript:void(0)","fülpenge")</f>
        <v>fülpenge</v>
      </c>
    </row>
    <row r="1707" spans="1:4" ht="12.75" customHeight="1" x14ac:dyDescent="0.2">
      <c r="A1707" s="5"/>
      <c r="B1707" s="2"/>
      <c r="C1707" s="2"/>
      <c r="D1707" s="2"/>
    </row>
    <row r="1708" spans="1:4" ht="12.75" customHeight="1" x14ac:dyDescent="0.2">
      <c r="A1708" s="22" t="str">
        <f>HYPERLINK("javascript:void(0)","skivei gigapallos")</f>
        <v>skivei gigapallos</v>
      </c>
      <c r="B1708" s="21"/>
      <c r="C1708" s="21"/>
      <c r="D1708" s="21"/>
    </row>
    <row r="1709" spans="1:4" ht="12.75" customHeight="1" x14ac:dyDescent="0.2">
      <c r="A1709" s="20"/>
      <c r="B1709" s="2"/>
      <c r="C1709" s="2"/>
      <c r="D1709" s="2"/>
    </row>
    <row r="1710" spans="1:4" ht="12.75" customHeight="1" x14ac:dyDescent="0.2">
      <c r="A1710" s="21"/>
      <c r="B1710" s="3" t="s">
        <v>0</v>
      </c>
      <c r="C1710" s="20" t="s">
        <v>298</v>
      </c>
      <c r="D1710" s="21"/>
    </row>
    <row r="1711" spans="1:4" ht="12.75" customHeight="1" x14ac:dyDescent="0.2">
      <c r="A1711" s="21"/>
      <c r="B1711" s="3" t="s">
        <v>2</v>
      </c>
      <c r="C1711" s="20" t="s">
        <v>1598</v>
      </c>
      <c r="D1711" s="21"/>
    </row>
    <row r="1712" spans="1:4" ht="12.75" customHeight="1" x14ac:dyDescent="0.2">
      <c r="A1712" s="21"/>
      <c r="B1712" s="3" t="s">
        <v>4</v>
      </c>
      <c r="C1712" s="20" t="s">
        <v>583</v>
      </c>
      <c r="D1712" s="21"/>
    </row>
    <row r="1713" spans="1:4" ht="12.75" customHeight="1" x14ac:dyDescent="0.2">
      <c r="A1713" s="21"/>
      <c r="B1713" s="3" t="s">
        <v>6</v>
      </c>
      <c r="C1713" s="20" t="s">
        <v>72</v>
      </c>
      <c r="D1713" s="21"/>
    </row>
    <row r="1714" spans="1:4" ht="12.75" customHeight="1" x14ac:dyDescent="0.2">
      <c r="A1714" s="21"/>
      <c r="B1714" s="3" t="s">
        <v>8</v>
      </c>
      <c r="C1714" s="20" t="s">
        <v>583</v>
      </c>
      <c r="D1714" s="21"/>
    </row>
    <row r="1715" spans="1:4" ht="12.75" customHeight="1" x14ac:dyDescent="0.2">
      <c r="A1715" s="21"/>
      <c r="B1715" s="3" t="s">
        <v>9</v>
      </c>
      <c r="C1715" s="20" t="s">
        <v>1831</v>
      </c>
      <c r="D1715" s="21"/>
    </row>
    <row r="1716" spans="1:4" ht="12.75" customHeight="1" x14ac:dyDescent="0.2">
      <c r="A1716" s="21"/>
      <c r="B1716" s="3" t="s">
        <v>11</v>
      </c>
      <c r="C1716" s="20" t="s">
        <v>182</v>
      </c>
      <c r="D1716" s="21"/>
    </row>
    <row r="1717" spans="1:4" ht="12.75" customHeight="1" x14ac:dyDescent="0.2">
      <c r="A1717" s="21"/>
      <c r="B1717" s="3" t="s">
        <v>13</v>
      </c>
      <c r="C1717" s="20" t="s">
        <v>24</v>
      </c>
      <c r="D1717" s="21"/>
    </row>
    <row r="1718" spans="1:4" ht="12.75" customHeight="1" x14ac:dyDescent="0.2">
      <c r="A1718" s="21"/>
      <c r="B1718" s="3" t="s">
        <v>15</v>
      </c>
      <c r="C1718" s="20" t="s">
        <v>24</v>
      </c>
      <c r="D1718" s="21"/>
    </row>
    <row r="1719" spans="1:4" ht="12.75" customHeight="1" x14ac:dyDescent="0.2">
      <c r="A1719" s="21"/>
      <c r="B1719" s="3" t="s">
        <v>16</v>
      </c>
      <c r="C1719" s="20"/>
      <c r="D1719" s="21"/>
    </row>
    <row r="1720" spans="1:4" ht="12.75" customHeight="1" x14ac:dyDescent="0.2">
      <c r="A1720" s="21"/>
      <c r="B1720" s="3" t="s">
        <v>17</v>
      </c>
      <c r="C1720" s="20"/>
      <c r="D1720" s="21"/>
    </row>
    <row r="1721" spans="1:4" ht="12.75" customHeight="1" x14ac:dyDescent="0.2">
      <c r="A1721" s="21"/>
      <c r="B1721" s="20" t="s">
        <v>18</v>
      </c>
      <c r="C1721" s="4" t="s">
        <v>193</v>
      </c>
      <c r="D1721" s="6" t="str">
        <f>HYPERLINK("javascript:void(0)","fülpenge")</f>
        <v>fülpenge</v>
      </c>
    </row>
    <row r="1722" spans="1:4" ht="12.75" customHeight="1" x14ac:dyDescent="0.2">
      <c r="A1722" s="21"/>
      <c r="B1722" s="21"/>
      <c r="C1722" s="4" t="s">
        <v>193</v>
      </c>
      <c r="D1722" s="6" t="str">
        <f>HYPERLINK("javascript:void(0)","sárkányfű")</f>
        <v>sárkányfű</v>
      </c>
    </row>
    <row r="1723" spans="1:4" ht="12.75" customHeight="1" x14ac:dyDescent="0.2">
      <c r="A1723" s="21"/>
      <c r="B1723" s="21"/>
      <c r="C1723" s="4" t="s">
        <v>139</v>
      </c>
      <c r="D1723" s="6" t="str">
        <f>HYPERLINK("javascript:void(0)","szent szimbólum")</f>
        <v>szent szimbólum</v>
      </c>
    </row>
    <row r="1724" spans="1:4" ht="12.75" customHeight="1" x14ac:dyDescent="0.2">
      <c r="A1724" s="5"/>
      <c r="B1724" s="2"/>
      <c r="C1724" s="2"/>
      <c r="D1724" s="2"/>
    </row>
    <row r="1725" spans="1:4" ht="12.75" customHeight="1" x14ac:dyDescent="0.2">
      <c r="A1725" s="22" t="str">
        <f>HYPERLINK("javascript:void(0)","gyíkacél kard")</f>
        <v>gyíkacél kard</v>
      </c>
      <c r="B1725" s="21"/>
      <c r="C1725" s="21"/>
      <c r="D1725" s="21"/>
    </row>
    <row r="1726" spans="1:4" ht="12.75" customHeight="1" x14ac:dyDescent="0.2">
      <c r="A1726" s="20"/>
      <c r="B1726" s="2"/>
      <c r="C1726" s="2"/>
      <c r="D1726" s="2"/>
    </row>
    <row r="1727" spans="1:4" ht="12.75" customHeight="1" x14ac:dyDescent="0.2">
      <c r="A1727" s="21"/>
      <c r="B1727" s="3" t="s">
        <v>0</v>
      </c>
      <c r="C1727" s="20" t="s">
        <v>298</v>
      </c>
      <c r="D1727" s="21"/>
    </row>
    <row r="1728" spans="1:4" ht="12.75" customHeight="1" x14ac:dyDescent="0.2">
      <c r="A1728" s="21"/>
      <c r="B1728" s="3" t="s">
        <v>2</v>
      </c>
      <c r="C1728" s="20" t="s">
        <v>1598</v>
      </c>
      <c r="D1728" s="21"/>
    </row>
    <row r="1729" spans="1:4" ht="12.75" customHeight="1" x14ac:dyDescent="0.2">
      <c r="A1729" s="21"/>
      <c r="B1729" s="3" t="s">
        <v>4</v>
      </c>
      <c r="C1729" s="20" t="s">
        <v>1823</v>
      </c>
      <c r="D1729" s="21"/>
    </row>
    <row r="1730" spans="1:4" ht="12.75" customHeight="1" x14ac:dyDescent="0.2">
      <c r="A1730" s="21"/>
      <c r="B1730" s="3" t="s">
        <v>6</v>
      </c>
      <c r="C1730" s="20" t="s">
        <v>159</v>
      </c>
      <c r="D1730" s="21"/>
    </row>
    <row r="1731" spans="1:4" ht="12.75" customHeight="1" x14ac:dyDescent="0.2">
      <c r="A1731" s="21"/>
      <c r="B1731" s="3" t="s">
        <v>8</v>
      </c>
      <c r="C1731" s="20" t="s">
        <v>1823</v>
      </c>
      <c r="D1731" s="21"/>
    </row>
    <row r="1732" spans="1:4" ht="12.75" customHeight="1" x14ac:dyDescent="0.2">
      <c r="A1732" s="21"/>
      <c r="B1732" s="3" t="s">
        <v>9</v>
      </c>
      <c r="C1732" s="20" t="s">
        <v>643</v>
      </c>
      <c r="D1732" s="21"/>
    </row>
    <row r="1733" spans="1:4" ht="12.75" customHeight="1" x14ac:dyDescent="0.2">
      <c r="A1733" s="21"/>
      <c r="B1733" s="3" t="s">
        <v>11</v>
      </c>
      <c r="C1733" s="20" t="s">
        <v>108</v>
      </c>
      <c r="D1733" s="21"/>
    </row>
    <row r="1734" spans="1:4" ht="12.75" customHeight="1" x14ac:dyDescent="0.2">
      <c r="A1734" s="21"/>
      <c r="B1734" s="3" t="s">
        <v>13</v>
      </c>
      <c r="C1734" s="20" t="s">
        <v>24</v>
      </c>
      <c r="D1734" s="21"/>
    </row>
    <row r="1735" spans="1:4" ht="12.75" customHeight="1" x14ac:dyDescent="0.2">
      <c r="A1735" s="21"/>
      <c r="B1735" s="3" t="s">
        <v>15</v>
      </c>
      <c r="C1735" s="20" t="s">
        <v>24</v>
      </c>
      <c r="D1735" s="21"/>
    </row>
    <row r="1736" spans="1:4" ht="12.75" customHeight="1" x14ac:dyDescent="0.2">
      <c r="A1736" s="21"/>
      <c r="B1736" s="3" t="s">
        <v>16</v>
      </c>
      <c r="C1736" s="20"/>
      <c r="D1736" s="21"/>
    </row>
    <row r="1737" spans="1:4" ht="12.75" customHeight="1" x14ac:dyDescent="0.2">
      <c r="A1737" s="21"/>
      <c r="B1737" s="3" t="s">
        <v>17</v>
      </c>
      <c r="C1737" s="20"/>
      <c r="D1737" s="21"/>
    </row>
    <row r="1738" spans="1:4" ht="12.75" customHeight="1" x14ac:dyDescent="0.2">
      <c r="A1738" s="21"/>
      <c r="B1738" s="20" t="s">
        <v>18</v>
      </c>
      <c r="C1738" s="4" t="s">
        <v>309</v>
      </c>
      <c r="D1738" s="6" t="str">
        <f>HYPERLINK("javascript:void(0)","bűzmirigy")</f>
        <v>bűzmirigy</v>
      </c>
    </row>
    <row r="1739" spans="1:4" ht="12.75" customHeight="1" x14ac:dyDescent="0.2">
      <c r="A1739" s="21"/>
      <c r="B1739" s="21"/>
      <c r="C1739" s="4" t="s">
        <v>130</v>
      </c>
      <c r="D1739" s="6" t="str">
        <f>HYPERLINK("javascript:void(0)","goblinbatka")</f>
        <v>goblinbatka</v>
      </c>
    </row>
    <row r="1740" spans="1:4" ht="12.75" customHeight="1" x14ac:dyDescent="0.2">
      <c r="A1740" s="21"/>
      <c r="B1740" s="21"/>
      <c r="C1740" s="4" t="s">
        <v>67</v>
      </c>
      <c r="D1740" s="6" t="str">
        <f>HYPERLINK("javascript:void(0)","kitinpenge")</f>
        <v>kitinpenge</v>
      </c>
    </row>
    <row r="1741" spans="1:4" ht="12.75" customHeight="1" x14ac:dyDescent="0.2">
      <c r="A1741" s="5"/>
      <c r="B1741" s="2"/>
      <c r="C1741" s="2"/>
      <c r="D1741" s="2"/>
    </row>
    <row r="1742" spans="1:4" ht="12.75" customHeight="1" x14ac:dyDescent="0.2">
      <c r="A1742" s="22" t="str">
        <f>HYPERLINK("javascript:void(0)","elfacél fényszablya")</f>
        <v>elfacél fényszablya</v>
      </c>
      <c r="B1742" s="21"/>
      <c r="C1742" s="21"/>
      <c r="D1742" s="21"/>
    </row>
    <row r="1743" spans="1:4" ht="12.75" customHeight="1" x14ac:dyDescent="0.2">
      <c r="A1743" s="20"/>
      <c r="B1743" s="2"/>
      <c r="C1743" s="2"/>
      <c r="D1743" s="2"/>
    </row>
    <row r="1744" spans="1:4" ht="12.75" customHeight="1" x14ac:dyDescent="0.2">
      <c r="A1744" s="21"/>
      <c r="B1744" s="3" t="s">
        <v>0</v>
      </c>
      <c r="C1744" s="20" t="s">
        <v>187</v>
      </c>
      <c r="D1744" s="21"/>
    </row>
    <row r="1745" spans="1:4" ht="12.75" customHeight="1" x14ac:dyDescent="0.2">
      <c r="A1745" s="21"/>
      <c r="B1745" s="3" t="s">
        <v>2</v>
      </c>
      <c r="C1745" s="20" t="s">
        <v>1598</v>
      </c>
      <c r="D1745" s="21"/>
    </row>
    <row r="1746" spans="1:4" ht="12.75" customHeight="1" x14ac:dyDescent="0.2">
      <c r="A1746" s="21"/>
      <c r="B1746" s="3" t="s">
        <v>4</v>
      </c>
      <c r="C1746" s="20" t="s">
        <v>1832</v>
      </c>
      <c r="D1746" s="21"/>
    </row>
    <row r="1747" spans="1:4" ht="12.75" customHeight="1" x14ac:dyDescent="0.2">
      <c r="A1747" s="21"/>
      <c r="B1747" s="3" t="s">
        <v>6</v>
      </c>
      <c r="C1747" s="20" t="s">
        <v>86</v>
      </c>
      <c r="D1747" s="21"/>
    </row>
    <row r="1748" spans="1:4" ht="12.75" customHeight="1" x14ac:dyDescent="0.2">
      <c r="A1748" s="21"/>
      <c r="B1748" s="3" t="s">
        <v>8</v>
      </c>
      <c r="C1748" s="20" t="s">
        <v>1832</v>
      </c>
      <c r="D1748" s="21"/>
    </row>
    <row r="1749" spans="1:4" ht="12.75" customHeight="1" x14ac:dyDescent="0.2">
      <c r="A1749" s="21"/>
      <c r="B1749" s="3" t="s">
        <v>9</v>
      </c>
      <c r="C1749" s="20" t="s">
        <v>10</v>
      </c>
      <c r="D1749" s="21"/>
    </row>
    <row r="1750" spans="1:4" ht="12.75" customHeight="1" x14ac:dyDescent="0.2">
      <c r="A1750" s="21"/>
      <c r="B1750" s="3" t="s">
        <v>11</v>
      </c>
      <c r="C1750" s="20" t="s">
        <v>1833</v>
      </c>
      <c r="D1750" s="21"/>
    </row>
    <row r="1751" spans="1:4" ht="12.75" customHeight="1" x14ac:dyDescent="0.2">
      <c r="A1751" s="21"/>
      <c r="B1751" s="3" t="s">
        <v>13</v>
      </c>
      <c r="C1751" s="20" t="s">
        <v>24</v>
      </c>
      <c r="D1751" s="21"/>
    </row>
    <row r="1752" spans="1:4" ht="12.75" customHeight="1" x14ac:dyDescent="0.2">
      <c r="A1752" s="21"/>
      <c r="B1752" s="3" t="s">
        <v>15</v>
      </c>
      <c r="C1752" s="20" t="s">
        <v>24</v>
      </c>
      <c r="D1752" s="21"/>
    </row>
    <row r="1753" spans="1:4" ht="12.75" customHeight="1" x14ac:dyDescent="0.2">
      <c r="A1753" s="21"/>
      <c r="B1753" s="3" t="s">
        <v>16</v>
      </c>
      <c r="C1753" s="20"/>
      <c r="D1753" s="21"/>
    </row>
    <row r="1754" spans="1:4" ht="12.75" customHeight="1" x14ac:dyDescent="0.2">
      <c r="A1754" s="21"/>
      <c r="B1754" s="3" t="s">
        <v>17</v>
      </c>
      <c r="C1754" s="20"/>
      <c r="D1754" s="21"/>
    </row>
    <row r="1755" spans="1:4" ht="12.75" customHeight="1" x14ac:dyDescent="0.2">
      <c r="A1755" s="21"/>
      <c r="B1755" s="20" t="s">
        <v>18</v>
      </c>
      <c r="C1755" s="4" t="s">
        <v>44</v>
      </c>
      <c r="D1755" s="6" t="str">
        <f>HYPERLINK("javascript:void(0)","elfacél olló")</f>
        <v>elfacél olló</v>
      </c>
    </row>
    <row r="1756" spans="1:4" ht="12.75" customHeight="1" x14ac:dyDescent="0.2">
      <c r="A1756" s="21"/>
      <c r="B1756" s="21"/>
      <c r="C1756" s="4" t="s">
        <v>57</v>
      </c>
      <c r="D1756" s="6" t="str">
        <f>HYPERLINK("javascript:void(0)","elfacél keresztvas")</f>
        <v>elfacél keresztvas</v>
      </c>
    </row>
    <row r="1757" spans="1:4" ht="12.75" customHeight="1" x14ac:dyDescent="0.2">
      <c r="A1757" s="21"/>
      <c r="B1757" s="21"/>
      <c r="C1757" s="4" t="s">
        <v>77</v>
      </c>
      <c r="D1757" s="6" t="str">
        <f>HYPERLINK("javascript:void(0)","fénynyaláb")</f>
        <v>fénynyaláb</v>
      </c>
    </row>
    <row r="1758" spans="1:4" ht="12.75" customHeight="1" x14ac:dyDescent="0.2">
      <c r="A1758" s="5"/>
      <c r="B1758" s="2"/>
      <c r="C1758" s="2"/>
      <c r="D1758" s="2"/>
    </row>
    <row r="1759" spans="1:4" ht="12.75" customHeight="1" x14ac:dyDescent="0.2">
      <c r="A1759" s="22" t="str">
        <f>HYPERLINK("javascript:void(0)","fénypenge mágusölő")</f>
        <v>fénypenge mágusölő</v>
      </c>
      <c r="B1759" s="21"/>
      <c r="C1759" s="21"/>
      <c r="D1759" s="21"/>
    </row>
    <row r="1760" spans="1:4" ht="12.75" customHeight="1" x14ac:dyDescent="0.2">
      <c r="A1760" s="20"/>
      <c r="B1760" s="2"/>
      <c r="C1760" s="2"/>
      <c r="D1760" s="2"/>
    </row>
    <row r="1761" spans="1:4" ht="12.75" customHeight="1" x14ac:dyDescent="0.2">
      <c r="A1761" s="21"/>
      <c r="B1761" s="3" t="s">
        <v>0</v>
      </c>
      <c r="C1761" s="20" t="s">
        <v>187</v>
      </c>
      <c r="D1761" s="21"/>
    </row>
    <row r="1762" spans="1:4" ht="12.75" customHeight="1" x14ac:dyDescent="0.2">
      <c r="A1762" s="21"/>
      <c r="B1762" s="3" t="s">
        <v>2</v>
      </c>
      <c r="C1762" s="20" t="s">
        <v>1598</v>
      </c>
      <c r="D1762" s="21"/>
    </row>
    <row r="1763" spans="1:4" ht="12.75" customHeight="1" x14ac:dyDescent="0.2">
      <c r="A1763" s="21"/>
      <c r="B1763" s="3" t="s">
        <v>4</v>
      </c>
      <c r="C1763" s="20" t="s">
        <v>1834</v>
      </c>
      <c r="D1763" s="21"/>
    </row>
    <row r="1764" spans="1:4" ht="12.75" customHeight="1" x14ac:dyDescent="0.2">
      <c r="A1764" s="21"/>
      <c r="B1764" s="3" t="s">
        <v>6</v>
      </c>
      <c r="C1764" s="20" t="s">
        <v>48</v>
      </c>
      <c r="D1764" s="21"/>
    </row>
    <row r="1765" spans="1:4" ht="12.75" customHeight="1" x14ac:dyDescent="0.2">
      <c r="A1765" s="21"/>
      <c r="B1765" s="3" t="s">
        <v>8</v>
      </c>
      <c r="C1765" s="20" t="s">
        <v>1834</v>
      </c>
      <c r="D1765" s="21"/>
    </row>
    <row r="1766" spans="1:4" ht="12.75" customHeight="1" x14ac:dyDescent="0.2">
      <c r="A1766" s="21"/>
      <c r="B1766" s="3" t="s">
        <v>9</v>
      </c>
      <c r="C1766" s="20" t="s">
        <v>1835</v>
      </c>
      <c r="D1766" s="21"/>
    </row>
    <row r="1767" spans="1:4" ht="12.75" customHeight="1" x14ac:dyDescent="0.2">
      <c r="A1767" s="21"/>
      <c r="B1767" s="3" t="s">
        <v>11</v>
      </c>
      <c r="C1767" s="20" t="s">
        <v>138</v>
      </c>
      <c r="D1767" s="21"/>
    </row>
    <row r="1768" spans="1:4" ht="12.75" customHeight="1" x14ac:dyDescent="0.2">
      <c r="A1768" s="21"/>
      <c r="B1768" s="3" t="s">
        <v>13</v>
      </c>
      <c r="C1768" s="20" t="s">
        <v>14</v>
      </c>
      <c r="D1768" s="21"/>
    </row>
    <row r="1769" spans="1:4" ht="12.75" customHeight="1" x14ac:dyDescent="0.2">
      <c r="A1769" s="21"/>
      <c r="B1769" s="3" t="s">
        <v>15</v>
      </c>
      <c r="C1769" s="20" t="s">
        <v>24</v>
      </c>
      <c r="D1769" s="21"/>
    </row>
    <row r="1770" spans="1:4" ht="12.75" customHeight="1" x14ac:dyDescent="0.2">
      <c r="A1770" s="21"/>
      <c r="B1770" s="3" t="s">
        <v>16</v>
      </c>
      <c r="C1770" s="20"/>
      <c r="D1770" s="21"/>
    </row>
    <row r="1771" spans="1:4" ht="12.75" customHeight="1" x14ac:dyDescent="0.2">
      <c r="A1771" s="21"/>
      <c r="B1771" s="3" t="s">
        <v>17</v>
      </c>
      <c r="C1771" s="20"/>
      <c r="D1771" s="21"/>
    </row>
    <row r="1772" spans="1:4" ht="12.75" customHeight="1" x14ac:dyDescent="0.2">
      <c r="A1772" s="21"/>
      <c r="B1772" s="20" t="s">
        <v>18</v>
      </c>
      <c r="C1772" s="4" t="s">
        <v>57</v>
      </c>
      <c r="D1772" s="6" t="str">
        <f>HYPERLINK("javascript:void(0)","fénysugár")</f>
        <v>fénysugár</v>
      </c>
    </row>
    <row r="1773" spans="1:4" ht="25.5" customHeight="1" x14ac:dyDescent="0.2">
      <c r="A1773" s="21"/>
      <c r="B1773" s="21"/>
      <c r="C1773" s="4" t="s">
        <v>44</v>
      </c>
      <c r="D1773" s="6" t="str">
        <f>HYPERLINK("javascript:void(0)","kompózium mágusölő")</f>
        <v>kompózium mágusölő</v>
      </c>
    </row>
    <row r="1774" spans="1:4" ht="12.75" customHeight="1" x14ac:dyDescent="0.2">
      <c r="A1774" s="21"/>
      <c r="B1774" s="21"/>
      <c r="C1774" s="4" t="s">
        <v>163</v>
      </c>
      <c r="D1774" s="6" t="str">
        <f>HYPERLINK("javascript:void(0)","fülpenge")</f>
        <v>fülpenge</v>
      </c>
    </row>
    <row r="1775" spans="1:4" ht="12.75" customHeight="1" x14ac:dyDescent="0.2">
      <c r="A1775" s="5"/>
      <c r="B1775" s="2"/>
      <c r="C1775" s="2"/>
      <c r="D1775" s="2"/>
    </row>
    <row r="1776" spans="1:4" ht="12.75" customHeight="1" x14ac:dyDescent="0.2">
      <c r="A1776" s="22" t="str">
        <f>HYPERLINK("javascript:void(0)","fénysugár")</f>
        <v>fénysugár</v>
      </c>
      <c r="B1776" s="21"/>
      <c r="C1776" s="21"/>
      <c r="D1776" s="21"/>
    </row>
    <row r="1777" spans="1:4" ht="12.75" customHeight="1" x14ac:dyDescent="0.2">
      <c r="A1777" s="20"/>
      <c r="B1777" s="2"/>
      <c r="C1777" s="2"/>
      <c r="D1777" s="2"/>
    </row>
    <row r="1778" spans="1:4" ht="12.75" customHeight="1" x14ac:dyDescent="0.2">
      <c r="A1778" s="21"/>
      <c r="B1778" s="3" t="s">
        <v>0</v>
      </c>
      <c r="C1778" s="20" t="s">
        <v>107</v>
      </c>
      <c r="D1778" s="21"/>
    </row>
    <row r="1779" spans="1:4" ht="12.75" customHeight="1" x14ac:dyDescent="0.2">
      <c r="A1779" s="21"/>
      <c r="B1779" s="3" t="s">
        <v>2</v>
      </c>
      <c r="C1779" s="20" t="s">
        <v>1598</v>
      </c>
      <c r="D1779" s="21"/>
    </row>
    <row r="1780" spans="1:4" ht="12.75" customHeight="1" x14ac:dyDescent="0.2">
      <c r="A1780" s="21"/>
      <c r="B1780" s="3" t="s">
        <v>4</v>
      </c>
      <c r="C1780" s="20" t="s">
        <v>21</v>
      </c>
      <c r="D1780" s="21"/>
    </row>
    <row r="1781" spans="1:4" ht="12.75" customHeight="1" x14ac:dyDescent="0.2">
      <c r="A1781" s="21"/>
      <c r="B1781" s="3" t="s">
        <v>6</v>
      </c>
      <c r="C1781" s="20" t="s">
        <v>21</v>
      </c>
      <c r="D1781" s="21"/>
    </row>
    <row r="1782" spans="1:4" ht="12.75" customHeight="1" x14ac:dyDescent="0.2">
      <c r="A1782" s="21"/>
      <c r="B1782" s="3" t="s">
        <v>8</v>
      </c>
      <c r="C1782" s="20" t="s">
        <v>21</v>
      </c>
      <c r="D1782" s="21"/>
    </row>
    <row r="1783" spans="1:4" ht="12.75" customHeight="1" x14ac:dyDescent="0.2">
      <c r="A1783" s="21"/>
      <c r="B1783" s="3" t="s">
        <v>9</v>
      </c>
      <c r="C1783" s="20" t="s">
        <v>626</v>
      </c>
      <c r="D1783" s="21"/>
    </row>
    <row r="1784" spans="1:4" ht="12.75" customHeight="1" x14ac:dyDescent="0.2">
      <c r="A1784" s="21"/>
      <c r="B1784" s="3" t="s">
        <v>11</v>
      </c>
      <c r="C1784" s="20" t="s">
        <v>535</v>
      </c>
      <c r="D1784" s="21"/>
    </row>
    <row r="1785" spans="1:4" ht="12.75" customHeight="1" x14ac:dyDescent="0.2">
      <c r="A1785" s="21"/>
      <c r="B1785" s="3" t="s">
        <v>13</v>
      </c>
      <c r="C1785" s="20" t="s">
        <v>14</v>
      </c>
      <c r="D1785" s="21"/>
    </row>
    <row r="1786" spans="1:4" ht="12.75" customHeight="1" x14ac:dyDescent="0.2">
      <c r="A1786" s="21"/>
      <c r="B1786" s="3" t="s">
        <v>15</v>
      </c>
      <c r="C1786" s="20" t="s">
        <v>24</v>
      </c>
      <c r="D1786" s="21"/>
    </row>
    <row r="1787" spans="1:4" ht="12.75" customHeight="1" x14ac:dyDescent="0.2">
      <c r="A1787" s="21"/>
      <c r="B1787" s="3" t="s">
        <v>16</v>
      </c>
      <c r="C1787" s="20"/>
      <c r="D1787" s="21"/>
    </row>
    <row r="1788" spans="1:4" ht="12.75" customHeight="1" x14ac:dyDescent="0.2">
      <c r="A1788" s="21"/>
      <c r="B1788" s="3" t="s">
        <v>17</v>
      </c>
      <c r="C1788" s="20"/>
      <c r="D1788" s="21"/>
    </row>
    <row r="1789" spans="1:4" ht="12.75" customHeight="1" x14ac:dyDescent="0.2">
      <c r="A1789" s="21"/>
      <c r="B1789" s="20" t="s">
        <v>18</v>
      </c>
      <c r="C1789" s="4" t="s">
        <v>117</v>
      </c>
      <c r="D1789" s="6" t="str">
        <f>HYPERLINK("javascript:void(0)","fénynyaláb")</f>
        <v>fénynyaláb</v>
      </c>
    </row>
    <row r="1790" spans="1:4" ht="12.75" customHeight="1" x14ac:dyDescent="0.2">
      <c r="A1790" s="21"/>
      <c r="B1790" s="21"/>
      <c r="C1790" s="4" t="s">
        <v>67</v>
      </c>
      <c r="D1790" s="6" t="str">
        <f>HYPERLINK("javascript:void(0)","varázsige")</f>
        <v>varázsige</v>
      </c>
    </row>
    <row r="1791" spans="1:4" ht="12.75" customHeight="1" x14ac:dyDescent="0.2">
      <c r="A1791" s="21"/>
      <c r="B1791" s="21"/>
      <c r="C1791" s="4" t="s">
        <v>323</v>
      </c>
      <c r="D1791" s="6" t="str">
        <f>HYPERLINK("javascript:void(0)","vámpírherbium")</f>
        <v>vámpírherbium</v>
      </c>
    </row>
    <row r="1792" spans="1:4" ht="12.75" customHeight="1" x14ac:dyDescent="0.2">
      <c r="A1792" s="5"/>
      <c r="B1792" s="2"/>
      <c r="C1792" s="2"/>
      <c r="D1792" s="2"/>
    </row>
    <row r="1793" spans="1:4" ht="12.75" customHeight="1" x14ac:dyDescent="0.2">
      <c r="A1793" s="22" t="str">
        <f>HYPERLINK("javascript:void(0)","óriásacél olló")</f>
        <v>óriásacél olló</v>
      </c>
      <c r="B1793" s="21"/>
      <c r="C1793" s="21"/>
      <c r="D1793" s="21"/>
    </row>
    <row r="1794" spans="1:4" ht="12.75" customHeight="1" x14ac:dyDescent="0.2">
      <c r="A1794" s="20"/>
      <c r="B1794" s="2"/>
      <c r="C1794" s="2"/>
      <c r="D1794" s="2"/>
    </row>
    <row r="1795" spans="1:4" ht="12.75" customHeight="1" x14ac:dyDescent="0.2">
      <c r="A1795" s="21"/>
      <c r="B1795" s="3" t="s">
        <v>0</v>
      </c>
      <c r="C1795" s="20" t="s">
        <v>107</v>
      </c>
      <c r="D1795" s="21"/>
    </row>
    <row r="1796" spans="1:4" ht="12.75" customHeight="1" x14ac:dyDescent="0.2">
      <c r="A1796" s="21"/>
      <c r="B1796" s="3" t="s">
        <v>2</v>
      </c>
      <c r="C1796" s="20" t="s">
        <v>1598</v>
      </c>
      <c r="D1796" s="21"/>
    </row>
    <row r="1797" spans="1:4" ht="12.75" customHeight="1" x14ac:dyDescent="0.2">
      <c r="A1797" s="21"/>
      <c r="B1797" s="3" t="s">
        <v>4</v>
      </c>
      <c r="C1797" s="20" t="s">
        <v>618</v>
      </c>
      <c r="D1797" s="21"/>
    </row>
    <row r="1798" spans="1:4" ht="12.75" customHeight="1" x14ac:dyDescent="0.2">
      <c r="A1798" s="21"/>
      <c r="B1798" s="3" t="s">
        <v>6</v>
      </c>
      <c r="C1798" s="20" t="s">
        <v>35</v>
      </c>
      <c r="D1798" s="21"/>
    </row>
    <row r="1799" spans="1:4" ht="12.75" customHeight="1" x14ac:dyDescent="0.2">
      <c r="A1799" s="21"/>
      <c r="B1799" s="3" t="s">
        <v>8</v>
      </c>
      <c r="C1799" s="20" t="s">
        <v>618</v>
      </c>
      <c r="D1799" s="21"/>
    </row>
    <row r="1800" spans="1:4" ht="12.75" customHeight="1" x14ac:dyDescent="0.2">
      <c r="A1800" s="21"/>
      <c r="B1800" s="3" t="s">
        <v>9</v>
      </c>
      <c r="C1800" s="20" t="s">
        <v>415</v>
      </c>
      <c r="D1800" s="21"/>
    </row>
    <row r="1801" spans="1:4" ht="12.75" customHeight="1" x14ac:dyDescent="0.2">
      <c r="A1801" s="21"/>
      <c r="B1801" s="3" t="s">
        <v>11</v>
      </c>
      <c r="C1801" s="20" t="s">
        <v>1836</v>
      </c>
      <c r="D1801" s="21"/>
    </row>
    <row r="1802" spans="1:4" ht="12.75" customHeight="1" x14ac:dyDescent="0.2">
      <c r="A1802" s="21"/>
      <c r="B1802" s="3" t="s">
        <v>13</v>
      </c>
      <c r="C1802" s="20" t="s">
        <v>24</v>
      </c>
      <c r="D1802" s="21"/>
    </row>
    <row r="1803" spans="1:4" ht="12.75" customHeight="1" x14ac:dyDescent="0.2">
      <c r="A1803" s="21"/>
      <c r="B1803" s="3" t="s">
        <v>15</v>
      </c>
      <c r="C1803" s="20" t="s">
        <v>24</v>
      </c>
      <c r="D1803" s="21"/>
    </row>
    <row r="1804" spans="1:4" ht="12.75" customHeight="1" x14ac:dyDescent="0.2">
      <c r="A1804" s="21"/>
      <c r="B1804" s="3" t="s">
        <v>16</v>
      </c>
      <c r="C1804" s="20"/>
      <c r="D1804" s="21"/>
    </row>
    <row r="1805" spans="1:4" ht="12.75" customHeight="1" x14ac:dyDescent="0.2">
      <c r="A1805" s="21"/>
      <c r="B1805" s="3" t="s">
        <v>17</v>
      </c>
      <c r="C1805" s="20"/>
      <c r="D1805" s="21"/>
    </row>
    <row r="1806" spans="1:4" ht="12.75" customHeight="1" x14ac:dyDescent="0.2">
      <c r="A1806" s="21"/>
      <c r="B1806" s="20" t="s">
        <v>18</v>
      </c>
      <c r="C1806" s="4" t="s">
        <v>56</v>
      </c>
      <c r="D1806" s="6" t="str">
        <f>HYPERLINK("javascript:void(0)","fénysugár")</f>
        <v>fénysugár</v>
      </c>
    </row>
    <row r="1807" spans="1:4" ht="12.75" customHeight="1" x14ac:dyDescent="0.2">
      <c r="A1807" s="21"/>
      <c r="B1807" s="21"/>
      <c r="C1807" s="4" t="s">
        <v>56</v>
      </c>
      <c r="D1807" s="6" t="str">
        <f>HYPERLINK("javascript:void(0)","elfacél olló")</f>
        <v>elfacél olló</v>
      </c>
    </row>
    <row r="1808" spans="1:4" ht="12.75" customHeight="1" x14ac:dyDescent="0.2">
      <c r="A1808" s="21"/>
      <c r="B1808" s="21"/>
      <c r="C1808" s="4" t="s">
        <v>139</v>
      </c>
      <c r="D1808" s="6" t="str">
        <f>HYPERLINK("javascript:void(0)","varázsige")</f>
        <v>varázsige</v>
      </c>
    </row>
    <row r="1809" spans="1:4" ht="12.75" customHeight="1" x14ac:dyDescent="0.2">
      <c r="A1809" s="5"/>
      <c r="B1809" s="2"/>
      <c r="C1809" s="2"/>
      <c r="D1809" s="2"/>
    </row>
    <row r="1810" spans="1:4" ht="12.75" customHeight="1" x14ac:dyDescent="0.2">
      <c r="A1810" s="22" t="str">
        <f>HYPERLINK("javascript:void(0)","mengorni gigapallos")</f>
        <v>mengorni gigapallos</v>
      </c>
      <c r="B1810" s="21"/>
      <c r="C1810" s="21"/>
      <c r="D1810" s="21"/>
    </row>
    <row r="1811" spans="1:4" ht="12.75" customHeight="1" x14ac:dyDescent="0.2">
      <c r="A1811" s="20"/>
      <c r="B1811" s="2"/>
      <c r="C1811" s="2"/>
      <c r="D1811" s="2"/>
    </row>
    <row r="1812" spans="1:4" ht="12.75" customHeight="1" x14ac:dyDescent="0.2">
      <c r="A1812" s="21"/>
      <c r="B1812" s="3" t="s">
        <v>0</v>
      </c>
      <c r="C1812" s="20" t="s">
        <v>107</v>
      </c>
      <c r="D1812" s="21"/>
    </row>
    <row r="1813" spans="1:4" ht="12.75" customHeight="1" x14ac:dyDescent="0.2">
      <c r="A1813" s="21"/>
      <c r="B1813" s="3" t="s">
        <v>2</v>
      </c>
      <c r="C1813" s="20" t="s">
        <v>1598</v>
      </c>
      <c r="D1813" s="21"/>
    </row>
    <row r="1814" spans="1:4" ht="12.75" customHeight="1" x14ac:dyDescent="0.2">
      <c r="A1814" s="21"/>
      <c r="B1814" s="3" t="s">
        <v>4</v>
      </c>
      <c r="C1814" s="20" t="s">
        <v>1837</v>
      </c>
      <c r="D1814" s="21"/>
    </row>
    <row r="1815" spans="1:4" ht="12.75" customHeight="1" x14ac:dyDescent="0.2">
      <c r="A1815" s="21"/>
      <c r="B1815" s="3" t="s">
        <v>6</v>
      </c>
      <c r="C1815" s="20" t="s">
        <v>284</v>
      </c>
      <c r="D1815" s="21"/>
    </row>
    <row r="1816" spans="1:4" ht="12.75" customHeight="1" x14ac:dyDescent="0.2">
      <c r="A1816" s="21"/>
      <c r="B1816" s="3" t="s">
        <v>8</v>
      </c>
      <c r="C1816" s="20" t="s">
        <v>1837</v>
      </c>
      <c r="D1816" s="21"/>
    </row>
    <row r="1817" spans="1:4" ht="12.75" customHeight="1" x14ac:dyDescent="0.2">
      <c r="A1817" s="21"/>
      <c r="B1817" s="3" t="s">
        <v>9</v>
      </c>
      <c r="C1817" s="20" t="s">
        <v>1838</v>
      </c>
      <c r="D1817" s="21"/>
    </row>
    <row r="1818" spans="1:4" ht="12.75" customHeight="1" x14ac:dyDescent="0.2">
      <c r="A1818" s="21"/>
      <c r="B1818" s="3" t="s">
        <v>11</v>
      </c>
      <c r="C1818" s="20" t="s">
        <v>259</v>
      </c>
      <c r="D1818" s="21"/>
    </row>
    <row r="1819" spans="1:4" ht="12.75" customHeight="1" x14ac:dyDescent="0.2">
      <c r="A1819" s="21"/>
      <c r="B1819" s="3" t="s">
        <v>13</v>
      </c>
      <c r="C1819" s="20" t="s">
        <v>24</v>
      </c>
      <c r="D1819" s="21"/>
    </row>
    <row r="1820" spans="1:4" ht="12.75" customHeight="1" x14ac:dyDescent="0.2">
      <c r="A1820" s="21"/>
      <c r="B1820" s="3" t="s">
        <v>15</v>
      </c>
      <c r="C1820" s="20" t="s">
        <v>24</v>
      </c>
      <c r="D1820" s="21"/>
    </row>
    <row r="1821" spans="1:4" ht="12.75" customHeight="1" x14ac:dyDescent="0.2">
      <c r="A1821" s="21"/>
      <c r="B1821" s="3" t="s">
        <v>16</v>
      </c>
      <c r="C1821" s="20"/>
      <c r="D1821" s="21"/>
    </row>
    <row r="1822" spans="1:4" ht="12.75" customHeight="1" x14ac:dyDescent="0.2">
      <c r="A1822" s="21"/>
      <c r="B1822" s="3" t="s">
        <v>17</v>
      </c>
      <c r="C1822" s="20"/>
      <c r="D1822" s="21"/>
    </row>
    <row r="1823" spans="1:4" ht="12.75" customHeight="1" x14ac:dyDescent="0.2">
      <c r="A1823" s="21"/>
      <c r="B1823" s="20" t="s">
        <v>18</v>
      </c>
      <c r="C1823" s="4" t="s">
        <v>232</v>
      </c>
      <c r="D1823" s="6" t="str">
        <f>HYPERLINK("javascript:void(0)","fénysugár")</f>
        <v>fénysugár</v>
      </c>
    </row>
    <row r="1824" spans="1:4" ht="12.75" customHeight="1" x14ac:dyDescent="0.2">
      <c r="A1824" s="21"/>
      <c r="B1824" s="21"/>
      <c r="C1824" s="4" t="s">
        <v>193</v>
      </c>
      <c r="D1824" s="6" t="str">
        <f>HYPERLINK("javascript:void(0)","kompózium")</f>
        <v>kompózium</v>
      </c>
    </row>
    <row r="1825" spans="1:4" ht="12.75" customHeight="1" x14ac:dyDescent="0.2">
      <c r="A1825" s="21"/>
      <c r="B1825" s="21"/>
      <c r="C1825" s="4" t="s">
        <v>193</v>
      </c>
      <c r="D1825" s="6" t="str">
        <f>HYPERLINK("javascript:void(0)","varázsige")</f>
        <v>varázsige</v>
      </c>
    </row>
    <row r="1826" spans="1:4" ht="12.75" customHeight="1" x14ac:dyDescent="0.2">
      <c r="A1826" s="5"/>
      <c r="B1826" s="2"/>
      <c r="C1826" s="2"/>
      <c r="D1826" s="2"/>
    </row>
    <row r="1827" spans="1:4" ht="12.75" customHeight="1" x14ac:dyDescent="0.2">
      <c r="A1827" s="22" t="str">
        <f>HYPERLINK("javascript:void(0)","gyíkacél lándzsa")</f>
        <v>gyíkacél lándzsa</v>
      </c>
      <c r="B1827" s="21"/>
      <c r="C1827" s="21"/>
      <c r="D1827" s="21"/>
    </row>
    <row r="1828" spans="1:4" ht="12.75" customHeight="1" x14ac:dyDescent="0.2">
      <c r="A1828" s="20"/>
      <c r="B1828" s="2"/>
      <c r="C1828" s="2"/>
      <c r="D1828" s="2"/>
    </row>
    <row r="1829" spans="1:4" ht="12.75" customHeight="1" x14ac:dyDescent="0.2">
      <c r="A1829" s="21"/>
      <c r="B1829" s="3" t="s">
        <v>0</v>
      </c>
      <c r="C1829" s="20" t="s">
        <v>107</v>
      </c>
      <c r="D1829" s="21"/>
    </row>
    <row r="1830" spans="1:4" ht="12.75" customHeight="1" x14ac:dyDescent="0.2">
      <c r="A1830" s="21"/>
      <c r="B1830" s="3" t="s">
        <v>2</v>
      </c>
      <c r="C1830" s="20" t="s">
        <v>1598</v>
      </c>
      <c r="D1830" s="21"/>
    </row>
    <row r="1831" spans="1:4" ht="12.75" customHeight="1" x14ac:dyDescent="0.2">
      <c r="A1831" s="21"/>
      <c r="B1831" s="3" t="s">
        <v>4</v>
      </c>
      <c r="C1831" s="20" t="s">
        <v>1842</v>
      </c>
      <c r="D1831" s="21"/>
    </row>
    <row r="1832" spans="1:4" ht="12.75" customHeight="1" x14ac:dyDescent="0.2">
      <c r="A1832" s="21"/>
      <c r="B1832" s="3" t="s">
        <v>6</v>
      </c>
      <c r="C1832" s="20" t="s">
        <v>206</v>
      </c>
      <c r="D1832" s="21"/>
    </row>
    <row r="1833" spans="1:4" ht="12.75" customHeight="1" x14ac:dyDescent="0.2">
      <c r="A1833" s="21"/>
      <c r="B1833" s="3" t="s">
        <v>8</v>
      </c>
      <c r="C1833" s="20" t="s">
        <v>1842</v>
      </c>
      <c r="D1833" s="21"/>
    </row>
    <row r="1834" spans="1:4" ht="12.75" customHeight="1" x14ac:dyDescent="0.2">
      <c r="A1834" s="21"/>
      <c r="B1834" s="3" t="s">
        <v>9</v>
      </c>
      <c r="C1834" s="20" t="s">
        <v>1843</v>
      </c>
      <c r="D1834" s="21"/>
    </row>
    <row r="1835" spans="1:4" ht="12.75" customHeight="1" x14ac:dyDescent="0.2">
      <c r="A1835" s="21"/>
      <c r="B1835" s="3" t="s">
        <v>11</v>
      </c>
      <c r="C1835" s="20" t="s">
        <v>138</v>
      </c>
      <c r="D1835" s="21"/>
    </row>
    <row r="1836" spans="1:4" ht="12.75" customHeight="1" x14ac:dyDescent="0.2">
      <c r="A1836" s="21"/>
      <c r="B1836" s="3" t="s">
        <v>13</v>
      </c>
      <c r="C1836" s="20" t="s">
        <v>24</v>
      </c>
      <c r="D1836" s="21"/>
    </row>
    <row r="1837" spans="1:4" ht="12.75" customHeight="1" x14ac:dyDescent="0.2">
      <c r="A1837" s="21"/>
      <c r="B1837" s="3" t="s">
        <v>15</v>
      </c>
      <c r="C1837" s="20" t="s">
        <v>24</v>
      </c>
      <c r="D1837" s="21"/>
    </row>
    <row r="1838" spans="1:4" ht="12.75" customHeight="1" x14ac:dyDescent="0.2">
      <c r="A1838" s="21"/>
      <c r="B1838" s="3" t="s">
        <v>16</v>
      </c>
      <c r="C1838" s="20"/>
      <c r="D1838" s="21"/>
    </row>
    <row r="1839" spans="1:4" ht="12.75" customHeight="1" x14ac:dyDescent="0.2">
      <c r="A1839" s="21"/>
      <c r="B1839" s="3" t="s">
        <v>17</v>
      </c>
      <c r="C1839" s="20"/>
      <c r="D1839" s="21"/>
    </row>
    <row r="1840" spans="1:4" ht="12.75" customHeight="1" x14ac:dyDescent="0.2">
      <c r="A1840" s="21"/>
      <c r="B1840" s="20" t="s">
        <v>18</v>
      </c>
      <c r="C1840" s="4" t="s">
        <v>139</v>
      </c>
      <c r="D1840" s="6" t="str">
        <f>HYPERLINK("javascript:void(0)","halcsont")</f>
        <v>halcsont</v>
      </c>
    </row>
    <row r="1841" spans="1:4" ht="12.75" customHeight="1" x14ac:dyDescent="0.2">
      <c r="A1841" s="21"/>
      <c r="B1841" s="21"/>
      <c r="C1841" s="4" t="s">
        <v>98</v>
      </c>
      <c r="D1841" s="6" t="str">
        <f>HYPERLINK("javascript:void(0)","idegen szerkentyű")</f>
        <v>idegen szerkentyű</v>
      </c>
    </row>
    <row r="1842" spans="1:4" ht="12.75" customHeight="1" x14ac:dyDescent="0.2">
      <c r="A1842" s="21"/>
      <c r="B1842" s="21"/>
      <c r="C1842" s="4" t="s">
        <v>117</v>
      </c>
      <c r="D1842" s="6" t="str">
        <f>HYPERLINK("javascript:void(0)","nyukug bajusz")</f>
        <v>nyukug bajusz</v>
      </c>
    </row>
    <row r="1843" spans="1:4" ht="12.75" customHeight="1" x14ac:dyDescent="0.2">
      <c r="A1843" s="5"/>
      <c r="B1843" s="2"/>
      <c r="C1843" s="2"/>
      <c r="D1843" s="2"/>
    </row>
    <row r="1844" spans="1:4" ht="12.75" customHeight="1" x14ac:dyDescent="0.2">
      <c r="A1844" s="22" t="str">
        <f>HYPERLINK("javascript:void(0)","cordiomarkolat")</f>
        <v>cordiomarkolat</v>
      </c>
      <c r="B1844" s="21"/>
      <c r="C1844" s="21"/>
      <c r="D1844" s="21"/>
    </row>
    <row r="1845" spans="1:4" ht="12.75" customHeight="1" x14ac:dyDescent="0.2">
      <c r="A1845" s="20"/>
      <c r="B1845" s="2"/>
      <c r="C1845" s="2"/>
      <c r="D1845" s="2"/>
    </row>
    <row r="1846" spans="1:4" ht="12.75" customHeight="1" x14ac:dyDescent="0.2">
      <c r="A1846" s="21"/>
      <c r="B1846" s="3" t="s">
        <v>0</v>
      </c>
      <c r="C1846" s="20" t="s">
        <v>107</v>
      </c>
      <c r="D1846" s="21"/>
    </row>
    <row r="1847" spans="1:4" ht="12.75" customHeight="1" x14ac:dyDescent="0.2">
      <c r="A1847" s="21"/>
      <c r="B1847" s="3" t="s">
        <v>2</v>
      </c>
      <c r="C1847" s="20" t="s">
        <v>1598</v>
      </c>
      <c r="D1847" s="21"/>
    </row>
    <row r="1848" spans="1:4" ht="12.75" customHeight="1" x14ac:dyDescent="0.2">
      <c r="A1848" s="21"/>
      <c r="B1848" s="3" t="s">
        <v>4</v>
      </c>
      <c r="C1848" s="20" t="s">
        <v>51</v>
      </c>
      <c r="D1848" s="21"/>
    </row>
    <row r="1849" spans="1:4" ht="12.75" customHeight="1" x14ac:dyDescent="0.2">
      <c r="A1849" s="21"/>
      <c r="B1849" s="3" t="s">
        <v>6</v>
      </c>
      <c r="C1849" s="20" t="s">
        <v>392</v>
      </c>
      <c r="D1849" s="21"/>
    </row>
    <row r="1850" spans="1:4" ht="12.75" customHeight="1" x14ac:dyDescent="0.2">
      <c r="A1850" s="21"/>
      <c r="B1850" s="3" t="s">
        <v>8</v>
      </c>
      <c r="C1850" s="20" t="s">
        <v>51</v>
      </c>
      <c r="D1850" s="21"/>
    </row>
    <row r="1851" spans="1:4" ht="12.75" customHeight="1" x14ac:dyDescent="0.2">
      <c r="A1851" s="21"/>
      <c r="B1851" s="3" t="s">
        <v>9</v>
      </c>
      <c r="C1851" s="20" t="s">
        <v>1845</v>
      </c>
      <c r="D1851" s="21"/>
    </row>
    <row r="1852" spans="1:4" ht="12.75" customHeight="1" x14ac:dyDescent="0.2">
      <c r="A1852" s="21"/>
      <c r="B1852" s="3" t="s">
        <v>11</v>
      </c>
      <c r="C1852" s="20" t="s">
        <v>847</v>
      </c>
      <c r="D1852" s="21"/>
    </row>
    <row r="1853" spans="1:4" ht="12.75" customHeight="1" x14ac:dyDescent="0.2">
      <c r="A1853" s="21"/>
      <c r="B1853" s="3" t="s">
        <v>13</v>
      </c>
      <c r="C1853" s="20" t="s">
        <v>24</v>
      </c>
      <c r="D1853" s="21"/>
    </row>
    <row r="1854" spans="1:4" ht="12.75" customHeight="1" x14ac:dyDescent="0.2">
      <c r="A1854" s="21"/>
      <c r="B1854" s="3" t="s">
        <v>15</v>
      </c>
      <c r="C1854" s="20" t="s">
        <v>14</v>
      </c>
      <c r="D1854" s="21"/>
    </row>
    <row r="1855" spans="1:4" ht="12.75" customHeight="1" x14ac:dyDescent="0.2">
      <c r="A1855" s="21"/>
      <c r="B1855" s="3" t="s">
        <v>16</v>
      </c>
      <c r="C1855" s="20"/>
      <c r="D1855" s="21"/>
    </row>
    <row r="1856" spans="1:4" ht="12.75" customHeight="1" x14ac:dyDescent="0.2">
      <c r="A1856" s="21"/>
      <c r="B1856" s="3" t="s">
        <v>17</v>
      </c>
      <c r="C1856" s="20"/>
      <c r="D1856" s="21"/>
    </row>
    <row r="1857" spans="1:4" ht="12.75" customHeight="1" x14ac:dyDescent="0.2">
      <c r="A1857" s="21"/>
      <c r="B1857" s="20" t="s">
        <v>18</v>
      </c>
      <c r="C1857" s="4" t="s">
        <v>163</v>
      </c>
      <c r="D1857" s="6" t="str">
        <f>HYPERLINK("javascript:void(0)","kithrill")</f>
        <v>kithrill</v>
      </c>
    </row>
    <row r="1858" spans="1:4" ht="12.75" customHeight="1" x14ac:dyDescent="0.2">
      <c r="A1858" s="21"/>
      <c r="B1858" s="21"/>
      <c r="C1858" s="4" t="s">
        <v>130</v>
      </c>
      <c r="D1858" s="6" t="str">
        <f>HYPERLINK("javascript:void(0)","hiperium")</f>
        <v>hiperium</v>
      </c>
    </row>
    <row r="1859" spans="1:4" ht="12.75" customHeight="1" x14ac:dyDescent="0.2">
      <c r="A1859" s="21"/>
      <c r="B1859" s="21"/>
      <c r="C1859" s="4" t="s">
        <v>130</v>
      </c>
      <c r="D1859" s="6" t="str">
        <f>HYPERLINK("javascript:void(0)","cordionium")</f>
        <v>cordionium</v>
      </c>
    </row>
    <row r="1860" spans="1:4" ht="12.75" customHeight="1" x14ac:dyDescent="0.2">
      <c r="A1860" s="5"/>
      <c r="B1860" s="2"/>
      <c r="C1860" s="2"/>
      <c r="D1860" s="2"/>
    </row>
    <row r="1861" spans="1:4" ht="12.75" customHeight="1" x14ac:dyDescent="0.2">
      <c r="A1861" s="22" t="str">
        <f>HYPERLINK("javascript:void(0)","cordiotőr")</f>
        <v>cordiotőr</v>
      </c>
      <c r="B1861" s="21"/>
      <c r="C1861" s="21"/>
      <c r="D1861" s="21"/>
    </row>
    <row r="1862" spans="1:4" ht="12.75" customHeight="1" x14ac:dyDescent="0.2">
      <c r="A1862" s="20"/>
      <c r="B1862" s="2"/>
      <c r="C1862" s="2"/>
      <c r="D1862" s="2"/>
    </row>
    <row r="1863" spans="1:4" ht="12.75" customHeight="1" x14ac:dyDescent="0.2">
      <c r="A1863" s="21"/>
      <c r="B1863" s="3" t="s">
        <v>0</v>
      </c>
      <c r="C1863" s="20" t="s">
        <v>107</v>
      </c>
      <c r="D1863" s="21"/>
    </row>
    <row r="1864" spans="1:4" ht="12.75" customHeight="1" x14ac:dyDescent="0.2">
      <c r="A1864" s="21"/>
      <c r="B1864" s="3" t="s">
        <v>2</v>
      </c>
      <c r="C1864" s="20" t="s">
        <v>1598</v>
      </c>
      <c r="D1864" s="21"/>
    </row>
    <row r="1865" spans="1:4" ht="12.75" customHeight="1" x14ac:dyDescent="0.2">
      <c r="A1865" s="21"/>
      <c r="B1865" s="3" t="s">
        <v>4</v>
      </c>
      <c r="C1865" s="20" t="s">
        <v>633</v>
      </c>
      <c r="D1865" s="21"/>
    </row>
    <row r="1866" spans="1:4" ht="12.75" customHeight="1" x14ac:dyDescent="0.2">
      <c r="A1866" s="21"/>
      <c r="B1866" s="3" t="s">
        <v>6</v>
      </c>
      <c r="C1866" s="20" t="s">
        <v>1846</v>
      </c>
      <c r="D1866" s="21"/>
    </row>
    <row r="1867" spans="1:4" ht="12.75" customHeight="1" x14ac:dyDescent="0.2">
      <c r="A1867" s="21"/>
      <c r="B1867" s="3" t="s">
        <v>8</v>
      </c>
      <c r="C1867" s="20" t="s">
        <v>633</v>
      </c>
      <c r="D1867" s="21"/>
    </row>
    <row r="1868" spans="1:4" ht="12.75" customHeight="1" x14ac:dyDescent="0.2">
      <c r="A1868" s="21"/>
      <c r="B1868" s="3" t="s">
        <v>9</v>
      </c>
      <c r="C1868" s="20" t="s">
        <v>877</v>
      </c>
      <c r="D1868" s="21"/>
    </row>
    <row r="1869" spans="1:4" ht="12.75" customHeight="1" x14ac:dyDescent="0.2">
      <c r="A1869" s="21"/>
      <c r="B1869" s="3" t="s">
        <v>11</v>
      </c>
      <c r="C1869" s="20" t="s">
        <v>663</v>
      </c>
      <c r="D1869" s="21"/>
    </row>
    <row r="1870" spans="1:4" ht="12.75" customHeight="1" x14ac:dyDescent="0.2">
      <c r="A1870" s="21"/>
      <c r="B1870" s="3" t="s">
        <v>13</v>
      </c>
      <c r="C1870" s="20" t="s">
        <v>24</v>
      </c>
      <c r="D1870" s="21"/>
    </row>
    <row r="1871" spans="1:4" ht="12.75" customHeight="1" x14ac:dyDescent="0.2">
      <c r="A1871" s="21"/>
      <c r="B1871" s="3" t="s">
        <v>15</v>
      </c>
      <c r="C1871" s="20" t="s">
        <v>14</v>
      </c>
      <c r="D1871" s="21"/>
    </row>
    <row r="1872" spans="1:4" ht="12.75" customHeight="1" x14ac:dyDescent="0.2">
      <c r="A1872" s="21"/>
      <c r="B1872" s="3" t="s">
        <v>16</v>
      </c>
      <c r="C1872" s="20"/>
      <c r="D1872" s="21"/>
    </row>
    <row r="1873" spans="1:4" ht="12.75" customHeight="1" x14ac:dyDescent="0.2">
      <c r="A1873" s="21"/>
      <c r="B1873" s="3" t="s">
        <v>17</v>
      </c>
      <c r="C1873" s="20"/>
      <c r="D1873" s="21"/>
    </row>
    <row r="1874" spans="1:4" ht="12.75" customHeight="1" x14ac:dyDescent="0.2">
      <c r="A1874" s="21"/>
      <c r="B1874" s="20" t="s">
        <v>18</v>
      </c>
      <c r="C1874" s="4" t="s">
        <v>57</v>
      </c>
      <c r="D1874" s="6" t="str">
        <f>HYPERLINK("javascript:void(0)","dimenziópenge")</f>
        <v>dimenziópenge</v>
      </c>
    </row>
    <row r="1875" spans="1:4" ht="12.75" customHeight="1" x14ac:dyDescent="0.2">
      <c r="A1875" s="21"/>
      <c r="B1875" s="21"/>
      <c r="C1875" s="4" t="s">
        <v>44</v>
      </c>
      <c r="D1875" s="6" t="str">
        <f>HYPERLINK("javascript:void(0)","cordiomarkolat")</f>
        <v>cordiomarkolat</v>
      </c>
    </row>
    <row r="1876" spans="1:4" ht="12.75" customHeight="1" x14ac:dyDescent="0.2">
      <c r="A1876" s="21"/>
      <c r="B1876" s="21"/>
      <c r="C1876" s="4" t="s">
        <v>77</v>
      </c>
      <c r="D1876" s="6" t="str">
        <f>HYPERLINK("javascript:void(0)","gránitrög")</f>
        <v>gránitrög</v>
      </c>
    </row>
    <row r="1877" spans="1:4" ht="12.75" customHeight="1" x14ac:dyDescent="0.2">
      <c r="A1877" s="5"/>
      <c r="B1877" s="2"/>
      <c r="C1877" s="2"/>
      <c r="D1877" s="2"/>
    </row>
    <row r="1878" spans="1:4" ht="12.75" customHeight="1" x14ac:dyDescent="0.2">
      <c r="A1878" s="22" t="str">
        <f>HYPERLINK("javascript:void(0)","parszi tűzbalta")</f>
        <v>parszi tűzbalta</v>
      </c>
      <c r="B1878" s="21"/>
      <c r="C1878" s="21"/>
      <c r="D1878" s="21"/>
    </row>
    <row r="1879" spans="1:4" ht="12.75" customHeight="1" x14ac:dyDescent="0.2">
      <c r="A1879" s="20"/>
      <c r="B1879" s="2"/>
      <c r="C1879" s="2"/>
      <c r="D1879" s="2"/>
    </row>
    <row r="1880" spans="1:4" ht="12.75" customHeight="1" x14ac:dyDescent="0.2">
      <c r="A1880" s="21"/>
      <c r="B1880" s="3" t="s">
        <v>0</v>
      </c>
      <c r="C1880" s="20" t="s">
        <v>324</v>
      </c>
      <c r="D1880" s="21"/>
    </row>
    <row r="1881" spans="1:4" ht="12.75" customHeight="1" x14ac:dyDescent="0.2">
      <c r="A1881" s="21"/>
      <c r="B1881" s="3" t="s">
        <v>2</v>
      </c>
      <c r="C1881" s="20" t="s">
        <v>1598</v>
      </c>
      <c r="D1881" s="21"/>
    </row>
    <row r="1882" spans="1:4" ht="12.75" customHeight="1" x14ac:dyDescent="0.2">
      <c r="A1882" s="21"/>
      <c r="B1882" s="3" t="s">
        <v>4</v>
      </c>
      <c r="C1882" s="20" t="s">
        <v>320</v>
      </c>
      <c r="D1882" s="21"/>
    </row>
    <row r="1883" spans="1:4" ht="12.75" customHeight="1" x14ac:dyDescent="0.2">
      <c r="A1883" s="21"/>
      <c r="B1883" s="3" t="s">
        <v>6</v>
      </c>
      <c r="C1883" s="20" t="s">
        <v>260</v>
      </c>
      <c r="D1883" s="21"/>
    </row>
    <row r="1884" spans="1:4" ht="12.75" customHeight="1" x14ac:dyDescent="0.2">
      <c r="A1884" s="21"/>
      <c r="B1884" s="3" t="s">
        <v>8</v>
      </c>
      <c r="C1884" s="20" t="s">
        <v>320</v>
      </c>
      <c r="D1884" s="21"/>
    </row>
    <row r="1885" spans="1:4" ht="12.75" customHeight="1" x14ac:dyDescent="0.2">
      <c r="A1885" s="21"/>
      <c r="B1885" s="3" t="s">
        <v>9</v>
      </c>
      <c r="C1885" s="20" t="s">
        <v>415</v>
      </c>
      <c r="D1885" s="21"/>
    </row>
    <row r="1886" spans="1:4" ht="12.75" customHeight="1" x14ac:dyDescent="0.2">
      <c r="A1886" s="21"/>
      <c r="B1886" s="3" t="s">
        <v>11</v>
      </c>
      <c r="C1886" s="20" t="s">
        <v>621</v>
      </c>
      <c r="D1886" s="21"/>
    </row>
    <row r="1887" spans="1:4" ht="12.75" customHeight="1" x14ac:dyDescent="0.2">
      <c r="A1887" s="21"/>
      <c r="B1887" s="3" t="s">
        <v>13</v>
      </c>
      <c r="C1887" s="20" t="s">
        <v>24</v>
      </c>
      <c r="D1887" s="21"/>
    </row>
    <row r="1888" spans="1:4" ht="12.75" customHeight="1" x14ac:dyDescent="0.2">
      <c r="A1888" s="21"/>
      <c r="B1888" s="3" t="s">
        <v>15</v>
      </c>
      <c r="C1888" s="20" t="s">
        <v>24</v>
      </c>
      <c r="D1888" s="21"/>
    </row>
    <row r="1889" spans="1:4" ht="12.75" customHeight="1" x14ac:dyDescent="0.2">
      <c r="A1889" s="21"/>
      <c r="B1889" s="3" t="s">
        <v>16</v>
      </c>
      <c r="C1889" s="20"/>
      <c r="D1889" s="21"/>
    </row>
    <row r="1890" spans="1:4" ht="12.75" customHeight="1" x14ac:dyDescent="0.2">
      <c r="A1890" s="21"/>
      <c r="B1890" s="3" t="s">
        <v>17</v>
      </c>
      <c r="C1890" s="20"/>
      <c r="D1890" s="21"/>
    </row>
    <row r="1891" spans="1:4" ht="12.75" customHeight="1" x14ac:dyDescent="0.2">
      <c r="A1891" s="21"/>
      <c r="B1891" s="20" t="s">
        <v>18</v>
      </c>
      <c r="C1891" s="4" t="s">
        <v>44</v>
      </c>
      <c r="D1891" s="6" t="str">
        <f>HYPERLINK("javascript:void(0)","óriásacél olló")</f>
        <v>óriásacél olló</v>
      </c>
    </row>
    <row r="1892" spans="1:4" ht="12.75" customHeight="1" x14ac:dyDescent="0.2">
      <c r="A1892" s="21"/>
      <c r="B1892" s="21"/>
      <c r="C1892" s="4" t="s">
        <v>139</v>
      </c>
      <c r="D1892" s="6" t="str">
        <f>HYPERLINK("javascript:void(0)","fülpenge")</f>
        <v>fülpenge</v>
      </c>
    </row>
    <row r="1893" spans="1:4" ht="12.75" customHeight="1" x14ac:dyDescent="0.2">
      <c r="A1893" s="21"/>
      <c r="B1893" s="21"/>
      <c r="C1893" s="4" t="s">
        <v>335</v>
      </c>
      <c r="D1893" s="6" t="str">
        <f>HYPERLINK("javascript:void(0)","tűzige")</f>
        <v>tűzige</v>
      </c>
    </row>
    <row r="1894" spans="1:4" ht="12.75" customHeight="1" x14ac:dyDescent="0.2">
      <c r="A1894" s="5"/>
      <c r="B1894" s="2"/>
      <c r="C1894" s="2"/>
      <c r="D1894" s="2"/>
    </row>
    <row r="1895" spans="1:4" ht="12.75" customHeight="1" x14ac:dyDescent="0.2">
      <c r="A1895" s="22" t="str">
        <f>HYPERLINK("javascript:void(0)","skivei mágusölő")</f>
        <v>skivei mágusölő</v>
      </c>
      <c r="B1895" s="21"/>
      <c r="C1895" s="21"/>
      <c r="D1895" s="21"/>
    </row>
    <row r="1896" spans="1:4" ht="12.75" customHeight="1" x14ac:dyDescent="0.2">
      <c r="A1896" s="20"/>
      <c r="B1896" s="2"/>
      <c r="C1896" s="2"/>
      <c r="D1896" s="2"/>
    </row>
    <row r="1897" spans="1:4" ht="12.75" customHeight="1" x14ac:dyDescent="0.2">
      <c r="A1897" s="21"/>
      <c r="B1897" s="3" t="s">
        <v>0</v>
      </c>
      <c r="C1897" s="20" t="s">
        <v>324</v>
      </c>
      <c r="D1897" s="21"/>
    </row>
    <row r="1898" spans="1:4" ht="12.75" customHeight="1" x14ac:dyDescent="0.2">
      <c r="A1898" s="21"/>
      <c r="B1898" s="3" t="s">
        <v>2</v>
      </c>
      <c r="C1898" s="20" t="s">
        <v>1598</v>
      </c>
      <c r="D1898" s="21"/>
    </row>
    <row r="1899" spans="1:4" ht="12.75" customHeight="1" x14ac:dyDescent="0.2">
      <c r="A1899" s="21"/>
      <c r="B1899" s="3" t="s">
        <v>4</v>
      </c>
      <c r="C1899" s="20" t="s">
        <v>333</v>
      </c>
      <c r="D1899" s="21"/>
    </row>
    <row r="1900" spans="1:4" ht="12.75" customHeight="1" x14ac:dyDescent="0.2">
      <c r="A1900" s="21"/>
      <c r="B1900" s="3" t="s">
        <v>6</v>
      </c>
      <c r="C1900" s="20" t="s">
        <v>1</v>
      </c>
      <c r="D1900" s="21"/>
    </row>
    <row r="1901" spans="1:4" ht="12.75" customHeight="1" x14ac:dyDescent="0.2">
      <c r="A1901" s="21"/>
      <c r="B1901" s="3" t="s">
        <v>8</v>
      </c>
      <c r="C1901" s="20" t="s">
        <v>333</v>
      </c>
      <c r="D1901" s="21"/>
    </row>
    <row r="1902" spans="1:4" ht="12.75" customHeight="1" x14ac:dyDescent="0.2">
      <c r="A1902" s="21"/>
      <c r="B1902" s="3" t="s">
        <v>9</v>
      </c>
      <c r="C1902" s="20" t="s">
        <v>594</v>
      </c>
      <c r="D1902" s="21"/>
    </row>
    <row r="1903" spans="1:4" ht="12.75" customHeight="1" x14ac:dyDescent="0.2">
      <c r="A1903" s="21"/>
      <c r="B1903" s="3" t="s">
        <v>11</v>
      </c>
      <c r="C1903" s="20" t="s">
        <v>203</v>
      </c>
      <c r="D1903" s="21"/>
    </row>
    <row r="1904" spans="1:4" ht="12.75" customHeight="1" x14ac:dyDescent="0.2">
      <c r="A1904" s="21"/>
      <c r="B1904" s="3" t="s">
        <v>13</v>
      </c>
      <c r="C1904" s="20" t="s">
        <v>14</v>
      </c>
      <c r="D1904" s="21"/>
    </row>
    <row r="1905" spans="1:4" ht="12.75" customHeight="1" x14ac:dyDescent="0.2">
      <c r="A1905" s="21"/>
      <c r="B1905" s="3" t="s">
        <v>15</v>
      </c>
      <c r="C1905" s="20" t="s">
        <v>24</v>
      </c>
      <c r="D1905" s="21"/>
    </row>
    <row r="1906" spans="1:4" ht="12.75" customHeight="1" x14ac:dyDescent="0.2">
      <c r="A1906" s="21"/>
      <c r="B1906" s="3" t="s">
        <v>16</v>
      </c>
      <c r="C1906" s="20"/>
      <c r="D1906" s="21"/>
    </row>
    <row r="1907" spans="1:4" ht="12.75" customHeight="1" x14ac:dyDescent="0.2">
      <c r="A1907" s="21"/>
      <c r="B1907" s="3" t="s">
        <v>17</v>
      </c>
      <c r="C1907" s="20"/>
      <c r="D1907" s="21"/>
    </row>
    <row r="1908" spans="1:4" ht="12.75" customHeight="1" x14ac:dyDescent="0.2">
      <c r="A1908" s="21"/>
      <c r="B1908" s="20" t="s">
        <v>18</v>
      </c>
      <c r="C1908" s="4" t="s">
        <v>44</v>
      </c>
      <c r="D1908" s="6" t="str">
        <f>HYPERLINK("javascript:void(0)","fénypenge mágusölő")</f>
        <v>fénypenge mágusölő</v>
      </c>
    </row>
    <row r="1909" spans="1:4" ht="12.75" customHeight="1" x14ac:dyDescent="0.2">
      <c r="A1909" s="21"/>
      <c r="B1909" s="21"/>
      <c r="C1909" s="4" t="s">
        <v>280</v>
      </c>
      <c r="D1909" s="6" t="str">
        <f>HYPERLINK("javascript:void(0)","légige")</f>
        <v>légige</v>
      </c>
    </row>
    <row r="1910" spans="1:4" ht="12.75" customHeight="1" x14ac:dyDescent="0.2">
      <c r="A1910" s="21"/>
      <c r="B1910" s="21"/>
      <c r="C1910" s="4" t="s">
        <v>280</v>
      </c>
      <c r="D1910" s="6" t="str">
        <f>HYPERLINK("javascript:void(0)","földige")</f>
        <v>földige</v>
      </c>
    </row>
    <row r="1911" spans="1:4" ht="12.75" customHeight="1" x14ac:dyDescent="0.2">
      <c r="A1911" s="5"/>
      <c r="B1911" s="2"/>
      <c r="C1911" s="2"/>
      <c r="D1911" s="2"/>
    </row>
    <row r="1912" spans="1:4" ht="12.75" customHeight="1" x14ac:dyDescent="0.2">
      <c r="A1912" s="22" t="str">
        <f>HYPERLINK("javascript:void(0)","parszi szélpenge")</f>
        <v>parszi szélpenge</v>
      </c>
      <c r="B1912" s="21"/>
      <c r="C1912" s="21"/>
      <c r="D1912" s="21"/>
    </row>
    <row r="1913" spans="1:4" ht="12.75" customHeight="1" x14ac:dyDescent="0.2">
      <c r="A1913" s="20"/>
      <c r="B1913" s="2"/>
      <c r="C1913" s="2"/>
      <c r="D1913" s="2"/>
    </row>
    <row r="1914" spans="1:4" ht="12.75" customHeight="1" x14ac:dyDescent="0.2">
      <c r="A1914" s="21"/>
      <c r="B1914" s="3" t="s">
        <v>0</v>
      </c>
      <c r="C1914" s="20" t="s">
        <v>178</v>
      </c>
      <c r="D1914" s="21"/>
    </row>
    <row r="1915" spans="1:4" ht="12.75" customHeight="1" x14ac:dyDescent="0.2">
      <c r="A1915" s="21"/>
      <c r="B1915" s="3" t="s">
        <v>2</v>
      </c>
      <c r="C1915" s="20" t="s">
        <v>1598</v>
      </c>
      <c r="D1915" s="21"/>
    </row>
    <row r="1916" spans="1:4" ht="12.75" customHeight="1" x14ac:dyDescent="0.2">
      <c r="A1916" s="21"/>
      <c r="B1916" s="3" t="s">
        <v>4</v>
      </c>
      <c r="C1916" s="20" t="s">
        <v>1579</v>
      </c>
      <c r="D1916" s="21"/>
    </row>
    <row r="1917" spans="1:4" ht="12.75" customHeight="1" x14ac:dyDescent="0.2">
      <c r="A1917" s="21"/>
      <c r="B1917" s="3" t="s">
        <v>6</v>
      </c>
      <c r="C1917" s="20" t="s">
        <v>340</v>
      </c>
      <c r="D1917" s="21"/>
    </row>
    <row r="1918" spans="1:4" ht="12.75" customHeight="1" x14ac:dyDescent="0.2">
      <c r="A1918" s="21"/>
      <c r="B1918" s="3" t="s">
        <v>8</v>
      </c>
      <c r="C1918" s="20" t="s">
        <v>1579</v>
      </c>
      <c r="D1918" s="21"/>
    </row>
    <row r="1919" spans="1:4" ht="12.75" customHeight="1" x14ac:dyDescent="0.2">
      <c r="A1919" s="21"/>
      <c r="B1919" s="3" t="s">
        <v>9</v>
      </c>
      <c r="C1919" s="20" t="s">
        <v>27</v>
      </c>
      <c r="D1919" s="21"/>
    </row>
    <row r="1920" spans="1:4" ht="12.75" customHeight="1" x14ac:dyDescent="0.2">
      <c r="A1920" s="21"/>
      <c r="B1920" s="3" t="s">
        <v>11</v>
      </c>
      <c r="C1920" s="20" t="s">
        <v>279</v>
      </c>
      <c r="D1920" s="21"/>
    </row>
    <row r="1921" spans="1:4" ht="12.75" customHeight="1" x14ac:dyDescent="0.2">
      <c r="A1921" s="21"/>
      <c r="B1921" s="3" t="s">
        <v>13</v>
      </c>
      <c r="C1921" s="20" t="s">
        <v>24</v>
      </c>
      <c r="D1921" s="21"/>
    </row>
    <row r="1922" spans="1:4" ht="12.75" customHeight="1" x14ac:dyDescent="0.2">
      <c r="A1922" s="21"/>
      <c r="B1922" s="3" t="s">
        <v>15</v>
      </c>
      <c r="C1922" s="20" t="s">
        <v>24</v>
      </c>
      <c r="D1922" s="21"/>
    </row>
    <row r="1923" spans="1:4" ht="12.75" customHeight="1" x14ac:dyDescent="0.2">
      <c r="A1923" s="21"/>
      <c r="B1923" s="3" t="s">
        <v>16</v>
      </c>
      <c r="C1923" s="20"/>
      <c r="D1923" s="21"/>
    </row>
    <row r="1924" spans="1:4" ht="12.75" customHeight="1" x14ac:dyDescent="0.2">
      <c r="A1924" s="21"/>
      <c r="B1924" s="3" t="s">
        <v>17</v>
      </c>
      <c r="C1924" s="20"/>
      <c r="D1924" s="21"/>
    </row>
    <row r="1925" spans="1:4" ht="12.75" customHeight="1" x14ac:dyDescent="0.2">
      <c r="A1925" s="21"/>
      <c r="B1925" s="20" t="s">
        <v>18</v>
      </c>
      <c r="C1925" s="4" t="s">
        <v>335</v>
      </c>
      <c r="D1925" s="6" t="str">
        <f>HYPERLINK("javascript:void(0)","légige")</f>
        <v>légige</v>
      </c>
    </row>
    <row r="1926" spans="1:4" ht="12.75" customHeight="1" x14ac:dyDescent="0.2">
      <c r="A1926" s="21"/>
      <c r="B1926" s="21"/>
      <c r="C1926" s="4" t="s">
        <v>193</v>
      </c>
      <c r="D1926" s="6" t="str">
        <f>HYPERLINK("javascript:void(0)","szent szimbólum")</f>
        <v>szent szimbólum</v>
      </c>
    </row>
    <row r="1927" spans="1:4" ht="12.75" customHeight="1" x14ac:dyDescent="0.2">
      <c r="A1927" s="21"/>
      <c r="B1927" s="21"/>
      <c r="C1927" s="4" t="s">
        <v>232</v>
      </c>
      <c r="D1927" s="6" t="str">
        <f>HYPERLINK("javascript:void(0)","képcső")</f>
        <v>képcső</v>
      </c>
    </row>
    <row r="1928" spans="1:4" ht="12.75" customHeight="1" x14ac:dyDescent="0.2">
      <c r="A1928" s="5"/>
      <c r="B1928" s="2"/>
      <c r="C1928" s="2"/>
      <c r="D1928" s="2"/>
    </row>
    <row r="1929" spans="1:4" ht="12.75" customHeight="1" x14ac:dyDescent="0.2">
      <c r="A1929" s="22" t="str">
        <f>HYPERLINK("javascript:void(0)","parszi gigapallos")</f>
        <v>parszi gigapallos</v>
      </c>
      <c r="B1929" s="21"/>
      <c r="C1929" s="21"/>
      <c r="D1929" s="21"/>
    </row>
    <row r="1930" spans="1:4" ht="12.75" customHeight="1" x14ac:dyDescent="0.2">
      <c r="A1930" s="20"/>
      <c r="B1930" s="2"/>
      <c r="C1930" s="2"/>
      <c r="D1930" s="2"/>
    </row>
    <row r="1931" spans="1:4" ht="12.75" customHeight="1" x14ac:dyDescent="0.2">
      <c r="A1931" s="21"/>
      <c r="B1931" s="3" t="s">
        <v>0</v>
      </c>
      <c r="C1931" s="20" t="s">
        <v>178</v>
      </c>
      <c r="D1931" s="21"/>
    </row>
    <row r="1932" spans="1:4" ht="12.75" customHeight="1" x14ac:dyDescent="0.2">
      <c r="A1932" s="21"/>
      <c r="B1932" s="3" t="s">
        <v>2</v>
      </c>
      <c r="C1932" s="20" t="s">
        <v>1598</v>
      </c>
      <c r="D1932" s="21"/>
    </row>
    <row r="1933" spans="1:4" ht="12.75" customHeight="1" x14ac:dyDescent="0.2">
      <c r="A1933" s="21"/>
      <c r="B1933" s="3" t="s">
        <v>4</v>
      </c>
      <c r="C1933" s="20" t="s">
        <v>1847</v>
      </c>
      <c r="D1933" s="21"/>
    </row>
    <row r="1934" spans="1:4" ht="12.75" customHeight="1" x14ac:dyDescent="0.2">
      <c r="A1934" s="21"/>
      <c r="B1934" s="3" t="s">
        <v>6</v>
      </c>
      <c r="C1934" s="20" t="s">
        <v>25</v>
      </c>
      <c r="D1934" s="21"/>
    </row>
    <row r="1935" spans="1:4" ht="12.75" customHeight="1" x14ac:dyDescent="0.2">
      <c r="A1935" s="21"/>
      <c r="B1935" s="3" t="s">
        <v>8</v>
      </c>
      <c r="C1935" s="20" t="s">
        <v>1847</v>
      </c>
      <c r="D1935" s="21"/>
    </row>
    <row r="1936" spans="1:4" ht="12.75" customHeight="1" x14ac:dyDescent="0.2">
      <c r="A1936" s="21"/>
      <c r="B1936" s="3" t="s">
        <v>9</v>
      </c>
      <c r="C1936" s="20" t="s">
        <v>1848</v>
      </c>
      <c r="D1936" s="21"/>
    </row>
    <row r="1937" spans="1:4" ht="12.75" customHeight="1" x14ac:dyDescent="0.2">
      <c r="A1937" s="21"/>
      <c r="B1937" s="3" t="s">
        <v>11</v>
      </c>
      <c r="C1937" s="20" t="s">
        <v>321</v>
      </c>
      <c r="D1937" s="21"/>
    </row>
    <row r="1938" spans="1:4" ht="12.75" customHeight="1" x14ac:dyDescent="0.2">
      <c r="A1938" s="21"/>
      <c r="B1938" s="3" t="s">
        <v>13</v>
      </c>
      <c r="C1938" s="20" t="s">
        <v>24</v>
      </c>
      <c r="D1938" s="21"/>
    </row>
    <row r="1939" spans="1:4" ht="12.75" customHeight="1" x14ac:dyDescent="0.2">
      <c r="A1939" s="21"/>
      <c r="B1939" s="3" t="s">
        <v>15</v>
      </c>
      <c r="C1939" s="20" t="s">
        <v>24</v>
      </c>
      <c r="D1939" s="21"/>
    </row>
    <row r="1940" spans="1:4" ht="12.75" customHeight="1" x14ac:dyDescent="0.2">
      <c r="A1940" s="21"/>
      <c r="B1940" s="3" t="s">
        <v>16</v>
      </c>
      <c r="C1940" s="20"/>
      <c r="D1940" s="21"/>
    </row>
    <row r="1941" spans="1:4" ht="12.75" customHeight="1" x14ac:dyDescent="0.2">
      <c r="A1941" s="21"/>
      <c r="B1941" s="3" t="s">
        <v>17</v>
      </c>
      <c r="C1941" s="20"/>
      <c r="D1941" s="21"/>
    </row>
    <row r="1942" spans="1:4" ht="12.75" customHeight="1" x14ac:dyDescent="0.2">
      <c r="A1942" s="21"/>
      <c r="B1942" s="20" t="s">
        <v>18</v>
      </c>
      <c r="C1942" s="4" t="s">
        <v>44</v>
      </c>
      <c r="D1942" s="6" t="str">
        <f>HYPERLINK("javascript:void(0)","mengorni gigapallos")</f>
        <v>mengorni gigapallos</v>
      </c>
    </row>
    <row r="1943" spans="1:4" ht="12.75" customHeight="1" x14ac:dyDescent="0.2">
      <c r="A1943" s="21"/>
      <c r="B1943" s="21"/>
      <c r="C1943" s="4" t="s">
        <v>786</v>
      </c>
      <c r="D1943" s="6" t="str">
        <f>HYPERLINK("javascript:void(0)","képcső")</f>
        <v>képcső</v>
      </c>
    </row>
    <row r="1944" spans="1:4" ht="12.75" customHeight="1" x14ac:dyDescent="0.2">
      <c r="A1944" s="21"/>
      <c r="B1944" s="21"/>
      <c r="C1944" s="4" t="s">
        <v>786</v>
      </c>
      <c r="D1944" s="6" t="str">
        <f>HYPERLINK("javascript:void(0)","hiperzsír")</f>
        <v>hiperzsír</v>
      </c>
    </row>
    <row r="1945" spans="1:4" ht="12.75" customHeight="1" x14ac:dyDescent="0.2">
      <c r="A1945" s="5"/>
      <c r="B1945" s="2"/>
      <c r="C1945" s="2"/>
      <c r="D1945" s="2"/>
    </row>
    <row r="1946" spans="1:4" ht="12.75" customHeight="1" x14ac:dyDescent="0.2">
      <c r="A1946" s="22" t="str">
        <f>HYPERLINK("javascript:void(0)","gyíkacél szurony")</f>
        <v>gyíkacél szurony</v>
      </c>
      <c r="B1946" s="21"/>
      <c r="C1946" s="21"/>
      <c r="D1946" s="21"/>
    </row>
    <row r="1947" spans="1:4" ht="12.75" customHeight="1" x14ac:dyDescent="0.2">
      <c r="A1947" s="20"/>
      <c r="B1947" s="2"/>
      <c r="C1947" s="2"/>
      <c r="D1947" s="2"/>
    </row>
    <row r="1948" spans="1:4" ht="12.75" customHeight="1" x14ac:dyDescent="0.2">
      <c r="A1948" s="21"/>
      <c r="B1948" s="3" t="s">
        <v>0</v>
      </c>
      <c r="C1948" s="20" t="s">
        <v>178</v>
      </c>
      <c r="D1948" s="21"/>
    </row>
    <row r="1949" spans="1:4" ht="12.75" customHeight="1" x14ac:dyDescent="0.2">
      <c r="A1949" s="21"/>
      <c r="B1949" s="3" t="s">
        <v>2</v>
      </c>
      <c r="C1949" s="20" t="s">
        <v>1598</v>
      </c>
      <c r="D1949" s="21"/>
    </row>
    <row r="1950" spans="1:4" ht="12.75" customHeight="1" x14ac:dyDescent="0.2">
      <c r="A1950" s="21"/>
      <c r="B1950" s="3" t="s">
        <v>4</v>
      </c>
      <c r="C1950" s="20" t="s">
        <v>1850</v>
      </c>
      <c r="D1950" s="21"/>
    </row>
    <row r="1951" spans="1:4" ht="12.75" customHeight="1" x14ac:dyDescent="0.2">
      <c r="A1951" s="21"/>
      <c r="B1951" s="3" t="s">
        <v>6</v>
      </c>
      <c r="C1951" s="20" t="s">
        <v>107</v>
      </c>
      <c r="D1951" s="21"/>
    </row>
    <row r="1952" spans="1:4" ht="12.75" customHeight="1" x14ac:dyDescent="0.2">
      <c r="A1952" s="21"/>
      <c r="B1952" s="3" t="s">
        <v>8</v>
      </c>
      <c r="C1952" s="20" t="s">
        <v>1850</v>
      </c>
      <c r="D1952" s="21"/>
    </row>
    <row r="1953" spans="1:4" ht="12.75" customHeight="1" x14ac:dyDescent="0.2">
      <c r="A1953" s="21"/>
      <c r="B1953" s="3" t="s">
        <v>9</v>
      </c>
      <c r="C1953" s="20" t="s">
        <v>1851</v>
      </c>
      <c r="D1953" s="21"/>
    </row>
    <row r="1954" spans="1:4" ht="12.75" customHeight="1" x14ac:dyDescent="0.2">
      <c r="A1954" s="21"/>
      <c r="B1954" s="3" t="s">
        <v>11</v>
      </c>
      <c r="C1954" s="20" t="s">
        <v>156</v>
      </c>
      <c r="D1954" s="21"/>
    </row>
    <row r="1955" spans="1:4" ht="12.75" customHeight="1" x14ac:dyDescent="0.2">
      <c r="A1955" s="21"/>
      <c r="B1955" s="3" t="s">
        <v>13</v>
      </c>
      <c r="C1955" s="20" t="s">
        <v>24</v>
      </c>
      <c r="D1955" s="21"/>
    </row>
    <row r="1956" spans="1:4" ht="12.75" customHeight="1" x14ac:dyDescent="0.2">
      <c r="A1956" s="21"/>
      <c r="B1956" s="3" t="s">
        <v>15</v>
      </c>
      <c r="C1956" s="20" t="s">
        <v>24</v>
      </c>
      <c r="D1956" s="21"/>
    </row>
    <row r="1957" spans="1:4" ht="12.75" customHeight="1" x14ac:dyDescent="0.2">
      <c r="A1957" s="21"/>
      <c r="B1957" s="3" t="s">
        <v>16</v>
      </c>
      <c r="C1957" s="20"/>
      <c r="D1957" s="21"/>
    </row>
    <row r="1958" spans="1:4" ht="12.75" customHeight="1" x14ac:dyDescent="0.2">
      <c r="A1958" s="21"/>
      <c r="B1958" s="3" t="s">
        <v>17</v>
      </c>
      <c r="C1958" s="20"/>
      <c r="D1958" s="21"/>
    </row>
    <row r="1959" spans="1:4" ht="12.75" customHeight="1" x14ac:dyDescent="0.2">
      <c r="A1959" s="21"/>
      <c r="B1959" s="20" t="s">
        <v>18</v>
      </c>
      <c r="C1959" s="4" t="s">
        <v>98</v>
      </c>
      <c r="D1959" s="6" t="str">
        <f>HYPERLINK("javascript:void(0)","idegen bizgentyű")</f>
        <v>idegen bizgentyű</v>
      </c>
    </row>
    <row r="1960" spans="1:4" ht="12.75" customHeight="1" x14ac:dyDescent="0.2">
      <c r="A1960" s="21"/>
      <c r="B1960" s="21"/>
      <c r="C1960" s="4" t="s">
        <v>68</v>
      </c>
      <c r="D1960" s="6" t="str">
        <f>HYPERLINK("javascript:void(0)","kihunyt glória")</f>
        <v>kihunyt glória</v>
      </c>
    </row>
    <row r="1961" spans="1:4" ht="12.75" customHeight="1" x14ac:dyDescent="0.2">
      <c r="A1961" s="21"/>
      <c r="B1961" s="21"/>
      <c r="C1961" s="4" t="s">
        <v>309</v>
      </c>
      <c r="D1961" s="6" t="str">
        <f>HYPERLINK("javascript:void(0)","szén-hidragén")</f>
        <v>szén-hidragén</v>
      </c>
    </row>
    <row r="1962" spans="1:4" ht="12.75" customHeight="1" x14ac:dyDescent="0.2">
      <c r="A1962" s="5"/>
      <c r="B1962" s="2"/>
      <c r="C1962" s="2"/>
      <c r="D1962" s="2"/>
    </row>
    <row r="1963" spans="1:4" ht="12.75" customHeight="1" x14ac:dyDescent="0.2">
      <c r="A1963" s="22" t="str">
        <f>HYPERLINK("javascript:void(0)","kristályszablya")</f>
        <v>kristályszablya</v>
      </c>
      <c r="B1963" s="21"/>
      <c r="C1963" s="21"/>
      <c r="D1963" s="21"/>
    </row>
    <row r="1964" spans="1:4" ht="12.75" customHeight="1" x14ac:dyDescent="0.2">
      <c r="A1964" s="20"/>
      <c r="B1964" s="2"/>
      <c r="C1964" s="2"/>
      <c r="D1964" s="2"/>
    </row>
    <row r="1965" spans="1:4" ht="12.75" customHeight="1" x14ac:dyDescent="0.2">
      <c r="A1965" s="21"/>
      <c r="B1965" s="3" t="s">
        <v>0</v>
      </c>
      <c r="C1965" s="20" t="s">
        <v>340</v>
      </c>
      <c r="D1965" s="21"/>
    </row>
    <row r="1966" spans="1:4" ht="12.75" customHeight="1" x14ac:dyDescent="0.2">
      <c r="A1966" s="21"/>
      <c r="B1966" s="3" t="s">
        <v>2</v>
      </c>
      <c r="C1966" s="20" t="s">
        <v>1598</v>
      </c>
      <c r="D1966" s="21"/>
    </row>
    <row r="1967" spans="1:4" ht="12.75" customHeight="1" x14ac:dyDescent="0.2">
      <c r="A1967" s="21"/>
      <c r="B1967" s="3" t="s">
        <v>4</v>
      </c>
      <c r="C1967" s="20" t="s">
        <v>1853</v>
      </c>
      <c r="D1967" s="21"/>
    </row>
    <row r="1968" spans="1:4" ht="12.75" customHeight="1" x14ac:dyDescent="0.2">
      <c r="A1968" s="21"/>
      <c r="B1968" s="3" t="s">
        <v>6</v>
      </c>
      <c r="C1968" s="20" t="s">
        <v>159</v>
      </c>
      <c r="D1968" s="21"/>
    </row>
    <row r="1969" spans="1:4" ht="12.75" customHeight="1" x14ac:dyDescent="0.2">
      <c r="A1969" s="21"/>
      <c r="B1969" s="3" t="s">
        <v>8</v>
      </c>
      <c r="C1969" s="20" t="s">
        <v>1853</v>
      </c>
      <c r="D1969" s="21"/>
    </row>
    <row r="1970" spans="1:4" ht="12.75" customHeight="1" x14ac:dyDescent="0.2">
      <c r="A1970" s="21"/>
      <c r="B1970" s="3" t="s">
        <v>9</v>
      </c>
      <c r="C1970" s="20" t="s">
        <v>27</v>
      </c>
      <c r="D1970" s="21"/>
    </row>
    <row r="1971" spans="1:4" ht="12.75" customHeight="1" x14ac:dyDescent="0.2">
      <c r="A1971" s="21"/>
      <c r="B1971" s="3" t="s">
        <v>11</v>
      </c>
      <c r="C1971" s="20" t="s">
        <v>295</v>
      </c>
      <c r="D1971" s="21"/>
    </row>
    <row r="1972" spans="1:4" ht="12.75" customHeight="1" x14ac:dyDescent="0.2">
      <c r="A1972" s="21"/>
      <c r="B1972" s="3" t="s">
        <v>13</v>
      </c>
      <c r="C1972" s="20" t="s">
        <v>24</v>
      </c>
      <c r="D1972" s="21"/>
    </row>
    <row r="1973" spans="1:4" ht="12.75" customHeight="1" x14ac:dyDescent="0.2">
      <c r="A1973" s="21"/>
      <c r="B1973" s="3" t="s">
        <v>15</v>
      </c>
      <c r="C1973" s="20" t="s">
        <v>24</v>
      </c>
      <c r="D1973" s="21"/>
    </row>
    <row r="1974" spans="1:4" ht="12.75" customHeight="1" x14ac:dyDescent="0.2">
      <c r="A1974" s="21"/>
      <c r="B1974" s="3" t="s">
        <v>16</v>
      </c>
      <c r="C1974" s="20"/>
      <c r="D1974" s="21"/>
    </row>
    <row r="1975" spans="1:4" ht="12.75" customHeight="1" x14ac:dyDescent="0.2">
      <c r="A1975" s="21"/>
      <c r="B1975" s="3" t="s">
        <v>17</v>
      </c>
      <c r="C1975" s="20"/>
      <c r="D1975" s="21"/>
    </row>
    <row r="1976" spans="1:4" ht="12.75" customHeight="1" x14ac:dyDescent="0.2">
      <c r="A1976" s="21"/>
      <c r="B1976" s="20" t="s">
        <v>18</v>
      </c>
      <c r="C1976" s="4" t="s">
        <v>44</v>
      </c>
      <c r="D1976" s="6" t="str">
        <f>HYPERLINK("javascript:void(0)","parszi szélpenge")</f>
        <v>parszi szélpenge</v>
      </c>
    </row>
    <row r="1977" spans="1:4" ht="12.75" customHeight="1" x14ac:dyDescent="0.2">
      <c r="A1977" s="21"/>
      <c r="B1977" s="21"/>
      <c r="C1977" s="4" t="s">
        <v>139</v>
      </c>
      <c r="D1977" s="6" t="str">
        <f>HYPERLINK("javascript:void(0)","dobhártya")</f>
        <v>dobhártya</v>
      </c>
    </row>
    <row r="1978" spans="1:4" ht="12.75" customHeight="1" x14ac:dyDescent="0.2">
      <c r="A1978" s="21"/>
      <c r="B1978" s="21"/>
      <c r="C1978" s="4" t="s">
        <v>117</v>
      </c>
      <c r="D1978" s="6" t="str">
        <f>HYPERLINK("javascript:void(0)","képcső")</f>
        <v>képcső</v>
      </c>
    </row>
    <row r="1979" spans="1:4" ht="12.75" customHeight="1" x14ac:dyDescent="0.2">
      <c r="A1979" s="5"/>
      <c r="B1979" s="2"/>
      <c r="C1979" s="2"/>
      <c r="D1979" s="2"/>
    </row>
    <row r="1980" spans="1:4" ht="12.75" customHeight="1" x14ac:dyDescent="0.2">
      <c r="A1980" s="22" t="str">
        <f>HYPERLINK("javascript:void(0)","mengorni mágusölő")</f>
        <v>mengorni mágusölő</v>
      </c>
      <c r="B1980" s="21"/>
      <c r="C1980" s="21"/>
      <c r="D1980" s="21"/>
    </row>
    <row r="1981" spans="1:4" ht="12.75" customHeight="1" x14ac:dyDescent="0.2">
      <c r="A1981" s="20"/>
      <c r="B1981" s="2"/>
      <c r="C1981" s="2"/>
      <c r="D1981" s="2"/>
    </row>
    <row r="1982" spans="1:4" ht="12.75" customHeight="1" x14ac:dyDescent="0.2">
      <c r="A1982" s="21"/>
      <c r="B1982" s="3" t="s">
        <v>0</v>
      </c>
      <c r="C1982" s="20" t="s">
        <v>340</v>
      </c>
      <c r="D1982" s="21"/>
    </row>
    <row r="1983" spans="1:4" ht="12.75" customHeight="1" x14ac:dyDescent="0.2">
      <c r="A1983" s="21"/>
      <c r="B1983" s="3" t="s">
        <v>2</v>
      </c>
      <c r="C1983" s="20" t="s">
        <v>1598</v>
      </c>
      <c r="D1983" s="21"/>
    </row>
    <row r="1984" spans="1:4" ht="12.75" customHeight="1" x14ac:dyDescent="0.2">
      <c r="A1984" s="21"/>
      <c r="B1984" s="3" t="s">
        <v>4</v>
      </c>
      <c r="C1984" s="20" t="s">
        <v>1854</v>
      </c>
      <c r="D1984" s="21"/>
    </row>
    <row r="1985" spans="1:4" ht="12.75" customHeight="1" x14ac:dyDescent="0.2">
      <c r="A1985" s="21"/>
      <c r="B1985" s="3" t="s">
        <v>6</v>
      </c>
      <c r="C1985" s="20" t="s">
        <v>65</v>
      </c>
      <c r="D1985" s="21"/>
    </row>
    <row r="1986" spans="1:4" ht="12.75" customHeight="1" x14ac:dyDescent="0.2">
      <c r="A1986" s="21"/>
      <c r="B1986" s="3" t="s">
        <v>8</v>
      </c>
      <c r="C1986" s="20" t="s">
        <v>1854</v>
      </c>
      <c r="D1986" s="21"/>
    </row>
    <row r="1987" spans="1:4" ht="12.75" customHeight="1" x14ac:dyDescent="0.2">
      <c r="A1987" s="21"/>
      <c r="B1987" s="3" t="s">
        <v>9</v>
      </c>
      <c r="C1987" s="20" t="s">
        <v>643</v>
      </c>
      <c r="D1987" s="21"/>
    </row>
    <row r="1988" spans="1:4" ht="12.75" customHeight="1" x14ac:dyDescent="0.2">
      <c r="A1988" s="21"/>
      <c r="B1988" s="3" t="s">
        <v>11</v>
      </c>
      <c r="C1988" s="20" t="s">
        <v>295</v>
      </c>
      <c r="D1988" s="21"/>
    </row>
    <row r="1989" spans="1:4" ht="12.75" customHeight="1" x14ac:dyDescent="0.2">
      <c r="A1989" s="21"/>
      <c r="B1989" s="3" t="s">
        <v>13</v>
      </c>
      <c r="C1989" s="20" t="s">
        <v>14</v>
      </c>
      <c r="D1989" s="21"/>
    </row>
    <row r="1990" spans="1:4" ht="12.75" customHeight="1" x14ac:dyDescent="0.2">
      <c r="A1990" s="21"/>
      <c r="B1990" s="3" t="s">
        <v>15</v>
      </c>
      <c r="C1990" s="20" t="s">
        <v>24</v>
      </c>
      <c r="D1990" s="21"/>
    </row>
    <row r="1991" spans="1:4" ht="12.75" customHeight="1" x14ac:dyDescent="0.2">
      <c r="A1991" s="21"/>
      <c r="B1991" s="3" t="s">
        <v>16</v>
      </c>
      <c r="C1991" s="20"/>
      <c r="D1991" s="21"/>
    </row>
    <row r="1992" spans="1:4" ht="12.75" customHeight="1" x14ac:dyDescent="0.2">
      <c r="A1992" s="21"/>
      <c r="B1992" s="3" t="s">
        <v>17</v>
      </c>
      <c r="C1992" s="20"/>
      <c r="D1992" s="21"/>
    </row>
    <row r="1993" spans="1:4" ht="12.75" customHeight="1" x14ac:dyDescent="0.2">
      <c r="A1993" s="21"/>
      <c r="B1993" s="20" t="s">
        <v>18</v>
      </c>
      <c r="C1993" s="4" t="s">
        <v>44</v>
      </c>
      <c r="D1993" s="6" t="str">
        <f>HYPERLINK("javascript:void(0)","skivei mágusölő")</f>
        <v>skivei mágusölő</v>
      </c>
    </row>
    <row r="1994" spans="1:4" ht="12.75" customHeight="1" x14ac:dyDescent="0.2">
      <c r="A1994" s="21"/>
      <c r="B1994" s="21"/>
      <c r="C1994" s="4" t="s">
        <v>139</v>
      </c>
      <c r="D1994" s="6" t="str">
        <f>HYPERLINK("javascript:void(0)","spiritusz")</f>
        <v>spiritusz</v>
      </c>
    </row>
    <row r="1995" spans="1:4" ht="12.75" customHeight="1" x14ac:dyDescent="0.2">
      <c r="A1995" s="21"/>
      <c r="B1995" s="21"/>
      <c r="C1995" s="4" t="s">
        <v>163</v>
      </c>
      <c r="D1995" s="6" t="str">
        <f>HYPERLINK("javascript:void(0)","hiperzsír")</f>
        <v>hiperzsír</v>
      </c>
    </row>
    <row r="1996" spans="1:4" ht="12.75" customHeight="1" x14ac:dyDescent="0.2">
      <c r="A1996" s="5"/>
      <c r="B1996" s="2"/>
      <c r="C1996" s="2"/>
      <c r="D1996" s="2"/>
    </row>
    <row r="1997" spans="1:4" ht="12.75" customHeight="1" x14ac:dyDescent="0.2">
      <c r="A1997" s="22" t="str">
        <f>HYPERLINK("javascript:void(0)","kristálylándzsa")</f>
        <v>kristálylándzsa</v>
      </c>
      <c r="B1997" s="21"/>
      <c r="C1997" s="21"/>
      <c r="D1997" s="21"/>
    </row>
    <row r="1998" spans="1:4" ht="12.75" customHeight="1" x14ac:dyDescent="0.2">
      <c r="A1998" s="20"/>
      <c r="B1998" s="2"/>
      <c r="C1998" s="2"/>
      <c r="D1998" s="2"/>
    </row>
    <row r="1999" spans="1:4" ht="12.75" customHeight="1" x14ac:dyDescent="0.2">
      <c r="A1999" s="21"/>
      <c r="B1999" s="3" t="s">
        <v>0</v>
      </c>
      <c r="C1999" s="20" t="s">
        <v>353</v>
      </c>
      <c r="D1999" s="21"/>
    </row>
    <row r="2000" spans="1:4" ht="12.75" customHeight="1" x14ac:dyDescent="0.2">
      <c r="A2000" s="21"/>
      <c r="B2000" s="3" t="s">
        <v>2</v>
      </c>
      <c r="C2000" s="20" t="s">
        <v>1598</v>
      </c>
      <c r="D2000" s="21"/>
    </row>
    <row r="2001" spans="1:4" ht="12.75" customHeight="1" x14ac:dyDescent="0.2">
      <c r="A2001" s="21"/>
      <c r="B2001" s="3" t="s">
        <v>4</v>
      </c>
      <c r="C2001" s="20" t="s">
        <v>682</v>
      </c>
      <c r="D2001" s="21"/>
    </row>
    <row r="2002" spans="1:4" ht="12.75" customHeight="1" x14ac:dyDescent="0.2">
      <c r="A2002" s="21"/>
      <c r="B2002" s="3" t="s">
        <v>6</v>
      </c>
      <c r="C2002" s="20" t="s">
        <v>229</v>
      </c>
      <c r="D2002" s="21"/>
    </row>
    <row r="2003" spans="1:4" ht="12.75" customHeight="1" x14ac:dyDescent="0.2">
      <c r="A2003" s="21"/>
      <c r="B2003" s="3" t="s">
        <v>8</v>
      </c>
      <c r="C2003" s="20" t="s">
        <v>682</v>
      </c>
      <c r="D2003" s="21"/>
    </row>
    <row r="2004" spans="1:4" ht="12.75" customHeight="1" x14ac:dyDescent="0.2">
      <c r="A2004" s="21"/>
      <c r="B2004" s="3" t="s">
        <v>9</v>
      </c>
      <c r="C2004" s="20" t="s">
        <v>49</v>
      </c>
      <c r="D2004" s="21"/>
    </row>
    <row r="2005" spans="1:4" ht="12.75" customHeight="1" x14ac:dyDescent="0.2">
      <c r="A2005" s="21"/>
      <c r="B2005" s="3" t="s">
        <v>11</v>
      </c>
      <c r="C2005" s="20" t="s">
        <v>315</v>
      </c>
      <c r="D2005" s="21"/>
    </row>
    <row r="2006" spans="1:4" ht="12.75" customHeight="1" x14ac:dyDescent="0.2">
      <c r="A2006" s="21"/>
      <c r="B2006" s="3" t="s">
        <v>13</v>
      </c>
      <c r="C2006" s="20" t="s">
        <v>24</v>
      </c>
      <c r="D2006" s="21"/>
    </row>
    <row r="2007" spans="1:4" ht="12.75" customHeight="1" x14ac:dyDescent="0.2">
      <c r="A2007" s="21"/>
      <c r="B2007" s="3" t="s">
        <v>15</v>
      </c>
      <c r="C2007" s="20" t="s">
        <v>24</v>
      </c>
      <c r="D2007" s="21"/>
    </row>
    <row r="2008" spans="1:4" ht="12.75" customHeight="1" x14ac:dyDescent="0.2">
      <c r="A2008" s="21"/>
      <c r="B2008" s="3" t="s">
        <v>16</v>
      </c>
      <c r="C2008" s="20"/>
      <c r="D2008" s="21"/>
    </row>
    <row r="2009" spans="1:4" ht="12.75" customHeight="1" x14ac:dyDescent="0.2">
      <c r="A2009" s="21"/>
      <c r="B2009" s="3" t="s">
        <v>17</v>
      </c>
      <c r="C2009" s="20"/>
      <c r="D2009" s="21"/>
    </row>
    <row r="2010" spans="1:4" ht="12.75" customHeight="1" x14ac:dyDescent="0.2">
      <c r="A2010" s="21"/>
      <c r="B2010" s="20" t="s">
        <v>18</v>
      </c>
      <c r="C2010" s="4" t="s">
        <v>44</v>
      </c>
      <c r="D2010" s="6" t="str">
        <f>HYPERLINK("javascript:void(0)","kristályszablya")</f>
        <v>kristályszablya</v>
      </c>
    </row>
    <row r="2011" spans="1:4" ht="12.75" customHeight="1" x14ac:dyDescent="0.2">
      <c r="A2011" s="21"/>
      <c r="B2011" s="21"/>
      <c r="C2011" s="4" t="s">
        <v>98</v>
      </c>
      <c r="D2011" s="6" t="str">
        <f>HYPERLINK("javascript:void(0)","spiritusz")</f>
        <v>spiritusz</v>
      </c>
    </row>
    <row r="2012" spans="1:4" ht="12.75" customHeight="1" x14ac:dyDescent="0.2">
      <c r="A2012" s="21"/>
      <c r="B2012" s="21"/>
      <c r="C2012" s="4" t="s">
        <v>269</v>
      </c>
      <c r="D2012" s="6" t="str">
        <f>HYPERLINK("javascript:void(0)","rémszem")</f>
        <v>rémszem</v>
      </c>
    </row>
    <row r="2013" spans="1:4" ht="12.75" customHeight="1" x14ac:dyDescent="0.2">
      <c r="A2013" s="5"/>
      <c r="B2013" s="2"/>
      <c r="C2013" s="2"/>
      <c r="D2013" s="2"/>
    </row>
    <row r="2014" spans="1:4" ht="12.75" customHeight="1" x14ac:dyDescent="0.2">
      <c r="A2014" s="22" t="str">
        <f>HYPERLINK("javascript:void(0)","kristály gigapallos")</f>
        <v>kristály gigapallos</v>
      </c>
      <c r="B2014" s="21"/>
      <c r="C2014" s="21"/>
      <c r="D2014" s="21"/>
    </row>
    <row r="2015" spans="1:4" ht="12.75" customHeight="1" x14ac:dyDescent="0.2">
      <c r="A2015" s="20"/>
      <c r="B2015" s="2"/>
      <c r="C2015" s="2"/>
      <c r="D2015" s="2"/>
    </row>
    <row r="2016" spans="1:4" ht="12.75" customHeight="1" x14ac:dyDescent="0.2">
      <c r="A2016" s="21"/>
      <c r="B2016" s="3" t="s">
        <v>0</v>
      </c>
      <c r="C2016" s="20" t="s">
        <v>353</v>
      </c>
      <c r="D2016" s="21"/>
    </row>
    <row r="2017" spans="1:4" ht="12.75" customHeight="1" x14ac:dyDescent="0.2">
      <c r="A2017" s="21"/>
      <c r="B2017" s="3" t="s">
        <v>2</v>
      </c>
      <c r="C2017" s="20" t="s">
        <v>1598</v>
      </c>
      <c r="D2017" s="21"/>
    </row>
    <row r="2018" spans="1:4" ht="12.75" customHeight="1" x14ac:dyDescent="0.2">
      <c r="A2018" s="21"/>
      <c r="B2018" s="3" t="s">
        <v>4</v>
      </c>
      <c r="C2018" s="20" t="s">
        <v>1857</v>
      </c>
      <c r="D2018" s="21"/>
    </row>
    <row r="2019" spans="1:4" ht="12.75" customHeight="1" x14ac:dyDescent="0.2">
      <c r="A2019" s="21"/>
      <c r="B2019" s="3" t="s">
        <v>6</v>
      </c>
      <c r="C2019" s="20" t="s">
        <v>392</v>
      </c>
      <c r="D2019" s="21"/>
    </row>
    <row r="2020" spans="1:4" ht="12.75" customHeight="1" x14ac:dyDescent="0.2">
      <c r="A2020" s="21"/>
      <c r="B2020" s="3" t="s">
        <v>8</v>
      </c>
      <c r="C2020" s="20" t="s">
        <v>1857</v>
      </c>
      <c r="D2020" s="21"/>
    </row>
    <row r="2021" spans="1:4" ht="12.75" customHeight="1" x14ac:dyDescent="0.2">
      <c r="A2021" s="21"/>
      <c r="B2021" s="3" t="s">
        <v>9</v>
      </c>
      <c r="C2021" s="20" t="s">
        <v>1858</v>
      </c>
      <c r="D2021" s="21"/>
    </row>
    <row r="2022" spans="1:4" ht="12.75" customHeight="1" x14ac:dyDescent="0.2">
      <c r="A2022" s="21"/>
      <c r="B2022" s="3" t="s">
        <v>11</v>
      </c>
      <c r="C2022" s="20" t="s">
        <v>368</v>
      </c>
      <c r="D2022" s="21"/>
    </row>
    <row r="2023" spans="1:4" ht="12.75" customHeight="1" x14ac:dyDescent="0.2">
      <c r="A2023" s="21"/>
      <c r="B2023" s="3" t="s">
        <v>13</v>
      </c>
      <c r="C2023" s="20" t="s">
        <v>24</v>
      </c>
      <c r="D2023" s="21"/>
    </row>
    <row r="2024" spans="1:4" ht="12.75" customHeight="1" x14ac:dyDescent="0.2">
      <c r="A2024" s="21"/>
      <c r="B2024" s="3" t="s">
        <v>15</v>
      </c>
      <c r="C2024" s="20" t="s">
        <v>24</v>
      </c>
      <c r="D2024" s="21"/>
    </row>
    <row r="2025" spans="1:4" ht="12.75" customHeight="1" x14ac:dyDescent="0.2">
      <c r="A2025" s="21"/>
      <c r="B2025" s="3" t="s">
        <v>16</v>
      </c>
      <c r="C2025" s="20"/>
      <c r="D2025" s="21"/>
    </row>
    <row r="2026" spans="1:4" ht="12.75" customHeight="1" x14ac:dyDescent="0.2">
      <c r="A2026" s="21"/>
      <c r="B2026" s="3" t="s">
        <v>17</v>
      </c>
      <c r="C2026" s="20"/>
      <c r="D2026" s="21"/>
    </row>
    <row r="2027" spans="1:4" ht="12.75" customHeight="1" x14ac:dyDescent="0.2">
      <c r="A2027" s="21"/>
      <c r="B2027" s="20" t="s">
        <v>18</v>
      </c>
      <c r="C2027" s="4" t="s">
        <v>44</v>
      </c>
      <c r="D2027" s="6" t="str">
        <f>HYPERLINK("javascript:void(0)","parszi gigapallos")</f>
        <v>parszi gigapallos</v>
      </c>
    </row>
    <row r="2028" spans="1:4" ht="12.75" customHeight="1" x14ac:dyDescent="0.2">
      <c r="A2028" s="21"/>
      <c r="B2028" s="21"/>
      <c r="C2028" s="4" t="s">
        <v>139</v>
      </c>
      <c r="D2028" s="6" t="str">
        <f>HYPERLINK("javascript:void(0)","rémszem")</f>
        <v>rémszem</v>
      </c>
    </row>
    <row r="2029" spans="1:4" ht="12.75" customHeight="1" x14ac:dyDescent="0.2">
      <c r="A2029" s="21"/>
      <c r="B2029" s="21"/>
      <c r="C2029" s="4" t="s">
        <v>193</v>
      </c>
      <c r="D2029" s="6" t="str">
        <f>HYPERLINK("javascript:void(0)","ínszalag")</f>
        <v>ínszalag</v>
      </c>
    </row>
    <row r="2030" spans="1:4" ht="12.75" customHeight="1" x14ac:dyDescent="0.2">
      <c r="A2030" s="5"/>
      <c r="B2030" s="2"/>
      <c r="C2030" s="2"/>
      <c r="D2030" s="2"/>
    </row>
    <row r="2031" spans="1:4" ht="12.75" customHeight="1" x14ac:dyDescent="0.2">
      <c r="A2031" s="22" t="str">
        <f>HYPERLINK("javascript:void(0)","gyíkacél szablya")</f>
        <v>gyíkacél szablya</v>
      </c>
      <c r="B2031" s="21"/>
      <c r="C2031" s="21"/>
      <c r="D2031" s="21"/>
    </row>
    <row r="2032" spans="1:4" ht="12.75" customHeight="1" x14ac:dyDescent="0.2">
      <c r="A2032" s="20"/>
      <c r="B2032" s="2"/>
      <c r="C2032" s="2"/>
      <c r="D2032" s="2"/>
    </row>
    <row r="2033" spans="1:4" ht="12.75" customHeight="1" x14ac:dyDescent="0.2">
      <c r="A2033" s="21"/>
      <c r="B2033" s="3" t="s">
        <v>0</v>
      </c>
      <c r="C2033" s="20" t="s">
        <v>353</v>
      </c>
      <c r="D2033" s="21"/>
    </row>
    <row r="2034" spans="1:4" ht="12.75" customHeight="1" x14ac:dyDescent="0.2">
      <c r="A2034" s="21"/>
      <c r="B2034" s="3" t="s">
        <v>2</v>
      </c>
      <c r="C2034" s="20" t="s">
        <v>1598</v>
      </c>
      <c r="D2034" s="21"/>
    </row>
    <row r="2035" spans="1:4" ht="12.75" customHeight="1" x14ac:dyDescent="0.2">
      <c r="A2035" s="21"/>
      <c r="B2035" s="3" t="s">
        <v>4</v>
      </c>
      <c r="C2035" s="20" t="s">
        <v>1859</v>
      </c>
      <c r="D2035" s="21"/>
    </row>
    <row r="2036" spans="1:4" ht="12.75" customHeight="1" x14ac:dyDescent="0.2">
      <c r="A2036" s="21"/>
      <c r="B2036" s="3" t="s">
        <v>6</v>
      </c>
      <c r="C2036" s="20" t="s">
        <v>107</v>
      </c>
      <c r="D2036" s="21"/>
    </row>
    <row r="2037" spans="1:4" ht="12.75" customHeight="1" x14ac:dyDescent="0.2">
      <c r="A2037" s="21"/>
      <c r="B2037" s="3" t="s">
        <v>8</v>
      </c>
      <c r="C2037" s="20" t="s">
        <v>1859</v>
      </c>
      <c r="D2037" s="21"/>
    </row>
    <row r="2038" spans="1:4" ht="12.75" customHeight="1" x14ac:dyDescent="0.2">
      <c r="A2038" s="21"/>
      <c r="B2038" s="3" t="s">
        <v>9</v>
      </c>
      <c r="C2038" s="20" t="s">
        <v>1860</v>
      </c>
      <c r="D2038" s="21"/>
    </row>
    <row r="2039" spans="1:4" ht="12.75" customHeight="1" x14ac:dyDescent="0.2">
      <c r="A2039" s="21"/>
      <c r="B2039" s="3" t="s">
        <v>11</v>
      </c>
      <c r="C2039" s="20" t="s">
        <v>182</v>
      </c>
      <c r="D2039" s="21"/>
    </row>
    <row r="2040" spans="1:4" ht="12.75" customHeight="1" x14ac:dyDescent="0.2">
      <c r="A2040" s="21"/>
      <c r="B2040" s="3" t="s">
        <v>13</v>
      </c>
      <c r="C2040" s="20" t="s">
        <v>24</v>
      </c>
      <c r="D2040" s="21"/>
    </row>
    <row r="2041" spans="1:4" ht="12.75" customHeight="1" x14ac:dyDescent="0.2">
      <c r="A2041" s="21"/>
      <c r="B2041" s="3" t="s">
        <v>15</v>
      </c>
      <c r="C2041" s="20" t="s">
        <v>24</v>
      </c>
      <c r="D2041" s="21"/>
    </row>
    <row r="2042" spans="1:4" ht="12.75" customHeight="1" x14ac:dyDescent="0.2">
      <c r="A2042" s="21"/>
      <c r="B2042" s="3" t="s">
        <v>16</v>
      </c>
      <c r="C2042" s="20"/>
      <c r="D2042" s="21"/>
    </row>
    <row r="2043" spans="1:4" ht="12.75" customHeight="1" x14ac:dyDescent="0.2">
      <c r="A2043" s="21"/>
      <c r="B2043" s="3" t="s">
        <v>17</v>
      </c>
      <c r="C2043" s="20"/>
      <c r="D2043" s="21"/>
    </row>
    <row r="2044" spans="1:4" ht="12.75" customHeight="1" x14ac:dyDescent="0.2">
      <c r="A2044" s="21"/>
      <c r="B2044" s="20" t="s">
        <v>18</v>
      </c>
      <c r="C2044" s="4" t="s">
        <v>67</v>
      </c>
      <c r="D2044" s="6" t="str">
        <f>HYPERLINK("javascript:void(0)","szent szimbólum")</f>
        <v>szent szimbólum</v>
      </c>
    </row>
    <row r="2045" spans="1:4" ht="12.75" customHeight="1" x14ac:dyDescent="0.2">
      <c r="A2045" s="21"/>
      <c r="B2045" s="21"/>
      <c r="C2045" s="4" t="s">
        <v>232</v>
      </c>
      <c r="D2045" s="6" t="str">
        <f>HYPERLINK("javascript:void(0)","sárkány izom")</f>
        <v>sárkány izom</v>
      </c>
    </row>
    <row r="2046" spans="1:4" ht="12.75" customHeight="1" x14ac:dyDescent="0.2">
      <c r="A2046" s="21"/>
      <c r="B2046" s="21"/>
      <c r="C2046" s="4" t="s">
        <v>55</v>
      </c>
      <c r="D2046" s="6" t="str">
        <f>HYPERLINK("javascript:void(0)","óriás korona")</f>
        <v>óriás korona</v>
      </c>
    </row>
    <row r="2047" spans="1:4" ht="12.75" customHeight="1" x14ac:dyDescent="0.2">
      <c r="A2047" s="5"/>
      <c r="B2047" s="2"/>
      <c r="C2047" s="2"/>
      <c r="D2047" s="2"/>
    </row>
    <row r="2048" spans="1:4" ht="12.75" customHeight="1" x14ac:dyDescent="0.2">
      <c r="A2048" s="22" t="str">
        <f>HYPERLINK("javascript:void(0)","kristálytőr")</f>
        <v>kristálytőr</v>
      </c>
      <c r="B2048" s="21"/>
      <c r="C2048" s="21"/>
      <c r="D2048" s="21"/>
    </row>
    <row r="2049" spans="1:4" ht="12.75" customHeight="1" x14ac:dyDescent="0.2">
      <c r="A2049" s="20"/>
      <c r="B2049" s="2"/>
      <c r="C2049" s="2"/>
      <c r="D2049" s="2"/>
    </row>
    <row r="2050" spans="1:4" ht="12.75" customHeight="1" x14ac:dyDescent="0.2">
      <c r="A2050" s="21"/>
      <c r="B2050" s="3" t="s">
        <v>0</v>
      </c>
      <c r="C2050" s="20" t="s">
        <v>274</v>
      </c>
      <c r="D2050" s="21"/>
    </row>
    <row r="2051" spans="1:4" ht="12.75" customHeight="1" x14ac:dyDescent="0.2">
      <c r="A2051" s="21"/>
      <c r="B2051" s="3" t="s">
        <v>2</v>
      </c>
      <c r="C2051" s="20" t="s">
        <v>1598</v>
      </c>
      <c r="D2051" s="21"/>
    </row>
    <row r="2052" spans="1:4" ht="12.75" customHeight="1" x14ac:dyDescent="0.2">
      <c r="A2052" s="21"/>
      <c r="B2052" s="3" t="s">
        <v>4</v>
      </c>
      <c r="C2052" s="20" t="s">
        <v>1861</v>
      </c>
      <c r="D2052" s="21"/>
    </row>
    <row r="2053" spans="1:4" ht="12.75" customHeight="1" x14ac:dyDescent="0.2">
      <c r="A2053" s="21"/>
      <c r="B2053" s="3" t="s">
        <v>6</v>
      </c>
      <c r="C2053" s="20" t="s">
        <v>298</v>
      </c>
      <c r="D2053" s="21"/>
    </row>
    <row r="2054" spans="1:4" ht="12.75" customHeight="1" x14ac:dyDescent="0.2">
      <c r="A2054" s="21"/>
      <c r="B2054" s="3" t="s">
        <v>8</v>
      </c>
      <c r="C2054" s="20" t="s">
        <v>1861</v>
      </c>
      <c r="D2054" s="21"/>
    </row>
    <row r="2055" spans="1:4" ht="12.75" customHeight="1" x14ac:dyDescent="0.2">
      <c r="A2055" s="21"/>
      <c r="B2055" s="3" t="s">
        <v>9</v>
      </c>
      <c r="C2055" s="20" t="s">
        <v>464</v>
      </c>
      <c r="D2055" s="21"/>
    </row>
    <row r="2056" spans="1:4" ht="12.75" customHeight="1" x14ac:dyDescent="0.2">
      <c r="A2056" s="21"/>
      <c r="B2056" s="3" t="s">
        <v>11</v>
      </c>
      <c r="C2056" s="20" t="s">
        <v>329</v>
      </c>
      <c r="D2056" s="21"/>
    </row>
    <row r="2057" spans="1:4" ht="12.75" customHeight="1" x14ac:dyDescent="0.2">
      <c r="A2057" s="21"/>
      <c r="B2057" s="3" t="s">
        <v>13</v>
      </c>
      <c r="C2057" s="20" t="s">
        <v>24</v>
      </c>
      <c r="D2057" s="21"/>
    </row>
    <row r="2058" spans="1:4" ht="12.75" customHeight="1" x14ac:dyDescent="0.2">
      <c r="A2058" s="21"/>
      <c r="B2058" s="3" t="s">
        <v>15</v>
      </c>
      <c r="C2058" s="20" t="s">
        <v>24</v>
      </c>
      <c r="D2058" s="21"/>
    </row>
    <row r="2059" spans="1:4" ht="12.75" customHeight="1" x14ac:dyDescent="0.2">
      <c r="A2059" s="21"/>
      <c r="B2059" s="3" t="s">
        <v>16</v>
      </c>
      <c r="C2059" s="20"/>
      <c r="D2059" s="21"/>
    </row>
    <row r="2060" spans="1:4" ht="12.75" customHeight="1" x14ac:dyDescent="0.2">
      <c r="A2060" s="21"/>
      <c r="B2060" s="3" t="s">
        <v>17</v>
      </c>
      <c r="C2060" s="20"/>
      <c r="D2060" s="21"/>
    </row>
    <row r="2061" spans="1:4" ht="12.75" customHeight="1" x14ac:dyDescent="0.2">
      <c r="A2061" s="21"/>
      <c r="B2061" s="20" t="s">
        <v>18</v>
      </c>
      <c r="C2061" s="4" t="s">
        <v>44</v>
      </c>
      <c r="D2061" s="6" t="str">
        <f>HYPERLINK("javascript:void(0)","kristálylándzsa")</f>
        <v>kristálylándzsa</v>
      </c>
    </row>
    <row r="2062" spans="1:4" ht="12.75" customHeight="1" x14ac:dyDescent="0.2">
      <c r="A2062" s="21"/>
      <c r="B2062" s="21"/>
      <c r="C2062" s="4" t="s">
        <v>44</v>
      </c>
      <c r="D2062" s="6" t="str">
        <f>HYPERLINK("javascript:void(0)","parszi tűzbalta")</f>
        <v>parszi tűzbalta</v>
      </c>
    </row>
    <row r="2063" spans="1:4" ht="12.75" customHeight="1" x14ac:dyDescent="0.2">
      <c r="A2063" s="21"/>
      <c r="B2063" s="21"/>
      <c r="C2063" s="4" t="s">
        <v>77</v>
      </c>
      <c r="D2063" s="6" t="str">
        <f>HYPERLINK("javascript:void(0)","robbanófej")</f>
        <v>robbanófej</v>
      </c>
    </row>
    <row r="2064" spans="1:4" ht="12.75" customHeight="1" x14ac:dyDescent="0.2">
      <c r="A2064" s="5"/>
      <c r="B2064" s="2"/>
      <c r="C2064" s="2"/>
      <c r="D2064" s="2"/>
    </row>
    <row r="2065" spans="1:4" ht="12.75" customHeight="1" x14ac:dyDescent="0.2">
      <c r="A2065" s="22" t="str">
        <f>HYPERLINK("javascript:void(0)","szilánk mágusölő")</f>
        <v>szilánk mágusölő</v>
      </c>
      <c r="B2065" s="21"/>
      <c r="C2065" s="21"/>
      <c r="D2065" s="21"/>
    </row>
    <row r="2066" spans="1:4" ht="12.75" customHeight="1" x14ac:dyDescent="0.2">
      <c r="A2066" s="20"/>
      <c r="B2066" s="2"/>
      <c r="C2066" s="2"/>
      <c r="D2066" s="2"/>
    </row>
    <row r="2067" spans="1:4" ht="12.75" customHeight="1" x14ac:dyDescent="0.2">
      <c r="A2067" s="21"/>
      <c r="B2067" s="3" t="s">
        <v>0</v>
      </c>
      <c r="C2067" s="20" t="s">
        <v>274</v>
      </c>
      <c r="D2067" s="21"/>
    </row>
    <row r="2068" spans="1:4" ht="12.75" customHeight="1" x14ac:dyDescent="0.2">
      <c r="A2068" s="21"/>
      <c r="B2068" s="3" t="s">
        <v>2</v>
      </c>
      <c r="C2068" s="20" t="s">
        <v>1598</v>
      </c>
      <c r="D2068" s="21"/>
    </row>
    <row r="2069" spans="1:4" ht="12.75" customHeight="1" x14ac:dyDescent="0.2">
      <c r="A2069" s="21"/>
      <c r="B2069" s="3" t="s">
        <v>4</v>
      </c>
      <c r="C2069" s="20" t="s">
        <v>1862</v>
      </c>
      <c r="D2069" s="21"/>
    </row>
    <row r="2070" spans="1:4" ht="12.75" customHeight="1" x14ac:dyDescent="0.2">
      <c r="A2070" s="21"/>
      <c r="B2070" s="3" t="s">
        <v>6</v>
      </c>
      <c r="C2070" s="20" t="s">
        <v>48</v>
      </c>
      <c r="D2070" s="21"/>
    </row>
    <row r="2071" spans="1:4" ht="12.75" customHeight="1" x14ac:dyDescent="0.2">
      <c r="A2071" s="21"/>
      <c r="B2071" s="3" t="s">
        <v>8</v>
      </c>
      <c r="C2071" s="20" t="s">
        <v>1862</v>
      </c>
      <c r="D2071" s="21"/>
    </row>
    <row r="2072" spans="1:4" ht="12.75" customHeight="1" x14ac:dyDescent="0.2">
      <c r="A2072" s="21"/>
      <c r="B2072" s="3" t="s">
        <v>9</v>
      </c>
      <c r="C2072" s="20" t="s">
        <v>1843</v>
      </c>
      <c r="D2072" s="21"/>
    </row>
    <row r="2073" spans="1:4" ht="12.75" customHeight="1" x14ac:dyDescent="0.2">
      <c r="A2073" s="21"/>
      <c r="B2073" s="3" t="s">
        <v>11</v>
      </c>
      <c r="C2073" s="20" t="s">
        <v>329</v>
      </c>
      <c r="D2073" s="21"/>
    </row>
    <row r="2074" spans="1:4" ht="12.75" customHeight="1" x14ac:dyDescent="0.2">
      <c r="A2074" s="21"/>
      <c r="B2074" s="3" t="s">
        <v>13</v>
      </c>
      <c r="C2074" s="20" t="s">
        <v>14</v>
      </c>
      <c r="D2074" s="21"/>
    </row>
    <row r="2075" spans="1:4" ht="12.75" customHeight="1" x14ac:dyDescent="0.2">
      <c r="A2075" s="21"/>
      <c r="B2075" s="3" t="s">
        <v>15</v>
      </c>
      <c r="C2075" s="20" t="s">
        <v>24</v>
      </c>
      <c r="D2075" s="21"/>
    </row>
    <row r="2076" spans="1:4" ht="12.75" customHeight="1" x14ac:dyDescent="0.2">
      <c r="A2076" s="21"/>
      <c r="B2076" s="3" t="s">
        <v>16</v>
      </c>
      <c r="C2076" s="20"/>
      <c r="D2076" s="21"/>
    </row>
    <row r="2077" spans="1:4" ht="12.75" customHeight="1" x14ac:dyDescent="0.2">
      <c r="A2077" s="21"/>
      <c r="B2077" s="3" t="s">
        <v>17</v>
      </c>
      <c r="C2077" s="20"/>
      <c r="D2077" s="21"/>
    </row>
    <row r="2078" spans="1:4" ht="12.75" customHeight="1" x14ac:dyDescent="0.2">
      <c r="A2078" s="21"/>
      <c r="B2078" s="20" t="s">
        <v>18</v>
      </c>
      <c r="C2078" s="4" t="s">
        <v>44</v>
      </c>
      <c r="D2078" s="6" t="str">
        <f>HYPERLINK("javascript:void(0)","mengorni mágusölő")</f>
        <v>mengorni mágusölő</v>
      </c>
    </row>
    <row r="2079" spans="1:4" ht="12.75" customHeight="1" x14ac:dyDescent="0.2">
      <c r="A2079" s="21"/>
      <c r="B2079" s="21"/>
      <c r="C2079" s="4" t="s">
        <v>193</v>
      </c>
      <c r="D2079" s="6" t="str">
        <f>HYPERLINK("javascript:void(0)","ínszalag")</f>
        <v>ínszalag</v>
      </c>
    </row>
    <row r="2080" spans="1:4" ht="12.75" customHeight="1" x14ac:dyDescent="0.2">
      <c r="A2080" s="21"/>
      <c r="B2080" s="21"/>
      <c r="C2080" s="4" t="s">
        <v>117</v>
      </c>
      <c r="D2080" s="6" t="str">
        <f>HYPERLINK("javascript:void(0)","robbanófej")</f>
        <v>robbanófej</v>
      </c>
    </row>
    <row r="2081" spans="1:4" ht="12.75" customHeight="1" x14ac:dyDescent="0.2">
      <c r="A2081" s="5"/>
      <c r="B2081" s="2"/>
      <c r="C2081" s="2"/>
      <c r="D2081" s="2"/>
    </row>
    <row r="2082" spans="1:4" ht="12.75" customHeight="1" x14ac:dyDescent="0.2">
      <c r="A2082" s="22" t="str">
        <f>HYPERLINK("javascript:void(0)","animált kard")</f>
        <v>animált kard</v>
      </c>
      <c r="B2082" s="21"/>
      <c r="C2082" s="21"/>
      <c r="D2082" s="21"/>
    </row>
    <row r="2083" spans="1:4" ht="12.75" customHeight="1" x14ac:dyDescent="0.2">
      <c r="A2083" s="20"/>
      <c r="B2083" s="2"/>
      <c r="C2083" s="2"/>
      <c r="D2083" s="2"/>
    </row>
    <row r="2084" spans="1:4" ht="12.75" customHeight="1" x14ac:dyDescent="0.2">
      <c r="A2084" s="21"/>
      <c r="B2084" s="3" t="s">
        <v>0</v>
      </c>
      <c r="C2084" s="20" t="s">
        <v>52</v>
      </c>
      <c r="D2084" s="21"/>
    </row>
    <row r="2085" spans="1:4" ht="12.75" customHeight="1" x14ac:dyDescent="0.2">
      <c r="A2085" s="21"/>
      <c r="B2085" s="3" t="s">
        <v>2</v>
      </c>
      <c r="C2085" s="20" t="s">
        <v>1598</v>
      </c>
      <c r="D2085" s="21"/>
    </row>
    <row r="2086" spans="1:4" ht="12.75" customHeight="1" x14ac:dyDescent="0.2">
      <c r="A2086" s="21"/>
      <c r="B2086" s="3" t="s">
        <v>4</v>
      </c>
      <c r="C2086" s="20" t="s">
        <v>1863</v>
      </c>
      <c r="D2086" s="21"/>
    </row>
    <row r="2087" spans="1:4" ht="12.75" customHeight="1" x14ac:dyDescent="0.2">
      <c r="A2087" s="21"/>
      <c r="B2087" s="3" t="s">
        <v>6</v>
      </c>
      <c r="C2087" s="20" t="s">
        <v>353</v>
      </c>
      <c r="D2087" s="21"/>
    </row>
    <row r="2088" spans="1:4" ht="12.75" customHeight="1" x14ac:dyDescent="0.2">
      <c r="A2088" s="21"/>
      <c r="B2088" s="3" t="s">
        <v>8</v>
      </c>
      <c r="C2088" s="20" t="s">
        <v>1863</v>
      </c>
      <c r="D2088" s="21"/>
    </row>
    <row r="2089" spans="1:4" ht="12.75" customHeight="1" x14ac:dyDescent="0.2">
      <c r="A2089" s="21"/>
      <c r="B2089" s="3" t="s">
        <v>9</v>
      </c>
      <c r="C2089" s="20" t="s">
        <v>36</v>
      </c>
      <c r="D2089" s="21"/>
    </row>
    <row r="2090" spans="1:4" ht="12.75" customHeight="1" x14ac:dyDescent="0.2">
      <c r="A2090" s="21"/>
      <c r="B2090" s="3" t="s">
        <v>11</v>
      </c>
      <c r="C2090" s="20" t="s">
        <v>350</v>
      </c>
      <c r="D2090" s="21"/>
    </row>
    <row r="2091" spans="1:4" ht="12.75" customHeight="1" x14ac:dyDescent="0.2">
      <c r="A2091" s="21"/>
      <c r="B2091" s="3" t="s">
        <v>13</v>
      </c>
      <c r="C2091" s="20" t="s">
        <v>24</v>
      </c>
      <c r="D2091" s="21"/>
    </row>
    <row r="2092" spans="1:4" ht="12.75" customHeight="1" x14ac:dyDescent="0.2">
      <c r="A2092" s="21"/>
      <c r="B2092" s="3" t="s">
        <v>15</v>
      </c>
      <c r="C2092" s="20" t="s">
        <v>24</v>
      </c>
      <c r="D2092" s="21"/>
    </row>
    <row r="2093" spans="1:4" ht="12.75" customHeight="1" x14ac:dyDescent="0.2">
      <c r="A2093" s="21"/>
      <c r="B2093" s="3" t="s">
        <v>16</v>
      </c>
      <c r="C2093" s="20"/>
      <c r="D2093" s="21"/>
    </row>
    <row r="2094" spans="1:4" ht="12.75" customHeight="1" x14ac:dyDescent="0.2">
      <c r="A2094" s="21"/>
      <c r="B2094" s="3" t="s">
        <v>17</v>
      </c>
      <c r="C2094" s="20"/>
      <c r="D2094" s="21"/>
    </row>
    <row r="2095" spans="1:4" ht="12.75" customHeight="1" x14ac:dyDescent="0.2">
      <c r="A2095" s="21"/>
      <c r="B2095" s="20" t="s">
        <v>18</v>
      </c>
      <c r="C2095" s="4" t="s">
        <v>68</v>
      </c>
      <c r="D2095" s="6" t="str">
        <f>HYPERLINK("javascript:void(0)","ágyúmozsár")</f>
        <v>ágyúmozsár</v>
      </c>
    </row>
    <row r="2096" spans="1:4" ht="12.75" customHeight="1" x14ac:dyDescent="0.2">
      <c r="A2096" s="21"/>
      <c r="B2096" s="21"/>
      <c r="C2096" s="4" t="s">
        <v>67</v>
      </c>
      <c r="D2096" s="6" t="str">
        <f>HYPERLINK("javascript:void(0)","nekroige")</f>
        <v>nekroige</v>
      </c>
    </row>
    <row r="2097" spans="1:4" ht="12.75" customHeight="1" x14ac:dyDescent="0.2">
      <c r="A2097" s="21"/>
      <c r="B2097" s="21"/>
      <c r="C2097" s="4" t="s">
        <v>77</v>
      </c>
      <c r="D2097" s="6" t="str">
        <f>HYPERLINK("javascript:void(0)","lámpás")</f>
        <v>lámpás</v>
      </c>
    </row>
    <row r="2098" spans="1:4" ht="12.75" customHeight="1" x14ac:dyDescent="0.2">
      <c r="A2098" s="5"/>
      <c r="B2098" s="2"/>
      <c r="C2098" s="2"/>
      <c r="D2098" s="2"/>
    </row>
    <row r="2099" spans="1:4" ht="12.75" customHeight="1" x14ac:dyDescent="0.2">
      <c r="A2099" s="22" t="str">
        <f>HYPERLINK("javascript:void(0)","animált gigapallos")</f>
        <v>animált gigapallos</v>
      </c>
      <c r="B2099" s="21"/>
      <c r="C2099" s="21"/>
      <c r="D2099" s="21"/>
    </row>
    <row r="2100" spans="1:4" ht="12.75" customHeight="1" x14ac:dyDescent="0.2">
      <c r="A2100" s="20"/>
      <c r="B2100" s="2"/>
      <c r="C2100" s="2"/>
      <c r="D2100" s="2"/>
    </row>
    <row r="2101" spans="1:4" ht="12.75" customHeight="1" x14ac:dyDescent="0.2">
      <c r="A2101" s="21"/>
      <c r="B2101" s="3" t="s">
        <v>0</v>
      </c>
      <c r="C2101" s="20" t="s">
        <v>52</v>
      </c>
      <c r="D2101" s="21"/>
    </row>
    <row r="2102" spans="1:4" ht="12.75" customHeight="1" x14ac:dyDescent="0.2">
      <c r="A2102" s="21"/>
      <c r="B2102" s="3" t="s">
        <v>2</v>
      </c>
      <c r="C2102" s="20" t="s">
        <v>1598</v>
      </c>
      <c r="D2102" s="21"/>
    </row>
    <row r="2103" spans="1:4" ht="12.75" customHeight="1" x14ac:dyDescent="0.2">
      <c r="A2103" s="21"/>
      <c r="B2103" s="3" t="s">
        <v>4</v>
      </c>
      <c r="C2103" s="20" t="s">
        <v>1864</v>
      </c>
      <c r="D2103" s="21"/>
    </row>
    <row r="2104" spans="1:4" ht="12.75" customHeight="1" x14ac:dyDescent="0.2">
      <c r="A2104" s="21"/>
      <c r="B2104" s="3" t="s">
        <v>6</v>
      </c>
      <c r="C2104" s="20" t="s">
        <v>353</v>
      </c>
      <c r="D2104" s="21"/>
    </row>
    <row r="2105" spans="1:4" ht="12.75" customHeight="1" x14ac:dyDescent="0.2">
      <c r="A2105" s="21"/>
      <c r="B2105" s="3" t="s">
        <v>8</v>
      </c>
      <c r="C2105" s="20" t="s">
        <v>1864</v>
      </c>
      <c r="D2105" s="21"/>
    </row>
    <row r="2106" spans="1:4" ht="12.75" customHeight="1" x14ac:dyDescent="0.2">
      <c r="A2106" s="21"/>
      <c r="B2106" s="3" t="s">
        <v>9</v>
      </c>
      <c r="C2106" s="20" t="s">
        <v>1865</v>
      </c>
      <c r="D2106" s="21"/>
    </row>
    <row r="2107" spans="1:4" ht="12.75" customHeight="1" x14ac:dyDescent="0.2">
      <c r="A2107" s="21"/>
      <c r="B2107" s="3" t="s">
        <v>11</v>
      </c>
      <c r="C2107" s="20" t="s">
        <v>437</v>
      </c>
      <c r="D2107" s="21"/>
    </row>
    <row r="2108" spans="1:4" ht="12.75" customHeight="1" x14ac:dyDescent="0.2">
      <c r="A2108" s="21"/>
      <c r="B2108" s="3" t="s">
        <v>13</v>
      </c>
      <c r="C2108" s="20" t="s">
        <v>24</v>
      </c>
      <c r="D2108" s="21"/>
    </row>
    <row r="2109" spans="1:4" ht="12.75" customHeight="1" x14ac:dyDescent="0.2">
      <c r="A2109" s="21"/>
      <c r="B2109" s="3" t="s">
        <v>15</v>
      </c>
      <c r="C2109" s="20" t="s">
        <v>24</v>
      </c>
      <c r="D2109" s="21"/>
    </row>
    <row r="2110" spans="1:4" ht="12.75" customHeight="1" x14ac:dyDescent="0.2">
      <c r="A2110" s="21"/>
      <c r="B2110" s="3" t="s">
        <v>16</v>
      </c>
      <c r="C2110" s="20"/>
      <c r="D2110" s="21"/>
    </row>
    <row r="2111" spans="1:4" ht="12.75" customHeight="1" x14ac:dyDescent="0.2">
      <c r="A2111" s="21"/>
      <c r="B2111" s="3" t="s">
        <v>17</v>
      </c>
      <c r="C2111" s="20"/>
      <c r="D2111" s="21"/>
    </row>
    <row r="2112" spans="1:4" ht="12.75" customHeight="1" x14ac:dyDescent="0.2">
      <c r="A2112" s="21"/>
      <c r="B2112" s="20" t="s">
        <v>18</v>
      </c>
      <c r="C2112" s="4" t="s">
        <v>44</v>
      </c>
      <c r="D2112" s="6" t="str">
        <f>HYPERLINK("javascript:void(0)","kristály gigapallos")</f>
        <v>kristály gigapallos</v>
      </c>
    </row>
    <row r="2113" spans="1:4" ht="12.75" customHeight="1" x14ac:dyDescent="0.2">
      <c r="A2113" s="21"/>
      <c r="B2113" s="21"/>
      <c r="C2113" s="4" t="s">
        <v>139</v>
      </c>
      <c r="D2113" s="6" t="str">
        <f>HYPERLINK("javascript:void(0)","nekroige")</f>
        <v>nekroige</v>
      </c>
    </row>
    <row r="2114" spans="1:4" ht="12.75" customHeight="1" x14ac:dyDescent="0.2">
      <c r="A2114" s="21"/>
      <c r="B2114" s="21"/>
      <c r="C2114" s="4" t="s">
        <v>117</v>
      </c>
      <c r="D2114" s="6" t="str">
        <f>HYPERLINK("javascript:void(0)","lámpás")</f>
        <v>lámpás</v>
      </c>
    </row>
    <row r="2115" spans="1:4" ht="12.75" customHeight="1" x14ac:dyDescent="0.2">
      <c r="A2115" s="5"/>
      <c r="B2115" s="2"/>
      <c r="C2115" s="2"/>
      <c r="D2115" s="2"/>
    </row>
    <row r="2116" spans="1:4" ht="12.75" customHeight="1" x14ac:dyDescent="0.2">
      <c r="A2116" s="22" t="str">
        <f>HYPERLINK("javascript:void(0)","gyíkacél duplapenge")</f>
        <v>gyíkacél duplapenge</v>
      </c>
      <c r="B2116" s="21"/>
      <c r="C2116" s="21"/>
      <c r="D2116" s="21"/>
    </row>
    <row r="2117" spans="1:4" ht="12.75" customHeight="1" x14ac:dyDescent="0.2">
      <c r="A2117" s="20"/>
      <c r="B2117" s="2"/>
      <c r="C2117" s="2"/>
      <c r="D2117" s="2"/>
    </row>
    <row r="2118" spans="1:4" ht="12.75" customHeight="1" x14ac:dyDescent="0.2">
      <c r="A2118" s="21"/>
      <c r="B2118" s="3" t="s">
        <v>0</v>
      </c>
      <c r="C2118" s="20" t="s">
        <v>52</v>
      </c>
      <c r="D2118" s="21"/>
    </row>
    <row r="2119" spans="1:4" ht="12.75" customHeight="1" x14ac:dyDescent="0.2">
      <c r="A2119" s="21"/>
      <c r="B2119" s="3" t="s">
        <v>2</v>
      </c>
      <c r="C2119" s="20" t="s">
        <v>1598</v>
      </c>
      <c r="D2119" s="21"/>
    </row>
    <row r="2120" spans="1:4" ht="12.75" customHeight="1" x14ac:dyDescent="0.2">
      <c r="A2120" s="21"/>
      <c r="B2120" s="3" t="s">
        <v>4</v>
      </c>
      <c r="C2120" s="20" t="s">
        <v>1867</v>
      </c>
      <c r="D2120" s="21"/>
    </row>
    <row r="2121" spans="1:4" ht="12.75" customHeight="1" x14ac:dyDescent="0.2">
      <c r="A2121" s="21"/>
      <c r="B2121" s="3" t="s">
        <v>6</v>
      </c>
      <c r="C2121" s="20" t="s">
        <v>107</v>
      </c>
      <c r="D2121" s="21"/>
    </row>
    <row r="2122" spans="1:4" ht="12.75" customHeight="1" x14ac:dyDescent="0.2">
      <c r="A2122" s="21"/>
      <c r="B2122" s="3" t="s">
        <v>8</v>
      </c>
      <c r="C2122" s="20" t="s">
        <v>1867</v>
      </c>
      <c r="D2122" s="21"/>
    </row>
    <row r="2123" spans="1:4" ht="12.75" customHeight="1" x14ac:dyDescent="0.2">
      <c r="A2123" s="21"/>
      <c r="B2123" s="3" t="s">
        <v>9</v>
      </c>
      <c r="C2123" s="20" t="s">
        <v>1623</v>
      </c>
      <c r="D2123" s="21"/>
    </row>
    <row r="2124" spans="1:4" ht="12.75" customHeight="1" x14ac:dyDescent="0.2">
      <c r="A2124" s="21"/>
      <c r="B2124" s="3" t="s">
        <v>11</v>
      </c>
      <c r="C2124" s="20" t="s">
        <v>203</v>
      </c>
      <c r="D2124" s="21"/>
    </row>
    <row r="2125" spans="1:4" ht="12.75" customHeight="1" x14ac:dyDescent="0.2">
      <c r="A2125" s="21"/>
      <c r="B2125" s="3" t="s">
        <v>13</v>
      </c>
      <c r="C2125" s="20" t="s">
        <v>24</v>
      </c>
      <c r="D2125" s="21"/>
    </row>
    <row r="2126" spans="1:4" ht="12.75" customHeight="1" x14ac:dyDescent="0.2">
      <c r="A2126" s="21"/>
      <c r="B2126" s="3" t="s">
        <v>15</v>
      </c>
      <c r="C2126" s="20" t="s">
        <v>24</v>
      </c>
      <c r="D2126" s="21"/>
    </row>
    <row r="2127" spans="1:4" ht="12.75" customHeight="1" x14ac:dyDescent="0.2">
      <c r="A2127" s="21"/>
      <c r="B2127" s="3" t="s">
        <v>16</v>
      </c>
      <c r="C2127" s="20"/>
      <c r="D2127" s="21"/>
    </row>
    <row r="2128" spans="1:4" ht="12.75" customHeight="1" x14ac:dyDescent="0.2">
      <c r="A2128" s="21"/>
      <c r="B2128" s="3" t="s">
        <v>17</v>
      </c>
      <c r="C2128" s="20"/>
      <c r="D2128" s="21"/>
    </row>
    <row r="2129" spans="1:4" ht="12.75" customHeight="1" x14ac:dyDescent="0.2">
      <c r="A2129" s="21"/>
      <c r="B2129" s="20" t="s">
        <v>18</v>
      </c>
      <c r="C2129" s="4" t="s">
        <v>142</v>
      </c>
      <c r="D2129" s="6" t="str">
        <f>HYPERLINK("javascript:void(0)","lélegző sarokkő")</f>
        <v>lélegző sarokkő</v>
      </c>
    </row>
    <row r="2130" spans="1:4" ht="12.75" customHeight="1" x14ac:dyDescent="0.2">
      <c r="A2130" s="21"/>
      <c r="B2130" s="21"/>
      <c r="C2130" s="4" t="s">
        <v>323</v>
      </c>
      <c r="D2130" s="6" t="str">
        <f>HYPERLINK("javascript:void(0)","oroszlánbajusz")</f>
        <v>oroszlánbajusz</v>
      </c>
    </row>
    <row r="2131" spans="1:4" ht="12.75" customHeight="1" x14ac:dyDescent="0.2">
      <c r="A2131" s="21"/>
      <c r="B2131" s="21"/>
      <c r="C2131" s="4" t="s">
        <v>323</v>
      </c>
      <c r="D2131" s="6" t="str">
        <f>HYPERLINK("javascript:void(0)","mézbalzsam")</f>
        <v>mézbalzsam</v>
      </c>
    </row>
    <row r="2132" spans="1:4" ht="12.75" customHeight="1" x14ac:dyDescent="0.2">
      <c r="A2132" s="5"/>
      <c r="B2132" s="2"/>
      <c r="C2132" s="2"/>
      <c r="D2132" s="2"/>
    </row>
    <row r="2133" spans="1:4" ht="12.75" customHeight="1" x14ac:dyDescent="0.2">
      <c r="A2133" s="22" t="str">
        <f>HYPERLINK("javascript:void(0)","hullámpenge")</f>
        <v>hullámpenge</v>
      </c>
      <c r="B2133" s="21"/>
      <c r="C2133" s="21"/>
      <c r="D2133" s="21"/>
    </row>
    <row r="2134" spans="1:4" ht="12.75" customHeight="1" x14ac:dyDescent="0.2">
      <c r="A2134" s="20"/>
      <c r="B2134" s="2"/>
      <c r="C2134" s="2"/>
      <c r="D2134" s="2"/>
    </row>
    <row r="2135" spans="1:4" ht="12.75" customHeight="1" x14ac:dyDescent="0.2">
      <c r="A2135" s="21"/>
      <c r="B2135" s="3" t="s">
        <v>0</v>
      </c>
      <c r="C2135" s="20" t="s">
        <v>385</v>
      </c>
      <c r="D2135" s="21"/>
    </row>
    <row r="2136" spans="1:4" ht="12.75" customHeight="1" x14ac:dyDescent="0.2">
      <c r="A2136" s="21"/>
      <c r="B2136" s="3" t="s">
        <v>2</v>
      </c>
      <c r="C2136" s="20" t="s">
        <v>1598</v>
      </c>
      <c r="D2136" s="21"/>
    </row>
    <row r="2137" spans="1:4" ht="12.75" customHeight="1" x14ac:dyDescent="0.2">
      <c r="A2137" s="21"/>
      <c r="B2137" s="3" t="s">
        <v>4</v>
      </c>
      <c r="C2137" s="20" t="s">
        <v>697</v>
      </c>
      <c r="D2137" s="21"/>
    </row>
    <row r="2138" spans="1:4" ht="12.75" customHeight="1" x14ac:dyDescent="0.2">
      <c r="A2138" s="21"/>
      <c r="B2138" s="3" t="s">
        <v>6</v>
      </c>
      <c r="C2138" s="20" t="s">
        <v>353</v>
      </c>
      <c r="D2138" s="21"/>
    </row>
    <row r="2139" spans="1:4" ht="12.75" customHeight="1" x14ac:dyDescent="0.2">
      <c r="A2139" s="21"/>
      <c r="B2139" s="3" t="s">
        <v>8</v>
      </c>
      <c r="C2139" s="20" t="s">
        <v>697</v>
      </c>
      <c r="D2139" s="21"/>
    </row>
    <row r="2140" spans="1:4" ht="12.75" customHeight="1" x14ac:dyDescent="0.2">
      <c r="A2140" s="21"/>
      <c r="B2140" s="3" t="s">
        <v>9</v>
      </c>
      <c r="C2140" s="20" t="s">
        <v>135</v>
      </c>
      <c r="D2140" s="21"/>
    </row>
    <row r="2141" spans="1:4" ht="12.75" customHeight="1" x14ac:dyDescent="0.2">
      <c r="A2141" s="21"/>
      <c r="B2141" s="3" t="s">
        <v>11</v>
      </c>
      <c r="C2141" s="20" t="s">
        <v>368</v>
      </c>
      <c r="D2141" s="21"/>
    </row>
    <row r="2142" spans="1:4" ht="12.75" customHeight="1" x14ac:dyDescent="0.2">
      <c r="A2142" s="21"/>
      <c r="B2142" s="3" t="s">
        <v>13</v>
      </c>
      <c r="C2142" s="20" t="s">
        <v>24</v>
      </c>
      <c r="D2142" s="21"/>
    </row>
    <row r="2143" spans="1:4" ht="12.75" customHeight="1" x14ac:dyDescent="0.2">
      <c r="A2143" s="21"/>
      <c r="B2143" s="3" t="s">
        <v>15</v>
      </c>
      <c r="C2143" s="20" t="s">
        <v>24</v>
      </c>
      <c r="D2143" s="21"/>
    </row>
    <row r="2144" spans="1:4" ht="12.75" customHeight="1" x14ac:dyDescent="0.2">
      <c r="A2144" s="21"/>
      <c r="B2144" s="3" t="s">
        <v>16</v>
      </c>
      <c r="C2144" s="20"/>
      <c r="D2144" s="21"/>
    </row>
    <row r="2145" spans="1:4" ht="12.75" customHeight="1" x14ac:dyDescent="0.2">
      <c r="A2145" s="21"/>
      <c r="B2145" s="3" t="s">
        <v>17</v>
      </c>
      <c r="C2145" s="20"/>
      <c r="D2145" s="21"/>
    </row>
    <row r="2146" spans="1:4" ht="12.75" customHeight="1" x14ac:dyDescent="0.2">
      <c r="A2146" s="21"/>
      <c r="B2146" s="20" t="s">
        <v>18</v>
      </c>
      <c r="C2146" s="4" t="s">
        <v>44</v>
      </c>
      <c r="D2146" s="6" t="str">
        <f>HYPERLINK("javascript:void(0)","animált kard")</f>
        <v>animált kard</v>
      </c>
    </row>
    <row r="2147" spans="1:4" ht="12.75" customHeight="1" x14ac:dyDescent="0.2">
      <c r="A2147" s="21"/>
      <c r="B2147" s="21"/>
      <c r="C2147" s="4" t="s">
        <v>77</v>
      </c>
      <c r="D2147" s="6" t="str">
        <f>HYPERLINK("javascript:void(0)","csáphárító")</f>
        <v>csáphárító</v>
      </c>
    </row>
    <row r="2148" spans="1:4" ht="12.75" customHeight="1" x14ac:dyDescent="0.2">
      <c r="A2148" s="21"/>
      <c r="B2148" s="21"/>
      <c r="C2148" s="4" t="s">
        <v>117</v>
      </c>
      <c r="D2148" s="6" t="str">
        <f>HYPERLINK("javascript:void(0)","robbanófej")</f>
        <v>robbanófej</v>
      </c>
    </row>
    <row r="2149" spans="1:4" ht="12.75" customHeight="1" x14ac:dyDescent="0.2">
      <c r="A2149" s="5"/>
      <c r="B2149" s="2"/>
      <c r="C2149" s="2"/>
      <c r="D2149" s="2"/>
    </row>
    <row r="2150" spans="1:4" ht="12.75" customHeight="1" x14ac:dyDescent="0.2">
      <c r="A2150" s="22" t="str">
        <f>HYPERLINK("javascript:void(0)","hullám mágusölő")</f>
        <v>hullám mágusölő</v>
      </c>
      <c r="B2150" s="21"/>
      <c r="C2150" s="21"/>
      <c r="D2150" s="21"/>
    </row>
    <row r="2151" spans="1:4" ht="12.75" customHeight="1" x14ac:dyDescent="0.2">
      <c r="A2151" s="20"/>
      <c r="B2151" s="2"/>
      <c r="C2151" s="2"/>
      <c r="D2151" s="2"/>
    </row>
    <row r="2152" spans="1:4" ht="12.75" customHeight="1" x14ac:dyDescent="0.2">
      <c r="A2152" s="21"/>
      <c r="B2152" s="3" t="s">
        <v>0</v>
      </c>
      <c r="C2152" s="20" t="s">
        <v>385</v>
      </c>
      <c r="D2152" s="21"/>
    </row>
    <row r="2153" spans="1:4" ht="12.75" customHeight="1" x14ac:dyDescent="0.2">
      <c r="A2153" s="21"/>
      <c r="B2153" s="3" t="s">
        <v>2</v>
      </c>
      <c r="C2153" s="20" t="s">
        <v>1598</v>
      </c>
      <c r="D2153" s="21"/>
    </row>
    <row r="2154" spans="1:4" ht="12.75" customHeight="1" x14ac:dyDescent="0.2">
      <c r="A2154" s="21"/>
      <c r="B2154" s="3" t="s">
        <v>4</v>
      </c>
      <c r="C2154" s="20" t="s">
        <v>1869</v>
      </c>
      <c r="D2154" s="21"/>
    </row>
    <row r="2155" spans="1:4" ht="12.75" customHeight="1" x14ac:dyDescent="0.2">
      <c r="A2155" s="21"/>
      <c r="B2155" s="3" t="s">
        <v>6</v>
      </c>
      <c r="C2155" s="20" t="s">
        <v>48</v>
      </c>
      <c r="D2155" s="21"/>
    </row>
    <row r="2156" spans="1:4" ht="12.75" customHeight="1" x14ac:dyDescent="0.2">
      <c r="A2156" s="21"/>
      <c r="B2156" s="3" t="s">
        <v>8</v>
      </c>
      <c r="C2156" s="20" t="s">
        <v>1869</v>
      </c>
      <c r="D2156" s="21"/>
    </row>
    <row r="2157" spans="1:4" ht="12.75" customHeight="1" x14ac:dyDescent="0.2">
      <c r="A2157" s="21"/>
      <c r="B2157" s="3" t="s">
        <v>9</v>
      </c>
      <c r="C2157" s="20" t="s">
        <v>1851</v>
      </c>
      <c r="D2157" s="21"/>
    </row>
    <row r="2158" spans="1:4" ht="12.75" customHeight="1" x14ac:dyDescent="0.2">
      <c r="A2158" s="21"/>
      <c r="B2158" s="3" t="s">
        <v>11</v>
      </c>
      <c r="C2158" s="20" t="s">
        <v>368</v>
      </c>
      <c r="D2158" s="21"/>
    </row>
    <row r="2159" spans="1:4" ht="12.75" customHeight="1" x14ac:dyDescent="0.2">
      <c r="A2159" s="21"/>
      <c r="B2159" s="3" t="s">
        <v>13</v>
      </c>
      <c r="C2159" s="20" t="s">
        <v>14</v>
      </c>
      <c r="D2159" s="21"/>
    </row>
    <row r="2160" spans="1:4" ht="12.75" customHeight="1" x14ac:dyDescent="0.2">
      <c r="A2160" s="21"/>
      <c r="B2160" s="3" t="s">
        <v>15</v>
      </c>
      <c r="C2160" s="20" t="s">
        <v>24</v>
      </c>
      <c r="D2160" s="21"/>
    </row>
    <row r="2161" spans="1:4" ht="12.75" customHeight="1" x14ac:dyDescent="0.2">
      <c r="A2161" s="21"/>
      <c r="B2161" s="3" t="s">
        <v>16</v>
      </c>
      <c r="C2161" s="20"/>
      <c r="D2161" s="21"/>
    </row>
    <row r="2162" spans="1:4" ht="12.75" customHeight="1" x14ac:dyDescent="0.2">
      <c r="A2162" s="21"/>
      <c r="B2162" s="3" t="s">
        <v>17</v>
      </c>
      <c r="C2162" s="20"/>
      <c r="D2162" s="21"/>
    </row>
    <row r="2163" spans="1:4" ht="12.75" customHeight="1" x14ac:dyDescent="0.2">
      <c r="A2163" s="21"/>
      <c r="B2163" s="20" t="s">
        <v>18</v>
      </c>
      <c r="C2163" s="4" t="s">
        <v>44</v>
      </c>
      <c r="D2163" s="6" t="str">
        <f>HYPERLINK("javascript:void(0)","szilánk mágusölő")</f>
        <v>szilánk mágusölő</v>
      </c>
    </row>
    <row r="2164" spans="1:4" ht="12.75" customHeight="1" x14ac:dyDescent="0.2">
      <c r="A2164" s="21"/>
      <c r="B2164" s="21"/>
      <c r="C2164" s="4" t="s">
        <v>67</v>
      </c>
      <c r="D2164" s="6" t="str">
        <f>HYPERLINK("javascript:void(0)","ágyúmozsár")</f>
        <v>ágyúmozsár</v>
      </c>
    </row>
    <row r="2165" spans="1:4" ht="12.75" customHeight="1" x14ac:dyDescent="0.2">
      <c r="A2165" s="21"/>
      <c r="B2165" s="21"/>
      <c r="C2165" s="4" t="s">
        <v>139</v>
      </c>
      <c r="D2165" s="6" t="str">
        <f>HYPERLINK("javascript:void(0)","csáphárító")</f>
        <v>csáphárító</v>
      </c>
    </row>
    <row r="2166" spans="1:4" ht="12.75" customHeight="1" x14ac:dyDescent="0.2">
      <c r="A2166" s="5"/>
      <c r="B2166" s="2"/>
      <c r="C2166" s="2"/>
      <c r="D2166" s="2"/>
    </row>
    <row r="2167" spans="1:4" ht="12.75" customHeight="1" x14ac:dyDescent="0.2">
      <c r="A2167" s="22" t="str">
        <f>HYPERLINK("javascript:void(0)","fogazott kard")</f>
        <v>fogazott kard</v>
      </c>
      <c r="B2167" s="21"/>
      <c r="C2167" s="21"/>
      <c r="D2167" s="21"/>
    </row>
    <row r="2168" spans="1:4" ht="12.75" customHeight="1" x14ac:dyDescent="0.2">
      <c r="A2168" s="20"/>
      <c r="B2168" s="2"/>
      <c r="C2168" s="2"/>
      <c r="D2168" s="2"/>
    </row>
    <row r="2169" spans="1:4" ht="12.75" customHeight="1" x14ac:dyDescent="0.2">
      <c r="A2169" s="21"/>
      <c r="B2169" s="3" t="s">
        <v>0</v>
      </c>
      <c r="C2169" s="20" t="s">
        <v>392</v>
      </c>
      <c r="D2169" s="21"/>
    </row>
    <row r="2170" spans="1:4" ht="12.75" customHeight="1" x14ac:dyDescent="0.2">
      <c r="A2170" s="21"/>
      <c r="B2170" s="3" t="s">
        <v>2</v>
      </c>
      <c r="C2170" s="20" t="s">
        <v>1598</v>
      </c>
      <c r="D2170" s="21"/>
    </row>
    <row r="2171" spans="1:4" ht="12.75" customHeight="1" x14ac:dyDescent="0.2">
      <c r="A2171" s="21"/>
      <c r="B2171" s="3" t="s">
        <v>4</v>
      </c>
      <c r="C2171" s="20" t="s">
        <v>393</v>
      </c>
      <c r="D2171" s="21"/>
    </row>
    <row r="2172" spans="1:4" ht="12.75" customHeight="1" x14ac:dyDescent="0.2">
      <c r="A2172" s="21"/>
      <c r="B2172" s="3" t="s">
        <v>6</v>
      </c>
      <c r="C2172" s="20" t="s">
        <v>157</v>
      </c>
      <c r="D2172" s="21"/>
    </row>
    <row r="2173" spans="1:4" ht="12.75" customHeight="1" x14ac:dyDescent="0.2">
      <c r="A2173" s="21"/>
      <c r="B2173" s="3" t="s">
        <v>8</v>
      </c>
      <c r="C2173" s="20" t="s">
        <v>393</v>
      </c>
      <c r="D2173" s="21"/>
    </row>
    <row r="2174" spans="1:4" ht="12.75" customHeight="1" x14ac:dyDescent="0.2">
      <c r="A2174" s="21"/>
      <c r="B2174" s="3" t="s">
        <v>9</v>
      </c>
      <c r="C2174" s="20" t="s">
        <v>217</v>
      </c>
      <c r="D2174" s="21"/>
    </row>
    <row r="2175" spans="1:4" ht="12.75" customHeight="1" x14ac:dyDescent="0.2">
      <c r="A2175" s="21"/>
      <c r="B2175" s="3" t="s">
        <v>11</v>
      </c>
      <c r="C2175" s="20" t="s">
        <v>381</v>
      </c>
      <c r="D2175" s="21"/>
    </row>
    <row r="2176" spans="1:4" ht="12.75" customHeight="1" x14ac:dyDescent="0.2">
      <c r="A2176" s="21"/>
      <c r="B2176" s="3" t="s">
        <v>13</v>
      </c>
      <c r="C2176" s="20" t="s">
        <v>24</v>
      </c>
      <c r="D2176" s="21"/>
    </row>
    <row r="2177" spans="1:4" ht="12.75" customHeight="1" x14ac:dyDescent="0.2">
      <c r="A2177" s="21"/>
      <c r="B2177" s="3" t="s">
        <v>15</v>
      </c>
      <c r="C2177" s="20" t="s">
        <v>24</v>
      </c>
      <c r="D2177" s="21"/>
    </row>
    <row r="2178" spans="1:4" ht="12.75" customHeight="1" x14ac:dyDescent="0.2">
      <c r="A2178" s="21"/>
      <c r="B2178" s="3" t="s">
        <v>16</v>
      </c>
      <c r="C2178" s="20"/>
      <c r="D2178" s="21"/>
    </row>
    <row r="2179" spans="1:4" ht="12.75" customHeight="1" x14ac:dyDescent="0.2">
      <c r="A2179" s="21"/>
      <c r="B2179" s="3" t="s">
        <v>17</v>
      </c>
      <c r="C2179" s="20"/>
      <c r="D2179" s="21"/>
    </row>
    <row r="2180" spans="1:4" ht="12.75" customHeight="1" x14ac:dyDescent="0.2">
      <c r="A2180" s="21"/>
      <c r="B2180" s="20" t="s">
        <v>18</v>
      </c>
      <c r="C2180" s="4" t="s">
        <v>44</v>
      </c>
      <c r="D2180" s="6" t="str">
        <f>HYPERLINK("javascript:void(0)","kristálytőr")</f>
        <v>kristálytőr</v>
      </c>
    </row>
    <row r="2181" spans="1:4" ht="12.75" customHeight="1" x14ac:dyDescent="0.2">
      <c r="A2181" s="21"/>
      <c r="B2181" s="21"/>
      <c r="C2181" s="4" t="s">
        <v>44</v>
      </c>
      <c r="D2181" s="6" t="str">
        <f>HYPERLINK("javascript:void(0)","hullámpenge")</f>
        <v>hullámpenge</v>
      </c>
    </row>
    <row r="2182" spans="1:4" ht="12.75" customHeight="1" x14ac:dyDescent="0.2">
      <c r="A2182" s="21"/>
      <c r="B2182" s="21"/>
      <c r="C2182" s="4" t="s">
        <v>244</v>
      </c>
      <c r="D2182" s="6" t="str">
        <f>HYPERLINK("javascript:void(0)","démonfog")</f>
        <v>démonfog</v>
      </c>
    </row>
    <row r="2183" spans="1:4" ht="12.75" customHeight="1" x14ac:dyDescent="0.2">
      <c r="A2183" s="5"/>
      <c r="B2183" s="2"/>
      <c r="C2183" s="2"/>
      <c r="D2183" s="2"/>
    </row>
    <row r="2184" spans="1:4" ht="12.75" customHeight="1" x14ac:dyDescent="0.2">
      <c r="A2184" s="22" t="str">
        <f>HYPERLINK("javascript:void(0)","fogazott gigapallos")</f>
        <v>fogazott gigapallos</v>
      </c>
      <c r="B2184" s="21"/>
      <c r="C2184" s="21"/>
      <c r="D2184" s="21"/>
    </row>
    <row r="2185" spans="1:4" ht="12.75" customHeight="1" x14ac:dyDescent="0.2">
      <c r="A2185" s="20"/>
      <c r="B2185" s="2"/>
      <c r="C2185" s="2"/>
      <c r="D2185" s="2"/>
    </row>
    <row r="2186" spans="1:4" ht="12.75" customHeight="1" x14ac:dyDescent="0.2">
      <c r="A2186" s="21"/>
      <c r="B2186" s="3" t="s">
        <v>0</v>
      </c>
      <c r="C2186" s="20" t="s">
        <v>392</v>
      </c>
      <c r="D2186" s="21"/>
    </row>
    <row r="2187" spans="1:4" ht="12.75" customHeight="1" x14ac:dyDescent="0.2">
      <c r="A2187" s="21"/>
      <c r="B2187" s="3" t="s">
        <v>2</v>
      </c>
      <c r="C2187" s="20" t="s">
        <v>1598</v>
      </c>
      <c r="D2187" s="21"/>
    </row>
    <row r="2188" spans="1:4" ht="12.75" customHeight="1" x14ac:dyDescent="0.2">
      <c r="A2188" s="21"/>
      <c r="B2188" s="3" t="s">
        <v>4</v>
      </c>
      <c r="C2188" s="20" t="s">
        <v>1870</v>
      </c>
      <c r="D2188" s="21"/>
    </row>
    <row r="2189" spans="1:4" ht="12.75" customHeight="1" x14ac:dyDescent="0.2">
      <c r="A2189" s="21"/>
      <c r="B2189" s="3" t="s">
        <v>6</v>
      </c>
      <c r="C2189" s="20" t="s">
        <v>92</v>
      </c>
      <c r="D2189" s="21"/>
    </row>
    <row r="2190" spans="1:4" ht="12.75" customHeight="1" x14ac:dyDescent="0.2">
      <c r="A2190" s="21"/>
      <c r="B2190" s="3" t="s">
        <v>8</v>
      </c>
      <c r="C2190" s="20" t="s">
        <v>1870</v>
      </c>
      <c r="D2190" s="21"/>
    </row>
    <row r="2191" spans="1:4" ht="12.75" customHeight="1" x14ac:dyDescent="0.2">
      <c r="A2191" s="21"/>
      <c r="B2191" s="3" t="s">
        <v>9</v>
      </c>
      <c r="C2191" s="20" t="s">
        <v>1871</v>
      </c>
      <c r="D2191" s="21"/>
    </row>
    <row r="2192" spans="1:4" ht="12.75" customHeight="1" x14ac:dyDescent="0.2">
      <c r="A2192" s="21"/>
      <c r="B2192" s="3" t="s">
        <v>11</v>
      </c>
      <c r="C2192" s="20" t="s">
        <v>453</v>
      </c>
      <c r="D2192" s="21"/>
    </row>
    <row r="2193" spans="1:4" ht="12.75" customHeight="1" x14ac:dyDescent="0.2">
      <c r="A2193" s="21"/>
      <c r="B2193" s="3" t="s">
        <v>13</v>
      </c>
      <c r="C2193" s="20" t="s">
        <v>24</v>
      </c>
      <c r="D2193" s="21"/>
    </row>
    <row r="2194" spans="1:4" ht="12.75" customHeight="1" x14ac:dyDescent="0.2">
      <c r="A2194" s="21"/>
      <c r="B2194" s="3" t="s">
        <v>15</v>
      </c>
      <c r="C2194" s="20" t="s">
        <v>24</v>
      </c>
      <c r="D2194" s="21"/>
    </row>
    <row r="2195" spans="1:4" ht="12.75" customHeight="1" x14ac:dyDescent="0.2">
      <c r="A2195" s="21"/>
      <c r="B2195" s="3" t="s">
        <v>16</v>
      </c>
      <c r="C2195" s="20"/>
      <c r="D2195" s="21"/>
    </row>
    <row r="2196" spans="1:4" ht="12.75" customHeight="1" x14ac:dyDescent="0.2">
      <c r="A2196" s="21"/>
      <c r="B2196" s="3" t="s">
        <v>17</v>
      </c>
      <c r="C2196" s="20"/>
      <c r="D2196" s="21"/>
    </row>
    <row r="2197" spans="1:4" ht="12.75" customHeight="1" x14ac:dyDescent="0.2">
      <c r="A2197" s="21"/>
      <c r="B2197" s="20" t="s">
        <v>18</v>
      </c>
      <c r="C2197" s="4" t="s">
        <v>67</v>
      </c>
      <c r="D2197" s="6" t="str">
        <f>HYPERLINK("javascript:void(0)","ágyúmozsár")</f>
        <v>ágyúmozsár</v>
      </c>
    </row>
    <row r="2198" spans="1:4" ht="12.75" customHeight="1" x14ac:dyDescent="0.2">
      <c r="A2198" s="21"/>
      <c r="B2198" s="21"/>
      <c r="C2198" s="4" t="s">
        <v>139</v>
      </c>
      <c r="D2198" s="6" t="str">
        <f>HYPERLINK("javascript:void(0)","démonfog")</f>
        <v>démonfog</v>
      </c>
    </row>
    <row r="2199" spans="1:4" ht="12.75" customHeight="1" x14ac:dyDescent="0.2">
      <c r="A2199" s="21"/>
      <c r="B2199" s="21"/>
      <c r="C2199" s="4" t="s">
        <v>117</v>
      </c>
      <c r="D2199" s="6" t="str">
        <f>HYPERLINK("javascript:void(0)","haspók")</f>
        <v>haspók</v>
      </c>
    </row>
    <row r="2200" spans="1:4" ht="12.75" customHeight="1" x14ac:dyDescent="0.2">
      <c r="A2200" s="5"/>
      <c r="B2200" s="2"/>
      <c r="C2200" s="2"/>
      <c r="D2200" s="2"/>
    </row>
    <row r="2201" spans="1:4" ht="12.75" customHeight="1" x14ac:dyDescent="0.2">
      <c r="A2201" s="22" t="str">
        <f>HYPERLINK("javascript:void(0)","gyíkacél dárda")</f>
        <v>gyíkacél dárda</v>
      </c>
      <c r="B2201" s="21"/>
      <c r="C2201" s="21"/>
      <c r="D2201" s="21"/>
    </row>
    <row r="2202" spans="1:4" ht="12.75" customHeight="1" x14ac:dyDescent="0.2">
      <c r="A2202" s="20"/>
      <c r="B2202" s="2"/>
      <c r="C2202" s="2"/>
      <c r="D2202" s="2"/>
    </row>
    <row r="2203" spans="1:4" ht="12.75" customHeight="1" x14ac:dyDescent="0.2">
      <c r="A2203" s="21"/>
      <c r="B2203" s="3" t="s">
        <v>0</v>
      </c>
      <c r="C2203" s="20" t="s">
        <v>392</v>
      </c>
      <c r="D2203" s="21"/>
    </row>
    <row r="2204" spans="1:4" ht="12.75" customHeight="1" x14ac:dyDescent="0.2">
      <c r="A2204" s="21"/>
      <c r="B2204" s="3" t="s">
        <v>2</v>
      </c>
      <c r="C2204" s="20" t="s">
        <v>1598</v>
      </c>
      <c r="D2204" s="21"/>
    </row>
    <row r="2205" spans="1:4" ht="12.75" customHeight="1" x14ac:dyDescent="0.2">
      <c r="A2205" s="21"/>
      <c r="B2205" s="3" t="s">
        <v>4</v>
      </c>
      <c r="C2205" s="20" t="s">
        <v>1872</v>
      </c>
      <c r="D2205" s="21"/>
    </row>
    <row r="2206" spans="1:4" ht="12.75" customHeight="1" x14ac:dyDescent="0.2">
      <c r="A2206" s="21"/>
      <c r="B2206" s="3" t="s">
        <v>6</v>
      </c>
      <c r="C2206" s="20" t="s">
        <v>107</v>
      </c>
      <c r="D2206" s="21"/>
    </row>
    <row r="2207" spans="1:4" ht="12.75" customHeight="1" x14ac:dyDescent="0.2">
      <c r="A2207" s="21"/>
      <c r="B2207" s="3" t="s">
        <v>8</v>
      </c>
      <c r="C2207" s="20" t="s">
        <v>1872</v>
      </c>
      <c r="D2207" s="21"/>
    </row>
    <row r="2208" spans="1:4" ht="12.75" customHeight="1" x14ac:dyDescent="0.2">
      <c r="A2208" s="21"/>
      <c r="B2208" s="3" t="s">
        <v>9</v>
      </c>
      <c r="C2208" s="20" t="s">
        <v>1873</v>
      </c>
      <c r="D2208" s="21"/>
    </row>
    <row r="2209" spans="1:4" ht="12.75" customHeight="1" x14ac:dyDescent="0.2">
      <c r="A2209" s="21"/>
      <c r="B2209" s="3" t="s">
        <v>11</v>
      </c>
      <c r="C2209" s="20" t="s">
        <v>243</v>
      </c>
      <c r="D2209" s="21"/>
    </row>
    <row r="2210" spans="1:4" ht="12.75" customHeight="1" x14ac:dyDescent="0.2">
      <c r="A2210" s="21"/>
      <c r="B2210" s="3" t="s">
        <v>13</v>
      </c>
      <c r="C2210" s="20" t="s">
        <v>24</v>
      </c>
      <c r="D2210" s="21"/>
    </row>
    <row r="2211" spans="1:4" ht="12.75" customHeight="1" x14ac:dyDescent="0.2">
      <c r="A2211" s="21"/>
      <c r="B2211" s="3" t="s">
        <v>15</v>
      </c>
      <c r="C2211" s="20" t="s">
        <v>24</v>
      </c>
      <c r="D2211" s="21"/>
    </row>
    <row r="2212" spans="1:4" ht="12.75" customHeight="1" x14ac:dyDescent="0.2">
      <c r="A2212" s="21"/>
      <c r="B2212" s="3" t="s">
        <v>16</v>
      </c>
      <c r="C2212" s="20"/>
      <c r="D2212" s="21"/>
    </row>
    <row r="2213" spans="1:4" ht="12.75" customHeight="1" x14ac:dyDescent="0.2">
      <c r="A2213" s="21"/>
      <c r="B2213" s="3" t="s">
        <v>17</v>
      </c>
      <c r="C2213" s="20"/>
      <c r="D2213" s="21"/>
    </row>
    <row r="2214" spans="1:4" ht="12.75" customHeight="1" x14ac:dyDescent="0.2">
      <c r="A2214" s="21"/>
      <c r="B2214" s="20" t="s">
        <v>18</v>
      </c>
      <c r="C2214" s="4" t="s">
        <v>67</v>
      </c>
      <c r="D2214" s="6" t="str">
        <f>HYPERLINK("javascript:void(0)","sejtmag")</f>
        <v>sejtmag</v>
      </c>
    </row>
    <row r="2215" spans="1:4" ht="12.75" customHeight="1" x14ac:dyDescent="0.2">
      <c r="A2215" s="21"/>
      <c r="B2215" s="21"/>
      <c r="C2215" s="4" t="s">
        <v>130</v>
      </c>
      <c r="D2215" s="6" t="str">
        <f>HYPERLINK("javascript:void(0)","szemhéj")</f>
        <v>szemhéj</v>
      </c>
    </row>
    <row r="2216" spans="1:4" ht="12.75" customHeight="1" x14ac:dyDescent="0.2">
      <c r="A2216" s="21"/>
      <c r="B2216" s="21"/>
      <c r="C2216" s="4" t="s">
        <v>117</v>
      </c>
      <c r="D2216" s="6" t="str">
        <f>HYPERLINK("javascript:void(0)","szépia")</f>
        <v>szépia</v>
      </c>
    </row>
    <row r="2217" spans="1:4" ht="12.75" customHeight="1" x14ac:dyDescent="0.2">
      <c r="A2217" s="5"/>
      <c r="B2217" s="2"/>
      <c r="C2217" s="2"/>
      <c r="D2217" s="2"/>
    </row>
    <row r="2218" spans="1:4" ht="12.75" customHeight="1" x14ac:dyDescent="0.2">
      <c r="A2218" s="22" t="str">
        <f>HYPERLINK("javascript:void(0)","tüsketoló")</f>
        <v>tüsketoló</v>
      </c>
      <c r="B2218" s="21"/>
      <c r="C2218" s="21"/>
      <c r="D2218" s="21"/>
    </row>
    <row r="2219" spans="1:4" ht="12.75" customHeight="1" x14ac:dyDescent="0.2">
      <c r="A2219" s="20"/>
      <c r="B2219" s="2"/>
      <c r="C2219" s="2"/>
      <c r="D2219" s="2"/>
    </row>
    <row r="2220" spans="1:4" ht="12.75" customHeight="1" x14ac:dyDescent="0.2">
      <c r="A2220" s="21"/>
      <c r="B2220" s="3" t="s">
        <v>0</v>
      </c>
      <c r="C2220" s="20" t="s">
        <v>192</v>
      </c>
      <c r="D2220" s="21"/>
    </row>
    <row r="2221" spans="1:4" ht="12.75" customHeight="1" x14ac:dyDescent="0.2">
      <c r="A2221" s="21"/>
      <c r="B2221" s="3" t="s">
        <v>2</v>
      </c>
      <c r="C2221" s="20" t="s">
        <v>1598</v>
      </c>
      <c r="D2221" s="21"/>
    </row>
    <row r="2222" spans="1:4" ht="12.75" customHeight="1" x14ac:dyDescent="0.2">
      <c r="A2222" s="21"/>
      <c r="B2222" s="3" t="s">
        <v>4</v>
      </c>
      <c r="C2222" s="20" t="s">
        <v>1875</v>
      </c>
      <c r="D2222" s="21"/>
    </row>
    <row r="2223" spans="1:4" ht="12.75" customHeight="1" x14ac:dyDescent="0.2">
      <c r="A2223" s="21"/>
      <c r="B2223" s="3" t="s">
        <v>6</v>
      </c>
      <c r="C2223" s="20" t="s">
        <v>115</v>
      </c>
      <c r="D2223" s="21"/>
    </row>
    <row r="2224" spans="1:4" ht="12.75" customHeight="1" x14ac:dyDescent="0.2">
      <c r="A2224" s="21"/>
      <c r="B2224" s="3" t="s">
        <v>8</v>
      </c>
      <c r="C2224" s="20" t="s">
        <v>1875</v>
      </c>
      <c r="D2224" s="21"/>
    </row>
    <row r="2225" spans="1:4" ht="12.75" customHeight="1" x14ac:dyDescent="0.2">
      <c r="A2225" s="21"/>
      <c r="B2225" s="3" t="s">
        <v>9</v>
      </c>
      <c r="C2225" s="20" t="s">
        <v>343</v>
      </c>
      <c r="D2225" s="21"/>
    </row>
    <row r="2226" spans="1:4" ht="12.75" customHeight="1" x14ac:dyDescent="0.2">
      <c r="A2226" s="21"/>
      <c r="B2226" s="3" t="s">
        <v>11</v>
      </c>
      <c r="C2226" s="20" t="s">
        <v>397</v>
      </c>
      <c r="D2226" s="21"/>
    </row>
    <row r="2227" spans="1:4" ht="12.75" customHeight="1" x14ac:dyDescent="0.2">
      <c r="A2227" s="21"/>
      <c r="B2227" s="3" t="s">
        <v>13</v>
      </c>
      <c r="C2227" s="20" t="s">
        <v>24</v>
      </c>
      <c r="D2227" s="21"/>
    </row>
    <row r="2228" spans="1:4" ht="12.75" customHeight="1" x14ac:dyDescent="0.2">
      <c r="A2228" s="21"/>
      <c r="B2228" s="3" t="s">
        <v>15</v>
      </c>
      <c r="C2228" s="20" t="s">
        <v>24</v>
      </c>
      <c r="D2228" s="21"/>
    </row>
    <row r="2229" spans="1:4" ht="12.75" customHeight="1" x14ac:dyDescent="0.2">
      <c r="A2229" s="21"/>
      <c r="B2229" s="3" t="s">
        <v>16</v>
      </c>
      <c r="C2229" s="20"/>
      <c r="D2229" s="21"/>
    </row>
    <row r="2230" spans="1:4" ht="12.75" customHeight="1" x14ac:dyDescent="0.2">
      <c r="A2230" s="21"/>
      <c r="B2230" s="3" t="s">
        <v>17</v>
      </c>
      <c r="C2230" s="20"/>
      <c r="D2230" s="21"/>
    </row>
    <row r="2231" spans="1:4" ht="12.75" customHeight="1" x14ac:dyDescent="0.2">
      <c r="A2231" s="21"/>
      <c r="B2231" s="20" t="s">
        <v>18</v>
      </c>
      <c r="C2231" s="4" t="s">
        <v>67</v>
      </c>
      <c r="D2231" s="6" t="str">
        <f>HYPERLINK("javascript:void(0)","haspók")</f>
        <v>haspók</v>
      </c>
    </row>
    <row r="2232" spans="1:4" ht="12.75" customHeight="1" x14ac:dyDescent="0.2">
      <c r="A2232" s="21"/>
      <c r="B2232" s="21"/>
      <c r="C2232" s="4" t="s">
        <v>163</v>
      </c>
      <c r="D2232" s="6" t="str">
        <f>HYPERLINK("javascript:void(0)","nekroige")</f>
        <v>nekroige</v>
      </c>
    </row>
    <row r="2233" spans="1:4" ht="12.75" customHeight="1" x14ac:dyDescent="0.2">
      <c r="A2233" s="21"/>
      <c r="B2233" s="21"/>
      <c r="C2233" s="4" t="s">
        <v>280</v>
      </c>
      <c r="D2233" s="6" t="str">
        <f>HYPERLINK("javascript:void(0)","mantüske")</f>
        <v>mantüske</v>
      </c>
    </row>
    <row r="2234" spans="1:4" ht="12.75" customHeight="1" x14ac:dyDescent="0.2">
      <c r="A2234" s="5"/>
      <c r="B2234" s="2"/>
      <c r="C2234" s="2"/>
      <c r="D2234" s="2"/>
    </row>
    <row r="2235" spans="1:4" ht="12.75" customHeight="1" x14ac:dyDescent="0.2">
      <c r="A2235" s="22" t="str">
        <f>HYPERLINK("javascript:void(0)","fogazott mágusölő")</f>
        <v>fogazott mágusölő</v>
      </c>
      <c r="B2235" s="21"/>
      <c r="C2235" s="21"/>
      <c r="D2235" s="21"/>
    </row>
    <row r="2236" spans="1:4" ht="12.75" customHeight="1" x14ac:dyDescent="0.2">
      <c r="A2236" s="20"/>
      <c r="B2236" s="2"/>
      <c r="C2236" s="2"/>
      <c r="D2236" s="2"/>
    </row>
    <row r="2237" spans="1:4" ht="12.75" customHeight="1" x14ac:dyDescent="0.2">
      <c r="A2237" s="21"/>
      <c r="B2237" s="3" t="s">
        <v>0</v>
      </c>
      <c r="C2237" s="20" t="s">
        <v>192</v>
      </c>
      <c r="D2237" s="21"/>
    </row>
    <row r="2238" spans="1:4" ht="12.75" customHeight="1" x14ac:dyDescent="0.2">
      <c r="A2238" s="21"/>
      <c r="B2238" s="3" t="s">
        <v>2</v>
      </c>
      <c r="C2238" s="20" t="s">
        <v>1598</v>
      </c>
      <c r="D2238" s="21"/>
    </row>
    <row r="2239" spans="1:4" ht="12.75" customHeight="1" x14ac:dyDescent="0.2">
      <c r="A2239" s="21"/>
      <c r="B2239" s="3" t="s">
        <v>4</v>
      </c>
      <c r="C2239" s="20" t="s">
        <v>1876</v>
      </c>
      <c r="D2239" s="21"/>
    </row>
    <row r="2240" spans="1:4" ht="12.75" customHeight="1" x14ac:dyDescent="0.2">
      <c r="A2240" s="21"/>
      <c r="B2240" s="3" t="s">
        <v>6</v>
      </c>
      <c r="C2240" s="20" t="s">
        <v>48</v>
      </c>
      <c r="D2240" s="21"/>
    </row>
    <row r="2241" spans="1:4" ht="12.75" customHeight="1" x14ac:dyDescent="0.2">
      <c r="A2241" s="21"/>
      <c r="B2241" s="3" t="s">
        <v>8</v>
      </c>
      <c r="C2241" s="20" t="s">
        <v>1876</v>
      </c>
      <c r="D2241" s="21"/>
    </row>
    <row r="2242" spans="1:4" ht="12.75" customHeight="1" x14ac:dyDescent="0.2">
      <c r="A2242" s="21"/>
      <c r="B2242" s="3" t="s">
        <v>9</v>
      </c>
      <c r="C2242" s="20" t="s">
        <v>1860</v>
      </c>
      <c r="D2242" s="21"/>
    </row>
    <row r="2243" spans="1:4" ht="12.75" customHeight="1" x14ac:dyDescent="0.2">
      <c r="A2243" s="21"/>
      <c r="B2243" s="3" t="s">
        <v>11</v>
      </c>
      <c r="C2243" s="20" t="s">
        <v>397</v>
      </c>
      <c r="D2243" s="21"/>
    </row>
    <row r="2244" spans="1:4" ht="12.75" customHeight="1" x14ac:dyDescent="0.2">
      <c r="A2244" s="21"/>
      <c r="B2244" s="3" t="s">
        <v>13</v>
      </c>
      <c r="C2244" s="20" t="s">
        <v>14</v>
      </c>
      <c r="D2244" s="21"/>
    </row>
    <row r="2245" spans="1:4" ht="12.75" customHeight="1" x14ac:dyDescent="0.2">
      <c r="A2245" s="21"/>
      <c r="B2245" s="3" t="s">
        <v>15</v>
      </c>
      <c r="C2245" s="20" t="s">
        <v>24</v>
      </c>
      <c r="D2245" s="21"/>
    </row>
    <row r="2246" spans="1:4" ht="12.75" customHeight="1" x14ac:dyDescent="0.2">
      <c r="A2246" s="21"/>
      <c r="B2246" s="3" t="s">
        <v>16</v>
      </c>
      <c r="C2246" s="20"/>
      <c r="D2246" s="21"/>
    </row>
    <row r="2247" spans="1:4" ht="12.75" customHeight="1" x14ac:dyDescent="0.2">
      <c r="A2247" s="21"/>
      <c r="B2247" s="3" t="s">
        <v>17</v>
      </c>
      <c r="C2247" s="20"/>
      <c r="D2247" s="21"/>
    </row>
    <row r="2248" spans="1:4" ht="12.75" customHeight="1" x14ac:dyDescent="0.2">
      <c r="A2248" s="21"/>
      <c r="B2248" s="20" t="s">
        <v>18</v>
      </c>
      <c r="C2248" s="4" t="s">
        <v>44</v>
      </c>
      <c r="D2248" s="6" t="str">
        <f>HYPERLINK("javascript:void(0)","hullám mágusölő")</f>
        <v>hullám mágusölő</v>
      </c>
    </row>
    <row r="2249" spans="1:4" ht="12.75" customHeight="1" x14ac:dyDescent="0.2">
      <c r="A2249" s="21"/>
      <c r="B2249" s="21"/>
      <c r="C2249" s="4" t="s">
        <v>193</v>
      </c>
      <c r="D2249" s="6" t="str">
        <f>HYPERLINK("javascript:void(0)","lámpás")</f>
        <v>lámpás</v>
      </c>
    </row>
    <row r="2250" spans="1:4" ht="12.75" customHeight="1" x14ac:dyDescent="0.2">
      <c r="A2250" s="21"/>
      <c r="B2250" s="21"/>
      <c r="C2250" s="4" t="s">
        <v>271</v>
      </c>
      <c r="D2250" s="6" t="str">
        <f>HYPERLINK("javascript:void(0)","mantüske")</f>
        <v>mantüske</v>
      </c>
    </row>
    <row r="2251" spans="1:4" ht="12.75" customHeight="1" x14ac:dyDescent="0.2">
      <c r="A2251" s="5"/>
      <c r="B2251" s="2"/>
      <c r="C2251" s="2"/>
      <c r="D2251" s="2"/>
    </row>
    <row r="2252" spans="1:4" ht="12.75" customHeight="1" x14ac:dyDescent="0.2">
      <c r="A2252" s="22" t="str">
        <f>HYPERLINK("javascript:void(0)","zanzatőr")</f>
        <v>zanzatőr</v>
      </c>
      <c r="B2252" s="21"/>
      <c r="C2252" s="21"/>
      <c r="D2252" s="21"/>
    </row>
    <row r="2253" spans="1:4" ht="12.75" customHeight="1" x14ac:dyDescent="0.2">
      <c r="A2253" s="20"/>
      <c r="B2253" s="2"/>
      <c r="C2253" s="2"/>
      <c r="D2253" s="2"/>
    </row>
    <row r="2254" spans="1:4" ht="12.75" customHeight="1" x14ac:dyDescent="0.2">
      <c r="A2254" s="21"/>
      <c r="B2254" s="3" t="s">
        <v>0</v>
      </c>
      <c r="C2254" s="20" t="s">
        <v>115</v>
      </c>
      <c r="D2254" s="21"/>
    </row>
    <row r="2255" spans="1:4" ht="12.75" customHeight="1" x14ac:dyDescent="0.2">
      <c r="A2255" s="21"/>
      <c r="B2255" s="3" t="s">
        <v>2</v>
      </c>
      <c r="C2255" s="20" t="s">
        <v>1598</v>
      </c>
      <c r="D2255" s="21"/>
    </row>
    <row r="2256" spans="1:4" ht="12.75" customHeight="1" x14ac:dyDescent="0.2">
      <c r="A2256" s="21"/>
      <c r="B2256" s="3" t="s">
        <v>4</v>
      </c>
      <c r="C2256" s="20" t="s">
        <v>1877</v>
      </c>
      <c r="D2256" s="21"/>
    </row>
    <row r="2257" spans="1:4" ht="12.75" customHeight="1" x14ac:dyDescent="0.2">
      <c r="A2257" s="21"/>
      <c r="B2257" s="3" t="s">
        <v>6</v>
      </c>
      <c r="C2257" s="20" t="s">
        <v>107</v>
      </c>
      <c r="D2257" s="21"/>
    </row>
    <row r="2258" spans="1:4" ht="12.75" customHeight="1" x14ac:dyDescent="0.2">
      <c r="A2258" s="21"/>
      <c r="B2258" s="3" t="s">
        <v>8</v>
      </c>
      <c r="C2258" s="20" t="s">
        <v>1877</v>
      </c>
      <c r="D2258" s="21"/>
    </row>
    <row r="2259" spans="1:4" ht="12.75" customHeight="1" x14ac:dyDescent="0.2">
      <c r="A2259" s="21"/>
      <c r="B2259" s="3" t="s">
        <v>9</v>
      </c>
      <c r="C2259" s="20" t="s">
        <v>93</v>
      </c>
      <c r="D2259" s="21"/>
    </row>
    <row r="2260" spans="1:4" ht="12.75" customHeight="1" x14ac:dyDescent="0.2">
      <c r="A2260" s="21"/>
      <c r="B2260" s="3" t="s">
        <v>11</v>
      </c>
      <c r="C2260" s="20" t="s">
        <v>414</v>
      </c>
      <c r="D2260" s="21"/>
    </row>
    <row r="2261" spans="1:4" ht="12.75" customHeight="1" x14ac:dyDescent="0.2">
      <c r="A2261" s="21"/>
      <c r="B2261" s="3" t="s">
        <v>13</v>
      </c>
      <c r="C2261" s="20" t="s">
        <v>24</v>
      </c>
      <c r="D2261" s="21"/>
    </row>
    <row r="2262" spans="1:4" ht="12.75" customHeight="1" x14ac:dyDescent="0.2">
      <c r="A2262" s="21"/>
      <c r="B2262" s="3" t="s">
        <v>15</v>
      </c>
      <c r="C2262" s="20" t="s">
        <v>24</v>
      </c>
      <c r="D2262" s="21"/>
    </row>
    <row r="2263" spans="1:4" ht="12.75" customHeight="1" x14ac:dyDescent="0.2">
      <c r="A2263" s="21"/>
      <c r="B2263" s="3" t="s">
        <v>16</v>
      </c>
      <c r="C2263" s="20"/>
      <c r="D2263" s="21"/>
    </row>
    <row r="2264" spans="1:4" ht="12.75" customHeight="1" x14ac:dyDescent="0.2">
      <c r="A2264" s="21"/>
      <c r="B2264" s="3" t="s">
        <v>17</v>
      </c>
      <c r="C2264" s="20"/>
      <c r="D2264" s="21"/>
    </row>
    <row r="2265" spans="1:4" ht="12.75" customHeight="1" x14ac:dyDescent="0.2">
      <c r="A2265" s="21"/>
      <c r="B2265" s="20" t="s">
        <v>18</v>
      </c>
      <c r="C2265" s="4" t="s">
        <v>44</v>
      </c>
      <c r="D2265" s="6" t="str">
        <f>HYPERLINK("javascript:void(0)","tüsketoló")</f>
        <v>tüsketoló</v>
      </c>
    </row>
    <row r="2266" spans="1:4" ht="12.75" customHeight="1" x14ac:dyDescent="0.2">
      <c r="A2266" s="21"/>
      <c r="B2266" s="21"/>
      <c r="C2266" s="4" t="s">
        <v>232</v>
      </c>
      <c r="D2266" s="6" t="str">
        <f>HYPERLINK("javascript:void(0)","démonzanza")</f>
        <v>démonzanza</v>
      </c>
    </row>
    <row r="2267" spans="1:4" ht="12.75" customHeight="1" x14ac:dyDescent="0.2">
      <c r="A2267" s="21"/>
      <c r="B2267" s="21"/>
      <c r="C2267" s="4" t="s">
        <v>163</v>
      </c>
      <c r="D2267" s="6" t="str">
        <f>HYPERLINK("javascript:void(0)","nekroige")</f>
        <v>nekroige</v>
      </c>
    </row>
    <row r="2268" spans="1:4" ht="12.75" customHeight="1" x14ac:dyDescent="0.2">
      <c r="A2268" s="5"/>
      <c r="B2268" s="2"/>
      <c r="C2268" s="2"/>
      <c r="D2268" s="2"/>
    </row>
    <row r="2269" spans="1:4" ht="12.75" customHeight="1" x14ac:dyDescent="0.2">
      <c r="A2269" s="22" t="str">
        <f>HYPERLINK("javascript:void(0)","zanza gigapallos")</f>
        <v>zanza gigapallos</v>
      </c>
      <c r="B2269" s="21"/>
      <c r="C2269" s="21"/>
      <c r="D2269" s="21"/>
    </row>
    <row r="2270" spans="1:4" ht="12.75" customHeight="1" x14ac:dyDescent="0.2">
      <c r="A2270" s="20"/>
      <c r="B2270" s="2"/>
      <c r="C2270" s="2"/>
      <c r="D2270" s="2"/>
    </row>
    <row r="2271" spans="1:4" ht="12.75" customHeight="1" x14ac:dyDescent="0.2">
      <c r="A2271" s="21"/>
      <c r="B2271" s="3" t="s">
        <v>0</v>
      </c>
      <c r="C2271" s="20" t="s">
        <v>115</v>
      </c>
      <c r="D2271" s="21"/>
    </row>
    <row r="2272" spans="1:4" ht="12.75" customHeight="1" x14ac:dyDescent="0.2">
      <c r="A2272" s="21"/>
      <c r="B2272" s="3" t="s">
        <v>2</v>
      </c>
      <c r="C2272" s="20" t="s">
        <v>1598</v>
      </c>
      <c r="D2272" s="21"/>
    </row>
    <row r="2273" spans="1:4" ht="12.75" customHeight="1" x14ac:dyDescent="0.2">
      <c r="A2273" s="21"/>
      <c r="B2273" s="3" t="s">
        <v>4</v>
      </c>
      <c r="C2273" s="20" t="s">
        <v>1878</v>
      </c>
      <c r="D2273" s="21"/>
    </row>
    <row r="2274" spans="1:4" ht="12.75" customHeight="1" x14ac:dyDescent="0.2">
      <c r="A2274" s="21"/>
      <c r="B2274" s="3" t="s">
        <v>6</v>
      </c>
      <c r="C2274" s="20" t="s">
        <v>107</v>
      </c>
      <c r="D2274" s="21"/>
    </row>
    <row r="2275" spans="1:4" ht="12.75" customHeight="1" x14ac:dyDescent="0.2">
      <c r="A2275" s="21"/>
      <c r="B2275" s="3" t="s">
        <v>8</v>
      </c>
      <c r="C2275" s="20" t="s">
        <v>1878</v>
      </c>
      <c r="D2275" s="21"/>
    </row>
    <row r="2276" spans="1:4" ht="12.75" customHeight="1" x14ac:dyDescent="0.2">
      <c r="A2276" s="21"/>
      <c r="B2276" s="3" t="s">
        <v>9</v>
      </c>
      <c r="C2276" s="20" t="s">
        <v>1879</v>
      </c>
      <c r="D2276" s="21"/>
    </row>
    <row r="2277" spans="1:4" ht="12.75" customHeight="1" x14ac:dyDescent="0.2">
      <c r="A2277" s="21"/>
      <c r="B2277" s="3" t="s">
        <v>11</v>
      </c>
      <c r="C2277" s="20" t="s">
        <v>470</v>
      </c>
      <c r="D2277" s="21"/>
    </row>
    <row r="2278" spans="1:4" ht="12.75" customHeight="1" x14ac:dyDescent="0.2">
      <c r="A2278" s="21"/>
      <c r="B2278" s="3" t="s">
        <v>13</v>
      </c>
      <c r="C2278" s="20" t="s">
        <v>24</v>
      </c>
      <c r="D2278" s="21"/>
    </row>
    <row r="2279" spans="1:4" ht="12.75" customHeight="1" x14ac:dyDescent="0.2">
      <c r="A2279" s="21"/>
      <c r="B2279" s="3" t="s">
        <v>15</v>
      </c>
      <c r="C2279" s="20" t="s">
        <v>24</v>
      </c>
      <c r="D2279" s="21"/>
    </row>
    <row r="2280" spans="1:4" ht="12.75" customHeight="1" x14ac:dyDescent="0.2">
      <c r="A2280" s="21"/>
      <c r="B2280" s="3" t="s">
        <v>16</v>
      </c>
      <c r="C2280" s="20"/>
      <c r="D2280" s="21"/>
    </row>
    <row r="2281" spans="1:4" ht="12.75" customHeight="1" x14ac:dyDescent="0.2">
      <c r="A2281" s="21"/>
      <c r="B2281" s="3" t="s">
        <v>17</v>
      </c>
      <c r="C2281" s="20"/>
      <c r="D2281" s="21"/>
    </row>
    <row r="2282" spans="1:4" ht="12.75" customHeight="1" x14ac:dyDescent="0.2">
      <c r="A2282" s="21"/>
      <c r="B2282" s="20" t="s">
        <v>18</v>
      </c>
      <c r="C2282" s="4" t="s">
        <v>335</v>
      </c>
      <c r="D2282" s="6" t="str">
        <f>HYPERLINK("javascript:void(0)","lámpás")</f>
        <v>lámpás</v>
      </c>
    </row>
    <row r="2283" spans="1:4" ht="12.75" customHeight="1" x14ac:dyDescent="0.2">
      <c r="A2283" s="21"/>
      <c r="B2283" s="21"/>
      <c r="C2283" s="4" t="s">
        <v>244</v>
      </c>
      <c r="D2283" s="6" t="str">
        <f>HYPERLINK("javascript:void(0)","haspók")</f>
        <v>haspók</v>
      </c>
    </row>
    <row r="2284" spans="1:4" ht="12.75" customHeight="1" x14ac:dyDescent="0.2">
      <c r="A2284" s="21"/>
      <c r="B2284" s="21"/>
      <c r="C2284" s="4" t="s">
        <v>117</v>
      </c>
      <c r="D2284" s="6" t="str">
        <f>HYPERLINK("javascript:void(0)","démonzanza")</f>
        <v>démonzanza</v>
      </c>
    </row>
    <row r="2285" spans="1:4" ht="12.75" customHeight="1" x14ac:dyDescent="0.2">
      <c r="A2285" s="5"/>
      <c r="B2285" s="2"/>
      <c r="C2285" s="2"/>
      <c r="D2285" s="2"/>
    </row>
    <row r="2286" spans="1:4" ht="12.75" customHeight="1" x14ac:dyDescent="0.2">
      <c r="A2286" s="22" t="str">
        <f>HYPERLINK("javascript:void(0)","gyíkacél csáklya")</f>
        <v>gyíkacél csáklya</v>
      </c>
      <c r="B2286" s="21"/>
      <c r="C2286" s="21"/>
      <c r="D2286" s="21"/>
    </row>
    <row r="2287" spans="1:4" ht="12.75" customHeight="1" x14ac:dyDescent="0.2">
      <c r="A2287" s="20"/>
      <c r="B2287" s="2"/>
      <c r="C2287" s="2"/>
      <c r="D2287" s="2"/>
    </row>
    <row r="2288" spans="1:4" ht="12.75" customHeight="1" x14ac:dyDescent="0.2">
      <c r="A2288" s="21"/>
      <c r="B2288" s="3" t="s">
        <v>0</v>
      </c>
      <c r="C2288" s="20" t="s">
        <v>115</v>
      </c>
      <c r="D2288" s="21"/>
    </row>
    <row r="2289" spans="1:4" ht="12.75" customHeight="1" x14ac:dyDescent="0.2">
      <c r="A2289" s="21"/>
      <c r="B2289" s="3" t="s">
        <v>2</v>
      </c>
      <c r="C2289" s="20" t="s">
        <v>1598</v>
      </c>
      <c r="D2289" s="21"/>
    </row>
    <row r="2290" spans="1:4" ht="12.75" customHeight="1" x14ac:dyDescent="0.2">
      <c r="A2290" s="21"/>
      <c r="B2290" s="3" t="s">
        <v>4</v>
      </c>
      <c r="C2290" s="20" t="s">
        <v>726</v>
      </c>
      <c r="D2290" s="21"/>
    </row>
    <row r="2291" spans="1:4" ht="12.75" customHeight="1" x14ac:dyDescent="0.2">
      <c r="A2291" s="21"/>
      <c r="B2291" s="3" t="s">
        <v>6</v>
      </c>
      <c r="C2291" s="20" t="s">
        <v>107</v>
      </c>
      <c r="D2291" s="21"/>
    </row>
    <row r="2292" spans="1:4" ht="12.75" customHeight="1" x14ac:dyDescent="0.2">
      <c r="A2292" s="21"/>
      <c r="B2292" s="3" t="s">
        <v>8</v>
      </c>
      <c r="C2292" s="20" t="s">
        <v>726</v>
      </c>
      <c r="D2292" s="21"/>
    </row>
    <row r="2293" spans="1:4" ht="12.75" customHeight="1" x14ac:dyDescent="0.2">
      <c r="A2293" s="21"/>
      <c r="B2293" s="3" t="s">
        <v>9</v>
      </c>
      <c r="C2293" s="20" t="s">
        <v>1880</v>
      </c>
      <c r="D2293" s="21"/>
    </row>
    <row r="2294" spans="1:4" ht="12.75" customHeight="1" x14ac:dyDescent="0.2">
      <c r="A2294" s="21"/>
      <c r="B2294" s="3" t="s">
        <v>11</v>
      </c>
      <c r="C2294" s="20" t="s">
        <v>268</v>
      </c>
      <c r="D2294" s="21"/>
    </row>
    <row r="2295" spans="1:4" ht="12.75" customHeight="1" x14ac:dyDescent="0.2">
      <c r="A2295" s="21"/>
      <c r="B2295" s="3" t="s">
        <v>13</v>
      </c>
      <c r="C2295" s="20" t="s">
        <v>24</v>
      </c>
      <c r="D2295" s="21"/>
    </row>
    <row r="2296" spans="1:4" ht="12.75" customHeight="1" x14ac:dyDescent="0.2">
      <c r="A2296" s="21"/>
      <c r="B2296" s="3" t="s">
        <v>15</v>
      </c>
      <c r="C2296" s="20" t="s">
        <v>24</v>
      </c>
      <c r="D2296" s="21"/>
    </row>
    <row r="2297" spans="1:4" ht="12.75" customHeight="1" x14ac:dyDescent="0.2">
      <c r="A2297" s="21"/>
      <c r="B2297" s="3" t="s">
        <v>16</v>
      </c>
      <c r="C2297" s="20"/>
      <c r="D2297" s="21"/>
    </row>
    <row r="2298" spans="1:4" ht="12.75" customHeight="1" x14ac:dyDescent="0.2">
      <c r="A2298" s="21"/>
      <c r="B2298" s="3" t="s">
        <v>17</v>
      </c>
      <c r="C2298" s="20"/>
      <c r="D2298" s="21"/>
    </row>
    <row r="2299" spans="1:4" ht="12.75" customHeight="1" x14ac:dyDescent="0.2">
      <c r="A2299" s="21"/>
      <c r="B2299" s="20" t="s">
        <v>18</v>
      </c>
      <c r="C2299" s="4" t="s">
        <v>139</v>
      </c>
      <c r="D2299" s="6" t="str">
        <f>HYPERLINK("javascript:void(0)","kihunyt glória")</f>
        <v>kihunyt glória</v>
      </c>
    </row>
    <row r="2300" spans="1:4" ht="12.75" customHeight="1" x14ac:dyDescent="0.2">
      <c r="A2300" s="21"/>
      <c r="B2300" s="21"/>
      <c r="C2300" s="4" t="s">
        <v>280</v>
      </c>
      <c r="D2300" s="6" t="str">
        <f>HYPERLINK("javascript:void(0)","kitinpenge")</f>
        <v>kitinpenge</v>
      </c>
    </row>
    <row r="2301" spans="1:4" ht="12.75" customHeight="1" x14ac:dyDescent="0.2">
      <c r="A2301" s="21"/>
      <c r="B2301" s="21"/>
      <c r="C2301" s="4" t="s">
        <v>98</v>
      </c>
      <c r="D2301" s="6" t="str">
        <f>HYPERLINK("javascript:void(0)","medvepúp")</f>
        <v>medvepúp</v>
      </c>
    </row>
    <row r="2302" spans="1:4" ht="12.75" customHeight="1" x14ac:dyDescent="0.2">
      <c r="A2302" s="5"/>
      <c r="B2302" s="2"/>
      <c r="C2302" s="2"/>
      <c r="D2302" s="2"/>
    </row>
    <row r="2303" spans="1:4" ht="12.75" customHeight="1" x14ac:dyDescent="0.2">
      <c r="A2303" s="22" t="str">
        <f>HYPERLINK("javascript:void(0)","sikolyszurony")</f>
        <v>sikolyszurony</v>
      </c>
      <c r="B2303" s="21"/>
      <c r="C2303" s="21"/>
      <c r="D2303" s="21"/>
    </row>
    <row r="2304" spans="1:4" ht="12.75" customHeight="1" x14ac:dyDescent="0.2">
      <c r="A2304" s="20"/>
      <c r="B2304" s="2"/>
      <c r="C2304" s="2"/>
      <c r="D2304" s="2"/>
    </row>
    <row r="2305" spans="1:4" ht="12.75" customHeight="1" x14ac:dyDescent="0.2">
      <c r="A2305" s="21"/>
      <c r="B2305" s="3" t="s">
        <v>0</v>
      </c>
      <c r="C2305" s="20" t="s">
        <v>417</v>
      </c>
      <c r="D2305" s="21"/>
    </row>
    <row r="2306" spans="1:4" ht="12.75" customHeight="1" x14ac:dyDescent="0.2">
      <c r="A2306" s="21"/>
      <c r="B2306" s="3" t="s">
        <v>2</v>
      </c>
      <c r="C2306" s="20" t="s">
        <v>1598</v>
      </c>
      <c r="D2306" s="21"/>
    </row>
    <row r="2307" spans="1:4" ht="12.75" customHeight="1" x14ac:dyDescent="0.2">
      <c r="A2307" s="21"/>
      <c r="B2307" s="3" t="s">
        <v>4</v>
      </c>
      <c r="C2307" s="20" t="s">
        <v>1881</v>
      </c>
      <c r="D2307" s="21"/>
    </row>
    <row r="2308" spans="1:4" ht="12.75" customHeight="1" x14ac:dyDescent="0.2">
      <c r="A2308" s="21"/>
      <c r="B2308" s="3" t="s">
        <v>6</v>
      </c>
      <c r="C2308" s="20" t="s">
        <v>157</v>
      </c>
      <c r="D2308" s="21"/>
    </row>
    <row r="2309" spans="1:4" ht="12.75" customHeight="1" x14ac:dyDescent="0.2">
      <c r="A2309" s="21"/>
      <c r="B2309" s="3" t="s">
        <v>8</v>
      </c>
      <c r="C2309" s="20" t="s">
        <v>1881</v>
      </c>
      <c r="D2309" s="21"/>
    </row>
    <row r="2310" spans="1:4" ht="12.75" customHeight="1" x14ac:dyDescent="0.2">
      <c r="A2310" s="21"/>
      <c r="B2310" s="3" t="s">
        <v>9</v>
      </c>
      <c r="C2310" s="20" t="s">
        <v>464</v>
      </c>
      <c r="D2310" s="21"/>
    </row>
    <row r="2311" spans="1:4" ht="12.75" customHeight="1" x14ac:dyDescent="0.2">
      <c r="A2311" s="21"/>
      <c r="B2311" s="3" t="s">
        <v>11</v>
      </c>
      <c r="C2311" s="20" t="s">
        <v>427</v>
      </c>
      <c r="D2311" s="21"/>
    </row>
    <row r="2312" spans="1:4" ht="12.75" customHeight="1" x14ac:dyDescent="0.2">
      <c r="A2312" s="21"/>
      <c r="B2312" s="3" t="s">
        <v>13</v>
      </c>
      <c r="C2312" s="20" t="s">
        <v>24</v>
      </c>
      <c r="D2312" s="21"/>
    </row>
    <row r="2313" spans="1:4" ht="12.75" customHeight="1" x14ac:dyDescent="0.2">
      <c r="A2313" s="21"/>
      <c r="B2313" s="3" t="s">
        <v>15</v>
      </c>
      <c r="C2313" s="20" t="s">
        <v>24</v>
      </c>
      <c r="D2313" s="21"/>
    </row>
    <row r="2314" spans="1:4" ht="12.75" customHeight="1" x14ac:dyDescent="0.2">
      <c r="A2314" s="21"/>
      <c r="B2314" s="3" t="s">
        <v>16</v>
      </c>
      <c r="C2314" s="20"/>
      <c r="D2314" s="21"/>
    </row>
    <row r="2315" spans="1:4" ht="12.75" customHeight="1" x14ac:dyDescent="0.2">
      <c r="A2315" s="21"/>
      <c r="B2315" s="3" t="s">
        <v>17</v>
      </c>
      <c r="C2315" s="20"/>
      <c r="D2315" s="21"/>
    </row>
    <row r="2316" spans="1:4" ht="12.75" customHeight="1" x14ac:dyDescent="0.2">
      <c r="A2316" s="21"/>
      <c r="B2316" s="20" t="s">
        <v>18</v>
      </c>
      <c r="C2316" s="4" t="s">
        <v>44</v>
      </c>
      <c r="D2316" s="6" t="str">
        <f>HYPERLINK("javascript:void(0)","zanzatőr")</f>
        <v>zanzatőr</v>
      </c>
    </row>
    <row r="2317" spans="1:4" ht="12.75" customHeight="1" x14ac:dyDescent="0.2">
      <c r="A2317" s="21"/>
      <c r="B2317" s="21"/>
      <c r="C2317" s="4" t="s">
        <v>44</v>
      </c>
      <c r="D2317" s="6" t="str">
        <f>HYPERLINK("javascript:void(0)","fogazott kard")</f>
        <v>fogazott kard</v>
      </c>
    </row>
    <row r="2318" spans="1:4" ht="12.75" customHeight="1" x14ac:dyDescent="0.2">
      <c r="A2318" s="21"/>
      <c r="B2318" s="21"/>
      <c r="C2318" s="4" t="s">
        <v>142</v>
      </c>
      <c r="D2318" s="6" t="str">
        <f>HYPERLINK("javascript:void(0)","hárpia copf")</f>
        <v>hárpia copf</v>
      </c>
    </row>
    <row r="2319" spans="1:4" ht="12.75" customHeight="1" x14ac:dyDescent="0.2">
      <c r="A2319" s="5"/>
      <c r="B2319" s="2"/>
      <c r="C2319" s="2"/>
      <c r="D2319" s="2"/>
    </row>
    <row r="2320" spans="1:4" ht="12.75" customHeight="1" x14ac:dyDescent="0.2">
      <c r="A2320" s="22" t="str">
        <f>HYPERLINK("javascript:void(0)","tollas mágusölő")</f>
        <v>tollas mágusölő</v>
      </c>
      <c r="B2320" s="21"/>
      <c r="C2320" s="21"/>
      <c r="D2320" s="21"/>
    </row>
    <row r="2321" spans="1:4" ht="12.75" customHeight="1" x14ac:dyDescent="0.2">
      <c r="A2321" s="20"/>
      <c r="B2321" s="2"/>
      <c r="C2321" s="2"/>
      <c r="D2321" s="2"/>
    </row>
    <row r="2322" spans="1:4" ht="12.75" customHeight="1" x14ac:dyDescent="0.2">
      <c r="A2322" s="21"/>
      <c r="B2322" s="3" t="s">
        <v>0</v>
      </c>
      <c r="C2322" s="20" t="s">
        <v>417</v>
      </c>
      <c r="D2322" s="21"/>
    </row>
    <row r="2323" spans="1:4" ht="12.75" customHeight="1" x14ac:dyDescent="0.2">
      <c r="A2323" s="21"/>
      <c r="B2323" s="3" t="s">
        <v>2</v>
      </c>
      <c r="C2323" s="20" t="s">
        <v>1598</v>
      </c>
      <c r="D2323" s="21"/>
    </row>
    <row r="2324" spans="1:4" ht="12.75" customHeight="1" x14ac:dyDescent="0.2">
      <c r="A2324" s="21"/>
      <c r="B2324" s="3" t="s">
        <v>4</v>
      </c>
      <c r="C2324" s="20" t="s">
        <v>1882</v>
      </c>
      <c r="D2324" s="21"/>
    </row>
    <row r="2325" spans="1:4" ht="12.75" customHeight="1" x14ac:dyDescent="0.2">
      <c r="A2325" s="21"/>
      <c r="B2325" s="3" t="s">
        <v>6</v>
      </c>
      <c r="C2325" s="20" t="s">
        <v>48</v>
      </c>
      <c r="D2325" s="21"/>
    </row>
    <row r="2326" spans="1:4" ht="12.75" customHeight="1" x14ac:dyDescent="0.2">
      <c r="A2326" s="21"/>
      <c r="B2326" s="3" t="s">
        <v>8</v>
      </c>
      <c r="C2326" s="20" t="s">
        <v>1882</v>
      </c>
      <c r="D2326" s="21"/>
    </row>
    <row r="2327" spans="1:4" ht="12.75" customHeight="1" x14ac:dyDescent="0.2">
      <c r="A2327" s="21"/>
      <c r="B2327" s="3" t="s">
        <v>9</v>
      </c>
      <c r="C2327" s="20" t="s">
        <v>1623</v>
      </c>
      <c r="D2327" s="21"/>
    </row>
    <row r="2328" spans="1:4" ht="12.75" customHeight="1" x14ac:dyDescent="0.2">
      <c r="A2328" s="21"/>
      <c r="B2328" s="3" t="s">
        <v>11</v>
      </c>
      <c r="C2328" s="20" t="s">
        <v>427</v>
      </c>
      <c r="D2328" s="21"/>
    </row>
    <row r="2329" spans="1:4" ht="12.75" customHeight="1" x14ac:dyDescent="0.2">
      <c r="A2329" s="21"/>
      <c r="B2329" s="3" t="s">
        <v>13</v>
      </c>
      <c r="C2329" s="20" t="s">
        <v>14</v>
      </c>
      <c r="D2329" s="21"/>
    </row>
    <row r="2330" spans="1:4" ht="12.75" customHeight="1" x14ac:dyDescent="0.2">
      <c r="A2330" s="21"/>
      <c r="B2330" s="3" t="s">
        <v>15</v>
      </c>
      <c r="C2330" s="20" t="s">
        <v>24</v>
      </c>
      <c r="D2330" s="21"/>
    </row>
    <row r="2331" spans="1:4" ht="12.75" customHeight="1" x14ac:dyDescent="0.2">
      <c r="A2331" s="21"/>
      <c r="B2331" s="3" t="s">
        <v>16</v>
      </c>
      <c r="C2331" s="20"/>
      <c r="D2331" s="21"/>
    </row>
    <row r="2332" spans="1:4" ht="12.75" customHeight="1" x14ac:dyDescent="0.2">
      <c r="A2332" s="21"/>
      <c r="B2332" s="3" t="s">
        <v>17</v>
      </c>
      <c r="C2332" s="20"/>
      <c r="D2332" s="21"/>
    </row>
    <row r="2333" spans="1:4" ht="12.75" customHeight="1" x14ac:dyDescent="0.2">
      <c r="A2333" s="21"/>
      <c r="B2333" s="20" t="s">
        <v>18</v>
      </c>
      <c r="C2333" s="4" t="s">
        <v>44</v>
      </c>
      <c r="D2333" s="6" t="str">
        <f>HYPERLINK("javascript:void(0)","fogazott mágusölő")</f>
        <v>fogazott mágusölő</v>
      </c>
    </row>
    <row r="2334" spans="1:4" ht="12.75" customHeight="1" x14ac:dyDescent="0.2">
      <c r="A2334" s="21"/>
      <c r="B2334" s="21"/>
      <c r="C2334" s="4" t="s">
        <v>117</v>
      </c>
      <c r="D2334" s="6" t="str">
        <f>HYPERLINK("javascript:void(0)","hárpia copf")</f>
        <v>hárpia copf</v>
      </c>
    </row>
    <row r="2335" spans="1:4" ht="12.75" customHeight="1" x14ac:dyDescent="0.2">
      <c r="A2335" s="21"/>
      <c r="B2335" s="21"/>
      <c r="C2335" s="4" t="s">
        <v>139</v>
      </c>
      <c r="D2335" s="6" t="str">
        <f>HYPERLINK("javascript:void(0)","kocka")</f>
        <v>kocka</v>
      </c>
    </row>
    <row r="2336" spans="1:4" ht="12.75" customHeight="1" x14ac:dyDescent="0.2">
      <c r="A2336" s="5"/>
      <c r="B2336" s="2"/>
      <c r="C2336" s="2"/>
      <c r="D2336" s="2"/>
    </row>
    <row r="2337" spans="1:4" ht="12.75" customHeight="1" x14ac:dyDescent="0.2">
      <c r="A2337" s="22" t="str">
        <f>HYPERLINK("javascript:void(0)","díszes alabárd")</f>
        <v>díszes alabárd</v>
      </c>
      <c r="B2337" s="21"/>
      <c r="C2337" s="21"/>
      <c r="D2337" s="21"/>
    </row>
    <row r="2338" spans="1:4" ht="12.75" customHeight="1" x14ac:dyDescent="0.2">
      <c r="A2338" s="20"/>
      <c r="B2338" s="2"/>
      <c r="C2338" s="2"/>
      <c r="D2338" s="2"/>
    </row>
    <row r="2339" spans="1:4" ht="12.75" customHeight="1" x14ac:dyDescent="0.2">
      <c r="A2339" s="21"/>
      <c r="B2339" s="3" t="s">
        <v>0</v>
      </c>
      <c r="C2339" s="20" t="s">
        <v>216</v>
      </c>
      <c r="D2339" s="21"/>
    </row>
    <row r="2340" spans="1:4" ht="12.75" customHeight="1" x14ac:dyDescent="0.2">
      <c r="A2340" s="21"/>
      <c r="B2340" s="3" t="s">
        <v>2</v>
      </c>
      <c r="C2340" s="20" t="s">
        <v>1598</v>
      </c>
      <c r="D2340" s="21"/>
    </row>
    <row r="2341" spans="1:4" ht="12.75" customHeight="1" x14ac:dyDescent="0.2">
      <c r="A2341" s="21"/>
      <c r="B2341" s="3" t="s">
        <v>4</v>
      </c>
      <c r="C2341" s="20" t="s">
        <v>1885</v>
      </c>
      <c r="D2341" s="21"/>
    </row>
    <row r="2342" spans="1:4" ht="12.75" customHeight="1" x14ac:dyDescent="0.2">
      <c r="A2342" s="21"/>
      <c r="B2342" s="3" t="s">
        <v>6</v>
      </c>
      <c r="C2342" s="20" t="s">
        <v>41</v>
      </c>
      <c r="D2342" s="21"/>
    </row>
    <row r="2343" spans="1:4" ht="12.75" customHeight="1" x14ac:dyDescent="0.2">
      <c r="A2343" s="21"/>
      <c r="B2343" s="3" t="s">
        <v>8</v>
      </c>
      <c r="C2343" s="20" t="s">
        <v>1885</v>
      </c>
      <c r="D2343" s="21"/>
    </row>
    <row r="2344" spans="1:4" ht="12.75" customHeight="1" x14ac:dyDescent="0.2">
      <c r="A2344" s="21"/>
      <c r="B2344" s="3" t="s">
        <v>9</v>
      </c>
      <c r="C2344" s="20" t="s">
        <v>343</v>
      </c>
      <c r="D2344" s="21"/>
    </row>
    <row r="2345" spans="1:4" ht="12.75" customHeight="1" x14ac:dyDescent="0.2">
      <c r="A2345" s="21"/>
      <c r="B2345" s="3" t="s">
        <v>11</v>
      </c>
      <c r="C2345" s="20" t="s">
        <v>437</v>
      </c>
      <c r="D2345" s="21"/>
    </row>
    <row r="2346" spans="1:4" ht="12.75" customHeight="1" x14ac:dyDescent="0.2">
      <c r="A2346" s="21"/>
      <c r="B2346" s="3" t="s">
        <v>13</v>
      </c>
      <c r="C2346" s="20" t="s">
        <v>24</v>
      </c>
      <c r="D2346" s="21"/>
    </row>
    <row r="2347" spans="1:4" ht="12.75" customHeight="1" x14ac:dyDescent="0.2">
      <c r="A2347" s="21"/>
      <c r="B2347" s="3" t="s">
        <v>15</v>
      </c>
      <c r="C2347" s="20" t="s">
        <v>24</v>
      </c>
      <c r="D2347" s="21"/>
    </row>
    <row r="2348" spans="1:4" ht="12.75" customHeight="1" x14ac:dyDescent="0.2">
      <c r="A2348" s="21"/>
      <c r="B2348" s="3" t="s">
        <v>16</v>
      </c>
      <c r="C2348" s="20"/>
      <c r="D2348" s="21"/>
    </row>
    <row r="2349" spans="1:4" ht="12.75" customHeight="1" x14ac:dyDescent="0.2">
      <c r="A2349" s="21"/>
      <c r="B2349" s="3" t="s">
        <v>17</v>
      </c>
      <c r="C2349" s="20"/>
      <c r="D2349" s="21"/>
    </row>
    <row r="2350" spans="1:4" ht="12.75" customHeight="1" x14ac:dyDescent="0.2">
      <c r="A2350" s="21"/>
      <c r="B2350" s="20" t="s">
        <v>18</v>
      </c>
      <c r="C2350" s="4" t="s">
        <v>193</v>
      </c>
      <c r="D2350" s="6" t="str">
        <f>HYPERLINK("javascript:void(0)","hiperzsír")</f>
        <v>hiperzsír</v>
      </c>
    </row>
    <row r="2351" spans="1:4" ht="12.75" customHeight="1" x14ac:dyDescent="0.2">
      <c r="A2351" s="21"/>
      <c r="B2351" s="21"/>
      <c r="C2351" s="4" t="s">
        <v>98</v>
      </c>
      <c r="D2351" s="6" t="str">
        <f>HYPERLINK("javascript:void(0)","haspók")</f>
        <v>haspók</v>
      </c>
    </row>
    <row r="2352" spans="1:4" ht="12.75" customHeight="1" x14ac:dyDescent="0.2">
      <c r="A2352" s="21"/>
      <c r="B2352" s="21"/>
      <c r="C2352" s="4" t="s">
        <v>142</v>
      </c>
      <c r="D2352" s="6" t="str">
        <f>HYPERLINK("javascript:void(0)","esztétikum")</f>
        <v>esztétikum</v>
      </c>
    </row>
    <row r="2353" spans="1:4" ht="12.75" customHeight="1" x14ac:dyDescent="0.2">
      <c r="A2353" s="5"/>
      <c r="B2353" s="2"/>
      <c r="C2353" s="2"/>
      <c r="D2353" s="2"/>
    </row>
    <row r="2354" spans="1:4" ht="12.75" customHeight="1" x14ac:dyDescent="0.2">
      <c r="A2354" s="22" t="str">
        <f>HYPERLINK("javascript:void(0)","kentacél gigapallos")</f>
        <v>kentacél gigapallos</v>
      </c>
      <c r="B2354" s="21"/>
      <c r="C2354" s="21"/>
      <c r="D2354" s="21"/>
    </row>
    <row r="2355" spans="1:4" ht="12.75" customHeight="1" x14ac:dyDescent="0.2">
      <c r="A2355" s="20"/>
      <c r="B2355" s="2"/>
      <c r="C2355" s="2"/>
      <c r="D2355" s="2"/>
    </row>
    <row r="2356" spans="1:4" ht="12.75" customHeight="1" x14ac:dyDescent="0.2">
      <c r="A2356" s="21"/>
      <c r="B2356" s="3" t="s">
        <v>0</v>
      </c>
      <c r="C2356" s="20" t="s">
        <v>216</v>
      </c>
      <c r="D2356" s="21"/>
    </row>
    <row r="2357" spans="1:4" ht="12.75" customHeight="1" x14ac:dyDescent="0.2">
      <c r="A2357" s="21"/>
      <c r="B2357" s="3" t="s">
        <v>2</v>
      </c>
      <c r="C2357" s="20" t="s">
        <v>1598</v>
      </c>
      <c r="D2357" s="21"/>
    </row>
    <row r="2358" spans="1:4" ht="12.75" customHeight="1" x14ac:dyDescent="0.2">
      <c r="A2358" s="21"/>
      <c r="B2358" s="3" t="s">
        <v>4</v>
      </c>
      <c r="C2358" s="20" t="s">
        <v>1888</v>
      </c>
      <c r="D2358" s="21"/>
    </row>
    <row r="2359" spans="1:4" ht="12.75" customHeight="1" x14ac:dyDescent="0.2">
      <c r="A2359" s="21"/>
      <c r="B2359" s="3" t="s">
        <v>6</v>
      </c>
      <c r="C2359" s="20" t="s">
        <v>21</v>
      </c>
      <c r="D2359" s="21"/>
    </row>
    <row r="2360" spans="1:4" ht="12.75" customHeight="1" x14ac:dyDescent="0.2">
      <c r="A2360" s="21"/>
      <c r="B2360" s="3" t="s">
        <v>8</v>
      </c>
      <c r="C2360" s="20" t="s">
        <v>1888</v>
      </c>
      <c r="D2360" s="21"/>
    </row>
    <row r="2361" spans="1:4" ht="12.75" customHeight="1" x14ac:dyDescent="0.2">
      <c r="A2361" s="21"/>
      <c r="B2361" s="3" t="s">
        <v>9</v>
      </c>
      <c r="C2361" s="20" t="s">
        <v>1889</v>
      </c>
      <c r="D2361" s="21"/>
    </row>
    <row r="2362" spans="1:4" ht="12.75" customHeight="1" x14ac:dyDescent="0.2">
      <c r="A2362" s="21"/>
      <c r="B2362" s="3" t="s">
        <v>11</v>
      </c>
      <c r="C2362" s="20" t="s">
        <v>488</v>
      </c>
      <c r="D2362" s="21"/>
    </row>
    <row r="2363" spans="1:4" ht="12.75" customHeight="1" x14ac:dyDescent="0.2">
      <c r="A2363" s="21"/>
      <c r="B2363" s="3" t="s">
        <v>13</v>
      </c>
      <c r="C2363" s="20" t="s">
        <v>24</v>
      </c>
      <c r="D2363" s="21"/>
    </row>
    <row r="2364" spans="1:4" ht="12.75" customHeight="1" x14ac:dyDescent="0.2">
      <c r="A2364" s="21"/>
      <c r="B2364" s="3" t="s">
        <v>15</v>
      </c>
      <c r="C2364" s="20" t="s">
        <v>24</v>
      </c>
      <c r="D2364" s="21"/>
    </row>
    <row r="2365" spans="1:4" ht="12.75" customHeight="1" x14ac:dyDescent="0.2">
      <c r="A2365" s="21"/>
      <c r="B2365" s="3" t="s">
        <v>16</v>
      </c>
      <c r="C2365" s="20"/>
      <c r="D2365" s="21"/>
    </row>
    <row r="2366" spans="1:4" ht="12.75" customHeight="1" x14ac:dyDescent="0.2">
      <c r="A2366" s="21"/>
      <c r="B2366" s="3" t="s">
        <v>17</v>
      </c>
      <c r="C2366" s="20"/>
      <c r="D2366" s="21"/>
    </row>
    <row r="2367" spans="1:4" ht="12.75" customHeight="1" x14ac:dyDescent="0.2">
      <c r="A2367" s="21"/>
      <c r="B2367" s="20" t="s">
        <v>18</v>
      </c>
      <c r="C2367" s="4" t="s">
        <v>117</v>
      </c>
      <c r="D2367" s="6" t="str">
        <f>HYPERLINK("javascript:void(0)","esztétikum")</f>
        <v>esztétikum</v>
      </c>
    </row>
    <row r="2368" spans="1:4" ht="12.75" customHeight="1" x14ac:dyDescent="0.2">
      <c r="A2368" s="21"/>
      <c r="B2368" s="21"/>
      <c r="C2368" s="4" t="s">
        <v>193</v>
      </c>
      <c r="D2368" s="6" t="str">
        <f>HYPERLINK("javascript:void(0)","yetiláb")</f>
        <v>yetiláb</v>
      </c>
    </row>
    <row r="2369" spans="1:4" ht="12.75" customHeight="1" x14ac:dyDescent="0.2">
      <c r="A2369" s="21"/>
      <c r="B2369" s="21"/>
      <c r="C2369" s="4" t="s">
        <v>139</v>
      </c>
      <c r="D2369" s="6" t="str">
        <f>HYPERLINK("javascript:void(0)","csáphárító")</f>
        <v>csáphárító</v>
      </c>
    </row>
    <row r="2370" spans="1:4" ht="12.75" customHeight="1" x14ac:dyDescent="0.2">
      <c r="A2370" s="5"/>
      <c r="B2370" s="2"/>
      <c r="C2370" s="2"/>
      <c r="D2370" s="2"/>
    </row>
    <row r="2371" spans="1:4" ht="12.75" customHeight="1" x14ac:dyDescent="0.2">
      <c r="A2371" s="22" t="str">
        <f>HYPERLINK("javascript:void(0)","gyíkacél kés")</f>
        <v>gyíkacél kés</v>
      </c>
      <c r="B2371" s="21"/>
      <c r="C2371" s="21"/>
      <c r="D2371" s="21"/>
    </row>
    <row r="2372" spans="1:4" ht="12.75" customHeight="1" x14ac:dyDescent="0.2">
      <c r="A2372" s="20"/>
      <c r="B2372" s="2"/>
      <c r="C2372" s="2"/>
      <c r="D2372" s="2"/>
    </row>
    <row r="2373" spans="1:4" ht="12.75" customHeight="1" x14ac:dyDescent="0.2">
      <c r="A2373" s="21"/>
      <c r="B2373" s="3" t="s">
        <v>0</v>
      </c>
      <c r="C2373" s="20" t="s">
        <v>216</v>
      </c>
      <c r="D2373" s="21"/>
    </row>
    <row r="2374" spans="1:4" ht="12.75" customHeight="1" x14ac:dyDescent="0.2">
      <c r="A2374" s="21"/>
      <c r="B2374" s="3" t="s">
        <v>2</v>
      </c>
      <c r="C2374" s="20" t="s">
        <v>1598</v>
      </c>
      <c r="D2374" s="21"/>
    </row>
    <row r="2375" spans="1:4" ht="12.75" customHeight="1" x14ac:dyDescent="0.2">
      <c r="A2375" s="21"/>
      <c r="B2375" s="3" t="s">
        <v>4</v>
      </c>
      <c r="C2375" s="20" t="s">
        <v>1892</v>
      </c>
      <c r="D2375" s="21"/>
    </row>
    <row r="2376" spans="1:4" ht="12.75" customHeight="1" x14ac:dyDescent="0.2">
      <c r="A2376" s="21"/>
      <c r="B2376" s="3" t="s">
        <v>6</v>
      </c>
      <c r="C2376" s="20" t="s">
        <v>107</v>
      </c>
      <c r="D2376" s="21"/>
    </row>
    <row r="2377" spans="1:4" ht="12.75" customHeight="1" x14ac:dyDescent="0.2">
      <c r="A2377" s="21"/>
      <c r="B2377" s="3" t="s">
        <v>8</v>
      </c>
      <c r="C2377" s="20" t="s">
        <v>1892</v>
      </c>
      <c r="D2377" s="21"/>
    </row>
    <row r="2378" spans="1:4" ht="12.75" customHeight="1" x14ac:dyDescent="0.2">
      <c r="A2378" s="21"/>
      <c r="B2378" s="3" t="s">
        <v>9</v>
      </c>
      <c r="C2378" s="20" t="s">
        <v>1893</v>
      </c>
      <c r="D2378" s="21"/>
    </row>
    <row r="2379" spans="1:4" ht="12.75" customHeight="1" x14ac:dyDescent="0.2">
      <c r="A2379" s="21"/>
      <c r="B2379" s="3" t="s">
        <v>11</v>
      </c>
      <c r="C2379" s="20" t="s">
        <v>289</v>
      </c>
      <c r="D2379" s="21"/>
    </row>
    <row r="2380" spans="1:4" ht="12.75" customHeight="1" x14ac:dyDescent="0.2">
      <c r="A2380" s="21"/>
      <c r="B2380" s="3" t="s">
        <v>13</v>
      </c>
      <c r="C2380" s="20" t="s">
        <v>24</v>
      </c>
      <c r="D2380" s="21"/>
    </row>
    <row r="2381" spans="1:4" ht="12.75" customHeight="1" x14ac:dyDescent="0.2">
      <c r="A2381" s="21"/>
      <c r="B2381" s="3" t="s">
        <v>15</v>
      </c>
      <c r="C2381" s="20" t="s">
        <v>24</v>
      </c>
      <c r="D2381" s="21"/>
    </row>
    <row r="2382" spans="1:4" ht="12.75" customHeight="1" x14ac:dyDescent="0.2">
      <c r="A2382" s="21"/>
      <c r="B2382" s="3" t="s">
        <v>16</v>
      </c>
      <c r="C2382" s="20"/>
      <c r="D2382" s="21"/>
    </row>
    <row r="2383" spans="1:4" ht="12.75" customHeight="1" x14ac:dyDescent="0.2">
      <c r="A2383" s="21"/>
      <c r="B2383" s="3" t="s">
        <v>17</v>
      </c>
      <c r="C2383" s="20"/>
      <c r="D2383" s="21"/>
    </row>
    <row r="2384" spans="1:4" ht="12.75" customHeight="1" x14ac:dyDescent="0.2">
      <c r="A2384" s="21"/>
      <c r="B2384" s="20" t="s">
        <v>18</v>
      </c>
      <c r="C2384" s="4" t="s">
        <v>130</v>
      </c>
      <c r="D2384" s="6" t="str">
        <f>HYPERLINK("javascript:void(0)","gigaköröm")</f>
        <v>gigaköröm</v>
      </c>
    </row>
    <row r="2385" spans="1:4" ht="12.75" customHeight="1" x14ac:dyDescent="0.2">
      <c r="A2385" s="21"/>
      <c r="B2385" s="21"/>
      <c r="C2385" s="4" t="s">
        <v>244</v>
      </c>
      <c r="D2385" s="6" t="str">
        <f>HYPERLINK("javascript:void(0)","ínszalag")</f>
        <v>ínszalag</v>
      </c>
    </row>
    <row r="2386" spans="1:4" ht="12.75" customHeight="1" x14ac:dyDescent="0.2">
      <c r="A2386" s="21"/>
      <c r="B2386" s="21"/>
      <c r="C2386" s="4" t="s">
        <v>193</v>
      </c>
      <c r="D2386" s="6" t="str">
        <f>HYPERLINK("javascript:void(0)","démonvádli")</f>
        <v>démonvádli</v>
      </c>
    </row>
    <row r="2387" spans="1:4" ht="12.75" customHeight="1" x14ac:dyDescent="0.2">
      <c r="A2387" s="5"/>
      <c r="B2387" s="2"/>
      <c r="C2387" s="2"/>
      <c r="D2387" s="2"/>
    </row>
    <row r="2388" spans="1:4" ht="12.75" customHeight="1" x14ac:dyDescent="0.2">
      <c r="A2388" s="22" t="str">
        <f>HYPERLINK("javascript:void(0)","kompózium csáklya")</f>
        <v>kompózium csáklya</v>
      </c>
      <c r="B2388" s="21"/>
      <c r="C2388" s="21"/>
      <c r="D2388" s="21"/>
    </row>
    <row r="2389" spans="1:4" ht="12.75" customHeight="1" x14ac:dyDescent="0.2">
      <c r="A2389" s="20"/>
      <c r="B2389" s="2"/>
      <c r="C2389" s="2"/>
      <c r="D2389" s="2"/>
    </row>
    <row r="2390" spans="1:4" ht="12.75" customHeight="1" x14ac:dyDescent="0.2">
      <c r="A2390" s="21"/>
      <c r="B2390" s="3" t="s">
        <v>0</v>
      </c>
      <c r="C2390" s="20" t="s">
        <v>435</v>
      </c>
      <c r="D2390" s="21"/>
    </row>
    <row r="2391" spans="1:4" ht="12.75" customHeight="1" x14ac:dyDescent="0.2">
      <c r="A2391" s="21"/>
      <c r="B2391" s="3" t="s">
        <v>2</v>
      </c>
      <c r="C2391" s="20" t="s">
        <v>1598</v>
      </c>
      <c r="D2391" s="21"/>
    </row>
    <row r="2392" spans="1:4" ht="12.75" customHeight="1" x14ac:dyDescent="0.2">
      <c r="A2392" s="21"/>
      <c r="B2392" s="3" t="s">
        <v>4</v>
      </c>
      <c r="C2392" s="20" t="s">
        <v>788</v>
      </c>
      <c r="D2392" s="21"/>
    </row>
    <row r="2393" spans="1:4" ht="12.75" customHeight="1" x14ac:dyDescent="0.2">
      <c r="A2393" s="21"/>
      <c r="B2393" s="3" t="s">
        <v>6</v>
      </c>
      <c r="C2393" s="20" t="s">
        <v>353</v>
      </c>
      <c r="D2393" s="21"/>
    </row>
    <row r="2394" spans="1:4" ht="12.75" customHeight="1" x14ac:dyDescent="0.2">
      <c r="A2394" s="21"/>
      <c r="B2394" s="3" t="s">
        <v>8</v>
      </c>
      <c r="C2394" s="20" t="s">
        <v>788</v>
      </c>
      <c r="D2394" s="21"/>
    </row>
    <row r="2395" spans="1:4" ht="12.75" customHeight="1" x14ac:dyDescent="0.2">
      <c r="A2395" s="21"/>
      <c r="B2395" s="3" t="s">
        <v>9</v>
      </c>
      <c r="C2395" s="20" t="s">
        <v>113</v>
      </c>
      <c r="D2395" s="21"/>
    </row>
    <row r="2396" spans="1:4" ht="12.75" customHeight="1" x14ac:dyDescent="0.2">
      <c r="A2396" s="21"/>
      <c r="B2396" s="3" t="s">
        <v>11</v>
      </c>
      <c r="C2396" s="20" t="s">
        <v>447</v>
      </c>
      <c r="D2396" s="21"/>
    </row>
    <row r="2397" spans="1:4" ht="12.75" customHeight="1" x14ac:dyDescent="0.2">
      <c r="A2397" s="21"/>
      <c r="B2397" s="3" t="s">
        <v>13</v>
      </c>
      <c r="C2397" s="20" t="s">
        <v>24</v>
      </c>
      <c r="D2397" s="21"/>
    </row>
    <row r="2398" spans="1:4" ht="12.75" customHeight="1" x14ac:dyDescent="0.2">
      <c r="A2398" s="21"/>
      <c r="B2398" s="3" t="s">
        <v>15</v>
      </c>
      <c r="C2398" s="20" t="s">
        <v>24</v>
      </c>
      <c r="D2398" s="21"/>
    </row>
    <row r="2399" spans="1:4" ht="12.75" customHeight="1" x14ac:dyDescent="0.2">
      <c r="A2399" s="21"/>
      <c r="B2399" s="3" t="s">
        <v>16</v>
      </c>
      <c r="C2399" s="20"/>
      <c r="D2399" s="21"/>
    </row>
    <row r="2400" spans="1:4" ht="12.75" customHeight="1" x14ac:dyDescent="0.2">
      <c r="A2400" s="21"/>
      <c r="B2400" s="3" t="s">
        <v>17</v>
      </c>
      <c r="C2400" s="20"/>
      <c r="D2400" s="21"/>
    </row>
    <row r="2401" spans="1:4" ht="12.75" customHeight="1" x14ac:dyDescent="0.2">
      <c r="A2401" s="21"/>
      <c r="B2401" s="20" t="s">
        <v>18</v>
      </c>
      <c r="C2401" s="4" t="s">
        <v>44</v>
      </c>
      <c r="D2401" s="6" t="str">
        <f>HYPERLINK("javascript:void(0)","díszes alabárd")</f>
        <v>díszes alabárd</v>
      </c>
    </row>
    <row r="2402" spans="1:4" ht="12.75" customHeight="1" x14ac:dyDescent="0.2">
      <c r="A2402" s="21"/>
      <c r="B2402" s="21"/>
      <c r="C2402" s="4" t="s">
        <v>67</v>
      </c>
      <c r="D2402" s="6" t="str">
        <f>HYPERLINK("javascript:void(0)","kompózium")</f>
        <v>kompózium</v>
      </c>
    </row>
    <row r="2403" spans="1:4" ht="12.75" customHeight="1" x14ac:dyDescent="0.2">
      <c r="A2403" s="21"/>
      <c r="B2403" s="21"/>
      <c r="C2403" s="4" t="s">
        <v>142</v>
      </c>
      <c r="D2403" s="6" t="str">
        <f>HYPERLINK("javascript:void(0)","hemoglobin")</f>
        <v>hemoglobin</v>
      </c>
    </row>
    <row r="2404" spans="1:4" ht="12.75" customHeight="1" x14ac:dyDescent="0.2">
      <c r="A2404" s="5"/>
      <c r="B2404" s="2"/>
      <c r="C2404" s="2"/>
      <c r="D2404" s="2"/>
    </row>
    <row r="2405" spans="1:4" ht="12.75" customHeight="1" x14ac:dyDescent="0.2">
      <c r="A2405" s="22" t="str">
        <f>HYPERLINK("javascript:void(0)","dracoacél mágusölő")</f>
        <v>dracoacél mágusölő</v>
      </c>
      <c r="B2405" s="21"/>
      <c r="C2405" s="21"/>
      <c r="D2405" s="21"/>
    </row>
    <row r="2406" spans="1:4" ht="12.75" customHeight="1" x14ac:dyDescent="0.2">
      <c r="A2406" s="20"/>
      <c r="B2406" s="2"/>
      <c r="C2406" s="2"/>
      <c r="D2406" s="2"/>
    </row>
    <row r="2407" spans="1:4" ht="12.75" customHeight="1" x14ac:dyDescent="0.2">
      <c r="A2407" s="21"/>
      <c r="B2407" s="3" t="s">
        <v>0</v>
      </c>
      <c r="C2407" s="20" t="s">
        <v>435</v>
      </c>
      <c r="D2407" s="21"/>
    </row>
    <row r="2408" spans="1:4" ht="12.75" customHeight="1" x14ac:dyDescent="0.2">
      <c r="A2408" s="21"/>
      <c r="B2408" s="3" t="s">
        <v>2</v>
      </c>
      <c r="C2408" s="20" t="s">
        <v>1598</v>
      </c>
      <c r="D2408" s="21"/>
    </row>
    <row r="2409" spans="1:4" ht="12.75" customHeight="1" x14ac:dyDescent="0.2">
      <c r="A2409" s="21"/>
      <c r="B2409" s="3" t="s">
        <v>4</v>
      </c>
      <c r="C2409" s="20" t="s">
        <v>1898</v>
      </c>
      <c r="D2409" s="21"/>
    </row>
    <row r="2410" spans="1:4" ht="12.75" customHeight="1" x14ac:dyDescent="0.2">
      <c r="A2410" s="21"/>
      <c r="B2410" s="3" t="s">
        <v>6</v>
      </c>
      <c r="C2410" s="20" t="s">
        <v>48</v>
      </c>
      <c r="D2410" s="21"/>
    </row>
    <row r="2411" spans="1:4" ht="12.75" customHeight="1" x14ac:dyDescent="0.2">
      <c r="A2411" s="21"/>
      <c r="B2411" s="3" t="s">
        <v>8</v>
      </c>
      <c r="C2411" s="20" t="s">
        <v>1898</v>
      </c>
      <c r="D2411" s="21"/>
    </row>
    <row r="2412" spans="1:4" ht="12.75" customHeight="1" x14ac:dyDescent="0.2">
      <c r="A2412" s="21"/>
      <c r="B2412" s="3" t="s">
        <v>9</v>
      </c>
      <c r="C2412" s="20" t="s">
        <v>708</v>
      </c>
      <c r="D2412" s="21"/>
    </row>
    <row r="2413" spans="1:4" ht="12.75" customHeight="1" x14ac:dyDescent="0.2">
      <c r="A2413" s="21"/>
      <c r="B2413" s="3" t="s">
        <v>11</v>
      </c>
      <c r="C2413" s="20" t="s">
        <v>447</v>
      </c>
      <c r="D2413" s="21"/>
    </row>
    <row r="2414" spans="1:4" ht="12.75" customHeight="1" x14ac:dyDescent="0.2">
      <c r="A2414" s="21"/>
      <c r="B2414" s="3" t="s">
        <v>13</v>
      </c>
      <c r="C2414" s="20" t="s">
        <v>14</v>
      </c>
      <c r="D2414" s="21"/>
    </row>
    <row r="2415" spans="1:4" ht="12.75" customHeight="1" x14ac:dyDescent="0.2">
      <c r="A2415" s="21"/>
      <c r="B2415" s="3" t="s">
        <v>15</v>
      </c>
      <c r="C2415" s="20" t="s">
        <v>24</v>
      </c>
      <c r="D2415" s="21"/>
    </row>
    <row r="2416" spans="1:4" ht="12.75" customHeight="1" x14ac:dyDescent="0.2">
      <c r="A2416" s="21"/>
      <c r="B2416" s="3" t="s">
        <v>16</v>
      </c>
      <c r="C2416" s="20"/>
      <c r="D2416" s="21"/>
    </row>
    <row r="2417" spans="1:4" ht="12.75" customHeight="1" x14ac:dyDescent="0.2">
      <c r="A2417" s="21"/>
      <c r="B2417" s="3" t="s">
        <v>17</v>
      </c>
      <c r="C2417" s="20"/>
      <c r="D2417" s="21"/>
    </row>
    <row r="2418" spans="1:4" ht="12.75" customHeight="1" x14ac:dyDescent="0.2">
      <c r="A2418" s="21"/>
      <c r="B2418" s="20" t="s">
        <v>18</v>
      </c>
      <c r="C2418" s="4" t="s">
        <v>117</v>
      </c>
      <c r="D2418" s="6" t="str">
        <f>HYPERLINK("javascript:void(0)","hordócsap")</f>
        <v>hordócsap</v>
      </c>
    </row>
    <row r="2419" spans="1:4" ht="12.75" customHeight="1" x14ac:dyDescent="0.2">
      <c r="A2419" s="21"/>
      <c r="B2419" s="21"/>
      <c r="C2419" s="4" t="s">
        <v>431</v>
      </c>
      <c r="D2419" s="6" t="str">
        <f>HYPERLINK("javascript:void(0)","démonzanza")</f>
        <v>démonzanza</v>
      </c>
    </row>
    <row r="2420" spans="1:4" ht="12.75" customHeight="1" x14ac:dyDescent="0.2">
      <c r="A2420" s="21"/>
      <c r="B2420" s="21"/>
      <c r="C2420" s="4" t="s">
        <v>244</v>
      </c>
      <c r="D2420" s="6" t="str">
        <f>HYPERLINK("javascript:void(0)","esztétikum")</f>
        <v>esztétikum</v>
      </c>
    </row>
    <row r="2421" spans="1:4" ht="12.75" customHeight="1" x14ac:dyDescent="0.2">
      <c r="A2421" s="5"/>
      <c r="B2421" s="2"/>
      <c r="C2421" s="2"/>
      <c r="D2421" s="2"/>
    </row>
    <row r="2422" spans="1:4" ht="12.75" customHeight="1" x14ac:dyDescent="0.2">
      <c r="A2422" s="22" t="str">
        <f>HYPERLINK("javascript:void(0)","kompózium rövidkard")</f>
        <v>kompózium rövidkard</v>
      </c>
      <c r="B2422" s="21"/>
      <c r="C2422" s="21"/>
      <c r="D2422" s="21"/>
    </row>
    <row r="2423" spans="1:4" ht="12.75" customHeight="1" x14ac:dyDescent="0.2">
      <c r="A2423" s="20"/>
      <c r="B2423" s="2"/>
      <c r="C2423" s="2"/>
      <c r="D2423" s="2"/>
    </row>
    <row r="2424" spans="1:4" ht="12.75" customHeight="1" x14ac:dyDescent="0.2">
      <c r="A2424" s="21"/>
      <c r="B2424" s="3" t="s">
        <v>0</v>
      </c>
      <c r="C2424" s="20" t="s">
        <v>47</v>
      </c>
      <c r="D2424" s="21"/>
    </row>
    <row r="2425" spans="1:4" ht="12.75" customHeight="1" x14ac:dyDescent="0.2">
      <c r="A2425" s="21"/>
      <c r="B2425" s="3" t="s">
        <v>2</v>
      </c>
      <c r="C2425" s="20" t="s">
        <v>1598</v>
      </c>
      <c r="D2425" s="21"/>
    </row>
    <row r="2426" spans="1:4" ht="12.75" customHeight="1" x14ac:dyDescent="0.2">
      <c r="A2426" s="21"/>
      <c r="B2426" s="3" t="s">
        <v>4</v>
      </c>
      <c r="C2426" s="20" t="s">
        <v>1899</v>
      </c>
      <c r="D2426" s="21"/>
    </row>
    <row r="2427" spans="1:4" ht="12.75" customHeight="1" x14ac:dyDescent="0.2">
      <c r="A2427" s="21"/>
      <c r="B2427" s="3" t="s">
        <v>6</v>
      </c>
      <c r="C2427" s="20" t="s">
        <v>353</v>
      </c>
      <c r="D2427" s="21"/>
    </row>
    <row r="2428" spans="1:4" ht="12.75" customHeight="1" x14ac:dyDescent="0.2">
      <c r="A2428" s="21"/>
      <c r="B2428" s="3" t="s">
        <v>8</v>
      </c>
      <c r="C2428" s="20" t="s">
        <v>1899</v>
      </c>
      <c r="D2428" s="21"/>
    </row>
    <row r="2429" spans="1:4" ht="12.75" customHeight="1" x14ac:dyDescent="0.2">
      <c r="A2429" s="21"/>
      <c r="B2429" s="3" t="s">
        <v>9</v>
      </c>
      <c r="C2429" s="20" t="s">
        <v>79</v>
      </c>
      <c r="D2429" s="21"/>
    </row>
    <row r="2430" spans="1:4" ht="12.75" customHeight="1" x14ac:dyDescent="0.2">
      <c r="A2430" s="21"/>
      <c r="B2430" s="3" t="s">
        <v>11</v>
      </c>
      <c r="C2430" s="20" t="s">
        <v>453</v>
      </c>
      <c r="D2430" s="21"/>
    </row>
    <row r="2431" spans="1:4" ht="12.75" customHeight="1" x14ac:dyDescent="0.2">
      <c r="A2431" s="21"/>
      <c r="B2431" s="3" t="s">
        <v>13</v>
      </c>
      <c r="C2431" s="20" t="s">
        <v>24</v>
      </c>
      <c r="D2431" s="21"/>
    </row>
    <row r="2432" spans="1:4" ht="12.75" customHeight="1" x14ac:dyDescent="0.2">
      <c r="A2432" s="21"/>
      <c r="B2432" s="3" t="s">
        <v>15</v>
      </c>
      <c r="C2432" s="20" t="s">
        <v>24</v>
      </c>
      <c r="D2432" s="21"/>
    </row>
    <row r="2433" spans="1:4" ht="12.75" customHeight="1" x14ac:dyDescent="0.2">
      <c r="A2433" s="21"/>
      <c r="B2433" s="3" t="s">
        <v>16</v>
      </c>
      <c r="C2433" s="20"/>
      <c r="D2433" s="21"/>
    </row>
    <row r="2434" spans="1:4" ht="12.75" customHeight="1" x14ac:dyDescent="0.2">
      <c r="A2434" s="21"/>
      <c r="B2434" s="3" t="s">
        <v>17</v>
      </c>
      <c r="C2434" s="20"/>
      <c r="D2434" s="21"/>
    </row>
    <row r="2435" spans="1:4" ht="12.75" customHeight="1" x14ac:dyDescent="0.2">
      <c r="A2435" s="21"/>
      <c r="B2435" s="20" t="s">
        <v>18</v>
      </c>
      <c r="C2435" s="4" t="s">
        <v>44</v>
      </c>
      <c r="D2435" s="6" t="str">
        <f>HYPERLINK("javascript:void(0)","kompózium csáklya")</f>
        <v>kompózium csáklya</v>
      </c>
    </row>
    <row r="2436" spans="1:4" ht="12.75" customHeight="1" x14ac:dyDescent="0.2">
      <c r="A2436" s="21"/>
      <c r="B2436" s="21"/>
      <c r="C2436" s="4" t="s">
        <v>44</v>
      </c>
      <c r="D2436" s="6" t="str">
        <f>HYPERLINK("javascript:void(0)","sikolyszurony")</f>
        <v>sikolyszurony</v>
      </c>
    </row>
    <row r="2437" spans="1:4" ht="25.5" customHeight="1" x14ac:dyDescent="0.2">
      <c r="A2437" s="21"/>
      <c r="B2437" s="21"/>
      <c r="C2437" s="4" t="s">
        <v>44</v>
      </c>
      <c r="D2437" s="6" t="str">
        <f>HYPERLINK("javascript:void(0)","kompózium keresztvas")</f>
        <v>kompózium keresztvas</v>
      </c>
    </row>
    <row r="2438" spans="1:4" ht="12.75" customHeight="1" x14ac:dyDescent="0.2">
      <c r="A2438" s="5"/>
      <c r="B2438" s="2"/>
      <c r="C2438" s="2"/>
      <c r="D2438" s="2"/>
    </row>
    <row r="2439" spans="1:4" ht="12.75" customHeight="1" x14ac:dyDescent="0.2">
      <c r="A2439" s="22" t="str">
        <f>HYPERLINK("javascript:void(0)","rimföldi gigapallos")</f>
        <v>rimföldi gigapallos</v>
      </c>
      <c r="B2439" s="21"/>
      <c r="C2439" s="21"/>
      <c r="D2439" s="21"/>
    </row>
    <row r="2440" spans="1:4" ht="12.75" customHeight="1" x14ac:dyDescent="0.2">
      <c r="A2440" s="20"/>
      <c r="B2440" s="2"/>
      <c r="C2440" s="2"/>
      <c r="D2440" s="2"/>
    </row>
    <row r="2441" spans="1:4" ht="12.75" customHeight="1" x14ac:dyDescent="0.2">
      <c r="A2441" s="21"/>
      <c r="B2441" s="3" t="s">
        <v>0</v>
      </c>
      <c r="C2441" s="20" t="s">
        <v>47</v>
      </c>
      <c r="D2441" s="21"/>
    </row>
    <row r="2442" spans="1:4" ht="12.75" customHeight="1" x14ac:dyDescent="0.2">
      <c r="A2442" s="21"/>
      <c r="B2442" s="3" t="s">
        <v>2</v>
      </c>
      <c r="C2442" s="20" t="s">
        <v>1598</v>
      </c>
      <c r="D2442" s="21"/>
    </row>
    <row r="2443" spans="1:4" ht="12.75" customHeight="1" x14ac:dyDescent="0.2">
      <c r="A2443" s="21"/>
      <c r="B2443" s="3" t="s">
        <v>4</v>
      </c>
      <c r="C2443" s="20" t="s">
        <v>1901</v>
      </c>
      <c r="D2443" s="21"/>
    </row>
    <row r="2444" spans="1:4" ht="12.75" customHeight="1" x14ac:dyDescent="0.2">
      <c r="A2444" s="21"/>
      <c r="B2444" s="3" t="s">
        <v>6</v>
      </c>
      <c r="C2444" s="20" t="s">
        <v>134</v>
      </c>
      <c r="D2444" s="21"/>
    </row>
    <row r="2445" spans="1:4" ht="12.75" customHeight="1" x14ac:dyDescent="0.2">
      <c r="A2445" s="21"/>
      <c r="B2445" s="3" t="s">
        <v>8</v>
      </c>
      <c r="C2445" s="20" t="s">
        <v>1901</v>
      </c>
      <c r="D2445" s="21"/>
    </row>
    <row r="2446" spans="1:4" ht="12.75" customHeight="1" x14ac:dyDescent="0.2">
      <c r="A2446" s="21"/>
      <c r="B2446" s="3" t="s">
        <v>9</v>
      </c>
      <c r="C2446" s="20" t="s">
        <v>1902</v>
      </c>
      <c r="D2446" s="21"/>
    </row>
    <row r="2447" spans="1:4" ht="12.75" customHeight="1" x14ac:dyDescent="0.2">
      <c r="A2447" s="21"/>
      <c r="B2447" s="3" t="s">
        <v>11</v>
      </c>
      <c r="C2447" s="20" t="s">
        <v>501</v>
      </c>
      <c r="D2447" s="21"/>
    </row>
    <row r="2448" spans="1:4" ht="12.75" customHeight="1" x14ac:dyDescent="0.2">
      <c r="A2448" s="21"/>
      <c r="B2448" s="3" t="s">
        <v>13</v>
      </c>
      <c r="C2448" s="20" t="s">
        <v>24</v>
      </c>
      <c r="D2448" s="21"/>
    </row>
    <row r="2449" spans="1:4" ht="12.75" customHeight="1" x14ac:dyDescent="0.2">
      <c r="A2449" s="21"/>
      <c r="B2449" s="3" t="s">
        <v>15</v>
      </c>
      <c r="C2449" s="20" t="s">
        <v>24</v>
      </c>
      <c r="D2449" s="21"/>
    </row>
    <row r="2450" spans="1:4" ht="12.75" customHeight="1" x14ac:dyDescent="0.2">
      <c r="A2450" s="21"/>
      <c r="B2450" s="3" t="s">
        <v>16</v>
      </c>
      <c r="C2450" s="20"/>
      <c r="D2450" s="21"/>
    </row>
    <row r="2451" spans="1:4" ht="12.75" customHeight="1" x14ac:dyDescent="0.2">
      <c r="A2451" s="21"/>
      <c r="B2451" s="3" t="s">
        <v>17</v>
      </c>
      <c r="C2451" s="20"/>
      <c r="D2451" s="21"/>
    </row>
    <row r="2452" spans="1:4" ht="12.75" customHeight="1" x14ac:dyDescent="0.2">
      <c r="A2452" s="21"/>
      <c r="B2452" s="20" t="s">
        <v>18</v>
      </c>
      <c r="C2452" s="4" t="s">
        <v>117</v>
      </c>
      <c r="D2452" s="6" t="str">
        <f>HYPERLINK("javascript:void(0)","göb")</f>
        <v>göb</v>
      </c>
    </row>
    <row r="2453" spans="1:4" ht="12.75" customHeight="1" x14ac:dyDescent="0.2">
      <c r="A2453" s="21"/>
      <c r="B2453" s="21"/>
      <c r="C2453" s="4" t="s">
        <v>139</v>
      </c>
      <c r="D2453" s="6" t="str">
        <f>HYPERLINK("javascript:void(0)","hordócsap")</f>
        <v>hordócsap</v>
      </c>
    </row>
    <row r="2454" spans="1:4" ht="12.75" customHeight="1" x14ac:dyDescent="0.2">
      <c r="A2454" s="21"/>
      <c r="B2454" s="21"/>
      <c r="C2454" s="4" t="s">
        <v>309</v>
      </c>
      <c r="D2454" s="6" t="str">
        <f>HYPERLINK("javascript:void(0)","kocka")</f>
        <v>kocka</v>
      </c>
    </row>
    <row r="2455" spans="1:4" ht="12.75" customHeight="1" x14ac:dyDescent="0.2">
      <c r="A2455" s="5"/>
      <c r="B2455" s="2"/>
      <c r="C2455" s="2"/>
      <c r="D2455" s="2"/>
    </row>
    <row r="2456" spans="1:4" ht="12.75" customHeight="1" x14ac:dyDescent="0.2">
      <c r="A2456" s="22" t="str">
        <f>HYPERLINK("javascript:void(0)","gyíkacél kasza")</f>
        <v>gyíkacél kasza</v>
      </c>
      <c r="B2456" s="21"/>
      <c r="C2456" s="21"/>
      <c r="D2456" s="21"/>
    </row>
    <row r="2457" spans="1:4" ht="12.75" customHeight="1" x14ac:dyDescent="0.2">
      <c r="A2457" s="20"/>
      <c r="B2457" s="2"/>
      <c r="C2457" s="2"/>
      <c r="D2457" s="2"/>
    </row>
    <row r="2458" spans="1:4" ht="12.75" customHeight="1" x14ac:dyDescent="0.2">
      <c r="A2458" s="21"/>
      <c r="B2458" s="3" t="s">
        <v>0</v>
      </c>
      <c r="C2458" s="20" t="s">
        <v>47</v>
      </c>
      <c r="D2458" s="21"/>
    </row>
    <row r="2459" spans="1:4" ht="12.75" customHeight="1" x14ac:dyDescent="0.2">
      <c r="A2459" s="21"/>
      <c r="B2459" s="3" t="s">
        <v>2</v>
      </c>
      <c r="C2459" s="20" t="s">
        <v>1598</v>
      </c>
      <c r="D2459" s="21"/>
    </row>
    <row r="2460" spans="1:4" ht="12.75" customHeight="1" x14ac:dyDescent="0.2">
      <c r="A2460" s="21"/>
      <c r="B2460" s="3" t="s">
        <v>4</v>
      </c>
      <c r="C2460" s="20" t="s">
        <v>1904</v>
      </c>
      <c r="D2460" s="21"/>
    </row>
    <row r="2461" spans="1:4" ht="12.75" customHeight="1" x14ac:dyDescent="0.2">
      <c r="A2461" s="21"/>
      <c r="B2461" s="3" t="s">
        <v>6</v>
      </c>
      <c r="C2461" s="20" t="s">
        <v>107</v>
      </c>
      <c r="D2461" s="21"/>
    </row>
    <row r="2462" spans="1:4" ht="12.75" customHeight="1" x14ac:dyDescent="0.2">
      <c r="A2462" s="21"/>
      <c r="B2462" s="3" t="s">
        <v>8</v>
      </c>
      <c r="C2462" s="20" t="s">
        <v>1904</v>
      </c>
      <c r="D2462" s="21"/>
    </row>
    <row r="2463" spans="1:4" ht="12.75" customHeight="1" x14ac:dyDescent="0.2">
      <c r="A2463" s="21"/>
      <c r="B2463" s="3" t="s">
        <v>9</v>
      </c>
      <c r="C2463" s="20" t="s">
        <v>1905</v>
      </c>
      <c r="D2463" s="21"/>
    </row>
    <row r="2464" spans="1:4" ht="12.75" customHeight="1" x14ac:dyDescent="0.2">
      <c r="A2464" s="21"/>
      <c r="B2464" s="3" t="s">
        <v>11</v>
      </c>
      <c r="C2464" s="20" t="s">
        <v>307</v>
      </c>
      <c r="D2464" s="21"/>
    </row>
    <row r="2465" spans="1:4" ht="12.75" customHeight="1" x14ac:dyDescent="0.2">
      <c r="A2465" s="21"/>
      <c r="B2465" s="3" t="s">
        <v>13</v>
      </c>
      <c r="C2465" s="20" t="s">
        <v>24</v>
      </c>
      <c r="D2465" s="21"/>
    </row>
    <row r="2466" spans="1:4" ht="12.75" customHeight="1" x14ac:dyDescent="0.2">
      <c r="A2466" s="21"/>
      <c r="B2466" s="3" t="s">
        <v>15</v>
      </c>
      <c r="C2466" s="20" t="s">
        <v>24</v>
      </c>
      <c r="D2466" s="21"/>
    </row>
    <row r="2467" spans="1:4" ht="12.75" customHeight="1" x14ac:dyDescent="0.2">
      <c r="A2467" s="21"/>
      <c r="B2467" s="3" t="s">
        <v>16</v>
      </c>
      <c r="C2467" s="20"/>
      <c r="D2467" s="21"/>
    </row>
    <row r="2468" spans="1:4" ht="12.75" customHeight="1" x14ac:dyDescent="0.2">
      <c r="A2468" s="21"/>
      <c r="B2468" s="3" t="s">
        <v>17</v>
      </c>
      <c r="C2468" s="20"/>
      <c r="D2468" s="21"/>
    </row>
    <row r="2469" spans="1:4" ht="12.75" customHeight="1" x14ac:dyDescent="0.2">
      <c r="A2469" s="21"/>
      <c r="B2469" s="20" t="s">
        <v>18</v>
      </c>
      <c r="C2469" s="4" t="s">
        <v>67</v>
      </c>
      <c r="D2469" s="6" t="str">
        <f>HYPERLINK("javascript:void(0)","dobhártya")</f>
        <v>dobhártya</v>
      </c>
    </row>
    <row r="2470" spans="1:4" ht="12.75" customHeight="1" x14ac:dyDescent="0.2">
      <c r="A2470" s="21"/>
      <c r="B2470" s="21"/>
      <c r="C2470" s="4" t="s">
        <v>309</v>
      </c>
      <c r="D2470" s="6" t="str">
        <f>HYPERLINK("javascript:void(0)","yorick")</f>
        <v>yorick</v>
      </c>
    </row>
    <row r="2471" spans="1:4" ht="12.75" customHeight="1" x14ac:dyDescent="0.2">
      <c r="A2471" s="21"/>
      <c r="B2471" s="21"/>
      <c r="C2471" s="4" t="s">
        <v>335</v>
      </c>
      <c r="D2471" s="6" t="str">
        <f>HYPERLINK("javascript:void(0)","démonnyúlmáj")</f>
        <v>démonnyúlmáj</v>
      </c>
    </row>
    <row r="2472" spans="1:4" ht="12.75" customHeight="1" x14ac:dyDescent="0.2">
      <c r="A2472" s="5"/>
      <c r="B2472" s="2"/>
      <c r="C2472" s="2"/>
      <c r="D2472" s="2"/>
    </row>
    <row r="2473" spans="1:4" ht="12.75" customHeight="1" x14ac:dyDescent="0.2">
      <c r="A2473" s="22" t="str">
        <f>HYPERLINK("javascript:void(0)","kompózium hosszúkard")</f>
        <v>kompózium hosszúkard</v>
      </c>
      <c r="B2473" s="21"/>
      <c r="C2473" s="21"/>
      <c r="D2473" s="21"/>
    </row>
    <row r="2474" spans="1:4" ht="12.75" customHeight="1" x14ac:dyDescent="0.2">
      <c r="A2474" s="20"/>
      <c r="B2474" s="2"/>
      <c r="C2474" s="2"/>
      <c r="D2474" s="2"/>
    </row>
    <row r="2475" spans="1:4" ht="12.75" customHeight="1" x14ac:dyDescent="0.2">
      <c r="A2475" s="21"/>
      <c r="B2475" s="3" t="s">
        <v>0</v>
      </c>
      <c r="C2475" s="20" t="s">
        <v>127</v>
      </c>
      <c r="D2475" s="21"/>
    </row>
    <row r="2476" spans="1:4" ht="12.75" customHeight="1" x14ac:dyDescent="0.2">
      <c r="A2476" s="21"/>
      <c r="B2476" s="3" t="s">
        <v>2</v>
      </c>
      <c r="C2476" s="20" t="s">
        <v>1598</v>
      </c>
      <c r="D2476" s="21"/>
    </row>
    <row r="2477" spans="1:4" ht="12.75" customHeight="1" x14ac:dyDescent="0.2">
      <c r="A2477" s="21"/>
      <c r="B2477" s="3" t="s">
        <v>4</v>
      </c>
      <c r="C2477" s="20" t="s">
        <v>1906</v>
      </c>
      <c r="D2477" s="21"/>
    </row>
    <row r="2478" spans="1:4" ht="12.75" customHeight="1" x14ac:dyDescent="0.2">
      <c r="A2478" s="21"/>
      <c r="B2478" s="3" t="s">
        <v>6</v>
      </c>
      <c r="C2478" s="20" t="s">
        <v>260</v>
      </c>
      <c r="D2478" s="21"/>
    </row>
    <row r="2479" spans="1:4" ht="12.75" customHeight="1" x14ac:dyDescent="0.2">
      <c r="A2479" s="21"/>
      <c r="B2479" s="3" t="s">
        <v>8</v>
      </c>
      <c r="C2479" s="20" t="s">
        <v>1906</v>
      </c>
      <c r="D2479" s="21"/>
    </row>
    <row r="2480" spans="1:4" ht="12.75" customHeight="1" x14ac:dyDescent="0.2">
      <c r="A2480" s="21"/>
      <c r="B2480" s="3" t="s">
        <v>9</v>
      </c>
      <c r="C2480" s="20" t="s">
        <v>343</v>
      </c>
      <c r="D2480" s="21"/>
    </row>
    <row r="2481" spans="1:4" ht="12.75" customHeight="1" x14ac:dyDescent="0.2">
      <c r="A2481" s="21"/>
      <c r="B2481" s="3" t="s">
        <v>11</v>
      </c>
      <c r="C2481" s="20" t="s">
        <v>465</v>
      </c>
      <c r="D2481" s="21"/>
    </row>
    <row r="2482" spans="1:4" ht="12.75" customHeight="1" x14ac:dyDescent="0.2">
      <c r="A2482" s="21"/>
      <c r="B2482" s="3" t="s">
        <v>13</v>
      </c>
      <c r="C2482" s="20" t="s">
        <v>24</v>
      </c>
      <c r="D2482" s="21"/>
    </row>
    <row r="2483" spans="1:4" ht="12.75" customHeight="1" x14ac:dyDescent="0.2">
      <c r="A2483" s="21"/>
      <c r="B2483" s="3" t="s">
        <v>15</v>
      </c>
      <c r="C2483" s="20" t="s">
        <v>24</v>
      </c>
      <c r="D2483" s="21"/>
    </row>
    <row r="2484" spans="1:4" ht="12.75" customHeight="1" x14ac:dyDescent="0.2">
      <c r="A2484" s="21"/>
      <c r="B2484" s="3" t="s">
        <v>16</v>
      </c>
      <c r="C2484" s="20"/>
      <c r="D2484" s="21"/>
    </row>
    <row r="2485" spans="1:4" ht="12.75" customHeight="1" x14ac:dyDescent="0.2">
      <c r="A2485" s="21"/>
      <c r="B2485" s="3" t="s">
        <v>17</v>
      </c>
      <c r="C2485" s="20"/>
      <c r="D2485" s="21"/>
    </row>
    <row r="2486" spans="1:4" ht="12.75" customHeight="1" x14ac:dyDescent="0.2">
      <c r="A2486" s="21"/>
      <c r="B2486" s="20" t="s">
        <v>18</v>
      </c>
      <c r="C2486" s="4" t="s">
        <v>232</v>
      </c>
      <c r="D2486" s="6" t="str">
        <f>HYPERLINK("javascript:void(0)","kompózium")</f>
        <v>kompózium</v>
      </c>
    </row>
    <row r="2487" spans="1:4" ht="12.75" customHeight="1" x14ac:dyDescent="0.2">
      <c r="A2487" s="21"/>
      <c r="B2487" s="21"/>
      <c r="C2487" s="4" t="s">
        <v>331</v>
      </c>
      <c r="D2487" s="6" t="str">
        <f>HYPERLINK("javascript:void(0)","vari amulett")</f>
        <v>vari amulett</v>
      </c>
    </row>
    <row r="2488" spans="1:4" ht="12.75" customHeight="1" x14ac:dyDescent="0.2">
      <c r="A2488" s="21"/>
      <c r="B2488" s="21"/>
      <c r="C2488" s="4" t="s">
        <v>290</v>
      </c>
      <c r="D2488" s="6" t="str">
        <f>HYPERLINK("javascript:void(0)","yetiláb")</f>
        <v>yetiláb</v>
      </c>
    </row>
    <row r="2489" spans="1:4" ht="12.75" customHeight="1" x14ac:dyDescent="0.2">
      <c r="A2489" s="5"/>
      <c r="B2489" s="2"/>
      <c r="C2489" s="2"/>
      <c r="D2489" s="2"/>
    </row>
    <row r="2490" spans="1:4" ht="12.75" customHeight="1" x14ac:dyDescent="0.2">
      <c r="A2490" s="22" t="str">
        <f>HYPERLINK("javascript:void(0)","rimföldi mágusölő")</f>
        <v>rimföldi mágusölő</v>
      </c>
      <c r="B2490" s="21"/>
      <c r="C2490" s="21"/>
      <c r="D2490" s="21"/>
    </row>
    <row r="2491" spans="1:4" ht="12.75" customHeight="1" x14ac:dyDescent="0.2">
      <c r="A2491" s="20"/>
      <c r="B2491" s="2"/>
      <c r="C2491" s="2"/>
      <c r="D2491" s="2"/>
    </row>
    <row r="2492" spans="1:4" ht="12.75" customHeight="1" x14ac:dyDescent="0.2">
      <c r="A2492" s="21"/>
      <c r="B2492" s="3" t="s">
        <v>0</v>
      </c>
      <c r="C2492" s="20" t="s">
        <v>127</v>
      </c>
      <c r="D2492" s="21"/>
    </row>
    <row r="2493" spans="1:4" ht="12.75" customHeight="1" x14ac:dyDescent="0.2">
      <c r="A2493" s="21"/>
      <c r="B2493" s="3" t="s">
        <v>2</v>
      </c>
      <c r="C2493" s="20" t="s">
        <v>1598</v>
      </c>
      <c r="D2493" s="21"/>
    </row>
    <row r="2494" spans="1:4" ht="12.75" customHeight="1" x14ac:dyDescent="0.2">
      <c r="A2494" s="21"/>
      <c r="B2494" s="3" t="s">
        <v>4</v>
      </c>
      <c r="C2494" s="20" t="s">
        <v>822</v>
      </c>
      <c r="D2494" s="21"/>
    </row>
    <row r="2495" spans="1:4" ht="12.75" customHeight="1" x14ac:dyDescent="0.2">
      <c r="A2495" s="21"/>
      <c r="B2495" s="3" t="s">
        <v>6</v>
      </c>
      <c r="C2495" s="20" t="s">
        <v>48</v>
      </c>
      <c r="D2495" s="21"/>
    </row>
    <row r="2496" spans="1:4" ht="12.75" customHeight="1" x14ac:dyDescent="0.2">
      <c r="A2496" s="21"/>
      <c r="B2496" s="3" t="s">
        <v>8</v>
      </c>
      <c r="C2496" s="20" t="s">
        <v>822</v>
      </c>
      <c r="D2496" s="21"/>
    </row>
    <row r="2497" spans="1:4" ht="12.75" customHeight="1" x14ac:dyDescent="0.2">
      <c r="A2497" s="21"/>
      <c r="B2497" s="3" t="s">
        <v>9</v>
      </c>
      <c r="C2497" s="20" t="s">
        <v>1873</v>
      </c>
      <c r="D2497" s="21"/>
    </row>
    <row r="2498" spans="1:4" ht="12.75" customHeight="1" x14ac:dyDescent="0.2">
      <c r="A2498" s="21"/>
      <c r="B2498" s="3" t="s">
        <v>11</v>
      </c>
      <c r="C2498" s="20" t="s">
        <v>465</v>
      </c>
      <c r="D2498" s="21"/>
    </row>
    <row r="2499" spans="1:4" ht="12.75" customHeight="1" x14ac:dyDescent="0.2">
      <c r="A2499" s="21"/>
      <c r="B2499" s="3" t="s">
        <v>13</v>
      </c>
      <c r="C2499" s="20" t="s">
        <v>14</v>
      </c>
      <c r="D2499" s="21"/>
    </row>
    <row r="2500" spans="1:4" ht="12.75" customHeight="1" x14ac:dyDescent="0.2">
      <c r="A2500" s="21"/>
      <c r="B2500" s="3" t="s">
        <v>15</v>
      </c>
      <c r="C2500" s="20" t="s">
        <v>24</v>
      </c>
      <c r="D2500" s="21"/>
    </row>
    <row r="2501" spans="1:4" ht="12.75" customHeight="1" x14ac:dyDescent="0.2">
      <c r="A2501" s="21"/>
      <c r="B2501" s="3" t="s">
        <v>16</v>
      </c>
      <c r="C2501" s="20"/>
      <c r="D2501" s="21"/>
    </row>
    <row r="2502" spans="1:4" ht="12.75" customHeight="1" x14ac:dyDescent="0.2">
      <c r="A2502" s="21"/>
      <c r="B2502" s="3" t="s">
        <v>17</v>
      </c>
      <c r="C2502" s="20"/>
      <c r="D2502" s="21"/>
    </row>
    <row r="2503" spans="1:4" ht="12.75" customHeight="1" x14ac:dyDescent="0.2">
      <c r="A2503" s="21"/>
      <c r="B2503" s="20" t="s">
        <v>18</v>
      </c>
      <c r="C2503" s="4" t="s">
        <v>44</v>
      </c>
      <c r="D2503" s="6" t="str">
        <f>HYPERLINK("javascript:void(0)","dracoacél mágusölő")</f>
        <v>dracoacél mágusölő</v>
      </c>
    </row>
    <row r="2504" spans="1:4" ht="12.75" customHeight="1" x14ac:dyDescent="0.2">
      <c r="A2504" s="21"/>
      <c r="B2504" s="21"/>
      <c r="C2504" s="4" t="s">
        <v>290</v>
      </c>
      <c r="D2504" s="6" t="str">
        <f>HYPERLINK("javascript:void(0)","vari amulett")</f>
        <v>vari amulett</v>
      </c>
    </row>
    <row r="2505" spans="1:4" ht="12.75" customHeight="1" x14ac:dyDescent="0.2">
      <c r="A2505" s="21"/>
      <c r="B2505" s="21"/>
      <c r="C2505" s="4" t="s">
        <v>139</v>
      </c>
      <c r="D2505" s="6" t="str">
        <f>HYPERLINK("javascript:void(0)","hemoglobin")</f>
        <v>hemoglobin</v>
      </c>
    </row>
    <row r="2506" spans="1:4" ht="12.75" customHeight="1" x14ac:dyDescent="0.2">
      <c r="A2506" s="5"/>
      <c r="B2506" s="2"/>
      <c r="C2506" s="2"/>
      <c r="D2506" s="2"/>
    </row>
    <row r="2507" spans="1:4" ht="12.75" customHeight="1" x14ac:dyDescent="0.2">
      <c r="A2507" s="22" t="str">
        <f>HYPERLINK("javascript:void(0)","kompózium jatagán")</f>
        <v>kompózium jatagán</v>
      </c>
      <c r="B2507" s="21"/>
      <c r="C2507" s="21"/>
      <c r="D2507" s="21"/>
    </row>
    <row r="2508" spans="1:4" ht="12.75" customHeight="1" x14ac:dyDescent="0.2">
      <c r="A2508" s="20"/>
      <c r="B2508" s="2"/>
      <c r="C2508" s="2"/>
      <c r="D2508" s="2"/>
    </row>
    <row r="2509" spans="1:4" ht="12.75" customHeight="1" x14ac:dyDescent="0.2">
      <c r="A2509" s="21"/>
      <c r="B2509" s="3" t="s">
        <v>0</v>
      </c>
      <c r="C2509" s="20" t="s">
        <v>204</v>
      </c>
      <c r="D2509" s="21"/>
    </row>
    <row r="2510" spans="1:4" ht="12.75" customHeight="1" x14ac:dyDescent="0.2">
      <c r="A2510" s="21"/>
      <c r="B2510" s="3" t="s">
        <v>2</v>
      </c>
      <c r="C2510" s="20" t="s">
        <v>1598</v>
      </c>
      <c r="D2510" s="21"/>
    </row>
    <row r="2511" spans="1:4" ht="12.75" customHeight="1" x14ac:dyDescent="0.2">
      <c r="A2511" s="21"/>
      <c r="B2511" s="3" t="s">
        <v>4</v>
      </c>
      <c r="C2511" s="20" t="s">
        <v>461</v>
      </c>
      <c r="D2511" s="21"/>
    </row>
    <row r="2512" spans="1:4" ht="12.75" customHeight="1" x14ac:dyDescent="0.2">
      <c r="A2512" s="21"/>
      <c r="B2512" s="3" t="s">
        <v>6</v>
      </c>
      <c r="C2512" s="20" t="s">
        <v>157</v>
      </c>
      <c r="D2512" s="21"/>
    </row>
    <row r="2513" spans="1:4" ht="12.75" customHeight="1" x14ac:dyDescent="0.2">
      <c r="A2513" s="21"/>
      <c r="B2513" s="3" t="s">
        <v>8</v>
      </c>
      <c r="C2513" s="20" t="s">
        <v>461</v>
      </c>
      <c r="D2513" s="21"/>
    </row>
    <row r="2514" spans="1:4" ht="12.75" customHeight="1" x14ac:dyDescent="0.2">
      <c r="A2514" s="21"/>
      <c r="B2514" s="3" t="s">
        <v>9</v>
      </c>
      <c r="C2514" s="20" t="s">
        <v>147</v>
      </c>
      <c r="D2514" s="21"/>
    </row>
    <row r="2515" spans="1:4" ht="12.75" customHeight="1" x14ac:dyDescent="0.2">
      <c r="A2515" s="21"/>
      <c r="B2515" s="3" t="s">
        <v>11</v>
      </c>
      <c r="C2515" s="20" t="s">
        <v>470</v>
      </c>
      <c r="D2515" s="21"/>
    </row>
    <row r="2516" spans="1:4" ht="12.75" customHeight="1" x14ac:dyDescent="0.2">
      <c r="A2516" s="21"/>
      <c r="B2516" s="3" t="s">
        <v>13</v>
      </c>
      <c r="C2516" s="20" t="s">
        <v>24</v>
      </c>
      <c r="D2516" s="21"/>
    </row>
    <row r="2517" spans="1:4" ht="12.75" customHeight="1" x14ac:dyDescent="0.2">
      <c r="A2517" s="21"/>
      <c r="B2517" s="3" t="s">
        <v>15</v>
      </c>
      <c r="C2517" s="20" t="s">
        <v>24</v>
      </c>
      <c r="D2517" s="21"/>
    </row>
    <row r="2518" spans="1:4" ht="12.75" customHeight="1" x14ac:dyDescent="0.2">
      <c r="A2518" s="21"/>
      <c r="B2518" s="3" t="s">
        <v>16</v>
      </c>
      <c r="C2518" s="20"/>
      <c r="D2518" s="21"/>
    </row>
    <row r="2519" spans="1:4" ht="12.75" customHeight="1" x14ac:dyDescent="0.2">
      <c r="A2519" s="21"/>
      <c r="B2519" s="3" t="s">
        <v>17</v>
      </c>
      <c r="C2519" s="20"/>
      <c r="D2519" s="21"/>
    </row>
    <row r="2520" spans="1:4" ht="25.5" customHeight="1" x14ac:dyDescent="0.2">
      <c r="A2520" s="21"/>
      <c r="B2520" s="20" t="s">
        <v>18</v>
      </c>
      <c r="C2520" s="4" t="s">
        <v>44</v>
      </c>
      <c r="D2520" s="6" t="str">
        <f>HYPERLINK("javascript:void(0)","kompózium hosszúkard")</f>
        <v>kompózium hosszúkard</v>
      </c>
    </row>
    <row r="2521" spans="1:4" ht="12.75" customHeight="1" x14ac:dyDescent="0.2">
      <c r="A2521" s="21"/>
      <c r="B2521" s="21"/>
      <c r="C2521" s="4" t="s">
        <v>77</v>
      </c>
      <c r="D2521" s="6" t="str">
        <f>HYPERLINK("javascript:void(0)","kompózium")</f>
        <v>kompózium</v>
      </c>
    </row>
    <row r="2522" spans="1:4" ht="12.75" customHeight="1" x14ac:dyDescent="0.2">
      <c r="A2522" s="21"/>
      <c r="B2522" s="21"/>
      <c r="C2522" s="4" t="s">
        <v>142</v>
      </c>
      <c r="D2522" s="6" t="str">
        <f>HYPERLINK("javascript:void(0)","öbleny")</f>
        <v>öbleny</v>
      </c>
    </row>
    <row r="2523" spans="1:4" ht="12.75" customHeight="1" x14ac:dyDescent="0.2">
      <c r="A2523" s="5"/>
      <c r="B2523" s="2"/>
      <c r="C2523" s="2"/>
      <c r="D2523" s="2"/>
    </row>
    <row r="2524" spans="1:4" ht="12.75" customHeight="1" x14ac:dyDescent="0.2">
      <c r="A2524" s="22" t="str">
        <f>HYPERLINK("javascript:void(0)","artini gigapallos")</f>
        <v>artini gigapallos</v>
      </c>
      <c r="B2524" s="21"/>
      <c r="C2524" s="21"/>
      <c r="D2524" s="21"/>
    </row>
    <row r="2525" spans="1:4" ht="12.75" customHeight="1" x14ac:dyDescent="0.2">
      <c r="A2525" s="20"/>
      <c r="B2525" s="2"/>
      <c r="C2525" s="2"/>
      <c r="D2525" s="2"/>
    </row>
    <row r="2526" spans="1:4" ht="12.75" customHeight="1" x14ac:dyDescent="0.2">
      <c r="A2526" s="21"/>
      <c r="B2526" s="3" t="s">
        <v>0</v>
      </c>
      <c r="C2526" s="20" t="s">
        <v>204</v>
      </c>
      <c r="D2526" s="21"/>
    </row>
    <row r="2527" spans="1:4" ht="12.75" customHeight="1" x14ac:dyDescent="0.2">
      <c r="A2527" s="21"/>
      <c r="B2527" s="3" t="s">
        <v>2</v>
      </c>
      <c r="C2527" s="20" t="s">
        <v>1598</v>
      </c>
      <c r="D2527" s="21"/>
    </row>
    <row r="2528" spans="1:4" ht="12.75" customHeight="1" x14ac:dyDescent="0.2">
      <c r="A2528" s="21"/>
      <c r="B2528" s="3" t="s">
        <v>4</v>
      </c>
      <c r="C2528" s="20" t="s">
        <v>1909</v>
      </c>
      <c r="D2528" s="21"/>
    </row>
    <row r="2529" spans="1:4" ht="12.75" customHeight="1" x14ac:dyDescent="0.2">
      <c r="A2529" s="21"/>
      <c r="B2529" s="3" t="s">
        <v>6</v>
      </c>
      <c r="C2529" s="20" t="s">
        <v>392</v>
      </c>
      <c r="D2529" s="21"/>
    </row>
    <row r="2530" spans="1:4" ht="12.75" customHeight="1" x14ac:dyDescent="0.2">
      <c r="A2530" s="21"/>
      <c r="B2530" s="3" t="s">
        <v>8</v>
      </c>
      <c r="C2530" s="20" t="s">
        <v>1909</v>
      </c>
      <c r="D2530" s="21"/>
    </row>
    <row r="2531" spans="1:4" ht="12.75" customHeight="1" x14ac:dyDescent="0.2">
      <c r="A2531" s="21"/>
      <c r="B2531" s="3" t="s">
        <v>9</v>
      </c>
      <c r="C2531" s="20" t="s">
        <v>1910</v>
      </c>
      <c r="D2531" s="21"/>
    </row>
    <row r="2532" spans="1:4" ht="12.75" customHeight="1" x14ac:dyDescent="0.2">
      <c r="A2532" s="21"/>
      <c r="B2532" s="3" t="s">
        <v>11</v>
      </c>
      <c r="C2532" s="20" t="s">
        <v>523</v>
      </c>
      <c r="D2532" s="21"/>
    </row>
    <row r="2533" spans="1:4" ht="12.75" customHeight="1" x14ac:dyDescent="0.2">
      <c r="A2533" s="21"/>
      <c r="B2533" s="3" t="s">
        <v>13</v>
      </c>
      <c r="C2533" s="20" t="s">
        <v>24</v>
      </c>
      <c r="D2533" s="21"/>
    </row>
    <row r="2534" spans="1:4" ht="12.75" customHeight="1" x14ac:dyDescent="0.2">
      <c r="A2534" s="21"/>
      <c r="B2534" s="3" t="s">
        <v>15</v>
      </c>
      <c r="C2534" s="20" t="s">
        <v>24</v>
      </c>
      <c r="D2534" s="21"/>
    </row>
    <row r="2535" spans="1:4" ht="12.75" customHeight="1" x14ac:dyDescent="0.2">
      <c r="A2535" s="21"/>
      <c r="B2535" s="3" t="s">
        <v>16</v>
      </c>
      <c r="C2535" s="20"/>
      <c r="D2535" s="21"/>
    </row>
    <row r="2536" spans="1:4" ht="12.75" customHeight="1" x14ac:dyDescent="0.2">
      <c r="A2536" s="21"/>
      <c r="B2536" s="3" t="s">
        <v>17</v>
      </c>
      <c r="C2536" s="20"/>
      <c r="D2536" s="21"/>
    </row>
    <row r="2537" spans="1:4" ht="12.75" customHeight="1" x14ac:dyDescent="0.2">
      <c r="A2537" s="21"/>
      <c r="B2537" s="20" t="s">
        <v>18</v>
      </c>
      <c r="C2537" s="4" t="s">
        <v>117</v>
      </c>
      <c r="D2537" s="6" t="str">
        <f>HYPERLINK("javascript:void(0)","öbleny")</f>
        <v>öbleny</v>
      </c>
    </row>
    <row r="2538" spans="1:4" ht="12.75" customHeight="1" x14ac:dyDescent="0.2">
      <c r="A2538" s="21"/>
      <c r="B2538" s="21"/>
      <c r="C2538" s="4" t="s">
        <v>163</v>
      </c>
      <c r="D2538" s="6" t="str">
        <f>HYPERLINK("javascript:void(0)","vari amulett")</f>
        <v>vari amulett</v>
      </c>
    </row>
    <row r="2539" spans="1:4" ht="12.75" customHeight="1" x14ac:dyDescent="0.2">
      <c r="A2539" s="21"/>
      <c r="B2539" s="21"/>
      <c r="C2539" s="4" t="s">
        <v>797</v>
      </c>
      <c r="D2539" s="6" t="str">
        <f>HYPERLINK("javascript:void(0)","démonzanza")</f>
        <v>démonzanza</v>
      </c>
    </row>
    <row r="2540" spans="1:4" ht="12.75" customHeight="1" x14ac:dyDescent="0.2">
      <c r="A2540" s="5"/>
      <c r="B2540" s="2"/>
      <c r="C2540" s="2"/>
      <c r="D2540" s="2"/>
    </row>
    <row r="2541" spans="1:4" ht="12.75" customHeight="1" x14ac:dyDescent="0.2">
      <c r="A2541" s="22" t="str">
        <f>HYPERLINK("javascript:void(0)","gyíkacél kopja")</f>
        <v>gyíkacél kopja</v>
      </c>
      <c r="B2541" s="21"/>
      <c r="C2541" s="21"/>
      <c r="D2541" s="21"/>
    </row>
    <row r="2542" spans="1:4" ht="12.75" customHeight="1" x14ac:dyDescent="0.2">
      <c r="A2542" s="20"/>
      <c r="B2542" s="2"/>
      <c r="C2542" s="2"/>
      <c r="D2542" s="2"/>
    </row>
    <row r="2543" spans="1:4" ht="12.75" customHeight="1" x14ac:dyDescent="0.2">
      <c r="A2543" s="21"/>
      <c r="B2543" s="3" t="s">
        <v>0</v>
      </c>
      <c r="C2543" s="20" t="s">
        <v>204</v>
      </c>
      <c r="D2543" s="21"/>
    </row>
    <row r="2544" spans="1:4" ht="12.75" customHeight="1" x14ac:dyDescent="0.2">
      <c r="A2544" s="21"/>
      <c r="B2544" s="3" t="s">
        <v>2</v>
      </c>
      <c r="C2544" s="20" t="s">
        <v>1598</v>
      </c>
      <c r="D2544" s="21"/>
    </row>
    <row r="2545" spans="1:4" ht="12.75" customHeight="1" x14ac:dyDescent="0.2">
      <c r="A2545" s="21"/>
      <c r="B2545" s="3" t="s">
        <v>4</v>
      </c>
      <c r="C2545" s="20" t="s">
        <v>1912</v>
      </c>
      <c r="D2545" s="21"/>
    </row>
    <row r="2546" spans="1:4" ht="12.75" customHeight="1" x14ac:dyDescent="0.2">
      <c r="A2546" s="21"/>
      <c r="B2546" s="3" t="s">
        <v>6</v>
      </c>
      <c r="C2546" s="20" t="s">
        <v>107</v>
      </c>
      <c r="D2546" s="21"/>
    </row>
    <row r="2547" spans="1:4" ht="12.75" customHeight="1" x14ac:dyDescent="0.2">
      <c r="A2547" s="21"/>
      <c r="B2547" s="3" t="s">
        <v>8</v>
      </c>
      <c r="C2547" s="20" t="s">
        <v>1912</v>
      </c>
      <c r="D2547" s="21"/>
    </row>
    <row r="2548" spans="1:4" ht="12.75" customHeight="1" x14ac:dyDescent="0.2">
      <c r="A2548" s="21"/>
      <c r="B2548" s="3" t="s">
        <v>9</v>
      </c>
      <c r="C2548" s="20" t="s">
        <v>1068</v>
      </c>
      <c r="D2548" s="21"/>
    </row>
    <row r="2549" spans="1:4" ht="12.75" customHeight="1" x14ac:dyDescent="0.2">
      <c r="A2549" s="21"/>
      <c r="B2549" s="3" t="s">
        <v>11</v>
      </c>
      <c r="C2549" s="20" t="s">
        <v>321</v>
      </c>
      <c r="D2549" s="21"/>
    </row>
    <row r="2550" spans="1:4" ht="12.75" customHeight="1" x14ac:dyDescent="0.2">
      <c r="A2550" s="21"/>
      <c r="B2550" s="3" t="s">
        <v>13</v>
      </c>
      <c r="C2550" s="20" t="s">
        <v>24</v>
      </c>
      <c r="D2550" s="21"/>
    </row>
    <row r="2551" spans="1:4" ht="12.75" customHeight="1" x14ac:dyDescent="0.2">
      <c r="A2551" s="21"/>
      <c r="B2551" s="3" t="s">
        <v>15</v>
      </c>
      <c r="C2551" s="20" t="s">
        <v>24</v>
      </c>
      <c r="D2551" s="21"/>
    </row>
    <row r="2552" spans="1:4" ht="12.75" customHeight="1" x14ac:dyDescent="0.2">
      <c r="A2552" s="21"/>
      <c r="B2552" s="3" t="s">
        <v>16</v>
      </c>
      <c r="C2552" s="20"/>
      <c r="D2552" s="21"/>
    </row>
    <row r="2553" spans="1:4" ht="12.75" customHeight="1" x14ac:dyDescent="0.2">
      <c r="A2553" s="21"/>
      <c r="B2553" s="3" t="s">
        <v>17</v>
      </c>
      <c r="C2553" s="20"/>
      <c r="D2553" s="21"/>
    </row>
    <row r="2554" spans="1:4" ht="12.75" customHeight="1" x14ac:dyDescent="0.2">
      <c r="A2554" s="21"/>
      <c r="B2554" s="20" t="s">
        <v>18</v>
      </c>
      <c r="C2554" s="4" t="s">
        <v>67</v>
      </c>
      <c r="D2554" s="6" t="str">
        <f>HYPERLINK("javascript:void(0)","bűzmirigy")</f>
        <v>bűzmirigy</v>
      </c>
    </row>
    <row r="2555" spans="1:4" ht="12.75" customHeight="1" x14ac:dyDescent="0.2">
      <c r="A2555" s="21"/>
      <c r="B2555" s="21"/>
      <c r="C2555" s="4" t="s">
        <v>98</v>
      </c>
      <c r="D2555" s="6" t="str">
        <f>HYPERLINK("javascript:void(0)","démonvádli")</f>
        <v>démonvádli</v>
      </c>
    </row>
    <row r="2556" spans="1:4" ht="12.75" customHeight="1" x14ac:dyDescent="0.2">
      <c r="A2556" s="21"/>
      <c r="B2556" s="21"/>
      <c r="C2556" s="4" t="s">
        <v>309</v>
      </c>
      <c r="D2556" s="6" t="str">
        <f>HYPERLINK("javascript:void(0)","nyeglenyelv")</f>
        <v>nyeglenyelv</v>
      </c>
    </row>
    <row r="2557" spans="1:4" ht="12.75" customHeight="1" x14ac:dyDescent="0.2">
      <c r="A2557" s="5"/>
      <c r="B2557" s="2"/>
      <c r="C2557" s="2"/>
      <c r="D2557" s="2"/>
    </row>
    <row r="2558" spans="1:4" ht="12.75" customHeight="1" x14ac:dyDescent="0.2">
      <c r="A2558" s="22" t="str">
        <f>HYPERLINK("javascript:void(0)","kompózium handzsár")</f>
        <v>kompózium handzsár</v>
      </c>
      <c r="B2558" s="21"/>
      <c r="C2558" s="21"/>
      <c r="D2558" s="21"/>
    </row>
    <row r="2559" spans="1:4" ht="12.75" customHeight="1" x14ac:dyDescent="0.2">
      <c r="A2559" s="20"/>
      <c r="B2559" s="2"/>
      <c r="C2559" s="2"/>
      <c r="D2559" s="2"/>
    </row>
    <row r="2560" spans="1:4" ht="12.75" customHeight="1" x14ac:dyDescent="0.2">
      <c r="A2560" s="21"/>
      <c r="B2560" s="3" t="s">
        <v>0</v>
      </c>
      <c r="C2560" s="20" t="s">
        <v>468</v>
      </c>
      <c r="D2560" s="21"/>
    </row>
    <row r="2561" spans="1:4" ht="12.75" customHeight="1" x14ac:dyDescent="0.2">
      <c r="A2561" s="21"/>
      <c r="B2561" s="3" t="s">
        <v>2</v>
      </c>
      <c r="C2561" s="20" t="s">
        <v>1598</v>
      </c>
      <c r="D2561" s="21"/>
    </row>
    <row r="2562" spans="1:4" ht="12.75" customHeight="1" x14ac:dyDescent="0.2">
      <c r="A2562" s="21"/>
      <c r="B2562" s="3" t="s">
        <v>4</v>
      </c>
      <c r="C2562" s="20" t="s">
        <v>1914</v>
      </c>
      <c r="D2562" s="21"/>
    </row>
    <row r="2563" spans="1:4" ht="12.75" customHeight="1" x14ac:dyDescent="0.2">
      <c r="A2563" s="21"/>
      <c r="B2563" s="3" t="s">
        <v>6</v>
      </c>
      <c r="C2563" s="20" t="s">
        <v>298</v>
      </c>
      <c r="D2563" s="21"/>
    </row>
    <row r="2564" spans="1:4" ht="12.75" customHeight="1" x14ac:dyDescent="0.2">
      <c r="A2564" s="21"/>
      <c r="B2564" s="3" t="s">
        <v>8</v>
      </c>
      <c r="C2564" s="20" t="s">
        <v>1914</v>
      </c>
      <c r="D2564" s="21"/>
    </row>
    <row r="2565" spans="1:4" ht="12.75" customHeight="1" x14ac:dyDescent="0.2">
      <c r="A2565" s="21"/>
      <c r="B2565" s="3" t="s">
        <v>9</v>
      </c>
      <c r="C2565" s="20" t="s">
        <v>42</v>
      </c>
      <c r="D2565" s="21"/>
    </row>
    <row r="2566" spans="1:4" ht="12.75" customHeight="1" x14ac:dyDescent="0.2">
      <c r="A2566" s="21"/>
      <c r="B2566" s="3" t="s">
        <v>11</v>
      </c>
      <c r="C2566" s="20" t="s">
        <v>483</v>
      </c>
      <c r="D2566" s="21"/>
    </row>
    <row r="2567" spans="1:4" ht="12.75" customHeight="1" x14ac:dyDescent="0.2">
      <c r="A2567" s="21"/>
      <c r="B2567" s="3" t="s">
        <v>13</v>
      </c>
      <c r="C2567" s="20" t="s">
        <v>24</v>
      </c>
      <c r="D2567" s="21"/>
    </row>
    <row r="2568" spans="1:4" ht="12.75" customHeight="1" x14ac:dyDescent="0.2">
      <c r="A2568" s="21"/>
      <c r="B2568" s="3" t="s">
        <v>15</v>
      </c>
      <c r="C2568" s="20" t="s">
        <v>24</v>
      </c>
      <c r="D2568" s="21"/>
    </row>
    <row r="2569" spans="1:4" ht="12.75" customHeight="1" x14ac:dyDescent="0.2">
      <c r="A2569" s="21"/>
      <c r="B2569" s="3" t="s">
        <v>16</v>
      </c>
      <c r="C2569" s="20"/>
      <c r="D2569" s="21"/>
    </row>
    <row r="2570" spans="1:4" ht="12.75" customHeight="1" x14ac:dyDescent="0.2">
      <c r="A2570" s="21"/>
      <c r="B2570" s="3" t="s">
        <v>17</v>
      </c>
      <c r="C2570" s="20"/>
      <c r="D2570" s="21"/>
    </row>
    <row r="2571" spans="1:4" ht="25.5" customHeight="1" x14ac:dyDescent="0.2">
      <c r="A2571" s="21"/>
      <c r="B2571" s="20" t="s">
        <v>18</v>
      </c>
      <c r="C2571" s="4" t="s">
        <v>44</v>
      </c>
      <c r="D2571" s="6" t="str">
        <f>HYPERLINK("javascript:void(0)","kompózium rövidkard")</f>
        <v>kompózium rövidkard</v>
      </c>
    </row>
    <row r="2572" spans="1:4" ht="12.75" customHeight="1" x14ac:dyDescent="0.2">
      <c r="A2572" s="21"/>
      <c r="B2572" s="21"/>
      <c r="C2572" s="4" t="s">
        <v>44</v>
      </c>
      <c r="D2572" s="6" t="str">
        <f>HYPERLINK("javascript:void(0)","kompózium jatagán")</f>
        <v>kompózium jatagán</v>
      </c>
    </row>
    <row r="2573" spans="1:4" ht="12.75" customHeight="1" x14ac:dyDescent="0.2">
      <c r="A2573" s="21"/>
      <c r="B2573" s="21"/>
      <c r="C2573" s="4" t="s">
        <v>44</v>
      </c>
      <c r="D2573" s="6" t="str">
        <f>HYPERLINK("javascript:void(0)","kompózium penge")</f>
        <v>kompózium penge</v>
      </c>
    </row>
    <row r="2574" spans="1:4" ht="12.75" customHeight="1" x14ac:dyDescent="0.2">
      <c r="A2574" s="5"/>
      <c r="B2574" s="2"/>
      <c r="C2574" s="2"/>
      <c r="D2574" s="2"/>
    </row>
    <row r="2575" spans="1:4" ht="12.75" customHeight="1" x14ac:dyDescent="0.2">
      <c r="A2575" s="22" t="str">
        <f>HYPERLINK("javascript:void(0)","öblend mágusölő")</f>
        <v>öblend mágusölő</v>
      </c>
      <c r="B2575" s="21"/>
      <c r="C2575" s="21"/>
      <c r="D2575" s="21"/>
    </row>
    <row r="2576" spans="1:4" ht="12.75" customHeight="1" x14ac:dyDescent="0.2">
      <c r="A2576" s="20"/>
      <c r="B2576" s="2"/>
      <c r="C2576" s="2"/>
      <c r="D2576" s="2"/>
    </row>
    <row r="2577" spans="1:4" ht="12.75" customHeight="1" x14ac:dyDescent="0.2">
      <c r="A2577" s="21"/>
      <c r="B2577" s="3" t="s">
        <v>0</v>
      </c>
      <c r="C2577" s="20" t="s">
        <v>468</v>
      </c>
      <c r="D2577" s="21"/>
    </row>
    <row r="2578" spans="1:4" ht="12.75" customHeight="1" x14ac:dyDescent="0.2">
      <c r="A2578" s="21"/>
      <c r="B2578" s="3" t="s">
        <v>2</v>
      </c>
      <c r="C2578" s="20" t="s">
        <v>1598</v>
      </c>
      <c r="D2578" s="21"/>
    </row>
    <row r="2579" spans="1:4" ht="12.75" customHeight="1" x14ac:dyDescent="0.2">
      <c r="A2579" s="21"/>
      <c r="B2579" s="3" t="s">
        <v>4</v>
      </c>
      <c r="C2579" s="20" t="s">
        <v>1915</v>
      </c>
      <c r="D2579" s="21"/>
    </row>
    <row r="2580" spans="1:4" ht="12.75" customHeight="1" x14ac:dyDescent="0.2">
      <c r="A2580" s="21"/>
      <c r="B2580" s="3" t="s">
        <v>6</v>
      </c>
      <c r="C2580" s="20" t="s">
        <v>48</v>
      </c>
      <c r="D2580" s="21"/>
    </row>
    <row r="2581" spans="1:4" ht="12.75" customHeight="1" x14ac:dyDescent="0.2">
      <c r="A2581" s="21"/>
      <c r="B2581" s="3" t="s">
        <v>8</v>
      </c>
      <c r="C2581" s="20" t="s">
        <v>1915</v>
      </c>
      <c r="D2581" s="21"/>
    </row>
    <row r="2582" spans="1:4" ht="12.75" customHeight="1" x14ac:dyDescent="0.2">
      <c r="A2582" s="21"/>
      <c r="B2582" s="3" t="s">
        <v>9</v>
      </c>
      <c r="C2582" s="20" t="s">
        <v>734</v>
      </c>
      <c r="D2582" s="21"/>
    </row>
    <row r="2583" spans="1:4" ht="12.75" customHeight="1" x14ac:dyDescent="0.2">
      <c r="A2583" s="21"/>
      <c r="B2583" s="3" t="s">
        <v>11</v>
      </c>
      <c r="C2583" s="20" t="s">
        <v>483</v>
      </c>
      <c r="D2583" s="21"/>
    </row>
    <row r="2584" spans="1:4" ht="12.75" customHeight="1" x14ac:dyDescent="0.2">
      <c r="A2584" s="21"/>
      <c r="B2584" s="3" t="s">
        <v>13</v>
      </c>
      <c r="C2584" s="20" t="s">
        <v>14</v>
      </c>
      <c r="D2584" s="21"/>
    </row>
    <row r="2585" spans="1:4" ht="12.75" customHeight="1" x14ac:dyDescent="0.2">
      <c r="A2585" s="21"/>
      <c r="B2585" s="3" t="s">
        <v>15</v>
      </c>
      <c r="C2585" s="20" t="s">
        <v>24</v>
      </c>
      <c r="D2585" s="21"/>
    </row>
    <row r="2586" spans="1:4" ht="12.75" customHeight="1" x14ac:dyDescent="0.2">
      <c r="A2586" s="21"/>
      <c r="B2586" s="3" t="s">
        <v>16</v>
      </c>
      <c r="C2586" s="20"/>
      <c r="D2586" s="21"/>
    </row>
    <row r="2587" spans="1:4" ht="12.75" customHeight="1" x14ac:dyDescent="0.2">
      <c r="A2587" s="21"/>
      <c r="B2587" s="3" t="s">
        <v>17</v>
      </c>
      <c r="C2587" s="20"/>
      <c r="D2587" s="21"/>
    </row>
    <row r="2588" spans="1:4" ht="12.75" customHeight="1" x14ac:dyDescent="0.2">
      <c r="A2588" s="21"/>
      <c r="B2588" s="20" t="s">
        <v>18</v>
      </c>
      <c r="C2588" s="4" t="s">
        <v>950</v>
      </c>
      <c r="D2588" s="6" t="str">
        <f>HYPERLINK("javascript:void(0)","szemgödör")</f>
        <v>szemgödör</v>
      </c>
    </row>
    <row r="2589" spans="1:4" ht="12.75" customHeight="1" x14ac:dyDescent="0.2">
      <c r="A2589" s="21"/>
      <c r="B2589" s="21"/>
      <c r="C2589" s="4" t="s">
        <v>139</v>
      </c>
      <c r="D2589" s="6" t="str">
        <f>HYPERLINK("javascript:void(0)","öbleny")</f>
        <v>öbleny</v>
      </c>
    </row>
    <row r="2590" spans="1:4" ht="12.75" customHeight="1" x14ac:dyDescent="0.2">
      <c r="A2590" s="21"/>
      <c r="B2590" s="21"/>
      <c r="C2590" s="4" t="s">
        <v>139</v>
      </c>
      <c r="D2590" s="6" t="str">
        <f>HYPERLINK("javascript:void(0)","hárpia copf")</f>
        <v>hárpia copf</v>
      </c>
    </row>
    <row r="2591" spans="1:4" ht="12.75" customHeight="1" x14ac:dyDescent="0.2">
      <c r="A2591" s="5"/>
      <c r="B2591" s="2"/>
      <c r="C2591" s="2"/>
      <c r="D2591" s="2"/>
    </row>
    <row r="2592" spans="1:4" ht="12.75" customHeight="1" x14ac:dyDescent="0.2">
      <c r="A2592" s="22" t="str">
        <f>HYPERLINK("javascript:void(0)","kompózium penge")</f>
        <v>kompózium penge</v>
      </c>
      <c r="B2592" s="21"/>
      <c r="C2592" s="21"/>
      <c r="D2592" s="21"/>
    </row>
    <row r="2593" spans="1:4" ht="12.75" customHeight="1" x14ac:dyDescent="0.2">
      <c r="A2593" s="20"/>
      <c r="B2593" s="2"/>
      <c r="C2593" s="2"/>
      <c r="D2593" s="2"/>
    </row>
    <row r="2594" spans="1:4" ht="12.75" customHeight="1" x14ac:dyDescent="0.2">
      <c r="A2594" s="21"/>
      <c r="B2594" s="3" t="s">
        <v>0</v>
      </c>
      <c r="C2594" s="20" t="s">
        <v>468</v>
      </c>
      <c r="D2594" s="21"/>
    </row>
    <row r="2595" spans="1:4" ht="12.75" customHeight="1" x14ac:dyDescent="0.2">
      <c r="A2595" s="21"/>
      <c r="B2595" s="3" t="s">
        <v>2</v>
      </c>
      <c r="C2595" s="20" t="s">
        <v>1598</v>
      </c>
      <c r="D2595" s="21"/>
    </row>
    <row r="2596" spans="1:4" ht="12.75" customHeight="1" x14ac:dyDescent="0.2">
      <c r="A2596" s="21"/>
      <c r="B2596" s="3" t="s">
        <v>4</v>
      </c>
      <c r="C2596" s="20" t="s">
        <v>362</v>
      </c>
      <c r="D2596" s="21"/>
    </row>
    <row r="2597" spans="1:4" ht="12.75" customHeight="1" x14ac:dyDescent="0.2">
      <c r="A2597" s="21"/>
      <c r="B2597" s="3" t="s">
        <v>6</v>
      </c>
      <c r="C2597" s="20" t="s">
        <v>92</v>
      </c>
      <c r="D2597" s="21"/>
    </row>
    <row r="2598" spans="1:4" ht="12.75" customHeight="1" x14ac:dyDescent="0.2">
      <c r="A2598" s="21"/>
      <c r="B2598" s="3" t="s">
        <v>8</v>
      </c>
      <c r="C2598" s="20" t="s">
        <v>362</v>
      </c>
      <c r="D2598" s="21"/>
    </row>
    <row r="2599" spans="1:4" ht="12.75" customHeight="1" x14ac:dyDescent="0.2">
      <c r="A2599" s="21"/>
      <c r="B2599" s="3" t="s">
        <v>9</v>
      </c>
      <c r="C2599" s="20" t="s">
        <v>42</v>
      </c>
      <c r="D2599" s="21"/>
    </row>
    <row r="2600" spans="1:4" ht="12.75" customHeight="1" x14ac:dyDescent="0.2">
      <c r="A2600" s="21"/>
      <c r="B2600" s="3" t="s">
        <v>11</v>
      </c>
      <c r="C2600" s="20" t="s">
        <v>368</v>
      </c>
      <c r="D2600" s="21"/>
    </row>
    <row r="2601" spans="1:4" ht="12.75" customHeight="1" x14ac:dyDescent="0.2">
      <c r="A2601" s="21"/>
      <c r="B2601" s="3" t="s">
        <v>13</v>
      </c>
      <c r="C2601" s="20" t="s">
        <v>24</v>
      </c>
      <c r="D2601" s="21"/>
    </row>
    <row r="2602" spans="1:4" ht="12.75" customHeight="1" x14ac:dyDescent="0.2">
      <c r="A2602" s="21"/>
      <c r="B2602" s="3" t="s">
        <v>15</v>
      </c>
      <c r="C2602" s="20" t="s">
        <v>24</v>
      </c>
      <c r="D2602" s="21"/>
    </row>
    <row r="2603" spans="1:4" ht="12.75" customHeight="1" x14ac:dyDescent="0.2">
      <c r="A2603" s="21"/>
      <c r="B2603" s="3" t="s">
        <v>16</v>
      </c>
      <c r="C2603" s="20"/>
      <c r="D2603" s="21"/>
    </row>
    <row r="2604" spans="1:4" ht="12.75" customHeight="1" x14ac:dyDescent="0.2">
      <c r="A2604" s="21"/>
      <c r="B2604" s="3" t="s">
        <v>17</v>
      </c>
      <c r="C2604" s="20"/>
      <c r="D2604" s="21"/>
    </row>
    <row r="2605" spans="1:4" ht="12.75" customHeight="1" x14ac:dyDescent="0.2">
      <c r="A2605" s="21"/>
      <c r="B2605" s="20" t="s">
        <v>18</v>
      </c>
      <c r="C2605" s="4" t="s">
        <v>77</v>
      </c>
      <c r="D2605" s="6" t="str">
        <f>HYPERLINK("javascript:void(0)","kompózium")</f>
        <v>kompózium</v>
      </c>
    </row>
    <row r="2606" spans="1:4" ht="12.75" customHeight="1" x14ac:dyDescent="0.2">
      <c r="A2606" s="21"/>
      <c r="B2606" s="21"/>
      <c r="C2606" s="4" t="s">
        <v>290</v>
      </c>
      <c r="D2606" s="6" t="str">
        <f>HYPERLINK("javascript:void(0)","szemgödör")</f>
        <v>szemgödör</v>
      </c>
    </row>
    <row r="2607" spans="1:4" ht="12.75" customHeight="1" x14ac:dyDescent="0.2">
      <c r="A2607" s="21"/>
      <c r="B2607" s="21"/>
      <c r="C2607" s="4" t="s">
        <v>193</v>
      </c>
      <c r="D2607" s="6" t="str">
        <f>HYPERLINK("javascript:void(0)","portgyűrű")</f>
        <v>portgyűrű</v>
      </c>
    </row>
    <row r="2608" spans="1:4" ht="12.75" customHeight="1" x14ac:dyDescent="0.2">
      <c r="A2608" s="5"/>
      <c r="B2608" s="2"/>
      <c r="C2608" s="2"/>
      <c r="D2608" s="2"/>
    </row>
    <row r="2609" spans="1:4" ht="12.75" customHeight="1" x14ac:dyDescent="0.2">
      <c r="A2609" s="22" t="str">
        <f>HYPERLINK("javascript:void(0)","kompózium szurony")</f>
        <v>kompózium szurony</v>
      </c>
      <c r="B2609" s="21"/>
      <c r="C2609" s="21"/>
      <c r="D2609" s="21"/>
    </row>
    <row r="2610" spans="1:4" ht="12.75" customHeight="1" x14ac:dyDescent="0.2">
      <c r="A2610" s="20"/>
      <c r="B2610" s="2"/>
      <c r="C2610" s="2"/>
      <c r="D2610" s="2"/>
    </row>
    <row r="2611" spans="1:4" ht="12.75" customHeight="1" x14ac:dyDescent="0.2">
      <c r="A2611" s="21"/>
      <c r="B2611" s="3" t="s">
        <v>0</v>
      </c>
      <c r="C2611" s="20" t="s">
        <v>213</v>
      </c>
      <c r="D2611" s="21"/>
    </row>
    <row r="2612" spans="1:4" ht="12.75" customHeight="1" x14ac:dyDescent="0.2">
      <c r="A2612" s="21"/>
      <c r="B2612" s="3" t="s">
        <v>2</v>
      </c>
      <c r="C2612" s="20" t="s">
        <v>1598</v>
      </c>
      <c r="D2612" s="21"/>
    </row>
    <row r="2613" spans="1:4" ht="12.75" customHeight="1" x14ac:dyDescent="0.2">
      <c r="A2613" s="21"/>
      <c r="B2613" s="3" t="s">
        <v>4</v>
      </c>
      <c r="C2613" s="20" t="s">
        <v>1920</v>
      </c>
      <c r="D2613" s="21"/>
    </row>
    <row r="2614" spans="1:4" ht="12.75" customHeight="1" x14ac:dyDescent="0.2">
      <c r="A2614" s="21"/>
      <c r="B2614" s="3" t="s">
        <v>6</v>
      </c>
      <c r="C2614" s="20" t="s">
        <v>52</v>
      </c>
      <c r="D2614" s="21"/>
    </row>
    <row r="2615" spans="1:4" ht="12.75" customHeight="1" x14ac:dyDescent="0.2">
      <c r="A2615" s="21"/>
      <c r="B2615" s="3" t="s">
        <v>8</v>
      </c>
      <c r="C2615" s="20" t="s">
        <v>1920</v>
      </c>
      <c r="D2615" s="21"/>
    </row>
    <row r="2616" spans="1:4" ht="12.75" customHeight="1" x14ac:dyDescent="0.2">
      <c r="A2616" s="21"/>
      <c r="B2616" s="3" t="s">
        <v>9</v>
      </c>
      <c r="C2616" s="20" t="s">
        <v>374</v>
      </c>
      <c r="D2616" s="21"/>
    </row>
    <row r="2617" spans="1:4" ht="12.75" customHeight="1" x14ac:dyDescent="0.2">
      <c r="A2617" s="21"/>
      <c r="B2617" s="3" t="s">
        <v>11</v>
      </c>
      <c r="C2617" s="20" t="s">
        <v>488</v>
      </c>
      <c r="D2617" s="21"/>
    </row>
    <row r="2618" spans="1:4" ht="12.75" customHeight="1" x14ac:dyDescent="0.2">
      <c r="A2618" s="21"/>
      <c r="B2618" s="3" t="s">
        <v>13</v>
      </c>
      <c r="C2618" s="20" t="s">
        <v>24</v>
      </c>
      <c r="D2618" s="21"/>
    </row>
    <row r="2619" spans="1:4" ht="12.75" customHeight="1" x14ac:dyDescent="0.2">
      <c r="A2619" s="21"/>
      <c r="B2619" s="3" t="s">
        <v>15</v>
      </c>
      <c r="C2619" s="20" t="s">
        <v>24</v>
      </c>
      <c r="D2619" s="21"/>
    </row>
    <row r="2620" spans="1:4" ht="12.75" customHeight="1" x14ac:dyDescent="0.2">
      <c r="A2620" s="21"/>
      <c r="B2620" s="3" t="s">
        <v>16</v>
      </c>
      <c r="C2620" s="20"/>
      <c r="D2620" s="21"/>
    </row>
    <row r="2621" spans="1:4" ht="12.75" customHeight="1" x14ac:dyDescent="0.2">
      <c r="A2621" s="21"/>
      <c r="B2621" s="3" t="s">
        <v>17</v>
      </c>
      <c r="C2621" s="20"/>
      <c r="D2621" s="21"/>
    </row>
    <row r="2622" spans="1:4" ht="12.75" customHeight="1" x14ac:dyDescent="0.2">
      <c r="A2622" s="21"/>
      <c r="B2622" s="20" t="s">
        <v>18</v>
      </c>
      <c r="C2622" s="4" t="s">
        <v>232</v>
      </c>
      <c r="D2622" s="6" t="str">
        <f>HYPERLINK("javascript:void(0)","istenköröm")</f>
        <v>istenköröm</v>
      </c>
    </row>
    <row r="2623" spans="1:4" ht="12.75" customHeight="1" x14ac:dyDescent="0.2">
      <c r="A2623" s="21"/>
      <c r="B2623" s="21"/>
      <c r="C2623" s="4" t="s">
        <v>335</v>
      </c>
      <c r="D2623" s="6" t="str">
        <f>HYPERLINK("javascript:void(0)","portgyűrű")</f>
        <v>portgyűrű</v>
      </c>
    </row>
    <row r="2624" spans="1:4" ht="12.75" customHeight="1" x14ac:dyDescent="0.2">
      <c r="A2624" s="21"/>
      <c r="B2624" s="21"/>
      <c r="C2624" s="4" t="s">
        <v>280</v>
      </c>
      <c r="D2624" s="6" t="str">
        <f>HYPERLINK("javascript:void(0)","kígyócsörgő")</f>
        <v>kígyócsörgő</v>
      </c>
    </row>
    <row r="2625" spans="1:4" ht="12.75" customHeight="1" x14ac:dyDescent="0.2">
      <c r="A2625" s="5"/>
      <c r="B2625" s="2"/>
      <c r="C2625" s="2"/>
      <c r="D2625" s="2"/>
    </row>
    <row r="2626" spans="1:4" ht="12.75" customHeight="1" x14ac:dyDescent="0.2">
      <c r="A2626" s="22" t="str">
        <f>HYPERLINK("javascript:void(0)","wendír gigapallos")</f>
        <v>wendír gigapallos</v>
      </c>
      <c r="B2626" s="21"/>
      <c r="C2626" s="21"/>
      <c r="D2626" s="21"/>
    </row>
    <row r="2627" spans="1:4" ht="12.75" customHeight="1" x14ac:dyDescent="0.2">
      <c r="A2627" s="20"/>
      <c r="B2627" s="2"/>
      <c r="C2627" s="2"/>
      <c r="D2627" s="2"/>
    </row>
    <row r="2628" spans="1:4" ht="12.75" customHeight="1" x14ac:dyDescent="0.2">
      <c r="A2628" s="21"/>
      <c r="B2628" s="3" t="s">
        <v>0</v>
      </c>
      <c r="C2628" s="20" t="s">
        <v>213</v>
      </c>
      <c r="D2628" s="21"/>
    </row>
    <row r="2629" spans="1:4" ht="12.75" customHeight="1" x14ac:dyDescent="0.2">
      <c r="A2629" s="21"/>
      <c r="B2629" s="3" t="s">
        <v>2</v>
      </c>
      <c r="C2629" s="20" t="s">
        <v>1598</v>
      </c>
      <c r="D2629" s="21"/>
    </row>
    <row r="2630" spans="1:4" ht="12.75" customHeight="1" x14ac:dyDescent="0.2">
      <c r="A2630" s="21"/>
      <c r="B2630" s="3" t="s">
        <v>4</v>
      </c>
      <c r="C2630" s="20" t="s">
        <v>1922</v>
      </c>
      <c r="D2630" s="21"/>
    </row>
    <row r="2631" spans="1:4" ht="12.75" customHeight="1" x14ac:dyDescent="0.2">
      <c r="A2631" s="21"/>
      <c r="B2631" s="3" t="s">
        <v>6</v>
      </c>
      <c r="C2631" s="20" t="s">
        <v>157</v>
      </c>
      <c r="D2631" s="21"/>
    </row>
    <row r="2632" spans="1:4" ht="12.75" customHeight="1" x14ac:dyDescent="0.2">
      <c r="A2632" s="21"/>
      <c r="B2632" s="3" t="s">
        <v>8</v>
      </c>
      <c r="C2632" s="20" t="s">
        <v>1922</v>
      </c>
      <c r="D2632" s="21"/>
    </row>
    <row r="2633" spans="1:4" ht="12.75" customHeight="1" x14ac:dyDescent="0.2">
      <c r="A2633" s="21"/>
      <c r="B2633" s="3" t="s">
        <v>9</v>
      </c>
      <c r="C2633" s="20" t="s">
        <v>1923</v>
      </c>
      <c r="D2633" s="21"/>
    </row>
    <row r="2634" spans="1:4" ht="12.75" customHeight="1" x14ac:dyDescent="0.2">
      <c r="A2634" s="21"/>
      <c r="B2634" s="3" t="s">
        <v>11</v>
      </c>
      <c r="C2634" s="20" t="s">
        <v>542</v>
      </c>
      <c r="D2634" s="21"/>
    </row>
    <row r="2635" spans="1:4" ht="12.75" customHeight="1" x14ac:dyDescent="0.2">
      <c r="A2635" s="21"/>
      <c r="B2635" s="3" t="s">
        <v>13</v>
      </c>
      <c r="C2635" s="20" t="s">
        <v>24</v>
      </c>
      <c r="D2635" s="21"/>
    </row>
    <row r="2636" spans="1:4" ht="12.75" customHeight="1" x14ac:dyDescent="0.2">
      <c r="A2636" s="21"/>
      <c r="B2636" s="3" t="s">
        <v>15</v>
      </c>
      <c r="C2636" s="20" t="s">
        <v>24</v>
      </c>
      <c r="D2636" s="21"/>
    </row>
    <row r="2637" spans="1:4" ht="12.75" customHeight="1" x14ac:dyDescent="0.2">
      <c r="A2637" s="21"/>
      <c r="B2637" s="3" t="s">
        <v>16</v>
      </c>
      <c r="C2637" s="20"/>
      <c r="D2637" s="21"/>
    </row>
    <row r="2638" spans="1:4" ht="12.75" customHeight="1" x14ac:dyDescent="0.2">
      <c r="A2638" s="21"/>
      <c r="B2638" s="3" t="s">
        <v>17</v>
      </c>
      <c r="C2638" s="20"/>
      <c r="D2638" s="21"/>
    </row>
    <row r="2639" spans="1:4" ht="12.75" customHeight="1" x14ac:dyDescent="0.2">
      <c r="A2639" s="21"/>
      <c r="B2639" s="20" t="s">
        <v>18</v>
      </c>
      <c r="C2639" s="4" t="s">
        <v>117</v>
      </c>
      <c r="D2639" s="6" t="str">
        <f>HYPERLINK("javascript:void(0)","manókoponya")</f>
        <v>manókoponya</v>
      </c>
    </row>
    <row r="2640" spans="1:4" ht="12.75" customHeight="1" x14ac:dyDescent="0.2">
      <c r="A2640" s="21"/>
      <c r="B2640" s="21"/>
      <c r="C2640" s="4" t="s">
        <v>382</v>
      </c>
      <c r="D2640" s="6" t="str">
        <f>HYPERLINK("javascript:void(0)","sudár")</f>
        <v>sudár</v>
      </c>
    </row>
    <row r="2641" spans="1:4" ht="12.75" customHeight="1" x14ac:dyDescent="0.2">
      <c r="A2641" s="21"/>
      <c r="B2641" s="21"/>
      <c r="C2641" s="4" t="s">
        <v>139</v>
      </c>
      <c r="D2641" s="6" t="str">
        <f>HYPERLINK("javascript:void(0)","hemoglobin")</f>
        <v>hemoglobin</v>
      </c>
    </row>
    <row r="2642" spans="1:4" ht="12.75" customHeight="1" x14ac:dyDescent="0.2">
      <c r="A2642" s="5"/>
      <c r="B2642" s="2"/>
      <c r="C2642" s="2"/>
      <c r="D2642" s="2"/>
    </row>
    <row r="2643" spans="1:4" ht="12.75" customHeight="1" x14ac:dyDescent="0.2">
      <c r="A2643" s="22" t="str">
        <f>HYPERLINK("javascript:void(0)","gyíkacél bárd")</f>
        <v>gyíkacél bárd</v>
      </c>
      <c r="B2643" s="21"/>
      <c r="C2643" s="21"/>
      <c r="D2643" s="21"/>
    </row>
    <row r="2644" spans="1:4" ht="12.75" customHeight="1" x14ac:dyDescent="0.2">
      <c r="A2644" s="20"/>
      <c r="B2644" s="2"/>
      <c r="C2644" s="2"/>
      <c r="D2644" s="2"/>
    </row>
    <row r="2645" spans="1:4" ht="12.75" customHeight="1" x14ac:dyDescent="0.2">
      <c r="A2645" s="21"/>
      <c r="B2645" s="3" t="s">
        <v>0</v>
      </c>
      <c r="C2645" s="20" t="s">
        <v>213</v>
      </c>
      <c r="D2645" s="21"/>
    </row>
    <row r="2646" spans="1:4" ht="12.75" customHeight="1" x14ac:dyDescent="0.2">
      <c r="A2646" s="21"/>
      <c r="B2646" s="3" t="s">
        <v>2</v>
      </c>
      <c r="C2646" s="20" t="s">
        <v>1598</v>
      </c>
      <c r="D2646" s="21"/>
    </row>
    <row r="2647" spans="1:4" ht="12.75" customHeight="1" x14ac:dyDescent="0.2">
      <c r="A2647" s="21"/>
      <c r="B2647" s="3" t="s">
        <v>4</v>
      </c>
      <c r="C2647" s="20" t="s">
        <v>1924</v>
      </c>
      <c r="D2647" s="21"/>
    </row>
    <row r="2648" spans="1:4" ht="12.75" customHeight="1" x14ac:dyDescent="0.2">
      <c r="A2648" s="21"/>
      <c r="B2648" s="3" t="s">
        <v>6</v>
      </c>
      <c r="C2648" s="20" t="s">
        <v>107</v>
      </c>
      <c r="D2648" s="21"/>
    </row>
    <row r="2649" spans="1:4" ht="12.75" customHeight="1" x14ac:dyDescent="0.2">
      <c r="A2649" s="21"/>
      <c r="B2649" s="3" t="s">
        <v>8</v>
      </c>
      <c r="C2649" s="20" t="s">
        <v>1924</v>
      </c>
      <c r="D2649" s="21"/>
    </row>
    <row r="2650" spans="1:4" ht="12.75" customHeight="1" x14ac:dyDescent="0.2">
      <c r="A2650" s="21"/>
      <c r="B2650" s="3" t="s">
        <v>9</v>
      </c>
      <c r="C2650" s="20" t="s">
        <v>1925</v>
      </c>
      <c r="D2650" s="21"/>
    </row>
    <row r="2651" spans="1:4" ht="12.75" customHeight="1" x14ac:dyDescent="0.2">
      <c r="A2651" s="21"/>
      <c r="B2651" s="3" t="s">
        <v>11</v>
      </c>
      <c r="C2651" s="20" t="s">
        <v>339</v>
      </c>
      <c r="D2651" s="21"/>
    </row>
    <row r="2652" spans="1:4" ht="12.75" customHeight="1" x14ac:dyDescent="0.2">
      <c r="A2652" s="21"/>
      <c r="B2652" s="3" t="s">
        <v>13</v>
      </c>
      <c r="C2652" s="20" t="s">
        <v>24</v>
      </c>
      <c r="D2652" s="21"/>
    </row>
    <row r="2653" spans="1:4" ht="12.75" customHeight="1" x14ac:dyDescent="0.2">
      <c r="A2653" s="21"/>
      <c r="B2653" s="3" t="s">
        <v>15</v>
      </c>
      <c r="C2653" s="20" t="s">
        <v>24</v>
      </c>
      <c r="D2653" s="21"/>
    </row>
    <row r="2654" spans="1:4" ht="12.75" customHeight="1" x14ac:dyDescent="0.2">
      <c r="A2654" s="21"/>
      <c r="B2654" s="3" t="s">
        <v>16</v>
      </c>
      <c r="C2654" s="20"/>
      <c r="D2654" s="21"/>
    </row>
    <row r="2655" spans="1:4" ht="12.75" customHeight="1" x14ac:dyDescent="0.2">
      <c r="A2655" s="21"/>
      <c r="B2655" s="3" t="s">
        <v>17</v>
      </c>
      <c r="C2655" s="20"/>
      <c r="D2655" s="21"/>
    </row>
    <row r="2656" spans="1:4" ht="12.75" customHeight="1" x14ac:dyDescent="0.2">
      <c r="A2656" s="21"/>
      <c r="B2656" s="20" t="s">
        <v>18</v>
      </c>
      <c r="C2656" s="4" t="s">
        <v>139</v>
      </c>
      <c r="D2656" s="6" t="str">
        <f>HYPERLINK("javascript:void(0)","undormány")</f>
        <v>undormány</v>
      </c>
    </row>
    <row r="2657" spans="1:4" ht="12.75" customHeight="1" x14ac:dyDescent="0.2">
      <c r="A2657" s="21"/>
      <c r="B2657" s="21"/>
      <c r="C2657" s="4" t="s">
        <v>309</v>
      </c>
      <c r="D2657" s="6" t="str">
        <f>HYPERLINK("javascript:void(0)","varázsige")</f>
        <v>varázsige</v>
      </c>
    </row>
    <row r="2658" spans="1:4" ht="12.75" customHeight="1" x14ac:dyDescent="0.2">
      <c r="A2658" s="21"/>
      <c r="B2658" s="21"/>
      <c r="C2658" s="4" t="s">
        <v>67</v>
      </c>
      <c r="D2658" s="6" t="str">
        <f>HYPERLINK("javascript:void(0)","tuskótőr")</f>
        <v>tuskótőr</v>
      </c>
    </row>
    <row r="2659" spans="1:4" ht="12.75" customHeight="1" x14ac:dyDescent="0.2">
      <c r="A2659" s="5"/>
      <c r="B2659" s="2"/>
      <c r="C2659" s="2"/>
      <c r="D2659" s="2"/>
    </row>
    <row r="2660" spans="1:4" ht="12.75" customHeight="1" x14ac:dyDescent="0.2">
      <c r="A2660" s="22" t="str">
        <f>HYPERLINK("javascript:void(0)","patinás szablya")</f>
        <v>patinás szablya</v>
      </c>
      <c r="B2660" s="21"/>
      <c r="C2660" s="21"/>
      <c r="D2660" s="21"/>
    </row>
    <row r="2661" spans="1:4" ht="12.75" customHeight="1" x14ac:dyDescent="0.2">
      <c r="A2661" s="20"/>
      <c r="B2661" s="2"/>
      <c r="C2661" s="2"/>
      <c r="D2661" s="2"/>
    </row>
    <row r="2662" spans="1:4" ht="12.75" customHeight="1" x14ac:dyDescent="0.2">
      <c r="A2662" s="21"/>
      <c r="B2662" s="3" t="s">
        <v>0</v>
      </c>
      <c r="C2662" s="20" t="s">
        <v>58</v>
      </c>
      <c r="D2662" s="21"/>
    </row>
    <row r="2663" spans="1:4" ht="12.75" customHeight="1" x14ac:dyDescent="0.2">
      <c r="A2663" s="21"/>
      <c r="B2663" s="3" t="s">
        <v>2</v>
      </c>
      <c r="C2663" s="20" t="s">
        <v>1598</v>
      </c>
      <c r="D2663" s="21"/>
    </row>
    <row r="2664" spans="1:4" ht="12.75" customHeight="1" x14ac:dyDescent="0.2">
      <c r="A2664" s="21"/>
      <c r="B2664" s="3" t="s">
        <v>4</v>
      </c>
      <c r="C2664" s="20" t="s">
        <v>1928</v>
      </c>
      <c r="D2664" s="21"/>
    </row>
    <row r="2665" spans="1:4" ht="12.75" customHeight="1" x14ac:dyDescent="0.2">
      <c r="A2665" s="21"/>
      <c r="B2665" s="3" t="s">
        <v>6</v>
      </c>
      <c r="C2665" s="20" t="s">
        <v>353</v>
      </c>
      <c r="D2665" s="21"/>
    </row>
    <row r="2666" spans="1:4" ht="12.75" customHeight="1" x14ac:dyDescent="0.2">
      <c r="A2666" s="21"/>
      <c r="B2666" s="3" t="s">
        <v>8</v>
      </c>
      <c r="C2666" s="20" t="s">
        <v>1928</v>
      </c>
      <c r="D2666" s="21"/>
    </row>
    <row r="2667" spans="1:4" ht="12.75" customHeight="1" x14ac:dyDescent="0.2">
      <c r="A2667" s="21"/>
      <c r="B2667" s="3" t="s">
        <v>9</v>
      </c>
      <c r="C2667" s="20" t="s">
        <v>210</v>
      </c>
      <c r="D2667" s="21"/>
    </row>
    <row r="2668" spans="1:4" ht="12.75" customHeight="1" x14ac:dyDescent="0.2">
      <c r="A2668" s="21"/>
      <c r="B2668" s="3" t="s">
        <v>11</v>
      </c>
      <c r="C2668" s="20" t="s">
        <v>497</v>
      </c>
      <c r="D2668" s="21"/>
    </row>
    <row r="2669" spans="1:4" ht="12.75" customHeight="1" x14ac:dyDescent="0.2">
      <c r="A2669" s="21"/>
      <c r="B2669" s="3" t="s">
        <v>13</v>
      </c>
      <c r="C2669" s="20" t="s">
        <v>24</v>
      </c>
      <c r="D2669" s="21"/>
    </row>
    <row r="2670" spans="1:4" ht="12.75" customHeight="1" x14ac:dyDescent="0.2">
      <c r="A2670" s="21"/>
      <c r="B2670" s="3" t="s">
        <v>15</v>
      </c>
      <c r="C2670" s="20" t="s">
        <v>24</v>
      </c>
      <c r="D2670" s="21"/>
    </row>
    <row r="2671" spans="1:4" ht="12.75" customHeight="1" x14ac:dyDescent="0.2">
      <c r="A2671" s="21"/>
      <c r="B2671" s="3" t="s">
        <v>16</v>
      </c>
      <c r="C2671" s="20"/>
      <c r="D2671" s="21"/>
    </row>
    <row r="2672" spans="1:4" ht="12.75" customHeight="1" x14ac:dyDescent="0.2">
      <c r="A2672" s="21"/>
      <c r="B2672" s="3" t="s">
        <v>17</v>
      </c>
      <c r="C2672" s="20"/>
      <c r="D2672" s="21"/>
    </row>
    <row r="2673" spans="1:4" ht="12.75" customHeight="1" x14ac:dyDescent="0.2">
      <c r="A2673" s="21"/>
      <c r="B2673" s="20" t="s">
        <v>18</v>
      </c>
      <c r="C2673" s="4" t="s">
        <v>44</v>
      </c>
      <c r="D2673" s="6" t="str">
        <f>HYPERLINK("javascript:void(0)","kompózium szurony")</f>
        <v>kompózium szurony</v>
      </c>
    </row>
    <row r="2674" spans="1:4" ht="12.75" customHeight="1" x14ac:dyDescent="0.2">
      <c r="A2674" s="21"/>
      <c r="B2674" s="21"/>
      <c r="C2674" s="4" t="s">
        <v>232</v>
      </c>
      <c r="D2674" s="6" t="str">
        <f>HYPERLINK("javascript:void(0)","rozsdalap")</f>
        <v>rozsdalap</v>
      </c>
    </row>
    <row r="2675" spans="1:4" ht="12.75" customHeight="1" x14ac:dyDescent="0.2">
      <c r="A2675" s="21"/>
      <c r="B2675" s="21"/>
      <c r="C2675" s="4" t="s">
        <v>797</v>
      </c>
      <c r="D2675" s="6" t="str">
        <f>HYPERLINK("javascript:void(0)","démonzanza")</f>
        <v>démonzanza</v>
      </c>
    </row>
    <row r="2676" spans="1:4" ht="12.75" customHeight="1" x14ac:dyDescent="0.2">
      <c r="A2676" s="5"/>
      <c r="B2676" s="2"/>
      <c r="C2676" s="2"/>
      <c r="D2676" s="2"/>
    </row>
    <row r="2677" spans="1:4" ht="12.75" customHeight="1" x14ac:dyDescent="0.2">
      <c r="A2677" s="22" t="str">
        <f>HYPERLINK("javascript:void(0)","patinás mágusölő")</f>
        <v>patinás mágusölő</v>
      </c>
      <c r="B2677" s="21"/>
      <c r="C2677" s="21"/>
      <c r="D2677" s="21"/>
    </row>
    <row r="2678" spans="1:4" ht="12.75" customHeight="1" x14ac:dyDescent="0.2">
      <c r="A2678" s="20"/>
      <c r="B2678" s="2"/>
      <c r="C2678" s="2"/>
      <c r="D2678" s="2"/>
    </row>
    <row r="2679" spans="1:4" ht="12.75" customHeight="1" x14ac:dyDescent="0.2">
      <c r="A2679" s="21"/>
      <c r="B2679" s="3" t="s">
        <v>0</v>
      </c>
      <c r="C2679" s="20" t="s">
        <v>58</v>
      </c>
      <c r="D2679" s="21"/>
    </row>
    <row r="2680" spans="1:4" ht="12.75" customHeight="1" x14ac:dyDescent="0.2">
      <c r="A2680" s="21"/>
      <c r="B2680" s="3" t="s">
        <v>2</v>
      </c>
      <c r="C2680" s="20" t="s">
        <v>1598</v>
      </c>
      <c r="D2680" s="21"/>
    </row>
    <row r="2681" spans="1:4" ht="12.75" customHeight="1" x14ac:dyDescent="0.2">
      <c r="A2681" s="21"/>
      <c r="B2681" s="3" t="s">
        <v>4</v>
      </c>
      <c r="C2681" s="20" t="s">
        <v>1930</v>
      </c>
      <c r="D2681" s="21"/>
    </row>
    <row r="2682" spans="1:4" ht="12.75" customHeight="1" x14ac:dyDescent="0.2">
      <c r="A2682" s="21"/>
      <c r="B2682" s="3" t="s">
        <v>6</v>
      </c>
      <c r="C2682" s="20" t="s">
        <v>48</v>
      </c>
      <c r="D2682" s="21"/>
    </row>
    <row r="2683" spans="1:4" ht="12.75" customHeight="1" x14ac:dyDescent="0.2">
      <c r="A2683" s="21"/>
      <c r="B2683" s="3" t="s">
        <v>8</v>
      </c>
      <c r="C2683" s="20" t="s">
        <v>1930</v>
      </c>
      <c r="D2683" s="21"/>
    </row>
    <row r="2684" spans="1:4" ht="12.75" customHeight="1" x14ac:dyDescent="0.2">
      <c r="A2684" s="21"/>
      <c r="B2684" s="3" t="s">
        <v>9</v>
      </c>
      <c r="C2684" s="20" t="s">
        <v>1880</v>
      </c>
      <c r="D2684" s="21"/>
    </row>
    <row r="2685" spans="1:4" ht="12.75" customHeight="1" x14ac:dyDescent="0.2">
      <c r="A2685" s="21"/>
      <c r="B2685" s="3" t="s">
        <v>11</v>
      </c>
      <c r="C2685" s="20" t="s">
        <v>497</v>
      </c>
      <c r="D2685" s="21"/>
    </row>
    <row r="2686" spans="1:4" ht="12.75" customHeight="1" x14ac:dyDescent="0.2">
      <c r="A2686" s="21"/>
      <c r="B2686" s="3" t="s">
        <v>13</v>
      </c>
      <c r="C2686" s="20" t="s">
        <v>14</v>
      </c>
      <c r="D2686" s="21"/>
    </row>
    <row r="2687" spans="1:4" ht="12.75" customHeight="1" x14ac:dyDescent="0.2">
      <c r="A2687" s="21"/>
      <c r="B2687" s="3" t="s">
        <v>15</v>
      </c>
      <c r="C2687" s="20" t="s">
        <v>24</v>
      </c>
      <c r="D2687" s="21"/>
    </row>
    <row r="2688" spans="1:4" ht="12.75" customHeight="1" x14ac:dyDescent="0.2">
      <c r="A2688" s="21"/>
      <c r="B2688" s="3" t="s">
        <v>16</v>
      </c>
      <c r="C2688" s="20"/>
      <c r="D2688" s="21"/>
    </row>
    <row r="2689" spans="1:4" ht="12.75" customHeight="1" x14ac:dyDescent="0.2">
      <c r="A2689" s="21"/>
      <c r="B2689" s="3" t="s">
        <v>17</v>
      </c>
      <c r="C2689" s="20"/>
      <c r="D2689" s="21"/>
    </row>
    <row r="2690" spans="1:4" ht="12.75" customHeight="1" x14ac:dyDescent="0.2">
      <c r="A2690" s="21"/>
      <c r="B2690" s="20" t="s">
        <v>18</v>
      </c>
      <c r="C2690" s="4" t="s">
        <v>117</v>
      </c>
      <c r="D2690" s="6" t="str">
        <f>HYPERLINK("javascript:void(0)","rozsdalap")</f>
        <v>rozsdalap</v>
      </c>
    </row>
    <row r="2691" spans="1:4" ht="12.75" customHeight="1" x14ac:dyDescent="0.2">
      <c r="A2691" s="21"/>
      <c r="B2691" s="21"/>
      <c r="C2691" s="4" t="s">
        <v>139</v>
      </c>
      <c r="D2691" s="6" t="str">
        <f>HYPERLINK("javascript:void(0)","hordócsap")</f>
        <v>hordócsap</v>
      </c>
    </row>
    <row r="2692" spans="1:4" ht="12.75" customHeight="1" x14ac:dyDescent="0.2">
      <c r="A2692" s="21"/>
      <c r="B2692" s="21"/>
      <c r="C2692" s="4" t="s">
        <v>98</v>
      </c>
      <c r="D2692" s="6" t="str">
        <f>HYPERLINK("javascript:void(0)","öbleny")</f>
        <v>öbleny</v>
      </c>
    </row>
    <row r="2693" spans="1:4" ht="12.75" customHeight="1" x14ac:dyDescent="0.2">
      <c r="A2693" s="5"/>
      <c r="B2693" s="2"/>
      <c r="C2693" s="2"/>
      <c r="D2693" s="2"/>
    </row>
    <row r="2694" spans="1:4" ht="12.75" customHeight="1" x14ac:dyDescent="0.2">
      <c r="A2694" s="22" t="str">
        <f>HYPERLINK("javascript:void(0)","rotorcsillag")</f>
        <v>rotorcsillag</v>
      </c>
      <c r="B2694" s="21"/>
      <c r="C2694" s="21"/>
      <c r="D2694" s="21"/>
    </row>
    <row r="2695" spans="1:4" ht="12.75" customHeight="1" x14ac:dyDescent="0.2">
      <c r="A2695" s="20"/>
      <c r="B2695" s="2"/>
      <c r="C2695" s="2"/>
      <c r="D2695" s="2"/>
    </row>
    <row r="2696" spans="1:4" ht="12.75" customHeight="1" x14ac:dyDescent="0.2">
      <c r="A2696" s="21"/>
      <c r="B2696" s="3" t="s">
        <v>0</v>
      </c>
      <c r="C2696" s="20" t="s">
        <v>134</v>
      </c>
      <c r="D2696" s="21"/>
    </row>
    <row r="2697" spans="1:4" ht="12.75" customHeight="1" x14ac:dyDescent="0.2">
      <c r="A2697" s="21"/>
      <c r="B2697" s="3" t="s">
        <v>2</v>
      </c>
      <c r="C2697" s="20" t="s">
        <v>1598</v>
      </c>
      <c r="D2697" s="21"/>
    </row>
    <row r="2698" spans="1:4" ht="12.75" customHeight="1" x14ac:dyDescent="0.2">
      <c r="A2698" s="21"/>
      <c r="B2698" s="3" t="s">
        <v>4</v>
      </c>
      <c r="C2698" s="20" t="s">
        <v>1931</v>
      </c>
      <c r="D2698" s="21"/>
    </row>
    <row r="2699" spans="1:4" ht="12.75" customHeight="1" x14ac:dyDescent="0.2">
      <c r="A2699" s="21"/>
      <c r="B2699" s="3" t="s">
        <v>6</v>
      </c>
      <c r="C2699" s="20" t="s">
        <v>353</v>
      </c>
      <c r="D2699" s="21"/>
    </row>
    <row r="2700" spans="1:4" ht="12.75" customHeight="1" x14ac:dyDescent="0.2">
      <c r="A2700" s="21"/>
      <c r="B2700" s="3" t="s">
        <v>8</v>
      </c>
      <c r="C2700" s="20" t="s">
        <v>1931</v>
      </c>
      <c r="D2700" s="21"/>
    </row>
    <row r="2701" spans="1:4" ht="12.75" customHeight="1" x14ac:dyDescent="0.2">
      <c r="A2701" s="21"/>
      <c r="B2701" s="3" t="s">
        <v>9</v>
      </c>
      <c r="C2701" s="20" t="s">
        <v>573</v>
      </c>
      <c r="D2701" s="21"/>
    </row>
    <row r="2702" spans="1:4" ht="12.75" customHeight="1" x14ac:dyDescent="0.2">
      <c r="A2702" s="21"/>
      <c r="B2702" s="3" t="s">
        <v>11</v>
      </c>
      <c r="C2702" s="20" t="s">
        <v>501</v>
      </c>
      <c r="D2702" s="21"/>
    </row>
    <row r="2703" spans="1:4" ht="12.75" customHeight="1" x14ac:dyDescent="0.2">
      <c r="A2703" s="21"/>
      <c r="B2703" s="3" t="s">
        <v>13</v>
      </c>
      <c r="C2703" s="20" t="s">
        <v>24</v>
      </c>
      <c r="D2703" s="21"/>
    </row>
    <row r="2704" spans="1:4" ht="12.75" customHeight="1" x14ac:dyDescent="0.2">
      <c r="A2704" s="21"/>
      <c r="B2704" s="3" t="s">
        <v>15</v>
      </c>
      <c r="C2704" s="20" t="s">
        <v>24</v>
      </c>
      <c r="D2704" s="21"/>
    </row>
    <row r="2705" spans="1:4" ht="12.75" customHeight="1" x14ac:dyDescent="0.2">
      <c r="A2705" s="21"/>
      <c r="B2705" s="3" t="s">
        <v>16</v>
      </c>
      <c r="C2705" s="20"/>
      <c r="D2705" s="21"/>
    </row>
    <row r="2706" spans="1:4" ht="12.75" customHeight="1" x14ac:dyDescent="0.2">
      <c r="A2706" s="21"/>
      <c r="B2706" s="3" t="s">
        <v>17</v>
      </c>
      <c r="C2706" s="20"/>
      <c r="D2706" s="21"/>
    </row>
    <row r="2707" spans="1:4" ht="12.75" customHeight="1" x14ac:dyDescent="0.2">
      <c r="A2707" s="21"/>
      <c r="B2707" s="20" t="s">
        <v>18</v>
      </c>
      <c r="C2707" s="4" t="s">
        <v>55</v>
      </c>
      <c r="D2707" s="6" t="str">
        <f>HYPERLINK("javascript:void(0)","rotorlapát")</f>
        <v>rotorlapát</v>
      </c>
    </row>
    <row r="2708" spans="1:4" ht="12.75" customHeight="1" x14ac:dyDescent="0.2">
      <c r="A2708" s="21"/>
      <c r="B2708" s="21"/>
      <c r="C2708" s="4" t="s">
        <v>68</v>
      </c>
      <c r="D2708" s="6" t="str">
        <f>HYPERLINK("javascript:void(0)","csigaház")</f>
        <v>csigaház</v>
      </c>
    </row>
    <row r="2709" spans="1:4" ht="12.75" customHeight="1" x14ac:dyDescent="0.2">
      <c r="A2709" s="21"/>
      <c r="B2709" s="21"/>
      <c r="C2709" s="4" t="s">
        <v>67</v>
      </c>
      <c r="D2709" s="6" t="str">
        <f>HYPERLINK("javascript:void(0)","göb")</f>
        <v>göb</v>
      </c>
    </row>
    <row r="2710" spans="1:4" ht="12.75" customHeight="1" x14ac:dyDescent="0.2">
      <c r="A2710" s="5"/>
      <c r="B2710" s="2"/>
      <c r="C2710" s="2"/>
      <c r="D2710" s="2"/>
    </row>
    <row r="2711" spans="1:4" ht="12.75" customHeight="1" x14ac:dyDescent="0.2">
      <c r="A2711" s="22" t="str">
        <f>HYPERLINK("javascript:void(0)","thordi gigapallos")</f>
        <v>thordi gigapallos</v>
      </c>
      <c r="B2711" s="21"/>
      <c r="C2711" s="21"/>
      <c r="D2711" s="21"/>
    </row>
    <row r="2712" spans="1:4" ht="12.75" customHeight="1" x14ac:dyDescent="0.2">
      <c r="A2712" s="20"/>
      <c r="B2712" s="2"/>
      <c r="C2712" s="2"/>
      <c r="D2712" s="2"/>
    </row>
    <row r="2713" spans="1:4" ht="12.75" customHeight="1" x14ac:dyDescent="0.2">
      <c r="A2713" s="21"/>
      <c r="B2713" s="3" t="s">
        <v>0</v>
      </c>
      <c r="C2713" s="20" t="s">
        <v>134</v>
      </c>
      <c r="D2713" s="21"/>
    </row>
    <row r="2714" spans="1:4" ht="12.75" customHeight="1" x14ac:dyDescent="0.2">
      <c r="A2714" s="21"/>
      <c r="B2714" s="3" t="s">
        <v>2</v>
      </c>
      <c r="C2714" s="20" t="s">
        <v>1598</v>
      </c>
      <c r="D2714" s="21"/>
    </row>
    <row r="2715" spans="1:4" ht="12.75" customHeight="1" x14ac:dyDescent="0.2">
      <c r="A2715" s="21"/>
      <c r="B2715" s="3" t="s">
        <v>4</v>
      </c>
      <c r="C2715" s="20" t="s">
        <v>498</v>
      </c>
      <c r="D2715" s="21"/>
    </row>
    <row r="2716" spans="1:4" ht="12.75" customHeight="1" x14ac:dyDescent="0.2">
      <c r="A2716" s="21"/>
      <c r="B2716" s="3" t="s">
        <v>6</v>
      </c>
      <c r="C2716" s="20" t="s">
        <v>284</v>
      </c>
      <c r="D2716" s="21"/>
    </row>
    <row r="2717" spans="1:4" ht="12.75" customHeight="1" x14ac:dyDescent="0.2">
      <c r="A2717" s="21"/>
      <c r="B2717" s="3" t="s">
        <v>8</v>
      </c>
      <c r="C2717" s="20" t="s">
        <v>498</v>
      </c>
      <c r="D2717" s="21"/>
    </row>
    <row r="2718" spans="1:4" ht="12.75" customHeight="1" x14ac:dyDescent="0.2">
      <c r="A2718" s="21"/>
      <c r="B2718" s="3" t="s">
        <v>9</v>
      </c>
      <c r="C2718" s="20" t="s">
        <v>1932</v>
      </c>
      <c r="D2718" s="21"/>
    </row>
    <row r="2719" spans="1:4" ht="12.75" customHeight="1" x14ac:dyDescent="0.2">
      <c r="A2719" s="21"/>
      <c r="B2719" s="3" t="s">
        <v>11</v>
      </c>
      <c r="C2719" s="20" t="s">
        <v>566</v>
      </c>
      <c r="D2719" s="21"/>
    </row>
    <row r="2720" spans="1:4" ht="12.75" customHeight="1" x14ac:dyDescent="0.2">
      <c r="A2720" s="21"/>
      <c r="B2720" s="3" t="s">
        <v>13</v>
      </c>
      <c r="C2720" s="20" t="s">
        <v>24</v>
      </c>
      <c r="D2720" s="21"/>
    </row>
    <row r="2721" spans="1:4" ht="12.75" customHeight="1" x14ac:dyDescent="0.2">
      <c r="A2721" s="21"/>
      <c r="B2721" s="3" t="s">
        <v>15</v>
      </c>
      <c r="C2721" s="20" t="s">
        <v>24</v>
      </c>
      <c r="D2721" s="21"/>
    </row>
    <row r="2722" spans="1:4" ht="12.75" customHeight="1" x14ac:dyDescent="0.2">
      <c r="A2722" s="21"/>
      <c r="B2722" s="3" t="s">
        <v>16</v>
      </c>
      <c r="C2722" s="20"/>
      <c r="D2722" s="21"/>
    </row>
    <row r="2723" spans="1:4" ht="12.75" customHeight="1" x14ac:dyDescent="0.2">
      <c r="A2723" s="21"/>
      <c r="B2723" s="3" t="s">
        <v>17</v>
      </c>
      <c r="C2723" s="20"/>
      <c r="D2723" s="21"/>
    </row>
    <row r="2724" spans="1:4" ht="12.75" customHeight="1" x14ac:dyDescent="0.2">
      <c r="A2724" s="21"/>
      <c r="B2724" s="20" t="s">
        <v>18</v>
      </c>
      <c r="C2724" s="4" t="s">
        <v>244</v>
      </c>
      <c r="D2724" s="6" t="str">
        <f>HYPERLINK("javascript:void(0)","rotorlapát")</f>
        <v>rotorlapát</v>
      </c>
    </row>
    <row r="2725" spans="1:4" ht="12.75" customHeight="1" x14ac:dyDescent="0.2">
      <c r="A2725" s="21"/>
      <c r="B2725" s="21"/>
      <c r="C2725" s="4" t="s">
        <v>163</v>
      </c>
      <c r="D2725" s="6" t="str">
        <f>HYPERLINK("javascript:void(0)","szemgödör")</f>
        <v>szemgödör</v>
      </c>
    </row>
    <row r="2726" spans="1:4" ht="12.75" customHeight="1" x14ac:dyDescent="0.2">
      <c r="A2726" s="21"/>
      <c r="B2726" s="21"/>
      <c r="C2726" s="4" t="s">
        <v>327</v>
      </c>
      <c r="D2726" s="6" t="str">
        <f>HYPERLINK("javascript:void(0)","vari amulett")</f>
        <v>vari amulett</v>
      </c>
    </row>
    <row r="2727" spans="1:4" ht="12.75" customHeight="1" x14ac:dyDescent="0.2">
      <c r="A2727" s="5"/>
      <c r="B2727" s="2"/>
      <c r="C2727" s="2"/>
      <c r="D2727" s="2"/>
    </row>
    <row r="2728" spans="1:4" ht="12.75" customHeight="1" x14ac:dyDescent="0.2">
      <c r="A2728" s="22" t="str">
        <f>HYPERLINK("javascript:void(0)","gyíkacél szálfa")</f>
        <v>gyíkacél szálfa</v>
      </c>
      <c r="B2728" s="21"/>
      <c r="C2728" s="21"/>
      <c r="D2728" s="21"/>
    </row>
    <row r="2729" spans="1:4" ht="12.75" customHeight="1" x14ac:dyDescent="0.2">
      <c r="A2729" s="20"/>
      <c r="B2729" s="2"/>
      <c r="C2729" s="2"/>
      <c r="D2729" s="2"/>
    </row>
    <row r="2730" spans="1:4" ht="12.75" customHeight="1" x14ac:dyDescent="0.2">
      <c r="A2730" s="21"/>
      <c r="B2730" s="3" t="s">
        <v>0</v>
      </c>
      <c r="C2730" s="20" t="s">
        <v>134</v>
      </c>
      <c r="D2730" s="21"/>
    </row>
    <row r="2731" spans="1:4" ht="12.75" customHeight="1" x14ac:dyDescent="0.2">
      <c r="A2731" s="21"/>
      <c r="B2731" s="3" t="s">
        <v>2</v>
      </c>
      <c r="C2731" s="20" t="s">
        <v>1598</v>
      </c>
      <c r="D2731" s="21"/>
    </row>
    <row r="2732" spans="1:4" ht="12.75" customHeight="1" x14ac:dyDescent="0.2">
      <c r="A2732" s="21"/>
      <c r="B2732" s="3" t="s">
        <v>4</v>
      </c>
      <c r="C2732" s="20" t="s">
        <v>1933</v>
      </c>
      <c r="D2732" s="21"/>
    </row>
    <row r="2733" spans="1:4" ht="12.75" customHeight="1" x14ac:dyDescent="0.2">
      <c r="A2733" s="21"/>
      <c r="B2733" s="3" t="s">
        <v>6</v>
      </c>
      <c r="C2733" s="20" t="s">
        <v>107</v>
      </c>
      <c r="D2733" s="21"/>
    </row>
    <row r="2734" spans="1:4" ht="12.75" customHeight="1" x14ac:dyDescent="0.2">
      <c r="A2734" s="21"/>
      <c r="B2734" s="3" t="s">
        <v>8</v>
      </c>
      <c r="C2734" s="20" t="s">
        <v>1933</v>
      </c>
      <c r="D2734" s="21"/>
    </row>
    <row r="2735" spans="1:4" ht="12.75" customHeight="1" x14ac:dyDescent="0.2">
      <c r="A2735" s="21"/>
      <c r="B2735" s="3" t="s">
        <v>9</v>
      </c>
      <c r="C2735" s="20" t="s">
        <v>1934</v>
      </c>
      <c r="D2735" s="21"/>
    </row>
    <row r="2736" spans="1:4" ht="12.75" customHeight="1" x14ac:dyDescent="0.2">
      <c r="A2736" s="21"/>
      <c r="B2736" s="3" t="s">
        <v>11</v>
      </c>
      <c r="C2736" s="20" t="s">
        <v>360</v>
      </c>
      <c r="D2736" s="21"/>
    </row>
    <row r="2737" spans="1:4" ht="12.75" customHeight="1" x14ac:dyDescent="0.2">
      <c r="A2737" s="21"/>
      <c r="B2737" s="3" t="s">
        <v>13</v>
      </c>
      <c r="C2737" s="20" t="s">
        <v>24</v>
      </c>
      <c r="D2737" s="21"/>
    </row>
    <row r="2738" spans="1:4" ht="12.75" customHeight="1" x14ac:dyDescent="0.2">
      <c r="A2738" s="21"/>
      <c r="B2738" s="3" t="s">
        <v>15</v>
      </c>
      <c r="C2738" s="20" t="s">
        <v>24</v>
      </c>
      <c r="D2738" s="21"/>
    </row>
    <row r="2739" spans="1:4" ht="12.75" customHeight="1" x14ac:dyDescent="0.2">
      <c r="A2739" s="21"/>
      <c r="B2739" s="3" t="s">
        <v>16</v>
      </c>
      <c r="C2739" s="20"/>
      <c r="D2739" s="21"/>
    </row>
    <row r="2740" spans="1:4" ht="12.75" customHeight="1" x14ac:dyDescent="0.2">
      <c r="A2740" s="21"/>
      <c r="B2740" s="3" t="s">
        <v>17</v>
      </c>
      <c r="C2740" s="20"/>
      <c r="D2740" s="21"/>
    </row>
    <row r="2741" spans="1:4" ht="12.75" customHeight="1" x14ac:dyDescent="0.2">
      <c r="A2741" s="21"/>
      <c r="B2741" s="20" t="s">
        <v>18</v>
      </c>
      <c r="C2741" s="4" t="s">
        <v>280</v>
      </c>
      <c r="D2741" s="6" t="str">
        <f>HYPERLINK("javascript:void(0)","sárkánypikkely")</f>
        <v>sárkánypikkely</v>
      </c>
    </row>
    <row r="2742" spans="1:4" ht="12.75" customHeight="1" x14ac:dyDescent="0.2">
      <c r="A2742" s="21"/>
      <c r="B2742" s="21"/>
      <c r="C2742" s="4" t="s">
        <v>44</v>
      </c>
      <c r="D2742" s="6" t="str">
        <f>HYPERLINK("javascript:void(0)","lángpenge")</f>
        <v>lángpenge</v>
      </c>
    </row>
    <row r="2743" spans="1:4" ht="12.75" customHeight="1" x14ac:dyDescent="0.2">
      <c r="A2743" s="21"/>
      <c r="B2743" s="21"/>
      <c r="C2743" s="4" t="s">
        <v>67</v>
      </c>
      <c r="D2743" s="6" t="str">
        <f>HYPERLINK("javascript:void(0)","kihunyt glória")</f>
        <v>kihunyt glória</v>
      </c>
    </row>
    <row r="2744" spans="1:4" ht="12.75" customHeight="1" x14ac:dyDescent="0.2">
      <c r="A2744" s="5"/>
      <c r="B2744" s="2"/>
      <c r="C2744" s="2"/>
      <c r="D2744" s="2"/>
    </row>
    <row r="2745" spans="1:4" ht="12.75" customHeight="1" x14ac:dyDescent="0.2">
      <c r="A2745" s="22" t="str">
        <f>HYPERLINK("javascript:void(0)","radiopenge")</f>
        <v>radiopenge</v>
      </c>
      <c r="B2745" s="21"/>
      <c r="C2745" s="21"/>
      <c r="D2745" s="21"/>
    </row>
    <row r="2746" spans="1:4" ht="12.75" customHeight="1" x14ac:dyDescent="0.2">
      <c r="A2746" s="20"/>
      <c r="B2746" s="2"/>
      <c r="C2746" s="2"/>
      <c r="D2746" s="2"/>
    </row>
    <row r="2747" spans="1:4" ht="12.75" customHeight="1" x14ac:dyDescent="0.2">
      <c r="A2747" s="21"/>
      <c r="B2747" s="3" t="s">
        <v>0</v>
      </c>
      <c r="C2747" s="20" t="s">
        <v>134</v>
      </c>
      <c r="D2747" s="21"/>
    </row>
    <row r="2748" spans="1:4" ht="12.75" customHeight="1" x14ac:dyDescent="0.2">
      <c r="A2748" s="21"/>
      <c r="B2748" s="3" t="s">
        <v>2</v>
      </c>
      <c r="C2748" s="20" t="s">
        <v>1598</v>
      </c>
      <c r="D2748" s="21"/>
    </row>
    <row r="2749" spans="1:4" ht="12.75" customHeight="1" x14ac:dyDescent="0.2">
      <c r="A2749" s="21"/>
      <c r="B2749" s="3" t="s">
        <v>4</v>
      </c>
      <c r="C2749" s="20" t="s">
        <v>51</v>
      </c>
      <c r="D2749" s="21"/>
    </row>
    <row r="2750" spans="1:4" ht="12.75" customHeight="1" x14ac:dyDescent="0.2">
      <c r="A2750" s="21"/>
      <c r="B2750" s="3" t="s">
        <v>6</v>
      </c>
      <c r="C2750" s="20" t="s">
        <v>157</v>
      </c>
      <c r="D2750" s="21"/>
    </row>
    <row r="2751" spans="1:4" ht="12.75" customHeight="1" x14ac:dyDescent="0.2">
      <c r="A2751" s="21"/>
      <c r="B2751" s="3" t="s">
        <v>8</v>
      </c>
      <c r="C2751" s="20" t="s">
        <v>51</v>
      </c>
      <c r="D2751" s="21"/>
    </row>
    <row r="2752" spans="1:4" ht="12.75" customHeight="1" x14ac:dyDescent="0.2">
      <c r="A2752" s="21"/>
      <c r="B2752" s="3" t="s">
        <v>9</v>
      </c>
      <c r="C2752" s="20" t="s">
        <v>1936</v>
      </c>
      <c r="D2752" s="21"/>
    </row>
    <row r="2753" spans="1:4" ht="12.75" customHeight="1" x14ac:dyDescent="0.2">
      <c r="A2753" s="21"/>
      <c r="B2753" s="3" t="s">
        <v>11</v>
      </c>
      <c r="C2753" s="20" t="s">
        <v>1938</v>
      </c>
      <c r="D2753" s="21"/>
    </row>
    <row r="2754" spans="1:4" ht="12.75" customHeight="1" x14ac:dyDescent="0.2">
      <c r="A2754" s="21"/>
      <c r="B2754" s="3" t="s">
        <v>13</v>
      </c>
      <c r="C2754" s="20" t="s">
        <v>24</v>
      </c>
      <c r="D2754" s="21"/>
    </row>
    <row r="2755" spans="1:4" ht="12.75" customHeight="1" x14ac:dyDescent="0.2">
      <c r="A2755" s="21"/>
      <c r="B2755" s="3" t="s">
        <v>15</v>
      </c>
      <c r="C2755" s="20" t="s">
        <v>14</v>
      </c>
      <c r="D2755" s="21"/>
    </row>
    <row r="2756" spans="1:4" ht="12.75" customHeight="1" x14ac:dyDescent="0.2">
      <c r="A2756" s="21"/>
      <c r="B2756" s="3" t="s">
        <v>16</v>
      </c>
      <c r="C2756" s="20"/>
      <c r="D2756" s="21"/>
    </row>
    <row r="2757" spans="1:4" ht="12.75" customHeight="1" x14ac:dyDescent="0.2">
      <c r="A2757" s="21"/>
      <c r="B2757" s="3" t="s">
        <v>17</v>
      </c>
      <c r="C2757" s="20"/>
      <c r="D2757" s="21"/>
    </row>
    <row r="2758" spans="1:4" ht="12.75" customHeight="1" x14ac:dyDescent="0.2">
      <c r="A2758" s="21"/>
      <c r="B2758" s="20" t="s">
        <v>18</v>
      </c>
      <c r="C2758" s="4" t="s">
        <v>130</v>
      </c>
      <c r="D2758" s="6" t="str">
        <f>HYPERLINK("javascript:void(0)","radiolium")</f>
        <v>radiolium</v>
      </c>
    </row>
    <row r="2759" spans="1:4" ht="12.75" customHeight="1" x14ac:dyDescent="0.2">
      <c r="A2759" s="21"/>
      <c r="B2759" s="21"/>
      <c r="C2759" s="4" t="s">
        <v>244</v>
      </c>
      <c r="D2759" s="6" t="str">
        <f>HYPERLINK("javascript:void(0)","elementál eszencia")</f>
        <v>elementál eszencia</v>
      </c>
    </row>
    <row r="2760" spans="1:4" ht="12.75" customHeight="1" x14ac:dyDescent="0.2">
      <c r="A2760" s="21"/>
      <c r="B2760" s="21"/>
      <c r="C2760" s="4" t="s">
        <v>77</v>
      </c>
      <c r="D2760" s="6" t="str">
        <f>HYPERLINK("javascript:void(0)","radiogöb")</f>
        <v>radiogöb</v>
      </c>
    </row>
    <row r="2761" spans="1:4" ht="12.75" customHeight="1" x14ac:dyDescent="0.2">
      <c r="A2761" s="5"/>
      <c r="B2761" s="2"/>
      <c r="C2761" s="2"/>
      <c r="D2761" s="2"/>
    </row>
    <row r="2762" spans="1:4" ht="12.75" customHeight="1" x14ac:dyDescent="0.2">
      <c r="A2762" s="22" t="str">
        <f>HYPERLINK("javascript:void(0)","radiokard")</f>
        <v>radiokard</v>
      </c>
      <c r="B2762" s="21"/>
      <c r="C2762" s="21"/>
      <c r="D2762" s="21"/>
    </row>
    <row r="2763" spans="1:4" ht="12.75" customHeight="1" x14ac:dyDescent="0.2">
      <c r="A2763" s="20"/>
      <c r="B2763" s="2"/>
      <c r="C2763" s="2"/>
      <c r="D2763" s="2"/>
    </row>
    <row r="2764" spans="1:4" ht="12.75" customHeight="1" x14ac:dyDescent="0.2">
      <c r="A2764" s="21"/>
      <c r="B2764" s="3" t="s">
        <v>0</v>
      </c>
      <c r="C2764" s="20" t="s">
        <v>134</v>
      </c>
      <c r="D2764" s="21"/>
    </row>
    <row r="2765" spans="1:4" ht="12.75" customHeight="1" x14ac:dyDescent="0.2">
      <c r="A2765" s="21"/>
      <c r="B2765" s="3" t="s">
        <v>2</v>
      </c>
      <c r="C2765" s="20" t="s">
        <v>1598</v>
      </c>
      <c r="D2765" s="21"/>
    </row>
    <row r="2766" spans="1:4" ht="12.75" customHeight="1" x14ac:dyDescent="0.2">
      <c r="A2766" s="21"/>
      <c r="B2766" s="3" t="s">
        <v>4</v>
      </c>
      <c r="C2766" s="20" t="s">
        <v>498</v>
      </c>
      <c r="D2766" s="21"/>
    </row>
    <row r="2767" spans="1:4" ht="12.75" customHeight="1" x14ac:dyDescent="0.2">
      <c r="A2767" s="21"/>
      <c r="B2767" s="3" t="s">
        <v>6</v>
      </c>
      <c r="C2767" s="20" t="s">
        <v>1940</v>
      </c>
      <c r="D2767" s="21"/>
    </row>
    <row r="2768" spans="1:4" ht="12.75" customHeight="1" x14ac:dyDescent="0.2">
      <c r="A2768" s="21"/>
      <c r="B2768" s="3" t="s">
        <v>8</v>
      </c>
      <c r="C2768" s="20" t="s">
        <v>498</v>
      </c>
      <c r="D2768" s="21"/>
    </row>
    <row r="2769" spans="1:4" ht="12.75" customHeight="1" x14ac:dyDescent="0.2">
      <c r="A2769" s="21"/>
      <c r="B2769" s="3" t="s">
        <v>9</v>
      </c>
      <c r="C2769" s="20" t="s">
        <v>1195</v>
      </c>
      <c r="D2769" s="21"/>
    </row>
    <row r="2770" spans="1:4" ht="12.75" customHeight="1" x14ac:dyDescent="0.2">
      <c r="A2770" s="21"/>
      <c r="B2770" s="3" t="s">
        <v>11</v>
      </c>
      <c r="C2770" s="20" t="s">
        <v>1941</v>
      </c>
      <c r="D2770" s="21"/>
    </row>
    <row r="2771" spans="1:4" ht="12.75" customHeight="1" x14ac:dyDescent="0.2">
      <c r="A2771" s="21"/>
      <c r="B2771" s="3" t="s">
        <v>13</v>
      </c>
      <c r="C2771" s="20" t="s">
        <v>24</v>
      </c>
      <c r="D2771" s="21"/>
    </row>
    <row r="2772" spans="1:4" ht="12.75" customHeight="1" x14ac:dyDescent="0.2">
      <c r="A2772" s="21"/>
      <c r="B2772" s="3" t="s">
        <v>15</v>
      </c>
      <c r="C2772" s="20" t="s">
        <v>14</v>
      </c>
      <c r="D2772" s="21"/>
    </row>
    <row r="2773" spans="1:4" ht="12.75" customHeight="1" x14ac:dyDescent="0.2">
      <c r="A2773" s="21"/>
      <c r="B2773" s="3" t="s">
        <v>16</v>
      </c>
      <c r="C2773" s="20"/>
      <c r="D2773" s="21"/>
    </row>
    <row r="2774" spans="1:4" ht="12.75" customHeight="1" x14ac:dyDescent="0.2">
      <c r="A2774" s="21"/>
      <c r="B2774" s="3" t="s">
        <v>17</v>
      </c>
      <c r="C2774" s="20"/>
      <c r="D2774" s="21"/>
    </row>
    <row r="2775" spans="1:4" ht="12.75" customHeight="1" x14ac:dyDescent="0.2">
      <c r="A2775" s="21"/>
      <c r="B2775" s="20" t="s">
        <v>18</v>
      </c>
      <c r="C2775" s="4" t="s">
        <v>44</v>
      </c>
      <c r="D2775" s="6" t="str">
        <f>HYPERLINK("javascript:void(0)","radiopenge")</f>
        <v>radiopenge</v>
      </c>
    </row>
    <row r="2776" spans="1:4" ht="12.75" customHeight="1" x14ac:dyDescent="0.2">
      <c r="A2776" s="21"/>
      <c r="B2776" s="21"/>
      <c r="C2776" s="4" t="s">
        <v>803</v>
      </c>
      <c r="D2776" s="6" t="str">
        <f>HYPERLINK("javascript:void(0)","opál")</f>
        <v>opál</v>
      </c>
    </row>
    <row r="2777" spans="1:4" ht="12.75" customHeight="1" x14ac:dyDescent="0.2">
      <c r="A2777" s="21"/>
      <c r="B2777" s="21"/>
      <c r="C2777" s="4" t="s">
        <v>44</v>
      </c>
      <c r="D2777" s="6" t="str">
        <f>HYPERLINK("javascript:void(0)","cordiotőr")</f>
        <v>cordiotőr</v>
      </c>
    </row>
    <row r="2778" spans="1:4" ht="12.75" customHeight="1" x14ac:dyDescent="0.2">
      <c r="A2778" s="5"/>
      <c r="B2778" s="2"/>
      <c r="C2778" s="2"/>
      <c r="D2778" s="2"/>
    </row>
    <row r="2779" spans="1:4" ht="12.75" customHeight="1" x14ac:dyDescent="0.2">
      <c r="A2779" s="22" t="str">
        <f>HYPERLINK("javascript:void(0)","kompózium horoló")</f>
        <v>kompózium horoló</v>
      </c>
      <c r="B2779" s="21"/>
      <c r="C2779" s="21"/>
      <c r="D2779" s="21"/>
    </row>
    <row r="2780" spans="1:4" ht="12.75" customHeight="1" x14ac:dyDescent="0.2">
      <c r="A2780" s="20"/>
      <c r="B2780" s="2"/>
      <c r="C2780" s="2"/>
      <c r="D2780" s="2"/>
    </row>
    <row r="2781" spans="1:4" ht="12.75" customHeight="1" x14ac:dyDescent="0.2">
      <c r="A2781" s="21"/>
      <c r="B2781" s="3" t="s">
        <v>0</v>
      </c>
      <c r="C2781" s="20" t="s">
        <v>376</v>
      </c>
      <c r="D2781" s="21"/>
    </row>
    <row r="2782" spans="1:4" ht="12.75" customHeight="1" x14ac:dyDescent="0.2">
      <c r="A2782" s="21"/>
      <c r="B2782" s="3" t="s">
        <v>2</v>
      </c>
      <c r="C2782" s="20" t="s">
        <v>1598</v>
      </c>
      <c r="D2782" s="21"/>
    </row>
    <row r="2783" spans="1:4" ht="12.75" customHeight="1" x14ac:dyDescent="0.2">
      <c r="A2783" s="21"/>
      <c r="B2783" s="3" t="s">
        <v>4</v>
      </c>
      <c r="C2783" s="20" t="s">
        <v>1942</v>
      </c>
      <c r="D2783" s="21"/>
    </row>
    <row r="2784" spans="1:4" ht="12.75" customHeight="1" x14ac:dyDescent="0.2">
      <c r="A2784" s="21"/>
      <c r="B2784" s="3" t="s">
        <v>6</v>
      </c>
      <c r="C2784" s="20" t="s">
        <v>284</v>
      </c>
      <c r="D2784" s="21"/>
    </row>
    <row r="2785" spans="1:4" ht="12.75" customHeight="1" x14ac:dyDescent="0.2">
      <c r="A2785" s="21"/>
      <c r="B2785" s="3" t="s">
        <v>8</v>
      </c>
      <c r="C2785" s="20" t="s">
        <v>1942</v>
      </c>
      <c r="D2785" s="21"/>
    </row>
    <row r="2786" spans="1:4" ht="12.75" customHeight="1" x14ac:dyDescent="0.2">
      <c r="A2786" s="21"/>
      <c r="B2786" s="3" t="s">
        <v>9</v>
      </c>
      <c r="C2786" s="20" t="s">
        <v>464</v>
      </c>
      <c r="D2786" s="21"/>
    </row>
    <row r="2787" spans="1:4" ht="12.75" customHeight="1" x14ac:dyDescent="0.2">
      <c r="A2787" s="21"/>
      <c r="B2787" s="3" t="s">
        <v>11</v>
      </c>
      <c r="C2787" s="20" t="s">
        <v>514</v>
      </c>
      <c r="D2787" s="21"/>
    </row>
    <row r="2788" spans="1:4" ht="12.75" customHeight="1" x14ac:dyDescent="0.2">
      <c r="A2788" s="21"/>
      <c r="B2788" s="3" t="s">
        <v>13</v>
      </c>
      <c r="C2788" s="20" t="s">
        <v>24</v>
      </c>
      <c r="D2788" s="21"/>
    </row>
    <row r="2789" spans="1:4" ht="12.75" customHeight="1" x14ac:dyDescent="0.2">
      <c r="A2789" s="21"/>
      <c r="B2789" s="3" t="s">
        <v>15</v>
      </c>
      <c r="C2789" s="20" t="s">
        <v>24</v>
      </c>
      <c r="D2789" s="21"/>
    </row>
    <row r="2790" spans="1:4" ht="12.75" customHeight="1" x14ac:dyDescent="0.2">
      <c r="A2790" s="21"/>
      <c r="B2790" s="3" t="s">
        <v>16</v>
      </c>
      <c r="C2790" s="20"/>
      <c r="D2790" s="21"/>
    </row>
    <row r="2791" spans="1:4" ht="12.75" customHeight="1" x14ac:dyDescent="0.2">
      <c r="A2791" s="21"/>
      <c r="B2791" s="3" t="s">
        <v>17</v>
      </c>
      <c r="C2791" s="20"/>
      <c r="D2791" s="21"/>
    </row>
    <row r="2792" spans="1:4" ht="12.75" customHeight="1" x14ac:dyDescent="0.2">
      <c r="A2792" s="21"/>
      <c r="B2792" s="20" t="s">
        <v>18</v>
      </c>
      <c r="C2792" s="4" t="s">
        <v>44</v>
      </c>
      <c r="D2792" s="6" t="str">
        <f>HYPERLINK("javascript:void(0)","rotorcsillag")</f>
        <v>rotorcsillag</v>
      </c>
    </row>
    <row r="2793" spans="1:4" ht="12.75" customHeight="1" x14ac:dyDescent="0.2">
      <c r="A2793" s="21"/>
      <c r="B2793" s="21"/>
      <c r="C2793" s="4" t="s">
        <v>98</v>
      </c>
      <c r="D2793" s="6" t="str">
        <f>HYPERLINK("javascript:void(0)","csontszilánk")</f>
        <v>csontszilánk</v>
      </c>
    </row>
    <row r="2794" spans="1:4" ht="12.75" customHeight="1" x14ac:dyDescent="0.2">
      <c r="A2794" s="21"/>
      <c r="B2794" s="21"/>
      <c r="C2794" s="4" t="s">
        <v>68</v>
      </c>
      <c r="D2794" s="6" t="str">
        <f>HYPERLINK("javascript:void(0)","istenköröm")</f>
        <v>istenköröm</v>
      </c>
    </row>
    <row r="2795" spans="1:4" ht="12.75" customHeight="1" x14ac:dyDescent="0.2">
      <c r="A2795" s="5"/>
      <c r="B2795" s="2"/>
      <c r="C2795" s="2"/>
      <c r="D2795" s="2"/>
    </row>
    <row r="2796" spans="1:4" ht="12.75" customHeight="1" x14ac:dyDescent="0.2">
      <c r="A2796" s="22" t="str">
        <f>HYPERLINK("javascript:void(0)","thordi mágusölő")</f>
        <v>thordi mágusölő</v>
      </c>
      <c r="B2796" s="21"/>
      <c r="C2796" s="21"/>
      <c r="D2796" s="21"/>
    </row>
    <row r="2797" spans="1:4" ht="12.75" customHeight="1" x14ac:dyDescent="0.2">
      <c r="A2797" s="20"/>
      <c r="B2797" s="2"/>
      <c r="C2797" s="2"/>
      <c r="D2797" s="2"/>
    </row>
    <row r="2798" spans="1:4" ht="12.75" customHeight="1" x14ac:dyDescent="0.2">
      <c r="A2798" s="21"/>
      <c r="B2798" s="3" t="s">
        <v>0</v>
      </c>
      <c r="C2798" s="20" t="s">
        <v>376</v>
      </c>
      <c r="D2798" s="21"/>
    </row>
    <row r="2799" spans="1:4" ht="12.75" customHeight="1" x14ac:dyDescent="0.2">
      <c r="A2799" s="21"/>
      <c r="B2799" s="3" t="s">
        <v>2</v>
      </c>
      <c r="C2799" s="20" t="s">
        <v>1598</v>
      </c>
      <c r="D2799" s="21"/>
    </row>
    <row r="2800" spans="1:4" ht="12.75" customHeight="1" x14ac:dyDescent="0.2">
      <c r="A2800" s="21"/>
      <c r="B2800" s="3" t="s">
        <v>4</v>
      </c>
      <c r="C2800" s="20" t="s">
        <v>1943</v>
      </c>
      <c r="D2800" s="21"/>
    </row>
    <row r="2801" spans="1:4" ht="12.75" customHeight="1" x14ac:dyDescent="0.2">
      <c r="A2801" s="21"/>
      <c r="B2801" s="3" t="s">
        <v>6</v>
      </c>
      <c r="C2801" s="20" t="s">
        <v>48</v>
      </c>
      <c r="D2801" s="21"/>
    </row>
    <row r="2802" spans="1:4" ht="12.75" customHeight="1" x14ac:dyDescent="0.2">
      <c r="A2802" s="21"/>
      <c r="B2802" s="3" t="s">
        <v>8</v>
      </c>
      <c r="C2802" s="20" t="s">
        <v>1943</v>
      </c>
      <c r="D2802" s="21"/>
    </row>
    <row r="2803" spans="1:4" ht="12.75" customHeight="1" x14ac:dyDescent="0.2">
      <c r="A2803" s="21"/>
      <c r="B2803" s="3" t="s">
        <v>9</v>
      </c>
      <c r="C2803" s="20" t="s">
        <v>759</v>
      </c>
      <c r="D2803" s="21"/>
    </row>
    <row r="2804" spans="1:4" ht="12.75" customHeight="1" x14ac:dyDescent="0.2">
      <c r="A2804" s="21"/>
      <c r="B2804" s="3" t="s">
        <v>11</v>
      </c>
      <c r="C2804" s="20" t="s">
        <v>514</v>
      </c>
      <c r="D2804" s="21"/>
    </row>
    <row r="2805" spans="1:4" ht="12.75" customHeight="1" x14ac:dyDescent="0.2">
      <c r="A2805" s="21"/>
      <c r="B2805" s="3" t="s">
        <v>13</v>
      </c>
      <c r="C2805" s="20" t="s">
        <v>14</v>
      </c>
      <c r="D2805" s="21"/>
    </row>
    <row r="2806" spans="1:4" ht="12.75" customHeight="1" x14ac:dyDescent="0.2">
      <c r="A2806" s="21"/>
      <c r="B2806" s="3" t="s">
        <v>15</v>
      </c>
      <c r="C2806" s="20" t="s">
        <v>24</v>
      </c>
      <c r="D2806" s="21"/>
    </row>
    <row r="2807" spans="1:4" ht="12.75" customHeight="1" x14ac:dyDescent="0.2">
      <c r="A2807" s="21"/>
      <c r="B2807" s="3" t="s">
        <v>16</v>
      </c>
      <c r="C2807" s="20"/>
      <c r="D2807" s="21"/>
    </row>
    <row r="2808" spans="1:4" ht="12.75" customHeight="1" x14ac:dyDescent="0.2">
      <c r="A2808" s="21"/>
      <c r="B2808" s="3" t="s">
        <v>17</v>
      </c>
      <c r="C2808" s="20"/>
      <c r="D2808" s="21"/>
    </row>
    <row r="2809" spans="1:4" ht="12.75" customHeight="1" x14ac:dyDescent="0.2">
      <c r="A2809" s="21"/>
      <c r="B2809" s="20" t="s">
        <v>18</v>
      </c>
      <c r="C2809" s="4" t="s">
        <v>68</v>
      </c>
      <c r="D2809" s="6" t="str">
        <f>HYPERLINK("javascript:void(0)","homokóra")</f>
        <v>homokóra</v>
      </c>
    </row>
    <row r="2810" spans="1:4" ht="12.75" customHeight="1" x14ac:dyDescent="0.2">
      <c r="A2810" s="21"/>
      <c r="B2810" s="21"/>
      <c r="C2810" s="4" t="s">
        <v>98</v>
      </c>
      <c r="D2810" s="6" t="str">
        <f>HYPERLINK("javascript:void(0)","csigaház")</f>
        <v>csigaház</v>
      </c>
    </row>
    <row r="2811" spans="1:4" ht="12.75" customHeight="1" x14ac:dyDescent="0.2">
      <c r="A2811" s="21"/>
      <c r="B2811" s="21"/>
      <c r="C2811" s="4" t="s">
        <v>139</v>
      </c>
      <c r="D2811" s="6" t="str">
        <f>HYPERLINK("javascript:void(0)","malacorr")</f>
        <v>malacorr</v>
      </c>
    </row>
    <row r="2812" spans="1:4" ht="12.75" customHeight="1" x14ac:dyDescent="0.2">
      <c r="A2812" s="5"/>
      <c r="B2812" s="2"/>
      <c r="C2812" s="2"/>
      <c r="D2812" s="2"/>
    </row>
    <row r="2813" spans="1:4" ht="12.75" customHeight="1" x14ac:dyDescent="0.2">
      <c r="A2813" s="22" t="str">
        <f>HYPERLINK("javascript:void(0)","horogcsillag")</f>
        <v>horogcsillag</v>
      </c>
      <c r="B2813" s="21"/>
      <c r="C2813" s="21"/>
      <c r="D2813" s="21"/>
    </row>
    <row r="2814" spans="1:4" ht="12.75" customHeight="1" x14ac:dyDescent="0.2">
      <c r="A2814" s="20"/>
      <c r="B2814" s="2"/>
      <c r="C2814" s="2"/>
      <c r="D2814" s="2"/>
    </row>
    <row r="2815" spans="1:4" ht="12.75" customHeight="1" x14ac:dyDescent="0.2">
      <c r="A2815" s="21"/>
      <c r="B2815" s="3" t="s">
        <v>0</v>
      </c>
      <c r="C2815" s="20" t="s">
        <v>60</v>
      </c>
      <c r="D2815" s="21"/>
    </row>
    <row r="2816" spans="1:4" ht="12.75" customHeight="1" x14ac:dyDescent="0.2">
      <c r="A2816" s="21"/>
      <c r="B2816" s="3" t="s">
        <v>2</v>
      </c>
      <c r="C2816" s="20" t="s">
        <v>1598</v>
      </c>
      <c r="D2816" s="21"/>
    </row>
    <row r="2817" spans="1:4" ht="12.75" customHeight="1" x14ac:dyDescent="0.2">
      <c r="A2817" s="21"/>
      <c r="B2817" s="3" t="s">
        <v>4</v>
      </c>
      <c r="C2817" s="20" t="s">
        <v>1945</v>
      </c>
      <c r="D2817" s="21"/>
    </row>
    <row r="2818" spans="1:4" ht="12.75" customHeight="1" x14ac:dyDescent="0.2">
      <c r="A2818" s="21"/>
      <c r="B2818" s="3" t="s">
        <v>6</v>
      </c>
      <c r="C2818" s="20" t="s">
        <v>107</v>
      </c>
      <c r="D2818" s="21"/>
    </row>
    <row r="2819" spans="1:4" ht="12.75" customHeight="1" x14ac:dyDescent="0.2">
      <c r="A2819" s="21"/>
      <c r="B2819" s="3" t="s">
        <v>8</v>
      </c>
      <c r="C2819" s="20" t="s">
        <v>1945</v>
      </c>
      <c r="D2819" s="21"/>
    </row>
    <row r="2820" spans="1:4" ht="12.75" customHeight="1" x14ac:dyDescent="0.2">
      <c r="A2820" s="21"/>
      <c r="B2820" s="3" t="s">
        <v>9</v>
      </c>
      <c r="C2820" s="20" t="s">
        <v>42</v>
      </c>
      <c r="D2820" s="21"/>
    </row>
    <row r="2821" spans="1:4" ht="12.75" customHeight="1" x14ac:dyDescent="0.2">
      <c r="A2821" s="21"/>
      <c r="B2821" s="3" t="s">
        <v>11</v>
      </c>
      <c r="C2821" s="20" t="s">
        <v>523</v>
      </c>
      <c r="D2821" s="21"/>
    </row>
    <row r="2822" spans="1:4" ht="12.75" customHeight="1" x14ac:dyDescent="0.2">
      <c r="A2822" s="21"/>
      <c r="B2822" s="3" t="s">
        <v>13</v>
      </c>
      <c r="C2822" s="20" t="s">
        <v>24</v>
      </c>
      <c r="D2822" s="21"/>
    </row>
    <row r="2823" spans="1:4" ht="12.75" customHeight="1" x14ac:dyDescent="0.2">
      <c r="A2823" s="21"/>
      <c r="B2823" s="3" t="s">
        <v>15</v>
      </c>
      <c r="C2823" s="20" t="s">
        <v>24</v>
      </c>
      <c r="D2823" s="21"/>
    </row>
    <row r="2824" spans="1:4" ht="12.75" customHeight="1" x14ac:dyDescent="0.2">
      <c r="A2824" s="21"/>
      <c r="B2824" s="3" t="s">
        <v>16</v>
      </c>
      <c r="C2824" s="20"/>
      <c r="D2824" s="21"/>
    </row>
    <row r="2825" spans="1:4" ht="12.75" customHeight="1" x14ac:dyDescent="0.2">
      <c r="A2825" s="21"/>
      <c r="B2825" s="3" t="s">
        <v>17</v>
      </c>
      <c r="C2825" s="20"/>
      <c r="D2825" s="21"/>
    </row>
    <row r="2826" spans="1:4" ht="12.75" customHeight="1" x14ac:dyDescent="0.2">
      <c r="A2826" s="21"/>
      <c r="B2826" s="20" t="s">
        <v>18</v>
      </c>
      <c r="C2826" s="4" t="s">
        <v>44</v>
      </c>
      <c r="D2826" s="6" t="str">
        <f>HYPERLINK("javascript:void(0)","kompózium horoló")</f>
        <v>kompózium horoló</v>
      </c>
    </row>
    <row r="2827" spans="1:4" ht="12.75" customHeight="1" x14ac:dyDescent="0.2">
      <c r="A2827" s="21"/>
      <c r="B2827" s="21"/>
      <c r="C2827" s="4" t="s">
        <v>57</v>
      </c>
      <c r="D2827" s="6" t="str">
        <f>HYPERLINK("javascript:void(0)","horog")</f>
        <v>horog</v>
      </c>
    </row>
    <row r="2828" spans="1:4" ht="12.75" customHeight="1" x14ac:dyDescent="0.2">
      <c r="A2828" s="21"/>
      <c r="B2828" s="21"/>
      <c r="C2828" s="4" t="s">
        <v>68</v>
      </c>
      <c r="D2828" s="6" t="str">
        <f>HYPERLINK("javascript:void(0)","rozsdalap")</f>
        <v>rozsdalap</v>
      </c>
    </row>
    <row r="2829" spans="1:4" ht="12.75" customHeight="1" x14ac:dyDescent="0.2">
      <c r="A2829" s="5"/>
      <c r="B2829" s="2"/>
      <c r="C2829" s="2"/>
      <c r="D2829" s="2"/>
    </row>
    <row r="2830" spans="1:4" ht="12.75" customHeight="1" x14ac:dyDescent="0.2">
      <c r="A2830" s="22" t="str">
        <f>HYPERLINK("javascript:void(0)","horgolt gigapallos")</f>
        <v>horgolt gigapallos</v>
      </c>
      <c r="B2830" s="21"/>
      <c r="C2830" s="21"/>
      <c r="D2830" s="21"/>
    </row>
    <row r="2831" spans="1:4" ht="12.75" customHeight="1" x14ac:dyDescent="0.2">
      <c r="A2831" s="20"/>
      <c r="B2831" s="2"/>
      <c r="C2831" s="2"/>
      <c r="D2831" s="2"/>
    </row>
    <row r="2832" spans="1:4" ht="12.75" customHeight="1" x14ac:dyDescent="0.2">
      <c r="A2832" s="21"/>
      <c r="B2832" s="3" t="s">
        <v>0</v>
      </c>
      <c r="C2832" s="20" t="s">
        <v>60</v>
      </c>
      <c r="D2832" s="21"/>
    </row>
    <row r="2833" spans="1:4" ht="12.75" customHeight="1" x14ac:dyDescent="0.2">
      <c r="A2833" s="21"/>
      <c r="B2833" s="3" t="s">
        <v>2</v>
      </c>
      <c r="C2833" s="20" t="s">
        <v>1598</v>
      </c>
      <c r="D2833" s="21"/>
    </row>
    <row r="2834" spans="1:4" ht="12.75" customHeight="1" x14ac:dyDescent="0.2">
      <c r="A2834" s="21"/>
      <c r="B2834" s="3" t="s">
        <v>4</v>
      </c>
      <c r="C2834" s="20" t="s">
        <v>930</v>
      </c>
      <c r="D2834" s="21"/>
    </row>
    <row r="2835" spans="1:4" ht="12.75" customHeight="1" x14ac:dyDescent="0.2">
      <c r="A2835" s="21"/>
      <c r="B2835" s="3" t="s">
        <v>6</v>
      </c>
      <c r="C2835" s="20" t="s">
        <v>353</v>
      </c>
      <c r="D2835" s="21"/>
    </row>
    <row r="2836" spans="1:4" ht="12.75" customHeight="1" x14ac:dyDescent="0.2">
      <c r="A2836" s="21"/>
      <c r="B2836" s="3" t="s">
        <v>8</v>
      </c>
      <c r="C2836" s="20" t="s">
        <v>930</v>
      </c>
      <c r="D2836" s="21"/>
    </row>
    <row r="2837" spans="1:4" ht="12.75" customHeight="1" x14ac:dyDescent="0.2">
      <c r="A2837" s="21"/>
      <c r="B2837" s="3" t="s">
        <v>9</v>
      </c>
      <c r="C2837" s="20" t="s">
        <v>1947</v>
      </c>
      <c r="D2837" s="21"/>
    </row>
    <row r="2838" spans="1:4" ht="12.75" customHeight="1" x14ac:dyDescent="0.2">
      <c r="A2838" s="21"/>
      <c r="B2838" s="3" t="s">
        <v>11</v>
      </c>
      <c r="C2838" s="20" t="s">
        <v>603</v>
      </c>
      <c r="D2838" s="21"/>
    </row>
    <row r="2839" spans="1:4" ht="12.75" customHeight="1" x14ac:dyDescent="0.2">
      <c r="A2839" s="21"/>
      <c r="B2839" s="3" t="s">
        <v>13</v>
      </c>
      <c r="C2839" s="20" t="s">
        <v>24</v>
      </c>
      <c r="D2839" s="21"/>
    </row>
    <row r="2840" spans="1:4" ht="12.75" customHeight="1" x14ac:dyDescent="0.2">
      <c r="A2840" s="21"/>
      <c r="B2840" s="3" t="s">
        <v>15</v>
      </c>
      <c r="C2840" s="20" t="s">
        <v>24</v>
      </c>
      <c r="D2840" s="21"/>
    </row>
    <row r="2841" spans="1:4" ht="12.75" customHeight="1" x14ac:dyDescent="0.2">
      <c r="A2841" s="21"/>
      <c r="B2841" s="3" t="s">
        <v>16</v>
      </c>
      <c r="C2841" s="20"/>
      <c r="D2841" s="21"/>
    </row>
    <row r="2842" spans="1:4" ht="12.75" customHeight="1" x14ac:dyDescent="0.2">
      <c r="A2842" s="21"/>
      <c r="B2842" s="3" t="s">
        <v>17</v>
      </c>
      <c r="C2842" s="20"/>
      <c r="D2842" s="21"/>
    </row>
    <row r="2843" spans="1:4" ht="12.75" customHeight="1" x14ac:dyDescent="0.2">
      <c r="A2843" s="21"/>
      <c r="B2843" s="20" t="s">
        <v>18</v>
      </c>
      <c r="C2843" s="4" t="s">
        <v>68</v>
      </c>
      <c r="D2843" s="6" t="str">
        <f>HYPERLINK("javascript:void(0)","horog")</f>
        <v>horog</v>
      </c>
    </row>
    <row r="2844" spans="1:4" ht="12.75" customHeight="1" x14ac:dyDescent="0.2">
      <c r="A2844" s="21"/>
      <c r="B2844" s="21"/>
      <c r="C2844" s="4" t="s">
        <v>117</v>
      </c>
      <c r="D2844" s="6" t="str">
        <f>HYPERLINK("javascript:void(0)","vérrög")</f>
        <v>vérrög</v>
      </c>
    </row>
    <row r="2845" spans="1:4" ht="12.75" customHeight="1" x14ac:dyDescent="0.2">
      <c r="A2845" s="21"/>
      <c r="B2845" s="21"/>
      <c r="C2845" s="4" t="s">
        <v>382</v>
      </c>
      <c r="D2845" s="6" t="str">
        <f>HYPERLINK("javascript:void(0)","szemgödör")</f>
        <v>szemgödör</v>
      </c>
    </row>
    <row r="2846" spans="1:4" ht="12.75" customHeight="1" x14ac:dyDescent="0.2">
      <c r="A2846" s="5"/>
      <c r="B2846" s="2"/>
      <c r="C2846" s="2"/>
      <c r="D2846" s="2"/>
    </row>
    <row r="2847" spans="1:4" ht="12.75" customHeight="1" x14ac:dyDescent="0.2">
      <c r="A2847" s="22" t="str">
        <f>HYPERLINK("javascript:void(0)","gyíkacél jatagán")</f>
        <v>gyíkacél jatagán</v>
      </c>
      <c r="B2847" s="21"/>
      <c r="C2847" s="21"/>
      <c r="D2847" s="21"/>
    </row>
    <row r="2848" spans="1:4" ht="12.75" customHeight="1" x14ac:dyDescent="0.2">
      <c r="A2848" s="20"/>
      <c r="B2848" s="2"/>
      <c r="C2848" s="2"/>
      <c r="D2848" s="2"/>
    </row>
    <row r="2849" spans="1:4" ht="12.75" customHeight="1" x14ac:dyDescent="0.2">
      <c r="A2849" s="21"/>
      <c r="B2849" s="3" t="s">
        <v>0</v>
      </c>
      <c r="C2849" s="20" t="s">
        <v>60</v>
      </c>
      <c r="D2849" s="21"/>
    </row>
    <row r="2850" spans="1:4" ht="12.75" customHeight="1" x14ac:dyDescent="0.2">
      <c r="A2850" s="21"/>
      <c r="B2850" s="3" t="s">
        <v>2</v>
      </c>
      <c r="C2850" s="20" t="s">
        <v>1598</v>
      </c>
      <c r="D2850" s="21"/>
    </row>
    <row r="2851" spans="1:4" ht="12.75" customHeight="1" x14ac:dyDescent="0.2">
      <c r="A2851" s="21"/>
      <c r="B2851" s="3" t="s">
        <v>4</v>
      </c>
      <c r="C2851" s="20" t="s">
        <v>1948</v>
      </c>
      <c r="D2851" s="21"/>
    </row>
    <row r="2852" spans="1:4" ht="12.75" customHeight="1" x14ac:dyDescent="0.2">
      <c r="A2852" s="21"/>
      <c r="B2852" s="3" t="s">
        <v>6</v>
      </c>
      <c r="C2852" s="20" t="s">
        <v>107</v>
      </c>
      <c r="D2852" s="21"/>
    </row>
    <row r="2853" spans="1:4" ht="12.75" customHeight="1" x14ac:dyDescent="0.2">
      <c r="A2853" s="21"/>
      <c r="B2853" s="3" t="s">
        <v>8</v>
      </c>
      <c r="C2853" s="20" t="s">
        <v>1948</v>
      </c>
      <c r="D2853" s="21"/>
    </row>
    <row r="2854" spans="1:4" ht="12.75" customHeight="1" x14ac:dyDescent="0.2">
      <c r="A2854" s="21"/>
      <c r="B2854" s="3" t="s">
        <v>9</v>
      </c>
      <c r="C2854" s="20" t="s">
        <v>1949</v>
      </c>
      <c r="D2854" s="21"/>
    </row>
    <row r="2855" spans="1:4" ht="12.75" customHeight="1" x14ac:dyDescent="0.2">
      <c r="A2855" s="21"/>
      <c r="B2855" s="3" t="s">
        <v>11</v>
      </c>
      <c r="C2855" s="20" t="s">
        <v>381</v>
      </c>
      <c r="D2855" s="21"/>
    </row>
    <row r="2856" spans="1:4" ht="12.75" customHeight="1" x14ac:dyDescent="0.2">
      <c r="A2856" s="21"/>
      <c r="B2856" s="3" t="s">
        <v>13</v>
      </c>
      <c r="C2856" s="20" t="s">
        <v>24</v>
      </c>
      <c r="D2856" s="21"/>
    </row>
    <row r="2857" spans="1:4" ht="12.75" customHeight="1" x14ac:dyDescent="0.2">
      <c r="A2857" s="21"/>
      <c r="B2857" s="3" t="s">
        <v>15</v>
      </c>
      <c r="C2857" s="20" t="s">
        <v>24</v>
      </c>
      <c r="D2857" s="21"/>
    </row>
    <row r="2858" spans="1:4" ht="12.75" customHeight="1" x14ac:dyDescent="0.2">
      <c r="A2858" s="21"/>
      <c r="B2858" s="3" t="s">
        <v>16</v>
      </c>
      <c r="C2858" s="20"/>
      <c r="D2858" s="21"/>
    </row>
    <row r="2859" spans="1:4" ht="12.75" customHeight="1" x14ac:dyDescent="0.2">
      <c r="A2859" s="21"/>
      <c r="B2859" s="3" t="s">
        <v>17</v>
      </c>
      <c r="C2859" s="20"/>
      <c r="D2859" s="21"/>
    </row>
    <row r="2860" spans="1:4" ht="12.75" customHeight="1" x14ac:dyDescent="0.2">
      <c r="A2860" s="21"/>
      <c r="B2860" s="20" t="s">
        <v>18</v>
      </c>
      <c r="C2860" s="4" t="s">
        <v>130</v>
      </c>
      <c r="D2860" s="6" t="str">
        <f>HYPERLINK("javascript:void(0)","méregzacskó")</f>
        <v>méregzacskó</v>
      </c>
    </row>
    <row r="2861" spans="1:4" ht="12.75" customHeight="1" x14ac:dyDescent="0.2">
      <c r="A2861" s="21"/>
      <c r="B2861" s="21"/>
      <c r="C2861" s="4" t="s">
        <v>139</v>
      </c>
      <c r="D2861" s="6" t="str">
        <f>HYPERLINK("javascript:void(0)","démonvádli")</f>
        <v>démonvádli</v>
      </c>
    </row>
    <row r="2862" spans="1:4" ht="12.75" customHeight="1" x14ac:dyDescent="0.2">
      <c r="A2862" s="21"/>
      <c r="B2862" s="21"/>
      <c r="C2862" s="4" t="s">
        <v>139</v>
      </c>
      <c r="D2862" s="6" t="str">
        <f>HYPERLINK("javascript:void(0)","szent szimbólum")</f>
        <v>szent szimbólum</v>
      </c>
    </row>
    <row r="2863" spans="1:4" ht="12.75" customHeight="1" x14ac:dyDescent="0.2">
      <c r="A2863" s="5"/>
      <c r="B2863" s="2"/>
      <c r="C2863" s="2"/>
      <c r="D2863" s="2"/>
    </row>
    <row r="2864" spans="1:4" ht="12.75" customHeight="1" x14ac:dyDescent="0.2">
      <c r="A2864" s="22" t="str">
        <f>HYPERLINK("javascript:void(0)","kompózium sarló")</f>
        <v>kompózium sarló</v>
      </c>
      <c r="B2864" s="21"/>
      <c r="C2864" s="21"/>
      <c r="D2864" s="21"/>
    </row>
    <row r="2865" spans="1:4" ht="12.75" customHeight="1" x14ac:dyDescent="0.2">
      <c r="A2865" s="20"/>
      <c r="B2865" s="2"/>
      <c r="C2865" s="2"/>
      <c r="D2865" s="2"/>
    </row>
    <row r="2866" spans="1:4" ht="12.75" customHeight="1" x14ac:dyDescent="0.2">
      <c r="A2866" s="21"/>
      <c r="B2866" s="3" t="s">
        <v>0</v>
      </c>
      <c r="C2866" s="20" t="s">
        <v>167</v>
      </c>
      <c r="D2866" s="21"/>
    </row>
    <row r="2867" spans="1:4" ht="12.75" customHeight="1" x14ac:dyDescent="0.2">
      <c r="A2867" s="21"/>
      <c r="B2867" s="3" t="s">
        <v>2</v>
      </c>
      <c r="C2867" s="20" t="s">
        <v>1598</v>
      </c>
      <c r="D2867" s="21"/>
    </row>
    <row r="2868" spans="1:4" ht="12.75" customHeight="1" x14ac:dyDescent="0.2">
      <c r="A2868" s="21"/>
      <c r="B2868" s="3" t="s">
        <v>4</v>
      </c>
      <c r="C2868" s="20" t="s">
        <v>1951</v>
      </c>
      <c r="D2868" s="21"/>
    </row>
    <row r="2869" spans="1:4" ht="12.75" customHeight="1" x14ac:dyDescent="0.2">
      <c r="A2869" s="21"/>
      <c r="B2869" s="3" t="s">
        <v>6</v>
      </c>
      <c r="C2869" s="20" t="s">
        <v>298</v>
      </c>
      <c r="D2869" s="21"/>
    </row>
    <row r="2870" spans="1:4" ht="12.75" customHeight="1" x14ac:dyDescent="0.2">
      <c r="A2870" s="21"/>
      <c r="B2870" s="3" t="s">
        <v>8</v>
      </c>
      <c r="C2870" s="20" t="s">
        <v>1951</v>
      </c>
      <c r="D2870" s="21"/>
    </row>
    <row r="2871" spans="1:4" ht="12.75" customHeight="1" x14ac:dyDescent="0.2">
      <c r="A2871" s="21"/>
      <c r="B2871" s="3" t="s">
        <v>9</v>
      </c>
      <c r="C2871" s="20" t="s">
        <v>79</v>
      </c>
      <c r="D2871" s="21"/>
    </row>
    <row r="2872" spans="1:4" ht="12.75" customHeight="1" x14ac:dyDescent="0.2">
      <c r="A2872" s="21"/>
      <c r="B2872" s="3" t="s">
        <v>11</v>
      </c>
      <c r="C2872" s="20" t="s">
        <v>536</v>
      </c>
      <c r="D2872" s="21"/>
    </row>
    <row r="2873" spans="1:4" ht="12.75" customHeight="1" x14ac:dyDescent="0.2">
      <c r="A2873" s="21"/>
      <c r="B2873" s="3" t="s">
        <v>13</v>
      </c>
      <c r="C2873" s="20" t="s">
        <v>24</v>
      </c>
      <c r="D2873" s="21"/>
    </row>
    <row r="2874" spans="1:4" ht="12.75" customHeight="1" x14ac:dyDescent="0.2">
      <c r="A2874" s="21"/>
      <c r="B2874" s="3" t="s">
        <v>15</v>
      </c>
      <c r="C2874" s="20" t="s">
        <v>24</v>
      </c>
      <c r="D2874" s="21"/>
    </row>
    <row r="2875" spans="1:4" ht="12.75" customHeight="1" x14ac:dyDescent="0.2">
      <c r="A2875" s="21"/>
      <c r="B2875" s="3" t="s">
        <v>16</v>
      </c>
      <c r="C2875" s="20"/>
      <c r="D2875" s="21"/>
    </row>
    <row r="2876" spans="1:4" ht="12.75" customHeight="1" x14ac:dyDescent="0.2">
      <c r="A2876" s="21"/>
      <c r="B2876" s="3" t="s">
        <v>17</v>
      </c>
      <c r="C2876" s="20"/>
      <c r="D2876" s="21"/>
    </row>
    <row r="2877" spans="1:4" ht="12.75" customHeight="1" x14ac:dyDescent="0.2">
      <c r="A2877" s="21"/>
      <c r="B2877" s="20" t="s">
        <v>18</v>
      </c>
      <c r="C2877" s="4" t="s">
        <v>55</v>
      </c>
      <c r="D2877" s="6" t="str">
        <f>HYPERLINK("javascript:void(0)","hörcsögagyar")</f>
        <v>hörcsögagyar</v>
      </c>
    </row>
    <row r="2878" spans="1:4" ht="12.75" customHeight="1" x14ac:dyDescent="0.2">
      <c r="A2878" s="21"/>
      <c r="B2878" s="21"/>
      <c r="C2878" s="4" t="s">
        <v>68</v>
      </c>
      <c r="D2878" s="6" t="str">
        <f>HYPERLINK("javascript:void(0)","űrlap")</f>
        <v>űrlap</v>
      </c>
    </row>
    <row r="2879" spans="1:4" ht="12.75" customHeight="1" x14ac:dyDescent="0.2">
      <c r="A2879" s="21"/>
      <c r="B2879" s="21"/>
      <c r="C2879" s="4" t="s">
        <v>382</v>
      </c>
      <c r="D2879" s="6" t="str">
        <f>HYPERLINK("javascript:void(0)","szemgödör")</f>
        <v>szemgödör</v>
      </c>
    </row>
    <row r="2880" spans="1:4" ht="12.75" customHeight="1" x14ac:dyDescent="0.2">
      <c r="A2880" s="5"/>
      <c r="B2880" s="2"/>
      <c r="C2880" s="2"/>
      <c r="D2880" s="2"/>
    </row>
    <row r="2881" spans="1:4" ht="12.75" customHeight="1" x14ac:dyDescent="0.2">
      <c r="A2881" s="22" t="str">
        <f>HYPERLINK("javascript:void(0)","rotor mágusölő")</f>
        <v>rotor mágusölő</v>
      </c>
      <c r="B2881" s="21"/>
      <c r="C2881" s="21"/>
      <c r="D2881" s="21"/>
    </row>
    <row r="2882" spans="1:4" ht="12.75" customHeight="1" x14ac:dyDescent="0.2">
      <c r="A2882" s="20"/>
      <c r="B2882" s="2"/>
      <c r="C2882" s="2"/>
      <c r="D2882" s="2"/>
    </row>
    <row r="2883" spans="1:4" ht="12.75" customHeight="1" x14ac:dyDescent="0.2">
      <c r="A2883" s="21"/>
      <c r="B2883" s="3" t="s">
        <v>0</v>
      </c>
      <c r="C2883" s="20" t="s">
        <v>167</v>
      </c>
      <c r="D2883" s="21"/>
    </row>
    <row r="2884" spans="1:4" ht="12.75" customHeight="1" x14ac:dyDescent="0.2">
      <c r="A2884" s="21"/>
      <c r="B2884" s="3" t="s">
        <v>2</v>
      </c>
      <c r="C2884" s="20" t="s">
        <v>1598</v>
      </c>
      <c r="D2884" s="21"/>
    </row>
    <row r="2885" spans="1:4" ht="12.75" customHeight="1" x14ac:dyDescent="0.2">
      <c r="A2885" s="21"/>
      <c r="B2885" s="3" t="s">
        <v>4</v>
      </c>
      <c r="C2885" s="20" t="s">
        <v>1952</v>
      </c>
      <c r="D2885" s="21"/>
    </row>
    <row r="2886" spans="1:4" ht="12.75" customHeight="1" x14ac:dyDescent="0.2">
      <c r="A2886" s="21"/>
      <c r="B2886" s="3" t="s">
        <v>6</v>
      </c>
      <c r="C2886" s="20" t="s">
        <v>48</v>
      </c>
      <c r="D2886" s="21"/>
    </row>
    <row r="2887" spans="1:4" ht="12.75" customHeight="1" x14ac:dyDescent="0.2">
      <c r="A2887" s="21"/>
      <c r="B2887" s="3" t="s">
        <v>8</v>
      </c>
      <c r="C2887" s="20" t="s">
        <v>1952</v>
      </c>
      <c r="D2887" s="21"/>
    </row>
    <row r="2888" spans="1:4" ht="12.75" customHeight="1" x14ac:dyDescent="0.2">
      <c r="A2888" s="21"/>
      <c r="B2888" s="3" t="s">
        <v>9</v>
      </c>
      <c r="C2888" s="20" t="s">
        <v>1893</v>
      </c>
      <c r="D2888" s="21"/>
    </row>
    <row r="2889" spans="1:4" ht="12.75" customHeight="1" x14ac:dyDescent="0.2">
      <c r="A2889" s="21"/>
      <c r="B2889" s="3" t="s">
        <v>11</v>
      </c>
      <c r="C2889" s="20" t="s">
        <v>536</v>
      </c>
      <c r="D2889" s="21"/>
    </row>
    <row r="2890" spans="1:4" ht="12.75" customHeight="1" x14ac:dyDescent="0.2">
      <c r="A2890" s="21"/>
      <c r="B2890" s="3" t="s">
        <v>13</v>
      </c>
      <c r="C2890" s="20" t="s">
        <v>14</v>
      </c>
      <c r="D2890" s="21"/>
    </row>
    <row r="2891" spans="1:4" ht="12.75" customHeight="1" x14ac:dyDescent="0.2">
      <c r="A2891" s="21"/>
      <c r="B2891" s="3" t="s">
        <v>15</v>
      </c>
      <c r="C2891" s="20" t="s">
        <v>24</v>
      </c>
      <c r="D2891" s="21"/>
    </row>
    <row r="2892" spans="1:4" ht="12.75" customHeight="1" x14ac:dyDescent="0.2">
      <c r="A2892" s="21"/>
      <c r="B2892" s="3" t="s">
        <v>16</v>
      </c>
      <c r="C2892" s="20"/>
      <c r="D2892" s="21"/>
    </row>
    <row r="2893" spans="1:4" ht="12.75" customHeight="1" x14ac:dyDescent="0.2">
      <c r="A2893" s="21"/>
      <c r="B2893" s="3" t="s">
        <v>17</v>
      </c>
      <c r="C2893" s="20"/>
      <c r="D2893" s="21"/>
    </row>
    <row r="2894" spans="1:4" ht="12.75" customHeight="1" x14ac:dyDescent="0.2">
      <c r="A2894" s="21"/>
      <c r="B2894" s="20" t="s">
        <v>18</v>
      </c>
      <c r="C2894" s="4" t="s">
        <v>244</v>
      </c>
      <c r="D2894" s="6" t="str">
        <f>HYPERLINK("javascript:void(0)","hörcsögagyar")</f>
        <v>hörcsögagyar</v>
      </c>
    </row>
    <row r="2895" spans="1:4" ht="12.75" customHeight="1" x14ac:dyDescent="0.2">
      <c r="A2895" s="21"/>
      <c r="B2895" s="21"/>
      <c r="C2895" s="4" t="s">
        <v>290</v>
      </c>
      <c r="D2895" s="6" t="str">
        <f>HYPERLINK("javascript:void(0)","rotorlapát")</f>
        <v>rotorlapát</v>
      </c>
    </row>
    <row r="2896" spans="1:4" ht="12.75" customHeight="1" x14ac:dyDescent="0.2">
      <c r="A2896" s="21"/>
      <c r="B2896" s="21"/>
      <c r="C2896" s="4" t="s">
        <v>382</v>
      </c>
      <c r="D2896" s="6" t="str">
        <f>HYPERLINK("javascript:void(0)","szemgödör")</f>
        <v>szemgödör</v>
      </c>
    </row>
    <row r="2897" spans="1:4" ht="12.75" customHeight="1" x14ac:dyDescent="0.2">
      <c r="A2897" s="5"/>
      <c r="B2897" s="2"/>
      <c r="C2897" s="2"/>
      <c r="D2897" s="2"/>
    </row>
    <row r="2898" spans="1:4" ht="12.75" customHeight="1" x14ac:dyDescent="0.2">
      <c r="A2898" s="22" t="str">
        <f>HYPERLINK("javascript:void(0)","kompózium párbajtőr")</f>
        <v>kompózium párbajtőr</v>
      </c>
      <c r="B2898" s="21"/>
      <c r="C2898" s="21"/>
      <c r="D2898" s="21"/>
    </row>
    <row r="2899" spans="1:4" ht="12.75" customHeight="1" x14ac:dyDescent="0.2">
      <c r="A2899" s="20"/>
      <c r="B2899" s="2"/>
      <c r="C2899" s="2"/>
      <c r="D2899" s="2"/>
    </row>
    <row r="2900" spans="1:4" ht="12.75" customHeight="1" x14ac:dyDescent="0.2">
      <c r="A2900" s="21"/>
      <c r="B2900" s="3" t="s">
        <v>0</v>
      </c>
      <c r="C2900" s="20" t="s">
        <v>532</v>
      </c>
      <c r="D2900" s="21"/>
    </row>
    <row r="2901" spans="1:4" ht="12.75" customHeight="1" x14ac:dyDescent="0.2">
      <c r="A2901" s="21"/>
      <c r="B2901" s="3" t="s">
        <v>2</v>
      </c>
      <c r="C2901" s="20" t="s">
        <v>1598</v>
      </c>
      <c r="D2901" s="21"/>
    </row>
    <row r="2902" spans="1:4" ht="12.75" customHeight="1" x14ac:dyDescent="0.2">
      <c r="A2902" s="21"/>
      <c r="B2902" s="3" t="s">
        <v>4</v>
      </c>
      <c r="C2902" s="20" t="s">
        <v>1954</v>
      </c>
      <c r="D2902" s="21"/>
    </row>
    <row r="2903" spans="1:4" ht="12.75" customHeight="1" x14ac:dyDescent="0.2">
      <c r="A2903" s="21"/>
      <c r="B2903" s="3" t="s">
        <v>6</v>
      </c>
      <c r="C2903" s="20" t="s">
        <v>206</v>
      </c>
      <c r="D2903" s="21"/>
    </row>
    <row r="2904" spans="1:4" ht="12.75" customHeight="1" x14ac:dyDescent="0.2">
      <c r="A2904" s="21"/>
      <c r="B2904" s="3" t="s">
        <v>8</v>
      </c>
      <c r="C2904" s="20" t="s">
        <v>1954</v>
      </c>
      <c r="D2904" s="21"/>
    </row>
    <row r="2905" spans="1:4" ht="12.75" customHeight="1" x14ac:dyDescent="0.2">
      <c r="A2905" s="21"/>
      <c r="B2905" s="3" t="s">
        <v>9</v>
      </c>
      <c r="C2905" s="20" t="s">
        <v>172</v>
      </c>
      <c r="D2905" s="21"/>
    </row>
    <row r="2906" spans="1:4" ht="12.75" customHeight="1" x14ac:dyDescent="0.2">
      <c r="A2906" s="21"/>
      <c r="B2906" s="3" t="s">
        <v>11</v>
      </c>
      <c r="C2906" s="20" t="s">
        <v>542</v>
      </c>
      <c r="D2906" s="21"/>
    </row>
    <row r="2907" spans="1:4" ht="12.75" customHeight="1" x14ac:dyDescent="0.2">
      <c r="A2907" s="21"/>
      <c r="B2907" s="3" t="s">
        <v>13</v>
      </c>
      <c r="C2907" s="20" t="s">
        <v>24</v>
      </c>
      <c r="D2907" s="21"/>
    </row>
    <row r="2908" spans="1:4" ht="12.75" customHeight="1" x14ac:dyDescent="0.2">
      <c r="A2908" s="21"/>
      <c r="B2908" s="3" t="s">
        <v>15</v>
      </c>
      <c r="C2908" s="20" t="s">
        <v>24</v>
      </c>
      <c r="D2908" s="21"/>
    </row>
    <row r="2909" spans="1:4" ht="12.75" customHeight="1" x14ac:dyDescent="0.2">
      <c r="A2909" s="21"/>
      <c r="B2909" s="3" t="s">
        <v>16</v>
      </c>
      <c r="C2909" s="20"/>
      <c r="D2909" s="21"/>
    </row>
    <row r="2910" spans="1:4" ht="12.75" customHeight="1" x14ac:dyDescent="0.2">
      <c r="A2910" s="21"/>
      <c r="B2910" s="3" t="s">
        <v>17</v>
      </c>
      <c r="C2910" s="20"/>
      <c r="D2910" s="21"/>
    </row>
    <row r="2911" spans="1:4" ht="12.75" customHeight="1" x14ac:dyDescent="0.2">
      <c r="A2911" s="21"/>
      <c r="B2911" s="20" t="s">
        <v>18</v>
      </c>
      <c r="C2911" s="4" t="s">
        <v>44</v>
      </c>
      <c r="D2911" s="6" t="str">
        <f>HYPERLINK("javascript:void(0)","horogcsillag")</f>
        <v>horogcsillag</v>
      </c>
    </row>
    <row r="2912" spans="1:4" ht="12.75" customHeight="1" x14ac:dyDescent="0.2">
      <c r="A2912" s="21"/>
      <c r="B2912" s="21"/>
      <c r="C2912" s="4" t="s">
        <v>44</v>
      </c>
      <c r="D2912" s="6" t="str">
        <f>HYPERLINK("javascript:void(0)","kompózium sarló")</f>
        <v>kompózium sarló</v>
      </c>
    </row>
    <row r="2913" spans="1:4" ht="12.75" customHeight="1" x14ac:dyDescent="0.2">
      <c r="A2913" s="21"/>
      <c r="B2913" s="21"/>
      <c r="C2913" s="4" t="s">
        <v>44</v>
      </c>
      <c r="D2913" s="6" t="str">
        <f>HYPERLINK("javascript:void(0)","kompózium kosár")</f>
        <v>kompózium kosár</v>
      </c>
    </row>
    <row r="2914" spans="1:4" ht="12.75" customHeight="1" x14ac:dyDescent="0.2">
      <c r="A2914" s="5"/>
      <c r="B2914" s="2"/>
      <c r="C2914" s="2"/>
      <c r="D2914" s="2"/>
    </row>
    <row r="2915" spans="1:4" ht="12.75" customHeight="1" x14ac:dyDescent="0.2">
      <c r="A2915" s="22" t="str">
        <f>HYPERLINK("javascript:void(0)","krono gigapallos")</f>
        <v>krono gigapallos</v>
      </c>
      <c r="B2915" s="21"/>
      <c r="C2915" s="21"/>
      <c r="D2915" s="21"/>
    </row>
    <row r="2916" spans="1:4" ht="12.75" customHeight="1" x14ac:dyDescent="0.2">
      <c r="A2916" s="20"/>
      <c r="B2916" s="2"/>
      <c r="C2916" s="2"/>
      <c r="D2916" s="2"/>
    </row>
    <row r="2917" spans="1:4" ht="12.75" customHeight="1" x14ac:dyDescent="0.2">
      <c r="A2917" s="21"/>
      <c r="B2917" s="3" t="s">
        <v>0</v>
      </c>
      <c r="C2917" s="20" t="s">
        <v>532</v>
      </c>
      <c r="D2917" s="21"/>
    </row>
    <row r="2918" spans="1:4" ht="12.75" customHeight="1" x14ac:dyDescent="0.2">
      <c r="A2918" s="21"/>
      <c r="B2918" s="3" t="s">
        <v>2</v>
      </c>
      <c r="C2918" s="20" t="s">
        <v>1598</v>
      </c>
      <c r="D2918" s="21"/>
    </row>
    <row r="2919" spans="1:4" ht="12.75" customHeight="1" x14ac:dyDescent="0.2">
      <c r="A2919" s="21"/>
      <c r="B2919" s="3" t="s">
        <v>4</v>
      </c>
      <c r="C2919" s="20" t="s">
        <v>538</v>
      </c>
      <c r="D2919" s="21"/>
    </row>
    <row r="2920" spans="1:4" ht="12.75" customHeight="1" x14ac:dyDescent="0.2">
      <c r="A2920" s="21"/>
      <c r="B2920" s="3" t="s">
        <v>6</v>
      </c>
      <c r="C2920" s="20" t="s">
        <v>353</v>
      </c>
      <c r="D2920" s="21"/>
    </row>
    <row r="2921" spans="1:4" ht="12.75" customHeight="1" x14ac:dyDescent="0.2">
      <c r="A2921" s="21"/>
      <c r="B2921" s="3" t="s">
        <v>8</v>
      </c>
      <c r="C2921" s="20" t="s">
        <v>538</v>
      </c>
      <c r="D2921" s="21"/>
    </row>
    <row r="2922" spans="1:4" ht="12.75" customHeight="1" x14ac:dyDescent="0.2">
      <c r="A2922" s="21"/>
      <c r="B2922" s="3" t="s">
        <v>9</v>
      </c>
      <c r="C2922" s="20" t="s">
        <v>1956</v>
      </c>
      <c r="D2922" s="21"/>
    </row>
    <row r="2923" spans="1:4" ht="12.75" customHeight="1" x14ac:dyDescent="0.2">
      <c r="A2923" s="21"/>
      <c r="B2923" s="3" t="s">
        <v>11</v>
      </c>
      <c r="C2923" s="20" t="s">
        <v>645</v>
      </c>
      <c r="D2923" s="21"/>
    </row>
    <row r="2924" spans="1:4" ht="12.75" customHeight="1" x14ac:dyDescent="0.2">
      <c r="A2924" s="21"/>
      <c r="B2924" s="3" t="s">
        <v>13</v>
      </c>
      <c r="C2924" s="20" t="s">
        <v>24</v>
      </c>
      <c r="D2924" s="21"/>
    </row>
    <row r="2925" spans="1:4" ht="12.75" customHeight="1" x14ac:dyDescent="0.2">
      <c r="A2925" s="21"/>
      <c r="B2925" s="3" t="s">
        <v>15</v>
      </c>
      <c r="C2925" s="20" t="s">
        <v>24</v>
      </c>
      <c r="D2925" s="21"/>
    </row>
    <row r="2926" spans="1:4" ht="12.75" customHeight="1" x14ac:dyDescent="0.2">
      <c r="A2926" s="21"/>
      <c r="B2926" s="3" t="s">
        <v>16</v>
      </c>
      <c r="C2926" s="20"/>
      <c r="D2926" s="21"/>
    </row>
    <row r="2927" spans="1:4" ht="12.75" customHeight="1" x14ac:dyDescent="0.2">
      <c r="A2927" s="21"/>
      <c r="B2927" s="3" t="s">
        <v>17</v>
      </c>
      <c r="C2927" s="20"/>
      <c r="D2927" s="21"/>
    </row>
    <row r="2928" spans="1:4" ht="12.75" customHeight="1" x14ac:dyDescent="0.2">
      <c r="A2928" s="21"/>
      <c r="B2928" s="20" t="s">
        <v>18</v>
      </c>
      <c r="C2928" s="4" t="s">
        <v>327</v>
      </c>
      <c r="D2928" s="6" t="str">
        <f>HYPERLINK("javascript:void(0)","kacat")</f>
        <v>kacat</v>
      </c>
    </row>
    <row r="2929" spans="1:4" ht="12.75" customHeight="1" x14ac:dyDescent="0.2">
      <c r="A2929" s="21"/>
      <c r="B2929" s="21"/>
      <c r="C2929" s="4" t="s">
        <v>756</v>
      </c>
      <c r="D2929" s="6" t="str">
        <f>HYPERLINK("javascript:void(0)","csontszilánk")</f>
        <v>csontszilánk</v>
      </c>
    </row>
    <row r="2930" spans="1:4" ht="12.75" customHeight="1" x14ac:dyDescent="0.2">
      <c r="A2930" s="21"/>
      <c r="B2930" s="21"/>
      <c r="C2930" s="4" t="s">
        <v>139</v>
      </c>
      <c r="D2930" s="6" t="str">
        <f>HYPERLINK("javascript:void(0)","csigaház")</f>
        <v>csigaház</v>
      </c>
    </row>
    <row r="2931" spans="1:4" ht="12.75" customHeight="1" x14ac:dyDescent="0.2">
      <c r="A2931" s="5"/>
      <c r="B2931" s="2"/>
      <c r="C2931" s="2"/>
      <c r="D2931" s="2"/>
    </row>
    <row r="2932" spans="1:4" ht="12.75" customHeight="1" x14ac:dyDescent="0.2">
      <c r="A2932" s="22" t="str">
        <f>HYPERLINK("javascript:void(0)","gyíkacél alabárd")</f>
        <v>gyíkacél alabárd</v>
      </c>
      <c r="B2932" s="21"/>
      <c r="C2932" s="21"/>
      <c r="D2932" s="21"/>
    </row>
    <row r="2933" spans="1:4" ht="12.75" customHeight="1" x14ac:dyDescent="0.2">
      <c r="A2933" s="20"/>
      <c r="B2933" s="2"/>
      <c r="C2933" s="2"/>
      <c r="D2933" s="2"/>
    </row>
    <row r="2934" spans="1:4" ht="12.75" customHeight="1" x14ac:dyDescent="0.2">
      <c r="A2934" s="21"/>
      <c r="B2934" s="3" t="s">
        <v>0</v>
      </c>
      <c r="C2934" s="20" t="s">
        <v>532</v>
      </c>
      <c r="D2934" s="21"/>
    </row>
    <row r="2935" spans="1:4" ht="12.75" customHeight="1" x14ac:dyDescent="0.2">
      <c r="A2935" s="21"/>
      <c r="B2935" s="3" t="s">
        <v>2</v>
      </c>
      <c r="C2935" s="20" t="s">
        <v>1598</v>
      </c>
      <c r="D2935" s="21"/>
    </row>
    <row r="2936" spans="1:4" ht="12.75" customHeight="1" x14ac:dyDescent="0.2">
      <c r="A2936" s="21"/>
      <c r="B2936" s="3" t="s">
        <v>4</v>
      </c>
      <c r="C2936" s="20" t="s">
        <v>1959</v>
      </c>
      <c r="D2936" s="21"/>
    </row>
    <row r="2937" spans="1:4" ht="12.75" customHeight="1" x14ac:dyDescent="0.2">
      <c r="A2937" s="21"/>
      <c r="B2937" s="3" t="s">
        <v>6</v>
      </c>
      <c r="C2937" s="20" t="s">
        <v>107</v>
      </c>
      <c r="D2937" s="21"/>
    </row>
    <row r="2938" spans="1:4" ht="12.75" customHeight="1" x14ac:dyDescent="0.2">
      <c r="A2938" s="21"/>
      <c r="B2938" s="3" t="s">
        <v>8</v>
      </c>
      <c r="C2938" s="20" t="s">
        <v>1959</v>
      </c>
      <c r="D2938" s="21"/>
    </row>
    <row r="2939" spans="1:4" ht="12.75" customHeight="1" x14ac:dyDescent="0.2">
      <c r="A2939" s="21"/>
      <c r="B2939" s="3" t="s">
        <v>9</v>
      </c>
      <c r="C2939" s="20" t="s">
        <v>1960</v>
      </c>
      <c r="D2939" s="21"/>
    </row>
    <row r="2940" spans="1:4" ht="12.75" customHeight="1" x14ac:dyDescent="0.2">
      <c r="A2940" s="21"/>
      <c r="B2940" s="3" t="s">
        <v>11</v>
      </c>
      <c r="C2940" s="20" t="s">
        <v>414</v>
      </c>
      <c r="D2940" s="21"/>
    </row>
    <row r="2941" spans="1:4" ht="12.75" customHeight="1" x14ac:dyDescent="0.2">
      <c r="A2941" s="21"/>
      <c r="B2941" s="3" t="s">
        <v>13</v>
      </c>
      <c r="C2941" s="20" t="s">
        <v>24</v>
      </c>
      <c r="D2941" s="21"/>
    </row>
    <row r="2942" spans="1:4" ht="12.75" customHeight="1" x14ac:dyDescent="0.2">
      <c r="A2942" s="21"/>
      <c r="B2942" s="3" t="s">
        <v>15</v>
      </c>
      <c r="C2942" s="20" t="s">
        <v>24</v>
      </c>
      <c r="D2942" s="21"/>
    </row>
    <row r="2943" spans="1:4" ht="12.75" customHeight="1" x14ac:dyDescent="0.2">
      <c r="A2943" s="21"/>
      <c r="B2943" s="3" t="s">
        <v>16</v>
      </c>
      <c r="C2943" s="20"/>
      <c r="D2943" s="21"/>
    </row>
    <row r="2944" spans="1:4" ht="12.75" customHeight="1" x14ac:dyDescent="0.2">
      <c r="A2944" s="21"/>
      <c r="B2944" s="3" t="s">
        <v>17</v>
      </c>
      <c r="C2944" s="20"/>
      <c r="D2944" s="21"/>
    </row>
    <row r="2945" spans="1:4" ht="12.75" customHeight="1" x14ac:dyDescent="0.2">
      <c r="A2945" s="21"/>
      <c r="B2945" s="20" t="s">
        <v>18</v>
      </c>
      <c r="C2945" s="4" t="s">
        <v>280</v>
      </c>
      <c r="D2945" s="6" t="str">
        <f>HYPERLINK("javascript:void(0)","mantüske")</f>
        <v>mantüske</v>
      </c>
    </row>
    <row r="2946" spans="1:4" ht="12.75" customHeight="1" x14ac:dyDescent="0.2">
      <c r="A2946" s="21"/>
      <c r="B2946" s="21"/>
      <c r="C2946" s="4" t="s">
        <v>67</v>
      </c>
      <c r="D2946" s="6" t="str">
        <f>HYPERLINK("javascript:void(0)","ínszalag")</f>
        <v>ínszalag</v>
      </c>
    </row>
    <row r="2947" spans="1:4" ht="12.75" customHeight="1" x14ac:dyDescent="0.2">
      <c r="A2947" s="21"/>
      <c r="B2947" s="21"/>
      <c r="C2947" s="4" t="s">
        <v>280</v>
      </c>
      <c r="D2947" s="6" t="str">
        <f>HYPERLINK("javascript:void(0)","szúnyogszárny")</f>
        <v>szúnyogszárny</v>
      </c>
    </row>
    <row r="2948" spans="1:4" ht="12.75" customHeight="1" x14ac:dyDescent="0.2">
      <c r="A2948" s="5"/>
      <c r="B2948" s="2"/>
      <c r="C2948" s="2"/>
      <c r="D2948" s="2"/>
    </row>
    <row r="2949" spans="1:4" ht="12.75" customHeight="1" x14ac:dyDescent="0.2">
      <c r="A2949" s="22" t="str">
        <f>HYPERLINK("javascript:void(0)","dimenziónyeső")</f>
        <v>dimenziónyeső</v>
      </c>
      <c r="B2949" s="21"/>
      <c r="C2949" s="21"/>
      <c r="D2949" s="21"/>
    </row>
    <row r="2950" spans="1:4" ht="12.75" customHeight="1" x14ac:dyDescent="0.2">
      <c r="A2950" s="20"/>
      <c r="B2950" s="2"/>
      <c r="C2950" s="2"/>
      <c r="D2950" s="2"/>
    </row>
    <row r="2951" spans="1:4" ht="12.75" customHeight="1" x14ac:dyDescent="0.2">
      <c r="A2951" s="21"/>
      <c r="B2951" s="3" t="s">
        <v>0</v>
      </c>
      <c r="C2951" s="20" t="s">
        <v>223</v>
      </c>
      <c r="D2951" s="21"/>
    </row>
    <row r="2952" spans="1:4" ht="12.75" customHeight="1" x14ac:dyDescent="0.2">
      <c r="A2952" s="21"/>
      <c r="B2952" s="3" t="s">
        <v>2</v>
      </c>
      <c r="C2952" s="20" t="s">
        <v>1598</v>
      </c>
      <c r="D2952" s="21"/>
    </row>
    <row r="2953" spans="1:4" ht="12.75" customHeight="1" x14ac:dyDescent="0.2">
      <c r="A2953" s="21"/>
      <c r="B2953" s="3" t="s">
        <v>4</v>
      </c>
      <c r="C2953" s="20" t="s">
        <v>944</v>
      </c>
      <c r="D2953" s="21"/>
    </row>
    <row r="2954" spans="1:4" ht="12.75" customHeight="1" x14ac:dyDescent="0.2">
      <c r="A2954" s="21"/>
      <c r="B2954" s="3" t="s">
        <v>6</v>
      </c>
      <c r="C2954" s="20" t="s">
        <v>52</v>
      </c>
      <c r="D2954" s="21"/>
    </row>
    <row r="2955" spans="1:4" ht="12.75" customHeight="1" x14ac:dyDescent="0.2">
      <c r="A2955" s="21"/>
      <c r="B2955" s="3" t="s">
        <v>8</v>
      </c>
      <c r="C2955" s="20" t="s">
        <v>944</v>
      </c>
      <c r="D2955" s="21"/>
    </row>
    <row r="2956" spans="1:4" ht="12.75" customHeight="1" x14ac:dyDescent="0.2">
      <c r="A2956" s="21"/>
      <c r="B2956" s="3" t="s">
        <v>9</v>
      </c>
      <c r="C2956" s="20" t="s">
        <v>210</v>
      </c>
      <c r="D2956" s="21"/>
    </row>
    <row r="2957" spans="1:4" ht="12.75" customHeight="1" x14ac:dyDescent="0.2">
      <c r="A2957" s="21"/>
      <c r="B2957" s="3" t="s">
        <v>11</v>
      </c>
      <c r="C2957" s="20" t="s">
        <v>552</v>
      </c>
      <c r="D2957" s="21"/>
    </row>
    <row r="2958" spans="1:4" ht="12.75" customHeight="1" x14ac:dyDescent="0.2">
      <c r="A2958" s="21"/>
      <c r="B2958" s="3" t="s">
        <v>13</v>
      </c>
      <c r="C2958" s="20" t="s">
        <v>24</v>
      </c>
      <c r="D2958" s="21"/>
    </row>
    <row r="2959" spans="1:4" ht="12.75" customHeight="1" x14ac:dyDescent="0.2">
      <c r="A2959" s="21"/>
      <c r="B2959" s="3" t="s">
        <v>15</v>
      </c>
      <c r="C2959" s="20" t="s">
        <v>24</v>
      </c>
      <c r="D2959" s="21"/>
    </row>
    <row r="2960" spans="1:4" ht="12.75" customHeight="1" x14ac:dyDescent="0.2">
      <c r="A2960" s="21"/>
      <c r="B2960" s="3" t="s">
        <v>16</v>
      </c>
      <c r="C2960" s="20"/>
      <c r="D2960" s="21"/>
    </row>
    <row r="2961" spans="1:4" ht="12.75" customHeight="1" x14ac:dyDescent="0.2">
      <c r="A2961" s="21"/>
      <c r="B2961" s="3" t="s">
        <v>17</v>
      </c>
      <c r="C2961" s="20"/>
      <c r="D2961" s="21"/>
    </row>
    <row r="2962" spans="1:4" ht="25.5" customHeight="1" x14ac:dyDescent="0.2">
      <c r="A2962" s="21"/>
      <c r="B2962" s="20" t="s">
        <v>18</v>
      </c>
      <c r="C2962" s="4" t="s">
        <v>44</v>
      </c>
      <c r="D2962" s="6" t="str">
        <f>HYPERLINK("javascript:void(0)","kompózium párbajtőr")</f>
        <v>kompózium párbajtőr</v>
      </c>
    </row>
    <row r="2963" spans="1:4" ht="12.75" customHeight="1" x14ac:dyDescent="0.2">
      <c r="A2963" s="21"/>
      <c r="B2963" s="21"/>
      <c r="C2963" s="4" t="s">
        <v>57</v>
      </c>
      <c r="D2963" s="6" t="str">
        <f>HYPERLINK("javascript:void(0)","dimenzióforgács")</f>
        <v>dimenzióforgács</v>
      </c>
    </row>
    <row r="2964" spans="1:4" ht="12.75" customHeight="1" x14ac:dyDescent="0.2">
      <c r="A2964" s="21"/>
      <c r="B2964" s="21"/>
      <c r="C2964" s="4" t="s">
        <v>369</v>
      </c>
      <c r="D2964" s="6" t="str">
        <f>HYPERLINK("javascript:void(0)","homokóra")</f>
        <v>homokóra</v>
      </c>
    </row>
    <row r="2965" spans="1:4" ht="12.75" customHeight="1" x14ac:dyDescent="0.2">
      <c r="A2965" s="5"/>
      <c r="B2965" s="2"/>
      <c r="C2965" s="2"/>
      <c r="D2965" s="2"/>
    </row>
    <row r="2966" spans="1:4" ht="12.75" customHeight="1" x14ac:dyDescent="0.2">
      <c r="A2966" s="22" t="str">
        <f>HYPERLINK("javascript:void(0)","fotoacél mágusölő")</f>
        <v>fotoacél mágusölő</v>
      </c>
      <c r="B2966" s="21"/>
      <c r="C2966" s="21"/>
      <c r="D2966" s="21"/>
    </row>
    <row r="2967" spans="1:4" ht="12.75" customHeight="1" x14ac:dyDescent="0.2">
      <c r="A2967" s="20"/>
      <c r="B2967" s="2"/>
      <c r="C2967" s="2"/>
      <c r="D2967" s="2"/>
    </row>
    <row r="2968" spans="1:4" ht="12.75" customHeight="1" x14ac:dyDescent="0.2">
      <c r="A2968" s="21"/>
      <c r="B2968" s="3" t="s">
        <v>0</v>
      </c>
      <c r="C2968" s="20" t="s">
        <v>223</v>
      </c>
      <c r="D2968" s="21"/>
    </row>
    <row r="2969" spans="1:4" ht="12.75" customHeight="1" x14ac:dyDescent="0.2">
      <c r="A2969" s="21"/>
      <c r="B2969" s="3" t="s">
        <v>2</v>
      </c>
      <c r="C2969" s="20" t="s">
        <v>1598</v>
      </c>
      <c r="D2969" s="21"/>
    </row>
    <row r="2970" spans="1:4" ht="12.75" customHeight="1" x14ac:dyDescent="0.2">
      <c r="A2970" s="21"/>
      <c r="B2970" s="3" t="s">
        <v>4</v>
      </c>
      <c r="C2970" s="20" t="s">
        <v>1963</v>
      </c>
      <c r="D2970" s="21"/>
    </row>
    <row r="2971" spans="1:4" ht="12.75" customHeight="1" x14ac:dyDescent="0.2">
      <c r="A2971" s="21"/>
      <c r="B2971" s="3" t="s">
        <v>6</v>
      </c>
      <c r="C2971" s="20" t="s">
        <v>48</v>
      </c>
      <c r="D2971" s="21"/>
    </row>
    <row r="2972" spans="1:4" ht="12.75" customHeight="1" x14ac:dyDescent="0.2">
      <c r="A2972" s="21"/>
      <c r="B2972" s="3" t="s">
        <v>8</v>
      </c>
      <c r="C2972" s="20" t="s">
        <v>1963</v>
      </c>
      <c r="D2972" s="21"/>
    </row>
    <row r="2973" spans="1:4" ht="12.75" customHeight="1" x14ac:dyDescent="0.2">
      <c r="A2973" s="21"/>
      <c r="B2973" s="3" t="s">
        <v>9</v>
      </c>
      <c r="C2973" s="20" t="s">
        <v>802</v>
      </c>
      <c r="D2973" s="21"/>
    </row>
    <row r="2974" spans="1:4" ht="12.75" customHeight="1" x14ac:dyDescent="0.2">
      <c r="A2974" s="21"/>
      <c r="B2974" s="3" t="s">
        <v>11</v>
      </c>
      <c r="C2974" s="20" t="s">
        <v>552</v>
      </c>
      <c r="D2974" s="21"/>
    </row>
    <row r="2975" spans="1:4" ht="12.75" customHeight="1" x14ac:dyDescent="0.2">
      <c r="A2975" s="21"/>
      <c r="B2975" s="3" t="s">
        <v>13</v>
      </c>
      <c r="C2975" s="20" t="s">
        <v>14</v>
      </c>
      <c r="D2975" s="21"/>
    </row>
    <row r="2976" spans="1:4" ht="12.75" customHeight="1" x14ac:dyDescent="0.2">
      <c r="A2976" s="21"/>
      <c r="B2976" s="3" t="s">
        <v>15</v>
      </c>
      <c r="C2976" s="20" t="s">
        <v>24</v>
      </c>
      <c r="D2976" s="21"/>
    </row>
    <row r="2977" spans="1:4" ht="12.75" customHeight="1" x14ac:dyDescent="0.2">
      <c r="A2977" s="21"/>
      <c r="B2977" s="3" t="s">
        <v>16</v>
      </c>
      <c r="C2977" s="20"/>
      <c r="D2977" s="21"/>
    </row>
    <row r="2978" spans="1:4" ht="12.75" customHeight="1" x14ac:dyDescent="0.2">
      <c r="A2978" s="21"/>
      <c r="B2978" s="3" t="s">
        <v>17</v>
      </c>
      <c r="C2978" s="20"/>
      <c r="D2978" s="21"/>
    </row>
    <row r="2979" spans="1:4" ht="12.75" customHeight="1" x14ac:dyDescent="0.2">
      <c r="A2979" s="21"/>
      <c r="B2979" s="20" t="s">
        <v>18</v>
      </c>
      <c r="C2979" s="4" t="s">
        <v>163</v>
      </c>
      <c r="D2979" s="6" t="str">
        <f>HYPERLINK("javascript:void(0)","fotogén")</f>
        <v>fotogén</v>
      </c>
    </row>
    <row r="2980" spans="1:4" ht="12.75" customHeight="1" x14ac:dyDescent="0.2">
      <c r="A2980" s="21"/>
      <c r="B2980" s="21"/>
      <c r="C2980" s="4" t="s">
        <v>117</v>
      </c>
      <c r="D2980" s="6" t="str">
        <f>HYPERLINK("javascript:void(0)","horog")</f>
        <v>horog</v>
      </c>
    </row>
    <row r="2981" spans="1:4" ht="12.75" customHeight="1" x14ac:dyDescent="0.2">
      <c r="A2981" s="21"/>
      <c r="B2981" s="21"/>
      <c r="C2981" s="4" t="s">
        <v>193</v>
      </c>
      <c r="D2981" s="6" t="str">
        <f>HYPERLINK("javascript:void(0)","rotorlapát")</f>
        <v>rotorlapát</v>
      </c>
    </row>
    <row r="2982" spans="1:4" ht="12.75" customHeight="1" x14ac:dyDescent="0.2">
      <c r="A2982" s="5"/>
      <c r="B2982" s="2"/>
      <c r="C2982" s="2"/>
      <c r="D2982" s="2"/>
    </row>
    <row r="2983" spans="1:4" ht="12.75" customHeight="1" x14ac:dyDescent="0.2">
      <c r="A2983" s="22" t="str">
        <f>HYPERLINK("javascript:void(0)","uszony gigapallos")</f>
        <v>uszony gigapallos</v>
      </c>
      <c r="B2983" s="21"/>
      <c r="C2983" s="21"/>
      <c r="D2983" s="21"/>
    </row>
    <row r="2984" spans="1:4" ht="12.75" customHeight="1" x14ac:dyDescent="0.2">
      <c r="A2984" s="20"/>
      <c r="B2984" s="2"/>
      <c r="C2984" s="2"/>
      <c r="D2984" s="2"/>
    </row>
    <row r="2985" spans="1:4" ht="12.75" customHeight="1" x14ac:dyDescent="0.2">
      <c r="A2985" s="21"/>
      <c r="B2985" s="3" t="s">
        <v>0</v>
      </c>
      <c r="C2985" s="20" t="s">
        <v>229</v>
      </c>
      <c r="D2985" s="21"/>
    </row>
    <row r="2986" spans="1:4" ht="12.75" customHeight="1" x14ac:dyDescent="0.2">
      <c r="A2986" s="21"/>
      <c r="B2986" s="3" t="s">
        <v>2</v>
      </c>
      <c r="C2986" s="20" t="s">
        <v>1598</v>
      </c>
      <c r="D2986" s="21"/>
    </row>
    <row r="2987" spans="1:4" ht="12.75" customHeight="1" x14ac:dyDescent="0.2">
      <c r="A2987" s="21"/>
      <c r="B2987" s="3" t="s">
        <v>4</v>
      </c>
      <c r="C2987" s="20" t="s">
        <v>1965</v>
      </c>
      <c r="D2987" s="21"/>
    </row>
    <row r="2988" spans="1:4" ht="12.75" customHeight="1" x14ac:dyDescent="0.2">
      <c r="A2988" s="21"/>
      <c r="B2988" s="3" t="s">
        <v>6</v>
      </c>
      <c r="C2988" s="20" t="s">
        <v>107</v>
      </c>
      <c r="D2988" s="21"/>
    </row>
    <row r="2989" spans="1:4" ht="12.75" customHeight="1" x14ac:dyDescent="0.2">
      <c r="A2989" s="21"/>
      <c r="B2989" s="3" t="s">
        <v>8</v>
      </c>
      <c r="C2989" s="20" t="s">
        <v>1965</v>
      </c>
      <c r="D2989" s="21"/>
    </row>
    <row r="2990" spans="1:4" ht="12.75" customHeight="1" x14ac:dyDescent="0.2">
      <c r="A2990" s="21"/>
      <c r="B2990" s="3" t="s">
        <v>9</v>
      </c>
      <c r="C2990" s="20" t="s">
        <v>1966</v>
      </c>
      <c r="D2990" s="21"/>
    </row>
    <row r="2991" spans="1:4" ht="12.75" customHeight="1" x14ac:dyDescent="0.2">
      <c r="A2991" s="21"/>
      <c r="B2991" s="3" t="s">
        <v>11</v>
      </c>
      <c r="C2991" s="20" t="s">
        <v>674</v>
      </c>
      <c r="D2991" s="21"/>
    </row>
    <row r="2992" spans="1:4" ht="12.75" customHeight="1" x14ac:dyDescent="0.2">
      <c r="A2992" s="21"/>
      <c r="B2992" s="3" t="s">
        <v>13</v>
      </c>
      <c r="C2992" s="20" t="s">
        <v>24</v>
      </c>
      <c r="D2992" s="21"/>
    </row>
    <row r="2993" spans="1:4" ht="12.75" customHeight="1" x14ac:dyDescent="0.2">
      <c r="A2993" s="21"/>
      <c r="B2993" s="3" t="s">
        <v>15</v>
      </c>
      <c r="C2993" s="20" t="s">
        <v>24</v>
      </c>
      <c r="D2993" s="21"/>
    </row>
    <row r="2994" spans="1:4" ht="12.75" customHeight="1" x14ac:dyDescent="0.2">
      <c r="A2994" s="21"/>
      <c r="B2994" s="3" t="s">
        <v>16</v>
      </c>
      <c r="C2994" s="20"/>
      <c r="D2994" s="21"/>
    </row>
    <row r="2995" spans="1:4" ht="12.75" customHeight="1" x14ac:dyDescent="0.2">
      <c r="A2995" s="21"/>
      <c r="B2995" s="3" t="s">
        <v>17</v>
      </c>
      <c r="C2995" s="20"/>
      <c r="D2995" s="21"/>
    </row>
    <row r="2996" spans="1:4" ht="12.75" customHeight="1" x14ac:dyDescent="0.2">
      <c r="A2996" s="21"/>
      <c r="B2996" s="20" t="s">
        <v>18</v>
      </c>
      <c r="C2996" s="4" t="s">
        <v>68</v>
      </c>
      <c r="D2996" s="6" t="str">
        <f>HYPERLINK("javascript:void(0)","uszony")</f>
        <v>uszony</v>
      </c>
    </row>
    <row r="2997" spans="1:4" ht="12.75" customHeight="1" x14ac:dyDescent="0.2">
      <c r="A2997" s="21"/>
      <c r="B2997" s="21"/>
      <c r="C2997" s="4" t="s">
        <v>117</v>
      </c>
      <c r="D2997" s="6" t="str">
        <f>HYPERLINK("javascript:void(0)","imázs")</f>
        <v>imázs</v>
      </c>
    </row>
    <row r="2998" spans="1:4" ht="12.75" customHeight="1" x14ac:dyDescent="0.2">
      <c r="A2998" s="21"/>
      <c r="B2998" s="21"/>
      <c r="C2998" s="4" t="s">
        <v>193</v>
      </c>
      <c r="D2998" s="6" t="str">
        <f>HYPERLINK("javascript:void(0)","űrlap")</f>
        <v>űrlap</v>
      </c>
    </row>
    <row r="2999" spans="1:4" ht="12.75" customHeight="1" x14ac:dyDescent="0.2">
      <c r="A2999" s="5"/>
      <c r="B2999" s="2"/>
      <c r="C2999" s="2"/>
      <c r="D2999" s="2"/>
    </row>
    <row r="3000" spans="1:4" ht="12.75" customHeight="1" x14ac:dyDescent="0.2">
      <c r="A3000" s="22" t="str">
        <f>HYPERLINK("javascript:void(0)","gyíkacél fejsze")</f>
        <v>gyíkacél fejsze</v>
      </c>
      <c r="B3000" s="21"/>
      <c r="C3000" s="21"/>
      <c r="D3000" s="21"/>
    </row>
    <row r="3001" spans="1:4" ht="12.75" customHeight="1" x14ac:dyDescent="0.2">
      <c r="A3001" s="20"/>
      <c r="B3001" s="2"/>
      <c r="C3001" s="2"/>
      <c r="D3001" s="2"/>
    </row>
    <row r="3002" spans="1:4" ht="12.75" customHeight="1" x14ac:dyDescent="0.2">
      <c r="A3002" s="21"/>
      <c r="B3002" s="3" t="s">
        <v>0</v>
      </c>
      <c r="C3002" s="20" t="s">
        <v>229</v>
      </c>
      <c r="D3002" s="21"/>
    </row>
    <row r="3003" spans="1:4" ht="12.75" customHeight="1" x14ac:dyDescent="0.2">
      <c r="A3003" s="21"/>
      <c r="B3003" s="3" t="s">
        <v>2</v>
      </c>
      <c r="C3003" s="20" t="s">
        <v>1598</v>
      </c>
      <c r="D3003" s="21"/>
    </row>
    <row r="3004" spans="1:4" ht="12.75" customHeight="1" x14ac:dyDescent="0.2">
      <c r="A3004" s="21"/>
      <c r="B3004" s="3" t="s">
        <v>4</v>
      </c>
      <c r="C3004" s="20" t="s">
        <v>1968</v>
      </c>
      <c r="D3004" s="21"/>
    </row>
    <row r="3005" spans="1:4" ht="12.75" customHeight="1" x14ac:dyDescent="0.2">
      <c r="A3005" s="21"/>
      <c r="B3005" s="3" t="s">
        <v>6</v>
      </c>
      <c r="C3005" s="20" t="s">
        <v>107</v>
      </c>
      <c r="D3005" s="21"/>
    </row>
    <row r="3006" spans="1:4" ht="12.75" customHeight="1" x14ac:dyDescent="0.2">
      <c r="A3006" s="21"/>
      <c r="B3006" s="3" t="s">
        <v>8</v>
      </c>
      <c r="C3006" s="20" t="s">
        <v>1968</v>
      </c>
      <c r="D3006" s="21"/>
    </row>
    <row r="3007" spans="1:4" ht="12.75" customHeight="1" x14ac:dyDescent="0.2">
      <c r="A3007" s="21"/>
      <c r="B3007" s="3" t="s">
        <v>9</v>
      </c>
      <c r="C3007" s="20" t="s">
        <v>1969</v>
      </c>
      <c r="D3007" s="21"/>
    </row>
    <row r="3008" spans="1:4" ht="12.75" customHeight="1" x14ac:dyDescent="0.2">
      <c r="A3008" s="21"/>
      <c r="B3008" s="3" t="s">
        <v>11</v>
      </c>
      <c r="C3008" s="20" t="s">
        <v>437</v>
      </c>
      <c r="D3008" s="21"/>
    </row>
    <row r="3009" spans="1:4" ht="12.75" customHeight="1" x14ac:dyDescent="0.2">
      <c r="A3009" s="21"/>
      <c r="B3009" s="3" t="s">
        <v>13</v>
      </c>
      <c r="C3009" s="20" t="s">
        <v>24</v>
      </c>
      <c r="D3009" s="21"/>
    </row>
    <row r="3010" spans="1:4" ht="12.75" customHeight="1" x14ac:dyDescent="0.2">
      <c r="A3010" s="21"/>
      <c r="B3010" s="3" t="s">
        <v>15</v>
      </c>
      <c r="C3010" s="20" t="s">
        <v>24</v>
      </c>
      <c r="D3010" s="21"/>
    </row>
    <row r="3011" spans="1:4" ht="12.75" customHeight="1" x14ac:dyDescent="0.2">
      <c r="A3011" s="21"/>
      <c r="B3011" s="3" t="s">
        <v>16</v>
      </c>
      <c r="C3011" s="20"/>
      <c r="D3011" s="21"/>
    </row>
    <row r="3012" spans="1:4" ht="12.75" customHeight="1" x14ac:dyDescent="0.2">
      <c r="A3012" s="21"/>
      <c r="B3012" s="3" t="s">
        <v>17</v>
      </c>
      <c r="C3012" s="20"/>
      <c r="D3012" s="21"/>
    </row>
    <row r="3013" spans="1:4" ht="12.75" customHeight="1" x14ac:dyDescent="0.2">
      <c r="A3013" s="21"/>
      <c r="B3013" s="20" t="s">
        <v>18</v>
      </c>
      <c r="C3013" s="4" t="s">
        <v>67</v>
      </c>
      <c r="D3013" s="6" t="str">
        <f>HYPERLINK("javascript:void(0)","rézrög")</f>
        <v>rézrög</v>
      </c>
    </row>
    <row r="3014" spans="1:4" ht="12.75" customHeight="1" x14ac:dyDescent="0.2">
      <c r="A3014" s="21"/>
      <c r="B3014" s="21"/>
      <c r="C3014" s="4" t="s">
        <v>163</v>
      </c>
      <c r="D3014" s="6" t="str">
        <f>HYPERLINK("javascript:void(0)","tűzige")</f>
        <v>tűzige</v>
      </c>
    </row>
    <row r="3015" spans="1:4" ht="12.75" customHeight="1" x14ac:dyDescent="0.2">
      <c r="A3015" s="21"/>
      <c r="B3015" s="21"/>
      <c r="C3015" s="4" t="s">
        <v>280</v>
      </c>
      <c r="D3015" s="6" t="str">
        <f>HYPERLINK("javascript:void(0)","sárkánypikkely")</f>
        <v>sárkánypikkely</v>
      </c>
    </row>
    <row r="3016" spans="1:4" ht="12.75" customHeight="1" x14ac:dyDescent="0.2">
      <c r="A3016" s="5"/>
      <c r="B3016" s="2"/>
      <c r="C3016" s="2"/>
      <c r="D3016" s="2"/>
    </row>
    <row r="3017" spans="1:4" ht="12.75" customHeight="1" x14ac:dyDescent="0.2">
      <c r="A3017" s="22" t="str">
        <f>HYPERLINK("javascript:void(0)","uszonypenge")</f>
        <v>uszonypenge</v>
      </c>
      <c r="B3017" s="21"/>
      <c r="C3017" s="21"/>
      <c r="D3017" s="21"/>
    </row>
    <row r="3018" spans="1:4" ht="12.75" customHeight="1" x14ac:dyDescent="0.2">
      <c r="A3018" s="20"/>
      <c r="B3018" s="2"/>
      <c r="C3018" s="2"/>
      <c r="D3018" s="2"/>
    </row>
    <row r="3019" spans="1:4" ht="12.75" customHeight="1" x14ac:dyDescent="0.2">
      <c r="A3019" s="21"/>
      <c r="B3019" s="3" t="s">
        <v>0</v>
      </c>
      <c r="C3019" s="20" t="s">
        <v>229</v>
      </c>
      <c r="D3019" s="21"/>
    </row>
    <row r="3020" spans="1:4" ht="12.75" customHeight="1" x14ac:dyDescent="0.2">
      <c r="A3020" s="21"/>
      <c r="B3020" s="3" t="s">
        <v>2</v>
      </c>
      <c r="C3020" s="20" t="s">
        <v>1598</v>
      </c>
      <c r="D3020" s="21"/>
    </row>
    <row r="3021" spans="1:4" ht="12.75" customHeight="1" x14ac:dyDescent="0.2">
      <c r="A3021" s="21"/>
      <c r="B3021" s="3" t="s">
        <v>4</v>
      </c>
      <c r="C3021" s="20" t="s">
        <v>1970</v>
      </c>
      <c r="D3021" s="21"/>
    </row>
    <row r="3022" spans="1:4" ht="12.75" customHeight="1" x14ac:dyDescent="0.2">
      <c r="A3022" s="21"/>
      <c r="B3022" s="3" t="s">
        <v>6</v>
      </c>
      <c r="C3022" s="20" t="s">
        <v>157</v>
      </c>
      <c r="D3022" s="21"/>
    </row>
    <row r="3023" spans="1:4" ht="12.75" customHeight="1" x14ac:dyDescent="0.2">
      <c r="A3023" s="21"/>
      <c r="B3023" s="3" t="s">
        <v>8</v>
      </c>
      <c r="C3023" s="20" t="s">
        <v>1970</v>
      </c>
      <c r="D3023" s="21"/>
    </row>
    <row r="3024" spans="1:4" ht="12.75" customHeight="1" x14ac:dyDescent="0.2">
      <c r="A3024" s="21"/>
      <c r="B3024" s="3" t="s">
        <v>9</v>
      </c>
      <c r="C3024" s="20" t="s">
        <v>129</v>
      </c>
      <c r="D3024" s="21"/>
    </row>
    <row r="3025" spans="1:4" ht="12.75" customHeight="1" x14ac:dyDescent="0.2">
      <c r="A3025" s="21"/>
      <c r="B3025" s="3" t="s">
        <v>11</v>
      </c>
      <c r="C3025" s="20" t="s">
        <v>566</v>
      </c>
      <c r="D3025" s="21"/>
    </row>
    <row r="3026" spans="1:4" ht="12.75" customHeight="1" x14ac:dyDescent="0.2">
      <c r="A3026" s="21"/>
      <c r="B3026" s="3" t="s">
        <v>13</v>
      </c>
      <c r="C3026" s="20" t="s">
        <v>24</v>
      </c>
      <c r="D3026" s="21"/>
    </row>
    <row r="3027" spans="1:4" ht="12.75" customHeight="1" x14ac:dyDescent="0.2">
      <c r="A3027" s="21"/>
      <c r="B3027" s="3" t="s">
        <v>15</v>
      </c>
      <c r="C3027" s="20" t="s">
        <v>24</v>
      </c>
      <c r="D3027" s="21"/>
    </row>
    <row r="3028" spans="1:4" ht="12.75" customHeight="1" x14ac:dyDescent="0.2">
      <c r="A3028" s="21"/>
      <c r="B3028" s="3" t="s">
        <v>16</v>
      </c>
      <c r="C3028" s="20"/>
      <c r="D3028" s="21"/>
    </row>
    <row r="3029" spans="1:4" ht="12.75" customHeight="1" x14ac:dyDescent="0.2">
      <c r="A3029" s="21"/>
      <c r="B3029" s="3" t="s">
        <v>17</v>
      </c>
      <c r="C3029" s="20"/>
      <c r="D3029" s="21"/>
    </row>
    <row r="3030" spans="1:4" ht="12.75" customHeight="1" x14ac:dyDescent="0.2">
      <c r="A3030" s="21"/>
      <c r="B3030" s="20" t="s">
        <v>18</v>
      </c>
      <c r="C3030" s="4" t="s">
        <v>56</v>
      </c>
      <c r="D3030" s="6" t="str">
        <f>HYPERLINK("javascript:void(0)","uszony")</f>
        <v>uszony</v>
      </c>
    </row>
    <row r="3031" spans="1:4" ht="12.75" customHeight="1" x14ac:dyDescent="0.2">
      <c r="A3031" s="21"/>
      <c r="B3031" s="21"/>
      <c r="C3031" s="4" t="s">
        <v>193</v>
      </c>
      <c r="D3031" s="6" t="str">
        <f>HYPERLINK("javascript:void(0)","rotorlapát")</f>
        <v>rotorlapát</v>
      </c>
    </row>
    <row r="3032" spans="1:4" ht="12.75" customHeight="1" x14ac:dyDescent="0.2">
      <c r="A3032" s="21"/>
      <c r="B3032" s="21"/>
      <c r="C3032" s="4" t="s">
        <v>327</v>
      </c>
      <c r="D3032" s="6" t="str">
        <f>HYPERLINK("javascript:void(0)","morfige")</f>
        <v>morfige</v>
      </c>
    </row>
    <row r="3033" spans="1:4" ht="12.75" customHeight="1" x14ac:dyDescent="0.2">
      <c r="A3033" s="5"/>
      <c r="B3033" s="2"/>
      <c r="C3033" s="2"/>
      <c r="D3033" s="2"/>
    </row>
    <row r="3034" spans="1:4" ht="12.75" customHeight="1" x14ac:dyDescent="0.2">
      <c r="A3034" s="22" t="str">
        <f>HYPERLINK("javascript:void(0)","fotoacél szurony")</f>
        <v>fotoacél szurony</v>
      </c>
      <c r="B3034" s="21"/>
      <c r="C3034" s="21"/>
      <c r="D3034" s="21"/>
    </row>
    <row r="3035" spans="1:4" ht="12.75" customHeight="1" x14ac:dyDescent="0.2">
      <c r="A3035" s="20"/>
      <c r="B3035" s="2"/>
      <c r="C3035" s="2"/>
      <c r="D3035" s="2"/>
    </row>
    <row r="3036" spans="1:4" ht="12.75" customHeight="1" x14ac:dyDescent="0.2">
      <c r="A3036" s="21"/>
      <c r="B3036" s="3" t="s">
        <v>0</v>
      </c>
      <c r="C3036" s="20" t="s">
        <v>562</v>
      </c>
      <c r="D3036" s="21"/>
    </row>
    <row r="3037" spans="1:4" ht="12.75" customHeight="1" x14ac:dyDescent="0.2">
      <c r="A3037" s="21"/>
      <c r="B3037" s="3" t="s">
        <v>2</v>
      </c>
      <c r="C3037" s="20" t="s">
        <v>1598</v>
      </c>
      <c r="D3037" s="21"/>
    </row>
    <row r="3038" spans="1:4" ht="12.75" customHeight="1" x14ac:dyDescent="0.2">
      <c r="A3038" s="21"/>
      <c r="B3038" s="3" t="s">
        <v>4</v>
      </c>
      <c r="C3038" s="20" t="s">
        <v>1971</v>
      </c>
      <c r="D3038" s="21"/>
    </row>
    <row r="3039" spans="1:4" ht="12.75" customHeight="1" x14ac:dyDescent="0.2">
      <c r="A3039" s="21"/>
      <c r="B3039" s="3" t="s">
        <v>6</v>
      </c>
      <c r="C3039" s="20" t="s">
        <v>178</v>
      </c>
      <c r="D3039" s="21"/>
    </row>
    <row r="3040" spans="1:4" ht="12.75" customHeight="1" x14ac:dyDescent="0.2">
      <c r="A3040" s="21"/>
      <c r="B3040" s="3" t="s">
        <v>8</v>
      </c>
      <c r="C3040" s="20" t="s">
        <v>1971</v>
      </c>
      <c r="D3040" s="21"/>
    </row>
    <row r="3041" spans="1:4" ht="12.75" customHeight="1" x14ac:dyDescent="0.2">
      <c r="A3041" s="21"/>
      <c r="B3041" s="3" t="s">
        <v>9</v>
      </c>
      <c r="C3041" s="20" t="s">
        <v>210</v>
      </c>
      <c r="D3041" s="21"/>
    </row>
    <row r="3042" spans="1:4" ht="12.75" customHeight="1" x14ac:dyDescent="0.2">
      <c r="A3042" s="21"/>
      <c r="B3042" s="3" t="s">
        <v>11</v>
      </c>
      <c r="C3042" s="20" t="s">
        <v>587</v>
      </c>
      <c r="D3042" s="21"/>
    </row>
    <row r="3043" spans="1:4" ht="12.75" customHeight="1" x14ac:dyDescent="0.2">
      <c r="A3043" s="21"/>
      <c r="B3043" s="3" t="s">
        <v>13</v>
      </c>
      <c r="C3043" s="20" t="s">
        <v>24</v>
      </c>
      <c r="D3043" s="21"/>
    </row>
    <row r="3044" spans="1:4" ht="12.75" customHeight="1" x14ac:dyDescent="0.2">
      <c r="A3044" s="21"/>
      <c r="B3044" s="3" t="s">
        <v>15</v>
      </c>
      <c r="C3044" s="20" t="s">
        <v>24</v>
      </c>
      <c r="D3044" s="21"/>
    </row>
    <row r="3045" spans="1:4" ht="12.75" customHeight="1" x14ac:dyDescent="0.2">
      <c r="A3045" s="21"/>
      <c r="B3045" s="3" t="s">
        <v>16</v>
      </c>
      <c r="C3045" s="20"/>
      <c r="D3045" s="21"/>
    </row>
    <row r="3046" spans="1:4" ht="12.75" customHeight="1" x14ac:dyDescent="0.2">
      <c r="A3046" s="21"/>
      <c r="B3046" s="3" t="s">
        <v>17</v>
      </c>
      <c r="C3046" s="20"/>
      <c r="D3046" s="21"/>
    </row>
    <row r="3047" spans="1:4" ht="12.75" customHeight="1" x14ac:dyDescent="0.2">
      <c r="A3047" s="21"/>
      <c r="B3047" s="20" t="s">
        <v>18</v>
      </c>
      <c r="C3047" s="4" t="s">
        <v>44</v>
      </c>
      <c r="D3047" s="6" t="str">
        <f>HYPERLINK("javascript:void(0)","dimenziónyeső")</f>
        <v>dimenziónyeső</v>
      </c>
    </row>
    <row r="3048" spans="1:4" ht="12.75" customHeight="1" x14ac:dyDescent="0.2">
      <c r="A3048" s="21"/>
      <c r="B3048" s="21"/>
      <c r="C3048" s="4" t="s">
        <v>44</v>
      </c>
      <c r="D3048" s="6" t="str">
        <f>HYPERLINK("javascript:void(0)","uszonypenge")</f>
        <v>uszonypenge</v>
      </c>
    </row>
    <row r="3049" spans="1:4" ht="12.75" customHeight="1" x14ac:dyDescent="0.2">
      <c r="A3049" s="21"/>
      <c r="B3049" s="21"/>
      <c r="C3049" s="4" t="s">
        <v>44</v>
      </c>
      <c r="D3049" s="6" t="str">
        <f>HYPERLINK("javascript:void(0)","fotonhegy")</f>
        <v>fotonhegy</v>
      </c>
    </row>
    <row r="3050" spans="1:4" ht="12.75" customHeight="1" x14ac:dyDescent="0.2">
      <c r="A3050" s="5"/>
      <c r="B3050" s="2"/>
      <c r="C3050" s="2"/>
      <c r="D3050" s="2"/>
    </row>
    <row r="3051" spans="1:4" ht="12.75" customHeight="1" x14ac:dyDescent="0.2">
      <c r="A3051" s="22" t="str">
        <f>HYPERLINK("javascript:void(0)","szarvas mágusölő")</f>
        <v>szarvas mágusölő</v>
      </c>
      <c r="B3051" s="21"/>
      <c r="C3051" s="21"/>
      <c r="D3051" s="21"/>
    </row>
    <row r="3052" spans="1:4" ht="12.75" customHeight="1" x14ac:dyDescent="0.2">
      <c r="A3052" s="20"/>
      <c r="B3052" s="2"/>
      <c r="C3052" s="2"/>
      <c r="D3052" s="2"/>
    </row>
    <row r="3053" spans="1:4" ht="12.75" customHeight="1" x14ac:dyDescent="0.2">
      <c r="A3053" s="21"/>
      <c r="B3053" s="3" t="s">
        <v>0</v>
      </c>
      <c r="C3053" s="20" t="s">
        <v>562</v>
      </c>
      <c r="D3053" s="21"/>
    </row>
    <row r="3054" spans="1:4" ht="12.75" customHeight="1" x14ac:dyDescent="0.2">
      <c r="A3054" s="21"/>
      <c r="B3054" s="3" t="s">
        <v>2</v>
      </c>
      <c r="C3054" s="20" t="s">
        <v>1598</v>
      </c>
      <c r="D3054" s="21"/>
    </row>
    <row r="3055" spans="1:4" ht="12.75" customHeight="1" x14ac:dyDescent="0.2">
      <c r="A3055" s="21"/>
      <c r="B3055" s="3" t="s">
        <v>4</v>
      </c>
      <c r="C3055" s="20" t="s">
        <v>1974</v>
      </c>
      <c r="D3055" s="21"/>
    </row>
    <row r="3056" spans="1:4" ht="12.75" customHeight="1" x14ac:dyDescent="0.2">
      <c r="A3056" s="21"/>
      <c r="B3056" s="3" t="s">
        <v>6</v>
      </c>
      <c r="C3056" s="20" t="s">
        <v>48</v>
      </c>
      <c r="D3056" s="21"/>
    </row>
    <row r="3057" spans="1:4" ht="12.75" customHeight="1" x14ac:dyDescent="0.2">
      <c r="A3057" s="21"/>
      <c r="B3057" s="3" t="s">
        <v>8</v>
      </c>
      <c r="C3057" s="20" t="s">
        <v>1974</v>
      </c>
      <c r="D3057" s="21"/>
    </row>
    <row r="3058" spans="1:4" ht="12.75" customHeight="1" x14ac:dyDescent="0.2">
      <c r="A3058" s="21"/>
      <c r="B3058" s="3" t="s">
        <v>9</v>
      </c>
      <c r="C3058" s="20" t="s">
        <v>1905</v>
      </c>
      <c r="D3058" s="21"/>
    </row>
    <row r="3059" spans="1:4" ht="12.75" customHeight="1" x14ac:dyDescent="0.2">
      <c r="A3059" s="21"/>
      <c r="B3059" s="3" t="s">
        <v>11</v>
      </c>
      <c r="C3059" s="20" t="s">
        <v>587</v>
      </c>
      <c r="D3059" s="21"/>
    </row>
    <row r="3060" spans="1:4" ht="12.75" customHeight="1" x14ac:dyDescent="0.2">
      <c r="A3060" s="21"/>
      <c r="B3060" s="3" t="s">
        <v>13</v>
      </c>
      <c r="C3060" s="20" t="s">
        <v>14</v>
      </c>
      <c r="D3060" s="21"/>
    </row>
    <row r="3061" spans="1:4" ht="12.75" customHeight="1" x14ac:dyDescent="0.2">
      <c r="A3061" s="21"/>
      <c r="B3061" s="3" t="s">
        <v>15</v>
      </c>
      <c r="C3061" s="20" t="s">
        <v>24</v>
      </c>
      <c r="D3061" s="21"/>
    </row>
    <row r="3062" spans="1:4" ht="12.75" customHeight="1" x14ac:dyDescent="0.2">
      <c r="A3062" s="21"/>
      <c r="B3062" s="3" t="s">
        <v>16</v>
      </c>
      <c r="C3062" s="20"/>
      <c r="D3062" s="21"/>
    </row>
    <row r="3063" spans="1:4" ht="12.75" customHeight="1" x14ac:dyDescent="0.2">
      <c r="A3063" s="21"/>
      <c r="B3063" s="3" t="s">
        <v>17</v>
      </c>
      <c r="C3063" s="20"/>
      <c r="D3063" s="21"/>
    </row>
    <row r="3064" spans="1:4" ht="12.75" customHeight="1" x14ac:dyDescent="0.2">
      <c r="A3064" s="21"/>
      <c r="B3064" s="20" t="s">
        <v>18</v>
      </c>
      <c r="C3064" s="4" t="s">
        <v>244</v>
      </c>
      <c r="D3064" s="6" t="str">
        <f>HYPERLINK("javascript:void(0)","rémszarv")</f>
        <v>rémszarv</v>
      </c>
    </row>
    <row r="3065" spans="1:4" ht="12.75" customHeight="1" x14ac:dyDescent="0.2">
      <c r="A3065" s="21"/>
      <c r="B3065" s="21"/>
      <c r="C3065" s="4" t="s">
        <v>290</v>
      </c>
      <c r="D3065" s="6" t="str">
        <f>HYPERLINK("javascript:void(0)","hörcsögagyar")</f>
        <v>hörcsögagyar</v>
      </c>
    </row>
    <row r="3066" spans="1:4" ht="12.75" customHeight="1" x14ac:dyDescent="0.2">
      <c r="A3066" s="21"/>
      <c r="B3066" s="21"/>
      <c r="C3066" s="4" t="s">
        <v>1085</v>
      </c>
      <c r="D3066" s="6" t="str">
        <f>HYPERLINK("javascript:void(0)","homokóra")</f>
        <v>homokóra</v>
      </c>
    </row>
    <row r="3067" spans="1:4" ht="12.75" customHeight="1" x14ac:dyDescent="0.2">
      <c r="A3067" s="5"/>
      <c r="B3067" s="2"/>
      <c r="C3067" s="2"/>
      <c r="D3067" s="2"/>
    </row>
    <row r="3068" spans="1:4" ht="12.75" customHeight="1" x14ac:dyDescent="0.2">
      <c r="A3068" s="22" t="str">
        <f>HYPERLINK("javascript:void(0)","rémnyárs")</f>
        <v>rémnyárs</v>
      </c>
      <c r="B3068" s="21"/>
      <c r="C3068" s="21"/>
      <c r="D3068" s="21"/>
    </row>
    <row r="3069" spans="1:4" ht="12.75" customHeight="1" x14ac:dyDescent="0.2">
      <c r="A3069" s="20"/>
      <c r="B3069" s="2"/>
      <c r="C3069" s="2"/>
      <c r="D3069" s="2"/>
    </row>
    <row r="3070" spans="1:4" ht="12.75" customHeight="1" x14ac:dyDescent="0.2">
      <c r="A3070" s="21"/>
      <c r="B3070" s="3" t="s">
        <v>0</v>
      </c>
      <c r="C3070" s="20" t="s">
        <v>575</v>
      </c>
      <c r="D3070" s="21"/>
    </row>
    <row r="3071" spans="1:4" ht="12.75" customHeight="1" x14ac:dyDescent="0.2">
      <c r="A3071" s="21"/>
      <c r="B3071" s="3" t="s">
        <v>2</v>
      </c>
      <c r="C3071" s="20" t="s">
        <v>1598</v>
      </c>
      <c r="D3071" s="21"/>
    </row>
    <row r="3072" spans="1:4" ht="12.75" customHeight="1" x14ac:dyDescent="0.2">
      <c r="A3072" s="21"/>
      <c r="B3072" s="3" t="s">
        <v>4</v>
      </c>
      <c r="C3072" s="20" t="s">
        <v>1976</v>
      </c>
      <c r="D3072" s="21"/>
    </row>
    <row r="3073" spans="1:4" ht="12.75" customHeight="1" x14ac:dyDescent="0.2">
      <c r="A3073" s="21"/>
      <c r="B3073" s="3" t="s">
        <v>6</v>
      </c>
      <c r="C3073" s="20" t="s">
        <v>157</v>
      </c>
      <c r="D3073" s="21"/>
    </row>
    <row r="3074" spans="1:4" ht="12.75" customHeight="1" x14ac:dyDescent="0.2">
      <c r="A3074" s="21"/>
      <c r="B3074" s="3" t="s">
        <v>8</v>
      </c>
      <c r="C3074" s="20" t="s">
        <v>1976</v>
      </c>
      <c r="D3074" s="21"/>
    </row>
    <row r="3075" spans="1:4" ht="12.75" customHeight="1" x14ac:dyDescent="0.2">
      <c r="A3075" s="21"/>
      <c r="B3075" s="3" t="s">
        <v>9</v>
      </c>
      <c r="C3075" s="20" t="s">
        <v>129</v>
      </c>
      <c r="D3075" s="21"/>
    </row>
    <row r="3076" spans="1:4" ht="12.75" customHeight="1" x14ac:dyDescent="0.2">
      <c r="A3076" s="21"/>
      <c r="B3076" s="3" t="s">
        <v>11</v>
      </c>
      <c r="C3076" s="20" t="s">
        <v>596</v>
      </c>
      <c r="D3076" s="21"/>
    </row>
    <row r="3077" spans="1:4" ht="12.75" customHeight="1" x14ac:dyDescent="0.2">
      <c r="A3077" s="21"/>
      <c r="B3077" s="3" t="s">
        <v>13</v>
      </c>
      <c r="C3077" s="20" t="s">
        <v>24</v>
      </c>
      <c r="D3077" s="21"/>
    </row>
    <row r="3078" spans="1:4" ht="12.75" customHeight="1" x14ac:dyDescent="0.2">
      <c r="A3078" s="21"/>
      <c r="B3078" s="3" t="s">
        <v>15</v>
      </c>
      <c r="C3078" s="20" t="s">
        <v>24</v>
      </c>
      <c r="D3078" s="21"/>
    </row>
    <row r="3079" spans="1:4" ht="12.75" customHeight="1" x14ac:dyDescent="0.2">
      <c r="A3079" s="21"/>
      <c r="B3079" s="3" t="s">
        <v>16</v>
      </c>
      <c r="C3079" s="20"/>
      <c r="D3079" s="21"/>
    </row>
    <row r="3080" spans="1:4" ht="12.75" customHeight="1" x14ac:dyDescent="0.2">
      <c r="A3080" s="21"/>
      <c r="B3080" s="3" t="s">
        <v>17</v>
      </c>
      <c r="C3080" s="20"/>
      <c r="D3080" s="21"/>
    </row>
    <row r="3081" spans="1:4" ht="12.75" customHeight="1" x14ac:dyDescent="0.2">
      <c r="A3081" s="21"/>
      <c r="B3081" s="20" t="s">
        <v>18</v>
      </c>
      <c r="C3081" s="4" t="s">
        <v>44</v>
      </c>
      <c r="D3081" s="6" t="str">
        <f>HYPERLINK("javascript:void(0)","fotoacél szurony")</f>
        <v>fotoacél szurony</v>
      </c>
    </row>
    <row r="3082" spans="1:4" ht="12.75" customHeight="1" x14ac:dyDescent="0.2">
      <c r="A3082" s="21"/>
      <c r="B3082" s="21"/>
      <c r="C3082" s="4" t="s">
        <v>56</v>
      </c>
      <c r="D3082" s="6" t="str">
        <f>HYPERLINK("javascript:void(0)","mechodron")</f>
        <v>mechodron</v>
      </c>
    </row>
    <row r="3083" spans="1:4" ht="12.75" customHeight="1" x14ac:dyDescent="0.2">
      <c r="A3083" s="21"/>
      <c r="B3083" s="21"/>
      <c r="C3083" s="4" t="s">
        <v>67</v>
      </c>
      <c r="D3083" s="6" t="str">
        <f>HYPERLINK("javascript:void(0)","rémszarv")</f>
        <v>rémszarv</v>
      </c>
    </row>
    <row r="3084" spans="1:4" ht="12.75" customHeight="1" x14ac:dyDescent="0.2">
      <c r="A3084" s="5"/>
      <c r="B3084" s="2"/>
      <c r="C3084" s="2"/>
      <c r="D3084" s="2"/>
    </row>
    <row r="3085" spans="1:4" ht="12.75" customHeight="1" x14ac:dyDescent="0.2">
      <c r="A3085" s="22" t="str">
        <f>HYPERLINK("javascript:void(0)","szarvas gigapallos")</f>
        <v>szarvas gigapallos</v>
      </c>
      <c r="B3085" s="21"/>
      <c r="C3085" s="21"/>
      <c r="D3085" s="21"/>
    </row>
    <row r="3086" spans="1:4" ht="12.75" customHeight="1" x14ac:dyDescent="0.2">
      <c r="A3086" s="20"/>
      <c r="B3086" s="2"/>
      <c r="C3086" s="2"/>
      <c r="D3086" s="2"/>
    </row>
    <row r="3087" spans="1:4" ht="12.75" customHeight="1" x14ac:dyDescent="0.2">
      <c r="A3087" s="21"/>
      <c r="B3087" s="3" t="s">
        <v>0</v>
      </c>
      <c r="C3087" s="20" t="s">
        <v>575</v>
      </c>
      <c r="D3087" s="21"/>
    </row>
    <row r="3088" spans="1:4" ht="12.75" customHeight="1" x14ac:dyDescent="0.2">
      <c r="A3088" s="21"/>
      <c r="B3088" s="3" t="s">
        <v>2</v>
      </c>
      <c r="C3088" s="20" t="s">
        <v>1598</v>
      </c>
      <c r="D3088" s="21"/>
    </row>
    <row r="3089" spans="1:4" ht="12.75" customHeight="1" x14ac:dyDescent="0.2">
      <c r="A3089" s="21"/>
      <c r="B3089" s="3" t="s">
        <v>4</v>
      </c>
      <c r="C3089" s="20" t="s">
        <v>1977</v>
      </c>
      <c r="D3089" s="21"/>
    </row>
    <row r="3090" spans="1:4" ht="12.75" customHeight="1" x14ac:dyDescent="0.2">
      <c r="A3090" s="21"/>
      <c r="B3090" s="3" t="s">
        <v>6</v>
      </c>
      <c r="C3090" s="20" t="s">
        <v>107</v>
      </c>
      <c r="D3090" s="21"/>
    </row>
    <row r="3091" spans="1:4" ht="12.75" customHeight="1" x14ac:dyDescent="0.2">
      <c r="A3091" s="21"/>
      <c r="B3091" s="3" t="s">
        <v>8</v>
      </c>
      <c r="C3091" s="20" t="s">
        <v>1977</v>
      </c>
      <c r="D3091" s="21"/>
    </row>
    <row r="3092" spans="1:4" ht="12.75" customHeight="1" x14ac:dyDescent="0.2">
      <c r="A3092" s="21"/>
      <c r="B3092" s="3" t="s">
        <v>9</v>
      </c>
      <c r="C3092" s="20" t="s">
        <v>1978</v>
      </c>
      <c r="D3092" s="21"/>
    </row>
    <row r="3093" spans="1:4" ht="12.75" customHeight="1" x14ac:dyDescent="0.2">
      <c r="A3093" s="21"/>
      <c r="B3093" s="3" t="s">
        <v>11</v>
      </c>
      <c r="C3093" s="20" t="s">
        <v>702</v>
      </c>
      <c r="D3093" s="21"/>
    </row>
    <row r="3094" spans="1:4" ht="12.75" customHeight="1" x14ac:dyDescent="0.2">
      <c r="A3094" s="21"/>
      <c r="B3094" s="3" t="s">
        <v>13</v>
      </c>
      <c r="C3094" s="20" t="s">
        <v>24</v>
      </c>
      <c r="D3094" s="21"/>
    </row>
    <row r="3095" spans="1:4" ht="12.75" customHeight="1" x14ac:dyDescent="0.2">
      <c r="A3095" s="21"/>
      <c r="B3095" s="3" t="s">
        <v>15</v>
      </c>
      <c r="C3095" s="20" t="s">
        <v>24</v>
      </c>
      <c r="D3095" s="21"/>
    </row>
    <row r="3096" spans="1:4" ht="12.75" customHeight="1" x14ac:dyDescent="0.2">
      <c r="A3096" s="21"/>
      <c r="B3096" s="3" t="s">
        <v>16</v>
      </c>
      <c r="C3096" s="20"/>
      <c r="D3096" s="21"/>
    </row>
    <row r="3097" spans="1:4" ht="12.75" customHeight="1" x14ac:dyDescent="0.2">
      <c r="A3097" s="21"/>
      <c r="B3097" s="3" t="s">
        <v>17</v>
      </c>
      <c r="C3097" s="20"/>
      <c r="D3097" s="21"/>
    </row>
    <row r="3098" spans="1:4" ht="12.75" customHeight="1" x14ac:dyDescent="0.2">
      <c r="A3098" s="21"/>
      <c r="B3098" s="20" t="s">
        <v>18</v>
      </c>
      <c r="C3098" s="4" t="s">
        <v>68</v>
      </c>
      <c r="D3098" s="6" t="str">
        <f>HYPERLINK("javascript:void(0)","mechodron")</f>
        <v>mechodron</v>
      </c>
    </row>
    <row r="3099" spans="1:4" ht="12.75" customHeight="1" x14ac:dyDescent="0.2">
      <c r="A3099" s="21"/>
      <c r="B3099" s="21"/>
      <c r="C3099" s="4" t="s">
        <v>139</v>
      </c>
      <c r="D3099" s="6" t="str">
        <f>HYPERLINK("javascript:void(0)","rémszarv")</f>
        <v>rémszarv</v>
      </c>
    </row>
    <row r="3100" spans="1:4" ht="12.75" customHeight="1" x14ac:dyDescent="0.2">
      <c r="A3100" s="21"/>
      <c r="B3100" s="21"/>
      <c r="C3100" s="4" t="s">
        <v>193</v>
      </c>
      <c r="D3100" s="6" t="str">
        <f>HYPERLINK("javascript:void(0)","hörcsögagyar")</f>
        <v>hörcsögagyar</v>
      </c>
    </row>
    <row r="3101" spans="1:4" ht="12.75" customHeight="1" x14ac:dyDescent="0.2">
      <c r="A3101" s="5"/>
      <c r="B3101" s="2"/>
      <c r="C3101" s="2"/>
      <c r="D3101" s="2"/>
    </row>
    <row r="3102" spans="1:4" ht="12.75" customHeight="1" x14ac:dyDescent="0.2">
      <c r="A3102" s="22" t="str">
        <f>HYPERLINK("javascript:void(0)","gyíkacél handzsár")</f>
        <v>gyíkacél handzsár</v>
      </c>
      <c r="B3102" s="21"/>
      <c r="C3102" s="21"/>
      <c r="D3102" s="21"/>
    </row>
    <row r="3103" spans="1:4" ht="12.75" customHeight="1" x14ac:dyDescent="0.2">
      <c r="A3103" s="20"/>
      <c r="B3103" s="2"/>
      <c r="C3103" s="2"/>
      <c r="D3103" s="2"/>
    </row>
    <row r="3104" spans="1:4" ht="12.75" customHeight="1" x14ac:dyDescent="0.2">
      <c r="A3104" s="21"/>
      <c r="B3104" s="3" t="s">
        <v>0</v>
      </c>
      <c r="C3104" s="20" t="s">
        <v>575</v>
      </c>
      <c r="D3104" s="21"/>
    </row>
    <row r="3105" spans="1:4" ht="12.75" customHeight="1" x14ac:dyDescent="0.2">
      <c r="A3105" s="21"/>
      <c r="B3105" s="3" t="s">
        <v>2</v>
      </c>
      <c r="C3105" s="20" t="s">
        <v>1598</v>
      </c>
      <c r="D3105" s="21"/>
    </row>
    <row r="3106" spans="1:4" ht="12.75" customHeight="1" x14ac:dyDescent="0.2">
      <c r="A3106" s="21"/>
      <c r="B3106" s="3" t="s">
        <v>4</v>
      </c>
      <c r="C3106" s="20" t="s">
        <v>1979</v>
      </c>
      <c r="D3106" s="21"/>
    </row>
    <row r="3107" spans="1:4" ht="12.75" customHeight="1" x14ac:dyDescent="0.2">
      <c r="A3107" s="21"/>
      <c r="B3107" s="3" t="s">
        <v>6</v>
      </c>
      <c r="C3107" s="20" t="s">
        <v>107</v>
      </c>
      <c r="D3107" s="21"/>
    </row>
    <row r="3108" spans="1:4" ht="12.75" customHeight="1" x14ac:dyDescent="0.2">
      <c r="A3108" s="21"/>
      <c r="B3108" s="3" t="s">
        <v>8</v>
      </c>
      <c r="C3108" s="20" t="s">
        <v>1979</v>
      </c>
      <c r="D3108" s="21"/>
    </row>
    <row r="3109" spans="1:4" ht="12.75" customHeight="1" x14ac:dyDescent="0.2">
      <c r="A3109" s="21"/>
      <c r="B3109" s="3" t="s">
        <v>9</v>
      </c>
      <c r="C3109" s="20" t="s">
        <v>1980</v>
      </c>
      <c r="D3109" s="21"/>
    </row>
    <row r="3110" spans="1:4" ht="12.75" customHeight="1" x14ac:dyDescent="0.2">
      <c r="A3110" s="21"/>
      <c r="B3110" s="3" t="s">
        <v>11</v>
      </c>
      <c r="C3110" s="20" t="s">
        <v>477</v>
      </c>
      <c r="D3110" s="21"/>
    </row>
    <row r="3111" spans="1:4" ht="12.75" customHeight="1" x14ac:dyDescent="0.2">
      <c r="A3111" s="21"/>
      <c r="B3111" s="3" t="s">
        <v>13</v>
      </c>
      <c r="C3111" s="20" t="s">
        <v>24</v>
      </c>
      <c r="D3111" s="21"/>
    </row>
    <row r="3112" spans="1:4" ht="12.75" customHeight="1" x14ac:dyDescent="0.2">
      <c r="A3112" s="21"/>
      <c r="B3112" s="3" t="s">
        <v>15</v>
      </c>
      <c r="C3112" s="20" t="s">
        <v>24</v>
      </c>
      <c r="D3112" s="21"/>
    </row>
    <row r="3113" spans="1:4" ht="12.75" customHeight="1" x14ac:dyDescent="0.2">
      <c r="A3113" s="21"/>
      <c r="B3113" s="3" t="s">
        <v>16</v>
      </c>
      <c r="C3113" s="20"/>
      <c r="D3113" s="21"/>
    </row>
    <row r="3114" spans="1:4" ht="12.75" customHeight="1" x14ac:dyDescent="0.2">
      <c r="A3114" s="21"/>
      <c r="B3114" s="3" t="s">
        <v>17</v>
      </c>
      <c r="C3114" s="20"/>
      <c r="D3114" s="21"/>
    </row>
    <row r="3115" spans="1:4" ht="12.75" customHeight="1" x14ac:dyDescent="0.2">
      <c r="A3115" s="21"/>
      <c r="B3115" s="20" t="s">
        <v>18</v>
      </c>
      <c r="C3115" s="4" t="s">
        <v>67</v>
      </c>
      <c r="D3115" s="6" t="str">
        <f>HYPERLINK("javascript:void(0)","vasrög")</f>
        <v>vasrög</v>
      </c>
    </row>
    <row r="3116" spans="1:4" ht="12.75" customHeight="1" x14ac:dyDescent="0.2">
      <c r="A3116" s="21"/>
      <c r="B3116" s="21"/>
      <c r="C3116" s="4" t="s">
        <v>67</v>
      </c>
      <c r="D3116" s="6" t="str">
        <f>HYPERLINK("javascript:void(0)","robbanófej")</f>
        <v>robbanófej</v>
      </c>
    </row>
    <row r="3117" spans="1:4" ht="12.75" customHeight="1" x14ac:dyDescent="0.2">
      <c r="A3117" s="21"/>
      <c r="B3117" s="21"/>
      <c r="C3117" s="4" t="s">
        <v>44</v>
      </c>
      <c r="D3117" s="6" t="str">
        <f>HYPERLINK("javascript:void(0)","nagybőgő")</f>
        <v>nagybőgő</v>
      </c>
    </row>
    <row r="3118" spans="1:4" ht="12.75" customHeight="1" x14ac:dyDescent="0.2">
      <c r="A3118" s="5"/>
      <c r="B3118" s="2"/>
      <c r="C3118" s="2"/>
      <c r="D3118" s="2"/>
    </row>
    <row r="3119" spans="1:4" ht="12.75" customHeight="1" x14ac:dyDescent="0.2">
      <c r="A3119" s="22" t="str">
        <f>HYPERLINK("javascript:void(0)","magnetoacél tőr")</f>
        <v>magnetoacél tőr</v>
      </c>
      <c r="B3119" s="21"/>
      <c r="C3119" s="21"/>
      <c r="D3119" s="21"/>
    </row>
    <row r="3120" spans="1:4" ht="12.75" customHeight="1" x14ac:dyDescent="0.2">
      <c r="A3120" s="20"/>
      <c r="B3120" s="2"/>
      <c r="C3120" s="2"/>
      <c r="D3120" s="2"/>
    </row>
    <row r="3121" spans="1:4" ht="12.75" customHeight="1" x14ac:dyDescent="0.2">
      <c r="A3121" s="21"/>
      <c r="B3121" s="3" t="s">
        <v>0</v>
      </c>
      <c r="C3121" s="20" t="s">
        <v>585</v>
      </c>
      <c r="D3121" s="21"/>
    </row>
    <row r="3122" spans="1:4" ht="12.75" customHeight="1" x14ac:dyDescent="0.2">
      <c r="A3122" s="21"/>
      <c r="B3122" s="3" t="s">
        <v>2</v>
      </c>
      <c r="C3122" s="20" t="s">
        <v>1598</v>
      </c>
      <c r="D3122" s="21"/>
    </row>
    <row r="3123" spans="1:4" ht="12.75" customHeight="1" x14ac:dyDescent="0.2">
      <c r="A3123" s="21"/>
      <c r="B3123" s="3" t="s">
        <v>4</v>
      </c>
      <c r="C3123" s="20" t="s">
        <v>1982</v>
      </c>
      <c r="D3123" s="21"/>
    </row>
    <row r="3124" spans="1:4" ht="12.75" customHeight="1" x14ac:dyDescent="0.2">
      <c r="A3124" s="21"/>
      <c r="B3124" s="3" t="s">
        <v>6</v>
      </c>
      <c r="C3124" s="20" t="s">
        <v>178</v>
      </c>
      <c r="D3124" s="21"/>
    </row>
    <row r="3125" spans="1:4" ht="12.75" customHeight="1" x14ac:dyDescent="0.2">
      <c r="A3125" s="21"/>
      <c r="B3125" s="3" t="s">
        <v>8</v>
      </c>
      <c r="C3125" s="20" t="s">
        <v>1982</v>
      </c>
      <c r="D3125" s="21"/>
    </row>
    <row r="3126" spans="1:4" ht="12.75" customHeight="1" x14ac:dyDescent="0.2">
      <c r="A3126" s="21"/>
      <c r="B3126" s="3" t="s">
        <v>9</v>
      </c>
      <c r="C3126" s="20" t="s">
        <v>210</v>
      </c>
      <c r="D3126" s="21"/>
    </row>
    <row r="3127" spans="1:4" ht="12.75" customHeight="1" x14ac:dyDescent="0.2">
      <c r="A3127" s="21"/>
      <c r="B3127" s="3" t="s">
        <v>11</v>
      </c>
      <c r="C3127" s="20" t="s">
        <v>603</v>
      </c>
      <c r="D3127" s="21"/>
    </row>
    <row r="3128" spans="1:4" ht="12.75" customHeight="1" x14ac:dyDescent="0.2">
      <c r="A3128" s="21"/>
      <c r="B3128" s="3" t="s">
        <v>13</v>
      </c>
      <c r="C3128" s="20" t="s">
        <v>24</v>
      </c>
      <c r="D3128" s="21"/>
    </row>
    <row r="3129" spans="1:4" ht="12.75" customHeight="1" x14ac:dyDescent="0.2">
      <c r="A3129" s="21"/>
      <c r="B3129" s="3" t="s">
        <v>15</v>
      </c>
      <c r="C3129" s="20" t="s">
        <v>24</v>
      </c>
      <c r="D3129" s="21"/>
    </row>
    <row r="3130" spans="1:4" ht="12.75" customHeight="1" x14ac:dyDescent="0.2">
      <c r="A3130" s="21"/>
      <c r="B3130" s="3" t="s">
        <v>16</v>
      </c>
      <c r="C3130" s="20"/>
      <c r="D3130" s="21"/>
    </row>
    <row r="3131" spans="1:4" ht="12.75" customHeight="1" x14ac:dyDescent="0.2">
      <c r="A3131" s="21"/>
      <c r="B3131" s="3" t="s">
        <v>17</v>
      </c>
      <c r="C3131" s="20"/>
      <c r="D3131" s="21"/>
    </row>
    <row r="3132" spans="1:4" ht="12.75" customHeight="1" x14ac:dyDescent="0.2">
      <c r="A3132" s="21"/>
      <c r="B3132" s="20" t="s">
        <v>18</v>
      </c>
      <c r="C3132" s="4" t="s">
        <v>57</v>
      </c>
      <c r="D3132" s="6" t="str">
        <f>HYPERLINK("javascript:void(0)","mágnes")</f>
        <v>mágnes</v>
      </c>
    </row>
    <row r="3133" spans="1:4" ht="12.75" customHeight="1" x14ac:dyDescent="0.2">
      <c r="A3133" s="21"/>
      <c r="B3133" s="21"/>
      <c r="C3133" s="4" t="s">
        <v>68</v>
      </c>
      <c r="D3133" s="6" t="str">
        <f>HYPERLINK("javascript:void(0)","uszony")</f>
        <v>uszony</v>
      </c>
    </row>
    <row r="3134" spans="1:4" ht="12.75" customHeight="1" x14ac:dyDescent="0.2">
      <c r="A3134" s="21"/>
      <c r="B3134" s="21"/>
      <c r="C3134" s="4" t="s">
        <v>163</v>
      </c>
      <c r="D3134" s="6" t="str">
        <f>HYPERLINK("javascript:void(0)","kacat")</f>
        <v>kacat</v>
      </c>
    </row>
    <row r="3135" spans="1:4" ht="12.75" customHeight="1" x14ac:dyDescent="0.2">
      <c r="A3135" s="5"/>
      <c r="B3135" s="2"/>
      <c r="C3135" s="2"/>
      <c r="D3135" s="2"/>
    </row>
    <row r="3136" spans="1:4" ht="12.75" customHeight="1" x14ac:dyDescent="0.2">
      <c r="A3136" s="22" t="str">
        <f>HYPERLINK("javascript:void(0)","troll mágusölő")</f>
        <v>troll mágusölő</v>
      </c>
      <c r="B3136" s="21"/>
      <c r="C3136" s="21"/>
      <c r="D3136" s="21"/>
    </row>
    <row r="3137" spans="1:4" ht="12.75" customHeight="1" x14ac:dyDescent="0.2">
      <c r="A3137" s="20"/>
      <c r="B3137" s="2"/>
      <c r="C3137" s="2"/>
      <c r="D3137" s="2"/>
    </row>
    <row r="3138" spans="1:4" ht="12.75" customHeight="1" x14ac:dyDescent="0.2">
      <c r="A3138" s="21"/>
      <c r="B3138" s="3" t="s">
        <v>0</v>
      </c>
      <c r="C3138" s="20" t="s">
        <v>585</v>
      </c>
      <c r="D3138" s="21"/>
    </row>
    <row r="3139" spans="1:4" ht="12.75" customHeight="1" x14ac:dyDescent="0.2">
      <c r="A3139" s="21"/>
      <c r="B3139" s="3" t="s">
        <v>2</v>
      </c>
      <c r="C3139" s="20" t="s">
        <v>1598</v>
      </c>
      <c r="D3139" s="21"/>
    </row>
    <row r="3140" spans="1:4" ht="12.75" customHeight="1" x14ac:dyDescent="0.2">
      <c r="A3140" s="21"/>
      <c r="B3140" s="3" t="s">
        <v>4</v>
      </c>
      <c r="C3140" s="20" t="s">
        <v>1983</v>
      </c>
      <c r="D3140" s="21"/>
    </row>
    <row r="3141" spans="1:4" ht="12.75" customHeight="1" x14ac:dyDescent="0.2">
      <c r="A3141" s="21"/>
      <c r="B3141" s="3" t="s">
        <v>6</v>
      </c>
      <c r="C3141" s="20" t="s">
        <v>48</v>
      </c>
      <c r="D3141" s="21"/>
    </row>
    <row r="3142" spans="1:4" ht="12.75" customHeight="1" x14ac:dyDescent="0.2">
      <c r="A3142" s="21"/>
      <c r="B3142" s="3" t="s">
        <v>8</v>
      </c>
      <c r="C3142" s="20" t="s">
        <v>1983</v>
      </c>
      <c r="D3142" s="21"/>
    </row>
    <row r="3143" spans="1:4" ht="12.75" customHeight="1" x14ac:dyDescent="0.2">
      <c r="A3143" s="21"/>
      <c r="B3143" s="3" t="s">
        <v>9</v>
      </c>
      <c r="C3143" s="20" t="s">
        <v>829</v>
      </c>
      <c r="D3143" s="21"/>
    </row>
    <row r="3144" spans="1:4" ht="12.75" customHeight="1" x14ac:dyDescent="0.2">
      <c r="A3144" s="21"/>
      <c r="B3144" s="3" t="s">
        <v>11</v>
      </c>
      <c r="C3144" s="20" t="s">
        <v>625</v>
      </c>
      <c r="D3144" s="21"/>
    </row>
    <row r="3145" spans="1:4" ht="12.75" customHeight="1" x14ac:dyDescent="0.2">
      <c r="A3145" s="21"/>
      <c r="B3145" s="3" t="s">
        <v>13</v>
      </c>
      <c r="C3145" s="20" t="s">
        <v>14</v>
      </c>
      <c r="D3145" s="21"/>
    </row>
    <row r="3146" spans="1:4" ht="12.75" customHeight="1" x14ac:dyDescent="0.2">
      <c r="A3146" s="21"/>
      <c r="B3146" s="3" t="s">
        <v>15</v>
      </c>
      <c r="C3146" s="20" t="s">
        <v>24</v>
      </c>
      <c r="D3146" s="21"/>
    </row>
    <row r="3147" spans="1:4" ht="12.75" customHeight="1" x14ac:dyDescent="0.2">
      <c r="A3147" s="21"/>
      <c r="B3147" s="3" t="s">
        <v>16</v>
      </c>
      <c r="C3147" s="20"/>
      <c r="D3147" s="21"/>
    </row>
    <row r="3148" spans="1:4" ht="12.75" customHeight="1" x14ac:dyDescent="0.2">
      <c r="A3148" s="21"/>
      <c r="B3148" s="3" t="s">
        <v>17</v>
      </c>
      <c r="C3148" s="20"/>
      <c r="D3148" s="21"/>
    </row>
    <row r="3149" spans="1:4" ht="12.75" customHeight="1" x14ac:dyDescent="0.2">
      <c r="A3149" s="21"/>
      <c r="B3149" s="20" t="s">
        <v>18</v>
      </c>
      <c r="C3149" s="4" t="s">
        <v>68</v>
      </c>
      <c r="D3149" s="6" t="str">
        <f>HYPERLINK("javascript:void(0)","torokgyík")</f>
        <v>torokgyík</v>
      </c>
    </row>
    <row r="3150" spans="1:4" ht="12.75" customHeight="1" x14ac:dyDescent="0.2">
      <c r="A3150" s="21"/>
      <c r="B3150" s="21"/>
      <c r="C3150" s="4" t="s">
        <v>117</v>
      </c>
      <c r="D3150" s="6" t="str">
        <f>HYPERLINK("javascript:void(0)","uszony")</f>
        <v>uszony</v>
      </c>
    </row>
    <row r="3151" spans="1:4" ht="12.75" customHeight="1" x14ac:dyDescent="0.2">
      <c r="A3151" s="21"/>
      <c r="B3151" s="21"/>
      <c r="C3151" s="4" t="s">
        <v>98</v>
      </c>
      <c r="D3151" s="6" t="str">
        <f>HYPERLINK("javascript:void(0)","imázs")</f>
        <v>imázs</v>
      </c>
    </row>
    <row r="3152" spans="1:4" ht="12.75" customHeight="1" x14ac:dyDescent="0.2">
      <c r="A3152" s="5"/>
      <c r="B3152" s="2"/>
      <c r="C3152" s="2"/>
      <c r="D3152" s="2"/>
    </row>
    <row r="3153" spans="1:4" ht="12.75" customHeight="1" x14ac:dyDescent="0.2">
      <c r="A3153" s="22" t="str">
        <f>HYPERLINK("javascript:void(0)","fotoacél handzsár")</f>
        <v>fotoacél handzsár</v>
      </c>
      <c r="B3153" s="21"/>
      <c r="C3153" s="21"/>
      <c r="D3153" s="21"/>
    </row>
    <row r="3154" spans="1:4" ht="12.75" customHeight="1" x14ac:dyDescent="0.2">
      <c r="A3154" s="20"/>
      <c r="B3154" s="2"/>
      <c r="C3154" s="2"/>
      <c r="D3154" s="2"/>
    </row>
    <row r="3155" spans="1:4" ht="12.75" customHeight="1" x14ac:dyDescent="0.2">
      <c r="A3155" s="21"/>
      <c r="B3155" s="3" t="s">
        <v>0</v>
      </c>
      <c r="C3155" s="20" t="s">
        <v>151</v>
      </c>
      <c r="D3155" s="21"/>
    </row>
    <row r="3156" spans="1:4" ht="12.75" customHeight="1" x14ac:dyDescent="0.2">
      <c r="A3156" s="21"/>
      <c r="B3156" s="3" t="s">
        <v>2</v>
      </c>
      <c r="C3156" s="20" t="s">
        <v>1598</v>
      </c>
      <c r="D3156" s="21"/>
    </row>
    <row r="3157" spans="1:4" ht="12.75" customHeight="1" x14ac:dyDescent="0.2">
      <c r="A3157" s="21"/>
      <c r="B3157" s="3" t="s">
        <v>4</v>
      </c>
      <c r="C3157" s="20" t="s">
        <v>1984</v>
      </c>
      <c r="D3157" s="21"/>
    </row>
    <row r="3158" spans="1:4" ht="12.75" customHeight="1" x14ac:dyDescent="0.2">
      <c r="A3158" s="21"/>
      <c r="B3158" s="3" t="s">
        <v>6</v>
      </c>
      <c r="C3158" s="20" t="s">
        <v>206</v>
      </c>
      <c r="D3158" s="21"/>
    </row>
    <row r="3159" spans="1:4" ht="12.75" customHeight="1" x14ac:dyDescent="0.2">
      <c r="A3159" s="21"/>
      <c r="B3159" s="3" t="s">
        <v>8</v>
      </c>
      <c r="C3159" s="20" t="s">
        <v>1984</v>
      </c>
      <c r="D3159" s="21"/>
    </row>
    <row r="3160" spans="1:4" ht="12.75" customHeight="1" x14ac:dyDescent="0.2">
      <c r="A3160" s="21"/>
      <c r="B3160" s="3" t="s">
        <v>9</v>
      </c>
      <c r="C3160" s="20" t="s">
        <v>93</v>
      </c>
      <c r="D3160" s="21"/>
    </row>
    <row r="3161" spans="1:4" ht="12.75" customHeight="1" x14ac:dyDescent="0.2">
      <c r="A3161" s="21"/>
      <c r="B3161" s="3" t="s">
        <v>11</v>
      </c>
      <c r="C3161" s="20" t="s">
        <v>615</v>
      </c>
      <c r="D3161" s="21"/>
    </row>
    <row r="3162" spans="1:4" ht="12.75" customHeight="1" x14ac:dyDescent="0.2">
      <c r="A3162" s="21"/>
      <c r="B3162" s="3" t="s">
        <v>13</v>
      </c>
      <c r="C3162" s="20" t="s">
        <v>24</v>
      </c>
      <c r="D3162" s="21"/>
    </row>
    <row r="3163" spans="1:4" ht="12.75" customHeight="1" x14ac:dyDescent="0.2">
      <c r="A3163" s="21"/>
      <c r="B3163" s="3" t="s">
        <v>15</v>
      </c>
      <c r="C3163" s="20" t="s">
        <v>24</v>
      </c>
      <c r="D3163" s="21"/>
    </row>
    <row r="3164" spans="1:4" ht="12.75" customHeight="1" x14ac:dyDescent="0.2">
      <c r="A3164" s="21"/>
      <c r="B3164" s="3" t="s">
        <v>16</v>
      </c>
      <c r="C3164" s="20"/>
      <c r="D3164" s="21"/>
    </row>
    <row r="3165" spans="1:4" ht="12.75" customHeight="1" x14ac:dyDescent="0.2">
      <c r="A3165" s="21"/>
      <c r="B3165" s="3" t="s">
        <v>17</v>
      </c>
      <c r="C3165" s="20"/>
      <c r="D3165" s="21"/>
    </row>
    <row r="3166" spans="1:4" ht="12.75" customHeight="1" x14ac:dyDescent="0.2">
      <c r="A3166" s="21"/>
      <c r="B3166" s="20" t="s">
        <v>18</v>
      </c>
      <c r="C3166" s="4" t="s">
        <v>44</v>
      </c>
      <c r="D3166" s="6" t="str">
        <f>HYPERLINK("javascript:void(0)","rémnyárs")</f>
        <v>rémnyárs</v>
      </c>
    </row>
    <row r="3167" spans="1:4" ht="12.75" customHeight="1" x14ac:dyDescent="0.2">
      <c r="A3167" s="21"/>
      <c r="B3167" s="21"/>
      <c r="C3167" s="4" t="s">
        <v>44</v>
      </c>
      <c r="D3167" s="6" t="str">
        <f>HYPERLINK("javascript:void(0)","magnetoacél tőr")</f>
        <v>magnetoacél tőr</v>
      </c>
    </row>
    <row r="3168" spans="1:4" ht="12.75" customHeight="1" x14ac:dyDescent="0.2">
      <c r="A3168" s="21"/>
      <c r="B3168" s="21"/>
      <c r="C3168" s="4" t="s">
        <v>44</v>
      </c>
      <c r="D3168" s="6" t="str">
        <f>HYPERLINK("javascript:void(0)","fotoacél markolat")</f>
        <v>fotoacél markolat</v>
      </c>
    </row>
    <row r="3169" spans="1:4" ht="12.75" customHeight="1" x14ac:dyDescent="0.2">
      <c r="A3169" s="5"/>
      <c r="B3169" s="2"/>
      <c r="C3169" s="2"/>
      <c r="D3169" s="2"/>
    </row>
    <row r="3170" spans="1:4" ht="12.75" customHeight="1" x14ac:dyDescent="0.2">
      <c r="A3170" s="22" t="str">
        <f>HYPERLINK("javascript:void(0)","fotoacél gigapallos")</f>
        <v>fotoacél gigapallos</v>
      </c>
      <c r="B3170" s="21"/>
      <c r="C3170" s="21"/>
      <c r="D3170" s="21"/>
    </row>
    <row r="3171" spans="1:4" ht="12.75" customHeight="1" x14ac:dyDescent="0.2">
      <c r="A3171" s="20"/>
      <c r="B3171" s="2"/>
      <c r="C3171" s="2"/>
      <c r="D3171" s="2"/>
    </row>
    <row r="3172" spans="1:4" ht="12.75" customHeight="1" x14ac:dyDescent="0.2">
      <c r="A3172" s="21"/>
      <c r="B3172" s="3" t="s">
        <v>0</v>
      </c>
      <c r="C3172" s="20" t="s">
        <v>151</v>
      </c>
      <c r="D3172" s="21"/>
    </row>
    <row r="3173" spans="1:4" ht="12.75" customHeight="1" x14ac:dyDescent="0.2">
      <c r="A3173" s="21"/>
      <c r="B3173" s="3" t="s">
        <v>2</v>
      </c>
      <c r="C3173" s="20" t="s">
        <v>1598</v>
      </c>
      <c r="D3173" s="21"/>
    </row>
    <row r="3174" spans="1:4" ht="12.75" customHeight="1" x14ac:dyDescent="0.2">
      <c r="A3174" s="21"/>
      <c r="B3174" s="3" t="s">
        <v>4</v>
      </c>
      <c r="C3174" s="20" t="s">
        <v>1036</v>
      </c>
      <c r="D3174" s="21"/>
    </row>
    <row r="3175" spans="1:4" ht="12.75" customHeight="1" x14ac:dyDescent="0.2">
      <c r="A3175" s="21"/>
      <c r="B3175" s="3" t="s">
        <v>6</v>
      </c>
      <c r="C3175" s="20" t="s">
        <v>206</v>
      </c>
      <c r="D3175" s="21"/>
    </row>
    <row r="3176" spans="1:4" ht="12.75" customHeight="1" x14ac:dyDescent="0.2">
      <c r="A3176" s="21"/>
      <c r="B3176" s="3" t="s">
        <v>8</v>
      </c>
      <c r="C3176" s="20" t="s">
        <v>1036</v>
      </c>
      <c r="D3176" s="21"/>
    </row>
    <row r="3177" spans="1:4" ht="12.75" customHeight="1" x14ac:dyDescent="0.2">
      <c r="A3177" s="21"/>
      <c r="B3177" s="3" t="s">
        <v>9</v>
      </c>
      <c r="C3177" s="20" t="s">
        <v>1987</v>
      </c>
      <c r="D3177" s="21"/>
    </row>
    <row r="3178" spans="1:4" ht="12.75" customHeight="1" x14ac:dyDescent="0.2">
      <c r="A3178" s="21"/>
      <c r="B3178" s="3" t="s">
        <v>11</v>
      </c>
      <c r="C3178" s="20" t="s">
        <v>739</v>
      </c>
      <c r="D3178" s="21"/>
    </row>
    <row r="3179" spans="1:4" ht="12.75" customHeight="1" x14ac:dyDescent="0.2">
      <c r="A3179" s="21"/>
      <c r="B3179" s="3" t="s">
        <v>13</v>
      </c>
      <c r="C3179" s="20" t="s">
        <v>24</v>
      </c>
      <c r="D3179" s="21"/>
    </row>
    <row r="3180" spans="1:4" ht="12.75" customHeight="1" x14ac:dyDescent="0.2">
      <c r="A3180" s="21"/>
      <c r="B3180" s="3" t="s">
        <v>15</v>
      </c>
      <c r="C3180" s="20" t="s">
        <v>24</v>
      </c>
      <c r="D3180" s="21"/>
    </row>
    <row r="3181" spans="1:4" ht="12.75" customHeight="1" x14ac:dyDescent="0.2">
      <c r="A3181" s="21"/>
      <c r="B3181" s="3" t="s">
        <v>16</v>
      </c>
      <c r="C3181" s="20"/>
      <c r="D3181" s="21"/>
    </row>
    <row r="3182" spans="1:4" ht="12.75" customHeight="1" x14ac:dyDescent="0.2">
      <c r="A3182" s="21"/>
      <c r="B3182" s="3" t="s">
        <v>17</v>
      </c>
      <c r="C3182" s="20"/>
      <c r="D3182" s="21"/>
    </row>
    <row r="3183" spans="1:4" ht="12.75" customHeight="1" x14ac:dyDescent="0.2">
      <c r="A3183" s="21"/>
      <c r="B3183" s="20" t="s">
        <v>18</v>
      </c>
      <c r="C3183" s="4" t="s">
        <v>280</v>
      </c>
      <c r="D3183" s="6" t="str">
        <f>HYPERLINK("javascript:void(0)","ámbra")</f>
        <v>ámbra</v>
      </c>
    </row>
    <row r="3184" spans="1:4" ht="12.75" customHeight="1" x14ac:dyDescent="0.2">
      <c r="A3184" s="21"/>
      <c r="B3184" s="21"/>
      <c r="C3184" s="4" t="s">
        <v>117</v>
      </c>
      <c r="D3184" s="6" t="str">
        <f>HYPERLINK("javascript:void(0)","hacuka")</f>
        <v>hacuka</v>
      </c>
    </row>
    <row r="3185" spans="1:4" ht="12.75" customHeight="1" x14ac:dyDescent="0.2">
      <c r="A3185" s="21"/>
      <c r="B3185" s="21"/>
      <c r="C3185" s="4" t="s">
        <v>130</v>
      </c>
      <c r="D3185" s="6" t="str">
        <f>HYPERLINK("javascript:void(0)","fotogén")</f>
        <v>fotogén</v>
      </c>
    </row>
    <row r="3186" spans="1:4" ht="12.75" customHeight="1" x14ac:dyDescent="0.2">
      <c r="A3186" s="5"/>
      <c r="B3186" s="2"/>
      <c r="C3186" s="2"/>
      <c r="D3186" s="2"/>
    </row>
    <row r="3187" spans="1:4" ht="12.75" customHeight="1" x14ac:dyDescent="0.2">
      <c r="A3187" s="22" t="str">
        <f>HYPERLINK("javascript:void(0)","gyíkacél balta")</f>
        <v>gyíkacél balta</v>
      </c>
      <c r="B3187" s="21"/>
      <c r="C3187" s="21"/>
      <c r="D3187" s="21"/>
    </row>
    <row r="3188" spans="1:4" ht="12.75" customHeight="1" x14ac:dyDescent="0.2">
      <c r="A3188" s="20"/>
      <c r="B3188" s="2"/>
      <c r="C3188" s="2"/>
      <c r="D3188" s="2"/>
    </row>
    <row r="3189" spans="1:4" ht="12.75" customHeight="1" x14ac:dyDescent="0.2">
      <c r="A3189" s="21"/>
      <c r="B3189" s="3" t="s">
        <v>0</v>
      </c>
      <c r="C3189" s="20" t="s">
        <v>151</v>
      </c>
      <c r="D3189" s="21"/>
    </row>
    <row r="3190" spans="1:4" ht="12.75" customHeight="1" x14ac:dyDescent="0.2">
      <c r="A3190" s="21"/>
      <c r="B3190" s="3" t="s">
        <v>2</v>
      </c>
      <c r="C3190" s="20" t="s">
        <v>1598</v>
      </c>
      <c r="D3190" s="21"/>
    </row>
    <row r="3191" spans="1:4" ht="12.75" customHeight="1" x14ac:dyDescent="0.2">
      <c r="A3191" s="21"/>
      <c r="B3191" s="3" t="s">
        <v>4</v>
      </c>
      <c r="C3191" s="20" t="s">
        <v>1988</v>
      </c>
      <c r="D3191" s="21"/>
    </row>
    <row r="3192" spans="1:4" ht="12.75" customHeight="1" x14ac:dyDescent="0.2">
      <c r="A3192" s="21"/>
      <c r="B3192" s="3" t="s">
        <v>6</v>
      </c>
      <c r="C3192" s="20" t="s">
        <v>107</v>
      </c>
      <c r="D3192" s="21"/>
    </row>
    <row r="3193" spans="1:4" ht="12.75" customHeight="1" x14ac:dyDescent="0.2">
      <c r="A3193" s="21"/>
      <c r="B3193" s="3" t="s">
        <v>8</v>
      </c>
      <c r="C3193" s="20" t="s">
        <v>1988</v>
      </c>
      <c r="D3193" s="21"/>
    </row>
    <row r="3194" spans="1:4" ht="12.75" customHeight="1" x14ac:dyDescent="0.2">
      <c r="A3194" s="21"/>
      <c r="B3194" s="3" t="s">
        <v>9</v>
      </c>
      <c r="C3194" s="20" t="s">
        <v>1989</v>
      </c>
      <c r="D3194" s="21"/>
    </row>
    <row r="3195" spans="1:4" ht="12.75" customHeight="1" x14ac:dyDescent="0.2">
      <c r="A3195" s="21"/>
      <c r="B3195" s="3" t="s">
        <v>11</v>
      </c>
      <c r="C3195" s="20" t="s">
        <v>492</v>
      </c>
      <c r="D3195" s="21"/>
    </row>
    <row r="3196" spans="1:4" ht="12.75" customHeight="1" x14ac:dyDescent="0.2">
      <c r="A3196" s="21"/>
      <c r="B3196" s="3" t="s">
        <v>13</v>
      </c>
      <c r="C3196" s="20" t="s">
        <v>24</v>
      </c>
      <c r="D3196" s="21"/>
    </row>
    <row r="3197" spans="1:4" ht="12.75" customHeight="1" x14ac:dyDescent="0.2">
      <c r="A3197" s="21"/>
      <c r="B3197" s="3" t="s">
        <v>15</v>
      </c>
      <c r="C3197" s="20" t="s">
        <v>24</v>
      </c>
      <c r="D3197" s="21"/>
    </row>
    <row r="3198" spans="1:4" ht="12.75" customHeight="1" x14ac:dyDescent="0.2">
      <c r="A3198" s="21"/>
      <c r="B3198" s="3" t="s">
        <v>16</v>
      </c>
      <c r="C3198" s="20"/>
      <c r="D3198" s="21"/>
    </row>
    <row r="3199" spans="1:4" ht="12.75" customHeight="1" x14ac:dyDescent="0.2">
      <c r="A3199" s="21"/>
      <c r="B3199" s="3" t="s">
        <v>17</v>
      </c>
      <c r="C3199" s="20"/>
      <c r="D3199" s="21"/>
    </row>
    <row r="3200" spans="1:4" ht="12.75" customHeight="1" x14ac:dyDescent="0.2">
      <c r="A3200" s="21"/>
      <c r="B3200" s="20" t="s">
        <v>18</v>
      </c>
      <c r="C3200" s="4" t="s">
        <v>55</v>
      </c>
      <c r="D3200" s="6" t="str">
        <f>HYPERLINK("javascript:void(0)","ezüströg")</f>
        <v>ezüströg</v>
      </c>
    </row>
    <row r="3201" spans="1:4" ht="12.75" customHeight="1" x14ac:dyDescent="0.2">
      <c r="A3201" s="21"/>
      <c r="B3201" s="21"/>
      <c r="C3201" s="4" t="s">
        <v>98</v>
      </c>
      <c r="D3201" s="6" t="str">
        <f>HYPERLINK("javascript:void(0)","démonfog")</f>
        <v>démonfog</v>
      </c>
    </row>
    <row r="3202" spans="1:4" ht="12.75" customHeight="1" x14ac:dyDescent="0.2">
      <c r="A3202" s="21"/>
      <c r="B3202" s="21"/>
      <c r="C3202" s="4" t="s">
        <v>309</v>
      </c>
      <c r="D3202" s="6" t="str">
        <f>HYPERLINK("javascript:void(0)","kristályfolyadék")</f>
        <v>kristályfolyadék</v>
      </c>
    </row>
    <row r="3203" spans="1:4" ht="12.75" customHeight="1" x14ac:dyDescent="0.2">
      <c r="A3203" s="5"/>
      <c r="B3203" s="2"/>
      <c r="C3203" s="2"/>
      <c r="D3203" s="2"/>
    </row>
    <row r="3204" spans="1:4" ht="12.75" customHeight="1" x14ac:dyDescent="0.2">
      <c r="A3204" s="22" t="str">
        <f>HYPERLINK("javascript:void(0)","magnetoacél kasza")</f>
        <v>magnetoacél kasza</v>
      </c>
      <c r="B3204" s="21"/>
      <c r="C3204" s="21"/>
      <c r="D3204" s="21"/>
    </row>
    <row r="3205" spans="1:4" ht="12.75" customHeight="1" x14ac:dyDescent="0.2">
      <c r="A3205" s="20"/>
      <c r="B3205" s="2"/>
      <c r="C3205" s="2"/>
      <c r="D3205" s="2"/>
    </row>
    <row r="3206" spans="1:4" ht="12.75" customHeight="1" x14ac:dyDescent="0.2">
      <c r="A3206" s="21"/>
      <c r="B3206" s="3" t="s">
        <v>0</v>
      </c>
      <c r="C3206" s="20" t="s">
        <v>219</v>
      </c>
      <c r="D3206" s="21"/>
    </row>
    <row r="3207" spans="1:4" ht="12.75" customHeight="1" x14ac:dyDescent="0.2">
      <c r="A3207" s="21"/>
      <c r="B3207" s="3" t="s">
        <v>2</v>
      </c>
      <c r="C3207" s="20" t="s">
        <v>1598</v>
      </c>
      <c r="D3207" s="21"/>
    </row>
    <row r="3208" spans="1:4" ht="12.75" customHeight="1" x14ac:dyDescent="0.2">
      <c r="A3208" s="21"/>
      <c r="B3208" s="3" t="s">
        <v>4</v>
      </c>
      <c r="C3208" s="20" t="s">
        <v>1990</v>
      </c>
      <c r="D3208" s="21"/>
    </row>
    <row r="3209" spans="1:4" ht="12.75" customHeight="1" x14ac:dyDescent="0.2">
      <c r="A3209" s="21"/>
      <c r="B3209" s="3" t="s">
        <v>6</v>
      </c>
      <c r="C3209" s="20" t="s">
        <v>52</v>
      </c>
      <c r="D3209" s="21"/>
    </row>
    <row r="3210" spans="1:4" ht="12.75" customHeight="1" x14ac:dyDescent="0.2">
      <c r="A3210" s="21"/>
      <c r="B3210" s="3" t="s">
        <v>8</v>
      </c>
      <c r="C3210" s="20" t="s">
        <v>1990</v>
      </c>
      <c r="D3210" s="21"/>
    </row>
    <row r="3211" spans="1:4" ht="12.75" customHeight="1" x14ac:dyDescent="0.2">
      <c r="A3211" s="21"/>
      <c r="B3211" s="3" t="s">
        <v>9</v>
      </c>
      <c r="C3211" s="20" t="s">
        <v>1991</v>
      </c>
      <c r="D3211" s="21"/>
    </row>
    <row r="3212" spans="1:4" ht="12.75" customHeight="1" x14ac:dyDescent="0.2">
      <c r="A3212" s="21"/>
      <c r="B3212" s="3" t="s">
        <v>11</v>
      </c>
      <c r="C3212" s="20" t="s">
        <v>625</v>
      </c>
      <c r="D3212" s="21"/>
    </row>
    <row r="3213" spans="1:4" ht="12.75" customHeight="1" x14ac:dyDescent="0.2">
      <c r="A3213" s="21"/>
      <c r="B3213" s="3" t="s">
        <v>13</v>
      </c>
      <c r="C3213" s="20" t="s">
        <v>24</v>
      </c>
      <c r="D3213" s="21"/>
    </row>
    <row r="3214" spans="1:4" ht="12.75" customHeight="1" x14ac:dyDescent="0.2">
      <c r="A3214" s="21"/>
      <c r="B3214" s="3" t="s">
        <v>15</v>
      </c>
      <c r="C3214" s="20" t="s">
        <v>24</v>
      </c>
      <c r="D3214" s="21"/>
    </row>
    <row r="3215" spans="1:4" ht="12.75" customHeight="1" x14ac:dyDescent="0.2">
      <c r="A3215" s="21"/>
      <c r="B3215" s="3" t="s">
        <v>16</v>
      </c>
      <c r="C3215" s="20"/>
      <c r="D3215" s="21"/>
    </row>
    <row r="3216" spans="1:4" ht="12.75" customHeight="1" x14ac:dyDescent="0.2">
      <c r="A3216" s="21"/>
      <c r="B3216" s="3" t="s">
        <v>17</v>
      </c>
      <c r="C3216" s="20"/>
      <c r="D3216" s="21"/>
    </row>
    <row r="3217" spans="1:4" ht="12.75" customHeight="1" x14ac:dyDescent="0.2">
      <c r="A3217" s="21"/>
      <c r="B3217" s="20" t="s">
        <v>18</v>
      </c>
      <c r="C3217" s="4" t="s">
        <v>44</v>
      </c>
      <c r="D3217" s="6" t="str">
        <f>HYPERLINK("javascript:void(0)","fotoacél handzsár")</f>
        <v>fotoacél handzsár</v>
      </c>
    </row>
    <row r="3218" spans="1:4" ht="12.75" customHeight="1" x14ac:dyDescent="0.2">
      <c r="A3218" s="21"/>
      <c r="B3218" s="21"/>
      <c r="C3218" s="4" t="s">
        <v>67</v>
      </c>
      <c r="D3218" s="6" t="str">
        <f>HYPERLINK("javascript:void(0)","nukleon")</f>
        <v>nukleon</v>
      </c>
    </row>
    <row r="3219" spans="1:4" ht="12.75" customHeight="1" x14ac:dyDescent="0.2">
      <c r="A3219" s="21"/>
      <c r="B3219" s="21"/>
      <c r="C3219" s="4" t="s">
        <v>77</v>
      </c>
      <c r="D3219" s="6" t="str">
        <f>HYPERLINK("javascript:void(0)","mágnes")</f>
        <v>mágnes</v>
      </c>
    </row>
    <row r="3220" spans="1:4" ht="12.75" customHeight="1" x14ac:dyDescent="0.2">
      <c r="A3220" s="5"/>
      <c r="B3220" s="2"/>
      <c r="C3220" s="2"/>
      <c r="D3220" s="2"/>
    </row>
    <row r="3221" spans="1:4" ht="12.75" customHeight="1" x14ac:dyDescent="0.2">
      <c r="A3221" s="22" t="str">
        <f>HYPERLINK("javascript:void(0)","maghasító mágusölő")</f>
        <v>maghasító mágusölő</v>
      </c>
      <c r="B3221" s="21"/>
      <c r="C3221" s="21"/>
      <c r="D3221" s="21"/>
    </row>
    <row r="3222" spans="1:4" ht="12.75" customHeight="1" x14ac:dyDescent="0.2">
      <c r="A3222" s="20"/>
      <c r="B3222" s="2"/>
      <c r="C3222" s="2"/>
      <c r="D3222" s="2"/>
    </row>
    <row r="3223" spans="1:4" ht="12.75" customHeight="1" x14ac:dyDescent="0.2">
      <c r="A3223" s="21"/>
      <c r="B3223" s="3" t="s">
        <v>0</v>
      </c>
      <c r="C3223" s="20" t="s">
        <v>219</v>
      </c>
      <c r="D3223" s="21"/>
    </row>
    <row r="3224" spans="1:4" ht="12.75" customHeight="1" x14ac:dyDescent="0.2">
      <c r="A3224" s="21"/>
      <c r="B3224" s="3" t="s">
        <v>2</v>
      </c>
      <c r="C3224" s="20" t="s">
        <v>1598</v>
      </c>
      <c r="D3224" s="21"/>
    </row>
    <row r="3225" spans="1:4" ht="12.75" customHeight="1" x14ac:dyDescent="0.2">
      <c r="A3225" s="21"/>
      <c r="B3225" s="3" t="s">
        <v>4</v>
      </c>
      <c r="C3225" s="20" t="s">
        <v>1992</v>
      </c>
      <c r="D3225" s="21"/>
    </row>
    <row r="3226" spans="1:4" ht="12.75" customHeight="1" x14ac:dyDescent="0.2">
      <c r="A3226" s="21"/>
      <c r="B3226" s="3" t="s">
        <v>6</v>
      </c>
      <c r="C3226" s="20" t="s">
        <v>48</v>
      </c>
      <c r="D3226" s="21"/>
    </row>
    <row r="3227" spans="1:4" ht="12.75" customHeight="1" x14ac:dyDescent="0.2">
      <c r="A3227" s="21"/>
      <c r="B3227" s="3" t="s">
        <v>8</v>
      </c>
      <c r="C3227" s="20" t="s">
        <v>1992</v>
      </c>
      <c r="D3227" s="21"/>
    </row>
    <row r="3228" spans="1:4" ht="12.75" customHeight="1" x14ac:dyDescent="0.2">
      <c r="A3228" s="21"/>
      <c r="B3228" s="3" t="s">
        <v>9</v>
      </c>
      <c r="C3228" s="20" t="s">
        <v>1068</v>
      </c>
      <c r="D3228" s="21"/>
    </row>
    <row r="3229" spans="1:4" ht="12.75" customHeight="1" x14ac:dyDescent="0.2">
      <c r="A3229" s="21"/>
      <c r="B3229" s="3" t="s">
        <v>11</v>
      </c>
      <c r="C3229" s="20" t="s">
        <v>660</v>
      </c>
      <c r="D3229" s="21"/>
    </row>
    <row r="3230" spans="1:4" ht="12.75" customHeight="1" x14ac:dyDescent="0.2">
      <c r="A3230" s="21"/>
      <c r="B3230" s="3" t="s">
        <v>13</v>
      </c>
      <c r="C3230" s="20" t="s">
        <v>14</v>
      </c>
      <c r="D3230" s="21"/>
    </row>
    <row r="3231" spans="1:4" ht="12.75" customHeight="1" x14ac:dyDescent="0.2">
      <c r="A3231" s="21"/>
      <c r="B3231" s="3" t="s">
        <v>15</v>
      </c>
      <c r="C3231" s="20" t="s">
        <v>24</v>
      </c>
      <c r="D3231" s="21"/>
    </row>
    <row r="3232" spans="1:4" ht="12.75" customHeight="1" x14ac:dyDescent="0.2">
      <c r="A3232" s="21"/>
      <c r="B3232" s="3" t="s">
        <v>16</v>
      </c>
      <c r="C3232" s="20"/>
      <c r="D3232" s="21"/>
    </row>
    <row r="3233" spans="1:4" ht="12.75" customHeight="1" x14ac:dyDescent="0.2">
      <c r="A3233" s="21"/>
      <c r="B3233" s="3" t="s">
        <v>17</v>
      </c>
      <c r="C3233" s="20"/>
      <c r="D3233" s="21"/>
    </row>
    <row r="3234" spans="1:4" ht="12.75" customHeight="1" x14ac:dyDescent="0.2">
      <c r="A3234" s="21"/>
      <c r="B3234" s="20" t="s">
        <v>18</v>
      </c>
      <c r="C3234" s="4" t="s">
        <v>163</v>
      </c>
      <c r="D3234" s="6" t="str">
        <f>HYPERLINK("javascript:void(0)","nukleon")</f>
        <v>nukleon</v>
      </c>
    </row>
    <row r="3235" spans="1:4" ht="12.75" customHeight="1" x14ac:dyDescent="0.2">
      <c r="A3235" s="21"/>
      <c r="B3235" s="21"/>
      <c r="C3235" s="4" t="s">
        <v>139</v>
      </c>
      <c r="D3235" s="6" t="str">
        <f>HYPERLINK("javascript:void(0)","betüvető")</f>
        <v>betüvető</v>
      </c>
    </row>
    <row r="3236" spans="1:4" ht="12.75" customHeight="1" x14ac:dyDescent="0.2">
      <c r="A3236" s="21"/>
      <c r="B3236" s="21"/>
      <c r="C3236" s="4" t="s">
        <v>130</v>
      </c>
      <c r="D3236" s="6" t="str">
        <f>HYPERLINK("javascript:void(0)","kacat")</f>
        <v>kacat</v>
      </c>
    </row>
    <row r="3237" spans="1:4" ht="12.75" customHeight="1" x14ac:dyDescent="0.2">
      <c r="A3237" s="5"/>
      <c r="B3237" s="2"/>
      <c r="C3237" s="2"/>
      <c r="D3237" s="2"/>
    </row>
    <row r="3238" spans="1:4" ht="12.75" customHeight="1" x14ac:dyDescent="0.2">
      <c r="A3238" s="22" t="str">
        <f>HYPERLINK("javascript:void(0)","magnetoacél duplapenge")</f>
        <v>magnetoacél duplapenge</v>
      </c>
      <c r="B3238" s="21"/>
      <c r="C3238" s="21"/>
      <c r="D3238" s="21"/>
    </row>
    <row r="3239" spans="1:4" ht="12.75" customHeight="1" x14ac:dyDescent="0.2">
      <c r="A3239" s="20"/>
      <c r="B3239" s="2"/>
      <c r="C3239" s="2"/>
      <c r="D3239" s="2"/>
    </row>
    <row r="3240" spans="1:4" ht="12.75" customHeight="1" x14ac:dyDescent="0.2">
      <c r="A3240" s="21"/>
      <c r="B3240" s="3" t="s">
        <v>0</v>
      </c>
      <c r="C3240" s="20" t="s">
        <v>613</v>
      </c>
      <c r="D3240" s="21"/>
    </row>
    <row r="3241" spans="1:4" ht="12.75" customHeight="1" x14ac:dyDescent="0.2">
      <c r="A3241" s="21"/>
      <c r="B3241" s="3" t="s">
        <v>2</v>
      </c>
      <c r="C3241" s="20" t="s">
        <v>1598</v>
      </c>
      <c r="D3241" s="21"/>
    </row>
    <row r="3242" spans="1:4" ht="12.75" customHeight="1" x14ac:dyDescent="0.2">
      <c r="A3242" s="21"/>
      <c r="B3242" s="3" t="s">
        <v>4</v>
      </c>
      <c r="C3242" s="20" t="s">
        <v>614</v>
      </c>
      <c r="D3242" s="21"/>
    </row>
    <row r="3243" spans="1:4" ht="12.75" customHeight="1" x14ac:dyDescent="0.2">
      <c r="A3243" s="21"/>
      <c r="B3243" s="3" t="s">
        <v>6</v>
      </c>
      <c r="C3243" s="20" t="s">
        <v>107</v>
      </c>
      <c r="D3243" s="21"/>
    </row>
    <row r="3244" spans="1:4" ht="12.75" customHeight="1" x14ac:dyDescent="0.2">
      <c r="A3244" s="21"/>
      <c r="B3244" s="3" t="s">
        <v>8</v>
      </c>
      <c r="C3244" s="20" t="s">
        <v>614</v>
      </c>
      <c r="D3244" s="21"/>
    </row>
    <row r="3245" spans="1:4" ht="12.75" customHeight="1" x14ac:dyDescent="0.2">
      <c r="A3245" s="21"/>
      <c r="B3245" s="3" t="s">
        <v>9</v>
      </c>
      <c r="C3245" s="20" t="s">
        <v>464</v>
      </c>
      <c r="D3245" s="21"/>
    </row>
    <row r="3246" spans="1:4" ht="12.75" customHeight="1" x14ac:dyDescent="0.2">
      <c r="A3246" s="21"/>
      <c r="B3246" s="3" t="s">
        <v>11</v>
      </c>
      <c r="C3246" s="20" t="s">
        <v>638</v>
      </c>
      <c r="D3246" s="21"/>
    </row>
    <row r="3247" spans="1:4" ht="12.75" customHeight="1" x14ac:dyDescent="0.2">
      <c r="A3247" s="21"/>
      <c r="B3247" s="3" t="s">
        <v>13</v>
      </c>
      <c r="C3247" s="20" t="s">
        <v>24</v>
      </c>
      <c r="D3247" s="21"/>
    </row>
    <row r="3248" spans="1:4" ht="12.75" customHeight="1" x14ac:dyDescent="0.2">
      <c r="A3248" s="21"/>
      <c r="B3248" s="3" t="s">
        <v>15</v>
      </c>
      <c r="C3248" s="20" t="s">
        <v>24</v>
      </c>
      <c r="D3248" s="21"/>
    </row>
    <row r="3249" spans="1:4" ht="12.75" customHeight="1" x14ac:dyDescent="0.2">
      <c r="A3249" s="21"/>
      <c r="B3249" s="3" t="s">
        <v>16</v>
      </c>
      <c r="C3249" s="20"/>
      <c r="D3249" s="21"/>
    </row>
    <row r="3250" spans="1:4" ht="12.75" customHeight="1" x14ac:dyDescent="0.2">
      <c r="A3250" s="21"/>
      <c r="B3250" s="3" t="s">
        <v>17</v>
      </c>
      <c r="C3250" s="20"/>
      <c r="D3250" s="21"/>
    </row>
    <row r="3251" spans="1:4" ht="12.75" customHeight="1" x14ac:dyDescent="0.2">
      <c r="A3251" s="21"/>
      <c r="B3251" s="20" t="s">
        <v>18</v>
      </c>
      <c r="C3251" s="4" t="s">
        <v>57</v>
      </c>
      <c r="D3251" s="6" t="str">
        <f>HYPERLINK("javascript:void(0)","vákuum")</f>
        <v>vákuum</v>
      </c>
    </row>
    <row r="3252" spans="1:4" ht="12.75" customHeight="1" x14ac:dyDescent="0.2">
      <c r="A3252" s="21"/>
      <c r="B3252" s="21"/>
      <c r="C3252" s="4" t="s">
        <v>139</v>
      </c>
      <c r="D3252" s="6" t="str">
        <f>HYPERLINK("javascript:void(0)","mágnes")</f>
        <v>mágnes</v>
      </c>
    </row>
    <row r="3253" spans="1:4" ht="12.75" customHeight="1" x14ac:dyDescent="0.2">
      <c r="A3253" s="21"/>
      <c r="B3253" s="21"/>
      <c r="C3253" s="4" t="s">
        <v>98</v>
      </c>
      <c r="D3253" s="6" t="str">
        <f>HYPERLINK("javascript:void(0)","uszony")</f>
        <v>uszony</v>
      </c>
    </row>
    <row r="3254" spans="1:4" ht="12.75" customHeight="1" x14ac:dyDescent="0.2">
      <c r="A3254" s="5"/>
      <c r="B3254" s="2"/>
      <c r="C3254" s="2"/>
      <c r="D3254" s="2"/>
    </row>
    <row r="3255" spans="1:4" ht="12.75" customHeight="1" x14ac:dyDescent="0.2">
      <c r="A3255" s="22" t="str">
        <f>HYPERLINK("javascript:void(0)","magnetoacél gigapallos")</f>
        <v>magnetoacél gigapallos</v>
      </c>
      <c r="B3255" s="21"/>
      <c r="C3255" s="21"/>
      <c r="D3255" s="21"/>
    </row>
    <row r="3256" spans="1:4" ht="12.75" customHeight="1" x14ac:dyDescent="0.2">
      <c r="A3256" s="20"/>
      <c r="B3256" s="2"/>
      <c r="C3256" s="2"/>
      <c r="D3256" s="2"/>
    </row>
    <row r="3257" spans="1:4" ht="12.75" customHeight="1" x14ac:dyDescent="0.2">
      <c r="A3257" s="21"/>
      <c r="B3257" s="3" t="s">
        <v>0</v>
      </c>
      <c r="C3257" s="20" t="s">
        <v>613</v>
      </c>
      <c r="D3257" s="21"/>
    </row>
    <row r="3258" spans="1:4" ht="12.75" customHeight="1" x14ac:dyDescent="0.2">
      <c r="A3258" s="21"/>
      <c r="B3258" s="3" t="s">
        <v>2</v>
      </c>
      <c r="C3258" s="20" t="s">
        <v>1598</v>
      </c>
      <c r="D3258" s="21"/>
    </row>
    <row r="3259" spans="1:4" ht="12.75" customHeight="1" x14ac:dyDescent="0.2">
      <c r="A3259" s="21"/>
      <c r="B3259" s="3" t="s">
        <v>4</v>
      </c>
      <c r="C3259" s="20" t="s">
        <v>1995</v>
      </c>
      <c r="D3259" s="21"/>
    </row>
    <row r="3260" spans="1:4" ht="12.75" customHeight="1" x14ac:dyDescent="0.2">
      <c r="A3260" s="21"/>
      <c r="B3260" s="3" t="s">
        <v>6</v>
      </c>
      <c r="C3260" s="20" t="s">
        <v>284</v>
      </c>
      <c r="D3260" s="21"/>
    </row>
    <row r="3261" spans="1:4" ht="12.75" customHeight="1" x14ac:dyDescent="0.2">
      <c r="A3261" s="21"/>
      <c r="B3261" s="3" t="s">
        <v>8</v>
      </c>
      <c r="C3261" s="20" t="s">
        <v>1995</v>
      </c>
      <c r="D3261" s="21"/>
    </row>
    <row r="3262" spans="1:4" ht="12.75" customHeight="1" x14ac:dyDescent="0.2">
      <c r="A3262" s="21"/>
      <c r="B3262" s="3" t="s">
        <v>9</v>
      </c>
      <c r="C3262" s="20" t="s">
        <v>1996</v>
      </c>
      <c r="D3262" s="21"/>
    </row>
    <row r="3263" spans="1:4" ht="12.75" customHeight="1" x14ac:dyDescent="0.2">
      <c r="A3263" s="21"/>
      <c r="B3263" s="3" t="s">
        <v>11</v>
      </c>
      <c r="C3263" s="20" t="s">
        <v>770</v>
      </c>
      <c r="D3263" s="21"/>
    </row>
    <row r="3264" spans="1:4" ht="12.75" customHeight="1" x14ac:dyDescent="0.2">
      <c r="A3264" s="21"/>
      <c r="B3264" s="3" t="s">
        <v>13</v>
      </c>
      <c r="C3264" s="20" t="s">
        <v>24</v>
      </c>
      <c r="D3264" s="21"/>
    </row>
    <row r="3265" spans="1:4" ht="12.75" customHeight="1" x14ac:dyDescent="0.2">
      <c r="A3265" s="21"/>
      <c r="B3265" s="3" t="s">
        <v>15</v>
      </c>
      <c r="C3265" s="20" t="s">
        <v>24</v>
      </c>
      <c r="D3265" s="21"/>
    </row>
    <row r="3266" spans="1:4" ht="12.75" customHeight="1" x14ac:dyDescent="0.2">
      <c r="A3266" s="21"/>
      <c r="B3266" s="3" t="s">
        <v>16</v>
      </c>
      <c r="C3266" s="20"/>
      <c r="D3266" s="21"/>
    </row>
    <row r="3267" spans="1:4" ht="12.75" customHeight="1" x14ac:dyDescent="0.2">
      <c r="A3267" s="21"/>
      <c r="B3267" s="3" t="s">
        <v>17</v>
      </c>
      <c r="C3267" s="20"/>
      <c r="D3267" s="21"/>
    </row>
    <row r="3268" spans="1:4" ht="12.75" customHeight="1" x14ac:dyDescent="0.2">
      <c r="A3268" s="21"/>
      <c r="B3268" s="20" t="s">
        <v>18</v>
      </c>
      <c r="C3268" s="4" t="s">
        <v>1997</v>
      </c>
      <c r="D3268" s="6" t="str">
        <f>HYPERLINK("javascript:void(0)","hangjegy")</f>
        <v>hangjegy</v>
      </c>
    </row>
    <row r="3269" spans="1:4" ht="12.75" customHeight="1" x14ac:dyDescent="0.2">
      <c r="A3269" s="21"/>
      <c r="B3269" s="21"/>
      <c r="C3269" s="4" t="s">
        <v>309</v>
      </c>
      <c r="D3269" s="6" t="str">
        <f>HYPERLINK("javascript:void(0)","mágnes")</f>
        <v>mágnes</v>
      </c>
    </row>
    <row r="3270" spans="1:4" ht="12.75" customHeight="1" x14ac:dyDescent="0.2">
      <c r="A3270" s="21"/>
      <c r="B3270" s="21"/>
      <c r="C3270" s="4" t="s">
        <v>382</v>
      </c>
      <c r="D3270" s="6" t="str">
        <f>HYPERLINK("javascript:void(0)","istenköröm")</f>
        <v>istenköröm</v>
      </c>
    </row>
    <row r="3271" spans="1:4" ht="12.75" customHeight="1" x14ac:dyDescent="0.2">
      <c r="A3271" s="5"/>
      <c r="B3271" s="2"/>
      <c r="C3271" s="2"/>
      <c r="D3271" s="2"/>
    </row>
    <row r="3272" spans="1:4" ht="12.75" customHeight="1" x14ac:dyDescent="0.2">
      <c r="A3272" s="22" t="str">
        <f>HYPERLINK("javascript:void(0)","gyíkacél párbajtőr")</f>
        <v>gyíkacél párbajtőr</v>
      </c>
      <c r="B3272" s="21"/>
      <c r="C3272" s="21"/>
      <c r="D3272" s="21"/>
    </row>
    <row r="3273" spans="1:4" ht="12.75" customHeight="1" x14ac:dyDescent="0.2">
      <c r="A3273" s="20"/>
      <c r="B3273" s="2"/>
      <c r="C3273" s="2"/>
      <c r="D3273" s="2"/>
    </row>
    <row r="3274" spans="1:4" ht="12.75" customHeight="1" x14ac:dyDescent="0.2">
      <c r="A3274" s="21"/>
      <c r="B3274" s="3" t="s">
        <v>0</v>
      </c>
      <c r="C3274" s="20" t="s">
        <v>613</v>
      </c>
      <c r="D3274" s="21"/>
    </row>
    <row r="3275" spans="1:4" ht="12.75" customHeight="1" x14ac:dyDescent="0.2">
      <c r="A3275" s="21"/>
      <c r="B3275" s="3" t="s">
        <v>2</v>
      </c>
      <c r="C3275" s="20" t="s">
        <v>1598</v>
      </c>
      <c r="D3275" s="21"/>
    </row>
    <row r="3276" spans="1:4" ht="12.75" customHeight="1" x14ac:dyDescent="0.2">
      <c r="A3276" s="21"/>
      <c r="B3276" s="3" t="s">
        <v>4</v>
      </c>
      <c r="C3276" s="20" t="s">
        <v>1998</v>
      </c>
      <c r="D3276" s="21"/>
    </row>
    <row r="3277" spans="1:4" ht="12.75" customHeight="1" x14ac:dyDescent="0.2">
      <c r="A3277" s="21"/>
      <c r="B3277" s="3" t="s">
        <v>6</v>
      </c>
      <c r="C3277" s="20" t="s">
        <v>107</v>
      </c>
      <c r="D3277" s="21"/>
    </row>
    <row r="3278" spans="1:4" ht="12.75" customHeight="1" x14ac:dyDescent="0.2">
      <c r="A3278" s="21"/>
      <c r="B3278" s="3" t="s">
        <v>8</v>
      </c>
      <c r="C3278" s="20" t="s">
        <v>1998</v>
      </c>
      <c r="D3278" s="21"/>
    </row>
    <row r="3279" spans="1:4" ht="12.75" customHeight="1" x14ac:dyDescent="0.2">
      <c r="A3279" s="21"/>
      <c r="B3279" s="3" t="s">
        <v>9</v>
      </c>
      <c r="C3279" s="20" t="s">
        <v>1999</v>
      </c>
      <c r="D3279" s="21"/>
    </row>
    <row r="3280" spans="1:4" ht="12.75" customHeight="1" x14ac:dyDescent="0.2">
      <c r="A3280" s="21"/>
      <c r="B3280" s="3" t="s">
        <v>11</v>
      </c>
      <c r="C3280" s="20" t="s">
        <v>506</v>
      </c>
      <c r="D3280" s="21"/>
    </row>
    <row r="3281" spans="1:4" ht="12.75" customHeight="1" x14ac:dyDescent="0.2">
      <c r="A3281" s="21"/>
      <c r="B3281" s="3" t="s">
        <v>13</v>
      </c>
      <c r="C3281" s="20" t="s">
        <v>24</v>
      </c>
      <c r="D3281" s="21"/>
    </row>
    <row r="3282" spans="1:4" ht="12.75" customHeight="1" x14ac:dyDescent="0.2">
      <c r="A3282" s="21"/>
      <c r="B3282" s="3" t="s">
        <v>15</v>
      </c>
      <c r="C3282" s="20" t="s">
        <v>24</v>
      </c>
      <c r="D3282" s="21"/>
    </row>
    <row r="3283" spans="1:4" ht="12.75" customHeight="1" x14ac:dyDescent="0.2">
      <c r="A3283" s="21"/>
      <c r="B3283" s="3" t="s">
        <v>16</v>
      </c>
      <c r="C3283" s="20"/>
      <c r="D3283" s="21"/>
    </row>
    <row r="3284" spans="1:4" ht="12.75" customHeight="1" x14ac:dyDescent="0.2">
      <c r="A3284" s="21"/>
      <c r="B3284" s="3" t="s">
        <v>17</v>
      </c>
      <c r="C3284" s="20"/>
      <c r="D3284" s="21"/>
    </row>
    <row r="3285" spans="1:4" ht="12.75" customHeight="1" x14ac:dyDescent="0.2">
      <c r="A3285" s="21"/>
      <c r="B3285" s="20" t="s">
        <v>18</v>
      </c>
      <c r="C3285" s="4" t="s">
        <v>232</v>
      </c>
      <c r="D3285" s="6" t="str">
        <f>HYPERLINK("javascript:void(0)","ezüströg")</f>
        <v>ezüströg</v>
      </c>
    </row>
    <row r="3286" spans="1:4" ht="12.75" customHeight="1" x14ac:dyDescent="0.2">
      <c r="A3286" s="21"/>
      <c r="B3286" s="21"/>
      <c r="C3286" s="4" t="s">
        <v>98</v>
      </c>
      <c r="D3286" s="6" t="str">
        <f>HYPERLINK("javascript:void(0)","haspók")</f>
        <v>haspók</v>
      </c>
    </row>
    <row r="3287" spans="1:4" ht="12.75" customHeight="1" x14ac:dyDescent="0.2">
      <c r="A3287" s="21"/>
      <c r="B3287" s="21"/>
      <c r="C3287" s="4" t="s">
        <v>382</v>
      </c>
      <c r="D3287" s="6" t="str">
        <f>HYPERLINK("javascript:void(0)","oroszlánbajusz")</f>
        <v>oroszlánbajusz</v>
      </c>
    </row>
    <row r="3288" spans="1:4" ht="12.75" customHeight="1" x14ac:dyDescent="0.2">
      <c r="A3288" s="5"/>
      <c r="B3288" s="2"/>
      <c r="C3288" s="2"/>
      <c r="D3288" s="2"/>
    </row>
    <row r="3289" spans="1:4" ht="12.75" customHeight="1" x14ac:dyDescent="0.2">
      <c r="A3289" s="22" t="str">
        <f>HYPERLINK("javascript:void(0)","magnetoacél szurony")</f>
        <v>magnetoacél szurony</v>
      </c>
      <c r="B3289" s="21"/>
      <c r="C3289" s="21"/>
      <c r="D3289" s="21"/>
    </row>
    <row r="3290" spans="1:4" ht="12.75" customHeight="1" x14ac:dyDescent="0.2">
      <c r="A3290" s="20"/>
      <c r="B3290" s="2"/>
      <c r="C3290" s="2"/>
      <c r="D3290" s="2"/>
    </row>
    <row r="3291" spans="1:4" ht="12.75" customHeight="1" x14ac:dyDescent="0.2">
      <c r="A3291" s="21"/>
      <c r="B3291" s="3" t="s">
        <v>0</v>
      </c>
      <c r="C3291" s="20" t="s">
        <v>248</v>
      </c>
      <c r="D3291" s="21"/>
    </row>
    <row r="3292" spans="1:4" ht="12.75" customHeight="1" x14ac:dyDescent="0.2">
      <c r="A3292" s="21"/>
      <c r="B3292" s="3" t="s">
        <v>2</v>
      </c>
      <c r="C3292" s="20" t="s">
        <v>1598</v>
      </c>
      <c r="D3292" s="21"/>
    </row>
    <row r="3293" spans="1:4" ht="12.75" customHeight="1" x14ac:dyDescent="0.2">
      <c r="A3293" s="21"/>
      <c r="B3293" s="3" t="s">
        <v>4</v>
      </c>
      <c r="C3293" s="20" t="s">
        <v>2000</v>
      </c>
      <c r="D3293" s="21"/>
    </row>
    <row r="3294" spans="1:4" ht="12.75" customHeight="1" x14ac:dyDescent="0.2">
      <c r="A3294" s="21"/>
      <c r="B3294" s="3" t="s">
        <v>6</v>
      </c>
      <c r="C3294" s="20" t="s">
        <v>353</v>
      </c>
      <c r="D3294" s="21"/>
    </row>
    <row r="3295" spans="1:4" ht="12.75" customHeight="1" x14ac:dyDescent="0.2">
      <c r="A3295" s="21"/>
      <c r="B3295" s="3" t="s">
        <v>8</v>
      </c>
      <c r="C3295" s="20" t="s">
        <v>2000</v>
      </c>
      <c r="D3295" s="21"/>
    </row>
    <row r="3296" spans="1:4" ht="12.75" customHeight="1" x14ac:dyDescent="0.2">
      <c r="A3296" s="21"/>
      <c r="B3296" s="3" t="s">
        <v>9</v>
      </c>
      <c r="C3296" s="20" t="s">
        <v>147</v>
      </c>
      <c r="D3296" s="21"/>
    </row>
    <row r="3297" spans="1:4" ht="12.75" customHeight="1" x14ac:dyDescent="0.2">
      <c r="A3297" s="21"/>
      <c r="B3297" s="3" t="s">
        <v>11</v>
      </c>
      <c r="C3297" s="20" t="s">
        <v>645</v>
      </c>
      <c r="D3297" s="21"/>
    </row>
    <row r="3298" spans="1:4" ht="12.75" customHeight="1" x14ac:dyDescent="0.2">
      <c r="A3298" s="21"/>
      <c r="B3298" s="3" t="s">
        <v>13</v>
      </c>
      <c r="C3298" s="20" t="s">
        <v>24</v>
      </c>
      <c r="D3298" s="21"/>
    </row>
    <row r="3299" spans="1:4" ht="12.75" customHeight="1" x14ac:dyDescent="0.2">
      <c r="A3299" s="21"/>
      <c r="B3299" s="3" t="s">
        <v>15</v>
      </c>
      <c r="C3299" s="20" t="s">
        <v>24</v>
      </c>
      <c r="D3299" s="21"/>
    </row>
    <row r="3300" spans="1:4" ht="12.75" customHeight="1" x14ac:dyDescent="0.2">
      <c r="A3300" s="21"/>
      <c r="B3300" s="3" t="s">
        <v>16</v>
      </c>
      <c r="C3300" s="20"/>
      <c r="D3300" s="21"/>
    </row>
    <row r="3301" spans="1:4" ht="12.75" customHeight="1" x14ac:dyDescent="0.2">
      <c r="A3301" s="21"/>
      <c r="B3301" s="3" t="s">
        <v>17</v>
      </c>
      <c r="C3301" s="20"/>
      <c r="D3301" s="21"/>
    </row>
    <row r="3302" spans="1:4" ht="12.75" customHeight="1" x14ac:dyDescent="0.2">
      <c r="A3302" s="21"/>
      <c r="B3302" s="20" t="s">
        <v>18</v>
      </c>
      <c r="C3302" s="4" t="s">
        <v>44</v>
      </c>
      <c r="D3302" s="6" t="str">
        <f>HYPERLINK("javascript:void(0)","magnetoacél kasza")</f>
        <v>magnetoacél kasza</v>
      </c>
    </row>
    <row r="3303" spans="1:4" ht="25.5" customHeight="1" x14ac:dyDescent="0.2">
      <c r="A3303" s="21"/>
      <c r="B3303" s="21"/>
      <c r="C3303" s="4" t="s">
        <v>44</v>
      </c>
      <c r="D3303" s="6" t="str">
        <f>HYPERLINK("javascript:void(0)","magnetoacél duplapenge")</f>
        <v>magnetoacél duplapenge</v>
      </c>
    </row>
    <row r="3304" spans="1:4" ht="25.5" customHeight="1" x14ac:dyDescent="0.2">
      <c r="A3304" s="21"/>
      <c r="B3304" s="21"/>
      <c r="C3304" s="4" t="s">
        <v>44</v>
      </c>
      <c r="D3304" s="6" t="str">
        <f>HYPERLINK("javascript:void(0)","magnetoacél markolat")</f>
        <v>magnetoacél markolat</v>
      </c>
    </row>
    <row r="3305" spans="1:4" ht="12.75" customHeight="1" x14ac:dyDescent="0.2">
      <c r="A3305" s="5"/>
      <c r="B3305" s="2"/>
      <c r="C3305" s="2"/>
      <c r="D3305" s="2"/>
    </row>
    <row r="3306" spans="1:4" ht="12.75" customHeight="1" x14ac:dyDescent="0.2">
      <c r="A3306" s="22" t="str">
        <f>HYPERLINK("javascript:void(0)","csápoló mágusölő")</f>
        <v>csápoló mágusölő</v>
      </c>
      <c r="B3306" s="21"/>
      <c r="C3306" s="21"/>
      <c r="D3306" s="21"/>
    </row>
    <row r="3307" spans="1:4" ht="12.75" customHeight="1" x14ac:dyDescent="0.2">
      <c r="A3307" s="20"/>
      <c r="B3307" s="2"/>
      <c r="C3307" s="2"/>
      <c r="D3307" s="2"/>
    </row>
    <row r="3308" spans="1:4" ht="12.75" customHeight="1" x14ac:dyDescent="0.2">
      <c r="A3308" s="21"/>
      <c r="B3308" s="3" t="s">
        <v>0</v>
      </c>
      <c r="C3308" s="20" t="s">
        <v>248</v>
      </c>
      <c r="D3308" s="21"/>
    </row>
    <row r="3309" spans="1:4" ht="12.75" customHeight="1" x14ac:dyDescent="0.2">
      <c r="A3309" s="21"/>
      <c r="B3309" s="3" t="s">
        <v>2</v>
      </c>
      <c r="C3309" s="20" t="s">
        <v>1598</v>
      </c>
      <c r="D3309" s="21"/>
    </row>
    <row r="3310" spans="1:4" ht="12.75" customHeight="1" x14ac:dyDescent="0.2">
      <c r="A3310" s="21"/>
      <c r="B3310" s="3" t="s">
        <v>4</v>
      </c>
      <c r="C3310" s="20" t="s">
        <v>2002</v>
      </c>
      <c r="D3310" s="21"/>
    </row>
    <row r="3311" spans="1:4" ht="12.75" customHeight="1" x14ac:dyDescent="0.2">
      <c r="A3311" s="21"/>
      <c r="B3311" s="3" t="s">
        <v>6</v>
      </c>
      <c r="C3311" s="20" t="s">
        <v>48</v>
      </c>
      <c r="D3311" s="21"/>
    </row>
    <row r="3312" spans="1:4" ht="12.75" customHeight="1" x14ac:dyDescent="0.2">
      <c r="A3312" s="21"/>
      <c r="B3312" s="3" t="s">
        <v>8</v>
      </c>
      <c r="C3312" s="20" t="s">
        <v>2002</v>
      </c>
      <c r="D3312" s="21"/>
    </row>
    <row r="3313" spans="1:4" ht="12.75" customHeight="1" x14ac:dyDescent="0.2">
      <c r="A3313" s="21"/>
      <c r="B3313" s="3" t="s">
        <v>9</v>
      </c>
      <c r="C3313" s="20" t="s">
        <v>852</v>
      </c>
      <c r="D3313" s="21"/>
    </row>
    <row r="3314" spans="1:4" ht="12.75" customHeight="1" x14ac:dyDescent="0.2">
      <c r="A3314" s="21"/>
      <c r="B3314" s="3" t="s">
        <v>11</v>
      </c>
      <c r="C3314" s="20" t="s">
        <v>684</v>
      </c>
      <c r="D3314" s="21"/>
    </row>
    <row r="3315" spans="1:4" ht="12.75" customHeight="1" x14ac:dyDescent="0.2">
      <c r="A3315" s="21"/>
      <c r="B3315" s="3" t="s">
        <v>13</v>
      </c>
      <c r="C3315" s="20" t="s">
        <v>14</v>
      </c>
      <c r="D3315" s="21"/>
    </row>
    <row r="3316" spans="1:4" ht="12.75" customHeight="1" x14ac:dyDescent="0.2">
      <c r="A3316" s="21"/>
      <c r="B3316" s="3" t="s">
        <v>15</v>
      </c>
      <c r="C3316" s="20" t="s">
        <v>24</v>
      </c>
      <c r="D3316" s="21"/>
    </row>
    <row r="3317" spans="1:4" ht="12.75" customHeight="1" x14ac:dyDescent="0.2">
      <c r="A3317" s="21"/>
      <c r="B3317" s="3" t="s">
        <v>16</v>
      </c>
      <c r="C3317" s="20"/>
      <c r="D3317" s="21"/>
    </row>
    <row r="3318" spans="1:4" ht="12.75" customHeight="1" x14ac:dyDescent="0.2">
      <c r="A3318" s="21"/>
      <c r="B3318" s="3" t="s">
        <v>17</v>
      </c>
      <c r="C3318" s="20"/>
      <c r="D3318" s="21"/>
    </row>
    <row r="3319" spans="1:4" ht="12.75" customHeight="1" x14ac:dyDescent="0.2">
      <c r="A3319" s="21"/>
      <c r="B3319" s="20" t="s">
        <v>18</v>
      </c>
      <c r="C3319" s="4" t="s">
        <v>68</v>
      </c>
      <c r="D3319" s="6" t="str">
        <f>HYPERLINK("javascript:void(0)","gigacsáp")</f>
        <v>gigacsáp</v>
      </c>
    </row>
    <row r="3320" spans="1:4" ht="12.75" customHeight="1" x14ac:dyDescent="0.2">
      <c r="A3320" s="21"/>
      <c r="B3320" s="21"/>
      <c r="C3320" s="4" t="s">
        <v>1085</v>
      </c>
      <c r="D3320" s="6" t="str">
        <f>HYPERLINK("javascript:void(0)","ámbra")</f>
        <v>ámbra</v>
      </c>
    </row>
    <row r="3321" spans="1:4" ht="12.75" customHeight="1" x14ac:dyDescent="0.2">
      <c r="A3321" s="21"/>
      <c r="B3321" s="21"/>
      <c r="C3321" s="4" t="s">
        <v>139</v>
      </c>
      <c r="D3321" s="6" t="str">
        <f>HYPERLINK("javascript:void(0)","hacuka")</f>
        <v>hacuka</v>
      </c>
    </row>
    <row r="3322" spans="1:4" ht="12.75" customHeight="1" x14ac:dyDescent="0.2">
      <c r="A3322" s="5"/>
      <c r="B3322" s="2"/>
      <c r="C3322" s="2"/>
      <c r="D3322" s="2"/>
    </row>
    <row r="3323" spans="1:4" ht="12.75" customHeight="1" x14ac:dyDescent="0.2">
      <c r="A3323" s="22" t="str">
        <f>HYPERLINK("javascript:void(0)","istenpallos")</f>
        <v>istenpallos</v>
      </c>
      <c r="B3323" s="21"/>
      <c r="C3323" s="21"/>
      <c r="D3323" s="21"/>
    </row>
    <row r="3324" spans="1:4" ht="12.75" customHeight="1" x14ac:dyDescent="0.2">
      <c r="A3324" s="20"/>
      <c r="B3324" s="2"/>
      <c r="C3324" s="2"/>
      <c r="D3324" s="2"/>
    </row>
    <row r="3325" spans="1:4" ht="12.75" customHeight="1" x14ac:dyDescent="0.2">
      <c r="A3325" s="21"/>
      <c r="B3325" s="3" t="s">
        <v>0</v>
      </c>
      <c r="C3325" s="20" t="s">
        <v>635</v>
      </c>
      <c r="D3325" s="21"/>
    </row>
    <row r="3326" spans="1:4" ht="12.75" customHeight="1" x14ac:dyDescent="0.2">
      <c r="A3326" s="21"/>
      <c r="B3326" s="3" t="s">
        <v>2</v>
      </c>
      <c r="C3326" s="20" t="s">
        <v>1598</v>
      </c>
      <c r="D3326" s="21"/>
    </row>
    <row r="3327" spans="1:4" ht="12.75" customHeight="1" x14ac:dyDescent="0.2">
      <c r="A3327" s="21"/>
      <c r="B3327" s="3" t="s">
        <v>4</v>
      </c>
      <c r="C3327" s="20" t="s">
        <v>2003</v>
      </c>
      <c r="D3327" s="21"/>
    </row>
    <row r="3328" spans="1:4" ht="12.75" customHeight="1" x14ac:dyDescent="0.2">
      <c r="A3328" s="21"/>
      <c r="B3328" s="3" t="s">
        <v>6</v>
      </c>
      <c r="C3328" s="20" t="s">
        <v>353</v>
      </c>
      <c r="D3328" s="21"/>
    </row>
    <row r="3329" spans="1:4" ht="12.75" customHeight="1" x14ac:dyDescent="0.2">
      <c r="A3329" s="21"/>
      <c r="B3329" s="3" t="s">
        <v>8</v>
      </c>
      <c r="C3329" s="20" t="s">
        <v>2003</v>
      </c>
      <c r="D3329" s="21"/>
    </row>
    <row r="3330" spans="1:4" ht="12.75" customHeight="1" x14ac:dyDescent="0.2">
      <c r="A3330" s="21"/>
      <c r="B3330" s="3" t="s">
        <v>9</v>
      </c>
      <c r="C3330" s="20" t="s">
        <v>124</v>
      </c>
      <c r="D3330" s="21"/>
    </row>
    <row r="3331" spans="1:4" ht="12.75" customHeight="1" x14ac:dyDescent="0.2">
      <c r="A3331" s="21"/>
      <c r="B3331" s="3" t="s">
        <v>11</v>
      </c>
      <c r="C3331" s="20" t="s">
        <v>653</v>
      </c>
      <c r="D3331" s="21"/>
    </row>
    <row r="3332" spans="1:4" ht="12.75" customHeight="1" x14ac:dyDescent="0.2">
      <c r="A3332" s="21"/>
      <c r="B3332" s="3" t="s">
        <v>13</v>
      </c>
      <c r="C3332" s="20" t="s">
        <v>24</v>
      </c>
      <c r="D3332" s="21"/>
    </row>
    <row r="3333" spans="1:4" ht="12.75" customHeight="1" x14ac:dyDescent="0.2">
      <c r="A3333" s="21"/>
      <c r="B3333" s="3" t="s">
        <v>15</v>
      </c>
      <c r="C3333" s="20" t="s">
        <v>24</v>
      </c>
      <c r="D3333" s="21"/>
    </row>
    <row r="3334" spans="1:4" ht="12.75" customHeight="1" x14ac:dyDescent="0.2">
      <c r="A3334" s="21"/>
      <c r="B3334" s="3" t="s">
        <v>16</v>
      </c>
      <c r="C3334" s="20"/>
      <c r="D3334" s="21"/>
    </row>
    <row r="3335" spans="1:4" ht="12.75" customHeight="1" x14ac:dyDescent="0.2">
      <c r="A3335" s="21"/>
      <c r="B3335" s="3" t="s">
        <v>17</v>
      </c>
      <c r="C3335" s="20"/>
      <c r="D3335" s="21"/>
    </row>
    <row r="3336" spans="1:4" ht="25.5" customHeight="1" x14ac:dyDescent="0.2">
      <c r="A3336" s="21"/>
      <c r="B3336" s="20" t="s">
        <v>18</v>
      </c>
      <c r="C3336" s="4" t="s">
        <v>44</v>
      </c>
      <c r="D3336" s="6" t="str">
        <f>HYPERLINK("javascript:void(0)","magnetoacél szurony")</f>
        <v>magnetoacél szurony</v>
      </c>
    </row>
    <row r="3337" spans="1:4" ht="12.75" customHeight="1" x14ac:dyDescent="0.2">
      <c r="A3337" s="21"/>
      <c r="B3337" s="21"/>
      <c r="C3337" s="4" t="s">
        <v>56</v>
      </c>
      <c r="D3337" s="6" t="str">
        <f>HYPERLINK("javascript:void(0)","istenpenge")</f>
        <v>istenpenge</v>
      </c>
    </row>
    <row r="3338" spans="1:4" ht="12.75" customHeight="1" x14ac:dyDescent="0.2">
      <c r="A3338" s="21"/>
      <c r="B3338" s="21"/>
      <c r="C3338" s="4" t="s">
        <v>184</v>
      </c>
      <c r="D3338" s="6" t="str">
        <f>HYPERLINK("javascript:void(0)","istenköröm")</f>
        <v>istenköröm</v>
      </c>
    </row>
    <row r="3339" spans="1:4" ht="12.75" customHeight="1" x14ac:dyDescent="0.2">
      <c r="A3339" s="5"/>
      <c r="B3339" s="2"/>
      <c r="C3339" s="2"/>
      <c r="D3339" s="2"/>
    </row>
    <row r="3340" spans="1:4" ht="12.75" customHeight="1" x14ac:dyDescent="0.2">
      <c r="A3340" s="22" t="str">
        <f>HYPERLINK("javascript:void(0)","helioacél gigapallos")</f>
        <v>helioacél gigapallos</v>
      </c>
      <c r="B3340" s="21"/>
      <c r="C3340" s="21"/>
      <c r="D3340" s="21"/>
    </row>
    <row r="3341" spans="1:4" ht="12.75" customHeight="1" x14ac:dyDescent="0.2">
      <c r="A3341" s="20"/>
      <c r="B3341" s="2"/>
      <c r="C3341" s="2"/>
      <c r="D3341" s="2"/>
    </row>
    <row r="3342" spans="1:4" ht="12.75" customHeight="1" x14ac:dyDescent="0.2">
      <c r="A3342" s="21"/>
      <c r="B3342" s="3" t="s">
        <v>0</v>
      </c>
      <c r="C3342" s="20" t="s">
        <v>635</v>
      </c>
      <c r="D3342" s="21"/>
    </row>
    <row r="3343" spans="1:4" ht="12.75" customHeight="1" x14ac:dyDescent="0.2">
      <c r="A3343" s="21"/>
      <c r="B3343" s="3" t="s">
        <v>2</v>
      </c>
      <c r="C3343" s="20" t="s">
        <v>1598</v>
      </c>
      <c r="D3343" s="21"/>
    </row>
    <row r="3344" spans="1:4" ht="12.75" customHeight="1" x14ac:dyDescent="0.2">
      <c r="A3344" s="21"/>
      <c r="B3344" s="3" t="s">
        <v>4</v>
      </c>
      <c r="C3344" s="20" t="s">
        <v>2006</v>
      </c>
      <c r="D3344" s="21"/>
    </row>
    <row r="3345" spans="1:4" ht="12.75" customHeight="1" x14ac:dyDescent="0.2">
      <c r="A3345" s="21"/>
      <c r="B3345" s="3" t="s">
        <v>6</v>
      </c>
      <c r="C3345" s="20" t="s">
        <v>260</v>
      </c>
      <c r="D3345" s="21"/>
    </row>
    <row r="3346" spans="1:4" ht="12.75" customHeight="1" x14ac:dyDescent="0.2">
      <c r="A3346" s="21"/>
      <c r="B3346" s="3" t="s">
        <v>8</v>
      </c>
      <c r="C3346" s="20" t="s">
        <v>2006</v>
      </c>
      <c r="D3346" s="21"/>
    </row>
    <row r="3347" spans="1:4" ht="12.75" customHeight="1" x14ac:dyDescent="0.2">
      <c r="A3347" s="21"/>
      <c r="B3347" s="3" t="s">
        <v>9</v>
      </c>
      <c r="C3347" s="20" t="s">
        <v>2007</v>
      </c>
      <c r="D3347" s="21"/>
    </row>
    <row r="3348" spans="1:4" ht="12.75" customHeight="1" x14ac:dyDescent="0.2">
      <c r="A3348" s="21"/>
      <c r="B3348" s="3" t="s">
        <v>11</v>
      </c>
      <c r="C3348" s="20" t="s">
        <v>793</v>
      </c>
      <c r="D3348" s="21"/>
    </row>
    <row r="3349" spans="1:4" ht="12.75" customHeight="1" x14ac:dyDescent="0.2">
      <c r="A3349" s="21"/>
      <c r="B3349" s="3" t="s">
        <v>13</v>
      </c>
      <c r="C3349" s="20" t="s">
        <v>24</v>
      </c>
      <c r="D3349" s="21"/>
    </row>
    <row r="3350" spans="1:4" ht="12.75" customHeight="1" x14ac:dyDescent="0.2">
      <c r="A3350" s="21"/>
      <c r="B3350" s="3" t="s">
        <v>15</v>
      </c>
      <c r="C3350" s="20" t="s">
        <v>24</v>
      </c>
      <c r="D3350" s="21"/>
    </row>
    <row r="3351" spans="1:4" ht="12.75" customHeight="1" x14ac:dyDescent="0.2">
      <c r="A3351" s="21"/>
      <c r="B3351" s="3" t="s">
        <v>16</v>
      </c>
      <c r="C3351" s="20"/>
      <c r="D3351" s="21"/>
    </row>
    <row r="3352" spans="1:4" ht="12.75" customHeight="1" x14ac:dyDescent="0.2">
      <c r="A3352" s="21"/>
      <c r="B3352" s="3" t="s">
        <v>17</v>
      </c>
      <c r="C3352" s="20"/>
      <c r="D3352" s="21"/>
    </row>
    <row r="3353" spans="1:4" ht="12.75" customHeight="1" x14ac:dyDescent="0.2">
      <c r="A3353" s="21"/>
      <c r="B3353" s="20" t="s">
        <v>18</v>
      </c>
      <c r="C3353" s="4" t="s">
        <v>68</v>
      </c>
      <c r="D3353" s="6" t="str">
        <f>HYPERLINK("javascript:void(0)","istenpenge")</f>
        <v>istenpenge</v>
      </c>
    </row>
    <row r="3354" spans="1:4" ht="12.75" customHeight="1" x14ac:dyDescent="0.2">
      <c r="A3354" s="21"/>
      <c r="B3354" s="21"/>
      <c r="C3354" s="4" t="s">
        <v>117</v>
      </c>
      <c r="D3354" s="6" t="str">
        <f>HYPERLINK("javascript:void(0)","napfolt")</f>
        <v>napfolt</v>
      </c>
    </row>
    <row r="3355" spans="1:4" ht="12.75" customHeight="1" x14ac:dyDescent="0.2">
      <c r="A3355" s="21"/>
      <c r="B3355" s="21"/>
      <c r="C3355" s="4" t="s">
        <v>130</v>
      </c>
      <c r="D3355" s="6" t="str">
        <f>HYPERLINK("javascript:void(0)","szent szimbólum")</f>
        <v>szent szimbólum</v>
      </c>
    </row>
    <row r="3356" spans="1:4" ht="12.75" customHeight="1" x14ac:dyDescent="0.2">
      <c r="A3356" s="5"/>
      <c r="B3356" s="2"/>
      <c r="C3356" s="2"/>
      <c r="D3356" s="2"/>
    </row>
    <row r="3357" spans="1:4" ht="12.75" customHeight="1" x14ac:dyDescent="0.2">
      <c r="A3357" s="22" t="str">
        <f>HYPERLINK("javascript:void(0)","gyíkacél nyárs")</f>
        <v>gyíkacél nyárs</v>
      </c>
      <c r="B3357" s="21"/>
      <c r="C3357" s="21"/>
      <c r="D3357" s="21"/>
    </row>
    <row r="3358" spans="1:4" ht="12.75" customHeight="1" x14ac:dyDescent="0.2">
      <c r="A3358" s="20"/>
      <c r="B3358" s="2"/>
      <c r="C3358" s="2"/>
      <c r="D3358" s="2"/>
    </row>
    <row r="3359" spans="1:4" ht="12.75" customHeight="1" x14ac:dyDescent="0.2">
      <c r="A3359" s="21"/>
      <c r="B3359" s="3" t="s">
        <v>0</v>
      </c>
      <c r="C3359" s="20" t="s">
        <v>635</v>
      </c>
      <c r="D3359" s="21"/>
    </row>
    <row r="3360" spans="1:4" ht="12.75" customHeight="1" x14ac:dyDescent="0.2">
      <c r="A3360" s="21"/>
      <c r="B3360" s="3" t="s">
        <v>2</v>
      </c>
      <c r="C3360" s="20" t="s">
        <v>1598</v>
      </c>
      <c r="D3360" s="21"/>
    </row>
    <row r="3361" spans="1:4" ht="12.75" customHeight="1" x14ac:dyDescent="0.2">
      <c r="A3361" s="21"/>
      <c r="B3361" s="3" t="s">
        <v>4</v>
      </c>
      <c r="C3361" s="20" t="s">
        <v>2008</v>
      </c>
      <c r="D3361" s="21"/>
    </row>
    <row r="3362" spans="1:4" ht="12.75" customHeight="1" x14ac:dyDescent="0.2">
      <c r="A3362" s="21"/>
      <c r="B3362" s="3" t="s">
        <v>6</v>
      </c>
      <c r="C3362" s="20" t="s">
        <v>107</v>
      </c>
      <c r="D3362" s="21"/>
    </row>
    <row r="3363" spans="1:4" ht="12.75" customHeight="1" x14ac:dyDescent="0.2">
      <c r="A3363" s="21"/>
      <c r="B3363" s="3" t="s">
        <v>8</v>
      </c>
      <c r="C3363" s="20" t="s">
        <v>2008</v>
      </c>
      <c r="D3363" s="21"/>
    </row>
    <row r="3364" spans="1:4" ht="12.75" customHeight="1" x14ac:dyDescent="0.2">
      <c r="A3364" s="21"/>
      <c r="B3364" s="3" t="s">
        <v>9</v>
      </c>
      <c r="C3364" s="20" t="s">
        <v>2009</v>
      </c>
      <c r="D3364" s="21"/>
    </row>
    <row r="3365" spans="1:4" ht="12.75" customHeight="1" x14ac:dyDescent="0.2">
      <c r="A3365" s="21"/>
      <c r="B3365" s="3" t="s">
        <v>11</v>
      </c>
      <c r="C3365" s="20" t="s">
        <v>531</v>
      </c>
      <c r="D3365" s="21"/>
    </row>
    <row r="3366" spans="1:4" ht="12.75" customHeight="1" x14ac:dyDescent="0.2">
      <c r="A3366" s="21"/>
      <c r="B3366" s="3" t="s">
        <v>13</v>
      </c>
      <c r="C3366" s="20" t="s">
        <v>24</v>
      </c>
      <c r="D3366" s="21"/>
    </row>
    <row r="3367" spans="1:4" ht="12.75" customHeight="1" x14ac:dyDescent="0.2">
      <c r="A3367" s="21"/>
      <c r="B3367" s="3" t="s">
        <v>15</v>
      </c>
      <c r="C3367" s="20" t="s">
        <v>24</v>
      </c>
      <c r="D3367" s="21"/>
    </row>
    <row r="3368" spans="1:4" ht="12.75" customHeight="1" x14ac:dyDescent="0.2">
      <c r="A3368" s="21"/>
      <c r="B3368" s="3" t="s">
        <v>16</v>
      </c>
      <c r="C3368" s="20"/>
      <c r="D3368" s="21"/>
    </row>
    <row r="3369" spans="1:4" ht="12.75" customHeight="1" x14ac:dyDescent="0.2">
      <c r="A3369" s="21"/>
      <c r="B3369" s="3" t="s">
        <v>17</v>
      </c>
      <c r="C3369" s="20"/>
      <c r="D3369" s="21"/>
    </row>
    <row r="3370" spans="1:4" ht="12.75" customHeight="1" x14ac:dyDescent="0.2">
      <c r="A3370" s="21"/>
      <c r="B3370" s="20" t="s">
        <v>18</v>
      </c>
      <c r="C3370" s="4" t="s">
        <v>193</v>
      </c>
      <c r="D3370" s="6" t="str">
        <f>HYPERLINK("javascript:void(0)","nyeglenyelv")</f>
        <v>nyeglenyelv</v>
      </c>
    </row>
    <row r="3371" spans="1:4" ht="12.75" customHeight="1" x14ac:dyDescent="0.2">
      <c r="A3371" s="21"/>
      <c r="B3371" s="21"/>
      <c r="C3371" s="4" t="s">
        <v>280</v>
      </c>
      <c r="D3371" s="6" t="str">
        <f>HYPERLINK("javascript:void(0)","szent szimbólum")</f>
        <v>szent szimbólum</v>
      </c>
    </row>
    <row r="3372" spans="1:4" ht="12.75" customHeight="1" x14ac:dyDescent="0.2">
      <c r="A3372" s="21"/>
      <c r="B3372" s="21"/>
      <c r="C3372" s="4" t="s">
        <v>163</v>
      </c>
      <c r="D3372" s="6" t="str">
        <f>HYPERLINK("javascript:void(0)","légige")</f>
        <v>légige</v>
      </c>
    </row>
    <row r="3373" spans="1:4" ht="12.75" customHeight="1" x14ac:dyDescent="0.2">
      <c r="A3373" s="5"/>
      <c r="B3373" s="2"/>
      <c r="C3373" s="2"/>
      <c r="D3373" s="2"/>
    </row>
    <row r="3374" spans="1:4" ht="12.75" customHeight="1" x14ac:dyDescent="0.2">
      <c r="A3374" s="22" t="str">
        <f>HYPERLINK("javascript:void(0)","helioacél balta")</f>
        <v>helioacél balta</v>
      </c>
      <c r="B3374" s="21"/>
      <c r="C3374" s="21"/>
      <c r="D3374" s="21"/>
    </row>
    <row r="3375" spans="1:4" ht="12.75" customHeight="1" x14ac:dyDescent="0.2">
      <c r="A3375" s="20"/>
      <c r="B3375" s="2"/>
      <c r="C3375" s="2"/>
      <c r="D3375" s="2"/>
    </row>
    <row r="3376" spans="1:4" ht="12.75" customHeight="1" x14ac:dyDescent="0.2">
      <c r="A3376" s="21"/>
      <c r="B3376" s="3" t="s">
        <v>0</v>
      </c>
      <c r="C3376" s="20" t="s">
        <v>239</v>
      </c>
      <c r="D3376" s="21"/>
    </row>
    <row r="3377" spans="1:4" ht="12.75" customHeight="1" x14ac:dyDescent="0.2">
      <c r="A3377" s="21"/>
      <c r="B3377" s="3" t="s">
        <v>2</v>
      </c>
      <c r="C3377" s="20" t="s">
        <v>1598</v>
      </c>
      <c r="D3377" s="21"/>
    </row>
    <row r="3378" spans="1:4" ht="12.75" customHeight="1" x14ac:dyDescent="0.2">
      <c r="A3378" s="21"/>
      <c r="B3378" s="3" t="s">
        <v>4</v>
      </c>
      <c r="C3378" s="20" t="s">
        <v>1102</v>
      </c>
      <c r="D3378" s="21"/>
    </row>
    <row r="3379" spans="1:4" ht="12.75" customHeight="1" x14ac:dyDescent="0.2">
      <c r="A3379" s="21"/>
      <c r="B3379" s="3" t="s">
        <v>6</v>
      </c>
      <c r="C3379" s="20" t="s">
        <v>52</v>
      </c>
      <c r="D3379" s="21"/>
    </row>
    <row r="3380" spans="1:4" ht="12.75" customHeight="1" x14ac:dyDescent="0.2">
      <c r="A3380" s="21"/>
      <c r="B3380" s="3" t="s">
        <v>8</v>
      </c>
      <c r="C3380" s="20" t="s">
        <v>1102</v>
      </c>
      <c r="D3380" s="21"/>
    </row>
    <row r="3381" spans="1:4" ht="12.75" customHeight="1" x14ac:dyDescent="0.2">
      <c r="A3381" s="21"/>
      <c r="B3381" s="3" t="s">
        <v>9</v>
      </c>
      <c r="C3381" s="20" t="s">
        <v>36</v>
      </c>
      <c r="D3381" s="21"/>
    </row>
    <row r="3382" spans="1:4" ht="12.75" customHeight="1" x14ac:dyDescent="0.2">
      <c r="A3382" s="21"/>
      <c r="B3382" s="3" t="s">
        <v>11</v>
      </c>
      <c r="C3382" s="20" t="s">
        <v>660</v>
      </c>
      <c r="D3382" s="21"/>
    </row>
    <row r="3383" spans="1:4" ht="12.75" customHeight="1" x14ac:dyDescent="0.2">
      <c r="A3383" s="21"/>
      <c r="B3383" s="3" t="s">
        <v>13</v>
      </c>
      <c r="C3383" s="20" t="s">
        <v>24</v>
      </c>
      <c r="D3383" s="21"/>
    </row>
    <row r="3384" spans="1:4" ht="12.75" customHeight="1" x14ac:dyDescent="0.2">
      <c r="A3384" s="21"/>
      <c r="B3384" s="3" t="s">
        <v>15</v>
      </c>
      <c r="C3384" s="20" t="s">
        <v>24</v>
      </c>
      <c r="D3384" s="21"/>
    </row>
    <row r="3385" spans="1:4" ht="12.75" customHeight="1" x14ac:dyDescent="0.2">
      <c r="A3385" s="21"/>
      <c r="B3385" s="3" t="s">
        <v>16</v>
      </c>
      <c r="C3385" s="20"/>
      <c r="D3385" s="21"/>
    </row>
    <row r="3386" spans="1:4" ht="12.75" customHeight="1" x14ac:dyDescent="0.2">
      <c r="A3386" s="21"/>
      <c r="B3386" s="3" t="s">
        <v>17</v>
      </c>
      <c r="C3386" s="20"/>
      <c r="D3386" s="21"/>
    </row>
    <row r="3387" spans="1:4" ht="12.75" customHeight="1" x14ac:dyDescent="0.2">
      <c r="A3387" s="21"/>
      <c r="B3387" s="20" t="s">
        <v>18</v>
      </c>
      <c r="C3387" s="4" t="s">
        <v>57</v>
      </c>
      <c r="D3387" s="6" t="str">
        <f>HYPERLINK("javascript:void(0)","kárópikkely")</f>
        <v>kárópikkely</v>
      </c>
    </row>
    <row r="3388" spans="1:4" ht="12.75" customHeight="1" x14ac:dyDescent="0.2">
      <c r="A3388" s="21"/>
      <c r="B3388" s="21"/>
      <c r="C3388" s="4" t="s">
        <v>130</v>
      </c>
      <c r="D3388" s="6" t="str">
        <f>HYPERLINK("javascript:void(0)","hangjegy")</f>
        <v>hangjegy</v>
      </c>
    </row>
    <row r="3389" spans="1:4" ht="12.75" customHeight="1" x14ac:dyDescent="0.2">
      <c r="A3389" s="21"/>
      <c r="B3389" s="21"/>
      <c r="C3389" s="4" t="s">
        <v>163</v>
      </c>
      <c r="D3389" s="6" t="str">
        <f>HYPERLINK("javascript:void(0)","vérrög")</f>
        <v>vérrög</v>
      </c>
    </row>
    <row r="3390" spans="1:4" ht="12.75" customHeight="1" x14ac:dyDescent="0.2">
      <c r="A3390" s="5"/>
      <c r="B3390" s="2"/>
      <c r="C3390" s="2"/>
      <c r="D3390" s="2"/>
    </row>
    <row r="3391" spans="1:4" ht="12.75" customHeight="1" x14ac:dyDescent="0.2">
      <c r="A3391" s="22" t="str">
        <f>HYPERLINK("javascript:void(0)","pentaton mágusölő")</f>
        <v>pentaton mágusölő</v>
      </c>
      <c r="B3391" s="21"/>
      <c r="C3391" s="21"/>
      <c r="D3391" s="21"/>
    </row>
    <row r="3392" spans="1:4" ht="12.75" customHeight="1" x14ac:dyDescent="0.2">
      <c r="A3392" s="20"/>
      <c r="B3392" s="2"/>
      <c r="C3392" s="2"/>
      <c r="D3392" s="2"/>
    </row>
    <row r="3393" spans="1:4" ht="12.75" customHeight="1" x14ac:dyDescent="0.2">
      <c r="A3393" s="21"/>
      <c r="B3393" s="3" t="s">
        <v>0</v>
      </c>
      <c r="C3393" s="20" t="s">
        <v>239</v>
      </c>
      <c r="D3393" s="21"/>
    </row>
    <row r="3394" spans="1:4" ht="12.75" customHeight="1" x14ac:dyDescent="0.2">
      <c r="A3394" s="21"/>
      <c r="B3394" s="3" t="s">
        <v>2</v>
      </c>
      <c r="C3394" s="20" t="s">
        <v>1598</v>
      </c>
      <c r="D3394" s="21"/>
    </row>
    <row r="3395" spans="1:4" ht="12.75" customHeight="1" x14ac:dyDescent="0.2">
      <c r="A3395" s="21"/>
      <c r="B3395" s="3" t="s">
        <v>4</v>
      </c>
      <c r="C3395" s="20" t="s">
        <v>2011</v>
      </c>
      <c r="D3395" s="21"/>
    </row>
    <row r="3396" spans="1:4" ht="12.75" customHeight="1" x14ac:dyDescent="0.2">
      <c r="A3396" s="21"/>
      <c r="B3396" s="3" t="s">
        <v>6</v>
      </c>
      <c r="C3396" s="20" t="s">
        <v>48</v>
      </c>
      <c r="D3396" s="21"/>
    </row>
    <row r="3397" spans="1:4" ht="12.75" customHeight="1" x14ac:dyDescent="0.2">
      <c r="A3397" s="21"/>
      <c r="B3397" s="3" t="s">
        <v>8</v>
      </c>
      <c r="C3397" s="20" t="s">
        <v>2011</v>
      </c>
      <c r="D3397" s="21"/>
    </row>
    <row r="3398" spans="1:4" ht="12.75" customHeight="1" x14ac:dyDescent="0.2">
      <c r="A3398" s="21"/>
      <c r="B3398" s="3" t="s">
        <v>9</v>
      </c>
      <c r="C3398" s="20" t="s">
        <v>1925</v>
      </c>
      <c r="D3398" s="21"/>
    </row>
    <row r="3399" spans="1:4" ht="12.75" customHeight="1" x14ac:dyDescent="0.2">
      <c r="A3399" s="21"/>
      <c r="B3399" s="3" t="s">
        <v>11</v>
      </c>
      <c r="C3399" s="20" t="s">
        <v>722</v>
      </c>
      <c r="D3399" s="21"/>
    </row>
    <row r="3400" spans="1:4" ht="12.75" customHeight="1" x14ac:dyDescent="0.2">
      <c r="A3400" s="21"/>
      <c r="B3400" s="3" t="s">
        <v>13</v>
      </c>
      <c r="C3400" s="20" t="s">
        <v>14</v>
      </c>
      <c r="D3400" s="21"/>
    </row>
    <row r="3401" spans="1:4" ht="12.75" customHeight="1" x14ac:dyDescent="0.2">
      <c r="A3401" s="21"/>
      <c r="B3401" s="3" t="s">
        <v>15</v>
      </c>
      <c r="C3401" s="20" t="s">
        <v>24</v>
      </c>
      <c r="D3401" s="21"/>
    </row>
    <row r="3402" spans="1:4" ht="12.75" customHeight="1" x14ac:dyDescent="0.2">
      <c r="A3402" s="21"/>
      <c r="B3402" s="3" t="s">
        <v>16</v>
      </c>
      <c r="C3402" s="20"/>
      <c r="D3402" s="21"/>
    </row>
    <row r="3403" spans="1:4" ht="12.75" customHeight="1" x14ac:dyDescent="0.2">
      <c r="A3403" s="21"/>
      <c r="B3403" s="3" t="s">
        <v>17</v>
      </c>
      <c r="C3403" s="20"/>
      <c r="D3403" s="21"/>
    </row>
    <row r="3404" spans="1:4" ht="12.75" customHeight="1" x14ac:dyDescent="0.2">
      <c r="A3404" s="21"/>
      <c r="B3404" s="20" t="s">
        <v>18</v>
      </c>
      <c r="C3404" s="4" t="s">
        <v>68</v>
      </c>
      <c r="D3404" s="6" t="str">
        <f>HYPERLINK("javascript:void(0)","kárópikkely")</f>
        <v>kárópikkely</v>
      </c>
    </row>
    <row r="3405" spans="1:4" ht="12.75" customHeight="1" x14ac:dyDescent="0.2">
      <c r="A3405" s="21"/>
      <c r="B3405" s="21"/>
      <c r="C3405" s="4" t="s">
        <v>130</v>
      </c>
      <c r="D3405" s="6" t="str">
        <f>HYPERLINK("javascript:void(0)","hangjegy")</f>
        <v>hangjegy</v>
      </c>
    </row>
    <row r="3406" spans="1:4" ht="12.75" customHeight="1" x14ac:dyDescent="0.2">
      <c r="A3406" s="21"/>
      <c r="B3406" s="21"/>
      <c r="C3406" s="4" t="s">
        <v>139</v>
      </c>
      <c r="D3406" s="6" t="str">
        <f>HYPERLINK("javascript:void(0)","torokgyík")</f>
        <v>torokgyík</v>
      </c>
    </row>
    <row r="3407" spans="1:4" ht="12.75" customHeight="1" x14ac:dyDescent="0.2">
      <c r="A3407" s="5"/>
      <c r="B3407" s="2"/>
      <c r="C3407" s="2"/>
      <c r="D3407" s="2"/>
    </row>
    <row r="3408" spans="1:4" ht="12.75" customHeight="1" x14ac:dyDescent="0.2">
      <c r="A3408" s="22" t="str">
        <f>HYPERLINK("javascript:void(0)","rúnatőr")</f>
        <v>rúnatőr</v>
      </c>
      <c r="B3408" s="21"/>
      <c r="C3408" s="21"/>
      <c r="D3408" s="21"/>
    </row>
    <row r="3409" spans="1:4" ht="12.75" customHeight="1" x14ac:dyDescent="0.2">
      <c r="A3409" s="20"/>
      <c r="B3409" s="2"/>
      <c r="C3409" s="2"/>
      <c r="D3409" s="2"/>
    </row>
    <row r="3410" spans="1:4" ht="12.75" customHeight="1" x14ac:dyDescent="0.2">
      <c r="A3410" s="21"/>
      <c r="B3410" s="3" t="s">
        <v>0</v>
      </c>
      <c r="C3410" s="20" t="s">
        <v>651</v>
      </c>
      <c r="D3410" s="21"/>
    </row>
    <row r="3411" spans="1:4" ht="12.75" customHeight="1" x14ac:dyDescent="0.2">
      <c r="A3411" s="21"/>
      <c r="B3411" s="3" t="s">
        <v>2</v>
      </c>
      <c r="C3411" s="20" t="s">
        <v>1598</v>
      </c>
      <c r="D3411" s="21"/>
    </row>
    <row r="3412" spans="1:4" ht="12.75" customHeight="1" x14ac:dyDescent="0.2">
      <c r="A3412" s="21"/>
      <c r="B3412" s="3" t="s">
        <v>4</v>
      </c>
      <c r="C3412" s="20" t="s">
        <v>2012</v>
      </c>
      <c r="D3412" s="21"/>
    </row>
    <row r="3413" spans="1:4" ht="12.75" customHeight="1" x14ac:dyDescent="0.2">
      <c r="A3413" s="21"/>
      <c r="B3413" s="3" t="s">
        <v>6</v>
      </c>
      <c r="C3413" s="20" t="s">
        <v>178</v>
      </c>
      <c r="D3413" s="21"/>
    </row>
    <row r="3414" spans="1:4" ht="12.75" customHeight="1" x14ac:dyDescent="0.2">
      <c r="A3414" s="21"/>
      <c r="B3414" s="3" t="s">
        <v>8</v>
      </c>
      <c r="C3414" s="20" t="s">
        <v>2012</v>
      </c>
      <c r="D3414" s="21"/>
    </row>
    <row r="3415" spans="1:4" ht="12.75" customHeight="1" x14ac:dyDescent="0.2">
      <c r="A3415" s="21"/>
      <c r="B3415" s="3" t="s">
        <v>9</v>
      </c>
      <c r="C3415" s="20" t="s">
        <v>124</v>
      </c>
      <c r="D3415" s="21"/>
    </row>
    <row r="3416" spans="1:4" ht="12.75" customHeight="1" x14ac:dyDescent="0.2">
      <c r="A3416" s="21"/>
      <c r="B3416" s="3" t="s">
        <v>11</v>
      </c>
      <c r="C3416" s="20" t="s">
        <v>666</v>
      </c>
      <c r="D3416" s="21"/>
    </row>
    <row r="3417" spans="1:4" ht="12.75" customHeight="1" x14ac:dyDescent="0.2">
      <c r="A3417" s="21"/>
      <c r="B3417" s="3" t="s">
        <v>13</v>
      </c>
      <c r="C3417" s="20" t="s">
        <v>24</v>
      </c>
      <c r="D3417" s="21"/>
    </row>
    <row r="3418" spans="1:4" ht="12.75" customHeight="1" x14ac:dyDescent="0.2">
      <c r="A3418" s="21"/>
      <c r="B3418" s="3" t="s">
        <v>15</v>
      </c>
      <c r="C3418" s="20" t="s">
        <v>24</v>
      </c>
      <c r="D3418" s="21"/>
    </row>
    <row r="3419" spans="1:4" ht="12.75" customHeight="1" x14ac:dyDescent="0.2">
      <c r="A3419" s="21"/>
      <c r="B3419" s="3" t="s">
        <v>16</v>
      </c>
      <c r="C3419" s="20"/>
      <c r="D3419" s="21"/>
    </row>
    <row r="3420" spans="1:4" ht="12.75" customHeight="1" x14ac:dyDescent="0.2">
      <c r="A3420" s="21"/>
      <c r="B3420" s="3" t="s">
        <v>17</v>
      </c>
      <c r="C3420" s="20"/>
      <c r="D3420" s="21"/>
    </row>
    <row r="3421" spans="1:4" ht="12.75" customHeight="1" x14ac:dyDescent="0.2">
      <c r="A3421" s="21"/>
      <c r="B3421" s="20" t="s">
        <v>18</v>
      </c>
      <c r="C3421" s="4" t="s">
        <v>44</v>
      </c>
      <c r="D3421" s="6" t="str">
        <f>HYPERLINK("javascript:void(0)","istenpallos")</f>
        <v>istenpallos</v>
      </c>
    </row>
    <row r="3422" spans="1:4" ht="12.75" customHeight="1" x14ac:dyDescent="0.2">
      <c r="A3422" s="21"/>
      <c r="B3422" s="21"/>
      <c r="C3422" s="4" t="s">
        <v>44</v>
      </c>
      <c r="D3422" s="6" t="str">
        <f>HYPERLINK("javascript:void(0)","helioacél balta")</f>
        <v>helioacél balta</v>
      </c>
    </row>
    <row r="3423" spans="1:4" ht="12.75" customHeight="1" x14ac:dyDescent="0.2">
      <c r="A3423" s="21"/>
      <c r="B3423" s="21"/>
      <c r="C3423" s="4" t="s">
        <v>44</v>
      </c>
      <c r="D3423" s="6" t="str">
        <f>HYPERLINK("javascript:void(0)","rúnahegy")</f>
        <v>rúnahegy</v>
      </c>
    </row>
    <row r="3424" spans="1:4" ht="12.75" customHeight="1" x14ac:dyDescent="0.2">
      <c r="A3424" s="5"/>
      <c r="B3424" s="2"/>
      <c r="C3424" s="2"/>
      <c r="D3424" s="2"/>
    </row>
    <row r="3425" spans="1:4" ht="12.75" customHeight="1" x14ac:dyDescent="0.2">
      <c r="A3425" s="22" t="str">
        <f>HYPERLINK("javascript:void(0)","rúna gigapallos")</f>
        <v>rúna gigapallos</v>
      </c>
      <c r="B3425" s="21"/>
      <c r="C3425" s="21"/>
      <c r="D3425" s="21"/>
    </row>
    <row r="3426" spans="1:4" ht="12.75" customHeight="1" x14ac:dyDescent="0.2">
      <c r="A3426" s="20"/>
      <c r="B3426" s="2"/>
      <c r="C3426" s="2"/>
      <c r="D3426" s="2"/>
    </row>
    <row r="3427" spans="1:4" ht="12.75" customHeight="1" x14ac:dyDescent="0.2">
      <c r="A3427" s="21"/>
      <c r="B3427" s="3" t="s">
        <v>0</v>
      </c>
      <c r="C3427" s="20" t="s">
        <v>651</v>
      </c>
      <c r="D3427" s="21"/>
    </row>
    <row r="3428" spans="1:4" ht="12.75" customHeight="1" x14ac:dyDescent="0.2">
      <c r="A3428" s="21"/>
      <c r="B3428" s="3" t="s">
        <v>2</v>
      </c>
      <c r="C3428" s="20" t="s">
        <v>1598</v>
      </c>
      <c r="D3428" s="21"/>
    </row>
    <row r="3429" spans="1:4" ht="12.75" customHeight="1" x14ac:dyDescent="0.2">
      <c r="A3429" s="21"/>
      <c r="B3429" s="3" t="s">
        <v>4</v>
      </c>
      <c r="C3429" s="20" t="s">
        <v>2013</v>
      </c>
      <c r="D3429" s="21"/>
    </row>
    <row r="3430" spans="1:4" ht="12.75" customHeight="1" x14ac:dyDescent="0.2">
      <c r="A3430" s="21"/>
      <c r="B3430" s="3" t="s">
        <v>6</v>
      </c>
      <c r="C3430" s="20" t="s">
        <v>107</v>
      </c>
      <c r="D3430" s="21"/>
    </row>
    <row r="3431" spans="1:4" ht="12.75" customHeight="1" x14ac:dyDescent="0.2">
      <c r="A3431" s="21"/>
      <c r="B3431" s="3" t="s">
        <v>8</v>
      </c>
      <c r="C3431" s="20" t="s">
        <v>2013</v>
      </c>
      <c r="D3431" s="21"/>
    </row>
    <row r="3432" spans="1:4" ht="12.75" customHeight="1" x14ac:dyDescent="0.2">
      <c r="A3432" s="21"/>
      <c r="B3432" s="3" t="s">
        <v>9</v>
      </c>
      <c r="C3432" s="20" t="s">
        <v>2014</v>
      </c>
      <c r="D3432" s="21"/>
    </row>
    <row r="3433" spans="1:4" ht="12.75" customHeight="1" x14ac:dyDescent="0.2">
      <c r="A3433" s="21"/>
      <c r="B3433" s="3" t="s">
        <v>11</v>
      </c>
      <c r="C3433" s="20" t="s">
        <v>835</v>
      </c>
      <c r="D3433" s="21"/>
    </row>
    <row r="3434" spans="1:4" ht="12.75" customHeight="1" x14ac:dyDescent="0.2">
      <c r="A3434" s="21"/>
      <c r="B3434" s="3" t="s">
        <v>13</v>
      </c>
      <c r="C3434" s="20" t="s">
        <v>24</v>
      </c>
      <c r="D3434" s="21"/>
    </row>
    <row r="3435" spans="1:4" ht="12.75" customHeight="1" x14ac:dyDescent="0.2">
      <c r="A3435" s="21"/>
      <c r="B3435" s="3" t="s">
        <v>15</v>
      </c>
      <c r="C3435" s="20" t="s">
        <v>24</v>
      </c>
      <c r="D3435" s="21"/>
    </row>
    <row r="3436" spans="1:4" ht="12.75" customHeight="1" x14ac:dyDescent="0.2">
      <c r="A3436" s="21"/>
      <c r="B3436" s="3" t="s">
        <v>16</v>
      </c>
      <c r="C3436" s="20"/>
      <c r="D3436" s="21"/>
    </row>
    <row r="3437" spans="1:4" ht="12.75" customHeight="1" x14ac:dyDescent="0.2">
      <c r="A3437" s="21"/>
      <c r="B3437" s="3" t="s">
        <v>17</v>
      </c>
      <c r="C3437" s="20"/>
      <c r="D3437" s="21"/>
    </row>
    <row r="3438" spans="1:4" ht="12.75" customHeight="1" x14ac:dyDescent="0.2">
      <c r="A3438" s="21"/>
      <c r="B3438" s="20" t="s">
        <v>18</v>
      </c>
      <c r="C3438" s="4" t="s">
        <v>68</v>
      </c>
      <c r="D3438" s="6" t="str">
        <f>HYPERLINK("javascript:void(0)","rúna")</f>
        <v>rúna</v>
      </c>
    </row>
    <row r="3439" spans="1:4" ht="12.75" customHeight="1" x14ac:dyDescent="0.2">
      <c r="A3439" s="21"/>
      <c r="B3439" s="21"/>
      <c r="C3439" s="4" t="s">
        <v>117</v>
      </c>
      <c r="D3439" s="6" t="str">
        <f>HYPERLINK("javascript:void(0)","gigacsáp")</f>
        <v>gigacsáp</v>
      </c>
    </row>
    <row r="3440" spans="1:4" ht="12.75" customHeight="1" x14ac:dyDescent="0.2">
      <c r="A3440" s="21"/>
      <c r="B3440" s="21"/>
      <c r="C3440" s="4" t="s">
        <v>163</v>
      </c>
      <c r="D3440" s="6" t="str">
        <f>HYPERLINK("javascript:void(0)","kispárna")</f>
        <v>kispárna</v>
      </c>
    </row>
    <row r="3441" spans="1:4" ht="12.75" customHeight="1" x14ac:dyDescent="0.2">
      <c r="A3441" s="5"/>
      <c r="B3441" s="2"/>
      <c r="C3441" s="2"/>
      <c r="D3441" s="2"/>
    </row>
    <row r="3442" spans="1:4" ht="12.75" customHeight="1" x14ac:dyDescent="0.2">
      <c r="A3442" s="22" t="str">
        <f>HYPERLINK("javascript:void(0)","gyíkacél villa")</f>
        <v>gyíkacél villa</v>
      </c>
      <c r="B3442" s="21"/>
      <c r="C3442" s="21"/>
      <c r="D3442" s="21"/>
    </row>
    <row r="3443" spans="1:4" ht="12.75" customHeight="1" x14ac:dyDescent="0.2">
      <c r="A3443" s="20"/>
      <c r="B3443" s="2"/>
      <c r="C3443" s="2"/>
      <c r="D3443" s="2"/>
    </row>
    <row r="3444" spans="1:4" ht="12.75" customHeight="1" x14ac:dyDescent="0.2">
      <c r="A3444" s="21"/>
      <c r="B3444" s="3" t="s">
        <v>0</v>
      </c>
      <c r="C3444" s="20" t="s">
        <v>651</v>
      </c>
      <c r="D3444" s="21"/>
    </row>
    <row r="3445" spans="1:4" ht="12.75" customHeight="1" x14ac:dyDescent="0.2">
      <c r="A3445" s="21"/>
      <c r="B3445" s="3" t="s">
        <v>2</v>
      </c>
      <c r="C3445" s="20" t="s">
        <v>1598</v>
      </c>
      <c r="D3445" s="21"/>
    </row>
    <row r="3446" spans="1:4" ht="12.75" customHeight="1" x14ac:dyDescent="0.2">
      <c r="A3446" s="21"/>
      <c r="B3446" s="3" t="s">
        <v>4</v>
      </c>
      <c r="C3446" s="20" t="s">
        <v>2015</v>
      </c>
      <c r="D3446" s="21"/>
    </row>
    <row r="3447" spans="1:4" ht="12.75" customHeight="1" x14ac:dyDescent="0.2">
      <c r="A3447" s="21"/>
      <c r="B3447" s="3" t="s">
        <v>6</v>
      </c>
      <c r="C3447" s="20" t="s">
        <v>107</v>
      </c>
      <c r="D3447" s="21"/>
    </row>
    <row r="3448" spans="1:4" ht="12.75" customHeight="1" x14ac:dyDescent="0.2">
      <c r="A3448" s="21"/>
      <c r="B3448" s="3" t="s">
        <v>8</v>
      </c>
      <c r="C3448" s="20" t="s">
        <v>2015</v>
      </c>
      <c r="D3448" s="21"/>
    </row>
    <row r="3449" spans="1:4" ht="12.75" customHeight="1" x14ac:dyDescent="0.2">
      <c r="A3449" s="21"/>
      <c r="B3449" s="3" t="s">
        <v>9</v>
      </c>
      <c r="C3449" s="20" t="s">
        <v>2016</v>
      </c>
      <c r="D3449" s="21"/>
    </row>
    <row r="3450" spans="1:4" ht="12.75" customHeight="1" x14ac:dyDescent="0.2">
      <c r="A3450" s="21"/>
      <c r="B3450" s="3" t="s">
        <v>11</v>
      </c>
      <c r="C3450" s="20" t="s">
        <v>547</v>
      </c>
      <c r="D3450" s="21"/>
    </row>
    <row r="3451" spans="1:4" ht="12.75" customHeight="1" x14ac:dyDescent="0.2">
      <c r="A3451" s="21"/>
      <c r="B3451" s="3" t="s">
        <v>13</v>
      </c>
      <c r="C3451" s="20" t="s">
        <v>24</v>
      </c>
      <c r="D3451" s="21"/>
    </row>
    <row r="3452" spans="1:4" ht="12.75" customHeight="1" x14ac:dyDescent="0.2">
      <c r="A3452" s="21"/>
      <c r="B3452" s="3" t="s">
        <v>15</v>
      </c>
      <c r="C3452" s="20" t="s">
        <v>24</v>
      </c>
      <c r="D3452" s="21"/>
    </row>
    <row r="3453" spans="1:4" ht="12.75" customHeight="1" x14ac:dyDescent="0.2">
      <c r="A3453" s="21"/>
      <c r="B3453" s="3" t="s">
        <v>16</v>
      </c>
      <c r="C3453" s="20"/>
      <c r="D3453" s="21"/>
    </row>
    <row r="3454" spans="1:4" ht="12.75" customHeight="1" x14ac:dyDescent="0.2">
      <c r="A3454" s="21"/>
      <c r="B3454" s="3" t="s">
        <v>17</v>
      </c>
      <c r="C3454" s="20"/>
      <c r="D3454" s="21"/>
    </row>
    <row r="3455" spans="1:4" ht="12.75" customHeight="1" x14ac:dyDescent="0.2">
      <c r="A3455" s="21"/>
      <c r="B3455" s="20" t="s">
        <v>18</v>
      </c>
      <c r="C3455" s="4" t="s">
        <v>77</v>
      </c>
      <c r="D3455" s="6" t="str">
        <f>HYPERLINK("javascript:void(0)","extra manaital")</f>
        <v>extra manaital</v>
      </c>
    </row>
    <row r="3456" spans="1:4" ht="12.75" customHeight="1" x14ac:dyDescent="0.2">
      <c r="A3456" s="21"/>
      <c r="B3456" s="21"/>
      <c r="C3456" s="4" t="s">
        <v>67</v>
      </c>
      <c r="D3456" s="6" t="str">
        <f>HYPERLINK("javascript:void(0)","ezüstgerinc")</f>
        <v>ezüstgerinc</v>
      </c>
    </row>
    <row r="3457" spans="1:4" ht="12.75" customHeight="1" x14ac:dyDescent="0.2">
      <c r="A3457" s="21"/>
      <c r="B3457" s="21"/>
      <c r="C3457" s="4" t="s">
        <v>193</v>
      </c>
      <c r="D3457" s="6" t="str">
        <f>HYPERLINK("javascript:void(0)","légige")</f>
        <v>légige</v>
      </c>
    </row>
    <row r="3458" spans="1:4" ht="12.75" customHeight="1" x14ac:dyDescent="0.2">
      <c r="A3458" s="5"/>
      <c r="B3458" s="2"/>
      <c r="C3458" s="2"/>
      <c r="D3458" s="2"/>
    </row>
    <row r="3459" spans="1:4" ht="12.75" customHeight="1" x14ac:dyDescent="0.2">
      <c r="A3459" s="22" t="str">
        <f>HYPERLINK("javascript:void(0)","rúnakard")</f>
        <v>rúnakard</v>
      </c>
      <c r="B3459" s="21"/>
      <c r="C3459" s="21"/>
      <c r="D3459" s="21"/>
    </row>
    <row r="3460" spans="1:4" ht="12.75" customHeight="1" x14ac:dyDescent="0.2">
      <c r="A3460" s="20"/>
      <c r="B3460" s="2"/>
      <c r="C3460" s="2"/>
      <c r="D3460" s="2"/>
    </row>
    <row r="3461" spans="1:4" ht="12.75" customHeight="1" x14ac:dyDescent="0.2">
      <c r="A3461" s="21"/>
      <c r="B3461" s="3" t="s">
        <v>0</v>
      </c>
      <c r="C3461" s="20" t="s">
        <v>69</v>
      </c>
      <c r="D3461" s="21"/>
    </row>
    <row r="3462" spans="1:4" ht="12.75" customHeight="1" x14ac:dyDescent="0.2">
      <c r="A3462" s="21"/>
      <c r="B3462" s="3" t="s">
        <v>2</v>
      </c>
      <c r="C3462" s="20" t="s">
        <v>1598</v>
      </c>
      <c r="D3462" s="21"/>
    </row>
    <row r="3463" spans="1:4" ht="12.75" customHeight="1" x14ac:dyDescent="0.2">
      <c r="A3463" s="21"/>
      <c r="B3463" s="3" t="s">
        <v>4</v>
      </c>
      <c r="C3463" s="20" t="s">
        <v>2017</v>
      </c>
      <c r="D3463" s="21"/>
    </row>
    <row r="3464" spans="1:4" ht="12.75" customHeight="1" x14ac:dyDescent="0.2">
      <c r="A3464" s="21"/>
      <c r="B3464" s="3" t="s">
        <v>6</v>
      </c>
      <c r="C3464" s="20" t="s">
        <v>107</v>
      </c>
      <c r="D3464" s="21"/>
    </row>
    <row r="3465" spans="1:4" ht="12.75" customHeight="1" x14ac:dyDescent="0.2">
      <c r="A3465" s="21"/>
      <c r="B3465" s="3" t="s">
        <v>8</v>
      </c>
      <c r="C3465" s="20" t="s">
        <v>2017</v>
      </c>
      <c r="D3465" s="21"/>
    </row>
    <row r="3466" spans="1:4" ht="12.75" customHeight="1" x14ac:dyDescent="0.2">
      <c r="A3466" s="21"/>
      <c r="B3466" s="3" t="s">
        <v>9</v>
      </c>
      <c r="C3466" s="20" t="s">
        <v>36</v>
      </c>
      <c r="D3466" s="21"/>
    </row>
    <row r="3467" spans="1:4" ht="12.75" customHeight="1" x14ac:dyDescent="0.2">
      <c r="A3467" s="21"/>
      <c r="B3467" s="3" t="s">
        <v>11</v>
      </c>
      <c r="C3467" s="20" t="s">
        <v>674</v>
      </c>
      <c r="D3467" s="21"/>
    </row>
    <row r="3468" spans="1:4" ht="12.75" customHeight="1" x14ac:dyDescent="0.2">
      <c r="A3468" s="21"/>
      <c r="B3468" s="3" t="s">
        <v>13</v>
      </c>
      <c r="C3468" s="20" t="s">
        <v>24</v>
      </c>
      <c r="D3468" s="21"/>
    </row>
    <row r="3469" spans="1:4" ht="12.75" customHeight="1" x14ac:dyDescent="0.2">
      <c r="A3469" s="21"/>
      <c r="B3469" s="3" t="s">
        <v>15</v>
      </c>
      <c r="C3469" s="20" t="s">
        <v>24</v>
      </c>
      <c r="D3469" s="21"/>
    </row>
    <row r="3470" spans="1:4" ht="12.75" customHeight="1" x14ac:dyDescent="0.2">
      <c r="A3470" s="21"/>
      <c r="B3470" s="3" t="s">
        <v>16</v>
      </c>
      <c r="C3470" s="20"/>
      <c r="D3470" s="21"/>
    </row>
    <row r="3471" spans="1:4" ht="12.75" customHeight="1" x14ac:dyDescent="0.2">
      <c r="A3471" s="21"/>
      <c r="B3471" s="3" t="s">
        <v>17</v>
      </c>
      <c r="C3471" s="20"/>
      <c r="D3471" s="21"/>
    </row>
    <row r="3472" spans="1:4" ht="12.75" customHeight="1" x14ac:dyDescent="0.2">
      <c r="A3472" s="21"/>
      <c r="B3472" s="20" t="s">
        <v>18</v>
      </c>
      <c r="C3472" s="4" t="s">
        <v>44</v>
      </c>
      <c r="D3472" s="6" t="str">
        <f>HYPERLINK("javascript:void(0)","rúnatőr")</f>
        <v>rúnatőr</v>
      </c>
    </row>
    <row r="3473" spans="1:4" ht="12.75" customHeight="1" x14ac:dyDescent="0.2">
      <c r="A3473" s="21"/>
      <c r="B3473" s="21"/>
      <c r="C3473" s="4" t="s">
        <v>55</v>
      </c>
      <c r="D3473" s="6" t="str">
        <f>HYPERLINK("javascript:void(0)","rúna")</f>
        <v>rúna</v>
      </c>
    </row>
    <row r="3474" spans="1:4" ht="12.75" customHeight="1" x14ac:dyDescent="0.2">
      <c r="A3474" s="21"/>
      <c r="B3474" s="21"/>
      <c r="C3474" s="4" t="s">
        <v>56</v>
      </c>
      <c r="D3474" s="6" t="str">
        <f>HYPERLINK("javascript:void(0)","zselatin")</f>
        <v>zselatin</v>
      </c>
    </row>
    <row r="3475" spans="1:4" ht="12.75" customHeight="1" x14ac:dyDescent="0.2">
      <c r="A3475" s="5"/>
      <c r="B3475" s="2"/>
      <c r="C3475" s="2"/>
      <c r="D3475" s="2"/>
    </row>
    <row r="3476" spans="1:4" ht="12.75" customHeight="1" x14ac:dyDescent="0.2">
      <c r="A3476" s="22" t="str">
        <f>HYPERLINK("javascript:void(0)","zselés mágusölő")</f>
        <v>zselés mágusölő</v>
      </c>
      <c r="B3476" s="21"/>
      <c r="C3476" s="21"/>
      <c r="D3476" s="21"/>
    </row>
    <row r="3477" spans="1:4" ht="12.75" customHeight="1" x14ac:dyDescent="0.2">
      <c r="A3477" s="20"/>
      <c r="B3477" s="2"/>
      <c r="C3477" s="2"/>
      <c r="D3477" s="2"/>
    </row>
    <row r="3478" spans="1:4" ht="12.75" customHeight="1" x14ac:dyDescent="0.2">
      <c r="A3478" s="21"/>
      <c r="B3478" s="3" t="s">
        <v>0</v>
      </c>
      <c r="C3478" s="20" t="s">
        <v>69</v>
      </c>
      <c r="D3478" s="21"/>
    </row>
    <row r="3479" spans="1:4" ht="12.75" customHeight="1" x14ac:dyDescent="0.2">
      <c r="A3479" s="21"/>
      <c r="B3479" s="3" t="s">
        <v>2</v>
      </c>
      <c r="C3479" s="20" t="s">
        <v>1598</v>
      </c>
      <c r="D3479" s="21"/>
    </row>
    <row r="3480" spans="1:4" ht="12.75" customHeight="1" x14ac:dyDescent="0.2">
      <c r="A3480" s="21"/>
      <c r="B3480" s="3" t="s">
        <v>4</v>
      </c>
      <c r="C3480" s="20" t="s">
        <v>2018</v>
      </c>
      <c r="D3480" s="21"/>
    </row>
    <row r="3481" spans="1:4" ht="12.75" customHeight="1" x14ac:dyDescent="0.2">
      <c r="A3481" s="21"/>
      <c r="B3481" s="3" t="s">
        <v>6</v>
      </c>
      <c r="C3481" s="20" t="s">
        <v>48</v>
      </c>
      <c r="D3481" s="21"/>
    </row>
    <row r="3482" spans="1:4" ht="12.75" customHeight="1" x14ac:dyDescent="0.2">
      <c r="A3482" s="21"/>
      <c r="B3482" s="3" t="s">
        <v>8</v>
      </c>
      <c r="C3482" s="20" t="s">
        <v>2018</v>
      </c>
      <c r="D3482" s="21"/>
    </row>
    <row r="3483" spans="1:4" ht="12.75" customHeight="1" x14ac:dyDescent="0.2">
      <c r="A3483" s="21"/>
      <c r="B3483" s="3" t="s">
        <v>9</v>
      </c>
      <c r="C3483" s="20" t="s">
        <v>878</v>
      </c>
      <c r="D3483" s="21"/>
    </row>
    <row r="3484" spans="1:4" ht="12.75" customHeight="1" x14ac:dyDescent="0.2">
      <c r="A3484" s="21"/>
      <c r="B3484" s="3" t="s">
        <v>11</v>
      </c>
      <c r="C3484" s="20" t="s">
        <v>754</v>
      </c>
      <c r="D3484" s="21"/>
    </row>
    <row r="3485" spans="1:4" ht="12.75" customHeight="1" x14ac:dyDescent="0.2">
      <c r="A3485" s="21"/>
      <c r="B3485" s="3" t="s">
        <v>13</v>
      </c>
      <c r="C3485" s="20" t="s">
        <v>14</v>
      </c>
      <c r="D3485" s="21"/>
    </row>
    <row r="3486" spans="1:4" ht="12.75" customHeight="1" x14ac:dyDescent="0.2">
      <c r="A3486" s="21"/>
      <c r="B3486" s="3" t="s">
        <v>15</v>
      </c>
      <c r="C3486" s="20" t="s">
        <v>24</v>
      </c>
      <c r="D3486" s="21"/>
    </row>
    <row r="3487" spans="1:4" ht="12.75" customHeight="1" x14ac:dyDescent="0.2">
      <c r="A3487" s="21"/>
      <c r="B3487" s="3" t="s">
        <v>16</v>
      </c>
      <c r="C3487" s="20"/>
      <c r="D3487" s="21"/>
    </row>
    <row r="3488" spans="1:4" ht="12.75" customHeight="1" x14ac:dyDescent="0.2">
      <c r="A3488" s="21"/>
      <c r="B3488" s="3" t="s">
        <v>17</v>
      </c>
      <c r="C3488" s="20"/>
      <c r="D3488" s="21"/>
    </row>
    <row r="3489" spans="1:4" ht="12.75" customHeight="1" x14ac:dyDescent="0.2">
      <c r="A3489" s="21"/>
      <c r="B3489" s="20" t="s">
        <v>18</v>
      </c>
      <c r="C3489" s="4" t="s">
        <v>68</v>
      </c>
      <c r="D3489" s="6" t="str">
        <f>HYPERLINK("javascript:void(0)","zselatin")</f>
        <v>zselatin</v>
      </c>
    </row>
    <row r="3490" spans="1:4" ht="12.75" customHeight="1" x14ac:dyDescent="0.2">
      <c r="A3490" s="21"/>
      <c r="B3490" s="21"/>
      <c r="C3490" s="4" t="s">
        <v>98</v>
      </c>
      <c r="D3490" s="6" t="str">
        <f>HYPERLINK("javascript:void(0)","istenpenge")</f>
        <v>istenpenge</v>
      </c>
    </row>
    <row r="3491" spans="1:4" ht="12.75" customHeight="1" x14ac:dyDescent="0.2">
      <c r="A3491" s="21"/>
      <c r="B3491" s="21"/>
      <c r="C3491" s="4" t="s">
        <v>139</v>
      </c>
      <c r="D3491" s="6" t="str">
        <f>HYPERLINK("javascript:void(0)","vákuum")</f>
        <v>vákuum</v>
      </c>
    </row>
    <row r="3492" spans="1:4" ht="12.75" customHeight="1" x14ac:dyDescent="0.2">
      <c r="A3492" s="5"/>
      <c r="B3492" s="2"/>
      <c r="C3492" s="2"/>
      <c r="D3492" s="2"/>
    </row>
    <row r="3493" spans="1:4" ht="12.75" customHeight="1" x14ac:dyDescent="0.2">
      <c r="A3493" s="22" t="str">
        <f>HYPERLINK("javascript:void(0)","éjsötét kasza")</f>
        <v>éjsötét kasza</v>
      </c>
      <c r="B3493" s="21"/>
      <c r="C3493" s="21"/>
      <c r="D3493" s="21"/>
    </row>
    <row r="3494" spans="1:4" ht="12.75" customHeight="1" x14ac:dyDescent="0.2">
      <c r="A3494" s="20"/>
      <c r="B3494" s="2"/>
      <c r="C3494" s="2"/>
      <c r="D3494" s="2"/>
    </row>
    <row r="3495" spans="1:4" ht="12.75" customHeight="1" x14ac:dyDescent="0.2">
      <c r="A3495" s="21"/>
      <c r="B3495" s="3" t="s">
        <v>0</v>
      </c>
      <c r="C3495" s="20" t="s">
        <v>245</v>
      </c>
      <c r="D3495" s="21"/>
    </row>
    <row r="3496" spans="1:4" ht="12.75" customHeight="1" x14ac:dyDescent="0.2">
      <c r="A3496" s="21"/>
      <c r="B3496" s="3" t="s">
        <v>2</v>
      </c>
      <c r="C3496" s="20" t="s">
        <v>1598</v>
      </c>
      <c r="D3496" s="21"/>
    </row>
    <row r="3497" spans="1:4" ht="12.75" customHeight="1" x14ac:dyDescent="0.2">
      <c r="A3497" s="21"/>
      <c r="B3497" s="3" t="s">
        <v>4</v>
      </c>
      <c r="C3497" s="20" t="s">
        <v>2019</v>
      </c>
      <c r="D3497" s="21"/>
    </row>
    <row r="3498" spans="1:4" ht="12.75" customHeight="1" x14ac:dyDescent="0.2">
      <c r="A3498" s="21"/>
      <c r="B3498" s="3" t="s">
        <v>6</v>
      </c>
      <c r="C3498" s="20" t="s">
        <v>52</v>
      </c>
      <c r="D3498" s="21"/>
    </row>
    <row r="3499" spans="1:4" ht="12.75" customHeight="1" x14ac:dyDescent="0.2">
      <c r="A3499" s="21"/>
      <c r="B3499" s="3" t="s">
        <v>8</v>
      </c>
      <c r="C3499" s="20" t="s">
        <v>2019</v>
      </c>
      <c r="D3499" s="21"/>
    </row>
    <row r="3500" spans="1:4" ht="12.75" customHeight="1" x14ac:dyDescent="0.2">
      <c r="A3500" s="21"/>
      <c r="B3500" s="3" t="s">
        <v>9</v>
      </c>
      <c r="C3500" s="20" t="s">
        <v>147</v>
      </c>
      <c r="D3500" s="21"/>
    </row>
    <row r="3501" spans="1:4" ht="12.75" customHeight="1" x14ac:dyDescent="0.2">
      <c r="A3501" s="21"/>
      <c r="B3501" s="3" t="s">
        <v>11</v>
      </c>
      <c r="C3501" s="20" t="s">
        <v>679</v>
      </c>
      <c r="D3501" s="21"/>
    </row>
    <row r="3502" spans="1:4" ht="12.75" customHeight="1" x14ac:dyDescent="0.2">
      <c r="A3502" s="21"/>
      <c r="B3502" s="3" t="s">
        <v>13</v>
      </c>
      <c r="C3502" s="20" t="s">
        <v>24</v>
      </c>
      <c r="D3502" s="21"/>
    </row>
    <row r="3503" spans="1:4" ht="12.75" customHeight="1" x14ac:dyDescent="0.2">
      <c r="A3503" s="21"/>
      <c r="B3503" s="3" t="s">
        <v>15</v>
      </c>
      <c r="C3503" s="20" t="s">
        <v>24</v>
      </c>
      <c r="D3503" s="21"/>
    </row>
    <row r="3504" spans="1:4" ht="12.75" customHeight="1" x14ac:dyDescent="0.2">
      <c r="A3504" s="21"/>
      <c r="B3504" s="3" t="s">
        <v>16</v>
      </c>
      <c r="C3504" s="20"/>
      <c r="D3504" s="21"/>
    </row>
    <row r="3505" spans="1:4" ht="12.75" customHeight="1" x14ac:dyDescent="0.2">
      <c r="A3505" s="21"/>
      <c r="B3505" s="3" t="s">
        <v>17</v>
      </c>
      <c r="C3505" s="20"/>
      <c r="D3505" s="21"/>
    </row>
    <row r="3506" spans="1:4" ht="12.75" customHeight="1" x14ac:dyDescent="0.2">
      <c r="A3506" s="21"/>
      <c r="B3506" s="20" t="s">
        <v>18</v>
      </c>
      <c r="C3506" s="4" t="s">
        <v>57</v>
      </c>
      <c r="D3506" s="6" t="str">
        <f>HYPERLINK("javascript:void(0)","éjfény")</f>
        <v>éjfény</v>
      </c>
    </row>
    <row r="3507" spans="1:4" ht="12.75" customHeight="1" x14ac:dyDescent="0.2">
      <c r="A3507" s="21"/>
      <c r="B3507" s="21"/>
      <c r="C3507" s="4" t="s">
        <v>68</v>
      </c>
      <c r="D3507" s="6" t="str">
        <f>HYPERLINK("javascript:void(0)","istenpenge")</f>
        <v>istenpenge</v>
      </c>
    </row>
    <row r="3508" spans="1:4" ht="12.75" customHeight="1" x14ac:dyDescent="0.2">
      <c r="A3508" s="21"/>
      <c r="B3508" s="21"/>
      <c r="C3508" s="4" t="s">
        <v>98</v>
      </c>
      <c r="D3508" s="6" t="str">
        <f>HYPERLINK("javascript:void(0)","torokgyík")</f>
        <v>torokgyík</v>
      </c>
    </row>
    <row r="3509" spans="1:4" ht="12.75" customHeight="1" x14ac:dyDescent="0.2">
      <c r="A3509" s="5"/>
      <c r="B3509" s="2"/>
      <c r="C3509" s="2"/>
      <c r="D3509" s="2"/>
    </row>
    <row r="3510" spans="1:4" ht="12.75" customHeight="1" x14ac:dyDescent="0.2">
      <c r="A3510" s="22" t="str">
        <f>HYPERLINK("javascript:void(0)","éjsötét gigapallos")</f>
        <v>éjsötét gigapallos</v>
      </c>
      <c r="B3510" s="21"/>
      <c r="C3510" s="21"/>
      <c r="D3510" s="21"/>
    </row>
    <row r="3511" spans="1:4" ht="12.75" customHeight="1" x14ac:dyDescent="0.2">
      <c r="A3511" s="20"/>
      <c r="B3511" s="2"/>
      <c r="C3511" s="2"/>
      <c r="D3511" s="2"/>
    </row>
    <row r="3512" spans="1:4" ht="12.75" customHeight="1" x14ac:dyDescent="0.2">
      <c r="A3512" s="21"/>
      <c r="B3512" s="3" t="s">
        <v>0</v>
      </c>
      <c r="C3512" s="20" t="s">
        <v>245</v>
      </c>
      <c r="D3512" s="21"/>
    </row>
    <row r="3513" spans="1:4" ht="12.75" customHeight="1" x14ac:dyDescent="0.2">
      <c r="A3513" s="21"/>
      <c r="B3513" s="3" t="s">
        <v>2</v>
      </c>
      <c r="C3513" s="20" t="s">
        <v>1598</v>
      </c>
      <c r="D3513" s="21"/>
    </row>
    <row r="3514" spans="1:4" ht="12.75" customHeight="1" x14ac:dyDescent="0.2">
      <c r="A3514" s="21"/>
      <c r="B3514" s="3" t="s">
        <v>4</v>
      </c>
      <c r="C3514" s="20" t="s">
        <v>2021</v>
      </c>
      <c r="D3514" s="21"/>
    </row>
    <row r="3515" spans="1:4" ht="12.75" customHeight="1" x14ac:dyDescent="0.2">
      <c r="A3515" s="21"/>
      <c r="B3515" s="3" t="s">
        <v>6</v>
      </c>
      <c r="C3515" s="20" t="s">
        <v>157</v>
      </c>
      <c r="D3515" s="21"/>
    </row>
    <row r="3516" spans="1:4" ht="12.75" customHeight="1" x14ac:dyDescent="0.2">
      <c r="A3516" s="21"/>
      <c r="B3516" s="3" t="s">
        <v>8</v>
      </c>
      <c r="C3516" s="20" t="s">
        <v>2021</v>
      </c>
      <c r="D3516" s="21"/>
    </row>
    <row r="3517" spans="1:4" ht="12.75" customHeight="1" x14ac:dyDescent="0.2">
      <c r="A3517" s="21"/>
      <c r="B3517" s="3" t="s">
        <v>9</v>
      </c>
      <c r="C3517" s="20" t="s">
        <v>2022</v>
      </c>
      <c r="D3517" s="21"/>
    </row>
    <row r="3518" spans="1:4" ht="12.75" customHeight="1" x14ac:dyDescent="0.2">
      <c r="A3518" s="21"/>
      <c r="B3518" s="3" t="s">
        <v>11</v>
      </c>
      <c r="C3518" s="20" t="s">
        <v>879</v>
      </c>
      <c r="D3518" s="21"/>
    </row>
    <row r="3519" spans="1:4" ht="12.75" customHeight="1" x14ac:dyDescent="0.2">
      <c r="A3519" s="21"/>
      <c r="B3519" s="3" t="s">
        <v>13</v>
      </c>
      <c r="C3519" s="20" t="s">
        <v>24</v>
      </c>
      <c r="D3519" s="21"/>
    </row>
    <row r="3520" spans="1:4" ht="12.75" customHeight="1" x14ac:dyDescent="0.2">
      <c r="A3520" s="21"/>
      <c r="B3520" s="3" t="s">
        <v>15</v>
      </c>
      <c r="C3520" s="20" t="s">
        <v>24</v>
      </c>
      <c r="D3520" s="21"/>
    </row>
    <row r="3521" spans="1:4" ht="12.75" customHeight="1" x14ac:dyDescent="0.2">
      <c r="A3521" s="21"/>
      <c r="B3521" s="3" t="s">
        <v>16</v>
      </c>
      <c r="C3521" s="20"/>
      <c r="D3521" s="21"/>
    </row>
    <row r="3522" spans="1:4" ht="12.75" customHeight="1" x14ac:dyDescent="0.2">
      <c r="A3522" s="21"/>
      <c r="B3522" s="3" t="s">
        <v>17</v>
      </c>
      <c r="C3522" s="20"/>
      <c r="D3522" s="21"/>
    </row>
    <row r="3523" spans="1:4" ht="12.75" customHeight="1" x14ac:dyDescent="0.2">
      <c r="A3523" s="21"/>
      <c r="B3523" s="20" t="s">
        <v>18</v>
      </c>
      <c r="C3523" s="4" t="s">
        <v>68</v>
      </c>
      <c r="D3523" s="6" t="str">
        <f>HYPERLINK("javascript:void(0)","éjfény")</f>
        <v>éjfény</v>
      </c>
    </row>
    <row r="3524" spans="1:4" ht="12.75" customHeight="1" x14ac:dyDescent="0.2">
      <c r="A3524" s="21"/>
      <c r="B3524" s="21"/>
      <c r="C3524" s="4" t="s">
        <v>117</v>
      </c>
      <c r="D3524" s="6" t="str">
        <f>HYPERLINK("javascript:void(0)","istenpenge")</f>
        <v>istenpenge</v>
      </c>
    </row>
    <row r="3525" spans="1:4" ht="12.75" customHeight="1" x14ac:dyDescent="0.2">
      <c r="A3525" s="21"/>
      <c r="B3525" s="21"/>
      <c r="C3525" s="4" t="s">
        <v>271</v>
      </c>
      <c r="D3525" s="6" t="str">
        <f>HYPERLINK("javascript:void(0)","hangjegy")</f>
        <v>hangjegy</v>
      </c>
    </row>
    <row r="3526" spans="1:4" ht="12.75" customHeight="1" x14ac:dyDescent="0.2">
      <c r="A3526" s="5"/>
      <c r="B3526" s="2"/>
      <c r="C3526" s="2"/>
      <c r="D3526" s="2"/>
    </row>
    <row r="3527" spans="1:4" ht="12.75" customHeight="1" x14ac:dyDescent="0.2">
      <c r="A3527" s="22" t="str">
        <f>HYPERLINK("javascript:void(0)","gyíkacél tanto")</f>
        <v>gyíkacél tanto</v>
      </c>
      <c r="B3527" s="21"/>
      <c r="C3527" s="21"/>
      <c r="D3527" s="21"/>
    </row>
    <row r="3528" spans="1:4" ht="12.75" customHeight="1" x14ac:dyDescent="0.2">
      <c r="A3528" s="20"/>
      <c r="B3528" s="2"/>
      <c r="C3528" s="2"/>
      <c r="D3528" s="2"/>
    </row>
    <row r="3529" spans="1:4" ht="12.75" customHeight="1" x14ac:dyDescent="0.2">
      <c r="A3529" s="21"/>
      <c r="B3529" s="3" t="s">
        <v>0</v>
      </c>
      <c r="C3529" s="20" t="s">
        <v>245</v>
      </c>
      <c r="D3529" s="21"/>
    </row>
    <row r="3530" spans="1:4" ht="12.75" customHeight="1" x14ac:dyDescent="0.2">
      <c r="A3530" s="21"/>
      <c r="B3530" s="3" t="s">
        <v>2</v>
      </c>
      <c r="C3530" s="20" t="s">
        <v>1598</v>
      </c>
      <c r="D3530" s="21"/>
    </row>
    <row r="3531" spans="1:4" ht="12.75" customHeight="1" x14ac:dyDescent="0.2">
      <c r="A3531" s="21"/>
      <c r="B3531" s="3" t="s">
        <v>4</v>
      </c>
      <c r="C3531" s="20" t="s">
        <v>2023</v>
      </c>
      <c r="D3531" s="21"/>
    </row>
    <row r="3532" spans="1:4" ht="12.75" customHeight="1" x14ac:dyDescent="0.2">
      <c r="A3532" s="21"/>
      <c r="B3532" s="3" t="s">
        <v>6</v>
      </c>
      <c r="C3532" s="20" t="s">
        <v>107</v>
      </c>
      <c r="D3532" s="21"/>
    </row>
    <row r="3533" spans="1:4" ht="12.75" customHeight="1" x14ac:dyDescent="0.2">
      <c r="A3533" s="21"/>
      <c r="B3533" s="3" t="s">
        <v>8</v>
      </c>
      <c r="C3533" s="20" t="s">
        <v>2023</v>
      </c>
      <c r="D3533" s="21"/>
    </row>
    <row r="3534" spans="1:4" ht="12.75" customHeight="1" x14ac:dyDescent="0.2">
      <c r="A3534" s="21"/>
      <c r="B3534" s="3" t="s">
        <v>9</v>
      </c>
      <c r="C3534" s="20" t="s">
        <v>2024</v>
      </c>
      <c r="D3534" s="21"/>
    </row>
    <row r="3535" spans="1:4" ht="12.75" customHeight="1" x14ac:dyDescent="0.2">
      <c r="A3535" s="21"/>
      <c r="B3535" s="3" t="s">
        <v>11</v>
      </c>
      <c r="C3535" s="20" t="s">
        <v>571</v>
      </c>
      <c r="D3535" s="21"/>
    </row>
    <row r="3536" spans="1:4" ht="12.75" customHeight="1" x14ac:dyDescent="0.2">
      <c r="A3536" s="21"/>
      <c r="B3536" s="3" t="s">
        <v>13</v>
      </c>
      <c r="C3536" s="20" t="s">
        <v>24</v>
      </c>
      <c r="D3536" s="21"/>
    </row>
    <row r="3537" spans="1:4" ht="12.75" customHeight="1" x14ac:dyDescent="0.2">
      <c r="A3537" s="21"/>
      <c r="B3537" s="3" t="s">
        <v>15</v>
      </c>
      <c r="C3537" s="20" t="s">
        <v>24</v>
      </c>
      <c r="D3537" s="21"/>
    </row>
    <row r="3538" spans="1:4" ht="12.75" customHeight="1" x14ac:dyDescent="0.2">
      <c r="A3538" s="21"/>
      <c r="B3538" s="3" t="s">
        <v>16</v>
      </c>
      <c r="C3538" s="20"/>
      <c r="D3538" s="21"/>
    </row>
    <row r="3539" spans="1:4" ht="12.75" customHeight="1" x14ac:dyDescent="0.2">
      <c r="A3539" s="21"/>
      <c r="B3539" s="3" t="s">
        <v>17</v>
      </c>
      <c r="C3539" s="20"/>
      <c r="D3539" s="21"/>
    </row>
    <row r="3540" spans="1:4" ht="12.75" customHeight="1" x14ac:dyDescent="0.2">
      <c r="A3540" s="21"/>
      <c r="B3540" s="20" t="s">
        <v>18</v>
      </c>
      <c r="C3540" s="4" t="s">
        <v>232</v>
      </c>
      <c r="D3540" s="6" t="str">
        <f>HYPERLINK("javascript:void(0)","extra manaital")</f>
        <v>extra manaital</v>
      </c>
    </row>
    <row r="3541" spans="1:4" ht="12.75" customHeight="1" x14ac:dyDescent="0.2">
      <c r="A3541" s="21"/>
      <c r="B3541" s="21"/>
      <c r="C3541" s="4" t="s">
        <v>280</v>
      </c>
      <c r="D3541" s="6" t="str">
        <f>HYPERLINK("javascript:void(0)","szent szimbólum")</f>
        <v>szent szimbólum</v>
      </c>
    </row>
    <row r="3542" spans="1:4" ht="12.75" customHeight="1" x14ac:dyDescent="0.2">
      <c r="A3542" s="21"/>
      <c r="B3542" s="21"/>
      <c r="C3542" s="4" t="s">
        <v>193</v>
      </c>
      <c r="D3542" s="6" t="str">
        <f>HYPERLINK("javascript:void(0)","vízige")</f>
        <v>vízige</v>
      </c>
    </row>
    <row r="3543" spans="1:4" ht="12.75" customHeight="1" x14ac:dyDescent="0.2">
      <c r="A3543" s="5"/>
      <c r="B3543" s="2"/>
      <c r="C3543" s="2"/>
      <c r="D3543" s="2"/>
    </row>
    <row r="3544" spans="1:4" ht="12.75" customHeight="1" x14ac:dyDescent="0.2">
      <c r="A3544" s="22" t="str">
        <f>HYPERLINK("javascript:void(0)","szilszurony")</f>
        <v>szilszurony</v>
      </c>
      <c r="B3544" s="21"/>
      <c r="C3544" s="21"/>
      <c r="D3544" s="21"/>
    </row>
    <row r="3545" spans="1:4" ht="12.75" customHeight="1" x14ac:dyDescent="0.2">
      <c r="A3545" s="20"/>
      <c r="B3545" s="2"/>
      <c r="C3545" s="2"/>
      <c r="D3545" s="2"/>
    </row>
    <row r="3546" spans="1:4" ht="12.75" customHeight="1" x14ac:dyDescent="0.2">
      <c r="A3546" s="21"/>
      <c r="B3546" s="3" t="s">
        <v>0</v>
      </c>
      <c r="C3546" s="20" t="s">
        <v>671</v>
      </c>
      <c r="D3546" s="21"/>
    </row>
    <row r="3547" spans="1:4" ht="12.75" customHeight="1" x14ac:dyDescent="0.2">
      <c r="A3547" s="21"/>
      <c r="B3547" s="3" t="s">
        <v>2</v>
      </c>
      <c r="C3547" s="20" t="s">
        <v>1598</v>
      </c>
      <c r="D3547" s="21"/>
    </row>
    <row r="3548" spans="1:4" ht="12.75" customHeight="1" x14ac:dyDescent="0.2">
      <c r="A3548" s="21"/>
      <c r="B3548" s="3" t="s">
        <v>4</v>
      </c>
      <c r="C3548" s="20" t="s">
        <v>2026</v>
      </c>
      <c r="D3548" s="21"/>
    </row>
    <row r="3549" spans="1:4" ht="12.75" customHeight="1" x14ac:dyDescent="0.2">
      <c r="A3549" s="21"/>
      <c r="B3549" s="3" t="s">
        <v>6</v>
      </c>
      <c r="C3549" s="20" t="s">
        <v>298</v>
      </c>
      <c r="D3549" s="21"/>
    </row>
    <row r="3550" spans="1:4" ht="12.75" customHeight="1" x14ac:dyDescent="0.2">
      <c r="A3550" s="21"/>
      <c r="B3550" s="3" t="s">
        <v>8</v>
      </c>
      <c r="C3550" s="20" t="s">
        <v>2026</v>
      </c>
      <c r="D3550" s="21"/>
    </row>
    <row r="3551" spans="1:4" ht="12.75" customHeight="1" x14ac:dyDescent="0.2">
      <c r="A3551" s="21"/>
      <c r="B3551" s="3" t="s">
        <v>9</v>
      </c>
      <c r="C3551" s="20" t="s">
        <v>573</v>
      </c>
      <c r="D3551" s="21"/>
    </row>
    <row r="3552" spans="1:4" ht="12.75" customHeight="1" x14ac:dyDescent="0.2">
      <c r="A3552" s="21"/>
      <c r="B3552" s="3" t="s">
        <v>11</v>
      </c>
      <c r="C3552" s="20" t="s">
        <v>684</v>
      </c>
      <c r="D3552" s="21"/>
    </row>
    <row r="3553" spans="1:4" ht="12.75" customHeight="1" x14ac:dyDescent="0.2">
      <c r="A3553" s="21"/>
      <c r="B3553" s="3" t="s">
        <v>13</v>
      </c>
      <c r="C3553" s="20" t="s">
        <v>24</v>
      </c>
      <c r="D3553" s="21"/>
    </row>
    <row r="3554" spans="1:4" ht="12.75" customHeight="1" x14ac:dyDescent="0.2">
      <c r="A3554" s="21"/>
      <c r="B3554" s="3" t="s">
        <v>15</v>
      </c>
      <c r="C3554" s="20" t="s">
        <v>24</v>
      </c>
      <c r="D3554" s="21"/>
    </row>
    <row r="3555" spans="1:4" ht="12.75" customHeight="1" x14ac:dyDescent="0.2">
      <c r="A3555" s="21"/>
      <c r="B3555" s="3" t="s">
        <v>16</v>
      </c>
      <c r="C3555" s="20"/>
      <c r="D3555" s="21"/>
    </row>
    <row r="3556" spans="1:4" ht="12.75" customHeight="1" x14ac:dyDescent="0.2">
      <c r="A3556" s="21"/>
      <c r="B3556" s="3" t="s">
        <v>17</v>
      </c>
      <c r="C3556" s="20"/>
      <c r="D3556" s="21"/>
    </row>
    <row r="3557" spans="1:4" ht="12.75" customHeight="1" x14ac:dyDescent="0.2">
      <c r="A3557" s="21"/>
      <c r="B3557" s="20" t="s">
        <v>18</v>
      </c>
      <c r="C3557" s="4" t="s">
        <v>44</v>
      </c>
      <c r="D3557" s="6" t="str">
        <f>HYPERLINK("javascript:void(0)","rúnakard")</f>
        <v>rúnakard</v>
      </c>
    </row>
    <row r="3558" spans="1:4" ht="12.75" customHeight="1" x14ac:dyDescent="0.2">
      <c r="A3558" s="21"/>
      <c r="B3558" s="21"/>
      <c r="C3558" s="4" t="s">
        <v>44</v>
      </c>
      <c r="D3558" s="6" t="str">
        <f>HYPERLINK("javascript:void(0)","éjsötét kasza")</f>
        <v>éjsötét kasza</v>
      </c>
    </row>
    <row r="3559" spans="1:4" ht="12.75" customHeight="1" x14ac:dyDescent="0.2">
      <c r="A3559" s="21"/>
      <c r="B3559" s="21"/>
      <c r="C3559" s="4" t="s">
        <v>44</v>
      </c>
      <c r="D3559" s="6" t="str">
        <f>HYPERLINK("javascript:void(0)","szilpenge")</f>
        <v>szilpenge</v>
      </c>
    </row>
    <row r="3560" spans="1:4" ht="12.75" customHeight="1" x14ac:dyDescent="0.2">
      <c r="A3560" s="5"/>
      <c r="B3560" s="2"/>
      <c r="C3560" s="2"/>
      <c r="D3560" s="2"/>
    </row>
    <row r="3561" spans="1:4" ht="12.75" customHeight="1" x14ac:dyDescent="0.2">
      <c r="A3561" s="22" t="str">
        <f>HYPERLINK("javascript:void(0)","fényes mágusölő")</f>
        <v>fényes mágusölő</v>
      </c>
      <c r="B3561" s="21"/>
      <c r="C3561" s="21"/>
      <c r="D3561" s="21"/>
    </row>
    <row r="3562" spans="1:4" ht="12.75" customHeight="1" x14ac:dyDescent="0.2">
      <c r="A3562" s="20"/>
      <c r="B3562" s="2"/>
      <c r="C3562" s="2"/>
      <c r="D3562" s="2"/>
    </row>
    <row r="3563" spans="1:4" ht="12.75" customHeight="1" x14ac:dyDescent="0.2">
      <c r="A3563" s="21"/>
      <c r="B3563" s="3" t="s">
        <v>0</v>
      </c>
      <c r="C3563" s="20" t="s">
        <v>671</v>
      </c>
      <c r="D3563" s="21"/>
    </row>
    <row r="3564" spans="1:4" ht="12.75" customHeight="1" x14ac:dyDescent="0.2">
      <c r="A3564" s="21"/>
      <c r="B3564" s="3" t="s">
        <v>2</v>
      </c>
      <c r="C3564" s="20" t="s">
        <v>1598</v>
      </c>
      <c r="D3564" s="21"/>
    </row>
    <row r="3565" spans="1:4" ht="12.75" customHeight="1" x14ac:dyDescent="0.2">
      <c r="A3565" s="21"/>
      <c r="B3565" s="3" t="s">
        <v>4</v>
      </c>
      <c r="C3565" s="20" t="s">
        <v>1158</v>
      </c>
      <c r="D3565" s="21"/>
    </row>
    <row r="3566" spans="1:4" ht="12.75" customHeight="1" x14ac:dyDescent="0.2">
      <c r="A3566" s="21"/>
      <c r="B3566" s="3" t="s">
        <v>6</v>
      </c>
      <c r="C3566" s="20" t="s">
        <v>48</v>
      </c>
      <c r="D3566" s="21"/>
    </row>
    <row r="3567" spans="1:4" ht="12.75" customHeight="1" x14ac:dyDescent="0.2">
      <c r="A3567" s="21"/>
      <c r="B3567" s="3" t="s">
        <v>8</v>
      </c>
      <c r="C3567" s="20" t="s">
        <v>1158</v>
      </c>
      <c r="D3567" s="21"/>
    </row>
    <row r="3568" spans="1:4" ht="12.75" customHeight="1" x14ac:dyDescent="0.2">
      <c r="A3568" s="21"/>
      <c r="B3568" s="3" t="s">
        <v>9</v>
      </c>
      <c r="C3568" s="20" t="s">
        <v>1934</v>
      </c>
      <c r="D3568" s="21"/>
    </row>
    <row r="3569" spans="1:4" ht="12.75" customHeight="1" x14ac:dyDescent="0.2">
      <c r="A3569" s="21"/>
      <c r="B3569" s="3" t="s">
        <v>11</v>
      </c>
      <c r="C3569" s="20" t="s">
        <v>779</v>
      </c>
      <c r="D3569" s="21"/>
    </row>
    <row r="3570" spans="1:4" ht="12.75" customHeight="1" x14ac:dyDescent="0.2">
      <c r="A3570" s="21"/>
      <c r="B3570" s="3" t="s">
        <v>13</v>
      </c>
      <c r="C3570" s="20" t="s">
        <v>14</v>
      </c>
      <c r="D3570" s="21"/>
    </row>
    <row r="3571" spans="1:4" ht="12.75" customHeight="1" x14ac:dyDescent="0.2">
      <c r="A3571" s="21"/>
      <c r="B3571" s="3" t="s">
        <v>15</v>
      </c>
      <c r="C3571" s="20" t="s">
        <v>24</v>
      </c>
      <c r="D3571" s="21"/>
    </row>
    <row r="3572" spans="1:4" ht="12.75" customHeight="1" x14ac:dyDescent="0.2">
      <c r="A3572" s="21"/>
      <c r="B3572" s="3" t="s">
        <v>16</v>
      </c>
      <c r="C3572" s="20"/>
      <c r="D3572" s="21"/>
    </row>
    <row r="3573" spans="1:4" ht="12.75" customHeight="1" x14ac:dyDescent="0.2">
      <c r="A3573" s="21"/>
      <c r="B3573" s="3" t="s">
        <v>17</v>
      </c>
      <c r="C3573" s="20"/>
      <c r="D3573" s="21"/>
    </row>
    <row r="3574" spans="1:4" ht="12.75" customHeight="1" x14ac:dyDescent="0.2">
      <c r="A3574" s="21"/>
      <c r="B3574" s="20" t="s">
        <v>18</v>
      </c>
      <c r="C3574" s="4" t="s">
        <v>68</v>
      </c>
      <c r="D3574" s="6" t="str">
        <f>HYPERLINK("javascript:void(0)","lux")</f>
        <v>lux</v>
      </c>
    </row>
    <row r="3575" spans="1:4" ht="12.75" customHeight="1" x14ac:dyDescent="0.2">
      <c r="A3575" s="21"/>
      <c r="B3575" s="21"/>
      <c r="C3575" s="4" t="s">
        <v>1388</v>
      </c>
      <c r="D3575" s="6" t="str">
        <f>HYPERLINK("javascript:void(0)","elemi köpet")</f>
        <v>elemi köpet</v>
      </c>
    </row>
    <row r="3576" spans="1:4" ht="12.75" customHeight="1" x14ac:dyDescent="0.2">
      <c r="A3576" s="21"/>
      <c r="B3576" s="21"/>
      <c r="C3576" s="4" t="s">
        <v>139</v>
      </c>
      <c r="D3576" s="6" t="str">
        <f>HYPERLINK("javascript:void(0)","napfolt")</f>
        <v>napfolt</v>
      </c>
    </row>
    <row r="3577" spans="1:4" ht="12.75" customHeight="1" x14ac:dyDescent="0.2">
      <c r="A3577" s="5"/>
      <c r="B3577" s="2"/>
      <c r="C3577" s="2"/>
      <c r="D3577" s="2"/>
    </row>
    <row r="3578" spans="1:4" ht="12.75" customHeight="1" x14ac:dyDescent="0.2">
      <c r="A3578" s="22" t="str">
        <f>HYPERLINK("javascript:void(0)","hypnoacél sarló")</f>
        <v>hypnoacél sarló</v>
      </c>
      <c r="B3578" s="21"/>
      <c r="C3578" s="21"/>
      <c r="D3578" s="21"/>
    </row>
    <row r="3579" spans="1:4" ht="12.75" customHeight="1" x14ac:dyDescent="0.2">
      <c r="A3579" s="20"/>
      <c r="B3579" s="2"/>
      <c r="C3579" s="2"/>
      <c r="D3579" s="2"/>
    </row>
    <row r="3580" spans="1:4" ht="12.75" customHeight="1" x14ac:dyDescent="0.2">
      <c r="A3580" s="21"/>
      <c r="B3580" s="3" t="s">
        <v>0</v>
      </c>
      <c r="C3580" s="20" t="s">
        <v>65</v>
      </c>
      <c r="D3580" s="21"/>
    </row>
    <row r="3581" spans="1:4" ht="12.75" customHeight="1" x14ac:dyDescent="0.2">
      <c r="A3581" s="21"/>
      <c r="B3581" s="3" t="s">
        <v>2</v>
      </c>
      <c r="C3581" s="20" t="s">
        <v>1598</v>
      </c>
      <c r="D3581" s="21"/>
    </row>
    <row r="3582" spans="1:4" ht="12.75" customHeight="1" x14ac:dyDescent="0.2">
      <c r="A3582" s="21"/>
      <c r="B3582" s="3" t="s">
        <v>4</v>
      </c>
      <c r="C3582" s="20" t="s">
        <v>2027</v>
      </c>
      <c r="D3582" s="21"/>
    </row>
    <row r="3583" spans="1:4" ht="12.75" customHeight="1" x14ac:dyDescent="0.2">
      <c r="A3583" s="21"/>
      <c r="B3583" s="3" t="s">
        <v>6</v>
      </c>
      <c r="C3583" s="20" t="s">
        <v>115</v>
      </c>
      <c r="D3583" s="21"/>
    </row>
    <row r="3584" spans="1:4" ht="12.75" customHeight="1" x14ac:dyDescent="0.2">
      <c r="A3584" s="21"/>
      <c r="B3584" s="3" t="s">
        <v>8</v>
      </c>
      <c r="C3584" s="20" t="s">
        <v>2027</v>
      </c>
      <c r="D3584" s="21"/>
    </row>
    <row r="3585" spans="1:4" ht="12.75" customHeight="1" x14ac:dyDescent="0.2">
      <c r="A3585" s="21"/>
      <c r="B3585" s="3" t="s">
        <v>9</v>
      </c>
      <c r="C3585" s="20" t="s">
        <v>210</v>
      </c>
      <c r="D3585" s="21"/>
    </row>
    <row r="3586" spans="1:4" ht="12.75" customHeight="1" x14ac:dyDescent="0.2">
      <c r="A3586" s="21"/>
      <c r="B3586" s="3" t="s">
        <v>11</v>
      </c>
      <c r="C3586" s="20" t="s">
        <v>693</v>
      </c>
      <c r="D3586" s="21"/>
    </row>
    <row r="3587" spans="1:4" ht="12.75" customHeight="1" x14ac:dyDescent="0.2">
      <c r="A3587" s="21"/>
      <c r="B3587" s="3" t="s">
        <v>13</v>
      </c>
      <c r="C3587" s="20" t="s">
        <v>24</v>
      </c>
      <c r="D3587" s="21"/>
    </row>
    <row r="3588" spans="1:4" ht="12.75" customHeight="1" x14ac:dyDescent="0.2">
      <c r="A3588" s="21"/>
      <c r="B3588" s="3" t="s">
        <v>15</v>
      </c>
      <c r="C3588" s="20" t="s">
        <v>24</v>
      </c>
      <c r="D3588" s="21"/>
    </row>
    <row r="3589" spans="1:4" ht="12.75" customHeight="1" x14ac:dyDescent="0.2">
      <c r="A3589" s="21"/>
      <c r="B3589" s="3" t="s">
        <v>16</v>
      </c>
      <c r="C3589" s="20"/>
      <c r="D3589" s="21"/>
    </row>
    <row r="3590" spans="1:4" ht="12.75" customHeight="1" x14ac:dyDescent="0.2">
      <c r="A3590" s="21"/>
      <c r="B3590" s="3" t="s">
        <v>17</v>
      </c>
      <c r="C3590" s="20"/>
      <c r="D3590" s="21"/>
    </row>
    <row r="3591" spans="1:4" ht="12.75" customHeight="1" x14ac:dyDescent="0.2">
      <c r="A3591" s="21"/>
      <c r="B3591" s="20" t="s">
        <v>18</v>
      </c>
      <c r="C3591" s="4" t="s">
        <v>44</v>
      </c>
      <c r="D3591" s="6" t="str">
        <f>HYPERLINK("javascript:void(0)","szilszurony")</f>
        <v>szilszurony</v>
      </c>
    </row>
    <row r="3592" spans="1:4" ht="12.75" customHeight="1" x14ac:dyDescent="0.2">
      <c r="A3592" s="21"/>
      <c r="B3592" s="21"/>
      <c r="C3592" s="4" t="s">
        <v>56</v>
      </c>
      <c r="D3592" s="6" t="str">
        <f>HYPERLINK("javascript:void(0)","tincs")</f>
        <v>tincs</v>
      </c>
    </row>
    <row r="3593" spans="1:4" ht="12.75" customHeight="1" x14ac:dyDescent="0.2">
      <c r="A3593" s="21"/>
      <c r="B3593" s="21"/>
      <c r="C3593" s="4" t="s">
        <v>68</v>
      </c>
      <c r="D3593" s="6" t="str">
        <f>HYPERLINK("javascript:void(0)","hypnogén")</f>
        <v>hypnogén</v>
      </c>
    </row>
    <row r="3594" spans="1:4" ht="12.75" customHeight="1" x14ac:dyDescent="0.2">
      <c r="A3594" s="5"/>
      <c r="B3594" s="2"/>
      <c r="C3594" s="2"/>
      <c r="D3594" s="2"/>
    </row>
    <row r="3595" spans="1:4" ht="12.75" customHeight="1" x14ac:dyDescent="0.2">
      <c r="A3595" s="22" t="str">
        <f>HYPERLINK("javascript:void(0)","hypnoacél gigapallos")</f>
        <v>hypnoacél gigapallos</v>
      </c>
      <c r="B3595" s="21"/>
      <c r="C3595" s="21"/>
      <c r="D3595" s="21"/>
    </row>
    <row r="3596" spans="1:4" ht="12.75" customHeight="1" x14ac:dyDescent="0.2">
      <c r="A3596" s="20"/>
      <c r="B3596" s="2"/>
      <c r="C3596" s="2"/>
      <c r="D3596" s="2"/>
    </row>
    <row r="3597" spans="1:4" ht="12.75" customHeight="1" x14ac:dyDescent="0.2">
      <c r="A3597" s="21"/>
      <c r="B3597" s="3" t="s">
        <v>0</v>
      </c>
      <c r="C3597" s="20" t="s">
        <v>65</v>
      </c>
      <c r="D3597" s="21"/>
    </row>
    <row r="3598" spans="1:4" ht="12.75" customHeight="1" x14ac:dyDescent="0.2">
      <c r="A3598" s="21"/>
      <c r="B3598" s="3" t="s">
        <v>2</v>
      </c>
      <c r="C3598" s="20" t="s">
        <v>1598</v>
      </c>
      <c r="D3598" s="21"/>
    </row>
    <row r="3599" spans="1:4" ht="12.75" customHeight="1" x14ac:dyDescent="0.2">
      <c r="A3599" s="21"/>
      <c r="B3599" s="3" t="s">
        <v>4</v>
      </c>
      <c r="C3599" s="20" t="s">
        <v>1184</v>
      </c>
      <c r="D3599" s="21"/>
    </row>
    <row r="3600" spans="1:4" ht="12.75" customHeight="1" x14ac:dyDescent="0.2">
      <c r="A3600" s="21"/>
      <c r="B3600" s="3" t="s">
        <v>6</v>
      </c>
      <c r="C3600" s="20" t="s">
        <v>353</v>
      </c>
      <c r="D3600" s="21"/>
    </row>
    <row r="3601" spans="1:4" ht="12.75" customHeight="1" x14ac:dyDescent="0.2">
      <c r="A3601" s="21"/>
      <c r="B3601" s="3" t="s">
        <v>8</v>
      </c>
      <c r="C3601" s="20" t="s">
        <v>1184</v>
      </c>
      <c r="D3601" s="21"/>
    </row>
    <row r="3602" spans="1:4" ht="12.75" customHeight="1" x14ac:dyDescent="0.2">
      <c r="A3602" s="21"/>
      <c r="B3602" s="3" t="s">
        <v>9</v>
      </c>
      <c r="C3602" s="20" t="s">
        <v>2028</v>
      </c>
      <c r="D3602" s="21"/>
    </row>
    <row r="3603" spans="1:4" ht="12.75" customHeight="1" x14ac:dyDescent="0.2">
      <c r="A3603" s="21"/>
      <c r="B3603" s="3" t="s">
        <v>11</v>
      </c>
      <c r="C3603" s="20" t="s">
        <v>917</v>
      </c>
      <c r="D3603" s="21"/>
    </row>
    <row r="3604" spans="1:4" ht="12.75" customHeight="1" x14ac:dyDescent="0.2">
      <c r="A3604" s="21"/>
      <c r="B3604" s="3" t="s">
        <v>13</v>
      </c>
      <c r="C3604" s="20" t="s">
        <v>24</v>
      </c>
      <c r="D3604" s="21"/>
    </row>
    <row r="3605" spans="1:4" ht="12.75" customHeight="1" x14ac:dyDescent="0.2">
      <c r="A3605" s="21"/>
      <c r="B3605" s="3" t="s">
        <v>15</v>
      </c>
      <c r="C3605" s="20" t="s">
        <v>24</v>
      </c>
      <c r="D3605" s="21"/>
    </row>
    <row r="3606" spans="1:4" ht="12.75" customHeight="1" x14ac:dyDescent="0.2">
      <c r="A3606" s="21"/>
      <c r="B3606" s="3" t="s">
        <v>16</v>
      </c>
      <c r="C3606" s="20"/>
      <c r="D3606" s="21"/>
    </row>
    <row r="3607" spans="1:4" ht="12.75" customHeight="1" x14ac:dyDescent="0.2">
      <c r="A3607" s="21"/>
      <c r="B3607" s="3" t="s">
        <v>17</v>
      </c>
      <c r="C3607" s="20"/>
      <c r="D3607" s="21"/>
    </row>
    <row r="3608" spans="1:4" ht="12.75" customHeight="1" x14ac:dyDescent="0.2">
      <c r="A3608" s="21"/>
      <c r="B3608" s="20" t="s">
        <v>18</v>
      </c>
      <c r="C3608" s="4" t="s">
        <v>68</v>
      </c>
      <c r="D3608" s="6" t="str">
        <f>HYPERLINK("javascript:void(0)","tincs")</f>
        <v>tincs</v>
      </c>
    </row>
    <row r="3609" spans="1:4" ht="12.75" customHeight="1" x14ac:dyDescent="0.2">
      <c r="A3609" s="21"/>
      <c r="B3609" s="21"/>
      <c r="C3609" s="4" t="s">
        <v>117</v>
      </c>
      <c r="D3609" s="6" t="str">
        <f>HYPERLINK("javascript:void(0)","hypnogén")</f>
        <v>hypnogén</v>
      </c>
    </row>
    <row r="3610" spans="1:4" ht="12.75" customHeight="1" x14ac:dyDescent="0.2">
      <c r="A3610" s="21"/>
      <c r="B3610" s="21"/>
      <c r="C3610" s="4" t="s">
        <v>139</v>
      </c>
      <c r="D3610" s="6" t="str">
        <f>HYPERLINK("javascript:void(0)","istenpenge")</f>
        <v>istenpenge</v>
      </c>
    </row>
    <row r="3611" spans="1:4" ht="12.75" customHeight="1" x14ac:dyDescent="0.2">
      <c r="A3611" s="5"/>
      <c r="B3611" s="2"/>
      <c r="C3611" s="2"/>
      <c r="D3611" s="2"/>
    </row>
    <row r="3612" spans="1:4" ht="12.75" customHeight="1" x14ac:dyDescent="0.2">
      <c r="A3612" s="22" t="str">
        <f>HYPERLINK("javascript:void(0)","gyíkacél wakizasi")</f>
        <v>gyíkacél wakizasi</v>
      </c>
      <c r="B3612" s="21"/>
      <c r="C3612" s="21"/>
      <c r="D3612" s="21"/>
    </row>
    <row r="3613" spans="1:4" ht="12.75" customHeight="1" x14ac:dyDescent="0.2">
      <c r="A3613" s="20"/>
      <c r="B3613" s="2"/>
      <c r="C3613" s="2"/>
      <c r="D3613" s="2"/>
    </row>
    <row r="3614" spans="1:4" ht="12.75" customHeight="1" x14ac:dyDescent="0.2">
      <c r="A3614" s="21"/>
      <c r="B3614" s="3" t="s">
        <v>0</v>
      </c>
      <c r="C3614" s="20" t="s">
        <v>65</v>
      </c>
      <c r="D3614" s="21"/>
    </row>
    <row r="3615" spans="1:4" ht="12.75" customHeight="1" x14ac:dyDescent="0.2">
      <c r="A3615" s="21"/>
      <c r="B3615" s="3" t="s">
        <v>2</v>
      </c>
      <c r="C3615" s="20" t="s">
        <v>1598</v>
      </c>
      <c r="D3615" s="21"/>
    </row>
    <row r="3616" spans="1:4" ht="12.75" customHeight="1" x14ac:dyDescent="0.2">
      <c r="A3616" s="21"/>
      <c r="B3616" s="3" t="s">
        <v>4</v>
      </c>
      <c r="C3616" s="20" t="s">
        <v>2029</v>
      </c>
      <c r="D3616" s="21"/>
    </row>
    <row r="3617" spans="1:4" ht="12.75" customHeight="1" x14ac:dyDescent="0.2">
      <c r="A3617" s="21"/>
      <c r="B3617" s="3" t="s">
        <v>6</v>
      </c>
      <c r="C3617" s="20" t="s">
        <v>107</v>
      </c>
      <c r="D3617" s="21"/>
    </row>
    <row r="3618" spans="1:4" ht="12.75" customHeight="1" x14ac:dyDescent="0.2">
      <c r="A3618" s="21"/>
      <c r="B3618" s="3" t="s">
        <v>8</v>
      </c>
      <c r="C3618" s="20" t="s">
        <v>2029</v>
      </c>
      <c r="D3618" s="21"/>
    </row>
    <row r="3619" spans="1:4" ht="12.75" customHeight="1" x14ac:dyDescent="0.2">
      <c r="A3619" s="21"/>
      <c r="B3619" s="3" t="s">
        <v>9</v>
      </c>
      <c r="C3619" s="20" t="s">
        <v>2030</v>
      </c>
      <c r="D3619" s="21"/>
    </row>
    <row r="3620" spans="1:4" ht="12.75" customHeight="1" x14ac:dyDescent="0.2">
      <c r="A3620" s="21"/>
      <c r="B3620" s="3" t="s">
        <v>11</v>
      </c>
      <c r="C3620" s="20" t="s">
        <v>592</v>
      </c>
      <c r="D3620" s="21"/>
    </row>
    <row r="3621" spans="1:4" ht="12.75" customHeight="1" x14ac:dyDescent="0.2">
      <c r="A3621" s="21"/>
      <c r="B3621" s="3" t="s">
        <v>13</v>
      </c>
      <c r="C3621" s="20" t="s">
        <v>24</v>
      </c>
      <c r="D3621" s="21"/>
    </row>
    <row r="3622" spans="1:4" ht="12.75" customHeight="1" x14ac:dyDescent="0.2">
      <c r="A3622" s="21"/>
      <c r="B3622" s="3" t="s">
        <v>15</v>
      </c>
      <c r="C3622" s="20" t="s">
        <v>24</v>
      </c>
      <c r="D3622" s="21"/>
    </row>
    <row r="3623" spans="1:4" ht="12.75" customHeight="1" x14ac:dyDescent="0.2">
      <c r="A3623" s="21"/>
      <c r="B3623" s="3" t="s">
        <v>16</v>
      </c>
      <c r="C3623" s="20"/>
      <c r="D3623" s="21"/>
    </row>
    <row r="3624" spans="1:4" ht="12.75" customHeight="1" x14ac:dyDescent="0.2">
      <c r="A3624" s="21"/>
      <c r="B3624" s="3" t="s">
        <v>17</v>
      </c>
      <c r="C3624" s="20"/>
      <c r="D3624" s="21"/>
    </row>
    <row r="3625" spans="1:4" ht="12.75" customHeight="1" x14ac:dyDescent="0.2">
      <c r="A3625" s="21"/>
      <c r="B3625" s="20" t="s">
        <v>18</v>
      </c>
      <c r="C3625" s="4" t="s">
        <v>142</v>
      </c>
      <c r="D3625" s="6" t="str">
        <f>HYPERLINK("javascript:void(0)","extra manaital")</f>
        <v>extra manaital</v>
      </c>
    </row>
    <row r="3626" spans="1:4" ht="12.75" customHeight="1" x14ac:dyDescent="0.2">
      <c r="A3626" s="21"/>
      <c r="B3626" s="21"/>
      <c r="C3626" s="4" t="s">
        <v>280</v>
      </c>
      <c r="D3626" s="6" t="str">
        <f>HYPERLINK("javascript:void(0)","szent szimbólum")</f>
        <v>szent szimbólum</v>
      </c>
    </row>
    <row r="3627" spans="1:4" ht="12.75" customHeight="1" x14ac:dyDescent="0.2">
      <c r="A3627" s="21"/>
      <c r="B3627" s="21"/>
      <c r="C3627" s="4" t="s">
        <v>98</v>
      </c>
      <c r="D3627" s="6" t="str">
        <f>HYPERLINK("javascript:void(0)","ínszalag")</f>
        <v>ínszalag</v>
      </c>
    </row>
    <row r="3628" spans="1:4" ht="12.75" customHeight="1" x14ac:dyDescent="0.2">
      <c r="A3628" s="5"/>
      <c r="B3628" s="2"/>
      <c r="C3628" s="2"/>
      <c r="D3628" s="2"/>
    </row>
    <row r="3629" spans="1:4" ht="12.75" customHeight="1" x14ac:dyDescent="0.2">
      <c r="A3629" s="22" t="str">
        <f>HYPERLINK("javascript:void(0)","dimenziókard")</f>
        <v>dimenziókard</v>
      </c>
      <c r="B3629" s="21"/>
      <c r="C3629" s="21"/>
      <c r="D3629" s="21"/>
    </row>
    <row r="3630" spans="1:4" ht="12.75" customHeight="1" x14ac:dyDescent="0.2">
      <c r="A3630" s="20"/>
      <c r="B3630" s="2"/>
      <c r="C3630" s="2"/>
      <c r="D3630" s="2"/>
    </row>
    <row r="3631" spans="1:4" ht="12.75" customHeight="1" x14ac:dyDescent="0.2">
      <c r="A3631" s="21"/>
      <c r="B3631" s="3" t="s">
        <v>0</v>
      </c>
      <c r="C3631" s="20" t="s">
        <v>65</v>
      </c>
      <c r="D3631" s="21"/>
    </row>
    <row r="3632" spans="1:4" ht="12.75" customHeight="1" x14ac:dyDescent="0.2">
      <c r="A3632" s="21"/>
      <c r="B3632" s="3" t="s">
        <v>2</v>
      </c>
      <c r="C3632" s="20" t="s">
        <v>1598</v>
      </c>
      <c r="D3632" s="21"/>
    </row>
    <row r="3633" spans="1:4" ht="12.75" customHeight="1" x14ac:dyDescent="0.2">
      <c r="A3633" s="21"/>
      <c r="B3633" s="3" t="s">
        <v>4</v>
      </c>
      <c r="C3633" s="20" t="s">
        <v>2031</v>
      </c>
      <c r="D3633" s="21"/>
    </row>
    <row r="3634" spans="1:4" ht="12.75" customHeight="1" x14ac:dyDescent="0.2">
      <c r="A3634" s="21"/>
      <c r="B3634" s="3" t="s">
        <v>6</v>
      </c>
      <c r="C3634" s="20" t="s">
        <v>2032</v>
      </c>
      <c r="D3634" s="21"/>
    </row>
    <row r="3635" spans="1:4" ht="12.75" customHeight="1" x14ac:dyDescent="0.2">
      <c r="A3635" s="21"/>
      <c r="B3635" s="3" t="s">
        <v>8</v>
      </c>
      <c r="C3635" s="20" t="s">
        <v>2031</v>
      </c>
      <c r="D3635" s="21"/>
    </row>
    <row r="3636" spans="1:4" ht="12.75" customHeight="1" x14ac:dyDescent="0.2">
      <c r="A3636" s="21"/>
      <c r="B3636" s="3" t="s">
        <v>9</v>
      </c>
      <c r="C3636" s="20" t="s">
        <v>1044</v>
      </c>
      <c r="D3636" s="21"/>
    </row>
    <row r="3637" spans="1:4" ht="12.75" customHeight="1" x14ac:dyDescent="0.2">
      <c r="A3637" s="21"/>
      <c r="B3637" s="3" t="s">
        <v>11</v>
      </c>
      <c r="C3637" s="20" t="s">
        <v>973</v>
      </c>
      <c r="D3637" s="21"/>
    </row>
    <row r="3638" spans="1:4" ht="12.75" customHeight="1" x14ac:dyDescent="0.2">
      <c r="A3638" s="21"/>
      <c r="B3638" s="3" t="s">
        <v>13</v>
      </c>
      <c r="C3638" s="20" t="s">
        <v>24</v>
      </c>
      <c r="D3638" s="21"/>
    </row>
    <row r="3639" spans="1:4" ht="12.75" customHeight="1" x14ac:dyDescent="0.2">
      <c r="A3639" s="21"/>
      <c r="B3639" s="3" t="s">
        <v>15</v>
      </c>
      <c r="C3639" s="20" t="s">
        <v>14</v>
      </c>
      <c r="D3639" s="21"/>
    </row>
    <row r="3640" spans="1:4" ht="12.75" customHeight="1" x14ac:dyDescent="0.2">
      <c r="A3640" s="21"/>
      <c r="B3640" s="3" t="s">
        <v>16</v>
      </c>
      <c r="C3640" s="20"/>
      <c r="D3640" s="21"/>
    </row>
    <row r="3641" spans="1:4" ht="12.75" customHeight="1" x14ac:dyDescent="0.2">
      <c r="A3641" s="21"/>
      <c r="B3641" s="3" t="s">
        <v>17</v>
      </c>
      <c r="C3641" s="20"/>
      <c r="D3641" s="21"/>
    </row>
    <row r="3642" spans="1:4" ht="12.75" customHeight="1" x14ac:dyDescent="0.2">
      <c r="A3642" s="21"/>
      <c r="B3642" s="20" t="s">
        <v>18</v>
      </c>
      <c r="C3642" s="4" t="s">
        <v>44</v>
      </c>
      <c r="D3642" s="6" t="str">
        <f>HYPERLINK("javascript:void(0)","dimenziómarkolat")</f>
        <v>dimenziómarkolat</v>
      </c>
    </row>
    <row r="3643" spans="1:4" ht="12.75" customHeight="1" x14ac:dyDescent="0.2">
      <c r="A3643" s="21"/>
      <c r="B3643" s="21"/>
      <c r="C3643" s="4" t="s">
        <v>44</v>
      </c>
      <c r="D3643" s="6" t="str">
        <f>HYPERLINK("javascript:void(0)","radiokard")</f>
        <v>radiokard</v>
      </c>
    </row>
    <row r="3644" spans="1:4" ht="12.75" customHeight="1" x14ac:dyDescent="0.2">
      <c r="A3644" s="21"/>
      <c r="B3644" s="21"/>
      <c r="C3644" s="4" t="s">
        <v>323</v>
      </c>
      <c r="D3644" s="6" t="str">
        <f>HYPERLINK("javascript:void(0)","gyöngy")</f>
        <v>gyöngy</v>
      </c>
    </row>
    <row r="3645" spans="1:4" ht="12.75" customHeight="1" x14ac:dyDescent="0.2">
      <c r="A3645" s="5"/>
      <c r="B3645" s="2"/>
      <c r="C3645" s="2"/>
      <c r="D3645" s="2"/>
    </row>
    <row r="3646" spans="1:4" ht="12.75" customHeight="1" x14ac:dyDescent="0.2">
      <c r="A3646" s="22" t="str">
        <f>HYPERLINK("javascript:void(0)","rúnapallos")</f>
        <v>rúnapallos</v>
      </c>
      <c r="B3646" s="21"/>
      <c r="C3646" s="21"/>
      <c r="D3646" s="21"/>
    </row>
    <row r="3647" spans="1:4" ht="12.75" customHeight="1" x14ac:dyDescent="0.2">
      <c r="A3647" s="20"/>
      <c r="B3647" s="2"/>
      <c r="C3647" s="2"/>
      <c r="D3647" s="2"/>
    </row>
    <row r="3648" spans="1:4" ht="12.75" customHeight="1" x14ac:dyDescent="0.2">
      <c r="A3648" s="21"/>
      <c r="B3648" s="3" t="s">
        <v>0</v>
      </c>
      <c r="C3648" s="20" t="s">
        <v>680</v>
      </c>
      <c r="D3648" s="21"/>
    </row>
    <row r="3649" spans="1:4" ht="12.75" customHeight="1" x14ac:dyDescent="0.2">
      <c r="A3649" s="21"/>
      <c r="B3649" s="3" t="s">
        <v>2</v>
      </c>
      <c r="C3649" s="20" t="s">
        <v>1598</v>
      </c>
      <c r="D3649" s="21"/>
    </row>
    <row r="3650" spans="1:4" ht="12.75" customHeight="1" x14ac:dyDescent="0.2">
      <c r="A3650" s="21"/>
      <c r="B3650" s="3" t="s">
        <v>4</v>
      </c>
      <c r="C3650" s="20" t="s">
        <v>2033</v>
      </c>
      <c r="D3650" s="21"/>
    </row>
    <row r="3651" spans="1:4" ht="12.75" customHeight="1" x14ac:dyDescent="0.2">
      <c r="A3651" s="21"/>
      <c r="B3651" s="3" t="s">
        <v>6</v>
      </c>
      <c r="C3651" s="20" t="s">
        <v>392</v>
      </c>
      <c r="D3651" s="21"/>
    </row>
    <row r="3652" spans="1:4" ht="12.75" customHeight="1" x14ac:dyDescent="0.2">
      <c r="A3652" s="21"/>
      <c r="B3652" s="3" t="s">
        <v>8</v>
      </c>
      <c r="C3652" s="20" t="s">
        <v>2033</v>
      </c>
      <c r="D3652" s="21"/>
    </row>
    <row r="3653" spans="1:4" ht="12.75" customHeight="1" x14ac:dyDescent="0.2">
      <c r="A3653" s="21"/>
      <c r="B3653" s="3" t="s">
        <v>9</v>
      </c>
      <c r="C3653" s="20" t="s">
        <v>374</v>
      </c>
      <c r="D3653" s="21"/>
    </row>
    <row r="3654" spans="1:4" ht="12.75" customHeight="1" x14ac:dyDescent="0.2">
      <c r="A3654" s="21"/>
      <c r="B3654" s="3" t="s">
        <v>11</v>
      </c>
      <c r="C3654" s="20" t="s">
        <v>702</v>
      </c>
      <c r="D3654" s="21"/>
    </row>
    <row r="3655" spans="1:4" ht="12.75" customHeight="1" x14ac:dyDescent="0.2">
      <c r="A3655" s="21"/>
      <c r="B3655" s="3" t="s">
        <v>13</v>
      </c>
      <c r="C3655" s="20" t="s">
        <v>24</v>
      </c>
      <c r="D3655" s="21"/>
    </row>
    <row r="3656" spans="1:4" ht="12.75" customHeight="1" x14ac:dyDescent="0.2">
      <c r="A3656" s="21"/>
      <c r="B3656" s="3" t="s">
        <v>15</v>
      </c>
      <c r="C3656" s="20" t="s">
        <v>24</v>
      </c>
      <c r="D3656" s="21"/>
    </row>
    <row r="3657" spans="1:4" ht="12.75" customHeight="1" x14ac:dyDescent="0.2">
      <c r="A3657" s="21"/>
      <c r="B3657" s="3" t="s">
        <v>16</v>
      </c>
      <c r="C3657" s="20"/>
      <c r="D3657" s="21"/>
    </row>
    <row r="3658" spans="1:4" ht="12.75" customHeight="1" x14ac:dyDescent="0.2">
      <c r="A3658" s="21"/>
      <c r="B3658" s="3" t="s">
        <v>17</v>
      </c>
      <c r="C3658" s="20"/>
      <c r="D3658" s="21"/>
    </row>
    <row r="3659" spans="1:4" ht="12.75" customHeight="1" x14ac:dyDescent="0.2">
      <c r="A3659" s="21"/>
      <c r="B3659" s="20" t="s">
        <v>18</v>
      </c>
      <c r="C3659" s="4" t="s">
        <v>57</v>
      </c>
      <c r="D3659" s="6" t="str">
        <f>HYPERLINK("javascript:void(0)","fúrófej")</f>
        <v>fúrófej</v>
      </c>
    </row>
    <row r="3660" spans="1:4" ht="12.75" customHeight="1" x14ac:dyDescent="0.2">
      <c r="A3660" s="21"/>
      <c r="B3660" s="21"/>
      <c r="C3660" s="4" t="s">
        <v>68</v>
      </c>
      <c r="D3660" s="6" t="str">
        <f>HYPERLINK("javascript:void(0)","rúna")</f>
        <v>rúna</v>
      </c>
    </row>
    <row r="3661" spans="1:4" ht="12.75" customHeight="1" x14ac:dyDescent="0.2">
      <c r="A3661" s="21"/>
      <c r="B3661" s="21"/>
      <c r="C3661" s="4" t="s">
        <v>98</v>
      </c>
      <c r="D3661" s="6" t="str">
        <f>HYPERLINK("javascript:void(0)","istenpenge")</f>
        <v>istenpenge</v>
      </c>
    </row>
    <row r="3662" spans="1:4" ht="12.75" customHeight="1" x14ac:dyDescent="0.2">
      <c r="A3662" s="5"/>
      <c r="B3662" s="2"/>
      <c r="C3662" s="2"/>
      <c r="D3662" s="2"/>
    </row>
    <row r="3663" spans="1:4" ht="12.75" customHeight="1" x14ac:dyDescent="0.2">
      <c r="A3663" s="22" t="str">
        <f>HYPERLINK("javascript:void(0)","fejfúró mágusölő")</f>
        <v>fejfúró mágusölő</v>
      </c>
      <c r="B3663" s="21"/>
      <c r="C3663" s="21"/>
      <c r="D3663" s="21"/>
    </row>
    <row r="3664" spans="1:4" ht="12.75" customHeight="1" x14ac:dyDescent="0.2">
      <c r="A3664" s="20"/>
      <c r="B3664" s="2"/>
      <c r="C3664" s="2"/>
      <c r="D3664" s="2"/>
    </row>
    <row r="3665" spans="1:4" ht="12.75" customHeight="1" x14ac:dyDescent="0.2">
      <c r="A3665" s="21"/>
      <c r="B3665" s="3" t="s">
        <v>0</v>
      </c>
      <c r="C3665" s="20" t="s">
        <v>680</v>
      </c>
      <c r="D3665" s="21"/>
    </row>
    <row r="3666" spans="1:4" ht="12.75" customHeight="1" x14ac:dyDescent="0.2">
      <c r="A3666" s="21"/>
      <c r="B3666" s="3" t="s">
        <v>2</v>
      </c>
      <c r="C3666" s="20" t="s">
        <v>1598</v>
      </c>
      <c r="D3666" s="21"/>
    </row>
    <row r="3667" spans="1:4" ht="12.75" customHeight="1" x14ac:dyDescent="0.2">
      <c r="A3667" s="21"/>
      <c r="B3667" s="3" t="s">
        <v>4</v>
      </c>
      <c r="C3667" s="20" t="s">
        <v>2035</v>
      </c>
      <c r="D3667" s="21"/>
    </row>
    <row r="3668" spans="1:4" ht="12.75" customHeight="1" x14ac:dyDescent="0.2">
      <c r="A3668" s="21"/>
      <c r="B3668" s="3" t="s">
        <v>6</v>
      </c>
      <c r="C3668" s="20" t="s">
        <v>48</v>
      </c>
      <c r="D3668" s="21"/>
    </row>
    <row r="3669" spans="1:4" ht="12.75" customHeight="1" x14ac:dyDescent="0.2">
      <c r="A3669" s="21"/>
      <c r="B3669" s="3" t="s">
        <v>8</v>
      </c>
      <c r="C3669" s="20" t="s">
        <v>2035</v>
      </c>
      <c r="D3669" s="21"/>
    </row>
    <row r="3670" spans="1:4" ht="12.75" customHeight="1" x14ac:dyDescent="0.2">
      <c r="A3670" s="21"/>
      <c r="B3670" s="3" t="s">
        <v>9</v>
      </c>
      <c r="C3670" s="20" t="s">
        <v>904</v>
      </c>
      <c r="D3670" s="21"/>
    </row>
    <row r="3671" spans="1:4" ht="12.75" customHeight="1" x14ac:dyDescent="0.2">
      <c r="A3671" s="21"/>
      <c r="B3671" s="3" t="s">
        <v>11</v>
      </c>
      <c r="C3671" s="20" t="s">
        <v>817</v>
      </c>
      <c r="D3671" s="21"/>
    </row>
    <row r="3672" spans="1:4" ht="12.75" customHeight="1" x14ac:dyDescent="0.2">
      <c r="A3672" s="21"/>
      <c r="B3672" s="3" t="s">
        <v>13</v>
      </c>
      <c r="C3672" s="20" t="s">
        <v>14</v>
      </c>
      <c r="D3672" s="21"/>
    </row>
    <row r="3673" spans="1:4" ht="12.75" customHeight="1" x14ac:dyDescent="0.2">
      <c r="A3673" s="21"/>
      <c r="B3673" s="3" t="s">
        <v>15</v>
      </c>
      <c r="C3673" s="20" t="s">
        <v>24</v>
      </c>
      <c r="D3673" s="21"/>
    </row>
    <row r="3674" spans="1:4" ht="12.75" customHeight="1" x14ac:dyDescent="0.2">
      <c r="A3674" s="21"/>
      <c r="B3674" s="3" t="s">
        <v>16</v>
      </c>
      <c r="C3674" s="20"/>
      <c r="D3674" s="21"/>
    </row>
    <row r="3675" spans="1:4" ht="12.75" customHeight="1" x14ac:dyDescent="0.2">
      <c r="A3675" s="21"/>
      <c r="B3675" s="3" t="s">
        <v>17</v>
      </c>
      <c r="C3675" s="20"/>
      <c r="D3675" s="21"/>
    </row>
    <row r="3676" spans="1:4" ht="12.75" customHeight="1" x14ac:dyDescent="0.2">
      <c r="A3676" s="21"/>
      <c r="B3676" s="20" t="s">
        <v>18</v>
      </c>
      <c r="C3676" s="4" t="s">
        <v>68</v>
      </c>
      <c r="D3676" s="6" t="str">
        <f>HYPERLINK("javascript:void(0)","fúrófej")</f>
        <v>fúrófej</v>
      </c>
    </row>
    <row r="3677" spans="1:4" ht="12.75" customHeight="1" x14ac:dyDescent="0.2">
      <c r="A3677" s="21"/>
      <c r="B3677" s="21"/>
      <c r="C3677" s="4" t="s">
        <v>193</v>
      </c>
      <c r="D3677" s="6" t="str">
        <f>HYPERLINK("javascript:void(0)","pamacsprém")</f>
        <v>pamacsprém</v>
      </c>
    </row>
    <row r="3678" spans="1:4" ht="12.75" customHeight="1" x14ac:dyDescent="0.2">
      <c r="A3678" s="21"/>
      <c r="B3678" s="21"/>
      <c r="C3678" s="4" t="s">
        <v>494</v>
      </c>
      <c r="D3678" s="6" t="str">
        <f>HYPERLINK("javascript:void(0)","elemi köpet")</f>
        <v>elemi köpet</v>
      </c>
    </row>
    <row r="3679" spans="1:4" ht="12.75" customHeight="1" x14ac:dyDescent="0.2">
      <c r="A3679" s="5"/>
      <c r="B3679" s="2"/>
      <c r="C3679" s="2"/>
      <c r="D3679" s="2"/>
    </row>
    <row r="3680" spans="1:4" ht="12.75" customHeight="1" x14ac:dyDescent="0.2">
      <c r="A3680" s="22" t="str">
        <f>HYPERLINK("javascript:void(0)","harmatacél borotva")</f>
        <v>harmatacél borotva</v>
      </c>
      <c r="B3680" s="21"/>
      <c r="C3680" s="21"/>
      <c r="D3680" s="21"/>
    </row>
    <row r="3681" spans="1:4" ht="12.75" customHeight="1" x14ac:dyDescent="0.2">
      <c r="A3681" s="20"/>
      <c r="B3681" s="2"/>
      <c r="C3681" s="2"/>
      <c r="D3681" s="2"/>
    </row>
    <row r="3682" spans="1:4" ht="12.75" customHeight="1" x14ac:dyDescent="0.2">
      <c r="A3682" s="21"/>
      <c r="B3682" s="3" t="s">
        <v>0</v>
      </c>
      <c r="C3682" s="20" t="s">
        <v>690</v>
      </c>
      <c r="D3682" s="21"/>
    </row>
    <row r="3683" spans="1:4" ht="12.75" customHeight="1" x14ac:dyDescent="0.2">
      <c r="A3683" s="21"/>
      <c r="B3683" s="3" t="s">
        <v>2</v>
      </c>
      <c r="C3683" s="20" t="s">
        <v>1598</v>
      </c>
      <c r="D3683" s="21"/>
    </row>
    <row r="3684" spans="1:4" ht="12.75" customHeight="1" x14ac:dyDescent="0.2">
      <c r="A3684" s="21"/>
      <c r="B3684" s="3" t="s">
        <v>4</v>
      </c>
      <c r="C3684" s="20" t="s">
        <v>2037</v>
      </c>
      <c r="D3684" s="21"/>
    </row>
    <row r="3685" spans="1:4" ht="12.75" customHeight="1" x14ac:dyDescent="0.2">
      <c r="A3685" s="21"/>
      <c r="B3685" s="3" t="s">
        <v>6</v>
      </c>
      <c r="C3685" s="20" t="s">
        <v>260</v>
      </c>
      <c r="D3685" s="21"/>
    </row>
    <row r="3686" spans="1:4" ht="12.75" customHeight="1" x14ac:dyDescent="0.2">
      <c r="A3686" s="21"/>
      <c r="B3686" s="3" t="s">
        <v>8</v>
      </c>
      <c r="C3686" s="20" t="s">
        <v>2037</v>
      </c>
      <c r="D3686" s="21"/>
    </row>
    <row r="3687" spans="1:4" ht="12.75" customHeight="1" x14ac:dyDescent="0.2">
      <c r="A3687" s="21"/>
      <c r="B3687" s="3" t="s">
        <v>9</v>
      </c>
      <c r="C3687" s="20" t="s">
        <v>137</v>
      </c>
      <c r="D3687" s="21"/>
    </row>
    <row r="3688" spans="1:4" ht="12.75" customHeight="1" x14ac:dyDescent="0.2">
      <c r="A3688" s="21"/>
      <c r="B3688" s="3" t="s">
        <v>11</v>
      </c>
      <c r="C3688" s="20" t="s">
        <v>713</v>
      </c>
      <c r="D3688" s="21"/>
    </row>
    <row r="3689" spans="1:4" ht="12.75" customHeight="1" x14ac:dyDescent="0.2">
      <c r="A3689" s="21"/>
      <c r="B3689" s="3" t="s">
        <v>13</v>
      </c>
      <c r="C3689" s="20" t="s">
        <v>24</v>
      </c>
      <c r="D3689" s="21"/>
    </row>
    <row r="3690" spans="1:4" ht="12.75" customHeight="1" x14ac:dyDescent="0.2">
      <c r="A3690" s="21"/>
      <c r="B3690" s="3" t="s">
        <v>15</v>
      </c>
      <c r="C3690" s="20" t="s">
        <v>24</v>
      </c>
      <c r="D3690" s="21"/>
    </row>
    <row r="3691" spans="1:4" ht="12.75" customHeight="1" x14ac:dyDescent="0.2">
      <c r="A3691" s="21"/>
      <c r="B3691" s="3" t="s">
        <v>16</v>
      </c>
      <c r="C3691" s="20"/>
      <c r="D3691" s="21"/>
    </row>
    <row r="3692" spans="1:4" ht="12.75" customHeight="1" x14ac:dyDescent="0.2">
      <c r="A3692" s="21"/>
      <c r="B3692" s="3" t="s">
        <v>17</v>
      </c>
      <c r="C3692" s="20"/>
      <c r="D3692" s="21"/>
    </row>
    <row r="3693" spans="1:4" ht="12.75" customHeight="1" x14ac:dyDescent="0.2">
      <c r="A3693" s="21"/>
      <c r="B3693" s="20" t="s">
        <v>18</v>
      </c>
      <c r="C3693" s="4" t="s">
        <v>44</v>
      </c>
      <c r="D3693" s="6" t="str">
        <f>HYPERLINK("javascript:void(0)","hypnoacél sarló")</f>
        <v>hypnoacél sarló</v>
      </c>
    </row>
    <row r="3694" spans="1:4" ht="12.75" customHeight="1" x14ac:dyDescent="0.2">
      <c r="A3694" s="21"/>
      <c r="B3694" s="21"/>
      <c r="C3694" s="4" t="s">
        <v>44</v>
      </c>
      <c r="D3694" s="6" t="str">
        <f>HYPERLINK("javascript:void(0)","rúnapallos")</f>
        <v>rúnapallos</v>
      </c>
    </row>
    <row r="3695" spans="1:4" ht="12.75" customHeight="1" x14ac:dyDescent="0.2">
      <c r="A3695" s="21"/>
      <c r="B3695" s="21"/>
      <c r="C3695" s="4" t="s">
        <v>44</v>
      </c>
      <c r="D3695" s="6" t="str">
        <f>HYPERLINK("javascript:void(0)","harmatacél penge")</f>
        <v>harmatacél penge</v>
      </c>
    </row>
    <row r="3696" spans="1:4" ht="12.75" customHeight="1" x14ac:dyDescent="0.2">
      <c r="A3696" s="5"/>
      <c r="B3696" s="2"/>
      <c r="C3696" s="2"/>
      <c r="D3696" s="2"/>
    </row>
    <row r="3697" spans="1:4" ht="12.75" customHeight="1" x14ac:dyDescent="0.2">
      <c r="A3697" s="22" t="str">
        <f>HYPERLINK("javascript:void(0)","prémes gigapallos")</f>
        <v>prémes gigapallos</v>
      </c>
      <c r="B3697" s="21"/>
      <c r="C3697" s="21"/>
      <c r="D3697" s="21"/>
    </row>
    <row r="3698" spans="1:4" ht="12.75" customHeight="1" x14ac:dyDescent="0.2">
      <c r="A3698" s="20"/>
      <c r="B3698" s="2"/>
      <c r="C3698" s="2"/>
      <c r="D3698" s="2"/>
    </row>
    <row r="3699" spans="1:4" ht="12.75" customHeight="1" x14ac:dyDescent="0.2">
      <c r="A3699" s="21"/>
      <c r="B3699" s="3" t="s">
        <v>0</v>
      </c>
      <c r="C3699" s="20" t="s">
        <v>690</v>
      </c>
      <c r="D3699" s="21"/>
    </row>
    <row r="3700" spans="1:4" ht="12.75" customHeight="1" x14ac:dyDescent="0.2">
      <c r="A3700" s="21"/>
      <c r="B3700" s="3" t="s">
        <v>2</v>
      </c>
      <c r="C3700" s="20" t="s">
        <v>1598</v>
      </c>
      <c r="D3700" s="21"/>
    </row>
    <row r="3701" spans="1:4" ht="12.75" customHeight="1" x14ac:dyDescent="0.2">
      <c r="A3701" s="21"/>
      <c r="B3701" s="3" t="s">
        <v>4</v>
      </c>
      <c r="C3701" s="20" t="s">
        <v>2039</v>
      </c>
      <c r="D3701" s="21"/>
    </row>
    <row r="3702" spans="1:4" ht="12.75" customHeight="1" x14ac:dyDescent="0.2">
      <c r="A3702" s="21"/>
      <c r="B3702" s="3" t="s">
        <v>6</v>
      </c>
      <c r="C3702" s="20" t="s">
        <v>107</v>
      </c>
      <c r="D3702" s="21"/>
    </row>
    <row r="3703" spans="1:4" ht="12.75" customHeight="1" x14ac:dyDescent="0.2">
      <c r="A3703" s="21"/>
      <c r="B3703" s="3" t="s">
        <v>8</v>
      </c>
      <c r="C3703" s="20" t="s">
        <v>2039</v>
      </c>
      <c r="D3703" s="21"/>
    </row>
    <row r="3704" spans="1:4" ht="12.75" customHeight="1" x14ac:dyDescent="0.2">
      <c r="A3704" s="21"/>
      <c r="B3704" s="3" t="s">
        <v>9</v>
      </c>
      <c r="C3704" s="20" t="s">
        <v>2040</v>
      </c>
      <c r="D3704" s="21"/>
    </row>
    <row r="3705" spans="1:4" ht="12.75" customHeight="1" x14ac:dyDescent="0.2">
      <c r="A3705" s="21"/>
      <c r="B3705" s="3" t="s">
        <v>11</v>
      </c>
      <c r="C3705" s="20" t="s">
        <v>956</v>
      </c>
      <c r="D3705" s="21"/>
    </row>
    <row r="3706" spans="1:4" ht="12.75" customHeight="1" x14ac:dyDescent="0.2">
      <c r="A3706" s="21"/>
      <c r="B3706" s="3" t="s">
        <v>13</v>
      </c>
      <c r="C3706" s="20" t="s">
        <v>24</v>
      </c>
      <c r="D3706" s="21"/>
    </row>
    <row r="3707" spans="1:4" ht="12.75" customHeight="1" x14ac:dyDescent="0.2">
      <c r="A3707" s="21"/>
      <c r="B3707" s="3" t="s">
        <v>15</v>
      </c>
      <c r="C3707" s="20" t="s">
        <v>24</v>
      </c>
      <c r="D3707" s="21"/>
    </row>
    <row r="3708" spans="1:4" ht="12.75" customHeight="1" x14ac:dyDescent="0.2">
      <c r="A3708" s="21"/>
      <c r="B3708" s="3" t="s">
        <v>16</v>
      </c>
      <c r="C3708" s="20"/>
      <c r="D3708" s="21"/>
    </row>
    <row r="3709" spans="1:4" ht="12.75" customHeight="1" x14ac:dyDescent="0.2">
      <c r="A3709" s="21"/>
      <c r="B3709" s="3" t="s">
        <v>17</v>
      </c>
      <c r="C3709" s="20"/>
      <c r="D3709" s="21"/>
    </row>
    <row r="3710" spans="1:4" ht="12.75" customHeight="1" x14ac:dyDescent="0.2">
      <c r="A3710" s="21"/>
      <c r="B3710" s="20" t="s">
        <v>18</v>
      </c>
      <c r="C3710" s="4" t="s">
        <v>193</v>
      </c>
      <c r="D3710" s="6" t="str">
        <f>HYPERLINK("javascript:void(0)","harmatcsepp")</f>
        <v>harmatcsepp</v>
      </c>
    </row>
    <row r="3711" spans="1:4" ht="12.75" customHeight="1" x14ac:dyDescent="0.2">
      <c r="A3711" s="21"/>
      <c r="B3711" s="21"/>
      <c r="C3711" s="4" t="s">
        <v>163</v>
      </c>
      <c r="D3711" s="6" t="str">
        <f>HYPERLINK("javascript:void(0)","pamacsprém")</f>
        <v>pamacsprém</v>
      </c>
    </row>
    <row r="3712" spans="1:4" ht="12.75" customHeight="1" x14ac:dyDescent="0.2">
      <c r="A3712" s="21"/>
      <c r="B3712" s="21"/>
      <c r="C3712" s="4" t="s">
        <v>139</v>
      </c>
      <c r="D3712" s="6" t="str">
        <f>HYPERLINK("javascript:void(0)","istenpenge")</f>
        <v>istenpenge</v>
      </c>
    </row>
    <row r="3713" spans="1:4" ht="12.75" customHeight="1" x14ac:dyDescent="0.2">
      <c r="A3713" s="5"/>
      <c r="B3713" s="2"/>
      <c r="C3713" s="2"/>
      <c r="D3713" s="2"/>
    </row>
    <row r="3714" spans="1:4" ht="12.75" customHeight="1" x14ac:dyDescent="0.2">
      <c r="A3714" s="22" t="str">
        <f>HYPERLINK("javascript:void(0)","gyíkacél katana")</f>
        <v>gyíkacél katana</v>
      </c>
      <c r="B3714" s="21"/>
      <c r="C3714" s="21"/>
      <c r="D3714" s="21"/>
    </row>
    <row r="3715" spans="1:4" ht="12.75" customHeight="1" x14ac:dyDescent="0.2">
      <c r="A3715" s="20"/>
      <c r="B3715" s="2"/>
      <c r="C3715" s="2"/>
      <c r="D3715" s="2"/>
    </row>
    <row r="3716" spans="1:4" ht="12.75" customHeight="1" x14ac:dyDescent="0.2">
      <c r="A3716" s="21"/>
      <c r="B3716" s="3" t="s">
        <v>0</v>
      </c>
      <c r="C3716" s="20" t="s">
        <v>690</v>
      </c>
      <c r="D3716" s="21"/>
    </row>
    <row r="3717" spans="1:4" ht="12.75" customHeight="1" x14ac:dyDescent="0.2">
      <c r="A3717" s="21"/>
      <c r="B3717" s="3" t="s">
        <v>2</v>
      </c>
      <c r="C3717" s="20" t="s">
        <v>1598</v>
      </c>
      <c r="D3717" s="21"/>
    </row>
    <row r="3718" spans="1:4" ht="12.75" customHeight="1" x14ac:dyDescent="0.2">
      <c r="A3718" s="21"/>
      <c r="B3718" s="3" t="s">
        <v>4</v>
      </c>
      <c r="C3718" s="20" t="s">
        <v>2042</v>
      </c>
      <c r="D3718" s="21"/>
    </row>
    <row r="3719" spans="1:4" ht="12.75" customHeight="1" x14ac:dyDescent="0.2">
      <c r="A3719" s="21"/>
      <c r="B3719" s="3" t="s">
        <v>6</v>
      </c>
      <c r="C3719" s="20" t="s">
        <v>107</v>
      </c>
      <c r="D3719" s="21"/>
    </row>
    <row r="3720" spans="1:4" ht="12.75" customHeight="1" x14ac:dyDescent="0.2">
      <c r="A3720" s="21"/>
      <c r="B3720" s="3" t="s">
        <v>8</v>
      </c>
      <c r="C3720" s="20" t="s">
        <v>2042</v>
      </c>
      <c r="D3720" s="21"/>
    </row>
    <row r="3721" spans="1:4" ht="12.75" customHeight="1" x14ac:dyDescent="0.2">
      <c r="A3721" s="21"/>
      <c r="B3721" s="3" t="s">
        <v>9</v>
      </c>
      <c r="C3721" s="20" t="s">
        <v>2043</v>
      </c>
      <c r="D3721" s="21"/>
    </row>
    <row r="3722" spans="1:4" ht="12.75" customHeight="1" x14ac:dyDescent="0.2">
      <c r="A3722" s="21"/>
      <c r="B3722" s="3" t="s">
        <v>11</v>
      </c>
      <c r="C3722" s="20" t="s">
        <v>609</v>
      </c>
      <c r="D3722" s="21"/>
    </row>
    <row r="3723" spans="1:4" ht="12.75" customHeight="1" x14ac:dyDescent="0.2">
      <c r="A3723" s="21"/>
      <c r="B3723" s="3" t="s">
        <v>13</v>
      </c>
      <c r="C3723" s="20" t="s">
        <v>24</v>
      </c>
      <c r="D3723" s="21"/>
    </row>
    <row r="3724" spans="1:4" ht="12.75" customHeight="1" x14ac:dyDescent="0.2">
      <c r="A3724" s="21"/>
      <c r="B3724" s="3" t="s">
        <v>15</v>
      </c>
      <c r="C3724" s="20" t="s">
        <v>24</v>
      </c>
      <c r="D3724" s="21"/>
    </row>
    <row r="3725" spans="1:4" ht="12.75" customHeight="1" x14ac:dyDescent="0.2">
      <c r="A3725" s="21"/>
      <c r="B3725" s="3" t="s">
        <v>16</v>
      </c>
      <c r="C3725" s="20"/>
      <c r="D3725" s="21"/>
    </row>
    <row r="3726" spans="1:4" ht="12.75" customHeight="1" x14ac:dyDescent="0.2">
      <c r="A3726" s="21"/>
      <c r="B3726" s="3" t="s">
        <v>17</v>
      </c>
      <c r="C3726" s="20"/>
      <c r="D3726" s="21"/>
    </row>
    <row r="3727" spans="1:4" ht="12.75" customHeight="1" x14ac:dyDescent="0.2">
      <c r="A3727" s="21"/>
      <c r="B3727" s="20" t="s">
        <v>18</v>
      </c>
      <c r="C3727" s="4" t="s">
        <v>68</v>
      </c>
      <c r="D3727" s="6" t="str">
        <f>HYPERLINK("javascript:void(0)","extra manaital")</f>
        <v>extra manaital</v>
      </c>
    </row>
    <row r="3728" spans="1:4" ht="12.75" customHeight="1" x14ac:dyDescent="0.2">
      <c r="A3728" s="21"/>
      <c r="B3728" s="21"/>
      <c r="C3728" s="4" t="s">
        <v>280</v>
      </c>
      <c r="D3728" s="6" t="str">
        <f>HYPERLINK("javascript:void(0)","szent szimbólum")</f>
        <v>szent szimbólum</v>
      </c>
    </row>
    <row r="3729" spans="1:4" ht="12.75" customHeight="1" x14ac:dyDescent="0.2">
      <c r="A3729" s="21"/>
      <c r="B3729" s="21"/>
      <c r="C3729" s="4" t="s">
        <v>57</v>
      </c>
      <c r="D3729" s="6" t="str">
        <f>HYPERLINK("javascript:void(0)","hidegige")</f>
        <v>hidegige</v>
      </c>
    </row>
    <row r="3730" spans="1:4" ht="12.75" customHeight="1" x14ac:dyDescent="0.2">
      <c r="A3730" s="5"/>
      <c r="B3730" s="2"/>
      <c r="C3730" s="2"/>
      <c r="D3730" s="2"/>
    </row>
    <row r="3731" spans="1:4" ht="12.75" customHeight="1" x14ac:dyDescent="0.2">
      <c r="A3731" s="22" t="str">
        <f>HYPERLINK("javascript:void(0)","hypnoacél fűrész")</f>
        <v>hypnoacél fűrész</v>
      </c>
      <c r="B3731" s="21"/>
      <c r="C3731" s="21"/>
      <c r="D3731" s="21"/>
    </row>
    <row r="3732" spans="1:4" ht="12.75" customHeight="1" x14ac:dyDescent="0.2">
      <c r="A3732" s="20"/>
      <c r="B3732" s="2"/>
      <c r="C3732" s="2"/>
      <c r="D3732" s="2"/>
    </row>
    <row r="3733" spans="1:4" ht="12.75" customHeight="1" x14ac:dyDescent="0.2">
      <c r="A3733" s="21"/>
      <c r="B3733" s="3" t="s">
        <v>0</v>
      </c>
      <c r="C3733" s="20" t="s">
        <v>699</v>
      </c>
      <c r="D3733" s="21"/>
    </row>
    <row r="3734" spans="1:4" ht="12.75" customHeight="1" x14ac:dyDescent="0.2">
      <c r="A3734" s="21"/>
      <c r="B3734" s="3" t="s">
        <v>2</v>
      </c>
      <c r="C3734" s="20" t="s">
        <v>1598</v>
      </c>
      <c r="D3734" s="21"/>
    </row>
    <row r="3735" spans="1:4" ht="12.75" customHeight="1" x14ac:dyDescent="0.2">
      <c r="A3735" s="21"/>
      <c r="B3735" s="3" t="s">
        <v>4</v>
      </c>
      <c r="C3735" s="20" t="s">
        <v>2044</v>
      </c>
      <c r="D3735" s="21"/>
    </row>
    <row r="3736" spans="1:4" ht="12.75" customHeight="1" x14ac:dyDescent="0.2">
      <c r="A3736" s="21"/>
      <c r="B3736" s="3" t="s">
        <v>6</v>
      </c>
      <c r="C3736" s="20" t="s">
        <v>206</v>
      </c>
      <c r="D3736" s="21"/>
    </row>
    <row r="3737" spans="1:4" ht="12.75" customHeight="1" x14ac:dyDescent="0.2">
      <c r="A3737" s="21"/>
      <c r="B3737" s="3" t="s">
        <v>8</v>
      </c>
      <c r="C3737" s="20" t="s">
        <v>2044</v>
      </c>
      <c r="D3737" s="21"/>
    </row>
    <row r="3738" spans="1:4" ht="12.75" customHeight="1" x14ac:dyDescent="0.2">
      <c r="A3738" s="21"/>
      <c r="B3738" s="3" t="s">
        <v>9</v>
      </c>
      <c r="C3738" s="20" t="s">
        <v>172</v>
      </c>
      <c r="D3738" s="21"/>
    </row>
    <row r="3739" spans="1:4" ht="12.75" customHeight="1" x14ac:dyDescent="0.2">
      <c r="A3739" s="21"/>
      <c r="B3739" s="3" t="s">
        <v>11</v>
      </c>
      <c r="C3739" s="20" t="s">
        <v>722</v>
      </c>
      <c r="D3739" s="21"/>
    </row>
    <row r="3740" spans="1:4" ht="12.75" customHeight="1" x14ac:dyDescent="0.2">
      <c r="A3740" s="21"/>
      <c r="B3740" s="3" t="s">
        <v>13</v>
      </c>
      <c r="C3740" s="20" t="s">
        <v>24</v>
      </c>
      <c r="D3740" s="21"/>
    </row>
    <row r="3741" spans="1:4" ht="12.75" customHeight="1" x14ac:dyDescent="0.2">
      <c r="A3741" s="21"/>
      <c r="B3741" s="3" t="s">
        <v>15</v>
      </c>
      <c r="C3741" s="20" t="s">
        <v>24</v>
      </c>
      <c r="D3741" s="21"/>
    </row>
    <row r="3742" spans="1:4" ht="12.75" customHeight="1" x14ac:dyDescent="0.2">
      <c r="A3742" s="21"/>
      <c r="B3742" s="3" t="s">
        <v>16</v>
      </c>
      <c r="C3742" s="20"/>
      <c r="D3742" s="21"/>
    </row>
    <row r="3743" spans="1:4" ht="12.75" customHeight="1" x14ac:dyDescent="0.2">
      <c r="A3743" s="21"/>
      <c r="B3743" s="3" t="s">
        <v>17</v>
      </c>
      <c r="C3743" s="20"/>
      <c r="D3743" s="21"/>
    </row>
    <row r="3744" spans="1:4" ht="12.75" customHeight="1" x14ac:dyDescent="0.2">
      <c r="A3744" s="21"/>
      <c r="B3744" s="20" t="s">
        <v>18</v>
      </c>
      <c r="C3744" s="4" t="s">
        <v>44</v>
      </c>
      <c r="D3744" s="6" t="str">
        <f>HYPERLINK("javascript:void(0)","harmatacél borotva")</f>
        <v>harmatacél borotva</v>
      </c>
    </row>
    <row r="3745" spans="1:4" ht="12.75" customHeight="1" x14ac:dyDescent="0.2">
      <c r="A3745" s="21"/>
      <c r="B3745" s="21"/>
      <c r="C3745" s="4" t="s">
        <v>67</v>
      </c>
      <c r="D3745" s="6" t="str">
        <f>HYPERLINK("javascript:void(0)","fűrészfog")</f>
        <v>fűrészfog</v>
      </c>
    </row>
    <row r="3746" spans="1:4" ht="12.75" customHeight="1" x14ac:dyDescent="0.2">
      <c r="A3746" s="21"/>
      <c r="B3746" s="21"/>
      <c r="C3746" s="4" t="s">
        <v>117</v>
      </c>
      <c r="D3746" s="6" t="str">
        <f>HYPERLINK("javascript:void(0)","hypnogén")</f>
        <v>hypnogén</v>
      </c>
    </row>
    <row r="3747" spans="1:4" ht="12.75" customHeight="1" x14ac:dyDescent="0.2">
      <c r="A3747" s="5"/>
      <c r="B3747" s="2"/>
      <c r="C3747" s="2"/>
      <c r="D3747" s="2"/>
    </row>
    <row r="3748" spans="1:4" ht="12.75" customHeight="1" x14ac:dyDescent="0.2">
      <c r="A3748" s="22" t="str">
        <f>HYPERLINK("javascript:void(0)","harmatacél mágusölő")</f>
        <v>harmatacél mágusölő</v>
      </c>
      <c r="B3748" s="21"/>
      <c r="C3748" s="21"/>
      <c r="D3748" s="21"/>
    </row>
    <row r="3749" spans="1:4" ht="12.75" customHeight="1" x14ac:dyDescent="0.2">
      <c r="A3749" s="20"/>
      <c r="B3749" s="2"/>
      <c r="C3749" s="2"/>
      <c r="D3749" s="2"/>
    </row>
    <row r="3750" spans="1:4" ht="12.75" customHeight="1" x14ac:dyDescent="0.2">
      <c r="A3750" s="21"/>
      <c r="B3750" s="3" t="s">
        <v>0</v>
      </c>
      <c r="C3750" s="20" t="s">
        <v>699</v>
      </c>
      <c r="D3750" s="21"/>
    </row>
    <row r="3751" spans="1:4" ht="12.75" customHeight="1" x14ac:dyDescent="0.2">
      <c r="A3751" s="21"/>
      <c r="B3751" s="3" t="s">
        <v>2</v>
      </c>
      <c r="C3751" s="20" t="s">
        <v>1598</v>
      </c>
      <c r="D3751" s="21"/>
    </row>
    <row r="3752" spans="1:4" ht="12.75" customHeight="1" x14ac:dyDescent="0.2">
      <c r="A3752" s="21"/>
      <c r="B3752" s="3" t="s">
        <v>4</v>
      </c>
      <c r="C3752" s="20" t="s">
        <v>2046</v>
      </c>
      <c r="D3752" s="21"/>
    </row>
    <row r="3753" spans="1:4" ht="12.75" customHeight="1" x14ac:dyDescent="0.2">
      <c r="A3753" s="21"/>
      <c r="B3753" s="3" t="s">
        <v>6</v>
      </c>
      <c r="C3753" s="20" t="s">
        <v>48</v>
      </c>
      <c r="D3753" s="21"/>
    </row>
    <row r="3754" spans="1:4" ht="12.75" customHeight="1" x14ac:dyDescent="0.2">
      <c r="A3754" s="21"/>
      <c r="B3754" s="3" t="s">
        <v>8</v>
      </c>
      <c r="C3754" s="20" t="s">
        <v>2046</v>
      </c>
      <c r="D3754" s="21"/>
    </row>
    <row r="3755" spans="1:4" ht="12.75" customHeight="1" x14ac:dyDescent="0.2">
      <c r="A3755" s="21"/>
      <c r="B3755" s="3" t="s">
        <v>9</v>
      </c>
      <c r="C3755" s="20" t="s">
        <v>1949</v>
      </c>
      <c r="D3755" s="21"/>
    </row>
    <row r="3756" spans="1:4" ht="12.75" customHeight="1" x14ac:dyDescent="0.2">
      <c r="A3756" s="21"/>
      <c r="B3756" s="3" t="s">
        <v>11</v>
      </c>
      <c r="C3756" s="20" t="s">
        <v>856</v>
      </c>
      <c r="D3756" s="21"/>
    </row>
    <row r="3757" spans="1:4" ht="12.75" customHeight="1" x14ac:dyDescent="0.2">
      <c r="A3757" s="21"/>
      <c r="B3757" s="3" t="s">
        <v>13</v>
      </c>
      <c r="C3757" s="20" t="s">
        <v>14</v>
      </c>
      <c r="D3757" s="21"/>
    </row>
    <row r="3758" spans="1:4" ht="12.75" customHeight="1" x14ac:dyDescent="0.2">
      <c r="A3758" s="21"/>
      <c r="B3758" s="3" t="s">
        <v>15</v>
      </c>
      <c r="C3758" s="20" t="s">
        <v>24</v>
      </c>
      <c r="D3758" s="21"/>
    </row>
    <row r="3759" spans="1:4" ht="12.75" customHeight="1" x14ac:dyDescent="0.2">
      <c r="A3759" s="21"/>
      <c r="B3759" s="3" t="s">
        <v>16</v>
      </c>
      <c r="C3759" s="20"/>
      <c r="D3759" s="21"/>
    </row>
    <row r="3760" spans="1:4" ht="12.75" customHeight="1" x14ac:dyDescent="0.2">
      <c r="A3760" s="21"/>
      <c r="B3760" s="3" t="s">
        <v>17</v>
      </c>
      <c r="C3760" s="20"/>
      <c r="D3760" s="21"/>
    </row>
    <row r="3761" spans="1:4" ht="12.75" customHeight="1" x14ac:dyDescent="0.2">
      <c r="A3761" s="21"/>
      <c r="B3761" s="20" t="s">
        <v>18</v>
      </c>
      <c r="C3761" s="4" t="s">
        <v>163</v>
      </c>
      <c r="D3761" s="6" t="str">
        <f>HYPERLINK("javascript:void(0)","fűrészfog")</f>
        <v>fűrészfog</v>
      </c>
    </row>
    <row r="3762" spans="1:4" ht="12.75" customHeight="1" x14ac:dyDescent="0.2">
      <c r="A3762" s="21"/>
      <c r="B3762" s="21"/>
      <c r="C3762" s="4" t="s">
        <v>163</v>
      </c>
      <c r="D3762" s="6" t="str">
        <f>HYPERLINK("javascript:void(0)","harmatcsepp")</f>
        <v>harmatcsepp</v>
      </c>
    </row>
    <row r="3763" spans="1:4" ht="12.75" customHeight="1" x14ac:dyDescent="0.2">
      <c r="A3763" s="21"/>
      <c r="B3763" s="21"/>
      <c r="C3763" s="4" t="s">
        <v>382</v>
      </c>
      <c r="D3763" s="6" t="str">
        <f>HYPERLINK("javascript:void(0)","elemi köpet")</f>
        <v>elemi köpet</v>
      </c>
    </row>
    <row r="3764" spans="1:4" ht="12.75" customHeight="1" x14ac:dyDescent="0.2">
      <c r="A3764" s="5"/>
      <c r="B3764" s="2"/>
      <c r="C3764" s="2"/>
      <c r="D3764" s="2"/>
    </row>
    <row r="3765" spans="1:4" ht="12.75" customHeight="1" x14ac:dyDescent="0.2">
      <c r="A3765" s="22" t="str">
        <f>HYPERLINK("javascript:void(0)","fókaszigony")</f>
        <v>fókaszigony</v>
      </c>
      <c r="B3765" s="21"/>
      <c r="C3765" s="21"/>
      <c r="D3765" s="21"/>
    </row>
    <row r="3766" spans="1:4" ht="12.75" customHeight="1" x14ac:dyDescent="0.2">
      <c r="A3766" s="20"/>
      <c r="B3766" s="2"/>
      <c r="C3766" s="2"/>
      <c r="D3766" s="2"/>
    </row>
    <row r="3767" spans="1:4" ht="12.75" customHeight="1" x14ac:dyDescent="0.2">
      <c r="A3767" s="21"/>
      <c r="B3767" s="3" t="s">
        <v>0</v>
      </c>
      <c r="C3767" s="20" t="s">
        <v>709</v>
      </c>
      <c r="D3767" s="21"/>
    </row>
    <row r="3768" spans="1:4" ht="12.75" customHeight="1" x14ac:dyDescent="0.2">
      <c r="A3768" s="21"/>
      <c r="B3768" s="3" t="s">
        <v>2</v>
      </c>
      <c r="C3768" s="20" t="s">
        <v>1598</v>
      </c>
      <c r="D3768" s="21"/>
    </row>
    <row r="3769" spans="1:4" ht="12.75" customHeight="1" x14ac:dyDescent="0.2">
      <c r="A3769" s="21"/>
      <c r="B3769" s="3" t="s">
        <v>4</v>
      </c>
      <c r="C3769" s="20" t="s">
        <v>2047</v>
      </c>
      <c r="D3769" s="21"/>
    </row>
    <row r="3770" spans="1:4" ht="12.75" customHeight="1" x14ac:dyDescent="0.2">
      <c r="A3770" s="21"/>
      <c r="B3770" s="3" t="s">
        <v>6</v>
      </c>
      <c r="C3770" s="20" t="s">
        <v>284</v>
      </c>
      <c r="D3770" s="21"/>
    </row>
    <row r="3771" spans="1:4" ht="12.75" customHeight="1" x14ac:dyDescent="0.2">
      <c r="A3771" s="21"/>
      <c r="B3771" s="3" t="s">
        <v>8</v>
      </c>
      <c r="C3771" s="20" t="s">
        <v>2047</v>
      </c>
      <c r="D3771" s="21"/>
    </row>
    <row r="3772" spans="1:4" ht="12.75" customHeight="1" x14ac:dyDescent="0.2">
      <c r="A3772" s="21"/>
      <c r="B3772" s="3" t="s">
        <v>9</v>
      </c>
      <c r="C3772" s="20" t="s">
        <v>2048</v>
      </c>
      <c r="D3772" s="21"/>
    </row>
    <row r="3773" spans="1:4" ht="12.75" customHeight="1" x14ac:dyDescent="0.2">
      <c r="A3773" s="21"/>
      <c r="B3773" s="3" t="s">
        <v>11</v>
      </c>
      <c r="C3773" s="20" t="s">
        <v>731</v>
      </c>
      <c r="D3773" s="21"/>
    </row>
    <row r="3774" spans="1:4" ht="12.75" customHeight="1" x14ac:dyDescent="0.2">
      <c r="A3774" s="21"/>
      <c r="B3774" s="3" t="s">
        <v>13</v>
      </c>
      <c r="C3774" s="20" t="s">
        <v>24</v>
      </c>
      <c r="D3774" s="21"/>
    </row>
    <row r="3775" spans="1:4" ht="12.75" customHeight="1" x14ac:dyDescent="0.2">
      <c r="A3775" s="21"/>
      <c r="B3775" s="3" t="s">
        <v>15</v>
      </c>
      <c r="C3775" s="20" t="s">
        <v>24</v>
      </c>
      <c r="D3775" s="21"/>
    </row>
    <row r="3776" spans="1:4" ht="12.75" customHeight="1" x14ac:dyDescent="0.2">
      <c r="A3776" s="21"/>
      <c r="B3776" s="3" t="s">
        <v>16</v>
      </c>
      <c r="C3776" s="20"/>
      <c r="D3776" s="21"/>
    </row>
    <row r="3777" spans="1:4" ht="12.75" customHeight="1" x14ac:dyDescent="0.2">
      <c r="A3777" s="21"/>
      <c r="B3777" s="3" t="s">
        <v>17</v>
      </c>
      <c r="C3777" s="20"/>
      <c r="D3777" s="21"/>
    </row>
    <row r="3778" spans="1:4" ht="12.75" customHeight="1" x14ac:dyDescent="0.2">
      <c r="A3778" s="21"/>
      <c r="B3778" s="20" t="s">
        <v>18</v>
      </c>
      <c r="C3778" s="4" t="s">
        <v>57</v>
      </c>
      <c r="D3778" s="6" t="str">
        <f>HYPERLINK("javascript:void(0)","fókaprém")</f>
        <v>fókaprém</v>
      </c>
    </row>
    <row r="3779" spans="1:4" ht="12.75" customHeight="1" x14ac:dyDescent="0.2">
      <c r="A3779" s="21"/>
      <c r="B3779" s="21"/>
      <c r="C3779" s="4" t="s">
        <v>68</v>
      </c>
      <c r="D3779" s="6" t="str">
        <f>HYPERLINK("javascript:void(0)","fúrófej")</f>
        <v>fúrófej</v>
      </c>
    </row>
    <row r="3780" spans="1:4" ht="12.75" customHeight="1" x14ac:dyDescent="0.2">
      <c r="A3780" s="21"/>
      <c r="B3780" s="21"/>
      <c r="C3780" s="4" t="s">
        <v>494</v>
      </c>
      <c r="D3780" s="6" t="str">
        <f>HYPERLINK("javascript:void(0)","horog")</f>
        <v>horog</v>
      </c>
    </row>
    <row r="3781" spans="1:4" ht="12.75" customHeight="1" x14ac:dyDescent="0.2">
      <c r="A3781" s="5"/>
      <c r="B3781" s="2"/>
      <c r="C3781" s="2"/>
      <c r="D3781" s="2"/>
    </row>
    <row r="3782" spans="1:4" ht="12.75" customHeight="1" x14ac:dyDescent="0.2">
      <c r="A3782" s="22" t="str">
        <f>HYPERLINK("javascript:void(0)","harmatacél gigapallos")</f>
        <v>harmatacél gigapallos</v>
      </c>
      <c r="B3782" s="21"/>
      <c r="C3782" s="21"/>
      <c r="D3782" s="21"/>
    </row>
    <row r="3783" spans="1:4" ht="12.75" customHeight="1" x14ac:dyDescent="0.2">
      <c r="A3783" s="20"/>
      <c r="B3783" s="2"/>
      <c r="C3783" s="2"/>
      <c r="D3783" s="2"/>
    </row>
    <row r="3784" spans="1:4" ht="12.75" customHeight="1" x14ac:dyDescent="0.2">
      <c r="A3784" s="21"/>
      <c r="B3784" s="3" t="s">
        <v>0</v>
      </c>
      <c r="C3784" s="20" t="s">
        <v>709</v>
      </c>
      <c r="D3784" s="21"/>
    </row>
    <row r="3785" spans="1:4" ht="12.75" customHeight="1" x14ac:dyDescent="0.2">
      <c r="A3785" s="21"/>
      <c r="B3785" s="3" t="s">
        <v>2</v>
      </c>
      <c r="C3785" s="20" t="s">
        <v>1598</v>
      </c>
      <c r="D3785" s="21"/>
    </row>
    <row r="3786" spans="1:4" ht="12.75" customHeight="1" x14ac:dyDescent="0.2">
      <c r="A3786" s="21"/>
      <c r="B3786" s="3" t="s">
        <v>4</v>
      </c>
      <c r="C3786" s="20" t="s">
        <v>2051</v>
      </c>
      <c r="D3786" s="21"/>
    </row>
    <row r="3787" spans="1:4" ht="12.75" customHeight="1" x14ac:dyDescent="0.2">
      <c r="A3787" s="21"/>
      <c r="B3787" s="3" t="s">
        <v>6</v>
      </c>
      <c r="C3787" s="20" t="s">
        <v>284</v>
      </c>
      <c r="D3787" s="21"/>
    </row>
    <row r="3788" spans="1:4" ht="12.75" customHeight="1" x14ac:dyDescent="0.2">
      <c r="A3788" s="21"/>
      <c r="B3788" s="3" t="s">
        <v>8</v>
      </c>
      <c r="C3788" s="20" t="s">
        <v>2051</v>
      </c>
      <c r="D3788" s="21"/>
    </row>
    <row r="3789" spans="1:4" ht="12.75" customHeight="1" x14ac:dyDescent="0.2">
      <c r="A3789" s="21"/>
      <c r="B3789" s="3" t="s">
        <v>9</v>
      </c>
      <c r="C3789" s="20" t="s">
        <v>2052</v>
      </c>
      <c r="D3789" s="21"/>
    </row>
    <row r="3790" spans="1:4" ht="12.75" customHeight="1" x14ac:dyDescent="0.2">
      <c r="A3790" s="21"/>
      <c r="B3790" s="3" t="s">
        <v>11</v>
      </c>
      <c r="C3790" s="20" t="s">
        <v>993</v>
      </c>
      <c r="D3790" s="21"/>
    </row>
    <row r="3791" spans="1:4" ht="12.75" customHeight="1" x14ac:dyDescent="0.2">
      <c r="A3791" s="21"/>
      <c r="B3791" s="3" t="s">
        <v>13</v>
      </c>
      <c r="C3791" s="20" t="s">
        <v>24</v>
      </c>
      <c r="D3791" s="21"/>
    </row>
    <row r="3792" spans="1:4" ht="12.75" customHeight="1" x14ac:dyDescent="0.2">
      <c r="A3792" s="21"/>
      <c r="B3792" s="3" t="s">
        <v>15</v>
      </c>
      <c r="C3792" s="20" t="s">
        <v>24</v>
      </c>
      <c r="D3792" s="21"/>
    </row>
    <row r="3793" spans="1:4" ht="12.75" customHeight="1" x14ac:dyDescent="0.2">
      <c r="A3793" s="21"/>
      <c r="B3793" s="3" t="s">
        <v>16</v>
      </c>
      <c r="C3793" s="20"/>
      <c r="D3793" s="21"/>
    </row>
    <row r="3794" spans="1:4" ht="12.75" customHeight="1" x14ac:dyDescent="0.2">
      <c r="A3794" s="21"/>
      <c r="B3794" s="3" t="s">
        <v>17</v>
      </c>
      <c r="C3794" s="20"/>
      <c r="D3794" s="21"/>
    </row>
    <row r="3795" spans="1:4" ht="12.75" customHeight="1" x14ac:dyDescent="0.2">
      <c r="A3795" s="21"/>
      <c r="B3795" s="20" t="s">
        <v>18</v>
      </c>
      <c r="C3795" s="4" t="s">
        <v>68</v>
      </c>
      <c r="D3795" s="6" t="str">
        <f>HYPERLINK("javascript:void(0)","fókaprém")</f>
        <v>fókaprém</v>
      </c>
    </row>
    <row r="3796" spans="1:4" ht="12.75" customHeight="1" x14ac:dyDescent="0.2">
      <c r="A3796" s="21"/>
      <c r="B3796" s="21"/>
      <c r="C3796" s="4" t="s">
        <v>280</v>
      </c>
      <c r="D3796" s="6" t="str">
        <f>HYPERLINK("javascript:void(0)","harmatcsepp")</f>
        <v>harmatcsepp</v>
      </c>
    </row>
    <row r="3797" spans="1:4" ht="12.75" customHeight="1" x14ac:dyDescent="0.2">
      <c r="A3797" s="21"/>
      <c r="B3797" s="21"/>
      <c r="C3797" s="4" t="s">
        <v>98</v>
      </c>
      <c r="D3797" s="6" t="str">
        <f>HYPERLINK("javascript:void(0)","zselatin")</f>
        <v>zselatin</v>
      </c>
    </row>
    <row r="3798" spans="1:4" ht="12.75" customHeight="1" x14ac:dyDescent="0.2">
      <c r="A3798" s="5"/>
      <c r="B3798" s="2"/>
      <c r="C3798" s="2"/>
      <c r="D3798" s="2"/>
    </row>
    <row r="3799" spans="1:4" ht="12.75" customHeight="1" x14ac:dyDescent="0.2">
      <c r="A3799" s="22" t="str">
        <f>HYPERLINK("javascript:void(0)","gyíkacél horoló")</f>
        <v>gyíkacél horoló</v>
      </c>
      <c r="B3799" s="21"/>
      <c r="C3799" s="21"/>
      <c r="D3799" s="21"/>
    </row>
    <row r="3800" spans="1:4" ht="12.75" customHeight="1" x14ac:dyDescent="0.2">
      <c r="A3800" s="20"/>
      <c r="B3800" s="2"/>
      <c r="C3800" s="2"/>
      <c r="D3800" s="2"/>
    </row>
    <row r="3801" spans="1:4" ht="12.75" customHeight="1" x14ac:dyDescent="0.2">
      <c r="A3801" s="21"/>
      <c r="B3801" s="3" t="s">
        <v>0</v>
      </c>
      <c r="C3801" s="20" t="s">
        <v>709</v>
      </c>
      <c r="D3801" s="21"/>
    </row>
    <row r="3802" spans="1:4" ht="12.75" customHeight="1" x14ac:dyDescent="0.2">
      <c r="A3802" s="21"/>
      <c r="B3802" s="3" t="s">
        <v>2</v>
      </c>
      <c r="C3802" s="20" t="s">
        <v>1598</v>
      </c>
      <c r="D3802" s="21"/>
    </row>
    <row r="3803" spans="1:4" ht="12.75" customHeight="1" x14ac:dyDescent="0.2">
      <c r="A3803" s="21"/>
      <c r="B3803" s="3" t="s">
        <v>4</v>
      </c>
      <c r="C3803" s="20" t="s">
        <v>2053</v>
      </c>
      <c r="D3803" s="21"/>
    </row>
    <row r="3804" spans="1:4" ht="12.75" customHeight="1" x14ac:dyDescent="0.2">
      <c r="A3804" s="21"/>
      <c r="B3804" s="3" t="s">
        <v>6</v>
      </c>
      <c r="C3804" s="20" t="s">
        <v>107</v>
      </c>
      <c r="D3804" s="21"/>
    </row>
    <row r="3805" spans="1:4" ht="12.75" customHeight="1" x14ac:dyDescent="0.2">
      <c r="A3805" s="21"/>
      <c r="B3805" s="3" t="s">
        <v>8</v>
      </c>
      <c r="C3805" s="20" t="s">
        <v>2053</v>
      </c>
      <c r="D3805" s="21"/>
    </row>
    <row r="3806" spans="1:4" ht="12.75" customHeight="1" x14ac:dyDescent="0.2">
      <c r="A3806" s="21"/>
      <c r="B3806" s="3" t="s">
        <v>9</v>
      </c>
      <c r="C3806" s="20" t="s">
        <v>2054</v>
      </c>
      <c r="D3806" s="21"/>
    </row>
    <row r="3807" spans="1:4" ht="12.75" customHeight="1" x14ac:dyDescent="0.2">
      <c r="A3807" s="21"/>
      <c r="B3807" s="3" t="s">
        <v>11</v>
      </c>
      <c r="C3807" s="20" t="s">
        <v>631</v>
      </c>
      <c r="D3807" s="21"/>
    </row>
    <row r="3808" spans="1:4" ht="12.75" customHeight="1" x14ac:dyDescent="0.2">
      <c r="A3808" s="21"/>
      <c r="B3808" s="3" t="s">
        <v>13</v>
      </c>
      <c r="C3808" s="20" t="s">
        <v>24</v>
      </c>
      <c r="D3808" s="21"/>
    </row>
    <row r="3809" spans="1:4" ht="12.75" customHeight="1" x14ac:dyDescent="0.2">
      <c r="A3809" s="21"/>
      <c r="B3809" s="3" t="s">
        <v>15</v>
      </c>
      <c r="C3809" s="20" t="s">
        <v>24</v>
      </c>
      <c r="D3809" s="21"/>
    </row>
    <row r="3810" spans="1:4" ht="12.75" customHeight="1" x14ac:dyDescent="0.2">
      <c r="A3810" s="21"/>
      <c r="B3810" s="3" t="s">
        <v>16</v>
      </c>
      <c r="C3810" s="20"/>
      <c r="D3810" s="21"/>
    </row>
    <row r="3811" spans="1:4" ht="12.75" customHeight="1" x14ac:dyDescent="0.2">
      <c r="A3811" s="21"/>
      <c r="B3811" s="3" t="s">
        <v>17</v>
      </c>
      <c r="C3811" s="20"/>
      <c r="D3811" s="21"/>
    </row>
    <row r="3812" spans="1:4" ht="12.75" customHeight="1" x14ac:dyDescent="0.2">
      <c r="A3812" s="21"/>
      <c r="B3812" s="20" t="s">
        <v>18</v>
      </c>
      <c r="C3812" s="4" t="s">
        <v>67</v>
      </c>
      <c r="D3812" s="6" t="str">
        <f>HYPERLINK("javascript:void(0)","gyémántkarika")</f>
        <v>gyémántkarika</v>
      </c>
    </row>
    <row r="3813" spans="1:4" ht="12.75" customHeight="1" x14ac:dyDescent="0.2">
      <c r="A3813" s="21"/>
      <c r="B3813" s="21"/>
      <c r="C3813" s="4" t="s">
        <v>280</v>
      </c>
      <c r="D3813" s="6" t="str">
        <f>HYPERLINK("javascript:void(0)","szent szimbólum")</f>
        <v>szent szimbólum</v>
      </c>
    </row>
    <row r="3814" spans="1:4" ht="12.75" customHeight="1" x14ac:dyDescent="0.2">
      <c r="A3814" s="21"/>
      <c r="B3814" s="21"/>
      <c r="C3814" s="4" t="s">
        <v>139</v>
      </c>
      <c r="D3814" s="6" t="str">
        <f>HYPERLINK("javascript:void(0)","spiritusz")</f>
        <v>spiritusz</v>
      </c>
    </row>
    <row r="3815" spans="1:4" ht="12.75" customHeight="1" x14ac:dyDescent="0.2">
      <c r="A3815" s="5"/>
      <c r="B3815" s="2"/>
      <c r="C3815" s="2"/>
      <c r="D3815" s="2"/>
    </row>
    <row r="3816" spans="1:4" ht="12.75" customHeight="1" x14ac:dyDescent="0.2">
      <c r="A3816" s="22" t="str">
        <f>HYPERLINK("javascript:void(0)","fejező lemez")</f>
        <v>fejező lemez</v>
      </c>
      <c r="B3816" s="21"/>
      <c r="C3816" s="21"/>
      <c r="D3816" s="21"/>
    </row>
    <row r="3817" spans="1:4" ht="12.75" customHeight="1" x14ac:dyDescent="0.2">
      <c r="A3817" s="20"/>
      <c r="B3817" s="2"/>
      <c r="C3817" s="2"/>
      <c r="D3817" s="2"/>
    </row>
    <row r="3818" spans="1:4" ht="12.75" customHeight="1" x14ac:dyDescent="0.2">
      <c r="A3818" s="21"/>
      <c r="B3818" s="3" t="s">
        <v>0</v>
      </c>
      <c r="C3818" s="20" t="s">
        <v>719</v>
      </c>
      <c r="D3818" s="21"/>
    </row>
    <row r="3819" spans="1:4" ht="12.75" customHeight="1" x14ac:dyDescent="0.2">
      <c r="A3819" s="21"/>
      <c r="B3819" s="3" t="s">
        <v>2</v>
      </c>
      <c r="C3819" s="20" t="s">
        <v>1598</v>
      </c>
      <c r="D3819" s="21"/>
    </row>
    <row r="3820" spans="1:4" ht="12.75" customHeight="1" x14ac:dyDescent="0.2">
      <c r="A3820" s="21"/>
      <c r="B3820" s="3" t="s">
        <v>4</v>
      </c>
      <c r="C3820" s="20" t="s">
        <v>2057</v>
      </c>
      <c r="D3820" s="21"/>
    </row>
    <row r="3821" spans="1:4" ht="12.75" customHeight="1" x14ac:dyDescent="0.2">
      <c r="A3821" s="21"/>
      <c r="B3821" s="3" t="s">
        <v>6</v>
      </c>
      <c r="C3821" s="20" t="s">
        <v>392</v>
      </c>
      <c r="D3821" s="21"/>
    </row>
    <row r="3822" spans="1:4" ht="12.75" customHeight="1" x14ac:dyDescent="0.2">
      <c r="A3822" s="21"/>
      <c r="B3822" s="3" t="s">
        <v>8</v>
      </c>
      <c r="C3822" s="20" t="s">
        <v>2057</v>
      </c>
      <c r="D3822" s="21"/>
    </row>
    <row r="3823" spans="1:4" ht="12.75" customHeight="1" x14ac:dyDescent="0.2">
      <c r="A3823" s="21"/>
      <c r="B3823" s="3" t="s">
        <v>9</v>
      </c>
      <c r="C3823" s="20" t="s">
        <v>1104</v>
      </c>
      <c r="D3823" s="21"/>
    </row>
    <row r="3824" spans="1:4" ht="12.75" customHeight="1" x14ac:dyDescent="0.2">
      <c r="A3824" s="21"/>
      <c r="B3824" s="3" t="s">
        <v>11</v>
      </c>
      <c r="C3824" s="20" t="s">
        <v>739</v>
      </c>
      <c r="D3824" s="21"/>
    </row>
    <row r="3825" spans="1:4" ht="12.75" customHeight="1" x14ac:dyDescent="0.2">
      <c r="A3825" s="21"/>
      <c r="B3825" s="3" t="s">
        <v>13</v>
      </c>
      <c r="C3825" s="20" t="s">
        <v>24</v>
      </c>
      <c r="D3825" s="21"/>
    </row>
    <row r="3826" spans="1:4" ht="12.75" customHeight="1" x14ac:dyDescent="0.2">
      <c r="A3826" s="21"/>
      <c r="B3826" s="3" t="s">
        <v>15</v>
      </c>
      <c r="C3826" s="20" t="s">
        <v>24</v>
      </c>
      <c r="D3826" s="21"/>
    </row>
    <row r="3827" spans="1:4" ht="12.75" customHeight="1" x14ac:dyDescent="0.2">
      <c r="A3827" s="21"/>
      <c r="B3827" s="3" t="s">
        <v>16</v>
      </c>
      <c r="C3827" s="20"/>
      <c r="D3827" s="21"/>
    </row>
    <row r="3828" spans="1:4" ht="12.75" customHeight="1" x14ac:dyDescent="0.2">
      <c r="A3828" s="21"/>
      <c r="B3828" s="3" t="s">
        <v>17</v>
      </c>
      <c r="C3828" s="20"/>
      <c r="D3828" s="21"/>
    </row>
    <row r="3829" spans="1:4" ht="12.75" customHeight="1" x14ac:dyDescent="0.2">
      <c r="A3829" s="21"/>
      <c r="B3829" s="20" t="s">
        <v>18</v>
      </c>
      <c r="C3829" s="4" t="s">
        <v>44</v>
      </c>
      <c r="D3829" s="6" t="str">
        <f>HYPERLINK("javascript:void(0)","hypnoacél fűrész")</f>
        <v>hypnoacél fűrész</v>
      </c>
    </row>
    <row r="3830" spans="1:4" ht="12.75" customHeight="1" x14ac:dyDescent="0.2">
      <c r="A3830" s="21"/>
      <c r="B3830" s="21"/>
      <c r="C3830" s="4" t="s">
        <v>44</v>
      </c>
      <c r="D3830" s="6" t="str">
        <f>HYPERLINK("javascript:void(0)","fókaszigony")</f>
        <v>fókaszigony</v>
      </c>
    </row>
    <row r="3831" spans="1:4" ht="12.75" customHeight="1" x14ac:dyDescent="0.2">
      <c r="A3831" s="21"/>
      <c r="B3831" s="21"/>
      <c r="C3831" s="4" t="s">
        <v>44</v>
      </c>
      <c r="D3831" s="6" t="str">
        <f>HYPERLINK("javascript:void(0)","lemezpenge")</f>
        <v>lemezpenge</v>
      </c>
    </row>
    <row r="3832" spans="1:4" ht="12.75" customHeight="1" x14ac:dyDescent="0.2">
      <c r="A3832" s="5"/>
      <c r="B3832" s="2"/>
      <c r="C3832" s="2"/>
      <c r="D3832" s="2"/>
    </row>
    <row r="3833" spans="1:4" ht="12.75" customHeight="1" x14ac:dyDescent="0.2">
      <c r="A3833" s="22" t="str">
        <f>HYPERLINK("javascript:void(0)","fejező mágusölő")</f>
        <v>fejező mágusölő</v>
      </c>
      <c r="B3833" s="21"/>
      <c r="C3833" s="21"/>
      <c r="D3833" s="21"/>
    </row>
    <row r="3834" spans="1:4" ht="12.75" customHeight="1" x14ac:dyDescent="0.2">
      <c r="A3834" s="20"/>
      <c r="B3834" s="2"/>
      <c r="C3834" s="2"/>
      <c r="D3834" s="2"/>
    </row>
    <row r="3835" spans="1:4" ht="12.75" customHeight="1" x14ac:dyDescent="0.2">
      <c r="A3835" s="21"/>
      <c r="B3835" s="3" t="s">
        <v>0</v>
      </c>
      <c r="C3835" s="20" t="s">
        <v>719</v>
      </c>
      <c r="D3835" s="21"/>
    </row>
    <row r="3836" spans="1:4" ht="12.75" customHeight="1" x14ac:dyDescent="0.2">
      <c r="A3836" s="21"/>
      <c r="B3836" s="3" t="s">
        <v>2</v>
      </c>
      <c r="C3836" s="20" t="s">
        <v>1598</v>
      </c>
      <c r="D3836" s="21"/>
    </row>
    <row r="3837" spans="1:4" ht="12.75" customHeight="1" x14ac:dyDescent="0.2">
      <c r="A3837" s="21"/>
      <c r="B3837" s="3" t="s">
        <v>4</v>
      </c>
      <c r="C3837" s="20" t="s">
        <v>725</v>
      </c>
      <c r="D3837" s="21"/>
    </row>
    <row r="3838" spans="1:4" ht="12.75" customHeight="1" x14ac:dyDescent="0.2">
      <c r="A3838" s="21"/>
      <c r="B3838" s="3" t="s">
        <v>6</v>
      </c>
      <c r="C3838" s="20" t="s">
        <v>48</v>
      </c>
      <c r="D3838" s="21"/>
    </row>
    <row r="3839" spans="1:4" ht="12.75" customHeight="1" x14ac:dyDescent="0.2">
      <c r="A3839" s="21"/>
      <c r="B3839" s="3" t="s">
        <v>8</v>
      </c>
      <c r="C3839" s="20" t="s">
        <v>725</v>
      </c>
      <c r="D3839" s="21"/>
    </row>
    <row r="3840" spans="1:4" ht="12.75" customHeight="1" x14ac:dyDescent="0.2">
      <c r="A3840" s="21"/>
      <c r="B3840" s="3" t="s">
        <v>9</v>
      </c>
      <c r="C3840" s="20" t="s">
        <v>931</v>
      </c>
      <c r="D3840" s="21"/>
    </row>
    <row r="3841" spans="1:4" ht="12.75" customHeight="1" x14ac:dyDescent="0.2">
      <c r="A3841" s="21"/>
      <c r="B3841" s="3" t="s">
        <v>11</v>
      </c>
      <c r="C3841" s="20" t="s">
        <v>901</v>
      </c>
      <c r="D3841" s="21"/>
    </row>
    <row r="3842" spans="1:4" ht="12.75" customHeight="1" x14ac:dyDescent="0.2">
      <c r="A3842" s="21"/>
      <c r="B3842" s="3" t="s">
        <v>13</v>
      </c>
      <c r="C3842" s="20" t="s">
        <v>14</v>
      </c>
      <c r="D3842" s="21"/>
    </row>
    <row r="3843" spans="1:4" ht="12.75" customHeight="1" x14ac:dyDescent="0.2">
      <c r="A3843" s="21"/>
      <c r="B3843" s="3" t="s">
        <v>15</v>
      </c>
      <c r="C3843" s="20" t="s">
        <v>24</v>
      </c>
      <c r="D3843" s="21"/>
    </row>
    <row r="3844" spans="1:4" ht="12.75" customHeight="1" x14ac:dyDescent="0.2">
      <c r="A3844" s="21"/>
      <c r="B3844" s="3" t="s">
        <v>16</v>
      </c>
      <c r="C3844" s="20"/>
      <c r="D3844" s="21"/>
    </row>
    <row r="3845" spans="1:4" ht="12.75" customHeight="1" x14ac:dyDescent="0.2">
      <c r="A3845" s="21"/>
      <c r="B3845" s="3" t="s">
        <v>17</v>
      </c>
      <c r="C3845" s="20"/>
      <c r="D3845" s="21"/>
    </row>
    <row r="3846" spans="1:4" ht="12.75" customHeight="1" x14ac:dyDescent="0.2">
      <c r="A3846" s="21"/>
      <c r="B3846" s="20" t="s">
        <v>18</v>
      </c>
      <c r="C3846" s="4" t="s">
        <v>68</v>
      </c>
      <c r="D3846" s="6" t="str">
        <f>HYPERLINK("javascript:void(0)","teleportige")</f>
        <v>teleportige</v>
      </c>
    </row>
    <row r="3847" spans="1:4" ht="12.75" customHeight="1" x14ac:dyDescent="0.2">
      <c r="A3847" s="21"/>
      <c r="B3847" s="21"/>
      <c r="C3847" s="4" t="s">
        <v>117</v>
      </c>
      <c r="D3847" s="6" t="str">
        <f>HYPERLINK("javascript:void(0)","tincs")</f>
        <v>tincs</v>
      </c>
    </row>
    <row r="3848" spans="1:4" ht="12.75" customHeight="1" x14ac:dyDescent="0.2">
      <c r="A3848" s="21"/>
      <c r="B3848" s="21"/>
      <c r="C3848" s="4" t="s">
        <v>163</v>
      </c>
      <c r="D3848" s="6" t="str">
        <f>HYPERLINK("javascript:void(0)","pamacsprém")</f>
        <v>pamacsprém</v>
      </c>
    </row>
    <row r="3849" spans="1:4" ht="12.75" customHeight="1" x14ac:dyDescent="0.2">
      <c r="A3849" s="5"/>
      <c r="B3849" s="2"/>
      <c r="C3849" s="2"/>
      <c r="D3849" s="2"/>
    </row>
    <row r="3850" spans="1:4" ht="12.75" customHeight="1" x14ac:dyDescent="0.2">
      <c r="A3850" s="22" t="str">
        <f>HYPERLINK("javascript:void(0)","szabo-kasza")</f>
        <v>szabo-kasza</v>
      </c>
      <c r="B3850" s="21"/>
      <c r="C3850" s="21"/>
      <c r="D3850" s="21"/>
    </row>
    <row r="3851" spans="1:4" ht="12.75" customHeight="1" x14ac:dyDescent="0.2">
      <c r="A3851" s="20"/>
      <c r="B3851" s="2"/>
      <c r="C3851" s="2"/>
      <c r="D3851" s="2"/>
    </row>
    <row r="3852" spans="1:4" ht="12.75" customHeight="1" x14ac:dyDescent="0.2">
      <c r="A3852" s="21"/>
      <c r="B3852" s="3" t="s">
        <v>0</v>
      </c>
      <c r="C3852" s="20" t="s">
        <v>728</v>
      </c>
      <c r="D3852" s="21"/>
    </row>
    <row r="3853" spans="1:4" ht="12.75" customHeight="1" x14ac:dyDescent="0.2">
      <c r="A3853" s="21"/>
      <c r="B3853" s="3" t="s">
        <v>2</v>
      </c>
      <c r="C3853" s="20" t="s">
        <v>1598</v>
      </c>
      <c r="D3853" s="21"/>
    </row>
    <row r="3854" spans="1:4" ht="12.75" customHeight="1" x14ac:dyDescent="0.2">
      <c r="A3854" s="21"/>
      <c r="B3854" s="3" t="s">
        <v>4</v>
      </c>
      <c r="C3854" s="20" t="s">
        <v>2061</v>
      </c>
      <c r="D3854" s="21"/>
    </row>
    <row r="3855" spans="1:4" ht="12.75" customHeight="1" x14ac:dyDescent="0.2">
      <c r="A3855" s="21"/>
      <c r="B3855" s="3" t="s">
        <v>6</v>
      </c>
      <c r="C3855" s="20" t="s">
        <v>115</v>
      </c>
      <c r="D3855" s="21"/>
    </row>
    <row r="3856" spans="1:4" ht="12.75" customHeight="1" x14ac:dyDescent="0.2">
      <c r="A3856" s="21"/>
      <c r="B3856" s="3" t="s">
        <v>8</v>
      </c>
      <c r="C3856" s="20" t="s">
        <v>2061</v>
      </c>
      <c r="D3856" s="21"/>
    </row>
    <row r="3857" spans="1:4" ht="12.75" customHeight="1" x14ac:dyDescent="0.2">
      <c r="A3857" s="21"/>
      <c r="B3857" s="3" t="s">
        <v>9</v>
      </c>
      <c r="C3857" s="20" t="s">
        <v>812</v>
      </c>
      <c r="D3857" s="21"/>
    </row>
    <row r="3858" spans="1:4" ht="12.75" customHeight="1" x14ac:dyDescent="0.2">
      <c r="A3858" s="21"/>
      <c r="B3858" s="3" t="s">
        <v>11</v>
      </c>
      <c r="C3858" s="20" t="s">
        <v>745</v>
      </c>
      <c r="D3858" s="21"/>
    </row>
    <row r="3859" spans="1:4" ht="12.75" customHeight="1" x14ac:dyDescent="0.2">
      <c r="A3859" s="21"/>
      <c r="B3859" s="3" t="s">
        <v>13</v>
      </c>
      <c r="C3859" s="20" t="s">
        <v>24</v>
      </c>
      <c r="D3859" s="21"/>
    </row>
    <row r="3860" spans="1:4" ht="12.75" customHeight="1" x14ac:dyDescent="0.2">
      <c r="A3860" s="21"/>
      <c r="B3860" s="3" t="s">
        <v>15</v>
      </c>
      <c r="C3860" s="20" t="s">
        <v>24</v>
      </c>
      <c r="D3860" s="21"/>
    </row>
    <row r="3861" spans="1:4" ht="12.75" customHeight="1" x14ac:dyDescent="0.2">
      <c r="A3861" s="21"/>
      <c r="B3861" s="3" t="s">
        <v>16</v>
      </c>
      <c r="C3861" s="20"/>
      <c r="D3861" s="21"/>
    </row>
    <row r="3862" spans="1:4" ht="12.75" customHeight="1" x14ac:dyDescent="0.2">
      <c r="A3862" s="21"/>
      <c r="B3862" s="3" t="s">
        <v>17</v>
      </c>
      <c r="C3862" s="20"/>
      <c r="D3862" s="21"/>
    </row>
    <row r="3863" spans="1:4" ht="12.75" customHeight="1" x14ac:dyDescent="0.2">
      <c r="A3863" s="21"/>
      <c r="B3863" s="20" t="s">
        <v>18</v>
      </c>
      <c r="C3863" s="4" t="s">
        <v>44</v>
      </c>
      <c r="D3863" s="6" t="str">
        <f>HYPERLINK("javascript:void(0)","fejező lemez")</f>
        <v>fejező lemez</v>
      </c>
    </row>
    <row r="3864" spans="1:4" ht="12.75" customHeight="1" x14ac:dyDescent="0.2">
      <c r="A3864" s="21"/>
      <c r="B3864" s="21"/>
      <c r="C3864" s="4" t="s">
        <v>56</v>
      </c>
      <c r="D3864" s="6" t="str">
        <f>HYPERLINK("javascript:void(0)","szabo-penge")</f>
        <v>szabo-penge</v>
      </c>
    </row>
    <row r="3865" spans="1:4" ht="12.75" customHeight="1" x14ac:dyDescent="0.2">
      <c r="A3865" s="21"/>
      <c r="B3865" s="21"/>
      <c r="C3865" s="4" t="s">
        <v>163</v>
      </c>
      <c r="D3865" s="6" t="str">
        <f>HYPERLINK("javascript:void(0)","fűrészfog")</f>
        <v>fűrészfog</v>
      </c>
    </row>
    <row r="3866" spans="1:4" ht="12.75" customHeight="1" x14ac:dyDescent="0.2">
      <c r="A3866" s="5"/>
      <c r="B3866" s="2"/>
      <c r="C3866" s="2"/>
      <c r="D3866" s="2"/>
    </row>
    <row r="3867" spans="1:4" ht="12.75" customHeight="1" x14ac:dyDescent="0.2">
      <c r="A3867" s="22" t="str">
        <f>HYPERLINK("javascript:void(0)","szabo-gigapallos")</f>
        <v>szabo-gigapallos</v>
      </c>
      <c r="B3867" s="21"/>
      <c r="C3867" s="21"/>
      <c r="D3867" s="21"/>
    </row>
    <row r="3868" spans="1:4" ht="12.75" customHeight="1" x14ac:dyDescent="0.2">
      <c r="A3868" s="20"/>
      <c r="B3868" s="2"/>
      <c r="C3868" s="2"/>
      <c r="D3868" s="2"/>
    </row>
    <row r="3869" spans="1:4" ht="12.75" customHeight="1" x14ac:dyDescent="0.2">
      <c r="A3869" s="21"/>
      <c r="B3869" s="3" t="s">
        <v>0</v>
      </c>
      <c r="C3869" s="20" t="s">
        <v>728</v>
      </c>
      <c r="D3869" s="21"/>
    </row>
    <row r="3870" spans="1:4" ht="12.75" customHeight="1" x14ac:dyDescent="0.2">
      <c r="A3870" s="21"/>
      <c r="B3870" s="3" t="s">
        <v>2</v>
      </c>
      <c r="C3870" s="20" t="s">
        <v>1598</v>
      </c>
      <c r="D3870" s="21"/>
    </row>
    <row r="3871" spans="1:4" ht="12.75" customHeight="1" x14ac:dyDescent="0.2">
      <c r="A3871" s="21"/>
      <c r="B3871" s="3" t="s">
        <v>4</v>
      </c>
      <c r="C3871" s="20" t="s">
        <v>2065</v>
      </c>
      <c r="D3871" s="21"/>
    </row>
    <row r="3872" spans="1:4" ht="12.75" customHeight="1" x14ac:dyDescent="0.2">
      <c r="A3872" s="21"/>
      <c r="B3872" s="3" t="s">
        <v>6</v>
      </c>
      <c r="C3872" s="20" t="s">
        <v>52</v>
      </c>
      <c r="D3872" s="21"/>
    </row>
    <row r="3873" spans="1:4" ht="12.75" customHeight="1" x14ac:dyDescent="0.2">
      <c r="A3873" s="21"/>
      <c r="B3873" s="3" t="s">
        <v>8</v>
      </c>
      <c r="C3873" s="20" t="s">
        <v>2065</v>
      </c>
      <c r="D3873" s="21"/>
    </row>
    <row r="3874" spans="1:4" ht="12.75" customHeight="1" x14ac:dyDescent="0.2">
      <c r="A3874" s="21"/>
      <c r="B3874" s="3" t="s">
        <v>9</v>
      </c>
      <c r="C3874" s="20" t="s">
        <v>2066</v>
      </c>
      <c r="D3874" s="21"/>
    </row>
    <row r="3875" spans="1:4" ht="12.75" customHeight="1" x14ac:dyDescent="0.2">
      <c r="A3875" s="21"/>
      <c r="B3875" s="3" t="s">
        <v>11</v>
      </c>
      <c r="C3875" s="20" t="s">
        <v>1035</v>
      </c>
      <c r="D3875" s="21"/>
    </row>
    <row r="3876" spans="1:4" ht="12.75" customHeight="1" x14ac:dyDescent="0.2">
      <c r="A3876" s="21"/>
      <c r="B3876" s="3" t="s">
        <v>13</v>
      </c>
      <c r="C3876" s="20" t="s">
        <v>24</v>
      </c>
      <c r="D3876" s="21"/>
    </row>
    <row r="3877" spans="1:4" ht="12.75" customHeight="1" x14ac:dyDescent="0.2">
      <c r="A3877" s="21"/>
      <c r="B3877" s="3" t="s">
        <v>15</v>
      </c>
      <c r="C3877" s="20" t="s">
        <v>24</v>
      </c>
      <c r="D3877" s="21"/>
    </row>
    <row r="3878" spans="1:4" ht="12.75" customHeight="1" x14ac:dyDescent="0.2">
      <c r="A3878" s="21"/>
      <c r="B3878" s="3" t="s">
        <v>16</v>
      </c>
      <c r="C3878" s="20"/>
      <c r="D3878" s="21"/>
    </row>
    <row r="3879" spans="1:4" ht="12.75" customHeight="1" x14ac:dyDescent="0.2">
      <c r="A3879" s="21"/>
      <c r="B3879" s="3" t="s">
        <v>17</v>
      </c>
      <c r="C3879" s="20"/>
      <c r="D3879" s="21"/>
    </row>
    <row r="3880" spans="1:4" ht="12.75" customHeight="1" x14ac:dyDescent="0.2">
      <c r="A3880" s="21"/>
      <c r="B3880" s="20" t="s">
        <v>18</v>
      </c>
      <c r="C3880" s="4" t="s">
        <v>68</v>
      </c>
      <c r="D3880" s="6" t="str">
        <f>HYPERLINK("javascript:void(0)","szabo-penge")</f>
        <v>szabo-penge</v>
      </c>
    </row>
    <row r="3881" spans="1:4" ht="12.75" customHeight="1" x14ac:dyDescent="0.2">
      <c r="A3881" s="21"/>
      <c r="B3881" s="21"/>
      <c r="C3881" s="4" t="s">
        <v>382</v>
      </c>
      <c r="D3881" s="6" t="str">
        <f>HYPERLINK("javascript:void(0)","fűrészfog")</f>
        <v>fűrészfog</v>
      </c>
    </row>
    <row r="3882" spans="1:4" ht="12.75" customHeight="1" x14ac:dyDescent="0.2">
      <c r="A3882" s="21"/>
      <c r="B3882" s="21"/>
      <c r="C3882" s="4" t="s">
        <v>280</v>
      </c>
      <c r="D3882" s="6" t="str">
        <f>HYPERLINK("javascript:void(0)","medúza csáp")</f>
        <v>medúza csáp</v>
      </c>
    </row>
    <row r="3883" spans="1:4" ht="12.75" customHeight="1" x14ac:dyDescent="0.2">
      <c r="A3883" s="5"/>
      <c r="B3883" s="2"/>
      <c r="C3883" s="2"/>
      <c r="D3883" s="2"/>
    </row>
    <row r="3884" spans="1:4" ht="12.75" customHeight="1" x14ac:dyDescent="0.2">
      <c r="A3884" s="22" t="str">
        <f>HYPERLINK("javascript:void(0)","gyíkacél szike")</f>
        <v>gyíkacél szike</v>
      </c>
      <c r="B3884" s="21"/>
      <c r="C3884" s="21"/>
      <c r="D3884" s="21"/>
    </row>
    <row r="3885" spans="1:4" ht="12.75" customHeight="1" x14ac:dyDescent="0.2">
      <c r="A3885" s="20"/>
      <c r="B3885" s="2"/>
      <c r="C3885" s="2"/>
      <c r="D3885" s="2"/>
    </row>
    <row r="3886" spans="1:4" ht="12.75" customHeight="1" x14ac:dyDescent="0.2">
      <c r="A3886" s="21"/>
      <c r="B3886" s="3" t="s">
        <v>0</v>
      </c>
      <c r="C3886" s="20" t="s">
        <v>728</v>
      </c>
      <c r="D3886" s="21"/>
    </row>
    <row r="3887" spans="1:4" ht="12.75" customHeight="1" x14ac:dyDescent="0.2">
      <c r="A3887" s="21"/>
      <c r="B3887" s="3" t="s">
        <v>2</v>
      </c>
      <c r="C3887" s="20" t="s">
        <v>1598</v>
      </c>
      <c r="D3887" s="21"/>
    </row>
    <row r="3888" spans="1:4" ht="12.75" customHeight="1" x14ac:dyDescent="0.2">
      <c r="A3888" s="21"/>
      <c r="B3888" s="3" t="s">
        <v>4</v>
      </c>
      <c r="C3888" s="20" t="s">
        <v>2067</v>
      </c>
      <c r="D3888" s="21"/>
    </row>
    <row r="3889" spans="1:4" ht="12.75" customHeight="1" x14ac:dyDescent="0.2">
      <c r="A3889" s="21"/>
      <c r="B3889" s="3" t="s">
        <v>6</v>
      </c>
      <c r="C3889" s="20" t="s">
        <v>107</v>
      </c>
      <c r="D3889" s="21"/>
    </row>
    <row r="3890" spans="1:4" ht="12.75" customHeight="1" x14ac:dyDescent="0.2">
      <c r="A3890" s="21"/>
      <c r="B3890" s="3" t="s">
        <v>8</v>
      </c>
      <c r="C3890" s="20" t="s">
        <v>2067</v>
      </c>
      <c r="D3890" s="21"/>
    </row>
    <row r="3891" spans="1:4" ht="12.75" customHeight="1" x14ac:dyDescent="0.2">
      <c r="A3891" s="21"/>
      <c r="B3891" s="3" t="s">
        <v>9</v>
      </c>
      <c r="C3891" s="20" t="s">
        <v>1631</v>
      </c>
      <c r="D3891" s="21"/>
    </row>
    <row r="3892" spans="1:4" ht="12.75" customHeight="1" x14ac:dyDescent="0.2">
      <c r="A3892" s="21"/>
      <c r="B3892" s="3" t="s">
        <v>11</v>
      </c>
      <c r="C3892" s="20" t="s">
        <v>649</v>
      </c>
      <c r="D3892" s="21"/>
    </row>
    <row r="3893" spans="1:4" ht="12.75" customHeight="1" x14ac:dyDescent="0.2">
      <c r="A3893" s="21"/>
      <c r="B3893" s="3" t="s">
        <v>13</v>
      </c>
      <c r="C3893" s="20" t="s">
        <v>24</v>
      </c>
      <c r="D3893" s="21"/>
    </row>
    <row r="3894" spans="1:4" ht="12.75" customHeight="1" x14ac:dyDescent="0.2">
      <c r="A3894" s="21"/>
      <c r="B3894" s="3" t="s">
        <v>15</v>
      </c>
      <c r="C3894" s="20" t="s">
        <v>24</v>
      </c>
      <c r="D3894" s="21"/>
    </row>
    <row r="3895" spans="1:4" ht="12.75" customHeight="1" x14ac:dyDescent="0.2">
      <c r="A3895" s="21"/>
      <c r="B3895" s="3" t="s">
        <v>16</v>
      </c>
      <c r="C3895" s="20"/>
      <c r="D3895" s="21"/>
    </row>
    <row r="3896" spans="1:4" ht="12.75" customHeight="1" x14ac:dyDescent="0.2">
      <c r="A3896" s="21"/>
      <c r="B3896" s="3" t="s">
        <v>17</v>
      </c>
      <c r="C3896" s="20"/>
      <c r="D3896" s="21"/>
    </row>
    <row r="3897" spans="1:4" ht="12.75" customHeight="1" x14ac:dyDescent="0.2">
      <c r="A3897" s="21"/>
      <c r="B3897" s="20" t="s">
        <v>18</v>
      </c>
      <c r="C3897" s="4" t="s">
        <v>139</v>
      </c>
      <c r="D3897" s="6" t="str">
        <f>HYPERLINK("javascript:void(0)","gyémántkarika")</f>
        <v>gyémántkarika</v>
      </c>
    </row>
    <row r="3898" spans="1:4" ht="12.75" customHeight="1" x14ac:dyDescent="0.2">
      <c r="A3898" s="21"/>
      <c r="B3898" s="21"/>
      <c r="C3898" s="4" t="s">
        <v>280</v>
      </c>
      <c r="D3898" s="6" t="str">
        <f>HYPERLINK("javascript:void(0)","szent szimbólum")</f>
        <v>szent szimbólum</v>
      </c>
    </row>
    <row r="3899" spans="1:4" ht="12.75" customHeight="1" x14ac:dyDescent="0.2">
      <c r="A3899" s="21"/>
      <c r="B3899" s="21"/>
      <c r="C3899" s="4" t="s">
        <v>193</v>
      </c>
      <c r="D3899" s="6" t="str">
        <f>HYPERLINK("javascript:void(0)","nekroige")</f>
        <v>nekroige</v>
      </c>
    </row>
    <row r="3900" spans="1:4" ht="12.75" customHeight="1" x14ac:dyDescent="0.2">
      <c r="A3900" s="5"/>
      <c r="B3900" s="2"/>
      <c r="C3900" s="2"/>
      <c r="D3900" s="2"/>
    </row>
    <row r="3901" spans="1:4" ht="12.75" customHeight="1" x14ac:dyDescent="0.2">
      <c r="A3901" s="22" t="str">
        <f>HYPERLINK("javascript:void(0)","hátszarv tőr")</f>
        <v>hátszarv tőr</v>
      </c>
      <c r="B3901" s="21"/>
      <c r="C3901" s="21"/>
      <c r="D3901" s="21"/>
    </row>
    <row r="3902" spans="1:4" ht="12.75" customHeight="1" x14ac:dyDescent="0.2">
      <c r="A3902" s="20"/>
      <c r="B3902" s="2"/>
      <c r="C3902" s="2"/>
      <c r="D3902" s="2"/>
    </row>
    <row r="3903" spans="1:4" ht="12.75" customHeight="1" x14ac:dyDescent="0.2">
      <c r="A3903" s="21"/>
      <c r="B3903" s="3" t="s">
        <v>0</v>
      </c>
      <c r="C3903" s="20" t="s">
        <v>78</v>
      </c>
      <c r="D3903" s="21"/>
    </row>
    <row r="3904" spans="1:4" ht="12.75" customHeight="1" x14ac:dyDescent="0.2">
      <c r="A3904" s="21"/>
      <c r="B3904" s="3" t="s">
        <v>2</v>
      </c>
      <c r="C3904" s="20" t="s">
        <v>1598</v>
      </c>
      <c r="D3904" s="21"/>
    </row>
    <row r="3905" spans="1:4" ht="12.75" customHeight="1" x14ac:dyDescent="0.2">
      <c r="A3905" s="21"/>
      <c r="B3905" s="3" t="s">
        <v>4</v>
      </c>
      <c r="C3905" s="20" t="s">
        <v>2068</v>
      </c>
      <c r="D3905" s="21"/>
    </row>
    <row r="3906" spans="1:4" ht="12.75" customHeight="1" x14ac:dyDescent="0.2">
      <c r="A3906" s="21"/>
      <c r="B3906" s="3" t="s">
        <v>6</v>
      </c>
      <c r="C3906" s="20" t="s">
        <v>284</v>
      </c>
      <c r="D3906" s="21"/>
    </row>
    <row r="3907" spans="1:4" ht="12.75" customHeight="1" x14ac:dyDescent="0.2">
      <c r="A3907" s="21"/>
      <c r="B3907" s="3" t="s">
        <v>8</v>
      </c>
      <c r="C3907" s="20" t="s">
        <v>2068</v>
      </c>
      <c r="D3907" s="21"/>
    </row>
    <row r="3908" spans="1:4" ht="12.75" customHeight="1" x14ac:dyDescent="0.2">
      <c r="A3908" s="21"/>
      <c r="B3908" s="3" t="s">
        <v>9</v>
      </c>
      <c r="C3908" s="20" t="s">
        <v>1044</v>
      </c>
      <c r="D3908" s="21"/>
    </row>
    <row r="3909" spans="1:4" ht="12.75" customHeight="1" x14ac:dyDescent="0.2">
      <c r="A3909" s="21"/>
      <c r="B3909" s="3" t="s">
        <v>11</v>
      </c>
      <c r="C3909" s="20" t="s">
        <v>754</v>
      </c>
      <c r="D3909" s="21"/>
    </row>
    <row r="3910" spans="1:4" ht="12.75" customHeight="1" x14ac:dyDescent="0.2">
      <c r="A3910" s="21"/>
      <c r="B3910" s="3" t="s">
        <v>13</v>
      </c>
      <c r="C3910" s="20" t="s">
        <v>24</v>
      </c>
      <c r="D3910" s="21"/>
    </row>
    <row r="3911" spans="1:4" ht="12.75" customHeight="1" x14ac:dyDescent="0.2">
      <c r="A3911" s="21"/>
      <c r="B3911" s="3" t="s">
        <v>15</v>
      </c>
      <c r="C3911" s="20" t="s">
        <v>24</v>
      </c>
      <c r="D3911" s="21"/>
    </row>
    <row r="3912" spans="1:4" ht="12.75" customHeight="1" x14ac:dyDescent="0.2">
      <c r="A3912" s="21"/>
      <c r="B3912" s="3" t="s">
        <v>16</v>
      </c>
      <c r="C3912" s="20"/>
      <c r="D3912" s="21"/>
    </row>
    <row r="3913" spans="1:4" ht="12.75" customHeight="1" x14ac:dyDescent="0.2">
      <c r="A3913" s="21"/>
      <c r="B3913" s="3" t="s">
        <v>17</v>
      </c>
      <c r="C3913" s="20"/>
      <c r="D3913" s="21"/>
    </row>
    <row r="3914" spans="1:4" ht="12.75" customHeight="1" x14ac:dyDescent="0.2">
      <c r="A3914" s="21"/>
      <c r="B3914" s="20" t="s">
        <v>18</v>
      </c>
      <c r="C3914" s="4" t="s">
        <v>57</v>
      </c>
      <c r="D3914" s="6" t="str">
        <f>HYPERLINK("javascript:void(0)","hátszarv")</f>
        <v>hátszarv</v>
      </c>
    </row>
    <row r="3915" spans="1:4" ht="12.75" customHeight="1" x14ac:dyDescent="0.2">
      <c r="A3915" s="21"/>
      <c r="B3915" s="21"/>
      <c r="C3915" s="4" t="s">
        <v>68</v>
      </c>
      <c r="D3915" s="6" t="str">
        <f>HYPERLINK("javascript:void(0)","szivárványszív")</f>
        <v>szivárványszív</v>
      </c>
    </row>
    <row r="3916" spans="1:4" ht="12.75" customHeight="1" x14ac:dyDescent="0.2">
      <c r="A3916" s="21"/>
      <c r="B3916" s="21"/>
      <c r="C3916" s="4" t="s">
        <v>130</v>
      </c>
      <c r="D3916" s="6" t="str">
        <f>HYPERLINK("javascript:void(0)","elemi köpet")</f>
        <v>elemi köpet</v>
      </c>
    </row>
    <row r="3917" spans="1:4" ht="12.75" customHeight="1" x14ac:dyDescent="0.2">
      <c r="A3917" s="5"/>
      <c r="B3917" s="2"/>
      <c r="C3917" s="2"/>
      <c r="D3917" s="2"/>
    </row>
    <row r="3918" spans="1:4" ht="12.75" customHeight="1" x14ac:dyDescent="0.2">
      <c r="A3918" s="22" t="str">
        <f>HYPERLINK("javascript:void(0)","éjsötét mágusölő")</f>
        <v>éjsötét mágusölő</v>
      </c>
      <c r="B3918" s="21"/>
      <c r="C3918" s="21"/>
      <c r="D3918" s="21"/>
    </row>
    <row r="3919" spans="1:4" ht="12.75" customHeight="1" x14ac:dyDescent="0.2">
      <c r="A3919" s="20"/>
      <c r="B3919" s="2"/>
      <c r="C3919" s="2"/>
      <c r="D3919" s="2"/>
    </row>
    <row r="3920" spans="1:4" ht="12.75" customHeight="1" x14ac:dyDescent="0.2">
      <c r="A3920" s="21"/>
      <c r="B3920" s="3" t="s">
        <v>0</v>
      </c>
      <c r="C3920" s="20" t="s">
        <v>78</v>
      </c>
      <c r="D3920" s="21"/>
    </row>
    <row r="3921" spans="1:4" ht="12.75" customHeight="1" x14ac:dyDescent="0.2">
      <c r="A3921" s="21"/>
      <c r="B3921" s="3" t="s">
        <v>2</v>
      </c>
      <c r="C3921" s="20" t="s">
        <v>1598</v>
      </c>
      <c r="D3921" s="21"/>
    </row>
    <row r="3922" spans="1:4" ht="12.75" customHeight="1" x14ac:dyDescent="0.2">
      <c r="A3922" s="21"/>
      <c r="B3922" s="3" t="s">
        <v>4</v>
      </c>
      <c r="C3922" s="20" t="s">
        <v>741</v>
      </c>
      <c r="D3922" s="21"/>
    </row>
    <row r="3923" spans="1:4" ht="12.75" customHeight="1" x14ac:dyDescent="0.2">
      <c r="A3923" s="21"/>
      <c r="B3923" s="3" t="s">
        <v>6</v>
      </c>
      <c r="C3923" s="20" t="s">
        <v>48</v>
      </c>
      <c r="D3923" s="21"/>
    </row>
    <row r="3924" spans="1:4" ht="12.75" customHeight="1" x14ac:dyDescent="0.2">
      <c r="A3924" s="21"/>
      <c r="B3924" s="3" t="s">
        <v>8</v>
      </c>
      <c r="C3924" s="20" t="s">
        <v>741</v>
      </c>
      <c r="D3924" s="21"/>
    </row>
    <row r="3925" spans="1:4" ht="12.75" customHeight="1" x14ac:dyDescent="0.2">
      <c r="A3925" s="21"/>
      <c r="B3925" s="3" t="s">
        <v>9</v>
      </c>
      <c r="C3925" s="20" t="s">
        <v>1960</v>
      </c>
      <c r="D3925" s="21"/>
    </row>
    <row r="3926" spans="1:4" ht="12.75" customHeight="1" x14ac:dyDescent="0.2">
      <c r="A3926" s="21"/>
      <c r="B3926" s="3" t="s">
        <v>11</v>
      </c>
      <c r="C3926" s="20" t="s">
        <v>939</v>
      </c>
      <c r="D3926" s="21"/>
    </row>
    <row r="3927" spans="1:4" ht="12.75" customHeight="1" x14ac:dyDescent="0.2">
      <c r="A3927" s="21"/>
      <c r="B3927" s="3" t="s">
        <v>13</v>
      </c>
      <c r="C3927" s="20" t="s">
        <v>14</v>
      </c>
      <c r="D3927" s="21"/>
    </row>
    <row r="3928" spans="1:4" ht="12.75" customHeight="1" x14ac:dyDescent="0.2">
      <c r="A3928" s="21"/>
      <c r="B3928" s="3" t="s">
        <v>15</v>
      </c>
      <c r="C3928" s="20" t="s">
        <v>24</v>
      </c>
      <c r="D3928" s="21"/>
    </row>
    <row r="3929" spans="1:4" ht="12.75" customHeight="1" x14ac:dyDescent="0.2">
      <c r="A3929" s="21"/>
      <c r="B3929" s="3" t="s">
        <v>16</v>
      </c>
      <c r="C3929" s="20"/>
      <c r="D3929" s="21"/>
    </row>
    <row r="3930" spans="1:4" ht="12.75" customHeight="1" x14ac:dyDescent="0.2">
      <c r="A3930" s="21"/>
      <c r="B3930" s="3" t="s">
        <v>17</v>
      </c>
      <c r="C3930" s="20"/>
      <c r="D3930" s="21"/>
    </row>
    <row r="3931" spans="1:4" ht="12.75" customHeight="1" x14ac:dyDescent="0.2">
      <c r="A3931" s="21"/>
      <c r="B3931" s="20" t="s">
        <v>18</v>
      </c>
      <c r="C3931" s="4" t="s">
        <v>163</v>
      </c>
      <c r="D3931" s="6" t="str">
        <f>HYPERLINK("javascript:void(0)","serte")</f>
        <v>serte</v>
      </c>
    </row>
    <row r="3932" spans="1:4" ht="12.75" customHeight="1" x14ac:dyDescent="0.2">
      <c r="A3932" s="21"/>
      <c r="B3932" s="21"/>
      <c r="C3932" s="4" t="s">
        <v>280</v>
      </c>
      <c r="D3932" s="6" t="str">
        <f>HYPERLINK("javascript:void(0)","éjfény")</f>
        <v>éjfény</v>
      </c>
    </row>
    <row r="3933" spans="1:4" ht="12.75" customHeight="1" x14ac:dyDescent="0.2">
      <c r="A3933" s="21"/>
      <c r="B3933" s="21"/>
      <c r="C3933" s="4" t="s">
        <v>56</v>
      </c>
      <c r="D3933" s="6" t="str">
        <f>HYPERLINK("javascript:void(0)","hőgolyó")</f>
        <v>hőgolyó</v>
      </c>
    </row>
    <row r="3934" spans="1:4" ht="12.75" customHeight="1" x14ac:dyDescent="0.2">
      <c r="A3934" s="5"/>
      <c r="B3934" s="2"/>
      <c r="C3934" s="2"/>
      <c r="D3934" s="2"/>
    </row>
    <row r="3935" spans="1:4" ht="12.75" customHeight="1" x14ac:dyDescent="0.2">
      <c r="A3935" s="22" t="str">
        <f>HYPERLINK("javascript:void(0)","térszeletelő")</f>
        <v>térszeletelő</v>
      </c>
      <c r="B3935" s="21"/>
      <c r="C3935" s="21"/>
      <c r="D3935" s="21"/>
    </row>
    <row r="3936" spans="1:4" ht="12.75" customHeight="1" x14ac:dyDescent="0.2">
      <c r="A3936" s="20"/>
      <c r="B3936" s="2"/>
      <c r="C3936" s="2"/>
      <c r="D3936" s="2"/>
    </row>
    <row r="3937" spans="1:4" ht="12.75" customHeight="1" x14ac:dyDescent="0.2">
      <c r="A3937" s="21"/>
      <c r="B3937" s="3" t="s">
        <v>0</v>
      </c>
      <c r="C3937" s="20" t="s">
        <v>73</v>
      </c>
      <c r="D3937" s="21"/>
    </row>
    <row r="3938" spans="1:4" ht="12.75" customHeight="1" x14ac:dyDescent="0.2">
      <c r="A3938" s="21"/>
      <c r="B3938" s="3" t="s">
        <v>2</v>
      </c>
      <c r="C3938" s="20" t="s">
        <v>1598</v>
      </c>
      <c r="D3938" s="21"/>
    </row>
    <row r="3939" spans="1:4" ht="12.75" customHeight="1" x14ac:dyDescent="0.2">
      <c r="A3939" s="21"/>
      <c r="B3939" s="3" t="s">
        <v>4</v>
      </c>
      <c r="C3939" s="20" t="s">
        <v>2072</v>
      </c>
      <c r="D3939" s="21"/>
    </row>
    <row r="3940" spans="1:4" ht="12.75" customHeight="1" x14ac:dyDescent="0.2">
      <c r="A3940" s="21"/>
      <c r="B3940" s="3" t="s">
        <v>6</v>
      </c>
      <c r="C3940" s="20" t="s">
        <v>298</v>
      </c>
      <c r="D3940" s="21"/>
    </row>
    <row r="3941" spans="1:4" ht="12.75" customHeight="1" x14ac:dyDescent="0.2">
      <c r="A3941" s="21"/>
      <c r="B3941" s="3" t="s">
        <v>8</v>
      </c>
      <c r="C3941" s="20" t="s">
        <v>2072</v>
      </c>
      <c r="D3941" s="21"/>
    </row>
    <row r="3942" spans="1:4" ht="12.75" customHeight="1" x14ac:dyDescent="0.2">
      <c r="A3942" s="21"/>
      <c r="B3942" s="3" t="s">
        <v>9</v>
      </c>
      <c r="C3942" s="20" t="s">
        <v>1014</v>
      </c>
      <c r="D3942" s="21"/>
    </row>
    <row r="3943" spans="1:4" ht="12.75" customHeight="1" x14ac:dyDescent="0.2">
      <c r="A3943" s="21"/>
      <c r="B3943" s="3" t="s">
        <v>11</v>
      </c>
      <c r="C3943" s="20" t="s">
        <v>763</v>
      </c>
      <c r="D3943" s="21"/>
    </row>
    <row r="3944" spans="1:4" ht="12.75" customHeight="1" x14ac:dyDescent="0.2">
      <c r="A3944" s="21"/>
      <c r="B3944" s="3" t="s">
        <v>13</v>
      </c>
      <c r="C3944" s="20" t="s">
        <v>24</v>
      </c>
      <c r="D3944" s="21"/>
    </row>
    <row r="3945" spans="1:4" ht="12.75" customHeight="1" x14ac:dyDescent="0.2">
      <c r="A3945" s="21"/>
      <c r="B3945" s="3" t="s">
        <v>15</v>
      </c>
      <c r="C3945" s="20" t="s">
        <v>24</v>
      </c>
      <c r="D3945" s="21"/>
    </row>
    <row r="3946" spans="1:4" ht="12.75" customHeight="1" x14ac:dyDescent="0.2">
      <c r="A3946" s="21"/>
      <c r="B3946" s="3" t="s">
        <v>16</v>
      </c>
      <c r="C3946" s="20"/>
      <c r="D3946" s="21"/>
    </row>
    <row r="3947" spans="1:4" ht="12.75" customHeight="1" x14ac:dyDescent="0.2">
      <c r="A3947" s="21"/>
      <c r="B3947" s="3" t="s">
        <v>17</v>
      </c>
      <c r="C3947" s="20"/>
      <c r="D3947" s="21"/>
    </row>
    <row r="3948" spans="1:4" ht="12.75" customHeight="1" x14ac:dyDescent="0.2">
      <c r="A3948" s="21"/>
      <c r="B3948" s="20" t="s">
        <v>18</v>
      </c>
      <c r="C3948" s="4" t="s">
        <v>44</v>
      </c>
      <c r="D3948" s="6" t="str">
        <f>HYPERLINK("javascript:void(0)","szabo-kasza")</f>
        <v>szabo-kasza</v>
      </c>
    </row>
    <row r="3949" spans="1:4" ht="12.75" customHeight="1" x14ac:dyDescent="0.2">
      <c r="A3949" s="21"/>
      <c r="B3949" s="21"/>
      <c r="C3949" s="4" t="s">
        <v>44</v>
      </c>
      <c r="D3949" s="6" t="str">
        <f>HYPERLINK("javascript:void(0)","hátszarv tőr")</f>
        <v>hátszarv tőr</v>
      </c>
    </row>
    <row r="3950" spans="1:4" ht="12.75" customHeight="1" x14ac:dyDescent="0.2">
      <c r="A3950" s="21"/>
      <c r="B3950" s="21"/>
      <c r="C3950" s="4" t="s">
        <v>44</v>
      </c>
      <c r="D3950" s="6" t="str">
        <f>HYPERLINK("javascript:void(0)","térpenge")</f>
        <v>térpenge</v>
      </c>
    </row>
    <row r="3951" spans="1:4" ht="12.75" customHeight="1" x14ac:dyDescent="0.2">
      <c r="A3951" s="5"/>
      <c r="B3951" s="2"/>
      <c r="C3951" s="2"/>
      <c r="D3951" s="2"/>
    </row>
    <row r="3952" spans="1:4" ht="12.75" customHeight="1" x14ac:dyDescent="0.2">
      <c r="A3952" s="22" t="str">
        <f>HYPERLINK("javascript:void(0)","fényes gigapallos")</f>
        <v>fényes gigapallos</v>
      </c>
      <c r="B3952" s="21"/>
      <c r="C3952" s="21"/>
      <c r="D3952" s="21"/>
    </row>
    <row r="3953" spans="1:4" ht="12.75" customHeight="1" x14ac:dyDescent="0.2">
      <c r="A3953" s="20"/>
      <c r="B3953" s="2"/>
      <c r="C3953" s="2"/>
      <c r="D3953" s="2"/>
    </row>
    <row r="3954" spans="1:4" ht="12.75" customHeight="1" x14ac:dyDescent="0.2">
      <c r="A3954" s="21"/>
      <c r="B3954" s="3" t="s">
        <v>0</v>
      </c>
      <c r="C3954" s="20" t="s">
        <v>73</v>
      </c>
      <c r="D3954" s="21"/>
    </row>
    <row r="3955" spans="1:4" ht="12.75" customHeight="1" x14ac:dyDescent="0.2">
      <c r="A3955" s="21"/>
      <c r="B3955" s="3" t="s">
        <v>2</v>
      </c>
      <c r="C3955" s="20" t="s">
        <v>1598</v>
      </c>
      <c r="D3955" s="21"/>
    </row>
    <row r="3956" spans="1:4" ht="12.75" customHeight="1" x14ac:dyDescent="0.2">
      <c r="A3956" s="21"/>
      <c r="B3956" s="3" t="s">
        <v>4</v>
      </c>
      <c r="C3956" s="20" t="s">
        <v>2073</v>
      </c>
      <c r="D3956" s="21"/>
    </row>
    <row r="3957" spans="1:4" ht="12.75" customHeight="1" x14ac:dyDescent="0.2">
      <c r="A3957" s="21"/>
      <c r="B3957" s="3" t="s">
        <v>6</v>
      </c>
      <c r="C3957" s="20" t="s">
        <v>52</v>
      </c>
      <c r="D3957" s="21"/>
    </row>
    <row r="3958" spans="1:4" ht="12.75" customHeight="1" x14ac:dyDescent="0.2">
      <c r="A3958" s="21"/>
      <c r="B3958" s="3" t="s">
        <v>8</v>
      </c>
      <c r="C3958" s="20" t="s">
        <v>2073</v>
      </c>
      <c r="D3958" s="21"/>
    </row>
    <row r="3959" spans="1:4" ht="12.75" customHeight="1" x14ac:dyDescent="0.2">
      <c r="A3959" s="21"/>
      <c r="B3959" s="3" t="s">
        <v>9</v>
      </c>
      <c r="C3959" s="20" t="s">
        <v>2074</v>
      </c>
      <c r="D3959" s="21"/>
    </row>
    <row r="3960" spans="1:4" ht="12.75" customHeight="1" x14ac:dyDescent="0.2">
      <c r="A3960" s="21"/>
      <c r="B3960" s="3" t="s">
        <v>11</v>
      </c>
      <c r="C3960" s="20" t="s">
        <v>1071</v>
      </c>
      <c r="D3960" s="21"/>
    </row>
    <row r="3961" spans="1:4" ht="12.75" customHeight="1" x14ac:dyDescent="0.2">
      <c r="A3961" s="21"/>
      <c r="B3961" s="3" t="s">
        <v>13</v>
      </c>
      <c r="C3961" s="20" t="s">
        <v>24</v>
      </c>
      <c r="D3961" s="21"/>
    </row>
    <row r="3962" spans="1:4" ht="12.75" customHeight="1" x14ac:dyDescent="0.2">
      <c r="A3962" s="21"/>
      <c r="B3962" s="3" t="s">
        <v>15</v>
      </c>
      <c r="C3962" s="20" t="s">
        <v>24</v>
      </c>
      <c r="D3962" s="21"/>
    </row>
    <row r="3963" spans="1:4" ht="12.75" customHeight="1" x14ac:dyDescent="0.2">
      <c r="A3963" s="21"/>
      <c r="B3963" s="3" t="s">
        <v>16</v>
      </c>
      <c r="C3963" s="20"/>
      <c r="D3963" s="21"/>
    </row>
    <row r="3964" spans="1:4" ht="12.75" customHeight="1" x14ac:dyDescent="0.2">
      <c r="A3964" s="21"/>
      <c r="B3964" s="3" t="s">
        <v>17</v>
      </c>
      <c r="C3964" s="20"/>
      <c r="D3964" s="21"/>
    </row>
    <row r="3965" spans="1:4" ht="12.75" customHeight="1" x14ac:dyDescent="0.2">
      <c r="A3965" s="21"/>
      <c r="B3965" s="20" t="s">
        <v>18</v>
      </c>
      <c r="C3965" s="4" t="s">
        <v>68</v>
      </c>
      <c r="D3965" s="6" t="str">
        <f>HYPERLINK("javascript:void(0)","térszelet")</f>
        <v>térszelet</v>
      </c>
    </row>
    <row r="3966" spans="1:4" ht="12.75" customHeight="1" x14ac:dyDescent="0.2">
      <c r="A3966" s="21"/>
      <c r="B3966" s="21"/>
      <c r="C3966" s="4" t="s">
        <v>117</v>
      </c>
      <c r="D3966" s="6" t="str">
        <f>HYPERLINK("javascript:void(0)","szabo-penge")</f>
        <v>szabo-penge</v>
      </c>
    </row>
    <row r="3967" spans="1:4" ht="12.75" customHeight="1" x14ac:dyDescent="0.2">
      <c r="A3967" s="21"/>
      <c r="B3967" s="21"/>
      <c r="C3967" s="4" t="s">
        <v>382</v>
      </c>
      <c r="D3967" s="6" t="str">
        <f>HYPERLINK("javascript:void(0)","lux")</f>
        <v>lux</v>
      </c>
    </row>
    <row r="3968" spans="1:4" ht="12.75" customHeight="1" x14ac:dyDescent="0.2">
      <c r="A3968" s="5"/>
      <c r="B3968" s="2"/>
      <c r="C3968" s="2"/>
      <c r="D3968" s="2"/>
    </row>
    <row r="3969" spans="1:4" ht="12.75" customHeight="1" x14ac:dyDescent="0.2">
      <c r="A3969" s="22" t="str">
        <f>HYPERLINK("javascript:void(0)","gyíkacél csatabárd")</f>
        <v>gyíkacél csatabárd</v>
      </c>
      <c r="B3969" s="21"/>
      <c r="C3969" s="21"/>
      <c r="D3969" s="21"/>
    </row>
    <row r="3970" spans="1:4" ht="12.75" customHeight="1" x14ac:dyDescent="0.2">
      <c r="A3970" s="20"/>
      <c r="B3970" s="2"/>
      <c r="C3970" s="2"/>
      <c r="D3970" s="2"/>
    </row>
    <row r="3971" spans="1:4" ht="12.75" customHeight="1" x14ac:dyDescent="0.2">
      <c r="A3971" s="21"/>
      <c r="B3971" s="3" t="s">
        <v>0</v>
      </c>
      <c r="C3971" s="20" t="s">
        <v>73</v>
      </c>
      <c r="D3971" s="21"/>
    </row>
    <row r="3972" spans="1:4" ht="12.75" customHeight="1" x14ac:dyDescent="0.2">
      <c r="A3972" s="21"/>
      <c r="B3972" s="3" t="s">
        <v>2</v>
      </c>
      <c r="C3972" s="20" t="s">
        <v>1598</v>
      </c>
      <c r="D3972" s="21"/>
    </row>
    <row r="3973" spans="1:4" ht="12.75" customHeight="1" x14ac:dyDescent="0.2">
      <c r="A3973" s="21"/>
      <c r="B3973" s="3" t="s">
        <v>4</v>
      </c>
      <c r="C3973" s="20" t="s">
        <v>2075</v>
      </c>
      <c r="D3973" s="21"/>
    </row>
    <row r="3974" spans="1:4" ht="12.75" customHeight="1" x14ac:dyDescent="0.2">
      <c r="A3974" s="21"/>
      <c r="B3974" s="3" t="s">
        <v>6</v>
      </c>
      <c r="C3974" s="20" t="s">
        <v>107</v>
      </c>
      <c r="D3974" s="21"/>
    </row>
    <row r="3975" spans="1:4" ht="12.75" customHeight="1" x14ac:dyDescent="0.2">
      <c r="A3975" s="21"/>
      <c r="B3975" s="3" t="s">
        <v>8</v>
      </c>
      <c r="C3975" s="20" t="s">
        <v>2075</v>
      </c>
      <c r="D3975" s="21"/>
    </row>
    <row r="3976" spans="1:4" ht="12.75" customHeight="1" x14ac:dyDescent="0.2">
      <c r="A3976" s="21"/>
      <c r="B3976" s="3" t="s">
        <v>9</v>
      </c>
      <c r="C3976" s="20" t="s">
        <v>2076</v>
      </c>
      <c r="D3976" s="21"/>
    </row>
    <row r="3977" spans="1:4" ht="12.75" customHeight="1" x14ac:dyDescent="0.2">
      <c r="A3977" s="21"/>
      <c r="B3977" s="3" t="s">
        <v>11</v>
      </c>
      <c r="C3977" s="20" t="s">
        <v>663</v>
      </c>
      <c r="D3977" s="21"/>
    </row>
    <row r="3978" spans="1:4" ht="12.75" customHeight="1" x14ac:dyDescent="0.2">
      <c r="A3978" s="21"/>
      <c r="B3978" s="3" t="s">
        <v>13</v>
      </c>
      <c r="C3978" s="20" t="s">
        <v>24</v>
      </c>
      <c r="D3978" s="21"/>
    </row>
    <row r="3979" spans="1:4" ht="12.75" customHeight="1" x14ac:dyDescent="0.2">
      <c r="A3979" s="21"/>
      <c r="B3979" s="3" t="s">
        <v>15</v>
      </c>
      <c r="C3979" s="20" t="s">
        <v>24</v>
      </c>
      <c r="D3979" s="21"/>
    </row>
    <row r="3980" spans="1:4" ht="12.75" customHeight="1" x14ac:dyDescent="0.2">
      <c r="A3980" s="21"/>
      <c r="B3980" s="3" t="s">
        <v>16</v>
      </c>
      <c r="C3980" s="20"/>
      <c r="D3980" s="21"/>
    </row>
    <row r="3981" spans="1:4" ht="12.75" customHeight="1" x14ac:dyDescent="0.2">
      <c r="A3981" s="21"/>
      <c r="B3981" s="3" t="s">
        <v>17</v>
      </c>
      <c r="C3981" s="20"/>
      <c r="D3981" s="21"/>
    </row>
    <row r="3982" spans="1:4" ht="12.75" customHeight="1" x14ac:dyDescent="0.2">
      <c r="A3982" s="21"/>
      <c r="B3982" s="20" t="s">
        <v>18</v>
      </c>
      <c r="C3982" s="4" t="s">
        <v>193</v>
      </c>
      <c r="D3982" s="6" t="str">
        <f>HYPERLINK("javascript:void(0)","gyémántkarika")</f>
        <v>gyémántkarika</v>
      </c>
    </row>
    <row r="3983" spans="1:4" ht="12.75" customHeight="1" x14ac:dyDescent="0.2">
      <c r="A3983" s="21"/>
      <c r="B3983" s="21"/>
      <c r="C3983" s="4" t="s">
        <v>280</v>
      </c>
      <c r="D3983" s="6" t="str">
        <f>HYPERLINK("javascript:void(0)","szent szimbólum")</f>
        <v>szent szimbólum</v>
      </c>
    </row>
    <row r="3984" spans="1:4" ht="12.75" customHeight="1" x14ac:dyDescent="0.2">
      <c r="A3984" s="21"/>
      <c r="B3984" s="21"/>
      <c r="C3984" s="4" t="s">
        <v>139</v>
      </c>
      <c r="D3984" s="6" t="str">
        <f>HYPERLINK("javascript:void(0)","kígyócsörgő")</f>
        <v>kígyócsörgő</v>
      </c>
    </row>
    <row r="3985" spans="1:4" ht="12.75" customHeight="1" x14ac:dyDescent="0.2">
      <c r="A3985" s="5"/>
      <c r="B3985" s="2"/>
      <c r="C3985" s="2"/>
      <c r="D3985" s="2"/>
    </row>
    <row r="3986" spans="1:4" ht="12.75" customHeight="1" x14ac:dyDescent="0.2">
      <c r="A3986" s="22" t="str">
        <f>HYPERLINK("javascript:void(0)","ördögszike")</f>
        <v>ördögszike</v>
      </c>
      <c r="B3986" s="21"/>
      <c r="C3986" s="21"/>
      <c r="D3986" s="21"/>
    </row>
    <row r="3987" spans="1:4" ht="12.75" customHeight="1" x14ac:dyDescent="0.2">
      <c r="A3987" s="20"/>
      <c r="B3987" s="2"/>
      <c r="C3987" s="2"/>
      <c r="D3987" s="2"/>
    </row>
    <row r="3988" spans="1:4" ht="12.75" customHeight="1" x14ac:dyDescent="0.2">
      <c r="A3988" s="21"/>
      <c r="B3988" s="3" t="s">
        <v>0</v>
      </c>
      <c r="C3988" s="20" t="s">
        <v>275</v>
      </c>
      <c r="D3988" s="21"/>
    </row>
    <row r="3989" spans="1:4" ht="12.75" customHeight="1" x14ac:dyDescent="0.2">
      <c r="A3989" s="21"/>
      <c r="B3989" s="3" t="s">
        <v>2</v>
      </c>
      <c r="C3989" s="20" t="s">
        <v>1598</v>
      </c>
      <c r="D3989" s="21"/>
    </row>
    <row r="3990" spans="1:4" ht="12.75" customHeight="1" x14ac:dyDescent="0.2">
      <c r="A3990" s="21"/>
      <c r="B3990" s="3" t="s">
        <v>4</v>
      </c>
      <c r="C3990" s="20" t="s">
        <v>751</v>
      </c>
      <c r="D3990" s="21"/>
    </row>
    <row r="3991" spans="1:4" ht="12.75" customHeight="1" x14ac:dyDescent="0.2">
      <c r="A3991" s="21"/>
      <c r="B3991" s="3" t="s">
        <v>6</v>
      </c>
      <c r="C3991" s="20" t="s">
        <v>157</v>
      </c>
      <c r="D3991" s="21"/>
    </row>
    <row r="3992" spans="1:4" ht="12.75" customHeight="1" x14ac:dyDescent="0.2">
      <c r="A3992" s="21"/>
      <c r="B3992" s="3" t="s">
        <v>8</v>
      </c>
      <c r="C3992" s="20" t="s">
        <v>751</v>
      </c>
      <c r="D3992" s="21"/>
    </row>
    <row r="3993" spans="1:4" ht="12.75" customHeight="1" x14ac:dyDescent="0.2">
      <c r="A3993" s="21"/>
      <c r="B3993" s="3" t="s">
        <v>9</v>
      </c>
      <c r="C3993" s="20" t="s">
        <v>1440</v>
      </c>
      <c r="D3993" s="21"/>
    </row>
    <row r="3994" spans="1:4" ht="12.75" customHeight="1" x14ac:dyDescent="0.2">
      <c r="A3994" s="21"/>
      <c r="B3994" s="3" t="s">
        <v>11</v>
      </c>
      <c r="C3994" s="20" t="s">
        <v>770</v>
      </c>
      <c r="D3994" s="21"/>
    </row>
    <row r="3995" spans="1:4" ht="12.75" customHeight="1" x14ac:dyDescent="0.2">
      <c r="A3995" s="21"/>
      <c r="B3995" s="3" t="s">
        <v>13</v>
      </c>
      <c r="C3995" s="20" t="s">
        <v>24</v>
      </c>
      <c r="D3995" s="21"/>
    </row>
    <row r="3996" spans="1:4" ht="12.75" customHeight="1" x14ac:dyDescent="0.2">
      <c r="A3996" s="21"/>
      <c r="B3996" s="3" t="s">
        <v>15</v>
      </c>
      <c r="C3996" s="20" t="s">
        <v>24</v>
      </c>
      <c r="D3996" s="21"/>
    </row>
    <row r="3997" spans="1:4" ht="12.75" customHeight="1" x14ac:dyDescent="0.2">
      <c r="A3997" s="21"/>
      <c r="B3997" s="3" t="s">
        <v>16</v>
      </c>
      <c r="C3997" s="20"/>
      <c r="D3997" s="21"/>
    </row>
    <row r="3998" spans="1:4" ht="12.75" customHeight="1" x14ac:dyDescent="0.2">
      <c r="A3998" s="21"/>
      <c r="B3998" s="3" t="s">
        <v>17</v>
      </c>
      <c r="C3998" s="20"/>
      <c r="D3998" s="21"/>
    </row>
    <row r="3999" spans="1:4" ht="12.75" customHeight="1" x14ac:dyDescent="0.2">
      <c r="A3999" s="21"/>
      <c r="B3999" s="20" t="s">
        <v>18</v>
      </c>
      <c r="C3999" s="4" t="s">
        <v>44</v>
      </c>
      <c r="D3999" s="6" t="str">
        <f>HYPERLINK("javascript:void(0)","térszeletelő")</f>
        <v>térszeletelő</v>
      </c>
    </row>
    <row r="4000" spans="1:4" ht="12.75" customHeight="1" x14ac:dyDescent="0.2">
      <c r="A4000" s="21"/>
      <c r="B4000" s="21"/>
      <c r="C4000" s="4" t="s">
        <v>232</v>
      </c>
      <c r="D4000" s="6" t="str">
        <f>HYPERLINK("javascript:void(0)","ördögpihe")</f>
        <v>ördögpihe</v>
      </c>
    </row>
    <row r="4001" spans="1:4" ht="12.75" customHeight="1" x14ac:dyDescent="0.2">
      <c r="A4001" s="21"/>
      <c r="B4001" s="21"/>
      <c r="C4001" s="4" t="s">
        <v>139</v>
      </c>
      <c r="D4001" s="6" t="str">
        <f>HYPERLINK("javascript:void(0)","fúrófej")</f>
        <v>fúrófej</v>
      </c>
    </row>
    <row r="4002" spans="1:4" ht="12.75" customHeight="1" x14ac:dyDescent="0.2">
      <c r="A4002" s="5"/>
      <c r="B4002" s="2"/>
      <c r="C4002" s="2"/>
      <c r="D4002" s="2"/>
    </row>
    <row r="4003" spans="1:4" ht="12.75" customHeight="1" x14ac:dyDescent="0.2">
      <c r="A4003" s="22" t="str">
        <f>HYPERLINK("javascript:void(0)","brummogó mágusölő")</f>
        <v>brummogó mágusölő</v>
      </c>
      <c r="B4003" s="21"/>
      <c r="C4003" s="21"/>
      <c r="D4003" s="21"/>
    </row>
    <row r="4004" spans="1:4" ht="12.75" customHeight="1" x14ac:dyDescent="0.2">
      <c r="A4004" s="20"/>
      <c r="B4004" s="2"/>
      <c r="C4004" s="2"/>
      <c r="D4004" s="2"/>
    </row>
    <row r="4005" spans="1:4" ht="12.75" customHeight="1" x14ac:dyDescent="0.2">
      <c r="A4005" s="21"/>
      <c r="B4005" s="3" t="s">
        <v>0</v>
      </c>
      <c r="C4005" s="20" t="s">
        <v>275</v>
      </c>
      <c r="D4005" s="21"/>
    </row>
    <row r="4006" spans="1:4" ht="12.75" customHeight="1" x14ac:dyDescent="0.2">
      <c r="A4006" s="21"/>
      <c r="B4006" s="3" t="s">
        <v>2</v>
      </c>
      <c r="C4006" s="20" t="s">
        <v>1598</v>
      </c>
      <c r="D4006" s="21"/>
    </row>
    <row r="4007" spans="1:4" ht="12.75" customHeight="1" x14ac:dyDescent="0.2">
      <c r="A4007" s="21"/>
      <c r="B4007" s="3" t="s">
        <v>4</v>
      </c>
      <c r="C4007" s="20" t="s">
        <v>757</v>
      </c>
      <c r="D4007" s="21"/>
    </row>
    <row r="4008" spans="1:4" ht="12.75" customHeight="1" x14ac:dyDescent="0.2">
      <c r="A4008" s="21"/>
      <c r="B4008" s="3" t="s">
        <v>6</v>
      </c>
      <c r="C4008" s="20" t="s">
        <v>48</v>
      </c>
      <c r="D4008" s="21"/>
    </row>
    <row r="4009" spans="1:4" ht="12.75" customHeight="1" x14ac:dyDescent="0.2">
      <c r="A4009" s="21"/>
      <c r="B4009" s="3" t="s">
        <v>8</v>
      </c>
      <c r="C4009" s="20" t="s">
        <v>757</v>
      </c>
      <c r="D4009" s="21"/>
    </row>
    <row r="4010" spans="1:4" ht="12.75" customHeight="1" x14ac:dyDescent="0.2">
      <c r="A4010" s="21"/>
      <c r="B4010" s="3" t="s">
        <v>9</v>
      </c>
      <c r="C4010" s="20" t="s">
        <v>952</v>
      </c>
      <c r="D4010" s="21"/>
    </row>
    <row r="4011" spans="1:4" ht="12.75" customHeight="1" x14ac:dyDescent="0.2">
      <c r="A4011" s="21"/>
      <c r="B4011" s="3" t="s">
        <v>11</v>
      </c>
      <c r="C4011" s="20" t="s">
        <v>973</v>
      </c>
      <c r="D4011" s="21"/>
    </row>
    <row r="4012" spans="1:4" ht="12.75" customHeight="1" x14ac:dyDescent="0.2">
      <c r="A4012" s="21"/>
      <c r="B4012" s="3" t="s">
        <v>13</v>
      </c>
      <c r="C4012" s="20" t="s">
        <v>14</v>
      </c>
      <c r="D4012" s="21"/>
    </row>
    <row r="4013" spans="1:4" ht="12.75" customHeight="1" x14ac:dyDescent="0.2">
      <c r="A4013" s="21"/>
      <c r="B4013" s="3" t="s">
        <v>15</v>
      </c>
      <c r="C4013" s="20" t="s">
        <v>24</v>
      </c>
      <c r="D4013" s="21"/>
    </row>
    <row r="4014" spans="1:4" ht="12.75" customHeight="1" x14ac:dyDescent="0.2">
      <c r="A4014" s="21"/>
      <c r="B4014" s="3" t="s">
        <v>16</v>
      </c>
      <c r="C4014" s="20"/>
      <c r="D4014" s="21"/>
    </row>
    <row r="4015" spans="1:4" ht="12.75" customHeight="1" x14ac:dyDescent="0.2">
      <c r="A4015" s="21"/>
      <c r="B4015" s="3" t="s">
        <v>17</v>
      </c>
      <c r="C4015" s="20"/>
      <c r="D4015" s="21"/>
    </row>
    <row r="4016" spans="1:4" ht="12.75" customHeight="1" x14ac:dyDescent="0.2">
      <c r="A4016" s="21"/>
      <c r="B4016" s="20" t="s">
        <v>18</v>
      </c>
      <c r="C4016" s="4" t="s">
        <v>68</v>
      </c>
      <c r="D4016" s="6" t="str">
        <f>HYPERLINK("javascript:void(0)","brummogás")</f>
        <v>brummogás</v>
      </c>
    </row>
    <row r="4017" spans="1:4" ht="12.75" customHeight="1" x14ac:dyDescent="0.2">
      <c r="A4017" s="21"/>
      <c r="B4017" s="21"/>
      <c r="C4017" s="4" t="s">
        <v>290</v>
      </c>
      <c r="D4017" s="6" t="str">
        <f>HYPERLINK("javascript:void(0)","bázispár")</f>
        <v>bázispár</v>
      </c>
    </row>
    <row r="4018" spans="1:4" ht="12.75" customHeight="1" x14ac:dyDescent="0.2">
      <c r="A4018" s="21"/>
      <c r="B4018" s="21"/>
      <c r="C4018" s="4" t="s">
        <v>139</v>
      </c>
      <c r="D4018" s="6" t="str">
        <f>HYPERLINK("javascript:void(0)","tincs")</f>
        <v>tincs</v>
      </c>
    </row>
    <row r="4019" spans="1:4" ht="12.75" customHeight="1" x14ac:dyDescent="0.2">
      <c r="A4019" s="5"/>
      <c r="B4019" s="2"/>
      <c r="C4019" s="2"/>
      <c r="D4019" s="2"/>
    </row>
    <row r="4020" spans="1:4" ht="12.75" customHeight="1" x14ac:dyDescent="0.2">
      <c r="A4020" s="22" t="str">
        <f>HYPERLINK("javascript:void(0)","rúnaszurony")</f>
        <v>rúnaszurony</v>
      </c>
      <c r="B4020" s="21"/>
      <c r="C4020" s="21"/>
      <c r="D4020" s="21"/>
    </row>
    <row r="4021" spans="1:4" ht="12.75" customHeight="1" x14ac:dyDescent="0.2">
      <c r="A4021" s="20"/>
      <c r="B4021" s="2"/>
      <c r="C4021" s="2"/>
      <c r="D4021" s="2"/>
    </row>
    <row r="4022" spans="1:4" ht="12.75" customHeight="1" x14ac:dyDescent="0.2">
      <c r="A4022" s="21"/>
      <c r="B4022" s="3" t="s">
        <v>0</v>
      </c>
      <c r="C4022" s="20" t="s">
        <v>161</v>
      </c>
      <c r="D4022" s="21"/>
    </row>
    <row r="4023" spans="1:4" ht="12.75" customHeight="1" x14ac:dyDescent="0.2">
      <c r="A4023" s="21"/>
      <c r="B4023" s="3" t="s">
        <v>2</v>
      </c>
      <c r="C4023" s="20" t="s">
        <v>1598</v>
      </c>
      <c r="D4023" s="21"/>
    </row>
    <row r="4024" spans="1:4" ht="12.75" customHeight="1" x14ac:dyDescent="0.2">
      <c r="A4024" s="21"/>
      <c r="B4024" s="3" t="s">
        <v>4</v>
      </c>
      <c r="C4024" s="20" t="s">
        <v>2081</v>
      </c>
      <c r="D4024" s="21"/>
    </row>
    <row r="4025" spans="1:4" ht="12.75" customHeight="1" x14ac:dyDescent="0.2">
      <c r="A4025" s="21"/>
      <c r="B4025" s="3" t="s">
        <v>6</v>
      </c>
      <c r="C4025" s="20" t="s">
        <v>52</v>
      </c>
      <c r="D4025" s="21"/>
    </row>
    <row r="4026" spans="1:4" ht="12.75" customHeight="1" x14ac:dyDescent="0.2">
      <c r="A4026" s="21"/>
      <c r="B4026" s="3" t="s">
        <v>8</v>
      </c>
      <c r="C4026" s="20" t="s">
        <v>2081</v>
      </c>
      <c r="D4026" s="21"/>
    </row>
    <row r="4027" spans="1:4" ht="12.75" customHeight="1" x14ac:dyDescent="0.2">
      <c r="A4027" s="21"/>
      <c r="B4027" s="3" t="s">
        <v>9</v>
      </c>
      <c r="C4027" s="20" t="s">
        <v>374</v>
      </c>
      <c r="D4027" s="21"/>
    </row>
    <row r="4028" spans="1:4" ht="12.75" customHeight="1" x14ac:dyDescent="0.2">
      <c r="A4028" s="21"/>
      <c r="B4028" s="3" t="s">
        <v>11</v>
      </c>
      <c r="C4028" s="20" t="s">
        <v>775</v>
      </c>
      <c r="D4028" s="21"/>
    </row>
    <row r="4029" spans="1:4" ht="12.75" customHeight="1" x14ac:dyDescent="0.2">
      <c r="A4029" s="21"/>
      <c r="B4029" s="3" t="s">
        <v>13</v>
      </c>
      <c r="C4029" s="20" t="s">
        <v>24</v>
      </c>
      <c r="D4029" s="21"/>
    </row>
    <row r="4030" spans="1:4" ht="12.75" customHeight="1" x14ac:dyDescent="0.2">
      <c r="A4030" s="21"/>
      <c r="B4030" s="3" t="s">
        <v>15</v>
      </c>
      <c r="C4030" s="20" t="s">
        <v>24</v>
      </c>
      <c r="D4030" s="21"/>
    </row>
    <row r="4031" spans="1:4" ht="12.75" customHeight="1" x14ac:dyDescent="0.2">
      <c r="A4031" s="21"/>
      <c r="B4031" s="3" t="s">
        <v>16</v>
      </c>
      <c r="C4031" s="20"/>
      <c r="D4031" s="21"/>
    </row>
    <row r="4032" spans="1:4" ht="12.75" customHeight="1" x14ac:dyDescent="0.2">
      <c r="A4032" s="21"/>
      <c r="B4032" s="3" t="s">
        <v>17</v>
      </c>
      <c r="C4032" s="20"/>
      <c r="D4032" s="21"/>
    </row>
    <row r="4033" spans="1:4" ht="12.75" customHeight="1" x14ac:dyDescent="0.2">
      <c r="A4033" s="21"/>
      <c r="B4033" s="20" t="s">
        <v>18</v>
      </c>
      <c r="C4033" s="4" t="s">
        <v>57</v>
      </c>
      <c r="D4033" s="6" t="str">
        <f>HYPERLINK("javascript:void(0)","vaskarima")</f>
        <v>vaskarima</v>
      </c>
    </row>
    <row r="4034" spans="1:4" ht="12.75" customHeight="1" x14ac:dyDescent="0.2">
      <c r="A4034" s="21"/>
      <c r="B4034" s="21"/>
      <c r="C4034" s="4" t="s">
        <v>369</v>
      </c>
      <c r="D4034" s="6" t="str">
        <f>HYPERLINK("javascript:void(0)","rúna")</f>
        <v>rúna</v>
      </c>
    </row>
    <row r="4035" spans="1:4" ht="12.75" customHeight="1" x14ac:dyDescent="0.2">
      <c r="A4035" s="21"/>
      <c r="B4035" s="21"/>
      <c r="C4035" s="4" t="s">
        <v>163</v>
      </c>
      <c r="D4035" s="6" t="str">
        <f>HYPERLINK("javascript:void(0)","teleportige")</f>
        <v>teleportige</v>
      </c>
    </row>
    <row r="4036" spans="1:4" ht="12.75" customHeight="1" x14ac:dyDescent="0.2">
      <c r="A4036" s="5"/>
      <c r="B4036" s="2"/>
      <c r="C4036" s="2"/>
      <c r="D4036" s="2"/>
    </row>
    <row r="4037" spans="1:4" ht="12.75" customHeight="1" x14ac:dyDescent="0.2">
      <c r="A4037" s="22" t="str">
        <f>HYPERLINK("javascript:void(0)","csigapallos")</f>
        <v>csigapallos</v>
      </c>
      <c r="B4037" s="21"/>
      <c r="C4037" s="21"/>
      <c r="D4037" s="21"/>
    </row>
    <row r="4038" spans="1:4" ht="12.75" customHeight="1" x14ac:dyDescent="0.2">
      <c r="A4038" s="20"/>
      <c r="B4038" s="2"/>
      <c r="C4038" s="2"/>
      <c r="D4038" s="2"/>
    </row>
    <row r="4039" spans="1:4" ht="12.75" customHeight="1" x14ac:dyDescent="0.2">
      <c r="A4039" s="21"/>
      <c r="B4039" s="3" t="s">
        <v>0</v>
      </c>
      <c r="C4039" s="20" t="s">
        <v>161</v>
      </c>
      <c r="D4039" s="21"/>
    </row>
    <row r="4040" spans="1:4" ht="12.75" customHeight="1" x14ac:dyDescent="0.2">
      <c r="A4040" s="21"/>
      <c r="B4040" s="3" t="s">
        <v>2</v>
      </c>
      <c r="C4040" s="20" t="s">
        <v>1598</v>
      </c>
      <c r="D4040" s="21"/>
    </row>
    <row r="4041" spans="1:4" ht="12.75" customHeight="1" x14ac:dyDescent="0.2">
      <c r="A4041" s="21"/>
      <c r="B4041" s="3" t="s">
        <v>4</v>
      </c>
      <c r="C4041" s="20" t="s">
        <v>2082</v>
      </c>
      <c r="D4041" s="21"/>
    </row>
    <row r="4042" spans="1:4" ht="12.75" customHeight="1" x14ac:dyDescent="0.2">
      <c r="A4042" s="21"/>
      <c r="B4042" s="3" t="s">
        <v>6</v>
      </c>
      <c r="C4042" s="20" t="s">
        <v>353</v>
      </c>
      <c r="D4042" s="21"/>
    </row>
    <row r="4043" spans="1:4" ht="12.75" customHeight="1" x14ac:dyDescent="0.2">
      <c r="A4043" s="21"/>
      <c r="B4043" s="3" t="s">
        <v>8</v>
      </c>
      <c r="C4043" s="20" t="s">
        <v>2082</v>
      </c>
      <c r="D4043" s="21"/>
    </row>
    <row r="4044" spans="1:4" ht="12.75" customHeight="1" x14ac:dyDescent="0.2">
      <c r="A4044" s="21"/>
      <c r="B4044" s="3" t="s">
        <v>9</v>
      </c>
      <c r="C4044" s="20" t="s">
        <v>2083</v>
      </c>
      <c r="D4044" s="21"/>
    </row>
    <row r="4045" spans="1:4" ht="12.75" customHeight="1" x14ac:dyDescent="0.2">
      <c r="A4045" s="21"/>
      <c r="B4045" s="3" t="s">
        <v>11</v>
      </c>
      <c r="C4045" s="20" t="s">
        <v>1105</v>
      </c>
      <c r="D4045" s="21"/>
    </row>
    <row r="4046" spans="1:4" ht="12.75" customHeight="1" x14ac:dyDescent="0.2">
      <c r="A4046" s="21"/>
      <c r="B4046" s="3" t="s">
        <v>13</v>
      </c>
      <c r="C4046" s="20" t="s">
        <v>24</v>
      </c>
      <c r="D4046" s="21"/>
    </row>
    <row r="4047" spans="1:4" ht="12.75" customHeight="1" x14ac:dyDescent="0.2">
      <c r="A4047" s="21"/>
      <c r="B4047" s="3" t="s">
        <v>15</v>
      </c>
      <c r="C4047" s="20" t="s">
        <v>24</v>
      </c>
      <c r="D4047" s="21"/>
    </row>
    <row r="4048" spans="1:4" ht="12.75" customHeight="1" x14ac:dyDescent="0.2">
      <c r="A4048" s="21"/>
      <c r="B4048" s="3" t="s">
        <v>16</v>
      </c>
      <c r="C4048" s="20"/>
      <c r="D4048" s="21"/>
    </row>
    <row r="4049" spans="1:4" ht="12.75" customHeight="1" x14ac:dyDescent="0.2">
      <c r="A4049" s="21"/>
      <c r="B4049" s="3" t="s">
        <v>17</v>
      </c>
      <c r="C4049" s="20"/>
      <c r="D4049" s="21"/>
    </row>
    <row r="4050" spans="1:4" ht="12.75" customHeight="1" x14ac:dyDescent="0.2">
      <c r="A4050" s="21"/>
      <c r="B4050" s="20" t="s">
        <v>18</v>
      </c>
      <c r="C4050" s="4" t="s">
        <v>244</v>
      </c>
      <c r="D4050" s="6" t="str">
        <f>HYPERLINK("javascript:void(0)","csigaszem")</f>
        <v>csigaszem</v>
      </c>
    </row>
    <row r="4051" spans="1:4" ht="12.75" customHeight="1" x14ac:dyDescent="0.2">
      <c r="A4051" s="21"/>
      <c r="B4051" s="21"/>
      <c r="C4051" s="4" t="s">
        <v>382</v>
      </c>
      <c r="D4051" s="6" t="str">
        <f>HYPERLINK("javascript:void(0)","serte")</f>
        <v>serte</v>
      </c>
    </row>
    <row r="4052" spans="1:4" ht="12.75" customHeight="1" x14ac:dyDescent="0.2">
      <c r="A4052" s="21"/>
      <c r="B4052" s="21"/>
      <c r="C4052" s="4" t="s">
        <v>130</v>
      </c>
      <c r="D4052" s="6" t="str">
        <f>HYPERLINK("javascript:void(0)","fűrészfog")</f>
        <v>fűrészfog</v>
      </c>
    </row>
    <row r="4053" spans="1:4" ht="12.75" customHeight="1" x14ac:dyDescent="0.2">
      <c r="A4053" s="5"/>
      <c r="B4053" s="2"/>
      <c r="C4053" s="2"/>
      <c r="D4053" s="2"/>
    </row>
    <row r="4054" spans="1:4" ht="12.75" customHeight="1" x14ac:dyDescent="0.2">
      <c r="A4054" s="22" t="str">
        <f>HYPERLINK("javascript:void(0)","gyíkacél szigony")</f>
        <v>gyíkacél szigony</v>
      </c>
      <c r="B4054" s="21"/>
      <c r="C4054" s="21"/>
      <c r="D4054" s="21"/>
    </row>
    <row r="4055" spans="1:4" ht="12.75" customHeight="1" x14ac:dyDescent="0.2">
      <c r="A4055" s="20"/>
      <c r="B4055" s="2"/>
      <c r="C4055" s="2"/>
      <c r="D4055" s="2"/>
    </row>
    <row r="4056" spans="1:4" ht="12.75" customHeight="1" x14ac:dyDescent="0.2">
      <c r="A4056" s="21"/>
      <c r="B4056" s="3" t="s">
        <v>0</v>
      </c>
      <c r="C4056" s="20" t="s">
        <v>161</v>
      </c>
      <c r="D4056" s="21"/>
    </row>
    <row r="4057" spans="1:4" ht="12.75" customHeight="1" x14ac:dyDescent="0.2">
      <c r="A4057" s="21"/>
      <c r="B4057" s="3" t="s">
        <v>2</v>
      </c>
      <c r="C4057" s="20" t="s">
        <v>1598</v>
      </c>
      <c r="D4057" s="21"/>
    </row>
    <row r="4058" spans="1:4" ht="12.75" customHeight="1" x14ac:dyDescent="0.2">
      <c r="A4058" s="21"/>
      <c r="B4058" s="3" t="s">
        <v>4</v>
      </c>
      <c r="C4058" s="20" t="s">
        <v>2084</v>
      </c>
      <c r="D4058" s="21"/>
    </row>
    <row r="4059" spans="1:4" ht="12.75" customHeight="1" x14ac:dyDescent="0.2">
      <c r="A4059" s="21"/>
      <c r="B4059" s="3" t="s">
        <v>6</v>
      </c>
      <c r="C4059" s="20" t="s">
        <v>107</v>
      </c>
      <c r="D4059" s="21"/>
    </row>
    <row r="4060" spans="1:4" ht="12.75" customHeight="1" x14ac:dyDescent="0.2">
      <c r="A4060" s="21"/>
      <c r="B4060" s="3" t="s">
        <v>8</v>
      </c>
      <c r="C4060" s="20" t="s">
        <v>2084</v>
      </c>
      <c r="D4060" s="21"/>
    </row>
    <row r="4061" spans="1:4" ht="12.75" customHeight="1" x14ac:dyDescent="0.2">
      <c r="A4061" s="21"/>
      <c r="B4061" s="3" t="s">
        <v>9</v>
      </c>
      <c r="C4061" s="20" t="s">
        <v>2085</v>
      </c>
      <c r="D4061" s="21"/>
    </row>
    <row r="4062" spans="1:4" ht="12.75" customHeight="1" x14ac:dyDescent="0.2">
      <c r="A4062" s="21"/>
      <c r="B4062" s="3" t="s">
        <v>11</v>
      </c>
      <c r="C4062" s="20" t="s">
        <v>2086</v>
      </c>
      <c r="D4062" s="21"/>
    </row>
    <row r="4063" spans="1:4" ht="12.75" customHeight="1" x14ac:dyDescent="0.2">
      <c r="A4063" s="21"/>
      <c r="B4063" s="3" t="s">
        <v>13</v>
      </c>
      <c r="C4063" s="20" t="s">
        <v>24</v>
      </c>
      <c r="D4063" s="21"/>
    </row>
    <row r="4064" spans="1:4" ht="12.75" customHeight="1" x14ac:dyDescent="0.2">
      <c r="A4064" s="21"/>
      <c r="B4064" s="3" t="s">
        <v>15</v>
      </c>
      <c r="C4064" s="20" t="s">
        <v>24</v>
      </c>
      <c r="D4064" s="21"/>
    </row>
    <row r="4065" spans="1:4" ht="12.75" customHeight="1" x14ac:dyDescent="0.2">
      <c r="A4065" s="21"/>
      <c r="B4065" s="3" t="s">
        <v>16</v>
      </c>
      <c r="C4065" s="20"/>
      <c r="D4065" s="21"/>
    </row>
    <row r="4066" spans="1:4" ht="12.75" customHeight="1" x14ac:dyDescent="0.2">
      <c r="A4066" s="21"/>
      <c r="B4066" s="3" t="s">
        <v>17</v>
      </c>
      <c r="C4066" s="20"/>
      <c r="D4066" s="21"/>
    </row>
    <row r="4067" spans="1:4" ht="12.75" customHeight="1" x14ac:dyDescent="0.2">
      <c r="A4067" s="21"/>
      <c r="B4067" s="20" t="s">
        <v>18</v>
      </c>
      <c r="C4067" s="4" t="s">
        <v>163</v>
      </c>
      <c r="D4067" s="6" t="str">
        <f>HYPERLINK("javascript:void(0)","gyémántkarika")</f>
        <v>gyémántkarika</v>
      </c>
    </row>
    <row r="4068" spans="1:4" ht="12.75" customHeight="1" x14ac:dyDescent="0.2">
      <c r="A4068" s="21"/>
      <c r="B4068" s="21"/>
      <c r="C4068" s="4" t="s">
        <v>280</v>
      </c>
      <c r="D4068" s="6" t="str">
        <f>HYPERLINK("javascript:void(0)","szent szimbólum")</f>
        <v>szent szimbólum</v>
      </c>
    </row>
    <row r="4069" spans="1:4" ht="12.75" customHeight="1" x14ac:dyDescent="0.2">
      <c r="A4069" s="21"/>
      <c r="B4069" s="21"/>
      <c r="C4069" s="4" t="s">
        <v>67</v>
      </c>
      <c r="D4069" s="6" t="str">
        <f>HYPERLINK("javascript:void(0)","démonfog")</f>
        <v>démonfog</v>
      </c>
    </row>
    <row r="4070" spans="1:4" ht="12.75" customHeight="1" x14ac:dyDescent="0.2">
      <c r="A4070" s="5"/>
      <c r="B4070" s="2"/>
      <c r="C4070" s="2"/>
      <c r="D4070" s="2"/>
    </row>
    <row r="4071" spans="1:4" ht="12.75" customHeight="1" x14ac:dyDescent="0.2">
      <c r="A4071" s="22" t="str">
        <f>HYPERLINK("javascript:void(0)","rúnakasza")</f>
        <v>rúnakasza</v>
      </c>
      <c r="B4071" s="21"/>
      <c r="C4071" s="21"/>
      <c r="D4071" s="21"/>
    </row>
    <row r="4072" spans="1:4" ht="12.75" customHeight="1" x14ac:dyDescent="0.2">
      <c r="A4072" s="20"/>
      <c r="B4072" s="2"/>
      <c r="C4072" s="2"/>
      <c r="D4072" s="2"/>
    </row>
    <row r="4073" spans="1:4" ht="12.75" customHeight="1" x14ac:dyDescent="0.2">
      <c r="A4073" s="21"/>
      <c r="B4073" s="3" t="s">
        <v>0</v>
      </c>
      <c r="C4073" s="20" t="s">
        <v>253</v>
      </c>
      <c r="D4073" s="21"/>
    </row>
    <row r="4074" spans="1:4" ht="12.75" customHeight="1" x14ac:dyDescent="0.2">
      <c r="A4074" s="21"/>
      <c r="B4074" s="3" t="s">
        <v>2</v>
      </c>
      <c r="C4074" s="20" t="s">
        <v>1598</v>
      </c>
      <c r="D4074" s="21"/>
    </row>
    <row r="4075" spans="1:4" ht="12.75" customHeight="1" x14ac:dyDescent="0.2">
      <c r="A4075" s="21"/>
      <c r="B4075" s="3" t="s">
        <v>4</v>
      </c>
      <c r="C4075" s="20" t="s">
        <v>2088</v>
      </c>
      <c r="D4075" s="21"/>
    </row>
    <row r="4076" spans="1:4" ht="12.75" customHeight="1" x14ac:dyDescent="0.2">
      <c r="A4076" s="21"/>
      <c r="B4076" s="3" t="s">
        <v>6</v>
      </c>
      <c r="C4076" s="20" t="s">
        <v>115</v>
      </c>
      <c r="D4076" s="21"/>
    </row>
    <row r="4077" spans="1:4" ht="12.75" customHeight="1" x14ac:dyDescent="0.2">
      <c r="A4077" s="21"/>
      <c r="B4077" s="3" t="s">
        <v>8</v>
      </c>
      <c r="C4077" s="20" t="s">
        <v>2088</v>
      </c>
      <c r="D4077" s="21"/>
    </row>
    <row r="4078" spans="1:4" ht="12.75" customHeight="1" x14ac:dyDescent="0.2">
      <c r="A4078" s="21"/>
      <c r="B4078" s="3" t="s">
        <v>9</v>
      </c>
      <c r="C4078" s="20" t="s">
        <v>2056</v>
      </c>
      <c r="D4078" s="21"/>
    </row>
    <row r="4079" spans="1:4" ht="12.75" customHeight="1" x14ac:dyDescent="0.2">
      <c r="A4079" s="21"/>
      <c r="B4079" s="3" t="s">
        <v>11</v>
      </c>
      <c r="C4079" s="20" t="s">
        <v>779</v>
      </c>
      <c r="D4079" s="21"/>
    </row>
    <row r="4080" spans="1:4" ht="12.75" customHeight="1" x14ac:dyDescent="0.2">
      <c r="A4080" s="21"/>
      <c r="B4080" s="3" t="s">
        <v>13</v>
      </c>
      <c r="C4080" s="20" t="s">
        <v>24</v>
      </c>
      <c r="D4080" s="21"/>
    </row>
    <row r="4081" spans="1:4" ht="12.75" customHeight="1" x14ac:dyDescent="0.2">
      <c r="A4081" s="21"/>
      <c r="B4081" s="3" t="s">
        <v>15</v>
      </c>
      <c r="C4081" s="20" t="s">
        <v>24</v>
      </c>
      <c r="D4081" s="21"/>
    </row>
    <row r="4082" spans="1:4" ht="12.75" customHeight="1" x14ac:dyDescent="0.2">
      <c r="A4082" s="21"/>
      <c r="B4082" s="3" t="s">
        <v>16</v>
      </c>
      <c r="C4082" s="20"/>
      <c r="D4082" s="21"/>
    </row>
    <row r="4083" spans="1:4" ht="12.75" customHeight="1" x14ac:dyDescent="0.2">
      <c r="A4083" s="21"/>
      <c r="B4083" s="3" t="s">
        <v>17</v>
      </c>
      <c r="C4083" s="20"/>
      <c r="D4083" s="21"/>
    </row>
    <row r="4084" spans="1:4" ht="12.75" customHeight="1" x14ac:dyDescent="0.2">
      <c r="A4084" s="21"/>
      <c r="B4084" s="20" t="s">
        <v>18</v>
      </c>
      <c r="C4084" s="4" t="s">
        <v>44</v>
      </c>
      <c r="D4084" s="6" t="str">
        <f>HYPERLINK("javascript:void(0)","ördögszike")</f>
        <v>ördögszike</v>
      </c>
    </row>
    <row r="4085" spans="1:4" ht="12.75" customHeight="1" x14ac:dyDescent="0.2">
      <c r="A4085" s="21"/>
      <c r="B4085" s="21"/>
      <c r="C4085" s="4" t="s">
        <v>44</v>
      </c>
      <c r="D4085" s="6" t="str">
        <f>HYPERLINK("javascript:void(0)","rúnaszurony")</f>
        <v>rúnaszurony</v>
      </c>
    </row>
    <row r="4086" spans="1:4" ht="12.75" customHeight="1" x14ac:dyDescent="0.2">
      <c r="A4086" s="21"/>
      <c r="B4086" s="21"/>
      <c r="C4086" s="4" t="s">
        <v>44</v>
      </c>
      <c r="D4086" s="6" t="str">
        <f>HYPERLINK("javascript:void(0)","rúnapenge")</f>
        <v>rúnapenge</v>
      </c>
    </row>
    <row r="4087" spans="1:4" ht="12.75" customHeight="1" x14ac:dyDescent="0.2">
      <c r="A4087" s="5"/>
      <c r="B4087" s="2"/>
      <c r="C4087" s="2"/>
      <c r="D4087" s="2"/>
    </row>
    <row r="4088" spans="1:4" ht="12.75" customHeight="1" x14ac:dyDescent="0.2">
      <c r="A4088" s="22" t="str">
        <f>HYPERLINK("javascript:void(0)","vitorlás mágusölő")</f>
        <v>vitorlás mágusölő</v>
      </c>
      <c r="B4088" s="21"/>
      <c r="C4088" s="21"/>
      <c r="D4088" s="21"/>
    </row>
    <row r="4089" spans="1:4" ht="12.75" customHeight="1" x14ac:dyDescent="0.2">
      <c r="A4089" s="20"/>
      <c r="B4089" s="2"/>
      <c r="C4089" s="2"/>
      <c r="D4089" s="2"/>
    </row>
    <row r="4090" spans="1:4" ht="12.75" customHeight="1" x14ac:dyDescent="0.2">
      <c r="A4090" s="21"/>
      <c r="B4090" s="3" t="s">
        <v>0</v>
      </c>
      <c r="C4090" s="20" t="s">
        <v>253</v>
      </c>
      <c r="D4090" s="21"/>
    </row>
    <row r="4091" spans="1:4" ht="12.75" customHeight="1" x14ac:dyDescent="0.2">
      <c r="A4091" s="21"/>
      <c r="B4091" s="3" t="s">
        <v>2</v>
      </c>
      <c r="C4091" s="20" t="s">
        <v>1598</v>
      </c>
      <c r="D4091" s="21"/>
    </row>
    <row r="4092" spans="1:4" ht="12.75" customHeight="1" x14ac:dyDescent="0.2">
      <c r="A4092" s="21"/>
      <c r="B4092" s="3" t="s">
        <v>4</v>
      </c>
      <c r="C4092" s="20" t="s">
        <v>2090</v>
      </c>
      <c r="D4092" s="21"/>
    </row>
    <row r="4093" spans="1:4" ht="12.75" customHeight="1" x14ac:dyDescent="0.2">
      <c r="A4093" s="21"/>
      <c r="B4093" s="3" t="s">
        <v>6</v>
      </c>
      <c r="C4093" s="20" t="s">
        <v>48</v>
      </c>
      <c r="D4093" s="21"/>
    </row>
    <row r="4094" spans="1:4" ht="12.75" customHeight="1" x14ac:dyDescent="0.2">
      <c r="A4094" s="21"/>
      <c r="B4094" s="3" t="s">
        <v>8</v>
      </c>
      <c r="C4094" s="20" t="s">
        <v>2090</v>
      </c>
      <c r="D4094" s="21"/>
    </row>
    <row r="4095" spans="1:4" ht="12.75" customHeight="1" x14ac:dyDescent="0.2">
      <c r="A4095" s="21"/>
      <c r="B4095" s="3" t="s">
        <v>9</v>
      </c>
      <c r="C4095" s="20" t="s">
        <v>1969</v>
      </c>
      <c r="D4095" s="21"/>
    </row>
    <row r="4096" spans="1:4" ht="12.75" customHeight="1" x14ac:dyDescent="0.2">
      <c r="A4096" s="21"/>
      <c r="B4096" s="3" t="s">
        <v>11</v>
      </c>
      <c r="C4096" s="20" t="s">
        <v>1015</v>
      </c>
      <c r="D4096" s="21"/>
    </row>
    <row r="4097" spans="1:4" ht="12.75" customHeight="1" x14ac:dyDescent="0.2">
      <c r="A4097" s="21"/>
      <c r="B4097" s="3" t="s">
        <v>13</v>
      </c>
      <c r="C4097" s="20" t="s">
        <v>14</v>
      </c>
      <c r="D4097" s="21"/>
    </row>
    <row r="4098" spans="1:4" ht="12.75" customHeight="1" x14ac:dyDescent="0.2">
      <c r="A4098" s="21"/>
      <c r="B4098" s="3" t="s">
        <v>15</v>
      </c>
      <c r="C4098" s="20" t="s">
        <v>24</v>
      </c>
      <c r="D4098" s="21"/>
    </row>
    <row r="4099" spans="1:4" ht="12.75" customHeight="1" x14ac:dyDescent="0.2">
      <c r="A4099" s="21"/>
      <c r="B4099" s="3" t="s">
        <v>16</v>
      </c>
      <c r="C4099" s="20"/>
      <c r="D4099" s="21"/>
    </row>
    <row r="4100" spans="1:4" ht="12.75" customHeight="1" x14ac:dyDescent="0.2">
      <c r="A4100" s="21"/>
      <c r="B4100" s="3" t="s">
        <v>17</v>
      </c>
      <c r="C4100" s="20"/>
      <c r="D4100" s="21"/>
    </row>
    <row r="4101" spans="1:4" ht="12.75" customHeight="1" x14ac:dyDescent="0.2">
      <c r="A4101" s="21"/>
      <c r="B4101" s="20" t="s">
        <v>18</v>
      </c>
      <c r="C4101" s="4" t="s">
        <v>327</v>
      </c>
      <c r="D4101" s="6" t="str">
        <f>HYPERLINK("javascript:void(0)","vitorla")</f>
        <v>vitorla</v>
      </c>
    </row>
    <row r="4102" spans="1:4" ht="12.75" customHeight="1" x14ac:dyDescent="0.2">
      <c r="A4102" s="21"/>
      <c r="B4102" s="21"/>
      <c r="C4102" s="4" t="s">
        <v>382</v>
      </c>
      <c r="D4102" s="6" t="str">
        <f>HYPERLINK("javascript:void(0)","orr")</f>
        <v>orr</v>
      </c>
    </row>
    <row r="4103" spans="1:4" ht="12.75" customHeight="1" x14ac:dyDescent="0.2">
      <c r="A4103" s="21"/>
      <c r="B4103" s="21"/>
      <c r="C4103" s="4" t="s">
        <v>139</v>
      </c>
      <c r="D4103" s="6" t="str">
        <f>HYPERLINK("javascript:void(0)","fókaprém")</f>
        <v>fókaprém</v>
      </c>
    </row>
    <row r="4104" spans="1:4" ht="12.75" customHeight="1" x14ac:dyDescent="0.2">
      <c r="A4104" s="5"/>
      <c r="B4104" s="2"/>
      <c r="C4104" s="2"/>
      <c r="D4104" s="2"/>
    </row>
    <row r="4105" spans="1:4" ht="12.75" customHeight="1" x14ac:dyDescent="0.2">
      <c r="A4105" s="22" t="str">
        <f>HYPERLINK("javascript:void(0)","sejtelemszurony")</f>
        <v>sejtelemszurony</v>
      </c>
      <c r="B4105" s="21"/>
      <c r="C4105" s="21"/>
      <c r="D4105" s="21"/>
    </row>
    <row r="4106" spans="1:4" ht="12.75" customHeight="1" x14ac:dyDescent="0.2">
      <c r="A4106" s="20"/>
      <c r="B4106" s="2"/>
      <c r="C4106" s="2"/>
      <c r="D4106" s="2"/>
    </row>
    <row r="4107" spans="1:4" ht="12.75" customHeight="1" x14ac:dyDescent="0.2">
      <c r="A4107" s="21"/>
      <c r="B4107" s="3" t="s">
        <v>0</v>
      </c>
      <c r="C4107" s="20" t="s">
        <v>773</v>
      </c>
      <c r="D4107" s="21"/>
    </row>
    <row r="4108" spans="1:4" ht="12.75" customHeight="1" x14ac:dyDescent="0.2">
      <c r="A4108" s="21"/>
      <c r="B4108" s="3" t="s">
        <v>2</v>
      </c>
      <c r="C4108" s="20" t="s">
        <v>1598</v>
      </c>
      <c r="D4108" s="21"/>
    </row>
    <row r="4109" spans="1:4" ht="12.75" customHeight="1" x14ac:dyDescent="0.2">
      <c r="A4109" s="21"/>
      <c r="B4109" s="3" t="s">
        <v>4</v>
      </c>
      <c r="C4109" s="20" t="s">
        <v>2094</v>
      </c>
      <c r="D4109" s="21"/>
    </row>
    <row r="4110" spans="1:4" ht="12.75" customHeight="1" x14ac:dyDescent="0.2">
      <c r="A4110" s="21"/>
      <c r="B4110" s="3" t="s">
        <v>6</v>
      </c>
      <c r="C4110" s="20" t="s">
        <v>157</v>
      </c>
      <c r="D4110" s="21"/>
    </row>
    <row r="4111" spans="1:4" ht="12.75" customHeight="1" x14ac:dyDescent="0.2">
      <c r="A4111" s="21"/>
      <c r="B4111" s="3" t="s">
        <v>8</v>
      </c>
      <c r="C4111" s="20" t="s">
        <v>2094</v>
      </c>
      <c r="D4111" s="21"/>
    </row>
    <row r="4112" spans="1:4" ht="12.75" customHeight="1" x14ac:dyDescent="0.2">
      <c r="A4112" s="21"/>
      <c r="B4112" s="3" t="s">
        <v>9</v>
      </c>
      <c r="C4112" s="20" t="s">
        <v>2095</v>
      </c>
      <c r="D4112" s="21"/>
    </row>
    <row r="4113" spans="1:4" ht="12.75" customHeight="1" x14ac:dyDescent="0.2">
      <c r="A4113" s="21"/>
      <c r="B4113" s="3" t="s">
        <v>11</v>
      </c>
      <c r="C4113" s="20" t="s">
        <v>785</v>
      </c>
      <c r="D4113" s="21"/>
    </row>
    <row r="4114" spans="1:4" ht="12.75" customHeight="1" x14ac:dyDescent="0.2">
      <c r="A4114" s="21"/>
      <c r="B4114" s="3" t="s">
        <v>13</v>
      </c>
      <c r="C4114" s="20" t="s">
        <v>24</v>
      </c>
      <c r="D4114" s="21"/>
    </row>
    <row r="4115" spans="1:4" ht="12.75" customHeight="1" x14ac:dyDescent="0.2">
      <c r="A4115" s="21"/>
      <c r="B4115" s="3" t="s">
        <v>15</v>
      </c>
      <c r="C4115" s="20" t="s">
        <v>24</v>
      </c>
      <c r="D4115" s="21"/>
    </row>
    <row r="4116" spans="1:4" ht="12.75" customHeight="1" x14ac:dyDescent="0.2">
      <c r="A4116" s="21"/>
      <c r="B4116" s="3" t="s">
        <v>16</v>
      </c>
      <c r="C4116" s="20"/>
      <c r="D4116" s="21"/>
    </row>
    <row r="4117" spans="1:4" ht="12.75" customHeight="1" x14ac:dyDescent="0.2">
      <c r="A4117" s="21"/>
      <c r="B4117" s="3" t="s">
        <v>17</v>
      </c>
      <c r="C4117" s="20"/>
      <c r="D4117" s="21"/>
    </row>
    <row r="4118" spans="1:4" ht="12.75" customHeight="1" x14ac:dyDescent="0.2">
      <c r="A4118" s="21"/>
      <c r="B4118" s="20" t="s">
        <v>18</v>
      </c>
      <c r="C4118" s="4" t="s">
        <v>44</v>
      </c>
      <c r="D4118" s="6" t="str">
        <f>HYPERLINK("javascript:void(0)","rúnakasza")</f>
        <v>rúnakasza</v>
      </c>
    </row>
    <row r="4119" spans="1:4" ht="12.75" customHeight="1" x14ac:dyDescent="0.2">
      <c r="A4119" s="21"/>
      <c r="B4119" s="21"/>
      <c r="C4119" s="4" t="s">
        <v>56</v>
      </c>
      <c r="D4119" s="6" t="str">
        <f>HYPERLINK("javascript:void(0)","wattacsomó")</f>
        <v>wattacsomó</v>
      </c>
    </row>
    <row r="4120" spans="1:4" ht="12.75" customHeight="1" x14ac:dyDescent="0.2">
      <c r="A4120" s="21"/>
      <c r="B4120" s="21"/>
      <c r="C4120" s="4" t="s">
        <v>756</v>
      </c>
      <c r="D4120" s="6" t="str">
        <f>HYPERLINK("javascript:void(0)","bázispár")</f>
        <v>bázispár</v>
      </c>
    </row>
    <row r="4121" spans="1:4" ht="12.75" customHeight="1" x14ac:dyDescent="0.2">
      <c r="A4121" s="5"/>
      <c r="B4121" s="2"/>
      <c r="C4121" s="2"/>
      <c r="D4121" s="2"/>
    </row>
    <row r="4122" spans="1:4" ht="12.75" customHeight="1" x14ac:dyDescent="0.2">
      <c r="A4122" s="22" t="str">
        <f>HYPERLINK("javascript:void(0)","hörcsögfog gigapallos")</f>
        <v>hörcsögfog gigapallos</v>
      </c>
      <c r="B4122" s="21"/>
      <c r="C4122" s="21"/>
      <c r="D4122" s="21"/>
    </row>
    <row r="4123" spans="1:4" ht="12.75" customHeight="1" x14ac:dyDescent="0.2">
      <c r="A4123" s="20"/>
      <c r="B4123" s="2"/>
      <c r="C4123" s="2"/>
      <c r="D4123" s="2"/>
    </row>
    <row r="4124" spans="1:4" ht="12.75" customHeight="1" x14ac:dyDescent="0.2">
      <c r="A4124" s="21"/>
      <c r="B4124" s="3" t="s">
        <v>0</v>
      </c>
      <c r="C4124" s="20" t="s">
        <v>773</v>
      </c>
      <c r="D4124" s="21"/>
    </row>
    <row r="4125" spans="1:4" ht="12.75" customHeight="1" x14ac:dyDescent="0.2">
      <c r="A4125" s="21"/>
      <c r="B4125" s="3" t="s">
        <v>2</v>
      </c>
      <c r="C4125" s="20" t="s">
        <v>1598</v>
      </c>
      <c r="D4125" s="21"/>
    </row>
    <row r="4126" spans="1:4" ht="12.75" customHeight="1" x14ac:dyDescent="0.2">
      <c r="A4126" s="21"/>
      <c r="B4126" s="3" t="s">
        <v>4</v>
      </c>
      <c r="C4126" s="20" t="s">
        <v>2097</v>
      </c>
      <c r="D4126" s="21"/>
    </row>
    <row r="4127" spans="1:4" ht="12.75" customHeight="1" x14ac:dyDescent="0.2">
      <c r="A4127" s="21"/>
      <c r="B4127" s="3" t="s">
        <v>6</v>
      </c>
      <c r="C4127" s="20" t="s">
        <v>178</v>
      </c>
      <c r="D4127" s="21"/>
    </row>
    <row r="4128" spans="1:4" ht="12.75" customHeight="1" x14ac:dyDescent="0.2">
      <c r="A4128" s="21"/>
      <c r="B4128" s="3" t="s">
        <v>8</v>
      </c>
      <c r="C4128" s="20" t="s">
        <v>2097</v>
      </c>
      <c r="D4128" s="21"/>
    </row>
    <row r="4129" spans="1:4" ht="12.75" customHeight="1" x14ac:dyDescent="0.2">
      <c r="A4129" s="21"/>
      <c r="B4129" s="3" t="s">
        <v>9</v>
      </c>
      <c r="C4129" s="20" t="s">
        <v>2098</v>
      </c>
      <c r="D4129" s="21"/>
    </row>
    <row r="4130" spans="1:4" ht="12.75" customHeight="1" x14ac:dyDescent="0.2">
      <c r="A4130" s="21"/>
      <c r="B4130" s="3" t="s">
        <v>11</v>
      </c>
      <c r="C4130" s="20" t="s">
        <v>1145</v>
      </c>
      <c r="D4130" s="21"/>
    </row>
    <row r="4131" spans="1:4" ht="12.75" customHeight="1" x14ac:dyDescent="0.2">
      <c r="A4131" s="21"/>
      <c r="B4131" s="3" t="s">
        <v>13</v>
      </c>
      <c r="C4131" s="20" t="s">
        <v>24</v>
      </c>
      <c r="D4131" s="21"/>
    </row>
    <row r="4132" spans="1:4" ht="12.75" customHeight="1" x14ac:dyDescent="0.2">
      <c r="A4132" s="21"/>
      <c r="B4132" s="3" t="s">
        <v>15</v>
      </c>
      <c r="C4132" s="20" t="s">
        <v>24</v>
      </c>
      <c r="D4132" s="21"/>
    </row>
    <row r="4133" spans="1:4" ht="12.75" customHeight="1" x14ac:dyDescent="0.2">
      <c r="A4133" s="21"/>
      <c r="B4133" s="3" t="s">
        <v>16</v>
      </c>
      <c r="C4133" s="20"/>
      <c r="D4133" s="21"/>
    </row>
    <row r="4134" spans="1:4" ht="12.75" customHeight="1" x14ac:dyDescent="0.2">
      <c r="A4134" s="21"/>
      <c r="B4134" s="3" t="s">
        <v>17</v>
      </c>
      <c r="C4134" s="20"/>
      <c r="D4134" s="21"/>
    </row>
    <row r="4135" spans="1:4" ht="12.75" customHeight="1" x14ac:dyDescent="0.2">
      <c r="A4135" s="21"/>
      <c r="B4135" s="20" t="s">
        <v>18</v>
      </c>
      <c r="C4135" s="4" t="s">
        <v>193</v>
      </c>
      <c r="D4135" s="6" t="str">
        <f>HYPERLINK("javascript:void(0)","ördögpihe")</f>
        <v>ördögpihe</v>
      </c>
    </row>
    <row r="4136" spans="1:4" ht="12.75" customHeight="1" x14ac:dyDescent="0.2">
      <c r="A4136" s="21"/>
      <c r="B4136" s="21"/>
      <c r="C4136" s="4" t="s">
        <v>280</v>
      </c>
      <c r="D4136" s="6" t="str">
        <f>HYPERLINK("javascript:void(0)","vitorla")</f>
        <v>vitorla</v>
      </c>
    </row>
    <row r="4137" spans="1:4" ht="12.75" customHeight="1" x14ac:dyDescent="0.2">
      <c r="A4137" s="21"/>
      <c r="B4137" s="21"/>
      <c r="C4137" s="4" t="s">
        <v>280</v>
      </c>
      <c r="D4137" s="6" t="str">
        <f>HYPERLINK("javascript:void(0)","hörcsögagyar")</f>
        <v>hörcsögagyar</v>
      </c>
    </row>
    <row r="4138" spans="1:4" ht="12.75" customHeight="1" x14ac:dyDescent="0.2">
      <c r="A4138" s="5"/>
      <c r="B4138" s="2"/>
      <c r="C4138" s="2"/>
      <c r="D4138" s="2"/>
    </row>
    <row r="4139" spans="1:4" ht="12.75" customHeight="1" x14ac:dyDescent="0.2">
      <c r="A4139" s="22" t="str">
        <f>HYPERLINK("javascript:void(0)","gyíkacél kornyasztó")</f>
        <v>gyíkacél kornyasztó</v>
      </c>
      <c r="B4139" s="21"/>
      <c r="C4139" s="21"/>
      <c r="D4139" s="21"/>
    </row>
    <row r="4140" spans="1:4" ht="12.75" customHeight="1" x14ac:dyDescent="0.2">
      <c r="A4140" s="20"/>
      <c r="B4140" s="2"/>
      <c r="C4140" s="2"/>
      <c r="D4140" s="2"/>
    </row>
    <row r="4141" spans="1:4" ht="12.75" customHeight="1" x14ac:dyDescent="0.2">
      <c r="A4141" s="21"/>
      <c r="B4141" s="3" t="s">
        <v>0</v>
      </c>
      <c r="C4141" s="20" t="s">
        <v>773</v>
      </c>
      <c r="D4141" s="21"/>
    </row>
    <row r="4142" spans="1:4" ht="12.75" customHeight="1" x14ac:dyDescent="0.2">
      <c r="A4142" s="21"/>
      <c r="B4142" s="3" t="s">
        <v>2</v>
      </c>
      <c r="C4142" s="20" t="s">
        <v>1598</v>
      </c>
      <c r="D4142" s="21"/>
    </row>
    <row r="4143" spans="1:4" ht="12.75" customHeight="1" x14ac:dyDescent="0.2">
      <c r="A4143" s="21"/>
      <c r="B4143" s="3" t="s">
        <v>4</v>
      </c>
      <c r="C4143" s="20" t="s">
        <v>2099</v>
      </c>
      <c r="D4143" s="21"/>
    </row>
    <row r="4144" spans="1:4" ht="12.75" customHeight="1" x14ac:dyDescent="0.2">
      <c r="A4144" s="21"/>
      <c r="B4144" s="3" t="s">
        <v>6</v>
      </c>
      <c r="C4144" s="20" t="s">
        <v>107</v>
      </c>
      <c r="D4144" s="21"/>
    </row>
    <row r="4145" spans="1:4" ht="12.75" customHeight="1" x14ac:dyDescent="0.2">
      <c r="A4145" s="21"/>
      <c r="B4145" s="3" t="s">
        <v>8</v>
      </c>
      <c r="C4145" s="20" t="s">
        <v>2099</v>
      </c>
      <c r="D4145" s="21"/>
    </row>
    <row r="4146" spans="1:4" ht="12.75" customHeight="1" x14ac:dyDescent="0.2">
      <c r="A4146" s="21"/>
      <c r="B4146" s="3" t="s">
        <v>9</v>
      </c>
      <c r="C4146" s="20" t="s">
        <v>2100</v>
      </c>
      <c r="D4146" s="21"/>
    </row>
    <row r="4147" spans="1:4" ht="12.75" customHeight="1" x14ac:dyDescent="0.2">
      <c r="A4147" s="21"/>
      <c r="B4147" s="3" t="s">
        <v>11</v>
      </c>
      <c r="C4147" s="20" t="s">
        <v>688</v>
      </c>
      <c r="D4147" s="21"/>
    </row>
    <row r="4148" spans="1:4" ht="12.75" customHeight="1" x14ac:dyDescent="0.2">
      <c r="A4148" s="21"/>
      <c r="B4148" s="3" t="s">
        <v>13</v>
      </c>
      <c r="C4148" s="20" t="s">
        <v>24</v>
      </c>
      <c r="D4148" s="21"/>
    </row>
    <row r="4149" spans="1:4" ht="12.75" customHeight="1" x14ac:dyDescent="0.2">
      <c r="A4149" s="21"/>
      <c r="B4149" s="3" t="s">
        <v>15</v>
      </c>
      <c r="C4149" s="20" t="s">
        <v>24</v>
      </c>
      <c r="D4149" s="21"/>
    </row>
    <row r="4150" spans="1:4" ht="12.75" customHeight="1" x14ac:dyDescent="0.2">
      <c r="A4150" s="21"/>
      <c r="B4150" s="3" t="s">
        <v>16</v>
      </c>
      <c r="C4150" s="20"/>
      <c r="D4150" s="21"/>
    </row>
    <row r="4151" spans="1:4" ht="12.75" customHeight="1" x14ac:dyDescent="0.2">
      <c r="A4151" s="21"/>
      <c r="B4151" s="3" t="s">
        <v>17</v>
      </c>
      <c r="C4151" s="20"/>
      <c r="D4151" s="21"/>
    </row>
    <row r="4152" spans="1:4" ht="12.75" customHeight="1" x14ac:dyDescent="0.2">
      <c r="A4152" s="21"/>
      <c r="B4152" s="20" t="s">
        <v>18</v>
      </c>
      <c r="C4152" s="4" t="s">
        <v>474</v>
      </c>
      <c r="D4152" s="6" t="str">
        <f>HYPERLINK("javascript:void(0)","aranyzsanér")</f>
        <v>aranyzsanér</v>
      </c>
    </row>
    <row r="4153" spans="1:4" ht="12.75" customHeight="1" x14ac:dyDescent="0.2">
      <c r="A4153" s="21"/>
      <c r="B4153" s="21"/>
      <c r="C4153" s="4" t="s">
        <v>282</v>
      </c>
      <c r="D4153" s="6" t="str">
        <f>HYPERLINK("javascript:void(0)","légzsák")</f>
        <v>légzsák</v>
      </c>
    </row>
    <row r="4154" spans="1:4" ht="12.75" customHeight="1" x14ac:dyDescent="0.2">
      <c r="A4154" s="21"/>
      <c r="B4154" s="21"/>
      <c r="C4154" s="4" t="s">
        <v>67</v>
      </c>
      <c r="D4154" s="6" t="str">
        <f>HYPERLINK("javascript:void(0)","nekroige")</f>
        <v>nekroige</v>
      </c>
    </row>
    <row r="4155" spans="1:4" ht="12.75" customHeight="1" x14ac:dyDescent="0.2">
      <c r="A4155" s="5"/>
      <c r="B4155" s="2"/>
      <c r="C4155" s="2"/>
      <c r="D4155" s="2"/>
    </row>
    <row r="4156" spans="1:4" ht="12.75" customHeight="1" x14ac:dyDescent="0.2">
      <c r="A4156" s="22" t="str">
        <f>HYPERLINK("javascript:void(0)","szellemszurony")</f>
        <v>szellemszurony</v>
      </c>
      <c r="B4156" s="21"/>
      <c r="C4156" s="21"/>
      <c r="D4156" s="21"/>
    </row>
    <row r="4157" spans="1:4" ht="12.75" customHeight="1" x14ac:dyDescent="0.2">
      <c r="A4157" s="20"/>
      <c r="B4157" s="2"/>
      <c r="C4157" s="2"/>
      <c r="D4157" s="2"/>
    </row>
    <row r="4158" spans="1:4" ht="12.75" customHeight="1" x14ac:dyDescent="0.2">
      <c r="A4158" s="21"/>
      <c r="B4158" s="3" t="s">
        <v>0</v>
      </c>
      <c r="C4158" s="20" t="s">
        <v>776</v>
      </c>
      <c r="D4158" s="21"/>
    </row>
    <row r="4159" spans="1:4" ht="12.75" customHeight="1" x14ac:dyDescent="0.2">
      <c r="A4159" s="21"/>
      <c r="B4159" s="3" t="s">
        <v>2</v>
      </c>
      <c r="C4159" s="20" t="s">
        <v>1598</v>
      </c>
      <c r="D4159" s="21"/>
    </row>
    <row r="4160" spans="1:4" ht="12.75" customHeight="1" x14ac:dyDescent="0.2">
      <c r="A4160" s="21"/>
      <c r="B4160" s="3" t="s">
        <v>4</v>
      </c>
      <c r="C4160" s="20" t="s">
        <v>2103</v>
      </c>
      <c r="D4160" s="21"/>
    </row>
    <row r="4161" spans="1:4" ht="12.75" customHeight="1" x14ac:dyDescent="0.2">
      <c r="A4161" s="21"/>
      <c r="B4161" s="3" t="s">
        <v>6</v>
      </c>
      <c r="C4161" s="20" t="s">
        <v>157</v>
      </c>
      <c r="D4161" s="21"/>
    </row>
    <row r="4162" spans="1:4" ht="12.75" customHeight="1" x14ac:dyDescent="0.2">
      <c r="A4162" s="21"/>
      <c r="B4162" s="3" t="s">
        <v>8</v>
      </c>
      <c r="C4162" s="20" t="s">
        <v>2103</v>
      </c>
      <c r="D4162" s="21"/>
    </row>
    <row r="4163" spans="1:4" ht="12.75" customHeight="1" x14ac:dyDescent="0.2">
      <c r="A4163" s="21"/>
      <c r="B4163" s="3" t="s">
        <v>9</v>
      </c>
      <c r="C4163" s="20" t="s">
        <v>2060</v>
      </c>
      <c r="D4163" s="21"/>
    </row>
    <row r="4164" spans="1:4" ht="12.75" customHeight="1" x14ac:dyDescent="0.2">
      <c r="A4164" s="21"/>
      <c r="B4164" s="3" t="s">
        <v>11</v>
      </c>
      <c r="C4164" s="20" t="s">
        <v>793</v>
      </c>
      <c r="D4164" s="21"/>
    </row>
    <row r="4165" spans="1:4" ht="12.75" customHeight="1" x14ac:dyDescent="0.2">
      <c r="A4165" s="21"/>
      <c r="B4165" s="3" t="s">
        <v>13</v>
      </c>
      <c r="C4165" s="20" t="s">
        <v>24</v>
      </c>
      <c r="D4165" s="21"/>
    </row>
    <row r="4166" spans="1:4" ht="12.75" customHeight="1" x14ac:dyDescent="0.2">
      <c r="A4166" s="21"/>
      <c r="B4166" s="3" t="s">
        <v>15</v>
      </c>
      <c r="C4166" s="20" t="s">
        <v>24</v>
      </c>
      <c r="D4166" s="21"/>
    </row>
    <row r="4167" spans="1:4" ht="12.75" customHeight="1" x14ac:dyDescent="0.2">
      <c r="A4167" s="21"/>
      <c r="B4167" s="3" t="s">
        <v>16</v>
      </c>
      <c r="C4167" s="20"/>
      <c r="D4167" s="21"/>
    </row>
    <row r="4168" spans="1:4" ht="12.75" customHeight="1" x14ac:dyDescent="0.2">
      <c r="A4168" s="21"/>
      <c r="B4168" s="3" t="s">
        <v>17</v>
      </c>
      <c r="C4168" s="20"/>
      <c r="D4168" s="21"/>
    </row>
    <row r="4169" spans="1:4" ht="12.75" customHeight="1" x14ac:dyDescent="0.2">
      <c r="A4169" s="21"/>
      <c r="B4169" s="20" t="s">
        <v>18</v>
      </c>
      <c r="C4169" s="4" t="s">
        <v>67</v>
      </c>
      <c r="D4169" s="6" t="str">
        <f>HYPERLINK("javascript:void(0)","hagymapikkely")</f>
        <v>hagymapikkely</v>
      </c>
    </row>
    <row r="4170" spans="1:4" ht="12.75" customHeight="1" x14ac:dyDescent="0.2">
      <c r="A4170" s="21"/>
      <c r="B4170" s="21"/>
      <c r="C4170" s="4" t="s">
        <v>67</v>
      </c>
      <c r="D4170" s="6" t="str">
        <f>HYPERLINK("javascript:void(0)","vaskarima")</f>
        <v>vaskarima</v>
      </c>
    </row>
    <row r="4171" spans="1:4" ht="12.75" customHeight="1" x14ac:dyDescent="0.2">
      <c r="A4171" s="21"/>
      <c r="B4171" s="21"/>
      <c r="C4171" s="4" t="s">
        <v>117</v>
      </c>
      <c r="D4171" s="6" t="str">
        <f>HYPERLINK("javascript:void(0)","térszelet")</f>
        <v>térszelet</v>
      </c>
    </row>
    <row r="4172" spans="1:4" ht="12.75" customHeight="1" x14ac:dyDescent="0.2">
      <c r="A4172" s="5"/>
      <c r="B4172" s="2"/>
      <c r="C4172" s="2"/>
      <c r="D4172" s="2"/>
    </row>
    <row r="4173" spans="1:4" ht="12.75" customHeight="1" x14ac:dyDescent="0.2">
      <c r="A4173" s="22" t="str">
        <f>HYPERLINK("javascript:void(0)","hagymás mágusölő")</f>
        <v>hagymás mágusölő</v>
      </c>
      <c r="B4173" s="21"/>
      <c r="C4173" s="21"/>
      <c r="D4173" s="21"/>
    </row>
    <row r="4174" spans="1:4" ht="12.75" customHeight="1" x14ac:dyDescent="0.2">
      <c r="A4174" s="20"/>
      <c r="B4174" s="2"/>
      <c r="C4174" s="2"/>
      <c r="D4174" s="2"/>
    </row>
    <row r="4175" spans="1:4" ht="12.75" customHeight="1" x14ac:dyDescent="0.2">
      <c r="A4175" s="21"/>
      <c r="B4175" s="3" t="s">
        <v>0</v>
      </c>
      <c r="C4175" s="20" t="s">
        <v>776</v>
      </c>
      <c r="D4175" s="21"/>
    </row>
    <row r="4176" spans="1:4" ht="12.75" customHeight="1" x14ac:dyDescent="0.2">
      <c r="A4176" s="21"/>
      <c r="B4176" s="3" t="s">
        <v>2</v>
      </c>
      <c r="C4176" s="20" t="s">
        <v>1598</v>
      </c>
      <c r="D4176" s="21"/>
    </row>
    <row r="4177" spans="1:4" ht="12.75" customHeight="1" x14ac:dyDescent="0.2">
      <c r="A4177" s="21"/>
      <c r="B4177" s="3" t="s">
        <v>4</v>
      </c>
      <c r="C4177" s="20" t="s">
        <v>2106</v>
      </c>
      <c r="D4177" s="21"/>
    </row>
    <row r="4178" spans="1:4" ht="12.75" customHeight="1" x14ac:dyDescent="0.2">
      <c r="A4178" s="21"/>
      <c r="B4178" s="3" t="s">
        <v>6</v>
      </c>
      <c r="C4178" s="20" t="s">
        <v>48</v>
      </c>
      <c r="D4178" s="21"/>
    </row>
    <row r="4179" spans="1:4" ht="12.75" customHeight="1" x14ac:dyDescent="0.2">
      <c r="A4179" s="21"/>
      <c r="B4179" s="3" t="s">
        <v>8</v>
      </c>
      <c r="C4179" s="20" t="s">
        <v>2106</v>
      </c>
      <c r="D4179" s="21"/>
    </row>
    <row r="4180" spans="1:4" ht="12.75" customHeight="1" x14ac:dyDescent="0.2">
      <c r="A4180" s="21"/>
      <c r="B4180" s="3" t="s">
        <v>9</v>
      </c>
      <c r="C4180" s="20" t="s">
        <v>991</v>
      </c>
      <c r="D4180" s="21"/>
    </row>
    <row r="4181" spans="1:4" ht="12.75" customHeight="1" x14ac:dyDescent="0.2">
      <c r="A4181" s="21"/>
      <c r="B4181" s="3" t="s">
        <v>11</v>
      </c>
      <c r="C4181" s="20" t="s">
        <v>1055</v>
      </c>
      <c r="D4181" s="21"/>
    </row>
    <row r="4182" spans="1:4" ht="12.75" customHeight="1" x14ac:dyDescent="0.2">
      <c r="A4182" s="21"/>
      <c r="B4182" s="3" t="s">
        <v>13</v>
      </c>
      <c r="C4182" s="20" t="s">
        <v>14</v>
      </c>
      <c r="D4182" s="21"/>
    </row>
    <row r="4183" spans="1:4" ht="12.75" customHeight="1" x14ac:dyDescent="0.2">
      <c r="A4183" s="21"/>
      <c r="B4183" s="3" t="s">
        <v>15</v>
      </c>
      <c r="C4183" s="20" t="s">
        <v>24</v>
      </c>
      <c r="D4183" s="21"/>
    </row>
    <row r="4184" spans="1:4" ht="12.75" customHeight="1" x14ac:dyDescent="0.2">
      <c r="A4184" s="21"/>
      <c r="B4184" s="3" t="s">
        <v>16</v>
      </c>
      <c r="C4184" s="20"/>
      <c r="D4184" s="21"/>
    </row>
    <row r="4185" spans="1:4" ht="12.75" customHeight="1" x14ac:dyDescent="0.2">
      <c r="A4185" s="21"/>
      <c r="B4185" s="3" t="s">
        <v>17</v>
      </c>
      <c r="C4185" s="20"/>
      <c r="D4185" s="21"/>
    </row>
    <row r="4186" spans="1:4" ht="12.75" customHeight="1" x14ac:dyDescent="0.2">
      <c r="A4186" s="21"/>
      <c r="B4186" s="20" t="s">
        <v>18</v>
      </c>
      <c r="C4186" s="4" t="s">
        <v>382</v>
      </c>
      <c r="D4186" s="6" t="str">
        <f>HYPERLINK("javascript:void(0)","fűrészfog")</f>
        <v>fűrészfog</v>
      </c>
    </row>
    <row r="4187" spans="1:4" ht="12.75" customHeight="1" x14ac:dyDescent="0.2">
      <c r="A4187" s="21"/>
      <c r="B4187" s="21"/>
      <c r="C4187" s="4" t="s">
        <v>280</v>
      </c>
      <c r="D4187" s="6" t="str">
        <f>HYPERLINK("javascript:void(0)","hagymapikkely")</f>
        <v>hagymapikkely</v>
      </c>
    </row>
    <row r="4188" spans="1:4" ht="12.75" customHeight="1" x14ac:dyDescent="0.2">
      <c r="A4188" s="21"/>
      <c r="B4188" s="21"/>
      <c r="C4188" s="4" t="s">
        <v>139</v>
      </c>
      <c r="D4188" s="6" t="str">
        <f>HYPERLINK("javascript:void(0)","térszelet")</f>
        <v>térszelet</v>
      </c>
    </row>
    <row r="4189" spans="1:4" ht="12.75" customHeight="1" x14ac:dyDescent="0.2">
      <c r="A4189" s="5"/>
      <c r="B4189" s="2"/>
      <c r="C4189" s="2"/>
      <c r="D4189" s="2"/>
    </row>
    <row r="4190" spans="1:4" ht="12.75" customHeight="1" x14ac:dyDescent="0.2">
      <c r="A4190" s="22" t="str">
        <f>HYPERLINK("javascript:void(0)","sejtszellem lándzsa")</f>
        <v>sejtszellem lándzsa</v>
      </c>
      <c r="B4190" s="21"/>
      <c r="C4190" s="21"/>
      <c r="D4190" s="21"/>
    </row>
    <row r="4191" spans="1:4" ht="12.75" customHeight="1" x14ac:dyDescent="0.2">
      <c r="A4191" s="20"/>
      <c r="B4191" s="2"/>
      <c r="C4191" s="2"/>
      <c r="D4191" s="2"/>
    </row>
    <row r="4192" spans="1:4" ht="12.75" customHeight="1" x14ac:dyDescent="0.2">
      <c r="A4192" s="21"/>
      <c r="B4192" s="3" t="s">
        <v>0</v>
      </c>
      <c r="C4192" s="20" t="s">
        <v>782</v>
      </c>
      <c r="D4192" s="21"/>
    </row>
    <row r="4193" spans="1:4" ht="12.75" customHeight="1" x14ac:dyDescent="0.2">
      <c r="A4193" s="21"/>
      <c r="B4193" s="3" t="s">
        <v>2</v>
      </c>
      <c r="C4193" s="20" t="s">
        <v>1598</v>
      </c>
      <c r="D4193" s="21"/>
    </row>
    <row r="4194" spans="1:4" ht="12.75" customHeight="1" x14ac:dyDescent="0.2">
      <c r="A4194" s="21"/>
      <c r="B4194" s="3" t="s">
        <v>4</v>
      </c>
      <c r="C4194" s="20" t="s">
        <v>2108</v>
      </c>
      <c r="D4194" s="21"/>
    </row>
    <row r="4195" spans="1:4" ht="12.75" customHeight="1" x14ac:dyDescent="0.2">
      <c r="A4195" s="21"/>
      <c r="B4195" s="3" t="s">
        <v>6</v>
      </c>
      <c r="C4195" s="20" t="s">
        <v>353</v>
      </c>
      <c r="D4195" s="21"/>
    </row>
    <row r="4196" spans="1:4" ht="12.75" customHeight="1" x14ac:dyDescent="0.2">
      <c r="A4196" s="21"/>
      <c r="B4196" s="3" t="s">
        <v>8</v>
      </c>
      <c r="C4196" s="20" t="s">
        <v>2108</v>
      </c>
      <c r="D4196" s="21"/>
    </row>
    <row r="4197" spans="1:4" ht="12.75" customHeight="1" x14ac:dyDescent="0.2">
      <c r="A4197" s="21"/>
      <c r="B4197" s="3" t="s">
        <v>9</v>
      </c>
      <c r="C4197" s="20" t="s">
        <v>1991</v>
      </c>
      <c r="D4197" s="21"/>
    </row>
    <row r="4198" spans="1:4" ht="12.75" customHeight="1" x14ac:dyDescent="0.2">
      <c r="A4198" s="21"/>
      <c r="B4198" s="3" t="s">
        <v>11</v>
      </c>
      <c r="C4198" s="20" t="s">
        <v>807</v>
      </c>
      <c r="D4198" s="21"/>
    </row>
    <row r="4199" spans="1:4" ht="12.75" customHeight="1" x14ac:dyDescent="0.2">
      <c r="A4199" s="21"/>
      <c r="B4199" s="3" t="s">
        <v>13</v>
      </c>
      <c r="C4199" s="20" t="s">
        <v>24</v>
      </c>
      <c r="D4199" s="21"/>
    </row>
    <row r="4200" spans="1:4" ht="12.75" customHeight="1" x14ac:dyDescent="0.2">
      <c r="A4200" s="21"/>
      <c r="B4200" s="3" t="s">
        <v>15</v>
      </c>
      <c r="C4200" s="20" t="s">
        <v>24</v>
      </c>
      <c r="D4200" s="21"/>
    </row>
    <row r="4201" spans="1:4" ht="12.75" customHeight="1" x14ac:dyDescent="0.2">
      <c r="A4201" s="21"/>
      <c r="B4201" s="3" t="s">
        <v>16</v>
      </c>
      <c r="C4201" s="20"/>
      <c r="D4201" s="21"/>
    </row>
    <row r="4202" spans="1:4" ht="12.75" customHeight="1" x14ac:dyDescent="0.2">
      <c r="A4202" s="21"/>
      <c r="B4202" s="3" t="s">
        <v>17</v>
      </c>
      <c r="C4202" s="20"/>
      <c r="D4202" s="21"/>
    </row>
    <row r="4203" spans="1:4" ht="12.75" customHeight="1" x14ac:dyDescent="0.2">
      <c r="A4203" s="21"/>
      <c r="B4203" s="20" t="s">
        <v>18</v>
      </c>
      <c r="C4203" s="4" t="s">
        <v>44</v>
      </c>
      <c r="D4203" s="6" t="str">
        <f>HYPERLINK("javascript:void(0)","sejtelemszurony")</f>
        <v>sejtelemszurony</v>
      </c>
    </row>
    <row r="4204" spans="1:4" ht="12.75" customHeight="1" x14ac:dyDescent="0.2">
      <c r="A4204" s="21"/>
      <c r="B4204" s="21"/>
      <c r="C4204" s="4" t="s">
        <v>44</v>
      </c>
      <c r="D4204" s="6" t="str">
        <f>HYPERLINK("javascript:void(0)","szellemszurony")</f>
        <v>szellemszurony</v>
      </c>
    </row>
    <row r="4205" spans="1:4" ht="12.75" customHeight="1" x14ac:dyDescent="0.2">
      <c r="A4205" s="21"/>
      <c r="B4205" s="21"/>
      <c r="C4205" s="4" t="s">
        <v>44</v>
      </c>
      <c r="D4205" s="6" t="str">
        <f>HYPERLINK("javascript:void(0)","sejthegy")</f>
        <v>sejthegy</v>
      </c>
    </row>
    <row r="4206" spans="1:4" ht="12.75" customHeight="1" x14ac:dyDescent="0.2">
      <c r="A4206" s="5"/>
      <c r="B4206" s="2"/>
      <c r="C4206" s="2"/>
      <c r="D4206" s="2"/>
    </row>
    <row r="4207" spans="1:4" ht="12.75" customHeight="1" x14ac:dyDescent="0.2">
      <c r="A4207" s="22" t="str">
        <f>HYPERLINK("javascript:void(0)","kőszáraz gigapallos")</f>
        <v>kőszáraz gigapallos</v>
      </c>
      <c r="B4207" s="21"/>
      <c r="C4207" s="21"/>
      <c r="D4207" s="21"/>
    </row>
    <row r="4208" spans="1:4" ht="12.75" customHeight="1" x14ac:dyDescent="0.2">
      <c r="A4208" s="20"/>
      <c r="B4208" s="2"/>
      <c r="C4208" s="2"/>
      <c r="D4208" s="2"/>
    </row>
    <row r="4209" spans="1:4" ht="12.75" customHeight="1" x14ac:dyDescent="0.2">
      <c r="A4209" s="21"/>
      <c r="B4209" s="3" t="s">
        <v>0</v>
      </c>
      <c r="C4209" s="20" t="s">
        <v>782</v>
      </c>
      <c r="D4209" s="21"/>
    </row>
    <row r="4210" spans="1:4" ht="12.75" customHeight="1" x14ac:dyDescent="0.2">
      <c r="A4210" s="21"/>
      <c r="B4210" s="3" t="s">
        <v>2</v>
      </c>
      <c r="C4210" s="20" t="s">
        <v>1598</v>
      </c>
      <c r="D4210" s="21"/>
    </row>
    <row r="4211" spans="1:4" ht="12.75" customHeight="1" x14ac:dyDescent="0.2">
      <c r="A4211" s="21"/>
      <c r="B4211" s="3" t="s">
        <v>4</v>
      </c>
      <c r="C4211" s="20" t="s">
        <v>1344</v>
      </c>
      <c r="D4211" s="21"/>
    </row>
    <row r="4212" spans="1:4" ht="12.75" customHeight="1" x14ac:dyDescent="0.2">
      <c r="A4212" s="21"/>
      <c r="B4212" s="3" t="s">
        <v>6</v>
      </c>
      <c r="C4212" s="20" t="s">
        <v>157</v>
      </c>
      <c r="D4212" s="21"/>
    </row>
    <row r="4213" spans="1:4" ht="12.75" customHeight="1" x14ac:dyDescent="0.2">
      <c r="A4213" s="21"/>
      <c r="B4213" s="3" t="s">
        <v>8</v>
      </c>
      <c r="C4213" s="20" t="s">
        <v>1344</v>
      </c>
      <c r="D4213" s="21"/>
    </row>
    <row r="4214" spans="1:4" ht="12.75" customHeight="1" x14ac:dyDescent="0.2">
      <c r="A4214" s="21"/>
      <c r="B4214" s="3" t="s">
        <v>9</v>
      </c>
      <c r="C4214" s="20" t="s">
        <v>2111</v>
      </c>
      <c r="D4214" s="21"/>
    </row>
    <row r="4215" spans="1:4" ht="12.75" customHeight="1" x14ac:dyDescent="0.2">
      <c r="A4215" s="21"/>
      <c r="B4215" s="3" t="s">
        <v>11</v>
      </c>
      <c r="C4215" s="20" t="s">
        <v>1177</v>
      </c>
      <c r="D4215" s="21"/>
    </row>
    <row r="4216" spans="1:4" ht="12.75" customHeight="1" x14ac:dyDescent="0.2">
      <c r="A4216" s="21"/>
      <c r="B4216" s="3" t="s">
        <v>13</v>
      </c>
      <c r="C4216" s="20" t="s">
        <v>24</v>
      </c>
      <c r="D4216" s="21"/>
    </row>
    <row r="4217" spans="1:4" ht="12.75" customHeight="1" x14ac:dyDescent="0.2">
      <c r="A4217" s="21"/>
      <c r="B4217" s="3" t="s">
        <v>15</v>
      </c>
      <c r="C4217" s="20" t="s">
        <v>24</v>
      </c>
      <c r="D4217" s="21"/>
    </row>
    <row r="4218" spans="1:4" ht="12.75" customHeight="1" x14ac:dyDescent="0.2">
      <c r="A4218" s="21"/>
      <c r="B4218" s="3" t="s">
        <v>16</v>
      </c>
      <c r="C4218" s="20"/>
      <c r="D4218" s="21"/>
    </row>
    <row r="4219" spans="1:4" ht="12.75" customHeight="1" x14ac:dyDescent="0.2">
      <c r="A4219" s="21"/>
      <c r="B4219" s="3" t="s">
        <v>17</v>
      </c>
      <c r="C4219" s="20"/>
      <c r="D4219" s="21"/>
    </row>
    <row r="4220" spans="1:4" ht="12.75" customHeight="1" x14ac:dyDescent="0.2">
      <c r="A4220" s="21"/>
      <c r="B4220" s="20" t="s">
        <v>18</v>
      </c>
      <c r="C4220" s="4" t="s">
        <v>132</v>
      </c>
      <c r="D4220" s="6" t="str">
        <f>HYPERLINK("javascript:void(0)","aszályige")</f>
        <v>aszályige</v>
      </c>
    </row>
    <row r="4221" spans="1:4" ht="12.75" customHeight="1" x14ac:dyDescent="0.2">
      <c r="A4221" s="21"/>
      <c r="B4221" s="21"/>
      <c r="C4221" s="4" t="s">
        <v>139</v>
      </c>
      <c r="D4221" s="6" t="str">
        <f>HYPERLINK("javascript:void(0)","gránitrög")</f>
        <v>gránitrög</v>
      </c>
    </row>
    <row r="4222" spans="1:4" ht="12.75" customHeight="1" x14ac:dyDescent="0.2">
      <c r="A4222" s="21"/>
      <c r="B4222" s="21"/>
      <c r="C4222" s="4" t="s">
        <v>163</v>
      </c>
      <c r="D4222" s="6" t="str">
        <f>HYPERLINK("javascript:void(0)","törmelék")</f>
        <v>törmelék</v>
      </c>
    </row>
    <row r="4223" spans="1:4" ht="12.75" customHeight="1" x14ac:dyDescent="0.2">
      <c r="A4223" s="5"/>
      <c r="B4223" s="2"/>
      <c r="C4223" s="2"/>
      <c r="D4223" s="2"/>
    </row>
    <row r="4224" spans="1:4" ht="12.75" customHeight="1" x14ac:dyDescent="0.2">
      <c r="A4224" s="22" t="str">
        <f>HYPERLINK("javascript:void(0)","gyíkacél machete")</f>
        <v>gyíkacél machete</v>
      </c>
      <c r="B4224" s="21"/>
      <c r="C4224" s="21"/>
      <c r="D4224" s="21"/>
    </row>
    <row r="4225" spans="1:4" ht="12.75" customHeight="1" x14ac:dyDescent="0.2">
      <c r="A4225" s="20"/>
      <c r="B4225" s="2"/>
      <c r="C4225" s="2"/>
      <c r="D4225" s="2"/>
    </row>
    <row r="4226" spans="1:4" ht="12.75" customHeight="1" x14ac:dyDescent="0.2">
      <c r="A4226" s="21"/>
      <c r="B4226" s="3" t="s">
        <v>0</v>
      </c>
      <c r="C4226" s="20" t="s">
        <v>782</v>
      </c>
      <c r="D4226" s="21"/>
    </row>
    <row r="4227" spans="1:4" ht="12.75" customHeight="1" x14ac:dyDescent="0.2">
      <c r="A4227" s="21"/>
      <c r="B4227" s="3" t="s">
        <v>2</v>
      </c>
      <c r="C4227" s="20" t="s">
        <v>1598</v>
      </c>
      <c r="D4227" s="21"/>
    </row>
    <row r="4228" spans="1:4" ht="12.75" customHeight="1" x14ac:dyDescent="0.2">
      <c r="A4228" s="21"/>
      <c r="B4228" s="3" t="s">
        <v>4</v>
      </c>
      <c r="C4228" s="20" t="s">
        <v>2112</v>
      </c>
      <c r="D4228" s="21"/>
    </row>
    <row r="4229" spans="1:4" ht="12.75" customHeight="1" x14ac:dyDescent="0.2">
      <c r="A4229" s="21"/>
      <c r="B4229" s="3" t="s">
        <v>6</v>
      </c>
      <c r="C4229" s="20" t="s">
        <v>107</v>
      </c>
      <c r="D4229" s="21"/>
    </row>
    <row r="4230" spans="1:4" ht="12.75" customHeight="1" x14ac:dyDescent="0.2">
      <c r="A4230" s="21"/>
      <c r="B4230" s="3" t="s">
        <v>8</v>
      </c>
      <c r="C4230" s="20" t="s">
        <v>2112</v>
      </c>
      <c r="D4230" s="21"/>
    </row>
    <row r="4231" spans="1:4" ht="12.75" customHeight="1" x14ac:dyDescent="0.2">
      <c r="A4231" s="21"/>
      <c r="B4231" s="3" t="s">
        <v>9</v>
      </c>
      <c r="C4231" s="20" t="s">
        <v>2113</v>
      </c>
      <c r="D4231" s="21"/>
    </row>
    <row r="4232" spans="1:4" ht="12.75" customHeight="1" x14ac:dyDescent="0.2">
      <c r="A4232" s="21"/>
      <c r="B4232" s="3" t="s">
        <v>11</v>
      </c>
      <c r="C4232" s="20" t="s">
        <v>578</v>
      </c>
      <c r="D4232" s="21"/>
    </row>
    <row r="4233" spans="1:4" ht="12.75" customHeight="1" x14ac:dyDescent="0.2">
      <c r="A4233" s="21"/>
      <c r="B4233" s="3" t="s">
        <v>13</v>
      </c>
      <c r="C4233" s="20" t="s">
        <v>24</v>
      </c>
      <c r="D4233" s="21"/>
    </row>
    <row r="4234" spans="1:4" ht="12.75" customHeight="1" x14ac:dyDescent="0.2">
      <c r="A4234" s="21"/>
      <c r="B4234" s="3" t="s">
        <v>15</v>
      </c>
      <c r="C4234" s="20" t="s">
        <v>24</v>
      </c>
      <c r="D4234" s="21"/>
    </row>
    <row r="4235" spans="1:4" ht="12.75" customHeight="1" x14ac:dyDescent="0.2">
      <c r="A4235" s="21"/>
      <c r="B4235" s="3" t="s">
        <v>16</v>
      </c>
      <c r="C4235" s="20"/>
      <c r="D4235" s="21"/>
    </row>
    <row r="4236" spans="1:4" ht="12.75" customHeight="1" x14ac:dyDescent="0.2">
      <c r="A4236" s="21"/>
      <c r="B4236" s="3" t="s">
        <v>17</v>
      </c>
      <c r="C4236" s="20"/>
      <c r="D4236" s="21"/>
    </row>
    <row r="4237" spans="1:4" ht="12.75" customHeight="1" x14ac:dyDescent="0.2">
      <c r="A4237" s="21"/>
      <c r="B4237" s="20" t="s">
        <v>18</v>
      </c>
      <c r="C4237" s="4" t="s">
        <v>98</v>
      </c>
      <c r="D4237" s="6" t="str">
        <f>HYPERLINK("javascript:void(0)","gránitrög")</f>
        <v>gránitrög</v>
      </c>
    </row>
    <row r="4238" spans="1:4" ht="12.75" customHeight="1" x14ac:dyDescent="0.2">
      <c r="A4238" s="21"/>
      <c r="B4238" s="21"/>
      <c r="C4238" s="4" t="s">
        <v>382</v>
      </c>
      <c r="D4238" s="6" t="str">
        <f>HYPERLINK("javascript:void(0)","sudár")</f>
        <v>sudár</v>
      </c>
    </row>
    <row r="4239" spans="1:4" ht="12.75" customHeight="1" x14ac:dyDescent="0.2">
      <c r="A4239" s="21"/>
      <c r="B4239" s="21"/>
      <c r="C4239" s="4" t="s">
        <v>280</v>
      </c>
      <c r="D4239" s="6" t="str">
        <f>HYPERLINK("javascript:void(0)","varázsige")</f>
        <v>varázsige</v>
      </c>
    </row>
    <row r="4240" spans="1:4" ht="12.75" customHeight="1" x14ac:dyDescent="0.2">
      <c r="A4240" s="5"/>
      <c r="B4240" s="2"/>
      <c r="C4240" s="2"/>
      <c r="D4240" s="2"/>
    </row>
    <row r="4241" spans="1:4" ht="12.75" customHeight="1" x14ac:dyDescent="0.2">
      <c r="A4241" s="22" t="str">
        <f>HYPERLINK("javascript:void(0)","gemini lyuggató")</f>
        <v>gemini lyuggató</v>
      </c>
      <c r="B4241" s="21"/>
      <c r="C4241" s="21"/>
      <c r="D4241" s="21"/>
    </row>
    <row r="4242" spans="1:4" ht="12.75" customHeight="1" x14ac:dyDescent="0.2">
      <c r="A4242" s="20"/>
      <c r="B4242" s="2"/>
      <c r="C4242" s="2"/>
      <c r="D4242" s="2"/>
    </row>
    <row r="4243" spans="1:4" ht="12.75" customHeight="1" x14ac:dyDescent="0.2">
      <c r="A4243" s="21"/>
      <c r="B4243" s="3" t="s">
        <v>0</v>
      </c>
      <c r="C4243" s="20" t="s">
        <v>790</v>
      </c>
      <c r="D4243" s="21"/>
    </row>
    <row r="4244" spans="1:4" ht="12.75" customHeight="1" x14ac:dyDescent="0.2">
      <c r="A4244" s="21"/>
      <c r="B4244" s="3" t="s">
        <v>2</v>
      </c>
      <c r="C4244" s="20" t="s">
        <v>1598</v>
      </c>
      <c r="D4244" s="21"/>
    </row>
    <row r="4245" spans="1:4" ht="12.75" customHeight="1" x14ac:dyDescent="0.2">
      <c r="A4245" s="21"/>
      <c r="B4245" s="3" t="s">
        <v>4</v>
      </c>
      <c r="C4245" s="20" t="s">
        <v>2115</v>
      </c>
      <c r="D4245" s="21"/>
    </row>
    <row r="4246" spans="1:4" ht="12.75" customHeight="1" x14ac:dyDescent="0.2">
      <c r="A4246" s="21"/>
      <c r="B4246" s="3" t="s">
        <v>6</v>
      </c>
      <c r="C4246" s="20" t="s">
        <v>115</v>
      </c>
      <c r="D4246" s="21"/>
    </row>
    <row r="4247" spans="1:4" ht="12.75" customHeight="1" x14ac:dyDescent="0.2">
      <c r="A4247" s="21"/>
      <c r="B4247" s="3" t="s">
        <v>8</v>
      </c>
      <c r="C4247" s="20" t="s">
        <v>2115</v>
      </c>
      <c r="D4247" s="21"/>
    </row>
    <row r="4248" spans="1:4" ht="12.75" customHeight="1" x14ac:dyDescent="0.2">
      <c r="A4248" s="21"/>
      <c r="B4248" s="3" t="s">
        <v>9</v>
      </c>
      <c r="C4248" s="20" t="s">
        <v>2116</v>
      </c>
      <c r="D4248" s="21"/>
    </row>
    <row r="4249" spans="1:4" ht="12.75" customHeight="1" x14ac:dyDescent="0.2">
      <c r="A4249" s="21"/>
      <c r="B4249" s="3" t="s">
        <v>11</v>
      </c>
      <c r="C4249" s="20" t="s">
        <v>817</v>
      </c>
      <c r="D4249" s="21"/>
    </row>
    <row r="4250" spans="1:4" ht="12.75" customHeight="1" x14ac:dyDescent="0.2">
      <c r="A4250" s="21"/>
      <c r="B4250" s="3" t="s">
        <v>13</v>
      </c>
      <c r="C4250" s="20" t="s">
        <v>24</v>
      </c>
      <c r="D4250" s="21"/>
    </row>
    <row r="4251" spans="1:4" ht="12.75" customHeight="1" x14ac:dyDescent="0.2">
      <c r="A4251" s="21"/>
      <c r="B4251" s="3" t="s">
        <v>15</v>
      </c>
      <c r="C4251" s="20" t="s">
        <v>24</v>
      </c>
      <c r="D4251" s="21"/>
    </row>
    <row r="4252" spans="1:4" ht="12.75" customHeight="1" x14ac:dyDescent="0.2">
      <c r="A4252" s="21"/>
      <c r="B4252" s="3" t="s">
        <v>16</v>
      </c>
      <c r="C4252" s="20"/>
      <c r="D4252" s="21"/>
    </row>
    <row r="4253" spans="1:4" ht="12.75" customHeight="1" x14ac:dyDescent="0.2">
      <c r="A4253" s="21"/>
      <c r="B4253" s="3" t="s">
        <v>17</v>
      </c>
      <c r="C4253" s="20"/>
      <c r="D4253" s="21"/>
    </row>
    <row r="4254" spans="1:4" ht="12.75" customHeight="1" x14ac:dyDescent="0.2">
      <c r="A4254" s="21"/>
      <c r="B4254" s="20" t="s">
        <v>18</v>
      </c>
      <c r="C4254" s="4" t="s">
        <v>44</v>
      </c>
      <c r="D4254" s="6" t="str">
        <f>HYPERLINK("javascript:void(0)","sejtszellem lándzsa")</f>
        <v>sejtszellem lándzsa</v>
      </c>
    </row>
    <row r="4255" spans="1:4" ht="12.75" customHeight="1" x14ac:dyDescent="0.2">
      <c r="A4255" s="21"/>
      <c r="B4255" s="21"/>
      <c r="C4255" s="4" t="s">
        <v>56</v>
      </c>
      <c r="D4255" s="6" t="str">
        <f>HYPERLINK("javascript:void(0)","ikerkristály")</f>
        <v>ikerkristály</v>
      </c>
    </row>
    <row r="4256" spans="1:4" ht="12.75" customHeight="1" x14ac:dyDescent="0.2">
      <c r="A4256" s="21"/>
      <c r="B4256" s="21"/>
      <c r="C4256" s="4" t="s">
        <v>117</v>
      </c>
      <c r="D4256" s="6" t="str">
        <f>HYPERLINK("javascript:void(0)","lexikon")</f>
        <v>lexikon</v>
      </c>
    </row>
    <row r="4257" spans="1:4" ht="12.75" customHeight="1" x14ac:dyDescent="0.2">
      <c r="A4257" s="5"/>
      <c r="B4257" s="2"/>
      <c r="C4257" s="2"/>
      <c r="D4257" s="2"/>
    </row>
    <row r="4258" spans="1:4" ht="12.75" customHeight="1" x14ac:dyDescent="0.2">
      <c r="A4258" s="22" t="str">
        <f>HYPERLINK("javascript:void(0)","zsákos mágusölő")</f>
        <v>zsákos mágusölő</v>
      </c>
      <c r="B4258" s="21"/>
      <c r="C4258" s="21"/>
      <c r="D4258" s="21"/>
    </row>
    <row r="4259" spans="1:4" ht="12.75" customHeight="1" x14ac:dyDescent="0.2">
      <c r="A4259" s="20"/>
      <c r="B4259" s="2"/>
      <c r="C4259" s="2"/>
      <c r="D4259" s="2"/>
    </row>
    <row r="4260" spans="1:4" ht="12.75" customHeight="1" x14ac:dyDescent="0.2">
      <c r="A4260" s="21"/>
      <c r="B4260" s="3" t="s">
        <v>0</v>
      </c>
      <c r="C4260" s="20" t="s">
        <v>790</v>
      </c>
      <c r="D4260" s="21"/>
    </row>
    <row r="4261" spans="1:4" ht="12.75" customHeight="1" x14ac:dyDescent="0.2">
      <c r="A4261" s="21"/>
      <c r="B4261" s="3" t="s">
        <v>2</v>
      </c>
      <c r="C4261" s="20" t="s">
        <v>1598</v>
      </c>
      <c r="D4261" s="21"/>
    </row>
    <row r="4262" spans="1:4" ht="12.75" customHeight="1" x14ac:dyDescent="0.2">
      <c r="A4262" s="21"/>
      <c r="B4262" s="3" t="s">
        <v>4</v>
      </c>
      <c r="C4262" s="20" t="s">
        <v>2120</v>
      </c>
      <c r="D4262" s="21"/>
    </row>
    <row r="4263" spans="1:4" ht="12.75" customHeight="1" x14ac:dyDescent="0.2">
      <c r="A4263" s="21"/>
      <c r="B4263" s="3" t="s">
        <v>6</v>
      </c>
      <c r="C4263" s="20" t="s">
        <v>48</v>
      </c>
      <c r="D4263" s="21"/>
    </row>
    <row r="4264" spans="1:4" ht="12.75" customHeight="1" x14ac:dyDescent="0.2">
      <c r="A4264" s="21"/>
      <c r="B4264" s="3" t="s">
        <v>8</v>
      </c>
      <c r="C4264" s="20" t="s">
        <v>2120</v>
      </c>
      <c r="D4264" s="21"/>
    </row>
    <row r="4265" spans="1:4" ht="12.75" customHeight="1" x14ac:dyDescent="0.2">
      <c r="A4265" s="21"/>
      <c r="B4265" s="3" t="s">
        <v>9</v>
      </c>
      <c r="C4265" s="20" t="s">
        <v>1980</v>
      </c>
      <c r="D4265" s="21"/>
    </row>
    <row r="4266" spans="1:4" ht="12.75" customHeight="1" x14ac:dyDescent="0.2">
      <c r="A4266" s="21"/>
      <c r="B4266" s="3" t="s">
        <v>11</v>
      </c>
      <c r="C4266" s="20" t="s">
        <v>1090</v>
      </c>
      <c r="D4266" s="21"/>
    </row>
    <row r="4267" spans="1:4" ht="12.75" customHeight="1" x14ac:dyDescent="0.2">
      <c r="A4267" s="21"/>
      <c r="B4267" s="3" t="s">
        <v>13</v>
      </c>
      <c r="C4267" s="20" t="s">
        <v>14</v>
      </c>
      <c r="D4267" s="21"/>
    </row>
    <row r="4268" spans="1:4" ht="12.75" customHeight="1" x14ac:dyDescent="0.2">
      <c r="A4268" s="21"/>
      <c r="B4268" s="3" t="s">
        <v>15</v>
      </c>
      <c r="C4268" s="20" t="s">
        <v>24</v>
      </c>
      <c r="D4268" s="21"/>
    </row>
    <row r="4269" spans="1:4" ht="12.75" customHeight="1" x14ac:dyDescent="0.2">
      <c r="A4269" s="21"/>
      <c r="B4269" s="3" t="s">
        <v>16</v>
      </c>
      <c r="C4269" s="20"/>
      <c r="D4269" s="21"/>
    </row>
    <row r="4270" spans="1:4" ht="12.75" customHeight="1" x14ac:dyDescent="0.2">
      <c r="A4270" s="21"/>
      <c r="B4270" s="3" t="s">
        <v>17</v>
      </c>
      <c r="C4270" s="20"/>
      <c r="D4270" s="21"/>
    </row>
    <row r="4271" spans="1:4" ht="12.75" customHeight="1" x14ac:dyDescent="0.2">
      <c r="A4271" s="21"/>
      <c r="B4271" s="20" t="s">
        <v>18</v>
      </c>
      <c r="C4271" s="4" t="s">
        <v>269</v>
      </c>
      <c r="D4271" s="6" t="str">
        <f>HYPERLINK("javascript:void(0)","sárkányzsák")</f>
        <v>sárkányzsák</v>
      </c>
    </row>
    <row r="4272" spans="1:4" ht="12.75" customHeight="1" x14ac:dyDescent="0.2">
      <c r="A4272" s="21"/>
      <c r="B4272" s="21"/>
      <c r="C4272" s="4" t="s">
        <v>142</v>
      </c>
      <c r="D4272" s="6" t="str">
        <f>HYPERLINK("javascript:void(0)","hátszarv")</f>
        <v>hátszarv</v>
      </c>
    </row>
    <row r="4273" spans="1:4" ht="12.75" customHeight="1" x14ac:dyDescent="0.2">
      <c r="A4273" s="21"/>
      <c r="B4273" s="21"/>
      <c r="C4273" s="4" t="s">
        <v>117</v>
      </c>
      <c r="D4273" s="6" t="str">
        <f>HYPERLINK("javascript:void(0)","gránitrög")</f>
        <v>gránitrög</v>
      </c>
    </row>
    <row r="4274" spans="1:4" ht="12.75" customHeight="1" x14ac:dyDescent="0.2">
      <c r="A4274" s="5"/>
      <c r="B4274" s="2"/>
      <c r="C4274" s="2"/>
      <c r="D4274" s="2"/>
    </row>
    <row r="4275" spans="1:4" ht="12.75" customHeight="1" x14ac:dyDescent="0.2">
      <c r="A4275" s="22" t="str">
        <f>HYPERLINK("javascript:void(0)","szerencselándzsa")</f>
        <v>szerencselándzsa</v>
      </c>
      <c r="B4275" s="21"/>
      <c r="C4275" s="21"/>
      <c r="D4275" s="21"/>
    </row>
    <row r="4276" spans="1:4" ht="12.75" customHeight="1" x14ac:dyDescent="0.2">
      <c r="A4276" s="20"/>
      <c r="B4276" s="2"/>
      <c r="C4276" s="2"/>
      <c r="D4276" s="2"/>
    </row>
    <row r="4277" spans="1:4" ht="12.75" customHeight="1" x14ac:dyDescent="0.2">
      <c r="A4277" s="21"/>
      <c r="B4277" s="3" t="s">
        <v>0</v>
      </c>
      <c r="C4277" s="20" t="s">
        <v>83</v>
      </c>
      <c r="D4277" s="21"/>
    </row>
    <row r="4278" spans="1:4" ht="12.75" customHeight="1" x14ac:dyDescent="0.2">
      <c r="A4278" s="21"/>
      <c r="B4278" s="3" t="s">
        <v>2</v>
      </c>
      <c r="C4278" s="20" t="s">
        <v>1598</v>
      </c>
      <c r="D4278" s="21"/>
    </row>
    <row r="4279" spans="1:4" ht="12.75" customHeight="1" x14ac:dyDescent="0.2">
      <c r="A4279" s="21"/>
      <c r="B4279" s="3" t="s">
        <v>4</v>
      </c>
      <c r="C4279" s="20" t="s">
        <v>806</v>
      </c>
      <c r="D4279" s="21"/>
    </row>
    <row r="4280" spans="1:4" ht="12.75" customHeight="1" x14ac:dyDescent="0.2">
      <c r="A4280" s="21"/>
      <c r="B4280" s="3" t="s">
        <v>6</v>
      </c>
      <c r="C4280" s="20" t="s">
        <v>260</v>
      </c>
      <c r="D4280" s="21"/>
    </row>
    <row r="4281" spans="1:4" ht="12.75" customHeight="1" x14ac:dyDescent="0.2">
      <c r="A4281" s="21"/>
      <c r="B4281" s="3" t="s">
        <v>8</v>
      </c>
      <c r="C4281" s="20" t="s">
        <v>806</v>
      </c>
      <c r="D4281" s="21"/>
    </row>
    <row r="4282" spans="1:4" ht="12.75" customHeight="1" x14ac:dyDescent="0.2">
      <c r="A4282" s="21"/>
      <c r="B4282" s="3" t="s">
        <v>9</v>
      </c>
      <c r="C4282" s="20" t="s">
        <v>2121</v>
      </c>
      <c r="D4282" s="21"/>
    </row>
    <row r="4283" spans="1:4" ht="12.75" customHeight="1" x14ac:dyDescent="0.2">
      <c r="A4283" s="21"/>
      <c r="B4283" s="3" t="s">
        <v>11</v>
      </c>
      <c r="C4283" s="20" t="s">
        <v>827</v>
      </c>
      <c r="D4283" s="21"/>
    </row>
    <row r="4284" spans="1:4" ht="12.75" customHeight="1" x14ac:dyDescent="0.2">
      <c r="A4284" s="21"/>
      <c r="B4284" s="3" t="s">
        <v>13</v>
      </c>
      <c r="C4284" s="20" t="s">
        <v>24</v>
      </c>
      <c r="D4284" s="21"/>
    </row>
    <row r="4285" spans="1:4" ht="12.75" customHeight="1" x14ac:dyDescent="0.2">
      <c r="A4285" s="21"/>
      <c r="B4285" s="3" t="s">
        <v>15</v>
      </c>
      <c r="C4285" s="20" t="s">
        <v>24</v>
      </c>
      <c r="D4285" s="21"/>
    </row>
    <row r="4286" spans="1:4" ht="12.75" customHeight="1" x14ac:dyDescent="0.2">
      <c r="A4286" s="21"/>
      <c r="B4286" s="3" t="s">
        <v>16</v>
      </c>
      <c r="C4286" s="20"/>
      <c r="D4286" s="21"/>
    </row>
    <row r="4287" spans="1:4" ht="12.75" customHeight="1" x14ac:dyDescent="0.2">
      <c r="A4287" s="21"/>
      <c r="B4287" s="3" t="s">
        <v>17</v>
      </c>
      <c r="C4287" s="20"/>
      <c r="D4287" s="21"/>
    </row>
    <row r="4288" spans="1:4" ht="12.75" customHeight="1" x14ac:dyDescent="0.2">
      <c r="A4288" s="21"/>
      <c r="B4288" s="20" t="s">
        <v>18</v>
      </c>
      <c r="C4288" s="4" t="s">
        <v>232</v>
      </c>
      <c r="D4288" s="6" t="str">
        <f>HYPERLINK("javascript:void(0)","dobókocka")</f>
        <v>dobókocka</v>
      </c>
    </row>
    <row r="4289" spans="1:4" ht="12.75" customHeight="1" x14ac:dyDescent="0.2">
      <c r="A4289" s="21"/>
      <c r="B4289" s="21"/>
      <c r="C4289" s="4" t="s">
        <v>280</v>
      </c>
      <c r="D4289" s="6" t="str">
        <f>HYPERLINK("javascript:void(0)","hagymapikkely")</f>
        <v>hagymapikkely</v>
      </c>
    </row>
    <row r="4290" spans="1:4" ht="12.75" customHeight="1" x14ac:dyDescent="0.2">
      <c r="A4290" s="21"/>
      <c r="B4290" s="21"/>
      <c r="C4290" s="4" t="s">
        <v>117</v>
      </c>
      <c r="D4290" s="6" t="str">
        <f>HYPERLINK("javascript:void(0)","wattacsomó")</f>
        <v>wattacsomó</v>
      </c>
    </row>
    <row r="4291" spans="1:4" ht="12.75" customHeight="1" x14ac:dyDescent="0.2">
      <c r="A4291" s="5"/>
      <c r="B4291" s="2"/>
      <c r="C4291" s="2"/>
      <c r="D4291" s="2"/>
    </row>
    <row r="4292" spans="1:4" ht="12.75" customHeight="1" x14ac:dyDescent="0.2">
      <c r="A4292" s="22" t="str">
        <f>HYPERLINK("javascript:void(0)","átkozott gigapallos")</f>
        <v>átkozott gigapallos</v>
      </c>
      <c r="B4292" s="21"/>
      <c r="C4292" s="21"/>
      <c r="D4292" s="21"/>
    </row>
    <row r="4293" spans="1:4" ht="12.75" customHeight="1" x14ac:dyDescent="0.2">
      <c r="A4293" s="20"/>
      <c r="B4293" s="2"/>
      <c r="C4293" s="2"/>
      <c r="D4293" s="2"/>
    </row>
    <row r="4294" spans="1:4" ht="12.75" customHeight="1" x14ac:dyDescent="0.2">
      <c r="A4294" s="21"/>
      <c r="B4294" s="3" t="s">
        <v>0</v>
      </c>
      <c r="C4294" s="20" t="s">
        <v>83</v>
      </c>
      <c r="D4294" s="21"/>
    </row>
    <row r="4295" spans="1:4" ht="12.75" customHeight="1" x14ac:dyDescent="0.2">
      <c r="A4295" s="21"/>
      <c r="B4295" s="3" t="s">
        <v>2</v>
      </c>
      <c r="C4295" s="20" t="s">
        <v>1598</v>
      </c>
      <c r="D4295" s="21"/>
    </row>
    <row r="4296" spans="1:4" ht="12.75" customHeight="1" x14ac:dyDescent="0.2">
      <c r="A4296" s="21"/>
      <c r="B4296" s="3" t="s">
        <v>4</v>
      </c>
      <c r="C4296" s="20" t="s">
        <v>2122</v>
      </c>
      <c r="D4296" s="21"/>
    </row>
    <row r="4297" spans="1:4" ht="12.75" customHeight="1" x14ac:dyDescent="0.2">
      <c r="A4297" s="21"/>
      <c r="B4297" s="3" t="s">
        <v>6</v>
      </c>
      <c r="C4297" s="20" t="s">
        <v>157</v>
      </c>
      <c r="D4297" s="21"/>
    </row>
    <row r="4298" spans="1:4" ht="12.75" customHeight="1" x14ac:dyDescent="0.2">
      <c r="A4298" s="21"/>
      <c r="B4298" s="3" t="s">
        <v>8</v>
      </c>
      <c r="C4298" s="20" t="s">
        <v>2122</v>
      </c>
      <c r="D4298" s="21"/>
    </row>
    <row r="4299" spans="1:4" ht="12.75" customHeight="1" x14ac:dyDescent="0.2">
      <c r="A4299" s="21"/>
      <c r="B4299" s="3" t="s">
        <v>9</v>
      </c>
      <c r="C4299" s="20" t="s">
        <v>2123</v>
      </c>
      <c r="D4299" s="21"/>
    </row>
    <row r="4300" spans="1:4" ht="12.75" customHeight="1" x14ac:dyDescent="0.2">
      <c r="A4300" s="21"/>
      <c r="B4300" s="3" t="s">
        <v>11</v>
      </c>
      <c r="C4300" s="20" t="s">
        <v>1190</v>
      </c>
      <c r="D4300" s="21"/>
    </row>
    <row r="4301" spans="1:4" ht="12.75" customHeight="1" x14ac:dyDescent="0.2">
      <c r="A4301" s="21"/>
      <c r="B4301" s="3" t="s">
        <v>13</v>
      </c>
      <c r="C4301" s="20" t="s">
        <v>24</v>
      </c>
      <c r="D4301" s="21"/>
    </row>
    <row r="4302" spans="1:4" ht="12.75" customHeight="1" x14ac:dyDescent="0.2">
      <c r="A4302" s="21"/>
      <c r="B4302" s="3" t="s">
        <v>15</v>
      </c>
      <c r="C4302" s="20" t="s">
        <v>24</v>
      </c>
      <c r="D4302" s="21"/>
    </row>
    <row r="4303" spans="1:4" ht="12.75" customHeight="1" x14ac:dyDescent="0.2">
      <c r="A4303" s="21"/>
      <c r="B4303" s="3" t="s">
        <v>16</v>
      </c>
      <c r="C4303" s="20"/>
      <c r="D4303" s="21"/>
    </row>
    <row r="4304" spans="1:4" ht="12.75" customHeight="1" x14ac:dyDescent="0.2">
      <c r="A4304" s="21"/>
      <c r="B4304" s="3" t="s">
        <v>17</v>
      </c>
      <c r="C4304" s="20"/>
      <c r="D4304" s="21"/>
    </row>
    <row r="4305" spans="1:4" ht="12.75" customHeight="1" x14ac:dyDescent="0.2">
      <c r="A4305" s="21"/>
      <c r="B4305" s="20" t="s">
        <v>18</v>
      </c>
      <c r="C4305" s="4" t="s">
        <v>67</v>
      </c>
      <c r="D4305" s="6" t="str">
        <f>HYPERLINK("javascript:void(0)","átokige")</f>
        <v>átokige</v>
      </c>
    </row>
    <row r="4306" spans="1:4" ht="12.75" customHeight="1" x14ac:dyDescent="0.2">
      <c r="A4306" s="21"/>
      <c r="B4306" s="21"/>
      <c r="C4306" s="4" t="s">
        <v>309</v>
      </c>
      <c r="D4306" s="6" t="str">
        <f>HYPERLINK("javascript:void(0)","bigapata")</f>
        <v>bigapata</v>
      </c>
    </row>
    <row r="4307" spans="1:4" ht="12.75" customHeight="1" x14ac:dyDescent="0.2">
      <c r="A4307" s="21"/>
      <c r="B4307" s="21"/>
      <c r="C4307" s="4" t="s">
        <v>193</v>
      </c>
      <c r="D4307" s="6" t="str">
        <f>HYPERLINK("javascript:void(0)","nekroige")</f>
        <v>nekroige</v>
      </c>
    </row>
    <row r="4308" spans="1:4" ht="12.75" customHeight="1" x14ac:dyDescent="0.2">
      <c r="A4308" s="5"/>
      <c r="B4308" s="2"/>
      <c r="C4308" s="2"/>
      <c r="D4308" s="2"/>
    </row>
    <row r="4309" spans="1:4" ht="12.75" customHeight="1" x14ac:dyDescent="0.2">
      <c r="A4309" s="22" t="str">
        <f>HYPERLINK("javascript:void(0)","gyíkacél metélő")</f>
        <v>gyíkacél metélő</v>
      </c>
      <c r="B4309" s="21"/>
      <c r="C4309" s="21"/>
      <c r="D4309" s="21"/>
    </row>
    <row r="4310" spans="1:4" ht="12.75" customHeight="1" x14ac:dyDescent="0.2">
      <c r="A4310" s="20"/>
      <c r="B4310" s="2"/>
      <c r="C4310" s="2"/>
      <c r="D4310" s="2"/>
    </row>
    <row r="4311" spans="1:4" ht="12.75" customHeight="1" x14ac:dyDescent="0.2">
      <c r="A4311" s="21"/>
      <c r="B4311" s="3" t="s">
        <v>0</v>
      </c>
      <c r="C4311" s="20" t="s">
        <v>83</v>
      </c>
      <c r="D4311" s="21"/>
    </row>
    <row r="4312" spans="1:4" ht="12.75" customHeight="1" x14ac:dyDescent="0.2">
      <c r="A4312" s="21"/>
      <c r="B4312" s="3" t="s">
        <v>2</v>
      </c>
      <c r="C4312" s="20" t="s">
        <v>1598</v>
      </c>
      <c r="D4312" s="21"/>
    </row>
    <row r="4313" spans="1:4" ht="12.75" customHeight="1" x14ac:dyDescent="0.2">
      <c r="A4313" s="21"/>
      <c r="B4313" s="3" t="s">
        <v>4</v>
      </c>
      <c r="C4313" s="20" t="s">
        <v>2125</v>
      </c>
      <c r="D4313" s="21"/>
    </row>
    <row r="4314" spans="1:4" ht="12.75" customHeight="1" x14ac:dyDescent="0.2">
      <c r="A4314" s="21"/>
      <c r="B4314" s="3" t="s">
        <v>6</v>
      </c>
      <c r="C4314" s="20" t="s">
        <v>107</v>
      </c>
      <c r="D4314" s="21"/>
    </row>
    <row r="4315" spans="1:4" ht="12.75" customHeight="1" x14ac:dyDescent="0.2">
      <c r="A4315" s="21"/>
      <c r="B4315" s="3" t="s">
        <v>8</v>
      </c>
      <c r="C4315" s="20" t="s">
        <v>2125</v>
      </c>
      <c r="D4315" s="21"/>
    </row>
    <row r="4316" spans="1:4" ht="12.75" customHeight="1" x14ac:dyDescent="0.2">
      <c r="A4316" s="21"/>
      <c r="B4316" s="3" t="s">
        <v>9</v>
      </c>
      <c r="C4316" s="20" t="s">
        <v>2126</v>
      </c>
      <c r="D4316" s="21"/>
    </row>
    <row r="4317" spans="1:4" ht="12.75" customHeight="1" x14ac:dyDescent="0.2">
      <c r="A4317" s="21"/>
      <c r="B4317" s="3" t="s">
        <v>11</v>
      </c>
      <c r="C4317" s="20" t="s">
        <v>596</v>
      </c>
      <c r="D4317" s="21"/>
    </row>
    <row r="4318" spans="1:4" ht="12.75" customHeight="1" x14ac:dyDescent="0.2">
      <c r="A4318" s="21"/>
      <c r="B4318" s="3" t="s">
        <v>13</v>
      </c>
      <c r="C4318" s="20" t="s">
        <v>24</v>
      </c>
      <c r="D4318" s="21"/>
    </row>
    <row r="4319" spans="1:4" ht="12.75" customHeight="1" x14ac:dyDescent="0.2">
      <c r="A4319" s="21"/>
      <c r="B4319" s="3" t="s">
        <v>15</v>
      </c>
      <c r="C4319" s="20" t="s">
        <v>24</v>
      </c>
      <c r="D4319" s="21"/>
    </row>
    <row r="4320" spans="1:4" ht="12.75" customHeight="1" x14ac:dyDescent="0.2">
      <c r="A4320" s="21"/>
      <c r="B4320" s="3" t="s">
        <v>16</v>
      </c>
      <c r="C4320" s="20"/>
      <c r="D4320" s="21"/>
    </row>
    <row r="4321" spans="1:4" ht="12.75" customHeight="1" x14ac:dyDescent="0.2">
      <c r="A4321" s="21"/>
      <c r="B4321" s="3" t="s">
        <v>17</v>
      </c>
      <c r="C4321" s="20"/>
      <c r="D4321" s="21"/>
    </row>
    <row r="4322" spans="1:4" ht="12.75" customHeight="1" x14ac:dyDescent="0.2">
      <c r="A4322" s="21"/>
      <c r="B4322" s="20" t="s">
        <v>18</v>
      </c>
      <c r="C4322" s="4" t="s">
        <v>193</v>
      </c>
      <c r="D4322" s="6" t="str">
        <f>HYPERLINK("javascript:void(0)","sárkány izom")</f>
        <v>sárkány izom</v>
      </c>
    </row>
    <row r="4323" spans="1:4" ht="12.75" customHeight="1" x14ac:dyDescent="0.2">
      <c r="A4323" s="21"/>
      <c r="B4323" s="21"/>
      <c r="C4323" s="4" t="s">
        <v>139</v>
      </c>
      <c r="D4323" s="6" t="str">
        <f>HYPERLINK("javascript:void(0)","melegige")</f>
        <v>melegige</v>
      </c>
    </row>
    <row r="4324" spans="1:4" ht="12.75" customHeight="1" x14ac:dyDescent="0.2">
      <c r="A4324" s="21"/>
      <c r="B4324" s="21"/>
      <c r="C4324" s="4" t="s">
        <v>280</v>
      </c>
      <c r="D4324" s="6" t="str">
        <f>HYPERLINK("javascript:void(0)","csontszilánk")</f>
        <v>csontszilánk</v>
      </c>
    </row>
    <row r="4325" spans="1:4" ht="12.75" customHeight="1" x14ac:dyDescent="0.2">
      <c r="A4325" s="5"/>
      <c r="B4325" s="2"/>
      <c r="C4325" s="2"/>
      <c r="D4325" s="2"/>
    </row>
    <row r="4326" spans="1:4" ht="12.75" customHeight="1" x14ac:dyDescent="0.2">
      <c r="A4326" s="22" t="str">
        <f>HYPERLINK("javascript:void(0)","fejleszelő")</f>
        <v>fejleszelő</v>
      </c>
      <c r="B4326" s="21"/>
      <c r="C4326" s="21"/>
      <c r="D4326" s="21"/>
    </row>
    <row r="4327" spans="1:4" ht="12.75" customHeight="1" x14ac:dyDescent="0.2">
      <c r="A4327" s="20"/>
      <c r="B4327" s="2"/>
      <c r="C4327" s="2"/>
      <c r="D4327" s="2"/>
    </row>
    <row r="4328" spans="1:4" ht="12.75" customHeight="1" x14ac:dyDescent="0.2">
      <c r="A4328" s="21"/>
      <c r="B4328" s="3" t="s">
        <v>0</v>
      </c>
      <c r="C4328" s="20" t="s">
        <v>302</v>
      </c>
      <c r="D4328" s="21"/>
    </row>
    <row r="4329" spans="1:4" ht="12.75" customHeight="1" x14ac:dyDescent="0.2">
      <c r="A4329" s="21"/>
      <c r="B4329" s="3" t="s">
        <v>2</v>
      </c>
      <c r="C4329" s="20" t="s">
        <v>1598</v>
      </c>
      <c r="D4329" s="21"/>
    </row>
    <row r="4330" spans="1:4" ht="12.75" customHeight="1" x14ac:dyDescent="0.2">
      <c r="A4330" s="21"/>
      <c r="B4330" s="3" t="s">
        <v>4</v>
      </c>
      <c r="C4330" s="20" t="s">
        <v>2128</v>
      </c>
      <c r="D4330" s="21"/>
    </row>
    <row r="4331" spans="1:4" ht="12.75" customHeight="1" x14ac:dyDescent="0.2">
      <c r="A4331" s="21"/>
      <c r="B4331" s="3" t="s">
        <v>6</v>
      </c>
      <c r="C4331" s="20" t="s">
        <v>178</v>
      </c>
      <c r="D4331" s="21"/>
    </row>
    <row r="4332" spans="1:4" ht="12.75" customHeight="1" x14ac:dyDescent="0.2">
      <c r="A4332" s="21"/>
      <c r="B4332" s="3" t="s">
        <v>8</v>
      </c>
      <c r="C4332" s="20" t="s">
        <v>2128</v>
      </c>
      <c r="D4332" s="21"/>
    </row>
    <row r="4333" spans="1:4" ht="12.75" customHeight="1" x14ac:dyDescent="0.2">
      <c r="A4333" s="21"/>
      <c r="B4333" s="3" t="s">
        <v>9</v>
      </c>
      <c r="C4333" s="20" t="s">
        <v>916</v>
      </c>
      <c r="D4333" s="21"/>
    </row>
    <row r="4334" spans="1:4" ht="12.75" customHeight="1" x14ac:dyDescent="0.2">
      <c r="A4334" s="21"/>
      <c r="B4334" s="3" t="s">
        <v>11</v>
      </c>
      <c r="C4334" s="20" t="s">
        <v>835</v>
      </c>
      <c r="D4334" s="21"/>
    </row>
    <row r="4335" spans="1:4" ht="12.75" customHeight="1" x14ac:dyDescent="0.2">
      <c r="A4335" s="21"/>
      <c r="B4335" s="3" t="s">
        <v>13</v>
      </c>
      <c r="C4335" s="20" t="s">
        <v>24</v>
      </c>
      <c r="D4335" s="21"/>
    </row>
    <row r="4336" spans="1:4" ht="12.75" customHeight="1" x14ac:dyDescent="0.2">
      <c r="A4336" s="21"/>
      <c r="B4336" s="3" t="s">
        <v>15</v>
      </c>
      <c r="C4336" s="20" t="s">
        <v>24</v>
      </c>
      <c r="D4336" s="21"/>
    </row>
    <row r="4337" spans="1:4" ht="12.75" customHeight="1" x14ac:dyDescent="0.2">
      <c r="A4337" s="21"/>
      <c r="B4337" s="3" t="s">
        <v>16</v>
      </c>
      <c r="C4337" s="20"/>
      <c r="D4337" s="21"/>
    </row>
    <row r="4338" spans="1:4" ht="12.75" customHeight="1" x14ac:dyDescent="0.2">
      <c r="A4338" s="21"/>
      <c r="B4338" s="3" t="s">
        <v>17</v>
      </c>
      <c r="C4338" s="20"/>
      <c r="D4338" s="21"/>
    </row>
    <row r="4339" spans="1:4" ht="12.75" customHeight="1" x14ac:dyDescent="0.2">
      <c r="A4339" s="21"/>
      <c r="B4339" s="20" t="s">
        <v>18</v>
      </c>
      <c r="C4339" s="4" t="s">
        <v>44</v>
      </c>
      <c r="D4339" s="6" t="str">
        <f>HYPERLINK("javascript:void(0)","szerencselándzsa")</f>
        <v>szerencselándzsa</v>
      </c>
    </row>
    <row r="4340" spans="1:4" ht="12.75" customHeight="1" x14ac:dyDescent="0.2">
      <c r="A4340" s="21"/>
      <c r="B4340" s="21"/>
      <c r="C4340" s="4" t="s">
        <v>44</v>
      </c>
      <c r="D4340" s="6" t="str">
        <f>HYPERLINK("javascript:void(0)","gemini lyuggató")</f>
        <v>gemini lyuggató</v>
      </c>
    </row>
    <row r="4341" spans="1:4" ht="25.5" customHeight="1" x14ac:dyDescent="0.2">
      <c r="A4341" s="21"/>
      <c r="B4341" s="21"/>
      <c r="C4341" s="4" t="s">
        <v>44</v>
      </c>
      <c r="D4341" s="6" t="str">
        <f>HYPERLINK("javascript:void(0)","varázslatos tekertcsel")</f>
        <v>varázslatos tekertcsel</v>
      </c>
    </row>
    <row r="4342" spans="1:4" ht="12.75" customHeight="1" x14ac:dyDescent="0.2">
      <c r="A4342" s="5"/>
      <c r="B4342" s="2"/>
      <c r="C4342" s="2"/>
      <c r="D4342" s="2"/>
    </row>
    <row r="4343" spans="1:4" ht="12.75" customHeight="1" x14ac:dyDescent="0.2">
      <c r="A4343" s="22" t="str">
        <f>HYPERLINK("javascript:void(0)","grafitos mágusölő")</f>
        <v>grafitos mágusölő</v>
      </c>
      <c r="B4343" s="21"/>
      <c r="C4343" s="21"/>
      <c r="D4343" s="21"/>
    </row>
    <row r="4344" spans="1:4" ht="12.75" customHeight="1" x14ac:dyDescent="0.2">
      <c r="A4344" s="20"/>
      <c r="B4344" s="2"/>
      <c r="C4344" s="2"/>
      <c r="D4344" s="2"/>
    </row>
    <row r="4345" spans="1:4" ht="12.75" customHeight="1" x14ac:dyDescent="0.2">
      <c r="A4345" s="21"/>
      <c r="B4345" s="3" t="s">
        <v>0</v>
      </c>
      <c r="C4345" s="20" t="s">
        <v>302</v>
      </c>
      <c r="D4345" s="21"/>
    </row>
    <row r="4346" spans="1:4" ht="12.75" customHeight="1" x14ac:dyDescent="0.2">
      <c r="A4346" s="21"/>
      <c r="B4346" s="3" t="s">
        <v>2</v>
      </c>
      <c r="C4346" s="20" t="s">
        <v>1598</v>
      </c>
      <c r="D4346" s="21"/>
    </row>
    <row r="4347" spans="1:4" ht="12.75" customHeight="1" x14ac:dyDescent="0.2">
      <c r="A4347" s="21"/>
      <c r="B4347" s="3" t="s">
        <v>4</v>
      </c>
      <c r="C4347" s="20" t="s">
        <v>2129</v>
      </c>
      <c r="D4347" s="21"/>
    </row>
    <row r="4348" spans="1:4" ht="12.75" customHeight="1" x14ac:dyDescent="0.2">
      <c r="A4348" s="21"/>
      <c r="B4348" s="3" t="s">
        <v>6</v>
      </c>
      <c r="C4348" s="20" t="s">
        <v>48</v>
      </c>
      <c r="D4348" s="21"/>
    </row>
    <row r="4349" spans="1:4" ht="12.75" customHeight="1" x14ac:dyDescent="0.2">
      <c r="A4349" s="21"/>
      <c r="B4349" s="3" t="s">
        <v>8</v>
      </c>
      <c r="C4349" s="20" t="s">
        <v>2129</v>
      </c>
      <c r="D4349" s="21"/>
    </row>
    <row r="4350" spans="1:4" ht="12.75" customHeight="1" x14ac:dyDescent="0.2">
      <c r="A4350" s="21"/>
      <c r="B4350" s="3" t="s">
        <v>9</v>
      </c>
      <c r="C4350" s="20" t="s">
        <v>1023</v>
      </c>
      <c r="D4350" s="21"/>
    </row>
    <row r="4351" spans="1:4" ht="12.75" customHeight="1" x14ac:dyDescent="0.2">
      <c r="A4351" s="21"/>
      <c r="B4351" s="3" t="s">
        <v>11</v>
      </c>
      <c r="C4351" s="20" t="s">
        <v>1125</v>
      </c>
      <c r="D4351" s="21"/>
    </row>
    <row r="4352" spans="1:4" ht="12.75" customHeight="1" x14ac:dyDescent="0.2">
      <c r="A4352" s="21"/>
      <c r="B4352" s="3" t="s">
        <v>13</v>
      </c>
      <c r="C4352" s="20" t="s">
        <v>14</v>
      </c>
      <c r="D4352" s="21"/>
    </row>
    <row r="4353" spans="1:4" ht="12.75" customHeight="1" x14ac:dyDescent="0.2">
      <c r="A4353" s="21"/>
      <c r="B4353" s="3" t="s">
        <v>15</v>
      </c>
      <c r="C4353" s="20" t="s">
        <v>24</v>
      </c>
      <c r="D4353" s="21"/>
    </row>
    <row r="4354" spans="1:4" ht="12.75" customHeight="1" x14ac:dyDescent="0.2">
      <c r="A4354" s="21"/>
      <c r="B4354" s="3" t="s">
        <v>16</v>
      </c>
      <c r="C4354" s="20"/>
      <c r="D4354" s="21"/>
    </row>
    <row r="4355" spans="1:4" ht="12.75" customHeight="1" x14ac:dyDescent="0.2">
      <c r="A4355" s="21"/>
      <c r="B4355" s="3" t="s">
        <v>17</v>
      </c>
      <c r="C4355" s="20"/>
      <c r="D4355" s="21"/>
    </row>
    <row r="4356" spans="1:4" ht="12.75" customHeight="1" x14ac:dyDescent="0.2">
      <c r="A4356" s="21"/>
      <c r="B4356" s="20" t="s">
        <v>18</v>
      </c>
      <c r="C4356" s="4" t="s">
        <v>474</v>
      </c>
      <c r="D4356" s="6" t="str">
        <f>HYPERLINK("javascript:void(0)","serte")</f>
        <v>serte</v>
      </c>
    </row>
    <row r="4357" spans="1:4" ht="12.75" customHeight="1" x14ac:dyDescent="0.2">
      <c r="A4357" s="21"/>
      <c r="B4357" s="21"/>
      <c r="C4357" s="4" t="s">
        <v>139</v>
      </c>
      <c r="D4357" s="6" t="str">
        <f>HYPERLINK("javascript:void(0)","cerka")</f>
        <v>cerka</v>
      </c>
    </row>
    <row r="4358" spans="1:4" ht="12.75" customHeight="1" x14ac:dyDescent="0.2">
      <c r="A4358" s="21"/>
      <c r="B4358" s="21"/>
      <c r="C4358" s="4" t="s">
        <v>117</v>
      </c>
      <c r="D4358" s="6" t="str">
        <f>HYPERLINK("javascript:void(0)","lexikon")</f>
        <v>lexikon</v>
      </c>
    </row>
    <row r="4359" spans="1:4" ht="12.75" customHeight="1" x14ac:dyDescent="0.2">
      <c r="A4359" s="5"/>
      <c r="B4359" s="2"/>
      <c r="C4359" s="2"/>
      <c r="D4359" s="2"/>
    </row>
    <row r="4360" spans="1:4" ht="12.75" customHeight="1" x14ac:dyDescent="0.2">
      <c r="A4360" s="22" t="str">
        <f>HYPERLINK("javascript:void(0)","béklyótőr")</f>
        <v>béklyótőr</v>
      </c>
      <c r="B4360" s="21"/>
      <c r="C4360" s="21"/>
      <c r="D4360" s="21"/>
    </row>
    <row r="4361" spans="1:4" ht="12.75" customHeight="1" x14ac:dyDescent="0.2">
      <c r="A4361" s="20"/>
      <c r="B4361" s="2"/>
      <c r="C4361" s="2"/>
      <c r="D4361" s="2"/>
    </row>
    <row r="4362" spans="1:4" ht="12.75" customHeight="1" x14ac:dyDescent="0.2">
      <c r="A4362" s="21"/>
      <c r="B4362" s="3" t="s">
        <v>0</v>
      </c>
      <c r="C4362" s="20" t="s">
        <v>255</v>
      </c>
      <c r="D4362" s="21"/>
    </row>
    <row r="4363" spans="1:4" ht="12.75" customHeight="1" x14ac:dyDescent="0.2">
      <c r="A4363" s="21"/>
      <c r="B4363" s="3" t="s">
        <v>2</v>
      </c>
      <c r="C4363" s="20" t="s">
        <v>1598</v>
      </c>
      <c r="D4363" s="21"/>
    </row>
    <row r="4364" spans="1:4" ht="12.75" customHeight="1" x14ac:dyDescent="0.2">
      <c r="A4364" s="21"/>
      <c r="B4364" s="3" t="s">
        <v>4</v>
      </c>
      <c r="C4364" s="20" t="s">
        <v>1393</v>
      </c>
      <c r="D4364" s="21"/>
    </row>
    <row r="4365" spans="1:4" ht="12.75" customHeight="1" x14ac:dyDescent="0.2">
      <c r="A4365" s="21"/>
      <c r="B4365" s="3" t="s">
        <v>6</v>
      </c>
      <c r="C4365" s="20" t="s">
        <v>284</v>
      </c>
      <c r="D4365" s="21"/>
    </row>
    <row r="4366" spans="1:4" ht="12.75" customHeight="1" x14ac:dyDescent="0.2">
      <c r="A4366" s="21"/>
      <c r="B4366" s="3" t="s">
        <v>8</v>
      </c>
      <c r="C4366" s="20" t="s">
        <v>1393</v>
      </c>
      <c r="D4366" s="21"/>
    </row>
    <row r="4367" spans="1:4" ht="12.75" customHeight="1" x14ac:dyDescent="0.2">
      <c r="A4367" s="21"/>
      <c r="B4367" s="3" t="s">
        <v>9</v>
      </c>
      <c r="C4367" s="20" t="s">
        <v>2131</v>
      </c>
      <c r="D4367" s="21"/>
    </row>
    <row r="4368" spans="1:4" ht="12.75" customHeight="1" x14ac:dyDescent="0.2">
      <c r="A4368" s="21"/>
      <c r="B4368" s="3" t="s">
        <v>11</v>
      </c>
      <c r="C4368" s="20" t="s">
        <v>847</v>
      </c>
      <c r="D4368" s="21"/>
    </row>
    <row r="4369" spans="1:4" ht="12.75" customHeight="1" x14ac:dyDescent="0.2">
      <c r="A4369" s="21"/>
      <c r="B4369" s="3" t="s">
        <v>13</v>
      </c>
      <c r="C4369" s="20" t="s">
        <v>24</v>
      </c>
      <c r="D4369" s="21"/>
    </row>
    <row r="4370" spans="1:4" ht="12.75" customHeight="1" x14ac:dyDescent="0.2">
      <c r="A4370" s="21"/>
      <c r="B4370" s="3" t="s">
        <v>15</v>
      </c>
      <c r="C4370" s="20" t="s">
        <v>24</v>
      </c>
      <c r="D4370" s="21"/>
    </row>
    <row r="4371" spans="1:4" ht="12.75" customHeight="1" x14ac:dyDescent="0.2">
      <c r="A4371" s="21"/>
      <c r="B4371" s="3" t="s">
        <v>16</v>
      </c>
      <c r="C4371" s="20"/>
      <c r="D4371" s="21"/>
    </row>
    <row r="4372" spans="1:4" ht="12.75" customHeight="1" x14ac:dyDescent="0.2">
      <c r="A4372" s="21"/>
      <c r="B4372" s="3" t="s">
        <v>17</v>
      </c>
      <c r="C4372" s="20"/>
      <c r="D4372" s="21"/>
    </row>
    <row r="4373" spans="1:4" ht="12.75" customHeight="1" x14ac:dyDescent="0.2">
      <c r="A4373" s="21"/>
      <c r="B4373" s="20" t="s">
        <v>18</v>
      </c>
      <c r="C4373" s="4" t="s">
        <v>55</v>
      </c>
      <c r="D4373" s="6" t="str">
        <f>HYPERLINK("javascript:void(0)","monsztabéklyó")</f>
        <v>monsztabéklyó</v>
      </c>
    </row>
    <row r="4374" spans="1:4" ht="12.75" customHeight="1" x14ac:dyDescent="0.2">
      <c r="A4374" s="21"/>
      <c r="B4374" s="21"/>
      <c r="C4374" s="4" t="s">
        <v>44</v>
      </c>
      <c r="D4374" s="6" t="str">
        <f>HYPERLINK("javascript:void(0)","fejleszelő")</f>
        <v>fejleszelő</v>
      </c>
    </row>
    <row r="4375" spans="1:4" ht="12.75" customHeight="1" x14ac:dyDescent="0.2">
      <c r="A4375" s="21"/>
      <c r="B4375" s="21"/>
      <c r="C4375" s="4" t="s">
        <v>265</v>
      </c>
      <c r="D4375" s="6" t="str">
        <f>HYPERLINK("javascript:void(0)","átokige")</f>
        <v>átokige</v>
      </c>
    </row>
    <row r="4376" spans="1:4" ht="12.75" customHeight="1" x14ac:dyDescent="0.2">
      <c r="A4376" s="5"/>
      <c r="B4376" s="2"/>
      <c r="C4376" s="2"/>
      <c r="D4376" s="2"/>
    </row>
    <row r="4377" spans="1:4" ht="12.75" customHeight="1" x14ac:dyDescent="0.2">
      <c r="A4377" s="22" t="str">
        <f>HYPERLINK("javascript:void(0)","gyíkacél ikerpenge")</f>
        <v>gyíkacél ikerpenge</v>
      </c>
      <c r="B4377" s="21"/>
      <c r="C4377" s="21"/>
      <c r="D4377" s="21"/>
    </row>
    <row r="4378" spans="1:4" ht="12.75" customHeight="1" x14ac:dyDescent="0.2">
      <c r="A4378" s="20"/>
      <c r="B4378" s="2"/>
      <c r="C4378" s="2"/>
      <c r="D4378" s="2"/>
    </row>
    <row r="4379" spans="1:4" ht="12.75" customHeight="1" x14ac:dyDescent="0.2">
      <c r="A4379" s="21"/>
      <c r="B4379" s="3" t="s">
        <v>0</v>
      </c>
      <c r="C4379" s="20" t="s">
        <v>255</v>
      </c>
      <c r="D4379" s="21"/>
    </row>
    <row r="4380" spans="1:4" ht="12.75" customHeight="1" x14ac:dyDescent="0.2">
      <c r="A4380" s="21"/>
      <c r="B4380" s="3" t="s">
        <v>2</v>
      </c>
      <c r="C4380" s="20" t="s">
        <v>1598</v>
      </c>
      <c r="D4380" s="21"/>
    </row>
    <row r="4381" spans="1:4" ht="12.75" customHeight="1" x14ac:dyDescent="0.2">
      <c r="A4381" s="21"/>
      <c r="B4381" s="3" t="s">
        <v>4</v>
      </c>
      <c r="C4381" s="20" t="s">
        <v>2133</v>
      </c>
      <c r="D4381" s="21"/>
    </row>
    <row r="4382" spans="1:4" ht="12.75" customHeight="1" x14ac:dyDescent="0.2">
      <c r="A4382" s="21"/>
      <c r="B4382" s="3" t="s">
        <v>6</v>
      </c>
      <c r="C4382" s="20" t="s">
        <v>107</v>
      </c>
      <c r="D4382" s="21"/>
    </row>
    <row r="4383" spans="1:4" ht="12.75" customHeight="1" x14ac:dyDescent="0.2">
      <c r="A4383" s="21"/>
      <c r="B4383" s="3" t="s">
        <v>8</v>
      </c>
      <c r="C4383" s="20" t="s">
        <v>2133</v>
      </c>
      <c r="D4383" s="21"/>
    </row>
    <row r="4384" spans="1:4" ht="12.75" customHeight="1" x14ac:dyDescent="0.2">
      <c r="A4384" s="21"/>
      <c r="B4384" s="3" t="s">
        <v>9</v>
      </c>
      <c r="C4384" s="20" t="s">
        <v>2134</v>
      </c>
      <c r="D4384" s="21"/>
    </row>
    <row r="4385" spans="1:4" ht="12.75" customHeight="1" x14ac:dyDescent="0.2">
      <c r="A4385" s="21"/>
      <c r="B4385" s="3" t="s">
        <v>11</v>
      </c>
      <c r="C4385" s="20" t="s">
        <v>615</v>
      </c>
      <c r="D4385" s="21"/>
    </row>
    <row r="4386" spans="1:4" ht="12.75" customHeight="1" x14ac:dyDescent="0.2">
      <c r="A4386" s="21"/>
      <c r="B4386" s="3" t="s">
        <v>13</v>
      </c>
      <c r="C4386" s="20" t="s">
        <v>24</v>
      </c>
      <c r="D4386" s="21"/>
    </row>
    <row r="4387" spans="1:4" ht="12.75" customHeight="1" x14ac:dyDescent="0.2">
      <c r="A4387" s="21"/>
      <c r="B4387" s="3" t="s">
        <v>15</v>
      </c>
      <c r="C4387" s="20" t="s">
        <v>24</v>
      </c>
      <c r="D4387" s="21"/>
    </row>
    <row r="4388" spans="1:4" ht="12.75" customHeight="1" x14ac:dyDescent="0.2">
      <c r="A4388" s="21"/>
      <c r="B4388" s="3" t="s">
        <v>16</v>
      </c>
      <c r="C4388" s="20"/>
      <c r="D4388" s="21"/>
    </row>
    <row r="4389" spans="1:4" ht="12.75" customHeight="1" x14ac:dyDescent="0.2">
      <c r="A4389" s="21"/>
      <c r="B4389" s="3" t="s">
        <v>17</v>
      </c>
      <c r="C4389" s="20"/>
      <c r="D4389" s="21"/>
    </row>
    <row r="4390" spans="1:4" ht="12.75" customHeight="1" x14ac:dyDescent="0.2">
      <c r="A4390" s="21"/>
      <c r="B4390" s="20" t="s">
        <v>18</v>
      </c>
      <c r="C4390" s="4" t="s">
        <v>139</v>
      </c>
      <c r="D4390" s="6" t="str">
        <f>HYPERLINK("javascript:void(0)","szépia")</f>
        <v>szépia</v>
      </c>
    </row>
    <row r="4391" spans="1:4" ht="12.75" customHeight="1" x14ac:dyDescent="0.2">
      <c r="A4391" s="21"/>
      <c r="B4391" s="21"/>
      <c r="C4391" s="4" t="s">
        <v>382</v>
      </c>
      <c r="D4391" s="6" t="str">
        <f>HYPERLINK("javascript:void(0)","varázsige")</f>
        <v>varázsige</v>
      </c>
    </row>
    <row r="4392" spans="1:4" ht="12.75" customHeight="1" x14ac:dyDescent="0.2">
      <c r="A4392" s="21"/>
      <c r="B4392" s="21"/>
      <c r="C4392" s="4" t="s">
        <v>280</v>
      </c>
      <c r="D4392" s="6" t="str">
        <f>HYPERLINK("javascript:void(0)","horog")</f>
        <v>horog</v>
      </c>
    </row>
    <row r="4393" spans="1:4" ht="12.75" customHeight="1" x14ac:dyDescent="0.2">
      <c r="A4393" s="5"/>
      <c r="B4393" s="2"/>
      <c r="C4393" s="2"/>
      <c r="D4393" s="2"/>
    </row>
    <row r="4394" spans="1:4" ht="12.75" customHeight="1" x14ac:dyDescent="0.2">
      <c r="A4394" s="22" t="str">
        <f>HYPERLINK("javascript:void(0)","ívmetsző")</f>
        <v>ívmetsző</v>
      </c>
      <c r="B4394" s="21"/>
      <c r="C4394" s="21"/>
      <c r="D4394" s="21"/>
    </row>
    <row r="4395" spans="1:4" ht="12.75" customHeight="1" x14ac:dyDescent="0.2">
      <c r="A4395" s="20"/>
      <c r="B4395" s="2"/>
      <c r="C4395" s="2"/>
      <c r="D4395" s="2"/>
    </row>
    <row r="4396" spans="1:4" ht="12.75" customHeight="1" x14ac:dyDescent="0.2">
      <c r="A4396" s="21"/>
      <c r="B4396" s="3" t="s">
        <v>0</v>
      </c>
      <c r="C4396" s="20" t="s">
        <v>281</v>
      </c>
      <c r="D4396" s="21"/>
    </row>
    <row r="4397" spans="1:4" ht="12.75" customHeight="1" x14ac:dyDescent="0.2">
      <c r="A4397" s="21"/>
      <c r="B4397" s="3" t="s">
        <v>2</v>
      </c>
      <c r="C4397" s="20" t="s">
        <v>1598</v>
      </c>
      <c r="D4397" s="21"/>
    </row>
    <row r="4398" spans="1:4" ht="12.75" customHeight="1" x14ac:dyDescent="0.2">
      <c r="A4398" s="21"/>
      <c r="B4398" s="3" t="s">
        <v>4</v>
      </c>
      <c r="C4398" s="20" t="s">
        <v>2136</v>
      </c>
      <c r="D4398" s="21"/>
    </row>
    <row r="4399" spans="1:4" ht="12.75" customHeight="1" x14ac:dyDescent="0.2">
      <c r="A4399" s="21"/>
      <c r="B4399" s="3" t="s">
        <v>6</v>
      </c>
      <c r="C4399" s="20" t="s">
        <v>178</v>
      </c>
      <c r="D4399" s="21"/>
    </row>
    <row r="4400" spans="1:4" ht="12.75" customHeight="1" x14ac:dyDescent="0.2">
      <c r="A4400" s="21"/>
      <c r="B4400" s="3" t="s">
        <v>8</v>
      </c>
      <c r="C4400" s="20" t="s">
        <v>2136</v>
      </c>
      <c r="D4400" s="21"/>
    </row>
    <row r="4401" spans="1:4" ht="12.75" customHeight="1" x14ac:dyDescent="0.2">
      <c r="A4401" s="21"/>
      <c r="B4401" s="3" t="s">
        <v>9</v>
      </c>
      <c r="C4401" s="20" t="s">
        <v>1584</v>
      </c>
      <c r="D4401" s="21"/>
    </row>
    <row r="4402" spans="1:4" ht="12.75" customHeight="1" x14ac:dyDescent="0.2">
      <c r="A4402" s="21"/>
      <c r="B4402" s="3" t="s">
        <v>11</v>
      </c>
      <c r="C4402" s="20" t="s">
        <v>856</v>
      </c>
      <c r="D4402" s="21"/>
    </row>
    <row r="4403" spans="1:4" ht="12.75" customHeight="1" x14ac:dyDescent="0.2">
      <c r="A4403" s="21"/>
      <c r="B4403" s="3" t="s">
        <v>13</v>
      </c>
      <c r="C4403" s="20" t="s">
        <v>24</v>
      </c>
      <c r="D4403" s="21"/>
    </row>
    <row r="4404" spans="1:4" ht="12.75" customHeight="1" x14ac:dyDescent="0.2">
      <c r="A4404" s="21"/>
      <c r="B4404" s="3" t="s">
        <v>15</v>
      </c>
      <c r="C4404" s="20" t="s">
        <v>24</v>
      </c>
      <c r="D4404" s="21"/>
    </row>
    <row r="4405" spans="1:4" ht="12.75" customHeight="1" x14ac:dyDescent="0.2">
      <c r="A4405" s="21"/>
      <c r="B4405" s="3" t="s">
        <v>16</v>
      </c>
      <c r="C4405" s="20"/>
      <c r="D4405" s="21"/>
    </row>
    <row r="4406" spans="1:4" ht="12.75" customHeight="1" x14ac:dyDescent="0.2">
      <c r="A4406" s="21"/>
      <c r="B4406" s="3" t="s">
        <v>17</v>
      </c>
      <c r="C4406" s="20"/>
      <c r="D4406" s="21"/>
    </row>
    <row r="4407" spans="1:4" ht="12.75" customHeight="1" x14ac:dyDescent="0.2">
      <c r="A4407" s="21"/>
      <c r="B4407" s="20" t="s">
        <v>18</v>
      </c>
      <c r="C4407" s="4" t="s">
        <v>67</v>
      </c>
      <c r="D4407" s="6" t="str">
        <f>HYPERLINK("javascript:void(0)","kígyóborda")</f>
        <v>kígyóborda</v>
      </c>
    </row>
    <row r="4408" spans="1:4" ht="12.75" customHeight="1" x14ac:dyDescent="0.2">
      <c r="A4408" s="21"/>
      <c r="B4408" s="21"/>
      <c r="C4408" s="4" t="s">
        <v>67</v>
      </c>
      <c r="D4408" s="6" t="str">
        <f>HYPERLINK("javascript:void(0)","csapdaszeg")</f>
        <v>csapdaszeg</v>
      </c>
    </row>
    <row r="4409" spans="1:4" ht="12.75" customHeight="1" x14ac:dyDescent="0.2">
      <c r="A4409" s="21"/>
      <c r="B4409" s="21"/>
      <c r="C4409" s="4" t="s">
        <v>98</v>
      </c>
      <c r="D4409" s="6" t="str">
        <f>HYPERLINK("javascript:void(0)","sárkányzsák")</f>
        <v>sárkányzsák</v>
      </c>
    </row>
    <row r="4410" spans="1:4" ht="12.75" customHeight="1" x14ac:dyDescent="0.2">
      <c r="A4410" s="5"/>
      <c r="B4410" s="2"/>
      <c r="C4410" s="2"/>
      <c r="D4410" s="2"/>
    </row>
    <row r="4411" spans="1:4" ht="12.75" customHeight="1" x14ac:dyDescent="0.2">
      <c r="A4411" s="22" t="str">
        <f>HYPERLINK("javascript:void(0)","bordázott mágusölő")</f>
        <v>bordázott mágusölő</v>
      </c>
      <c r="B4411" s="21"/>
      <c r="C4411" s="21"/>
      <c r="D4411" s="21"/>
    </row>
    <row r="4412" spans="1:4" ht="12.75" customHeight="1" x14ac:dyDescent="0.2">
      <c r="A4412" s="20"/>
      <c r="B4412" s="2"/>
      <c r="C4412" s="2"/>
      <c r="D4412" s="2"/>
    </row>
    <row r="4413" spans="1:4" ht="12.75" customHeight="1" x14ac:dyDescent="0.2">
      <c r="A4413" s="21"/>
      <c r="B4413" s="3" t="s">
        <v>0</v>
      </c>
      <c r="C4413" s="20" t="s">
        <v>281</v>
      </c>
      <c r="D4413" s="21"/>
    </row>
    <row r="4414" spans="1:4" ht="12.75" customHeight="1" x14ac:dyDescent="0.2">
      <c r="A4414" s="21"/>
      <c r="B4414" s="3" t="s">
        <v>2</v>
      </c>
      <c r="C4414" s="20" t="s">
        <v>1598</v>
      </c>
      <c r="D4414" s="21"/>
    </row>
    <row r="4415" spans="1:4" ht="12.75" customHeight="1" x14ac:dyDescent="0.2">
      <c r="A4415" s="21"/>
      <c r="B4415" s="3" t="s">
        <v>4</v>
      </c>
      <c r="C4415" s="20" t="s">
        <v>2138</v>
      </c>
      <c r="D4415" s="21"/>
    </row>
    <row r="4416" spans="1:4" ht="12.75" customHeight="1" x14ac:dyDescent="0.2">
      <c r="A4416" s="21"/>
      <c r="B4416" s="3" t="s">
        <v>6</v>
      </c>
      <c r="C4416" s="20" t="s">
        <v>48</v>
      </c>
      <c r="D4416" s="21"/>
    </row>
    <row r="4417" spans="1:4" ht="12.75" customHeight="1" x14ac:dyDescent="0.2">
      <c r="A4417" s="21"/>
      <c r="B4417" s="3" t="s">
        <v>8</v>
      </c>
      <c r="C4417" s="20" t="s">
        <v>2138</v>
      </c>
      <c r="D4417" s="21"/>
    </row>
    <row r="4418" spans="1:4" ht="12.75" customHeight="1" x14ac:dyDescent="0.2">
      <c r="A4418" s="21"/>
      <c r="B4418" s="3" t="s">
        <v>9</v>
      </c>
      <c r="C4418" s="20" t="s">
        <v>1989</v>
      </c>
      <c r="D4418" s="21"/>
    </row>
    <row r="4419" spans="1:4" ht="12.75" customHeight="1" x14ac:dyDescent="0.2">
      <c r="A4419" s="21"/>
      <c r="B4419" s="3" t="s">
        <v>11</v>
      </c>
      <c r="C4419" s="20" t="s">
        <v>1159</v>
      </c>
      <c r="D4419" s="21"/>
    </row>
    <row r="4420" spans="1:4" ht="12.75" customHeight="1" x14ac:dyDescent="0.2">
      <c r="A4420" s="21"/>
      <c r="B4420" s="3" t="s">
        <v>13</v>
      </c>
      <c r="C4420" s="20" t="s">
        <v>14</v>
      </c>
      <c r="D4420" s="21"/>
    </row>
    <row r="4421" spans="1:4" ht="12.75" customHeight="1" x14ac:dyDescent="0.2">
      <c r="A4421" s="21"/>
      <c r="B4421" s="3" t="s">
        <v>15</v>
      </c>
      <c r="C4421" s="20" t="s">
        <v>24</v>
      </c>
      <c r="D4421" s="21"/>
    </row>
    <row r="4422" spans="1:4" ht="12.75" customHeight="1" x14ac:dyDescent="0.2">
      <c r="A4422" s="21"/>
      <c r="B4422" s="3" t="s">
        <v>16</v>
      </c>
      <c r="C4422" s="20"/>
      <c r="D4422" s="21"/>
    </row>
    <row r="4423" spans="1:4" ht="12.75" customHeight="1" x14ac:dyDescent="0.2">
      <c r="A4423" s="21"/>
      <c r="B4423" s="3" t="s">
        <v>17</v>
      </c>
      <c r="C4423" s="20"/>
      <c r="D4423" s="21"/>
    </row>
    <row r="4424" spans="1:4" ht="12.75" customHeight="1" x14ac:dyDescent="0.2">
      <c r="A4424" s="21"/>
      <c r="B4424" s="20" t="s">
        <v>18</v>
      </c>
      <c r="C4424" s="4" t="s">
        <v>780</v>
      </c>
      <c r="D4424" s="6" t="str">
        <f>HYPERLINK("javascript:void(0)","hagymapikkely")</f>
        <v>hagymapikkely</v>
      </c>
    </row>
    <row r="4425" spans="1:4" ht="12.75" customHeight="1" x14ac:dyDescent="0.2">
      <c r="A4425" s="21"/>
      <c r="B4425" s="21"/>
      <c r="C4425" s="4" t="s">
        <v>132</v>
      </c>
      <c r="D4425" s="6" t="str">
        <f>HYPERLINK("javascript:void(0)","kígyóborda")</f>
        <v>kígyóborda</v>
      </c>
    </row>
    <row r="4426" spans="1:4" ht="12.75" customHeight="1" x14ac:dyDescent="0.2">
      <c r="A4426" s="21"/>
      <c r="B4426" s="21"/>
      <c r="C4426" s="4" t="s">
        <v>327</v>
      </c>
      <c r="D4426" s="6" t="str">
        <f>HYPERLINK("javascript:void(0)","átokige")</f>
        <v>átokige</v>
      </c>
    </row>
    <row r="4427" spans="1:4" ht="12.75" customHeight="1" x14ac:dyDescent="0.2">
      <c r="A4427" s="5"/>
      <c r="B4427" s="2"/>
      <c r="C4427" s="2"/>
      <c r="D4427" s="2"/>
    </row>
    <row r="4428" spans="1:4" ht="12.75" customHeight="1" x14ac:dyDescent="0.2">
      <c r="A4428" s="22" t="str">
        <f>HYPERLINK("javascript:void(0)","lidérctőr")</f>
        <v>lidérctőr</v>
      </c>
      <c r="B4428" s="21"/>
      <c r="C4428" s="21"/>
      <c r="D4428" s="21"/>
    </row>
    <row r="4429" spans="1:4" ht="12.75" customHeight="1" x14ac:dyDescent="0.2">
      <c r="A4429" s="20"/>
      <c r="B4429" s="2"/>
      <c r="C4429" s="2"/>
      <c r="D4429" s="2"/>
    </row>
    <row r="4430" spans="1:4" ht="12.75" customHeight="1" x14ac:dyDescent="0.2">
      <c r="A4430" s="21"/>
      <c r="B4430" s="3" t="s">
        <v>0</v>
      </c>
      <c r="C4430" s="20" t="s">
        <v>181</v>
      </c>
      <c r="D4430" s="21"/>
    </row>
    <row r="4431" spans="1:4" ht="12.75" customHeight="1" x14ac:dyDescent="0.2">
      <c r="A4431" s="21"/>
      <c r="B4431" s="3" t="s">
        <v>2</v>
      </c>
      <c r="C4431" s="20" t="s">
        <v>1598</v>
      </c>
      <c r="D4431" s="21"/>
    </row>
    <row r="4432" spans="1:4" ht="12.75" customHeight="1" x14ac:dyDescent="0.2">
      <c r="A4432" s="21"/>
      <c r="B4432" s="3" t="s">
        <v>4</v>
      </c>
      <c r="C4432" s="20" t="s">
        <v>1415</v>
      </c>
      <c r="D4432" s="21"/>
    </row>
    <row r="4433" spans="1:4" ht="12.75" customHeight="1" x14ac:dyDescent="0.2">
      <c r="A4433" s="21"/>
      <c r="B4433" s="3" t="s">
        <v>6</v>
      </c>
      <c r="C4433" s="20" t="s">
        <v>157</v>
      </c>
      <c r="D4433" s="21"/>
    </row>
    <row r="4434" spans="1:4" ht="12.75" customHeight="1" x14ac:dyDescent="0.2">
      <c r="A4434" s="21"/>
      <c r="B4434" s="3" t="s">
        <v>8</v>
      </c>
      <c r="C4434" s="20" t="s">
        <v>1415</v>
      </c>
      <c r="D4434" s="21"/>
    </row>
    <row r="4435" spans="1:4" ht="12.75" customHeight="1" x14ac:dyDescent="0.2">
      <c r="A4435" s="21"/>
      <c r="B4435" s="3" t="s">
        <v>9</v>
      </c>
      <c r="C4435" s="20" t="s">
        <v>374</v>
      </c>
      <c r="D4435" s="21"/>
    </row>
    <row r="4436" spans="1:4" ht="12.75" customHeight="1" x14ac:dyDescent="0.2">
      <c r="A4436" s="21"/>
      <c r="B4436" s="3" t="s">
        <v>11</v>
      </c>
      <c r="C4436" s="20" t="s">
        <v>866</v>
      </c>
      <c r="D4436" s="21"/>
    </row>
    <row r="4437" spans="1:4" ht="12.75" customHeight="1" x14ac:dyDescent="0.2">
      <c r="A4437" s="21"/>
      <c r="B4437" s="3" t="s">
        <v>13</v>
      </c>
      <c r="C4437" s="20" t="s">
        <v>24</v>
      </c>
      <c r="D4437" s="21"/>
    </row>
    <row r="4438" spans="1:4" ht="12.75" customHeight="1" x14ac:dyDescent="0.2">
      <c r="A4438" s="21"/>
      <c r="B4438" s="3" t="s">
        <v>15</v>
      </c>
      <c r="C4438" s="20" t="s">
        <v>24</v>
      </c>
      <c r="D4438" s="21"/>
    </row>
    <row r="4439" spans="1:4" ht="12.75" customHeight="1" x14ac:dyDescent="0.2">
      <c r="A4439" s="21"/>
      <c r="B4439" s="3" t="s">
        <v>16</v>
      </c>
      <c r="C4439" s="20"/>
      <c r="D4439" s="21"/>
    </row>
    <row r="4440" spans="1:4" ht="12.75" customHeight="1" x14ac:dyDescent="0.2">
      <c r="A4440" s="21"/>
      <c r="B4440" s="3" t="s">
        <v>17</v>
      </c>
      <c r="C4440" s="20"/>
      <c r="D4440" s="21"/>
    </row>
    <row r="4441" spans="1:4" ht="12.75" customHeight="1" x14ac:dyDescent="0.2">
      <c r="A4441" s="21"/>
      <c r="B4441" s="20" t="s">
        <v>18</v>
      </c>
      <c r="C4441" s="4" t="s">
        <v>44</v>
      </c>
      <c r="D4441" s="6" t="str">
        <f>HYPERLINK("javascript:void(0)","béklyótőr")</f>
        <v>béklyótőr</v>
      </c>
    </row>
    <row r="4442" spans="1:4" ht="12.75" customHeight="1" x14ac:dyDescent="0.2">
      <c r="A4442" s="21"/>
      <c r="B4442" s="21"/>
      <c r="C4442" s="4" t="s">
        <v>44</v>
      </c>
      <c r="D4442" s="6" t="str">
        <f>HYPERLINK("javascript:void(0)","ívmetsző")</f>
        <v>ívmetsző</v>
      </c>
    </row>
    <row r="4443" spans="1:4" ht="12.75" customHeight="1" x14ac:dyDescent="0.2">
      <c r="A4443" s="21"/>
      <c r="B4443" s="21"/>
      <c r="C4443" s="4" t="s">
        <v>44</v>
      </c>
      <c r="D4443" s="6" t="str">
        <f>HYPERLINK("javascript:void(0)","lidércpenge")</f>
        <v>lidércpenge</v>
      </c>
    </row>
    <row r="4444" spans="1:4" ht="12.75" customHeight="1" x14ac:dyDescent="0.2">
      <c r="A4444" s="5"/>
      <c r="B4444" s="2"/>
      <c r="C4444" s="2"/>
      <c r="D4444" s="2"/>
    </row>
    <row r="4445" spans="1:4" ht="12.75" customHeight="1" x14ac:dyDescent="0.2">
      <c r="A4445" s="22" t="str">
        <f>HYPERLINK("javascript:void(0)","gyíkacél suhintó")</f>
        <v>gyíkacél suhintó</v>
      </c>
      <c r="B4445" s="21"/>
      <c r="C4445" s="21"/>
      <c r="D4445" s="21"/>
    </row>
    <row r="4446" spans="1:4" ht="12.75" customHeight="1" x14ac:dyDescent="0.2">
      <c r="A4446" s="20"/>
      <c r="B4446" s="2"/>
      <c r="C4446" s="2"/>
      <c r="D4446" s="2"/>
    </row>
    <row r="4447" spans="1:4" ht="12.75" customHeight="1" x14ac:dyDescent="0.2">
      <c r="A4447" s="21"/>
      <c r="B4447" s="3" t="s">
        <v>0</v>
      </c>
      <c r="C4447" s="20" t="s">
        <v>181</v>
      </c>
      <c r="D4447" s="21"/>
    </row>
    <row r="4448" spans="1:4" ht="12.75" customHeight="1" x14ac:dyDescent="0.2">
      <c r="A4448" s="21"/>
      <c r="B4448" s="3" t="s">
        <v>2</v>
      </c>
      <c r="C4448" s="20" t="s">
        <v>1598</v>
      </c>
      <c r="D4448" s="21"/>
    </row>
    <row r="4449" spans="1:4" ht="12.75" customHeight="1" x14ac:dyDescent="0.2">
      <c r="A4449" s="21"/>
      <c r="B4449" s="3" t="s">
        <v>4</v>
      </c>
      <c r="C4449" s="20" t="s">
        <v>2142</v>
      </c>
      <c r="D4449" s="21"/>
    </row>
    <row r="4450" spans="1:4" ht="12.75" customHeight="1" x14ac:dyDescent="0.2">
      <c r="A4450" s="21"/>
      <c r="B4450" s="3" t="s">
        <v>6</v>
      </c>
      <c r="C4450" s="20" t="s">
        <v>107</v>
      </c>
      <c r="D4450" s="21"/>
    </row>
    <row r="4451" spans="1:4" ht="12.75" customHeight="1" x14ac:dyDescent="0.2">
      <c r="A4451" s="21"/>
      <c r="B4451" s="3" t="s">
        <v>8</v>
      </c>
      <c r="C4451" s="20" t="s">
        <v>2142</v>
      </c>
      <c r="D4451" s="21"/>
    </row>
    <row r="4452" spans="1:4" ht="12.75" customHeight="1" x14ac:dyDescent="0.2">
      <c r="A4452" s="21"/>
      <c r="B4452" s="3" t="s">
        <v>9</v>
      </c>
      <c r="C4452" s="20" t="s">
        <v>2143</v>
      </c>
      <c r="D4452" s="21"/>
    </row>
    <row r="4453" spans="1:4" ht="12.75" customHeight="1" x14ac:dyDescent="0.2">
      <c r="A4453" s="21"/>
      <c r="B4453" s="3" t="s">
        <v>11</v>
      </c>
      <c r="C4453" s="20" t="s">
        <v>638</v>
      </c>
      <c r="D4453" s="21"/>
    </row>
    <row r="4454" spans="1:4" ht="12.75" customHeight="1" x14ac:dyDescent="0.2">
      <c r="A4454" s="21"/>
      <c r="B4454" s="3" t="s">
        <v>13</v>
      </c>
      <c r="C4454" s="20" t="s">
        <v>24</v>
      </c>
      <c r="D4454" s="21"/>
    </row>
    <row r="4455" spans="1:4" ht="12.75" customHeight="1" x14ac:dyDescent="0.2">
      <c r="A4455" s="21"/>
      <c r="B4455" s="3" t="s">
        <v>15</v>
      </c>
      <c r="C4455" s="20" t="s">
        <v>24</v>
      </c>
      <c r="D4455" s="21"/>
    </row>
    <row r="4456" spans="1:4" ht="12.75" customHeight="1" x14ac:dyDescent="0.2">
      <c r="A4456" s="21"/>
      <c r="B4456" s="3" t="s">
        <v>16</v>
      </c>
      <c r="C4456" s="20"/>
      <c r="D4456" s="21"/>
    </row>
    <row r="4457" spans="1:4" ht="12.75" customHeight="1" x14ac:dyDescent="0.2">
      <c r="A4457" s="21"/>
      <c r="B4457" s="3" t="s">
        <v>17</v>
      </c>
      <c r="C4457" s="20"/>
      <c r="D4457" s="21"/>
    </row>
    <row r="4458" spans="1:4" ht="12.75" customHeight="1" x14ac:dyDescent="0.2">
      <c r="A4458" s="21"/>
      <c r="B4458" s="20" t="s">
        <v>18</v>
      </c>
      <c r="C4458" s="4" t="s">
        <v>309</v>
      </c>
      <c r="D4458" s="6" t="str">
        <f>HYPERLINK("javascript:void(0)","robbanófej")</f>
        <v>robbanófej</v>
      </c>
    </row>
    <row r="4459" spans="1:4" ht="12.75" customHeight="1" x14ac:dyDescent="0.2">
      <c r="A4459" s="21"/>
      <c r="B4459" s="21"/>
      <c r="C4459" s="4" t="s">
        <v>420</v>
      </c>
      <c r="D4459" s="6" t="str">
        <f>HYPERLINK("javascript:void(0)","gigacsáp")</f>
        <v>gigacsáp</v>
      </c>
    </row>
    <row r="4460" spans="1:4" ht="12.75" customHeight="1" x14ac:dyDescent="0.2">
      <c r="A4460" s="21"/>
      <c r="B4460" s="21"/>
      <c r="C4460" s="4" t="s">
        <v>67</v>
      </c>
      <c r="D4460" s="6" t="str">
        <f>HYPERLINK("javascript:void(0)","csigaház")</f>
        <v>csigaház</v>
      </c>
    </row>
    <row r="4461" spans="1:4" ht="12.75" customHeight="1" x14ac:dyDescent="0.2">
      <c r="A4461" s="5"/>
      <c r="B4461" s="2"/>
      <c r="C4461" s="2"/>
      <c r="D4461" s="2"/>
    </row>
    <row r="4462" spans="1:4" ht="12.75" customHeight="1" x14ac:dyDescent="0.2">
      <c r="A4462" s="22" t="str">
        <f>HYPERLINK("javascript:void(0)","lidércpenge")</f>
        <v>lidércpenge</v>
      </c>
      <c r="B4462" s="21"/>
      <c r="C4462" s="21"/>
      <c r="D4462" s="21"/>
    </row>
    <row r="4463" spans="1:4" ht="12.75" customHeight="1" x14ac:dyDescent="0.2">
      <c r="A4463" s="20"/>
      <c r="B4463" s="2"/>
      <c r="C4463" s="2"/>
      <c r="D4463" s="2"/>
    </row>
    <row r="4464" spans="1:4" ht="12.75" customHeight="1" x14ac:dyDescent="0.2">
      <c r="A4464" s="21"/>
      <c r="B4464" s="3" t="s">
        <v>0</v>
      </c>
      <c r="C4464" s="20" t="s">
        <v>181</v>
      </c>
      <c r="D4464" s="21"/>
    </row>
    <row r="4465" spans="1:4" ht="12.75" customHeight="1" x14ac:dyDescent="0.2">
      <c r="A4465" s="21"/>
      <c r="B4465" s="3" t="s">
        <v>2</v>
      </c>
      <c r="C4465" s="20" t="s">
        <v>1598</v>
      </c>
      <c r="D4465" s="21"/>
    </row>
    <row r="4466" spans="1:4" ht="12.75" customHeight="1" x14ac:dyDescent="0.2">
      <c r="A4466" s="21"/>
      <c r="B4466" s="3" t="s">
        <v>4</v>
      </c>
      <c r="C4466" s="20" t="s">
        <v>533</v>
      </c>
      <c r="D4466" s="21"/>
    </row>
    <row r="4467" spans="1:4" ht="12.75" customHeight="1" x14ac:dyDescent="0.2">
      <c r="A4467" s="21"/>
      <c r="B4467" s="3" t="s">
        <v>6</v>
      </c>
      <c r="C4467" s="20" t="s">
        <v>21</v>
      </c>
      <c r="D4467" s="21"/>
    </row>
    <row r="4468" spans="1:4" ht="12.75" customHeight="1" x14ac:dyDescent="0.2">
      <c r="A4468" s="21"/>
      <c r="B4468" s="3" t="s">
        <v>8</v>
      </c>
      <c r="C4468" s="20" t="s">
        <v>533</v>
      </c>
      <c r="D4468" s="21"/>
    </row>
    <row r="4469" spans="1:4" ht="12.75" customHeight="1" x14ac:dyDescent="0.2">
      <c r="A4469" s="21"/>
      <c r="B4469" s="3" t="s">
        <v>9</v>
      </c>
      <c r="C4469" s="20" t="s">
        <v>42</v>
      </c>
      <c r="D4469" s="21"/>
    </row>
    <row r="4470" spans="1:4" ht="12.75" customHeight="1" x14ac:dyDescent="0.2">
      <c r="A4470" s="21"/>
      <c r="B4470" s="3" t="s">
        <v>11</v>
      </c>
      <c r="C4470" s="20" t="s">
        <v>879</v>
      </c>
      <c r="D4470" s="21"/>
    </row>
    <row r="4471" spans="1:4" ht="12.75" customHeight="1" x14ac:dyDescent="0.2">
      <c r="A4471" s="21"/>
      <c r="B4471" s="3" t="s">
        <v>13</v>
      </c>
      <c r="C4471" s="20" t="s">
        <v>24</v>
      </c>
      <c r="D4471" s="21"/>
    </row>
    <row r="4472" spans="1:4" ht="12.75" customHeight="1" x14ac:dyDescent="0.2">
      <c r="A4472" s="21"/>
      <c r="B4472" s="3" t="s">
        <v>15</v>
      </c>
      <c r="C4472" s="20" t="s">
        <v>24</v>
      </c>
      <c r="D4472" s="21"/>
    </row>
    <row r="4473" spans="1:4" ht="12.75" customHeight="1" x14ac:dyDescent="0.2">
      <c r="A4473" s="21"/>
      <c r="B4473" s="3" t="s">
        <v>16</v>
      </c>
      <c r="C4473" s="20"/>
      <c r="D4473" s="21"/>
    </row>
    <row r="4474" spans="1:4" ht="12.75" customHeight="1" x14ac:dyDescent="0.2">
      <c r="A4474" s="21"/>
      <c r="B4474" s="3" t="s">
        <v>17</v>
      </c>
      <c r="C4474" s="20"/>
      <c r="D4474" s="21"/>
    </row>
    <row r="4475" spans="1:4" ht="12.75" customHeight="1" x14ac:dyDescent="0.2">
      <c r="A4475" s="21"/>
      <c r="B4475" s="20" t="s">
        <v>18</v>
      </c>
      <c r="C4475" s="4" t="s">
        <v>163</v>
      </c>
      <c r="D4475" s="6" t="str">
        <f>HYPERLINK("javascript:void(0)","kispárna")</f>
        <v>kispárna</v>
      </c>
    </row>
    <row r="4476" spans="1:4" ht="12.75" customHeight="1" x14ac:dyDescent="0.2">
      <c r="A4476" s="21"/>
      <c r="B4476" s="21"/>
      <c r="C4476" s="4" t="s">
        <v>55</v>
      </c>
      <c r="D4476" s="6" t="str">
        <f>HYPERLINK("javascript:void(0)","lidérclámpás")</f>
        <v>lidérclámpás</v>
      </c>
    </row>
    <row r="4477" spans="1:4" ht="12.75" customHeight="1" x14ac:dyDescent="0.2">
      <c r="A4477" s="21"/>
      <c r="B4477" s="21"/>
      <c r="C4477" s="4" t="s">
        <v>117</v>
      </c>
      <c r="D4477" s="6" t="str">
        <f>HYPERLINK("javascript:void(0)","cerka")</f>
        <v>cerka</v>
      </c>
    </row>
    <row r="4478" spans="1:4" ht="12.75" customHeight="1" x14ac:dyDescent="0.2">
      <c r="A4478" s="5"/>
      <c r="B4478" s="2"/>
      <c r="C4478" s="2"/>
      <c r="D4478" s="2"/>
    </row>
    <row r="4479" spans="1:4" ht="12.75" customHeight="1" x14ac:dyDescent="0.2">
      <c r="A4479" s="22" t="str">
        <f>HYPERLINK("javascript:void(0)","szőrhasító")</f>
        <v>szőrhasító</v>
      </c>
      <c r="B4479" s="21"/>
      <c r="C4479" s="21"/>
      <c r="D4479" s="21"/>
    </row>
    <row r="4480" spans="1:4" ht="12.75" customHeight="1" x14ac:dyDescent="0.2">
      <c r="A4480" s="20"/>
      <c r="B4480" s="2"/>
      <c r="C4480" s="2"/>
      <c r="D4480" s="2"/>
    </row>
    <row r="4481" spans="1:4" ht="12.75" customHeight="1" x14ac:dyDescent="0.2">
      <c r="A4481" s="21"/>
      <c r="B4481" s="3" t="s">
        <v>0</v>
      </c>
      <c r="C4481" s="20" t="s">
        <v>853</v>
      </c>
      <c r="D4481" s="21"/>
    </row>
    <row r="4482" spans="1:4" ht="12.75" customHeight="1" x14ac:dyDescent="0.2">
      <c r="A4482" s="21"/>
      <c r="B4482" s="3" t="s">
        <v>2</v>
      </c>
      <c r="C4482" s="20" t="s">
        <v>1598</v>
      </c>
      <c r="D4482" s="21"/>
    </row>
    <row r="4483" spans="1:4" ht="12.75" customHeight="1" x14ac:dyDescent="0.2">
      <c r="A4483" s="21"/>
      <c r="B4483" s="3" t="s">
        <v>4</v>
      </c>
      <c r="C4483" s="20" t="s">
        <v>2147</v>
      </c>
      <c r="D4483" s="21"/>
    </row>
    <row r="4484" spans="1:4" ht="12.75" customHeight="1" x14ac:dyDescent="0.2">
      <c r="A4484" s="21"/>
      <c r="B4484" s="3" t="s">
        <v>6</v>
      </c>
      <c r="C4484" s="20" t="s">
        <v>115</v>
      </c>
      <c r="D4484" s="21"/>
    </row>
    <row r="4485" spans="1:4" ht="12.75" customHeight="1" x14ac:dyDescent="0.2">
      <c r="A4485" s="21"/>
      <c r="B4485" s="3" t="s">
        <v>8</v>
      </c>
      <c r="C4485" s="20" t="s">
        <v>2147</v>
      </c>
      <c r="D4485" s="21"/>
    </row>
    <row r="4486" spans="1:4" ht="12.75" customHeight="1" x14ac:dyDescent="0.2">
      <c r="A4486" s="21"/>
      <c r="B4486" s="3" t="s">
        <v>9</v>
      </c>
      <c r="C4486" s="20" t="s">
        <v>1517</v>
      </c>
      <c r="D4486" s="21"/>
    </row>
    <row r="4487" spans="1:4" ht="12.75" customHeight="1" x14ac:dyDescent="0.2">
      <c r="A4487" s="21"/>
      <c r="B4487" s="3" t="s">
        <v>11</v>
      </c>
      <c r="C4487" s="20" t="s">
        <v>879</v>
      </c>
      <c r="D4487" s="21"/>
    </row>
    <row r="4488" spans="1:4" ht="12.75" customHeight="1" x14ac:dyDescent="0.2">
      <c r="A4488" s="21"/>
      <c r="B4488" s="3" t="s">
        <v>13</v>
      </c>
      <c r="C4488" s="20" t="s">
        <v>24</v>
      </c>
      <c r="D4488" s="21"/>
    </row>
    <row r="4489" spans="1:4" ht="12.75" customHeight="1" x14ac:dyDescent="0.2">
      <c r="A4489" s="21"/>
      <c r="B4489" s="3" t="s">
        <v>15</v>
      </c>
      <c r="C4489" s="20" t="s">
        <v>24</v>
      </c>
      <c r="D4489" s="21"/>
    </row>
    <row r="4490" spans="1:4" ht="12.75" customHeight="1" x14ac:dyDescent="0.2">
      <c r="A4490" s="21"/>
      <c r="B4490" s="3" t="s">
        <v>16</v>
      </c>
      <c r="C4490" s="20"/>
      <c r="D4490" s="21"/>
    </row>
    <row r="4491" spans="1:4" ht="12.75" customHeight="1" x14ac:dyDescent="0.2">
      <c r="A4491" s="21"/>
      <c r="B4491" s="3" t="s">
        <v>17</v>
      </c>
      <c r="C4491" s="20"/>
      <c r="D4491" s="21"/>
    </row>
    <row r="4492" spans="1:4" ht="12.75" customHeight="1" x14ac:dyDescent="0.2">
      <c r="A4492" s="21"/>
      <c r="B4492" s="20" t="s">
        <v>18</v>
      </c>
      <c r="C4492" s="4" t="s">
        <v>77</v>
      </c>
      <c r="D4492" s="6" t="str">
        <f>HYPERLINK("javascript:void(0)","porszőr")</f>
        <v>porszőr</v>
      </c>
    </row>
    <row r="4493" spans="1:4" ht="12.75" customHeight="1" x14ac:dyDescent="0.2">
      <c r="A4493" s="21"/>
      <c r="B4493" s="21"/>
      <c r="C4493" s="4" t="s">
        <v>67</v>
      </c>
      <c r="D4493" s="6" t="str">
        <f>HYPERLINK("javascript:void(0)","dobókocka")</f>
        <v>dobókocka</v>
      </c>
    </row>
    <row r="4494" spans="1:4" ht="12.75" customHeight="1" x14ac:dyDescent="0.2">
      <c r="A4494" s="21"/>
      <c r="B4494" s="21"/>
      <c r="C4494" s="4" t="s">
        <v>44</v>
      </c>
      <c r="D4494" s="6" t="str">
        <f>HYPERLINK("javascript:void(0)","lidérctőr")</f>
        <v>lidérctőr</v>
      </c>
    </row>
    <row r="4495" spans="1:4" ht="12.75" customHeight="1" x14ac:dyDescent="0.2">
      <c r="A4495" s="5"/>
      <c r="B4495" s="2"/>
      <c r="C4495" s="2"/>
      <c r="D4495" s="2"/>
    </row>
    <row r="4496" spans="1:4" ht="12.75" customHeight="1" x14ac:dyDescent="0.2">
      <c r="A4496" s="22" t="str">
        <f>HYPERLINK("javascript:void(0)","démondelej mágusölő")</f>
        <v>démondelej mágusölő</v>
      </c>
      <c r="B4496" s="21"/>
      <c r="C4496" s="21"/>
      <c r="D4496" s="21"/>
    </row>
    <row r="4497" spans="1:4" ht="12.75" customHeight="1" x14ac:dyDescent="0.2">
      <c r="A4497" s="20"/>
      <c r="B4497" s="2"/>
      <c r="C4497" s="2"/>
      <c r="D4497" s="2"/>
    </row>
    <row r="4498" spans="1:4" ht="12.75" customHeight="1" x14ac:dyDescent="0.2">
      <c r="A4498" s="21"/>
      <c r="B4498" s="3" t="s">
        <v>0</v>
      </c>
      <c r="C4498" s="20" t="s">
        <v>853</v>
      </c>
      <c r="D4498" s="21"/>
    </row>
    <row r="4499" spans="1:4" ht="12.75" customHeight="1" x14ac:dyDescent="0.2">
      <c r="A4499" s="21"/>
      <c r="B4499" s="3" t="s">
        <v>2</v>
      </c>
      <c r="C4499" s="20" t="s">
        <v>1598</v>
      </c>
      <c r="D4499" s="21"/>
    </row>
    <row r="4500" spans="1:4" ht="12.75" customHeight="1" x14ac:dyDescent="0.2">
      <c r="A4500" s="21"/>
      <c r="B4500" s="3" t="s">
        <v>4</v>
      </c>
      <c r="C4500" s="20" t="s">
        <v>2148</v>
      </c>
      <c r="D4500" s="21"/>
    </row>
    <row r="4501" spans="1:4" ht="12.75" customHeight="1" x14ac:dyDescent="0.2">
      <c r="A4501" s="21"/>
      <c r="B4501" s="3" t="s">
        <v>6</v>
      </c>
      <c r="C4501" s="20" t="s">
        <v>48</v>
      </c>
      <c r="D4501" s="21"/>
    </row>
    <row r="4502" spans="1:4" ht="12.75" customHeight="1" x14ac:dyDescent="0.2">
      <c r="A4502" s="21"/>
      <c r="B4502" s="3" t="s">
        <v>8</v>
      </c>
      <c r="C4502" s="20" t="s">
        <v>2148</v>
      </c>
      <c r="D4502" s="21"/>
    </row>
    <row r="4503" spans="1:4" ht="12.75" customHeight="1" x14ac:dyDescent="0.2">
      <c r="A4503" s="21"/>
      <c r="B4503" s="3" t="s">
        <v>9</v>
      </c>
      <c r="C4503" s="20" t="s">
        <v>1058</v>
      </c>
      <c r="D4503" s="21"/>
    </row>
    <row r="4504" spans="1:4" ht="12.75" customHeight="1" x14ac:dyDescent="0.2">
      <c r="A4504" s="21"/>
      <c r="B4504" s="3" t="s">
        <v>11</v>
      </c>
      <c r="C4504" s="20" t="s">
        <v>1354</v>
      </c>
      <c r="D4504" s="21"/>
    </row>
    <row r="4505" spans="1:4" ht="12.75" customHeight="1" x14ac:dyDescent="0.2">
      <c r="A4505" s="21"/>
      <c r="B4505" s="3" t="s">
        <v>13</v>
      </c>
      <c r="C4505" s="20" t="s">
        <v>14</v>
      </c>
      <c r="D4505" s="21"/>
    </row>
    <row r="4506" spans="1:4" ht="12.75" customHeight="1" x14ac:dyDescent="0.2">
      <c r="A4506" s="21"/>
      <c r="B4506" s="3" t="s">
        <v>15</v>
      </c>
      <c r="C4506" s="20" t="s">
        <v>24</v>
      </c>
      <c r="D4506" s="21"/>
    </row>
    <row r="4507" spans="1:4" ht="12.75" customHeight="1" x14ac:dyDescent="0.2">
      <c r="A4507" s="21"/>
      <c r="B4507" s="3" t="s">
        <v>16</v>
      </c>
      <c r="C4507" s="20"/>
      <c r="D4507" s="21"/>
    </row>
    <row r="4508" spans="1:4" ht="12.75" customHeight="1" x14ac:dyDescent="0.2">
      <c r="A4508" s="21"/>
      <c r="B4508" s="3" t="s">
        <v>17</v>
      </c>
      <c r="C4508" s="20"/>
      <c r="D4508" s="21"/>
    </row>
    <row r="4509" spans="1:4" ht="12.75" customHeight="1" x14ac:dyDescent="0.2">
      <c r="A4509" s="21"/>
      <c r="B4509" s="20" t="s">
        <v>18</v>
      </c>
      <c r="C4509" s="4" t="s">
        <v>296</v>
      </c>
      <c r="D4509" s="6" t="str">
        <f>HYPERLINK("javascript:void(0)","teleportige")</f>
        <v>teleportige</v>
      </c>
    </row>
    <row r="4510" spans="1:4" ht="12.75" customHeight="1" x14ac:dyDescent="0.2">
      <c r="A4510" s="21"/>
      <c r="B4510" s="21"/>
      <c r="C4510" s="4" t="s">
        <v>68</v>
      </c>
      <c r="D4510" s="6" t="str">
        <f>HYPERLINK("javascript:void(0)","démonamulett")</f>
        <v>démonamulett</v>
      </c>
    </row>
    <row r="4511" spans="1:4" ht="12.75" customHeight="1" x14ac:dyDescent="0.2">
      <c r="A4511" s="21"/>
      <c r="B4511" s="21"/>
      <c r="C4511" s="4" t="s">
        <v>244</v>
      </c>
      <c r="D4511" s="6" t="str">
        <f>HYPERLINK("javascript:void(0)","cerka")</f>
        <v>cerka</v>
      </c>
    </row>
    <row r="4512" spans="1:4" ht="12.75" customHeight="1" x14ac:dyDescent="0.2">
      <c r="A4512" s="5"/>
      <c r="B4512" s="2"/>
      <c r="C4512" s="2"/>
      <c r="D4512" s="2"/>
    </row>
    <row r="4513" spans="1:4" ht="12.75" customHeight="1" x14ac:dyDescent="0.2">
      <c r="A4513" s="22" t="str">
        <f>HYPERLINK("javascript:void(0)","bűvlándzsa")</f>
        <v>bűvlándzsa</v>
      </c>
      <c r="B4513" s="21"/>
      <c r="C4513" s="21"/>
      <c r="D4513" s="21"/>
    </row>
    <row r="4514" spans="1:4" ht="12.75" customHeight="1" x14ac:dyDescent="0.2">
      <c r="A4514" s="20"/>
      <c r="B4514" s="2"/>
      <c r="C4514" s="2"/>
      <c r="D4514" s="2"/>
    </row>
    <row r="4515" spans="1:4" ht="12.75" customHeight="1" x14ac:dyDescent="0.2">
      <c r="A4515" s="21"/>
      <c r="B4515" s="3" t="s">
        <v>0</v>
      </c>
      <c r="C4515" s="20" t="s">
        <v>862</v>
      </c>
      <c r="D4515" s="21"/>
    </row>
    <row r="4516" spans="1:4" ht="12.75" customHeight="1" x14ac:dyDescent="0.2">
      <c r="A4516" s="21"/>
      <c r="B4516" s="3" t="s">
        <v>2</v>
      </c>
      <c r="C4516" s="20" t="s">
        <v>1598</v>
      </c>
      <c r="D4516" s="21"/>
    </row>
    <row r="4517" spans="1:4" ht="12.75" customHeight="1" x14ac:dyDescent="0.2">
      <c r="A4517" s="21"/>
      <c r="B4517" s="3" t="s">
        <v>4</v>
      </c>
      <c r="C4517" s="20" t="s">
        <v>2150</v>
      </c>
      <c r="D4517" s="21"/>
    </row>
    <row r="4518" spans="1:4" ht="12.75" customHeight="1" x14ac:dyDescent="0.2">
      <c r="A4518" s="21"/>
      <c r="B4518" s="3" t="s">
        <v>6</v>
      </c>
      <c r="C4518" s="20" t="s">
        <v>157</v>
      </c>
      <c r="D4518" s="21"/>
    </row>
    <row r="4519" spans="1:4" ht="12.75" customHeight="1" x14ac:dyDescent="0.2">
      <c r="A4519" s="21"/>
      <c r="B4519" s="3" t="s">
        <v>8</v>
      </c>
      <c r="C4519" s="20" t="s">
        <v>2150</v>
      </c>
      <c r="D4519" s="21"/>
    </row>
    <row r="4520" spans="1:4" ht="12.75" customHeight="1" x14ac:dyDescent="0.2">
      <c r="A4520" s="21"/>
      <c r="B4520" s="3" t="s">
        <v>9</v>
      </c>
      <c r="C4520" s="20" t="s">
        <v>1167</v>
      </c>
      <c r="D4520" s="21"/>
    </row>
    <row r="4521" spans="1:4" ht="12.75" customHeight="1" x14ac:dyDescent="0.2">
      <c r="A4521" s="21"/>
      <c r="B4521" s="3" t="s">
        <v>11</v>
      </c>
      <c r="C4521" s="20" t="s">
        <v>887</v>
      </c>
      <c r="D4521" s="21"/>
    </row>
    <row r="4522" spans="1:4" ht="12.75" customHeight="1" x14ac:dyDescent="0.2">
      <c r="A4522" s="21"/>
      <c r="B4522" s="3" t="s">
        <v>13</v>
      </c>
      <c r="C4522" s="20" t="s">
        <v>24</v>
      </c>
      <c r="D4522" s="21"/>
    </row>
    <row r="4523" spans="1:4" ht="12.75" customHeight="1" x14ac:dyDescent="0.2">
      <c r="A4523" s="21"/>
      <c r="B4523" s="3" t="s">
        <v>15</v>
      </c>
      <c r="C4523" s="20" t="s">
        <v>24</v>
      </c>
      <c r="D4523" s="21"/>
    </row>
    <row r="4524" spans="1:4" ht="12.75" customHeight="1" x14ac:dyDescent="0.2">
      <c r="A4524" s="21"/>
      <c r="B4524" s="3" t="s">
        <v>16</v>
      </c>
      <c r="C4524" s="20"/>
      <c r="D4524" s="21"/>
    </row>
    <row r="4525" spans="1:4" ht="12.75" customHeight="1" x14ac:dyDescent="0.2">
      <c r="A4525" s="21"/>
      <c r="B4525" s="3" t="s">
        <v>17</v>
      </c>
      <c r="C4525" s="20"/>
      <c r="D4525" s="21"/>
    </row>
    <row r="4526" spans="1:4" ht="12.75" customHeight="1" x14ac:dyDescent="0.2">
      <c r="A4526" s="21"/>
      <c r="B4526" s="20" t="s">
        <v>18</v>
      </c>
      <c r="C4526" s="4" t="s">
        <v>232</v>
      </c>
      <c r="D4526" s="6" t="str">
        <f>HYPERLINK("javascript:void(0)","managöb")</f>
        <v>managöb</v>
      </c>
    </row>
    <row r="4527" spans="1:4" ht="12.75" customHeight="1" x14ac:dyDescent="0.2">
      <c r="A4527" s="21"/>
      <c r="B4527" s="21"/>
      <c r="C4527" s="4" t="s">
        <v>67</v>
      </c>
      <c r="D4527" s="6" t="str">
        <f>HYPERLINK("javascript:void(0)","hídpenge")</f>
        <v>hídpenge</v>
      </c>
    </row>
    <row r="4528" spans="1:4" ht="12.75" customHeight="1" x14ac:dyDescent="0.2">
      <c r="A4528" s="21"/>
      <c r="B4528" s="21"/>
      <c r="C4528" s="4" t="s">
        <v>398</v>
      </c>
      <c r="D4528" s="6" t="str">
        <f>HYPERLINK("javascript:void(0)","hagymapikkely")</f>
        <v>hagymapikkely</v>
      </c>
    </row>
    <row r="4529" spans="1:4" ht="12.75" customHeight="1" x14ac:dyDescent="0.2">
      <c r="A4529" s="5"/>
      <c r="B4529" s="2"/>
      <c r="C4529" s="2"/>
      <c r="D4529" s="2"/>
    </row>
    <row r="4530" spans="1:4" ht="12.75" customHeight="1" x14ac:dyDescent="0.2">
      <c r="A4530" s="22" t="str">
        <f>HYPERLINK("javascript:void(0)","gyíkacél ösvénynyitó")</f>
        <v>gyíkacél ösvénynyitó</v>
      </c>
      <c r="B4530" s="21"/>
      <c r="C4530" s="21"/>
      <c r="D4530" s="21"/>
    </row>
    <row r="4531" spans="1:4" ht="12.75" customHeight="1" x14ac:dyDescent="0.2">
      <c r="A4531" s="20"/>
      <c r="B4531" s="2"/>
      <c r="C4531" s="2"/>
      <c r="D4531" s="2"/>
    </row>
    <row r="4532" spans="1:4" ht="12.75" customHeight="1" x14ac:dyDescent="0.2">
      <c r="A4532" s="21"/>
      <c r="B4532" s="3" t="s">
        <v>0</v>
      </c>
      <c r="C4532" s="20" t="s">
        <v>862</v>
      </c>
      <c r="D4532" s="21"/>
    </row>
    <row r="4533" spans="1:4" ht="12.75" customHeight="1" x14ac:dyDescent="0.2">
      <c r="A4533" s="21"/>
      <c r="B4533" s="3" t="s">
        <v>2</v>
      </c>
      <c r="C4533" s="20" t="s">
        <v>1598</v>
      </c>
      <c r="D4533" s="21"/>
    </row>
    <row r="4534" spans="1:4" ht="12.75" customHeight="1" x14ac:dyDescent="0.2">
      <c r="A4534" s="21"/>
      <c r="B4534" s="3" t="s">
        <v>4</v>
      </c>
      <c r="C4534" s="20" t="s">
        <v>2151</v>
      </c>
      <c r="D4534" s="21"/>
    </row>
    <row r="4535" spans="1:4" ht="12.75" customHeight="1" x14ac:dyDescent="0.2">
      <c r="A4535" s="21"/>
      <c r="B4535" s="3" t="s">
        <v>6</v>
      </c>
      <c r="C4535" s="20" t="s">
        <v>107</v>
      </c>
      <c r="D4535" s="21"/>
    </row>
    <row r="4536" spans="1:4" ht="12.75" customHeight="1" x14ac:dyDescent="0.2">
      <c r="A4536" s="21"/>
      <c r="B4536" s="3" t="s">
        <v>8</v>
      </c>
      <c r="C4536" s="20" t="s">
        <v>2151</v>
      </c>
      <c r="D4536" s="21"/>
    </row>
    <row r="4537" spans="1:4" ht="12.75" customHeight="1" x14ac:dyDescent="0.2">
      <c r="A4537" s="21"/>
      <c r="B4537" s="3" t="s">
        <v>9</v>
      </c>
      <c r="C4537" s="20" t="s">
        <v>2152</v>
      </c>
      <c r="D4537" s="21"/>
    </row>
    <row r="4538" spans="1:4" ht="12.75" customHeight="1" x14ac:dyDescent="0.2">
      <c r="A4538" s="21"/>
      <c r="B4538" s="3" t="s">
        <v>11</v>
      </c>
      <c r="C4538" s="20" t="s">
        <v>653</v>
      </c>
      <c r="D4538" s="21"/>
    </row>
    <row r="4539" spans="1:4" ht="12.75" customHeight="1" x14ac:dyDescent="0.2">
      <c r="A4539" s="21"/>
      <c r="B4539" s="3" t="s">
        <v>13</v>
      </c>
      <c r="C4539" s="20" t="s">
        <v>24</v>
      </c>
      <c r="D4539" s="21"/>
    </row>
    <row r="4540" spans="1:4" ht="12.75" customHeight="1" x14ac:dyDescent="0.2">
      <c r="A4540" s="21"/>
      <c r="B4540" s="3" t="s">
        <v>15</v>
      </c>
      <c r="C4540" s="20" t="s">
        <v>24</v>
      </c>
      <c r="D4540" s="21"/>
    </row>
    <row r="4541" spans="1:4" ht="12.75" customHeight="1" x14ac:dyDescent="0.2">
      <c r="A4541" s="21"/>
      <c r="B4541" s="3" t="s">
        <v>16</v>
      </c>
      <c r="C4541" s="20"/>
      <c r="D4541" s="21"/>
    </row>
    <row r="4542" spans="1:4" ht="12.75" customHeight="1" x14ac:dyDescent="0.2">
      <c r="A4542" s="21"/>
      <c r="B4542" s="3" t="s">
        <v>17</v>
      </c>
      <c r="C4542" s="20"/>
      <c r="D4542" s="21"/>
    </row>
    <row r="4543" spans="1:4" ht="12.75" customHeight="1" x14ac:dyDescent="0.2">
      <c r="A4543" s="21"/>
      <c r="B4543" s="20" t="s">
        <v>18</v>
      </c>
      <c r="C4543" s="4" t="s">
        <v>1545</v>
      </c>
      <c r="D4543" s="6" t="str">
        <f>HYPERLINK("javascript:void(0)","légige")</f>
        <v>légige</v>
      </c>
    </row>
    <row r="4544" spans="1:4" ht="12.75" customHeight="1" x14ac:dyDescent="0.2">
      <c r="A4544" s="21"/>
      <c r="B4544" s="21"/>
      <c r="C4544" s="4" t="s">
        <v>163</v>
      </c>
      <c r="D4544" s="6" t="str">
        <f>HYPERLINK("javascript:void(0)","ámbra")</f>
        <v>ámbra</v>
      </c>
    </row>
    <row r="4545" spans="1:4" ht="12.75" customHeight="1" x14ac:dyDescent="0.2">
      <c r="A4545" s="21"/>
      <c r="B4545" s="21"/>
      <c r="C4545" s="4" t="s">
        <v>244</v>
      </c>
      <c r="D4545" s="6" t="str">
        <f>HYPERLINK("javascript:void(0)","rotorlapát")</f>
        <v>rotorlapát</v>
      </c>
    </row>
    <row r="4546" spans="1:4" ht="12.75" customHeight="1" x14ac:dyDescent="0.2">
      <c r="A4546" s="5"/>
      <c r="B4546" s="2"/>
      <c r="C4546" s="2"/>
      <c r="D4546" s="2"/>
    </row>
    <row r="4547" spans="1:4" ht="12.75" customHeight="1" x14ac:dyDescent="0.2">
      <c r="A4547" s="22" t="str">
        <f>HYPERLINK("javascript:void(0)","lidérckard")</f>
        <v>lidérckard</v>
      </c>
      <c r="B4547" s="21"/>
      <c r="C4547" s="21"/>
      <c r="D4547" s="21"/>
    </row>
    <row r="4548" spans="1:4" ht="12.75" customHeight="1" x14ac:dyDescent="0.2">
      <c r="A4548" s="20"/>
      <c r="B4548" s="2"/>
      <c r="C4548" s="2"/>
      <c r="D4548" s="2"/>
    </row>
    <row r="4549" spans="1:4" ht="12.75" customHeight="1" x14ac:dyDescent="0.2">
      <c r="A4549" s="21"/>
      <c r="B4549" s="3" t="s">
        <v>0</v>
      </c>
      <c r="C4549" s="20" t="s">
        <v>874</v>
      </c>
      <c r="D4549" s="21"/>
    </row>
    <row r="4550" spans="1:4" ht="12.75" customHeight="1" x14ac:dyDescent="0.2">
      <c r="A4550" s="21"/>
      <c r="B4550" s="3" t="s">
        <v>2</v>
      </c>
      <c r="C4550" s="20" t="s">
        <v>1598</v>
      </c>
      <c r="D4550" s="21"/>
    </row>
    <row r="4551" spans="1:4" ht="12.75" customHeight="1" x14ac:dyDescent="0.2">
      <c r="A4551" s="21"/>
      <c r="B4551" s="3" t="s">
        <v>4</v>
      </c>
      <c r="C4551" s="20" t="s">
        <v>2156</v>
      </c>
      <c r="D4551" s="21"/>
    </row>
    <row r="4552" spans="1:4" ht="12.75" customHeight="1" x14ac:dyDescent="0.2">
      <c r="A4552" s="21"/>
      <c r="B4552" s="3" t="s">
        <v>6</v>
      </c>
      <c r="C4552" s="20" t="s">
        <v>392</v>
      </c>
      <c r="D4552" s="21"/>
    </row>
    <row r="4553" spans="1:4" ht="12.75" customHeight="1" x14ac:dyDescent="0.2">
      <c r="A4553" s="21"/>
      <c r="B4553" s="3" t="s">
        <v>8</v>
      </c>
      <c r="C4553" s="20" t="s">
        <v>2156</v>
      </c>
      <c r="D4553" s="21"/>
    </row>
    <row r="4554" spans="1:4" ht="12.75" customHeight="1" x14ac:dyDescent="0.2">
      <c r="A4554" s="21"/>
      <c r="B4554" s="3" t="s">
        <v>9</v>
      </c>
      <c r="C4554" s="20" t="s">
        <v>2157</v>
      </c>
      <c r="D4554" s="21"/>
    </row>
    <row r="4555" spans="1:4" ht="12.75" customHeight="1" x14ac:dyDescent="0.2">
      <c r="A4555" s="21"/>
      <c r="B4555" s="3" t="s">
        <v>11</v>
      </c>
      <c r="C4555" s="20" t="s">
        <v>901</v>
      </c>
      <c r="D4555" s="21"/>
    </row>
    <row r="4556" spans="1:4" ht="12.75" customHeight="1" x14ac:dyDescent="0.2">
      <c r="A4556" s="21"/>
      <c r="B4556" s="3" t="s">
        <v>13</v>
      </c>
      <c r="C4556" s="20" t="s">
        <v>24</v>
      </c>
      <c r="D4556" s="21"/>
    </row>
    <row r="4557" spans="1:4" ht="12.75" customHeight="1" x14ac:dyDescent="0.2">
      <c r="A4557" s="21"/>
      <c r="B4557" s="3" t="s">
        <v>15</v>
      </c>
      <c r="C4557" s="20" t="s">
        <v>24</v>
      </c>
      <c r="D4557" s="21"/>
    </row>
    <row r="4558" spans="1:4" ht="12.75" customHeight="1" x14ac:dyDescent="0.2">
      <c r="A4558" s="21"/>
      <c r="B4558" s="3" t="s">
        <v>16</v>
      </c>
      <c r="C4558" s="20"/>
      <c r="D4558" s="21"/>
    </row>
    <row r="4559" spans="1:4" ht="12.75" customHeight="1" x14ac:dyDescent="0.2">
      <c r="A4559" s="21"/>
      <c r="B4559" s="3" t="s">
        <v>17</v>
      </c>
      <c r="C4559" s="20"/>
      <c r="D4559" s="21"/>
    </row>
    <row r="4560" spans="1:4" ht="12.75" customHeight="1" x14ac:dyDescent="0.2">
      <c r="A4560" s="21"/>
      <c r="B4560" s="20" t="s">
        <v>18</v>
      </c>
      <c r="C4560" s="4" t="s">
        <v>44</v>
      </c>
      <c r="D4560" s="6" t="str">
        <f>HYPERLINK("javascript:void(0)","bűvlándzsa")</f>
        <v>bűvlándzsa</v>
      </c>
    </row>
    <row r="4561" spans="1:4" ht="12.75" customHeight="1" x14ac:dyDescent="0.2">
      <c r="A4561" s="21"/>
      <c r="B4561" s="21"/>
      <c r="C4561" s="4" t="s">
        <v>44</v>
      </c>
      <c r="D4561" s="6" t="str">
        <f>HYPERLINK("javascript:void(0)","szőrhasító")</f>
        <v>szőrhasító</v>
      </c>
    </row>
    <row r="4562" spans="1:4" ht="12.75" customHeight="1" x14ac:dyDescent="0.2">
      <c r="A4562" s="21"/>
      <c r="B4562" s="21"/>
      <c r="C4562" s="4" t="s">
        <v>44</v>
      </c>
      <c r="D4562" s="6" t="str">
        <f>HYPERLINK("javascript:void(0)","ernyőhasító")</f>
        <v>ernyőhasító</v>
      </c>
    </row>
    <row r="4563" spans="1:4" ht="12.75" customHeight="1" x14ac:dyDescent="0.2">
      <c r="A4563" s="5"/>
      <c r="B4563" s="2"/>
      <c r="C4563" s="2"/>
      <c r="D4563" s="2"/>
    </row>
    <row r="4564" spans="1:4" ht="12.75" customHeight="1" x14ac:dyDescent="0.2">
      <c r="A4564" s="22" t="str">
        <f>HYPERLINK("javascript:void(0)","desszantos mágusölő")</f>
        <v>desszantos mágusölő</v>
      </c>
      <c r="B4564" s="21"/>
      <c r="C4564" s="21"/>
      <c r="D4564" s="21"/>
    </row>
    <row r="4565" spans="1:4" ht="12.75" customHeight="1" x14ac:dyDescent="0.2">
      <c r="A4565" s="20"/>
      <c r="B4565" s="2"/>
      <c r="C4565" s="2"/>
      <c r="D4565" s="2"/>
    </row>
    <row r="4566" spans="1:4" ht="12.75" customHeight="1" x14ac:dyDescent="0.2">
      <c r="A4566" s="21"/>
      <c r="B4566" s="3" t="s">
        <v>0</v>
      </c>
      <c r="C4566" s="20" t="s">
        <v>874</v>
      </c>
      <c r="D4566" s="21"/>
    </row>
    <row r="4567" spans="1:4" ht="12.75" customHeight="1" x14ac:dyDescent="0.2">
      <c r="A4567" s="21"/>
      <c r="B4567" s="3" t="s">
        <v>2</v>
      </c>
      <c r="C4567" s="20" t="s">
        <v>1598</v>
      </c>
      <c r="D4567" s="21"/>
    </row>
    <row r="4568" spans="1:4" ht="12.75" customHeight="1" x14ac:dyDescent="0.2">
      <c r="A4568" s="21"/>
      <c r="B4568" s="3" t="s">
        <v>4</v>
      </c>
      <c r="C4568" s="20" t="s">
        <v>2159</v>
      </c>
      <c r="D4568" s="21"/>
    </row>
    <row r="4569" spans="1:4" ht="12.75" customHeight="1" x14ac:dyDescent="0.2">
      <c r="A4569" s="21"/>
      <c r="B4569" s="3" t="s">
        <v>6</v>
      </c>
      <c r="C4569" s="20" t="s">
        <v>48</v>
      </c>
      <c r="D4569" s="21"/>
    </row>
    <row r="4570" spans="1:4" ht="12.75" customHeight="1" x14ac:dyDescent="0.2">
      <c r="A4570" s="21"/>
      <c r="B4570" s="3" t="s">
        <v>8</v>
      </c>
      <c r="C4570" s="20" t="s">
        <v>2159</v>
      </c>
      <c r="D4570" s="21"/>
    </row>
    <row r="4571" spans="1:4" ht="12.75" customHeight="1" x14ac:dyDescent="0.2">
      <c r="A4571" s="21"/>
      <c r="B4571" s="3" t="s">
        <v>9</v>
      </c>
      <c r="C4571" s="20" t="s">
        <v>1999</v>
      </c>
      <c r="D4571" s="21"/>
    </row>
    <row r="4572" spans="1:4" ht="12.75" customHeight="1" x14ac:dyDescent="0.2">
      <c r="A4572" s="21"/>
      <c r="B4572" s="3" t="s">
        <v>11</v>
      </c>
      <c r="C4572" s="20" t="s">
        <v>1372</v>
      </c>
      <c r="D4572" s="21"/>
    </row>
    <row r="4573" spans="1:4" ht="12.75" customHeight="1" x14ac:dyDescent="0.2">
      <c r="A4573" s="21"/>
      <c r="B4573" s="3" t="s">
        <v>13</v>
      </c>
      <c r="C4573" s="20" t="s">
        <v>14</v>
      </c>
      <c r="D4573" s="21"/>
    </row>
    <row r="4574" spans="1:4" ht="12.75" customHeight="1" x14ac:dyDescent="0.2">
      <c r="A4574" s="21"/>
      <c r="B4574" s="3" t="s">
        <v>15</v>
      </c>
      <c r="C4574" s="20" t="s">
        <v>24</v>
      </c>
      <c r="D4574" s="21"/>
    </row>
    <row r="4575" spans="1:4" ht="12.75" customHeight="1" x14ac:dyDescent="0.2">
      <c r="A4575" s="21"/>
      <c r="B4575" s="3" t="s">
        <v>16</v>
      </c>
      <c r="C4575" s="20"/>
      <c r="D4575" s="21"/>
    </row>
    <row r="4576" spans="1:4" ht="12.75" customHeight="1" x14ac:dyDescent="0.2">
      <c r="A4576" s="21"/>
      <c r="B4576" s="3" t="s">
        <v>17</v>
      </c>
      <c r="C4576" s="20"/>
      <c r="D4576" s="21"/>
    </row>
    <row r="4577" spans="1:4" ht="12.75" customHeight="1" x14ac:dyDescent="0.2">
      <c r="A4577" s="21"/>
      <c r="B4577" s="20" t="s">
        <v>18</v>
      </c>
      <c r="C4577" s="4" t="s">
        <v>244</v>
      </c>
      <c r="D4577" s="6" t="str">
        <f>HYPERLINK("javascript:void(0)","lexikon")</f>
        <v>lexikon</v>
      </c>
    </row>
    <row r="4578" spans="1:4" ht="12.75" customHeight="1" x14ac:dyDescent="0.2">
      <c r="A4578" s="21"/>
      <c r="B4578" s="21"/>
      <c r="C4578" s="4" t="s">
        <v>67</v>
      </c>
      <c r="D4578" s="6" t="str">
        <f>HYPERLINK("javascript:void(0)","ejtőernyő")</f>
        <v>ejtőernyő</v>
      </c>
    </row>
    <row r="4579" spans="1:4" ht="12.75" customHeight="1" x14ac:dyDescent="0.2">
      <c r="A4579" s="21"/>
      <c r="B4579" s="21"/>
      <c r="C4579" s="4" t="s">
        <v>132</v>
      </c>
      <c r="D4579" s="6" t="str">
        <f>HYPERLINK("javascript:void(0)","hídpenge")</f>
        <v>hídpenge</v>
      </c>
    </row>
    <row r="4580" spans="1:4" ht="12.75" customHeight="1" x14ac:dyDescent="0.2">
      <c r="A4580" s="5"/>
      <c r="B4580" s="2"/>
      <c r="C4580" s="2"/>
      <c r="D4580" s="2"/>
    </row>
    <row r="4581" spans="1:4" ht="12.75" customHeight="1" x14ac:dyDescent="0.2">
      <c r="A4581" s="22" t="str">
        <f>HYPERLINK("javascript:void(0)","ernyőhasító")</f>
        <v>ernyőhasító</v>
      </c>
      <c r="B4581" s="21"/>
      <c r="C4581" s="21"/>
      <c r="D4581" s="21"/>
    </row>
    <row r="4582" spans="1:4" ht="12.75" customHeight="1" x14ac:dyDescent="0.2">
      <c r="A4582" s="20"/>
      <c r="B4582" s="2"/>
      <c r="C4582" s="2"/>
      <c r="D4582" s="2"/>
    </row>
    <row r="4583" spans="1:4" ht="12.75" customHeight="1" x14ac:dyDescent="0.2">
      <c r="A4583" s="21"/>
      <c r="B4583" s="3" t="s">
        <v>0</v>
      </c>
      <c r="C4583" s="20" t="s">
        <v>874</v>
      </c>
      <c r="D4583" s="21"/>
    </row>
    <row r="4584" spans="1:4" ht="12.75" customHeight="1" x14ac:dyDescent="0.2">
      <c r="A4584" s="21"/>
      <c r="B4584" s="3" t="s">
        <v>2</v>
      </c>
      <c r="C4584" s="20" t="s">
        <v>1598</v>
      </c>
      <c r="D4584" s="21"/>
    </row>
    <row r="4585" spans="1:4" ht="12.75" customHeight="1" x14ac:dyDescent="0.2">
      <c r="A4585" s="21"/>
      <c r="B4585" s="3" t="s">
        <v>4</v>
      </c>
      <c r="C4585" s="20" t="s">
        <v>533</v>
      </c>
      <c r="D4585" s="21"/>
    </row>
    <row r="4586" spans="1:4" ht="12.75" customHeight="1" x14ac:dyDescent="0.2">
      <c r="A4586" s="21"/>
      <c r="B4586" s="3" t="s">
        <v>6</v>
      </c>
      <c r="C4586" s="20" t="s">
        <v>21</v>
      </c>
      <c r="D4586" s="21"/>
    </row>
    <row r="4587" spans="1:4" ht="12.75" customHeight="1" x14ac:dyDescent="0.2">
      <c r="A4587" s="21"/>
      <c r="B4587" s="3" t="s">
        <v>8</v>
      </c>
      <c r="C4587" s="20" t="s">
        <v>533</v>
      </c>
      <c r="D4587" s="21"/>
    </row>
    <row r="4588" spans="1:4" ht="12.75" customHeight="1" x14ac:dyDescent="0.2">
      <c r="A4588" s="21"/>
      <c r="B4588" s="3" t="s">
        <v>9</v>
      </c>
      <c r="C4588" s="20" t="s">
        <v>210</v>
      </c>
      <c r="D4588" s="21"/>
    </row>
    <row r="4589" spans="1:4" ht="12.75" customHeight="1" x14ac:dyDescent="0.2">
      <c r="A4589" s="21"/>
      <c r="B4589" s="3" t="s">
        <v>11</v>
      </c>
      <c r="C4589" s="20" t="s">
        <v>939</v>
      </c>
      <c r="D4589" s="21"/>
    </row>
    <row r="4590" spans="1:4" ht="12.75" customHeight="1" x14ac:dyDescent="0.2">
      <c r="A4590" s="21"/>
      <c r="B4590" s="3" t="s">
        <v>13</v>
      </c>
      <c r="C4590" s="20" t="s">
        <v>24</v>
      </c>
      <c r="D4590" s="21"/>
    </row>
    <row r="4591" spans="1:4" ht="12.75" customHeight="1" x14ac:dyDescent="0.2">
      <c r="A4591" s="21"/>
      <c r="B4591" s="3" t="s">
        <v>15</v>
      </c>
      <c r="C4591" s="20" t="s">
        <v>24</v>
      </c>
      <c r="D4591" s="21"/>
    </row>
    <row r="4592" spans="1:4" ht="12.75" customHeight="1" x14ac:dyDescent="0.2">
      <c r="A4592" s="21"/>
      <c r="B4592" s="3" t="s">
        <v>16</v>
      </c>
      <c r="C4592" s="20"/>
      <c r="D4592" s="21"/>
    </row>
    <row r="4593" spans="1:4" ht="12.75" customHeight="1" x14ac:dyDescent="0.2">
      <c r="A4593" s="21"/>
      <c r="B4593" s="3" t="s">
        <v>17</v>
      </c>
      <c r="C4593" s="20"/>
      <c r="D4593" s="21"/>
    </row>
    <row r="4594" spans="1:4" ht="12.75" customHeight="1" x14ac:dyDescent="0.2">
      <c r="A4594" s="21"/>
      <c r="B4594" s="20" t="s">
        <v>18</v>
      </c>
      <c r="C4594" s="4" t="s">
        <v>309</v>
      </c>
      <c r="D4594" s="6" t="str">
        <f>HYPERLINK("javascript:void(0)","vitorla")</f>
        <v>vitorla</v>
      </c>
    </row>
    <row r="4595" spans="1:4" ht="12.75" customHeight="1" x14ac:dyDescent="0.2">
      <c r="A4595" s="21"/>
      <c r="B4595" s="21"/>
      <c r="C4595" s="4" t="s">
        <v>77</v>
      </c>
      <c r="D4595" s="6" t="str">
        <f>HYPERLINK("javascript:void(0)","ejtőernyő")</f>
        <v>ejtőernyő</v>
      </c>
    </row>
    <row r="4596" spans="1:4" ht="12.75" customHeight="1" x14ac:dyDescent="0.2">
      <c r="A4596" s="21"/>
      <c r="B4596" s="21"/>
      <c r="C4596" s="4" t="s">
        <v>117</v>
      </c>
      <c r="D4596" s="6" t="str">
        <f>HYPERLINK("javascript:void(0)","hídpenge")</f>
        <v>hídpenge</v>
      </c>
    </row>
    <row r="4597" spans="1:4" ht="12.75" customHeight="1" x14ac:dyDescent="0.2">
      <c r="A4597" s="5"/>
      <c r="B4597" s="2"/>
      <c r="C4597" s="2"/>
      <c r="D4597" s="2"/>
    </row>
    <row r="4598" spans="1:4" ht="12.75" customHeight="1" x14ac:dyDescent="0.2">
      <c r="A4598" s="22" t="str">
        <f>HYPERLINK("javascript:void(0)","gólemszüretelő")</f>
        <v>gólemszüretelő</v>
      </c>
      <c r="B4598" s="21"/>
      <c r="C4598" s="21"/>
      <c r="D4598" s="21"/>
    </row>
    <row r="4599" spans="1:4" ht="12.75" customHeight="1" x14ac:dyDescent="0.2">
      <c r="A4599" s="20"/>
      <c r="B4599" s="2"/>
      <c r="C4599" s="2"/>
      <c r="D4599" s="2"/>
    </row>
    <row r="4600" spans="1:4" ht="12.75" customHeight="1" x14ac:dyDescent="0.2">
      <c r="A4600" s="21"/>
      <c r="B4600" s="3" t="s">
        <v>0</v>
      </c>
      <c r="C4600" s="20" t="s">
        <v>883</v>
      </c>
      <c r="D4600" s="21"/>
    </row>
    <row r="4601" spans="1:4" ht="12.75" customHeight="1" x14ac:dyDescent="0.2">
      <c r="A4601" s="21"/>
      <c r="B4601" s="3" t="s">
        <v>2</v>
      </c>
      <c r="C4601" s="20" t="s">
        <v>1598</v>
      </c>
      <c r="D4601" s="21"/>
    </row>
    <row r="4602" spans="1:4" ht="12.75" customHeight="1" x14ac:dyDescent="0.2">
      <c r="A4602" s="21"/>
      <c r="B4602" s="3" t="s">
        <v>4</v>
      </c>
      <c r="C4602" s="20" t="s">
        <v>2162</v>
      </c>
      <c r="D4602" s="21"/>
    </row>
    <row r="4603" spans="1:4" ht="12.75" customHeight="1" x14ac:dyDescent="0.2">
      <c r="A4603" s="21"/>
      <c r="B4603" s="3" t="s">
        <v>6</v>
      </c>
      <c r="C4603" s="20" t="s">
        <v>392</v>
      </c>
      <c r="D4603" s="21"/>
    </row>
    <row r="4604" spans="1:4" ht="12.75" customHeight="1" x14ac:dyDescent="0.2">
      <c r="A4604" s="21"/>
      <c r="B4604" s="3" t="s">
        <v>8</v>
      </c>
      <c r="C4604" s="20" t="s">
        <v>2162</v>
      </c>
      <c r="D4604" s="21"/>
    </row>
    <row r="4605" spans="1:4" ht="12.75" customHeight="1" x14ac:dyDescent="0.2">
      <c r="A4605" s="21"/>
      <c r="B4605" s="3" t="s">
        <v>9</v>
      </c>
      <c r="C4605" s="20" t="s">
        <v>1496</v>
      </c>
      <c r="D4605" s="21"/>
    </row>
    <row r="4606" spans="1:4" ht="12.75" customHeight="1" x14ac:dyDescent="0.2">
      <c r="A4606" s="21"/>
      <c r="B4606" s="3" t="s">
        <v>11</v>
      </c>
      <c r="C4606" s="20" t="s">
        <v>909</v>
      </c>
      <c r="D4606" s="21"/>
    </row>
    <row r="4607" spans="1:4" ht="12.75" customHeight="1" x14ac:dyDescent="0.2">
      <c r="A4607" s="21"/>
      <c r="B4607" s="3" t="s">
        <v>13</v>
      </c>
      <c r="C4607" s="20" t="s">
        <v>24</v>
      </c>
      <c r="D4607" s="21"/>
    </row>
    <row r="4608" spans="1:4" ht="12.75" customHeight="1" x14ac:dyDescent="0.2">
      <c r="A4608" s="21"/>
      <c r="B4608" s="3" t="s">
        <v>15</v>
      </c>
      <c r="C4608" s="20" t="s">
        <v>24</v>
      </c>
      <c r="D4608" s="21"/>
    </row>
    <row r="4609" spans="1:4" ht="12.75" customHeight="1" x14ac:dyDescent="0.2">
      <c r="A4609" s="21"/>
      <c r="B4609" s="3" t="s">
        <v>16</v>
      </c>
      <c r="C4609" s="20"/>
      <c r="D4609" s="21"/>
    </row>
    <row r="4610" spans="1:4" ht="12.75" customHeight="1" x14ac:dyDescent="0.2">
      <c r="A4610" s="21"/>
      <c r="B4610" s="3" t="s">
        <v>17</v>
      </c>
      <c r="C4610" s="20"/>
      <c r="D4610" s="21"/>
    </row>
    <row r="4611" spans="1:4" ht="12.75" customHeight="1" x14ac:dyDescent="0.2">
      <c r="A4611" s="21"/>
      <c r="B4611" s="20" t="s">
        <v>18</v>
      </c>
      <c r="C4611" s="4" t="s">
        <v>117</v>
      </c>
      <c r="D4611" s="6" t="str">
        <f>HYPERLINK("javascript:void(0)","banánhéj")</f>
        <v>banánhéj</v>
      </c>
    </row>
    <row r="4612" spans="1:4" ht="12.75" customHeight="1" x14ac:dyDescent="0.2">
      <c r="A4612" s="21"/>
      <c r="B4612" s="21"/>
      <c r="C4612" s="4" t="s">
        <v>98</v>
      </c>
      <c r="D4612" s="6" t="str">
        <f>HYPERLINK("javascript:void(0)","hídpenge")</f>
        <v>hídpenge</v>
      </c>
    </row>
    <row r="4613" spans="1:4" ht="12.75" customHeight="1" x14ac:dyDescent="0.2">
      <c r="A4613" s="21"/>
      <c r="B4613" s="21"/>
      <c r="C4613" s="4" t="s">
        <v>44</v>
      </c>
      <c r="D4613" s="6" t="str">
        <f>HYPERLINK("javascript:void(0)","lidérckard")</f>
        <v>lidérckard</v>
      </c>
    </row>
    <row r="4614" spans="1:4" ht="12.75" customHeight="1" x14ac:dyDescent="0.2">
      <c r="A4614" s="5"/>
      <c r="B4614" s="2"/>
      <c r="C4614" s="2"/>
      <c r="D4614" s="2"/>
    </row>
    <row r="4615" spans="1:4" ht="12.75" customHeight="1" x14ac:dyDescent="0.2">
      <c r="A4615" s="22" t="str">
        <f>HYPERLINK("javascript:void(0)","gyíkacél nehézkard")</f>
        <v>gyíkacél nehézkard</v>
      </c>
      <c r="B4615" s="21"/>
      <c r="C4615" s="21"/>
      <c r="D4615" s="21"/>
    </row>
    <row r="4616" spans="1:4" ht="12.75" customHeight="1" x14ac:dyDescent="0.2">
      <c r="A4616" s="20"/>
      <c r="B4616" s="2"/>
      <c r="C4616" s="2"/>
      <c r="D4616" s="2"/>
    </row>
    <row r="4617" spans="1:4" ht="12.75" customHeight="1" x14ac:dyDescent="0.2">
      <c r="A4617" s="21"/>
      <c r="B4617" s="3" t="s">
        <v>0</v>
      </c>
      <c r="C4617" s="20" t="s">
        <v>883</v>
      </c>
      <c r="D4617" s="21"/>
    </row>
    <row r="4618" spans="1:4" ht="12.75" customHeight="1" x14ac:dyDescent="0.2">
      <c r="A4618" s="21"/>
      <c r="B4618" s="3" t="s">
        <v>2</v>
      </c>
      <c r="C4618" s="20" t="s">
        <v>1598</v>
      </c>
      <c r="D4618" s="21"/>
    </row>
    <row r="4619" spans="1:4" ht="12.75" customHeight="1" x14ac:dyDescent="0.2">
      <c r="A4619" s="21"/>
      <c r="B4619" s="3" t="s">
        <v>4</v>
      </c>
      <c r="C4619" s="20" t="s">
        <v>2166</v>
      </c>
      <c r="D4619" s="21"/>
    </row>
    <row r="4620" spans="1:4" ht="12.75" customHeight="1" x14ac:dyDescent="0.2">
      <c r="A4620" s="21"/>
      <c r="B4620" s="3" t="s">
        <v>6</v>
      </c>
      <c r="C4620" s="20" t="s">
        <v>107</v>
      </c>
      <c r="D4620" s="21"/>
    </row>
    <row r="4621" spans="1:4" ht="12.75" customHeight="1" x14ac:dyDescent="0.2">
      <c r="A4621" s="21"/>
      <c r="B4621" s="3" t="s">
        <v>8</v>
      </c>
      <c r="C4621" s="20" t="s">
        <v>2166</v>
      </c>
      <c r="D4621" s="21"/>
    </row>
    <row r="4622" spans="1:4" ht="12.75" customHeight="1" x14ac:dyDescent="0.2">
      <c r="A4622" s="21"/>
      <c r="B4622" s="3" t="s">
        <v>9</v>
      </c>
      <c r="C4622" s="20" t="s">
        <v>2167</v>
      </c>
      <c r="D4622" s="21"/>
    </row>
    <row r="4623" spans="1:4" ht="12.75" customHeight="1" x14ac:dyDescent="0.2">
      <c r="A4623" s="21"/>
      <c r="B4623" s="3" t="s">
        <v>11</v>
      </c>
      <c r="C4623" s="20" t="s">
        <v>666</v>
      </c>
      <c r="D4623" s="21"/>
    </row>
    <row r="4624" spans="1:4" ht="12.75" customHeight="1" x14ac:dyDescent="0.2">
      <c r="A4624" s="21"/>
      <c r="B4624" s="3" t="s">
        <v>13</v>
      </c>
      <c r="C4624" s="20" t="s">
        <v>24</v>
      </c>
      <c r="D4624" s="21"/>
    </row>
    <row r="4625" spans="1:4" ht="12.75" customHeight="1" x14ac:dyDescent="0.2">
      <c r="A4625" s="21"/>
      <c r="B4625" s="3" t="s">
        <v>15</v>
      </c>
      <c r="C4625" s="20" t="s">
        <v>24</v>
      </c>
      <c r="D4625" s="21"/>
    </row>
    <row r="4626" spans="1:4" ht="12.75" customHeight="1" x14ac:dyDescent="0.2">
      <c r="A4626" s="21"/>
      <c r="B4626" s="3" t="s">
        <v>16</v>
      </c>
      <c r="C4626" s="20"/>
      <c r="D4626" s="21"/>
    </row>
    <row r="4627" spans="1:4" ht="12.75" customHeight="1" x14ac:dyDescent="0.2">
      <c r="A4627" s="21"/>
      <c r="B4627" s="3" t="s">
        <v>17</v>
      </c>
      <c r="C4627" s="20"/>
      <c r="D4627" s="21"/>
    </row>
    <row r="4628" spans="1:4" ht="12.75" customHeight="1" x14ac:dyDescent="0.2">
      <c r="A4628" s="21"/>
      <c r="B4628" s="20" t="s">
        <v>18</v>
      </c>
      <c r="C4628" s="4" t="s">
        <v>950</v>
      </c>
      <c r="D4628" s="6" t="str">
        <f>HYPERLINK("javascript:void(0)","tűzige")</f>
        <v>tűzige</v>
      </c>
    </row>
    <row r="4629" spans="1:4" ht="12.75" customHeight="1" x14ac:dyDescent="0.2">
      <c r="A4629" s="21"/>
      <c r="B4629" s="21"/>
      <c r="C4629" s="4" t="s">
        <v>309</v>
      </c>
      <c r="D4629" s="6" t="str">
        <f>HYPERLINK("javascript:void(0)","kispárna")</f>
        <v>kispárna</v>
      </c>
    </row>
    <row r="4630" spans="1:4" ht="12.75" customHeight="1" x14ac:dyDescent="0.2">
      <c r="A4630" s="21"/>
      <c r="B4630" s="21"/>
      <c r="C4630" s="4" t="s">
        <v>780</v>
      </c>
      <c r="D4630" s="6" t="str">
        <f>HYPERLINK("javascript:void(0)","kígyócsörgő")</f>
        <v>kígyócsörgő</v>
      </c>
    </row>
    <row r="4631" spans="1:4" ht="12.75" customHeight="1" x14ac:dyDescent="0.2">
      <c r="A4631" s="5"/>
      <c r="B4631" s="2"/>
      <c r="C4631" s="2"/>
      <c r="D4631" s="2"/>
    </row>
    <row r="4632" spans="1:4" ht="12.75" customHeight="1" x14ac:dyDescent="0.2">
      <c r="A4632" s="22" t="str">
        <f>HYPERLINK("javascript:void(0)","vegyhasító")</f>
        <v>vegyhasító</v>
      </c>
      <c r="B4632" s="21"/>
      <c r="C4632" s="21"/>
      <c r="D4632" s="21"/>
    </row>
    <row r="4633" spans="1:4" ht="12.75" customHeight="1" x14ac:dyDescent="0.2">
      <c r="A4633" s="20"/>
      <c r="B4633" s="2"/>
      <c r="C4633" s="2"/>
      <c r="D4633" s="2"/>
    </row>
    <row r="4634" spans="1:4" ht="12.75" customHeight="1" x14ac:dyDescent="0.2">
      <c r="A4634" s="21"/>
      <c r="B4634" s="3" t="s">
        <v>0</v>
      </c>
      <c r="C4634" s="20" t="s">
        <v>896</v>
      </c>
      <c r="D4634" s="21"/>
    </row>
    <row r="4635" spans="1:4" ht="12.75" customHeight="1" x14ac:dyDescent="0.2">
      <c r="A4635" s="21"/>
      <c r="B4635" s="3" t="s">
        <v>2</v>
      </c>
      <c r="C4635" s="20" t="s">
        <v>1598</v>
      </c>
      <c r="D4635" s="21"/>
    </row>
    <row r="4636" spans="1:4" ht="12.75" customHeight="1" x14ac:dyDescent="0.2">
      <c r="A4636" s="21"/>
      <c r="B4636" s="3" t="s">
        <v>4</v>
      </c>
      <c r="C4636" s="20" t="s">
        <v>2169</v>
      </c>
      <c r="D4636" s="21"/>
    </row>
    <row r="4637" spans="1:4" ht="12.75" customHeight="1" x14ac:dyDescent="0.2">
      <c r="A4637" s="21"/>
      <c r="B4637" s="3" t="s">
        <v>6</v>
      </c>
      <c r="C4637" s="20" t="s">
        <v>52</v>
      </c>
      <c r="D4637" s="21"/>
    </row>
    <row r="4638" spans="1:4" ht="12.75" customHeight="1" x14ac:dyDescent="0.2">
      <c r="A4638" s="21"/>
      <c r="B4638" s="3" t="s">
        <v>8</v>
      </c>
      <c r="C4638" s="20" t="s">
        <v>2169</v>
      </c>
      <c r="D4638" s="21"/>
    </row>
    <row r="4639" spans="1:4" ht="12.75" customHeight="1" x14ac:dyDescent="0.2">
      <c r="A4639" s="21"/>
      <c r="B4639" s="3" t="s">
        <v>9</v>
      </c>
      <c r="C4639" s="20" t="s">
        <v>2146</v>
      </c>
      <c r="D4639" s="21"/>
    </row>
    <row r="4640" spans="1:4" ht="12.75" customHeight="1" x14ac:dyDescent="0.2">
      <c r="A4640" s="21"/>
      <c r="B4640" s="3" t="s">
        <v>11</v>
      </c>
      <c r="C4640" s="20" t="s">
        <v>917</v>
      </c>
      <c r="D4640" s="21"/>
    </row>
    <row r="4641" spans="1:4" ht="12.75" customHeight="1" x14ac:dyDescent="0.2">
      <c r="A4641" s="21"/>
      <c r="B4641" s="3" t="s">
        <v>13</v>
      </c>
      <c r="C4641" s="20" t="s">
        <v>24</v>
      </c>
      <c r="D4641" s="21"/>
    </row>
    <row r="4642" spans="1:4" ht="12.75" customHeight="1" x14ac:dyDescent="0.2">
      <c r="A4642" s="21"/>
      <c r="B4642" s="3" t="s">
        <v>15</v>
      </c>
      <c r="C4642" s="20" t="s">
        <v>24</v>
      </c>
      <c r="D4642" s="21"/>
    </row>
    <row r="4643" spans="1:4" ht="12.75" customHeight="1" x14ac:dyDescent="0.2">
      <c r="A4643" s="21"/>
      <c r="B4643" s="3" t="s">
        <v>16</v>
      </c>
      <c r="C4643" s="20"/>
      <c r="D4643" s="21"/>
    </row>
    <row r="4644" spans="1:4" ht="12.75" customHeight="1" x14ac:dyDescent="0.2">
      <c r="A4644" s="21"/>
      <c r="B4644" s="3" t="s">
        <v>17</v>
      </c>
      <c r="C4644" s="20"/>
      <c r="D4644" s="21"/>
    </row>
    <row r="4645" spans="1:4" ht="12.75" customHeight="1" x14ac:dyDescent="0.2">
      <c r="A4645" s="21"/>
      <c r="B4645" s="20" t="s">
        <v>18</v>
      </c>
      <c r="C4645" s="4" t="s">
        <v>68</v>
      </c>
      <c r="D4645" s="6" t="str">
        <f>HYPERLINK("javascript:void(0)","molekula")</f>
        <v>molekula</v>
      </c>
    </row>
    <row r="4646" spans="1:4" ht="12.75" customHeight="1" x14ac:dyDescent="0.2">
      <c r="A4646" s="21"/>
      <c r="B4646" s="21"/>
      <c r="C4646" s="4" t="s">
        <v>132</v>
      </c>
      <c r="D4646" s="6" t="str">
        <f>HYPERLINK("javascript:void(0)","managöb")</f>
        <v>managöb</v>
      </c>
    </row>
    <row r="4647" spans="1:4" ht="12.75" customHeight="1" x14ac:dyDescent="0.2">
      <c r="A4647" s="21"/>
      <c r="B4647" s="21"/>
      <c r="C4647" s="4" t="s">
        <v>163</v>
      </c>
      <c r="D4647" s="6" t="str">
        <f>HYPERLINK("javascript:void(0)","ördögpihe")</f>
        <v>ördögpihe</v>
      </c>
    </row>
    <row r="4648" spans="1:4" ht="12.75" customHeight="1" x14ac:dyDescent="0.2">
      <c r="A4648" s="5"/>
      <c r="B4648" s="2"/>
      <c r="C4648" s="2"/>
      <c r="D4648" s="2"/>
    </row>
    <row r="4649" spans="1:4" ht="12.75" customHeight="1" x14ac:dyDescent="0.2">
      <c r="A4649" s="22" t="str">
        <f>HYPERLINK("javascript:void(0)","atomizáló mágusölő")</f>
        <v>atomizáló mágusölő</v>
      </c>
      <c r="B4649" s="21"/>
      <c r="C4649" s="21"/>
      <c r="D4649" s="21"/>
    </row>
    <row r="4650" spans="1:4" ht="12.75" customHeight="1" x14ac:dyDescent="0.2">
      <c r="A4650" s="20"/>
      <c r="B4650" s="2"/>
      <c r="C4650" s="2"/>
      <c r="D4650" s="2"/>
    </row>
    <row r="4651" spans="1:4" ht="12.75" customHeight="1" x14ac:dyDescent="0.2">
      <c r="A4651" s="21"/>
      <c r="B4651" s="3" t="s">
        <v>0</v>
      </c>
      <c r="C4651" s="20" t="s">
        <v>896</v>
      </c>
      <c r="D4651" s="21"/>
    </row>
    <row r="4652" spans="1:4" ht="12.75" customHeight="1" x14ac:dyDescent="0.2">
      <c r="A4652" s="21"/>
      <c r="B4652" s="3" t="s">
        <v>2</v>
      </c>
      <c r="C4652" s="20" t="s">
        <v>1598</v>
      </c>
      <c r="D4652" s="21"/>
    </row>
    <row r="4653" spans="1:4" ht="12.75" customHeight="1" x14ac:dyDescent="0.2">
      <c r="A4653" s="21"/>
      <c r="B4653" s="3" t="s">
        <v>4</v>
      </c>
      <c r="C4653" s="20" t="s">
        <v>2172</v>
      </c>
      <c r="D4653" s="21"/>
    </row>
    <row r="4654" spans="1:4" ht="12.75" customHeight="1" x14ac:dyDescent="0.2">
      <c r="A4654" s="21"/>
      <c r="B4654" s="3" t="s">
        <v>6</v>
      </c>
      <c r="C4654" s="20" t="s">
        <v>48</v>
      </c>
      <c r="D4654" s="21"/>
    </row>
    <row r="4655" spans="1:4" ht="12.75" customHeight="1" x14ac:dyDescent="0.2">
      <c r="A4655" s="21"/>
      <c r="B4655" s="3" t="s">
        <v>8</v>
      </c>
      <c r="C4655" s="20" t="s">
        <v>2172</v>
      </c>
      <c r="D4655" s="21"/>
    </row>
    <row r="4656" spans="1:4" ht="12.75" customHeight="1" x14ac:dyDescent="0.2">
      <c r="A4656" s="21"/>
      <c r="B4656" s="3" t="s">
        <v>9</v>
      </c>
      <c r="C4656" s="20" t="s">
        <v>1088</v>
      </c>
      <c r="D4656" s="21"/>
    </row>
    <row r="4657" spans="1:4" ht="12.75" customHeight="1" x14ac:dyDescent="0.2">
      <c r="A4657" s="21"/>
      <c r="B4657" s="3" t="s">
        <v>11</v>
      </c>
      <c r="C4657" s="20" t="s">
        <v>1528</v>
      </c>
      <c r="D4657" s="21"/>
    </row>
    <row r="4658" spans="1:4" ht="12.75" customHeight="1" x14ac:dyDescent="0.2">
      <c r="A4658" s="21"/>
      <c r="B4658" s="3" t="s">
        <v>13</v>
      </c>
      <c r="C4658" s="20" t="s">
        <v>14</v>
      </c>
      <c r="D4658" s="21"/>
    </row>
    <row r="4659" spans="1:4" ht="12.75" customHeight="1" x14ac:dyDescent="0.2">
      <c r="A4659" s="21"/>
      <c r="B4659" s="3" t="s">
        <v>15</v>
      </c>
      <c r="C4659" s="20" t="s">
        <v>24</v>
      </c>
      <c r="D4659" s="21"/>
    </row>
    <row r="4660" spans="1:4" ht="12.75" customHeight="1" x14ac:dyDescent="0.2">
      <c r="A4660" s="21"/>
      <c r="B4660" s="3" t="s">
        <v>16</v>
      </c>
      <c r="C4660" s="20"/>
      <c r="D4660" s="21"/>
    </row>
    <row r="4661" spans="1:4" ht="12.75" customHeight="1" x14ac:dyDescent="0.2">
      <c r="A4661" s="21"/>
      <c r="B4661" s="3" t="s">
        <v>17</v>
      </c>
      <c r="C4661" s="20"/>
      <c r="D4661" s="21"/>
    </row>
    <row r="4662" spans="1:4" ht="12.75" customHeight="1" x14ac:dyDescent="0.2">
      <c r="A4662" s="21"/>
      <c r="B4662" s="20" t="s">
        <v>18</v>
      </c>
      <c r="C4662" s="4" t="s">
        <v>193</v>
      </c>
      <c r="D4662" s="6" t="str">
        <f>HYPERLINK("javascript:void(0)","vitorla")</f>
        <v>vitorla</v>
      </c>
    </row>
    <row r="4663" spans="1:4" ht="12.75" customHeight="1" x14ac:dyDescent="0.2">
      <c r="A4663" s="21"/>
      <c r="B4663" s="21"/>
      <c r="C4663" s="4" t="s">
        <v>117</v>
      </c>
      <c r="D4663" s="6" t="str">
        <f>HYPERLINK("javascript:void(0)","molekula")</f>
        <v>molekula</v>
      </c>
    </row>
    <row r="4664" spans="1:4" ht="12.75" customHeight="1" x14ac:dyDescent="0.2">
      <c r="A4664" s="21"/>
      <c r="B4664" s="21"/>
      <c r="C4664" s="4" t="s">
        <v>117</v>
      </c>
      <c r="D4664" s="6" t="str">
        <f>HYPERLINK("javascript:void(0)","lidérclámpás")</f>
        <v>lidérclámpás</v>
      </c>
    </row>
    <row r="4665" spans="1:4" ht="12.75" customHeight="1" x14ac:dyDescent="0.2">
      <c r="A4665" s="5"/>
      <c r="B4665" s="2"/>
      <c r="C4665" s="2"/>
      <c r="D4665" s="2"/>
    </row>
    <row r="4666" spans="1:4" ht="12.75" customHeight="1" x14ac:dyDescent="0.2">
      <c r="A4666" s="22" t="str">
        <f>HYPERLINK("javascript:void(0)","pálhakard")</f>
        <v>pálhakard</v>
      </c>
      <c r="B4666" s="21"/>
      <c r="C4666" s="21"/>
      <c r="D4666" s="21"/>
    </row>
    <row r="4667" spans="1:4" ht="12.75" customHeight="1" x14ac:dyDescent="0.2">
      <c r="A4667" s="20"/>
      <c r="B4667" s="2"/>
      <c r="C4667" s="2"/>
      <c r="D4667" s="2"/>
    </row>
    <row r="4668" spans="1:4" ht="12.75" customHeight="1" x14ac:dyDescent="0.2">
      <c r="A4668" s="21"/>
      <c r="B4668" s="3" t="s">
        <v>0</v>
      </c>
      <c r="C4668" s="20" t="s">
        <v>905</v>
      </c>
      <c r="D4668" s="21"/>
    </row>
    <row r="4669" spans="1:4" ht="12.75" customHeight="1" x14ac:dyDescent="0.2">
      <c r="A4669" s="21"/>
      <c r="B4669" s="3" t="s">
        <v>2</v>
      </c>
      <c r="C4669" s="20" t="s">
        <v>1598</v>
      </c>
      <c r="D4669" s="21"/>
    </row>
    <row r="4670" spans="1:4" ht="12.75" customHeight="1" x14ac:dyDescent="0.2">
      <c r="A4670" s="21"/>
      <c r="B4670" s="3" t="s">
        <v>4</v>
      </c>
      <c r="C4670" s="20" t="s">
        <v>2176</v>
      </c>
      <c r="D4670" s="21"/>
    </row>
    <row r="4671" spans="1:4" ht="12.75" customHeight="1" x14ac:dyDescent="0.2">
      <c r="A4671" s="21"/>
      <c r="B4671" s="3" t="s">
        <v>6</v>
      </c>
      <c r="C4671" s="20" t="s">
        <v>52</v>
      </c>
      <c r="D4671" s="21"/>
    </row>
    <row r="4672" spans="1:4" ht="12.75" customHeight="1" x14ac:dyDescent="0.2">
      <c r="A4672" s="21"/>
      <c r="B4672" s="3" t="s">
        <v>8</v>
      </c>
      <c r="C4672" s="20" t="s">
        <v>2176</v>
      </c>
      <c r="D4672" s="21"/>
    </row>
    <row r="4673" spans="1:4" ht="12.75" customHeight="1" x14ac:dyDescent="0.2">
      <c r="A4673" s="21"/>
      <c r="B4673" s="3" t="s">
        <v>9</v>
      </c>
      <c r="C4673" s="20" t="s">
        <v>1054</v>
      </c>
      <c r="D4673" s="21"/>
    </row>
    <row r="4674" spans="1:4" ht="12.75" customHeight="1" x14ac:dyDescent="0.2">
      <c r="A4674" s="21"/>
      <c r="B4674" s="3" t="s">
        <v>11</v>
      </c>
      <c r="C4674" s="20" t="s">
        <v>929</v>
      </c>
      <c r="D4674" s="21"/>
    </row>
    <row r="4675" spans="1:4" ht="12.75" customHeight="1" x14ac:dyDescent="0.2">
      <c r="A4675" s="21"/>
      <c r="B4675" s="3" t="s">
        <v>13</v>
      </c>
      <c r="C4675" s="20" t="s">
        <v>24</v>
      </c>
      <c r="D4675" s="21"/>
    </row>
    <row r="4676" spans="1:4" ht="12.75" customHeight="1" x14ac:dyDescent="0.2">
      <c r="A4676" s="21"/>
      <c r="B4676" s="3" t="s">
        <v>15</v>
      </c>
      <c r="C4676" s="20" t="s">
        <v>24</v>
      </c>
      <c r="D4676" s="21"/>
    </row>
    <row r="4677" spans="1:4" ht="12.75" customHeight="1" x14ac:dyDescent="0.2">
      <c r="A4677" s="21"/>
      <c r="B4677" s="3" t="s">
        <v>16</v>
      </c>
      <c r="C4677" s="20"/>
      <c r="D4677" s="21"/>
    </row>
    <row r="4678" spans="1:4" ht="12.75" customHeight="1" x14ac:dyDescent="0.2">
      <c r="A4678" s="21"/>
      <c r="B4678" s="3" t="s">
        <v>17</v>
      </c>
      <c r="C4678" s="20"/>
      <c r="D4678" s="21"/>
    </row>
    <row r="4679" spans="1:4" ht="12.75" customHeight="1" x14ac:dyDescent="0.2">
      <c r="A4679" s="21"/>
      <c r="B4679" s="20" t="s">
        <v>18</v>
      </c>
      <c r="C4679" s="4" t="s">
        <v>44</v>
      </c>
      <c r="D4679" s="6" t="str">
        <f>HYPERLINK("javascript:void(0)","gólemszüretelő")</f>
        <v>gólemszüretelő</v>
      </c>
    </row>
    <row r="4680" spans="1:4" ht="12.75" customHeight="1" x14ac:dyDescent="0.2">
      <c r="A4680" s="21"/>
      <c r="B4680" s="21"/>
      <c r="C4680" s="4" t="s">
        <v>44</v>
      </c>
      <c r="D4680" s="6" t="str">
        <f>HYPERLINK("javascript:void(0)","vegyhasító")</f>
        <v>vegyhasító</v>
      </c>
    </row>
    <row r="4681" spans="1:4" ht="12.75" customHeight="1" x14ac:dyDescent="0.2">
      <c r="A4681" s="21"/>
      <c r="B4681" s="21"/>
      <c r="C4681" s="4" t="s">
        <v>44</v>
      </c>
      <c r="D4681" s="6" t="str">
        <f>HYPERLINK("javascript:void(0)","pálhatüske")</f>
        <v>pálhatüske</v>
      </c>
    </row>
    <row r="4682" spans="1:4" ht="12.75" customHeight="1" x14ac:dyDescent="0.2">
      <c r="A4682" s="5"/>
      <c r="B4682" s="2"/>
      <c r="C4682" s="2"/>
      <c r="D4682" s="2"/>
    </row>
    <row r="4683" spans="1:4" ht="12.75" customHeight="1" x14ac:dyDescent="0.2">
      <c r="A4683" s="22" t="str">
        <f>HYPERLINK("javascript:void(0)","gyíkacél ikerkard")</f>
        <v>gyíkacél ikerkard</v>
      </c>
      <c r="B4683" s="21"/>
      <c r="C4683" s="21"/>
      <c r="D4683" s="21"/>
    </row>
    <row r="4684" spans="1:4" ht="12.75" customHeight="1" x14ac:dyDescent="0.2">
      <c r="A4684" s="20"/>
      <c r="B4684" s="2"/>
      <c r="C4684" s="2"/>
      <c r="D4684" s="2"/>
    </row>
    <row r="4685" spans="1:4" ht="12.75" customHeight="1" x14ac:dyDescent="0.2">
      <c r="A4685" s="21"/>
      <c r="B4685" s="3" t="s">
        <v>0</v>
      </c>
      <c r="C4685" s="20" t="s">
        <v>905</v>
      </c>
      <c r="D4685" s="21"/>
    </row>
    <row r="4686" spans="1:4" ht="12.75" customHeight="1" x14ac:dyDescent="0.2">
      <c r="A4686" s="21"/>
      <c r="B4686" s="3" t="s">
        <v>2</v>
      </c>
      <c r="C4686" s="20" t="s">
        <v>1598</v>
      </c>
      <c r="D4686" s="21"/>
    </row>
    <row r="4687" spans="1:4" ht="12.75" customHeight="1" x14ac:dyDescent="0.2">
      <c r="A4687" s="21"/>
      <c r="B4687" s="3" t="s">
        <v>4</v>
      </c>
      <c r="C4687" s="20" t="s">
        <v>2178</v>
      </c>
      <c r="D4687" s="21"/>
    </row>
    <row r="4688" spans="1:4" ht="12.75" customHeight="1" x14ac:dyDescent="0.2">
      <c r="A4688" s="21"/>
      <c r="B4688" s="3" t="s">
        <v>6</v>
      </c>
      <c r="C4688" s="20" t="s">
        <v>107</v>
      </c>
      <c r="D4688" s="21"/>
    </row>
    <row r="4689" spans="1:4" ht="12.75" customHeight="1" x14ac:dyDescent="0.2">
      <c r="A4689" s="21"/>
      <c r="B4689" s="3" t="s">
        <v>8</v>
      </c>
      <c r="C4689" s="20" t="s">
        <v>2178</v>
      </c>
      <c r="D4689" s="21"/>
    </row>
    <row r="4690" spans="1:4" ht="12.75" customHeight="1" x14ac:dyDescent="0.2">
      <c r="A4690" s="21"/>
      <c r="B4690" s="3" t="s">
        <v>9</v>
      </c>
      <c r="C4690" s="20" t="s">
        <v>2180</v>
      </c>
      <c r="D4690" s="21"/>
    </row>
    <row r="4691" spans="1:4" ht="12.75" customHeight="1" x14ac:dyDescent="0.2">
      <c r="A4691" s="21"/>
      <c r="B4691" s="3" t="s">
        <v>11</v>
      </c>
      <c r="C4691" s="20" t="s">
        <v>679</v>
      </c>
      <c r="D4691" s="21"/>
    </row>
    <row r="4692" spans="1:4" ht="12.75" customHeight="1" x14ac:dyDescent="0.2">
      <c r="A4692" s="21"/>
      <c r="B4692" s="3" t="s">
        <v>13</v>
      </c>
      <c r="C4692" s="20" t="s">
        <v>24</v>
      </c>
      <c r="D4692" s="21"/>
    </row>
    <row r="4693" spans="1:4" ht="12.75" customHeight="1" x14ac:dyDescent="0.2">
      <c r="A4693" s="21"/>
      <c r="B4693" s="3" t="s">
        <v>15</v>
      </c>
      <c r="C4693" s="20" t="s">
        <v>24</v>
      </c>
      <c r="D4693" s="21"/>
    </row>
    <row r="4694" spans="1:4" ht="12.75" customHeight="1" x14ac:dyDescent="0.2">
      <c r="A4694" s="21"/>
      <c r="B4694" s="3" t="s">
        <v>16</v>
      </c>
      <c r="C4694" s="20"/>
      <c r="D4694" s="21"/>
    </row>
    <row r="4695" spans="1:4" ht="12.75" customHeight="1" x14ac:dyDescent="0.2">
      <c r="A4695" s="21"/>
      <c r="B4695" s="3" t="s">
        <v>17</v>
      </c>
      <c r="C4695" s="20"/>
      <c r="D4695" s="21"/>
    </row>
    <row r="4696" spans="1:4" ht="12.75" customHeight="1" x14ac:dyDescent="0.2">
      <c r="A4696" s="21"/>
      <c r="B4696" s="20" t="s">
        <v>18</v>
      </c>
      <c r="C4696" s="4" t="s">
        <v>894</v>
      </c>
      <c r="D4696" s="6" t="str">
        <f>HYPERLINK("javascript:void(0)","vitorla")</f>
        <v>vitorla</v>
      </c>
    </row>
    <row r="4697" spans="1:4" ht="12.75" customHeight="1" x14ac:dyDescent="0.2">
      <c r="A4697" s="21"/>
      <c r="B4697" s="21"/>
      <c r="C4697" s="4" t="s">
        <v>139</v>
      </c>
      <c r="D4697" s="6" t="str">
        <f>HYPERLINK("javascript:void(0)","trolltartó")</f>
        <v>trolltartó</v>
      </c>
    </row>
    <row r="4698" spans="1:4" ht="12.75" customHeight="1" x14ac:dyDescent="0.2">
      <c r="A4698" s="21"/>
      <c r="B4698" s="21"/>
      <c r="C4698" s="4" t="s">
        <v>780</v>
      </c>
      <c r="D4698" s="6" t="str">
        <f>HYPERLINK("javascript:void(0)","ámbra")</f>
        <v>ámbra</v>
      </c>
    </row>
    <row r="4699" spans="1:4" ht="12.75" customHeight="1" x14ac:dyDescent="0.2">
      <c r="A4699" s="5"/>
      <c r="B4699" s="2"/>
      <c r="C4699" s="2"/>
      <c r="D4699" s="2"/>
    </row>
    <row r="4700" spans="1:4" ht="12.75" customHeight="1" x14ac:dyDescent="0.2">
      <c r="A4700" s="22" t="str">
        <f>HYPERLINK("javascript:void(0)","pálhatüske")</f>
        <v>pálhatüske</v>
      </c>
      <c r="B4700" s="21"/>
      <c r="C4700" s="21"/>
      <c r="D4700" s="21"/>
    </row>
    <row r="4701" spans="1:4" ht="12.75" customHeight="1" x14ac:dyDescent="0.2">
      <c r="A4701" s="20"/>
      <c r="B4701" s="2"/>
      <c r="C4701" s="2"/>
      <c r="D4701" s="2"/>
    </row>
    <row r="4702" spans="1:4" ht="12.75" customHeight="1" x14ac:dyDescent="0.2">
      <c r="A4702" s="21"/>
      <c r="B4702" s="3" t="s">
        <v>0</v>
      </c>
      <c r="C4702" s="20" t="s">
        <v>905</v>
      </c>
      <c r="D4702" s="21"/>
    </row>
    <row r="4703" spans="1:4" ht="12.75" customHeight="1" x14ac:dyDescent="0.2">
      <c r="A4703" s="21"/>
      <c r="B4703" s="3" t="s">
        <v>2</v>
      </c>
      <c r="C4703" s="20" t="s">
        <v>1598</v>
      </c>
      <c r="D4703" s="21"/>
    </row>
    <row r="4704" spans="1:4" ht="12.75" customHeight="1" x14ac:dyDescent="0.2">
      <c r="A4704" s="21"/>
      <c r="B4704" s="3" t="s">
        <v>4</v>
      </c>
      <c r="C4704" s="20" t="s">
        <v>1452</v>
      </c>
      <c r="D4704" s="21"/>
    </row>
    <row r="4705" spans="1:4" ht="12.75" customHeight="1" x14ac:dyDescent="0.2">
      <c r="A4705" s="21"/>
      <c r="B4705" s="3" t="s">
        <v>6</v>
      </c>
      <c r="C4705" s="20" t="s">
        <v>21</v>
      </c>
      <c r="D4705" s="21"/>
    </row>
    <row r="4706" spans="1:4" ht="12.75" customHeight="1" x14ac:dyDescent="0.2">
      <c r="A4706" s="21"/>
      <c r="B4706" s="3" t="s">
        <v>8</v>
      </c>
      <c r="C4706" s="20" t="s">
        <v>1452</v>
      </c>
      <c r="D4706" s="21"/>
    </row>
    <row r="4707" spans="1:4" ht="12.75" customHeight="1" x14ac:dyDescent="0.2">
      <c r="A4707" s="21"/>
      <c r="B4707" s="3" t="s">
        <v>9</v>
      </c>
      <c r="C4707" s="20" t="s">
        <v>2121</v>
      </c>
      <c r="D4707" s="21"/>
    </row>
    <row r="4708" spans="1:4" ht="12.75" customHeight="1" x14ac:dyDescent="0.2">
      <c r="A4708" s="21"/>
      <c r="B4708" s="3" t="s">
        <v>11</v>
      </c>
      <c r="C4708" s="20" t="s">
        <v>939</v>
      </c>
      <c r="D4708" s="21"/>
    </row>
    <row r="4709" spans="1:4" ht="12.75" customHeight="1" x14ac:dyDescent="0.2">
      <c r="A4709" s="21"/>
      <c r="B4709" s="3" t="s">
        <v>13</v>
      </c>
      <c r="C4709" s="20" t="s">
        <v>24</v>
      </c>
      <c r="D4709" s="21"/>
    </row>
    <row r="4710" spans="1:4" ht="12.75" customHeight="1" x14ac:dyDescent="0.2">
      <c r="A4710" s="21"/>
      <c r="B4710" s="3" t="s">
        <v>15</v>
      </c>
      <c r="C4710" s="20" t="s">
        <v>24</v>
      </c>
      <c r="D4710" s="21"/>
    </row>
    <row r="4711" spans="1:4" ht="12.75" customHeight="1" x14ac:dyDescent="0.2">
      <c r="A4711" s="21"/>
      <c r="B4711" s="3" t="s">
        <v>16</v>
      </c>
      <c r="C4711" s="20"/>
      <c r="D4711" s="21"/>
    </row>
    <row r="4712" spans="1:4" ht="12.75" customHeight="1" x14ac:dyDescent="0.2">
      <c r="A4712" s="21"/>
      <c r="B4712" s="3" t="s">
        <v>17</v>
      </c>
      <c r="C4712" s="20"/>
      <c r="D4712" s="21"/>
    </row>
    <row r="4713" spans="1:4" ht="12.75" customHeight="1" x14ac:dyDescent="0.2">
      <c r="A4713" s="21"/>
      <c r="B4713" s="20" t="s">
        <v>18</v>
      </c>
      <c r="C4713" s="4" t="s">
        <v>139</v>
      </c>
      <c r="D4713" s="6" t="str">
        <f>HYPERLINK("javascript:void(0)","csapdaszeg")</f>
        <v>csapdaszeg</v>
      </c>
    </row>
    <row r="4714" spans="1:4" ht="12.75" customHeight="1" x14ac:dyDescent="0.2">
      <c r="A4714" s="21"/>
      <c r="B4714" s="21"/>
      <c r="C4714" s="4" t="s">
        <v>117</v>
      </c>
      <c r="D4714" s="6" t="str">
        <f>HYPERLINK("javascript:void(0)","pálha")</f>
        <v>pálha</v>
      </c>
    </row>
    <row r="4715" spans="1:4" ht="12.75" customHeight="1" x14ac:dyDescent="0.2">
      <c r="A4715" s="21"/>
      <c r="B4715" s="21"/>
      <c r="C4715" s="4" t="s">
        <v>117</v>
      </c>
      <c r="D4715" s="6" t="str">
        <f>HYPERLINK("javascript:void(0)","agyagszárny")</f>
        <v>agyagszárny</v>
      </c>
    </row>
    <row r="4716" spans="1:4" ht="12.75" customHeight="1" x14ac:dyDescent="0.2">
      <c r="A4716" s="5"/>
      <c r="B4716" s="2"/>
      <c r="C4716" s="2"/>
      <c r="D4716" s="2"/>
    </row>
    <row r="4717" spans="1:4" ht="12.75" customHeight="1" x14ac:dyDescent="0.2">
      <c r="A4717" s="22" t="str">
        <f>HYPERLINK("javascript:void(0)","szellemkard")</f>
        <v>szellemkard</v>
      </c>
      <c r="B4717" s="21"/>
      <c r="C4717" s="21"/>
      <c r="D4717" s="21"/>
    </row>
    <row r="4718" spans="1:4" ht="12.75" customHeight="1" x14ac:dyDescent="0.2">
      <c r="A4718" s="20"/>
      <c r="B4718" s="2"/>
      <c r="C4718" s="2"/>
      <c r="D4718" s="2"/>
    </row>
    <row r="4719" spans="1:4" ht="12.75" customHeight="1" x14ac:dyDescent="0.2">
      <c r="A4719" s="21"/>
      <c r="B4719" s="3" t="s">
        <v>0</v>
      </c>
      <c r="C4719" s="20" t="s">
        <v>319</v>
      </c>
      <c r="D4719" s="21"/>
    </row>
    <row r="4720" spans="1:4" ht="12.75" customHeight="1" x14ac:dyDescent="0.2">
      <c r="A4720" s="21"/>
      <c r="B4720" s="3" t="s">
        <v>2</v>
      </c>
      <c r="C4720" s="20" t="s">
        <v>1598</v>
      </c>
      <c r="D4720" s="21"/>
    </row>
    <row r="4721" spans="1:4" ht="12.75" customHeight="1" x14ac:dyDescent="0.2">
      <c r="A4721" s="21"/>
      <c r="B4721" s="3" t="s">
        <v>4</v>
      </c>
      <c r="C4721" s="20" t="s">
        <v>1453</v>
      </c>
      <c r="D4721" s="21"/>
    </row>
    <row r="4722" spans="1:4" ht="12.75" customHeight="1" x14ac:dyDescent="0.2">
      <c r="A4722" s="21"/>
      <c r="B4722" s="3" t="s">
        <v>6</v>
      </c>
      <c r="C4722" s="20" t="s">
        <v>392</v>
      </c>
      <c r="D4722" s="21"/>
    </row>
    <row r="4723" spans="1:4" ht="12.75" customHeight="1" x14ac:dyDescent="0.2">
      <c r="A4723" s="21"/>
      <c r="B4723" s="3" t="s">
        <v>8</v>
      </c>
      <c r="C4723" s="20" t="s">
        <v>1453</v>
      </c>
      <c r="D4723" s="21"/>
    </row>
    <row r="4724" spans="1:4" ht="12.75" customHeight="1" x14ac:dyDescent="0.2">
      <c r="A4724" s="21"/>
      <c r="B4724" s="3" t="s">
        <v>9</v>
      </c>
      <c r="C4724" s="20" t="s">
        <v>2184</v>
      </c>
      <c r="D4724" s="21"/>
    </row>
    <row r="4725" spans="1:4" ht="12.75" customHeight="1" x14ac:dyDescent="0.2">
      <c r="A4725" s="21"/>
      <c r="B4725" s="3" t="s">
        <v>11</v>
      </c>
      <c r="C4725" s="20" t="s">
        <v>939</v>
      </c>
      <c r="D4725" s="21"/>
    </row>
    <row r="4726" spans="1:4" ht="12.75" customHeight="1" x14ac:dyDescent="0.2">
      <c r="A4726" s="21"/>
      <c r="B4726" s="3" t="s">
        <v>13</v>
      </c>
      <c r="C4726" s="20" t="s">
        <v>24</v>
      </c>
      <c r="D4726" s="21"/>
    </row>
    <row r="4727" spans="1:4" ht="12.75" customHeight="1" x14ac:dyDescent="0.2">
      <c r="A4727" s="21"/>
      <c r="B4727" s="3" t="s">
        <v>15</v>
      </c>
      <c r="C4727" s="20" t="s">
        <v>24</v>
      </c>
      <c r="D4727" s="21"/>
    </row>
    <row r="4728" spans="1:4" ht="12.75" customHeight="1" x14ac:dyDescent="0.2">
      <c r="A4728" s="21"/>
      <c r="B4728" s="3" t="s">
        <v>16</v>
      </c>
      <c r="C4728" s="20"/>
      <c r="D4728" s="21"/>
    </row>
    <row r="4729" spans="1:4" ht="12.75" customHeight="1" x14ac:dyDescent="0.2">
      <c r="A4729" s="21"/>
      <c r="B4729" s="3" t="s">
        <v>17</v>
      </c>
      <c r="C4729" s="20"/>
      <c r="D4729" s="21"/>
    </row>
    <row r="4730" spans="1:4" ht="12.75" customHeight="1" x14ac:dyDescent="0.2">
      <c r="A4730" s="21"/>
      <c r="B4730" s="20" t="s">
        <v>18</v>
      </c>
      <c r="C4730" s="4" t="s">
        <v>142</v>
      </c>
      <c r="D4730" s="6" t="str">
        <f>HYPERLINK("javascript:void(0)","valkript")</f>
        <v>valkript</v>
      </c>
    </row>
    <row r="4731" spans="1:4" ht="12.75" customHeight="1" x14ac:dyDescent="0.2">
      <c r="A4731" s="21"/>
      <c r="B4731" s="21"/>
      <c r="C4731" s="4" t="s">
        <v>331</v>
      </c>
      <c r="D4731" s="6" t="str">
        <f>HYPERLINK("javascript:void(0)","managöb")</f>
        <v>managöb</v>
      </c>
    </row>
    <row r="4732" spans="1:4" ht="12.75" customHeight="1" x14ac:dyDescent="0.2">
      <c r="A4732" s="21"/>
      <c r="B4732" s="21"/>
      <c r="C4732" s="4" t="s">
        <v>44</v>
      </c>
      <c r="D4732" s="6" t="str">
        <f>HYPERLINK("javascript:void(0)","pálhakard")</f>
        <v>pálhakard</v>
      </c>
    </row>
    <row r="4733" spans="1:4" ht="12.75" customHeight="1" x14ac:dyDescent="0.2">
      <c r="A4733" s="5"/>
      <c r="B4733" s="2"/>
      <c r="C4733" s="2"/>
      <c r="D4733" s="2"/>
    </row>
    <row r="4734" spans="1:4" ht="12.75" customHeight="1" x14ac:dyDescent="0.2">
      <c r="A4734" s="22" t="str">
        <f>HYPERLINK("javascript:void(0)","rémpusztitó mágusölő")</f>
        <v>rémpusztitó mágusölő</v>
      </c>
      <c r="B4734" s="21"/>
      <c r="C4734" s="21"/>
      <c r="D4734" s="21"/>
    </row>
    <row r="4735" spans="1:4" ht="12.75" customHeight="1" x14ac:dyDescent="0.2">
      <c r="A4735" s="20"/>
      <c r="B4735" s="2"/>
      <c r="C4735" s="2"/>
      <c r="D4735" s="2"/>
    </row>
    <row r="4736" spans="1:4" ht="12.75" customHeight="1" x14ac:dyDescent="0.2">
      <c r="A4736" s="21"/>
      <c r="B4736" s="3" t="s">
        <v>0</v>
      </c>
      <c r="C4736" s="20" t="s">
        <v>319</v>
      </c>
      <c r="D4736" s="21"/>
    </row>
    <row r="4737" spans="1:4" ht="12.75" customHeight="1" x14ac:dyDescent="0.2">
      <c r="A4737" s="21"/>
      <c r="B4737" s="3" t="s">
        <v>2</v>
      </c>
      <c r="C4737" s="20" t="s">
        <v>1598</v>
      </c>
      <c r="D4737" s="21"/>
    </row>
    <row r="4738" spans="1:4" ht="12.75" customHeight="1" x14ac:dyDescent="0.2">
      <c r="A4738" s="21"/>
      <c r="B4738" s="3" t="s">
        <v>4</v>
      </c>
      <c r="C4738" s="20" t="s">
        <v>2187</v>
      </c>
      <c r="D4738" s="21"/>
    </row>
    <row r="4739" spans="1:4" ht="12.75" customHeight="1" x14ac:dyDescent="0.2">
      <c r="A4739" s="21"/>
      <c r="B4739" s="3" t="s">
        <v>6</v>
      </c>
      <c r="C4739" s="20" t="s">
        <v>48</v>
      </c>
      <c r="D4739" s="21"/>
    </row>
    <row r="4740" spans="1:4" ht="12.75" customHeight="1" x14ac:dyDescent="0.2">
      <c r="A4740" s="21"/>
      <c r="B4740" s="3" t="s">
        <v>8</v>
      </c>
      <c r="C4740" s="20" t="s">
        <v>2187</v>
      </c>
      <c r="D4740" s="21"/>
    </row>
    <row r="4741" spans="1:4" ht="12.75" customHeight="1" x14ac:dyDescent="0.2">
      <c r="A4741" s="21"/>
      <c r="B4741" s="3" t="s">
        <v>9</v>
      </c>
      <c r="C4741" s="20" t="s">
        <v>2009</v>
      </c>
      <c r="D4741" s="21"/>
    </row>
    <row r="4742" spans="1:4" ht="12.75" customHeight="1" x14ac:dyDescent="0.2">
      <c r="A4742" s="21"/>
      <c r="B4742" s="3" t="s">
        <v>11</v>
      </c>
      <c r="C4742" s="20" t="s">
        <v>1628</v>
      </c>
      <c r="D4742" s="21"/>
    </row>
    <row r="4743" spans="1:4" ht="12.75" customHeight="1" x14ac:dyDescent="0.2">
      <c r="A4743" s="21"/>
      <c r="B4743" s="3" t="s">
        <v>13</v>
      </c>
      <c r="C4743" s="20" t="s">
        <v>14</v>
      </c>
      <c r="D4743" s="21"/>
    </row>
    <row r="4744" spans="1:4" ht="12.75" customHeight="1" x14ac:dyDescent="0.2">
      <c r="A4744" s="21"/>
      <c r="B4744" s="3" t="s">
        <v>15</v>
      </c>
      <c r="C4744" s="20" t="s">
        <v>24</v>
      </c>
      <c r="D4744" s="21"/>
    </row>
    <row r="4745" spans="1:4" ht="12.75" customHeight="1" x14ac:dyDescent="0.2">
      <c r="A4745" s="21"/>
      <c r="B4745" s="3" t="s">
        <v>16</v>
      </c>
      <c r="C4745" s="20"/>
      <c r="D4745" s="21"/>
    </row>
    <row r="4746" spans="1:4" ht="12.75" customHeight="1" x14ac:dyDescent="0.2">
      <c r="A4746" s="21"/>
      <c r="B4746" s="3" t="s">
        <v>17</v>
      </c>
      <c r="C4746" s="20"/>
      <c r="D4746" s="21"/>
    </row>
    <row r="4747" spans="1:4" ht="12.75" customHeight="1" x14ac:dyDescent="0.2">
      <c r="A4747" s="21"/>
      <c r="B4747" s="20" t="s">
        <v>18</v>
      </c>
      <c r="C4747" s="4" t="s">
        <v>269</v>
      </c>
      <c r="D4747" s="6" t="str">
        <f>HYPERLINK("javascript:void(0)","sárkányzsák")</f>
        <v>sárkányzsák</v>
      </c>
    </row>
    <row r="4748" spans="1:4" ht="12.75" customHeight="1" x14ac:dyDescent="0.2">
      <c r="A4748" s="21"/>
      <c r="B4748" s="21"/>
      <c r="C4748" s="4" t="s">
        <v>117</v>
      </c>
      <c r="D4748" s="6" t="str">
        <f>HYPERLINK("javascript:void(0)","rémláb")</f>
        <v>rémláb</v>
      </c>
    </row>
    <row r="4749" spans="1:4" ht="12.75" customHeight="1" x14ac:dyDescent="0.2">
      <c r="A4749" s="21"/>
      <c r="B4749" s="21"/>
      <c r="C4749" s="4" t="s">
        <v>244</v>
      </c>
      <c r="D4749" s="6" t="str">
        <f>HYPERLINK("javascript:void(0)","agyagszárny")</f>
        <v>agyagszárny</v>
      </c>
    </row>
    <row r="4750" spans="1:4" ht="12.75" customHeight="1" x14ac:dyDescent="0.2">
      <c r="A4750" s="5"/>
      <c r="B4750" s="2"/>
      <c r="C4750" s="2"/>
      <c r="D4750" s="2"/>
    </row>
    <row r="4751" spans="1:4" ht="12.75" customHeight="1" x14ac:dyDescent="0.2">
      <c r="A4751" s="22" t="str">
        <f>HYPERLINK("javascript:void(0)","angyalsarló")</f>
        <v>angyalsarló</v>
      </c>
      <c r="B4751" s="21"/>
      <c r="C4751" s="21"/>
      <c r="D4751" s="21"/>
    </row>
    <row r="4752" spans="1:4" ht="12.75" customHeight="1" x14ac:dyDescent="0.2">
      <c r="A4752" s="20"/>
      <c r="B4752" s="2"/>
      <c r="C4752" s="2"/>
      <c r="D4752" s="2"/>
    </row>
    <row r="4753" spans="1:4" ht="12.75" customHeight="1" x14ac:dyDescent="0.2">
      <c r="A4753" s="21"/>
      <c r="B4753" s="3" t="s">
        <v>0</v>
      </c>
      <c r="C4753" s="20" t="s">
        <v>926</v>
      </c>
      <c r="D4753" s="21"/>
    </row>
    <row r="4754" spans="1:4" ht="12.75" customHeight="1" x14ac:dyDescent="0.2">
      <c r="A4754" s="21"/>
      <c r="B4754" s="3" t="s">
        <v>2</v>
      </c>
      <c r="C4754" s="20" t="s">
        <v>1598</v>
      </c>
      <c r="D4754" s="21"/>
    </row>
    <row r="4755" spans="1:4" ht="12.75" customHeight="1" x14ac:dyDescent="0.2">
      <c r="A4755" s="21"/>
      <c r="B4755" s="3" t="s">
        <v>4</v>
      </c>
      <c r="C4755" s="20" t="s">
        <v>2189</v>
      </c>
      <c r="D4755" s="21"/>
    </row>
    <row r="4756" spans="1:4" ht="12.75" customHeight="1" x14ac:dyDescent="0.2">
      <c r="A4756" s="21"/>
      <c r="B4756" s="3" t="s">
        <v>6</v>
      </c>
      <c r="C4756" s="20" t="s">
        <v>107</v>
      </c>
      <c r="D4756" s="21"/>
    </row>
    <row r="4757" spans="1:4" ht="12.75" customHeight="1" x14ac:dyDescent="0.2">
      <c r="A4757" s="21"/>
      <c r="B4757" s="3" t="s">
        <v>8</v>
      </c>
      <c r="C4757" s="20" t="s">
        <v>2189</v>
      </c>
      <c r="D4757" s="21"/>
    </row>
    <row r="4758" spans="1:4" ht="12.75" customHeight="1" x14ac:dyDescent="0.2">
      <c r="A4758" s="21"/>
      <c r="B4758" s="3" t="s">
        <v>9</v>
      </c>
      <c r="C4758" s="20" t="s">
        <v>210</v>
      </c>
      <c r="D4758" s="21"/>
    </row>
    <row r="4759" spans="1:4" ht="12.75" customHeight="1" x14ac:dyDescent="0.2">
      <c r="A4759" s="21"/>
      <c r="B4759" s="3" t="s">
        <v>11</v>
      </c>
      <c r="C4759" s="20" t="s">
        <v>946</v>
      </c>
      <c r="D4759" s="21"/>
    </row>
    <row r="4760" spans="1:4" ht="12.75" customHeight="1" x14ac:dyDescent="0.2">
      <c r="A4760" s="21"/>
      <c r="B4760" s="3" t="s">
        <v>13</v>
      </c>
      <c r="C4760" s="20" t="s">
        <v>24</v>
      </c>
      <c r="D4760" s="21"/>
    </row>
    <row r="4761" spans="1:4" ht="12.75" customHeight="1" x14ac:dyDescent="0.2">
      <c r="A4761" s="21"/>
      <c r="B4761" s="3" t="s">
        <v>15</v>
      </c>
      <c r="C4761" s="20" t="s">
        <v>24</v>
      </c>
      <c r="D4761" s="21"/>
    </row>
    <row r="4762" spans="1:4" ht="12.75" customHeight="1" x14ac:dyDescent="0.2">
      <c r="A4762" s="21"/>
      <c r="B4762" s="3" t="s">
        <v>16</v>
      </c>
      <c r="C4762" s="20"/>
      <c r="D4762" s="21"/>
    </row>
    <row r="4763" spans="1:4" ht="12.75" customHeight="1" x14ac:dyDescent="0.2">
      <c r="A4763" s="21"/>
      <c r="B4763" s="3" t="s">
        <v>17</v>
      </c>
      <c r="C4763" s="20"/>
      <c r="D4763" s="21"/>
    </row>
    <row r="4764" spans="1:4" ht="12.75" customHeight="1" x14ac:dyDescent="0.2">
      <c r="A4764" s="21"/>
      <c r="B4764" s="20" t="s">
        <v>18</v>
      </c>
      <c r="C4764" s="4" t="s">
        <v>117</v>
      </c>
      <c r="D4764" s="6" t="str">
        <f>HYPERLINK("javascript:void(0)","angyalhaj")</f>
        <v>angyalhaj</v>
      </c>
    </row>
    <row r="4765" spans="1:4" ht="12.75" customHeight="1" x14ac:dyDescent="0.2">
      <c r="A4765" s="21"/>
      <c r="B4765" s="21"/>
      <c r="C4765" s="4" t="s">
        <v>139</v>
      </c>
      <c r="D4765" s="6" t="str">
        <f>HYPERLINK("javascript:void(0)","pálha")</f>
        <v>pálha</v>
      </c>
    </row>
    <row r="4766" spans="1:4" ht="12.75" customHeight="1" x14ac:dyDescent="0.2">
      <c r="A4766" s="21"/>
      <c r="B4766" s="21"/>
      <c r="C4766" s="4" t="s">
        <v>67</v>
      </c>
      <c r="D4766" s="6" t="str">
        <f>HYPERLINK("javascript:void(0)","hídpenge")</f>
        <v>hídpenge</v>
      </c>
    </row>
    <row r="4767" spans="1:4" ht="12.75" customHeight="1" x14ac:dyDescent="0.2">
      <c r="A4767" s="5"/>
      <c r="B4767" s="2"/>
      <c r="C4767" s="2"/>
      <c r="D4767" s="2"/>
    </row>
    <row r="4768" spans="1:4" ht="12.75" customHeight="1" x14ac:dyDescent="0.2">
      <c r="A4768" s="22" t="str">
        <f>HYPERLINK("javascript:void(0)","gyíkacél kézipenge")</f>
        <v>gyíkacél kézipenge</v>
      </c>
      <c r="B4768" s="21"/>
      <c r="C4768" s="21"/>
      <c r="D4768" s="21"/>
    </row>
    <row r="4769" spans="1:4" ht="12.75" customHeight="1" x14ac:dyDescent="0.2">
      <c r="A4769" s="20"/>
      <c r="B4769" s="2"/>
      <c r="C4769" s="2"/>
      <c r="D4769" s="2"/>
    </row>
    <row r="4770" spans="1:4" ht="12.75" customHeight="1" x14ac:dyDescent="0.2">
      <c r="A4770" s="21"/>
      <c r="B4770" s="3" t="s">
        <v>0</v>
      </c>
      <c r="C4770" s="20" t="s">
        <v>926</v>
      </c>
      <c r="D4770" s="21"/>
    </row>
    <row r="4771" spans="1:4" ht="12.75" customHeight="1" x14ac:dyDescent="0.2">
      <c r="A4771" s="21"/>
      <c r="B4771" s="3" t="s">
        <v>2</v>
      </c>
      <c r="C4771" s="20" t="s">
        <v>1598</v>
      </c>
      <c r="D4771" s="21"/>
    </row>
    <row r="4772" spans="1:4" ht="12.75" customHeight="1" x14ac:dyDescent="0.2">
      <c r="A4772" s="21"/>
      <c r="B4772" s="3" t="s">
        <v>4</v>
      </c>
      <c r="C4772" s="20" t="s">
        <v>2191</v>
      </c>
      <c r="D4772" s="21"/>
    </row>
    <row r="4773" spans="1:4" ht="12.75" customHeight="1" x14ac:dyDescent="0.2">
      <c r="A4773" s="21"/>
      <c r="B4773" s="3" t="s">
        <v>6</v>
      </c>
      <c r="C4773" s="20" t="s">
        <v>107</v>
      </c>
      <c r="D4773" s="21"/>
    </row>
    <row r="4774" spans="1:4" ht="12.75" customHeight="1" x14ac:dyDescent="0.2">
      <c r="A4774" s="21"/>
      <c r="B4774" s="3" t="s">
        <v>8</v>
      </c>
      <c r="C4774" s="20" t="s">
        <v>2191</v>
      </c>
      <c r="D4774" s="21"/>
    </row>
    <row r="4775" spans="1:4" ht="12.75" customHeight="1" x14ac:dyDescent="0.2">
      <c r="A4775" s="21"/>
      <c r="B4775" s="3" t="s">
        <v>9</v>
      </c>
      <c r="C4775" s="20" t="s">
        <v>2192</v>
      </c>
      <c r="D4775" s="21"/>
    </row>
    <row r="4776" spans="1:4" ht="12.75" customHeight="1" x14ac:dyDescent="0.2">
      <c r="A4776" s="21"/>
      <c r="B4776" s="3" t="s">
        <v>11</v>
      </c>
      <c r="C4776" s="20" t="s">
        <v>693</v>
      </c>
      <c r="D4776" s="21"/>
    </row>
    <row r="4777" spans="1:4" ht="12.75" customHeight="1" x14ac:dyDescent="0.2">
      <c r="A4777" s="21"/>
      <c r="B4777" s="3" t="s">
        <v>13</v>
      </c>
      <c r="C4777" s="20" t="s">
        <v>24</v>
      </c>
      <c r="D4777" s="21"/>
    </row>
    <row r="4778" spans="1:4" ht="12.75" customHeight="1" x14ac:dyDescent="0.2">
      <c r="A4778" s="21"/>
      <c r="B4778" s="3" t="s">
        <v>15</v>
      </c>
      <c r="C4778" s="20" t="s">
        <v>24</v>
      </c>
      <c r="D4778" s="21"/>
    </row>
    <row r="4779" spans="1:4" ht="12.75" customHeight="1" x14ac:dyDescent="0.2">
      <c r="A4779" s="21"/>
      <c r="B4779" s="3" t="s">
        <v>16</v>
      </c>
      <c r="C4779" s="20"/>
      <c r="D4779" s="21"/>
    </row>
    <row r="4780" spans="1:4" ht="12.75" customHeight="1" x14ac:dyDescent="0.2">
      <c r="A4780" s="21"/>
      <c r="B4780" s="3" t="s">
        <v>17</v>
      </c>
      <c r="C4780" s="20"/>
      <c r="D4780" s="21"/>
    </row>
    <row r="4781" spans="1:4" ht="12.75" customHeight="1" x14ac:dyDescent="0.2">
      <c r="A4781" s="21"/>
      <c r="B4781" s="20" t="s">
        <v>18</v>
      </c>
      <c r="C4781" s="4" t="s">
        <v>1997</v>
      </c>
      <c r="D4781" s="6" t="str">
        <f>HYPERLINK("javascript:void(0)","szent szimbólum")</f>
        <v>szent szimbólum</v>
      </c>
    </row>
    <row r="4782" spans="1:4" ht="12.75" customHeight="1" x14ac:dyDescent="0.2">
      <c r="A4782" s="21"/>
      <c r="B4782" s="21"/>
      <c r="C4782" s="4" t="s">
        <v>163</v>
      </c>
      <c r="D4782" s="6" t="str">
        <f>HYPERLINK("javascript:void(0)","hagymapikkely")</f>
        <v>hagymapikkely</v>
      </c>
    </row>
    <row r="4783" spans="1:4" ht="12.75" customHeight="1" x14ac:dyDescent="0.2">
      <c r="A4783" s="21"/>
      <c r="B4783" s="21"/>
      <c r="C4783" s="4" t="s">
        <v>139</v>
      </c>
      <c r="D4783" s="6" t="str">
        <f>HYPERLINK("javascript:void(0)","vasrög")</f>
        <v>vasrög</v>
      </c>
    </row>
    <row r="4784" spans="1:4" ht="12.75" customHeight="1" x14ac:dyDescent="0.2">
      <c r="A4784" s="5"/>
      <c r="B4784" s="2"/>
      <c r="C4784" s="2"/>
      <c r="D4784" s="2"/>
    </row>
    <row r="4785" spans="1:4" ht="12.75" customHeight="1" x14ac:dyDescent="0.2">
      <c r="A4785" s="22" t="str">
        <f>HYPERLINK("javascript:void(0)","angyalszurony")</f>
        <v>angyalszurony</v>
      </c>
      <c r="B4785" s="21"/>
      <c r="C4785" s="21"/>
      <c r="D4785" s="21"/>
    </row>
    <row r="4786" spans="1:4" ht="12.75" customHeight="1" x14ac:dyDescent="0.2">
      <c r="A4786" s="20"/>
      <c r="B4786" s="2"/>
      <c r="C4786" s="2"/>
      <c r="D4786" s="2"/>
    </row>
    <row r="4787" spans="1:4" ht="12.75" customHeight="1" x14ac:dyDescent="0.2">
      <c r="A4787" s="21"/>
      <c r="B4787" s="3" t="s">
        <v>0</v>
      </c>
      <c r="C4787" s="20" t="s">
        <v>937</v>
      </c>
      <c r="D4787" s="21"/>
    </row>
    <row r="4788" spans="1:4" ht="12.75" customHeight="1" x14ac:dyDescent="0.2">
      <c r="A4788" s="21"/>
      <c r="B4788" s="3" t="s">
        <v>2</v>
      </c>
      <c r="C4788" s="20" t="s">
        <v>1598</v>
      </c>
      <c r="D4788" s="21"/>
    </row>
    <row r="4789" spans="1:4" ht="12.75" customHeight="1" x14ac:dyDescent="0.2">
      <c r="A4789" s="21"/>
      <c r="B4789" s="3" t="s">
        <v>4</v>
      </c>
      <c r="C4789" s="20" t="s">
        <v>2195</v>
      </c>
      <c r="D4789" s="21"/>
    </row>
    <row r="4790" spans="1:4" ht="12.75" customHeight="1" x14ac:dyDescent="0.2">
      <c r="A4790" s="21"/>
      <c r="B4790" s="3" t="s">
        <v>6</v>
      </c>
      <c r="C4790" s="20" t="s">
        <v>206</v>
      </c>
      <c r="D4790" s="21"/>
    </row>
    <row r="4791" spans="1:4" ht="12.75" customHeight="1" x14ac:dyDescent="0.2">
      <c r="A4791" s="21"/>
      <c r="B4791" s="3" t="s">
        <v>8</v>
      </c>
      <c r="C4791" s="20" t="s">
        <v>2195</v>
      </c>
      <c r="D4791" s="21"/>
    </row>
    <row r="4792" spans="1:4" ht="12.75" customHeight="1" x14ac:dyDescent="0.2">
      <c r="A4792" s="21"/>
      <c r="B4792" s="3" t="s">
        <v>9</v>
      </c>
      <c r="C4792" s="20" t="s">
        <v>2196</v>
      </c>
      <c r="D4792" s="21"/>
    </row>
    <row r="4793" spans="1:4" ht="12.75" customHeight="1" x14ac:dyDescent="0.2">
      <c r="A4793" s="21"/>
      <c r="B4793" s="3" t="s">
        <v>11</v>
      </c>
      <c r="C4793" s="20" t="s">
        <v>956</v>
      </c>
      <c r="D4793" s="21"/>
    </row>
    <row r="4794" spans="1:4" ht="12.75" customHeight="1" x14ac:dyDescent="0.2">
      <c r="A4794" s="21"/>
      <c r="B4794" s="3" t="s">
        <v>13</v>
      </c>
      <c r="C4794" s="20" t="s">
        <v>24</v>
      </c>
      <c r="D4794" s="21"/>
    </row>
    <row r="4795" spans="1:4" ht="12.75" customHeight="1" x14ac:dyDescent="0.2">
      <c r="A4795" s="21"/>
      <c r="B4795" s="3" t="s">
        <v>15</v>
      </c>
      <c r="C4795" s="20" t="s">
        <v>24</v>
      </c>
      <c r="D4795" s="21"/>
    </row>
    <row r="4796" spans="1:4" ht="12.75" customHeight="1" x14ac:dyDescent="0.2">
      <c r="A4796" s="21"/>
      <c r="B4796" s="3" t="s">
        <v>16</v>
      </c>
      <c r="C4796" s="20"/>
      <c r="D4796" s="21"/>
    </row>
    <row r="4797" spans="1:4" ht="12.75" customHeight="1" x14ac:dyDescent="0.2">
      <c r="A4797" s="21"/>
      <c r="B4797" s="3" t="s">
        <v>17</v>
      </c>
      <c r="C4797" s="20"/>
      <c r="D4797" s="21"/>
    </row>
    <row r="4798" spans="1:4" ht="12.75" customHeight="1" x14ac:dyDescent="0.2">
      <c r="A4798" s="21"/>
      <c r="B4798" s="20" t="s">
        <v>18</v>
      </c>
      <c r="C4798" s="4" t="s">
        <v>44</v>
      </c>
      <c r="D4798" s="6" t="str">
        <f>HYPERLINK("javascript:void(0)","angyalsarló")</f>
        <v>angyalsarló</v>
      </c>
    </row>
    <row r="4799" spans="1:4" ht="12.75" customHeight="1" x14ac:dyDescent="0.2">
      <c r="A4799" s="21"/>
      <c r="B4799" s="21"/>
      <c r="C4799" s="4" t="s">
        <v>44</v>
      </c>
      <c r="D4799" s="6" t="str">
        <f>HYPERLINK("javascript:void(0)","szellemkard")</f>
        <v>szellemkard</v>
      </c>
    </row>
    <row r="4800" spans="1:4" ht="12.75" customHeight="1" x14ac:dyDescent="0.2">
      <c r="A4800" s="21"/>
      <c r="B4800" s="21"/>
      <c r="C4800" s="4" t="s">
        <v>44</v>
      </c>
      <c r="D4800" s="6" t="str">
        <f>HYPERLINK("javascript:void(0)","szuronyzászló")</f>
        <v>szuronyzászló</v>
      </c>
    </row>
    <row r="4801" spans="1:4" ht="12.75" customHeight="1" x14ac:dyDescent="0.2">
      <c r="A4801" s="5"/>
      <c r="B4801" s="2"/>
      <c r="C4801" s="2"/>
      <c r="D4801" s="2"/>
    </row>
    <row r="4802" spans="1:4" ht="12.75" customHeight="1" x14ac:dyDescent="0.2">
      <c r="A4802" s="22" t="str">
        <f>HYPERLINK("javascript:void(0)","zászlós mágusölő")</f>
        <v>zászlós mágusölő</v>
      </c>
      <c r="B4802" s="21"/>
      <c r="C4802" s="21"/>
      <c r="D4802" s="21"/>
    </row>
    <row r="4803" spans="1:4" ht="12.75" customHeight="1" x14ac:dyDescent="0.2">
      <c r="A4803" s="20"/>
      <c r="B4803" s="2"/>
      <c r="C4803" s="2"/>
      <c r="D4803" s="2"/>
    </row>
    <row r="4804" spans="1:4" ht="12.75" customHeight="1" x14ac:dyDescent="0.2">
      <c r="A4804" s="21"/>
      <c r="B4804" s="3" t="s">
        <v>0</v>
      </c>
      <c r="C4804" s="20" t="s">
        <v>937</v>
      </c>
      <c r="D4804" s="21"/>
    </row>
    <row r="4805" spans="1:4" ht="12.75" customHeight="1" x14ac:dyDescent="0.2">
      <c r="A4805" s="21"/>
      <c r="B4805" s="3" t="s">
        <v>2</v>
      </c>
      <c r="C4805" s="20" t="s">
        <v>1598</v>
      </c>
      <c r="D4805" s="21"/>
    </row>
    <row r="4806" spans="1:4" ht="12.75" customHeight="1" x14ac:dyDescent="0.2">
      <c r="A4806" s="21"/>
      <c r="B4806" s="3" t="s">
        <v>4</v>
      </c>
      <c r="C4806" s="20" t="s">
        <v>2198</v>
      </c>
      <c r="D4806" s="21"/>
    </row>
    <row r="4807" spans="1:4" ht="12.75" customHeight="1" x14ac:dyDescent="0.2">
      <c r="A4807" s="21"/>
      <c r="B4807" s="3" t="s">
        <v>6</v>
      </c>
      <c r="C4807" s="20" t="s">
        <v>48</v>
      </c>
      <c r="D4807" s="21"/>
    </row>
    <row r="4808" spans="1:4" ht="12.75" customHeight="1" x14ac:dyDescent="0.2">
      <c r="A4808" s="21"/>
      <c r="B4808" s="3" t="s">
        <v>8</v>
      </c>
      <c r="C4808" s="20" t="s">
        <v>2198</v>
      </c>
      <c r="D4808" s="21"/>
    </row>
    <row r="4809" spans="1:4" ht="12.75" customHeight="1" x14ac:dyDescent="0.2">
      <c r="A4809" s="21"/>
      <c r="B4809" s="3" t="s">
        <v>9</v>
      </c>
      <c r="C4809" s="20" t="s">
        <v>1111</v>
      </c>
      <c r="D4809" s="21"/>
    </row>
    <row r="4810" spans="1:4" ht="12.75" customHeight="1" x14ac:dyDescent="0.2">
      <c r="A4810" s="21"/>
      <c r="B4810" s="3" t="s">
        <v>11</v>
      </c>
      <c r="C4810" s="20" t="s">
        <v>1199</v>
      </c>
      <c r="D4810" s="21"/>
    </row>
    <row r="4811" spans="1:4" ht="12.75" customHeight="1" x14ac:dyDescent="0.2">
      <c r="A4811" s="21"/>
      <c r="B4811" s="3" t="s">
        <v>13</v>
      </c>
      <c r="C4811" s="20" t="s">
        <v>14</v>
      </c>
      <c r="D4811" s="21"/>
    </row>
    <row r="4812" spans="1:4" ht="12.75" customHeight="1" x14ac:dyDescent="0.2">
      <c r="A4812" s="21"/>
      <c r="B4812" s="3" t="s">
        <v>15</v>
      </c>
      <c r="C4812" s="20" t="s">
        <v>24</v>
      </c>
      <c r="D4812" s="21"/>
    </row>
    <row r="4813" spans="1:4" ht="12.75" customHeight="1" x14ac:dyDescent="0.2">
      <c r="A4813" s="21"/>
      <c r="B4813" s="3" t="s">
        <v>16</v>
      </c>
      <c r="C4813" s="20"/>
      <c r="D4813" s="21"/>
    </row>
    <row r="4814" spans="1:4" ht="12.75" customHeight="1" x14ac:dyDescent="0.2">
      <c r="A4814" s="21"/>
      <c r="B4814" s="3" t="s">
        <v>17</v>
      </c>
      <c r="C4814" s="20"/>
      <c r="D4814" s="21"/>
    </row>
    <row r="4815" spans="1:4" ht="12.75" customHeight="1" x14ac:dyDescent="0.2">
      <c r="A4815" s="21"/>
      <c r="B4815" s="20" t="s">
        <v>18</v>
      </c>
      <c r="C4815" s="4" t="s">
        <v>420</v>
      </c>
      <c r="D4815" s="6" t="str">
        <f>HYPERLINK("javascript:void(0)","átokige")</f>
        <v>átokige</v>
      </c>
    </row>
    <row r="4816" spans="1:4" ht="12.75" customHeight="1" x14ac:dyDescent="0.2">
      <c r="A4816" s="21"/>
      <c r="B4816" s="21"/>
      <c r="C4816" s="4" t="s">
        <v>117</v>
      </c>
      <c r="D4816" s="6" t="str">
        <f>HYPERLINK("javascript:void(0)","zászlórúd")</f>
        <v>zászlórúd</v>
      </c>
    </row>
    <row r="4817" spans="1:4" ht="12.75" customHeight="1" x14ac:dyDescent="0.2">
      <c r="A4817" s="21"/>
      <c r="B4817" s="21"/>
      <c r="C4817" s="4" t="s">
        <v>117</v>
      </c>
      <c r="D4817" s="6" t="str">
        <f>HYPERLINK("javascript:void(0)","managöb")</f>
        <v>managöb</v>
      </c>
    </row>
    <row r="4818" spans="1:4" ht="12.75" customHeight="1" x14ac:dyDescent="0.2">
      <c r="A4818" s="5"/>
      <c r="B4818" s="2"/>
      <c r="C4818" s="2"/>
      <c r="D4818" s="2"/>
    </row>
    <row r="4819" spans="1:4" ht="12.75" customHeight="1" x14ac:dyDescent="0.2">
      <c r="A4819" s="22" t="str">
        <f>HYPERLINK("javascript:void(0)","szuronyzászló")</f>
        <v>szuronyzászló</v>
      </c>
      <c r="B4819" s="21"/>
      <c r="C4819" s="21"/>
      <c r="D4819" s="21"/>
    </row>
    <row r="4820" spans="1:4" ht="12.75" customHeight="1" x14ac:dyDescent="0.2">
      <c r="A4820" s="20"/>
      <c r="B4820" s="2"/>
      <c r="C4820" s="2"/>
      <c r="D4820" s="2"/>
    </row>
    <row r="4821" spans="1:4" ht="12.75" customHeight="1" x14ac:dyDescent="0.2">
      <c r="A4821" s="21"/>
      <c r="B4821" s="3" t="s">
        <v>0</v>
      </c>
      <c r="C4821" s="20" t="s">
        <v>937</v>
      </c>
      <c r="D4821" s="21"/>
    </row>
    <row r="4822" spans="1:4" ht="12.75" customHeight="1" x14ac:dyDescent="0.2">
      <c r="A4822" s="21"/>
      <c r="B4822" s="3" t="s">
        <v>2</v>
      </c>
      <c r="C4822" s="20" t="s">
        <v>1598</v>
      </c>
      <c r="D4822" s="21"/>
    </row>
    <row r="4823" spans="1:4" ht="12.75" customHeight="1" x14ac:dyDescent="0.2">
      <c r="A4823" s="21"/>
      <c r="B4823" s="3" t="s">
        <v>4</v>
      </c>
      <c r="C4823" s="20" t="s">
        <v>1452</v>
      </c>
      <c r="D4823" s="21"/>
    </row>
    <row r="4824" spans="1:4" ht="12.75" customHeight="1" x14ac:dyDescent="0.2">
      <c r="A4824" s="21"/>
      <c r="B4824" s="3" t="s">
        <v>6</v>
      </c>
      <c r="C4824" s="20" t="s">
        <v>21</v>
      </c>
      <c r="D4824" s="21"/>
    </row>
    <row r="4825" spans="1:4" ht="12.75" customHeight="1" x14ac:dyDescent="0.2">
      <c r="A4825" s="21"/>
      <c r="B4825" s="3" t="s">
        <v>8</v>
      </c>
      <c r="C4825" s="20" t="s">
        <v>1452</v>
      </c>
      <c r="D4825" s="21"/>
    </row>
    <row r="4826" spans="1:4" ht="12.75" customHeight="1" x14ac:dyDescent="0.2">
      <c r="A4826" s="21"/>
      <c r="B4826" s="3" t="s">
        <v>9</v>
      </c>
      <c r="C4826" s="20" t="s">
        <v>210</v>
      </c>
      <c r="D4826" s="21"/>
    </row>
    <row r="4827" spans="1:4" ht="12.75" customHeight="1" x14ac:dyDescent="0.2">
      <c r="A4827" s="21"/>
      <c r="B4827" s="3" t="s">
        <v>11</v>
      </c>
      <c r="C4827" s="20" t="s">
        <v>1055</v>
      </c>
      <c r="D4827" s="21"/>
    </row>
    <row r="4828" spans="1:4" ht="12.75" customHeight="1" x14ac:dyDescent="0.2">
      <c r="A4828" s="21"/>
      <c r="B4828" s="3" t="s">
        <v>13</v>
      </c>
      <c r="C4828" s="20" t="s">
        <v>24</v>
      </c>
      <c r="D4828" s="21"/>
    </row>
    <row r="4829" spans="1:4" ht="12.75" customHeight="1" x14ac:dyDescent="0.2">
      <c r="A4829" s="21"/>
      <c r="B4829" s="3" t="s">
        <v>15</v>
      </c>
      <c r="C4829" s="20" t="s">
        <v>24</v>
      </c>
      <c r="D4829" s="21"/>
    </row>
    <row r="4830" spans="1:4" ht="12.75" customHeight="1" x14ac:dyDescent="0.2">
      <c r="A4830" s="21"/>
      <c r="B4830" s="3" t="s">
        <v>16</v>
      </c>
      <c r="C4830" s="20"/>
      <c r="D4830" s="21"/>
    </row>
    <row r="4831" spans="1:4" ht="12.75" customHeight="1" x14ac:dyDescent="0.2">
      <c r="A4831" s="21"/>
      <c r="B4831" s="3" t="s">
        <v>17</v>
      </c>
      <c r="C4831" s="20"/>
      <c r="D4831" s="21"/>
    </row>
    <row r="4832" spans="1:4" ht="12.75" customHeight="1" x14ac:dyDescent="0.2">
      <c r="A4832" s="21"/>
      <c r="B4832" s="20" t="s">
        <v>18</v>
      </c>
      <c r="C4832" s="4" t="s">
        <v>244</v>
      </c>
      <c r="D4832" s="6" t="str">
        <f>HYPERLINK("javascript:void(0)","ikerkristály")</f>
        <v>ikerkristály</v>
      </c>
    </row>
    <row r="4833" spans="1:4" ht="12.75" customHeight="1" x14ac:dyDescent="0.2">
      <c r="A4833" s="21"/>
      <c r="B4833" s="21"/>
      <c r="C4833" s="4" t="s">
        <v>77</v>
      </c>
      <c r="D4833" s="6" t="str">
        <f>HYPERLINK("javascript:void(0)","zászlórúd")</f>
        <v>zászlórúd</v>
      </c>
    </row>
    <row r="4834" spans="1:4" ht="12.75" customHeight="1" x14ac:dyDescent="0.2">
      <c r="A4834" s="21"/>
      <c r="B4834" s="21"/>
      <c r="C4834" s="4" t="s">
        <v>117</v>
      </c>
      <c r="D4834" s="6" t="str">
        <f>HYPERLINK("javascript:void(0)","ejtőernyő")</f>
        <v>ejtőernyő</v>
      </c>
    </row>
    <row r="4835" spans="1:4" ht="12.75" customHeight="1" x14ac:dyDescent="0.2">
      <c r="A4835" s="5"/>
      <c r="B4835" s="2"/>
      <c r="C4835" s="2"/>
      <c r="D4835" s="2"/>
    </row>
    <row r="4836" spans="1:4" ht="12.75" customHeight="1" x14ac:dyDescent="0.2">
      <c r="A4836" s="22" t="str">
        <f>HYPERLINK("javascript:void(0)","haragos angyalkard")</f>
        <v>haragos angyalkard</v>
      </c>
      <c r="B4836" s="21"/>
      <c r="C4836" s="21"/>
      <c r="D4836" s="21"/>
    </row>
    <row r="4837" spans="1:4" ht="12.75" customHeight="1" x14ac:dyDescent="0.2">
      <c r="A4837" s="20"/>
      <c r="B4837" s="2"/>
      <c r="C4837" s="2"/>
      <c r="D4837" s="2"/>
    </row>
    <row r="4838" spans="1:4" ht="12.75" customHeight="1" x14ac:dyDescent="0.2">
      <c r="A4838" s="21"/>
      <c r="B4838" s="3" t="s">
        <v>0</v>
      </c>
      <c r="C4838" s="20" t="s">
        <v>190</v>
      </c>
      <c r="D4838" s="21"/>
    </row>
    <row r="4839" spans="1:4" ht="12.75" customHeight="1" x14ac:dyDescent="0.2">
      <c r="A4839" s="21"/>
      <c r="B4839" s="3" t="s">
        <v>2</v>
      </c>
      <c r="C4839" s="20" t="s">
        <v>1598</v>
      </c>
      <c r="D4839" s="21"/>
    </row>
    <row r="4840" spans="1:4" ht="12.75" customHeight="1" x14ac:dyDescent="0.2">
      <c r="A4840" s="21"/>
      <c r="B4840" s="3" t="s">
        <v>4</v>
      </c>
      <c r="C4840" s="20" t="s">
        <v>2200</v>
      </c>
      <c r="D4840" s="21"/>
    </row>
    <row r="4841" spans="1:4" ht="12.75" customHeight="1" x14ac:dyDescent="0.2">
      <c r="A4841" s="21"/>
      <c r="B4841" s="3" t="s">
        <v>6</v>
      </c>
      <c r="C4841" s="20" t="s">
        <v>260</v>
      </c>
      <c r="D4841" s="21"/>
    </row>
    <row r="4842" spans="1:4" ht="12.75" customHeight="1" x14ac:dyDescent="0.2">
      <c r="A4842" s="21"/>
      <c r="B4842" s="3" t="s">
        <v>8</v>
      </c>
      <c r="C4842" s="20" t="s">
        <v>2200</v>
      </c>
      <c r="D4842" s="21"/>
    </row>
    <row r="4843" spans="1:4" ht="12.75" customHeight="1" x14ac:dyDescent="0.2">
      <c r="A4843" s="21"/>
      <c r="B4843" s="3" t="s">
        <v>9</v>
      </c>
      <c r="C4843" s="20" t="s">
        <v>1584</v>
      </c>
      <c r="D4843" s="21"/>
    </row>
    <row r="4844" spans="1:4" ht="12.75" customHeight="1" x14ac:dyDescent="0.2">
      <c r="A4844" s="21"/>
      <c r="B4844" s="3" t="s">
        <v>11</v>
      </c>
      <c r="C4844" s="20" t="s">
        <v>963</v>
      </c>
      <c r="D4844" s="21"/>
    </row>
    <row r="4845" spans="1:4" ht="12.75" customHeight="1" x14ac:dyDescent="0.2">
      <c r="A4845" s="21"/>
      <c r="B4845" s="3" t="s">
        <v>13</v>
      </c>
      <c r="C4845" s="20" t="s">
        <v>24</v>
      </c>
      <c r="D4845" s="21"/>
    </row>
    <row r="4846" spans="1:4" ht="12.75" customHeight="1" x14ac:dyDescent="0.2">
      <c r="A4846" s="21"/>
      <c r="B4846" s="3" t="s">
        <v>15</v>
      </c>
      <c r="C4846" s="20" t="s">
        <v>24</v>
      </c>
      <c r="D4846" s="21"/>
    </row>
    <row r="4847" spans="1:4" ht="12.75" customHeight="1" x14ac:dyDescent="0.2">
      <c r="A4847" s="21"/>
      <c r="B4847" s="3" t="s">
        <v>16</v>
      </c>
      <c r="C4847" s="20"/>
      <c r="D4847" s="21"/>
    </row>
    <row r="4848" spans="1:4" ht="12.75" customHeight="1" x14ac:dyDescent="0.2">
      <c r="A4848" s="21"/>
      <c r="B4848" s="3" t="s">
        <v>17</v>
      </c>
      <c r="C4848" s="20"/>
      <c r="D4848" s="21"/>
    </row>
    <row r="4849" spans="1:4" ht="12.75" customHeight="1" x14ac:dyDescent="0.2">
      <c r="A4849" s="21"/>
      <c r="B4849" s="20" t="s">
        <v>18</v>
      </c>
      <c r="C4849" s="4" t="s">
        <v>142</v>
      </c>
      <c r="D4849" s="6" t="str">
        <f>HYPERLINK("javascript:void(0)","mogorv")</f>
        <v>mogorv</v>
      </c>
    </row>
    <row r="4850" spans="1:4" ht="12.75" customHeight="1" x14ac:dyDescent="0.2">
      <c r="A4850" s="21"/>
      <c r="B4850" s="21"/>
      <c r="C4850" s="4" t="s">
        <v>117</v>
      </c>
      <c r="D4850" s="6" t="str">
        <f>HYPERLINK("javascript:void(0)","ejtőernyő")</f>
        <v>ejtőernyő</v>
      </c>
    </row>
    <row r="4851" spans="1:4" ht="12.75" customHeight="1" x14ac:dyDescent="0.2">
      <c r="A4851" s="21"/>
      <c r="B4851" s="21"/>
      <c r="C4851" s="4" t="s">
        <v>44</v>
      </c>
      <c r="D4851" s="6" t="str">
        <f>HYPERLINK("javascript:void(0)","angyalszurony")</f>
        <v>angyalszurony</v>
      </c>
    </row>
    <row r="4852" spans="1:4" ht="12.75" customHeight="1" x14ac:dyDescent="0.2">
      <c r="A4852" s="5"/>
      <c r="B4852" s="2"/>
      <c r="C4852" s="2"/>
      <c r="D4852" s="2"/>
    </row>
    <row r="4853" spans="1:4" ht="12.75" customHeight="1" x14ac:dyDescent="0.2">
      <c r="A4853" s="22" t="str">
        <f>HYPERLINK("javascript:void(0)","gyíkacél démonnyúzó")</f>
        <v>gyíkacél démonnyúzó</v>
      </c>
      <c r="B4853" s="21"/>
      <c r="C4853" s="21"/>
      <c r="D4853" s="21"/>
    </row>
    <row r="4854" spans="1:4" ht="12.75" customHeight="1" x14ac:dyDescent="0.2">
      <c r="A4854" s="20"/>
      <c r="B4854" s="2"/>
      <c r="C4854" s="2"/>
      <c r="D4854" s="2"/>
    </row>
    <row r="4855" spans="1:4" ht="12.75" customHeight="1" x14ac:dyDescent="0.2">
      <c r="A4855" s="21"/>
      <c r="B4855" s="3" t="s">
        <v>0</v>
      </c>
      <c r="C4855" s="20" t="s">
        <v>190</v>
      </c>
      <c r="D4855" s="21"/>
    </row>
    <row r="4856" spans="1:4" ht="12.75" customHeight="1" x14ac:dyDescent="0.2">
      <c r="A4856" s="21"/>
      <c r="B4856" s="3" t="s">
        <v>2</v>
      </c>
      <c r="C4856" s="20" t="s">
        <v>1598</v>
      </c>
      <c r="D4856" s="21"/>
    </row>
    <row r="4857" spans="1:4" ht="12.75" customHeight="1" x14ac:dyDescent="0.2">
      <c r="A4857" s="21"/>
      <c r="B4857" s="3" t="s">
        <v>4</v>
      </c>
      <c r="C4857" s="20" t="s">
        <v>2204</v>
      </c>
      <c r="D4857" s="21"/>
    </row>
    <row r="4858" spans="1:4" ht="12.75" customHeight="1" x14ac:dyDescent="0.2">
      <c r="A4858" s="21"/>
      <c r="B4858" s="3" t="s">
        <v>6</v>
      </c>
      <c r="C4858" s="20" t="s">
        <v>107</v>
      </c>
      <c r="D4858" s="21"/>
    </row>
    <row r="4859" spans="1:4" ht="12.75" customHeight="1" x14ac:dyDescent="0.2">
      <c r="A4859" s="21"/>
      <c r="B4859" s="3" t="s">
        <v>8</v>
      </c>
      <c r="C4859" s="20" t="s">
        <v>2204</v>
      </c>
      <c r="D4859" s="21"/>
    </row>
    <row r="4860" spans="1:4" ht="12.75" customHeight="1" x14ac:dyDescent="0.2">
      <c r="A4860" s="21"/>
      <c r="B4860" s="3" t="s">
        <v>9</v>
      </c>
      <c r="C4860" s="20" t="s">
        <v>2205</v>
      </c>
      <c r="D4860" s="21"/>
    </row>
    <row r="4861" spans="1:4" ht="12.75" customHeight="1" x14ac:dyDescent="0.2">
      <c r="A4861" s="21"/>
      <c r="B4861" s="3" t="s">
        <v>11</v>
      </c>
      <c r="C4861" s="20" t="s">
        <v>713</v>
      </c>
      <c r="D4861" s="21"/>
    </row>
    <row r="4862" spans="1:4" ht="12.75" customHeight="1" x14ac:dyDescent="0.2">
      <c r="A4862" s="21"/>
      <c r="B4862" s="3" t="s">
        <v>13</v>
      </c>
      <c r="C4862" s="20" t="s">
        <v>24</v>
      </c>
      <c r="D4862" s="21"/>
    </row>
    <row r="4863" spans="1:4" ht="12.75" customHeight="1" x14ac:dyDescent="0.2">
      <c r="A4863" s="21"/>
      <c r="B4863" s="3" t="s">
        <v>15</v>
      </c>
      <c r="C4863" s="20" t="s">
        <v>24</v>
      </c>
      <c r="D4863" s="21"/>
    </row>
    <row r="4864" spans="1:4" ht="12.75" customHeight="1" x14ac:dyDescent="0.2">
      <c r="A4864" s="21"/>
      <c r="B4864" s="3" t="s">
        <v>16</v>
      </c>
      <c r="C4864" s="20"/>
      <c r="D4864" s="21"/>
    </row>
    <row r="4865" spans="1:4" ht="12.75" customHeight="1" x14ac:dyDescent="0.2">
      <c r="A4865" s="21"/>
      <c r="B4865" s="3" t="s">
        <v>17</v>
      </c>
      <c r="C4865" s="20"/>
      <c r="D4865" s="21"/>
    </row>
    <row r="4866" spans="1:4" ht="12.75" customHeight="1" x14ac:dyDescent="0.2">
      <c r="A4866" s="21"/>
      <c r="B4866" s="20" t="s">
        <v>18</v>
      </c>
      <c r="C4866" s="4" t="s">
        <v>335</v>
      </c>
      <c r="D4866" s="6" t="str">
        <f>HYPERLINK("javascript:void(0)","fülpenge")</f>
        <v>fülpenge</v>
      </c>
    </row>
    <row r="4867" spans="1:4" ht="12.75" customHeight="1" x14ac:dyDescent="0.2">
      <c r="A4867" s="21"/>
      <c r="B4867" s="21"/>
      <c r="C4867" s="4" t="s">
        <v>163</v>
      </c>
      <c r="D4867" s="6" t="str">
        <f>HYPERLINK("javascript:void(0)","vitorla")</f>
        <v>vitorla</v>
      </c>
    </row>
    <row r="4868" spans="1:4" ht="12.75" customHeight="1" x14ac:dyDescent="0.2">
      <c r="A4868" s="21"/>
      <c r="B4868" s="21"/>
      <c r="C4868" s="4" t="s">
        <v>265</v>
      </c>
      <c r="D4868" s="6" t="str">
        <f>HYPERLINK("javascript:void(0)","rotorlapát")</f>
        <v>rotorlapát</v>
      </c>
    </row>
    <row r="4869" spans="1:4" ht="12.75" customHeight="1" x14ac:dyDescent="0.2">
      <c r="A4869" s="5"/>
      <c r="B4869" s="2"/>
      <c r="C4869" s="2"/>
      <c r="D4869" s="2"/>
    </row>
    <row r="4870" spans="1:4" ht="12.75" customHeight="1" x14ac:dyDescent="0.2">
      <c r="A4870" s="22" t="str">
        <f>HYPERLINK("javascript:void(0)","gyiloktűtőr")</f>
        <v>gyiloktűtőr</v>
      </c>
      <c r="B4870" s="21"/>
      <c r="C4870" s="21"/>
      <c r="D4870" s="21"/>
    </row>
    <row r="4871" spans="1:4" ht="12.75" customHeight="1" x14ac:dyDescent="0.2">
      <c r="A4871" s="20"/>
      <c r="B4871" s="2"/>
      <c r="C4871" s="2"/>
      <c r="D4871" s="2"/>
    </row>
    <row r="4872" spans="1:4" ht="12.75" customHeight="1" x14ac:dyDescent="0.2">
      <c r="A4872" s="21"/>
      <c r="B4872" s="3" t="s">
        <v>0</v>
      </c>
      <c r="C4872" s="20" t="s">
        <v>953</v>
      </c>
      <c r="D4872" s="21"/>
    </row>
    <row r="4873" spans="1:4" ht="12.75" customHeight="1" x14ac:dyDescent="0.2">
      <c r="A4873" s="21"/>
      <c r="B4873" s="3" t="s">
        <v>2</v>
      </c>
      <c r="C4873" s="20" t="s">
        <v>1598</v>
      </c>
      <c r="D4873" s="21"/>
    </row>
    <row r="4874" spans="1:4" ht="12.75" customHeight="1" x14ac:dyDescent="0.2">
      <c r="A4874" s="21"/>
      <c r="B4874" s="3" t="s">
        <v>4</v>
      </c>
      <c r="C4874" s="20" t="s">
        <v>2207</v>
      </c>
      <c r="D4874" s="21"/>
    </row>
    <row r="4875" spans="1:4" ht="12.75" customHeight="1" x14ac:dyDescent="0.2">
      <c r="A4875" s="21"/>
      <c r="B4875" s="3" t="s">
        <v>6</v>
      </c>
      <c r="C4875" s="20" t="s">
        <v>178</v>
      </c>
      <c r="D4875" s="21"/>
    </row>
    <row r="4876" spans="1:4" ht="12.75" customHeight="1" x14ac:dyDescent="0.2">
      <c r="A4876" s="21"/>
      <c r="B4876" s="3" t="s">
        <v>8</v>
      </c>
      <c r="C4876" s="20" t="s">
        <v>2207</v>
      </c>
      <c r="D4876" s="21"/>
    </row>
    <row r="4877" spans="1:4" ht="12.75" customHeight="1" x14ac:dyDescent="0.2">
      <c r="A4877" s="21"/>
      <c r="B4877" s="3" t="s">
        <v>9</v>
      </c>
      <c r="C4877" s="20" t="s">
        <v>1503</v>
      </c>
      <c r="D4877" s="21"/>
    </row>
    <row r="4878" spans="1:4" ht="12.75" customHeight="1" x14ac:dyDescent="0.2">
      <c r="A4878" s="21"/>
      <c r="B4878" s="3" t="s">
        <v>11</v>
      </c>
      <c r="C4878" s="20" t="s">
        <v>973</v>
      </c>
      <c r="D4878" s="21"/>
    </row>
    <row r="4879" spans="1:4" ht="12.75" customHeight="1" x14ac:dyDescent="0.2">
      <c r="A4879" s="21"/>
      <c r="B4879" s="3" t="s">
        <v>13</v>
      </c>
      <c r="C4879" s="20" t="s">
        <v>24</v>
      </c>
      <c r="D4879" s="21"/>
    </row>
    <row r="4880" spans="1:4" ht="12.75" customHeight="1" x14ac:dyDescent="0.2">
      <c r="A4880" s="21"/>
      <c r="B4880" s="3" t="s">
        <v>15</v>
      </c>
      <c r="C4880" s="20" t="s">
        <v>24</v>
      </c>
      <c r="D4880" s="21"/>
    </row>
    <row r="4881" spans="1:4" ht="12.75" customHeight="1" x14ac:dyDescent="0.2">
      <c r="A4881" s="21"/>
      <c r="B4881" s="3" t="s">
        <v>16</v>
      </c>
      <c r="C4881" s="20"/>
      <c r="D4881" s="21"/>
    </row>
    <row r="4882" spans="1:4" ht="12.75" customHeight="1" x14ac:dyDescent="0.2">
      <c r="A4882" s="21"/>
      <c r="B4882" s="3" t="s">
        <v>17</v>
      </c>
      <c r="C4882" s="20"/>
      <c r="D4882" s="21"/>
    </row>
    <row r="4883" spans="1:4" ht="12.75" customHeight="1" x14ac:dyDescent="0.2">
      <c r="A4883" s="21"/>
      <c r="B4883" s="20" t="s">
        <v>18</v>
      </c>
      <c r="C4883" s="4" t="s">
        <v>68</v>
      </c>
      <c r="D4883" s="6" t="str">
        <f>HYPERLINK("javascript:void(0)","kalaptű")</f>
        <v>kalaptű</v>
      </c>
    </row>
    <row r="4884" spans="1:4" ht="12.75" customHeight="1" x14ac:dyDescent="0.2">
      <c r="A4884" s="21"/>
      <c r="B4884" s="21"/>
      <c r="C4884" s="4" t="s">
        <v>331</v>
      </c>
      <c r="D4884" s="6" t="str">
        <f>HYPERLINK("javascript:void(0)","plecsni")</f>
        <v>plecsni</v>
      </c>
    </row>
    <row r="4885" spans="1:4" ht="12.75" customHeight="1" x14ac:dyDescent="0.2">
      <c r="A4885" s="21"/>
      <c r="B4885" s="21"/>
      <c r="C4885" s="4" t="s">
        <v>98</v>
      </c>
      <c r="D4885" s="6" t="str">
        <f>HYPERLINK("javascript:void(0)","hídpenge")</f>
        <v>hídpenge</v>
      </c>
    </row>
    <row r="4886" spans="1:4" ht="12.75" customHeight="1" x14ac:dyDescent="0.2">
      <c r="A4886" s="5"/>
      <c r="B4886" s="2"/>
      <c r="C4886" s="2"/>
      <c r="D4886" s="2"/>
    </row>
    <row r="4887" spans="1:4" ht="12.75" customHeight="1" x14ac:dyDescent="0.2">
      <c r="A4887" s="22" t="str">
        <f>HYPERLINK("javascript:void(0)","tűfejű mágusölő")</f>
        <v>tűfejű mágusölő</v>
      </c>
      <c r="B4887" s="21"/>
      <c r="C4887" s="21"/>
      <c r="D4887" s="21"/>
    </row>
    <row r="4888" spans="1:4" ht="12.75" customHeight="1" x14ac:dyDescent="0.2">
      <c r="A4888" s="20"/>
      <c r="B4888" s="2"/>
      <c r="C4888" s="2"/>
      <c r="D4888" s="2"/>
    </row>
    <row r="4889" spans="1:4" ht="12.75" customHeight="1" x14ac:dyDescent="0.2">
      <c r="A4889" s="21"/>
      <c r="B4889" s="3" t="s">
        <v>0</v>
      </c>
      <c r="C4889" s="20" t="s">
        <v>953</v>
      </c>
      <c r="D4889" s="21"/>
    </row>
    <row r="4890" spans="1:4" ht="12.75" customHeight="1" x14ac:dyDescent="0.2">
      <c r="A4890" s="21"/>
      <c r="B4890" s="3" t="s">
        <v>2</v>
      </c>
      <c r="C4890" s="20" t="s">
        <v>1598</v>
      </c>
      <c r="D4890" s="21"/>
    </row>
    <row r="4891" spans="1:4" ht="12.75" customHeight="1" x14ac:dyDescent="0.2">
      <c r="A4891" s="21"/>
      <c r="B4891" s="3" t="s">
        <v>4</v>
      </c>
      <c r="C4891" s="20" t="s">
        <v>2211</v>
      </c>
      <c r="D4891" s="21"/>
    </row>
    <row r="4892" spans="1:4" ht="12.75" customHeight="1" x14ac:dyDescent="0.2">
      <c r="A4892" s="21"/>
      <c r="B4892" s="3" t="s">
        <v>6</v>
      </c>
      <c r="C4892" s="20" t="s">
        <v>48</v>
      </c>
      <c r="D4892" s="21"/>
    </row>
    <row r="4893" spans="1:4" ht="12.75" customHeight="1" x14ac:dyDescent="0.2">
      <c r="A4893" s="21"/>
      <c r="B4893" s="3" t="s">
        <v>8</v>
      </c>
      <c r="C4893" s="20" t="s">
        <v>2211</v>
      </c>
      <c r="D4893" s="21"/>
    </row>
    <row r="4894" spans="1:4" ht="12.75" customHeight="1" x14ac:dyDescent="0.2">
      <c r="A4894" s="21"/>
      <c r="B4894" s="3" t="s">
        <v>9</v>
      </c>
      <c r="C4894" s="20" t="s">
        <v>2016</v>
      </c>
      <c r="D4894" s="21"/>
    </row>
    <row r="4895" spans="1:4" ht="12.75" customHeight="1" x14ac:dyDescent="0.2">
      <c r="A4895" s="21"/>
      <c r="B4895" s="3" t="s">
        <v>11</v>
      </c>
      <c r="C4895" s="20" t="s">
        <v>1560</v>
      </c>
      <c r="D4895" s="21"/>
    </row>
    <row r="4896" spans="1:4" ht="12.75" customHeight="1" x14ac:dyDescent="0.2">
      <c r="A4896" s="21"/>
      <c r="B4896" s="3" t="s">
        <v>13</v>
      </c>
      <c r="C4896" s="20" t="s">
        <v>14</v>
      </c>
      <c r="D4896" s="21"/>
    </row>
    <row r="4897" spans="1:4" ht="12.75" customHeight="1" x14ac:dyDescent="0.2">
      <c r="A4897" s="21"/>
      <c r="B4897" s="3" t="s">
        <v>15</v>
      </c>
      <c r="C4897" s="20" t="s">
        <v>24</v>
      </c>
      <c r="D4897" s="21"/>
    </row>
    <row r="4898" spans="1:4" ht="12.75" customHeight="1" x14ac:dyDescent="0.2">
      <c r="A4898" s="21"/>
      <c r="B4898" s="3" t="s">
        <v>16</v>
      </c>
      <c r="C4898" s="20"/>
      <c r="D4898" s="21"/>
    </row>
    <row r="4899" spans="1:4" ht="12.75" customHeight="1" x14ac:dyDescent="0.2">
      <c r="A4899" s="21"/>
      <c r="B4899" s="3" t="s">
        <v>17</v>
      </c>
      <c r="C4899" s="20"/>
      <c r="D4899" s="21"/>
    </row>
    <row r="4900" spans="1:4" ht="12.75" customHeight="1" x14ac:dyDescent="0.2">
      <c r="A4900" s="21"/>
      <c r="B4900" s="20" t="s">
        <v>18</v>
      </c>
      <c r="C4900" s="4" t="s">
        <v>780</v>
      </c>
      <c r="D4900" s="6" t="str">
        <f>HYPERLINK("javascript:void(0)","monsztabéklyó")</f>
        <v>monsztabéklyó</v>
      </c>
    </row>
    <row r="4901" spans="1:4" ht="12.75" customHeight="1" x14ac:dyDescent="0.2">
      <c r="A4901" s="21"/>
      <c r="B4901" s="21"/>
      <c r="C4901" s="4" t="s">
        <v>117</v>
      </c>
      <c r="D4901" s="6" t="str">
        <f>HYPERLINK("javascript:void(0)","kalaptű")</f>
        <v>kalaptű</v>
      </c>
    </row>
    <row r="4902" spans="1:4" ht="12.75" customHeight="1" x14ac:dyDescent="0.2">
      <c r="A4902" s="21"/>
      <c r="B4902" s="21"/>
      <c r="C4902" s="4" t="s">
        <v>117</v>
      </c>
      <c r="D4902" s="6" t="str">
        <f>HYPERLINK("javascript:void(0)","molekula")</f>
        <v>molekula</v>
      </c>
    </row>
    <row r="4903" spans="1:4" ht="12.75" customHeight="1" x14ac:dyDescent="0.2">
      <c r="A4903" s="5"/>
      <c r="B4903" s="2"/>
      <c r="C4903" s="2"/>
      <c r="D4903" s="2"/>
    </row>
    <row r="4904" spans="1:4" ht="12.75" customHeight="1" x14ac:dyDescent="0.2">
      <c r="A4904" s="22" t="str">
        <f>HYPERLINK("javascript:void(0)","szélmetsző")</f>
        <v>szélmetsző</v>
      </c>
      <c r="B4904" s="21"/>
      <c r="C4904" s="21"/>
      <c r="D4904" s="21"/>
    </row>
    <row r="4905" spans="1:4" ht="12.75" customHeight="1" x14ac:dyDescent="0.2">
      <c r="A4905" s="20"/>
      <c r="B4905" s="2"/>
      <c r="C4905" s="2"/>
      <c r="D4905" s="2"/>
    </row>
    <row r="4906" spans="1:4" ht="12.75" customHeight="1" x14ac:dyDescent="0.2">
      <c r="A4906" s="21"/>
      <c r="B4906" s="3" t="s">
        <v>0</v>
      </c>
      <c r="C4906" s="20" t="s">
        <v>293</v>
      </c>
      <c r="D4906" s="21"/>
    </row>
    <row r="4907" spans="1:4" ht="12.75" customHeight="1" x14ac:dyDescent="0.2">
      <c r="A4907" s="21"/>
      <c r="B4907" s="3" t="s">
        <v>2</v>
      </c>
      <c r="C4907" s="20" t="s">
        <v>1598</v>
      </c>
      <c r="D4907" s="21"/>
    </row>
    <row r="4908" spans="1:4" ht="12.75" customHeight="1" x14ac:dyDescent="0.2">
      <c r="A4908" s="21"/>
      <c r="B4908" s="3" t="s">
        <v>4</v>
      </c>
      <c r="C4908" s="20" t="s">
        <v>2213</v>
      </c>
      <c r="D4908" s="21"/>
    </row>
    <row r="4909" spans="1:4" ht="12.75" customHeight="1" x14ac:dyDescent="0.2">
      <c r="A4909" s="21"/>
      <c r="B4909" s="3" t="s">
        <v>6</v>
      </c>
      <c r="C4909" s="20" t="s">
        <v>392</v>
      </c>
      <c r="D4909" s="21"/>
    </row>
    <row r="4910" spans="1:4" ht="12.75" customHeight="1" x14ac:dyDescent="0.2">
      <c r="A4910" s="21"/>
      <c r="B4910" s="3" t="s">
        <v>8</v>
      </c>
      <c r="C4910" s="20" t="s">
        <v>2213</v>
      </c>
      <c r="D4910" s="21"/>
    </row>
    <row r="4911" spans="1:4" ht="12.75" customHeight="1" x14ac:dyDescent="0.2">
      <c r="A4911" s="21"/>
      <c r="B4911" s="3" t="s">
        <v>9</v>
      </c>
      <c r="C4911" s="20" t="s">
        <v>996</v>
      </c>
      <c r="D4911" s="21"/>
    </row>
    <row r="4912" spans="1:4" ht="12.75" customHeight="1" x14ac:dyDescent="0.2">
      <c r="A4912" s="21"/>
      <c r="B4912" s="3" t="s">
        <v>11</v>
      </c>
      <c r="C4912" s="20" t="s">
        <v>980</v>
      </c>
      <c r="D4912" s="21"/>
    </row>
    <row r="4913" spans="1:4" ht="12.75" customHeight="1" x14ac:dyDescent="0.2">
      <c r="A4913" s="21"/>
      <c r="B4913" s="3" t="s">
        <v>13</v>
      </c>
      <c r="C4913" s="20" t="s">
        <v>24</v>
      </c>
      <c r="D4913" s="21"/>
    </row>
    <row r="4914" spans="1:4" ht="12.75" customHeight="1" x14ac:dyDescent="0.2">
      <c r="A4914" s="21"/>
      <c r="B4914" s="3" t="s">
        <v>15</v>
      </c>
      <c r="C4914" s="20" t="s">
        <v>24</v>
      </c>
      <c r="D4914" s="21"/>
    </row>
    <row r="4915" spans="1:4" ht="12.75" customHeight="1" x14ac:dyDescent="0.2">
      <c r="A4915" s="21"/>
      <c r="B4915" s="3" t="s">
        <v>16</v>
      </c>
      <c r="C4915" s="20"/>
      <c r="D4915" s="21"/>
    </row>
    <row r="4916" spans="1:4" ht="12.75" customHeight="1" x14ac:dyDescent="0.2">
      <c r="A4916" s="21"/>
      <c r="B4916" s="3" t="s">
        <v>17</v>
      </c>
      <c r="C4916" s="20"/>
      <c r="D4916" s="21"/>
    </row>
    <row r="4917" spans="1:4" ht="12.75" customHeight="1" x14ac:dyDescent="0.2">
      <c r="A4917" s="21"/>
      <c r="B4917" s="20" t="s">
        <v>18</v>
      </c>
      <c r="C4917" s="4" t="s">
        <v>44</v>
      </c>
      <c r="D4917" s="6" t="str">
        <f>HYPERLINK("javascript:void(0)","gyiloktűtőr")</f>
        <v>gyiloktűtőr</v>
      </c>
    </row>
    <row r="4918" spans="1:4" ht="12.75" customHeight="1" x14ac:dyDescent="0.2">
      <c r="A4918" s="21"/>
      <c r="B4918" s="21"/>
      <c r="C4918" s="4" t="s">
        <v>44</v>
      </c>
      <c r="D4918" s="6" t="str">
        <f>HYPERLINK("javascript:void(0)","szélél")</f>
        <v>szélél</v>
      </c>
    </row>
    <row r="4919" spans="1:4" ht="12.75" customHeight="1" x14ac:dyDescent="0.2">
      <c r="A4919" s="21"/>
      <c r="B4919" s="21"/>
      <c r="C4919" s="4" t="s">
        <v>44</v>
      </c>
      <c r="D4919" s="6" t="str">
        <f>HYPERLINK("javascript:void(0)","haragos angyalkard")</f>
        <v>haragos angyalkard</v>
      </c>
    </row>
    <row r="4920" spans="1:4" ht="12.75" customHeight="1" x14ac:dyDescent="0.2">
      <c r="A4920" s="5"/>
      <c r="B4920" s="2"/>
      <c r="C4920" s="2"/>
      <c r="D4920" s="2"/>
    </row>
    <row r="4921" spans="1:4" ht="12.75" customHeight="1" x14ac:dyDescent="0.2">
      <c r="A4921" s="22" t="str">
        <f>HYPERLINK("javascript:void(0)","gyíkacél hasító")</f>
        <v>gyíkacél hasító</v>
      </c>
      <c r="B4921" s="21"/>
      <c r="C4921" s="21"/>
      <c r="D4921" s="21"/>
    </row>
    <row r="4922" spans="1:4" ht="12.75" customHeight="1" x14ac:dyDescent="0.2">
      <c r="A4922" s="20"/>
      <c r="B4922" s="2"/>
      <c r="C4922" s="2"/>
      <c r="D4922" s="2"/>
    </row>
    <row r="4923" spans="1:4" ht="12.75" customHeight="1" x14ac:dyDescent="0.2">
      <c r="A4923" s="21"/>
      <c r="B4923" s="3" t="s">
        <v>0</v>
      </c>
      <c r="C4923" s="20" t="s">
        <v>293</v>
      </c>
      <c r="D4923" s="21"/>
    </row>
    <row r="4924" spans="1:4" ht="12.75" customHeight="1" x14ac:dyDescent="0.2">
      <c r="A4924" s="21"/>
      <c r="B4924" s="3" t="s">
        <v>2</v>
      </c>
      <c r="C4924" s="20" t="s">
        <v>1598</v>
      </c>
      <c r="D4924" s="21"/>
    </row>
    <row r="4925" spans="1:4" ht="12.75" customHeight="1" x14ac:dyDescent="0.2">
      <c r="A4925" s="21"/>
      <c r="B4925" s="3" t="s">
        <v>4</v>
      </c>
      <c r="C4925" s="20" t="s">
        <v>2215</v>
      </c>
      <c r="D4925" s="21"/>
    </row>
    <row r="4926" spans="1:4" ht="12.75" customHeight="1" x14ac:dyDescent="0.2">
      <c r="A4926" s="21"/>
      <c r="B4926" s="3" t="s">
        <v>6</v>
      </c>
      <c r="C4926" s="20" t="s">
        <v>107</v>
      </c>
      <c r="D4926" s="21"/>
    </row>
    <row r="4927" spans="1:4" ht="12.75" customHeight="1" x14ac:dyDescent="0.2">
      <c r="A4927" s="21"/>
      <c r="B4927" s="3" t="s">
        <v>8</v>
      </c>
      <c r="C4927" s="20" t="s">
        <v>2215</v>
      </c>
      <c r="D4927" s="21"/>
    </row>
    <row r="4928" spans="1:4" ht="12.75" customHeight="1" x14ac:dyDescent="0.2">
      <c r="A4928" s="21"/>
      <c r="B4928" s="3" t="s">
        <v>9</v>
      </c>
      <c r="C4928" s="20" t="s">
        <v>2216</v>
      </c>
      <c r="D4928" s="21"/>
    </row>
    <row r="4929" spans="1:4" ht="12.75" customHeight="1" x14ac:dyDescent="0.2">
      <c r="A4929" s="21"/>
      <c r="B4929" s="3" t="s">
        <v>11</v>
      </c>
      <c r="C4929" s="20" t="s">
        <v>731</v>
      </c>
      <c r="D4929" s="21"/>
    </row>
    <row r="4930" spans="1:4" ht="12.75" customHeight="1" x14ac:dyDescent="0.2">
      <c r="A4930" s="21"/>
      <c r="B4930" s="3" t="s">
        <v>13</v>
      </c>
      <c r="C4930" s="20" t="s">
        <v>24</v>
      </c>
      <c r="D4930" s="21"/>
    </row>
    <row r="4931" spans="1:4" ht="12.75" customHeight="1" x14ac:dyDescent="0.2">
      <c r="A4931" s="21"/>
      <c r="B4931" s="3" t="s">
        <v>15</v>
      </c>
      <c r="C4931" s="20" t="s">
        <v>24</v>
      </c>
      <c r="D4931" s="21"/>
    </row>
    <row r="4932" spans="1:4" ht="12.75" customHeight="1" x14ac:dyDescent="0.2">
      <c r="A4932" s="21"/>
      <c r="B4932" s="3" t="s">
        <v>16</v>
      </c>
      <c r="C4932" s="20"/>
      <c r="D4932" s="21"/>
    </row>
    <row r="4933" spans="1:4" ht="12.75" customHeight="1" x14ac:dyDescent="0.2">
      <c r="A4933" s="21"/>
      <c r="B4933" s="3" t="s">
        <v>17</v>
      </c>
      <c r="C4933" s="20"/>
      <c r="D4933" s="21"/>
    </row>
    <row r="4934" spans="1:4" ht="12.75" customHeight="1" x14ac:dyDescent="0.2">
      <c r="A4934" s="21"/>
      <c r="B4934" s="20" t="s">
        <v>18</v>
      </c>
      <c r="C4934" s="4" t="s">
        <v>193</v>
      </c>
      <c r="D4934" s="6" t="str">
        <f>HYPERLINK("javascript:void(0)","gigacsáp")</f>
        <v>gigacsáp</v>
      </c>
    </row>
    <row r="4935" spans="1:4" ht="12.75" customHeight="1" x14ac:dyDescent="0.2">
      <c r="A4935" s="21"/>
      <c r="B4935" s="21"/>
      <c r="C4935" s="4" t="s">
        <v>398</v>
      </c>
      <c r="D4935" s="6" t="str">
        <f>HYPERLINK("javascript:void(0)","harmatcsepp")</f>
        <v>harmatcsepp</v>
      </c>
    </row>
    <row r="4936" spans="1:4" ht="12.75" customHeight="1" x14ac:dyDescent="0.2">
      <c r="A4936" s="21"/>
      <c r="B4936" s="21"/>
      <c r="C4936" s="4" t="s">
        <v>67</v>
      </c>
      <c r="D4936" s="6" t="str">
        <f>HYPERLINK("javascript:void(0)","glóriahasító")</f>
        <v>glóriahasító</v>
      </c>
    </row>
    <row r="4937" spans="1:4" ht="12.75" customHeight="1" x14ac:dyDescent="0.2">
      <c r="A4937" s="5"/>
      <c r="B4937" s="2"/>
      <c r="C4937" s="2"/>
      <c r="D4937" s="2"/>
    </row>
    <row r="4938" spans="1:4" ht="12.75" customHeight="1" x14ac:dyDescent="0.2">
      <c r="A4938" s="22" t="str">
        <f>HYPERLINK("javascript:void(0)","szélél")</f>
        <v>szélél</v>
      </c>
      <c r="B4938" s="21"/>
      <c r="C4938" s="21"/>
      <c r="D4938" s="21"/>
    </row>
    <row r="4939" spans="1:4" ht="12.75" customHeight="1" x14ac:dyDescent="0.2">
      <c r="A4939" s="20"/>
      <c r="B4939" s="2"/>
      <c r="C4939" s="2"/>
      <c r="D4939" s="2"/>
    </row>
    <row r="4940" spans="1:4" ht="12.75" customHeight="1" x14ac:dyDescent="0.2">
      <c r="A4940" s="21"/>
      <c r="B4940" s="3" t="s">
        <v>0</v>
      </c>
      <c r="C4940" s="20" t="s">
        <v>293</v>
      </c>
      <c r="D4940" s="21"/>
    </row>
    <row r="4941" spans="1:4" ht="12.75" customHeight="1" x14ac:dyDescent="0.2">
      <c r="A4941" s="21"/>
      <c r="B4941" s="3" t="s">
        <v>2</v>
      </c>
      <c r="C4941" s="20" t="s">
        <v>1598</v>
      </c>
      <c r="D4941" s="21"/>
    </row>
    <row r="4942" spans="1:4" ht="12.75" customHeight="1" x14ac:dyDescent="0.2">
      <c r="A4942" s="21"/>
      <c r="B4942" s="3" t="s">
        <v>4</v>
      </c>
      <c r="C4942" s="20" t="s">
        <v>1478</v>
      </c>
      <c r="D4942" s="21"/>
    </row>
    <row r="4943" spans="1:4" ht="12.75" customHeight="1" x14ac:dyDescent="0.2">
      <c r="A4943" s="21"/>
      <c r="B4943" s="3" t="s">
        <v>6</v>
      </c>
      <c r="C4943" s="20" t="s">
        <v>21</v>
      </c>
      <c r="D4943" s="21"/>
    </row>
    <row r="4944" spans="1:4" ht="12.75" customHeight="1" x14ac:dyDescent="0.2">
      <c r="A4944" s="21"/>
      <c r="B4944" s="3" t="s">
        <v>8</v>
      </c>
      <c r="C4944" s="20" t="s">
        <v>1478</v>
      </c>
      <c r="D4944" s="21"/>
    </row>
    <row r="4945" spans="1:4" ht="12.75" customHeight="1" x14ac:dyDescent="0.2">
      <c r="A4945" s="21"/>
      <c r="B4945" s="3" t="s">
        <v>9</v>
      </c>
      <c r="C4945" s="20" t="s">
        <v>210</v>
      </c>
      <c r="D4945" s="21"/>
    </row>
    <row r="4946" spans="1:4" ht="12.75" customHeight="1" x14ac:dyDescent="0.2">
      <c r="A4946" s="21"/>
      <c r="B4946" s="3" t="s">
        <v>11</v>
      </c>
      <c r="C4946" s="20" t="s">
        <v>1105</v>
      </c>
      <c r="D4946" s="21"/>
    </row>
    <row r="4947" spans="1:4" ht="12.75" customHeight="1" x14ac:dyDescent="0.2">
      <c r="A4947" s="21"/>
      <c r="B4947" s="3" t="s">
        <v>13</v>
      </c>
      <c r="C4947" s="20" t="s">
        <v>24</v>
      </c>
      <c r="D4947" s="21"/>
    </row>
    <row r="4948" spans="1:4" ht="12.75" customHeight="1" x14ac:dyDescent="0.2">
      <c r="A4948" s="21"/>
      <c r="B4948" s="3" t="s">
        <v>15</v>
      </c>
      <c r="C4948" s="20" t="s">
        <v>24</v>
      </c>
      <c r="D4948" s="21"/>
    </row>
    <row r="4949" spans="1:4" ht="12.75" customHeight="1" x14ac:dyDescent="0.2">
      <c r="A4949" s="21"/>
      <c r="B4949" s="3" t="s">
        <v>16</v>
      </c>
      <c r="C4949" s="20"/>
      <c r="D4949" s="21"/>
    </row>
    <row r="4950" spans="1:4" ht="12.75" customHeight="1" x14ac:dyDescent="0.2">
      <c r="A4950" s="21"/>
      <c r="B4950" s="3" t="s">
        <v>17</v>
      </c>
      <c r="C4950" s="20"/>
      <c r="D4950" s="21"/>
    </row>
    <row r="4951" spans="1:4" ht="12.75" customHeight="1" x14ac:dyDescent="0.2">
      <c r="A4951" s="21"/>
      <c r="B4951" s="20" t="s">
        <v>18</v>
      </c>
      <c r="C4951" s="4" t="s">
        <v>331</v>
      </c>
      <c r="D4951" s="6" t="str">
        <f>HYPERLINK("javascript:void(0)","monsztabéklyó")</f>
        <v>monsztabéklyó</v>
      </c>
    </row>
    <row r="4952" spans="1:4" ht="12.75" customHeight="1" x14ac:dyDescent="0.2">
      <c r="A4952" s="21"/>
      <c r="B4952" s="21"/>
      <c r="C4952" s="4" t="s">
        <v>142</v>
      </c>
      <c r="D4952" s="6" t="str">
        <f>HYPERLINK("javascript:void(0)","képszél")</f>
        <v>képszél</v>
      </c>
    </row>
    <row r="4953" spans="1:4" ht="12.75" customHeight="1" x14ac:dyDescent="0.2">
      <c r="A4953" s="21"/>
      <c r="B4953" s="21"/>
      <c r="C4953" s="4" t="s">
        <v>67</v>
      </c>
      <c r="D4953" s="6" t="str">
        <f>HYPERLINK("javascript:void(0)","glóriahasító")</f>
        <v>glóriahasító</v>
      </c>
    </row>
    <row r="4954" spans="1:4" ht="12.75" customHeight="1" x14ac:dyDescent="0.2">
      <c r="A4954" s="5"/>
      <c r="B4954" s="2"/>
      <c r="C4954" s="2"/>
      <c r="D4954" s="2"/>
    </row>
    <row r="4955" spans="1:4" ht="12.75" customHeight="1" x14ac:dyDescent="0.2">
      <c r="A4955" s="22" t="str">
        <f>HYPERLINK("javascript:void(0)","léktépő")</f>
        <v>léktépő</v>
      </c>
      <c r="B4955" s="21"/>
      <c r="C4955" s="21"/>
      <c r="D4955" s="21"/>
    </row>
    <row r="4956" spans="1:4" ht="12.75" customHeight="1" x14ac:dyDescent="0.2">
      <c r="A4956" s="20"/>
      <c r="B4956" s="2"/>
      <c r="C4956" s="2"/>
      <c r="D4956" s="2"/>
    </row>
    <row r="4957" spans="1:4" ht="12.75" customHeight="1" x14ac:dyDescent="0.2">
      <c r="A4957" s="21"/>
      <c r="B4957" s="3" t="s">
        <v>0</v>
      </c>
      <c r="C4957" s="20" t="s">
        <v>968</v>
      </c>
      <c r="D4957" s="21"/>
    </row>
    <row r="4958" spans="1:4" ht="12.75" customHeight="1" x14ac:dyDescent="0.2">
      <c r="A4958" s="21"/>
      <c r="B4958" s="3" t="s">
        <v>2</v>
      </c>
      <c r="C4958" s="20" t="s">
        <v>1598</v>
      </c>
      <c r="D4958" s="21"/>
    </row>
    <row r="4959" spans="1:4" ht="12.75" customHeight="1" x14ac:dyDescent="0.2">
      <c r="A4959" s="21"/>
      <c r="B4959" s="3" t="s">
        <v>4</v>
      </c>
      <c r="C4959" s="20" t="s">
        <v>2221</v>
      </c>
      <c r="D4959" s="21"/>
    </row>
    <row r="4960" spans="1:4" ht="12.75" customHeight="1" x14ac:dyDescent="0.2">
      <c r="A4960" s="21"/>
      <c r="B4960" s="3" t="s">
        <v>6</v>
      </c>
      <c r="C4960" s="20" t="s">
        <v>52</v>
      </c>
      <c r="D4960" s="21"/>
    </row>
    <row r="4961" spans="1:4" ht="12.75" customHeight="1" x14ac:dyDescent="0.2">
      <c r="A4961" s="21"/>
      <c r="B4961" s="3" t="s">
        <v>8</v>
      </c>
      <c r="C4961" s="20" t="s">
        <v>2221</v>
      </c>
      <c r="D4961" s="21"/>
    </row>
    <row r="4962" spans="1:4" ht="12.75" customHeight="1" x14ac:dyDescent="0.2">
      <c r="A4962" s="21"/>
      <c r="B4962" s="3" t="s">
        <v>9</v>
      </c>
      <c r="C4962" s="20" t="s">
        <v>573</v>
      </c>
      <c r="D4962" s="21"/>
    </row>
    <row r="4963" spans="1:4" ht="12.75" customHeight="1" x14ac:dyDescent="0.2">
      <c r="A4963" s="21"/>
      <c r="B4963" s="3" t="s">
        <v>11</v>
      </c>
      <c r="C4963" s="20" t="s">
        <v>993</v>
      </c>
      <c r="D4963" s="21"/>
    </row>
    <row r="4964" spans="1:4" ht="12.75" customHeight="1" x14ac:dyDescent="0.2">
      <c r="A4964" s="21"/>
      <c r="B4964" s="3" t="s">
        <v>13</v>
      </c>
      <c r="C4964" s="20" t="s">
        <v>24</v>
      </c>
      <c r="D4964" s="21"/>
    </row>
    <row r="4965" spans="1:4" ht="12.75" customHeight="1" x14ac:dyDescent="0.2">
      <c r="A4965" s="21"/>
      <c r="B4965" s="3" t="s">
        <v>15</v>
      </c>
      <c r="C4965" s="20" t="s">
        <v>24</v>
      </c>
      <c r="D4965" s="21"/>
    </row>
    <row r="4966" spans="1:4" ht="12.75" customHeight="1" x14ac:dyDescent="0.2">
      <c r="A4966" s="21"/>
      <c r="B4966" s="3" t="s">
        <v>16</v>
      </c>
      <c r="C4966" s="20"/>
      <c r="D4966" s="21"/>
    </row>
    <row r="4967" spans="1:4" ht="12.75" customHeight="1" x14ac:dyDescent="0.2">
      <c r="A4967" s="21"/>
      <c r="B4967" s="3" t="s">
        <v>17</v>
      </c>
      <c r="C4967" s="20"/>
      <c r="D4967" s="21"/>
    </row>
    <row r="4968" spans="1:4" ht="12.75" customHeight="1" x14ac:dyDescent="0.2">
      <c r="A4968" s="21"/>
      <c r="B4968" s="20" t="s">
        <v>18</v>
      </c>
      <c r="C4968" s="4" t="s">
        <v>44</v>
      </c>
      <c r="D4968" s="6" t="str">
        <f>HYPERLINK("javascript:void(0)","szélmetsző")</f>
        <v>szélmetsző</v>
      </c>
    </row>
    <row r="4969" spans="1:4" ht="12.75" customHeight="1" x14ac:dyDescent="0.2">
      <c r="A4969" s="21"/>
      <c r="B4969" s="21"/>
      <c r="C4969" s="4" t="s">
        <v>296</v>
      </c>
      <c r="D4969" s="6" t="str">
        <f>HYPERLINK("javascript:void(0)","pálha")</f>
        <v>pálha</v>
      </c>
    </row>
    <row r="4970" spans="1:4" ht="12.75" customHeight="1" x14ac:dyDescent="0.2">
      <c r="A4970" s="21"/>
      <c r="B4970" s="21"/>
      <c r="C4970" s="4" t="s">
        <v>331</v>
      </c>
      <c r="D4970" s="6" t="str">
        <f>HYPERLINK("javascript:void(0)","lékék")</f>
        <v>lékék</v>
      </c>
    </row>
    <row r="4971" spans="1:4" ht="12.75" customHeight="1" x14ac:dyDescent="0.2">
      <c r="A4971" s="5"/>
      <c r="B4971" s="2"/>
      <c r="C4971" s="2"/>
      <c r="D4971" s="2"/>
    </row>
    <row r="4972" spans="1:4" ht="12.75" customHeight="1" x14ac:dyDescent="0.2">
      <c r="A4972" s="22" t="str">
        <f>HYPERLINK("javascript:void(0)","ékverő mágusölő")</f>
        <v>ékverő mágusölő</v>
      </c>
      <c r="B4972" s="21"/>
      <c r="C4972" s="21"/>
      <c r="D4972" s="21"/>
    </row>
    <row r="4973" spans="1:4" ht="12.75" customHeight="1" x14ac:dyDescent="0.2">
      <c r="A4973" s="20"/>
      <c r="B4973" s="2"/>
      <c r="C4973" s="2"/>
      <c r="D4973" s="2"/>
    </row>
    <row r="4974" spans="1:4" ht="12.75" customHeight="1" x14ac:dyDescent="0.2">
      <c r="A4974" s="21"/>
      <c r="B4974" s="3" t="s">
        <v>0</v>
      </c>
      <c r="C4974" s="20" t="s">
        <v>968</v>
      </c>
      <c r="D4974" s="21"/>
    </row>
    <row r="4975" spans="1:4" ht="12.75" customHeight="1" x14ac:dyDescent="0.2">
      <c r="A4975" s="21"/>
      <c r="B4975" s="3" t="s">
        <v>2</v>
      </c>
      <c r="C4975" s="20" t="s">
        <v>1598</v>
      </c>
      <c r="D4975" s="21"/>
    </row>
    <row r="4976" spans="1:4" ht="12.75" customHeight="1" x14ac:dyDescent="0.2">
      <c r="A4976" s="21"/>
      <c r="B4976" s="3" t="s">
        <v>4</v>
      </c>
      <c r="C4976" s="20" t="s">
        <v>2223</v>
      </c>
      <c r="D4976" s="21"/>
    </row>
    <row r="4977" spans="1:4" ht="12.75" customHeight="1" x14ac:dyDescent="0.2">
      <c r="A4977" s="21"/>
      <c r="B4977" s="3" t="s">
        <v>6</v>
      </c>
      <c r="C4977" s="20" t="s">
        <v>48</v>
      </c>
      <c r="D4977" s="21"/>
    </row>
    <row r="4978" spans="1:4" ht="12.75" customHeight="1" x14ac:dyDescent="0.2">
      <c r="A4978" s="21"/>
      <c r="B4978" s="3" t="s">
        <v>8</v>
      </c>
      <c r="C4978" s="20" t="s">
        <v>2223</v>
      </c>
      <c r="D4978" s="21"/>
    </row>
    <row r="4979" spans="1:4" ht="12.75" customHeight="1" x14ac:dyDescent="0.2">
      <c r="A4979" s="21"/>
      <c r="B4979" s="3" t="s">
        <v>9</v>
      </c>
      <c r="C4979" s="20" t="s">
        <v>2224</v>
      </c>
      <c r="D4979" s="21"/>
    </row>
    <row r="4980" spans="1:4" ht="12.75" customHeight="1" x14ac:dyDescent="0.2">
      <c r="A4980" s="21"/>
      <c r="B4980" s="3" t="s">
        <v>11</v>
      </c>
      <c r="C4980" s="20" t="s">
        <v>1216</v>
      </c>
      <c r="D4980" s="21"/>
    </row>
    <row r="4981" spans="1:4" ht="12.75" customHeight="1" x14ac:dyDescent="0.2">
      <c r="A4981" s="21"/>
      <c r="B4981" s="3" t="s">
        <v>13</v>
      </c>
      <c r="C4981" s="20" t="s">
        <v>14</v>
      </c>
      <c r="D4981" s="21"/>
    </row>
    <row r="4982" spans="1:4" ht="12.75" customHeight="1" x14ac:dyDescent="0.2">
      <c r="A4982" s="21"/>
      <c r="B4982" s="3" t="s">
        <v>15</v>
      </c>
      <c r="C4982" s="20" t="s">
        <v>24</v>
      </c>
      <c r="D4982" s="21"/>
    </row>
    <row r="4983" spans="1:4" ht="12.75" customHeight="1" x14ac:dyDescent="0.2">
      <c r="A4983" s="21"/>
      <c r="B4983" s="3" t="s">
        <v>16</v>
      </c>
      <c r="C4983" s="20"/>
      <c r="D4983" s="21"/>
    </row>
    <row r="4984" spans="1:4" ht="12.75" customHeight="1" x14ac:dyDescent="0.2">
      <c r="A4984" s="21"/>
      <c r="B4984" s="3" t="s">
        <v>17</v>
      </c>
      <c r="C4984" s="20"/>
      <c r="D4984" s="21"/>
    </row>
    <row r="4985" spans="1:4" ht="12.75" customHeight="1" x14ac:dyDescent="0.2">
      <c r="A4985" s="21"/>
      <c r="B4985" s="20" t="s">
        <v>18</v>
      </c>
      <c r="C4985" s="4" t="s">
        <v>132</v>
      </c>
      <c r="D4985" s="6" t="str">
        <f>HYPERLINK("javascript:void(0)","lidérclámpás")</f>
        <v>lidérclámpás</v>
      </c>
    </row>
    <row r="4986" spans="1:4" ht="12.75" customHeight="1" x14ac:dyDescent="0.2">
      <c r="A4986" s="21"/>
      <c r="B4986" s="21"/>
      <c r="C4986" s="4" t="s">
        <v>117</v>
      </c>
      <c r="D4986" s="6" t="str">
        <f>HYPERLINK("javascript:void(0)","lékék")</f>
        <v>lékék</v>
      </c>
    </row>
    <row r="4987" spans="1:4" ht="12.75" customHeight="1" x14ac:dyDescent="0.2">
      <c r="A4987" s="21"/>
      <c r="B4987" s="21"/>
      <c r="C4987" s="4" t="s">
        <v>244</v>
      </c>
      <c r="D4987" s="6" t="str">
        <f>HYPERLINK("javascript:void(0)","habléc")</f>
        <v>habléc</v>
      </c>
    </row>
    <row r="4988" spans="1:4" ht="12.75" customHeight="1" x14ac:dyDescent="0.2">
      <c r="A4988" s="5"/>
      <c r="B4988" s="2"/>
      <c r="C4988" s="2"/>
      <c r="D4988" s="2"/>
    </row>
    <row r="4989" spans="1:4" ht="12.75" customHeight="1" x14ac:dyDescent="0.2">
      <c r="A4989" s="22" t="str">
        <f>HYPERLINK("javascript:void(0)","manavagdaló")</f>
        <v>manavagdaló</v>
      </c>
      <c r="B4989" s="21"/>
      <c r="C4989" s="21"/>
      <c r="D4989" s="21"/>
    </row>
    <row r="4990" spans="1:4" ht="12.75" customHeight="1" x14ac:dyDescent="0.2">
      <c r="A4990" s="20"/>
      <c r="B4990" s="2"/>
      <c r="C4990" s="2"/>
      <c r="D4990" s="2"/>
    </row>
    <row r="4991" spans="1:4" ht="12.75" customHeight="1" x14ac:dyDescent="0.2">
      <c r="A4991" s="21"/>
      <c r="B4991" s="3" t="s">
        <v>0</v>
      </c>
      <c r="C4991" s="20" t="s">
        <v>978</v>
      </c>
      <c r="D4991" s="21"/>
    </row>
    <row r="4992" spans="1:4" ht="12.75" customHeight="1" x14ac:dyDescent="0.2">
      <c r="A4992" s="21"/>
      <c r="B4992" s="3" t="s">
        <v>2</v>
      </c>
      <c r="C4992" s="20" t="s">
        <v>1598</v>
      </c>
      <c r="D4992" s="21"/>
    </row>
    <row r="4993" spans="1:4" ht="12.75" customHeight="1" x14ac:dyDescent="0.2">
      <c r="A4993" s="21"/>
      <c r="B4993" s="3" t="s">
        <v>4</v>
      </c>
      <c r="C4993" s="20" t="s">
        <v>2227</v>
      </c>
      <c r="D4993" s="21"/>
    </row>
    <row r="4994" spans="1:4" ht="12.75" customHeight="1" x14ac:dyDescent="0.2">
      <c r="A4994" s="21"/>
      <c r="B4994" s="3" t="s">
        <v>6</v>
      </c>
      <c r="C4994" s="20" t="s">
        <v>392</v>
      </c>
      <c r="D4994" s="21"/>
    </row>
    <row r="4995" spans="1:4" ht="12.75" customHeight="1" x14ac:dyDescent="0.2">
      <c r="A4995" s="21"/>
      <c r="B4995" s="3" t="s">
        <v>8</v>
      </c>
      <c r="C4995" s="20" t="s">
        <v>2227</v>
      </c>
      <c r="D4995" s="21"/>
    </row>
    <row r="4996" spans="1:4" ht="12.75" customHeight="1" x14ac:dyDescent="0.2">
      <c r="A4996" s="21"/>
      <c r="B4996" s="3" t="s">
        <v>9</v>
      </c>
      <c r="C4996" s="20" t="s">
        <v>2228</v>
      </c>
      <c r="D4996" s="21"/>
    </row>
    <row r="4997" spans="1:4" ht="12.75" customHeight="1" x14ac:dyDescent="0.2">
      <c r="A4997" s="21"/>
      <c r="B4997" s="3" t="s">
        <v>11</v>
      </c>
      <c r="C4997" s="20" t="s">
        <v>1002</v>
      </c>
      <c r="D4997" s="21"/>
    </row>
    <row r="4998" spans="1:4" ht="12.75" customHeight="1" x14ac:dyDescent="0.2">
      <c r="A4998" s="21"/>
      <c r="B4998" s="3" t="s">
        <v>13</v>
      </c>
      <c r="C4998" s="20" t="s">
        <v>24</v>
      </c>
      <c r="D4998" s="21"/>
    </row>
    <row r="4999" spans="1:4" ht="12.75" customHeight="1" x14ac:dyDescent="0.2">
      <c r="A4999" s="21"/>
      <c r="B4999" s="3" t="s">
        <v>15</v>
      </c>
      <c r="C4999" s="20" t="s">
        <v>24</v>
      </c>
      <c r="D4999" s="21"/>
    </row>
    <row r="5000" spans="1:4" ht="12.75" customHeight="1" x14ac:dyDescent="0.2">
      <c r="A5000" s="21"/>
      <c r="B5000" s="3" t="s">
        <v>16</v>
      </c>
      <c r="C5000" s="20"/>
      <c r="D5000" s="21"/>
    </row>
    <row r="5001" spans="1:4" ht="12.75" customHeight="1" x14ac:dyDescent="0.2">
      <c r="A5001" s="21"/>
      <c r="B5001" s="3" t="s">
        <v>17</v>
      </c>
      <c r="C5001" s="20"/>
      <c r="D5001" s="21"/>
    </row>
    <row r="5002" spans="1:4" ht="12.75" customHeight="1" x14ac:dyDescent="0.2">
      <c r="A5002" s="21"/>
      <c r="B5002" s="20" t="s">
        <v>18</v>
      </c>
      <c r="C5002" s="4" t="s">
        <v>232</v>
      </c>
      <c r="D5002" s="6" t="str">
        <f>HYPERLINK("javascript:void(0)","antiige")</f>
        <v>antiige</v>
      </c>
    </row>
    <row r="5003" spans="1:4" ht="12.75" customHeight="1" x14ac:dyDescent="0.2">
      <c r="A5003" s="21"/>
      <c r="B5003" s="21"/>
      <c r="C5003" s="4" t="s">
        <v>296</v>
      </c>
      <c r="D5003" s="6" t="str">
        <f>HYPERLINK("javascript:void(0)","pálha")</f>
        <v>pálha</v>
      </c>
    </row>
    <row r="5004" spans="1:4" ht="12.75" customHeight="1" x14ac:dyDescent="0.2">
      <c r="A5004" s="21"/>
      <c r="B5004" s="21"/>
      <c r="C5004" s="4" t="s">
        <v>331</v>
      </c>
      <c r="D5004" s="6" t="str">
        <f>HYPERLINK("javascript:void(0)","monsztabéklyó")</f>
        <v>monsztabéklyó</v>
      </c>
    </row>
    <row r="5005" spans="1:4" ht="12.75" customHeight="1" x14ac:dyDescent="0.2">
      <c r="A5005" s="5"/>
      <c r="B5005" s="2"/>
      <c r="C5005" s="2"/>
      <c r="D5005" s="2"/>
    </row>
    <row r="5006" spans="1:4" ht="12.75" customHeight="1" x14ac:dyDescent="0.2">
      <c r="A5006" s="22" t="str">
        <f>HYPERLINK("javascript:void(0)","gyíkacél forgókard")</f>
        <v>gyíkacél forgókard</v>
      </c>
      <c r="B5006" s="21"/>
      <c r="C5006" s="21"/>
      <c r="D5006" s="21"/>
    </row>
    <row r="5007" spans="1:4" ht="12.75" customHeight="1" x14ac:dyDescent="0.2">
      <c r="A5007" s="20"/>
      <c r="B5007" s="2"/>
      <c r="C5007" s="2"/>
      <c r="D5007" s="2"/>
    </row>
    <row r="5008" spans="1:4" ht="12.75" customHeight="1" x14ac:dyDescent="0.2">
      <c r="A5008" s="21"/>
      <c r="B5008" s="3" t="s">
        <v>0</v>
      </c>
      <c r="C5008" s="20" t="s">
        <v>978</v>
      </c>
      <c r="D5008" s="21"/>
    </row>
    <row r="5009" spans="1:4" ht="12.75" customHeight="1" x14ac:dyDescent="0.2">
      <c r="A5009" s="21"/>
      <c r="B5009" s="3" t="s">
        <v>2</v>
      </c>
      <c r="C5009" s="20" t="s">
        <v>1598</v>
      </c>
      <c r="D5009" s="21"/>
    </row>
    <row r="5010" spans="1:4" ht="12.75" customHeight="1" x14ac:dyDescent="0.2">
      <c r="A5010" s="21"/>
      <c r="B5010" s="3" t="s">
        <v>4</v>
      </c>
      <c r="C5010" s="20" t="s">
        <v>2230</v>
      </c>
      <c r="D5010" s="21"/>
    </row>
    <row r="5011" spans="1:4" ht="12.75" customHeight="1" x14ac:dyDescent="0.2">
      <c r="A5011" s="21"/>
      <c r="B5011" s="3" t="s">
        <v>6</v>
      </c>
      <c r="C5011" s="20" t="s">
        <v>107</v>
      </c>
      <c r="D5011" s="21"/>
    </row>
    <row r="5012" spans="1:4" ht="12.75" customHeight="1" x14ac:dyDescent="0.2">
      <c r="A5012" s="21"/>
      <c r="B5012" s="3" t="s">
        <v>8</v>
      </c>
      <c r="C5012" s="20" t="s">
        <v>2230</v>
      </c>
      <c r="D5012" s="21"/>
    </row>
    <row r="5013" spans="1:4" ht="12.75" customHeight="1" x14ac:dyDescent="0.2">
      <c r="A5013" s="21"/>
      <c r="B5013" s="3" t="s">
        <v>9</v>
      </c>
      <c r="C5013" s="20" t="s">
        <v>2233</v>
      </c>
      <c r="D5013" s="21"/>
    </row>
    <row r="5014" spans="1:4" ht="12.75" customHeight="1" x14ac:dyDescent="0.2">
      <c r="A5014" s="21"/>
      <c r="B5014" s="3" t="s">
        <v>11</v>
      </c>
      <c r="C5014" s="20" t="s">
        <v>745</v>
      </c>
      <c r="D5014" s="21"/>
    </row>
    <row r="5015" spans="1:4" ht="12.75" customHeight="1" x14ac:dyDescent="0.2">
      <c r="A5015" s="21"/>
      <c r="B5015" s="3" t="s">
        <v>13</v>
      </c>
      <c r="C5015" s="20" t="s">
        <v>24</v>
      </c>
      <c r="D5015" s="21"/>
    </row>
    <row r="5016" spans="1:4" ht="12.75" customHeight="1" x14ac:dyDescent="0.2">
      <c r="A5016" s="21"/>
      <c r="B5016" s="3" t="s">
        <v>15</v>
      </c>
      <c r="C5016" s="20" t="s">
        <v>24</v>
      </c>
      <c r="D5016" s="21"/>
    </row>
    <row r="5017" spans="1:4" ht="12.75" customHeight="1" x14ac:dyDescent="0.2">
      <c r="A5017" s="21"/>
      <c r="B5017" s="3" t="s">
        <v>16</v>
      </c>
      <c r="C5017" s="20"/>
      <c r="D5017" s="21"/>
    </row>
    <row r="5018" spans="1:4" ht="12.75" customHeight="1" x14ac:dyDescent="0.2">
      <c r="A5018" s="21"/>
      <c r="B5018" s="3" t="s">
        <v>17</v>
      </c>
      <c r="C5018" s="20"/>
      <c r="D5018" s="21"/>
    </row>
    <row r="5019" spans="1:4" ht="12.75" customHeight="1" x14ac:dyDescent="0.2">
      <c r="A5019" s="21"/>
      <c r="B5019" s="20" t="s">
        <v>18</v>
      </c>
      <c r="C5019" s="4" t="s">
        <v>244</v>
      </c>
      <c r="D5019" s="6" t="str">
        <f>HYPERLINK("javascript:void(0)","lux")</f>
        <v>lux</v>
      </c>
    </row>
    <row r="5020" spans="1:4" ht="12.75" customHeight="1" x14ac:dyDescent="0.2">
      <c r="A5020" s="21"/>
      <c r="B5020" s="21"/>
      <c r="C5020" s="4" t="s">
        <v>398</v>
      </c>
      <c r="D5020" s="6" t="str">
        <f>HYPERLINK("javascript:void(0)","kispárna")</f>
        <v>kispárna</v>
      </c>
    </row>
    <row r="5021" spans="1:4" ht="12.75" customHeight="1" x14ac:dyDescent="0.2">
      <c r="A5021" s="21"/>
      <c r="B5021" s="21"/>
      <c r="C5021" s="4" t="s">
        <v>67</v>
      </c>
      <c r="D5021" s="6" t="str">
        <f>HYPERLINK("javascript:void(0)","térszelet")</f>
        <v>térszelet</v>
      </c>
    </row>
    <row r="5022" spans="1:4" ht="12.75" customHeight="1" x14ac:dyDescent="0.2">
      <c r="A5022" s="5"/>
      <c r="B5022" s="2"/>
      <c r="C5022" s="2"/>
      <c r="D5022" s="2"/>
    </row>
    <row r="5023" spans="1:4" ht="12.75" customHeight="1" x14ac:dyDescent="0.2">
      <c r="A5023" s="22" t="str">
        <f>HYPERLINK("javascript:void(0)","szellemtőr")</f>
        <v>szellemtőr</v>
      </c>
      <c r="B5023" s="21"/>
      <c r="C5023" s="21"/>
      <c r="D5023" s="21"/>
    </row>
    <row r="5024" spans="1:4" ht="12.75" customHeight="1" x14ac:dyDescent="0.2">
      <c r="A5024" s="20"/>
      <c r="B5024" s="2"/>
      <c r="C5024" s="2"/>
      <c r="D5024" s="2"/>
    </row>
    <row r="5025" spans="1:4" ht="12.75" customHeight="1" x14ac:dyDescent="0.2">
      <c r="A5025" s="21"/>
      <c r="B5025" s="3" t="s">
        <v>0</v>
      </c>
      <c r="C5025" s="20" t="s">
        <v>87</v>
      </c>
      <c r="D5025" s="21"/>
    </row>
    <row r="5026" spans="1:4" ht="12.75" customHeight="1" x14ac:dyDescent="0.2">
      <c r="A5026" s="21"/>
      <c r="B5026" s="3" t="s">
        <v>2</v>
      </c>
      <c r="C5026" s="20" t="s">
        <v>1598</v>
      </c>
      <c r="D5026" s="21"/>
    </row>
    <row r="5027" spans="1:4" ht="12.75" customHeight="1" x14ac:dyDescent="0.2">
      <c r="A5027" s="21"/>
      <c r="B5027" s="3" t="s">
        <v>4</v>
      </c>
      <c r="C5027" s="20" t="s">
        <v>2236</v>
      </c>
      <c r="D5027" s="21"/>
    </row>
    <row r="5028" spans="1:4" ht="12.75" customHeight="1" x14ac:dyDescent="0.2">
      <c r="A5028" s="21"/>
      <c r="B5028" s="3" t="s">
        <v>6</v>
      </c>
      <c r="C5028" s="20" t="s">
        <v>284</v>
      </c>
      <c r="D5028" s="21"/>
    </row>
    <row r="5029" spans="1:4" ht="12.75" customHeight="1" x14ac:dyDescent="0.2">
      <c r="A5029" s="21"/>
      <c r="B5029" s="3" t="s">
        <v>8</v>
      </c>
      <c r="C5029" s="20" t="s">
        <v>2236</v>
      </c>
      <c r="D5029" s="21"/>
    </row>
    <row r="5030" spans="1:4" ht="12.75" customHeight="1" x14ac:dyDescent="0.2">
      <c r="A5030" s="21"/>
      <c r="B5030" s="3" t="s">
        <v>9</v>
      </c>
      <c r="C5030" s="20" t="s">
        <v>2102</v>
      </c>
      <c r="D5030" s="21"/>
    </row>
    <row r="5031" spans="1:4" ht="12.75" customHeight="1" x14ac:dyDescent="0.2">
      <c r="A5031" s="21"/>
      <c r="B5031" s="3" t="s">
        <v>11</v>
      </c>
      <c r="C5031" s="20" t="s">
        <v>1015</v>
      </c>
      <c r="D5031" s="21"/>
    </row>
    <row r="5032" spans="1:4" ht="12.75" customHeight="1" x14ac:dyDescent="0.2">
      <c r="A5032" s="21"/>
      <c r="B5032" s="3" t="s">
        <v>13</v>
      </c>
      <c r="C5032" s="20" t="s">
        <v>24</v>
      </c>
      <c r="D5032" s="21"/>
    </row>
    <row r="5033" spans="1:4" ht="12.75" customHeight="1" x14ac:dyDescent="0.2">
      <c r="A5033" s="21"/>
      <c r="B5033" s="3" t="s">
        <v>15</v>
      </c>
      <c r="C5033" s="20" t="s">
        <v>24</v>
      </c>
      <c r="D5033" s="21"/>
    </row>
    <row r="5034" spans="1:4" ht="12.75" customHeight="1" x14ac:dyDescent="0.2">
      <c r="A5034" s="21"/>
      <c r="B5034" s="3" t="s">
        <v>16</v>
      </c>
      <c r="C5034" s="20"/>
      <c r="D5034" s="21"/>
    </row>
    <row r="5035" spans="1:4" ht="12.75" customHeight="1" x14ac:dyDescent="0.2">
      <c r="A5035" s="21"/>
      <c r="B5035" s="3" t="s">
        <v>17</v>
      </c>
      <c r="C5035" s="20"/>
      <c r="D5035" s="21"/>
    </row>
    <row r="5036" spans="1:4" ht="12.75" customHeight="1" x14ac:dyDescent="0.2">
      <c r="A5036" s="21"/>
      <c r="B5036" s="20" t="s">
        <v>18</v>
      </c>
      <c r="C5036" s="4" t="s">
        <v>44</v>
      </c>
      <c r="D5036" s="6" t="str">
        <f>HYPERLINK("javascript:void(0)","manavagdaló")</f>
        <v>manavagdaló</v>
      </c>
    </row>
    <row r="5037" spans="1:4" ht="12.75" customHeight="1" x14ac:dyDescent="0.2">
      <c r="A5037" s="21"/>
      <c r="B5037" s="21"/>
      <c r="C5037" s="4" t="s">
        <v>44</v>
      </c>
      <c r="D5037" s="6" t="str">
        <f>HYPERLINK("javascript:void(0)","léktépő")</f>
        <v>léktépő</v>
      </c>
    </row>
    <row r="5038" spans="1:4" ht="12.75" customHeight="1" x14ac:dyDescent="0.2">
      <c r="A5038" s="21"/>
      <c r="B5038" s="21"/>
      <c r="C5038" s="4" t="s">
        <v>44</v>
      </c>
      <c r="D5038" s="6" t="str">
        <f>HYPERLINK("javascript:void(0)","elmepenge")</f>
        <v>elmepenge</v>
      </c>
    </row>
    <row r="5039" spans="1:4" ht="12.75" customHeight="1" x14ac:dyDescent="0.2">
      <c r="A5039" s="5"/>
      <c r="B5039" s="2"/>
      <c r="C5039" s="2"/>
      <c r="D5039" s="2"/>
    </row>
    <row r="5040" spans="1:4" ht="12.75" customHeight="1" x14ac:dyDescent="0.2">
      <c r="A5040" s="22" t="str">
        <f>HYPERLINK("javascript:void(0)","fejpengés mágusölő")</f>
        <v>fejpengés mágusölő</v>
      </c>
      <c r="B5040" s="21"/>
      <c r="C5040" s="21"/>
      <c r="D5040" s="21"/>
    </row>
    <row r="5041" spans="1:4" ht="12.75" customHeight="1" x14ac:dyDescent="0.2">
      <c r="A5041" s="20"/>
      <c r="B5041" s="2"/>
      <c r="C5041" s="2"/>
      <c r="D5041" s="2"/>
    </row>
    <row r="5042" spans="1:4" ht="12.75" customHeight="1" x14ac:dyDescent="0.2">
      <c r="A5042" s="21"/>
      <c r="B5042" s="3" t="s">
        <v>0</v>
      </c>
      <c r="C5042" s="20" t="s">
        <v>87</v>
      </c>
      <c r="D5042" s="21"/>
    </row>
    <row r="5043" spans="1:4" ht="12.75" customHeight="1" x14ac:dyDescent="0.2">
      <c r="A5043" s="21"/>
      <c r="B5043" s="3" t="s">
        <v>2</v>
      </c>
      <c r="C5043" s="20" t="s">
        <v>1598</v>
      </c>
      <c r="D5043" s="21"/>
    </row>
    <row r="5044" spans="1:4" ht="12.75" customHeight="1" x14ac:dyDescent="0.2">
      <c r="A5044" s="21"/>
      <c r="B5044" s="3" t="s">
        <v>4</v>
      </c>
      <c r="C5044" s="20" t="s">
        <v>2238</v>
      </c>
      <c r="D5044" s="21"/>
    </row>
    <row r="5045" spans="1:4" ht="12.75" customHeight="1" x14ac:dyDescent="0.2">
      <c r="A5045" s="21"/>
      <c r="B5045" s="3" t="s">
        <v>6</v>
      </c>
      <c r="C5045" s="20" t="s">
        <v>48</v>
      </c>
      <c r="D5045" s="21"/>
    </row>
    <row r="5046" spans="1:4" ht="12.75" customHeight="1" x14ac:dyDescent="0.2">
      <c r="A5046" s="21"/>
      <c r="B5046" s="3" t="s">
        <v>8</v>
      </c>
      <c r="C5046" s="20" t="s">
        <v>2238</v>
      </c>
      <c r="D5046" s="21"/>
    </row>
    <row r="5047" spans="1:4" ht="12.75" customHeight="1" x14ac:dyDescent="0.2">
      <c r="A5047" s="21"/>
      <c r="B5047" s="3" t="s">
        <v>9</v>
      </c>
      <c r="C5047" s="20" t="s">
        <v>2024</v>
      </c>
      <c r="D5047" s="21"/>
    </row>
    <row r="5048" spans="1:4" ht="12.75" customHeight="1" x14ac:dyDescent="0.2">
      <c r="A5048" s="21"/>
      <c r="B5048" s="3" t="s">
        <v>11</v>
      </c>
      <c r="C5048" s="20" t="s">
        <v>1657</v>
      </c>
      <c r="D5048" s="21"/>
    </row>
    <row r="5049" spans="1:4" ht="12.75" customHeight="1" x14ac:dyDescent="0.2">
      <c r="A5049" s="21"/>
      <c r="B5049" s="3" t="s">
        <v>13</v>
      </c>
      <c r="C5049" s="20" t="s">
        <v>14</v>
      </c>
      <c r="D5049" s="21"/>
    </row>
    <row r="5050" spans="1:4" ht="12.75" customHeight="1" x14ac:dyDescent="0.2">
      <c r="A5050" s="21"/>
      <c r="B5050" s="3" t="s">
        <v>15</v>
      </c>
      <c r="C5050" s="20" t="s">
        <v>24</v>
      </c>
      <c r="D5050" s="21"/>
    </row>
    <row r="5051" spans="1:4" ht="12.75" customHeight="1" x14ac:dyDescent="0.2">
      <c r="A5051" s="21"/>
      <c r="B5051" s="3" t="s">
        <v>16</v>
      </c>
      <c r="C5051" s="20"/>
      <c r="D5051" s="21"/>
    </row>
    <row r="5052" spans="1:4" ht="12.75" customHeight="1" x14ac:dyDescent="0.2">
      <c r="A5052" s="21"/>
      <c r="B5052" s="3" t="s">
        <v>17</v>
      </c>
      <c r="C5052" s="20"/>
      <c r="D5052" s="21"/>
    </row>
    <row r="5053" spans="1:4" ht="12.75" customHeight="1" x14ac:dyDescent="0.2">
      <c r="A5053" s="21"/>
      <c r="B5053" s="20" t="s">
        <v>18</v>
      </c>
      <c r="C5053" s="4" t="s">
        <v>780</v>
      </c>
      <c r="D5053" s="6" t="str">
        <f>HYPERLINK("javascript:void(0)","angyalhaj")</f>
        <v>angyalhaj</v>
      </c>
    </row>
    <row r="5054" spans="1:4" ht="12.75" customHeight="1" x14ac:dyDescent="0.2">
      <c r="A5054" s="21"/>
      <c r="B5054" s="21"/>
      <c r="C5054" s="4" t="s">
        <v>117</v>
      </c>
      <c r="D5054" s="6" t="str">
        <f>HYPERLINK("javascript:void(0)","fejlik")</f>
        <v>fejlik</v>
      </c>
    </row>
    <row r="5055" spans="1:4" ht="12.75" customHeight="1" x14ac:dyDescent="0.2">
      <c r="A5055" s="21"/>
      <c r="B5055" s="21"/>
      <c r="C5055" s="4" t="s">
        <v>296</v>
      </c>
      <c r="D5055" s="6" t="str">
        <f>HYPERLINK("javascript:void(0)","banánhéj")</f>
        <v>banánhéj</v>
      </c>
    </row>
    <row r="5056" spans="1:4" ht="12.75" customHeight="1" x14ac:dyDescent="0.2">
      <c r="A5056" s="5"/>
      <c r="B5056" s="2"/>
      <c r="C5056" s="2"/>
      <c r="D5056" s="2"/>
    </row>
    <row r="5057" spans="1:4" ht="12.75" customHeight="1" x14ac:dyDescent="0.2">
      <c r="A5057" s="22" t="str">
        <f>HYPERLINK("javascript:void(0)","elmepenge")</f>
        <v>elmepenge</v>
      </c>
      <c r="B5057" s="21"/>
      <c r="C5057" s="21"/>
      <c r="D5057" s="21"/>
    </row>
    <row r="5058" spans="1:4" ht="12.75" customHeight="1" x14ac:dyDescent="0.2">
      <c r="A5058" s="20"/>
      <c r="B5058" s="2"/>
      <c r="C5058" s="2"/>
      <c r="D5058" s="2"/>
    </row>
    <row r="5059" spans="1:4" ht="12.75" customHeight="1" x14ac:dyDescent="0.2">
      <c r="A5059" s="21"/>
      <c r="B5059" s="3" t="s">
        <v>0</v>
      </c>
      <c r="C5059" s="20" t="s">
        <v>87</v>
      </c>
      <c r="D5059" s="21"/>
    </row>
    <row r="5060" spans="1:4" ht="12.75" customHeight="1" x14ac:dyDescent="0.2">
      <c r="A5060" s="21"/>
      <c r="B5060" s="3" t="s">
        <v>2</v>
      </c>
      <c r="C5060" s="20" t="s">
        <v>1598</v>
      </c>
      <c r="D5060" s="21"/>
    </row>
    <row r="5061" spans="1:4" ht="12.75" customHeight="1" x14ac:dyDescent="0.2">
      <c r="A5061" s="21"/>
      <c r="B5061" s="3" t="s">
        <v>4</v>
      </c>
      <c r="C5061" s="20" t="s">
        <v>1478</v>
      </c>
      <c r="D5061" s="21"/>
    </row>
    <row r="5062" spans="1:4" ht="12.75" customHeight="1" x14ac:dyDescent="0.2">
      <c r="A5062" s="21"/>
      <c r="B5062" s="3" t="s">
        <v>6</v>
      </c>
      <c r="C5062" s="20" t="s">
        <v>21</v>
      </c>
      <c r="D5062" s="21"/>
    </row>
    <row r="5063" spans="1:4" ht="12.75" customHeight="1" x14ac:dyDescent="0.2">
      <c r="A5063" s="21"/>
      <c r="B5063" s="3" t="s">
        <v>8</v>
      </c>
      <c r="C5063" s="20" t="s">
        <v>1478</v>
      </c>
      <c r="D5063" s="21"/>
    </row>
    <row r="5064" spans="1:4" ht="12.75" customHeight="1" x14ac:dyDescent="0.2">
      <c r="A5064" s="21"/>
      <c r="B5064" s="3" t="s">
        <v>9</v>
      </c>
      <c r="C5064" s="20" t="s">
        <v>2241</v>
      </c>
      <c r="D5064" s="21"/>
    </row>
    <row r="5065" spans="1:4" ht="12.75" customHeight="1" x14ac:dyDescent="0.2">
      <c r="A5065" s="21"/>
      <c r="B5065" s="3" t="s">
        <v>11</v>
      </c>
      <c r="C5065" s="20" t="s">
        <v>1159</v>
      </c>
      <c r="D5065" s="21"/>
    </row>
    <row r="5066" spans="1:4" ht="12.75" customHeight="1" x14ac:dyDescent="0.2">
      <c r="A5066" s="21"/>
      <c r="B5066" s="3" t="s">
        <v>13</v>
      </c>
      <c r="C5066" s="20" t="s">
        <v>24</v>
      </c>
      <c r="D5066" s="21"/>
    </row>
    <row r="5067" spans="1:4" ht="12.75" customHeight="1" x14ac:dyDescent="0.2">
      <c r="A5067" s="21"/>
      <c r="B5067" s="3" t="s">
        <v>15</v>
      </c>
      <c r="C5067" s="20" t="s">
        <v>24</v>
      </c>
      <c r="D5067" s="21"/>
    </row>
    <row r="5068" spans="1:4" ht="12.75" customHeight="1" x14ac:dyDescent="0.2">
      <c r="A5068" s="21"/>
      <c r="B5068" s="3" t="s">
        <v>16</v>
      </c>
      <c r="C5068" s="20"/>
      <c r="D5068" s="21"/>
    </row>
    <row r="5069" spans="1:4" ht="12.75" customHeight="1" x14ac:dyDescent="0.2">
      <c r="A5069" s="21"/>
      <c r="B5069" s="3" t="s">
        <v>17</v>
      </c>
      <c r="C5069" s="20"/>
      <c r="D5069" s="21"/>
    </row>
    <row r="5070" spans="1:4" ht="12.75" customHeight="1" x14ac:dyDescent="0.2">
      <c r="A5070" s="21"/>
      <c r="B5070" s="20" t="s">
        <v>18</v>
      </c>
      <c r="C5070" s="4" t="s">
        <v>139</v>
      </c>
      <c r="D5070" s="6" t="str">
        <f>HYPERLINK("javascript:void(0)","porszőr")</f>
        <v>porszőr</v>
      </c>
    </row>
    <row r="5071" spans="1:4" ht="12.75" customHeight="1" x14ac:dyDescent="0.2">
      <c r="A5071" s="21"/>
      <c r="B5071" s="21"/>
      <c r="C5071" s="4" t="s">
        <v>142</v>
      </c>
      <c r="D5071" s="6" t="str">
        <f>HYPERLINK("javascript:void(0)","fejlik")</f>
        <v>fejlik</v>
      </c>
    </row>
    <row r="5072" spans="1:4" ht="12.75" customHeight="1" x14ac:dyDescent="0.2">
      <c r="A5072" s="21"/>
      <c r="B5072" s="21"/>
      <c r="C5072" s="4" t="s">
        <v>68</v>
      </c>
      <c r="D5072" s="6" t="str">
        <f>HYPERLINK("javascript:void(0)","habléc")</f>
        <v>habléc</v>
      </c>
    </row>
    <row r="5073" spans="1:4" ht="12.75" customHeight="1" x14ac:dyDescent="0.2">
      <c r="A5073" s="5"/>
      <c r="B5073" s="2"/>
      <c r="C5073" s="2"/>
      <c r="D5073" s="2"/>
    </row>
    <row r="5074" spans="1:4" ht="12.75" customHeight="1" x14ac:dyDescent="0.2">
      <c r="A5074" s="22" t="str">
        <f>HYPERLINK("javascript:void(0)","csóvapenge")</f>
        <v>csóvapenge</v>
      </c>
      <c r="B5074" s="21"/>
      <c r="C5074" s="21"/>
      <c r="D5074" s="21"/>
    </row>
    <row r="5075" spans="1:4" ht="12.75" customHeight="1" x14ac:dyDescent="0.2">
      <c r="A5075" s="20"/>
      <c r="B5075" s="2"/>
      <c r="C5075" s="2"/>
      <c r="D5075" s="2"/>
    </row>
    <row r="5076" spans="1:4" ht="12.75" customHeight="1" x14ac:dyDescent="0.2">
      <c r="A5076" s="21"/>
      <c r="B5076" s="3" t="s">
        <v>0</v>
      </c>
      <c r="C5076" s="20" t="s">
        <v>87</v>
      </c>
      <c r="D5076" s="21"/>
    </row>
    <row r="5077" spans="1:4" ht="12.75" customHeight="1" x14ac:dyDescent="0.2">
      <c r="A5077" s="21"/>
      <c r="B5077" s="3" t="s">
        <v>2</v>
      </c>
      <c r="C5077" s="20" t="s">
        <v>1598</v>
      </c>
      <c r="D5077" s="21"/>
    </row>
    <row r="5078" spans="1:4" ht="12.75" customHeight="1" x14ac:dyDescent="0.2">
      <c r="A5078" s="21"/>
      <c r="B5078" s="3" t="s">
        <v>4</v>
      </c>
      <c r="C5078" s="20" t="s">
        <v>1478</v>
      </c>
      <c r="D5078" s="21"/>
    </row>
    <row r="5079" spans="1:4" ht="12.75" customHeight="1" x14ac:dyDescent="0.2">
      <c r="A5079" s="21"/>
      <c r="B5079" s="3" t="s">
        <v>6</v>
      </c>
      <c r="C5079" s="20" t="s">
        <v>21</v>
      </c>
      <c r="D5079" s="21"/>
    </row>
    <row r="5080" spans="1:4" ht="12.75" customHeight="1" x14ac:dyDescent="0.2">
      <c r="A5080" s="21"/>
      <c r="B5080" s="3" t="s">
        <v>8</v>
      </c>
      <c r="C5080" s="20" t="s">
        <v>1478</v>
      </c>
      <c r="D5080" s="21"/>
    </row>
    <row r="5081" spans="1:4" ht="12.75" customHeight="1" x14ac:dyDescent="0.2">
      <c r="A5081" s="21"/>
      <c r="B5081" s="3" t="s">
        <v>9</v>
      </c>
      <c r="C5081" s="20" t="s">
        <v>2237</v>
      </c>
      <c r="D5081" s="21"/>
    </row>
    <row r="5082" spans="1:4" ht="12.75" customHeight="1" x14ac:dyDescent="0.2">
      <c r="A5082" s="21"/>
      <c r="B5082" s="3" t="s">
        <v>11</v>
      </c>
      <c r="C5082" s="20" t="s">
        <v>1159</v>
      </c>
      <c r="D5082" s="21"/>
    </row>
    <row r="5083" spans="1:4" ht="12.75" customHeight="1" x14ac:dyDescent="0.2">
      <c r="A5083" s="21"/>
      <c r="B5083" s="3" t="s">
        <v>13</v>
      </c>
      <c r="C5083" s="20" t="s">
        <v>24</v>
      </c>
      <c r="D5083" s="21"/>
    </row>
    <row r="5084" spans="1:4" ht="12.75" customHeight="1" x14ac:dyDescent="0.2">
      <c r="A5084" s="21"/>
      <c r="B5084" s="3" t="s">
        <v>15</v>
      </c>
      <c r="C5084" s="20" t="s">
        <v>24</v>
      </c>
      <c r="D5084" s="21"/>
    </row>
    <row r="5085" spans="1:4" ht="12.75" customHeight="1" x14ac:dyDescent="0.2">
      <c r="A5085" s="21"/>
      <c r="B5085" s="3" t="s">
        <v>16</v>
      </c>
      <c r="C5085" s="20"/>
      <c r="D5085" s="21"/>
    </row>
    <row r="5086" spans="1:4" ht="12.75" customHeight="1" x14ac:dyDescent="0.2">
      <c r="A5086" s="21"/>
      <c r="B5086" s="3" t="s">
        <v>17</v>
      </c>
      <c r="C5086" s="20"/>
      <c r="D5086" s="21"/>
    </row>
    <row r="5087" spans="1:4" ht="12.75" customHeight="1" x14ac:dyDescent="0.2">
      <c r="A5087" s="21"/>
      <c r="B5087" s="20" t="s">
        <v>18</v>
      </c>
      <c r="C5087" s="4" t="s">
        <v>98</v>
      </c>
      <c r="D5087" s="6" t="str">
        <f>HYPERLINK("javascript:void(0)","kártyalap")</f>
        <v>kártyalap</v>
      </c>
    </row>
    <row r="5088" spans="1:4" ht="12.75" customHeight="1" x14ac:dyDescent="0.2">
      <c r="A5088" s="21"/>
      <c r="B5088" s="21"/>
      <c r="C5088" s="4" t="s">
        <v>244</v>
      </c>
      <c r="D5088" s="6" t="str">
        <f>HYPERLINK("javascript:void(0)","szikracsóva")</f>
        <v>szikracsóva</v>
      </c>
    </row>
    <row r="5089" spans="1:4" ht="12.75" customHeight="1" x14ac:dyDescent="0.2">
      <c r="A5089" s="21"/>
      <c r="B5089" s="21"/>
      <c r="C5089" s="4" t="s">
        <v>269</v>
      </c>
      <c r="D5089" s="6" t="str">
        <f>HYPERLINK("javascript:void(0)","fiola")</f>
        <v>fiola</v>
      </c>
    </row>
    <row r="5090" spans="1:4" ht="12.75" customHeight="1" x14ac:dyDescent="0.2">
      <c r="A5090" s="5"/>
      <c r="B5090" s="2"/>
      <c r="C5090" s="2"/>
      <c r="D5090" s="2"/>
    </row>
    <row r="5091" spans="1:4" ht="12.75" customHeight="1" x14ac:dyDescent="0.2">
      <c r="A5091" s="22" t="str">
        <f>HYPERLINK("javascript:void(0)","szellemszablya")</f>
        <v>szellemszablya</v>
      </c>
      <c r="B5091" s="21"/>
      <c r="C5091" s="21"/>
      <c r="D5091" s="21"/>
    </row>
    <row r="5092" spans="1:4" ht="12.75" customHeight="1" x14ac:dyDescent="0.2">
      <c r="A5092" s="20"/>
      <c r="B5092" s="2"/>
      <c r="C5092" s="2"/>
      <c r="D5092" s="2"/>
    </row>
    <row r="5093" spans="1:4" ht="12.75" customHeight="1" x14ac:dyDescent="0.2">
      <c r="A5093" s="21"/>
      <c r="B5093" s="3" t="s">
        <v>0</v>
      </c>
      <c r="C5093" s="20" t="s">
        <v>999</v>
      </c>
      <c r="D5093" s="21"/>
    </row>
    <row r="5094" spans="1:4" ht="12.75" customHeight="1" x14ac:dyDescent="0.2">
      <c r="A5094" s="21"/>
      <c r="B5094" s="3" t="s">
        <v>2</v>
      </c>
      <c r="C5094" s="20" t="s">
        <v>1598</v>
      </c>
      <c r="D5094" s="21"/>
    </row>
    <row r="5095" spans="1:4" ht="12.75" customHeight="1" x14ac:dyDescent="0.2">
      <c r="A5095" s="21"/>
      <c r="B5095" s="3" t="s">
        <v>4</v>
      </c>
      <c r="C5095" s="20" t="s">
        <v>2246</v>
      </c>
      <c r="D5095" s="21"/>
    </row>
    <row r="5096" spans="1:4" ht="12.75" customHeight="1" x14ac:dyDescent="0.2">
      <c r="A5096" s="21"/>
      <c r="B5096" s="3" t="s">
        <v>6</v>
      </c>
      <c r="C5096" s="20" t="s">
        <v>392</v>
      </c>
      <c r="D5096" s="21"/>
    </row>
    <row r="5097" spans="1:4" ht="12.75" customHeight="1" x14ac:dyDescent="0.2">
      <c r="A5097" s="21"/>
      <c r="B5097" s="3" t="s">
        <v>8</v>
      </c>
      <c r="C5097" s="20" t="s">
        <v>2246</v>
      </c>
      <c r="D5097" s="21"/>
    </row>
    <row r="5098" spans="1:4" ht="12.75" customHeight="1" x14ac:dyDescent="0.2">
      <c r="A5098" s="21"/>
      <c r="B5098" s="3" t="s">
        <v>9</v>
      </c>
      <c r="C5098" s="20" t="s">
        <v>2247</v>
      </c>
      <c r="D5098" s="21"/>
    </row>
    <row r="5099" spans="1:4" ht="12.75" customHeight="1" x14ac:dyDescent="0.2">
      <c r="A5099" s="21"/>
      <c r="B5099" s="3" t="s">
        <v>11</v>
      </c>
      <c r="C5099" s="20" t="s">
        <v>1026</v>
      </c>
      <c r="D5099" s="21"/>
    </row>
    <row r="5100" spans="1:4" ht="12.75" customHeight="1" x14ac:dyDescent="0.2">
      <c r="A5100" s="21"/>
      <c r="B5100" s="3" t="s">
        <v>13</v>
      </c>
      <c r="C5100" s="20" t="s">
        <v>24</v>
      </c>
      <c r="D5100" s="21"/>
    </row>
    <row r="5101" spans="1:4" ht="12.75" customHeight="1" x14ac:dyDescent="0.2">
      <c r="A5101" s="21"/>
      <c r="B5101" s="3" t="s">
        <v>15</v>
      </c>
      <c r="C5101" s="20" t="s">
        <v>24</v>
      </c>
      <c r="D5101" s="21"/>
    </row>
    <row r="5102" spans="1:4" ht="12.75" customHeight="1" x14ac:dyDescent="0.2">
      <c r="A5102" s="21"/>
      <c r="B5102" s="3" t="s">
        <v>16</v>
      </c>
      <c r="C5102" s="20"/>
      <c r="D5102" s="21"/>
    </row>
    <row r="5103" spans="1:4" ht="12.75" customHeight="1" x14ac:dyDescent="0.2">
      <c r="A5103" s="21"/>
      <c r="B5103" s="3" t="s">
        <v>17</v>
      </c>
      <c r="C5103" s="20"/>
      <c r="D5103" s="21"/>
    </row>
    <row r="5104" spans="1:4" ht="12.75" customHeight="1" x14ac:dyDescent="0.2">
      <c r="A5104" s="21"/>
      <c r="B5104" s="20" t="s">
        <v>18</v>
      </c>
      <c r="C5104" s="4" t="s">
        <v>44</v>
      </c>
      <c r="D5104" s="6" t="str">
        <f>HYPERLINK("javascript:void(0)","szellemtőr")</f>
        <v>szellemtőr</v>
      </c>
    </row>
    <row r="5105" spans="1:4" ht="12.75" customHeight="1" x14ac:dyDescent="0.2">
      <c r="A5105" s="21"/>
      <c r="B5105" s="21"/>
      <c r="C5105" s="4" t="s">
        <v>309</v>
      </c>
      <c r="D5105" s="6" t="str">
        <f>HYPERLINK("javascript:void(0)","kalaptű")</f>
        <v>kalaptű</v>
      </c>
    </row>
    <row r="5106" spans="1:4" ht="12.75" customHeight="1" x14ac:dyDescent="0.2">
      <c r="A5106" s="21"/>
      <c r="B5106" s="21"/>
      <c r="C5106" s="4" t="s">
        <v>132</v>
      </c>
      <c r="D5106" s="6" t="str">
        <f>HYPERLINK("javascript:void(0)","négyél")</f>
        <v>négyél</v>
      </c>
    </row>
    <row r="5107" spans="1:4" ht="12.75" customHeight="1" x14ac:dyDescent="0.2">
      <c r="A5107" s="5"/>
      <c r="B5107" s="2"/>
      <c r="C5107" s="2"/>
      <c r="D5107" s="2"/>
    </row>
    <row r="5108" spans="1:4" ht="12.75" customHeight="1" x14ac:dyDescent="0.2">
      <c r="A5108" s="22" t="str">
        <f>HYPERLINK("javascript:void(0)","gyíkacél röppenge")</f>
        <v>gyíkacél röppenge</v>
      </c>
      <c r="B5108" s="21"/>
      <c r="C5108" s="21"/>
      <c r="D5108" s="21"/>
    </row>
    <row r="5109" spans="1:4" ht="12.75" customHeight="1" x14ac:dyDescent="0.2">
      <c r="A5109" s="20"/>
      <c r="B5109" s="2"/>
      <c r="C5109" s="2"/>
      <c r="D5109" s="2"/>
    </row>
    <row r="5110" spans="1:4" ht="12.75" customHeight="1" x14ac:dyDescent="0.2">
      <c r="A5110" s="21"/>
      <c r="B5110" s="3" t="s">
        <v>0</v>
      </c>
      <c r="C5110" s="20" t="s">
        <v>999</v>
      </c>
      <c r="D5110" s="21"/>
    </row>
    <row r="5111" spans="1:4" ht="12.75" customHeight="1" x14ac:dyDescent="0.2">
      <c r="A5111" s="21"/>
      <c r="B5111" s="3" t="s">
        <v>2</v>
      </c>
      <c r="C5111" s="20" t="s">
        <v>1598</v>
      </c>
      <c r="D5111" s="21"/>
    </row>
    <row r="5112" spans="1:4" ht="12.75" customHeight="1" x14ac:dyDescent="0.2">
      <c r="A5112" s="21"/>
      <c r="B5112" s="3" t="s">
        <v>4</v>
      </c>
      <c r="C5112" s="20" t="s">
        <v>2249</v>
      </c>
      <c r="D5112" s="21"/>
    </row>
    <row r="5113" spans="1:4" ht="12.75" customHeight="1" x14ac:dyDescent="0.2">
      <c r="A5113" s="21"/>
      <c r="B5113" s="3" t="s">
        <v>6</v>
      </c>
      <c r="C5113" s="20" t="s">
        <v>107</v>
      </c>
      <c r="D5113" s="21"/>
    </row>
    <row r="5114" spans="1:4" ht="12.75" customHeight="1" x14ac:dyDescent="0.2">
      <c r="A5114" s="21"/>
      <c r="B5114" s="3" t="s">
        <v>8</v>
      </c>
      <c r="C5114" s="20" t="s">
        <v>2249</v>
      </c>
      <c r="D5114" s="21"/>
    </row>
    <row r="5115" spans="1:4" ht="12.75" customHeight="1" x14ac:dyDescent="0.2">
      <c r="A5115" s="21"/>
      <c r="B5115" s="3" t="s">
        <v>9</v>
      </c>
      <c r="C5115" s="20" t="s">
        <v>2250</v>
      </c>
      <c r="D5115" s="21"/>
    </row>
    <row r="5116" spans="1:4" ht="12.75" customHeight="1" x14ac:dyDescent="0.2">
      <c r="A5116" s="21"/>
      <c r="B5116" s="3" t="s">
        <v>11</v>
      </c>
      <c r="C5116" s="20" t="s">
        <v>763</v>
      </c>
      <c r="D5116" s="21"/>
    </row>
    <row r="5117" spans="1:4" ht="12.75" customHeight="1" x14ac:dyDescent="0.2">
      <c r="A5117" s="21"/>
      <c r="B5117" s="3" t="s">
        <v>13</v>
      </c>
      <c r="C5117" s="20" t="s">
        <v>24</v>
      </c>
      <c r="D5117" s="21"/>
    </row>
    <row r="5118" spans="1:4" ht="12.75" customHeight="1" x14ac:dyDescent="0.2">
      <c r="A5118" s="21"/>
      <c r="B5118" s="3" t="s">
        <v>15</v>
      </c>
      <c r="C5118" s="20" t="s">
        <v>24</v>
      </c>
      <c r="D5118" s="21"/>
    </row>
    <row r="5119" spans="1:4" ht="12.75" customHeight="1" x14ac:dyDescent="0.2">
      <c r="A5119" s="21"/>
      <c r="B5119" s="3" t="s">
        <v>16</v>
      </c>
      <c r="C5119" s="20"/>
      <c r="D5119" s="21"/>
    </row>
    <row r="5120" spans="1:4" ht="12.75" customHeight="1" x14ac:dyDescent="0.2">
      <c r="A5120" s="21"/>
      <c r="B5120" s="3" t="s">
        <v>17</v>
      </c>
      <c r="C5120" s="20"/>
      <c r="D5120" s="21"/>
    </row>
    <row r="5121" spans="1:4" ht="12.75" customHeight="1" x14ac:dyDescent="0.2">
      <c r="A5121" s="21"/>
      <c r="B5121" s="20" t="s">
        <v>18</v>
      </c>
      <c r="C5121" s="4" t="s">
        <v>796</v>
      </c>
      <c r="D5121" s="6" t="str">
        <f>HYPERLINK("javascript:void(0)","démonzanza")</f>
        <v>démonzanza</v>
      </c>
    </row>
    <row r="5122" spans="1:4" ht="12.75" customHeight="1" x14ac:dyDescent="0.2">
      <c r="A5122" s="21"/>
      <c r="B5122" s="21"/>
      <c r="C5122" s="4" t="s">
        <v>398</v>
      </c>
      <c r="D5122" s="6" t="str">
        <f>HYPERLINK("javascript:void(0)","vasrög")</f>
        <v>vasrög</v>
      </c>
    </row>
    <row r="5123" spans="1:4" ht="12.75" customHeight="1" x14ac:dyDescent="0.2">
      <c r="A5123" s="21"/>
      <c r="B5123" s="21"/>
      <c r="C5123" s="4" t="s">
        <v>398</v>
      </c>
      <c r="D5123" s="6" t="str">
        <f>HYPERLINK("javascript:void(0)","vitorla")</f>
        <v>vitorla</v>
      </c>
    </row>
    <row r="5124" spans="1:4" ht="12.75" customHeight="1" x14ac:dyDescent="0.2">
      <c r="A5124" s="5"/>
      <c r="B5124" s="2"/>
      <c r="C5124" s="2"/>
      <c r="D5124" s="2"/>
    </row>
    <row r="5125" spans="1:4" ht="12.75" customHeight="1" x14ac:dyDescent="0.2">
      <c r="A5125" s="22" t="str">
        <f>HYPERLINK("javascript:void(0)","ködszurony")</f>
        <v>ködszurony</v>
      </c>
      <c r="B5125" s="21"/>
      <c r="C5125" s="21"/>
      <c r="D5125" s="21"/>
    </row>
    <row r="5126" spans="1:4" ht="12.75" customHeight="1" x14ac:dyDescent="0.2">
      <c r="A5126" s="20"/>
      <c r="B5126" s="2"/>
      <c r="C5126" s="2"/>
      <c r="D5126" s="2"/>
    </row>
    <row r="5127" spans="1:4" ht="12.75" customHeight="1" x14ac:dyDescent="0.2">
      <c r="A5127" s="21"/>
      <c r="B5127" s="3" t="s">
        <v>0</v>
      </c>
      <c r="C5127" s="20" t="s">
        <v>1012</v>
      </c>
      <c r="D5127" s="21"/>
    </row>
    <row r="5128" spans="1:4" ht="12.75" customHeight="1" x14ac:dyDescent="0.2">
      <c r="A5128" s="21"/>
      <c r="B5128" s="3" t="s">
        <v>2</v>
      </c>
      <c r="C5128" s="20" t="s">
        <v>1598</v>
      </c>
      <c r="D5128" s="21"/>
    </row>
    <row r="5129" spans="1:4" ht="12.75" customHeight="1" x14ac:dyDescent="0.2">
      <c r="A5129" s="21"/>
      <c r="B5129" s="3" t="s">
        <v>4</v>
      </c>
      <c r="C5129" s="20" t="s">
        <v>2254</v>
      </c>
      <c r="D5129" s="21"/>
    </row>
    <row r="5130" spans="1:4" ht="12.75" customHeight="1" x14ac:dyDescent="0.2">
      <c r="A5130" s="21"/>
      <c r="B5130" s="3" t="s">
        <v>6</v>
      </c>
      <c r="C5130" s="20" t="s">
        <v>298</v>
      </c>
      <c r="D5130" s="21"/>
    </row>
    <row r="5131" spans="1:4" ht="12.75" customHeight="1" x14ac:dyDescent="0.2">
      <c r="A5131" s="21"/>
      <c r="B5131" s="3" t="s">
        <v>8</v>
      </c>
      <c r="C5131" s="20" t="s">
        <v>2254</v>
      </c>
      <c r="D5131" s="21"/>
    </row>
    <row r="5132" spans="1:4" ht="12.75" customHeight="1" x14ac:dyDescent="0.2">
      <c r="A5132" s="21"/>
      <c r="B5132" s="3" t="s">
        <v>9</v>
      </c>
      <c r="C5132" s="20" t="s">
        <v>1991</v>
      </c>
      <c r="D5132" s="21"/>
    </row>
    <row r="5133" spans="1:4" ht="12.75" customHeight="1" x14ac:dyDescent="0.2">
      <c r="A5133" s="21"/>
      <c r="B5133" s="3" t="s">
        <v>11</v>
      </c>
      <c r="C5133" s="20" t="s">
        <v>1035</v>
      </c>
      <c r="D5133" s="21"/>
    </row>
    <row r="5134" spans="1:4" ht="12.75" customHeight="1" x14ac:dyDescent="0.2">
      <c r="A5134" s="21"/>
      <c r="B5134" s="3" t="s">
        <v>13</v>
      </c>
      <c r="C5134" s="20" t="s">
        <v>24</v>
      </c>
      <c r="D5134" s="21"/>
    </row>
    <row r="5135" spans="1:4" ht="12.75" customHeight="1" x14ac:dyDescent="0.2">
      <c r="A5135" s="21"/>
      <c r="B5135" s="3" t="s">
        <v>15</v>
      </c>
      <c r="C5135" s="20" t="s">
        <v>24</v>
      </c>
      <c r="D5135" s="21"/>
    </row>
    <row r="5136" spans="1:4" ht="12.75" customHeight="1" x14ac:dyDescent="0.2">
      <c r="A5136" s="21"/>
      <c r="B5136" s="3" t="s">
        <v>16</v>
      </c>
      <c r="C5136" s="20"/>
      <c r="D5136" s="21"/>
    </row>
    <row r="5137" spans="1:4" ht="12.75" customHeight="1" x14ac:dyDescent="0.2">
      <c r="A5137" s="21"/>
      <c r="B5137" s="3" t="s">
        <v>17</v>
      </c>
      <c r="C5137" s="20"/>
      <c r="D5137" s="21"/>
    </row>
    <row r="5138" spans="1:4" ht="12.75" customHeight="1" x14ac:dyDescent="0.2">
      <c r="A5138" s="21"/>
      <c r="B5138" s="20" t="s">
        <v>18</v>
      </c>
      <c r="C5138" s="4" t="s">
        <v>117</v>
      </c>
      <c r="D5138" s="6" t="str">
        <f>HYPERLINK("javascript:void(0)","zászlórúd")</f>
        <v>zászlórúd</v>
      </c>
    </row>
    <row r="5139" spans="1:4" ht="12.75" customHeight="1" x14ac:dyDescent="0.2">
      <c r="A5139" s="21"/>
      <c r="B5139" s="21"/>
      <c r="C5139" s="4" t="s">
        <v>382</v>
      </c>
      <c r="D5139" s="6" t="str">
        <f>HYPERLINK("javascript:void(0)","harmatcsepp")</f>
        <v>harmatcsepp</v>
      </c>
    </row>
    <row r="5140" spans="1:4" ht="12.75" customHeight="1" x14ac:dyDescent="0.2">
      <c r="A5140" s="21"/>
      <c r="B5140" s="21"/>
      <c r="C5140" s="4" t="s">
        <v>265</v>
      </c>
      <c r="D5140" s="6" t="str">
        <f>HYPERLINK("javascript:void(0)","ködpikkely")</f>
        <v>ködpikkely</v>
      </c>
    </row>
    <row r="5141" spans="1:4" ht="12.75" customHeight="1" x14ac:dyDescent="0.2">
      <c r="A5141" s="5"/>
      <c r="B5141" s="2"/>
      <c r="C5141" s="2"/>
      <c r="D5141" s="2"/>
    </row>
    <row r="5142" spans="1:4" ht="12.75" customHeight="1" x14ac:dyDescent="0.2">
      <c r="A5142" s="22" t="str">
        <f>HYPERLINK("javascript:void(0)","pikkelyes mágusölő")</f>
        <v>pikkelyes mágusölő</v>
      </c>
      <c r="B5142" s="21"/>
      <c r="C5142" s="21"/>
      <c r="D5142" s="21"/>
    </row>
    <row r="5143" spans="1:4" ht="12.75" customHeight="1" x14ac:dyDescent="0.2">
      <c r="A5143" s="20"/>
      <c r="B5143" s="2"/>
      <c r="C5143" s="2"/>
      <c r="D5143" s="2"/>
    </row>
    <row r="5144" spans="1:4" ht="12.75" customHeight="1" x14ac:dyDescent="0.2">
      <c r="A5144" s="21"/>
      <c r="B5144" s="3" t="s">
        <v>0</v>
      </c>
      <c r="C5144" s="20" t="s">
        <v>1012</v>
      </c>
      <c r="D5144" s="21"/>
    </row>
    <row r="5145" spans="1:4" ht="12.75" customHeight="1" x14ac:dyDescent="0.2">
      <c r="A5145" s="21"/>
      <c r="B5145" s="3" t="s">
        <v>2</v>
      </c>
      <c r="C5145" s="20" t="s">
        <v>1598</v>
      </c>
      <c r="D5145" s="21"/>
    </row>
    <row r="5146" spans="1:4" ht="12.75" customHeight="1" x14ac:dyDescent="0.2">
      <c r="A5146" s="21"/>
      <c r="B5146" s="3" t="s">
        <v>4</v>
      </c>
      <c r="C5146" s="20" t="s">
        <v>2255</v>
      </c>
      <c r="D5146" s="21"/>
    </row>
    <row r="5147" spans="1:4" ht="12.75" customHeight="1" x14ac:dyDescent="0.2">
      <c r="A5147" s="21"/>
      <c r="B5147" s="3" t="s">
        <v>6</v>
      </c>
      <c r="C5147" s="20" t="s">
        <v>48</v>
      </c>
      <c r="D5147" s="21"/>
    </row>
    <row r="5148" spans="1:4" ht="12.75" customHeight="1" x14ac:dyDescent="0.2">
      <c r="A5148" s="21"/>
      <c r="B5148" s="3" t="s">
        <v>8</v>
      </c>
      <c r="C5148" s="20" t="s">
        <v>2255</v>
      </c>
      <c r="D5148" s="21"/>
    </row>
    <row r="5149" spans="1:4" ht="12.75" customHeight="1" x14ac:dyDescent="0.2">
      <c r="A5149" s="21"/>
      <c r="B5149" s="3" t="s">
        <v>9</v>
      </c>
      <c r="C5149" s="20" t="s">
        <v>1164</v>
      </c>
      <c r="D5149" s="21"/>
    </row>
    <row r="5150" spans="1:4" ht="12.75" customHeight="1" x14ac:dyDescent="0.2">
      <c r="A5150" s="21"/>
      <c r="B5150" s="3" t="s">
        <v>11</v>
      </c>
      <c r="C5150" s="20" t="s">
        <v>839</v>
      </c>
      <c r="D5150" s="21"/>
    </row>
    <row r="5151" spans="1:4" ht="12.75" customHeight="1" x14ac:dyDescent="0.2">
      <c r="A5151" s="21"/>
      <c r="B5151" s="3" t="s">
        <v>13</v>
      </c>
      <c r="C5151" s="20" t="s">
        <v>14</v>
      </c>
      <c r="D5151" s="21"/>
    </row>
    <row r="5152" spans="1:4" ht="12.75" customHeight="1" x14ac:dyDescent="0.2">
      <c r="A5152" s="21"/>
      <c r="B5152" s="3" t="s">
        <v>15</v>
      </c>
      <c r="C5152" s="20" t="s">
        <v>24</v>
      </c>
      <c r="D5152" s="21"/>
    </row>
    <row r="5153" spans="1:4" ht="12.75" customHeight="1" x14ac:dyDescent="0.2">
      <c r="A5153" s="21"/>
      <c r="B5153" s="3" t="s">
        <v>16</v>
      </c>
      <c r="C5153" s="20"/>
      <c r="D5153" s="21"/>
    </row>
    <row r="5154" spans="1:4" ht="12.75" customHeight="1" x14ac:dyDescent="0.2">
      <c r="A5154" s="21"/>
      <c r="B5154" s="3" t="s">
        <v>17</v>
      </c>
      <c r="C5154" s="20"/>
      <c r="D5154" s="21"/>
    </row>
    <row r="5155" spans="1:4" ht="12.75" customHeight="1" x14ac:dyDescent="0.2">
      <c r="A5155" s="21"/>
      <c r="B5155" s="20" t="s">
        <v>18</v>
      </c>
      <c r="C5155" s="4" t="s">
        <v>756</v>
      </c>
      <c r="D5155" s="6" t="str">
        <f>HYPERLINK("javascript:void(0)","pillepikkely")</f>
        <v>pillepikkely</v>
      </c>
    </row>
    <row r="5156" spans="1:4" ht="12.75" customHeight="1" x14ac:dyDescent="0.2">
      <c r="A5156" s="21"/>
      <c r="B5156" s="21"/>
      <c r="C5156" s="4" t="s">
        <v>290</v>
      </c>
      <c r="D5156" s="6" t="str">
        <f>HYPERLINK("javascript:void(0)","ködpikkely")</f>
        <v>ködpikkely</v>
      </c>
    </row>
    <row r="5157" spans="1:4" ht="12.75" customHeight="1" x14ac:dyDescent="0.2">
      <c r="A5157" s="21"/>
      <c r="B5157" s="21"/>
      <c r="C5157" s="4" t="s">
        <v>1536</v>
      </c>
      <c r="D5157" s="6" t="str">
        <f>HYPERLINK("javascript:void(0)","hagymapikkely")</f>
        <v>hagymapikkely</v>
      </c>
    </row>
    <row r="5158" spans="1:4" ht="12.75" customHeight="1" x14ac:dyDescent="0.2">
      <c r="A5158" s="5"/>
      <c r="B5158" s="2"/>
      <c r="C5158" s="2"/>
      <c r="D5158" s="2"/>
    </row>
    <row r="5159" spans="1:4" ht="12.75" customHeight="1" x14ac:dyDescent="0.2">
      <c r="A5159" s="22" t="str">
        <f>HYPERLINK("javascript:void(0)","démonkard")</f>
        <v>démonkard</v>
      </c>
      <c r="B5159" s="21"/>
      <c r="C5159" s="21"/>
      <c r="D5159" s="21"/>
    </row>
    <row r="5160" spans="1:4" ht="12.75" customHeight="1" x14ac:dyDescent="0.2">
      <c r="A5160" s="20"/>
      <c r="B5160" s="2"/>
      <c r="C5160" s="2"/>
      <c r="D5160" s="2"/>
    </row>
    <row r="5161" spans="1:4" ht="12.75" customHeight="1" x14ac:dyDescent="0.2">
      <c r="A5161" s="21"/>
      <c r="B5161" s="3" t="s">
        <v>0</v>
      </c>
      <c r="C5161" s="20" t="s">
        <v>91</v>
      </c>
      <c r="D5161" s="21"/>
    </row>
    <row r="5162" spans="1:4" ht="12.75" customHeight="1" x14ac:dyDescent="0.2">
      <c r="A5162" s="21"/>
      <c r="B5162" s="3" t="s">
        <v>2</v>
      </c>
      <c r="C5162" s="20" t="s">
        <v>1598</v>
      </c>
      <c r="D5162" s="21"/>
    </row>
    <row r="5163" spans="1:4" ht="12.75" customHeight="1" x14ac:dyDescent="0.2">
      <c r="A5163" s="21"/>
      <c r="B5163" s="3" t="s">
        <v>4</v>
      </c>
      <c r="C5163" s="20" t="s">
        <v>2259</v>
      </c>
      <c r="D5163" s="21"/>
    </row>
    <row r="5164" spans="1:4" ht="12.75" customHeight="1" x14ac:dyDescent="0.2">
      <c r="A5164" s="21"/>
      <c r="B5164" s="3" t="s">
        <v>6</v>
      </c>
      <c r="C5164" s="20" t="s">
        <v>392</v>
      </c>
      <c r="D5164" s="21"/>
    </row>
    <row r="5165" spans="1:4" ht="12.75" customHeight="1" x14ac:dyDescent="0.2">
      <c r="A5165" s="21"/>
      <c r="B5165" s="3" t="s">
        <v>8</v>
      </c>
      <c r="C5165" s="20" t="s">
        <v>2259</v>
      </c>
      <c r="D5165" s="21"/>
    </row>
    <row r="5166" spans="1:4" ht="12.75" customHeight="1" x14ac:dyDescent="0.2">
      <c r="A5166" s="21"/>
      <c r="B5166" s="3" t="s">
        <v>9</v>
      </c>
      <c r="C5166" s="20" t="s">
        <v>958</v>
      </c>
      <c r="D5166" s="21"/>
    </row>
    <row r="5167" spans="1:4" ht="12.75" customHeight="1" x14ac:dyDescent="0.2">
      <c r="A5167" s="21"/>
      <c r="B5167" s="3" t="s">
        <v>11</v>
      </c>
      <c r="C5167" s="20" t="s">
        <v>1043</v>
      </c>
      <c r="D5167" s="21"/>
    </row>
    <row r="5168" spans="1:4" ht="12.75" customHeight="1" x14ac:dyDescent="0.2">
      <c r="A5168" s="21"/>
      <c r="B5168" s="3" t="s">
        <v>13</v>
      </c>
      <c r="C5168" s="20" t="s">
        <v>24</v>
      </c>
      <c r="D5168" s="21"/>
    </row>
    <row r="5169" spans="1:4" ht="12.75" customHeight="1" x14ac:dyDescent="0.2">
      <c r="A5169" s="21"/>
      <c r="B5169" s="3" t="s">
        <v>15</v>
      </c>
      <c r="C5169" s="20" t="s">
        <v>24</v>
      </c>
      <c r="D5169" s="21"/>
    </row>
    <row r="5170" spans="1:4" ht="12.75" customHeight="1" x14ac:dyDescent="0.2">
      <c r="A5170" s="21"/>
      <c r="B5170" s="3" t="s">
        <v>16</v>
      </c>
      <c r="C5170" s="20"/>
      <c r="D5170" s="21"/>
    </row>
    <row r="5171" spans="1:4" ht="12.75" customHeight="1" x14ac:dyDescent="0.2">
      <c r="A5171" s="21"/>
      <c r="B5171" s="3" t="s">
        <v>17</v>
      </c>
      <c r="C5171" s="20"/>
      <c r="D5171" s="21"/>
    </row>
    <row r="5172" spans="1:4" ht="12.75" customHeight="1" x14ac:dyDescent="0.2">
      <c r="A5172" s="21"/>
      <c r="B5172" s="20" t="s">
        <v>18</v>
      </c>
      <c r="C5172" s="4" t="s">
        <v>44</v>
      </c>
      <c r="D5172" s="6" t="str">
        <f>HYPERLINK("javascript:void(0)","szellemszablya")</f>
        <v>szellemszablya</v>
      </c>
    </row>
    <row r="5173" spans="1:4" ht="12.75" customHeight="1" x14ac:dyDescent="0.2">
      <c r="A5173" s="21"/>
      <c r="B5173" s="21"/>
      <c r="C5173" s="4" t="s">
        <v>44</v>
      </c>
      <c r="D5173" s="6" t="str">
        <f>HYPERLINK("javascript:void(0)","ködszurony")</f>
        <v>ködszurony</v>
      </c>
    </row>
    <row r="5174" spans="1:4" ht="12.75" customHeight="1" x14ac:dyDescent="0.2">
      <c r="A5174" s="21"/>
      <c r="B5174" s="21"/>
      <c r="C5174" s="4" t="s">
        <v>44</v>
      </c>
      <c r="D5174" s="6" t="str">
        <f>HYPERLINK("javascript:void(0)","kardbojt")</f>
        <v>kardbojt</v>
      </c>
    </row>
    <row r="5175" spans="1:4" ht="12.75" customHeight="1" x14ac:dyDescent="0.2">
      <c r="A5175" s="5"/>
      <c r="B5175" s="2"/>
      <c r="C5175" s="2"/>
      <c r="D5175" s="2"/>
    </row>
    <row r="5176" spans="1:4" ht="12.75" customHeight="1" x14ac:dyDescent="0.2">
      <c r="A5176" s="22" t="str">
        <f>HYPERLINK("javascript:void(0)","gyíkacél görbepenge")</f>
        <v>gyíkacél görbepenge</v>
      </c>
      <c r="B5176" s="21"/>
      <c r="C5176" s="21"/>
      <c r="D5176" s="21"/>
    </row>
    <row r="5177" spans="1:4" ht="12.75" customHeight="1" x14ac:dyDescent="0.2">
      <c r="A5177" s="20"/>
      <c r="B5177" s="2"/>
      <c r="C5177" s="2"/>
      <c r="D5177" s="2"/>
    </row>
    <row r="5178" spans="1:4" ht="12.75" customHeight="1" x14ac:dyDescent="0.2">
      <c r="A5178" s="21"/>
      <c r="B5178" s="3" t="s">
        <v>0</v>
      </c>
      <c r="C5178" s="20" t="s">
        <v>91</v>
      </c>
      <c r="D5178" s="21"/>
    </row>
    <row r="5179" spans="1:4" ht="12.75" customHeight="1" x14ac:dyDescent="0.2">
      <c r="A5179" s="21"/>
      <c r="B5179" s="3" t="s">
        <v>2</v>
      </c>
      <c r="C5179" s="20" t="s">
        <v>1598</v>
      </c>
      <c r="D5179" s="21"/>
    </row>
    <row r="5180" spans="1:4" ht="12.75" customHeight="1" x14ac:dyDescent="0.2">
      <c r="A5180" s="21"/>
      <c r="B5180" s="3" t="s">
        <v>4</v>
      </c>
      <c r="C5180" s="20" t="s">
        <v>2262</v>
      </c>
      <c r="D5180" s="21"/>
    </row>
    <row r="5181" spans="1:4" ht="12.75" customHeight="1" x14ac:dyDescent="0.2">
      <c r="A5181" s="21"/>
      <c r="B5181" s="3" t="s">
        <v>6</v>
      </c>
      <c r="C5181" s="20" t="s">
        <v>107</v>
      </c>
      <c r="D5181" s="21"/>
    </row>
    <row r="5182" spans="1:4" ht="12.75" customHeight="1" x14ac:dyDescent="0.2">
      <c r="A5182" s="21"/>
      <c r="B5182" s="3" t="s">
        <v>8</v>
      </c>
      <c r="C5182" s="20" t="s">
        <v>2262</v>
      </c>
      <c r="D5182" s="21"/>
    </row>
    <row r="5183" spans="1:4" ht="12.75" customHeight="1" x14ac:dyDescent="0.2">
      <c r="A5183" s="21"/>
      <c r="B5183" s="3" t="s">
        <v>9</v>
      </c>
      <c r="C5183" s="20" t="s">
        <v>2264</v>
      </c>
      <c r="D5183" s="21"/>
    </row>
    <row r="5184" spans="1:4" ht="12.75" customHeight="1" x14ac:dyDescent="0.2">
      <c r="A5184" s="21"/>
      <c r="B5184" s="3" t="s">
        <v>11</v>
      </c>
      <c r="C5184" s="20" t="s">
        <v>775</v>
      </c>
      <c r="D5184" s="21"/>
    </row>
    <row r="5185" spans="1:4" ht="12.75" customHeight="1" x14ac:dyDescent="0.2">
      <c r="A5185" s="21"/>
      <c r="B5185" s="3" t="s">
        <v>13</v>
      </c>
      <c r="C5185" s="20" t="s">
        <v>24</v>
      </c>
      <c r="D5185" s="21"/>
    </row>
    <row r="5186" spans="1:4" ht="12.75" customHeight="1" x14ac:dyDescent="0.2">
      <c r="A5186" s="21"/>
      <c r="B5186" s="3" t="s">
        <v>15</v>
      </c>
      <c r="C5186" s="20" t="s">
        <v>24</v>
      </c>
      <c r="D5186" s="21"/>
    </row>
    <row r="5187" spans="1:4" ht="12.75" customHeight="1" x14ac:dyDescent="0.2">
      <c r="A5187" s="21"/>
      <c r="B5187" s="3" t="s">
        <v>16</v>
      </c>
      <c r="C5187" s="20"/>
      <c r="D5187" s="21"/>
    </row>
    <row r="5188" spans="1:4" ht="12.75" customHeight="1" x14ac:dyDescent="0.2">
      <c r="A5188" s="21"/>
      <c r="B5188" s="3" t="s">
        <v>17</v>
      </c>
      <c r="C5188" s="20"/>
      <c r="D5188" s="21"/>
    </row>
    <row r="5189" spans="1:4" ht="12.75" customHeight="1" x14ac:dyDescent="0.2">
      <c r="A5189" s="21"/>
      <c r="B5189" s="20" t="s">
        <v>18</v>
      </c>
      <c r="C5189" s="4" t="s">
        <v>398</v>
      </c>
      <c r="D5189" s="6" t="str">
        <f>HYPERLINK("javascript:void(0)","vízige")</f>
        <v>vízige</v>
      </c>
    </row>
    <row r="5190" spans="1:4" ht="12.75" customHeight="1" x14ac:dyDescent="0.2">
      <c r="A5190" s="21"/>
      <c r="B5190" s="21"/>
      <c r="C5190" s="4" t="s">
        <v>309</v>
      </c>
      <c r="D5190" s="6" t="str">
        <f>HYPERLINK("javascript:void(0)","gránitrög")</f>
        <v>gránitrög</v>
      </c>
    </row>
    <row r="5191" spans="1:4" ht="12.75" customHeight="1" x14ac:dyDescent="0.2">
      <c r="A5191" s="21"/>
      <c r="B5191" s="21"/>
      <c r="C5191" s="4" t="s">
        <v>398</v>
      </c>
      <c r="D5191" s="6" t="str">
        <f>HYPERLINK("javascript:void(0)","lux")</f>
        <v>lux</v>
      </c>
    </row>
    <row r="5192" spans="1:4" ht="12.75" customHeight="1" x14ac:dyDescent="0.2">
      <c r="A5192" s="5"/>
      <c r="B5192" s="2"/>
      <c r="C5192" s="2"/>
      <c r="D5192" s="2"/>
    </row>
    <row r="5193" spans="1:4" ht="12.75" customHeight="1" x14ac:dyDescent="0.2">
      <c r="A5193" s="22" t="str">
        <f>HYPERLINK("javascript:void(0)","kardbojt")</f>
        <v>kardbojt</v>
      </c>
      <c r="B5193" s="21"/>
      <c r="C5193" s="21"/>
      <c r="D5193" s="21"/>
    </row>
    <row r="5194" spans="1:4" ht="12.75" customHeight="1" x14ac:dyDescent="0.2">
      <c r="A5194" s="20"/>
      <c r="B5194" s="2"/>
      <c r="C5194" s="2"/>
      <c r="D5194" s="2"/>
    </row>
    <row r="5195" spans="1:4" ht="12.75" customHeight="1" x14ac:dyDescent="0.2">
      <c r="A5195" s="21"/>
      <c r="B5195" s="3" t="s">
        <v>0</v>
      </c>
      <c r="C5195" s="20" t="s">
        <v>91</v>
      </c>
      <c r="D5195" s="21"/>
    </row>
    <row r="5196" spans="1:4" ht="12.75" customHeight="1" x14ac:dyDescent="0.2">
      <c r="A5196" s="21"/>
      <c r="B5196" s="3" t="s">
        <v>2</v>
      </c>
      <c r="C5196" s="20" t="s">
        <v>1598</v>
      </c>
      <c r="D5196" s="21"/>
    </row>
    <row r="5197" spans="1:4" ht="12.75" customHeight="1" x14ac:dyDescent="0.2">
      <c r="A5197" s="21"/>
      <c r="B5197" s="3" t="s">
        <v>4</v>
      </c>
      <c r="C5197" s="20" t="s">
        <v>1478</v>
      </c>
      <c r="D5197" s="21"/>
    </row>
    <row r="5198" spans="1:4" ht="12.75" customHeight="1" x14ac:dyDescent="0.2">
      <c r="A5198" s="21"/>
      <c r="B5198" s="3" t="s">
        <v>6</v>
      </c>
      <c r="C5198" s="20" t="s">
        <v>21</v>
      </c>
      <c r="D5198" s="21"/>
    </row>
    <row r="5199" spans="1:4" ht="12.75" customHeight="1" x14ac:dyDescent="0.2">
      <c r="A5199" s="21"/>
      <c r="B5199" s="3" t="s">
        <v>8</v>
      </c>
      <c r="C5199" s="20" t="s">
        <v>1478</v>
      </c>
      <c r="D5199" s="21"/>
    </row>
    <row r="5200" spans="1:4" ht="12.75" customHeight="1" x14ac:dyDescent="0.2">
      <c r="A5200" s="21"/>
      <c r="B5200" s="3" t="s">
        <v>9</v>
      </c>
      <c r="C5200" s="20" t="s">
        <v>1991</v>
      </c>
      <c r="D5200" s="21"/>
    </row>
    <row r="5201" spans="1:4" ht="12.75" customHeight="1" x14ac:dyDescent="0.2">
      <c r="A5201" s="21"/>
      <c r="B5201" s="3" t="s">
        <v>11</v>
      </c>
      <c r="C5201" s="20" t="s">
        <v>1159</v>
      </c>
      <c r="D5201" s="21"/>
    </row>
    <row r="5202" spans="1:4" ht="12.75" customHeight="1" x14ac:dyDescent="0.2">
      <c r="A5202" s="21"/>
      <c r="B5202" s="3" t="s">
        <v>13</v>
      </c>
      <c r="C5202" s="20" t="s">
        <v>24</v>
      </c>
      <c r="D5202" s="21"/>
    </row>
    <row r="5203" spans="1:4" ht="12.75" customHeight="1" x14ac:dyDescent="0.2">
      <c r="A5203" s="21"/>
      <c r="B5203" s="3" t="s">
        <v>15</v>
      </c>
      <c r="C5203" s="20" t="s">
        <v>24</v>
      </c>
      <c r="D5203" s="21"/>
    </row>
    <row r="5204" spans="1:4" ht="12.75" customHeight="1" x14ac:dyDescent="0.2">
      <c r="A5204" s="21"/>
      <c r="B5204" s="3" t="s">
        <v>16</v>
      </c>
      <c r="C5204" s="20"/>
      <c r="D5204" s="21"/>
    </row>
    <row r="5205" spans="1:4" ht="12.75" customHeight="1" x14ac:dyDescent="0.2">
      <c r="A5205" s="21"/>
      <c r="B5205" s="3" t="s">
        <v>17</v>
      </c>
      <c r="C5205" s="20"/>
      <c r="D5205" s="21"/>
    </row>
    <row r="5206" spans="1:4" ht="12.75" customHeight="1" x14ac:dyDescent="0.2">
      <c r="A5206" s="21"/>
      <c r="B5206" s="20" t="s">
        <v>18</v>
      </c>
      <c r="C5206" s="4" t="s">
        <v>193</v>
      </c>
      <c r="D5206" s="6" t="str">
        <f>HYPERLINK("javascript:void(0)","ördögpihe")</f>
        <v>ördögpihe</v>
      </c>
    </row>
    <row r="5207" spans="1:4" ht="12.75" customHeight="1" x14ac:dyDescent="0.2">
      <c r="A5207" s="21"/>
      <c r="B5207" s="21"/>
      <c r="C5207" s="4" t="s">
        <v>98</v>
      </c>
      <c r="D5207" s="6" t="str">
        <f>HYPERLINK("javascript:void(0)","rojt")</f>
        <v>rojt</v>
      </c>
    </row>
    <row r="5208" spans="1:4" ht="12.75" customHeight="1" x14ac:dyDescent="0.2">
      <c r="A5208" s="21"/>
      <c r="B5208" s="21"/>
      <c r="C5208" s="4" t="s">
        <v>117</v>
      </c>
      <c r="D5208" s="6" t="str">
        <f>HYPERLINK("javascript:void(0)","rozmáragyar")</f>
        <v>rozmáragyar</v>
      </c>
    </row>
    <row r="5209" spans="1:4" ht="12.75" customHeight="1" x14ac:dyDescent="0.2">
      <c r="A5209" s="5"/>
      <c r="B5209" s="2"/>
      <c r="C5209" s="2"/>
      <c r="D5209" s="2"/>
    </row>
    <row r="5210" spans="1:4" ht="12.75" customHeight="1" x14ac:dyDescent="0.2">
      <c r="A5210" s="22" t="str">
        <f>HYPERLINK("javascript:void(0)","bangitavágó")</f>
        <v>bangitavágó</v>
      </c>
      <c r="B5210" s="21"/>
      <c r="C5210" s="21"/>
      <c r="D5210" s="21"/>
    </row>
    <row r="5211" spans="1:4" ht="12.75" customHeight="1" x14ac:dyDescent="0.2">
      <c r="A5211" s="20"/>
      <c r="B5211" s="2"/>
      <c r="C5211" s="2"/>
      <c r="D5211" s="2"/>
    </row>
    <row r="5212" spans="1:4" ht="12.75" customHeight="1" x14ac:dyDescent="0.2">
      <c r="A5212" s="21"/>
      <c r="B5212" s="3" t="s">
        <v>0</v>
      </c>
      <c r="C5212" s="20" t="s">
        <v>1032</v>
      </c>
      <c r="D5212" s="21"/>
    </row>
    <row r="5213" spans="1:4" ht="12.75" customHeight="1" x14ac:dyDescent="0.2">
      <c r="A5213" s="21"/>
      <c r="B5213" s="3" t="s">
        <v>2</v>
      </c>
      <c r="C5213" s="20" t="s">
        <v>1598</v>
      </c>
      <c r="D5213" s="21"/>
    </row>
    <row r="5214" spans="1:4" ht="12.75" customHeight="1" x14ac:dyDescent="0.2">
      <c r="A5214" s="21"/>
      <c r="B5214" s="3" t="s">
        <v>4</v>
      </c>
      <c r="C5214" s="20" t="s">
        <v>2268</v>
      </c>
      <c r="D5214" s="21"/>
    </row>
    <row r="5215" spans="1:4" ht="12.75" customHeight="1" x14ac:dyDescent="0.2">
      <c r="A5215" s="21"/>
      <c r="B5215" s="3" t="s">
        <v>6</v>
      </c>
      <c r="C5215" s="20" t="s">
        <v>115</v>
      </c>
      <c r="D5215" s="21"/>
    </row>
    <row r="5216" spans="1:4" ht="12.75" customHeight="1" x14ac:dyDescent="0.2">
      <c r="A5216" s="21"/>
      <c r="B5216" s="3" t="s">
        <v>8</v>
      </c>
      <c r="C5216" s="20" t="s">
        <v>2268</v>
      </c>
      <c r="D5216" s="21"/>
    </row>
    <row r="5217" spans="1:4" ht="12.75" customHeight="1" x14ac:dyDescent="0.2">
      <c r="A5217" s="21"/>
      <c r="B5217" s="3" t="s">
        <v>9</v>
      </c>
      <c r="C5217" s="20" t="s">
        <v>2247</v>
      </c>
      <c r="D5217" s="21"/>
    </row>
    <row r="5218" spans="1:4" ht="12.75" customHeight="1" x14ac:dyDescent="0.2">
      <c r="A5218" s="21"/>
      <c r="B5218" s="3" t="s">
        <v>11</v>
      </c>
      <c r="C5218" s="20" t="s">
        <v>1055</v>
      </c>
      <c r="D5218" s="21"/>
    </row>
    <row r="5219" spans="1:4" ht="12.75" customHeight="1" x14ac:dyDescent="0.2">
      <c r="A5219" s="21"/>
      <c r="B5219" s="3" t="s">
        <v>13</v>
      </c>
      <c r="C5219" s="20" t="s">
        <v>24</v>
      </c>
      <c r="D5219" s="21"/>
    </row>
    <row r="5220" spans="1:4" ht="12.75" customHeight="1" x14ac:dyDescent="0.2">
      <c r="A5220" s="21"/>
      <c r="B5220" s="3" t="s">
        <v>15</v>
      </c>
      <c r="C5220" s="20" t="s">
        <v>24</v>
      </c>
      <c r="D5220" s="21"/>
    </row>
    <row r="5221" spans="1:4" ht="12.75" customHeight="1" x14ac:dyDescent="0.2">
      <c r="A5221" s="21"/>
      <c r="B5221" s="3" t="s">
        <v>16</v>
      </c>
      <c r="C5221" s="20"/>
      <c r="D5221" s="21"/>
    </row>
    <row r="5222" spans="1:4" ht="12.75" customHeight="1" x14ac:dyDescent="0.2">
      <c r="A5222" s="21"/>
      <c r="B5222" s="3" t="s">
        <v>17</v>
      </c>
      <c r="C5222" s="20"/>
      <c r="D5222" s="21"/>
    </row>
    <row r="5223" spans="1:4" ht="12.75" customHeight="1" x14ac:dyDescent="0.2">
      <c r="A5223" s="21"/>
      <c r="B5223" s="20" t="s">
        <v>18</v>
      </c>
      <c r="C5223" s="4" t="s">
        <v>132</v>
      </c>
      <c r="D5223" s="6" t="str">
        <f>HYPERLINK("javascript:void(0)","kónya")</f>
        <v>kónya</v>
      </c>
    </row>
    <row r="5224" spans="1:4" ht="12.75" customHeight="1" x14ac:dyDescent="0.2">
      <c r="A5224" s="21"/>
      <c r="B5224" s="21"/>
      <c r="C5224" s="4" t="s">
        <v>309</v>
      </c>
      <c r="D5224" s="6" t="str">
        <f>HYPERLINK("javascript:void(0)","fülcsáp")</f>
        <v>fülcsáp</v>
      </c>
    </row>
    <row r="5225" spans="1:4" ht="12.75" customHeight="1" x14ac:dyDescent="0.2">
      <c r="A5225" s="21"/>
      <c r="B5225" s="21"/>
      <c r="C5225" s="4" t="s">
        <v>44</v>
      </c>
      <c r="D5225" s="6" t="str">
        <f>HYPERLINK("javascript:void(0)","démonkard")</f>
        <v>démonkard</v>
      </c>
    </row>
    <row r="5226" spans="1:4" ht="12.75" customHeight="1" x14ac:dyDescent="0.2">
      <c r="A5226" s="5"/>
      <c r="B5226" s="2"/>
      <c r="C5226" s="2"/>
      <c r="D5226" s="2"/>
    </row>
    <row r="5227" spans="1:4" ht="12.75" customHeight="1" x14ac:dyDescent="0.2">
      <c r="A5227" s="22" t="str">
        <f>HYPERLINK("javascript:void(0)","békejeles mágusölő")</f>
        <v>békejeles mágusölő</v>
      </c>
      <c r="B5227" s="21"/>
      <c r="C5227" s="21"/>
      <c r="D5227" s="21"/>
    </row>
    <row r="5228" spans="1:4" ht="12.75" customHeight="1" x14ac:dyDescent="0.2">
      <c r="A5228" s="20"/>
      <c r="B5228" s="2"/>
      <c r="C5228" s="2"/>
      <c r="D5228" s="2"/>
    </row>
    <row r="5229" spans="1:4" ht="12.75" customHeight="1" x14ac:dyDescent="0.2">
      <c r="A5229" s="21"/>
      <c r="B5229" s="3" t="s">
        <v>0</v>
      </c>
      <c r="C5229" s="20" t="s">
        <v>1032</v>
      </c>
      <c r="D5229" s="21"/>
    </row>
    <row r="5230" spans="1:4" ht="12.75" customHeight="1" x14ac:dyDescent="0.2">
      <c r="A5230" s="21"/>
      <c r="B5230" s="3" t="s">
        <v>2</v>
      </c>
      <c r="C5230" s="20" t="s">
        <v>1598</v>
      </c>
      <c r="D5230" s="21"/>
    </row>
    <row r="5231" spans="1:4" ht="12.75" customHeight="1" x14ac:dyDescent="0.2">
      <c r="A5231" s="21"/>
      <c r="B5231" s="3" t="s">
        <v>4</v>
      </c>
      <c r="C5231" s="20" t="s">
        <v>2271</v>
      </c>
      <c r="D5231" s="21"/>
    </row>
    <row r="5232" spans="1:4" ht="12.75" customHeight="1" x14ac:dyDescent="0.2">
      <c r="A5232" s="21"/>
      <c r="B5232" s="3" t="s">
        <v>6</v>
      </c>
      <c r="C5232" s="20" t="s">
        <v>48</v>
      </c>
      <c r="D5232" s="21"/>
    </row>
    <row r="5233" spans="1:4" ht="12.75" customHeight="1" x14ac:dyDescent="0.2">
      <c r="A5233" s="21"/>
      <c r="B5233" s="3" t="s">
        <v>8</v>
      </c>
      <c r="C5233" s="20" t="s">
        <v>2271</v>
      </c>
      <c r="D5233" s="21"/>
    </row>
    <row r="5234" spans="1:4" ht="12.75" customHeight="1" x14ac:dyDescent="0.2">
      <c r="A5234" s="21"/>
      <c r="B5234" s="3" t="s">
        <v>9</v>
      </c>
      <c r="C5234" s="20" t="s">
        <v>2030</v>
      </c>
      <c r="D5234" s="21"/>
    </row>
    <row r="5235" spans="1:4" ht="12.75" customHeight="1" x14ac:dyDescent="0.2">
      <c r="A5235" s="21"/>
      <c r="B5235" s="3" t="s">
        <v>11</v>
      </c>
      <c r="C5235" s="20" t="s">
        <v>1674</v>
      </c>
      <c r="D5235" s="21"/>
    </row>
    <row r="5236" spans="1:4" ht="12.75" customHeight="1" x14ac:dyDescent="0.2">
      <c r="A5236" s="21"/>
      <c r="B5236" s="3" t="s">
        <v>13</v>
      </c>
      <c r="C5236" s="20" t="s">
        <v>14</v>
      </c>
      <c r="D5236" s="21"/>
    </row>
    <row r="5237" spans="1:4" ht="12.75" customHeight="1" x14ac:dyDescent="0.2">
      <c r="A5237" s="21"/>
      <c r="B5237" s="3" t="s">
        <v>15</v>
      </c>
      <c r="C5237" s="20" t="s">
        <v>24</v>
      </c>
      <c r="D5237" s="21"/>
    </row>
    <row r="5238" spans="1:4" ht="12.75" customHeight="1" x14ac:dyDescent="0.2">
      <c r="A5238" s="21"/>
      <c r="B5238" s="3" t="s">
        <v>16</v>
      </c>
      <c r="C5238" s="20"/>
      <c r="D5238" s="21"/>
    </row>
    <row r="5239" spans="1:4" ht="12.75" customHeight="1" x14ac:dyDescent="0.2">
      <c r="A5239" s="21"/>
      <c r="B5239" s="3" t="s">
        <v>17</v>
      </c>
      <c r="C5239" s="20"/>
      <c r="D5239" s="21"/>
    </row>
    <row r="5240" spans="1:4" ht="12.75" customHeight="1" x14ac:dyDescent="0.2">
      <c r="A5240" s="21"/>
      <c r="B5240" s="20" t="s">
        <v>18</v>
      </c>
      <c r="C5240" s="4" t="s">
        <v>193</v>
      </c>
      <c r="D5240" s="6" t="str">
        <f>HYPERLINK("javascript:void(0)","fülcsáp")</f>
        <v>fülcsáp</v>
      </c>
    </row>
    <row r="5241" spans="1:4" ht="12.75" customHeight="1" x14ac:dyDescent="0.2">
      <c r="A5241" s="21"/>
      <c r="B5241" s="21"/>
      <c r="C5241" s="4" t="s">
        <v>244</v>
      </c>
      <c r="D5241" s="6" t="str">
        <f>HYPERLINK("javascript:void(0)","békítő")</f>
        <v>békítő</v>
      </c>
    </row>
    <row r="5242" spans="1:4" ht="12.75" customHeight="1" x14ac:dyDescent="0.2">
      <c r="A5242" s="21"/>
      <c r="B5242" s="21"/>
      <c r="C5242" s="4" t="s">
        <v>1536</v>
      </c>
      <c r="D5242" s="6" t="str">
        <f>HYPERLINK("javascript:void(0)","vitorla")</f>
        <v>vitorla</v>
      </c>
    </row>
    <row r="5243" spans="1:4" ht="12.75" customHeight="1" x14ac:dyDescent="0.2">
      <c r="A5243" s="5"/>
      <c r="B5243" s="2"/>
      <c r="C5243" s="2"/>
      <c r="D5243" s="2"/>
    </row>
    <row r="5244" spans="1:4" ht="12.75" customHeight="1" x14ac:dyDescent="0.2">
      <c r="A5244" s="22" t="str">
        <f>HYPERLINK("javascript:void(0)","démonhandzsár")</f>
        <v>démonhandzsár</v>
      </c>
      <c r="B5244" s="21"/>
      <c r="C5244" s="21"/>
      <c r="D5244" s="21"/>
    </row>
    <row r="5245" spans="1:4" ht="12.75" customHeight="1" x14ac:dyDescent="0.2">
      <c r="A5245" s="20"/>
      <c r="B5245" s="2"/>
      <c r="C5245" s="2"/>
      <c r="D5245" s="2"/>
    </row>
    <row r="5246" spans="1:4" ht="12.75" customHeight="1" x14ac:dyDescent="0.2">
      <c r="A5246" s="21"/>
      <c r="B5246" s="3" t="s">
        <v>0</v>
      </c>
      <c r="C5246" s="20" t="s">
        <v>99</v>
      </c>
      <c r="D5246" s="21"/>
    </row>
    <row r="5247" spans="1:4" ht="12.75" customHeight="1" x14ac:dyDescent="0.2">
      <c r="A5247" s="21"/>
      <c r="B5247" s="3" t="s">
        <v>2</v>
      </c>
      <c r="C5247" s="20" t="s">
        <v>1598</v>
      </c>
      <c r="D5247" s="21"/>
    </row>
    <row r="5248" spans="1:4" ht="12.75" customHeight="1" x14ac:dyDescent="0.2">
      <c r="A5248" s="21"/>
      <c r="B5248" s="3" t="s">
        <v>4</v>
      </c>
      <c r="C5248" s="20" t="s">
        <v>2272</v>
      </c>
      <c r="D5248" s="21"/>
    </row>
    <row r="5249" spans="1:4" ht="12.75" customHeight="1" x14ac:dyDescent="0.2">
      <c r="A5249" s="21"/>
      <c r="B5249" s="3" t="s">
        <v>6</v>
      </c>
      <c r="C5249" s="20" t="s">
        <v>178</v>
      </c>
      <c r="D5249" s="21"/>
    </row>
    <row r="5250" spans="1:4" ht="12.75" customHeight="1" x14ac:dyDescent="0.2">
      <c r="A5250" s="21"/>
      <c r="B5250" s="3" t="s">
        <v>8</v>
      </c>
      <c r="C5250" s="20" t="s">
        <v>2272</v>
      </c>
      <c r="D5250" s="21"/>
    </row>
    <row r="5251" spans="1:4" ht="12.75" customHeight="1" x14ac:dyDescent="0.2">
      <c r="A5251" s="21"/>
      <c r="B5251" s="3" t="s">
        <v>9</v>
      </c>
      <c r="C5251" s="20" t="s">
        <v>2273</v>
      </c>
      <c r="D5251" s="21"/>
    </row>
    <row r="5252" spans="1:4" ht="12.75" customHeight="1" x14ac:dyDescent="0.2">
      <c r="A5252" s="21"/>
      <c r="B5252" s="3" t="s">
        <v>11</v>
      </c>
      <c r="C5252" s="20" t="s">
        <v>1062</v>
      </c>
      <c r="D5252" s="21"/>
    </row>
    <row r="5253" spans="1:4" ht="12.75" customHeight="1" x14ac:dyDescent="0.2">
      <c r="A5253" s="21"/>
      <c r="B5253" s="3" t="s">
        <v>13</v>
      </c>
      <c r="C5253" s="20" t="s">
        <v>24</v>
      </c>
      <c r="D5253" s="21"/>
    </row>
    <row r="5254" spans="1:4" ht="12.75" customHeight="1" x14ac:dyDescent="0.2">
      <c r="A5254" s="21"/>
      <c r="B5254" s="3" t="s">
        <v>15</v>
      </c>
      <c r="C5254" s="20" t="s">
        <v>24</v>
      </c>
      <c r="D5254" s="21"/>
    </row>
    <row r="5255" spans="1:4" ht="12.75" customHeight="1" x14ac:dyDescent="0.2">
      <c r="A5255" s="21"/>
      <c r="B5255" s="3" t="s">
        <v>16</v>
      </c>
      <c r="C5255" s="20"/>
      <c r="D5255" s="21"/>
    </row>
    <row r="5256" spans="1:4" ht="12.75" customHeight="1" x14ac:dyDescent="0.2">
      <c r="A5256" s="21"/>
      <c r="B5256" s="3" t="s">
        <v>17</v>
      </c>
      <c r="C5256" s="20"/>
      <c r="D5256" s="21"/>
    </row>
    <row r="5257" spans="1:4" ht="12.75" customHeight="1" x14ac:dyDescent="0.2">
      <c r="A5257" s="21"/>
      <c r="B5257" s="20" t="s">
        <v>18</v>
      </c>
      <c r="C5257" s="4" t="s">
        <v>98</v>
      </c>
      <c r="D5257" s="6" t="str">
        <f>HYPERLINK("javascript:void(0)","röpkavics")</f>
        <v>röpkavics</v>
      </c>
    </row>
    <row r="5258" spans="1:4" ht="12.75" customHeight="1" x14ac:dyDescent="0.2">
      <c r="A5258" s="21"/>
      <c r="B5258" s="21"/>
      <c r="C5258" s="4" t="s">
        <v>1494</v>
      </c>
      <c r="D5258" s="6" t="str">
        <f>HYPERLINK("javascript:void(0)","ködpikkely")</f>
        <v>ködpikkely</v>
      </c>
    </row>
    <row r="5259" spans="1:4" ht="12.75" customHeight="1" x14ac:dyDescent="0.2">
      <c r="A5259" s="21"/>
      <c r="B5259" s="21"/>
      <c r="C5259" s="4" t="s">
        <v>244</v>
      </c>
      <c r="D5259" s="6" t="str">
        <f>HYPERLINK("javascript:void(0)","rozmáragyar")</f>
        <v>rozmáragyar</v>
      </c>
    </row>
    <row r="5260" spans="1:4" ht="12.75" customHeight="1" x14ac:dyDescent="0.2">
      <c r="A5260" s="5"/>
      <c r="B5260" s="2"/>
      <c r="C5260" s="2"/>
      <c r="D5260" s="2"/>
    </row>
    <row r="5261" spans="1:4" ht="12.75" customHeight="1" x14ac:dyDescent="0.2">
      <c r="A5261" s="22" t="str">
        <f>HYPERLINK("javascript:void(0)","gyíkacél vagdaló")</f>
        <v>gyíkacél vagdaló</v>
      </c>
      <c r="B5261" s="21"/>
      <c r="C5261" s="21"/>
      <c r="D5261" s="21"/>
    </row>
    <row r="5262" spans="1:4" ht="12.75" customHeight="1" x14ac:dyDescent="0.2">
      <c r="A5262" s="20"/>
      <c r="B5262" s="2"/>
      <c r="C5262" s="2"/>
      <c r="D5262" s="2"/>
    </row>
    <row r="5263" spans="1:4" ht="12.75" customHeight="1" x14ac:dyDescent="0.2">
      <c r="A5263" s="21"/>
      <c r="B5263" s="3" t="s">
        <v>0</v>
      </c>
      <c r="C5263" s="20" t="s">
        <v>99</v>
      </c>
      <c r="D5263" s="21"/>
    </row>
    <row r="5264" spans="1:4" ht="12.75" customHeight="1" x14ac:dyDescent="0.2">
      <c r="A5264" s="21"/>
      <c r="B5264" s="3" t="s">
        <v>2</v>
      </c>
      <c r="C5264" s="20" t="s">
        <v>1598</v>
      </c>
      <c r="D5264" s="21"/>
    </row>
    <row r="5265" spans="1:4" ht="12.75" customHeight="1" x14ac:dyDescent="0.2">
      <c r="A5265" s="21"/>
      <c r="B5265" s="3" t="s">
        <v>4</v>
      </c>
      <c r="C5265" s="20" t="s">
        <v>2275</v>
      </c>
      <c r="D5265" s="21"/>
    </row>
    <row r="5266" spans="1:4" ht="12.75" customHeight="1" x14ac:dyDescent="0.2">
      <c r="A5266" s="21"/>
      <c r="B5266" s="3" t="s">
        <v>6</v>
      </c>
      <c r="C5266" s="20" t="s">
        <v>107</v>
      </c>
      <c r="D5266" s="21"/>
    </row>
    <row r="5267" spans="1:4" ht="12.75" customHeight="1" x14ac:dyDescent="0.2">
      <c r="A5267" s="21"/>
      <c r="B5267" s="3" t="s">
        <v>8</v>
      </c>
      <c r="C5267" s="20" t="s">
        <v>2275</v>
      </c>
      <c r="D5267" s="21"/>
    </row>
    <row r="5268" spans="1:4" ht="12.75" customHeight="1" x14ac:dyDescent="0.2">
      <c r="A5268" s="21"/>
      <c r="B5268" s="3" t="s">
        <v>9</v>
      </c>
      <c r="C5268" s="20" t="s">
        <v>2276</v>
      </c>
      <c r="D5268" s="21"/>
    </row>
    <row r="5269" spans="1:4" ht="12.75" customHeight="1" x14ac:dyDescent="0.2">
      <c r="A5269" s="21"/>
      <c r="B5269" s="3" t="s">
        <v>11</v>
      </c>
      <c r="C5269" s="20" t="s">
        <v>785</v>
      </c>
      <c r="D5269" s="21"/>
    </row>
    <row r="5270" spans="1:4" ht="12.75" customHeight="1" x14ac:dyDescent="0.2">
      <c r="A5270" s="21"/>
      <c r="B5270" s="3" t="s">
        <v>13</v>
      </c>
      <c r="C5270" s="20" t="s">
        <v>24</v>
      </c>
      <c r="D5270" s="21"/>
    </row>
    <row r="5271" spans="1:4" ht="12.75" customHeight="1" x14ac:dyDescent="0.2">
      <c r="A5271" s="21"/>
      <c r="B5271" s="3" t="s">
        <v>15</v>
      </c>
      <c r="C5271" s="20" t="s">
        <v>24</v>
      </c>
      <c r="D5271" s="21"/>
    </row>
    <row r="5272" spans="1:4" ht="12.75" customHeight="1" x14ac:dyDescent="0.2">
      <c r="A5272" s="21"/>
      <c r="B5272" s="3" t="s">
        <v>16</v>
      </c>
      <c r="C5272" s="20"/>
      <c r="D5272" s="21"/>
    </row>
    <row r="5273" spans="1:4" ht="12.75" customHeight="1" x14ac:dyDescent="0.2">
      <c r="A5273" s="21"/>
      <c r="B5273" s="3" t="s">
        <v>17</v>
      </c>
      <c r="C5273" s="20"/>
      <c r="D5273" s="21"/>
    </row>
    <row r="5274" spans="1:4" ht="12.75" customHeight="1" x14ac:dyDescent="0.2">
      <c r="A5274" s="21"/>
      <c r="B5274" s="20" t="s">
        <v>18</v>
      </c>
      <c r="C5274" s="4" t="s">
        <v>369</v>
      </c>
      <c r="D5274" s="6" t="str">
        <f>HYPERLINK("javascript:void(0)","csontszilánk")</f>
        <v>csontszilánk</v>
      </c>
    </row>
    <row r="5275" spans="1:4" ht="12.75" customHeight="1" x14ac:dyDescent="0.2">
      <c r="A5275" s="21"/>
      <c r="B5275" s="21"/>
      <c r="C5275" s="4" t="s">
        <v>309</v>
      </c>
      <c r="D5275" s="6" t="str">
        <f>HYPERLINK("javascript:void(0)","bigapata")</f>
        <v>bigapata</v>
      </c>
    </row>
    <row r="5276" spans="1:4" ht="12.75" customHeight="1" x14ac:dyDescent="0.2">
      <c r="A5276" s="21"/>
      <c r="B5276" s="21"/>
      <c r="C5276" s="4" t="s">
        <v>193</v>
      </c>
      <c r="D5276" s="6" t="str">
        <f>HYPERLINK("javascript:void(0)","hőgolyó")</f>
        <v>hőgolyó</v>
      </c>
    </row>
    <row r="5277" spans="1:4" ht="12.75" customHeight="1" x14ac:dyDescent="0.2">
      <c r="A5277" s="5"/>
      <c r="B5277" s="2"/>
      <c r="C5277" s="2"/>
      <c r="D5277" s="2"/>
    </row>
    <row r="5278" spans="1:4" ht="12.75" customHeight="1" x14ac:dyDescent="0.2">
      <c r="A5278" s="22" t="str">
        <f>HYPERLINK("javascript:void(0)","övsuhintó")</f>
        <v>övsuhintó</v>
      </c>
      <c r="B5278" s="21"/>
      <c r="C5278" s="21"/>
      <c r="D5278" s="21"/>
    </row>
    <row r="5279" spans="1:4" ht="12.75" customHeight="1" x14ac:dyDescent="0.2">
      <c r="A5279" s="20"/>
      <c r="B5279" s="2"/>
      <c r="C5279" s="2"/>
      <c r="D5279" s="2"/>
    </row>
    <row r="5280" spans="1:4" ht="12.75" customHeight="1" x14ac:dyDescent="0.2">
      <c r="A5280" s="21"/>
      <c r="B5280" s="3" t="s">
        <v>0</v>
      </c>
      <c r="C5280" s="20" t="s">
        <v>341</v>
      </c>
      <c r="D5280" s="21"/>
    </row>
    <row r="5281" spans="1:4" ht="12.75" customHeight="1" x14ac:dyDescent="0.2">
      <c r="A5281" s="21"/>
      <c r="B5281" s="3" t="s">
        <v>2</v>
      </c>
      <c r="C5281" s="20" t="s">
        <v>1598</v>
      </c>
      <c r="D5281" s="21"/>
    </row>
    <row r="5282" spans="1:4" ht="12.75" customHeight="1" x14ac:dyDescent="0.2">
      <c r="A5282" s="21"/>
      <c r="B5282" s="3" t="s">
        <v>4</v>
      </c>
      <c r="C5282" s="20" t="s">
        <v>2279</v>
      </c>
      <c r="D5282" s="21"/>
    </row>
    <row r="5283" spans="1:4" ht="12.75" customHeight="1" x14ac:dyDescent="0.2">
      <c r="A5283" s="21"/>
      <c r="B5283" s="3" t="s">
        <v>6</v>
      </c>
      <c r="C5283" s="20" t="s">
        <v>178</v>
      </c>
      <c r="D5283" s="21"/>
    </row>
    <row r="5284" spans="1:4" ht="12.75" customHeight="1" x14ac:dyDescent="0.2">
      <c r="A5284" s="21"/>
      <c r="B5284" s="3" t="s">
        <v>8</v>
      </c>
      <c r="C5284" s="20" t="s">
        <v>2279</v>
      </c>
      <c r="D5284" s="21"/>
    </row>
    <row r="5285" spans="1:4" ht="12.75" customHeight="1" x14ac:dyDescent="0.2">
      <c r="A5285" s="21"/>
      <c r="B5285" s="3" t="s">
        <v>9</v>
      </c>
      <c r="C5285" s="20" t="s">
        <v>1496</v>
      </c>
      <c r="D5285" s="21"/>
    </row>
    <row r="5286" spans="1:4" ht="12.75" customHeight="1" x14ac:dyDescent="0.2">
      <c r="A5286" s="21"/>
      <c r="B5286" s="3" t="s">
        <v>11</v>
      </c>
      <c r="C5286" s="20" t="s">
        <v>1071</v>
      </c>
      <c r="D5286" s="21"/>
    </row>
    <row r="5287" spans="1:4" ht="12.75" customHeight="1" x14ac:dyDescent="0.2">
      <c r="A5287" s="21"/>
      <c r="B5287" s="3" t="s">
        <v>13</v>
      </c>
      <c r="C5287" s="20" t="s">
        <v>24</v>
      </c>
      <c r="D5287" s="21"/>
    </row>
    <row r="5288" spans="1:4" ht="12.75" customHeight="1" x14ac:dyDescent="0.2">
      <c r="A5288" s="21"/>
      <c r="B5288" s="3" t="s">
        <v>15</v>
      </c>
      <c r="C5288" s="20" t="s">
        <v>24</v>
      </c>
      <c r="D5288" s="21"/>
    </row>
    <row r="5289" spans="1:4" ht="12.75" customHeight="1" x14ac:dyDescent="0.2">
      <c r="A5289" s="21"/>
      <c r="B5289" s="3" t="s">
        <v>16</v>
      </c>
      <c r="C5289" s="20"/>
      <c r="D5289" s="21"/>
    </row>
    <row r="5290" spans="1:4" ht="12.75" customHeight="1" x14ac:dyDescent="0.2">
      <c r="A5290" s="21"/>
      <c r="B5290" s="3" t="s">
        <v>17</v>
      </c>
      <c r="C5290" s="20"/>
      <c r="D5290" s="21"/>
    </row>
    <row r="5291" spans="1:4" ht="12.75" customHeight="1" x14ac:dyDescent="0.2">
      <c r="A5291" s="21"/>
      <c r="B5291" s="20" t="s">
        <v>18</v>
      </c>
      <c r="C5291" s="4" t="s">
        <v>44</v>
      </c>
      <c r="D5291" s="6" t="str">
        <f>HYPERLINK("javascript:void(0)","bangitavágó")</f>
        <v>bangitavágó</v>
      </c>
    </row>
    <row r="5292" spans="1:4" ht="12.75" customHeight="1" x14ac:dyDescent="0.2">
      <c r="A5292" s="21"/>
      <c r="B5292" s="21"/>
      <c r="C5292" s="4" t="s">
        <v>44</v>
      </c>
      <c r="D5292" s="6" t="str">
        <f>HYPERLINK("javascript:void(0)","cingulopenge")</f>
        <v>cingulopenge</v>
      </c>
    </row>
    <row r="5293" spans="1:4" ht="12.75" customHeight="1" x14ac:dyDescent="0.2">
      <c r="A5293" s="21"/>
      <c r="B5293" s="21"/>
      <c r="C5293" s="4" t="s">
        <v>44</v>
      </c>
      <c r="D5293" s="6" t="str">
        <f>HYPERLINK("javascript:void(0)","démonhandzsár")</f>
        <v>démonhandzsár</v>
      </c>
    </row>
    <row r="5294" spans="1:4" ht="12.75" customHeight="1" x14ac:dyDescent="0.2">
      <c r="A5294" s="5"/>
      <c r="B5294" s="2"/>
      <c r="C5294" s="2"/>
      <c r="D5294" s="2"/>
    </row>
    <row r="5295" spans="1:4" ht="12.75" customHeight="1" x14ac:dyDescent="0.2">
      <c r="A5295" s="22" t="str">
        <f>HYPERLINK("javascript:void(0)","képtelen mágusölő")</f>
        <v>képtelen mágusölő</v>
      </c>
      <c r="B5295" s="21"/>
      <c r="C5295" s="21"/>
      <c r="D5295" s="21"/>
    </row>
    <row r="5296" spans="1:4" ht="12.75" customHeight="1" x14ac:dyDescent="0.2">
      <c r="A5296" s="20"/>
      <c r="B5296" s="2"/>
      <c r="C5296" s="2"/>
      <c r="D5296" s="2"/>
    </row>
    <row r="5297" spans="1:4" ht="12.75" customHeight="1" x14ac:dyDescent="0.2">
      <c r="A5297" s="21"/>
      <c r="B5297" s="3" t="s">
        <v>0</v>
      </c>
      <c r="C5297" s="20" t="s">
        <v>341</v>
      </c>
      <c r="D5297" s="21"/>
    </row>
    <row r="5298" spans="1:4" ht="12.75" customHeight="1" x14ac:dyDescent="0.2">
      <c r="A5298" s="21"/>
      <c r="B5298" s="3" t="s">
        <v>2</v>
      </c>
      <c r="C5298" s="20" t="s">
        <v>1598</v>
      </c>
      <c r="D5298" s="21"/>
    </row>
    <row r="5299" spans="1:4" ht="12.75" customHeight="1" x14ac:dyDescent="0.2">
      <c r="A5299" s="21"/>
      <c r="B5299" s="3" t="s">
        <v>4</v>
      </c>
      <c r="C5299" s="20" t="s">
        <v>2282</v>
      </c>
      <c r="D5299" s="21"/>
    </row>
    <row r="5300" spans="1:4" ht="12.75" customHeight="1" x14ac:dyDescent="0.2">
      <c r="A5300" s="21"/>
      <c r="B5300" s="3" t="s">
        <v>6</v>
      </c>
      <c r="C5300" s="20" t="s">
        <v>48</v>
      </c>
      <c r="D5300" s="21"/>
    </row>
    <row r="5301" spans="1:4" ht="12.75" customHeight="1" x14ac:dyDescent="0.2">
      <c r="A5301" s="21"/>
      <c r="B5301" s="3" t="s">
        <v>8</v>
      </c>
      <c r="C5301" s="20" t="s">
        <v>2282</v>
      </c>
      <c r="D5301" s="21"/>
    </row>
    <row r="5302" spans="1:4" ht="12.75" customHeight="1" x14ac:dyDescent="0.2">
      <c r="A5302" s="21"/>
      <c r="B5302" s="3" t="s">
        <v>9</v>
      </c>
      <c r="C5302" s="20" t="s">
        <v>1185</v>
      </c>
      <c r="D5302" s="21"/>
    </row>
    <row r="5303" spans="1:4" ht="12.75" customHeight="1" x14ac:dyDescent="0.2">
      <c r="A5303" s="21"/>
      <c r="B5303" s="3" t="s">
        <v>11</v>
      </c>
      <c r="C5303" s="20" t="s">
        <v>2160</v>
      </c>
      <c r="D5303" s="21"/>
    </row>
    <row r="5304" spans="1:4" ht="12.75" customHeight="1" x14ac:dyDescent="0.2">
      <c r="A5304" s="21"/>
      <c r="B5304" s="3" t="s">
        <v>13</v>
      </c>
      <c r="C5304" s="20" t="s">
        <v>14</v>
      </c>
      <c r="D5304" s="21"/>
    </row>
    <row r="5305" spans="1:4" ht="12.75" customHeight="1" x14ac:dyDescent="0.2">
      <c r="A5305" s="21"/>
      <c r="B5305" s="3" t="s">
        <v>15</v>
      </c>
      <c r="C5305" s="20" t="s">
        <v>24</v>
      </c>
      <c r="D5305" s="21"/>
    </row>
    <row r="5306" spans="1:4" ht="12.75" customHeight="1" x14ac:dyDescent="0.2">
      <c r="A5306" s="21"/>
      <c r="B5306" s="3" t="s">
        <v>16</v>
      </c>
      <c r="C5306" s="20"/>
      <c r="D5306" s="21"/>
    </row>
    <row r="5307" spans="1:4" ht="12.75" customHeight="1" x14ac:dyDescent="0.2">
      <c r="A5307" s="21"/>
      <c r="B5307" s="3" t="s">
        <v>17</v>
      </c>
      <c r="C5307" s="20"/>
      <c r="D5307" s="21"/>
    </row>
    <row r="5308" spans="1:4" ht="12.75" customHeight="1" x14ac:dyDescent="0.2">
      <c r="A5308" s="21"/>
      <c r="B5308" s="20" t="s">
        <v>18</v>
      </c>
      <c r="C5308" s="4" t="s">
        <v>327</v>
      </c>
      <c r="D5308" s="6" t="str">
        <f>HYPERLINK("javascript:void(0)","ködpikkely")</f>
        <v>ködpikkely</v>
      </c>
    </row>
    <row r="5309" spans="1:4" ht="12.75" customHeight="1" x14ac:dyDescent="0.2">
      <c r="A5309" s="21"/>
      <c r="B5309" s="21"/>
      <c r="C5309" s="4" t="s">
        <v>269</v>
      </c>
      <c r="D5309" s="6" t="str">
        <f>HYPERLINK("javascript:void(0)","rémkép")</f>
        <v>rémkép</v>
      </c>
    </row>
    <row r="5310" spans="1:4" ht="12.75" customHeight="1" x14ac:dyDescent="0.2">
      <c r="A5310" s="21"/>
      <c r="B5310" s="21"/>
      <c r="C5310" s="4" t="s">
        <v>265</v>
      </c>
      <c r="D5310" s="6" t="str">
        <f>HYPERLINK("javascript:void(0)","sárkányzsák")</f>
        <v>sárkányzsák</v>
      </c>
    </row>
    <row r="5311" spans="1:4" ht="12.75" customHeight="1" x14ac:dyDescent="0.2">
      <c r="A5311" s="5"/>
      <c r="B5311" s="2"/>
      <c r="C5311" s="2"/>
      <c r="D5311" s="2"/>
    </row>
    <row r="5312" spans="1:4" ht="12.75" customHeight="1" x14ac:dyDescent="0.2">
      <c r="A5312" s="22" t="str">
        <f>HYPERLINK("javascript:void(0)","cingulopenge")</f>
        <v>cingulopenge</v>
      </c>
      <c r="B5312" s="21"/>
      <c r="C5312" s="21"/>
      <c r="D5312" s="21"/>
    </row>
    <row r="5313" spans="1:4" ht="12.75" customHeight="1" x14ac:dyDescent="0.2">
      <c r="A5313" s="20"/>
      <c r="B5313" s="2"/>
      <c r="C5313" s="2"/>
      <c r="D5313" s="2"/>
    </row>
    <row r="5314" spans="1:4" ht="12.75" customHeight="1" x14ac:dyDescent="0.2">
      <c r="A5314" s="21"/>
      <c r="B5314" s="3" t="s">
        <v>0</v>
      </c>
      <c r="C5314" s="20" t="s">
        <v>341</v>
      </c>
      <c r="D5314" s="21"/>
    </row>
    <row r="5315" spans="1:4" ht="12.75" customHeight="1" x14ac:dyDescent="0.2">
      <c r="A5315" s="21"/>
      <c r="B5315" s="3" t="s">
        <v>2</v>
      </c>
      <c r="C5315" s="20" t="s">
        <v>1598</v>
      </c>
      <c r="D5315" s="21"/>
    </row>
    <row r="5316" spans="1:4" ht="12.75" customHeight="1" x14ac:dyDescent="0.2">
      <c r="A5316" s="21"/>
      <c r="B5316" s="3" t="s">
        <v>4</v>
      </c>
      <c r="C5316" s="20" t="s">
        <v>1478</v>
      </c>
      <c r="D5316" s="21"/>
    </row>
    <row r="5317" spans="1:4" ht="12.75" customHeight="1" x14ac:dyDescent="0.2">
      <c r="A5317" s="21"/>
      <c r="B5317" s="3" t="s">
        <v>6</v>
      </c>
      <c r="C5317" s="20" t="s">
        <v>21</v>
      </c>
      <c r="D5317" s="21"/>
    </row>
    <row r="5318" spans="1:4" ht="12.75" customHeight="1" x14ac:dyDescent="0.2">
      <c r="A5318" s="21"/>
      <c r="B5318" s="3" t="s">
        <v>8</v>
      </c>
      <c r="C5318" s="20" t="s">
        <v>1478</v>
      </c>
      <c r="D5318" s="21"/>
    </row>
    <row r="5319" spans="1:4" ht="12.75" customHeight="1" x14ac:dyDescent="0.2">
      <c r="A5319" s="21"/>
      <c r="B5319" s="3" t="s">
        <v>9</v>
      </c>
      <c r="C5319" s="20" t="s">
        <v>210</v>
      </c>
      <c r="D5319" s="21"/>
    </row>
    <row r="5320" spans="1:4" ht="12.75" customHeight="1" x14ac:dyDescent="0.2">
      <c r="A5320" s="21"/>
      <c r="B5320" s="3" t="s">
        <v>11</v>
      </c>
      <c r="C5320" s="20" t="s">
        <v>1528</v>
      </c>
      <c r="D5320" s="21"/>
    </row>
    <row r="5321" spans="1:4" ht="12.75" customHeight="1" x14ac:dyDescent="0.2">
      <c r="A5321" s="21"/>
      <c r="B5321" s="3" t="s">
        <v>13</v>
      </c>
      <c r="C5321" s="20" t="s">
        <v>24</v>
      </c>
      <c r="D5321" s="21"/>
    </row>
    <row r="5322" spans="1:4" ht="12.75" customHeight="1" x14ac:dyDescent="0.2">
      <c r="A5322" s="21"/>
      <c r="B5322" s="3" t="s">
        <v>15</v>
      </c>
      <c r="C5322" s="20" t="s">
        <v>24</v>
      </c>
      <c r="D5322" s="21"/>
    </row>
    <row r="5323" spans="1:4" ht="12.75" customHeight="1" x14ac:dyDescent="0.2">
      <c r="A5323" s="21"/>
      <c r="B5323" s="3" t="s">
        <v>16</v>
      </c>
      <c r="C5323" s="20"/>
      <c r="D5323" s="21"/>
    </row>
    <row r="5324" spans="1:4" ht="12.75" customHeight="1" x14ac:dyDescent="0.2">
      <c r="A5324" s="21"/>
      <c r="B5324" s="3" t="s">
        <v>17</v>
      </c>
      <c r="C5324" s="20"/>
      <c r="D5324" s="21"/>
    </row>
    <row r="5325" spans="1:4" ht="12.75" customHeight="1" x14ac:dyDescent="0.2">
      <c r="A5325" s="21"/>
      <c r="B5325" s="20" t="s">
        <v>18</v>
      </c>
      <c r="C5325" s="4" t="s">
        <v>335</v>
      </c>
      <c r="D5325" s="6" t="str">
        <f>HYPERLINK("javascript:void(0)","angyalhaj")</f>
        <v>angyalhaj</v>
      </c>
    </row>
    <row r="5326" spans="1:4" ht="12.75" customHeight="1" x14ac:dyDescent="0.2">
      <c r="A5326" s="21"/>
      <c r="B5326" s="21"/>
      <c r="C5326" s="4" t="s">
        <v>98</v>
      </c>
      <c r="D5326" s="6" t="str">
        <f>HYPERLINK("javascript:void(0)","cingulum")</f>
        <v>cingulum</v>
      </c>
    </row>
    <row r="5327" spans="1:4" ht="12.75" customHeight="1" x14ac:dyDescent="0.2">
      <c r="A5327" s="21"/>
      <c r="B5327" s="21"/>
      <c r="C5327" s="4" t="s">
        <v>780</v>
      </c>
      <c r="D5327" s="6" t="str">
        <f>HYPERLINK("javascript:void(0)","orrkarika")</f>
        <v>orrkarika</v>
      </c>
    </row>
    <row r="5328" spans="1:4" ht="12.75" customHeight="1" x14ac:dyDescent="0.2">
      <c r="A5328" s="5"/>
      <c r="B5328" s="2"/>
      <c r="C5328" s="2"/>
      <c r="D5328" s="2"/>
    </row>
    <row r="5329" spans="1:4" ht="12.75" customHeight="1" x14ac:dyDescent="0.2">
      <c r="A5329" s="22" t="str">
        <f>HYPERLINK("javascript:void(0)","démonszeletelő")</f>
        <v>démonszeletelő</v>
      </c>
      <c r="B5329" s="21"/>
      <c r="C5329" s="21"/>
      <c r="D5329" s="21"/>
    </row>
    <row r="5330" spans="1:4" ht="12.75" customHeight="1" x14ac:dyDescent="0.2">
      <c r="A5330" s="20"/>
      <c r="B5330" s="2"/>
      <c r="C5330" s="2"/>
      <c r="D5330" s="2"/>
    </row>
    <row r="5331" spans="1:4" ht="12.75" customHeight="1" x14ac:dyDescent="0.2">
      <c r="A5331" s="21"/>
      <c r="B5331" s="3" t="s">
        <v>0</v>
      </c>
      <c r="C5331" s="20" t="s">
        <v>1060</v>
      </c>
      <c r="D5331" s="21"/>
    </row>
    <row r="5332" spans="1:4" ht="12.75" customHeight="1" x14ac:dyDescent="0.2">
      <c r="A5332" s="21"/>
      <c r="B5332" s="3" t="s">
        <v>2</v>
      </c>
      <c r="C5332" s="20" t="s">
        <v>1598</v>
      </c>
      <c r="D5332" s="21"/>
    </row>
    <row r="5333" spans="1:4" ht="12.75" customHeight="1" x14ac:dyDescent="0.2">
      <c r="A5333" s="21"/>
      <c r="B5333" s="3" t="s">
        <v>4</v>
      </c>
      <c r="C5333" s="20" t="s">
        <v>2288</v>
      </c>
      <c r="D5333" s="21"/>
    </row>
    <row r="5334" spans="1:4" ht="12.75" customHeight="1" x14ac:dyDescent="0.2">
      <c r="A5334" s="21"/>
      <c r="B5334" s="3" t="s">
        <v>6</v>
      </c>
      <c r="C5334" s="20" t="s">
        <v>260</v>
      </c>
      <c r="D5334" s="21"/>
    </row>
    <row r="5335" spans="1:4" ht="12.75" customHeight="1" x14ac:dyDescent="0.2">
      <c r="A5335" s="21"/>
      <c r="B5335" s="3" t="s">
        <v>8</v>
      </c>
      <c r="C5335" s="20" t="s">
        <v>2288</v>
      </c>
      <c r="D5335" s="21"/>
    </row>
    <row r="5336" spans="1:4" ht="12.75" customHeight="1" x14ac:dyDescent="0.2">
      <c r="A5336" s="21"/>
      <c r="B5336" s="3" t="s">
        <v>9</v>
      </c>
      <c r="C5336" s="20" t="s">
        <v>2118</v>
      </c>
      <c r="D5336" s="21"/>
    </row>
    <row r="5337" spans="1:4" ht="12.75" customHeight="1" x14ac:dyDescent="0.2">
      <c r="A5337" s="21"/>
      <c r="B5337" s="3" t="s">
        <v>11</v>
      </c>
      <c r="C5337" s="20" t="s">
        <v>1078</v>
      </c>
      <c r="D5337" s="21"/>
    </row>
    <row r="5338" spans="1:4" ht="12.75" customHeight="1" x14ac:dyDescent="0.2">
      <c r="A5338" s="21"/>
      <c r="B5338" s="3" t="s">
        <v>13</v>
      </c>
      <c r="C5338" s="20" t="s">
        <v>24</v>
      </c>
      <c r="D5338" s="21"/>
    </row>
    <row r="5339" spans="1:4" ht="12.75" customHeight="1" x14ac:dyDescent="0.2">
      <c r="A5339" s="21"/>
      <c r="B5339" s="3" t="s">
        <v>15</v>
      </c>
      <c r="C5339" s="20" t="s">
        <v>24</v>
      </c>
      <c r="D5339" s="21"/>
    </row>
    <row r="5340" spans="1:4" ht="12.75" customHeight="1" x14ac:dyDescent="0.2">
      <c r="A5340" s="21"/>
      <c r="B5340" s="3" t="s">
        <v>16</v>
      </c>
      <c r="C5340" s="20"/>
      <c r="D5340" s="21"/>
    </row>
    <row r="5341" spans="1:4" ht="12.75" customHeight="1" x14ac:dyDescent="0.2">
      <c r="A5341" s="21"/>
      <c r="B5341" s="3" t="s">
        <v>17</v>
      </c>
      <c r="C5341" s="20"/>
      <c r="D5341" s="21"/>
    </row>
    <row r="5342" spans="1:4" ht="12.75" customHeight="1" x14ac:dyDescent="0.2">
      <c r="A5342" s="21"/>
      <c r="B5342" s="20" t="s">
        <v>18</v>
      </c>
      <c r="C5342" s="4" t="s">
        <v>44</v>
      </c>
      <c r="D5342" s="6" t="str">
        <f>HYPERLINK("javascript:void(0)","övsuhintó")</f>
        <v>övsuhintó</v>
      </c>
    </row>
    <row r="5343" spans="1:4" ht="12.75" customHeight="1" x14ac:dyDescent="0.2">
      <c r="A5343" s="21"/>
      <c r="B5343" s="21"/>
      <c r="C5343" s="4" t="s">
        <v>139</v>
      </c>
      <c r="D5343" s="6" t="str">
        <f>HYPERLINK("javascript:void(0)","fejlik")</f>
        <v>fejlik</v>
      </c>
    </row>
    <row r="5344" spans="1:4" ht="12.75" customHeight="1" x14ac:dyDescent="0.2">
      <c r="A5344" s="21"/>
      <c r="B5344" s="21"/>
      <c r="C5344" s="4" t="s">
        <v>269</v>
      </c>
      <c r="D5344" s="6" t="str">
        <f>HYPERLINK("javascript:void(0)","lélekfodor")</f>
        <v>lélekfodor</v>
      </c>
    </row>
    <row r="5345" spans="1:4" ht="12.75" customHeight="1" x14ac:dyDescent="0.2">
      <c r="A5345" s="5"/>
      <c r="B5345" s="2"/>
      <c r="C5345" s="2"/>
      <c r="D5345" s="2"/>
    </row>
    <row r="5346" spans="1:4" ht="12.75" customHeight="1" x14ac:dyDescent="0.2">
      <c r="A5346" s="22" t="str">
        <f>HYPERLINK("javascript:void(0)","gyíkacél hálóvágó")</f>
        <v>gyíkacél hálóvágó</v>
      </c>
      <c r="B5346" s="21"/>
      <c r="C5346" s="21"/>
      <c r="D5346" s="21"/>
    </row>
    <row r="5347" spans="1:4" ht="12.75" customHeight="1" x14ac:dyDescent="0.2">
      <c r="A5347" s="20"/>
      <c r="B5347" s="2"/>
      <c r="C5347" s="2"/>
      <c r="D5347" s="2"/>
    </row>
    <row r="5348" spans="1:4" ht="12.75" customHeight="1" x14ac:dyDescent="0.2">
      <c r="A5348" s="21"/>
      <c r="B5348" s="3" t="s">
        <v>0</v>
      </c>
      <c r="C5348" s="20" t="s">
        <v>1060</v>
      </c>
      <c r="D5348" s="21"/>
    </row>
    <row r="5349" spans="1:4" ht="12.75" customHeight="1" x14ac:dyDescent="0.2">
      <c r="A5349" s="21"/>
      <c r="B5349" s="3" t="s">
        <v>2</v>
      </c>
      <c r="C5349" s="20" t="s">
        <v>1598</v>
      </c>
      <c r="D5349" s="21"/>
    </row>
    <row r="5350" spans="1:4" ht="12.75" customHeight="1" x14ac:dyDescent="0.2">
      <c r="A5350" s="21"/>
      <c r="B5350" s="3" t="s">
        <v>4</v>
      </c>
      <c r="C5350" s="20" t="s">
        <v>2291</v>
      </c>
      <c r="D5350" s="21"/>
    </row>
    <row r="5351" spans="1:4" ht="12.75" customHeight="1" x14ac:dyDescent="0.2">
      <c r="A5351" s="21"/>
      <c r="B5351" s="3" t="s">
        <v>6</v>
      </c>
      <c r="C5351" s="20" t="s">
        <v>107</v>
      </c>
      <c r="D5351" s="21"/>
    </row>
    <row r="5352" spans="1:4" ht="12.75" customHeight="1" x14ac:dyDescent="0.2">
      <c r="A5352" s="21"/>
      <c r="B5352" s="3" t="s">
        <v>8</v>
      </c>
      <c r="C5352" s="20" t="s">
        <v>2291</v>
      </c>
      <c r="D5352" s="21"/>
    </row>
    <row r="5353" spans="1:4" ht="12.75" customHeight="1" x14ac:dyDescent="0.2">
      <c r="A5353" s="21"/>
      <c r="B5353" s="3" t="s">
        <v>9</v>
      </c>
      <c r="C5353" s="20" t="s">
        <v>2292</v>
      </c>
      <c r="D5353" s="21"/>
    </row>
    <row r="5354" spans="1:4" ht="12.75" customHeight="1" x14ac:dyDescent="0.2">
      <c r="A5354" s="21"/>
      <c r="B5354" s="3" t="s">
        <v>11</v>
      </c>
      <c r="C5354" s="20" t="s">
        <v>807</v>
      </c>
      <c r="D5354" s="21"/>
    </row>
    <row r="5355" spans="1:4" ht="12.75" customHeight="1" x14ac:dyDescent="0.2">
      <c r="A5355" s="21"/>
      <c r="B5355" s="3" t="s">
        <v>13</v>
      </c>
      <c r="C5355" s="20" t="s">
        <v>24</v>
      </c>
      <c r="D5355" s="21"/>
    </row>
    <row r="5356" spans="1:4" ht="12.75" customHeight="1" x14ac:dyDescent="0.2">
      <c r="A5356" s="21"/>
      <c r="B5356" s="3" t="s">
        <v>15</v>
      </c>
      <c r="C5356" s="20" t="s">
        <v>24</v>
      </c>
      <c r="D5356" s="21"/>
    </row>
    <row r="5357" spans="1:4" ht="12.75" customHeight="1" x14ac:dyDescent="0.2">
      <c r="A5357" s="21"/>
      <c r="B5357" s="3" t="s">
        <v>16</v>
      </c>
      <c r="C5357" s="20"/>
      <c r="D5357" s="21"/>
    </row>
    <row r="5358" spans="1:4" ht="12.75" customHeight="1" x14ac:dyDescent="0.2">
      <c r="A5358" s="21"/>
      <c r="B5358" s="3" t="s">
        <v>17</v>
      </c>
      <c r="C5358" s="20"/>
      <c r="D5358" s="21"/>
    </row>
    <row r="5359" spans="1:4" ht="12.75" customHeight="1" x14ac:dyDescent="0.2">
      <c r="A5359" s="21"/>
      <c r="B5359" s="20" t="s">
        <v>18</v>
      </c>
      <c r="C5359" s="4" t="s">
        <v>796</v>
      </c>
      <c r="D5359" s="6" t="str">
        <f>HYPERLINK("javascript:void(0)","gigacsáp")</f>
        <v>gigacsáp</v>
      </c>
    </row>
    <row r="5360" spans="1:4" ht="12.75" customHeight="1" x14ac:dyDescent="0.2">
      <c r="A5360" s="21"/>
      <c r="B5360" s="21"/>
      <c r="C5360" s="4" t="s">
        <v>398</v>
      </c>
      <c r="D5360" s="6" t="str">
        <f>HYPERLINK("javascript:void(0)","orr")</f>
        <v>orr</v>
      </c>
    </row>
    <row r="5361" spans="1:4" ht="12.75" customHeight="1" x14ac:dyDescent="0.2">
      <c r="A5361" s="21"/>
      <c r="B5361" s="21"/>
      <c r="C5361" s="4" t="s">
        <v>309</v>
      </c>
      <c r="D5361" s="6" t="str">
        <f>HYPERLINK("javascript:void(0)","lexikon")</f>
        <v>lexikon</v>
      </c>
    </row>
    <row r="5362" spans="1:4" ht="12.75" customHeight="1" x14ac:dyDescent="0.2">
      <c r="A5362" s="5"/>
      <c r="B5362" s="2"/>
      <c r="C5362" s="2"/>
      <c r="D5362" s="2"/>
    </row>
    <row r="5363" spans="1:4" ht="12.75" customHeight="1" x14ac:dyDescent="0.2">
      <c r="A5363" s="22" t="str">
        <f>HYPERLINK("javascript:void(0)","sziklakarcoló")</f>
        <v>sziklakarcoló</v>
      </c>
      <c r="B5363" s="21"/>
      <c r="C5363" s="21"/>
      <c r="D5363" s="21"/>
    </row>
    <row r="5364" spans="1:4" ht="12.75" customHeight="1" x14ac:dyDescent="0.2">
      <c r="A5364" s="20"/>
      <c r="B5364" s="2"/>
      <c r="C5364" s="2"/>
      <c r="D5364" s="2"/>
    </row>
    <row r="5365" spans="1:4" ht="12.75" customHeight="1" x14ac:dyDescent="0.2">
      <c r="A5365" s="21"/>
      <c r="B5365" s="3" t="s">
        <v>0</v>
      </c>
      <c r="C5365" s="20" t="s">
        <v>95</v>
      </c>
      <c r="D5365" s="21"/>
    </row>
    <row r="5366" spans="1:4" ht="12.75" customHeight="1" x14ac:dyDescent="0.2">
      <c r="A5366" s="21"/>
      <c r="B5366" s="3" t="s">
        <v>2</v>
      </c>
      <c r="C5366" s="20" t="s">
        <v>1598</v>
      </c>
      <c r="D5366" s="21"/>
    </row>
    <row r="5367" spans="1:4" ht="12.75" customHeight="1" x14ac:dyDescent="0.2">
      <c r="A5367" s="21"/>
      <c r="B5367" s="3" t="s">
        <v>4</v>
      </c>
      <c r="C5367" s="20" t="s">
        <v>2293</v>
      </c>
      <c r="D5367" s="21"/>
    </row>
    <row r="5368" spans="1:4" ht="12.75" customHeight="1" x14ac:dyDescent="0.2">
      <c r="A5368" s="21"/>
      <c r="B5368" s="3" t="s">
        <v>6</v>
      </c>
      <c r="C5368" s="20" t="s">
        <v>52</v>
      </c>
      <c r="D5368" s="21"/>
    </row>
    <row r="5369" spans="1:4" ht="12.75" customHeight="1" x14ac:dyDescent="0.2">
      <c r="A5369" s="21"/>
      <c r="B5369" s="3" t="s">
        <v>8</v>
      </c>
      <c r="C5369" s="20" t="s">
        <v>2293</v>
      </c>
      <c r="D5369" s="21"/>
    </row>
    <row r="5370" spans="1:4" ht="12.75" customHeight="1" x14ac:dyDescent="0.2">
      <c r="A5370" s="21"/>
      <c r="B5370" s="3" t="s">
        <v>9</v>
      </c>
      <c r="C5370" s="20" t="s">
        <v>1310</v>
      </c>
      <c r="D5370" s="21"/>
    </row>
    <row r="5371" spans="1:4" ht="12.75" customHeight="1" x14ac:dyDescent="0.2">
      <c r="A5371" s="21"/>
      <c r="B5371" s="3" t="s">
        <v>11</v>
      </c>
      <c r="C5371" s="20" t="s">
        <v>1090</v>
      </c>
      <c r="D5371" s="21"/>
    </row>
    <row r="5372" spans="1:4" ht="12.75" customHeight="1" x14ac:dyDescent="0.2">
      <c r="A5372" s="21"/>
      <c r="B5372" s="3" t="s">
        <v>13</v>
      </c>
      <c r="C5372" s="20" t="s">
        <v>24</v>
      </c>
      <c r="D5372" s="21"/>
    </row>
    <row r="5373" spans="1:4" ht="12.75" customHeight="1" x14ac:dyDescent="0.2">
      <c r="A5373" s="21"/>
      <c r="B5373" s="3" t="s">
        <v>15</v>
      </c>
      <c r="C5373" s="20" t="s">
        <v>24</v>
      </c>
      <c r="D5373" s="21"/>
    </row>
    <row r="5374" spans="1:4" ht="12.75" customHeight="1" x14ac:dyDescent="0.2">
      <c r="A5374" s="21"/>
      <c r="B5374" s="3" t="s">
        <v>16</v>
      </c>
      <c r="C5374" s="20"/>
      <c r="D5374" s="21"/>
    </row>
    <row r="5375" spans="1:4" ht="12.75" customHeight="1" x14ac:dyDescent="0.2">
      <c r="A5375" s="21"/>
      <c r="B5375" s="3" t="s">
        <v>17</v>
      </c>
      <c r="C5375" s="20"/>
      <c r="D5375" s="21"/>
    </row>
    <row r="5376" spans="1:4" ht="12.75" customHeight="1" x14ac:dyDescent="0.2">
      <c r="A5376" s="21"/>
      <c r="B5376" s="20" t="s">
        <v>18</v>
      </c>
      <c r="C5376" s="4" t="s">
        <v>327</v>
      </c>
      <c r="D5376" s="6" t="str">
        <f>HYPERLINK("javascript:void(0)","átokige")</f>
        <v>átokige</v>
      </c>
    </row>
    <row r="5377" spans="1:4" ht="12.75" customHeight="1" x14ac:dyDescent="0.2">
      <c r="A5377" s="21"/>
      <c r="B5377" s="21"/>
      <c r="C5377" s="4" t="s">
        <v>139</v>
      </c>
      <c r="D5377" s="6" t="str">
        <f>HYPERLINK("javascript:void(0)","fiola")</f>
        <v>fiola</v>
      </c>
    </row>
    <row r="5378" spans="1:4" ht="12.75" customHeight="1" x14ac:dyDescent="0.2">
      <c r="A5378" s="21"/>
      <c r="B5378" s="21"/>
      <c r="C5378" s="4" t="s">
        <v>163</v>
      </c>
      <c r="D5378" s="6" t="str">
        <f>HYPERLINK("javascript:void(0)","kvarc")</f>
        <v>kvarc</v>
      </c>
    </row>
    <row r="5379" spans="1:4" ht="12.75" customHeight="1" x14ac:dyDescent="0.2">
      <c r="A5379" s="5"/>
      <c r="B5379" s="2"/>
      <c r="C5379" s="2"/>
      <c r="D5379" s="2"/>
    </row>
    <row r="5380" spans="1:4" ht="12.75" customHeight="1" x14ac:dyDescent="0.2">
      <c r="A5380" s="22" t="str">
        <f>HYPERLINK("javascript:void(0)","kvarcos mágusölő")</f>
        <v>kvarcos mágusölő</v>
      </c>
      <c r="B5380" s="21"/>
      <c r="C5380" s="21"/>
      <c r="D5380" s="21"/>
    </row>
    <row r="5381" spans="1:4" ht="12.75" customHeight="1" x14ac:dyDescent="0.2">
      <c r="A5381" s="20"/>
      <c r="B5381" s="2"/>
      <c r="C5381" s="2"/>
      <c r="D5381" s="2"/>
    </row>
    <row r="5382" spans="1:4" ht="12.75" customHeight="1" x14ac:dyDescent="0.2">
      <c r="A5382" s="21"/>
      <c r="B5382" s="3" t="s">
        <v>0</v>
      </c>
      <c r="C5382" s="20" t="s">
        <v>95</v>
      </c>
      <c r="D5382" s="21"/>
    </row>
    <row r="5383" spans="1:4" ht="12.75" customHeight="1" x14ac:dyDescent="0.2">
      <c r="A5383" s="21"/>
      <c r="B5383" s="3" t="s">
        <v>2</v>
      </c>
      <c r="C5383" s="20" t="s">
        <v>1598</v>
      </c>
      <c r="D5383" s="21"/>
    </row>
    <row r="5384" spans="1:4" ht="12.75" customHeight="1" x14ac:dyDescent="0.2">
      <c r="A5384" s="21"/>
      <c r="B5384" s="3" t="s">
        <v>4</v>
      </c>
      <c r="C5384" s="20" t="s">
        <v>2296</v>
      </c>
      <c r="D5384" s="21"/>
    </row>
    <row r="5385" spans="1:4" ht="12.75" customHeight="1" x14ac:dyDescent="0.2">
      <c r="A5385" s="21"/>
      <c r="B5385" s="3" t="s">
        <v>6</v>
      </c>
      <c r="C5385" s="20" t="s">
        <v>48</v>
      </c>
      <c r="D5385" s="21"/>
    </row>
    <row r="5386" spans="1:4" ht="12.75" customHeight="1" x14ac:dyDescent="0.2">
      <c r="A5386" s="21"/>
      <c r="B5386" s="3" t="s">
        <v>8</v>
      </c>
      <c r="C5386" s="20" t="s">
        <v>2296</v>
      </c>
      <c r="D5386" s="21"/>
    </row>
    <row r="5387" spans="1:4" ht="12.75" customHeight="1" x14ac:dyDescent="0.2">
      <c r="A5387" s="21"/>
      <c r="B5387" s="3" t="s">
        <v>9</v>
      </c>
      <c r="C5387" s="20" t="s">
        <v>2043</v>
      </c>
      <c r="D5387" s="21"/>
    </row>
    <row r="5388" spans="1:4" ht="12.75" customHeight="1" x14ac:dyDescent="0.2">
      <c r="A5388" s="21"/>
      <c r="B5388" s="3" t="s">
        <v>11</v>
      </c>
      <c r="C5388" s="20" t="s">
        <v>2164</v>
      </c>
      <c r="D5388" s="21"/>
    </row>
    <row r="5389" spans="1:4" ht="12.75" customHeight="1" x14ac:dyDescent="0.2">
      <c r="A5389" s="21"/>
      <c r="B5389" s="3" t="s">
        <v>13</v>
      </c>
      <c r="C5389" s="20" t="s">
        <v>14</v>
      </c>
      <c r="D5389" s="21"/>
    </row>
    <row r="5390" spans="1:4" ht="12.75" customHeight="1" x14ac:dyDescent="0.2">
      <c r="A5390" s="21"/>
      <c r="B5390" s="3" t="s">
        <v>15</v>
      </c>
      <c r="C5390" s="20" t="s">
        <v>24</v>
      </c>
      <c r="D5390" s="21"/>
    </row>
    <row r="5391" spans="1:4" ht="12.75" customHeight="1" x14ac:dyDescent="0.2">
      <c r="A5391" s="21"/>
      <c r="B5391" s="3" t="s">
        <v>16</v>
      </c>
      <c r="C5391" s="20"/>
      <c r="D5391" s="21"/>
    </row>
    <row r="5392" spans="1:4" ht="12.75" customHeight="1" x14ac:dyDescent="0.2">
      <c r="A5392" s="21"/>
      <c r="B5392" s="3" t="s">
        <v>17</v>
      </c>
      <c r="C5392" s="20"/>
      <c r="D5392" s="21"/>
    </row>
    <row r="5393" spans="1:4" ht="12.75" customHeight="1" x14ac:dyDescent="0.2">
      <c r="A5393" s="21"/>
      <c r="B5393" s="20" t="s">
        <v>18</v>
      </c>
      <c r="C5393" s="4" t="s">
        <v>756</v>
      </c>
      <c r="D5393" s="6" t="str">
        <f>HYPERLINK("javascript:void(0)","dobverő")</f>
        <v>dobverő</v>
      </c>
    </row>
    <row r="5394" spans="1:4" ht="12.75" customHeight="1" x14ac:dyDescent="0.2">
      <c r="A5394" s="21"/>
      <c r="B5394" s="21"/>
      <c r="C5394" s="4" t="s">
        <v>403</v>
      </c>
      <c r="D5394" s="6" t="str">
        <f>HYPERLINK("javascript:void(0)","kvarc")</f>
        <v>kvarc</v>
      </c>
    </row>
    <row r="5395" spans="1:4" ht="12.75" customHeight="1" x14ac:dyDescent="0.2">
      <c r="A5395" s="21"/>
      <c r="B5395" s="21"/>
      <c r="C5395" s="4" t="s">
        <v>382</v>
      </c>
      <c r="D5395" s="6" t="str">
        <f>HYPERLINK("javascript:void(0)","hagymapikkely")</f>
        <v>hagymapikkely</v>
      </c>
    </row>
    <row r="5396" spans="1:4" ht="12.75" customHeight="1" x14ac:dyDescent="0.2">
      <c r="A5396" s="5"/>
      <c r="B5396" s="2"/>
      <c r="C5396" s="2"/>
      <c r="D5396" s="2"/>
    </row>
    <row r="5397" spans="1:4" ht="12.75" customHeight="1" x14ac:dyDescent="0.2">
      <c r="A5397" s="22" t="str">
        <f>HYPERLINK("javascript:void(0)","csóvaszurony")</f>
        <v>csóvaszurony</v>
      </c>
      <c r="B5397" s="21"/>
      <c r="C5397" s="21"/>
      <c r="D5397" s="21"/>
    </row>
    <row r="5398" spans="1:4" ht="12.75" customHeight="1" x14ac:dyDescent="0.2">
      <c r="A5398" s="20"/>
      <c r="B5398" s="2"/>
      <c r="C5398" s="2"/>
      <c r="D5398" s="2"/>
    </row>
    <row r="5399" spans="1:4" ht="12.75" customHeight="1" x14ac:dyDescent="0.2">
      <c r="A5399" s="21"/>
      <c r="B5399" s="3" t="s">
        <v>0</v>
      </c>
      <c r="C5399" s="20" t="s">
        <v>336</v>
      </c>
      <c r="D5399" s="21"/>
    </row>
    <row r="5400" spans="1:4" ht="12.75" customHeight="1" x14ac:dyDescent="0.2">
      <c r="A5400" s="21"/>
      <c r="B5400" s="3" t="s">
        <v>2</v>
      </c>
      <c r="C5400" s="20" t="s">
        <v>1598</v>
      </c>
      <c r="D5400" s="21"/>
    </row>
    <row r="5401" spans="1:4" ht="12.75" customHeight="1" x14ac:dyDescent="0.2">
      <c r="A5401" s="21"/>
      <c r="B5401" s="3" t="s">
        <v>4</v>
      </c>
      <c r="C5401" s="20" t="s">
        <v>2297</v>
      </c>
      <c r="D5401" s="21"/>
    </row>
    <row r="5402" spans="1:4" ht="12.75" customHeight="1" x14ac:dyDescent="0.2">
      <c r="A5402" s="21"/>
      <c r="B5402" s="3" t="s">
        <v>6</v>
      </c>
      <c r="C5402" s="20" t="s">
        <v>52</v>
      </c>
      <c r="D5402" s="21"/>
    </row>
    <row r="5403" spans="1:4" ht="12.75" customHeight="1" x14ac:dyDescent="0.2">
      <c r="A5403" s="21"/>
      <c r="B5403" s="3" t="s">
        <v>8</v>
      </c>
      <c r="C5403" s="20" t="s">
        <v>2297</v>
      </c>
      <c r="D5403" s="21"/>
    </row>
    <row r="5404" spans="1:4" ht="12.75" customHeight="1" x14ac:dyDescent="0.2">
      <c r="A5404" s="21"/>
      <c r="B5404" s="3" t="s">
        <v>9</v>
      </c>
      <c r="C5404" s="20" t="s">
        <v>1054</v>
      </c>
      <c r="D5404" s="21"/>
    </row>
    <row r="5405" spans="1:4" ht="12.75" customHeight="1" x14ac:dyDescent="0.2">
      <c r="A5405" s="21"/>
      <c r="B5405" s="3" t="s">
        <v>11</v>
      </c>
      <c r="C5405" s="20" t="s">
        <v>1097</v>
      </c>
      <c r="D5405" s="21"/>
    </row>
    <row r="5406" spans="1:4" ht="12.75" customHeight="1" x14ac:dyDescent="0.2">
      <c r="A5406" s="21"/>
      <c r="B5406" s="3" t="s">
        <v>13</v>
      </c>
      <c r="C5406" s="20" t="s">
        <v>24</v>
      </c>
      <c r="D5406" s="21"/>
    </row>
    <row r="5407" spans="1:4" ht="12.75" customHeight="1" x14ac:dyDescent="0.2">
      <c r="A5407" s="21"/>
      <c r="B5407" s="3" t="s">
        <v>15</v>
      </c>
      <c r="C5407" s="20" t="s">
        <v>24</v>
      </c>
      <c r="D5407" s="21"/>
    </row>
    <row r="5408" spans="1:4" ht="12.75" customHeight="1" x14ac:dyDescent="0.2">
      <c r="A5408" s="21"/>
      <c r="B5408" s="3" t="s">
        <v>16</v>
      </c>
      <c r="C5408" s="20"/>
      <c r="D5408" s="21"/>
    </row>
    <row r="5409" spans="1:4" ht="12.75" customHeight="1" x14ac:dyDescent="0.2">
      <c r="A5409" s="21"/>
      <c r="B5409" s="3" t="s">
        <v>17</v>
      </c>
      <c r="C5409" s="20"/>
      <c r="D5409" s="21"/>
    </row>
    <row r="5410" spans="1:4" ht="12.75" customHeight="1" x14ac:dyDescent="0.2">
      <c r="A5410" s="21"/>
      <c r="B5410" s="20" t="s">
        <v>18</v>
      </c>
      <c r="C5410" s="4" t="s">
        <v>44</v>
      </c>
      <c r="D5410" s="6" t="str">
        <f>HYPERLINK("javascript:void(0)","démonszeletelő")</f>
        <v>démonszeletelő</v>
      </c>
    </row>
    <row r="5411" spans="1:4" ht="12.75" customHeight="1" x14ac:dyDescent="0.2">
      <c r="A5411" s="21"/>
      <c r="B5411" s="21"/>
      <c r="C5411" s="4" t="s">
        <v>44</v>
      </c>
      <c r="D5411" s="6" t="str">
        <f>HYPERLINK("javascript:void(0)","csóvapenge")</f>
        <v>csóvapenge</v>
      </c>
    </row>
    <row r="5412" spans="1:4" ht="12.75" customHeight="1" x14ac:dyDescent="0.2">
      <c r="A5412" s="21"/>
      <c r="B5412" s="21"/>
      <c r="C5412" s="4" t="s">
        <v>44</v>
      </c>
      <c r="D5412" s="6" t="str">
        <f>HYPERLINK("javascript:void(0)","sziklakarcoló")</f>
        <v>sziklakarcoló</v>
      </c>
    </row>
    <row r="5413" spans="1:4" ht="12.75" customHeight="1" x14ac:dyDescent="0.2">
      <c r="A5413" s="5"/>
      <c r="B5413" s="2"/>
      <c r="C5413" s="2"/>
      <c r="D5413" s="2"/>
    </row>
    <row r="5414" spans="1:4" ht="12.75" customHeight="1" x14ac:dyDescent="0.2">
      <c r="A5414" s="22" t="str">
        <f>HYPERLINK("javascript:void(0)","gyíkacél csóvakés")</f>
        <v>gyíkacél csóvakés</v>
      </c>
      <c r="B5414" s="21"/>
      <c r="C5414" s="21"/>
      <c r="D5414" s="21"/>
    </row>
    <row r="5415" spans="1:4" ht="12.75" customHeight="1" x14ac:dyDescent="0.2">
      <c r="A5415" s="20"/>
      <c r="B5415" s="2"/>
      <c r="C5415" s="2"/>
      <c r="D5415" s="2"/>
    </row>
    <row r="5416" spans="1:4" ht="12.75" customHeight="1" x14ac:dyDescent="0.2">
      <c r="A5416" s="21"/>
      <c r="B5416" s="3" t="s">
        <v>0</v>
      </c>
      <c r="C5416" s="20" t="s">
        <v>336</v>
      </c>
      <c r="D5416" s="21"/>
    </row>
    <row r="5417" spans="1:4" ht="12.75" customHeight="1" x14ac:dyDescent="0.2">
      <c r="A5417" s="21"/>
      <c r="B5417" s="3" t="s">
        <v>2</v>
      </c>
      <c r="C5417" s="20" t="s">
        <v>1598</v>
      </c>
      <c r="D5417" s="21"/>
    </row>
    <row r="5418" spans="1:4" ht="12.75" customHeight="1" x14ac:dyDescent="0.2">
      <c r="A5418" s="21"/>
      <c r="B5418" s="3" t="s">
        <v>4</v>
      </c>
      <c r="C5418" s="20" t="s">
        <v>2298</v>
      </c>
      <c r="D5418" s="21"/>
    </row>
    <row r="5419" spans="1:4" ht="12.75" customHeight="1" x14ac:dyDescent="0.2">
      <c r="A5419" s="21"/>
      <c r="B5419" s="3" t="s">
        <v>6</v>
      </c>
      <c r="C5419" s="20" t="s">
        <v>107</v>
      </c>
      <c r="D5419" s="21"/>
    </row>
    <row r="5420" spans="1:4" ht="12.75" customHeight="1" x14ac:dyDescent="0.2">
      <c r="A5420" s="21"/>
      <c r="B5420" s="3" t="s">
        <v>8</v>
      </c>
      <c r="C5420" s="20" t="s">
        <v>2298</v>
      </c>
      <c r="D5420" s="21"/>
    </row>
    <row r="5421" spans="1:4" ht="12.75" customHeight="1" x14ac:dyDescent="0.2">
      <c r="A5421" s="21"/>
      <c r="B5421" s="3" t="s">
        <v>9</v>
      </c>
      <c r="C5421" s="20" t="s">
        <v>2299</v>
      </c>
      <c r="D5421" s="21"/>
    </row>
    <row r="5422" spans="1:4" ht="12.75" customHeight="1" x14ac:dyDescent="0.2">
      <c r="A5422" s="21"/>
      <c r="B5422" s="3" t="s">
        <v>11</v>
      </c>
      <c r="C5422" s="20" t="s">
        <v>827</v>
      </c>
      <c r="D5422" s="21"/>
    </row>
    <row r="5423" spans="1:4" ht="12.75" customHeight="1" x14ac:dyDescent="0.2">
      <c r="A5423" s="21"/>
      <c r="B5423" s="3" t="s">
        <v>13</v>
      </c>
      <c r="C5423" s="20" t="s">
        <v>24</v>
      </c>
      <c r="D5423" s="21"/>
    </row>
    <row r="5424" spans="1:4" ht="12.75" customHeight="1" x14ac:dyDescent="0.2">
      <c r="A5424" s="21"/>
      <c r="B5424" s="3" t="s">
        <v>15</v>
      </c>
      <c r="C5424" s="20" t="s">
        <v>24</v>
      </c>
      <c r="D5424" s="21"/>
    </row>
    <row r="5425" spans="1:4" ht="12.75" customHeight="1" x14ac:dyDescent="0.2">
      <c r="A5425" s="21"/>
      <c r="B5425" s="3" t="s">
        <v>16</v>
      </c>
      <c r="C5425" s="20"/>
      <c r="D5425" s="21"/>
    </row>
    <row r="5426" spans="1:4" ht="12.75" customHeight="1" x14ac:dyDescent="0.2">
      <c r="A5426" s="21"/>
      <c r="B5426" s="3" t="s">
        <v>17</v>
      </c>
      <c r="C5426" s="20"/>
      <c r="D5426" s="21"/>
    </row>
    <row r="5427" spans="1:4" ht="12.75" customHeight="1" x14ac:dyDescent="0.2">
      <c r="A5427" s="21"/>
      <c r="B5427" s="20" t="s">
        <v>18</v>
      </c>
      <c r="C5427" s="4" t="s">
        <v>796</v>
      </c>
      <c r="D5427" s="6" t="str">
        <f>HYPERLINK("javascript:void(0)","vitorla")</f>
        <v>vitorla</v>
      </c>
    </row>
    <row r="5428" spans="1:4" ht="12.75" customHeight="1" x14ac:dyDescent="0.2">
      <c r="A5428" s="21"/>
      <c r="B5428" s="21"/>
      <c r="C5428" s="4" t="s">
        <v>369</v>
      </c>
      <c r="D5428" s="6" t="str">
        <f>HYPERLINK("javascript:void(0)","harmatcsepp")</f>
        <v>harmatcsepp</v>
      </c>
    </row>
    <row r="5429" spans="1:4" ht="12.75" customHeight="1" x14ac:dyDescent="0.2">
      <c r="A5429" s="21"/>
      <c r="B5429" s="21"/>
      <c r="C5429" s="4" t="s">
        <v>309</v>
      </c>
      <c r="D5429" s="6" t="str">
        <f>HYPERLINK("javascript:void(0)","lux")</f>
        <v>lux</v>
      </c>
    </row>
    <row r="5430" spans="1:4" ht="12.75" customHeight="1" x14ac:dyDescent="0.2">
      <c r="A5430" s="5"/>
      <c r="B5430" s="2"/>
      <c r="C5430" s="2"/>
      <c r="D5430" s="2"/>
    </row>
    <row r="5431" spans="1:4" ht="12.75" customHeight="1" x14ac:dyDescent="0.2">
      <c r="A5431" s="22" t="str">
        <f>HYPERLINK("javascript:void(0)","csóvalándzsa")</f>
        <v>csóvalándzsa</v>
      </c>
      <c r="B5431" s="21"/>
      <c r="C5431" s="21"/>
      <c r="D5431" s="21"/>
    </row>
    <row r="5432" spans="1:4" ht="12.75" customHeight="1" x14ac:dyDescent="0.2">
      <c r="A5432" s="20"/>
      <c r="B5432" s="2"/>
      <c r="C5432" s="2"/>
      <c r="D5432" s="2"/>
    </row>
    <row r="5433" spans="1:4" ht="12.75" customHeight="1" x14ac:dyDescent="0.2">
      <c r="A5433" s="21"/>
      <c r="B5433" s="3" t="s">
        <v>0</v>
      </c>
      <c r="C5433" s="20" t="s">
        <v>347</v>
      </c>
      <c r="D5433" s="21"/>
    </row>
    <row r="5434" spans="1:4" ht="12.75" customHeight="1" x14ac:dyDescent="0.2">
      <c r="A5434" s="21"/>
      <c r="B5434" s="3" t="s">
        <v>2</v>
      </c>
      <c r="C5434" s="20" t="s">
        <v>1598</v>
      </c>
      <c r="D5434" s="21"/>
    </row>
    <row r="5435" spans="1:4" ht="12.75" customHeight="1" x14ac:dyDescent="0.2">
      <c r="A5435" s="21"/>
      <c r="B5435" s="3" t="s">
        <v>4</v>
      </c>
      <c r="C5435" s="20" t="s">
        <v>2300</v>
      </c>
      <c r="D5435" s="21"/>
    </row>
    <row r="5436" spans="1:4" ht="12.75" customHeight="1" x14ac:dyDescent="0.2">
      <c r="A5436" s="21"/>
      <c r="B5436" s="3" t="s">
        <v>6</v>
      </c>
      <c r="C5436" s="20" t="s">
        <v>298</v>
      </c>
      <c r="D5436" s="21"/>
    </row>
    <row r="5437" spans="1:4" ht="12.75" customHeight="1" x14ac:dyDescent="0.2">
      <c r="A5437" s="21"/>
      <c r="B5437" s="3" t="s">
        <v>8</v>
      </c>
      <c r="C5437" s="20" t="s">
        <v>2300</v>
      </c>
      <c r="D5437" s="21"/>
    </row>
    <row r="5438" spans="1:4" ht="12.75" customHeight="1" x14ac:dyDescent="0.2">
      <c r="A5438" s="21"/>
      <c r="B5438" s="3" t="s">
        <v>9</v>
      </c>
      <c r="C5438" s="20" t="s">
        <v>172</v>
      </c>
      <c r="D5438" s="21"/>
    </row>
    <row r="5439" spans="1:4" ht="12.75" customHeight="1" x14ac:dyDescent="0.2">
      <c r="A5439" s="21"/>
      <c r="B5439" s="3" t="s">
        <v>11</v>
      </c>
      <c r="C5439" s="20" t="s">
        <v>1105</v>
      </c>
      <c r="D5439" s="21"/>
    </row>
    <row r="5440" spans="1:4" ht="12.75" customHeight="1" x14ac:dyDescent="0.2">
      <c r="A5440" s="21"/>
      <c r="B5440" s="3" t="s">
        <v>13</v>
      </c>
      <c r="C5440" s="20" t="s">
        <v>24</v>
      </c>
      <c r="D5440" s="21"/>
    </row>
    <row r="5441" spans="1:4" ht="12.75" customHeight="1" x14ac:dyDescent="0.2">
      <c r="A5441" s="21"/>
      <c r="B5441" s="3" t="s">
        <v>15</v>
      </c>
      <c r="C5441" s="20" t="s">
        <v>24</v>
      </c>
      <c r="D5441" s="21"/>
    </row>
    <row r="5442" spans="1:4" ht="12.75" customHeight="1" x14ac:dyDescent="0.2">
      <c r="A5442" s="21"/>
      <c r="B5442" s="3" t="s">
        <v>16</v>
      </c>
      <c r="C5442" s="20"/>
      <c r="D5442" s="21"/>
    </row>
    <row r="5443" spans="1:4" ht="12.75" customHeight="1" x14ac:dyDescent="0.2">
      <c r="A5443" s="21"/>
      <c r="B5443" s="3" t="s">
        <v>17</v>
      </c>
      <c r="C5443" s="20"/>
      <c r="D5443" s="21"/>
    </row>
    <row r="5444" spans="1:4" ht="12.75" customHeight="1" x14ac:dyDescent="0.2">
      <c r="A5444" s="21"/>
      <c r="B5444" s="20" t="s">
        <v>18</v>
      </c>
      <c r="C5444" s="4" t="s">
        <v>403</v>
      </c>
      <c r="D5444" s="6" t="str">
        <f>HYPERLINK("javascript:void(0)","csatatüske")</f>
        <v>csatatüske</v>
      </c>
    </row>
    <row r="5445" spans="1:4" ht="12.75" customHeight="1" x14ac:dyDescent="0.2">
      <c r="A5445" s="21"/>
      <c r="B5445" s="21"/>
      <c r="C5445" s="4" t="s">
        <v>296</v>
      </c>
      <c r="D5445" s="6" t="str">
        <f>HYPERLINK("javascript:void(0)","fejlik")</f>
        <v>fejlik</v>
      </c>
    </row>
    <row r="5446" spans="1:4" ht="12.75" customHeight="1" x14ac:dyDescent="0.2">
      <c r="A5446" s="21"/>
      <c r="B5446" s="21"/>
      <c r="C5446" s="4" t="s">
        <v>44</v>
      </c>
      <c r="D5446" s="6" t="str">
        <f>HYPERLINK("javascript:void(0)","csóvaszurony")</f>
        <v>csóvaszurony</v>
      </c>
    </row>
    <row r="5447" spans="1:4" ht="12.75" customHeight="1" x14ac:dyDescent="0.2">
      <c r="A5447" s="5"/>
      <c r="B5447" s="2"/>
      <c r="C5447" s="2"/>
      <c r="D5447" s="2"/>
    </row>
    <row r="5448" spans="1:4" ht="12.75" customHeight="1" x14ac:dyDescent="0.2">
      <c r="A5448" s="22" t="str">
        <f>HYPERLINK("javascript:void(0)","csontbélésű mágusölő")</f>
        <v>csontbélésű mágusölő</v>
      </c>
      <c r="B5448" s="21"/>
      <c r="C5448" s="21"/>
      <c r="D5448" s="21"/>
    </row>
    <row r="5449" spans="1:4" ht="12.75" customHeight="1" x14ac:dyDescent="0.2">
      <c r="A5449" s="20"/>
      <c r="B5449" s="2"/>
      <c r="C5449" s="2"/>
      <c r="D5449" s="2"/>
    </row>
    <row r="5450" spans="1:4" ht="12.75" customHeight="1" x14ac:dyDescent="0.2">
      <c r="A5450" s="21"/>
      <c r="B5450" s="3" t="s">
        <v>0</v>
      </c>
      <c r="C5450" s="20" t="s">
        <v>347</v>
      </c>
      <c r="D5450" s="21"/>
    </row>
    <row r="5451" spans="1:4" ht="12.75" customHeight="1" x14ac:dyDescent="0.2">
      <c r="A5451" s="21"/>
      <c r="B5451" s="3" t="s">
        <v>2</v>
      </c>
      <c r="C5451" s="20" t="s">
        <v>1598</v>
      </c>
      <c r="D5451" s="21"/>
    </row>
    <row r="5452" spans="1:4" ht="12.75" customHeight="1" x14ac:dyDescent="0.2">
      <c r="A5452" s="21"/>
      <c r="B5452" s="3" t="s">
        <v>4</v>
      </c>
      <c r="C5452" s="20" t="s">
        <v>2301</v>
      </c>
      <c r="D5452" s="21"/>
    </row>
    <row r="5453" spans="1:4" ht="12.75" customHeight="1" x14ac:dyDescent="0.2">
      <c r="A5453" s="21"/>
      <c r="B5453" s="3" t="s">
        <v>6</v>
      </c>
      <c r="C5453" s="20" t="s">
        <v>48</v>
      </c>
      <c r="D5453" s="21"/>
    </row>
    <row r="5454" spans="1:4" ht="12.75" customHeight="1" x14ac:dyDescent="0.2">
      <c r="A5454" s="21"/>
      <c r="B5454" s="3" t="s">
        <v>8</v>
      </c>
      <c r="C5454" s="20" t="s">
        <v>2301</v>
      </c>
      <c r="D5454" s="21"/>
    </row>
    <row r="5455" spans="1:4" ht="12.75" customHeight="1" x14ac:dyDescent="0.2">
      <c r="A5455" s="21"/>
      <c r="B5455" s="3" t="s">
        <v>9</v>
      </c>
      <c r="C5455" s="20" t="s">
        <v>1206</v>
      </c>
      <c r="D5455" s="21"/>
    </row>
    <row r="5456" spans="1:4" ht="12.75" customHeight="1" x14ac:dyDescent="0.2">
      <c r="A5456" s="21"/>
      <c r="B5456" s="3" t="s">
        <v>11</v>
      </c>
      <c r="C5456" s="20" t="s">
        <v>2175</v>
      </c>
      <c r="D5456" s="21"/>
    </row>
    <row r="5457" spans="1:4" ht="12.75" customHeight="1" x14ac:dyDescent="0.2">
      <c r="A5457" s="21"/>
      <c r="B5457" s="3" t="s">
        <v>13</v>
      </c>
      <c r="C5457" s="20" t="s">
        <v>14</v>
      </c>
      <c r="D5457" s="21"/>
    </row>
    <row r="5458" spans="1:4" ht="12.75" customHeight="1" x14ac:dyDescent="0.2">
      <c r="A5458" s="21"/>
      <c r="B5458" s="3" t="s">
        <v>15</v>
      </c>
      <c r="C5458" s="20" t="s">
        <v>24</v>
      </c>
      <c r="D5458" s="21"/>
    </row>
    <row r="5459" spans="1:4" ht="12.75" customHeight="1" x14ac:dyDescent="0.2">
      <c r="A5459" s="21"/>
      <c r="B5459" s="3" t="s">
        <v>16</v>
      </c>
      <c r="C5459" s="20"/>
      <c r="D5459" s="21"/>
    </row>
    <row r="5460" spans="1:4" ht="12.75" customHeight="1" x14ac:dyDescent="0.2">
      <c r="A5460" s="21"/>
      <c r="B5460" s="3" t="s">
        <v>17</v>
      </c>
      <c r="C5460" s="20"/>
      <c r="D5460" s="21"/>
    </row>
    <row r="5461" spans="1:4" ht="12.75" customHeight="1" x14ac:dyDescent="0.2">
      <c r="A5461" s="21"/>
      <c r="B5461" s="20" t="s">
        <v>18</v>
      </c>
      <c r="C5461" s="4" t="s">
        <v>398</v>
      </c>
      <c r="D5461" s="6" t="str">
        <f>HYPERLINK("javascript:void(0)","lélekfodor")</f>
        <v>lélekfodor</v>
      </c>
    </row>
    <row r="5462" spans="1:4" ht="12.75" customHeight="1" x14ac:dyDescent="0.2">
      <c r="A5462" s="21"/>
      <c r="B5462" s="21"/>
      <c r="C5462" s="4" t="s">
        <v>290</v>
      </c>
      <c r="D5462" s="6" t="str">
        <f>HYPERLINK("javascript:void(0)","szúnyogcsont")</f>
        <v>szúnyogcsont</v>
      </c>
    </row>
    <row r="5463" spans="1:4" ht="12.75" customHeight="1" x14ac:dyDescent="0.2">
      <c r="A5463" s="21"/>
      <c r="B5463" s="21"/>
      <c r="C5463" s="4" t="s">
        <v>163</v>
      </c>
      <c r="D5463" s="6" t="str">
        <f>HYPERLINK("javascript:void(0)","vitorla")</f>
        <v>vitorla</v>
      </c>
    </row>
    <row r="5464" spans="1:4" ht="12.75" customHeight="1" x14ac:dyDescent="0.2">
      <c r="A5464" s="5"/>
      <c r="B5464" s="2"/>
      <c r="C5464" s="2"/>
      <c r="D5464" s="2"/>
    </row>
    <row r="5465" spans="1:4" ht="12.75" customHeight="1" x14ac:dyDescent="0.2">
      <c r="A5465" s="22" t="str">
        <f>HYPERLINK("javascript:void(0)","csőrszurony")</f>
        <v>csőrszurony</v>
      </c>
      <c r="B5465" s="21"/>
      <c r="C5465" s="21"/>
      <c r="D5465" s="21"/>
    </row>
    <row r="5466" spans="1:4" ht="12.75" customHeight="1" x14ac:dyDescent="0.2">
      <c r="A5466" s="20"/>
      <c r="B5466" s="2"/>
      <c r="C5466" s="2"/>
      <c r="D5466" s="2"/>
    </row>
    <row r="5467" spans="1:4" ht="12.75" customHeight="1" x14ac:dyDescent="0.2">
      <c r="A5467" s="21"/>
      <c r="B5467" s="3" t="s">
        <v>0</v>
      </c>
      <c r="C5467" s="20" t="s">
        <v>312</v>
      </c>
      <c r="D5467" s="21"/>
    </row>
    <row r="5468" spans="1:4" ht="12.75" customHeight="1" x14ac:dyDescent="0.2">
      <c r="A5468" s="21"/>
      <c r="B5468" s="3" t="s">
        <v>2</v>
      </c>
      <c r="C5468" s="20" t="s">
        <v>1598</v>
      </c>
      <c r="D5468" s="21"/>
    </row>
    <row r="5469" spans="1:4" ht="12.75" customHeight="1" x14ac:dyDescent="0.2">
      <c r="A5469" s="21"/>
      <c r="B5469" s="3" t="s">
        <v>4</v>
      </c>
      <c r="C5469" s="20" t="s">
        <v>2302</v>
      </c>
      <c r="D5469" s="21"/>
    </row>
    <row r="5470" spans="1:4" ht="12.75" customHeight="1" x14ac:dyDescent="0.2">
      <c r="A5470" s="21"/>
      <c r="B5470" s="3" t="s">
        <v>6</v>
      </c>
      <c r="C5470" s="20" t="s">
        <v>260</v>
      </c>
      <c r="D5470" s="21"/>
    </row>
    <row r="5471" spans="1:4" ht="12.75" customHeight="1" x14ac:dyDescent="0.2">
      <c r="A5471" s="21"/>
      <c r="B5471" s="3" t="s">
        <v>8</v>
      </c>
      <c r="C5471" s="20" t="s">
        <v>2302</v>
      </c>
      <c r="D5471" s="21"/>
    </row>
    <row r="5472" spans="1:4" ht="12.75" customHeight="1" x14ac:dyDescent="0.2">
      <c r="A5472" s="21"/>
      <c r="B5472" s="3" t="s">
        <v>9</v>
      </c>
      <c r="C5472" s="20" t="s">
        <v>36</v>
      </c>
      <c r="D5472" s="21"/>
    </row>
    <row r="5473" spans="1:4" ht="12.75" customHeight="1" x14ac:dyDescent="0.2">
      <c r="A5473" s="21"/>
      <c r="B5473" s="3" t="s">
        <v>11</v>
      </c>
      <c r="C5473" s="20" t="s">
        <v>1117</v>
      </c>
      <c r="D5473" s="21"/>
    </row>
    <row r="5474" spans="1:4" ht="12.75" customHeight="1" x14ac:dyDescent="0.2">
      <c r="A5474" s="21"/>
      <c r="B5474" s="3" t="s">
        <v>13</v>
      </c>
      <c r="C5474" s="20" t="s">
        <v>24</v>
      </c>
      <c r="D5474" s="21"/>
    </row>
    <row r="5475" spans="1:4" ht="12.75" customHeight="1" x14ac:dyDescent="0.2">
      <c r="A5475" s="21"/>
      <c r="B5475" s="3" t="s">
        <v>15</v>
      </c>
      <c r="C5475" s="20" t="s">
        <v>24</v>
      </c>
      <c r="D5475" s="21"/>
    </row>
    <row r="5476" spans="1:4" ht="12.75" customHeight="1" x14ac:dyDescent="0.2">
      <c r="A5476" s="21"/>
      <c r="B5476" s="3" t="s">
        <v>16</v>
      </c>
      <c r="C5476" s="20"/>
      <c r="D5476" s="21"/>
    </row>
    <row r="5477" spans="1:4" ht="12.75" customHeight="1" x14ac:dyDescent="0.2">
      <c r="A5477" s="21"/>
      <c r="B5477" s="3" t="s">
        <v>17</v>
      </c>
      <c r="C5477" s="20"/>
      <c r="D5477" s="21"/>
    </row>
    <row r="5478" spans="1:4" ht="12.75" customHeight="1" x14ac:dyDescent="0.2">
      <c r="A5478" s="21"/>
      <c r="B5478" s="20" t="s">
        <v>18</v>
      </c>
      <c r="C5478" s="4" t="s">
        <v>130</v>
      </c>
      <c r="D5478" s="6" t="str">
        <f>HYPERLINK("javascript:void(0)","harmatcsepp")</f>
        <v>harmatcsepp</v>
      </c>
    </row>
    <row r="5479" spans="1:4" ht="12.75" customHeight="1" x14ac:dyDescent="0.2">
      <c r="A5479" s="21"/>
      <c r="B5479" s="21"/>
      <c r="C5479" s="4" t="s">
        <v>139</v>
      </c>
      <c r="D5479" s="6" t="str">
        <f>HYPERLINK("javascript:void(0)","cingulum")</f>
        <v>cingulum</v>
      </c>
    </row>
    <row r="5480" spans="1:4" ht="12.75" customHeight="1" x14ac:dyDescent="0.2">
      <c r="A5480" s="21"/>
      <c r="B5480" s="21"/>
      <c r="C5480" s="4" t="s">
        <v>780</v>
      </c>
      <c r="D5480" s="6" t="str">
        <f>HYPERLINK("javascript:void(0)","maxilla")</f>
        <v>maxilla</v>
      </c>
    </row>
    <row r="5481" spans="1:4" ht="12.75" customHeight="1" x14ac:dyDescent="0.2">
      <c r="A5481" s="5"/>
      <c r="B5481" s="2"/>
      <c r="C5481" s="2"/>
      <c r="D5481" s="2"/>
    </row>
    <row r="5482" spans="1:4" ht="12.75" customHeight="1" x14ac:dyDescent="0.2">
      <c r="A5482" s="22" t="str">
        <f>HYPERLINK("javascript:void(0)","gyíkacél csóvakard")</f>
        <v>gyíkacél csóvakard</v>
      </c>
      <c r="B5482" s="21"/>
      <c r="C5482" s="21"/>
      <c r="D5482" s="21"/>
    </row>
    <row r="5483" spans="1:4" ht="12.75" customHeight="1" x14ac:dyDescent="0.2">
      <c r="A5483" s="20"/>
      <c r="B5483" s="2"/>
      <c r="C5483" s="2"/>
      <c r="D5483" s="2"/>
    </row>
    <row r="5484" spans="1:4" ht="12.75" customHeight="1" x14ac:dyDescent="0.2">
      <c r="A5484" s="21"/>
      <c r="B5484" s="3" t="s">
        <v>0</v>
      </c>
      <c r="C5484" s="20" t="s">
        <v>312</v>
      </c>
      <c r="D5484" s="21"/>
    </row>
    <row r="5485" spans="1:4" ht="12.75" customHeight="1" x14ac:dyDescent="0.2">
      <c r="A5485" s="21"/>
      <c r="B5485" s="3" t="s">
        <v>2</v>
      </c>
      <c r="C5485" s="20" t="s">
        <v>1598</v>
      </c>
      <c r="D5485" s="21"/>
    </row>
    <row r="5486" spans="1:4" ht="12.75" customHeight="1" x14ac:dyDescent="0.2">
      <c r="A5486" s="21"/>
      <c r="B5486" s="3" t="s">
        <v>4</v>
      </c>
      <c r="C5486" s="20" t="s">
        <v>2303</v>
      </c>
      <c r="D5486" s="21"/>
    </row>
    <row r="5487" spans="1:4" ht="12.75" customHeight="1" x14ac:dyDescent="0.2">
      <c r="A5487" s="21"/>
      <c r="B5487" s="3" t="s">
        <v>6</v>
      </c>
      <c r="C5487" s="20" t="s">
        <v>115</v>
      </c>
      <c r="D5487" s="21"/>
    </row>
    <row r="5488" spans="1:4" ht="12.75" customHeight="1" x14ac:dyDescent="0.2">
      <c r="A5488" s="21"/>
      <c r="B5488" s="3" t="s">
        <v>8</v>
      </c>
      <c r="C5488" s="20" t="s">
        <v>2303</v>
      </c>
      <c r="D5488" s="21"/>
    </row>
    <row r="5489" spans="1:4" ht="12.75" customHeight="1" x14ac:dyDescent="0.2">
      <c r="A5489" s="21"/>
      <c r="B5489" s="3" t="s">
        <v>9</v>
      </c>
      <c r="C5489" s="20" t="s">
        <v>2304</v>
      </c>
      <c r="D5489" s="21"/>
    </row>
    <row r="5490" spans="1:4" ht="12.75" customHeight="1" x14ac:dyDescent="0.2">
      <c r="A5490" s="21"/>
      <c r="B5490" s="3" t="s">
        <v>11</v>
      </c>
      <c r="C5490" s="20" t="s">
        <v>847</v>
      </c>
      <c r="D5490" s="21"/>
    </row>
    <row r="5491" spans="1:4" ht="12.75" customHeight="1" x14ac:dyDescent="0.2">
      <c r="A5491" s="21"/>
      <c r="B5491" s="3" t="s">
        <v>13</v>
      </c>
      <c r="C5491" s="20" t="s">
        <v>24</v>
      </c>
      <c r="D5491" s="21"/>
    </row>
    <row r="5492" spans="1:4" ht="12.75" customHeight="1" x14ac:dyDescent="0.2">
      <c r="A5492" s="21"/>
      <c r="B5492" s="3" t="s">
        <v>15</v>
      </c>
      <c r="C5492" s="20" t="s">
        <v>24</v>
      </c>
      <c r="D5492" s="21"/>
    </row>
    <row r="5493" spans="1:4" ht="12.75" customHeight="1" x14ac:dyDescent="0.2">
      <c r="A5493" s="21"/>
      <c r="B5493" s="3" t="s">
        <v>16</v>
      </c>
      <c r="C5493" s="20"/>
      <c r="D5493" s="21"/>
    </row>
    <row r="5494" spans="1:4" ht="12.75" customHeight="1" x14ac:dyDescent="0.2">
      <c r="A5494" s="21"/>
      <c r="B5494" s="3" t="s">
        <v>17</v>
      </c>
      <c r="C5494" s="20"/>
      <c r="D5494" s="21"/>
    </row>
    <row r="5495" spans="1:4" ht="12.75" customHeight="1" x14ac:dyDescent="0.2">
      <c r="A5495" s="21"/>
      <c r="B5495" s="20" t="s">
        <v>18</v>
      </c>
      <c r="C5495" s="4" t="s">
        <v>2305</v>
      </c>
      <c r="D5495" s="6" t="str">
        <f>HYPERLINK("javascript:void(0)","goblinbatka")</f>
        <v>goblinbatka</v>
      </c>
    </row>
    <row r="5496" spans="1:4" ht="12.75" customHeight="1" x14ac:dyDescent="0.2">
      <c r="A5496" s="21"/>
      <c r="B5496" s="21"/>
      <c r="C5496" s="4" t="s">
        <v>398</v>
      </c>
      <c r="D5496" s="6" t="str">
        <f>HYPERLINK("javascript:void(0)","rotorlapát")</f>
        <v>rotorlapát</v>
      </c>
    </row>
    <row r="5497" spans="1:4" ht="12.75" customHeight="1" x14ac:dyDescent="0.2">
      <c r="A5497" s="21"/>
      <c r="B5497" s="21"/>
      <c r="C5497" s="4" t="s">
        <v>309</v>
      </c>
      <c r="D5497" s="6" t="str">
        <f>HYPERLINK("javascript:void(0)","hídpenge")</f>
        <v>hídpenge</v>
      </c>
    </row>
    <row r="5498" spans="1:4" ht="12.75" customHeight="1" x14ac:dyDescent="0.2">
      <c r="A5498" s="5"/>
      <c r="B5498" s="2"/>
      <c r="C5498" s="2"/>
      <c r="D5498" s="2"/>
    </row>
    <row r="5499" spans="1:4" ht="12.75" customHeight="1" x14ac:dyDescent="0.2">
      <c r="A5499" s="22" t="str">
        <f>HYPERLINK("javascript:void(0)","acél szabrázskard")</f>
        <v>acél szabrázskard</v>
      </c>
      <c r="B5499" s="21"/>
      <c r="C5499" s="21"/>
      <c r="D5499" s="21"/>
    </row>
    <row r="5500" spans="1:4" ht="12.75" customHeight="1" x14ac:dyDescent="0.2">
      <c r="A5500" s="20"/>
      <c r="B5500" s="2"/>
      <c r="C5500" s="2"/>
      <c r="D5500" s="2"/>
    </row>
    <row r="5501" spans="1:4" ht="12.75" customHeight="1" x14ac:dyDescent="0.2">
      <c r="A5501" s="21"/>
      <c r="B5501" s="3" t="s">
        <v>0</v>
      </c>
      <c r="C5501" s="20" t="s">
        <v>305</v>
      </c>
      <c r="D5501" s="21"/>
    </row>
    <row r="5502" spans="1:4" ht="12.75" customHeight="1" x14ac:dyDescent="0.2">
      <c r="A5502" s="21"/>
      <c r="B5502" s="3" t="s">
        <v>2</v>
      </c>
      <c r="C5502" s="20" t="s">
        <v>1598</v>
      </c>
      <c r="D5502" s="21"/>
    </row>
    <row r="5503" spans="1:4" ht="12.75" customHeight="1" x14ac:dyDescent="0.2">
      <c r="A5503" s="21"/>
      <c r="B5503" s="3" t="s">
        <v>4</v>
      </c>
      <c r="C5503" s="20" t="s">
        <v>2306</v>
      </c>
      <c r="D5503" s="21"/>
    </row>
    <row r="5504" spans="1:4" ht="12.75" customHeight="1" x14ac:dyDescent="0.2">
      <c r="A5504" s="21"/>
      <c r="B5504" s="3" t="s">
        <v>6</v>
      </c>
      <c r="C5504" s="20" t="s">
        <v>353</v>
      </c>
      <c r="D5504" s="21"/>
    </row>
    <row r="5505" spans="1:4" ht="12.75" customHeight="1" x14ac:dyDescent="0.2">
      <c r="A5505" s="21"/>
      <c r="B5505" s="3" t="s">
        <v>8</v>
      </c>
      <c r="C5505" s="20" t="s">
        <v>2306</v>
      </c>
      <c r="D5505" s="21"/>
    </row>
    <row r="5506" spans="1:4" ht="12.75" customHeight="1" x14ac:dyDescent="0.2">
      <c r="A5506" s="21"/>
      <c r="B5506" s="3" t="s">
        <v>9</v>
      </c>
      <c r="C5506" s="20" t="s">
        <v>2241</v>
      </c>
      <c r="D5506" s="21"/>
    </row>
    <row r="5507" spans="1:4" ht="12.75" customHeight="1" x14ac:dyDescent="0.2">
      <c r="A5507" s="21"/>
      <c r="B5507" s="3" t="s">
        <v>11</v>
      </c>
      <c r="C5507" s="20" t="s">
        <v>1125</v>
      </c>
      <c r="D5507" s="21"/>
    </row>
    <row r="5508" spans="1:4" ht="12.75" customHeight="1" x14ac:dyDescent="0.2">
      <c r="A5508" s="21"/>
      <c r="B5508" s="3" t="s">
        <v>13</v>
      </c>
      <c r="C5508" s="20" t="s">
        <v>24</v>
      </c>
      <c r="D5508" s="21"/>
    </row>
    <row r="5509" spans="1:4" ht="12.75" customHeight="1" x14ac:dyDescent="0.2">
      <c r="A5509" s="21"/>
      <c r="B5509" s="3" t="s">
        <v>15</v>
      </c>
      <c r="C5509" s="20" t="s">
        <v>24</v>
      </c>
      <c r="D5509" s="21"/>
    </row>
    <row r="5510" spans="1:4" ht="12.75" customHeight="1" x14ac:dyDescent="0.2">
      <c r="A5510" s="21"/>
      <c r="B5510" s="3" t="s">
        <v>16</v>
      </c>
      <c r="C5510" s="20"/>
      <c r="D5510" s="21"/>
    </row>
    <row r="5511" spans="1:4" ht="12.75" customHeight="1" x14ac:dyDescent="0.2">
      <c r="A5511" s="21"/>
      <c r="B5511" s="3" t="s">
        <v>17</v>
      </c>
      <c r="C5511" s="20"/>
      <c r="D5511" s="21"/>
    </row>
    <row r="5512" spans="1:4" ht="12.75" customHeight="1" x14ac:dyDescent="0.2">
      <c r="A5512" s="21"/>
      <c r="B5512" s="20" t="s">
        <v>18</v>
      </c>
      <c r="C5512" s="4" t="s">
        <v>44</v>
      </c>
      <c r="D5512" s="6" t="str">
        <f>HYPERLINK("javascript:void(0)","csőrszurony")</f>
        <v>csőrszurony</v>
      </c>
    </row>
    <row r="5513" spans="1:4" ht="12.75" customHeight="1" x14ac:dyDescent="0.2">
      <c r="A5513" s="21"/>
      <c r="B5513" s="21"/>
      <c r="C5513" s="4" t="s">
        <v>44</v>
      </c>
      <c r="D5513" s="6" t="str">
        <f>HYPERLINK("javascript:void(0)","kosárpenge")</f>
        <v>kosárpenge</v>
      </c>
    </row>
    <row r="5514" spans="1:4" ht="12.75" customHeight="1" x14ac:dyDescent="0.2">
      <c r="A5514" s="21"/>
      <c r="B5514" s="21"/>
      <c r="C5514" s="4" t="s">
        <v>44</v>
      </c>
      <c r="D5514" s="6" t="str">
        <f>HYPERLINK("javascript:void(0)","csóvalándzsa")</f>
        <v>csóvalándzsa</v>
      </c>
    </row>
    <row r="5515" spans="1:4" ht="12.75" customHeight="1" x14ac:dyDescent="0.2">
      <c r="A5515" s="5"/>
      <c r="B5515" s="2"/>
      <c r="C5515" s="2"/>
      <c r="D5515" s="2"/>
    </row>
    <row r="5516" spans="1:4" ht="12.75" customHeight="1" x14ac:dyDescent="0.2">
      <c r="A5516" s="22" t="str">
        <f>HYPERLINK("javascript:void(0)","kosaras mágusölő")</f>
        <v>kosaras mágusölő</v>
      </c>
      <c r="B5516" s="21"/>
      <c r="C5516" s="21"/>
      <c r="D5516" s="21"/>
    </row>
    <row r="5517" spans="1:4" ht="12.75" customHeight="1" x14ac:dyDescent="0.2">
      <c r="A5517" s="20"/>
      <c r="B5517" s="2"/>
      <c r="C5517" s="2"/>
      <c r="D5517" s="2"/>
    </row>
    <row r="5518" spans="1:4" ht="12.75" customHeight="1" x14ac:dyDescent="0.2">
      <c r="A5518" s="21"/>
      <c r="B5518" s="3" t="s">
        <v>0</v>
      </c>
      <c r="C5518" s="20" t="s">
        <v>305</v>
      </c>
      <c r="D5518" s="21"/>
    </row>
    <row r="5519" spans="1:4" ht="12.75" customHeight="1" x14ac:dyDescent="0.2">
      <c r="A5519" s="21"/>
      <c r="B5519" s="3" t="s">
        <v>2</v>
      </c>
      <c r="C5519" s="20" t="s">
        <v>1598</v>
      </c>
      <c r="D5519" s="21"/>
    </row>
    <row r="5520" spans="1:4" ht="12.75" customHeight="1" x14ac:dyDescent="0.2">
      <c r="A5520" s="21"/>
      <c r="B5520" s="3" t="s">
        <v>4</v>
      </c>
      <c r="C5520" s="20" t="s">
        <v>2307</v>
      </c>
      <c r="D5520" s="21"/>
    </row>
    <row r="5521" spans="1:4" ht="12.75" customHeight="1" x14ac:dyDescent="0.2">
      <c r="A5521" s="21"/>
      <c r="B5521" s="3" t="s">
        <v>6</v>
      </c>
      <c r="C5521" s="20" t="s">
        <v>72</v>
      </c>
      <c r="D5521" s="21"/>
    </row>
    <row r="5522" spans="1:4" ht="12.75" customHeight="1" x14ac:dyDescent="0.2">
      <c r="A5522" s="21"/>
      <c r="B5522" s="3" t="s">
        <v>8</v>
      </c>
      <c r="C5522" s="20" t="s">
        <v>2307</v>
      </c>
      <c r="D5522" s="21"/>
    </row>
    <row r="5523" spans="1:4" ht="12.75" customHeight="1" x14ac:dyDescent="0.2">
      <c r="A5523" s="21"/>
      <c r="B5523" s="3" t="s">
        <v>9</v>
      </c>
      <c r="C5523" s="20" t="s">
        <v>2054</v>
      </c>
      <c r="D5523" s="21"/>
    </row>
    <row r="5524" spans="1:4" ht="12.75" customHeight="1" x14ac:dyDescent="0.2">
      <c r="A5524" s="21"/>
      <c r="B5524" s="3" t="s">
        <v>11</v>
      </c>
      <c r="C5524" s="20" t="s">
        <v>1040</v>
      </c>
      <c r="D5524" s="21"/>
    </row>
    <row r="5525" spans="1:4" ht="12.75" customHeight="1" x14ac:dyDescent="0.2">
      <c r="A5525" s="21"/>
      <c r="B5525" s="3" t="s">
        <v>13</v>
      </c>
      <c r="C5525" s="20" t="s">
        <v>14</v>
      </c>
      <c r="D5525" s="21"/>
    </row>
    <row r="5526" spans="1:4" ht="12.75" customHeight="1" x14ac:dyDescent="0.2">
      <c r="A5526" s="21"/>
      <c r="B5526" s="3" t="s">
        <v>15</v>
      </c>
      <c r="C5526" s="20" t="s">
        <v>24</v>
      </c>
      <c r="D5526" s="21"/>
    </row>
    <row r="5527" spans="1:4" ht="12.75" customHeight="1" x14ac:dyDescent="0.2">
      <c r="A5527" s="21"/>
      <c r="B5527" s="3" t="s">
        <v>16</v>
      </c>
      <c r="C5527" s="20"/>
      <c r="D5527" s="21"/>
    </row>
    <row r="5528" spans="1:4" ht="12.75" customHeight="1" x14ac:dyDescent="0.2">
      <c r="A5528" s="21"/>
      <c r="B5528" s="3" t="s">
        <v>17</v>
      </c>
      <c r="C5528" s="20"/>
      <c r="D5528" s="21"/>
    </row>
    <row r="5529" spans="1:4" ht="12.75" customHeight="1" x14ac:dyDescent="0.2">
      <c r="A5529" s="21"/>
      <c r="B5529" s="20" t="s">
        <v>18</v>
      </c>
      <c r="C5529" s="4" t="s">
        <v>369</v>
      </c>
      <c r="D5529" s="6" t="str">
        <f>HYPERLINK("javascript:void(0)","dobverő")</f>
        <v>dobverő</v>
      </c>
    </row>
    <row r="5530" spans="1:4" ht="12.75" customHeight="1" x14ac:dyDescent="0.2">
      <c r="A5530" s="21"/>
      <c r="B5530" s="21"/>
      <c r="C5530" s="4" t="s">
        <v>2005</v>
      </c>
      <c r="D5530" s="6" t="str">
        <f>HYPERLINK("javascript:void(0)","drótkosár")</f>
        <v>drótkosár</v>
      </c>
    </row>
    <row r="5531" spans="1:4" ht="12.75" customHeight="1" x14ac:dyDescent="0.2">
      <c r="A5531" s="21"/>
      <c r="B5531" s="21"/>
      <c r="C5531" s="4" t="s">
        <v>163</v>
      </c>
      <c r="D5531" s="6" t="str">
        <f>HYPERLINK("javascript:void(0)","orrkarika")</f>
        <v>orrkarika</v>
      </c>
    </row>
    <row r="5532" spans="1:4" ht="12.75" customHeight="1" x14ac:dyDescent="0.2">
      <c r="A5532" s="5"/>
      <c r="B5532" s="2"/>
      <c r="C5532" s="2"/>
      <c r="D5532" s="2"/>
    </row>
    <row r="5533" spans="1:4" ht="12.75" customHeight="1" x14ac:dyDescent="0.2">
      <c r="A5533" s="22" t="str">
        <f>HYPERLINK("javascript:void(0)","kosárpenge")</f>
        <v>kosárpenge</v>
      </c>
      <c r="B5533" s="21"/>
      <c r="C5533" s="21"/>
      <c r="D5533" s="21"/>
    </row>
    <row r="5534" spans="1:4" ht="12.75" customHeight="1" x14ac:dyDescent="0.2">
      <c r="A5534" s="20"/>
      <c r="B5534" s="2"/>
      <c r="C5534" s="2"/>
      <c r="D5534" s="2"/>
    </row>
    <row r="5535" spans="1:4" ht="12.75" customHeight="1" x14ac:dyDescent="0.2">
      <c r="A5535" s="21"/>
      <c r="B5535" s="3" t="s">
        <v>0</v>
      </c>
      <c r="C5535" s="20" t="s">
        <v>305</v>
      </c>
      <c r="D5535" s="21"/>
    </row>
    <row r="5536" spans="1:4" ht="12.75" customHeight="1" x14ac:dyDescent="0.2">
      <c r="A5536" s="21"/>
      <c r="B5536" s="3" t="s">
        <v>2</v>
      </c>
      <c r="C5536" s="20" t="s">
        <v>1598</v>
      </c>
      <c r="D5536" s="21"/>
    </row>
    <row r="5537" spans="1:4" ht="12.75" customHeight="1" x14ac:dyDescent="0.2">
      <c r="A5537" s="21"/>
      <c r="B5537" s="3" t="s">
        <v>4</v>
      </c>
      <c r="C5537" s="20" t="s">
        <v>1558</v>
      </c>
      <c r="D5537" s="21"/>
    </row>
    <row r="5538" spans="1:4" ht="12.75" customHeight="1" x14ac:dyDescent="0.2">
      <c r="A5538" s="21"/>
      <c r="B5538" s="3" t="s">
        <v>6</v>
      </c>
      <c r="C5538" s="20" t="s">
        <v>1558</v>
      </c>
      <c r="D5538" s="21"/>
    </row>
    <row r="5539" spans="1:4" ht="12.75" customHeight="1" x14ac:dyDescent="0.2">
      <c r="A5539" s="21"/>
      <c r="B5539" s="3" t="s">
        <v>8</v>
      </c>
      <c r="C5539" s="20" t="s">
        <v>1558</v>
      </c>
      <c r="D5539" s="21"/>
    </row>
    <row r="5540" spans="1:4" ht="12.75" customHeight="1" x14ac:dyDescent="0.2">
      <c r="A5540" s="21"/>
      <c r="B5540" s="3" t="s">
        <v>9</v>
      </c>
      <c r="C5540" s="20" t="s">
        <v>1167</v>
      </c>
      <c r="D5540" s="21"/>
    </row>
    <row r="5541" spans="1:4" ht="12.75" customHeight="1" x14ac:dyDescent="0.2">
      <c r="A5541" s="21"/>
      <c r="B5541" s="3" t="s">
        <v>11</v>
      </c>
      <c r="C5541" s="20" t="s">
        <v>1560</v>
      </c>
      <c r="D5541" s="21"/>
    </row>
    <row r="5542" spans="1:4" ht="12.75" customHeight="1" x14ac:dyDescent="0.2">
      <c r="A5542" s="21"/>
      <c r="B5542" s="3" t="s">
        <v>13</v>
      </c>
      <c r="C5542" s="20" t="s">
        <v>24</v>
      </c>
      <c r="D5542" s="21"/>
    </row>
    <row r="5543" spans="1:4" ht="12.75" customHeight="1" x14ac:dyDescent="0.2">
      <c r="A5543" s="21"/>
      <c r="B5543" s="3" t="s">
        <v>15</v>
      </c>
      <c r="C5543" s="20" t="s">
        <v>24</v>
      </c>
      <c r="D5543" s="21"/>
    </row>
    <row r="5544" spans="1:4" ht="12.75" customHeight="1" x14ac:dyDescent="0.2">
      <c r="A5544" s="21"/>
      <c r="B5544" s="3" t="s">
        <v>16</v>
      </c>
      <c r="C5544" s="20"/>
      <c r="D5544" s="21"/>
    </row>
    <row r="5545" spans="1:4" ht="12.75" customHeight="1" x14ac:dyDescent="0.2">
      <c r="A5545" s="21"/>
      <c r="B5545" s="3" t="s">
        <v>17</v>
      </c>
      <c r="C5545" s="20"/>
      <c r="D5545" s="21"/>
    </row>
    <row r="5546" spans="1:4" ht="12.75" customHeight="1" x14ac:dyDescent="0.2">
      <c r="A5546" s="21"/>
      <c r="B5546" s="20" t="s">
        <v>18</v>
      </c>
      <c r="C5546" s="4" t="s">
        <v>228</v>
      </c>
      <c r="D5546" s="6" t="str">
        <f>HYPERLINK("javascript:void(0)","glóriahasító")</f>
        <v>glóriahasító</v>
      </c>
    </row>
    <row r="5547" spans="1:4" ht="12.75" customHeight="1" x14ac:dyDescent="0.2">
      <c r="A5547" s="21"/>
      <c r="B5547" s="21"/>
      <c r="C5547" s="4" t="s">
        <v>772</v>
      </c>
      <c r="D5547" s="6" t="str">
        <f>HYPERLINK("javascript:void(0)","drótkosár")</f>
        <v>drótkosár</v>
      </c>
    </row>
    <row r="5548" spans="1:4" ht="12.75" customHeight="1" x14ac:dyDescent="0.2">
      <c r="A5548" s="21"/>
      <c r="B5548" s="21"/>
      <c r="C5548" s="4" t="s">
        <v>265</v>
      </c>
      <c r="D5548" s="6" t="str">
        <f>HYPERLINK("javascript:void(0)","rojt")</f>
        <v>rojt</v>
      </c>
    </row>
    <row r="5549" spans="1:4" ht="12.75" customHeight="1" x14ac:dyDescent="0.2">
      <c r="A5549" s="5"/>
      <c r="B5549" s="2"/>
      <c r="C5549" s="2"/>
      <c r="D5549" s="2"/>
    </row>
    <row r="5550" spans="1:4" ht="12.75" customHeight="1" x14ac:dyDescent="0.2">
      <c r="A5550" s="22" t="str">
        <f>HYPERLINK("javascript:void(0)","gyémánt szabrázskard")</f>
        <v>gyémánt szabrázskard</v>
      </c>
      <c r="B5550" s="21"/>
      <c r="C5550" s="21"/>
      <c r="D5550" s="21"/>
    </row>
    <row r="5551" spans="1:4" ht="12.75" customHeight="1" x14ac:dyDescent="0.2">
      <c r="A5551" s="20"/>
      <c r="B5551" s="2"/>
      <c r="C5551" s="2"/>
      <c r="D5551" s="2"/>
    </row>
    <row r="5552" spans="1:4" ht="12.75" customHeight="1" x14ac:dyDescent="0.2">
      <c r="A5552" s="21"/>
      <c r="B5552" s="3" t="s">
        <v>0</v>
      </c>
      <c r="C5552" s="20" t="s">
        <v>1114</v>
      </c>
      <c r="D5552" s="21"/>
    </row>
    <row r="5553" spans="1:4" ht="12.75" customHeight="1" x14ac:dyDescent="0.2">
      <c r="A5553" s="21"/>
      <c r="B5553" s="3" t="s">
        <v>2</v>
      </c>
      <c r="C5553" s="20" t="s">
        <v>1598</v>
      </c>
      <c r="D5553" s="21"/>
    </row>
    <row r="5554" spans="1:4" ht="12.75" customHeight="1" x14ac:dyDescent="0.2">
      <c r="A5554" s="21"/>
      <c r="B5554" s="3" t="s">
        <v>4</v>
      </c>
      <c r="C5554" s="20" t="s">
        <v>2308</v>
      </c>
      <c r="D5554" s="21"/>
    </row>
    <row r="5555" spans="1:4" ht="12.75" customHeight="1" x14ac:dyDescent="0.2">
      <c r="A5555" s="21"/>
      <c r="B5555" s="3" t="s">
        <v>6</v>
      </c>
      <c r="C5555" s="20" t="s">
        <v>107</v>
      </c>
      <c r="D5555" s="21"/>
    </row>
    <row r="5556" spans="1:4" ht="12.75" customHeight="1" x14ac:dyDescent="0.2">
      <c r="A5556" s="21"/>
      <c r="B5556" s="3" t="s">
        <v>8</v>
      </c>
      <c r="C5556" s="20" t="s">
        <v>2308</v>
      </c>
      <c r="D5556" s="21"/>
    </row>
    <row r="5557" spans="1:4" ht="12.75" customHeight="1" x14ac:dyDescent="0.2">
      <c r="A5557" s="21"/>
      <c r="B5557" s="3" t="s">
        <v>9</v>
      </c>
      <c r="C5557" s="20" t="s">
        <v>1532</v>
      </c>
      <c r="D5557" s="21"/>
    </row>
    <row r="5558" spans="1:4" ht="12.75" customHeight="1" x14ac:dyDescent="0.2">
      <c r="A5558" s="21"/>
      <c r="B5558" s="3" t="s">
        <v>11</v>
      </c>
      <c r="C5558" s="20" t="s">
        <v>1136</v>
      </c>
      <c r="D5558" s="21"/>
    </row>
    <row r="5559" spans="1:4" ht="12.75" customHeight="1" x14ac:dyDescent="0.2">
      <c r="A5559" s="21"/>
      <c r="B5559" s="3" t="s">
        <v>13</v>
      </c>
      <c r="C5559" s="20" t="s">
        <v>24</v>
      </c>
      <c r="D5559" s="21"/>
    </row>
    <row r="5560" spans="1:4" ht="12.75" customHeight="1" x14ac:dyDescent="0.2">
      <c r="A5560" s="21"/>
      <c r="B5560" s="3" t="s">
        <v>15</v>
      </c>
      <c r="C5560" s="20" t="s">
        <v>24</v>
      </c>
      <c r="D5560" s="21"/>
    </row>
    <row r="5561" spans="1:4" ht="12.75" customHeight="1" x14ac:dyDescent="0.2">
      <c r="A5561" s="21"/>
      <c r="B5561" s="3" t="s">
        <v>16</v>
      </c>
      <c r="C5561" s="20"/>
      <c r="D5561" s="21"/>
    </row>
    <row r="5562" spans="1:4" ht="12.75" customHeight="1" x14ac:dyDescent="0.2">
      <c r="A5562" s="21"/>
      <c r="B5562" s="3" t="s">
        <v>17</v>
      </c>
      <c r="C5562" s="20"/>
      <c r="D5562" s="21"/>
    </row>
    <row r="5563" spans="1:4" ht="12.75" customHeight="1" x14ac:dyDescent="0.2">
      <c r="A5563" s="21"/>
      <c r="B5563" s="20" t="s">
        <v>18</v>
      </c>
      <c r="C5563" s="4" t="s">
        <v>44</v>
      </c>
      <c r="D5563" s="6" t="str">
        <f>HYPERLINK("javascript:void(0)","acél szabrázskard")</f>
        <v>acél szabrázskard</v>
      </c>
    </row>
    <row r="5564" spans="1:4" ht="12.75" customHeight="1" x14ac:dyDescent="0.2">
      <c r="A5564" s="21"/>
      <c r="B5564" s="21"/>
      <c r="C5564" s="4" t="s">
        <v>2309</v>
      </c>
      <c r="D5564" s="6" t="str">
        <f>HYPERLINK("javascript:void(0)","gyémánt")</f>
        <v>gyémánt</v>
      </c>
    </row>
    <row r="5565" spans="1:4" ht="12.75" customHeight="1" x14ac:dyDescent="0.2">
      <c r="A5565" s="21"/>
      <c r="B5565" s="21"/>
      <c r="C5565" s="4" t="s">
        <v>240</v>
      </c>
      <c r="D5565" s="6" t="str">
        <f>HYPERLINK("javascript:void(0)","bőrcsont")</f>
        <v>bőrcsont</v>
      </c>
    </row>
    <row r="5566" spans="1:4" ht="12.75" customHeight="1" x14ac:dyDescent="0.2">
      <c r="A5566" s="5"/>
      <c r="B5566" s="2"/>
      <c r="C5566" s="2"/>
      <c r="D5566" s="2"/>
    </row>
    <row r="5567" spans="1:4" ht="12.75" customHeight="1" x14ac:dyDescent="0.2">
      <c r="A5567" s="22" t="str">
        <f>HYPERLINK("javascript:void(0)","gyíkacél csóvalándzsa")</f>
        <v>gyíkacél csóvalándzsa</v>
      </c>
      <c r="B5567" s="21"/>
      <c r="C5567" s="21"/>
      <c r="D5567" s="21"/>
    </row>
    <row r="5568" spans="1:4" ht="12.75" customHeight="1" x14ac:dyDescent="0.2">
      <c r="A5568" s="20"/>
      <c r="B5568" s="2"/>
      <c r="C5568" s="2"/>
      <c r="D5568" s="2"/>
    </row>
    <row r="5569" spans="1:4" ht="12.75" customHeight="1" x14ac:dyDescent="0.2">
      <c r="A5569" s="21"/>
      <c r="B5569" s="3" t="s">
        <v>0</v>
      </c>
      <c r="C5569" s="20" t="s">
        <v>1114</v>
      </c>
      <c r="D5569" s="21"/>
    </row>
    <row r="5570" spans="1:4" ht="12.75" customHeight="1" x14ac:dyDescent="0.2">
      <c r="A5570" s="21"/>
      <c r="B5570" s="3" t="s">
        <v>2</v>
      </c>
      <c r="C5570" s="20" t="s">
        <v>1598</v>
      </c>
      <c r="D5570" s="21"/>
    </row>
    <row r="5571" spans="1:4" ht="12.75" customHeight="1" x14ac:dyDescent="0.2">
      <c r="A5571" s="21"/>
      <c r="B5571" s="3" t="s">
        <v>4</v>
      </c>
      <c r="C5571" s="20" t="s">
        <v>2310</v>
      </c>
      <c r="D5571" s="21"/>
    </row>
    <row r="5572" spans="1:4" ht="12.75" customHeight="1" x14ac:dyDescent="0.2">
      <c r="A5572" s="21"/>
      <c r="B5572" s="3" t="s">
        <v>6</v>
      </c>
      <c r="C5572" s="20" t="s">
        <v>52</v>
      </c>
      <c r="D5572" s="21"/>
    </row>
    <row r="5573" spans="1:4" ht="12.75" customHeight="1" x14ac:dyDescent="0.2">
      <c r="A5573" s="21"/>
      <c r="B5573" s="3" t="s">
        <v>8</v>
      </c>
      <c r="C5573" s="20" t="s">
        <v>2310</v>
      </c>
      <c r="D5573" s="21"/>
    </row>
    <row r="5574" spans="1:4" ht="12.75" customHeight="1" x14ac:dyDescent="0.2">
      <c r="A5574" s="21"/>
      <c r="B5574" s="3" t="s">
        <v>9</v>
      </c>
      <c r="C5574" s="20" t="s">
        <v>2311</v>
      </c>
      <c r="D5574" s="21"/>
    </row>
    <row r="5575" spans="1:4" ht="12.75" customHeight="1" x14ac:dyDescent="0.2">
      <c r="A5575" s="21"/>
      <c r="B5575" s="3" t="s">
        <v>11</v>
      </c>
      <c r="C5575" s="20" t="s">
        <v>866</v>
      </c>
      <c r="D5575" s="21"/>
    </row>
    <row r="5576" spans="1:4" ht="12.75" customHeight="1" x14ac:dyDescent="0.2">
      <c r="A5576" s="21"/>
      <c r="B5576" s="3" t="s">
        <v>13</v>
      </c>
      <c r="C5576" s="20" t="s">
        <v>24</v>
      </c>
      <c r="D5576" s="21"/>
    </row>
    <row r="5577" spans="1:4" ht="12.75" customHeight="1" x14ac:dyDescent="0.2">
      <c r="A5577" s="21"/>
      <c r="B5577" s="3" t="s">
        <v>15</v>
      </c>
      <c r="C5577" s="20" t="s">
        <v>24</v>
      </c>
      <c r="D5577" s="21"/>
    </row>
    <row r="5578" spans="1:4" ht="12.75" customHeight="1" x14ac:dyDescent="0.2">
      <c r="A5578" s="21"/>
      <c r="B5578" s="3" t="s">
        <v>16</v>
      </c>
      <c r="C5578" s="20"/>
      <c r="D5578" s="21"/>
    </row>
    <row r="5579" spans="1:4" ht="12.75" customHeight="1" x14ac:dyDescent="0.2">
      <c r="A5579" s="21"/>
      <c r="B5579" s="3" t="s">
        <v>17</v>
      </c>
      <c r="C5579" s="20"/>
      <c r="D5579" s="21"/>
    </row>
    <row r="5580" spans="1:4" ht="12.75" customHeight="1" x14ac:dyDescent="0.2">
      <c r="A5580" s="21"/>
      <c r="B5580" s="20" t="s">
        <v>18</v>
      </c>
      <c r="C5580" s="4" t="s">
        <v>796</v>
      </c>
      <c r="D5580" s="6" t="str">
        <f>HYPERLINK("javascript:void(0)","nyonyóc fog")</f>
        <v>nyonyóc fog</v>
      </c>
    </row>
    <row r="5581" spans="1:4" ht="12.75" customHeight="1" x14ac:dyDescent="0.2">
      <c r="A5581" s="21"/>
      <c r="B5581" s="21"/>
      <c r="C5581" s="4" t="s">
        <v>398</v>
      </c>
      <c r="D5581" s="6" t="str">
        <f>HYPERLINK("javascript:void(0)","ámbra")</f>
        <v>ámbra</v>
      </c>
    </row>
    <row r="5582" spans="1:4" ht="12.75" customHeight="1" x14ac:dyDescent="0.2">
      <c r="A5582" s="21"/>
      <c r="B5582" s="21"/>
      <c r="C5582" s="4" t="s">
        <v>358</v>
      </c>
      <c r="D5582" s="6" t="str">
        <f>HYPERLINK("javascript:void(0)","sárkány szem")</f>
        <v>sárkány szem</v>
      </c>
    </row>
    <row r="5583" spans="1:4" ht="12.75" customHeight="1" x14ac:dyDescent="0.2">
      <c r="A5583" s="5"/>
      <c r="B5583" s="2"/>
      <c r="C5583" s="2"/>
      <c r="D5583" s="2"/>
    </row>
    <row r="5584" spans="1:4" ht="12.75" customHeight="1" x14ac:dyDescent="0.2">
      <c r="A5584" s="22" t="str">
        <f>HYPERLINK("javascript:void(0)","démonacél szabrázskard")</f>
        <v>démonacél szabrázskard</v>
      </c>
      <c r="B5584" s="21"/>
      <c r="C5584" s="21"/>
      <c r="D5584" s="21"/>
    </row>
    <row r="5585" spans="1:4" ht="12.75" customHeight="1" x14ac:dyDescent="0.2">
      <c r="A5585" s="20"/>
      <c r="B5585" s="2"/>
      <c r="C5585" s="2"/>
      <c r="D5585" s="2"/>
    </row>
    <row r="5586" spans="1:4" ht="12.75" customHeight="1" x14ac:dyDescent="0.2">
      <c r="A5586" s="21"/>
      <c r="B5586" s="3" t="s">
        <v>0</v>
      </c>
      <c r="C5586" s="20" t="s">
        <v>356</v>
      </c>
      <c r="D5586" s="21"/>
    </row>
    <row r="5587" spans="1:4" ht="12.75" customHeight="1" x14ac:dyDescent="0.2">
      <c r="A5587" s="21"/>
      <c r="B5587" s="3" t="s">
        <v>2</v>
      </c>
      <c r="C5587" s="20" t="s">
        <v>1598</v>
      </c>
      <c r="D5587" s="21"/>
    </row>
    <row r="5588" spans="1:4" ht="12.75" customHeight="1" x14ac:dyDescent="0.2">
      <c r="A5588" s="21"/>
      <c r="B5588" s="3" t="s">
        <v>4</v>
      </c>
      <c r="C5588" s="20" t="s">
        <v>2312</v>
      </c>
      <c r="D5588" s="21"/>
    </row>
    <row r="5589" spans="1:4" ht="12.75" customHeight="1" x14ac:dyDescent="0.2">
      <c r="A5589" s="21"/>
      <c r="B5589" s="3" t="s">
        <v>6</v>
      </c>
      <c r="C5589" s="20" t="s">
        <v>178</v>
      </c>
      <c r="D5589" s="21"/>
    </row>
    <row r="5590" spans="1:4" ht="12.75" customHeight="1" x14ac:dyDescent="0.2">
      <c r="A5590" s="21"/>
      <c r="B5590" s="3" t="s">
        <v>8</v>
      </c>
      <c r="C5590" s="20" t="s">
        <v>2312</v>
      </c>
      <c r="D5590" s="21"/>
    </row>
    <row r="5591" spans="1:4" ht="12.75" customHeight="1" x14ac:dyDescent="0.2">
      <c r="A5591" s="21"/>
      <c r="B5591" s="3" t="s">
        <v>9</v>
      </c>
      <c r="C5591" s="20" t="s">
        <v>1503</v>
      </c>
      <c r="D5591" s="21"/>
    </row>
    <row r="5592" spans="1:4" ht="12.75" customHeight="1" x14ac:dyDescent="0.2">
      <c r="A5592" s="21"/>
      <c r="B5592" s="3" t="s">
        <v>11</v>
      </c>
      <c r="C5592" s="20" t="s">
        <v>1145</v>
      </c>
      <c r="D5592" s="21"/>
    </row>
    <row r="5593" spans="1:4" ht="12.75" customHeight="1" x14ac:dyDescent="0.2">
      <c r="A5593" s="21"/>
      <c r="B5593" s="3" t="s">
        <v>13</v>
      </c>
      <c r="C5593" s="20" t="s">
        <v>24</v>
      </c>
      <c r="D5593" s="21"/>
    </row>
    <row r="5594" spans="1:4" ht="12.75" customHeight="1" x14ac:dyDescent="0.2">
      <c r="A5594" s="21"/>
      <c r="B5594" s="3" t="s">
        <v>15</v>
      </c>
      <c r="C5594" s="20" t="s">
        <v>24</v>
      </c>
      <c r="D5594" s="21"/>
    </row>
    <row r="5595" spans="1:4" ht="12.75" customHeight="1" x14ac:dyDescent="0.2">
      <c r="A5595" s="21"/>
      <c r="B5595" s="3" t="s">
        <v>16</v>
      </c>
      <c r="C5595" s="20"/>
      <c r="D5595" s="21"/>
    </row>
    <row r="5596" spans="1:4" ht="12.75" customHeight="1" x14ac:dyDescent="0.2">
      <c r="A5596" s="21"/>
      <c r="B5596" s="3" t="s">
        <v>17</v>
      </c>
      <c r="C5596" s="20"/>
      <c r="D5596" s="21"/>
    </row>
    <row r="5597" spans="1:4" ht="12.75" customHeight="1" x14ac:dyDescent="0.2">
      <c r="A5597" s="21"/>
      <c r="B5597" s="20" t="s">
        <v>18</v>
      </c>
      <c r="C5597" s="4" t="s">
        <v>494</v>
      </c>
      <c r="D5597" s="6" t="str">
        <f>HYPERLINK("javascript:void(0)","harmatcsepp")</f>
        <v>harmatcsepp</v>
      </c>
    </row>
    <row r="5598" spans="1:4" ht="12.75" customHeight="1" x14ac:dyDescent="0.2">
      <c r="A5598" s="21"/>
      <c r="B5598" s="21"/>
      <c r="C5598" s="4" t="s">
        <v>327</v>
      </c>
      <c r="D5598" s="6" t="str">
        <f>HYPERLINK("javascript:void(0)","méregcsepp")</f>
        <v>méregcsepp</v>
      </c>
    </row>
    <row r="5599" spans="1:4" ht="12.75" customHeight="1" x14ac:dyDescent="0.2">
      <c r="A5599" s="21"/>
      <c r="B5599" s="21"/>
      <c r="C5599" s="4" t="s">
        <v>2140</v>
      </c>
      <c r="D5599" s="6" t="str">
        <f>HYPERLINK("javascript:void(0)","fügetövis")</f>
        <v>fügetövis</v>
      </c>
    </row>
    <row r="5600" spans="1:4" ht="12.75" customHeight="1" x14ac:dyDescent="0.2">
      <c r="A5600" s="5"/>
      <c r="B5600" s="2"/>
      <c r="C5600" s="2"/>
      <c r="D5600" s="2"/>
    </row>
    <row r="5601" spans="1:4" ht="12.75" customHeight="1" x14ac:dyDescent="0.2">
      <c r="A5601" s="22" t="str">
        <f>HYPERLINK("javascript:void(0)","tövises mágusölő")</f>
        <v>tövises mágusölő</v>
      </c>
      <c r="B5601" s="21"/>
      <c r="C5601" s="21"/>
      <c r="D5601" s="21"/>
    </row>
    <row r="5602" spans="1:4" ht="12.75" customHeight="1" x14ac:dyDescent="0.2">
      <c r="A5602" s="20"/>
      <c r="B5602" s="2"/>
      <c r="C5602" s="2"/>
      <c r="D5602" s="2"/>
    </row>
    <row r="5603" spans="1:4" ht="12.75" customHeight="1" x14ac:dyDescent="0.2">
      <c r="A5603" s="21"/>
      <c r="B5603" s="3" t="s">
        <v>0</v>
      </c>
      <c r="C5603" s="20" t="s">
        <v>356</v>
      </c>
      <c r="D5603" s="21"/>
    </row>
    <row r="5604" spans="1:4" ht="12.75" customHeight="1" x14ac:dyDescent="0.2">
      <c r="A5604" s="21"/>
      <c r="B5604" s="3" t="s">
        <v>2</v>
      </c>
      <c r="C5604" s="20" t="s">
        <v>1598</v>
      </c>
      <c r="D5604" s="21"/>
    </row>
    <row r="5605" spans="1:4" ht="12.75" customHeight="1" x14ac:dyDescent="0.2">
      <c r="A5605" s="21"/>
      <c r="B5605" s="3" t="s">
        <v>4</v>
      </c>
      <c r="C5605" s="20" t="s">
        <v>2313</v>
      </c>
      <c r="D5605" s="21"/>
    </row>
    <row r="5606" spans="1:4" ht="12.75" customHeight="1" x14ac:dyDescent="0.2">
      <c r="A5606" s="21"/>
      <c r="B5606" s="3" t="s">
        <v>6</v>
      </c>
      <c r="C5606" s="20" t="s">
        <v>74</v>
      </c>
      <c r="D5606" s="21"/>
    </row>
    <row r="5607" spans="1:4" ht="12.75" customHeight="1" x14ac:dyDescent="0.2">
      <c r="A5607" s="21"/>
      <c r="B5607" s="3" t="s">
        <v>8</v>
      </c>
      <c r="C5607" s="20" t="s">
        <v>2313</v>
      </c>
      <c r="D5607" s="21"/>
    </row>
    <row r="5608" spans="1:4" ht="12.75" customHeight="1" x14ac:dyDescent="0.2">
      <c r="A5608" s="21"/>
      <c r="B5608" s="3" t="s">
        <v>9</v>
      </c>
      <c r="C5608" s="20" t="s">
        <v>1233</v>
      </c>
      <c r="D5608" s="21"/>
    </row>
    <row r="5609" spans="1:4" ht="12.75" customHeight="1" x14ac:dyDescent="0.2">
      <c r="A5609" s="21"/>
      <c r="B5609" s="3" t="s">
        <v>11</v>
      </c>
      <c r="C5609" s="20" t="s">
        <v>2190</v>
      </c>
      <c r="D5609" s="21"/>
    </row>
    <row r="5610" spans="1:4" ht="12.75" customHeight="1" x14ac:dyDescent="0.2">
      <c r="A5610" s="21"/>
      <c r="B5610" s="3" t="s">
        <v>13</v>
      </c>
      <c r="C5610" s="20" t="s">
        <v>14</v>
      </c>
      <c r="D5610" s="21"/>
    </row>
    <row r="5611" spans="1:4" ht="12.75" customHeight="1" x14ac:dyDescent="0.2">
      <c r="A5611" s="21"/>
      <c r="B5611" s="3" t="s">
        <v>15</v>
      </c>
      <c r="C5611" s="20" t="s">
        <v>24</v>
      </c>
      <c r="D5611" s="21"/>
    </row>
    <row r="5612" spans="1:4" ht="12.75" customHeight="1" x14ac:dyDescent="0.2">
      <c r="A5612" s="21"/>
      <c r="B5612" s="3" t="s">
        <v>16</v>
      </c>
      <c r="C5612" s="20"/>
      <c r="D5612" s="21"/>
    </row>
    <row r="5613" spans="1:4" ht="12.75" customHeight="1" x14ac:dyDescent="0.2">
      <c r="A5613" s="21"/>
      <c r="B5613" s="3" t="s">
        <v>17</v>
      </c>
      <c r="C5613" s="20"/>
      <c r="D5613" s="21"/>
    </row>
    <row r="5614" spans="1:4" ht="12.75" customHeight="1" x14ac:dyDescent="0.2">
      <c r="A5614" s="21"/>
      <c r="B5614" s="20" t="s">
        <v>18</v>
      </c>
      <c r="C5614" s="4" t="s">
        <v>894</v>
      </c>
      <c r="D5614" s="6" t="str">
        <f>HYPERLINK("javascript:void(0)","rotorlapát")</f>
        <v>rotorlapát</v>
      </c>
    </row>
    <row r="5615" spans="1:4" ht="12.75" customHeight="1" x14ac:dyDescent="0.2">
      <c r="A5615" s="21"/>
      <c r="B5615" s="21"/>
      <c r="C5615" s="4" t="s">
        <v>2314</v>
      </c>
      <c r="D5615" s="6" t="str">
        <f>HYPERLINK("javascript:void(0)","fügetövis")</f>
        <v>fügetövis</v>
      </c>
    </row>
    <row r="5616" spans="1:4" ht="12.75" customHeight="1" x14ac:dyDescent="0.2">
      <c r="A5616" s="21"/>
      <c r="B5616" s="21"/>
      <c r="C5616" s="4" t="s">
        <v>163</v>
      </c>
      <c r="D5616" s="6" t="str">
        <f>HYPERLINK("javascript:void(0)","wattacsomó")</f>
        <v>wattacsomó</v>
      </c>
    </row>
    <row r="5617" spans="1:4" ht="12.75" customHeight="1" x14ac:dyDescent="0.2">
      <c r="A5617" s="5"/>
      <c r="B5617" s="2"/>
      <c r="C5617" s="2"/>
      <c r="D5617" s="2"/>
    </row>
    <row r="5618" spans="1:4" ht="12.75" customHeight="1" x14ac:dyDescent="0.2">
      <c r="A5618" s="22" t="str">
        <f>HYPERLINK("javascript:void(0)","elfacél szabrázskard")</f>
        <v>elfacél szabrázskard</v>
      </c>
      <c r="B5618" s="21"/>
      <c r="C5618" s="21"/>
      <c r="D5618" s="21"/>
    </row>
    <row r="5619" spans="1:4" ht="12.75" customHeight="1" x14ac:dyDescent="0.2">
      <c r="A5619" s="20"/>
      <c r="B5619" s="2"/>
      <c r="C5619" s="2"/>
      <c r="D5619" s="2"/>
    </row>
    <row r="5620" spans="1:4" ht="12.75" customHeight="1" x14ac:dyDescent="0.2">
      <c r="A5620" s="21"/>
      <c r="B5620" s="3" t="s">
        <v>0</v>
      </c>
      <c r="C5620" s="20" t="s">
        <v>110</v>
      </c>
      <c r="D5620" s="21"/>
    </row>
    <row r="5621" spans="1:4" ht="12.75" customHeight="1" x14ac:dyDescent="0.2">
      <c r="A5621" s="21"/>
      <c r="B5621" s="3" t="s">
        <v>2</v>
      </c>
      <c r="C5621" s="20" t="s">
        <v>1598</v>
      </c>
      <c r="D5621" s="21"/>
    </row>
    <row r="5622" spans="1:4" ht="12.75" customHeight="1" x14ac:dyDescent="0.2">
      <c r="A5622" s="21"/>
      <c r="B5622" s="3" t="s">
        <v>4</v>
      </c>
      <c r="C5622" s="20" t="s">
        <v>2315</v>
      </c>
      <c r="D5622" s="21"/>
    </row>
    <row r="5623" spans="1:4" ht="12.75" customHeight="1" x14ac:dyDescent="0.2">
      <c r="A5623" s="21"/>
      <c r="B5623" s="3" t="s">
        <v>6</v>
      </c>
      <c r="C5623" s="20" t="s">
        <v>178</v>
      </c>
      <c r="D5623" s="21"/>
    </row>
    <row r="5624" spans="1:4" ht="12.75" customHeight="1" x14ac:dyDescent="0.2">
      <c r="A5624" s="21"/>
      <c r="B5624" s="3" t="s">
        <v>8</v>
      </c>
      <c r="C5624" s="20" t="s">
        <v>2315</v>
      </c>
      <c r="D5624" s="21"/>
    </row>
    <row r="5625" spans="1:4" ht="12.75" customHeight="1" x14ac:dyDescent="0.2">
      <c r="A5625" s="21"/>
      <c r="B5625" s="3" t="s">
        <v>9</v>
      </c>
      <c r="C5625" s="20" t="s">
        <v>36</v>
      </c>
      <c r="D5625" s="21"/>
    </row>
    <row r="5626" spans="1:4" ht="12.75" customHeight="1" x14ac:dyDescent="0.2">
      <c r="A5626" s="21"/>
      <c r="B5626" s="3" t="s">
        <v>11</v>
      </c>
      <c r="C5626" s="20" t="s">
        <v>1153</v>
      </c>
      <c r="D5626" s="21"/>
    </row>
    <row r="5627" spans="1:4" ht="12.75" customHeight="1" x14ac:dyDescent="0.2">
      <c r="A5627" s="21"/>
      <c r="B5627" s="3" t="s">
        <v>13</v>
      </c>
      <c r="C5627" s="20" t="s">
        <v>24</v>
      </c>
      <c r="D5627" s="21"/>
    </row>
    <row r="5628" spans="1:4" ht="12.75" customHeight="1" x14ac:dyDescent="0.2">
      <c r="A5628" s="21"/>
      <c r="B5628" s="3" t="s">
        <v>15</v>
      </c>
      <c r="C5628" s="20" t="s">
        <v>24</v>
      </c>
      <c r="D5628" s="21"/>
    </row>
    <row r="5629" spans="1:4" ht="12.75" customHeight="1" x14ac:dyDescent="0.2">
      <c r="A5629" s="21"/>
      <c r="B5629" s="3" t="s">
        <v>16</v>
      </c>
      <c r="C5629" s="20"/>
      <c r="D5629" s="21"/>
    </row>
    <row r="5630" spans="1:4" ht="12.75" customHeight="1" x14ac:dyDescent="0.2">
      <c r="A5630" s="21"/>
      <c r="B5630" s="3" t="s">
        <v>17</v>
      </c>
      <c r="C5630" s="20"/>
      <c r="D5630" s="21"/>
    </row>
    <row r="5631" spans="1:4" ht="25.5" customHeight="1" x14ac:dyDescent="0.2">
      <c r="A5631" s="21"/>
      <c r="B5631" s="20" t="s">
        <v>18</v>
      </c>
      <c r="C5631" s="4" t="s">
        <v>44</v>
      </c>
      <c r="D5631" s="6" t="str">
        <f>HYPERLINK("javascript:void(0)","démonacél szabrázskard")</f>
        <v>démonacél szabrázskard</v>
      </c>
    </row>
    <row r="5632" spans="1:4" ht="12.75" customHeight="1" x14ac:dyDescent="0.2">
      <c r="A5632" s="21"/>
      <c r="B5632" s="21"/>
      <c r="C5632" s="4" t="s">
        <v>44</v>
      </c>
      <c r="D5632" s="6" t="str">
        <f>HYPERLINK("javascript:void(0)","tuskópenge")</f>
        <v>tuskópenge</v>
      </c>
    </row>
    <row r="5633" spans="1:4" ht="25.5" customHeight="1" x14ac:dyDescent="0.2">
      <c r="A5633" s="21"/>
      <c r="B5633" s="21"/>
      <c r="C5633" s="4" t="s">
        <v>44</v>
      </c>
      <c r="D5633" s="6" t="str">
        <f>HYPERLINK("javascript:void(0)","gyémánt szabrázskard")</f>
        <v>gyémánt szabrázskard</v>
      </c>
    </row>
    <row r="5634" spans="1:4" ht="12.75" customHeight="1" x14ac:dyDescent="0.2">
      <c r="A5634" s="5"/>
      <c r="B5634" s="2"/>
      <c r="C5634" s="2"/>
      <c r="D5634" s="2"/>
    </row>
    <row r="5635" spans="1:4" ht="12.75" customHeight="1" x14ac:dyDescent="0.2">
      <c r="A5635" s="22" t="str">
        <f>HYPERLINK("javascript:void(0)","gyíkacél tuskólándzsa")</f>
        <v>gyíkacél tuskólándzsa</v>
      </c>
      <c r="B5635" s="21"/>
      <c r="C5635" s="21"/>
      <c r="D5635" s="21"/>
    </row>
    <row r="5636" spans="1:4" ht="12.75" customHeight="1" x14ac:dyDescent="0.2">
      <c r="A5636" s="20"/>
      <c r="B5636" s="2"/>
      <c r="C5636" s="2"/>
      <c r="D5636" s="2"/>
    </row>
    <row r="5637" spans="1:4" ht="12.75" customHeight="1" x14ac:dyDescent="0.2">
      <c r="A5637" s="21"/>
      <c r="B5637" s="3" t="s">
        <v>0</v>
      </c>
      <c r="C5637" s="20" t="s">
        <v>110</v>
      </c>
      <c r="D5637" s="21"/>
    </row>
    <row r="5638" spans="1:4" ht="12.75" customHeight="1" x14ac:dyDescent="0.2">
      <c r="A5638" s="21"/>
      <c r="B5638" s="3" t="s">
        <v>2</v>
      </c>
      <c r="C5638" s="20" t="s">
        <v>1598</v>
      </c>
      <c r="D5638" s="21"/>
    </row>
    <row r="5639" spans="1:4" ht="12.75" customHeight="1" x14ac:dyDescent="0.2">
      <c r="A5639" s="21"/>
      <c r="B5639" s="3" t="s">
        <v>4</v>
      </c>
      <c r="C5639" s="20" t="s">
        <v>2316</v>
      </c>
      <c r="D5639" s="21"/>
    </row>
    <row r="5640" spans="1:4" ht="12.75" customHeight="1" x14ac:dyDescent="0.2">
      <c r="A5640" s="21"/>
      <c r="B5640" s="3" t="s">
        <v>6</v>
      </c>
      <c r="C5640" s="20" t="s">
        <v>340</v>
      </c>
      <c r="D5640" s="21"/>
    </row>
    <row r="5641" spans="1:4" ht="12.75" customHeight="1" x14ac:dyDescent="0.2">
      <c r="A5641" s="21"/>
      <c r="B5641" s="3" t="s">
        <v>8</v>
      </c>
      <c r="C5641" s="20" t="s">
        <v>2316</v>
      </c>
      <c r="D5641" s="21"/>
    </row>
    <row r="5642" spans="1:4" ht="12.75" customHeight="1" x14ac:dyDescent="0.2">
      <c r="A5642" s="21"/>
      <c r="B5642" s="3" t="s">
        <v>9</v>
      </c>
      <c r="C5642" s="20" t="s">
        <v>2317</v>
      </c>
      <c r="D5642" s="21"/>
    </row>
    <row r="5643" spans="1:4" ht="12.75" customHeight="1" x14ac:dyDescent="0.2">
      <c r="A5643" s="21"/>
      <c r="B5643" s="3" t="s">
        <v>11</v>
      </c>
      <c r="C5643" s="20" t="s">
        <v>887</v>
      </c>
      <c r="D5643" s="21"/>
    </row>
    <row r="5644" spans="1:4" ht="12.75" customHeight="1" x14ac:dyDescent="0.2">
      <c r="A5644" s="21"/>
      <c r="B5644" s="3" t="s">
        <v>13</v>
      </c>
      <c r="C5644" s="20" t="s">
        <v>24</v>
      </c>
      <c r="D5644" s="21"/>
    </row>
    <row r="5645" spans="1:4" ht="12.75" customHeight="1" x14ac:dyDescent="0.2">
      <c r="A5645" s="21"/>
      <c r="B5645" s="3" t="s">
        <v>15</v>
      </c>
      <c r="C5645" s="20" t="s">
        <v>24</v>
      </c>
      <c r="D5645" s="21"/>
    </row>
    <row r="5646" spans="1:4" ht="12.75" customHeight="1" x14ac:dyDescent="0.2">
      <c r="A5646" s="21"/>
      <c r="B5646" s="3" t="s">
        <v>16</v>
      </c>
      <c r="C5646" s="20"/>
      <c r="D5646" s="21"/>
    </row>
    <row r="5647" spans="1:4" ht="12.75" customHeight="1" x14ac:dyDescent="0.2">
      <c r="A5647" s="21"/>
      <c r="B5647" s="3" t="s">
        <v>17</v>
      </c>
      <c r="C5647" s="20"/>
      <c r="D5647" s="21"/>
    </row>
    <row r="5648" spans="1:4" ht="12.75" customHeight="1" x14ac:dyDescent="0.2">
      <c r="A5648" s="21"/>
      <c r="B5648" s="20" t="s">
        <v>18</v>
      </c>
      <c r="C5648" s="4" t="s">
        <v>756</v>
      </c>
      <c r="D5648" s="6" t="str">
        <f>HYPERLINK("javascript:void(0)","vasrög")</f>
        <v>vasrög</v>
      </c>
    </row>
    <row r="5649" spans="1:4" ht="12.75" customHeight="1" x14ac:dyDescent="0.2">
      <c r="A5649" s="21"/>
      <c r="B5649" s="21"/>
      <c r="C5649" s="4" t="s">
        <v>398</v>
      </c>
      <c r="D5649" s="6" t="str">
        <f>HYPERLINK("javascript:void(0)","mágnes")</f>
        <v>mágnes</v>
      </c>
    </row>
    <row r="5650" spans="1:4" ht="12.75" customHeight="1" x14ac:dyDescent="0.2">
      <c r="A5650" s="21"/>
      <c r="B5650" s="21"/>
      <c r="C5650" s="4" t="s">
        <v>265</v>
      </c>
      <c r="D5650" s="6" t="str">
        <f>HYPERLINK("javascript:void(0)","hiperzsír")</f>
        <v>hiperzsír</v>
      </c>
    </row>
    <row r="5651" spans="1:4" ht="12.75" customHeight="1" x14ac:dyDescent="0.2">
      <c r="A5651" s="5"/>
      <c r="B5651" s="2"/>
      <c r="C5651" s="2"/>
      <c r="D5651" s="2"/>
    </row>
    <row r="5652" spans="1:4" ht="12.75" customHeight="1" x14ac:dyDescent="0.2">
      <c r="A5652" s="22" t="str">
        <f>HYPERLINK("javascript:void(0)","tuskópenge")</f>
        <v>tuskópenge</v>
      </c>
      <c r="B5652" s="21"/>
      <c r="C5652" s="21"/>
      <c r="D5652" s="21"/>
    </row>
    <row r="5653" spans="1:4" ht="12.75" customHeight="1" x14ac:dyDescent="0.2">
      <c r="A5653" s="20"/>
      <c r="B5653" s="2"/>
      <c r="C5653" s="2"/>
      <c r="D5653" s="2"/>
    </row>
    <row r="5654" spans="1:4" ht="12.75" customHeight="1" x14ac:dyDescent="0.2">
      <c r="A5654" s="21"/>
      <c r="B5654" s="3" t="s">
        <v>0</v>
      </c>
      <c r="C5654" s="20" t="s">
        <v>110</v>
      </c>
      <c r="D5654" s="21"/>
    </row>
    <row r="5655" spans="1:4" ht="12.75" customHeight="1" x14ac:dyDescent="0.2">
      <c r="A5655" s="21"/>
      <c r="B5655" s="3" t="s">
        <v>2</v>
      </c>
      <c r="C5655" s="20" t="s">
        <v>1598</v>
      </c>
      <c r="D5655" s="21"/>
    </row>
    <row r="5656" spans="1:4" ht="12.75" customHeight="1" x14ac:dyDescent="0.2">
      <c r="A5656" s="21"/>
      <c r="B5656" s="3" t="s">
        <v>4</v>
      </c>
      <c r="C5656" s="20" t="s">
        <v>657</v>
      </c>
      <c r="D5656" s="21"/>
    </row>
    <row r="5657" spans="1:4" ht="12.75" customHeight="1" x14ac:dyDescent="0.2">
      <c r="A5657" s="21"/>
      <c r="B5657" s="3" t="s">
        <v>6</v>
      </c>
      <c r="C5657" s="20" t="s">
        <v>1579</v>
      </c>
      <c r="D5657" s="21"/>
    </row>
    <row r="5658" spans="1:4" ht="12.75" customHeight="1" x14ac:dyDescent="0.2">
      <c r="A5658" s="21"/>
      <c r="B5658" s="3" t="s">
        <v>8</v>
      </c>
      <c r="C5658" s="20" t="s">
        <v>657</v>
      </c>
      <c r="D5658" s="21"/>
    </row>
    <row r="5659" spans="1:4" ht="12.75" customHeight="1" x14ac:dyDescent="0.2">
      <c r="A5659" s="21"/>
      <c r="B5659" s="3" t="s">
        <v>9</v>
      </c>
      <c r="C5659" s="20" t="s">
        <v>2196</v>
      </c>
      <c r="D5659" s="21"/>
    </row>
    <row r="5660" spans="1:4" ht="12.75" customHeight="1" x14ac:dyDescent="0.2">
      <c r="A5660" s="21"/>
      <c r="B5660" s="3" t="s">
        <v>11</v>
      </c>
      <c r="C5660" s="20" t="s">
        <v>1488</v>
      </c>
      <c r="D5660" s="21"/>
    </row>
    <row r="5661" spans="1:4" ht="12.75" customHeight="1" x14ac:dyDescent="0.2">
      <c r="A5661" s="21"/>
      <c r="B5661" s="3" t="s">
        <v>13</v>
      </c>
      <c r="C5661" s="20" t="s">
        <v>24</v>
      </c>
      <c r="D5661" s="21"/>
    </row>
    <row r="5662" spans="1:4" ht="12.75" customHeight="1" x14ac:dyDescent="0.2">
      <c r="A5662" s="21"/>
      <c r="B5662" s="3" t="s">
        <v>15</v>
      </c>
      <c r="C5662" s="20" t="s">
        <v>24</v>
      </c>
      <c r="D5662" s="21"/>
    </row>
    <row r="5663" spans="1:4" ht="12.75" customHeight="1" x14ac:dyDescent="0.2">
      <c r="A5663" s="21"/>
      <c r="B5663" s="3" t="s">
        <v>16</v>
      </c>
      <c r="C5663" s="20"/>
      <c r="D5663" s="21"/>
    </row>
    <row r="5664" spans="1:4" ht="12.75" customHeight="1" x14ac:dyDescent="0.2">
      <c r="A5664" s="21"/>
      <c r="B5664" s="3" t="s">
        <v>17</v>
      </c>
      <c r="C5664" s="20"/>
      <c r="D5664" s="21"/>
    </row>
    <row r="5665" spans="1:4" ht="12.75" customHeight="1" x14ac:dyDescent="0.2">
      <c r="A5665" s="21"/>
      <c r="B5665" s="20" t="s">
        <v>18</v>
      </c>
      <c r="C5665" s="4" t="s">
        <v>228</v>
      </c>
      <c r="D5665" s="6" t="str">
        <f>HYPERLINK("javascript:void(0)","kvarc")</f>
        <v>kvarc</v>
      </c>
    </row>
    <row r="5666" spans="1:4" ht="12.75" customHeight="1" x14ac:dyDescent="0.2">
      <c r="A5666" s="21"/>
      <c r="B5666" s="21"/>
      <c r="C5666" s="4" t="s">
        <v>228</v>
      </c>
      <c r="D5666" s="6" t="str">
        <f>HYPERLINK("javascript:void(0)","tuskójelvény")</f>
        <v>tuskójelvény</v>
      </c>
    </row>
    <row r="5667" spans="1:4" ht="12.75" customHeight="1" x14ac:dyDescent="0.2">
      <c r="A5667" s="21"/>
      <c r="B5667" s="21"/>
      <c r="C5667" s="4" t="s">
        <v>2318</v>
      </c>
      <c r="D5667" s="6" t="str">
        <f>HYPERLINK("javascript:void(0)","harmatcsepp")</f>
        <v>harmatcsepp</v>
      </c>
    </row>
    <row r="5668" spans="1:4" ht="12.75" customHeight="1" x14ac:dyDescent="0.2">
      <c r="A5668" s="5"/>
      <c r="B5668" s="2"/>
      <c r="C5668" s="2"/>
      <c r="D5668" s="2"/>
    </row>
    <row r="5669" spans="1:4" ht="12.75" customHeight="1" x14ac:dyDescent="0.2">
      <c r="A5669" s="22" t="str">
        <f>HYPERLINK("javascript:void(0)","lepkepenge")</f>
        <v>lepkepenge</v>
      </c>
      <c r="B5669" s="21"/>
      <c r="C5669" s="21"/>
      <c r="D5669" s="21"/>
    </row>
    <row r="5670" spans="1:4" ht="12.75" customHeight="1" x14ac:dyDescent="0.2">
      <c r="A5670" s="20"/>
      <c r="B5670" s="2"/>
      <c r="C5670" s="2"/>
      <c r="D5670" s="2"/>
    </row>
    <row r="5671" spans="1:4" ht="12.75" customHeight="1" x14ac:dyDescent="0.2">
      <c r="A5671" s="21"/>
      <c r="B5671" s="3" t="s">
        <v>0</v>
      </c>
      <c r="C5671" s="20" t="s">
        <v>110</v>
      </c>
      <c r="D5671" s="21"/>
    </row>
    <row r="5672" spans="1:4" ht="12.75" customHeight="1" x14ac:dyDescent="0.2">
      <c r="A5672" s="21"/>
      <c r="B5672" s="3" t="s">
        <v>2</v>
      </c>
      <c r="C5672" s="20" t="s">
        <v>1598</v>
      </c>
      <c r="D5672" s="21"/>
    </row>
    <row r="5673" spans="1:4" ht="12.75" customHeight="1" x14ac:dyDescent="0.2">
      <c r="A5673" s="21"/>
      <c r="B5673" s="3" t="s">
        <v>4</v>
      </c>
      <c r="C5673" s="20" t="s">
        <v>2319</v>
      </c>
      <c r="D5673" s="21"/>
    </row>
    <row r="5674" spans="1:4" ht="12.75" customHeight="1" x14ac:dyDescent="0.2">
      <c r="A5674" s="21"/>
      <c r="B5674" s="3" t="s">
        <v>6</v>
      </c>
      <c r="C5674" s="20" t="s">
        <v>1581</v>
      </c>
      <c r="D5674" s="21"/>
    </row>
    <row r="5675" spans="1:4" ht="12.75" customHeight="1" x14ac:dyDescent="0.2">
      <c r="A5675" s="21"/>
      <c r="B5675" s="3" t="s">
        <v>8</v>
      </c>
      <c r="C5675" s="20" t="s">
        <v>2319</v>
      </c>
      <c r="D5675" s="21"/>
    </row>
    <row r="5676" spans="1:4" ht="12.75" customHeight="1" x14ac:dyDescent="0.2">
      <c r="A5676" s="21"/>
      <c r="B5676" s="3" t="s">
        <v>9</v>
      </c>
      <c r="C5676" s="20" t="s">
        <v>2105</v>
      </c>
      <c r="D5676" s="21"/>
    </row>
    <row r="5677" spans="1:4" ht="12.75" customHeight="1" x14ac:dyDescent="0.2">
      <c r="A5677" s="21"/>
      <c r="B5677" s="3" t="s">
        <v>11</v>
      </c>
      <c r="C5677" s="20" t="s">
        <v>1488</v>
      </c>
      <c r="D5677" s="21"/>
    </row>
    <row r="5678" spans="1:4" ht="12.75" customHeight="1" x14ac:dyDescent="0.2">
      <c r="A5678" s="21"/>
      <c r="B5678" s="3" t="s">
        <v>13</v>
      </c>
      <c r="C5678" s="20" t="s">
        <v>24</v>
      </c>
      <c r="D5678" s="21"/>
    </row>
    <row r="5679" spans="1:4" ht="12.75" customHeight="1" x14ac:dyDescent="0.2">
      <c r="A5679" s="21"/>
      <c r="B5679" s="3" t="s">
        <v>15</v>
      </c>
      <c r="C5679" s="20" t="s">
        <v>24</v>
      </c>
      <c r="D5679" s="21"/>
    </row>
    <row r="5680" spans="1:4" ht="12.75" customHeight="1" x14ac:dyDescent="0.2">
      <c r="A5680" s="21"/>
      <c r="B5680" s="3" t="s">
        <v>16</v>
      </c>
      <c r="C5680" s="20"/>
      <c r="D5680" s="21"/>
    </row>
    <row r="5681" spans="1:4" ht="12.75" customHeight="1" x14ac:dyDescent="0.2">
      <c r="A5681" s="21"/>
      <c r="B5681" s="3" t="s">
        <v>17</v>
      </c>
      <c r="C5681" s="20"/>
      <c r="D5681" s="21"/>
    </row>
    <row r="5682" spans="1:4" ht="12.75" customHeight="1" x14ac:dyDescent="0.2">
      <c r="A5682" s="21"/>
      <c r="B5682" s="20" t="s">
        <v>18</v>
      </c>
      <c r="C5682" s="4" t="s">
        <v>139</v>
      </c>
      <c r="D5682" s="6" t="str">
        <f>HYPERLINK("javascript:void(0)","fiola")</f>
        <v>fiola</v>
      </c>
    </row>
    <row r="5683" spans="1:4" ht="12.75" customHeight="1" x14ac:dyDescent="0.2">
      <c r="A5683" s="21"/>
      <c r="B5683" s="21"/>
      <c r="C5683" s="4" t="s">
        <v>786</v>
      </c>
      <c r="D5683" s="6" t="str">
        <f>HYPERLINK("javascript:void(0)","vanesszin")</f>
        <v>vanesszin</v>
      </c>
    </row>
    <row r="5684" spans="1:4" ht="12.75" customHeight="1" x14ac:dyDescent="0.2">
      <c r="A5684" s="21"/>
      <c r="B5684" s="21"/>
      <c r="C5684" s="4" t="s">
        <v>265</v>
      </c>
      <c r="D5684" s="6" t="str">
        <f>HYPERLINK("javascript:void(0)","rotorlapát")</f>
        <v>rotorlapát</v>
      </c>
    </row>
    <row r="5685" spans="1:4" ht="12.75" customHeight="1" x14ac:dyDescent="0.2">
      <c r="A5685" s="5"/>
      <c r="B5685" s="2"/>
      <c r="C5685" s="2"/>
      <c r="D5685" s="2"/>
    </row>
    <row r="5686" spans="1:4" ht="12.75" customHeight="1" x14ac:dyDescent="0.2">
      <c r="A5686" s="22" t="str">
        <f>HYPERLINK("javascript:void(0)","kristályos szabrázskard")</f>
        <v>kristályos szabrázskard</v>
      </c>
      <c r="B5686" s="21"/>
      <c r="C5686" s="21"/>
      <c r="D5686" s="21"/>
    </row>
    <row r="5687" spans="1:4" ht="12.75" customHeight="1" x14ac:dyDescent="0.2">
      <c r="A5687" s="20"/>
      <c r="B5687" s="2"/>
      <c r="C5687" s="2"/>
      <c r="D5687" s="2"/>
    </row>
    <row r="5688" spans="1:4" ht="12.75" customHeight="1" x14ac:dyDescent="0.2">
      <c r="A5688" s="21"/>
      <c r="B5688" s="3" t="s">
        <v>0</v>
      </c>
      <c r="C5688" s="20" t="s">
        <v>1142</v>
      </c>
      <c r="D5688" s="21"/>
    </row>
    <row r="5689" spans="1:4" ht="12.75" customHeight="1" x14ac:dyDescent="0.2">
      <c r="A5689" s="21"/>
      <c r="B5689" s="3" t="s">
        <v>2</v>
      </c>
      <c r="C5689" s="20" t="s">
        <v>1598</v>
      </c>
      <c r="D5689" s="21"/>
    </row>
    <row r="5690" spans="1:4" ht="12.75" customHeight="1" x14ac:dyDescent="0.2">
      <c r="A5690" s="21"/>
      <c r="B5690" s="3" t="s">
        <v>4</v>
      </c>
      <c r="C5690" s="20" t="s">
        <v>2320</v>
      </c>
      <c r="D5690" s="21"/>
    </row>
    <row r="5691" spans="1:4" ht="12.75" customHeight="1" x14ac:dyDescent="0.2">
      <c r="A5691" s="21"/>
      <c r="B5691" s="3" t="s">
        <v>6</v>
      </c>
      <c r="C5691" s="20" t="s">
        <v>298</v>
      </c>
      <c r="D5691" s="21"/>
    </row>
    <row r="5692" spans="1:4" ht="12.75" customHeight="1" x14ac:dyDescent="0.2">
      <c r="A5692" s="21"/>
      <c r="B5692" s="3" t="s">
        <v>8</v>
      </c>
      <c r="C5692" s="20" t="s">
        <v>2320</v>
      </c>
      <c r="D5692" s="21"/>
    </row>
    <row r="5693" spans="1:4" ht="12.75" customHeight="1" x14ac:dyDescent="0.2">
      <c r="A5693" s="21"/>
      <c r="B5693" s="3" t="s">
        <v>9</v>
      </c>
      <c r="C5693" s="20" t="s">
        <v>865</v>
      </c>
      <c r="D5693" s="21"/>
    </row>
    <row r="5694" spans="1:4" ht="12.75" customHeight="1" x14ac:dyDescent="0.2">
      <c r="A5694" s="21"/>
      <c r="B5694" s="3" t="s">
        <v>11</v>
      </c>
      <c r="C5694" s="20" t="s">
        <v>1159</v>
      </c>
      <c r="D5694" s="21"/>
    </row>
    <row r="5695" spans="1:4" ht="12.75" customHeight="1" x14ac:dyDescent="0.2">
      <c r="A5695" s="21"/>
      <c r="B5695" s="3" t="s">
        <v>13</v>
      </c>
      <c r="C5695" s="20" t="s">
        <v>24</v>
      </c>
      <c r="D5695" s="21"/>
    </row>
    <row r="5696" spans="1:4" ht="12.75" customHeight="1" x14ac:dyDescent="0.2">
      <c r="A5696" s="21"/>
      <c r="B5696" s="3" t="s">
        <v>15</v>
      </c>
      <c r="C5696" s="20" t="s">
        <v>24</v>
      </c>
      <c r="D5696" s="21"/>
    </row>
    <row r="5697" spans="1:4" ht="12.75" customHeight="1" x14ac:dyDescent="0.2">
      <c r="A5697" s="21"/>
      <c r="B5697" s="3" t="s">
        <v>16</v>
      </c>
      <c r="C5697" s="20"/>
      <c r="D5697" s="21"/>
    </row>
    <row r="5698" spans="1:4" ht="12.75" customHeight="1" x14ac:dyDescent="0.2">
      <c r="A5698" s="21"/>
      <c r="B5698" s="3" t="s">
        <v>17</v>
      </c>
      <c r="C5698" s="20"/>
      <c r="D5698" s="21"/>
    </row>
    <row r="5699" spans="1:4" ht="12.75" customHeight="1" x14ac:dyDescent="0.2">
      <c r="A5699" s="21"/>
      <c r="B5699" s="20" t="s">
        <v>18</v>
      </c>
      <c r="C5699" s="4" t="s">
        <v>756</v>
      </c>
      <c r="D5699" s="6" t="str">
        <f>HYPERLINK("javascript:void(0)","vitorla")</f>
        <v>vitorla</v>
      </c>
    </row>
    <row r="5700" spans="1:4" ht="12.75" customHeight="1" x14ac:dyDescent="0.2">
      <c r="A5700" s="21"/>
      <c r="B5700" s="21"/>
      <c r="C5700" s="4" t="s">
        <v>269</v>
      </c>
      <c r="D5700" s="6" t="str">
        <f>HYPERLINK("javascript:void(0)","életkristály")</f>
        <v>életkristály</v>
      </c>
    </row>
    <row r="5701" spans="1:4" ht="12.75" customHeight="1" x14ac:dyDescent="0.2">
      <c r="A5701" s="21"/>
      <c r="B5701" s="21"/>
      <c r="C5701" s="4" t="s">
        <v>44</v>
      </c>
      <c r="D5701" s="6" t="str">
        <f>HYPERLINK("javascript:void(0)","elfacél szabrázskard")</f>
        <v>elfacél szabrázskard</v>
      </c>
    </row>
    <row r="5702" spans="1:4" ht="12.75" customHeight="1" x14ac:dyDescent="0.2">
      <c r="A5702" s="5"/>
      <c r="B5702" s="2"/>
      <c r="C5702" s="2"/>
      <c r="D5702" s="2"/>
    </row>
    <row r="5703" spans="1:4" ht="12.75" customHeight="1" x14ac:dyDescent="0.2">
      <c r="A5703" s="22" t="str">
        <f>HYPERLINK("javascript:void(0)","zombifejes mágusölő")</f>
        <v>zombifejes mágusölő</v>
      </c>
      <c r="B5703" s="21"/>
      <c r="C5703" s="21"/>
      <c r="D5703" s="21"/>
    </row>
    <row r="5704" spans="1:4" ht="12.75" customHeight="1" x14ac:dyDescent="0.2">
      <c r="A5704" s="20"/>
      <c r="B5704" s="2"/>
      <c r="C5704" s="2"/>
      <c r="D5704" s="2"/>
    </row>
    <row r="5705" spans="1:4" ht="12.75" customHeight="1" x14ac:dyDescent="0.2">
      <c r="A5705" s="21"/>
      <c r="B5705" s="3" t="s">
        <v>0</v>
      </c>
      <c r="C5705" s="20" t="s">
        <v>1142</v>
      </c>
      <c r="D5705" s="21"/>
    </row>
    <row r="5706" spans="1:4" ht="12.75" customHeight="1" x14ac:dyDescent="0.2">
      <c r="A5706" s="21"/>
      <c r="B5706" s="3" t="s">
        <v>2</v>
      </c>
      <c r="C5706" s="20" t="s">
        <v>1598</v>
      </c>
      <c r="D5706" s="21"/>
    </row>
    <row r="5707" spans="1:4" ht="12.75" customHeight="1" x14ac:dyDescent="0.2">
      <c r="A5707" s="21"/>
      <c r="B5707" s="3" t="s">
        <v>4</v>
      </c>
      <c r="C5707" s="20" t="s">
        <v>2321</v>
      </c>
      <c r="D5707" s="21"/>
    </row>
    <row r="5708" spans="1:4" ht="12.75" customHeight="1" x14ac:dyDescent="0.2">
      <c r="A5708" s="21"/>
      <c r="B5708" s="3" t="s">
        <v>6</v>
      </c>
      <c r="C5708" s="20" t="s">
        <v>48</v>
      </c>
      <c r="D5708" s="21"/>
    </row>
    <row r="5709" spans="1:4" ht="12.75" customHeight="1" x14ac:dyDescent="0.2">
      <c r="A5709" s="21"/>
      <c r="B5709" s="3" t="s">
        <v>8</v>
      </c>
      <c r="C5709" s="20" t="s">
        <v>2321</v>
      </c>
      <c r="D5709" s="21"/>
    </row>
    <row r="5710" spans="1:4" ht="12.75" customHeight="1" x14ac:dyDescent="0.2">
      <c r="A5710" s="21"/>
      <c r="B5710" s="3" t="s">
        <v>9</v>
      </c>
      <c r="C5710" s="20" t="s">
        <v>1631</v>
      </c>
      <c r="D5710" s="21"/>
    </row>
    <row r="5711" spans="1:4" ht="12.75" customHeight="1" x14ac:dyDescent="0.2">
      <c r="A5711" s="21"/>
      <c r="B5711" s="3" t="s">
        <v>11</v>
      </c>
      <c r="C5711" s="20" t="s">
        <v>2201</v>
      </c>
      <c r="D5711" s="21"/>
    </row>
    <row r="5712" spans="1:4" ht="12.75" customHeight="1" x14ac:dyDescent="0.2">
      <c r="A5712" s="21"/>
      <c r="B5712" s="3" t="s">
        <v>13</v>
      </c>
      <c r="C5712" s="20" t="s">
        <v>14</v>
      </c>
      <c r="D5712" s="21"/>
    </row>
    <row r="5713" spans="1:4" ht="12.75" customHeight="1" x14ac:dyDescent="0.2">
      <c r="A5713" s="21"/>
      <c r="B5713" s="3" t="s">
        <v>15</v>
      </c>
      <c r="C5713" s="20" t="s">
        <v>24</v>
      </c>
      <c r="D5713" s="21"/>
    </row>
    <row r="5714" spans="1:4" ht="12.75" customHeight="1" x14ac:dyDescent="0.2">
      <c r="A5714" s="21"/>
      <c r="B5714" s="3" t="s">
        <v>16</v>
      </c>
      <c r="C5714" s="20"/>
      <c r="D5714" s="21"/>
    </row>
    <row r="5715" spans="1:4" ht="12.75" customHeight="1" x14ac:dyDescent="0.2">
      <c r="A5715" s="21"/>
      <c r="B5715" s="3" t="s">
        <v>17</v>
      </c>
      <c r="C5715" s="20"/>
      <c r="D5715" s="21"/>
    </row>
    <row r="5716" spans="1:4" ht="12.75" customHeight="1" x14ac:dyDescent="0.2">
      <c r="A5716" s="21"/>
      <c r="B5716" s="20" t="s">
        <v>18</v>
      </c>
      <c r="C5716" s="4" t="s">
        <v>2005</v>
      </c>
      <c r="D5716" s="6" t="str">
        <f>HYPERLINK("javascript:void(0)","betüvető")</f>
        <v>betüvető</v>
      </c>
    </row>
    <row r="5717" spans="1:4" ht="12.75" customHeight="1" x14ac:dyDescent="0.2">
      <c r="A5717" s="21"/>
      <c r="B5717" s="21"/>
      <c r="C5717" s="4" t="s">
        <v>2314</v>
      </c>
      <c r="D5717" s="6" t="str">
        <f>HYPERLINK("javascript:void(0)","életkristály")</f>
        <v>életkristály</v>
      </c>
    </row>
    <row r="5718" spans="1:4" ht="12.75" customHeight="1" x14ac:dyDescent="0.2">
      <c r="A5718" s="21"/>
      <c r="B5718" s="21"/>
      <c r="C5718" s="4" t="s">
        <v>139</v>
      </c>
      <c r="D5718" s="6" t="str">
        <f>HYPERLINK("javascript:void(0)","zombiszem")</f>
        <v>zombiszem</v>
      </c>
    </row>
    <row r="5719" spans="1:4" ht="12.75" customHeight="1" x14ac:dyDescent="0.2">
      <c r="A5719" s="5"/>
      <c r="B5719" s="2"/>
      <c r="C5719" s="2"/>
      <c r="D5719" s="2"/>
    </row>
    <row r="5720" spans="1:4" ht="12.75" customHeight="1" x14ac:dyDescent="0.2">
      <c r="A5720" s="22" t="str">
        <f>HYPERLINK("javascript:void(0)","tüskés szabrázskard")</f>
        <v>tüskés szabrázskard</v>
      </c>
      <c r="B5720" s="21"/>
      <c r="C5720" s="21"/>
      <c r="D5720" s="21"/>
    </row>
    <row r="5721" spans="1:4" ht="12.75" customHeight="1" x14ac:dyDescent="0.2">
      <c r="A5721" s="20"/>
      <c r="B5721" s="2"/>
      <c r="C5721" s="2"/>
      <c r="D5721" s="2"/>
    </row>
    <row r="5722" spans="1:4" ht="12.75" customHeight="1" x14ac:dyDescent="0.2">
      <c r="A5722" s="21"/>
      <c r="B5722" s="3" t="s">
        <v>0</v>
      </c>
      <c r="C5722" s="20" t="s">
        <v>103</v>
      </c>
      <c r="D5722" s="21"/>
    </row>
    <row r="5723" spans="1:4" ht="12.75" customHeight="1" x14ac:dyDescent="0.2">
      <c r="A5723" s="21"/>
      <c r="B5723" s="3" t="s">
        <v>2</v>
      </c>
      <c r="C5723" s="20" t="s">
        <v>1598</v>
      </c>
      <c r="D5723" s="21"/>
    </row>
    <row r="5724" spans="1:4" ht="12.75" customHeight="1" x14ac:dyDescent="0.2">
      <c r="A5724" s="21"/>
      <c r="B5724" s="3" t="s">
        <v>4</v>
      </c>
      <c r="C5724" s="20" t="s">
        <v>2323</v>
      </c>
      <c r="D5724" s="21"/>
    </row>
    <row r="5725" spans="1:4" ht="12.75" customHeight="1" x14ac:dyDescent="0.2">
      <c r="A5725" s="21"/>
      <c r="B5725" s="3" t="s">
        <v>6</v>
      </c>
      <c r="C5725" s="20" t="s">
        <v>115</v>
      </c>
      <c r="D5725" s="21"/>
    </row>
    <row r="5726" spans="1:4" ht="12.75" customHeight="1" x14ac:dyDescent="0.2">
      <c r="A5726" s="21"/>
      <c r="B5726" s="3" t="s">
        <v>8</v>
      </c>
      <c r="C5726" s="20" t="s">
        <v>2323</v>
      </c>
      <c r="D5726" s="21"/>
    </row>
    <row r="5727" spans="1:4" ht="12.75" customHeight="1" x14ac:dyDescent="0.2">
      <c r="A5727" s="21"/>
      <c r="B5727" s="3" t="s">
        <v>9</v>
      </c>
      <c r="C5727" s="20" t="s">
        <v>2038</v>
      </c>
      <c r="D5727" s="21"/>
    </row>
    <row r="5728" spans="1:4" ht="12.75" customHeight="1" x14ac:dyDescent="0.2">
      <c r="A5728" s="21"/>
      <c r="B5728" s="3" t="s">
        <v>11</v>
      </c>
      <c r="C5728" s="20" t="s">
        <v>1168</v>
      </c>
      <c r="D5728" s="21"/>
    </row>
    <row r="5729" spans="1:4" ht="12.75" customHeight="1" x14ac:dyDescent="0.2">
      <c r="A5729" s="21"/>
      <c r="B5729" s="3" t="s">
        <v>13</v>
      </c>
      <c r="C5729" s="20" t="s">
        <v>24</v>
      </c>
      <c r="D5729" s="21"/>
    </row>
    <row r="5730" spans="1:4" ht="12.75" customHeight="1" x14ac:dyDescent="0.2">
      <c r="A5730" s="21"/>
      <c r="B5730" s="3" t="s">
        <v>15</v>
      </c>
      <c r="C5730" s="20" t="s">
        <v>24</v>
      </c>
      <c r="D5730" s="21"/>
    </row>
    <row r="5731" spans="1:4" ht="12.75" customHeight="1" x14ac:dyDescent="0.2">
      <c r="A5731" s="21"/>
      <c r="B5731" s="3" t="s">
        <v>16</v>
      </c>
      <c r="C5731" s="20"/>
      <c r="D5731" s="21"/>
    </row>
    <row r="5732" spans="1:4" ht="12.75" customHeight="1" x14ac:dyDescent="0.2">
      <c r="A5732" s="21"/>
      <c r="B5732" s="3" t="s">
        <v>17</v>
      </c>
      <c r="C5732" s="20"/>
      <c r="D5732" s="21"/>
    </row>
    <row r="5733" spans="1:4" ht="12.75" customHeight="1" x14ac:dyDescent="0.2">
      <c r="A5733" s="21"/>
      <c r="B5733" s="20" t="s">
        <v>18</v>
      </c>
      <c r="C5733" s="4" t="s">
        <v>403</v>
      </c>
      <c r="D5733" s="6" t="str">
        <f>HYPERLINK("javascript:void(0)","ördögpihe")</f>
        <v>ördögpihe</v>
      </c>
    </row>
    <row r="5734" spans="1:4" ht="12.75" customHeight="1" x14ac:dyDescent="0.2">
      <c r="A5734" s="21"/>
      <c r="B5734" s="21"/>
      <c r="C5734" s="4" t="s">
        <v>327</v>
      </c>
      <c r="D5734" s="6" t="str">
        <f>HYPERLINK("javascript:void(0)","csonttoll")</f>
        <v>csonttoll</v>
      </c>
    </row>
    <row r="5735" spans="1:4" ht="12.75" customHeight="1" x14ac:dyDescent="0.2">
      <c r="A5735" s="21"/>
      <c r="B5735" s="21"/>
      <c r="C5735" s="4" t="s">
        <v>335</v>
      </c>
      <c r="D5735" s="6" t="str">
        <f>HYPERLINK("javascript:void(0)","kitintüske")</f>
        <v>kitintüske</v>
      </c>
    </row>
    <row r="5736" spans="1:4" ht="12.75" customHeight="1" x14ac:dyDescent="0.2">
      <c r="A5736" s="5"/>
      <c r="B5736" s="2"/>
      <c r="C5736" s="2"/>
      <c r="D5736" s="2"/>
    </row>
    <row r="5737" spans="1:4" ht="12.75" customHeight="1" x14ac:dyDescent="0.2">
      <c r="A5737" s="22" t="str">
        <f>HYPERLINK("javascript:void(0)","gyíkacél tüske")</f>
        <v>gyíkacél tüske</v>
      </c>
      <c r="B5737" s="21"/>
      <c r="C5737" s="21"/>
      <c r="D5737" s="21"/>
    </row>
    <row r="5738" spans="1:4" ht="12.75" customHeight="1" x14ac:dyDescent="0.2">
      <c r="A5738" s="20"/>
      <c r="B5738" s="2"/>
      <c r="C5738" s="2"/>
      <c r="D5738" s="2"/>
    </row>
    <row r="5739" spans="1:4" ht="12.75" customHeight="1" x14ac:dyDescent="0.2">
      <c r="A5739" s="21"/>
      <c r="B5739" s="3" t="s">
        <v>0</v>
      </c>
      <c r="C5739" s="20" t="s">
        <v>103</v>
      </c>
      <c r="D5739" s="21"/>
    </row>
    <row r="5740" spans="1:4" ht="12.75" customHeight="1" x14ac:dyDescent="0.2">
      <c r="A5740" s="21"/>
      <c r="B5740" s="3" t="s">
        <v>2</v>
      </c>
      <c r="C5740" s="20" t="s">
        <v>1598</v>
      </c>
      <c r="D5740" s="21"/>
    </row>
    <row r="5741" spans="1:4" ht="12.75" customHeight="1" x14ac:dyDescent="0.2">
      <c r="A5741" s="21"/>
      <c r="B5741" s="3" t="s">
        <v>4</v>
      </c>
      <c r="C5741" s="20" t="s">
        <v>2325</v>
      </c>
      <c r="D5741" s="21"/>
    </row>
    <row r="5742" spans="1:4" ht="12.75" customHeight="1" x14ac:dyDescent="0.2">
      <c r="A5742" s="21"/>
      <c r="B5742" s="3" t="s">
        <v>6</v>
      </c>
      <c r="C5742" s="20" t="s">
        <v>115</v>
      </c>
      <c r="D5742" s="21"/>
    </row>
    <row r="5743" spans="1:4" ht="12.75" customHeight="1" x14ac:dyDescent="0.2">
      <c r="A5743" s="21"/>
      <c r="B5743" s="3" t="s">
        <v>8</v>
      </c>
      <c r="C5743" s="20" t="s">
        <v>2325</v>
      </c>
      <c r="D5743" s="21"/>
    </row>
    <row r="5744" spans="1:4" ht="12.75" customHeight="1" x14ac:dyDescent="0.2">
      <c r="A5744" s="21"/>
      <c r="B5744" s="3" t="s">
        <v>9</v>
      </c>
      <c r="C5744" s="20" t="s">
        <v>2326</v>
      </c>
      <c r="D5744" s="21"/>
    </row>
    <row r="5745" spans="1:4" ht="12.75" customHeight="1" x14ac:dyDescent="0.2">
      <c r="A5745" s="21"/>
      <c r="B5745" s="3" t="s">
        <v>11</v>
      </c>
      <c r="C5745" s="20" t="s">
        <v>909</v>
      </c>
      <c r="D5745" s="21"/>
    </row>
    <row r="5746" spans="1:4" ht="12.75" customHeight="1" x14ac:dyDescent="0.2">
      <c r="A5746" s="21"/>
      <c r="B5746" s="3" t="s">
        <v>13</v>
      </c>
      <c r="C5746" s="20" t="s">
        <v>24</v>
      </c>
      <c r="D5746" s="21"/>
    </row>
    <row r="5747" spans="1:4" ht="12.75" customHeight="1" x14ac:dyDescent="0.2">
      <c r="A5747" s="21"/>
      <c r="B5747" s="3" t="s">
        <v>15</v>
      </c>
      <c r="C5747" s="20" t="s">
        <v>24</v>
      </c>
      <c r="D5747" s="21"/>
    </row>
    <row r="5748" spans="1:4" ht="12.75" customHeight="1" x14ac:dyDescent="0.2">
      <c r="A5748" s="21"/>
      <c r="B5748" s="3" t="s">
        <v>16</v>
      </c>
      <c r="C5748" s="20"/>
      <c r="D5748" s="21"/>
    </row>
    <row r="5749" spans="1:4" ht="12.75" customHeight="1" x14ac:dyDescent="0.2">
      <c r="A5749" s="21"/>
      <c r="B5749" s="3" t="s">
        <v>17</v>
      </c>
      <c r="C5749" s="20"/>
      <c r="D5749" s="21"/>
    </row>
    <row r="5750" spans="1:4" ht="12.75" customHeight="1" x14ac:dyDescent="0.2">
      <c r="A5750" s="21"/>
      <c r="B5750" s="20" t="s">
        <v>18</v>
      </c>
      <c r="C5750" s="4" t="s">
        <v>2140</v>
      </c>
      <c r="D5750" s="6" t="str">
        <f>HYPERLINK("javascript:void(0)","sárkánykarom")</f>
        <v>sárkánykarom</v>
      </c>
    </row>
    <row r="5751" spans="1:4" ht="12.75" customHeight="1" x14ac:dyDescent="0.2">
      <c r="A5751" s="21"/>
      <c r="B5751" s="21"/>
      <c r="C5751" s="4" t="s">
        <v>1389</v>
      </c>
      <c r="D5751" s="6" t="str">
        <f>HYPERLINK("javascript:void(0)","kincs")</f>
        <v>kincs</v>
      </c>
    </row>
    <row r="5752" spans="1:4" ht="12.75" customHeight="1" x14ac:dyDescent="0.2">
      <c r="A5752" s="21"/>
      <c r="B5752" s="21"/>
      <c r="C5752" s="4" t="s">
        <v>44</v>
      </c>
      <c r="D5752" s="6" t="str">
        <f>HYPERLINK("javascript:void(0)","gyíkacél párbajtőr")</f>
        <v>gyíkacél párbajtőr</v>
      </c>
    </row>
    <row r="5753" spans="1:4" ht="12.75" customHeight="1" x14ac:dyDescent="0.2">
      <c r="A5753" s="5"/>
      <c r="B5753" s="2"/>
      <c r="C5753" s="2"/>
      <c r="D5753" s="2"/>
    </row>
    <row r="5754" spans="1:4" ht="12.75" customHeight="1" x14ac:dyDescent="0.2">
      <c r="A5754" s="22" t="str">
        <f>HYPERLINK("javascript:void(0)","dracoacél szabrázskard")</f>
        <v>dracoacél szabrázskard</v>
      </c>
      <c r="B5754" s="21"/>
      <c r="C5754" s="21"/>
      <c r="D5754" s="21"/>
    </row>
    <row r="5755" spans="1:4" ht="12.75" customHeight="1" x14ac:dyDescent="0.2">
      <c r="A5755" s="20"/>
      <c r="B5755" s="2"/>
      <c r="C5755" s="2"/>
      <c r="D5755" s="2"/>
    </row>
    <row r="5756" spans="1:4" ht="12.75" customHeight="1" x14ac:dyDescent="0.2">
      <c r="A5756" s="21"/>
      <c r="B5756" s="3" t="s">
        <v>0</v>
      </c>
      <c r="C5756" s="20" t="s">
        <v>112</v>
      </c>
      <c r="D5756" s="21"/>
    </row>
    <row r="5757" spans="1:4" ht="12.75" customHeight="1" x14ac:dyDescent="0.2">
      <c r="A5757" s="21"/>
      <c r="B5757" s="3" t="s">
        <v>2</v>
      </c>
      <c r="C5757" s="20" t="s">
        <v>1598</v>
      </c>
      <c r="D5757" s="21"/>
    </row>
    <row r="5758" spans="1:4" ht="12.75" customHeight="1" x14ac:dyDescent="0.2">
      <c r="A5758" s="21"/>
      <c r="B5758" s="3" t="s">
        <v>4</v>
      </c>
      <c r="C5758" s="20" t="s">
        <v>2329</v>
      </c>
      <c r="D5758" s="21"/>
    </row>
    <row r="5759" spans="1:4" ht="12.75" customHeight="1" x14ac:dyDescent="0.2">
      <c r="A5759" s="21"/>
      <c r="B5759" s="3" t="s">
        <v>6</v>
      </c>
      <c r="C5759" s="20" t="s">
        <v>353</v>
      </c>
      <c r="D5759" s="21"/>
    </row>
    <row r="5760" spans="1:4" ht="12.75" customHeight="1" x14ac:dyDescent="0.2">
      <c r="A5760" s="21"/>
      <c r="B5760" s="3" t="s">
        <v>8</v>
      </c>
      <c r="C5760" s="20" t="s">
        <v>2329</v>
      </c>
      <c r="D5760" s="21"/>
    </row>
    <row r="5761" spans="1:4" ht="12.75" customHeight="1" x14ac:dyDescent="0.2">
      <c r="A5761" s="21"/>
      <c r="B5761" s="3" t="s">
        <v>9</v>
      </c>
      <c r="C5761" s="20" t="s">
        <v>2241</v>
      </c>
      <c r="D5761" s="21"/>
    </row>
    <row r="5762" spans="1:4" ht="12.75" customHeight="1" x14ac:dyDescent="0.2">
      <c r="A5762" s="21"/>
      <c r="B5762" s="3" t="s">
        <v>11</v>
      </c>
      <c r="C5762" s="20" t="s">
        <v>1177</v>
      </c>
      <c r="D5762" s="21"/>
    </row>
    <row r="5763" spans="1:4" ht="12.75" customHeight="1" x14ac:dyDescent="0.2">
      <c r="A5763" s="21"/>
      <c r="B5763" s="3" t="s">
        <v>13</v>
      </c>
      <c r="C5763" s="20" t="s">
        <v>24</v>
      </c>
      <c r="D5763" s="21"/>
    </row>
    <row r="5764" spans="1:4" ht="12.75" customHeight="1" x14ac:dyDescent="0.2">
      <c r="A5764" s="21"/>
      <c r="B5764" s="3" t="s">
        <v>15</v>
      </c>
      <c r="C5764" s="20" t="s">
        <v>24</v>
      </c>
      <c r="D5764" s="21"/>
    </row>
    <row r="5765" spans="1:4" ht="12.75" customHeight="1" x14ac:dyDescent="0.2">
      <c r="A5765" s="21"/>
      <c r="B5765" s="3" t="s">
        <v>16</v>
      </c>
      <c r="C5765" s="20"/>
      <c r="D5765" s="21"/>
    </row>
    <row r="5766" spans="1:4" ht="12.75" customHeight="1" x14ac:dyDescent="0.2">
      <c r="A5766" s="21"/>
      <c r="B5766" s="3" t="s">
        <v>17</v>
      </c>
      <c r="C5766" s="20"/>
      <c r="D5766" s="21"/>
    </row>
    <row r="5767" spans="1:4" ht="25.5" customHeight="1" x14ac:dyDescent="0.2">
      <c r="A5767" s="21"/>
      <c r="B5767" s="20" t="s">
        <v>18</v>
      </c>
      <c r="C5767" s="4" t="s">
        <v>44</v>
      </c>
      <c r="D5767" s="6" t="str">
        <f>HYPERLINK("javascript:void(0)","tüskés szabrázskard")</f>
        <v>tüskés szabrázskard</v>
      </c>
    </row>
    <row r="5768" spans="1:4" ht="25.5" customHeight="1" x14ac:dyDescent="0.2">
      <c r="A5768" s="21"/>
      <c r="B5768" s="21"/>
      <c r="C5768" s="4" t="s">
        <v>44</v>
      </c>
      <c r="D5768" s="6" t="str">
        <f>HYPERLINK("javascript:void(0)","kristályos szabrázskard")</f>
        <v>kristályos szabrázskard</v>
      </c>
    </row>
    <row r="5769" spans="1:4" ht="12.75" customHeight="1" x14ac:dyDescent="0.2">
      <c r="A5769" s="21"/>
      <c r="B5769" s="21"/>
      <c r="C5769" s="4" t="s">
        <v>44</v>
      </c>
      <c r="D5769" s="6" t="str">
        <f>HYPERLINK("javascript:void(0)","lepkepenge")</f>
        <v>lepkepenge</v>
      </c>
    </row>
    <row r="5770" spans="1:4" ht="12.75" customHeight="1" x14ac:dyDescent="0.2">
      <c r="A5770" s="5"/>
      <c r="B5770" s="2"/>
      <c r="C5770" s="2"/>
      <c r="D5770" s="2"/>
    </row>
    <row r="5771" spans="1:4" ht="12.75" customHeight="1" x14ac:dyDescent="0.2">
      <c r="A5771" s="22" t="str">
        <f>HYPERLINK("javascript:void(0)","lepkés mágusölő")</f>
        <v>lepkés mágusölő</v>
      </c>
      <c r="B5771" s="21"/>
      <c r="C5771" s="21"/>
      <c r="D5771" s="21"/>
    </row>
    <row r="5772" spans="1:4" ht="12.75" customHeight="1" x14ac:dyDescent="0.2">
      <c r="A5772" s="20"/>
      <c r="B5772" s="2"/>
      <c r="C5772" s="2"/>
      <c r="D5772" s="2"/>
    </row>
    <row r="5773" spans="1:4" ht="12.75" customHeight="1" x14ac:dyDescent="0.2">
      <c r="A5773" s="21"/>
      <c r="B5773" s="3" t="s">
        <v>0</v>
      </c>
      <c r="C5773" s="20" t="s">
        <v>112</v>
      </c>
      <c r="D5773" s="21"/>
    </row>
    <row r="5774" spans="1:4" ht="12.75" customHeight="1" x14ac:dyDescent="0.2">
      <c r="A5774" s="21"/>
      <c r="B5774" s="3" t="s">
        <v>2</v>
      </c>
      <c r="C5774" s="20" t="s">
        <v>1598</v>
      </c>
      <c r="D5774" s="21"/>
    </row>
    <row r="5775" spans="1:4" ht="12.75" customHeight="1" x14ac:dyDescent="0.2">
      <c r="A5775" s="21"/>
      <c r="B5775" s="3" t="s">
        <v>4</v>
      </c>
      <c r="C5775" s="20" t="s">
        <v>2330</v>
      </c>
      <c r="D5775" s="21"/>
    </row>
    <row r="5776" spans="1:4" ht="12.75" customHeight="1" x14ac:dyDescent="0.2">
      <c r="A5776" s="21"/>
      <c r="B5776" s="3" t="s">
        <v>6</v>
      </c>
      <c r="C5776" s="20" t="s">
        <v>46</v>
      </c>
      <c r="D5776" s="21"/>
    </row>
    <row r="5777" spans="1:4" ht="12.75" customHeight="1" x14ac:dyDescent="0.2">
      <c r="A5777" s="21"/>
      <c r="B5777" s="3" t="s">
        <v>8</v>
      </c>
      <c r="C5777" s="20" t="s">
        <v>2330</v>
      </c>
      <c r="D5777" s="21"/>
    </row>
    <row r="5778" spans="1:4" ht="12.75" customHeight="1" x14ac:dyDescent="0.2">
      <c r="A5778" s="21"/>
      <c r="B5778" s="3" t="s">
        <v>9</v>
      </c>
      <c r="C5778" s="20" t="s">
        <v>1256</v>
      </c>
      <c r="D5778" s="21"/>
    </row>
    <row r="5779" spans="1:4" ht="12.75" customHeight="1" x14ac:dyDescent="0.2">
      <c r="A5779" s="21"/>
      <c r="B5779" s="3" t="s">
        <v>11</v>
      </c>
      <c r="C5779" s="20" t="s">
        <v>2210</v>
      </c>
      <c r="D5779" s="21"/>
    </row>
    <row r="5780" spans="1:4" ht="12.75" customHeight="1" x14ac:dyDescent="0.2">
      <c r="A5780" s="21"/>
      <c r="B5780" s="3" t="s">
        <v>13</v>
      </c>
      <c r="C5780" s="20" t="s">
        <v>14</v>
      </c>
      <c r="D5780" s="21"/>
    </row>
    <row r="5781" spans="1:4" ht="12.75" customHeight="1" x14ac:dyDescent="0.2">
      <c r="A5781" s="21"/>
      <c r="B5781" s="3" t="s">
        <v>15</v>
      </c>
      <c r="C5781" s="20" t="s">
        <v>24</v>
      </c>
      <c r="D5781" s="21"/>
    </row>
    <row r="5782" spans="1:4" ht="12.75" customHeight="1" x14ac:dyDescent="0.2">
      <c r="A5782" s="21"/>
      <c r="B5782" s="3" t="s">
        <v>16</v>
      </c>
      <c r="C5782" s="20"/>
      <c r="D5782" s="21"/>
    </row>
    <row r="5783" spans="1:4" ht="12.75" customHeight="1" x14ac:dyDescent="0.2">
      <c r="A5783" s="21"/>
      <c r="B5783" s="3" t="s">
        <v>17</v>
      </c>
      <c r="C5783" s="20"/>
      <c r="D5783" s="21"/>
    </row>
    <row r="5784" spans="1:4" ht="12.75" customHeight="1" x14ac:dyDescent="0.2">
      <c r="A5784" s="21"/>
      <c r="B5784" s="20" t="s">
        <v>18</v>
      </c>
      <c r="C5784" s="4" t="s">
        <v>2005</v>
      </c>
      <c r="D5784" s="6" t="str">
        <f>HYPERLINK("javascript:void(0)","vitorla")</f>
        <v>vitorla</v>
      </c>
    </row>
    <row r="5785" spans="1:4" ht="12.75" customHeight="1" x14ac:dyDescent="0.2">
      <c r="A5785" s="21"/>
      <c r="B5785" s="21"/>
      <c r="C5785" s="4" t="s">
        <v>786</v>
      </c>
      <c r="D5785" s="6" t="str">
        <f>HYPERLINK("javascript:void(0)","vanesszin")</f>
        <v>vanesszin</v>
      </c>
    </row>
    <row r="5786" spans="1:4" ht="12.75" customHeight="1" x14ac:dyDescent="0.2">
      <c r="A5786" s="21"/>
      <c r="B5786" s="21"/>
      <c r="C5786" s="4" t="s">
        <v>139</v>
      </c>
      <c r="D5786" s="6" t="str">
        <f>HYPERLINK("javascript:void(0)","kvarc")</f>
        <v>kvarc</v>
      </c>
    </row>
    <row r="5787" spans="1:4" ht="12.75" customHeight="1" x14ac:dyDescent="0.2">
      <c r="A5787" s="5"/>
      <c r="B5787" s="2"/>
      <c r="C5787" s="2"/>
      <c r="D5787" s="2"/>
    </row>
    <row r="5788" spans="1:4" ht="12.75" customHeight="1" x14ac:dyDescent="0.2">
      <c r="A5788" s="22" t="str">
        <f>HYPERLINK("javascript:void(0)","óriásacél szabrázskard")</f>
        <v>óriásacél szabrázskard</v>
      </c>
      <c r="B5788" s="21"/>
      <c r="C5788" s="21"/>
      <c r="D5788" s="21"/>
    </row>
    <row r="5789" spans="1:4" ht="12.75" customHeight="1" x14ac:dyDescent="0.2">
      <c r="A5789" s="20"/>
      <c r="B5789" s="2"/>
      <c r="C5789" s="2"/>
      <c r="D5789" s="2"/>
    </row>
    <row r="5790" spans="1:4" ht="12.75" customHeight="1" x14ac:dyDescent="0.2">
      <c r="A5790" s="21"/>
      <c r="B5790" s="3" t="s">
        <v>0</v>
      </c>
      <c r="C5790" s="20" t="s">
        <v>1165</v>
      </c>
      <c r="D5790" s="21"/>
    </row>
    <row r="5791" spans="1:4" ht="12.75" customHeight="1" x14ac:dyDescent="0.2">
      <c r="A5791" s="21"/>
      <c r="B5791" s="3" t="s">
        <v>2</v>
      </c>
      <c r="C5791" s="20" t="s">
        <v>1598</v>
      </c>
      <c r="D5791" s="21"/>
    </row>
    <row r="5792" spans="1:4" ht="12.75" customHeight="1" x14ac:dyDescent="0.2">
      <c r="A5792" s="21"/>
      <c r="B5792" s="3" t="s">
        <v>4</v>
      </c>
      <c r="C5792" s="20" t="s">
        <v>2332</v>
      </c>
      <c r="D5792" s="21"/>
    </row>
    <row r="5793" spans="1:4" ht="12.75" customHeight="1" x14ac:dyDescent="0.2">
      <c r="A5793" s="21"/>
      <c r="B5793" s="3" t="s">
        <v>6</v>
      </c>
      <c r="C5793" s="20" t="s">
        <v>284</v>
      </c>
      <c r="D5793" s="21"/>
    </row>
    <row r="5794" spans="1:4" ht="12.75" customHeight="1" x14ac:dyDescent="0.2">
      <c r="A5794" s="21"/>
      <c r="B5794" s="3" t="s">
        <v>8</v>
      </c>
      <c r="C5794" s="20" t="s">
        <v>2332</v>
      </c>
      <c r="D5794" s="21"/>
    </row>
    <row r="5795" spans="1:4" ht="12.75" customHeight="1" x14ac:dyDescent="0.2">
      <c r="A5795" s="21"/>
      <c r="B5795" s="3" t="s">
        <v>9</v>
      </c>
      <c r="C5795" s="20" t="s">
        <v>84</v>
      </c>
      <c r="D5795" s="21"/>
    </row>
    <row r="5796" spans="1:4" ht="12.75" customHeight="1" x14ac:dyDescent="0.2">
      <c r="A5796" s="21"/>
      <c r="B5796" s="3" t="s">
        <v>11</v>
      </c>
      <c r="C5796" s="20" t="s">
        <v>1601</v>
      </c>
      <c r="D5796" s="21"/>
    </row>
    <row r="5797" spans="1:4" ht="12.75" customHeight="1" x14ac:dyDescent="0.2">
      <c r="A5797" s="21"/>
      <c r="B5797" s="3" t="s">
        <v>13</v>
      </c>
      <c r="C5797" s="20" t="s">
        <v>24</v>
      </c>
      <c r="D5797" s="21"/>
    </row>
    <row r="5798" spans="1:4" ht="12.75" customHeight="1" x14ac:dyDescent="0.2">
      <c r="A5798" s="21"/>
      <c r="B5798" s="3" t="s">
        <v>15</v>
      </c>
      <c r="C5798" s="20" t="s">
        <v>24</v>
      </c>
      <c r="D5798" s="21"/>
    </row>
    <row r="5799" spans="1:4" ht="12.75" customHeight="1" x14ac:dyDescent="0.2">
      <c r="A5799" s="21"/>
      <c r="B5799" s="3" t="s">
        <v>16</v>
      </c>
      <c r="C5799" s="20"/>
      <c r="D5799" s="21"/>
    </row>
    <row r="5800" spans="1:4" ht="12.75" customHeight="1" x14ac:dyDescent="0.2">
      <c r="A5800" s="21"/>
      <c r="B5800" s="3" t="s">
        <v>17</v>
      </c>
      <c r="C5800" s="20"/>
      <c r="D5800" s="21"/>
    </row>
    <row r="5801" spans="1:4" ht="12.75" customHeight="1" x14ac:dyDescent="0.2">
      <c r="A5801" s="21"/>
      <c r="B5801" s="20" t="s">
        <v>18</v>
      </c>
      <c r="C5801" s="4" t="s">
        <v>193</v>
      </c>
      <c r="D5801" s="6" t="str">
        <f>HYPERLINK("javascript:void(0)","zombiszem")</f>
        <v>zombiszem</v>
      </c>
    </row>
    <row r="5802" spans="1:4" ht="12.75" customHeight="1" x14ac:dyDescent="0.2">
      <c r="A5802" s="21"/>
      <c r="B5802" s="21"/>
      <c r="C5802" s="4" t="s">
        <v>950</v>
      </c>
      <c r="D5802" s="6" t="str">
        <f>HYPERLINK("javascript:void(0)","légpatkó")</f>
        <v>légpatkó</v>
      </c>
    </row>
    <row r="5803" spans="1:4" ht="25.5" customHeight="1" x14ac:dyDescent="0.2">
      <c r="A5803" s="21"/>
      <c r="B5803" s="21"/>
      <c r="C5803" s="4" t="s">
        <v>44</v>
      </c>
      <c r="D5803" s="6" t="str">
        <f>HYPERLINK("javascript:void(0)","dracoacél szabrázskard")</f>
        <v>dracoacél szabrázskard</v>
      </c>
    </row>
    <row r="5804" spans="1:4" ht="12.75" customHeight="1" x14ac:dyDescent="0.2">
      <c r="A5804" s="5"/>
      <c r="B5804" s="2"/>
      <c r="C5804" s="2"/>
      <c r="D5804" s="2"/>
    </row>
    <row r="5805" spans="1:4" ht="12.75" customHeight="1" x14ac:dyDescent="0.2">
      <c r="A5805" s="22" t="str">
        <f>HYPERLINK("javascript:void(0)","gyíkacél pallos")</f>
        <v>gyíkacél pallos</v>
      </c>
      <c r="B5805" s="21"/>
      <c r="C5805" s="21"/>
      <c r="D5805" s="21"/>
    </row>
    <row r="5806" spans="1:4" ht="12.75" customHeight="1" x14ac:dyDescent="0.2">
      <c r="A5806" s="20"/>
      <c r="B5806" s="2"/>
      <c r="C5806" s="2"/>
      <c r="D5806" s="2"/>
    </row>
    <row r="5807" spans="1:4" ht="12.75" customHeight="1" x14ac:dyDescent="0.2">
      <c r="A5807" s="21"/>
      <c r="B5807" s="3" t="s">
        <v>0</v>
      </c>
      <c r="C5807" s="20" t="s">
        <v>1165</v>
      </c>
      <c r="D5807" s="21"/>
    </row>
    <row r="5808" spans="1:4" ht="12.75" customHeight="1" x14ac:dyDescent="0.2">
      <c r="A5808" s="21"/>
      <c r="B5808" s="3" t="s">
        <v>2</v>
      </c>
      <c r="C5808" s="20" t="s">
        <v>1598</v>
      </c>
      <c r="D5808" s="21"/>
    </row>
    <row r="5809" spans="1:4" ht="12.75" customHeight="1" x14ac:dyDescent="0.2">
      <c r="A5809" s="21"/>
      <c r="B5809" s="3" t="s">
        <v>4</v>
      </c>
      <c r="C5809" s="20" t="s">
        <v>2334</v>
      </c>
      <c r="D5809" s="21"/>
    </row>
    <row r="5810" spans="1:4" ht="12.75" customHeight="1" x14ac:dyDescent="0.2">
      <c r="A5810" s="21"/>
      <c r="B5810" s="3" t="s">
        <v>6</v>
      </c>
      <c r="C5810" s="20" t="s">
        <v>115</v>
      </c>
      <c r="D5810" s="21"/>
    </row>
    <row r="5811" spans="1:4" ht="12.75" customHeight="1" x14ac:dyDescent="0.2">
      <c r="A5811" s="21"/>
      <c r="B5811" s="3" t="s">
        <v>8</v>
      </c>
      <c r="C5811" s="20" t="s">
        <v>2334</v>
      </c>
      <c r="D5811" s="21"/>
    </row>
    <row r="5812" spans="1:4" ht="12.75" customHeight="1" x14ac:dyDescent="0.2">
      <c r="A5812" s="21"/>
      <c r="B5812" s="3" t="s">
        <v>9</v>
      </c>
      <c r="C5812" s="20" t="s">
        <v>2335</v>
      </c>
      <c r="D5812" s="21"/>
    </row>
    <row r="5813" spans="1:4" ht="12.75" customHeight="1" x14ac:dyDescent="0.2">
      <c r="A5813" s="21"/>
      <c r="B5813" s="3" t="s">
        <v>11</v>
      </c>
      <c r="C5813" s="20" t="s">
        <v>929</v>
      </c>
      <c r="D5813" s="21"/>
    </row>
    <row r="5814" spans="1:4" ht="12.75" customHeight="1" x14ac:dyDescent="0.2">
      <c r="A5814" s="21"/>
      <c r="B5814" s="3" t="s">
        <v>13</v>
      </c>
      <c r="C5814" s="20" t="s">
        <v>24</v>
      </c>
      <c r="D5814" s="21"/>
    </row>
    <row r="5815" spans="1:4" ht="12.75" customHeight="1" x14ac:dyDescent="0.2">
      <c r="A5815" s="21"/>
      <c r="B5815" s="3" t="s">
        <v>15</v>
      </c>
      <c r="C5815" s="20" t="s">
        <v>24</v>
      </c>
      <c r="D5815" s="21"/>
    </row>
    <row r="5816" spans="1:4" ht="12.75" customHeight="1" x14ac:dyDescent="0.2">
      <c r="A5816" s="21"/>
      <c r="B5816" s="3" t="s">
        <v>16</v>
      </c>
      <c r="C5816" s="20"/>
      <c r="D5816" s="21"/>
    </row>
    <row r="5817" spans="1:4" ht="12.75" customHeight="1" x14ac:dyDescent="0.2">
      <c r="A5817" s="21"/>
      <c r="B5817" s="3" t="s">
        <v>17</v>
      </c>
      <c r="C5817" s="20"/>
      <c r="D5817" s="21"/>
    </row>
    <row r="5818" spans="1:4" ht="12.75" customHeight="1" x14ac:dyDescent="0.2">
      <c r="A5818" s="21"/>
      <c r="B5818" s="20" t="s">
        <v>18</v>
      </c>
      <c r="C5818" s="4" t="s">
        <v>369</v>
      </c>
      <c r="D5818" s="6" t="str">
        <f>HYPERLINK("javascript:void(0)","ezüst patkó")</f>
        <v>ezüst patkó</v>
      </c>
    </row>
    <row r="5819" spans="1:4" ht="12.75" customHeight="1" x14ac:dyDescent="0.2">
      <c r="A5819" s="21"/>
      <c r="B5819" s="21"/>
      <c r="C5819" s="4" t="s">
        <v>139</v>
      </c>
      <c r="D5819" s="6" t="str">
        <f>HYPERLINK("javascript:void(0)","lexikon")</f>
        <v>lexikon</v>
      </c>
    </row>
    <row r="5820" spans="1:4" ht="12.75" customHeight="1" x14ac:dyDescent="0.2">
      <c r="A5820" s="21"/>
      <c r="B5820" s="21"/>
      <c r="C5820" s="4" t="s">
        <v>44</v>
      </c>
      <c r="D5820" s="6" t="str">
        <f>HYPERLINK("javascript:void(0)","gyíkacél kasza")</f>
        <v>gyíkacél kasza</v>
      </c>
    </row>
    <row r="5821" spans="1:4" ht="12.75" customHeight="1" x14ac:dyDescent="0.2">
      <c r="A5821" s="5"/>
      <c r="B5821" s="2"/>
      <c r="C5821" s="2"/>
      <c r="D5821" s="2"/>
    </row>
    <row r="5822" spans="1:4" ht="12.75" customHeight="1" x14ac:dyDescent="0.2">
      <c r="A5822" s="22" t="str">
        <f>HYPERLINK("javascript:void(0)","csavart szabrázskard")</f>
        <v>csavart szabrázskard</v>
      </c>
      <c r="B5822" s="21"/>
      <c r="C5822" s="21"/>
      <c r="D5822" s="21"/>
    </row>
    <row r="5823" spans="1:4" ht="12.75" customHeight="1" x14ac:dyDescent="0.2">
      <c r="A5823" s="20"/>
      <c r="B5823" s="2"/>
      <c r="C5823" s="2"/>
      <c r="D5823" s="2"/>
    </row>
    <row r="5824" spans="1:4" ht="12.75" customHeight="1" x14ac:dyDescent="0.2">
      <c r="A5824" s="21"/>
      <c r="B5824" s="3" t="s">
        <v>0</v>
      </c>
      <c r="C5824" s="20" t="s">
        <v>1174</v>
      </c>
      <c r="D5824" s="21"/>
    </row>
    <row r="5825" spans="1:4" ht="12.75" customHeight="1" x14ac:dyDescent="0.2">
      <c r="A5825" s="21"/>
      <c r="B5825" s="3" t="s">
        <v>2</v>
      </c>
      <c r="C5825" s="20" t="s">
        <v>1598</v>
      </c>
      <c r="D5825" s="21"/>
    </row>
    <row r="5826" spans="1:4" ht="12.75" customHeight="1" x14ac:dyDescent="0.2">
      <c r="A5826" s="21"/>
      <c r="B5826" s="3" t="s">
        <v>4</v>
      </c>
      <c r="C5826" s="20" t="s">
        <v>2338</v>
      </c>
      <c r="D5826" s="21"/>
    </row>
    <row r="5827" spans="1:4" ht="12.75" customHeight="1" x14ac:dyDescent="0.2">
      <c r="A5827" s="21"/>
      <c r="B5827" s="3" t="s">
        <v>6</v>
      </c>
      <c r="C5827" s="20" t="s">
        <v>353</v>
      </c>
      <c r="D5827" s="21"/>
    </row>
    <row r="5828" spans="1:4" ht="12.75" customHeight="1" x14ac:dyDescent="0.2">
      <c r="A5828" s="21"/>
      <c r="B5828" s="3" t="s">
        <v>8</v>
      </c>
      <c r="C5828" s="20" t="s">
        <v>2338</v>
      </c>
      <c r="D5828" s="21"/>
    </row>
    <row r="5829" spans="1:4" ht="12.75" customHeight="1" x14ac:dyDescent="0.2">
      <c r="A5829" s="21"/>
      <c r="B5829" s="3" t="s">
        <v>9</v>
      </c>
      <c r="C5829" s="20" t="s">
        <v>2339</v>
      </c>
      <c r="D5829" s="21"/>
    </row>
    <row r="5830" spans="1:4" ht="12.75" customHeight="1" x14ac:dyDescent="0.2">
      <c r="A5830" s="21"/>
      <c r="B5830" s="3" t="s">
        <v>11</v>
      </c>
      <c r="C5830" s="20" t="s">
        <v>1354</v>
      </c>
      <c r="D5830" s="21"/>
    </row>
    <row r="5831" spans="1:4" ht="12.75" customHeight="1" x14ac:dyDescent="0.2">
      <c r="A5831" s="21"/>
      <c r="B5831" s="3" t="s">
        <v>13</v>
      </c>
      <c r="C5831" s="20" t="s">
        <v>24</v>
      </c>
      <c r="D5831" s="21"/>
    </row>
    <row r="5832" spans="1:4" ht="12.75" customHeight="1" x14ac:dyDescent="0.2">
      <c r="A5832" s="21"/>
      <c r="B5832" s="3" t="s">
        <v>15</v>
      </c>
      <c r="C5832" s="20" t="s">
        <v>24</v>
      </c>
      <c r="D5832" s="21"/>
    </row>
    <row r="5833" spans="1:4" ht="12.75" customHeight="1" x14ac:dyDescent="0.2">
      <c r="A5833" s="21"/>
      <c r="B5833" s="3" t="s">
        <v>16</v>
      </c>
      <c r="C5833" s="20"/>
      <c r="D5833" s="21"/>
    </row>
    <row r="5834" spans="1:4" ht="12.75" customHeight="1" x14ac:dyDescent="0.2">
      <c r="A5834" s="21"/>
      <c r="B5834" s="3" t="s">
        <v>17</v>
      </c>
      <c r="C5834" s="20"/>
      <c r="D5834" s="21"/>
    </row>
    <row r="5835" spans="1:4" ht="12.75" customHeight="1" x14ac:dyDescent="0.2">
      <c r="A5835" s="21"/>
      <c r="B5835" s="20" t="s">
        <v>18</v>
      </c>
      <c r="C5835" s="4" t="s">
        <v>193</v>
      </c>
      <c r="D5835" s="6" t="str">
        <f>HYPERLINK("javascript:void(0)","patkányfarok")</f>
        <v>patkányfarok</v>
      </c>
    </row>
    <row r="5836" spans="1:4" ht="12.75" customHeight="1" x14ac:dyDescent="0.2">
      <c r="A5836" s="21"/>
      <c r="B5836" s="21"/>
      <c r="C5836" s="4" t="s">
        <v>1613</v>
      </c>
      <c r="D5836" s="6" t="str">
        <f>HYPERLINK("javascript:void(0)","pegazustoll")</f>
        <v>pegazustoll</v>
      </c>
    </row>
    <row r="5837" spans="1:4" ht="12.75" customHeight="1" x14ac:dyDescent="0.2">
      <c r="A5837" s="21"/>
      <c r="B5837" s="21"/>
      <c r="C5837" s="4" t="s">
        <v>265</v>
      </c>
      <c r="D5837" s="6" t="str">
        <f>HYPERLINK("javascript:void(0)","faunszarv")</f>
        <v>faunszarv</v>
      </c>
    </row>
    <row r="5838" spans="1:4" ht="12.75" customHeight="1" x14ac:dyDescent="0.2">
      <c r="A5838" s="5"/>
      <c r="B5838" s="2"/>
      <c r="C5838" s="2"/>
      <c r="D5838" s="2"/>
    </row>
    <row r="5839" spans="1:4" ht="12.75" customHeight="1" x14ac:dyDescent="0.2">
      <c r="A5839" s="22" t="str">
        <f>HYPERLINK("javascript:void(0)","füttyös mágusölő")</f>
        <v>füttyös mágusölő</v>
      </c>
      <c r="B5839" s="21"/>
      <c r="C5839" s="21"/>
      <c r="D5839" s="21"/>
    </row>
    <row r="5840" spans="1:4" ht="12.75" customHeight="1" x14ac:dyDescent="0.2">
      <c r="A5840" s="20"/>
      <c r="B5840" s="2"/>
      <c r="C5840" s="2"/>
      <c r="D5840" s="2"/>
    </row>
    <row r="5841" spans="1:4" ht="12.75" customHeight="1" x14ac:dyDescent="0.2">
      <c r="A5841" s="21"/>
      <c r="B5841" s="3" t="s">
        <v>0</v>
      </c>
      <c r="C5841" s="20" t="s">
        <v>1174</v>
      </c>
      <c r="D5841" s="21"/>
    </row>
    <row r="5842" spans="1:4" ht="12.75" customHeight="1" x14ac:dyDescent="0.2">
      <c r="A5842" s="21"/>
      <c r="B5842" s="3" t="s">
        <v>2</v>
      </c>
      <c r="C5842" s="20" t="s">
        <v>1598</v>
      </c>
      <c r="D5842" s="21"/>
    </row>
    <row r="5843" spans="1:4" ht="12.75" customHeight="1" x14ac:dyDescent="0.2">
      <c r="A5843" s="21"/>
      <c r="B5843" s="3" t="s">
        <v>4</v>
      </c>
      <c r="C5843" s="20" t="s">
        <v>1188</v>
      </c>
      <c r="D5843" s="21"/>
    </row>
    <row r="5844" spans="1:4" ht="12.75" customHeight="1" x14ac:dyDescent="0.2">
      <c r="A5844" s="21"/>
      <c r="B5844" s="3" t="s">
        <v>6</v>
      </c>
      <c r="C5844" s="20" t="s">
        <v>74</v>
      </c>
      <c r="D5844" s="21"/>
    </row>
    <row r="5845" spans="1:4" ht="12.75" customHeight="1" x14ac:dyDescent="0.2">
      <c r="A5845" s="21"/>
      <c r="B5845" s="3" t="s">
        <v>8</v>
      </c>
      <c r="C5845" s="20" t="s">
        <v>1188</v>
      </c>
      <c r="D5845" s="21"/>
    </row>
    <row r="5846" spans="1:4" ht="12.75" customHeight="1" x14ac:dyDescent="0.2">
      <c r="A5846" s="21"/>
      <c r="B5846" s="3" t="s">
        <v>9</v>
      </c>
      <c r="C5846" s="20" t="s">
        <v>2076</v>
      </c>
      <c r="D5846" s="21"/>
    </row>
    <row r="5847" spans="1:4" ht="12.75" customHeight="1" x14ac:dyDescent="0.2">
      <c r="A5847" s="21"/>
      <c r="B5847" s="3" t="s">
        <v>11</v>
      </c>
      <c r="C5847" s="20" t="s">
        <v>2218</v>
      </c>
      <c r="D5847" s="21"/>
    </row>
    <row r="5848" spans="1:4" ht="12.75" customHeight="1" x14ac:dyDescent="0.2">
      <c r="A5848" s="21"/>
      <c r="B5848" s="3" t="s">
        <v>13</v>
      </c>
      <c r="C5848" s="20" t="s">
        <v>14</v>
      </c>
      <c r="D5848" s="21"/>
    </row>
    <row r="5849" spans="1:4" ht="12.75" customHeight="1" x14ac:dyDescent="0.2">
      <c r="A5849" s="21"/>
      <c r="B5849" s="3" t="s">
        <v>15</v>
      </c>
      <c r="C5849" s="20" t="s">
        <v>24</v>
      </c>
      <c r="D5849" s="21"/>
    </row>
    <row r="5850" spans="1:4" ht="12.75" customHeight="1" x14ac:dyDescent="0.2">
      <c r="A5850" s="21"/>
      <c r="B5850" s="3" t="s">
        <v>16</v>
      </c>
      <c r="C5850" s="20"/>
      <c r="D5850" s="21"/>
    </row>
    <row r="5851" spans="1:4" ht="12.75" customHeight="1" x14ac:dyDescent="0.2">
      <c r="A5851" s="21"/>
      <c r="B5851" s="3" t="s">
        <v>17</v>
      </c>
      <c r="C5851" s="20"/>
      <c r="D5851" s="21"/>
    </row>
    <row r="5852" spans="1:4" ht="12.75" customHeight="1" x14ac:dyDescent="0.2">
      <c r="A5852" s="21"/>
      <c r="B5852" s="20" t="s">
        <v>18</v>
      </c>
      <c r="C5852" s="4" t="s">
        <v>149</v>
      </c>
      <c r="D5852" s="6" t="str">
        <f>HYPERLINK("javascript:void(0)","smaragd")</f>
        <v>smaragd</v>
      </c>
    </row>
    <row r="5853" spans="1:4" ht="12.75" customHeight="1" x14ac:dyDescent="0.2">
      <c r="A5853" s="21"/>
      <c r="B5853" s="21"/>
      <c r="C5853" s="4" t="s">
        <v>772</v>
      </c>
      <c r="D5853" s="6" t="str">
        <f>HYPERLINK("javascript:void(0)","kutyasíp")</f>
        <v>kutyasíp</v>
      </c>
    </row>
    <row r="5854" spans="1:4" ht="12.75" customHeight="1" x14ac:dyDescent="0.2">
      <c r="A5854" s="21"/>
      <c r="B5854" s="21"/>
      <c r="C5854" s="4" t="s">
        <v>193</v>
      </c>
      <c r="D5854" s="6" t="str">
        <f>HYPERLINK("javascript:void(0)","lélekfodor")</f>
        <v>lélekfodor</v>
      </c>
    </row>
    <row r="5855" spans="1:4" ht="12.75" customHeight="1" x14ac:dyDescent="0.2">
      <c r="A5855" s="5"/>
      <c r="B5855" s="2"/>
      <c r="C5855" s="2"/>
      <c r="D5855" s="2"/>
    </row>
    <row r="5856" spans="1:4" ht="12.75" customHeight="1" x14ac:dyDescent="0.2">
      <c r="A5856" s="22" t="str">
        <f>HYPERLINK("javascript:void(0)","csavart démonkard")</f>
        <v>csavart démonkard</v>
      </c>
      <c r="B5856" s="21"/>
      <c r="C5856" s="21"/>
      <c r="D5856" s="21"/>
    </row>
    <row r="5857" spans="1:4" ht="12.75" customHeight="1" x14ac:dyDescent="0.2">
      <c r="A5857" s="20"/>
      <c r="B5857" s="2"/>
      <c r="C5857" s="2"/>
      <c r="D5857" s="2"/>
    </row>
    <row r="5858" spans="1:4" ht="12.75" customHeight="1" x14ac:dyDescent="0.2">
      <c r="A5858" s="21"/>
      <c r="B5858" s="3" t="s">
        <v>0</v>
      </c>
      <c r="C5858" s="20" t="s">
        <v>119</v>
      </c>
      <c r="D5858" s="21"/>
    </row>
    <row r="5859" spans="1:4" ht="12.75" customHeight="1" x14ac:dyDescent="0.2">
      <c r="A5859" s="21"/>
      <c r="B5859" s="3" t="s">
        <v>2</v>
      </c>
      <c r="C5859" s="20" t="s">
        <v>1598</v>
      </c>
      <c r="D5859" s="21"/>
    </row>
    <row r="5860" spans="1:4" ht="12.75" customHeight="1" x14ac:dyDescent="0.2">
      <c r="A5860" s="21"/>
      <c r="B5860" s="3" t="s">
        <v>4</v>
      </c>
      <c r="C5860" s="20" t="s">
        <v>2341</v>
      </c>
      <c r="D5860" s="21"/>
    </row>
    <row r="5861" spans="1:4" ht="12.75" customHeight="1" x14ac:dyDescent="0.2">
      <c r="A5861" s="21"/>
      <c r="B5861" s="3" t="s">
        <v>6</v>
      </c>
      <c r="C5861" s="20" t="s">
        <v>187</v>
      </c>
      <c r="D5861" s="21"/>
    </row>
    <row r="5862" spans="1:4" ht="12.75" customHeight="1" x14ac:dyDescent="0.2">
      <c r="A5862" s="21"/>
      <c r="B5862" s="3" t="s">
        <v>8</v>
      </c>
      <c r="C5862" s="20" t="s">
        <v>2341</v>
      </c>
      <c r="D5862" s="21"/>
    </row>
    <row r="5863" spans="1:4" ht="12.75" customHeight="1" x14ac:dyDescent="0.2">
      <c r="A5863" s="21"/>
      <c r="B5863" s="3" t="s">
        <v>9</v>
      </c>
      <c r="C5863" s="20" t="s">
        <v>2119</v>
      </c>
      <c r="D5863" s="21"/>
    </row>
    <row r="5864" spans="1:4" ht="12.75" customHeight="1" x14ac:dyDescent="0.2">
      <c r="A5864" s="21"/>
      <c r="B5864" s="3" t="s">
        <v>11</v>
      </c>
      <c r="C5864" s="20" t="s">
        <v>2342</v>
      </c>
      <c r="D5864" s="21"/>
    </row>
    <row r="5865" spans="1:4" ht="12.75" customHeight="1" x14ac:dyDescent="0.2">
      <c r="A5865" s="21"/>
      <c r="B5865" s="3" t="s">
        <v>13</v>
      </c>
      <c r="C5865" s="20" t="s">
        <v>24</v>
      </c>
      <c r="D5865" s="21"/>
    </row>
    <row r="5866" spans="1:4" ht="12.75" customHeight="1" x14ac:dyDescent="0.2">
      <c r="A5866" s="21"/>
      <c r="B5866" s="3" t="s">
        <v>15</v>
      </c>
      <c r="C5866" s="20" t="s">
        <v>24</v>
      </c>
      <c r="D5866" s="21"/>
    </row>
    <row r="5867" spans="1:4" ht="12.75" customHeight="1" x14ac:dyDescent="0.2">
      <c r="A5867" s="21"/>
      <c r="B5867" s="3" t="s">
        <v>16</v>
      </c>
      <c r="C5867" s="20"/>
      <c r="D5867" s="21"/>
    </row>
    <row r="5868" spans="1:4" ht="12.75" customHeight="1" x14ac:dyDescent="0.2">
      <c r="A5868" s="21"/>
      <c r="B5868" s="3" t="s">
        <v>17</v>
      </c>
      <c r="C5868" s="20"/>
      <c r="D5868" s="21"/>
    </row>
    <row r="5869" spans="1:4" ht="25.5" customHeight="1" x14ac:dyDescent="0.2">
      <c r="A5869" s="21"/>
      <c r="B5869" s="20" t="s">
        <v>18</v>
      </c>
      <c r="C5869" s="4" t="s">
        <v>44</v>
      </c>
      <c r="D5869" s="6" t="str">
        <f>HYPERLINK("javascript:void(0)","csavart szabrázskard")</f>
        <v>csavart szabrázskard</v>
      </c>
    </row>
    <row r="5870" spans="1:4" ht="12.75" customHeight="1" x14ac:dyDescent="0.2">
      <c r="A5870" s="21"/>
      <c r="B5870" s="21"/>
      <c r="C5870" s="4" t="s">
        <v>420</v>
      </c>
      <c r="D5870" s="6" t="str">
        <f>HYPERLINK("javascript:void(0)","démontoll")</f>
        <v>démontoll</v>
      </c>
    </row>
    <row r="5871" spans="1:4" ht="12.75" customHeight="1" x14ac:dyDescent="0.2">
      <c r="A5871" s="21"/>
      <c r="B5871" s="21"/>
      <c r="C5871" s="4" t="s">
        <v>102</v>
      </c>
      <c r="D5871" s="6" t="str">
        <f>HYPERLINK("javascript:void(0)","foglalat")</f>
        <v>foglalat</v>
      </c>
    </row>
    <row r="5872" spans="1:4" ht="12.75" customHeight="1" x14ac:dyDescent="0.2">
      <c r="A5872" s="5"/>
      <c r="B5872" s="2"/>
      <c r="C5872" s="2"/>
      <c r="D5872" s="2"/>
    </row>
    <row r="5873" spans="1:4" ht="12.75" customHeight="1" x14ac:dyDescent="0.2">
      <c r="A5873" s="22" t="str">
        <f>HYPERLINK("javascript:void(0)","gyíkacél fullánk")</f>
        <v>gyíkacél fullánk</v>
      </c>
      <c r="B5873" s="21"/>
      <c r="C5873" s="21"/>
      <c r="D5873" s="21"/>
    </row>
    <row r="5874" spans="1:4" ht="12.75" customHeight="1" x14ac:dyDescent="0.2">
      <c r="A5874" s="20"/>
      <c r="B5874" s="2"/>
      <c r="C5874" s="2"/>
      <c r="D5874" s="2"/>
    </row>
    <row r="5875" spans="1:4" ht="12.75" customHeight="1" x14ac:dyDescent="0.2">
      <c r="A5875" s="21"/>
      <c r="B5875" s="3" t="s">
        <v>0</v>
      </c>
      <c r="C5875" s="20" t="s">
        <v>1196</v>
      </c>
      <c r="D5875" s="21"/>
    </row>
    <row r="5876" spans="1:4" ht="12.75" customHeight="1" x14ac:dyDescent="0.2">
      <c r="A5876" s="21"/>
      <c r="B5876" s="3" t="s">
        <v>2</v>
      </c>
      <c r="C5876" s="20" t="s">
        <v>1598</v>
      </c>
      <c r="D5876" s="21"/>
    </row>
    <row r="5877" spans="1:4" ht="12.75" customHeight="1" x14ac:dyDescent="0.2">
      <c r="A5877" s="21"/>
      <c r="B5877" s="3" t="s">
        <v>4</v>
      </c>
      <c r="C5877" s="20" t="s">
        <v>2343</v>
      </c>
      <c r="D5877" s="21"/>
    </row>
    <row r="5878" spans="1:4" ht="12.75" customHeight="1" x14ac:dyDescent="0.2">
      <c r="A5878" s="21"/>
      <c r="B5878" s="3" t="s">
        <v>6</v>
      </c>
      <c r="C5878" s="20" t="s">
        <v>216</v>
      </c>
      <c r="D5878" s="21"/>
    </row>
    <row r="5879" spans="1:4" ht="12.75" customHeight="1" x14ac:dyDescent="0.2">
      <c r="A5879" s="21"/>
      <c r="B5879" s="3" t="s">
        <v>8</v>
      </c>
      <c r="C5879" s="20" t="s">
        <v>2343</v>
      </c>
      <c r="D5879" s="21"/>
    </row>
    <row r="5880" spans="1:4" ht="12.75" customHeight="1" x14ac:dyDescent="0.2">
      <c r="A5880" s="21"/>
      <c r="B5880" s="3" t="s">
        <v>9</v>
      </c>
      <c r="C5880" s="20" t="s">
        <v>2192</v>
      </c>
      <c r="D5880" s="21"/>
    </row>
    <row r="5881" spans="1:4" ht="12.75" customHeight="1" x14ac:dyDescent="0.2">
      <c r="A5881" s="21"/>
      <c r="B5881" s="3" t="s">
        <v>11</v>
      </c>
      <c r="C5881" s="20" t="s">
        <v>2344</v>
      </c>
      <c r="D5881" s="21"/>
    </row>
    <row r="5882" spans="1:4" ht="12.75" customHeight="1" x14ac:dyDescent="0.2">
      <c r="A5882" s="21"/>
      <c r="B5882" s="3" t="s">
        <v>13</v>
      </c>
      <c r="C5882" s="20" t="s">
        <v>24</v>
      </c>
      <c r="D5882" s="21"/>
    </row>
    <row r="5883" spans="1:4" ht="12.75" customHeight="1" x14ac:dyDescent="0.2">
      <c r="A5883" s="21"/>
      <c r="B5883" s="3" t="s">
        <v>15</v>
      </c>
      <c r="C5883" s="20" t="s">
        <v>24</v>
      </c>
      <c r="D5883" s="21"/>
    </row>
    <row r="5884" spans="1:4" ht="12.75" customHeight="1" x14ac:dyDescent="0.2">
      <c r="A5884" s="21"/>
      <c r="B5884" s="3" t="s">
        <v>16</v>
      </c>
      <c r="C5884" s="20"/>
      <c r="D5884" s="21"/>
    </row>
    <row r="5885" spans="1:4" ht="12.75" customHeight="1" x14ac:dyDescent="0.2">
      <c r="A5885" s="21"/>
      <c r="B5885" s="3" t="s">
        <v>17</v>
      </c>
      <c r="C5885" s="20"/>
      <c r="D5885" s="21"/>
    </row>
    <row r="5886" spans="1:4" ht="12.75" customHeight="1" x14ac:dyDescent="0.2">
      <c r="A5886" s="21"/>
      <c r="B5886" s="20" t="s">
        <v>18</v>
      </c>
      <c r="C5886" s="4" t="s">
        <v>163</v>
      </c>
      <c r="D5886" s="6" t="str">
        <f>HYPERLINK("javascript:void(0)","ezüstfullánk")</f>
        <v>ezüstfullánk</v>
      </c>
    </row>
    <row r="5887" spans="1:4" ht="12.75" customHeight="1" x14ac:dyDescent="0.2">
      <c r="A5887" s="21"/>
      <c r="B5887" s="21"/>
      <c r="C5887" s="4" t="s">
        <v>265</v>
      </c>
      <c r="D5887" s="6" t="str">
        <f>HYPERLINK("javascript:void(0)","szellemláng")</f>
        <v>szellemláng</v>
      </c>
    </row>
    <row r="5888" spans="1:4" ht="12.75" customHeight="1" x14ac:dyDescent="0.2">
      <c r="A5888" s="21"/>
      <c r="B5888" s="21"/>
      <c r="C5888" s="4" t="s">
        <v>331</v>
      </c>
      <c r="D5888" s="6" t="str">
        <f>HYPERLINK("javascript:void(0)","aquaakta")</f>
        <v>aquaakta</v>
      </c>
    </row>
    <row r="5889" spans="1:4" ht="12.75" customHeight="1" x14ac:dyDescent="0.2">
      <c r="A5889" s="5"/>
      <c r="B5889" s="2"/>
      <c r="C5889" s="2"/>
      <c r="D5889" s="2"/>
    </row>
    <row r="5890" spans="1:4" ht="12.75" customHeight="1" x14ac:dyDescent="0.2">
      <c r="A5890" s="22" t="str">
        <f>HYPERLINK("javascript:void(0)","lombikcserepes mágusölő")</f>
        <v>lombikcserepes mágusölő</v>
      </c>
      <c r="B5890" s="21"/>
      <c r="C5890" s="21"/>
      <c r="D5890" s="21"/>
    </row>
    <row r="5891" spans="1:4" ht="12.75" customHeight="1" x14ac:dyDescent="0.2">
      <c r="A5891" s="20"/>
      <c r="B5891" s="2"/>
      <c r="C5891" s="2"/>
      <c r="D5891" s="2"/>
    </row>
    <row r="5892" spans="1:4" ht="12.75" customHeight="1" x14ac:dyDescent="0.2">
      <c r="A5892" s="21"/>
      <c r="B5892" s="3" t="s">
        <v>0</v>
      </c>
      <c r="C5892" s="20" t="s">
        <v>1196</v>
      </c>
      <c r="D5892" s="21"/>
    </row>
    <row r="5893" spans="1:4" ht="12.75" customHeight="1" x14ac:dyDescent="0.2">
      <c r="A5893" s="21"/>
      <c r="B5893" s="3" t="s">
        <v>2</v>
      </c>
      <c r="C5893" s="20" t="s">
        <v>1598</v>
      </c>
      <c r="D5893" s="21"/>
    </row>
    <row r="5894" spans="1:4" ht="12.75" customHeight="1" x14ac:dyDescent="0.2">
      <c r="A5894" s="21"/>
      <c r="B5894" s="3" t="s">
        <v>4</v>
      </c>
      <c r="C5894" s="20" t="s">
        <v>2345</v>
      </c>
      <c r="D5894" s="21"/>
    </row>
    <row r="5895" spans="1:4" ht="12.75" customHeight="1" x14ac:dyDescent="0.2">
      <c r="A5895" s="21"/>
      <c r="B5895" s="3" t="s">
        <v>6</v>
      </c>
      <c r="C5895" s="20" t="s">
        <v>26</v>
      </c>
      <c r="D5895" s="21"/>
    </row>
    <row r="5896" spans="1:4" ht="12.75" customHeight="1" x14ac:dyDescent="0.2">
      <c r="A5896" s="21"/>
      <c r="B5896" s="3" t="s">
        <v>8</v>
      </c>
      <c r="C5896" s="20" t="s">
        <v>2345</v>
      </c>
      <c r="D5896" s="21"/>
    </row>
    <row r="5897" spans="1:4" ht="12.75" customHeight="1" x14ac:dyDescent="0.2">
      <c r="A5897" s="21"/>
      <c r="B5897" s="3" t="s">
        <v>9</v>
      </c>
      <c r="C5897" s="20" t="s">
        <v>658</v>
      </c>
      <c r="D5897" s="21"/>
    </row>
    <row r="5898" spans="1:4" ht="12.75" customHeight="1" x14ac:dyDescent="0.2">
      <c r="A5898" s="21"/>
      <c r="B5898" s="3" t="s">
        <v>11</v>
      </c>
      <c r="C5898" s="20" t="s">
        <v>2346</v>
      </c>
      <c r="D5898" s="21"/>
    </row>
    <row r="5899" spans="1:4" ht="12.75" customHeight="1" x14ac:dyDescent="0.2">
      <c r="A5899" s="21"/>
      <c r="B5899" s="3" t="s">
        <v>13</v>
      </c>
      <c r="C5899" s="20" t="s">
        <v>14</v>
      </c>
      <c r="D5899" s="21"/>
    </row>
    <row r="5900" spans="1:4" ht="12.75" customHeight="1" x14ac:dyDescent="0.2">
      <c r="A5900" s="21"/>
      <c r="B5900" s="3" t="s">
        <v>15</v>
      </c>
      <c r="C5900" s="20" t="s">
        <v>24</v>
      </c>
      <c r="D5900" s="21"/>
    </row>
    <row r="5901" spans="1:4" ht="12.75" customHeight="1" x14ac:dyDescent="0.2">
      <c r="A5901" s="21"/>
      <c r="B5901" s="3" t="s">
        <v>16</v>
      </c>
      <c r="C5901" s="20"/>
      <c r="D5901" s="21"/>
    </row>
    <row r="5902" spans="1:4" ht="12.75" customHeight="1" x14ac:dyDescent="0.2">
      <c r="A5902" s="21"/>
      <c r="B5902" s="3" t="s">
        <v>17</v>
      </c>
      <c r="C5902" s="20"/>
      <c r="D5902" s="21"/>
    </row>
    <row r="5903" spans="1:4" ht="25.5" customHeight="1" x14ac:dyDescent="0.2">
      <c r="A5903" s="21"/>
      <c r="B5903" s="20" t="s">
        <v>18</v>
      </c>
      <c r="C5903" s="4" t="s">
        <v>44</v>
      </c>
      <c r="D5903" s="6" t="str">
        <f>HYPERLINK("javascript:void(0)","kéregvizes mágusölő")</f>
        <v>kéregvizes mágusölő</v>
      </c>
    </row>
    <row r="5904" spans="1:4" ht="12.75" customHeight="1" x14ac:dyDescent="0.2">
      <c r="A5904" s="21"/>
      <c r="B5904" s="21"/>
      <c r="C5904" s="4" t="s">
        <v>102</v>
      </c>
      <c r="D5904" s="6" t="str">
        <f>HYPERLINK("javascript:void(0)","lombik")</f>
        <v>lombik</v>
      </c>
    </row>
    <row r="5905" spans="1:4" ht="12.75" customHeight="1" x14ac:dyDescent="0.2">
      <c r="A5905" s="21"/>
      <c r="B5905" s="21"/>
      <c r="C5905" s="4" t="s">
        <v>67</v>
      </c>
      <c r="D5905" s="6" t="str">
        <f>HYPERLINK("javascript:void(0)","ectokinézis")</f>
        <v>ectokinézis</v>
      </c>
    </row>
    <row r="5906" spans="1:4" ht="12.75" customHeight="1" x14ac:dyDescent="0.2">
      <c r="A5906" s="5"/>
      <c r="B5906" s="2"/>
      <c r="C5906" s="2"/>
      <c r="D5906" s="2"/>
    </row>
    <row r="5907" spans="1:4" ht="12.75" customHeight="1" x14ac:dyDescent="0.2">
      <c r="A5907" s="22" t="str">
        <f>HYPERLINK("javascript:void(0)","méregpenge")</f>
        <v>méregpenge</v>
      </c>
      <c r="B5907" s="21"/>
      <c r="C5907" s="21"/>
      <c r="D5907" s="21"/>
    </row>
    <row r="5908" spans="1:4" ht="12.75" customHeight="1" x14ac:dyDescent="0.2">
      <c r="A5908" s="20"/>
      <c r="B5908" s="2"/>
      <c r="C5908" s="2"/>
      <c r="D5908" s="2"/>
    </row>
    <row r="5909" spans="1:4" ht="12.75" customHeight="1" x14ac:dyDescent="0.2">
      <c r="A5909" s="21"/>
      <c r="B5909" s="3" t="s">
        <v>0</v>
      </c>
      <c r="C5909" s="20" t="s">
        <v>1196</v>
      </c>
      <c r="D5909" s="21"/>
    </row>
    <row r="5910" spans="1:4" ht="12.75" customHeight="1" x14ac:dyDescent="0.2">
      <c r="A5910" s="21"/>
      <c r="B5910" s="3" t="s">
        <v>2</v>
      </c>
      <c r="C5910" s="20" t="s">
        <v>1598</v>
      </c>
      <c r="D5910" s="21"/>
    </row>
    <row r="5911" spans="1:4" ht="12.75" customHeight="1" x14ac:dyDescent="0.2">
      <c r="A5911" s="21"/>
      <c r="B5911" s="3" t="s">
        <v>4</v>
      </c>
      <c r="C5911" s="20" t="s">
        <v>2347</v>
      </c>
      <c r="D5911" s="21"/>
    </row>
    <row r="5912" spans="1:4" ht="12.75" customHeight="1" x14ac:dyDescent="0.2">
      <c r="A5912" s="21"/>
      <c r="B5912" s="3" t="s">
        <v>6</v>
      </c>
      <c r="C5912" s="20" t="s">
        <v>155</v>
      </c>
      <c r="D5912" s="21"/>
    </row>
    <row r="5913" spans="1:4" ht="12.75" customHeight="1" x14ac:dyDescent="0.2">
      <c r="A5913" s="21"/>
      <c r="B5913" s="3" t="s">
        <v>8</v>
      </c>
      <c r="C5913" s="20" t="s">
        <v>2347</v>
      </c>
      <c r="D5913" s="21"/>
    </row>
    <row r="5914" spans="1:4" ht="12.75" customHeight="1" x14ac:dyDescent="0.2">
      <c r="A5914" s="21"/>
      <c r="B5914" s="3" t="s">
        <v>9</v>
      </c>
      <c r="C5914" s="20" t="s">
        <v>2146</v>
      </c>
      <c r="D5914" s="21"/>
    </row>
    <row r="5915" spans="1:4" ht="12.75" customHeight="1" x14ac:dyDescent="0.2">
      <c r="A5915" s="21"/>
      <c r="B5915" s="3" t="s">
        <v>11</v>
      </c>
      <c r="C5915" s="20" t="s">
        <v>1628</v>
      </c>
      <c r="D5915" s="21"/>
    </row>
    <row r="5916" spans="1:4" ht="12.75" customHeight="1" x14ac:dyDescent="0.2">
      <c r="A5916" s="21"/>
      <c r="B5916" s="3" t="s">
        <v>13</v>
      </c>
      <c r="C5916" s="20" t="s">
        <v>24</v>
      </c>
      <c r="D5916" s="21"/>
    </row>
    <row r="5917" spans="1:4" ht="12.75" customHeight="1" x14ac:dyDescent="0.2">
      <c r="A5917" s="21"/>
      <c r="B5917" s="3" t="s">
        <v>15</v>
      </c>
      <c r="C5917" s="20" t="s">
        <v>24</v>
      </c>
      <c r="D5917" s="21"/>
    </row>
    <row r="5918" spans="1:4" ht="12.75" customHeight="1" x14ac:dyDescent="0.2">
      <c r="A5918" s="21"/>
      <c r="B5918" s="3" t="s">
        <v>16</v>
      </c>
      <c r="C5918" s="20"/>
      <c r="D5918" s="21"/>
    </row>
    <row r="5919" spans="1:4" ht="12.75" customHeight="1" x14ac:dyDescent="0.2">
      <c r="A5919" s="21"/>
      <c r="B5919" s="3" t="s">
        <v>17</v>
      </c>
      <c r="C5919" s="20"/>
      <c r="D5919" s="21"/>
    </row>
    <row r="5920" spans="1:4" ht="12.75" customHeight="1" x14ac:dyDescent="0.2">
      <c r="A5920" s="21"/>
      <c r="B5920" s="20" t="s">
        <v>18</v>
      </c>
      <c r="C5920" s="4" t="s">
        <v>44</v>
      </c>
      <c r="D5920" s="6" t="str">
        <f>HYPERLINK("javascript:void(0)","csavart démonkard")</f>
        <v>csavart démonkard</v>
      </c>
    </row>
    <row r="5921" spans="1:4" ht="12.75" customHeight="1" x14ac:dyDescent="0.2">
      <c r="A5921" s="21"/>
      <c r="B5921" s="21"/>
      <c r="C5921" s="4" t="s">
        <v>57</v>
      </c>
      <c r="D5921" s="6" t="str">
        <f>HYPERLINK("javascript:void(0)","méregfog")</f>
        <v>méregfog</v>
      </c>
    </row>
    <row r="5922" spans="1:4" ht="12.75" customHeight="1" x14ac:dyDescent="0.2">
      <c r="A5922" s="21"/>
      <c r="B5922" s="21"/>
      <c r="C5922" s="4" t="s">
        <v>132</v>
      </c>
      <c r="D5922" s="6" t="str">
        <f>HYPERLINK("javascript:void(0)","idegen herkentyű")</f>
        <v>idegen herkentyű</v>
      </c>
    </row>
    <row r="5923" spans="1:4" ht="12.75" customHeight="1" x14ac:dyDescent="0.2">
      <c r="A5923" s="5"/>
      <c r="B5923" s="2"/>
      <c r="C5923" s="2"/>
      <c r="D5923" s="2"/>
    </row>
    <row r="5924" spans="1:4" ht="12.75" customHeight="1" x14ac:dyDescent="0.2">
      <c r="A5924" s="22" t="str">
        <f>HYPERLINK("javascript:void(0)","hibátlan penge")</f>
        <v>hibátlan penge</v>
      </c>
      <c r="B5924" s="21"/>
      <c r="C5924" s="21"/>
      <c r="D5924" s="21"/>
    </row>
    <row r="5925" spans="1:4" ht="12.75" customHeight="1" x14ac:dyDescent="0.2">
      <c r="A5925" s="20"/>
      <c r="B5925" s="2"/>
      <c r="C5925" s="2"/>
      <c r="D5925" s="2"/>
    </row>
    <row r="5926" spans="1:4" ht="12.75" customHeight="1" x14ac:dyDescent="0.2">
      <c r="A5926" s="21"/>
      <c r="B5926" s="3" t="s">
        <v>0</v>
      </c>
      <c r="C5926" s="20" t="s">
        <v>1207</v>
      </c>
      <c r="D5926" s="21"/>
    </row>
    <row r="5927" spans="1:4" ht="12.75" customHeight="1" x14ac:dyDescent="0.2">
      <c r="A5927" s="21"/>
      <c r="B5927" s="3" t="s">
        <v>2</v>
      </c>
      <c r="C5927" s="20" t="s">
        <v>1598</v>
      </c>
      <c r="D5927" s="21"/>
    </row>
    <row r="5928" spans="1:4" ht="12.75" customHeight="1" x14ac:dyDescent="0.2">
      <c r="A5928" s="21"/>
      <c r="B5928" s="3" t="s">
        <v>4</v>
      </c>
      <c r="C5928" s="20" t="s">
        <v>2348</v>
      </c>
      <c r="D5928" s="21"/>
    </row>
    <row r="5929" spans="1:4" ht="12.75" customHeight="1" x14ac:dyDescent="0.2">
      <c r="A5929" s="21"/>
      <c r="B5929" s="3" t="s">
        <v>6</v>
      </c>
      <c r="C5929" s="20" t="s">
        <v>340</v>
      </c>
      <c r="D5929" s="21"/>
    </row>
    <row r="5930" spans="1:4" ht="12.75" customHeight="1" x14ac:dyDescent="0.2">
      <c r="A5930" s="21"/>
      <c r="B5930" s="3" t="s">
        <v>8</v>
      </c>
      <c r="C5930" s="20" t="s">
        <v>2348</v>
      </c>
      <c r="D5930" s="21"/>
    </row>
    <row r="5931" spans="1:4" ht="12.75" customHeight="1" x14ac:dyDescent="0.2">
      <c r="A5931" s="21"/>
      <c r="B5931" s="3" t="s">
        <v>9</v>
      </c>
      <c r="C5931" s="20" t="s">
        <v>135</v>
      </c>
      <c r="D5931" s="21"/>
    </row>
    <row r="5932" spans="1:4" ht="12.75" customHeight="1" x14ac:dyDescent="0.2">
      <c r="A5932" s="21"/>
      <c r="B5932" s="3" t="s">
        <v>11</v>
      </c>
      <c r="C5932" s="20" t="s">
        <v>2349</v>
      </c>
      <c r="D5932" s="21"/>
    </row>
    <row r="5933" spans="1:4" ht="12.75" customHeight="1" x14ac:dyDescent="0.2">
      <c r="A5933" s="21"/>
      <c r="B5933" s="3" t="s">
        <v>13</v>
      </c>
      <c r="C5933" s="20" t="s">
        <v>24</v>
      </c>
      <c r="D5933" s="21"/>
    </row>
    <row r="5934" spans="1:4" ht="12.75" customHeight="1" x14ac:dyDescent="0.2">
      <c r="A5934" s="21"/>
      <c r="B5934" s="3" t="s">
        <v>15</v>
      </c>
      <c r="C5934" s="20" t="s">
        <v>24</v>
      </c>
      <c r="D5934" s="21"/>
    </row>
    <row r="5935" spans="1:4" ht="12.75" customHeight="1" x14ac:dyDescent="0.2">
      <c r="A5935" s="21"/>
      <c r="B5935" s="3" t="s">
        <v>16</v>
      </c>
      <c r="C5935" s="20"/>
      <c r="D5935" s="21"/>
    </row>
    <row r="5936" spans="1:4" ht="12.75" customHeight="1" x14ac:dyDescent="0.2">
      <c r="A5936" s="21"/>
      <c r="B5936" s="3" t="s">
        <v>17</v>
      </c>
      <c r="C5936" s="20"/>
      <c r="D5936" s="21"/>
    </row>
    <row r="5937" spans="1:4" ht="12.75" customHeight="1" x14ac:dyDescent="0.2">
      <c r="A5937" s="21"/>
      <c r="B5937" s="20" t="s">
        <v>18</v>
      </c>
      <c r="C5937" s="4" t="s">
        <v>44</v>
      </c>
      <c r="D5937" s="6" t="str">
        <f>HYPERLINK("javascript:void(0)","méregpenge")</f>
        <v>méregpenge</v>
      </c>
    </row>
    <row r="5938" spans="1:4" ht="12.75" customHeight="1" x14ac:dyDescent="0.2">
      <c r="A5938" s="21"/>
      <c r="B5938" s="21"/>
      <c r="C5938" s="4" t="s">
        <v>77</v>
      </c>
      <c r="D5938" s="6" t="str">
        <f>HYPERLINK("javascript:void(0)","fatális hiba")</f>
        <v>fatális hiba</v>
      </c>
    </row>
    <row r="5939" spans="1:4" ht="12.75" customHeight="1" x14ac:dyDescent="0.2">
      <c r="A5939" s="21"/>
      <c r="B5939" s="21"/>
      <c r="C5939" s="4" t="s">
        <v>98</v>
      </c>
      <c r="D5939" s="6" t="str">
        <f>HYPERLINK("javascript:void(0)","kígyópikkely")</f>
        <v>kígyópikkely</v>
      </c>
    </row>
    <row r="5940" spans="1:4" ht="12.75" customHeight="1" x14ac:dyDescent="0.2">
      <c r="A5940" s="5"/>
      <c r="B5940" s="2"/>
      <c r="C5940" s="2"/>
      <c r="D5940" s="2"/>
    </row>
    <row r="5941" spans="1:4" ht="12.75" customHeight="1" x14ac:dyDescent="0.2">
      <c r="A5941" s="22" t="str">
        <f>HYPERLINK("javascript:void(0)","gyíkacél borotva")</f>
        <v>gyíkacél borotva</v>
      </c>
      <c r="B5941" s="21"/>
      <c r="C5941" s="21"/>
      <c r="D5941" s="21"/>
    </row>
    <row r="5942" spans="1:4" ht="12.75" customHeight="1" x14ac:dyDescent="0.2">
      <c r="A5942" s="20"/>
      <c r="B5942" s="2"/>
      <c r="C5942" s="2"/>
      <c r="D5942" s="2"/>
    </row>
    <row r="5943" spans="1:4" ht="12.75" customHeight="1" x14ac:dyDescent="0.2">
      <c r="A5943" s="21"/>
      <c r="B5943" s="3" t="s">
        <v>0</v>
      </c>
      <c r="C5943" s="20" t="s">
        <v>1213</v>
      </c>
      <c r="D5943" s="21"/>
    </row>
    <row r="5944" spans="1:4" ht="12.75" customHeight="1" x14ac:dyDescent="0.2">
      <c r="A5944" s="21"/>
      <c r="B5944" s="3" t="s">
        <v>2</v>
      </c>
      <c r="C5944" s="20" t="s">
        <v>1598</v>
      </c>
      <c r="D5944" s="21"/>
    </row>
    <row r="5945" spans="1:4" ht="12.75" customHeight="1" x14ac:dyDescent="0.2">
      <c r="A5945" s="21"/>
      <c r="B5945" s="3" t="s">
        <v>4</v>
      </c>
      <c r="C5945" s="20" t="s">
        <v>1208</v>
      </c>
      <c r="D5945" s="21"/>
    </row>
    <row r="5946" spans="1:4" ht="12.75" customHeight="1" x14ac:dyDescent="0.2">
      <c r="A5946" s="21"/>
      <c r="B5946" s="3" t="s">
        <v>6</v>
      </c>
      <c r="C5946" s="20" t="s">
        <v>392</v>
      </c>
      <c r="D5946" s="21"/>
    </row>
    <row r="5947" spans="1:4" ht="12.75" customHeight="1" x14ac:dyDescent="0.2">
      <c r="A5947" s="21"/>
      <c r="B5947" s="3" t="s">
        <v>8</v>
      </c>
      <c r="C5947" s="20" t="s">
        <v>1208</v>
      </c>
      <c r="D5947" s="21"/>
    </row>
    <row r="5948" spans="1:4" ht="12.75" customHeight="1" x14ac:dyDescent="0.2">
      <c r="A5948" s="21"/>
      <c r="B5948" s="3" t="s">
        <v>9</v>
      </c>
      <c r="C5948" s="20" t="s">
        <v>2350</v>
      </c>
      <c r="D5948" s="21"/>
    </row>
    <row r="5949" spans="1:4" ht="12.75" customHeight="1" x14ac:dyDescent="0.2">
      <c r="A5949" s="21"/>
      <c r="B5949" s="3" t="s">
        <v>11</v>
      </c>
      <c r="C5949" s="20" t="s">
        <v>1078</v>
      </c>
      <c r="D5949" s="21"/>
    </row>
    <row r="5950" spans="1:4" ht="12.75" customHeight="1" x14ac:dyDescent="0.2">
      <c r="A5950" s="21"/>
      <c r="B5950" s="3" t="s">
        <v>13</v>
      </c>
      <c r="C5950" s="20" t="s">
        <v>24</v>
      </c>
      <c r="D5950" s="21"/>
    </row>
    <row r="5951" spans="1:4" ht="12.75" customHeight="1" x14ac:dyDescent="0.2">
      <c r="A5951" s="21"/>
      <c r="B5951" s="3" t="s">
        <v>15</v>
      </c>
      <c r="C5951" s="20" t="s">
        <v>24</v>
      </c>
      <c r="D5951" s="21"/>
    </row>
    <row r="5952" spans="1:4" ht="12.75" customHeight="1" x14ac:dyDescent="0.2">
      <c r="A5952" s="21"/>
      <c r="B5952" s="3" t="s">
        <v>16</v>
      </c>
      <c r="C5952" s="20"/>
      <c r="D5952" s="21"/>
    </row>
    <row r="5953" spans="1:4" ht="12.75" customHeight="1" x14ac:dyDescent="0.2">
      <c r="A5953" s="21"/>
      <c r="B5953" s="3" t="s">
        <v>17</v>
      </c>
      <c r="C5953" s="20"/>
      <c r="D5953" s="21"/>
    </row>
    <row r="5954" spans="1:4" ht="12.75" customHeight="1" x14ac:dyDescent="0.2">
      <c r="A5954" s="21"/>
      <c r="B5954" s="20" t="s">
        <v>18</v>
      </c>
      <c r="C5954" s="4" t="s">
        <v>269</v>
      </c>
      <c r="D5954" s="6" t="str">
        <f>HYPERLINK("javascript:void(0)","nehézvíz")</f>
        <v>nehézvíz</v>
      </c>
    </row>
    <row r="5955" spans="1:4" ht="12.75" customHeight="1" x14ac:dyDescent="0.2">
      <c r="A5955" s="21"/>
      <c r="B5955" s="21"/>
      <c r="C5955" s="4" t="s">
        <v>102</v>
      </c>
      <c r="D5955" s="6" t="str">
        <f>HYPERLINK("javascript:void(0)","aquaakta")</f>
        <v>aquaakta</v>
      </c>
    </row>
    <row r="5956" spans="1:4" ht="12.75" customHeight="1" x14ac:dyDescent="0.2">
      <c r="A5956" s="21"/>
      <c r="B5956" s="21"/>
      <c r="C5956" s="4" t="s">
        <v>265</v>
      </c>
      <c r="D5956" s="6" t="str">
        <f>HYPERLINK("javascript:void(0)","ectokinézis")</f>
        <v>ectokinézis</v>
      </c>
    </row>
    <row r="5957" spans="1:4" ht="12.75" customHeight="1" x14ac:dyDescent="0.2">
      <c r="A5957" s="5"/>
      <c r="B5957" s="2"/>
      <c r="C5957" s="2"/>
      <c r="D5957" s="2"/>
    </row>
    <row r="5958" spans="1:4" ht="12.75" customHeight="1" x14ac:dyDescent="0.2">
      <c r="A5958" s="22" t="str">
        <f>HYPERLINK("javascript:void(0)","békés mágusölő")</f>
        <v>békés mágusölő</v>
      </c>
      <c r="B5958" s="21"/>
      <c r="C5958" s="21"/>
      <c r="D5958" s="21"/>
    </row>
    <row r="5959" spans="1:4" ht="12.75" customHeight="1" x14ac:dyDescent="0.2">
      <c r="A5959" s="20"/>
      <c r="B5959" s="2"/>
      <c r="C5959" s="2"/>
      <c r="D5959" s="2"/>
    </row>
    <row r="5960" spans="1:4" ht="12.75" customHeight="1" x14ac:dyDescent="0.2">
      <c r="A5960" s="21"/>
      <c r="B5960" s="3" t="s">
        <v>0</v>
      </c>
      <c r="C5960" s="20" t="s">
        <v>1213</v>
      </c>
      <c r="D5960" s="21"/>
    </row>
    <row r="5961" spans="1:4" ht="12.75" customHeight="1" x14ac:dyDescent="0.2">
      <c r="A5961" s="21"/>
      <c r="B5961" s="3" t="s">
        <v>2</v>
      </c>
      <c r="C5961" s="20" t="s">
        <v>1598</v>
      </c>
      <c r="D5961" s="21"/>
    </row>
    <row r="5962" spans="1:4" ht="12.75" customHeight="1" x14ac:dyDescent="0.2">
      <c r="A5962" s="21"/>
      <c r="B5962" s="3" t="s">
        <v>4</v>
      </c>
      <c r="C5962" s="20" t="s">
        <v>2351</v>
      </c>
      <c r="D5962" s="21"/>
    </row>
    <row r="5963" spans="1:4" ht="12.75" customHeight="1" x14ac:dyDescent="0.2">
      <c r="A5963" s="21"/>
      <c r="B5963" s="3" t="s">
        <v>6</v>
      </c>
      <c r="C5963" s="20" t="s">
        <v>40</v>
      </c>
      <c r="D5963" s="21"/>
    </row>
    <row r="5964" spans="1:4" ht="12.75" customHeight="1" x14ac:dyDescent="0.2">
      <c r="A5964" s="21"/>
      <c r="B5964" s="3" t="s">
        <v>8</v>
      </c>
      <c r="C5964" s="20" t="s">
        <v>2351</v>
      </c>
      <c r="D5964" s="21"/>
    </row>
    <row r="5965" spans="1:4" ht="12.75" customHeight="1" x14ac:dyDescent="0.2">
      <c r="A5965" s="21"/>
      <c r="B5965" s="3" t="s">
        <v>9</v>
      </c>
      <c r="C5965" s="20" t="s">
        <v>1068</v>
      </c>
      <c r="D5965" s="21"/>
    </row>
    <row r="5966" spans="1:4" ht="12.75" customHeight="1" x14ac:dyDescent="0.2">
      <c r="A5966" s="21"/>
      <c r="B5966" s="3" t="s">
        <v>11</v>
      </c>
      <c r="C5966" s="20" t="s">
        <v>2245</v>
      </c>
      <c r="D5966" s="21"/>
    </row>
    <row r="5967" spans="1:4" ht="12.75" customHeight="1" x14ac:dyDescent="0.2">
      <c r="A5967" s="21"/>
      <c r="B5967" s="3" t="s">
        <v>13</v>
      </c>
      <c r="C5967" s="20" t="s">
        <v>14</v>
      </c>
      <c r="D5967" s="21"/>
    </row>
    <row r="5968" spans="1:4" ht="12.75" customHeight="1" x14ac:dyDescent="0.2">
      <c r="A5968" s="21"/>
      <c r="B5968" s="3" t="s">
        <v>15</v>
      </c>
      <c r="C5968" s="20" t="s">
        <v>24</v>
      </c>
      <c r="D5968" s="21"/>
    </row>
    <row r="5969" spans="1:4" ht="12.75" customHeight="1" x14ac:dyDescent="0.2">
      <c r="A5969" s="21"/>
      <c r="B5969" s="3" t="s">
        <v>16</v>
      </c>
      <c r="C5969" s="20"/>
      <c r="D5969" s="21"/>
    </row>
    <row r="5970" spans="1:4" ht="12.75" customHeight="1" x14ac:dyDescent="0.2">
      <c r="A5970" s="21"/>
      <c r="B5970" s="3" t="s">
        <v>17</v>
      </c>
      <c r="C5970" s="20"/>
      <c r="D5970" s="21"/>
    </row>
    <row r="5971" spans="1:4" ht="12.75" customHeight="1" x14ac:dyDescent="0.2">
      <c r="A5971" s="21"/>
      <c r="B5971" s="20" t="s">
        <v>18</v>
      </c>
      <c r="C5971" s="4" t="s">
        <v>44</v>
      </c>
      <c r="D5971" s="6" t="str">
        <f>HYPERLINK("javascript:void(0)","rasztás mágusölő")</f>
        <v>rasztás mágusölő</v>
      </c>
    </row>
    <row r="5972" spans="1:4" ht="12.75" customHeight="1" x14ac:dyDescent="0.2">
      <c r="A5972" s="21"/>
      <c r="B5972" s="21"/>
      <c r="C5972" s="4" t="s">
        <v>296</v>
      </c>
      <c r="D5972" s="6" t="str">
        <f>HYPERLINK("javascript:void(0)","píszkereszt")</f>
        <v>píszkereszt</v>
      </c>
    </row>
    <row r="5973" spans="1:4" ht="12.75" customHeight="1" x14ac:dyDescent="0.2">
      <c r="A5973" s="21"/>
      <c r="B5973" s="21"/>
      <c r="C5973" s="4" t="s">
        <v>232</v>
      </c>
      <c r="D5973" s="6" t="str">
        <f>HYPERLINK("javascript:void(0)","kenyérhéj")</f>
        <v>kenyérhéj</v>
      </c>
    </row>
    <row r="5974" spans="1:4" ht="12.75" customHeight="1" x14ac:dyDescent="0.2">
      <c r="A5974" s="5"/>
      <c r="B5974" s="2"/>
      <c r="C5974" s="2"/>
      <c r="D5974" s="2"/>
    </row>
    <row r="5975" spans="1:4" ht="12.75" customHeight="1" x14ac:dyDescent="0.2">
      <c r="A5975" s="22" t="str">
        <f>HYPERLINK("javascript:void(0)","lombvágó")</f>
        <v>lombvágó</v>
      </c>
      <c r="B5975" s="21"/>
      <c r="C5975" s="21"/>
      <c r="D5975" s="21"/>
    </row>
    <row r="5976" spans="1:4" ht="12.75" customHeight="1" x14ac:dyDescent="0.2">
      <c r="A5976" s="20"/>
      <c r="B5976" s="2"/>
      <c r="C5976" s="2"/>
      <c r="D5976" s="2"/>
    </row>
    <row r="5977" spans="1:4" ht="12.75" customHeight="1" x14ac:dyDescent="0.2">
      <c r="A5977" s="21"/>
      <c r="B5977" s="3" t="s">
        <v>0</v>
      </c>
      <c r="C5977" s="20" t="s">
        <v>1213</v>
      </c>
      <c r="D5977" s="21"/>
    </row>
    <row r="5978" spans="1:4" ht="12.75" customHeight="1" x14ac:dyDescent="0.2">
      <c r="A5978" s="21"/>
      <c r="B5978" s="3" t="s">
        <v>2</v>
      </c>
      <c r="C5978" s="20" t="s">
        <v>1598</v>
      </c>
      <c r="D5978" s="21"/>
    </row>
    <row r="5979" spans="1:4" ht="12.75" customHeight="1" x14ac:dyDescent="0.2">
      <c r="A5979" s="21"/>
      <c r="B5979" s="3" t="s">
        <v>4</v>
      </c>
      <c r="C5979" s="20" t="s">
        <v>2352</v>
      </c>
      <c r="D5979" s="21"/>
    </row>
    <row r="5980" spans="1:4" ht="12.75" customHeight="1" x14ac:dyDescent="0.2">
      <c r="A5980" s="21"/>
      <c r="B5980" s="3" t="s">
        <v>6</v>
      </c>
      <c r="C5980" s="20" t="s">
        <v>86</v>
      </c>
      <c r="D5980" s="21"/>
    </row>
    <row r="5981" spans="1:4" ht="12.75" customHeight="1" x14ac:dyDescent="0.2">
      <c r="A5981" s="21"/>
      <c r="B5981" s="3" t="s">
        <v>8</v>
      </c>
      <c r="C5981" s="20" t="s">
        <v>2352</v>
      </c>
      <c r="D5981" s="21"/>
    </row>
    <row r="5982" spans="1:4" ht="12.75" customHeight="1" x14ac:dyDescent="0.2">
      <c r="A5982" s="21"/>
      <c r="B5982" s="3" t="s">
        <v>9</v>
      </c>
      <c r="C5982" s="20" t="s">
        <v>962</v>
      </c>
      <c r="D5982" s="21"/>
    </row>
    <row r="5983" spans="1:4" ht="12.75" customHeight="1" x14ac:dyDescent="0.2">
      <c r="A5983" s="21"/>
      <c r="B5983" s="3" t="s">
        <v>11</v>
      </c>
      <c r="C5983" s="20" t="s">
        <v>2353</v>
      </c>
      <c r="D5983" s="21"/>
    </row>
    <row r="5984" spans="1:4" ht="12.75" customHeight="1" x14ac:dyDescent="0.2">
      <c r="A5984" s="21"/>
      <c r="B5984" s="3" t="s">
        <v>13</v>
      </c>
      <c r="C5984" s="20" t="s">
        <v>24</v>
      </c>
      <c r="D5984" s="21"/>
    </row>
    <row r="5985" spans="1:4" ht="12.75" customHeight="1" x14ac:dyDescent="0.2">
      <c r="A5985" s="21"/>
      <c r="B5985" s="3" t="s">
        <v>15</v>
      </c>
      <c r="C5985" s="20" t="s">
        <v>24</v>
      </c>
      <c r="D5985" s="21"/>
    </row>
    <row r="5986" spans="1:4" ht="12.75" customHeight="1" x14ac:dyDescent="0.2">
      <c r="A5986" s="21"/>
      <c r="B5986" s="3" t="s">
        <v>16</v>
      </c>
      <c r="C5986" s="20"/>
      <c r="D5986" s="21"/>
    </row>
    <row r="5987" spans="1:4" ht="12.75" customHeight="1" x14ac:dyDescent="0.2">
      <c r="A5987" s="21"/>
      <c r="B5987" s="3" t="s">
        <v>17</v>
      </c>
      <c r="C5987" s="20"/>
      <c r="D5987" s="21"/>
    </row>
    <row r="5988" spans="1:4" ht="12.75" customHeight="1" x14ac:dyDescent="0.2">
      <c r="A5988" s="21"/>
      <c r="B5988" s="20" t="s">
        <v>18</v>
      </c>
      <c r="C5988" s="4" t="s">
        <v>44</v>
      </c>
      <c r="D5988" s="6" t="str">
        <f>HYPERLINK("javascript:void(0)","hibátlan penge")</f>
        <v>hibátlan penge</v>
      </c>
    </row>
    <row r="5989" spans="1:4" ht="12.75" customHeight="1" x14ac:dyDescent="0.2">
      <c r="A5989" s="21"/>
      <c r="B5989" s="21"/>
      <c r="C5989" s="4" t="s">
        <v>132</v>
      </c>
      <c r="D5989" s="6" t="str">
        <f>HYPERLINK("javascript:void(0)","lomb")</f>
        <v>lomb</v>
      </c>
    </row>
    <row r="5990" spans="1:4" ht="12.75" customHeight="1" x14ac:dyDescent="0.2">
      <c r="A5990" s="21"/>
      <c r="B5990" s="21"/>
      <c r="C5990" s="4" t="s">
        <v>68</v>
      </c>
      <c r="D5990" s="6" t="str">
        <f>HYPERLINK("javascript:void(0)","píszkereszt")</f>
        <v>píszkereszt</v>
      </c>
    </row>
    <row r="5991" spans="1:4" ht="12.75" customHeight="1" x14ac:dyDescent="0.2">
      <c r="A5991" s="5"/>
      <c r="B5991" s="2"/>
      <c r="C5991" s="2"/>
      <c r="D5991" s="2"/>
    </row>
    <row r="5992" spans="1:4" ht="12.75" customHeight="1" x14ac:dyDescent="0.2">
      <c r="A5992" s="22" t="str">
        <f>HYPERLINK("javascript:void(0)","bozótritkító")</f>
        <v>bozótritkító</v>
      </c>
      <c r="B5992" s="21"/>
      <c r="C5992" s="21"/>
      <c r="D5992" s="21"/>
    </row>
    <row r="5993" spans="1:4" ht="12.75" customHeight="1" x14ac:dyDescent="0.2">
      <c r="A5993" s="20"/>
      <c r="B5993" s="2"/>
      <c r="C5993" s="2"/>
      <c r="D5993" s="2"/>
    </row>
    <row r="5994" spans="1:4" ht="12.75" customHeight="1" x14ac:dyDescent="0.2">
      <c r="A5994" s="21"/>
      <c r="B5994" s="3" t="s">
        <v>0</v>
      </c>
      <c r="C5994" s="20" t="s">
        <v>230</v>
      </c>
      <c r="D5994" s="21"/>
    </row>
    <row r="5995" spans="1:4" ht="12.75" customHeight="1" x14ac:dyDescent="0.2">
      <c r="A5995" s="21"/>
      <c r="B5995" s="3" t="s">
        <v>2</v>
      </c>
      <c r="C5995" s="20" t="s">
        <v>1598</v>
      </c>
      <c r="D5995" s="21"/>
    </row>
    <row r="5996" spans="1:4" ht="12.75" customHeight="1" x14ac:dyDescent="0.2">
      <c r="A5996" s="21"/>
      <c r="B5996" s="3" t="s">
        <v>4</v>
      </c>
      <c r="C5996" s="20" t="s">
        <v>2355</v>
      </c>
      <c r="D5996" s="21"/>
    </row>
    <row r="5997" spans="1:4" ht="12.75" customHeight="1" x14ac:dyDescent="0.2">
      <c r="A5997" s="21"/>
      <c r="B5997" s="3" t="s">
        <v>6</v>
      </c>
      <c r="C5997" s="20" t="s">
        <v>92</v>
      </c>
      <c r="D5997" s="21"/>
    </row>
    <row r="5998" spans="1:4" ht="12.75" customHeight="1" x14ac:dyDescent="0.2">
      <c r="A5998" s="21"/>
      <c r="B5998" s="3" t="s">
        <v>8</v>
      </c>
      <c r="C5998" s="20" t="s">
        <v>2355</v>
      </c>
      <c r="D5998" s="21"/>
    </row>
    <row r="5999" spans="1:4" ht="12.75" customHeight="1" x14ac:dyDescent="0.2">
      <c r="A5999" s="21"/>
      <c r="B5999" s="3" t="s">
        <v>9</v>
      </c>
      <c r="C5999" s="20" t="s">
        <v>126</v>
      </c>
      <c r="D5999" s="21"/>
    </row>
    <row r="6000" spans="1:4" ht="12.75" customHeight="1" x14ac:dyDescent="0.2">
      <c r="A6000" s="21"/>
      <c r="B6000" s="3" t="s">
        <v>11</v>
      </c>
      <c r="C6000" s="20" t="s">
        <v>2356</v>
      </c>
      <c r="D6000" s="21"/>
    </row>
    <row r="6001" spans="1:4" ht="12.75" customHeight="1" x14ac:dyDescent="0.2">
      <c r="A6001" s="21"/>
      <c r="B6001" s="3" t="s">
        <v>13</v>
      </c>
      <c r="C6001" s="20" t="s">
        <v>24</v>
      </c>
      <c r="D6001" s="21"/>
    </row>
    <row r="6002" spans="1:4" ht="12.75" customHeight="1" x14ac:dyDescent="0.2">
      <c r="A6002" s="21"/>
      <c r="B6002" s="3" t="s">
        <v>15</v>
      </c>
      <c r="C6002" s="20" t="s">
        <v>24</v>
      </c>
      <c r="D6002" s="21"/>
    </row>
    <row r="6003" spans="1:4" ht="12.75" customHeight="1" x14ac:dyDescent="0.2">
      <c r="A6003" s="21"/>
      <c r="B6003" s="3" t="s">
        <v>16</v>
      </c>
      <c r="C6003" s="20"/>
      <c r="D6003" s="21"/>
    </row>
    <row r="6004" spans="1:4" ht="12.75" customHeight="1" x14ac:dyDescent="0.2">
      <c r="A6004" s="21"/>
      <c r="B6004" s="3" t="s">
        <v>17</v>
      </c>
      <c r="C6004" s="20"/>
      <c r="D6004" s="21"/>
    </row>
    <row r="6005" spans="1:4" ht="12.75" customHeight="1" x14ac:dyDescent="0.2">
      <c r="A6005" s="21"/>
      <c r="B6005" s="20" t="s">
        <v>18</v>
      </c>
      <c r="C6005" s="4" t="s">
        <v>44</v>
      </c>
      <c r="D6005" s="6" t="str">
        <f>HYPERLINK("javascript:void(0)","lombvágó")</f>
        <v>lombvágó</v>
      </c>
    </row>
    <row r="6006" spans="1:4" ht="12.75" customHeight="1" x14ac:dyDescent="0.2">
      <c r="A6006" s="21"/>
      <c r="B6006" s="21"/>
      <c r="C6006" s="4" t="s">
        <v>331</v>
      </c>
      <c r="D6006" s="6" t="str">
        <f>HYPERLINK("javascript:void(0)","úszó")</f>
        <v>úszó</v>
      </c>
    </row>
    <row r="6007" spans="1:4" ht="12.75" customHeight="1" x14ac:dyDescent="0.2">
      <c r="A6007" s="21"/>
      <c r="B6007" s="21"/>
      <c r="C6007" s="4" t="s">
        <v>117</v>
      </c>
      <c r="D6007" s="6" t="str">
        <f>HYPERLINK("javascript:void(0)","bőrszárny")</f>
        <v>bőrszárny</v>
      </c>
    </row>
    <row r="6008" spans="1:4" ht="12.75" customHeight="1" x14ac:dyDescent="0.2">
      <c r="A6008" s="5"/>
      <c r="B6008" s="2"/>
      <c r="C6008" s="2"/>
      <c r="D6008" s="2"/>
    </row>
    <row r="6009" spans="1:4" ht="12.75" customHeight="1" x14ac:dyDescent="0.2">
      <c r="A6009" s="22" t="str">
        <f>HYPERLINK("javascript:void(0)","kenyérmorzsás mágusölő")</f>
        <v>kenyérmorzsás mágusölő</v>
      </c>
      <c r="B6009" s="21"/>
      <c r="C6009" s="21"/>
      <c r="D6009" s="21"/>
    </row>
    <row r="6010" spans="1:4" ht="12.75" customHeight="1" x14ac:dyDescent="0.2">
      <c r="A6010" s="20"/>
      <c r="B6010" s="2"/>
      <c r="C6010" s="2"/>
      <c r="D6010" s="2"/>
    </row>
    <row r="6011" spans="1:4" ht="12.75" customHeight="1" x14ac:dyDescent="0.2">
      <c r="A6011" s="21"/>
      <c r="B6011" s="3" t="s">
        <v>0</v>
      </c>
      <c r="C6011" s="20" t="s">
        <v>1230</v>
      </c>
      <c r="D6011" s="21"/>
    </row>
    <row r="6012" spans="1:4" ht="12.75" customHeight="1" x14ac:dyDescent="0.2">
      <c r="A6012" s="21"/>
      <c r="B6012" s="3" t="s">
        <v>2</v>
      </c>
      <c r="C6012" s="20" t="s">
        <v>1598</v>
      </c>
      <c r="D6012" s="21"/>
    </row>
    <row r="6013" spans="1:4" ht="12.75" customHeight="1" x14ac:dyDescent="0.2">
      <c r="A6013" s="21"/>
      <c r="B6013" s="3" t="s">
        <v>4</v>
      </c>
      <c r="C6013" s="20" t="s">
        <v>2357</v>
      </c>
      <c r="D6013" s="21"/>
    </row>
    <row r="6014" spans="1:4" ht="12.75" customHeight="1" x14ac:dyDescent="0.2">
      <c r="A6014" s="21"/>
      <c r="B6014" s="3" t="s">
        <v>6</v>
      </c>
      <c r="C6014" s="20" t="s">
        <v>51</v>
      </c>
      <c r="D6014" s="21"/>
    </row>
    <row r="6015" spans="1:4" ht="12.75" customHeight="1" x14ac:dyDescent="0.2">
      <c r="A6015" s="21"/>
      <c r="B6015" s="3" t="s">
        <v>8</v>
      </c>
      <c r="C6015" s="20" t="s">
        <v>2357</v>
      </c>
      <c r="D6015" s="21"/>
    </row>
    <row r="6016" spans="1:4" ht="12.75" customHeight="1" x14ac:dyDescent="0.2">
      <c r="A6016" s="21"/>
      <c r="B6016" s="3" t="s">
        <v>9</v>
      </c>
      <c r="C6016" s="20" t="s">
        <v>2016</v>
      </c>
      <c r="D6016" s="21"/>
    </row>
    <row r="6017" spans="1:4" ht="12.75" customHeight="1" x14ac:dyDescent="0.2">
      <c r="A6017" s="21"/>
      <c r="B6017" s="3" t="s">
        <v>11</v>
      </c>
      <c r="C6017" s="20" t="s">
        <v>2258</v>
      </c>
      <c r="D6017" s="21"/>
    </row>
    <row r="6018" spans="1:4" ht="12.75" customHeight="1" x14ac:dyDescent="0.2">
      <c r="A6018" s="21"/>
      <c r="B6018" s="3" t="s">
        <v>13</v>
      </c>
      <c r="C6018" s="20" t="s">
        <v>14</v>
      </c>
      <c r="D6018" s="21"/>
    </row>
    <row r="6019" spans="1:4" ht="12.75" customHeight="1" x14ac:dyDescent="0.2">
      <c r="A6019" s="21"/>
      <c r="B6019" s="3" t="s">
        <v>15</v>
      </c>
      <c r="C6019" s="20" t="s">
        <v>24</v>
      </c>
      <c r="D6019" s="21"/>
    </row>
    <row r="6020" spans="1:4" ht="12.75" customHeight="1" x14ac:dyDescent="0.2">
      <c r="A6020" s="21"/>
      <c r="B6020" s="3" t="s">
        <v>16</v>
      </c>
      <c r="C6020" s="20"/>
      <c r="D6020" s="21"/>
    </row>
    <row r="6021" spans="1:4" ht="12.75" customHeight="1" x14ac:dyDescent="0.2">
      <c r="A6021" s="21"/>
      <c r="B6021" s="3" t="s">
        <v>17</v>
      </c>
      <c r="C6021" s="20"/>
      <c r="D6021" s="21"/>
    </row>
    <row r="6022" spans="1:4" ht="12.75" customHeight="1" x14ac:dyDescent="0.2">
      <c r="A6022" s="21"/>
      <c r="B6022" s="20" t="s">
        <v>18</v>
      </c>
      <c r="C6022" s="4" t="s">
        <v>44</v>
      </c>
      <c r="D6022" s="6" t="str">
        <f>HYPERLINK("javascript:void(0)","villanyos mágusölő")</f>
        <v>villanyos mágusölő</v>
      </c>
    </row>
    <row r="6023" spans="1:4" ht="12.75" customHeight="1" x14ac:dyDescent="0.2">
      <c r="A6023" s="21"/>
      <c r="B6023" s="21"/>
      <c r="C6023" s="4" t="s">
        <v>786</v>
      </c>
      <c r="D6023" s="6" t="str">
        <f>HYPERLINK("javascript:void(0)","kenyérhéj")</f>
        <v>kenyérhéj</v>
      </c>
    </row>
    <row r="6024" spans="1:4" ht="12.75" customHeight="1" x14ac:dyDescent="0.2">
      <c r="A6024" s="21"/>
      <c r="B6024" s="21"/>
      <c r="C6024" s="4" t="s">
        <v>196</v>
      </c>
      <c r="D6024" s="6" t="str">
        <f>HYPERLINK("javascript:void(0)","elefántcsont")</f>
        <v>elefántcsont</v>
      </c>
    </row>
    <row r="6025" spans="1:4" ht="12.75" customHeight="1" x14ac:dyDescent="0.2">
      <c r="A6025" s="5"/>
      <c r="B6025" s="2"/>
      <c r="C6025" s="2"/>
      <c r="D6025" s="2"/>
    </row>
    <row r="6026" spans="1:4" ht="12.75" customHeight="1" x14ac:dyDescent="0.2">
      <c r="A6026" s="22" t="str">
        <f>HYPERLINK("javascript:void(0)","haragvágó")</f>
        <v>haragvágó</v>
      </c>
      <c r="B6026" s="21"/>
      <c r="C6026" s="21"/>
      <c r="D6026" s="21"/>
    </row>
    <row r="6027" spans="1:4" ht="12.75" customHeight="1" x14ac:dyDescent="0.2">
      <c r="A6027" s="20"/>
      <c r="B6027" s="2"/>
      <c r="C6027" s="2"/>
      <c r="D6027" s="2"/>
    </row>
    <row r="6028" spans="1:4" ht="12.75" customHeight="1" x14ac:dyDescent="0.2">
      <c r="A6028" s="21"/>
      <c r="B6028" s="3" t="s">
        <v>0</v>
      </c>
      <c r="C6028" s="20" t="s">
        <v>1230</v>
      </c>
      <c r="D6028" s="21"/>
    </row>
    <row r="6029" spans="1:4" ht="12.75" customHeight="1" x14ac:dyDescent="0.2">
      <c r="A6029" s="21"/>
      <c r="B6029" s="3" t="s">
        <v>2</v>
      </c>
      <c r="C6029" s="20" t="s">
        <v>1598</v>
      </c>
      <c r="D6029" s="21"/>
    </row>
    <row r="6030" spans="1:4" ht="12.75" customHeight="1" x14ac:dyDescent="0.2">
      <c r="A6030" s="21"/>
      <c r="B6030" s="3" t="s">
        <v>4</v>
      </c>
      <c r="C6030" s="20" t="s">
        <v>2359</v>
      </c>
      <c r="D6030" s="21"/>
    </row>
    <row r="6031" spans="1:4" ht="12.75" customHeight="1" x14ac:dyDescent="0.2">
      <c r="A6031" s="21"/>
      <c r="B6031" s="3" t="s">
        <v>6</v>
      </c>
      <c r="C6031" s="20" t="s">
        <v>48</v>
      </c>
      <c r="D6031" s="21"/>
    </row>
    <row r="6032" spans="1:4" ht="12.75" customHeight="1" x14ac:dyDescent="0.2">
      <c r="A6032" s="21"/>
      <c r="B6032" s="3" t="s">
        <v>8</v>
      </c>
      <c r="C6032" s="20" t="s">
        <v>2359</v>
      </c>
      <c r="D6032" s="21"/>
    </row>
    <row r="6033" spans="1:4" ht="12.75" customHeight="1" x14ac:dyDescent="0.2">
      <c r="A6033" s="21"/>
      <c r="B6033" s="3" t="s">
        <v>9</v>
      </c>
      <c r="C6033" s="20" t="s">
        <v>2360</v>
      </c>
      <c r="D6033" s="21"/>
    </row>
    <row r="6034" spans="1:4" ht="12.75" customHeight="1" x14ac:dyDescent="0.2">
      <c r="A6034" s="21"/>
      <c r="B6034" s="3" t="s">
        <v>11</v>
      </c>
      <c r="C6034" s="20" t="s">
        <v>1500</v>
      </c>
      <c r="D6034" s="21"/>
    </row>
    <row r="6035" spans="1:4" ht="12.75" customHeight="1" x14ac:dyDescent="0.2">
      <c r="A6035" s="21"/>
      <c r="B6035" s="3" t="s">
        <v>13</v>
      </c>
      <c r="C6035" s="20" t="s">
        <v>24</v>
      </c>
      <c r="D6035" s="21"/>
    </row>
    <row r="6036" spans="1:4" ht="12.75" customHeight="1" x14ac:dyDescent="0.2">
      <c r="A6036" s="21"/>
      <c r="B6036" s="3" t="s">
        <v>15</v>
      </c>
      <c r="C6036" s="20" t="s">
        <v>24</v>
      </c>
      <c r="D6036" s="21"/>
    </row>
    <row r="6037" spans="1:4" ht="12.75" customHeight="1" x14ac:dyDescent="0.2">
      <c r="A6037" s="21"/>
      <c r="B6037" s="3" t="s">
        <v>16</v>
      </c>
      <c r="C6037" s="20"/>
      <c r="D6037" s="21"/>
    </row>
    <row r="6038" spans="1:4" ht="12.75" customHeight="1" x14ac:dyDescent="0.2">
      <c r="A6038" s="21"/>
      <c r="B6038" s="3" t="s">
        <v>17</v>
      </c>
      <c r="C6038" s="20"/>
      <c r="D6038" s="21"/>
    </row>
    <row r="6039" spans="1:4" ht="12.75" customHeight="1" x14ac:dyDescent="0.2">
      <c r="A6039" s="21"/>
      <c r="B6039" s="20" t="s">
        <v>18</v>
      </c>
      <c r="C6039" s="4" t="s">
        <v>44</v>
      </c>
      <c r="D6039" s="6" t="str">
        <f>HYPERLINK("javascript:void(0)","bozótritkító")</f>
        <v>bozótritkító</v>
      </c>
    </row>
    <row r="6040" spans="1:4" ht="12.75" customHeight="1" x14ac:dyDescent="0.2">
      <c r="A6040" s="21"/>
      <c r="B6040" s="21"/>
      <c r="C6040" s="4" t="s">
        <v>67</v>
      </c>
      <c r="D6040" s="6" t="str">
        <f>HYPERLINK("javascript:void(0)","roncogás")</f>
        <v>roncogás</v>
      </c>
    </row>
    <row r="6041" spans="1:4" ht="12.75" customHeight="1" x14ac:dyDescent="0.2">
      <c r="A6041" s="21"/>
      <c r="B6041" s="21"/>
      <c r="C6041" s="4" t="s">
        <v>196</v>
      </c>
      <c r="D6041" s="6" t="str">
        <f>HYPERLINK("javascript:void(0)","utóguta")</f>
        <v>utóguta</v>
      </c>
    </row>
    <row r="6042" spans="1:4" ht="12.75" customHeight="1" x14ac:dyDescent="0.2">
      <c r="A6042" s="5"/>
      <c r="B6042" s="2"/>
      <c r="C6042" s="2"/>
      <c r="D6042" s="2"/>
    </row>
    <row r="6043" spans="1:4" ht="12.75" customHeight="1" x14ac:dyDescent="0.2">
      <c r="A6043" s="22" t="str">
        <f>HYPERLINK("javascript:void(0)","gyíkacél bőrvágó")</f>
        <v>gyíkacél bőrvágó</v>
      </c>
      <c r="B6043" s="21"/>
      <c r="C6043" s="21"/>
      <c r="D6043" s="21"/>
    </row>
    <row r="6044" spans="1:4" ht="12.75" customHeight="1" x14ac:dyDescent="0.2">
      <c r="A6044" s="20"/>
      <c r="B6044" s="2"/>
      <c r="C6044" s="2"/>
      <c r="D6044" s="2"/>
    </row>
    <row r="6045" spans="1:4" ht="12.75" customHeight="1" x14ac:dyDescent="0.2">
      <c r="A6045" s="21"/>
      <c r="B6045" s="3" t="s">
        <v>0</v>
      </c>
      <c r="C6045" s="20" t="s">
        <v>330</v>
      </c>
      <c r="D6045" s="21"/>
    </row>
    <row r="6046" spans="1:4" ht="12.75" customHeight="1" x14ac:dyDescent="0.2">
      <c r="A6046" s="21"/>
      <c r="B6046" s="3" t="s">
        <v>2</v>
      </c>
      <c r="C6046" s="20" t="s">
        <v>1598</v>
      </c>
      <c r="D6046" s="21"/>
    </row>
    <row r="6047" spans="1:4" ht="12.75" customHeight="1" x14ac:dyDescent="0.2">
      <c r="A6047" s="21"/>
      <c r="B6047" s="3" t="s">
        <v>4</v>
      </c>
      <c r="C6047" s="20" t="s">
        <v>2362</v>
      </c>
      <c r="D6047" s="21"/>
    </row>
    <row r="6048" spans="1:4" ht="12.75" customHeight="1" x14ac:dyDescent="0.2">
      <c r="A6048" s="21"/>
      <c r="B6048" s="3" t="s">
        <v>6</v>
      </c>
      <c r="C6048" s="20" t="s">
        <v>187</v>
      </c>
      <c r="D6048" s="21"/>
    </row>
    <row r="6049" spans="1:4" ht="12.75" customHeight="1" x14ac:dyDescent="0.2">
      <c r="A6049" s="21"/>
      <c r="B6049" s="3" t="s">
        <v>8</v>
      </c>
      <c r="C6049" s="20" t="s">
        <v>2362</v>
      </c>
      <c r="D6049" s="21"/>
    </row>
    <row r="6050" spans="1:4" ht="12.75" customHeight="1" x14ac:dyDescent="0.2">
      <c r="A6050" s="21"/>
      <c r="B6050" s="3" t="s">
        <v>9</v>
      </c>
      <c r="C6050" s="20" t="s">
        <v>1736</v>
      </c>
      <c r="D6050" s="21"/>
    </row>
    <row r="6051" spans="1:4" ht="12.75" customHeight="1" x14ac:dyDescent="0.2">
      <c r="A6051" s="21"/>
      <c r="B6051" s="3" t="s">
        <v>11</v>
      </c>
      <c r="C6051" s="20" t="s">
        <v>1190</v>
      </c>
      <c r="D6051" s="21"/>
    </row>
    <row r="6052" spans="1:4" ht="12.75" customHeight="1" x14ac:dyDescent="0.2">
      <c r="A6052" s="21"/>
      <c r="B6052" s="3" t="s">
        <v>13</v>
      </c>
      <c r="C6052" s="20" t="s">
        <v>24</v>
      </c>
      <c r="D6052" s="21"/>
    </row>
    <row r="6053" spans="1:4" ht="12.75" customHeight="1" x14ac:dyDescent="0.2">
      <c r="A6053" s="21"/>
      <c r="B6053" s="3" t="s">
        <v>15</v>
      </c>
      <c r="C6053" s="20" t="s">
        <v>24</v>
      </c>
      <c r="D6053" s="21"/>
    </row>
    <row r="6054" spans="1:4" ht="12.75" customHeight="1" x14ac:dyDescent="0.2">
      <c r="A6054" s="21"/>
      <c r="B6054" s="3" t="s">
        <v>16</v>
      </c>
      <c r="C6054" s="20"/>
      <c r="D6054" s="21"/>
    </row>
    <row r="6055" spans="1:4" ht="12.75" customHeight="1" x14ac:dyDescent="0.2">
      <c r="A6055" s="21"/>
      <c r="B6055" s="3" t="s">
        <v>17</v>
      </c>
      <c r="C6055" s="20"/>
      <c r="D6055" s="21"/>
    </row>
    <row r="6056" spans="1:4" ht="12.75" customHeight="1" x14ac:dyDescent="0.2">
      <c r="A6056" s="21"/>
      <c r="B6056" s="20" t="s">
        <v>18</v>
      </c>
      <c r="C6056" s="4" t="s">
        <v>244</v>
      </c>
      <c r="D6056" s="6" t="str">
        <f>HYPERLINK("javascript:void(0)","píszkereszt")</f>
        <v>píszkereszt</v>
      </c>
    </row>
    <row r="6057" spans="1:4" ht="12.75" customHeight="1" x14ac:dyDescent="0.2">
      <c r="A6057" s="21"/>
      <c r="B6057" s="21"/>
      <c r="C6057" s="4" t="s">
        <v>228</v>
      </c>
      <c r="D6057" s="6" t="str">
        <f>HYPERLINK("javascript:void(0)","bőrszárny")</f>
        <v>bőrszárny</v>
      </c>
    </row>
    <row r="6058" spans="1:4" ht="12.75" customHeight="1" x14ac:dyDescent="0.2">
      <c r="A6058" s="21"/>
      <c r="B6058" s="21"/>
      <c r="C6058" s="4" t="s">
        <v>139</v>
      </c>
      <c r="D6058" s="6" t="str">
        <f>HYPERLINK("javascript:void(0)","semmiség")</f>
        <v>semmiség</v>
      </c>
    </row>
    <row r="6059" spans="1:4" ht="12.75" customHeight="1" x14ac:dyDescent="0.2">
      <c r="A6059" s="5"/>
      <c r="B6059" s="2"/>
      <c r="C6059" s="2"/>
      <c r="D6059" s="2"/>
    </row>
    <row r="6060" spans="1:4" ht="12.75" customHeight="1" x14ac:dyDescent="0.2">
      <c r="A6060" s="22" t="str">
        <f>HYPERLINK("javascript:void(0)","orrmányvágó")</f>
        <v>orrmányvágó</v>
      </c>
      <c r="B6060" s="21"/>
      <c r="C6060" s="21"/>
      <c r="D6060" s="21"/>
    </row>
    <row r="6061" spans="1:4" ht="12.75" customHeight="1" x14ac:dyDescent="0.2">
      <c r="A6061" s="20"/>
      <c r="B6061" s="2"/>
      <c r="C6061" s="2"/>
      <c r="D6061" s="2"/>
    </row>
    <row r="6062" spans="1:4" ht="12.75" customHeight="1" x14ac:dyDescent="0.2">
      <c r="A6062" s="21"/>
      <c r="B6062" s="3" t="s">
        <v>0</v>
      </c>
      <c r="C6062" s="20" t="s">
        <v>330</v>
      </c>
      <c r="D6062" s="21"/>
    </row>
    <row r="6063" spans="1:4" ht="12.75" customHeight="1" x14ac:dyDescent="0.2">
      <c r="A6063" s="21"/>
      <c r="B6063" s="3" t="s">
        <v>2</v>
      </c>
      <c r="C6063" s="20" t="s">
        <v>1598</v>
      </c>
      <c r="D6063" s="21"/>
    </row>
    <row r="6064" spans="1:4" ht="12.75" customHeight="1" x14ac:dyDescent="0.2">
      <c r="A6064" s="21"/>
      <c r="B6064" s="3" t="s">
        <v>4</v>
      </c>
      <c r="C6064" s="20" t="s">
        <v>2363</v>
      </c>
      <c r="D6064" s="21"/>
    </row>
    <row r="6065" spans="1:4" ht="12.75" customHeight="1" x14ac:dyDescent="0.2">
      <c r="A6065" s="21"/>
      <c r="B6065" s="3" t="s">
        <v>6</v>
      </c>
      <c r="C6065" s="20" t="s">
        <v>51</v>
      </c>
      <c r="D6065" s="21"/>
    </row>
    <row r="6066" spans="1:4" ht="12.75" customHeight="1" x14ac:dyDescent="0.2">
      <c r="A6066" s="21"/>
      <c r="B6066" s="3" t="s">
        <v>8</v>
      </c>
      <c r="C6066" s="20" t="s">
        <v>2363</v>
      </c>
      <c r="D6066" s="21"/>
    </row>
    <row r="6067" spans="1:4" ht="12.75" customHeight="1" x14ac:dyDescent="0.2">
      <c r="A6067" s="21"/>
      <c r="B6067" s="3" t="s">
        <v>9</v>
      </c>
      <c r="C6067" s="20" t="s">
        <v>1562</v>
      </c>
      <c r="D6067" s="21"/>
    </row>
    <row r="6068" spans="1:4" ht="12.75" customHeight="1" x14ac:dyDescent="0.2">
      <c r="A6068" s="21"/>
      <c r="B6068" s="3" t="s">
        <v>11</v>
      </c>
      <c r="C6068" s="20" t="s">
        <v>1509</v>
      </c>
      <c r="D6068" s="21"/>
    </row>
    <row r="6069" spans="1:4" ht="12.75" customHeight="1" x14ac:dyDescent="0.2">
      <c r="A6069" s="21"/>
      <c r="B6069" s="3" t="s">
        <v>13</v>
      </c>
      <c r="C6069" s="20" t="s">
        <v>24</v>
      </c>
      <c r="D6069" s="21"/>
    </row>
    <row r="6070" spans="1:4" ht="12.75" customHeight="1" x14ac:dyDescent="0.2">
      <c r="A6070" s="21"/>
      <c r="B6070" s="3" t="s">
        <v>15</v>
      </c>
      <c r="C6070" s="20" t="s">
        <v>24</v>
      </c>
      <c r="D6070" s="21"/>
    </row>
    <row r="6071" spans="1:4" ht="12.75" customHeight="1" x14ac:dyDescent="0.2">
      <c r="A6071" s="21"/>
      <c r="B6071" s="3" t="s">
        <v>16</v>
      </c>
      <c r="C6071" s="20"/>
      <c r="D6071" s="21"/>
    </row>
    <row r="6072" spans="1:4" ht="12.75" customHeight="1" x14ac:dyDescent="0.2">
      <c r="A6072" s="21"/>
      <c r="B6072" s="3" t="s">
        <v>17</v>
      </c>
      <c r="C6072" s="20"/>
      <c r="D6072" s="21"/>
    </row>
    <row r="6073" spans="1:4" ht="12.75" customHeight="1" x14ac:dyDescent="0.2">
      <c r="A6073" s="21"/>
      <c r="B6073" s="20" t="s">
        <v>18</v>
      </c>
      <c r="C6073" s="4" t="s">
        <v>44</v>
      </c>
      <c r="D6073" s="6" t="str">
        <f>HYPERLINK("javascript:void(0)","haragvágó")</f>
        <v>haragvágó</v>
      </c>
    </row>
    <row r="6074" spans="1:4" ht="12.75" customHeight="1" x14ac:dyDescent="0.2">
      <c r="A6074" s="21"/>
      <c r="B6074" s="21"/>
      <c r="C6074" s="4" t="s">
        <v>117</v>
      </c>
      <c r="D6074" s="6" t="str">
        <f>HYPERLINK("javascript:void(0)","orrmányprém")</f>
        <v>orrmányprém</v>
      </c>
    </row>
    <row r="6075" spans="1:4" ht="12.75" customHeight="1" x14ac:dyDescent="0.2">
      <c r="A6075" s="21"/>
      <c r="B6075" s="21"/>
      <c r="C6075" s="4" t="s">
        <v>331</v>
      </c>
      <c r="D6075" s="6" t="str">
        <f>HYPERLINK("javascript:void(0)","szimbiótahártya")</f>
        <v>szimbiótahártya</v>
      </c>
    </row>
    <row r="6076" spans="1:4" ht="12.75" customHeight="1" x14ac:dyDescent="0.2">
      <c r="A6076" s="5"/>
      <c r="B6076" s="2"/>
      <c r="C6076" s="2"/>
      <c r="D6076" s="2"/>
    </row>
    <row r="6077" spans="1:4" ht="12.75" customHeight="1" x14ac:dyDescent="0.2">
      <c r="A6077" s="22" t="str">
        <f>HYPERLINK("javascript:void(0)","pandárda")</f>
        <v>pandárda</v>
      </c>
      <c r="B6077" s="21"/>
      <c r="C6077" s="21"/>
      <c r="D6077" s="21"/>
    </row>
    <row r="6078" spans="1:4" ht="12.75" customHeight="1" x14ac:dyDescent="0.2">
      <c r="A6078" s="20"/>
      <c r="B6078" s="2"/>
      <c r="C6078" s="2"/>
      <c r="D6078" s="2"/>
    </row>
    <row r="6079" spans="1:4" ht="12.75" customHeight="1" x14ac:dyDescent="0.2">
      <c r="A6079" s="21"/>
      <c r="B6079" s="3" t="s">
        <v>0</v>
      </c>
      <c r="C6079" s="20" t="s">
        <v>345</v>
      </c>
      <c r="D6079" s="21"/>
    </row>
    <row r="6080" spans="1:4" ht="12.75" customHeight="1" x14ac:dyDescent="0.2">
      <c r="A6080" s="21"/>
      <c r="B6080" s="3" t="s">
        <v>2</v>
      </c>
      <c r="C6080" s="20" t="s">
        <v>1598</v>
      </c>
      <c r="D6080" s="21"/>
    </row>
    <row r="6081" spans="1:4" ht="12.75" customHeight="1" x14ac:dyDescent="0.2">
      <c r="A6081" s="21"/>
      <c r="B6081" s="3" t="s">
        <v>4</v>
      </c>
      <c r="C6081" s="20" t="s">
        <v>2365</v>
      </c>
      <c r="D6081" s="21"/>
    </row>
    <row r="6082" spans="1:4" ht="12.75" customHeight="1" x14ac:dyDescent="0.2">
      <c r="A6082" s="21"/>
      <c r="B6082" s="3" t="s">
        <v>6</v>
      </c>
      <c r="C6082" s="20" t="s">
        <v>48</v>
      </c>
      <c r="D6082" s="21"/>
    </row>
    <row r="6083" spans="1:4" ht="12.75" customHeight="1" x14ac:dyDescent="0.2">
      <c r="A6083" s="21"/>
      <c r="B6083" s="3" t="s">
        <v>8</v>
      </c>
      <c r="C6083" s="20" t="s">
        <v>2365</v>
      </c>
      <c r="D6083" s="21"/>
    </row>
    <row r="6084" spans="1:4" ht="12.75" customHeight="1" x14ac:dyDescent="0.2">
      <c r="A6084" s="21"/>
      <c r="B6084" s="3" t="s">
        <v>9</v>
      </c>
      <c r="C6084" s="20" t="s">
        <v>129</v>
      </c>
      <c r="D6084" s="21"/>
    </row>
    <row r="6085" spans="1:4" ht="12.75" customHeight="1" x14ac:dyDescent="0.2">
      <c r="A6085" s="21"/>
      <c r="B6085" s="3" t="s">
        <v>11</v>
      </c>
      <c r="C6085" s="20" t="s">
        <v>2366</v>
      </c>
      <c r="D6085" s="21"/>
    </row>
    <row r="6086" spans="1:4" ht="12.75" customHeight="1" x14ac:dyDescent="0.2">
      <c r="A6086" s="21"/>
      <c r="B6086" s="3" t="s">
        <v>13</v>
      </c>
      <c r="C6086" s="20" t="s">
        <v>24</v>
      </c>
      <c r="D6086" s="21"/>
    </row>
    <row r="6087" spans="1:4" ht="12.75" customHeight="1" x14ac:dyDescent="0.2">
      <c r="A6087" s="21"/>
      <c r="B6087" s="3" t="s">
        <v>15</v>
      </c>
      <c r="C6087" s="20" t="s">
        <v>24</v>
      </c>
      <c r="D6087" s="21"/>
    </row>
    <row r="6088" spans="1:4" ht="12.75" customHeight="1" x14ac:dyDescent="0.2">
      <c r="A6088" s="21"/>
      <c r="B6088" s="3" t="s">
        <v>16</v>
      </c>
      <c r="C6088" s="20"/>
      <c r="D6088" s="21"/>
    </row>
    <row r="6089" spans="1:4" ht="12.75" customHeight="1" x14ac:dyDescent="0.2">
      <c r="A6089" s="21"/>
      <c r="B6089" s="3" t="s">
        <v>17</v>
      </c>
      <c r="C6089" s="20"/>
      <c r="D6089" s="21"/>
    </row>
    <row r="6090" spans="1:4" ht="12.75" customHeight="1" x14ac:dyDescent="0.2">
      <c r="A6090" s="21"/>
      <c r="B6090" s="20" t="s">
        <v>18</v>
      </c>
      <c r="C6090" s="4" t="s">
        <v>44</v>
      </c>
      <c r="D6090" s="6" t="str">
        <f>HYPERLINK("javascript:void(0)","orrmányvágó")</f>
        <v>orrmányvágó</v>
      </c>
    </row>
    <row r="6091" spans="1:4" ht="12.75" customHeight="1" x14ac:dyDescent="0.2">
      <c r="A6091" s="21"/>
      <c r="B6091" s="21"/>
      <c r="C6091" s="4" t="s">
        <v>68</v>
      </c>
      <c r="D6091" s="6" t="str">
        <f>HYPERLINK("javascript:void(0)","roncogás")</f>
        <v>roncogás</v>
      </c>
    </row>
    <row r="6092" spans="1:4" ht="12.75" customHeight="1" x14ac:dyDescent="0.2">
      <c r="A6092" s="21"/>
      <c r="B6092" s="21"/>
      <c r="C6092" s="4" t="s">
        <v>331</v>
      </c>
      <c r="D6092" s="6" t="str">
        <f>HYPERLINK("javascript:void(0)","utóguta")</f>
        <v>utóguta</v>
      </c>
    </row>
    <row r="6093" spans="1:4" ht="12.75" customHeight="1" x14ac:dyDescent="0.2">
      <c r="A6093" s="5"/>
      <c r="B6093" s="2"/>
      <c r="C6093" s="2"/>
      <c r="D6093" s="2"/>
    </row>
    <row r="6094" spans="1:4" ht="12.75" customHeight="1" x14ac:dyDescent="0.2">
      <c r="A6094" s="22" t="str">
        <f>HYPERLINK("javascript:void(0)","gutaütő mágusölő")</f>
        <v>gutaütő mágusölő</v>
      </c>
      <c r="B6094" s="21"/>
      <c r="C6094" s="21"/>
      <c r="D6094" s="21"/>
    </row>
    <row r="6095" spans="1:4" ht="12.75" customHeight="1" x14ac:dyDescent="0.2">
      <c r="A6095" s="20"/>
      <c r="B6095" s="2"/>
      <c r="C6095" s="2"/>
      <c r="D6095" s="2"/>
    </row>
    <row r="6096" spans="1:4" ht="12.75" customHeight="1" x14ac:dyDescent="0.2">
      <c r="A6096" s="21"/>
      <c r="B6096" s="3" t="s">
        <v>0</v>
      </c>
      <c r="C6096" s="20" t="s">
        <v>345</v>
      </c>
      <c r="D6096" s="21"/>
    </row>
    <row r="6097" spans="1:4" ht="12.75" customHeight="1" x14ac:dyDescent="0.2">
      <c r="A6097" s="21"/>
      <c r="B6097" s="3" t="s">
        <v>2</v>
      </c>
      <c r="C6097" s="20" t="s">
        <v>1598</v>
      </c>
      <c r="D6097" s="21"/>
    </row>
    <row r="6098" spans="1:4" ht="12.75" customHeight="1" x14ac:dyDescent="0.2">
      <c r="A6098" s="21"/>
      <c r="B6098" s="3" t="s">
        <v>4</v>
      </c>
      <c r="C6098" s="20" t="s">
        <v>2367</v>
      </c>
      <c r="D6098" s="21"/>
    </row>
    <row r="6099" spans="1:4" ht="12.75" customHeight="1" x14ac:dyDescent="0.2">
      <c r="A6099" s="21"/>
      <c r="B6099" s="3" t="s">
        <v>6</v>
      </c>
      <c r="C6099" s="20" t="s">
        <v>48</v>
      </c>
      <c r="D6099" s="21"/>
    </row>
    <row r="6100" spans="1:4" ht="12.75" customHeight="1" x14ac:dyDescent="0.2">
      <c r="A6100" s="21"/>
      <c r="B6100" s="3" t="s">
        <v>8</v>
      </c>
      <c r="C6100" s="20" t="s">
        <v>2367</v>
      </c>
      <c r="D6100" s="21"/>
    </row>
    <row r="6101" spans="1:4" ht="12.75" customHeight="1" x14ac:dyDescent="0.2">
      <c r="A6101" s="21"/>
      <c r="B6101" s="3" t="s">
        <v>9</v>
      </c>
      <c r="C6101" s="20" t="s">
        <v>634</v>
      </c>
      <c r="D6101" s="21"/>
    </row>
    <row r="6102" spans="1:4" ht="12.75" customHeight="1" x14ac:dyDescent="0.2">
      <c r="A6102" s="21"/>
      <c r="B6102" s="3" t="s">
        <v>11</v>
      </c>
      <c r="C6102" s="20" t="s">
        <v>1075</v>
      </c>
      <c r="D6102" s="21"/>
    </row>
    <row r="6103" spans="1:4" ht="12.75" customHeight="1" x14ac:dyDescent="0.2">
      <c r="A6103" s="21"/>
      <c r="B6103" s="3" t="s">
        <v>13</v>
      </c>
      <c r="C6103" s="20" t="s">
        <v>14</v>
      </c>
      <c r="D6103" s="21"/>
    </row>
    <row r="6104" spans="1:4" ht="12.75" customHeight="1" x14ac:dyDescent="0.2">
      <c r="A6104" s="21"/>
      <c r="B6104" s="3" t="s">
        <v>15</v>
      </c>
      <c r="C6104" s="20" t="s">
        <v>24</v>
      </c>
      <c r="D6104" s="21"/>
    </row>
    <row r="6105" spans="1:4" ht="12.75" customHeight="1" x14ac:dyDescent="0.2">
      <c r="A6105" s="21"/>
      <c r="B6105" s="3" t="s">
        <v>16</v>
      </c>
      <c r="C6105" s="20"/>
      <c r="D6105" s="21"/>
    </row>
    <row r="6106" spans="1:4" ht="12.75" customHeight="1" x14ac:dyDescent="0.2">
      <c r="A6106" s="21"/>
      <c r="B6106" s="3" t="s">
        <v>17</v>
      </c>
      <c r="C6106" s="20"/>
      <c r="D6106" s="21"/>
    </row>
    <row r="6107" spans="1:4" ht="25.5" customHeight="1" x14ac:dyDescent="0.2">
      <c r="A6107" s="21"/>
      <c r="B6107" s="20" t="s">
        <v>18</v>
      </c>
      <c r="C6107" s="4" t="s">
        <v>44</v>
      </c>
      <c r="D6107" s="6" t="str">
        <f>HYPERLINK("javascript:void(0)","haragprémes mágusölő")</f>
        <v>haragprémes mágusölő</v>
      </c>
    </row>
    <row r="6108" spans="1:4" ht="12.75" customHeight="1" x14ac:dyDescent="0.2">
      <c r="A6108" s="21"/>
      <c r="B6108" s="21"/>
      <c r="C6108" s="4" t="s">
        <v>142</v>
      </c>
      <c r="D6108" s="6" t="str">
        <f>HYPERLINK("javascript:void(0)","utóguta")</f>
        <v>utóguta</v>
      </c>
    </row>
    <row r="6109" spans="1:4" ht="12.75" customHeight="1" x14ac:dyDescent="0.2">
      <c r="A6109" s="21"/>
      <c r="B6109" s="21"/>
      <c r="C6109" s="4" t="s">
        <v>139</v>
      </c>
      <c r="D6109" s="6" t="str">
        <f>HYPERLINK("javascript:void(0)","tollcsomó")</f>
        <v>tollcsomó</v>
      </c>
    </row>
    <row r="6110" spans="1:4" ht="12.75" customHeight="1" x14ac:dyDescent="0.2">
      <c r="A6110" s="5"/>
      <c r="B6110" s="2"/>
      <c r="C6110" s="2"/>
      <c r="D6110" s="2"/>
    </row>
    <row r="6111" spans="1:4" ht="12.75" customHeight="1" x14ac:dyDescent="0.2">
      <c r="A6111" s="22" t="str">
        <f>HYPERLINK("javascript:void(0)","pörgetű")</f>
        <v>pörgetű</v>
      </c>
      <c r="B6111" s="21"/>
      <c r="C6111" s="21"/>
      <c r="D6111" s="21"/>
    </row>
    <row r="6112" spans="1:4" ht="12.75" customHeight="1" x14ac:dyDescent="0.2">
      <c r="A6112" s="20"/>
      <c r="B6112" s="2"/>
      <c r="C6112" s="2"/>
      <c r="D6112" s="2"/>
    </row>
    <row r="6113" spans="1:4" ht="12.75" customHeight="1" x14ac:dyDescent="0.2">
      <c r="A6113" s="21"/>
      <c r="B6113" s="3" t="s">
        <v>0</v>
      </c>
      <c r="C6113" s="20" t="s">
        <v>1252</v>
      </c>
      <c r="D6113" s="21"/>
    </row>
    <row r="6114" spans="1:4" ht="12.75" customHeight="1" x14ac:dyDescent="0.2">
      <c r="A6114" s="21"/>
      <c r="B6114" s="3" t="s">
        <v>2</v>
      </c>
      <c r="C6114" s="20" t="s">
        <v>1598</v>
      </c>
      <c r="D6114" s="21"/>
    </row>
    <row r="6115" spans="1:4" ht="12.75" customHeight="1" x14ac:dyDescent="0.2">
      <c r="A6115" s="21"/>
      <c r="B6115" s="3" t="s">
        <v>4</v>
      </c>
      <c r="C6115" s="20" t="s">
        <v>2368</v>
      </c>
      <c r="D6115" s="21"/>
    </row>
    <row r="6116" spans="1:4" ht="12.75" customHeight="1" x14ac:dyDescent="0.2">
      <c r="A6116" s="21"/>
      <c r="B6116" s="3" t="s">
        <v>6</v>
      </c>
      <c r="C6116" s="20" t="s">
        <v>64</v>
      </c>
      <c r="D6116" s="21"/>
    </row>
    <row r="6117" spans="1:4" ht="12.75" customHeight="1" x14ac:dyDescent="0.2">
      <c r="A6117" s="21"/>
      <c r="B6117" s="3" t="s">
        <v>8</v>
      </c>
      <c r="C6117" s="20" t="s">
        <v>2368</v>
      </c>
      <c r="D6117" s="21"/>
    </row>
    <row r="6118" spans="1:4" ht="12.75" customHeight="1" x14ac:dyDescent="0.2">
      <c r="A6118" s="21"/>
      <c r="B6118" s="3" t="s">
        <v>9</v>
      </c>
      <c r="C6118" s="20" t="s">
        <v>1237</v>
      </c>
      <c r="D6118" s="21"/>
    </row>
    <row r="6119" spans="1:4" ht="12.75" customHeight="1" x14ac:dyDescent="0.2">
      <c r="A6119" s="21"/>
      <c r="B6119" s="3" t="s">
        <v>11</v>
      </c>
      <c r="C6119" s="20" t="s">
        <v>1671</v>
      </c>
      <c r="D6119" s="21"/>
    </row>
    <row r="6120" spans="1:4" ht="12.75" customHeight="1" x14ac:dyDescent="0.2">
      <c r="A6120" s="21"/>
      <c r="B6120" s="3" t="s">
        <v>13</v>
      </c>
      <c r="C6120" s="20" t="s">
        <v>24</v>
      </c>
      <c r="D6120" s="21"/>
    </row>
    <row r="6121" spans="1:4" ht="12.75" customHeight="1" x14ac:dyDescent="0.2">
      <c r="A6121" s="21"/>
      <c r="B6121" s="3" t="s">
        <v>15</v>
      </c>
      <c r="C6121" s="20" t="s">
        <v>24</v>
      </c>
      <c r="D6121" s="21"/>
    </row>
    <row r="6122" spans="1:4" ht="12.75" customHeight="1" x14ac:dyDescent="0.2">
      <c r="A6122" s="21"/>
      <c r="B6122" s="3" t="s">
        <v>16</v>
      </c>
      <c r="C6122" s="20"/>
      <c r="D6122" s="21"/>
    </row>
    <row r="6123" spans="1:4" ht="12.75" customHeight="1" x14ac:dyDescent="0.2">
      <c r="A6123" s="21"/>
      <c r="B6123" s="3" t="s">
        <v>17</v>
      </c>
      <c r="C6123" s="20"/>
      <c r="D6123" s="21"/>
    </row>
    <row r="6124" spans="1:4" ht="12.75" customHeight="1" x14ac:dyDescent="0.2">
      <c r="A6124" s="21"/>
      <c r="B6124" s="20" t="s">
        <v>18</v>
      </c>
      <c r="C6124" s="4" t="s">
        <v>117</v>
      </c>
      <c r="D6124" s="6" t="str">
        <f>HYPERLINK("javascript:void(0)","pörgeszilánk")</f>
        <v>pörgeszilánk</v>
      </c>
    </row>
    <row r="6125" spans="1:4" ht="12.75" customHeight="1" x14ac:dyDescent="0.2">
      <c r="A6125" s="21"/>
      <c r="B6125" s="21"/>
      <c r="C6125" s="4" t="s">
        <v>142</v>
      </c>
      <c r="D6125" s="6" t="str">
        <f>HYPERLINK("javascript:void(0)","szőrpenge")</f>
        <v>szőrpenge</v>
      </c>
    </row>
    <row r="6126" spans="1:4" ht="12.75" customHeight="1" x14ac:dyDescent="0.2">
      <c r="A6126" s="21"/>
      <c r="B6126" s="21"/>
      <c r="C6126" s="4" t="s">
        <v>102</v>
      </c>
      <c r="D6126" s="6" t="str">
        <f>HYPERLINK("javascript:void(0)","medál")</f>
        <v>medál</v>
      </c>
    </row>
    <row r="6127" spans="1:4" ht="12.75" customHeight="1" x14ac:dyDescent="0.2">
      <c r="A6127" s="5"/>
      <c r="B6127" s="2"/>
      <c r="C6127" s="2"/>
      <c r="D6127" s="2"/>
    </row>
    <row r="6128" spans="1:4" ht="12.75" customHeight="1" x14ac:dyDescent="0.2">
      <c r="A6128" s="22" t="str">
        <f>HYPERLINK("javascript:void(0)","jancsiszög")</f>
        <v>jancsiszög</v>
      </c>
      <c r="B6128" s="21"/>
      <c r="C6128" s="21"/>
      <c r="D6128" s="21"/>
    </row>
    <row r="6129" spans="1:4" ht="12.75" customHeight="1" x14ac:dyDescent="0.2">
      <c r="A6129" s="20"/>
      <c r="B6129" s="2"/>
      <c r="C6129" s="2"/>
      <c r="D6129" s="2"/>
    </row>
    <row r="6130" spans="1:4" ht="12.75" customHeight="1" x14ac:dyDescent="0.2">
      <c r="A6130" s="21"/>
      <c r="B6130" s="3" t="s">
        <v>0</v>
      </c>
      <c r="C6130" s="20" t="s">
        <v>1263</v>
      </c>
      <c r="D6130" s="21"/>
    </row>
    <row r="6131" spans="1:4" ht="12.75" customHeight="1" x14ac:dyDescent="0.2">
      <c r="A6131" s="21"/>
      <c r="B6131" s="3" t="s">
        <v>2</v>
      </c>
      <c r="C6131" s="20" t="s">
        <v>1598</v>
      </c>
      <c r="D6131" s="21"/>
    </row>
    <row r="6132" spans="1:4" ht="12.75" customHeight="1" x14ac:dyDescent="0.2">
      <c r="A6132" s="21"/>
      <c r="B6132" s="3" t="s">
        <v>4</v>
      </c>
      <c r="C6132" s="20" t="s">
        <v>2369</v>
      </c>
      <c r="D6132" s="21"/>
    </row>
    <row r="6133" spans="1:4" ht="12.75" customHeight="1" x14ac:dyDescent="0.2">
      <c r="A6133" s="21"/>
      <c r="B6133" s="3" t="s">
        <v>6</v>
      </c>
      <c r="C6133" s="20" t="s">
        <v>40</v>
      </c>
      <c r="D6133" s="21"/>
    </row>
    <row r="6134" spans="1:4" ht="12.75" customHeight="1" x14ac:dyDescent="0.2">
      <c r="A6134" s="21"/>
      <c r="B6134" s="3" t="s">
        <v>8</v>
      </c>
      <c r="C6134" s="20" t="s">
        <v>2369</v>
      </c>
      <c r="D6134" s="21"/>
    </row>
    <row r="6135" spans="1:4" ht="12.75" customHeight="1" x14ac:dyDescent="0.2">
      <c r="A6135" s="21"/>
      <c r="B6135" s="3" t="s">
        <v>9</v>
      </c>
      <c r="C6135" s="20" t="s">
        <v>1215</v>
      </c>
      <c r="D6135" s="21"/>
    </row>
    <row r="6136" spans="1:4" ht="12.75" customHeight="1" x14ac:dyDescent="0.2">
      <c r="A6136" s="21"/>
      <c r="B6136" s="3" t="s">
        <v>11</v>
      </c>
      <c r="C6136" s="20" t="s">
        <v>2370</v>
      </c>
      <c r="D6136" s="21"/>
    </row>
    <row r="6137" spans="1:4" ht="12.75" customHeight="1" x14ac:dyDescent="0.2">
      <c r="A6137" s="21"/>
      <c r="B6137" s="3" t="s">
        <v>13</v>
      </c>
      <c r="C6137" s="20" t="s">
        <v>24</v>
      </c>
      <c r="D6137" s="21"/>
    </row>
    <row r="6138" spans="1:4" ht="12.75" customHeight="1" x14ac:dyDescent="0.2">
      <c r="A6138" s="21"/>
      <c r="B6138" s="3" t="s">
        <v>15</v>
      </c>
      <c r="C6138" s="20" t="s">
        <v>24</v>
      </c>
      <c r="D6138" s="21"/>
    </row>
    <row r="6139" spans="1:4" ht="12.75" customHeight="1" x14ac:dyDescent="0.2">
      <c r="A6139" s="21"/>
      <c r="B6139" s="3" t="s">
        <v>16</v>
      </c>
      <c r="C6139" s="20"/>
      <c r="D6139" s="21"/>
    </row>
    <row r="6140" spans="1:4" ht="12.75" customHeight="1" x14ac:dyDescent="0.2">
      <c r="A6140" s="21"/>
      <c r="B6140" s="3" t="s">
        <v>17</v>
      </c>
      <c r="C6140" s="20"/>
      <c r="D6140" s="21"/>
    </row>
    <row r="6141" spans="1:4" ht="12.75" customHeight="1" x14ac:dyDescent="0.2">
      <c r="A6141" s="21"/>
      <c r="B6141" s="20" t="s">
        <v>18</v>
      </c>
      <c r="C6141" s="4" t="s">
        <v>44</v>
      </c>
      <c r="D6141" s="6" t="str">
        <f>HYPERLINK("javascript:void(0)","pandárda")</f>
        <v>pandárda</v>
      </c>
    </row>
    <row r="6142" spans="1:4" ht="12.75" customHeight="1" x14ac:dyDescent="0.2">
      <c r="A6142" s="21"/>
      <c r="B6142" s="21"/>
      <c r="C6142" s="4" t="s">
        <v>44</v>
      </c>
      <c r="D6142" s="6" t="str">
        <f>HYPERLINK("javascript:void(0)","pörgetű")</f>
        <v>pörgetű</v>
      </c>
    </row>
    <row r="6143" spans="1:4" ht="12.75" customHeight="1" x14ac:dyDescent="0.2">
      <c r="A6143" s="21"/>
      <c r="B6143" s="21"/>
      <c r="C6143" s="4" t="s">
        <v>68</v>
      </c>
      <c r="D6143" s="6" t="str">
        <f>HYPERLINK("javascript:void(0)","keljfeljancsi")</f>
        <v>keljfeljancsi</v>
      </c>
    </row>
    <row r="6144" spans="1:4" ht="12.75" customHeight="1" x14ac:dyDescent="0.2">
      <c r="A6144" s="5"/>
      <c r="B6144" s="2"/>
      <c r="C6144" s="2"/>
      <c r="D6144" s="2"/>
    </row>
    <row r="6145" spans="1:4" ht="12.75" customHeight="1" x14ac:dyDescent="0.2">
      <c r="A6145" s="22" t="str">
        <f>HYPERLINK("javascript:void(0)","pörgő mágusölő")</f>
        <v>pörgő mágusölő</v>
      </c>
      <c r="B6145" s="21"/>
      <c r="C6145" s="21"/>
      <c r="D6145" s="21"/>
    </row>
    <row r="6146" spans="1:4" ht="12.75" customHeight="1" x14ac:dyDescent="0.2">
      <c r="A6146" s="20"/>
      <c r="B6146" s="2"/>
      <c r="C6146" s="2"/>
      <c r="D6146" s="2"/>
    </row>
    <row r="6147" spans="1:4" ht="12.75" customHeight="1" x14ac:dyDescent="0.2">
      <c r="A6147" s="21"/>
      <c r="B6147" s="3" t="s">
        <v>0</v>
      </c>
      <c r="C6147" s="20" t="s">
        <v>1263</v>
      </c>
      <c r="D6147" s="21"/>
    </row>
    <row r="6148" spans="1:4" ht="12.75" customHeight="1" x14ac:dyDescent="0.2">
      <c r="A6148" s="21"/>
      <c r="B6148" s="3" t="s">
        <v>2</v>
      </c>
      <c r="C6148" s="20" t="s">
        <v>1598</v>
      </c>
      <c r="D6148" s="21"/>
    </row>
    <row r="6149" spans="1:4" ht="12.75" customHeight="1" x14ac:dyDescent="0.2">
      <c r="A6149" s="21"/>
      <c r="B6149" s="3" t="s">
        <v>4</v>
      </c>
      <c r="C6149" s="20" t="s">
        <v>2371</v>
      </c>
      <c r="D6149" s="21"/>
    </row>
    <row r="6150" spans="1:4" ht="12.75" customHeight="1" x14ac:dyDescent="0.2">
      <c r="A6150" s="21"/>
      <c r="B6150" s="3" t="s">
        <v>6</v>
      </c>
      <c r="C6150" s="20" t="s">
        <v>92</v>
      </c>
      <c r="D6150" s="21"/>
    </row>
    <row r="6151" spans="1:4" ht="12.75" customHeight="1" x14ac:dyDescent="0.2">
      <c r="A6151" s="21"/>
      <c r="B6151" s="3" t="s">
        <v>8</v>
      </c>
      <c r="C6151" s="20" t="s">
        <v>2371</v>
      </c>
      <c r="D6151" s="21"/>
    </row>
    <row r="6152" spans="1:4" ht="12.75" customHeight="1" x14ac:dyDescent="0.2">
      <c r="A6152" s="21"/>
      <c r="B6152" s="3" t="s">
        <v>9</v>
      </c>
      <c r="C6152" s="20" t="s">
        <v>759</v>
      </c>
      <c r="D6152" s="21"/>
    </row>
    <row r="6153" spans="1:4" ht="12.75" customHeight="1" x14ac:dyDescent="0.2">
      <c r="A6153" s="21"/>
      <c r="B6153" s="3" t="s">
        <v>11</v>
      </c>
      <c r="C6153" s="20" t="s">
        <v>2372</v>
      </c>
      <c r="D6153" s="21"/>
    </row>
    <row r="6154" spans="1:4" ht="12.75" customHeight="1" x14ac:dyDescent="0.2">
      <c r="A6154" s="21"/>
      <c r="B6154" s="3" t="s">
        <v>13</v>
      </c>
      <c r="C6154" s="20" t="s">
        <v>14</v>
      </c>
      <c r="D6154" s="21"/>
    </row>
    <row r="6155" spans="1:4" ht="12.75" customHeight="1" x14ac:dyDescent="0.2">
      <c r="A6155" s="21"/>
      <c r="B6155" s="3" t="s">
        <v>15</v>
      </c>
      <c r="C6155" s="20" t="s">
        <v>24</v>
      </c>
      <c r="D6155" s="21"/>
    </row>
    <row r="6156" spans="1:4" ht="12.75" customHeight="1" x14ac:dyDescent="0.2">
      <c r="A6156" s="21"/>
      <c r="B6156" s="3" t="s">
        <v>16</v>
      </c>
      <c r="C6156" s="20"/>
      <c r="D6156" s="21"/>
    </row>
    <row r="6157" spans="1:4" ht="12.75" customHeight="1" x14ac:dyDescent="0.2">
      <c r="A6157" s="21"/>
      <c r="B6157" s="3" t="s">
        <v>17</v>
      </c>
      <c r="C6157" s="20"/>
      <c r="D6157" s="21"/>
    </row>
    <row r="6158" spans="1:4" ht="12.75" customHeight="1" x14ac:dyDescent="0.2">
      <c r="A6158" s="21"/>
      <c r="B6158" s="20" t="s">
        <v>18</v>
      </c>
      <c r="C6158" s="4" t="s">
        <v>44</v>
      </c>
      <c r="D6158" s="6" t="str">
        <f>HYPERLINK("javascript:void(0)","rémképes mágusölő")</f>
        <v>rémképes mágusölő</v>
      </c>
    </row>
    <row r="6159" spans="1:4" ht="12.75" customHeight="1" x14ac:dyDescent="0.2">
      <c r="A6159" s="21"/>
      <c r="B6159" s="21"/>
      <c r="C6159" s="4" t="s">
        <v>240</v>
      </c>
      <c r="D6159" s="6" t="str">
        <f>HYPERLINK("javascript:void(0)","pörgeszilánk")</f>
        <v>pörgeszilánk</v>
      </c>
    </row>
    <row r="6160" spans="1:4" ht="12.75" customHeight="1" x14ac:dyDescent="0.2">
      <c r="A6160" s="21"/>
      <c r="B6160" s="21"/>
      <c r="C6160" s="4" t="s">
        <v>142</v>
      </c>
      <c r="D6160" s="6" t="str">
        <f>HYPERLINK("javascript:void(0)","ércrozsda")</f>
        <v>ércrozsda</v>
      </c>
    </row>
    <row r="6161" spans="1:4" ht="12.75" customHeight="1" x14ac:dyDescent="0.2">
      <c r="A6161" s="5"/>
      <c r="B6161" s="2"/>
      <c r="C6161" s="2"/>
      <c r="D6161" s="2"/>
    </row>
    <row r="6162" spans="1:4" ht="12.75" customHeight="1" x14ac:dyDescent="0.2">
      <c r="A6162" s="22" t="str">
        <f>HYPERLINK("javascript:void(0)","hódsarló")</f>
        <v>hódsarló</v>
      </c>
      <c r="B6162" s="21"/>
      <c r="C6162" s="21"/>
      <c r="D6162" s="21"/>
    </row>
    <row r="6163" spans="1:4" ht="12.75" customHeight="1" x14ac:dyDescent="0.2">
      <c r="A6163" s="20"/>
      <c r="B6163" s="2"/>
      <c r="C6163" s="2"/>
      <c r="D6163" s="2"/>
    </row>
    <row r="6164" spans="1:4" ht="12.75" customHeight="1" x14ac:dyDescent="0.2">
      <c r="A6164" s="21"/>
      <c r="B6164" s="3" t="s">
        <v>0</v>
      </c>
      <c r="C6164" s="20" t="s">
        <v>1270</v>
      </c>
      <c r="D6164" s="21"/>
    </row>
    <row r="6165" spans="1:4" ht="12.75" customHeight="1" x14ac:dyDescent="0.2">
      <c r="A6165" s="21"/>
      <c r="B6165" s="3" t="s">
        <v>2</v>
      </c>
      <c r="C6165" s="20" t="s">
        <v>1598</v>
      </c>
      <c r="D6165" s="21"/>
    </row>
    <row r="6166" spans="1:4" ht="12.75" customHeight="1" x14ac:dyDescent="0.2">
      <c r="A6166" s="21"/>
      <c r="B6166" s="3" t="s">
        <v>4</v>
      </c>
      <c r="C6166" s="20" t="s">
        <v>2373</v>
      </c>
      <c r="D6166" s="21"/>
    </row>
    <row r="6167" spans="1:4" ht="12.75" customHeight="1" x14ac:dyDescent="0.2">
      <c r="A6167" s="21"/>
      <c r="B6167" s="3" t="s">
        <v>6</v>
      </c>
      <c r="C6167" s="20" t="s">
        <v>33</v>
      </c>
      <c r="D6167" s="21"/>
    </row>
    <row r="6168" spans="1:4" ht="12.75" customHeight="1" x14ac:dyDescent="0.2">
      <c r="A6168" s="21"/>
      <c r="B6168" s="3" t="s">
        <v>8</v>
      </c>
      <c r="C6168" s="20" t="s">
        <v>2373</v>
      </c>
      <c r="D6168" s="21"/>
    </row>
    <row r="6169" spans="1:4" ht="12.75" customHeight="1" x14ac:dyDescent="0.2">
      <c r="A6169" s="21"/>
      <c r="B6169" s="3" t="s">
        <v>9</v>
      </c>
      <c r="C6169" s="20" t="s">
        <v>2374</v>
      </c>
      <c r="D6169" s="21"/>
    </row>
    <row r="6170" spans="1:4" ht="12.75" customHeight="1" x14ac:dyDescent="0.2">
      <c r="A6170" s="21"/>
      <c r="B6170" s="3" t="s">
        <v>11</v>
      </c>
      <c r="C6170" s="20" t="s">
        <v>1029</v>
      </c>
      <c r="D6170" s="21"/>
    </row>
    <row r="6171" spans="1:4" ht="12.75" customHeight="1" x14ac:dyDescent="0.2">
      <c r="A6171" s="21"/>
      <c r="B6171" s="3" t="s">
        <v>13</v>
      </c>
      <c r="C6171" s="20" t="s">
        <v>24</v>
      </c>
      <c r="D6171" s="21"/>
    </row>
    <row r="6172" spans="1:4" ht="12.75" customHeight="1" x14ac:dyDescent="0.2">
      <c r="A6172" s="21"/>
      <c r="B6172" s="3" t="s">
        <v>15</v>
      </c>
      <c r="C6172" s="20" t="s">
        <v>24</v>
      </c>
      <c r="D6172" s="21"/>
    </row>
    <row r="6173" spans="1:4" ht="12.75" customHeight="1" x14ac:dyDescent="0.2">
      <c r="A6173" s="21"/>
      <c r="B6173" s="3" t="s">
        <v>16</v>
      </c>
      <c r="C6173" s="20"/>
      <c r="D6173" s="21"/>
    </row>
    <row r="6174" spans="1:4" ht="12.75" customHeight="1" x14ac:dyDescent="0.2">
      <c r="A6174" s="21"/>
      <c r="B6174" s="3" t="s">
        <v>17</v>
      </c>
      <c r="C6174" s="20"/>
      <c r="D6174" s="21"/>
    </row>
    <row r="6175" spans="1:4" ht="12.75" customHeight="1" x14ac:dyDescent="0.2">
      <c r="A6175" s="21"/>
      <c r="B6175" s="20" t="s">
        <v>18</v>
      </c>
      <c r="C6175" s="4" t="s">
        <v>44</v>
      </c>
      <c r="D6175" s="6" t="str">
        <f>HYPERLINK("javascript:void(0)","jancsiszög")</f>
        <v>jancsiszög</v>
      </c>
    </row>
    <row r="6176" spans="1:4" ht="12.75" customHeight="1" x14ac:dyDescent="0.2">
      <c r="A6176" s="21"/>
      <c r="B6176" s="21"/>
      <c r="C6176" s="4" t="s">
        <v>196</v>
      </c>
      <c r="D6176" s="6" t="str">
        <f>HYPERLINK("javascript:void(0)","hódprizma")</f>
        <v>hódprizma</v>
      </c>
    </row>
    <row r="6177" spans="1:4" ht="12.75" customHeight="1" x14ac:dyDescent="0.2">
      <c r="A6177" s="21"/>
      <c r="B6177" s="21"/>
      <c r="C6177" s="4" t="s">
        <v>331</v>
      </c>
      <c r="D6177" s="6" t="str">
        <f>HYPERLINK("javascript:void(0)","ércrozsda")</f>
        <v>ércrozsda</v>
      </c>
    </row>
    <row r="6178" spans="1:4" ht="12.75" customHeight="1" x14ac:dyDescent="0.2">
      <c r="A6178" s="5"/>
      <c r="B6178" s="2"/>
      <c r="C6178" s="2"/>
      <c r="D6178" s="2"/>
    </row>
    <row r="6179" spans="1:4" ht="12.75" customHeight="1" x14ac:dyDescent="0.2">
      <c r="A6179" s="22" t="str">
        <f>HYPERLINK("javascript:void(0)","isteni kinyilatkoztatás")</f>
        <v>isteni kinyilatkoztatás</v>
      </c>
      <c r="B6179" s="21"/>
      <c r="C6179" s="21"/>
      <c r="D6179" s="21"/>
    </row>
    <row r="6180" spans="1:4" ht="12.75" customHeight="1" x14ac:dyDescent="0.2">
      <c r="A6180" s="20"/>
      <c r="B6180" s="2"/>
      <c r="C6180" s="2"/>
      <c r="D6180" s="2"/>
    </row>
    <row r="6181" spans="1:4" ht="12.75" customHeight="1" x14ac:dyDescent="0.2">
      <c r="A6181" s="21"/>
      <c r="B6181" s="3" t="s">
        <v>0</v>
      </c>
      <c r="C6181" s="20" t="s">
        <v>143</v>
      </c>
      <c r="D6181" s="21"/>
    </row>
    <row r="6182" spans="1:4" ht="12.75" customHeight="1" x14ac:dyDescent="0.2">
      <c r="A6182" s="21"/>
      <c r="B6182" s="3" t="s">
        <v>2</v>
      </c>
      <c r="C6182" s="20" t="s">
        <v>1598</v>
      </c>
      <c r="D6182" s="21"/>
    </row>
    <row r="6183" spans="1:4" ht="12.75" customHeight="1" x14ac:dyDescent="0.2">
      <c r="A6183" s="21"/>
      <c r="B6183" s="3" t="s">
        <v>4</v>
      </c>
      <c r="C6183" s="20" t="s">
        <v>2375</v>
      </c>
      <c r="D6183" s="21"/>
    </row>
    <row r="6184" spans="1:4" ht="12.75" customHeight="1" x14ac:dyDescent="0.2">
      <c r="A6184" s="21"/>
      <c r="B6184" s="3" t="s">
        <v>6</v>
      </c>
      <c r="C6184" s="20" t="s">
        <v>25</v>
      </c>
      <c r="D6184" s="21"/>
    </row>
    <row r="6185" spans="1:4" ht="12.75" customHeight="1" x14ac:dyDescent="0.2">
      <c r="A6185" s="21"/>
      <c r="B6185" s="3" t="s">
        <v>8</v>
      </c>
      <c r="C6185" s="20" t="s">
        <v>2375</v>
      </c>
      <c r="D6185" s="21"/>
    </row>
    <row r="6186" spans="1:4" ht="12.75" customHeight="1" x14ac:dyDescent="0.2">
      <c r="A6186" s="21"/>
      <c r="B6186" s="3" t="s">
        <v>9</v>
      </c>
      <c r="C6186" s="20" t="s">
        <v>42</v>
      </c>
      <c r="D6186" s="21"/>
    </row>
    <row r="6187" spans="1:4" ht="12.75" customHeight="1" x14ac:dyDescent="0.2">
      <c r="A6187" s="21"/>
      <c r="B6187" s="3" t="s">
        <v>11</v>
      </c>
      <c r="C6187" s="20" t="s">
        <v>1266</v>
      </c>
      <c r="D6187" s="21"/>
    </row>
    <row r="6188" spans="1:4" ht="12.75" customHeight="1" x14ac:dyDescent="0.2">
      <c r="A6188" s="21"/>
      <c r="B6188" s="3" t="s">
        <v>13</v>
      </c>
      <c r="C6188" s="20" t="s">
        <v>24</v>
      </c>
      <c r="D6188" s="21"/>
    </row>
    <row r="6189" spans="1:4" ht="12.75" customHeight="1" x14ac:dyDescent="0.2">
      <c r="A6189" s="21"/>
      <c r="B6189" s="3" t="s">
        <v>15</v>
      </c>
      <c r="C6189" s="20" t="s">
        <v>24</v>
      </c>
      <c r="D6189" s="21"/>
    </row>
    <row r="6190" spans="1:4" ht="12.75" customHeight="1" x14ac:dyDescent="0.2">
      <c r="A6190" s="21"/>
      <c r="B6190" s="3" t="s">
        <v>16</v>
      </c>
      <c r="C6190" s="20"/>
      <c r="D6190" s="21"/>
    </row>
    <row r="6191" spans="1:4" ht="12.75" customHeight="1" x14ac:dyDescent="0.2">
      <c r="A6191" s="21"/>
      <c r="B6191" s="3" t="s">
        <v>17</v>
      </c>
      <c r="C6191" s="20"/>
      <c r="D6191" s="21"/>
    </row>
    <row r="6192" spans="1:4" ht="12.75" customHeight="1" x14ac:dyDescent="0.2">
      <c r="A6192" s="21"/>
      <c r="B6192" s="20" t="s">
        <v>18</v>
      </c>
      <c r="C6192" s="4" t="s">
        <v>142</v>
      </c>
      <c r="D6192" s="6" t="str">
        <f>HYPERLINK("javascript:void(0)","regnum")</f>
        <v>regnum</v>
      </c>
    </row>
    <row r="6193" spans="1:4" ht="12.75" customHeight="1" x14ac:dyDescent="0.2">
      <c r="A6193" s="21"/>
      <c r="B6193" s="21"/>
      <c r="C6193" s="4" t="s">
        <v>102</v>
      </c>
      <c r="D6193" s="6" t="str">
        <f>HYPERLINK("javascript:void(0)","píszkereszt")</f>
        <v>píszkereszt</v>
      </c>
    </row>
    <row r="6194" spans="1:4" ht="12.75" customHeight="1" x14ac:dyDescent="0.2">
      <c r="A6194" s="21"/>
      <c r="B6194" s="21"/>
      <c r="C6194" s="4" t="s">
        <v>98</v>
      </c>
      <c r="D6194" s="6" t="str">
        <f>HYPERLINK("javascript:void(0)","istenköröm")</f>
        <v>istenköröm</v>
      </c>
    </row>
    <row r="6195" spans="1:4" ht="12.75" customHeight="1" x14ac:dyDescent="0.2">
      <c r="A6195" s="5"/>
      <c r="B6195" s="2"/>
      <c r="C6195" s="2"/>
      <c r="D6195" s="2"/>
    </row>
    <row r="6196" spans="1:4" ht="12.75" customHeight="1" x14ac:dyDescent="0.2">
      <c r="A6196" s="22" t="str">
        <f>HYPERLINK("javascript:void(0)","isteni mágusölő")</f>
        <v>isteni mágusölő</v>
      </c>
      <c r="B6196" s="21"/>
      <c r="C6196" s="21"/>
      <c r="D6196" s="21"/>
    </row>
    <row r="6197" spans="1:4" ht="12.75" customHeight="1" x14ac:dyDescent="0.2">
      <c r="A6197" s="20"/>
      <c r="B6197" s="2"/>
      <c r="C6197" s="2"/>
      <c r="D6197" s="2"/>
    </row>
    <row r="6198" spans="1:4" ht="12.75" customHeight="1" x14ac:dyDescent="0.2">
      <c r="A6198" s="21"/>
      <c r="B6198" s="3" t="s">
        <v>0</v>
      </c>
      <c r="C6198" s="20" t="s">
        <v>143</v>
      </c>
      <c r="D6198" s="21"/>
    </row>
    <row r="6199" spans="1:4" ht="12.75" customHeight="1" x14ac:dyDescent="0.2">
      <c r="A6199" s="21"/>
      <c r="B6199" s="3" t="s">
        <v>2</v>
      </c>
      <c r="C6199" s="20" t="s">
        <v>1598</v>
      </c>
      <c r="D6199" s="21"/>
    </row>
    <row r="6200" spans="1:4" ht="12.75" customHeight="1" x14ac:dyDescent="0.2">
      <c r="A6200" s="21"/>
      <c r="B6200" s="3" t="s">
        <v>4</v>
      </c>
      <c r="C6200" s="20" t="s">
        <v>2376</v>
      </c>
      <c r="D6200" s="21"/>
    </row>
    <row r="6201" spans="1:4" ht="12.75" customHeight="1" x14ac:dyDescent="0.2">
      <c r="A6201" s="21"/>
      <c r="B6201" s="3" t="s">
        <v>6</v>
      </c>
      <c r="C6201" s="20" t="s">
        <v>88</v>
      </c>
      <c r="D6201" s="21"/>
    </row>
    <row r="6202" spans="1:4" ht="12.75" customHeight="1" x14ac:dyDescent="0.2">
      <c r="A6202" s="21"/>
      <c r="B6202" s="3" t="s">
        <v>8</v>
      </c>
      <c r="C6202" s="20" t="s">
        <v>2376</v>
      </c>
      <c r="D6202" s="21"/>
    </row>
    <row r="6203" spans="1:4" ht="12.75" customHeight="1" x14ac:dyDescent="0.2">
      <c r="A6203" s="21"/>
      <c r="B6203" s="3" t="s">
        <v>9</v>
      </c>
      <c r="C6203" s="20" t="s">
        <v>2126</v>
      </c>
      <c r="D6203" s="21"/>
    </row>
    <row r="6204" spans="1:4" ht="12.75" customHeight="1" x14ac:dyDescent="0.2">
      <c r="A6204" s="21"/>
      <c r="B6204" s="3" t="s">
        <v>11</v>
      </c>
      <c r="C6204" s="20" t="s">
        <v>2377</v>
      </c>
      <c r="D6204" s="21"/>
    </row>
    <row r="6205" spans="1:4" ht="12.75" customHeight="1" x14ac:dyDescent="0.2">
      <c r="A6205" s="21"/>
      <c r="B6205" s="3" t="s">
        <v>13</v>
      </c>
      <c r="C6205" s="20" t="s">
        <v>14</v>
      </c>
      <c r="D6205" s="21"/>
    </row>
    <row r="6206" spans="1:4" ht="12.75" customHeight="1" x14ac:dyDescent="0.2">
      <c r="A6206" s="21"/>
      <c r="B6206" s="3" t="s">
        <v>15</v>
      </c>
      <c r="C6206" s="20" t="s">
        <v>24</v>
      </c>
      <c r="D6206" s="21"/>
    </row>
    <row r="6207" spans="1:4" ht="12.75" customHeight="1" x14ac:dyDescent="0.2">
      <c r="A6207" s="21"/>
      <c r="B6207" s="3" t="s">
        <v>16</v>
      </c>
      <c r="C6207" s="20"/>
      <c r="D6207" s="21"/>
    </row>
    <row r="6208" spans="1:4" ht="12.75" customHeight="1" x14ac:dyDescent="0.2">
      <c r="A6208" s="21"/>
      <c r="B6208" s="3" t="s">
        <v>17</v>
      </c>
      <c r="C6208" s="20"/>
      <c r="D6208" s="21"/>
    </row>
    <row r="6209" spans="1:4" ht="12.75" customHeight="1" x14ac:dyDescent="0.2">
      <c r="A6209" s="21"/>
      <c r="B6209" s="20" t="s">
        <v>18</v>
      </c>
      <c r="C6209" s="4" t="s">
        <v>44</v>
      </c>
      <c r="D6209" s="6" t="str">
        <f>HYPERLINK("javascript:void(0)","szellemes mágusölő")</f>
        <v>szellemes mágusölő</v>
      </c>
    </row>
    <row r="6210" spans="1:4" ht="12.75" customHeight="1" x14ac:dyDescent="0.2">
      <c r="A6210" s="21"/>
      <c r="B6210" s="21"/>
      <c r="C6210" s="4" t="s">
        <v>196</v>
      </c>
      <c r="D6210" s="6" t="str">
        <f>HYPERLINK("javascript:void(0)","regnum")</f>
        <v>regnum</v>
      </c>
    </row>
    <row r="6211" spans="1:4" ht="12.75" customHeight="1" x14ac:dyDescent="0.2">
      <c r="A6211" s="21"/>
      <c r="B6211" s="21"/>
      <c r="C6211" s="4" t="s">
        <v>196</v>
      </c>
      <c r="D6211" s="6" t="str">
        <f>HYPERLINK("javascript:void(0)","hódprizma")</f>
        <v>hódprizma</v>
      </c>
    </row>
    <row r="6212" spans="1:4" ht="12.75" customHeight="1" x14ac:dyDescent="0.2">
      <c r="A6212" s="5"/>
      <c r="B6212" s="2"/>
      <c r="C6212" s="2"/>
      <c r="D6212" s="2"/>
    </row>
    <row r="6213" spans="1:4" ht="12.75" customHeight="1" x14ac:dyDescent="0.2">
      <c r="A6213" s="22" t="str">
        <f>HYPERLINK("javascript:void(0)","filléres bárd")</f>
        <v>filléres bárd</v>
      </c>
      <c r="B6213" s="21"/>
      <c r="C6213" s="21"/>
      <c r="D6213" s="21"/>
    </row>
    <row r="6214" spans="1:4" ht="12.75" customHeight="1" x14ac:dyDescent="0.2">
      <c r="A6214" s="20"/>
      <c r="B6214" s="2"/>
      <c r="C6214" s="2"/>
      <c r="D6214" s="2"/>
    </row>
    <row r="6215" spans="1:4" ht="12.75" customHeight="1" x14ac:dyDescent="0.2">
      <c r="A6215" s="21"/>
      <c r="B6215" s="3" t="s">
        <v>0</v>
      </c>
      <c r="C6215" s="20" t="s">
        <v>1284</v>
      </c>
      <c r="D6215" s="21"/>
    </row>
    <row r="6216" spans="1:4" ht="12.75" customHeight="1" x14ac:dyDescent="0.2">
      <c r="A6216" s="21"/>
      <c r="B6216" s="3" t="s">
        <v>2</v>
      </c>
      <c r="C6216" s="20" t="s">
        <v>1598</v>
      </c>
      <c r="D6216" s="21"/>
    </row>
    <row r="6217" spans="1:4" ht="12.75" customHeight="1" x14ac:dyDescent="0.2">
      <c r="A6217" s="21"/>
      <c r="B6217" s="3" t="s">
        <v>4</v>
      </c>
      <c r="C6217" s="20" t="s">
        <v>2378</v>
      </c>
      <c r="D6217" s="21"/>
    </row>
    <row r="6218" spans="1:4" ht="12.75" customHeight="1" x14ac:dyDescent="0.2">
      <c r="A6218" s="21"/>
      <c r="B6218" s="3" t="s">
        <v>6</v>
      </c>
      <c r="C6218" s="20" t="s">
        <v>46</v>
      </c>
      <c r="D6218" s="21"/>
    </row>
    <row r="6219" spans="1:4" ht="12.75" customHeight="1" x14ac:dyDescent="0.2">
      <c r="A6219" s="21"/>
      <c r="B6219" s="3" t="s">
        <v>8</v>
      </c>
      <c r="C6219" s="20" t="s">
        <v>2378</v>
      </c>
      <c r="D6219" s="21"/>
    </row>
    <row r="6220" spans="1:4" ht="12.75" customHeight="1" x14ac:dyDescent="0.2">
      <c r="A6220" s="21"/>
      <c r="B6220" s="3" t="s">
        <v>9</v>
      </c>
      <c r="C6220" s="20" t="s">
        <v>2379</v>
      </c>
      <c r="D6220" s="21"/>
    </row>
    <row r="6221" spans="1:4" ht="12.75" customHeight="1" x14ac:dyDescent="0.2">
      <c r="A6221" s="21"/>
      <c r="B6221" s="3" t="s">
        <v>11</v>
      </c>
      <c r="C6221" s="20" t="s">
        <v>1040</v>
      </c>
      <c r="D6221" s="21"/>
    </row>
    <row r="6222" spans="1:4" ht="12.75" customHeight="1" x14ac:dyDescent="0.2">
      <c r="A6222" s="21"/>
      <c r="B6222" s="3" t="s">
        <v>13</v>
      </c>
      <c r="C6222" s="20" t="s">
        <v>24</v>
      </c>
      <c r="D6222" s="21"/>
    </row>
    <row r="6223" spans="1:4" ht="12.75" customHeight="1" x14ac:dyDescent="0.2">
      <c r="A6223" s="21"/>
      <c r="B6223" s="3" t="s">
        <v>15</v>
      </c>
      <c r="C6223" s="20" t="s">
        <v>24</v>
      </c>
      <c r="D6223" s="21"/>
    </row>
    <row r="6224" spans="1:4" ht="12.75" customHeight="1" x14ac:dyDescent="0.2">
      <c r="A6224" s="21"/>
      <c r="B6224" s="3" t="s">
        <v>16</v>
      </c>
      <c r="C6224" s="20"/>
      <c r="D6224" s="21"/>
    </row>
    <row r="6225" spans="1:4" ht="12.75" customHeight="1" x14ac:dyDescent="0.2">
      <c r="A6225" s="21"/>
      <c r="B6225" s="3" t="s">
        <v>17</v>
      </c>
      <c r="C6225" s="20"/>
      <c r="D6225" s="21"/>
    </row>
    <row r="6226" spans="1:4" ht="12.75" customHeight="1" x14ac:dyDescent="0.2">
      <c r="A6226" s="21"/>
      <c r="B6226" s="20" t="s">
        <v>18</v>
      </c>
      <c r="C6226" s="4" t="s">
        <v>44</v>
      </c>
      <c r="D6226" s="6" t="str">
        <f>HYPERLINK("javascript:void(0)","hódsarló")</f>
        <v>hódsarló</v>
      </c>
    </row>
    <row r="6227" spans="1:4" ht="25.5" customHeight="1" x14ac:dyDescent="0.2">
      <c r="A6227" s="21"/>
      <c r="B6227" s="21"/>
      <c r="C6227" s="4" t="s">
        <v>44</v>
      </c>
      <c r="D6227" s="6" t="str">
        <f>HYPERLINK("javascript:void(0)","isteni kinyilatkoztatás")</f>
        <v>isteni kinyilatkoztatás</v>
      </c>
    </row>
    <row r="6228" spans="1:4" ht="12.75" customHeight="1" x14ac:dyDescent="0.2">
      <c r="A6228" s="21"/>
      <c r="B6228" s="21"/>
      <c r="C6228" s="4" t="s">
        <v>142</v>
      </c>
      <c r="D6228" s="6" t="str">
        <f>HYPERLINK("javascript:void(0)","ócska nóta")</f>
        <v>ócska nóta</v>
      </c>
    </row>
    <row r="6229" spans="1:4" ht="12.75" customHeight="1" x14ac:dyDescent="0.2">
      <c r="A6229" s="5"/>
      <c r="B6229" s="2"/>
      <c r="C6229" s="2"/>
      <c r="D6229" s="2"/>
    </row>
    <row r="6230" spans="1:4" ht="12.75" customHeight="1" x14ac:dyDescent="0.2">
      <c r="A6230" s="22" t="str">
        <f>HYPERLINK("javascript:void(0)","parszi tűzpenge")</f>
        <v>parszi tűzpenge</v>
      </c>
      <c r="B6230" s="21"/>
      <c r="C6230" s="21"/>
      <c r="D6230" s="21"/>
    </row>
    <row r="6231" spans="1:4" ht="12.75" customHeight="1" x14ac:dyDescent="0.2">
      <c r="A6231" s="20"/>
      <c r="B6231" s="2"/>
      <c r="C6231" s="2"/>
      <c r="D6231" s="2"/>
    </row>
    <row r="6232" spans="1:4" ht="12.75" customHeight="1" x14ac:dyDescent="0.2">
      <c r="A6232" s="21"/>
      <c r="B6232" s="3" t="s">
        <v>0</v>
      </c>
      <c r="C6232" s="20" t="s">
        <v>1294</v>
      </c>
      <c r="D6232" s="21"/>
    </row>
    <row r="6233" spans="1:4" ht="12.75" customHeight="1" x14ac:dyDescent="0.2">
      <c r="A6233" s="21"/>
      <c r="B6233" s="3" t="s">
        <v>2</v>
      </c>
      <c r="C6233" s="20" t="s">
        <v>1598</v>
      </c>
      <c r="D6233" s="21"/>
    </row>
    <row r="6234" spans="1:4" ht="12.75" customHeight="1" x14ac:dyDescent="0.2">
      <c r="A6234" s="21"/>
      <c r="B6234" s="3" t="s">
        <v>4</v>
      </c>
      <c r="C6234" s="20" t="s">
        <v>2380</v>
      </c>
      <c r="D6234" s="21"/>
    </row>
    <row r="6235" spans="1:4" ht="12.75" customHeight="1" x14ac:dyDescent="0.2">
      <c r="A6235" s="21"/>
      <c r="B6235" s="3" t="s">
        <v>6</v>
      </c>
      <c r="C6235" s="20" t="s">
        <v>86</v>
      </c>
      <c r="D6235" s="21"/>
    </row>
    <row r="6236" spans="1:4" ht="12.75" customHeight="1" x14ac:dyDescent="0.2">
      <c r="A6236" s="21"/>
      <c r="B6236" s="3" t="s">
        <v>8</v>
      </c>
      <c r="C6236" s="20" t="s">
        <v>2380</v>
      </c>
      <c r="D6236" s="21"/>
    </row>
    <row r="6237" spans="1:4" ht="12.75" customHeight="1" x14ac:dyDescent="0.2">
      <c r="A6237" s="21"/>
      <c r="B6237" s="3" t="s">
        <v>9</v>
      </c>
      <c r="C6237" s="20" t="s">
        <v>126</v>
      </c>
      <c r="D6237" s="21"/>
    </row>
    <row r="6238" spans="1:4" ht="12.75" customHeight="1" x14ac:dyDescent="0.2">
      <c r="A6238" s="21"/>
      <c r="B6238" s="3" t="s">
        <v>11</v>
      </c>
      <c r="C6238" s="20" t="s">
        <v>1287</v>
      </c>
      <c r="D6238" s="21"/>
    </row>
    <row r="6239" spans="1:4" ht="12.75" customHeight="1" x14ac:dyDescent="0.2">
      <c r="A6239" s="21"/>
      <c r="B6239" s="3" t="s">
        <v>13</v>
      </c>
      <c r="C6239" s="20" t="s">
        <v>24</v>
      </c>
      <c r="D6239" s="21"/>
    </row>
    <row r="6240" spans="1:4" ht="12.75" customHeight="1" x14ac:dyDescent="0.2">
      <c r="A6240" s="21"/>
      <c r="B6240" s="3" t="s">
        <v>15</v>
      </c>
      <c r="C6240" s="20" t="s">
        <v>24</v>
      </c>
      <c r="D6240" s="21"/>
    </row>
    <row r="6241" spans="1:4" ht="12.75" customHeight="1" x14ac:dyDescent="0.2">
      <c r="A6241" s="21"/>
      <c r="B6241" s="3" t="s">
        <v>16</v>
      </c>
      <c r="C6241" s="20"/>
      <c r="D6241" s="21"/>
    </row>
    <row r="6242" spans="1:4" ht="12.75" customHeight="1" x14ac:dyDescent="0.2">
      <c r="A6242" s="21"/>
      <c r="B6242" s="3" t="s">
        <v>17</v>
      </c>
      <c r="C6242" s="20"/>
      <c r="D6242" s="21"/>
    </row>
    <row r="6243" spans="1:4" ht="12.75" customHeight="1" x14ac:dyDescent="0.2">
      <c r="A6243" s="21"/>
      <c r="B6243" s="20" t="s">
        <v>18</v>
      </c>
      <c r="C6243" s="4" t="s">
        <v>44</v>
      </c>
      <c r="D6243" s="6" t="str">
        <f>HYPERLINK("javascript:void(0)","filléres bárd")</f>
        <v>filléres bárd</v>
      </c>
    </row>
    <row r="6244" spans="1:4" ht="12.75" customHeight="1" x14ac:dyDescent="0.2">
      <c r="A6244" s="21"/>
      <c r="B6244" s="21"/>
      <c r="C6244" s="4" t="s">
        <v>196</v>
      </c>
      <c r="D6244" s="6" t="str">
        <f>HYPERLINK("javascript:void(0)","lélekkristály")</f>
        <v>lélekkristály</v>
      </c>
    </row>
    <row r="6245" spans="1:4" ht="12.75" customHeight="1" x14ac:dyDescent="0.2">
      <c r="A6245" s="21"/>
      <c r="B6245" s="21"/>
      <c r="C6245" s="4" t="s">
        <v>67</v>
      </c>
      <c r="D6245" s="6" t="str">
        <f>HYPERLINK("javascript:void(0)","melegige")</f>
        <v>melegige</v>
      </c>
    </row>
    <row r="6246" spans="1:4" ht="12.75" customHeight="1" x14ac:dyDescent="0.2">
      <c r="A6246" s="5"/>
      <c r="B6246" s="2"/>
      <c r="C6246" s="2"/>
      <c r="D6246" s="2"/>
    </row>
    <row r="6247" spans="1:4" ht="12.75" customHeight="1" x14ac:dyDescent="0.2">
      <c r="A6247" s="22" t="str">
        <f>HYPERLINK("javascript:void(0)","feslett mágusölő")</f>
        <v>feslett mágusölő</v>
      </c>
      <c r="B6247" s="21"/>
      <c r="C6247" s="21"/>
      <c r="D6247" s="21"/>
    </row>
    <row r="6248" spans="1:4" ht="12.75" customHeight="1" x14ac:dyDescent="0.2">
      <c r="A6248" s="20"/>
      <c r="B6248" s="2"/>
      <c r="C6248" s="2"/>
      <c r="D6248" s="2"/>
    </row>
    <row r="6249" spans="1:4" ht="12.75" customHeight="1" x14ac:dyDescent="0.2">
      <c r="A6249" s="21"/>
      <c r="B6249" s="3" t="s">
        <v>0</v>
      </c>
      <c r="C6249" s="20" t="s">
        <v>1294</v>
      </c>
      <c r="D6249" s="21"/>
    </row>
    <row r="6250" spans="1:4" ht="12.75" customHeight="1" x14ac:dyDescent="0.2">
      <c r="A6250" s="21"/>
      <c r="B6250" s="3" t="s">
        <v>2</v>
      </c>
      <c r="C6250" s="20" t="s">
        <v>1598</v>
      </c>
      <c r="D6250" s="21"/>
    </row>
    <row r="6251" spans="1:4" ht="12.75" customHeight="1" x14ac:dyDescent="0.2">
      <c r="A6251" s="21"/>
      <c r="B6251" s="3" t="s">
        <v>4</v>
      </c>
      <c r="C6251" s="20" t="s">
        <v>2381</v>
      </c>
      <c r="D6251" s="21"/>
    </row>
    <row r="6252" spans="1:4" ht="12.75" customHeight="1" x14ac:dyDescent="0.2">
      <c r="A6252" s="21"/>
      <c r="B6252" s="3" t="s">
        <v>6</v>
      </c>
      <c r="C6252" s="20" t="s">
        <v>90</v>
      </c>
      <c r="D6252" s="21"/>
    </row>
    <row r="6253" spans="1:4" ht="12.75" customHeight="1" x14ac:dyDescent="0.2">
      <c r="A6253" s="21"/>
      <c r="B6253" s="3" t="s">
        <v>8</v>
      </c>
      <c r="C6253" s="20" t="s">
        <v>2381</v>
      </c>
      <c r="D6253" s="21"/>
    </row>
    <row r="6254" spans="1:4" ht="12.75" customHeight="1" x14ac:dyDescent="0.2">
      <c r="A6254" s="21"/>
      <c r="B6254" s="3" t="s">
        <v>9</v>
      </c>
      <c r="C6254" s="20" t="s">
        <v>1843</v>
      </c>
      <c r="D6254" s="21"/>
    </row>
    <row r="6255" spans="1:4" ht="12.75" customHeight="1" x14ac:dyDescent="0.2">
      <c r="A6255" s="21"/>
      <c r="B6255" s="3" t="s">
        <v>11</v>
      </c>
      <c r="C6255" s="20" t="s">
        <v>2382</v>
      </c>
      <c r="D6255" s="21"/>
    </row>
    <row r="6256" spans="1:4" ht="12.75" customHeight="1" x14ac:dyDescent="0.2">
      <c r="A6256" s="21"/>
      <c r="B6256" s="3" t="s">
        <v>13</v>
      </c>
      <c r="C6256" s="20" t="s">
        <v>14</v>
      </c>
      <c r="D6256" s="21"/>
    </row>
    <row r="6257" spans="1:4" ht="12.75" customHeight="1" x14ac:dyDescent="0.2">
      <c r="A6257" s="21"/>
      <c r="B6257" s="3" t="s">
        <v>15</v>
      </c>
      <c r="C6257" s="20" t="s">
        <v>24</v>
      </c>
      <c r="D6257" s="21"/>
    </row>
    <row r="6258" spans="1:4" ht="12.75" customHeight="1" x14ac:dyDescent="0.2">
      <c r="A6258" s="21"/>
      <c r="B6258" s="3" t="s">
        <v>16</v>
      </c>
      <c r="C6258" s="20"/>
      <c r="D6258" s="21"/>
    </row>
    <row r="6259" spans="1:4" ht="12.75" customHeight="1" x14ac:dyDescent="0.2">
      <c r="A6259" s="21"/>
      <c r="B6259" s="3" t="s">
        <v>17</v>
      </c>
      <c r="C6259" s="20"/>
      <c r="D6259" s="21"/>
    </row>
    <row r="6260" spans="1:4" ht="12.75" customHeight="1" x14ac:dyDescent="0.2">
      <c r="A6260" s="21"/>
      <c r="B6260" s="20" t="s">
        <v>18</v>
      </c>
      <c r="C6260" s="4" t="s">
        <v>44</v>
      </c>
      <c r="D6260" s="6" t="str">
        <f>HYPERLINK("javascript:void(0)","ócska mágusölő")</f>
        <v>ócska mágusölő</v>
      </c>
    </row>
    <row r="6261" spans="1:4" ht="12.75" customHeight="1" x14ac:dyDescent="0.2">
      <c r="A6261" s="21"/>
      <c r="B6261" s="21"/>
      <c r="C6261" s="4" t="s">
        <v>55</v>
      </c>
      <c r="D6261" s="6" t="str">
        <f>HYPERLINK("javascript:void(0)","feslett háló")</f>
        <v>feslett háló</v>
      </c>
    </row>
    <row r="6262" spans="1:4" ht="12.75" customHeight="1" x14ac:dyDescent="0.2">
      <c r="A6262" s="21"/>
      <c r="B6262" s="21"/>
      <c r="C6262" s="4" t="s">
        <v>196</v>
      </c>
      <c r="D6262" s="6" t="str">
        <f>HYPERLINK("javascript:void(0)","lábkarcsont")</f>
        <v>lábkarcsont</v>
      </c>
    </row>
    <row r="6263" spans="1:4" ht="12.75" customHeight="1" x14ac:dyDescent="0.2">
      <c r="A6263" s="5"/>
      <c r="B6263" s="2"/>
      <c r="C6263" s="2"/>
      <c r="D6263" s="2"/>
    </row>
    <row r="6264" spans="1:4" ht="12.75" customHeight="1" x14ac:dyDescent="0.2">
      <c r="A6264" s="22" t="str">
        <f>HYPERLINK("javascript:void(0)","sárkánynyárs")</f>
        <v>sárkánynyárs</v>
      </c>
      <c r="B6264" s="21"/>
      <c r="C6264" s="21"/>
      <c r="D6264" s="21"/>
    </row>
    <row r="6265" spans="1:4" ht="12.75" customHeight="1" x14ac:dyDescent="0.2">
      <c r="A6265" s="20"/>
      <c r="B6265" s="2"/>
      <c r="C6265" s="2"/>
      <c r="D6265" s="2"/>
    </row>
    <row r="6266" spans="1:4" ht="12.75" customHeight="1" x14ac:dyDescent="0.2">
      <c r="A6266" s="21"/>
      <c r="B6266" s="3" t="s">
        <v>0</v>
      </c>
      <c r="C6266" s="20" t="s">
        <v>242</v>
      </c>
      <c r="D6266" s="21"/>
    </row>
    <row r="6267" spans="1:4" ht="12.75" customHeight="1" x14ac:dyDescent="0.2">
      <c r="A6267" s="21"/>
      <c r="B6267" s="3" t="s">
        <v>2</v>
      </c>
      <c r="C6267" s="20" t="s">
        <v>1598</v>
      </c>
      <c r="D6267" s="21"/>
    </row>
    <row r="6268" spans="1:4" ht="12.75" customHeight="1" x14ac:dyDescent="0.2">
      <c r="A6268" s="21"/>
      <c r="B6268" s="3" t="s">
        <v>4</v>
      </c>
      <c r="C6268" s="20" t="s">
        <v>2383</v>
      </c>
      <c r="D6268" s="21"/>
    </row>
    <row r="6269" spans="1:4" ht="12.75" customHeight="1" x14ac:dyDescent="0.2">
      <c r="A6269" s="21"/>
      <c r="B6269" s="3" t="s">
        <v>6</v>
      </c>
      <c r="C6269" s="20" t="s">
        <v>74</v>
      </c>
      <c r="D6269" s="21"/>
    </row>
    <row r="6270" spans="1:4" ht="12.75" customHeight="1" x14ac:dyDescent="0.2">
      <c r="A6270" s="21"/>
      <c r="B6270" s="3" t="s">
        <v>8</v>
      </c>
      <c r="C6270" s="20" t="s">
        <v>2383</v>
      </c>
      <c r="D6270" s="21"/>
    </row>
    <row r="6271" spans="1:4" ht="12.75" customHeight="1" x14ac:dyDescent="0.2">
      <c r="A6271" s="21"/>
      <c r="B6271" s="3" t="s">
        <v>9</v>
      </c>
      <c r="C6271" s="20" t="s">
        <v>2384</v>
      </c>
      <c r="D6271" s="21"/>
    </row>
    <row r="6272" spans="1:4" ht="12.75" customHeight="1" x14ac:dyDescent="0.2">
      <c r="A6272" s="21"/>
      <c r="B6272" s="3" t="s">
        <v>11</v>
      </c>
      <c r="C6272" s="20" t="s">
        <v>1047</v>
      </c>
      <c r="D6272" s="21"/>
    </row>
    <row r="6273" spans="1:4" ht="12.75" customHeight="1" x14ac:dyDescent="0.2">
      <c r="A6273" s="21"/>
      <c r="B6273" s="3" t="s">
        <v>13</v>
      </c>
      <c r="C6273" s="20" t="s">
        <v>24</v>
      </c>
      <c r="D6273" s="21"/>
    </row>
    <row r="6274" spans="1:4" ht="12.75" customHeight="1" x14ac:dyDescent="0.2">
      <c r="A6274" s="21"/>
      <c r="B6274" s="3" t="s">
        <v>15</v>
      </c>
      <c r="C6274" s="20" t="s">
        <v>24</v>
      </c>
      <c r="D6274" s="21"/>
    </row>
    <row r="6275" spans="1:4" ht="12.75" customHeight="1" x14ac:dyDescent="0.2">
      <c r="A6275" s="21"/>
      <c r="B6275" s="3" t="s">
        <v>16</v>
      </c>
      <c r="C6275" s="20"/>
      <c r="D6275" s="21"/>
    </row>
    <row r="6276" spans="1:4" ht="12.75" customHeight="1" x14ac:dyDescent="0.2">
      <c r="A6276" s="21"/>
      <c r="B6276" s="3" t="s">
        <v>17</v>
      </c>
      <c r="C6276" s="20"/>
      <c r="D6276" s="21"/>
    </row>
    <row r="6277" spans="1:4" ht="12.75" customHeight="1" x14ac:dyDescent="0.2">
      <c r="A6277" s="21"/>
      <c r="B6277" s="20" t="s">
        <v>18</v>
      </c>
      <c r="C6277" s="4" t="s">
        <v>117</v>
      </c>
      <c r="D6277" s="6" t="str">
        <f>HYPERLINK("javascript:void(0)","exorcium draconum")</f>
        <v>exorcium draconum</v>
      </c>
    </row>
    <row r="6278" spans="1:4" ht="12.75" customHeight="1" x14ac:dyDescent="0.2">
      <c r="A6278" s="21"/>
      <c r="B6278" s="21"/>
      <c r="C6278" s="4" t="s">
        <v>228</v>
      </c>
      <c r="D6278" s="6" t="str">
        <f>HYPERLINK("javascript:void(0)","lábkarcsont")</f>
        <v>lábkarcsont</v>
      </c>
    </row>
    <row r="6279" spans="1:4" ht="12.75" customHeight="1" x14ac:dyDescent="0.2">
      <c r="A6279" s="21"/>
      <c r="B6279" s="21"/>
      <c r="C6279" s="4" t="s">
        <v>55</v>
      </c>
      <c r="D6279" s="6" t="str">
        <f>HYPERLINK("javascript:void(0)","vértócsa")</f>
        <v>vértócsa</v>
      </c>
    </row>
    <row r="6280" spans="1:4" ht="12.75" customHeight="1" x14ac:dyDescent="0.2">
      <c r="A6280" s="5"/>
      <c r="B6280" s="2"/>
      <c r="C6280" s="2"/>
      <c r="D6280" s="2"/>
    </row>
    <row r="6281" spans="1:4" ht="12.75" customHeight="1" x14ac:dyDescent="0.2">
      <c r="A6281" s="22" t="str">
        <f>HYPERLINK("javascript:void(0)","furcsa tőr")</f>
        <v>furcsa tőr</v>
      </c>
      <c r="B6281" s="21"/>
      <c r="C6281" s="21"/>
      <c r="D6281" s="21"/>
    </row>
    <row r="6282" spans="1:4" ht="12.75" customHeight="1" x14ac:dyDescent="0.2">
      <c r="A6282" s="20"/>
      <c r="B6282" s="2"/>
      <c r="C6282" s="2"/>
      <c r="D6282" s="2"/>
    </row>
    <row r="6283" spans="1:4" ht="12.75" customHeight="1" x14ac:dyDescent="0.2">
      <c r="A6283" s="21"/>
      <c r="B6283" s="3" t="s">
        <v>0</v>
      </c>
      <c r="C6283" s="20" t="s">
        <v>1308</v>
      </c>
      <c r="D6283" s="21"/>
    </row>
    <row r="6284" spans="1:4" ht="12.75" customHeight="1" x14ac:dyDescent="0.2">
      <c r="A6284" s="21"/>
      <c r="B6284" s="3" t="s">
        <v>2</v>
      </c>
      <c r="C6284" s="20" t="s">
        <v>1598</v>
      </c>
      <c r="D6284" s="21"/>
    </row>
    <row r="6285" spans="1:4" ht="12.75" customHeight="1" x14ac:dyDescent="0.2">
      <c r="A6285" s="21"/>
      <c r="B6285" s="3" t="s">
        <v>4</v>
      </c>
      <c r="C6285" s="20" t="s">
        <v>2385</v>
      </c>
      <c r="D6285" s="21"/>
    </row>
    <row r="6286" spans="1:4" ht="12.75" customHeight="1" x14ac:dyDescent="0.2">
      <c r="A6286" s="21"/>
      <c r="B6286" s="3" t="s">
        <v>6</v>
      </c>
      <c r="C6286" s="20" t="s">
        <v>82</v>
      </c>
      <c r="D6286" s="21"/>
    </row>
    <row r="6287" spans="1:4" ht="12.75" customHeight="1" x14ac:dyDescent="0.2">
      <c r="A6287" s="21"/>
      <c r="B6287" s="3" t="s">
        <v>8</v>
      </c>
      <c r="C6287" s="20" t="s">
        <v>2385</v>
      </c>
      <c r="D6287" s="21"/>
    </row>
    <row r="6288" spans="1:4" ht="12.75" customHeight="1" x14ac:dyDescent="0.2">
      <c r="A6288" s="21"/>
      <c r="B6288" s="3" t="s">
        <v>9</v>
      </c>
      <c r="C6288" s="20" t="s">
        <v>2386</v>
      </c>
      <c r="D6288" s="21"/>
    </row>
    <row r="6289" spans="1:4" ht="12.75" customHeight="1" x14ac:dyDescent="0.2">
      <c r="A6289" s="21"/>
      <c r="B6289" s="3" t="s">
        <v>11</v>
      </c>
      <c r="C6289" s="20" t="s">
        <v>1301</v>
      </c>
      <c r="D6289" s="21"/>
    </row>
    <row r="6290" spans="1:4" ht="12.75" customHeight="1" x14ac:dyDescent="0.2">
      <c r="A6290" s="21"/>
      <c r="B6290" s="3" t="s">
        <v>13</v>
      </c>
      <c r="C6290" s="20" t="s">
        <v>24</v>
      </c>
      <c r="D6290" s="21"/>
    </row>
    <row r="6291" spans="1:4" ht="12.75" customHeight="1" x14ac:dyDescent="0.2">
      <c r="A6291" s="21"/>
      <c r="B6291" s="3" t="s">
        <v>15</v>
      </c>
      <c r="C6291" s="20" t="s">
        <v>24</v>
      </c>
      <c r="D6291" s="21"/>
    </row>
    <row r="6292" spans="1:4" ht="12.75" customHeight="1" x14ac:dyDescent="0.2">
      <c r="A6292" s="21"/>
      <c r="B6292" s="3" t="s">
        <v>16</v>
      </c>
      <c r="C6292" s="20"/>
      <c r="D6292" s="21"/>
    </row>
    <row r="6293" spans="1:4" ht="12.75" customHeight="1" x14ac:dyDescent="0.2">
      <c r="A6293" s="21"/>
      <c r="B6293" s="3" t="s">
        <v>17</v>
      </c>
      <c r="C6293" s="20"/>
      <c r="D6293" s="21"/>
    </row>
    <row r="6294" spans="1:4" ht="12.75" customHeight="1" x14ac:dyDescent="0.2">
      <c r="A6294" s="21"/>
      <c r="B6294" s="20" t="s">
        <v>18</v>
      </c>
      <c r="C6294" s="4" t="s">
        <v>44</v>
      </c>
      <c r="D6294" s="6" t="str">
        <f>HYPERLINK("javascript:void(0)","parszi tűzpenge")</f>
        <v>parszi tűzpenge</v>
      </c>
    </row>
    <row r="6295" spans="1:4" ht="12.75" customHeight="1" x14ac:dyDescent="0.2">
      <c r="A6295" s="21"/>
      <c r="B6295" s="21"/>
      <c r="C6295" s="4" t="s">
        <v>44</v>
      </c>
      <c r="D6295" s="6" t="str">
        <f>HYPERLINK("javascript:void(0)","sárkánynyárs")</f>
        <v>sárkánynyárs</v>
      </c>
    </row>
    <row r="6296" spans="1:4" ht="12.75" customHeight="1" x14ac:dyDescent="0.2">
      <c r="A6296" s="21"/>
      <c r="B6296" s="21"/>
      <c r="C6296" s="4" t="s">
        <v>232</v>
      </c>
      <c r="D6296" s="6" t="str">
        <f>HYPERLINK("javascript:void(0)","idegen mütyüge")</f>
        <v>idegen mütyüge</v>
      </c>
    </row>
    <row r="6297" spans="1:4" ht="12.75" customHeight="1" x14ac:dyDescent="0.2">
      <c r="A6297" s="5"/>
      <c r="B6297" s="2"/>
      <c r="C6297" s="2"/>
      <c r="D6297" s="2"/>
    </row>
    <row r="6298" spans="1:4" ht="12.75" customHeight="1" x14ac:dyDescent="0.2">
      <c r="A6298" s="22" t="str">
        <f>HYPERLINK("javascript:void(0)","zsigerelő mágusölő")</f>
        <v>zsigerelő mágusölő</v>
      </c>
      <c r="B6298" s="21"/>
      <c r="C6298" s="21"/>
      <c r="D6298" s="21"/>
    </row>
    <row r="6299" spans="1:4" ht="12.75" customHeight="1" x14ac:dyDescent="0.2">
      <c r="A6299" s="20"/>
      <c r="B6299" s="2"/>
      <c r="C6299" s="2"/>
      <c r="D6299" s="2"/>
    </row>
    <row r="6300" spans="1:4" ht="12.75" customHeight="1" x14ac:dyDescent="0.2">
      <c r="A6300" s="21"/>
      <c r="B6300" s="3" t="s">
        <v>0</v>
      </c>
      <c r="C6300" s="20" t="s">
        <v>1308</v>
      </c>
      <c r="D6300" s="21"/>
    </row>
    <row r="6301" spans="1:4" ht="12.75" customHeight="1" x14ac:dyDescent="0.2">
      <c r="A6301" s="21"/>
      <c r="B6301" s="3" t="s">
        <v>2</v>
      </c>
      <c r="C6301" s="20" t="s">
        <v>1598</v>
      </c>
      <c r="D6301" s="21"/>
    </row>
    <row r="6302" spans="1:4" ht="12.75" customHeight="1" x14ac:dyDescent="0.2">
      <c r="A6302" s="21"/>
      <c r="B6302" s="3" t="s">
        <v>4</v>
      </c>
      <c r="C6302" s="20" t="s">
        <v>1705</v>
      </c>
      <c r="D6302" s="21"/>
    </row>
    <row r="6303" spans="1:4" ht="12.75" customHeight="1" x14ac:dyDescent="0.2">
      <c r="A6303" s="21"/>
      <c r="B6303" s="3" t="s">
        <v>6</v>
      </c>
      <c r="C6303" s="20" t="s">
        <v>153</v>
      </c>
      <c r="D6303" s="21"/>
    </row>
    <row r="6304" spans="1:4" ht="12.75" customHeight="1" x14ac:dyDescent="0.2">
      <c r="A6304" s="21"/>
      <c r="B6304" s="3" t="s">
        <v>8</v>
      </c>
      <c r="C6304" s="20" t="s">
        <v>1705</v>
      </c>
      <c r="D6304" s="21"/>
    </row>
    <row r="6305" spans="1:4" ht="12.75" customHeight="1" x14ac:dyDescent="0.2">
      <c r="A6305" s="21"/>
      <c r="B6305" s="3" t="s">
        <v>9</v>
      </c>
      <c r="C6305" s="20" t="s">
        <v>1860</v>
      </c>
      <c r="D6305" s="21"/>
    </row>
    <row r="6306" spans="1:4" ht="12.75" customHeight="1" x14ac:dyDescent="0.2">
      <c r="A6306" s="21"/>
      <c r="B6306" s="3" t="s">
        <v>11</v>
      </c>
      <c r="C6306" s="20" t="s">
        <v>2387</v>
      </c>
      <c r="D6306" s="21"/>
    </row>
    <row r="6307" spans="1:4" ht="12.75" customHeight="1" x14ac:dyDescent="0.2">
      <c r="A6307" s="21"/>
      <c r="B6307" s="3" t="s">
        <v>13</v>
      </c>
      <c r="C6307" s="20" t="s">
        <v>14</v>
      </c>
      <c r="D6307" s="21"/>
    </row>
    <row r="6308" spans="1:4" ht="12.75" customHeight="1" x14ac:dyDescent="0.2">
      <c r="A6308" s="21"/>
      <c r="B6308" s="3" t="s">
        <v>15</v>
      </c>
      <c r="C6308" s="20" t="s">
        <v>24</v>
      </c>
      <c r="D6308" s="21"/>
    </row>
    <row r="6309" spans="1:4" ht="12.75" customHeight="1" x14ac:dyDescent="0.2">
      <c r="A6309" s="21"/>
      <c r="B6309" s="3" t="s">
        <v>16</v>
      </c>
      <c r="C6309" s="20"/>
      <c r="D6309" s="21"/>
    </row>
    <row r="6310" spans="1:4" ht="12.75" customHeight="1" x14ac:dyDescent="0.2">
      <c r="A6310" s="21"/>
      <c r="B6310" s="3" t="s">
        <v>17</v>
      </c>
      <c r="C6310" s="20"/>
      <c r="D6310" s="21"/>
    </row>
    <row r="6311" spans="1:4" ht="12.75" customHeight="1" x14ac:dyDescent="0.2">
      <c r="A6311" s="21"/>
      <c r="B6311" s="20" t="s">
        <v>18</v>
      </c>
      <c r="C6311" s="4" t="s">
        <v>44</v>
      </c>
      <c r="D6311" s="6" t="str">
        <f>HYPERLINK("javascript:void(0)","zászlós mágusölő")</f>
        <v>zászlós mágusölő</v>
      </c>
    </row>
    <row r="6312" spans="1:4" ht="12.75" customHeight="1" x14ac:dyDescent="0.2">
      <c r="A6312" s="21"/>
      <c r="B6312" s="21"/>
      <c r="C6312" s="4" t="s">
        <v>196</v>
      </c>
      <c r="D6312" s="6" t="str">
        <f>HYPERLINK("javascript:void(0)","pánszarv")</f>
        <v>pánszarv</v>
      </c>
    </row>
    <row r="6313" spans="1:4" ht="12.75" customHeight="1" x14ac:dyDescent="0.2">
      <c r="A6313" s="21"/>
      <c r="B6313" s="21"/>
      <c r="C6313" s="4" t="s">
        <v>77</v>
      </c>
      <c r="D6313" s="6" t="str">
        <f>HYPERLINK("javascript:void(0)","zsiger")</f>
        <v>zsiger</v>
      </c>
    </row>
    <row r="6314" spans="1:4" ht="12.75" customHeight="1" x14ac:dyDescent="0.2">
      <c r="A6314" s="5"/>
      <c r="B6314" s="2"/>
      <c r="C6314" s="2"/>
      <c r="D6314" s="2"/>
    </row>
    <row r="6315" spans="1:4" ht="12.75" customHeight="1" x14ac:dyDescent="0.2">
      <c r="A6315" s="22" t="str">
        <f>HYPERLINK("javascript:void(0)","szent pallos")</f>
        <v>szent pallos</v>
      </c>
      <c r="B6315" s="21"/>
      <c r="C6315" s="21"/>
      <c r="D6315" s="21"/>
    </row>
    <row r="6316" spans="1:4" ht="12.75" customHeight="1" x14ac:dyDescent="0.2">
      <c r="A6316" s="20"/>
      <c r="B6316" s="2"/>
      <c r="C6316" s="2"/>
      <c r="D6316" s="2"/>
    </row>
    <row r="6317" spans="1:4" ht="12.75" customHeight="1" x14ac:dyDescent="0.2">
      <c r="A6317" s="21"/>
      <c r="B6317" s="3" t="s">
        <v>0</v>
      </c>
      <c r="C6317" s="20" t="s">
        <v>361</v>
      </c>
      <c r="D6317" s="21"/>
    </row>
    <row r="6318" spans="1:4" ht="12.75" customHeight="1" x14ac:dyDescent="0.2">
      <c r="A6318" s="21"/>
      <c r="B6318" s="3" t="s">
        <v>2</v>
      </c>
      <c r="C6318" s="20" t="s">
        <v>1598</v>
      </c>
      <c r="D6318" s="21"/>
    </row>
    <row r="6319" spans="1:4" ht="12.75" customHeight="1" x14ac:dyDescent="0.2">
      <c r="A6319" s="21"/>
      <c r="B6319" s="3" t="s">
        <v>4</v>
      </c>
      <c r="C6319" s="20" t="s">
        <v>2388</v>
      </c>
      <c r="D6319" s="21"/>
    </row>
    <row r="6320" spans="1:4" ht="12.75" customHeight="1" x14ac:dyDescent="0.2">
      <c r="A6320" s="21"/>
      <c r="B6320" s="3" t="s">
        <v>6</v>
      </c>
      <c r="C6320" s="20" t="s">
        <v>90</v>
      </c>
      <c r="D6320" s="21"/>
    </row>
    <row r="6321" spans="1:4" ht="12.75" customHeight="1" x14ac:dyDescent="0.2">
      <c r="A6321" s="21"/>
      <c r="B6321" s="3" t="s">
        <v>8</v>
      </c>
      <c r="C6321" s="20" t="s">
        <v>2388</v>
      </c>
      <c r="D6321" s="21"/>
    </row>
    <row r="6322" spans="1:4" ht="12.75" customHeight="1" x14ac:dyDescent="0.2">
      <c r="A6322" s="21"/>
      <c r="B6322" s="3" t="s">
        <v>9</v>
      </c>
      <c r="C6322" s="20" t="s">
        <v>1715</v>
      </c>
      <c r="D6322" s="21"/>
    </row>
    <row r="6323" spans="1:4" ht="12.75" customHeight="1" x14ac:dyDescent="0.2">
      <c r="A6323" s="21"/>
      <c r="B6323" s="3" t="s">
        <v>11</v>
      </c>
      <c r="C6323" s="20" t="s">
        <v>1059</v>
      </c>
      <c r="D6323" s="21"/>
    </row>
    <row r="6324" spans="1:4" ht="12.75" customHeight="1" x14ac:dyDescent="0.2">
      <c r="A6324" s="21"/>
      <c r="B6324" s="3" t="s">
        <v>13</v>
      </c>
      <c r="C6324" s="20" t="s">
        <v>24</v>
      </c>
      <c r="D6324" s="21"/>
    </row>
    <row r="6325" spans="1:4" ht="12.75" customHeight="1" x14ac:dyDescent="0.2">
      <c r="A6325" s="21"/>
      <c r="B6325" s="3" t="s">
        <v>15</v>
      </c>
      <c r="C6325" s="20" t="s">
        <v>24</v>
      </c>
      <c r="D6325" s="21"/>
    </row>
    <row r="6326" spans="1:4" ht="12.75" customHeight="1" x14ac:dyDescent="0.2">
      <c r="A6326" s="21"/>
      <c r="B6326" s="3" t="s">
        <v>16</v>
      </c>
      <c r="C6326" s="20"/>
      <c r="D6326" s="21"/>
    </row>
    <row r="6327" spans="1:4" ht="12.75" customHeight="1" x14ac:dyDescent="0.2">
      <c r="A6327" s="21"/>
      <c r="B6327" s="3" t="s">
        <v>17</v>
      </c>
      <c r="C6327" s="20"/>
      <c r="D6327" s="21"/>
    </row>
    <row r="6328" spans="1:4" ht="12.75" customHeight="1" x14ac:dyDescent="0.2">
      <c r="A6328" s="21"/>
      <c r="B6328" s="20" t="s">
        <v>18</v>
      </c>
      <c r="C6328" s="4" t="s">
        <v>44</v>
      </c>
      <c r="D6328" s="6" t="str">
        <f>HYPERLINK("javascript:void(0)","furcsa tőr")</f>
        <v>furcsa tőr</v>
      </c>
    </row>
    <row r="6329" spans="1:4" ht="12.75" customHeight="1" x14ac:dyDescent="0.2">
      <c r="A6329" s="21"/>
      <c r="B6329" s="21"/>
      <c r="C6329" s="4" t="s">
        <v>196</v>
      </c>
      <c r="D6329" s="6" t="str">
        <f>HYPERLINK("javascript:void(0)","regnum")</f>
        <v>regnum</v>
      </c>
    </row>
    <row r="6330" spans="1:4" ht="12.75" customHeight="1" x14ac:dyDescent="0.2">
      <c r="A6330" s="21"/>
      <c r="B6330" s="21"/>
      <c r="C6330" s="4" t="s">
        <v>142</v>
      </c>
      <c r="D6330" s="6" t="str">
        <f>HYPERLINK("javascript:void(0)","haszontalanság")</f>
        <v>haszontalanság</v>
      </c>
    </row>
    <row r="6331" spans="1:4" ht="12.75" customHeight="1" x14ac:dyDescent="0.2">
      <c r="A6331" s="5"/>
      <c r="B6331" s="2"/>
      <c r="C6331" s="2"/>
      <c r="D6331" s="2"/>
    </row>
    <row r="6332" spans="1:4" ht="12.75" customHeight="1" x14ac:dyDescent="0.2">
      <c r="A6332" s="22" t="str">
        <f>HYPERLINK("javascript:void(0)","gyűrűs lándzsa")</f>
        <v>gyűrűs lándzsa</v>
      </c>
      <c r="B6332" s="21"/>
      <c r="C6332" s="21"/>
      <c r="D6332" s="21"/>
    </row>
    <row r="6333" spans="1:4" ht="12.75" customHeight="1" x14ac:dyDescent="0.2">
      <c r="A6333" s="20"/>
      <c r="B6333" s="2"/>
      <c r="C6333" s="2"/>
      <c r="D6333" s="2"/>
    </row>
    <row r="6334" spans="1:4" ht="12.75" customHeight="1" x14ac:dyDescent="0.2">
      <c r="A6334" s="21"/>
      <c r="B6334" s="3" t="s">
        <v>0</v>
      </c>
      <c r="C6334" s="20" t="s">
        <v>1322</v>
      </c>
      <c r="D6334" s="21"/>
    </row>
    <row r="6335" spans="1:4" ht="12.75" customHeight="1" x14ac:dyDescent="0.2">
      <c r="A6335" s="21"/>
      <c r="B6335" s="3" t="s">
        <v>2</v>
      </c>
      <c r="C6335" s="20" t="s">
        <v>1598</v>
      </c>
      <c r="D6335" s="21"/>
    </row>
    <row r="6336" spans="1:4" ht="12.75" customHeight="1" x14ac:dyDescent="0.2">
      <c r="A6336" s="21"/>
      <c r="B6336" s="3" t="s">
        <v>4</v>
      </c>
      <c r="C6336" s="20" t="s">
        <v>2390</v>
      </c>
      <c r="D6336" s="21"/>
    </row>
    <row r="6337" spans="1:4" ht="12.75" customHeight="1" x14ac:dyDescent="0.2">
      <c r="A6337" s="21"/>
      <c r="B6337" s="3" t="s">
        <v>6</v>
      </c>
      <c r="C6337" s="20" t="s">
        <v>51</v>
      </c>
      <c r="D6337" s="21"/>
    </row>
    <row r="6338" spans="1:4" ht="12.75" customHeight="1" x14ac:dyDescent="0.2">
      <c r="A6338" s="21"/>
      <c r="B6338" s="3" t="s">
        <v>8</v>
      </c>
      <c r="C6338" s="20" t="s">
        <v>2390</v>
      </c>
      <c r="D6338" s="21"/>
    </row>
    <row r="6339" spans="1:4" ht="12.75" customHeight="1" x14ac:dyDescent="0.2">
      <c r="A6339" s="21"/>
      <c r="B6339" s="3" t="s">
        <v>9</v>
      </c>
      <c r="C6339" s="20" t="s">
        <v>1255</v>
      </c>
      <c r="D6339" s="21"/>
    </row>
    <row r="6340" spans="1:4" ht="12.75" customHeight="1" x14ac:dyDescent="0.2">
      <c r="A6340" s="21"/>
      <c r="B6340" s="3" t="s">
        <v>11</v>
      </c>
      <c r="C6340" s="20" t="s">
        <v>1315</v>
      </c>
      <c r="D6340" s="21"/>
    </row>
    <row r="6341" spans="1:4" ht="12.75" customHeight="1" x14ac:dyDescent="0.2">
      <c r="A6341" s="21"/>
      <c r="B6341" s="3" t="s">
        <v>13</v>
      </c>
      <c r="C6341" s="20" t="s">
        <v>24</v>
      </c>
      <c r="D6341" s="21"/>
    </row>
    <row r="6342" spans="1:4" ht="12.75" customHeight="1" x14ac:dyDescent="0.2">
      <c r="A6342" s="21"/>
      <c r="B6342" s="3" t="s">
        <v>15</v>
      </c>
      <c r="C6342" s="20" t="s">
        <v>24</v>
      </c>
      <c r="D6342" s="21"/>
    </row>
    <row r="6343" spans="1:4" ht="12.75" customHeight="1" x14ac:dyDescent="0.2">
      <c r="A6343" s="21"/>
      <c r="B6343" s="3" t="s">
        <v>16</v>
      </c>
      <c r="C6343" s="20"/>
      <c r="D6343" s="21"/>
    </row>
    <row r="6344" spans="1:4" ht="12.75" customHeight="1" x14ac:dyDescent="0.2">
      <c r="A6344" s="21"/>
      <c r="B6344" s="3" t="s">
        <v>17</v>
      </c>
      <c r="C6344" s="20"/>
      <c r="D6344" s="21"/>
    </row>
    <row r="6345" spans="1:4" ht="12.75" customHeight="1" x14ac:dyDescent="0.2">
      <c r="A6345" s="21"/>
      <c r="B6345" s="20" t="s">
        <v>18</v>
      </c>
      <c r="C6345" s="4" t="s">
        <v>44</v>
      </c>
      <c r="D6345" s="6" t="str">
        <f>HYPERLINK("javascript:void(0)","féreggyűrű")</f>
        <v>féreggyűrű</v>
      </c>
    </row>
    <row r="6346" spans="1:4" ht="12.75" customHeight="1" x14ac:dyDescent="0.2">
      <c r="A6346" s="21"/>
      <c r="B6346" s="21"/>
      <c r="C6346" s="4" t="s">
        <v>77</v>
      </c>
      <c r="D6346" s="6" t="str">
        <f>HYPERLINK("javascript:void(0)","bélás")</f>
        <v>bélás</v>
      </c>
    </row>
    <row r="6347" spans="1:4" ht="12.75" customHeight="1" x14ac:dyDescent="0.2">
      <c r="A6347" s="21"/>
      <c r="B6347" s="21"/>
      <c r="C6347" s="4" t="s">
        <v>68</v>
      </c>
      <c r="D6347" s="6" t="str">
        <f>HYPERLINK("javascript:void(0)","skalp")</f>
        <v>skalp</v>
      </c>
    </row>
    <row r="6348" spans="1:4" ht="12.75" customHeight="1" x14ac:dyDescent="0.2">
      <c r="A6348" s="5"/>
      <c r="B6348" s="2"/>
      <c r="C6348" s="2"/>
      <c r="D6348" s="2"/>
    </row>
    <row r="6349" spans="1:4" ht="12.75" customHeight="1" x14ac:dyDescent="0.2">
      <c r="A6349" s="22" t="str">
        <f>HYPERLINK("javascript:void(0)","férges mágusölő")</f>
        <v>férges mágusölő</v>
      </c>
      <c r="B6349" s="21"/>
      <c r="C6349" s="21"/>
      <c r="D6349" s="21"/>
    </row>
    <row r="6350" spans="1:4" ht="12.75" customHeight="1" x14ac:dyDescent="0.2">
      <c r="A6350" s="20"/>
      <c r="B6350" s="2"/>
      <c r="C6350" s="2"/>
      <c r="D6350" s="2"/>
    </row>
    <row r="6351" spans="1:4" ht="12.75" customHeight="1" x14ac:dyDescent="0.2">
      <c r="A6351" s="21"/>
      <c r="B6351" s="3" t="s">
        <v>0</v>
      </c>
      <c r="C6351" s="20" t="s">
        <v>1322</v>
      </c>
      <c r="D6351" s="21"/>
    </row>
    <row r="6352" spans="1:4" ht="12.75" customHeight="1" x14ac:dyDescent="0.2">
      <c r="A6352" s="21"/>
      <c r="B6352" s="3" t="s">
        <v>2</v>
      </c>
      <c r="C6352" s="20" t="s">
        <v>1598</v>
      </c>
      <c r="D6352" s="21"/>
    </row>
    <row r="6353" spans="1:4" ht="12.75" customHeight="1" x14ac:dyDescent="0.2">
      <c r="A6353" s="21"/>
      <c r="B6353" s="3" t="s">
        <v>4</v>
      </c>
      <c r="C6353" s="20" t="s">
        <v>2391</v>
      </c>
      <c r="D6353" s="21"/>
    </row>
    <row r="6354" spans="1:4" ht="12.75" customHeight="1" x14ac:dyDescent="0.2">
      <c r="A6354" s="21"/>
      <c r="B6354" s="3" t="s">
        <v>6</v>
      </c>
      <c r="C6354" s="20" t="s">
        <v>159</v>
      </c>
      <c r="D6354" s="21"/>
    </row>
    <row r="6355" spans="1:4" ht="12.75" customHeight="1" x14ac:dyDescent="0.2">
      <c r="A6355" s="21"/>
      <c r="B6355" s="3" t="s">
        <v>8</v>
      </c>
      <c r="C6355" s="20" t="s">
        <v>2391</v>
      </c>
      <c r="D6355" s="21"/>
    </row>
    <row r="6356" spans="1:4" ht="12.75" customHeight="1" x14ac:dyDescent="0.2">
      <c r="A6356" s="21"/>
      <c r="B6356" s="3" t="s">
        <v>9</v>
      </c>
      <c r="C6356" s="20" t="s">
        <v>1508</v>
      </c>
      <c r="D6356" s="21"/>
    </row>
    <row r="6357" spans="1:4" ht="12.75" customHeight="1" x14ac:dyDescent="0.2">
      <c r="A6357" s="21"/>
      <c r="B6357" s="3" t="s">
        <v>11</v>
      </c>
      <c r="C6357" s="20" t="s">
        <v>2392</v>
      </c>
      <c r="D6357" s="21"/>
    </row>
    <row r="6358" spans="1:4" ht="12.75" customHeight="1" x14ac:dyDescent="0.2">
      <c r="A6358" s="21"/>
      <c r="B6358" s="3" t="s">
        <v>13</v>
      </c>
      <c r="C6358" s="20" t="s">
        <v>14</v>
      </c>
      <c r="D6358" s="21"/>
    </row>
    <row r="6359" spans="1:4" ht="12.75" customHeight="1" x14ac:dyDescent="0.2">
      <c r="A6359" s="21"/>
      <c r="B6359" s="3" t="s">
        <v>15</v>
      </c>
      <c r="C6359" s="20" t="s">
        <v>24</v>
      </c>
      <c r="D6359" s="21"/>
    </row>
    <row r="6360" spans="1:4" ht="12.75" customHeight="1" x14ac:dyDescent="0.2">
      <c r="A6360" s="21"/>
      <c r="B6360" s="3" t="s">
        <v>16</v>
      </c>
      <c r="C6360" s="20"/>
      <c r="D6360" s="21"/>
    </row>
    <row r="6361" spans="1:4" ht="12.75" customHeight="1" x14ac:dyDescent="0.2">
      <c r="A6361" s="21"/>
      <c r="B6361" s="3" t="s">
        <v>17</v>
      </c>
      <c r="C6361" s="20"/>
      <c r="D6361" s="21"/>
    </row>
    <row r="6362" spans="1:4" ht="12.75" customHeight="1" x14ac:dyDescent="0.2">
      <c r="A6362" s="21"/>
      <c r="B6362" s="20" t="s">
        <v>18</v>
      </c>
      <c r="C6362" s="4" t="s">
        <v>44</v>
      </c>
      <c r="D6362" s="6" t="str">
        <f>HYPERLINK("javascript:void(0)","bolondos mágusölő")</f>
        <v>bolondos mágusölő</v>
      </c>
    </row>
    <row r="6363" spans="1:4" ht="12.75" customHeight="1" x14ac:dyDescent="0.2">
      <c r="A6363" s="21"/>
      <c r="B6363" s="21"/>
      <c r="C6363" s="4" t="s">
        <v>331</v>
      </c>
      <c r="D6363" s="6" t="str">
        <f>HYPERLINK("javascript:void(0)","féreggyűrű")</f>
        <v>féreggyűrű</v>
      </c>
    </row>
    <row r="6364" spans="1:4" ht="12.75" customHeight="1" x14ac:dyDescent="0.2">
      <c r="A6364" s="21"/>
      <c r="B6364" s="21"/>
      <c r="C6364" s="4" t="s">
        <v>55</v>
      </c>
      <c r="D6364" s="6" t="str">
        <f>HYPERLINK("javascript:void(0)","skalp")</f>
        <v>skalp</v>
      </c>
    </row>
    <row r="6365" spans="1:4" ht="12.75" customHeight="1" x14ac:dyDescent="0.2">
      <c r="A6365" s="5"/>
      <c r="B6365" s="2"/>
      <c r="C6365" s="2"/>
      <c r="D6365" s="2"/>
    </row>
    <row r="6366" spans="1:4" ht="12.75" customHeight="1" x14ac:dyDescent="0.2">
      <c r="A6366" s="22" t="str">
        <f>HYPERLINK("javascript:void(0)","sárkányölő kardja")</f>
        <v>sárkányölő kardja</v>
      </c>
      <c r="B6366" s="21"/>
      <c r="C6366" s="21"/>
      <c r="D6366" s="21"/>
    </row>
    <row r="6367" spans="1:4" ht="12.75" customHeight="1" x14ac:dyDescent="0.2">
      <c r="A6367" s="20"/>
      <c r="B6367" s="2"/>
      <c r="C6367" s="2"/>
      <c r="D6367" s="2"/>
    </row>
    <row r="6368" spans="1:4" ht="12.75" customHeight="1" x14ac:dyDescent="0.2">
      <c r="A6368" s="21"/>
      <c r="B6368" s="3" t="s">
        <v>0</v>
      </c>
      <c r="C6368" s="20" t="s">
        <v>371</v>
      </c>
      <c r="D6368" s="21"/>
    </row>
    <row r="6369" spans="1:4" ht="12.75" customHeight="1" x14ac:dyDescent="0.2">
      <c r="A6369" s="21"/>
      <c r="B6369" s="3" t="s">
        <v>2</v>
      </c>
      <c r="C6369" s="20" t="s">
        <v>1598</v>
      </c>
      <c r="D6369" s="21"/>
    </row>
    <row r="6370" spans="1:4" ht="12.75" customHeight="1" x14ac:dyDescent="0.2">
      <c r="A6370" s="21"/>
      <c r="B6370" s="3" t="s">
        <v>4</v>
      </c>
      <c r="C6370" s="20" t="s">
        <v>2393</v>
      </c>
      <c r="D6370" s="21"/>
    </row>
    <row r="6371" spans="1:4" ht="12.75" customHeight="1" x14ac:dyDescent="0.2">
      <c r="A6371" s="21"/>
      <c r="B6371" s="3" t="s">
        <v>6</v>
      </c>
      <c r="C6371" s="20" t="s">
        <v>64</v>
      </c>
      <c r="D6371" s="21"/>
    </row>
    <row r="6372" spans="1:4" ht="12.75" customHeight="1" x14ac:dyDescent="0.2">
      <c r="A6372" s="21"/>
      <c r="B6372" s="3" t="s">
        <v>8</v>
      </c>
      <c r="C6372" s="20" t="s">
        <v>2393</v>
      </c>
      <c r="D6372" s="21"/>
    </row>
    <row r="6373" spans="1:4" ht="12.75" customHeight="1" x14ac:dyDescent="0.2">
      <c r="A6373" s="21"/>
      <c r="B6373" s="3" t="s">
        <v>9</v>
      </c>
      <c r="C6373" s="20" t="s">
        <v>2394</v>
      </c>
      <c r="D6373" s="21"/>
    </row>
    <row r="6374" spans="1:4" ht="12.75" customHeight="1" x14ac:dyDescent="0.2">
      <c r="A6374" s="21"/>
      <c r="B6374" s="3" t="s">
        <v>11</v>
      </c>
      <c r="C6374" s="20" t="s">
        <v>1066</v>
      </c>
      <c r="D6374" s="21"/>
    </row>
    <row r="6375" spans="1:4" ht="12.75" customHeight="1" x14ac:dyDescent="0.2">
      <c r="A6375" s="21"/>
      <c r="B6375" s="3" t="s">
        <v>13</v>
      </c>
      <c r="C6375" s="20" t="s">
        <v>24</v>
      </c>
      <c r="D6375" s="21"/>
    </row>
    <row r="6376" spans="1:4" ht="12.75" customHeight="1" x14ac:dyDescent="0.2">
      <c r="A6376" s="21"/>
      <c r="B6376" s="3" t="s">
        <v>15</v>
      </c>
      <c r="C6376" s="20" t="s">
        <v>24</v>
      </c>
      <c r="D6376" s="21"/>
    </row>
    <row r="6377" spans="1:4" ht="12.75" customHeight="1" x14ac:dyDescent="0.2">
      <c r="A6377" s="21"/>
      <c r="B6377" s="3" t="s">
        <v>16</v>
      </c>
      <c r="C6377" s="20"/>
      <c r="D6377" s="21"/>
    </row>
    <row r="6378" spans="1:4" ht="12.75" customHeight="1" x14ac:dyDescent="0.2">
      <c r="A6378" s="21"/>
      <c r="B6378" s="3" t="s">
        <v>17</v>
      </c>
      <c r="C6378" s="20"/>
      <c r="D6378" s="21"/>
    </row>
    <row r="6379" spans="1:4" ht="12.75" customHeight="1" x14ac:dyDescent="0.2">
      <c r="A6379" s="21"/>
      <c r="B6379" s="20" t="s">
        <v>18</v>
      </c>
      <c r="C6379" s="4" t="s">
        <v>44</v>
      </c>
      <c r="D6379" s="6" t="str">
        <f>HYPERLINK("javascript:void(0)","gyűrűs lándzsa")</f>
        <v>gyűrűs lándzsa</v>
      </c>
    </row>
    <row r="6380" spans="1:4" ht="12.75" customHeight="1" x14ac:dyDescent="0.2">
      <c r="A6380" s="21"/>
      <c r="B6380" s="21"/>
      <c r="C6380" s="4" t="s">
        <v>232</v>
      </c>
      <c r="D6380" s="6" t="str">
        <f>HYPERLINK("javascript:void(0)","hamvadt tetem")</f>
        <v>hamvadt tetem</v>
      </c>
    </row>
    <row r="6381" spans="1:4" ht="12.75" customHeight="1" x14ac:dyDescent="0.2">
      <c r="A6381" s="21"/>
      <c r="B6381" s="21"/>
      <c r="C6381" s="4" t="s">
        <v>196</v>
      </c>
      <c r="D6381" s="6" t="str">
        <f>HYPERLINK("javascript:void(0)","vérüreg")</f>
        <v>vérüreg</v>
      </c>
    </row>
    <row r="6382" spans="1:4" ht="12.75" customHeight="1" x14ac:dyDescent="0.2">
      <c r="A6382" s="5"/>
      <c r="B6382" s="2"/>
      <c r="C6382" s="2"/>
      <c r="D6382" s="2"/>
    </row>
    <row r="6383" spans="1:4" ht="12.75" customHeight="1" x14ac:dyDescent="0.2">
      <c r="A6383" s="22" t="str">
        <f>HYPERLINK("javascript:void(0)","gyöngyházfényszablya")</f>
        <v>gyöngyházfényszablya</v>
      </c>
      <c r="B6383" s="21"/>
      <c r="C6383" s="21"/>
      <c r="D6383" s="21"/>
    </row>
    <row r="6384" spans="1:4" ht="12.75" customHeight="1" x14ac:dyDescent="0.2">
      <c r="A6384" s="20"/>
      <c r="B6384" s="2"/>
      <c r="C6384" s="2"/>
      <c r="D6384" s="2"/>
    </row>
    <row r="6385" spans="1:4" ht="12.75" customHeight="1" x14ac:dyDescent="0.2">
      <c r="A6385" s="21"/>
      <c r="B6385" s="3" t="s">
        <v>0</v>
      </c>
      <c r="C6385" s="20" t="s">
        <v>1342</v>
      </c>
      <c r="D6385" s="21"/>
    </row>
    <row r="6386" spans="1:4" ht="12.75" customHeight="1" x14ac:dyDescent="0.2">
      <c r="A6386" s="21"/>
      <c r="B6386" s="3" t="s">
        <v>2</v>
      </c>
      <c r="C6386" s="20" t="s">
        <v>1598</v>
      </c>
      <c r="D6386" s="21"/>
    </row>
    <row r="6387" spans="1:4" ht="12.75" customHeight="1" x14ac:dyDescent="0.2">
      <c r="A6387" s="21"/>
      <c r="B6387" s="3" t="s">
        <v>4</v>
      </c>
      <c r="C6387" s="20" t="s">
        <v>1343</v>
      </c>
      <c r="D6387" s="21"/>
    </row>
    <row r="6388" spans="1:4" ht="12.75" customHeight="1" x14ac:dyDescent="0.2">
      <c r="A6388" s="21"/>
      <c r="B6388" s="3" t="s">
        <v>6</v>
      </c>
      <c r="C6388" s="20" t="s">
        <v>221</v>
      </c>
      <c r="D6388" s="21"/>
    </row>
    <row r="6389" spans="1:4" ht="12.75" customHeight="1" x14ac:dyDescent="0.2">
      <c r="A6389" s="21"/>
      <c r="B6389" s="3" t="s">
        <v>8</v>
      </c>
      <c r="C6389" s="20" t="s">
        <v>1343</v>
      </c>
      <c r="D6389" s="21"/>
    </row>
    <row r="6390" spans="1:4" ht="12.75" customHeight="1" x14ac:dyDescent="0.2">
      <c r="A6390" s="21"/>
      <c r="B6390" s="3" t="s">
        <v>9</v>
      </c>
      <c r="C6390" s="20" t="s">
        <v>126</v>
      </c>
      <c r="D6390" s="21"/>
    </row>
    <row r="6391" spans="1:4" ht="12.75" customHeight="1" x14ac:dyDescent="0.2">
      <c r="A6391" s="21"/>
      <c r="B6391" s="3" t="s">
        <v>11</v>
      </c>
      <c r="C6391" s="20" t="s">
        <v>1101</v>
      </c>
      <c r="D6391" s="21"/>
    </row>
    <row r="6392" spans="1:4" ht="12.75" customHeight="1" x14ac:dyDescent="0.2">
      <c r="A6392" s="21"/>
      <c r="B6392" s="3" t="s">
        <v>13</v>
      </c>
      <c r="C6392" s="20" t="s">
        <v>24</v>
      </c>
      <c r="D6392" s="21"/>
    </row>
    <row r="6393" spans="1:4" ht="12.75" customHeight="1" x14ac:dyDescent="0.2">
      <c r="A6393" s="21"/>
      <c r="B6393" s="3" t="s">
        <v>15</v>
      </c>
      <c r="C6393" s="20" t="s">
        <v>24</v>
      </c>
      <c r="D6393" s="21"/>
    </row>
    <row r="6394" spans="1:4" ht="12.75" customHeight="1" x14ac:dyDescent="0.2">
      <c r="A6394" s="21"/>
      <c r="B6394" s="3" t="s">
        <v>16</v>
      </c>
      <c r="C6394" s="20"/>
      <c r="D6394" s="21"/>
    </row>
    <row r="6395" spans="1:4" ht="12.75" customHeight="1" x14ac:dyDescent="0.2">
      <c r="A6395" s="21"/>
      <c r="B6395" s="3" t="s">
        <v>17</v>
      </c>
      <c r="C6395" s="20"/>
      <c r="D6395" s="21"/>
    </row>
    <row r="6396" spans="1:4" ht="12.75" customHeight="1" x14ac:dyDescent="0.2">
      <c r="A6396" s="21"/>
      <c r="B6396" s="20" t="s">
        <v>18</v>
      </c>
      <c r="C6396" s="4" t="s">
        <v>132</v>
      </c>
      <c r="D6396" s="6" t="str">
        <f>HYPERLINK("javascript:void(0)","szemgyöngy")</f>
        <v>szemgyöngy</v>
      </c>
    </row>
    <row r="6397" spans="1:4" ht="12.75" customHeight="1" x14ac:dyDescent="0.2">
      <c r="A6397" s="21"/>
      <c r="B6397" s="21"/>
      <c r="C6397" s="4" t="s">
        <v>55</v>
      </c>
      <c r="D6397" s="6" t="str">
        <f>HYPERLINK("javascript:void(0)","kifordultság")</f>
        <v>kifordultság</v>
      </c>
    </row>
    <row r="6398" spans="1:4" ht="12.75" customHeight="1" x14ac:dyDescent="0.2">
      <c r="A6398" s="21"/>
      <c r="B6398" s="21"/>
      <c r="C6398" s="4" t="s">
        <v>67</v>
      </c>
      <c r="D6398" s="6" t="str">
        <f>HYPERLINK("javascript:void(0)","molekula")</f>
        <v>molekula</v>
      </c>
    </row>
    <row r="6399" spans="1:4" ht="12.75" customHeight="1" x14ac:dyDescent="0.2">
      <c r="A6399" s="5"/>
      <c r="B6399" s="2"/>
      <c r="C6399" s="2"/>
      <c r="D6399" s="2"/>
    </row>
    <row r="6400" spans="1:4" ht="12.75" customHeight="1" x14ac:dyDescent="0.2">
      <c r="A6400" s="22" t="str">
        <f>HYPERLINK("javascript:void(0)","kötött mágusölő")</f>
        <v>kötött mágusölő</v>
      </c>
      <c r="B6400" s="21"/>
      <c r="C6400" s="21"/>
      <c r="D6400" s="21"/>
    </row>
    <row r="6401" spans="1:4" ht="12.75" customHeight="1" x14ac:dyDescent="0.2">
      <c r="A6401" s="20"/>
      <c r="B6401" s="2"/>
      <c r="C6401" s="2"/>
      <c r="D6401" s="2"/>
    </row>
    <row r="6402" spans="1:4" ht="12.75" customHeight="1" x14ac:dyDescent="0.2">
      <c r="A6402" s="21"/>
      <c r="B6402" s="3" t="s">
        <v>0</v>
      </c>
      <c r="C6402" s="20" t="s">
        <v>1342</v>
      </c>
      <c r="D6402" s="21"/>
    </row>
    <row r="6403" spans="1:4" ht="12.75" customHeight="1" x14ac:dyDescent="0.2">
      <c r="A6403" s="21"/>
      <c r="B6403" s="3" t="s">
        <v>2</v>
      </c>
      <c r="C6403" s="20" t="s">
        <v>1598</v>
      </c>
      <c r="D6403" s="21"/>
    </row>
    <row r="6404" spans="1:4" ht="12.75" customHeight="1" x14ac:dyDescent="0.2">
      <c r="A6404" s="21"/>
      <c r="B6404" s="3" t="s">
        <v>4</v>
      </c>
      <c r="C6404" s="20" t="s">
        <v>2396</v>
      </c>
      <c r="D6404" s="21"/>
    </row>
    <row r="6405" spans="1:4" ht="12.75" customHeight="1" x14ac:dyDescent="0.2">
      <c r="A6405" s="21"/>
      <c r="B6405" s="3" t="s">
        <v>6</v>
      </c>
      <c r="C6405" s="20" t="s">
        <v>48</v>
      </c>
      <c r="D6405" s="21"/>
    </row>
    <row r="6406" spans="1:4" ht="12.75" customHeight="1" x14ac:dyDescent="0.2">
      <c r="A6406" s="21"/>
      <c r="B6406" s="3" t="s">
        <v>8</v>
      </c>
      <c r="C6406" s="20" t="s">
        <v>2396</v>
      </c>
      <c r="D6406" s="21"/>
    </row>
    <row r="6407" spans="1:4" ht="12.75" customHeight="1" x14ac:dyDescent="0.2">
      <c r="A6407" s="21"/>
      <c r="B6407" s="3" t="s">
        <v>9</v>
      </c>
      <c r="C6407" s="20" t="s">
        <v>2134</v>
      </c>
      <c r="D6407" s="21"/>
    </row>
    <row r="6408" spans="1:4" ht="12.75" customHeight="1" x14ac:dyDescent="0.2">
      <c r="A6408" s="21"/>
      <c r="B6408" s="3" t="s">
        <v>11</v>
      </c>
      <c r="C6408" s="20" t="s">
        <v>1141</v>
      </c>
      <c r="D6408" s="21"/>
    </row>
    <row r="6409" spans="1:4" ht="12.75" customHeight="1" x14ac:dyDescent="0.2">
      <c r="A6409" s="21"/>
      <c r="B6409" s="3" t="s">
        <v>13</v>
      </c>
      <c r="C6409" s="20" t="s">
        <v>14</v>
      </c>
      <c r="D6409" s="21"/>
    </row>
    <row r="6410" spans="1:4" ht="12.75" customHeight="1" x14ac:dyDescent="0.2">
      <c r="A6410" s="21"/>
      <c r="B6410" s="3" t="s">
        <v>15</v>
      </c>
      <c r="C6410" s="20" t="s">
        <v>24</v>
      </c>
      <c r="D6410" s="21"/>
    </row>
    <row r="6411" spans="1:4" ht="12.75" customHeight="1" x14ac:dyDescent="0.2">
      <c r="A6411" s="21"/>
      <c r="B6411" s="3" t="s">
        <v>16</v>
      </c>
      <c r="C6411" s="20"/>
      <c r="D6411" s="21"/>
    </row>
    <row r="6412" spans="1:4" ht="12.75" customHeight="1" x14ac:dyDescent="0.2">
      <c r="A6412" s="21"/>
      <c r="B6412" s="3" t="s">
        <v>17</v>
      </c>
      <c r="C6412" s="20"/>
      <c r="D6412" s="21"/>
    </row>
    <row r="6413" spans="1:4" ht="12.75" customHeight="1" x14ac:dyDescent="0.2">
      <c r="A6413" s="21"/>
      <c r="B6413" s="20" t="s">
        <v>18</v>
      </c>
      <c r="C6413" s="4" t="s">
        <v>44</v>
      </c>
      <c r="D6413" s="6" t="str">
        <f>HYPERLINK("javascript:void(0)","gyíkacél tanto")</f>
        <v>gyíkacél tanto</v>
      </c>
    </row>
    <row r="6414" spans="1:4" ht="12.75" customHeight="1" x14ac:dyDescent="0.2">
      <c r="A6414" s="21"/>
      <c r="B6414" s="21"/>
      <c r="C6414" s="4" t="s">
        <v>244</v>
      </c>
      <c r="D6414" s="6" t="str">
        <f>HYPERLINK("javascript:void(0)","árnyékláb")</f>
        <v>árnyékláb</v>
      </c>
    </row>
    <row r="6415" spans="1:4" ht="12.75" customHeight="1" x14ac:dyDescent="0.2">
      <c r="A6415" s="21"/>
      <c r="B6415" s="21"/>
      <c r="C6415" s="4" t="s">
        <v>67</v>
      </c>
      <c r="D6415" s="6" t="str">
        <f>HYPERLINK("javascript:void(0)","bajuszkötő")</f>
        <v>bajuszkötő</v>
      </c>
    </row>
    <row r="6416" spans="1:4" ht="12.75" customHeight="1" x14ac:dyDescent="0.2">
      <c r="A6416" s="5"/>
      <c r="B6416" s="2"/>
      <c r="C6416" s="2"/>
      <c r="D6416" s="2"/>
    </row>
    <row r="6417" spans="1:4" ht="12.75" customHeight="1" x14ac:dyDescent="0.2">
      <c r="A6417" s="22" t="str">
        <f>HYPERLINK("javascript:void(0)","savfelhőszeletelő")</f>
        <v>savfelhőszeletelő</v>
      </c>
      <c r="B6417" s="21"/>
      <c r="C6417" s="21"/>
      <c r="D6417" s="21"/>
    </row>
    <row r="6418" spans="1:4" ht="12.75" customHeight="1" x14ac:dyDescent="0.2">
      <c r="A6418" s="20"/>
      <c r="B6418" s="2"/>
      <c r="C6418" s="2"/>
      <c r="D6418" s="2"/>
    </row>
    <row r="6419" spans="1:4" ht="12.75" customHeight="1" x14ac:dyDescent="0.2">
      <c r="A6419" s="21"/>
      <c r="B6419" s="3" t="s">
        <v>0</v>
      </c>
      <c r="C6419" s="20" t="s">
        <v>351</v>
      </c>
      <c r="D6419" s="21"/>
    </row>
    <row r="6420" spans="1:4" ht="12.75" customHeight="1" x14ac:dyDescent="0.2">
      <c r="A6420" s="21"/>
      <c r="B6420" s="3" t="s">
        <v>2</v>
      </c>
      <c r="C6420" s="20" t="s">
        <v>1598</v>
      </c>
      <c r="D6420" s="21"/>
    </row>
    <row r="6421" spans="1:4" ht="12.75" customHeight="1" x14ac:dyDescent="0.2">
      <c r="A6421" s="21"/>
      <c r="B6421" s="3" t="s">
        <v>4</v>
      </c>
      <c r="C6421" s="20" t="s">
        <v>2398</v>
      </c>
      <c r="D6421" s="21"/>
    </row>
    <row r="6422" spans="1:4" ht="12.75" customHeight="1" x14ac:dyDescent="0.2">
      <c r="A6422" s="21"/>
      <c r="B6422" s="3" t="s">
        <v>6</v>
      </c>
      <c r="C6422" s="20" t="s">
        <v>291</v>
      </c>
      <c r="D6422" s="21"/>
    </row>
    <row r="6423" spans="1:4" ht="12.75" customHeight="1" x14ac:dyDescent="0.2">
      <c r="A6423" s="21"/>
      <c r="B6423" s="3" t="s">
        <v>8</v>
      </c>
      <c r="C6423" s="20" t="s">
        <v>2398</v>
      </c>
      <c r="D6423" s="21"/>
    </row>
    <row r="6424" spans="1:4" ht="12.75" customHeight="1" x14ac:dyDescent="0.2">
      <c r="A6424" s="21"/>
      <c r="B6424" s="3" t="s">
        <v>9</v>
      </c>
      <c r="C6424" s="20" t="s">
        <v>147</v>
      </c>
      <c r="D6424" s="21"/>
    </row>
    <row r="6425" spans="1:4" ht="12.75" customHeight="1" x14ac:dyDescent="0.2">
      <c r="A6425" s="21"/>
      <c r="B6425" s="3" t="s">
        <v>11</v>
      </c>
      <c r="C6425" s="20" t="s">
        <v>1121</v>
      </c>
      <c r="D6425" s="21"/>
    </row>
    <row r="6426" spans="1:4" ht="12.75" customHeight="1" x14ac:dyDescent="0.2">
      <c r="A6426" s="21"/>
      <c r="B6426" s="3" t="s">
        <v>13</v>
      </c>
      <c r="C6426" s="20" t="s">
        <v>24</v>
      </c>
      <c r="D6426" s="21"/>
    </row>
    <row r="6427" spans="1:4" ht="12.75" customHeight="1" x14ac:dyDescent="0.2">
      <c r="A6427" s="21"/>
      <c r="B6427" s="3" t="s">
        <v>15</v>
      </c>
      <c r="C6427" s="20" t="s">
        <v>24</v>
      </c>
      <c r="D6427" s="21"/>
    </row>
    <row r="6428" spans="1:4" ht="12.75" customHeight="1" x14ac:dyDescent="0.2">
      <c r="A6428" s="21"/>
      <c r="B6428" s="3" t="s">
        <v>16</v>
      </c>
      <c r="C6428" s="20"/>
      <c r="D6428" s="21"/>
    </row>
    <row r="6429" spans="1:4" ht="12.75" customHeight="1" x14ac:dyDescent="0.2">
      <c r="A6429" s="21"/>
      <c r="B6429" s="3" t="s">
        <v>17</v>
      </c>
      <c r="C6429" s="20"/>
      <c r="D6429" s="21"/>
    </row>
    <row r="6430" spans="1:4" ht="12.75" customHeight="1" x14ac:dyDescent="0.2">
      <c r="A6430" s="21"/>
      <c r="B6430" s="20" t="s">
        <v>18</v>
      </c>
      <c r="C6430" s="4" t="s">
        <v>44</v>
      </c>
      <c r="D6430" s="6" t="str">
        <f>HYPERLINK("javascript:void(0)","szent pallos")</f>
        <v>szent pallos</v>
      </c>
    </row>
    <row r="6431" spans="1:4" ht="12.75" customHeight="1" x14ac:dyDescent="0.2">
      <c r="A6431" s="21"/>
      <c r="B6431" s="21"/>
      <c r="C6431" s="4" t="s">
        <v>44</v>
      </c>
      <c r="D6431" s="6" t="str">
        <f>HYPERLINK("javascript:void(0)","sárkányölő kardja")</f>
        <v>sárkányölő kardja</v>
      </c>
    </row>
    <row r="6432" spans="1:4" ht="25.5" customHeight="1" x14ac:dyDescent="0.2">
      <c r="A6432" s="21"/>
      <c r="B6432" s="21"/>
      <c r="C6432" s="4" t="s">
        <v>44</v>
      </c>
      <c r="D6432" s="6" t="str">
        <f>HYPERLINK("javascript:void(0)","gyöngyházfényszablya")</f>
        <v>gyöngyházfényszablya</v>
      </c>
    </row>
    <row r="6433" spans="1:4" ht="12.75" customHeight="1" x14ac:dyDescent="0.2">
      <c r="A6433" s="5"/>
      <c r="B6433" s="2"/>
      <c r="C6433" s="2"/>
      <c r="D6433" s="2"/>
    </row>
    <row r="6434" spans="1:4" ht="12.75" customHeight="1" x14ac:dyDescent="0.2">
      <c r="A6434" s="22" t="str">
        <f>HYPERLINK("javascript:void(0)","zombinyeső")</f>
        <v>zombinyeső</v>
      </c>
      <c r="B6434" s="21"/>
      <c r="C6434" s="21"/>
      <c r="D6434" s="21"/>
    </row>
    <row r="6435" spans="1:4" ht="12.75" customHeight="1" x14ac:dyDescent="0.2">
      <c r="A6435" s="20"/>
      <c r="B6435" s="2"/>
      <c r="C6435" s="2"/>
      <c r="D6435" s="2"/>
    </row>
    <row r="6436" spans="1:4" ht="12.75" customHeight="1" x14ac:dyDescent="0.2">
      <c r="A6436" s="21"/>
      <c r="B6436" s="3" t="s">
        <v>0</v>
      </c>
      <c r="C6436" s="20" t="s">
        <v>1355</v>
      </c>
      <c r="D6436" s="21"/>
    </row>
    <row r="6437" spans="1:4" ht="12.75" customHeight="1" x14ac:dyDescent="0.2">
      <c r="A6437" s="21"/>
      <c r="B6437" s="3" t="s">
        <v>2</v>
      </c>
      <c r="C6437" s="20" t="s">
        <v>1598</v>
      </c>
      <c r="D6437" s="21"/>
    </row>
    <row r="6438" spans="1:4" ht="12.75" customHeight="1" x14ac:dyDescent="0.2">
      <c r="A6438" s="21"/>
      <c r="B6438" s="3" t="s">
        <v>4</v>
      </c>
      <c r="C6438" s="20" t="s">
        <v>2399</v>
      </c>
      <c r="D6438" s="21"/>
    </row>
    <row r="6439" spans="1:4" ht="12.75" customHeight="1" x14ac:dyDescent="0.2">
      <c r="A6439" s="21"/>
      <c r="B6439" s="3" t="s">
        <v>6</v>
      </c>
      <c r="C6439" s="20" t="s">
        <v>272</v>
      </c>
      <c r="D6439" s="21"/>
    </row>
    <row r="6440" spans="1:4" ht="12.75" customHeight="1" x14ac:dyDescent="0.2">
      <c r="A6440" s="21"/>
      <c r="B6440" s="3" t="s">
        <v>8</v>
      </c>
      <c r="C6440" s="20" t="s">
        <v>2399</v>
      </c>
      <c r="D6440" s="21"/>
    </row>
    <row r="6441" spans="1:4" ht="12.75" customHeight="1" x14ac:dyDescent="0.2">
      <c r="A6441" s="21"/>
      <c r="B6441" s="3" t="s">
        <v>9</v>
      </c>
      <c r="C6441" s="20" t="s">
        <v>415</v>
      </c>
      <c r="D6441" s="21"/>
    </row>
    <row r="6442" spans="1:4" ht="12.75" customHeight="1" x14ac:dyDescent="0.2">
      <c r="A6442" s="21"/>
      <c r="B6442" s="3" t="s">
        <v>11</v>
      </c>
      <c r="C6442" s="20" t="s">
        <v>1141</v>
      </c>
      <c r="D6442" s="21"/>
    </row>
    <row r="6443" spans="1:4" ht="12.75" customHeight="1" x14ac:dyDescent="0.2">
      <c r="A6443" s="21"/>
      <c r="B6443" s="3" t="s">
        <v>13</v>
      </c>
      <c r="C6443" s="20" t="s">
        <v>24</v>
      </c>
      <c r="D6443" s="21"/>
    </row>
    <row r="6444" spans="1:4" ht="12.75" customHeight="1" x14ac:dyDescent="0.2">
      <c r="A6444" s="21"/>
      <c r="B6444" s="3" t="s">
        <v>15</v>
      </c>
      <c r="C6444" s="20" t="s">
        <v>24</v>
      </c>
      <c r="D6444" s="21"/>
    </row>
    <row r="6445" spans="1:4" ht="12.75" customHeight="1" x14ac:dyDescent="0.2">
      <c r="A6445" s="21"/>
      <c r="B6445" s="3" t="s">
        <v>16</v>
      </c>
      <c r="C6445" s="20"/>
      <c r="D6445" s="21"/>
    </row>
    <row r="6446" spans="1:4" ht="12.75" customHeight="1" x14ac:dyDescent="0.2">
      <c r="A6446" s="21"/>
      <c r="B6446" s="3" t="s">
        <v>17</v>
      </c>
      <c r="C6446" s="20"/>
      <c r="D6446" s="21"/>
    </row>
    <row r="6447" spans="1:4" ht="12.75" customHeight="1" x14ac:dyDescent="0.2">
      <c r="A6447" s="21"/>
      <c r="B6447" s="20" t="s">
        <v>18</v>
      </c>
      <c r="C6447" s="4" t="s">
        <v>44</v>
      </c>
      <c r="D6447" s="6" t="str">
        <f>HYPERLINK("javascript:void(0)","savfelhőszeletelő")</f>
        <v>savfelhőszeletelő</v>
      </c>
    </row>
    <row r="6448" spans="1:4" ht="12.75" customHeight="1" x14ac:dyDescent="0.2">
      <c r="A6448" s="21"/>
      <c r="B6448" s="21"/>
      <c r="C6448" s="4" t="s">
        <v>77</v>
      </c>
      <c r="D6448" s="6" t="str">
        <f>HYPERLINK("javascript:void(0)","szórioff")</f>
        <v>szórioff</v>
      </c>
    </row>
    <row r="6449" spans="1:4" ht="25.5" customHeight="1" x14ac:dyDescent="0.2">
      <c r="A6449" s="21"/>
      <c r="B6449" s="21"/>
      <c r="C6449" s="4" t="s">
        <v>228</v>
      </c>
      <c r="D6449" s="6" t="str">
        <f>HYPERLINK("javascript:void(0)","kommunikációképtelenség")</f>
        <v>kommunikációképtelenség</v>
      </c>
    </row>
    <row r="6450" spans="1:4" ht="12.75" customHeight="1" x14ac:dyDescent="0.2">
      <c r="A6450" s="5"/>
      <c r="B6450" s="2"/>
      <c r="C6450" s="2"/>
      <c r="D6450" s="2"/>
    </row>
    <row r="6451" spans="1:4" ht="12.75" customHeight="1" x14ac:dyDescent="0.2">
      <c r="A6451" s="22" t="str">
        <f>HYPERLINK("javascript:void(0)","piros mágusölő")</f>
        <v>piros mágusölő</v>
      </c>
      <c r="B6451" s="21"/>
      <c r="C6451" s="21"/>
      <c r="D6451" s="21"/>
    </row>
    <row r="6452" spans="1:4" ht="12.75" customHeight="1" x14ac:dyDescent="0.2">
      <c r="A6452" s="20"/>
      <c r="B6452" s="2"/>
      <c r="C6452" s="2"/>
      <c r="D6452" s="2"/>
    </row>
    <row r="6453" spans="1:4" ht="12.75" customHeight="1" x14ac:dyDescent="0.2">
      <c r="A6453" s="21"/>
      <c r="B6453" s="3" t="s">
        <v>0</v>
      </c>
      <c r="C6453" s="20" t="s">
        <v>1355</v>
      </c>
      <c r="D6453" s="21"/>
    </row>
    <row r="6454" spans="1:4" ht="12.75" customHeight="1" x14ac:dyDescent="0.2">
      <c r="A6454" s="21"/>
      <c r="B6454" s="3" t="s">
        <v>2</v>
      </c>
      <c r="C6454" s="20" t="s">
        <v>1598</v>
      </c>
      <c r="D6454" s="21"/>
    </row>
    <row r="6455" spans="1:4" ht="12.75" customHeight="1" x14ac:dyDescent="0.2">
      <c r="A6455" s="21"/>
      <c r="B6455" s="3" t="s">
        <v>4</v>
      </c>
      <c r="C6455" s="20" t="s">
        <v>2400</v>
      </c>
      <c r="D6455" s="21"/>
    </row>
    <row r="6456" spans="1:4" ht="12.75" customHeight="1" x14ac:dyDescent="0.2">
      <c r="A6456" s="21"/>
      <c r="B6456" s="3" t="s">
        <v>6</v>
      </c>
      <c r="C6456" s="20" t="s">
        <v>48</v>
      </c>
      <c r="D6456" s="21"/>
    </row>
    <row r="6457" spans="1:4" ht="12.75" customHeight="1" x14ac:dyDescent="0.2">
      <c r="A6457" s="21"/>
      <c r="B6457" s="3" t="s">
        <v>8</v>
      </c>
      <c r="C6457" s="20" t="s">
        <v>2400</v>
      </c>
      <c r="D6457" s="21"/>
    </row>
    <row r="6458" spans="1:4" ht="12.75" customHeight="1" x14ac:dyDescent="0.2">
      <c r="A6458" s="21"/>
      <c r="B6458" s="3" t="s">
        <v>9</v>
      </c>
      <c r="C6458" s="20" t="s">
        <v>1410</v>
      </c>
      <c r="D6458" s="21"/>
    </row>
    <row r="6459" spans="1:4" ht="12.75" customHeight="1" x14ac:dyDescent="0.2">
      <c r="A6459" s="21"/>
      <c r="B6459" s="3" t="s">
        <v>11</v>
      </c>
      <c r="C6459" s="20" t="s">
        <v>1171</v>
      </c>
      <c r="D6459" s="21"/>
    </row>
    <row r="6460" spans="1:4" ht="12.75" customHeight="1" x14ac:dyDescent="0.2">
      <c r="A6460" s="21"/>
      <c r="B6460" s="3" t="s">
        <v>13</v>
      </c>
      <c r="C6460" s="20" t="s">
        <v>14</v>
      </c>
      <c r="D6460" s="21"/>
    </row>
    <row r="6461" spans="1:4" ht="12.75" customHeight="1" x14ac:dyDescent="0.2">
      <c r="A6461" s="21"/>
      <c r="B6461" s="3" t="s">
        <v>15</v>
      </c>
      <c r="C6461" s="20" t="s">
        <v>24</v>
      </c>
      <c r="D6461" s="21"/>
    </row>
    <row r="6462" spans="1:4" ht="12.75" customHeight="1" x14ac:dyDescent="0.2">
      <c r="A6462" s="21"/>
      <c r="B6462" s="3" t="s">
        <v>16</v>
      </c>
      <c r="C6462" s="20"/>
      <c r="D6462" s="21"/>
    </row>
    <row r="6463" spans="1:4" ht="12.75" customHeight="1" x14ac:dyDescent="0.2">
      <c r="A6463" s="21"/>
      <c r="B6463" s="3" t="s">
        <v>17</v>
      </c>
      <c r="C6463" s="20"/>
      <c r="D6463" s="21"/>
    </row>
    <row r="6464" spans="1:4" ht="25.5" customHeight="1" x14ac:dyDescent="0.2">
      <c r="A6464" s="21"/>
      <c r="B6464" s="20" t="s">
        <v>18</v>
      </c>
      <c r="C6464" s="4" t="s">
        <v>244</v>
      </c>
      <c r="D6464" s="6" t="str">
        <f>HYPERLINK("javascript:void(0)","kommunikációképtelenség")</f>
        <v>kommunikációképtelenség</v>
      </c>
    </row>
    <row r="6465" spans="1:4" ht="12.75" customHeight="1" x14ac:dyDescent="0.2">
      <c r="A6465" s="21"/>
      <c r="B6465" s="21"/>
      <c r="C6465" s="4" t="s">
        <v>139</v>
      </c>
      <c r="D6465" s="6" t="str">
        <f>HYPERLINK("javascript:void(0)","sztetoszkóp")</f>
        <v>sztetoszkóp</v>
      </c>
    </row>
    <row r="6466" spans="1:4" ht="12.75" customHeight="1" x14ac:dyDescent="0.2">
      <c r="A6466" s="21"/>
      <c r="B6466" s="21"/>
      <c r="C6466" s="4" t="s">
        <v>77</v>
      </c>
      <c r="D6466" s="6" t="str">
        <f>HYPERLINK("javascript:void(0)","kifordultság")</f>
        <v>kifordultság</v>
      </c>
    </row>
    <row r="6467" spans="1:4" ht="12.75" customHeight="1" x14ac:dyDescent="0.2">
      <c r="A6467" s="5"/>
      <c r="B6467" s="2"/>
      <c r="C6467" s="2"/>
      <c r="D6467" s="2"/>
    </row>
    <row r="6468" spans="1:4" ht="12.75" customHeight="1" x14ac:dyDescent="0.2">
      <c r="A6468" s="22" t="str">
        <f>HYPERLINK("javascript:void(0)","jégpenge")</f>
        <v>jégpenge</v>
      </c>
      <c r="B6468" s="21"/>
      <c r="C6468" s="21"/>
      <c r="D6468" s="21"/>
    </row>
    <row r="6469" spans="1:4" ht="12.75" customHeight="1" x14ac:dyDescent="0.2">
      <c r="A6469" s="20"/>
      <c r="B6469" s="2"/>
      <c r="C6469" s="2"/>
      <c r="D6469" s="2"/>
    </row>
    <row r="6470" spans="1:4" ht="12.75" customHeight="1" x14ac:dyDescent="0.2">
      <c r="A6470" s="21"/>
      <c r="B6470" s="3" t="s">
        <v>0</v>
      </c>
      <c r="C6470" s="20" t="s">
        <v>1359</v>
      </c>
      <c r="D6470" s="21"/>
    </row>
    <row r="6471" spans="1:4" ht="12.75" customHeight="1" x14ac:dyDescent="0.2">
      <c r="A6471" s="21"/>
      <c r="B6471" s="3" t="s">
        <v>2</v>
      </c>
      <c r="C6471" s="20" t="s">
        <v>1598</v>
      </c>
      <c r="D6471" s="21"/>
    </row>
    <row r="6472" spans="1:4" ht="12.75" customHeight="1" x14ac:dyDescent="0.2">
      <c r="A6472" s="21"/>
      <c r="B6472" s="3" t="s">
        <v>4</v>
      </c>
      <c r="C6472" s="20" t="s">
        <v>2401</v>
      </c>
      <c r="D6472" s="21"/>
    </row>
    <row r="6473" spans="1:4" ht="12.75" customHeight="1" x14ac:dyDescent="0.2">
      <c r="A6473" s="21"/>
      <c r="B6473" s="3" t="s">
        <v>6</v>
      </c>
      <c r="C6473" s="20" t="s">
        <v>153</v>
      </c>
      <c r="D6473" s="21"/>
    </row>
    <row r="6474" spans="1:4" ht="12.75" customHeight="1" x14ac:dyDescent="0.2">
      <c r="A6474" s="21"/>
      <c r="B6474" s="3" t="s">
        <v>8</v>
      </c>
      <c r="C6474" s="20" t="s">
        <v>2401</v>
      </c>
      <c r="D6474" s="21"/>
    </row>
    <row r="6475" spans="1:4" ht="12.75" customHeight="1" x14ac:dyDescent="0.2">
      <c r="A6475" s="21"/>
      <c r="B6475" s="3" t="s">
        <v>9</v>
      </c>
      <c r="C6475" s="20" t="s">
        <v>343</v>
      </c>
      <c r="D6475" s="21"/>
    </row>
    <row r="6476" spans="1:4" ht="12.75" customHeight="1" x14ac:dyDescent="0.2">
      <c r="A6476" s="21"/>
      <c r="B6476" s="3" t="s">
        <v>11</v>
      </c>
      <c r="C6476" s="20" t="s">
        <v>1155</v>
      </c>
      <c r="D6476" s="21"/>
    </row>
    <row r="6477" spans="1:4" ht="12.75" customHeight="1" x14ac:dyDescent="0.2">
      <c r="A6477" s="21"/>
      <c r="B6477" s="3" t="s">
        <v>13</v>
      </c>
      <c r="C6477" s="20" t="s">
        <v>24</v>
      </c>
      <c r="D6477" s="21"/>
    </row>
    <row r="6478" spans="1:4" ht="12.75" customHeight="1" x14ac:dyDescent="0.2">
      <c r="A6478" s="21"/>
      <c r="B6478" s="3" t="s">
        <v>15</v>
      </c>
      <c r="C6478" s="20" t="s">
        <v>24</v>
      </c>
      <c r="D6478" s="21"/>
    </row>
    <row r="6479" spans="1:4" ht="12.75" customHeight="1" x14ac:dyDescent="0.2">
      <c r="A6479" s="21"/>
      <c r="B6479" s="3" t="s">
        <v>16</v>
      </c>
      <c r="C6479" s="20"/>
      <c r="D6479" s="21"/>
    </row>
    <row r="6480" spans="1:4" ht="12.75" customHeight="1" x14ac:dyDescent="0.2">
      <c r="A6480" s="21"/>
      <c r="B6480" s="3" t="s">
        <v>17</v>
      </c>
      <c r="C6480" s="20"/>
      <c r="D6480" s="21"/>
    </row>
    <row r="6481" spans="1:4" ht="12.75" customHeight="1" x14ac:dyDescent="0.2">
      <c r="A6481" s="21"/>
      <c r="B6481" s="20" t="s">
        <v>18</v>
      </c>
      <c r="C6481" s="4" t="s">
        <v>55</v>
      </c>
      <c r="D6481" s="6" t="str">
        <f>HYPERLINK("javascript:void(0)","jégige")</f>
        <v>jégige</v>
      </c>
    </row>
    <row r="6482" spans="1:4" ht="12.75" customHeight="1" x14ac:dyDescent="0.2">
      <c r="A6482" s="21"/>
      <c r="B6482" s="21"/>
      <c r="C6482" s="4" t="s">
        <v>130</v>
      </c>
      <c r="D6482" s="6" t="str">
        <f>HYPERLINK("javascript:void(0)","árnyékláb")</f>
        <v>árnyékláb</v>
      </c>
    </row>
    <row r="6483" spans="1:4" ht="12.75" customHeight="1" x14ac:dyDescent="0.2">
      <c r="A6483" s="21"/>
      <c r="B6483" s="21"/>
      <c r="C6483" s="4" t="s">
        <v>228</v>
      </c>
      <c r="D6483" s="6" t="str">
        <f>HYPERLINK("javascript:void(0)","ezüst")</f>
        <v>ezüst</v>
      </c>
    </row>
    <row r="6484" spans="1:4" ht="12.75" customHeight="1" x14ac:dyDescent="0.2">
      <c r="A6484" s="5"/>
      <c r="B6484" s="2"/>
      <c r="C6484" s="2"/>
      <c r="D6484" s="2"/>
    </row>
    <row r="6485" spans="1:4" ht="12.75" customHeight="1" x14ac:dyDescent="0.2">
      <c r="A6485" s="22" t="str">
        <f>HYPERLINK("javascript:void(0)","sarokvágó")</f>
        <v>sarokvágó</v>
      </c>
      <c r="B6485" s="21"/>
      <c r="C6485" s="21"/>
      <c r="D6485" s="21"/>
    </row>
    <row r="6486" spans="1:4" ht="12.75" customHeight="1" x14ac:dyDescent="0.2">
      <c r="A6486" s="20"/>
      <c r="B6486" s="2"/>
      <c r="C6486" s="2"/>
      <c r="D6486" s="2"/>
    </row>
    <row r="6487" spans="1:4" ht="12.75" customHeight="1" x14ac:dyDescent="0.2">
      <c r="A6487" s="21"/>
      <c r="B6487" s="3" t="s">
        <v>0</v>
      </c>
      <c r="C6487" s="20" t="s">
        <v>1362</v>
      </c>
      <c r="D6487" s="21"/>
    </row>
    <row r="6488" spans="1:4" ht="12.75" customHeight="1" x14ac:dyDescent="0.2">
      <c r="A6488" s="21"/>
      <c r="B6488" s="3" t="s">
        <v>2</v>
      </c>
      <c r="C6488" s="20" t="s">
        <v>1598</v>
      </c>
      <c r="D6488" s="21"/>
    </row>
    <row r="6489" spans="1:4" ht="12.75" customHeight="1" x14ac:dyDescent="0.2">
      <c r="A6489" s="21"/>
      <c r="B6489" s="3" t="s">
        <v>4</v>
      </c>
      <c r="C6489" s="20" t="s">
        <v>2403</v>
      </c>
      <c r="D6489" s="21"/>
    </row>
    <row r="6490" spans="1:4" ht="12.75" customHeight="1" x14ac:dyDescent="0.2">
      <c r="A6490" s="21"/>
      <c r="B6490" s="3" t="s">
        <v>6</v>
      </c>
      <c r="C6490" s="20" t="s">
        <v>298</v>
      </c>
      <c r="D6490" s="21"/>
    </row>
    <row r="6491" spans="1:4" ht="12.75" customHeight="1" x14ac:dyDescent="0.2">
      <c r="A6491" s="21"/>
      <c r="B6491" s="3" t="s">
        <v>8</v>
      </c>
      <c r="C6491" s="20" t="s">
        <v>2403</v>
      </c>
      <c r="D6491" s="21"/>
    </row>
    <row r="6492" spans="1:4" ht="12.75" customHeight="1" x14ac:dyDescent="0.2">
      <c r="A6492" s="21"/>
      <c r="B6492" s="3" t="s">
        <v>9</v>
      </c>
      <c r="C6492" s="20" t="s">
        <v>84</v>
      </c>
      <c r="D6492" s="21"/>
    </row>
    <row r="6493" spans="1:4" ht="12.75" customHeight="1" x14ac:dyDescent="0.2">
      <c r="A6493" s="21"/>
      <c r="B6493" s="3" t="s">
        <v>11</v>
      </c>
      <c r="C6493" s="20" t="s">
        <v>1171</v>
      </c>
      <c r="D6493" s="21"/>
    </row>
    <row r="6494" spans="1:4" ht="12.75" customHeight="1" x14ac:dyDescent="0.2">
      <c r="A6494" s="21"/>
      <c r="B6494" s="3" t="s">
        <v>13</v>
      </c>
      <c r="C6494" s="20" t="s">
        <v>24</v>
      </c>
      <c r="D6494" s="21"/>
    </row>
    <row r="6495" spans="1:4" ht="12.75" customHeight="1" x14ac:dyDescent="0.2">
      <c r="A6495" s="21"/>
      <c r="B6495" s="3" t="s">
        <v>15</v>
      </c>
      <c r="C6495" s="20" t="s">
        <v>24</v>
      </c>
      <c r="D6495" s="21"/>
    </row>
    <row r="6496" spans="1:4" ht="12.75" customHeight="1" x14ac:dyDescent="0.2">
      <c r="A6496" s="21"/>
      <c r="B6496" s="3" t="s">
        <v>16</v>
      </c>
      <c r="C6496" s="20"/>
      <c r="D6496" s="21"/>
    </row>
    <row r="6497" spans="1:4" ht="12.75" customHeight="1" x14ac:dyDescent="0.2">
      <c r="A6497" s="21"/>
      <c r="B6497" s="3" t="s">
        <v>17</v>
      </c>
      <c r="C6497" s="20"/>
      <c r="D6497" s="21"/>
    </row>
    <row r="6498" spans="1:4" ht="12.75" customHeight="1" x14ac:dyDescent="0.2">
      <c r="A6498" s="21"/>
      <c r="B6498" s="20" t="s">
        <v>18</v>
      </c>
      <c r="C6498" s="4" t="s">
        <v>68</v>
      </c>
      <c r="D6498" s="6" t="str">
        <f>HYPERLINK("javascript:void(0)","sarok")</f>
        <v>sarok</v>
      </c>
    </row>
    <row r="6499" spans="1:4" ht="12.75" customHeight="1" x14ac:dyDescent="0.2">
      <c r="A6499" s="21"/>
      <c r="B6499" s="21"/>
      <c r="C6499" s="4" t="s">
        <v>331</v>
      </c>
      <c r="D6499" s="6" t="str">
        <f>HYPERLINK("javascript:void(0)","plecsni")</f>
        <v>plecsni</v>
      </c>
    </row>
    <row r="6500" spans="1:4" ht="12.75" customHeight="1" x14ac:dyDescent="0.2">
      <c r="A6500" s="21"/>
      <c r="B6500" s="21"/>
      <c r="C6500" s="4" t="s">
        <v>56</v>
      </c>
      <c r="D6500" s="6" t="str">
        <f>HYPERLINK("javascript:void(0)","gyíkacél katana")</f>
        <v>gyíkacél katana</v>
      </c>
    </row>
    <row r="6501" spans="1:4" ht="12.75" customHeight="1" x14ac:dyDescent="0.2">
      <c r="A6501" s="5"/>
      <c r="B6501" s="2"/>
      <c r="C6501" s="2"/>
      <c r="D6501" s="2"/>
    </row>
    <row r="6502" spans="1:4" ht="12.75" customHeight="1" x14ac:dyDescent="0.2">
      <c r="A6502" s="22" t="str">
        <f>HYPERLINK("javascript:void(0)","trófeás mágusölő")</f>
        <v>trófeás mágusölő</v>
      </c>
      <c r="B6502" s="21"/>
      <c r="C6502" s="21"/>
      <c r="D6502" s="21"/>
    </row>
    <row r="6503" spans="1:4" ht="12.75" customHeight="1" x14ac:dyDescent="0.2">
      <c r="A6503" s="20"/>
      <c r="B6503" s="2"/>
      <c r="C6503" s="2"/>
      <c r="D6503" s="2"/>
    </row>
    <row r="6504" spans="1:4" ht="12.75" customHeight="1" x14ac:dyDescent="0.2">
      <c r="A6504" s="21"/>
      <c r="B6504" s="3" t="s">
        <v>0</v>
      </c>
      <c r="C6504" s="20" t="s">
        <v>1362</v>
      </c>
      <c r="D6504" s="21"/>
    </row>
    <row r="6505" spans="1:4" ht="12.75" customHeight="1" x14ac:dyDescent="0.2">
      <c r="A6505" s="21"/>
      <c r="B6505" s="3" t="s">
        <v>2</v>
      </c>
      <c r="C6505" s="20" t="s">
        <v>1598</v>
      </c>
      <c r="D6505" s="21"/>
    </row>
    <row r="6506" spans="1:4" ht="12.75" customHeight="1" x14ac:dyDescent="0.2">
      <c r="A6506" s="21"/>
      <c r="B6506" s="3" t="s">
        <v>4</v>
      </c>
      <c r="C6506" s="20" t="s">
        <v>2404</v>
      </c>
      <c r="D6506" s="21"/>
    </row>
    <row r="6507" spans="1:4" ht="12.75" customHeight="1" x14ac:dyDescent="0.2">
      <c r="A6507" s="21"/>
      <c r="B6507" s="3" t="s">
        <v>6</v>
      </c>
      <c r="C6507" s="20" t="s">
        <v>48</v>
      </c>
      <c r="D6507" s="21"/>
    </row>
    <row r="6508" spans="1:4" ht="12.75" customHeight="1" x14ac:dyDescent="0.2">
      <c r="A6508" s="21"/>
      <c r="B6508" s="3" t="s">
        <v>8</v>
      </c>
      <c r="C6508" s="20" t="s">
        <v>2404</v>
      </c>
      <c r="D6508" s="21"/>
    </row>
    <row r="6509" spans="1:4" ht="12.75" customHeight="1" x14ac:dyDescent="0.2">
      <c r="A6509" s="21"/>
      <c r="B6509" s="3" t="s">
        <v>9</v>
      </c>
      <c r="C6509" s="20" t="s">
        <v>2143</v>
      </c>
      <c r="D6509" s="21"/>
    </row>
    <row r="6510" spans="1:4" ht="12.75" customHeight="1" x14ac:dyDescent="0.2">
      <c r="A6510" s="21"/>
      <c r="B6510" s="3" t="s">
        <v>11</v>
      </c>
      <c r="C6510" s="20" t="s">
        <v>1227</v>
      </c>
      <c r="D6510" s="21"/>
    </row>
    <row r="6511" spans="1:4" ht="12.75" customHeight="1" x14ac:dyDescent="0.2">
      <c r="A6511" s="21"/>
      <c r="B6511" s="3" t="s">
        <v>13</v>
      </c>
      <c r="C6511" s="20" t="s">
        <v>14</v>
      </c>
      <c r="D6511" s="21"/>
    </row>
    <row r="6512" spans="1:4" ht="12.75" customHeight="1" x14ac:dyDescent="0.2">
      <c r="A6512" s="21"/>
      <c r="B6512" s="3" t="s">
        <v>15</v>
      </c>
      <c r="C6512" s="20" t="s">
        <v>24</v>
      </c>
      <c r="D6512" s="21"/>
    </row>
    <row r="6513" spans="1:4" ht="12.75" customHeight="1" x14ac:dyDescent="0.2">
      <c r="A6513" s="21"/>
      <c r="B6513" s="3" t="s">
        <v>16</v>
      </c>
      <c r="C6513" s="20"/>
      <c r="D6513" s="21"/>
    </row>
    <row r="6514" spans="1:4" ht="12.75" customHeight="1" x14ac:dyDescent="0.2">
      <c r="A6514" s="21"/>
      <c r="B6514" s="3" t="s">
        <v>17</v>
      </c>
      <c r="C6514" s="20"/>
      <c r="D6514" s="21"/>
    </row>
    <row r="6515" spans="1:4" ht="12.75" customHeight="1" x14ac:dyDescent="0.2">
      <c r="A6515" s="21"/>
      <c r="B6515" s="20" t="s">
        <v>18</v>
      </c>
      <c r="C6515" s="4" t="s">
        <v>44</v>
      </c>
      <c r="D6515" s="6" t="str">
        <f>HYPERLINK("javascript:void(0)","gyíkacél katana")</f>
        <v>gyíkacél katana</v>
      </c>
    </row>
    <row r="6516" spans="1:4" ht="12.75" customHeight="1" x14ac:dyDescent="0.2">
      <c r="A6516" s="21"/>
      <c r="B6516" s="21"/>
      <c r="C6516" s="4" t="s">
        <v>331</v>
      </c>
      <c r="D6516" s="6" t="str">
        <f>HYPERLINK("javascript:void(0)","plecsni")</f>
        <v>plecsni</v>
      </c>
    </row>
    <row r="6517" spans="1:4" ht="12.75" customHeight="1" x14ac:dyDescent="0.2">
      <c r="A6517" s="21"/>
      <c r="B6517" s="21"/>
      <c r="C6517" s="4" t="s">
        <v>55</v>
      </c>
      <c r="D6517" s="6" t="str">
        <f>HYPERLINK("javascript:void(0)","olvadás")</f>
        <v>olvadás</v>
      </c>
    </row>
    <row r="6518" spans="1:4" ht="12.75" customHeight="1" x14ac:dyDescent="0.2">
      <c r="A6518" s="5"/>
      <c r="B6518" s="2"/>
      <c r="C6518" s="2"/>
      <c r="D6518" s="2"/>
    </row>
    <row r="6519" spans="1:4" ht="12.75" customHeight="1" x14ac:dyDescent="0.2">
      <c r="A6519" s="22" t="str">
        <f>HYPERLINK("javascript:void(0)","gyűrűszigony")</f>
        <v>gyűrűszigony</v>
      </c>
      <c r="B6519" s="21"/>
      <c r="C6519" s="21"/>
      <c r="D6519" s="21"/>
    </row>
    <row r="6520" spans="1:4" ht="12.75" customHeight="1" x14ac:dyDescent="0.2">
      <c r="A6520" s="20"/>
      <c r="B6520" s="2"/>
      <c r="C6520" s="2"/>
      <c r="D6520" s="2"/>
    </row>
    <row r="6521" spans="1:4" ht="12.75" customHeight="1" x14ac:dyDescent="0.2">
      <c r="A6521" s="21"/>
      <c r="B6521" s="3" t="s">
        <v>0</v>
      </c>
      <c r="C6521" s="20" t="s">
        <v>256</v>
      </c>
      <c r="D6521" s="21"/>
    </row>
    <row r="6522" spans="1:4" ht="12.75" customHeight="1" x14ac:dyDescent="0.2">
      <c r="A6522" s="21"/>
      <c r="B6522" s="3" t="s">
        <v>2</v>
      </c>
      <c r="C6522" s="20" t="s">
        <v>1598</v>
      </c>
      <c r="D6522" s="21"/>
    </row>
    <row r="6523" spans="1:4" ht="12.75" customHeight="1" x14ac:dyDescent="0.2">
      <c r="A6523" s="21"/>
      <c r="B6523" s="3" t="s">
        <v>4</v>
      </c>
      <c r="C6523" s="20" t="s">
        <v>2405</v>
      </c>
      <c r="D6523" s="21"/>
    </row>
    <row r="6524" spans="1:4" ht="12.75" customHeight="1" x14ac:dyDescent="0.2">
      <c r="A6524" s="21"/>
      <c r="B6524" s="3" t="s">
        <v>6</v>
      </c>
      <c r="C6524" s="20" t="s">
        <v>88</v>
      </c>
      <c r="D6524" s="21"/>
    </row>
    <row r="6525" spans="1:4" ht="12.75" customHeight="1" x14ac:dyDescent="0.2">
      <c r="A6525" s="21"/>
      <c r="B6525" s="3" t="s">
        <v>8</v>
      </c>
      <c r="C6525" s="20" t="s">
        <v>2405</v>
      </c>
      <c r="D6525" s="21"/>
    </row>
    <row r="6526" spans="1:4" ht="12.75" customHeight="1" x14ac:dyDescent="0.2">
      <c r="A6526" s="21"/>
      <c r="B6526" s="3" t="s">
        <v>9</v>
      </c>
      <c r="C6526" s="20" t="s">
        <v>113</v>
      </c>
      <c r="D6526" s="21"/>
    </row>
    <row r="6527" spans="1:4" ht="12.75" customHeight="1" x14ac:dyDescent="0.2">
      <c r="A6527" s="21"/>
      <c r="B6527" s="3" t="s">
        <v>11</v>
      </c>
      <c r="C6527" s="20" t="s">
        <v>1194</v>
      </c>
      <c r="D6527" s="21"/>
    </row>
    <row r="6528" spans="1:4" ht="12.75" customHeight="1" x14ac:dyDescent="0.2">
      <c r="A6528" s="21"/>
      <c r="B6528" s="3" t="s">
        <v>13</v>
      </c>
      <c r="C6528" s="20" t="s">
        <v>24</v>
      </c>
      <c r="D6528" s="21"/>
    </row>
    <row r="6529" spans="1:4" ht="12.75" customHeight="1" x14ac:dyDescent="0.2">
      <c r="A6529" s="21"/>
      <c r="B6529" s="3" t="s">
        <v>15</v>
      </c>
      <c r="C6529" s="20" t="s">
        <v>24</v>
      </c>
      <c r="D6529" s="21"/>
    </row>
    <row r="6530" spans="1:4" ht="12.75" customHeight="1" x14ac:dyDescent="0.2">
      <c r="A6530" s="21"/>
      <c r="B6530" s="3" t="s">
        <v>16</v>
      </c>
      <c r="C6530" s="20"/>
      <c r="D6530" s="21"/>
    </row>
    <row r="6531" spans="1:4" ht="12.75" customHeight="1" x14ac:dyDescent="0.2">
      <c r="A6531" s="21"/>
      <c r="B6531" s="3" t="s">
        <v>17</v>
      </c>
      <c r="C6531" s="20"/>
      <c r="D6531" s="21"/>
    </row>
    <row r="6532" spans="1:4" ht="12.75" customHeight="1" x14ac:dyDescent="0.2">
      <c r="A6532" s="21"/>
      <c r="B6532" s="20" t="s">
        <v>18</v>
      </c>
      <c r="C6532" s="4" t="s">
        <v>44</v>
      </c>
      <c r="D6532" s="6" t="str">
        <f>HYPERLINK("javascript:void(0)","zombinyeső")</f>
        <v>zombinyeső</v>
      </c>
    </row>
    <row r="6533" spans="1:4" ht="12.75" customHeight="1" x14ac:dyDescent="0.2">
      <c r="A6533" s="21"/>
      <c r="B6533" s="21"/>
      <c r="C6533" s="4" t="s">
        <v>44</v>
      </c>
      <c r="D6533" s="6" t="str">
        <f>HYPERLINK("javascript:void(0)","jégpenge")</f>
        <v>jégpenge</v>
      </c>
    </row>
    <row r="6534" spans="1:4" ht="12.75" customHeight="1" x14ac:dyDescent="0.2">
      <c r="A6534" s="21"/>
      <c r="B6534" s="21"/>
      <c r="C6534" s="4" t="s">
        <v>44</v>
      </c>
      <c r="D6534" s="6" t="str">
        <f>HYPERLINK("javascript:void(0)","sarokvágó")</f>
        <v>sarokvágó</v>
      </c>
    </row>
    <row r="6535" spans="1:4" ht="12.75" customHeight="1" x14ac:dyDescent="0.2">
      <c r="A6535" s="5"/>
      <c r="B6535" s="2"/>
      <c r="C6535" s="2"/>
      <c r="D6535" s="2"/>
    </row>
    <row r="6536" spans="1:4" ht="12.75" customHeight="1" x14ac:dyDescent="0.2">
      <c r="A6536" s="22" t="str">
        <f>HYPERLINK("javascript:void(0)","cseppallos")</f>
        <v>cseppallos</v>
      </c>
      <c r="B6536" s="21"/>
      <c r="C6536" s="21"/>
      <c r="D6536" s="21"/>
    </row>
    <row r="6537" spans="1:4" ht="12.75" customHeight="1" x14ac:dyDescent="0.2">
      <c r="A6537" s="20"/>
      <c r="B6537" s="2"/>
      <c r="C6537" s="2"/>
      <c r="D6537" s="2"/>
    </row>
    <row r="6538" spans="1:4" ht="12.75" customHeight="1" x14ac:dyDescent="0.2">
      <c r="A6538" s="21"/>
      <c r="B6538" s="3" t="s">
        <v>0</v>
      </c>
      <c r="C6538" s="20" t="s">
        <v>146</v>
      </c>
      <c r="D6538" s="21"/>
    </row>
    <row r="6539" spans="1:4" ht="12.75" customHeight="1" x14ac:dyDescent="0.2">
      <c r="A6539" s="21"/>
      <c r="B6539" s="3" t="s">
        <v>2</v>
      </c>
      <c r="C6539" s="20" t="s">
        <v>1598</v>
      </c>
      <c r="D6539" s="21"/>
    </row>
    <row r="6540" spans="1:4" ht="12.75" customHeight="1" x14ac:dyDescent="0.2">
      <c r="A6540" s="21"/>
      <c r="B6540" s="3" t="s">
        <v>4</v>
      </c>
      <c r="C6540" s="20" t="s">
        <v>2406</v>
      </c>
      <c r="D6540" s="21"/>
    </row>
    <row r="6541" spans="1:4" ht="12.75" customHeight="1" x14ac:dyDescent="0.2">
      <c r="A6541" s="21"/>
      <c r="B6541" s="3" t="s">
        <v>6</v>
      </c>
      <c r="C6541" s="20" t="s">
        <v>284</v>
      </c>
      <c r="D6541" s="21"/>
    </row>
    <row r="6542" spans="1:4" ht="12.75" customHeight="1" x14ac:dyDescent="0.2">
      <c r="A6542" s="21"/>
      <c r="B6542" s="3" t="s">
        <v>8</v>
      </c>
      <c r="C6542" s="20" t="s">
        <v>2406</v>
      </c>
      <c r="D6542" s="21"/>
    </row>
    <row r="6543" spans="1:4" ht="12.75" customHeight="1" x14ac:dyDescent="0.2">
      <c r="A6543" s="21"/>
      <c r="B6543" s="3" t="s">
        <v>9</v>
      </c>
      <c r="C6543" s="20" t="s">
        <v>573</v>
      </c>
      <c r="D6543" s="21"/>
    </row>
    <row r="6544" spans="1:4" ht="12.75" customHeight="1" x14ac:dyDescent="0.2">
      <c r="A6544" s="21"/>
      <c r="B6544" s="3" t="s">
        <v>11</v>
      </c>
      <c r="C6544" s="20" t="s">
        <v>1227</v>
      </c>
      <c r="D6544" s="21"/>
    </row>
    <row r="6545" spans="1:4" ht="12.75" customHeight="1" x14ac:dyDescent="0.2">
      <c r="A6545" s="21"/>
      <c r="B6545" s="3" t="s">
        <v>13</v>
      </c>
      <c r="C6545" s="20" t="s">
        <v>24</v>
      </c>
      <c r="D6545" s="21"/>
    </row>
    <row r="6546" spans="1:4" ht="12.75" customHeight="1" x14ac:dyDescent="0.2">
      <c r="A6546" s="21"/>
      <c r="B6546" s="3" t="s">
        <v>15</v>
      </c>
      <c r="C6546" s="20" t="s">
        <v>24</v>
      </c>
      <c r="D6546" s="21"/>
    </row>
    <row r="6547" spans="1:4" ht="12.75" customHeight="1" x14ac:dyDescent="0.2">
      <c r="A6547" s="21"/>
      <c r="B6547" s="3" t="s">
        <v>16</v>
      </c>
      <c r="C6547" s="20"/>
      <c r="D6547" s="21"/>
    </row>
    <row r="6548" spans="1:4" ht="12.75" customHeight="1" x14ac:dyDescent="0.2">
      <c r="A6548" s="21"/>
      <c r="B6548" s="3" t="s">
        <v>17</v>
      </c>
      <c r="C6548" s="20"/>
      <c r="D6548" s="21"/>
    </row>
    <row r="6549" spans="1:4" ht="12.75" customHeight="1" x14ac:dyDescent="0.2">
      <c r="A6549" s="21"/>
      <c r="B6549" s="20" t="s">
        <v>18</v>
      </c>
      <c r="C6549" s="4" t="s">
        <v>44</v>
      </c>
      <c r="D6549" s="6" t="str">
        <f>HYPERLINK("javascript:void(0)","gyűrűszigony")</f>
        <v>gyűrűszigony</v>
      </c>
    </row>
    <row r="6550" spans="1:4" ht="12.75" customHeight="1" x14ac:dyDescent="0.2">
      <c r="A6550" s="21"/>
      <c r="B6550" s="21"/>
      <c r="C6550" s="4" t="s">
        <v>196</v>
      </c>
      <c r="D6550" s="6" t="str">
        <f>HYPERLINK("javascript:void(0)","cseppkő")</f>
        <v>cseppkő</v>
      </c>
    </row>
    <row r="6551" spans="1:4" ht="12.75" customHeight="1" x14ac:dyDescent="0.2">
      <c r="A6551" s="21"/>
      <c r="B6551" s="21"/>
      <c r="C6551" s="4" t="s">
        <v>132</v>
      </c>
      <c r="D6551" s="6" t="str">
        <f>HYPERLINK("javascript:void(0)","rozmáragyar")</f>
        <v>rozmáragyar</v>
      </c>
    </row>
    <row r="6552" spans="1:4" ht="12.75" customHeight="1" x14ac:dyDescent="0.2">
      <c r="A6552" s="5"/>
      <c r="B6552" s="2"/>
      <c r="C6552" s="2"/>
      <c r="D6552" s="2"/>
    </row>
    <row r="6553" spans="1:4" ht="12.75" customHeight="1" x14ac:dyDescent="0.2">
      <c r="A6553" s="22" t="str">
        <f>HYPERLINK("javascript:void(0)","mintás mágusölő")</f>
        <v>mintás mágusölő</v>
      </c>
      <c r="B6553" s="21"/>
      <c r="C6553" s="21"/>
      <c r="D6553" s="21"/>
    </row>
    <row r="6554" spans="1:4" ht="12.75" customHeight="1" x14ac:dyDescent="0.2">
      <c r="A6554" s="20"/>
      <c r="B6554" s="2"/>
      <c r="C6554" s="2"/>
      <c r="D6554" s="2"/>
    </row>
    <row r="6555" spans="1:4" ht="12.75" customHeight="1" x14ac:dyDescent="0.2">
      <c r="A6555" s="21"/>
      <c r="B6555" s="3" t="s">
        <v>0</v>
      </c>
      <c r="C6555" s="20" t="s">
        <v>146</v>
      </c>
      <c r="D6555" s="21"/>
    </row>
    <row r="6556" spans="1:4" ht="12.75" customHeight="1" x14ac:dyDescent="0.2">
      <c r="A6556" s="21"/>
      <c r="B6556" s="3" t="s">
        <v>2</v>
      </c>
      <c r="C6556" s="20" t="s">
        <v>1598</v>
      </c>
      <c r="D6556" s="21"/>
    </row>
    <row r="6557" spans="1:4" ht="12.75" customHeight="1" x14ac:dyDescent="0.2">
      <c r="A6557" s="21"/>
      <c r="B6557" s="3" t="s">
        <v>4</v>
      </c>
      <c r="C6557" s="20" t="s">
        <v>2408</v>
      </c>
      <c r="D6557" s="21"/>
    </row>
    <row r="6558" spans="1:4" ht="12.75" customHeight="1" x14ac:dyDescent="0.2">
      <c r="A6558" s="21"/>
      <c r="B6558" s="3" t="s">
        <v>6</v>
      </c>
      <c r="C6558" s="20" t="s">
        <v>48</v>
      </c>
      <c r="D6558" s="21"/>
    </row>
    <row r="6559" spans="1:4" ht="12.75" customHeight="1" x14ac:dyDescent="0.2">
      <c r="A6559" s="21"/>
      <c r="B6559" s="3" t="s">
        <v>8</v>
      </c>
      <c r="C6559" s="20" t="s">
        <v>2408</v>
      </c>
      <c r="D6559" s="21"/>
    </row>
    <row r="6560" spans="1:4" ht="12.75" customHeight="1" x14ac:dyDescent="0.2">
      <c r="A6560" s="21"/>
      <c r="B6560" s="3" t="s">
        <v>9</v>
      </c>
      <c r="C6560" s="20" t="s">
        <v>1430</v>
      </c>
      <c r="D6560" s="21"/>
    </row>
    <row r="6561" spans="1:4" ht="12.75" customHeight="1" x14ac:dyDescent="0.2">
      <c r="A6561" s="21"/>
      <c r="B6561" s="3" t="s">
        <v>11</v>
      </c>
      <c r="C6561" s="20" t="s">
        <v>1261</v>
      </c>
      <c r="D6561" s="21"/>
    </row>
    <row r="6562" spans="1:4" ht="12.75" customHeight="1" x14ac:dyDescent="0.2">
      <c r="A6562" s="21"/>
      <c r="B6562" s="3" t="s">
        <v>13</v>
      </c>
      <c r="C6562" s="20" t="s">
        <v>14</v>
      </c>
      <c r="D6562" s="21"/>
    </row>
    <row r="6563" spans="1:4" ht="12.75" customHeight="1" x14ac:dyDescent="0.2">
      <c r="A6563" s="21"/>
      <c r="B6563" s="3" t="s">
        <v>15</v>
      </c>
      <c r="C6563" s="20" t="s">
        <v>24</v>
      </c>
      <c r="D6563" s="21"/>
    </row>
    <row r="6564" spans="1:4" ht="12.75" customHeight="1" x14ac:dyDescent="0.2">
      <c r="A6564" s="21"/>
      <c r="B6564" s="3" t="s">
        <v>16</v>
      </c>
      <c r="C6564" s="20"/>
      <c r="D6564" s="21"/>
    </row>
    <row r="6565" spans="1:4" ht="12.75" customHeight="1" x14ac:dyDescent="0.2">
      <c r="A6565" s="21"/>
      <c r="B6565" s="3" t="s">
        <v>17</v>
      </c>
      <c r="C6565" s="20"/>
      <c r="D6565" s="21"/>
    </row>
    <row r="6566" spans="1:4" ht="12.75" customHeight="1" x14ac:dyDescent="0.2">
      <c r="A6566" s="21"/>
      <c r="B6566" s="20" t="s">
        <v>18</v>
      </c>
      <c r="C6566" s="4" t="s">
        <v>232</v>
      </c>
      <c r="D6566" s="6" t="str">
        <f>HYPERLINK("javascript:void(0)","koporsó")</f>
        <v>koporsó</v>
      </c>
    </row>
    <row r="6567" spans="1:4" ht="12.75" customHeight="1" x14ac:dyDescent="0.2">
      <c r="A6567" s="21"/>
      <c r="B6567" s="21"/>
      <c r="C6567" s="4" t="s">
        <v>55</v>
      </c>
      <c r="D6567" s="6" t="str">
        <f>HYPERLINK("javascript:void(0)","minta")</f>
        <v>minta</v>
      </c>
    </row>
    <row r="6568" spans="1:4" ht="12.75" customHeight="1" x14ac:dyDescent="0.2">
      <c r="A6568" s="21"/>
      <c r="B6568" s="21"/>
      <c r="C6568" s="4" t="s">
        <v>786</v>
      </c>
      <c r="D6568" s="6" t="str">
        <f>HYPERLINK("javascript:void(0)","dínófog")</f>
        <v>dínófog</v>
      </c>
    </row>
    <row r="6569" spans="1:4" ht="12.75" customHeight="1" x14ac:dyDescent="0.2">
      <c r="A6569" s="5"/>
      <c r="B6569" s="2"/>
      <c r="C6569" s="2"/>
      <c r="D6569" s="2"/>
    </row>
    <row r="6570" spans="1:4" ht="12.75" customHeight="1" x14ac:dyDescent="0.2">
      <c r="A6570" s="22" t="str">
        <f>HYPERLINK("javascript:void(0)","fénypenge")</f>
        <v>fénypenge</v>
      </c>
      <c r="B6570" s="21"/>
      <c r="C6570" s="21"/>
      <c r="D6570" s="21"/>
    </row>
    <row r="6571" spans="1:4" ht="12.75" customHeight="1" x14ac:dyDescent="0.2">
      <c r="A6571" s="20"/>
      <c r="B6571" s="2"/>
      <c r="C6571" s="2"/>
      <c r="D6571" s="2"/>
    </row>
    <row r="6572" spans="1:4" ht="12.75" customHeight="1" x14ac:dyDescent="0.2">
      <c r="A6572" s="21"/>
      <c r="B6572" s="3" t="s">
        <v>0</v>
      </c>
      <c r="C6572" s="20" t="s">
        <v>1373</v>
      </c>
      <c r="D6572" s="21"/>
    </row>
    <row r="6573" spans="1:4" ht="12.75" customHeight="1" x14ac:dyDescent="0.2">
      <c r="A6573" s="21"/>
      <c r="B6573" s="3" t="s">
        <v>2</v>
      </c>
      <c r="C6573" s="20" t="s">
        <v>1598</v>
      </c>
      <c r="D6573" s="21"/>
    </row>
    <row r="6574" spans="1:4" ht="12.75" customHeight="1" x14ac:dyDescent="0.2">
      <c r="A6574" s="21"/>
      <c r="B6574" s="3" t="s">
        <v>4</v>
      </c>
      <c r="C6574" s="20" t="s">
        <v>2410</v>
      </c>
      <c r="D6574" s="21"/>
    </row>
    <row r="6575" spans="1:4" ht="12.75" customHeight="1" x14ac:dyDescent="0.2">
      <c r="A6575" s="21"/>
      <c r="B6575" s="3" t="s">
        <v>6</v>
      </c>
      <c r="C6575" s="20" t="s">
        <v>38</v>
      </c>
      <c r="D6575" s="21"/>
    </row>
    <row r="6576" spans="1:4" ht="12.75" customHeight="1" x14ac:dyDescent="0.2">
      <c r="A6576" s="21"/>
      <c r="B6576" s="3" t="s">
        <v>8</v>
      </c>
      <c r="C6576" s="20" t="s">
        <v>2410</v>
      </c>
      <c r="D6576" s="21"/>
    </row>
    <row r="6577" spans="1:4" ht="12.75" customHeight="1" x14ac:dyDescent="0.2">
      <c r="A6577" s="21"/>
      <c r="B6577" s="3" t="s">
        <v>9</v>
      </c>
      <c r="C6577" s="20" t="s">
        <v>2411</v>
      </c>
      <c r="D6577" s="21"/>
    </row>
    <row r="6578" spans="1:4" ht="12.75" customHeight="1" x14ac:dyDescent="0.2">
      <c r="A6578" s="21"/>
      <c r="B6578" s="3" t="s">
        <v>11</v>
      </c>
      <c r="C6578" s="20" t="s">
        <v>1241</v>
      </c>
      <c r="D6578" s="21"/>
    </row>
    <row r="6579" spans="1:4" ht="12.75" customHeight="1" x14ac:dyDescent="0.2">
      <c r="A6579" s="21"/>
      <c r="B6579" s="3" t="s">
        <v>13</v>
      </c>
      <c r="C6579" s="20" t="s">
        <v>24</v>
      </c>
      <c r="D6579" s="21"/>
    </row>
    <row r="6580" spans="1:4" ht="12.75" customHeight="1" x14ac:dyDescent="0.2">
      <c r="A6580" s="21"/>
      <c r="B6580" s="3" t="s">
        <v>15</v>
      </c>
      <c r="C6580" s="20" t="s">
        <v>24</v>
      </c>
      <c r="D6580" s="21"/>
    </row>
    <row r="6581" spans="1:4" ht="12.75" customHeight="1" x14ac:dyDescent="0.2">
      <c r="A6581" s="21"/>
      <c r="B6581" s="3" t="s">
        <v>16</v>
      </c>
      <c r="C6581" s="20"/>
      <c r="D6581" s="21"/>
    </row>
    <row r="6582" spans="1:4" ht="12.75" customHeight="1" x14ac:dyDescent="0.2">
      <c r="A6582" s="21"/>
      <c r="B6582" s="3" t="s">
        <v>17</v>
      </c>
      <c r="C6582" s="20"/>
      <c r="D6582" s="21"/>
    </row>
    <row r="6583" spans="1:4" ht="12.75" customHeight="1" x14ac:dyDescent="0.2">
      <c r="A6583" s="21"/>
      <c r="B6583" s="20" t="s">
        <v>18</v>
      </c>
      <c r="C6583" s="4" t="s">
        <v>142</v>
      </c>
      <c r="D6583" s="6" t="str">
        <f>HYPERLINK("javascript:void(0)","fényige")</f>
        <v>fényige</v>
      </c>
    </row>
    <row r="6584" spans="1:4" ht="12.75" customHeight="1" x14ac:dyDescent="0.2">
      <c r="A6584" s="21"/>
      <c r="B6584" s="21"/>
      <c r="C6584" s="4" t="s">
        <v>193</v>
      </c>
      <c r="D6584" s="6" t="str">
        <f>HYPERLINK("javascript:void(0)","sztetoszkóp")</f>
        <v>sztetoszkóp</v>
      </c>
    </row>
    <row r="6585" spans="1:4" ht="12.75" customHeight="1" x14ac:dyDescent="0.2">
      <c r="A6585" s="21"/>
      <c r="B6585" s="21"/>
      <c r="C6585" s="4" t="s">
        <v>1997</v>
      </c>
      <c r="D6585" s="6" t="str">
        <f>HYPERLINK("javascript:void(0)","hagymapikkely")</f>
        <v>hagymapikkely</v>
      </c>
    </row>
    <row r="6586" spans="1:4" ht="12.75" customHeight="1" x14ac:dyDescent="0.2">
      <c r="A6586" s="5"/>
      <c r="B6586" s="2"/>
      <c r="C6586" s="2"/>
      <c r="D6586" s="2"/>
    </row>
    <row r="6587" spans="1:4" ht="12.75" customHeight="1" x14ac:dyDescent="0.2">
      <c r="A6587" s="22" t="str">
        <f>HYPERLINK("javascript:void(0)","átoktőr")</f>
        <v>átoktőr</v>
      </c>
      <c r="B6587" s="21"/>
      <c r="C6587" s="21"/>
      <c r="D6587" s="21"/>
    </row>
    <row r="6588" spans="1:4" ht="12.75" customHeight="1" x14ac:dyDescent="0.2">
      <c r="A6588" s="20"/>
      <c r="B6588" s="2"/>
      <c r="C6588" s="2"/>
      <c r="D6588" s="2"/>
    </row>
    <row r="6589" spans="1:4" ht="12.75" customHeight="1" x14ac:dyDescent="0.2">
      <c r="A6589" s="21"/>
      <c r="B6589" s="3" t="s">
        <v>0</v>
      </c>
      <c r="C6589" s="20" t="s">
        <v>1381</v>
      </c>
      <c r="D6589" s="21"/>
    </row>
    <row r="6590" spans="1:4" ht="12.75" customHeight="1" x14ac:dyDescent="0.2">
      <c r="A6590" s="21"/>
      <c r="B6590" s="3" t="s">
        <v>2</v>
      </c>
      <c r="C6590" s="20" t="s">
        <v>1598</v>
      </c>
      <c r="D6590" s="21"/>
    </row>
    <row r="6591" spans="1:4" ht="12.75" customHeight="1" x14ac:dyDescent="0.2">
      <c r="A6591" s="21"/>
      <c r="B6591" s="3" t="s">
        <v>4</v>
      </c>
      <c r="C6591" s="20" t="s">
        <v>1382</v>
      </c>
      <c r="D6591" s="21"/>
    </row>
    <row r="6592" spans="1:4" ht="12.75" customHeight="1" x14ac:dyDescent="0.2">
      <c r="A6592" s="21"/>
      <c r="B6592" s="3" t="s">
        <v>6</v>
      </c>
      <c r="C6592" s="20" t="s">
        <v>260</v>
      </c>
      <c r="D6592" s="21"/>
    </row>
    <row r="6593" spans="1:4" ht="12.75" customHeight="1" x14ac:dyDescent="0.2">
      <c r="A6593" s="21"/>
      <c r="B6593" s="3" t="s">
        <v>8</v>
      </c>
      <c r="C6593" s="20" t="s">
        <v>1382</v>
      </c>
      <c r="D6593" s="21"/>
    </row>
    <row r="6594" spans="1:4" ht="12.75" customHeight="1" x14ac:dyDescent="0.2">
      <c r="A6594" s="21"/>
      <c r="B6594" s="3" t="s">
        <v>9</v>
      </c>
      <c r="C6594" s="20" t="s">
        <v>2412</v>
      </c>
      <c r="D6594" s="21"/>
    </row>
    <row r="6595" spans="1:4" ht="12.75" customHeight="1" x14ac:dyDescent="0.2">
      <c r="A6595" s="21"/>
      <c r="B6595" s="3" t="s">
        <v>11</v>
      </c>
      <c r="C6595" s="20" t="s">
        <v>1261</v>
      </c>
      <c r="D6595" s="21"/>
    </row>
    <row r="6596" spans="1:4" ht="12.75" customHeight="1" x14ac:dyDescent="0.2">
      <c r="A6596" s="21"/>
      <c r="B6596" s="3" t="s">
        <v>13</v>
      </c>
      <c r="C6596" s="20" t="s">
        <v>24</v>
      </c>
      <c r="D6596" s="21"/>
    </row>
    <row r="6597" spans="1:4" ht="12.75" customHeight="1" x14ac:dyDescent="0.2">
      <c r="A6597" s="21"/>
      <c r="B6597" s="3" t="s">
        <v>15</v>
      </c>
      <c r="C6597" s="20" t="s">
        <v>24</v>
      </c>
      <c r="D6597" s="21"/>
    </row>
    <row r="6598" spans="1:4" ht="12.75" customHeight="1" x14ac:dyDescent="0.2">
      <c r="A6598" s="21"/>
      <c r="B6598" s="3" t="s">
        <v>16</v>
      </c>
      <c r="C6598" s="20"/>
      <c r="D6598" s="21"/>
    </row>
    <row r="6599" spans="1:4" ht="12.75" customHeight="1" x14ac:dyDescent="0.2">
      <c r="A6599" s="21"/>
      <c r="B6599" s="3" t="s">
        <v>17</v>
      </c>
      <c r="C6599" s="20"/>
      <c r="D6599" s="21"/>
    </row>
    <row r="6600" spans="1:4" ht="12.75" customHeight="1" x14ac:dyDescent="0.2">
      <c r="A6600" s="21"/>
      <c r="B6600" s="20" t="s">
        <v>18</v>
      </c>
      <c r="C6600" s="4" t="s">
        <v>44</v>
      </c>
      <c r="D6600" s="6" t="str">
        <f>HYPERLINK("javascript:void(0)","cseppallos")</f>
        <v>cseppallos</v>
      </c>
    </row>
    <row r="6601" spans="1:4" ht="12.75" customHeight="1" x14ac:dyDescent="0.2">
      <c r="A6601" s="21"/>
      <c r="B6601" s="21"/>
      <c r="C6601" s="4" t="s">
        <v>44</v>
      </c>
      <c r="D6601" s="6" t="str">
        <f>HYPERLINK("javascript:void(0)","fénypenge")</f>
        <v>fénypenge</v>
      </c>
    </row>
    <row r="6602" spans="1:4" ht="12.75" customHeight="1" x14ac:dyDescent="0.2">
      <c r="A6602" s="21"/>
      <c r="B6602" s="21"/>
      <c r="C6602" s="4" t="s">
        <v>196</v>
      </c>
      <c r="D6602" s="6" t="str">
        <f>HYPERLINK("javascript:void(0)","átokhordozó")</f>
        <v>átokhordozó</v>
      </c>
    </row>
    <row r="6603" spans="1:4" ht="12.75" customHeight="1" x14ac:dyDescent="0.2">
      <c r="A6603" s="5"/>
      <c r="B6603" s="2"/>
      <c r="C6603" s="2"/>
      <c r="D6603" s="2"/>
    </row>
    <row r="6604" spans="1:4" ht="12.75" customHeight="1" x14ac:dyDescent="0.2">
      <c r="A6604" s="22" t="str">
        <f>HYPERLINK("javascript:void(0)","fogas kampó")</f>
        <v>fogas kampó</v>
      </c>
      <c r="B6604" s="21"/>
      <c r="C6604" s="21"/>
      <c r="D6604" s="21"/>
    </row>
    <row r="6605" spans="1:4" ht="12.75" customHeight="1" x14ac:dyDescent="0.2">
      <c r="A6605" s="20"/>
      <c r="B6605" s="2"/>
      <c r="C6605" s="2"/>
      <c r="D6605" s="2"/>
    </row>
    <row r="6606" spans="1:4" ht="12.75" customHeight="1" x14ac:dyDescent="0.2">
      <c r="A6606" s="21"/>
      <c r="B6606" s="3" t="s">
        <v>0</v>
      </c>
      <c r="C6606" s="20" t="s">
        <v>1385</v>
      </c>
      <c r="D6606" s="21"/>
    </row>
    <row r="6607" spans="1:4" ht="12.75" customHeight="1" x14ac:dyDescent="0.2">
      <c r="A6607" s="21"/>
      <c r="B6607" s="3" t="s">
        <v>2</v>
      </c>
      <c r="C6607" s="20" t="s">
        <v>1598</v>
      </c>
      <c r="D6607" s="21"/>
    </row>
    <row r="6608" spans="1:4" ht="12.75" customHeight="1" x14ac:dyDescent="0.2">
      <c r="A6608" s="21"/>
      <c r="B6608" s="3" t="s">
        <v>4</v>
      </c>
      <c r="C6608" s="20" t="s">
        <v>2414</v>
      </c>
      <c r="D6608" s="21"/>
    </row>
    <row r="6609" spans="1:4" ht="12.75" customHeight="1" x14ac:dyDescent="0.2">
      <c r="A6609" s="21"/>
      <c r="B6609" s="3" t="s">
        <v>6</v>
      </c>
      <c r="C6609" s="20" t="s">
        <v>92</v>
      </c>
      <c r="D6609" s="21"/>
    </row>
    <row r="6610" spans="1:4" ht="12.75" customHeight="1" x14ac:dyDescent="0.2">
      <c r="A6610" s="21"/>
      <c r="B6610" s="3" t="s">
        <v>8</v>
      </c>
      <c r="C6610" s="20" t="s">
        <v>2414</v>
      </c>
      <c r="D6610" s="21"/>
    </row>
    <row r="6611" spans="1:4" ht="12.75" customHeight="1" x14ac:dyDescent="0.2">
      <c r="A6611" s="21"/>
      <c r="B6611" s="3" t="s">
        <v>9</v>
      </c>
      <c r="C6611" s="20" t="s">
        <v>1524</v>
      </c>
      <c r="D6611" s="21"/>
    </row>
    <row r="6612" spans="1:4" ht="12.75" customHeight="1" x14ac:dyDescent="0.2">
      <c r="A6612" s="21"/>
      <c r="B6612" s="3" t="s">
        <v>11</v>
      </c>
      <c r="C6612" s="20" t="s">
        <v>1276</v>
      </c>
      <c r="D6612" s="21"/>
    </row>
    <row r="6613" spans="1:4" ht="12.75" customHeight="1" x14ac:dyDescent="0.2">
      <c r="A6613" s="21"/>
      <c r="B6613" s="3" t="s">
        <v>13</v>
      </c>
      <c r="C6613" s="20" t="s">
        <v>24</v>
      </c>
      <c r="D6613" s="21"/>
    </row>
    <row r="6614" spans="1:4" ht="12.75" customHeight="1" x14ac:dyDescent="0.2">
      <c r="A6614" s="21"/>
      <c r="B6614" s="3" t="s">
        <v>15</v>
      </c>
      <c r="C6614" s="20" t="s">
        <v>24</v>
      </c>
      <c r="D6614" s="21"/>
    </row>
    <row r="6615" spans="1:4" ht="12.75" customHeight="1" x14ac:dyDescent="0.2">
      <c r="A6615" s="21"/>
      <c r="B6615" s="3" t="s">
        <v>16</v>
      </c>
      <c r="C6615" s="20"/>
      <c r="D6615" s="21"/>
    </row>
    <row r="6616" spans="1:4" ht="12.75" customHeight="1" x14ac:dyDescent="0.2">
      <c r="A6616" s="21"/>
      <c r="B6616" s="3" t="s">
        <v>17</v>
      </c>
      <c r="C6616" s="20"/>
      <c r="D6616" s="21"/>
    </row>
    <row r="6617" spans="1:4" ht="12.75" customHeight="1" x14ac:dyDescent="0.2">
      <c r="A6617" s="21"/>
      <c r="B6617" s="20" t="s">
        <v>18</v>
      </c>
      <c r="C6617" s="4" t="s">
        <v>44</v>
      </c>
      <c r="D6617" s="6" t="str">
        <f>HYPERLINK("javascript:void(0)","átoktőr")</f>
        <v>átoktőr</v>
      </c>
    </row>
    <row r="6618" spans="1:4" ht="12.75" customHeight="1" x14ac:dyDescent="0.2">
      <c r="A6618" s="21"/>
      <c r="B6618" s="21"/>
      <c r="C6618" s="4" t="s">
        <v>67</v>
      </c>
      <c r="D6618" s="6" t="str">
        <f>HYPERLINK("javascript:void(0)","akasztó")</f>
        <v>akasztó</v>
      </c>
    </row>
    <row r="6619" spans="1:4" ht="12.75" customHeight="1" x14ac:dyDescent="0.2">
      <c r="A6619" s="21"/>
      <c r="B6619" s="21"/>
      <c r="C6619" s="4" t="s">
        <v>163</v>
      </c>
      <c r="D6619" s="6" t="str">
        <f>HYPERLINK("javascript:void(0)","unikornisszarv")</f>
        <v>unikornisszarv</v>
      </c>
    </row>
    <row r="6620" spans="1:4" ht="12.75" customHeight="1" x14ac:dyDescent="0.2">
      <c r="A6620" s="5"/>
      <c r="B6620" s="2"/>
      <c r="C6620" s="2"/>
      <c r="D6620" s="2"/>
    </row>
    <row r="6621" spans="1:4" ht="12.75" customHeight="1" x14ac:dyDescent="0.2">
      <c r="A6621" s="22" t="str">
        <f>HYPERLINK("javascript:void(0)","pillepallos")</f>
        <v>pillepallos</v>
      </c>
      <c r="B6621" s="21"/>
      <c r="C6621" s="21"/>
      <c r="D6621" s="21"/>
    </row>
    <row r="6622" spans="1:4" ht="12.75" customHeight="1" x14ac:dyDescent="0.2">
      <c r="A6622" s="20"/>
      <c r="B6622" s="2"/>
      <c r="C6622" s="2"/>
      <c r="D6622" s="2"/>
    </row>
    <row r="6623" spans="1:4" ht="12.75" customHeight="1" x14ac:dyDescent="0.2">
      <c r="A6623" s="21"/>
      <c r="B6623" s="3" t="s">
        <v>0</v>
      </c>
      <c r="C6623" s="20" t="s">
        <v>1390</v>
      </c>
      <c r="D6623" s="21"/>
    </row>
    <row r="6624" spans="1:4" ht="12.75" customHeight="1" x14ac:dyDescent="0.2">
      <c r="A6624" s="21"/>
      <c r="B6624" s="3" t="s">
        <v>2</v>
      </c>
      <c r="C6624" s="20" t="s">
        <v>1598</v>
      </c>
      <c r="D6624" s="21"/>
    </row>
    <row r="6625" spans="1:4" ht="12.75" customHeight="1" x14ac:dyDescent="0.2">
      <c r="A6625" s="21"/>
      <c r="B6625" s="3" t="s">
        <v>4</v>
      </c>
      <c r="C6625" s="20" t="s">
        <v>1765</v>
      </c>
      <c r="D6625" s="21"/>
    </row>
    <row r="6626" spans="1:4" ht="12.75" customHeight="1" x14ac:dyDescent="0.2">
      <c r="A6626" s="21"/>
      <c r="B6626" s="3" t="s">
        <v>6</v>
      </c>
      <c r="C6626" s="20" t="s">
        <v>260</v>
      </c>
      <c r="D6626" s="21"/>
    </row>
    <row r="6627" spans="1:4" ht="12.75" customHeight="1" x14ac:dyDescent="0.2">
      <c r="A6627" s="21"/>
      <c r="B6627" s="3" t="s">
        <v>8</v>
      </c>
      <c r="C6627" s="20" t="s">
        <v>1765</v>
      </c>
      <c r="D6627" s="21"/>
    </row>
    <row r="6628" spans="1:4" ht="12.75" customHeight="1" x14ac:dyDescent="0.2">
      <c r="A6628" s="21"/>
      <c r="B6628" s="3" t="s">
        <v>9</v>
      </c>
      <c r="C6628" s="20" t="s">
        <v>626</v>
      </c>
      <c r="D6628" s="21"/>
    </row>
    <row r="6629" spans="1:4" ht="12.75" customHeight="1" x14ac:dyDescent="0.2">
      <c r="A6629" s="21"/>
      <c r="B6629" s="3" t="s">
        <v>11</v>
      </c>
      <c r="C6629" s="20" t="s">
        <v>1291</v>
      </c>
      <c r="D6629" s="21"/>
    </row>
    <row r="6630" spans="1:4" ht="12.75" customHeight="1" x14ac:dyDescent="0.2">
      <c r="A6630" s="21"/>
      <c r="B6630" s="3" t="s">
        <v>13</v>
      </c>
      <c r="C6630" s="20" t="s">
        <v>24</v>
      </c>
      <c r="D6630" s="21"/>
    </row>
    <row r="6631" spans="1:4" ht="12.75" customHeight="1" x14ac:dyDescent="0.2">
      <c r="A6631" s="21"/>
      <c r="B6631" s="3" t="s">
        <v>15</v>
      </c>
      <c r="C6631" s="20" t="s">
        <v>24</v>
      </c>
      <c r="D6631" s="21"/>
    </row>
    <row r="6632" spans="1:4" ht="12.75" customHeight="1" x14ac:dyDescent="0.2">
      <c r="A6632" s="21"/>
      <c r="B6632" s="3" t="s">
        <v>16</v>
      </c>
      <c r="C6632" s="20"/>
      <c r="D6632" s="21"/>
    </row>
    <row r="6633" spans="1:4" ht="12.75" customHeight="1" x14ac:dyDescent="0.2">
      <c r="A6633" s="21"/>
      <c r="B6633" s="3" t="s">
        <v>17</v>
      </c>
      <c r="C6633" s="20"/>
      <c r="D6633" s="21"/>
    </row>
    <row r="6634" spans="1:4" ht="12.75" customHeight="1" x14ac:dyDescent="0.2">
      <c r="A6634" s="21"/>
      <c r="B6634" s="20" t="s">
        <v>18</v>
      </c>
      <c r="C6634" s="4" t="s">
        <v>68</v>
      </c>
      <c r="D6634" s="6" t="str">
        <f>HYPERLINK("javascript:void(0)","nullgravita")</f>
        <v>nullgravita</v>
      </c>
    </row>
    <row r="6635" spans="1:4" ht="12.75" customHeight="1" x14ac:dyDescent="0.2">
      <c r="A6635" s="21"/>
      <c r="B6635" s="21"/>
      <c r="C6635" s="4" t="s">
        <v>382</v>
      </c>
      <c r="D6635" s="6" t="str">
        <f>HYPERLINK("javascript:void(0)","regnum")</f>
        <v>regnum</v>
      </c>
    </row>
    <row r="6636" spans="1:4" ht="12.75" customHeight="1" x14ac:dyDescent="0.2">
      <c r="A6636" s="21"/>
      <c r="B6636" s="21"/>
      <c r="C6636" s="4" t="s">
        <v>309</v>
      </c>
      <c r="D6636" s="6" t="str">
        <f>HYPERLINK("javascript:void(0)","átokige")</f>
        <v>átokige</v>
      </c>
    </row>
    <row r="6637" spans="1:4" ht="12.75" customHeight="1" x14ac:dyDescent="0.2">
      <c r="A6637" s="5"/>
      <c r="B6637" s="2"/>
      <c r="C6637" s="2"/>
      <c r="D6637" s="2"/>
    </row>
    <row r="6638" spans="1:4" ht="12.75" customHeight="1" x14ac:dyDescent="0.2">
      <c r="A6638" s="22" t="str">
        <f>HYPERLINK("javascript:void(0)","ellendárda")</f>
        <v>ellendárda</v>
      </c>
      <c r="B6638" s="21"/>
      <c r="C6638" s="21"/>
      <c r="D6638" s="21"/>
    </row>
    <row r="6639" spans="1:4" ht="12.75" customHeight="1" x14ac:dyDescent="0.2">
      <c r="A6639" s="20"/>
      <c r="B6639" s="2"/>
      <c r="C6639" s="2"/>
      <c r="D6639" s="2"/>
    </row>
    <row r="6640" spans="1:4" ht="12.75" customHeight="1" x14ac:dyDescent="0.2">
      <c r="A6640" s="21"/>
      <c r="B6640" s="3" t="s">
        <v>0</v>
      </c>
      <c r="C6640" s="20" t="s">
        <v>411</v>
      </c>
      <c r="D6640" s="21"/>
    </row>
    <row r="6641" spans="1:4" ht="12.75" customHeight="1" x14ac:dyDescent="0.2">
      <c r="A6641" s="21"/>
      <c r="B6641" s="3" t="s">
        <v>2</v>
      </c>
      <c r="C6641" s="20" t="s">
        <v>1598</v>
      </c>
      <c r="D6641" s="21"/>
    </row>
    <row r="6642" spans="1:4" ht="12.75" customHeight="1" x14ac:dyDescent="0.2">
      <c r="A6642" s="21"/>
      <c r="B6642" s="3" t="s">
        <v>4</v>
      </c>
      <c r="C6642" s="20" t="s">
        <v>1395</v>
      </c>
      <c r="D6642" s="21"/>
    </row>
    <row r="6643" spans="1:4" ht="12.75" customHeight="1" x14ac:dyDescent="0.2">
      <c r="A6643" s="21"/>
      <c r="B6643" s="3" t="s">
        <v>6</v>
      </c>
      <c r="C6643" s="20" t="s">
        <v>157</v>
      </c>
      <c r="D6643" s="21"/>
    </row>
    <row r="6644" spans="1:4" ht="12.75" customHeight="1" x14ac:dyDescent="0.2">
      <c r="A6644" s="21"/>
      <c r="B6644" s="3" t="s">
        <v>8</v>
      </c>
      <c r="C6644" s="20" t="s">
        <v>1395</v>
      </c>
      <c r="D6644" s="21"/>
    </row>
    <row r="6645" spans="1:4" ht="12.75" customHeight="1" x14ac:dyDescent="0.2">
      <c r="A6645" s="21"/>
      <c r="B6645" s="3" t="s">
        <v>9</v>
      </c>
      <c r="C6645" s="20" t="s">
        <v>2146</v>
      </c>
      <c r="D6645" s="21"/>
    </row>
    <row r="6646" spans="1:4" ht="12.75" customHeight="1" x14ac:dyDescent="0.2">
      <c r="A6646" s="21"/>
      <c r="B6646" s="3" t="s">
        <v>11</v>
      </c>
      <c r="C6646" s="20" t="s">
        <v>1305</v>
      </c>
      <c r="D6646" s="21"/>
    </row>
    <row r="6647" spans="1:4" ht="12.75" customHeight="1" x14ac:dyDescent="0.2">
      <c r="A6647" s="21"/>
      <c r="B6647" s="3" t="s">
        <v>13</v>
      </c>
      <c r="C6647" s="20" t="s">
        <v>24</v>
      </c>
      <c r="D6647" s="21"/>
    </row>
    <row r="6648" spans="1:4" ht="12.75" customHeight="1" x14ac:dyDescent="0.2">
      <c r="A6648" s="21"/>
      <c r="B6648" s="3" t="s">
        <v>15</v>
      </c>
      <c r="C6648" s="20" t="s">
        <v>24</v>
      </c>
      <c r="D6648" s="21"/>
    </row>
    <row r="6649" spans="1:4" ht="12.75" customHeight="1" x14ac:dyDescent="0.2">
      <c r="A6649" s="21"/>
      <c r="B6649" s="3" t="s">
        <v>16</v>
      </c>
      <c r="C6649" s="20"/>
      <c r="D6649" s="21"/>
    </row>
    <row r="6650" spans="1:4" ht="12.75" customHeight="1" x14ac:dyDescent="0.2">
      <c r="A6650" s="21"/>
      <c r="B6650" s="3" t="s">
        <v>17</v>
      </c>
      <c r="C6650" s="20"/>
      <c r="D6650" s="21"/>
    </row>
    <row r="6651" spans="1:4" ht="12.75" customHeight="1" x14ac:dyDescent="0.2">
      <c r="A6651" s="21"/>
      <c r="B6651" s="20" t="s">
        <v>18</v>
      </c>
      <c r="C6651" s="4" t="s">
        <v>44</v>
      </c>
      <c r="D6651" s="6" t="str">
        <f>HYPERLINK("javascript:void(0)","fogas kampó")</f>
        <v>fogas kampó</v>
      </c>
    </row>
    <row r="6652" spans="1:4" ht="12.75" customHeight="1" x14ac:dyDescent="0.2">
      <c r="A6652" s="21"/>
      <c r="B6652" s="21"/>
      <c r="C6652" s="4" t="s">
        <v>44</v>
      </c>
      <c r="D6652" s="6" t="str">
        <f>HYPERLINK("javascript:void(0)","pillepallos")</f>
        <v>pillepallos</v>
      </c>
    </row>
    <row r="6653" spans="1:4" ht="12.75" customHeight="1" x14ac:dyDescent="0.2">
      <c r="A6653" s="21"/>
      <c r="B6653" s="21"/>
      <c r="C6653" s="4" t="s">
        <v>196</v>
      </c>
      <c r="D6653" s="6" t="str">
        <f>HYPERLINK("javascript:void(0)","ellenige")</f>
        <v>ellenige</v>
      </c>
    </row>
    <row r="6654" spans="1:4" ht="12.75" customHeight="1" x14ac:dyDescent="0.2">
      <c r="A6654" s="5"/>
      <c r="B6654" s="2"/>
      <c r="C6654" s="2"/>
      <c r="D6654" s="2"/>
    </row>
    <row r="6655" spans="1:4" ht="12.75" customHeight="1" x14ac:dyDescent="0.2">
      <c r="A6655" s="22" t="str">
        <f>HYPERLINK("javascript:void(0)","orkánbárd")</f>
        <v>orkánbárd</v>
      </c>
      <c r="B6655" s="21"/>
      <c r="C6655" s="21"/>
      <c r="D6655" s="21"/>
    </row>
    <row r="6656" spans="1:4" ht="12.75" customHeight="1" x14ac:dyDescent="0.2">
      <c r="A6656" s="20"/>
      <c r="B6656" s="2"/>
      <c r="C6656" s="2"/>
      <c r="D6656" s="2"/>
    </row>
    <row r="6657" spans="1:4" ht="12.75" customHeight="1" x14ac:dyDescent="0.2">
      <c r="A6657" s="21"/>
      <c r="B6657" s="3" t="s">
        <v>0</v>
      </c>
      <c r="C6657" s="20" t="s">
        <v>1400</v>
      </c>
      <c r="D6657" s="21"/>
    </row>
    <row r="6658" spans="1:4" ht="12.75" customHeight="1" x14ac:dyDescent="0.2">
      <c r="A6658" s="21"/>
      <c r="B6658" s="3" t="s">
        <v>2</v>
      </c>
      <c r="C6658" s="20" t="s">
        <v>1598</v>
      </c>
      <c r="D6658" s="21"/>
    </row>
    <row r="6659" spans="1:4" ht="12.75" customHeight="1" x14ac:dyDescent="0.2">
      <c r="A6659" s="21"/>
      <c r="B6659" s="3" t="s">
        <v>4</v>
      </c>
      <c r="C6659" s="20" t="s">
        <v>2416</v>
      </c>
      <c r="D6659" s="21"/>
    </row>
    <row r="6660" spans="1:4" ht="12.75" customHeight="1" x14ac:dyDescent="0.2">
      <c r="A6660" s="21"/>
      <c r="B6660" s="3" t="s">
        <v>6</v>
      </c>
      <c r="C6660" s="20" t="s">
        <v>155</v>
      </c>
      <c r="D6660" s="21"/>
    </row>
    <row r="6661" spans="1:4" ht="12.75" customHeight="1" x14ac:dyDescent="0.2">
      <c r="A6661" s="21"/>
      <c r="B6661" s="3" t="s">
        <v>8</v>
      </c>
      <c r="C6661" s="20" t="s">
        <v>2416</v>
      </c>
      <c r="D6661" s="21"/>
    </row>
    <row r="6662" spans="1:4" ht="12.75" customHeight="1" x14ac:dyDescent="0.2">
      <c r="A6662" s="21"/>
      <c r="B6662" s="3" t="s">
        <v>9</v>
      </c>
      <c r="C6662" s="20" t="s">
        <v>2412</v>
      </c>
      <c r="D6662" s="21"/>
    </row>
    <row r="6663" spans="1:4" ht="12.75" customHeight="1" x14ac:dyDescent="0.2">
      <c r="A6663" s="21"/>
      <c r="B6663" s="3" t="s">
        <v>11</v>
      </c>
      <c r="C6663" s="20" t="s">
        <v>1319</v>
      </c>
      <c r="D6663" s="21"/>
    </row>
    <row r="6664" spans="1:4" ht="12.75" customHeight="1" x14ac:dyDescent="0.2">
      <c r="A6664" s="21"/>
      <c r="B6664" s="3" t="s">
        <v>13</v>
      </c>
      <c r="C6664" s="20" t="s">
        <v>24</v>
      </c>
      <c r="D6664" s="21"/>
    </row>
    <row r="6665" spans="1:4" ht="12.75" customHeight="1" x14ac:dyDescent="0.2">
      <c r="A6665" s="21"/>
      <c r="B6665" s="3" t="s">
        <v>15</v>
      </c>
      <c r="C6665" s="20" t="s">
        <v>24</v>
      </c>
      <c r="D6665" s="21"/>
    </row>
    <row r="6666" spans="1:4" ht="12.75" customHeight="1" x14ac:dyDescent="0.2">
      <c r="A6666" s="21"/>
      <c r="B6666" s="3" t="s">
        <v>16</v>
      </c>
      <c r="C6666" s="20"/>
      <c r="D6666" s="21"/>
    </row>
    <row r="6667" spans="1:4" ht="12.75" customHeight="1" x14ac:dyDescent="0.2">
      <c r="A6667" s="21"/>
      <c r="B6667" s="3" t="s">
        <v>17</v>
      </c>
      <c r="C6667" s="20"/>
      <c r="D6667" s="21"/>
    </row>
    <row r="6668" spans="1:4" ht="12.75" customHeight="1" x14ac:dyDescent="0.2">
      <c r="A6668" s="21"/>
      <c r="B6668" s="20" t="s">
        <v>18</v>
      </c>
      <c r="C6668" s="4" t="s">
        <v>44</v>
      </c>
      <c r="D6668" s="6" t="str">
        <f>HYPERLINK("javascript:void(0)","ellendárda")</f>
        <v>ellendárda</v>
      </c>
    </row>
    <row r="6669" spans="1:4" ht="12.75" customHeight="1" x14ac:dyDescent="0.2">
      <c r="A6669" s="21"/>
      <c r="B6669" s="21"/>
      <c r="C6669" s="4" t="s">
        <v>132</v>
      </c>
      <c r="D6669" s="6" t="str">
        <f>HYPERLINK("javascript:void(0)","hangfogó")</f>
        <v>hangfogó</v>
      </c>
    </row>
    <row r="6670" spans="1:4" ht="12.75" customHeight="1" x14ac:dyDescent="0.2">
      <c r="A6670" s="21"/>
      <c r="B6670" s="21"/>
      <c r="C6670" s="4" t="s">
        <v>772</v>
      </c>
      <c r="D6670" s="6" t="str">
        <f>HYPERLINK("javascript:void(0)","körhallgató")</f>
        <v>körhallgató</v>
      </c>
    </row>
    <row r="6671" spans="1:4" ht="12.75" customHeight="1" x14ac:dyDescent="0.2">
      <c r="A6671" s="5"/>
      <c r="B6671" s="2"/>
      <c r="C6671" s="2"/>
      <c r="D6671" s="2"/>
    </row>
    <row r="6672" spans="1:4" ht="12.75" customHeight="1" x14ac:dyDescent="0.2">
      <c r="A6672" s="22" t="str">
        <f>HYPERLINK("javascript:void(0)","szentségtelen szablya")</f>
        <v>szentségtelen szablya</v>
      </c>
      <c r="B6672" s="21"/>
      <c r="C6672" s="21"/>
      <c r="D6672" s="21"/>
    </row>
    <row r="6673" spans="1:4" ht="12.75" customHeight="1" x14ac:dyDescent="0.2">
      <c r="A6673" s="20"/>
      <c r="B6673" s="2"/>
      <c r="C6673" s="2"/>
      <c r="D6673" s="2"/>
    </row>
    <row r="6674" spans="1:4" ht="12.75" customHeight="1" x14ac:dyDescent="0.2">
      <c r="A6674" s="21"/>
      <c r="B6674" s="3" t="s">
        <v>0</v>
      </c>
      <c r="C6674" s="20" t="s">
        <v>1406</v>
      </c>
      <c r="D6674" s="21"/>
    </row>
    <row r="6675" spans="1:4" ht="12.75" customHeight="1" x14ac:dyDescent="0.2">
      <c r="A6675" s="21"/>
      <c r="B6675" s="3" t="s">
        <v>2</v>
      </c>
      <c r="C6675" s="20" t="s">
        <v>1598</v>
      </c>
      <c r="D6675" s="21"/>
    </row>
    <row r="6676" spans="1:4" ht="12.75" customHeight="1" x14ac:dyDescent="0.2">
      <c r="A6676" s="21"/>
      <c r="B6676" s="3" t="s">
        <v>4</v>
      </c>
      <c r="C6676" s="20" t="s">
        <v>2417</v>
      </c>
      <c r="D6676" s="21"/>
    </row>
    <row r="6677" spans="1:4" ht="12.75" customHeight="1" x14ac:dyDescent="0.2">
      <c r="A6677" s="21"/>
      <c r="B6677" s="3" t="s">
        <v>6</v>
      </c>
      <c r="C6677" s="20" t="s">
        <v>35</v>
      </c>
      <c r="D6677" s="21"/>
    </row>
    <row r="6678" spans="1:4" ht="12.75" customHeight="1" x14ac:dyDescent="0.2">
      <c r="A6678" s="21"/>
      <c r="B6678" s="3" t="s">
        <v>8</v>
      </c>
      <c r="C6678" s="20" t="s">
        <v>2417</v>
      </c>
      <c r="D6678" s="21"/>
    </row>
    <row r="6679" spans="1:4" ht="12.75" customHeight="1" x14ac:dyDescent="0.2">
      <c r="A6679" s="21"/>
      <c r="B6679" s="3" t="s">
        <v>9</v>
      </c>
      <c r="C6679" s="20" t="s">
        <v>1042</v>
      </c>
      <c r="D6679" s="21"/>
    </row>
    <row r="6680" spans="1:4" ht="12.75" customHeight="1" x14ac:dyDescent="0.2">
      <c r="A6680" s="21"/>
      <c r="B6680" s="3" t="s">
        <v>11</v>
      </c>
      <c r="C6680" s="20" t="s">
        <v>1338</v>
      </c>
      <c r="D6680" s="21"/>
    </row>
    <row r="6681" spans="1:4" ht="12.75" customHeight="1" x14ac:dyDescent="0.2">
      <c r="A6681" s="21"/>
      <c r="B6681" s="3" t="s">
        <v>13</v>
      </c>
      <c r="C6681" s="20" t="s">
        <v>24</v>
      </c>
      <c r="D6681" s="21"/>
    </row>
    <row r="6682" spans="1:4" ht="12.75" customHeight="1" x14ac:dyDescent="0.2">
      <c r="A6682" s="21"/>
      <c r="B6682" s="3" t="s">
        <v>15</v>
      </c>
      <c r="C6682" s="20" t="s">
        <v>24</v>
      </c>
      <c r="D6682" s="21"/>
    </row>
    <row r="6683" spans="1:4" ht="12.75" customHeight="1" x14ac:dyDescent="0.2">
      <c r="A6683" s="21"/>
      <c r="B6683" s="3" t="s">
        <v>16</v>
      </c>
      <c r="C6683" s="20"/>
      <c r="D6683" s="21"/>
    </row>
    <row r="6684" spans="1:4" ht="12.75" customHeight="1" x14ac:dyDescent="0.2">
      <c r="A6684" s="21"/>
      <c r="B6684" s="3" t="s">
        <v>17</v>
      </c>
      <c r="C6684" s="20"/>
      <c r="D6684" s="21"/>
    </row>
    <row r="6685" spans="1:4" ht="12.75" customHeight="1" x14ac:dyDescent="0.2">
      <c r="A6685" s="21"/>
      <c r="B6685" s="20" t="s">
        <v>18</v>
      </c>
      <c r="C6685" s="4" t="s">
        <v>68</v>
      </c>
      <c r="D6685" s="6" t="str">
        <f>HYPERLINK("javascript:void(0)","eretnekség")</f>
        <v>eretnekség</v>
      </c>
    </row>
    <row r="6686" spans="1:4" ht="12.75" customHeight="1" x14ac:dyDescent="0.2">
      <c r="A6686" s="21"/>
      <c r="B6686" s="21"/>
      <c r="C6686" s="4" t="s">
        <v>244</v>
      </c>
      <c r="D6686" s="6" t="str">
        <f>HYPERLINK("javascript:void(0)","reménytelenség")</f>
        <v>reménytelenség</v>
      </c>
    </row>
    <row r="6687" spans="1:4" ht="12.75" customHeight="1" x14ac:dyDescent="0.2">
      <c r="A6687" s="21"/>
      <c r="B6687" s="21"/>
      <c r="C6687" s="4" t="s">
        <v>196</v>
      </c>
      <c r="D6687" s="6" t="str">
        <f>HYPERLINK("javascript:void(0)","lélekfodor")</f>
        <v>lélekfodor</v>
      </c>
    </row>
    <row r="6688" spans="1:4" ht="12.75" customHeight="1" x14ac:dyDescent="0.2">
      <c r="A6688" s="5"/>
      <c r="B6688" s="2"/>
      <c r="C6688" s="2"/>
      <c r="D6688" s="2"/>
    </row>
    <row r="6689" spans="1:4" ht="12.75" customHeight="1" x14ac:dyDescent="0.2">
      <c r="A6689" s="22" t="str">
        <f>HYPERLINK("javascript:void(0)","sziromszigony")</f>
        <v>sziromszigony</v>
      </c>
      <c r="B6689" s="21"/>
      <c r="C6689" s="21"/>
      <c r="D6689" s="21"/>
    </row>
    <row r="6690" spans="1:4" ht="12.75" customHeight="1" x14ac:dyDescent="0.2">
      <c r="A6690" s="20"/>
      <c r="B6690" s="2"/>
      <c r="C6690" s="2"/>
      <c r="D6690" s="2"/>
    </row>
    <row r="6691" spans="1:4" ht="12.75" customHeight="1" x14ac:dyDescent="0.2">
      <c r="A6691" s="21"/>
      <c r="B6691" s="3" t="s">
        <v>0</v>
      </c>
      <c r="C6691" s="20" t="s">
        <v>1412</v>
      </c>
      <c r="D6691" s="21"/>
    </row>
    <row r="6692" spans="1:4" ht="12.75" customHeight="1" x14ac:dyDescent="0.2">
      <c r="A6692" s="21"/>
      <c r="B6692" s="3" t="s">
        <v>2</v>
      </c>
      <c r="C6692" s="20" t="s">
        <v>1598</v>
      </c>
      <c r="D6692" s="21"/>
    </row>
    <row r="6693" spans="1:4" ht="12.75" customHeight="1" x14ac:dyDescent="0.2">
      <c r="A6693" s="21"/>
      <c r="B6693" s="3" t="s">
        <v>4</v>
      </c>
      <c r="C6693" s="20" t="s">
        <v>2419</v>
      </c>
      <c r="D6693" s="21"/>
    </row>
    <row r="6694" spans="1:4" ht="12.75" customHeight="1" x14ac:dyDescent="0.2">
      <c r="A6694" s="21"/>
      <c r="B6694" s="3" t="s">
        <v>6</v>
      </c>
      <c r="C6694" s="20" t="s">
        <v>100</v>
      </c>
      <c r="D6694" s="21"/>
    </row>
    <row r="6695" spans="1:4" ht="12.75" customHeight="1" x14ac:dyDescent="0.2">
      <c r="A6695" s="21"/>
      <c r="B6695" s="3" t="s">
        <v>8</v>
      </c>
      <c r="C6695" s="20" t="s">
        <v>2419</v>
      </c>
      <c r="D6695" s="21"/>
    </row>
    <row r="6696" spans="1:4" ht="12.75" customHeight="1" x14ac:dyDescent="0.2">
      <c r="A6696" s="21"/>
      <c r="B6696" s="3" t="s">
        <v>9</v>
      </c>
      <c r="C6696" s="20" t="s">
        <v>1491</v>
      </c>
      <c r="D6696" s="21"/>
    </row>
    <row r="6697" spans="1:4" ht="12.75" customHeight="1" x14ac:dyDescent="0.2">
      <c r="A6697" s="21"/>
      <c r="B6697" s="3" t="s">
        <v>11</v>
      </c>
      <c r="C6697" s="20" t="s">
        <v>1351</v>
      </c>
      <c r="D6697" s="21"/>
    </row>
    <row r="6698" spans="1:4" ht="12.75" customHeight="1" x14ac:dyDescent="0.2">
      <c r="A6698" s="21"/>
      <c r="B6698" s="3" t="s">
        <v>13</v>
      </c>
      <c r="C6698" s="20" t="s">
        <v>24</v>
      </c>
      <c r="D6698" s="21"/>
    </row>
    <row r="6699" spans="1:4" ht="12.75" customHeight="1" x14ac:dyDescent="0.2">
      <c r="A6699" s="21"/>
      <c r="B6699" s="3" t="s">
        <v>15</v>
      </c>
      <c r="C6699" s="20" t="s">
        <v>24</v>
      </c>
      <c r="D6699" s="21"/>
    </row>
    <row r="6700" spans="1:4" ht="12.75" customHeight="1" x14ac:dyDescent="0.2">
      <c r="A6700" s="21"/>
      <c r="B6700" s="3" t="s">
        <v>16</v>
      </c>
      <c r="C6700" s="20"/>
      <c r="D6700" s="21"/>
    </row>
    <row r="6701" spans="1:4" ht="12.75" customHeight="1" x14ac:dyDescent="0.2">
      <c r="A6701" s="21"/>
      <c r="B6701" s="3" t="s">
        <v>17</v>
      </c>
      <c r="C6701" s="20"/>
      <c r="D6701" s="21"/>
    </row>
    <row r="6702" spans="1:4" ht="12.75" customHeight="1" x14ac:dyDescent="0.2">
      <c r="A6702" s="21"/>
      <c r="B6702" s="20" t="s">
        <v>18</v>
      </c>
      <c r="C6702" s="4" t="s">
        <v>44</v>
      </c>
      <c r="D6702" s="6" t="str">
        <f>HYPERLINK("javascript:void(0)","orkánbárd")</f>
        <v>orkánbárd</v>
      </c>
    </row>
    <row r="6703" spans="1:4" ht="25.5" customHeight="1" x14ac:dyDescent="0.2">
      <c r="A6703" s="21"/>
      <c r="B6703" s="21"/>
      <c r="C6703" s="4" t="s">
        <v>44</v>
      </c>
      <c r="D6703" s="6" t="str">
        <f>HYPERLINK("javascript:void(0)","szentségtelen szablya")</f>
        <v>szentségtelen szablya</v>
      </c>
    </row>
    <row r="6704" spans="1:4" ht="12.75" customHeight="1" x14ac:dyDescent="0.2">
      <c r="A6704" s="21"/>
      <c r="B6704" s="21"/>
      <c r="C6704" s="4" t="s">
        <v>77</v>
      </c>
      <c r="D6704" s="6" t="str">
        <f>HYPERLINK("javascript:void(0)","csillagszirom")</f>
        <v>csillagszirom</v>
      </c>
    </row>
    <row r="6705" spans="1:4" ht="12.75" customHeight="1" x14ac:dyDescent="0.2">
      <c r="A6705" s="5"/>
      <c r="B6705" s="2"/>
      <c r="C6705" s="2"/>
      <c r="D6705" s="2"/>
    </row>
    <row r="6706" spans="1:4" ht="12.75" customHeight="1" x14ac:dyDescent="0.2">
      <c r="A6706" s="22" t="str">
        <f>HYPERLINK("javascript:void(0)","hálókopja")</f>
        <v>hálókopja</v>
      </c>
      <c r="B6706" s="21"/>
      <c r="C6706" s="21"/>
      <c r="D6706" s="21"/>
    </row>
    <row r="6707" spans="1:4" ht="12.75" customHeight="1" x14ac:dyDescent="0.2">
      <c r="A6707" s="20"/>
      <c r="B6707" s="2"/>
      <c r="C6707" s="2"/>
      <c r="D6707" s="2"/>
    </row>
    <row r="6708" spans="1:4" ht="12.75" customHeight="1" x14ac:dyDescent="0.2">
      <c r="A6708" s="21"/>
      <c r="B6708" s="3" t="s">
        <v>0</v>
      </c>
      <c r="C6708" s="20" t="s">
        <v>267</v>
      </c>
      <c r="D6708" s="21"/>
    </row>
    <row r="6709" spans="1:4" ht="12.75" customHeight="1" x14ac:dyDescent="0.2">
      <c r="A6709" s="21"/>
      <c r="B6709" s="3" t="s">
        <v>2</v>
      </c>
      <c r="C6709" s="20" t="s">
        <v>1598</v>
      </c>
      <c r="D6709" s="21"/>
    </row>
    <row r="6710" spans="1:4" ht="12.75" customHeight="1" x14ac:dyDescent="0.2">
      <c r="A6710" s="21"/>
      <c r="B6710" s="3" t="s">
        <v>4</v>
      </c>
      <c r="C6710" s="20" t="s">
        <v>2421</v>
      </c>
      <c r="D6710" s="21"/>
    </row>
    <row r="6711" spans="1:4" ht="12.75" customHeight="1" x14ac:dyDescent="0.2">
      <c r="A6711" s="21"/>
      <c r="B6711" s="3" t="s">
        <v>6</v>
      </c>
      <c r="C6711" s="20" t="s">
        <v>187</v>
      </c>
      <c r="D6711" s="21"/>
    </row>
    <row r="6712" spans="1:4" ht="12.75" customHeight="1" x14ac:dyDescent="0.2">
      <c r="A6712" s="21"/>
      <c r="B6712" s="3" t="s">
        <v>8</v>
      </c>
      <c r="C6712" s="20" t="s">
        <v>2421</v>
      </c>
      <c r="D6712" s="21"/>
    </row>
    <row r="6713" spans="1:4" ht="12.75" customHeight="1" x14ac:dyDescent="0.2">
      <c r="A6713" s="21"/>
      <c r="B6713" s="3" t="s">
        <v>9</v>
      </c>
      <c r="C6713" s="20" t="s">
        <v>2411</v>
      </c>
      <c r="D6713" s="21"/>
    </row>
    <row r="6714" spans="1:4" ht="12.75" customHeight="1" x14ac:dyDescent="0.2">
      <c r="A6714" s="21"/>
      <c r="B6714" s="3" t="s">
        <v>11</v>
      </c>
      <c r="C6714" s="20" t="s">
        <v>1781</v>
      </c>
      <c r="D6714" s="21"/>
    </row>
    <row r="6715" spans="1:4" ht="12.75" customHeight="1" x14ac:dyDescent="0.2">
      <c r="A6715" s="21"/>
      <c r="B6715" s="3" t="s">
        <v>13</v>
      </c>
      <c r="C6715" s="20" t="s">
        <v>24</v>
      </c>
      <c r="D6715" s="21"/>
    </row>
    <row r="6716" spans="1:4" ht="12.75" customHeight="1" x14ac:dyDescent="0.2">
      <c r="A6716" s="21"/>
      <c r="B6716" s="3" t="s">
        <v>15</v>
      </c>
      <c r="C6716" s="20" t="s">
        <v>24</v>
      </c>
      <c r="D6716" s="21"/>
    </row>
    <row r="6717" spans="1:4" ht="12.75" customHeight="1" x14ac:dyDescent="0.2">
      <c r="A6717" s="21"/>
      <c r="B6717" s="3" t="s">
        <v>16</v>
      </c>
      <c r="C6717" s="20"/>
      <c r="D6717" s="21"/>
    </row>
    <row r="6718" spans="1:4" ht="12.75" customHeight="1" x14ac:dyDescent="0.2">
      <c r="A6718" s="21"/>
      <c r="B6718" s="3" t="s">
        <v>17</v>
      </c>
      <c r="C6718" s="20"/>
      <c r="D6718" s="21"/>
    </row>
    <row r="6719" spans="1:4" ht="12.75" customHeight="1" x14ac:dyDescent="0.2">
      <c r="A6719" s="21"/>
      <c r="B6719" s="20" t="s">
        <v>18</v>
      </c>
      <c r="C6719" s="4" t="s">
        <v>44</v>
      </c>
      <c r="D6719" s="6" t="str">
        <f>HYPERLINK("javascript:void(0)","sziromszigony")</f>
        <v>sziromszigony</v>
      </c>
    </row>
    <row r="6720" spans="1:4" ht="12.75" customHeight="1" x14ac:dyDescent="0.2">
      <c r="A6720" s="21"/>
      <c r="B6720" s="21"/>
      <c r="C6720" s="4" t="s">
        <v>68</v>
      </c>
      <c r="D6720" s="6" t="str">
        <f>HYPERLINK("javascript:void(0)","monsztaige")</f>
        <v>monsztaige</v>
      </c>
    </row>
    <row r="6721" spans="1:4" ht="12.75" customHeight="1" x14ac:dyDescent="0.2">
      <c r="A6721" s="21"/>
      <c r="B6721" s="21"/>
      <c r="C6721" s="4" t="s">
        <v>228</v>
      </c>
      <c r="D6721" s="6" t="str">
        <f>HYPERLINK("javascript:void(0)","csapdaszeg")</f>
        <v>csapdaszeg</v>
      </c>
    </row>
    <row r="6722" spans="1:4" ht="12.75" customHeight="1" x14ac:dyDescent="0.2">
      <c r="A6722" s="5"/>
      <c r="B6722" s="2"/>
      <c r="C6722" s="2"/>
      <c r="D6722" s="2"/>
    </row>
    <row r="6723" spans="1:4" ht="12.75" customHeight="1" x14ac:dyDescent="0.2">
      <c r="A6723" s="22" t="str">
        <f>HYPERLINK("javascript:void(0)","masszaszigony")</f>
        <v>masszaszigony</v>
      </c>
      <c r="B6723" s="21"/>
      <c r="C6723" s="21"/>
      <c r="D6723" s="21"/>
    </row>
    <row r="6724" spans="1:4" ht="12.75" customHeight="1" x14ac:dyDescent="0.2">
      <c r="A6724" s="20"/>
      <c r="B6724" s="2"/>
      <c r="C6724" s="2"/>
      <c r="D6724" s="2"/>
    </row>
    <row r="6725" spans="1:4" ht="12.75" customHeight="1" x14ac:dyDescent="0.2">
      <c r="A6725" s="21"/>
      <c r="B6725" s="3" t="s">
        <v>0</v>
      </c>
      <c r="C6725" s="20" t="s">
        <v>1422</v>
      </c>
      <c r="D6725" s="21"/>
    </row>
    <row r="6726" spans="1:4" ht="12.75" customHeight="1" x14ac:dyDescent="0.2">
      <c r="A6726" s="21"/>
      <c r="B6726" s="3" t="s">
        <v>2</v>
      </c>
      <c r="C6726" s="20" t="s">
        <v>1598</v>
      </c>
      <c r="D6726" s="21"/>
    </row>
    <row r="6727" spans="1:4" ht="12.75" customHeight="1" x14ac:dyDescent="0.2">
      <c r="A6727" s="21"/>
      <c r="B6727" s="3" t="s">
        <v>4</v>
      </c>
      <c r="C6727" s="20" t="s">
        <v>2424</v>
      </c>
      <c r="D6727" s="21"/>
    </row>
    <row r="6728" spans="1:4" ht="12.75" customHeight="1" x14ac:dyDescent="0.2">
      <c r="A6728" s="21"/>
      <c r="B6728" s="3" t="s">
        <v>6</v>
      </c>
      <c r="C6728" s="20" t="s">
        <v>298</v>
      </c>
      <c r="D6728" s="21"/>
    </row>
    <row r="6729" spans="1:4" ht="12.75" customHeight="1" x14ac:dyDescent="0.2">
      <c r="A6729" s="21"/>
      <c r="B6729" s="3" t="s">
        <v>8</v>
      </c>
      <c r="C6729" s="20" t="s">
        <v>2424</v>
      </c>
      <c r="D6729" s="21"/>
    </row>
    <row r="6730" spans="1:4" ht="12.75" customHeight="1" x14ac:dyDescent="0.2">
      <c r="A6730" s="21"/>
      <c r="B6730" s="3" t="s">
        <v>9</v>
      </c>
      <c r="C6730" s="20" t="s">
        <v>2411</v>
      </c>
      <c r="D6730" s="21"/>
    </row>
    <row r="6731" spans="1:4" ht="12.75" customHeight="1" x14ac:dyDescent="0.2">
      <c r="A6731" s="21"/>
      <c r="B6731" s="3" t="s">
        <v>11</v>
      </c>
      <c r="C6731" s="20" t="s">
        <v>1785</v>
      </c>
      <c r="D6731" s="21"/>
    </row>
    <row r="6732" spans="1:4" ht="12.75" customHeight="1" x14ac:dyDescent="0.2">
      <c r="A6732" s="21"/>
      <c r="B6732" s="3" t="s">
        <v>13</v>
      </c>
      <c r="C6732" s="20" t="s">
        <v>24</v>
      </c>
      <c r="D6732" s="21"/>
    </row>
    <row r="6733" spans="1:4" ht="12.75" customHeight="1" x14ac:dyDescent="0.2">
      <c r="A6733" s="21"/>
      <c r="B6733" s="3" t="s">
        <v>15</v>
      </c>
      <c r="C6733" s="20" t="s">
        <v>24</v>
      </c>
      <c r="D6733" s="21"/>
    </row>
    <row r="6734" spans="1:4" ht="12.75" customHeight="1" x14ac:dyDescent="0.2">
      <c r="A6734" s="21"/>
      <c r="B6734" s="3" t="s">
        <v>16</v>
      </c>
      <c r="C6734" s="20"/>
      <c r="D6734" s="21"/>
    </row>
    <row r="6735" spans="1:4" ht="12.75" customHeight="1" x14ac:dyDescent="0.2">
      <c r="A6735" s="21"/>
      <c r="B6735" s="3" t="s">
        <v>17</v>
      </c>
      <c r="C6735" s="20"/>
      <c r="D6735" s="21"/>
    </row>
    <row r="6736" spans="1:4" ht="12.75" customHeight="1" x14ac:dyDescent="0.2">
      <c r="A6736" s="21"/>
      <c r="B6736" s="20" t="s">
        <v>18</v>
      </c>
      <c r="C6736" s="4" t="s">
        <v>232</v>
      </c>
      <c r="D6736" s="6" t="str">
        <f>HYPERLINK("javascript:void(0)","szívóka")</f>
        <v>szívóka</v>
      </c>
    </row>
    <row r="6737" spans="1:4" ht="12.75" customHeight="1" x14ac:dyDescent="0.2">
      <c r="A6737" s="21"/>
      <c r="B6737" s="21"/>
      <c r="C6737" s="4" t="s">
        <v>68</v>
      </c>
      <c r="D6737" s="6" t="str">
        <f>HYPERLINK("javascript:void(0)","massza")</f>
        <v>massza</v>
      </c>
    </row>
    <row r="6738" spans="1:4" ht="12.75" customHeight="1" x14ac:dyDescent="0.2">
      <c r="A6738" s="21"/>
      <c r="B6738" s="21"/>
      <c r="C6738" s="4" t="s">
        <v>68</v>
      </c>
      <c r="D6738" s="6" t="str">
        <f>HYPERLINK("javascript:void(0)","monsztaige")</f>
        <v>monsztaige</v>
      </c>
    </row>
  </sheetData>
  <mergeCells count="5322">
    <mergeCell ref="B1621:B1623"/>
    <mergeCell ref="A1592:A1606"/>
    <mergeCell ref="A1609:A1623"/>
    <mergeCell ref="A1692:A1706"/>
    <mergeCell ref="A1626:A1640"/>
    <mergeCell ref="A1643:A1657"/>
    <mergeCell ref="A1660:A1672"/>
    <mergeCell ref="A1675:A1689"/>
    <mergeCell ref="B1485:B1487"/>
    <mergeCell ref="B1502:B1504"/>
    <mergeCell ref="A1489:D1489"/>
    <mergeCell ref="C1501:D1501"/>
    <mergeCell ref="C1495:D1495"/>
    <mergeCell ref="C1496:D1496"/>
    <mergeCell ref="C1497:D1497"/>
    <mergeCell ref="C1498:D1498"/>
    <mergeCell ref="C1499:D1499"/>
    <mergeCell ref="C1500:D1500"/>
    <mergeCell ref="B1704:B1706"/>
    <mergeCell ref="C1583:D1583"/>
    <mergeCell ref="C1593:D1593"/>
    <mergeCell ref="C1581:D1581"/>
    <mergeCell ref="C1566:D1566"/>
    <mergeCell ref="C1567:D1567"/>
    <mergeCell ref="C1527:D1527"/>
    <mergeCell ref="C1525:D1525"/>
    <mergeCell ref="C1526:D1526"/>
    <mergeCell ref="C1528:D1528"/>
    <mergeCell ref="C1529:D1529"/>
    <mergeCell ref="C1535:D1535"/>
    <mergeCell ref="C1702:D1702"/>
    <mergeCell ref="B1298:B1300"/>
    <mergeCell ref="A1286:A1300"/>
    <mergeCell ref="A1303:A1317"/>
    <mergeCell ref="B1315:B1317"/>
    <mergeCell ref="A1388:A1402"/>
    <mergeCell ref="B1366:B1368"/>
    <mergeCell ref="B1349:B1351"/>
    <mergeCell ref="A1439:A1453"/>
    <mergeCell ref="A1456:A1470"/>
    <mergeCell ref="B1570:B1572"/>
    <mergeCell ref="B1536:B1538"/>
    <mergeCell ref="B1553:B1555"/>
    <mergeCell ref="A918:A932"/>
    <mergeCell ref="B930:B932"/>
    <mergeCell ref="C868:D868"/>
    <mergeCell ref="C869:D869"/>
    <mergeCell ref="C870:D870"/>
    <mergeCell ref="C871:D871"/>
    <mergeCell ref="C921:D921"/>
    <mergeCell ref="C920:D920"/>
    <mergeCell ref="C886:D886"/>
    <mergeCell ref="C909:D909"/>
    <mergeCell ref="C908:D908"/>
    <mergeCell ref="C1075:D1075"/>
    <mergeCell ref="C1071:D1071"/>
    <mergeCell ref="C1413:D1413"/>
    <mergeCell ref="C1414:D1414"/>
    <mergeCell ref="A1183:D1183"/>
    <mergeCell ref="C1188:D1188"/>
    <mergeCell ref="C1189:D1189"/>
    <mergeCell ref="C1190:D1190"/>
    <mergeCell ref="C1171:D1171"/>
    <mergeCell ref="B1128:B1130"/>
    <mergeCell ref="A1132:D1132"/>
    <mergeCell ref="A1166:D1166"/>
    <mergeCell ref="A1184:A1198"/>
    <mergeCell ref="C1185:D1185"/>
    <mergeCell ref="C1703:D1703"/>
    <mergeCell ref="C1686:D1686"/>
    <mergeCell ref="C1683:D1683"/>
    <mergeCell ref="C1649:D1649"/>
    <mergeCell ref="C1650:D1650"/>
    <mergeCell ref="A1574:D1574"/>
    <mergeCell ref="C1576:D1576"/>
    <mergeCell ref="C1577:D1577"/>
    <mergeCell ref="C1578:D1578"/>
    <mergeCell ref="C1579:D1579"/>
    <mergeCell ref="C1580:D1580"/>
    <mergeCell ref="C1596:D1596"/>
    <mergeCell ref="C1597:D1597"/>
    <mergeCell ref="A1591:D1591"/>
    <mergeCell ref="C1586:D1586"/>
    <mergeCell ref="C1582:D1582"/>
    <mergeCell ref="C1191:D1191"/>
    <mergeCell ref="C1195:D1195"/>
    <mergeCell ref="B1196:B1198"/>
    <mergeCell ref="C1192:D1192"/>
    <mergeCell ref="C1246:D1246"/>
    <mergeCell ref="C1257:D1257"/>
    <mergeCell ref="C1270:D1270"/>
    <mergeCell ref="C1271:D1271"/>
    <mergeCell ref="C1242:D1242"/>
    <mergeCell ref="C1243:D1243"/>
    <mergeCell ref="B1247:B1249"/>
    <mergeCell ref="C1155:D1155"/>
    <mergeCell ref="C1156:D1156"/>
    <mergeCell ref="C1153:D1153"/>
    <mergeCell ref="C1154:D1154"/>
    <mergeCell ref="C1152:D1152"/>
    <mergeCell ref="C1134:D1134"/>
    <mergeCell ref="C1170:D1170"/>
    <mergeCell ref="C1187:D1187"/>
    <mergeCell ref="C1174:D1174"/>
    <mergeCell ref="C1175:D1175"/>
    <mergeCell ref="C1168:D1168"/>
    <mergeCell ref="C1169:D1169"/>
    <mergeCell ref="C1172:D1172"/>
    <mergeCell ref="C1178:D1178"/>
    <mergeCell ref="C1173:D1173"/>
    <mergeCell ref="C875:D875"/>
    <mergeCell ref="B879:B881"/>
    <mergeCell ref="A883:D883"/>
    <mergeCell ref="C887:D887"/>
    <mergeCell ref="C877:D877"/>
    <mergeCell ref="C894:D894"/>
    <mergeCell ref="C895:D895"/>
    <mergeCell ref="B896:B898"/>
    <mergeCell ref="A867:A881"/>
    <mergeCell ref="A900:D900"/>
    <mergeCell ref="A901:A915"/>
    <mergeCell ref="C888:D888"/>
    <mergeCell ref="C922:D922"/>
    <mergeCell ref="C919:D919"/>
    <mergeCell ref="B913:B915"/>
    <mergeCell ref="A917:D917"/>
    <mergeCell ref="C927:D927"/>
    <mergeCell ref="C1053:D1053"/>
    <mergeCell ref="C1054:D1054"/>
    <mergeCell ref="C1038:D1038"/>
    <mergeCell ref="C1039:D1039"/>
    <mergeCell ref="C1040:D1040"/>
    <mergeCell ref="C1041:D1041"/>
    <mergeCell ref="C1043:D1043"/>
    <mergeCell ref="C1044:D1044"/>
    <mergeCell ref="C923:D923"/>
    <mergeCell ref="C924:D924"/>
    <mergeCell ref="C925:D925"/>
    <mergeCell ref="C926:D926"/>
    <mergeCell ref="C1005:D1005"/>
    <mergeCell ref="C1186:D1186"/>
    <mergeCell ref="C1193:D1193"/>
    <mergeCell ref="C1194:D1194"/>
    <mergeCell ref="C1211:D1211"/>
    <mergeCell ref="A1200:D1200"/>
    <mergeCell ref="A1201:A1215"/>
    <mergeCell ref="C1208:D1208"/>
    <mergeCell ref="C1209:D1209"/>
    <mergeCell ref="C1210:D1210"/>
    <mergeCell ref="B1213:B1215"/>
    <mergeCell ref="A1133:A1147"/>
    <mergeCell ref="A1167:A1181"/>
    <mergeCell ref="C1176:D1176"/>
    <mergeCell ref="C1177:D1177"/>
    <mergeCell ref="B1179:B1181"/>
    <mergeCell ref="B1145:B1147"/>
    <mergeCell ref="A1150:A1164"/>
    <mergeCell ref="B1162:B1164"/>
    <mergeCell ref="C1204:D1204"/>
    <mergeCell ref="C983:D983"/>
    <mergeCell ref="A1015:D1015"/>
    <mergeCell ref="B747:B749"/>
    <mergeCell ref="A751:D751"/>
    <mergeCell ref="C763:D763"/>
    <mergeCell ref="A786:A800"/>
    <mergeCell ref="A802:D802"/>
    <mergeCell ref="C787:D787"/>
    <mergeCell ref="C788:D788"/>
    <mergeCell ref="C793:D793"/>
    <mergeCell ref="B781:B783"/>
    <mergeCell ref="A785:D785"/>
    <mergeCell ref="C809:D809"/>
    <mergeCell ref="C804:D804"/>
    <mergeCell ref="C805:D805"/>
    <mergeCell ref="C806:D806"/>
    <mergeCell ref="C807:D807"/>
    <mergeCell ref="C831:D831"/>
    <mergeCell ref="C928:D928"/>
    <mergeCell ref="C902:D902"/>
    <mergeCell ref="C910:D910"/>
    <mergeCell ref="C872:D872"/>
    <mergeCell ref="C873:D873"/>
    <mergeCell ref="C874:D874"/>
    <mergeCell ref="C876:D876"/>
    <mergeCell ref="C907:D907"/>
    <mergeCell ref="C885:D885"/>
    <mergeCell ref="C878:D878"/>
    <mergeCell ref="C753:D753"/>
    <mergeCell ref="C754:D754"/>
    <mergeCell ref="C755:D755"/>
    <mergeCell ref="C773:D773"/>
    <mergeCell ref="C990:D990"/>
    <mergeCell ref="C794:D794"/>
    <mergeCell ref="A1050:A1064"/>
    <mergeCell ref="A1066:D1066"/>
    <mergeCell ref="C1123:D1123"/>
    <mergeCell ref="C1124:D1124"/>
    <mergeCell ref="B1096:B1098"/>
    <mergeCell ref="A1084:A1098"/>
    <mergeCell ref="A1100:C1100"/>
    <mergeCell ref="A1101:A1113"/>
    <mergeCell ref="A1115:D1115"/>
    <mergeCell ref="C1057:D1057"/>
    <mergeCell ref="C1055:D1055"/>
    <mergeCell ref="C958:D958"/>
    <mergeCell ref="C959:D959"/>
    <mergeCell ref="C1089:D1089"/>
    <mergeCell ref="C1090:D1090"/>
    <mergeCell ref="C1091:D1091"/>
    <mergeCell ref="C1122:D1122"/>
    <mergeCell ref="C1042:D1042"/>
    <mergeCell ref="A1116:A1130"/>
    <mergeCell ref="C1019:D1019"/>
    <mergeCell ref="C1020:D1020"/>
    <mergeCell ref="C1021:D1021"/>
    <mergeCell ref="C1022:D1022"/>
    <mergeCell ref="C1023:D1023"/>
    <mergeCell ref="C1025:D1025"/>
    <mergeCell ref="C1026:D1026"/>
    <mergeCell ref="A1016:A1030"/>
    <mergeCell ref="B1028:B1030"/>
    <mergeCell ref="A1032:D1032"/>
    <mergeCell ref="A966:C966"/>
    <mergeCell ref="C987:D987"/>
    <mergeCell ref="C993:D993"/>
    <mergeCell ref="A934:C934"/>
    <mergeCell ref="C1006:D1006"/>
    <mergeCell ref="C1008:D1008"/>
    <mergeCell ref="C1009:D1009"/>
    <mergeCell ref="C1018:D1018"/>
    <mergeCell ref="C1017:D1017"/>
    <mergeCell ref="A982:A996"/>
    <mergeCell ref="A999:A1013"/>
    <mergeCell ref="C1007:D1007"/>
    <mergeCell ref="C1010:D1010"/>
    <mergeCell ref="C953:D953"/>
    <mergeCell ref="C954:D954"/>
    <mergeCell ref="C1000:D1000"/>
    <mergeCell ref="C1001:D1001"/>
    <mergeCell ref="C789:D789"/>
    <mergeCell ref="C790:D790"/>
    <mergeCell ref="C811:D811"/>
    <mergeCell ref="A949:D949"/>
    <mergeCell ref="B1011:B1013"/>
    <mergeCell ref="C929:D929"/>
    <mergeCell ref="C808:D808"/>
    <mergeCell ref="C822:D822"/>
    <mergeCell ref="C823:D823"/>
    <mergeCell ref="C824:D824"/>
    <mergeCell ref="C825:D825"/>
    <mergeCell ref="C826:D826"/>
    <mergeCell ref="C830:D830"/>
    <mergeCell ref="C827:D827"/>
    <mergeCell ref="C828:D828"/>
    <mergeCell ref="C829:D829"/>
    <mergeCell ref="C814:D814"/>
    <mergeCell ref="C776:D776"/>
    <mergeCell ref="B764:B766"/>
    <mergeCell ref="A768:D768"/>
    <mergeCell ref="B1062:B1064"/>
    <mergeCell ref="A752:A766"/>
    <mergeCell ref="A769:A783"/>
    <mergeCell ref="C911:D911"/>
    <mergeCell ref="C912:D912"/>
    <mergeCell ref="C889:D889"/>
    <mergeCell ref="B798:B800"/>
    <mergeCell ref="B815:B817"/>
    <mergeCell ref="A803:A817"/>
    <mergeCell ref="A819:D819"/>
    <mergeCell ref="A836:C836"/>
    <mergeCell ref="B832:B834"/>
    <mergeCell ref="A820:A834"/>
    <mergeCell ref="A837:A849"/>
    <mergeCell ref="C777:D777"/>
    <mergeCell ref="C778:D778"/>
    <mergeCell ref="C779:D779"/>
    <mergeCell ref="C780:D780"/>
    <mergeCell ref="C1004:D1004"/>
    <mergeCell ref="A1033:A1047"/>
    <mergeCell ref="B1045:B1047"/>
    <mergeCell ref="A1049:D1049"/>
    <mergeCell ref="C903:D903"/>
    <mergeCell ref="C904:D904"/>
    <mergeCell ref="C905:D905"/>
    <mergeCell ref="C906:D906"/>
    <mergeCell ref="C892:D892"/>
    <mergeCell ref="C893:D893"/>
    <mergeCell ref="C741:D741"/>
    <mergeCell ref="C742:D742"/>
    <mergeCell ref="C743:D743"/>
    <mergeCell ref="C744:D744"/>
    <mergeCell ref="C745:D745"/>
    <mergeCell ref="C746:D746"/>
    <mergeCell ref="C737:D737"/>
    <mergeCell ref="A705:A717"/>
    <mergeCell ref="A704:C704"/>
    <mergeCell ref="A720:A732"/>
    <mergeCell ref="A719:C719"/>
    <mergeCell ref="A734:D734"/>
    <mergeCell ref="C736:D736"/>
    <mergeCell ref="C791:D791"/>
    <mergeCell ref="C792:D792"/>
    <mergeCell ref="C810:D810"/>
    <mergeCell ref="C795:D795"/>
    <mergeCell ref="C796:D796"/>
    <mergeCell ref="C797:D797"/>
    <mergeCell ref="C774:D774"/>
    <mergeCell ref="C775:D775"/>
    <mergeCell ref="A672:D672"/>
    <mergeCell ref="C667:D667"/>
    <mergeCell ref="B668:B670"/>
    <mergeCell ref="C738:D738"/>
    <mergeCell ref="C678:D678"/>
    <mergeCell ref="C679:D679"/>
    <mergeCell ref="C680:D680"/>
    <mergeCell ref="C681:D681"/>
    <mergeCell ref="C674:D674"/>
    <mergeCell ref="C675:D675"/>
    <mergeCell ref="C676:D676"/>
    <mergeCell ref="C677:D677"/>
    <mergeCell ref="C812:D812"/>
    <mergeCell ref="C813:D813"/>
    <mergeCell ref="C821:D821"/>
    <mergeCell ref="B1079:B1081"/>
    <mergeCell ref="A1083:D1083"/>
    <mergeCell ref="C1077:D1077"/>
    <mergeCell ref="C1078:D1078"/>
    <mergeCell ref="A1067:A1081"/>
    <mergeCell ref="C1068:D1068"/>
    <mergeCell ref="C1069:D1069"/>
    <mergeCell ref="C682:D682"/>
    <mergeCell ref="C683:D683"/>
    <mergeCell ref="C684:D684"/>
    <mergeCell ref="B685:B687"/>
    <mergeCell ref="A689:C689"/>
    <mergeCell ref="A673:A687"/>
    <mergeCell ref="A690:A702"/>
    <mergeCell ref="A735:A749"/>
    <mergeCell ref="C739:D739"/>
    <mergeCell ref="C740:D740"/>
    <mergeCell ref="A1252:A1266"/>
    <mergeCell ref="C1222:D1222"/>
    <mergeCell ref="B1230:B1232"/>
    <mergeCell ref="A1234:D1234"/>
    <mergeCell ref="C1276:D1276"/>
    <mergeCell ref="C1277:D1277"/>
    <mergeCell ref="C1275:D1275"/>
    <mergeCell ref="C1274:D1274"/>
    <mergeCell ref="C1278:D1278"/>
    <mergeCell ref="C1279:D1279"/>
    <mergeCell ref="C1241:D1241"/>
    <mergeCell ref="C1237:D1237"/>
    <mergeCell ref="C1127:D1127"/>
    <mergeCell ref="A998:D998"/>
    <mergeCell ref="C1003:D1003"/>
    <mergeCell ref="C1002:D1002"/>
    <mergeCell ref="C664:D664"/>
    <mergeCell ref="C665:D665"/>
    <mergeCell ref="C666:D666"/>
    <mergeCell ref="C760:D760"/>
    <mergeCell ref="C761:D761"/>
    <mergeCell ref="C758:D758"/>
    <mergeCell ref="C770:D770"/>
    <mergeCell ref="C771:D771"/>
    <mergeCell ref="C772:D772"/>
    <mergeCell ref="C756:D756"/>
    <mergeCell ref="C757:D757"/>
    <mergeCell ref="C759:D759"/>
    <mergeCell ref="C762:D762"/>
    <mergeCell ref="A851:C851"/>
    <mergeCell ref="A884:A898"/>
    <mergeCell ref="A981:D981"/>
    <mergeCell ref="A852:A864"/>
    <mergeCell ref="A866:D866"/>
    <mergeCell ref="C1220:D1220"/>
    <mergeCell ref="C1221:D1221"/>
    <mergeCell ref="A1218:A1232"/>
    <mergeCell ref="C1202:D1202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B994:B996"/>
    <mergeCell ref="A1217:D1217"/>
    <mergeCell ref="C1219:D1219"/>
    <mergeCell ref="A967:A979"/>
    <mergeCell ref="A935:A947"/>
    <mergeCell ref="A950:A964"/>
    <mergeCell ref="C1203:D1203"/>
    <mergeCell ref="C984:D984"/>
    <mergeCell ref="C1088:D1088"/>
    <mergeCell ref="C988:D988"/>
    <mergeCell ref="C989:D989"/>
    <mergeCell ref="C960:D960"/>
    <mergeCell ref="C985:D985"/>
    <mergeCell ref="C986:D986"/>
    <mergeCell ref="C890:D890"/>
    <mergeCell ref="C891:D891"/>
    <mergeCell ref="C1161:D1161"/>
    <mergeCell ref="A1251:D1251"/>
    <mergeCell ref="A1235:A1249"/>
    <mergeCell ref="C1258:D1258"/>
    <mergeCell ref="C1259:D1259"/>
    <mergeCell ref="C1260:D1260"/>
    <mergeCell ref="B1264:B1266"/>
    <mergeCell ref="C1294:D1294"/>
    <mergeCell ref="C1295:D1295"/>
    <mergeCell ref="C1296:D1296"/>
    <mergeCell ref="A1149:D1149"/>
    <mergeCell ref="C1151:D1151"/>
    <mergeCell ref="B962:B964"/>
    <mergeCell ref="C951:D951"/>
    <mergeCell ref="C952:D952"/>
    <mergeCell ref="C955:D955"/>
    <mergeCell ref="C956:D956"/>
    <mergeCell ref="C961:D961"/>
    <mergeCell ref="C957:D957"/>
    <mergeCell ref="C991:D991"/>
    <mergeCell ref="C992:D992"/>
    <mergeCell ref="B1281:B1283"/>
    <mergeCell ref="C1244:D1244"/>
    <mergeCell ref="C1245:D1245"/>
    <mergeCell ref="C1255:D1255"/>
    <mergeCell ref="C1253:D1253"/>
    <mergeCell ref="C1254:D1254"/>
    <mergeCell ref="C1256:D1256"/>
    <mergeCell ref="C1293:D1293"/>
    <mergeCell ref="A1285:D1285"/>
    <mergeCell ref="A1268:D1268"/>
    <mergeCell ref="A1269:A1283"/>
    <mergeCell ref="C1035:D1035"/>
    <mergeCell ref="C1037:D1037"/>
    <mergeCell ref="C1036:D1036"/>
    <mergeCell ref="C1060:D1060"/>
    <mergeCell ref="C1061:D1061"/>
    <mergeCell ref="C1051:D1051"/>
    <mergeCell ref="C1052:D1052"/>
    <mergeCell ref="C1238:D1238"/>
    <mergeCell ref="C1239:D1239"/>
    <mergeCell ref="C1240:D1240"/>
    <mergeCell ref="C1228:D1228"/>
    <mergeCell ref="C1229:D1229"/>
    <mergeCell ref="C1223:D1223"/>
    <mergeCell ref="C1224:D1224"/>
    <mergeCell ref="C1225:D1225"/>
    <mergeCell ref="C1280:D1280"/>
    <mergeCell ref="C1226:D1226"/>
    <mergeCell ref="C1227:D1227"/>
    <mergeCell ref="C1236:D1236"/>
    <mergeCell ref="C1272:D1272"/>
    <mergeCell ref="C1273:D1273"/>
    <mergeCell ref="C1157:D1157"/>
    <mergeCell ref="C1158:D1158"/>
    <mergeCell ref="C1159:D1159"/>
    <mergeCell ref="C1160:D1160"/>
    <mergeCell ref="C1261:D1261"/>
    <mergeCell ref="C1262:D1262"/>
    <mergeCell ref="C1263:D1263"/>
    <mergeCell ref="C1212:D1212"/>
    <mergeCell ref="C1205:D1205"/>
    <mergeCell ref="C1206:D1206"/>
    <mergeCell ref="C1207:D1207"/>
    <mergeCell ref="C1648:D1648"/>
    <mergeCell ref="C1550:D1550"/>
    <mergeCell ref="C1551:D1551"/>
    <mergeCell ref="C1552:D1552"/>
    <mergeCell ref="C1561:D1561"/>
    <mergeCell ref="C1559:D1559"/>
    <mergeCell ref="C1560:D1560"/>
    <mergeCell ref="C1093:D1093"/>
    <mergeCell ref="C1094:D1094"/>
    <mergeCell ref="C1126:D1126"/>
    <mergeCell ref="C1095:D1095"/>
    <mergeCell ref="C1027:D1027"/>
    <mergeCell ref="C1024:D1024"/>
    <mergeCell ref="C1087:D1087"/>
    <mergeCell ref="C1085:D1085"/>
    <mergeCell ref="C1074:D1074"/>
    <mergeCell ref="C1125:D1125"/>
    <mergeCell ref="C1119:D1119"/>
    <mergeCell ref="C1120:D1120"/>
    <mergeCell ref="C1121:D1121"/>
    <mergeCell ref="C1092:D1092"/>
    <mergeCell ref="C1076:D1076"/>
    <mergeCell ref="C1086:D1086"/>
    <mergeCell ref="C1058:D1058"/>
    <mergeCell ref="C1059:D1059"/>
    <mergeCell ref="C1070:D1070"/>
    <mergeCell ref="C1117:D1117"/>
    <mergeCell ref="C1118:D1118"/>
    <mergeCell ref="C1056:D1056"/>
    <mergeCell ref="C1072:D1072"/>
    <mergeCell ref="C1073:D1073"/>
    <mergeCell ref="C1034:D1034"/>
    <mergeCell ref="C1627:D1627"/>
    <mergeCell ref="A1625:D1625"/>
    <mergeCell ref="C1620:D1620"/>
    <mergeCell ref="C1633:D1633"/>
    <mergeCell ref="C1629:D1629"/>
    <mergeCell ref="C1630:D1630"/>
    <mergeCell ref="C1631:D1631"/>
    <mergeCell ref="B1655:B1657"/>
    <mergeCell ref="B1687:B1689"/>
    <mergeCell ref="B1383:B1385"/>
    <mergeCell ref="B1721:B1723"/>
    <mergeCell ref="B1738:B1740"/>
    <mergeCell ref="B1587:B1589"/>
    <mergeCell ref="B1468:B1470"/>
    <mergeCell ref="B1451:B1453"/>
    <mergeCell ref="B1638:B1640"/>
    <mergeCell ref="C1518:D1518"/>
    <mergeCell ref="C1651:D1651"/>
    <mergeCell ref="C1652:D1652"/>
    <mergeCell ref="C1637:D1637"/>
    <mergeCell ref="A1642:D1642"/>
    <mergeCell ref="C1644:D1644"/>
    <mergeCell ref="C1645:D1645"/>
    <mergeCell ref="C1646:D1646"/>
    <mergeCell ref="C1647:D1647"/>
    <mergeCell ref="C1634:D1634"/>
    <mergeCell ref="C1635:D1635"/>
    <mergeCell ref="C1636:D1636"/>
    <mergeCell ref="C1619:D1619"/>
    <mergeCell ref="A1659:C1659"/>
    <mergeCell ref="C1654:D1654"/>
    <mergeCell ref="C1653:D1653"/>
    <mergeCell ref="A1674:D1674"/>
    <mergeCell ref="C1676:D1676"/>
    <mergeCell ref="C1693:D1693"/>
    <mergeCell ref="C1716:D1716"/>
    <mergeCell ref="C1727:D1727"/>
    <mergeCell ref="C1717:D1717"/>
    <mergeCell ref="C1710:D1710"/>
    <mergeCell ref="C1711:D1711"/>
    <mergeCell ref="C1712:D1712"/>
    <mergeCell ref="C1713:D1713"/>
    <mergeCell ref="C1714:D1714"/>
    <mergeCell ref="C1715:D1715"/>
    <mergeCell ref="C1679:D1679"/>
    <mergeCell ref="C1680:D1680"/>
    <mergeCell ref="C1681:D1681"/>
    <mergeCell ref="C1682:D1682"/>
    <mergeCell ref="C1684:D1684"/>
    <mergeCell ref="C1685:D1685"/>
    <mergeCell ref="C1632:D1632"/>
    <mergeCell ref="C1628:D1628"/>
    <mergeCell ref="A1575:A1589"/>
    <mergeCell ref="A1541:A1555"/>
    <mergeCell ref="A1558:A1572"/>
    <mergeCell ref="A1371:A1385"/>
    <mergeCell ref="A1337:A1351"/>
    <mergeCell ref="A1354:A1368"/>
    <mergeCell ref="A1709:A1723"/>
    <mergeCell ref="A1726:A1740"/>
    <mergeCell ref="A1473:A1487"/>
    <mergeCell ref="A1524:A1538"/>
    <mergeCell ref="C1698:D1698"/>
    <mergeCell ref="C1699:D1699"/>
    <mergeCell ref="C1677:D1677"/>
    <mergeCell ref="C1678:D1678"/>
    <mergeCell ref="A1691:D1691"/>
    <mergeCell ref="C1694:D1694"/>
    <mergeCell ref="C1695:D1695"/>
    <mergeCell ref="C1696:D1696"/>
    <mergeCell ref="C1697:D1697"/>
    <mergeCell ref="C1701:D1701"/>
    <mergeCell ref="A1708:D1708"/>
    <mergeCell ref="A1725:D1725"/>
    <mergeCell ref="C1700:D1700"/>
    <mergeCell ref="C1508:D1508"/>
    <mergeCell ref="C1509:D1509"/>
    <mergeCell ref="C1511:D1511"/>
    <mergeCell ref="C1512:D1512"/>
    <mergeCell ref="C1493:D1493"/>
    <mergeCell ref="C1491:D1491"/>
    <mergeCell ref="C1492:D1492"/>
    <mergeCell ref="C1618:D1618"/>
    <mergeCell ref="C1615:D1615"/>
    <mergeCell ref="C1616:D1616"/>
    <mergeCell ref="C1617:D1617"/>
    <mergeCell ref="C1610:D1610"/>
    <mergeCell ref="C1547:D1547"/>
    <mergeCell ref="C1548:D1548"/>
    <mergeCell ref="C1549:D1549"/>
    <mergeCell ref="A1540:D1540"/>
    <mergeCell ref="C1542:D1542"/>
    <mergeCell ref="C1546:D1546"/>
    <mergeCell ref="C1611:D1611"/>
    <mergeCell ref="C1612:D1612"/>
    <mergeCell ref="C1602:D1602"/>
    <mergeCell ref="C1603:D1603"/>
    <mergeCell ref="C1595:D1595"/>
    <mergeCell ref="A1608:D1608"/>
    <mergeCell ref="C1543:D1543"/>
    <mergeCell ref="C1544:D1544"/>
    <mergeCell ref="C1545:D1545"/>
    <mergeCell ref="A1557:D1557"/>
    <mergeCell ref="C1562:D1562"/>
    <mergeCell ref="C1563:D1563"/>
    <mergeCell ref="C1564:D1564"/>
    <mergeCell ref="C1569:D1569"/>
    <mergeCell ref="C1565:D1565"/>
    <mergeCell ref="C1568:D1568"/>
    <mergeCell ref="B1604:B1606"/>
    <mergeCell ref="C1425:D1425"/>
    <mergeCell ref="C1423:D1423"/>
    <mergeCell ref="C1424:D1424"/>
    <mergeCell ref="C1432:D1432"/>
    <mergeCell ref="A1422:A1436"/>
    <mergeCell ref="C1430:D1430"/>
    <mergeCell ref="A1405:A1419"/>
    <mergeCell ref="B1417:B1419"/>
    <mergeCell ref="C1514:D1514"/>
    <mergeCell ref="C1515:D1515"/>
    <mergeCell ref="C1516:D1516"/>
    <mergeCell ref="C1517:D1517"/>
    <mergeCell ref="C1513:D1513"/>
    <mergeCell ref="C1614:D1614"/>
    <mergeCell ref="C1613:D1613"/>
    <mergeCell ref="C1584:D1584"/>
    <mergeCell ref="C1585:D1585"/>
    <mergeCell ref="C1531:D1531"/>
    <mergeCell ref="C1532:D1532"/>
    <mergeCell ref="C1533:D1533"/>
    <mergeCell ref="C5000:D5000"/>
    <mergeCell ref="C5001:D5001"/>
    <mergeCell ref="B5002:B5004"/>
    <mergeCell ref="C5144:D5144"/>
    <mergeCell ref="C5145:D5145"/>
    <mergeCell ref="A5142:D5142"/>
    <mergeCell ref="C5146:D5146"/>
    <mergeCell ref="B5138:B5140"/>
    <mergeCell ref="A5126:A5140"/>
    <mergeCell ref="A5092:A5106"/>
    <mergeCell ref="A5108:D5108"/>
    <mergeCell ref="C5149:D5149"/>
    <mergeCell ref="B5104:B5106"/>
    <mergeCell ref="A5109:A5123"/>
    <mergeCell ref="A1438:D1438"/>
    <mergeCell ref="C1447:D1447"/>
    <mergeCell ref="C1415:D1415"/>
    <mergeCell ref="C1416:D1416"/>
    <mergeCell ref="A1472:D1472"/>
    <mergeCell ref="C1476:D1476"/>
    <mergeCell ref="C1477:D1477"/>
    <mergeCell ref="C1478:D1478"/>
    <mergeCell ref="C1479:D1479"/>
    <mergeCell ref="C1427:D1427"/>
    <mergeCell ref="C1428:D1428"/>
    <mergeCell ref="C1442:D1442"/>
    <mergeCell ref="C1440:D1440"/>
    <mergeCell ref="C1441:D1441"/>
    <mergeCell ref="C1431:D1431"/>
    <mergeCell ref="C1429:D1429"/>
    <mergeCell ref="C1426:D1426"/>
    <mergeCell ref="A1421:D1421"/>
    <mergeCell ref="C1494:D1494"/>
    <mergeCell ref="C1449:D1449"/>
    <mergeCell ref="C1459:D1459"/>
    <mergeCell ref="C1460:D1460"/>
    <mergeCell ref="C1484:D1484"/>
    <mergeCell ref="A1455:D1455"/>
    <mergeCell ref="C1457:D1457"/>
    <mergeCell ref="C1458:D1458"/>
    <mergeCell ref="B5036:B5038"/>
    <mergeCell ref="A4989:D4989"/>
    <mergeCell ref="A4990:A5004"/>
    <mergeCell ref="C5010:D5010"/>
    <mergeCell ref="C5008:D5008"/>
    <mergeCell ref="C5009:D5009"/>
    <mergeCell ref="C5018:D5018"/>
    <mergeCell ref="C5025:D5025"/>
    <mergeCell ref="A5125:D5125"/>
    <mergeCell ref="B5121:B5123"/>
    <mergeCell ref="C5120:D5120"/>
    <mergeCell ref="C5118:D5118"/>
    <mergeCell ref="C5119:D5119"/>
    <mergeCell ref="C5116:D5116"/>
    <mergeCell ref="C5117:D5117"/>
    <mergeCell ref="C5014:D5014"/>
    <mergeCell ref="A5007:A5021"/>
    <mergeCell ref="C5016:D5016"/>
    <mergeCell ref="C5017:D5017"/>
    <mergeCell ref="B5019:B5021"/>
    <mergeCell ref="B5087:B5089"/>
    <mergeCell ref="C5101:D5101"/>
    <mergeCell ref="C5102:D5102"/>
    <mergeCell ref="C5103:D5103"/>
    <mergeCell ref="C5473:D5473"/>
    <mergeCell ref="C5147:D5147"/>
    <mergeCell ref="C5148:D5148"/>
    <mergeCell ref="C5131:D5131"/>
    <mergeCell ref="C5129:D5129"/>
    <mergeCell ref="C5130:D5130"/>
    <mergeCell ref="C5132:D5132"/>
    <mergeCell ref="C5133:D5133"/>
    <mergeCell ref="C5134:D5134"/>
    <mergeCell ref="C5135:D5135"/>
    <mergeCell ref="C5127:D5127"/>
    <mergeCell ref="C5128:D5128"/>
    <mergeCell ref="C5136:D5136"/>
    <mergeCell ref="C5137:D5137"/>
    <mergeCell ref="C5167:D5167"/>
    <mergeCell ref="C5168:D5168"/>
    <mergeCell ref="A5381:A5395"/>
    <mergeCell ref="B5359:B5361"/>
    <mergeCell ref="C5372:D5372"/>
    <mergeCell ref="C5348:D5348"/>
    <mergeCell ref="C5349:D5349"/>
    <mergeCell ref="C5367:D5367"/>
    <mergeCell ref="A5160:A5174"/>
    <mergeCell ref="C5178:D5178"/>
    <mergeCell ref="C5179:D5179"/>
    <mergeCell ref="C5164:D5164"/>
    <mergeCell ref="C5165:D5165"/>
    <mergeCell ref="C5166:D5166"/>
    <mergeCell ref="C5169:D5169"/>
    <mergeCell ref="C5251:D5251"/>
    <mergeCell ref="C5248:D5248"/>
    <mergeCell ref="C4879:D4879"/>
    <mergeCell ref="C4880:D4880"/>
    <mergeCell ref="C4940:D4940"/>
    <mergeCell ref="C4941:D4941"/>
    <mergeCell ref="A5601:D5601"/>
    <mergeCell ref="A5550:D5550"/>
    <mergeCell ref="A5516:D5516"/>
    <mergeCell ref="C5340:D5340"/>
    <mergeCell ref="C5341:D5341"/>
    <mergeCell ref="C5536:D5536"/>
    <mergeCell ref="C5537:D5537"/>
    <mergeCell ref="C5322:D5322"/>
    <mergeCell ref="C5334:D5334"/>
    <mergeCell ref="C5335:D5335"/>
    <mergeCell ref="C5336:D5336"/>
    <mergeCell ref="C5337:D5337"/>
    <mergeCell ref="C5417:D5417"/>
    <mergeCell ref="C5590:D5590"/>
    <mergeCell ref="C5591:D5591"/>
    <mergeCell ref="C5593:D5593"/>
    <mergeCell ref="C5110:D5110"/>
    <mergeCell ref="C5111:D5111"/>
    <mergeCell ref="C5112:D5112"/>
    <mergeCell ref="C5113:D5113"/>
    <mergeCell ref="A5143:A5157"/>
    <mergeCell ref="C5468:D5468"/>
    <mergeCell ref="C5469:D5469"/>
    <mergeCell ref="C5470:D5470"/>
    <mergeCell ref="C5471:D5471"/>
    <mergeCell ref="C5472:D5472"/>
    <mergeCell ref="C5502:D5502"/>
    <mergeCell ref="C5503:D5503"/>
    <mergeCell ref="C5504:D5504"/>
    <mergeCell ref="C5505:D5505"/>
    <mergeCell ref="C5523:D5523"/>
    <mergeCell ref="C5524:D5524"/>
    <mergeCell ref="C5507:D5507"/>
    <mergeCell ref="C5510:D5510"/>
    <mergeCell ref="C5511:D5511"/>
    <mergeCell ref="C5490:D5490"/>
    <mergeCell ref="A5483:A5497"/>
    <mergeCell ref="C5526:D5526"/>
    <mergeCell ref="C5525:D5525"/>
    <mergeCell ref="A5482:D5482"/>
    <mergeCell ref="C5487:D5487"/>
    <mergeCell ref="C5488:D5488"/>
    <mergeCell ref="C5489:D5489"/>
    <mergeCell ref="C5491:D5491"/>
    <mergeCell ref="C5467:D5467"/>
    <mergeCell ref="B5478:B5480"/>
    <mergeCell ref="C5486:D5486"/>
    <mergeCell ref="C5484:D5484"/>
    <mergeCell ref="C5485:D5485"/>
    <mergeCell ref="C5494:D5494"/>
    <mergeCell ref="C5607:D5607"/>
    <mergeCell ref="C5586:D5586"/>
    <mergeCell ref="C5587:D5587"/>
    <mergeCell ref="C5588:D5588"/>
    <mergeCell ref="C5589:D5589"/>
    <mergeCell ref="C5596:D5596"/>
    <mergeCell ref="C5594:D5594"/>
    <mergeCell ref="B5597:B5599"/>
    <mergeCell ref="B5512:B5514"/>
    <mergeCell ref="B5529:B5531"/>
    <mergeCell ref="A5517:A5531"/>
    <mergeCell ref="A5533:D5533"/>
    <mergeCell ref="C5535:D5535"/>
    <mergeCell ref="C5571:D5571"/>
    <mergeCell ref="C5592:D5592"/>
    <mergeCell ref="C5595:D5595"/>
    <mergeCell ref="C5501:D5501"/>
    <mergeCell ref="C5508:D5508"/>
    <mergeCell ref="C5509:D5509"/>
    <mergeCell ref="C5542:D5542"/>
    <mergeCell ref="C5543:D5543"/>
    <mergeCell ref="C5575:D5575"/>
    <mergeCell ref="C5576:D5576"/>
    <mergeCell ref="C5577:D5577"/>
    <mergeCell ref="C5578:D5578"/>
    <mergeCell ref="B5580:B5582"/>
    <mergeCell ref="A5585:A5599"/>
    <mergeCell ref="A5534:A5548"/>
    <mergeCell ref="C5555:D5555"/>
    <mergeCell ref="C5556:D5556"/>
    <mergeCell ref="C5553:D5553"/>
    <mergeCell ref="C5557:D5557"/>
    <mergeCell ref="C5558:D5558"/>
    <mergeCell ref="C5559:D5559"/>
    <mergeCell ref="C5573:D5573"/>
    <mergeCell ref="C5574:D5574"/>
    <mergeCell ref="C5560:D5560"/>
    <mergeCell ref="C5561:D5561"/>
    <mergeCell ref="C5562:D5562"/>
    <mergeCell ref="B5563:B5565"/>
    <mergeCell ref="A5551:A5565"/>
    <mergeCell ref="A5567:D5567"/>
    <mergeCell ref="C5572:D5572"/>
    <mergeCell ref="C5538:D5538"/>
    <mergeCell ref="C5539:D5539"/>
    <mergeCell ref="C5544:D5544"/>
    <mergeCell ref="C5545:D5545"/>
    <mergeCell ref="B5546:B5548"/>
    <mergeCell ref="A5568:A5582"/>
    <mergeCell ref="C5569:D5569"/>
    <mergeCell ref="C5570:D5570"/>
    <mergeCell ref="C5579:D5579"/>
    <mergeCell ref="A5584:D5584"/>
    <mergeCell ref="A4190:D4190"/>
    <mergeCell ref="B4186:B4188"/>
    <mergeCell ref="B4237:B4239"/>
    <mergeCell ref="A4241:D4241"/>
    <mergeCell ref="A4224:D4224"/>
    <mergeCell ref="A4225:A4239"/>
    <mergeCell ref="A4242:A4256"/>
    <mergeCell ref="B4220:B4222"/>
    <mergeCell ref="B4203:B4205"/>
    <mergeCell ref="A4191:A4205"/>
    <mergeCell ref="A4207:D4207"/>
    <mergeCell ref="A4208:A4222"/>
    <mergeCell ref="C4233:D4233"/>
    <mergeCell ref="C4234:D4234"/>
    <mergeCell ref="C4182:D4182"/>
    <mergeCell ref="C4183:D4183"/>
    <mergeCell ref="C4175:D4175"/>
    <mergeCell ref="C4176:D4176"/>
    <mergeCell ref="C4194:D4194"/>
    <mergeCell ref="C3837:D3837"/>
    <mergeCell ref="C3838:D3838"/>
    <mergeCell ref="C3839:D3839"/>
    <mergeCell ref="A3664:A3678"/>
    <mergeCell ref="B3676:B3678"/>
    <mergeCell ref="B3693:B3695"/>
    <mergeCell ref="B3744:B3746"/>
    <mergeCell ref="B3761:B3763"/>
    <mergeCell ref="B3778:B3780"/>
    <mergeCell ref="B3659:B3661"/>
    <mergeCell ref="C3930:D3930"/>
    <mergeCell ref="C3912:D3912"/>
    <mergeCell ref="C3913:D3913"/>
    <mergeCell ref="C4179:D4179"/>
    <mergeCell ref="C4180:D4180"/>
    <mergeCell ref="A4174:A4188"/>
    <mergeCell ref="A4173:D4173"/>
    <mergeCell ref="B4033:B4035"/>
    <mergeCell ref="A4021:A4035"/>
    <mergeCell ref="A4037:D4037"/>
    <mergeCell ref="A4038:A4052"/>
    <mergeCell ref="A4054:D4054"/>
    <mergeCell ref="A4072:A4086"/>
    <mergeCell ref="A4089:A4103"/>
    <mergeCell ref="A4106:A4120"/>
    <mergeCell ref="A4140:A4154"/>
    <mergeCell ref="A4157:A4171"/>
    <mergeCell ref="A4123:A4137"/>
    <mergeCell ref="A4105:D4105"/>
    <mergeCell ref="A4122:D4122"/>
    <mergeCell ref="B4118:B4120"/>
    <mergeCell ref="B4135:B4137"/>
    <mergeCell ref="A4139:D4139"/>
    <mergeCell ref="B4152:B4154"/>
    <mergeCell ref="A4156:D4156"/>
    <mergeCell ref="B4169:B4171"/>
    <mergeCell ref="B4050:B4052"/>
    <mergeCell ref="B4067:B4069"/>
    <mergeCell ref="A4055:A4069"/>
    <mergeCell ref="A4071:D4071"/>
    <mergeCell ref="B4084:B4086"/>
    <mergeCell ref="A4088:D4088"/>
    <mergeCell ref="B4101:B4103"/>
    <mergeCell ref="C4168:D4168"/>
    <mergeCell ref="C4158:D4158"/>
    <mergeCell ref="C4159:D4159"/>
    <mergeCell ref="C4160:D4160"/>
    <mergeCell ref="C4161:D4161"/>
    <mergeCell ref="C4162:D4162"/>
    <mergeCell ref="C4163:D4163"/>
    <mergeCell ref="C4164:D4164"/>
    <mergeCell ref="C4144:D4144"/>
    <mergeCell ref="C4145:D4145"/>
    <mergeCell ref="C3603:D3603"/>
    <mergeCell ref="C3604:D3604"/>
    <mergeCell ref="C3606:D3606"/>
    <mergeCell ref="C3597:D3597"/>
    <mergeCell ref="C3598:D3598"/>
    <mergeCell ref="C3599:D3599"/>
    <mergeCell ref="C3600:D3600"/>
    <mergeCell ref="C3601:D3601"/>
    <mergeCell ref="C3602:D3602"/>
    <mergeCell ref="C3624:D3624"/>
    <mergeCell ref="C3605:D3605"/>
    <mergeCell ref="B3625:B3627"/>
    <mergeCell ref="C3584:D3584"/>
    <mergeCell ref="C3585:D3585"/>
    <mergeCell ref="C3586:D3586"/>
    <mergeCell ref="C3580:D3580"/>
    <mergeCell ref="C3581:D3581"/>
    <mergeCell ref="C3614:D3614"/>
    <mergeCell ref="C3615:D3615"/>
    <mergeCell ref="C3616:D3616"/>
    <mergeCell ref="C3623:D3623"/>
    <mergeCell ref="C3587:D3587"/>
    <mergeCell ref="C3588:D3588"/>
    <mergeCell ref="C3589:D3589"/>
    <mergeCell ref="C3590:D3590"/>
    <mergeCell ref="C3582:D3582"/>
    <mergeCell ref="C3583:D3583"/>
    <mergeCell ref="B3591:B3593"/>
    <mergeCell ref="A3697:D3697"/>
    <mergeCell ref="A3714:D3714"/>
    <mergeCell ref="A3731:D3731"/>
    <mergeCell ref="C3944:D3944"/>
    <mergeCell ref="C3945:D3945"/>
    <mergeCell ref="C3937:D3937"/>
    <mergeCell ref="C3938:D3938"/>
    <mergeCell ref="C3939:D3939"/>
    <mergeCell ref="C3940:D3940"/>
    <mergeCell ref="C3941:D3941"/>
    <mergeCell ref="C3942:D3942"/>
    <mergeCell ref="C3840:D3840"/>
    <mergeCell ref="C3857:D3857"/>
    <mergeCell ref="C3860:D3860"/>
    <mergeCell ref="A3799:D3799"/>
    <mergeCell ref="B3812:B3814"/>
    <mergeCell ref="B3829:B3831"/>
    <mergeCell ref="A3817:A3831"/>
    <mergeCell ref="C3920:D3920"/>
    <mergeCell ref="C3921:D3921"/>
    <mergeCell ref="C3928:D3928"/>
    <mergeCell ref="C3929:D3929"/>
    <mergeCell ref="C3892:D3892"/>
    <mergeCell ref="C3895:D3895"/>
    <mergeCell ref="C3842:D3842"/>
    <mergeCell ref="C3843:D3843"/>
    <mergeCell ref="C3835:D3835"/>
    <mergeCell ref="C3836:D3836"/>
    <mergeCell ref="A3850:D3850"/>
    <mergeCell ref="C3854:D3854"/>
    <mergeCell ref="C3855:D3855"/>
    <mergeCell ref="C3856:D3856"/>
    <mergeCell ref="C4286:D4286"/>
    <mergeCell ref="C4280:D4280"/>
    <mergeCell ref="C4005:D4005"/>
    <mergeCell ref="C4006:D4006"/>
    <mergeCell ref="C4007:D4007"/>
    <mergeCell ref="C4015:D4015"/>
    <mergeCell ref="C4032:D4032"/>
    <mergeCell ref="C4246:D4246"/>
    <mergeCell ref="C4247:D4247"/>
    <mergeCell ref="C4248:D4248"/>
    <mergeCell ref="C4249:D4249"/>
    <mergeCell ref="C4008:D4008"/>
    <mergeCell ref="C4009:D4009"/>
    <mergeCell ref="C4010:D4010"/>
    <mergeCell ref="C4011:D4011"/>
    <mergeCell ref="C3959:D3959"/>
    <mergeCell ref="C3960:D3960"/>
    <mergeCell ref="C3963:D3963"/>
    <mergeCell ref="C3964:D3964"/>
    <mergeCell ref="C3978:D3978"/>
    <mergeCell ref="C3979:D3979"/>
    <mergeCell ref="C3971:D3971"/>
    <mergeCell ref="C3972:D3972"/>
    <mergeCell ref="C4177:D4177"/>
    <mergeCell ref="C4178:D4178"/>
    <mergeCell ref="C4012:D4012"/>
    <mergeCell ref="C4013:D4013"/>
    <mergeCell ref="C4058:D4058"/>
    <mergeCell ref="C4048:D4048"/>
    <mergeCell ref="C4049:D4049"/>
    <mergeCell ref="C4056:D4056"/>
    <mergeCell ref="C4057:D4057"/>
    <mergeCell ref="C4216:D4216"/>
    <mergeCell ref="C3911:D3911"/>
    <mergeCell ref="C3922:D3922"/>
    <mergeCell ref="C4093:D4093"/>
    <mergeCell ref="C4094:D4094"/>
    <mergeCell ref="C3891:D3891"/>
    <mergeCell ref="C3872:D3872"/>
    <mergeCell ref="C3873:D3873"/>
    <mergeCell ref="C3874:D3874"/>
    <mergeCell ref="C3875:D3875"/>
    <mergeCell ref="C4127:D4127"/>
    <mergeCell ref="C4124:D4124"/>
    <mergeCell ref="C4128:D4128"/>
    <mergeCell ref="C4125:D4125"/>
    <mergeCell ref="C4113:D4113"/>
    <mergeCell ref="C4114:D4114"/>
    <mergeCell ref="C4115:D4115"/>
    <mergeCell ref="C4107:D4107"/>
    <mergeCell ref="C4108:D4108"/>
    <mergeCell ref="C4109:D4109"/>
    <mergeCell ref="C3923:D3923"/>
    <mergeCell ref="C3924:D3924"/>
    <mergeCell ref="C4022:D4022"/>
    <mergeCell ref="C4029:D4029"/>
    <mergeCell ref="C4028:D4028"/>
    <mergeCell ref="C3946:D3946"/>
    <mergeCell ref="C3947:D3947"/>
    <mergeCell ref="C3954:D3954"/>
    <mergeCell ref="C3955:D3955"/>
    <mergeCell ref="C3956:D3956"/>
    <mergeCell ref="C3957:D3957"/>
    <mergeCell ref="C3958:D3958"/>
    <mergeCell ref="C4150:D4150"/>
    <mergeCell ref="C4151:D4151"/>
    <mergeCell ref="C4167:D4167"/>
    <mergeCell ref="C3617:D3617"/>
    <mergeCell ref="C3618:D3618"/>
    <mergeCell ref="C3757:D3757"/>
    <mergeCell ref="C3620:D3620"/>
    <mergeCell ref="C3621:D3621"/>
    <mergeCell ref="C3622:D3622"/>
    <mergeCell ref="C3650:D3650"/>
    <mergeCell ref="C3652:D3652"/>
    <mergeCell ref="C4095:D4095"/>
    <mergeCell ref="C4110:D4110"/>
    <mergeCell ref="C4111:D4111"/>
    <mergeCell ref="C4112:D4112"/>
    <mergeCell ref="C4116:D4116"/>
    <mergeCell ref="C4117:D4117"/>
    <mergeCell ref="C4100:D4100"/>
    <mergeCell ref="A3629:D3629"/>
    <mergeCell ref="A3885:A3899"/>
    <mergeCell ref="A3902:A3916"/>
    <mergeCell ref="A3919:A3933"/>
    <mergeCell ref="A3936:A3950"/>
    <mergeCell ref="A3953:A3967"/>
    <mergeCell ref="A3647:A3661"/>
    <mergeCell ref="A3681:A3695"/>
    <mergeCell ref="A3698:A3712"/>
    <mergeCell ref="A3715:A3729"/>
    <mergeCell ref="A3732:A3746"/>
    <mergeCell ref="A3749:A3763"/>
    <mergeCell ref="A3766:A3780"/>
    <mergeCell ref="A3663:D3663"/>
    <mergeCell ref="C4244:D4244"/>
    <mergeCell ref="C4202:D4202"/>
    <mergeCell ref="C4218:D4218"/>
    <mergeCell ref="C4219:D4219"/>
    <mergeCell ref="C4209:D4209"/>
    <mergeCell ref="C4210:D4210"/>
    <mergeCell ref="C4226:D4226"/>
    <mergeCell ref="C4243:D4243"/>
    <mergeCell ref="C3607:D3607"/>
    <mergeCell ref="C4262:D4262"/>
    <mergeCell ref="C4263:D4263"/>
    <mergeCell ref="C4264:D4264"/>
    <mergeCell ref="C4027:D4027"/>
    <mergeCell ref="C3619:D3619"/>
    <mergeCell ref="C4236:D4236"/>
    <mergeCell ref="C4250:D4250"/>
    <mergeCell ref="C4181:D4181"/>
    <mergeCell ref="C4195:D4195"/>
    <mergeCell ref="C4196:D4196"/>
    <mergeCell ref="C4197:D4197"/>
    <mergeCell ref="C4165:D4165"/>
    <mergeCell ref="C4166:D4166"/>
    <mergeCell ref="C4199:D4199"/>
    <mergeCell ref="C4198:D4198"/>
    <mergeCell ref="C4200:D4200"/>
    <mergeCell ref="C4201:D4201"/>
    <mergeCell ref="C4232:D4232"/>
    <mergeCell ref="C4235:D4235"/>
    <mergeCell ref="C4245:D4245"/>
    <mergeCell ref="C4251:D4251"/>
    <mergeCell ref="C4025:D4025"/>
    <mergeCell ref="C4026:D4026"/>
    <mergeCell ref="C4229:D4229"/>
    <mergeCell ref="C4230:D4230"/>
    <mergeCell ref="C4231:D4231"/>
    <mergeCell ref="C3903:D3903"/>
    <mergeCell ref="C3904:D3904"/>
    <mergeCell ref="C3925:D3925"/>
    <mergeCell ref="C3893:D3893"/>
    <mergeCell ref="C3894:D3894"/>
    <mergeCell ref="C3908:D3908"/>
    <mergeCell ref="C3909:D3909"/>
    <mergeCell ref="C3896:D3896"/>
    <mergeCell ref="C3910:D3910"/>
    <mergeCell ref="C3907:D3907"/>
    <mergeCell ref="C3905:D3905"/>
    <mergeCell ref="C3906:D3906"/>
    <mergeCell ref="C3927:D3927"/>
    <mergeCell ref="C3926:D3926"/>
    <mergeCell ref="C4042:D4042"/>
    <mergeCell ref="C4043:D4043"/>
    <mergeCell ref="C4030:D4030"/>
    <mergeCell ref="C4031:D4031"/>
    <mergeCell ref="C4044:D4044"/>
    <mergeCell ref="C4046:D4046"/>
    <mergeCell ref="C4045:D4045"/>
    <mergeCell ref="C4039:D4039"/>
    <mergeCell ref="C4040:D4040"/>
    <mergeCell ref="C4059:D4059"/>
    <mergeCell ref="C4060:D4060"/>
    <mergeCell ref="C4061:D4061"/>
    <mergeCell ref="C4063:D4063"/>
    <mergeCell ref="C4062:D4062"/>
    <mergeCell ref="C4064:D4064"/>
    <mergeCell ref="C4227:D4227"/>
    <mergeCell ref="C4228:D4228"/>
    <mergeCell ref="C4065:D4065"/>
    <mergeCell ref="C4078:D4078"/>
    <mergeCell ref="C4066:D4066"/>
    <mergeCell ref="C4073:D4073"/>
    <mergeCell ref="C4074:D4074"/>
    <mergeCell ref="C4075:D4075"/>
    <mergeCell ref="C4076:D4076"/>
    <mergeCell ref="C4077:D4077"/>
    <mergeCell ref="C4079:D4079"/>
    <mergeCell ref="C4080:D4080"/>
    <mergeCell ref="C4081:D4081"/>
    <mergeCell ref="C4082:D4082"/>
    <mergeCell ref="C4096:D4096"/>
    <mergeCell ref="C4099:D4099"/>
    <mergeCell ref="C4097:D4097"/>
    <mergeCell ref="C4098:D4098"/>
    <mergeCell ref="C4083:D4083"/>
    <mergeCell ref="C4090:D4090"/>
    <mergeCell ref="C4091:D4091"/>
    <mergeCell ref="C4092:D4092"/>
    <mergeCell ref="C4126:D4126"/>
    <mergeCell ref="C4134:D4134"/>
    <mergeCell ref="C4129:D4129"/>
    <mergeCell ref="C4131:D4131"/>
    <mergeCell ref="C4130:D4130"/>
    <mergeCell ref="C4132:D4132"/>
    <mergeCell ref="C4133:D4133"/>
    <mergeCell ref="C4141:D4141"/>
    <mergeCell ref="C4142:D4142"/>
    <mergeCell ref="C4143:D4143"/>
    <mergeCell ref="C3887:D3887"/>
    <mergeCell ref="C3888:D3888"/>
    <mergeCell ref="C3889:D3889"/>
    <mergeCell ref="C3890:D3890"/>
    <mergeCell ref="A3884:D3884"/>
    <mergeCell ref="C3886:D3886"/>
    <mergeCell ref="B3897:B3899"/>
    <mergeCell ref="A3901:D3901"/>
    <mergeCell ref="B3931:B3933"/>
    <mergeCell ref="C3981:D3981"/>
    <mergeCell ref="A3935:D3935"/>
    <mergeCell ref="A3969:D3969"/>
    <mergeCell ref="C4023:D4023"/>
    <mergeCell ref="B4016:B4018"/>
    <mergeCell ref="A3918:D3918"/>
    <mergeCell ref="B3914:B3916"/>
    <mergeCell ref="C4217:D4217"/>
    <mergeCell ref="C4047:D4047"/>
    <mergeCell ref="C4041:D4041"/>
    <mergeCell ref="C4184:D4184"/>
    <mergeCell ref="C4185:D4185"/>
    <mergeCell ref="C4192:D4192"/>
    <mergeCell ref="C4193:D4193"/>
    <mergeCell ref="C4211:D4211"/>
    <mergeCell ref="C4212:D4212"/>
    <mergeCell ref="C4213:D4213"/>
    <mergeCell ref="C4214:D4214"/>
    <mergeCell ref="C4215:D4215"/>
    <mergeCell ref="C4146:D4146"/>
    <mergeCell ref="C4147:D4147"/>
    <mergeCell ref="C4148:D4148"/>
    <mergeCell ref="C4149:D4149"/>
    <mergeCell ref="C4024:D4024"/>
    <mergeCell ref="A4020:D4020"/>
    <mergeCell ref="C3990:D3990"/>
    <mergeCell ref="C3988:D3988"/>
    <mergeCell ref="A3986:D3986"/>
    <mergeCell ref="C3991:D3991"/>
    <mergeCell ref="B3982:B3984"/>
    <mergeCell ref="A4003:D4003"/>
    <mergeCell ref="A4004:A4018"/>
    <mergeCell ref="C3989:D3989"/>
    <mergeCell ref="C4014:D4014"/>
    <mergeCell ref="C3943:D3943"/>
    <mergeCell ref="C3992:D3992"/>
    <mergeCell ref="C3996:D3996"/>
    <mergeCell ref="C3973:D3973"/>
    <mergeCell ref="C3974:D3974"/>
    <mergeCell ref="C3975:D3975"/>
    <mergeCell ref="C3976:D3976"/>
    <mergeCell ref="C3977:D3977"/>
    <mergeCell ref="C3980:D3980"/>
    <mergeCell ref="B3948:B3950"/>
    <mergeCell ref="A3952:D3952"/>
    <mergeCell ref="B3965:B3967"/>
    <mergeCell ref="C3961:D3961"/>
    <mergeCell ref="C3962:D3962"/>
    <mergeCell ref="C3993:D3993"/>
    <mergeCell ref="C3995:D3995"/>
    <mergeCell ref="C3994:D3994"/>
    <mergeCell ref="C3804:D3804"/>
    <mergeCell ref="C3805:D3805"/>
    <mergeCell ref="C3806:D3806"/>
    <mergeCell ref="C3807:D3807"/>
    <mergeCell ref="C3808:D3808"/>
    <mergeCell ref="C3809:D3809"/>
    <mergeCell ref="C3810:D3810"/>
    <mergeCell ref="C3811:D3811"/>
    <mergeCell ref="A3800:A3814"/>
    <mergeCell ref="A3816:D3816"/>
    <mergeCell ref="C3801:D3801"/>
    <mergeCell ref="C3802:D3802"/>
    <mergeCell ref="C3803:D3803"/>
    <mergeCell ref="C3827:D3827"/>
    <mergeCell ref="C3828:D3828"/>
    <mergeCell ref="C3825:D3825"/>
    <mergeCell ref="C3826:D3826"/>
    <mergeCell ref="C3818:D3818"/>
    <mergeCell ref="C3819:D3819"/>
    <mergeCell ref="C3820:D3820"/>
    <mergeCell ref="C3821:D3821"/>
    <mergeCell ref="C3822:D3822"/>
    <mergeCell ref="C3823:D3823"/>
    <mergeCell ref="C3824:D3824"/>
    <mergeCell ref="C3791:D3791"/>
    <mergeCell ref="C3792:D3792"/>
    <mergeCell ref="C3793:D3793"/>
    <mergeCell ref="B3795:B3797"/>
    <mergeCell ref="C3794:D3794"/>
    <mergeCell ref="C3786:D3786"/>
    <mergeCell ref="C3784:D3784"/>
    <mergeCell ref="C3785:D3785"/>
    <mergeCell ref="C3774:D3774"/>
    <mergeCell ref="C3775:D3775"/>
    <mergeCell ref="A3782:D3782"/>
    <mergeCell ref="C3787:D3787"/>
    <mergeCell ref="C3788:D3788"/>
    <mergeCell ref="C3789:D3789"/>
    <mergeCell ref="C3790:D3790"/>
    <mergeCell ref="A3783:A3797"/>
    <mergeCell ref="C3769:D3769"/>
    <mergeCell ref="C3770:D3770"/>
    <mergeCell ref="C3771:D3771"/>
    <mergeCell ref="C3772:D3772"/>
    <mergeCell ref="C3773:D3773"/>
    <mergeCell ref="C3776:D3776"/>
    <mergeCell ref="C3777:D3777"/>
    <mergeCell ref="C3736:D3736"/>
    <mergeCell ref="C3737:D3737"/>
    <mergeCell ref="A3765:D3765"/>
    <mergeCell ref="C3705:D3705"/>
    <mergeCell ref="C3701:D3701"/>
    <mergeCell ref="C3708:D3708"/>
    <mergeCell ref="C3709:D3709"/>
    <mergeCell ref="C3743:D3743"/>
    <mergeCell ref="C3755:D3755"/>
    <mergeCell ref="C3723:D3723"/>
    <mergeCell ref="C3722:D3722"/>
    <mergeCell ref="C3724:D3724"/>
    <mergeCell ref="C3725:D3725"/>
    <mergeCell ref="C3751:D3751"/>
    <mergeCell ref="C3752:D3752"/>
    <mergeCell ref="C3753:D3753"/>
    <mergeCell ref="C3754:D3754"/>
    <mergeCell ref="C3738:D3738"/>
    <mergeCell ref="C3739:D3739"/>
    <mergeCell ref="C3703:D3703"/>
    <mergeCell ref="C3704:D3704"/>
    <mergeCell ref="C3740:D3740"/>
    <mergeCell ref="C3741:D3741"/>
    <mergeCell ref="B3727:B3729"/>
    <mergeCell ref="B3710:B3712"/>
    <mergeCell ref="C3758:D3758"/>
    <mergeCell ref="C3685:D3685"/>
    <mergeCell ref="C3686:D3686"/>
    <mergeCell ref="C3687:D3687"/>
    <mergeCell ref="C3688:D3688"/>
    <mergeCell ref="C3691:D3691"/>
    <mergeCell ref="C3682:D3682"/>
    <mergeCell ref="C3636:D3636"/>
    <mergeCell ref="C3631:D3631"/>
    <mergeCell ref="C3632:D3632"/>
    <mergeCell ref="C3633:D3633"/>
    <mergeCell ref="C3634:D3634"/>
    <mergeCell ref="C3635:D3635"/>
    <mergeCell ref="C3637:D3637"/>
    <mergeCell ref="C3638:D3638"/>
    <mergeCell ref="C3653:D3653"/>
    <mergeCell ref="C3655:D3655"/>
    <mergeCell ref="C3654:D3654"/>
    <mergeCell ref="C3656:D3656"/>
    <mergeCell ref="C3657:D3657"/>
    <mergeCell ref="C3665:D3665"/>
    <mergeCell ref="C3658:D3658"/>
    <mergeCell ref="C3666:D3666"/>
    <mergeCell ref="C3667:D3667"/>
    <mergeCell ref="A3680:D3680"/>
    <mergeCell ref="C3639:D3639"/>
    <mergeCell ref="C3640:D3640"/>
    <mergeCell ref="C3641:D3641"/>
    <mergeCell ref="C3648:D3648"/>
    <mergeCell ref="C3649:D3649"/>
    <mergeCell ref="C3651:D3651"/>
    <mergeCell ref="A3646:D3646"/>
    <mergeCell ref="B3642:B3644"/>
    <mergeCell ref="C1373:D1373"/>
    <mergeCell ref="C1374:D1374"/>
    <mergeCell ref="C1375:D1375"/>
    <mergeCell ref="C1407:D1407"/>
    <mergeCell ref="C1389:D1389"/>
    <mergeCell ref="C1390:D1390"/>
    <mergeCell ref="C1392:D1392"/>
    <mergeCell ref="C1393:D1393"/>
    <mergeCell ref="C1394:D1394"/>
    <mergeCell ref="C1395:D1395"/>
    <mergeCell ref="C1396:D1396"/>
    <mergeCell ref="C1397:D1397"/>
    <mergeCell ref="C1399:D1399"/>
    <mergeCell ref="C1412:D1412"/>
    <mergeCell ref="C1411:D1411"/>
    <mergeCell ref="C1406:D1406"/>
    <mergeCell ref="C1391:D1391"/>
    <mergeCell ref="C1381:D1381"/>
    <mergeCell ref="A1387:D1387"/>
    <mergeCell ref="C1382:D1382"/>
    <mergeCell ref="C1408:D1408"/>
    <mergeCell ref="B1400:B1402"/>
    <mergeCell ref="A1404:D1404"/>
    <mergeCell ref="C1409:D1409"/>
    <mergeCell ref="C1410:D1410"/>
    <mergeCell ref="C1398:D1398"/>
    <mergeCell ref="C1598:D1598"/>
    <mergeCell ref="C1599:D1599"/>
    <mergeCell ref="C1600:D1600"/>
    <mergeCell ref="C1601:D1601"/>
    <mergeCell ref="C1594:D1594"/>
    <mergeCell ref="C1443:D1443"/>
    <mergeCell ref="C1444:D1444"/>
    <mergeCell ref="C1462:D1462"/>
    <mergeCell ref="C1467:D1467"/>
    <mergeCell ref="C1463:D1463"/>
    <mergeCell ref="C1464:D1464"/>
    <mergeCell ref="C1465:D1465"/>
    <mergeCell ref="C1466:D1466"/>
    <mergeCell ref="C1480:D1480"/>
    <mergeCell ref="C1481:D1481"/>
    <mergeCell ref="C1482:D1482"/>
    <mergeCell ref="C1483:D1483"/>
    <mergeCell ref="C1474:D1474"/>
    <mergeCell ref="C1475:D1475"/>
    <mergeCell ref="C1448:D1448"/>
    <mergeCell ref="C1534:D1534"/>
    <mergeCell ref="A1506:D1506"/>
    <mergeCell ref="A1490:A1504"/>
    <mergeCell ref="A1507:A1521"/>
    <mergeCell ref="B1519:B1521"/>
    <mergeCell ref="A1523:D1523"/>
    <mergeCell ref="C1530:D1530"/>
    <mergeCell ref="C1510:D1510"/>
    <mergeCell ref="C1445:D1445"/>
    <mergeCell ref="C1446:D1446"/>
    <mergeCell ref="C1450:D1450"/>
    <mergeCell ref="C1461:D1461"/>
    <mergeCell ref="A1302:D1302"/>
    <mergeCell ref="C1304:D1304"/>
    <mergeCell ref="A1319:D1319"/>
    <mergeCell ref="C1311:D1311"/>
    <mergeCell ref="C1312:D1312"/>
    <mergeCell ref="C1321:D1321"/>
    <mergeCell ref="C1322:D1322"/>
    <mergeCell ref="A1336:D1336"/>
    <mergeCell ref="C1378:D1378"/>
    <mergeCell ref="C1379:D1379"/>
    <mergeCell ref="C1380:D1380"/>
    <mergeCell ref="C1376:D1376"/>
    <mergeCell ref="C1377:D1377"/>
    <mergeCell ref="A1320:A1334"/>
    <mergeCell ref="B1332:B1334"/>
    <mergeCell ref="C1341:D1341"/>
    <mergeCell ref="C1342:D1342"/>
    <mergeCell ref="C1346:D1346"/>
    <mergeCell ref="C1347:D1347"/>
    <mergeCell ref="C1348:D1348"/>
    <mergeCell ref="C1326:D1326"/>
    <mergeCell ref="C1327:D1327"/>
    <mergeCell ref="C1328:D1328"/>
    <mergeCell ref="C1329:D1329"/>
    <mergeCell ref="C1313:D1313"/>
    <mergeCell ref="C1314:D1314"/>
    <mergeCell ref="C1356:D1356"/>
    <mergeCell ref="C1358:D1358"/>
    <mergeCell ref="C1359:D1359"/>
    <mergeCell ref="C1360:D1360"/>
    <mergeCell ref="C1323:D1323"/>
    <mergeCell ref="C1357:D1357"/>
    <mergeCell ref="C1344:D1344"/>
    <mergeCell ref="C1345:D1345"/>
    <mergeCell ref="C1330:D1330"/>
    <mergeCell ref="C1331:D1331"/>
    <mergeCell ref="C1324:D1324"/>
    <mergeCell ref="C1325:D1325"/>
    <mergeCell ref="C1355:D1355"/>
    <mergeCell ref="C1340:D1340"/>
    <mergeCell ref="C1343:D1343"/>
    <mergeCell ref="C1339:D1339"/>
    <mergeCell ref="C1338:D1338"/>
    <mergeCell ref="C1363:D1363"/>
    <mergeCell ref="C1364:D1364"/>
    <mergeCell ref="C1365:D1365"/>
    <mergeCell ref="C1362:D1362"/>
    <mergeCell ref="A1353:D1353"/>
    <mergeCell ref="C1361:D1361"/>
    <mergeCell ref="A1370:D1370"/>
    <mergeCell ref="C1372:D1372"/>
    <mergeCell ref="B1993:B1995"/>
    <mergeCell ref="C2017:D2017"/>
    <mergeCell ref="C2021:D2021"/>
    <mergeCell ref="A1878:D1878"/>
    <mergeCell ref="B1891:B1893"/>
    <mergeCell ref="A1895:D1895"/>
    <mergeCell ref="A1998:A2012"/>
    <mergeCell ref="A2015:A2029"/>
    <mergeCell ref="A1811:A1825"/>
    <mergeCell ref="A1827:D1827"/>
    <mergeCell ref="C1847:D1847"/>
    <mergeCell ref="C1833:D1833"/>
    <mergeCell ref="C1834:D1834"/>
    <mergeCell ref="C1819:D1819"/>
    <mergeCell ref="C1820:D1820"/>
    <mergeCell ref="C1918:D1918"/>
    <mergeCell ref="C1887:D1887"/>
    <mergeCell ref="C1900:D1900"/>
    <mergeCell ref="C1901:D1901"/>
    <mergeCell ref="C1902:D1902"/>
    <mergeCell ref="C1917:D1917"/>
    <mergeCell ref="C1954:D1954"/>
    <mergeCell ref="C1982:D1982"/>
    <mergeCell ref="C1968:D1968"/>
    <mergeCell ref="C1915:D1915"/>
    <mergeCell ref="A1981:A1995"/>
    <mergeCell ref="C1797:D1797"/>
    <mergeCell ref="C1848:D1848"/>
    <mergeCell ref="C1849:D1849"/>
    <mergeCell ref="C1850:D1850"/>
    <mergeCell ref="C2024:D2024"/>
    <mergeCell ref="C2025:D2025"/>
    <mergeCell ref="A2031:D2031"/>
    <mergeCell ref="C2042:D2042"/>
    <mergeCell ref="C2043:D2043"/>
    <mergeCell ref="A2032:A2046"/>
    <mergeCell ref="C2035:D2035"/>
    <mergeCell ref="C1805:D1805"/>
    <mergeCell ref="B1806:B1808"/>
    <mergeCell ref="A1794:A1808"/>
    <mergeCell ref="A1810:D1810"/>
    <mergeCell ref="C2004:D2004"/>
    <mergeCell ref="C2005:D2005"/>
    <mergeCell ref="B2010:B2012"/>
    <mergeCell ref="A1879:A1893"/>
    <mergeCell ref="A1845:A1859"/>
    <mergeCell ref="A1862:A1876"/>
    <mergeCell ref="B1823:B1825"/>
    <mergeCell ref="B1840:B1842"/>
    <mergeCell ref="A1828:A1842"/>
    <mergeCell ref="A1844:D1844"/>
    <mergeCell ref="A1861:D1861"/>
    <mergeCell ref="B1857:B1859"/>
    <mergeCell ref="B1874:B1876"/>
    <mergeCell ref="C1886:D1886"/>
    <mergeCell ref="B2027:B2029"/>
    <mergeCell ref="B1959:B1961"/>
    <mergeCell ref="B1976:B1978"/>
    <mergeCell ref="C1984:D1984"/>
    <mergeCell ref="C1937:D1937"/>
    <mergeCell ref="C1903:D1903"/>
    <mergeCell ref="C1906:D1906"/>
    <mergeCell ref="A655:D655"/>
    <mergeCell ref="C592:D592"/>
    <mergeCell ref="C593:D593"/>
    <mergeCell ref="C594:D594"/>
    <mergeCell ref="C595:D595"/>
    <mergeCell ref="C596:D596"/>
    <mergeCell ref="C597:D597"/>
    <mergeCell ref="A573:A587"/>
    <mergeCell ref="A590:A604"/>
    <mergeCell ref="A656:A670"/>
    <mergeCell ref="A639:A653"/>
    <mergeCell ref="C617:D617"/>
    <mergeCell ref="C608:D608"/>
    <mergeCell ref="C657:D657"/>
    <mergeCell ref="C646:D646"/>
    <mergeCell ref="C1795:D1795"/>
    <mergeCell ref="C1796:D1796"/>
    <mergeCell ref="C1305:D1305"/>
    <mergeCell ref="C1306:D1306"/>
    <mergeCell ref="C1307:D1307"/>
    <mergeCell ref="C1308:D1308"/>
    <mergeCell ref="C1292:D1292"/>
    <mergeCell ref="C1297:D1297"/>
    <mergeCell ref="C1287:D1287"/>
    <mergeCell ref="C1288:D1288"/>
    <mergeCell ref="C1289:D1289"/>
    <mergeCell ref="C1290:D1290"/>
    <mergeCell ref="C1291:D1291"/>
    <mergeCell ref="C1310:D1310"/>
    <mergeCell ref="C1309:D1309"/>
    <mergeCell ref="C1433:D1433"/>
    <mergeCell ref="B1434:B1436"/>
    <mergeCell ref="C515:D515"/>
    <mergeCell ref="C516:D516"/>
    <mergeCell ref="C558:D558"/>
    <mergeCell ref="C559:D559"/>
    <mergeCell ref="C560:D560"/>
    <mergeCell ref="C564:D564"/>
    <mergeCell ref="C565:D565"/>
    <mergeCell ref="B536:B538"/>
    <mergeCell ref="A540:C540"/>
    <mergeCell ref="A541:A553"/>
    <mergeCell ref="C562:D562"/>
    <mergeCell ref="C563:D563"/>
    <mergeCell ref="A555:D555"/>
    <mergeCell ref="C530:D530"/>
    <mergeCell ref="C535:D535"/>
    <mergeCell ref="C508:D508"/>
    <mergeCell ref="C509:D509"/>
    <mergeCell ref="C517:D517"/>
    <mergeCell ref="A506:D506"/>
    <mergeCell ref="C518:D518"/>
    <mergeCell ref="C511:D511"/>
    <mergeCell ref="C512:D512"/>
    <mergeCell ref="C583:D583"/>
    <mergeCell ref="B568:B570"/>
    <mergeCell ref="A556:A570"/>
    <mergeCell ref="A572:D572"/>
    <mergeCell ref="C580:D580"/>
    <mergeCell ref="C581:D581"/>
    <mergeCell ref="C574:D574"/>
    <mergeCell ref="C582:D582"/>
    <mergeCell ref="C575:D575"/>
    <mergeCell ref="C577:D577"/>
    <mergeCell ref="C576:D576"/>
    <mergeCell ref="C578:D578"/>
    <mergeCell ref="C579:D579"/>
    <mergeCell ref="A523:D523"/>
    <mergeCell ref="C525:D525"/>
    <mergeCell ref="C526:D526"/>
    <mergeCell ref="C527:D527"/>
    <mergeCell ref="C528:D528"/>
    <mergeCell ref="C529:D529"/>
    <mergeCell ref="A524:A538"/>
    <mergeCell ref="C561:D561"/>
    <mergeCell ref="C557:D557"/>
    <mergeCell ref="C531:D531"/>
    <mergeCell ref="C532:D532"/>
    <mergeCell ref="B519:B521"/>
    <mergeCell ref="A507:A521"/>
    <mergeCell ref="C513:D513"/>
    <mergeCell ref="C514:D514"/>
    <mergeCell ref="C1958:D1958"/>
    <mergeCell ref="C1965:D1965"/>
    <mergeCell ref="C1870:D1870"/>
    <mergeCell ref="C1871:D1871"/>
    <mergeCell ref="C1872:D1872"/>
    <mergeCell ref="C1873:D1873"/>
    <mergeCell ref="C1890:D1890"/>
    <mergeCell ref="C1904:D1904"/>
    <mergeCell ref="C1899:D1899"/>
    <mergeCell ref="C1885:D1885"/>
    <mergeCell ref="C1853:D1853"/>
    <mergeCell ref="C1854:D1854"/>
    <mergeCell ref="C510:D510"/>
    <mergeCell ref="C647:D647"/>
    <mergeCell ref="C648:D648"/>
    <mergeCell ref="C649:D649"/>
    <mergeCell ref="C650:D650"/>
    <mergeCell ref="C640:D640"/>
    <mergeCell ref="C641:D641"/>
    <mergeCell ref="C642:D642"/>
    <mergeCell ref="C643:D643"/>
    <mergeCell ref="C644:D644"/>
    <mergeCell ref="C645:D645"/>
    <mergeCell ref="C618:D618"/>
    <mergeCell ref="C659:D659"/>
    <mergeCell ref="C658:D658"/>
    <mergeCell ref="C660:D660"/>
    <mergeCell ref="C661:D661"/>
    <mergeCell ref="C1914:D1914"/>
    <mergeCell ref="C1761:D1761"/>
    <mergeCell ref="C1762:D1762"/>
    <mergeCell ref="C1765:D1765"/>
    <mergeCell ref="B1925:B1927"/>
    <mergeCell ref="C533:D533"/>
    <mergeCell ref="C534:D534"/>
    <mergeCell ref="C566:D566"/>
    <mergeCell ref="C567:D567"/>
    <mergeCell ref="C584:D584"/>
    <mergeCell ref="C612:D612"/>
    <mergeCell ref="C613:D613"/>
    <mergeCell ref="C611:D611"/>
    <mergeCell ref="C609:D609"/>
    <mergeCell ref="C610:D610"/>
    <mergeCell ref="C598:D598"/>
    <mergeCell ref="C599:D599"/>
    <mergeCell ref="C614:D614"/>
    <mergeCell ref="C615:D615"/>
    <mergeCell ref="C616:D616"/>
    <mergeCell ref="C1983:D1983"/>
    <mergeCell ref="C662:D662"/>
    <mergeCell ref="C663:D663"/>
    <mergeCell ref="A589:D589"/>
    <mergeCell ref="C591:D591"/>
    <mergeCell ref="C600:D600"/>
    <mergeCell ref="C601:D601"/>
    <mergeCell ref="B602:B604"/>
    <mergeCell ref="A606:D606"/>
    <mergeCell ref="B585:B587"/>
    <mergeCell ref="B619:B621"/>
    <mergeCell ref="A624:A636"/>
    <mergeCell ref="A623:C623"/>
    <mergeCell ref="A607:A621"/>
    <mergeCell ref="A638:D638"/>
    <mergeCell ref="B651:B653"/>
    <mergeCell ref="C2034:D2034"/>
    <mergeCell ref="C1922:D1922"/>
    <mergeCell ref="C1955:D1955"/>
    <mergeCell ref="C1956:D1956"/>
    <mergeCell ref="C1957:D1957"/>
    <mergeCell ref="C1953:D1953"/>
    <mergeCell ref="C2018:D2018"/>
    <mergeCell ref="C1966:D1966"/>
    <mergeCell ref="C1967:D1967"/>
    <mergeCell ref="C2026:D2026"/>
    <mergeCell ref="A2083:A2097"/>
    <mergeCell ref="C2111:D2111"/>
    <mergeCell ref="B2112:B2114"/>
    <mergeCell ref="A2082:D2082"/>
    <mergeCell ref="A2100:A2114"/>
    <mergeCell ref="C1985:D1985"/>
    <mergeCell ref="C1986:D1986"/>
    <mergeCell ref="C1987:D1987"/>
    <mergeCell ref="C1999:D1999"/>
    <mergeCell ref="C1988:D1988"/>
    <mergeCell ref="C1991:D1991"/>
    <mergeCell ref="C1992:D1992"/>
    <mergeCell ref="C1990:D1990"/>
    <mergeCell ref="C2000:D2000"/>
    <mergeCell ref="C2006:D2006"/>
    <mergeCell ref="C2001:D2001"/>
    <mergeCell ref="C2002:D2002"/>
    <mergeCell ref="C2003:D2003"/>
    <mergeCell ref="B2044:B2046"/>
    <mergeCell ref="B2061:B2063"/>
    <mergeCell ref="A2049:A2063"/>
    <mergeCell ref="C2051:D2051"/>
    <mergeCell ref="C1766:D1766"/>
    <mergeCell ref="C1769:D1769"/>
    <mergeCell ref="A1742:D1742"/>
    <mergeCell ref="C2077:D2077"/>
    <mergeCell ref="B2078:B2080"/>
    <mergeCell ref="C2089:D2089"/>
    <mergeCell ref="C2067:D2067"/>
    <mergeCell ref="C2068:D2068"/>
    <mergeCell ref="A2065:D2065"/>
    <mergeCell ref="A2066:A2080"/>
    <mergeCell ref="C2059:D2059"/>
    <mergeCell ref="C2060:D2060"/>
    <mergeCell ref="C2069:D2069"/>
    <mergeCell ref="A2048:D2048"/>
    <mergeCell ref="C1846:D1846"/>
    <mergeCell ref="C1835:D1835"/>
    <mergeCell ref="C1865:D1865"/>
    <mergeCell ref="C1880:D1880"/>
    <mergeCell ref="C1866:D1866"/>
    <mergeCell ref="C1867:D1867"/>
    <mergeCell ref="C1868:D1868"/>
    <mergeCell ref="C1869:D1869"/>
    <mergeCell ref="C1881:D1881"/>
    <mergeCell ref="C1882:D1882"/>
    <mergeCell ref="C1883:D1883"/>
    <mergeCell ref="C1884:D1884"/>
    <mergeCell ref="C1919:D1919"/>
    <mergeCell ref="C1920:D1920"/>
    <mergeCell ref="C1888:D1888"/>
    <mergeCell ref="C2057:D2057"/>
    <mergeCell ref="C2058:D2058"/>
    <mergeCell ref="C2050:D2050"/>
    <mergeCell ref="C2052:D2052"/>
    <mergeCell ref="C2053:D2053"/>
    <mergeCell ref="C2054:D2054"/>
    <mergeCell ref="C2055:D2055"/>
    <mergeCell ref="C2056:D2056"/>
    <mergeCell ref="C1916:D1916"/>
    <mergeCell ref="C1923:D1923"/>
    <mergeCell ref="C1921:D1921"/>
    <mergeCell ref="C1939:D1939"/>
    <mergeCell ref="C1950:D1950"/>
    <mergeCell ref="C1940:D1940"/>
    <mergeCell ref="C1941:D1941"/>
    <mergeCell ref="C1948:D1948"/>
    <mergeCell ref="C1949:D1949"/>
    <mergeCell ref="C1951:D1951"/>
    <mergeCell ref="C1952:D1952"/>
    <mergeCell ref="C1936:D1936"/>
    <mergeCell ref="A1946:D1946"/>
    <mergeCell ref="B1942:B1944"/>
    <mergeCell ref="A1963:D1963"/>
    <mergeCell ref="A1980:D1980"/>
    <mergeCell ref="A1997:D1997"/>
    <mergeCell ref="C1969:D1969"/>
    <mergeCell ref="C1970:D1970"/>
    <mergeCell ref="C1971:D1971"/>
    <mergeCell ref="C1974:D1974"/>
    <mergeCell ref="C1975:D1975"/>
    <mergeCell ref="C2033:D2033"/>
    <mergeCell ref="A1913:A1927"/>
    <mergeCell ref="A1930:A1944"/>
    <mergeCell ref="A1947:A1961"/>
    <mergeCell ref="A1964:A1978"/>
    <mergeCell ref="C1720:D1720"/>
    <mergeCell ref="C1730:D1730"/>
    <mergeCell ref="C1718:D1718"/>
    <mergeCell ref="C1719:D1719"/>
    <mergeCell ref="C1728:D1728"/>
    <mergeCell ref="C1729:D1729"/>
    <mergeCell ref="C1731:D1731"/>
    <mergeCell ref="C1751:D1751"/>
    <mergeCell ref="C1750:D1750"/>
    <mergeCell ref="C1732:D1732"/>
    <mergeCell ref="C1733:D1733"/>
    <mergeCell ref="B1755:B1757"/>
    <mergeCell ref="A1759:D1759"/>
    <mergeCell ref="C1754:D1754"/>
    <mergeCell ref="A1743:A1757"/>
    <mergeCell ref="A1760:A1774"/>
    <mergeCell ref="C1752:D1752"/>
    <mergeCell ref="C1753:D1753"/>
    <mergeCell ref="C1735:D1735"/>
    <mergeCell ref="C1736:D1736"/>
    <mergeCell ref="C1734:D1734"/>
    <mergeCell ref="C1737:D1737"/>
    <mergeCell ref="C1767:D1767"/>
    <mergeCell ref="C1768:D1768"/>
    <mergeCell ref="C1770:D1770"/>
    <mergeCell ref="C1771:D1771"/>
    <mergeCell ref="C1744:D1744"/>
    <mergeCell ref="C1745:D1745"/>
    <mergeCell ref="C1746:D1746"/>
    <mergeCell ref="C1747:D1747"/>
    <mergeCell ref="C1748:D1748"/>
    <mergeCell ref="C1749:D1749"/>
    <mergeCell ref="C1804:D1804"/>
    <mergeCell ref="A1912:D1912"/>
    <mergeCell ref="B1908:B1910"/>
    <mergeCell ref="C1786:D1786"/>
    <mergeCell ref="C1787:D1787"/>
    <mergeCell ref="C1788:D1788"/>
    <mergeCell ref="B1789:B1791"/>
    <mergeCell ref="C1802:D1802"/>
    <mergeCell ref="A1793:D1793"/>
    <mergeCell ref="C1764:D1764"/>
    <mergeCell ref="C1763:D1763"/>
    <mergeCell ref="B1772:B1774"/>
    <mergeCell ref="C1803:D1803"/>
    <mergeCell ref="C1815:D1815"/>
    <mergeCell ref="A1776:D1776"/>
    <mergeCell ref="A1777:A1791"/>
    <mergeCell ref="C1778:D1778"/>
    <mergeCell ref="C1783:D1783"/>
    <mergeCell ref="C1784:D1784"/>
    <mergeCell ref="C1785:D1785"/>
    <mergeCell ref="C1782:D1782"/>
    <mergeCell ref="C1779:D1779"/>
    <mergeCell ref="C1780:D1780"/>
    <mergeCell ref="C1781:D1781"/>
    <mergeCell ref="C1889:D1889"/>
    <mergeCell ref="C1897:D1897"/>
    <mergeCell ref="C1898:D1898"/>
    <mergeCell ref="C1907:D1907"/>
    <mergeCell ref="C1818:D1818"/>
    <mergeCell ref="C1821:D1821"/>
    <mergeCell ref="C1851:D1851"/>
    <mergeCell ref="C1852:D1852"/>
    <mergeCell ref="C1863:D1863"/>
    <mergeCell ref="C1864:D1864"/>
    <mergeCell ref="C1831:D1831"/>
    <mergeCell ref="C1838:D1838"/>
    <mergeCell ref="C1839:D1839"/>
    <mergeCell ref="C1855:D1855"/>
    <mergeCell ref="C1816:D1816"/>
    <mergeCell ref="C1836:D1836"/>
    <mergeCell ref="C1837:D1837"/>
    <mergeCell ref="C1829:D1829"/>
    <mergeCell ref="C1830:D1830"/>
    <mergeCell ref="C1832:D1832"/>
    <mergeCell ref="A1896:A1910"/>
    <mergeCell ref="C1905:D1905"/>
    <mergeCell ref="C2519:D2519"/>
    <mergeCell ref="C2526:D2526"/>
    <mergeCell ref="C2527:D2527"/>
    <mergeCell ref="C2518:D2518"/>
    <mergeCell ref="C2511:D2511"/>
    <mergeCell ref="C2509:D2509"/>
    <mergeCell ref="C2510:D2510"/>
    <mergeCell ref="C2512:D2512"/>
    <mergeCell ref="C2513:D2513"/>
    <mergeCell ref="C2514:D2514"/>
    <mergeCell ref="C2515:D2515"/>
    <mergeCell ref="C2516:D2516"/>
    <mergeCell ref="C2517:D2517"/>
    <mergeCell ref="C2494:D2494"/>
    <mergeCell ref="C2495:D2495"/>
    <mergeCell ref="C2496:D2496"/>
    <mergeCell ref="C2497:D2497"/>
    <mergeCell ref="C2500:D2500"/>
    <mergeCell ref="C2528:D2528"/>
    <mergeCell ref="C2529:D2529"/>
    <mergeCell ref="C2530:D2530"/>
    <mergeCell ref="C2531:D2531"/>
    <mergeCell ref="C2016:D2016"/>
    <mergeCell ref="C1989:D1989"/>
    <mergeCell ref="C2036:D2036"/>
    <mergeCell ref="C2037:D2037"/>
    <mergeCell ref="C1924:D1924"/>
    <mergeCell ref="C1938:D1938"/>
    <mergeCell ref="C1931:D1931"/>
    <mergeCell ref="C1932:D1932"/>
    <mergeCell ref="C1933:D1933"/>
    <mergeCell ref="C2038:D2038"/>
    <mergeCell ref="C2039:D2039"/>
    <mergeCell ref="C2040:D2040"/>
    <mergeCell ref="C2041:D2041"/>
    <mergeCell ref="C1934:D1934"/>
    <mergeCell ref="C1935:D1935"/>
    <mergeCell ref="C1972:D1972"/>
    <mergeCell ref="C1973:D1973"/>
    <mergeCell ref="C2019:D2019"/>
    <mergeCell ref="C2020:D2020"/>
    <mergeCell ref="C2023:D2023"/>
    <mergeCell ref="C2022:D2022"/>
    <mergeCell ref="C2008:D2008"/>
    <mergeCell ref="C2009:D2009"/>
    <mergeCell ref="C2007:D2007"/>
    <mergeCell ref="A1929:D1929"/>
    <mergeCell ref="C2502:D2502"/>
    <mergeCell ref="C2492:D2492"/>
    <mergeCell ref="C2493:D2493"/>
    <mergeCell ref="C2501:D2501"/>
    <mergeCell ref="C2499:D2499"/>
    <mergeCell ref="C2498:D2498"/>
    <mergeCell ref="C2485:D2485"/>
    <mergeCell ref="B2486:B2488"/>
    <mergeCell ref="A2117:A2131"/>
    <mergeCell ref="C2119:D2119"/>
    <mergeCell ref="C2120:D2120"/>
    <mergeCell ref="C2230:D2230"/>
    <mergeCell ref="C2246:D2246"/>
    <mergeCell ref="C2261:D2261"/>
    <mergeCell ref="A2202:A2216"/>
    <mergeCell ref="A2201:D2201"/>
    <mergeCell ref="B2214:B2216"/>
    <mergeCell ref="C2188:D2188"/>
    <mergeCell ref="A2184:D2184"/>
    <mergeCell ref="C2189:D2189"/>
    <mergeCell ref="C2178:D2178"/>
    <mergeCell ref="C2177:D2177"/>
    <mergeCell ref="A2219:A2233"/>
    <mergeCell ref="B2231:B2233"/>
    <mergeCell ref="A2185:A2199"/>
    <mergeCell ref="A2218:D2218"/>
    <mergeCell ref="C2213:D2213"/>
    <mergeCell ref="C2220:D2220"/>
    <mergeCell ref="C2221:D2221"/>
    <mergeCell ref="C2222:D2222"/>
    <mergeCell ref="C2203:D2203"/>
    <mergeCell ref="C2204:D2204"/>
    <mergeCell ref="C2205:D2205"/>
    <mergeCell ref="C2210:D2210"/>
    <mergeCell ref="C2212:D2212"/>
    <mergeCell ref="C2211:D2211"/>
    <mergeCell ref="C2137:D2137"/>
    <mergeCell ref="C2140:D2140"/>
    <mergeCell ref="B2180:B2182"/>
    <mergeCell ref="B2197:B2199"/>
    <mergeCell ref="A2151:A2165"/>
    <mergeCell ref="A2167:D2167"/>
    <mergeCell ref="A2168:A2182"/>
    <mergeCell ref="B2163:B2165"/>
    <mergeCell ref="C2228:D2228"/>
    <mergeCell ref="C2229:D2229"/>
    <mergeCell ref="C2223:D2223"/>
    <mergeCell ref="C2224:D2224"/>
    <mergeCell ref="C2225:D2225"/>
    <mergeCell ref="C2227:D2227"/>
    <mergeCell ref="C2226:D2226"/>
    <mergeCell ref="C2169:D2169"/>
    <mergeCell ref="C2160:D2160"/>
    <mergeCell ref="C2161:D2161"/>
    <mergeCell ref="C2162:D2162"/>
    <mergeCell ref="C2170:D2170"/>
    <mergeCell ref="C2171:D2171"/>
    <mergeCell ref="C2172:D2172"/>
    <mergeCell ref="C2173:D2173"/>
    <mergeCell ref="C2174:D2174"/>
    <mergeCell ref="C2175:D2175"/>
    <mergeCell ref="C2176:D2176"/>
    <mergeCell ref="C2190:D2190"/>
    <mergeCell ref="C2191:D2191"/>
    <mergeCell ref="C2192:D2192"/>
    <mergeCell ref="C2195:D2195"/>
    <mergeCell ref="C2193:D2193"/>
    <mergeCell ref="C2194:D2194"/>
    <mergeCell ref="C2179:D2179"/>
    <mergeCell ref="C2186:D2186"/>
    <mergeCell ref="C2187:D2187"/>
    <mergeCell ref="C2196:D2196"/>
    <mergeCell ref="C2206:D2206"/>
    <mergeCell ref="C2207:D2207"/>
    <mergeCell ref="C2208:D2208"/>
    <mergeCell ref="C2209:D2209"/>
    <mergeCell ref="A2134:A2148"/>
    <mergeCell ref="C2135:D2135"/>
    <mergeCell ref="C2136:D2136"/>
    <mergeCell ref="B2146:B2148"/>
    <mergeCell ref="C2141:D2141"/>
    <mergeCell ref="C2159:D2159"/>
    <mergeCell ref="C2158:D2158"/>
    <mergeCell ref="A2150:D2150"/>
    <mergeCell ref="C2154:D2154"/>
    <mergeCell ref="C2152:D2152"/>
    <mergeCell ref="C2153:D2153"/>
    <mergeCell ref="C2155:D2155"/>
    <mergeCell ref="C2156:D2156"/>
    <mergeCell ref="C2157:D2157"/>
    <mergeCell ref="C2142:D2142"/>
    <mergeCell ref="C2143:D2143"/>
    <mergeCell ref="C2138:D2138"/>
    <mergeCell ref="C2139:D2139"/>
    <mergeCell ref="C2144:D2144"/>
    <mergeCell ref="C2145:D2145"/>
    <mergeCell ref="B2129:B2131"/>
    <mergeCell ref="A2133:D2133"/>
    <mergeCell ref="A2099:D2099"/>
    <mergeCell ref="C2101:D2101"/>
    <mergeCell ref="C2102:D2102"/>
    <mergeCell ref="C2103:D2103"/>
    <mergeCell ref="C2121:D2121"/>
    <mergeCell ref="C2122:D2122"/>
    <mergeCell ref="C2125:D2125"/>
    <mergeCell ref="C2126:D2126"/>
    <mergeCell ref="C2091:D2091"/>
    <mergeCell ref="C2090:D2090"/>
    <mergeCell ref="C2092:D2092"/>
    <mergeCell ref="C2093:D2093"/>
    <mergeCell ref="C2094:D2094"/>
    <mergeCell ref="C2076:D2076"/>
    <mergeCell ref="C2074:D2074"/>
    <mergeCell ref="C2075:D2075"/>
    <mergeCell ref="C2086:D2086"/>
    <mergeCell ref="C2087:D2087"/>
    <mergeCell ref="C2088:D2088"/>
    <mergeCell ref="C2118:D2118"/>
    <mergeCell ref="A2116:D2116"/>
    <mergeCell ref="C2123:D2123"/>
    <mergeCell ref="C2124:D2124"/>
    <mergeCell ref="C2084:D2084"/>
    <mergeCell ref="C2085:D2085"/>
    <mergeCell ref="B2095:B2097"/>
    <mergeCell ref="C2127:D2127"/>
    <mergeCell ref="C2128:D2128"/>
    <mergeCell ref="C484:D484"/>
    <mergeCell ref="C491:D491"/>
    <mergeCell ref="C492:D492"/>
    <mergeCell ref="C493:D493"/>
    <mergeCell ref="C2110:D2110"/>
    <mergeCell ref="C2104:D2104"/>
    <mergeCell ref="C2105:D2105"/>
    <mergeCell ref="C2106:D2106"/>
    <mergeCell ref="C2107:D2107"/>
    <mergeCell ref="C2108:D2108"/>
    <mergeCell ref="C2109:D2109"/>
    <mergeCell ref="C1798:D1798"/>
    <mergeCell ref="C1799:D1799"/>
    <mergeCell ref="C1800:D1800"/>
    <mergeCell ref="C482:D482"/>
    <mergeCell ref="C495:D495"/>
    <mergeCell ref="C496:D496"/>
    <mergeCell ref="C497:D497"/>
    <mergeCell ref="C500:D500"/>
    <mergeCell ref="C501:D501"/>
    <mergeCell ref="C2070:D2070"/>
    <mergeCell ref="C2071:D2071"/>
    <mergeCell ref="C2072:D2072"/>
    <mergeCell ref="C2073:D2073"/>
    <mergeCell ref="C1801:D1801"/>
    <mergeCell ref="A2014:D2014"/>
    <mergeCell ref="C1814:D1814"/>
    <mergeCell ref="C1856:D1856"/>
    <mergeCell ref="C1812:D1812"/>
    <mergeCell ref="C1813:D1813"/>
    <mergeCell ref="C1817:D1817"/>
    <mergeCell ref="C1822:D1822"/>
    <mergeCell ref="C390:D390"/>
    <mergeCell ref="C393:D393"/>
    <mergeCell ref="C394:D394"/>
    <mergeCell ref="C395:D395"/>
    <mergeCell ref="C411:D411"/>
    <mergeCell ref="C412:D412"/>
    <mergeCell ref="C396:D396"/>
    <mergeCell ref="C389:D389"/>
    <mergeCell ref="C397:D397"/>
    <mergeCell ref="C415:D415"/>
    <mergeCell ref="C406:D406"/>
    <mergeCell ref="C407:D407"/>
    <mergeCell ref="C399:D399"/>
    <mergeCell ref="C398:D398"/>
    <mergeCell ref="C479:D479"/>
    <mergeCell ref="C480:D480"/>
    <mergeCell ref="C481:D481"/>
    <mergeCell ref="C432:D432"/>
    <mergeCell ref="C443:D443"/>
    <mergeCell ref="C446:D446"/>
    <mergeCell ref="C447:D447"/>
    <mergeCell ref="C448:D448"/>
    <mergeCell ref="C461:D461"/>
    <mergeCell ref="C462:D462"/>
    <mergeCell ref="C457:D457"/>
    <mergeCell ref="C458:D458"/>
    <mergeCell ref="C459:D459"/>
    <mergeCell ref="C460:D460"/>
    <mergeCell ref="C476:D476"/>
    <mergeCell ref="C474:D474"/>
    <mergeCell ref="C475:D475"/>
    <mergeCell ref="C433:D433"/>
    <mergeCell ref="C346:D346"/>
    <mergeCell ref="C347:D347"/>
    <mergeCell ref="A353:D353"/>
    <mergeCell ref="A337:A351"/>
    <mergeCell ref="B349:B351"/>
    <mergeCell ref="C348:D348"/>
    <mergeCell ref="C310:D310"/>
    <mergeCell ref="C311:D311"/>
    <mergeCell ref="C327:D327"/>
    <mergeCell ref="C328:D328"/>
    <mergeCell ref="C323:D323"/>
    <mergeCell ref="C324:D324"/>
    <mergeCell ref="A239:A251"/>
    <mergeCell ref="A254:A266"/>
    <mergeCell ref="C304:D304"/>
    <mergeCell ref="C305:D305"/>
    <mergeCell ref="C340:D340"/>
    <mergeCell ref="C338:D338"/>
    <mergeCell ref="C339:D339"/>
    <mergeCell ref="C325:D325"/>
    <mergeCell ref="C326:D326"/>
    <mergeCell ref="C295:D295"/>
    <mergeCell ref="C296:D296"/>
    <mergeCell ref="C297:D297"/>
    <mergeCell ref="C287:D287"/>
    <mergeCell ref="C288:D288"/>
    <mergeCell ref="C274:D274"/>
    <mergeCell ref="C292:D292"/>
    <mergeCell ref="C293:D293"/>
    <mergeCell ref="C270:D270"/>
    <mergeCell ref="C271:D271"/>
    <mergeCell ref="C272:D272"/>
    <mergeCell ref="B315:B317"/>
    <mergeCell ref="A303:A317"/>
    <mergeCell ref="A302:D302"/>
    <mergeCell ref="C329:D329"/>
    <mergeCell ref="A336:D336"/>
    <mergeCell ref="A320:A334"/>
    <mergeCell ref="B332:B334"/>
    <mergeCell ref="C321:D321"/>
    <mergeCell ref="C322:D322"/>
    <mergeCell ref="A319:D319"/>
    <mergeCell ref="C331:D331"/>
    <mergeCell ref="C341:D341"/>
    <mergeCell ref="C342:D342"/>
    <mergeCell ref="C343:D343"/>
    <mergeCell ref="C344:D344"/>
    <mergeCell ref="C330:D330"/>
    <mergeCell ref="C345:D345"/>
    <mergeCell ref="C314:D314"/>
    <mergeCell ref="C312:D312"/>
    <mergeCell ref="C313:D313"/>
    <mergeCell ref="C306:D306"/>
    <mergeCell ref="C307:D307"/>
    <mergeCell ref="C308:D308"/>
    <mergeCell ref="C309:D309"/>
    <mergeCell ref="C289:D289"/>
    <mergeCell ref="C290:D290"/>
    <mergeCell ref="C291:D291"/>
    <mergeCell ref="C100:D100"/>
    <mergeCell ref="C101:D101"/>
    <mergeCell ref="C107:D107"/>
    <mergeCell ref="B108:B110"/>
    <mergeCell ref="C102:D102"/>
    <mergeCell ref="C103:D103"/>
    <mergeCell ref="C280:D280"/>
    <mergeCell ref="C231:D231"/>
    <mergeCell ref="C232:D232"/>
    <mergeCell ref="C233:D233"/>
    <mergeCell ref="C89:D89"/>
    <mergeCell ref="C90:D90"/>
    <mergeCell ref="C169:D169"/>
    <mergeCell ref="B170:B172"/>
    <mergeCell ref="C165:D165"/>
    <mergeCell ref="C166:D166"/>
    <mergeCell ref="A285:D285"/>
    <mergeCell ref="A268:D268"/>
    <mergeCell ref="C209:D209"/>
    <mergeCell ref="A205:A219"/>
    <mergeCell ref="A221:D221"/>
    <mergeCell ref="C208:D208"/>
    <mergeCell ref="C213:D213"/>
    <mergeCell ref="A2:A14"/>
    <mergeCell ref="A17:A29"/>
    <mergeCell ref="A31:C31"/>
    <mergeCell ref="A32:A44"/>
    <mergeCell ref="A46:C46"/>
    <mergeCell ref="A1:C1"/>
    <mergeCell ref="A16:C16"/>
    <mergeCell ref="A47:A59"/>
    <mergeCell ref="B91:B93"/>
    <mergeCell ref="A96:A110"/>
    <mergeCell ref="C87:D87"/>
    <mergeCell ref="A79:A93"/>
    <mergeCell ref="C83:D83"/>
    <mergeCell ref="C84:D84"/>
    <mergeCell ref="A61:D61"/>
    <mergeCell ref="C65:D65"/>
    <mergeCell ref="C85:D85"/>
    <mergeCell ref="C86:D86"/>
    <mergeCell ref="C82:D82"/>
    <mergeCell ref="C88:D88"/>
    <mergeCell ref="C80:D80"/>
    <mergeCell ref="C81:D81"/>
    <mergeCell ref="B74:B76"/>
    <mergeCell ref="C63:D63"/>
    <mergeCell ref="C64:D64"/>
    <mergeCell ref="C70:D70"/>
    <mergeCell ref="C71:D71"/>
    <mergeCell ref="C72:D72"/>
    <mergeCell ref="C73:D73"/>
    <mergeCell ref="C66:D66"/>
    <mergeCell ref="C67:D67"/>
    <mergeCell ref="C68:D68"/>
    <mergeCell ref="C294:D294"/>
    <mergeCell ref="B281:B283"/>
    <mergeCell ref="A269:A283"/>
    <mergeCell ref="A253:C253"/>
    <mergeCell ref="A286:A300"/>
    <mergeCell ref="A95:D95"/>
    <mergeCell ref="C97:D97"/>
    <mergeCell ref="C98:D98"/>
    <mergeCell ref="A190:A202"/>
    <mergeCell ref="C227:D227"/>
    <mergeCell ref="A78:D78"/>
    <mergeCell ref="B234:B236"/>
    <mergeCell ref="A238:C238"/>
    <mergeCell ref="A222:A236"/>
    <mergeCell ref="C226:D226"/>
    <mergeCell ref="B298:B300"/>
    <mergeCell ref="C275:D275"/>
    <mergeCell ref="C278:D278"/>
    <mergeCell ref="C279:D279"/>
    <mergeCell ref="C276:D276"/>
    <mergeCell ref="C277:D277"/>
    <mergeCell ref="C99:D99"/>
    <mergeCell ref="C164:D164"/>
    <mergeCell ref="C224:D224"/>
    <mergeCell ref="C215:D215"/>
    <mergeCell ref="C211:D211"/>
    <mergeCell ref="C212:D212"/>
    <mergeCell ref="C210:D210"/>
    <mergeCell ref="A204:D204"/>
    <mergeCell ref="C206:D206"/>
    <mergeCell ref="C207:D207"/>
    <mergeCell ref="C273:D273"/>
    <mergeCell ref="C428:D428"/>
    <mergeCell ref="C69:D69"/>
    <mergeCell ref="A62:A76"/>
    <mergeCell ref="C228:D228"/>
    <mergeCell ref="C229:D229"/>
    <mergeCell ref="C230:D230"/>
    <mergeCell ref="C214:D214"/>
    <mergeCell ref="C216:D216"/>
    <mergeCell ref="B217:B219"/>
    <mergeCell ref="C225:D225"/>
    <mergeCell ref="C223:D223"/>
    <mergeCell ref="C104:D104"/>
    <mergeCell ref="A112:C112"/>
    <mergeCell ref="C105:D105"/>
    <mergeCell ref="C106:D106"/>
    <mergeCell ref="A127:C127"/>
    <mergeCell ref="A142:C142"/>
    <mergeCell ref="A113:A125"/>
    <mergeCell ref="A128:A140"/>
    <mergeCell ref="A143:A155"/>
    <mergeCell ref="A157:D157"/>
    <mergeCell ref="C159:D159"/>
    <mergeCell ref="C160:D160"/>
    <mergeCell ref="C161:D161"/>
    <mergeCell ref="C162:D162"/>
    <mergeCell ref="C163:D163"/>
    <mergeCell ref="A174:C174"/>
    <mergeCell ref="A189:C189"/>
    <mergeCell ref="A158:A172"/>
    <mergeCell ref="A175:A187"/>
    <mergeCell ref="C167:D167"/>
    <mergeCell ref="C168:D168"/>
    <mergeCell ref="C372:D372"/>
    <mergeCell ref="A370:D370"/>
    <mergeCell ref="C358:D358"/>
    <mergeCell ref="C359:D359"/>
    <mergeCell ref="C360:D360"/>
    <mergeCell ref="C355:D355"/>
    <mergeCell ref="C356:D356"/>
    <mergeCell ref="C357:D357"/>
    <mergeCell ref="C361:D361"/>
    <mergeCell ref="C362:D362"/>
    <mergeCell ref="C363:D363"/>
    <mergeCell ref="C364:D364"/>
    <mergeCell ref="C374:D374"/>
    <mergeCell ref="C373:D373"/>
    <mergeCell ref="A354:A368"/>
    <mergeCell ref="B366:B368"/>
    <mergeCell ref="C365:D365"/>
    <mergeCell ref="A371:A385"/>
    <mergeCell ref="C375:D375"/>
    <mergeCell ref="C376:D376"/>
    <mergeCell ref="C381:D381"/>
    <mergeCell ref="C382:D382"/>
    <mergeCell ref="C377:D377"/>
    <mergeCell ref="C378:D378"/>
    <mergeCell ref="C379:D379"/>
    <mergeCell ref="C380:D380"/>
    <mergeCell ref="B400:B402"/>
    <mergeCell ref="A404:D404"/>
    <mergeCell ref="C408:D408"/>
    <mergeCell ref="C409:D409"/>
    <mergeCell ref="C410:D410"/>
    <mergeCell ref="C413:D413"/>
    <mergeCell ref="C391:D391"/>
    <mergeCell ref="C392:D392"/>
    <mergeCell ref="B383:B385"/>
    <mergeCell ref="A387:D387"/>
    <mergeCell ref="A388:A402"/>
    <mergeCell ref="A405:A419"/>
    <mergeCell ref="B417:B419"/>
    <mergeCell ref="C414:D414"/>
    <mergeCell ref="C444:D444"/>
    <mergeCell ref="C445:D445"/>
    <mergeCell ref="B434:B436"/>
    <mergeCell ref="A438:D438"/>
    <mergeCell ref="A422:A436"/>
    <mergeCell ref="A421:D421"/>
    <mergeCell ref="C423:D423"/>
    <mergeCell ref="C429:D429"/>
    <mergeCell ref="C430:D430"/>
    <mergeCell ref="C442:D442"/>
    <mergeCell ref="C440:D440"/>
    <mergeCell ref="C441:D441"/>
    <mergeCell ref="C424:D424"/>
    <mergeCell ref="C425:D425"/>
    <mergeCell ref="C416:D416"/>
    <mergeCell ref="C426:D426"/>
    <mergeCell ref="C427:D427"/>
    <mergeCell ref="C431:D431"/>
    <mergeCell ref="C477:D477"/>
    <mergeCell ref="C478:D478"/>
    <mergeCell ref="C450:D450"/>
    <mergeCell ref="C449:D449"/>
    <mergeCell ref="C463:D463"/>
    <mergeCell ref="A455:D455"/>
    <mergeCell ref="C467:D467"/>
    <mergeCell ref="C464:D464"/>
    <mergeCell ref="C465:D465"/>
    <mergeCell ref="C466:D466"/>
    <mergeCell ref="B468:B470"/>
    <mergeCell ref="A472:D472"/>
    <mergeCell ref="A456:A470"/>
    <mergeCell ref="B3132:B3134"/>
    <mergeCell ref="A3120:A3134"/>
    <mergeCell ref="A3136:D3136"/>
    <mergeCell ref="C3131:D3131"/>
    <mergeCell ref="C3121:D3121"/>
    <mergeCell ref="C3080:D3080"/>
    <mergeCell ref="C3076:D3076"/>
    <mergeCell ref="C3094:D3094"/>
    <mergeCell ref="A473:A487"/>
    <mergeCell ref="A490:A504"/>
    <mergeCell ref="B485:B487"/>
    <mergeCell ref="B502:B504"/>
    <mergeCell ref="A489:D489"/>
    <mergeCell ref="C498:D498"/>
    <mergeCell ref="C499:D499"/>
    <mergeCell ref="A439:A453"/>
    <mergeCell ref="B451:B453"/>
    <mergeCell ref="C483:D483"/>
    <mergeCell ref="C494:D494"/>
    <mergeCell ref="C3159:D3159"/>
    <mergeCell ref="C3160:D3160"/>
    <mergeCell ref="C3161:D3161"/>
    <mergeCell ref="C3164:D3164"/>
    <mergeCell ref="C3162:D3162"/>
    <mergeCell ref="C3155:D3155"/>
    <mergeCell ref="C3156:D3156"/>
    <mergeCell ref="C3157:D3157"/>
    <mergeCell ref="C3158:D3158"/>
    <mergeCell ref="C3177:D3177"/>
    <mergeCell ref="C3179:D3179"/>
    <mergeCell ref="C3178:D3178"/>
    <mergeCell ref="C3180:D3180"/>
    <mergeCell ref="C3181:D3181"/>
    <mergeCell ref="C3382:D3382"/>
    <mergeCell ref="C3165:D3165"/>
    <mergeCell ref="A3170:D3170"/>
    <mergeCell ref="B3166:B3168"/>
    <mergeCell ref="A3154:A3168"/>
    <mergeCell ref="C3163:D3163"/>
    <mergeCell ref="A3289:D3289"/>
    <mergeCell ref="B3268:B3270"/>
    <mergeCell ref="A3256:A3270"/>
    <mergeCell ref="B3285:B3287"/>
    <mergeCell ref="A3187:D3187"/>
    <mergeCell ref="B3183:B3185"/>
    <mergeCell ref="A3171:A3185"/>
    <mergeCell ref="C3176:D3176"/>
    <mergeCell ref="C3172:D3172"/>
    <mergeCell ref="C3173:D3173"/>
    <mergeCell ref="C3174:D3174"/>
    <mergeCell ref="C3175:D3175"/>
    <mergeCell ref="A3255:D3255"/>
    <mergeCell ref="A3272:D3272"/>
    <mergeCell ref="C3410:D3410"/>
    <mergeCell ref="C3411:D3411"/>
    <mergeCell ref="C3412:D3412"/>
    <mergeCell ref="C3413:D3413"/>
    <mergeCell ref="C3342:D3342"/>
    <mergeCell ref="C3343:D3343"/>
    <mergeCell ref="C3344:D3344"/>
    <mergeCell ref="C3345:D3345"/>
    <mergeCell ref="C3346:D3346"/>
    <mergeCell ref="C3146:D3146"/>
    <mergeCell ref="C3138:D3138"/>
    <mergeCell ref="C3139:D3139"/>
    <mergeCell ref="C3140:D3140"/>
    <mergeCell ref="C3312:D3312"/>
    <mergeCell ref="C3308:D3308"/>
    <mergeCell ref="C3309:D3309"/>
    <mergeCell ref="C3310:D3310"/>
    <mergeCell ref="C3311:D3311"/>
    <mergeCell ref="C3298:D3298"/>
    <mergeCell ref="C3299:D3299"/>
    <mergeCell ref="C3315:D3315"/>
    <mergeCell ref="C3314:D3314"/>
    <mergeCell ref="C3316:D3316"/>
    <mergeCell ref="A3358:A3372"/>
    <mergeCell ref="C3362:D3362"/>
    <mergeCell ref="C3363:D3363"/>
    <mergeCell ref="C3364:D3364"/>
    <mergeCell ref="C3365:D3365"/>
    <mergeCell ref="B3370:B3372"/>
    <mergeCell ref="C3352:D3352"/>
    <mergeCell ref="C3366:D3366"/>
    <mergeCell ref="C3367:D3367"/>
    <mergeCell ref="C3359:D3359"/>
    <mergeCell ref="C3360:D3360"/>
    <mergeCell ref="C3361:D3361"/>
    <mergeCell ref="C3182:D3182"/>
    <mergeCell ref="C3349:D3349"/>
    <mergeCell ref="C3350:D3350"/>
    <mergeCell ref="C3351:D3351"/>
    <mergeCell ref="C3348:D3348"/>
    <mergeCell ref="A3273:A3287"/>
    <mergeCell ref="B3115:B3117"/>
    <mergeCell ref="C3104:D3104"/>
    <mergeCell ref="C3105:D3105"/>
    <mergeCell ref="C3113:D3113"/>
    <mergeCell ref="C3106:D3106"/>
    <mergeCell ref="C3107:D3107"/>
    <mergeCell ref="C3108:D3108"/>
    <mergeCell ref="C3109:D3109"/>
    <mergeCell ref="C3110:D3110"/>
    <mergeCell ref="A3103:A3117"/>
    <mergeCell ref="C3143:D3143"/>
    <mergeCell ref="C3144:D3144"/>
    <mergeCell ref="A3137:A3151"/>
    <mergeCell ref="B3149:B3151"/>
    <mergeCell ref="C3380:D3380"/>
    <mergeCell ref="C3378:D3378"/>
    <mergeCell ref="C3379:D3379"/>
    <mergeCell ref="A3374:D3374"/>
    <mergeCell ref="C3376:D3376"/>
    <mergeCell ref="C3275:D3275"/>
    <mergeCell ref="C3276:D3276"/>
    <mergeCell ref="C3368:D3368"/>
    <mergeCell ref="C3369:D3369"/>
    <mergeCell ref="C3123:D3123"/>
    <mergeCell ref="C3124:D3124"/>
    <mergeCell ref="C3125:D3125"/>
    <mergeCell ref="C3126:D3126"/>
    <mergeCell ref="C3127:D3127"/>
    <mergeCell ref="C3128:D3128"/>
    <mergeCell ref="C3147:D3147"/>
    <mergeCell ref="C3148:D3148"/>
    <mergeCell ref="C3145:D3145"/>
    <mergeCell ref="C3095:D3095"/>
    <mergeCell ref="C3087:D3087"/>
    <mergeCell ref="C3088:D3088"/>
    <mergeCell ref="C3089:D3089"/>
    <mergeCell ref="C3090:D3090"/>
    <mergeCell ref="C3093:D3093"/>
    <mergeCell ref="C3078:D3078"/>
    <mergeCell ref="C3079:D3079"/>
    <mergeCell ref="A3153:D3153"/>
    <mergeCell ref="C3129:D3129"/>
    <mergeCell ref="C3130:D3130"/>
    <mergeCell ref="C3141:D3141"/>
    <mergeCell ref="C3142:D3142"/>
    <mergeCell ref="C3122:D3122"/>
    <mergeCell ref="C3042:D3042"/>
    <mergeCell ref="C3044:D3044"/>
    <mergeCell ref="C3045:D3045"/>
    <mergeCell ref="A3086:A3100"/>
    <mergeCell ref="B3098:B3100"/>
    <mergeCell ref="C3096:D3096"/>
    <mergeCell ref="C3097:D3097"/>
    <mergeCell ref="B3064:B3066"/>
    <mergeCell ref="A3052:A3066"/>
    <mergeCell ref="A3068:D3068"/>
    <mergeCell ref="A3069:A3083"/>
    <mergeCell ref="B3081:B3083"/>
    <mergeCell ref="A3085:D3085"/>
    <mergeCell ref="A3102:D3102"/>
    <mergeCell ref="C3111:D3111"/>
    <mergeCell ref="C3112:D3112"/>
    <mergeCell ref="C3114:D3114"/>
    <mergeCell ref="A3119:D3119"/>
    <mergeCell ref="C3070:D3070"/>
    <mergeCell ref="C3056:D3056"/>
    <mergeCell ref="C3057:D3057"/>
    <mergeCell ref="C3058:D3058"/>
    <mergeCell ref="C3059:D3059"/>
    <mergeCell ref="C3055:D3055"/>
    <mergeCell ref="C3091:D3091"/>
    <mergeCell ref="C3092:D3092"/>
    <mergeCell ref="A3035:A3049"/>
    <mergeCell ref="C3071:D3071"/>
    <mergeCell ref="C3077:D3077"/>
    <mergeCell ref="C3072:D3072"/>
    <mergeCell ref="C3073:D3073"/>
    <mergeCell ref="C3074:D3074"/>
    <mergeCell ref="C3075:D3075"/>
    <mergeCell ref="C3036:D3036"/>
    <mergeCell ref="C3037:D3037"/>
    <mergeCell ref="C2941:D2941"/>
    <mergeCell ref="C2942:D2942"/>
    <mergeCell ref="C2934:D2934"/>
    <mergeCell ref="C2953:D2953"/>
    <mergeCell ref="A2949:D2949"/>
    <mergeCell ref="C2937:D2937"/>
    <mergeCell ref="C2938:D2938"/>
    <mergeCell ref="C2939:D2939"/>
    <mergeCell ref="C2940:D2940"/>
    <mergeCell ref="C2954:D2954"/>
    <mergeCell ref="C2955:D2955"/>
    <mergeCell ref="C2956:D2956"/>
    <mergeCell ref="C2957:D2957"/>
    <mergeCell ref="C2960:D2960"/>
    <mergeCell ref="C2961:D2961"/>
    <mergeCell ref="C3053:D3053"/>
    <mergeCell ref="C3054:D3054"/>
    <mergeCell ref="C3046:D3046"/>
    <mergeCell ref="C3026:D3026"/>
    <mergeCell ref="C3027:D3027"/>
    <mergeCell ref="C3029:D3029"/>
    <mergeCell ref="C3060:D3060"/>
    <mergeCell ref="C3061:D3061"/>
    <mergeCell ref="C3062:D3062"/>
    <mergeCell ref="C3063:D3063"/>
    <mergeCell ref="C3010:D3010"/>
    <mergeCell ref="C3011:D3011"/>
    <mergeCell ref="C3040:D3040"/>
    <mergeCell ref="C3041:D3041"/>
    <mergeCell ref="B3047:B3049"/>
    <mergeCell ref="A3051:D3051"/>
    <mergeCell ref="C3024:D3024"/>
    <mergeCell ref="C3028:D3028"/>
    <mergeCell ref="B3030:B3032"/>
    <mergeCell ref="C3025:D3025"/>
    <mergeCell ref="A3034:D3034"/>
    <mergeCell ref="C3038:D3038"/>
    <mergeCell ref="C3039:D3039"/>
    <mergeCell ref="C3019:D3019"/>
    <mergeCell ref="C3022:D3022"/>
    <mergeCell ref="C3023:D3023"/>
    <mergeCell ref="C3043:D3043"/>
    <mergeCell ref="C3021:D3021"/>
    <mergeCell ref="C3008:D3008"/>
    <mergeCell ref="C3009:D3009"/>
    <mergeCell ref="A3017:D3017"/>
    <mergeCell ref="C2977:D2977"/>
    <mergeCell ref="C2978:D2978"/>
    <mergeCell ref="B2979:B2981"/>
    <mergeCell ref="A2983:D2983"/>
    <mergeCell ref="A2984:A2998"/>
    <mergeCell ref="A3001:A3015"/>
    <mergeCell ref="A3018:A3032"/>
    <mergeCell ref="A2967:A2981"/>
    <mergeCell ref="C2968:D2968"/>
    <mergeCell ref="C2969:D2969"/>
    <mergeCell ref="C2970:D2970"/>
    <mergeCell ref="C2971:D2971"/>
    <mergeCell ref="C3002:D3002"/>
    <mergeCell ref="C3003:D3003"/>
    <mergeCell ref="C3004:D3004"/>
    <mergeCell ref="C3005:D3005"/>
    <mergeCell ref="C3006:D3006"/>
    <mergeCell ref="C3007:D3007"/>
    <mergeCell ref="C2972:D2972"/>
    <mergeCell ref="C2973:D2973"/>
    <mergeCell ref="C2985:D2985"/>
    <mergeCell ref="C2986:D2986"/>
    <mergeCell ref="C2975:D2975"/>
    <mergeCell ref="C2974:D2974"/>
    <mergeCell ref="C2976:D2976"/>
    <mergeCell ref="C2987:D2987"/>
    <mergeCell ref="C2994:D2994"/>
    <mergeCell ref="C2988:D2988"/>
    <mergeCell ref="C2803:D2803"/>
    <mergeCell ref="C2804:D2804"/>
    <mergeCell ref="C2807:D2807"/>
    <mergeCell ref="C2805:D2805"/>
    <mergeCell ref="C2806:D2806"/>
    <mergeCell ref="C2749:D2749"/>
    <mergeCell ref="C2750:D2750"/>
    <mergeCell ref="C2736:D2736"/>
    <mergeCell ref="C2739:D2739"/>
    <mergeCell ref="C2740:D2740"/>
    <mergeCell ref="C2737:D2737"/>
    <mergeCell ref="C2738:D2738"/>
    <mergeCell ref="C3020:D3020"/>
    <mergeCell ref="C3012:D3012"/>
    <mergeCell ref="B3013:B3015"/>
    <mergeCell ref="C2992:D2992"/>
    <mergeCell ref="C2993:D2993"/>
    <mergeCell ref="B2996:B2998"/>
    <mergeCell ref="A3000:D3000"/>
    <mergeCell ref="C2989:D2989"/>
    <mergeCell ref="C2990:D2990"/>
    <mergeCell ref="C2991:D2991"/>
    <mergeCell ref="C2995:D2995"/>
    <mergeCell ref="C2958:D2958"/>
    <mergeCell ref="C2959:D2959"/>
    <mergeCell ref="C2951:D2951"/>
    <mergeCell ref="C2952:D2952"/>
    <mergeCell ref="C2944:D2944"/>
    <mergeCell ref="B2945:B2947"/>
    <mergeCell ref="A2966:D2966"/>
    <mergeCell ref="B2962:B2964"/>
    <mergeCell ref="C2943:D2943"/>
    <mergeCell ref="C2921:D2921"/>
    <mergeCell ref="C2922:D2922"/>
    <mergeCell ref="C2935:D2935"/>
    <mergeCell ref="C2936:D2936"/>
    <mergeCell ref="A2915:D2915"/>
    <mergeCell ref="B2911:B2913"/>
    <mergeCell ref="B2928:B2930"/>
    <mergeCell ref="A2932:D2932"/>
    <mergeCell ref="C2918:D2918"/>
    <mergeCell ref="C2751:D2751"/>
    <mergeCell ref="C2752:D2752"/>
    <mergeCell ref="A2745:D2745"/>
    <mergeCell ref="C2754:D2754"/>
    <mergeCell ref="C2747:D2747"/>
    <mergeCell ref="C2748:D2748"/>
    <mergeCell ref="C2755:D2755"/>
    <mergeCell ref="C2756:D2756"/>
    <mergeCell ref="C2757:D2757"/>
    <mergeCell ref="C2753:D2753"/>
    <mergeCell ref="A2746:A2760"/>
    <mergeCell ref="A2780:A2794"/>
    <mergeCell ref="A2797:A2811"/>
    <mergeCell ref="A2814:A2828"/>
    <mergeCell ref="A2763:A2777"/>
    <mergeCell ref="C2808:D2808"/>
    <mergeCell ref="C2884:D2884"/>
    <mergeCell ref="C2883:D2883"/>
    <mergeCell ref="C2907:D2907"/>
    <mergeCell ref="C2908:D2908"/>
    <mergeCell ref="C2909:D2909"/>
    <mergeCell ref="C2910:D2910"/>
    <mergeCell ref="C2902:D2902"/>
    <mergeCell ref="B2894:B2896"/>
    <mergeCell ref="C2885:D2885"/>
    <mergeCell ref="C2886:D2886"/>
    <mergeCell ref="C2887:D2887"/>
    <mergeCell ref="C2888:D2888"/>
    <mergeCell ref="C2890:D2890"/>
    <mergeCell ref="C2891:D2891"/>
    <mergeCell ref="C2889:D2889"/>
    <mergeCell ref="C2765:D2765"/>
    <mergeCell ref="C2801:D2801"/>
    <mergeCell ref="C2802:D2802"/>
    <mergeCell ref="B2792:B2794"/>
    <mergeCell ref="A2796:D2796"/>
    <mergeCell ref="C2790:D2790"/>
    <mergeCell ref="C2791:D2791"/>
    <mergeCell ref="C2798:D2798"/>
    <mergeCell ref="C2799:D2799"/>
    <mergeCell ref="C2800:D2800"/>
    <mergeCell ref="C2873:D2873"/>
    <mergeCell ref="C2874:D2874"/>
    <mergeCell ref="C2871:D2871"/>
    <mergeCell ref="C2872:D2872"/>
    <mergeCell ref="C2875:D2875"/>
    <mergeCell ref="C2876:D2876"/>
    <mergeCell ref="C2869:D2869"/>
    <mergeCell ref="C2870:D2870"/>
    <mergeCell ref="C2866:D2866"/>
    <mergeCell ref="C2785:D2785"/>
    <mergeCell ref="C2786:D2786"/>
    <mergeCell ref="C2787:D2787"/>
    <mergeCell ref="C2788:D2788"/>
    <mergeCell ref="C2789:D2789"/>
    <mergeCell ref="B2843:B2845"/>
    <mergeCell ref="B2809:B2811"/>
    <mergeCell ref="A2864:D2864"/>
    <mergeCell ref="C2859:D2859"/>
    <mergeCell ref="B2860:B2862"/>
    <mergeCell ref="C2856:D2856"/>
    <mergeCell ref="C2857:D2857"/>
    <mergeCell ref="A2847:D2847"/>
    <mergeCell ref="C2849:D2849"/>
    <mergeCell ref="C2850:D2850"/>
    <mergeCell ref="C2851:D2851"/>
    <mergeCell ref="C2836:D2836"/>
    <mergeCell ref="C2839:D2839"/>
    <mergeCell ref="C2838:D2838"/>
    <mergeCell ref="C2840:D2840"/>
    <mergeCell ref="C2841:D2841"/>
    <mergeCell ref="C2817:D2817"/>
    <mergeCell ref="C2818:D2818"/>
    <mergeCell ref="C2819:D2819"/>
    <mergeCell ref="C2820:D2820"/>
    <mergeCell ref="C2842:D2842"/>
    <mergeCell ref="C2815:D2815"/>
    <mergeCell ref="C2816:D2816"/>
    <mergeCell ref="A2831:A2845"/>
    <mergeCell ref="A2848:A2862"/>
    <mergeCell ref="A2830:D2830"/>
    <mergeCell ref="C2835:D2835"/>
    <mergeCell ref="A2882:A2896"/>
    <mergeCell ref="A2950:A2964"/>
    <mergeCell ref="A2899:A2913"/>
    <mergeCell ref="A2916:A2930"/>
    <mergeCell ref="A2933:A2947"/>
    <mergeCell ref="C2852:D2852"/>
    <mergeCell ref="C2853:D2853"/>
    <mergeCell ref="C2854:D2854"/>
    <mergeCell ref="C2855:D2855"/>
    <mergeCell ref="C2858:D2858"/>
    <mergeCell ref="B2877:B2879"/>
    <mergeCell ref="A2881:D2881"/>
    <mergeCell ref="C2892:D2892"/>
    <mergeCell ref="C2893:D2893"/>
    <mergeCell ref="C2900:D2900"/>
    <mergeCell ref="C2901:D2901"/>
    <mergeCell ref="C2919:D2919"/>
    <mergeCell ref="C2920:D2920"/>
    <mergeCell ref="C2923:D2923"/>
    <mergeCell ref="C2924:D2924"/>
    <mergeCell ref="C2925:D2925"/>
    <mergeCell ref="C2926:D2926"/>
    <mergeCell ref="C2927:D2927"/>
    <mergeCell ref="C2917:D2917"/>
    <mergeCell ref="C2867:D2867"/>
    <mergeCell ref="C2868:D2868"/>
    <mergeCell ref="A2865:A2879"/>
    <mergeCell ref="C2903:D2903"/>
    <mergeCell ref="C2904:D2904"/>
    <mergeCell ref="C2905:D2905"/>
    <mergeCell ref="C2906:D2906"/>
    <mergeCell ref="A2898:D2898"/>
    <mergeCell ref="C2688:D2688"/>
    <mergeCell ref="C2664:D2664"/>
    <mergeCell ref="C2669:D2669"/>
    <mergeCell ref="C2822:D2822"/>
    <mergeCell ref="C2823:D2823"/>
    <mergeCell ref="C2821:D2821"/>
    <mergeCell ref="C2824:D2824"/>
    <mergeCell ref="C2825:D2825"/>
    <mergeCell ref="C2837:D2837"/>
    <mergeCell ref="C2833:D2833"/>
    <mergeCell ref="C2834:D2834"/>
    <mergeCell ref="C2832:D2832"/>
    <mergeCell ref="A2813:D2813"/>
    <mergeCell ref="B2826:B2828"/>
    <mergeCell ref="C2772:D2772"/>
    <mergeCell ref="C2773:D2773"/>
    <mergeCell ref="C2770:D2770"/>
    <mergeCell ref="C2769:D2769"/>
    <mergeCell ref="A2762:D2762"/>
    <mergeCell ref="B2758:B2760"/>
    <mergeCell ref="C2766:D2766"/>
    <mergeCell ref="C2767:D2767"/>
    <mergeCell ref="C2768:D2768"/>
    <mergeCell ref="C2771:D2771"/>
    <mergeCell ref="C2764:D2764"/>
    <mergeCell ref="B2775:B2777"/>
    <mergeCell ref="A2779:D2779"/>
    <mergeCell ref="C2774:D2774"/>
    <mergeCell ref="C2781:D2781"/>
    <mergeCell ref="C2782:D2782"/>
    <mergeCell ref="C2783:D2783"/>
    <mergeCell ref="C2784:D2784"/>
    <mergeCell ref="B2673:B2675"/>
    <mergeCell ref="A2661:A2675"/>
    <mergeCell ref="A2678:A2692"/>
    <mergeCell ref="C2682:D2682"/>
    <mergeCell ref="C2683:D2683"/>
    <mergeCell ref="C2684:D2684"/>
    <mergeCell ref="C2685:D2685"/>
    <mergeCell ref="A2660:D2660"/>
    <mergeCell ref="A2677:D2677"/>
    <mergeCell ref="A2694:D2694"/>
    <mergeCell ref="C2655:D2655"/>
    <mergeCell ref="C2662:D2662"/>
    <mergeCell ref="C2663:D2663"/>
    <mergeCell ref="C2689:D2689"/>
    <mergeCell ref="C2670:D2670"/>
    <mergeCell ref="C2654:D2654"/>
    <mergeCell ref="C2645:D2645"/>
    <mergeCell ref="C2646:D2646"/>
    <mergeCell ref="C2647:D2647"/>
    <mergeCell ref="C2648:D2648"/>
    <mergeCell ref="C2649:D2649"/>
    <mergeCell ref="C2652:D2652"/>
    <mergeCell ref="C2653:D2653"/>
    <mergeCell ref="C2667:D2667"/>
    <mergeCell ref="C2668:D2668"/>
    <mergeCell ref="C2671:D2671"/>
    <mergeCell ref="C2672:D2672"/>
    <mergeCell ref="C2686:D2686"/>
    <mergeCell ref="C2687:D2687"/>
    <mergeCell ref="C2679:D2679"/>
    <mergeCell ref="C2680:D2680"/>
    <mergeCell ref="C2681:D2681"/>
    <mergeCell ref="C2665:D2665"/>
    <mergeCell ref="C2628:D2628"/>
    <mergeCell ref="C2629:D2629"/>
    <mergeCell ref="C2603:D2603"/>
    <mergeCell ref="A2609:D2609"/>
    <mergeCell ref="A2643:D2643"/>
    <mergeCell ref="B2605:B2607"/>
    <mergeCell ref="C2594:D2594"/>
    <mergeCell ref="C2617:D2617"/>
    <mergeCell ref="C2633:D2633"/>
    <mergeCell ref="B2622:B2624"/>
    <mergeCell ref="C2619:D2619"/>
    <mergeCell ref="C2611:D2611"/>
    <mergeCell ref="C2612:D2612"/>
    <mergeCell ref="C2613:D2613"/>
    <mergeCell ref="C2614:D2614"/>
    <mergeCell ref="C2666:D2666"/>
    <mergeCell ref="C2650:D2650"/>
    <mergeCell ref="C2651:D2651"/>
    <mergeCell ref="A2627:A2641"/>
    <mergeCell ref="B2639:B2641"/>
    <mergeCell ref="B2656:B2658"/>
    <mergeCell ref="A2644:A2658"/>
    <mergeCell ref="C2637:D2637"/>
    <mergeCell ref="C2638:D2638"/>
    <mergeCell ref="C2596:D2596"/>
    <mergeCell ref="C2597:D2597"/>
    <mergeCell ref="C2570:D2570"/>
    <mergeCell ref="B2571:B2573"/>
    <mergeCell ref="A2559:A2573"/>
    <mergeCell ref="C2583:D2583"/>
    <mergeCell ref="C2584:D2584"/>
    <mergeCell ref="C2595:D2595"/>
    <mergeCell ref="A2592:D2592"/>
    <mergeCell ref="C2587:D2587"/>
    <mergeCell ref="B2588:B2590"/>
    <mergeCell ref="A2576:A2590"/>
    <mergeCell ref="C2580:D2580"/>
    <mergeCell ref="C2581:D2581"/>
    <mergeCell ref="C2582:D2582"/>
    <mergeCell ref="A2575:D2575"/>
    <mergeCell ref="B2707:B2709"/>
    <mergeCell ref="A2695:A2709"/>
    <mergeCell ref="A2711:D2711"/>
    <mergeCell ref="B2724:B2726"/>
    <mergeCell ref="B2741:B2743"/>
    <mergeCell ref="C2706:D2706"/>
    <mergeCell ref="C2721:D2721"/>
    <mergeCell ref="C2700:D2700"/>
    <mergeCell ref="C2703:D2703"/>
    <mergeCell ref="C2702:D2702"/>
    <mergeCell ref="C2696:D2696"/>
    <mergeCell ref="C2722:D2722"/>
    <mergeCell ref="C2723:D2723"/>
    <mergeCell ref="C2713:D2713"/>
    <mergeCell ref="C2714:D2714"/>
    <mergeCell ref="C2731:D2731"/>
    <mergeCell ref="C2732:D2732"/>
    <mergeCell ref="C2733:D2733"/>
    <mergeCell ref="C2734:D2734"/>
    <mergeCell ref="C2715:D2715"/>
    <mergeCell ref="C2716:D2716"/>
    <mergeCell ref="A2712:A2726"/>
    <mergeCell ref="A2729:A2743"/>
    <mergeCell ref="C2698:D2698"/>
    <mergeCell ref="C2699:D2699"/>
    <mergeCell ref="C2704:D2704"/>
    <mergeCell ref="C2705:D2705"/>
    <mergeCell ref="B2503:B2505"/>
    <mergeCell ref="A2491:A2505"/>
    <mergeCell ref="A2507:D2507"/>
    <mergeCell ref="A2508:A2522"/>
    <mergeCell ref="A2524:D2524"/>
    <mergeCell ref="B2520:B2522"/>
    <mergeCell ref="B2537:B2539"/>
    <mergeCell ref="A2541:D2541"/>
    <mergeCell ref="A2728:D2728"/>
    <mergeCell ref="C2730:D2730"/>
    <mergeCell ref="C2717:D2717"/>
    <mergeCell ref="C2718:D2718"/>
    <mergeCell ref="C2719:D2719"/>
    <mergeCell ref="C2720:D2720"/>
    <mergeCell ref="C2735:D2735"/>
    <mergeCell ref="B2690:B2692"/>
    <mergeCell ref="C2585:D2585"/>
    <mergeCell ref="C2577:D2577"/>
    <mergeCell ref="C2578:D2578"/>
    <mergeCell ref="C2579:D2579"/>
    <mergeCell ref="C2567:D2567"/>
    <mergeCell ref="C2566:D2566"/>
    <mergeCell ref="C2568:D2568"/>
    <mergeCell ref="C2569:D2569"/>
    <mergeCell ref="C2586:D2586"/>
    <mergeCell ref="C2618:D2618"/>
    <mergeCell ref="C2604:D2604"/>
    <mergeCell ref="C2602:D2602"/>
    <mergeCell ref="A2610:A2624"/>
    <mergeCell ref="A2593:A2607"/>
    <mergeCell ref="C2701:D2701"/>
    <mergeCell ref="C2697:D2697"/>
    <mergeCell ref="C2360:D2360"/>
    <mergeCell ref="C2364:D2364"/>
    <mergeCell ref="C2392:D2392"/>
    <mergeCell ref="C2393:D2393"/>
    <mergeCell ref="C2416:D2416"/>
    <mergeCell ref="C2417:D2417"/>
    <mergeCell ref="C2532:D2532"/>
    <mergeCell ref="C2543:D2543"/>
    <mergeCell ref="C2544:D2544"/>
    <mergeCell ref="C2565:D2565"/>
    <mergeCell ref="C2533:D2533"/>
    <mergeCell ref="C2534:D2534"/>
    <mergeCell ref="C2545:D2545"/>
    <mergeCell ref="C2561:D2561"/>
    <mergeCell ref="C2550:D2550"/>
    <mergeCell ref="C2551:D2551"/>
    <mergeCell ref="A2542:A2556"/>
    <mergeCell ref="B2554:B2556"/>
    <mergeCell ref="A2525:A2539"/>
    <mergeCell ref="C2535:D2535"/>
    <mergeCell ref="C2536:D2536"/>
    <mergeCell ref="A2558:D2558"/>
    <mergeCell ref="C2546:D2546"/>
    <mergeCell ref="C2547:D2547"/>
    <mergeCell ref="C2548:D2548"/>
    <mergeCell ref="C2549:D2549"/>
    <mergeCell ref="C2552:D2552"/>
    <mergeCell ref="C2553:D2553"/>
    <mergeCell ref="C2563:D2563"/>
    <mergeCell ref="C2564:D2564"/>
    <mergeCell ref="C2562:D2562"/>
    <mergeCell ref="C2560:D2560"/>
    <mergeCell ref="C2398:D2398"/>
    <mergeCell ref="C2390:D2390"/>
    <mergeCell ref="C2391:D2391"/>
    <mergeCell ref="C2396:D2396"/>
    <mergeCell ref="C2382:D2382"/>
    <mergeCell ref="C2383:D2383"/>
    <mergeCell ref="B2384:B2386"/>
    <mergeCell ref="C2374:D2374"/>
    <mergeCell ref="C2377:D2377"/>
    <mergeCell ref="C2378:D2378"/>
    <mergeCell ref="C2379:D2379"/>
    <mergeCell ref="C2380:D2380"/>
    <mergeCell ref="C2381:D2381"/>
    <mergeCell ref="C2331:D2331"/>
    <mergeCell ref="C2332:D2332"/>
    <mergeCell ref="C2329:D2329"/>
    <mergeCell ref="C2330:D2330"/>
    <mergeCell ref="C2339:D2339"/>
    <mergeCell ref="C2340:D2340"/>
    <mergeCell ref="C2342:D2342"/>
    <mergeCell ref="C2343:D2343"/>
    <mergeCell ref="C2344:D2344"/>
    <mergeCell ref="C2345:D2345"/>
    <mergeCell ref="C2341:D2341"/>
    <mergeCell ref="C2361:D2361"/>
    <mergeCell ref="C2363:D2363"/>
    <mergeCell ref="C2362:D2362"/>
    <mergeCell ref="C2346:D2346"/>
    <mergeCell ref="C2347:D2347"/>
    <mergeCell ref="C2365:D2365"/>
    <mergeCell ref="C2358:D2358"/>
    <mergeCell ref="C2359:D2359"/>
    <mergeCell ref="A2354:D2354"/>
    <mergeCell ref="B2350:B2352"/>
    <mergeCell ref="C2348:D2348"/>
    <mergeCell ref="C2349:D2349"/>
    <mergeCell ref="C2328:D2328"/>
    <mergeCell ref="C2326:D2326"/>
    <mergeCell ref="C2327:D2327"/>
    <mergeCell ref="B2316:B2318"/>
    <mergeCell ref="A2320:D2320"/>
    <mergeCell ref="B2333:B2335"/>
    <mergeCell ref="A2321:A2335"/>
    <mergeCell ref="A2406:A2420"/>
    <mergeCell ref="A2422:D2422"/>
    <mergeCell ref="B2418:B2420"/>
    <mergeCell ref="B2367:B2369"/>
    <mergeCell ref="A2355:A2369"/>
    <mergeCell ref="A2371:D2371"/>
    <mergeCell ref="C2356:D2356"/>
    <mergeCell ref="C2357:D2357"/>
    <mergeCell ref="C2394:D2394"/>
    <mergeCell ref="C2395:D2395"/>
    <mergeCell ref="A2388:D2388"/>
    <mergeCell ref="B2401:B2403"/>
    <mergeCell ref="A2389:A2403"/>
    <mergeCell ref="A2405:D2405"/>
    <mergeCell ref="A2372:A2386"/>
    <mergeCell ref="C2373:D2373"/>
    <mergeCell ref="C2375:D2375"/>
    <mergeCell ref="C2376:D2376"/>
    <mergeCell ref="C2366:D2366"/>
    <mergeCell ref="C2399:D2399"/>
    <mergeCell ref="C2397:D2397"/>
    <mergeCell ref="C2323:D2323"/>
    <mergeCell ref="C2325:D2325"/>
    <mergeCell ref="C2310:D2310"/>
    <mergeCell ref="C2311:D2311"/>
    <mergeCell ref="C2312:D2312"/>
    <mergeCell ref="C2313:D2313"/>
    <mergeCell ref="C2314:D2314"/>
    <mergeCell ref="C2315:D2315"/>
    <mergeCell ref="A2286:D2286"/>
    <mergeCell ref="B2282:B2284"/>
    <mergeCell ref="A2303:D2303"/>
    <mergeCell ref="A2236:A2250"/>
    <mergeCell ref="A2253:A2267"/>
    <mergeCell ref="A2270:A2284"/>
    <mergeCell ref="A2287:A2301"/>
    <mergeCell ref="A2304:A2318"/>
    <mergeCell ref="A2338:A2352"/>
    <mergeCell ref="C2262:D2262"/>
    <mergeCell ref="B2265:B2267"/>
    <mergeCell ref="C2274:D2274"/>
    <mergeCell ref="C2275:D2275"/>
    <mergeCell ref="C2276:D2276"/>
    <mergeCell ref="C2277:D2277"/>
    <mergeCell ref="C2280:D2280"/>
    <mergeCell ref="C2281:D2281"/>
    <mergeCell ref="A2337:D2337"/>
    <mergeCell ref="C2241:D2241"/>
    <mergeCell ref="C2242:D2242"/>
    <mergeCell ref="C2243:D2243"/>
    <mergeCell ref="C2244:D2244"/>
    <mergeCell ref="C2245:D2245"/>
    <mergeCell ref="C2288:D2288"/>
    <mergeCell ref="C2292:D2292"/>
    <mergeCell ref="C2289:D2289"/>
    <mergeCell ref="B2248:B2250"/>
    <mergeCell ref="C2247:D2247"/>
    <mergeCell ref="C2240:D2240"/>
    <mergeCell ref="C2237:D2237"/>
    <mergeCell ref="C2238:D2238"/>
    <mergeCell ref="C2239:D2239"/>
    <mergeCell ref="A2269:D2269"/>
    <mergeCell ref="A2235:D2235"/>
    <mergeCell ref="C2264:D2264"/>
    <mergeCell ref="C2308:D2308"/>
    <mergeCell ref="C2305:D2305"/>
    <mergeCell ref="C2306:D2306"/>
    <mergeCell ref="C2307:D2307"/>
    <mergeCell ref="C2293:D2293"/>
    <mergeCell ref="C2295:D2295"/>
    <mergeCell ref="C2294:D2294"/>
    <mergeCell ref="C2296:D2296"/>
    <mergeCell ref="C2297:D2297"/>
    <mergeCell ref="C2298:D2298"/>
    <mergeCell ref="B2299:B2301"/>
    <mergeCell ref="C2400:D2400"/>
    <mergeCell ref="C2429:D2429"/>
    <mergeCell ref="C2410:D2410"/>
    <mergeCell ref="C2411:D2411"/>
    <mergeCell ref="C2412:D2412"/>
    <mergeCell ref="C2413:D2413"/>
    <mergeCell ref="C2409:D2409"/>
    <mergeCell ref="C2464:D2464"/>
    <mergeCell ref="C2467:D2467"/>
    <mergeCell ref="C2465:D2465"/>
    <mergeCell ref="C2466:D2466"/>
    <mergeCell ref="C2483:D2483"/>
    <mergeCell ref="C2480:D2480"/>
    <mergeCell ref="C2291:D2291"/>
    <mergeCell ref="C2290:D2290"/>
    <mergeCell ref="A2252:D2252"/>
    <mergeCell ref="C2260:D2260"/>
    <mergeCell ref="C2254:D2254"/>
    <mergeCell ref="C2255:D2255"/>
    <mergeCell ref="C2256:D2256"/>
    <mergeCell ref="C2257:D2257"/>
    <mergeCell ref="C2258:D2258"/>
    <mergeCell ref="C2259:D2259"/>
    <mergeCell ref="C2279:D2279"/>
    <mergeCell ref="C2263:D2263"/>
    <mergeCell ref="C2278:D2278"/>
    <mergeCell ref="C2271:D2271"/>
    <mergeCell ref="C2272:D2272"/>
    <mergeCell ref="C2273:D2273"/>
    <mergeCell ref="C2309:D2309"/>
    <mergeCell ref="C2324:D2324"/>
    <mergeCell ref="C2322:D2322"/>
    <mergeCell ref="C2414:D2414"/>
    <mergeCell ref="C2415:D2415"/>
    <mergeCell ref="C2407:D2407"/>
    <mergeCell ref="C2408:D2408"/>
    <mergeCell ref="C2428:D2428"/>
    <mergeCell ref="C2426:D2426"/>
    <mergeCell ref="C2427:D2427"/>
    <mergeCell ref="C2451:D2451"/>
    <mergeCell ref="A2440:A2454"/>
    <mergeCell ref="C2443:D2443"/>
    <mergeCell ref="A2456:D2456"/>
    <mergeCell ref="C2458:D2458"/>
    <mergeCell ref="C2459:D2459"/>
    <mergeCell ref="C2460:D2460"/>
    <mergeCell ref="C2461:D2461"/>
    <mergeCell ref="C2462:D2462"/>
    <mergeCell ref="C2463:D2463"/>
    <mergeCell ref="B2435:B2437"/>
    <mergeCell ref="A2423:A2437"/>
    <mergeCell ref="A2439:D2439"/>
    <mergeCell ref="C2444:D2444"/>
    <mergeCell ref="C2445:D2445"/>
    <mergeCell ref="C2446:D2446"/>
    <mergeCell ref="C2447:D2447"/>
    <mergeCell ref="C2448:D2448"/>
    <mergeCell ref="C2449:D2449"/>
    <mergeCell ref="C2441:D2441"/>
    <mergeCell ref="C2442:D2442"/>
    <mergeCell ref="C2450:D2450"/>
    <mergeCell ref="C2479:D2479"/>
    <mergeCell ref="B2452:B2454"/>
    <mergeCell ref="A2457:A2471"/>
    <mergeCell ref="A2474:A2488"/>
    <mergeCell ref="A2490:D2490"/>
    <mergeCell ref="C2484:D2484"/>
    <mergeCell ref="C2481:D2481"/>
    <mergeCell ref="C2482:D2482"/>
    <mergeCell ref="C2424:D2424"/>
    <mergeCell ref="C2425:D2425"/>
    <mergeCell ref="B2469:B2471"/>
    <mergeCell ref="C2468:D2468"/>
    <mergeCell ref="A2473:D2473"/>
    <mergeCell ref="C2475:D2475"/>
    <mergeCell ref="C2476:D2476"/>
    <mergeCell ref="C4736:D4736"/>
    <mergeCell ref="C4737:D4737"/>
    <mergeCell ref="C4738:D4738"/>
    <mergeCell ref="C4739:D4739"/>
    <mergeCell ref="C4740:D4740"/>
    <mergeCell ref="C4741:D4741"/>
    <mergeCell ref="C4743:D4743"/>
    <mergeCell ref="C4742:D4742"/>
    <mergeCell ref="C4744:D4744"/>
    <mergeCell ref="C4745:D4745"/>
    <mergeCell ref="C2477:D2477"/>
    <mergeCell ref="C2478:D2478"/>
    <mergeCell ref="C2431:D2431"/>
    <mergeCell ref="C2430:D2430"/>
    <mergeCell ref="C2432:D2432"/>
    <mergeCell ref="C2433:D2433"/>
    <mergeCell ref="C2434:D2434"/>
    <mergeCell ref="C2615:D2615"/>
    <mergeCell ref="C2616:D2616"/>
    <mergeCell ref="A2626:D2626"/>
    <mergeCell ref="C2630:D2630"/>
    <mergeCell ref="C2631:D2631"/>
    <mergeCell ref="C2632:D2632"/>
    <mergeCell ref="C2600:D2600"/>
    <mergeCell ref="C2601:D2601"/>
    <mergeCell ref="C2620:D2620"/>
    <mergeCell ref="C2621:D2621"/>
    <mergeCell ref="C2598:D2598"/>
    <mergeCell ref="C2599:D2599"/>
    <mergeCell ref="C2635:D2635"/>
    <mergeCell ref="C2634:D2634"/>
    <mergeCell ref="C2636:D2636"/>
    <mergeCell ref="C4756:D4756"/>
    <mergeCell ref="C4757:D4757"/>
    <mergeCell ref="A4786:A4800"/>
    <mergeCell ref="C4787:D4787"/>
    <mergeCell ref="C4758:D4758"/>
    <mergeCell ref="C4759:D4759"/>
    <mergeCell ref="C4755:D4755"/>
    <mergeCell ref="C4873:D4873"/>
    <mergeCell ref="C4894:D4894"/>
    <mergeCell ref="C4895:D4895"/>
    <mergeCell ref="C4898:D4898"/>
    <mergeCell ref="C4899:D4899"/>
    <mergeCell ref="C4704:D4704"/>
    <mergeCell ref="C4705:D4705"/>
    <mergeCell ref="C4709:D4709"/>
    <mergeCell ref="B4713:B4715"/>
    <mergeCell ref="A4718:A4732"/>
    <mergeCell ref="B4730:B4732"/>
    <mergeCell ref="A4735:A4749"/>
    <mergeCell ref="C4706:D4706"/>
    <mergeCell ref="C4707:D4707"/>
    <mergeCell ref="C4723:D4723"/>
    <mergeCell ref="C4721:D4721"/>
    <mergeCell ref="C4722:D4722"/>
    <mergeCell ref="C4724:D4724"/>
    <mergeCell ref="C4725:D4725"/>
    <mergeCell ref="C4710:D4710"/>
    <mergeCell ref="C4711:D4711"/>
    <mergeCell ref="C4726:D4726"/>
    <mergeCell ref="C4727:D4727"/>
    <mergeCell ref="C4719:D4719"/>
    <mergeCell ref="C4720:D4720"/>
    <mergeCell ref="C5031:D5031"/>
    <mergeCell ref="A5006:D5006"/>
    <mergeCell ref="A4904:D4904"/>
    <mergeCell ref="C4913:D4913"/>
    <mergeCell ref="C4914:D4914"/>
    <mergeCell ref="A4905:A4919"/>
    <mergeCell ref="C4912:D4912"/>
    <mergeCell ref="A4973:A4987"/>
    <mergeCell ref="C4982:D4982"/>
    <mergeCell ref="C4979:D4979"/>
    <mergeCell ref="C4980:D4980"/>
    <mergeCell ref="C4965:D4965"/>
    <mergeCell ref="C4981:D4981"/>
    <mergeCell ref="C4974:D4974"/>
    <mergeCell ref="C4975:D4975"/>
    <mergeCell ref="C4976:D4976"/>
    <mergeCell ref="C4977:D4977"/>
    <mergeCell ref="C4978:D4978"/>
    <mergeCell ref="C4906:D4906"/>
    <mergeCell ref="C4907:D4907"/>
    <mergeCell ref="C4942:D4942"/>
    <mergeCell ref="C4992:D4992"/>
    <mergeCell ref="C4983:D4983"/>
    <mergeCell ref="C4984:D4984"/>
    <mergeCell ref="C4991:D4991"/>
    <mergeCell ref="C4998:D4998"/>
    <mergeCell ref="C4999:D4999"/>
    <mergeCell ref="C4993:D4993"/>
    <mergeCell ref="C4994:D4994"/>
    <mergeCell ref="C4995:D4995"/>
    <mergeCell ref="C4996:D4996"/>
    <mergeCell ref="C4997:D4997"/>
    <mergeCell ref="C4693:D4693"/>
    <mergeCell ref="C4694:D4694"/>
    <mergeCell ref="C4695:D4695"/>
    <mergeCell ref="B4696:B4698"/>
    <mergeCell ref="C4702:D4702"/>
    <mergeCell ref="A4700:D4700"/>
    <mergeCell ref="A4939:A4953"/>
    <mergeCell ref="C4881:D4881"/>
    <mergeCell ref="C4872:D4872"/>
    <mergeCell ref="A4803:A4817"/>
    <mergeCell ref="A4819:D4819"/>
    <mergeCell ref="B4815:B4817"/>
    <mergeCell ref="C4760:D4760"/>
    <mergeCell ref="C4761:D4761"/>
    <mergeCell ref="C4762:D4762"/>
    <mergeCell ref="C4763:D4763"/>
    <mergeCell ref="C4908:D4908"/>
    <mergeCell ref="C4909:D4909"/>
    <mergeCell ref="C4910:D4910"/>
    <mergeCell ref="C4911:D4911"/>
    <mergeCell ref="C4808:D4808"/>
    <mergeCell ref="C4809:D4809"/>
    <mergeCell ref="C4810:D4810"/>
    <mergeCell ref="A4785:D4785"/>
    <mergeCell ref="C4794:D4794"/>
    <mergeCell ref="C4795:D4795"/>
    <mergeCell ref="B4747:B4749"/>
    <mergeCell ref="A4752:A4766"/>
    <mergeCell ref="B4764:B4766"/>
    <mergeCell ref="C4753:D4753"/>
    <mergeCell ref="C4754:D4754"/>
    <mergeCell ref="A4751:D4751"/>
    <mergeCell ref="C4651:D4651"/>
    <mergeCell ref="C4652:D4652"/>
    <mergeCell ref="C4524:D4524"/>
    <mergeCell ref="B4968:B4970"/>
    <mergeCell ref="B4985:B4987"/>
    <mergeCell ref="C4915:D4915"/>
    <mergeCell ref="C4960:D4960"/>
    <mergeCell ref="C4961:D4961"/>
    <mergeCell ref="C4962:D4962"/>
    <mergeCell ref="C4963:D4963"/>
    <mergeCell ref="C4964:D4964"/>
    <mergeCell ref="B4951:B4953"/>
    <mergeCell ref="C4966:D4966"/>
    <mergeCell ref="C4967:D4967"/>
    <mergeCell ref="C4958:D4958"/>
    <mergeCell ref="C4959:D4959"/>
    <mergeCell ref="C4882:D4882"/>
    <mergeCell ref="B4883:B4885"/>
    <mergeCell ref="C4890:D4890"/>
    <mergeCell ref="C4891:D4891"/>
    <mergeCell ref="C4957:D4957"/>
    <mergeCell ref="A4955:D4955"/>
    <mergeCell ref="C4948:D4948"/>
    <mergeCell ref="C4949:D4949"/>
    <mergeCell ref="A4888:A4902"/>
    <mergeCell ref="C4889:D4889"/>
    <mergeCell ref="C4897:D4897"/>
    <mergeCell ref="A4871:A4885"/>
    <mergeCell ref="A4887:D4887"/>
    <mergeCell ref="C4896:D4896"/>
    <mergeCell ref="C4916:D4916"/>
    <mergeCell ref="A4938:D4938"/>
    <mergeCell ref="B4645:B4647"/>
    <mergeCell ref="B4628:B4630"/>
    <mergeCell ref="A4650:A4664"/>
    <mergeCell ref="C4473:D4473"/>
    <mergeCell ref="C4481:D4481"/>
    <mergeCell ref="C4568:D4568"/>
    <mergeCell ref="C4569:D4569"/>
    <mergeCell ref="C4689:D4689"/>
    <mergeCell ref="C4690:D4690"/>
    <mergeCell ref="C4691:D4691"/>
    <mergeCell ref="C4692:D4692"/>
    <mergeCell ref="A4531:A4545"/>
    <mergeCell ref="A4547:D4547"/>
    <mergeCell ref="A4548:A4562"/>
    <mergeCell ref="A4564:D4564"/>
    <mergeCell ref="C4503:D4503"/>
    <mergeCell ref="C4504:D4504"/>
    <mergeCell ref="C4518:D4518"/>
    <mergeCell ref="C4519:D4519"/>
    <mergeCell ref="C4520:D4520"/>
    <mergeCell ref="C4521:D4521"/>
    <mergeCell ref="C4517:D4517"/>
    <mergeCell ref="C4571:D4571"/>
    <mergeCell ref="C4588:D4588"/>
    <mergeCell ref="C4570:D4570"/>
    <mergeCell ref="A4667:A4681"/>
    <mergeCell ref="A4684:A4698"/>
    <mergeCell ref="C4653:D4653"/>
    <mergeCell ref="C4654:D4654"/>
    <mergeCell ref="C4640:D4640"/>
    <mergeCell ref="C4643:D4643"/>
    <mergeCell ref="C4641:D4641"/>
    <mergeCell ref="C4636:D4636"/>
    <mergeCell ref="C4637:D4637"/>
    <mergeCell ref="C4644:D4644"/>
    <mergeCell ref="C4642:D4642"/>
    <mergeCell ref="C4627:D4627"/>
    <mergeCell ref="A4632:D4632"/>
    <mergeCell ref="C4590:D4590"/>
    <mergeCell ref="C4591:D4591"/>
    <mergeCell ref="A4599:A4613"/>
    <mergeCell ref="A4615:D4615"/>
    <mergeCell ref="C4626:D4626"/>
    <mergeCell ref="A4616:A4630"/>
    <mergeCell ref="C4619:D4619"/>
    <mergeCell ref="C4603:D4603"/>
    <mergeCell ref="C4604:D4604"/>
    <mergeCell ref="C4605:D4605"/>
    <mergeCell ref="C4606:D4606"/>
    <mergeCell ref="C4607:D4607"/>
    <mergeCell ref="C4474:D4474"/>
    <mergeCell ref="C4498:D4498"/>
    <mergeCell ref="C4499:D4499"/>
    <mergeCell ref="C4500:D4500"/>
    <mergeCell ref="C4501:D4501"/>
    <mergeCell ref="C4502:D4502"/>
    <mergeCell ref="C4522:D4522"/>
    <mergeCell ref="C4523:D4523"/>
    <mergeCell ref="A4565:A4579"/>
    <mergeCell ref="A4581:D4581"/>
    <mergeCell ref="C4583:D4583"/>
    <mergeCell ref="C4584:D4584"/>
    <mergeCell ref="C4585:D4585"/>
    <mergeCell ref="B4560:B4562"/>
    <mergeCell ref="B4577:B4579"/>
    <mergeCell ref="C4573:D4573"/>
    <mergeCell ref="C4586:D4586"/>
    <mergeCell ref="C4555:D4555"/>
    <mergeCell ref="C4558:D4558"/>
    <mergeCell ref="C4525:D4525"/>
    <mergeCell ref="C4542:D4542"/>
    <mergeCell ref="B4543:B4545"/>
    <mergeCell ref="C4488:D4488"/>
    <mergeCell ref="C4489:D4489"/>
    <mergeCell ref="A4479:D4479"/>
    <mergeCell ref="A4480:A4494"/>
    <mergeCell ref="A4496:D4496"/>
    <mergeCell ref="B4492:B4494"/>
    <mergeCell ref="C4482:D4482"/>
    <mergeCell ref="C4483:D4483"/>
    <mergeCell ref="C4574:D4574"/>
    <mergeCell ref="C4608:D4608"/>
    <mergeCell ref="C4624:D4624"/>
    <mergeCell ref="C4625:D4625"/>
    <mergeCell ref="C4609:D4609"/>
    <mergeCell ref="C4610:D4610"/>
    <mergeCell ref="B4611:B4613"/>
    <mergeCell ref="C4620:D4620"/>
    <mergeCell ref="C4621:D4621"/>
    <mergeCell ref="C4622:D4622"/>
    <mergeCell ref="C4623:D4623"/>
    <mergeCell ref="C4490:D4490"/>
    <mergeCell ref="C4491:D4491"/>
    <mergeCell ref="C4587:D4587"/>
    <mergeCell ref="C4592:D4592"/>
    <mergeCell ref="C4593:D4593"/>
    <mergeCell ref="C4602:D4602"/>
    <mergeCell ref="C4600:D4600"/>
    <mergeCell ref="C4601:D4601"/>
    <mergeCell ref="C4416:D4416"/>
    <mergeCell ref="C4417:D4417"/>
    <mergeCell ref="C4418:D4418"/>
    <mergeCell ref="C4419:D4419"/>
    <mergeCell ref="A4582:A4596"/>
    <mergeCell ref="A4598:D4598"/>
    <mergeCell ref="B4594:B4596"/>
    <mergeCell ref="C4589:D4589"/>
    <mergeCell ref="C4638:D4638"/>
    <mergeCell ref="C4639:D4639"/>
    <mergeCell ref="C4515:D4515"/>
    <mergeCell ref="C4516:D4516"/>
    <mergeCell ref="A4514:A4528"/>
    <mergeCell ref="A4530:D4530"/>
    <mergeCell ref="B4526:B4528"/>
    <mergeCell ref="A4633:A4647"/>
    <mergeCell ref="C4507:D4507"/>
    <mergeCell ref="C4508:D4508"/>
    <mergeCell ref="B4509:B4511"/>
    <mergeCell ref="A4497:A4511"/>
    <mergeCell ref="A4513:D4513"/>
    <mergeCell ref="C4505:D4505"/>
    <mergeCell ref="C4506:D4506"/>
    <mergeCell ref="A4463:A4477"/>
    <mergeCell ref="B4475:B4477"/>
    <mergeCell ref="C4556:D4556"/>
    <mergeCell ref="C4557:D4557"/>
    <mergeCell ref="C4484:D4484"/>
    <mergeCell ref="C4485:D4485"/>
    <mergeCell ref="C4486:D4486"/>
    <mergeCell ref="C4487:D4487"/>
    <mergeCell ref="C4617:D4617"/>
    <mergeCell ref="A4428:D4428"/>
    <mergeCell ref="B4424:B4426"/>
    <mergeCell ref="B4441:B4443"/>
    <mergeCell ref="A4429:A4443"/>
    <mergeCell ref="A4445:D4445"/>
    <mergeCell ref="A4462:D4462"/>
    <mergeCell ref="B4458:B4460"/>
    <mergeCell ref="B4339:B4341"/>
    <mergeCell ref="A4327:A4341"/>
    <mergeCell ref="C4347:D4347"/>
    <mergeCell ref="A4344:A4358"/>
    <mergeCell ref="C4348:D4348"/>
    <mergeCell ref="C4349:D4349"/>
    <mergeCell ref="C4350:D4350"/>
    <mergeCell ref="C4351:D4351"/>
    <mergeCell ref="C4352:D4352"/>
    <mergeCell ref="C4353:D4353"/>
    <mergeCell ref="A4343:D4343"/>
    <mergeCell ref="C4354:D4354"/>
    <mergeCell ref="C4355:D4355"/>
    <mergeCell ref="B4356:B4358"/>
    <mergeCell ref="A4360:D4360"/>
    <mergeCell ref="A4361:A4375"/>
    <mergeCell ref="C4369:D4369"/>
    <mergeCell ref="C4370:D4370"/>
    <mergeCell ref="A4378:A4392"/>
    <mergeCell ref="A4412:A4426"/>
    <mergeCell ref="A4446:A4460"/>
    <mergeCell ref="C4420:D4420"/>
    <mergeCell ref="C4421:D4421"/>
    <mergeCell ref="C4400:D4400"/>
    <mergeCell ref="C4401:D4401"/>
    <mergeCell ref="C4399:D4399"/>
    <mergeCell ref="B4373:B4375"/>
    <mergeCell ref="A4377:D4377"/>
    <mergeCell ref="C4379:D4379"/>
    <mergeCell ref="C4380:D4380"/>
    <mergeCell ref="C4385:D4385"/>
    <mergeCell ref="B4390:B4392"/>
    <mergeCell ref="B4407:B4409"/>
    <mergeCell ref="A4395:A4409"/>
    <mergeCell ref="C4414:D4414"/>
    <mergeCell ref="C4415:D4415"/>
    <mergeCell ref="C4389:D4389"/>
    <mergeCell ref="C4398:D4398"/>
    <mergeCell ref="C4396:D4396"/>
    <mergeCell ref="C4397:D4397"/>
    <mergeCell ref="C4406:D4406"/>
    <mergeCell ref="C4413:D4413"/>
    <mergeCell ref="C4403:D4403"/>
    <mergeCell ref="C4402:D4402"/>
    <mergeCell ref="A4411:D4411"/>
    <mergeCell ref="C4381:D4381"/>
    <mergeCell ref="C4382:D4382"/>
    <mergeCell ref="C4383:D4383"/>
    <mergeCell ref="C4384:D4384"/>
    <mergeCell ref="C4388:D4388"/>
    <mergeCell ref="C4386:D4386"/>
    <mergeCell ref="C4387:D4387"/>
    <mergeCell ref="A4394:D4394"/>
    <mergeCell ref="B5189:B5191"/>
    <mergeCell ref="A5194:A5208"/>
    <mergeCell ref="B5206:B5208"/>
    <mergeCell ref="C5161:D5161"/>
    <mergeCell ref="A5159:D5159"/>
    <mergeCell ref="A5193:D5193"/>
    <mergeCell ref="C5199:D5199"/>
    <mergeCell ref="C5204:D5204"/>
    <mergeCell ref="C5205:D5205"/>
    <mergeCell ref="C4575:D4575"/>
    <mergeCell ref="C4576:D4576"/>
    <mergeCell ref="C4566:D4566"/>
    <mergeCell ref="C4567:D4567"/>
    <mergeCell ref="C4572:D4572"/>
    <mergeCell ref="C4559:D4559"/>
    <mergeCell ref="C4811:D4811"/>
    <mergeCell ref="C4812:D4812"/>
    <mergeCell ref="C4813:D4813"/>
    <mergeCell ref="C4814:D4814"/>
    <mergeCell ref="A4802:D4802"/>
    <mergeCell ref="C4807:D4807"/>
    <mergeCell ref="A4649:D4649"/>
    <mergeCell ref="B4662:B4664"/>
    <mergeCell ref="C4656:D4656"/>
    <mergeCell ref="C4657:D4657"/>
    <mergeCell ref="C4658:D4658"/>
    <mergeCell ref="C4668:D4668"/>
    <mergeCell ref="C4669:D4669"/>
    <mergeCell ref="A4666:D4666"/>
    <mergeCell ref="C4655:D4655"/>
    <mergeCell ref="C4634:D4634"/>
    <mergeCell ref="C4635:D4635"/>
    <mergeCell ref="C5314:D5314"/>
    <mergeCell ref="C5331:D5331"/>
    <mergeCell ref="C5332:D5332"/>
    <mergeCell ref="C5301:D5301"/>
    <mergeCell ref="C5302:D5302"/>
    <mergeCell ref="C4430:D4430"/>
    <mergeCell ref="C4456:D4456"/>
    <mergeCell ref="C4457:D4457"/>
    <mergeCell ref="C4672:D4672"/>
    <mergeCell ref="C4673:D4673"/>
    <mergeCell ref="C4618:D4618"/>
    <mergeCell ref="C4448:D4448"/>
    <mergeCell ref="C4449:D4449"/>
    <mergeCell ref="C4450:D4450"/>
    <mergeCell ref="C4451:D4451"/>
    <mergeCell ref="C4452:D4452"/>
    <mergeCell ref="C4453:D4453"/>
    <mergeCell ref="C4454:D4454"/>
    <mergeCell ref="C4455:D4455"/>
    <mergeCell ref="C4447:D4447"/>
    <mergeCell ref="C4467:D4467"/>
    <mergeCell ref="C4659:D4659"/>
    <mergeCell ref="C4660:D4660"/>
    <mergeCell ref="C4661:D4661"/>
    <mergeCell ref="C4468:D4468"/>
    <mergeCell ref="C4469:D4469"/>
    <mergeCell ref="C4471:D4471"/>
    <mergeCell ref="C4470:D4470"/>
    <mergeCell ref="C4439:D4439"/>
    <mergeCell ref="C4440:D4440"/>
    <mergeCell ref="C4431:D4431"/>
    <mergeCell ref="C4472:D4472"/>
    <mergeCell ref="C4670:D4670"/>
    <mergeCell ref="C4671:D4671"/>
    <mergeCell ref="A4717:D4717"/>
    <mergeCell ref="C4712:D4712"/>
    <mergeCell ref="C4728:D4728"/>
    <mergeCell ref="C4729:D4729"/>
    <mergeCell ref="A4734:D4734"/>
    <mergeCell ref="A4701:A4715"/>
    <mergeCell ref="C4708:D4708"/>
    <mergeCell ref="C4774:D4774"/>
    <mergeCell ref="C4778:D4778"/>
    <mergeCell ref="C4773:D4773"/>
    <mergeCell ref="A4768:D4768"/>
    <mergeCell ref="B4781:B4783"/>
    <mergeCell ref="A4769:A4783"/>
    <mergeCell ref="C4770:D4770"/>
    <mergeCell ref="C4771:D4771"/>
    <mergeCell ref="C4779:D4779"/>
    <mergeCell ref="C4780:D4780"/>
    <mergeCell ref="C4703:D4703"/>
    <mergeCell ref="C4688:D4688"/>
    <mergeCell ref="A4683:D4683"/>
    <mergeCell ref="C4687:D4687"/>
    <mergeCell ref="C4685:D4685"/>
    <mergeCell ref="C4686:D4686"/>
    <mergeCell ref="C4675:D4675"/>
    <mergeCell ref="C4674:D4674"/>
    <mergeCell ref="C4676:D4676"/>
    <mergeCell ref="C4677:D4677"/>
    <mergeCell ref="C4746:D4746"/>
    <mergeCell ref="C4678:D4678"/>
    <mergeCell ref="B4679:B4681"/>
    <mergeCell ref="C4371:D4371"/>
    <mergeCell ref="C4372:D4372"/>
    <mergeCell ref="C4534:D4534"/>
    <mergeCell ref="C4535:D4535"/>
    <mergeCell ref="C4536:D4536"/>
    <mergeCell ref="C4537:D4537"/>
    <mergeCell ref="C4539:D4539"/>
    <mergeCell ref="C4538:D4538"/>
    <mergeCell ref="C4540:D4540"/>
    <mergeCell ref="C4550:D4550"/>
    <mergeCell ref="C4541:D4541"/>
    <mergeCell ref="C4549:D4549"/>
    <mergeCell ref="C4551:D4551"/>
    <mergeCell ref="C4552:D4552"/>
    <mergeCell ref="C4553:D4553"/>
    <mergeCell ref="C4554:D4554"/>
    <mergeCell ref="C4532:D4532"/>
    <mergeCell ref="C4533:D4533"/>
    <mergeCell ref="C4432:D4432"/>
    <mergeCell ref="C4433:D4433"/>
    <mergeCell ref="C4434:D4434"/>
    <mergeCell ref="C4435:D4435"/>
    <mergeCell ref="C4436:D4436"/>
    <mergeCell ref="C4437:D4437"/>
    <mergeCell ref="C4438:D4438"/>
    <mergeCell ref="C4404:D4404"/>
    <mergeCell ref="C4405:D4405"/>
    <mergeCell ref="C4422:D4422"/>
    <mergeCell ref="C4423:D4423"/>
    <mergeCell ref="C4466:D4466"/>
    <mergeCell ref="C4464:D4464"/>
    <mergeCell ref="C4465:D4465"/>
    <mergeCell ref="C5150:D5150"/>
    <mergeCell ref="C5152:D5152"/>
    <mergeCell ref="C5153:D5153"/>
    <mergeCell ref="C5154:D5154"/>
    <mergeCell ref="B5155:B5157"/>
    <mergeCell ref="C5423:D5423"/>
    <mergeCell ref="C5424:D5424"/>
    <mergeCell ref="A5414:D5414"/>
    <mergeCell ref="C5419:D5419"/>
    <mergeCell ref="C5420:D5420"/>
    <mergeCell ref="C5421:D5421"/>
    <mergeCell ref="C5422:D5422"/>
    <mergeCell ref="A5415:A5429"/>
    <mergeCell ref="A5431:D5431"/>
    <mergeCell ref="C4316:D4316"/>
    <mergeCell ref="C4317:D4317"/>
    <mergeCell ref="C4320:D4320"/>
    <mergeCell ref="C4321:D4321"/>
    <mergeCell ref="C4335:D4335"/>
    <mergeCell ref="C4334:D4334"/>
    <mergeCell ref="C4336:D4336"/>
    <mergeCell ref="C4337:D4337"/>
    <mergeCell ref="C4338:D4338"/>
    <mergeCell ref="C4345:D4345"/>
    <mergeCell ref="C4346:D4346"/>
    <mergeCell ref="C4363:D4363"/>
    <mergeCell ref="C4362:D4362"/>
    <mergeCell ref="C4364:D4364"/>
    <mergeCell ref="C4365:D4365"/>
    <mergeCell ref="C4366:D4366"/>
    <mergeCell ref="C4367:D4367"/>
    <mergeCell ref="C4368:D4368"/>
    <mergeCell ref="C4788:D4788"/>
    <mergeCell ref="C4789:D4789"/>
    <mergeCell ref="B4798:B4800"/>
    <mergeCell ref="A4836:D4836"/>
    <mergeCell ref="C4838:D4838"/>
    <mergeCell ref="C5079:D5079"/>
    <mergeCell ref="C5080:D5080"/>
    <mergeCell ref="C5081:D5081"/>
    <mergeCell ref="C5082:D5082"/>
    <mergeCell ref="C5083:D5083"/>
    <mergeCell ref="C5084:D5084"/>
    <mergeCell ref="A5075:A5089"/>
    <mergeCell ref="C5093:D5093"/>
    <mergeCell ref="C5094:D5094"/>
    <mergeCell ref="C5085:D5085"/>
    <mergeCell ref="A5091:D5091"/>
    <mergeCell ref="C5096:D5096"/>
    <mergeCell ref="C4892:D4892"/>
    <mergeCell ref="C4893:D4893"/>
    <mergeCell ref="C4950:D4950"/>
    <mergeCell ref="C4943:D4943"/>
    <mergeCell ref="C4944:D4944"/>
    <mergeCell ref="C4945:D4945"/>
    <mergeCell ref="C4947:D4947"/>
    <mergeCell ref="C4946:D4946"/>
    <mergeCell ref="A4956:A4970"/>
    <mergeCell ref="A4972:D4972"/>
    <mergeCell ref="C5027:D5027"/>
    <mergeCell ref="C5028:D5028"/>
    <mergeCell ref="C5029:D5029"/>
    <mergeCell ref="C5030:D5030"/>
    <mergeCell ref="C5032:D5032"/>
    <mergeCell ref="B4832:B4834"/>
    <mergeCell ref="A4820:A4834"/>
    <mergeCell ref="A4837:A4851"/>
    <mergeCell ref="B4934:B4936"/>
    <mergeCell ref="A4922:A4936"/>
    <mergeCell ref="C4930:D4930"/>
    <mergeCell ref="C4931:D4931"/>
    <mergeCell ref="C5051:D5051"/>
    <mergeCell ref="C5052:D5052"/>
    <mergeCell ref="C5042:D5042"/>
    <mergeCell ref="C5043:D5043"/>
    <mergeCell ref="C5044:D5044"/>
    <mergeCell ref="C5114:D5114"/>
    <mergeCell ref="C5115:D5115"/>
    <mergeCell ref="A5023:D5023"/>
    <mergeCell ref="C5026:D5026"/>
    <mergeCell ref="A5024:A5038"/>
    <mergeCell ref="C5034:D5034"/>
    <mergeCell ref="C5035:D5035"/>
    <mergeCell ref="B5053:B5055"/>
    <mergeCell ref="A5041:A5055"/>
    <mergeCell ref="A5057:D5057"/>
    <mergeCell ref="C5059:D5059"/>
    <mergeCell ref="C5060:D5060"/>
    <mergeCell ref="C5050:D5050"/>
    <mergeCell ref="C5049:D5049"/>
    <mergeCell ref="A5040:D5040"/>
    <mergeCell ref="C5033:D5033"/>
    <mergeCell ref="C5011:D5011"/>
    <mergeCell ref="C5012:D5012"/>
    <mergeCell ref="C5013:D5013"/>
    <mergeCell ref="C5015:D5015"/>
    <mergeCell ref="C5966:D5966"/>
    <mergeCell ref="C5968:D5968"/>
    <mergeCell ref="C5969:D5969"/>
    <mergeCell ref="C5970:D5970"/>
    <mergeCell ref="C5978:D5978"/>
    <mergeCell ref="C5980:D5980"/>
    <mergeCell ref="C5981:D5981"/>
    <mergeCell ref="C5982:D5982"/>
    <mergeCell ref="C5983:D5983"/>
    <mergeCell ref="C5984:D5984"/>
    <mergeCell ref="C5425:D5425"/>
    <mergeCell ref="B5427:B5429"/>
    <mergeCell ref="C5442:D5442"/>
    <mergeCell ref="A5432:A5446"/>
    <mergeCell ref="A5448:D5448"/>
    <mergeCell ref="C5426:D5426"/>
    <mergeCell ref="C5435:D5435"/>
    <mergeCell ref="C5453:D5453"/>
    <mergeCell ref="C5454:D5454"/>
    <mergeCell ref="C5455:D5455"/>
    <mergeCell ref="C5456:D5456"/>
    <mergeCell ref="C5443:D5443"/>
    <mergeCell ref="B5444:B5446"/>
    <mergeCell ref="B5461:B5463"/>
    <mergeCell ref="A5449:A5463"/>
    <mergeCell ref="C5457:D5457"/>
    <mergeCell ref="C5458:D5458"/>
    <mergeCell ref="C5450:D5450"/>
    <mergeCell ref="C5433:D5433"/>
    <mergeCell ref="C5434:D5434"/>
    <mergeCell ref="C5436:D5436"/>
    <mergeCell ref="C5437:D5437"/>
    <mergeCell ref="C5338:D5338"/>
    <mergeCell ref="C5339:D5339"/>
    <mergeCell ref="C5318:D5318"/>
    <mergeCell ref="C5319:D5319"/>
    <mergeCell ref="A4326:D4326"/>
    <mergeCell ref="B4322:B4324"/>
    <mergeCell ref="C4294:D4294"/>
    <mergeCell ref="A4292:D4292"/>
    <mergeCell ref="C4295:D4295"/>
    <mergeCell ref="C4296:D4296"/>
    <mergeCell ref="C4297:D4297"/>
    <mergeCell ref="C4298:D4298"/>
    <mergeCell ref="C4299:D4299"/>
    <mergeCell ref="C4300:D4300"/>
    <mergeCell ref="A4293:A4307"/>
    <mergeCell ref="B4305:B4307"/>
    <mergeCell ref="C4303:D4303"/>
    <mergeCell ref="C4304:D4304"/>
    <mergeCell ref="C4318:D4318"/>
    <mergeCell ref="C4319:D4319"/>
    <mergeCell ref="C4313:D4313"/>
    <mergeCell ref="C4311:D4311"/>
    <mergeCell ref="C4312:D4312"/>
    <mergeCell ref="C5095:D5095"/>
    <mergeCell ref="A5058:A5072"/>
    <mergeCell ref="A5074:D5074"/>
    <mergeCell ref="B5070:B5072"/>
    <mergeCell ref="C5064:D5064"/>
    <mergeCell ref="C5065:D5065"/>
    <mergeCell ref="C5066:D5066"/>
    <mergeCell ref="C5067:D5067"/>
    <mergeCell ref="C5068:D5068"/>
    <mergeCell ref="A5244:D5244"/>
    <mergeCell ref="C4270:D4270"/>
    <mergeCell ref="C4277:D4277"/>
    <mergeCell ref="C4281:D4281"/>
    <mergeCell ref="C4282:D4282"/>
    <mergeCell ref="C4283:D4283"/>
    <mergeCell ref="C4284:D4284"/>
    <mergeCell ref="A4276:A4290"/>
    <mergeCell ref="B4288:B4290"/>
    <mergeCell ref="C4331:D4331"/>
    <mergeCell ref="C4332:D4332"/>
    <mergeCell ref="C4329:D4329"/>
    <mergeCell ref="C4328:D4328"/>
    <mergeCell ref="C4333:D4333"/>
    <mergeCell ref="C4330:D4330"/>
    <mergeCell ref="C4821:D4821"/>
    <mergeCell ref="C4822:D4822"/>
    <mergeCell ref="C4823:D4823"/>
    <mergeCell ref="C4824:D4824"/>
    <mergeCell ref="C4825:D4825"/>
    <mergeCell ref="C4826:D4826"/>
    <mergeCell ref="C5069:D5069"/>
    <mergeCell ref="C5078:D5078"/>
    <mergeCell ref="C5076:D5076"/>
    <mergeCell ref="C5077:D5077"/>
    <mergeCell ref="C5061:D5061"/>
    <mergeCell ref="C5062:D5062"/>
    <mergeCell ref="C4827:D4827"/>
    <mergeCell ref="C4828:D4828"/>
    <mergeCell ref="C4830:D4830"/>
    <mergeCell ref="C4831:D4831"/>
    <mergeCell ref="C4829:D4829"/>
    <mergeCell ref="A5602:A5616"/>
    <mergeCell ref="C5629:D5629"/>
    <mergeCell ref="C5630:D5630"/>
    <mergeCell ref="B5631:B5633"/>
    <mergeCell ref="A5635:D5635"/>
    <mergeCell ref="C5642:D5642"/>
    <mergeCell ref="C5643:D5643"/>
    <mergeCell ref="C5637:D5637"/>
    <mergeCell ref="C5638:D5638"/>
    <mergeCell ref="C5627:D5627"/>
    <mergeCell ref="C5626:D5626"/>
    <mergeCell ref="C5628:D5628"/>
    <mergeCell ref="C4864:D4864"/>
    <mergeCell ref="C4865:D4865"/>
    <mergeCell ref="C4874:D4874"/>
    <mergeCell ref="C4875:D4875"/>
    <mergeCell ref="C4876:D4876"/>
    <mergeCell ref="C4877:D4877"/>
    <mergeCell ref="C4878:D4878"/>
    <mergeCell ref="C5299:D5299"/>
    <mergeCell ref="C5300:D5300"/>
    <mergeCell ref="C5521:D5521"/>
    <mergeCell ref="C5522:D5522"/>
    <mergeCell ref="A5211:A5225"/>
    <mergeCell ref="A5177:A5191"/>
    <mergeCell ref="C5320:D5320"/>
    <mergeCell ref="C5321:D5321"/>
    <mergeCell ref="B5223:B5225"/>
    <mergeCell ref="A5227:D5227"/>
    <mergeCell ref="A5228:A5242"/>
    <mergeCell ref="B5172:B5174"/>
    <mergeCell ref="A5176:D5176"/>
    <mergeCell ref="C5603:D5603"/>
    <mergeCell ref="C5604:D5604"/>
    <mergeCell ref="C5527:D5527"/>
    <mergeCell ref="C5528:D5528"/>
    <mergeCell ref="C5518:D5518"/>
    <mergeCell ref="C5519:D5519"/>
    <mergeCell ref="C5520:D5520"/>
    <mergeCell ref="C5605:D5605"/>
    <mergeCell ref="C5606:D5606"/>
    <mergeCell ref="C5608:D5608"/>
    <mergeCell ref="C5609:D5609"/>
    <mergeCell ref="C5610:D5610"/>
    <mergeCell ref="C5611:D5611"/>
    <mergeCell ref="C5612:D5612"/>
    <mergeCell ref="C5613:D5613"/>
    <mergeCell ref="C5554:D5554"/>
    <mergeCell ref="C5552:D5552"/>
    <mergeCell ref="C5540:D5540"/>
    <mergeCell ref="C5541:D5541"/>
    <mergeCell ref="A5500:A5514"/>
    <mergeCell ref="C5252:D5252"/>
    <mergeCell ref="C5253:D5253"/>
    <mergeCell ref="B5257:B5259"/>
    <mergeCell ref="A5261:D5261"/>
    <mergeCell ref="A5262:A5276"/>
    <mergeCell ref="B5274:B5276"/>
    <mergeCell ref="A5278:D5278"/>
    <mergeCell ref="C5355:D5355"/>
    <mergeCell ref="C5356:D5356"/>
    <mergeCell ref="B5325:B5327"/>
    <mergeCell ref="A5329:D5329"/>
    <mergeCell ref="A5330:A5344"/>
    <mergeCell ref="C5333:D5333"/>
    <mergeCell ref="A5346:D5346"/>
    <mergeCell ref="B5342:B5344"/>
    <mergeCell ref="C5283:D5283"/>
    <mergeCell ref="C5284:D5284"/>
    <mergeCell ref="B5291:B5293"/>
    <mergeCell ref="B5308:B5310"/>
    <mergeCell ref="A5296:A5310"/>
    <mergeCell ref="A5312:D5312"/>
    <mergeCell ref="A5313:A5327"/>
    <mergeCell ref="C5288:D5288"/>
    <mergeCell ref="C5289:D5289"/>
    <mergeCell ref="C5290:D5290"/>
    <mergeCell ref="C5306:D5306"/>
    <mergeCell ref="C5307:D5307"/>
    <mergeCell ref="C5305:D5305"/>
    <mergeCell ref="C5438:D5438"/>
    <mergeCell ref="C5439:D5439"/>
    <mergeCell ref="C5440:D5440"/>
    <mergeCell ref="C5389:D5389"/>
    <mergeCell ref="C5390:D5390"/>
    <mergeCell ref="C5374:D5374"/>
    <mergeCell ref="C5375:D5375"/>
    <mergeCell ref="C5382:D5382"/>
    <mergeCell ref="C5365:D5365"/>
    <mergeCell ref="C5366:D5366"/>
    <mergeCell ref="C5373:D5373"/>
    <mergeCell ref="A5364:A5378"/>
    <mergeCell ref="A5347:A5361"/>
    <mergeCell ref="C5368:D5368"/>
    <mergeCell ref="A5363:D5363"/>
    <mergeCell ref="C5369:D5369"/>
    <mergeCell ref="C5370:D5370"/>
    <mergeCell ref="C5492:D5492"/>
    <mergeCell ref="C5493:D5493"/>
    <mergeCell ref="B5495:B5497"/>
    <mergeCell ref="C5441:D5441"/>
    <mergeCell ref="C5451:D5451"/>
    <mergeCell ref="C5452:D5452"/>
    <mergeCell ref="C5371:D5371"/>
    <mergeCell ref="C5357:D5357"/>
    <mergeCell ref="C5358:D5358"/>
    <mergeCell ref="C5383:D5383"/>
    <mergeCell ref="C5476:D5476"/>
    <mergeCell ref="C5477:D5477"/>
    <mergeCell ref="C5459:D5459"/>
    <mergeCell ref="C5460:D5460"/>
    <mergeCell ref="C5474:D5474"/>
    <mergeCell ref="C5475:D5475"/>
    <mergeCell ref="A5465:D5465"/>
    <mergeCell ref="A5466:A5480"/>
    <mergeCell ref="C5303:D5303"/>
    <mergeCell ref="C5304:D5304"/>
    <mergeCell ref="C5287:D5287"/>
    <mergeCell ref="C5405:D5405"/>
    <mergeCell ref="C5408:D5408"/>
    <mergeCell ref="C5418:D5418"/>
    <mergeCell ref="C5416:D5416"/>
    <mergeCell ref="C5400:D5400"/>
    <mergeCell ref="C5401:D5401"/>
    <mergeCell ref="C5402:D5402"/>
    <mergeCell ref="C5403:D5403"/>
    <mergeCell ref="C5404:D5404"/>
    <mergeCell ref="C5316:D5316"/>
    <mergeCell ref="C5317:D5317"/>
    <mergeCell ref="C5323:D5323"/>
    <mergeCell ref="C5392:D5392"/>
    <mergeCell ref="C5384:D5384"/>
    <mergeCell ref="C5385:D5385"/>
    <mergeCell ref="C5386:D5386"/>
    <mergeCell ref="C5388:D5388"/>
    <mergeCell ref="A5380:D5380"/>
    <mergeCell ref="C5387:D5387"/>
    <mergeCell ref="C5409:D5409"/>
    <mergeCell ref="B5376:B5378"/>
    <mergeCell ref="B5393:B5395"/>
    <mergeCell ref="C5406:D5406"/>
    <mergeCell ref="C5407:D5407"/>
    <mergeCell ref="C5399:D5399"/>
    <mergeCell ref="A5397:D5397"/>
    <mergeCell ref="A5398:A5412"/>
    <mergeCell ref="B5410:B5412"/>
    <mergeCell ref="C5391:D5391"/>
    <mergeCell ref="C5878:D5878"/>
    <mergeCell ref="C5875:D5875"/>
    <mergeCell ref="C5876:D5876"/>
    <mergeCell ref="C5829:D5829"/>
    <mergeCell ref="A5856:D5856"/>
    <mergeCell ref="C5858:D5858"/>
    <mergeCell ref="C5859:D5859"/>
    <mergeCell ref="C5860:D5860"/>
    <mergeCell ref="C5861:D5861"/>
    <mergeCell ref="C5862:D5862"/>
    <mergeCell ref="C5863:D5863"/>
    <mergeCell ref="C5864:D5864"/>
    <mergeCell ref="B5835:B5837"/>
    <mergeCell ref="A5823:A5837"/>
    <mergeCell ref="A5499:D5499"/>
    <mergeCell ref="C5506:D5506"/>
    <mergeCell ref="A5245:A5259"/>
    <mergeCell ref="A5279:A5293"/>
    <mergeCell ref="A5295:D5295"/>
    <mergeCell ref="C5297:D5297"/>
    <mergeCell ref="C5298:D5298"/>
    <mergeCell ref="C5315:D5315"/>
    <mergeCell ref="C5324:D5324"/>
    <mergeCell ref="C5266:D5266"/>
    <mergeCell ref="C5267:D5267"/>
    <mergeCell ref="C5350:D5350"/>
    <mergeCell ref="C5351:D5351"/>
    <mergeCell ref="C5352:D5352"/>
    <mergeCell ref="C5353:D5353"/>
    <mergeCell ref="C5354:D5354"/>
    <mergeCell ref="C5285:D5285"/>
    <mergeCell ref="C5286:D5286"/>
    <mergeCell ref="C6288:D6288"/>
    <mergeCell ref="C6289:D6289"/>
    <mergeCell ref="C6276:D6276"/>
    <mergeCell ref="C6254:D6254"/>
    <mergeCell ref="C6255:D6255"/>
    <mergeCell ref="C6283:D6283"/>
    <mergeCell ref="C6273:D6273"/>
    <mergeCell ref="C6174:D6174"/>
    <mergeCell ref="C6181:D6181"/>
    <mergeCell ref="C6184:D6184"/>
    <mergeCell ref="C6185:D6185"/>
    <mergeCell ref="C6239:D6239"/>
    <mergeCell ref="C6238:D6238"/>
    <mergeCell ref="C6240:D6240"/>
    <mergeCell ref="C6241:D6241"/>
    <mergeCell ref="C6249:D6249"/>
    <mergeCell ref="C6250:D6250"/>
    <mergeCell ref="C6237:D6237"/>
    <mergeCell ref="C6242:D6242"/>
    <mergeCell ref="C6251:D6251"/>
    <mergeCell ref="C6225:D6225"/>
    <mergeCell ref="C6232:D6232"/>
    <mergeCell ref="C6233:D6233"/>
    <mergeCell ref="C6222:D6222"/>
    <mergeCell ref="C6223:D6223"/>
    <mergeCell ref="C6234:D6234"/>
    <mergeCell ref="C6235:D6235"/>
    <mergeCell ref="C6236:D6236"/>
    <mergeCell ref="C6218:D6218"/>
    <mergeCell ref="C6221:D6221"/>
    <mergeCell ref="C6256:D6256"/>
    <mergeCell ref="C6257:D6257"/>
    <mergeCell ref="C6275:D6275"/>
    <mergeCell ref="C6274:D6274"/>
    <mergeCell ref="C6258:D6258"/>
    <mergeCell ref="C6259:D6259"/>
    <mergeCell ref="C6272:D6272"/>
    <mergeCell ref="C6266:D6266"/>
    <mergeCell ref="C6267:D6267"/>
    <mergeCell ref="C6268:D6268"/>
    <mergeCell ref="C6269:D6269"/>
    <mergeCell ref="C6270:D6270"/>
    <mergeCell ref="C6271:D6271"/>
    <mergeCell ref="C6215:D6215"/>
    <mergeCell ref="C6216:D6216"/>
    <mergeCell ref="C6217:D6217"/>
    <mergeCell ref="C6199:D6199"/>
    <mergeCell ref="A6264:D6264"/>
    <mergeCell ref="A6265:A6279"/>
    <mergeCell ref="A6214:A6228"/>
    <mergeCell ref="A6230:D6230"/>
    <mergeCell ref="A6248:A6262"/>
    <mergeCell ref="C6198:D6198"/>
    <mergeCell ref="C6190:D6190"/>
    <mergeCell ref="C6189:D6189"/>
    <mergeCell ref="C6200:D6200"/>
    <mergeCell ref="C6201:D6201"/>
    <mergeCell ref="C6202:D6202"/>
    <mergeCell ref="C6186:D6186"/>
    <mergeCell ref="C6187:D6187"/>
    <mergeCell ref="C6188:D6188"/>
    <mergeCell ref="C6191:D6191"/>
    <mergeCell ref="C6219:D6219"/>
    <mergeCell ref="C6220:D6220"/>
    <mergeCell ref="C6224:D6224"/>
    <mergeCell ref="C4775:D4775"/>
    <mergeCell ref="C4776:D4776"/>
    <mergeCell ref="C4772:D4772"/>
    <mergeCell ref="C4777:D4777"/>
    <mergeCell ref="C4790:D4790"/>
    <mergeCell ref="C4791:D4791"/>
    <mergeCell ref="C4792:D4792"/>
    <mergeCell ref="C4793:D4793"/>
    <mergeCell ref="C4796:D4796"/>
    <mergeCell ref="C5246:D5246"/>
    <mergeCell ref="C5247:D5247"/>
    <mergeCell ref="C6205:D6205"/>
    <mergeCell ref="C6206:D6206"/>
    <mergeCell ref="C6203:D6203"/>
    <mergeCell ref="C6204:D6204"/>
    <mergeCell ref="C6207:D6207"/>
    <mergeCell ref="C6208:D6208"/>
    <mergeCell ref="C6171:D6171"/>
    <mergeCell ref="C6170:D6170"/>
    <mergeCell ref="C6172:D6172"/>
    <mergeCell ref="C6173:D6173"/>
    <mergeCell ref="C5915:D5915"/>
    <mergeCell ref="C5916:D5916"/>
    <mergeCell ref="C5896:D5896"/>
    <mergeCell ref="C5897:D5897"/>
    <mergeCell ref="C5911:D5911"/>
    <mergeCell ref="C5926:D5926"/>
    <mergeCell ref="C5912:D5912"/>
    <mergeCell ref="C5913:D5913"/>
    <mergeCell ref="C5914:D5914"/>
    <mergeCell ref="C5843:D5843"/>
    <mergeCell ref="C5844:D5844"/>
    <mergeCell ref="C5268:D5268"/>
    <mergeCell ref="C5249:D5249"/>
    <mergeCell ref="C5250:D5250"/>
    <mergeCell ref="C5254:D5254"/>
    <mergeCell ref="C5255:D5255"/>
    <mergeCell ref="C5256:D5256"/>
    <mergeCell ref="C5263:D5263"/>
    <mergeCell ref="C5270:D5270"/>
    <mergeCell ref="C5271:D5271"/>
    <mergeCell ref="C5269:D5269"/>
    <mergeCell ref="C5272:D5272"/>
    <mergeCell ref="C5273:D5273"/>
    <mergeCell ref="C5282:D5282"/>
    <mergeCell ref="C5280:D5280"/>
    <mergeCell ref="C5281:D5281"/>
    <mergeCell ref="C6150:D6150"/>
    <mergeCell ref="C6151:D6151"/>
    <mergeCell ref="C6152:D6152"/>
    <mergeCell ref="C6156:D6156"/>
    <mergeCell ref="C5163:D5163"/>
    <mergeCell ref="C4841:D4841"/>
    <mergeCell ref="C4842:D4842"/>
    <mergeCell ref="C4843:D4843"/>
    <mergeCell ref="C4844:D4844"/>
    <mergeCell ref="C4858:D4858"/>
    <mergeCell ref="C4859:D4859"/>
    <mergeCell ref="C4860:D4860"/>
    <mergeCell ref="C4861:D4861"/>
    <mergeCell ref="C5097:D5097"/>
    <mergeCell ref="C5098:D5098"/>
    <mergeCell ref="C5099:D5099"/>
    <mergeCell ref="C5100:D5100"/>
    <mergeCell ref="C5063:D5063"/>
    <mergeCell ref="C5086:D5086"/>
    <mergeCell ref="C5162:D5162"/>
    <mergeCell ref="C5151:D5151"/>
    <mergeCell ref="C4933:D4933"/>
    <mergeCell ref="C4925:D4925"/>
    <mergeCell ref="C4926:D4926"/>
    <mergeCell ref="C4927:D4927"/>
    <mergeCell ref="C4928:D4928"/>
    <mergeCell ref="C4929:D4929"/>
    <mergeCell ref="C4932:D4932"/>
    <mergeCell ref="C5045:D5045"/>
    <mergeCell ref="C5046:D5046"/>
    <mergeCell ref="A4853:D4853"/>
    <mergeCell ref="C4855:D4855"/>
    <mergeCell ref="C4856:D4856"/>
    <mergeCell ref="C4857:D4857"/>
    <mergeCell ref="C5047:D5047"/>
    <mergeCell ref="C5048:D5048"/>
    <mergeCell ref="C5180:D5180"/>
    <mergeCell ref="C5181:D5181"/>
    <mergeCell ref="C5182:D5182"/>
    <mergeCell ref="C5183:D5183"/>
    <mergeCell ref="C5203:D5203"/>
    <mergeCell ref="C5264:D5264"/>
    <mergeCell ref="C5265:D5265"/>
    <mergeCell ref="C5212:D5212"/>
    <mergeCell ref="C5213:D5213"/>
    <mergeCell ref="C5214:D5214"/>
    <mergeCell ref="C5215:D5215"/>
    <mergeCell ref="C5216:D5216"/>
    <mergeCell ref="C5217:D5217"/>
    <mergeCell ref="A5210:D5210"/>
    <mergeCell ref="C5221:D5221"/>
    <mergeCell ref="C5233:D5233"/>
    <mergeCell ref="C5234:D5234"/>
    <mergeCell ref="C5222:D5222"/>
    <mergeCell ref="C5187:D5187"/>
    <mergeCell ref="C5197:D5197"/>
    <mergeCell ref="C5198:D5198"/>
    <mergeCell ref="C5200:D5200"/>
    <mergeCell ref="C5201:D5201"/>
    <mergeCell ref="C5184:D5184"/>
    <mergeCell ref="C5202:D5202"/>
    <mergeCell ref="C5195:D5195"/>
    <mergeCell ref="C5196:D5196"/>
    <mergeCell ref="C5185:D5185"/>
    <mergeCell ref="C5237:D5237"/>
    <mergeCell ref="C5238:D5238"/>
    <mergeCell ref="C5239:D5239"/>
    <mergeCell ref="B5240:B5242"/>
    <mergeCell ref="C5936:D5936"/>
    <mergeCell ref="C5934:D5934"/>
    <mergeCell ref="C5950:D5950"/>
    <mergeCell ref="C5949:D5949"/>
    <mergeCell ref="C5943:D5943"/>
    <mergeCell ref="C5944:D5944"/>
    <mergeCell ref="C5945:D5945"/>
    <mergeCell ref="C5708:D5708"/>
    <mergeCell ref="C5709:D5709"/>
    <mergeCell ref="C5710:D5710"/>
    <mergeCell ref="C5711:D5711"/>
    <mergeCell ref="C5712:D5712"/>
    <mergeCell ref="C5713:D5713"/>
    <mergeCell ref="C5698:D5698"/>
    <mergeCell ref="C5714:D5714"/>
    <mergeCell ref="C5705:D5705"/>
    <mergeCell ref="C5706:D5706"/>
    <mergeCell ref="C5707:D5707"/>
    <mergeCell ref="C5845:D5845"/>
    <mergeCell ref="A5839:D5839"/>
    <mergeCell ref="A5840:A5854"/>
    <mergeCell ref="C5792:D5792"/>
    <mergeCell ref="C5833:D5833"/>
    <mergeCell ref="C5834:D5834"/>
    <mergeCell ref="C5841:D5841"/>
    <mergeCell ref="C5842:D5842"/>
    <mergeCell ref="C5883:D5883"/>
    <mergeCell ref="C5894:D5894"/>
    <mergeCell ref="C5867:D5867"/>
    <mergeCell ref="C5868:D5868"/>
    <mergeCell ref="C5882:D5882"/>
    <mergeCell ref="C5877:D5877"/>
    <mergeCell ref="C6302:D6302"/>
    <mergeCell ref="C6301:D6301"/>
    <mergeCell ref="C4847:D4847"/>
    <mergeCell ref="C4845:D4845"/>
    <mergeCell ref="C4846:D4846"/>
    <mergeCell ref="C4797:D4797"/>
    <mergeCell ref="C4806:D4806"/>
    <mergeCell ref="C4804:D4804"/>
    <mergeCell ref="C4805:D4805"/>
    <mergeCell ref="C4840:D4840"/>
    <mergeCell ref="C4862:D4862"/>
    <mergeCell ref="C4863:D4863"/>
    <mergeCell ref="C5235:D5235"/>
    <mergeCell ref="C5236:D5236"/>
    <mergeCell ref="C5232:D5232"/>
    <mergeCell ref="C5229:D5229"/>
    <mergeCell ref="C5230:D5230"/>
    <mergeCell ref="C5231:D5231"/>
    <mergeCell ref="C5219:D5219"/>
    <mergeCell ref="C5218:D5218"/>
    <mergeCell ref="C5220:D5220"/>
    <mergeCell ref="C5794:D5794"/>
    <mergeCell ref="C5795:D5795"/>
    <mergeCell ref="C5796:D5796"/>
    <mergeCell ref="C5790:D5790"/>
    <mergeCell ref="C5791:D5791"/>
    <mergeCell ref="C6292:D6292"/>
    <mergeCell ref="C6293:D6293"/>
    <mergeCell ref="C5170:D5170"/>
    <mergeCell ref="C5171:D5171"/>
    <mergeCell ref="C5188:D5188"/>
    <mergeCell ref="C5186:D5186"/>
    <mergeCell ref="C6157:D6157"/>
    <mergeCell ref="C5850:D5850"/>
    <mergeCell ref="C5851:D5851"/>
    <mergeCell ref="C5899:D5899"/>
    <mergeCell ref="C5898:D5898"/>
    <mergeCell ref="C5900:D5900"/>
    <mergeCell ref="C5901:D5901"/>
    <mergeCell ref="C5918:D5918"/>
    <mergeCell ref="C5919:D5919"/>
    <mergeCell ref="C5909:D5909"/>
    <mergeCell ref="C5910:D5910"/>
    <mergeCell ref="C5895:D5895"/>
    <mergeCell ref="C5892:D5892"/>
    <mergeCell ref="C5933:D5933"/>
    <mergeCell ref="C5927:D5927"/>
    <mergeCell ref="C5928:D5928"/>
    <mergeCell ref="C5929:D5929"/>
    <mergeCell ref="C5930:D5930"/>
    <mergeCell ref="C5931:D5931"/>
    <mergeCell ref="C5932:D5932"/>
    <mergeCell ref="C5935:D5935"/>
    <mergeCell ref="C5962:D5962"/>
    <mergeCell ref="C5963:D5963"/>
    <mergeCell ref="C5964:D5964"/>
    <mergeCell ref="C5965:D5965"/>
    <mergeCell ref="C6031:D6031"/>
    <mergeCell ref="C6032:D6032"/>
    <mergeCell ref="C6033:D6033"/>
    <mergeCell ref="C6138:D6138"/>
    <mergeCell ref="C6055:D6055"/>
    <mergeCell ref="C6062:D6062"/>
    <mergeCell ref="C6063:D6063"/>
    <mergeCell ref="C6353:D6353"/>
    <mergeCell ref="C6354:D6354"/>
    <mergeCell ref="C5917:D5917"/>
    <mergeCell ref="C5715:D5715"/>
    <mergeCell ref="C5865:D5865"/>
    <mergeCell ref="C5879:D5879"/>
    <mergeCell ref="C5880:D5880"/>
    <mergeCell ref="C5881:D5881"/>
    <mergeCell ref="C5866:D5866"/>
    <mergeCell ref="C5884:D5884"/>
    <mergeCell ref="C5885:D5885"/>
    <mergeCell ref="C5902:D5902"/>
    <mergeCell ref="C5893:D5893"/>
    <mergeCell ref="C6290:D6290"/>
    <mergeCell ref="C6291:D6291"/>
    <mergeCell ref="C6284:D6284"/>
    <mergeCell ref="C6285:D6285"/>
    <mergeCell ref="C6164:D6164"/>
    <mergeCell ref="C6165:D6165"/>
    <mergeCell ref="C6139:D6139"/>
    <mergeCell ref="C6140:D6140"/>
    <mergeCell ref="C6154:D6154"/>
    <mergeCell ref="C6155:D6155"/>
    <mergeCell ref="C6105:D6105"/>
    <mergeCell ref="C5952:D5952"/>
    <mergeCell ref="C5953:D5953"/>
    <mergeCell ref="C5960:D5960"/>
    <mergeCell ref="C5961:D5961"/>
    <mergeCell ref="C6318:D6318"/>
    <mergeCell ref="C6319:D6319"/>
    <mergeCell ref="C6352:D6352"/>
    <mergeCell ref="C6149:D6149"/>
    <mergeCell ref="C6102:D6102"/>
    <mergeCell ref="C6088:D6088"/>
    <mergeCell ref="C5985:D5985"/>
    <mergeCell ref="C5986:D5986"/>
    <mergeCell ref="C5987:D5987"/>
    <mergeCell ref="C5979:D5979"/>
    <mergeCell ref="C5994:D5994"/>
    <mergeCell ref="C5995:D5995"/>
    <mergeCell ref="C5996:D5996"/>
    <mergeCell ref="C5997:D5997"/>
    <mergeCell ref="C6113:D6113"/>
    <mergeCell ref="C6114:D6114"/>
    <mergeCell ref="C6137:D6137"/>
    <mergeCell ref="C6130:D6130"/>
    <mergeCell ref="C6131:D6131"/>
    <mergeCell ref="C6132:D6132"/>
    <mergeCell ref="C6133:D6133"/>
    <mergeCell ref="C6134:D6134"/>
    <mergeCell ref="C6135:D6135"/>
    <mergeCell ref="C6136:D6136"/>
    <mergeCell ref="C6116:D6116"/>
    <mergeCell ref="C6117:D6117"/>
    <mergeCell ref="C6118:D6118"/>
    <mergeCell ref="C6119:D6119"/>
    <mergeCell ref="C6120:D6120"/>
    <mergeCell ref="C6121:D6121"/>
    <mergeCell ref="C6099:D6099"/>
    <mergeCell ref="C6100:D6100"/>
    <mergeCell ref="C6066:D6066"/>
    <mergeCell ref="C6067:D6067"/>
    <mergeCell ref="C6048:D6048"/>
    <mergeCell ref="C6049:D6049"/>
    <mergeCell ref="C6147:D6147"/>
    <mergeCell ref="C6166:D6166"/>
    <mergeCell ref="C6167:D6167"/>
    <mergeCell ref="C6168:D6168"/>
    <mergeCell ref="C6169:D6169"/>
    <mergeCell ref="C6004:D6004"/>
    <mergeCell ref="C6018:D6018"/>
    <mergeCell ref="C6017:D6017"/>
    <mergeCell ref="C6050:D6050"/>
    <mergeCell ref="C6051:D6051"/>
    <mergeCell ref="C6052:D6052"/>
    <mergeCell ref="C6053:D6053"/>
    <mergeCell ref="C6036:D6036"/>
    <mergeCell ref="C6037:D6037"/>
    <mergeCell ref="C6087:D6087"/>
    <mergeCell ref="C6098:D6098"/>
    <mergeCell ref="C6068:D6068"/>
    <mergeCell ref="C6071:D6071"/>
    <mergeCell ref="C6072:D6072"/>
    <mergeCell ref="C6086:D6086"/>
    <mergeCell ref="C6084:D6084"/>
    <mergeCell ref="C6085:D6085"/>
    <mergeCell ref="C6019:D6019"/>
    <mergeCell ref="C6030:D6030"/>
    <mergeCell ref="C6079:D6079"/>
    <mergeCell ref="C6080:D6080"/>
    <mergeCell ref="C6081:D6081"/>
    <mergeCell ref="C6101:D6101"/>
    <mergeCell ref="C6069:D6069"/>
    <mergeCell ref="C6148:D6148"/>
    <mergeCell ref="C6035:D6035"/>
    <mergeCell ref="C6034:D6034"/>
    <mergeCell ref="C6153:D6153"/>
    <mergeCell ref="C6020:D6020"/>
    <mergeCell ref="A6145:D6145"/>
    <mergeCell ref="B6141:B6143"/>
    <mergeCell ref="A6129:A6143"/>
    <mergeCell ref="C5620:D5620"/>
    <mergeCell ref="C5621:D5621"/>
    <mergeCell ref="A5618:D5618"/>
    <mergeCell ref="C5622:D5622"/>
    <mergeCell ref="C5623:D5623"/>
    <mergeCell ref="C5624:D5624"/>
    <mergeCell ref="C5625:D5625"/>
    <mergeCell ref="B5614:B5616"/>
    <mergeCell ref="A5619:A5633"/>
    <mergeCell ref="A5636:A5650"/>
    <mergeCell ref="C5654:D5654"/>
    <mergeCell ref="C5655:D5655"/>
    <mergeCell ref="C5641:D5641"/>
    <mergeCell ref="B5648:B5650"/>
    <mergeCell ref="C6038:D6038"/>
    <mergeCell ref="C6054:D6054"/>
    <mergeCell ref="C6045:D6045"/>
    <mergeCell ref="C6046:D6046"/>
    <mergeCell ref="C6047:D6047"/>
    <mergeCell ref="C6089:D6089"/>
    <mergeCell ref="C6106:D6106"/>
    <mergeCell ref="C6096:D6096"/>
    <mergeCell ref="C6122:D6122"/>
    <mergeCell ref="C6123:D6123"/>
    <mergeCell ref="C5947:D5947"/>
    <mergeCell ref="C5948:D5948"/>
    <mergeCell ref="C6001:D6001"/>
    <mergeCell ref="C5967:D5967"/>
    <mergeCell ref="A6026:D6026"/>
    <mergeCell ref="B6022:B6024"/>
    <mergeCell ref="B6039:B6041"/>
    <mergeCell ref="A6027:A6041"/>
    <mergeCell ref="A6043:D6043"/>
    <mergeCell ref="A6044:A6058"/>
    <mergeCell ref="A6060:D6060"/>
    <mergeCell ref="B6090:B6092"/>
    <mergeCell ref="B6107:B6109"/>
    <mergeCell ref="A6095:A6109"/>
    <mergeCell ref="A6111:D6111"/>
    <mergeCell ref="B6124:B6126"/>
    <mergeCell ref="A6128:D6128"/>
    <mergeCell ref="A6078:A6092"/>
    <mergeCell ref="A6112:A6126"/>
    <mergeCell ref="B6056:B6058"/>
    <mergeCell ref="B6073:B6075"/>
    <mergeCell ref="A6061:A6075"/>
    <mergeCell ref="A6077:D6077"/>
    <mergeCell ref="A6094:D6094"/>
    <mergeCell ref="C6028:D6028"/>
    <mergeCell ref="C6029:D6029"/>
    <mergeCell ref="C6082:D6082"/>
    <mergeCell ref="C6083:D6083"/>
    <mergeCell ref="C6070:D6070"/>
    <mergeCell ref="C6097:D6097"/>
    <mergeCell ref="C6064:D6064"/>
    <mergeCell ref="C6065:D6065"/>
    <mergeCell ref="C6115:D6115"/>
    <mergeCell ref="C6103:D6103"/>
    <mergeCell ref="C6104:D6104"/>
    <mergeCell ref="A6010:A6024"/>
    <mergeCell ref="A5975:D5975"/>
    <mergeCell ref="B5971:B5973"/>
    <mergeCell ref="B5988:B5990"/>
    <mergeCell ref="A5976:A5990"/>
    <mergeCell ref="A5992:D5992"/>
    <mergeCell ref="B6005:B6007"/>
    <mergeCell ref="A6009:D6009"/>
    <mergeCell ref="C5999:D5999"/>
    <mergeCell ref="C6000:D6000"/>
    <mergeCell ref="C6003:D6003"/>
    <mergeCell ref="C6021:D6021"/>
    <mergeCell ref="C6011:D6011"/>
    <mergeCell ref="C6012:D6012"/>
    <mergeCell ref="C6013:D6013"/>
    <mergeCell ref="C6014:D6014"/>
    <mergeCell ref="C6015:D6015"/>
    <mergeCell ref="C6016:D6016"/>
    <mergeCell ref="C5977:D5977"/>
    <mergeCell ref="C6002:D6002"/>
    <mergeCell ref="C5998:D5998"/>
    <mergeCell ref="C5640:D5640"/>
    <mergeCell ref="C5639:D5639"/>
    <mergeCell ref="C5809:D5809"/>
    <mergeCell ref="C5810:D5810"/>
    <mergeCell ref="C5811:D5811"/>
    <mergeCell ref="C5812:D5812"/>
    <mergeCell ref="C5815:D5815"/>
    <mergeCell ref="C5816:D5816"/>
    <mergeCell ref="C5826:D5826"/>
    <mergeCell ref="C5824:D5824"/>
    <mergeCell ref="C5825:D5825"/>
    <mergeCell ref="C5656:D5656"/>
    <mergeCell ref="C5657:D5657"/>
    <mergeCell ref="C5658:D5658"/>
    <mergeCell ref="C5659:D5659"/>
    <mergeCell ref="C5646:D5646"/>
    <mergeCell ref="C5647:D5647"/>
    <mergeCell ref="C5644:D5644"/>
    <mergeCell ref="C5645:D5645"/>
    <mergeCell ref="C5814:D5814"/>
    <mergeCell ref="C5808:D5808"/>
    <mergeCell ref="C5813:D5813"/>
    <mergeCell ref="C5817:D5817"/>
    <mergeCell ref="A5822:D5822"/>
    <mergeCell ref="C5797:D5797"/>
    <mergeCell ref="C5798:D5798"/>
    <mergeCell ref="C5799:D5799"/>
    <mergeCell ref="C5800:D5800"/>
    <mergeCell ref="C5695:D5695"/>
    <mergeCell ref="C5694:D5694"/>
    <mergeCell ref="C5696:D5696"/>
    <mergeCell ref="C5697:D5697"/>
    <mergeCell ref="C5689:D5689"/>
    <mergeCell ref="A5686:D5686"/>
    <mergeCell ref="A5703:D5703"/>
    <mergeCell ref="B5682:B5684"/>
    <mergeCell ref="B5699:B5701"/>
    <mergeCell ref="A5687:A5701"/>
    <mergeCell ref="A5704:A5718"/>
    <mergeCell ref="B5784:B5786"/>
    <mergeCell ref="A5788:D5788"/>
    <mergeCell ref="C5746:D5746"/>
    <mergeCell ref="C5742:D5742"/>
    <mergeCell ref="A5771:D5771"/>
    <mergeCell ref="C5773:D5773"/>
    <mergeCell ref="A5941:D5941"/>
    <mergeCell ref="A5942:A5956"/>
    <mergeCell ref="A5805:D5805"/>
    <mergeCell ref="C5807:D5807"/>
    <mergeCell ref="C5946:D5946"/>
    <mergeCell ref="C5951:D5951"/>
    <mergeCell ref="C5690:D5690"/>
    <mergeCell ref="C5691:D5691"/>
    <mergeCell ref="C5692:D5692"/>
    <mergeCell ref="C5693:D5693"/>
    <mergeCell ref="C5846:D5846"/>
    <mergeCell ref="C5847:D5847"/>
    <mergeCell ref="C5848:D5848"/>
    <mergeCell ref="C5849:D5849"/>
    <mergeCell ref="C5831:D5831"/>
    <mergeCell ref="C5830:D5830"/>
    <mergeCell ref="C5827:D5827"/>
    <mergeCell ref="C5828:D5828"/>
    <mergeCell ref="C5832:D5832"/>
    <mergeCell ref="B5767:B5769"/>
    <mergeCell ref="C5782:D5782"/>
    <mergeCell ref="C5781:D5781"/>
    <mergeCell ref="C5728:D5728"/>
    <mergeCell ref="C5729:D5729"/>
    <mergeCell ref="C6437:D6437"/>
    <mergeCell ref="A6401:A6415"/>
    <mergeCell ref="C6403:D6403"/>
    <mergeCell ref="C6404:D6404"/>
    <mergeCell ref="C6405:D6405"/>
    <mergeCell ref="C6406:D6406"/>
    <mergeCell ref="C6407:D6407"/>
    <mergeCell ref="C6408:D6408"/>
    <mergeCell ref="A5874:A5888"/>
    <mergeCell ref="A5891:A5905"/>
    <mergeCell ref="B5852:B5854"/>
    <mergeCell ref="B5869:B5871"/>
    <mergeCell ref="A5857:A5871"/>
    <mergeCell ref="A5873:D5873"/>
    <mergeCell ref="B5886:B5888"/>
    <mergeCell ref="A5890:D5890"/>
    <mergeCell ref="A5907:D5907"/>
    <mergeCell ref="A6213:D6213"/>
    <mergeCell ref="A6434:D6434"/>
    <mergeCell ref="B6430:B6432"/>
    <mergeCell ref="C6428:D6428"/>
    <mergeCell ref="C6429:D6429"/>
    <mergeCell ref="C6422:D6422"/>
    <mergeCell ref="C6423:D6423"/>
    <mergeCell ref="C6424:D6424"/>
    <mergeCell ref="A6163:A6177"/>
    <mergeCell ref="A6179:D6179"/>
    <mergeCell ref="B5801:B5803"/>
    <mergeCell ref="A5806:A5820"/>
    <mergeCell ref="B5818:B5820"/>
    <mergeCell ref="A5772:A5786"/>
    <mergeCell ref="A5789:A5803"/>
    <mergeCell ref="C6343:D6343"/>
    <mergeCell ref="C6344:D6344"/>
    <mergeCell ref="A6349:D6349"/>
    <mergeCell ref="C6182:D6182"/>
    <mergeCell ref="C6183:D6183"/>
    <mergeCell ref="C6252:D6252"/>
    <mergeCell ref="C6253:D6253"/>
    <mergeCell ref="B6277:B6279"/>
    <mergeCell ref="B6226:B6228"/>
    <mergeCell ref="B6243:B6245"/>
    <mergeCell ref="B6260:B6262"/>
    <mergeCell ref="A6162:D6162"/>
    <mergeCell ref="B6345:B6347"/>
    <mergeCell ref="A6333:A6347"/>
    <mergeCell ref="A6180:A6194"/>
    <mergeCell ref="A6231:A6245"/>
    <mergeCell ref="A6247:D6247"/>
    <mergeCell ref="A5925:A5939"/>
    <mergeCell ref="A5959:A5973"/>
    <mergeCell ref="B5903:B5905"/>
    <mergeCell ref="B5920:B5922"/>
    <mergeCell ref="A5908:A5922"/>
    <mergeCell ref="A5924:D5924"/>
    <mergeCell ref="B5937:B5939"/>
    <mergeCell ref="A5958:D5958"/>
    <mergeCell ref="B5954:B5956"/>
    <mergeCell ref="A5993:A6007"/>
    <mergeCell ref="C6470:D6470"/>
    <mergeCell ref="C6471:D6471"/>
    <mergeCell ref="C6445:D6445"/>
    <mergeCell ref="C6444:D6444"/>
    <mergeCell ref="C6461:D6461"/>
    <mergeCell ref="C6479:D6479"/>
    <mergeCell ref="C6480:D6480"/>
    <mergeCell ref="B6481:B6483"/>
    <mergeCell ref="A6469:A6483"/>
    <mergeCell ref="A6485:D6485"/>
    <mergeCell ref="C6487:D6487"/>
    <mergeCell ref="C6488:D6488"/>
    <mergeCell ref="C6477:D6477"/>
    <mergeCell ref="C6478:D6478"/>
    <mergeCell ref="C6472:D6472"/>
    <mergeCell ref="C6473:D6473"/>
    <mergeCell ref="C6474:D6474"/>
    <mergeCell ref="C6475:D6475"/>
    <mergeCell ref="C6476:D6476"/>
    <mergeCell ref="B6447:B6449"/>
    <mergeCell ref="C6438:D6438"/>
    <mergeCell ref="C6436:D6436"/>
    <mergeCell ref="C6660:D6660"/>
    <mergeCell ref="C6661:D6661"/>
    <mergeCell ref="C6662:D6662"/>
    <mergeCell ref="C6663:D6663"/>
    <mergeCell ref="C6664:D6664"/>
    <mergeCell ref="C6665:D6665"/>
    <mergeCell ref="C6557:D6557"/>
    <mergeCell ref="C6666:D6666"/>
    <mergeCell ref="C6667:D6667"/>
    <mergeCell ref="C6645:D6645"/>
    <mergeCell ref="C6659:D6659"/>
    <mergeCell ref="C6641:D6641"/>
    <mergeCell ref="C6642:D6642"/>
    <mergeCell ref="C6643:D6643"/>
    <mergeCell ref="C6644:D6644"/>
    <mergeCell ref="C6632:D6632"/>
    <mergeCell ref="C6633:D6633"/>
    <mergeCell ref="C6611:D6611"/>
    <mergeCell ref="C6595:D6595"/>
    <mergeCell ref="C6596:D6596"/>
    <mergeCell ref="C6597:D6597"/>
    <mergeCell ref="C6598:D6598"/>
    <mergeCell ref="A6604:D6604"/>
    <mergeCell ref="C6589:D6589"/>
    <mergeCell ref="C6590:D6590"/>
    <mergeCell ref="A6587:D6587"/>
    <mergeCell ref="B6651:B6653"/>
    <mergeCell ref="A6655:D6655"/>
    <mergeCell ref="C6628:D6628"/>
    <mergeCell ref="C6629:D6629"/>
    <mergeCell ref="A6146:A6160"/>
    <mergeCell ref="B6175:B6177"/>
    <mergeCell ref="A6621:D6621"/>
    <mergeCell ref="C6640:D6640"/>
    <mergeCell ref="A6638:D6638"/>
    <mergeCell ref="A6605:A6619"/>
    <mergeCell ref="C6613:D6613"/>
    <mergeCell ref="A6622:A6636"/>
    <mergeCell ref="A6451:D6451"/>
    <mergeCell ref="A6435:A6449"/>
    <mergeCell ref="C6462:D6462"/>
    <mergeCell ref="C6463:D6463"/>
    <mergeCell ref="A6452:A6466"/>
    <mergeCell ref="C6453:D6453"/>
    <mergeCell ref="A6468:D6468"/>
    <mergeCell ref="B6464:B6466"/>
    <mergeCell ref="C6439:D6439"/>
    <mergeCell ref="C6440:D6440"/>
    <mergeCell ref="C6614:D6614"/>
    <mergeCell ref="C6615:D6615"/>
    <mergeCell ref="C6630:D6630"/>
    <mergeCell ref="C6631:D6631"/>
    <mergeCell ref="C6623:D6623"/>
    <mergeCell ref="C6624:D6624"/>
    <mergeCell ref="C6627:D6627"/>
    <mergeCell ref="C6606:D6606"/>
    <mergeCell ref="C6607:D6607"/>
    <mergeCell ref="C6608:D6608"/>
    <mergeCell ref="C6609:D6609"/>
    <mergeCell ref="C6616:D6616"/>
    <mergeCell ref="C6612:D6612"/>
    <mergeCell ref="C6441:D6441"/>
    <mergeCell ref="C6286:D6286"/>
    <mergeCell ref="C6287:D6287"/>
    <mergeCell ref="C6443:D6443"/>
    <mergeCell ref="C6442:D6442"/>
    <mergeCell ref="C6446:D6446"/>
    <mergeCell ref="C6454:D6454"/>
    <mergeCell ref="C6455:D6455"/>
    <mergeCell ref="C6456:D6456"/>
    <mergeCell ref="C6457:D6457"/>
    <mergeCell ref="C6458:D6458"/>
    <mergeCell ref="C6459:D6459"/>
    <mergeCell ref="C6460:D6460"/>
    <mergeCell ref="A5652:D5652"/>
    <mergeCell ref="A5653:A5667"/>
    <mergeCell ref="C5664:D5664"/>
    <mergeCell ref="C5660:D5660"/>
    <mergeCell ref="C5661:D5661"/>
    <mergeCell ref="C5783:D5783"/>
    <mergeCell ref="A6332:D6332"/>
    <mergeCell ref="C6320:D6320"/>
    <mergeCell ref="C6321:D6321"/>
    <mergeCell ref="C6322:D6322"/>
    <mergeCell ref="C6323:D6323"/>
    <mergeCell ref="C6324:D6324"/>
    <mergeCell ref="C6325:D6325"/>
    <mergeCell ref="C6305:D6305"/>
    <mergeCell ref="C6300:D6300"/>
    <mergeCell ref="C6326:D6326"/>
    <mergeCell ref="C6327:D6327"/>
    <mergeCell ref="A6316:A6330"/>
    <mergeCell ref="C6317:D6317"/>
    <mergeCell ref="B6158:B6160"/>
    <mergeCell ref="B6311:B6313"/>
    <mergeCell ref="B6328:B6330"/>
    <mergeCell ref="A6281:D6281"/>
    <mergeCell ref="A6282:A6296"/>
    <mergeCell ref="A6298:D6298"/>
    <mergeCell ref="B6294:B6296"/>
    <mergeCell ref="C6356:D6356"/>
    <mergeCell ref="C6341:D6341"/>
    <mergeCell ref="C6394:D6394"/>
    <mergeCell ref="C6395:D6395"/>
    <mergeCell ref="C6371:D6371"/>
    <mergeCell ref="C6372:D6372"/>
    <mergeCell ref="C6373:D6373"/>
    <mergeCell ref="C6375:D6375"/>
    <mergeCell ref="C6374:D6374"/>
    <mergeCell ref="C6386:D6386"/>
    <mergeCell ref="A6299:A6313"/>
    <mergeCell ref="A6315:D6315"/>
    <mergeCell ref="C6370:D6370"/>
    <mergeCell ref="C6368:D6368"/>
    <mergeCell ref="C6369:D6369"/>
    <mergeCell ref="C6378:D6378"/>
    <mergeCell ref="C6385:D6385"/>
    <mergeCell ref="C6337:D6337"/>
    <mergeCell ref="C6338:D6338"/>
    <mergeCell ref="C6339:D6339"/>
    <mergeCell ref="C6340:D6340"/>
    <mergeCell ref="C6357:D6357"/>
    <mergeCell ref="C6360:D6360"/>
    <mergeCell ref="C6358:D6358"/>
    <mergeCell ref="C6359:D6359"/>
    <mergeCell ref="C6303:D6303"/>
    <mergeCell ref="C6421:D6421"/>
    <mergeCell ref="C6376:D6376"/>
    <mergeCell ref="C6377:D6377"/>
    <mergeCell ref="B6379:B6381"/>
    <mergeCell ref="A6384:A6398"/>
    <mergeCell ref="A6400:D6400"/>
    <mergeCell ref="B6396:B6398"/>
    <mergeCell ref="A6367:A6381"/>
    <mergeCell ref="A6383:D6383"/>
    <mergeCell ref="C6427:D6427"/>
    <mergeCell ref="C6387:D6387"/>
    <mergeCell ref="C6388:D6388"/>
    <mergeCell ref="C6389:D6389"/>
    <mergeCell ref="C6390:D6390"/>
    <mergeCell ref="C6391:D6391"/>
    <mergeCell ref="C6392:D6392"/>
    <mergeCell ref="C6393:D6393"/>
    <mergeCell ref="C6425:D6425"/>
    <mergeCell ref="C6426:D6426"/>
    <mergeCell ref="C6419:D6419"/>
    <mergeCell ref="A6418:A6432"/>
    <mergeCell ref="C6411:D6411"/>
    <mergeCell ref="C6412:D6412"/>
    <mergeCell ref="B6413:B6415"/>
    <mergeCell ref="A6417:D6417"/>
    <mergeCell ref="C6420:D6420"/>
    <mergeCell ref="C6409:D6409"/>
    <mergeCell ref="C6361:D6361"/>
    <mergeCell ref="C5662:D5662"/>
    <mergeCell ref="C5663:D5663"/>
    <mergeCell ref="C5678:D5678"/>
    <mergeCell ref="C5679:D5679"/>
    <mergeCell ref="C5671:D5671"/>
    <mergeCell ref="C5672:D5672"/>
    <mergeCell ref="C5726:D5726"/>
    <mergeCell ref="B5716:B5718"/>
    <mergeCell ref="A5720:D5720"/>
    <mergeCell ref="B5733:B5735"/>
    <mergeCell ref="A5721:A5735"/>
    <mergeCell ref="C5730:D5730"/>
    <mergeCell ref="C5731:D5731"/>
    <mergeCell ref="C5732:D5732"/>
    <mergeCell ref="C5749:D5749"/>
    <mergeCell ref="C5758:D5758"/>
    <mergeCell ref="C5756:D5756"/>
    <mergeCell ref="C5757:D5757"/>
    <mergeCell ref="A5737:D5737"/>
    <mergeCell ref="B5665:B5667"/>
    <mergeCell ref="A5670:A5684"/>
    <mergeCell ref="C5673:D5673"/>
    <mergeCell ref="C5727:D5727"/>
    <mergeCell ref="C5743:D5743"/>
    <mergeCell ref="C5744:D5744"/>
    <mergeCell ref="C5745:D5745"/>
    <mergeCell ref="C5748:D5748"/>
    <mergeCell ref="A5669:D5669"/>
    <mergeCell ref="C5675:D5675"/>
    <mergeCell ref="C5680:D5680"/>
    <mergeCell ref="C5681:D5681"/>
    <mergeCell ref="C5688:D5688"/>
    <mergeCell ref="B6192:B6194"/>
    <mergeCell ref="A6196:D6196"/>
    <mergeCell ref="B6209:B6211"/>
    <mergeCell ref="A6197:A6211"/>
    <mergeCell ref="C6646:D6646"/>
    <mergeCell ref="C6648:D6648"/>
    <mergeCell ref="C5676:D5676"/>
    <mergeCell ref="C5677:D5677"/>
    <mergeCell ref="A5738:A5752"/>
    <mergeCell ref="C5739:D5739"/>
    <mergeCell ref="C5740:D5740"/>
    <mergeCell ref="C5741:D5741"/>
    <mergeCell ref="C5747:D5747"/>
    <mergeCell ref="B5750:B5752"/>
    <mergeCell ref="A5754:D5754"/>
    <mergeCell ref="C5759:D5759"/>
    <mergeCell ref="C5760:D5760"/>
    <mergeCell ref="C5761:D5761"/>
    <mergeCell ref="C5762:D5762"/>
    <mergeCell ref="A5755:A5769"/>
    <mergeCell ref="A6588:A6602"/>
    <mergeCell ref="C6625:D6625"/>
    <mergeCell ref="C6626:D6626"/>
    <mergeCell ref="C6514:D6514"/>
    <mergeCell ref="C6530:D6530"/>
    <mergeCell ref="C6521:D6521"/>
    <mergeCell ref="C6402:D6402"/>
    <mergeCell ref="C6410:D6410"/>
    <mergeCell ref="A6350:A6364"/>
    <mergeCell ref="B6362:B6364"/>
    <mergeCell ref="A6366:D6366"/>
    <mergeCell ref="C5674:D5674"/>
    <mergeCell ref="C5725:D5725"/>
    <mergeCell ref="C5722:D5722"/>
    <mergeCell ref="C5723:D5723"/>
    <mergeCell ref="C5724:D5724"/>
    <mergeCell ref="C5774:D5774"/>
    <mergeCell ref="C5775:D5775"/>
    <mergeCell ref="C5776:D5776"/>
    <mergeCell ref="C5777:D5777"/>
    <mergeCell ref="C5778:D5778"/>
    <mergeCell ref="C5779:D5779"/>
    <mergeCell ref="C5780:D5780"/>
    <mergeCell ref="C5763:D5763"/>
    <mergeCell ref="C5764:D5764"/>
    <mergeCell ref="C5765:D5765"/>
    <mergeCell ref="C5766:D5766"/>
    <mergeCell ref="C6495:D6495"/>
    <mergeCell ref="C6490:D6490"/>
    <mergeCell ref="C6489:D6489"/>
    <mergeCell ref="C6304:D6304"/>
    <mergeCell ref="C6355:D6355"/>
    <mergeCell ref="C6351:D6351"/>
    <mergeCell ref="C6308:D6308"/>
    <mergeCell ref="C6309:D6309"/>
    <mergeCell ref="C6310:D6310"/>
    <mergeCell ref="C5793:D5793"/>
    <mergeCell ref="C6307:D6307"/>
    <mergeCell ref="C6306:D6306"/>
    <mergeCell ref="C6342:D6342"/>
    <mergeCell ref="C6334:D6334"/>
    <mergeCell ref="C6335:D6335"/>
    <mergeCell ref="C6336:D6336"/>
    <mergeCell ref="B6515:B6517"/>
    <mergeCell ref="A6553:D6553"/>
    <mergeCell ref="C6555:D6555"/>
    <mergeCell ref="C6556:D6556"/>
    <mergeCell ref="A6519:D6519"/>
    <mergeCell ref="C6531:D6531"/>
    <mergeCell ref="A6639:A6653"/>
    <mergeCell ref="A6656:A6670"/>
    <mergeCell ref="B6668:B6670"/>
    <mergeCell ref="B6634:B6636"/>
    <mergeCell ref="B6617:B6619"/>
    <mergeCell ref="B6600:B6602"/>
    <mergeCell ref="A6554:A6568"/>
    <mergeCell ref="B6566:B6568"/>
    <mergeCell ref="C6561:D6561"/>
    <mergeCell ref="C6572:D6572"/>
    <mergeCell ref="C6573:D6573"/>
    <mergeCell ref="A6571:A6585"/>
    <mergeCell ref="B6532:B6534"/>
    <mergeCell ref="C6579:D6579"/>
    <mergeCell ref="C6580:D6580"/>
    <mergeCell ref="C6581:D6581"/>
    <mergeCell ref="C6582:D6582"/>
    <mergeCell ref="B6583:B6585"/>
    <mergeCell ref="A6537:A6551"/>
    <mergeCell ref="A6520:A6534"/>
    <mergeCell ref="C6543:D6543"/>
    <mergeCell ref="C6657:D6657"/>
    <mergeCell ref="C6658:D6658"/>
    <mergeCell ref="C6647:D6647"/>
    <mergeCell ref="C6592:D6592"/>
    <mergeCell ref="C6507:D6507"/>
    <mergeCell ref="C6508:D6508"/>
    <mergeCell ref="C6509:D6509"/>
    <mergeCell ref="C6511:D6511"/>
    <mergeCell ref="C6510:D6510"/>
    <mergeCell ref="C6512:D6512"/>
    <mergeCell ref="A6503:A6517"/>
    <mergeCell ref="C6513:D6513"/>
    <mergeCell ref="C6491:D6491"/>
    <mergeCell ref="C6492:D6492"/>
    <mergeCell ref="C6493:D6493"/>
    <mergeCell ref="C6494:D6494"/>
    <mergeCell ref="C6506:D6506"/>
    <mergeCell ref="C6504:D6504"/>
    <mergeCell ref="C6505:D6505"/>
    <mergeCell ref="C6649:D6649"/>
    <mergeCell ref="C6650:D6650"/>
    <mergeCell ref="A6486:A6500"/>
    <mergeCell ref="A6502:D6502"/>
    <mergeCell ref="B6498:B6500"/>
    <mergeCell ref="C6496:D6496"/>
    <mergeCell ref="C6497:D6497"/>
    <mergeCell ref="A6536:D6536"/>
    <mergeCell ref="C6574:D6574"/>
    <mergeCell ref="A6570:D6570"/>
    <mergeCell ref="C6559:D6559"/>
    <mergeCell ref="C6560:D6560"/>
    <mergeCell ref="C6562:D6562"/>
    <mergeCell ref="C6563:D6563"/>
    <mergeCell ref="C6558:D6558"/>
    <mergeCell ref="C6564:D6564"/>
    <mergeCell ref="C6565:D6565"/>
    <mergeCell ref="C6544:D6544"/>
    <mergeCell ref="C6528:D6528"/>
    <mergeCell ref="C6529:D6529"/>
    <mergeCell ref="C6522:D6522"/>
    <mergeCell ref="C6523:D6523"/>
    <mergeCell ref="C6524:D6524"/>
    <mergeCell ref="C6525:D6525"/>
    <mergeCell ref="C6526:D6526"/>
    <mergeCell ref="C6527:D6527"/>
    <mergeCell ref="C6734:D6734"/>
    <mergeCell ref="C6727:D6727"/>
    <mergeCell ref="C6728:D6728"/>
    <mergeCell ref="B6736:B6738"/>
    <mergeCell ref="C6726:D6726"/>
    <mergeCell ref="C6735:D6735"/>
    <mergeCell ref="A6723:D6723"/>
    <mergeCell ref="A6724:A6738"/>
    <mergeCell ref="A6672:D6672"/>
    <mergeCell ref="C6725:D6725"/>
    <mergeCell ref="C6548:D6548"/>
    <mergeCell ref="B6549:B6551"/>
    <mergeCell ref="C6546:D6546"/>
    <mergeCell ref="C6545:D6545"/>
    <mergeCell ref="C6547:D6547"/>
    <mergeCell ref="C6538:D6538"/>
    <mergeCell ref="C6539:D6539"/>
    <mergeCell ref="C6540:D6540"/>
    <mergeCell ref="C6541:D6541"/>
    <mergeCell ref="C6542:D6542"/>
    <mergeCell ref="C6575:D6575"/>
    <mergeCell ref="C6576:D6576"/>
    <mergeCell ref="C6577:D6577"/>
    <mergeCell ref="C6578:D6578"/>
    <mergeCell ref="C6710:D6710"/>
    <mergeCell ref="C6711:D6711"/>
    <mergeCell ref="C6712:D6712"/>
    <mergeCell ref="C6713:D6713"/>
    <mergeCell ref="C6684:D6684"/>
    <mergeCell ref="B6685:B6687"/>
    <mergeCell ref="A6707:A6721"/>
    <mergeCell ref="A6673:A6687"/>
    <mergeCell ref="C6676:D6676"/>
    <mergeCell ref="C6677:D6677"/>
    <mergeCell ref="C6678:D6678"/>
    <mergeCell ref="C6679:D6679"/>
    <mergeCell ref="C6729:D6729"/>
    <mergeCell ref="C6730:D6730"/>
    <mergeCell ref="C6731:D6731"/>
    <mergeCell ref="C6732:D6732"/>
    <mergeCell ref="C6591:D6591"/>
    <mergeCell ref="C6599:D6599"/>
    <mergeCell ref="C6610:D6610"/>
    <mergeCell ref="C6593:D6593"/>
    <mergeCell ref="C6594:D6594"/>
    <mergeCell ref="C6696:D6696"/>
    <mergeCell ref="C6697:D6697"/>
    <mergeCell ref="C6700:D6700"/>
    <mergeCell ref="A6690:A6704"/>
    <mergeCell ref="C6674:D6674"/>
    <mergeCell ref="C6675:D6675"/>
    <mergeCell ref="B6702:B6704"/>
    <mergeCell ref="C6699:D6699"/>
    <mergeCell ref="C6733:D6733"/>
    <mergeCell ref="C6714:D6714"/>
    <mergeCell ref="C6716:D6716"/>
    <mergeCell ref="C6717:D6717"/>
    <mergeCell ref="C6718:D6718"/>
    <mergeCell ref="C6708:D6708"/>
    <mergeCell ref="C6709:D6709"/>
    <mergeCell ref="C6680:D6680"/>
    <mergeCell ref="C6683:D6683"/>
    <mergeCell ref="C6682:D6682"/>
    <mergeCell ref="C6681:D6681"/>
    <mergeCell ref="C6693:D6693"/>
    <mergeCell ref="A6689:D6689"/>
    <mergeCell ref="C6691:D6691"/>
    <mergeCell ref="C6692:D6692"/>
    <mergeCell ref="C6698:D6698"/>
    <mergeCell ref="B6719:B6721"/>
    <mergeCell ref="C6715:D6715"/>
    <mergeCell ref="C6701:D6701"/>
    <mergeCell ref="A6706:D6706"/>
    <mergeCell ref="C6694:D6694"/>
    <mergeCell ref="C6695:D6695"/>
    <mergeCell ref="C4260:D4260"/>
    <mergeCell ref="C4261:D4261"/>
    <mergeCell ref="A4258:D4258"/>
    <mergeCell ref="A4259:A4273"/>
    <mergeCell ref="A4275:D4275"/>
    <mergeCell ref="A4854:A4868"/>
    <mergeCell ref="B4866:B4868"/>
    <mergeCell ref="B4900:B4902"/>
    <mergeCell ref="C4278:D4278"/>
    <mergeCell ref="C4279:D4279"/>
    <mergeCell ref="B4271:B4273"/>
    <mergeCell ref="C4839:D4839"/>
    <mergeCell ref="C4848:D4848"/>
    <mergeCell ref="B4849:B4851"/>
    <mergeCell ref="A4870:D4870"/>
    <mergeCell ref="C4924:D4924"/>
    <mergeCell ref="B4917:B4919"/>
    <mergeCell ref="A4921:D4921"/>
    <mergeCell ref="C4923:D4923"/>
    <mergeCell ref="C4265:D4265"/>
    <mergeCell ref="C4267:D4267"/>
    <mergeCell ref="C4266:D4266"/>
    <mergeCell ref="C4268:D4268"/>
    <mergeCell ref="C4269:D4269"/>
    <mergeCell ref="C4287:D4287"/>
    <mergeCell ref="C4285:D4285"/>
    <mergeCell ref="C4301:D4301"/>
    <mergeCell ref="C4302:D4302"/>
    <mergeCell ref="C4314:D4314"/>
    <mergeCell ref="C4315:D4315"/>
    <mergeCell ref="A4310:A4324"/>
    <mergeCell ref="A4309:D4309"/>
    <mergeCell ref="C4253:D4253"/>
    <mergeCell ref="B4254:B4256"/>
    <mergeCell ref="A3613:A3627"/>
    <mergeCell ref="A3630:A3644"/>
    <mergeCell ref="C3716:D3716"/>
    <mergeCell ref="C3717:D3717"/>
    <mergeCell ref="C3767:D3767"/>
    <mergeCell ref="C3768:D3768"/>
    <mergeCell ref="C3756:D3756"/>
    <mergeCell ref="C3759:D3759"/>
    <mergeCell ref="C3760:D3760"/>
    <mergeCell ref="B3880:B3882"/>
    <mergeCell ref="C3997:D3997"/>
    <mergeCell ref="C3998:D3998"/>
    <mergeCell ref="B3999:B4001"/>
    <mergeCell ref="A3970:A3984"/>
    <mergeCell ref="A3987:A4001"/>
    <mergeCell ref="C3700:D3700"/>
    <mergeCell ref="C3702:D3702"/>
    <mergeCell ref="C3692:D3692"/>
    <mergeCell ref="C3706:D3706"/>
    <mergeCell ref="C3707:D3707"/>
    <mergeCell ref="C3699:D3699"/>
    <mergeCell ref="C3719:D3719"/>
    <mergeCell ref="C3720:D3720"/>
    <mergeCell ref="C3721:D3721"/>
    <mergeCell ref="C3859:D3859"/>
    <mergeCell ref="C3689:D3689"/>
    <mergeCell ref="C3690:D3690"/>
    <mergeCell ref="C3683:D3683"/>
    <mergeCell ref="C3684:D3684"/>
    <mergeCell ref="C3674:D3674"/>
    <mergeCell ref="C3675:D3675"/>
    <mergeCell ref="C3419:D3419"/>
    <mergeCell ref="C4252:D4252"/>
    <mergeCell ref="C3570:D3570"/>
    <mergeCell ref="C3569:D3569"/>
    <mergeCell ref="C3571:D3571"/>
    <mergeCell ref="C3572:D3572"/>
    <mergeCell ref="C3668:D3668"/>
    <mergeCell ref="A3748:D3748"/>
    <mergeCell ref="C3750:D3750"/>
    <mergeCell ref="C3718:D3718"/>
    <mergeCell ref="C3726:D3726"/>
    <mergeCell ref="C3742:D3742"/>
    <mergeCell ref="C3733:D3733"/>
    <mergeCell ref="C3734:D3734"/>
    <mergeCell ref="C3735:D3735"/>
    <mergeCell ref="C3871:D3871"/>
    <mergeCell ref="A3851:A3865"/>
    <mergeCell ref="C3420:D3420"/>
    <mergeCell ref="C3436:D3436"/>
    <mergeCell ref="C3564:D3564"/>
    <mergeCell ref="C3451:D3451"/>
    <mergeCell ref="C3450:D3450"/>
    <mergeCell ref="A3561:D3561"/>
    <mergeCell ref="C3852:D3852"/>
    <mergeCell ref="C3853:D3853"/>
    <mergeCell ref="C3878:D3878"/>
    <mergeCell ref="C3879:D3879"/>
    <mergeCell ref="C3876:D3876"/>
    <mergeCell ref="C3877:D3877"/>
    <mergeCell ref="C3869:D3869"/>
    <mergeCell ref="C3870:D3870"/>
    <mergeCell ref="C3858:D3858"/>
    <mergeCell ref="A3833:D3833"/>
    <mergeCell ref="A3834:A3848"/>
    <mergeCell ref="B3846:B3848"/>
    <mergeCell ref="B3863:B3865"/>
    <mergeCell ref="A3867:D3867"/>
    <mergeCell ref="C3841:D3841"/>
    <mergeCell ref="C3551:D3551"/>
    <mergeCell ref="C3552:D3552"/>
    <mergeCell ref="A3868:A3882"/>
    <mergeCell ref="C3861:D3861"/>
    <mergeCell ref="C3862:D3862"/>
    <mergeCell ref="C3844:D3844"/>
    <mergeCell ref="C3845:D3845"/>
    <mergeCell ref="C3568:D3568"/>
    <mergeCell ref="A3596:A3610"/>
    <mergeCell ref="C3563:D3563"/>
    <mergeCell ref="A3578:D3578"/>
    <mergeCell ref="B3574:B3576"/>
    <mergeCell ref="C3573:D3573"/>
    <mergeCell ref="C3555:D3555"/>
    <mergeCell ref="C3556:D3556"/>
    <mergeCell ref="C3669:D3669"/>
    <mergeCell ref="C3670:D3670"/>
    <mergeCell ref="C3671:D3671"/>
    <mergeCell ref="C3554:D3554"/>
    <mergeCell ref="A3579:A3593"/>
    <mergeCell ref="A3595:D3595"/>
    <mergeCell ref="B3608:B3610"/>
    <mergeCell ref="A3612:D3612"/>
    <mergeCell ref="C3672:D3672"/>
    <mergeCell ref="C3673:D3673"/>
    <mergeCell ref="C3565:D3565"/>
    <mergeCell ref="C3566:D3566"/>
    <mergeCell ref="A3476:D3476"/>
    <mergeCell ref="C3478:D3478"/>
    <mergeCell ref="C3479:D3479"/>
    <mergeCell ref="C3480:D3480"/>
    <mergeCell ref="C3481:D3481"/>
    <mergeCell ref="C3482:D3482"/>
    <mergeCell ref="C3483:D3483"/>
    <mergeCell ref="B3489:B3491"/>
    <mergeCell ref="A3477:A3491"/>
    <mergeCell ref="A3493:D3493"/>
    <mergeCell ref="A3494:A3508"/>
    <mergeCell ref="A3510:D3510"/>
    <mergeCell ref="C3537:D3537"/>
    <mergeCell ref="C3532:D3532"/>
    <mergeCell ref="C3533:D3533"/>
    <mergeCell ref="C3534:D3534"/>
    <mergeCell ref="C3535:D3535"/>
    <mergeCell ref="C3536:D3536"/>
    <mergeCell ref="A3562:A3576"/>
    <mergeCell ref="C3514:D3514"/>
    <mergeCell ref="C3504:D3504"/>
    <mergeCell ref="C3550:D3550"/>
    <mergeCell ref="C3553:D3553"/>
    <mergeCell ref="C3567:D3567"/>
    <mergeCell ref="C3529:D3529"/>
    <mergeCell ref="C3530:D3530"/>
    <mergeCell ref="C3531:D3531"/>
    <mergeCell ref="C3539:D3539"/>
    <mergeCell ref="C3546:D3546"/>
    <mergeCell ref="C3547:D3547"/>
    <mergeCell ref="C3548:D3548"/>
    <mergeCell ref="C3549:D3549"/>
    <mergeCell ref="C3445:D3445"/>
    <mergeCell ref="C3462:D3462"/>
    <mergeCell ref="C3463:D3463"/>
    <mergeCell ref="C3464:D3464"/>
    <mergeCell ref="C3465:D3465"/>
    <mergeCell ref="C3498:D3498"/>
    <mergeCell ref="C3499:D3499"/>
    <mergeCell ref="C3485:D3485"/>
    <mergeCell ref="C3500:D3500"/>
    <mergeCell ref="C3501:D3501"/>
    <mergeCell ref="C3454:D3454"/>
    <mergeCell ref="C3470:D3470"/>
    <mergeCell ref="C3467:D3467"/>
    <mergeCell ref="C3468:D3468"/>
    <mergeCell ref="C3469:D3469"/>
    <mergeCell ref="C3488:D3488"/>
    <mergeCell ref="C3497:D3497"/>
    <mergeCell ref="C3512:D3512"/>
    <mergeCell ref="C3513:D3513"/>
    <mergeCell ref="C3471:D3471"/>
    <mergeCell ref="A3527:D3527"/>
    <mergeCell ref="C3466:D3466"/>
    <mergeCell ref="C3317:D3317"/>
    <mergeCell ref="B3319:B3321"/>
    <mergeCell ref="A3307:A3321"/>
    <mergeCell ref="C3313:D3313"/>
    <mergeCell ref="C3325:D3325"/>
    <mergeCell ref="C3326:D3326"/>
    <mergeCell ref="C3327:D3327"/>
    <mergeCell ref="C3328:D3328"/>
    <mergeCell ref="C3329:D3329"/>
    <mergeCell ref="C3318:D3318"/>
    <mergeCell ref="A3290:A3304"/>
    <mergeCell ref="A3306:D3306"/>
    <mergeCell ref="B3302:B3304"/>
    <mergeCell ref="A3545:A3559"/>
    <mergeCell ref="B3557:B3559"/>
    <mergeCell ref="A3544:D3544"/>
    <mergeCell ref="C3435:D3435"/>
    <mergeCell ref="C3461:D3461"/>
    <mergeCell ref="B3353:B3355"/>
    <mergeCell ref="A3341:A3355"/>
    <mergeCell ref="C3331:D3331"/>
    <mergeCell ref="C3332:D3332"/>
    <mergeCell ref="C3334:D3334"/>
    <mergeCell ref="C3335:D3335"/>
    <mergeCell ref="C3333:D3333"/>
    <mergeCell ref="A3426:A3440"/>
    <mergeCell ref="A3442:D3442"/>
    <mergeCell ref="B3438:B3440"/>
    <mergeCell ref="B3455:B3457"/>
    <mergeCell ref="A3443:A3457"/>
    <mergeCell ref="A3459:D3459"/>
    <mergeCell ref="A3460:A3474"/>
    <mergeCell ref="C3230:D3230"/>
    <mergeCell ref="C3231:D3231"/>
    <mergeCell ref="A3238:D3238"/>
    <mergeCell ref="A3222:A3236"/>
    <mergeCell ref="B3234:B3236"/>
    <mergeCell ref="B3251:B3253"/>
    <mergeCell ref="A3239:A3253"/>
    <mergeCell ref="C3211:D3211"/>
    <mergeCell ref="C3212:D3212"/>
    <mergeCell ref="C3228:D3228"/>
    <mergeCell ref="C3229:D3229"/>
    <mergeCell ref="C3227:D3227"/>
    <mergeCell ref="C3242:D3242"/>
    <mergeCell ref="C3226:D3226"/>
    <mergeCell ref="C3223:D3223"/>
    <mergeCell ref="C3195:D3195"/>
    <mergeCell ref="C3196:D3196"/>
    <mergeCell ref="C3207:D3207"/>
    <mergeCell ref="C3208:D3208"/>
    <mergeCell ref="C3209:D3209"/>
    <mergeCell ref="C3210:D3210"/>
    <mergeCell ref="C3240:D3240"/>
    <mergeCell ref="C3241:D3241"/>
    <mergeCell ref="C3213:D3213"/>
    <mergeCell ref="C3214:D3214"/>
    <mergeCell ref="C3232:D3232"/>
    <mergeCell ref="C3233:D3233"/>
    <mergeCell ref="C3224:D3224"/>
    <mergeCell ref="C3225:D3225"/>
    <mergeCell ref="C3247:D3247"/>
    <mergeCell ref="C3246:D3246"/>
    <mergeCell ref="C3248:D3248"/>
    <mergeCell ref="C3279:D3279"/>
    <mergeCell ref="C3280:D3280"/>
    <mergeCell ref="C3261:D3261"/>
    <mergeCell ref="C3262:D3262"/>
    <mergeCell ref="C3263:D3263"/>
    <mergeCell ref="C3264:D3264"/>
    <mergeCell ref="C3266:D3266"/>
    <mergeCell ref="C3267:D3267"/>
    <mergeCell ref="C3265:D3265"/>
    <mergeCell ref="C3295:D3295"/>
    <mergeCell ref="C3296:D3296"/>
    <mergeCell ref="C3297:D3297"/>
    <mergeCell ref="C3300:D3300"/>
    <mergeCell ref="C3291:D3291"/>
    <mergeCell ref="C3292:D3292"/>
    <mergeCell ref="C3283:D3283"/>
    <mergeCell ref="C3284:D3284"/>
    <mergeCell ref="C3281:D3281"/>
    <mergeCell ref="C3282:D3282"/>
    <mergeCell ref="C3294:D3294"/>
    <mergeCell ref="C3277:D3277"/>
    <mergeCell ref="C3278:D3278"/>
    <mergeCell ref="C3190:D3190"/>
    <mergeCell ref="C3198:D3198"/>
    <mergeCell ref="C3199:D3199"/>
    <mergeCell ref="C3191:D3191"/>
    <mergeCell ref="C3192:D3192"/>
    <mergeCell ref="C3193:D3193"/>
    <mergeCell ref="C3194:D3194"/>
    <mergeCell ref="C3215:D3215"/>
    <mergeCell ref="C3216:D3216"/>
    <mergeCell ref="C3197:D3197"/>
    <mergeCell ref="A3188:A3202"/>
    <mergeCell ref="A3204:D3204"/>
    <mergeCell ref="B3200:B3202"/>
    <mergeCell ref="B3217:B3219"/>
    <mergeCell ref="A3205:A3219"/>
    <mergeCell ref="C3206:D3206"/>
    <mergeCell ref="A3221:D3221"/>
    <mergeCell ref="C3189:D3189"/>
    <mergeCell ref="C3249:D3249"/>
    <mergeCell ref="C3243:D3243"/>
    <mergeCell ref="C3244:D3244"/>
    <mergeCell ref="C3245:D3245"/>
    <mergeCell ref="C3257:D3257"/>
    <mergeCell ref="C3258:D3258"/>
    <mergeCell ref="C3259:D3259"/>
    <mergeCell ref="C3260:D3260"/>
    <mergeCell ref="C3250:D3250"/>
    <mergeCell ref="C3274:D3274"/>
    <mergeCell ref="C3520:D3520"/>
    <mergeCell ref="C3521:D3521"/>
    <mergeCell ref="C3522:D3522"/>
    <mergeCell ref="C3538:D3538"/>
    <mergeCell ref="A3528:A3542"/>
    <mergeCell ref="B3523:B3525"/>
    <mergeCell ref="A3511:A3525"/>
    <mergeCell ref="B3540:B3542"/>
    <mergeCell ref="C3484:D3484"/>
    <mergeCell ref="C3487:D3487"/>
    <mergeCell ref="C3486:D3486"/>
    <mergeCell ref="C3495:D3495"/>
    <mergeCell ref="C3496:D3496"/>
    <mergeCell ref="C3516:D3516"/>
    <mergeCell ref="C3517:D3517"/>
    <mergeCell ref="C3519:D3519"/>
    <mergeCell ref="C3518:D3518"/>
    <mergeCell ref="C3505:D3505"/>
    <mergeCell ref="B3506:B3508"/>
    <mergeCell ref="C3515:D3515"/>
    <mergeCell ref="C3502:D3502"/>
    <mergeCell ref="C3503:D3503"/>
    <mergeCell ref="C3383:D3383"/>
    <mergeCell ref="C3384:D3384"/>
    <mergeCell ref="C3385:D3385"/>
    <mergeCell ref="C3386:D3386"/>
    <mergeCell ref="B3387:B3389"/>
    <mergeCell ref="A3375:A3389"/>
    <mergeCell ref="A3409:A3423"/>
    <mergeCell ref="A3392:A3406"/>
    <mergeCell ref="C3377:D3377"/>
    <mergeCell ref="C3452:D3452"/>
    <mergeCell ref="C3453:D3453"/>
    <mergeCell ref="A3391:D3391"/>
    <mergeCell ref="C3429:D3429"/>
    <mergeCell ref="C3434:D3434"/>
    <mergeCell ref="C3427:D3427"/>
    <mergeCell ref="B3472:B3474"/>
    <mergeCell ref="C3347:D3347"/>
    <mergeCell ref="A3357:D3357"/>
    <mergeCell ref="B3404:B3406"/>
    <mergeCell ref="C3417:D3417"/>
    <mergeCell ref="C3437:D3437"/>
    <mergeCell ref="C3444:D3444"/>
    <mergeCell ref="C3381:D3381"/>
    <mergeCell ref="C3414:D3414"/>
    <mergeCell ref="C3415:D3415"/>
    <mergeCell ref="C3301:D3301"/>
    <mergeCell ref="C3293:D3293"/>
    <mergeCell ref="C3446:D3446"/>
    <mergeCell ref="C3447:D3447"/>
    <mergeCell ref="C3448:D3448"/>
    <mergeCell ref="C3449:D3449"/>
    <mergeCell ref="C3430:D3430"/>
    <mergeCell ref="C3431:D3431"/>
    <mergeCell ref="C3393:D3393"/>
    <mergeCell ref="C3394:D3394"/>
    <mergeCell ref="C3395:D3395"/>
    <mergeCell ref="C3432:D3432"/>
    <mergeCell ref="C3433:D3433"/>
    <mergeCell ref="C3330:D3330"/>
    <mergeCell ref="B3336:B3338"/>
    <mergeCell ref="A3324:A3338"/>
    <mergeCell ref="A3340:D3340"/>
    <mergeCell ref="A3323:D3323"/>
    <mergeCell ref="A3425:D3425"/>
    <mergeCell ref="C3403:D3403"/>
    <mergeCell ref="A3408:D3408"/>
    <mergeCell ref="C3402:D3402"/>
    <mergeCell ref="C3428:D3428"/>
    <mergeCell ref="C3396:D3396"/>
    <mergeCell ref="C3397:D3397"/>
    <mergeCell ref="C3398:D3398"/>
    <mergeCell ref="C3399:D3399"/>
    <mergeCell ref="C3400:D3400"/>
    <mergeCell ref="C3401:D3401"/>
    <mergeCell ref="C3416:D3416"/>
    <mergeCell ref="B3421:B3423"/>
    <mergeCell ref="C3418:D34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09"/>
  <sheetViews>
    <sheetView topLeftCell="A2909" workbookViewId="0">
      <selection activeCell="D2940" sqref="D2940"/>
    </sheetView>
  </sheetViews>
  <sheetFormatPr defaultColWidth="14.42578125" defaultRowHeight="15" customHeight="1" x14ac:dyDescent="0.2"/>
  <cols>
    <col min="1" max="1" width="18" customWidth="1"/>
    <col min="2" max="2" width="12.85546875" customWidth="1"/>
    <col min="3" max="3" width="9.140625" customWidth="1"/>
    <col min="4" max="4" width="18.140625" customWidth="1"/>
    <col min="5" max="26" width="8" customWidth="1"/>
  </cols>
  <sheetData>
    <row r="1" spans="1:4" ht="12.75" customHeight="1" x14ac:dyDescent="0.2">
      <c r="A1" s="22" t="str">
        <f>HYPERLINK("javascript:void(0)","antigrav bigyó")</f>
        <v>antigrav bigyó</v>
      </c>
      <c r="B1" s="21"/>
      <c r="C1" s="21"/>
      <c r="D1" s="21"/>
    </row>
    <row r="2" spans="1:4" ht="12.75" customHeight="1" x14ac:dyDescent="0.2">
      <c r="A2" s="20"/>
      <c r="B2" s="2"/>
      <c r="C2" s="2"/>
      <c r="D2" s="2"/>
    </row>
    <row r="3" spans="1:4" ht="12.75" customHeight="1" x14ac:dyDescent="0.2">
      <c r="A3" s="21"/>
      <c r="B3" s="3" t="s">
        <v>0</v>
      </c>
      <c r="C3" s="20" t="s">
        <v>1</v>
      </c>
      <c r="D3" s="21"/>
    </row>
    <row r="4" spans="1:4" ht="12.75" customHeight="1" x14ac:dyDescent="0.2">
      <c r="A4" s="21"/>
      <c r="B4" s="3" t="s">
        <v>2</v>
      </c>
      <c r="C4" s="20" t="s">
        <v>1839</v>
      </c>
      <c r="D4" s="21"/>
    </row>
    <row r="5" spans="1:4" ht="12.75" customHeight="1" x14ac:dyDescent="0.2">
      <c r="A5" s="21"/>
      <c r="B5" s="3" t="s">
        <v>1840</v>
      </c>
      <c r="C5" s="20" t="s">
        <v>21</v>
      </c>
      <c r="D5" s="21"/>
    </row>
    <row r="6" spans="1:4" ht="12.75" customHeight="1" x14ac:dyDescent="0.2">
      <c r="A6" s="21"/>
      <c r="B6" s="3" t="s">
        <v>9</v>
      </c>
      <c r="C6" s="20" t="s">
        <v>1841</v>
      </c>
      <c r="D6" s="21"/>
    </row>
    <row r="7" spans="1:4" ht="12.75" customHeight="1" x14ac:dyDescent="0.2">
      <c r="A7" s="21"/>
      <c r="B7" s="3" t="s">
        <v>11</v>
      </c>
      <c r="C7" s="20" t="s">
        <v>23</v>
      </c>
      <c r="D7" s="21"/>
    </row>
    <row r="8" spans="1:4" ht="12.75" customHeight="1" x14ac:dyDescent="0.2">
      <c r="A8" s="21"/>
      <c r="B8" s="3" t="s">
        <v>16</v>
      </c>
      <c r="C8" s="20"/>
      <c r="D8" s="21"/>
    </row>
    <row r="9" spans="1:4" ht="12.75" customHeight="1" x14ac:dyDescent="0.2">
      <c r="A9" s="21"/>
      <c r="B9" s="3" t="s">
        <v>17</v>
      </c>
      <c r="C9" s="20" t="s">
        <v>19</v>
      </c>
      <c r="D9" s="21"/>
    </row>
    <row r="10" spans="1:4" ht="12.75" customHeight="1" x14ac:dyDescent="0.2">
      <c r="A10" s="21"/>
      <c r="B10" s="20" t="s">
        <v>18</v>
      </c>
      <c r="C10" s="4" t="s">
        <v>44</v>
      </c>
      <c r="D10" s="6" t="str">
        <f>HYPERLINK("javascript:void(0)","idegen szerkentyű")</f>
        <v>idegen szerkentyű</v>
      </c>
    </row>
    <row r="11" spans="1:4" ht="12.75" customHeight="1" x14ac:dyDescent="0.2">
      <c r="A11" s="21"/>
      <c r="B11" s="21"/>
      <c r="C11" s="4" t="s">
        <v>44</v>
      </c>
      <c r="D11" s="6" t="str">
        <f>HYPERLINK("javascript:void(0)","idegen kütyü")</f>
        <v>idegen kütyü</v>
      </c>
    </row>
    <row r="12" spans="1:4" ht="12.75" customHeight="1" x14ac:dyDescent="0.2">
      <c r="A12" s="21"/>
      <c r="B12" s="21"/>
      <c r="C12" s="4" t="s">
        <v>44</v>
      </c>
      <c r="D12" s="6" t="str">
        <f>HYPERLINK("javascript:void(0)","idegen bizgentyű")</f>
        <v>idegen bizgentyű</v>
      </c>
    </row>
    <row r="13" spans="1:4" ht="12.75" customHeight="1" x14ac:dyDescent="0.2">
      <c r="A13" s="21"/>
      <c r="B13" s="2"/>
      <c r="C13" s="2"/>
      <c r="D13" s="2"/>
    </row>
    <row r="14" spans="1:4" ht="12.75" customHeight="1" x14ac:dyDescent="0.2">
      <c r="A14" s="21"/>
      <c r="B14" s="2"/>
      <c r="C14" s="2"/>
      <c r="D14" s="2"/>
    </row>
    <row r="15" spans="1:4" ht="12.75" customHeight="1" x14ac:dyDescent="0.2">
      <c r="A15" s="21"/>
      <c r="B15" s="2"/>
      <c r="C15" s="2"/>
      <c r="D15" s="2"/>
    </row>
    <row r="16" spans="1:4" ht="12.75" customHeight="1" x14ac:dyDescent="0.2">
      <c r="A16" s="21"/>
      <c r="B16" s="2"/>
      <c r="C16" s="2"/>
      <c r="D16" s="2"/>
    </row>
    <row r="17" spans="1:4" ht="12.75" customHeight="1" x14ac:dyDescent="0.2">
      <c r="A17" s="5"/>
      <c r="B17" s="2"/>
      <c r="C17" s="2"/>
      <c r="D17" s="2"/>
    </row>
    <row r="18" spans="1:4" ht="12.75" customHeight="1" x14ac:dyDescent="0.2">
      <c r="A18" s="22" t="str">
        <f>HYPERLINK("javascript:void(0)","háztoldalék")</f>
        <v>háztoldalék</v>
      </c>
      <c r="B18" s="21"/>
      <c r="C18" s="21"/>
      <c r="D18" s="21"/>
    </row>
    <row r="19" spans="1:4" ht="12.75" customHeight="1" x14ac:dyDescent="0.2">
      <c r="A19" s="20"/>
      <c r="B19" s="2"/>
      <c r="C19" s="2"/>
      <c r="D19" s="2"/>
    </row>
    <row r="20" spans="1:4" ht="12.75" customHeight="1" x14ac:dyDescent="0.2">
      <c r="A20" s="21"/>
      <c r="B20" s="3" t="s">
        <v>0</v>
      </c>
      <c r="C20" s="20" t="s">
        <v>1</v>
      </c>
      <c r="D20" s="21"/>
    </row>
    <row r="21" spans="1:4" ht="12.75" customHeight="1" x14ac:dyDescent="0.2">
      <c r="A21" s="21"/>
      <c r="B21" s="3" t="s">
        <v>2</v>
      </c>
      <c r="C21" s="20" t="s">
        <v>1839</v>
      </c>
      <c r="D21" s="21"/>
    </row>
    <row r="22" spans="1:4" ht="12.75" customHeight="1" x14ac:dyDescent="0.2">
      <c r="A22" s="21"/>
      <c r="B22" s="3" t="s">
        <v>1840</v>
      </c>
      <c r="C22" s="20" t="s">
        <v>21</v>
      </c>
      <c r="D22" s="21"/>
    </row>
    <row r="23" spans="1:4" ht="12.75" customHeight="1" x14ac:dyDescent="0.2">
      <c r="A23" s="21"/>
      <c r="B23" s="3" t="s">
        <v>9</v>
      </c>
      <c r="C23" s="20" t="s">
        <v>250</v>
      </c>
      <c r="D23" s="21"/>
    </row>
    <row r="24" spans="1:4" ht="12.75" customHeight="1" x14ac:dyDescent="0.2">
      <c r="A24" s="21"/>
      <c r="B24" s="3" t="s">
        <v>11</v>
      </c>
      <c r="C24" s="20" t="s">
        <v>486</v>
      </c>
      <c r="D24" s="21"/>
    </row>
    <row r="25" spans="1:4" ht="12.75" customHeight="1" x14ac:dyDescent="0.2">
      <c r="A25" s="21"/>
      <c r="B25" s="3" t="s">
        <v>16</v>
      </c>
      <c r="C25" s="20"/>
      <c r="D25" s="21"/>
    </row>
    <row r="26" spans="1:4" ht="12.75" customHeight="1" x14ac:dyDescent="0.2">
      <c r="A26" s="21"/>
      <c r="B26" s="3" t="s">
        <v>17</v>
      </c>
      <c r="C26" s="20" t="s">
        <v>19</v>
      </c>
      <c r="D26" s="21"/>
    </row>
    <row r="27" spans="1:4" ht="12.75" customHeight="1" x14ac:dyDescent="0.2">
      <c r="A27" s="21"/>
      <c r="B27" s="20" t="s">
        <v>18</v>
      </c>
      <c r="C27" s="4" t="s">
        <v>1844</v>
      </c>
      <c r="D27" s="6" t="str">
        <f>HYPERLINK("javascript:void(0)","ezüst")</f>
        <v>ezüst</v>
      </c>
    </row>
    <row r="28" spans="1:4" ht="12.75" customHeight="1" x14ac:dyDescent="0.2">
      <c r="A28" s="21"/>
      <c r="B28" s="21"/>
      <c r="C28" s="4" t="s">
        <v>44</v>
      </c>
      <c r="D28" s="6" t="str">
        <f>HYPERLINK("javascript:void(0)","lélegző sarokkő")</f>
        <v>lélegző sarokkő</v>
      </c>
    </row>
    <row r="29" spans="1:4" ht="12.75" customHeight="1" x14ac:dyDescent="0.2">
      <c r="A29" s="21"/>
      <c r="B29" s="21"/>
      <c r="C29" s="4" t="s">
        <v>44</v>
      </c>
      <c r="D29" s="6" t="str">
        <f>HYPERLINK("javascript:void(0)","kompózium")</f>
        <v>kompózium</v>
      </c>
    </row>
    <row r="30" spans="1:4" ht="12.75" customHeight="1" x14ac:dyDescent="0.2">
      <c r="A30" s="21"/>
      <c r="B30" s="2"/>
      <c r="C30" s="2"/>
      <c r="D30" s="2"/>
    </row>
    <row r="31" spans="1:4" ht="12.75" customHeight="1" x14ac:dyDescent="0.2">
      <c r="A31" s="21"/>
      <c r="B31" s="2"/>
      <c r="C31" s="2"/>
      <c r="D31" s="2"/>
    </row>
    <row r="32" spans="1:4" ht="12.75" customHeight="1" x14ac:dyDescent="0.2">
      <c r="A32" s="21"/>
      <c r="B32" s="2"/>
      <c r="C32" s="2"/>
      <c r="D32" s="2"/>
    </row>
    <row r="33" spans="1:4" ht="12.75" customHeight="1" x14ac:dyDescent="0.2">
      <c r="A33" s="21"/>
      <c r="B33" s="2"/>
      <c r="C33" s="2"/>
      <c r="D33" s="2"/>
    </row>
    <row r="34" spans="1:4" ht="12.75" customHeight="1" x14ac:dyDescent="0.2">
      <c r="A34" s="5"/>
      <c r="B34" s="2"/>
      <c r="C34" s="2"/>
      <c r="D34" s="2"/>
    </row>
    <row r="35" spans="1:4" ht="12.75" customHeight="1" x14ac:dyDescent="0.2">
      <c r="A35" s="22" t="str">
        <f>HYPERLINK("javascript:void(0)","átokvédő pajzsocska")</f>
        <v>átokvédő pajzsocska</v>
      </c>
      <c r="B35" s="21"/>
      <c r="C35" s="21"/>
      <c r="D35" s="21"/>
    </row>
    <row r="36" spans="1:4" ht="12.75" customHeight="1" x14ac:dyDescent="0.2">
      <c r="A36" s="20"/>
      <c r="B36" s="2"/>
      <c r="C36" s="2"/>
      <c r="D36" s="2"/>
    </row>
    <row r="37" spans="1:4" ht="12.75" customHeight="1" x14ac:dyDescent="0.2">
      <c r="A37" s="21"/>
      <c r="B37" s="3" t="s">
        <v>0</v>
      </c>
      <c r="C37" s="20" t="s">
        <v>1</v>
      </c>
      <c r="D37" s="21"/>
    </row>
    <row r="38" spans="1:4" ht="12.75" customHeight="1" x14ac:dyDescent="0.2">
      <c r="A38" s="21"/>
      <c r="B38" s="3" t="s">
        <v>2</v>
      </c>
      <c r="C38" s="20" t="s">
        <v>1839</v>
      </c>
      <c r="D38" s="21"/>
    </row>
    <row r="39" spans="1:4" ht="12.75" customHeight="1" x14ac:dyDescent="0.2">
      <c r="A39" s="21"/>
      <c r="B39" s="3" t="s">
        <v>1840</v>
      </c>
      <c r="C39" s="20" t="s">
        <v>51</v>
      </c>
      <c r="D39" s="21"/>
    </row>
    <row r="40" spans="1:4" ht="12.75" customHeight="1" x14ac:dyDescent="0.2">
      <c r="A40" s="21"/>
      <c r="B40" s="3" t="s">
        <v>9</v>
      </c>
      <c r="C40" s="20" t="s">
        <v>704</v>
      </c>
      <c r="D40" s="21"/>
    </row>
    <row r="41" spans="1:4" ht="12.75" customHeight="1" x14ac:dyDescent="0.2">
      <c r="A41" s="21"/>
      <c r="B41" s="3" t="s">
        <v>11</v>
      </c>
      <c r="C41" s="20" t="s">
        <v>23</v>
      </c>
      <c r="D41" s="21"/>
    </row>
    <row r="42" spans="1:4" ht="12.75" customHeight="1" x14ac:dyDescent="0.2">
      <c r="A42" s="21"/>
      <c r="B42" s="3" t="s">
        <v>16</v>
      </c>
      <c r="C42" s="20"/>
      <c r="D42" s="21"/>
    </row>
    <row r="43" spans="1:4" ht="12.75" customHeight="1" x14ac:dyDescent="0.2">
      <c r="A43" s="21"/>
      <c r="B43" s="3" t="s">
        <v>17</v>
      </c>
      <c r="C43" s="20" t="s">
        <v>19</v>
      </c>
      <c r="D43" s="21"/>
    </row>
    <row r="44" spans="1:4" ht="12.75" customHeight="1" x14ac:dyDescent="0.2">
      <c r="A44" s="21"/>
      <c r="B44" s="20" t="s">
        <v>18</v>
      </c>
      <c r="C44" s="4" t="s">
        <v>44</v>
      </c>
      <c r="D44" s="6" t="str">
        <f>HYPERLINK("javascript:void(0)","átokesszencia")</f>
        <v>átokesszencia</v>
      </c>
    </row>
    <row r="45" spans="1:4" ht="12.75" customHeight="1" x14ac:dyDescent="0.2">
      <c r="A45" s="21"/>
      <c r="B45" s="21"/>
      <c r="C45" s="4" t="s">
        <v>44</v>
      </c>
      <c r="D45" s="6" t="str">
        <f>HYPERLINK("javascript:void(0)","nappajzs")</f>
        <v>nappajzs</v>
      </c>
    </row>
    <row r="46" spans="1:4" ht="12.75" customHeight="1" x14ac:dyDescent="0.2">
      <c r="A46" s="21"/>
      <c r="B46" s="21"/>
      <c r="C46" s="4" t="s">
        <v>44</v>
      </c>
      <c r="D46" s="6" t="str">
        <f>HYPERLINK("javascript:void(0)","varázsfogpiszkáló")</f>
        <v>varázsfogpiszkáló</v>
      </c>
    </row>
    <row r="47" spans="1:4" ht="12.75" customHeight="1" x14ac:dyDescent="0.2">
      <c r="A47" s="21"/>
      <c r="B47" s="2"/>
      <c r="C47" s="2"/>
      <c r="D47" s="2"/>
    </row>
    <row r="48" spans="1:4" ht="12.75" customHeight="1" x14ac:dyDescent="0.2">
      <c r="A48" s="21"/>
      <c r="B48" s="2"/>
      <c r="C48" s="2"/>
      <c r="D48" s="2"/>
    </row>
    <row r="49" spans="1:4" ht="12.75" customHeight="1" x14ac:dyDescent="0.2">
      <c r="A49" s="21"/>
      <c r="B49" s="2"/>
      <c r="C49" s="2"/>
      <c r="D49" s="2"/>
    </row>
    <row r="50" spans="1:4" ht="12.75" customHeight="1" x14ac:dyDescent="0.2">
      <c r="A50" s="21"/>
      <c r="B50" s="2"/>
      <c r="C50" s="2"/>
      <c r="D50" s="2"/>
    </row>
    <row r="51" spans="1:4" ht="12.75" customHeight="1" x14ac:dyDescent="0.2">
      <c r="A51" s="5"/>
      <c r="B51" s="2"/>
      <c r="C51" s="2"/>
      <c r="D51" s="2"/>
    </row>
    <row r="52" spans="1:4" ht="12.75" customHeight="1" x14ac:dyDescent="0.2">
      <c r="A52" s="22" t="str">
        <f>HYPERLINK("javascript:void(0)","alváz")</f>
        <v>alváz</v>
      </c>
      <c r="B52" s="21"/>
      <c r="C52" s="21"/>
      <c r="D52" s="21"/>
    </row>
    <row r="53" spans="1:4" ht="12.75" customHeight="1" x14ac:dyDescent="0.2">
      <c r="A53" s="20"/>
      <c r="B53" s="2"/>
      <c r="C53" s="2"/>
      <c r="D53" s="2"/>
    </row>
    <row r="54" spans="1:4" ht="12.75" customHeight="1" x14ac:dyDescent="0.2">
      <c r="A54" s="21"/>
      <c r="B54" s="3" t="s">
        <v>0</v>
      </c>
      <c r="C54" s="20" t="s">
        <v>1</v>
      </c>
      <c r="D54" s="21"/>
    </row>
    <row r="55" spans="1:4" ht="12.75" customHeight="1" x14ac:dyDescent="0.2">
      <c r="A55" s="21"/>
      <c r="B55" s="3" t="s">
        <v>2</v>
      </c>
      <c r="C55" s="20" t="s">
        <v>1839</v>
      </c>
      <c r="D55" s="21"/>
    </row>
    <row r="56" spans="1:4" ht="12.75" customHeight="1" x14ac:dyDescent="0.2">
      <c r="A56" s="21"/>
      <c r="B56" s="3" t="s">
        <v>1840</v>
      </c>
      <c r="C56" s="20" t="s">
        <v>21</v>
      </c>
      <c r="D56" s="21"/>
    </row>
    <row r="57" spans="1:4" ht="12.75" customHeight="1" x14ac:dyDescent="0.2">
      <c r="A57" s="21"/>
      <c r="B57" s="3" t="s">
        <v>9</v>
      </c>
      <c r="C57" s="20" t="s">
        <v>250</v>
      </c>
      <c r="D57" s="21"/>
    </row>
    <row r="58" spans="1:4" ht="12.75" customHeight="1" x14ac:dyDescent="0.2">
      <c r="A58" s="21"/>
      <c r="B58" s="3" t="s">
        <v>11</v>
      </c>
      <c r="C58" s="20" t="s">
        <v>1084</v>
      </c>
      <c r="D58" s="21"/>
    </row>
    <row r="59" spans="1:4" ht="12.75" customHeight="1" x14ac:dyDescent="0.2">
      <c r="A59" s="21"/>
      <c r="B59" s="3" t="s">
        <v>16</v>
      </c>
      <c r="C59" s="20"/>
      <c r="D59" s="21"/>
    </row>
    <row r="60" spans="1:4" ht="12.75" customHeight="1" x14ac:dyDescent="0.2">
      <c r="A60" s="21"/>
      <c r="B60" s="3" t="s">
        <v>17</v>
      </c>
      <c r="C60" s="20" t="s">
        <v>19</v>
      </c>
      <c r="D60" s="21"/>
    </row>
    <row r="61" spans="1:4" ht="12.75" customHeight="1" x14ac:dyDescent="0.2">
      <c r="A61" s="21"/>
      <c r="B61" s="20" t="s">
        <v>18</v>
      </c>
      <c r="C61" s="4" t="s">
        <v>55</v>
      </c>
      <c r="D61" s="6" t="str">
        <f>HYPERLINK("javascript:void(0)","skivei bot")</f>
        <v>skivei bot</v>
      </c>
    </row>
    <row r="62" spans="1:4" ht="12.75" customHeight="1" x14ac:dyDescent="0.2">
      <c r="A62" s="21"/>
      <c r="B62" s="21"/>
      <c r="C62" s="4" t="s">
        <v>139</v>
      </c>
      <c r="D62" s="6" t="str">
        <f>HYPERLINK("javascript:void(0)","ércragacs")</f>
        <v>ércragacs</v>
      </c>
    </row>
    <row r="63" spans="1:4" ht="12.75" customHeight="1" x14ac:dyDescent="0.2">
      <c r="A63" s="21"/>
      <c r="B63" s="21"/>
      <c r="C63" s="4" t="s">
        <v>67</v>
      </c>
      <c r="D63" s="6" t="str">
        <f>HYPERLINK("javascript:void(0)","lepkeszárny")</f>
        <v>lepkeszárny</v>
      </c>
    </row>
    <row r="64" spans="1:4" ht="12.75" customHeight="1" x14ac:dyDescent="0.2">
      <c r="A64" s="21"/>
      <c r="B64" s="2"/>
      <c r="C64" s="2"/>
      <c r="D64" s="2"/>
    </row>
    <row r="65" spans="1:4" ht="12.75" customHeight="1" x14ac:dyDescent="0.2">
      <c r="A65" s="21"/>
      <c r="B65" s="2"/>
      <c r="C65" s="2"/>
      <c r="D65" s="2"/>
    </row>
    <row r="66" spans="1:4" ht="12.75" customHeight="1" x14ac:dyDescent="0.2">
      <c r="A66" s="21"/>
      <c r="B66" s="2"/>
      <c r="C66" s="2"/>
      <c r="D66" s="2"/>
    </row>
    <row r="67" spans="1:4" ht="12.75" customHeight="1" x14ac:dyDescent="0.2">
      <c r="A67" s="21"/>
      <c r="B67" s="2"/>
      <c r="C67" s="2"/>
      <c r="D67" s="2"/>
    </row>
    <row r="68" spans="1:4" ht="12.75" customHeight="1" x14ac:dyDescent="0.2">
      <c r="A68" s="5"/>
      <c r="B68" s="2"/>
      <c r="C68" s="2"/>
      <c r="D68" s="2"/>
    </row>
    <row r="69" spans="1:4" ht="12.75" customHeight="1" x14ac:dyDescent="0.2">
      <c r="A69" s="22" t="str">
        <f>HYPERLINK("javascript:void(0)","felváz")</f>
        <v>felváz</v>
      </c>
      <c r="B69" s="21"/>
      <c r="C69" s="21"/>
      <c r="D69" s="21"/>
    </row>
    <row r="70" spans="1:4" ht="12.75" customHeight="1" x14ac:dyDescent="0.2">
      <c r="A70" s="20"/>
      <c r="B70" s="2"/>
      <c r="C70" s="2"/>
      <c r="D70" s="2"/>
    </row>
    <row r="71" spans="1:4" ht="12.75" customHeight="1" x14ac:dyDescent="0.2">
      <c r="A71" s="21"/>
      <c r="B71" s="3" t="s">
        <v>0</v>
      </c>
      <c r="C71" s="20" t="s">
        <v>1</v>
      </c>
      <c r="D71" s="21"/>
    </row>
    <row r="72" spans="1:4" ht="12.75" customHeight="1" x14ac:dyDescent="0.2">
      <c r="A72" s="21"/>
      <c r="B72" s="3" t="s">
        <v>2</v>
      </c>
      <c r="C72" s="20" t="s">
        <v>1839</v>
      </c>
      <c r="D72" s="21"/>
    </row>
    <row r="73" spans="1:4" ht="12.75" customHeight="1" x14ac:dyDescent="0.2">
      <c r="A73" s="21"/>
      <c r="B73" s="3" t="s">
        <v>1840</v>
      </c>
      <c r="C73" s="20" t="s">
        <v>21</v>
      </c>
      <c r="D73" s="21"/>
    </row>
    <row r="74" spans="1:4" ht="12.75" customHeight="1" x14ac:dyDescent="0.2">
      <c r="A74" s="21"/>
      <c r="B74" s="3" t="s">
        <v>9</v>
      </c>
      <c r="C74" s="20" t="s">
        <v>1824</v>
      </c>
      <c r="D74" s="21"/>
    </row>
    <row r="75" spans="1:4" ht="12.75" customHeight="1" x14ac:dyDescent="0.2">
      <c r="A75" s="21"/>
      <c r="B75" s="3" t="s">
        <v>11</v>
      </c>
      <c r="C75" s="20" t="s">
        <v>530</v>
      </c>
      <c r="D75" s="21"/>
    </row>
    <row r="76" spans="1:4" ht="12.75" customHeight="1" x14ac:dyDescent="0.2">
      <c r="A76" s="21"/>
      <c r="B76" s="3" t="s">
        <v>16</v>
      </c>
      <c r="C76" s="20"/>
      <c r="D76" s="21"/>
    </row>
    <row r="77" spans="1:4" ht="12.75" customHeight="1" x14ac:dyDescent="0.2">
      <c r="A77" s="21"/>
      <c r="B77" s="3" t="s">
        <v>17</v>
      </c>
      <c r="C77" s="20" t="s">
        <v>19</v>
      </c>
      <c r="D77" s="21"/>
    </row>
    <row r="78" spans="1:4" ht="12.75" customHeight="1" x14ac:dyDescent="0.2">
      <c r="A78" s="21"/>
      <c r="B78" s="20" t="s">
        <v>18</v>
      </c>
      <c r="C78" s="4" t="s">
        <v>106</v>
      </c>
      <c r="D78" s="6" t="str">
        <f>HYPERLINK("javascript:void(0)","madártoll")</f>
        <v>madártoll</v>
      </c>
    </row>
    <row r="79" spans="1:4" ht="12.75" customHeight="1" x14ac:dyDescent="0.2">
      <c r="A79" s="21"/>
      <c r="B79" s="21"/>
      <c r="C79" s="4" t="s">
        <v>57</v>
      </c>
      <c r="D79" s="6" t="str">
        <f>HYPERLINK("javascript:void(0)","dadacsiganyál")</f>
        <v>dadacsiganyál</v>
      </c>
    </row>
    <row r="80" spans="1:4" ht="12.75" customHeight="1" x14ac:dyDescent="0.2">
      <c r="A80" s="21"/>
      <c r="B80" s="21"/>
      <c r="C80" s="4" t="s">
        <v>44</v>
      </c>
      <c r="D80" s="6" t="str">
        <f>HYPERLINK("javascript:void(0)","alváz")</f>
        <v>alváz</v>
      </c>
    </row>
    <row r="81" spans="1:4" ht="12.75" customHeight="1" x14ac:dyDescent="0.2">
      <c r="A81" s="21"/>
      <c r="B81" s="2"/>
      <c r="C81" s="2"/>
      <c r="D81" s="2"/>
    </row>
    <row r="82" spans="1:4" ht="12.75" customHeight="1" x14ac:dyDescent="0.2">
      <c r="A82" s="21"/>
      <c r="B82" s="2"/>
      <c r="C82" s="2"/>
      <c r="D82" s="2"/>
    </row>
    <row r="83" spans="1:4" ht="12.75" customHeight="1" x14ac:dyDescent="0.2">
      <c r="A83" s="21"/>
      <c r="B83" s="2"/>
      <c r="C83" s="2"/>
      <c r="D83" s="2"/>
    </row>
    <row r="84" spans="1:4" ht="12.75" customHeight="1" x14ac:dyDescent="0.2">
      <c r="A84" s="21"/>
      <c r="B84" s="2"/>
      <c r="C84" s="2"/>
      <c r="D84" s="2"/>
    </row>
    <row r="85" spans="1:4" ht="12.75" customHeight="1" x14ac:dyDescent="0.2">
      <c r="A85" s="5"/>
      <c r="B85" s="2"/>
      <c r="C85" s="2"/>
      <c r="D85" s="2"/>
    </row>
    <row r="86" spans="1:4" ht="12.75" customHeight="1" x14ac:dyDescent="0.2">
      <c r="A86" s="22" t="str">
        <f>HYPERLINK("javascript:void(0)","csalimadár")</f>
        <v>csalimadár</v>
      </c>
      <c r="B86" s="21"/>
      <c r="C86" s="21"/>
      <c r="D86" s="21"/>
    </row>
    <row r="87" spans="1:4" ht="12.75" customHeight="1" x14ac:dyDescent="0.2">
      <c r="A87" s="20"/>
      <c r="B87" s="2"/>
      <c r="C87" s="2"/>
      <c r="D87" s="2"/>
    </row>
    <row r="88" spans="1:4" ht="12.75" customHeight="1" x14ac:dyDescent="0.2">
      <c r="A88" s="21"/>
      <c r="B88" s="3" t="s">
        <v>0</v>
      </c>
      <c r="C88" s="20" t="s">
        <v>1</v>
      </c>
      <c r="D88" s="21"/>
    </row>
    <row r="89" spans="1:4" ht="12.75" customHeight="1" x14ac:dyDescent="0.2">
      <c r="A89" s="21"/>
      <c r="B89" s="3" t="s">
        <v>2</v>
      </c>
      <c r="C89" s="20" t="s">
        <v>1839</v>
      </c>
      <c r="D89" s="21"/>
    </row>
    <row r="90" spans="1:4" ht="12.75" customHeight="1" x14ac:dyDescent="0.2">
      <c r="A90" s="21"/>
      <c r="B90" s="3" t="s">
        <v>1840</v>
      </c>
      <c r="C90" s="20" t="s">
        <v>21</v>
      </c>
      <c r="D90" s="21"/>
    </row>
    <row r="91" spans="1:4" ht="12.75" customHeight="1" x14ac:dyDescent="0.2">
      <c r="A91" s="21"/>
      <c r="B91" s="3" t="s">
        <v>9</v>
      </c>
      <c r="C91" s="20" t="s">
        <v>131</v>
      </c>
      <c r="D91" s="21"/>
    </row>
    <row r="92" spans="1:4" ht="12.75" customHeight="1" x14ac:dyDescent="0.2">
      <c r="A92" s="21"/>
      <c r="B92" s="3" t="s">
        <v>11</v>
      </c>
      <c r="C92" s="20" t="s">
        <v>23</v>
      </c>
      <c r="D92" s="21"/>
    </row>
    <row r="93" spans="1:4" ht="12.75" customHeight="1" x14ac:dyDescent="0.2">
      <c r="A93" s="21"/>
      <c r="B93" s="3" t="s">
        <v>16</v>
      </c>
      <c r="C93" s="20"/>
      <c r="D93" s="21"/>
    </row>
    <row r="94" spans="1:4" ht="12.75" customHeight="1" x14ac:dyDescent="0.2">
      <c r="A94" s="21"/>
      <c r="B94" s="3" t="s">
        <v>17</v>
      </c>
      <c r="C94" s="20" t="s">
        <v>19</v>
      </c>
      <c r="D94" s="21"/>
    </row>
    <row r="95" spans="1:4" ht="12.75" customHeight="1" x14ac:dyDescent="0.2">
      <c r="A95" s="21"/>
      <c r="B95" s="20" t="s">
        <v>18</v>
      </c>
      <c r="C95" s="4" t="s">
        <v>44</v>
      </c>
      <c r="D95" s="6" t="str">
        <f>HYPERLINK("javascript:void(0)","felváz")</f>
        <v>felváz</v>
      </c>
    </row>
    <row r="96" spans="1:4" ht="12.75" customHeight="1" x14ac:dyDescent="0.2">
      <c r="A96" s="21"/>
      <c r="B96" s="21"/>
      <c r="C96" s="4" t="s">
        <v>44</v>
      </c>
      <c r="D96" s="6" t="str">
        <f>HYPERLINK("javascript:void(0)","átokesszencia")</f>
        <v>átokesszencia</v>
      </c>
    </row>
    <row r="97" spans="1:4" ht="12.75" customHeight="1" x14ac:dyDescent="0.2">
      <c r="A97" s="21"/>
      <c r="B97" s="21"/>
      <c r="C97" s="4" t="s">
        <v>44</v>
      </c>
      <c r="D97" s="6" t="str">
        <f>HYPERLINK("javascript:void(0)","dadacsiganyál")</f>
        <v>dadacsiganyál</v>
      </c>
    </row>
    <row r="98" spans="1:4" ht="12.75" customHeight="1" x14ac:dyDescent="0.2">
      <c r="A98" s="21"/>
      <c r="B98" s="2"/>
      <c r="C98" s="2"/>
      <c r="D98" s="2"/>
    </row>
    <row r="99" spans="1:4" ht="12.75" customHeight="1" x14ac:dyDescent="0.2">
      <c r="A99" s="21"/>
      <c r="B99" s="2"/>
      <c r="C99" s="2"/>
      <c r="D99" s="2"/>
    </row>
    <row r="100" spans="1:4" ht="12.75" customHeight="1" x14ac:dyDescent="0.2">
      <c r="A100" s="21"/>
      <c r="B100" s="2"/>
      <c r="C100" s="2"/>
      <c r="D100" s="2"/>
    </row>
    <row r="101" spans="1:4" ht="12.75" customHeight="1" x14ac:dyDescent="0.2">
      <c r="A101" s="21"/>
      <c r="B101" s="2"/>
      <c r="C101" s="2"/>
      <c r="D101" s="2"/>
    </row>
    <row r="102" spans="1:4" ht="12.75" customHeight="1" x14ac:dyDescent="0.2">
      <c r="A102" s="5"/>
      <c r="B102" s="2"/>
      <c r="C102" s="2"/>
      <c r="D102" s="2"/>
    </row>
    <row r="103" spans="1:4" ht="12.75" customHeight="1" x14ac:dyDescent="0.2">
      <c r="A103" s="22" t="str">
        <f>HYPERLINK("javascript:void(0)","Palimadár")</f>
        <v>Palimadár</v>
      </c>
      <c r="B103" s="21"/>
      <c r="C103" s="21"/>
      <c r="D103" s="21"/>
    </row>
    <row r="104" spans="1:4" ht="12.75" customHeight="1" x14ac:dyDescent="0.2">
      <c r="A104" s="20"/>
      <c r="B104" s="2"/>
      <c r="C104" s="2"/>
      <c r="D104" s="2"/>
    </row>
    <row r="105" spans="1:4" ht="12.75" customHeight="1" x14ac:dyDescent="0.2">
      <c r="A105" s="21"/>
      <c r="B105" s="3" t="s">
        <v>0</v>
      </c>
      <c r="C105" s="20" t="s">
        <v>1</v>
      </c>
      <c r="D105" s="21"/>
    </row>
    <row r="106" spans="1:4" ht="12.75" customHeight="1" x14ac:dyDescent="0.2">
      <c r="A106" s="21"/>
      <c r="B106" s="3" t="s">
        <v>2</v>
      </c>
      <c r="C106" s="20" t="s">
        <v>1839</v>
      </c>
      <c r="D106" s="21"/>
    </row>
    <row r="107" spans="1:4" ht="12.75" customHeight="1" x14ac:dyDescent="0.2">
      <c r="A107" s="21"/>
      <c r="B107" s="3" t="s">
        <v>1840</v>
      </c>
      <c r="C107" s="20" t="s">
        <v>21</v>
      </c>
      <c r="D107" s="21"/>
    </row>
    <row r="108" spans="1:4" ht="12.75" customHeight="1" x14ac:dyDescent="0.2">
      <c r="A108" s="21"/>
      <c r="B108" s="3" t="s">
        <v>9</v>
      </c>
      <c r="C108" s="20" t="s">
        <v>27</v>
      </c>
      <c r="D108" s="21"/>
    </row>
    <row r="109" spans="1:4" ht="12.75" customHeight="1" x14ac:dyDescent="0.2">
      <c r="A109" s="21"/>
      <c r="B109" s="3" t="s">
        <v>11</v>
      </c>
      <c r="C109" s="20" t="s">
        <v>23</v>
      </c>
      <c r="D109" s="21"/>
    </row>
    <row r="110" spans="1:4" ht="12.75" customHeight="1" x14ac:dyDescent="0.2">
      <c r="A110" s="21"/>
      <c r="B110" s="3" t="s">
        <v>16</v>
      </c>
      <c r="C110" s="20"/>
      <c r="D110" s="21"/>
    </row>
    <row r="111" spans="1:4" ht="12.75" customHeight="1" x14ac:dyDescent="0.2">
      <c r="A111" s="21"/>
      <c r="B111" s="3" t="s">
        <v>17</v>
      </c>
      <c r="C111" s="20" t="s">
        <v>19</v>
      </c>
      <c r="D111" s="21"/>
    </row>
    <row r="112" spans="1:4" ht="12.75" customHeight="1" x14ac:dyDescent="0.2">
      <c r="A112" s="21"/>
      <c r="B112" s="20" t="s">
        <v>18</v>
      </c>
      <c r="C112" s="4" t="s">
        <v>44</v>
      </c>
      <c r="D112" s="6" t="str">
        <f>HYPERLINK("javascript:void(0)","csalimadár")</f>
        <v>csalimadár</v>
      </c>
    </row>
    <row r="113" spans="1:4" ht="12.75" customHeight="1" x14ac:dyDescent="0.2">
      <c r="A113" s="21"/>
      <c r="B113" s="21"/>
      <c r="C113" s="4" t="s">
        <v>193</v>
      </c>
      <c r="D113" s="6" t="str">
        <f>HYPERLINK("javascript:void(0)","ércragacs")</f>
        <v>ércragacs</v>
      </c>
    </row>
    <row r="114" spans="1:4" ht="12.75" customHeight="1" x14ac:dyDescent="0.2">
      <c r="A114" s="21"/>
      <c r="B114" s="21"/>
      <c r="C114" s="4" t="s">
        <v>44</v>
      </c>
      <c r="D114" s="6" t="str">
        <f>HYPERLINK("javascript:void(0)","fülpenge")</f>
        <v>fülpenge</v>
      </c>
    </row>
    <row r="115" spans="1:4" ht="12.75" customHeight="1" x14ac:dyDescent="0.2">
      <c r="A115" s="21"/>
      <c r="B115" s="2"/>
      <c r="C115" s="2"/>
      <c r="D115" s="2"/>
    </row>
    <row r="116" spans="1:4" ht="12.75" customHeight="1" x14ac:dyDescent="0.2">
      <c r="A116" s="21"/>
      <c r="B116" s="2"/>
      <c r="C116" s="2"/>
      <c r="D116" s="2"/>
    </row>
    <row r="117" spans="1:4" ht="12.75" customHeight="1" x14ac:dyDescent="0.2">
      <c r="A117" s="21"/>
      <c r="B117" s="2"/>
      <c r="C117" s="2"/>
      <c r="D117" s="2"/>
    </row>
    <row r="118" spans="1:4" ht="12.75" customHeight="1" x14ac:dyDescent="0.2">
      <c r="A118" s="21"/>
      <c r="B118" s="2"/>
      <c r="C118" s="2"/>
      <c r="D118" s="2"/>
    </row>
    <row r="119" spans="1:4" ht="12.75" customHeight="1" x14ac:dyDescent="0.2">
      <c r="A119" s="5"/>
      <c r="B119" s="2"/>
      <c r="C119" s="2"/>
      <c r="D119" s="2"/>
    </row>
    <row r="120" spans="1:4" ht="12.75" customHeight="1" x14ac:dyDescent="0.2">
      <c r="A120" s="22" t="str">
        <f>HYPERLINK("javascript:void(0)","varázsgolyó")</f>
        <v>varázsgolyó</v>
      </c>
      <c r="B120" s="21"/>
      <c r="C120" s="21"/>
      <c r="D120" s="21"/>
    </row>
    <row r="121" spans="1:4" ht="12.75" customHeight="1" x14ac:dyDescent="0.2">
      <c r="A121" s="20"/>
      <c r="B121" s="2"/>
      <c r="C121" s="2"/>
      <c r="D121" s="2"/>
    </row>
    <row r="122" spans="1:4" ht="12.75" customHeight="1" x14ac:dyDescent="0.2">
      <c r="A122" s="21"/>
      <c r="B122" s="3" t="s">
        <v>0</v>
      </c>
      <c r="C122" s="20" t="s">
        <v>1</v>
      </c>
      <c r="D122" s="21"/>
    </row>
    <row r="123" spans="1:4" ht="12.75" customHeight="1" x14ac:dyDescent="0.2">
      <c r="A123" s="21"/>
      <c r="B123" s="3" t="s">
        <v>2</v>
      </c>
      <c r="C123" s="20" t="s">
        <v>1839</v>
      </c>
      <c r="D123" s="21"/>
    </row>
    <row r="124" spans="1:4" ht="12.75" customHeight="1" x14ac:dyDescent="0.2">
      <c r="A124" s="21"/>
      <c r="B124" s="3" t="s">
        <v>1840</v>
      </c>
      <c r="C124" s="20" t="s">
        <v>21</v>
      </c>
      <c r="D124" s="21"/>
    </row>
    <row r="125" spans="1:4" ht="12.75" customHeight="1" x14ac:dyDescent="0.2">
      <c r="A125" s="21"/>
      <c r="B125" s="3" t="s">
        <v>9</v>
      </c>
      <c r="C125" s="20" t="s">
        <v>404</v>
      </c>
      <c r="D125" s="21"/>
    </row>
    <row r="126" spans="1:4" ht="12.75" customHeight="1" x14ac:dyDescent="0.2">
      <c r="A126" s="21"/>
      <c r="B126" s="3" t="s">
        <v>11</v>
      </c>
      <c r="C126" s="20" t="s">
        <v>1849</v>
      </c>
      <c r="D126" s="21"/>
    </row>
    <row r="127" spans="1:4" ht="12.75" customHeight="1" x14ac:dyDescent="0.2">
      <c r="A127" s="21"/>
      <c r="B127" s="3" t="s">
        <v>16</v>
      </c>
      <c r="C127" s="20"/>
      <c r="D127" s="21"/>
    </row>
    <row r="128" spans="1:4" ht="12.75" customHeight="1" x14ac:dyDescent="0.2">
      <c r="A128" s="21"/>
      <c r="B128" s="3" t="s">
        <v>17</v>
      </c>
      <c r="C128" s="20" t="s">
        <v>19</v>
      </c>
      <c r="D128" s="21"/>
    </row>
    <row r="129" spans="1:4" ht="12.75" customHeight="1" x14ac:dyDescent="0.2">
      <c r="A129" s="21"/>
      <c r="B129" s="20" t="s">
        <v>18</v>
      </c>
      <c r="C129" s="4" t="s">
        <v>44</v>
      </c>
      <c r="D129" s="6" t="str">
        <f>HYPERLINK("javascript:void(0)","varázsrög")</f>
        <v>varázsrög</v>
      </c>
    </row>
    <row r="130" spans="1:4" ht="12.75" customHeight="1" x14ac:dyDescent="0.2">
      <c r="A130" s="21"/>
      <c r="B130" s="21"/>
      <c r="C130" s="4" t="s">
        <v>56</v>
      </c>
      <c r="D130" s="6" t="str">
        <f>HYPERLINK("javascript:void(0)","kincs")</f>
        <v>kincs</v>
      </c>
    </row>
    <row r="131" spans="1:4" ht="12.75" customHeight="1" x14ac:dyDescent="0.2">
      <c r="A131" s="21"/>
      <c r="B131" s="21"/>
      <c r="C131" s="4" t="s">
        <v>44</v>
      </c>
      <c r="D131" s="6" t="str">
        <f>HYPERLINK("javascript:void(0)","gyémánt")</f>
        <v>gyémánt</v>
      </c>
    </row>
    <row r="132" spans="1:4" ht="12.75" customHeight="1" x14ac:dyDescent="0.2">
      <c r="A132" s="21"/>
      <c r="B132" s="2"/>
      <c r="C132" s="2"/>
      <c r="D132" s="2"/>
    </row>
    <row r="133" spans="1:4" ht="12.75" customHeight="1" x14ac:dyDescent="0.2">
      <c r="A133" s="21"/>
      <c r="B133" s="2"/>
      <c r="C133" s="2"/>
      <c r="D133" s="2"/>
    </row>
    <row r="134" spans="1:4" ht="12.75" customHeight="1" x14ac:dyDescent="0.2">
      <c r="A134" s="21"/>
      <c r="B134" s="2"/>
      <c r="C134" s="2"/>
      <c r="D134" s="2"/>
    </row>
    <row r="135" spans="1:4" ht="12.75" customHeight="1" x14ac:dyDescent="0.2">
      <c r="A135" s="21"/>
      <c r="B135" s="2"/>
      <c r="C135" s="2"/>
      <c r="D135" s="2"/>
    </row>
    <row r="136" spans="1:4" ht="12.75" customHeight="1" x14ac:dyDescent="0.2">
      <c r="A136" s="5"/>
      <c r="B136" s="2"/>
      <c r="C136" s="2"/>
      <c r="D136" s="2"/>
    </row>
    <row r="137" spans="1:4" ht="12.75" customHeight="1" x14ac:dyDescent="0.2">
      <c r="A137" s="22" t="str">
        <f>HYPERLINK("javascript:void(0)","csillámló törpepajzs")</f>
        <v>csillámló törpepajzs</v>
      </c>
      <c r="B137" s="21"/>
      <c r="C137" s="21"/>
      <c r="D137" s="2"/>
    </row>
    <row r="138" spans="1:4" ht="12.75" customHeight="1" x14ac:dyDescent="0.2">
      <c r="A138" s="20"/>
      <c r="B138" s="2"/>
      <c r="C138" s="2"/>
      <c r="D138" s="2"/>
    </row>
    <row r="139" spans="1:4" ht="12.75" customHeight="1" x14ac:dyDescent="0.2">
      <c r="A139" s="21"/>
      <c r="B139" s="3" t="s">
        <v>0</v>
      </c>
      <c r="C139" s="3" t="s">
        <v>1</v>
      </c>
      <c r="D139" s="2"/>
    </row>
    <row r="140" spans="1:4" ht="12.75" customHeight="1" x14ac:dyDescent="0.2">
      <c r="A140" s="21"/>
      <c r="B140" s="3" t="s">
        <v>2</v>
      </c>
      <c r="C140" s="3" t="s">
        <v>1839</v>
      </c>
      <c r="D140" s="2"/>
    </row>
    <row r="141" spans="1:4" ht="12.75" customHeight="1" x14ac:dyDescent="0.2">
      <c r="A141" s="21"/>
      <c r="B141" s="3" t="s">
        <v>1840</v>
      </c>
      <c r="C141" s="3" t="s">
        <v>1852</v>
      </c>
      <c r="D141" s="2"/>
    </row>
    <row r="142" spans="1:4" ht="12.75" customHeight="1" x14ac:dyDescent="0.2">
      <c r="A142" s="21"/>
      <c r="B142" s="3" t="s">
        <v>9</v>
      </c>
      <c r="C142" s="3" t="s">
        <v>404</v>
      </c>
      <c r="D142" s="2"/>
    </row>
    <row r="143" spans="1:4" ht="12.75" customHeight="1" x14ac:dyDescent="0.2">
      <c r="A143" s="21"/>
      <c r="B143" s="3" t="s">
        <v>11</v>
      </c>
      <c r="C143" s="3" t="s">
        <v>23</v>
      </c>
      <c r="D143" s="2"/>
    </row>
    <row r="144" spans="1:4" ht="12.75" customHeight="1" x14ac:dyDescent="0.2">
      <c r="A144" s="21"/>
      <c r="B144" s="3" t="s">
        <v>16</v>
      </c>
      <c r="C144" s="3"/>
      <c r="D144" s="2"/>
    </row>
    <row r="145" spans="1:4" ht="12.75" customHeight="1" x14ac:dyDescent="0.2">
      <c r="A145" s="21"/>
      <c r="B145" s="3" t="s">
        <v>17</v>
      </c>
      <c r="C145" s="3" t="s">
        <v>19</v>
      </c>
      <c r="D145" s="2"/>
    </row>
    <row r="146" spans="1:4" ht="12.75" customHeight="1" x14ac:dyDescent="0.2">
      <c r="A146" s="21"/>
      <c r="B146" s="3" t="s">
        <v>18</v>
      </c>
      <c r="C146" s="4" t="s">
        <v>19</v>
      </c>
      <c r="D146" s="2"/>
    </row>
    <row r="147" spans="1:4" ht="12.75" customHeight="1" x14ac:dyDescent="0.2">
      <c r="A147" s="21"/>
      <c r="B147" s="2"/>
      <c r="C147" s="2"/>
      <c r="D147" s="2"/>
    </row>
    <row r="148" spans="1:4" ht="12.75" customHeight="1" x14ac:dyDescent="0.2">
      <c r="A148" s="21"/>
      <c r="B148" s="2"/>
      <c r="C148" s="2"/>
      <c r="D148" s="2"/>
    </row>
    <row r="149" spans="1:4" ht="12.75" customHeight="1" x14ac:dyDescent="0.2">
      <c r="A149" s="21"/>
      <c r="B149" s="2"/>
      <c r="C149" s="2"/>
      <c r="D149" s="2"/>
    </row>
    <row r="150" spans="1:4" ht="12.75" customHeight="1" x14ac:dyDescent="0.2">
      <c r="A150" s="21"/>
      <c r="B150" s="2"/>
      <c r="C150" s="2"/>
      <c r="D150" s="2"/>
    </row>
    <row r="151" spans="1:4" ht="12.75" customHeight="1" x14ac:dyDescent="0.2">
      <c r="A151" s="5"/>
      <c r="B151" s="2"/>
      <c r="C151" s="2"/>
      <c r="D151" s="2"/>
    </row>
    <row r="152" spans="1:4" ht="12.75" customHeight="1" x14ac:dyDescent="0.2">
      <c r="A152" s="22" t="str">
        <f>HYPERLINK("javascript:void(0)","ezüströg")</f>
        <v>ezüströg</v>
      </c>
      <c r="B152" s="21"/>
      <c r="C152" s="21"/>
      <c r="D152" s="21"/>
    </row>
    <row r="153" spans="1:4" ht="12.75" customHeight="1" x14ac:dyDescent="0.2">
      <c r="A153" s="20"/>
      <c r="B153" s="2"/>
      <c r="C153" s="2"/>
      <c r="D153" s="2"/>
    </row>
    <row r="154" spans="1:4" ht="12.75" customHeight="1" x14ac:dyDescent="0.2">
      <c r="A154" s="21"/>
      <c r="B154" s="3" t="s">
        <v>0</v>
      </c>
      <c r="C154" s="20" t="s">
        <v>25</v>
      </c>
      <c r="D154" s="21"/>
    </row>
    <row r="155" spans="1:4" ht="12.75" customHeight="1" x14ac:dyDescent="0.2">
      <c r="A155" s="21"/>
      <c r="B155" s="3" t="s">
        <v>2</v>
      </c>
      <c r="C155" s="20" t="s">
        <v>1839</v>
      </c>
      <c r="D155" s="21"/>
    </row>
    <row r="156" spans="1:4" ht="12.75" customHeight="1" x14ac:dyDescent="0.2">
      <c r="A156" s="21"/>
      <c r="B156" s="3" t="s">
        <v>1840</v>
      </c>
      <c r="C156" s="20" t="s">
        <v>21</v>
      </c>
      <c r="D156" s="21"/>
    </row>
    <row r="157" spans="1:4" ht="12.75" customHeight="1" x14ac:dyDescent="0.2">
      <c r="A157" s="21"/>
      <c r="B157" s="3" t="s">
        <v>9</v>
      </c>
      <c r="C157" s="20" t="s">
        <v>42</v>
      </c>
      <c r="D157" s="21"/>
    </row>
    <row r="158" spans="1:4" ht="12.75" customHeight="1" x14ac:dyDescent="0.2">
      <c r="A158" s="21"/>
      <c r="B158" s="3" t="s">
        <v>11</v>
      </c>
      <c r="C158" s="20" t="s">
        <v>486</v>
      </c>
      <c r="D158" s="21"/>
    </row>
    <row r="159" spans="1:4" ht="12.75" customHeight="1" x14ac:dyDescent="0.2">
      <c r="A159" s="21"/>
      <c r="B159" s="3" t="s">
        <v>16</v>
      </c>
      <c r="C159" s="20"/>
      <c r="D159" s="21"/>
    </row>
    <row r="160" spans="1:4" ht="12.75" customHeight="1" x14ac:dyDescent="0.2">
      <c r="A160" s="21"/>
      <c r="B160" s="3" t="s">
        <v>17</v>
      </c>
      <c r="C160" s="20" t="s">
        <v>19</v>
      </c>
      <c r="D160" s="21"/>
    </row>
    <row r="161" spans="1:4" ht="12.75" customHeight="1" x14ac:dyDescent="0.2">
      <c r="A161" s="21"/>
      <c r="B161" s="20" t="s">
        <v>18</v>
      </c>
      <c r="C161" s="4" t="s">
        <v>1844</v>
      </c>
      <c r="D161" s="6" t="str">
        <f>HYPERLINK("javascript:void(0)","ezüst")</f>
        <v>ezüst</v>
      </c>
    </row>
    <row r="162" spans="1:4" ht="12.75" customHeight="1" x14ac:dyDescent="0.2">
      <c r="A162" s="21"/>
      <c r="B162" s="21"/>
      <c r="C162" s="4" t="s">
        <v>193</v>
      </c>
      <c r="D162" s="6" t="str">
        <f>HYPERLINK("javascript:void(0)","vasérc")</f>
        <v>vasérc</v>
      </c>
    </row>
    <row r="163" spans="1:4" ht="12.75" customHeight="1" x14ac:dyDescent="0.2">
      <c r="A163" s="21"/>
      <c r="B163" s="21"/>
      <c r="C163" s="4" t="s">
        <v>193</v>
      </c>
      <c r="D163" s="6" t="str">
        <f>HYPERLINK("javascript:void(0)","rézérc")</f>
        <v>rézérc</v>
      </c>
    </row>
    <row r="164" spans="1:4" ht="12.75" customHeight="1" x14ac:dyDescent="0.2">
      <c r="A164" s="21"/>
      <c r="B164" s="2"/>
      <c r="C164" s="2"/>
      <c r="D164" s="2"/>
    </row>
    <row r="165" spans="1:4" ht="12.75" customHeight="1" x14ac:dyDescent="0.2">
      <c r="A165" s="21"/>
      <c r="B165" s="2"/>
      <c r="C165" s="2"/>
      <c r="D165" s="2"/>
    </row>
    <row r="166" spans="1:4" ht="12.75" customHeight="1" x14ac:dyDescent="0.2">
      <c r="A166" s="21"/>
      <c r="B166" s="2"/>
      <c r="C166" s="2"/>
      <c r="D166" s="2"/>
    </row>
    <row r="167" spans="1:4" ht="12.75" customHeight="1" x14ac:dyDescent="0.2">
      <c r="A167" s="21"/>
      <c r="B167" s="2"/>
      <c r="C167" s="2"/>
      <c r="D167" s="2"/>
    </row>
    <row r="168" spans="1:4" ht="12.75" customHeight="1" x14ac:dyDescent="0.2">
      <c r="A168" s="5"/>
      <c r="B168" s="2"/>
      <c r="C168" s="2"/>
      <c r="D168" s="2"/>
    </row>
    <row r="169" spans="1:4" ht="12.75" customHeight="1" x14ac:dyDescent="0.2">
      <c r="A169" s="22" t="str">
        <f>HYPERLINK("javascript:void(0)","építőkő")</f>
        <v>építőkő</v>
      </c>
      <c r="B169" s="21"/>
      <c r="C169" s="21"/>
      <c r="D169" s="21"/>
    </row>
    <row r="170" spans="1:4" ht="12.75" customHeight="1" x14ac:dyDescent="0.2">
      <c r="A170" s="20"/>
      <c r="B170" s="2"/>
      <c r="C170" s="2"/>
      <c r="D170" s="2"/>
    </row>
    <row r="171" spans="1:4" ht="12.75" customHeight="1" x14ac:dyDescent="0.2">
      <c r="A171" s="21"/>
      <c r="B171" s="3" t="s">
        <v>0</v>
      </c>
      <c r="C171" s="20" t="s">
        <v>25</v>
      </c>
      <c r="D171" s="21"/>
    </row>
    <row r="172" spans="1:4" ht="12.75" customHeight="1" x14ac:dyDescent="0.2">
      <c r="A172" s="21"/>
      <c r="B172" s="3" t="s">
        <v>2</v>
      </c>
      <c r="C172" s="20" t="s">
        <v>1839</v>
      </c>
      <c r="D172" s="21"/>
    </row>
    <row r="173" spans="1:4" ht="12.75" customHeight="1" x14ac:dyDescent="0.2">
      <c r="A173" s="21"/>
      <c r="B173" s="3" t="s">
        <v>1840</v>
      </c>
      <c r="C173" s="20" t="s">
        <v>21</v>
      </c>
      <c r="D173" s="21"/>
    </row>
    <row r="174" spans="1:4" ht="12.75" customHeight="1" x14ac:dyDescent="0.2">
      <c r="A174" s="21"/>
      <c r="B174" s="3" t="s">
        <v>9</v>
      </c>
      <c r="C174" s="20" t="s">
        <v>42</v>
      </c>
      <c r="D174" s="21"/>
    </row>
    <row r="175" spans="1:4" ht="12.75" customHeight="1" x14ac:dyDescent="0.2">
      <c r="A175" s="21"/>
      <c r="B175" s="3" t="s">
        <v>11</v>
      </c>
      <c r="C175" s="20" t="s">
        <v>23</v>
      </c>
      <c r="D175" s="21"/>
    </row>
    <row r="176" spans="1:4" ht="12.75" customHeight="1" x14ac:dyDescent="0.2">
      <c r="A176" s="21"/>
      <c r="B176" s="3" t="s">
        <v>16</v>
      </c>
      <c r="C176" s="20"/>
      <c r="D176" s="21"/>
    </row>
    <row r="177" spans="1:4" ht="12.75" customHeight="1" x14ac:dyDescent="0.2">
      <c r="A177" s="21"/>
      <c r="B177" s="3" t="s">
        <v>17</v>
      </c>
      <c r="C177" s="20" t="s">
        <v>19</v>
      </c>
      <c r="D177" s="21"/>
    </row>
    <row r="178" spans="1:4" ht="12.75" customHeight="1" x14ac:dyDescent="0.2">
      <c r="A178" s="21"/>
      <c r="B178" s="20" t="s">
        <v>18</v>
      </c>
      <c r="C178" s="4" t="s">
        <v>44</v>
      </c>
      <c r="D178" s="6" t="str">
        <f>HYPERLINK("javascript:void(0)","gyémántszeg")</f>
        <v>gyémántszeg</v>
      </c>
    </row>
    <row r="179" spans="1:4" ht="12.75" customHeight="1" x14ac:dyDescent="0.2">
      <c r="A179" s="21"/>
      <c r="B179" s="21"/>
      <c r="C179" s="4" t="s">
        <v>44</v>
      </c>
      <c r="D179" s="6" t="str">
        <f>HYPERLINK("javascript:void(0)","ércragacs")</f>
        <v>ércragacs</v>
      </c>
    </row>
    <row r="180" spans="1:4" ht="12.75" customHeight="1" x14ac:dyDescent="0.2">
      <c r="A180" s="21"/>
      <c r="B180" s="21"/>
      <c r="C180" s="4" t="s">
        <v>44</v>
      </c>
      <c r="D180" s="6" t="str">
        <f>HYPERLINK("javascript:void(0)","varázsrög")</f>
        <v>varázsrög</v>
      </c>
    </row>
    <row r="181" spans="1:4" ht="12.75" customHeight="1" x14ac:dyDescent="0.2">
      <c r="A181" s="21"/>
      <c r="B181" s="2"/>
      <c r="C181" s="2"/>
      <c r="D181" s="2"/>
    </row>
    <row r="182" spans="1:4" ht="12.75" customHeight="1" x14ac:dyDescent="0.2">
      <c r="A182" s="21"/>
      <c r="B182" s="2"/>
      <c r="C182" s="2"/>
      <c r="D182" s="2"/>
    </row>
    <row r="183" spans="1:4" ht="12.75" customHeight="1" x14ac:dyDescent="0.2">
      <c r="A183" s="21"/>
      <c r="B183" s="2"/>
      <c r="C183" s="2"/>
      <c r="D183" s="2"/>
    </row>
    <row r="184" spans="1:4" ht="12.75" customHeight="1" x14ac:dyDescent="0.2">
      <c r="A184" s="21"/>
      <c r="B184" s="2"/>
      <c r="C184" s="2"/>
      <c r="D184" s="2"/>
    </row>
    <row r="185" spans="1:4" ht="12.75" customHeight="1" x14ac:dyDescent="0.2">
      <c r="A185" s="5"/>
      <c r="B185" s="2"/>
      <c r="C185" s="2"/>
      <c r="D185" s="2"/>
    </row>
    <row r="186" spans="1:4" ht="12.75" customHeight="1" x14ac:dyDescent="0.2">
      <c r="A186" s="22" t="str">
        <f>HYPERLINK("javascript:void(0)","aranyrög")</f>
        <v>aranyrög</v>
      </c>
      <c r="B186" s="21"/>
      <c r="C186" s="21"/>
      <c r="D186" s="21"/>
    </row>
    <row r="187" spans="1:4" ht="12.75" customHeight="1" x14ac:dyDescent="0.2">
      <c r="A187" s="20"/>
      <c r="B187" s="2"/>
      <c r="C187" s="2"/>
      <c r="D187" s="2"/>
    </row>
    <row r="188" spans="1:4" ht="12.75" customHeight="1" x14ac:dyDescent="0.2">
      <c r="A188" s="21"/>
      <c r="B188" s="3" t="s">
        <v>0</v>
      </c>
      <c r="C188" s="20" t="s">
        <v>29</v>
      </c>
      <c r="D188" s="21"/>
    </row>
    <row r="189" spans="1:4" ht="12.75" customHeight="1" x14ac:dyDescent="0.2">
      <c r="A189" s="21"/>
      <c r="B189" s="3" t="s">
        <v>2</v>
      </c>
      <c r="C189" s="20" t="s">
        <v>1839</v>
      </c>
      <c r="D189" s="21"/>
    </row>
    <row r="190" spans="1:4" ht="12.75" customHeight="1" x14ac:dyDescent="0.2">
      <c r="A190" s="21"/>
      <c r="B190" s="3" t="s">
        <v>1840</v>
      </c>
      <c r="C190" s="20" t="s">
        <v>21</v>
      </c>
      <c r="D190" s="21"/>
    </row>
    <row r="191" spans="1:4" ht="12.75" customHeight="1" x14ac:dyDescent="0.2">
      <c r="A191" s="21"/>
      <c r="B191" s="3" t="s">
        <v>9</v>
      </c>
      <c r="C191" s="20" t="s">
        <v>42</v>
      </c>
      <c r="D191" s="21"/>
    </row>
    <row r="192" spans="1:4" ht="12.75" customHeight="1" x14ac:dyDescent="0.2">
      <c r="A192" s="21"/>
      <c r="B192" s="3" t="s">
        <v>11</v>
      </c>
      <c r="C192" s="20" t="s">
        <v>395</v>
      </c>
      <c r="D192" s="21"/>
    </row>
    <row r="193" spans="1:4" ht="12.75" customHeight="1" x14ac:dyDescent="0.2">
      <c r="A193" s="21"/>
      <c r="B193" s="3" t="s">
        <v>16</v>
      </c>
      <c r="C193" s="20"/>
      <c r="D193" s="21"/>
    </row>
    <row r="194" spans="1:4" ht="12.75" customHeight="1" x14ac:dyDescent="0.2">
      <c r="A194" s="21"/>
      <c r="B194" s="3" t="s">
        <v>17</v>
      </c>
      <c r="C194" s="20" t="s">
        <v>19</v>
      </c>
      <c r="D194" s="21"/>
    </row>
    <row r="195" spans="1:4" ht="12.75" customHeight="1" x14ac:dyDescent="0.2">
      <c r="A195" s="21"/>
      <c r="B195" s="20" t="s">
        <v>18</v>
      </c>
      <c r="C195" s="4" t="s">
        <v>1855</v>
      </c>
      <c r="D195" s="6" t="str">
        <f>HYPERLINK("javascript:void(0)","arany")</f>
        <v>arany</v>
      </c>
    </row>
    <row r="196" spans="1:4" ht="12.75" customHeight="1" x14ac:dyDescent="0.2">
      <c r="A196" s="21"/>
      <c r="B196" s="21"/>
      <c r="C196" s="4" t="s">
        <v>193</v>
      </c>
      <c r="D196" s="6" t="str">
        <f>HYPERLINK("javascript:void(0)","vasérc")</f>
        <v>vasérc</v>
      </c>
    </row>
    <row r="197" spans="1:4" ht="12.75" customHeight="1" x14ac:dyDescent="0.2">
      <c r="A197" s="21"/>
      <c r="B197" s="21"/>
      <c r="C197" s="4" t="s">
        <v>193</v>
      </c>
      <c r="D197" s="6" t="str">
        <f>HYPERLINK("javascript:void(0)","óngolyó")</f>
        <v>óngolyó</v>
      </c>
    </row>
    <row r="198" spans="1:4" ht="12.75" customHeight="1" x14ac:dyDescent="0.2">
      <c r="A198" s="21"/>
      <c r="B198" s="2"/>
      <c r="C198" s="2"/>
      <c r="D198" s="2"/>
    </row>
    <row r="199" spans="1:4" ht="12.75" customHeight="1" x14ac:dyDescent="0.2">
      <c r="A199" s="21"/>
      <c r="B199" s="2"/>
      <c r="C199" s="2"/>
      <c r="D199" s="2"/>
    </row>
    <row r="200" spans="1:4" ht="12.75" customHeight="1" x14ac:dyDescent="0.2">
      <c r="A200" s="21"/>
      <c r="B200" s="2"/>
      <c r="C200" s="2"/>
      <c r="D200" s="2"/>
    </row>
    <row r="201" spans="1:4" ht="12.75" customHeight="1" x14ac:dyDescent="0.2">
      <c r="A201" s="21"/>
      <c r="B201" s="2"/>
      <c r="C201" s="2"/>
      <c r="D201" s="2"/>
    </row>
    <row r="202" spans="1:4" ht="12.75" customHeight="1" x14ac:dyDescent="0.2">
      <c r="A202" s="5"/>
      <c r="B202" s="2"/>
      <c r="C202" s="2"/>
      <c r="D202" s="2"/>
    </row>
    <row r="203" spans="1:4" ht="12.75" customHeight="1" x14ac:dyDescent="0.2">
      <c r="A203" s="22" t="str">
        <f>HYPERLINK("javascript:void(0)","szegecselt pajzs")</f>
        <v>szegecselt pajzs</v>
      </c>
      <c r="B203" s="21"/>
      <c r="C203" s="21"/>
      <c r="D203" s="2"/>
    </row>
    <row r="204" spans="1:4" ht="12.75" customHeight="1" x14ac:dyDescent="0.2">
      <c r="A204" s="20"/>
      <c r="B204" s="2"/>
      <c r="C204" s="2"/>
      <c r="D204" s="2"/>
    </row>
    <row r="205" spans="1:4" ht="12.75" customHeight="1" x14ac:dyDescent="0.2">
      <c r="A205" s="21"/>
      <c r="B205" s="3" t="s">
        <v>0</v>
      </c>
      <c r="C205" s="3" t="s">
        <v>7</v>
      </c>
      <c r="D205" s="2"/>
    </row>
    <row r="206" spans="1:4" ht="12.75" customHeight="1" x14ac:dyDescent="0.2">
      <c r="A206" s="21"/>
      <c r="B206" s="3" t="s">
        <v>2</v>
      </c>
      <c r="C206" s="3" t="s">
        <v>1839</v>
      </c>
      <c r="D206" s="2"/>
    </row>
    <row r="207" spans="1:4" ht="12.75" customHeight="1" x14ac:dyDescent="0.2">
      <c r="A207" s="21"/>
      <c r="B207" s="3" t="s">
        <v>1840</v>
      </c>
      <c r="C207" s="3" t="s">
        <v>25</v>
      </c>
      <c r="D207" s="2"/>
    </row>
    <row r="208" spans="1:4" ht="12.75" customHeight="1" x14ac:dyDescent="0.2">
      <c r="A208" s="21"/>
      <c r="B208" s="3" t="s">
        <v>9</v>
      </c>
      <c r="C208" s="3" t="s">
        <v>200</v>
      </c>
      <c r="D208" s="2"/>
    </row>
    <row r="209" spans="1:4" ht="12.75" customHeight="1" x14ac:dyDescent="0.2">
      <c r="A209" s="21"/>
      <c r="B209" s="3" t="s">
        <v>11</v>
      </c>
      <c r="C209" s="3" t="s">
        <v>1856</v>
      </c>
      <c r="D209" s="2"/>
    </row>
    <row r="210" spans="1:4" ht="12.75" customHeight="1" x14ac:dyDescent="0.2">
      <c r="A210" s="21"/>
      <c r="B210" s="3" t="s">
        <v>16</v>
      </c>
      <c r="C210" s="3"/>
      <c r="D210" s="2"/>
    </row>
    <row r="211" spans="1:4" ht="12.75" customHeight="1" x14ac:dyDescent="0.2">
      <c r="A211" s="21"/>
      <c r="B211" s="3" t="s">
        <v>17</v>
      </c>
      <c r="C211" s="3" t="s">
        <v>19</v>
      </c>
      <c r="D211" s="2"/>
    </row>
    <row r="212" spans="1:4" ht="12.75" customHeight="1" x14ac:dyDescent="0.2">
      <c r="A212" s="21"/>
      <c r="B212" s="3" t="s">
        <v>18</v>
      </c>
      <c r="C212" s="4" t="s">
        <v>19</v>
      </c>
      <c r="D212" s="2"/>
    </row>
    <row r="213" spans="1:4" ht="12.75" customHeight="1" x14ac:dyDescent="0.2">
      <c r="A213" s="21"/>
      <c r="B213" s="2"/>
      <c r="C213" s="2"/>
      <c r="D213" s="2"/>
    </row>
    <row r="214" spans="1:4" ht="12.75" customHeight="1" x14ac:dyDescent="0.2">
      <c r="A214" s="21"/>
      <c r="B214" s="2"/>
      <c r="C214" s="2"/>
      <c r="D214" s="2"/>
    </row>
    <row r="215" spans="1:4" ht="12.75" customHeight="1" x14ac:dyDescent="0.2">
      <c r="A215" s="21"/>
      <c r="B215" s="2"/>
      <c r="C215" s="2"/>
      <c r="D215" s="2"/>
    </row>
    <row r="216" spans="1:4" ht="12.75" customHeight="1" x14ac:dyDescent="0.2">
      <c r="A216" s="21"/>
      <c r="B216" s="2"/>
      <c r="C216" s="2"/>
      <c r="D216" s="2"/>
    </row>
    <row r="217" spans="1:4" ht="12.75" customHeight="1" x14ac:dyDescent="0.2">
      <c r="A217" s="5"/>
      <c r="B217" s="2"/>
      <c r="C217" s="2"/>
      <c r="D217" s="2"/>
    </row>
    <row r="218" spans="1:4" ht="12.75" customHeight="1" x14ac:dyDescent="0.2">
      <c r="A218" s="22" t="str">
        <f>HYPERLINK("javascript:void(0)","kerek négyszögpajzs")</f>
        <v>kerek négyszögpajzs</v>
      </c>
      <c r="B218" s="21"/>
      <c r="C218" s="21"/>
      <c r="D218" s="2"/>
    </row>
    <row r="219" spans="1:4" ht="12.75" customHeight="1" x14ac:dyDescent="0.2">
      <c r="A219" s="20"/>
      <c r="B219" s="2"/>
      <c r="C219" s="2"/>
      <c r="D219" s="2"/>
    </row>
    <row r="220" spans="1:4" ht="12.75" customHeight="1" x14ac:dyDescent="0.2">
      <c r="A220" s="21"/>
      <c r="B220" s="3" t="s">
        <v>0</v>
      </c>
      <c r="C220" s="3" t="s">
        <v>7</v>
      </c>
      <c r="D220" s="2"/>
    </row>
    <row r="221" spans="1:4" ht="12.75" customHeight="1" x14ac:dyDescent="0.2">
      <c r="A221" s="21"/>
      <c r="B221" s="3" t="s">
        <v>2</v>
      </c>
      <c r="C221" s="3" t="s">
        <v>1839</v>
      </c>
      <c r="D221" s="2"/>
    </row>
    <row r="222" spans="1:4" ht="12.75" customHeight="1" x14ac:dyDescent="0.2">
      <c r="A222" s="21"/>
      <c r="B222" s="3" t="s">
        <v>1840</v>
      </c>
      <c r="C222" s="3" t="s">
        <v>25</v>
      </c>
      <c r="D222" s="2"/>
    </row>
    <row r="223" spans="1:4" ht="12.75" customHeight="1" x14ac:dyDescent="0.2">
      <c r="A223" s="21"/>
      <c r="B223" s="3" t="s">
        <v>9</v>
      </c>
      <c r="C223" s="3" t="s">
        <v>124</v>
      </c>
      <c r="D223" s="2"/>
    </row>
    <row r="224" spans="1:4" ht="12.75" customHeight="1" x14ac:dyDescent="0.2">
      <c r="A224" s="21"/>
      <c r="B224" s="3" t="s">
        <v>11</v>
      </c>
      <c r="C224" s="3" t="s">
        <v>881</v>
      </c>
      <c r="D224" s="2"/>
    </row>
    <row r="225" spans="1:4" ht="12.75" customHeight="1" x14ac:dyDescent="0.2">
      <c r="A225" s="21"/>
      <c r="B225" s="3" t="s">
        <v>16</v>
      </c>
      <c r="C225" s="3"/>
      <c r="D225" s="2"/>
    </row>
    <row r="226" spans="1:4" ht="12.75" customHeight="1" x14ac:dyDescent="0.2">
      <c r="A226" s="21"/>
      <c r="B226" s="3" t="s">
        <v>17</v>
      </c>
      <c r="C226" s="3" t="s">
        <v>19</v>
      </c>
      <c r="D226" s="2"/>
    </row>
    <row r="227" spans="1:4" ht="12.75" customHeight="1" x14ac:dyDescent="0.2">
      <c r="A227" s="21"/>
      <c r="B227" s="3" t="s">
        <v>18</v>
      </c>
      <c r="C227" s="4" t="s">
        <v>19</v>
      </c>
      <c r="D227" s="2"/>
    </row>
    <row r="228" spans="1:4" ht="12.75" customHeight="1" x14ac:dyDescent="0.2">
      <c r="A228" s="21"/>
      <c r="B228" s="2"/>
      <c r="C228" s="2"/>
      <c r="D228" s="2"/>
    </row>
    <row r="229" spans="1:4" ht="12.75" customHeight="1" x14ac:dyDescent="0.2">
      <c r="A229" s="21"/>
      <c r="B229" s="2"/>
      <c r="C229" s="2"/>
      <c r="D229" s="2"/>
    </row>
    <row r="230" spans="1:4" ht="12.75" customHeight="1" x14ac:dyDescent="0.2">
      <c r="A230" s="21"/>
      <c r="B230" s="2"/>
      <c r="C230" s="2"/>
      <c r="D230" s="2"/>
    </row>
    <row r="231" spans="1:4" ht="12.75" customHeight="1" x14ac:dyDescent="0.2">
      <c r="A231" s="21"/>
      <c r="B231" s="2"/>
      <c r="C231" s="2"/>
      <c r="D231" s="2"/>
    </row>
    <row r="232" spans="1:4" ht="12.75" customHeight="1" x14ac:dyDescent="0.2">
      <c r="A232" s="5"/>
      <c r="B232" s="2"/>
      <c r="C232" s="2"/>
      <c r="D232" s="2"/>
    </row>
    <row r="233" spans="1:4" ht="12.75" customHeight="1" x14ac:dyDescent="0.2">
      <c r="A233" s="22" t="str">
        <f>HYPERLINK("javascript:void(0)","rézrög")</f>
        <v>rézrög</v>
      </c>
      <c r="B233" s="21"/>
      <c r="C233" s="21"/>
      <c r="D233" s="21"/>
    </row>
    <row r="234" spans="1:4" ht="12.75" customHeight="1" x14ac:dyDescent="0.2">
      <c r="A234" s="20"/>
      <c r="B234" s="2"/>
      <c r="C234" s="2"/>
      <c r="D234" s="2"/>
    </row>
    <row r="235" spans="1:4" ht="12.75" customHeight="1" x14ac:dyDescent="0.2">
      <c r="A235" s="21"/>
      <c r="B235" s="3" t="s">
        <v>0</v>
      </c>
      <c r="C235" s="20" t="s">
        <v>7</v>
      </c>
      <c r="D235" s="21"/>
    </row>
    <row r="236" spans="1:4" ht="12.75" customHeight="1" x14ac:dyDescent="0.2">
      <c r="A236" s="21"/>
      <c r="B236" s="3" t="s">
        <v>2</v>
      </c>
      <c r="C236" s="20" t="s">
        <v>1839</v>
      </c>
      <c r="D236" s="21"/>
    </row>
    <row r="237" spans="1:4" ht="12.75" customHeight="1" x14ac:dyDescent="0.2">
      <c r="A237" s="21"/>
      <c r="B237" s="3" t="s">
        <v>1840</v>
      </c>
      <c r="C237" s="20" t="s">
        <v>21</v>
      </c>
      <c r="D237" s="21"/>
    </row>
    <row r="238" spans="1:4" ht="12.75" customHeight="1" x14ac:dyDescent="0.2">
      <c r="A238" s="21"/>
      <c r="B238" s="3" t="s">
        <v>9</v>
      </c>
      <c r="C238" s="20" t="s">
        <v>42</v>
      </c>
      <c r="D238" s="21"/>
    </row>
    <row r="239" spans="1:4" ht="12.75" customHeight="1" x14ac:dyDescent="0.2">
      <c r="A239" s="21"/>
      <c r="B239" s="3" t="s">
        <v>11</v>
      </c>
      <c r="C239" s="20" t="s">
        <v>486</v>
      </c>
      <c r="D239" s="21"/>
    </row>
    <row r="240" spans="1:4" ht="12.75" customHeight="1" x14ac:dyDescent="0.2">
      <c r="A240" s="21"/>
      <c r="B240" s="3" t="s">
        <v>16</v>
      </c>
      <c r="C240" s="20"/>
      <c r="D240" s="21"/>
    </row>
    <row r="241" spans="1:4" ht="12.75" customHeight="1" x14ac:dyDescent="0.2">
      <c r="A241" s="21"/>
      <c r="B241" s="3" t="s">
        <v>17</v>
      </c>
      <c r="C241" s="20" t="s">
        <v>19</v>
      </c>
      <c r="D241" s="21"/>
    </row>
    <row r="242" spans="1:4" ht="12.75" customHeight="1" x14ac:dyDescent="0.2">
      <c r="A242" s="21"/>
      <c r="B242" s="20" t="s">
        <v>18</v>
      </c>
      <c r="C242" s="4" t="s">
        <v>280</v>
      </c>
      <c r="D242" s="6" t="str">
        <f>HYPERLINK("javascript:void(0)","rézérc")</f>
        <v>rézérc</v>
      </c>
    </row>
    <row r="243" spans="1:4" ht="12.75" customHeight="1" x14ac:dyDescent="0.2">
      <c r="A243" s="21"/>
      <c r="B243" s="21"/>
      <c r="C243" s="4" t="s">
        <v>130</v>
      </c>
      <c r="D243" s="6" t="str">
        <f>HYPERLINK("javascript:void(0)","gyöngy")</f>
        <v>gyöngy</v>
      </c>
    </row>
    <row r="244" spans="1:4" ht="12.75" customHeight="1" x14ac:dyDescent="0.2">
      <c r="A244" s="21"/>
      <c r="B244" s="21"/>
      <c r="C244" s="4" t="s">
        <v>280</v>
      </c>
      <c r="D244" s="6" t="str">
        <f>HYPERLINK("javascript:void(0)","savkristály")</f>
        <v>savkristály</v>
      </c>
    </row>
    <row r="245" spans="1:4" ht="12.75" customHeight="1" x14ac:dyDescent="0.2">
      <c r="A245" s="21"/>
      <c r="B245" s="2"/>
      <c r="C245" s="2"/>
      <c r="D245" s="2"/>
    </row>
    <row r="246" spans="1:4" ht="12.75" customHeight="1" x14ac:dyDescent="0.2">
      <c r="A246" s="21"/>
      <c r="B246" s="2"/>
      <c r="C246" s="2"/>
      <c r="D246" s="2"/>
    </row>
    <row r="247" spans="1:4" ht="12.75" customHeight="1" x14ac:dyDescent="0.2">
      <c r="A247" s="21"/>
      <c r="B247" s="2"/>
      <c r="C247" s="2"/>
      <c r="D247" s="2"/>
    </row>
    <row r="248" spans="1:4" ht="12.75" customHeight="1" x14ac:dyDescent="0.2">
      <c r="A248" s="21"/>
      <c r="B248" s="2"/>
      <c r="C248" s="2"/>
      <c r="D248" s="2"/>
    </row>
    <row r="249" spans="1:4" ht="12.75" customHeight="1" x14ac:dyDescent="0.2">
      <c r="A249" s="5"/>
      <c r="B249" s="2"/>
      <c r="C249" s="2"/>
      <c r="D249" s="2"/>
    </row>
    <row r="250" spans="1:4" ht="12.75" customHeight="1" x14ac:dyDescent="0.2">
      <c r="A250" s="22" t="str">
        <f>HYPERLINK("javascript:void(0)","arany előlap")</f>
        <v>arany előlap</v>
      </c>
      <c r="B250" s="21"/>
      <c r="C250" s="21"/>
      <c r="D250" s="21"/>
    </row>
    <row r="251" spans="1:4" ht="12.75" customHeight="1" x14ac:dyDescent="0.2">
      <c r="A251" s="20"/>
      <c r="B251" s="2"/>
      <c r="C251" s="2"/>
      <c r="D251" s="2"/>
    </row>
    <row r="252" spans="1:4" ht="12.75" customHeight="1" x14ac:dyDescent="0.2">
      <c r="A252" s="21"/>
      <c r="B252" s="3" t="s">
        <v>0</v>
      </c>
      <c r="C252" s="20" t="s">
        <v>7</v>
      </c>
      <c r="D252" s="21"/>
    </row>
    <row r="253" spans="1:4" ht="12.75" customHeight="1" x14ac:dyDescent="0.2">
      <c r="A253" s="21"/>
      <c r="B253" s="3" t="s">
        <v>2</v>
      </c>
      <c r="C253" s="20" t="s">
        <v>1839</v>
      </c>
      <c r="D253" s="21"/>
    </row>
    <row r="254" spans="1:4" ht="12.75" customHeight="1" x14ac:dyDescent="0.2">
      <c r="A254" s="21"/>
      <c r="B254" s="3" t="s">
        <v>1840</v>
      </c>
      <c r="C254" s="20" t="s">
        <v>21</v>
      </c>
      <c r="D254" s="21"/>
    </row>
    <row r="255" spans="1:4" ht="12.75" customHeight="1" x14ac:dyDescent="0.2">
      <c r="A255" s="21"/>
      <c r="B255" s="3" t="s">
        <v>9</v>
      </c>
      <c r="C255" s="20" t="s">
        <v>131</v>
      </c>
      <c r="D255" s="21"/>
    </row>
    <row r="256" spans="1:4" ht="12.75" customHeight="1" x14ac:dyDescent="0.2">
      <c r="A256" s="21"/>
      <c r="B256" s="3" t="s">
        <v>11</v>
      </c>
      <c r="C256" s="20" t="s">
        <v>279</v>
      </c>
      <c r="D256" s="21"/>
    </row>
    <row r="257" spans="1:4" ht="12.75" customHeight="1" x14ac:dyDescent="0.2">
      <c r="A257" s="21"/>
      <c r="B257" s="3" t="s">
        <v>16</v>
      </c>
      <c r="C257" s="20"/>
      <c r="D257" s="21"/>
    </row>
    <row r="258" spans="1:4" ht="12.75" customHeight="1" x14ac:dyDescent="0.2">
      <c r="A258" s="21"/>
      <c r="B258" s="3" t="s">
        <v>17</v>
      </c>
      <c r="C258" s="20" t="s">
        <v>19</v>
      </c>
      <c r="D258" s="21"/>
    </row>
    <row r="259" spans="1:4" ht="12.75" customHeight="1" x14ac:dyDescent="0.2">
      <c r="A259" s="21"/>
      <c r="B259" s="20" t="s">
        <v>18</v>
      </c>
      <c r="C259" s="4" t="s">
        <v>67</v>
      </c>
      <c r="D259" s="6" t="str">
        <f>HYPERLINK("javascript:void(0)","aranyrög")</f>
        <v>aranyrög</v>
      </c>
    </row>
    <row r="260" spans="1:4" ht="12.75" customHeight="1" x14ac:dyDescent="0.2">
      <c r="A260" s="21"/>
      <c r="B260" s="21"/>
      <c r="C260" s="4" t="s">
        <v>244</v>
      </c>
      <c r="D260" s="6" t="str">
        <f>HYPERLINK("javascript:void(0)","lámpás")</f>
        <v>lámpás</v>
      </c>
    </row>
    <row r="261" spans="1:4" ht="12.75" customHeight="1" x14ac:dyDescent="0.2">
      <c r="A261" s="21"/>
      <c r="B261" s="21"/>
      <c r="C261" s="4" t="s">
        <v>68</v>
      </c>
      <c r="D261" s="6" t="str">
        <f>HYPERLINK("javascript:void(0)","kocka")</f>
        <v>kocka</v>
      </c>
    </row>
    <row r="262" spans="1:4" ht="12.75" customHeight="1" x14ac:dyDescent="0.2">
      <c r="A262" s="21"/>
      <c r="B262" s="2"/>
      <c r="C262" s="2"/>
      <c r="D262" s="2"/>
    </row>
    <row r="263" spans="1:4" ht="12.75" customHeight="1" x14ac:dyDescent="0.2">
      <c r="A263" s="21"/>
      <c r="B263" s="2"/>
      <c r="C263" s="2"/>
      <c r="D263" s="2"/>
    </row>
    <row r="264" spans="1:4" ht="12.75" customHeight="1" x14ac:dyDescent="0.2">
      <c r="A264" s="21"/>
      <c r="B264" s="2"/>
      <c r="C264" s="2"/>
      <c r="D264" s="2"/>
    </row>
    <row r="265" spans="1:4" ht="12.75" customHeight="1" x14ac:dyDescent="0.2">
      <c r="A265" s="21"/>
      <c r="B265" s="2"/>
      <c r="C265" s="2"/>
      <c r="D265" s="2"/>
    </row>
    <row r="266" spans="1:4" ht="12.75" customHeight="1" x14ac:dyDescent="0.2">
      <c r="A266" s="5"/>
      <c r="B266" s="2"/>
      <c r="C266" s="2"/>
      <c r="D266" s="2"/>
    </row>
    <row r="267" spans="1:4" ht="12.75" customHeight="1" x14ac:dyDescent="0.2">
      <c r="A267" s="22" t="str">
        <f>HYPERLINK("javascript:void(0)","bronz testpajzs")</f>
        <v>bronz testpajzs</v>
      </c>
      <c r="B267" s="21"/>
      <c r="C267" s="21"/>
      <c r="D267" s="21"/>
    </row>
    <row r="268" spans="1:4" ht="12.75" customHeight="1" x14ac:dyDescent="0.2">
      <c r="A268" s="20"/>
      <c r="B268" s="2"/>
      <c r="C268" s="2"/>
      <c r="D268" s="2"/>
    </row>
    <row r="269" spans="1:4" ht="12.75" customHeight="1" x14ac:dyDescent="0.2">
      <c r="A269" s="21"/>
      <c r="B269" s="3" t="s">
        <v>0</v>
      </c>
      <c r="C269" s="20" t="s">
        <v>123</v>
      </c>
      <c r="D269" s="21"/>
    </row>
    <row r="270" spans="1:4" ht="12.75" customHeight="1" x14ac:dyDescent="0.2">
      <c r="A270" s="21"/>
      <c r="B270" s="3" t="s">
        <v>2</v>
      </c>
      <c r="C270" s="20" t="s">
        <v>1839</v>
      </c>
      <c r="D270" s="21"/>
    </row>
    <row r="271" spans="1:4" ht="12.75" customHeight="1" x14ac:dyDescent="0.2">
      <c r="A271" s="21"/>
      <c r="B271" s="3" t="s">
        <v>1840</v>
      </c>
      <c r="C271" s="20" t="s">
        <v>29</v>
      </c>
      <c r="D271" s="21"/>
    </row>
    <row r="272" spans="1:4" ht="12.75" customHeight="1" x14ac:dyDescent="0.2">
      <c r="A272" s="21"/>
      <c r="B272" s="3" t="s">
        <v>9</v>
      </c>
      <c r="C272" s="20" t="s">
        <v>75</v>
      </c>
      <c r="D272" s="21"/>
    </row>
    <row r="273" spans="1:4" ht="12.75" customHeight="1" x14ac:dyDescent="0.2">
      <c r="A273" s="21"/>
      <c r="B273" s="3" t="s">
        <v>11</v>
      </c>
      <c r="C273" s="20" t="s">
        <v>838</v>
      </c>
      <c r="D273" s="21"/>
    </row>
    <row r="274" spans="1:4" ht="12.75" customHeight="1" x14ac:dyDescent="0.2">
      <c r="A274" s="21"/>
      <c r="B274" s="3" t="s">
        <v>16</v>
      </c>
      <c r="C274" s="20"/>
      <c r="D274" s="21"/>
    </row>
    <row r="275" spans="1:4" ht="12.75" customHeight="1" x14ac:dyDescent="0.2">
      <c r="A275" s="21"/>
      <c r="B275" s="3" t="s">
        <v>17</v>
      </c>
      <c r="C275" s="20" t="s">
        <v>19</v>
      </c>
      <c r="D275" s="21"/>
    </row>
    <row r="276" spans="1:4" ht="12.75" customHeight="1" x14ac:dyDescent="0.2">
      <c r="A276" s="21"/>
      <c r="B276" s="20" t="s">
        <v>18</v>
      </c>
      <c r="C276" s="4" t="s">
        <v>55</v>
      </c>
      <c r="D276" s="6" t="str">
        <f>HYPERLINK("javascript:void(0)","rézérc")</f>
        <v>rézérc</v>
      </c>
    </row>
    <row r="277" spans="1:4" ht="12.75" customHeight="1" x14ac:dyDescent="0.2">
      <c r="A277" s="21"/>
      <c r="B277" s="21"/>
      <c r="C277" s="4" t="s">
        <v>142</v>
      </c>
      <c r="D277" s="6" t="str">
        <f>HYPERLINK("javascript:void(0)","óngolyó")</f>
        <v>óngolyó</v>
      </c>
    </row>
    <row r="278" spans="1:4" ht="12.75" customHeight="1" x14ac:dyDescent="0.2">
      <c r="A278" s="21"/>
      <c r="B278" s="21"/>
      <c r="C278" s="4" t="s">
        <v>117</v>
      </c>
      <c r="D278" s="6" t="str">
        <f>HYPERLINK("javascript:void(0)","vasérc")</f>
        <v>vasérc</v>
      </c>
    </row>
    <row r="279" spans="1:4" ht="12.75" customHeight="1" x14ac:dyDescent="0.2">
      <c r="A279" s="21"/>
      <c r="B279" s="2"/>
      <c r="C279" s="2"/>
      <c r="D279" s="2"/>
    </row>
    <row r="280" spans="1:4" ht="12.75" customHeight="1" x14ac:dyDescent="0.2">
      <c r="A280" s="21"/>
      <c r="B280" s="2"/>
      <c r="C280" s="2"/>
      <c r="D280" s="2"/>
    </row>
    <row r="281" spans="1:4" ht="12.75" customHeight="1" x14ac:dyDescent="0.2">
      <c r="A281" s="21"/>
      <c r="B281" s="2"/>
      <c r="C281" s="2"/>
      <c r="D281" s="2"/>
    </row>
    <row r="282" spans="1:4" ht="12.75" customHeight="1" x14ac:dyDescent="0.2">
      <c r="A282" s="21"/>
      <c r="B282" s="2"/>
      <c r="C282" s="2"/>
      <c r="D282" s="2"/>
    </row>
    <row r="283" spans="1:4" ht="12.75" customHeight="1" x14ac:dyDescent="0.2">
      <c r="A283" s="5"/>
      <c r="B283" s="2"/>
      <c r="C283" s="2"/>
      <c r="D283" s="2"/>
    </row>
    <row r="284" spans="1:4" ht="12.75" customHeight="1" x14ac:dyDescent="0.2">
      <c r="A284" s="22" t="str">
        <f>HYPERLINK("javascript:void(0)","bronzrög")</f>
        <v>bronzrög</v>
      </c>
      <c r="B284" s="21"/>
      <c r="C284" s="21"/>
      <c r="D284" s="21"/>
    </row>
    <row r="285" spans="1:4" ht="12.75" customHeight="1" x14ac:dyDescent="0.2">
      <c r="A285" s="20"/>
      <c r="B285" s="2"/>
      <c r="C285" s="2"/>
      <c r="D285" s="2"/>
    </row>
    <row r="286" spans="1:4" ht="12.75" customHeight="1" x14ac:dyDescent="0.2">
      <c r="A286" s="21"/>
      <c r="B286" s="3" t="s">
        <v>0</v>
      </c>
      <c r="C286" s="20" t="s">
        <v>123</v>
      </c>
      <c r="D286" s="21"/>
    </row>
    <row r="287" spans="1:4" ht="12.75" customHeight="1" x14ac:dyDescent="0.2">
      <c r="A287" s="21"/>
      <c r="B287" s="3" t="s">
        <v>2</v>
      </c>
      <c r="C287" s="20" t="s">
        <v>1839</v>
      </c>
      <c r="D287" s="21"/>
    </row>
    <row r="288" spans="1:4" ht="12.75" customHeight="1" x14ac:dyDescent="0.2">
      <c r="A288" s="21"/>
      <c r="B288" s="3" t="s">
        <v>1840</v>
      </c>
      <c r="C288" s="20" t="s">
        <v>21</v>
      </c>
      <c r="D288" s="21"/>
    </row>
    <row r="289" spans="1:4" ht="12.75" customHeight="1" x14ac:dyDescent="0.2">
      <c r="A289" s="21"/>
      <c r="B289" s="3" t="s">
        <v>9</v>
      </c>
      <c r="C289" s="20" t="s">
        <v>42</v>
      </c>
      <c r="D289" s="21"/>
    </row>
    <row r="290" spans="1:4" ht="12.75" customHeight="1" x14ac:dyDescent="0.2">
      <c r="A290" s="21"/>
      <c r="B290" s="3" t="s">
        <v>11</v>
      </c>
      <c r="C290" s="20" t="s">
        <v>486</v>
      </c>
      <c r="D290" s="21"/>
    </row>
    <row r="291" spans="1:4" ht="12.75" customHeight="1" x14ac:dyDescent="0.2">
      <c r="A291" s="21"/>
      <c r="B291" s="3" t="s">
        <v>16</v>
      </c>
      <c r="C291" s="20"/>
      <c r="D291" s="21"/>
    </row>
    <row r="292" spans="1:4" ht="12.75" customHeight="1" x14ac:dyDescent="0.2">
      <c r="A292" s="21"/>
      <c r="B292" s="3" t="s">
        <v>17</v>
      </c>
      <c r="C292" s="20" t="s">
        <v>19</v>
      </c>
      <c r="D292" s="21"/>
    </row>
    <row r="293" spans="1:4" ht="12.75" customHeight="1" x14ac:dyDescent="0.2">
      <c r="A293" s="21"/>
      <c r="B293" s="20" t="s">
        <v>18</v>
      </c>
      <c r="C293" s="4" t="s">
        <v>280</v>
      </c>
      <c r="D293" s="6" t="str">
        <f>HYPERLINK("javascript:void(0)","rézérc")</f>
        <v>rézérc</v>
      </c>
    </row>
    <row r="294" spans="1:4" ht="12.75" customHeight="1" x14ac:dyDescent="0.2">
      <c r="A294" s="21"/>
      <c r="B294" s="21"/>
      <c r="C294" s="4" t="s">
        <v>280</v>
      </c>
      <c r="D294" s="6" t="str">
        <f>HYPERLINK("javascript:void(0)","óngolyó")</f>
        <v>óngolyó</v>
      </c>
    </row>
    <row r="295" spans="1:4" ht="12.75" customHeight="1" x14ac:dyDescent="0.2">
      <c r="A295" s="21"/>
      <c r="B295" s="21"/>
      <c r="C295" s="4" t="s">
        <v>280</v>
      </c>
      <c r="D295" s="6" t="str">
        <f>HYPERLINK("javascript:void(0)","savkristály")</f>
        <v>savkristály</v>
      </c>
    </row>
    <row r="296" spans="1:4" ht="12.75" customHeight="1" x14ac:dyDescent="0.2">
      <c r="A296" s="21"/>
      <c r="B296" s="2"/>
      <c r="C296" s="2"/>
      <c r="D296" s="2"/>
    </row>
    <row r="297" spans="1:4" ht="12.75" customHeight="1" x14ac:dyDescent="0.2">
      <c r="A297" s="21"/>
      <c r="B297" s="2"/>
      <c r="C297" s="2"/>
      <c r="D297" s="2"/>
    </row>
    <row r="298" spans="1:4" ht="12.75" customHeight="1" x14ac:dyDescent="0.2">
      <c r="A298" s="21"/>
      <c r="B298" s="2"/>
      <c r="C298" s="2"/>
      <c r="D298" s="2"/>
    </row>
    <row r="299" spans="1:4" ht="12.75" customHeight="1" x14ac:dyDescent="0.2">
      <c r="A299" s="21"/>
      <c r="B299" s="2"/>
      <c r="C299" s="2"/>
      <c r="D299" s="2"/>
    </row>
    <row r="300" spans="1:4" ht="12.75" customHeight="1" x14ac:dyDescent="0.2">
      <c r="A300" s="5"/>
      <c r="B300" s="2"/>
      <c r="C300" s="2"/>
      <c r="D300" s="2"/>
    </row>
    <row r="301" spans="1:4" ht="12.75" customHeight="1" x14ac:dyDescent="0.2">
      <c r="A301" s="22" t="str">
        <f>HYPERLINK("javascript:void(0)","vasrög")</f>
        <v>vasrög</v>
      </c>
      <c r="B301" s="21"/>
      <c r="C301" s="21"/>
      <c r="D301" s="21"/>
    </row>
    <row r="302" spans="1:4" ht="12.75" customHeight="1" x14ac:dyDescent="0.2">
      <c r="A302" s="20"/>
      <c r="B302" s="2"/>
      <c r="C302" s="2"/>
      <c r="D302" s="2"/>
    </row>
    <row r="303" spans="1:4" ht="12.75" customHeight="1" x14ac:dyDescent="0.2">
      <c r="A303" s="21"/>
      <c r="B303" s="3" t="s">
        <v>0</v>
      </c>
      <c r="C303" s="20" t="s">
        <v>123</v>
      </c>
      <c r="D303" s="21"/>
    </row>
    <row r="304" spans="1:4" ht="12.75" customHeight="1" x14ac:dyDescent="0.2">
      <c r="A304" s="21"/>
      <c r="B304" s="3" t="s">
        <v>2</v>
      </c>
      <c r="C304" s="20" t="s">
        <v>1839</v>
      </c>
      <c r="D304" s="21"/>
    </row>
    <row r="305" spans="1:4" ht="12.75" customHeight="1" x14ac:dyDescent="0.2">
      <c r="A305" s="21"/>
      <c r="B305" s="3" t="s">
        <v>1840</v>
      </c>
      <c r="C305" s="20" t="s">
        <v>21</v>
      </c>
      <c r="D305" s="21"/>
    </row>
    <row r="306" spans="1:4" ht="12.75" customHeight="1" x14ac:dyDescent="0.2">
      <c r="A306" s="21"/>
      <c r="B306" s="3" t="s">
        <v>9</v>
      </c>
      <c r="C306" s="20" t="s">
        <v>42</v>
      </c>
      <c r="D306" s="21"/>
    </row>
    <row r="307" spans="1:4" ht="12.75" customHeight="1" x14ac:dyDescent="0.2">
      <c r="A307" s="21"/>
      <c r="B307" s="3" t="s">
        <v>11</v>
      </c>
      <c r="C307" s="20" t="s">
        <v>486</v>
      </c>
      <c r="D307" s="21"/>
    </row>
    <row r="308" spans="1:4" ht="12.75" customHeight="1" x14ac:dyDescent="0.2">
      <c r="A308" s="21"/>
      <c r="B308" s="3" t="s">
        <v>16</v>
      </c>
      <c r="C308" s="20"/>
      <c r="D308" s="21"/>
    </row>
    <row r="309" spans="1:4" ht="12.75" customHeight="1" x14ac:dyDescent="0.2">
      <c r="A309" s="21"/>
      <c r="B309" s="3" t="s">
        <v>17</v>
      </c>
      <c r="C309" s="20" t="s">
        <v>19</v>
      </c>
      <c r="D309" s="21"/>
    </row>
    <row r="310" spans="1:4" ht="12.75" customHeight="1" x14ac:dyDescent="0.2">
      <c r="A310" s="21"/>
      <c r="B310" s="20" t="s">
        <v>18</v>
      </c>
      <c r="C310" s="4" t="s">
        <v>280</v>
      </c>
      <c r="D310" s="6" t="str">
        <f>HYPERLINK("javascript:void(0)","vasérc")</f>
        <v>vasérc</v>
      </c>
    </row>
    <row r="311" spans="1:4" ht="12.75" customHeight="1" x14ac:dyDescent="0.2">
      <c r="A311" s="21"/>
      <c r="B311" s="21"/>
      <c r="C311" s="4" t="s">
        <v>193</v>
      </c>
      <c r="D311" s="6" t="str">
        <f>HYPERLINK("javascript:void(0)","óngolyó")</f>
        <v>óngolyó</v>
      </c>
    </row>
    <row r="312" spans="1:4" ht="12.75" customHeight="1" x14ac:dyDescent="0.2">
      <c r="A312" s="21"/>
      <c r="B312" s="21"/>
      <c r="C312" s="4" t="s">
        <v>280</v>
      </c>
      <c r="D312" s="6" t="str">
        <f>HYPERLINK("javascript:void(0)","kristályfolyadék")</f>
        <v>kristályfolyadék</v>
      </c>
    </row>
    <row r="313" spans="1:4" ht="12.75" customHeight="1" x14ac:dyDescent="0.2">
      <c r="A313" s="21"/>
      <c r="B313" s="2"/>
      <c r="C313" s="2"/>
      <c r="D313" s="2"/>
    </row>
    <row r="314" spans="1:4" ht="12.75" customHeight="1" x14ac:dyDescent="0.2">
      <c r="A314" s="21"/>
      <c r="B314" s="2"/>
      <c r="C314" s="2"/>
      <c r="D314" s="2"/>
    </row>
    <row r="315" spans="1:4" ht="12.75" customHeight="1" x14ac:dyDescent="0.2">
      <c r="A315" s="21"/>
      <c r="B315" s="2"/>
      <c r="C315" s="2"/>
      <c r="D315" s="2"/>
    </row>
    <row r="316" spans="1:4" ht="12.75" customHeight="1" x14ac:dyDescent="0.2">
      <c r="A316" s="21"/>
      <c r="B316" s="2"/>
      <c r="C316" s="2"/>
      <c r="D316" s="2"/>
    </row>
    <row r="317" spans="1:4" ht="12.75" customHeight="1" x14ac:dyDescent="0.2">
      <c r="A317" s="5"/>
      <c r="B317" s="2"/>
      <c r="C317" s="2"/>
      <c r="D317" s="2"/>
    </row>
    <row r="318" spans="1:4" ht="12.75" customHeight="1" x14ac:dyDescent="0.2">
      <c r="A318" s="22" t="str">
        <f>HYPERLINK("javascript:void(0)","kompózium lik")</f>
        <v>kompózium lik</v>
      </c>
      <c r="B318" s="21"/>
      <c r="C318" s="21"/>
      <c r="D318" s="21"/>
    </row>
    <row r="319" spans="1:4" ht="12.75" customHeight="1" x14ac:dyDescent="0.2">
      <c r="A319" s="20"/>
      <c r="B319" s="2"/>
      <c r="C319" s="2"/>
      <c r="D319" s="2"/>
    </row>
    <row r="320" spans="1:4" ht="12.75" customHeight="1" x14ac:dyDescent="0.2">
      <c r="A320" s="21"/>
      <c r="B320" s="3" t="s">
        <v>0</v>
      </c>
      <c r="C320" s="20" t="s">
        <v>123</v>
      </c>
      <c r="D320" s="21"/>
    </row>
    <row r="321" spans="1:4" ht="12.75" customHeight="1" x14ac:dyDescent="0.2">
      <c r="A321" s="21"/>
      <c r="B321" s="3" t="s">
        <v>2</v>
      </c>
      <c r="C321" s="20" t="s">
        <v>1839</v>
      </c>
      <c r="D321" s="21"/>
    </row>
    <row r="322" spans="1:4" ht="12.75" customHeight="1" x14ac:dyDescent="0.2">
      <c r="A322" s="21"/>
      <c r="B322" s="3" t="s">
        <v>1840</v>
      </c>
      <c r="C322" s="20" t="s">
        <v>21</v>
      </c>
      <c r="D322" s="21"/>
    </row>
    <row r="323" spans="1:4" ht="12.75" customHeight="1" x14ac:dyDescent="0.2">
      <c r="A323" s="21"/>
      <c r="B323" s="3" t="s">
        <v>9</v>
      </c>
      <c r="C323" s="20" t="s">
        <v>42</v>
      </c>
      <c r="D323" s="21"/>
    </row>
    <row r="324" spans="1:4" ht="12.75" customHeight="1" x14ac:dyDescent="0.2">
      <c r="A324" s="21"/>
      <c r="B324" s="3" t="s">
        <v>11</v>
      </c>
      <c r="C324" s="20" t="s">
        <v>279</v>
      </c>
      <c r="D324" s="21"/>
    </row>
    <row r="325" spans="1:4" ht="12.75" customHeight="1" x14ac:dyDescent="0.2">
      <c r="A325" s="21"/>
      <c r="B325" s="3" t="s">
        <v>16</v>
      </c>
      <c r="C325" s="20"/>
      <c r="D325" s="21"/>
    </row>
    <row r="326" spans="1:4" ht="12.75" customHeight="1" x14ac:dyDescent="0.2">
      <c r="A326" s="21"/>
      <c r="B326" s="3" t="s">
        <v>17</v>
      </c>
      <c r="C326" s="20" t="s">
        <v>19</v>
      </c>
      <c r="D326" s="21"/>
    </row>
    <row r="327" spans="1:4" ht="12.75" customHeight="1" x14ac:dyDescent="0.2">
      <c r="A327" s="21"/>
      <c r="B327" s="20" t="s">
        <v>18</v>
      </c>
      <c r="C327" s="4" t="s">
        <v>77</v>
      </c>
      <c r="D327" s="6" t="str">
        <f>HYPERLINK("javascript:void(0)","kompózium")</f>
        <v>kompózium</v>
      </c>
    </row>
    <row r="328" spans="1:4" ht="12.75" customHeight="1" x14ac:dyDescent="0.2">
      <c r="A328" s="21"/>
      <c r="B328" s="21"/>
      <c r="C328" s="4" t="s">
        <v>142</v>
      </c>
      <c r="D328" s="6" t="str">
        <f>HYPERLINK("javascript:void(0)","esztétikum")</f>
        <v>esztétikum</v>
      </c>
    </row>
    <row r="329" spans="1:4" ht="12.75" customHeight="1" x14ac:dyDescent="0.2">
      <c r="A329" s="21"/>
      <c r="B329" s="21"/>
      <c r="C329" s="4" t="s">
        <v>193</v>
      </c>
      <c r="D329" s="6" t="str">
        <f>HYPERLINK("javascript:void(0)","démonfog")</f>
        <v>démonfog</v>
      </c>
    </row>
    <row r="330" spans="1:4" ht="12.75" customHeight="1" x14ac:dyDescent="0.2">
      <c r="A330" s="21"/>
      <c r="B330" s="2"/>
      <c r="C330" s="2"/>
      <c r="D330" s="2"/>
    </row>
    <row r="331" spans="1:4" ht="12.75" customHeight="1" x14ac:dyDescent="0.2">
      <c r="A331" s="21"/>
      <c r="B331" s="2"/>
      <c r="C331" s="2"/>
      <c r="D331" s="2"/>
    </row>
    <row r="332" spans="1:4" ht="12.75" customHeight="1" x14ac:dyDescent="0.2">
      <c r="A332" s="21"/>
      <c r="B332" s="2"/>
      <c r="C332" s="2"/>
      <c r="D332" s="2"/>
    </row>
    <row r="333" spans="1:4" ht="12.75" customHeight="1" x14ac:dyDescent="0.2">
      <c r="A333" s="21"/>
      <c r="B333" s="2"/>
      <c r="C333" s="2"/>
      <c r="D333" s="2"/>
    </row>
    <row r="334" spans="1:4" ht="12.75" customHeight="1" x14ac:dyDescent="0.2">
      <c r="A334" s="5"/>
      <c r="B334" s="2"/>
      <c r="C334" s="2"/>
      <c r="D334" s="2"/>
    </row>
    <row r="335" spans="1:4" ht="12.75" customHeight="1" x14ac:dyDescent="0.2">
      <c r="A335" s="22" t="str">
        <f>HYPERLINK("javascript:void(0)","rézpajzs")</f>
        <v>rézpajzs</v>
      </c>
      <c r="B335" s="21"/>
      <c r="C335" s="21"/>
      <c r="D335" s="2"/>
    </row>
    <row r="336" spans="1:4" ht="12.75" customHeight="1" x14ac:dyDescent="0.2">
      <c r="A336" s="20"/>
      <c r="B336" s="2"/>
      <c r="C336" s="2"/>
      <c r="D336" s="2"/>
    </row>
    <row r="337" spans="1:4" ht="12.75" customHeight="1" x14ac:dyDescent="0.2">
      <c r="A337" s="21"/>
      <c r="B337" s="3" t="s">
        <v>0</v>
      </c>
      <c r="C337" s="3" t="s">
        <v>26</v>
      </c>
      <c r="D337" s="2"/>
    </row>
    <row r="338" spans="1:4" ht="12.75" customHeight="1" x14ac:dyDescent="0.2">
      <c r="A338" s="21"/>
      <c r="B338" s="3" t="s">
        <v>2</v>
      </c>
      <c r="C338" s="3" t="s">
        <v>1839</v>
      </c>
      <c r="D338" s="2"/>
    </row>
    <row r="339" spans="1:4" ht="12.75" customHeight="1" x14ac:dyDescent="0.2">
      <c r="A339" s="21"/>
      <c r="B339" s="3" t="s">
        <v>1840</v>
      </c>
      <c r="C339" s="3" t="s">
        <v>7</v>
      </c>
      <c r="D339" s="2"/>
    </row>
    <row r="340" spans="1:4" ht="12.75" customHeight="1" x14ac:dyDescent="0.2">
      <c r="A340" s="21"/>
      <c r="B340" s="3" t="s">
        <v>9</v>
      </c>
      <c r="C340" s="3" t="s">
        <v>129</v>
      </c>
      <c r="D340" s="2"/>
    </row>
    <row r="341" spans="1:4" ht="12.75" customHeight="1" x14ac:dyDescent="0.2">
      <c r="A341" s="21"/>
      <c r="B341" s="3" t="s">
        <v>11</v>
      </c>
      <c r="C341" s="3" t="s">
        <v>1866</v>
      </c>
      <c r="D341" s="2"/>
    </row>
    <row r="342" spans="1:4" ht="12.75" customHeight="1" x14ac:dyDescent="0.2">
      <c r="A342" s="21"/>
      <c r="B342" s="3" t="s">
        <v>16</v>
      </c>
      <c r="C342" s="3"/>
      <c r="D342" s="2"/>
    </row>
    <row r="343" spans="1:4" ht="12.75" customHeight="1" x14ac:dyDescent="0.2">
      <c r="A343" s="21"/>
      <c r="B343" s="3" t="s">
        <v>17</v>
      </c>
      <c r="C343" s="3" t="s">
        <v>19</v>
      </c>
      <c r="D343" s="2"/>
    </row>
    <row r="344" spans="1:4" ht="12.75" customHeight="1" x14ac:dyDescent="0.2">
      <c r="A344" s="21"/>
      <c r="B344" s="3" t="s">
        <v>18</v>
      </c>
      <c r="C344" s="4" t="s">
        <v>19</v>
      </c>
      <c r="D344" s="2"/>
    </row>
    <row r="345" spans="1:4" ht="12.75" customHeight="1" x14ac:dyDescent="0.2">
      <c r="A345" s="21"/>
      <c r="B345" s="2"/>
      <c r="C345" s="2"/>
      <c r="D345" s="2"/>
    </row>
    <row r="346" spans="1:4" ht="12.75" customHeight="1" x14ac:dyDescent="0.2">
      <c r="A346" s="21"/>
      <c r="B346" s="2"/>
      <c r="C346" s="2"/>
      <c r="D346" s="2"/>
    </row>
    <row r="347" spans="1:4" ht="12.75" customHeight="1" x14ac:dyDescent="0.2">
      <c r="A347" s="21"/>
      <c r="B347" s="2"/>
      <c r="C347" s="2"/>
      <c r="D347" s="2"/>
    </row>
    <row r="348" spans="1:4" ht="12.75" customHeight="1" x14ac:dyDescent="0.2">
      <c r="A348" s="21"/>
      <c r="B348" s="2"/>
      <c r="C348" s="2"/>
      <c r="D348" s="2"/>
    </row>
    <row r="349" spans="1:4" ht="12.75" customHeight="1" x14ac:dyDescent="0.2">
      <c r="A349" s="5"/>
      <c r="B349" s="2"/>
      <c r="C349" s="2"/>
      <c r="D349" s="2"/>
    </row>
    <row r="350" spans="1:4" ht="12.75" customHeight="1" x14ac:dyDescent="0.2">
      <c r="A350" s="22" t="str">
        <f>HYPERLINK("javascript:void(0)","vas előlap")</f>
        <v>vas előlap</v>
      </c>
      <c r="B350" s="21"/>
      <c r="C350" s="21"/>
      <c r="D350" s="21"/>
    </row>
    <row r="351" spans="1:4" ht="12.75" customHeight="1" x14ac:dyDescent="0.2">
      <c r="A351" s="20"/>
      <c r="B351" s="2"/>
      <c r="C351" s="2"/>
      <c r="D351" s="2"/>
    </row>
    <row r="352" spans="1:4" ht="12.75" customHeight="1" x14ac:dyDescent="0.2">
      <c r="A352" s="21"/>
      <c r="B352" s="3" t="s">
        <v>0</v>
      </c>
      <c r="C352" s="20" t="s">
        <v>26</v>
      </c>
      <c r="D352" s="21"/>
    </row>
    <row r="353" spans="1:4" ht="12.75" customHeight="1" x14ac:dyDescent="0.2">
      <c r="A353" s="21"/>
      <c r="B353" s="3" t="s">
        <v>2</v>
      </c>
      <c r="C353" s="20" t="s">
        <v>1839</v>
      </c>
      <c r="D353" s="21"/>
    </row>
    <row r="354" spans="1:4" ht="12.75" customHeight="1" x14ac:dyDescent="0.2">
      <c r="A354" s="21"/>
      <c r="B354" s="3" t="s">
        <v>1840</v>
      </c>
      <c r="C354" s="20" t="s">
        <v>21</v>
      </c>
      <c r="D354" s="21"/>
    </row>
    <row r="355" spans="1:4" ht="12.75" customHeight="1" x14ac:dyDescent="0.2">
      <c r="A355" s="21"/>
      <c r="B355" s="3" t="s">
        <v>9</v>
      </c>
      <c r="C355" s="20" t="s">
        <v>75</v>
      </c>
      <c r="D355" s="21"/>
    </row>
    <row r="356" spans="1:4" ht="12.75" customHeight="1" x14ac:dyDescent="0.2">
      <c r="A356" s="21"/>
      <c r="B356" s="3" t="s">
        <v>11</v>
      </c>
      <c r="C356" s="20" t="s">
        <v>279</v>
      </c>
      <c r="D356" s="21"/>
    </row>
    <row r="357" spans="1:4" ht="12.75" customHeight="1" x14ac:dyDescent="0.2">
      <c r="A357" s="21"/>
      <c r="B357" s="3" t="s">
        <v>16</v>
      </c>
      <c r="C357" s="20"/>
      <c r="D357" s="21"/>
    </row>
    <row r="358" spans="1:4" ht="12.75" customHeight="1" x14ac:dyDescent="0.2">
      <c r="A358" s="21"/>
      <c r="B358" s="3" t="s">
        <v>17</v>
      </c>
      <c r="C358" s="20" t="s">
        <v>19</v>
      </c>
      <c r="D358" s="21"/>
    </row>
    <row r="359" spans="1:4" ht="12.75" customHeight="1" x14ac:dyDescent="0.2">
      <c r="A359" s="21"/>
      <c r="B359" s="20" t="s">
        <v>18</v>
      </c>
      <c r="C359" s="4" t="s">
        <v>193</v>
      </c>
      <c r="D359" s="6" t="str">
        <f>HYPERLINK("javascript:void(0)","rémszem")</f>
        <v>rémszem</v>
      </c>
    </row>
    <row r="360" spans="1:4" ht="12.75" customHeight="1" x14ac:dyDescent="0.2">
      <c r="A360" s="21"/>
      <c r="B360" s="21"/>
      <c r="C360" s="4" t="s">
        <v>68</v>
      </c>
      <c r="D360" s="6" t="str">
        <f>HYPERLINK("javascript:void(0)","démonzanza")</f>
        <v>démonzanza</v>
      </c>
    </row>
    <row r="361" spans="1:4" ht="12.75" customHeight="1" x14ac:dyDescent="0.2">
      <c r="A361" s="21"/>
      <c r="B361" s="21"/>
      <c r="C361" s="4" t="s">
        <v>67</v>
      </c>
      <c r="D361" s="6" t="str">
        <f>HYPERLINK("javascript:void(0)","vasrög")</f>
        <v>vasrög</v>
      </c>
    </row>
    <row r="362" spans="1:4" ht="12.75" customHeight="1" x14ac:dyDescent="0.2">
      <c r="A362" s="21"/>
      <c r="B362" s="2"/>
      <c r="C362" s="2"/>
      <c r="D362" s="2"/>
    </row>
    <row r="363" spans="1:4" ht="12.75" customHeight="1" x14ac:dyDescent="0.2">
      <c r="A363" s="21"/>
      <c r="B363" s="2"/>
      <c r="C363" s="2"/>
      <c r="D363" s="2"/>
    </row>
    <row r="364" spans="1:4" ht="12.75" customHeight="1" x14ac:dyDescent="0.2">
      <c r="A364" s="21"/>
      <c r="B364" s="2"/>
      <c r="C364" s="2"/>
      <c r="D364" s="2"/>
    </row>
    <row r="365" spans="1:4" ht="12.75" customHeight="1" x14ac:dyDescent="0.2">
      <c r="A365" s="21"/>
      <c r="B365" s="2"/>
      <c r="C365" s="2"/>
      <c r="D365" s="2"/>
    </row>
    <row r="366" spans="1:4" ht="12.75" customHeight="1" x14ac:dyDescent="0.2">
      <c r="A366" s="5"/>
      <c r="B366" s="2"/>
      <c r="C366" s="2"/>
      <c r="D366" s="2"/>
    </row>
    <row r="367" spans="1:4" ht="12.75" customHeight="1" x14ac:dyDescent="0.2">
      <c r="A367" s="22" t="str">
        <f>HYPERLINK("javascript:void(0)","kis szegecspajzs")</f>
        <v>kis szegecspajzs</v>
      </c>
      <c r="B367" s="21"/>
      <c r="C367" s="21"/>
      <c r="D367" s="2"/>
    </row>
    <row r="368" spans="1:4" ht="12.75" customHeight="1" x14ac:dyDescent="0.2">
      <c r="A368" s="20"/>
      <c r="B368" s="2"/>
      <c r="C368" s="2"/>
      <c r="D368" s="2"/>
    </row>
    <row r="369" spans="1:4" ht="12.75" customHeight="1" x14ac:dyDescent="0.2">
      <c r="A369" s="21"/>
      <c r="B369" s="3" t="s">
        <v>0</v>
      </c>
      <c r="C369" s="3" t="s">
        <v>5</v>
      </c>
      <c r="D369" s="2"/>
    </row>
    <row r="370" spans="1:4" ht="12.75" customHeight="1" x14ac:dyDescent="0.2">
      <c r="A370" s="21"/>
      <c r="B370" s="3" t="s">
        <v>2</v>
      </c>
      <c r="C370" s="3" t="s">
        <v>1839</v>
      </c>
      <c r="D370" s="2"/>
    </row>
    <row r="371" spans="1:4" ht="12.75" customHeight="1" x14ac:dyDescent="0.2">
      <c r="A371" s="21"/>
      <c r="B371" s="3" t="s">
        <v>1840</v>
      </c>
      <c r="C371" s="3" t="s">
        <v>123</v>
      </c>
      <c r="D371" s="2"/>
    </row>
    <row r="372" spans="1:4" ht="12.75" customHeight="1" x14ac:dyDescent="0.2">
      <c r="A372" s="21"/>
      <c r="B372" s="3" t="s">
        <v>9</v>
      </c>
      <c r="C372" s="3" t="s">
        <v>147</v>
      </c>
      <c r="D372" s="2"/>
    </row>
    <row r="373" spans="1:4" ht="12.75" customHeight="1" x14ac:dyDescent="0.2">
      <c r="A373" s="21"/>
      <c r="B373" s="3" t="s">
        <v>11</v>
      </c>
      <c r="C373" s="3" t="s">
        <v>1868</v>
      </c>
      <c r="D373" s="2"/>
    </row>
    <row r="374" spans="1:4" ht="12.75" customHeight="1" x14ac:dyDescent="0.2">
      <c r="A374" s="21"/>
      <c r="B374" s="3" t="s">
        <v>16</v>
      </c>
      <c r="C374" s="3"/>
      <c r="D374" s="2"/>
    </row>
    <row r="375" spans="1:4" ht="12.75" customHeight="1" x14ac:dyDescent="0.2">
      <c r="A375" s="21"/>
      <c r="B375" s="3" t="s">
        <v>17</v>
      </c>
      <c r="C375" s="3" t="s">
        <v>19</v>
      </c>
      <c r="D375" s="2"/>
    </row>
    <row r="376" spans="1:4" ht="12.75" customHeight="1" x14ac:dyDescent="0.2">
      <c r="A376" s="21"/>
      <c r="B376" s="3" t="s">
        <v>18</v>
      </c>
      <c r="C376" s="4" t="s">
        <v>19</v>
      </c>
      <c r="D376" s="2"/>
    </row>
    <row r="377" spans="1:4" ht="12.75" customHeight="1" x14ac:dyDescent="0.2">
      <c r="A377" s="21"/>
      <c r="B377" s="2"/>
      <c r="C377" s="2"/>
      <c r="D377" s="2"/>
    </row>
    <row r="378" spans="1:4" ht="12.75" customHeight="1" x14ac:dyDescent="0.2">
      <c r="A378" s="21"/>
      <c r="B378" s="2"/>
      <c r="C378" s="2"/>
      <c r="D378" s="2"/>
    </row>
    <row r="379" spans="1:4" ht="12.75" customHeight="1" x14ac:dyDescent="0.2">
      <c r="A379" s="21"/>
      <c r="B379" s="2"/>
      <c r="C379" s="2"/>
      <c r="D379" s="2"/>
    </row>
    <row r="380" spans="1:4" ht="12.75" customHeight="1" x14ac:dyDescent="0.2">
      <c r="A380" s="21"/>
      <c r="B380" s="2"/>
      <c r="C380" s="2"/>
      <c r="D380" s="2"/>
    </row>
    <row r="381" spans="1:4" ht="12.75" customHeight="1" x14ac:dyDescent="0.2">
      <c r="A381" s="5"/>
      <c r="B381" s="2"/>
      <c r="C381" s="2"/>
      <c r="D381" s="2"/>
    </row>
    <row r="382" spans="1:4" ht="12.75" customHeight="1" x14ac:dyDescent="0.2">
      <c r="A382" s="22" t="str">
        <f>HYPERLINK("javascript:void(0)","smaragd előlap")</f>
        <v>smaragd előlap</v>
      </c>
      <c r="B382" s="21"/>
      <c r="C382" s="21"/>
      <c r="D382" s="21"/>
    </row>
    <row r="383" spans="1:4" ht="12.75" customHeight="1" x14ac:dyDescent="0.2">
      <c r="A383" s="20"/>
      <c r="B383" s="2"/>
      <c r="C383" s="2"/>
      <c r="D383" s="2"/>
    </row>
    <row r="384" spans="1:4" ht="12.75" customHeight="1" x14ac:dyDescent="0.2">
      <c r="A384" s="21"/>
      <c r="B384" s="3" t="s">
        <v>0</v>
      </c>
      <c r="C384" s="20" t="s">
        <v>5</v>
      </c>
      <c r="D384" s="21"/>
    </row>
    <row r="385" spans="1:4" ht="12.75" customHeight="1" x14ac:dyDescent="0.2">
      <c r="A385" s="21"/>
      <c r="B385" s="3" t="s">
        <v>2</v>
      </c>
      <c r="C385" s="20" t="s">
        <v>1839</v>
      </c>
      <c r="D385" s="21"/>
    </row>
    <row r="386" spans="1:4" ht="12.75" customHeight="1" x14ac:dyDescent="0.2">
      <c r="A386" s="21"/>
      <c r="B386" s="3" t="s">
        <v>1840</v>
      </c>
      <c r="C386" s="20" t="s">
        <v>21</v>
      </c>
      <c r="D386" s="21"/>
    </row>
    <row r="387" spans="1:4" ht="12.75" customHeight="1" x14ac:dyDescent="0.2">
      <c r="A387" s="21"/>
      <c r="B387" s="3" t="s">
        <v>9</v>
      </c>
      <c r="C387" s="20" t="s">
        <v>42</v>
      </c>
      <c r="D387" s="21"/>
    </row>
    <row r="388" spans="1:4" ht="12.75" customHeight="1" x14ac:dyDescent="0.2">
      <c r="A388" s="21"/>
      <c r="B388" s="3" t="s">
        <v>11</v>
      </c>
      <c r="C388" s="20" t="s">
        <v>152</v>
      </c>
      <c r="D388" s="21"/>
    </row>
    <row r="389" spans="1:4" ht="12.75" customHeight="1" x14ac:dyDescent="0.2">
      <c r="A389" s="21"/>
      <c r="B389" s="3" t="s">
        <v>16</v>
      </c>
      <c r="C389" s="20"/>
      <c r="D389" s="21"/>
    </row>
    <row r="390" spans="1:4" ht="12.75" customHeight="1" x14ac:dyDescent="0.2">
      <c r="A390" s="21"/>
      <c r="B390" s="3" t="s">
        <v>17</v>
      </c>
      <c r="C390" s="20" t="s">
        <v>19</v>
      </c>
      <c r="D390" s="21"/>
    </row>
    <row r="391" spans="1:4" ht="12.75" customHeight="1" x14ac:dyDescent="0.2">
      <c r="A391" s="21"/>
      <c r="B391" s="20" t="s">
        <v>18</v>
      </c>
      <c r="C391" s="4" t="s">
        <v>323</v>
      </c>
      <c r="D391" s="6" t="str">
        <f>HYPERLINK("javascript:void(0)","smaragd")</f>
        <v>smaragd</v>
      </c>
    </row>
    <row r="392" spans="1:4" ht="12.75" customHeight="1" x14ac:dyDescent="0.2">
      <c r="A392" s="21"/>
      <c r="B392" s="21"/>
      <c r="C392" s="4" t="s">
        <v>102</v>
      </c>
      <c r="D392" s="6" t="str">
        <f>HYPERLINK("javascript:void(0)","főnixtoll")</f>
        <v>főnixtoll</v>
      </c>
    </row>
    <row r="393" spans="1:4" ht="12.75" customHeight="1" x14ac:dyDescent="0.2">
      <c r="A393" s="21"/>
      <c r="B393" s="21"/>
      <c r="C393" s="4" t="s">
        <v>68</v>
      </c>
      <c r="D393" s="6" t="str">
        <f>HYPERLINK("javascript:void(0)","hemoglobin")</f>
        <v>hemoglobin</v>
      </c>
    </row>
    <row r="394" spans="1:4" ht="12.75" customHeight="1" x14ac:dyDescent="0.2">
      <c r="A394" s="21"/>
      <c r="B394" s="2"/>
      <c r="C394" s="2"/>
      <c r="D394" s="2"/>
    </row>
    <row r="395" spans="1:4" ht="12.75" customHeight="1" x14ac:dyDescent="0.2">
      <c r="A395" s="21"/>
      <c r="B395" s="2"/>
      <c r="C395" s="2"/>
      <c r="D395" s="2"/>
    </row>
    <row r="396" spans="1:4" ht="12.75" customHeight="1" x14ac:dyDescent="0.2">
      <c r="A396" s="21"/>
      <c r="B396" s="2"/>
      <c r="C396" s="2"/>
      <c r="D396" s="2"/>
    </row>
    <row r="397" spans="1:4" ht="12.75" customHeight="1" x14ac:dyDescent="0.2">
      <c r="A397" s="21"/>
      <c r="B397" s="2"/>
      <c r="C397" s="2"/>
      <c r="D397" s="2"/>
    </row>
    <row r="398" spans="1:4" ht="12.75" customHeight="1" x14ac:dyDescent="0.2">
      <c r="A398" s="5"/>
      <c r="B398" s="2"/>
      <c r="C398" s="2"/>
      <c r="D398" s="2"/>
    </row>
    <row r="399" spans="1:4" ht="12.75" customHeight="1" x14ac:dyDescent="0.2">
      <c r="A399" s="22" t="str">
        <f>HYPERLINK("javascript:void(0)","kis ork pajzs")</f>
        <v>kis ork pajzs</v>
      </c>
      <c r="B399" s="21"/>
      <c r="C399" s="21"/>
      <c r="D399" s="21"/>
    </row>
    <row r="400" spans="1:4" ht="12.75" customHeight="1" x14ac:dyDescent="0.2">
      <c r="A400" s="20"/>
      <c r="B400" s="2"/>
      <c r="C400" s="2"/>
      <c r="D400" s="2"/>
    </row>
    <row r="401" spans="1:4" ht="12.75" customHeight="1" x14ac:dyDescent="0.2">
      <c r="A401" s="21"/>
      <c r="B401" s="3" t="s">
        <v>0</v>
      </c>
      <c r="C401" s="20" t="s">
        <v>40</v>
      </c>
      <c r="D401" s="21"/>
    </row>
    <row r="402" spans="1:4" ht="12.75" customHeight="1" x14ac:dyDescent="0.2">
      <c r="A402" s="21"/>
      <c r="B402" s="3" t="s">
        <v>2</v>
      </c>
      <c r="C402" s="20" t="s">
        <v>1839</v>
      </c>
      <c r="D402" s="21"/>
    </row>
    <row r="403" spans="1:4" ht="12.75" customHeight="1" x14ac:dyDescent="0.2">
      <c r="A403" s="21"/>
      <c r="B403" s="3" t="s">
        <v>1840</v>
      </c>
      <c r="C403" s="20" t="s">
        <v>26</v>
      </c>
      <c r="D403" s="21"/>
    </row>
    <row r="404" spans="1:4" ht="12.75" customHeight="1" x14ac:dyDescent="0.2">
      <c r="A404" s="21"/>
      <c r="B404" s="3" t="s">
        <v>9</v>
      </c>
      <c r="C404" s="20" t="s">
        <v>210</v>
      </c>
      <c r="D404" s="21"/>
    </row>
    <row r="405" spans="1:4" ht="12.75" customHeight="1" x14ac:dyDescent="0.2">
      <c r="A405" s="21"/>
      <c r="B405" s="3" t="s">
        <v>11</v>
      </c>
      <c r="C405" s="20" t="s">
        <v>989</v>
      </c>
      <c r="D405" s="21"/>
    </row>
    <row r="406" spans="1:4" ht="12.75" customHeight="1" x14ac:dyDescent="0.2">
      <c r="A406" s="21"/>
      <c r="B406" s="3" t="s">
        <v>16</v>
      </c>
      <c r="C406" s="20"/>
      <c r="D406" s="21"/>
    </row>
    <row r="407" spans="1:4" ht="12.75" customHeight="1" x14ac:dyDescent="0.2">
      <c r="A407" s="21"/>
      <c r="B407" s="3" t="s">
        <v>17</v>
      </c>
      <c r="C407" s="20" t="s">
        <v>19</v>
      </c>
      <c r="D407" s="21"/>
    </row>
    <row r="408" spans="1:4" ht="12.75" customHeight="1" x14ac:dyDescent="0.2">
      <c r="A408" s="21"/>
      <c r="B408" s="20" t="s">
        <v>18</v>
      </c>
      <c r="C408" s="4" t="s">
        <v>44</v>
      </c>
      <c r="D408" s="6" t="str">
        <f>HYPERLINK("javascript:void(0)","szegecselt pajzs")</f>
        <v>szegecselt pajzs</v>
      </c>
    </row>
    <row r="409" spans="1:4" ht="12.75" customHeight="1" x14ac:dyDescent="0.2">
      <c r="A409" s="21"/>
      <c r="B409" s="21"/>
      <c r="C409" s="4" t="s">
        <v>193</v>
      </c>
      <c r="D409" s="6" t="str">
        <f>HYPERLINK("javascript:void(0)","ezüst")</f>
        <v>ezüst</v>
      </c>
    </row>
    <row r="410" spans="1:4" ht="12.75" customHeight="1" x14ac:dyDescent="0.2">
      <c r="A410" s="21"/>
      <c r="B410" s="21"/>
      <c r="C410" s="4" t="s">
        <v>56</v>
      </c>
      <c r="D410" s="6" t="str">
        <f>HYPERLINK("javascript:void(0)","arany")</f>
        <v>arany</v>
      </c>
    </row>
    <row r="411" spans="1:4" ht="12.75" customHeight="1" x14ac:dyDescent="0.2">
      <c r="A411" s="21"/>
      <c r="B411" s="2"/>
      <c r="C411" s="2"/>
      <c r="D411" s="2"/>
    </row>
    <row r="412" spans="1:4" ht="12.75" customHeight="1" x14ac:dyDescent="0.2">
      <c r="A412" s="21"/>
      <c r="B412" s="2"/>
      <c r="C412" s="2"/>
      <c r="D412" s="2"/>
    </row>
    <row r="413" spans="1:4" ht="12.75" customHeight="1" x14ac:dyDescent="0.2">
      <c r="A413" s="21"/>
      <c r="B413" s="2"/>
      <c r="C413" s="2"/>
      <c r="D413" s="2"/>
    </row>
    <row r="414" spans="1:4" ht="12.75" customHeight="1" x14ac:dyDescent="0.2">
      <c r="A414" s="21"/>
      <c r="B414" s="2"/>
      <c r="C414" s="2"/>
      <c r="D414" s="2"/>
    </row>
    <row r="415" spans="1:4" ht="12.75" customHeight="1" x14ac:dyDescent="0.2">
      <c r="A415" s="5"/>
      <c r="B415" s="2"/>
      <c r="C415" s="2"/>
      <c r="D415" s="2"/>
    </row>
    <row r="416" spans="1:4" ht="12.75" customHeight="1" x14ac:dyDescent="0.2">
      <c r="A416" s="22" t="str">
        <f>HYPERLINK("javascript:void(0)","bronzpajzs")</f>
        <v>bronzpajzs</v>
      </c>
      <c r="B416" s="21"/>
      <c r="C416" s="21"/>
      <c r="D416" s="21"/>
    </row>
    <row r="417" spans="1:4" ht="12.75" customHeight="1" x14ac:dyDescent="0.2">
      <c r="A417" s="20"/>
      <c r="B417" s="2"/>
      <c r="C417" s="2"/>
      <c r="D417" s="2"/>
    </row>
    <row r="418" spans="1:4" ht="12.75" customHeight="1" x14ac:dyDescent="0.2">
      <c r="A418" s="21"/>
      <c r="B418" s="3" t="s">
        <v>0</v>
      </c>
      <c r="C418" s="20" t="s">
        <v>128</v>
      </c>
      <c r="D418" s="21"/>
    </row>
    <row r="419" spans="1:4" ht="12.75" customHeight="1" x14ac:dyDescent="0.2">
      <c r="A419" s="21"/>
      <c r="B419" s="3" t="s">
        <v>2</v>
      </c>
      <c r="C419" s="20" t="s">
        <v>1839</v>
      </c>
      <c r="D419" s="21"/>
    </row>
    <row r="420" spans="1:4" ht="12.75" customHeight="1" x14ac:dyDescent="0.2">
      <c r="A420" s="21"/>
      <c r="B420" s="3" t="s">
        <v>1840</v>
      </c>
      <c r="C420" s="20" t="s">
        <v>26</v>
      </c>
      <c r="D420" s="21"/>
    </row>
    <row r="421" spans="1:4" ht="12.75" customHeight="1" x14ac:dyDescent="0.2">
      <c r="A421" s="21"/>
      <c r="B421" s="3" t="s">
        <v>9</v>
      </c>
      <c r="C421" s="20" t="s">
        <v>169</v>
      </c>
      <c r="D421" s="21"/>
    </row>
    <row r="422" spans="1:4" ht="12.75" customHeight="1" x14ac:dyDescent="0.2">
      <c r="A422" s="21"/>
      <c r="B422" s="3" t="s">
        <v>11</v>
      </c>
      <c r="C422" s="20" t="s">
        <v>987</v>
      </c>
      <c r="D422" s="21"/>
    </row>
    <row r="423" spans="1:4" ht="12.75" customHeight="1" x14ac:dyDescent="0.2">
      <c r="A423" s="21"/>
      <c r="B423" s="3" t="s">
        <v>16</v>
      </c>
      <c r="C423" s="20"/>
      <c r="D423" s="21"/>
    </row>
    <row r="424" spans="1:4" ht="12.75" customHeight="1" x14ac:dyDescent="0.2">
      <c r="A424" s="21"/>
      <c r="B424" s="3" t="s">
        <v>17</v>
      </c>
      <c r="C424" s="20" t="s">
        <v>19</v>
      </c>
      <c r="D424" s="21"/>
    </row>
    <row r="425" spans="1:4" ht="12.75" customHeight="1" x14ac:dyDescent="0.2">
      <c r="A425" s="21"/>
      <c r="B425" s="20" t="s">
        <v>18</v>
      </c>
      <c r="C425" s="4" t="s">
        <v>44</v>
      </c>
      <c r="D425" s="6" t="str">
        <f>HYPERLINK("javascript:void(0)","bőrpajzs")</f>
        <v>bőrpajzs</v>
      </c>
    </row>
    <row r="426" spans="1:4" ht="12.75" customHeight="1" x14ac:dyDescent="0.2">
      <c r="A426" s="21"/>
      <c r="B426" s="21"/>
      <c r="C426" s="4" t="s">
        <v>57</v>
      </c>
      <c r="D426" s="6" t="str">
        <f>HYPERLINK("javascript:void(0)","ezüst")</f>
        <v>ezüst</v>
      </c>
    </row>
    <row r="427" spans="1:4" ht="12.75" customHeight="1" x14ac:dyDescent="0.2">
      <c r="A427" s="21"/>
      <c r="B427" s="21"/>
      <c r="C427" s="4" t="s">
        <v>232</v>
      </c>
      <c r="D427" s="6" t="str">
        <f>HYPERLINK("javascript:void(0)","rézérc")</f>
        <v>rézérc</v>
      </c>
    </row>
    <row r="428" spans="1:4" ht="12.75" customHeight="1" x14ac:dyDescent="0.2">
      <c r="A428" s="21"/>
      <c r="B428" s="2"/>
      <c r="C428" s="2"/>
      <c r="D428" s="2"/>
    </row>
    <row r="429" spans="1:4" ht="12.75" customHeight="1" x14ac:dyDescent="0.2">
      <c r="A429" s="21"/>
      <c r="B429" s="2"/>
      <c r="C429" s="2"/>
      <c r="D429" s="2"/>
    </row>
    <row r="430" spans="1:4" ht="12.75" customHeight="1" x14ac:dyDescent="0.2">
      <c r="A430" s="21"/>
      <c r="B430" s="2"/>
      <c r="C430" s="2"/>
      <c r="D430" s="2"/>
    </row>
    <row r="431" spans="1:4" ht="12.75" customHeight="1" x14ac:dyDescent="0.2">
      <c r="A431" s="21"/>
      <c r="B431" s="2"/>
      <c r="C431" s="2"/>
      <c r="D431" s="2"/>
    </row>
    <row r="432" spans="1:4" ht="12.75" customHeight="1" x14ac:dyDescent="0.2">
      <c r="A432" s="5"/>
      <c r="B432" s="2"/>
      <c r="C432" s="2"/>
      <c r="D432" s="2"/>
    </row>
    <row r="433" spans="1:4" ht="12.75" customHeight="1" x14ac:dyDescent="0.2">
      <c r="A433" s="22" t="str">
        <f>HYPERLINK("javascript:void(0)","parszi kerek pajzs")</f>
        <v>parszi kerek pajzs</v>
      </c>
      <c r="B433" s="21"/>
      <c r="C433" s="21"/>
      <c r="D433" s="21"/>
    </row>
    <row r="434" spans="1:4" ht="12.75" customHeight="1" x14ac:dyDescent="0.2">
      <c r="A434" s="20"/>
      <c r="B434" s="2"/>
      <c r="C434" s="2"/>
      <c r="D434" s="2"/>
    </row>
    <row r="435" spans="1:4" ht="12.75" customHeight="1" x14ac:dyDescent="0.2">
      <c r="A435" s="21"/>
      <c r="B435" s="3" t="s">
        <v>0</v>
      </c>
      <c r="C435" s="20" t="s">
        <v>128</v>
      </c>
      <c r="D435" s="21"/>
    </row>
    <row r="436" spans="1:4" ht="12.75" customHeight="1" x14ac:dyDescent="0.2">
      <c r="A436" s="21"/>
      <c r="B436" s="3" t="s">
        <v>2</v>
      </c>
      <c r="C436" s="20" t="s">
        <v>1839</v>
      </c>
      <c r="D436" s="21"/>
    </row>
    <row r="437" spans="1:4" ht="12.75" customHeight="1" x14ac:dyDescent="0.2">
      <c r="A437" s="21"/>
      <c r="B437" s="3" t="s">
        <v>1840</v>
      </c>
      <c r="C437" s="20" t="s">
        <v>5</v>
      </c>
      <c r="D437" s="21"/>
    </row>
    <row r="438" spans="1:4" ht="12.75" customHeight="1" x14ac:dyDescent="0.2">
      <c r="A438" s="21"/>
      <c r="B438" s="3" t="s">
        <v>9</v>
      </c>
      <c r="C438" s="20" t="s">
        <v>61</v>
      </c>
      <c r="D438" s="21"/>
    </row>
    <row r="439" spans="1:4" ht="12.75" customHeight="1" x14ac:dyDescent="0.2">
      <c r="A439" s="21"/>
      <c r="B439" s="3" t="s">
        <v>11</v>
      </c>
      <c r="C439" s="20" t="s">
        <v>989</v>
      </c>
      <c r="D439" s="21"/>
    </row>
    <row r="440" spans="1:4" ht="12.75" customHeight="1" x14ac:dyDescent="0.2">
      <c r="A440" s="21"/>
      <c r="B440" s="3" t="s">
        <v>16</v>
      </c>
      <c r="C440" s="20"/>
      <c r="D440" s="21"/>
    </row>
    <row r="441" spans="1:4" ht="12.75" customHeight="1" x14ac:dyDescent="0.2">
      <c r="A441" s="21"/>
      <c r="B441" s="3" t="s">
        <v>17</v>
      </c>
      <c r="C441" s="20" t="s">
        <v>19</v>
      </c>
      <c r="D441" s="21"/>
    </row>
    <row r="442" spans="1:4" ht="12.75" customHeight="1" x14ac:dyDescent="0.2">
      <c r="A442" s="21"/>
      <c r="B442" s="20" t="s">
        <v>18</v>
      </c>
      <c r="C442" s="4" t="s">
        <v>44</v>
      </c>
      <c r="D442" s="6" t="str">
        <f>HYPERLINK("javascript:void(0)","kis ork pajzs")</f>
        <v>kis ork pajzs</v>
      </c>
    </row>
    <row r="443" spans="1:4" ht="12.75" customHeight="1" x14ac:dyDescent="0.2">
      <c r="A443" s="21"/>
      <c r="B443" s="21"/>
      <c r="C443" s="4" t="s">
        <v>232</v>
      </c>
      <c r="D443" s="6" t="str">
        <f>HYPERLINK("javascript:void(0)","óngolyó")</f>
        <v>óngolyó</v>
      </c>
    </row>
    <row r="444" spans="1:4" ht="12.75" customHeight="1" x14ac:dyDescent="0.2">
      <c r="A444" s="21"/>
      <c r="B444" s="21"/>
      <c r="C444" s="4" t="s">
        <v>55</v>
      </c>
      <c r="D444" s="6" t="str">
        <f>HYPERLINK("javascript:void(0)","vasérc")</f>
        <v>vasérc</v>
      </c>
    </row>
    <row r="445" spans="1:4" ht="12.75" customHeight="1" x14ac:dyDescent="0.2">
      <c r="A445" s="21"/>
      <c r="B445" s="2"/>
      <c r="C445" s="2"/>
      <c r="D445" s="2"/>
    </row>
    <row r="446" spans="1:4" ht="12.75" customHeight="1" x14ac:dyDescent="0.2">
      <c r="A446" s="21"/>
      <c r="B446" s="2"/>
      <c r="C446" s="2"/>
      <c r="D446" s="2"/>
    </row>
    <row r="447" spans="1:4" ht="12.75" customHeight="1" x14ac:dyDescent="0.2">
      <c r="A447" s="21"/>
      <c r="B447" s="2"/>
      <c r="C447" s="2"/>
      <c r="D447" s="2"/>
    </row>
    <row r="448" spans="1:4" ht="12.75" customHeight="1" x14ac:dyDescent="0.2">
      <c r="A448" s="21"/>
      <c r="B448" s="2"/>
      <c r="C448" s="2"/>
      <c r="D448" s="2"/>
    </row>
    <row r="449" spans="1:4" ht="12.75" customHeight="1" x14ac:dyDescent="0.2">
      <c r="A449" s="5"/>
      <c r="B449" s="2"/>
      <c r="C449" s="2"/>
      <c r="D449" s="2"/>
    </row>
    <row r="450" spans="1:4" ht="12.75" customHeight="1" x14ac:dyDescent="0.2">
      <c r="A450" s="22" t="str">
        <f>HYPERLINK("javascript:void(0)","vámpírpajzs")</f>
        <v>vámpírpajzs</v>
      </c>
      <c r="B450" s="21"/>
      <c r="C450" s="21"/>
      <c r="D450" s="21"/>
    </row>
    <row r="451" spans="1:4" ht="12.75" customHeight="1" x14ac:dyDescent="0.2">
      <c r="A451" s="20"/>
      <c r="B451" s="2"/>
      <c r="C451" s="2"/>
      <c r="D451" s="2"/>
    </row>
    <row r="452" spans="1:4" ht="12.75" customHeight="1" x14ac:dyDescent="0.2">
      <c r="A452" s="21"/>
      <c r="B452" s="3" t="s">
        <v>0</v>
      </c>
      <c r="C452" s="20" t="s">
        <v>48</v>
      </c>
      <c r="D452" s="21"/>
    </row>
    <row r="453" spans="1:4" ht="12.75" customHeight="1" x14ac:dyDescent="0.2">
      <c r="A453" s="21"/>
      <c r="B453" s="3" t="s">
        <v>2</v>
      </c>
      <c r="C453" s="20" t="s">
        <v>1839</v>
      </c>
      <c r="D453" s="21"/>
    </row>
    <row r="454" spans="1:4" ht="12.75" customHeight="1" x14ac:dyDescent="0.2">
      <c r="A454" s="21"/>
      <c r="B454" s="3" t="s">
        <v>1840</v>
      </c>
      <c r="C454" s="20" t="s">
        <v>40</v>
      </c>
      <c r="D454" s="21"/>
    </row>
    <row r="455" spans="1:4" ht="12.75" customHeight="1" x14ac:dyDescent="0.2">
      <c r="A455" s="21"/>
      <c r="B455" s="3" t="s">
        <v>9</v>
      </c>
      <c r="C455" s="20" t="s">
        <v>366</v>
      </c>
      <c r="D455" s="21"/>
    </row>
    <row r="456" spans="1:4" ht="12.75" customHeight="1" x14ac:dyDescent="0.2">
      <c r="A456" s="21"/>
      <c r="B456" s="3" t="s">
        <v>11</v>
      </c>
      <c r="C456" s="20" t="s">
        <v>695</v>
      </c>
      <c r="D456" s="21"/>
    </row>
    <row r="457" spans="1:4" ht="12.75" customHeight="1" x14ac:dyDescent="0.2">
      <c r="A457" s="21"/>
      <c r="B457" s="3" t="s">
        <v>16</v>
      </c>
      <c r="C457" s="20"/>
      <c r="D457" s="21"/>
    </row>
    <row r="458" spans="1:4" ht="12.75" customHeight="1" x14ac:dyDescent="0.2">
      <c r="A458" s="21"/>
      <c r="B458" s="3" t="s">
        <v>17</v>
      </c>
      <c r="C458" s="20" t="s">
        <v>19</v>
      </c>
      <c r="D458" s="21"/>
    </row>
    <row r="459" spans="1:4" ht="12.75" customHeight="1" x14ac:dyDescent="0.2">
      <c r="A459" s="21"/>
      <c r="B459" s="20" t="s">
        <v>18</v>
      </c>
      <c r="C459" s="4" t="s">
        <v>117</v>
      </c>
      <c r="D459" s="6" t="str">
        <f>HYPERLINK("javascript:void(0)","vámpírherbium")</f>
        <v>vámpírherbium</v>
      </c>
    </row>
    <row r="460" spans="1:4" ht="12.75" customHeight="1" x14ac:dyDescent="0.2">
      <c r="A460" s="21"/>
      <c r="B460" s="21"/>
      <c r="C460" s="4" t="s">
        <v>44</v>
      </c>
      <c r="D460" s="6" t="str">
        <f>HYPERLINK("javascript:void(0)","kis ork pajzs")</f>
        <v>kis ork pajzs</v>
      </c>
    </row>
    <row r="461" spans="1:4" ht="12.75" customHeight="1" x14ac:dyDescent="0.2">
      <c r="A461" s="21"/>
      <c r="B461" s="21"/>
      <c r="C461" s="4" t="s">
        <v>67</v>
      </c>
      <c r="D461" s="6" t="str">
        <f>HYPERLINK("javascript:void(0)","vasérc")</f>
        <v>vasérc</v>
      </c>
    </row>
    <row r="462" spans="1:4" ht="12.75" customHeight="1" x14ac:dyDescent="0.2">
      <c r="A462" s="21"/>
      <c r="B462" s="2"/>
      <c r="C462" s="2"/>
      <c r="D462" s="2"/>
    </row>
    <row r="463" spans="1:4" ht="12.75" customHeight="1" x14ac:dyDescent="0.2">
      <c r="A463" s="21"/>
      <c r="B463" s="2"/>
      <c r="C463" s="2"/>
      <c r="D463" s="2"/>
    </row>
    <row r="464" spans="1:4" ht="12.75" customHeight="1" x14ac:dyDescent="0.2">
      <c r="A464" s="21"/>
      <c r="B464" s="2"/>
      <c r="C464" s="2"/>
      <c r="D464" s="2"/>
    </row>
    <row r="465" spans="1:4" ht="12.75" customHeight="1" x14ac:dyDescent="0.2">
      <c r="A465" s="21"/>
      <c r="B465" s="2"/>
      <c r="C465" s="2"/>
      <c r="D465" s="2"/>
    </row>
    <row r="466" spans="1:4" ht="12.75" customHeight="1" x14ac:dyDescent="0.2">
      <c r="A466" s="5"/>
      <c r="B466" s="2"/>
      <c r="C466" s="2"/>
      <c r="D466" s="2"/>
    </row>
    <row r="467" spans="1:4" ht="12.75" customHeight="1" x14ac:dyDescent="0.2">
      <c r="A467" s="22" t="str">
        <f>HYPERLINK("javascript:void(0)","nagy ork pajzs")</f>
        <v>nagy ork pajzs</v>
      </c>
      <c r="B467" s="21"/>
      <c r="C467" s="21"/>
      <c r="D467" s="21"/>
    </row>
    <row r="468" spans="1:4" ht="12.75" customHeight="1" x14ac:dyDescent="0.2">
      <c r="A468" s="20"/>
      <c r="B468" s="2"/>
      <c r="C468" s="2"/>
      <c r="D468" s="2"/>
    </row>
    <row r="469" spans="1:4" ht="12.75" customHeight="1" x14ac:dyDescent="0.2">
      <c r="A469" s="21"/>
      <c r="B469" s="3" t="s">
        <v>0</v>
      </c>
      <c r="C469" s="20" t="s">
        <v>48</v>
      </c>
      <c r="D469" s="21"/>
    </row>
    <row r="470" spans="1:4" ht="12.75" customHeight="1" x14ac:dyDescent="0.2">
      <c r="A470" s="21"/>
      <c r="B470" s="3" t="s">
        <v>2</v>
      </c>
      <c r="C470" s="20" t="s">
        <v>1839</v>
      </c>
      <c r="D470" s="21"/>
    </row>
    <row r="471" spans="1:4" ht="12.75" customHeight="1" x14ac:dyDescent="0.2">
      <c r="A471" s="21"/>
      <c r="B471" s="3" t="s">
        <v>1840</v>
      </c>
      <c r="C471" s="20" t="s">
        <v>5</v>
      </c>
      <c r="D471" s="21"/>
    </row>
    <row r="472" spans="1:4" ht="12.75" customHeight="1" x14ac:dyDescent="0.2">
      <c r="A472" s="21"/>
      <c r="B472" s="3" t="s">
        <v>9</v>
      </c>
      <c r="C472" s="20" t="s">
        <v>1874</v>
      </c>
      <c r="D472" s="21"/>
    </row>
    <row r="473" spans="1:4" ht="12.75" customHeight="1" x14ac:dyDescent="0.2">
      <c r="A473" s="21"/>
      <c r="B473" s="3" t="s">
        <v>11</v>
      </c>
      <c r="C473" s="20" t="s">
        <v>1642</v>
      </c>
      <c r="D473" s="21"/>
    </row>
    <row r="474" spans="1:4" ht="12.75" customHeight="1" x14ac:dyDescent="0.2">
      <c r="A474" s="21"/>
      <c r="B474" s="3" t="s">
        <v>16</v>
      </c>
      <c r="C474" s="20"/>
      <c r="D474" s="21"/>
    </row>
    <row r="475" spans="1:4" ht="12.75" customHeight="1" x14ac:dyDescent="0.2">
      <c r="A475" s="21"/>
      <c r="B475" s="3" t="s">
        <v>17</v>
      </c>
      <c r="C475" s="20" t="s">
        <v>19</v>
      </c>
      <c r="D475" s="21"/>
    </row>
    <row r="476" spans="1:4" ht="12.75" customHeight="1" x14ac:dyDescent="0.2">
      <c r="A476" s="21"/>
      <c r="B476" s="20" t="s">
        <v>18</v>
      </c>
      <c r="C476" s="4" t="s">
        <v>44</v>
      </c>
      <c r="D476" s="6" t="str">
        <f>HYPERLINK("javascript:void(0)","kis ork pajzs")</f>
        <v>kis ork pajzs</v>
      </c>
    </row>
    <row r="477" spans="1:4" ht="12.75" customHeight="1" x14ac:dyDescent="0.2">
      <c r="A477" s="21"/>
      <c r="B477" s="21"/>
      <c r="C477" s="4" t="s">
        <v>369</v>
      </c>
      <c r="D477" s="6" t="str">
        <f>HYPERLINK("javascript:void(0)","ezüst")</f>
        <v>ezüst</v>
      </c>
    </row>
    <row r="478" spans="1:4" ht="12.75" customHeight="1" x14ac:dyDescent="0.2">
      <c r="A478" s="21"/>
      <c r="B478" s="21"/>
      <c r="C478" s="4" t="s">
        <v>55</v>
      </c>
      <c r="D478" s="6" t="str">
        <f>HYPERLINK("javascript:void(0)","arany")</f>
        <v>arany</v>
      </c>
    </row>
    <row r="479" spans="1:4" ht="12.75" customHeight="1" x14ac:dyDescent="0.2">
      <c r="A479" s="21"/>
      <c r="B479" s="2"/>
      <c r="C479" s="2"/>
      <c r="D479" s="2"/>
    </row>
    <row r="480" spans="1:4" ht="12.75" customHeight="1" x14ac:dyDescent="0.2">
      <c r="A480" s="21"/>
      <c r="B480" s="2"/>
      <c r="C480" s="2"/>
      <c r="D480" s="2"/>
    </row>
    <row r="481" spans="1:4" ht="12.75" customHeight="1" x14ac:dyDescent="0.2">
      <c r="A481" s="21"/>
      <c r="B481" s="2"/>
      <c r="C481" s="2"/>
      <c r="D481" s="2"/>
    </row>
    <row r="482" spans="1:4" ht="12.75" customHeight="1" x14ac:dyDescent="0.2">
      <c r="A482" s="21"/>
      <c r="B482" s="2"/>
      <c r="C482" s="2"/>
      <c r="D482" s="2"/>
    </row>
    <row r="483" spans="1:4" ht="12.75" customHeight="1" x14ac:dyDescent="0.2">
      <c r="A483" s="5"/>
      <c r="B483" s="2"/>
      <c r="C483" s="2"/>
      <c r="D483" s="2"/>
    </row>
    <row r="484" spans="1:4" ht="12.75" customHeight="1" x14ac:dyDescent="0.2">
      <c r="A484" s="22" t="str">
        <f>HYPERLINK("javascript:void(0)","acél testpajzs")</f>
        <v>acél testpajzs</v>
      </c>
      <c r="B484" s="21"/>
      <c r="C484" s="21"/>
      <c r="D484" s="21"/>
    </row>
    <row r="485" spans="1:4" ht="12.75" customHeight="1" x14ac:dyDescent="0.2">
      <c r="A485" s="20"/>
      <c r="B485" s="2"/>
      <c r="C485" s="2"/>
      <c r="D485" s="2"/>
    </row>
    <row r="486" spans="1:4" ht="12.75" customHeight="1" x14ac:dyDescent="0.2">
      <c r="A486" s="21"/>
      <c r="B486" s="3" t="s">
        <v>0</v>
      </c>
      <c r="C486" s="20" t="s">
        <v>48</v>
      </c>
      <c r="D486" s="21"/>
    </row>
    <row r="487" spans="1:4" ht="12.75" customHeight="1" x14ac:dyDescent="0.2">
      <c r="A487" s="21"/>
      <c r="B487" s="3" t="s">
        <v>2</v>
      </c>
      <c r="C487" s="20" t="s">
        <v>1839</v>
      </c>
      <c r="D487" s="21"/>
    </row>
    <row r="488" spans="1:4" ht="12.75" customHeight="1" x14ac:dyDescent="0.2">
      <c r="A488" s="21"/>
      <c r="B488" s="3" t="s">
        <v>1840</v>
      </c>
      <c r="C488" s="20" t="s">
        <v>5</v>
      </c>
      <c r="D488" s="21"/>
    </row>
    <row r="489" spans="1:4" ht="12.75" customHeight="1" x14ac:dyDescent="0.2">
      <c r="A489" s="21"/>
      <c r="B489" s="3" t="s">
        <v>9</v>
      </c>
      <c r="C489" s="20" t="s">
        <v>366</v>
      </c>
      <c r="D489" s="21"/>
    </row>
    <row r="490" spans="1:4" ht="12.75" customHeight="1" x14ac:dyDescent="0.2">
      <c r="A490" s="21"/>
      <c r="B490" s="3" t="s">
        <v>11</v>
      </c>
      <c r="C490" s="20" t="s">
        <v>201</v>
      </c>
      <c r="D490" s="21"/>
    </row>
    <row r="491" spans="1:4" ht="12.75" customHeight="1" x14ac:dyDescent="0.2">
      <c r="A491" s="21"/>
      <c r="B491" s="3" t="s">
        <v>16</v>
      </c>
      <c r="C491" s="20"/>
      <c r="D491" s="21"/>
    </row>
    <row r="492" spans="1:4" ht="12.75" customHeight="1" x14ac:dyDescent="0.2">
      <c r="A492" s="21"/>
      <c r="B492" s="3" t="s">
        <v>17</v>
      </c>
      <c r="C492" s="20" t="s">
        <v>19</v>
      </c>
      <c r="D492" s="21"/>
    </row>
    <row r="493" spans="1:4" ht="12.75" customHeight="1" x14ac:dyDescent="0.2">
      <c r="A493" s="21"/>
      <c r="B493" s="20" t="s">
        <v>18</v>
      </c>
      <c r="C493" s="4" t="s">
        <v>44</v>
      </c>
      <c r="D493" s="6" t="str">
        <f>HYPERLINK("javascript:void(0)","bronz testpajzs")</f>
        <v>bronz testpajzs</v>
      </c>
    </row>
    <row r="494" spans="1:4" ht="12.75" customHeight="1" x14ac:dyDescent="0.2">
      <c r="A494" s="21"/>
      <c r="B494" s="21"/>
      <c r="C494" s="4" t="s">
        <v>67</v>
      </c>
      <c r="D494" s="6" t="str">
        <f>HYPERLINK("javascript:void(0)","vasérc")</f>
        <v>vasérc</v>
      </c>
    </row>
    <row r="495" spans="1:4" ht="12.75" customHeight="1" x14ac:dyDescent="0.2">
      <c r="A495" s="21"/>
      <c r="B495" s="21"/>
      <c r="C495" s="4" t="s">
        <v>57</v>
      </c>
      <c r="D495" s="6" t="str">
        <f>HYPERLINK("javascript:void(0)","arany")</f>
        <v>arany</v>
      </c>
    </row>
    <row r="496" spans="1:4" ht="12.75" customHeight="1" x14ac:dyDescent="0.2">
      <c r="A496" s="21"/>
      <c r="B496" s="2"/>
      <c r="C496" s="2"/>
      <c r="D496" s="2"/>
    </row>
    <row r="497" spans="1:4" ht="12.75" customHeight="1" x14ac:dyDescent="0.2">
      <c r="A497" s="21"/>
      <c r="B497" s="2"/>
      <c r="C497" s="2"/>
      <c r="D497" s="2"/>
    </row>
    <row r="498" spans="1:4" ht="12.75" customHeight="1" x14ac:dyDescent="0.2">
      <c r="A498" s="21"/>
      <c r="B498" s="2"/>
      <c r="C498" s="2"/>
      <c r="D498" s="2"/>
    </row>
    <row r="499" spans="1:4" ht="12.75" customHeight="1" x14ac:dyDescent="0.2">
      <c r="A499" s="21"/>
      <c r="B499" s="2"/>
      <c r="C499" s="2"/>
      <c r="D499" s="2"/>
    </row>
    <row r="500" spans="1:4" ht="12.75" customHeight="1" x14ac:dyDescent="0.2">
      <c r="A500" s="5"/>
      <c r="B500" s="2"/>
      <c r="C500" s="2"/>
      <c r="D500" s="2"/>
    </row>
    <row r="501" spans="1:4" ht="12.75" customHeight="1" x14ac:dyDescent="0.2">
      <c r="A501" s="22" t="str">
        <f>HYPERLINK("javascript:void(0)","kompózium keresztvas")</f>
        <v>kompózium keresztvas</v>
      </c>
      <c r="B501" s="21"/>
      <c r="C501" s="21"/>
      <c r="D501" s="21"/>
    </row>
    <row r="502" spans="1:4" ht="12.75" customHeight="1" x14ac:dyDescent="0.2">
      <c r="A502" s="20"/>
      <c r="B502" s="2"/>
      <c r="C502" s="2"/>
      <c r="D502" s="2"/>
    </row>
    <row r="503" spans="1:4" ht="12.75" customHeight="1" x14ac:dyDescent="0.2">
      <c r="A503" s="21"/>
      <c r="B503" s="3" t="s">
        <v>0</v>
      </c>
      <c r="C503" s="20" t="s">
        <v>48</v>
      </c>
      <c r="D503" s="21"/>
    </row>
    <row r="504" spans="1:4" ht="12.75" customHeight="1" x14ac:dyDescent="0.2">
      <c r="A504" s="21"/>
      <c r="B504" s="3" t="s">
        <v>2</v>
      </c>
      <c r="C504" s="20" t="s">
        <v>1839</v>
      </c>
      <c r="D504" s="21"/>
    </row>
    <row r="505" spans="1:4" ht="12.75" customHeight="1" x14ac:dyDescent="0.2">
      <c r="A505" s="21"/>
      <c r="B505" s="3" t="s">
        <v>1840</v>
      </c>
      <c r="C505" s="20" t="s">
        <v>21</v>
      </c>
      <c r="D505" s="21"/>
    </row>
    <row r="506" spans="1:4" ht="12.75" customHeight="1" x14ac:dyDescent="0.2">
      <c r="A506" s="21"/>
      <c r="B506" s="3" t="s">
        <v>9</v>
      </c>
      <c r="C506" s="20" t="s">
        <v>42</v>
      </c>
      <c r="D506" s="21"/>
    </row>
    <row r="507" spans="1:4" ht="12.75" customHeight="1" x14ac:dyDescent="0.2">
      <c r="A507" s="21"/>
      <c r="B507" s="3" t="s">
        <v>11</v>
      </c>
      <c r="C507" s="20" t="s">
        <v>315</v>
      </c>
      <c r="D507" s="21"/>
    </row>
    <row r="508" spans="1:4" ht="12.75" customHeight="1" x14ac:dyDescent="0.2">
      <c r="A508" s="21"/>
      <c r="B508" s="3" t="s">
        <v>16</v>
      </c>
      <c r="C508" s="20"/>
      <c r="D508" s="21"/>
    </row>
    <row r="509" spans="1:4" ht="12.75" customHeight="1" x14ac:dyDescent="0.2">
      <c r="A509" s="21"/>
      <c r="B509" s="3" t="s">
        <v>17</v>
      </c>
      <c r="C509" s="20" t="s">
        <v>19</v>
      </c>
      <c r="D509" s="21"/>
    </row>
    <row r="510" spans="1:4" ht="12.75" customHeight="1" x14ac:dyDescent="0.2">
      <c r="A510" s="21"/>
      <c r="B510" s="20" t="s">
        <v>18</v>
      </c>
      <c r="C510" s="4" t="s">
        <v>77</v>
      </c>
      <c r="D510" s="6" t="str">
        <f>HYPERLINK("javascript:void(0)","kompózium")</f>
        <v>kompózium</v>
      </c>
    </row>
    <row r="511" spans="1:4" ht="12.75" customHeight="1" x14ac:dyDescent="0.2">
      <c r="A511" s="21"/>
      <c r="B511" s="21"/>
      <c r="C511" s="4" t="s">
        <v>142</v>
      </c>
      <c r="D511" s="6" t="str">
        <f>HYPERLINK("javascript:void(0)","spóra")</f>
        <v>spóra</v>
      </c>
    </row>
    <row r="512" spans="1:4" ht="12.75" customHeight="1" x14ac:dyDescent="0.2">
      <c r="A512" s="21"/>
      <c r="B512" s="21"/>
      <c r="C512" s="4" t="s">
        <v>139</v>
      </c>
      <c r="D512" s="6" t="str">
        <f>HYPERLINK("javascript:void(0)","haspók")</f>
        <v>haspók</v>
      </c>
    </row>
    <row r="513" spans="1:4" ht="12.75" customHeight="1" x14ac:dyDescent="0.2">
      <c r="A513" s="21"/>
      <c r="B513" s="2"/>
      <c r="C513" s="2"/>
      <c r="D513" s="2"/>
    </row>
    <row r="514" spans="1:4" ht="12.75" customHeight="1" x14ac:dyDescent="0.2">
      <c r="A514" s="21"/>
      <c r="B514" s="2"/>
      <c r="C514" s="2"/>
      <c r="D514" s="2"/>
    </row>
    <row r="515" spans="1:4" ht="12.75" customHeight="1" x14ac:dyDescent="0.2">
      <c r="A515" s="21"/>
      <c r="B515" s="2"/>
      <c r="C515" s="2"/>
      <c r="D515" s="2"/>
    </row>
    <row r="516" spans="1:4" ht="12.75" customHeight="1" x14ac:dyDescent="0.2">
      <c r="A516" s="21"/>
      <c r="B516" s="2"/>
      <c r="C516" s="2"/>
      <c r="D516" s="2"/>
    </row>
    <row r="517" spans="1:4" ht="12.75" customHeight="1" x14ac:dyDescent="0.2">
      <c r="A517" s="5"/>
      <c r="B517" s="2"/>
      <c r="C517" s="2"/>
      <c r="D517" s="2"/>
    </row>
    <row r="518" spans="1:4" ht="12.75" customHeight="1" x14ac:dyDescent="0.2">
      <c r="A518" s="22" t="str">
        <f>HYPERLINK("javascript:void(0)","kompózium nyél")</f>
        <v>kompózium nyél</v>
      </c>
      <c r="B518" s="21"/>
      <c r="C518" s="21"/>
      <c r="D518" s="21"/>
    </row>
    <row r="519" spans="1:4" ht="12.75" customHeight="1" x14ac:dyDescent="0.2">
      <c r="A519" s="20"/>
      <c r="B519" s="2"/>
      <c r="C519" s="2"/>
      <c r="D519" s="2"/>
    </row>
    <row r="520" spans="1:4" ht="12.75" customHeight="1" x14ac:dyDescent="0.2">
      <c r="A520" s="21"/>
      <c r="B520" s="3" t="s">
        <v>0</v>
      </c>
      <c r="C520" s="20" t="s">
        <v>48</v>
      </c>
      <c r="D520" s="21"/>
    </row>
    <row r="521" spans="1:4" ht="12.75" customHeight="1" x14ac:dyDescent="0.2">
      <c r="A521" s="21"/>
      <c r="B521" s="3" t="s">
        <v>2</v>
      </c>
      <c r="C521" s="20" t="s">
        <v>1839</v>
      </c>
      <c r="D521" s="21"/>
    </row>
    <row r="522" spans="1:4" ht="12.75" customHeight="1" x14ac:dyDescent="0.2">
      <c r="A522" s="21"/>
      <c r="B522" s="3" t="s">
        <v>1840</v>
      </c>
      <c r="C522" s="20" t="s">
        <v>21</v>
      </c>
      <c r="D522" s="21"/>
    </row>
    <row r="523" spans="1:4" ht="12.75" customHeight="1" x14ac:dyDescent="0.2">
      <c r="A523" s="21"/>
      <c r="B523" s="3" t="s">
        <v>9</v>
      </c>
      <c r="C523" s="20" t="s">
        <v>42</v>
      </c>
      <c r="D523" s="21"/>
    </row>
    <row r="524" spans="1:4" ht="12.75" customHeight="1" x14ac:dyDescent="0.2">
      <c r="A524" s="21"/>
      <c r="B524" s="3" t="s">
        <v>11</v>
      </c>
      <c r="C524" s="20" t="s">
        <v>315</v>
      </c>
      <c r="D524" s="21"/>
    </row>
    <row r="525" spans="1:4" ht="12.75" customHeight="1" x14ac:dyDescent="0.2">
      <c r="A525" s="21"/>
      <c r="B525" s="3" t="s">
        <v>16</v>
      </c>
      <c r="C525" s="20"/>
      <c r="D525" s="21"/>
    </row>
    <row r="526" spans="1:4" ht="12.75" customHeight="1" x14ac:dyDescent="0.2">
      <c r="A526" s="21"/>
      <c r="B526" s="3" t="s">
        <v>17</v>
      </c>
      <c r="C526" s="20" t="s">
        <v>19</v>
      </c>
      <c r="D526" s="21"/>
    </row>
    <row r="527" spans="1:4" ht="12.75" customHeight="1" x14ac:dyDescent="0.2">
      <c r="A527" s="21"/>
      <c r="B527" s="20" t="s">
        <v>18</v>
      </c>
      <c r="C527" s="4" t="s">
        <v>232</v>
      </c>
      <c r="D527" s="6" t="str">
        <f>HYPERLINK("javascript:void(0)","kompózium")</f>
        <v>kompózium</v>
      </c>
    </row>
    <row r="528" spans="1:4" ht="12.75" customHeight="1" x14ac:dyDescent="0.2">
      <c r="A528" s="21"/>
      <c r="B528" s="21"/>
      <c r="C528" s="4" t="s">
        <v>232</v>
      </c>
      <c r="D528" s="6" t="str">
        <f>HYPERLINK("javascript:void(0)","malacorr")</f>
        <v>malacorr</v>
      </c>
    </row>
    <row r="529" spans="1:4" ht="12.75" customHeight="1" x14ac:dyDescent="0.2">
      <c r="A529" s="21"/>
      <c r="B529" s="21"/>
      <c r="C529" s="4" t="s">
        <v>309</v>
      </c>
      <c r="D529" s="6" t="str">
        <f>HYPERLINK("javascript:void(0)","csáphárító")</f>
        <v>csáphárító</v>
      </c>
    </row>
    <row r="530" spans="1:4" ht="12.75" customHeight="1" x14ac:dyDescent="0.2">
      <c r="A530" s="21"/>
      <c r="B530" s="2"/>
      <c r="C530" s="2"/>
      <c r="D530" s="2"/>
    </row>
    <row r="531" spans="1:4" ht="12.75" customHeight="1" x14ac:dyDescent="0.2">
      <c r="A531" s="21"/>
      <c r="B531" s="2"/>
      <c r="C531" s="2"/>
      <c r="D531" s="2"/>
    </row>
    <row r="532" spans="1:4" ht="12.75" customHeight="1" x14ac:dyDescent="0.2">
      <c r="A532" s="21"/>
      <c r="B532" s="2"/>
      <c r="C532" s="2"/>
      <c r="D532" s="2"/>
    </row>
    <row r="533" spans="1:4" ht="12.75" customHeight="1" x14ac:dyDescent="0.2">
      <c r="A533" s="21"/>
      <c r="B533" s="2"/>
      <c r="C533" s="2"/>
      <c r="D533" s="2"/>
    </row>
    <row r="534" spans="1:4" ht="12.75" customHeight="1" x14ac:dyDescent="0.2">
      <c r="A534" s="5"/>
      <c r="B534" s="2"/>
      <c r="C534" s="2"/>
      <c r="D534" s="2"/>
    </row>
    <row r="535" spans="1:4" ht="12.75" customHeight="1" x14ac:dyDescent="0.2">
      <c r="A535" s="22" t="str">
        <f>HYPERLINK("javascript:void(0)","kompózium rostély")</f>
        <v>kompózium rostély</v>
      </c>
      <c r="B535" s="21"/>
      <c r="C535" s="21"/>
      <c r="D535" s="21"/>
    </row>
    <row r="536" spans="1:4" ht="12.75" customHeight="1" x14ac:dyDescent="0.2">
      <c r="A536" s="20"/>
      <c r="B536" s="2"/>
      <c r="C536" s="2"/>
      <c r="D536" s="2"/>
    </row>
    <row r="537" spans="1:4" ht="12.75" customHeight="1" x14ac:dyDescent="0.2">
      <c r="A537" s="21"/>
      <c r="B537" s="3" t="s">
        <v>0</v>
      </c>
      <c r="C537" s="20" t="s">
        <v>48</v>
      </c>
      <c r="D537" s="21"/>
    </row>
    <row r="538" spans="1:4" ht="12.75" customHeight="1" x14ac:dyDescent="0.2">
      <c r="A538" s="21"/>
      <c r="B538" s="3" t="s">
        <v>2</v>
      </c>
      <c r="C538" s="20" t="s">
        <v>1839</v>
      </c>
      <c r="D538" s="21"/>
    </row>
    <row r="539" spans="1:4" ht="12.75" customHeight="1" x14ac:dyDescent="0.2">
      <c r="A539" s="21"/>
      <c r="B539" s="3" t="s">
        <v>1840</v>
      </c>
      <c r="C539" s="20" t="s">
        <v>21</v>
      </c>
      <c r="D539" s="21"/>
    </row>
    <row r="540" spans="1:4" ht="12.75" customHeight="1" x14ac:dyDescent="0.2">
      <c r="A540" s="21"/>
      <c r="B540" s="3" t="s">
        <v>9</v>
      </c>
      <c r="C540" s="20" t="s">
        <v>42</v>
      </c>
      <c r="D540" s="21"/>
    </row>
    <row r="541" spans="1:4" ht="12.75" customHeight="1" x14ac:dyDescent="0.2">
      <c r="A541" s="21"/>
      <c r="B541" s="3" t="s">
        <v>11</v>
      </c>
      <c r="C541" s="20" t="s">
        <v>315</v>
      </c>
      <c r="D541" s="21"/>
    </row>
    <row r="542" spans="1:4" ht="12.75" customHeight="1" x14ac:dyDescent="0.2">
      <c r="A542" s="21"/>
      <c r="B542" s="3" t="s">
        <v>16</v>
      </c>
      <c r="C542" s="20"/>
      <c r="D542" s="21"/>
    </row>
    <row r="543" spans="1:4" ht="12.75" customHeight="1" x14ac:dyDescent="0.2">
      <c r="A543" s="21"/>
      <c r="B543" s="3" t="s">
        <v>17</v>
      </c>
      <c r="C543" s="20" t="s">
        <v>19</v>
      </c>
      <c r="D543" s="21"/>
    </row>
    <row r="544" spans="1:4" ht="12.75" customHeight="1" x14ac:dyDescent="0.2">
      <c r="A544" s="21"/>
      <c r="B544" s="20" t="s">
        <v>18</v>
      </c>
      <c r="C544" s="4" t="s">
        <v>77</v>
      </c>
      <c r="D544" s="6" t="str">
        <f>HYPERLINK("javascript:void(0)","kompózium")</f>
        <v>kompózium</v>
      </c>
    </row>
    <row r="545" spans="1:4" ht="12.75" customHeight="1" x14ac:dyDescent="0.2">
      <c r="A545" s="21"/>
      <c r="B545" s="21"/>
      <c r="C545" s="4" t="s">
        <v>77</v>
      </c>
      <c r="D545" s="6" t="str">
        <f>HYPERLINK("javascript:void(0)","spóra")</f>
        <v>spóra</v>
      </c>
    </row>
    <row r="546" spans="1:4" ht="12.75" customHeight="1" x14ac:dyDescent="0.2">
      <c r="A546" s="21"/>
      <c r="B546" s="21"/>
      <c r="C546" s="4" t="s">
        <v>323</v>
      </c>
      <c r="D546" s="6" t="str">
        <f>HYPERLINK("javascript:void(0)","mantüske")</f>
        <v>mantüske</v>
      </c>
    </row>
    <row r="547" spans="1:4" ht="12.75" customHeight="1" x14ac:dyDescent="0.2">
      <c r="A547" s="21"/>
      <c r="B547" s="2"/>
      <c r="C547" s="2"/>
      <c r="D547" s="2"/>
    </row>
    <row r="548" spans="1:4" ht="12.75" customHeight="1" x14ac:dyDescent="0.2">
      <c r="A548" s="21"/>
      <c r="B548" s="2"/>
      <c r="C548" s="2"/>
      <c r="D548" s="2"/>
    </row>
    <row r="549" spans="1:4" ht="12.75" customHeight="1" x14ac:dyDescent="0.2">
      <c r="A549" s="21"/>
      <c r="B549" s="2"/>
      <c r="C549" s="2"/>
      <c r="D549" s="2"/>
    </row>
    <row r="550" spans="1:4" ht="12.75" customHeight="1" x14ac:dyDescent="0.2">
      <c r="A550" s="21"/>
      <c r="B550" s="2"/>
      <c r="C550" s="2"/>
      <c r="D550" s="2"/>
    </row>
    <row r="551" spans="1:4" ht="12.75" customHeight="1" x14ac:dyDescent="0.2">
      <c r="A551" s="5"/>
      <c r="B551" s="2"/>
      <c r="C551" s="2"/>
      <c r="D551" s="2"/>
    </row>
    <row r="552" spans="1:4" ht="12.75" customHeight="1" x14ac:dyDescent="0.2">
      <c r="A552" s="22" t="str">
        <f>HYPERLINK("javascript:void(0)","óriás építőkő")</f>
        <v>óriás építőkő</v>
      </c>
      <c r="B552" s="21"/>
      <c r="C552" s="21"/>
      <c r="D552" s="21"/>
    </row>
    <row r="553" spans="1:4" ht="12.75" customHeight="1" x14ac:dyDescent="0.2">
      <c r="A553" s="20"/>
      <c r="B553" s="2"/>
      <c r="C553" s="2"/>
      <c r="D553" s="2"/>
    </row>
    <row r="554" spans="1:4" ht="12.75" customHeight="1" x14ac:dyDescent="0.2">
      <c r="A554" s="21"/>
      <c r="B554" s="3" t="s">
        <v>0</v>
      </c>
      <c r="C554" s="20" t="s">
        <v>48</v>
      </c>
      <c r="D554" s="21"/>
    </row>
    <row r="555" spans="1:4" ht="12.75" customHeight="1" x14ac:dyDescent="0.2">
      <c r="A555" s="21"/>
      <c r="B555" s="3" t="s">
        <v>2</v>
      </c>
      <c r="C555" s="20" t="s">
        <v>1839</v>
      </c>
      <c r="D555" s="21"/>
    </row>
    <row r="556" spans="1:4" ht="12.75" customHeight="1" x14ac:dyDescent="0.2">
      <c r="A556" s="21"/>
      <c r="B556" s="3" t="s">
        <v>1840</v>
      </c>
      <c r="C556" s="20" t="s">
        <v>21</v>
      </c>
      <c r="D556" s="21"/>
    </row>
    <row r="557" spans="1:4" ht="12.75" customHeight="1" x14ac:dyDescent="0.2">
      <c r="A557" s="21"/>
      <c r="B557" s="3" t="s">
        <v>9</v>
      </c>
      <c r="C557" s="20" t="s">
        <v>250</v>
      </c>
      <c r="D557" s="21"/>
    </row>
    <row r="558" spans="1:4" ht="12.75" customHeight="1" x14ac:dyDescent="0.2">
      <c r="A558" s="21"/>
      <c r="B558" s="3" t="s">
        <v>11</v>
      </c>
      <c r="C558" s="20" t="s">
        <v>23</v>
      </c>
      <c r="D558" s="21"/>
    </row>
    <row r="559" spans="1:4" ht="12.75" customHeight="1" x14ac:dyDescent="0.2">
      <c r="A559" s="21"/>
      <c r="B559" s="3" t="s">
        <v>16</v>
      </c>
      <c r="C559" s="20"/>
      <c r="D559" s="21"/>
    </row>
    <row r="560" spans="1:4" ht="12.75" customHeight="1" x14ac:dyDescent="0.2">
      <c r="A560" s="21"/>
      <c r="B560" s="3" t="s">
        <v>17</v>
      </c>
      <c r="C560" s="20" t="s">
        <v>19</v>
      </c>
      <c r="D560" s="21"/>
    </row>
    <row r="561" spans="1:4" ht="12.75" customHeight="1" x14ac:dyDescent="0.2">
      <c r="A561" s="21"/>
      <c r="B561" s="20" t="s">
        <v>18</v>
      </c>
      <c r="C561" s="4" t="s">
        <v>67</v>
      </c>
      <c r="D561" s="6" t="str">
        <f>HYPERLINK("javascript:void(0)","gyémántszeg")</f>
        <v>gyémántszeg</v>
      </c>
    </row>
    <row r="562" spans="1:4" ht="12.75" customHeight="1" x14ac:dyDescent="0.2">
      <c r="A562" s="21"/>
      <c r="B562" s="21"/>
      <c r="C562" s="4" t="s">
        <v>67</v>
      </c>
      <c r="D562" s="6" t="str">
        <f>HYPERLINK("javascript:void(0)","ércragacs")</f>
        <v>ércragacs</v>
      </c>
    </row>
    <row r="563" spans="1:4" ht="12.75" customHeight="1" x14ac:dyDescent="0.2">
      <c r="A563" s="21"/>
      <c r="B563" s="21"/>
      <c r="C563" s="4" t="s">
        <v>67</v>
      </c>
      <c r="D563" s="6" t="str">
        <f>HYPERLINK("javascript:void(0)","varázsrög")</f>
        <v>varázsrög</v>
      </c>
    </row>
    <row r="564" spans="1:4" ht="12.75" customHeight="1" x14ac:dyDescent="0.2">
      <c r="A564" s="21"/>
      <c r="B564" s="2"/>
      <c r="C564" s="2"/>
      <c r="D564" s="2"/>
    </row>
    <row r="565" spans="1:4" ht="12.75" customHeight="1" x14ac:dyDescent="0.2">
      <c r="A565" s="21"/>
      <c r="B565" s="2"/>
      <c r="C565" s="2"/>
      <c r="D565" s="2"/>
    </row>
    <row r="566" spans="1:4" ht="12.75" customHeight="1" x14ac:dyDescent="0.2">
      <c r="A566" s="21"/>
      <c r="B566" s="2"/>
      <c r="C566" s="2"/>
      <c r="D566" s="2"/>
    </row>
    <row r="567" spans="1:4" ht="12.75" customHeight="1" x14ac:dyDescent="0.2">
      <c r="A567" s="21"/>
      <c r="B567" s="2"/>
      <c r="C567" s="2"/>
      <c r="D567" s="2"/>
    </row>
    <row r="568" spans="1:4" ht="12.75" customHeight="1" x14ac:dyDescent="0.2">
      <c r="A568" s="5"/>
      <c r="B568" s="2"/>
      <c r="C568" s="2"/>
      <c r="D568" s="2"/>
    </row>
    <row r="569" spans="1:4" ht="12.75" customHeight="1" x14ac:dyDescent="0.2">
      <c r="A569" s="22" t="str">
        <f>HYPERLINK("javascript:void(0)","kincsgúla")</f>
        <v>kincsgúla</v>
      </c>
      <c r="B569" s="21"/>
      <c r="C569" s="21"/>
      <c r="D569" s="21"/>
    </row>
    <row r="570" spans="1:4" ht="12.75" customHeight="1" x14ac:dyDescent="0.2">
      <c r="A570" s="20"/>
      <c r="B570" s="2"/>
      <c r="C570" s="2"/>
      <c r="D570" s="2"/>
    </row>
    <row r="571" spans="1:4" ht="12.75" customHeight="1" x14ac:dyDescent="0.2">
      <c r="A571" s="21"/>
      <c r="B571" s="3" t="s">
        <v>0</v>
      </c>
      <c r="C571" s="20" t="s">
        <v>48</v>
      </c>
      <c r="D571" s="21"/>
    </row>
    <row r="572" spans="1:4" ht="12.75" customHeight="1" x14ac:dyDescent="0.2">
      <c r="A572" s="21"/>
      <c r="B572" s="3" t="s">
        <v>2</v>
      </c>
      <c r="C572" s="20" t="s">
        <v>1839</v>
      </c>
      <c r="D572" s="21"/>
    </row>
    <row r="573" spans="1:4" ht="12.75" customHeight="1" x14ac:dyDescent="0.2">
      <c r="A573" s="21"/>
      <c r="B573" s="3" t="s">
        <v>1840</v>
      </c>
      <c r="C573" s="20" t="s">
        <v>21</v>
      </c>
      <c r="D573" s="21"/>
    </row>
    <row r="574" spans="1:4" ht="12.75" customHeight="1" x14ac:dyDescent="0.2">
      <c r="A574" s="21"/>
      <c r="B574" s="3" t="s">
        <v>9</v>
      </c>
      <c r="C574" s="20" t="s">
        <v>53</v>
      </c>
      <c r="D574" s="21"/>
    </row>
    <row r="575" spans="1:4" ht="12.75" customHeight="1" x14ac:dyDescent="0.2">
      <c r="A575" s="21"/>
      <c r="B575" s="3" t="s">
        <v>11</v>
      </c>
      <c r="C575" s="20" t="s">
        <v>1163</v>
      </c>
      <c r="D575" s="21"/>
    </row>
    <row r="576" spans="1:4" ht="12.75" customHeight="1" x14ac:dyDescent="0.2">
      <c r="A576" s="21"/>
      <c r="B576" s="3" t="s">
        <v>16</v>
      </c>
      <c r="C576" s="20"/>
      <c r="D576" s="21"/>
    </row>
    <row r="577" spans="1:4" ht="12.75" customHeight="1" x14ac:dyDescent="0.2">
      <c r="A577" s="21"/>
      <c r="B577" s="3" t="s">
        <v>17</v>
      </c>
      <c r="C577" s="20" t="s">
        <v>19</v>
      </c>
      <c r="D577" s="21"/>
    </row>
    <row r="578" spans="1:4" ht="12.75" customHeight="1" x14ac:dyDescent="0.2">
      <c r="A578" s="21"/>
      <c r="B578" s="20" t="s">
        <v>18</v>
      </c>
      <c r="C578" s="4" t="s">
        <v>323</v>
      </c>
      <c r="D578" s="6" t="str">
        <f t="shared" ref="D578:D580" si="0">HYPERLINK("javascript:void(0)","kincs")</f>
        <v>kincs</v>
      </c>
    </row>
    <row r="579" spans="1:4" ht="12.75" customHeight="1" x14ac:dyDescent="0.2">
      <c r="A579" s="21"/>
      <c r="B579" s="21"/>
      <c r="C579" s="4" t="s">
        <v>323</v>
      </c>
      <c r="D579" s="6" t="str">
        <f t="shared" si="0"/>
        <v>kincs</v>
      </c>
    </row>
    <row r="580" spans="1:4" ht="12.75" customHeight="1" x14ac:dyDescent="0.2">
      <c r="A580" s="21"/>
      <c r="B580" s="21"/>
      <c r="C580" s="4" t="s">
        <v>323</v>
      </c>
      <c r="D580" s="6" t="str">
        <f t="shared" si="0"/>
        <v>kincs</v>
      </c>
    </row>
    <row r="581" spans="1:4" ht="12.75" customHeight="1" x14ac:dyDescent="0.2">
      <c r="A581" s="21"/>
      <c r="B581" s="2"/>
      <c r="C581" s="2"/>
      <c r="D581" s="2"/>
    </row>
    <row r="582" spans="1:4" ht="12.75" customHeight="1" x14ac:dyDescent="0.2">
      <c r="A582" s="21"/>
      <c r="B582" s="2"/>
      <c r="C582" s="2"/>
      <c r="D582" s="2"/>
    </row>
    <row r="583" spans="1:4" ht="12.75" customHeight="1" x14ac:dyDescent="0.2">
      <c r="A583" s="21"/>
      <c r="B583" s="2"/>
      <c r="C583" s="2"/>
      <c r="D583" s="2"/>
    </row>
    <row r="584" spans="1:4" ht="12.75" customHeight="1" x14ac:dyDescent="0.2">
      <c r="A584" s="21"/>
      <c r="B584" s="2"/>
      <c r="C584" s="2"/>
      <c r="D584" s="2"/>
    </row>
    <row r="585" spans="1:4" ht="12.75" customHeight="1" x14ac:dyDescent="0.2">
      <c r="A585" s="5"/>
      <c r="B585" s="2"/>
      <c r="C585" s="2"/>
      <c r="D585" s="2"/>
    </row>
    <row r="586" spans="1:4" ht="12.75" customHeight="1" x14ac:dyDescent="0.2">
      <c r="A586" s="22" t="str">
        <f>HYPERLINK("javascript:void(0)","vaspajzs")</f>
        <v>vaspajzs</v>
      </c>
      <c r="B586" s="21"/>
      <c r="C586" s="21"/>
      <c r="D586" s="21"/>
    </row>
    <row r="587" spans="1:4" ht="12.75" customHeight="1" x14ac:dyDescent="0.2">
      <c r="A587" s="20"/>
      <c r="B587" s="2"/>
      <c r="C587" s="2"/>
      <c r="D587" s="2"/>
    </row>
    <row r="588" spans="1:4" ht="12.75" customHeight="1" x14ac:dyDescent="0.2">
      <c r="A588" s="21"/>
      <c r="B588" s="3" t="s">
        <v>0</v>
      </c>
      <c r="C588" s="20" t="s">
        <v>46</v>
      </c>
      <c r="D588" s="21"/>
    </row>
    <row r="589" spans="1:4" ht="12.75" customHeight="1" x14ac:dyDescent="0.2">
      <c r="A589" s="21"/>
      <c r="B589" s="3" t="s">
        <v>2</v>
      </c>
      <c r="C589" s="20" t="s">
        <v>1839</v>
      </c>
      <c r="D589" s="21"/>
    </row>
    <row r="590" spans="1:4" ht="12.75" customHeight="1" x14ac:dyDescent="0.2">
      <c r="A590" s="21"/>
      <c r="B590" s="3" t="s">
        <v>1840</v>
      </c>
      <c r="C590" s="20" t="s">
        <v>40</v>
      </c>
      <c r="D590" s="21"/>
    </row>
    <row r="591" spans="1:4" ht="12.75" customHeight="1" x14ac:dyDescent="0.2">
      <c r="A591" s="21"/>
      <c r="B591" s="3" t="s">
        <v>9</v>
      </c>
      <c r="C591" s="20" t="s">
        <v>934</v>
      </c>
      <c r="D591" s="21"/>
    </row>
    <row r="592" spans="1:4" ht="12.75" customHeight="1" x14ac:dyDescent="0.2">
      <c r="A592" s="21"/>
      <c r="B592" s="3" t="s">
        <v>11</v>
      </c>
      <c r="C592" s="20" t="s">
        <v>1884</v>
      </c>
      <c r="D592" s="21"/>
    </row>
    <row r="593" spans="1:4" ht="12.75" customHeight="1" x14ac:dyDescent="0.2">
      <c r="A593" s="21"/>
      <c r="B593" s="3" t="s">
        <v>16</v>
      </c>
      <c r="C593" s="20"/>
      <c r="D593" s="21"/>
    </row>
    <row r="594" spans="1:4" ht="12.75" customHeight="1" x14ac:dyDescent="0.2">
      <c r="A594" s="21"/>
      <c r="B594" s="3" t="s">
        <v>17</v>
      </c>
      <c r="C594" s="20" t="s">
        <v>19</v>
      </c>
      <c r="D594" s="21"/>
    </row>
    <row r="595" spans="1:4" ht="12.75" customHeight="1" x14ac:dyDescent="0.2">
      <c r="A595" s="21"/>
      <c r="B595" s="20" t="s">
        <v>18</v>
      </c>
      <c r="C595" s="4" t="s">
        <v>44</v>
      </c>
      <c r="D595" s="6" t="str">
        <f>HYPERLINK("javascript:void(0)","bőrpajzs")</f>
        <v>bőrpajzs</v>
      </c>
    </row>
    <row r="596" spans="1:4" ht="12.75" customHeight="1" x14ac:dyDescent="0.2">
      <c r="A596" s="21"/>
      <c r="B596" s="21"/>
      <c r="C596" s="4" t="s">
        <v>55</v>
      </c>
      <c r="D596" s="6" t="str">
        <f>HYPERLINK("javascript:void(0)","vasérc")</f>
        <v>vasérc</v>
      </c>
    </row>
    <row r="597" spans="1:4" ht="12.75" customHeight="1" x14ac:dyDescent="0.2">
      <c r="A597" s="21"/>
      <c r="B597" s="21"/>
      <c r="C597" s="4" t="s">
        <v>77</v>
      </c>
      <c r="D597" s="6" t="str">
        <f>HYPERLINK("javascript:void(0)","ezüst")</f>
        <v>ezüst</v>
      </c>
    </row>
    <row r="598" spans="1:4" ht="12.75" customHeight="1" x14ac:dyDescent="0.2">
      <c r="A598" s="21"/>
      <c r="B598" s="2"/>
      <c r="C598" s="2"/>
      <c r="D598" s="2"/>
    </row>
    <row r="599" spans="1:4" ht="12.75" customHeight="1" x14ac:dyDescent="0.2">
      <c r="A599" s="21"/>
      <c r="B599" s="2"/>
      <c r="C599" s="2"/>
      <c r="D599" s="2"/>
    </row>
    <row r="600" spans="1:4" ht="12.75" customHeight="1" x14ac:dyDescent="0.2">
      <c r="A600" s="21"/>
      <c r="B600" s="2"/>
      <c r="C600" s="2"/>
      <c r="D600" s="2"/>
    </row>
    <row r="601" spans="1:4" ht="12.75" customHeight="1" x14ac:dyDescent="0.2">
      <c r="A601" s="21"/>
      <c r="B601" s="2"/>
      <c r="C601" s="2"/>
      <c r="D601" s="2"/>
    </row>
    <row r="602" spans="1:4" ht="12.75" customHeight="1" x14ac:dyDescent="0.2">
      <c r="A602" s="5"/>
      <c r="B602" s="2"/>
      <c r="C602" s="2"/>
      <c r="D602" s="2"/>
    </row>
    <row r="603" spans="1:4" ht="12.75" customHeight="1" x14ac:dyDescent="0.2">
      <c r="A603" s="22" t="str">
        <f>HYPERLINK("javascript:void(0)","wendír pajzs")</f>
        <v>wendír pajzs</v>
      </c>
      <c r="B603" s="21"/>
      <c r="C603" s="21"/>
      <c r="D603" s="2"/>
    </row>
    <row r="604" spans="1:4" ht="12.75" customHeight="1" x14ac:dyDescent="0.2">
      <c r="A604" s="20"/>
      <c r="B604" s="2"/>
      <c r="C604" s="2"/>
      <c r="D604" s="2"/>
    </row>
    <row r="605" spans="1:4" ht="12.75" customHeight="1" x14ac:dyDescent="0.2">
      <c r="A605" s="21"/>
      <c r="B605" s="3" t="s">
        <v>0</v>
      </c>
      <c r="C605" s="3" t="s">
        <v>46</v>
      </c>
      <c r="D605" s="2"/>
    </row>
    <row r="606" spans="1:4" ht="12.75" customHeight="1" x14ac:dyDescent="0.2">
      <c r="A606" s="21"/>
      <c r="B606" s="3" t="s">
        <v>2</v>
      </c>
      <c r="C606" s="3" t="s">
        <v>1839</v>
      </c>
      <c r="D606" s="2"/>
    </row>
    <row r="607" spans="1:4" ht="12.75" customHeight="1" x14ac:dyDescent="0.2">
      <c r="A607" s="21"/>
      <c r="B607" s="3" t="s">
        <v>1840</v>
      </c>
      <c r="C607" s="3" t="s">
        <v>40</v>
      </c>
      <c r="D607" s="2"/>
    </row>
    <row r="608" spans="1:4" ht="12.75" customHeight="1" x14ac:dyDescent="0.2">
      <c r="A608" s="21"/>
      <c r="B608" s="3" t="s">
        <v>9</v>
      </c>
      <c r="C608" s="3" t="s">
        <v>164</v>
      </c>
      <c r="D608" s="2"/>
    </row>
    <row r="609" spans="1:4" ht="12.75" customHeight="1" x14ac:dyDescent="0.2">
      <c r="A609" s="21"/>
      <c r="B609" s="3" t="s">
        <v>11</v>
      </c>
      <c r="C609" s="3" t="s">
        <v>718</v>
      </c>
      <c r="D609" s="2"/>
    </row>
    <row r="610" spans="1:4" ht="12.75" customHeight="1" x14ac:dyDescent="0.2">
      <c r="A610" s="21"/>
      <c r="B610" s="3" t="s">
        <v>16</v>
      </c>
      <c r="C610" s="3"/>
      <c r="D610" s="2"/>
    </row>
    <row r="611" spans="1:4" ht="12.75" customHeight="1" x14ac:dyDescent="0.2">
      <c r="A611" s="21"/>
      <c r="B611" s="3" t="s">
        <v>17</v>
      </c>
      <c r="C611" s="3" t="s">
        <v>19</v>
      </c>
      <c r="D611" s="2"/>
    </row>
    <row r="612" spans="1:4" ht="12.75" customHeight="1" x14ac:dyDescent="0.2">
      <c r="A612" s="21"/>
      <c r="B612" s="3" t="s">
        <v>18</v>
      </c>
      <c r="C612" s="4" t="s">
        <v>19</v>
      </c>
      <c r="D612" s="2"/>
    </row>
    <row r="613" spans="1:4" ht="12.75" customHeight="1" x14ac:dyDescent="0.2">
      <c r="A613" s="21"/>
      <c r="B613" s="2"/>
      <c r="C613" s="2"/>
      <c r="D613" s="2"/>
    </row>
    <row r="614" spans="1:4" ht="12.75" customHeight="1" x14ac:dyDescent="0.2">
      <c r="A614" s="21"/>
      <c r="B614" s="2"/>
      <c r="C614" s="2"/>
      <c r="D614" s="2"/>
    </row>
    <row r="615" spans="1:4" ht="12.75" customHeight="1" x14ac:dyDescent="0.2">
      <c r="A615" s="21"/>
      <c r="B615" s="2"/>
      <c r="C615" s="2"/>
      <c r="D615" s="2"/>
    </row>
    <row r="616" spans="1:4" ht="12.75" customHeight="1" x14ac:dyDescent="0.2">
      <c r="A616" s="21"/>
      <c r="B616" s="2"/>
      <c r="C616" s="2"/>
      <c r="D616" s="2"/>
    </row>
    <row r="617" spans="1:4" ht="12.75" customHeight="1" x14ac:dyDescent="0.2">
      <c r="A617" s="5"/>
      <c r="B617" s="2"/>
      <c r="C617" s="2"/>
      <c r="D617" s="2"/>
    </row>
    <row r="618" spans="1:4" ht="12.75" customHeight="1" x14ac:dyDescent="0.2">
      <c r="A618" s="22" t="str">
        <f>HYPERLINK("javascript:void(0)","acélpajzs")</f>
        <v>acélpajzs</v>
      </c>
      <c r="B618" s="21"/>
      <c r="C618" s="21"/>
      <c r="D618" s="21"/>
    </row>
    <row r="619" spans="1:4" ht="12.75" customHeight="1" x14ac:dyDescent="0.2">
      <c r="A619" s="20"/>
      <c r="B619" s="2"/>
      <c r="C619" s="2"/>
      <c r="D619" s="2"/>
    </row>
    <row r="620" spans="1:4" ht="12.75" customHeight="1" x14ac:dyDescent="0.2">
      <c r="A620" s="21"/>
      <c r="B620" s="3" t="s">
        <v>0</v>
      </c>
      <c r="C620" s="20" t="s">
        <v>51</v>
      </c>
      <c r="D620" s="21"/>
    </row>
    <row r="621" spans="1:4" ht="12.75" customHeight="1" x14ac:dyDescent="0.2">
      <c r="A621" s="21"/>
      <c r="B621" s="3" t="s">
        <v>2</v>
      </c>
      <c r="C621" s="20" t="s">
        <v>1839</v>
      </c>
      <c r="D621" s="21"/>
    </row>
    <row r="622" spans="1:4" ht="12.75" customHeight="1" x14ac:dyDescent="0.2">
      <c r="A622" s="21"/>
      <c r="B622" s="3" t="s">
        <v>1840</v>
      </c>
      <c r="C622" s="20" t="s">
        <v>48</v>
      </c>
      <c r="D622" s="21"/>
    </row>
    <row r="623" spans="1:4" ht="12.75" customHeight="1" x14ac:dyDescent="0.2">
      <c r="A623" s="21"/>
      <c r="B623" s="3" t="s">
        <v>9</v>
      </c>
      <c r="C623" s="20" t="s">
        <v>217</v>
      </c>
      <c r="D623" s="21"/>
    </row>
    <row r="624" spans="1:4" ht="12.75" customHeight="1" x14ac:dyDescent="0.2">
      <c r="A624" s="21"/>
      <c r="B624" s="3" t="s">
        <v>11</v>
      </c>
      <c r="C624" s="20" t="s">
        <v>1890</v>
      </c>
      <c r="D624" s="21"/>
    </row>
    <row r="625" spans="1:4" ht="12.75" customHeight="1" x14ac:dyDescent="0.2">
      <c r="A625" s="21"/>
      <c r="B625" s="3" t="s">
        <v>16</v>
      </c>
      <c r="C625" s="20"/>
      <c r="D625" s="21"/>
    </row>
    <row r="626" spans="1:4" ht="12.75" customHeight="1" x14ac:dyDescent="0.2">
      <c r="A626" s="21"/>
      <c r="B626" s="3" t="s">
        <v>17</v>
      </c>
      <c r="C626" s="20" t="s">
        <v>19</v>
      </c>
      <c r="D626" s="21"/>
    </row>
    <row r="627" spans="1:4" ht="12.75" customHeight="1" x14ac:dyDescent="0.2">
      <c r="A627" s="21"/>
      <c r="B627" s="20" t="s">
        <v>18</v>
      </c>
      <c r="C627" s="4" t="s">
        <v>44</v>
      </c>
      <c r="D627" s="6" t="str">
        <f>HYPERLINK("javascript:void(0)","rézérc")</f>
        <v>rézérc</v>
      </c>
    </row>
    <row r="628" spans="1:4" ht="12.75" customHeight="1" x14ac:dyDescent="0.2">
      <c r="A628" s="21"/>
      <c r="B628" s="21"/>
      <c r="C628" s="4" t="s">
        <v>67</v>
      </c>
      <c r="D628" s="6" t="str">
        <f>HYPERLINK("javascript:void(0)","vasérc")</f>
        <v>vasérc</v>
      </c>
    </row>
    <row r="629" spans="1:4" ht="12.75" customHeight="1" x14ac:dyDescent="0.2">
      <c r="A629" s="21"/>
      <c r="B629" s="21"/>
      <c r="C629" s="4" t="s">
        <v>44</v>
      </c>
      <c r="D629" s="6" t="str">
        <f>HYPERLINK("javascript:void(0)","vaspajzs")</f>
        <v>vaspajzs</v>
      </c>
    </row>
    <row r="630" spans="1:4" ht="12.75" customHeight="1" x14ac:dyDescent="0.2">
      <c r="A630" s="21"/>
      <c r="B630" s="2"/>
      <c r="C630" s="2"/>
      <c r="D630" s="2"/>
    </row>
    <row r="631" spans="1:4" ht="12.75" customHeight="1" x14ac:dyDescent="0.2">
      <c r="A631" s="21"/>
      <c r="B631" s="2"/>
      <c r="C631" s="2"/>
      <c r="D631" s="2"/>
    </row>
    <row r="632" spans="1:4" ht="12.75" customHeight="1" x14ac:dyDescent="0.2">
      <c r="A632" s="21"/>
      <c r="B632" s="2"/>
      <c r="C632" s="2"/>
      <c r="D632" s="2"/>
    </row>
    <row r="633" spans="1:4" ht="12.75" customHeight="1" x14ac:dyDescent="0.2">
      <c r="A633" s="21"/>
      <c r="B633" s="2"/>
      <c r="C633" s="2"/>
      <c r="D633" s="2"/>
    </row>
    <row r="634" spans="1:4" ht="12.75" customHeight="1" x14ac:dyDescent="0.2">
      <c r="A634" s="5"/>
      <c r="B634" s="2"/>
      <c r="C634" s="2"/>
      <c r="D634" s="2"/>
    </row>
    <row r="635" spans="1:4" ht="12.75" customHeight="1" x14ac:dyDescent="0.2">
      <c r="A635" s="22" t="str">
        <f>HYPERLINK("javascript:void(0)","ezüstpajzs")</f>
        <v>ezüstpajzs</v>
      </c>
      <c r="B635" s="21"/>
      <c r="C635" s="21"/>
      <c r="D635" s="21"/>
    </row>
    <row r="636" spans="1:4" ht="12.75" customHeight="1" x14ac:dyDescent="0.2">
      <c r="A636" s="20"/>
      <c r="B636" s="2"/>
      <c r="C636" s="2"/>
      <c r="D636" s="2"/>
    </row>
    <row r="637" spans="1:4" ht="12.75" customHeight="1" x14ac:dyDescent="0.2">
      <c r="A637" s="21"/>
      <c r="B637" s="3" t="s">
        <v>0</v>
      </c>
      <c r="C637" s="20" t="s">
        <v>33</v>
      </c>
      <c r="D637" s="21"/>
    </row>
    <row r="638" spans="1:4" ht="12.75" customHeight="1" x14ac:dyDescent="0.2">
      <c r="A638" s="21"/>
      <c r="B638" s="3" t="s">
        <v>2</v>
      </c>
      <c r="C638" s="20" t="s">
        <v>1839</v>
      </c>
      <c r="D638" s="21"/>
    </row>
    <row r="639" spans="1:4" ht="12.75" customHeight="1" x14ac:dyDescent="0.2">
      <c r="A639" s="21"/>
      <c r="B639" s="3" t="s">
        <v>1840</v>
      </c>
      <c r="C639" s="20" t="s">
        <v>51</v>
      </c>
      <c r="D639" s="21"/>
    </row>
    <row r="640" spans="1:4" ht="12.75" customHeight="1" x14ac:dyDescent="0.2">
      <c r="A640" s="21"/>
      <c r="B640" s="3" t="s">
        <v>9</v>
      </c>
      <c r="C640" s="20" t="s">
        <v>75</v>
      </c>
      <c r="D640" s="21"/>
    </row>
    <row r="641" spans="1:4" ht="12.75" customHeight="1" x14ac:dyDescent="0.2">
      <c r="A641" s="21"/>
      <c r="B641" s="3" t="s">
        <v>11</v>
      </c>
      <c r="C641" s="20" t="s">
        <v>1894</v>
      </c>
      <c r="D641" s="21"/>
    </row>
    <row r="642" spans="1:4" ht="12.75" customHeight="1" x14ac:dyDescent="0.2">
      <c r="A642" s="21"/>
      <c r="B642" s="3" t="s">
        <v>16</v>
      </c>
      <c r="C642" s="20"/>
      <c r="D642" s="21"/>
    </row>
    <row r="643" spans="1:4" ht="12.75" customHeight="1" x14ac:dyDescent="0.2">
      <c r="A643" s="21"/>
      <c r="B643" s="3" t="s">
        <v>17</v>
      </c>
      <c r="C643" s="20" t="s">
        <v>19</v>
      </c>
      <c r="D643" s="21"/>
    </row>
    <row r="644" spans="1:4" ht="12.75" customHeight="1" x14ac:dyDescent="0.2">
      <c r="A644" s="21"/>
      <c r="B644" s="20" t="s">
        <v>18</v>
      </c>
      <c r="C644" s="4" t="s">
        <v>44</v>
      </c>
      <c r="D644" s="6" t="str">
        <f>HYPERLINK("javascript:void(0)","teknőspáncél")</f>
        <v>teknőspáncél</v>
      </c>
    </row>
    <row r="645" spans="1:4" ht="12.75" customHeight="1" x14ac:dyDescent="0.2">
      <c r="A645" s="21"/>
      <c r="B645" s="21"/>
      <c r="C645" s="4" t="s">
        <v>280</v>
      </c>
      <c r="D645" s="6" t="str">
        <f>HYPERLINK("javascript:void(0)","ezüst")</f>
        <v>ezüst</v>
      </c>
    </row>
    <row r="646" spans="1:4" ht="12.75" customHeight="1" x14ac:dyDescent="0.2">
      <c r="A646" s="21"/>
      <c r="B646" s="21"/>
      <c r="C646" s="4" t="s">
        <v>57</v>
      </c>
      <c r="D646" s="6" t="str">
        <f>HYPERLINK("javascript:void(0)","gyöngy")</f>
        <v>gyöngy</v>
      </c>
    </row>
    <row r="647" spans="1:4" ht="12.75" customHeight="1" x14ac:dyDescent="0.2">
      <c r="A647" s="21"/>
      <c r="B647" s="2"/>
      <c r="C647" s="2"/>
      <c r="D647" s="2"/>
    </row>
    <row r="648" spans="1:4" ht="12.75" customHeight="1" x14ac:dyDescent="0.2">
      <c r="A648" s="21"/>
      <c r="B648" s="2"/>
      <c r="C648" s="2"/>
      <c r="D648" s="2"/>
    </row>
    <row r="649" spans="1:4" ht="12.75" customHeight="1" x14ac:dyDescent="0.2">
      <c r="A649" s="21"/>
      <c r="B649" s="2"/>
      <c r="C649" s="2"/>
      <c r="D649" s="2"/>
    </row>
    <row r="650" spans="1:4" ht="12.75" customHeight="1" x14ac:dyDescent="0.2">
      <c r="A650" s="21"/>
      <c r="B650" s="2"/>
      <c r="C650" s="2"/>
      <c r="D650" s="2"/>
    </row>
    <row r="651" spans="1:4" ht="12.75" customHeight="1" x14ac:dyDescent="0.2">
      <c r="A651" s="5"/>
      <c r="B651" s="2"/>
      <c r="C651" s="2"/>
      <c r="D651" s="2"/>
    </row>
    <row r="652" spans="1:4" ht="12.75" customHeight="1" x14ac:dyDescent="0.2">
      <c r="A652" s="22" t="str">
        <f>HYPERLINK("javascript:void(0)","troll pajzs")</f>
        <v>troll pajzs</v>
      </c>
      <c r="B652" s="21"/>
      <c r="C652" s="21"/>
      <c r="D652" s="21"/>
    </row>
    <row r="653" spans="1:4" ht="12.75" customHeight="1" x14ac:dyDescent="0.2">
      <c r="A653" s="20"/>
      <c r="B653" s="2"/>
      <c r="C653" s="2"/>
      <c r="D653" s="2"/>
    </row>
    <row r="654" spans="1:4" ht="12.75" customHeight="1" x14ac:dyDescent="0.2">
      <c r="A654" s="21"/>
      <c r="B654" s="3" t="s">
        <v>0</v>
      </c>
      <c r="C654" s="20" t="s">
        <v>33</v>
      </c>
      <c r="D654" s="21"/>
    </row>
    <row r="655" spans="1:4" ht="12.75" customHeight="1" x14ac:dyDescent="0.2">
      <c r="A655" s="21"/>
      <c r="B655" s="3" t="s">
        <v>2</v>
      </c>
      <c r="C655" s="20" t="s">
        <v>1839</v>
      </c>
      <c r="D655" s="21"/>
    </row>
    <row r="656" spans="1:4" ht="12.75" customHeight="1" x14ac:dyDescent="0.2">
      <c r="A656" s="21"/>
      <c r="B656" s="3" t="s">
        <v>1840</v>
      </c>
      <c r="C656" s="20" t="s">
        <v>33</v>
      </c>
      <c r="D656" s="21"/>
    </row>
    <row r="657" spans="1:4" ht="12.75" customHeight="1" x14ac:dyDescent="0.2">
      <c r="A657" s="21"/>
      <c r="B657" s="3" t="s">
        <v>9</v>
      </c>
      <c r="C657" s="20" t="s">
        <v>262</v>
      </c>
      <c r="D657" s="21"/>
    </row>
    <row r="658" spans="1:4" ht="12.75" customHeight="1" x14ac:dyDescent="0.2">
      <c r="A658" s="21"/>
      <c r="B658" s="3" t="s">
        <v>11</v>
      </c>
      <c r="C658" s="20" t="s">
        <v>1896</v>
      </c>
      <c r="D658" s="21"/>
    </row>
    <row r="659" spans="1:4" ht="12.75" customHeight="1" x14ac:dyDescent="0.2">
      <c r="A659" s="21"/>
      <c r="B659" s="3" t="s">
        <v>16</v>
      </c>
      <c r="C659" s="20"/>
      <c r="D659" s="21"/>
    </row>
    <row r="660" spans="1:4" ht="12.75" customHeight="1" x14ac:dyDescent="0.2">
      <c r="A660" s="21"/>
      <c r="B660" s="3" t="s">
        <v>17</v>
      </c>
      <c r="C660" s="20" t="s">
        <v>19</v>
      </c>
      <c r="D660" s="21"/>
    </row>
    <row r="661" spans="1:4" ht="12.75" customHeight="1" x14ac:dyDescent="0.2">
      <c r="A661" s="21"/>
      <c r="B661" s="20" t="s">
        <v>18</v>
      </c>
      <c r="C661" s="4" t="s">
        <v>44</v>
      </c>
      <c r="D661" s="6" t="str">
        <f>HYPERLINK("javascript:void(0)","nagy ork pajzs")</f>
        <v>nagy ork pajzs</v>
      </c>
    </row>
    <row r="662" spans="1:4" ht="12.75" customHeight="1" x14ac:dyDescent="0.2">
      <c r="A662" s="21"/>
      <c r="B662" s="21"/>
      <c r="C662" s="4" t="s">
        <v>44</v>
      </c>
      <c r="D662" s="6" t="str">
        <f>HYPERLINK("javascript:void(0)","kis ork pajzs")</f>
        <v>kis ork pajzs</v>
      </c>
    </row>
    <row r="663" spans="1:4" ht="12.75" customHeight="1" x14ac:dyDescent="0.2">
      <c r="A663" s="21"/>
      <c r="B663" s="21"/>
      <c r="C663" s="4" t="s">
        <v>67</v>
      </c>
      <c r="D663" s="6" t="str">
        <f>HYPERLINK("javascript:void(0)","óngolyó")</f>
        <v>óngolyó</v>
      </c>
    </row>
    <row r="664" spans="1:4" ht="12.75" customHeight="1" x14ac:dyDescent="0.2">
      <c r="A664" s="21"/>
      <c r="B664" s="2"/>
      <c r="C664" s="2"/>
      <c r="D664" s="2"/>
    </row>
    <row r="665" spans="1:4" ht="12.75" customHeight="1" x14ac:dyDescent="0.2">
      <c r="A665" s="21"/>
      <c r="B665" s="2"/>
      <c r="C665" s="2"/>
      <c r="D665" s="2"/>
    </row>
    <row r="666" spans="1:4" ht="12.75" customHeight="1" x14ac:dyDescent="0.2">
      <c r="A666" s="21"/>
      <c r="B666" s="2"/>
      <c r="C666" s="2"/>
      <c r="D666" s="2"/>
    </row>
    <row r="667" spans="1:4" ht="12.75" customHeight="1" x14ac:dyDescent="0.2">
      <c r="A667" s="21"/>
      <c r="B667" s="2"/>
      <c r="C667" s="2"/>
      <c r="D667" s="2"/>
    </row>
    <row r="668" spans="1:4" ht="12.75" customHeight="1" x14ac:dyDescent="0.2">
      <c r="A668" s="5"/>
      <c r="B668" s="2"/>
      <c r="C668" s="2"/>
      <c r="D668" s="2"/>
    </row>
    <row r="669" spans="1:4" ht="12.75" customHeight="1" x14ac:dyDescent="0.2">
      <c r="A669" s="22" t="str">
        <f>HYPERLINK("javascript:void(0)","rimföldi pajzs")</f>
        <v>rimföldi pajzs</v>
      </c>
      <c r="B669" s="21"/>
      <c r="C669" s="21"/>
      <c r="D669" s="21"/>
    </row>
    <row r="670" spans="1:4" ht="12.75" customHeight="1" x14ac:dyDescent="0.2">
      <c r="A670" s="20"/>
      <c r="B670" s="2"/>
      <c r="C670" s="2"/>
      <c r="D670" s="2"/>
    </row>
    <row r="671" spans="1:4" ht="12.75" customHeight="1" x14ac:dyDescent="0.2">
      <c r="A671" s="21"/>
      <c r="B671" s="3" t="s">
        <v>0</v>
      </c>
      <c r="C671" s="20" t="s">
        <v>33</v>
      </c>
      <c r="D671" s="21"/>
    </row>
    <row r="672" spans="1:4" ht="12.75" customHeight="1" x14ac:dyDescent="0.2">
      <c r="A672" s="21"/>
      <c r="B672" s="3" t="s">
        <v>2</v>
      </c>
      <c r="C672" s="20" t="s">
        <v>1839</v>
      </c>
      <c r="D672" s="21"/>
    </row>
    <row r="673" spans="1:4" ht="12.75" customHeight="1" x14ac:dyDescent="0.2">
      <c r="A673" s="21"/>
      <c r="B673" s="3" t="s">
        <v>1840</v>
      </c>
      <c r="C673" s="20" t="s">
        <v>74</v>
      </c>
      <c r="D673" s="21"/>
    </row>
    <row r="674" spans="1:4" ht="12.75" customHeight="1" x14ac:dyDescent="0.2">
      <c r="A674" s="21"/>
      <c r="B674" s="3" t="s">
        <v>9</v>
      </c>
      <c r="C674" s="20" t="s">
        <v>75</v>
      </c>
      <c r="D674" s="21"/>
    </row>
    <row r="675" spans="1:4" ht="12.75" customHeight="1" x14ac:dyDescent="0.2">
      <c r="A675" s="21"/>
      <c r="B675" s="3" t="s">
        <v>11</v>
      </c>
      <c r="C675" s="20" t="s">
        <v>998</v>
      </c>
      <c r="D675" s="21"/>
    </row>
    <row r="676" spans="1:4" ht="12.75" customHeight="1" x14ac:dyDescent="0.2">
      <c r="A676" s="21"/>
      <c r="B676" s="3" t="s">
        <v>16</v>
      </c>
      <c r="C676" s="20"/>
      <c r="D676" s="21"/>
    </row>
    <row r="677" spans="1:4" ht="12.75" customHeight="1" x14ac:dyDescent="0.2">
      <c r="A677" s="21"/>
      <c r="B677" s="3" t="s">
        <v>17</v>
      </c>
      <c r="C677" s="20" t="s">
        <v>19</v>
      </c>
      <c r="D677" s="21"/>
    </row>
    <row r="678" spans="1:4" ht="12.75" customHeight="1" x14ac:dyDescent="0.2">
      <c r="A678" s="21"/>
      <c r="B678" s="20" t="s">
        <v>18</v>
      </c>
      <c r="C678" s="4" t="s">
        <v>44</v>
      </c>
      <c r="D678" s="6" t="str">
        <f>HYPERLINK("javascript:void(0)","kis szegecspajzs")</f>
        <v>kis szegecspajzs</v>
      </c>
    </row>
    <row r="679" spans="1:4" ht="12.75" customHeight="1" x14ac:dyDescent="0.2">
      <c r="A679" s="21"/>
      <c r="B679" s="21"/>
      <c r="C679" s="4" t="s">
        <v>44</v>
      </c>
      <c r="D679" s="6" t="str">
        <f>HYPERLINK("javascript:void(0)","teknőspáncél")</f>
        <v>teknőspáncél</v>
      </c>
    </row>
    <row r="680" spans="1:4" ht="12.75" customHeight="1" x14ac:dyDescent="0.2">
      <c r="A680" s="21"/>
      <c r="B680" s="21"/>
      <c r="C680" s="4" t="s">
        <v>67</v>
      </c>
      <c r="D680" s="6" t="str">
        <f>HYPERLINK("javascript:void(0)","krokodilbőr")</f>
        <v>krokodilbőr</v>
      </c>
    </row>
    <row r="681" spans="1:4" ht="12.75" customHeight="1" x14ac:dyDescent="0.2">
      <c r="A681" s="21"/>
      <c r="B681" s="2"/>
      <c r="C681" s="2"/>
      <c r="D681" s="2"/>
    </row>
    <row r="682" spans="1:4" ht="12.75" customHeight="1" x14ac:dyDescent="0.2">
      <c r="A682" s="21"/>
      <c r="B682" s="2"/>
      <c r="C682" s="2"/>
      <c r="D682" s="2"/>
    </row>
    <row r="683" spans="1:4" ht="12.75" customHeight="1" x14ac:dyDescent="0.2">
      <c r="A683" s="21"/>
      <c r="B683" s="2"/>
      <c r="C683" s="2"/>
      <c r="D683" s="2"/>
    </row>
    <row r="684" spans="1:4" ht="12.75" customHeight="1" x14ac:dyDescent="0.2">
      <c r="A684" s="21"/>
      <c r="B684" s="2"/>
      <c r="C684" s="2"/>
      <c r="D684" s="2"/>
    </row>
    <row r="685" spans="1:4" ht="12.75" customHeight="1" x14ac:dyDescent="0.2">
      <c r="A685" s="5"/>
      <c r="B685" s="2"/>
      <c r="C685" s="2"/>
      <c r="D685" s="2"/>
    </row>
    <row r="686" spans="1:4" ht="12.75" customHeight="1" x14ac:dyDescent="0.2">
      <c r="A686" s="22" t="str">
        <f>HYPERLINK("javascript:void(0)","kis pillepajzs")</f>
        <v>kis pillepajzs</v>
      </c>
      <c r="B686" s="21"/>
      <c r="C686" s="21"/>
      <c r="D686" s="21"/>
    </row>
    <row r="687" spans="1:4" ht="12.75" customHeight="1" x14ac:dyDescent="0.2">
      <c r="A687" s="20"/>
      <c r="B687" s="2"/>
      <c r="C687" s="2"/>
      <c r="D687" s="2"/>
    </row>
    <row r="688" spans="1:4" ht="12.75" customHeight="1" x14ac:dyDescent="0.2">
      <c r="A688" s="21"/>
      <c r="B688" s="3" t="s">
        <v>0</v>
      </c>
      <c r="C688" s="20" t="s">
        <v>74</v>
      </c>
      <c r="D688" s="21"/>
    </row>
    <row r="689" spans="1:4" ht="12.75" customHeight="1" x14ac:dyDescent="0.2">
      <c r="A689" s="21"/>
      <c r="B689" s="3" t="s">
        <v>2</v>
      </c>
      <c r="C689" s="20" t="s">
        <v>1839</v>
      </c>
      <c r="D689" s="21"/>
    </row>
    <row r="690" spans="1:4" ht="12.75" customHeight="1" x14ac:dyDescent="0.2">
      <c r="A690" s="21"/>
      <c r="B690" s="3" t="s">
        <v>1840</v>
      </c>
      <c r="C690" s="20" t="s">
        <v>74</v>
      </c>
      <c r="D690" s="21"/>
    </row>
    <row r="691" spans="1:4" ht="12.75" customHeight="1" x14ac:dyDescent="0.2">
      <c r="A691" s="21"/>
      <c r="B691" s="3" t="s">
        <v>9</v>
      </c>
      <c r="C691" s="20" t="s">
        <v>22</v>
      </c>
      <c r="D691" s="21"/>
    </row>
    <row r="692" spans="1:4" ht="12.75" customHeight="1" x14ac:dyDescent="0.2">
      <c r="A692" s="21"/>
      <c r="B692" s="3" t="s">
        <v>11</v>
      </c>
      <c r="C692" s="20" t="s">
        <v>251</v>
      </c>
      <c r="D692" s="21"/>
    </row>
    <row r="693" spans="1:4" ht="12.75" customHeight="1" x14ac:dyDescent="0.2">
      <c r="A693" s="21"/>
      <c r="B693" s="3" t="s">
        <v>16</v>
      </c>
      <c r="C693" s="20"/>
      <c r="D693" s="21"/>
    </row>
    <row r="694" spans="1:4" ht="12.75" customHeight="1" x14ac:dyDescent="0.2">
      <c r="A694" s="21"/>
      <c r="B694" s="3" t="s">
        <v>17</v>
      </c>
      <c r="C694" s="20" t="s">
        <v>19</v>
      </c>
      <c r="D694" s="21"/>
    </row>
    <row r="695" spans="1:4" ht="12.75" customHeight="1" x14ac:dyDescent="0.2">
      <c r="A695" s="21"/>
      <c r="B695" s="20" t="s">
        <v>18</v>
      </c>
      <c r="C695" s="4" t="s">
        <v>77</v>
      </c>
      <c r="D695" s="6" t="str">
        <f>HYPERLINK("javascript:void(0)","lepkeszárny")</f>
        <v>lepkeszárny</v>
      </c>
    </row>
    <row r="696" spans="1:4" ht="12.75" customHeight="1" x14ac:dyDescent="0.2">
      <c r="A696" s="21"/>
      <c r="B696" s="21"/>
      <c r="C696" s="4" t="s">
        <v>44</v>
      </c>
      <c r="D696" s="6" t="str">
        <f>HYPERLINK("javascript:void(0)","diszprózium")</f>
        <v>diszprózium</v>
      </c>
    </row>
    <row r="697" spans="1:4" ht="12.75" customHeight="1" x14ac:dyDescent="0.2">
      <c r="A697" s="21"/>
      <c r="B697" s="21"/>
      <c r="C697" s="4" t="s">
        <v>44</v>
      </c>
      <c r="D697" s="6" t="str">
        <f>HYPERLINK("javascript:void(0)","vaspajzs")</f>
        <v>vaspajzs</v>
      </c>
    </row>
    <row r="698" spans="1:4" ht="12.75" customHeight="1" x14ac:dyDescent="0.2">
      <c r="A698" s="21"/>
      <c r="B698" s="2"/>
      <c r="C698" s="2"/>
      <c r="D698" s="2"/>
    </row>
    <row r="699" spans="1:4" ht="12.75" customHeight="1" x14ac:dyDescent="0.2">
      <c r="A699" s="21"/>
      <c r="B699" s="2"/>
      <c r="C699" s="2"/>
      <c r="D699" s="2"/>
    </row>
    <row r="700" spans="1:4" ht="12.75" customHeight="1" x14ac:dyDescent="0.2">
      <c r="A700" s="21"/>
      <c r="B700" s="2"/>
      <c r="C700" s="2"/>
      <c r="D700" s="2"/>
    </row>
    <row r="701" spans="1:4" ht="12.75" customHeight="1" x14ac:dyDescent="0.2">
      <c r="A701" s="21"/>
      <c r="B701" s="2"/>
      <c r="C701" s="2"/>
      <c r="D701" s="2"/>
    </row>
    <row r="702" spans="1:4" ht="12.75" customHeight="1" x14ac:dyDescent="0.2">
      <c r="A702" s="5"/>
      <c r="B702" s="2"/>
      <c r="C702" s="2"/>
      <c r="D702" s="2"/>
    </row>
    <row r="703" spans="1:4" ht="12.75" customHeight="1" x14ac:dyDescent="0.2">
      <c r="A703" s="22" t="str">
        <f>HYPERLINK("javascript:void(0)","aranypajzs")</f>
        <v>aranypajzs</v>
      </c>
      <c r="B703" s="21"/>
      <c r="C703" s="21"/>
      <c r="D703" s="21"/>
    </row>
    <row r="704" spans="1:4" ht="12.75" customHeight="1" x14ac:dyDescent="0.2">
      <c r="A704" s="20"/>
      <c r="B704" s="2"/>
      <c r="C704" s="2"/>
      <c r="D704" s="2"/>
    </row>
    <row r="705" spans="1:4" ht="12.75" customHeight="1" x14ac:dyDescent="0.2">
      <c r="A705" s="21"/>
      <c r="B705" s="3" t="s">
        <v>0</v>
      </c>
      <c r="C705" s="20" t="s">
        <v>64</v>
      </c>
      <c r="D705" s="21"/>
    </row>
    <row r="706" spans="1:4" ht="12.75" customHeight="1" x14ac:dyDescent="0.2">
      <c r="A706" s="21"/>
      <c r="B706" s="3" t="s">
        <v>2</v>
      </c>
      <c r="C706" s="20" t="s">
        <v>1839</v>
      </c>
      <c r="D706" s="21"/>
    </row>
    <row r="707" spans="1:4" ht="12.75" customHeight="1" x14ac:dyDescent="0.2">
      <c r="A707" s="21"/>
      <c r="B707" s="3" t="s">
        <v>1840</v>
      </c>
      <c r="C707" s="20" t="s">
        <v>72</v>
      </c>
      <c r="D707" s="21"/>
    </row>
    <row r="708" spans="1:4" ht="12.75" customHeight="1" x14ac:dyDescent="0.2">
      <c r="A708" s="21"/>
      <c r="B708" s="3" t="s">
        <v>9</v>
      </c>
      <c r="C708" s="20" t="s">
        <v>131</v>
      </c>
      <c r="D708" s="21"/>
    </row>
    <row r="709" spans="1:4" ht="12.75" customHeight="1" x14ac:dyDescent="0.2">
      <c r="A709" s="21"/>
      <c r="B709" s="3" t="s">
        <v>11</v>
      </c>
      <c r="C709" s="20" t="s">
        <v>1900</v>
      </c>
      <c r="D709" s="21"/>
    </row>
    <row r="710" spans="1:4" ht="12.75" customHeight="1" x14ac:dyDescent="0.2">
      <c r="A710" s="21"/>
      <c r="B710" s="3" t="s">
        <v>16</v>
      </c>
      <c r="C710" s="20"/>
      <c r="D710" s="21"/>
    </row>
    <row r="711" spans="1:4" ht="12.75" customHeight="1" x14ac:dyDescent="0.2">
      <c r="A711" s="21"/>
      <c r="B711" s="3" t="s">
        <v>17</v>
      </c>
      <c r="C711" s="20" t="s">
        <v>19</v>
      </c>
      <c r="D711" s="21"/>
    </row>
    <row r="712" spans="1:4" ht="12.75" customHeight="1" x14ac:dyDescent="0.2">
      <c r="A712" s="21"/>
      <c r="B712" s="20" t="s">
        <v>18</v>
      </c>
      <c r="C712" s="4" t="s">
        <v>44</v>
      </c>
      <c r="D712" s="6" t="str">
        <f>HYPERLINK("javascript:void(0)","teknőspáncél")</f>
        <v>teknőspáncél</v>
      </c>
    </row>
    <row r="713" spans="1:4" ht="12.75" customHeight="1" x14ac:dyDescent="0.2">
      <c r="A713" s="21"/>
      <c r="B713" s="21"/>
      <c r="C713" s="4" t="s">
        <v>55</v>
      </c>
      <c r="D713" s="6" t="str">
        <f>HYPERLINK("javascript:void(0)","arany")</f>
        <v>arany</v>
      </c>
    </row>
    <row r="714" spans="1:4" ht="12.75" customHeight="1" x14ac:dyDescent="0.2">
      <c r="A714" s="21"/>
      <c r="B714" s="21"/>
      <c r="C714" s="4" t="s">
        <v>57</v>
      </c>
      <c r="D714" s="6" t="str">
        <f>HYPERLINK("javascript:void(0)","jáspis")</f>
        <v>jáspis</v>
      </c>
    </row>
    <row r="715" spans="1:4" ht="12.75" customHeight="1" x14ac:dyDescent="0.2">
      <c r="A715" s="21"/>
      <c r="B715" s="2"/>
      <c r="C715" s="2"/>
      <c r="D715" s="2"/>
    </row>
    <row r="716" spans="1:4" ht="12.75" customHeight="1" x14ac:dyDescent="0.2">
      <c r="A716" s="21"/>
      <c r="B716" s="2"/>
      <c r="C716" s="2"/>
      <c r="D716" s="2"/>
    </row>
    <row r="717" spans="1:4" ht="12.75" customHeight="1" x14ac:dyDescent="0.2">
      <c r="A717" s="21"/>
      <c r="B717" s="2"/>
      <c r="C717" s="2"/>
      <c r="D717" s="2"/>
    </row>
    <row r="718" spans="1:4" ht="12.75" customHeight="1" x14ac:dyDescent="0.2">
      <c r="A718" s="21"/>
      <c r="B718" s="2"/>
      <c r="C718" s="2"/>
      <c r="D718" s="2"/>
    </row>
    <row r="719" spans="1:4" ht="12.75" customHeight="1" x14ac:dyDescent="0.2">
      <c r="A719" s="5"/>
      <c r="B719" s="2"/>
      <c r="C719" s="2"/>
      <c r="D719" s="2"/>
    </row>
    <row r="720" spans="1:4" ht="12.75" customHeight="1" x14ac:dyDescent="0.2">
      <c r="A720" s="22" t="str">
        <f>HYPERLINK("javascript:void(0)","parszi szögpajzs")</f>
        <v>parszi szögpajzs</v>
      </c>
      <c r="B720" s="21"/>
      <c r="C720" s="21"/>
      <c r="D720" s="21"/>
    </row>
    <row r="721" spans="1:4" ht="12.75" customHeight="1" x14ac:dyDescent="0.2">
      <c r="A721" s="20"/>
      <c r="B721" s="2"/>
      <c r="C721" s="2"/>
      <c r="D721" s="2"/>
    </row>
    <row r="722" spans="1:4" ht="12.75" customHeight="1" x14ac:dyDescent="0.2">
      <c r="A722" s="21"/>
      <c r="B722" s="3" t="s">
        <v>0</v>
      </c>
      <c r="C722" s="20" t="s">
        <v>64</v>
      </c>
      <c r="D722" s="21"/>
    </row>
    <row r="723" spans="1:4" ht="12.75" customHeight="1" x14ac:dyDescent="0.2">
      <c r="A723" s="21"/>
      <c r="B723" s="3" t="s">
        <v>2</v>
      </c>
      <c r="C723" s="20" t="s">
        <v>1839</v>
      </c>
      <c r="D723" s="21"/>
    </row>
    <row r="724" spans="1:4" ht="12.75" customHeight="1" x14ac:dyDescent="0.2">
      <c r="A724" s="21"/>
      <c r="B724" s="3" t="s">
        <v>1840</v>
      </c>
      <c r="C724" s="20" t="s">
        <v>82</v>
      </c>
      <c r="D724" s="21"/>
    </row>
    <row r="725" spans="1:4" ht="12.75" customHeight="1" x14ac:dyDescent="0.2">
      <c r="A725" s="21"/>
      <c r="B725" s="3" t="s">
        <v>9</v>
      </c>
      <c r="C725" s="20" t="s">
        <v>49</v>
      </c>
      <c r="D725" s="21"/>
    </row>
    <row r="726" spans="1:4" ht="12.75" customHeight="1" x14ac:dyDescent="0.2">
      <c r="A726" s="21"/>
      <c r="B726" s="3" t="s">
        <v>11</v>
      </c>
      <c r="C726" s="20" t="s">
        <v>254</v>
      </c>
      <c r="D726" s="21"/>
    </row>
    <row r="727" spans="1:4" ht="12.75" customHeight="1" x14ac:dyDescent="0.2">
      <c r="A727" s="21"/>
      <c r="B727" s="3" t="s">
        <v>16</v>
      </c>
      <c r="C727" s="20"/>
      <c r="D727" s="21"/>
    </row>
    <row r="728" spans="1:4" ht="12.75" customHeight="1" x14ac:dyDescent="0.2">
      <c r="A728" s="21"/>
      <c r="B728" s="3" t="s">
        <v>17</v>
      </c>
      <c r="C728" s="20" t="s">
        <v>19</v>
      </c>
      <c r="D728" s="21"/>
    </row>
    <row r="729" spans="1:4" ht="12.75" customHeight="1" x14ac:dyDescent="0.2">
      <c r="A729" s="21"/>
      <c r="B729" s="20" t="s">
        <v>18</v>
      </c>
      <c r="C729" s="4" t="s">
        <v>44</v>
      </c>
      <c r="D729" s="6" t="str">
        <f>HYPERLINK("javascript:void(0)","parszi kerek pajzs")</f>
        <v>parszi kerek pajzs</v>
      </c>
    </row>
    <row r="730" spans="1:4" ht="12.75" customHeight="1" x14ac:dyDescent="0.2">
      <c r="A730" s="21"/>
      <c r="B730" s="21"/>
      <c r="C730" s="4" t="s">
        <v>232</v>
      </c>
      <c r="D730" s="6" t="str">
        <f>HYPERLINK("javascript:void(0)","vasérc")</f>
        <v>vasérc</v>
      </c>
    </row>
    <row r="731" spans="1:4" ht="12.75" customHeight="1" x14ac:dyDescent="0.2">
      <c r="A731" s="21"/>
      <c r="B731" s="21"/>
      <c r="C731" s="4" t="s">
        <v>56</v>
      </c>
      <c r="D731" s="6" t="str">
        <f>HYPERLINK("javascript:void(0)","arany")</f>
        <v>arany</v>
      </c>
    </row>
    <row r="732" spans="1:4" ht="12.75" customHeight="1" x14ac:dyDescent="0.2">
      <c r="A732" s="21"/>
      <c r="B732" s="2"/>
      <c r="C732" s="2"/>
      <c r="D732" s="2"/>
    </row>
    <row r="733" spans="1:4" ht="12.75" customHeight="1" x14ac:dyDescent="0.2">
      <c r="A733" s="21"/>
      <c r="B733" s="2"/>
      <c r="C733" s="2"/>
      <c r="D733" s="2"/>
    </row>
    <row r="734" spans="1:4" ht="12.75" customHeight="1" x14ac:dyDescent="0.2">
      <c r="A734" s="21"/>
      <c r="B734" s="2"/>
      <c r="C734" s="2"/>
      <c r="D734" s="2"/>
    </row>
    <row r="735" spans="1:4" ht="12.75" customHeight="1" x14ac:dyDescent="0.2">
      <c r="A735" s="21"/>
      <c r="B735" s="2"/>
      <c r="C735" s="2"/>
      <c r="D735" s="2"/>
    </row>
    <row r="736" spans="1:4" ht="12.75" customHeight="1" x14ac:dyDescent="0.2">
      <c r="A736" s="5"/>
      <c r="B736" s="2"/>
      <c r="C736" s="2"/>
      <c r="D736" s="2"/>
    </row>
    <row r="737" spans="1:4" ht="12.75" customHeight="1" x14ac:dyDescent="0.2">
      <c r="A737" s="22" t="str">
        <f>HYPERLINK("javascript:void(0)","hidegige")</f>
        <v>hidegige</v>
      </c>
      <c r="B737" s="21"/>
      <c r="C737" s="21"/>
      <c r="D737" s="21"/>
    </row>
    <row r="738" spans="1:4" ht="12.75" customHeight="1" x14ac:dyDescent="0.2">
      <c r="A738" s="20"/>
      <c r="B738" s="2"/>
      <c r="C738" s="2"/>
      <c r="D738" s="2"/>
    </row>
    <row r="739" spans="1:4" ht="12.75" customHeight="1" x14ac:dyDescent="0.2">
      <c r="A739" s="21"/>
      <c r="B739" s="3" t="s">
        <v>0</v>
      </c>
      <c r="C739" s="20" t="s">
        <v>64</v>
      </c>
      <c r="D739" s="21"/>
    </row>
    <row r="740" spans="1:4" ht="12.75" customHeight="1" x14ac:dyDescent="0.2">
      <c r="A740" s="21"/>
      <c r="B740" s="3" t="s">
        <v>2</v>
      </c>
      <c r="C740" s="20" t="s">
        <v>1839</v>
      </c>
      <c r="D740" s="21"/>
    </row>
    <row r="741" spans="1:4" ht="12.75" customHeight="1" x14ac:dyDescent="0.2">
      <c r="A741" s="21"/>
      <c r="B741" s="3" t="s">
        <v>1840</v>
      </c>
      <c r="C741" s="20" t="s">
        <v>21</v>
      </c>
      <c r="D741" s="21"/>
    </row>
    <row r="742" spans="1:4" ht="12.75" customHeight="1" x14ac:dyDescent="0.2">
      <c r="A742" s="21"/>
      <c r="B742" s="3" t="s">
        <v>9</v>
      </c>
      <c r="C742" s="20" t="s">
        <v>79</v>
      </c>
      <c r="D742" s="21"/>
    </row>
    <row r="743" spans="1:4" ht="12.75" customHeight="1" x14ac:dyDescent="0.2">
      <c r="A743" s="21"/>
      <c r="B743" s="3" t="s">
        <v>11</v>
      </c>
      <c r="C743" s="20" t="s">
        <v>89</v>
      </c>
      <c r="D743" s="21"/>
    </row>
    <row r="744" spans="1:4" ht="12.75" customHeight="1" x14ac:dyDescent="0.2">
      <c r="A744" s="21"/>
      <c r="B744" s="3" t="s">
        <v>16</v>
      </c>
      <c r="C744" s="20"/>
      <c r="D744" s="21"/>
    </row>
    <row r="745" spans="1:4" ht="12.75" customHeight="1" x14ac:dyDescent="0.2">
      <c r="A745" s="21"/>
      <c r="B745" s="3" t="s">
        <v>17</v>
      </c>
      <c r="C745" s="20" t="s">
        <v>19</v>
      </c>
      <c r="D745" s="21"/>
    </row>
    <row r="746" spans="1:4" ht="12.75" customHeight="1" x14ac:dyDescent="0.2">
      <c r="A746" s="21"/>
      <c r="B746" s="20" t="s">
        <v>18</v>
      </c>
      <c r="C746" s="4" t="s">
        <v>44</v>
      </c>
      <c r="D746" s="6" t="str">
        <f>HYPERLINK("javascript:void(0)","légige")</f>
        <v>légige</v>
      </c>
    </row>
    <row r="747" spans="1:4" ht="12.75" customHeight="1" x14ac:dyDescent="0.2">
      <c r="A747" s="21"/>
      <c r="B747" s="21"/>
      <c r="C747" s="4" t="s">
        <v>44</v>
      </c>
      <c r="D747" s="6" t="str">
        <f>HYPERLINK("javascript:void(0)","vízige")</f>
        <v>vízige</v>
      </c>
    </row>
    <row r="748" spans="1:4" ht="12.75" customHeight="1" x14ac:dyDescent="0.2">
      <c r="A748" s="21"/>
      <c r="B748" s="21"/>
      <c r="C748" s="4" t="s">
        <v>232</v>
      </c>
      <c r="D748" s="6" t="str">
        <f>HYPERLINK("javascript:void(0)","elementál eszencia")</f>
        <v>elementál eszencia</v>
      </c>
    </row>
    <row r="749" spans="1:4" ht="12.75" customHeight="1" x14ac:dyDescent="0.2">
      <c r="A749" s="21"/>
      <c r="B749" s="2"/>
      <c r="C749" s="2"/>
      <c r="D749" s="2"/>
    </row>
    <row r="750" spans="1:4" ht="12.75" customHeight="1" x14ac:dyDescent="0.2">
      <c r="A750" s="21"/>
      <c r="B750" s="2"/>
      <c r="C750" s="2"/>
      <c r="D750" s="2"/>
    </row>
    <row r="751" spans="1:4" ht="12.75" customHeight="1" x14ac:dyDescent="0.2">
      <c r="A751" s="21"/>
      <c r="B751" s="2"/>
      <c r="C751" s="2"/>
      <c r="D751" s="2"/>
    </row>
    <row r="752" spans="1:4" ht="12.75" customHeight="1" x14ac:dyDescent="0.2">
      <c r="A752" s="21"/>
      <c r="B752" s="2"/>
      <c r="C752" s="2"/>
      <c r="D752" s="2"/>
    </row>
    <row r="753" spans="1:4" ht="12.75" customHeight="1" x14ac:dyDescent="0.2">
      <c r="A753" s="5"/>
      <c r="B753" s="2"/>
      <c r="C753" s="2"/>
      <c r="D753" s="2"/>
    </row>
    <row r="754" spans="1:4" ht="12.75" customHeight="1" x14ac:dyDescent="0.2">
      <c r="A754" s="22" t="str">
        <f>HYPERLINK("javascript:void(0)","melegige")</f>
        <v>melegige</v>
      </c>
      <c r="B754" s="21"/>
      <c r="C754" s="21"/>
      <c r="D754" s="21"/>
    </row>
    <row r="755" spans="1:4" ht="12.75" customHeight="1" x14ac:dyDescent="0.2">
      <c r="A755" s="20"/>
      <c r="B755" s="2"/>
      <c r="C755" s="2"/>
      <c r="D755" s="2"/>
    </row>
    <row r="756" spans="1:4" ht="12.75" customHeight="1" x14ac:dyDescent="0.2">
      <c r="A756" s="21"/>
      <c r="B756" s="3" t="s">
        <v>0</v>
      </c>
      <c r="C756" s="20" t="s">
        <v>64</v>
      </c>
      <c r="D756" s="21"/>
    </row>
    <row r="757" spans="1:4" ht="12.75" customHeight="1" x14ac:dyDescent="0.2">
      <c r="A757" s="21"/>
      <c r="B757" s="3" t="s">
        <v>2</v>
      </c>
      <c r="C757" s="20" t="s">
        <v>1839</v>
      </c>
      <c r="D757" s="21"/>
    </row>
    <row r="758" spans="1:4" ht="12.75" customHeight="1" x14ac:dyDescent="0.2">
      <c r="A758" s="21"/>
      <c r="B758" s="3" t="s">
        <v>1840</v>
      </c>
      <c r="C758" s="20" t="s">
        <v>21</v>
      </c>
      <c r="D758" s="21"/>
    </row>
    <row r="759" spans="1:4" ht="12.75" customHeight="1" x14ac:dyDescent="0.2">
      <c r="A759" s="21"/>
      <c r="B759" s="3" t="s">
        <v>9</v>
      </c>
      <c r="C759" s="20" t="s">
        <v>1907</v>
      </c>
      <c r="D759" s="21"/>
    </row>
    <row r="760" spans="1:4" ht="12.75" customHeight="1" x14ac:dyDescent="0.2">
      <c r="A760" s="21"/>
      <c r="B760" s="3" t="s">
        <v>11</v>
      </c>
      <c r="C760" s="20" t="s">
        <v>89</v>
      </c>
      <c r="D760" s="21"/>
    </row>
    <row r="761" spans="1:4" ht="12.75" customHeight="1" x14ac:dyDescent="0.2">
      <c r="A761" s="21"/>
      <c r="B761" s="3" t="s">
        <v>16</v>
      </c>
      <c r="C761" s="20"/>
      <c r="D761" s="21"/>
    </row>
    <row r="762" spans="1:4" ht="12.75" customHeight="1" x14ac:dyDescent="0.2">
      <c r="A762" s="21"/>
      <c r="B762" s="3" t="s">
        <v>17</v>
      </c>
      <c r="C762" s="20" t="s">
        <v>19</v>
      </c>
      <c r="D762" s="21"/>
    </row>
    <row r="763" spans="1:4" ht="12.75" customHeight="1" x14ac:dyDescent="0.2">
      <c r="A763" s="21"/>
      <c r="B763" s="20" t="s">
        <v>18</v>
      </c>
      <c r="C763" s="4" t="s">
        <v>44</v>
      </c>
      <c r="D763" s="6" t="str">
        <f>HYPERLINK("javascript:void(0)","tűzige")</f>
        <v>tűzige</v>
      </c>
    </row>
    <row r="764" spans="1:4" ht="12.75" customHeight="1" x14ac:dyDescent="0.2">
      <c r="A764" s="21"/>
      <c r="B764" s="21"/>
      <c r="C764" s="4" t="s">
        <v>44</v>
      </c>
      <c r="D764" s="6" t="str">
        <f>HYPERLINK("javascript:void(0)","földige")</f>
        <v>földige</v>
      </c>
    </row>
    <row r="765" spans="1:4" ht="12.75" customHeight="1" x14ac:dyDescent="0.2">
      <c r="A765" s="21"/>
      <c r="B765" s="21"/>
      <c r="C765" s="4" t="s">
        <v>232</v>
      </c>
      <c r="D765" s="6" t="str">
        <f>HYPERLINK("javascript:void(0)","elementál eszencia")</f>
        <v>elementál eszencia</v>
      </c>
    </row>
    <row r="766" spans="1:4" ht="12.75" customHeight="1" x14ac:dyDescent="0.2">
      <c r="A766" s="21"/>
      <c r="B766" s="2"/>
      <c r="C766" s="2"/>
      <c r="D766" s="2"/>
    </row>
    <row r="767" spans="1:4" ht="12.75" customHeight="1" x14ac:dyDescent="0.2">
      <c r="A767" s="21"/>
      <c r="B767" s="2"/>
      <c r="C767" s="2"/>
      <c r="D767" s="2"/>
    </row>
    <row r="768" spans="1:4" ht="12.75" customHeight="1" x14ac:dyDescent="0.2">
      <c r="A768" s="21"/>
      <c r="B768" s="2"/>
      <c r="C768" s="2"/>
      <c r="D768" s="2"/>
    </row>
    <row r="769" spans="1:4" ht="12.75" customHeight="1" x14ac:dyDescent="0.2">
      <c r="A769" s="21"/>
      <c r="B769" s="2"/>
      <c r="C769" s="2"/>
      <c r="D769" s="2"/>
    </row>
    <row r="770" spans="1:4" ht="12.75" customHeight="1" x14ac:dyDescent="0.2">
      <c r="A770" s="5"/>
      <c r="B770" s="2"/>
      <c r="C770" s="2"/>
      <c r="D770" s="2"/>
    </row>
    <row r="771" spans="1:4" ht="12.75" customHeight="1" x14ac:dyDescent="0.2">
      <c r="A771" s="22" t="str">
        <f>HYPERLINK("javascript:void(0)","ezüst testpajzs")</f>
        <v>ezüst testpajzs</v>
      </c>
      <c r="B771" s="21"/>
      <c r="C771" s="21"/>
      <c r="D771" s="21"/>
    </row>
    <row r="772" spans="1:4" ht="12.75" customHeight="1" x14ac:dyDescent="0.2">
      <c r="A772" s="20"/>
      <c r="B772" s="2"/>
      <c r="C772" s="2"/>
      <c r="D772" s="2"/>
    </row>
    <row r="773" spans="1:4" ht="12.75" customHeight="1" x14ac:dyDescent="0.2">
      <c r="A773" s="21"/>
      <c r="B773" s="3" t="s">
        <v>0</v>
      </c>
      <c r="C773" s="20" t="s">
        <v>72</v>
      </c>
      <c r="D773" s="21"/>
    </row>
    <row r="774" spans="1:4" ht="12.75" customHeight="1" x14ac:dyDescent="0.2">
      <c r="A774" s="21"/>
      <c r="B774" s="3" t="s">
        <v>2</v>
      </c>
      <c r="C774" s="20" t="s">
        <v>1839</v>
      </c>
      <c r="D774" s="21"/>
    </row>
    <row r="775" spans="1:4" ht="12.75" customHeight="1" x14ac:dyDescent="0.2">
      <c r="A775" s="21"/>
      <c r="B775" s="3" t="s">
        <v>1840</v>
      </c>
      <c r="C775" s="20" t="s">
        <v>82</v>
      </c>
      <c r="D775" s="21"/>
    </row>
    <row r="776" spans="1:4" ht="12.75" customHeight="1" x14ac:dyDescent="0.2">
      <c r="A776" s="21"/>
      <c r="B776" s="3" t="s">
        <v>9</v>
      </c>
      <c r="C776" s="20" t="s">
        <v>249</v>
      </c>
      <c r="D776" s="21"/>
    </row>
    <row r="777" spans="1:4" ht="12.75" customHeight="1" x14ac:dyDescent="0.2">
      <c r="A777" s="21"/>
      <c r="B777" s="3" t="s">
        <v>11</v>
      </c>
      <c r="C777" s="20" t="s">
        <v>695</v>
      </c>
      <c r="D777" s="21"/>
    </row>
    <row r="778" spans="1:4" ht="12.75" customHeight="1" x14ac:dyDescent="0.2">
      <c r="A778" s="21"/>
      <c r="B778" s="3" t="s">
        <v>16</v>
      </c>
      <c r="C778" s="20"/>
      <c r="D778" s="21"/>
    </row>
    <row r="779" spans="1:4" ht="12.75" customHeight="1" x14ac:dyDescent="0.2">
      <c r="A779" s="21"/>
      <c r="B779" s="3" t="s">
        <v>17</v>
      </c>
      <c r="C779" s="20" t="s">
        <v>19</v>
      </c>
      <c r="D779" s="21"/>
    </row>
    <row r="780" spans="1:4" ht="12.75" customHeight="1" x14ac:dyDescent="0.2">
      <c r="A780" s="21"/>
      <c r="B780" s="20" t="s">
        <v>18</v>
      </c>
      <c r="C780" s="4" t="s">
        <v>44</v>
      </c>
      <c r="D780" s="6" t="str">
        <f>HYPERLINK("javascript:void(0)","acél testpajzs")</f>
        <v>acél testpajzs</v>
      </c>
    </row>
    <row r="781" spans="1:4" ht="12.75" customHeight="1" x14ac:dyDescent="0.2">
      <c r="A781" s="21"/>
      <c r="B781" s="21"/>
      <c r="C781" s="4" t="s">
        <v>109</v>
      </c>
      <c r="D781" s="6" t="str">
        <f>HYPERLINK("javascript:void(0)","ezüst")</f>
        <v>ezüst</v>
      </c>
    </row>
    <row r="782" spans="1:4" ht="12.75" customHeight="1" x14ac:dyDescent="0.2">
      <c r="A782" s="21"/>
      <c r="B782" s="21"/>
      <c r="C782" s="4" t="s">
        <v>55</v>
      </c>
      <c r="D782" s="6" t="str">
        <f>HYPERLINK("javascript:void(0)","arany")</f>
        <v>arany</v>
      </c>
    </row>
    <row r="783" spans="1:4" ht="12.75" customHeight="1" x14ac:dyDescent="0.2">
      <c r="A783" s="21"/>
      <c r="B783" s="2"/>
      <c r="C783" s="2"/>
      <c r="D783" s="2"/>
    </row>
    <row r="784" spans="1:4" ht="12.75" customHeight="1" x14ac:dyDescent="0.2">
      <c r="A784" s="21"/>
      <c r="B784" s="2"/>
      <c r="C784" s="2"/>
      <c r="D784" s="2"/>
    </row>
    <row r="785" spans="1:4" ht="12.75" customHeight="1" x14ac:dyDescent="0.2">
      <c r="A785" s="21"/>
      <c r="B785" s="2"/>
      <c r="C785" s="2"/>
      <c r="D785" s="2"/>
    </row>
    <row r="786" spans="1:4" ht="12.75" customHeight="1" x14ac:dyDescent="0.2">
      <c r="A786" s="21"/>
      <c r="B786" s="2"/>
      <c r="C786" s="2"/>
      <c r="D786" s="2"/>
    </row>
    <row r="787" spans="1:4" ht="12.75" customHeight="1" x14ac:dyDescent="0.2">
      <c r="A787" s="5"/>
      <c r="B787" s="2"/>
      <c r="C787" s="2"/>
      <c r="D787" s="2"/>
    </row>
    <row r="788" spans="1:4" ht="12.75" customHeight="1" x14ac:dyDescent="0.2">
      <c r="A788" s="22" t="str">
        <f>HYPERLINK("javascript:void(0)","kis manópajzs")</f>
        <v>kis manópajzs</v>
      </c>
      <c r="B788" s="21"/>
      <c r="C788" s="21"/>
      <c r="D788" s="21"/>
    </row>
    <row r="789" spans="1:4" ht="12.75" customHeight="1" x14ac:dyDescent="0.2">
      <c r="A789" s="20"/>
      <c r="B789" s="2"/>
      <c r="C789" s="2"/>
      <c r="D789" s="2"/>
    </row>
    <row r="790" spans="1:4" ht="12.75" customHeight="1" x14ac:dyDescent="0.2">
      <c r="A790" s="21"/>
      <c r="B790" s="3" t="s">
        <v>0</v>
      </c>
      <c r="C790" s="20" t="s">
        <v>82</v>
      </c>
      <c r="D790" s="21"/>
    </row>
    <row r="791" spans="1:4" ht="12.75" customHeight="1" x14ac:dyDescent="0.2">
      <c r="A791" s="21"/>
      <c r="B791" s="3" t="s">
        <v>2</v>
      </c>
      <c r="C791" s="20" t="s">
        <v>1839</v>
      </c>
      <c r="D791" s="21"/>
    </row>
    <row r="792" spans="1:4" ht="12.75" customHeight="1" x14ac:dyDescent="0.2">
      <c r="A792" s="21"/>
      <c r="B792" s="3" t="s">
        <v>1840</v>
      </c>
      <c r="C792" s="20" t="s">
        <v>90</v>
      </c>
      <c r="D792" s="21"/>
    </row>
    <row r="793" spans="1:4" ht="12.75" customHeight="1" x14ac:dyDescent="0.2">
      <c r="A793" s="21"/>
      <c r="B793" s="3" t="s">
        <v>9</v>
      </c>
      <c r="C793" s="20" t="s">
        <v>36</v>
      </c>
      <c r="D793" s="21"/>
    </row>
    <row r="794" spans="1:4" ht="12.75" customHeight="1" x14ac:dyDescent="0.2">
      <c r="A794" s="21"/>
      <c r="B794" s="3" t="s">
        <v>11</v>
      </c>
      <c r="C794" s="20" t="s">
        <v>43</v>
      </c>
      <c r="D794" s="21"/>
    </row>
    <row r="795" spans="1:4" ht="12.75" customHeight="1" x14ac:dyDescent="0.2">
      <c r="A795" s="21"/>
      <c r="B795" s="3" t="s">
        <v>16</v>
      </c>
      <c r="C795" s="20"/>
      <c r="D795" s="21"/>
    </row>
    <row r="796" spans="1:4" ht="12.75" customHeight="1" x14ac:dyDescent="0.2">
      <c r="A796" s="21"/>
      <c r="B796" s="3" t="s">
        <v>17</v>
      </c>
      <c r="C796" s="20" t="s">
        <v>19</v>
      </c>
      <c r="D796" s="21"/>
    </row>
    <row r="797" spans="1:4" ht="12.75" customHeight="1" x14ac:dyDescent="0.2">
      <c r="A797" s="21"/>
      <c r="B797" s="20" t="s">
        <v>18</v>
      </c>
      <c r="C797" s="4" t="s">
        <v>951</v>
      </c>
      <c r="D797" s="6" t="str">
        <f>HYPERLINK("javascript:void(0)","goblinbatka")</f>
        <v>goblinbatka</v>
      </c>
    </row>
    <row r="798" spans="1:4" ht="12.75" customHeight="1" x14ac:dyDescent="0.2">
      <c r="A798" s="21"/>
      <c r="B798" s="21"/>
      <c r="C798" s="4" t="s">
        <v>44</v>
      </c>
      <c r="D798" s="6" t="str">
        <f>HYPERLINK("javascript:void(0)","centrolium")</f>
        <v>centrolium</v>
      </c>
    </row>
    <row r="799" spans="1:4" ht="12.75" customHeight="1" x14ac:dyDescent="0.2">
      <c r="A799" s="21"/>
      <c r="B799" s="21"/>
      <c r="C799" s="4" t="s">
        <v>44</v>
      </c>
      <c r="D799" s="6" t="str">
        <f>HYPERLINK("javascript:void(0)","ezüst testpajzs")</f>
        <v>ezüst testpajzs</v>
      </c>
    </row>
    <row r="800" spans="1:4" ht="12.75" customHeight="1" x14ac:dyDescent="0.2">
      <c r="A800" s="21"/>
      <c r="B800" s="2"/>
      <c r="C800" s="2"/>
      <c r="D800" s="2"/>
    </row>
    <row r="801" spans="1:4" ht="12.75" customHeight="1" x14ac:dyDescent="0.2">
      <c r="A801" s="21"/>
      <c r="B801" s="2"/>
      <c r="C801" s="2"/>
      <c r="D801" s="2"/>
    </row>
    <row r="802" spans="1:4" ht="12.75" customHeight="1" x14ac:dyDescent="0.2">
      <c r="A802" s="21"/>
      <c r="B802" s="2"/>
      <c r="C802" s="2"/>
      <c r="D802" s="2"/>
    </row>
    <row r="803" spans="1:4" ht="12.75" customHeight="1" x14ac:dyDescent="0.2">
      <c r="A803" s="21"/>
      <c r="B803" s="2"/>
      <c r="C803" s="2"/>
      <c r="D803" s="2"/>
    </row>
    <row r="804" spans="1:4" ht="12.75" customHeight="1" x14ac:dyDescent="0.2">
      <c r="A804" s="5"/>
      <c r="B804" s="2"/>
      <c r="C804" s="2"/>
      <c r="D804" s="2"/>
    </row>
    <row r="805" spans="1:4" ht="12.75" customHeight="1" x14ac:dyDescent="0.2">
      <c r="A805" s="22" t="str">
        <f>HYPERLINK("javascript:void(0)","mengorni pajzs")</f>
        <v>mengorni pajzs</v>
      </c>
      <c r="B805" s="21"/>
      <c r="C805" s="21"/>
      <c r="D805" s="21"/>
    </row>
    <row r="806" spans="1:4" ht="12.75" customHeight="1" x14ac:dyDescent="0.2">
      <c r="A806" s="20"/>
      <c r="B806" s="2"/>
      <c r="C806" s="2"/>
      <c r="D806" s="2"/>
    </row>
    <row r="807" spans="1:4" ht="12.75" customHeight="1" x14ac:dyDescent="0.2">
      <c r="A807" s="21"/>
      <c r="B807" s="3" t="s">
        <v>0</v>
      </c>
      <c r="C807" s="20" t="s">
        <v>82</v>
      </c>
      <c r="D807" s="21"/>
    </row>
    <row r="808" spans="1:4" ht="12.75" customHeight="1" x14ac:dyDescent="0.2">
      <c r="A808" s="21"/>
      <c r="B808" s="3" t="s">
        <v>2</v>
      </c>
      <c r="C808" s="20" t="s">
        <v>1839</v>
      </c>
      <c r="D808" s="21"/>
    </row>
    <row r="809" spans="1:4" ht="12.75" customHeight="1" x14ac:dyDescent="0.2">
      <c r="A809" s="21"/>
      <c r="B809" s="3" t="s">
        <v>1840</v>
      </c>
      <c r="C809" s="20" t="s">
        <v>86</v>
      </c>
      <c r="D809" s="21"/>
    </row>
    <row r="810" spans="1:4" ht="12.75" customHeight="1" x14ac:dyDescent="0.2">
      <c r="A810" s="21"/>
      <c r="B810" s="3" t="s">
        <v>9</v>
      </c>
      <c r="C810" s="20" t="s">
        <v>129</v>
      </c>
      <c r="D810" s="21"/>
    </row>
    <row r="811" spans="1:4" ht="12.75" customHeight="1" x14ac:dyDescent="0.2">
      <c r="A811" s="21"/>
      <c r="B811" s="3" t="s">
        <v>11</v>
      </c>
      <c r="C811" s="20" t="s">
        <v>1911</v>
      </c>
      <c r="D811" s="21"/>
    </row>
    <row r="812" spans="1:4" ht="12.75" customHeight="1" x14ac:dyDescent="0.2">
      <c r="A812" s="21"/>
      <c r="B812" s="3" t="s">
        <v>16</v>
      </c>
      <c r="C812" s="20"/>
      <c r="D812" s="21"/>
    </row>
    <row r="813" spans="1:4" ht="12.75" customHeight="1" x14ac:dyDescent="0.2">
      <c r="A813" s="21"/>
      <c r="B813" s="3" t="s">
        <v>17</v>
      </c>
      <c r="C813" s="20" t="s">
        <v>19</v>
      </c>
      <c r="D813" s="21"/>
    </row>
    <row r="814" spans="1:4" ht="12.75" customHeight="1" x14ac:dyDescent="0.2">
      <c r="A814" s="21"/>
      <c r="B814" s="20" t="s">
        <v>18</v>
      </c>
      <c r="C814" s="4" t="s">
        <v>44</v>
      </c>
      <c r="D814" s="6" t="str">
        <f>HYPERLINK("javascript:void(0)","troll pajzs")</f>
        <v>troll pajzs</v>
      </c>
    </row>
    <row r="815" spans="1:4" ht="12.75" customHeight="1" x14ac:dyDescent="0.2">
      <c r="A815" s="21"/>
      <c r="B815" s="21"/>
      <c r="C815" s="4" t="s">
        <v>132</v>
      </c>
      <c r="D815" s="6" t="str">
        <f>HYPERLINK("javascript:void(0)","arany")</f>
        <v>arany</v>
      </c>
    </row>
    <row r="816" spans="1:4" ht="12.75" customHeight="1" x14ac:dyDescent="0.2">
      <c r="A816" s="21"/>
      <c r="B816" s="21"/>
      <c r="C816" s="4" t="s">
        <v>130</v>
      </c>
      <c r="D816" s="6" t="str">
        <f>HYPERLINK("javascript:void(0)","ezüst")</f>
        <v>ezüst</v>
      </c>
    </row>
    <row r="817" spans="1:4" ht="12.75" customHeight="1" x14ac:dyDescent="0.2">
      <c r="A817" s="21"/>
      <c r="B817" s="2"/>
      <c r="C817" s="2"/>
      <c r="D817" s="2"/>
    </row>
    <row r="818" spans="1:4" ht="12.75" customHeight="1" x14ac:dyDescent="0.2">
      <c r="A818" s="21"/>
      <c r="B818" s="2"/>
      <c r="C818" s="2"/>
      <c r="D818" s="2"/>
    </row>
    <row r="819" spans="1:4" ht="12.75" customHeight="1" x14ac:dyDescent="0.2">
      <c r="A819" s="21"/>
      <c r="B819" s="2"/>
      <c r="C819" s="2"/>
      <c r="D819" s="2"/>
    </row>
    <row r="820" spans="1:4" ht="12.75" customHeight="1" x14ac:dyDescent="0.2">
      <c r="A820" s="21"/>
      <c r="B820" s="2"/>
      <c r="C820" s="2"/>
      <c r="D820" s="2"/>
    </row>
    <row r="821" spans="1:4" ht="12.75" customHeight="1" x14ac:dyDescent="0.2">
      <c r="A821" s="5"/>
      <c r="B821" s="2"/>
      <c r="C821" s="2"/>
      <c r="D821" s="2"/>
    </row>
    <row r="822" spans="1:4" ht="12.75" customHeight="1" x14ac:dyDescent="0.2">
      <c r="A822" s="22" t="str">
        <f>HYPERLINK("javascript:void(0)","wendír testpajzs")</f>
        <v>wendír testpajzs</v>
      </c>
      <c r="B822" s="21"/>
      <c r="C822" s="21"/>
      <c r="D822" s="21"/>
    </row>
    <row r="823" spans="1:4" ht="12.75" customHeight="1" x14ac:dyDescent="0.2">
      <c r="A823" s="20"/>
      <c r="B823" s="2"/>
      <c r="C823" s="2"/>
      <c r="D823" s="2"/>
    </row>
    <row r="824" spans="1:4" ht="12.75" customHeight="1" x14ac:dyDescent="0.2">
      <c r="A824" s="21"/>
      <c r="B824" s="3" t="s">
        <v>0</v>
      </c>
      <c r="C824" s="20" t="s">
        <v>82</v>
      </c>
      <c r="D824" s="21"/>
    </row>
    <row r="825" spans="1:4" ht="12.75" customHeight="1" x14ac:dyDescent="0.2">
      <c r="A825" s="21"/>
      <c r="B825" s="3" t="s">
        <v>2</v>
      </c>
      <c r="C825" s="20" t="s">
        <v>1839</v>
      </c>
      <c r="D825" s="21"/>
    </row>
    <row r="826" spans="1:4" ht="12.75" customHeight="1" x14ac:dyDescent="0.2">
      <c r="A826" s="21"/>
      <c r="B826" s="3" t="s">
        <v>1840</v>
      </c>
      <c r="C826" s="20" t="s">
        <v>90</v>
      </c>
      <c r="D826" s="21"/>
    </row>
    <row r="827" spans="1:4" ht="12.75" customHeight="1" x14ac:dyDescent="0.2">
      <c r="A827" s="21"/>
      <c r="B827" s="3" t="s">
        <v>9</v>
      </c>
      <c r="C827" s="20" t="s">
        <v>1702</v>
      </c>
      <c r="D827" s="21"/>
    </row>
    <row r="828" spans="1:4" ht="12.75" customHeight="1" x14ac:dyDescent="0.2">
      <c r="A828" s="21"/>
      <c r="B828" s="3" t="s">
        <v>11</v>
      </c>
      <c r="C828" s="20" t="s">
        <v>1913</v>
      </c>
      <c r="D828" s="21"/>
    </row>
    <row r="829" spans="1:4" ht="12.75" customHeight="1" x14ac:dyDescent="0.2">
      <c r="A829" s="21"/>
      <c r="B829" s="3" t="s">
        <v>16</v>
      </c>
      <c r="C829" s="20"/>
      <c r="D829" s="21"/>
    </row>
    <row r="830" spans="1:4" ht="12.75" customHeight="1" x14ac:dyDescent="0.2">
      <c r="A830" s="21"/>
      <c r="B830" s="3" t="s">
        <v>17</v>
      </c>
      <c r="C830" s="20" t="s">
        <v>19</v>
      </c>
      <c r="D830" s="21"/>
    </row>
    <row r="831" spans="1:4" ht="12.75" customHeight="1" x14ac:dyDescent="0.2">
      <c r="A831" s="21"/>
      <c r="B831" s="20" t="s">
        <v>18</v>
      </c>
      <c r="C831" s="4" t="s">
        <v>44</v>
      </c>
      <c r="D831" s="6" t="str">
        <f>HYPERLINK("javascript:void(0)","wendír pajzs")</f>
        <v>wendír pajzs</v>
      </c>
    </row>
    <row r="832" spans="1:4" ht="12.75" customHeight="1" x14ac:dyDescent="0.2">
      <c r="A832" s="21"/>
      <c r="B832" s="21"/>
      <c r="C832" s="4" t="s">
        <v>132</v>
      </c>
      <c r="D832" s="6" t="str">
        <f>HYPERLINK("javascript:void(0)","vasérc")</f>
        <v>vasérc</v>
      </c>
    </row>
    <row r="833" spans="1:4" ht="12.75" customHeight="1" x14ac:dyDescent="0.2">
      <c r="A833" s="21"/>
      <c r="B833" s="21"/>
      <c r="C833" s="4" t="s">
        <v>44</v>
      </c>
      <c r="D833" s="6" t="str">
        <f>HYPERLINK("javascript:void(0)","gyémánt")</f>
        <v>gyémánt</v>
      </c>
    </row>
    <row r="834" spans="1:4" ht="12.75" customHeight="1" x14ac:dyDescent="0.2">
      <c r="A834" s="21"/>
      <c r="B834" s="2"/>
      <c r="C834" s="2"/>
      <c r="D834" s="2"/>
    </row>
    <row r="835" spans="1:4" ht="12.75" customHeight="1" x14ac:dyDescent="0.2">
      <c r="A835" s="21"/>
      <c r="B835" s="2"/>
      <c r="C835" s="2"/>
      <c r="D835" s="2"/>
    </row>
    <row r="836" spans="1:4" ht="12.75" customHeight="1" x14ac:dyDescent="0.2">
      <c r="A836" s="21"/>
      <c r="B836" s="2"/>
      <c r="C836" s="2"/>
      <c r="D836" s="2"/>
    </row>
    <row r="837" spans="1:4" ht="12.75" customHeight="1" x14ac:dyDescent="0.2">
      <c r="A837" s="21"/>
      <c r="B837" s="2"/>
      <c r="C837" s="2"/>
      <c r="D837" s="2"/>
    </row>
    <row r="838" spans="1:4" ht="12.75" customHeight="1" x14ac:dyDescent="0.2">
      <c r="A838" s="5"/>
      <c r="B838" s="2"/>
      <c r="C838" s="2"/>
      <c r="D838" s="2"/>
    </row>
    <row r="839" spans="1:4" ht="12.75" customHeight="1" x14ac:dyDescent="0.2">
      <c r="A839" s="22" t="str">
        <f>HYPERLINK("javascript:void(0)","közepes pillepajzs")</f>
        <v>közepes pillepajzs</v>
      </c>
      <c r="B839" s="21"/>
      <c r="C839" s="21"/>
      <c r="D839" s="21"/>
    </row>
    <row r="840" spans="1:4" ht="12.75" customHeight="1" x14ac:dyDescent="0.2">
      <c r="A840" s="20"/>
      <c r="B840" s="2"/>
      <c r="C840" s="2"/>
      <c r="D840" s="2"/>
    </row>
    <row r="841" spans="1:4" ht="12.75" customHeight="1" x14ac:dyDescent="0.2">
      <c r="A841" s="21"/>
      <c r="B841" s="3" t="s">
        <v>0</v>
      </c>
      <c r="C841" s="20" t="s">
        <v>86</v>
      </c>
      <c r="D841" s="21"/>
    </row>
    <row r="842" spans="1:4" ht="12.75" customHeight="1" x14ac:dyDescent="0.2">
      <c r="A842" s="21"/>
      <c r="B842" s="3" t="s">
        <v>2</v>
      </c>
      <c r="C842" s="20" t="s">
        <v>1839</v>
      </c>
      <c r="D842" s="21"/>
    </row>
    <row r="843" spans="1:4" ht="12.75" customHeight="1" x14ac:dyDescent="0.2">
      <c r="A843" s="21"/>
      <c r="B843" s="3" t="s">
        <v>1840</v>
      </c>
      <c r="C843" s="20" t="s">
        <v>90</v>
      </c>
      <c r="D843" s="21"/>
    </row>
    <row r="844" spans="1:4" ht="12.75" customHeight="1" x14ac:dyDescent="0.2">
      <c r="A844" s="21"/>
      <c r="B844" s="3" t="s">
        <v>9</v>
      </c>
      <c r="C844" s="20" t="s">
        <v>769</v>
      </c>
      <c r="D844" s="21"/>
    </row>
    <row r="845" spans="1:4" ht="12.75" customHeight="1" x14ac:dyDescent="0.2">
      <c r="A845" s="21"/>
      <c r="B845" s="3" t="s">
        <v>11</v>
      </c>
      <c r="C845" s="20" t="s">
        <v>346</v>
      </c>
      <c r="D845" s="21"/>
    </row>
    <row r="846" spans="1:4" ht="12.75" customHeight="1" x14ac:dyDescent="0.2">
      <c r="A846" s="21"/>
      <c r="B846" s="3" t="s">
        <v>16</v>
      </c>
      <c r="C846" s="20"/>
      <c r="D846" s="21"/>
    </row>
    <row r="847" spans="1:4" ht="12.75" customHeight="1" x14ac:dyDescent="0.2">
      <c r="A847" s="21"/>
      <c r="B847" s="3" t="s">
        <v>17</v>
      </c>
      <c r="C847" s="20" t="s">
        <v>19</v>
      </c>
      <c r="D847" s="21"/>
    </row>
    <row r="848" spans="1:4" ht="12.75" customHeight="1" x14ac:dyDescent="0.2">
      <c r="A848" s="21"/>
      <c r="B848" s="20" t="s">
        <v>18</v>
      </c>
      <c r="C848" s="4" t="s">
        <v>67</v>
      </c>
      <c r="D848" s="6" t="str">
        <f>HYPERLINK("javascript:void(0)","lepkeszárny")</f>
        <v>lepkeszárny</v>
      </c>
    </row>
    <row r="849" spans="1:4" ht="12.75" customHeight="1" x14ac:dyDescent="0.2">
      <c r="A849" s="21"/>
      <c r="B849" s="21"/>
      <c r="C849" s="4" t="s">
        <v>44</v>
      </c>
      <c r="D849" s="6" t="str">
        <f>HYPERLINK("javascript:void(0)","kis pillepajzs")</f>
        <v>kis pillepajzs</v>
      </c>
    </row>
    <row r="850" spans="1:4" ht="12.75" customHeight="1" x14ac:dyDescent="0.2">
      <c r="A850" s="21"/>
      <c r="B850" s="21"/>
      <c r="C850" s="4" t="s">
        <v>44</v>
      </c>
      <c r="D850" s="6" t="str">
        <f>HYPERLINK("javascript:void(0)","gyémánt")</f>
        <v>gyémánt</v>
      </c>
    </row>
    <row r="851" spans="1:4" ht="12.75" customHeight="1" x14ac:dyDescent="0.2">
      <c r="A851" s="21"/>
      <c r="B851" s="2"/>
      <c r="C851" s="2"/>
      <c r="D851" s="2"/>
    </row>
    <row r="852" spans="1:4" ht="12.75" customHeight="1" x14ac:dyDescent="0.2">
      <c r="A852" s="21"/>
      <c r="B852" s="2"/>
      <c r="C852" s="2"/>
      <c r="D852" s="2"/>
    </row>
    <row r="853" spans="1:4" ht="12.75" customHeight="1" x14ac:dyDescent="0.2">
      <c r="A853" s="21"/>
      <c r="B853" s="2"/>
      <c r="C853" s="2"/>
      <c r="D853" s="2"/>
    </row>
    <row r="854" spans="1:4" ht="12.75" customHeight="1" x14ac:dyDescent="0.2">
      <c r="A854" s="21"/>
      <c r="B854" s="2"/>
      <c r="C854" s="2"/>
      <c r="D854" s="2"/>
    </row>
    <row r="855" spans="1:4" ht="12.75" customHeight="1" x14ac:dyDescent="0.2">
      <c r="A855" s="5"/>
      <c r="B855" s="2"/>
      <c r="C855" s="2"/>
      <c r="D855" s="2"/>
    </row>
    <row r="856" spans="1:4" ht="12.75" customHeight="1" x14ac:dyDescent="0.2">
      <c r="A856" s="22" t="str">
        <f>HYPERLINK("javascript:void(0)","skivei pajzs")</f>
        <v>skivei pajzs</v>
      </c>
      <c r="B856" s="21"/>
      <c r="C856" s="21"/>
      <c r="D856" s="21"/>
    </row>
    <row r="857" spans="1:4" ht="12.75" customHeight="1" x14ac:dyDescent="0.2">
      <c r="A857" s="20"/>
      <c r="B857" s="2"/>
      <c r="C857" s="2"/>
      <c r="D857" s="2"/>
    </row>
    <row r="858" spans="1:4" ht="12.75" customHeight="1" x14ac:dyDescent="0.2">
      <c r="A858" s="21"/>
      <c r="B858" s="3" t="s">
        <v>0</v>
      </c>
      <c r="C858" s="20" t="s">
        <v>90</v>
      </c>
      <c r="D858" s="21"/>
    </row>
    <row r="859" spans="1:4" ht="12.75" customHeight="1" x14ac:dyDescent="0.2">
      <c r="A859" s="21"/>
      <c r="B859" s="3" t="s">
        <v>2</v>
      </c>
      <c r="C859" s="20" t="s">
        <v>1839</v>
      </c>
      <c r="D859" s="21"/>
    </row>
    <row r="860" spans="1:4" ht="12.75" customHeight="1" x14ac:dyDescent="0.2">
      <c r="A860" s="21"/>
      <c r="B860" s="3" t="s">
        <v>1840</v>
      </c>
      <c r="C860" s="20" t="s">
        <v>90</v>
      </c>
      <c r="D860" s="21"/>
    </row>
    <row r="861" spans="1:4" ht="12.75" customHeight="1" x14ac:dyDescent="0.2">
      <c r="A861" s="21"/>
      <c r="B861" s="3" t="s">
        <v>9</v>
      </c>
      <c r="C861" s="20" t="s">
        <v>200</v>
      </c>
      <c r="D861" s="21"/>
    </row>
    <row r="862" spans="1:4" ht="12.75" customHeight="1" x14ac:dyDescent="0.2">
      <c r="A862" s="21"/>
      <c r="B862" s="3" t="s">
        <v>11</v>
      </c>
      <c r="C862" s="20" t="s">
        <v>1376</v>
      </c>
      <c r="D862" s="21"/>
    </row>
    <row r="863" spans="1:4" ht="12.75" customHeight="1" x14ac:dyDescent="0.2">
      <c r="A863" s="21"/>
      <c r="B863" s="3" t="s">
        <v>16</v>
      </c>
      <c r="C863" s="20"/>
      <c r="D863" s="21"/>
    </row>
    <row r="864" spans="1:4" ht="12.75" customHeight="1" x14ac:dyDescent="0.2">
      <c r="A864" s="21"/>
      <c r="B864" s="3" t="s">
        <v>17</v>
      </c>
      <c r="C864" s="20" t="s">
        <v>19</v>
      </c>
      <c r="D864" s="21"/>
    </row>
    <row r="865" spans="1:4" ht="12.75" customHeight="1" x14ac:dyDescent="0.2">
      <c r="A865" s="21"/>
      <c r="B865" s="20" t="s">
        <v>18</v>
      </c>
      <c r="C865" s="4" t="s">
        <v>44</v>
      </c>
      <c r="D865" s="6" t="str">
        <f>HYPERLINK("javascript:void(0)","ezüst testpajzs")</f>
        <v>ezüst testpajzs</v>
      </c>
    </row>
    <row r="866" spans="1:4" ht="12.75" customHeight="1" x14ac:dyDescent="0.2">
      <c r="A866" s="21"/>
      <c r="B866" s="21"/>
      <c r="C866" s="4" t="s">
        <v>139</v>
      </c>
      <c r="D866" s="6" t="str">
        <f>HYPERLINK("javascript:void(0)","arany")</f>
        <v>arany</v>
      </c>
    </row>
    <row r="867" spans="1:4" ht="12.75" customHeight="1" x14ac:dyDescent="0.2">
      <c r="A867" s="21"/>
      <c r="B867" s="21"/>
      <c r="C867" s="4" t="s">
        <v>322</v>
      </c>
      <c r="D867" s="6" t="str">
        <f>HYPERLINK("javascript:void(0)","ezüst")</f>
        <v>ezüst</v>
      </c>
    </row>
    <row r="868" spans="1:4" ht="12.75" customHeight="1" x14ac:dyDescent="0.2">
      <c r="A868" s="21"/>
      <c r="B868" s="2"/>
      <c r="C868" s="2"/>
      <c r="D868" s="2"/>
    </row>
    <row r="869" spans="1:4" ht="12.75" customHeight="1" x14ac:dyDescent="0.2">
      <c r="A869" s="21"/>
      <c r="B869" s="2"/>
      <c r="C869" s="2"/>
      <c r="D869" s="2"/>
    </row>
    <row r="870" spans="1:4" ht="12.75" customHeight="1" x14ac:dyDescent="0.2">
      <c r="A870" s="21"/>
      <c r="B870" s="2"/>
      <c r="C870" s="2"/>
      <c r="D870" s="2"/>
    </row>
    <row r="871" spans="1:4" ht="12.75" customHeight="1" x14ac:dyDescent="0.2">
      <c r="A871" s="21"/>
      <c r="B871" s="2"/>
      <c r="C871" s="2"/>
      <c r="D871" s="2"/>
    </row>
    <row r="872" spans="1:4" ht="12.75" customHeight="1" x14ac:dyDescent="0.2">
      <c r="A872" s="5"/>
      <c r="B872" s="2"/>
      <c r="C872" s="2"/>
      <c r="D872" s="2"/>
    </row>
    <row r="873" spans="1:4" ht="12.75" customHeight="1" x14ac:dyDescent="0.2">
      <c r="A873" s="22" t="str">
        <f>HYPERLINK("javascript:void(0)","rimföldi testpajzs")</f>
        <v>rimföldi testpajzs</v>
      </c>
      <c r="B873" s="21"/>
      <c r="C873" s="21"/>
      <c r="D873" s="21"/>
    </row>
    <row r="874" spans="1:4" ht="12.75" customHeight="1" x14ac:dyDescent="0.2">
      <c r="A874" s="20"/>
      <c r="B874" s="2"/>
      <c r="C874" s="2"/>
      <c r="D874" s="2"/>
    </row>
    <row r="875" spans="1:4" ht="12.75" customHeight="1" x14ac:dyDescent="0.2">
      <c r="A875" s="21"/>
      <c r="B875" s="3" t="s">
        <v>0</v>
      </c>
      <c r="C875" s="20" t="s">
        <v>90</v>
      </c>
      <c r="D875" s="21"/>
    </row>
    <row r="876" spans="1:4" ht="12.75" customHeight="1" x14ac:dyDescent="0.2">
      <c r="A876" s="21"/>
      <c r="B876" s="3" t="s">
        <v>2</v>
      </c>
      <c r="C876" s="20" t="s">
        <v>1839</v>
      </c>
      <c r="D876" s="21"/>
    </row>
    <row r="877" spans="1:4" ht="12.75" customHeight="1" x14ac:dyDescent="0.2">
      <c r="A877" s="21"/>
      <c r="B877" s="3" t="s">
        <v>1840</v>
      </c>
      <c r="C877" s="20" t="s">
        <v>90</v>
      </c>
      <c r="D877" s="21"/>
    </row>
    <row r="878" spans="1:4" ht="12.75" customHeight="1" x14ac:dyDescent="0.2">
      <c r="A878" s="21"/>
      <c r="B878" s="3" t="s">
        <v>9</v>
      </c>
      <c r="C878" s="20" t="s">
        <v>1916</v>
      </c>
      <c r="D878" s="21"/>
    </row>
    <row r="879" spans="1:4" ht="12.75" customHeight="1" x14ac:dyDescent="0.2">
      <c r="A879" s="21"/>
      <c r="B879" s="3" t="s">
        <v>11</v>
      </c>
      <c r="C879" s="20" t="s">
        <v>1917</v>
      </c>
      <c r="D879" s="21"/>
    </row>
    <row r="880" spans="1:4" ht="12.75" customHeight="1" x14ac:dyDescent="0.2">
      <c r="A880" s="21"/>
      <c r="B880" s="3" t="s">
        <v>16</v>
      </c>
      <c r="C880" s="20"/>
      <c r="D880" s="21"/>
    </row>
    <row r="881" spans="1:4" ht="12.75" customHeight="1" x14ac:dyDescent="0.2">
      <c r="A881" s="21"/>
      <c r="B881" s="3" t="s">
        <v>17</v>
      </c>
      <c r="C881" s="20" t="s">
        <v>19</v>
      </c>
      <c r="D881" s="21"/>
    </row>
    <row r="882" spans="1:4" ht="12.75" customHeight="1" x14ac:dyDescent="0.2">
      <c r="A882" s="21"/>
      <c r="B882" s="20" t="s">
        <v>18</v>
      </c>
      <c r="C882" s="4" t="s">
        <v>44</v>
      </c>
      <c r="D882" s="6" t="str">
        <f>HYPERLINK("javascript:void(0)","rimföldi pajzs")</f>
        <v>rimföldi pajzs</v>
      </c>
    </row>
    <row r="883" spans="1:4" ht="12.75" customHeight="1" x14ac:dyDescent="0.2">
      <c r="A883" s="21"/>
      <c r="B883" s="21"/>
      <c r="C883" s="4" t="s">
        <v>117</v>
      </c>
      <c r="D883" s="6" t="str">
        <f>HYPERLINK("javascript:void(0)","krokodilbőr")</f>
        <v>krokodilbőr</v>
      </c>
    </row>
    <row r="884" spans="1:4" ht="12.75" customHeight="1" x14ac:dyDescent="0.2">
      <c r="A884" s="21"/>
      <c r="B884" s="21"/>
      <c r="C884" s="4" t="s">
        <v>77</v>
      </c>
      <c r="D884" s="6" t="str">
        <f>HYPERLINK("javascript:void(0)","szemgyöngy")</f>
        <v>szemgyöngy</v>
      </c>
    </row>
    <row r="885" spans="1:4" ht="12.75" customHeight="1" x14ac:dyDescent="0.2">
      <c r="A885" s="21"/>
      <c r="B885" s="2"/>
      <c r="C885" s="2"/>
      <c r="D885" s="2"/>
    </row>
    <row r="886" spans="1:4" ht="12.75" customHeight="1" x14ac:dyDescent="0.2">
      <c r="A886" s="21"/>
      <c r="B886" s="2"/>
      <c r="C886" s="2"/>
      <c r="D886" s="2"/>
    </row>
    <row r="887" spans="1:4" ht="12.75" customHeight="1" x14ac:dyDescent="0.2">
      <c r="A887" s="21"/>
      <c r="B887" s="2"/>
      <c r="C887" s="2"/>
      <c r="D887" s="2"/>
    </row>
    <row r="888" spans="1:4" ht="12.75" customHeight="1" x14ac:dyDescent="0.2">
      <c r="A888" s="21"/>
      <c r="B888" s="2"/>
      <c r="C888" s="2"/>
      <c r="D888" s="2"/>
    </row>
    <row r="889" spans="1:4" ht="12.75" customHeight="1" x14ac:dyDescent="0.2">
      <c r="A889" s="5"/>
      <c r="B889" s="2"/>
      <c r="C889" s="2"/>
      <c r="D889" s="2"/>
    </row>
    <row r="890" spans="1:4" ht="12.75" customHeight="1" x14ac:dyDescent="0.2">
      <c r="A890" s="22" t="str">
        <f>HYPERLINK("javascript:void(0)","rubinpajzs")</f>
        <v>rubinpajzs</v>
      </c>
      <c r="B890" s="21"/>
      <c r="C890" s="21"/>
      <c r="D890" s="21"/>
    </row>
    <row r="891" spans="1:4" ht="12.75" customHeight="1" x14ac:dyDescent="0.2">
      <c r="A891" s="20"/>
      <c r="B891" s="2"/>
      <c r="C891" s="2"/>
      <c r="D891" s="2"/>
    </row>
    <row r="892" spans="1:4" ht="12.75" customHeight="1" x14ac:dyDescent="0.2">
      <c r="A892" s="21"/>
      <c r="B892" s="3" t="s">
        <v>0</v>
      </c>
      <c r="C892" s="20" t="s">
        <v>92</v>
      </c>
      <c r="D892" s="21"/>
    </row>
    <row r="893" spans="1:4" ht="12.75" customHeight="1" x14ac:dyDescent="0.2">
      <c r="A893" s="21"/>
      <c r="B893" s="3" t="s">
        <v>2</v>
      </c>
      <c r="C893" s="20" t="s">
        <v>1839</v>
      </c>
      <c r="D893" s="21"/>
    </row>
    <row r="894" spans="1:4" ht="12.75" customHeight="1" x14ac:dyDescent="0.2">
      <c r="A894" s="21"/>
      <c r="B894" s="3" t="s">
        <v>1840</v>
      </c>
      <c r="C894" s="20" t="s">
        <v>92</v>
      </c>
      <c r="D894" s="21"/>
    </row>
    <row r="895" spans="1:4" ht="12.75" customHeight="1" x14ac:dyDescent="0.2">
      <c r="A895" s="21"/>
      <c r="B895" s="3" t="s">
        <v>9</v>
      </c>
      <c r="C895" s="20" t="s">
        <v>124</v>
      </c>
      <c r="D895" s="21"/>
    </row>
    <row r="896" spans="1:4" ht="12.75" customHeight="1" x14ac:dyDescent="0.2">
      <c r="A896" s="21"/>
      <c r="B896" s="3" t="s">
        <v>11</v>
      </c>
      <c r="C896" s="20" t="s">
        <v>1918</v>
      </c>
      <c r="D896" s="21"/>
    </row>
    <row r="897" spans="1:4" ht="12.75" customHeight="1" x14ac:dyDescent="0.2">
      <c r="A897" s="21"/>
      <c r="B897" s="3" t="s">
        <v>16</v>
      </c>
      <c r="C897" s="20"/>
      <c r="D897" s="21"/>
    </row>
    <row r="898" spans="1:4" ht="12.75" customHeight="1" x14ac:dyDescent="0.2">
      <c r="A898" s="21"/>
      <c r="B898" s="3" t="s">
        <v>17</v>
      </c>
      <c r="C898" s="20" t="s">
        <v>19</v>
      </c>
      <c r="D898" s="21"/>
    </row>
    <row r="899" spans="1:4" ht="12.75" customHeight="1" x14ac:dyDescent="0.2">
      <c r="A899" s="21"/>
      <c r="B899" s="20" t="s">
        <v>18</v>
      </c>
      <c r="C899" s="4" t="s">
        <v>44</v>
      </c>
      <c r="D899" s="6" t="str">
        <f>HYPERLINK("javascript:void(0)","rézpajzs")</f>
        <v>rézpajzs</v>
      </c>
    </row>
    <row r="900" spans="1:4" ht="12.75" customHeight="1" x14ac:dyDescent="0.2">
      <c r="A900" s="21"/>
      <c r="B900" s="21"/>
      <c r="C900" s="4" t="s">
        <v>77</v>
      </c>
      <c r="D900" s="6" t="str">
        <f>HYPERLINK("javascript:void(0)","rubin")</f>
        <v>rubin</v>
      </c>
    </row>
    <row r="901" spans="1:4" ht="12.75" customHeight="1" x14ac:dyDescent="0.2">
      <c r="A901" s="21"/>
      <c r="B901" s="21"/>
      <c r="C901" s="4" t="s">
        <v>55</v>
      </c>
      <c r="D901" s="6" t="str">
        <f>HYPERLINK("javascript:void(0)","arany")</f>
        <v>arany</v>
      </c>
    </row>
    <row r="902" spans="1:4" ht="12.75" customHeight="1" x14ac:dyDescent="0.2">
      <c r="A902" s="21"/>
      <c r="B902" s="2"/>
      <c r="C902" s="2"/>
      <c r="D902" s="2"/>
    </row>
    <row r="903" spans="1:4" ht="12.75" customHeight="1" x14ac:dyDescent="0.2">
      <c r="A903" s="21"/>
      <c r="B903" s="2"/>
      <c r="C903" s="2"/>
      <c r="D903" s="2"/>
    </row>
    <row r="904" spans="1:4" ht="12.75" customHeight="1" x14ac:dyDescent="0.2">
      <c r="A904" s="21"/>
      <c r="B904" s="2"/>
      <c r="C904" s="2"/>
      <c r="D904" s="2"/>
    </row>
    <row r="905" spans="1:4" ht="12.75" customHeight="1" x14ac:dyDescent="0.2">
      <c r="A905" s="21"/>
      <c r="B905" s="2"/>
      <c r="C905" s="2"/>
      <c r="D905" s="2"/>
    </row>
    <row r="906" spans="1:4" ht="12.75" customHeight="1" x14ac:dyDescent="0.2">
      <c r="A906" s="5"/>
      <c r="B906" s="2"/>
      <c r="C906" s="2"/>
      <c r="D906" s="2"/>
    </row>
    <row r="907" spans="1:4" ht="12.75" customHeight="1" x14ac:dyDescent="0.2">
      <c r="A907" s="22" t="str">
        <f>HYPERLINK("javascript:void(0)","diszpropajzs")</f>
        <v>diszpropajzs</v>
      </c>
      <c r="B907" s="21"/>
      <c r="C907" s="21"/>
      <c r="D907" s="21"/>
    </row>
    <row r="908" spans="1:4" ht="12.75" customHeight="1" x14ac:dyDescent="0.2">
      <c r="A908" s="20"/>
      <c r="B908" s="2"/>
      <c r="C908" s="2"/>
      <c r="D908" s="2"/>
    </row>
    <row r="909" spans="1:4" ht="12.75" customHeight="1" x14ac:dyDescent="0.2">
      <c r="A909" s="21"/>
      <c r="B909" s="3" t="s">
        <v>0</v>
      </c>
      <c r="C909" s="20" t="s">
        <v>92</v>
      </c>
      <c r="D909" s="21"/>
    </row>
    <row r="910" spans="1:4" ht="12.75" customHeight="1" x14ac:dyDescent="0.2">
      <c r="A910" s="21"/>
      <c r="B910" s="3" t="s">
        <v>2</v>
      </c>
      <c r="C910" s="20" t="s">
        <v>1839</v>
      </c>
      <c r="D910" s="21"/>
    </row>
    <row r="911" spans="1:4" ht="12.75" customHeight="1" x14ac:dyDescent="0.2">
      <c r="A911" s="21"/>
      <c r="B911" s="3" t="s">
        <v>1840</v>
      </c>
      <c r="C911" s="20" t="s">
        <v>100</v>
      </c>
      <c r="D911" s="21"/>
    </row>
    <row r="912" spans="1:4" ht="12.75" customHeight="1" x14ac:dyDescent="0.2">
      <c r="A912" s="21"/>
      <c r="B912" s="3" t="s">
        <v>9</v>
      </c>
      <c r="C912" s="20" t="s">
        <v>630</v>
      </c>
      <c r="D912" s="21"/>
    </row>
    <row r="913" spans="1:4" ht="12.75" customHeight="1" x14ac:dyDescent="0.2">
      <c r="A913" s="21"/>
      <c r="B913" s="3" t="s">
        <v>11</v>
      </c>
      <c r="C913" s="20" t="s">
        <v>1921</v>
      </c>
      <c r="D913" s="21"/>
    </row>
    <row r="914" spans="1:4" ht="12.75" customHeight="1" x14ac:dyDescent="0.2">
      <c r="A914" s="21"/>
      <c r="B914" s="3" t="s">
        <v>16</v>
      </c>
      <c r="C914" s="20"/>
      <c r="D914" s="21"/>
    </row>
    <row r="915" spans="1:4" ht="12.75" customHeight="1" x14ac:dyDescent="0.2">
      <c r="A915" s="21"/>
      <c r="B915" s="3" t="s">
        <v>17</v>
      </c>
      <c r="C915" s="20" t="s">
        <v>19</v>
      </c>
      <c r="D915" s="21"/>
    </row>
    <row r="916" spans="1:4" ht="12.75" customHeight="1" x14ac:dyDescent="0.2">
      <c r="A916" s="21"/>
      <c r="B916" s="20" t="s">
        <v>18</v>
      </c>
      <c r="C916" s="4" t="s">
        <v>44</v>
      </c>
      <c r="D916" s="6" t="str">
        <f>HYPERLINK("javascript:void(0)","skivei pajzs")</f>
        <v>skivei pajzs</v>
      </c>
    </row>
    <row r="917" spans="1:4" ht="12.75" customHeight="1" x14ac:dyDescent="0.2">
      <c r="A917" s="21"/>
      <c r="B917" s="21"/>
      <c r="C917" s="4" t="s">
        <v>57</v>
      </c>
      <c r="D917" s="6" t="str">
        <f>HYPERLINK("javascript:void(0)","diszprózium")</f>
        <v>diszprózium</v>
      </c>
    </row>
    <row r="918" spans="1:4" ht="12.75" customHeight="1" x14ac:dyDescent="0.2">
      <c r="A918" s="21"/>
      <c r="B918" s="21"/>
      <c r="C918" s="4" t="s">
        <v>56</v>
      </c>
      <c r="D918" s="6" t="str">
        <f>HYPERLINK("javascript:void(0)","gyémánt")</f>
        <v>gyémánt</v>
      </c>
    </row>
    <row r="919" spans="1:4" ht="12.75" customHeight="1" x14ac:dyDescent="0.2">
      <c r="A919" s="21"/>
      <c r="B919" s="2"/>
      <c r="C919" s="2"/>
      <c r="D919" s="2"/>
    </row>
    <row r="920" spans="1:4" ht="12.75" customHeight="1" x14ac:dyDescent="0.2">
      <c r="A920" s="21"/>
      <c r="B920" s="2"/>
      <c r="C920" s="2"/>
      <c r="D920" s="2"/>
    </row>
    <row r="921" spans="1:4" ht="12.75" customHeight="1" x14ac:dyDescent="0.2">
      <c r="A921" s="21"/>
      <c r="B921" s="2"/>
      <c r="C921" s="2"/>
      <c r="D921" s="2"/>
    </row>
    <row r="922" spans="1:4" ht="12.75" customHeight="1" x14ac:dyDescent="0.2">
      <c r="A922" s="21"/>
      <c r="B922" s="2"/>
      <c r="C922" s="2"/>
      <c r="D922" s="2"/>
    </row>
    <row r="923" spans="1:4" ht="12.75" customHeight="1" x14ac:dyDescent="0.2">
      <c r="A923" s="5"/>
      <c r="B923" s="2"/>
      <c r="C923" s="2"/>
      <c r="D923" s="2"/>
    </row>
    <row r="924" spans="1:4" ht="12.75" customHeight="1" x14ac:dyDescent="0.2">
      <c r="A924" s="22" t="str">
        <f>HYPERLINK("javascript:void(0)","varázsige")</f>
        <v>varázsige</v>
      </c>
      <c r="B924" s="21"/>
      <c r="C924" s="21"/>
      <c r="D924" s="21"/>
    </row>
    <row r="925" spans="1:4" ht="12.75" customHeight="1" x14ac:dyDescent="0.2">
      <c r="A925" s="20"/>
      <c r="B925" s="2"/>
      <c r="C925" s="2"/>
      <c r="D925" s="2"/>
    </row>
    <row r="926" spans="1:4" ht="12.75" customHeight="1" x14ac:dyDescent="0.2">
      <c r="A926" s="21"/>
      <c r="B926" s="3" t="s">
        <v>0</v>
      </c>
      <c r="C926" s="20" t="s">
        <v>92</v>
      </c>
      <c r="D926" s="21"/>
    </row>
    <row r="927" spans="1:4" ht="12.75" customHeight="1" x14ac:dyDescent="0.2">
      <c r="A927" s="21"/>
      <c r="B927" s="3" t="s">
        <v>2</v>
      </c>
      <c r="C927" s="20" t="s">
        <v>1839</v>
      </c>
      <c r="D927" s="21"/>
    </row>
    <row r="928" spans="1:4" ht="12.75" customHeight="1" x14ac:dyDescent="0.2">
      <c r="A928" s="21"/>
      <c r="B928" s="3" t="s">
        <v>1840</v>
      </c>
      <c r="C928" s="20" t="s">
        <v>21</v>
      </c>
      <c r="D928" s="21"/>
    </row>
    <row r="929" spans="1:4" ht="12.75" customHeight="1" x14ac:dyDescent="0.2">
      <c r="A929" s="21"/>
      <c r="B929" s="3" t="s">
        <v>9</v>
      </c>
      <c r="C929" s="20" t="s">
        <v>27</v>
      </c>
      <c r="D929" s="21"/>
    </row>
    <row r="930" spans="1:4" ht="12.75" customHeight="1" x14ac:dyDescent="0.2">
      <c r="A930" s="21"/>
      <c r="B930" s="3" t="s">
        <v>11</v>
      </c>
      <c r="C930" s="20" t="s">
        <v>186</v>
      </c>
      <c r="D930" s="21"/>
    </row>
    <row r="931" spans="1:4" ht="12.75" customHeight="1" x14ac:dyDescent="0.2">
      <c r="A931" s="21"/>
      <c r="B931" s="3" t="s">
        <v>16</v>
      </c>
      <c r="C931" s="20"/>
      <c r="D931" s="21"/>
    </row>
    <row r="932" spans="1:4" ht="12.75" customHeight="1" x14ac:dyDescent="0.2">
      <c r="A932" s="21"/>
      <c r="B932" s="3" t="s">
        <v>17</v>
      </c>
      <c r="C932" s="20" t="s">
        <v>19</v>
      </c>
      <c r="D932" s="21"/>
    </row>
    <row r="933" spans="1:4" ht="12.75" customHeight="1" x14ac:dyDescent="0.2">
      <c r="A933" s="21"/>
      <c r="B933" s="20" t="s">
        <v>18</v>
      </c>
      <c r="C933" s="4" t="s">
        <v>44</v>
      </c>
      <c r="D933" s="6" t="str">
        <f>HYPERLINK("javascript:void(0)","melegige")</f>
        <v>melegige</v>
      </c>
    </row>
    <row r="934" spans="1:4" ht="12.75" customHeight="1" x14ac:dyDescent="0.2">
      <c r="A934" s="21"/>
      <c r="B934" s="21"/>
      <c r="C934" s="4" t="s">
        <v>44</v>
      </c>
      <c r="D934" s="6" t="str">
        <f>HYPERLINK("javascript:void(0)","hidegige")</f>
        <v>hidegige</v>
      </c>
    </row>
    <row r="935" spans="1:4" ht="12.75" customHeight="1" x14ac:dyDescent="0.2">
      <c r="A935" s="21"/>
      <c r="B935" s="21"/>
      <c r="C935" s="4" t="s">
        <v>232</v>
      </c>
      <c r="D935" s="6" t="str">
        <f>HYPERLINK("javascript:void(0)","elementál eszencia")</f>
        <v>elementál eszencia</v>
      </c>
    </row>
    <row r="936" spans="1:4" ht="12.75" customHeight="1" x14ac:dyDescent="0.2">
      <c r="A936" s="21"/>
      <c r="B936" s="2"/>
      <c r="C936" s="2"/>
      <c r="D936" s="2"/>
    </row>
    <row r="937" spans="1:4" ht="12.75" customHeight="1" x14ac:dyDescent="0.2">
      <c r="A937" s="21"/>
      <c r="B937" s="2"/>
      <c r="C937" s="2"/>
      <c r="D937" s="2"/>
    </row>
    <row r="938" spans="1:4" ht="12.75" customHeight="1" x14ac:dyDescent="0.2">
      <c r="A938" s="21"/>
      <c r="B938" s="2"/>
      <c r="C938" s="2"/>
      <c r="D938" s="2"/>
    </row>
    <row r="939" spans="1:4" ht="12.75" customHeight="1" x14ac:dyDescent="0.2">
      <c r="A939" s="21"/>
      <c r="B939" s="2"/>
      <c r="C939" s="2"/>
      <c r="D939" s="2"/>
    </row>
    <row r="940" spans="1:4" ht="12.75" customHeight="1" x14ac:dyDescent="0.2">
      <c r="A940" s="5"/>
      <c r="B940" s="2"/>
      <c r="C940" s="2"/>
      <c r="D940" s="2"/>
    </row>
    <row r="941" spans="1:4" ht="12.75" customHeight="1" x14ac:dyDescent="0.2">
      <c r="A941" s="22" t="str">
        <f>HYPERLINK("javascript:void(0)","arany testpajzs")</f>
        <v>arany testpajzs</v>
      </c>
      <c r="B941" s="21"/>
      <c r="C941" s="21"/>
      <c r="D941" s="21"/>
    </row>
    <row r="942" spans="1:4" ht="12.75" customHeight="1" x14ac:dyDescent="0.2">
      <c r="A942" s="20"/>
      <c r="B942" s="2"/>
      <c r="C942" s="2"/>
      <c r="D942" s="2"/>
    </row>
    <row r="943" spans="1:4" ht="12.75" customHeight="1" x14ac:dyDescent="0.2">
      <c r="A943" s="21"/>
      <c r="B943" s="3" t="s">
        <v>0</v>
      </c>
      <c r="C943" s="20" t="s">
        <v>100</v>
      </c>
      <c r="D943" s="21"/>
    </row>
    <row r="944" spans="1:4" ht="12.75" customHeight="1" x14ac:dyDescent="0.2">
      <c r="A944" s="21"/>
      <c r="B944" s="3" t="s">
        <v>2</v>
      </c>
      <c r="C944" s="20" t="s">
        <v>1839</v>
      </c>
      <c r="D944" s="21"/>
    </row>
    <row r="945" spans="1:4" ht="12.75" customHeight="1" x14ac:dyDescent="0.2">
      <c r="A945" s="21"/>
      <c r="B945" s="3" t="s">
        <v>1840</v>
      </c>
      <c r="C945" s="20" t="s">
        <v>100</v>
      </c>
      <c r="D945" s="21"/>
    </row>
    <row r="946" spans="1:4" ht="12.75" customHeight="1" x14ac:dyDescent="0.2">
      <c r="A946" s="21"/>
      <c r="B946" s="3" t="s">
        <v>9</v>
      </c>
      <c r="C946" s="20" t="s">
        <v>1926</v>
      </c>
      <c r="D946" s="21"/>
    </row>
    <row r="947" spans="1:4" ht="12.75" customHeight="1" x14ac:dyDescent="0.2">
      <c r="A947" s="21"/>
      <c r="B947" s="3" t="s">
        <v>11</v>
      </c>
      <c r="C947" s="20" t="s">
        <v>1927</v>
      </c>
      <c r="D947" s="21"/>
    </row>
    <row r="948" spans="1:4" ht="12.75" customHeight="1" x14ac:dyDescent="0.2">
      <c r="A948" s="21"/>
      <c r="B948" s="3" t="s">
        <v>16</v>
      </c>
      <c r="C948" s="20"/>
      <c r="D948" s="21"/>
    </row>
    <row r="949" spans="1:4" ht="12.75" customHeight="1" x14ac:dyDescent="0.2">
      <c r="A949" s="21"/>
      <c r="B949" s="3" t="s">
        <v>17</v>
      </c>
      <c r="C949" s="20" t="s">
        <v>19</v>
      </c>
      <c r="D949" s="21"/>
    </row>
    <row r="950" spans="1:4" ht="12.75" customHeight="1" x14ac:dyDescent="0.2">
      <c r="A950" s="21"/>
      <c r="B950" s="20" t="s">
        <v>18</v>
      </c>
      <c r="C950" s="4" t="s">
        <v>44</v>
      </c>
      <c r="D950" s="6" t="str">
        <f>HYPERLINK("javascript:void(0)","ezüst testpajzs")</f>
        <v>ezüst testpajzs</v>
      </c>
    </row>
    <row r="951" spans="1:4" ht="12.75" customHeight="1" x14ac:dyDescent="0.2">
      <c r="A951" s="21"/>
      <c r="B951" s="21"/>
      <c r="C951" s="4" t="s">
        <v>98</v>
      </c>
      <c r="D951" s="6" t="str">
        <f>HYPERLINK("javascript:void(0)","arany")</f>
        <v>arany</v>
      </c>
    </row>
    <row r="952" spans="1:4" ht="12.75" customHeight="1" x14ac:dyDescent="0.2">
      <c r="A952" s="21"/>
      <c r="B952" s="21"/>
      <c r="C952" s="4" t="s">
        <v>44</v>
      </c>
      <c r="D952" s="6" t="str">
        <f>HYPERLINK("javascript:void(0)","gyémánt")</f>
        <v>gyémánt</v>
      </c>
    </row>
    <row r="953" spans="1:4" ht="12.75" customHeight="1" x14ac:dyDescent="0.2">
      <c r="A953" s="21"/>
      <c r="B953" s="2"/>
      <c r="C953" s="2"/>
      <c r="D953" s="2"/>
    </row>
    <row r="954" spans="1:4" ht="12.75" customHeight="1" x14ac:dyDescent="0.2">
      <c r="A954" s="21"/>
      <c r="B954" s="2"/>
      <c r="C954" s="2"/>
      <c r="D954" s="2"/>
    </row>
    <row r="955" spans="1:4" ht="12.75" customHeight="1" x14ac:dyDescent="0.2">
      <c r="A955" s="21"/>
      <c r="B955" s="2"/>
      <c r="C955" s="2"/>
      <c r="D955" s="2"/>
    </row>
    <row r="956" spans="1:4" ht="12.75" customHeight="1" x14ac:dyDescent="0.2">
      <c r="A956" s="21"/>
      <c r="B956" s="2"/>
      <c r="C956" s="2"/>
      <c r="D956" s="2"/>
    </row>
    <row r="957" spans="1:4" ht="12.75" customHeight="1" x14ac:dyDescent="0.2">
      <c r="A957" s="5"/>
      <c r="B957" s="2"/>
      <c r="C957" s="2"/>
      <c r="D957" s="2"/>
    </row>
    <row r="958" spans="1:4" ht="12.75" customHeight="1" x14ac:dyDescent="0.2">
      <c r="A958" s="22" t="str">
        <f>HYPERLINK("javascript:void(0)","diszpro testpajzs")</f>
        <v>diszpro testpajzs</v>
      </c>
      <c r="B958" s="21"/>
      <c r="C958" s="21"/>
      <c r="D958" s="21"/>
    </row>
    <row r="959" spans="1:4" ht="12.75" customHeight="1" x14ac:dyDescent="0.2">
      <c r="A959" s="20"/>
      <c r="B959" s="2"/>
      <c r="C959" s="2"/>
      <c r="D959" s="2"/>
    </row>
    <row r="960" spans="1:4" ht="12.75" customHeight="1" x14ac:dyDescent="0.2">
      <c r="A960" s="21"/>
      <c r="B960" s="3" t="s">
        <v>0</v>
      </c>
      <c r="C960" s="20" t="s">
        <v>100</v>
      </c>
      <c r="D960" s="21"/>
    </row>
    <row r="961" spans="1:4" ht="12.75" customHeight="1" x14ac:dyDescent="0.2">
      <c r="A961" s="21"/>
      <c r="B961" s="3" t="s">
        <v>2</v>
      </c>
      <c r="C961" s="20" t="s">
        <v>1839</v>
      </c>
      <c r="D961" s="21"/>
    </row>
    <row r="962" spans="1:4" ht="12.75" customHeight="1" x14ac:dyDescent="0.2">
      <c r="A962" s="21"/>
      <c r="B962" s="3" t="s">
        <v>1840</v>
      </c>
      <c r="C962" s="20" t="s">
        <v>118</v>
      </c>
      <c r="D962" s="21"/>
    </row>
    <row r="963" spans="1:4" ht="12.75" customHeight="1" x14ac:dyDescent="0.2">
      <c r="A963" s="21"/>
      <c r="B963" s="3" t="s">
        <v>9</v>
      </c>
      <c r="C963" s="20" t="s">
        <v>249</v>
      </c>
      <c r="D963" s="21"/>
    </row>
    <row r="964" spans="1:4" ht="12.75" customHeight="1" x14ac:dyDescent="0.2">
      <c r="A964" s="21"/>
      <c r="B964" s="3" t="s">
        <v>11</v>
      </c>
      <c r="C964" s="20" t="s">
        <v>251</v>
      </c>
      <c r="D964" s="21"/>
    </row>
    <row r="965" spans="1:4" ht="12.75" customHeight="1" x14ac:dyDescent="0.2">
      <c r="A965" s="21"/>
      <c r="B965" s="3" t="s">
        <v>16</v>
      </c>
      <c r="C965" s="20"/>
      <c r="D965" s="21"/>
    </row>
    <row r="966" spans="1:4" ht="12.75" customHeight="1" x14ac:dyDescent="0.2">
      <c r="A966" s="21"/>
      <c r="B966" s="3" t="s">
        <v>17</v>
      </c>
      <c r="C966" s="20" t="s">
        <v>19</v>
      </c>
      <c r="D966" s="21"/>
    </row>
    <row r="967" spans="1:4" ht="12.75" customHeight="1" x14ac:dyDescent="0.2">
      <c r="A967" s="21"/>
      <c r="B967" s="20" t="s">
        <v>18</v>
      </c>
      <c r="C967" s="4" t="s">
        <v>44</v>
      </c>
      <c r="D967" s="6" t="str">
        <f>HYPERLINK("javascript:void(0)","rimföldi testpajzs")</f>
        <v>rimföldi testpajzs</v>
      </c>
    </row>
    <row r="968" spans="1:4" ht="12.75" customHeight="1" x14ac:dyDescent="0.2">
      <c r="A968" s="21"/>
      <c r="B968" s="21"/>
      <c r="C968" s="4" t="s">
        <v>55</v>
      </c>
      <c r="D968" s="6" t="str">
        <f>HYPERLINK("javascript:void(0)","diszprózium")</f>
        <v>diszprózium</v>
      </c>
    </row>
    <row r="969" spans="1:4" ht="12.75" customHeight="1" x14ac:dyDescent="0.2">
      <c r="A969" s="21"/>
      <c r="B969" s="21"/>
      <c r="C969" s="4" t="s">
        <v>56</v>
      </c>
      <c r="D969" s="6" t="str">
        <f>HYPERLINK("javascript:void(0)","gyémánt")</f>
        <v>gyémánt</v>
      </c>
    </row>
    <row r="970" spans="1:4" ht="12.75" customHeight="1" x14ac:dyDescent="0.2">
      <c r="A970" s="21"/>
      <c r="B970" s="2"/>
      <c r="C970" s="2"/>
      <c r="D970" s="2"/>
    </row>
    <row r="971" spans="1:4" ht="12.75" customHeight="1" x14ac:dyDescent="0.2">
      <c r="A971" s="21"/>
      <c r="B971" s="2"/>
      <c r="C971" s="2"/>
      <c r="D971" s="2"/>
    </row>
    <row r="972" spans="1:4" ht="12.75" customHeight="1" x14ac:dyDescent="0.2">
      <c r="A972" s="21"/>
      <c r="B972" s="2"/>
      <c r="C972" s="2"/>
      <c r="D972" s="2"/>
    </row>
    <row r="973" spans="1:4" ht="12.75" customHeight="1" x14ac:dyDescent="0.2">
      <c r="A973" s="21"/>
      <c r="B973" s="2"/>
      <c r="C973" s="2"/>
      <c r="D973" s="2"/>
    </row>
    <row r="974" spans="1:4" ht="12.75" customHeight="1" x14ac:dyDescent="0.2">
      <c r="A974" s="5"/>
      <c r="B974" s="2"/>
      <c r="C974" s="2"/>
      <c r="D974" s="2"/>
    </row>
    <row r="975" spans="1:4" ht="12.75" customHeight="1" x14ac:dyDescent="0.2">
      <c r="A975" s="22" t="str">
        <f>HYPERLINK("javascript:void(0)","kitinpajzs")</f>
        <v>kitinpajzs</v>
      </c>
      <c r="B975" s="21"/>
      <c r="C975" s="21"/>
      <c r="D975" s="21"/>
    </row>
    <row r="976" spans="1:4" ht="12.75" customHeight="1" x14ac:dyDescent="0.2">
      <c r="A976" s="20"/>
      <c r="B976" s="2"/>
      <c r="C976" s="2"/>
      <c r="D976" s="2"/>
    </row>
    <row r="977" spans="1:4" ht="12.75" customHeight="1" x14ac:dyDescent="0.2">
      <c r="A977" s="21"/>
      <c r="B977" s="3" t="s">
        <v>0</v>
      </c>
      <c r="C977" s="20" t="s">
        <v>100</v>
      </c>
      <c r="D977" s="21"/>
    </row>
    <row r="978" spans="1:4" ht="12.75" customHeight="1" x14ac:dyDescent="0.2">
      <c r="A978" s="21"/>
      <c r="B978" s="3" t="s">
        <v>2</v>
      </c>
      <c r="C978" s="20" t="s">
        <v>1839</v>
      </c>
      <c r="D978" s="21"/>
    </row>
    <row r="979" spans="1:4" ht="12.75" customHeight="1" x14ac:dyDescent="0.2">
      <c r="A979" s="21"/>
      <c r="B979" s="3" t="s">
        <v>1840</v>
      </c>
      <c r="C979" s="20" t="s">
        <v>100</v>
      </c>
      <c r="D979" s="21"/>
    </row>
    <row r="980" spans="1:4" ht="12.75" customHeight="1" x14ac:dyDescent="0.2">
      <c r="A980" s="21"/>
      <c r="B980" s="3" t="s">
        <v>9</v>
      </c>
      <c r="C980" s="20" t="s">
        <v>1255</v>
      </c>
      <c r="D980" s="21"/>
    </row>
    <row r="981" spans="1:4" ht="12.75" customHeight="1" x14ac:dyDescent="0.2">
      <c r="A981" s="21"/>
      <c r="B981" s="3" t="s">
        <v>11</v>
      </c>
      <c r="C981" s="20" t="s">
        <v>1929</v>
      </c>
      <c r="D981" s="21"/>
    </row>
    <row r="982" spans="1:4" ht="12.75" customHeight="1" x14ac:dyDescent="0.2">
      <c r="A982" s="21"/>
      <c r="B982" s="3" t="s">
        <v>16</v>
      </c>
      <c r="C982" s="20"/>
      <c r="D982" s="21"/>
    </row>
    <row r="983" spans="1:4" ht="12.75" customHeight="1" x14ac:dyDescent="0.2">
      <c r="A983" s="21"/>
      <c r="B983" s="3" t="s">
        <v>17</v>
      </c>
      <c r="C983" s="20" t="s">
        <v>19</v>
      </c>
      <c r="D983" s="21"/>
    </row>
    <row r="984" spans="1:4" ht="12.75" customHeight="1" x14ac:dyDescent="0.2">
      <c r="A984" s="21"/>
      <c r="B984" s="20" t="s">
        <v>18</v>
      </c>
      <c r="C984" s="4" t="s">
        <v>67</v>
      </c>
      <c r="D984" s="6" t="str">
        <f>HYPERLINK("javascript:void(0)","kitinpenge")</f>
        <v>kitinpenge</v>
      </c>
    </row>
    <row r="985" spans="1:4" ht="12.75" customHeight="1" x14ac:dyDescent="0.2">
      <c r="A985" s="21"/>
      <c r="B985" s="21"/>
      <c r="C985" s="4" t="s">
        <v>196</v>
      </c>
      <c r="D985" s="6" t="str">
        <f>HYPERLINK("javascript:void(0)","vasérc")</f>
        <v>vasérc</v>
      </c>
    </row>
    <row r="986" spans="1:4" ht="12.75" customHeight="1" x14ac:dyDescent="0.2">
      <c r="A986" s="21"/>
      <c r="B986" s="21"/>
      <c r="C986" s="4" t="s">
        <v>102</v>
      </c>
      <c r="D986" s="6" t="str">
        <f>HYPERLINK("javascript:void(0)","mézbalzsam")</f>
        <v>mézbalzsam</v>
      </c>
    </row>
    <row r="987" spans="1:4" ht="12.75" customHeight="1" x14ac:dyDescent="0.2">
      <c r="A987" s="21"/>
      <c r="B987" s="2"/>
      <c r="C987" s="2"/>
      <c r="D987" s="2"/>
    </row>
    <row r="988" spans="1:4" ht="12.75" customHeight="1" x14ac:dyDescent="0.2">
      <c r="A988" s="21"/>
      <c r="B988" s="2"/>
      <c r="C988" s="2"/>
      <c r="D988" s="2"/>
    </row>
    <row r="989" spans="1:4" ht="12.75" customHeight="1" x14ac:dyDescent="0.2">
      <c r="A989" s="21"/>
      <c r="B989" s="2"/>
      <c r="C989" s="2"/>
      <c r="D989" s="2"/>
    </row>
    <row r="990" spans="1:4" ht="12.75" customHeight="1" x14ac:dyDescent="0.2">
      <c r="A990" s="21"/>
      <c r="B990" s="2"/>
      <c r="C990" s="2"/>
      <c r="D990" s="2"/>
    </row>
    <row r="991" spans="1:4" ht="12.75" customHeight="1" x14ac:dyDescent="0.2">
      <c r="A991" s="5"/>
      <c r="B991" s="2"/>
      <c r="C991" s="2"/>
      <c r="D991" s="2"/>
    </row>
    <row r="992" spans="1:4" ht="12.75" customHeight="1" x14ac:dyDescent="0.2">
      <c r="A992" s="22" t="str">
        <f>HYPERLINK("javascript:void(0)","kithpajzs")</f>
        <v>kithpajzs</v>
      </c>
      <c r="B992" s="21"/>
      <c r="C992" s="21"/>
      <c r="D992" s="21"/>
    </row>
    <row r="993" spans="1:4" ht="12.75" customHeight="1" x14ac:dyDescent="0.2">
      <c r="A993" s="20"/>
      <c r="B993" s="2"/>
      <c r="C993" s="2"/>
      <c r="D993" s="2"/>
    </row>
    <row r="994" spans="1:4" ht="12.75" customHeight="1" x14ac:dyDescent="0.2">
      <c r="A994" s="21"/>
      <c r="B994" s="3" t="s">
        <v>0</v>
      </c>
      <c r="C994" s="20" t="s">
        <v>118</v>
      </c>
      <c r="D994" s="21"/>
    </row>
    <row r="995" spans="1:4" ht="12.75" customHeight="1" x14ac:dyDescent="0.2">
      <c r="A995" s="21"/>
      <c r="B995" s="3" t="s">
        <v>2</v>
      </c>
      <c r="C995" s="20" t="s">
        <v>1839</v>
      </c>
      <c r="D995" s="21"/>
    </row>
    <row r="996" spans="1:4" ht="12.75" customHeight="1" x14ac:dyDescent="0.2">
      <c r="A996" s="21"/>
      <c r="B996" s="3" t="s">
        <v>1840</v>
      </c>
      <c r="C996" s="20" t="s">
        <v>32</v>
      </c>
      <c r="D996" s="21"/>
    </row>
    <row r="997" spans="1:4" ht="12.75" customHeight="1" x14ac:dyDescent="0.2">
      <c r="A997" s="21"/>
      <c r="B997" s="3" t="s">
        <v>9</v>
      </c>
      <c r="C997" s="20" t="s">
        <v>1670</v>
      </c>
      <c r="D997" s="21"/>
    </row>
    <row r="998" spans="1:4" ht="12.75" customHeight="1" x14ac:dyDescent="0.2">
      <c r="A998" s="21"/>
      <c r="B998" s="3" t="s">
        <v>11</v>
      </c>
      <c r="C998" s="20" t="s">
        <v>380</v>
      </c>
      <c r="D998" s="21"/>
    </row>
    <row r="999" spans="1:4" ht="12.75" customHeight="1" x14ac:dyDescent="0.2">
      <c r="A999" s="21"/>
      <c r="B999" s="3" t="s">
        <v>16</v>
      </c>
      <c r="C999" s="20"/>
      <c r="D999" s="21"/>
    </row>
    <row r="1000" spans="1:4" ht="12.75" customHeight="1" x14ac:dyDescent="0.2">
      <c r="A1000" s="21"/>
      <c r="B1000" s="3" t="s">
        <v>17</v>
      </c>
      <c r="C1000" s="20" t="s">
        <v>19</v>
      </c>
      <c r="D1000" s="21"/>
    </row>
    <row r="1001" spans="1:4" ht="12.75" customHeight="1" x14ac:dyDescent="0.2">
      <c r="A1001" s="21"/>
      <c r="B1001" s="20" t="s">
        <v>18</v>
      </c>
      <c r="C1001" s="4" t="s">
        <v>44</v>
      </c>
      <c r="D1001" s="6" t="str">
        <f>HYPERLINK("javascript:void(0)","diszpropajzs")</f>
        <v>diszpropajzs</v>
      </c>
    </row>
    <row r="1002" spans="1:4" ht="12.75" customHeight="1" x14ac:dyDescent="0.2">
      <c r="A1002" s="21"/>
      <c r="B1002" s="21"/>
      <c r="C1002" s="4" t="s">
        <v>57</v>
      </c>
      <c r="D1002" s="6" t="str">
        <f>HYPERLINK("javascript:void(0)","kithrill")</f>
        <v>kithrill</v>
      </c>
    </row>
    <row r="1003" spans="1:4" ht="12.75" customHeight="1" x14ac:dyDescent="0.2">
      <c r="A1003" s="21"/>
      <c r="B1003" s="21"/>
      <c r="C1003" s="4" t="s">
        <v>57</v>
      </c>
      <c r="D1003" s="6" t="str">
        <f>HYPERLINK("javascript:void(0)","gyémánt")</f>
        <v>gyémánt</v>
      </c>
    </row>
    <row r="1004" spans="1:4" ht="12.75" customHeight="1" x14ac:dyDescent="0.2">
      <c r="A1004" s="21"/>
      <c r="B1004" s="2"/>
      <c r="C1004" s="2"/>
      <c r="D1004" s="2"/>
    </row>
    <row r="1005" spans="1:4" ht="12.75" customHeight="1" x14ac:dyDescent="0.2">
      <c r="A1005" s="21"/>
      <c r="B1005" s="2"/>
      <c r="C1005" s="2"/>
      <c r="D1005" s="2"/>
    </row>
    <row r="1006" spans="1:4" ht="12.75" customHeight="1" x14ac:dyDescent="0.2">
      <c r="A1006" s="21"/>
      <c r="B1006" s="2"/>
      <c r="C1006" s="2"/>
      <c r="D1006" s="2"/>
    </row>
    <row r="1007" spans="1:4" ht="12.75" customHeight="1" x14ac:dyDescent="0.2">
      <c r="A1007" s="21"/>
      <c r="B1007" s="2"/>
      <c r="C1007" s="2"/>
      <c r="D1007" s="2"/>
    </row>
    <row r="1008" spans="1:4" ht="12.75" customHeight="1" x14ac:dyDescent="0.2">
      <c r="A1008" s="5"/>
      <c r="B1008" s="2"/>
      <c r="C1008" s="2"/>
      <c r="D1008" s="2"/>
    </row>
    <row r="1009" spans="1:4" ht="12.75" customHeight="1" x14ac:dyDescent="0.2">
      <c r="A1009" s="22" t="str">
        <f>HYPERLINK("javascript:void(0)","smaragdpajzs")</f>
        <v>smaragdpajzs</v>
      </c>
      <c r="B1009" s="21"/>
      <c r="C1009" s="21"/>
      <c r="D1009" s="21"/>
    </row>
    <row r="1010" spans="1:4" ht="12.75" customHeight="1" x14ac:dyDescent="0.2">
      <c r="A1010" s="20"/>
      <c r="B1010" s="2"/>
      <c r="C1010" s="2"/>
      <c r="D1010" s="2"/>
    </row>
    <row r="1011" spans="1:4" ht="12.75" customHeight="1" x14ac:dyDescent="0.2">
      <c r="A1011" s="21"/>
      <c r="B1011" s="3" t="s">
        <v>0</v>
      </c>
      <c r="C1011" s="20" t="s">
        <v>32</v>
      </c>
      <c r="D1011" s="21"/>
    </row>
    <row r="1012" spans="1:4" ht="12.75" customHeight="1" x14ac:dyDescent="0.2">
      <c r="A1012" s="21"/>
      <c r="B1012" s="3" t="s">
        <v>2</v>
      </c>
      <c r="C1012" s="20" t="s">
        <v>1839</v>
      </c>
      <c r="D1012" s="21"/>
    </row>
    <row r="1013" spans="1:4" ht="12.75" customHeight="1" x14ac:dyDescent="0.2">
      <c r="A1013" s="21"/>
      <c r="B1013" s="3" t="s">
        <v>1840</v>
      </c>
      <c r="C1013" s="20" t="s">
        <v>118</v>
      </c>
      <c r="D1013" s="21"/>
    </row>
    <row r="1014" spans="1:4" ht="12.75" customHeight="1" x14ac:dyDescent="0.2">
      <c r="A1014" s="21"/>
      <c r="B1014" s="3" t="s">
        <v>9</v>
      </c>
      <c r="C1014" s="20" t="s">
        <v>374</v>
      </c>
      <c r="D1014" s="21"/>
    </row>
    <row r="1015" spans="1:4" ht="12.75" customHeight="1" x14ac:dyDescent="0.2">
      <c r="A1015" s="21"/>
      <c r="B1015" s="3" t="s">
        <v>11</v>
      </c>
      <c r="C1015" s="20" t="s">
        <v>932</v>
      </c>
      <c r="D1015" s="21"/>
    </row>
    <row r="1016" spans="1:4" ht="12.75" customHeight="1" x14ac:dyDescent="0.2">
      <c r="A1016" s="21"/>
      <c r="B1016" s="3" t="s">
        <v>16</v>
      </c>
      <c r="C1016" s="20"/>
      <c r="D1016" s="21"/>
    </row>
    <row r="1017" spans="1:4" ht="12.75" customHeight="1" x14ac:dyDescent="0.2">
      <c r="A1017" s="21"/>
      <c r="B1017" s="3" t="s">
        <v>17</v>
      </c>
      <c r="C1017" s="20" t="s">
        <v>19</v>
      </c>
      <c r="D1017" s="21"/>
    </row>
    <row r="1018" spans="1:4" ht="12.75" customHeight="1" x14ac:dyDescent="0.2">
      <c r="A1018" s="21"/>
      <c r="B1018" s="20" t="s">
        <v>18</v>
      </c>
      <c r="C1018" s="4" t="s">
        <v>44</v>
      </c>
      <c r="D1018" s="6" t="str">
        <f>HYPERLINK("javascript:void(0)","ezüstpajzs")</f>
        <v>ezüstpajzs</v>
      </c>
    </row>
    <row r="1019" spans="1:4" ht="12.75" customHeight="1" x14ac:dyDescent="0.2">
      <c r="A1019" s="21"/>
      <c r="B1019" s="21"/>
      <c r="C1019" s="4" t="s">
        <v>77</v>
      </c>
      <c r="D1019" s="6" t="str">
        <f>HYPERLINK("javascript:void(0)","smaragd")</f>
        <v>smaragd</v>
      </c>
    </row>
    <row r="1020" spans="1:4" ht="12.75" customHeight="1" x14ac:dyDescent="0.2">
      <c r="A1020" s="21"/>
      <c r="B1020" s="21"/>
      <c r="C1020" s="4" t="s">
        <v>56</v>
      </c>
      <c r="D1020" s="6" t="str">
        <f>HYPERLINK("javascript:void(0)","arany")</f>
        <v>arany</v>
      </c>
    </row>
    <row r="1021" spans="1:4" ht="12.75" customHeight="1" x14ac:dyDescent="0.2">
      <c r="A1021" s="21"/>
      <c r="B1021" s="2"/>
      <c r="C1021" s="2"/>
      <c r="D1021" s="2"/>
    </row>
    <row r="1022" spans="1:4" ht="12.75" customHeight="1" x14ac:dyDescent="0.2">
      <c r="A1022" s="21"/>
      <c r="B1022" s="2"/>
      <c r="C1022" s="2"/>
      <c r="D1022" s="2"/>
    </row>
    <row r="1023" spans="1:4" ht="12.75" customHeight="1" x14ac:dyDescent="0.2">
      <c r="A1023" s="21"/>
      <c r="B1023" s="2"/>
      <c r="C1023" s="2"/>
      <c r="D1023" s="2"/>
    </row>
    <row r="1024" spans="1:4" ht="12.75" customHeight="1" x14ac:dyDescent="0.2">
      <c r="A1024" s="21"/>
      <c r="B1024" s="2"/>
      <c r="C1024" s="2"/>
      <c r="D1024" s="2"/>
    </row>
    <row r="1025" spans="1:4" ht="12.75" customHeight="1" x14ac:dyDescent="0.2">
      <c r="A1025" s="5"/>
      <c r="B1025" s="2"/>
      <c r="C1025" s="2"/>
      <c r="D1025" s="2"/>
    </row>
    <row r="1026" spans="1:4" ht="12.75" customHeight="1" x14ac:dyDescent="0.2">
      <c r="A1026" s="22" t="str">
        <f>HYPERLINK("javascript:void(0)","közepes manópajzs")</f>
        <v>közepes manópajzs</v>
      </c>
      <c r="B1026" s="21"/>
      <c r="C1026" s="21"/>
      <c r="D1026" s="21"/>
    </row>
    <row r="1027" spans="1:4" ht="12.75" customHeight="1" x14ac:dyDescent="0.2">
      <c r="A1027" s="20"/>
      <c r="B1027" s="2"/>
      <c r="C1027" s="2"/>
      <c r="D1027" s="2"/>
    </row>
    <row r="1028" spans="1:4" ht="12.75" customHeight="1" x14ac:dyDescent="0.2">
      <c r="A1028" s="21"/>
      <c r="B1028" s="3" t="s">
        <v>0</v>
      </c>
      <c r="C1028" s="20" t="s">
        <v>32</v>
      </c>
      <c r="D1028" s="21"/>
    </row>
    <row r="1029" spans="1:4" ht="12.75" customHeight="1" x14ac:dyDescent="0.2">
      <c r="A1029" s="21"/>
      <c r="B1029" s="3" t="s">
        <v>2</v>
      </c>
      <c r="C1029" s="20" t="s">
        <v>1839</v>
      </c>
      <c r="D1029" s="21"/>
    </row>
    <row r="1030" spans="1:4" ht="12.75" customHeight="1" x14ac:dyDescent="0.2">
      <c r="A1030" s="21"/>
      <c r="B1030" s="3" t="s">
        <v>1840</v>
      </c>
      <c r="C1030" s="20" t="s">
        <v>88</v>
      </c>
      <c r="D1030" s="21"/>
    </row>
    <row r="1031" spans="1:4" ht="12.75" customHeight="1" x14ac:dyDescent="0.2">
      <c r="A1031" s="21"/>
      <c r="B1031" s="3" t="s">
        <v>9</v>
      </c>
      <c r="C1031" s="20" t="s">
        <v>49</v>
      </c>
      <c r="D1031" s="21"/>
    </row>
    <row r="1032" spans="1:4" ht="12.75" customHeight="1" x14ac:dyDescent="0.2">
      <c r="A1032" s="21"/>
      <c r="B1032" s="3" t="s">
        <v>11</v>
      </c>
      <c r="C1032" s="20" t="s">
        <v>111</v>
      </c>
      <c r="D1032" s="21"/>
    </row>
    <row r="1033" spans="1:4" ht="12.75" customHeight="1" x14ac:dyDescent="0.2">
      <c r="A1033" s="21"/>
      <c r="B1033" s="3" t="s">
        <v>16</v>
      </c>
      <c r="C1033" s="20"/>
      <c r="D1033" s="21"/>
    </row>
    <row r="1034" spans="1:4" ht="12.75" customHeight="1" x14ac:dyDescent="0.2">
      <c r="A1034" s="21"/>
      <c r="B1034" s="3" t="s">
        <v>17</v>
      </c>
      <c r="C1034" s="20" t="s">
        <v>19</v>
      </c>
      <c r="D1034" s="21"/>
    </row>
    <row r="1035" spans="1:4" ht="12.75" customHeight="1" x14ac:dyDescent="0.2">
      <c r="A1035" s="21"/>
      <c r="B1035" s="20" t="s">
        <v>18</v>
      </c>
      <c r="C1035" s="4" t="s">
        <v>1935</v>
      </c>
      <c r="D1035" s="6" t="str">
        <f>HYPERLINK("javascript:void(0)","goblinbatka")</f>
        <v>goblinbatka</v>
      </c>
    </row>
    <row r="1036" spans="1:4" ht="12.75" customHeight="1" x14ac:dyDescent="0.2">
      <c r="A1036" s="21"/>
      <c r="B1036" s="21"/>
      <c r="C1036" s="4" t="s">
        <v>56</v>
      </c>
      <c r="D1036" s="6" t="str">
        <f>HYPERLINK("javascript:void(0)","centrolium")</f>
        <v>centrolium</v>
      </c>
    </row>
    <row r="1037" spans="1:4" ht="12.75" customHeight="1" x14ac:dyDescent="0.2">
      <c r="A1037" s="21"/>
      <c r="B1037" s="21"/>
      <c r="C1037" s="4" t="s">
        <v>44</v>
      </c>
      <c r="D1037" s="6" t="str">
        <f>HYPERLINK("javascript:void(0)","kis manópajzs")</f>
        <v>kis manópajzs</v>
      </c>
    </row>
    <row r="1038" spans="1:4" ht="12.75" customHeight="1" x14ac:dyDescent="0.2">
      <c r="A1038" s="21"/>
      <c r="B1038" s="2"/>
      <c r="C1038" s="2"/>
      <c r="D1038" s="2"/>
    </row>
    <row r="1039" spans="1:4" ht="12.75" customHeight="1" x14ac:dyDescent="0.2">
      <c r="A1039" s="21"/>
      <c r="B1039" s="2"/>
      <c r="C1039" s="2"/>
      <c r="D1039" s="2"/>
    </row>
    <row r="1040" spans="1:4" ht="12.75" customHeight="1" x14ac:dyDescent="0.2">
      <c r="A1040" s="21"/>
      <c r="B1040" s="2"/>
      <c r="C1040" s="2"/>
      <c r="D1040" s="2"/>
    </row>
    <row r="1041" spans="1:4" ht="12.75" customHeight="1" x14ac:dyDescent="0.2">
      <c r="A1041" s="21"/>
      <c r="B1041" s="2"/>
      <c r="C1041" s="2"/>
      <c r="D1041" s="2"/>
    </row>
    <row r="1042" spans="1:4" ht="12.75" customHeight="1" x14ac:dyDescent="0.2">
      <c r="A1042" s="5"/>
      <c r="B1042" s="2"/>
      <c r="C1042" s="2"/>
      <c r="D1042" s="2"/>
    </row>
    <row r="1043" spans="1:4" ht="12.75" customHeight="1" x14ac:dyDescent="0.2">
      <c r="A1043" s="22" t="str">
        <f>HYPERLINK("javascript:void(0)","kith testpajzs")</f>
        <v>kith testpajzs</v>
      </c>
      <c r="B1043" s="21"/>
      <c r="C1043" s="21"/>
      <c r="D1043" s="21"/>
    </row>
    <row r="1044" spans="1:4" ht="12.75" customHeight="1" x14ac:dyDescent="0.2">
      <c r="A1044" s="20"/>
      <c r="B1044" s="2"/>
      <c r="C1044" s="2"/>
      <c r="D1044" s="2"/>
    </row>
    <row r="1045" spans="1:4" ht="12.75" customHeight="1" x14ac:dyDescent="0.2">
      <c r="A1045" s="21"/>
      <c r="B1045" s="3" t="s">
        <v>0</v>
      </c>
      <c r="C1045" s="20" t="s">
        <v>32</v>
      </c>
      <c r="D1045" s="21"/>
    </row>
    <row r="1046" spans="1:4" ht="12.75" customHeight="1" x14ac:dyDescent="0.2">
      <c r="A1046" s="21"/>
      <c r="B1046" s="3" t="s">
        <v>2</v>
      </c>
      <c r="C1046" s="20" t="s">
        <v>1839</v>
      </c>
      <c r="D1046" s="21"/>
    </row>
    <row r="1047" spans="1:4" ht="12.75" customHeight="1" x14ac:dyDescent="0.2">
      <c r="A1047" s="21"/>
      <c r="B1047" s="3" t="s">
        <v>1840</v>
      </c>
      <c r="C1047" s="20" t="s">
        <v>88</v>
      </c>
      <c r="D1047" s="21"/>
    </row>
    <row r="1048" spans="1:4" ht="12.75" customHeight="1" x14ac:dyDescent="0.2">
      <c r="A1048" s="21"/>
      <c r="B1048" s="3" t="s">
        <v>9</v>
      </c>
      <c r="C1048" s="20" t="s">
        <v>198</v>
      </c>
      <c r="D1048" s="21"/>
    </row>
    <row r="1049" spans="1:4" ht="12.75" customHeight="1" x14ac:dyDescent="0.2">
      <c r="A1049" s="21"/>
      <c r="B1049" s="3" t="s">
        <v>11</v>
      </c>
      <c r="C1049" s="20" t="s">
        <v>1937</v>
      </c>
      <c r="D1049" s="21"/>
    </row>
    <row r="1050" spans="1:4" ht="12.75" customHeight="1" x14ac:dyDescent="0.2">
      <c r="A1050" s="21"/>
      <c r="B1050" s="3" t="s">
        <v>16</v>
      </c>
      <c r="C1050" s="20"/>
      <c r="D1050" s="21"/>
    </row>
    <row r="1051" spans="1:4" ht="12.75" customHeight="1" x14ac:dyDescent="0.2">
      <c r="A1051" s="21"/>
      <c r="B1051" s="3" t="s">
        <v>17</v>
      </c>
      <c r="C1051" s="20" t="s">
        <v>19</v>
      </c>
      <c r="D1051" s="21"/>
    </row>
    <row r="1052" spans="1:4" ht="12.75" customHeight="1" x14ac:dyDescent="0.2">
      <c r="A1052" s="21"/>
      <c r="B1052" s="20" t="s">
        <v>18</v>
      </c>
      <c r="C1052" s="4" t="s">
        <v>44</v>
      </c>
      <c r="D1052" s="6" t="str">
        <f>HYPERLINK("javascript:void(0)","diszpro testpajzs")</f>
        <v>diszpro testpajzs</v>
      </c>
    </row>
    <row r="1053" spans="1:4" ht="12.75" customHeight="1" x14ac:dyDescent="0.2">
      <c r="A1053" s="21"/>
      <c r="B1053" s="21"/>
      <c r="C1053" s="4" t="s">
        <v>55</v>
      </c>
      <c r="D1053" s="6" t="str">
        <f>HYPERLINK("javascript:void(0)","kithrill")</f>
        <v>kithrill</v>
      </c>
    </row>
    <row r="1054" spans="1:4" ht="12.75" customHeight="1" x14ac:dyDescent="0.2">
      <c r="A1054" s="21"/>
      <c r="B1054" s="21"/>
      <c r="C1054" s="4" t="s">
        <v>57</v>
      </c>
      <c r="D1054" s="6" t="str">
        <f>HYPERLINK("javascript:void(0)","gyémánt")</f>
        <v>gyémánt</v>
      </c>
    </row>
    <row r="1055" spans="1:4" ht="12.75" customHeight="1" x14ac:dyDescent="0.2">
      <c r="A1055" s="21"/>
      <c r="B1055" s="2"/>
      <c r="C1055" s="2"/>
      <c r="D1055" s="2"/>
    </row>
    <row r="1056" spans="1:4" ht="12.75" customHeight="1" x14ac:dyDescent="0.2">
      <c r="A1056" s="21"/>
      <c r="B1056" s="2"/>
      <c r="C1056" s="2"/>
      <c r="D1056" s="2"/>
    </row>
    <row r="1057" spans="1:4" ht="12.75" customHeight="1" x14ac:dyDescent="0.2">
      <c r="A1057" s="21"/>
      <c r="B1057" s="2"/>
      <c r="C1057" s="2"/>
      <c r="D1057" s="2"/>
    </row>
    <row r="1058" spans="1:4" ht="12.75" customHeight="1" x14ac:dyDescent="0.2">
      <c r="A1058" s="21"/>
      <c r="B1058" s="2"/>
      <c r="C1058" s="2"/>
      <c r="D1058" s="2"/>
    </row>
    <row r="1059" spans="1:4" ht="12.75" customHeight="1" x14ac:dyDescent="0.2">
      <c r="A1059" s="5"/>
      <c r="B1059" s="2"/>
      <c r="C1059" s="2"/>
      <c r="D1059" s="2"/>
    </row>
    <row r="1060" spans="1:4" ht="12.75" customHeight="1" x14ac:dyDescent="0.2">
      <c r="A1060" s="22" t="str">
        <f>HYPERLINK("javascript:void(0)","nagy pillepajzs")</f>
        <v>nagy pillepajzs</v>
      </c>
      <c r="B1060" s="21"/>
      <c r="C1060" s="21"/>
      <c r="D1060" s="21"/>
    </row>
    <row r="1061" spans="1:4" ht="12.75" customHeight="1" x14ac:dyDescent="0.2">
      <c r="A1061" s="20"/>
      <c r="B1061" s="2"/>
      <c r="C1061" s="2"/>
      <c r="D1061" s="2"/>
    </row>
    <row r="1062" spans="1:4" ht="12.75" customHeight="1" x14ac:dyDescent="0.2">
      <c r="A1062" s="21"/>
      <c r="B1062" s="3" t="s">
        <v>0</v>
      </c>
      <c r="C1062" s="20" t="s">
        <v>88</v>
      </c>
      <c r="D1062" s="21"/>
    </row>
    <row r="1063" spans="1:4" ht="12.75" customHeight="1" x14ac:dyDescent="0.2">
      <c r="A1063" s="21"/>
      <c r="B1063" s="3" t="s">
        <v>2</v>
      </c>
      <c r="C1063" s="20" t="s">
        <v>1839</v>
      </c>
      <c r="D1063" s="21"/>
    </row>
    <row r="1064" spans="1:4" ht="12.75" customHeight="1" x14ac:dyDescent="0.2">
      <c r="A1064" s="21"/>
      <c r="B1064" s="3" t="s">
        <v>1840</v>
      </c>
      <c r="C1064" s="20" t="s">
        <v>88</v>
      </c>
      <c r="D1064" s="21"/>
    </row>
    <row r="1065" spans="1:4" ht="12.75" customHeight="1" x14ac:dyDescent="0.2">
      <c r="A1065" s="21"/>
      <c r="B1065" s="3" t="s">
        <v>9</v>
      </c>
      <c r="C1065" s="20" t="s">
        <v>981</v>
      </c>
      <c r="D1065" s="21"/>
    </row>
    <row r="1066" spans="1:4" ht="12.75" customHeight="1" x14ac:dyDescent="0.2">
      <c r="A1066" s="21"/>
      <c r="B1066" s="3" t="s">
        <v>11</v>
      </c>
      <c r="C1066" s="20" t="s">
        <v>1939</v>
      </c>
      <c r="D1066" s="21"/>
    </row>
    <row r="1067" spans="1:4" ht="12.75" customHeight="1" x14ac:dyDescent="0.2">
      <c r="A1067" s="21"/>
      <c r="B1067" s="3" t="s">
        <v>16</v>
      </c>
      <c r="C1067" s="20"/>
      <c r="D1067" s="21"/>
    </row>
    <row r="1068" spans="1:4" ht="12.75" customHeight="1" x14ac:dyDescent="0.2">
      <c r="A1068" s="21"/>
      <c r="B1068" s="3" t="s">
        <v>17</v>
      </c>
      <c r="C1068" s="20" t="s">
        <v>19</v>
      </c>
      <c r="D1068" s="21"/>
    </row>
    <row r="1069" spans="1:4" ht="12.75" customHeight="1" x14ac:dyDescent="0.2">
      <c r="A1069" s="21"/>
      <c r="B1069" s="20" t="s">
        <v>18</v>
      </c>
      <c r="C1069" s="4" t="s">
        <v>98</v>
      </c>
      <c r="D1069" s="6" t="str">
        <f>HYPERLINK("javascript:void(0)","lepkeszárny")</f>
        <v>lepkeszárny</v>
      </c>
    </row>
    <row r="1070" spans="1:4" ht="12.75" customHeight="1" x14ac:dyDescent="0.2">
      <c r="A1070" s="21"/>
      <c r="B1070" s="21"/>
      <c r="C1070" s="4" t="s">
        <v>44</v>
      </c>
      <c r="D1070" s="6" t="str">
        <f>HYPERLINK("javascript:void(0)","közepes pillepajzs")</f>
        <v>közepes pillepajzs</v>
      </c>
    </row>
    <row r="1071" spans="1:4" ht="12.75" customHeight="1" x14ac:dyDescent="0.2">
      <c r="A1071" s="21"/>
      <c r="B1071" s="21"/>
      <c r="C1071" s="4" t="s">
        <v>44</v>
      </c>
      <c r="D1071" s="6" t="str">
        <f>HYPERLINK("javascript:void(0)","kithrill")</f>
        <v>kithrill</v>
      </c>
    </row>
    <row r="1072" spans="1:4" ht="12.75" customHeight="1" x14ac:dyDescent="0.2">
      <c r="A1072" s="21"/>
      <c r="B1072" s="2"/>
      <c r="C1072" s="2"/>
      <c r="D1072" s="2"/>
    </row>
    <row r="1073" spans="1:4" ht="12.75" customHeight="1" x14ac:dyDescent="0.2">
      <c r="A1073" s="21"/>
      <c r="B1073" s="2"/>
      <c r="C1073" s="2"/>
      <c r="D1073" s="2"/>
    </row>
    <row r="1074" spans="1:4" ht="12.75" customHeight="1" x14ac:dyDescent="0.2">
      <c r="A1074" s="21"/>
      <c r="B1074" s="2"/>
      <c r="C1074" s="2"/>
      <c r="D1074" s="2"/>
    </row>
    <row r="1075" spans="1:4" ht="12.75" customHeight="1" x14ac:dyDescent="0.2">
      <c r="A1075" s="21"/>
      <c r="B1075" s="2"/>
      <c r="C1075" s="2"/>
      <c r="D1075" s="2"/>
    </row>
    <row r="1076" spans="1:4" ht="12.75" customHeight="1" x14ac:dyDescent="0.2">
      <c r="A1076" s="5"/>
      <c r="B1076" s="2"/>
      <c r="C1076" s="2"/>
      <c r="D1076" s="2"/>
    </row>
    <row r="1077" spans="1:4" ht="12.75" customHeight="1" x14ac:dyDescent="0.2">
      <c r="A1077" s="22" t="str">
        <f>HYPERLINK("javascript:void(0)","démonacél pajzs")</f>
        <v>démonacél pajzs</v>
      </c>
      <c r="B1077" s="21"/>
      <c r="C1077" s="21"/>
      <c r="D1077" s="21"/>
    </row>
    <row r="1078" spans="1:4" ht="12.75" customHeight="1" x14ac:dyDescent="0.2">
      <c r="A1078" s="20"/>
      <c r="B1078" s="2"/>
      <c r="C1078" s="2"/>
      <c r="D1078" s="2"/>
    </row>
    <row r="1079" spans="1:4" ht="12.75" customHeight="1" x14ac:dyDescent="0.2">
      <c r="A1079" s="21"/>
      <c r="B1079" s="3" t="s">
        <v>0</v>
      </c>
      <c r="C1079" s="20" t="s">
        <v>88</v>
      </c>
      <c r="D1079" s="21"/>
    </row>
    <row r="1080" spans="1:4" ht="12.75" customHeight="1" x14ac:dyDescent="0.2">
      <c r="A1080" s="21"/>
      <c r="B1080" s="3" t="s">
        <v>2</v>
      </c>
      <c r="C1080" s="20" t="s">
        <v>1839</v>
      </c>
      <c r="D1080" s="21"/>
    </row>
    <row r="1081" spans="1:4" ht="12.75" customHeight="1" x14ac:dyDescent="0.2">
      <c r="A1081" s="21"/>
      <c r="B1081" s="3" t="s">
        <v>1840</v>
      </c>
      <c r="C1081" s="20" t="s">
        <v>155</v>
      </c>
      <c r="D1081" s="21"/>
    </row>
    <row r="1082" spans="1:4" ht="12.75" customHeight="1" x14ac:dyDescent="0.2">
      <c r="A1082" s="21"/>
      <c r="B1082" s="3" t="s">
        <v>9</v>
      </c>
      <c r="C1082" s="20" t="s">
        <v>1726</v>
      </c>
      <c r="D1082" s="21"/>
    </row>
    <row r="1083" spans="1:4" ht="12.75" customHeight="1" x14ac:dyDescent="0.2">
      <c r="A1083" s="21"/>
      <c r="B1083" s="3" t="s">
        <v>11</v>
      </c>
      <c r="C1083" s="20" t="s">
        <v>111</v>
      </c>
      <c r="D1083" s="21"/>
    </row>
    <row r="1084" spans="1:4" ht="12.75" customHeight="1" x14ac:dyDescent="0.2">
      <c r="A1084" s="21"/>
      <c r="B1084" s="3" t="s">
        <v>16</v>
      </c>
      <c r="C1084" s="20"/>
      <c r="D1084" s="21"/>
    </row>
    <row r="1085" spans="1:4" ht="12.75" customHeight="1" x14ac:dyDescent="0.2">
      <c r="A1085" s="21"/>
      <c r="B1085" s="3" t="s">
        <v>17</v>
      </c>
      <c r="C1085" s="20" t="s">
        <v>19</v>
      </c>
      <c r="D1085" s="21"/>
    </row>
    <row r="1086" spans="1:4" ht="12.75" customHeight="1" x14ac:dyDescent="0.2">
      <c r="A1086" s="21"/>
      <c r="B1086" s="20" t="s">
        <v>18</v>
      </c>
      <c r="C1086" s="4" t="s">
        <v>57</v>
      </c>
      <c r="D1086" s="6" t="str">
        <f>HYPERLINK("javascript:void(0)","démonvádli")</f>
        <v>démonvádli</v>
      </c>
    </row>
    <row r="1087" spans="1:4" ht="12.75" customHeight="1" x14ac:dyDescent="0.2">
      <c r="A1087" s="21"/>
      <c r="B1087" s="21"/>
      <c r="C1087" s="4" t="s">
        <v>232</v>
      </c>
      <c r="D1087" s="6" t="str">
        <f>HYPERLINK("javascript:void(0)","nyukug bajusz")</f>
        <v>nyukug bajusz</v>
      </c>
    </row>
    <row r="1088" spans="1:4" ht="12.75" customHeight="1" x14ac:dyDescent="0.2">
      <c r="A1088" s="21"/>
      <c r="B1088" s="21"/>
      <c r="C1088" s="4" t="s">
        <v>44</v>
      </c>
      <c r="D1088" s="6" t="str">
        <f>HYPERLINK("javascript:void(0)","skivei pajzs")</f>
        <v>skivei pajzs</v>
      </c>
    </row>
    <row r="1089" spans="1:4" ht="12.75" customHeight="1" x14ac:dyDescent="0.2">
      <c r="A1089" s="21"/>
      <c r="B1089" s="2"/>
      <c r="C1089" s="2"/>
      <c r="D1089" s="2"/>
    </row>
    <row r="1090" spans="1:4" ht="12.75" customHeight="1" x14ac:dyDescent="0.2">
      <c r="A1090" s="21"/>
      <c r="B1090" s="2"/>
      <c r="C1090" s="2"/>
      <c r="D1090" s="2"/>
    </row>
    <row r="1091" spans="1:4" ht="12.75" customHeight="1" x14ac:dyDescent="0.2">
      <c r="A1091" s="21"/>
      <c r="B1091" s="2"/>
      <c r="C1091" s="2"/>
      <c r="D1091" s="2"/>
    </row>
    <row r="1092" spans="1:4" ht="12.75" customHeight="1" x14ac:dyDescent="0.2">
      <c r="A1092" s="21"/>
      <c r="B1092" s="2"/>
      <c r="C1092" s="2"/>
      <c r="D1092" s="2"/>
    </row>
    <row r="1093" spans="1:4" ht="12.75" customHeight="1" x14ac:dyDescent="0.2">
      <c r="A1093" s="5"/>
      <c r="B1093" s="2"/>
      <c r="C1093" s="2"/>
      <c r="D1093" s="2"/>
    </row>
    <row r="1094" spans="1:4" ht="12.75" customHeight="1" x14ac:dyDescent="0.2">
      <c r="A1094" s="22" t="str">
        <f>HYPERLINK("javascript:void(0)","rubin testpajzs")</f>
        <v>rubin testpajzs</v>
      </c>
      <c r="B1094" s="21"/>
      <c r="C1094" s="21"/>
      <c r="D1094" s="21"/>
    </row>
    <row r="1095" spans="1:4" ht="12.75" customHeight="1" x14ac:dyDescent="0.2">
      <c r="A1095" s="20"/>
      <c r="B1095" s="2"/>
      <c r="C1095" s="2"/>
      <c r="D1095" s="2"/>
    </row>
    <row r="1096" spans="1:4" ht="12.75" customHeight="1" x14ac:dyDescent="0.2">
      <c r="A1096" s="21"/>
      <c r="B1096" s="3" t="s">
        <v>0</v>
      </c>
      <c r="C1096" s="20" t="s">
        <v>88</v>
      </c>
      <c r="D1096" s="21"/>
    </row>
    <row r="1097" spans="1:4" ht="12.75" customHeight="1" x14ac:dyDescent="0.2">
      <c r="A1097" s="21"/>
      <c r="B1097" s="3" t="s">
        <v>2</v>
      </c>
      <c r="C1097" s="20" t="s">
        <v>1839</v>
      </c>
      <c r="D1097" s="21"/>
    </row>
    <row r="1098" spans="1:4" ht="12.75" customHeight="1" x14ac:dyDescent="0.2">
      <c r="A1098" s="21"/>
      <c r="B1098" s="3" t="s">
        <v>1840</v>
      </c>
      <c r="C1098" s="20" t="s">
        <v>32</v>
      </c>
      <c r="D1098" s="21"/>
    </row>
    <row r="1099" spans="1:4" ht="12.75" customHeight="1" x14ac:dyDescent="0.2">
      <c r="A1099" s="21"/>
      <c r="B1099" s="3" t="s">
        <v>9</v>
      </c>
      <c r="C1099" s="20" t="s">
        <v>236</v>
      </c>
      <c r="D1099" s="21"/>
    </row>
    <row r="1100" spans="1:4" ht="12.75" customHeight="1" x14ac:dyDescent="0.2">
      <c r="A1100" s="21"/>
      <c r="B1100" s="3" t="s">
        <v>11</v>
      </c>
      <c r="C1100" s="20" t="s">
        <v>145</v>
      </c>
      <c r="D1100" s="21"/>
    </row>
    <row r="1101" spans="1:4" ht="12.75" customHeight="1" x14ac:dyDescent="0.2">
      <c r="A1101" s="21"/>
      <c r="B1101" s="3" t="s">
        <v>16</v>
      </c>
      <c r="C1101" s="20"/>
      <c r="D1101" s="21"/>
    </row>
    <row r="1102" spans="1:4" ht="12.75" customHeight="1" x14ac:dyDescent="0.2">
      <c r="A1102" s="21"/>
      <c r="B1102" s="3" t="s">
        <v>17</v>
      </c>
      <c r="C1102" s="20" t="s">
        <v>19</v>
      </c>
      <c r="D1102" s="21"/>
    </row>
    <row r="1103" spans="1:4" ht="12.75" customHeight="1" x14ac:dyDescent="0.2">
      <c r="A1103" s="21"/>
      <c r="B1103" s="20" t="s">
        <v>18</v>
      </c>
      <c r="C1103" s="4" t="s">
        <v>44</v>
      </c>
      <c r="D1103" s="6" t="str">
        <f>HYPERLINK("javascript:void(0)","arany testpajzs")</f>
        <v>arany testpajzs</v>
      </c>
    </row>
    <row r="1104" spans="1:4" ht="12.75" customHeight="1" x14ac:dyDescent="0.2">
      <c r="A1104" s="21"/>
      <c r="B1104" s="21"/>
      <c r="C1104" s="4" t="s">
        <v>232</v>
      </c>
      <c r="D1104" s="6" t="str">
        <f>HYPERLINK("javascript:void(0)","rubin")</f>
        <v>rubin</v>
      </c>
    </row>
    <row r="1105" spans="1:4" ht="12.75" customHeight="1" x14ac:dyDescent="0.2">
      <c r="A1105" s="21"/>
      <c r="B1105" s="21"/>
      <c r="C1105" s="4" t="s">
        <v>56</v>
      </c>
      <c r="D1105" s="6" t="str">
        <f>HYPERLINK("javascript:void(0)","gyémánt")</f>
        <v>gyémánt</v>
      </c>
    </row>
    <row r="1106" spans="1:4" ht="12.75" customHeight="1" x14ac:dyDescent="0.2">
      <c r="A1106" s="21"/>
      <c r="B1106" s="2"/>
      <c r="C1106" s="2"/>
      <c r="D1106" s="2"/>
    </row>
    <row r="1107" spans="1:4" ht="12.75" customHeight="1" x14ac:dyDescent="0.2">
      <c r="A1107" s="21"/>
      <c r="B1107" s="2"/>
      <c r="C1107" s="2"/>
      <c r="D1107" s="2"/>
    </row>
    <row r="1108" spans="1:4" ht="12.75" customHeight="1" x14ac:dyDescent="0.2">
      <c r="A1108" s="21"/>
      <c r="B1108" s="2"/>
      <c r="C1108" s="2"/>
      <c r="D1108" s="2"/>
    </row>
    <row r="1109" spans="1:4" ht="12.75" customHeight="1" x14ac:dyDescent="0.2">
      <c r="A1109" s="21"/>
      <c r="B1109" s="2"/>
      <c r="C1109" s="2"/>
      <c r="D1109" s="2"/>
    </row>
    <row r="1110" spans="1:4" ht="12.75" customHeight="1" x14ac:dyDescent="0.2">
      <c r="A1110" s="5"/>
      <c r="B1110" s="2"/>
      <c r="C1110" s="2"/>
      <c r="D1110" s="2"/>
    </row>
    <row r="1111" spans="1:4" ht="12.75" customHeight="1" x14ac:dyDescent="0.2">
      <c r="A1111" s="22" t="str">
        <f>HYPERLINK("javascript:void(0)","hidracél pajzs")</f>
        <v>hidracél pajzs</v>
      </c>
      <c r="B1111" s="21"/>
      <c r="C1111" s="21"/>
      <c r="D1111" s="21"/>
    </row>
    <row r="1112" spans="1:4" ht="12.75" customHeight="1" x14ac:dyDescent="0.2">
      <c r="A1112" s="20"/>
      <c r="B1112" s="2"/>
      <c r="C1112" s="2"/>
      <c r="D1112" s="2"/>
    </row>
    <row r="1113" spans="1:4" ht="12.75" customHeight="1" x14ac:dyDescent="0.2">
      <c r="A1113" s="21"/>
      <c r="B1113" s="3" t="s">
        <v>0</v>
      </c>
      <c r="C1113" s="20" t="s">
        <v>155</v>
      </c>
      <c r="D1113" s="21"/>
    </row>
    <row r="1114" spans="1:4" ht="12.75" customHeight="1" x14ac:dyDescent="0.2">
      <c r="A1114" s="21"/>
      <c r="B1114" s="3" t="s">
        <v>2</v>
      </c>
      <c r="C1114" s="20" t="s">
        <v>1839</v>
      </c>
      <c r="D1114" s="21"/>
    </row>
    <row r="1115" spans="1:4" ht="12.75" customHeight="1" x14ac:dyDescent="0.2">
      <c r="A1115" s="21"/>
      <c r="B1115" s="3" t="s">
        <v>1840</v>
      </c>
      <c r="C1115" s="20" t="s">
        <v>159</v>
      </c>
      <c r="D1115" s="21"/>
    </row>
    <row r="1116" spans="1:4" ht="12.75" customHeight="1" x14ac:dyDescent="0.2">
      <c r="A1116" s="21"/>
      <c r="B1116" s="3" t="s">
        <v>9</v>
      </c>
      <c r="C1116" s="20" t="s">
        <v>1670</v>
      </c>
      <c r="D1116" s="21"/>
    </row>
    <row r="1117" spans="1:4" ht="12.75" customHeight="1" x14ac:dyDescent="0.2">
      <c r="A1117" s="21"/>
      <c r="B1117" s="3" t="s">
        <v>11</v>
      </c>
      <c r="C1117" s="20" t="s">
        <v>1944</v>
      </c>
      <c r="D1117" s="21"/>
    </row>
    <row r="1118" spans="1:4" ht="12.75" customHeight="1" x14ac:dyDescent="0.2">
      <c r="A1118" s="21"/>
      <c r="B1118" s="3" t="s">
        <v>16</v>
      </c>
      <c r="C1118" s="20"/>
      <c r="D1118" s="21"/>
    </row>
    <row r="1119" spans="1:4" ht="12.75" customHeight="1" x14ac:dyDescent="0.2">
      <c r="A1119" s="21"/>
      <c r="B1119" s="3" t="s">
        <v>17</v>
      </c>
      <c r="C1119" s="20" t="s">
        <v>19</v>
      </c>
      <c r="D1119" s="21"/>
    </row>
    <row r="1120" spans="1:4" ht="12.75" customHeight="1" x14ac:dyDescent="0.2">
      <c r="A1120" s="21"/>
      <c r="B1120" s="20" t="s">
        <v>18</v>
      </c>
      <c r="C1120" s="4" t="s">
        <v>44</v>
      </c>
      <c r="D1120" s="6" t="str">
        <f>HYPERLINK("javascript:void(0)","mengorni pajzs")</f>
        <v>mengorni pajzs</v>
      </c>
    </row>
    <row r="1121" spans="1:4" ht="12.75" customHeight="1" x14ac:dyDescent="0.2">
      <c r="A1121" s="21"/>
      <c r="B1121" s="21"/>
      <c r="C1121" s="4" t="s">
        <v>232</v>
      </c>
      <c r="D1121" s="6" t="str">
        <f>HYPERLINK("javascript:void(0)","szén-hidragén")</f>
        <v>szén-hidragén</v>
      </c>
    </row>
    <row r="1122" spans="1:4" ht="12.75" customHeight="1" x14ac:dyDescent="0.2">
      <c r="A1122" s="21"/>
      <c r="B1122" s="21"/>
      <c r="C1122" s="4" t="s">
        <v>44</v>
      </c>
      <c r="D1122" s="6" t="str">
        <f>HYPERLINK("javascript:void(0)","gyémánt")</f>
        <v>gyémánt</v>
      </c>
    </row>
    <row r="1123" spans="1:4" ht="12.75" customHeight="1" x14ac:dyDescent="0.2">
      <c r="A1123" s="21"/>
      <c r="B1123" s="2"/>
      <c r="C1123" s="2"/>
      <c r="D1123" s="2"/>
    </row>
    <row r="1124" spans="1:4" ht="12.75" customHeight="1" x14ac:dyDescent="0.2">
      <c r="A1124" s="21"/>
      <c r="B1124" s="2"/>
      <c r="C1124" s="2"/>
      <c r="D1124" s="2"/>
    </row>
    <row r="1125" spans="1:4" ht="12.75" customHeight="1" x14ac:dyDescent="0.2">
      <c r="A1125" s="21"/>
      <c r="B1125" s="2"/>
      <c r="C1125" s="2"/>
      <c r="D1125" s="2"/>
    </row>
    <row r="1126" spans="1:4" ht="12.75" customHeight="1" x14ac:dyDescent="0.2">
      <c r="A1126" s="21"/>
      <c r="B1126" s="2"/>
      <c r="C1126" s="2"/>
      <c r="D1126" s="2"/>
    </row>
    <row r="1127" spans="1:4" ht="12.75" customHeight="1" x14ac:dyDescent="0.2">
      <c r="A1127" s="5"/>
      <c r="B1127" s="2"/>
      <c r="C1127" s="2"/>
      <c r="D1127" s="2"/>
    </row>
    <row r="1128" spans="1:4" ht="12.75" customHeight="1" x14ac:dyDescent="0.2">
      <c r="A1128" s="22" t="str">
        <f>HYPERLINK("javascript:void(0)","elementálpajzs")</f>
        <v>elementálpajzs</v>
      </c>
      <c r="B1128" s="21"/>
      <c r="C1128" s="21"/>
      <c r="D1128" s="21"/>
    </row>
    <row r="1129" spans="1:4" ht="12.75" customHeight="1" x14ac:dyDescent="0.2">
      <c r="A1129" s="20"/>
      <c r="B1129" s="2"/>
      <c r="C1129" s="2"/>
      <c r="D1129" s="2"/>
    </row>
    <row r="1130" spans="1:4" ht="12.75" customHeight="1" x14ac:dyDescent="0.2">
      <c r="A1130" s="21"/>
      <c r="B1130" s="3" t="s">
        <v>0</v>
      </c>
      <c r="C1130" s="20" t="s">
        <v>155</v>
      </c>
      <c r="D1130" s="21"/>
    </row>
    <row r="1131" spans="1:4" ht="12.75" customHeight="1" x14ac:dyDescent="0.2">
      <c r="A1131" s="21"/>
      <c r="B1131" s="3" t="s">
        <v>2</v>
      </c>
      <c r="C1131" s="20" t="s">
        <v>1839</v>
      </c>
      <c r="D1131" s="21"/>
    </row>
    <row r="1132" spans="1:4" ht="12.75" customHeight="1" x14ac:dyDescent="0.2">
      <c r="A1132" s="21"/>
      <c r="B1132" s="3" t="s">
        <v>1840</v>
      </c>
      <c r="C1132" s="20" t="s">
        <v>155</v>
      </c>
      <c r="D1132" s="21"/>
    </row>
    <row r="1133" spans="1:4" ht="12.75" customHeight="1" x14ac:dyDescent="0.2">
      <c r="A1133" s="21"/>
      <c r="B1133" s="3" t="s">
        <v>9</v>
      </c>
      <c r="C1133" s="20" t="s">
        <v>249</v>
      </c>
      <c r="D1133" s="21"/>
    </row>
    <row r="1134" spans="1:4" ht="12.75" customHeight="1" x14ac:dyDescent="0.2">
      <c r="A1134" s="21"/>
      <c r="B1134" s="3" t="s">
        <v>11</v>
      </c>
      <c r="C1134" s="20" t="s">
        <v>1946</v>
      </c>
      <c r="D1134" s="21"/>
    </row>
    <row r="1135" spans="1:4" ht="12.75" customHeight="1" x14ac:dyDescent="0.2">
      <c r="A1135" s="21"/>
      <c r="B1135" s="3" t="s">
        <v>16</v>
      </c>
      <c r="C1135" s="20"/>
      <c r="D1135" s="21"/>
    </row>
    <row r="1136" spans="1:4" ht="12.75" customHeight="1" x14ac:dyDescent="0.2">
      <c r="A1136" s="21"/>
      <c r="B1136" s="3" t="s">
        <v>17</v>
      </c>
      <c r="C1136" s="20" t="s">
        <v>19</v>
      </c>
      <c r="D1136" s="21"/>
    </row>
    <row r="1137" spans="1:4" ht="12.75" customHeight="1" x14ac:dyDescent="0.2">
      <c r="A1137" s="21"/>
      <c r="B1137" s="20" t="s">
        <v>18</v>
      </c>
      <c r="C1137" s="4" t="s">
        <v>68</v>
      </c>
      <c r="D1137" s="6" t="str">
        <f>HYPERLINK("javascript:void(0)","elementál eszencia")</f>
        <v>elementál eszencia</v>
      </c>
    </row>
    <row r="1138" spans="1:4" ht="12.75" customHeight="1" x14ac:dyDescent="0.2">
      <c r="A1138" s="21"/>
      <c r="B1138" s="21"/>
      <c r="C1138" s="4" t="s">
        <v>67</v>
      </c>
      <c r="D1138" s="6" t="str">
        <f>HYPERLINK("javascript:void(0)","óngolyó")</f>
        <v>óngolyó</v>
      </c>
    </row>
    <row r="1139" spans="1:4" ht="12.75" customHeight="1" x14ac:dyDescent="0.2">
      <c r="A1139" s="21"/>
      <c r="B1139" s="21"/>
      <c r="C1139" s="4" t="s">
        <v>232</v>
      </c>
      <c r="D1139" s="6" t="str">
        <f>HYPERLINK("javascript:void(0)","grifftoll")</f>
        <v>grifftoll</v>
      </c>
    </row>
    <row r="1140" spans="1:4" ht="12.75" customHeight="1" x14ac:dyDescent="0.2">
      <c r="A1140" s="21"/>
      <c r="B1140" s="2"/>
      <c r="C1140" s="2"/>
      <c r="D1140" s="2"/>
    </row>
    <row r="1141" spans="1:4" ht="12.75" customHeight="1" x14ac:dyDescent="0.2">
      <c r="A1141" s="21"/>
      <c r="B1141" s="2"/>
      <c r="C1141" s="2"/>
      <c r="D1141" s="2"/>
    </row>
    <row r="1142" spans="1:4" ht="12.75" customHeight="1" x14ac:dyDescent="0.2">
      <c r="A1142" s="21"/>
      <c r="B1142" s="2"/>
      <c r="C1142" s="2"/>
      <c r="D1142" s="2"/>
    </row>
    <row r="1143" spans="1:4" ht="12.75" customHeight="1" x14ac:dyDescent="0.2">
      <c r="A1143" s="21"/>
      <c r="B1143" s="2"/>
      <c r="C1143" s="2"/>
      <c r="D1143" s="2"/>
    </row>
    <row r="1144" spans="1:4" ht="12.75" customHeight="1" x14ac:dyDescent="0.2">
      <c r="A1144" s="5"/>
      <c r="B1144" s="2"/>
      <c r="C1144" s="2"/>
      <c r="D1144" s="2"/>
    </row>
    <row r="1145" spans="1:4" ht="12.75" customHeight="1" x14ac:dyDescent="0.2">
      <c r="A1145" s="22" t="str">
        <f>HYPERLINK("javascript:void(0)","gránitrög")</f>
        <v>gránitrög</v>
      </c>
      <c r="B1145" s="21"/>
      <c r="C1145" s="21"/>
      <c r="D1145" s="21"/>
    </row>
    <row r="1146" spans="1:4" ht="12.75" customHeight="1" x14ac:dyDescent="0.2">
      <c r="A1146" s="20"/>
      <c r="B1146" s="2"/>
      <c r="C1146" s="2"/>
      <c r="D1146" s="2"/>
    </row>
    <row r="1147" spans="1:4" ht="12.75" customHeight="1" x14ac:dyDescent="0.2">
      <c r="A1147" s="21"/>
      <c r="B1147" s="3" t="s">
        <v>0</v>
      </c>
      <c r="C1147" s="20" t="s">
        <v>155</v>
      </c>
      <c r="D1147" s="21"/>
    </row>
    <row r="1148" spans="1:4" ht="12.75" customHeight="1" x14ac:dyDescent="0.2">
      <c r="A1148" s="21"/>
      <c r="B1148" s="3" t="s">
        <v>2</v>
      </c>
      <c r="C1148" s="20" t="s">
        <v>1839</v>
      </c>
      <c r="D1148" s="21"/>
    </row>
    <row r="1149" spans="1:4" ht="12.75" customHeight="1" x14ac:dyDescent="0.2">
      <c r="A1149" s="21"/>
      <c r="B1149" s="3" t="s">
        <v>1840</v>
      </c>
      <c r="C1149" s="20" t="s">
        <v>21</v>
      </c>
      <c r="D1149" s="21"/>
    </row>
    <row r="1150" spans="1:4" ht="12.75" customHeight="1" x14ac:dyDescent="0.2">
      <c r="A1150" s="21"/>
      <c r="B1150" s="3" t="s">
        <v>9</v>
      </c>
      <c r="C1150" s="20" t="s">
        <v>36</v>
      </c>
      <c r="D1150" s="21"/>
    </row>
    <row r="1151" spans="1:4" ht="12.75" customHeight="1" x14ac:dyDescent="0.2">
      <c r="A1151" s="21"/>
      <c r="B1151" s="3" t="s">
        <v>11</v>
      </c>
      <c r="C1151" s="20" t="s">
        <v>551</v>
      </c>
      <c r="D1151" s="21"/>
    </row>
    <row r="1152" spans="1:4" ht="12.75" customHeight="1" x14ac:dyDescent="0.2">
      <c r="A1152" s="21"/>
      <c r="B1152" s="3" t="s">
        <v>16</v>
      </c>
      <c r="C1152" s="20"/>
      <c r="D1152" s="21"/>
    </row>
    <row r="1153" spans="1:4" ht="12.75" customHeight="1" x14ac:dyDescent="0.2">
      <c r="A1153" s="21"/>
      <c r="B1153" s="3" t="s">
        <v>17</v>
      </c>
      <c r="C1153" s="20" t="s">
        <v>19</v>
      </c>
      <c r="D1153" s="21"/>
    </row>
    <row r="1154" spans="1:4" ht="12.75" customHeight="1" x14ac:dyDescent="0.2">
      <c r="A1154" s="21"/>
      <c r="B1154" s="20" t="s">
        <v>18</v>
      </c>
      <c r="C1154" s="4" t="s">
        <v>130</v>
      </c>
      <c r="D1154" s="6" t="str">
        <f>HYPERLINK("javascript:void(0)","rubin")</f>
        <v>rubin</v>
      </c>
    </row>
    <row r="1155" spans="1:4" ht="12.75" customHeight="1" x14ac:dyDescent="0.2">
      <c r="A1155" s="21"/>
      <c r="B1155" s="21"/>
      <c r="C1155" s="4" t="s">
        <v>44</v>
      </c>
      <c r="D1155" s="6" t="str">
        <f>HYPERLINK("javascript:void(0)","vasrög")</f>
        <v>vasrög</v>
      </c>
    </row>
    <row r="1156" spans="1:4" ht="12.75" customHeight="1" x14ac:dyDescent="0.2">
      <c r="A1156" s="21"/>
      <c r="B1156" s="21"/>
      <c r="C1156" s="4" t="s">
        <v>130</v>
      </c>
      <c r="D1156" s="6" t="str">
        <f>HYPERLINK("javascript:void(0)","smaragd")</f>
        <v>smaragd</v>
      </c>
    </row>
    <row r="1157" spans="1:4" ht="12.75" customHeight="1" x14ac:dyDescent="0.2">
      <c r="A1157" s="21"/>
      <c r="B1157" s="2"/>
      <c r="C1157" s="2"/>
      <c r="D1157" s="2"/>
    </row>
    <row r="1158" spans="1:4" ht="12.75" customHeight="1" x14ac:dyDescent="0.2">
      <c r="A1158" s="21"/>
      <c r="B1158" s="2"/>
      <c r="C1158" s="2"/>
      <c r="D1158" s="2"/>
    </row>
    <row r="1159" spans="1:4" ht="12.75" customHeight="1" x14ac:dyDescent="0.2">
      <c r="A1159" s="21"/>
      <c r="B1159" s="2"/>
      <c r="C1159" s="2"/>
      <c r="D1159" s="2"/>
    </row>
    <row r="1160" spans="1:4" ht="12.75" customHeight="1" x14ac:dyDescent="0.2">
      <c r="A1160" s="21"/>
      <c r="B1160" s="2"/>
      <c r="C1160" s="2"/>
      <c r="D1160" s="2"/>
    </row>
    <row r="1161" spans="1:4" ht="12.75" customHeight="1" x14ac:dyDescent="0.2">
      <c r="A1161" s="5"/>
      <c r="B1161" s="2"/>
      <c r="C1161" s="2"/>
      <c r="D1161" s="2"/>
    </row>
    <row r="1162" spans="1:4" ht="12.75" customHeight="1" x14ac:dyDescent="0.2">
      <c r="A1162" s="22" t="str">
        <f>HYPERLINK("javascript:void(0)","gyémántpajzs")</f>
        <v>gyémántpajzs</v>
      </c>
      <c r="B1162" s="21"/>
      <c r="C1162" s="21"/>
      <c r="D1162" s="21"/>
    </row>
    <row r="1163" spans="1:4" ht="12.75" customHeight="1" x14ac:dyDescent="0.2">
      <c r="A1163" s="20"/>
      <c r="B1163" s="2"/>
      <c r="C1163" s="2"/>
      <c r="D1163" s="2"/>
    </row>
    <row r="1164" spans="1:4" ht="12.75" customHeight="1" x14ac:dyDescent="0.2">
      <c r="A1164" s="21"/>
      <c r="B1164" s="3" t="s">
        <v>0</v>
      </c>
      <c r="C1164" s="20" t="s">
        <v>159</v>
      </c>
      <c r="D1164" s="21"/>
    </row>
    <row r="1165" spans="1:4" ht="12.75" customHeight="1" x14ac:dyDescent="0.2">
      <c r="A1165" s="21"/>
      <c r="B1165" s="3" t="s">
        <v>2</v>
      </c>
      <c r="C1165" s="20" t="s">
        <v>1839</v>
      </c>
      <c r="D1165" s="21"/>
    </row>
    <row r="1166" spans="1:4" ht="12.75" customHeight="1" x14ac:dyDescent="0.2">
      <c r="A1166" s="21"/>
      <c r="B1166" s="3" t="s">
        <v>1840</v>
      </c>
      <c r="C1166" s="20" t="s">
        <v>159</v>
      </c>
      <c r="D1166" s="21"/>
    </row>
    <row r="1167" spans="1:4" ht="12.75" customHeight="1" x14ac:dyDescent="0.2">
      <c r="A1167" s="21"/>
      <c r="B1167" s="3" t="s">
        <v>9</v>
      </c>
      <c r="C1167" s="20" t="s">
        <v>36</v>
      </c>
      <c r="D1167" s="21"/>
    </row>
    <row r="1168" spans="1:4" ht="12.75" customHeight="1" x14ac:dyDescent="0.2">
      <c r="A1168" s="21"/>
      <c r="B1168" s="3" t="s">
        <v>11</v>
      </c>
      <c r="C1168" s="20" t="s">
        <v>1950</v>
      </c>
      <c r="D1168" s="21"/>
    </row>
    <row r="1169" spans="1:4" ht="12.75" customHeight="1" x14ac:dyDescent="0.2">
      <c r="A1169" s="21"/>
      <c r="B1169" s="3" t="s">
        <v>16</v>
      </c>
      <c r="C1169" s="20"/>
      <c r="D1169" s="21"/>
    </row>
    <row r="1170" spans="1:4" ht="12.75" customHeight="1" x14ac:dyDescent="0.2">
      <c r="A1170" s="21"/>
      <c r="B1170" s="3" t="s">
        <v>17</v>
      </c>
      <c r="C1170" s="20" t="s">
        <v>19</v>
      </c>
      <c r="D1170" s="21"/>
    </row>
    <row r="1171" spans="1:4" ht="12.75" customHeight="1" x14ac:dyDescent="0.2">
      <c r="A1171" s="21"/>
      <c r="B1171" s="20" t="s">
        <v>18</v>
      </c>
      <c r="C1171" s="4" t="s">
        <v>44</v>
      </c>
      <c r="D1171" s="6" t="str">
        <f>HYPERLINK("javascript:void(0)","aranypajzs")</f>
        <v>aranypajzs</v>
      </c>
    </row>
    <row r="1172" spans="1:4" ht="12.75" customHeight="1" x14ac:dyDescent="0.2">
      <c r="A1172" s="21"/>
      <c r="B1172" s="21"/>
      <c r="C1172" s="4" t="s">
        <v>56</v>
      </c>
      <c r="D1172" s="6" t="str">
        <f>HYPERLINK("javascript:void(0)","gyémánt")</f>
        <v>gyémánt</v>
      </c>
    </row>
    <row r="1173" spans="1:4" ht="12.75" customHeight="1" x14ac:dyDescent="0.2">
      <c r="A1173" s="21"/>
      <c r="B1173" s="21"/>
      <c r="C1173" s="4" t="s">
        <v>57</v>
      </c>
      <c r="D1173" s="6" t="str">
        <f>HYPERLINK("javascript:void(0)","gyöngy")</f>
        <v>gyöngy</v>
      </c>
    </row>
    <row r="1174" spans="1:4" ht="12.75" customHeight="1" x14ac:dyDescent="0.2">
      <c r="A1174" s="21"/>
      <c r="B1174" s="2"/>
      <c r="C1174" s="2"/>
      <c r="D1174" s="2"/>
    </row>
    <row r="1175" spans="1:4" ht="12.75" customHeight="1" x14ac:dyDescent="0.2">
      <c r="A1175" s="21"/>
      <c r="B1175" s="2"/>
      <c r="C1175" s="2"/>
      <c r="D1175" s="2"/>
    </row>
    <row r="1176" spans="1:4" ht="12.75" customHeight="1" x14ac:dyDescent="0.2">
      <c r="A1176" s="21"/>
      <c r="B1176" s="2"/>
      <c r="C1176" s="2"/>
      <c r="D1176" s="2"/>
    </row>
    <row r="1177" spans="1:4" ht="12.75" customHeight="1" x14ac:dyDescent="0.2">
      <c r="A1177" s="21"/>
      <c r="B1177" s="2"/>
      <c r="C1177" s="2"/>
      <c r="D1177" s="2"/>
    </row>
    <row r="1178" spans="1:4" ht="12.75" customHeight="1" x14ac:dyDescent="0.2">
      <c r="A1178" s="5"/>
      <c r="B1178" s="2"/>
      <c r="C1178" s="2"/>
      <c r="D1178" s="2"/>
    </row>
    <row r="1179" spans="1:4" ht="12.75" customHeight="1" x14ac:dyDescent="0.2">
      <c r="A1179" s="22" t="str">
        <f>HYPERLINK("javascript:void(0)","smaragd testpajzs")</f>
        <v>smaragd testpajzs</v>
      </c>
      <c r="B1179" s="21"/>
      <c r="C1179" s="21"/>
      <c r="D1179" s="21"/>
    </row>
    <row r="1180" spans="1:4" ht="12.75" customHeight="1" x14ac:dyDescent="0.2">
      <c r="A1180" s="20"/>
      <c r="B1180" s="2"/>
      <c r="C1180" s="2"/>
      <c r="D1180" s="2"/>
    </row>
    <row r="1181" spans="1:4" ht="12.75" customHeight="1" x14ac:dyDescent="0.2">
      <c r="A1181" s="21"/>
      <c r="B1181" s="3" t="s">
        <v>0</v>
      </c>
      <c r="C1181" s="20" t="s">
        <v>159</v>
      </c>
      <c r="D1181" s="21"/>
    </row>
    <row r="1182" spans="1:4" ht="12.75" customHeight="1" x14ac:dyDescent="0.2">
      <c r="A1182" s="21"/>
      <c r="B1182" s="3" t="s">
        <v>2</v>
      </c>
      <c r="C1182" s="20" t="s">
        <v>1839</v>
      </c>
      <c r="D1182" s="21"/>
    </row>
    <row r="1183" spans="1:4" ht="12.75" customHeight="1" x14ac:dyDescent="0.2">
      <c r="A1183" s="21"/>
      <c r="B1183" s="3" t="s">
        <v>1840</v>
      </c>
      <c r="C1183" s="20" t="s">
        <v>159</v>
      </c>
      <c r="D1183" s="21"/>
    </row>
    <row r="1184" spans="1:4" ht="12.75" customHeight="1" x14ac:dyDescent="0.2">
      <c r="A1184" s="21"/>
      <c r="B1184" s="3" t="s">
        <v>9</v>
      </c>
      <c r="C1184" s="20" t="s">
        <v>300</v>
      </c>
      <c r="D1184" s="21"/>
    </row>
    <row r="1185" spans="1:4" ht="12.75" customHeight="1" x14ac:dyDescent="0.2">
      <c r="A1185" s="21"/>
      <c r="B1185" s="3" t="s">
        <v>11</v>
      </c>
      <c r="C1185" s="20" t="s">
        <v>429</v>
      </c>
      <c r="D1185" s="21"/>
    </row>
    <row r="1186" spans="1:4" ht="12.75" customHeight="1" x14ac:dyDescent="0.2">
      <c r="A1186" s="21"/>
      <c r="B1186" s="3" t="s">
        <v>16</v>
      </c>
      <c r="C1186" s="20"/>
      <c r="D1186" s="21"/>
    </row>
    <row r="1187" spans="1:4" ht="12.75" customHeight="1" x14ac:dyDescent="0.2">
      <c r="A1187" s="21"/>
      <c r="B1187" s="3" t="s">
        <v>17</v>
      </c>
      <c r="C1187" s="20" t="s">
        <v>19</v>
      </c>
      <c r="D1187" s="21"/>
    </row>
    <row r="1188" spans="1:4" ht="12.75" customHeight="1" x14ac:dyDescent="0.2">
      <c r="A1188" s="21"/>
      <c r="B1188" s="20" t="s">
        <v>18</v>
      </c>
      <c r="C1188" s="4" t="s">
        <v>44</v>
      </c>
      <c r="D1188" s="6" t="str">
        <f>HYPERLINK("javascript:void(0)","rubin testpajzs")</f>
        <v>rubin testpajzs</v>
      </c>
    </row>
    <row r="1189" spans="1:4" ht="12.75" customHeight="1" x14ac:dyDescent="0.2">
      <c r="A1189" s="21"/>
      <c r="B1189" s="21"/>
      <c r="C1189" s="4" t="s">
        <v>77</v>
      </c>
      <c r="D1189" s="6" t="str">
        <f>HYPERLINK("javascript:void(0)","smaragd")</f>
        <v>smaragd</v>
      </c>
    </row>
    <row r="1190" spans="1:4" ht="12.75" customHeight="1" x14ac:dyDescent="0.2">
      <c r="A1190" s="21"/>
      <c r="B1190" s="21"/>
      <c r="C1190" s="4" t="s">
        <v>44</v>
      </c>
      <c r="D1190" s="6" t="str">
        <f>HYPERLINK("javascript:void(0)","diszprózium")</f>
        <v>diszprózium</v>
      </c>
    </row>
    <row r="1191" spans="1:4" ht="12.75" customHeight="1" x14ac:dyDescent="0.2">
      <c r="A1191" s="21"/>
      <c r="B1191" s="2"/>
      <c r="C1191" s="2"/>
      <c r="D1191" s="2"/>
    </row>
    <row r="1192" spans="1:4" ht="12.75" customHeight="1" x14ac:dyDescent="0.2">
      <c r="A1192" s="21"/>
      <c r="B1192" s="2"/>
      <c r="C1192" s="2"/>
      <c r="D1192" s="2"/>
    </row>
    <row r="1193" spans="1:4" ht="12.75" customHeight="1" x14ac:dyDescent="0.2">
      <c r="A1193" s="21"/>
      <c r="B1193" s="2"/>
      <c r="C1193" s="2"/>
      <c r="D1193" s="2"/>
    </row>
    <row r="1194" spans="1:4" ht="12.75" customHeight="1" x14ac:dyDescent="0.2">
      <c r="A1194" s="21"/>
      <c r="B1194" s="2"/>
      <c r="C1194" s="2"/>
      <c r="D1194" s="2"/>
    </row>
    <row r="1195" spans="1:4" ht="12.75" customHeight="1" x14ac:dyDescent="0.2">
      <c r="A1195" s="5"/>
      <c r="B1195" s="2"/>
      <c r="C1195" s="2"/>
      <c r="D1195" s="2"/>
    </row>
    <row r="1196" spans="1:4" ht="12.75" customHeight="1" x14ac:dyDescent="0.2">
      <c r="A1196" s="22" t="str">
        <f>HYPERLINK("javascript:void(0)","centropajzs")</f>
        <v>centropajzs</v>
      </c>
      <c r="B1196" s="21"/>
      <c r="C1196" s="21"/>
      <c r="D1196" s="21"/>
    </row>
    <row r="1197" spans="1:4" ht="12.75" customHeight="1" x14ac:dyDescent="0.2">
      <c r="A1197" s="20"/>
      <c r="B1197" s="2"/>
      <c r="C1197" s="2"/>
      <c r="D1197" s="2"/>
    </row>
    <row r="1198" spans="1:4" ht="12.75" customHeight="1" x14ac:dyDescent="0.2">
      <c r="A1198" s="21"/>
      <c r="B1198" s="3" t="s">
        <v>0</v>
      </c>
      <c r="C1198" s="20" t="s">
        <v>159</v>
      </c>
      <c r="D1198" s="21"/>
    </row>
    <row r="1199" spans="1:4" ht="12.75" customHeight="1" x14ac:dyDescent="0.2">
      <c r="A1199" s="21"/>
      <c r="B1199" s="3" t="s">
        <v>2</v>
      </c>
      <c r="C1199" s="20" t="s">
        <v>1839</v>
      </c>
      <c r="D1199" s="21"/>
    </row>
    <row r="1200" spans="1:4" ht="12.75" customHeight="1" x14ac:dyDescent="0.2">
      <c r="A1200" s="21"/>
      <c r="B1200" s="3" t="s">
        <v>1840</v>
      </c>
      <c r="C1200" s="20" t="s">
        <v>38</v>
      </c>
      <c r="D1200" s="21"/>
    </row>
    <row r="1201" spans="1:4" ht="12.75" customHeight="1" x14ac:dyDescent="0.2">
      <c r="A1201" s="21"/>
      <c r="B1201" s="3" t="s">
        <v>9</v>
      </c>
      <c r="C1201" s="20" t="s">
        <v>1953</v>
      </c>
      <c r="D1201" s="21"/>
    </row>
    <row r="1202" spans="1:4" ht="12.75" customHeight="1" x14ac:dyDescent="0.2">
      <c r="A1202" s="21"/>
      <c r="B1202" s="3" t="s">
        <v>11</v>
      </c>
      <c r="C1202" s="20" t="s">
        <v>1723</v>
      </c>
      <c r="D1202" s="21"/>
    </row>
    <row r="1203" spans="1:4" ht="12.75" customHeight="1" x14ac:dyDescent="0.2">
      <c r="A1203" s="21"/>
      <c r="B1203" s="3" t="s">
        <v>16</v>
      </c>
      <c r="C1203" s="20"/>
      <c r="D1203" s="21"/>
    </row>
    <row r="1204" spans="1:4" ht="12.75" customHeight="1" x14ac:dyDescent="0.2">
      <c r="A1204" s="21"/>
      <c r="B1204" s="3" t="s">
        <v>17</v>
      </c>
      <c r="C1204" s="20" t="s">
        <v>19</v>
      </c>
      <c r="D1204" s="21"/>
    </row>
    <row r="1205" spans="1:4" ht="12.75" customHeight="1" x14ac:dyDescent="0.2">
      <c r="A1205" s="21"/>
      <c r="B1205" s="20" t="s">
        <v>18</v>
      </c>
      <c r="C1205" s="4" t="s">
        <v>44</v>
      </c>
      <c r="D1205" s="6" t="str">
        <f>HYPERLINK("javascript:void(0)","kithpajzs")</f>
        <v>kithpajzs</v>
      </c>
    </row>
    <row r="1206" spans="1:4" ht="12.75" customHeight="1" x14ac:dyDescent="0.2">
      <c r="A1206" s="21"/>
      <c r="B1206" s="21"/>
      <c r="C1206" s="4" t="s">
        <v>57</v>
      </c>
      <c r="D1206" s="6" t="str">
        <f>HYPERLINK("javascript:void(0)","centrolium")</f>
        <v>centrolium</v>
      </c>
    </row>
    <row r="1207" spans="1:4" ht="12.75" customHeight="1" x14ac:dyDescent="0.2">
      <c r="A1207" s="21"/>
      <c r="B1207" s="21"/>
      <c r="C1207" s="4" t="s">
        <v>57</v>
      </c>
      <c r="D1207" s="6" t="str">
        <f>HYPERLINK("javascript:void(0)","gyémánt")</f>
        <v>gyémánt</v>
      </c>
    </row>
    <row r="1208" spans="1:4" ht="12.75" customHeight="1" x14ac:dyDescent="0.2">
      <c r="A1208" s="21"/>
      <c r="B1208" s="2"/>
      <c r="C1208" s="2"/>
      <c r="D1208" s="2"/>
    </row>
    <row r="1209" spans="1:4" ht="12.75" customHeight="1" x14ac:dyDescent="0.2">
      <c r="A1209" s="21"/>
      <c r="B1209" s="2"/>
      <c r="C1209" s="2"/>
      <c r="D1209" s="2"/>
    </row>
    <row r="1210" spans="1:4" ht="12.75" customHeight="1" x14ac:dyDescent="0.2">
      <c r="A1210" s="21"/>
      <c r="B1210" s="2"/>
      <c r="C1210" s="2"/>
      <c r="D1210" s="2"/>
    </row>
    <row r="1211" spans="1:4" ht="12.75" customHeight="1" x14ac:dyDescent="0.2">
      <c r="A1211" s="21"/>
      <c r="B1211" s="2"/>
      <c r="C1211" s="2"/>
      <c r="D1211" s="2"/>
    </row>
    <row r="1212" spans="1:4" ht="12.75" customHeight="1" x14ac:dyDescent="0.2">
      <c r="A1212" s="5"/>
      <c r="B1212" s="2"/>
      <c r="C1212" s="2"/>
      <c r="D1212" s="2"/>
    </row>
    <row r="1213" spans="1:4" ht="12.75" customHeight="1" x14ac:dyDescent="0.2">
      <c r="A1213" s="22" t="str">
        <f>HYPERLINK("javascript:void(0)","nagy manópajzs")</f>
        <v>nagy manópajzs</v>
      </c>
      <c r="B1213" s="21"/>
      <c r="C1213" s="21"/>
      <c r="D1213" s="21"/>
    </row>
    <row r="1214" spans="1:4" ht="12.75" customHeight="1" x14ac:dyDescent="0.2">
      <c r="A1214" s="20"/>
      <c r="B1214" s="2"/>
      <c r="C1214" s="2"/>
      <c r="D1214" s="2"/>
    </row>
    <row r="1215" spans="1:4" ht="12.75" customHeight="1" x14ac:dyDescent="0.2">
      <c r="A1215" s="21"/>
      <c r="B1215" s="3" t="s">
        <v>0</v>
      </c>
      <c r="C1215" s="20" t="s">
        <v>153</v>
      </c>
      <c r="D1215" s="21"/>
    </row>
    <row r="1216" spans="1:4" ht="12.75" customHeight="1" x14ac:dyDescent="0.2">
      <c r="A1216" s="21"/>
      <c r="B1216" s="3" t="s">
        <v>2</v>
      </c>
      <c r="C1216" s="20" t="s">
        <v>1839</v>
      </c>
      <c r="D1216" s="21"/>
    </row>
    <row r="1217" spans="1:4" ht="12.75" customHeight="1" x14ac:dyDescent="0.2">
      <c r="A1217" s="21"/>
      <c r="B1217" s="3" t="s">
        <v>1840</v>
      </c>
      <c r="C1217" s="20" t="s">
        <v>35</v>
      </c>
      <c r="D1217" s="21"/>
    </row>
    <row r="1218" spans="1:4" ht="12.75" customHeight="1" x14ac:dyDescent="0.2">
      <c r="A1218" s="21"/>
      <c r="B1218" s="3" t="s">
        <v>9</v>
      </c>
      <c r="C1218" s="20" t="s">
        <v>1617</v>
      </c>
      <c r="D1218" s="21"/>
    </row>
    <row r="1219" spans="1:4" ht="12.75" customHeight="1" x14ac:dyDescent="0.2">
      <c r="A1219" s="21"/>
      <c r="B1219" s="3" t="s">
        <v>11</v>
      </c>
      <c r="C1219" s="20" t="s">
        <v>177</v>
      </c>
      <c r="D1219" s="21"/>
    </row>
    <row r="1220" spans="1:4" ht="12.75" customHeight="1" x14ac:dyDescent="0.2">
      <c r="A1220" s="21"/>
      <c r="B1220" s="3" t="s">
        <v>16</v>
      </c>
      <c r="C1220" s="20"/>
      <c r="D1220" s="21"/>
    </row>
    <row r="1221" spans="1:4" ht="12.75" customHeight="1" x14ac:dyDescent="0.2">
      <c r="A1221" s="21"/>
      <c r="B1221" s="3" t="s">
        <v>17</v>
      </c>
      <c r="C1221" s="20" t="s">
        <v>19</v>
      </c>
      <c r="D1221" s="21"/>
    </row>
    <row r="1222" spans="1:4" ht="12.75" customHeight="1" x14ac:dyDescent="0.2">
      <c r="A1222" s="21"/>
      <c r="B1222" s="20" t="s">
        <v>18</v>
      </c>
      <c r="C1222" s="4" t="s">
        <v>44</v>
      </c>
      <c r="D1222" s="6" t="str">
        <f>HYPERLINK("javascript:void(0)","közepes manópajzs")</f>
        <v>közepes manópajzs</v>
      </c>
    </row>
    <row r="1223" spans="1:4" ht="12.75" customHeight="1" x14ac:dyDescent="0.2">
      <c r="A1223" s="21"/>
      <c r="B1223" s="21"/>
      <c r="C1223" s="4" t="s">
        <v>44</v>
      </c>
      <c r="D1223" s="6" t="str">
        <f>HYPERLINK("javascript:void(0)","arany testpajzs")</f>
        <v>arany testpajzs</v>
      </c>
    </row>
    <row r="1224" spans="1:4" ht="12.75" customHeight="1" x14ac:dyDescent="0.2">
      <c r="A1224" s="21"/>
      <c r="B1224" s="21"/>
      <c r="C1224" s="4" t="s">
        <v>57</v>
      </c>
      <c r="D1224" s="6" t="str">
        <f>HYPERLINK("javascript:void(0)","centrolium")</f>
        <v>centrolium</v>
      </c>
    </row>
    <row r="1225" spans="1:4" ht="12.75" customHeight="1" x14ac:dyDescent="0.2">
      <c r="A1225" s="21"/>
      <c r="B1225" s="2"/>
      <c r="C1225" s="2"/>
      <c r="D1225" s="2"/>
    </row>
    <row r="1226" spans="1:4" ht="12.75" customHeight="1" x14ac:dyDescent="0.2">
      <c r="A1226" s="21"/>
      <c r="B1226" s="2"/>
      <c r="C1226" s="2"/>
      <c r="D1226" s="2"/>
    </row>
    <row r="1227" spans="1:4" ht="12.75" customHeight="1" x14ac:dyDescent="0.2">
      <c r="A1227" s="21"/>
      <c r="B1227" s="2"/>
      <c r="C1227" s="2"/>
      <c r="D1227" s="2"/>
    </row>
    <row r="1228" spans="1:4" ht="12.75" customHeight="1" x14ac:dyDescent="0.2">
      <c r="A1228" s="21"/>
      <c r="B1228" s="2"/>
      <c r="C1228" s="2"/>
      <c r="D1228" s="2"/>
    </row>
    <row r="1229" spans="1:4" ht="12.75" customHeight="1" x14ac:dyDescent="0.2">
      <c r="A1229" s="5"/>
      <c r="B1229" s="2"/>
      <c r="C1229" s="2"/>
      <c r="D1229" s="2"/>
    </row>
    <row r="1230" spans="1:4" ht="12.75" customHeight="1" x14ac:dyDescent="0.2">
      <c r="A1230" s="22" t="str">
        <f>HYPERLINK("javascript:void(0)","dracoacél pajzs")</f>
        <v>dracoacél pajzs</v>
      </c>
      <c r="B1230" s="21"/>
      <c r="C1230" s="21"/>
      <c r="D1230" s="21"/>
    </row>
    <row r="1231" spans="1:4" ht="12.75" customHeight="1" x14ac:dyDescent="0.2">
      <c r="A1231" s="20"/>
      <c r="B1231" s="2"/>
      <c r="C1231" s="2"/>
      <c r="D1231" s="2"/>
    </row>
    <row r="1232" spans="1:4" ht="12.75" customHeight="1" x14ac:dyDescent="0.2">
      <c r="A1232" s="21"/>
      <c r="B1232" s="3" t="s">
        <v>0</v>
      </c>
      <c r="C1232" s="20" t="s">
        <v>153</v>
      </c>
      <c r="D1232" s="21"/>
    </row>
    <row r="1233" spans="1:4" ht="12.75" customHeight="1" x14ac:dyDescent="0.2">
      <c r="A1233" s="21"/>
      <c r="B1233" s="3" t="s">
        <v>2</v>
      </c>
      <c r="C1233" s="20" t="s">
        <v>1839</v>
      </c>
      <c r="D1233" s="21"/>
    </row>
    <row r="1234" spans="1:4" ht="12.75" customHeight="1" x14ac:dyDescent="0.2">
      <c r="A1234" s="21"/>
      <c r="B1234" s="3" t="s">
        <v>1840</v>
      </c>
      <c r="C1234" s="20" t="s">
        <v>153</v>
      </c>
      <c r="D1234" s="21"/>
    </row>
    <row r="1235" spans="1:4" ht="12.75" customHeight="1" x14ac:dyDescent="0.2">
      <c r="A1235" s="21"/>
      <c r="B1235" s="3" t="s">
        <v>9</v>
      </c>
      <c r="C1235" s="20" t="s">
        <v>1673</v>
      </c>
      <c r="D1235" s="21"/>
    </row>
    <row r="1236" spans="1:4" ht="12.75" customHeight="1" x14ac:dyDescent="0.2">
      <c r="A1236" s="21"/>
      <c r="B1236" s="3" t="s">
        <v>11</v>
      </c>
      <c r="C1236" s="20" t="s">
        <v>1955</v>
      </c>
      <c r="D1236" s="21"/>
    </row>
    <row r="1237" spans="1:4" ht="12.75" customHeight="1" x14ac:dyDescent="0.2">
      <c r="A1237" s="21"/>
      <c r="B1237" s="3" t="s">
        <v>16</v>
      </c>
      <c r="C1237" s="20"/>
      <c r="D1237" s="21"/>
    </row>
    <row r="1238" spans="1:4" ht="12.75" customHeight="1" x14ac:dyDescent="0.2">
      <c r="A1238" s="21"/>
      <c r="B1238" s="3" t="s">
        <v>17</v>
      </c>
      <c r="C1238" s="20" t="s">
        <v>19</v>
      </c>
      <c r="D1238" s="21"/>
    </row>
    <row r="1239" spans="1:4" ht="12.75" customHeight="1" x14ac:dyDescent="0.2">
      <c r="A1239" s="21"/>
      <c r="B1239" s="20" t="s">
        <v>18</v>
      </c>
      <c r="C1239" s="4" t="s">
        <v>44</v>
      </c>
      <c r="D1239" s="6" t="str">
        <f>HYPERLINK("javascript:void(0)","hidracél pajzs")</f>
        <v>hidracél pajzs</v>
      </c>
    </row>
    <row r="1240" spans="1:4" ht="12.75" customHeight="1" x14ac:dyDescent="0.2">
      <c r="A1240" s="21"/>
      <c r="B1240" s="21"/>
      <c r="C1240" s="4" t="s">
        <v>57</v>
      </c>
      <c r="D1240" s="6" t="str">
        <f>HYPERLINK("javascript:void(0)","sárkányfog")</f>
        <v>sárkányfog</v>
      </c>
    </row>
    <row r="1241" spans="1:4" ht="12.75" customHeight="1" x14ac:dyDescent="0.2">
      <c r="A1241" s="21"/>
      <c r="B1241" s="21"/>
      <c r="C1241" s="4" t="s">
        <v>102</v>
      </c>
      <c r="D1241" s="6" t="str">
        <f>HYPERLINK("javascript:void(0)","sárkánypikkely")</f>
        <v>sárkánypikkely</v>
      </c>
    </row>
    <row r="1242" spans="1:4" ht="12.75" customHeight="1" x14ac:dyDescent="0.2">
      <c r="A1242" s="21"/>
      <c r="B1242" s="2"/>
      <c r="C1242" s="2"/>
      <c r="D1242" s="2"/>
    </row>
    <row r="1243" spans="1:4" ht="12.75" customHeight="1" x14ac:dyDescent="0.2">
      <c r="A1243" s="21"/>
      <c r="B1243" s="2"/>
      <c r="C1243" s="2"/>
      <c r="D1243" s="2"/>
    </row>
    <row r="1244" spans="1:4" ht="12.75" customHeight="1" x14ac:dyDescent="0.2">
      <c r="A1244" s="21"/>
      <c r="B1244" s="2"/>
      <c r="C1244" s="2"/>
      <c r="D1244" s="2"/>
    </row>
    <row r="1245" spans="1:4" ht="12.75" customHeight="1" x14ac:dyDescent="0.2">
      <c r="A1245" s="21"/>
      <c r="B1245" s="2"/>
      <c r="C1245" s="2"/>
      <c r="D1245" s="2"/>
    </row>
    <row r="1246" spans="1:4" ht="12.75" customHeight="1" x14ac:dyDescent="0.2">
      <c r="A1246" s="5"/>
      <c r="B1246" s="2"/>
      <c r="C1246" s="2"/>
      <c r="D1246" s="2"/>
    </row>
    <row r="1247" spans="1:4" ht="12.75" customHeight="1" x14ac:dyDescent="0.2">
      <c r="A1247" s="22" t="str">
        <f>HYPERLINK("javascript:void(0)","centro testpajzs")</f>
        <v>centro testpajzs</v>
      </c>
      <c r="B1247" s="21"/>
      <c r="C1247" s="21"/>
      <c r="D1247" s="21"/>
    </row>
    <row r="1248" spans="1:4" ht="12.75" customHeight="1" x14ac:dyDescent="0.2">
      <c r="A1248" s="20"/>
      <c r="B1248" s="2"/>
      <c r="C1248" s="2"/>
      <c r="D1248" s="2"/>
    </row>
    <row r="1249" spans="1:4" ht="12.75" customHeight="1" x14ac:dyDescent="0.2">
      <c r="A1249" s="21"/>
      <c r="B1249" s="3" t="s">
        <v>0</v>
      </c>
      <c r="C1249" s="20" t="s">
        <v>153</v>
      </c>
      <c r="D1249" s="21"/>
    </row>
    <row r="1250" spans="1:4" ht="12.75" customHeight="1" x14ac:dyDescent="0.2">
      <c r="A1250" s="21"/>
      <c r="B1250" s="3" t="s">
        <v>2</v>
      </c>
      <c r="C1250" s="20" t="s">
        <v>1839</v>
      </c>
      <c r="D1250" s="21"/>
    </row>
    <row r="1251" spans="1:4" ht="12.75" customHeight="1" x14ac:dyDescent="0.2">
      <c r="A1251" s="21"/>
      <c r="B1251" s="3" t="s">
        <v>1840</v>
      </c>
      <c r="C1251" s="20" t="s">
        <v>206</v>
      </c>
      <c r="D1251" s="21"/>
    </row>
    <row r="1252" spans="1:4" ht="12.75" customHeight="1" x14ac:dyDescent="0.2">
      <c r="A1252" s="21"/>
      <c r="B1252" s="3" t="s">
        <v>9</v>
      </c>
      <c r="C1252" s="20" t="s">
        <v>250</v>
      </c>
      <c r="D1252" s="21"/>
    </row>
    <row r="1253" spans="1:4" ht="12.75" customHeight="1" x14ac:dyDescent="0.2">
      <c r="A1253" s="21"/>
      <c r="B1253" s="3" t="s">
        <v>11</v>
      </c>
      <c r="C1253" s="20" t="s">
        <v>1957</v>
      </c>
      <c r="D1253" s="21"/>
    </row>
    <row r="1254" spans="1:4" ht="12.75" customHeight="1" x14ac:dyDescent="0.2">
      <c r="A1254" s="21"/>
      <c r="B1254" s="3" t="s">
        <v>16</v>
      </c>
      <c r="C1254" s="20"/>
      <c r="D1254" s="21"/>
    </row>
    <row r="1255" spans="1:4" ht="12.75" customHeight="1" x14ac:dyDescent="0.2">
      <c r="A1255" s="21"/>
      <c r="B1255" s="3" t="s">
        <v>17</v>
      </c>
      <c r="C1255" s="20" t="s">
        <v>19</v>
      </c>
      <c r="D1255" s="21"/>
    </row>
    <row r="1256" spans="1:4" ht="12.75" customHeight="1" x14ac:dyDescent="0.2">
      <c r="A1256" s="21"/>
      <c r="B1256" s="20" t="s">
        <v>18</v>
      </c>
      <c r="C1256" s="4" t="s">
        <v>44</v>
      </c>
      <c r="D1256" s="6" t="str">
        <f>HYPERLINK("javascript:void(0)","kith testpajzs")</f>
        <v>kith testpajzs</v>
      </c>
    </row>
    <row r="1257" spans="1:4" ht="12.75" customHeight="1" x14ac:dyDescent="0.2">
      <c r="A1257" s="21"/>
      <c r="B1257" s="21"/>
      <c r="C1257" s="4" t="s">
        <v>55</v>
      </c>
      <c r="D1257" s="6" t="str">
        <f>HYPERLINK("javascript:void(0)","centrolium")</f>
        <v>centrolium</v>
      </c>
    </row>
    <row r="1258" spans="1:4" ht="12.75" customHeight="1" x14ac:dyDescent="0.2">
      <c r="A1258" s="21"/>
      <c r="B1258" s="21"/>
      <c r="C1258" s="4" t="s">
        <v>57</v>
      </c>
      <c r="D1258" s="6" t="str">
        <f>HYPERLINK("javascript:void(0)","gyémánt")</f>
        <v>gyémánt</v>
      </c>
    </row>
    <row r="1259" spans="1:4" ht="12.75" customHeight="1" x14ac:dyDescent="0.2">
      <c r="A1259" s="21"/>
      <c r="B1259" s="2"/>
      <c r="C1259" s="2"/>
      <c r="D1259" s="2"/>
    </row>
    <row r="1260" spans="1:4" ht="12.75" customHeight="1" x14ac:dyDescent="0.2">
      <c r="A1260" s="21"/>
      <c r="B1260" s="2"/>
      <c r="C1260" s="2"/>
      <c r="D1260" s="2"/>
    </row>
    <row r="1261" spans="1:4" ht="12.75" customHeight="1" x14ac:dyDescent="0.2">
      <c r="A1261" s="21"/>
      <c r="B1261" s="2"/>
      <c r="C1261" s="2"/>
      <c r="D1261" s="2"/>
    </row>
    <row r="1262" spans="1:4" ht="12.75" customHeight="1" x14ac:dyDescent="0.2">
      <c r="A1262" s="21"/>
      <c r="B1262" s="2"/>
      <c r="C1262" s="2"/>
      <c r="D1262" s="2"/>
    </row>
    <row r="1263" spans="1:4" ht="12.75" customHeight="1" x14ac:dyDescent="0.2">
      <c r="A1263" s="5"/>
      <c r="B1263" s="2"/>
      <c r="C1263" s="2"/>
      <c r="D1263" s="2"/>
    </row>
    <row r="1264" spans="1:4" ht="12.75" customHeight="1" x14ac:dyDescent="0.2">
      <c r="A1264" s="22" t="str">
        <f>HYPERLINK("javascript:void(0)","lávapajzs")</f>
        <v>lávapajzs</v>
      </c>
      <c r="B1264" s="21"/>
      <c r="C1264" s="21"/>
      <c r="D1264" s="21"/>
    </row>
    <row r="1265" spans="1:4" ht="12.75" customHeight="1" x14ac:dyDescent="0.2">
      <c r="A1265" s="20"/>
      <c r="B1265" s="2"/>
      <c r="C1265" s="2"/>
      <c r="D1265" s="2"/>
    </row>
    <row r="1266" spans="1:4" ht="12.75" customHeight="1" x14ac:dyDescent="0.2">
      <c r="A1266" s="21"/>
      <c r="B1266" s="3" t="s">
        <v>0</v>
      </c>
      <c r="C1266" s="20" t="s">
        <v>38</v>
      </c>
      <c r="D1266" s="21"/>
    </row>
    <row r="1267" spans="1:4" ht="12.75" customHeight="1" x14ac:dyDescent="0.2">
      <c r="A1267" s="21"/>
      <c r="B1267" s="3" t="s">
        <v>2</v>
      </c>
      <c r="C1267" s="20" t="s">
        <v>1839</v>
      </c>
      <c r="D1267" s="21"/>
    </row>
    <row r="1268" spans="1:4" ht="12.75" customHeight="1" x14ac:dyDescent="0.2">
      <c r="A1268" s="21"/>
      <c r="B1268" s="3" t="s">
        <v>1840</v>
      </c>
      <c r="C1268" s="20" t="s">
        <v>206</v>
      </c>
      <c r="D1268" s="21"/>
    </row>
    <row r="1269" spans="1:4" ht="12.75" customHeight="1" x14ac:dyDescent="0.2">
      <c r="A1269" s="21"/>
      <c r="B1269" s="3" t="s">
        <v>9</v>
      </c>
      <c r="C1269" s="20" t="s">
        <v>179</v>
      </c>
      <c r="D1269" s="21"/>
    </row>
    <row r="1270" spans="1:4" ht="12.75" customHeight="1" x14ac:dyDescent="0.2">
      <c r="A1270" s="21"/>
      <c r="B1270" s="3" t="s">
        <v>11</v>
      </c>
      <c r="C1270" s="20" t="s">
        <v>1958</v>
      </c>
      <c r="D1270" s="21"/>
    </row>
    <row r="1271" spans="1:4" ht="12.75" customHeight="1" x14ac:dyDescent="0.2">
      <c r="A1271" s="21"/>
      <c r="B1271" s="3" t="s">
        <v>16</v>
      </c>
      <c r="C1271" s="20"/>
      <c r="D1271" s="21"/>
    </row>
    <row r="1272" spans="1:4" ht="12.75" customHeight="1" x14ac:dyDescent="0.2">
      <c r="A1272" s="21"/>
      <c r="B1272" s="3" t="s">
        <v>17</v>
      </c>
      <c r="C1272" s="20" t="s">
        <v>19</v>
      </c>
      <c r="D1272" s="21"/>
    </row>
    <row r="1273" spans="1:4" ht="12.75" customHeight="1" x14ac:dyDescent="0.2">
      <c r="A1273" s="21"/>
      <c r="B1273" s="20" t="s">
        <v>18</v>
      </c>
      <c r="C1273" s="4" t="s">
        <v>44</v>
      </c>
      <c r="D1273" s="6" t="str">
        <f>HYPERLINK("javascript:void(0)","dracoacél pajzs")</f>
        <v>dracoacél pajzs</v>
      </c>
    </row>
    <row r="1274" spans="1:4" ht="12.75" customHeight="1" x14ac:dyDescent="0.2">
      <c r="A1274" s="21"/>
      <c r="B1274" s="21"/>
      <c r="C1274" s="4" t="s">
        <v>56</v>
      </c>
      <c r="D1274" s="6" t="str">
        <f>HYPERLINK("javascript:void(0)","gyémánt")</f>
        <v>gyémánt</v>
      </c>
    </row>
    <row r="1275" spans="1:4" ht="12.75" customHeight="1" x14ac:dyDescent="0.2">
      <c r="A1275" s="21"/>
      <c r="B1275" s="21"/>
      <c r="C1275" s="4" t="s">
        <v>193</v>
      </c>
      <c r="D1275" s="6" t="str">
        <f>HYPERLINK("javascript:void(0)","arany")</f>
        <v>arany</v>
      </c>
    </row>
    <row r="1276" spans="1:4" ht="12.75" customHeight="1" x14ac:dyDescent="0.2">
      <c r="A1276" s="21"/>
      <c r="B1276" s="2"/>
      <c r="C1276" s="2"/>
      <c r="D1276" s="2"/>
    </row>
    <row r="1277" spans="1:4" ht="12.75" customHeight="1" x14ac:dyDescent="0.2">
      <c r="A1277" s="21"/>
      <c r="B1277" s="2"/>
      <c r="C1277" s="2"/>
      <c r="D1277" s="2"/>
    </row>
    <row r="1278" spans="1:4" ht="12.75" customHeight="1" x14ac:dyDescent="0.2">
      <c r="A1278" s="21"/>
      <c r="B1278" s="2"/>
      <c r="C1278" s="2"/>
      <c r="D1278" s="2"/>
    </row>
    <row r="1279" spans="1:4" ht="12.75" customHeight="1" x14ac:dyDescent="0.2">
      <c r="A1279" s="21"/>
      <c r="B1279" s="2"/>
      <c r="C1279" s="2"/>
      <c r="D1279" s="2"/>
    </row>
    <row r="1280" spans="1:4" ht="12.75" customHeight="1" x14ac:dyDescent="0.2">
      <c r="A1280" s="5"/>
      <c r="B1280" s="2"/>
      <c r="C1280" s="2"/>
      <c r="D1280" s="2"/>
    </row>
    <row r="1281" spans="1:4" ht="12.75" customHeight="1" x14ac:dyDescent="0.2">
      <c r="A1281" s="22" t="str">
        <f>HYPERLINK("javascript:void(0)","óriásvér pajzs")</f>
        <v>óriásvér pajzs</v>
      </c>
      <c r="B1281" s="21"/>
      <c r="C1281" s="21"/>
      <c r="D1281" s="21"/>
    </row>
    <row r="1282" spans="1:4" ht="12.75" customHeight="1" x14ac:dyDescent="0.2">
      <c r="A1282" s="20"/>
      <c r="B1282" s="2"/>
      <c r="C1282" s="2"/>
      <c r="D1282" s="2"/>
    </row>
    <row r="1283" spans="1:4" ht="12.75" customHeight="1" x14ac:dyDescent="0.2">
      <c r="A1283" s="21"/>
      <c r="B1283" s="3" t="s">
        <v>0</v>
      </c>
      <c r="C1283" s="20" t="s">
        <v>38</v>
      </c>
      <c r="D1283" s="21"/>
    </row>
    <row r="1284" spans="1:4" ht="12.75" customHeight="1" x14ac:dyDescent="0.2">
      <c r="A1284" s="21"/>
      <c r="B1284" s="3" t="s">
        <v>2</v>
      </c>
      <c r="C1284" s="20" t="s">
        <v>1839</v>
      </c>
      <c r="D1284" s="21"/>
    </row>
    <row r="1285" spans="1:4" ht="12.75" customHeight="1" x14ac:dyDescent="0.2">
      <c r="A1285" s="21"/>
      <c r="B1285" s="3" t="s">
        <v>1840</v>
      </c>
      <c r="C1285" s="20" t="s">
        <v>221</v>
      </c>
      <c r="D1285" s="21"/>
    </row>
    <row r="1286" spans="1:4" ht="12.75" customHeight="1" x14ac:dyDescent="0.2">
      <c r="A1286" s="21"/>
      <c r="B1286" s="3" t="s">
        <v>9</v>
      </c>
      <c r="C1286" s="20" t="s">
        <v>569</v>
      </c>
      <c r="D1286" s="21"/>
    </row>
    <row r="1287" spans="1:4" ht="12.75" customHeight="1" x14ac:dyDescent="0.2">
      <c r="A1287" s="21"/>
      <c r="B1287" s="3" t="s">
        <v>11</v>
      </c>
      <c r="C1287" s="20" t="s">
        <v>685</v>
      </c>
      <c r="D1287" s="21"/>
    </row>
    <row r="1288" spans="1:4" ht="12.75" customHeight="1" x14ac:dyDescent="0.2">
      <c r="A1288" s="21"/>
      <c r="B1288" s="3" t="s">
        <v>16</v>
      </c>
      <c r="C1288" s="20"/>
      <c r="D1288" s="21"/>
    </row>
    <row r="1289" spans="1:4" ht="12.75" customHeight="1" x14ac:dyDescent="0.2">
      <c r="A1289" s="21"/>
      <c r="B1289" s="3" t="s">
        <v>17</v>
      </c>
      <c r="C1289" s="20" t="s">
        <v>19</v>
      </c>
      <c r="D1289" s="21"/>
    </row>
    <row r="1290" spans="1:4" ht="12.75" customHeight="1" x14ac:dyDescent="0.2">
      <c r="A1290" s="21"/>
      <c r="B1290" s="20" t="s">
        <v>18</v>
      </c>
      <c r="C1290" s="4" t="s">
        <v>44</v>
      </c>
      <c r="D1290" s="6" t="str">
        <f>HYPERLINK("javascript:void(0)","troll pajzs")</f>
        <v>troll pajzs</v>
      </c>
    </row>
    <row r="1291" spans="1:4" ht="12.75" customHeight="1" x14ac:dyDescent="0.2">
      <c r="A1291" s="21"/>
      <c r="B1291" s="21"/>
      <c r="C1291" s="4" t="s">
        <v>44</v>
      </c>
      <c r="D1291" s="6" t="str">
        <f>HYPERLINK("javascript:void(0)","nagy ork pajzs")</f>
        <v>nagy ork pajzs</v>
      </c>
    </row>
    <row r="1292" spans="1:4" ht="12.75" customHeight="1" x14ac:dyDescent="0.2">
      <c r="A1292" s="21"/>
      <c r="B1292" s="21"/>
      <c r="C1292" s="4" t="s">
        <v>44</v>
      </c>
      <c r="D1292" s="6" t="str">
        <f>HYPERLINK("javascript:void(0)","centrolium")</f>
        <v>centrolium</v>
      </c>
    </row>
    <row r="1293" spans="1:4" ht="12.75" customHeight="1" x14ac:dyDescent="0.2">
      <c r="A1293" s="21"/>
      <c r="B1293" s="2"/>
      <c r="C1293" s="2"/>
      <c r="D1293" s="2"/>
    </row>
    <row r="1294" spans="1:4" ht="12.75" customHeight="1" x14ac:dyDescent="0.2">
      <c r="A1294" s="21"/>
      <c r="B1294" s="2"/>
      <c r="C1294" s="2"/>
      <c r="D1294" s="2"/>
    </row>
    <row r="1295" spans="1:4" ht="12.75" customHeight="1" x14ac:dyDescent="0.2">
      <c r="A1295" s="21"/>
      <c r="B1295" s="2"/>
      <c r="C1295" s="2"/>
      <c r="D1295" s="2"/>
    </row>
    <row r="1296" spans="1:4" ht="12.75" customHeight="1" x14ac:dyDescent="0.2">
      <c r="A1296" s="21"/>
      <c r="B1296" s="2"/>
      <c r="C1296" s="2"/>
      <c r="D1296" s="2"/>
    </row>
    <row r="1297" spans="1:4" ht="12.75" customHeight="1" x14ac:dyDescent="0.2">
      <c r="A1297" s="5"/>
      <c r="B1297" s="2"/>
      <c r="C1297" s="2"/>
      <c r="D1297" s="2"/>
    </row>
    <row r="1298" spans="1:4" ht="12.75" customHeight="1" x14ac:dyDescent="0.2">
      <c r="A1298" s="22" t="str">
        <f>HYPERLINK("javascript:void(0)","elementáltestpajzs")</f>
        <v>elementáltestpajzs</v>
      </c>
      <c r="B1298" s="21"/>
      <c r="C1298" s="21"/>
      <c r="D1298" s="21"/>
    </row>
    <row r="1299" spans="1:4" ht="12.75" customHeight="1" x14ac:dyDescent="0.2">
      <c r="A1299" s="20"/>
      <c r="B1299" s="2"/>
      <c r="C1299" s="2"/>
      <c r="D1299" s="2"/>
    </row>
    <row r="1300" spans="1:4" ht="12.75" customHeight="1" x14ac:dyDescent="0.2">
      <c r="A1300" s="21"/>
      <c r="B1300" s="3" t="s">
        <v>0</v>
      </c>
      <c r="C1300" s="20" t="s">
        <v>38</v>
      </c>
      <c r="D1300" s="21"/>
    </row>
    <row r="1301" spans="1:4" ht="12.75" customHeight="1" x14ac:dyDescent="0.2">
      <c r="A1301" s="21"/>
      <c r="B1301" s="3" t="s">
        <v>2</v>
      </c>
      <c r="C1301" s="20" t="s">
        <v>1839</v>
      </c>
      <c r="D1301" s="21"/>
    </row>
    <row r="1302" spans="1:4" ht="12.75" customHeight="1" x14ac:dyDescent="0.2">
      <c r="A1302" s="21"/>
      <c r="B1302" s="3" t="s">
        <v>1840</v>
      </c>
      <c r="C1302" s="20" t="s">
        <v>206</v>
      </c>
      <c r="D1302" s="21"/>
    </row>
    <row r="1303" spans="1:4" ht="12.75" customHeight="1" x14ac:dyDescent="0.2">
      <c r="A1303" s="21"/>
      <c r="B1303" s="3" t="s">
        <v>9</v>
      </c>
      <c r="C1303" s="20" t="s">
        <v>262</v>
      </c>
      <c r="D1303" s="21"/>
    </row>
    <row r="1304" spans="1:4" ht="12.75" customHeight="1" x14ac:dyDescent="0.2">
      <c r="A1304" s="21"/>
      <c r="B1304" s="3" t="s">
        <v>11</v>
      </c>
      <c r="C1304" s="20" t="s">
        <v>1961</v>
      </c>
      <c r="D1304" s="21"/>
    </row>
    <row r="1305" spans="1:4" ht="12.75" customHeight="1" x14ac:dyDescent="0.2">
      <c r="A1305" s="21"/>
      <c r="B1305" s="3" t="s">
        <v>16</v>
      </c>
      <c r="C1305" s="20"/>
      <c r="D1305" s="21"/>
    </row>
    <row r="1306" spans="1:4" ht="12.75" customHeight="1" x14ac:dyDescent="0.2">
      <c r="A1306" s="21"/>
      <c r="B1306" s="3" t="s">
        <v>17</v>
      </c>
      <c r="C1306" s="20" t="s">
        <v>19</v>
      </c>
      <c r="D1306" s="21"/>
    </row>
    <row r="1307" spans="1:4" ht="12.75" customHeight="1" x14ac:dyDescent="0.2">
      <c r="A1307" s="21"/>
      <c r="B1307" s="20" t="s">
        <v>18</v>
      </c>
      <c r="C1307" s="4" t="s">
        <v>44</v>
      </c>
      <c r="D1307" s="6" t="str">
        <f>HYPERLINK("javascript:void(0)","elementálpajzs")</f>
        <v>elementálpajzs</v>
      </c>
    </row>
    <row r="1308" spans="1:4" ht="12.75" customHeight="1" x14ac:dyDescent="0.2">
      <c r="A1308" s="21"/>
      <c r="B1308" s="21"/>
      <c r="C1308" s="4" t="s">
        <v>98</v>
      </c>
      <c r="D1308" s="6" t="str">
        <f>HYPERLINK("javascript:void(0)","vasérc")</f>
        <v>vasérc</v>
      </c>
    </row>
    <row r="1309" spans="1:4" ht="12.75" customHeight="1" x14ac:dyDescent="0.2">
      <c r="A1309" s="21"/>
      <c r="B1309" s="21"/>
      <c r="C1309" s="4" t="s">
        <v>98</v>
      </c>
      <c r="D1309" s="6" t="str">
        <f>HYPERLINK("javascript:void(0)","elementál eszencia")</f>
        <v>elementál eszencia</v>
      </c>
    </row>
    <row r="1310" spans="1:4" ht="12.75" customHeight="1" x14ac:dyDescent="0.2">
      <c r="A1310" s="21"/>
      <c r="B1310" s="2"/>
      <c r="C1310" s="2"/>
      <c r="D1310" s="2"/>
    </row>
    <row r="1311" spans="1:4" ht="12.75" customHeight="1" x14ac:dyDescent="0.2">
      <c r="A1311" s="21"/>
      <c r="B1311" s="2"/>
      <c r="C1311" s="2"/>
      <c r="D1311" s="2"/>
    </row>
    <row r="1312" spans="1:4" ht="12.75" customHeight="1" x14ac:dyDescent="0.2">
      <c r="A1312" s="21"/>
      <c r="B1312" s="2"/>
      <c r="C1312" s="2"/>
      <c r="D1312" s="2"/>
    </row>
    <row r="1313" spans="1:4" ht="12.75" customHeight="1" x14ac:dyDescent="0.2">
      <c r="A1313" s="21"/>
      <c r="B1313" s="2"/>
      <c r="C1313" s="2"/>
      <c r="D1313" s="2"/>
    </row>
    <row r="1314" spans="1:4" ht="12.75" customHeight="1" x14ac:dyDescent="0.2">
      <c r="A1314" s="5"/>
      <c r="B1314" s="2"/>
      <c r="C1314" s="2"/>
      <c r="D1314" s="2"/>
    </row>
    <row r="1315" spans="1:4" ht="12.75" customHeight="1" x14ac:dyDescent="0.2">
      <c r="A1315" s="22" t="str">
        <f>HYPERLINK("javascript:void(0)","óriás pillepajzs")</f>
        <v>óriás pillepajzs</v>
      </c>
      <c r="B1315" s="21"/>
      <c r="C1315" s="21"/>
      <c r="D1315" s="21"/>
    </row>
    <row r="1316" spans="1:4" ht="12.75" customHeight="1" x14ac:dyDescent="0.2">
      <c r="A1316" s="20"/>
      <c r="B1316" s="2"/>
      <c r="C1316" s="2"/>
      <c r="D1316" s="2"/>
    </row>
    <row r="1317" spans="1:4" ht="12.75" customHeight="1" x14ac:dyDescent="0.2">
      <c r="A1317" s="21"/>
      <c r="B1317" s="3" t="s">
        <v>0</v>
      </c>
      <c r="C1317" s="20" t="s">
        <v>206</v>
      </c>
      <c r="D1317" s="21"/>
    </row>
    <row r="1318" spans="1:4" ht="12.75" customHeight="1" x14ac:dyDescent="0.2">
      <c r="A1318" s="21"/>
      <c r="B1318" s="3" t="s">
        <v>2</v>
      </c>
      <c r="C1318" s="20" t="s">
        <v>1839</v>
      </c>
      <c r="D1318" s="21"/>
    </row>
    <row r="1319" spans="1:4" ht="12.75" customHeight="1" x14ac:dyDescent="0.2">
      <c r="A1319" s="21"/>
      <c r="B1319" s="3" t="s">
        <v>1840</v>
      </c>
      <c r="C1319" s="20" t="s">
        <v>260</v>
      </c>
      <c r="D1319" s="21"/>
    </row>
    <row r="1320" spans="1:4" ht="12.75" customHeight="1" x14ac:dyDescent="0.2">
      <c r="A1320" s="21"/>
      <c r="B1320" s="3" t="s">
        <v>9</v>
      </c>
      <c r="C1320" s="20" t="s">
        <v>53</v>
      </c>
      <c r="D1320" s="21"/>
    </row>
    <row r="1321" spans="1:4" ht="12.75" customHeight="1" x14ac:dyDescent="0.2">
      <c r="A1321" s="21"/>
      <c r="B1321" s="3" t="s">
        <v>11</v>
      </c>
      <c r="C1321" s="20" t="s">
        <v>1962</v>
      </c>
      <c r="D1321" s="21"/>
    </row>
    <row r="1322" spans="1:4" ht="12.75" customHeight="1" x14ac:dyDescent="0.2">
      <c r="A1322" s="21"/>
      <c r="B1322" s="3" t="s">
        <v>16</v>
      </c>
      <c r="C1322" s="20"/>
      <c r="D1322" s="21"/>
    </row>
    <row r="1323" spans="1:4" ht="12.75" customHeight="1" x14ac:dyDescent="0.2">
      <c r="A1323" s="21"/>
      <c r="B1323" s="3" t="s">
        <v>17</v>
      </c>
      <c r="C1323" s="20" t="s">
        <v>19</v>
      </c>
      <c r="D1323" s="21"/>
    </row>
    <row r="1324" spans="1:4" ht="12.75" customHeight="1" x14ac:dyDescent="0.2">
      <c r="A1324" s="21"/>
      <c r="B1324" s="20" t="s">
        <v>18</v>
      </c>
      <c r="C1324" s="4" t="s">
        <v>309</v>
      </c>
      <c r="D1324" s="6" t="str">
        <f>HYPERLINK("javascript:void(0)","lepkeszárny")</f>
        <v>lepkeszárny</v>
      </c>
    </row>
    <row r="1325" spans="1:4" ht="12.75" customHeight="1" x14ac:dyDescent="0.2">
      <c r="A1325" s="21"/>
      <c r="B1325" s="21"/>
      <c r="C1325" s="4" t="s">
        <v>44</v>
      </c>
      <c r="D1325" s="6" t="str">
        <f>HYPERLINK("javascript:void(0)","nagy pillepajzs")</f>
        <v>nagy pillepajzs</v>
      </c>
    </row>
    <row r="1326" spans="1:4" ht="12.75" customHeight="1" x14ac:dyDescent="0.2">
      <c r="A1326" s="21"/>
      <c r="B1326" s="21"/>
      <c r="C1326" s="4" t="s">
        <v>56</v>
      </c>
      <c r="D1326" s="6" t="str">
        <f>HYPERLINK("javascript:void(0)","diszprózium")</f>
        <v>diszprózium</v>
      </c>
    </row>
    <row r="1327" spans="1:4" ht="12.75" customHeight="1" x14ac:dyDescent="0.2">
      <c r="A1327" s="21"/>
      <c r="B1327" s="2"/>
      <c r="C1327" s="2"/>
      <c r="D1327" s="2"/>
    </row>
    <row r="1328" spans="1:4" ht="12.75" customHeight="1" x14ac:dyDescent="0.2">
      <c r="A1328" s="21"/>
      <c r="B1328" s="2"/>
      <c r="C1328" s="2"/>
      <c r="D1328" s="2"/>
    </row>
    <row r="1329" spans="1:4" ht="12.75" customHeight="1" x14ac:dyDescent="0.2">
      <c r="A1329" s="21"/>
      <c r="B1329" s="2"/>
      <c r="C1329" s="2"/>
      <c r="D1329" s="2"/>
    </row>
    <row r="1330" spans="1:4" ht="12.75" customHeight="1" x14ac:dyDescent="0.2">
      <c r="A1330" s="21"/>
      <c r="B1330" s="2"/>
      <c r="C1330" s="2"/>
      <c r="D1330" s="2"/>
    </row>
    <row r="1331" spans="1:4" ht="12.75" customHeight="1" x14ac:dyDescent="0.2">
      <c r="A1331" s="5"/>
      <c r="B1331" s="2"/>
      <c r="C1331" s="2"/>
      <c r="D1331" s="2"/>
    </row>
    <row r="1332" spans="1:4" ht="12.75" customHeight="1" x14ac:dyDescent="0.2">
      <c r="A1332" s="22" t="str">
        <f>HYPERLINK("javascript:void(0)","csillámgöb")</f>
        <v>csillámgöb</v>
      </c>
      <c r="B1332" s="21"/>
      <c r="C1332" s="21"/>
      <c r="D1332" s="21"/>
    </row>
    <row r="1333" spans="1:4" ht="12.75" customHeight="1" x14ac:dyDescent="0.2">
      <c r="A1333" s="20"/>
      <c r="B1333" s="2"/>
      <c r="C1333" s="2"/>
      <c r="D1333" s="2"/>
    </row>
    <row r="1334" spans="1:4" ht="12.75" customHeight="1" x14ac:dyDescent="0.2">
      <c r="A1334" s="21"/>
      <c r="B1334" s="3" t="s">
        <v>0</v>
      </c>
      <c r="C1334" s="20" t="s">
        <v>206</v>
      </c>
      <c r="D1334" s="21"/>
    </row>
    <row r="1335" spans="1:4" ht="12.75" customHeight="1" x14ac:dyDescent="0.2">
      <c r="A1335" s="21"/>
      <c r="B1335" s="3" t="s">
        <v>2</v>
      </c>
      <c r="C1335" s="20" t="s">
        <v>1839</v>
      </c>
      <c r="D1335" s="21"/>
    </row>
    <row r="1336" spans="1:4" ht="12.75" customHeight="1" x14ac:dyDescent="0.2">
      <c r="A1336" s="21"/>
      <c r="B1336" s="3" t="s">
        <v>1840</v>
      </c>
      <c r="C1336" s="20" t="s">
        <v>21</v>
      </c>
      <c r="D1336" s="21"/>
    </row>
    <row r="1337" spans="1:4" ht="12.75" customHeight="1" x14ac:dyDescent="0.2">
      <c r="A1337" s="21"/>
      <c r="B1337" s="3" t="s">
        <v>9</v>
      </c>
      <c r="C1337" s="20" t="s">
        <v>582</v>
      </c>
      <c r="D1337" s="21"/>
    </row>
    <row r="1338" spans="1:4" ht="12.75" customHeight="1" x14ac:dyDescent="0.2">
      <c r="A1338" s="21"/>
      <c r="B1338" s="3" t="s">
        <v>11</v>
      </c>
      <c r="C1338" s="20" t="s">
        <v>138</v>
      </c>
      <c r="D1338" s="21"/>
    </row>
    <row r="1339" spans="1:4" ht="12.75" customHeight="1" x14ac:dyDescent="0.2">
      <c r="A1339" s="21"/>
      <c r="B1339" s="3" t="s">
        <v>16</v>
      </c>
      <c r="C1339" s="20"/>
      <c r="D1339" s="21"/>
    </row>
    <row r="1340" spans="1:4" ht="12.75" customHeight="1" x14ac:dyDescent="0.2">
      <c r="A1340" s="21"/>
      <c r="B1340" s="3" t="s">
        <v>17</v>
      </c>
      <c r="C1340" s="20" t="s">
        <v>19</v>
      </c>
      <c r="D1340" s="21"/>
    </row>
    <row r="1341" spans="1:4" ht="12.75" customHeight="1" x14ac:dyDescent="0.2">
      <c r="A1341" s="21"/>
      <c r="B1341" s="20" t="s">
        <v>18</v>
      </c>
      <c r="C1341" s="4" t="s">
        <v>163</v>
      </c>
      <c r="D1341" s="6" t="str">
        <f>HYPERLINK("javascript:void(0)","harmatcsepp")</f>
        <v>harmatcsepp</v>
      </c>
    </row>
    <row r="1342" spans="1:4" ht="12.75" customHeight="1" x14ac:dyDescent="0.2">
      <c r="A1342" s="21"/>
      <c r="B1342" s="21"/>
      <c r="C1342" s="4" t="s">
        <v>139</v>
      </c>
      <c r="D1342" s="6" t="str">
        <f>HYPERLINK("javascript:void(0)","hínárgyöngy")</f>
        <v>hínárgyöngy</v>
      </c>
    </row>
    <row r="1343" spans="1:4" ht="12.75" customHeight="1" x14ac:dyDescent="0.2">
      <c r="A1343" s="21"/>
      <c r="B1343" s="21"/>
      <c r="C1343" s="4" t="s">
        <v>130</v>
      </c>
      <c r="D1343" s="6" t="str">
        <f>HYPERLINK("javascript:void(0)","gyémántszeg")</f>
        <v>gyémántszeg</v>
      </c>
    </row>
    <row r="1344" spans="1:4" ht="12.75" customHeight="1" x14ac:dyDescent="0.2">
      <c r="A1344" s="21"/>
      <c r="B1344" s="2"/>
      <c r="C1344" s="2"/>
      <c r="D1344" s="2"/>
    </row>
    <row r="1345" spans="1:4" ht="12.75" customHeight="1" x14ac:dyDescent="0.2">
      <c r="A1345" s="21"/>
      <c r="B1345" s="2"/>
      <c r="C1345" s="2"/>
      <c r="D1345" s="2"/>
    </row>
    <row r="1346" spans="1:4" ht="12.75" customHeight="1" x14ac:dyDescent="0.2">
      <c r="A1346" s="21"/>
      <c r="B1346" s="2"/>
      <c r="C1346" s="2"/>
      <c r="D1346" s="2"/>
    </row>
    <row r="1347" spans="1:4" ht="12.75" customHeight="1" x14ac:dyDescent="0.2">
      <c r="A1347" s="21"/>
      <c r="B1347" s="2"/>
      <c r="C1347" s="2"/>
      <c r="D1347" s="2"/>
    </row>
    <row r="1348" spans="1:4" ht="12.75" customHeight="1" x14ac:dyDescent="0.2">
      <c r="A1348" s="5"/>
      <c r="B1348" s="2"/>
      <c r="C1348" s="2"/>
      <c r="D1348" s="2"/>
    </row>
    <row r="1349" spans="1:4" ht="12.75" customHeight="1" x14ac:dyDescent="0.2">
      <c r="A1349" s="22" t="str">
        <f>HYPERLINK("javascript:void(0)","holdpajzs")</f>
        <v>holdpajzs</v>
      </c>
      <c r="B1349" s="21"/>
      <c r="C1349" s="21"/>
      <c r="D1349" s="21"/>
    </row>
    <row r="1350" spans="1:4" ht="12.75" customHeight="1" x14ac:dyDescent="0.2">
      <c r="A1350" s="20"/>
      <c r="B1350" s="2"/>
      <c r="C1350" s="2"/>
      <c r="D1350" s="2"/>
    </row>
    <row r="1351" spans="1:4" ht="12.75" customHeight="1" x14ac:dyDescent="0.2">
      <c r="A1351" s="21"/>
      <c r="B1351" s="3" t="s">
        <v>0</v>
      </c>
      <c r="C1351" s="20" t="s">
        <v>221</v>
      </c>
      <c r="D1351" s="21"/>
    </row>
    <row r="1352" spans="1:4" ht="12.75" customHeight="1" x14ac:dyDescent="0.2">
      <c r="A1352" s="21"/>
      <c r="B1352" s="3" t="s">
        <v>2</v>
      </c>
      <c r="C1352" s="20" t="s">
        <v>1839</v>
      </c>
      <c r="D1352" s="21"/>
    </row>
    <row r="1353" spans="1:4" ht="12.75" customHeight="1" x14ac:dyDescent="0.2">
      <c r="A1353" s="21"/>
      <c r="B1353" s="3" t="s">
        <v>1840</v>
      </c>
      <c r="C1353" s="20" t="s">
        <v>291</v>
      </c>
      <c r="D1353" s="21"/>
    </row>
    <row r="1354" spans="1:4" ht="12.75" customHeight="1" x14ac:dyDescent="0.2">
      <c r="A1354" s="21"/>
      <c r="B1354" s="3" t="s">
        <v>9</v>
      </c>
      <c r="C1354" s="20" t="s">
        <v>129</v>
      </c>
      <c r="D1354" s="21"/>
    </row>
    <row r="1355" spans="1:4" ht="12.75" customHeight="1" x14ac:dyDescent="0.2">
      <c r="A1355" s="21"/>
      <c r="B1355" s="3" t="s">
        <v>11</v>
      </c>
      <c r="C1355" s="20" t="s">
        <v>1964</v>
      </c>
      <c r="D1355" s="21"/>
    </row>
    <row r="1356" spans="1:4" ht="12.75" customHeight="1" x14ac:dyDescent="0.2">
      <c r="A1356" s="21"/>
      <c r="B1356" s="3" t="s">
        <v>16</v>
      </c>
      <c r="C1356" s="20"/>
      <c r="D1356" s="21"/>
    </row>
    <row r="1357" spans="1:4" ht="12.75" customHeight="1" x14ac:dyDescent="0.2">
      <c r="A1357" s="21"/>
      <c r="B1357" s="3" t="s">
        <v>17</v>
      </c>
      <c r="C1357" s="20" t="s">
        <v>19</v>
      </c>
      <c r="D1357" s="21"/>
    </row>
    <row r="1358" spans="1:4" ht="12.75" customHeight="1" x14ac:dyDescent="0.2">
      <c r="A1358" s="21"/>
      <c r="B1358" s="20" t="s">
        <v>18</v>
      </c>
      <c r="C1358" s="4" t="s">
        <v>44</v>
      </c>
      <c r="D1358" s="6" t="str">
        <f>HYPERLINK("javascript:void(0)","csillagpajzs")</f>
        <v>csillagpajzs</v>
      </c>
    </row>
    <row r="1359" spans="1:4" ht="12.75" customHeight="1" x14ac:dyDescent="0.2">
      <c r="A1359" s="21"/>
      <c r="B1359" s="21"/>
      <c r="C1359" s="4" t="s">
        <v>55</v>
      </c>
      <c r="D1359" s="6" t="str">
        <f>HYPERLINK("javascript:void(0)","gyémánt")</f>
        <v>gyémánt</v>
      </c>
    </row>
    <row r="1360" spans="1:4" ht="12.75" customHeight="1" x14ac:dyDescent="0.2">
      <c r="A1360" s="21"/>
      <c r="B1360" s="21"/>
      <c r="C1360" s="4" t="s">
        <v>56</v>
      </c>
      <c r="D1360" s="6" t="str">
        <f>HYPERLINK("javascript:void(0)","kithrill")</f>
        <v>kithrill</v>
      </c>
    </row>
    <row r="1361" spans="1:4" ht="12.75" customHeight="1" x14ac:dyDescent="0.2">
      <c r="A1361" s="21"/>
      <c r="B1361" s="2"/>
      <c r="C1361" s="2"/>
      <c r="D1361" s="2"/>
    </row>
    <row r="1362" spans="1:4" ht="12.75" customHeight="1" x14ac:dyDescent="0.2">
      <c r="A1362" s="21"/>
      <c r="B1362" s="2"/>
      <c r="C1362" s="2"/>
      <c r="D1362" s="2"/>
    </row>
    <row r="1363" spans="1:4" ht="12.75" customHeight="1" x14ac:dyDescent="0.2">
      <c r="A1363" s="21"/>
      <c r="B1363" s="2"/>
      <c r="C1363" s="2"/>
      <c r="D1363" s="2"/>
    </row>
    <row r="1364" spans="1:4" ht="12.75" customHeight="1" x14ac:dyDescent="0.2">
      <c r="A1364" s="21"/>
      <c r="B1364" s="2"/>
      <c r="C1364" s="2"/>
      <c r="D1364" s="2"/>
    </row>
    <row r="1365" spans="1:4" ht="12.75" customHeight="1" x14ac:dyDescent="0.2">
      <c r="A1365" s="5"/>
      <c r="B1365" s="2"/>
      <c r="C1365" s="2"/>
      <c r="D1365" s="2"/>
    </row>
    <row r="1366" spans="1:4" ht="12.75" customHeight="1" x14ac:dyDescent="0.2">
      <c r="A1366" s="22" t="str">
        <f>HYPERLINK("javascript:void(0)","gyémánt testpajzs")</f>
        <v>gyémánt testpajzs</v>
      </c>
      <c r="B1366" s="21"/>
      <c r="C1366" s="21"/>
      <c r="D1366" s="21"/>
    </row>
    <row r="1367" spans="1:4" ht="12.75" customHeight="1" x14ac:dyDescent="0.2">
      <c r="A1367" s="20"/>
      <c r="B1367" s="2"/>
      <c r="C1367" s="2"/>
      <c r="D1367" s="2"/>
    </row>
    <row r="1368" spans="1:4" ht="12.75" customHeight="1" x14ac:dyDescent="0.2">
      <c r="A1368" s="21"/>
      <c r="B1368" s="3" t="s">
        <v>0</v>
      </c>
      <c r="C1368" s="20" t="s">
        <v>221</v>
      </c>
      <c r="D1368" s="21"/>
    </row>
    <row r="1369" spans="1:4" ht="12.75" customHeight="1" x14ac:dyDescent="0.2">
      <c r="A1369" s="21"/>
      <c r="B1369" s="3" t="s">
        <v>2</v>
      </c>
      <c r="C1369" s="20" t="s">
        <v>1839</v>
      </c>
      <c r="D1369" s="21"/>
    </row>
    <row r="1370" spans="1:4" ht="12.75" customHeight="1" x14ac:dyDescent="0.2">
      <c r="A1370" s="21"/>
      <c r="B1370" s="3" t="s">
        <v>1840</v>
      </c>
      <c r="C1370" s="20" t="s">
        <v>298</v>
      </c>
      <c r="D1370" s="21"/>
    </row>
    <row r="1371" spans="1:4" ht="12.75" customHeight="1" x14ac:dyDescent="0.2">
      <c r="A1371" s="21"/>
      <c r="B1371" s="3" t="s">
        <v>9</v>
      </c>
      <c r="C1371" s="20" t="s">
        <v>549</v>
      </c>
      <c r="D1371" s="21"/>
    </row>
    <row r="1372" spans="1:4" ht="12.75" customHeight="1" x14ac:dyDescent="0.2">
      <c r="A1372" s="21"/>
      <c r="B1372" s="3" t="s">
        <v>11</v>
      </c>
      <c r="C1372" s="20" t="s">
        <v>1967</v>
      </c>
      <c r="D1372" s="21"/>
    </row>
    <row r="1373" spans="1:4" ht="12.75" customHeight="1" x14ac:dyDescent="0.2">
      <c r="A1373" s="21"/>
      <c r="B1373" s="3" t="s">
        <v>16</v>
      </c>
      <c r="C1373" s="20"/>
      <c r="D1373" s="21"/>
    </row>
    <row r="1374" spans="1:4" ht="12.75" customHeight="1" x14ac:dyDescent="0.2">
      <c r="A1374" s="21"/>
      <c r="B1374" s="3" t="s">
        <v>17</v>
      </c>
      <c r="C1374" s="20" t="s">
        <v>19</v>
      </c>
      <c r="D1374" s="21"/>
    </row>
    <row r="1375" spans="1:4" ht="12.75" customHeight="1" x14ac:dyDescent="0.2">
      <c r="A1375" s="21"/>
      <c r="B1375" s="20" t="s">
        <v>18</v>
      </c>
      <c r="C1375" s="4" t="s">
        <v>44</v>
      </c>
      <c r="D1375" s="6" t="str">
        <f>HYPERLINK("javascript:void(0)","smaragd testpajzs")</f>
        <v>smaragd testpajzs</v>
      </c>
    </row>
    <row r="1376" spans="1:4" ht="12.75" customHeight="1" x14ac:dyDescent="0.2">
      <c r="A1376" s="21"/>
      <c r="B1376" s="21"/>
      <c r="C1376" s="4" t="s">
        <v>55</v>
      </c>
      <c r="D1376" s="6" t="str">
        <f>HYPERLINK("javascript:void(0)","gyémánt")</f>
        <v>gyémánt</v>
      </c>
    </row>
    <row r="1377" spans="1:4" ht="12.75" customHeight="1" x14ac:dyDescent="0.2">
      <c r="A1377" s="21"/>
      <c r="B1377" s="21"/>
      <c r="C1377" s="4" t="s">
        <v>44</v>
      </c>
      <c r="D1377" s="6" t="str">
        <f>HYPERLINK("javascript:void(0)","kithrill")</f>
        <v>kithrill</v>
      </c>
    </row>
    <row r="1378" spans="1:4" ht="12.75" customHeight="1" x14ac:dyDescent="0.2">
      <c r="A1378" s="21"/>
      <c r="B1378" s="2"/>
      <c r="C1378" s="2"/>
      <c r="D1378" s="2"/>
    </row>
    <row r="1379" spans="1:4" ht="12.75" customHeight="1" x14ac:dyDescent="0.2">
      <c r="A1379" s="21"/>
      <c r="B1379" s="2"/>
      <c r="C1379" s="2"/>
      <c r="D1379" s="2"/>
    </row>
    <row r="1380" spans="1:4" ht="12.75" customHeight="1" x14ac:dyDescent="0.2">
      <c r="A1380" s="21"/>
      <c r="B1380" s="2"/>
      <c r="C1380" s="2"/>
      <c r="D1380" s="2"/>
    </row>
    <row r="1381" spans="1:4" ht="12.75" customHeight="1" x14ac:dyDescent="0.2">
      <c r="A1381" s="21"/>
      <c r="B1381" s="2"/>
      <c r="C1381" s="2"/>
      <c r="D1381" s="2"/>
    </row>
    <row r="1382" spans="1:4" ht="12.75" customHeight="1" x14ac:dyDescent="0.2">
      <c r="A1382" s="5"/>
      <c r="B1382" s="2"/>
      <c r="C1382" s="2"/>
      <c r="D1382" s="2"/>
    </row>
    <row r="1383" spans="1:4" ht="12.75" customHeight="1" x14ac:dyDescent="0.2">
      <c r="A1383" s="22" t="str">
        <f>HYPERLINK("javascript:void(0)","kallandra fog")</f>
        <v>kallandra fog</v>
      </c>
      <c r="B1383" s="21"/>
      <c r="C1383" s="21"/>
      <c r="D1383" s="21"/>
    </row>
    <row r="1384" spans="1:4" ht="12.75" customHeight="1" x14ac:dyDescent="0.2">
      <c r="A1384" s="20"/>
      <c r="B1384" s="2"/>
      <c r="C1384" s="2"/>
      <c r="D1384" s="2"/>
    </row>
    <row r="1385" spans="1:4" ht="12.75" customHeight="1" x14ac:dyDescent="0.2">
      <c r="A1385" s="21"/>
      <c r="B1385" s="3" t="s">
        <v>0</v>
      </c>
      <c r="C1385" s="20" t="s">
        <v>221</v>
      </c>
      <c r="D1385" s="21"/>
    </row>
    <row r="1386" spans="1:4" ht="12.75" customHeight="1" x14ac:dyDescent="0.2">
      <c r="A1386" s="21"/>
      <c r="B1386" s="3" t="s">
        <v>2</v>
      </c>
      <c r="C1386" s="20" t="s">
        <v>1839</v>
      </c>
      <c r="D1386" s="21"/>
    </row>
    <row r="1387" spans="1:4" ht="12.75" customHeight="1" x14ac:dyDescent="0.2">
      <c r="A1387" s="21"/>
      <c r="B1387" s="3" t="s">
        <v>1840</v>
      </c>
      <c r="C1387" s="20" t="s">
        <v>21</v>
      </c>
      <c r="D1387" s="21"/>
    </row>
    <row r="1388" spans="1:4" ht="12.75" customHeight="1" x14ac:dyDescent="0.2">
      <c r="A1388" s="21"/>
      <c r="B1388" s="3" t="s">
        <v>9</v>
      </c>
      <c r="C1388" s="20" t="s">
        <v>42</v>
      </c>
      <c r="D1388" s="21"/>
    </row>
    <row r="1389" spans="1:4" ht="12.75" customHeight="1" x14ac:dyDescent="0.2">
      <c r="A1389" s="21"/>
      <c r="B1389" s="3" t="s">
        <v>11</v>
      </c>
      <c r="C1389" s="20" t="s">
        <v>486</v>
      </c>
      <c r="D1389" s="21"/>
    </row>
    <row r="1390" spans="1:4" ht="12.75" customHeight="1" x14ac:dyDescent="0.2">
      <c r="A1390" s="21"/>
      <c r="B1390" s="3" t="s">
        <v>16</v>
      </c>
      <c r="C1390" s="20"/>
      <c r="D1390" s="21"/>
    </row>
    <row r="1391" spans="1:4" ht="12.75" customHeight="1" x14ac:dyDescent="0.2">
      <c r="A1391" s="21"/>
      <c r="B1391" s="3" t="s">
        <v>17</v>
      </c>
      <c r="C1391" s="20" t="s">
        <v>19</v>
      </c>
      <c r="D1391" s="21"/>
    </row>
    <row r="1392" spans="1:4" ht="12.75" customHeight="1" x14ac:dyDescent="0.2">
      <c r="A1392" s="21"/>
      <c r="B1392" s="20" t="s">
        <v>18</v>
      </c>
      <c r="C1392" s="4" t="s">
        <v>57</v>
      </c>
      <c r="D1392" s="6" t="str">
        <f>HYPERLINK("javascript:void(0)","sárkányfog")</f>
        <v>sárkányfog</v>
      </c>
    </row>
    <row r="1393" spans="1:4" ht="12.75" customHeight="1" x14ac:dyDescent="0.2">
      <c r="A1393" s="21"/>
      <c r="B1393" s="21"/>
      <c r="C1393" s="4" t="s">
        <v>77</v>
      </c>
      <c r="D1393" s="6" t="str">
        <f>HYPERLINK("javascript:void(0)","sárkánypikkely")</f>
        <v>sárkánypikkely</v>
      </c>
    </row>
    <row r="1394" spans="1:4" ht="12.75" customHeight="1" x14ac:dyDescent="0.2">
      <c r="A1394" s="21"/>
      <c r="B1394" s="21"/>
      <c r="C1394" s="4" t="s">
        <v>44</v>
      </c>
      <c r="D1394" s="6" t="str">
        <f>HYPERLINK("javascript:void(0)","sárkány szarv")</f>
        <v>sárkány szarv</v>
      </c>
    </row>
    <row r="1395" spans="1:4" ht="12.75" customHeight="1" x14ac:dyDescent="0.2">
      <c r="A1395" s="21"/>
      <c r="B1395" s="2"/>
      <c r="C1395" s="2"/>
      <c r="D1395" s="2"/>
    </row>
    <row r="1396" spans="1:4" ht="12.75" customHeight="1" x14ac:dyDescent="0.2">
      <c r="A1396" s="21"/>
      <c r="B1396" s="2"/>
      <c r="C1396" s="2"/>
      <c r="D1396" s="2"/>
    </row>
    <row r="1397" spans="1:4" ht="12.75" customHeight="1" x14ac:dyDescent="0.2">
      <c r="A1397" s="21"/>
      <c r="B1397" s="2"/>
      <c r="C1397" s="2"/>
      <c r="D1397" s="2"/>
    </row>
    <row r="1398" spans="1:4" ht="12.75" customHeight="1" x14ac:dyDescent="0.2">
      <c r="A1398" s="21"/>
      <c r="B1398" s="2"/>
      <c r="C1398" s="2"/>
      <c r="D1398" s="2"/>
    </row>
    <row r="1399" spans="1:4" ht="12.75" customHeight="1" x14ac:dyDescent="0.2">
      <c r="A1399" s="5"/>
      <c r="B1399" s="2"/>
      <c r="C1399" s="2"/>
      <c r="D1399" s="2"/>
    </row>
    <row r="1400" spans="1:4" ht="12.75" customHeight="1" x14ac:dyDescent="0.2">
      <c r="A1400" s="22" t="str">
        <f>HYPERLINK("javascript:void(0)","rúna pajzs")</f>
        <v>rúna pajzs</v>
      </c>
      <c r="B1400" s="21"/>
      <c r="C1400" s="21"/>
      <c r="D1400" s="21"/>
    </row>
    <row r="1401" spans="1:4" ht="12.75" customHeight="1" x14ac:dyDescent="0.2">
      <c r="A1401" s="20"/>
      <c r="B1401" s="2"/>
      <c r="C1401" s="2"/>
      <c r="D1401" s="2"/>
    </row>
    <row r="1402" spans="1:4" ht="12.75" customHeight="1" x14ac:dyDescent="0.2">
      <c r="A1402" s="21"/>
      <c r="B1402" s="3" t="s">
        <v>0</v>
      </c>
      <c r="C1402" s="20" t="s">
        <v>221</v>
      </c>
      <c r="D1402" s="21"/>
    </row>
    <row r="1403" spans="1:4" ht="12.75" customHeight="1" x14ac:dyDescent="0.2">
      <c r="A1403" s="21"/>
      <c r="B1403" s="3" t="s">
        <v>2</v>
      </c>
      <c r="C1403" s="20" t="s">
        <v>1839</v>
      </c>
      <c r="D1403" s="21"/>
    </row>
    <row r="1404" spans="1:4" ht="12.75" customHeight="1" x14ac:dyDescent="0.2">
      <c r="A1404" s="21"/>
      <c r="B1404" s="3" t="s">
        <v>1840</v>
      </c>
      <c r="C1404" s="20" t="s">
        <v>298</v>
      </c>
      <c r="D1404" s="21"/>
    </row>
    <row r="1405" spans="1:4" ht="12.75" customHeight="1" x14ac:dyDescent="0.2">
      <c r="A1405" s="21"/>
      <c r="B1405" s="3" t="s">
        <v>9</v>
      </c>
      <c r="C1405" s="20" t="s">
        <v>317</v>
      </c>
      <c r="D1405" s="21"/>
    </row>
    <row r="1406" spans="1:4" ht="12.75" customHeight="1" x14ac:dyDescent="0.2">
      <c r="A1406" s="21"/>
      <c r="B1406" s="3" t="s">
        <v>11</v>
      </c>
      <c r="C1406" s="20" t="s">
        <v>1021</v>
      </c>
      <c r="D1406" s="21"/>
    </row>
    <row r="1407" spans="1:4" ht="12.75" customHeight="1" x14ac:dyDescent="0.2">
      <c r="A1407" s="21"/>
      <c r="B1407" s="3" t="s">
        <v>16</v>
      </c>
      <c r="C1407" s="20"/>
      <c r="D1407" s="21"/>
    </row>
    <row r="1408" spans="1:4" ht="12.75" customHeight="1" x14ac:dyDescent="0.2">
      <c r="A1408" s="21"/>
      <c r="B1408" s="3" t="s">
        <v>17</v>
      </c>
      <c r="C1408" s="20" t="s">
        <v>19</v>
      </c>
      <c r="D1408" s="21"/>
    </row>
    <row r="1409" spans="1:4" ht="12.75" customHeight="1" x14ac:dyDescent="0.2">
      <c r="A1409" s="21"/>
      <c r="B1409" s="20" t="s">
        <v>18</v>
      </c>
      <c r="C1409" s="4" t="s">
        <v>67</v>
      </c>
      <c r="D1409" s="6" t="str">
        <f>HYPERLINK("javascript:void(0)","ezüstagyar")</f>
        <v>ezüstagyar</v>
      </c>
    </row>
    <row r="1410" spans="1:4" ht="12.75" customHeight="1" x14ac:dyDescent="0.2">
      <c r="A1410" s="21"/>
      <c r="B1410" s="21"/>
      <c r="C1410" s="4" t="s">
        <v>316</v>
      </c>
      <c r="D1410" s="6" t="str">
        <f>HYPERLINK("javascript:void(0)","kristályfolyadék")</f>
        <v>kristályfolyadék</v>
      </c>
    </row>
    <row r="1411" spans="1:4" ht="12.75" customHeight="1" x14ac:dyDescent="0.2">
      <c r="A1411" s="21"/>
      <c r="B1411" s="21"/>
      <c r="C1411" s="4" t="s">
        <v>56</v>
      </c>
      <c r="D1411" s="6" t="str">
        <f>HYPERLINK("javascript:void(0)","hiperium")</f>
        <v>hiperium</v>
      </c>
    </row>
    <row r="1412" spans="1:4" ht="12.75" customHeight="1" x14ac:dyDescent="0.2">
      <c r="A1412" s="21"/>
      <c r="B1412" s="2"/>
      <c r="C1412" s="2"/>
      <c r="D1412" s="2"/>
    </row>
    <row r="1413" spans="1:4" ht="12.75" customHeight="1" x14ac:dyDescent="0.2">
      <c r="A1413" s="21"/>
      <c r="B1413" s="2"/>
      <c r="C1413" s="2"/>
      <c r="D1413" s="2"/>
    </row>
    <row r="1414" spans="1:4" ht="12.75" customHeight="1" x14ac:dyDescent="0.2">
      <c r="A1414" s="21"/>
      <c r="B1414" s="2"/>
      <c r="C1414" s="2"/>
      <c r="D1414" s="2"/>
    </row>
    <row r="1415" spans="1:4" ht="12.75" customHeight="1" x14ac:dyDescent="0.2">
      <c r="A1415" s="21"/>
      <c r="B1415" s="2"/>
      <c r="C1415" s="2"/>
      <c r="D1415" s="2"/>
    </row>
    <row r="1416" spans="1:4" ht="12.75" customHeight="1" x14ac:dyDescent="0.2">
      <c r="A1416" s="5"/>
      <c r="B1416" s="2"/>
      <c r="C1416" s="2"/>
      <c r="D1416" s="2"/>
    </row>
    <row r="1417" spans="1:4" ht="12.75" customHeight="1" x14ac:dyDescent="0.2">
      <c r="A1417" s="22" t="str">
        <f>HYPERLINK("javascript:void(0)","csillagpajzs")</f>
        <v>csillagpajzs</v>
      </c>
      <c r="B1417" s="21"/>
      <c r="C1417" s="21"/>
      <c r="D1417" s="21"/>
    </row>
    <row r="1418" spans="1:4" ht="12.75" customHeight="1" x14ac:dyDescent="0.2">
      <c r="A1418" s="20"/>
      <c r="B1418" s="2"/>
      <c r="C1418" s="2"/>
      <c r="D1418" s="2"/>
    </row>
    <row r="1419" spans="1:4" ht="12.75" customHeight="1" x14ac:dyDescent="0.2">
      <c r="A1419" s="21"/>
      <c r="B1419" s="3" t="s">
        <v>0</v>
      </c>
      <c r="C1419" s="20" t="s">
        <v>157</v>
      </c>
      <c r="D1419" s="21"/>
    </row>
    <row r="1420" spans="1:4" ht="12.75" customHeight="1" x14ac:dyDescent="0.2">
      <c r="A1420" s="21"/>
      <c r="B1420" s="3" t="s">
        <v>2</v>
      </c>
      <c r="C1420" s="20" t="s">
        <v>1839</v>
      </c>
      <c r="D1420" s="21"/>
    </row>
    <row r="1421" spans="1:4" ht="12.75" customHeight="1" x14ac:dyDescent="0.2">
      <c r="A1421" s="21"/>
      <c r="B1421" s="3" t="s">
        <v>1840</v>
      </c>
      <c r="C1421" s="20" t="s">
        <v>187</v>
      </c>
      <c r="D1421" s="21"/>
    </row>
    <row r="1422" spans="1:4" ht="12.75" customHeight="1" x14ac:dyDescent="0.2">
      <c r="A1422" s="21"/>
      <c r="B1422" s="3" t="s">
        <v>9</v>
      </c>
      <c r="C1422" s="20" t="s">
        <v>1673</v>
      </c>
      <c r="D1422" s="21"/>
    </row>
    <row r="1423" spans="1:4" ht="12.75" customHeight="1" x14ac:dyDescent="0.2">
      <c r="A1423" s="21"/>
      <c r="B1423" s="3" t="s">
        <v>11</v>
      </c>
      <c r="C1423" s="20" t="s">
        <v>589</v>
      </c>
      <c r="D1423" s="21"/>
    </row>
    <row r="1424" spans="1:4" ht="12.75" customHeight="1" x14ac:dyDescent="0.2">
      <c r="A1424" s="21"/>
      <c r="B1424" s="3" t="s">
        <v>16</v>
      </c>
      <c r="C1424" s="20"/>
      <c r="D1424" s="21"/>
    </row>
    <row r="1425" spans="1:4" ht="12.75" customHeight="1" x14ac:dyDescent="0.2">
      <c r="A1425" s="21"/>
      <c r="B1425" s="3" t="s">
        <v>17</v>
      </c>
      <c r="C1425" s="20" t="s">
        <v>19</v>
      </c>
      <c r="D1425" s="21"/>
    </row>
    <row r="1426" spans="1:4" ht="12.75" customHeight="1" x14ac:dyDescent="0.2">
      <c r="A1426" s="21"/>
      <c r="B1426" s="20" t="s">
        <v>18</v>
      </c>
      <c r="C1426" s="4" t="s">
        <v>44</v>
      </c>
      <c r="D1426" s="6" t="str">
        <f>HYPERLINK("javascript:void(0)","gyémántpajzs")</f>
        <v>gyémántpajzs</v>
      </c>
    </row>
    <row r="1427" spans="1:4" ht="12.75" customHeight="1" x14ac:dyDescent="0.2">
      <c r="A1427" s="21"/>
      <c r="B1427" s="21"/>
      <c r="C1427" s="4" t="s">
        <v>56</v>
      </c>
      <c r="D1427" s="6" t="str">
        <f>HYPERLINK("javascript:void(0)","diszprózium")</f>
        <v>diszprózium</v>
      </c>
    </row>
    <row r="1428" spans="1:4" ht="12.75" customHeight="1" x14ac:dyDescent="0.2">
      <c r="A1428" s="21"/>
      <c r="B1428" s="21"/>
      <c r="C1428" s="4" t="s">
        <v>44</v>
      </c>
      <c r="D1428" s="6" t="str">
        <f>HYPERLINK("javascript:void(0)","centrolium")</f>
        <v>centrolium</v>
      </c>
    </row>
    <row r="1429" spans="1:4" ht="12.75" customHeight="1" x14ac:dyDescent="0.2">
      <c r="A1429" s="21"/>
      <c r="B1429" s="2"/>
      <c r="C1429" s="2"/>
      <c r="D1429" s="2"/>
    </row>
    <row r="1430" spans="1:4" ht="12.75" customHeight="1" x14ac:dyDescent="0.2">
      <c r="A1430" s="21"/>
      <c r="B1430" s="2"/>
      <c r="C1430" s="2"/>
      <c r="D1430" s="2"/>
    </row>
    <row r="1431" spans="1:4" ht="12.75" customHeight="1" x14ac:dyDescent="0.2">
      <c r="A1431" s="21"/>
      <c r="B1431" s="2"/>
      <c r="C1431" s="2"/>
      <c r="D1431" s="2"/>
    </row>
    <row r="1432" spans="1:4" ht="12.75" customHeight="1" x14ac:dyDescent="0.2">
      <c r="A1432" s="21"/>
      <c r="B1432" s="2"/>
      <c r="C1432" s="2"/>
      <c r="D1432" s="2"/>
    </row>
    <row r="1433" spans="1:4" ht="12.75" customHeight="1" x14ac:dyDescent="0.2">
      <c r="A1433" s="5"/>
      <c r="B1433" s="2"/>
      <c r="C1433" s="2"/>
      <c r="D1433" s="2"/>
    </row>
    <row r="1434" spans="1:4" ht="12.75" customHeight="1" x14ac:dyDescent="0.2">
      <c r="A1434" s="22" t="str">
        <f>HYPERLINK("javascript:void(0)","sárkány izom")</f>
        <v>sárkány izom</v>
      </c>
      <c r="B1434" s="21"/>
      <c r="C1434" s="21"/>
      <c r="D1434" s="21"/>
    </row>
    <row r="1435" spans="1:4" ht="12.75" customHeight="1" x14ac:dyDescent="0.2">
      <c r="A1435" s="20"/>
      <c r="B1435" s="2"/>
      <c r="C1435" s="2"/>
      <c r="D1435" s="2"/>
    </row>
    <row r="1436" spans="1:4" ht="12.75" customHeight="1" x14ac:dyDescent="0.2">
      <c r="A1436" s="21"/>
      <c r="B1436" s="3" t="s">
        <v>0</v>
      </c>
      <c r="C1436" s="20" t="s">
        <v>157</v>
      </c>
      <c r="D1436" s="21"/>
    </row>
    <row r="1437" spans="1:4" ht="12.75" customHeight="1" x14ac:dyDescent="0.2">
      <c r="A1437" s="21"/>
      <c r="B1437" s="3" t="s">
        <v>2</v>
      </c>
      <c r="C1437" s="20" t="s">
        <v>1839</v>
      </c>
      <c r="D1437" s="21"/>
    </row>
    <row r="1438" spans="1:4" ht="12.75" customHeight="1" x14ac:dyDescent="0.2">
      <c r="A1438" s="21"/>
      <c r="B1438" s="3" t="s">
        <v>1840</v>
      </c>
      <c r="C1438" s="20" t="s">
        <v>21</v>
      </c>
      <c r="D1438" s="21"/>
    </row>
    <row r="1439" spans="1:4" ht="12.75" customHeight="1" x14ac:dyDescent="0.2">
      <c r="A1439" s="21"/>
      <c r="B1439" s="3" t="s">
        <v>9</v>
      </c>
      <c r="C1439" s="20" t="s">
        <v>42</v>
      </c>
      <c r="D1439" s="21"/>
    </row>
    <row r="1440" spans="1:4" ht="12.75" customHeight="1" x14ac:dyDescent="0.2">
      <c r="A1440" s="21"/>
      <c r="B1440" s="3" t="s">
        <v>11</v>
      </c>
      <c r="C1440" s="20" t="s">
        <v>1972</v>
      </c>
      <c r="D1440" s="21"/>
    </row>
    <row r="1441" spans="1:4" ht="12.75" customHeight="1" x14ac:dyDescent="0.2">
      <c r="A1441" s="21"/>
      <c r="B1441" s="3" t="s">
        <v>16</v>
      </c>
      <c r="C1441" s="20"/>
      <c r="D1441" s="21"/>
    </row>
    <row r="1442" spans="1:4" ht="12.75" customHeight="1" x14ac:dyDescent="0.2">
      <c r="A1442" s="21"/>
      <c r="B1442" s="3" t="s">
        <v>17</v>
      </c>
      <c r="C1442" s="20" t="s">
        <v>19</v>
      </c>
      <c r="D1442" s="21"/>
    </row>
    <row r="1443" spans="1:4" ht="12.75" customHeight="1" x14ac:dyDescent="0.2">
      <c r="A1443" s="21"/>
      <c r="B1443" s="20" t="s">
        <v>18</v>
      </c>
      <c r="C1443" s="4" t="s">
        <v>77</v>
      </c>
      <c r="D1443" s="6" t="str">
        <f>HYPERLINK("javascript:void(0)","szemhéj")</f>
        <v>szemhéj</v>
      </c>
    </row>
    <row r="1444" spans="1:4" ht="12.75" customHeight="1" x14ac:dyDescent="0.2">
      <c r="A1444" s="21"/>
      <c r="B1444" s="21"/>
      <c r="C1444" s="4" t="s">
        <v>77</v>
      </c>
      <c r="D1444" s="6" t="str">
        <f>HYPERLINK("javascript:void(0)","sárkánykarom")</f>
        <v>sárkánykarom</v>
      </c>
    </row>
    <row r="1445" spans="1:4" ht="12.75" customHeight="1" x14ac:dyDescent="0.2">
      <c r="A1445" s="21"/>
      <c r="B1445" s="21"/>
      <c r="C1445" s="4" t="s">
        <v>57</v>
      </c>
      <c r="D1445" s="6" t="str">
        <f>HYPERLINK("javascript:void(0)","démonvádli")</f>
        <v>démonvádli</v>
      </c>
    </row>
    <row r="1446" spans="1:4" ht="12.75" customHeight="1" x14ac:dyDescent="0.2">
      <c r="A1446" s="21"/>
      <c r="B1446" s="2"/>
      <c r="C1446" s="2"/>
      <c r="D1446" s="2"/>
    </row>
    <row r="1447" spans="1:4" ht="12.75" customHeight="1" x14ac:dyDescent="0.2">
      <c r="A1447" s="21"/>
      <c r="B1447" s="2"/>
      <c r="C1447" s="2"/>
      <c r="D1447" s="2"/>
    </row>
    <row r="1448" spans="1:4" ht="12.75" customHeight="1" x14ac:dyDescent="0.2">
      <c r="A1448" s="21"/>
      <c r="B1448" s="2"/>
      <c r="C1448" s="2"/>
      <c r="D1448" s="2"/>
    </row>
    <row r="1449" spans="1:4" ht="12.75" customHeight="1" x14ac:dyDescent="0.2">
      <c r="A1449" s="21"/>
      <c r="B1449" s="2"/>
      <c r="C1449" s="2"/>
      <c r="D1449" s="2"/>
    </row>
    <row r="1450" spans="1:4" ht="12.75" customHeight="1" x14ac:dyDescent="0.2">
      <c r="A1450" s="5"/>
      <c r="B1450" s="2"/>
      <c r="C1450" s="2"/>
      <c r="D1450" s="2"/>
    </row>
    <row r="1451" spans="1:4" ht="12.75" customHeight="1" x14ac:dyDescent="0.2">
      <c r="A1451" s="22" t="str">
        <f>HYPERLINK("javascript:void(0)","sárkány taréj")</f>
        <v>sárkány taréj</v>
      </c>
      <c r="B1451" s="21"/>
      <c r="C1451" s="21"/>
      <c r="D1451" s="21"/>
    </row>
    <row r="1452" spans="1:4" ht="12.75" customHeight="1" x14ac:dyDescent="0.2">
      <c r="A1452" s="20"/>
      <c r="B1452" s="2"/>
      <c r="C1452" s="2"/>
      <c r="D1452" s="2"/>
    </row>
    <row r="1453" spans="1:4" ht="12.75" customHeight="1" x14ac:dyDescent="0.2">
      <c r="A1453" s="21"/>
      <c r="B1453" s="3" t="s">
        <v>0</v>
      </c>
      <c r="C1453" s="20" t="s">
        <v>157</v>
      </c>
      <c r="D1453" s="21"/>
    </row>
    <row r="1454" spans="1:4" ht="12.75" customHeight="1" x14ac:dyDescent="0.2">
      <c r="A1454" s="21"/>
      <c r="B1454" s="3" t="s">
        <v>2</v>
      </c>
      <c r="C1454" s="20" t="s">
        <v>1839</v>
      </c>
      <c r="D1454" s="21"/>
    </row>
    <row r="1455" spans="1:4" ht="12.75" customHeight="1" x14ac:dyDescent="0.2">
      <c r="A1455" s="21"/>
      <c r="B1455" s="3" t="s">
        <v>1840</v>
      </c>
      <c r="C1455" s="20" t="s">
        <v>21</v>
      </c>
      <c r="D1455" s="21"/>
    </row>
    <row r="1456" spans="1:4" ht="12.75" customHeight="1" x14ac:dyDescent="0.2">
      <c r="A1456" s="21"/>
      <c r="B1456" s="3" t="s">
        <v>9</v>
      </c>
      <c r="C1456" s="20" t="s">
        <v>30</v>
      </c>
      <c r="D1456" s="21"/>
    </row>
    <row r="1457" spans="1:4" ht="12.75" customHeight="1" x14ac:dyDescent="0.2">
      <c r="A1457" s="21"/>
      <c r="B1457" s="3" t="s">
        <v>11</v>
      </c>
      <c r="C1457" s="20" t="s">
        <v>170</v>
      </c>
      <c r="D1457" s="21"/>
    </row>
    <row r="1458" spans="1:4" ht="12.75" customHeight="1" x14ac:dyDescent="0.2">
      <c r="A1458" s="21"/>
      <c r="B1458" s="3" t="s">
        <v>16</v>
      </c>
      <c r="C1458" s="20"/>
      <c r="D1458" s="21"/>
    </row>
    <row r="1459" spans="1:4" ht="12.75" customHeight="1" x14ac:dyDescent="0.2">
      <c r="A1459" s="21"/>
      <c r="B1459" s="3" t="s">
        <v>17</v>
      </c>
      <c r="C1459" s="20" t="s">
        <v>19</v>
      </c>
      <c r="D1459" s="21"/>
    </row>
    <row r="1460" spans="1:4" ht="12.75" customHeight="1" x14ac:dyDescent="0.2">
      <c r="A1460" s="21"/>
      <c r="B1460" s="20" t="s">
        <v>18</v>
      </c>
      <c r="C1460" s="4" t="s">
        <v>57</v>
      </c>
      <c r="D1460" s="6" t="str">
        <f>HYPERLINK("javascript:void(0)","sárkányfog")</f>
        <v>sárkányfog</v>
      </c>
    </row>
    <row r="1461" spans="1:4" ht="12.75" customHeight="1" x14ac:dyDescent="0.2">
      <c r="A1461" s="21"/>
      <c r="B1461" s="21"/>
      <c r="C1461" s="4" t="s">
        <v>67</v>
      </c>
      <c r="D1461" s="6" t="str">
        <f>HYPERLINK("javascript:void(0)","sárkánypikkely")</f>
        <v>sárkánypikkely</v>
      </c>
    </row>
    <row r="1462" spans="1:4" ht="12.75" customHeight="1" x14ac:dyDescent="0.2">
      <c r="A1462" s="21"/>
      <c r="B1462" s="21"/>
      <c r="C1462" s="4" t="s">
        <v>56</v>
      </c>
      <c r="D1462" s="6" t="str">
        <f>HYPERLINK("javascript:void(0)","démonvádli")</f>
        <v>démonvádli</v>
      </c>
    </row>
    <row r="1463" spans="1:4" ht="12.75" customHeight="1" x14ac:dyDescent="0.2">
      <c r="A1463" s="21"/>
      <c r="B1463" s="2"/>
      <c r="C1463" s="2"/>
      <c r="D1463" s="2"/>
    </row>
    <row r="1464" spans="1:4" ht="12.75" customHeight="1" x14ac:dyDescent="0.2">
      <c r="A1464" s="21"/>
      <c r="B1464" s="2"/>
      <c r="C1464" s="2"/>
      <c r="D1464" s="2"/>
    </row>
    <row r="1465" spans="1:4" ht="12.75" customHeight="1" x14ac:dyDescent="0.2">
      <c r="A1465" s="21"/>
      <c r="B1465" s="2"/>
      <c r="C1465" s="2"/>
      <c r="D1465" s="2"/>
    </row>
    <row r="1466" spans="1:4" ht="12.75" customHeight="1" x14ac:dyDescent="0.2">
      <c r="A1466" s="21"/>
      <c r="B1466" s="2"/>
      <c r="C1466" s="2"/>
      <c r="D1466" s="2"/>
    </row>
    <row r="1467" spans="1:4" ht="12.75" customHeight="1" x14ac:dyDescent="0.2">
      <c r="A1467" s="5"/>
      <c r="B1467" s="2"/>
      <c r="C1467" s="2"/>
      <c r="D1467" s="2"/>
    </row>
    <row r="1468" spans="1:4" ht="12.75" customHeight="1" x14ac:dyDescent="0.2">
      <c r="A1468" s="22" t="str">
        <f>HYPERLINK("javascript:void(0)","sárkány szem")</f>
        <v>sárkány szem</v>
      </c>
      <c r="B1468" s="21"/>
      <c r="C1468" s="21"/>
      <c r="D1468" s="21"/>
    </row>
    <row r="1469" spans="1:4" ht="12.75" customHeight="1" x14ac:dyDescent="0.2">
      <c r="A1469" s="20"/>
      <c r="B1469" s="2"/>
      <c r="C1469" s="2"/>
      <c r="D1469" s="2"/>
    </row>
    <row r="1470" spans="1:4" ht="12.75" customHeight="1" x14ac:dyDescent="0.2">
      <c r="A1470" s="21"/>
      <c r="B1470" s="3" t="s">
        <v>0</v>
      </c>
      <c r="C1470" s="20" t="s">
        <v>157</v>
      </c>
      <c r="D1470" s="21"/>
    </row>
    <row r="1471" spans="1:4" ht="12.75" customHeight="1" x14ac:dyDescent="0.2">
      <c r="A1471" s="21"/>
      <c r="B1471" s="3" t="s">
        <v>2</v>
      </c>
      <c r="C1471" s="20" t="s">
        <v>1839</v>
      </c>
      <c r="D1471" s="21"/>
    </row>
    <row r="1472" spans="1:4" ht="12.75" customHeight="1" x14ac:dyDescent="0.2">
      <c r="A1472" s="21"/>
      <c r="B1472" s="3" t="s">
        <v>1840</v>
      </c>
      <c r="C1472" s="20" t="s">
        <v>21</v>
      </c>
      <c r="D1472" s="21"/>
    </row>
    <row r="1473" spans="1:4" ht="12.75" customHeight="1" x14ac:dyDescent="0.2">
      <c r="A1473" s="21"/>
      <c r="B1473" s="3" t="s">
        <v>9</v>
      </c>
      <c r="C1473" s="20" t="s">
        <v>53</v>
      </c>
      <c r="D1473" s="21"/>
    </row>
    <row r="1474" spans="1:4" ht="12.75" customHeight="1" x14ac:dyDescent="0.2">
      <c r="A1474" s="21"/>
      <c r="B1474" s="3" t="s">
        <v>11</v>
      </c>
      <c r="C1474" s="20" t="s">
        <v>689</v>
      </c>
      <c r="D1474" s="21"/>
    </row>
    <row r="1475" spans="1:4" ht="12.75" customHeight="1" x14ac:dyDescent="0.2">
      <c r="A1475" s="21"/>
      <c r="B1475" s="3" t="s">
        <v>16</v>
      </c>
      <c r="C1475" s="20"/>
      <c r="D1475" s="21"/>
    </row>
    <row r="1476" spans="1:4" ht="12.75" customHeight="1" x14ac:dyDescent="0.2">
      <c r="A1476" s="21"/>
      <c r="B1476" s="3" t="s">
        <v>17</v>
      </c>
      <c r="C1476" s="20" t="s">
        <v>19</v>
      </c>
      <c r="D1476" s="21"/>
    </row>
    <row r="1477" spans="1:4" ht="12.75" customHeight="1" x14ac:dyDescent="0.2">
      <c r="A1477" s="21"/>
      <c r="B1477" s="20" t="s">
        <v>18</v>
      </c>
      <c r="C1477" s="4" t="s">
        <v>77</v>
      </c>
      <c r="D1477" s="6" t="str">
        <f>HYPERLINK("javascript:void(0)","sárkánypikkely")</f>
        <v>sárkánypikkely</v>
      </c>
    </row>
    <row r="1478" spans="1:4" ht="12.75" customHeight="1" x14ac:dyDescent="0.2">
      <c r="A1478" s="21"/>
      <c r="B1478" s="21"/>
      <c r="C1478" s="4" t="s">
        <v>77</v>
      </c>
      <c r="D1478" s="6" t="str">
        <f>HYPERLINK("javascript:void(0)","szemhéj")</f>
        <v>szemhéj</v>
      </c>
    </row>
    <row r="1479" spans="1:4" ht="12.75" customHeight="1" x14ac:dyDescent="0.2">
      <c r="A1479" s="21"/>
      <c r="B1479" s="21"/>
      <c r="C1479" s="4" t="s">
        <v>44</v>
      </c>
      <c r="D1479" s="6" t="str">
        <f>HYPERLINK("javascript:void(0)","démonvádli")</f>
        <v>démonvádli</v>
      </c>
    </row>
    <row r="1480" spans="1:4" ht="12.75" customHeight="1" x14ac:dyDescent="0.2">
      <c r="A1480" s="21"/>
      <c r="B1480" s="2"/>
      <c r="C1480" s="2"/>
      <c r="D1480" s="2"/>
    </row>
    <row r="1481" spans="1:4" ht="12.75" customHeight="1" x14ac:dyDescent="0.2">
      <c r="A1481" s="21"/>
      <c r="B1481" s="2"/>
      <c r="C1481" s="2"/>
      <c r="D1481" s="2"/>
    </row>
    <row r="1482" spans="1:4" ht="12.75" customHeight="1" x14ac:dyDescent="0.2">
      <c r="A1482" s="21"/>
      <c r="B1482" s="2"/>
      <c r="C1482" s="2"/>
      <c r="D1482" s="2"/>
    </row>
    <row r="1483" spans="1:4" ht="12.75" customHeight="1" x14ac:dyDescent="0.2">
      <c r="A1483" s="21"/>
      <c r="B1483" s="2"/>
      <c r="C1483" s="2"/>
      <c r="D1483" s="2"/>
    </row>
    <row r="1484" spans="1:4" ht="12.75" customHeight="1" x14ac:dyDescent="0.2">
      <c r="A1484" s="5"/>
      <c r="B1484" s="2"/>
      <c r="C1484" s="2"/>
      <c r="D1484" s="2"/>
    </row>
    <row r="1485" spans="1:4" ht="12.75" customHeight="1" x14ac:dyDescent="0.2">
      <c r="A1485" s="22" t="str">
        <f>HYPERLINK("javascript:void(0)","sárkány szív")</f>
        <v>sárkány szív</v>
      </c>
      <c r="B1485" s="21"/>
      <c r="C1485" s="21"/>
      <c r="D1485" s="21"/>
    </row>
    <row r="1486" spans="1:4" ht="12.75" customHeight="1" x14ac:dyDescent="0.2">
      <c r="A1486" s="20"/>
      <c r="B1486" s="2"/>
      <c r="C1486" s="2"/>
      <c r="D1486" s="2"/>
    </row>
    <row r="1487" spans="1:4" ht="12.75" customHeight="1" x14ac:dyDescent="0.2">
      <c r="A1487" s="21"/>
      <c r="B1487" s="3" t="s">
        <v>0</v>
      </c>
      <c r="C1487" s="20" t="s">
        <v>157</v>
      </c>
      <c r="D1487" s="21"/>
    </row>
    <row r="1488" spans="1:4" ht="12.75" customHeight="1" x14ac:dyDescent="0.2">
      <c r="A1488" s="21"/>
      <c r="B1488" s="3" t="s">
        <v>2</v>
      </c>
      <c r="C1488" s="20" t="s">
        <v>1839</v>
      </c>
      <c r="D1488" s="21"/>
    </row>
    <row r="1489" spans="1:4" ht="12.75" customHeight="1" x14ac:dyDescent="0.2">
      <c r="A1489" s="21"/>
      <c r="B1489" s="3" t="s">
        <v>1840</v>
      </c>
      <c r="C1489" s="20" t="s">
        <v>21</v>
      </c>
      <c r="D1489" s="21"/>
    </row>
    <row r="1490" spans="1:4" ht="12.75" customHeight="1" x14ac:dyDescent="0.2">
      <c r="A1490" s="21"/>
      <c r="B1490" s="3" t="s">
        <v>9</v>
      </c>
      <c r="C1490" s="20" t="s">
        <v>137</v>
      </c>
      <c r="D1490" s="21"/>
    </row>
    <row r="1491" spans="1:4" ht="12.75" customHeight="1" x14ac:dyDescent="0.2">
      <c r="A1491" s="21"/>
      <c r="B1491" s="3" t="s">
        <v>11</v>
      </c>
      <c r="C1491" s="20" t="s">
        <v>1981</v>
      </c>
      <c r="D1491" s="21"/>
    </row>
    <row r="1492" spans="1:4" ht="12.75" customHeight="1" x14ac:dyDescent="0.2">
      <c r="A1492" s="21"/>
      <c r="B1492" s="3" t="s">
        <v>16</v>
      </c>
      <c r="C1492" s="20"/>
      <c r="D1492" s="21"/>
    </row>
    <row r="1493" spans="1:4" ht="12.75" customHeight="1" x14ac:dyDescent="0.2">
      <c r="A1493" s="21"/>
      <c r="B1493" s="3" t="s">
        <v>17</v>
      </c>
      <c r="C1493" s="20" t="s">
        <v>19</v>
      </c>
      <c r="D1493" s="21"/>
    </row>
    <row r="1494" spans="1:4" ht="12.75" customHeight="1" x14ac:dyDescent="0.2">
      <c r="A1494" s="21"/>
      <c r="B1494" s="20" t="s">
        <v>18</v>
      </c>
      <c r="C1494" s="4" t="s">
        <v>67</v>
      </c>
      <c r="D1494" s="6" t="str">
        <f>HYPERLINK("javascript:void(0)","sárkányfog")</f>
        <v>sárkányfog</v>
      </c>
    </row>
    <row r="1495" spans="1:4" ht="12.75" customHeight="1" x14ac:dyDescent="0.2">
      <c r="A1495" s="21"/>
      <c r="B1495" s="21"/>
      <c r="C1495" s="4" t="s">
        <v>67</v>
      </c>
      <c r="D1495" s="6" t="str">
        <f>HYPERLINK("javascript:void(0)","sárkánykarom")</f>
        <v>sárkánykarom</v>
      </c>
    </row>
    <row r="1496" spans="1:4" ht="12.75" customHeight="1" x14ac:dyDescent="0.2">
      <c r="A1496" s="21"/>
      <c r="B1496" s="21"/>
      <c r="C1496" s="4" t="s">
        <v>77</v>
      </c>
      <c r="D1496" s="6" t="str">
        <f>HYPERLINK("javascript:void(0)","sárkány szem")</f>
        <v>sárkány szem</v>
      </c>
    </row>
    <row r="1497" spans="1:4" ht="12.75" customHeight="1" x14ac:dyDescent="0.2">
      <c r="A1497" s="21"/>
      <c r="B1497" s="2"/>
      <c r="C1497" s="2"/>
      <c r="D1497" s="2"/>
    </row>
    <row r="1498" spans="1:4" ht="12.75" customHeight="1" x14ac:dyDescent="0.2">
      <c r="A1498" s="21"/>
      <c r="B1498" s="2"/>
      <c r="C1498" s="2"/>
      <c r="D1498" s="2"/>
    </row>
    <row r="1499" spans="1:4" ht="12.75" customHeight="1" x14ac:dyDescent="0.2">
      <c r="A1499" s="21"/>
      <c r="B1499" s="2"/>
      <c r="C1499" s="2"/>
      <c r="D1499" s="2"/>
    </row>
    <row r="1500" spans="1:4" ht="12.75" customHeight="1" x14ac:dyDescent="0.2">
      <c r="A1500" s="21"/>
      <c r="B1500" s="2"/>
      <c r="C1500" s="2"/>
      <c r="D1500" s="2"/>
    </row>
    <row r="1501" spans="1:4" ht="12.75" customHeight="1" x14ac:dyDescent="0.2">
      <c r="A1501" s="5"/>
      <c r="B1501" s="2"/>
      <c r="C1501" s="2"/>
      <c r="D1501" s="2"/>
    </row>
    <row r="1502" spans="1:4" ht="12.75" customHeight="1" x14ac:dyDescent="0.2">
      <c r="A1502" s="22" t="str">
        <f>HYPERLINK("javascript:void(0)","sárkány szarv")</f>
        <v>sárkány szarv</v>
      </c>
      <c r="B1502" s="21"/>
      <c r="C1502" s="21"/>
      <c r="D1502" s="21"/>
    </row>
    <row r="1503" spans="1:4" ht="12.75" customHeight="1" x14ac:dyDescent="0.2">
      <c r="A1503" s="20"/>
      <c r="B1503" s="2"/>
      <c r="C1503" s="2"/>
      <c r="D1503" s="2"/>
    </row>
    <row r="1504" spans="1:4" ht="12.75" customHeight="1" x14ac:dyDescent="0.2">
      <c r="A1504" s="21"/>
      <c r="B1504" s="3" t="s">
        <v>0</v>
      </c>
      <c r="C1504" s="20" t="s">
        <v>157</v>
      </c>
      <c r="D1504" s="21"/>
    </row>
    <row r="1505" spans="1:4" ht="12.75" customHeight="1" x14ac:dyDescent="0.2">
      <c r="A1505" s="21"/>
      <c r="B1505" s="3" t="s">
        <v>2</v>
      </c>
      <c r="C1505" s="20" t="s">
        <v>1839</v>
      </c>
      <c r="D1505" s="21"/>
    </row>
    <row r="1506" spans="1:4" ht="12.75" customHeight="1" x14ac:dyDescent="0.2">
      <c r="A1506" s="21"/>
      <c r="B1506" s="3" t="s">
        <v>1840</v>
      </c>
      <c r="C1506" s="20" t="s">
        <v>21</v>
      </c>
      <c r="D1506" s="21"/>
    </row>
    <row r="1507" spans="1:4" ht="12.75" customHeight="1" x14ac:dyDescent="0.2">
      <c r="A1507" s="21"/>
      <c r="B1507" s="3" t="s">
        <v>9</v>
      </c>
      <c r="C1507" s="20" t="s">
        <v>172</v>
      </c>
      <c r="D1507" s="21"/>
    </row>
    <row r="1508" spans="1:4" ht="12.75" customHeight="1" x14ac:dyDescent="0.2">
      <c r="A1508" s="21"/>
      <c r="B1508" s="3" t="s">
        <v>11</v>
      </c>
      <c r="C1508" s="20" t="s">
        <v>1123</v>
      </c>
      <c r="D1508" s="21"/>
    </row>
    <row r="1509" spans="1:4" ht="12.75" customHeight="1" x14ac:dyDescent="0.2">
      <c r="A1509" s="21"/>
      <c r="B1509" s="3" t="s">
        <v>16</v>
      </c>
      <c r="C1509" s="20"/>
      <c r="D1509" s="21"/>
    </row>
    <row r="1510" spans="1:4" ht="12.75" customHeight="1" x14ac:dyDescent="0.2">
      <c r="A1510" s="21"/>
      <c r="B1510" s="3" t="s">
        <v>17</v>
      </c>
      <c r="C1510" s="20" t="s">
        <v>19</v>
      </c>
      <c r="D1510" s="21"/>
    </row>
    <row r="1511" spans="1:4" ht="12.75" customHeight="1" x14ac:dyDescent="0.2">
      <c r="A1511" s="21"/>
      <c r="B1511" s="20" t="s">
        <v>18</v>
      </c>
      <c r="C1511" s="4" t="s">
        <v>67</v>
      </c>
      <c r="D1511" s="6" t="str">
        <f>HYPERLINK("javascript:void(0)","sárkányfog")</f>
        <v>sárkányfog</v>
      </c>
    </row>
    <row r="1512" spans="1:4" ht="12.75" customHeight="1" x14ac:dyDescent="0.2">
      <c r="A1512" s="21"/>
      <c r="B1512" s="21"/>
      <c r="C1512" s="4" t="s">
        <v>77</v>
      </c>
      <c r="D1512" s="6" t="str">
        <f>HYPERLINK("javascript:void(0)","sárkánykarom")</f>
        <v>sárkánykarom</v>
      </c>
    </row>
    <row r="1513" spans="1:4" ht="12.75" customHeight="1" x14ac:dyDescent="0.2">
      <c r="A1513" s="21"/>
      <c r="B1513" s="21"/>
      <c r="C1513" s="4" t="s">
        <v>57</v>
      </c>
      <c r="D1513" s="6" t="str">
        <f>HYPERLINK("javascript:void(0)","sárkánypikkely")</f>
        <v>sárkánypikkely</v>
      </c>
    </row>
    <row r="1514" spans="1:4" ht="12.75" customHeight="1" x14ac:dyDescent="0.2">
      <c r="A1514" s="21"/>
      <c r="B1514" s="2"/>
      <c r="C1514" s="2"/>
      <c r="D1514" s="2"/>
    </row>
    <row r="1515" spans="1:4" ht="12.75" customHeight="1" x14ac:dyDescent="0.2">
      <c r="A1515" s="21"/>
      <c r="B1515" s="2"/>
      <c r="C1515" s="2"/>
      <c r="D1515" s="2"/>
    </row>
    <row r="1516" spans="1:4" ht="12.75" customHeight="1" x14ac:dyDescent="0.2">
      <c r="A1516" s="21"/>
      <c r="B1516" s="2"/>
      <c r="C1516" s="2"/>
      <c r="D1516" s="2"/>
    </row>
    <row r="1517" spans="1:4" ht="12.75" customHeight="1" x14ac:dyDescent="0.2">
      <c r="A1517" s="21"/>
      <c r="B1517" s="2"/>
      <c r="C1517" s="2"/>
      <c r="D1517" s="2"/>
    </row>
    <row r="1518" spans="1:4" ht="12.75" customHeight="1" x14ac:dyDescent="0.2">
      <c r="A1518" s="5"/>
      <c r="B1518" s="2"/>
      <c r="C1518" s="2"/>
      <c r="D1518" s="2"/>
    </row>
    <row r="1519" spans="1:4" ht="12.75" customHeight="1" x14ac:dyDescent="0.2">
      <c r="A1519" s="22" t="str">
        <f>HYPERLINK("javascript:void(0)","nappajzs")</f>
        <v>nappajzs</v>
      </c>
      <c r="B1519" s="21"/>
      <c r="C1519" s="21"/>
      <c r="D1519" s="21"/>
    </row>
    <row r="1520" spans="1:4" ht="12.75" customHeight="1" x14ac:dyDescent="0.2">
      <c r="A1520" s="20"/>
      <c r="B1520" s="2"/>
      <c r="C1520" s="2"/>
      <c r="D1520" s="2"/>
    </row>
    <row r="1521" spans="1:4" ht="12.75" customHeight="1" x14ac:dyDescent="0.2">
      <c r="A1521" s="21"/>
      <c r="B1521" s="3" t="s">
        <v>0</v>
      </c>
      <c r="C1521" s="20" t="s">
        <v>41</v>
      </c>
      <c r="D1521" s="21"/>
    </row>
    <row r="1522" spans="1:4" ht="12.75" customHeight="1" x14ac:dyDescent="0.2">
      <c r="A1522" s="21"/>
      <c r="B1522" s="3" t="s">
        <v>2</v>
      </c>
      <c r="C1522" s="20" t="s">
        <v>1839</v>
      </c>
      <c r="D1522" s="21"/>
    </row>
    <row r="1523" spans="1:4" ht="12.75" customHeight="1" x14ac:dyDescent="0.2">
      <c r="A1523" s="21"/>
      <c r="B1523" s="3" t="s">
        <v>1840</v>
      </c>
      <c r="C1523" s="20" t="s">
        <v>107</v>
      </c>
      <c r="D1523" s="21"/>
    </row>
    <row r="1524" spans="1:4" ht="12.75" customHeight="1" x14ac:dyDescent="0.2">
      <c r="A1524" s="21"/>
      <c r="B1524" s="3" t="s">
        <v>9</v>
      </c>
      <c r="C1524" s="20" t="s">
        <v>1614</v>
      </c>
      <c r="D1524" s="21"/>
    </row>
    <row r="1525" spans="1:4" ht="12.75" customHeight="1" x14ac:dyDescent="0.2">
      <c r="A1525" s="21"/>
      <c r="B1525" s="3" t="s">
        <v>11</v>
      </c>
      <c r="C1525" s="20" t="s">
        <v>1985</v>
      </c>
      <c r="D1525" s="21"/>
    </row>
    <row r="1526" spans="1:4" ht="12.75" customHeight="1" x14ac:dyDescent="0.2">
      <c r="A1526" s="21"/>
      <c r="B1526" s="3" t="s">
        <v>16</v>
      </c>
      <c r="C1526" s="20"/>
      <c r="D1526" s="21"/>
    </row>
    <row r="1527" spans="1:4" ht="12.75" customHeight="1" x14ac:dyDescent="0.2">
      <c r="A1527" s="21"/>
      <c r="B1527" s="3" t="s">
        <v>17</v>
      </c>
      <c r="C1527" s="20" t="s">
        <v>19</v>
      </c>
      <c r="D1527" s="21"/>
    </row>
    <row r="1528" spans="1:4" ht="12.75" customHeight="1" x14ac:dyDescent="0.2">
      <c r="A1528" s="21"/>
      <c r="B1528" s="20" t="s">
        <v>18</v>
      </c>
      <c r="C1528" s="4" t="s">
        <v>44</v>
      </c>
      <c r="D1528" s="6" t="str">
        <f>HYPERLINK("javascript:void(0)","holdpajzs")</f>
        <v>holdpajzs</v>
      </c>
    </row>
    <row r="1529" spans="1:4" ht="12.75" customHeight="1" x14ac:dyDescent="0.2">
      <c r="A1529" s="21"/>
      <c r="B1529" s="21"/>
      <c r="C1529" s="4" t="s">
        <v>57</v>
      </c>
      <c r="D1529" s="6" t="str">
        <f>HYPERLINK("javascript:void(0)","gyémánt")</f>
        <v>gyémánt</v>
      </c>
    </row>
    <row r="1530" spans="1:4" ht="12.75" customHeight="1" x14ac:dyDescent="0.2">
      <c r="A1530" s="21"/>
      <c r="B1530" s="21"/>
      <c r="C1530" s="4" t="s">
        <v>44</v>
      </c>
      <c r="D1530" s="6" t="str">
        <f>HYPERLINK("javascript:void(0)","centrolium")</f>
        <v>centrolium</v>
      </c>
    </row>
    <row r="1531" spans="1:4" ht="12.75" customHeight="1" x14ac:dyDescent="0.2">
      <c r="A1531" s="21"/>
      <c r="B1531" s="2"/>
      <c r="C1531" s="2"/>
      <c r="D1531" s="2"/>
    </row>
    <row r="1532" spans="1:4" ht="12.75" customHeight="1" x14ac:dyDescent="0.2">
      <c r="A1532" s="21"/>
      <c r="B1532" s="2"/>
      <c r="C1532" s="2"/>
      <c r="D1532" s="2"/>
    </row>
    <row r="1533" spans="1:4" ht="12.75" customHeight="1" x14ac:dyDescent="0.2">
      <c r="A1533" s="21"/>
      <c r="B1533" s="2"/>
      <c r="C1533" s="2"/>
      <c r="D1533" s="2"/>
    </row>
    <row r="1534" spans="1:4" ht="12.75" customHeight="1" x14ac:dyDescent="0.2">
      <c r="A1534" s="21"/>
      <c r="B1534" s="2"/>
      <c r="C1534" s="2"/>
      <c r="D1534" s="2"/>
    </row>
    <row r="1535" spans="1:4" ht="12.75" customHeight="1" x14ac:dyDescent="0.2">
      <c r="A1535" s="5"/>
      <c r="B1535" s="2"/>
      <c r="C1535" s="2"/>
      <c r="D1535" s="2"/>
    </row>
    <row r="1536" spans="1:4" ht="12.75" customHeight="1" x14ac:dyDescent="0.2">
      <c r="A1536" s="22" t="str">
        <f>HYPERLINK("javascript:void(0)","óriás manópajzs")</f>
        <v>óriás manópajzs</v>
      </c>
      <c r="B1536" s="21"/>
      <c r="C1536" s="21"/>
      <c r="D1536" s="21"/>
    </row>
    <row r="1537" spans="1:4" ht="12.75" customHeight="1" x14ac:dyDescent="0.2">
      <c r="A1537" s="20"/>
      <c r="B1537" s="2"/>
      <c r="C1537" s="2"/>
      <c r="D1537" s="2"/>
    </row>
    <row r="1538" spans="1:4" ht="12.75" customHeight="1" x14ac:dyDescent="0.2">
      <c r="A1538" s="21"/>
      <c r="B1538" s="3" t="s">
        <v>0</v>
      </c>
      <c r="C1538" s="20" t="s">
        <v>260</v>
      </c>
      <c r="D1538" s="21"/>
    </row>
    <row r="1539" spans="1:4" ht="12.75" customHeight="1" x14ac:dyDescent="0.2">
      <c r="A1539" s="21"/>
      <c r="B1539" s="3" t="s">
        <v>2</v>
      </c>
      <c r="C1539" s="20" t="s">
        <v>1839</v>
      </c>
      <c r="D1539" s="21"/>
    </row>
    <row r="1540" spans="1:4" ht="12.75" customHeight="1" x14ac:dyDescent="0.2">
      <c r="A1540" s="21"/>
      <c r="B1540" s="3" t="s">
        <v>1840</v>
      </c>
      <c r="C1540" s="20" t="s">
        <v>392</v>
      </c>
      <c r="D1540" s="21"/>
    </row>
    <row r="1541" spans="1:4" ht="12.75" customHeight="1" x14ac:dyDescent="0.2">
      <c r="A1541" s="21"/>
      <c r="B1541" s="3" t="s">
        <v>9</v>
      </c>
      <c r="C1541" s="20" t="s">
        <v>549</v>
      </c>
      <c r="D1541" s="21"/>
    </row>
    <row r="1542" spans="1:4" ht="12.75" customHeight="1" x14ac:dyDescent="0.2">
      <c r="A1542" s="21"/>
      <c r="B1542" s="3" t="s">
        <v>11</v>
      </c>
      <c r="C1542" s="20" t="s">
        <v>395</v>
      </c>
      <c r="D1542" s="21"/>
    </row>
    <row r="1543" spans="1:4" ht="12.75" customHeight="1" x14ac:dyDescent="0.2">
      <c r="A1543" s="21"/>
      <c r="B1543" s="3" t="s">
        <v>16</v>
      </c>
      <c r="C1543" s="20"/>
      <c r="D1543" s="21"/>
    </row>
    <row r="1544" spans="1:4" ht="12.75" customHeight="1" x14ac:dyDescent="0.2">
      <c r="A1544" s="21"/>
      <c r="B1544" s="3" t="s">
        <v>17</v>
      </c>
      <c r="C1544" s="20" t="s">
        <v>19</v>
      </c>
      <c r="D1544" s="21"/>
    </row>
    <row r="1545" spans="1:4" ht="12.75" customHeight="1" x14ac:dyDescent="0.2">
      <c r="A1545" s="21"/>
      <c r="B1545" s="20" t="s">
        <v>18</v>
      </c>
      <c r="C1545" s="4" t="s">
        <v>951</v>
      </c>
      <c r="D1545" s="6" t="str">
        <f>HYPERLINK("javascript:void(0)","goblinbatka")</f>
        <v>goblinbatka</v>
      </c>
    </row>
    <row r="1546" spans="1:4" ht="12.75" customHeight="1" x14ac:dyDescent="0.2">
      <c r="A1546" s="21"/>
      <c r="B1546" s="21"/>
      <c r="C1546" s="4" t="s">
        <v>44</v>
      </c>
      <c r="D1546" s="6" t="str">
        <f>HYPERLINK("javascript:void(0)","nagy manópajzs")</f>
        <v>nagy manópajzs</v>
      </c>
    </row>
    <row r="1547" spans="1:4" ht="12.75" customHeight="1" x14ac:dyDescent="0.2">
      <c r="A1547" s="21"/>
      <c r="B1547" s="21"/>
      <c r="C1547" s="4" t="s">
        <v>44</v>
      </c>
      <c r="D1547" s="6" t="str">
        <f>HYPERLINK("javascript:void(0)","gyémánt testpajzs")</f>
        <v>gyémánt testpajzs</v>
      </c>
    </row>
    <row r="1548" spans="1:4" ht="12.75" customHeight="1" x14ac:dyDescent="0.2">
      <c r="A1548" s="21"/>
      <c r="B1548" s="2"/>
      <c r="C1548" s="2"/>
      <c r="D1548" s="2"/>
    </row>
    <row r="1549" spans="1:4" ht="12.75" customHeight="1" x14ac:dyDescent="0.2">
      <c r="A1549" s="21"/>
      <c r="B1549" s="2"/>
      <c r="C1549" s="2"/>
      <c r="D1549" s="2"/>
    </row>
    <row r="1550" spans="1:4" ht="12.75" customHeight="1" x14ac:dyDescent="0.2">
      <c r="A1550" s="21"/>
      <c r="B1550" s="2"/>
      <c r="C1550" s="2"/>
      <c r="D1550" s="2"/>
    </row>
    <row r="1551" spans="1:4" ht="12.75" customHeight="1" x14ac:dyDescent="0.2">
      <c r="A1551" s="21"/>
      <c r="B1551" s="2"/>
      <c r="C1551" s="2"/>
      <c r="D1551" s="2"/>
    </row>
    <row r="1552" spans="1:4" ht="12.75" customHeight="1" x14ac:dyDescent="0.2">
      <c r="A1552" s="5"/>
      <c r="B1552" s="2"/>
      <c r="C1552" s="2"/>
      <c r="D1552" s="2"/>
    </row>
    <row r="1553" spans="1:4" ht="12.75" customHeight="1" x14ac:dyDescent="0.2">
      <c r="A1553" s="22" t="str">
        <f>HYPERLINK("javascript:void(0)","ezüst pillepajzs")</f>
        <v>ezüst pillepajzs</v>
      </c>
      <c r="B1553" s="21"/>
      <c r="C1553" s="21"/>
      <c r="D1553" s="21"/>
    </row>
    <row r="1554" spans="1:4" ht="12.75" customHeight="1" x14ac:dyDescent="0.2">
      <c r="A1554" s="20"/>
      <c r="B1554" s="2"/>
      <c r="C1554" s="2"/>
      <c r="D1554" s="2"/>
    </row>
    <row r="1555" spans="1:4" ht="12.75" customHeight="1" x14ac:dyDescent="0.2">
      <c r="A1555" s="21"/>
      <c r="B1555" s="3" t="s">
        <v>0</v>
      </c>
      <c r="C1555" s="20" t="s">
        <v>260</v>
      </c>
      <c r="D1555" s="21"/>
    </row>
    <row r="1556" spans="1:4" ht="12.75" customHeight="1" x14ac:dyDescent="0.2">
      <c r="A1556" s="21"/>
      <c r="B1556" s="3" t="s">
        <v>2</v>
      </c>
      <c r="C1556" s="20" t="s">
        <v>1839</v>
      </c>
      <c r="D1556" s="21"/>
    </row>
    <row r="1557" spans="1:4" ht="12.75" customHeight="1" x14ac:dyDescent="0.2">
      <c r="A1557" s="21"/>
      <c r="B1557" s="3" t="s">
        <v>1840</v>
      </c>
      <c r="C1557" s="20" t="s">
        <v>353</v>
      </c>
      <c r="D1557" s="21"/>
    </row>
    <row r="1558" spans="1:4" ht="12.75" customHeight="1" x14ac:dyDescent="0.2">
      <c r="A1558" s="21"/>
      <c r="B1558" s="3" t="s">
        <v>9</v>
      </c>
      <c r="C1558" s="20" t="s">
        <v>53</v>
      </c>
      <c r="D1558" s="21"/>
    </row>
    <row r="1559" spans="1:4" ht="12.75" customHeight="1" x14ac:dyDescent="0.2">
      <c r="A1559" s="21"/>
      <c r="B1559" s="3" t="s">
        <v>11</v>
      </c>
      <c r="C1559" s="20" t="s">
        <v>519</v>
      </c>
      <c r="D1559" s="21"/>
    </row>
    <row r="1560" spans="1:4" ht="12.75" customHeight="1" x14ac:dyDescent="0.2">
      <c r="A1560" s="21"/>
      <c r="B1560" s="3" t="s">
        <v>16</v>
      </c>
      <c r="C1560" s="20"/>
      <c r="D1560" s="21"/>
    </row>
    <row r="1561" spans="1:4" ht="12.75" customHeight="1" x14ac:dyDescent="0.2">
      <c r="A1561" s="21"/>
      <c r="B1561" s="3" t="s">
        <v>17</v>
      </c>
      <c r="C1561" s="20" t="s">
        <v>19</v>
      </c>
      <c r="D1561" s="21"/>
    </row>
    <row r="1562" spans="1:4" ht="12.75" customHeight="1" x14ac:dyDescent="0.2">
      <c r="A1562" s="21"/>
      <c r="B1562" s="20" t="s">
        <v>18</v>
      </c>
      <c r="C1562" s="4" t="s">
        <v>44</v>
      </c>
      <c r="D1562" s="6" t="str">
        <f>HYPERLINK("javascript:void(0)","óriás pillepajzs")</f>
        <v>óriás pillepajzs</v>
      </c>
    </row>
    <row r="1563" spans="1:4" ht="12.75" customHeight="1" x14ac:dyDescent="0.2">
      <c r="A1563" s="21"/>
      <c r="B1563" s="21"/>
      <c r="C1563" s="4" t="s">
        <v>44</v>
      </c>
      <c r="D1563" s="6" t="str">
        <f>HYPERLINK("javascript:void(0)","óriás manópajzs")</f>
        <v>óriás manópajzs</v>
      </c>
    </row>
    <row r="1564" spans="1:4" ht="12.75" customHeight="1" x14ac:dyDescent="0.2">
      <c r="A1564" s="21"/>
      <c r="B1564" s="21"/>
      <c r="C1564" s="4" t="s">
        <v>290</v>
      </c>
      <c r="D1564" s="6" t="str">
        <f>HYPERLINK("javascript:void(0)","kallandra fog")</f>
        <v>kallandra fog</v>
      </c>
    </row>
    <row r="1565" spans="1:4" ht="12.75" customHeight="1" x14ac:dyDescent="0.2">
      <c r="A1565" s="21"/>
      <c r="B1565" s="2"/>
      <c r="C1565" s="2"/>
      <c r="D1565" s="2"/>
    </row>
    <row r="1566" spans="1:4" ht="12.75" customHeight="1" x14ac:dyDescent="0.2">
      <c r="A1566" s="21"/>
      <c r="B1566" s="2"/>
      <c r="C1566" s="2"/>
      <c r="D1566" s="2"/>
    </row>
    <row r="1567" spans="1:4" ht="12.75" customHeight="1" x14ac:dyDescent="0.2">
      <c r="A1567" s="21"/>
      <c r="B1567" s="2"/>
      <c r="C1567" s="2"/>
      <c r="D1567" s="2"/>
    </row>
    <row r="1568" spans="1:4" ht="12.75" customHeight="1" x14ac:dyDescent="0.2">
      <c r="A1568" s="21"/>
      <c r="B1568" s="2"/>
      <c r="C1568" s="2"/>
      <c r="D1568" s="2"/>
    </row>
    <row r="1569" spans="1:4" ht="12.75" customHeight="1" x14ac:dyDescent="0.2">
      <c r="A1569" s="5"/>
      <c r="B1569" s="2"/>
      <c r="C1569" s="2"/>
      <c r="D1569" s="2"/>
    </row>
    <row r="1570" spans="1:4" ht="12.75" customHeight="1" x14ac:dyDescent="0.2">
      <c r="A1570" s="22" t="str">
        <f>HYPERLINK("javascript:void(0)","kallandra pajzs")</f>
        <v>kallandra pajzs</v>
      </c>
      <c r="B1570" s="21"/>
      <c r="C1570" s="21"/>
      <c r="D1570" s="21"/>
    </row>
    <row r="1571" spans="1:4" ht="12.75" customHeight="1" x14ac:dyDescent="0.2">
      <c r="A1571" s="20"/>
      <c r="B1571" s="2"/>
      <c r="C1571" s="2"/>
      <c r="D1571" s="2"/>
    </row>
    <row r="1572" spans="1:4" ht="12.75" customHeight="1" x14ac:dyDescent="0.2">
      <c r="A1572" s="21"/>
      <c r="B1572" s="3" t="s">
        <v>0</v>
      </c>
      <c r="C1572" s="20" t="s">
        <v>272</v>
      </c>
      <c r="D1572" s="21"/>
    </row>
    <row r="1573" spans="1:4" ht="12.75" customHeight="1" x14ac:dyDescent="0.2">
      <c r="A1573" s="21"/>
      <c r="B1573" s="3" t="s">
        <v>2</v>
      </c>
      <c r="C1573" s="20" t="s">
        <v>1839</v>
      </c>
      <c r="D1573" s="21"/>
    </row>
    <row r="1574" spans="1:4" ht="12.75" customHeight="1" x14ac:dyDescent="0.2">
      <c r="A1574" s="21"/>
      <c r="B1574" s="3" t="s">
        <v>1840</v>
      </c>
      <c r="C1574" s="20" t="s">
        <v>213</v>
      </c>
      <c r="D1574" s="21"/>
    </row>
    <row r="1575" spans="1:4" ht="12.75" customHeight="1" x14ac:dyDescent="0.2">
      <c r="A1575" s="21"/>
      <c r="B1575" s="3" t="s">
        <v>9</v>
      </c>
      <c r="C1575" s="20" t="s">
        <v>250</v>
      </c>
      <c r="D1575" s="21"/>
    </row>
    <row r="1576" spans="1:4" ht="12.75" customHeight="1" x14ac:dyDescent="0.2">
      <c r="A1576" s="21"/>
      <c r="B1576" s="3" t="s">
        <v>11</v>
      </c>
      <c r="C1576" s="20" t="s">
        <v>721</v>
      </c>
      <c r="D1576" s="21"/>
    </row>
    <row r="1577" spans="1:4" ht="12.75" customHeight="1" x14ac:dyDescent="0.2">
      <c r="A1577" s="21"/>
      <c r="B1577" s="3" t="s">
        <v>16</v>
      </c>
      <c r="C1577" s="20"/>
      <c r="D1577" s="21"/>
    </row>
    <row r="1578" spans="1:4" ht="12.75" customHeight="1" x14ac:dyDescent="0.2">
      <c r="A1578" s="21"/>
      <c r="B1578" s="3" t="s">
        <v>17</v>
      </c>
      <c r="C1578" s="20" t="s">
        <v>19</v>
      </c>
      <c r="D1578" s="21"/>
    </row>
    <row r="1579" spans="1:4" ht="12.75" customHeight="1" x14ac:dyDescent="0.2">
      <c r="A1579" s="21"/>
      <c r="B1579" s="20" t="s">
        <v>18</v>
      </c>
      <c r="C1579" s="4" t="s">
        <v>98</v>
      </c>
      <c r="D1579" s="6" t="str">
        <f>HYPERLINK("javascript:void(0)","kallandra fog")</f>
        <v>kallandra fog</v>
      </c>
    </row>
    <row r="1580" spans="1:4" ht="12.75" customHeight="1" x14ac:dyDescent="0.2">
      <c r="A1580" s="21"/>
      <c r="B1580" s="21"/>
      <c r="C1580" s="4" t="s">
        <v>56</v>
      </c>
      <c r="D1580" s="6" t="str">
        <f>HYPERLINK("javascript:void(0)","centrolium")</f>
        <v>centrolium</v>
      </c>
    </row>
    <row r="1581" spans="1:4" ht="12.75" customHeight="1" x14ac:dyDescent="0.2">
      <c r="A1581" s="21"/>
      <c r="B1581" s="21"/>
      <c r="C1581" s="4" t="s">
        <v>44</v>
      </c>
      <c r="D1581" s="6" t="str">
        <f>HYPERLINK("javascript:void(0)","elementáltestpajzs")</f>
        <v>elementáltestpajzs</v>
      </c>
    </row>
    <row r="1582" spans="1:4" ht="12.75" customHeight="1" x14ac:dyDescent="0.2">
      <c r="A1582" s="21"/>
      <c r="B1582" s="2"/>
      <c r="C1582" s="2"/>
      <c r="D1582" s="2"/>
    </row>
    <row r="1583" spans="1:4" ht="12.75" customHeight="1" x14ac:dyDescent="0.2">
      <c r="A1583" s="21"/>
      <c r="B1583" s="2"/>
      <c r="C1583" s="2"/>
      <c r="D1583" s="2"/>
    </row>
    <row r="1584" spans="1:4" ht="12.75" customHeight="1" x14ac:dyDescent="0.2">
      <c r="A1584" s="21"/>
      <c r="B1584" s="2"/>
      <c r="C1584" s="2"/>
      <c r="D1584" s="2"/>
    </row>
    <row r="1585" spans="1:4" ht="12.75" customHeight="1" x14ac:dyDescent="0.2">
      <c r="A1585" s="21"/>
      <c r="B1585" s="2"/>
      <c r="C1585" s="2"/>
      <c r="D1585" s="2"/>
    </row>
    <row r="1586" spans="1:4" ht="12.75" customHeight="1" x14ac:dyDescent="0.2">
      <c r="A1586" s="5"/>
      <c r="B1586" s="2"/>
      <c r="C1586" s="2"/>
      <c r="D1586" s="2"/>
    </row>
    <row r="1587" spans="1:4" ht="12.75" customHeight="1" x14ac:dyDescent="0.2">
      <c r="A1587" s="22" t="str">
        <f>HYPERLINK("javascript:void(0)","arany pillepajzs")</f>
        <v>arany pillepajzs</v>
      </c>
      <c r="B1587" s="21"/>
      <c r="C1587" s="21"/>
      <c r="D1587" s="21"/>
    </row>
    <row r="1588" spans="1:4" ht="12.75" customHeight="1" x14ac:dyDescent="0.2">
      <c r="A1588" s="20"/>
      <c r="B1588" s="2"/>
      <c r="C1588" s="2"/>
      <c r="D1588" s="2"/>
    </row>
    <row r="1589" spans="1:4" ht="12.75" customHeight="1" x14ac:dyDescent="0.2">
      <c r="A1589" s="21"/>
      <c r="B1589" s="3" t="s">
        <v>0</v>
      </c>
      <c r="C1589" s="20" t="s">
        <v>272</v>
      </c>
      <c r="D1589" s="21"/>
    </row>
    <row r="1590" spans="1:4" ht="12.75" customHeight="1" x14ac:dyDescent="0.2">
      <c r="A1590" s="21"/>
      <c r="B1590" s="3" t="s">
        <v>2</v>
      </c>
      <c r="C1590" s="20" t="s">
        <v>1839</v>
      </c>
      <c r="D1590" s="21"/>
    </row>
    <row r="1591" spans="1:4" ht="12.75" customHeight="1" x14ac:dyDescent="0.2">
      <c r="A1591" s="21"/>
      <c r="B1591" s="3" t="s">
        <v>1840</v>
      </c>
      <c r="C1591" s="20" t="s">
        <v>47</v>
      </c>
      <c r="D1591" s="21"/>
    </row>
    <row r="1592" spans="1:4" ht="12.75" customHeight="1" x14ac:dyDescent="0.2">
      <c r="A1592" s="21"/>
      <c r="B1592" s="3" t="s">
        <v>9</v>
      </c>
      <c r="C1592" s="20" t="s">
        <v>1044</v>
      </c>
      <c r="D1592" s="21"/>
    </row>
    <row r="1593" spans="1:4" ht="12.75" customHeight="1" x14ac:dyDescent="0.2">
      <c r="A1593" s="21"/>
      <c r="B1593" s="3" t="s">
        <v>11</v>
      </c>
      <c r="C1593" s="20" t="s">
        <v>301</v>
      </c>
      <c r="D1593" s="21"/>
    </row>
    <row r="1594" spans="1:4" ht="12.75" customHeight="1" x14ac:dyDescent="0.2">
      <c r="A1594" s="21"/>
      <c r="B1594" s="3" t="s">
        <v>16</v>
      </c>
      <c r="C1594" s="20"/>
      <c r="D1594" s="21"/>
    </row>
    <row r="1595" spans="1:4" ht="12.75" customHeight="1" x14ac:dyDescent="0.2">
      <c r="A1595" s="21"/>
      <c r="B1595" s="3" t="s">
        <v>17</v>
      </c>
      <c r="C1595" s="20" t="s">
        <v>19</v>
      </c>
      <c r="D1595" s="21"/>
    </row>
    <row r="1596" spans="1:4" ht="12.75" customHeight="1" x14ac:dyDescent="0.2">
      <c r="A1596" s="21"/>
      <c r="B1596" s="20" t="s">
        <v>18</v>
      </c>
      <c r="C1596" s="4" t="s">
        <v>44</v>
      </c>
      <c r="D1596" s="6" t="str">
        <f>HYPERLINK("javascript:void(0)","kallandra pajzs")</f>
        <v>kallandra pajzs</v>
      </c>
    </row>
    <row r="1597" spans="1:4" ht="12.75" customHeight="1" x14ac:dyDescent="0.2">
      <c r="A1597" s="21"/>
      <c r="B1597" s="21"/>
      <c r="C1597" s="4" t="s">
        <v>1379</v>
      </c>
      <c r="D1597" s="6" t="str">
        <f>HYPERLINK("javascript:void(0)","arany")</f>
        <v>arany</v>
      </c>
    </row>
    <row r="1598" spans="1:4" ht="12.75" customHeight="1" x14ac:dyDescent="0.2">
      <c r="A1598" s="21"/>
      <c r="B1598" s="21"/>
      <c r="C1598" s="4" t="s">
        <v>139</v>
      </c>
      <c r="D1598" s="6" t="str">
        <f>HYPERLINK("javascript:void(0)","sárkány izom")</f>
        <v>sárkány izom</v>
      </c>
    </row>
    <row r="1599" spans="1:4" ht="12.75" customHeight="1" x14ac:dyDescent="0.2">
      <c r="A1599" s="21"/>
      <c r="B1599" s="2"/>
      <c r="C1599" s="2"/>
      <c r="D1599" s="2"/>
    </row>
    <row r="1600" spans="1:4" ht="12.75" customHeight="1" x14ac:dyDescent="0.2">
      <c r="A1600" s="21"/>
      <c r="B1600" s="2"/>
      <c r="C1600" s="2"/>
      <c r="D1600" s="2"/>
    </row>
    <row r="1601" spans="1:4" ht="12.75" customHeight="1" x14ac:dyDescent="0.2">
      <c r="A1601" s="21"/>
      <c r="B1601" s="2"/>
      <c r="C1601" s="2"/>
      <c r="D1601" s="2"/>
    </row>
    <row r="1602" spans="1:4" ht="12.75" customHeight="1" x14ac:dyDescent="0.2">
      <c r="A1602" s="21"/>
      <c r="B1602" s="2"/>
      <c r="C1602" s="2"/>
      <c r="D1602" s="2"/>
    </row>
    <row r="1603" spans="1:4" ht="12.75" customHeight="1" x14ac:dyDescent="0.2">
      <c r="A1603" s="5"/>
      <c r="B1603" s="2"/>
      <c r="C1603" s="2"/>
      <c r="D1603" s="2"/>
    </row>
    <row r="1604" spans="1:4" ht="12.75" customHeight="1" x14ac:dyDescent="0.2">
      <c r="A1604" s="22" t="str">
        <f>HYPERLINK("javascript:void(0)","hiperpajzs")</f>
        <v>hiperpajzs</v>
      </c>
      <c r="B1604" s="21"/>
      <c r="C1604" s="21"/>
      <c r="D1604" s="21"/>
    </row>
    <row r="1605" spans="1:4" ht="12.75" customHeight="1" x14ac:dyDescent="0.2">
      <c r="A1605" s="20"/>
      <c r="B1605" s="2"/>
      <c r="C1605" s="2"/>
      <c r="D1605" s="2"/>
    </row>
    <row r="1606" spans="1:4" ht="12.75" customHeight="1" x14ac:dyDescent="0.2">
      <c r="A1606" s="21"/>
      <c r="B1606" s="3" t="s">
        <v>0</v>
      </c>
      <c r="C1606" s="20" t="s">
        <v>284</v>
      </c>
      <c r="D1606" s="21"/>
    </row>
    <row r="1607" spans="1:4" ht="12.75" customHeight="1" x14ac:dyDescent="0.2">
      <c r="A1607" s="21"/>
      <c r="B1607" s="3" t="s">
        <v>2</v>
      </c>
      <c r="C1607" s="20" t="s">
        <v>1839</v>
      </c>
      <c r="D1607" s="21"/>
    </row>
    <row r="1608" spans="1:4" ht="12.75" customHeight="1" x14ac:dyDescent="0.2">
      <c r="A1608" s="21"/>
      <c r="B1608" s="3" t="s">
        <v>1840</v>
      </c>
      <c r="C1608" s="20" t="s">
        <v>213</v>
      </c>
      <c r="D1608" s="21"/>
    </row>
    <row r="1609" spans="1:4" ht="12.75" customHeight="1" x14ac:dyDescent="0.2">
      <c r="A1609" s="21"/>
      <c r="B1609" s="3" t="s">
        <v>9</v>
      </c>
      <c r="C1609" s="20" t="s">
        <v>250</v>
      </c>
      <c r="D1609" s="21"/>
    </row>
    <row r="1610" spans="1:4" ht="12.75" customHeight="1" x14ac:dyDescent="0.2">
      <c r="A1610" s="21"/>
      <c r="B1610" s="3" t="s">
        <v>11</v>
      </c>
      <c r="C1610" s="20" t="s">
        <v>108</v>
      </c>
      <c r="D1610" s="21"/>
    </row>
    <row r="1611" spans="1:4" ht="12.75" customHeight="1" x14ac:dyDescent="0.2">
      <c r="A1611" s="21"/>
      <c r="B1611" s="3" t="s">
        <v>16</v>
      </c>
      <c r="C1611" s="20"/>
      <c r="D1611" s="21"/>
    </row>
    <row r="1612" spans="1:4" ht="12.75" customHeight="1" x14ac:dyDescent="0.2">
      <c r="A1612" s="21"/>
      <c r="B1612" s="3" t="s">
        <v>17</v>
      </c>
      <c r="C1612" s="20" t="s">
        <v>19</v>
      </c>
      <c r="D1612" s="21"/>
    </row>
    <row r="1613" spans="1:4" ht="12.75" customHeight="1" x14ac:dyDescent="0.2">
      <c r="A1613" s="21"/>
      <c r="B1613" s="20" t="s">
        <v>18</v>
      </c>
      <c r="C1613" s="4" t="s">
        <v>57</v>
      </c>
      <c r="D1613" s="6" t="str">
        <f>HYPERLINK("javascript:void(0)","hiperium")</f>
        <v>hiperium</v>
      </c>
    </row>
    <row r="1614" spans="1:4" ht="12.75" customHeight="1" x14ac:dyDescent="0.2">
      <c r="A1614" s="21"/>
      <c r="B1614" s="21"/>
      <c r="C1614" s="4" t="s">
        <v>44</v>
      </c>
      <c r="D1614" s="6" t="str">
        <f>HYPERLINK("javascript:void(0)","centropajzs")</f>
        <v>centropajzs</v>
      </c>
    </row>
    <row r="1615" spans="1:4" ht="12.75" customHeight="1" x14ac:dyDescent="0.2">
      <c r="A1615" s="21"/>
      <c r="B1615" s="21"/>
      <c r="C1615" s="4" t="s">
        <v>55</v>
      </c>
      <c r="D1615" s="6" t="str">
        <f>HYPERLINK("javascript:void(0)","gyémánt")</f>
        <v>gyémánt</v>
      </c>
    </row>
    <row r="1616" spans="1:4" ht="12.75" customHeight="1" x14ac:dyDescent="0.2">
      <c r="A1616" s="21"/>
      <c r="B1616" s="2"/>
      <c r="C1616" s="2"/>
      <c r="D1616" s="2"/>
    </row>
    <row r="1617" spans="1:4" ht="12.75" customHeight="1" x14ac:dyDescent="0.2">
      <c r="A1617" s="21"/>
      <c r="B1617" s="2"/>
      <c r="C1617" s="2"/>
      <c r="D1617" s="2"/>
    </row>
    <row r="1618" spans="1:4" ht="12.75" customHeight="1" x14ac:dyDescent="0.2">
      <c r="A1618" s="21"/>
      <c r="B1618" s="2"/>
      <c r="C1618" s="2"/>
      <c r="D1618" s="2"/>
    </row>
    <row r="1619" spans="1:4" ht="12.75" customHeight="1" x14ac:dyDescent="0.2">
      <c r="A1619" s="21"/>
      <c r="B1619" s="2"/>
      <c r="C1619" s="2"/>
      <c r="D1619" s="2"/>
    </row>
    <row r="1620" spans="1:4" ht="12.75" customHeight="1" x14ac:dyDescent="0.2">
      <c r="A1620" s="5"/>
      <c r="B1620" s="2"/>
      <c r="C1620" s="2"/>
      <c r="D1620" s="2"/>
    </row>
    <row r="1621" spans="1:4" ht="12.75" customHeight="1" x14ac:dyDescent="0.2">
      <c r="A1621" s="22" t="str">
        <f>HYPERLINK("javascript:void(0)","nyulványpajzs")</f>
        <v>nyulványpajzs</v>
      </c>
      <c r="B1621" s="21"/>
      <c r="C1621" s="21"/>
      <c r="D1621" s="21"/>
    </row>
    <row r="1622" spans="1:4" ht="12.75" customHeight="1" x14ac:dyDescent="0.2">
      <c r="A1622" s="20"/>
      <c r="B1622" s="2"/>
      <c r="C1622" s="2"/>
      <c r="D1622" s="2"/>
    </row>
    <row r="1623" spans="1:4" ht="12.75" customHeight="1" x14ac:dyDescent="0.2">
      <c r="A1623" s="21"/>
      <c r="B1623" s="3" t="s">
        <v>0</v>
      </c>
      <c r="C1623" s="20" t="s">
        <v>284</v>
      </c>
      <c r="D1623" s="21"/>
    </row>
    <row r="1624" spans="1:4" ht="12.75" customHeight="1" x14ac:dyDescent="0.2">
      <c r="A1624" s="21"/>
      <c r="B1624" s="3" t="s">
        <v>2</v>
      </c>
      <c r="C1624" s="20" t="s">
        <v>1839</v>
      </c>
      <c r="D1624" s="21"/>
    </row>
    <row r="1625" spans="1:4" ht="12.75" customHeight="1" x14ac:dyDescent="0.2">
      <c r="A1625" s="21"/>
      <c r="B1625" s="3" t="s">
        <v>1840</v>
      </c>
      <c r="C1625" s="20" t="s">
        <v>376</v>
      </c>
      <c r="D1625" s="21"/>
    </row>
    <row r="1626" spans="1:4" ht="12.75" customHeight="1" x14ac:dyDescent="0.2">
      <c r="A1626" s="21"/>
      <c r="B1626" s="3" t="s">
        <v>9</v>
      </c>
      <c r="C1626" s="20" t="s">
        <v>262</v>
      </c>
      <c r="D1626" s="21"/>
    </row>
    <row r="1627" spans="1:4" ht="12.75" customHeight="1" x14ac:dyDescent="0.2">
      <c r="A1627" s="21"/>
      <c r="B1627" s="3" t="s">
        <v>11</v>
      </c>
      <c r="C1627" s="20" t="s">
        <v>152</v>
      </c>
      <c r="D1627" s="21"/>
    </row>
    <row r="1628" spans="1:4" ht="12.75" customHeight="1" x14ac:dyDescent="0.2">
      <c r="A1628" s="21"/>
      <c r="B1628" s="3" t="s">
        <v>16</v>
      </c>
      <c r="C1628" s="20"/>
      <c r="D1628" s="21"/>
    </row>
    <row r="1629" spans="1:4" ht="12.75" customHeight="1" x14ac:dyDescent="0.2">
      <c r="A1629" s="21"/>
      <c r="B1629" s="3" t="s">
        <v>17</v>
      </c>
      <c r="C1629" s="20" t="s">
        <v>19</v>
      </c>
      <c r="D1629" s="21"/>
    </row>
    <row r="1630" spans="1:4" ht="12.75" customHeight="1" x14ac:dyDescent="0.2">
      <c r="A1630" s="21"/>
      <c r="B1630" s="20" t="s">
        <v>18</v>
      </c>
      <c r="C1630" s="4" t="s">
        <v>44</v>
      </c>
      <c r="D1630" s="6" t="str">
        <f>HYPERLINK("javascript:void(0)","hiperpajzs")</f>
        <v>hiperpajzs</v>
      </c>
    </row>
    <row r="1631" spans="1:4" ht="12.75" customHeight="1" x14ac:dyDescent="0.2">
      <c r="A1631" s="21"/>
      <c r="B1631" s="21"/>
      <c r="C1631" s="4" t="s">
        <v>55</v>
      </c>
      <c r="D1631" s="6" t="str">
        <f>HYPERLINK("javascript:void(0)","nyulványkorbács")</f>
        <v>nyulványkorbács</v>
      </c>
    </row>
    <row r="1632" spans="1:4" ht="12.75" customHeight="1" x14ac:dyDescent="0.2">
      <c r="A1632" s="21"/>
      <c r="B1632" s="21"/>
      <c r="C1632" s="4" t="s">
        <v>232</v>
      </c>
      <c r="D1632" s="6" t="str">
        <f>HYPERLINK("javascript:void(0)","undormány")</f>
        <v>undormány</v>
      </c>
    </row>
    <row r="1633" spans="1:4" ht="12.75" customHeight="1" x14ac:dyDescent="0.2">
      <c r="A1633" s="21"/>
      <c r="B1633" s="2"/>
      <c r="C1633" s="2"/>
      <c r="D1633" s="2"/>
    </row>
    <row r="1634" spans="1:4" ht="12.75" customHeight="1" x14ac:dyDescent="0.2">
      <c r="A1634" s="21"/>
      <c r="B1634" s="2"/>
      <c r="C1634" s="2"/>
      <c r="D1634" s="2"/>
    </row>
    <row r="1635" spans="1:4" ht="12.75" customHeight="1" x14ac:dyDescent="0.2">
      <c r="A1635" s="21"/>
      <c r="B1635" s="2"/>
      <c r="C1635" s="2"/>
      <c r="D1635" s="2"/>
    </row>
    <row r="1636" spans="1:4" ht="12.75" customHeight="1" x14ac:dyDescent="0.2">
      <c r="A1636" s="21"/>
      <c r="B1636" s="2"/>
      <c r="C1636" s="2"/>
      <c r="D1636" s="2"/>
    </row>
    <row r="1637" spans="1:4" ht="12.75" customHeight="1" x14ac:dyDescent="0.2">
      <c r="A1637" s="5"/>
      <c r="B1637" s="2"/>
      <c r="C1637" s="2"/>
      <c r="D1637" s="2"/>
    </row>
    <row r="1638" spans="1:4" ht="12.75" customHeight="1" x14ac:dyDescent="0.2">
      <c r="A1638" s="22" t="str">
        <f>HYPERLINK("javascript:void(0)","gyöngy pillepajzs")</f>
        <v>gyöngy pillepajzs</v>
      </c>
      <c r="B1638" s="21"/>
      <c r="C1638" s="21"/>
      <c r="D1638" s="21"/>
    </row>
    <row r="1639" spans="1:4" ht="12.75" customHeight="1" x14ac:dyDescent="0.2">
      <c r="A1639" s="20"/>
      <c r="B1639" s="2"/>
      <c r="C1639" s="2"/>
      <c r="D1639" s="2"/>
    </row>
    <row r="1640" spans="1:4" ht="12.75" customHeight="1" x14ac:dyDescent="0.2">
      <c r="A1640" s="21"/>
      <c r="B1640" s="3" t="s">
        <v>0</v>
      </c>
      <c r="C1640" s="20" t="s">
        <v>284</v>
      </c>
      <c r="D1640" s="21"/>
    </row>
    <row r="1641" spans="1:4" ht="12.75" customHeight="1" x14ac:dyDescent="0.2">
      <c r="A1641" s="21"/>
      <c r="B1641" s="3" t="s">
        <v>2</v>
      </c>
      <c r="C1641" s="20" t="s">
        <v>1839</v>
      </c>
      <c r="D1641" s="21"/>
    </row>
    <row r="1642" spans="1:4" ht="12.75" customHeight="1" x14ac:dyDescent="0.2">
      <c r="A1642" s="21"/>
      <c r="B1642" s="3" t="s">
        <v>1840</v>
      </c>
      <c r="C1642" s="20" t="s">
        <v>134</v>
      </c>
      <c r="D1642" s="21"/>
    </row>
    <row r="1643" spans="1:4" ht="12.75" customHeight="1" x14ac:dyDescent="0.2">
      <c r="A1643" s="21"/>
      <c r="B1643" s="3" t="s">
        <v>9</v>
      </c>
      <c r="C1643" s="20" t="s">
        <v>1993</v>
      </c>
      <c r="D1643" s="21"/>
    </row>
    <row r="1644" spans="1:4" ht="12.75" customHeight="1" x14ac:dyDescent="0.2">
      <c r="A1644" s="21"/>
      <c r="B1644" s="3" t="s">
        <v>11</v>
      </c>
      <c r="C1644" s="20" t="s">
        <v>162</v>
      </c>
      <c r="D1644" s="21"/>
    </row>
    <row r="1645" spans="1:4" ht="12.75" customHeight="1" x14ac:dyDescent="0.2">
      <c r="A1645" s="21"/>
      <c r="B1645" s="3" t="s">
        <v>16</v>
      </c>
      <c r="C1645" s="20"/>
      <c r="D1645" s="21"/>
    </row>
    <row r="1646" spans="1:4" ht="12.75" customHeight="1" x14ac:dyDescent="0.2">
      <c r="A1646" s="21"/>
      <c r="B1646" s="3" t="s">
        <v>17</v>
      </c>
      <c r="C1646" s="20" t="s">
        <v>19</v>
      </c>
      <c r="D1646" s="21"/>
    </row>
    <row r="1647" spans="1:4" ht="12.75" customHeight="1" x14ac:dyDescent="0.2">
      <c r="A1647" s="21"/>
      <c r="B1647" s="20" t="s">
        <v>18</v>
      </c>
      <c r="C1647" s="4" t="s">
        <v>44</v>
      </c>
      <c r="D1647" s="6" t="str">
        <f>HYPERLINK("javascript:void(0)","nyulványpajzs")</f>
        <v>nyulványpajzs</v>
      </c>
    </row>
    <row r="1648" spans="1:4" ht="12.75" customHeight="1" x14ac:dyDescent="0.2">
      <c r="A1648" s="21"/>
      <c r="B1648" s="21"/>
      <c r="C1648" s="4" t="s">
        <v>63</v>
      </c>
      <c r="D1648" s="6" t="str">
        <f>HYPERLINK("javascript:void(0)","gyöngy")</f>
        <v>gyöngy</v>
      </c>
    </row>
    <row r="1649" spans="1:4" ht="12.75" customHeight="1" x14ac:dyDescent="0.2">
      <c r="A1649" s="21"/>
      <c r="B1649" s="21"/>
      <c r="C1649" s="4" t="s">
        <v>117</v>
      </c>
      <c r="D1649" s="6" t="str">
        <f>HYPERLINK("javascript:void(0)","szépia")</f>
        <v>szépia</v>
      </c>
    </row>
    <row r="1650" spans="1:4" ht="12.75" customHeight="1" x14ac:dyDescent="0.2">
      <c r="A1650" s="21"/>
      <c r="B1650" s="2"/>
      <c r="C1650" s="2"/>
      <c r="D1650" s="2"/>
    </row>
    <row r="1651" spans="1:4" ht="12.75" customHeight="1" x14ac:dyDescent="0.2">
      <c r="A1651" s="21"/>
      <c r="B1651" s="2"/>
      <c r="C1651" s="2"/>
      <c r="D1651" s="2"/>
    </row>
    <row r="1652" spans="1:4" ht="12.75" customHeight="1" x14ac:dyDescent="0.2">
      <c r="A1652" s="21"/>
      <c r="B1652" s="2"/>
      <c r="C1652" s="2"/>
      <c r="D1652" s="2"/>
    </row>
    <row r="1653" spans="1:4" ht="12.75" customHeight="1" x14ac:dyDescent="0.2">
      <c r="A1653" s="21"/>
      <c r="B1653" s="2"/>
      <c r="C1653" s="2"/>
      <c r="D1653" s="2"/>
    </row>
    <row r="1654" spans="1:4" ht="12.75" customHeight="1" x14ac:dyDescent="0.2">
      <c r="A1654" s="5"/>
      <c r="B1654" s="2"/>
      <c r="C1654" s="2"/>
      <c r="D1654" s="2"/>
    </row>
    <row r="1655" spans="1:4" ht="12.75" customHeight="1" x14ac:dyDescent="0.2">
      <c r="A1655" s="22" t="str">
        <f>HYPERLINK("javascript:void(0)","hiper testpajzs")</f>
        <v>hiper testpajzs</v>
      </c>
      <c r="B1655" s="21"/>
      <c r="C1655" s="21"/>
      <c r="D1655" s="21"/>
    </row>
    <row r="1656" spans="1:4" ht="12.75" customHeight="1" x14ac:dyDescent="0.2">
      <c r="A1656" s="20"/>
      <c r="B1656" s="2"/>
      <c r="C1656" s="2"/>
      <c r="D1656" s="2"/>
    </row>
    <row r="1657" spans="1:4" ht="12.75" customHeight="1" x14ac:dyDescent="0.2">
      <c r="A1657" s="21"/>
      <c r="B1657" s="3" t="s">
        <v>0</v>
      </c>
      <c r="C1657" s="20" t="s">
        <v>291</v>
      </c>
      <c r="D1657" s="21"/>
    </row>
    <row r="1658" spans="1:4" ht="12.75" customHeight="1" x14ac:dyDescent="0.2">
      <c r="A1658" s="21"/>
      <c r="B1658" s="3" t="s">
        <v>2</v>
      </c>
      <c r="C1658" s="20" t="s">
        <v>1839</v>
      </c>
      <c r="D1658" s="21"/>
    </row>
    <row r="1659" spans="1:4" ht="12.75" customHeight="1" x14ac:dyDescent="0.2">
      <c r="A1659" s="21"/>
      <c r="B1659" s="3" t="s">
        <v>1840</v>
      </c>
      <c r="C1659" s="20" t="s">
        <v>376</v>
      </c>
      <c r="D1659" s="21"/>
    </row>
    <row r="1660" spans="1:4" ht="12.75" customHeight="1" x14ac:dyDescent="0.2">
      <c r="A1660" s="21"/>
      <c r="B1660" s="3" t="s">
        <v>9</v>
      </c>
      <c r="C1660" s="20" t="s">
        <v>1824</v>
      </c>
      <c r="D1660" s="21"/>
    </row>
    <row r="1661" spans="1:4" ht="12.75" customHeight="1" x14ac:dyDescent="0.2">
      <c r="A1661" s="21"/>
      <c r="B1661" s="3" t="s">
        <v>11</v>
      </c>
      <c r="C1661" s="20" t="s">
        <v>138</v>
      </c>
      <c r="D1661" s="21"/>
    </row>
    <row r="1662" spans="1:4" ht="12.75" customHeight="1" x14ac:dyDescent="0.2">
      <c r="A1662" s="21"/>
      <c r="B1662" s="3" t="s">
        <v>16</v>
      </c>
      <c r="C1662" s="20"/>
      <c r="D1662" s="21"/>
    </row>
    <row r="1663" spans="1:4" ht="12.75" customHeight="1" x14ac:dyDescent="0.2">
      <c r="A1663" s="21"/>
      <c r="B1663" s="3" t="s">
        <v>17</v>
      </c>
      <c r="C1663" s="20" t="s">
        <v>19</v>
      </c>
      <c r="D1663" s="21"/>
    </row>
    <row r="1664" spans="1:4" ht="12.75" customHeight="1" x14ac:dyDescent="0.2">
      <c r="A1664" s="21"/>
      <c r="B1664" s="20" t="s">
        <v>18</v>
      </c>
      <c r="C1664" s="4" t="s">
        <v>44</v>
      </c>
      <c r="D1664" s="6" t="str">
        <f>HYPERLINK("javascript:void(0)","centro testpajzs")</f>
        <v>centro testpajzs</v>
      </c>
    </row>
    <row r="1665" spans="1:4" ht="12.75" customHeight="1" x14ac:dyDescent="0.2">
      <c r="A1665" s="21"/>
      <c r="B1665" s="21"/>
      <c r="C1665" s="4" t="s">
        <v>55</v>
      </c>
      <c r="D1665" s="6" t="str">
        <f>HYPERLINK("javascript:void(0)","hiperium")</f>
        <v>hiperium</v>
      </c>
    </row>
    <row r="1666" spans="1:4" ht="12.75" customHeight="1" x14ac:dyDescent="0.2">
      <c r="A1666" s="21"/>
      <c r="B1666" s="21"/>
      <c r="C1666" s="4" t="s">
        <v>55</v>
      </c>
      <c r="D1666" s="6" t="str">
        <f>HYPERLINK("javascript:void(0)","gyémánt")</f>
        <v>gyémánt</v>
      </c>
    </row>
    <row r="1667" spans="1:4" ht="12.75" customHeight="1" x14ac:dyDescent="0.2">
      <c r="A1667" s="21"/>
      <c r="B1667" s="2"/>
      <c r="C1667" s="2"/>
      <c r="D1667" s="2"/>
    </row>
    <row r="1668" spans="1:4" ht="12.75" customHeight="1" x14ac:dyDescent="0.2">
      <c r="A1668" s="21"/>
      <c r="B1668" s="2"/>
      <c r="C1668" s="2"/>
      <c r="D1668" s="2"/>
    </row>
    <row r="1669" spans="1:4" ht="12.75" customHeight="1" x14ac:dyDescent="0.2">
      <c r="A1669" s="21"/>
      <c r="B1669" s="2"/>
      <c r="C1669" s="2"/>
      <c r="D1669" s="2"/>
    </row>
    <row r="1670" spans="1:4" ht="12.75" customHeight="1" x14ac:dyDescent="0.2">
      <c r="A1670" s="21"/>
      <c r="B1670" s="2"/>
      <c r="C1670" s="2"/>
      <c r="D1670" s="2"/>
    </row>
    <row r="1671" spans="1:4" ht="12.75" customHeight="1" x14ac:dyDescent="0.2">
      <c r="A1671" s="5"/>
      <c r="B1671" s="2"/>
      <c r="C1671" s="2"/>
      <c r="D1671" s="2"/>
    </row>
    <row r="1672" spans="1:4" ht="12.75" customHeight="1" x14ac:dyDescent="0.2">
      <c r="A1672" s="22" t="str">
        <f>HYPERLINK("javascript:void(0)","dracoacél testpajzs")</f>
        <v>dracoacél testpajzs</v>
      </c>
      <c r="B1672" s="21"/>
      <c r="C1672" s="21"/>
      <c r="D1672" s="21"/>
    </row>
    <row r="1673" spans="1:4" ht="12.75" customHeight="1" x14ac:dyDescent="0.2">
      <c r="A1673" s="20"/>
      <c r="B1673" s="2"/>
      <c r="C1673" s="2"/>
      <c r="D1673" s="2"/>
    </row>
    <row r="1674" spans="1:4" ht="12.75" customHeight="1" x14ac:dyDescent="0.2">
      <c r="A1674" s="21"/>
      <c r="B1674" s="3" t="s">
        <v>0</v>
      </c>
      <c r="C1674" s="20" t="s">
        <v>291</v>
      </c>
      <c r="D1674" s="21"/>
    </row>
    <row r="1675" spans="1:4" ht="12.75" customHeight="1" x14ac:dyDescent="0.2">
      <c r="A1675" s="21"/>
      <c r="B1675" s="3" t="s">
        <v>2</v>
      </c>
      <c r="C1675" s="20" t="s">
        <v>1839</v>
      </c>
      <c r="D1675" s="21"/>
    </row>
    <row r="1676" spans="1:4" ht="12.75" customHeight="1" x14ac:dyDescent="0.2">
      <c r="A1676" s="21"/>
      <c r="B1676" s="3" t="s">
        <v>1840</v>
      </c>
      <c r="C1676" s="20" t="s">
        <v>532</v>
      </c>
      <c r="D1676" s="21"/>
    </row>
    <row r="1677" spans="1:4" ht="12.75" customHeight="1" x14ac:dyDescent="0.2">
      <c r="A1677" s="21"/>
      <c r="B1677" s="3" t="s">
        <v>9</v>
      </c>
      <c r="C1677" s="20" t="s">
        <v>549</v>
      </c>
      <c r="D1677" s="21"/>
    </row>
    <row r="1678" spans="1:4" ht="12.75" customHeight="1" x14ac:dyDescent="0.2">
      <c r="A1678" s="21"/>
      <c r="B1678" s="3" t="s">
        <v>11</v>
      </c>
      <c r="C1678" s="20" t="s">
        <v>162</v>
      </c>
      <c r="D1678" s="21"/>
    </row>
    <row r="1679" spans="1:4" ht="12.75" customHeight="1" x14ac:dyDescent="0.2">
      <c r="A1679" s="21"/>
      <c r="B1679" s="3" t="s">
        <v>16</v>
      </c>
      <c r="C1679" s="20"/>
      <c r="D1679" s="21"/>
    </row>
    <row r="1680" spans="1:4" ht="12.75" customHeight="1" x14ac:dyDescent="0.2">
      <c r="A1680" s="21"/>
      <c r="B1680" s="3" t="s">
        <v>17</v>
      </c>
      <c r="C1680" s="20" t="s">
        <v>19</v>
      </c>
      <c r="D1680" s="21"/>
    </row>
    <row r="1681" spans="1:4" ht="12.75" customHeight="1" x14ac:dyDescent="0.2">
      <c r="A1681" s="21"/>
      <c r="B1681" s="20" t="s">
        <v>18</v>
      </c>
      <c r="C1681" s="4" t="s">
        <v>44</v>
      </c>
      <c r="D1681" s="6" t="str">
        <f>HYPERLINK("javascript:void(0)","hiper testpajzs")</f>
        <v>hiper testpajzs</v>
      </c>
    </row>
    <row r="1682" spans="1:4" ht="12.75" customHeight="1" x14ac:dyDescent="0.2">
      <c r="A1682" s="21"/>
      <c r="B1682" s="21"/>
      <c r="C1682" s="4" t="s">
        <v>244</v>
      </c>
      <c r="D1682" s="6" t="str">
        <f>HYPERLINK("javascript:void(0)","sárkány izom")</f>
        <v>sárkány izom</v>
      </c>
    </row>
    <row r="1683" spans="1:4" ht="12.75" customHeight="1" x14ac:dyDescent="0.2">
      <c r="A1683" s="21"/>
      <c r="B1683" s="21"/>
      <c r="C1683" s="4" t="s">
        <v>139</v>
      </c>
      <c r="D1683" s="6" t="str">
        <f>HYPERLINK("javascript:void(0)","sárkány szív")</f>
        <v>sárkány szív</v>
      </c>
    </row>
    <row r="1684" spans="1:4" ht="12.75" customHeight="1" x14ac:dyDescent="0.2">
      <c r="A1684" s="21"/>
      <c r="B1684" s="2"/>
      <c r="C1684" s="2"/>
      <c r="D1684" s="2"/>
    </row>
    <row r="1685" spans="1:4" ht="12.75" customHeight="1" x14ac:dyDescent="0.2">
      <c r="A1685" s="21"/>
      <c r="B1685" s="2"/>
      <c r="C1685" s="2"/>
      <c r="D1685" s="2"/>
    </row>
    <row r="1686" spans="1:4" ht="12.75" customHeight="1" x14ac:dyDescent="0.2">
      <c r="A1686" s="21"/>
      <c r="B1686" s="2"/>
      <c r="C1686" s="2"/>
      <c r="D1686" s="2"/>
    </row>
    <row r="1687" spans="1:4" ht="12.75" customHeight="1" x14ac:dyDescent="0.2">
      <c r="A1687" s="21"/>
      <c r="B1687" s="2"/>
      <c r="C1687" s="2"/>
      <c r="D1687" s="2"/>
    </row>
    <row r="1688" spans="1:4" ht="12.75" customHeight="1" x14ac:dyDescent="0.2">
      <c r="A1688" s="5"/>
      <c r="B1688" s="2"/>
      <c r="C1688" s="2"/>
      <c r="D1688" s="2"/>
    </row>
    <row r="1689" spans="1:4" ht="12.75" customHeight="1" x14ac:dyDescent="0.2">
      <c r="A1689" s="22" t="str">
        <f>HYPERLINK("javascript:void(0)","opál pillepajzs")</f>
        <v>opál pillepajzs</v>
      </c>
      <c r="B1689" s="21"/>
      <c r="C1689" s="21"/>
      <c r="D1689" s="21"/>
    </row>
    <row r="1690" spans="1:4" ht="12.75" customHeight="1" x14ac:dyDescent="0.2">
      <c r="A1690" s="20"/>
      <c r="B1690" s="2"/>
      <c r="C1690" s="2"/>
      <c r="D1690" s="2"/>
    </row>
    <row r="1691" spans="1:4" ht="12.75" customHeight="1" x14ac:dyDescent="0.2">
      <c r="A1691" s="21"/>
      <c r="B1691" s="3" t="s">
        <v>0</v>
      </c>
      <c r="C1691" s="20" t="s">
        <v>291</v>
      </c>
      <c r="D1691" s="21"/>
    </row>
    <row r="1692" spans="1:4" ht="12.75" customHeight="1" x14ac:dyDescent="0.2">
      <c r="A1692" s="21"/>
      <c r="B1692" s="3" t="s">
        <v>2</v>
      </c>
      <c r="C1692" s="20" t="s">
        <v>1839</v>
      </c>
      <c r="D1692" s="21"/>
    </row>
    <row r="1693" spans="1:4" ht="12.75" customHeight="1" x14ac:dyDescent="0.2">
      <c r="A1693" s="21"/>
      <c r="B1693" s="3" t="s">
        <v>1840</v>
      </c>
      <c r="C1693" s="20" t="s">
        <v>167</v>
      </c>
      <c r="D1693" s="21"/>
    </row>
    <row r="1694" spans="1:4" ht="12.75" customHeight="1" x14ac:dyDescent="0.2">
      <c r="A1694" s="21"/>
      <c r="B1694" s="3" t="s">
        <v>9</v>
      </c>
      <c r="C1694" s="20" t="s">
        <v>2001</v>
      </c>
      <c r="D1694" s="21"/>
    </row>
    <row r="1695" spans="1:4" ht="12.75" customHeight="1" x14ac:dyDescent="0.2">
      <c r="A1695" s="21"/>
      <c r="B1695" s="3" t="s">
        <v>11</v>
      </c>
      <c r="C1695" s="20" t="s">
        <v>191</v>
      </c>
      <c r="D1695" s="21"/>
    </row>
    <row r="1696" spans="1:4" ht="12.75" customHeight="1" x14ac:dyDescent="0.2">
      <c r="A1696" s="21"/>
      <c r="B1696" s="3" t="s">
        <v>16</v>
      </c>
      <c r="C1696" s="20"/>
      <c r="D1696" s="21"/>
    </row>
    <row r="1697" spans="1:4" ht="12.75" customHeight="1" x14ac:dyDescent="0.2">
      <c r="A1697" s="21"/>
      <c r="B1697" s="3" t="s">
        <v>17</v>
      </c>
      <c r="C1697" s="20" t="s">
        <v>19</v>
      </c>
      <c r="D1697" s="21"/>
    </row>
    <row r="1698" spans="1:4" ht="12.75" customHeight="1" x14ac:dyDescent="0.2">
      <c r="A1698" s="21"/>
      <c r="B1698" s="20" t="s">
        <v>18</v>
      </c>
      <c r="C1698" s="4" t="s">
        <v>44</v>
      </c>
      <c r="D1698" s="6" t="str">
        <f>HYPERLINK("javascript:void(0)","dracoacél testpajzs")</f>
        <v>dracoacél testpajzs</v>
      </c>
    </row>
    <row r="1699" spans="1:4" ht="12.75" customHeight="1" x14ac:dyDescent="0.2">
      <c r="A1699" s="21"/>
      <c r="B1699" s="21"/>
      <c r="C1699" s="4" t="s">
        <v>323</v>
      </c>
      <c r="D1699" s="6" t="str">
        <f>HYPERLINK("javascript:void(0)","opál")</f>
        <v>opál</v>
      </c>
    </row>
    <row r="1700" spans="1:4" ht="12.75" customHeight="1" x14ac:dyDescent="0.2">
      <c r="A1700" s="21"/>
      <c r="B1700" s="21"/>
      <c r="C1700" s="4" t="s">
        <v>117</v>
      </c>
      <c r="D1700" s="6" t="str">
        <f>HYPERLINK("javascript:void(0)","légzsák")</f>
        <v>légzsák</v>
      </c>
    </row>
    <row r="1701" spans="1:4" ht="12.75" customHeight="1" x14ac:dyDescent="0.2">
      <c r="A1701" s="21"/>
      <c r="B1701" s="2"/>
      <c r="C1701" s="2"/>
      <c r="D1701" s="2"/>
    </row>
    <row r="1702" spans="1:4" ht="12.75" customHeight="1" x14ac:dyDescent="0.2">
      <c r="A1702" s="21"/>
      <c r="B1702" s="2"/>
      <c r="C1702" s="2"/>
      <c r="D1702" s="2"/>
    </row>
    <row r="1703" spans="1:4" ht="12.75" customHeight="1" x14ac:dyDescent="0.2">
      <c r="A1703" s="21"/>
      <c r="B1703" s="2"/>
      <c r="C1703" s="2"/>
      <c r="D1703" s="2"/>
    </row>
    <row r="1704" spans="1:4" ht="12.75" customHeight="1" x14ac:dyDescent="0.2">
      <c r="A1704" s="21"/>
      <c r="B1704" s="2"/>
      <c r="C1704" s="2"/>
      <c r="D1704" s="2"/>
    </row>
    <row r="1705" spans="1:4" ht="12.75" customHeight="1" x14ac:dyDescent="0.2">
      <c r="A1705" s="5"/>
      <c r="B1705" s="2"/>
      <c r="C1705" s="2"/>
      <c r="D1705" s="2"/>
    </row>
    <row r="1706" spans="1:4" ht="12.75" customHeight="1" x14ac:dyDescent="0.2">
      <c r="A1706" s="22" t="str">
        <f>HYPERLINK("javascript:void(0)","elfacél keresztvas")</f>
        <v>elfacél keresztvas</v>
      </c>
      <c r="B1706" s="21"/>
      <c r="C1706" s="21"/>
      <c r="D1706" s="21"/>
    </row>
    <row r="1707" spans="1:4" ht="12.75" customHeight="1" x14ac:dyDescent="0.2">
      <c r="A1707" s="20"/>
      <c r="B1707" s="2"/>
      <c r="C1707" s="2"/>
      <c r="D1707" s="2"/>
    </row>
    <row r="1708" spans="1:4" ht="12.75" customHeight="1" x14ac:dyDescent="0.2">
      <c r="A1708" s="21"/>
      <c r="B1708" s="3" t="s">
        <v>0</v>
      </c>
      <c r="C1708" s="20" t="s">
        <v>298</v>
      </c>
      <c r="D1708" s="21"/>
    </row>
    <row r="1709" spans="1:4" ht="12.75" customHeight="1" x14ac:dyDescent="0.2">
      <c r="A1709" s="21"/>
      <c r="B1709" s="3" t="s">
        <v>2</v>
      </c>
      <c r="C1709" s="20" t="s">
        <v>1839</v>
      </c>
      <c r="D1709" s="21"/>
    </row>
    <row r="1710" spans="1:4" ht="12.75" customHeight="1" x14ac:dyDescent="0.2">
      <c r="A1710" s="21"/>
      <c r="B1710" s="3" t="s">
        <v>1840</v>
      </c>
      <c r="C1710" s="20" t="s">
        <v>21</v>
      </c>
      <c r="D1710" s="21"/>
    </row>
    <row r="1711" spans="1:4" ht="12.75" customHeight="1" x14ac:dyDescent="0.2">
      <c r="A1711" s="21"/>
      <c r="B1711" s="3" t="s">
        <v>9</v>
      </c>
      <c r="C1711" s="20" t="s">
        <v>30</v>
      </c>
      <c r="D1711" s="21"/>
    </row>
    <row r="1712" spans="1:4" ht="12.75" customHeight="1" x14ac:dyDescent="0.2">
      <c r="A1712" s="21"/>
      <c r="B1712" s="3" t="s">
        <v>11</v>
      </c>
      <c r="C1712" s="20" t="s">
        <v>530</v>
      </c>
      <c r="D1712" s="21"/>
    </row>
    <row r="1713" spans="1:4" ht="12.75" customHeight="1" x14ac:dyDescent="0.2">
      <c r="A1713" s="21"/>
      <c r="B1713" s="3" t="s">
        <v>16</v>
      </c>
      <c r="C1713" s="20"/>
      <c r="D1713" s="21"/>
    </row>
    <row r="1714" spans="1:4" ht="12.75" customHeight="1" x14ac:dyDescent="0.2">
      <c r="A1714" s="21"/>
      <c r="B1714" s="3" t="s">
        <v>17</v>
      </c>
      <c r="C1714" s="20" t="s">
        <v>19</v>
      </c>
      <c r="D1714" s="21"/>
    </row>
    <row r="1715" spans="1:4" ht="12.75" customHeight="1" x14ac:dyDescent="0.2">
      <c r="A1715" s="21"/>
      <c r="B1715" s="20" t="s">
        <v>18</v>
      </c>
      <c r="C1715" s="4" t="s">
        <v>290</v>
      </c>
      <c r="D1715" s="6" t="str">
        <f>HYPERLINK("javascript:void(0)","gyémánt")</f>
        <v>gyémánt</v>
      </c>
    </row>
    <row r="1716" spans="1:4" ht="12.75" customHeight="1" x14ac:dyDescent="0.2">
      <c r="A1716" s="21"/>
      <c r="B1716" s="21"/>
      <c r="C1716" s="4" t="s">
        <v>55</v>
      </c>
      <c r="D1716" s="6" t="str">
        <f>HYPERLINK("javascript:void(0)","szent szimbólum")</f>
        <v>szent szimbólum</v>
      </c>
    </row>
    <row r="1717" spans="1:4" ht="12.75" customHeight="1" x14ac:dyDescent="0.2">
      <c r="A1717" s="21"/>
      <c r="B1717" s="21"/>
      <c r="C1717" s="4" t="s">
        <v>139</v>
      </c>
      <c r="D1717" s="6" t="str">
        <f>HYPERLINK("javascript:void(0)","sárkányfű")</f>
        <v>sárkányfű</v>
      </c>
    </row>
    <row r="1718" spans="1:4" ht="12.75" customHeight="1" x14ac:dyDescent="0.2">
      <c r="A1718" s="21"/>
      <c r="B1718" s="2"/>
      <c r="C1718" s="2"/>
      <c r="D1718" s="2"/>
    </row>
    <row r="1719" spans="1:4" ht="12.75" customHeight="1" x14ac:dyDescent="0.2">
      <c r="A1719" s="21"/>
      <c r="B1719" s="2"/>
      <c r="C1719" s="2"/>
      <c r="D1719" s="2"/>
    </row>
    <row r="1720" spans="1:4" ht="12.75" customHeight="1" x14ac:dyDescent="0.2">
      <c r="A1720" s="21"/>
      <c r="B1720" s="2"/>
      <c r="C1720" s="2"/>
      <c r="D1720" s="2"/>
    </row>
    <row r="1721" spans="1:4" ht="12.75" customHeight="1" x14ac:dyDescent="0.2">
      <c r="A1721" s="21"/>
      <c r="B1721" s="2"/>
      <c r="C1721" s="2"/>
      <c r="D1721" s="2"/>
    </row>
    <row r="1722" spans="1:4" ht="12.75" customHeight="1" x14ac:dyDescent="0.2">
      <c r="A1722" s="5"/>
      <c r="B1722" s="2"/>
      <c r="C1722" s="2"/>
      <c r="D1722" s="2"/>
    </row>
    <row r="1723" spans="1:4" ht="12.75" customHeight="1" x14ac:dyDescent="0.2">
      <c r="A1723" s="22" t="str">
        <f>HYPERLINK("javascript:void(0)","elfacél nyél")</f>
        <v>elfacél nyél</v>
      </c>
      <c r="B1723" s="21"/>
      <c r="C1723" s="21"/>
      <c r="D1723" s="21"/>
    </row>
    <row r="1724" spans="1:4" ht="12.75" customHeight="1" x14ac:dyDescent="0.2">
      <c r="A1724" s="20"/>
      <c r="B1724" s="2"/>
      <c r="C1724" s="2"/>
      <c r="D1724" s="2"/>
    </row>
    <row r="1725" spans="1:4" ht="12.75" customHeight="1" x14ac:dyDescent="0.2">
      <c r="A1725" s="21"/>
      <c r="B1725" s="3" t="s">
        <v>0</v>
      </c>
      <c r="C1725" s="20" t="s">
        <v>298</v>
      </c>
      <c r="D1725" s="21"/>
    </row>
    <row r="1726" spans="1:4" ht="12.75" customHeight="1" x14ac:dyDescent="0.2">
      <c r="A1726" s="21"/>
      <c r="B1726" s="3" t="s">
        <v>2</v>
      </c>
      <c r="C1726" s="20" t="s">
        <v>1839</v>
      </c>
      <c r="D1726" s="21"/>
    </row>
    <row r="1727" spans="1:4" ht="12.75" customHeight="1" x14ac:dyDescent="0.2">
      <c r="A1727" s="21"/>
      <c r="B1727" s="3" t="s">
        <v>1840</v>
      </c>
      <c r="C1727" s="20" t="s">
        <v>21</v>
      </c>
      <c r="D1727" s="21"/>
    </row>
    <row r="1728" spans="1:4" ht="12.75" customHeight="1" x14ac:dyDescent="0.2">
      <c r="A1728" s="21"/>
      <c r="B1728" s="3" t="s">
        <v>9</v>
      </c>
      <c r="C1728" s="20" t="s">
        <v>573</v>
      </c>
      <c r="D1728" s="21"/>
    </row>
    <row r="1729" spans="1:4" ht="12.75" customHeight="1" x14ac:dyDescent="0.2">
      <c r="A1729" s="21"/>
      <c r="B1729" s="3" t="s">
        <v>11</v>
      </c>
      <c r="C1729" s="20" t="s">
        <v>2004</v>
      </c>
      <c r="D1729" s="21"/>
    </row>
    <row r="1730" spans="1:4" ht="12.75" customHeight="1" x14ac:dyDescent="0.2">
      <c r="A1730" s="21"/>
      <c r="B1730" s="3" t="s">
        <v>16</v>
      </c>
      <c r="C1730" s="20"/>
      <c r="D1730" s="21"/>
    </row>
    <row r="1731" spans="1:4" ht="12.75" customHeight="1" x14ac:dyDescent="0.2">
      <c r="A1731" s="21"/>
      <c r="B1731" s="3" t="s">
        <v>17</v>
      </c>
      <c r="C1731" s="20" t="s">
        <v>19</v>
      </c>
      <c r="D1731" s="21"/>
    </row>
    <row r="1732" spans="1:4" ht="12.75" customHeight="1" x14ac:dyDescent="0.2">
      <c r="A1732" s="21"/>
      <c r="B1732" s="20" t="s">
        <v>18</v>
      </c>
      <c r="C1732" s="4" t="s">
        <v>2005</v>
      </c>
      <c r="D1732" s="6" t="str">
        <f>HYPERLINK("javascript:void(0)","rubin")</f>
        <v>rubin</v>
      </c>
    </row>
    <row r="1733" spans="1:4" ht="12.75" customHeight="1" x14ac:dyDescent="0.2">
      <c r="A1733" s="21"/>
      <c r="B1733" s="21"/>
      <c r="C1733" s="4" t="s">
        <v>55</v>
      </c>
      <c r="D1733" s="6" t="str">
        <f>HYPERLINK("javascript:void(0)","légzsák")</f>
        <v>légzsák</v>
      </c>
    </row>
    <row r="1734" spans="1:4" ht="12.75" customHeight="1" x14ac:dyDescent="0.2">
      <c r="A1734" s="21"/>
      <c r="B1734" s="21"/>
      <c r="C1734" s="4" t="s">
        <v>139</v>
      </c>
      <c r="D1734" s="6" t="str">
        <f>HYPERLINK("javascript:void(0)","sárkányfű")</f>
        <v>sárkányfű</v>
      </c>
    </row>
    <row r="1735" spans="1:4" ht="12.75" customHeight="1" x14ac:dyDescent="0.2">
      <c r="A1735" s="21"/>
      <c r="B1735" s="2"/>
      <c r="C1735" s="2"/>
      <c r="D1735" s="2"/>
    </row>
    <row r="1736" spans="1:4" ht="12.75" customHeight="1" x14ac:dyDescent="0.2">
      <c r="A1736" s="21"/>
      <c r="B1736" s="2"/>
      <c r="C1736" s="2"/>
      <c r="D1736" s="2"/>
    </row>
    <row r="1737" spans="1:4" ht="12.75" customHeight="1" x14ac:dyDescent="0.2">
      <c r="A1737" s="21"/>
      <c r="B1737" s="2"/>
      <c r="C1737" s="2"/>
      <c r="D1737" s="2"/>
    </row>
    <row r="1738" spans="1:4" ht="12.75" customHeight="1" x14ac:dyDescent="0.2">
      <c r="A1738" s="21"/>
      <c r="B1738" s="2"/>
      <c r="C1738" s="2"/>
      <c r="D1738" s="2"/>
    </row>
    <row r="1739" spans="1:4" ht="12.75" customHeight="1" x14ac:dyDescent="0.2">
      <c r="A1739" s="5"/>
      <c r="B1739" s="2"/>
      <c r="C1739" s="2"/>
      <c r="D1739" s="2"/>
    </row>
    <row r="1740" spans="1:4" ht="12.75" customHeight="1" x14ac:dyDescent="0.2">
      <c r="A1740" s="22" t="str">
        <f>HYPERLINK("javascript:void(0)","elfacél pajzs")</f>
        <v>elfacél pajzs</v>
      </c>
      <c r="B1740" s="21"/>
      <c r="C1740" s="21"/>
      <c r="D1740" s="21"/>
    </row>
    <row r="1741" spans="1:4" ht="12.75" customHeight="1" x14ac:dyDescent="0.2">
      <c r="A1741" s="20"/>
      <c r="B1741" s="2"/>
      <c r="C1741" s="2"/>
      <c r="D1741" s="2"/>
    </row>
    <row r="1742" spans="1:4" ht="12.75" customHeight="1" x14ac:dyDescent="0.2">
      <c r="A1742" s="21"/>
      <c r="B1742" s="3" t="s">
        <v>0</v>
      </c>
      <c r="C1742" s="20" t="s">
        <v>298</v>
      </c>
      <c r="D1742" s="21"/>
    </row>
    <row r="1743" spans="1:4" ht="12.75" customHeight="1" x14ac:dyDescent="0.2">
      <c r="A1743" s="21"/>
      <c r="B1743" s="3" t="s">
        <v>2</v>
      </c>
      <c r="C1743" s="20" t="s">
        <v>1839</v>
      </c>
      <c r="D1743" s="21"/>
    </row>
    <row r="1744" spans="1:4" ht="12.75" customHeight="1" x14ac:dyDescent="0.2">
      <c r="A1744" s="21"/>
      <c r="B1744" s="3" t="s">
        <v>1840</v>
      </c>
      <c r="C1744" s="20" t="s">
        <v>562</v>
      </c>
      <c r="D1744" s="21"/>
    </row>
    <row r="1745" spans="1:4" ht="12.75" customHeight="1" x14ac:dyDescent="0.2">
      <c r="A1745" s="21"/>
      <c r="B1745" s="3" t="s">
        <v>9</v>
      </c>
      <c r="C1745" s="20" t="s">
        <v>377</v>
      </c>
      <c r="D1745" s="21"/>
    </row>
    <row r="1746" spans="1:4" ht="12.75" customHeight="1" x14ac:dyDescent="0.2">
      <c r="A1746" s="21"/>
      <c r="B1746" s="3" t="s">
        <v>11</v>
      </c>
      <c r="C1746" s="20" t="s">
        <v>203</v>
      </c>
      <c r="D1746" s="21"/>
    </row>
    <row r="1747" spans="1:4" ht="12.75" customHeight="1" x14ac:dyDescent="0.2">
      <c r="A1747" s="21"/>
      <c r="B1747" s="3" t="s">
        <v>16</v>
      </c>
      <c r="C1747" s="20"/>
      <c r="D1747" s="21"/>
    </row>
    <row r="1748" spans="1:4" ht="12.75" customHeight="1" x14ac:dyDescent="0.2">
      <c r="A1748" s="21"/>
      <c r="B1748" s="3" t="s">
        <v>17</v>
      </c>
      <c r="C1748" s="20" t="s">
        <v>19</v>
      </c>
      <c r="D1748" s="21"/>
    </row>
    <row r="1749" spans="1:4" ht="12.75" customHeight="1" x14ac:dyDescent="0.2">
      <c r="A1749" s="21"/>
      <c r="B1749" s="20" t="s">
        <v>18</v>
      </c>
      <c r="C1749" s="4" t="s">
        <v>44</v>
      </c>
      <c r="D1749" s="6" t="str">
        <f>HYPERLINK("javascript:void(0)","nyulványpajzs")</f>
        <v>nyulványpajzs</v>
      </c>
    </row>
    <row r="1750" spans="1:4" ht="12.75" customHeight="1" x14ac:dyDescent="0.2">
      <c r="A1750" s="21"/>
      <c r="B1750" s="21"/>
      <c r="C1750" s="4" t="s">
        <v>67</v>
      </c>
      <c r="D1750" s="6" t="str">
        <f>HYPERLINK("javascript:void(0)","sárkány taréj")</f>
        <v>sárkány taréj</v>
      </c>
    </row>
    <row r="1751" spans="1:4" ht="12.75" customHeight="1" x14ac:dyDescent="0.2">
      <c r="A1751" s="21"/>
      <c r="B1751" s="21"/>
      <c r="C1751" s="4" t="s">
        <v>142</v>
      </c>
      <c r="D1751" s="6" t="str">
        <f>HYPERLINK("javascript:void(0)","szent szimbólum")</f>
        <v>szent szimbólum</v>
      </c>
    </row>
    <row r="1752" spans="1:4" ht="12.75" customHeight="1" x14ac:dyDescent="0.2">
      <c r="A1752" s="21"/>
      <c r="B1752" s="2"/>
      <c r="C1752" s="2"/>
      <c r="D1752" s="2"/>
    </row>
    <row r="1753" spans="1:4" ht="12.75" customHeight="1" x14ac:dyDescent="0.2">
      <c r="A1753" s="21"/>
      <c r="B1753" s="2"/>
      <c r="C1753" s="2"/>
      <c r="D1753" s="2"/>
    </row>
    <row r="1754" spans="1:4" ht="12.75" customHeight="1" x14ac:dyDescent="0.2">
      <c r="A1754" s="21"/>
      <c r="B1754" s="2"/>
      <c r="C1754" s="2"/>
      <c r="D1754" s="2"/>
    </row>
    <row r="1755" spans="1:4" ht="12.75" customHeight="1" x14ac:dyDescent="0.2">
      <c r="A1755" s="21"/>
      <c r="B1755" s="2"/>
      <c r="C1755" s="2"/>
      <c r="D1755" s="2"/>
    </row>
    <row r="1756" spans="1:4" ht="12.75" customHeight="1" x14ac:dyDescent="0.2">
      <c r="A1756" s="5"/>
      <c r="B1756" s="2"/>
      <c r="C1756" s="2"/>
      <c r="D1756" s="2"/>
    </row>
    <row r="1757" spans="1:4" ht="12.75" customHeight="1" x14ac:dyDescent="0.2">
      <c r="A1757" s="22" t="str">
        <f>HYPERLINK("javascript:void(0)","jáspis pillepajzs")</f>
        <v>jáspis pillepajzs</v>
      </c>
      <c r="B1757" s="21"/>
      <c r="C1757" s="21"/>
      <c r="D1757" s="21"/>
    </row>
    <row r="1758" spans="1:4" ht="12.75" customHeight="1" x14ac:dyDescent="0.2">
      <c r="A1758" s="20"/>
      <c r="B1758" s="2"/>
      <c r="C1758" s="2"/>
      <c r="D1758" s="2"/>
    </row>
    <row r="1759" spans="1:4" ht="12.75" customHeight="1" x14ac:dyDescent="0.2">
      <c r="A1759" s="21"/>
      <c r="B1759" s="3" t="s">
        <v>0</v>
      </c>
      <c r="C1759" s="20" t="s">
        <v>298</v>
      </c>
      <c r="D1759" s="21"/>
    </row>
    <row r="1760" spans="1:4" ht="12.75" customHeight="1" x14ac:dyDescent="0.2">
      <c r="A1760" s="21"/>
      <c r="B1760" s="3" t="s">
        <v>2</v>
      </c>
      <c r="C1760" s="20" t="s">
        <v>1839</v>
      </c>
      <c r="D1760" s="21"/>
    </row>
    <row r="1761" spans="1:4" ht="12.75" customHeight="1" x14ac:dyDescent="0.2">
      <c r="A1761" s="21"/>
      <c r="B1761" s="3" t="s">
        <v>1840</v>
      </c>
      <c r="C1761" s="20" t="s">
        <v>562</v>
      </c>
      <c r="D1761" s="21"/>
    </row>
    <row r="1762" spans="1:4" ht="12.75" customHeight="1" x14ac:dyDescent="0.2">
      <c r="A1762" s="21"/>
      <c r="B1762" s="3" t="s">
        <v>9</v>
      </c>
      <c r="C1762" s="20" t="s">
        <v>2010</v>
      </c>
      <c r="D1762" s="21"/>
    </row>
    <row r="1763" spans="1:4" ht="12.75" customHeight="1" x14ac:dyDescent="0.2">
      <c r="A1763" s="21"/>
      <c r="B1763" s="3" t="s">
        <v>11</v>
      </c>
      <c r="C1763" s="20" t="s">
        <v>243</v>
      </c>
      <c r="D1763" s="21"/>
    </row>
    <row r="1764" spans="1:4" ht="12.75" customHeight="1" x14ac:dyDescent="0.2">
      <c r="A1764" s="21"/>
      <c r="B1764" s="3" t="s">
        <v>16</v>
      </c>
      <c r="C1764" s="20"/>
      <c r="D1764" s="21"/>
    </row>
    <row r="1765" spans="1:4" ht="12.75" customHeight="1" x14ac:dyDescent="0.2">
      <c r="A1765" s="21"/>
      <c r="B1765" s="3" t="s">
        <v>17</v>
      </c>
      <c r="C1765" s="20" t="s">
        <v>19</v>
      </c>
      <c r="D1765" s="21"/>
    </row>
    <row r="1766" spans="1:4" ht="12.75" customHeight="1" x14ac:dyDescent="0.2">
      <c r="A1766" s="21"/>
      <c r="B1766" s="20" t="s">
        <v>18</v>
      </c>
      <c r="C1766" s="4" t="s">
        <v>44</v>
      </c>
      <c r="D1766" s="6" t="str">
        <f>HYPERLINK("javascript:void(0)","elfacél pajzs")</f>
        <v>elfacél pajzs</v>
      </c>
    </row>
    <row r="1767" spans="1:4" ht="12.75" customHeight="1" x14ac:dyDescent="0.2">
      <c r="A1767" s="21"/>
      <c r="B1767" s="21"/>
      <c r="C1767" s="4" t="s">
        <v>271</v>
      </c>
      <c r="D1767" s="6" t="str">
        <f>HYPERLINK("javascript:void(0)","jáspis")</f>
        <v>jáspis</v>
      </c>
    </row>
    <row r="1768" spans="1:4" ht="12.75" customHeight="1" x14ac:dyDescent="0.2">
      <c r="A1768" s="21"/>
      <c r="B1768" s="21"/>
      <c r="C1768" s="4" t="s">
        <v>117</v>
      </c>
      <c r="D1768" s="6" t="str">
        <f>HYPERLINK("javascript:void(0)","sejtmag")</f>
        <v>sejtmag</v>
      </c>
    </row>
    <row r="1769" spans="1:4" ht="12.75" customHeight="1" x14ac:dyDescent="0.2">
      <c r="A1769" s="21"/>
      <c r="B1769" s="2"/>
      <c r="C1769" s="2"/>
      <c r="D1769" s="2"/>
    </row>
    <row r="1770" spans="1:4" ht="12.75" customHeight="1" x14ac:dyDescent="0.2">
      <c r="A1770" s="21"/>
      <c r="B1770" s="2"/>
      <c r="C1770" s="2"/>
      <c r="D1770" s="2"/>
    </row>
    <row r="1771" spans="1:4" ht="12.75" customHeight="1" x14ac:dyDescent="0.2">
      <c r="A1771" s="21"/>
      <c r="B1771" s="2"/>
      <c r="C1771" s="2"/>
      <c r="D1771" s="2"/>
    </row>
    <row r="1772" spans="1:4" ht="12.75" customHeight="1" x14ac:dyDescent="0.2">
      <c r="A1772" s="21"/>
      <c r="B1772" s="2"/>
      <c r="C1772" s="2"/>
      <c r="D1772" s="2"/>
    </row>
    <row r="1773" spans="1:4" ht="12.75" customHeight="1" x14ac:dyDescent="0.2">
      <c r="A1773" s="5"/>
      <c r="B1773" s="2"/>
      <c r="C1773" s="2"/>
      <c r="D1773" s="2"/>
    </row>
    <row r="1774" spans="1:4" ht="12.75" customHeight="1" x14ac:dyDescent="0.2">
      <c r="A1774" s="22" t="str">
        <f>HYPERLINK("javascript:void(0)","elfacél testpajzs")</f>
        <v>elfacél testpajzs</v>
      </c>
      <c r="B1774" s="21"/>
      <c r="C1774" s="21"/>
      <c r="D1774" s="21"/>
    </row>
    <row r="1775" spans="1:4" ht="12.75" customHeight="1" x14ac:dyDescent="0.2">
      <c r="A1775" s="20"/>
      <c r="B1775" s="2"/>
      <c r="C1775" s="2"/>
      <c r="D1775" s="2"/>
    </row>
    <row r="1776" spans="1:4" ht="12.75" customHeight="1" x14ac:dyDescent="0.2">
      <c r="A1776" s="21"/>
      <c r="B1776" s="3" t="s">
        <v>0</v>
      </c>
      <c r="C1776" s="20" t="s">
        <v>187</v>
      </c>
      <c r="D1776" s="21"/>
    </row>
    <row r="1777" spans="1:4" ht="12.75" customHeight="1" x14ac:dyDescent="0.2">
      <c r="A1777" s="21"/>
      <c r="B1777" s="3" t="s">
        <v>2</v>
      </c>
      <c r="C1777" s="20" t="s">
        <v>1839</v>
      </c>
      <c r="D1777" s="21"/>
    </row>
    <row r="1778" spans="1:4" ht="12.75" customHeight="1" x14ac:dyDescent="0.2">
      <c r="A1778" s="21"/>
      <c r="B1778" s="3" t="s">
        <v>1840</v>
      </c>
      <c r="C1778" s="20" t="s">
        <v>151</v>
      </c>
      <c r="D1778" s="21"/>
    </row>
    <row r="1779" spans="1:4" ht="12.75" customHeight="1" x14ac:dyDescent="0.2">
      <c r="A1779" s="21"/>
      <c r="B1779" s="3" t="s">
        <v>9</v>
      </c>
      <c r="C1779" s="20" t="s">
        <v>262</v>
      </c>
      <c r="D1779" s="21"/>
    </row>
    <row r="1780" spans="1:4" ht="12.75" customHeight="1" x14ac:dyDescent="0.2">
      <c r="A1780" s="21"/>
      <c r="B1780" s="3" t="s">
        <v>11</v>
      </c>
      <c r="C1780" s="20" t="s">
        <v>259</v>
      </c>
      <c r="D1780" s="21"/>
    </row>
    <row r="1781" spans="1:4" ht="12.75" customHeight="1" x14ac:dyDescent="0.2">
      <c r="A1781" s="21"/>
      <c r="B1781" s="3" t="s">
        <v>16</v>
      </c>
      <c r="C1781" s="20"/>
      <c r="D1781" s="21"/>
    </row>
    <row r="1782" spans="1:4" ht="12.75" customHeight="1" x14ac:dyDescent="0.2">
      <c r="A1782" s="21"/>
      <c r="B1782" s="3" t="s">
        <v>17</v>
      </c>
      <c r="C1782" s="20" t="s">
        <v>19</v>
      </c>
      <c r="D1782" s="21"/>
    </row>
    <row r="1783" spans="1:4" ht="12.75" customHeight="1" x14ac:dyDescent="0.2">
      <c r="A1783" s="21"/>
      <c r="B1783" s="20" t="s">
        <v>18</v>
      </c>
      <c r="C1783" s="4" t="s">
        <v>44</v>
      </c>
      <c r="D1783" s="6" t="str">
        <f>HYPERLINK("javascript:void(0)","dracoacél testpajzs")</f>
        <v>dracoacél testpajzs</v>
      </c>
    </row>
    <row r="1784" spans="1:4" ht="12.75" customHeight="1" x14ac:dyDescent="0.2">
      <c r="A1784" s="21"/>
      <c r="B1784" s="21"/>
      <c r="C1784" s="4" t="s">
        <v>139</v>
      </c>
      <c r="D1784" s="6" t="str">
        <f>HYPERLINK("javascript:void(0)","sárkány szem")</f>
        <v>sárkány szem</v>
      </c>
    </row>
    <row r="1785" spans="1:4" ht="12.75" customHeight="1" x14ac:dyDescent="0.2">
      <c r="A1785" s="21"/>
      <c r="B1785" s="21"/>
      <c r="C1785" s="4" t="s">
        <v>117</v>
      </c>
      <c r="D1785" s="6" t="str">
        <f>HYPERLINK("javascript:void(0)","kihunyt glória")</f>
        <v>kihunyt glória</v>
      </c>
    </row>
    <row r="1786" spans="1:4" ht="12.75" customHeight="1" x14ac:dyDescent="0.2">
      <c r="A1786" s="21"/>
      <c r="B1786" s="2"/>
      <c r="C1786" s="2"/>
      <c r="D1786" s="2"/>
    </row>
    <row r="1787" spans="1:4" ht="12.75" customHeight="1" x14ac:dyDescent="0.2">
      <c r="A1787" s="21"/>
      <c r="B1787" s="2"/>
      <c r="C1787" s="2"/>
      <c r="D1787" s="2"/>
    </row>
    <row r="1788" spans="1:4" ht="12.75" customHeight="1" x14ac:dyDescent="0.2">
      <c r="A1788" s="21"/>
      <c r="B1788" s="2"/>
      <c r="C1788" s="2"/>
      <c r="D1788" s="2"/>
    </row>
    <row r="1789" spans="1:4" ht="12.75" customHeight="1" x14ac:dyDescent="0.2">
      <c r="A1789" s="21"/>
      <c r="B1789" s="2"/>
      <c r="C1789" s="2"/>
      <c r="D1789" s="2"/>
    </row>
    <row r="1790" spans="1:4" ht="12.75" customHeight="1" x14ac:dyDescent="0.2">
      <c r="A1790" s="5"/>
      <c r="B1790" s="2"/>
      <c r="C1790" s="2"/>
      <c r="D1790" s="2"/>
    </row>
    <row r="1791" spans="1:4" ht="12.75" customHeight="1" x14ac:dyDescent="0.2">
      <c r="A1791" s="22" t="str">
        <f>HYPERLINK("javascript:void(0)","smaragd pillepajzs")</f>
        <v>smaragd pillepajzs</v>
      </c>
      <c r="B1791" s="21"/>
      <c r="C1791" s="21"/>
      <c r="D1791" s="21"/>
    </row>
    <row r="1792" spans="1:4" ht="12.75" customHeight="1" x14ac:dyDescent="0.2">
      <c r="A1792" s="20"/>
      <c r="B1792" s="2"/>
      <c r="C1792" s="2"/>
      <c r="D1792" s="2"/>
    </row>
    <row r="1793" spans="1:4" ht="12.75" customHeight="1" x14ac:dyDescent="0.2">
      <c r="A1793" s="21"/>
      <c r="B1793" s="3" t="s">
        <v>0</v>
      </c>
      <c r="C1793" s="20" t="s">
        <v>187</v>
      </c>
      <c r="D1793" s="21"/>
    </row>
    <row r="1794" spans="1:4" ht="12.75" customHeight="1" x14ac:dyDescent="0.2">
      <c r="A1794" s="21"/>
      <c r="B1794" s="3" t="s">
        <v>2</v>
      </c>
      <c r="C1794" s="20" t="s">
        <v>1839</v>
      </c>
      <c r="D1794" s="21"/>
    </row>
    <row r="1795" spans="1:4" ht="12.75" customHeight="1" x14ac:dyDescent="0.2">
      <c r="A1795" s="21"/>
      <c r="B1795" s="3" t="s">
        <v>1840</v>
      </c>
      <c r="C1795" s="20" t="s">
        <v>151</v>
      </c>
      <c r="D1795" s="21"/>
    </row>
    <row r="1796" spans="1:4" ht="12.75" customHeight="1" x14ac:dyDescent="0.2">
      <c r="A1796" s="21"/>
      <c r="B1796" s="3" t="s">
        <v>9</v>
      </c>
      <c r="C1796" s="20" t="s">
        <v>590</v>
      </c>
      <c r="D1796" s="21"/>
    </row>
    <row r="1797" spans="1:4" ht="12.75" customHeight="1" x14ac:dyDescent="0.2">
      <c r="A1797" s="21"/>
      <c r="B1797" s="3" t="s">
        <v>11</v>
      </c>
      <c r="C1797" s="20" t="s">
        <v>279</v>
      </c>
      <c r="D1797" s="21"/>
    </row>
    <row r="1798" spans="1:4" ht="12.75" customHeight="1" x14ac:dyDescent="0.2">
      <c r="A1798" s="21"/>
      <c r="B1798" s="3" t="s">
        <v>16</v>
      </c>
      <c r="C1798" s="20"/>
      <c r="D1798" s="21"/>
    </row>
    <row r="1799" spans="1:4" ht="12.75" customHeight="1" x14ac:dyDescent="0.2">
      <c r="A1799" s="21"/>
      <c r="B1799" s="3" t="s">
        <v>17</v>
      </c>
      <c r="C1799" s="20" t="s">
        <v>19</v>
      </c>
      <c r="D1799" s="21"/>
    </row>
    <row r="1800" spans="1:4" ht="12.75" customHeight="1" x14ac:dyDescent="0.2">
      <c r="A1800" s="21"/>
      <c r="B1800" s="20" t="s">
        <v>18</v>
      </c>
      <c r="C1800" s="4" t="s">
        <v>44</v>
      </c>
      <c r="D1800" s="6" t="str">
        <f>HYPERLINK("javascript:void(0)","elfacél testpajzs")</f>
        <v>elfacél testpajzs</v>
      </c>
    </row>
    <row r="1801" spans="1:4" ht="12.75" customHeight="1" x14ac:dyDescent="0.2">
      <c r="A1801" s="21"/>
      <c r="B1801" s="21"/>
      <c r="C1801" s="4" t="s">
        <v>130</v>
      </c>
      <c r="D1801" s="6" t="str">
        <f>HYPERLINK("javascript:void(0)","smaragd")</f>
        <v>smaragd</v>
      </c>
    </row>
    <row r="1802" spans="1:4" ht="12.75" customHeight="1" x14ac:dyDescent="0.2">
      <c r="A1802" s="21"/>
      <c r="B1802" s="21"/>
      <c r="C1802" s="4" t="s">
        <v>117</v>
      </c>
      <c r="D1802" s="6" t="str">
        <f>HYPERLINK("javascript:void(0)","fénynyaláb")</f>
        <v>fénynyaláb</v>
      </c>
    </row>
    <row r="1803" spans="1:4" ht="12.75" customHeight="1" x14ac:dyDescent="0.2">
      <c r="A1803" s="21"/>
      <c r="B1803" s="2"/>
      <c r="C1803" s="2"/>
      <c r="D1803" s="2"/>
    </row>
    <row r="1804" spans="1:4" ht="12.75" customHeight="1" x14ac:dyDescent="0.2">
      <c r="A1804" s="21"/>
      <c r="B1804" s="2"/>
      <c r="C1804" s="2"/>
      <c r="D1804" s="2"/>
    </row>
    <row r="1805" spans="1:4" ht="12.75" customHeight="1" x14ac:dyDescent="0.2">
      <c r="A1805" s="21"/>
      <c r="B1805" s="2"/>
      <c r="C1805" s="2"/>
      <c r="D1805" s="2"/>
    </row>
    <row r="1806" spans="1:4" ht="12.75" customHeight="1" x14ac:dyDescent="0.2">
      <c r="A1806" s="21"/>
      <c r="B1806" s="2"/>
      <c r="C1806" s="2"/>
      <c r="D1806" s="2"/>
    </row>
    <row r="1807" spans="1:4" ht="12.75" customHeight="1" x14ac:dyDescent="0.2">
      <c r="A1807" s="5"/>
      <c r="B1807" s="2"/>
      <c r="C1807" s="2"/>
      <c r="D1807" s="2"/>
    </row>
    <row r="1808" spans="1:4" ht="12.75" customHeight="1" x14ac:dyDescent="0.2">
      <c r="A1808" s="22" t="str">
        <f>HYPERLINK("javascript:void(0)","nyerskompózium")</f>
        <v>nyerskompózium</v>
      </c>
      <c r="B1808" s="21"/>
      <c r="C1808" s="21"/>
      <c r="D1808" s="21"/>
    </row>
    <row r="1809" spans="1:4" ht="12.75" customHeight="1" x14ac:dyDescent="0.2">
      <c r="A1809" s="20"/>
      <c r="B1809" s="2"/>
      <c r="C1809" s="2"/>
      <c r="D1809" s="2"/>
    </row>
    <row r="1810" spans="1:4" ht="12.75" customHeight="1" x14ac:dyDescent="0.2">
      <c r="A1810" s="21"/>
      <c r="B1810" s="3" t="s">
        <v>0</v>
      </c>
      <c r="C1810" s="20" t="s">
        <v>107</v>
      </c>
      <c r="D1810" s="21"/>
    </row>
    <row r="1811" spans="1:4" ht="12.75" customHeight="1" x14ac:dyDescent="0.2">
      <c r="A1811" s="21"/>
      <c r="B1811" s="3" t="s">
        <v>2</v>
      </c>
      <c r="C1811" s="20" t="s">
        <v>1839</v>
      </c>
      <c r="D1811" s="21"/>
    </row>
    <row r="1812" spans="1:4" ht="12.75" customHeight="1" x14ac:dyDescent="0.2">
      <c r="A1812" s="21"/>
      <c r="B1812" s="3" t="s">
        <v>1840</v>
      </c>
      <c r="C1812" s="20" t="s">
        <v>21</v>
      </c>
      <c r="D1812" s="21"/>
    </row>
    <row r="1813" spans="1:4" ht="12.75" customHeight="1" x14ac:dyDescent="0.2">
      <c r="A1813" s="21"/>
      <c r="B1813" s="3" t="s">
        <v>9</v>
      </c>
      <c r="C1813" s="20" t="s">
        <v>137</v>
      </c>
      <c r="D1813" s="21"/>
    </row>
    <row r="1814" spans="1:4" ht="12.75" customHeight="1" x14ac:dyDescent="0.2">
      <c r="A1814" s="21"/>
      <c r="B1814" s="3" t="s">
        <v>11</v>
      </c>
      <c r="C1814" s="20" t="s">
        <v>89</v>
      </c>
      <c r="D1814" s="21"/>
    </row>
    <row r="1815" spans="1:4" ht="12.75" customHeight="1" x14ac:dyDescent="0.2">
      <c r="A1815" s="21"/>
      <c r="B1815" s="3" t="s">
        <v>16</v>
      </c>
      <c r="C1815" s="20"/>
      <c r="D1815" s="21"/>
    </row>
    <row r="1816" spans="1:4" ht="12.75" customHeight="1" x14ac:dyDescent="0.2">
      <c r="A1816" s="21"/>
      <c r="B1816" s="3" t="s">
        <v>17</v>
      </c>
      <c r="C1816" s="20" t="s">
        <v>19</v>
      </c>
      <c r="D1816" s="21"/>
    </row>
    <row r="1817" spans="1:4" ht="12.75" customHeight="1" x14ac:dyDescent="0.2">
      <c r="A1817" s="21"/>
      <c r="B1817" s="20" t="s">
        <v>18</v>
      </c>
      <c r="C1817" s="4" t="s">
        <v>44</v>
      </c>
      <c r="D1817" s="6" t="str">
        <f>HYPERLINK("javascript:void(0)","diszprózium")</f>
        <v>diszprózium</v>
      </c>
    </row>
    <row r="1818" spans="1:4" ht="12.75" customHeight="1" x14ac:dyDescent="0.2">
      <c r="A1818" s="21"/>
      <c r="B1818" s="21"/>
      <c r="C1818" s="4" t="s">
        <v>44</v>
      </c>
      <c r="D1818" s="6" t="str">
        <f>HYPERLINK("javascript:void(0)","kithrill")</f>
        <v>kithrill</v>
      </c>
    </row>
    <row r="1819" spans="1:4" ht="12.75" customHeight="1" x14ac:dyDescent="0.2">
      <c r="A1819" s="21"/>
      <c r="B1819" s="21"/>
      <c r="C1819" s="4" t="s">
        <v>44</v>
      </c>
      <c r="D1819" s="6" t="str">
        <f>HYPERLINK("javascript:void(0)","centrolium")</f>
        <v>centrolium</v>
      </c>
    </row>
    <row r="1820" spans="1:4" ht="12.75" customHeight="1" x14ac:dyDescent="0.2">
      <c r="A1820" s="21"/>
      <c r="B1820" s="2"/>
      <c r="C1820" s="2"/>
      <c r="D1820" s="2"/>
    </row>
    <row r="1821" spans="1:4" ht="12.75" customHeight="1" x14ac:dyDescent="0.2">
      <c r="A1821" s="21"/>
      <c r="B1821" s="2"/>
      <c r="C1821" s="2"/>
      <c r="D1821" s="2"/>
    </row>
    <row r="1822" spans="1:4" ht="12.75" customHeight="1" x14ac:dyDescent="0.2">
      <c r="A1822" s="21"/>
      <c r="B1822" s="2"/>
      <c r="C1822" s="2"/>
      <c r="D1822" s="2"/>
    </row>
    <row r="1823" spans="1:4" ht="12.75" customHeight="1" x14ac:dyDescent="0.2">
      <c r="A1823" s="21"/>
      <c r="B1823" s="2"/>
      <c r="C1823" s="2"/>
      <c r="D1823" s="2"/>
    </row>
    <row r="1824" spans="1:4" ht="12.75" customHeight="1" x14ac:dyDescent="0.2">
      <c r="A1824" s="5"/>
      <c r="B1824" s="2"/>
      <c r="C1824" s="2"/>
      <c r="D1824" s="2"/>
    </row>
    <row r="1825" spans="1:4" ht="12.75" customHeight="1" x14ac:dyDescent="0.2">
      <c r="A1825" s="22" t="str">
        <f>HYPERLINK("javascript:void(0)","kompózium")</f>
        <v>kompózium</v>
      </c>
      <c r="B1825" s="21"/>
      <c r="C1825" s="21"/>
      <c r="D1825" s="21"/>
    </row>
    <row r="1826" spans="1:4" ht="12.75" customHeight="1" x14ac:dyDescent="0.2">
      <c r="A1826" s="20"/>
      <c r="B1826" s="2"/>
      <c r="C1826" s="2"/>
      <c r="D1826" s="2"/>
    </row>
    <row r="1827" spans="1:4" ht="12.75" customHeight="1" x14ac:dyDescent="0.2">
      <c r="A1827" s="21"/>
      <c r="B1827" s="3" t="s">
        <v>0</v>
      </c>
      <c r="C1827" s="20" t="s">
        <v>107</v>
      </c>
      <c r="D1827" s="21"/>
    </row>
    <row r="1828" spans="1:4" ht="12.75" customHeight="1" x14ac:dyDescent="0.2">
      <c r="A1828" s="21"/>
      <c r="B1828" s="3" t="s">
        <v>2</v>
      </c>
      <c r="C1828" s="20" t="s">
        <v>1839</v>
      </c>
      <c r="D1828" s="21"/>
    </row>
    <row r="1829" spans="1:4" ht="12.75" customHeight="1" x14ac:dyDescent="0.2">
      <c r="A1829" s="21"/>
      <c r="B1829" s="3" t="s">
        <v>1840</v>
      </c>
      <c r="C1829" s="20" t="s">
        <v>21</v>
      </c>
      <c r="D1829" s="21"/>
    </row>
    <row r="1830" spans="1:4" ht="12.75" customHeight="1" x14ac:dyDescent="0.2">
      <c r="A1830" s="21"/>
      <c r="B1830" s="3" t="s">
        <v>9</v>
      </c>
      <c r="C1830" s="20" t="s">
        <v>27</v>
      </c>
      <c r="D1830" s="21"/>
    </row>
    <row r="1831" spans="1:4" ht="12.75" customHeight="1" x14ac:dyDescent="0.2">
      <c r="A1831" s="21"/>
      <c r="B1831" s="3" t="s">
        <v>11</v>
      </c>
      <c r="C1831" s="20" t="s">
        <v>535</v>
      </c>
      <c r="D1831" s="21"/>
    </row>
    <row r="1832" spans="1:4" ht="12.75" customHeight="1" x14ac:dyDescent="0.2">
      <c r="A1832" s="21"/>
      <c r="B1832" s="3" t="s">
        <v>16</v>
      </c>
      <c r="C1832" s="20"/>
      <c r="D1832" s="21"/>
    </row>
    <row r="1833" spans="1:4" ht="12.75" customHeight="1" x14ac:dyDescent="0.2">
      <c r="A1833" s="21"/>
      <c r="B1833" s="3" t="s">
        <v>17</v>
      </c>
      <c r="C1833" s="20" t="s">
        <v>19</v>
      </c>
      <c r="D1833" s="21"/>
    </row>
    <row r="1834" spans="1:4" ht="12.75" customHeight="1" x14ac:dyDescent="0.2">
      <c r="A1834" s="21"/>
      <c r="B1834" s="20" t="s">
        <v>18</v>
      </c>
      <c r="C1834" s="4" t="s">
        <v>44</v>
      </c>
      <c r="D1834" s="6" t="str">
        <f>HYPERLINK("javascript:void(0)","nyerskompózium")</f>
        <v>nyerskompózium</v>
      </c>
    </row>
    <row r="1835" spans="1:4" ht="12.75" customHeight="1" x14ac:dyDescent="0.2">
      <c r="A1835" s="21"/>
      <c r="B1835" s="21"/>
      <c r="C1835" s="4" t="s">
        <v>44</v>
      </c>
      <c r="D1835" s="6" t="str">
        <f>HYPERLINK("javascript:void(0)","hiperium")</f>
        <v>hiperium</v>
      </c>
    </row>
    <row r="1836" spans="1:4" ht="12.75" customHeight="1" x14ac:dyDescent="0.2">
      <c r="A1836" s="21"/>
      <c r="B1836" s="21"/>
      <c r="C1836" s="4" t="s">
        <v>67</v>
      </c>
      <c r="D1836" s="6" t="str">
        <f>HYPERLINK("javascript:void(0)","vámpírherbium")</f>
        <v>vámpírherbium</v>
      </c>
    </row>
    <row r="1837" spans="1:4" ht="12.75" customHeight="1" x14ac:dyDescent="0.2">
      <c r="A1837" s="21"/>
      <c r="B1837" s="2"/>
      <c r="C1837" s="2"/>
      <c r="D1837" s="2"/>
    </row>
    <row r="1838" spans="1:4" ht="12.75" customHeight="1" x14ac:dyDescent="0.2">
      <c r="A1838" s="21"/>
      <c r="B1838" s="2"/>
      <c r="C1838" s="2"/>
      <c r="D1838" s="2"/>
    </row>
    <row r="1839" spans="1:4" ht="12.75" customHeight="1" x14ac:dyDescent="0.2">
      <c r="A1839" s="21"/>
      <c r="B1839" s="2"/>
      <c r="C1839" s="2"/>
      <c r="D1839" s="2"/>
    </row>
    <row r="1840" spans="1:4" ht="12.75" customHeight="1" x14ac:dyDescent="0.2">
      <c r="A1840" s="21"/>
      <c r="B1840" s="2"/>
      <c r="C1840" s="2"/>
      <c r="D1840" s="2"/>
    </row>
    <row r="1841" spans="1:4" ht="12.75" customHeight="1" x14ac:dyDescent="0.2">
      <c r="A1841" s="5"/>
      <c r="B1841" s="2"/>
      <c r="C1841" s="2"/>
      <c r="D1841" s="2"/>
    </row>
    <row r="1842" spans="1:4" ht="12.75" customHeight="1" x14ac:dyDescent="0.2">
      <c r="A1842" s="22" t="str">
        <f>HYPERLINK("javascript:void(0)","óriásacél pajzs")</f>
        <v>óriásacél pajzs</v>
      </c>
      <c r="B1842" s="21"/>
      <c r="C1842" s="21"/>
      <c r="D1842" s="21"/>
    </row>
    <row r="1843" spans="1:4" ht="12.75" customHeight="1" x14ac:dyDescent="0.2">
      <c r="A1843" s="20"/>
      <c r="B1843" s="2"/>
      <c r="C1843" s="2"/>
      <c r="D1843" s="2"/>
    </row>
    <row r="1844" spans="1:4" ht="12.75" customHeight="1" x14ac:dyDescent="0.2">
      <c r="A1844" s="21"/>
      <c r="B1844" s="3" t="s">
        <v>0</v>
      </c>
      <c r="C1844" s="20" t="s">
        <v>107</v>
      </c>
      <c r="D1844" s="21"/>
    </row>
    <row r="1845" spans="1:4" ht="12.75" customHeight="1" x14ac:dyDescent="0.2">
      <c r="A1845" s="21"/>
      <c r="B1845" s="3" t="s">
        <v>2</v>
      </c>
      <c r="C1845" s="20" t="s">
        <v>1839</v>
      </c>
      <c r="D1845" s="21"/>
    </row>
    <row r="1846" spans="1:4" ht="12.75" customHeight="1" x14ac:dyDescent="0.2">
      <c r="A1846" s="21"/>
      <c r="B1846" s="3" t="s">
        <v>1840</v>
      </c>
      <c r="C1846" s="20" t="s">
        <v>248</v>
      </c>
      <c r="D1846" s="21"/>
    </row>
    <row r="1847" spans="1:4" ht="12.75" customHeight="1" x14ac:dyDescent="0.2">
      <c r="A1847" s="21"/>
      <c r="B1847" s="3" t="s">
        <v>9</v>
      </c>
      <c r="C1847" s="20" t="s">
        <v>249</v>
      </c>
      <c r="D1847" s="21"/>
    </row>
    <row r="1848" spans="1:4" ht="12.75" customHeight="1" x14ac:dyDescent="0.2">
      <c r="A1848" s="21"/>
      <c r="B1848" s="3" t="s">
        <v>11</v>
      </c>
      <c r="C1848" s="20" t="s">
        <v>289</v>
      </c>
      <c r="D1848" s="21"/>
    </row>
    <row r="1849" spans="1:4" ht="12.75" customHeight="1" x14ac:dyDescent="0.2">
      <c r="A1849" s="21"/>
      <c r="B1849" s="3" t="s">
        <v>16</v>
      </c>
      <c r="C1849" s="20"/>
      <c r="D1849" s="21"/>
    </row>
    <row r="1850" spans="1:4" ht="12.75" customHeight="1" x14ac:dyDescent="0.2">
      <c r="A1850" s="21"/>
      <c r="B1850" s="3" t="s">
        <v>17</v>
      </c>
      <c r="C1850" s="20" t="s">
        <v>19</v>
      </c>
      <c r="D1850" s="21"/>
    </row>
    <row r="1851" spans="1:4" ht="12.75" customHeight="1" x14ac:dyDescent="0.2">
      <c r="A1851" s="21"/>
      <c r="B1851" s="20" t="s">
        <v>18</v>
      </c>
      <c r="C1851" s="4" t="s">
        <v>44</v>
      </c>
      <c r="D1851" s="6" t="str">
        <f>HYPERLINK("javascript:void(0)","elfacél pajzs")</f>
        <v>elfacél pajzs</v>
      </c>
    </row>
    <row r="1852" spans="1:4" ht="12.75" customHeight="1" x14ac:dyDescent="0.2">
      <c r="A1852" s="21"/>
      <c r="B1852" s="21"/>
      <c r="C1852" s="4" t="s">
        <v>77</v>
      </c>
      <c r="D1852" s="6" t="str">
        <f>HYPERLINK("javascript:void(0)","légzsák")</f>
        <v>légzsák</v>
      </c>
    </row>
    <row r="1853" spans="1:4" ht="12.75" customHeight="1" x14ac:dyDescent="0.2">
      <c r="A1853" s="21"/>
      <c r="B1853" s="21"/>
      <c r="C1853" s="4" t="s">
        <v>67</v>
      </c>
      <c r="D1853" s="6" t="str">
        <f>HYPERLINK("javascript:void(0)","undormány")</f>
        <v>undormány</v>
      </c>
    </row>
    <row r="1854" spans="1:4" ht="12.75" customHeight="1" x14ac:dyDescent="0.2">
      <c r="A1854" s="21"/>
      <c r="B1854" s="2"/>
      <c r="C1854" s="2"/>
      <c r="D1854" s="2"/>
    </row>
    <row r="1855" spans="1:4" ht="12.75" customHeight="1" x14ac:dyDescent="0.2">
      <c r="A1855" s="21"/>
      <c r="B1855" s="2"/>
      <c r="C1855" s="2"/>
      <c r="D1855" s="2"/>
    </row>
    <row r="1856" spans="1:4" ht="12.75" customHeight="1" x14ac:dyDescent="0.2">
      <c r="A1856" s="21"/>
      <c r="B1856" s="2"/>
      <c r="C1856" s="2"/>
      <c r="D1856" s="2"/>
    </row>
    <row r="1857" spans="1:4" ht="12.75" customHeight="1" x14ac:dyDescent="0.2">
      <c r="A1857" s="21"/>
      <c r="B1857" s="2"/>
      <c r="C1857" s="2"/>
      <c r="D1857" s="2"/>
    </row>
    <row r="1858" spans="1:4" ht="12.75" customHeight="1" x14ac:dyDescent="0.2">
      <c r="A1858" s="5"/>
      <c r="B1858" s="2"/>
      <c r="C1858" s="2"/>
      <c r="D1858" s="2"/>
    </row>
    <row r="1859" spans="1:4" ht="12.75" customHeight="1" x14ac:dyDescent="0.2">
      <c r="A1859" s="22" t="str">
        <f>HYPERLINK("javascript:void(0)","rubin pillepajzs")</f>
        <v>rubin pillepajzs</v>
      </c>
      <c r="B1859" s="21"/>
      <c r="C1859" s="21"/>
      <c r="D1859" s="21"/>
    </row>
    <row r="1860" spans="1:4" ht="12.75" customHeight="1" x14ac:dyDescent="0.2">
      <c r="A1860" s="20"/>
      <c r="B1860" s="2"/>
      <c r="C1860" s="2"/>
      <c r="D1860" s="2"/>
    </row>
    <row r="1861" spans="1:4" ht="12.75" customHeight="1" x14ac:dyDescent="0.2">
      <c r="A1861" s="21"/>
      <c r="B1861" s="3" t="s">
        <v>0</v>
      </c>
      <c r="C1861" s="20" t="s">
        <v>107</v>
      </c>
      <c r="D1861" s="21"/>
    </row>
    <row r="1862" spans="1:4" ht="12.75" customHeight="1" x14ac:dyDescent="0.2">
      <c r="A1862" s="21"/>
      <c r="B1862" s="3" t="s">
        <v>2</v>
      </c>
      <c r="C1862" s="20" t="s">
        <v>1839</v>
      </c>
      <c r="D1862" s="21"/>
    </row>
    <row r="1863" spans="1:4" ht="12.75" customHeight="1" x14ac:dyDescent="0.2">
      <c r="A1863" s="21"/>
      <c r="B1863" s="3" t="s">
        <v>1840</v>
      </c>
      <c r="C1863" s="20" t="s">
        <v>248</v>
      </c>
      <c r="D1863" s="21"/>
    </row>
    <row r="1864" spans="1:4" ht="12.75" customHeight="1" x14ac:dyDescent="0.2">
      <c r="A1864" s="21"/>
      <c r="B1864" s="3" t="s">
        <v>9</v>
      </c>
      <c r="C1864" s="20" t="s">
        <v>1096</v>
      </c>
      <c r="D1864" s="21"/>
    </row>
    <row r="1865" spans="1:4" ht="12.75" customHeight="1" x14ac:dyDescent="0.2">
      <c r="A1865" s="21"/>
      <c r="B1865" s="3" t="s">
        <v>11</v>
      </c>
      <c r="C1865" s="20" t="s">
        <v>307</v>
      </c>
      <c r="D1865" s="21"/>
    </row>
    <row r="1866" spans="1:4" ht="12.75" customHeight="1" x14ac:dyDescent="0.2">
      <c r="A1866" s="21"/>
      <c r="B1866" s="3" t="s">
        <v>16</v>
      </c>
      <c r="C1866" s="20"/>
      <c r="D1866" s="21"/>
    </row>
    <row r="1867" spans="1:4" ht="12.75" customHeight="1" x14ac:dyDescent="0.2">
      <c r="A1867" s="21"/>
      <c r="B1867" s="3" t="s">
        <v>17</v>
      </c>
      <c r="C1867" s="20" t="s">
        <v>19</v>
      </c>
      <c r="D1867" s="21"/>
    </row>
    <row r="1868" spans="1:4" ht="12.75" customHeight="1" x14ac:dyDescent="0.2">
      <c r="A1868" s="21"/>
      <c r="B1868" s="20" t="s">
        <v>18</v>
      </c>
      <c r="C1868" s="4" t="s">
        <v>44</v>
      </c>
      <c r="D1868" s="6" t="str">
        <f>HYPERLINK("javascript:void(0)","óriásacél pajzs")</f>
        <v>óriásacél pajzs</v>
      </c>
    </row>
    <row r="1869" spans="1:4" ht="12.75" customHeight="1" x14ac:dyDescent="0.2">
      <c r="A1869" s="21"/>
      <c r="B1869" s="21"/>
      <c r="C1869" s="4" t="s">
        <v>130</v>
      </c>
      <c r="D1869" s="6" t="str">
        <f>HYPERLINK("javascript:void(0)","rubin")</f>
        <v>rubin</v>
      </c>
    </row>
    <row r="1870" spans="1:4" ht="12.75" customHeight="1" x14ac:dyDescent="0.2">
      <c r="A1870" s="21"/>
      <c r="B1870" s="21"/>
      <c r="C1870" s="4" t="s">
        <v>117</v>
      </c>
      <c r="D1870" s="6" t="str">
        <f>HYPERLINK("javascript:void(0)","mágusköpeny")</f>
        <v>mágusköpeny</v>
      </c>
    </row>
    <row r="1871" spans="1:4" ht="12.75" customHeight="1" x14ac:dyDescent="0.2">
      <c r="A1871" s="21"/>
      <c r="B1871" s="2"/>
      <c r="C1871" s="2"/>
      <c r="D1871" s="2"/>
    </row>
    <row r="1872" spans="1:4" ht="12.75" customHeight="1" x14ac:dyDescent="0.2">
      <c r="A1872" s="21"/>
      <c r="B1872" s="2"/>
      <c r="C1872" s="2"/>
      <c r="D1872" s="2"/>
    </row>
    <row r="1873" spans="1:4" ht="12.75" customHeight="1" x14ac:dyDescent="0.2">
      <c r="A1873" s="21"/>
      <c r="B1873" s="2"/>
      <c r="C1873" s="2"/>
      <c r="D1873" s="2"/>
    </row>
    <row r="1874" spans="1:4" ht="12.75" customHeight="1" x14ac:dyDescent="0.2">
      <c r="A1874" s="21"/>
      <c r="B1874" s="2"/>
      <c r="C1874" s="2"/>
      <c r="D1874" s="2"/>
    </row>
    <row r="1875" spans="1:4" ht="12.75" customHeight="1" x14ac:dyDescent="0.2">
      <c r="A1875" s="5"/>
      <c r="B1875" s="2"/>
      <c r="C1875" s="2"/>
      <c r="D1875" s="2"/>
    </row>
    <row r="1876" spans="1:4" ht="12.75" customHeight="1" x14ac:dyDescent="0.2">
      <c r="A1876" s="22" t="str">
        <f>HYPERLINK("javascript:void(0)","kis csillámpajzs")</f>
        <v>kis csillámpajzs</v>
      </c>
      <c r="B1876" s="21"/>
      <c r="C1876" s="21"/>
      <c r="D1876" s="21"/>
    </row>
    <row r="1877" spans="1:4" ht="12.75" customHeight="1" x14ac:dyDescent="0.2">
      <c r="A1877" s="20"/>
      <c r="B1877" s="2"/>
      <c r="C1877" s="2"/>
      <c r="D1877" s="2"/>
    </row>
    <row r="1878" spans="1:4" ht="12.75" customHeight="1" x14ac:dyDescent="0.2">
      <c r="A1878" s="21"/>
      <c r="B1878" s="3" t="s">
        <v>0</v>
      </c>
      <c r="C1878" s="20" t="s">
        <v>107</v>
      </c>
      <c r="D1878" s="21"/>
    </row>
    <row r="1879" spans="1:4" ht="12.75" customHeight="1" x14ac:dyDescent="0.2">
      <c r="A1879" s="21"/>
      <c r="B1879" s="3" t="s">
        <v>2</v>
      </c>
      <c r="C1879" s="20" t="s">
        <v>1839</v>
      </c>
      <c r="D1879" s="21"/>
    </row>
    <row r="1880" spans="1:4" ht="12.75" customHeight="1" x14ac:dyDescent="0.2">
      <c r="A1880" s="21"/>
      <c r="B1880" s="3" t="s">
        <v>1840</v>
      </c>
      <c r="C1880" s="20" t="s">
        <v>690</v>
      </c>
      <c r="D1880" s="21"/>
    </row>
    <row r="1881" spans="1:4" ht="12.75" customHeight="1" x14ac:dyDescent="0.2">
      <c r="A1881" s="21"/>
      <c r="B1881" s="3" t="s">
        <v>9</v>
      </c>
      <c r="C1881" s="20" t="s">
        <v>2020</v>
      </c>
      <c r="D1881" s="21"/>
    </row>
    <row r="1882" spans="1:4" ht="12.75" customHeight="1" x14ac:dyDescent="0.2">
      <c r="A1882" s="21"/>
      <c r="B1882" s="3" t="s">
        <v>11</v>
      </c>
      <c r="C1882" s="20" t="s">
        <v>289</v>
      </c>
      <c r="D1882" s="21"/>
    </row>
    <row r="1883" spans="1:4" ht="12.75" customHeight="1" x14ac:dyDescent="0.2">
      <c r="A1883" s="21"/>
      <c r="B1883" s="3" t="s">
        <v>16</v>
      </c>
      <c r="C1883" s="20"/>
      <c r="D1883" s="21"/>
    </row>
    <row r="1884" spans="1:4" ht="12.75" customHeight="1" x14ac:dyDescent="0.2">
      <c r="A1884" s="21"/>
      <c r="B1884" s="3" t="s">
        <v>17</v>
      </c>
      <c r="C1884" s="20" t="s">
        <v>19</v>
      </c>
      <c r="D1884" s="21"/>
    </row>
    <row r="1885" spans="1:4" ht="12.75" customHeight="1" x14ac:dyDescent="0.2">
      <c r="A1885" s="21"/>
      <c r="B1885" s="20" t="s">
        <v>18</v>
      </c>
      <c r="C1885" s="4" t="s">
        <v>44</v>
      </c>
      <c r="D1885" s="6" t="str">
        <f>HYPERLINK("javascript:void(0)","lávapajzs")</f>
        <v>lávapajzs</v>
      </c>
    </row>
    <row r="1886" spans="1:4" ht="12.75" customHeight="1" x14ac:dyDescent="0.2">
      <c r="A1886" s="21"/>
      <c r="B1886" s="21"/>
      <c r="C1886" s="4" t="s">
        <v>57</v>
      </c>
      <c r="D1886" s="6" t="str">
        <f>HYPERLINK("javascript:void(0)","csillámgöb")</f>
        <v>csillámgöb</v>
      </c>
    </row>
    <row r="1887" spans="1:4" ht="12.75" customHeight="1" x14ac:dyDescent="0.2">
      <c r="A1887" s="21"/>
      <c r="B1887" s="21"/>
      <c r="C1887" s="4" t="s">
        <v>44</v>
      </c>
      <c r="D1887" s="6" t="str">
        <f>HYPERLINK("javascript:void(0)","nappajzs")</f>
        <v>nappajzs</v>
      </c>
    </row>
    <row r="1888" spans="1:4" ht="12.75" customHeight="1" x14ac:dyDescent="0.2">
      <c r="A1888" s="21"/>
      <c r="B1888" s="2"/>
      <c r="C1888" s="2"/>
      <c r="D1888" s="2"/>
    </row>
    <row r="1889" spans="1:4" ht="12.75" customHeight="1" x14ac:dyDescent="0.2">
      <c r="A1889" s="21"/>
      <c r="B1889" s="2"/>
      <c r="C1889" s="2"/>
      <c r="D1889" s="2"/>
    </row>
    <row r="1890" spans="1:4" ht="12.75" customHeight="1" x14ac:dyDescent="0.2">
      <c r="A1890" s="21"/>
      <c r="B1890" s="2"/>
      <c r="C1890" s="2"/>
      <c r="D1890" s="2"/>
    </row>
    <row r="1891" spans="1:4" ht="12.75" customHeight="1" x14ac:dyDescent="0.2">
      <c r="A1891" s="21"/>
      <c r="B1891" s="2"/>
      <c r="C1891" s="2"/>
      <c r="D1891" s="2"/>
    </row>
    <row r="1892" spans="1:4" ht="12.75" customHeight="1" x14ac:dyDescent="0.2">
      <c r="A1892" s="5"/>
      <c r="B1892" s="2"/>
      <c r="C1892" s="2"/>
      <c r="D1892" s="2"/>
    </row>
    <row r="1893" spans="1:4" ht="12.75" customHeight="1" x14ac:dyDescent="0.2">
      <c r="A1893" s="22" t="str">
        <f>HYPERLINK("javascript:void(0)","óriásacél testpajzs")</f>
        <v>óriásacél testpajzs</v>
      </c>
      <c r="B1893" s="21"/>
      <c r="C1893" s="21"/>
      <c r="D1893" s="21"/>
    </row>
    <row r="1894" spans="1:4" ht="12.75" customHeight="1" x14ac:dyDescent="0.2">
      <c r="A1894" s="20"/>
      <c r="B1894" s="2"/>
      <c r="C1894" s="2"/>
      <c r="D1894" s="2"/>
    </row>
    <row r="1895" spans="1:4" ht="12.75" customHeight="1" x14ac:dyDescent="0.2">
      <c r="A1895" s="21"/>
      <c r="B1895" s="3" t="s">
        <v>0</v>
      </c>
      <c r="C1895" s="20" t="s">
        <v>324</v>
      </c>
      <c r="D1895" s="21"/>
    </row>
    <row r="1896" spans="1:4" ht="12.75" customHeight="1" x14ac:dyDescent="0.2">
      <c r="A1896" s="21"/>
      <c r="B1896" s="3" t="s">
        <v>2</v>
      </c>
      <c r="C1896" s="20" t="s">
        <v>1839</v>
      </c>
      <c r="D1896" s="21"/>
    </row>
    <row r="1897" spans="1:4" ht="12.75" customHeight="1" x14ac:dyDescent="0.2">
      <c r="A1897" s="21"/>
      <c r="B1897" s="3" t="s">
        <v>1840</v>
      </c>
      <c r="C1897" s="20" t="s">
        <v>651</v>
      </c>
      <c r="D1897" s="21"/>
    </row>
    <row r="1898" spans="1:4" ht="12.75" customHeight="1" x14ac:dyDescent="0.2">
      <c r="A1898" s="21"/>
      <c r="B1898" s="3" t="s">
        <v>9</v>
      </c>
      <c r="C1898" s="20" t="s">
        <v>250</v>
      </c>
      <c r="D1898" s="21"/>
    </row>
    <row r="1899" spans="1:4" ht="12.75" customHeight="1" x14ac:dyDescent="0.2">
      <c r="A1899" s="21"/>
      <c r="B1899" s="3" t="s">
        <v>11</v>
      </c>
      <c r="C1899" s="20" t="s">
        <v>321</v>
      </c>
      <c r="D1899" s="21"/>
    </row>
    <row r="1900" spans="1:4" ht="12.75" customHeight="1" x14ac:dyDescent="0.2">
      <c r="A1900" s="21"/>
      <c r="B1900" s="3" t="s">
        <v>16</v>
      </c>
      <c r="C1900" s="20"/>
      <c r="D1900" s="21"/>
    </row>
    <row r="1901" spans="1:4" ht="12.75" customHeight="1" x14ac:dyDescent="0.2">
      <c r="A1901" s="21"/>
      <c r="B1901" s="3" t="s">
        <v>17</v>
      </c>
      <c r="C1901" s="20" t="s">
        <v>19</v>
      </c>
      <c r="D1901" s="21"/>
    </row>
    <row r="1902" spans="1:4" ht="12.75" customHeight="1" x14ac:dyDescent="0.2">
      <c r="A1902" s="21"/>
      <c r="B1902" s="20" t="s">
        <v>18</v>
      </c>
      <c r="C1902" s="4" t="s">
        <v>44</v>
      </c>
      <c r="D1902" s="6" t="str">
        <f>HYPERLINK("javascript:void(0)","elfacél testpajzs")</f>
        <v>elfacél testpajzs</v>
      </c>
    </row>
    <row r="1903" spans="1:4" ht="12.75" customHeight="1" x14ac:dyDescent="0.2">
      <c r="A1903" s="21"/>
      <c r="B1903" s="21"/>
      <c r="C1903" s="4" t="s">
        <v>56</v>
      </c>
      <c r="D1903" s="6" t="str">
        <f>HYPERLINK("javascript:void(0)","gillpenge")</f>
        <v>gillpenge</v>
      </c>
    </row>
    <row r="1904" spans="1:4" ht="12.75" customHeight="1" x14ac:dyDescent="0.2">
      <c r="A1904" s="21"/>
      <c r="B1904" s="21"/>
      <c r="C1904" s="4" t="s">
        <v>244</v>
      </c>
      <c r="D1904" s="6" t="str">
        <f>HYPERLINK("javascript:void(0)","kihunyt glória")</f>
        <v>kihunyt glória</v>
      </c>
    </row>
    <row r="1905" spans="1:4" ht="12.75" customHeight="1" x14ac:dyDescent="0.2">
      <c r="A1905" s="21"/>
      <c r="B1905" s="2"/>
      <c r="C1905" s="2"/>
      <c r="D1905" s="2"/>
    </row>
    <row r="1906" spans="1:4" ht="12.75" customHeight="1" x14ac:dyDescent="0.2">
      <c r="A1906" s="21"/>
      <c r="B1906" s="2"/>
      <c r="C1906" s="2"/>
      <c r="D1906" s="2"/>
    </row>
    <row r="1907" spans="1:4" ht="12.75" customHeight="1" x14ac:dyDescent="0.2">
      <c r="A1907" s="21"/>
      <c r="B1907" s="2"/>
      <c r="C1907" s="2"/>
      <c r="D1907" s="2"/>
    </row>
    <row r="1908" spans="1:4" ht="12.75" customHeight="1" x14ac:dyDescent="0.2">
      <c r="A1908" s="21"/>
      <c r="B1908" s="2"/>
      <c r="C1908" s="2"/>
      <c r="D1908" s="2"/>
    </row>
    <row r="1909" spans="1:4" ht="12.75" customHeight="1" x14ac:dyDescent="0.2">
      <c r="A1909" s="5"/>
      <c r="B1909" s="2"/>
      <c r="C1909" s="2"/>
      <c r="D1909" s="2"/>
    </row>
    <row r="1910" spans="1:4" ht="12.75" customHeight="1" x14ac:dyDescent="0.2">
      <c r="A1910" s="22" t="str">
        <f>HYPERLINK("javascript:void(0)","gyémánt pillepajzs")</f>
        <v>gyémánt pillepajzs</v>
      </c>
      <c r="B1910" s="21"/>
      <c r="C1910" s="21"/>
      <c r="D1910" s="21"/>
    </row>
    <row r="1911" spans="1:4" ht="12.75" customHeight="1" x14ac:dyDescent="0.2">
      <c r="A1911" s="20"/>
      <c r="B1911" s="2"/>
      <c r="C1911" s="2"/>
      <c r="D1911" s="2"/>
    </row>
    <row r="1912" spans="1:4" ht="12.75" customHeight="1" x14ac:dyDescent="0.2">
      <c r="A1912" s="21"/>
      <c r="B1912" s="3" t="s">
        <v>0</v>
      </c>
      <c r="C1912" s="20" t="s">
        <v>324</v>
      </c>
      <c r="D1912" s="21"/>
    </row>
    <row r="1913" spans="1:4" ht="12.75" customHeight="1" x14ac:dyDescent="0.2">
      <c r="A1913" s="21"/>
      <c r="B1913" s="3" t="s">
        <v>2</v>
      </c>
      <c r="C1913" s="20" t="s">
        <v>1839</v>
      </c>
      <c r="D1913" s="21"/>
    </row>
    <row r="1914" spans="1:4" ht="12.75" customHeight="1" x14ac:dyDescent="0.2">
      <c r="A1914" s="21"/>
      <c r="B1914" s="3" t="s">
        <v>1840</v>
      </c>
      <c r="C1914" s="20" t="s">
        <v>651</v>
      </c>
      <c r="D1914" s="21"/>
    </row>
    <row r="1915" spans="1:4" ht="12.75" customHeight="1" x14ac:dyDescent="0.2">
      <c r="A1915" s="21"/>
      <c r="B1915" s="3" t="s">
        <v>9</v>
      </c>
      <c r="C1915" s="20" t="s">
        <v>2025</v>
      </c>
      <c r="D1915" s="21"/>
    </row>
    <row r="1916" spans="1:4" ht="12.75" customHeight="1" x14ac:dyDescent="0.2">
      <c r="A1916" s="21"/>
      <c r="B1916" s="3" t="s">
        <v>11</v>
      </c>
      <c r="C1916" s="20" t="s">
        <v>339</v>
      </c>
      <c r="D1916" s="21"/>
    </row>
    <row r="1917" spans="1:4" ht="12.75" customHeight="1" x14ac:dyDescent="0.2">
      <c r="A1917" s="21"/>
      <c r="B1917" s="3" t="s">
        <v>16</v>
      </c>
      <c r="C1917" s="20"/>
      <c r="D1917" s="21"/>
    </row>
    <row r="1918" spans="1:4" ht="12.75" customHeight="1" x14ac:dyDescent="0.2">
      <c r="A1918" s="21"/>
      <c r="B1918" s="3" t="s">
        <v>17</v>
      </c>
      <c r="C1918" s="20" t="s">
        <v>19</v>
      </c>
      <c r="D1918" s="21"/>
    </row>
    <row r="1919" spans="1:4" ht="12.75" customHeight="1" x14ac:dyDescent="0.2">
      <c r="A1919" s="21"/>
      <c r="B1919" s="20" t="s">
        <v>18</v>
      </c>
      <c r="C1919" s="4" t="s">
        <v>44</v>
      </c>
      <c r="D1919" s="6" t="str">
        <f>HYPERLINK("javascript:void(0)","óriásacél testpajzs")</f>
        <v>óriásacél testpajzs</v>
      </c>
    </row>
    <row r="1920" spans="1:4" ht="12.75" customHeight="1" x14ac:dyDescent="0.2">
      <c r="A1920" s="21"/>
      <c r="B1920" s="21"/>
      <c r="C1920" s="4" t="s">
        <v>130</v>
      </c>
      <c r="D1920" s="6" t="str">
        <f>HYPERLINK("javascript:void(0)","gyémánt")</f>
        <v>gyémánt</v>
      </c>
    </row>
    <row r="1921" spans="1:4" ht="12.75" customHeight="1" x14ac:dyDescent="0.2">
      <c r="A1921" s="21"/>
      <c r="B1921" s="21"/>
      <c r="C1921" s="4" t="s">
        <v>163</v>
      </c>
      <c r="D1921" s="6" t="str">
        <f>HYPERLINK("javascript:void(0)","légige")</f>
        <v>légige</v>
      </c>
    </row>
    <row r="1922" spans="1:4" ht="12.75" customHeight="1" x14ac:dyDescent="0.2">
      <c r="A1922" s="21"/>
      <c r="B1922" s="2"/>
      <c r="C1922" s="2"/>
      <c r="D1922" s="2"/>
    </row>
    <row r="1923" spans="1:4" ht="12.75" customHeight="1" x14ac:dyDescent="0.2">
      <c r="A1923" s="21"/>
      <c r="B1923" s="2"/>
      <c r="C1923" s="2"/>
      <c r="D1923" s="2"/>
    </row>
    <row r="1924" spans="1:4" ht="12.75" customHeight="1" x14ac:dyDescent="0.2">
      <c r="A1924" s="21"/>
      <c r="B1924" s="2"/>
      <c r="C1924" s="2"/>
      <c r="D1924" s="2"/>
    </row>
    <row r="1925" spans="1:4" ht="12.75" customHeight="1" x14ac:dyDescent="0.2">
      <c r="A1925" s="21"/>
      <c r="B1925" s="2"/>
      <c r="C1925" s="2"/>
      <c r="D1925" s="2"/>
    </row>
    <row r="1926" spans="1:4" ht="12.75" customHeight="1" x14ac:dyDescent="0.2">
      <c r="A1926" s="5"/>
      <c r="B1926" s="2"/>
      <c r="C1926" s="2"/>
      <c r="D1926" s="2"/>
    </row>
    <row r="1927" spans="1:4" ht="12.75" customHeight="1" x14ac:dyDescent="0.2">
      <c r="A1927" s="22" t="str">
        <f>HYPERLINK("javascript:void(0)","szalagpajzs")</f>
        <v>szalagpajzs</v>
      </c>
      <c r="B1927" s="21"/>
      <c r="C1927" s="21"/>
      <c r="D1927" s="21"/>
    </row>
    <row r="1928" spans="1:4" ht="12.75" customHeight="1" x14ac:dyDescent="0.2">
      <c r="A1928" s="20"/>
      <c r="B1928" s="2"/>
      <c r="C1928" s="2"/>
      <c r="D1928" s="2"/>
    </row>
    <row r="1929" spans="1:4" ht="12.75" customHeight="1" x14ac:dyDescent="0.2">
      <c r="A1929" s="21"/>
      <c r="B1929" s="3" t="s">
        <v>0</v>
      </c>
      <c r="C1929" s="20" t="s">
        <v>178</v>
      </c>
      <c r="D1929" s="21"/>
    </row>
    <row r="1930" spans="1:4" ht="12.75" customHeight="1" x14ac:dyDescent="0.2">
      <c r="A1930" s="21"/>
      <c r="B1930" s="3" t="s">
        <v>2</v>
      </c>
      <c r="C1930" s="20" t="s">
        <v>1839</v>
      </c>
      <c r="D1930" s="21"/>
    </row>
    <row r="1931" spans="1:4" ht="12.75" customHeight="1" x14ac:dyDescent="0.2">
      <c r="A1931" s="21"/>
      <c r="B1931" s="3" t="s">
        <v>1840</v>
      </c>
      <c r="C1931" s="20" t="s">
        <v>671</v>
      </c>
      <c r="D1931" s="21"/>
    </row>
    <row r="1932" spans="1:4" ht="12.75" customHeight="1" x14ac:dyDescent="0.2">
      <c r="A1932" s="21"/>
      <c r="B1932" s="3" t="s">
        <v>9</v>
      </c>
      <c r="C1932" s="20" t="s">
        <v>179</v>
      </c>
      <c r="D1932" s="21"/>
    </row>
    <row r="1933" spans="1:4" ht="12.75" customHeight="1" x14ac:dyDescent="0.2">
      <c r="A1933" s="21"/>
      <c r="B1933" s="3" t="s">
        <v>11</v>
      </c>
      <c r="C1933" s="20" t="s">
        <v>368</v>
      </c>
      <c r="D1933" s="21"/>
    </row>
    <row r="1934" spans="1:4" ht="12.75" customHeight="1" x14ac:dyDescent="0.2">
      <c r="A1934" s="21"/>
      <c r="B1934" s="3" t="s">
        <v>16</v>
      </c>
      <c r="C1934" s="20"/>
      <c r="D1934" s="21"/>
    </row>
    <row r="1935" spans="1:4" ht="12.75" customHeight="1" x14ac:dyDescent="0.2">
      <c r="A1935" s="21"/>
      <c r="B1935" s="3" t="s">
        <v>17</v>
      </c>
      <c r="C1935" s="20" t="s">
        <v>19</v>
      </c>
      <c r="D1935" s="21"/>
    </row>
    <row r="1936" spans="1:4" ht="12.75" customHeight="1" x14ac:dyDescent="0.2">
      <c r="A1936" s="21"/>
      <c r="B1936" s="20" t="s">
        <v>18</v>
      </c>
      <c r="C1936" s="4" t="s">
        <v>67</v>
      </c>
      <c r="D1936" s="6" t="str">
        <f>HYPERLINK("javascript:void(0)","ínszalag")</f>
        <v>ínszalag</v>
      </c>
    </row>
    <row r="1937" spans="1:4" ht="12.75" customHeight="1" x14ac:dyDescent="0.2">
      <c r="A1937" s="21"/>
      <c r="B1937" s="21"/>
      <c r="C1937" s="4" t="s">
        <v>44</v>
      </c>
      <c r="D1937" s="6" t="str">
        <f>HYPERLINK("javascript:void(0)","óriásacél pajzs")</f>
        <v>óriásacél pajzs</v>
      </c>
    </row>
    <row r="1938" spans="1:4" ht="12.75" customHeight="1" x14ac:dyDescent="0.2">
      <c r="A1938" s="21"/>
      <c r="B1938" s="21"/>
      <c r="C1938" s="4" t="s">
        <v>117</v>
      </c>
      <c r="D1938" s="6" t="str">
        <f>HYPERLINK("javascript:void(0)","hiperzsír")</f>
        <v>hiperzsír</v>
      </c>
    </row>
    <row r="1939" spans="1:4" ht="12.75" customHeight="1" x14ac:dyDescent="0.2">
      <c r="A1939" s="21"/>
      <c r="B1939" s="2"/>
      <c r="C1939" s="2"/>
      <c r="D1939" s="2"/>
    </row>
    <row r="1940" spans="1:4" ht="12.75" customHeight="1" x14ac:dyDescent="0.2">
      <c r="A1940" s="21"/>
      <c r="B1940" s="2"/>
      <c r="C1940" s="2"/>
      <c r="D1940" s="2"/>
    </row>
    <row r="1941" spans="1:4" ht="12.75" customHeight="1" x14ac:dyDescent="0.2">
      <c r="A1941" s="21"/>
      <c r="B1941" s="2"/>
      <c r="C1941" s="2"/>
      <c r="D1941" s="2"/>
    </row>
    <row r="1942" spans="1:4" ht="12.75" customHeight="1" x14ac:dyDescent="0.2">
      <c r="A1942" s="21"/>
      <c r="B1942" s="2"/>
      <c r="C1942" s="2"/>
      <c r="D1942" s="2"/>
    </row>
    <row r="1943" spans="1:4" ht="12.75" customHeight="1" x14ac:dyDescent="0.2">
      <c r="A1943" s="5"/>
      <c r="B1943" s="2"/>
      <c r="C1943" s="2"/>
      <c r="D1943" s="2"/>
    </row>
    <row r="1944" spans="1:4" ht="12.75" customHeight="1" x14ac:dyDescent="0.2">
      <c r="A1944" s="22" t="str">
        <f>HYPERLINK("javascript:void(0)","diszpro pillepajzs")</f>
        <v>diszpro pillepajzs</v>
      </c>
      <c r="B1944" s="21"/>
      <c r="C1944" s="21"/>
      <c r="D1944" s="21"/>
    </row>
    <row r="1945" spans="1:4" ht="12.75" customHeight="1" x14ac:dyDescent="0.2">
      <c r="A1945" s="20"/>
      <c r="B1945" s="2"/>
      <c r="C1945" s="2"/>
      <c r="D1945" s="2"/>
    </row>
    <row r="1946" spans="1:4" ht="12.75" customHeight="1" x14ac:dyDescent="0.2">
      <c r="A1946" s="21"/>
      <c r="B1946" s="3" t="s">
        <v>0</v>
      </c>
      <c r="C1946" s="20" t="s">
        <v>178</v>
      </c>
      <c r="D1946" s="21"/>
    </row>
    <row r="1947" spans="1:4" ht="12.75" customHeight="1" x14ac:dyDescent="0.2">
      <c r="A1947" s="21"/>
      <c r="B1947" s="3" t="s">
        <v>2</v>
      </c>
      <c r="C1947" s="20" t="s">
        <v>1839</v>
      </c>
      <c r="D1947" s="21"/>
    </row>
    <row r="1948" spans="1:4" ht="12.75" customHeight="1" x14ac:dyDescent="0.2">
      <c r="A1948" s="21"/>
      <c r="B1948" s="3" t="s">
        <v>1840</v>
      </c>
      <c r="C1948" s="20" t="s">
        <v>671</v>
      </c>
      <c r="D1948" s="21"/>
    </row>
    <row r="1949" spans="1:4" ht="12.75" customHeight="1" x14ac:dyDescent="0.2">
      <c r="A1949" s="21"/>
      <c r="B1949" s="3" t="s">
        <v>9</v>
      </c>
      <c r="C1949" s="20" t="s">
        <v>738</v>
      </c>
      <c r="D1949" s="21"/>
    </row>
    <row r="1950" spans="1:4" ht="12.75" customHeight="1" x14ac:dyDescent="0.2">
      <c r="A1950" s="21"/>
      <c r="B1950" s="3" t="s">
        <v>11</v>
      </c>
      <c r="C1950" s="20" t="s">
        <v>381</v>
      </c>
      <c r="D1950" s="21"/>
    </row>
    <row r="1951" spans="1:4" ht="12.75" customHeight="1" x14ac:dyDescent="0.2">
      <c r="A1951" s="21"/>
      <c r="B1951" s="3" t="s">
        <v>16</v>
      </c>
      <c r="C1951" s="20"/>
      <c r="D1951" s="21"/>
    </row>
    <row r="1952" spans="1:4" ht="12.75" customHeight="1" x14ac:dyDescent="0.2">
      <c r="A1952" s="21"/>
      <c r="B1952" s="3" t="s">
        <v>17</v>
      </c>
      <c r="C1952" s="20" t="s">
        <v>19</v>
      </c>
      <c r="D1952" s="21"/>
    </row>
    <row r="1953" spans="1:4" ht="12.75" customHeight="1" x14ac:dyDescent="0.2">
      <c r="A1953" s="21"/>
      <c r="B1953" s="20" t="s">
        <v>18</v>
      </c>
      <c r="C1953" s="4" t="s">
        <v>44</v>
      </c>
      <c r="D1953" s="6" t="str">
        <f>HYPERLINK("javascript:void(0)","szalagpajzs")</f>
        <v>szalagpajzs</v>
      </c>
    </row>
    <row r="1954" spans="1:4" ht="12.75" customHeight="1" x14ac:dyDescent="0.2">
      <c r="A1954" s="21"/>
      <c r="B1954" s="21"/>
      <c r="C1954" s="4" t="s">
        <v>280</v>
      </c>
      <c r="D1954" s="6" t="str">
        <f>HYPERLINK("javascript:void(0)","diszprózium")</f>
        <v>diszprózium</v>
      </c>
    </row>
    <row r="1955" spans="1:4" ht="12.75" customHeight="1" x14ac:dyDescent="0.2">
      <c r="A1955" s="21"/>
      <c r="B1955" s="21"/>
      <c r="C1955" s="4" t="s">
        <v>117</v>
      </c>
      <c r="D1955" s="6" t="str">
        <f>HYPERLINK("javascript:void(0)","képcső")</f>
        <v>képcső</v>
      </c>
    </row>
    <row r="1956" spans="1:4" ht="12.75" customHeight="1" x14ac:dyDescent="0.2">
      <c r="A1956" s="21"/>
      <c r="B1956" s="2"/>
      <c r="C1956" s="2"/>
      <c r="D1956" s="2"/>
    </row>
    <row r="1957" spans="1:4" ht="12.75" customHeight="1" x14ac:dyDescent="0.2">
      <c r="A1957" s="21"/>
      <c r="B1957" s="2"/>
      <c r="C1957" s="2"/>
      <c r="D1957" s="2"/>
    </row>
    <row r="1958" spans="1:4" ht="12.75" customHeight="1" x14ac:dyDescent="0.2">
      <c r="A1958" s="21"/>
      <c r="B1958" s="2"/>
      <c r="C1958" s="2"/>
      <c r="D1958" s="2"/>
    </row>
    <row r="1959" spans="1:4" ht="12.75" customHeight="1" x14ac:dyDescent="0.2">
      <c r="A1959" s="21"/>
      <c r="B1959" s="2"/>
      <c r="C1959" s="2"/>
      <c r="D1959" s="2"/>
    </row>
    <row r="1960" spans="1:4" ht="12.75" customHeight="1" x14ac:dyDescent="0.2">
      <c r="A1960" s="5"/>
      <c r="B1960" s="2"/>
      <c r="C1960" s="2"/>
      <c r="D1960" s="2"/>
    </row>
    <row r="1961" spans="1:4" ht="12.75" customHeight="1" x14ac:dyDescent="0.2">
      <c r="A1961" s="22" t="str">
        <f>HYPERLINK("javascript:void(0)","szalagtestpajzs")</f>
        <v>szalagtestpajzs</v>
      </c>
      <c r="B1961" s="21"/>
      <c r="C1961" s="21"/>
      <c r="D1961" s="21"/>
    </row>
    <row r="1962" spans="1:4" ht="12.75" customHeight="1" x14ac:dyDescent="0.2">
      <c r="A1962" s="20"/>
      <c r="B1962" s="2"/>
      <c r="C1962" s="2"/>
      <c r="D1962" s="2"/>
    </row>
    <row r="1963" spans="1:4" ht="12.75" customHeight="1" x14ac:dyDescent="0.2">
      <c r="A1963" s="21"/>
      <c r="B1963" s="3" t="s">
        <v>0</v>
      </c>
      <c r="C1963" s="20" t="s">
        <v>340</v>
      </c>
      <c r="D1963" s="21"/>
    </row>
    <row r="1964" spans="1:4" ht="12.75" customHeight="1" x14ac:dyDescent="0.2">
      <c r="A1964" s="21"/>
      <c r="B1964" s="3" t="s">
        <v>2</v>
      </c>
      <c r="C1964" s="20" t="s">
        <v>1839</v>
      </c>
      <c r="D1964" s="21"/>
    </row>
    <row r="1965" spans="1:4" ht="12.75" customHeight="1" x14ac:dyDescent="0.2">
      <c r="A1965" s="21"/>
      <c r="B1965" s="3" t="s">
        <v>1840</v>
      </c>
      <c r="C1965" s="20" t="s">
        <v>690</v>
      </c>
      <c r="D1965" s="21"/>
    </row>
    <row r="1966" spans="1:4" ht="12.75" customHeight="1" x14ac:dyDescent="0.2">
      <c r="A1966" s="21"/>
      <c r="B1966" s="3" t="s">
        <v>9</v>
      </c>
      <c r="C1966" s="20" t="s">
        <v>300</v>
      </c>
      <c r="D1966" s="21"/>
    </row>
    <row r="1967" spans="1:4" ht="12.75" customHeight="1" x14ac:dyDescent="0.2">
      <c r="A1967" s="21"/>
      <c r="B1967" s="3" t="s">
        <v>11</v>
      </c>
      <c r="C1967" s="20" t="s">
        <v>406</v>
      </c>
      <c r="D1967" s="21"/>
    </row>
    <row r="1968" spans="1:4" ht="12.75" customHeight="1" x14ac:dyDescent="0.2">
      <c r="A1968" s="21"/>
      <c r="B1968" s="3" t="s">
        <v>16</v>
      </c>
      <c r="C1968" s="20"/>
      <c r="D1968" s="21"/>
    </row>
    <row r="1969" spans="1:4" ht="12.75" customHeight="1" x14ac:dyDescent="0.2">
      <c r="A1969" s="21"/>
      <c r="B1969" s="3" t="s">
        <v>17</v>
      </c>
      <c r="C1969" s="20" t="s">
        <v>19</v>
      </c>
      <c r="D1969" s="21"/>
    </row>
    <row r="1970" spans="1:4" ht="12.75" customHeight="1" x14ac:dyDescent="0.2">
      <c r="A1970" s="21"/>
      <c r="B1970" s="20" t="s">
        <v>18</v>
      </c>
      <c r="C1970" s="4" t="s">
        <v>44</v>
      </c>
      <c r="D1970" s="6" t="str">
        <f>HYPERLINK("javascript:void(0)","óriásacél testpajzs")</f>
        <v>óriásacél testpajzs</v>
      </c>
    </row>
    <row r="1971" spans="1:4" ht="12.75" customHeight="1" x14ac:dyDescent="0.2">
      <c r="A1971" s="21"/>
      <c r="B1971" s="21"/>
      <c r="C1971" s="4" t="s">
        <v>98</v>
      </c>
      <c r="D1971" s="6" t="str">
        <f>HYPERLINK("javascript:void(0)","ínszalag")</f>
        <v>ínszalag</v>
      </c>
    </row>
    <row r="1972" spans="1:4" ht="12.75" customHeight="1" x14ac:dyDescent="0.2">
      <c r="A1972" s="21"/>
      <c r="B1972" s="21"/>
      <c r="C1972" s="4" t="s">
        <v>193</v>
      </c>
      <c r="D1972" s="6" t="str">
        <f>HYPERLINK("javascript:void(0)","hiperzsír")</f>
        <v>hiperzsír</v>
      </c>
    </row>
    <row r="1973" spans="1:4" ht="12.75" customHeight="1" x14ac:dyDescent="0.2">
      <c r="A1973" s="21"/>
      <c r="B1973" s="2"/>
      <c r="C1973" s="2"/>
      <c r="D1973" s="2"/>
    </row>
    <row r="1974" spans="1:4" ht="12.75" customHeight="1" x14ac:dyDescent="0.2">
      <c r="A1974" s="21"/>
      <c r="B1974" s="2"/>
      <c r="C1974" s="2"/>
      <c r="D1974" s="2"/>
    </row>
    <row r="1975" spans="1:4" ht="12.75" customHeight="1" x14ac:dyDescent="0.2">
      <c r="A1975" s="21"/>
      <c r="B1975" s="2"/>
      <c r="C1975" s="2"/>
      <c r="D1975" s="2"/>
    </row>
    <row r="1976" spans="1:4" ht="12.75" customHeight="1" x14ac:dyDescent="0.2">
      <c r="A1976" s="21"/>
      <c r="B1976" s="2"/>
      <c r="C1976" s="2"/>
      <c r="D1976" s="2"/>
    </row>
    <row r="1977" spans="1:4" ht="12.75" customHeight="1" x14ac:dyDescent="0.2">
      <c r="A1977" s="5"/>
      <c r="B1977" s="2"/>
      <c r="C1977" s="2"/>
      <c r="D1977" s="2"/>
    </row>
    <row r="1978" spans="1:4" ht="12.75" customHeight="1" x14ac:dyDescent="0.2">
      <c r="A1978" s="22" t="str">
        <f>HYPERLINK("javascript:void(0)","kithrill pillepajzs")</f>
        <v>kithrill pillepajzs</v>
      </c>
      <c r="B1978" s="21"/>
      <c r="C1978" s="21"/>
      <c r="D1978" s="21"/>
    </row>
    <row r="1979" spans="1:4" ht="12.75" customHeight="1" x14ac:dyDescent="0.2">
      <c r="A1979" s="20"/>
      <c r="B1979" s="2"/>
      <c r="C1979" s="2"/>
      <c r="D1979" s="2"/>
    </row>
    <row r="1980" spans="1:4" ht="12.75" customHeight="1" x14ac:dyDescent="0.2">
      <c r="A1980" s="21"/>
      <c r="B1980" s="3" t="s">
        <v>0</v>
      </c>
      <c r="C1980" s="20" t="s">
        <v>340</v>
      </c>
      <c r="D1980" s="21"/>
    </row>
    <row r="1981" spans="1:4" ht="12.75" customHeight="1" x14ac:dyDescent="0.2">
      <c r="A1981" s="21"/>
      <c r="B1981" s="3" t="s">
        <v>2</v>
      </c>
      <c r="C1981" s="20" t="s">
        <v>1839</v>
      </c>
      <c r="D1981" s="21"/>
    </row>
    <row r="1982" spans="1:4" ht="12.75" customHeight="1" x14ac:dyDescent="0.2">
      <c r="A1982" s="21"/>
      <c r="B1982" s="3" t="s">
        <v>1840</v>
      </c>
      <c r="C1982" s="20" t="s">
        <v>690</v>
      </c>
      <c r="D1982" s="21"/>
    </row>
    <row r="1983" spans="1:4" ht="12.75" customHeight="1" x14ac:dyDescent="0.2">
      <c r="A1983" s="21"/>
      <c r="B1983" s="3" t="s">
        <v>9</v>
      </c>
      <c r="C1983" s="20" t="s">
        <v>1034</v>
      </c>
      <c r="D1983" s="21"/>
    </row>
    <row r="1984" spans="1:4" ht="12.75" customHeight="1" x14ac:dyDescent="0.2">
      <c r="A1984" s="21"/>
      <c r="B1984" s="3" t="s">
        <v>11</v>
      </c>
      <c r="C1984" s="20" t="s">
        <v>427</v>
      </c>
      <c r="D1984" s="21"/>
    </row>
    <row r="1985" spans="1:4" ht="12.75" customHeight="1" x14ac:dyDescent="0.2">
      <c r="A1985" s="21"/>
      <c r="B1985" s="3" t="s">
        <v>16</v>
      </c>
      <c r="C1985" s="20"/>
      <c r="D1985" s="21"/>
    </row>
    <row r="1986" spans="1:4" ht="12.75" customHeight="1" x14ac:dyDescent="0.2">
      <c r="A1986" s="21"/>
      <c r="B1986" s="3" t="s">
        <v>17</v>
      </c>
      <c r="C1986" s="20" t="s">
        <v>19</v>
      </c>
      <c r="D1986" s="21"/>
    </row>
    <row r="1987" spans="1:4" ht="12.75" customHeight="1" x14ac:dyDescent="0.2">
      <c r="A1987" s="21"/>
      <c r="B1987" s="20" t="s">
        <v>18</v>
      </c>
      <c r="C1987" s="4" t="s">
        <v>44</v>
      </c>
      <c r="D1987" s="6" t="str">
        <f>HYPERLINK("javascript:void(0)","szalagtestpajzs")</f>
        <v>szalagtestpajzs</v>
      </c>
    </row>
    <row r="1988" spans="1:4" ht="12.75" customHeight="1" x14ac:dyDescent="0.2">
      <c r="A1988" s="21"/>
      <c r="B1988" s="21"/>
      <c r="C1988" s="4" t="s">
        <v>280</v>
      </c>
      <c r="D1988" s="6" t="str">
        <f>HYPERLINK("javascript:void(0)","kithrill")</f>
        <v>kithrill</v>
      </c>
    </row>
    <row r="1989" spans="1:4" ht="12.75" customHeight="1" x14ac:dyDescent="0.2">
      <c r="A1989" s="21"/>
      <c r="B1989" s="21"/>
      <c r="C1989" s="4" t="s">
        <v>117</v>
      </c>
      <c r="D1989" s="6" t="str">
        <f>HYPERLINK("javascript:void(0)","spiritusz")</f>
        <v>spiritusz</v>
      </c>
    </row>
    <row r="1990" spans="1:4" ht="12.75" customHeight="1" x14ac:dyDescent="0.2">
      <c r="A1990" s="21"/>
      <c r="B1990" s="2"/>
      <c r="C1990" s="2"/>
      <c r="D1990" s="2"/>
    </row>
    <row r="1991" spans="1:4" ht="12.75" customHeight="1" x14ac:dyDescent="0.2">
      <c r="A1991" s="21"/>
      <c r="B1991" s="2"/>
      <c r="C1991" s="2"/>
      <c r="D1991" s="2"/>
    </row>
    <row r="1992" spans="1:4" ht="12.75" customHeight="1" x14ac:dyDescent="0.2">
      <c r="A1992" s="21"/>
      <c r="B1992" s="2"/>
      <c r="C1992" s="2"/>
      <c r="D1992" s="2"/>
    </row>
    <row r="1993" spans="1:4" ht="12.75" customHeight="1" x14ac:dyDescent="0.2">
      <c r="A1993" s="21"/>
      <c r="B1993" s="2"/>
      <c r="C1993" s="2"/>
      <c r="D1993" s="2"/>
    </row>
    <row r="1994" spans="1:4" ht="12.75" customHeight="1" x14ac:dyDescent="0.2">
      <c r="A1994" s="5"/>
      <c r="B1994" s="2"/>
      <c r="C1994" s="2"/>
      <c r="D1994" s="2"/>
    </row>
    <row r="1995" spans="1:4" ht="12.75" customHeight="1" x14ac:dyDescent="0.2">
      <c r="A1995" s="22" t="str">
        <f>HYPERLINK("javascript:void(0)","varázspajzs")</f>
        <v>varázspajzs</v>
      </c>
      <c r="B1995" s="21"/>
      <c r="C1995" s="21"/>
      <c r="D1995" s="21"/>
    </row>
    <row r="1996" spans="1:4" ht="12.75" customHeight="1" x14ac:dyDescent="0.2">
      <c r="A1996" s="20"/>
      <c r="B1996" s="2"/>
      <c r="C1996" s="2"/>
      <c r="D1996" s="2"/>
    </row>
    <row r="1997" spans="1:4" ht="12.75" customHeight="1" x14ac:dyDescent="0.2">
      <c r="A1997" s="21"/>
      <c r="B1997" s="3" t="s">
        <v>0</v>
      </c>
      <c r="C1997" s="20" t="s">
        <v>353</v>
      </c>
      <c r="D1997" s="21"/>
    </row>
    <row r="1998" spans="1:4" ht="12.75" customHeight="1" x14ac:dyDescent="0.2">
      <c r="A1998" s="21"/>
      <c r="B1998" s="3" t="s">
        <v>2</v>
      </c>
      <c r="C1998" s="20" t="s">
        <v>1839</v>
      </c>
      <c r="D1998" s="21"/>
    </row>
    <row r="1999" spans="1:4" ht="12.75" customHeight="1" x14ac:dyDescent="0.2">
      <c r="A1999" s="21"/>
      <c r="B1999" s="3" t="s">
        <v>1840</v>
      </c>
      <c r="C1999" s="20" t="s">
        <v>719</v>
      </c>
      <c r="D1999" s="21"/>
    </row>
    <row r="2000" spans="1:4" ht="12.75" customHeight="1" x14ac:dyDescent="0.2">
      <c r="A2000" s="21"/>
      <c r="B2000" s="3" t="s">
        <v>9</v>
      </c>
      <c r="C2000" s="20" t="s">
        <v>198</v>
      </c>
      <c r="D2000" s="21"/>
    </row>
    <row r="2001" spans="1:4" ht="12.75" customHeight="1" x14ac:dyDescent="0.2">
      <c r="A2001" s="21"/>
      <c r="B2001" s="3" t="s">
        <v>11</v>
      </c>
      <c r="C2001" s="20" t="s">
        <v>427</v>
      </c>
      <c r="D2001" s="21"/>
    </row>
    <row r="2002" spans="1:4" ht="12.75" customHeight="1" x14ac:dyDescent="0.2">
      <c r="A2002" s="21"/>
      <c r="B2002" s="3" t="s">
        <v>16</v>
      </c>
      <c r="C2002" s="20"/>
      <c r="D2002" s="21"/>
    </row>
    <row r="2003" spans="1:4" ht="12.75" customHeight="1" x14ac:dyDescent="0.2">
      <c r="A2003" s="21"/>
      <c r="B2003" s="3" t="s">
        <v>17</v>
      </c>
      <c r="C2003" s="20" t="s">
        <v>19</v>
      </c>
      <c r="D2003" s="21"/>
    </row>
    <row r="2004" spans="1:4" ht="12.75" customHeight="1" x14ac:dyDescent="0.2">
      <c r="A2004" s="21"/>
      <c r="B2004" s="20" t="s">
        <v>18</v>
      </c>
      <c r="C2004" s="4" t="s">
        <v>44</v>
      </c>
      <c r="D2004" s="6" t="str">
        <f>HYPERLINK("javascript:void(0)","szalagpajzs")</f>
        <v>szalagpajzs</v>
      </c>
    </row>
    <row r="2005" spans="1:4" ht="12.75" customHeight="1" x14ac:dyDescent="0.2">
      <c r="A2005" s="21"/>
      <c r="B2005" s="21"/>
      <c r="C2005" s="4" t="s">
        <v>193</v>
      </c>
      <c r="D2005" s="6" t="str">
        <f>HYPERLINK("javascript:void(0)","mágusköpeny")</f>
        <v>mágusköpeny</v>
      </c>
    </row>
    <row r="2006" spans="1:4" ht="12.75" customHeight="1" x14ac:dyDescent="0.2">
      <c r="A2006" s="21"/>
      <c r="B2006" s="21"/>
      <c r="C2006" s="4" t="s">
        <v>77</v>
      </c>
      <c r="D2006" s="6" t="str">
        <f>HYPERLINK("javascript:void(0)","ágyúmozsár")</f>
        <v>ágyúmozsár</v>
      </c>
    </row>
    <row r="2007" spans="1:4" ht="12.75" customHeight="1" x14ac:dyDescent="0.2">
      <c r="A2007" s="21"/>
      <c r="B2007" s="2"/>
      <c r="C2007" s="2"/>
      <c r="D2007" s="2"/>
    </row>
    <row r="2008" spans="1:4" ht="12.75" customHeight="1" x14ac:dyDescent="0.2">
      <c r="A2008" s="21"/>
      <c r="B2008" s="2"/>
      <c r="C2008" s="2"/>
      <c r="D2008" s="2"/>
    </row>
    <row r="2009" spans="1:4" ht="12.75" customHeight="1" x14ac:dyDescent="0.2">
      <c r="A2009" s="21"/>
      <c r="B2009" s="2"/>
      <c r="C2009" s="2"/>
      <c r="D2009" s="2"/>
    </row>
    <row r="2010" spans="1:4" ht="12.75" customHeight="1" x14ac:dyDescent="0.2">
      <c r="A2010" s="21"/>
      <c r="B2010" s="2"/>
      <c r="C2010" s="2"/>
      <c r="D2010" s="2"/>
    </row>
    <row r="2011" spans="1:4" ht="12.75" customHeight="1" x14ac:dyDescent="0.2">
      <c r="A2011" s="5"/>
      <c r="B2011" s="2"/>
      <c r="C2011" s="2"/>
      <c r="D2011" s="2"/>
    </row>
    <row r="2012" spans="1:4" ht="12.75" customHeight="1" x14ac:dyDescent="0.2">
      <c r="A2012" s="22" t="str">
        <f>HYPERLINK("javascript:void(0)","centro pillepajzs")</f>
        <v>centro pillepajzs</v>
      </c>
      <c r="B2012" s="21"/>
      <c r="C2012" s="21"/>
      <c r="D2012" s="21"/>
    </row>
    <row r="2013" spans="1:4" ht="12.75" customHeight="1" x14ac:dyDescent="0.2">
      <c r="A2013" s="20"/>
      <c r="B2013" s="2"/>
      <c r="C2013" s="2"/>
      <c r="D2013" s="2"/>
    </row>
    <row r="2014" spans="1:4" ht="12.75" customHeight="1" x14ac:dyDescent="0.2">
      <c r="A2014" s="21"/>
      <c r="B2014" s="3" t="s">
        <v>0</v>
      </c>
      <c r="C2014" s="20" t="s">
        <v>353</v>
      </c>
      <c r="D2014" s="21"/>
    </row>
    <row r="2015" spans="1:4" ht="12.75" customHeight="1" x14ac:dyDescent="0.2">
      <c r="A2015" s="21"/>
      <c r="B2015" s="3" t="s">
        <v>2</v>
      </c>
      <c r="C2015" s="20" t="s">
        <v>1839</v>
      </c>
      <c r="D2015" s="21"/>
    </row>
    <row r="2016" spans="1:4" ht="12.75" customHeight="1" x14ac:dyDescent="0.2">
      <c r="A2016" s="21"/>
      <c r="B2016" s="3" t="s">
        <v>1840</v>
      </c>
      <c r="C2016" s="20" t="s">
        <v>719</v>
      </c>
      <c r="D2016" s="21"/>
    </row>
    <row r="2017" spans="1:4" ht="12.75" customHeight="1" x14ac:dyDescent="0.2">
      <c r="A2017" s="21"/>
      <c r="B2017" s="3" t="s">
        <v>9</v>
      </c>
      <c r="C2017" s="20" t="s">
        <v>10</v>
      </c>
      <c r="D2017" s="21"/>
    </row>
    <row r="2018" spans="1:4" ht="12.75" customHeight="1" x14ac:dyDescent="0.2">
      <c r="A2018" s="21"/>
      <c r="B2018" s="3" t="s">
        <v>11</v>
      </c>
      <c r="C2018" s="20" t="s">
        <v>447</v>
      </c>
      <c r="D2018" s="21"/>
    </row>
    <row r="2019" spans="1:4" ht="12.75" customHeight="1" x14ac:dyDescent="0.2">
      <c r="A2019" s="21"/>
      <c r="B2019" s="3" t="s">
        <v>16</v>
      </c>
      <c r="C2019" s="20"/>
      <c r="D2019" s="21"/>
    </row>
    <row r="2020" spans="1:4" ht="12.75" customHeight="1" x14ac:dyDescent="0.2">
      <c r="A2020" s="21"/>
      <c r="B2020" s="3" t="s">
        <v>17</v>
      </c>
      <c r="C2020" s="20" t="s">
        <v>19</v>
      </c>
      <c r="D2020" s="21"/>
    </row>
    <row r="2021" spans="1:4" ht="12.75" customHeight="1" x14ac:dyDescent="0.2">
      <c r="A2021" s="21"/>
      <c r="B2021" s="20" t="s">
        <v>18</v>
      </c>
      <c r="C2021" s="4" t="s">
        <v>44</v>
      </c>
      <c r="D2021" s="6" t="str">
        <f>HYPERLINK("javascript:void(0)","varázspajzs")</f>
        <v>varázspajzs</v>
      </c>
    </row>
    <row r="2022" spans="1:4" ht="12.75" customHeight="1" x14ac:dyDescent="0.2">
      <c r="A2022" s="21"/>
      <c r="B2022" s="21"/>
      <c r="C2022" s="4" t="s">
        <v>280</v>
      </c>
      <c r="D2022" s="6" t="str">
        <f>HYPERLINK("javascript:void(0)","centrolium")</f>
        <v>centrolium</v>
      </c>
    </row>
    <row r="2023" spans="1:4" ht="12.75" customHeight="1" x14ac:dyDescent="0.2">
      <c r="A2023" s="21"/>
      <c r="B2023" s="21"/>
      <c r="C2023" s="4" t="s">
        <v>290</v>
      </c>
      <c r="D2023" s="6" t="str">
        <f>HYPERLINK("javascript:void(0)","rémszem")</f>
        <v>rémszem</v>
      </c>
    </row>
    <row r="2024" spans="1:4" ht="12.75" customHeight="1" x14ac:dyDescent="0.2">
      <c r="A2024" s="21"/>
      <c r="B2024" s="2"/>
      <c r="C2024" s="2"/>
      <c r="D2024" s="2"/>
    </row>
    <row r="2025" spans="1:4" ht="12.75" customHeight="1" x14ac:dyDescent="0.2">
      <c r="A2025" s="21"/>
      <c r="B2025" s="2"/>
      <c r="C2025" s="2"/>
      <c r="D2025" s="2"/>
    </row>
    <row r="2026" spans="1:4" ht="12.75" customHeight="1" x14ac:dyDescent="0.2">
      <c r="A2026" s="21"/>
      <c r="B2026" s="2"/>
      <c r="C2026" s="2"/>
      <c r="D2026" s="2"/>
    </row>
    <row r="2027" spans="1:4" ht="12.75" customHeight="1" x14ac:dyDescent="0.2">
      <c r="A2027" s="21"/>
      <c r="B2027" s="2"/>
      <c r="C2027" s="2"/>
      <c r="D2027" s="2"/>
    </row>
    <row r="2028" spans="1:4" ht="12.75" customHeight="1" x14ac:dyDescent="0.2">
      <c r="A2028" s="5"/>
      <c r="B2028" s="2"/>
      <c r="C2028" s="2"/>
      <c r="D2028" s="2"/>
    </row>
    <row r="2029" spans="1:4" ht="12.75" customHeight="1" x14ac:dyDescent="0.2">
      <c r="A2029" s="22" t="str">
        <f>HYPERLINK("javascript:void(0)","varázs testpajzs")</f>
        <v>varázs testpajzs</v>
      </c>
      <c r="B2029" s="21"/>
      <c r="C2029" s="21"/>
      <c r="D2029" s="21"/>
    </row>
    <row r="2030" spans="1:4" ht="12.75" customHeight="1" x14ac:dyDescent="0.2">
      <c r="A2030" s="20"/>
      <c r="B2030" s="2"/>
      <c r="C2030" s="2"/>
      <c r="D2030" s="2"/>
    </row>
    <row r="2031" spans="1:4" ht="12.75" customHeight="1" x14ac:dyDescent="0.2">
      <c r="A2031" s="21"/>
      <c r="B2031" s="3" t="s">
        <v>0</v>
      </c>
      <c r="C2031" s="20" t="s">
        <v>274</v>
      </c>
      <c r="D2031" s="21"/>
    </row>
    <row r="2032" spans="1:4" ht="12.75" customHeight="1" x14ac:dyDescent="0.2">
      <c r="A2032" s="21"/>
      <c r="B2032" s="3" t="s">
        <v>2</v>
      </c>
      <c r="C2032" s="20" t="s">
        <v>1839</v>
      </c>
      <c r="D2032" s="21"/>
    </row>
    <row r="2033" spans="1:4" ht="12.75" customHeight="1" x14ac:dyDescent="0.2">
      <c r="A2033" s="21"/>
      <c r="B2033" s="3" t="s">
        <v>1840</v>
      </c>
      <c r="C2033" s="20" t="s">
        <v>73</v>
      </c>
      <c r="D2033" s="21"/>
    </row>
    <row r="2034" spans="1:4" ht="12.75" customHeight="1" x14ac:dyDescent="0.2">
      <c r="A2034" s="21"/>
      <c r="B2034" s="3" t="s">
        <v>9</v>
      </c>
      <c r="C2034" s="20" t="s">
        <v>549</v>
      </c>
      <c r="D2034" s="21"/>
    </row>
    <row r="2035" spans="1:4" ht="12.75" customHeight="1" x14ac:dyDescent="0.2">
      <c r="A2035" s="21"/>
      <c r="B2035" s="3" t="s">
        <v>11</v>
      </c>
      <c r="C2035" s="20" t="s">
        <v>447</v>
      </c>
      <c r="D2035" s="21"/>
    </row>
    <row r="2036" spans="1:4" ht="12.75" customHeight="1" x14ac:dyDescent="0.2">
      <c r="A2036" s="21"/>
      <c r="B2036" s="3" t="s">
        <v>16</v>
      </c>
      <c r="C2036" s="20"/>
      <c r="D2036" s="21"/>
    </row>
    <row r="2037" spans="1:4" ht="12.75" customHeight="1" x14ac:dyDescent="0.2">
      <c r="A2037" s="21"/>
      <c r="B2037" s="3" t="s">
        <v>17</v>
      </c>
      <c r="C2037" s="20" t="s">
        <v>19</v>
      </c>
      <c r="D2037" s="21"/>
    </row>
    <row r="2038" spans="1:4" ht="12.75" customHeight="1" x14ac:dyDescent="0.2">
      <c r="A2038" s="21"/>
      <c r="B2038" s="20" t="s">
        <v>18</v>
      </c>
      <c r="C2038" s="4" t="s">
        <v>44</v>
      </c>
      <c r="D2038" s="6" t="str">
        <f>HYPERLINK("javascript:void(0)","szalagtestpajzs")</f>
        <v>szalagtestpajzs</v>
      </c>
    </row>
    <row r="2039" spans="1:4" ht="12.75" customHeight="1" x14ac:dyDescent="0.2">
      <c r="A2039" s="21"/>
      <c r="B2039" s="21"/>
      <c r="C2039" s="4" t="s">
        <v>163</v>
      </c>
      <c r="D2039" s="6" t="str">
        <f>HYPERLINK("javascript:void(0)","mágusköpeny")</f>
        <v>mágusköpeny</v>
      </c>
    </row>
    <row r="2040" spans="1:4" ht="12.75" customHeight="1" x14ac:dyDescent="0.2">
      <c r="A2040" s="21"/>
      <c r="B2040" s="21"/>
      <c r="C2040" s="4" t="s">
        <v>142</v>
      </c>
      <c r="D2040" s="6" t="str">
        <f>HYPERLINK("javascript:void(0)","nekroige")</f>
        <v>nekroige</v>
      </c>
    </row>
    <row r="2041" spans="1:4" ht="12.75" customHeight="1" x14ac:dyDescent="0.2">
      <c r="A2041" s="21"/>
      <c r="B2041" s="2"/>
      <c r="C2041" s="2"/>
      <c r="D2041" s="2"/>
    </row>
    <row r="2042" spans="1:4" ht="12.75" customHeight="1" x14ac:dyDescent="0.2">
      <c r="A2042" s="21"/>
      <c r="B2042" s="2"/>
      <c r="C2042" s="2"/>
      <c r="D2042" s="2"/>
    </row>
    <row r="2043" spans="1:4" ht="12.75" customHeight="1" x14ac:dyDescent="0.2">
      <c r="A2043" s="21"/>
      <c r="B2043" s="2"/>
      <c r="C2043" s="2"/>
      <c r="D2043" s="2"/>
    </row>
    <row r="2044" spans="1:4" ht="12.75" customHeight="1" x14ac:dyDescent="0.2">
      <c r="A2044" s="21"/>
      <c r="B2044" s="2"/>
      <c r="C2044" s="2"/>
      <c r="D2044" s="2"/>
    </row>
    <row r="2045" spans="1:4" ht="12.75" customHeight="1" x14ac:dyDescent="0.2">
      <c r="A2045" s="5"/>
      <c r="B2045" s="2"/>
      <c r="C2045" s="2"/>
      <c r="D2045" s="2"/>
    </row>
    <row r="2046" spans="1:4" ht="12.75" customHeight="1" x14ac:dyDescent="0.2">
      <c r="A2046" s="22" t="str">
        <f>HYPERLINK("javascript:void(0)","hiper pillepajzs")</f>
        <v>hiper pillepajzs</v>
      </c>
      <c r="B2046" s="21"/>
      <c r="C2046" s="21"/>
      <c r="D2046" s="21"/>
    </row>
    <row r="2047" spans="1:4" ht="12.75" customHeight="1" x14ac:dyDescent="0.2">
      <c r="A2047" s="20"/>
      <c r="B2047" s="2"/>
      <c r="C2047" s="2"/>
      <c r="D2047" s="2"/>
    </row>
    <row r="2048" spans="1:4" ht="12.75" customHeight="1" x14ac:dyDescent="0.2">
      <c r="A2048" s="21"/>
      <c r="B2048" s="3" t="s">
        <v>0</v>
      </c>
      <c r="C2048" s="20" t="s">
        <v>274</v>
      </c>
      <c r="D2048" s="21"/>
    </row>
    <row r="2049" spans="1:4" ht="12.75" customHeight="1" x14ac:dyDescent="0.2">
      <c r="A2049" s="21"/>
      <c r="B2049" s="3" t="s">
        <v>2</v>
      </c>
      <c r="C2049" s="20" t="s">
        <v>1839</v>
      </c>
      <c r="D2049" s="21"/>
    </row>
    <row r="2050" spans="1:4" ht="12.75" customHeight="1" x14ac:dyDescent="0.2">
      <c r="A2050" s="21"/>
      <c r="B2050" s="3" t="s">
        <v>1840</v>
      </c>
      <c r="C2050" s="20" t="s">
        <v>73</v>
      </c>
      <c r="D2050" s="21"/>
    </row>
    <row r="2051" spans="1:4" ht="12.75" customHeight="1" x14ac:dyDescent="0.2">
      <c r="A2051" s="21"/>
      <c r="B2051" s="3" t="s">
        <v>9</v>
      </c>
      <c r="C2051" s="20" t="s">
        <v>2034</v>
      </c>
      <c r="D2051" s="21"/>
    </row>
    <row r="2052" spans="1:4" ht="12.75" customHeight="1" x14ac:dyDescent="0.2">
      <c r="A2052" s="21"/>
      <c r="B2052" s="3" t="s">
        <v>11</v>
      </c>
      <c r="C2052" s="20" t="s">
        <v>465</v>
      </c>
      <c r="D2052" s="21"/>
    </row>
    <row r="2053" spans="1:4" ht="12.75" customHeight="1" x14ac:dyDescent="0.2">
      <c r="A2053" s="21"/>
      <c r="B2053" s="3" t="s">
        <v>16</v>
      </c>
      <c r="C2053" s="20"/>
      <c r="D2053" s="21"/>
    </row>
    <row r="2054" spans="1:4" ht="12.75" customHeight="1" x14ac:dyDescent="0.2">
      <c r="A2054" s="21"/>
      <c r="B2054" s="3" t="s">
        <v>17</v>
      </c>
      <c r="C2054" s="20" t="s">
        <v>19</v>
      </c>
      <c r="D2054" s="21"/>
    </row>
    <row r="2055" spans="1:4" ht="12.75" customHeight="1" x14ac:dyDescent="0.2">
      <c r="A2055" s="21"/>
      <c r="B2055" s="20" t="s">
        <v>18</v>
      </c>
      <c r="C2055" s="4" t="s">
        <v>44</v>
      </c>
      <c r="D2055" s="6" t="str">
        <f>HYPERLINK("javascript:void(0)","varázs testpajzs")</f>
        <v>varázs testpajzs</v>
      </c>
    </row>
    <row r="2056" spans="1:4" ht="12.75" customHeight="1" x14ac:dyDescent="0.2">
      <c r="A2056" s="21"/>
      <c r="B2056" s="21"/>
      <c r="C2056" s="4" t="s">
        <v>130</v>
      </c>
      <c r="D2056" s="6" t="str">
        <f>HYPERLINK("javascript:void(0)","hiperium")</f>
        <v>hiperium</v>
      </c>
    </row>
    <row r="2057" spans="1:4" ht="12.75" customHeight="1" x14ac:dyDescent="0.2">
      <c r="A2057" s="21"/>
      <c r="B2057" s="21"/>
      <c r="C2057" s="4" t="s">
        <v>290</v>
      </c>
      <c r="D2057" s="6" t="str">
        <f>HYPERLINK("javascript:void(0)","rémszem")</f>
        <v>rémszem</v>
      </c>
    </row>
    <row r="2058" spans="1:4" ht="12.75" customHeight="1" x14ac:dyDescent="0.2">
      <c r="A2058" s="21"/>
      <c r="B2058" s="2"/>
      <c r="C2058" s="2"/>
      <c r="D2058" s="2"/>
    </row>
    <row r="2059" spans="1:4" ht="12.75" customHeight="1" x14ac:dyDescent="0.2">
      <c r="A2059" s="21"/>
      <c r="B2059" s="2"/>
      <c r="C2059" s="2"/>
      <c r="D2059" s="2"/>
    </row>
    <row r="2060" spans="1:4" ht="12.75" customHeight="1" x14ac:dyDescent="0.2">
      <c r="A2060" s="21"/>
      <c r="B2060" s="2"/>
      <c r="C2060" s="2"/>
      <c r="D2060" s="2"/>
    </row>
    <row r="2061" spans="1:4" ht="12.75" customHeight="1" x14ac:dyDescent="0.2">
      <c r="A2061" s="21"/>
      <c r="B2061" s="2"/>
      <c r="C2061" s="2"/>
      <c r="D2061" s="2"/>
    </row>
    <row r="2062" spans="1:4" ht="12.75" customHeight="1" x14ac:dyDescent="0.2">
      <c r="A2062" s="5"/>
      <c r="B2062" s="2"/>
      <c r="C2062" s="2"/>
      <c r="D2062" s="2"/>
    </row>
    <row r="2063" spans="1:4" ht="12.75" customHeight="1" x14ac:dyDescent="0.2">
      <c r="A2063" s="22" t="str">
        <f>HYPERLINK("javascript:void(0)","közepes csillámpajzs")</f>
        <v>közepes csillámpajzs</v>
      </c>
      <c r="B2063" s="21"/>
      <c r="C2063" s="21"/>
      <c r="D2063" s="21"/>
    </row>
    <row r="2064" spans="1:4" ht="12.75" customHeight="1" x14ac:dyDescent="0.2">
      <c r="A2064" s="20"/>
      <c r="B2064" s="2"/>
      <c r="C2064" s="2"/>
      <c r="D2064" s="2"/>
    </row>
    <row r="2065" spans="1:4" ht="12.75" customHeight="1" x14ac:dyDescent="0.2">
      <c r="A2065" s="21"/>
      <c r="B2065" s="3" t="s">
        <v>0</v>
      </c>
      <c r="C2065" s="20" t="s">
        <v>274</v>
      </c>
      <c r="D2065" s="21"/>
    </row>
    <row r="2066" spans="1:4" ht="12.75" customHeight="1" x14ac:dyDescent="0.2">
      <c r="A2066" s="21"/>
      <c r="B2066" s="3" t="s">
        <v>2</v>
      </c>
      <c r="C2066" s="20" t="s">
        <v>1839</v>
      </c>
      <c r="D2066" s="21"/>
    </row>
    <row r="2067" spans="1:4" ht="12.75" customHeight="1" x14ac:dyDescent="0.2">
      <c r="A2067" s="21"/>
      <c r="B2067" s="3" t="s">
        <v>1840</v>
      </c>
      <c r="C2067" s="20" t="s">
        <v>302</v>
      </c>
      <c r="D2067" s="21"/>
    </row>
    <row r="2068" spans="1:4" ht="12.75" customHeight="1" x14ac:dyDescent="0.2">
      <c r="A2068" s="21"/>
      <c r="B2068" s="3" t="s">
        <v>9</v>
      </c>
      <c r="C2068" s="20" t="s">
        <v>2036</v>
      </c>
      <c r="D2068" s="21"/>
    </row>
    <row r="2069" spans="1:4" ht="12.75" customHeight="1" x14ac:dyDescent="0.2">
      <c r="A2069" s="21"/>
      <c r="B2069" s="3" t="s">
        <v>11</v>
      </c>
      <c r="C2069" s="20" t="s">
        <v>453</v>
      </c>
      <c r="D2069" s="21"/>
    </row>
    <row r="2070" spans="1:4" ht="12.75" customHeight="1" x14ac:dyDescent="0.2">
      <c r="A2070" s="21"/>
      <c r="B2070" s="3" t="s">
        <v>16</v>
      </c>
      <c r="C2070" s="20"/>
      <c r="D2070" s="21"/>
    </row>
    <row r="2071" spans="1:4" ht="12.75" customHeight="1" x14ac:dyDescent="0.2">
      <c r="A2071" s="21"/>
      <c r="B2071" s="3" t="s">
        <v>17</v>
      </c>
      <c r="C2071" s="20" t="s">
        <v>19</v>
      </c>
      <c r="D2071" s="21"/>
    </row>
    <row r="2072" spans="1:4" ht="12.75" customHeight="1" x14ac:dyDescent="0.2">
      <c r="A2072" s="21"/>
      <c r="B2072" s="20" t="s">
        <v>18</v>
      </c>
      <c r="C2072" s="4" t="s">
        <v>44</v>
      </c>
      <c r="D2072" s="6" t="str">
        <f>HYPERLINK("javascript:void(0)","kis csillámpajzs")</f>
        <v>kis csillámpajzs</v>
      </c>
    </row>
    <row r="2073" spans="1:4" ht="12.75" customHeight="1" x14ac:dyDescent="0.2">
      <c r="A2073" s="21"/>
      <c r="B2073" s="21"/>
      <c r="C2073" s="4" t="s">
        <v>57</v>
      </c>
      <c r="D2073" s="6" t="str">
        <f>HYPERLINK("javascript:void(0)","csillámgöb")</f>
        <v>csillámgöb</v>
      </c>
    </row>
    <row r="2074" spans="1:4" ht="12.75" customHeight="1" x14ac:dyDescent="0.2">
      <c r="A2074" s="21"/>
      <c r="B2074" s="21"/>
      <c r="C2074" s="4" t="s">
        <v>44</v>
      </c>
      <c r="D2074" s="6" t="str">
        <f>HYPERLINK("javascript:void(0)","elementáltestpajzs")</f>
        <v>elementáltestpajzs</v>
      </c>
    </row>
    <row r="2075" spans="1:4" ht="12.75" customHeight="1" x14ac:dyDescent="0.2">
      <c r="A2075" s="21"/>
      <c r="B2075" s="2"/>
      <c r="C2075" s="2"/>
      <c r="D2075" s="2"/>
    </row>
    <row r="2076" spans="1:4" ht="12.75" customHeight="1" x14ac:dyDescent="0.2">
      <c r="A2076" s="21"/>
      <c r="B2076" s="2"/>
      <c r="C2076" s="2"/>
      <c r="D2076" s="2"/>
    </row>
    <row r="2077" spans="1:4" ht="12.75" customHeight="1" x14ac:dyDescent="0.2">
      <c r="A2077" s="21"/>
      <c r="B2077" s="2"/>
      <c r="C2077" s="2"/>
      <c r="D2077" s="2"/>
    </row>
    <row r="2078" spans="1:4" ht="12.75" customHeight="1" x14ac:dyDescent="0.2">
      <c r="A2078" s="21"/>
      <c r="B2078" s="2"/>
      <c r="C2078" s="2"/>
      <c r="D2078" s="2"/>
    </row>
    <row r="2079" spans="1:4" ht="12.75" customHeight="1" x14ac:dyDescent="0.2">
      <c r="A2079" s="5"/>
      <c r="B2079" s="2"/>
      <c r="C2079" s="2"/>
      <c r="D2079" s="2"/>
    </row>
    <row r="2080" spans="1:4" ht="12.75" customHeight="1" x14ac:dyDescent="0.2">
      <c r="A2080" s="22" t="str">
        <f>HYPERLINK("javascript:void(0)","kristálypajzs")</f>
        <v>kristálypajzs</v>
      </c>
      <c r="B2080" s="21"/>
      <c r="C2080" s="21"/>
      <c r="D2080" s="21"/>
    </row>
    <row r="2081" spans="1:4" ht="12.75" customHeight="1" x14ac:dyDescent="0.2">
      <c r="A2081" s="20"/>
      <c r="B2081" s="2"/>
      <c r="C2081" s="2"/>
      <c r="D2081" s="2"/>
    </row>
    <row r="2082" spans="1:4" ht="12.75" customHeight="1" x14ac:dyDescent="0.2">
      <c r="A2082" s="21"/>
      <c r="B2082" s="3" t="s">
        <v>0</v>
      </c>
      <c r="C2082" s="20" t="s">
        <v>52</v>
      </c>
      <c r="D2082" s="21"/>
    </row>
    <row r="2083" spans="1:4" ht="12.75" customHeight="1" x14ac:dyDescent="0.2">
      <c r="A2083" s="21"/>
      <c r="B2083" s="3" t="s">
        <v>2</v>
      </c>
      <c r="C2083" s="20" t="s">
        <v>1839</v>
      </c>
      <c r="D2083" s="21"/>
    </row>
    <row r="2084" spans="1:4" ht="12.75" customHeight="1" x14ac:dyDescent="0.2">
      <c r="A2084" s="21"/>
      <c r="B2084" s="3" t="s">
        <v>1840</v>
      </c>
      <c r="C2084" s="20" t="s">
        <v>253</v>
      </c>
      <c r="D2084" s="21"/>
    </row>
    <row r="2085" spans="1:4" ht="12.75" customHeight="1" x14ac:dyDescent="0.2">
      <c r="A2085" s="21"/>
      <c r="B2085" s="3" t="s">
        <v>9</v>
      </c>
      <c r="C2085" s="20" t="s">
        <v>249</v>
      </c>
      <c r="D2085" s="21"/>
    </row>
    <row r="2086" spans="1:4" ht="12.75" customHeight="1" x14ac:dyDescent="0.2">
      <c r="A2086" s="21"/>
      <c r="B2086" s="3" t="s">
        <v>11</v>
      </c>
      <c r="C2086" s="20" t="s">
        <v>492</v>
      </c>
      <c r="D2086" s="21"/>
    </row>
    <row r="2087" spans="1:4" ht="12.75" customHeight="1" x14ac:dyDescent="0.2">
      <c r="A2087" s="21"/>
      <c r="B2087" s="3" t="s">
        <v>16</v>
      </c>
      <c r="C2087" s="20"/>
      <c r="D2087" s="21"/>
    </row>
    <row r="2088" spans="1:4" ht="12.75" customHeight="1" x14ac:dyDescent="0.2">
      <c r="A2088" s="21"/>
      <c r="B2088" s="3" t="s">
        <v>17</v>
      </c>
      <c r="C2088" s="20" t="s">
        <v>19</v>
      </c>
      <c r="D2088" s="21"/>
    </row>
    <row r="2089" spans="1:4" ht="12.75" customHeight="1" x14ac:dyDescent="0.2">
      <c r="A2089" s="21"/>
      <c r="B2089" s="20" t="s">
        <v>18</v>
      </c>
      <c r="C2089" s="4" t="s">
        <v>44</v>
      </c>
      <c r="D2089" s="6" t="str">
        <f>HYPERLINK("javascript:void(0)","varázspajzs")</f>
        <v>varázspajzs</v>
      </c>
    </row>
    <row r="2090" spans="1:4" ht="12.75" customHeight="1" x14ac:dyDescent="0.2">
      <c r="A2090" s="21"/>
      <c r="B2090" s="21"/>
      <c r="C2090" s="4" t="s">
        <v>193</v>
      </c>
      <c r="D2090" s="6" t="str">
        <f>HYPERLINK("javascript:void(0)","légzsák")</f>
        <v>légzsák</v>
      </c>
    </row>
    <row r="2091" spans="1:4" ht="12.75" customHeight="1" x14ac:dyDescent="0.2">
      <c r="A2091" s="21"/>
      <c r="B2091" s="21"/>
      <c r="C2091" s="4" t="s">
        <v>232</v>
      </c>
      <c r="D2091" s="6" t="str">
        <f>HYPERLINK("javascript:void(0)","lámpás")</f>
        <v>lámpás</v>
      </c>
    </row>
    <row r="2092" spans="1:4" ht="12.75" customHeight="1" x14ac:dyDescent="0.2">
      <c r="A2092" s="21"/>
      <c r="B2092" s="2"/>
      <c r="C2092" s="2"/>
      <c r="D2092" s="2"/>
    </row>
    <row r="2093" spans="1:4" ht="12.75" customHeight="1" x14ac:dyDescent="0.2">
      <c r="A2093" s="21"/>
      <c r="B2093" s="2"/>
      <c r="C2093" s="2"/>
      <c r="D2093" s="2"/>
    </row>
    <row r="2094" spans="1:4" ht="12.75" customHeight="1" x14ac:dyDescent="0.2">
      <c r="A2094" s="21"/>
      <c r="B2094" s="2"/>
      <c r="C2094" s="2"/>
      <c r="D2094" s="2"/>
    </row>
    <row r="2095" spans="1:4" ht="12.75" customHeight="1" x14ac:dyDescent="0.2">
      <c r="A2095" s="21"/>
      <c r="B2095" s="2"/>
      <c r="C2095" s="2"/>
      <c r="D2095" s="2"/>
    </row>
    <row r="2096" spans="1:4" ht="12.75" customHeight="1" x14ac:dyDescent="0.2">
      <c r="A2096" s="5"/>
      <c r="B2096" s="2"/>
      <c r="C2096" s="2"/>
      <c r="D2096" s="2"/>
    </row>
    <row r="2097" spans="1:4" ht="12.75" customHeight="1" x14ac:dyDescent="0.2">
      <c r="A2097" s="22" t="str">
        <f>HYPERLINK("javascript:void(0)","hidracél pillepajzs")</f>
        <v>hidracél pillepajzs</v>
      </c>
      <c r="B2097" s="21"/>
      <c r="C2097" s="21"/>
      <c r="D2097" s="21"/>
    </row>
    <row r="2098" spans="1:4" ht="12.75" customHeight="1" x14ac:dyDescent="0.2">
      <c r="A2098" s="20"/>
      <c r="B2098" s="2"/>
      <c r="C2098" s="2"/>
      <c r="D2098" s="2"/>
    </row>
    <row r="2099" spans="1:4" ht="12.75" customHeight="1" x14ac:dyDescent="0.2">
      <c r="A2099" s="21"/>
      <c r="B2099" s="3" t="s">
        <v>0</v>
      </c>
      <c r="C2099" s="20" t="s">
        <v>52</v>
      </c>
      <c r="D2099" s="21"/>
    </row>
    <row r="2100" spans="1:4" ht="12.75" customHeight="1" x14ac:dyDescent="0.2">
      <c r="A2100" s="21"/>
      <c r="B2100" s="3" t="s">
        <v>2</v>
      </c>
      <c r="C2100" s="20" t="s">
        <v>1839</v>
      </c>
      <c r="D2100" s="21"/>
    </row>
    <row r="2101" spans="1:4" ht="12.75" customHeight="1" x14ac:dyDescent="0.2">
      <c r="A2101" s="21"/>
      <c r="B2101" s="3" t="s">
        <v>1840</v>
      </c>
      <c r="C2101" s="20" t="s">
        <v>253</v>
      </c>
      <c r="D2101" s="21"/>
    </row>
    <row r="2102" spans="1:4" ht="12.75" customHeight="1" x14ac:dyDescent="0.2">
      <c r="A2102" s="21"/>
      <c r="B2102" s="3" t="s">
        <v>9</v>
      </c>
      <c r="C2102" s="20" t="s">
        <v>1195</v>
      </c>
      <c r="D2102" s="21"/>
    </row>
    <row r="2103" spans="1:4" ht="12.75" customHeight="1" x14ac:dyDescent="0.2">
      <c r="A2103" s="21"/>
      <c r="B2103" s="3" t="s">
        <v>11</v>
      </c>
      <c r="C2103" s="20" t="s">
        <v>483</v>
      </c>
      <c r="D2103" s="21"/>
    </row>
    <row r="2104" spans="1:4" ht="12.75" customHeight="1" x14ac:dyDescent="0.2">
      <c r="A2104" s="21"/>
      <c r="B2104" s="3" t="s">
        <v>16</v>
      </c>
      <c r="C2104" s="20"/>
      <c r="D2104" s="21"/>
    </row>
    <row r="2105" spans="1:4" ht="12.75" customHeight="1" x14ac:dyDescent="0.2">
      <c r="A2105" s="21"/>
      <c r="B2105" s="3" t="s">
        <v>17</v>
      </c>
      <c r="C2105" s="20" t="s">
        <v>19</v>
      </c>
      <c r="D2105" s="21"/>
    </row>
    <row r="2106" spans="1:4" ht="12.75" customHeight="1" x14ac:dyDescent="0.2">
      <c r="A2106" s="21"/>
      <c r="B2106" s="20" t="s">
        <v>18</v>
      </c>
      <c r="C2106" s="4" t="s">
        <v>44</v>
      </c>
      <c r="D2106" s="6" t="str">
        <f>HYPERLINK("javascript:void(0)","kristálypajzs")</f>
        <v>kristálypajzs</v>
      </c>
    </row>
    <row r="2107" spans="1:4" ht="12.75" customHeight="1" x14ac:dyDescent="0.2">
      <c r="A2107" s="21"/>
      <c r="B2107" s="21"/>
      <c r="C2107" s="4" t="s">
        <v>632</v>
      </c>
      <c r="D2107" s="6" t="str">
        <f>HYPERLINK("javascript:void(0)","szén-hidragén")</f>
        <v>szén-hidragén</v>
      </c>
    </row>
    <row r="2108" spans="1:4" ht="12.75" customHeight="1" x14ac:dyDescent="0.2">
      <c r="A2108" s="21"/>
      <c r="B2108" s="21"/>
      <c r="C2108" s="4" t="s">
        <v>67</v>
      </c>
      <c r="D2108" s="6" t="str">
        <f>HYPERLINK("javascript:void(0)","robbanófej")</f>
        <v>robbanófej</v>
      </c>
    </row>
    <row r="2109" spans="1:4" ht="12.75" customHeight="1" x14ac:dyDescent="0.2">
      <c r="A2109" s="21"/>
      <c r="B2109" s="2"/>
      <c r="C2109" s="2"/>
      <c r="D2109" s="2"/>
    </row>
    <row r="2110" spans="1:4" ht="12.75" customHeight="1" x14ac:dyDescent="0.2">
      <c r="A2110" s="21"/>
      <c r="B2110" s="2"/>
      <c r="C2110" s="2"/>
      <c r="D2110" s="2"/>
    </row>
    <row r="2111" spans="1:4" ht="12.75" customHeight="1" x14ac:dyDescent="0.2">
      <c r="A2111" s="21"/>
      <c r="B2111" s="2"/>
      <c r="C2111" s="2"/>
      <c r="D2111" s="2"/>
    </row>
    <row r="2112" spans="1:4" ht="12.75" customHeight="1" x14ac:dyDescent="0.2">
      <c r="A2112" s="21"/>
      <c r="B2112" s="2"/>
      <c r="C2112" s="2"/>
      <c r="D2112" s="2"/>
    </row>
    <row r="2113" spans="1:4" ht="12.75" customHeight="1" x14ac:dyDescent="0.2">
      <c r="A2113" s="5"/>
      <c r="B2113" s="2"/>
      <c r="C2113" s="2"/>
      <c r="D2113" s="2"/>
    </row>
    <row r="2114" spans="1:4" ht="12.75" customHeight="1" x14ac:dyDescent="0.2">
      <c r="A2114" s="22" t="str">
        <f>HYPERLINK("javascript:void(0)","kristály testpajzs")</f>
        <v>kristály testpajzs</v>
      </c>
      <c r="B2114" s="21"/>
      <c r="C2114" s="21"/>
      <c r="D2114" s="21"/>
    </row>
    <row r="2115" spans="1:4" ht="12.75" customHeight="1" x14ac:dyDescent="0.2">
      <c r="A2115" s="20"/>
      <c r="B2115" s="2"/>
      <c r="C2115" s="2"/>
      <c r="D2115" s="2"/>
    </row>
    <row r="2116" spans="1:4" ht="12.75" customHeight="1" x14ac:dyDescent="0.2">
      <c r="A2116" s="21"/>
      <c r="B2116" s="3" t="s">
        <v>0</v>
      </c>
      <c r="C2116" s="20" t="s">
        <v>385</v>
      </c>
      <c r="D2116" s="21"/>
    </row>
    <row r="2117" spans="1:4" ht="12.75" customHeight="1" x14ac:dyDescent="0.2">
      <c r="A2117" s="21"/>
      <c r="B2117" s="3" t="s">
        <v>2</v>
      </c>
      <c r="C2117" s="20" t="s">
        <v>1839</v>
      </c>
      <c r="D2117" s="21"/>
    </row>
    <row r="2118" spans="1:4" ht="12.75" customHeight="1" x14ac:dyDescent="0.2">
      <c r="A2118" s="21"/>
      <c r="B2118" s="3" t="s">
        <v>1840</v>
      </c>
      <c r="C2118" s="20" t="s">
        <v>782</v>
      </c>
      <c r="D2118" s="21"/>
    </row>
    <row r="2119" spans="1:4" ht="12.75" customHeight="1" x14ac:dyDescent="0.2">
      <c r="A2119" s="21"/>
      <c r="B2119" s="3" t="s">
        <v>9</v>
      </c>
      <c r="C2119" s="20" t="s">
        <v>1824</v>
      </c>
      <c r="D2119" s="21"/>
    </row>
    <row r="2120" spans="1:4" ht="12.75" customHeight="1" x14ac:dyDescent="0.2">
      <c r="A2120" s="21"/>
      <c r="B2120" s="3" t="s">
        <v>11</v>
      </c>
      <c r="C2120" s="20" t="s">
        <v>470</v>
      </c>
      <c r="D2120" s="21"/>
    </row>
    <row r="2121" spans="1:4" ht="12.75" customHeight="1" x14ac:dyDescent="0.2">
      <c r="A2121" s="21"/>
      <c r="B2121" s="3" t="s">
        <v>16</v>
      </c>
      <c r="C2121" s="20"/>
      <c r="D2121" s="21"/>
    </row>
    <row r="2122" spans="1:4" ht="12.75" customHeight="1" x14ac:dyDescent="0.2">
      <c r="A2122" s="21"/>
      <c r="B2122" s="3" t="s">
        <v>17</v>
      </c>
      <c r="C2122" s="20" t="s">
        <v>19</v>
      </c>
      <c r="D2122" s="21"/>
    </row>
    <row r="2123" spans="1:4" ht="12.75" customHeight="1" x14ac:dyDescent="0.2">
      <c r="A2123" s="21"/>
      <c r="B2123" s="20" t="s">
        <v>18</v>
      </c>
      <c r="C2123" s="4" t="s">
        <v>44</v>
      </c>
      <c r="D2123" s="6" t="str">
        <f>HYPERLINK("javascript:void(0)","varázs testpajzs")</f>
        <v>varázs testpajzs</v>
      </c>
    </row>
    <row r="2124" spans="1:4" ht="12.75" customHeight="1" x14ac:dyDescent="0.2">
      <c r="A2124" s="21"/>
      <c r="B2124" s="21"/>
      <c r="C2124" s="4" t="s">
        <v>193</v>
      </c>
      <c r="D2124" s="6" t="str">
        <f>HYPERLINK("javascript:void(0)","ínszalag")</f>
        <v>ínszalag</v>
      </c>
    </row>
    <row r="2125" spans="1:4" ht="12.75" customHeight="1" x14ac:dyDescent="0.2">
      <c r="A2125" s="21"/>
      <c r="B2125" s="21"/>
      <c r="C2125" s="4" t="s">
        <v>77</v>
      </c>
      <c r="D2125" s="6" t="str">
        <f>HYPERLINK("javascript:void(0)","démonfog")</f>
        <v>démonfog</v>
      </c>
    </row>
    <row r="2126" spans="1:4" ht="12.75" customHeight="1" x14ac:dyDescent="0.2">
      <c r="A2126" s="21"/>
      <c r="B2126" s="2"/>
      <c r="C2126" s="2"/>
      <c r="D2126" s="2"/>
    </row>
    <row r="2127" spans="1:4" ht="12.75" customHeight="1" x14ac:dyDescent="0.2">
      <c r="A2127" s="21"/>
      <c r="B2127" s="2"/>
      <c r="C2127" s="2"/>
      <c r="D2127" s="2"/>
    </row>
    <row r="2128" spans="1:4" ht="12.75" customHeight="1" x14ac:dyDescent="0.2">
      <c r="A2128" s="21"/>
      <c r="B2128" s="2"/>
      <c r="C2128" s="2"/>
      <c r="D2128" s="2"/>
    </row>
    <row r="2129" spans="1:4" ht="12.75" customHeight="1" x14ac:dyDescent="0.2">
      <c r="A2129" s="21"/>
      <c r="B2129" s="2"/>
      <c r="C2129" s="2"/>
      <c r="D2129" s="2"/>
    </row>
    <row r="2130" spans="1:4" ht="12.75" customHeight="1" x14ac:dyDescent="0.2">
      <c r="A2130" s="5"/>
      <c r="B2130" s="2"/>
      <c r="C2130" s="2"/>
      <c r="D2130" s="2"/>
    </row>
    <row r="2131" spans="1:4" ht="12.75" customHeight="1" x14ac:dyDescent="0.2">
      <c r="A2131" s="22" t="str">
        <f>HYPERLINK("javascript:void(0)","démonacél pillepajzs")</f>
        <v>démonacél pillepajzs</v>
      </c>
      <c r="B2131" s="21"/>
      <c r="C2131" s="21"/>
      <c r="D2131" s="21"/>
    </row>
    <row r="2132" spans="1:4" ht="12.75" customHeight="1" x14ac:dyDescent="0.2">
      <c r="A2132" s="20"/>
      <c r="B2132" s="2"/>
      <c r="C2132" s="2"/>
      <c r="D2132" s="2"/>
    </row>
    <row r="2133" spans="1:4" ht="12.75" customHeight="1" x14ac:dyDescent="0.2">
      <c r="A2133" s="21"/>
      <c r="B2133" s="3" t="s">
        <v>0</v>
      </c>
      <c r="C2133" s="20" t="s">
        <v>385</v>
      </c>
      <c r="D2133" s="21"/>
    </row>
    <row r="2134" spans="1:4" ht="12.75" customHeight="1" x14ac:dyDescent="0.2">
      <c r="A2134" s="21"/>
      <c r="B2134" s="3" t="s">
        <v>2</v>
      </c>
      <c r="C2134" s="20" t="s">
        <v>1839</v>
      </c>
      <c r="D2134" s="21"/>
    </row>
    <row r="2135" spans="1:4" ht="12.75" customHeight="1" x14ac:dyDescent="0.2">
      <c r="A2135" s="21"/>
      <c r="B2135" s="3" t="s">
        <v>1840</v>
      </c>
      <c r="C2135" s="20" t="s">
        <v>782</v>
      </c>
      <c r="D2135" s="21"/>
    </row>
    <row r="2136" spans="1:4" ht="12.75" customHeight="1" x14ac:dyDescent="0.2">
      <c r="A2136" s="21"/>
      <c r="B2136" s="3" t="s">
        <v>9</v>
      </c>
      <c r="C2136" s="20" t="s">
        <v>867</v>
      </c>
      <c r="D2136" s="21"/>
    </row>
    <row r="2137" spans="1:4" ht="12.75" customHeight="1" x14ac:dyDescent="0.2">
      <c r="A2137" s="21"/>
      <c r="B2137" s="3" t="s">
        <v>11</v>
      </c>
      <c r="C2137" s="20" t="s">
        <v>488</v>
      </c>
      <c r="D2137" s="21"/>
    </row>
    <row r="2138" spans="1:4" ht="12.75" customHeight="1" x14ac:dyDescent="0.2">
      <c r="A2138" s="21"/>
      <c r="B2138" s="3" t="s">
        <v>16</v>
      </c>
      <c r="C2138" s="20"/>
      <c r="D2138" s="21"/>
    </row>
    <row r="2139" spans="1:4" ht="12.75" customHeight="1" x14ac:dyDescent="0.2">
      <c r="A2139" s="21"/>
      <c r="B2139" s="3" t="s">
        <v>17</v>
      </c>
      <c r="C2139" s="20" t="s">
        <v>19</v>
      </c>
      <c r="D2139" s="21"/>
    </row>
    <row r="2140" spans="1:4" ht="12.75" customHeight="1" x14ac:dyDescent="0.2">
      <c r="A2140" s="21"/>
      <c r="B2140" s="20" t="s">
        <v>18</v>
      </c>
      <c r="C2140" s="4" t="s">
        <v>44</v>
      </c>
      <c r="D2140" s="6" t="str">
        <f>HYPERLINK("javascript:void(0)","kristály testpajzs")</f>
        <v>kristály testpajzs</v>
      </c>
    </row>
    <row r="2141" spans="1:4" ht="12.75" customHeight="1" x14ac:dyDescent="0.2">
      <c r="A2141" s="21"/>
      <c r="B2141" s="21"/>
      <c r="C2141" s="4" t="s">
        <v>139</v>
      </c>
      <c r="D2141" s="6" t="str">
        <f>HYPERLINK("javascript:void(0)","szépia")</f>
        <v>szépia</v>
      </c>
    </row>
    <row r="2142" spans="1:4" ht="12.75" customHeight="1" x14ac:dyDescent="0.2">
      <c r="A2142" s="21"/>
      <c r="B2142" s="21"/>
      <c r="C2142" s="4" t="s">
        <v>117</v>
      </c>
      <c r="D2142" s="6" t="str">
        <f>HYPERLINK("javascript:void(0)","csáphárító")</f>
        <v>csáphárító</v>
      </c>
    </row>
    <row r="2143" spans="1:4" ht="12.75" customHeight="1" x14ac:dyDescent="0.2">
      <c r="A2143" s="21"/>
      <c r="B2143" s="2"/>
      <c r="C2143" s="2"/>
      <c r="D2143" s="2"/>
    </row>
    <row r="2144" spans="1:4" ht="12.75" customHeight="1" x14ac:dyDescent="0.2">
      <c r="A2144" s="21"/>
      <c r="B2144" s="2"/>
      <c r="C2144" s="2"/>
      <c r="D2144" s="2"/>
    </row>
    <row r="2145" spans="1:4" ht="12.75" customHeight="1" x14ac:dyDescent="0.2">
      <c r="A2145" s="21"/>
      <c r="B2145" s="2"/>
      <c r="C2145" s="2"/>
      <c r="D2145" s="2"/>
    </row>
    <row r="2146" spans="1:4" ht="12.75" customHeight="1" x14ac:dyDescent="0.2">
      <c r="A2146" s="21"/>
      <c r="B2146" s="2"/>
      <c r="C2146" s="2"/>
      <c r="D2146" s="2"/>
    </row>
    <row r="2147" spans="1:4" ht="12.75" customHeight="1" x14ac:dyDescent="0.2">
      <c r="A2147" s="5"/>
      <c r="B2147" s="2"/>
      <c r="C2147" s="2"/>
      <c r="D2147" s="2"/>
    </row>
    <row r="2148" spans="1:4" ht="12.75" customHeight="1" x14ac:dyDescent="0.2">
      <c r="A2148" s="22" t="str">
        <f>HYPERLINK("javascript:void(0)","fogazott pajzs")</f>
        <v>fogazott pajzs</v>
      </c>
      <c r="B2148" s="21"/>
      <c r="C2148" s="21"/>
      <c r="D2148" s="21"/>
    </row>
    <row r="2149" spans="1:4" ht="12.75" customHeight="1" x14ac:dyDescent="0.2">
      <c r="A2149" s="20"/>
      <c r="B2149" s="2"/>
      <c r="C2149" s="2"/>
      <c r="D2149" s="2"/>
    </row>
    <row r="2150" spans="1:4" ht="12.75" customHeight="1" x14ac:dyDescent="0.2">
      <c r="A2150" s="21"/>
      <c r="B2150" s="3" t="s">
        <v>0</v>
      </c>
      <c r="C2150" s="20" t="s">
        <v>392</v>
      </c>
      <c r="D2150" s="21"/>
    </row>
    <row r="2151" spans="1:4" ht="12.75" customHeight="1" x14ac:dyDescent="0.2">
      <c r="A2151" s="21"/>
      <c r="B2151" s="3" t="s">
        <v>2</v>
      </c>
      <c r="C2151" s="20" t="s">
        <v>1839</v>
      </c>
      <c r="D2151" s="21"/>
    </row>
    <row r="2152" spans="1:4" ht="12.75" customHeight="1" x14ac:dyDescent="0.2">
      <c r="A2152" s="21"/>
      <c r="B2152" s="3" t="s">
        <v>1840</v>
      </c>
      <c r="C2152" s="20" t="s">
        <v>302</v>
      </c>
      <c r="D2152" s="21"/>
    </row>
    <row r="2153" spans="1:4" ht="12.75" customHeight="1" x14ac:dyDescent="0.2">
      <c r="A2153" s="21"/>
      <c r="B2153" s="3" t="s">
        <v>9</v>
      </c>
      <c r="C2153" s="20" t="s">
        <v>198</v>
      </c>
      <c r="D2153" s="21"/>
    </row>
    <row r="2154" spans="1:4" ht="12.75" customHeight="1" x14ac:dyDescent="0.2">
      <c r="A2154" s="21"/>
      <c r="B2154" s="3" t="s">
        <v>11</v>
      </c>
      <c r="C2154" s="20" t="s">
        <v>483</v>
      </c>
      <c r="D2154" s="21"/>
    </row>
    <row r="2155" spans="1:4" ht="12.75" customHeight="1" x14ac:dyDescent="0.2">
      <c r="A2155" s="21"/>
      <c r="B2155" s="3" t="s">
        <v>16</v>
      </c>
      <c r="C2155" s="20"/>
      <c r="D2155" s="21"/>
    </row>
    <row r="2156" spans="1:4" ht="12.75" customHeight="1" x14ac:dyDescent="0.2">
      <c r="A2156" s="21"/>
      <c r="B2156" s="3" t="s">
        <v>17</v>
      </c>
      <c r="C2156" s="20" t="s">
        <v>19</v>
      </c>
      <c r="D2156" s="21"/>
    </row>
    <row r="2157" spans="1:4" ht="12.75" customHeight="1" x14ac:dyDescent="0.2">
      <c r="A2157" s="21"/>
      <c r="B2157" s="20" t="s">
        <v>18</v>
      </c>
      <c r="C2157" s="4" t="s">
        <v>44</v>
      </c>
      <c r="D2157" s="6" t="str">
        <f>HYPERLINK("javascript:void(0)","kristálypajzs")</f>
        <v>kristálypajzs</v>
      </c>
    </row>
    <row r="2158" spans="1:4" ht="12.75" customHeight="1" x14ac:dyDescent="0.2">
      <c r="A2158" s="21"/>
      <c r="B2158" s="21"/>
      <c r="C2158" s="4" t="s">
        <v>98</v>
      </c>
      <c r="D2158" s="6" t="str">
        <f>HYPERLINK("javascript:void(0)","démonfog")</f>
        <v>démonfog</v>
      </c>
    </row>
    <row r="2159" spans="1:4" ht="12.75" customHeight="1" x14ac:dyDescent="0.2">
      <c r="A2159" s="21"/>
      <c r="B2159" s="21"/>
      <c r="C2159" s="4" t="s">
        <v>142</v>
      </c>
      <c r="D2159" s="6" t="str">
        <f>HYPERLINK("javascript:void(0)","kocka")</f>
        <v>kocka</v>
      </c>
    </row>
    <row r="2160" spans="1:4" ht="12.75" customHeight="1" x14ac:dyDescent="0.2">
      <c r="A2160" s="21"/>
      <c r="B2160" s="2"/>
      <c r="C2160" s="2"/>
      <c r="D2160" s="2"/>
    </row>
    <row r="2161" spans="1:4" ht="12.75" customHeight="1" x14ac:dyDescent="0.2">
      <c r="A2161" s="21"/>
      <c r="B2161" s="2"/>
      <c r="C2161" s="2"/>
      <c r="D2161" s="2"/>
    </row>
    <row r="2162" spans="1:4" ht="12.75" customHeight="1" x14ac:dyDescent="0.2">
      <c r="A2162" s="21"/>
      <c r="B2162" s="2"/>
      <c r="C2162" s="2"/>
      <c r="D2162" s="2"/>
    </row>
    <row r="2163" spans="1:4" ht="12.75" customHeight="1" x14ac:dyDescent="0.2">
      <c r="A2163" s="21"/>
      <c r="B2163" s="2"/>
      <c r="C2163" s="2"/>
      <c r="D2163" s="2"/>
    </row>
    <row r="2164" spans="1:4" ht="12.75" customHeight="1" x14ac:dyDescent="0.2">
      <c r="A2164" s="5"/>
      <c r="B2164" s="2"/>
      <c r="C2164" s="2"/>
      <c r="D2164" s="2"/>
    </row>
    <row r="2165" spans="1:4" ht="12.75" customHeight="1" x14ac:dyDescent="0.2">
      <c r="A2165" s="22" t="str">
        <f>HYPERLINK("javascript:void(0)","dracoacél pillepajzs")</f>
        <v>dracoacél pillepajzs</v>
      </c>
      <c r="B2165" s="21"/>
      <c r="C2165" s="21"/>
      <c r="D2165" s="21"/>
    </row>
    <row r="2166" spans="1:4" ht="12.75" customHeight="1" x14ac:dyDescent="0.2">
      <c r="A2166" s="20"/>
      <c r="B2166" s="2"/>
      <c r="C2166" s="2"/>
      <c r="D2166" s="2"/>
    </row>
    <row r="2167" spans="1:4" ht="12.75" customHeight="1" x14ac:dyDescent="0.2">
      <c r="A2167" s="21"/>
      <c r="B2167" s="3" t="s">
        <v>0</v>
      </c>
      <c r="C2167" s="20" t="s">
        <v>392</v>
      </c>
      <c r="D2167" s="21"/>
    </row>
    <row r="2168" spans="1:4" ht="12.75" customHeight="1" x14ac:dyDescent="0.2">
      <c r="A2168" s="21"/>
      <c r="B2168" s="3" t="s">
        <v>2</v>
      </c>
      <c r="C2168" s="20" t="s">
        <v>1839</v>
      </c>
      <c r="D2168" s="21"/>
    </row>
    <row r="2169" spans="1:4" ht="12.75" customHeight="1" x14ac:dyDescent="0.2">
      <c r="A2169" s="21"/>
      <c r="B2169" s="3" t="s">
        <v>1840</v>
      </c>
      <c r="C2169" s="20" t="s">
        <v>302</v>
      </c>
      <c r="D2169" s="21"/>
    </row>
    <row r="2170" spans="1:4" ht="12.75" customHeight="1" x14ac:dyDescent="0.2">
      <c r="A2170" s="21"/>
      <c r="B2170" s="3" t="s">
        <v>9</v>
      </c>
      <c r="C2170" s="20" t="s">
        <v>2050</v>
      </c>
      <c r="D2170" s="21"/>
    </row>
    <row r="2171" spans="1:4" ht="12.75" customHeight="1" x14ac:dyDescent="0.2">
      <c r="A2171" s="21"/>
      <c r="B2171" s="3" t="s">
        <v>11</v>
      </c>
      <c r="C2171" s="20" t="s">
        <v>497</v>
      </c>
      <c r="D2171" s="21"/>
    </row>
    <row r="2172" spans="1:4" ht="12.75" customHeight="1" x14ac:dyDescent="0.2">
      <c r="A2172" s="21"/>
      <c r="B2172" s="3" t="s">
        <v>16</v>
      </c>
      <c r="C2172" s="20"/>
      <c r="D2172" s="21"/>
    </row>
    <row r="2173" spans="1:4" ht="12.75" customHeight="1" x14ac:dyDescent="0.2">
      <c r="A2173" s="21"/>
      <c r="B2173" s="3" t="s">
        <v>17</v>
      </c>
      <c r="C2173" s="20" t="s">
        <v>19</v>
      </c>
      <c r="D2173" s="21"/>
    </row>
    <row r="2174" spans="1:4" ht="12.75" customHeight="1" x14ac:dyDescent="0.2">
      <c r="A2174" s="21"/>
      <c r="B2174" s="20" t="s">
        <v>18</v>
      </c>
      <c r="C2174" s="4" t="s">
        <v>44</v>
      </c>
      <c r="D2174" s="6" t="str">
        <f>HYPERLINK("javascript:void(0)","fogazott pajzs")</f>
        <v>fogazott pajzs</v>
      </c>
    </row>
    <row r="2175" spans="1:4" ht="12.75" customHeight="1" x14ac:dyDescent="0.2">
      <c r="A2175" s="21"/>
      <c r="B2175" s="21"/>
      <c r="C2175" s="4" t="s">
        <v>309</v>
      </c>
      <c r="D2175" s="6" t="str">
        <f>HYPERLINK("javascript:void(0)","sárkány szarv")</f>
        <v>sárkány szarv</v>
      </c>
    </row>
    <row r="2176" spans="1:4" ht="12.75" customHeight="1" x14ac:dyDescent="0.2">
      <c r="A2176" s="21"/>
      <c r="B2176" s="21"/>
      <c r="C2176" s="4" t="s">
        <v>117</v>
      </c>
      <c r="D2176" s="6" t="str">
        <f>HYPERLINK("javascript:void(0)","haspók")</f>
        <v>haspók</v>
      </c>
    </row>
    <row r="2177" spans="1:4" ht="12.75" customHeight="1" x14ac:dyDescent="0.2">
      <c r="A2177" s="21"/>
      <c r="B2177" s="2"/>
      <c r="C2177" s="2"/>
      <c r="D2177" s="2"/>
    </row>
    <row r="2178" spans="1:4" ht="12.75" customHeight="1" x14ac:dyDescent="0.2">
      <c r="A2178" s="21"/>
      <c r="B2178" s="2"/>
      <c r="C2178" s="2"/>
      <c r="D2178" s="2"/>
    </row>
    <row r="2179" spans="1:4" ht="12.75" customHeight="1" x14ac:dyDescent="0.2">
      <c r="A2179" s="21"/>
      <c r="B2179" s="2"/>
      <c r="C2179" s="2"/>
      <c r="D2179" s="2"/>
    </row>
    <row r="2180" spans="1:4" ht="12.75" customHeight="1" x14ac:dyDescent="0.2">
      <c r="A2180" s="21"/>
      <c r="B2180" s="2"/>
      <c r="C2180" s="2"/>
      <c r="D2180" s="2"/>
    </row>
    <row r="2181" spans="1:4" ht="12.75" customHeight="1" x14ac:dyDescent="0.2">
      <c r="A2181" s="5"/>
      <c r="B2181" s="2"/>
      <c r="C2181" s="2"/>
      <c r="D2181" s="2"/>
    </row>
    <row r="2182" spans="1:4" ht="12.75" customHeight="1" x14ac:dyDescent="0.2">
      <c r="A2182" s="22" t="str">
        <f>HYPERLINK("javascript:void(0)","fogazott testpajzs")</f>
        <v>fogazott testpajzs</v>
      </c>
      <c r="B2182" s="21"/>
      <c r="C2182" s="21"/>
      <c r="D2182" s="21"/>
    </row>
    <row r="2183" spans="1:4" ht="12.75" customHeight="1" x14ac:dyDescent="0.2">
      <c r="A2183" s="20"/>
      <c r="B2183" s="2"/>
      <c r="C2183" s="2"/>
      <c r="D2183" s="2"/>
    </row>
    <row r="2184" spans="1:4" ht="12.75" customHeight="1" x14ac:dyDescent="0.2">
      <c r="A2184" s="21"/>
      <c r="B2184" s="3" t="s">
        <v>0</v>
      </c>
      <c r="C2184" s="20" t="s">
        <v>192</v>
      </c>
      <c r="D2184" s="21"/>
    </row>
    <row r="2185" spans="1:4" ht="12.75" customHeight="1" x14ac:dyDescent="0.2">
      <c r="A2185" s="21"/>
      <c r="B2185" s="3" t="s">
        <v>2</v>
      </c>
      <c r="C2185" s="20" t="s">
        <v>1839</v>
      </c>
      <c r="D2185" s="21"/>
    </row>
    <row r="2186" spans="1:4" ht="12.75" customHeight="1" x14ac:dyDescent="0.2">
      <c r="A2186" s="21"/>
      <c r="B2186" s="3" t="s">
        <v>1840</v>
      </c>
      <c r="C2186" s="20" t="s">
        <v>181</v>
      </c>
      <c r="D2186" s="21"/>
    </row>
    <row r="2187" spans="1:4" ht="12.75" customHeight="1" x14ac:dyDescent="0.2">
      <c r="A2187" s="21"/>
      <c r="B2187" s="3" t="s">
        <v>9</v>
      </c>
      <c r="C2187" s="20" t="s">
        <v>300</v>
      </c>
      <c r="D2187" s="21"/>
    </row>
    <row r="2188" spans="1:4" ht="12.75" customHeight="1" x14ac:dyDescent="0.2">
      <c r="A2188" s="21"/>
      <c r="B2188" s="3" t="s">
        <v>11</v>
      </c>
      <c r="C2188" s="20" t="s">
        <v>488</v>
      </c>
      <c r="D2188" s="21"/>
    </row>
    <row r="2189" spans="1:4" ht="12.75" customHeight="1" x14ac:dyDescent="0.2">
      <c r="A2189" s="21"/>
      <c r="B2189" s="3" t="s">
        <v>16</v>
      </c>
      <c r="C2189" s="20"/>
      <c r="D2189" s="21"/>
    </row>
    <row r="2190" spans="1:4" ht="12.75" customHeight="1" x14ac:dyDescent="0.2">
      <c r="A2190" s="21"/>
      <c r="B2190" s="3" t="s">
        <v>17</v>
      </c>
      <c r="C2190" s="20" t="s">
        <v>19</v>
      </c>
      <c r="D2190" s="21"/>
    </row>
    <row r="2191" spans="1:4" ht="12.75" customHeight="1" x14ac:dyDescent="0.2">
      <c r="A2191" s="21"/>
      <c r="B2191" s="20" t="s">
        <v>18</v>
      </c>
      <c r="C2191" s="4" t="s">
        <v>44</v>
      </c>
      <c r="D2191" s="6" t="str">
        <f>HYPERLINK("javascript:void(0)","kristály testpajzs")</f>
        <v>kristály testpajzs</v>
      </c>
    </row>
    <row r="2192" spans="1:4" ht="12.75" customHeight="1" x14ac:dyDescent="0.2">
      <c r="A2192" s="21"/>
      <c r="B2192" s="21"/>
      <c r="C2192" s="4" t="s">
        <v>139</v>
      </c>
      <c r="D2192" s="6" t="str">
        <f>HYPERLINK("javascript:void(0)","démonfog")</f>
        <v>démonfog</v>
      </c>
    </row>
    <row r="2193" spans="1:4" ht="12.75" customHeight="1" x14ac:dyDescent="0.2">
      <c r="A2193" s="21"/>
      <c r="B2193" s="21"/>
      <c r="C2193" s="4" t="s">
        <v>280</v>
      </c>
      <c r="D2193" s="6" t="str">
        <f>HYPERLINK("javascript:void(0)","mantüske")</f>
        <v>mantüske</v>
      </c>
    </row>
    <row r="2194" spans="1:4" ht="12.75" customHeight="1" x14ac:dyDescent="0.2">
      <c r="A2194" s="21"/>
      <c r="B2194" s="2"/>
      <c r="C2194" s="2"/>
      <c r="D2194" s="2"/>
    </row>
    <row r="2195" spans="1:4" ht="12.75" customHeight="1" x14ac:dyDescent="0.2">
      <c r="A2195" s="21"/>
      <c r="B2195" s="2"/>
      <c r="C2195" s="2"/>
      <c r="D2195" s="2"/>
    </row>
    <row r="2196" spans="1:4" ht="12.75" customHeight="1" x14ac:dyDescent="0.2">
      <c r="A2196" s="21"/>
      <c r="B2196" s="2"/>
      <c r="C2196" s="2"/>
      <c r="D2196" s="2"/>
    </row>
    <row r="2197" spans="1:4" ht="12.75" customHeight="1" x14ac:dyDescent="0.2">
      <c r="A2197" s="21"/>
      <c r="B2197" s="2"/>
      <c r="C2197" s="2"/>
      <c r="D2197" s="2"/>
    </row>
    <row r="2198" spans="1:4" ht="12.75" customHeight="1" x14ac:dyDescent="0.2">
      <c r="A2198" s="5"/>
      <c r="B2198" s="2"/>
      <c r="C2198" s="2"/>
      <c r="D2198" s="2"/>
    </row>
    <row r="2199" spans="1:4" ht="12.75" customHeight="1" x14ac:dyDescent="0.2">
      <c r="A2199" s="22" t="str">
        <f>HYPERLINK("javascript:void(0)","elfacél pillepajzs")</f>
        <v>elfacél pillepajzs</v>
      </c>
      <c r="B2199" s="21"/>
      <c r="C2199" s="21"/>
      <c r="D2199" s="21"/>
    </row>
    <row r="2200" spans="1:4" ht="12.75" customHeight="1" x14ac:dyDescent="0.2">
      <c r="A2200" s="20"/>
      <c r="B2200" s="2"/>
      <c r="C2200" s="2"/>
      <c r="D2200" s="2"/>
    </row>
    <row r="2201" spans="1:4" ht="12.75" customHeight="1" x14ac:dyDescent="0.2">
      <c r="A2201" s="21"/>
      <c r="B2201" s="3" t="s">
        <v>0</v>
      </c>
      <c r="C2201" s="20" t="s">
        <v>192</v>
      </c>
      <c r="D2201" s="21"/>
    </row>
    <row r="2202" spans="1:4" ht="12.75" customHeight="1" x14ac:dyDescent="0.2">
      <c r="A2202" s="21"/>
      <c r="B2202" s="3" t="s">
        <v>2</v>
      </c>
      <c r="C2202" s="20" t="s">
        <v>1839</v>
      </c>
      <c r="D2202" s="21"/>
    </row>
    <row r="2203" spans="1:4" ht="12.75" customHeight="1" x14ac:dyDescent="0.2">
      <c r="A2203" s="21"/>
      <c r="B2203" s="3" t="s">
        <v>1840</v>
      </c>
      <c r="C2203" s="20" t="s">
        <v>181</v>
      </c>
      <c r="D2203" s="21"/>
    </row>
    <row r="2204" spans="1:4" ht="12.75" customHeight="1" x14ac:dyDescent="0.2">
      <c r="A2204" s="21"/>
      <c r="B2204" s="3" t="s">
        <v>9</v>
      </c>
      <c r="C2204" s="20" t="s">
        <v>1737</v>
      </c>
      <c r="D2204" s="21"/>
    </row>
    <row r="2205" spans="1:4" ht="12.75" customHeight="1" x14ac:dyDescent="0.2">
      <c r="A2205" s="21"/>
      <c r="B2205" s="3" t="s">
        <v>11</v>
      </c>
      <c r="C2205" s="20" t="s">
        <v>501</v>
      </c>
      <c r="D2205" s="21"/>
    </row>
    <row r="2206" spans="1:4" ht="12.75" customHeight="1" x14ac:dyDescent="0.2">
      <c r="A2206" s="21"/>
      <c r="B2206" s="3" t="s">
        <v>16</v>
      </c>
      <c r="C2206" s="20"/>
      <c r="D2206" s="21"/>
    </row>
    <row r="2207" spans="1:4" ht="12.75" customHeight="1" x14ac:dyDescent="0.2">
      <c r="A2207" s="21"/>
      <c r="B2207" s="3" t="s">
        <v>17</v>
      </c>
      <c r="C2207" s="20" t="s">
        <v>19</v>
      </c>
      <c r="D2207" s="21"/>
    </row>
    <row r="2208" spans="1:4" ht="12.75" customHeight="1" x14ac:dyDescent="0.2">
      <c r="A2208" s="21"/>
      <c r="B2208" s="20" t="s">
        <v>18</v>
      </c>
      <c r="C2208" s="4" t="s">
        <v>44</v>
      </c>
      <c r="D2208" s="6" t="str">
        <f>HYPERLINK("javascript:void(0)","fogazott testpajzs")</f>
        <v>fogazott testpajzs</v>
      </c>
    </row>
    <row r="2209" spans="1:4" ht="12.75" customHeight="1" x14ac:dyDescent="0.2">
      <c r="A2209" s="21"/>
      <c r="B2209" s="21"/>
      <c r="C2209" s="4" t="s">
        <v>130</v>
      </c>
      <c r="D2209" s="6" t="str">
        <f>HYPERLINK("javascript:void(0)","sárkányfű")</f>
        <v>sárkányfű</v>
      </c>
    </row>
    <row r="2210" spans="1:4" ht="12.75" customHeight="1" x14ac:dyDescent="0.2">
      <c r="A2210" s="21"/>
      <c r="B2210" s="21"/>
      <c r="C2210" s="4" t="s">
        <v>130</v>
      </c>
      <c r="D2210" s="6" t="str">
        <f>HYPERLINK("javascript:void(0)","mantüske")</f>
        <v>mantüske</v>
      </c>
    </row>
    <row r="2211" spans="1:4" ht="12.75" customHeight="1" x14ac:dyDescent="0.2">
      <c r="A2211" s="21"/>
      <c r="B2211" s="2"/>
      <c r="C2211" s="2"/>
      <c r="D2211" s="2"/>
    </row>
    <row r="2212" spans="1:4" ht="12.75" customHeight="1" x14ac:dyDescent="0.2">
      <c r="A2212" s="21"/>
      <c r="B2212" s="2"/>
      <c r="C2212" s="2"/>
      <c r="D2212" s="2"/>
    </row>
    <row r="2213" spans="1:4" ht="12.75" customHeight="1" x14ac:dyDescent="0.2">
      <c r="A2213" s="21"/>
      <c r="B2213" s="2"/>
      <c r="C2213" s="2"/>
      <c r="D2213" s="2"/>
    </row>
    <row r="2214" spans="1:4" ht="12.75" customHeight="1" x14ac:dyDescent="0.2">
      <c r="A2214" s="21"/>
      <c r="B2214" s="2"/>
      <c r="C2214" s="2"/>
      <c r="D2214" s="2"/>
    </row>
    <row r="2215" spans="1:4" ht="12.75" customHeight="1" x14ac:dyDescent="0.2">
      <c r="A2215" s="5"/>
      <c r="B2215" s="2"/>
      <c r="C2215" s="2"/>
      <c r="D2215" s="2"/>
    </row>
    <row r="2216" spans="1:4" ht="12.75" customHeight="1" x14ac:dyDescent="0.2">
      <c r="A2216" s="22" t="str">
        <f>HYPERLINK("javascript:void(0)","yeti pajzs")</f>
        <v>yeti pajzs</v>
      </c>
      <c r="B2216" s="21"/>
      <c r="C2216" s="21"/>
      <c r="D2216" s="21"/>
    </row>
    <row r="2217" spans="1:4" ht="12.75" customHeight="1" x14ac:dyDescent="0.2">
      <c r="A2217" s="20"/>
      <c r="B2217" s="2"/>
      <c r="C2217" s="2"/>
      <c r="D2217" s="2"/>
    </row>
    <row r="2218" spans="1:4" ht="12.75" customHeight="1" x14ac:dyDescent="0.2">
      <c r="A2218" s="21"/>
      <c r="B2218" s="3" t="s">
        <v>0</v>
      </c>
      <c r="C2218" s="20" t="s">
        <v>115</v>
      </c>
      <c r="D2218" s="21"/>
    </row>
    <row r="2219" spans="1:4" ht="12.75" customHeight="1" x14ac:dyDescent="0.2">
      <c r="A2219" s="21"/>
      <c r="B2219" s="3" t="s">
        <v>2</v>
      </c>
      <c r="C2219" s="20" t="s">
        <v>1839</v>
      </c>
      <c r="D2219" s="21"/>
    </row>
    <row r="2220" spans="1:4" ht="12.75" customHeight="1" x14ac:dyDescent="0.2">
      <c r="A2220" s="21"/>
      <c r="B2220" s="3" t="s">
        <v>1840</v>
      </c>
      <c r="C2220" s="20" t="s">
        <v>874</v>
      </c>
      <c r="D2220" s="21"/>
    </row>
    <row r="2221" spans="1:4" ht="12.75" customHeight="1" x14ac:dyDescent="0.2">
      <c r="A2221" s="21"/>
      <c r="B2221" s="3" t="s">
        <v>9</v>
      </c>
      <c r="C2221" s="20" t="s">
        <v>249</v>
      </c>
      <c r="D2221" s="21"/>
    </row>
    <row r="2222" spans="1:4" ht="12.75" customHeight="1" x14ac:dyDescent="0.2">
      <c r="A2222" s="21"/>
      <c r="B2222" s="3" t="s">
        <v>11</v>
      </c>
      <c r="C2222" s="20" t="s">
        <v>497</v>
      </c>
      <c r="D2222" s="21"/>
    </row>
    <row r="2223" spans="1:4" ht="12.75" customHeight="1" x14ac:dyDescent="0.2">
      <c r="A2223" s="21"/>
      <c r="B2223" s="3" t="s">
        <v>16</v>
      </c>
      <c r="C2223" s="20"/>
      <c r="D2223" s="21"/>
    </row>
    <row r="2224" spans="1:4" ht="12.75" customHeight="1" x14ac:dyDescent="0.2">
      <c r="A2224" s="21"/>
      <c r="B2224" s="3" t="s">
        <v>17</v>
      </c>
      <c r="C2224" s="20" t="s">
        <v>19</v>
      </c>
      <c r="D2224" s="21"/>
    </row>
    <row r="2225" spans="1:4" ht="12.75" customHeight="1" x14ac:dyDescent="0.2">
      <c r="A2225" s="21"/>
      <c r="B2225" s="20" t="s">
        <v>18</v>
      </c>
      <c r="C2225" s="4" t="s">
        <v>44</v>
      </c>
      <c r="D2225" s="6" t="str">
        <f>HYPERLINK("javascript:void(0)","fogazott pajzs")</f>
        <v>fogazott pajzs</v>
      </c>
    </row>
    <row r="2226" spans="1:4" ht="12.75" customHeight="1" x14ac:dyDescent="0.2">
      <c r="A2226" s="21"/>
      <c r="B2226" s="21"/>
      <c r="C2226" s="4" t="s">
        <v>232</v>
      </c>
      <c r="D2226" s="6" t="str">
        <f>HYPERLINK("javascript:void(0)","yetiláb")</f>
        <v>yetiláb</v>
      </c>
    </row>
    <row r="2227" spans="1:4" ht="12.75" customHeight="1" x14ac:dyDescent="0.2">
      <c r="A2227" s="21"/>
      <c r="B2227" s="21"/>
      <c r="C2227" s="4" t="s">
        <v>67</v>
      </c>
      <c r="D2227" s="6" t="str">
        <f>HYPERLINK("javascript:void(0)","ágyúmozsár")</f>
        <v>ágyúmozsár</v>
      </c>
    </row>
    <row r="2228" spans="1:4" ht="12.75" customHeight="1" x14ac:dyDescent="0.2">
      <c r="A2228" s="21"/>
      <c r="B2228" s="2"/>
      <c r="C2228" s="2"/>
      <c r="D2228" s="2"/>
    </row>
    <row r="2229" spans="1:4" ht="12.75" customHeight="1" x14ac:dyDescent="0.2">
      <c r="A2229" s="21"/>
      <c r="B2229" s="2"/>
      <c r="C2229" s="2"/>
      <c r="D2229" s="2"/>
    </row>
    <row r="2230" spans="1:4" ht="12.75" customHeight="1" x14ac:dyDescent="0.2">
      <c r="A2230" s="21"/>
      <c r="B2230" s="2"/>
      <c r="C2230" s="2"/>
      <c r="D2230" s="2"/>
    </row>
    <row r="2231" spans="1:4" ht="12.75" customHeight="1" x14ac:dyDescent="0.2">
      <c r="A2231" s="21"/>
      <c r="B2231" s="2"/>
      <c r="C2231" s="2"/>
      <c r="D2231" s="2"/>
    </row>
    <row r="2232" spans="1:4" ht="12.75" customHeight="1" x14ac:dyDescent="0.2">
      <c r="A2232" s="5"/>
      <c r="B2232" s="2"/>
      <c r="C2232" s="2"/>
      <c r="D2232" s="2"/>
    </row>
    <row r="2233" spans="1:4" ht="12.75" customHeight="1" x14ac:dyDescent="0.2">
      <c r="A2233" s="22" t="str">
        <f>HYPERLINK("javascript:void(0)","óriásacél pillepajzs")</f>
        <v>óriásacél pillepajzs</v>
      </c>
      <c r="B2233" s="21"/>
      <c r="C2233" s="21"/>
      <c r="D2233" s="21"/>
    </row>
    <row r="2234" spans="1:4" ht="12.75" customHeight="1" x14ac:dyDescent="0.2">
      <c r="A2234" s="20"/>
      <c r="B2234" s="2"/>
      <c r="C2234" s="2"/>
      <c r="D2234" s="2"/>
    </row>
    <row r="2235" spans="1:4" ht="12.75" customHeight="1" x14ac:dyDescent="0.2">
      <c r="A2235" s="21"/>
      <c r="B2235" s="3" t="s">
        <v>0</v>
      </c>
      <c r="C2235" s="20" t="s">
        <v>115</v>
      </c>
      <c r="D2235" s="21"/>
    </row>
    <row r="2236" spans="1:4" ht="12.75" customHeight="1" x14ac:dyDescent="0.2">
      <c r="A2236" s="21"/>
      <c r="B2236" s="3" t="s">
        <v>2</v>
      </c>
      <c r="C2236" s="20" t="s">
        <v>1839</v>
      </c>
      <c r="D2236" s="21"/>
    </row>
    <row r="2237" spans="1:4" ht="12.75" customHeight="1" x14ac:dyDescent="0.2">
      <c r="A2237" s="21"/>
      <c r="B2237" s="3" t="s">
        <v>1840</v>
      </c>
      <c r="C2237" s="20" t="s">
        <v>874</v>
      </c>
      <c r="D2237" s="21"/>
    </row>
    <row r="2238" spans="1:4" ht="12.75" customHeight="1" x14ac:dyDescent="0.2">
      <c r="A2238" s="21"/>
      <c r="B2238" s="3" t="s">
        <v>9</v>
      </c>
      <c r="C2238" s="20" t="s">
        <v>2050</v>
      </c>
      <c r="D2238" s="21"/>
    </row>
    <row r="2239" spans="1:4" ht="12.75" customHeight="1" x14ac:dyDescent="0.2">
      <c r="A2239" s="21"/>
      <c r="B2239" s="3" t="s">
        <v>11</v>
      </c>
      <c r="C2239" s="20" t="s">
        <v>514</v>
      </c>
      <c r="D2239" s="21"/>
    </row>
    <row r="2240" spans="1:4" ht="12.75" customHeight="1" x14ac:dyDescent="0.2">
      <c r="A2240" s="21"/>
      <c r="B2240" s="3" t="s">
        <v>16</v>
      </c>
      <c r="C2240" s="20"/>
      <c r="D2240" s="21"/>
    </row>
    <row r="2241" spans="1:4" ht="12.75" customHeight="1" x14ac:dyDescent="0.2">
      <c r="A2241" s="21"/>
      <c r="B2241" s="3" t="s">
        <v>17</v>
      </c>
      <c r="C2241" s="20" t="s">
        <v>19</v>
      </c>
      <c r="D2241" s="21"/>
    </row>
    <row r="2242" spans="1:4" ht="12.75" customHeight="1" x14ac:dyDescent="0.2">
      <c r="A2242" s="21"/>
      <c r="B2242" s="20" t="s">
        <v>18</v>
      </c>
      <c r="C2242" s="4" t="s">
        <v>44</v>
      </c>
      <c r="D2242" s="6" t="str">
        <f>HYPERLINK("javascript:void(0)","yeti pajzs")</f>
        <v>yeti pajzs</v>
      </c>
    </row>
    <row r="2243" spans="1:4" ht="12.75" customHeight="1" x14ac:dyDescent="0.2">
      <c r="A2243" s="21"/>
      <c r="B2243" s="21"/>
      <c r="C2243" s="4" t="s">
        <v>67</v>
      </c>
      <c r="D2243" s="6" t="str">
        <f>HYPERLINK("javascript:void(0)","óriás korona")</f>
        <v>óriás korona</v>
      </c>
    </row>
    <row r="2244" spans="1:4" ht="12.75" customHeight="1" x14ac:dyDescent="0.2">
      <c r="A2244" s="21"/>
      <c r="B2244" s="21"/>
      <c r="C2244" s="4" t="s">
        <v>117</v>
      </c>
      <c r="D2244" s="6" t="str">
        <f>HYPERLINK("javascript:void(0)","yetiláb")</f>
        <v>yetiláb</v>
      </c>
    </row>
    <row r="2245" spans="1:4" ht="12.75" customHeight="1" x14ac:dyDescent="0.2">
      <c r="A2245" s="21"/>
      <c r="B2245" s="2"/>
      <c r="C2245" s="2"/>
      <c r="D2245" s="2"/>
    </row>
    <row r="2246" spans="1:4" ht="12.75" customHeight="1" x14ac:dyDescent="0.2">
      <c r="A2246" s="21"/>
      <c r="B2246" s="2"/>
      <c r="C2246" s="2"/>
      <c r="D2246" s="2"/>
    </row>
    <row r="2247" spans="1:4" ht="12.75" customHeight="1" x14ac:dyDescent="0.2">
      <c r="A2247" s="21"/>
      <c r="B2247" s="2"/>
      <c r="C2247" s="2"/>
      <c r="D2247" s="2"/>
    </row>
    <row r="2248" spans="1:4" ht="12.75" customHeight="1" x14ac:dyDescent="0.2">
      <c r="A2248" s="21"/>
      <c r="B2248" s="2"/>
      <c r="C2248" s="2"/>
      <c r="D2248" s="2"/>
    </row>
    <row r="2249" spans="1:4" ht="12.75" customHeight="1" x14ac:dyDescent="0.2">
      <c r="A2249" s="5"/>
      <c r="B2249" s="2"/>
      <c r="C2249" s="2"/>
      <c r="D2249" s="2"/>
    </row>
    <row r="2250" spans="1:4" ht="12.75" customHeight="1" x14ac:dyDescent="0.2">
      <c r="A2250" s="22" t="str">
        <f>HYPERLINK("javascript:void(0)","középnagy csillámpajzs")</f>
        <v>középnagy csillámpajzs</v>
      </c>
      <c r="B2250" s="21"/>
      <c r="C2250" s="21"/>
      <c r="D2250" s="21"/>
    </row>
    <row r="2251" spans="1:4" ht="12.75" customHeight="1" x14ac:dyDescent="0.2">
      <c r="A2251" s="20"/>
      <c r="B2251" s="2"/>
      <c r="C2251" s="2"/>
      <c r="D2251" s="2"/>
    </row>
    <row r="2252" spans="1:4" ht="12.75" customHeight="1" x14ac:dyDescent="0.2">
      <c r="A2252" s="21"/>
      <c r="B2252" s="3" t="s">
        <v>0</v>
      </c>
      <c r="C2252" s="20" t="s">
        <v>115</v>
      </c>
      <c r="D2252" s="21"/>
    </row>
    <row r="2253" spans="1:4" ht="12.75" customHeight="1" x14ac:dyDescent="0.2">
      <c r="A2253" s="21"/>
      <c r="B2253" s="3" t="s">
        <v>2</v>
      </c>
      <c r="C2253" s="20" t="s">
        <v>1839</v>
      </c>
      <c r="D2253" s="21"/>
    </row>
    <row r="2254" spans="1:4" ht="12.75" customHeight="1" x14ac:dyDescent="0.2">
      <c r="A2254" s="21"/>
      <c r="B2254" s="3" t="s">
        <v>1840</v>
      </c>
      <c r="C2254" s="20" t="s">
        <v>293</v>
      </c>
      <c r="D2254" s="21"/>
    </row>
    <row r="2255" spans="1:4" ht="12.75" customHeight="1" x14ac:dyDescent="0.2">
      <c r="A2255" s="21"/>
      <c r="B2255" s="3" t="s">
        <v>9</v>
      </c>
      <c r="C2255" s="20" t="s">
        <v>2062</v>
      </c>
      <c r="D2255" s="21"/>
    </row>
    <row r="2256" spans="1:4" ht="12.75" customHeight="1" x14ac:dyDescent="0.2">
      <c r="A2256" s="21"/>
      <c r="B2256" s="3" t="s">
        <v>11</v>
      </c>
      <c r="C2256" s="20" t="s">
        <v>2063</v>
      </c>
      <c r="D2256" s="21"/>
    </row>
    <row r="2257" spans="1:4" ht="12.75" customHeight="1" x14ac:dyDescent="0.2">
      <c r="A2257" s="21"/>
      <c r="B2257" s="3" t="s">
        <v>16</v>
      </c>
      <c r="C2257" s="20"/>
      <c r="D2257" s="21"/>
    </row>
    <row r="2258" spans="1:4" ht="12.75" customHeight="1" x14ac:dyDescent="0.2">
      <c r="A2258" s="21"/>
      <c r="B2258" s="3" t="s">
        <v>17</v>
      </c>
      <c r="C2258" s="20" t="s">
        <v>19</v>
      </c>
      <c r="D2258" s="21"/>
    </row>
    <row r="2259" spans="1:4" ht="25.5" customHeight="1" x14ac:dyDescent="0.2">
      <c r="A2259" s="21"/>
      <c r="B2259" s="20" t="s">
        <v>18</v>
      </c>
      <c r="C2259" s="4" t="s">
        <v>44</v>
      </c>
      <c r="D2259" s="6" t="str">
        <f>HYPERLINK("javascript:void(0)","közepes csillámpajzs")</f>
        <v>közepes csillámpajzs</v>
      </c>
    </row>
    <row r="2260" spans="1:4" ht="12.75" customHeight="1" x14ac:dyDescent="0.2">
      <c r="A2260" s="21"/>
      <c r="B2260" s="21"/>
      <c r="C2260" s="4" t="s">
        <v>57</v>
      </c>
      <c r="D2260" s="6" t="str">
        <f>HYPERLINK("javascript:void(0)","csillámgöb")</f>
        <v>csillámgöb</v>
      </c>
    </row>
    <row r="2261" spans="1:4" ht="12.75" customHeight="1" x14ac:dyDescent="0.2">
      <c r="A2261" s="21"/>
      <c r="B2261" s="21"/>
      <c r="C2261" s="4" t="s">
        <v>44</v>
      </c>
      <c r="D2261" s="6" t="str">
        <f>HYPERLINK("javascript:void(0)","rubin testpajzs")</f>
        <v>rubin testpajzs</v>
      </c>
    </row>
    <row r="2262" spans="1:4" ht="12.75" customHeight="1" x14ac:dyDescent="0.2">
      <c r="A2262" s="21"/>
      <c r="B2262" s="2"/>
      <c r="C2262" s="2"/>
      <c r="D2262" s="2"/>
    </row>
    <row r="2263" spans="1:4" ht="12.75" customHeight="1" x14ac:dyDescent="0.2">
      <c r="A2263" s="21"/>
      <c r="B2263" s="2"/>
      <c r="C2263" s="2"/>
      <c r="D2263" s="2"/>
    </row>
    <row r="2264" spans="1:4" ht="12.75" customHeight="1" x14ac:dyDescent="0.2">
      <c r="A2264" s="21"/>
      <c r="B2264" s="2"/>
      <c r="C2264" s="2"/>
      <c r="D2264" s="2"/>
    </row>
    <row r="2265" spans="1:4" ht="12.75" customHeight="1" x14ac:dyDescent="0.2">
      <c r="A2265" s="21"/>
      <c r="B2265" s="2"/>
      <c r="C2265" s="2"/>
      <c r="D2265" s="2"/>
    </row>
    <row r="2266" spans="1:4" ht="12.75" customHeight="1" x14ac:dyDescent="0.2">
      <c r="A2266" s="5"/>
      <c r="B2266" s="2"/>
      <c r="C2266" s="2"/>
      <c r="D2266" s="2"/>
    </row>
    <row r="2267" spans="1:4" ht="12.75" customHeight="1" x14ac:dyDescent="0.2">
      <c r="A2267" s="22" t="str">
        <f>HYPERLINK("javascript:void(0)","yeti testpajzs")</f>
        <v>yeti testpajzs</v>
      </c>
      <c r="B2267" s="21"/>
      <c r="C2267" s="21"/>
      <c r="D2267" s="21"/>
    </row>
    <row r="2268" spans="1:4" ht="12.75" customHeight="1" x14ac:dyDescent="0.2">
      <c r="A2268" s="20"/>
      <c r="B2268" s="2"/>
      <c r="C2268" s="2"/>
      <c r="D2268" s="2"/>
    </row>
    <row r="2269" spans="1:4" ht="12.75" customHeight="1" x14ac:dyDescent="0.2">
      <c r="A2269" s="21"/>
      <c r="B2269" s="3" t="s">
        <v>0</v>
      </c>
      <c r="C2269" s="20" t="s">
        <v>417</v>
      </c>
      <c r="D2269" s="21"/>
    </row>
    <row r="2270" spans="1:4" ht="12.75" customHeight="1" x14ac:dyDescent="0.2">
      <c r="A2270" s="21"/>
      <c r="B2270" s="3" t="s">
        <v>2</v>
      </c>
      <c r="C2270" s="20" t="s">
        <v>1839</v>
      </c>
      <c r="D2270" s="21"/>
    </row>
    <row r="2271" spans="1:4" ht="12.75" customHeight="1" x14ac:dyDescent="0.2">
      <c r="A2271" s="21"/>
      <c r="B2271" s="3" t="s">
        <v>1840</v>
      </c>
      <c r="C2271" s="20" t="s">
        <v>905</v>
      </c>
      <c r="D2271" s="21"/>
    </row>
    <row r="2272" spans="1:4" ht="12.75" customHeight="1" x14ac:dyDescent="0.2">
      <c r="A2272" s="21"/>
      <c r="B2272" s="3" t="s">
        <v>9</v>
      </c>
      <c r="C2272" s="20" t="s">
        <v>262</v>
      </c>
      <c r="D2272" s="21"/>
    </row>
    <row r="2273" spans="1:4" ht="12.75" customHeight="1" x14ac:dyDescent="0.2">
      <c r="A2273" s="21"/>
      <c r="B2273" s="3" t="s">
        <v>11</v>
      </c>
      <c r="C2273" s="20" t="s">
        <v>501</v>
      </c>
      <c r="D2273" s="21"/>
    </row>
    <row r="2274" spans="1:4" ht="12.75" customHeight="1" x14ac:dyDescent="0.2">
      <c r="A2274" s="21"/>
      <c r="B2274" s="3" t="s">
        <v>16</v>
      </c>
      <c r="C2274" s="20"/>
      <c r="D2274" s="21"/>
    </row>
    <row r="2275" spans="1:4" ht="12.75" customHeight="1" x14ac:dyDescent="0.2">
      <c r="A2275" s="21"/>
      <c r="B2275" s="3" t="s">
        <v>17</v>
      </c>
      <c r="C2275" s="20" t="s">
        <v>19</v>
      </c>
      <c r="D2275" s="21"/>
    </row>
    <row r="2276" spans="1:4" ht="12.75" customHeight="1" x14ac:dyDescent="0.2">
      <c r="A2276" s="21"/>
      <c r="B2276" s="20" t="s">
        <v>18</v>
      </c>
      <c r="C2276" s="4" t="s">
        <v>44</v>
      </c>
      <c r="D2276" s="6" t="str">
        <f>HYPERLINK("javascript:void(0)","fogazott testpajzs")</f>
        <v>fogazott testpajzs</v>
      </c>
    </row>
    <row r="2277" spans="1:4" ht="12.75" customHeight="1" x14ac:dyDescent="0.2">
      <c r="A2277" s="21"/>
      <c r="B2277" s="21"/>
      <c r="C2277" s="4" t="s">
        <v>98</v>
      </c>
      <c r="D2277" s="6" t="str">
        <f>HYPERLINK("javascript:void(0)","yetiláb")</f>
        <v>yetiláb</v>
      </c>
    </row>
    <row r="2278" spans="1:4" ht="12.75" customHeight="1" x14ac:dyDescent="0.2">
      <c r="A2278" s="21"/>
      <c r="B2278" s="21"/>
      <c r="C2278" s="4" t="s">
        <v>193</v>
      </c>
      <c r="D2278" s="6" t="str">
        <f>HYPERLINK("javascript:void(0)","lámpás")</f>
        <v>lámpás</v>
      </c>
    </row>
    <row r="2279" spans="1:4" ht="12.75" customHeight="1" x14ac:dyDescent="0.2">
      <c r="A2279" s="21"/>
      <c r="B2279" s="2"/>
      <c r="C2279" s="2"/>
      <c r="D2279" s="2"/>
    </row>
    <row r="2280" spans="1:4" ht="12.75" customHeight="1" x14ac:dyDescent="0.2">
      <c r="A2280" s="21"/>
      <c r="B2280" s="2"/>
      <c r="C2280" s="2"/>
      <c r="D2280" s="2"/>
    </row>
    <row r="2281" spans="1:4" ht="12.75" customHeight="1" x14ac:dyDescent="0.2">
      <c r="A2281" s="21"/>
      <c r="B2281" s="2"/>
      <c r="C2281" s="2"/>
      <c r="D2281" s="2"/>
    </row>
    <row r="2282" spans="1:4" ht="12.75" customHeight="1" x14ac:dyDescent="0.2">
      <c r="A2282" s="21"/>
      <c r="B2282" s="2"/>
      <c r="C2282" s="2"/>
      <c r="D2282" s="2"/>
    </row>
    <row r="2283" spans="1:4" ht="12.75" customHeight="1" x14ac:dyDescent="0.2">
      <c r="A2283" s="5"/>
      <c r="B2283" s="2"/>
      <c r="C2283" s="2"/>
      <c r="D2283" s="2"/>
    </row>
    <row r="2284" spans="1:4" ht="12.75" customHeight="1" x14ac:dyDescent="0.2">
      <c r="A2284" s="22" t="str">
        <f>HYPERLINK("javascript:void(0)","kentacél pillepajzs")</f>
        <v>kentacél pillepajzs</v>
      </c>
      <c r="B2284" s="21"/>
      <c r="C2284" s="21"/>
      <c r="D2284" s="21"/>
    </row>
    <row r="2285" spans="1:4" ht="12.75" customHeight="1" x14ac:dyDescent="0.2">
      <c r="A2285" s="20"/>
      <c r="B2285" s="2"/>
      <c r="C2285" s="2"/>
      <c r="D2285" s="2"/>
    </row>
    <row r="2286" spans="1:4" ht="12.75" customHeight="1" x14ac:dyDescent="0.2">
      <c r="A2286" s="21"/>
      <c r="B2286" s="3" t="s">
        <v>0</v>
      </c>
      <c r="C2286" s="20" t="s">
        <v>417</v>
      </c>
      <c r="D2286" s="21"/>
    </row>
    <row r="2287" spans="1:4" ht="12.75" customHeight="1" x14ac:dyDescent="0.2">
      <c r="A2287" s="21"/>
      <c r="B2287" s="3" t="s">
        <v>2</v>
      </c>
      <c r="C2287" s="20" t="s">
        <v>1839</v>
      </c>
      <c r="D2287" s="21"/>
    </row>
    <row r="2288" spans="1:4" ht="12.75" customHeight="1" x14ac:dyDescent="0.2">
      <c r="A2288" s="21"/>
      <c r="B2288" s="3" t="s">
        <v>1840</v>
      </c>
      <c r="C2288" s="20" t="s">
        <v>905</v>
      </c>
      <c r="D2288" s="21"/>
    </row>
    <row r="2289" spans="1:4" ht="12.75" customHeight="1" x14ac:dyDescent="0.2">
      <c r="A2289" s="21"/>
      <c r="B2289" s="3" t="s">
        <v>9</v>
      </c>
      <c r="C2289" s="20" t="s">
        <v>1737</v>
      </c>
      <c r="D2289" s="21"/>
    </row>
    <row r="2290" spans="1:4" ht="12.75" customHeight="1" x14ac:dyDescent="0.2">
      <c r="A2290" s="21"/>
      <c r="B2290" s="3" t="s">
        <v>11</v>
      </c>
      <c r="C2290" s="20" t="s">
        <v>523</v>
      </c>
      <c r="D2290" s="21"/>
    </row>
    <row r="2291" spans="1:4" ht="12.75" customHeight="1" x14ac:dyDescent="0.2">
      <c r="A2291" s="21"/>
      <c r="B2291" s="3" t="s">
        <v>16</v>
      </c>
      <c r="C2291" s="20"/>
      <c r="D2291" s="21"/>
    </row>
    <row r="2292" spans="1:4" ht="12.75" customHeight="1" x14ac:dyDescent="0.2">
      <c r="A2292" s="21"/>
      <c r="B2292" s="3" t="s">
        <v>17</v>
      </c>
      <c r="C2292" s="20" t="s">
        <v>19</v>
      </c>
      <c r="D2292" s="21"/>
    </row>
    <row r="2293" spans="1:4" ht="12.75" customHeight="1" x14ac:dyDescent="0.2">
      <c r="A2293" s="21"/>
      <c r="B2293" s="20" t="s">
        <v>18</v>
      </c>
      <c r="C2293" s="4" t="s">
        <v>44</v>
      </c>
      <c r="D2293" s="6" t="str">
        <f>HYPERLINK("javascript:void(0)","yeti testpajzs")</f>
        <v>yeti testpajzs</v>
      </c>
    </row>
    <row r="2294" spans="1:4" ht="12.75" customHeight="1" x14ac:dyDescent="0.2">
      <c r="A2294" s="21"/>
      <c r="B2294" s="21"/>
      <c r="C2294" s="4" t="s">
        <v>193</v>
      </c>
      <c r="D2294" s="6" t="str">
        <f>HYPERLINK("javascript:void(0)","szent szimbólum")</f>
        <v>szent szimbólum</v>
      </c>
    </row>
    <row r="2295" spans="1:4" ht="12.75" customHeight="1" x14ac:dyDescent="0.2">
      <c r="A2295" s="21"/>
      <c r="B2295" s="21"/>
      <c r="C2295" s="4" t="s">
        <v>117</v>
      </c>
      <c r="D2295" s="6" t="str">
        <f>HYPERLINK("javascript:void(0)","hárpia copf")</f>
        <v>hárpia copf</v>
      </c>
    </row>
    <row r="2296" spans="1:4" ht="12.75" customHeight="1" x14ac:dyDescent="0.2">
      <c r="A2296" s="21"/>
      <c r="B2296" s="2"/>
      <c r="C2296" s="2"/>
      <c r="D2296" s="2"/>
    </row>
    <row r="2297" spans="1:4" ht="12.75" customHeight="1" x14ac:dyDescent="0.2">
      <c r="A2297" s="21"/>
      <c r="B2297" s="2"/>
      <c r="C2297" s="2"/>
      <c r="D2297" s="2"/>
    </row>
    <row r="2298" spans="1:4" ht="12.75" customHeight="1" x14ac:dyDescent="0.2">
      <c r="A2298" s="21"/>
      <c r="B2298" s="2"/>
      <c r="C2298" s="2"/>
      <c r="D2298" s="2"/>
    </row>
    <row r="2299" spans="1:4" ht="12.75" customHeight="1" x14ac:dyDescent="0.2">
      <c r="A2299" s="21"/>
      <c r="B2299" s="2"/>
      <c r="C2299" s="2"/>
      <c r="D2299" s="2"/>
    </row>
    <row r="2300" spans="1:4" ht="12.75" customHeight="1" x14ac:dyDescent="0.2">
      <c r="A2300" s="5"/>
      <c r="B2300" s="2"/>
      <c r="C2300" s="2"/>
      <c r="D2300" s="2"/>
    </row>
    <row r="2301" spans="1:4" ht="12.75" customHeight="1" x14ac:dyDescent="0.2">
      <c r="A2301" s="22" t="str">
        <f>HYPERLINK("javascript:void(0)","portál pajzs")</f>
        <v>portál pajzs</v>
      </c>
      <c r="B2301" s="21"/>
      <c r="C2301" s="21"/>
      <c r="D2301" s="21"/>
    </row>
    <row r="2302" spans="1:4" ht="12.75" customHeight="1" x14ac:dyDescent="0.2">
      <c r="A2302" s="20"/>
      <c r="B2302" s="2"/>
      <c r="C2302" s="2"/>
      <c r="D2302" s="2"/>
    </row>
    <row r="2303" spans="1:4" ht="12.75" customHeight="1" x14ac:dyDescent="0.2">
      <c r="A2303" s="21"/>
      <c r="B2303" s="3" t="s">
        <v>0</v>
      </c>
      <c r="C2303" s="20" t="s">
        <v>216</v>
      </c>
      <c r="D2303" s="21"/>
    </row>
    <row r="2304" spans="1:4" ht="12.75" customHeight="1" x14ac:dyDescent="0.2">
      <c r="A2304" s="21"/>
      <c r="B2304" s="3" t="s">
        <v>2</v>
      </c>
      <c r="C2304" s="20" t="s">
        <v>1839</v>
      </c>
      <c r="D2304" s="21"/>
    </row>
    <row r="2305" spans="1:4" ht="12.75" customHeight="1" x14ac:dyDescent="0.2">
      <c r="A2305" s="21"/>
      <c r="B2305" s="3" t="s">
        <v>1840</v>
      </c>
      <c r="C2305" s="20" t="s">
        <v>937</v>
      </c>
      <c r="D2305" s="21"/>
    </row>
    <row r="2306" spans="1:4" ht="12.75" customHeight="1" x14ac:dyDescent="0.2">
      <c r="A2306" s="21"/>
      <c r="B2306" s="3" t="s">
        <v>9</v>
      </c>
      <c r="C2306" s="20" t="s">
        <v>198</v>
      </c>
      <c r="D2306" s="21"/>
    </row>
    <row r="2307" spans="1:4" ht="12.75" customHeight="1" x14ac:dyDescent="0.2">
      <c r="A2307" s="21"/>
      <c r="B2307" s="3" t="s">
        <v>11</v>
      </c>
      <c r="C2307" s="20" t="s">
        <v>514</v>
      </c>
      <c r="D2307" s="21"/>
    </row>
    <row r="2308" spans="1:4" ht="12.75" customHeight="1" x14ac:dyDescent="0.2">
      <c r="A2308" s="21"/>
      <c r="B2308" s="3" t="s">
        <v>16</v>
      </c>
      <c r="C2308" s="20"/>
      <c r="D2308" s="21"/>
    </row>
    <row r="2309" spans="1:4" ht="12.75" customHeight="1" x14ac:dyDescent="0.2">
      <c r="A2309" s="21"/>
      <c r="B2309" s="3" t="s">
        <v>17</v>
      </c>
      <c r="C2309" s="20" t="s">
        <v>19</v>
      </c>
      <c r="D2309" s="21"/>
    </row>
    <row r="2310" spans="1:4" ht="12.75" customHeight="1" x14ac:dyDescent="0.2">
      <c r="A2310" s="21"/>
      <c r="B2310" s="20" t="s">
        <v>18</v>
      </c>
      <c r="C2310" s="4" t="s">
        <v>44</v>
      </c>
      <c r="D2310" s="6" t="str">
        <f>HYPERLINK("javascript:void(0)","yeti pajzs")</f>
        <v>yeti pajzs</v>
      </c>
    </row>
    <row r="2311" spans="1:4" ht="12.75" customHeight="1" x14ac:dyDescent="0.2">
      <c r="A2311" s="21"/>
      <c r="B2311" s="21"/>
      <c r="C2311" s="4" t="s">
        <v>494</v>
      </c>
      <c r="D2311" s="6" t="str">
        <f>HYPERLINK("javascript:void(0)","mantüske")</f>
        <v>mantüske</v>
      </c>
    </row>
    <row r="2312" spans="1:4" ht="12.75" customHeight="1" x14ac:dyDescent="0.2">
      <c r="A2312" s="21"/>
      <c r="B2312" s="21"/>
      <c r="C2312" s="4" t="s">
        <v>68</v>
      </c>
      <c r="D2312" s="6" t="str">
        <f>HYPERLINK("javascript:void(0)","portgyűrű")</f>
        <v>portgyűrű</v>
      </c>
    </row>
    <row r="2313" spans="1:4" ht="12.75" customHeight="1" x14ac:dyDescent="0.2">
      <c r="A2313" s="21"/>
      <c r="B2313" s="2"/>
      <c r="C2313" s="2"/>
      <c r="D2313" s="2"/>
    </row>
    <row r="2314" spans="1:4" ht="12.75" customHeight="1" x14ac:dyDescent="0.2">
      <c r="A2314" s="21"/>
      <c r="B2314" s="2"/>
      <c r="C2314" s="2"/>
      <c r="D2314" s="2"/>
    </row>
    <row r="2315" spans="1:4" ht="12.75" customHeight="1" x14ac:dyDescent="0.2">
      <c r="A2315" s="21"/>
      <c r="B2315" s="2"/>
      <c r="C2315" s="2"/>
      <c r="D2315" s="2"/>
    </row>
    <row r="2316" spans="1:4" ht="12.75" customHeight="1" x14ac:dyDescent="0.2">
      <c r="A2316" s="21"/>
      <c r="B2316" s="2"/>
      <c r="C2316" s="2"/>
      <c r="D2316" s="2"/>
    </row>
    <row r="2317" spans="1:4" ht="12.75" customHeight="1" x14ac:dyDescent="0.2">
      <c r="A2317" s="5"/>
      <c r="B2317" s="2"/>
      <c r="C2317" s="2"/>
      <c r="D2317" s="2"/>
    </row>
    <row r="2318" spans="1:4" ht="12.75" customHeight="1" x14ac:dyDescent="0.2">
      <c r="A2318" s="22" t="str">
        <f>HYPERLINK("javascript:void(0)","kompózium pillepajzs")</f>
        <v>kompózium pillepajzs</v>
      </c>
      <c r="B2318" s="21"/>
      <c r="C2318" s="21"/>
      <c r="D2318" s="21"/>
    </row>
    <row r="2319" spans="1:4" ht="12.75" customHeight="1" x14ac:dyDescent="0.2">
      <c r="A2319" s="20"/>
      <c r="B2319" s="2"/>
      <c r="C2319" s="2"/>
      <c r="D2319" s="2"/>
    </row>
    <row r="2320" spans="1:4" ht="12.75" customHeight="1" x14ac:dyDescent="0.2">
      <c r="A2320" s="21"/>
      <c r="B2320" s="3" t="s">
        <v>0</v>
      </c>
      <c r="C2320" s="20" t="s">
        <v>216</v>
      </c>
      <c r="D2320" s="21"/>
    </row>
    <row r="2321" spans="1:4" ht="12.75" customHeight="1" x14ac:dyDescent="0.2">
      <c r="A2321" s="21"/>
      <c r="B2321" s="3" t="s">
        <v>2</v>
      </c>
      <c r="C2321" s="20" t="s">
        <v>1839</v>
      </c>
      <c r="D2321" s="21"/>
    </row>
    <row r="2322" spans="1:4" ht="12.75" customHeight="1" x14ac:dyDescent="0.2">
      <c r="A2322" s="21"/>
      <c r="B2322" s="3" t="s">
        <v>1840</v>
      </c>
      <c r="C2322" s="20" t="s">
        <v>937</v>
      </c>
      <c r="D2322" s="21"/>
    </row>
    <row r="2323" spans="1:4" ht="12.75" customHeight="1" x14ac:dyDescent="0.2">
      <c r="A2323" s="21"/>
      <c r="B2323" s="3" t="s">
        <v>9</v>
      </c>
      <c r="C2323" s="20" t="s">
        <v>2070</v>
      </c>
      <c r="D2323" s="21"/>
    </row>
    <row r="2324" spans="1:4" ht="12.75" customHeight="1" x14ac:dyDescent="0.2">
      <c r="A2324" s="21"/>
      <c r="B2324" s="3" t="s">
        <v>11</v>
      </c>
      <c r="C2324" s="20" t="s">
        <v>536</v>
      </c>
      <c r="D2324" s="21"/>
    </row>
    <row r="2325" spans="1:4" ht="12.75" customHeight="1" x14ac:dyDescent="0.2">
      <c r="A2325" s="21"/>
      <c r="B2325" s="3" t="s">
        <v>16</v>
      </c>
      <c r="C2325" s="20"/>
      <c r="D2325" s="21"/>
    </row>
    <row r="2326" spans="1:4" ht="12.75" customHeight="1" x14ac:dyDescent="0.2">
      <c r="A2326" s="21"/>
      <c r="B2326" s="3" t="s">
        <v>17</v>
      </c>
      <c r="C2326" s="20" t="s">
        <v>19</v>
      </c>
      <c r="D2326" s="21"/>
    </row>
    <row r="2327" spans="1:4" ht="12.75" customHeight="1" x14ac:dyDescent="0.2">
      <c r="A2327" s="21"/>
      <c r="B2327" s="20" t="s">
        <v>18</v>
      </c>
      <c r="C2327" s="4" t="s">
        <v>44</v>
      </c>
      <c r="D2327" s="6" t="str">
        <f>HYPERLINK("javascript:void(0)","portál pajzs")</f>
        <v>portál pajzs</v>
      </c>
    </row>
    <row r="2328" spans="1:4" ht="12.75" customHeight="1" x14ac:dyDescent="0.2">
      <c r="A2328" s="21"/>
      <c r="B2328" s="21"/>
      <c r="C2328" s="4" t="s">
        <v>117</v>
      </c>
      <c r="D2328" s="6" t="str">
        <f>HYPERLINK("javascript:void(0)","kompózium")</f>
        <v>kompózium</v>
      </c>
    </row>
    <row r="2329" spans="1:4" ht="12.75" customHeight="1" x14ac:dyDescent="0.2">
      <c r="A2329" s="21"/>
      <c r="B2329" s="21"/>
      <c r="C2329" s="4" t="s">
        <v>117</v>
      </c>
      <c r="D2329" s="6" t="str">
        <f>HYPERLINK("javascript:void(0)","portgyűrű")</f>
        <v>portgyűrű</v>
      </c>
    </row>
    <row r="2330" spans="1:4" ht="12.75" customHeight="1" x14ac:dyDescent="0.2">
      <c r="A2330" s="21"/>
      <c r="B2330" s="2"/>
      <c r="C2330" s="2"/>
      <c r="D2330" s="2"/>
    </row>
    <row r="2331" spans="1:4" ht="12.75" customHeight="1" x14ac:dyDescent="0.2">
      <c r="A2331" s="21"/>
      <c r="B2331" s="2"/>
      <c r="C2331" s="2"/>
      <c r="D2331" s="2"/>
    </row>
    <row r="2332" spans="1:4" ht="12.75" customHeight="1" x14ac:dyDescent="0.2">
      <c r="A2332" s="21"/>
      <c r="B2332" s="2"/>
      <c r="C2332" s="2"/>
      <c r="D2332" s="2"/>
    </row>
    <row r="2333" spans="1:4" ht="12.75" customHeight="1" x14ac:dyDescent="0.2">
      <c r="A2333" s="21"/>
      <c r="B2333" s="2"/>
      <c r="C2333" s="2"/>
      <c r="D2333" s="2"/>
    </row>
    <row r="2334" spans="1:4" ht="12.75" customHeight="1" x14ac:dyDescent="0.2">
      <c r="A2334" s="5"/>
      <c r="B2334" s="2"/>
      <c r="C2334" s="2"/>
      <c r="D2334" s="2"/>
    </row>
    <row r="2335" spans="1:4" ht="12.75" customHeight="1" x14ac:dyDescent="0.2">
      <c r="A2335" s="22" t="str">
        <f>HYPERLINK("javascript:void(0)","portál testpajzs")</f>
        <v>portál testpajzs</v>
      </c>
      <c r="B2335" s="21"/>
      <c r="C2335" s="21"/>
      <c r="D2335" s="21"/>
    </row>
    <row r="2336" spans="1:4" ht="12.75" customHeight="1" x14ac:dyDescent="0.2">
      <c r="A2336" s="20"/>
      <c r="B2336" s="2"/>
      <c r="C2336" s="2"/>
      <c r="D2336" s="2"/>
    </row>
    <row r="2337" spans="1:4" ht="12.75" customHeight="1" x14ac:dyDescent="0.2">
      <c r="A2337" s="21"/>
      <c r="B2337" s="3" t="s">
        <v>0</v>
      </c>
      <c r="C2337" s="20" t="s">
        <v>435</v>
      </c>
      <c r="D2337" s="21"/>
    </row>
    <row r="2338" spans="1:4" ht="12.75" customHeight="1" x14ac:dyDescent="0.2">
      <c r="A2338" s="21"/>
      <c r="B2338" s="3" t="s">
        <v>2</v>
      </c>
      <c r="C2338" s="20" t="s">
        <v>1839</v>
      </c>
      <c r="D2338" s="21"/>
    </row>
    <row r="2339" spans="1:4" ht="12.75" customHeight="1" x14ac:dyDescent="0.2">
      <c r="A2339" s="21"/>
      <c r="B2339" s="3" t="s">
        <v>1840</v>
      </c>
      <c r="C2339" s="20" t="s">
        <v>293</v>
      </c>
      <c r="D2339" s="21"/>
    </row>
    <row r="2340" spans="1:4" ht="12.75" customHeight="1" x14ac:dyDescent="0.2">
      <c r="A2340" s="21"/>
      <c r="B2340" s="3" t="s">
        <v>9</v>
      </c>
      <c r="C2340" s="20" t="s">
        <v>300</v>
      </c>
      <c r="D2340" s="21"/>
    </row>
    <row r="2341" spans="1:4" ht="12.75" customHeight="1" x14ac:dyDescent="0.2">
      <c r="A2341" s="21"/>
      <c r="B2341" s="3" t="s">
        <v>11</v>
      </c>
      <c r="C2341" s="20" t="s">
        <v>523</v>
      </c>
      <c r="D2341" s="21"/>
    </row>
    <row r="2342" spans="1:4" ht="12.75" customHeight="1" x14ac:dyDescent="0.2">
      <c r="A2342" s="21"/>
      <c r="B2342" s="3" t="s">
        <v>16</v>
      </c>
      <c r="C2342" s="20"/>
      <c r="D2342" s="21"/>
    </row>
    <row r="2343" spans="1:4" ht="12.75" customHeight="1" x14ac:dyDescent="0.2">
      <c r="A2343" s="21"/>
      <c r="B2343" s="3" t="s">
        <v>17</v>
      </c>
      <c r="C2343" s="20" t="s">
        <v>19</v>
      </c>
      <c r="D2343" s="21"/>
    </row>
    <row r="2344" spans="1:4" ht="12.75" customHeight="1" x14ac:dyDescent="0.2">
      <c r="A2344" s="21"/>
      <c r="B2344" s="20" t="s">
        <v>18</v>
      </c>
      <c r="C2344" s="4" t="s">
        <v>44</v>
      </c>
      <c r="D2344" s="6" t="str">
        <f>HYPERLINK("javascript:void(0)","yeti testpajzs")</f>
        <v>yeti testpajzs</v>
      </c>
    </row>
    <row r="2345" spans="1:4" ht="12.75" customHeight="1" x14ac:dyDescent="0.2">
      <c r="A2345" s="21"/>
      <c r="B2345" s="21"/>
      <c r="C2345" s="4" t="s">
        <v>98</v>
      </c>
      <c r="D2345" s="6" t="str">
        <f>HYPERLINK("javascript:void(0)","portgyűrű")</f>
        <v>portgyűrű</v>
      </c>
    </row>
    <row r="2346" spans="1:4" ht="12.75" customHeight="1" x14ac:dyDescent="0.2">
      <c r="A2346" s="21"/>
      <c r="B2346" s="21"/>
      <c r="C2346" s="4" t="s">
        <v>68</v>
      </c>
      <c r="D2346" s="6" t="str">
        <f>HYPERLINK("javascript:void(0)","hordócsap")</f>
        <v>hordócsap</v>
      </c>
    </row>
    <row r="2347" spans="1:4" ht="12.75" customHeight="1" x14ac:dyDescent="0.2">
      <c r="A2347" s="21"/>
      <c r="B2347" s="2"/>
      <c r="C2347" s="2"/>
      <c r="D2347" s="2"/>
    </row>
    <row r="2348" spans="1:4" ht="12.75" customHeight="1" x14ac:dyDescent="0.2">
      <c r="A2348" s="21"/>
      <c r="B2348" s="2"/>
      <c r="C2348" s="2"/>
      <c r="D2348" s="2"/>
    </row>
    <row r="2349" spans="1:4" ht="12.75" customHeight="1" x14ac:dyDescent="0.2">
      <c r="A2349" s="21"/>
      <c r="B2349" s="2"/>
      <c r="C2349" s="2"/>
      <c r="D2349" s="2"/>
    </row>
    <row r="2350" spans="1:4" ht="12.75" customHeight="1" x14ac:dyDescent="0.2">
      <c r="A2350" s="21"/>
      <c r="B2350" s="2"/>
      <c r="C2350" s="2"/>
      <c r="D2350" s="2"/>
    </row>
    <row r="2351" spans="1:4" ht="12.75" customHeight="1" x14ac:dyDescent="0.2">
      <c r="A2351" s="5"/>
      <c r="B2351" s="2"/>
      <c r="C2351" s="2"/>
      <c r="D2351" s="2"/>
    </row>
    <row r="2352" spans="1:4" ht="12.75" customHeight="1" x14ac:dyDescent="0.2">
      <c r="A2352" s="22" t="str">
        <f>HYPERLINK("javascript:void(0)","mengorni pillepajzs")</f>
        <v>mengorni pillepajzs</v>
      </c>
      <c r="B2352" s="21"/>
      <c r="C2352" s="21"/>
      <c r="D2352" s="21"/>
    </row>
    <row r="2353" spans="1:4" ht="12.75" customHeight="1" x14ac:dyDescent="0.2">
      <c r="A2353" s="20"/>
      <c r="B2353" s="2"/>
      <c r="C2353" s="2"/>
      <c r="D2353" s="2"/>
    </row>
    <row r="2354" spans="1:4" ht="12.75" customHeight="1" x14ac:dyDescent="0.2">
      <c r="A2354" s="21"/>
      <c r="B2354" s="3" t="s">
        <v>0</v>
      </c>
      <c r="C2354" s="20" t="s">
        <v>435</v>
      </c>
      <c r="D2354" s="21"/>
    </row>
    <row r="2355" spans="1:4" ht="12.75" customHeight="1" x14ac:dyDescent="0.2">
      <c r="A2355" s="21"/>
      <c r="B2355" s="3" t="s">
        <v>2</v>
      </c>
      <c r="C2355" s="20" t="s">
        <v>1839</v>
      </c>
      <c r="D2355" s="21"/>
    </row>
    <row r="2356" spans="1:4" ht="12.75" customHeight="1" x14ac:dyDescent="0.2">
      <c r="A2356" s="21"/>
      <c r="B2356" s="3" t="s">
        <v>1840</v>
      </c>
      <c r="C2356" s="20" t="s">
        <v>293</v>
      </c>
      <c r="D2356" s="21"/>
    </row>
    <row r="2357" spans="1:4" ht="12.75" customHeight="1" x14ac:dyDescent="0.2">
      <c r="A2357" s="21"/>
      <c r="B2357" s="3" t="s">
        <v>9</v>
      </c>
      <c r="C2357" s="20" t="s">
        <v>1262</v>
      </c>
      <c r="D2357" s="21"/>
    </row>
    <row r="2358" spans="1:4" ht="12.75" customHeight="1" x14ac:dyDescent="0.2">
      <c r="A2358" s="21"/>
      <c r="B2358" s="3" t="s">
        <v>11</v>
      </c>
      <c r="C2358" s="20" t="s">
        <v>542</v>
      </c>
      <c r="D2358" s="21"/>
    </row>
    <row r="2359" spans="1:4" ht="12.75" customHeight="1" x14ac:dyDescent="0.2">
      <c r="A2359" s="21"/>
      <c r="B2359" s="3" t="s">
        <v>16</v>
      </c>
      <c r="C2359" s="20"/>
      <c r="D2359" s="21"/>
    </row>
    <row r="2360" spans="1:4" ht="12.75" customHeight="1" x14ac:dyDescent="0.2">
      <c r="A2360" s="21"/>
      <c r="B2360" s="3" t="s">
        <v>17</v>
      </c>
      <c r="C2360" s="20" t="s">
        <v>19</v>
      </c>
      <c r="D2360" s="21"/>
    </row>
    <row r="2361" spans="1:4" ht="12.75" customHeight="1" x14ac:dyDescent="0.2">
      <c r="A2361" s="21"/>
      <c r="B2361" s="20" t="s">
        <v>18</v>
      </c>
      <c r="C2361" s="4" t="s">
        <v>44</v>
      </c>
      <c r="D2361" s="6" t="str">
        <f>HYPERLINK("javascript:void(0)","portál testpajzs")</f>
        <v>portál testpajzs</v>
      </c>
    </row>
    <row r="2362" spans="1:4" ht="12.75" customHeight="1" x14ac:dyDescent="0.2">
      <c r="A2362" s="21"/>
      <c r="B2362" s="21"/>
      <c r="C2362" s="4" t="s">
        <v>950</v>
      </c>
      <c r="D2362" s="6" t="str">
        <f>HYPERLINK("javascript:void(0)","diszprózium")</f>
        <v>diszprózium</v>
      </c>
    </row>
    <row r="2363" spans="1:4" ht="12.75" customHeight="1" x14ac:dyDescent="0.2">
      <c r="A2363" s="21"/>
      <c r="B2363" s="21"/>
      <c r="C2363" s="4" t="s">
        <v>117</v>
      </c>
      <c r="D2363" s="6" t="str">
        <f>HYPERLINK("javascript:void(0)","hordócsap")</f>
        <v>hordócsap</v>
      </c>
    </row>
    <row r="2364" spans="1:4" ht="12.75" customHeight="1" x14ac:dyDescent="0.2">
      <c r="A2364" s="21"/>
      <c r="B2364" s="2"/>
      <c r="C2364" s="2"/>
      <c r="D2364" s="2"/>
    </row>
    <row r="2365" spans="1:4" ht="12.75" customHeight="1" x14ac:dyDescent="0.2">
      <c r="A2365" s="21"/>
      <c r="B2365" s="2"/>
      <c r="C2365" s="2"/>
      <c r="D2365" s="2"/>
    </row>
    <row r="2366" spans="1:4" ht="12.75" customHeight="1" x14ac:dyDescent="0.2">
      <c r="A2366" s="21"/>
      <c r="B2366" s="2"/>
      <c r="C2366" s="2"/>
      <c r="D2366" s="2"/>
    </row>
    <row r="2367" spans="1:4" ht="12.75" customHeight="1" x14ac:dyDescent="0.2">
      <c r="A2367" s="21"/>
      <c r="B2367" s="2"/>
      <c r="C2367" s="2"/>
      <c r="D2367" s="2"/>
    </row>
    <row r="2368" spans="1:4" ht="12.75" customHeight="1" x14ac:dyDescent="0.2">
      <c r="A2368" s="5"/>
      <c r="B2368" s="2"/>
      <c r="C2368" s="2"/>
      <c r="D2368" s="2"/>
    </row>
    <row r="2369" spans="1:4" ht="12.75" customHeight="1" x14ac:dyDescent="0.2">
      <c r="A2369" s="22" t="str">
        <f>HYPERLINK("javascript:void(0)","göcsört pajzs")</f>
        <v>göcsört pajzs</v>
      </c>
      <c r="B2369" s="21"/>
      <c r="C2369" s="21"/>
      <c r="D2369" s="21"/>
    </row>
    <row r="2370" spans="1:4" ht="12.75" customHeight="1" x14ac:dyDescent="0.2">
      <c r="A2370" s="20"/>
      <c r="B2370" s="2"/>
      <c r="C2370" s="2"/>
      <c r="D2370" s="2"/>
    </row>
    <row r="2371" spans="1:4" ht="12.75" customHeight="1" x14ac:dyDescent="0.2">
      <c r="A2371" s="21"/>
      <c r="B2371" s="3" t="s">
        <v>0</v>
      </c>
      <c r="C2371" s="20" t="s">
        <v>47</v>
      </c>
      <c r="D2371" s="21"/>
    </row>
    <row r="2372" spans="1:4" ht="12.75" customHeight="1" x14ac:dyDescent="0.2">
      <c r="A2372" s="21"/>
      <c r="B2372" s="3" t="s">
        <v>2</v>
      </c>
      <c r="C2372" s="20" t="s">
        <v>1839</v>
      </c>
      <c r="D2372" s="21"/>
    </row>
    <row r="2373" spans="1:4" ht="12.75" customHeight="1" x14ac:dyDescent="0.2">
      <c r="A2373" s="21"/>
      <c r="B2373" s="3" t="s">
        <v>1840</v>
      </c>
      <c r="C2373" s="20" t="s">
        <v>87</v>
      </c>
      <c r="D2373" s="21"/>
    </row>
    <row r="2374" spans="1:4" ht="12.75" customHeight="1" x14ac:dyDescent="0.2">
      <c r="A2374" s="21"/>
      <c r="B2374" s="3" t="s">
        <v>9</v>
      </c>
      <c r="C2374" s="20" t="s">
        <v>179</v>
      </c>
      <c r="D2374" s="21"/>
    </row>
    <row r="2375" spans="1:4" ht="12.75" customHeight="1" x14ac:dyDescent="0.2">
      <c r="A2375" s="21"/>
      <c r="B2375" s="3" t="s">
        <v>11</v>
      </c>
      <c r="C2375" s="20" t="s">
        <v>536</v>
      </c>
      <c r="D2375" s="21"/>
    </row>
    <row r="2376" spans="1:4" ht="12.75" customHeight="1" x14ac:dyDescent="0.2">
      <c r="A2376" s="21"/>
      <c r="B2376" s="3" t="s">
        <v>16</v>
      </c>
      <c r="C2376" s="20"/>
      <c r="D2376" s="21"/>
    </row>
    <row r="2377" spans="1:4" ht="12.75" customHeight="1" x14ac:dyDescent="0.2">
      <c r="A2377" s="21"/>
      <c r="B2377" s="3" t="s">
        <v>17</v>
      </c>
      <c r="C2377" s="20" t="s">
        <v>19</v>
      </c>
      <c r="D2377" s="21"/>
    </row>
    <row r="2378" spans="1:4" ht="12.75" customHeight="1" x14ac:dyDescent="0.2">
      <c r="A2378" s="21"/>
      <c r="B2378" s="20" t="s">
        <v>18</v>
      </c>
      <c r="C2378" s="4" t="s">
        <v>44</v>
      </c>
      <c r="D2378" s="6" t="str">
        <f>HYPERLINK("javascript:void(0)","portál pajzs")</f>
        <v>portál pajzs</v>
      </c>
    </row>
    <row r="2379" spans="1:4" ht="12.75" customHeight="1" x14ac:dyDescent="0.2">
      <c r="A2379" s="21"/>
      <c r="B2379" s="21"/>
      <c r="C2379" s="4" t="s">
        <v>193</v>
      </c>
      <c r="D2379" s="6" t="str">
        <f>HYPERLINK("javascript:void(0)","portgyűrű")</f>
        <v>portgyűrű</v>
      </c>
    </row>
    <row r="2380" spans="1:4" ht="12.75" customHeight="1" x14ac:dyDescent="0.2">
      <c r="A2380" s="21"/>
      <c r="B2380" s="21"/>
      <c r="C2380" s="4" t="s">
        <v>77</v>
      </c>
      <c r="D2380" s="6" t="str">
        <f>HYPERLINK("javascript:void(0)","göb")</f>
        <v>göb</v>
      </c>
    </row>
    <row r="2381" spans="1:4" ht="12.75" customHeight="1" x14ac:dyDescent="0.2">
      <c r="A2381" s="21"/>
      <c r="B2381" s="2"/>
      <c r="C2381" s="2"/>
      <c r="D2381" s="2"/>
    </row>
    <row r="2382" spans="1:4" ht="12.75" customHeight="1" x14ac:dyDescent="0.2">
      <c r="A2382" s="21"/>
      <c r="B2382" s="2"/>
      <c r="C2382" s="2"/>
      <c r="D2382" s="2"/>
    </row>
    <row r="2383" spans="1:4" ht="12.75" customHeight="1" x14ac:dyDescent="0.2">
      <c r="A2383" s="21"/>
      <c r="B2383" s="2"/>
      <c r="C2383" s="2"/>
      <c r="D2383" s="2"/>
    </row>
    <row r="2384" spans="1:4" ht="12.75" customHeight="1" x14ac:dyDescent="0.2">
      <c r="A2384" s="21"/>
      <c r="B2384" s="2"/>
      <c r="C2384" s="2"/>
      <c r="D2384" s="2"/>
    </row>
    <row r="2385" spans="1:4" ht="12.75" customHeight="1" x14ac:dyDescent="0.2">
      <c r="A2385" s="5"/>
      <c r="B2385" s="2"/>
      <c r="C2385" s="2"/>
      <c r="D2385" s="2"/>
    </row>
    <row r="2386" spans="1:4" ht="12.75" customHeight="1" x14ac:dyDescent="0.2">
      <c r="A2386" s="22" t="str">
        <f>HYPERLINK("javascript:void(0)","skivei pillepajzs")</f>
        <v>skivei pillepajzs</v>
      </c>
      <c r="B2386" s="21"/>
      <c r="C2386" s="21"/>
      <c r="D2386" s="21"/>
    </row>
    <row r="2387" spans="1:4" ht="12.75" customHeight="1" x14ac:dyDescent="0.2">
      <c r="A2387" s="20"/>
      <c r="B2387" s="2"/>
      <c r="C2387" s="2"/>
      <c r="D2387" s="2"/>
    </row>
    <row r="2388" spans="1:4" ht="12.75" customHeight="1" x14ac:dyDescent="0.2">
      <c r="A2388" s="21"/>
      <c r="B2388" s="3" t="s">
        <v>0</v>
      </c>
      <c r="C2388" s="20" t="s">
        <v>47</v>
      </c>
      <c r="D2388" s="21"/>
    </row>
    <row r="2389" spans="1:4" ht="12.75" customHeight="1" x14ac:dyDescent="0.2">
      <c r="A2389" s="21"/>
      <c r="B2389" s="3" t="s">
        <v>2</v>
      </c>
      <c r="C2389" s="20" t="s">
        <v>1839</v>
      </c>
      <c r="D2389" s="21"/>
    </row>
    <row r="2390" spans="1:4" ht="12.75" customHeight="1" x14ac:dyDescent="0.2">
      <c r="A2390" s="21"/>
      <c r="B2390" s="3" t="s">
        <v>1840</v>
      </c>
      <c r="C2390" s="20" t="s">
        <v>87</v>
      </c>
      <c r="D2390" s="21"/>
    </row>
    <row r="2391" spans="1:4" ht="12.75" customHeight="1" x14ac:dyDescent="0.2">
      <c r="A2391" s="21"/>
      <c r="B2391" s="3" t="s">
        <v>9</v>
      </c>
      <c r="C2391" s="20" t="s">
        <v>2077</v>
      </c>
      <c r="D2391" s="21"/>
    </row>
    <row r="2392" spans="1:4" ht="12.75" customHeight="1" x14ac:dyDescent="0.2">
      <c r="A2392" s="21"/>
      <c r="B2392" s="3" t="s">
        <v>11</v>
      </c>
      <c r="C2392" s="20" t="s">
        <v>552</v>
      </c>
      <c r="D2392" s="21"/>
    </row>
    <row r="2393" spans="1:4" ht="12.75" customHeight="1" x14ac:dyDescent="0.2">
      <c r="A2393" s="21"/>
      <c r="B2393" s="3" t="s">
        <v>16</v>
      </c>
      <c r="C2393" s="20"/>
      <c r="D2393" s="21"/>
    </row>
    <row r="2394" spans="1:4" ht="12.75" customHeight="1" x14ac:dyDescent="0.2">
      <c r="A2394" s="21"/>
      <c r="B2394" s="3" t="s">
        <v>17</v>
      </c>
      <c r="C2394" s="20" t="s">
        <v>19</v>
      </c>
      <c r="D2394" s="21"/>
    </row>
    <row r="2395" spans="1:4" ht="12.75" customHeight="1" x14ac:dyDescent="0.2">
      <c r="A2395" s="21"/>
      <c r="B2395" s="20" t="s">
        <v>18</v>
      </c>
      <c r="C2395" s="4" t="s">
        <v>44</v>
      </c>
      <c r="D2395" s="6" t="str">
        <f>HYPERLINK("javascript:void(0)","göcsört pajzs")</f>
        <v>göcsört pajzs</v>
      </c>
    </row>
    <row r="2396" spans="1:4" ht="12.75" customHeight="1" x14ac:dyDescent="0.2">
      <c r="A2396" s="21"/>
      <c r="B2396" s="21"/>
      <c r="C2396" s="4" t="s">
        <v>309</v>
      </c>
      <c r="D2396" s="6" t="str">
        <f>HYPERLINK("javascript:void(0)","kígyócsörgő")</f>
        <v>kígyócsörgő</v>
      </c>
    </row>
    <row r="2397" spans="1:4" ht="12.75" customHeight="1" x14ac:dyDescent="0.2">
      <c r="A2397" s="21"/>
      <c r="B2397" s="21"/>
      <c r="C2397" s="4" t="s">
        <v>117</v>
      </c>
      <c r="D2397" s="6" t="str">
        <f>HYPERLINK("javascript:void(0)","spóra")</f>
        <v>spóra</v>
      </c>
    </row>
    <row r="2398" spans="1:4" ht="12.75" customHeight="1" x14ac:dyDescent="0.2">
      <c r="A2398" s="21"/>
      <c r="B2398" s="2"/>
      <c r="C2398" s="2"/>
      <c r="D2398" s="2"/>
    </row>
    <row r="2399" spans="1:4" ht="12.75" customHeight="1" x14ac:dyDescent="0.2">
      <c r="A2399" s="21"/>
      <c r="B2399" s="2"/>
      <c r="C2399" s="2"/>
      <c r="D2399" s="2"/>
    </row>
    <row r="2400" spans="1:4" ht="12.75" customHeight="1" x14ac:dyDescent="0.2">
      <c r="A2400" s="21"/>
      <c r="B2400" s="2"/>
      <c r="C2400" s="2"/>
      <c r="D2400" s="2"/>
    </row>
    <row r="2401" spans="1:4" ht="12.75" customHeight="1" x14ac:dyDescent="0.2">
      <c r="A2401" s="21"/>
      <c r="B2401" s="2"/>
      <c r="C2401" s="2"/>
      <c r="D2401" s="2"/>
    </row>
    <row r="2402" spans="1:4" ht="12.75" customHeight="1" x14ac:dyDescent="0.2">
      <c r="A2402" s="5"/>
      <c r="B2402" s="2"/>
      <c r="C2402" s="2"/>
      <c r="D2402" s="2"/>
    </row>
    <row r="2403" spans="1:4" ht="12.75" customHeight="1" x14ac:dyDescent="0.2">
      <c r="A2403" s="22" t="str">
        <f>HYPERLINK("javascript:void(0)","göcsört testpajzs")</f>
        <v>göcsört testpajzs</v>
      </c>
      <c r="B2403" s="21"/>
      <c r="C2403" s="21"/>
      <c r="D2403" s="21"/>
    </row>
    <row r="2404" spans="1:4" ht="12.75" customHeight="1" x14ac:dyDescent="0.2">
      <c r="A2404" s="20"/>
      <c r="B2404" s="2"/>
      <c r="C2404" s="2"/>
      <c r="D2404" s="2"/>
    </row>
    <row r="2405" spans="1:4" ht="12.75" customHeight="1" x14ac:dyDescent="0.2">
      <c r="A2405" s="21"/>
      <c r="B2405" s="3" t="s">
        <v>0</v>
      </c>
      <c r="C2405" s="20" t="s">
        <v>127</v>
      </c>
      <c r="D2405" s="21"/>
    </row>
    <row r="2406" spans="1:4" ht="12.75" customHeight="1" x14ac:dyDescent="0.2">
      <c r="A2406" s="21"/>
      <c r="B2406" s="3" t="s">
        <v>2</v>
      </c>
      <c r="C2406" s="20" t="s">
        <v>1839</v>
      </c>
      <c r="D2406" s="21"/>
    </row>
    <row r="2407" spans="1:4" ht="12.75" customHeight="1" x14ac:dyDescent="0.2">
      <c r="A2407" s="21"/>
      <c r="B2407" s="3" t="s">
        <v>1840</v>
      </c>
      <c r="C2407" s="20" t="s">
        <v>91</v>
      </c>
      <c r="D2407" s="21"/>
    </row>
    <row r="2408" spans="1:4" ht="12.75" customHeight="1" x14ac:dyDescent="0.2">
      <c r="A2408" s="21"/>
      <c r="B2408" s="3" t="s">
        <v>9</v>
      </c>
      <c r="C2408" s="20" t="s">
        <v>236</v>
      </c>
      <c r="D2408" s="21"/>
    </row>
    <row r="2409" spans="1:4" ht="12.75" customHeight="1" x14ac:dyDescent="0.2">
      <c r="A2409" s="21"/>
      <c r="B2409" s="3" t="s">
        <v>11</v>
      </c>
      <c r="C2409" s="20" t="s">
        <v>542</v>
      </c>
      <c r="D2409" s="21"/>
    </row>
    <row r="2410" spans="1:4" ht="12.75" customHeight="1" x14ac:dyDescent="0.2">
      <c r="A2410" s="21"/>
      <c r="B2410" s="3" t="s">
        <v>16</v>
      </c>
      <c r="C2410" s="20"/>
      <c r="D2410" s="21"/>
    </row>
    <row r="2411" spans="1:4" ht="12.75" customHeight="1" x14ac:dyDescent="0.2">
      <c r="A2411" s="21"/>
      <c r="B2411" s="3" t="s">
        <v>17</v>
      </c>
      <c r="C2411" s="20" t="s">
        <v>19</v>
      </c>
      <c r="D2411" s="21"/>
    </row>
    <row r="2412" spans="1:4" ht="12.75" customHeight="1" x14ac:dyDescent="0.2">
      <c r="A2412" s="21"/>
      <c r="B2412" s="20" t="s">
        <v>18</v>
      </c>
      <c r="C2412" s="4" t="s">
        <v>44</v>
      </c>
      <c r="D2412" s="6" t="str">
        <f>HYPERLINK("javascript:void(0)","portál testpajzs")</f>
        <v>portál testpajzs</v>
      </c>
    </row>
    <row r="2413" spans="1:4" ht="12.75" customHeight="1" x14ac:dyDescent="0.2">
      <c r="A2413" s="21"/>
      <c r="B2413" s="21"/>
      <c r="C2413" s="4" t="s">
        <v>67</v>
      </c>
      <c r="D2413" s="6" t="str">
        <f>HYPERLINK("javascript:void(0)","vari amulett")</f>
        <v>vari amulett</v>
      </c>
    </row>
    <row r="2414" spans="1:4" ht="12.75" customHeight="1" x14ac:dyDescent="0.2">
      <c r="A2414" s="21"/>
      <c r="B2414" s="21"/>
      <c r="C2414" s="4" t="s">
        <v>67</v>
      </c>
      <c r="D2414" s="6" t="str">
        <f>HYPERLINK("javascript:void(0)","göb")</f>
        <v>göb</v>
      </c>
    </row>
    <row r="2415" spans="1:4" ht="12.75" customHeight="1" x14ac:dyDescent="0.2">
      <c r="A2415" s="21"/>
      <c r="B2415" s="2"/>
      <c r="C2415" s="2"/>
      <c r="D2415" s="2"/>
    </row>
    <row r="2416" spans="1:4" ht="12.75" customHeight="1" x14ac:dyDescent="0.2">
      <c r="A2416" s="21"/>
      <c r="B2416" s="2"/>
      <c r="C2416" s="2"/>
      <c r="D2416" s="2"/>
    </row>
    <row r="2417" spans="1:4" ht="12.75" customHeight="1" x14ac:dyDescent="0.2">
      <c r="A2417" s="21"/>
      <c r="B2417" s="2"/>
      <c r="C2417" s="2"/>
      <c r="D2417" s="2"/>
    </row>
    <row r="2418" spans="1:4" ht="12.75" customHeight="1" x14ac:dyDescent="0.2">
      <c r="A2418" s="21"/>
      <c r="B2418" s="2"/>
      <c r="C2418" s="2"/>
      <c r="D2418" s="2"/>
    </row>
    <row r="2419" spans="1:4" ht="12.75" customHeight="1" x14ac:dyDescent="0.2">
      <c r="A2419" s="5"/>
      <c r="B2419" s="2"/>
      <c r="C2419" s="2"/>
      <c r="D2419" s="2"/>
    </row>
    <row r="2420" spans="1:4" ht="12.75" customHeight="1" x14ac:dyDescent="0.2">
      <c r="A2420" s="22" t="str">
        <f>HYPERLINK("javascript:void(0)","parszi pillepajzs")</f>
        <v>parszi pillepajzs</v>
      </c>
      <c r="B2420" s="21"/>
      <c r="C2420" s="21"/>
      <c r="D2420" s="21"/>
    </row>
    <row r="2421" spans="1:4" ht="12.75" customHeight="1" x14ac:dyDescent="0.2">
      <c r="A2421" s="20"/>
      <c r="B2421" s="2"/>
      <c r="C2421" s="2"/>
      <c r="D2421" s="2"/>
    </row>
    <row r="2422" spans="1:4" ht="12.75" customHeight="1" x14ac:dyDescent="0.2">
      <c r="A2422" s="21"/>
      <c r="B2422" s="3" t="s">
        <v>0</v>
      </c>
      <c r="C2422" s="20" t="s">
        <v>127</v>
      </c>
      <c r="D2422" s="21"/>
    </row>
    <row r="2423" spans="1:4" ht="12.75" customHeight="1" x14ac:dyDescent="0.2">
      <c r="A2423" s="21"/>
      <c r="B2423" s="3" t="s">
        <v>2</v>
      </c>
      <c r="C2423" s="20" t="s">
        <v>1839</v>
      </c>
      <c r="D2423" s="21"/>
    </row>
    <row r="2424" spans="1:4" ht="12.75" customHeight="1" x14ac:dyDescent="0.2">
      <c r="A2424" s="21"/>
      <c r="B2424" s="3" t="s">
        <v>1840</v>
      </c>
      <c r="C2424" s="20" t="s">
        <v>91</v>
      </c>
      <c r="D2424" s="21"/>
    </row>
    <row r="2425" spans="1:4" ht="12.75" customHeight="1" x14ac:dyDescent="0.2">
      <c r="A2425" s="21"/>
      <c r="B2425" s="3" t="s">
        <v>9</v>
      </c>
      <c r="C2425" s="20" t="s">
        <v>778</v>
      </c>
      <c r="D2425" s="21"/>
    </row>
    <row r="2426" spans="1:4" ht="12.75" customHeight="1" x14ac:dyDescent="0.2">
      <c r="A2426" s="21"/>
      <c r="B2426" s="3" t="s">
        <v>11</v>
      </c>
      <c r="C2426" s="20" t="s">
        <v>566</v>
      </c>
      <c r="D2426" s="21"/>
    </row>
    <row r="2427" spans="1:4" ht="12.75" customHeight="1" x14ac:dyDescent="0.2">
      <c r="A2427" s="21"/>
      <c r="B2427" s="3" t="s">
        <v>16</v>
      </c>
      <c r="C2427" s="20"/>
      <c r="D2427" s="21"/>
    </row>
    <row r="2428" spans="1:4" ht="12.75" customHeight="1" x14ac:dyDescent="0.2">
      <c r="A2428" s="21"/>
      <c r="B2428" s="3" t="s">
        <v>17</v>
      </c>
      <c r="C2428" s="20" t="s">
        <v>19</v>
      </c>
      <c r="D2428" s="21"/>
    </row>
    <row r="2429" spans="1:4" ht="12.75" customHeight="1" x14ac:dyDescent="0.2">
      <c r="A2429" s="21"/>
      <c r="B2429" s="20" t="s">
        <v>18</v>
      </c>
      <c r="C2429" s="4" t="s">
        <v>44</v>
      </c>
      <c r="D2429" s="6" t="str">
        <f>HYPERLINK("javascript:void(0)","göcsört testpajzs")</f>
        <v>göcsört testpajzs</v>
      </c>
    </row>
    <row r="2430" spans="1:4" ht="12.75" customHeight="1" x14ac:dyDescent="0.2">
      <c r="A2430" s="21"/>
      <c r="B2430" s="21"/>
      <c r="C2430" s="4" t="s">
        <v>98</v>
      </c>
      <c r="D2430" s="6" t="str">
        <f>HYPERLINK("javascript:void(0)","hemoglobin")</f>
        <v>hemoglobin</v>
      </c>
    </row>
    <row r="2431" spans="1:4" ht="12.75" customHeight="1" x14ac:dyDescent="0.2">
      <c r="A2431" s="21"/>
      <c r="B2431" s="21"/>
      <c r="C2431" s="4" t="s">
        <v>117</v>
      </c>
      <c r="D2431" s="6" t="str">
        <f>HYPERLINK("javascript:void(0)","malacorr")</f>
        <v>malacorr</v>
      </c>
    </row>
    <row r="2432" spans="1:4" ht="12.75" customHeight="1" x14ac:dyDescent="0.2">
      <c r="A2432" s="21"/>
      <c r="B2432" s="2"/>
      <c r="C2432" s="2"/>
      <c r="D2432" s="2"/>
    </row>
    <row r="2433" spans="1:4" ht="12.75" customHeight="1" x14ac:dyDescent="0.2">
      <c r="A2433" s="21"/>
      <c r="B2433" s="2"/>
      <c r="C2433" s="2"/>
      <c r="D2433" s="2"/>
    </row>
    <row r="2434" spans="1:4" ht="12.75" customHeight="1" x14ac:dyDescent="0.2">
      <c r="A2434" s="21"/>
      <c r="B2434" s="2"/>
      <c r="C2434" s="2"/>
      <c r="D2434" s="2"/>
    </row>
    <row r="2435" spans="1:4" ht="12.75" customHeight="1" x14ac:dyDescent="0.2">
      <c r="A2435" s="21"/>
      <c r="B2435" s="2"/>
      <c r="C2435" s="2"/>
      <c r="D2435" s="2"/>
    </row>
    <row r="2436" spans="1:4" ht="12.75" customHeight="1" x14ac:dyDescent="0.2">
      <c r="A2436" s="5"/>
      <c r="B2436" s="2"/>
      <c r="C2436" s="2"/>
      <c r="D2436" s="2"/>
    </row>
    <row r="2437" spans="1:4" ht="12.75" customHeight="1" x14ac:dyDescent="0.2">
      <c r="A2437" s="22" t="str">
        <f>HYPERLINK("javascript:void(0)","nagy csillámpajzs")</f>
        <v>nagy csillámpajzs</v>
      </c>
      <c r="B2437" s="21"/>
      <c r="C2437" s="21"/>
      <c r="D2437" s="21"/>
    </row>
    <row r="2438" spans="1:4" ht="12.75" customHeight="1" x14ac:dyDescent="0.2">
      <c r="A2438" s="20"/>
      <c r="B2438" s="2"/>
      <c r="C2438" s="2"/>
      <c r="D2438" s="2"/>
    </row>
    <row r="2439" spans="1:4" ht="12.75" customHeight="1" x14ac:dyDescent="0.2">
      <c r="A2439" s="21"/>
      <c r="B2439" s="3" t="s">
        <v>0</v>
      </c>
      <c r="C2439" s="20" t="s">
        <v>127</v>
      </c>
      <c r="D2439" s="21"/>
    </row>
    <row r="2440" spans="1:4" ht="12.75" customHeight="1" x14ac:dyDescent="0.2">
      <c r="A2440" s="21"/>
      <c r="B2440" s="3" t="s">
        <v>2</v>
      </c>
      <c r="C2440" s="20" t="s">
        <v>1839</v>
      </c>
      <c r="D2440" s="21"/>
    </row>
    <row r="2441" spans="1:4" ht="12.75" customHeight="1" x14ac:dyDescent="0.2">
      <c r="A2441" s="21"/>
      <c r="B2441" s="3" t="s">
        <v>1840</v>
      </c>
      <c r="C2441" s="20" t="s">
        <v>312</v>
      </c>
      <c r="D2441" s="21"/>
    </row>
    <row r="2442" spans="1:4" ht="12.75" customHeight="1" x14ac:dyDescent="0.2">
      <c r="A2442" s="21"/>
      <c r="B2442" s="3" t="s">
        <v>9</v>
      </c>
      <c r="C2442" s="20" t="s">
        <v>2080</v>
      </c>
      <c r="D2442" s="21"/>
    </row>
    <row r="2443" spans="1:4" ht="12.75" customHeight="1" x14ac:dyDescent="0.2">
      <c r="A2443" s="21"/>
      <c r="B2443" s="3" t="s">
        <v>11</v>
      </c>
      <c r="C2443" s="20" t="s">
        <v>542</v>
      </c>
      <c r="D2443" s="21"/>
    </row>
    <row r="2444" spans="1:4" ht="12.75" customHeight="1" x14ac:dyDescent="0.2">
      <c r="A2444" s="21"/>
      <c r="B2444" s="3" t="s">
        <v>16</v>
      </c>
      <c r="C2444" s="20"/>
      <c r="D2444" s="21"/>
    </row>
    <row r="2445" spans="1:4" ht="12.75" customHeight="1" x14ac:dyDescent="0.2">
      <c r="A2445" s="21"/>
      <c r="B2445" s="3" t="s">
        <v>17</v>
      </c>
      <c r="C2445" s="20" t="s">
        <v>19</v>
      </c>
      <c r="D2445" s="21"/>
    </row>
    <row r="2446" spans="1:4" ht="12.75" customHeight="1" x14ac:dyDescent="0.2">
      <c r="A2446" s="21"/>
      <c r="B2446" s="20" t="s">
        <v>18</v>
      </c>
      <c r="C2446" s="4" t="s">
        <v>57</v>
      </c>
      <c r="D2446" s="6" t="str">
        <f>HYPERLINK("javascript:void(0)","csillámgöb")</f>
        <v>csillámgöb</v>
      </c>
    </row>
    <row r="2447" spans="1:4" ht="25.5" customHeight="1" x14ac:dyDescent="0.2">
      <c r="A2447" s="21"/>
      <c r="B2447" s="21"/>
      <c r="C2447" s="4" t="s">
        <v>44</v>
      </c>
      <c r="D2447" s="6" t="str">
        <f>HYPERLINK("javascript:void(0)","középnagy csillámpajzs")</f>
        <v>középnagy csillámpajzs</v>
      </c>
    </row>
    <row r="2448" spans="1:4" ht="12.75" customHeight="1" x14ac:dyDescent="0.2">
      <c r="A2448" s="21"/>
      <c r="B2448" s="21"/>
      <c r="C2448" s="4" t="s">
        <v>44</v>
      </c>
      <c r="D2448" s="6" t="str">
        <f>HYPERLINK("javascript:void(0)","smaragd testpajzs")</f>
        <v>smaragd testpajzs</v>
      </c>
    </row>
    <row r="2449" spans="1:4" ht="12.75" customHeight="1" x14ac:dyDescent="0.2">
      <c r="A2449" s="21"/>
      <c r="B2449" s="2"/>
      <c r="C2449" s="2"/>
      <c r="D2449" s="2"/>
    </row>
    <row r="2450" spans="1:4" ht="12.75" customHeight="1" x14ac:dyDescent="0.2">
      <c r="A2450" s="21"/>
      <c r="B2450" s="2"/>
      <c r="C2450" s="2"/>
      <c r="D2450" s="2"/>
    </row>
    <row r="2451" spans="1:4" ht="12.75" customHeight="1" x14ac:dyDescent="0.2">
      <c r="A2451" s="21"/>
      <c r="B2451" s="2"/>
      <c r="C2451" s="2"/>
      <c r="D2451" s="2"/>
    </row>
    <row r="2452" spans="1:4" ht="12.75" customHeight="1" x14ac:dyDescent="0.2">
      <c r="A2452" s="21"/>
      <c r="B2452" s="2"/>
      <c r="C2452" s="2"/>
      <c r="D2452" s="2"/>
    </row>
    <row r="2453" spans="1:4" ht="12.75" customHeight="1" x14ac:dyDescent="0.2">
      <c r="A2453" s="5"/>
      <c r="B2453" s="2"/>
      <c r="C2453" s="2"/>
      <c r="D2453" s="2"/>
    </row>
    <row r="2454" spans="1:4" ht="12.75" customHeight="1" x14ac:dyDescent="0.2">
      <c r="A2454" s="22" t="str">
        <f>HYPERLINK("javascript:void(0)","öblend pajzs")</f>
        <v>öblend pajzs</v>
      </c>
      <c r="B2454" s="21"/>
      <c r="C2454" s="21"/>
      <c r="D2454" s="21"/>
    </row>
    <row r="2455" spans="1:4" ht="12.75" customHeight="1" x14ac:dyDescent="0.2">
      <c r="A2455" s="20"/>
      <c r="B2455" s="2"/>
      <c r="C2455" s="2"/>
      <c r="D2455" s="2"/>
    </row>
    <row r="2456" spans="1:4" ht="12.75" customHeight="1" x14ac:dyDescent="0.2">
      <c r="A2456" s="21"/>
      <c r="B2456" s="3" t="s">
        <v>0</v>
      </c>
      <c r="C2456" s="20" t="s">
        <v>204</v>
      </c>
      <c r="D2456" s="21"/>
    </row>
    <row r="2457" spans="1:4" ht="12.75" customHeight="1" x14ac:dyDescent="0.2">
      <c r="A2457" s="21"/>
      <c r="B2457" s="3" t="s">
        <v>2</v>
      </c>
      <c r="C2457" s="20" t="s">
        <v>1839</v>
      </c>
      <c r="D2457" s="21"/>
    </row>
    <row r="2458" spans="1:4" ht="12.75" customHeight="1" x14ac:dyDescent="0.2">
      <c r="A2458" s="21"/>
      <c r="B2458" s="3" t="s">
        <v>1840</v>
      </c>
      <c r="C2458" s="20" t="s">
        <v>341</v>
      </c>
      <c r="D2458" s="21"/>
    </row>
    <row r="2459" spans="1:4" ht="12.75" customHeight="1" x14ac:dyDescent="0.2">
      <c r="A2459" s="21"/>
      <c r="B2459" s="3" t="s">
        <v>9</v>
      </c>
      <c r="C2459" s="20" t="s">
        <v>249</v>
      </c>
      <c r="D2459" s="21"/>
    </row>
    <row r="2460" spans="1:4" ht="12.75" customHeight="1" x14ac:dyDescent="0.2">
      <c r="A2460" s="21"/>
      <c r="B2460" s="3" t="s">
        <v>11</v>
      </c>
      <c r="C2460" s="20" t="s">
        <v>552</v>
      </c>
      <c r="D2460" s="21"/>
    </row>
    <row r="2461" spans="1:4" ht="12.75" customHeight="1" x14ac:dyDescent="0.2">
      <c r="A2461" s="21"/>
      <c r="B2461" s="3" t="s">
        <v>16</v>
      </c>
      <c r="C2461" s="20"/>
      <c r="D2461" s="21"/>
    </row>
    <row r="2462" spans="1:4" ht="12.75" customHeight="1" x14ac:dyDescent="0.2">
      <c r="A2462" s="21"/>
      <c r="B2462" s="3" t="s">
        <v>17</v>
      </c>
      <c r="C2462" s="20" t="s">
        <v>19</v>
      </c>
      <c r="D2462" s="21"/>
    </row>
    <row r="2463" spans="1:4" ht="12.75" customHeight="1" x14ac:dyDescent="0.2">
      <c r="A2463" s="21"/>
      <c r="B2463" s="20" t="s">
        <v>18</v>
      </c>
      <c r="C2463" s="4" t="s">
        <v>44</v>
      </c>
      <c r="D2463" s="6" t="str">
        <f>HYPERLINK("javascript:void(0)","göcsört pajzs")</f>
        <v>göcsört pajzs</v>
      </c>
    </row>
    <row r="2464" spans="1:4" ht="12.75" customHeight="1" x14ac:dyDescent="0.2">
      <c r="A2464" s="21"/>
      <c r="B2464" s="21"/>
      <c r="C2464" s="4" t="s">
        <v>77</v>
      </c>
      <c r="D2464" s="6" t="str">
        <f>HYPERLINK("javascript:void(0)","öbleny")</f>
        <v>öbleny</v>
      </c>
    </row>
    <row r="2465" spans="1:4" ht="12.75" customHeight="1" x14ac:dyDescent="0.2">
      <c r="A2465" s="21"/>
      <c r="B2465" s="21"/>
      <c r="C2465" s="4" t="s">
        <v>163</v>
      </c>
      <c r="D2465" s="6" t="str">
        <f>HYPERLINK("javascript:void(0)","yetiláb")</f>
        <v>yetiláb</v>
      </c>
    </row>
    <row r="2466" spans="1:4" ht="12.75" customHeight="1" x14ac:dyDescent="0.2">
      <c r="A2466" s="21"/>
      <c r="B2466" s="2"/>
      <c r="C2466" s="2"/>
      <c r="D2466" s="2"/>
    </row>
    <row r="2467" spans="1:4" ht="12.75" customHeight="1" x14ac:dyDescent="0.2">
      <c r="A2467" s="21"/>
      <c r="B2467" s="2"/>
      <c r="C2467" s="2"/>
      <c r="D2467" s="2"/>
    </row>
    <row r="2468" spans="1:4" ht="12.75" customHeight="1" x14ac:dyDescent="0.2">
      <c r="A2468" s="21"/>
      <c r="B2468" s="2"/>
      <c r="C2468" s="2"/>
      <c r="D2468" s="2"/>
    </row>
    <row r="2469" spans="1:4" ht="12.75" customHeight="1" x14ac:dyDescent="0.2">
      <c r="A2469" s="21"/>
      <c r="B2469" s="2"/>
      <c r="C2469" s="2"/>
      <c r="D2469" s="2"/>
    </row>
    <row r="2470" spans="1:4" ht="12.75" customHeight="1" x14ac:dyDescent="0.2">
      <c r="A2470" s="5"/>
      <c r="B2470" s="2"/>
      <c r="C2470" s="2"/>
      <c r="D2470" s="2"/>
    </row>
    <row r="2471" spans="1:4" ht="12.75" customHeight="1" x14ac:dyDescent="0.2">
      <c r="A2471" s="22" t="str">
        <f>HYPERLINK("javascript:void(0)","rimföldi pillepajzs")</f>
        <v>rimföldi pillepajzs</v>
      </c>
      <c r="B2471" s="21"/>
      <c r="C2471" s="21"/>
      <c r="D2471" s="21"/>
    </row>
    <row r="2472" spans="1:4" ht="12.75" customHeight="1" x14ac:dyDescent="0.2">
      <c r="A2472" s="20"/>
      <c r="B2472" s="2"/>
      <c r="C2472" s="2"/>
      <c r="D2472" s="2"/>
    </row>
    <row r="2473" spans="1:4" ht="12.75" customHeight="1" x14ac:dyDescent="0.2">
      <c r="A2473" s="21"/>
      <c r="B2473" s="3" t="s">
        <v>0</v>
      </c>
      <c r="C2473" s="20" t="s">
        <v>204</v>
      </c>
      <c r="D2473" s="21"/>
    </row>
    <row r="2474" spans="1:4" ht="12.75" customHeight="1" x14ac:dyDescent="0.2">
      <c r="A2474" s="21"/>
      <c r="B2474" s="3" t="s">
        <v>2</v>
      </c>
      <c r="C2474" s="20" t="s">
        <v>1839</v>
      </c>
      <c r="D2474" s="21"/>
    </row>
    <row r="2475" spans="1:4" ht="12.75" customHeight="1" x14ac:dyDescent="0.2">
      <c r="A2475" s="21"/>
      <c r="B2475" s="3" t="s">
        <v>1840</v>
      </c>
      <c r="C2475" s="20" t="s">
        <v>341</v>
      </c>
      <c r="D2475" s="21"/>
    </row>
    <row r="2476" spans="1:4" ht="12.75" customHeight="1" x14ac:dyDescent="0.2">
      <c r="A2476" s="21"/>
      <c r="B2476" s="3" t="s">
        <v>9</v>
      </c>
      <c r="C2476" s="20" t="s">
        <v>137</v>
      </c>
      <c r="D2476" s="21"/>
    </row>
    <row r="2477" spans="1:4" ht="12.75" customHeight="1" x14ac:dyDescent="0.2">
      <c r="A2477" s="21"/>
      <c r="B2477" s="3" t="s">
        <v>11</v>
      </c>
      <c r="C2477" s="20" t="s">
        <v>587</v>
      </c>
      <c r="D2477" s="21"/>
    </row>
    <row r="2478" spans="1:4" ht="12.75" customHeight="1" x14ac:dyDescent="0.2">
      <c r="A2478" s="21"/>
      <c r="B2478" s="3" t="s">
        <v>16</v>
      </c>
      <c r="C2478" s="20"/>
      <c r="D2478" s="21"/>
    </row>
    <row r="2479" spans="1:4" ht="12.75" customHeight="1" x14ac:dyDescent="0.2">
      <c r="A2479" s="21"/>
      <c r="B2479" s="3" t="s">
        <v>17</v>
      </c>
      <c r="C2479" s="20" t="s">
        <v>19</v>
      </c>
      <c r="D2479" s="21"/>
    </row>
    <row r="2480" spans="1:4" ht="12.75" customHeight="1" x14ac:dyDescent="0.2">
      <c r="A2480" s="21"/>
      <c r="B2480" s="20" t="s">
        <v>18</v>
      </c>
      <c r="C2480" s="4" t="s">
        <v>44</v>
      </c>
      <c r="D2480" s="6" t="str">
        <f>HYPERLINK("javascript:void(0)","öblend pajzs")</f>
        <v>öblend pajzs</v>
      </c>
    </row>
    <row r="2481" spans="1:4" ht="12.75" customHeight="1" x14ac:dyDescent="0.2">
      <c r="A2481" s="21"/>
      <c r="B2481" s="21"/>
      <c r="C2481" s="4" t="s">
        <v>756</v>
      </c>
      <c r="D2481" s="6" t="str">
        <f>HYPERLINK("javascript:void(0)","sudár")</f>
        <v>sudár</v>
      </c>
    </row>
    <row r="2482" spans="1:4" ht="12.75" customHeight="1" x14ac:dyDescent="0.2">
      <c r="A2482" s="21"/>
      <c r="B2482" s="21"/>
      <c r="C2482" s="4" t="s">
        <v>67</v>
      </c>
      <c r="D2482" s="6" t="str">
        <f>HYPERLINK("javascript:void(0)","hordócsap")</f>
        <v>hordócsap</v>
      </c>
    </row>
    <row r="2483" spans="1:4" ht="12.75" customHeight="1" x14ac:dyDescent="0.2">
      <c r="A2483" s="21"/>
      <c r="B2483" s="2"/>
      <c r="C2483" s="2"/>
      <c r="D2483" s="2"/>
    </row>
    <row r="2484" spans="1:4" ht="12.75" customHeight="1" x14ac:dyDescent="0.2">
      <c r="A2484" s="21"/>
      <c r="B2484" s="2"/>
      <c r="C2484" s="2"/>
      <c r="D2484" s="2"/>
    </row>
    <row r="2485" spans="1:4" ht="12.75" customHeight="1" x14ac:dyDescent="0.2">
      <c r="A2485" s="21"/>
      <c r="B2485" s="2"/>
      <c r="C2485" s="2"/>
      <c r="D2485" s="2"/>
    </row>
    <row r="2486" spans="1:4" ht="12.75" customHeight="1" x14ac:dyDescent="0.2">
      <c r="A2486" s="21"/>
      <c r="B2486" s="2"/>
      <c r="C2486" s="2"/>
      <c r="D2486" s="2"/>
    </row>
    <row r="2487" spans="1:4" ht="12.75" customHeight="1" x14ac:dyDescent="0.2">
      <c r="A2487" s="5"/>
      <c r="B2487" s="2"/>
      <c r="C2487" s="2"/>
      <c r="D2487" s="2"/>
    </row>
    <row r="2488" spans="1:4" ht="12.75" customHeight="1" x14ac:dyDescent="0.2">
      <c r="A2488" s="22" t="str">
        <f>HYPERLINK("javascript:void(0)","öblend testpajzs")</f>
        <v>öblend testpajzs</v>
      </c>
      <c r="B2488" s="21"/>
      <c r="C2488" s="21"/>
      <c r="D2488" s="21"/>
    </row>
    <row r="2489" spans="1:4" ht="12.75" customHeight="1" x14ac:dyDescent="0.2">
      <c r="A2489" s="20"/>
      <c r="B2489" s="2"/>
      <c r="C2489" s="2"/>
      <c r="D2489" s="2"/>
    </row>
    <row r="2490" spans="1:4" ht="12.75" customHeight="1" x14ac:dyDescent="0.2">
      <c r="A2490" s="21"/>
      <c r="B2490" s="3" t="s">
        <v>0</v>
      </c>
      <c r="C2490" s="20" t="s">
        <v>468</v>
      </c>
      <c r="D2490" s="21"/>
    </row>
    <row r="2491" spans="1:4" ht="12.75" customHeight="1" x14ac:dyDescent="0.2">
      <c r="A2491" s="21"/>
      <c r="B2491" s="3" t="s">
        <v>2</v>
      </c>
      <c r="C2491" s="20" t="s">
        <v>1839</v>
      </c>
      <c r="D2491" s="21"/>
    </row>
    <row r="2492" spans="1:4" ht="12.75" customHeight="1" x14ac:dyDescent="0.2">
      <c r="A2492" s="21"/>
      <c r="B2492" s="3" t="s">
        <v>1840</v>
      </c>
      <c r="C2492" s="20" t="s">
        <v>336</v>
      </c>
      <c r="D2492" s="21"/>
    </row>
    <row r="2493" spans="1:4" ht="12.75" customHeight="1" x14ac:dyDescent="0.2">
      <c r="A2493" s="21"/>
      <c r="B2493" s="3" t="s">
        <v>9</v>
      </c>
      <c r="C2493" s="20" t="s">
        <v>262</v>
      </c>
      <c r="D2493" s="21"/>
    </row>
    <row r="2494" spans="1:4" ht="12.75" customHeight="1" x14ac:dyDescent="0.2">
      <c r="A2494" s="21"/>
      <c r="B2494" s="3" t="s">
        <v>11</v>
      </c>
      <c r="C2494" s="20" t="s">
        <v>566</v>
      </c>
      <c r="D2494" s="21"/>
    </row>
    <row r="2495" spans="1:4" ht="12.75" customHeight="1" x14ac:dyDescent="0.2">
      <c r="A2495" s="21"/>
      <c r="B2495" s="3" t="s">
        <v>16</v>
      </c>
      <c r="C2495" s="20"/>
      <c r="D2495" s="21"/>
    </row>
    <row r="2496" spans="1:4" ht="12.75" customHeight="1" x14ac:dyDescent="0.2">
      <c r="A2496" s="21"/>
      <c r="B2496" s="3" t="s">
        <v>17</v>
      </c>
      <c r="C2496" s="20" t="s">
        <v>19</v>
      </c>
      <c r="D2496" s="21"/>
    </row>
    <row r="2497" spans="1:4" ht="12.75" customHeight="1" x14ac:dyDescent="0.2">
      <c r="A2497" s="21"/>
      <c r="B2497" s="20" t="s">
        <v>18</v>
      </c>
      <c r="C2497" s="4" t="s">
        <v>44</v>
      </c>
      <c r="D2497" s="6" t="str">
        <f>HYPERLINK("javascript:void(0)","göcsört testpajzs")</f>
        <v>göcsört testpajzs</v>
      </c>
    </row>
    <row r="2498" spans="1:4" ht="12.75" customHeight="1" x14ac:dyDescent="0.2">
      <c r="A2498" s="21"/>
      <c r="B2498" s="21"/>
      <c r="C2498" s="4" t="s">
        <v>67</v>
      </c>
      <c r="D2498" s="6" t="str">
        <f>HYPERLINK("javascript:void(0)","öbleny")</f>
        <v>öbleny</v>
      </c>
    </row>
    <row r="2499" spans="1:4" ht="12.75" customHeight="1" x14ac:dyDescent="0.2">
      <c r="A2499" s="21"/>
      <c r="B2499" s="21"/>
      <c r="C2499" s="4" t="s">
        <v>98</v>
      </c>
      <c r="D2499" s="6" t="str">
        <f>HYPERLINK("javascript:void(0)","hemoglobin")</f>
        <v>hemoglobin</v>
      </c>
    </row>
    <row r="2500" spans="1:4" ht="12.75" customHeight="1" x14ac:dyDescent="0.2">
      <c r="A2500" s="21"/>
      <c r="B2500" s="2"/>
      <c r="C2500" s="2"/>
      <c r="D2500" s="2"/>
    </row>
    <row r="2501" spans="1:4" ht="12.75" customHeight="1" x14ac:dyDescent="0.2">
      <c r="A2501" s="21"/>
      <c r="B2501" s="2"/>
      <c r="C2501" s="2"/>
      <c r="D2501" s="2"/>
    </row>
    <row r="2502" spans="1:4" ht="12.75" customHeight="1" x14ac:dyDescent="0.2">
      <c r="A2502" s="21"/>
      <c r="B2502" s="2"/>
      <c r="C2502" s="2"/>
      <c r="D2502" s="2"/>
    </row>
    <row r="2503" spans="1:4" ht="12.75" customHeight="1" x14ac:dyDescent="0.2">
      <c r="A2503" s="21"/>
      <c r="B2503" s="2"/>
      <c r="C2503" s="2"/>
      <c r="D2503" s="2"/>
    </row>
    <row r="2504" spans="1:4" ht="12.75" customHeight="1" x14ac:dyDescent="0.2">
      <c r="A2504" s="5"/>
      <c r="B2504" s="2"/>
      <c r="C2504" s="2"/>
      <c r="D2504" s="2"/>
    </row>
    <row r="2505" spans="1:4" ht="12.75" customHeight="1" x14ac:dyDescent="0.2">
      <c r="A2505" s="22" t="str">
        <f>HYPERLINK("javascript:void(0)","artini pillepajzs")</f>
        <v>artini pillepajzs</v>
      </c>
      <c r="B2505" s="21"/>
      <c r="C2505" s="21"/>
      <c r="D2505" s="21"/>
    </row>
    <row r="2506" spans="1:4" ht="12.75" customHeight="1" x14ac:dyDescent="0.2">
      <c r="A2506" s="20"/>
      <c r="B2506" s="2"/>
      <c r="C2506" s="2"/>
      <c r="D2506" s="2"/>
    </row>
    <row r="2507" spans="1:4" ht="12.75" customHeight="1" x14ac:dyDescent="0.2">
      <c r="A2507" s="21"/>
      <c r="B2507" s="3" t="s">
        <v>0</v>
      </c>
      <c r="C2507" s="20" t="s">
        <v>468</v>
      </c>
      <c r="D2507" s="21"/>
    </row>
    <row r="2508" spans="1:4" ht="12.75" customHeight="1" x14ac:dyDescent="0.2">
      <c r="A2508" s="21"/>
      <c r="B2508" s="3" t="s">
        <v>2</v>
      </c>
      <c r="C2508" s="20" t="s">
        <v>1839</v>
      </c>
      <c r="D2508" s="21"/>
    </row>
    <row r="2509" spans="1:4" ht="12.75" customHeight="1" x14ac:dyDescent="0.2">
      <c r="A2509" s="21"/>
      <c r="B2509" s="3" t="s">
        <v>1840</v>
      </c>
      <c r="C2509" s="20" t="s">
        <v>336</v>
      </c>
      <c r="D2509" s="21"/>
    </row>
    <row r="2510" spans="1:4" ht="12.75" customHeight="1" x14ac:dyDescent="0.2">
      <c r="A2510" s="21"/>
      <c r="B2510" s="3" t="s">
        <v>9</v>
      </c>
      <c r="C2510" s="20" t="s">
        <v>2089</v>
      </c>
      <c r="D2510" s="21"/>
    </row>
    <row r="2511" spans="1:4" ht="12.75" customHeight="1" x14ac:dyDescent="0.2">
      <c r="A2511" s="21"/>
      <c r="B2511" s="3" t="s">
        <v>11</v>
      </c>
      <c r="C2511" s="20" t="s">
        <v>603</v>
      </c>
      <c r="D2511" s="21"/>
    </row>
    <row r="2512" spans="1:4" ht="12.75" customHeight="1" x14ac:dyDescent="0.2">
      <c r="A2512" s="21"/>
      <c r="B2512" s="3" t="s">
        <v>16</v>
      </c>
      <c r="C2512" s="20"/>
      <c r="D2512" s="21"/>
    </row>
    <row r="2513" spans="1:4" ht="12.75" customHeight="1" x14ac:dyDescent="0.2">
      <c r="A2513" s="21"/>
      <c r="B2513" s="3" t="s">
        <v>17</v>
      </c>
      <c r="C2513" s="20" t="s">
        <v>19</v>
      </c>
      <c r="D2513" s="21"/>
    </row>
    <row r="2514" spans="1:4" ht="12.75" customHeight="1" x14ac:dyDescent="0.2">
      <c r="A2514" s="21"/>
      <c r="B2514" s="20" t="s">
        <v>18</v>
      </c>
      <c r="C2514" s="4" t="s">
        <v>44</v>
      </c>
      <c r="D2514" s="6" t="str">
        <f>HYPERLINK("javascript:void(0)","öblend testpajzs")</f>
        <v>öblend testpajzs</v>
      </c>
    </row>
    <row r="2515" spans="1:4" ht="12.75" customHeight="1" x14ac:dyDescent="0.2">
      <c r="A2515" s="21"/>
      <c r="B2515" s="21"/>
      <c r="C2515" s="4" t="s">
        <v>950</v>
      </c>
      <c r="D2515" s="6" t="str">
        <f>HYPERLINK("javascript:void(0)","szemgödör")</f>
        <v>szemgödör</v>
      </c>
    </row>
    <row r="2516" spans="1:4" ht="12.75" customHeight="1" x14ac:dyDescent="0.2">
      <c r="A2516" s="21"/>
      <c r="B2516" s="21"/>
      <c r="C2516" s="4" t="s">
        <v>632</v>
      </c>
      <c r="D2516" s="6" t="str">
        <f>HYPERLINK("javascript:void(0)","démonzanza")</f>
        <v>démonzanza</v>
      </c>
    </row>
    <row r="2517" spans="1:4" ht="12.75" customHeight="1" x14ac:dyDescent="0.2">
      <c r="A2517" s="21"/>
      <c r="B2517" s="2"/>
      <c r="C2517" s="2"/>
      <c r="D2517" s="2"/>
    </row>
    <row r="2518" spans="1:4" ht="12.75" customHeight="1" x14ac:dyDescent="0.2">
      <c r="A2518" s="21"/>
      <c r="B2518" s="2"/>
      <c r="C2518" s="2"/>
      <c r="D2518" s="2"/>
    </row>
    <row r="2519" spans="1:4" ht="12.75" customHeight="1" x14ac:dyDescent="0.2">
      <c r="A2519" s="21"/>
      <c r="B2519" s="2"/>
      <c r="C2519" s="2"/>
      <c r="D2519" s="2"/>
    </row>
    <row r="2520" spans="1:4" ht="12.75" customHeight="1" x14ac:dyDescent="0.2">
      <c r="A2520" s="21"/>
      <c r="B2520" s="2"/>
      <c r="C2520" s="2"/>
      <c r="D2520" s="2"/>
    </row>
    <row r="2521" spans="1:4" ht="12.75" customHeight="1" x14ac:dyDescent="0.2">
      <c r="A2521" s="5"/>
      <c r="B2521" s="2"/>
      <c r="C2521" s="2"/>
      <c r="D2521" s="2"/>
    </row>
    <row r="2522" spans="1:4" ht="12.75" customHeight="1" x14ac:dyDescent="0.2">
      <c r="A2522" s="22" t="str">
        <f>HYPERLINK("javascript:void(0)","csontpajzs")</f>
        <v>csontpajzs</v>
      </c>
      <c r="B2522" s="21"/>
      <c r="C2522" s="21"/>
      <c r="D2522" s="21"/>
    </row>
    <row r="2523" spans="1:4" ht="12.75" customHeight="1" x14ac:dyDescent="0.2">
      <c r="A2523" s="20"/>
      <c r="B2523" s="2"/>
      <c r="C2523" s="2"/>
      <c r="D2523" s="2"/>
    </row>
    <row r="2524" spans="1:4" ht="12.75" customHeight="1" x14ac:dyDescent="0.2">
      <c r="A2524" s="21"/>
      <c r="B2524" s="3" t="s">
        <v>0</v>
      </c>
      <c r="C2524" s="20" t="s">
        <v>213</v>
      </c>
      <c r="D2524" s="21"/>
    </row>
    <row r="2525" spans="1:4" ht="12.75" customHeight="1" x14ac:dyDescent="0.2">
      <c r="A2525" s="21"/>
      <c r="B2525" s="3" t="s">
        <v>2</v>
      </c>
      <c r="C2525" s="20" t="s">
        <v>1839</v>
      </c>
      <c r="D2525" s="21"/>
    </row>
    <row r="2526" spans="1:4" ht="12.75" customHeight="1" x14ac:dyDescent="0.2">
      <c r="A2526" s="21"/>
      <c r="B2526" s="3" t="s">
        <v>1840</v>
      </c>
      <c r="C2526" s="20" t="s">
        <v>305</v>
      </c>
      <c r="D2526" s="21"/>
    </row>
    <row r="2527" spans="1:4" ht="12.75" customHeight="1" x14ac:dyDescent="0.2">
      <c r="A2527" s="21"/>
      <c r="B2527" s="3" t="s">
        <v>9</v>
      </c>
      <c r="C2527" s="20" t="s">
        <v>377</v>
      </c>
      <c r="D2527" s="21"/>
    </row>
    <row r="2528" spans="1:4" ht="12.75" customHeight="1" x14ac:dyDescent="0.2">
      <c r="A2528" s="21"/>
      <c r="B2528" s="3" t="s">
        <v>11</v>
      </c>
      <c r="C2528" s="20" t="s">
        <v>587</v>
      </c>
      <c r="D2528" s="21"/>
    </row>
    <row r="2529" spans="1:4" ht="12.75" customHeight="1" x14ac:dyDescent="0.2">
      <c r="A2529" s="21"/>
      <c r="B2529" s="3" t="s">
        <v>16</v>
      </c>
      <c r="C2529" s="20"/>
      <c r="D2529" s="21"/>
    </row>
    <row r="2530" spans="1:4" ht="12.75" customHeight="1" x14ac:dyDescent="0.2">
      <c r="A2530" s="21"/>
      <c r="B2530" s="3" t="s">
        <v>17</v>
      </c>
      <c r="C2530" s="20" t="s">
        <v>19</v>
      </c>
      <c r="D2530" s="21"/>
    </row>
    <row r="2531" spans="1:4" ht="12.75" customHeight="1" x14ac:dyDescent="0.2">
      <c r="A2531" s="21"/>
      <c r="B2531" s="20" t="s">
        <v>18</v>
      </c>
      <c r="C2531" s="4" t="s">
        <v>44</v>
      </c>
      <c r="D2531" s="6" t="str">
        <f>HYPERLINK("javascript:void(0)","öblend pajzs")</f>
        <v>öblend pajzs</v>
      </c>
    </row>
    <row r="2532" spans="1:4" ht="12.75" customHeight="1" x14ac:dyDescent="0.2">
      <c r="A2532" s="21"/>
      <c r="B2532" s="21"/>
      <c r="C2532" s="4" t="s">
        <v>77</v>
      </c>
      <c r="D2532" s="6" t="str">
        <f>HYPERLINK("javascript:void(0)","manókoponya")</f>
        <v>manókoponya</v>
      </c>
    </row>
    <row r="2533" spans="1:4" ht="12.75" customHeight="1" x14ac:dyDescent="0.2">
      <c r="A2533" s="21"/>
      <c r="B2533" s="21"/>
      <c r="C2533" s="4" t="s">
        <v>139</v>
      </c>
      <c r="D2533" s="6" t="str">
        <f>HYPERLINK("javascript:void(0)","spóra")</f>
        <v>spóra</v>
      </c>
    </row>
    <row r="2534" spans="1:4" ht="12.75" customHeight="1" x14ac:dyDescent="0.2">
      <c r="A2534" s="21"/>
      <c r="B2534" s="2"/>
      <c r="C2534" s="2"/>
      <c r="D2534" s="2"/>
    </row>
    <row r="2535" spans="1:4" ht="12.75" customHeight="1" x14ac:dyDescent="0.2">
      <c r="A2535" s="21"/>
      <c r="B2535" s="2"/>
      <c r="C2535" s="2"/>
      <c r="D2535" s="2"/>
    </row>
    <row r="2536" spans="1:4" ht="12.75" customHeight="1" x14ac:dyDescent="0.2">
      <c r="A2536" s="21"/>
      <c r="B2536" s="2"/>
      <c r="C2536" s="2"/>
      <c r="D2536" s="2"/>
    </row>
    <row r="2537" spans="1:4" ht="12.75" customHeight="1" x14ac:dyDescent="0.2">
      <c r="A2537" s="21"/>
      <c r="B2537" s="2"/>
      <c r="C2537" s="2"/>
      <c r="D2537" s="2"/>
    </row>
    <row r="2538" spans="1:4" ht="12.75" customHeight="1" x14ac:dyDescent="0.2">
      <c r="A2538" s="5"/>
      <c r="B2538" s="2"/>
      <c r="C2538" s="2"/>
      <c r="D2538" s="2"/>
    </row>
    <row r="2539" spans="1:4" ht="12.75" customHeight="1" x14ac:dyDescent="0.2">
      <c r="A2539" s="22" t="str">
        <f>HYPERLINK("javascript:void(0)","wendír pillepajzs")</f>
        <v>wendír pillepajzs</v>
      </c>
      <c r="B2539" s="21"/>
      <c r="C2539" s="21"/>
      <c r="D2539" s="21"/>
    </row>
    <row r="2540" spans="1:4" ht="12.75" customHeight="1" x14ac:dyDescent="0.2">
      <c r="A2540" s="20"/>
      <c r="B2540" s="2"/>
      <c r="C2540" s="2"/>
      <c r="D2540" s="2"/>
    </row>
    <row r="2541" spans="1:4" ht="12.75" customHeight="1" x14ac:dyDescent="0.2">
      <c r="A2541" s="21"/>
      <c r="B2541" s="3" t="s">
        <v>0</v>
      </c>
      <c r="C2541" s="20" t="s">
        <v>213</v>
      </c>
      <c r="D2541" s="21"/>
    </row>
    <row r="2542" spans="1:4" ht="12.75" customHeight="1" x14ac:dyDescent="0.2">
      <c r="A2542" s="21"/>
      <c r="B2542" s="3" t="s">
        <v>2</v>
      </c>
      <c r="C2542" s="20" t="s">
        <v>1839</v>
      </c>
      <c r="D2542" s="21"/>
    </row>
    <row r="2543" spans="1:4" ht="12.75" customHeight="1" x14ac:dyDescent="0.2">
      <c r="A2543" s="21"/>
      <c r="B2543" s="3" t="s">
        <v>1840</v>
      </c>
      <c r="C2543" s="20" t="s">
        <v>305</v>
      </c>
      <c r="D2543" s="21"/>
    </row>
    <row r="2544" spans="1:4" ht="12.75" customHeight="1" x14ac:dyDescent="0.2">
      <c r="A2544" s="21"/>
      <c r="B2544" s="3" t="s">
        <v>9</v>
      </c>
      <c r="C2544" s="20" t="s">
        <v>2092</v>
      </c>
      <c r="D2544" s="21"/>
    </row>
    <row r="2545" spans="1:4" ht="12.75" customHeight="1" x14ac:dyDescent="0.2">
      <c r="A2545" s="21"/>
      <c r="B2545" s="3" t="s">
        <v>11</v>
      </c>
      <c r="C2545" s="20" t="s">
        <v>625</v>
      </c>
      <c r="D2545" s="21"/>
    </row>
    <row r="2546" spans="1:4" ht="12.75" customHeight="1" x14ac:dyDescent="0.2">
      <c r="A2546" s="21"/>
      <c r="B2546" s="3" t="s">
        <v>16</v>
      </c>
      <c r="C2546" s="20"/>
      <c r="D2546" s="21"/>
    </row>
    <row r="2547" spans="1:4" ht="12.75" customHeight="1" x14ac:dyDescent="0.2">
      <c r="A2547" s="21"/>
      <c r="B2547" s="3" t="s">
        <v>17</v>
      </c>
      <c r="C2547" s="20" t="s">
        <v>19</v>
      </c>
      <c r="D2547" s="21"/>
    </row>
    <row r="2548" spans="1:4" ht="12.75" customHeight="1" x14ac:dyDescent="0.2">
      <c r="A2548" s="21"/>
      <c r="B2548" s="20" t="s">
        <v>18</v>
      </c>
      <c r="C2548" s="4" t="s">
        <v>44</v>
      </c>
      <c r="D2548" s="6" t="str">
        <f>HYPERLINK("javascript:void(0)","csontpajzs")</f>
        <v>csontpajzs</v>
      </c>
    </row>
    <row r="2549" spans="1:4" ht="12.75" customHeight="1" x14ac:dyDescent="0.2">
      <c r="A2549" s="21"/>
      <c r="B2549" s="21"/>
      <c r="C2549" s="4" t="s">
        <v>139</v>
      </c>
      <c r="D2549" s="6" t="str">
        <f>HYPERLINK("javascript:void(0)","hordócsap")</f>
        <v>hordócsap</v>
      </c>
    </row>
    <row r="2550" spans="1:4" ht="12.75" customHeight="1" x14ac:dyDescent="0.2">
      <c r="A2550" s="21"/>
      <c r="B2550" s="21"/>
      <c r="C2550" s="4" t="s">
        <v>117</v>
      </c>
      <c r="D2550" s="6" t="str">
        <f>HYPERLINK("javascript:void(0)","manókoponya")</f>
        <v>manókoponya</v>
      </c>
    </row>
    <row r="2551" spans="1:4" ht="12.75" customHeight="1" x14ac:dyDescent="0.2">
      <c r="A2551" s="21"/>
      <c r="B2551" s="2"/>
      <c r="C2551" s="2"/>
      <c r="D2551" s="2"/>
    </row>
    <row r="2552" spans="1:4" ht="12.75" customHeight="1" x14ac:dyDescent="0.2">
      <c r="A2552" s="21"/>
      <c r="B2552" s="2"/>
      <c r="C2552" s="2"/>
      <c r="D2552" s="2"/>
    </row>
    <row r="2553" spans="1:4" ht="12.75" customHeight="1" x14ac:dyDescent="0.2">
      <c r="A2553" s="21"/>
      <c r="B2553" s="2"/>
      <c r="C2553" s="2"/>
      <c r="D2553" s="2"/>
    </row>
    <row r="2554" spans="1:4" ht="12.75" customHeight="1" x14ac:dyDescent="0.2">
      <c r="A2554" s="21"/>
      <c r="B2554" s="2"/>
      <c r="C2554" s="2"/>
      <c r="D2554" s="2"/>
    </row>
    <row r="2555" spans="1:4" ht="12.75" customHeight="1" x14ac:dyDescent="0.2">
      <c r="A2555" s="5"/>
      <c r="B2555" s="2"/>
      <c r="C2555" s="2"/>
      <c r="D2555" s="2"/>
    </row>
    <row r="2556" spans="1:4" ht="12.75" customHeight="1" x14ac:dyDescent="0.2">
      <c r="A2556" s="22" t="str">
        <f>HYPERLINK("javascript:void(0)","csont testpajzs")</f>
        <v>csont testpajzs</v>
      </c>
      <c r="B2556" s="21"/>
      <c r="C2556" s="21"/>
      <c r="D2556" s="21"/>
    </row>
    <row r="2557" spans="1:4" ht="12.75" customHeight="1" x14ac:dyDescent="0.2">
      <c r="A2557" s="20"/>
      <c r="B2557" s="2"/>
      <c r="C2557" s="2"/>
      <c r="D2557" s="2"/>
    </row>
    <row r="2558" spans="1:4" ht="12.75" customHeight="1" x14ac:dyDescent="0.2">
      <c r="A2558" s="21"/>
      <c r="B2558" s="3" t="s">
        <v>0</v>
      </c>
      <c r="C2558" s="20" t="s">
        <v>58</v>
      </c>
      <c r="D2558" s="21"/>
    </row>
    <row r="2559" spans="1:4" ht="12.75" customHeight="1" x14ac:dyDescent="0.2">
      <c r="A2559" s="21"/>
      <c r="B2559" s="3" t="s">
        <v>2</v>
      </c>
      <c r="C2559" s="20" t="s">
        <v>1839</v>
      </c>
      <c r="D2559" s="21"/>
    </row>
    <row r="2560" spans="1:4" ht="12.75" customHeight="1" x14ac:dyDescent="0.2">
      <c r="A2560" s="21"/>
      <c r="B2560" s="3" t="s">
        <v>1840</v>
      </c>
      <c r="C2560" s="20" t="s">
        <v>110</v>
      </c>
      <c r="D2560" s="21"/>
    </row>
    <row r="2561" spans="1:4" ht="12.75" customHeight="1" x14ac:dyDescent="0.2">
      <c r="A2561" s="21"/>
      <c r="B2561" s="3" t="s">
        <v>9</v>
      </c>
      <c r="C2561" s="20" t="s">
        <v>549</v>
      </c>
      <c r="D2561" s="21"/>
    </row>
    <row r="2562" spans="1:4" ht="12.75" customHeight="1" x14ac:dyDescent="0.2">
      <c r="A2562" s="21"/>
      <c r="B2562" s="3" t="s">
        <v>11</v>
      </c>
      <c r="C2562" s="20" t="s">
        <v>603</v>
      </c>
      <c r="D2562" s="21"/>
    </row>
    <row r="2563" spans="1:4" ht="12.75" customHeight="1" x14ac:dyDescent="0.2">
      <c r="A2563" s="21"/>
      <c r="B2563" s="3" t="s">
        <v>16</v>
      </c>
      <c r="C2563" s="20"/>
      <c r="D2563" s="21"/>
    </row>
    <row r="2564" spans="1:4" ht="12.75" customHeight="1" x14ac:dyDescent="0.2">
      <c r="A2564" s="21"/>
      <c r="B2564" s="3" t="s">
        <v>17</v>
      </c>
      <c r="C2564" s="20" t="s">
        <v>19</v>
      </c>
      <c r="D2564" s="21"/>
    </row>
    <row r="2565" spans="1:4" ht="12.75" customHeight="1" x14ac:dyDescent="0.2">
      <c r="A2565" s="21"/>
      <c r="B2565" s="20" t="s">
        <v>18</v>
      </c>
      <c r="C2565" s="4" t="s">
        <v>44</v>
      </c>
      <c r="D2565" s="6" t="str">
        <f>HYPERLINK("javascript:void(0)","öblend testpajzs")</f>
        <v>öblend testpajzs</v>
      </c>
    </row>
    <row r="2566" spans="1:4" ht="12.75" customHeight="1" x14ac:dyDescent="0.2">
      <c r="A2566" s="21"/>
      <c r="B2566" s="21"/>
      <c r="C2566" s="4" t="s">
        <v>382</v>
      </c>
      <c r="D2566" s="6" t="str">
        <f>HYPERLINK("javascript:void(0)","sudár")</f>
        <v>sudár</v>
      </c>
    </row>
    <row r="2567" spans="1:4" ht="12.75" customHeight="1" x14ac:dyDescent="0.2">
      <c r="A2567" s="21"/>
      <c r="B2567" s="21"/>
      <c r="C2567" s="4" t="s">
        <v>77</v>
      </c>
      <c r="D2567" s="6" t="str">
        <f>HYPERLINK("javascript:void(0)","vérrög")</f>
        <v>vérrög</v>
      </c>
    </row>
    <row r="2568" spans="1:4" ht="12.75" customHeight="1" x14ac:dyDescent="0.2">
      <c r="A2568" s="21"/>
      <c r="B2568" s="2"/>
      <c r="C2568" s="2"/>
      <c r="D2568" s="2"/>
    </row>
    <row r="2569" spans="1:4" ht="12.75" customHeight="1" x14ac:dyDescent="0.2">
      <c r="A2569" s="21"/>
      <c r="B2569" s="2"/>
      <c r="C2569" s="2"/>
      <c r="D2569" s="2"/>
    </row>
    <row r="2570" spans="1:4" ht="12.75" customHeight="1" x14ac:dyDescent="0.2">
      <c r="A2570" s="21"/>
      <c r="B2570" s="2"/>
      <c r="C2570" s="2"/>
      <c r="D2570" s="2"/>
    </row>
    <row r="2571" spans="1:4" ht="12.75" customHeight="1" x14ac:dyDescent="0.2">
      <c r="A2571" s="21"/>
      <c r="B2571" s="2"/>
      <c r="C2571" s="2"/>
      <c r="D2571" s="2"/>
    </row>
    <row r="2572" spans="1:4" ht="12.75" customHeight="1" x14ac:dyDescent="0.2">
      <c r="A2572" s="5"/>
      <c r="B2572" s="2"/>
      <c r="C2572" s="2"/>
      <c r="D2572" s="2"/>
    </row>
    <row r="2573" spans="1:4" ht="12.75" customHeight="1" x14ac:dyDescent="0.2">
      <c r="A2573" s="22" t="str">
        <f>HYPERLINK("javascript:void(0)","thordi pillepajzs")</f>
        <v>thordi pillepajzs</v>
      </c>
      <c r="B2573" s="21"/>
      <c r="C2573" s="21"/>
      <c r="D2573" s="21"/>
    </row>
    <row r="2574" spans="1:4" ht="12.75" customHeight="1" x14ac:dyDescent="0.2">
      <c r="A2574" s="20"/>
      <c r="B2574" s="2"/>
      <c r="C2574" s="2"/>
      <c r="D2574" s="2"/>
    </row>
    <row r="2575" spans="1:4" ht="12.75" customHeight="1" x14ac:dyDescent="0.2">
      <c r="A2575" s="21"/>
      <c r="B2575" s="3" t="s">
        <v>0</v>
      </c>
      <c r="C2575" s="20" t="s">
        <v>58</v>
      </c>
      <c r="D2575" s="21"/>
    </row>
    <row r="2576" spans="1:4" ht="12.75" customHeight="1" x14ac:dyDescent="0.2">
      <c r="A2576" s="21"/>
      <c r="B2576" s="3" t="s">
        <v>2</v>
      </c>
      <c r="C2576" s="20" t="s">
        <v>1839</v>
      </c>
      <c r="D2576" s="21"/>
    </row>
    <row r="2577" spans="1:4" ht="12.75" customHeight="1" x14ac:dyDescent="0.2">
      <c r="A2577" s="21"/>
      <c r="B2577" s="3" t="s">
        <v>1840</v>
      </c>
      <c r="C2577" s="20" t="s">
        <v>110</v>
      </c>
      <c r="D2577" s="21"/>
    </row>
    <row r="2578" spans="1:4" ht="12.75" customHeight="1" x14ac:dyDescent="0.2">
      <c r="A2578" s="21"/>
      <c r="B2578" s="3" t="s">
        <v>9</v>
      </c>
      <c r="C2578" s="20" t="s">
        <v>1225</v>
      </c>
      <c r="D2578" s="21"/>
    </row>
    <row r="2579" spans="1:4" ht="12.75" customHeight="1" x14ac:dyDescent="0.2">
      <c r="A2579" s="21"/>
      <c r="B2579" s="3" t="s">
        <v>11</v>
      </c>
      <c r="C2579" s="20" t="s">
        <v>645</v>
      </c>
      <c r="D2579" s="21"/>
    </row>
    <row r="2580" spans="1:4" ht="12.75" customHeight="1" x14ac:dyDescent="0.2">
      <c r="A2580" s="21"/>
      <c r="B2580" s="3" t="s">
        <v>16</v>
      </c>
      <c r="C2580" s="20"/>
      <c r="D2580" s="21"/>
    </row>
    <row r="2581" spans="1:4" ht="12.75" customHeight="1" x14ac:dyDescent="0.2">
      <c r="A2581" s="21"/>
      <c r="B2581" s="3" t="s">
        <v>17</v>
      </c>
      <c r="C2581" s="20" t="s">
        <v>19</v>
      </c>
      <c r="D2581" s="21"/>
    </row>
    <row r="2582" spans="1:4" ht="12.75" customHeight="1" x14ac:dyDescent="0.2">
      <c r="A2582" s="21"/>
      <c r="B2582" s="20" t="s">
        <v>18</v>
      </c>
      <c r="C2582" s="4" t="s">
        <v>44</v>
      </c>
      <c r="D2582" s="6" t="str">
        <f>HYPERLINK("javascript:void(0)","csont testpajzs")</f>
        <v>csont testpajzs</v>
      </c>
    </row>
    <row r="2583" spans="1:4" ht="12.75" customHeight="1" x14ac:dyDescent="0.2">
      <c r="A2583" s="21"/>
      <c r="B2583" s="21"/>
      <c r="C2583" s="4" t="s">
        <v>163</v>
      </c>
      <c r="D2583" s="6" t="str">
        <f>HYPERLINK("javascript:void(0)","vari amulett")</f>
        <v>vari amulett</v>
      </c>
    </row>
    <row r="2584" spans="1:4" ht="12.75" customHeight="1" x14ac:dyDescent="0.2">
      <c r="A2584" s="21"/>
      <c r="B2584" s="21"/>
      <c r="C2584" s="4" t="s">
        <v>117</v>
      </c>
      <c r="D2584" s="6" t="str">
        <f>HYPERLINK("javascript:void(0)","vérrög")</f>
        <v>vérrög</v>
      </c>
    </row>
    <row r="2585" spans="1:4" ht="12.75" customHeight="1" x14ac:dyDescent="0.2">
      <c r="A2585" s="21"/>
      <c r="B2585" s="2"/>
      <c r="C2585" s="2"/>
      <c r="D2585" s="2"/>
    </row>
    <row r="2586" spans="1:4" ht="12.75" customHeight="1" x14ac:dyDescent="0.2">
      <c r="A2586" s="21"/>
      <c r="B2586" s="2"/>
      <c r="C2586" s="2"/>
      <c r="D2586" s="2"/>
    </row>
    <row r="2587" spans="1:4" ht="12.75" customHeight="1" x14ac:dyDescent="0.2">
      <c r="A2587" s="21"/>
      <c r="B2587" s="2"/>
      <c r="C2587" s="2"/>
      <c r="D2587" s="2"/>
    </row>
    <row r="2588" spans="1:4" ht="12.75" customHeight="1" x14ac:dyDescent="0.2">
      <c r="A2588" s="21"/>
      <c r="B2588" s="2"/>
      <c r="C2588" s="2"/>
      <c r="D2588" s="2"/>
    </row>
    <row r="2589" spans="1:4" ht="12.75" customHeight="1" x14ac:dyDescent="0.2">
      <c r="A2589" s="5"/>
      <c r="B2589" s="2"/>
      <c r="C2589" s="2"/>
      <c r="D2589" s="2"/>
    </row>
    <row r="2590" spans="1:4" ht="12.75" customHeight="1" x14ac:dyDescent="0.2">
      <c r="A2590" s="22" t="str">
        <f>HYPERLINK("javascript:void(0)","rotorpajzs")</f>
        <v>rotorpajzs</v>
      </c>
      <c r="B2590" s="21"/>
      <c r="C2590" s="21"/>
      <c r="D2590" s="21"/>
    </row>
    <row r="2591" spans="1:4" ht="12.75" customHeight="1" x14ac:dyDescent="0.2">
      <c r="A2591" s="20"/>
      <c r="B2591" s="2"/>
      <c r="C2591" s="2"/>
      <c r="D2591" s="2"/>
    </row>
    <row r="2592" spans="1:4" ht="12.75" customHeight="1" x14ac:dyDescent="0.2">
      <c r="A2592" s="21"/>
      <c r="B2592" s="3" t="s">
        <v>0</v>
      </c>
      <c r="C2592" s="20" t="s">
        <v>134</v>
      </c>
      <c r="D2592" s="21"/>
    </row>
    <row r="2593" spans="1:4" ht="12.75" customHeight="1" x14ac:dyDescent="0.2">
      <c r="A2593" s="21"/>
      <c r="B2593" s="3" t="s">
        <v>2</v>
      </c>
      <c r="C2593" s="20" t="s">
        <v>1839</v>
      </c>
      <c r="D2593" s="21"/>
    </row>
    <row r="2594" spans="1:4" ht="12.75" customHeight="1" x14ac:dyDescent="0.2">
      <c r="A2594" s="21"/>
      <c r="B2594" s="3" t="s">
        <v>1840</v>
      </c>
      <c r="C2594" s="20" t="s">
        <v>112</v>
      </c>
      <c r="D2594" s="21"/>
    </row>
    <row r="2595" spans="1:4" ht="12.75" customHeight="1" x14ac:dyDescent="0.2">
      <c r="A2595" s="21"/>
      <c r="B2595" s="3" t="s">
        <v>9</v>
      </c>
      <c r="C2595" s="20" t="s">
        <v>249</v>
      </c>
      <c r="D2595" s="21"/>
    </row>
    <row r="2596" spans="1:4" ht="12.75" customHeight="1" x14ac:dyDescent="0.2">
      <c r="A2596" s="21"/>
      <c r="B2596" s="3" t="s">
        <v>11</v>
      </c>
      <c r="C2596" s="20" t="s">
        <v>625</v>
      </c>
      <c r="D2596" s="21"/>
    </row>
    <row r="2597" spans="1:4" ht="12.75" customHeight="1" x14ac:dyDescent="0.2">
      <c r="A2597" s="21"/>
      <c r="B2597" s="3" t="s">
        <v>16</v>
      </c>
      <c r="C2597" s="20"/>
      <c r="D2597" s="21"/>
    </row>
    <row r="2598" spans="1:4" ht="12.75" customHeight="1" x14ac:dyDescent="0.2">
      <c r="A2598" s="21"/>
      <c r="B2598" s="3" t="s">
        <v>17</v>
      </c>
      <c r="C2598" s="20" t="s">
        <v>19</v>
      </c>
      <c r="D2598" s="21"/>
    </row>
    <row r="2599" spans="1:4" ht="12.75" customHeight="1" x14ac:dyDescent="0.2">
      <c r="A2599" s="21"/>
      <c r="B2599" s="20" t="s">
        <v>18</v>
      </c>
      <c r="C2599" s="4" t="s">
        <v>44</v>
      </c>
      <c r="D2599" s="6" t="str">
        <f>HYPERLINK("javascript:void(0)","csontpajzs")</f>
        <v>csontpajzs</v>
      </c>
    </row>
    <row r="2600" spans="1:4" ht="12.75" customHeight="1" x14ac:dyDescent="0.2">
      <c r="A2600" s="21"/>
      <c r="B2600" s="21"/>
      <c r="C2600" s="4" t="s">
        <v>67</v>
      </c>
      <c r="D2600" s="6" t="str">
        <f>HYPERLINK("javascript:void(0)","rotorlapát")</f>
        <v>rotorlapát</v>
      </c>
    </row>
    <row r="2601" spans="1:4" ht="12.75" customHeight="1" x14ac:dyDescent="0.2">
      <c r="A2601" s="21"/>
      <c r="B2601" s="21"/>
      <c r="C2601" s="4" t="s">
        <v>2005</v>
      </c>
      <c r="D2601" s="6" t="str">
        <f>HYPERLINK("javascript:void(0)","vari amulett")</f>
        <v>vari amulett</v>
      </c>
    </row>
    <row r="2602" spans="1:4" ht="12.75" customHeight="1" x14ac:dyDescent="0.2">
      <c r="A2602" s="21"/>
      <c r="B2602" s="2"/>
      <c r="C2602" s="2"/>
      <c r="D2602" s="2"/>
    </row>
    <row r="2603" spans="1:4" ht="12.75" customHeight="1" x14ac:dyDescent="0.2">
      <c r="A2603" s="21"/>
      <c r="B2603" s="2"/>
      <c r="C2603" s="2"/>
      <c r="D2603" s="2"/>
    </row>
    <row r="2604" spans="1:4" ht="12.75" customHeight="1" x14ac:dyDescent="0.2">
      <c r="A2604" s="21"/>
      <c r="B2604" s="2"/>
      <c r="C2604" s="2"/>
      <c r="D2604" s="2"/>
    </row>
    <row r="2605" spans="1:4" ht="12.75" customHeight="1" x14ac:dyDescent="0.2">
      <c r="A2605" s="21"/>
      <c r="B2605" s="2"/>
      <c r="C2605" s="2"/>
      <c r="D2605" s="2"/>
    </row>
    <row r="2606" spans="1:4" ht="12.75" customHeight="1" x14ac:dyDescent="0.2">
      <c r="A2606" s="5"/>
      <c r="B2606" s="2"/>
      <c r="C2606" s="2"/>
      <c r="D2606" s="2"/>
    </row>
    <row r="2607" spans="1:4" ht="12.75" customHeight="1" x14ac:dyDescent="0.2">
      <c r="A2607" s="22" t="str">
        <f>HYPERLINK("javascript:void(0)","rézveretű illanat")</f>
        <v>rézveretű illanat</v>
      </c>
      <c r="B2607" s="21"/>
      <c r="C2607" s="21"/>
      <c r="D2607" s="21"/>
    </row>
    <row r="2608" spans="1:4" ht="12.75" customHeight="1" x14ac:dyDescent="0.2">
      <c r="A2608" s="20"/>
      <c r="B2608" s="2"/>
      <c r="C2608" s="2"/>
      <c r="D2608" s="2"/>
    </row>
    <row r="2609" spans="1:4" ht="12.75" customHeight="1" x14ac:dyDescent="0.2">
      <c r="A2609" s="21"/>
      <c r="B2609" s="3" t="s">
        <v>0</v>
      </c>
      <c r="C2609" s="20" t="s">
        <v>134</v>
      </c>
      <c r="D2609" s="21"/>
    </row>
    <row r="2610" spans="1:4" ht="12.75" customHeight="1" x14ac:dyDescent="0.2">
      <c r="A2610" s="21"/>
      <c r="B2610" s="3" t="s">
        <v>2</v>
      </c>
      <c r="C2610" s="20" t="s">
        <v>1839</v>
      </c>
      <c r="D2610" s="21"/>
    </row>
    <row r="2611" spans="1:4" ht="12.75" customHeight="1" x14ac:dyDescent="0.2">
      <c r="A2611" s="21"/>
      <c r="B2611" s="3" t="s">
        <v>1840</v>
      </c>
      <c r="C2611" s="20" t="s">
        <v>112</v>
      </c>
      <c r="D2611" s="21"/>
    </row>
    <row r="2612" spans="1:4" ht="12.75" customHeight="1" x14ac:dyDescent="0.2">
      <c r="A2612" s="21"/>
      <c r="B2612" s="3" t="s">
        <v>9</v>
      </c>
      <c r="C2612" s="20" t="s">
        <v>53</v>
      </c>
      <c r="D2612" s="21"/>
    </row>
    <row r="2613" spans="1:4" ht="12.75" customHeight="1" x14ac:dyDescent="0.2">
      <c r="A2613" s="21"/>
      <c r="B2613" s="3" t="s">
        <v>11</v>
      </c>
      <c r="C2613" s="20" t="s">
        <v>660</v>
      </c>
      <c r="D2613" s="21"/>
    </row>
    <row r="2614" spans="1:4" ht="12.75" customHeight="1" x14ac:dyDescent="0.2">
      <c r="A2614" s="21"/>
      <c r="B2614" s="3" t="s">
        <v>16</v>
      </c>
      <c r="C2614" s="20"/>
      <c r="D2614" s="21"/>
    </row>
    <row r="2615" spans="1:4" ht="12.75" customHeight="1" x14ac:dyDescent="0.2">
      <c r="A2615" s="21"/>
      <c r="B2615" s="3" t="s">
        <v>17</v>
      </c>
      <c r="C2615" s="20" t="s">
        <v>19</v>
      </c>
      <c r="D2615" s="21"/>
    </row>
    <row r="2616" spans="1:4" ht="12.75" customHeight="1" x14ac:dyDescent="0.2">
      <c r="A2616" s="21"/>
      <c r="B2616" s="20" t="s">
        <v>18</v>
      </c>
      <c r="C2616" s="4" t="s">
        <v>44</v>
      </c>
      <c r="D2616" s="6" t="str">
        <f>HYPERLINK("javascript:void(0)","rotorpajzs")</f>
        <v>rotorpajzs</v>
      </c>
    </row>
    <row r="2617" spans="1:4" ht="12.75" customHeight="1" x14ac:dyDescent="0.2">
      <c r="A2617" s="21"/>
      <c r="B2617" s="21"/>
      <c r="C2617" s="4" t="s">
        <v>67</v>
      </c>
      <c r="D2617" s="6" t="str">
        <f>HYPERLINK("javascript:void(0)","rézrög")</f>
        <v>rézrög</v>
      </c>
    </row>
    <row r="2618" spans="1:4" ht="12.75" customHeight="1" x14ac:dyDescent="0.2">
      <c r="A2618" s="21"/>
      <c r="B2618" s="21"/>
      <c r="C2618" s="4" t="s">
        <v>117</v>
      </c>
      <c r="D2618" s="6" t="str">
        <f>HYPERLINK("javascript:void(0)","űrlap")</f>
        <v>űrlap</v>
      </c>
    </row>
    <row r="2619" spans="1:4" ht="12.75" customHeight="1" x14ac:dyDescent="0.2">
      <c r="A2619" s="21"/>
      <c r="B2619" s="2"/>
      <c r="C2619" s="2"/>
      <c r="D2619" s="2"/>
    </row>
    <row r="2620" spans="1:4" ht="12.75" customHeight="1" x14ac:dyDescent="0.2">
      <c r="A2620" s="21"/>
      <c r="B2620" s="2"/>
      <c r="C2620" s="2"/>
      <c r="D2620" s="2"/>
    </row>
    <row r="2621" spans="1:4" ht="12.75" customHeight="1" x14ac:dyDescent="0.2">
      <c r="A2621" s="21"/>
      <c r="B2621" s="2"/>
      <c r="C2621" s="2"/>
      <c r="D2621" s="2"/>
    </row>
    <row r="2622" spans="1:4" ht="12.75" customHeight="1" x14ac:dyDescent="0.2">
      <c r="A2622" s="21"/>
      <c r="B2622" s="2"/>
      <c r="C2622" s="2"/>
      <c r="D2622" s="2"/>
    </row>
    <row r="2623" spans="1:4" ht="12.75" customHeight="1" x14ac:dyDescent="0.2">
      <c r="A2623" s="5"/>
      <c r="B2623" s="2"/>
      <c r="C2623" s="2"/>
      <c r="D2623" s="2"/>
    </row>
    <row r="2624" spans="1:4" ht="12.75" customHeight="1" x14ac:dyDescent="0.2">
      <c r="A2624" s="22" t="str">
        <f>HYPERLINK("javascript:void(0)","radiogöb")</f>
        <v>radiogöb</v>
      </c>
      <c r="B2624" s="21"/>
      <c r="C2624" s="21"/>
      <c r="D2624" s="21"/>
    </row>
    <row r="2625" spans="1:7" ht="12.75" customHeight="1" x14ac:dyDescent="0.2">
      <c r="A2625" s="20"/>
      <c r="B2625" s="2"/>
      <c r="C2625" s="2"/>
      <c r="D2625" s="2"/>
    </row>
    <row r="2626" spans="1:7" ht="12.75" customHeight="1" x14ac:dyDescent="0.2">
      <c r="A2626" s="21"/>
      <c r="B2626" s="3" t="s">
        <v>0</v>
      </c>
      <c r="C2626" s="20" t="s">
        <v>134</v>
      </c>
      <c r="D2626" s="21"/>
    </row>
    <row r="2627" spans="1:7" ht="12.75" customHeight="1" x14ac:dyDescent="0.2">
      <c r="A2627" s="21"/>
      <c r="B2627" s="3" t="s">
        <v>2</v>
      </c>
      <c r="C2627" s="20" t="s">
        <v>1839</v>
      </c>
      <c r="D2627" s="21"/>
    </row>
    <row r="2628" spans="1:7" ht="12.75" customHeight="1" x14ac:dyDescent="0.2">
      <c r="A2628" s="21"/>
      <c r="B2628" s="3" t="s">
        <v>1840</v>
      </c>
      <c r="C2628" s="20" t="s">
        <v>21</v>
      </c>
      <c r="D2628" s="21"/>
    </row>
    <row r="2629" spans="1:7" ht="12.75" customHeight="1" x14ac:dyDescent="0.2">
      <c r="A2629" s="21"/>
      <c r="B2629" s="3" t="s">
        <v>9</v>
      </c>
      <c r="C2629" s="20" t="s">
        <v>1096</v>
      </c>
      <c r="D2629" s="21"/>
    </row>
    <row r="2630" spans="1:7" ht="12.75" customHeight="1" x14ac:dyDescent="0.2">
      <c r="A2630" s="21"/>
      <c r="B2630" s="3" t="s">
        <v>11</v>
      </c>
      <c r="C2630" s="20" t="s">
        <v>162</v>
      </c>
      <c r="D2630" s="21"/>
    </row>
    <row r="2631" spans="1:7" ht="12.75" customHeight="1" x14ac:dyDescent="0.2">
      <c r="A2631" s="21"/>
      <c r="B2631" s="3" t="s">
        <v>16</v>
      </c>
      <c r="C2631" s="20"/>
      <c r="D2631" s="21"/>
    </row>
    <row r="2632" spans="1:7" ht="12.75" customHeight="1" x14ac:dyDescent="0.2">
      <c r="A2632" s="21"/>
      <c r="B2632" s="3" t="s">
        <v>17</v>
      </c>
      <c r="C2632" s="20" t="s">
        <v>19</v>
      </c>
      <c r="D2632" s="21"/>
    </row>
    <row r="2633" spans="1:7" ht="12.75" customHeight="1" x14ac:dyDescent="0.2">
      <c r="A2633" s="21"/>
      <c r="B2633" s="20" t="s">
        <v>18</v>
      </c>
      <c r="C2633" s="4" t="s">
        <v>67</v>
      </c>
      <c r="D2633" s="6" t="str">
        <f>HYPERLINK("javascript:void(0)","radiolium")</f>
        <v>radiolium</v>
      </c>
      <c r="E2633">
        <v>0.9</v>
      </c>
    </row>
    <row r="2634" spans="1:7" ht="12.75" customHeight="1" x14ac:dyDescent="0.2">
      <c r="A2634" s="21"/>
      <c r="B2634" s="21"/>
      <c r="C2634" s="4" t="s">
        <v>44</v>
      </c>
      <c r="D2634" s="6" t="str">
        <f>HYPERLINK("javascript:void(0)","kompózium")</f>
        <v>kompózium</v>
      </c>
      <c r="E2634">
        <v>0.5</v>
      </c>
      <c r="G2634" s="19" t="s">
        <v>6900</v>
      </c>
    </row>
    <row r="2635" spans="1:7" ht="12.75" customHeight="1" x14ac:dyDescent="0.2">
      <c r="A2635" s="21"/>
      <c r="B2635" s="21"/>
      <c r="C2635" s="4" t="s">
        <v>139</v>
      </c>
      <c r="D2635" s="6" t="str">
        <f>HYPERLINK("javascript:void(0)","cordionium")</f>
        <v>cordionium</v>
      </c>
      <c r="E2635">
        <v>2</v>
      </c>
    </row>
    <row r="2636" spans="1:7" ht="12.75" customHeight="1" x14ac:dyDescent="0.2">
      <c r="A2636" s="21"/>
      <c r="B2636" s="2"/>
      <c r="C2636" s="2"/>
      <c r="D2636" s="2"/>
    </row>
    <row r="2637" spans="1:7" ht="12.75" customHeight="1" x14ac:dyDescent="0.2">
      <c r="A2637" s="21"/>
      <c r="B2637" s="2"/>
      <c r="C2637" s="2"/>
      <c r="D2637" s="2"/>
    </row>
    <row r="2638" spans="1:7" ht="12.75" customHeight="1" x14ac:dyDescent="0.2">
      <c r="A2638" s="21"/>
      <c r="B2638" s="2"/>
      <c r="C2638" s="2"/>
      <c r="D2638" s="2"/>
    </row>
    <row r="2639" spans="1:7" ht="12.75" customHeight="1" x14ac:dyDescent="0.2">
      <c r="A2639" s="21"/>
      <c r="B2639" s="2"/>
      <c r="C2639" s="2"/>
      <c r="D2639" s="2"/>
    </row>
    <row r="2640" spans="1:7" ht="12.75" customHeight="1" x14ac:dyDescent="0.2">
      <c r="A2640" s="5"/>
      <c r="B2640" s="2"/>
      <c r="C2640" s="2"/>
      <c r="D2640" s="2"/>
    </row>
    <row r="2641" spans="1:4" ht="12.75" customHeight="1" x14ac:dyDescent="0.2">
      <c r="A2641" s="22" t="str">
        <f>HYPERLINK("javascript:void(0)","elemi kisgyűrű")</f>
        <v>elemi kisgyűrű</v>
      </c>
      <c r="B2641" s="21"/>
      <c r="C2641" s="21"/>
      <c r="D2641" s="21"/>
    </row>
    <row r="2642" spans="1:4" ht="12.75" customHeight="1" x14ac:dyDescent="0.2">
      <c r="A2642" s="20"/>
      <c r="B2642" s="2"/>
      <c r="C2642" s="2"/>
      <c r="D2642" s="2"/>
    </row>
    <row r="2643" spans="1:4" ht="12.75" customHeight="1" x14ac:dyDescent="0.2">
      <c r="A2643" s="21"/>
      <c r="B2643" s="3" t="s">
        <v>0</v>
      </c>
      <c r="C2643" s="20" t="s">
        <v>134</v>
      </c>
      <c r="D2643" s="21"/>
    </row>
    <row r="2644" spans="1:4" ht="12.75" customHeight="1" x14ac:dyDescent="0.2">
      <c r="A2644" s="21"/>
      <c r="B2644" s="3" t="s">
        <v>2</v>
      </c>
      <c r="C2644" s="20" t="s">
        <v>1839</v>
      </c>
      <c r="D2644" s="21"/>
    </row>
    <row r="2645" spans="1:4" ht="12.75" customHeight="1" x14ac:dyDescent="0.2">
      <c r="A2645" s="21"/>
      <c r="B2645" s="3" t="s">
        <v>1840</v>
      </c>
      <c r="C2645" s="20" t="s">
        <v>21</v>
      </c>
      <c r="D2645" s="21"/>
    </row>
    <row r="2646" spans="1:4" ht="12.75" customHeight="1" x14ac:dyDescent="0.2">
      <c r="A2646" s="21"/>
      <c r="B2646" s="3" t="s">
        <v>9</v>
      </c>
      <c r="C2646" s="20" t="s">
        <v>42</v>
      </c>
      <c r="D2646" s="21"/>
    </row>
    <row r="2647" spans="1:4" ht="12.75" customHeight="1" x14ac:dyDescent="0.2">
      <c r="A2647" s="21"/>
      <c r="B2647" s="3" t="s">
        <v>11</v>
      </c>
      <c r="C2647" s="20" t="s">
        <v>203</v>
      </c>
      <c r="D2647" s="21"/>
    </row>
    <row r="2648" spans="1:4" ht="12.75" customHeight="1" x14ac:dyDescent="0.2">
      <c r="A2648" s="21"/>
      <c r="B2648" s="3" t="s">
        <v>16</v>
      </c>
      <c r="C2648" s="20"/>
      <c r="D2648" s="21"/>
    </row>
    <row r="2649" spans="1:4" ht="12.75" customHeight="1" x14ac:dyDescent="0.2">
      <c r="A2649" s="21"/>
      <c r="B2649" s="3" t="s">
        <v>17</v>
      </c>
      <c r="C2649" s="20" t="s">
        <v>19</v>
      </c>
      <c r="D2649" s="21"/>
    </row>
    <row r="2650" spans="1:4" ht="12.75" customHeight="1" x14ac:dyDescent="0.2">
      <c r="A2650" s="21"/>
      <c r="B2650" s="20" t="s">
        <v>18</v>
      </c>
      <c r="C2650" s="4" t="s">
        <v>139</v>
      </c>
      <c r="D2650" s="6" t="str">
        <f>HYPERLINK("javascript:void(0)","elementál eszencia")</f>
        <v>elementál eszencia</v>
      </c>
    </row>
    <row r="2651" spans="1:4" ht="12.75" customHeight="1" x14ac:dyDescent="0.2">
      <c r="A2651" s="21"/>
      <c r="B2651" s="21"/>
      <c r="C2651" s="4" t="s">
        <v>67</v>
      </c>
      <c r="D2651" s="6" t="str">
        <f>HYPERLINK("javascript:void(0)","hidegige")</f>
        <v>hidegige</v>
      </c>
    </row>
    <row r="2652" spans="1:4" ht="12.75" customHeight="1" x14ac:dyDescent="0.2">
      <c r="A2652" s="21"/>
      <c r="B2652" s="21"/>
      <c r="C2652" s="4" t="s">
        <v>67</v>
      </c>
      <c r="D2652" s="6" t="str">
        <f>HYPERLINK("javascript:void(0)","melegige")</f>
        <v>melegige</v>
      </c>
    </row>
    <row r="2653" spans="1:4" ht="12.75" customHeight="1" x14ac:dyDescent="0.2">
      <c r="A2653" s="21"/>
      <c r="B2653" s="2"/>
      <c r="C2653" s="2"/>
      <c r="D2653" s="2"/>
    </row>
    <row r="2654" spans="1:4" ht="12.75" customHeight="1" x14ac:dyDescent="0.2">
      <c r="A2654" s="21"/>
      <c r="B2654" s="2"/>
      <c r="C2654" s="2"/>
      <c r="D2654" s="2"/>
    </row>
    <row r="2655" spans="1:4" ht="12.75" customHeight="1" x14ac:dyDescent="0.2">
      <c r="A2655" s="21"/>
      <c r="B2655" s="2"/>
      <c r="C2655" s="2"/>
      <c r="D2655" s="2"/>
    </row>
    <row r="2656" spans="1:4" ht="12.75" customHeight="1" x14ac:dyDescent="0.2">
      <c r="A2656" s="21"/>
      <c r="B2656" s="2"/>
      <c r="C2656" s="2"/>
      <c r="D2656" s="2"/>
    </row>
    <row r="2657" spans="1:4" ht="12.75" customHeight="1" x14ac:dyDescent="0.2">
      <c r="A2657" s="5"/>
      <c r="B2657" s="2"/>
      <c r="C2657" s="2"/>
      <c r="D2657" s="2"/>
    </row>
    <row r="2658" spans="1:4" ht="12.75" customHeight="1" x14ac:dyDescent="0.2">
      <c r="A2658" s="22" t="str">
        <f>HYPERLINK("javascript:void(0)","elemi gyűrűtűz")</f>
        <v>elemi gyűrűtűz</v>
      </c>
      <c r="B2658" s="21"/>
      <c r="C2658" s="21"/>
      <c r="D2658" s="21"/>
    </row>
    <row r="2659" spans="1:4" ht="12.75" customHeight="1" x14ac:dyDescent="0.2">
      <c r="A2659" s="20"/>
      <c r="B2659" s="2"/>
      <c r="C2659" s="2"/>
      <c r="D2659" s="2"/>
    </row>
    <row r="2660" spans="1:4" ht="12.75" customHeight="1" x14ac:dyDescent="0.2">
      <c r="A2660" s="21"/>
      <c r="B2660" s="3" t="s">
        <v>0</v>
      </c>
      <c r="C2660" s="20" t="s">
        <v>134</v>
      </c>
      <c r="D2660" s="21"/>
    </row>
    <row r="2661" spans="1:4" ht="12.75" customHeight="1" x14ac:dyDescent="0.2">
      <c r="A2661" s="21"/>
      <c r="B2661" s="3" t="s">
        <v>2</v>
      </c>
      <c r="C2661" s="20" t="s">
        <v>1839</v>
      </c>
      <c r="D2661" s="21"/>
    </row>
    <row r="2662" spans="1:4" ht="12.75" customHeight="1" x14ac:dyDescent="0.2">
      <c r="A2662" s="21"/>
      <c r="B2662" s="3" t="s">
        <v>1840</v>
      </c>
      <c r="C2662" s="20" t="s">
        <v>21</v>
      </c>
      <c r="D2662" s="21"/>
    </row>
    <row r="2663" spans="1:4" ht="12.75" customHeight="1" x14ac:dyDescent="0.2">
      <c r="A2663" s="21"/>
      <c r="B2663" s="3" t="s">
        <v>9</v>
      </c>
      <c r="C2663" s="20" t="s">
        <v>704</v>
      </c>
      <c r="D2663" s="21"/>
    </row>
    <row r="2664" spans="1:4" ht="12.75" customHeight="1" x14ac:dyDescent="0.2">
      <c r="A2664" s="21"/>
      <c r="B2664" s="3" t="s">
        <v>11</v>
      </c>
      <c r="C2664" s="20" t="s">
        <v>203</v>
      </c>
      <c r="D2664" s="21"/>
    </row>
    <row r="2665" spans="1:4" ht="12.75" customHeight="1" x14ac:dyDescent="0.2">
      <c r="A2665" s="21"/>
      <c r="B2665" s="3" t="s">
        <v>16</v>
      </c>
      <c r="C2665" s="20"/>
      <c r="D2665" s="21"/>
    </row>
    <row r="2666" spans="1:4" ht="12.75" customHeight="1" x14ac:dyDescent="0.2">
      <c r="A2666" s="21"/>
      <c r="B2666" s="3" t="s">
        <v>17</v>
      </c>
      <c r="C2666" s="20" t="s">
        <v>19</v>
      </c>
      <c r="D2666" s="21"/>
    </row>
    <row r="2667" spans="1:4" ht="12.75" customHeight="1" x14ac:dyDescent="0.2">
      <c r="A2667" s="21"/>
      <c r="B2667" s="20" t="s">
        <v>18</v>
      </c>
      <c r="C2667" s="4" t="s">
        <v>163</v>
      </c>
      <c r="D2667" s="6" t="str">
        <f>HYPERLINK("javascript:void(0)","tűzige")</f>
        <v>tűzige</v>
      </c>
    </row>
    <row r="2668" spans="1:4" ht="12.75" customHeight="1" x14ac:dyDescent="0.2">
      <c r="A2668" s="21"/>
      <c r="B2668" s="21"/>
      <c r="C2668" s="4" t="s">
        <v>139</v>
      </c>
      <c r="D2668" s="6" t="str">
        <f>HYPERLINK("javascript:void(0)","varázsige")</f>
        <v>varázsige</v>
      </c>
    </row>
    <row r="2669" spans="1:4" ht="12.75" customHeight="1" x14ac:dyDescent="0.2">
      <c r="A2669" s="21"/>
      <c r="B2669" s="21"/>
      <c r="C2669" s="4" t="s">
        <v>139</v>
      </c>
      <c r="D2669" s="6" t="str">
        <f>HYPERLINK("javascript:void(0)","kompózium")</f>
        <v>kompózium</v>
      </c>
    </row>
    <row r="2670" spans="1:4" ht="12.75" customHeight="1" x14ac:dyDescent="0.2">
      <c r="A2670" s="21"/>
      <c r="B2670" s="2"/>
      <c r="C2670" s="2"/>
      <c r="D2670" s="2"/>
    </row>
    <row r="2671" spans="1:4" ht="12.75" customHeight="1" x14ac:dyDescent="0.2">
      <c r="A2671" s="21"/>
      <c r="B2671" s="2"/>
      <c r="C2671" s="2"/>
      <c r="D2671" s="2"/>
    </row>
    <row r="2672" spans="1:4" ht="12.75" customHeight="1" x14ac:dyDescent="0.2">
      <c r="A2672" s="21"/>
      <c r="B2672" s="2"/>
      <c r="C2672" s="2"/>
      <c r="D2672" s="2"/>
    </row>
    <row r="2673" spans="1:4" ht="12.75" customHeight="1" x14ac:dyDescent="0.2">
      <c r="A2673" s="21"/>
      <c r="B2673" s="2"/>
      <c r="C2673" s="2"/>
      <c r="D2673" s="2"/>
    </row>
    <row r="2674" spans="1:4" ht="12.75" customHeight="1" x14ac:dyDescent="0.2">
      <c r="A2674" s="5"/>
      <c r="B2674" s="2"/>
      <c r="C2674" s="2"/>
      <c r="D2674" s="2"/>
    </row>
    <row r="2675" spans="1:4" ht="12.75" customHeight="1" x14ac:dyDescent="0.2">
      <c r="A2675" s="22" t="str">
        <f>HYPERLINK("javascript:void(0)","elementálgyűrű")</f>
        <v>elementálgyűrű</v>
      </c>
      <c r="B2675" s="21"/>
      <c r="C2675" s="21"/>
      <c r="D2675" s="21"/>
    </row>
    <row r="2676" spans="1:4" ht="12.75" customHeight="1" x14ac:dyDescent="0.2">
      <c r="A2676" s="20"/>
      <c r="B2676" s="2"/>
      <c r="C2676" s="2"/>
      <c r="D2676" s="2"/>
    </row>
    <row r="2677" spans="1:4" ht="12.75" customHeight="1" x14ac:dyDescent="0.2">
      <c r="A2677" s="21"/>
      <c r="B2677" s="3" t="s">
        <v>0</v>
      </c>
      <c r="C2677" s="20" t="s">
        <v>134</v>
      </c>
      <c r="D2677" s="21"/>
    </row>
    <row r="2678" spans="1:4" ht="12.75" customHeight="1" x14ac:dyDescent="0.2">
      <c r="A2678" s="21"/>
      <c r="B2678" s="3" t="s">
        <v>2</v>
      </c>
      <c r="C2678" s="20" t="s">
        <v>1839</v>
      </c>
      <c r="D2678" s="21"/>
    </row>
    <row r="2679" spans="1:4" ht="12.75" customHeight="1" x14ac:dyDescent="0.2">
      <c r="A2679" s="21"/>
      <c r="B2679" s="3" t="s">
        <v>1840</v>
      </c>
      <c r="C2679" s="20" t="s">
        <v>107</v>
      </c>
      <c r="D2679" s="21"/>
    </row>
    <row r="2680" spans="1:4" ht="12.75" customHeight="1" x14ac:dyDescent="0.2">
      <c r="A2680" s="21"/>
      <c r="B2680" s="3" t="s">
        <v>9</v>
      </c>
      <c r="C2680" s="20" t="s">
        <v>10</v>
      </c>
      <c r="D2680" s="21"/>
    </row>
    <row r="2681" spans="1:4" ht="12.75" customHeight="1" x14ac:dyDescent="0.2">
      <c r="A2681" s="21"/>
      <c r="B2681" s="3" t="s">
        <v>11</v>
      </c>
      <c r="C2681" s="20" t="s">
        <v>835</v>
      </c>
      <c r="D2681" s="21"/>
    </row>
    <row r="2682" spans="1:4" ht="12.75" customHeight="1" x14ac:dyDescent="0.2">
      <c r="A2682" s="21"/>
      <c r="B2682" s="3" t="s">
        <v>16</v>
      </c>
      <c r="C2682" s="20"/>
      <c r="D2682" s="21"/>
    </row>
    <row r="2683" spans="1:4" ht="12.75" customHeight="1" x14ac:dyDescent="0.2">
      <c r="A2683" s="21"/>
      <c r="B2683" s="3" t="s">
        <v>17</v>
      </c>
      <c r="C2683" s="20" t="s">
        <v>19</v>
      </c>
      <c r="D2683" s="21"/>
    </row>
    <row r="2684" spans="1:4" ht="12.75" customHeight="1" x14ac:dyDescent="0.2">
      <c r="A2684" s="21"/>
      <c r="B2684" s="20" t="s">
        <v>18</v>
      </c>
      <c r="C2684" s="4" t="s">
        <v>44</v>
      </c>
      <c r="D2684" s="6" t="str">
        <f>HYPERLINK("javascript:void(0)","elemi kisgyűrű")</f>
        <v>elemi kisgyűrű</v>
      </c>
    </row>
    <row r="2685" spans="1:4" ht="12.75" customHeight="1" x14ac:dyDescent="0.2">
      <c r="A2685" s="21"/>
      <c r="B2685" s="21"/>
      <c r="C2685" s="4" t="s">
        <v>55</v>
      </c>
      <c r="D2685" s="6" t="str">
        <f>HYPERLINK("javascript:void(0)","kincsgúla")</f>
        <v>kincsgúla</v>
      </c>
    </row>
    <row r="2686" spans="1:4" ht="12.75" customHeight="1" x14ac:dyDescent="0.2">
      <c r="A2686" s="21"/>
      <c r="B2686" s="21"/>
      <c r="C2686" s="4" t="s">
        <v>44</v>
      </c>
      <c r="D2686" s="6" t="str">
        <f>HYPERLINK("javascript:void(0)","elemi gyűrűtűz")</f>
        <v>elemi gyűrűtűz</v>
      </c>
    </row>
    <row r="2687" spans="1:4" ht="12.75" customHeight="1" x14ac:dyDescent="0.2">
      <c r="A2687" s="21"/>
      <c r="B2687" s="2"/>
      <c r="C2687" s="2"/>
      <c r="D2687" s="2"/>
    </row>
    <row r="2688" spans="1:4" ht="12.75" customHeight="1" x14ac:dyDescent="0.2">
      <c r="A2688" s="21"/>
      <c r="B2688" s="2"/>
      <c r="C2688" s="2"/>
      <c r="D2688" s="2"/>
    </row>
    <row r="2689" spans="1:4" ht="12.75" customHeight="1" x14ac:dyDescent="0.2">
      <c r="A2689" s="21"/>
      <c r="B2689" s="2"/>
      <c r="C2689" s="2"/>
      <c r="D2689" s="2"/>
    </row>
    <row r="2690" spans="1:4" ht="12.75" customHeight="1" x14ac:dyDescent="0.2">
      <c r="A2690" s="21"/>
      <c r="B2690" s="2"/>
      <c r="C2690" s="2"/>
      <c r="D2690" s="2"/>
    </row>
    <row r="2691" spans="1:4" ht="12.75" customHeight="1" x14ac:dyDescent="0.2">
      <c r="A2691" s="5"/>
      <c r="B2691" s="2"/>
      <c r="C2691" s="2"/>
      <c r="D2691" s="2"/>
    </row>
    <row r="2692" spans="1:4" ht="12.75" customHeight="1" x14ac:dyDescent="0.2">
      <c r="A2692" s="22" t="str">
        <f>HYPERLINK("javascript:void(0)","kerek csillámpajzs")</f>
        <v>kerek csillámpajzs</v>
      </c>
      <c r="B2692" s="21"/>
      <c r="C2692" s="21"/>
      <c r="D2692" s="21"/>
    </row>
    <row r="2693" spans="1:4" ht="12.75" customHeight="1" x14ac:dyDescent="0.2">
      <c r="A2693" s="20"/>
      <c r="B2693" s="2"/>
      <c r="C2693" s="2"/>
      <c r="D2693" s="2"/>
    </row>
    <row r="2694" spans="1:4" ht="12.75" customHeight="1" x14ac:dyDescent="0.2">
      <c r="A2694" s="21"/>
      <c r="B2694" s="3" t="s">
        <v>0</v>
      </c>
      <c r="C2694" s="20" t="s">
        <v>134</v>
      </c>
      <c r="D2694" s="21"/>
    </row>
    <row r="2695" spans="1:4" ht="12.75" customHeight="1" x14ac:dyDescent="0.2">
      <c r="A2695" s="21"/>
      <c r="B2695" s="3" t="s">
        <v>2</v>
      </c>
      <c r="C2695" s="20" t="s">
        <v>1839</v>
      </c>
      <c r="D2695" s="21"/>
    </row>
    <row r="2696" spans="1:4" ht="12.75" customHeight="1" x14ac:dyDescent="0.2">
      <c r="A2696" s="21"/>
      <c r="B2696" s="3" t="s">
        <v>1840</v>
      </c>
      <c r="C2696" s="20" t="s">
        <v>1230</v>
      </c>
      <c r="D2696" s="21"/>
    </row>
    <row r="2697" spans="1:4" ht="12.75" customHeight="1" x14ac:dyDescent="0.2">
      <c r="A2697" s="21"/>
      <c r="B2697" s="3" t="s">
        <v>9</v>
      </c>
      <c r="C2697" s="20" t="s">
        <v>233</v>
      </c>
      <c r="D2697" s="21"/>
    </row>
    <row r="2698" spans="1:4" ht="12.75" customHeight="1" x14ac:dyDescent="0.2">
      <c r="A2698" s="21"/>
      <c r="B2698" s="3" t="s">
        <v>11</v>
      </c>
      <c r="C2698" s="20" t="s">
        <v>625</v>
      </c>
      <c r="D2698" s="21"/>
    </row>
    <row r="2699" spans="1:4" ht="12.75" customHeight="1" x14ac:dyDescent="0.2">
      <c r="A2699" s="21"/>
      <c r="B2699" s="3" t="s">
        <v>16</v>
      </c>
      <c r="C2699" s="20"/>
      <c r="D2699" s="21"/>
    </row>
    <row r="2700" spans="1:4" ht="12.75" customHeight="1" x14ac:dyDescent="0.2">
      <c r="A2700" s="21"/>
      <c r="B2700" s="3" t="s">
        <v>17</v>
      </c>
      <c r="C2700" s="20" t="s">
        <v>19</v>
      </c>
      <c r="D2700" s="21"/>
    </row>
    <row r="2701" spans="1:4" ht="12.75" customHeight="1" x14ac:dyDescent="0.2">
      <c r="A2701" s="21"/>
      <c r="B2701" s="20" t="s">
        <v>18</v>
      </c>
      <c r="C2701" s="4" t="s">
        <v>57</v>
      </c>
      <c r="D2701" s="6" t="str">
        <f>HYPERLINK("javascript:void(0)","csillámgöb")</f>
        <v>csillámgöb</v>
      </c>
    </row>
    <row r="2702" spans="1:4" ht="12.75" customHeight="1" x14ac:dyDescent="0.2">
      <c r="A2702" s="21"/>
      <c r="B2702" s="21"/>
      <c r="C2702" s="4" t="s">
        <v>44</v>
      </c>
      <c r="D2702" s="6" t="str">
        <f>HYPERLINK("javascript:void(0)","nagy csillámpajzs")</f>
        <v>nagy csillámpajzs</v>
      </c>
    </row>
    <row r="2703" spans="1:4" ht="12.75" customHeight="1" x14ac:dyDescent="0.2">
      <c r="A2703" s="21"/>
      <c r="B2703" s="21"/>
      <c r="C2703" s="4" t="s">
        <v>44</v>
      </c>
      <c r="D2703" s="6" t="str">
        <f>HYPERLINK("javascript:void(0)","gyémánt testpajzs")</f>
        <v>gyémánt testpajzs</v>
      </c>
    </row>
    <row r="2704" spans="1:4" ht="12.75" customHeight="1" x14ac:dyDescent="0.2">
      <c r="A2704" s="21"/>
      <c r="B2704" s="2"/>
      <c r="C2704" s="2"/>
      <c r="D2704" s="2"/>
    </row>
    <row r="2705" spans="1:4" ht="12.75" customHeight="1" x14ac:dyDescent="0.2">
      <c r="A2705" s="21"/>
      <c r="B2705" s="2"/>
      <c r="C2705" s="2"/>
      <c r="D2705" s="2"/>
    </row>
    <row r="2706" spans="1:4" ht="12.75" customHeight="1" x14ac:dyDescent="0.2">
      <c r="A2706" s="21"/>
      <c r="B2706" s="2"/>
      <c r="C2706" s="2"/>
      <c r="D2706" s="2"/>
    </row>
    <row r="2707" spans="1:4" ht="12.75" customHeight="1" x14ac:dyDescent="0.2">
      <c r="A2707" s="21"/>
      <c r="B2707" s="2"/>
      <c r="C2707" s="2"/>
      <c r="D2707" s="2"/>
    </row>
    <row r="2708" spans="1:4" ht="12.75" customHeight="1" x14ac:dyDescent="0.2">
      <c r="A2708" s="5"/>
      <c r="B2708" s="2"/>
      <c r="C2708" s="2"/>
      <c r="D2708" s="2"/>
    </row>
    <row r="2709" spans="1:4" ht="12.75" customHeight="1" x14ac:dyDescent="0.2">
      <c r="A2709" s="22" t="str">
        <f>HYPERLINK("javascript:void(0)","rotor testpajzs")</f>
        <v>rotor testpajzs</v>
      </c>
      <c r="B2709" s="21"/>
      <c r="C2709" s="21"/>
      <c r="D2709" s="21"/>
    </row>
    <row r="2710" spans="1:4" ht="12.75" customHeight="1" x14ac:dyDescent="0.2">
      <c r="A2710" s="20"/>
      <c r="B2710" s="2"/>
      <c r="C2710" s="2"/>
      <c r="D2710" s="2"/>
    </row>
    <row r="2711" spans="1:4" ht="12.75" customHeight="1" x14ac:dyDescent="0.2">
      <c r="A2711" s="21"/>
      <c r="B2711" s="3" t="s">
        <v>0</v>
      </c>
      <c r="C2711" s="20" t="s">
        <v>376</v>
      </c>
      <c r="D2711" s="21"/>
    </row>
    <row r="2712" spans="1:4" ht="12.75" customHeight="1" x14ac:dyDescent="0.2">
      <c r="A2712" s="21"/>
      <c r="B2712" s="3" t="s">
        <v>2</v>
      </c>
      <c r="C2712" s="20" t="s">
        <v>1839</v>
      </c>
      <c r="D2712" s="21"/>
    </row>
    <row r="2713" spans="1:4" ht="12.75" customHeight="1" x14ac:dyDescent="0.2">
      <c r="A2713" s="21"/>
      <c r="B2713" s="3" t="s">
        <v>1840</v>
      </c>
      <c r="C2713" s="20" t="s">
        <v>119</v>
      </c>
      <c r="D2713" s="21"/>
    </row>
    <row r="2714" spans="1:4" ht="12.75" customHeight="1" x14ac:dyDescent="0.2">
      <c r="A2714" s="21"/>
      <c r="B2714" s="3" t="s">
        <v>9</v>
      </c>
      <c r="C2714" s="20" t="s">
        <v>262</v>
      </c>
      <c r="D2714" s="21"/>
    </row>
    <row r="2715" spans="1:4" ht="12.75" customHeight="1" x14ac:dyDescent="0.2">
      <c r="A2715" s="21"/>
      <c r="B2715" s="3" t="s">
        <v>11</v>
      </c>
      <c r="C2715" s="20" t="s">
        <v>645</v>
      </c>
      <c r="D2715" s="21"/>
    </row>
    <row r="2716" spans="1:4" ht="12.75" customHeight="1" x14ac:dyDescent="0.2">
      <c r="A2716" s="21"/>
      <c r="B2716" s="3" t="s">
        <v>16</v>
      </c>
      <c r="C2716" s="20"/>
      <c r="D2716" s="21"/>
    </row>
    <row r="2717" spans="1:4" ht="12.75" customHeight="1" x14ac:dyDescent="0.2">
      <c r="A2717" s="21"/>
      <c r="B2717" s="3" t="s">
        <v>17</v>
      </c>
      <c r="C2717" s="20" t="s">
        <v>19</v>
      </c>
      <c r="D2717" s="21"/>
    </row>
    <row r="2718" spans="1:4" ht="12.75" customHeight="1" x14ac:dyDescent="0.2">
      <c r="A2718" s="21"/>
      <c r="B2718" s="20" t="s">
        <v>18</v>
      </c>
      <c r="C2718" s="4" t="s">
        <v>44</v>
      </c>
      <c r="D2718" s="6" t="str">
        <f>HYPERLINK("javascript:void(0)","csont testpajzs")</f>
        <v>csont testpajzs</v>
      </c>
    </row>
    <row r="2719" spans="1:4" ht="12.75" customHeight="1" x14ac:dyDescent="0.2">
      <c r="A2719" s="21"/>
      <c r="B2719" s="21"/>
      <c r="C2719" s="4" t="s">
        <v>139</v>
      </c>
      <c r="D2719" s="6" t="str">
        <f>HYPERLINK("javascript:void(0)","rotorlapát")</f>
        <v>rotorlapát</v>
      </c>
    </row>
    <row r="2720" spans="1:4" ht="12.75" customHeight="1" x14ac:dyDescent="0.2">
      <c r="A2720" s="21"/>
      <c r="B2720" s="21"/>
      <c r="C2720" s="4" t="s">
        <v>67</v>
      </c>
      <c r="D2720" s="6" t="str">
        <f>HYPERLINK("javascript:void(0)","manókoponya")</f>
        <v>manókoponya</v>
      </c>
    </row>
    <row r="2721" spans="1:4" ht="12.75" customHeight="1" x14ac:dyDescent="0.2">
      <c r="A2721" s="21"/>
      <c r="B2721" s="2"/>
      <c r="C2721" s="2"/>
      <c r="D2721" s="2"/>
    </row>
    <row r="2722" spans="1:4" ht="12.75" customHeight="1" x14ac:dyDescent="0.2">
      <c r="A2722" s="21"/>
      <c r="B2722" s="2"/>
      <c r="C2722" s="2"/>
      <c r="D2722" s="2"/>
    </row>
    <row r="2723" spans="1:4" ht="12.75" customHeight="1" x14ac:dyDescent="0.2">
      <c r="A2723" s="21"/>
      <c r="B2723" s="2"/>
      <c r="C2723" s="2"/>
      <c r="D2723" s="2"/>
    </row>
    <row r="2724" spans="1:4" ht="12.75" customHeight="1" x14ac:dyDescent="0.2">
      <c r="A2724" s="21"/>
      <c r="B2724" s="2"/>
      <c r="C2724" s="2"/>
      <c r="D2724" s="2"/>
    </row>
    <row r="2725" spans="1:4" ht="12.75" customHeight="1" x14ac:dyDescent="0.2">
      <c r="A2725" s="5"/>
      <c r="B2725" s="2"/>
      <c r="C2725" s="2"/>
      <c r="D2725" s="2"/>
    </row>
    <row r="2726" spans="1:4" ht="12.75" customHeight="1" x14ac:dyDescent="0.2">
      <c r="A2726" s="22" t="str">
        <f>HYPERLINK("javascript:void(0)","bronzveretű illanat")</f>
        <v>bronzveretű illanat</v>
      </c>
      <c r="B2726" s="21"/>
      <c r="C2726" s="21"/>
      <c r="D2726" s="21"/>
    </row>
    <row r="2727" spans="1:4" ht="12.75" customHeight="1" x14ac:dyDescent="0.2">
      <c r="A2727" s="20"/>
      <c r="B2727" s="2"/>
      <c r="C2727" s="2"/>
      <c r="D2727" s="2"/>
    </row>
    <row r="2728" spans="1:4" ht="12.75" customHeight="1" x14ac:dyDescent="0.2">
      <c r="A2728" s="21"/>
      <c r="B2728" s="3" t="s">
        <v>0</v>
      </c>
      <c r="C2728" s="20" t="s">
        <v>376</v>
      </c>
      <c r="D2728" s="21"/>
    </row>
    <row r="2729" spans="1:4" ht="12.75" customHeight="1" x14ac:dyDescent="0.2">
      <c r="A2729" s="21"/>
      <c r="B2729" s="3" t="s">
        <v>2</v>
      </c>
      <c r="C2729" s="20" t="s">
        <v>1839</v>
      </c>
      <c r="D2729" s="21"/>
    </row>
    <row r="2730" spans="1:4" ht="12.75" customHeight="1" x14ac:dyDescent="0.2">
      <c r="A2730" s="21"/>
      <c r="B2730" s="3" t="s">
        <v>1840</v>
      </c>
      <c r="C2730" s="20" t="s">
        <v>119</v>
      </c>
      <c r="D2730" s="21"/>
    </row>
    <row r="2731" spans="1:4" ht="12.75" customHeight="1" x14ac:dyDescent="0.2">
      <c r="A2731" s="21"/>
      <c r="B2731" s="3" t="s">
        <v>9</v>
      </c>
      <c r="C2731" s="20" t="s">
        <v>1044</v>
      </c>
      <c r="D2731" s="21"/>
    </row>
    <row r="2732" spans="1:4" ht="12.75" customHeight="1" x14ac:dyDescent="0.2">
      <c r="A2732" s="21"/>
      <c r="B2732" s="3" t="s">
        <v>11</v>
      </c>
      <c r="C2732" s="20" t="s">
        <v>674</v>
      </c>
      <c r="D2732" s="21"/>
    </row>
    <row r="2733" spans="1:4" ht="12.75" customHeight="1" x14ac:dyDescent="0.2">
      <c r="A2733" s="21"/>
      <c r="B2733" s="3" t="s">
        <v>16</v>
      </c>
      <c r="C2733" s="20"/>
      <c r="D2733" s="21"/>
    </row>
    <row r="2734" spans="1:4" ht="12.75" customHeight="1" x14ac:dyDescent="0.2">
      <c r="A2734" s="21"/>
      <c r="B2734" s="3" t="s">
        <v>17</v>
      </c>
      <c r="C2734" s="20" t="s">
        <v>19</v>
      </c>
      <c r="D2734" s="21"/>
    </row>
    <row r="2735" spans="1:4" ht="12.75" customHeight="1" x14ac:dyDescent="0.2">
      <c r="A2735" s="21"/>
      <c r="B2735" s="20" t="s">
        <v>18</v>
      </c>
      <c r="C2735" s="4" t="s">
        <v>44</v>
      </c>
      <c r="D2735" s="6" t="str">
        <f>HYPERLINK("javascript:void(0)","rotor testpajzs")</f>
        <v>rotor testpajzs</v>
      </c>
    </row>
    <row r="2736" spans="1:4" ht="12.75" customHeight="1" x14ac:dyDescent="0.2">
      <c r="A2736" s="21"/>
      <c r="B2736" s="21"/>
      <c r="C2736" s="4" t="s">
        <v>117</v>
      </c>
      <c r="D2736" s="6" t="str">
        <f>HYPERLINK("javascript:void(0)","homokóra")</f>
        <v>homokóra</v>
      </c>
    </row>
    <row r="2737" spans="1:4" ht="12.75" customHeight="1" x14ac:dyDescent="0.2">
      <c r="A2737" s="21"/>
      <c r="B2737" s="21"/>
      <c r="C2737" s="4" t="s">
        <v>67</v>
      </c>
      <c r="D2737" s="6" t="str">
        <f>HYPERLINK("javascript:void(0)","bronzrög")</f>
        <v>bronzrög</v>
      </c>
    </row>
    <row r="2738" spans="1:4" ht="12.75" customHeight="1" x14ac:dyDescent="0.2">
      <c r="A2738" s="21"/>
      <c r="B2738" s="2"/>
      <c r="C2738" s="2"/>
      <c r="D2738" s="2"/>
    </row>
    <row r="2739" spans="1:4" ht="12.75" customHeight="1" x14ac:dyDescent="0.2">
      <c r="A2739" s="21"/>
      <c r="B2739" s="2"/>
      <c r="C2739" s="2"/>
      <c r="D2739" s="2"/>
    </row>
    <row r="2740" spans="1:4" ht="12.75" customHeight="1" x14ac:dyDescent="0.2">
      <c r="A2740" s="21"/>
      <c r="B2740" s="2"/>
      <c r="C2740" s="2"/>
      <c r="D2740" s="2"/>
    </row>
    <row r="2741" spans="1:4" ht="12.75" customHeight="1" x14ac:dyDescent="0.2">
      <c r="A2741" s="21"/>
      <c r="B2741" s="2"/>
      <c r="C2741" s="2"/>
      <c r="D2741" s="2"/>
    </row>
    <row r="2742" spans="1:4" ht="12.75" customHeight="1" x14ac:dyDescent="0.2">
      <c r="A2742" s="5"/>
      <c r="B2742" s="2"/>
      <c r="C2742" s="2"/>
      <c r="D2742" s="2"/>
    </row>
    <row r="2743" spans="1:4" ht="12.75" customHeight="1" x14ac:dyDescent="0.2">
      <c r="A2743" s="22" t="str">
        <f>HYPERLINK("javascript:void(0)","kronopajzs")</f>
        <v>kronopajzs</v>
      </c>
      <c r="B2743" s="21"/>
      <c r="C2743" s="21"/>
      <c r="D2743" s="21"/>
    </row>
    <row r="2744" spans="1:4" ht="12.75" customHeight="1" x14ac:dyDescent="0.2">
      <c r="A2744" s="20"/>
      <c r="B2744" s="2"/>
      <c r="C2744" s="2"/>
      <c r="D2744" s="2"/>
    </row>
    <row r="2745" spans="1:4" ht="12.75" customHeight="1" x14ac:dyDescent="0.2">
      <c r="A2745" s="21"/>
      <c r="B2745" s="3" t="s">
        <v>0</v>
      </c>
      <c r="C2745" s="20" t="s">
        <v>60</v>
      </c>
      <c r="D2745" s="21"/>
    </row>
    <row r="2746" spans="1:4" ht="12.75" customHeight="1" x14ac:dyDescent="0.2">
      <c r="A2746" s="21"/>
      <c r="B2746" s="3" t="s">
        <v>2</v>
      </c>
      <c r="C2746" s="20" t="s">
        <v>1839</v>
      </c>
      <c r="D2746" s="21"/>
    </row>
    <row r="2747" spans="1:4" ht="12.75" customHeight="1" x14ac:dyDescent="0.2">
      <c r="A2747" s="21"/>
      <c r="B2747" s="3" t="s">
        <v>1840</v>
      </c>
      <c r="C2747" s="20" t="s">
        <v>1213</v>
      </c>
      <c r="D2747" s="21"/>
    </row>
    <row r="2748" spans="1:4" ht="12.75" customHeight="1" x14ac:dyDescent="0.2">
      <c r="A2748" s="21"/>
      <c r="B2748" s="3" t="s">
        <v>9</v>
      </c>
      <c r="C2748" s="20" t="s">
        <v>377</v>
      </c>
      <c r="D2748" s="21"/>
    </row>
    <row r="2749" spans="1:4" ht="12.75" customHeight="1" x14ac:dyDescent="0.2">
      <c r="A2749" s="21"/>
      <c r="B2749" s="3" t="s">
        <v>11</v>
      </c>
      <c r="C2749" s="20" t="s">
        <v>660</v>
      </c>
      <c r="D2749" s="21"/>
    </row>
    <row r="2750" spans="1:4" ht="12.75" customHeight="1" x14ac:dyDescent="0.2">
      <c r="A2750" s="21"/>
      <c r="B2750" s="3" t="s">
        <v>16</v>
      </c>
      <c r="C2750" s="20"/>
      <c r="D2750" s="21"/>
    </row>
    <row r="2751" spans="1:4" ht="12.75" customHeight="1" x14ac:dyDescent="0.2">
      <c r="A2751" s="21"/>
      <c r="B2751" s="3" t="s">
        <v>17</v>
      </c>
      <c r="C2751" s="20" t="s">
        <v>19</v>
      </c>
      <c r="D2751" s="21"/>
    </row>
    <row r="2752" spans="1:4" ht="12.75" customHeight="1" x14ac:dyDescent="0.2">
      <c r="A2752" s="21"/>
      <c r="B2752" s="20" t="s">
        <v>18</v>
      </c>
      <c r="C2752" s="4" t="s">
        <v>44</v>
      </c>
      <c r="D2752" s="6" t="str">
        <f>HYPERLINK("javascript:void(0)","rotorpajzs")</f>
        <v>rotorpajzs</v>
      </c>
    </row>
    <row r="2753" spans="1:4" ht="12.75" customHeight="1" x14ac:dyDescent="0.2">
      <c r="A2753" s="21"/>
      <c r="B2753" s="21"/>
      <c r="C2753" s="4" t="s">
        <v>77</v>
      </c>
      <c r="D2753" s="6" t="str">
        <f>HYPERLINK("javascript:void(0)","igeidő")</f>
        <v>igeidő</v>
      </c>
    </row>
    <row r="2754" spans="1:4" ht="12.75" customHeight="1" x14ac:dyDescent="0.2">
      <c r="A2754" s="21"/>
      <c r="B2754" s="21"/>
      <c r="C2754" s="4" t="s">
        <v>117</v>
      </c>
      <c r="D2754" s="6" t="str">
        <f>HYPERLINK("javascript:void(0)","istenköröm")</f>
        <v>istenköröm</v>
      </c>
    </row>
    <row r="2755" spans="1:4" ht="12.75" customHeight="1" x14ac:dyDescent="0.2">
      <c r="A2755" s="21"/>
      <c r="B2755" s="2"/>
      <c r="C2755" s="2"/>
      <c r="D2755" s="2"/>
    </row>
    <row r="2756" spans="1:4" ht="12.75" customHeight="1" x14ac:dyDescent="0.2">
      <c r="A2756" s="21"/>
      <c r="B2756" s="2"/>
      <c r="C2756" s="2"/>
      <c r="D2756" s="2"/>
    </row>
    <row r="2757" spans="1:4" ht="12.75" customHeight="1" x14ac:dyDescent="0.2">
      <c r="A2757" s="21"/>
      <c r="B2757" s="2"/>
      <c r="C2757" s="2"/>
      <c r="D2757" s="2"/>
    </row>
    <row r="2758" spans="1:4" ht="12.75" customHeight="1" x14ac:dyDescent="0.2">
      <c r="A2758" s="21"/>
      <c r="B2758" s="2"/>
      <c r="C2758" s="2"/>
      <c r="D2758" s="2"/>
    </row>
    <row r="2759" spans="1:4" ht="12.75" customHeight="1" x14ac:dyDescent="0.2">
      <c r="A2759" s="5"/>
      <c r="B2759" s="2"/>
      <c r="C2759" s="2"/>
      <c r="D2759" s="2"/>
    </row>
    <row r="2760" spans="1:4" ht="12.75" customHeight="1" x14ac:dyDescent="0.2">
      <c r="A2760" s="22" t="str">
        <f>HYPERLINK("javascript:void(0)","vasveretű illanat")</f>
        <v>vasveretű illanat</v>
      </c>
      <c r="B2760" s="21"/>
      <c r="C2760" s="21"/>
      <c r="D2760" s="21"/>
    </row>
    <row r="2761" spans="1:4" ht="12.75" customHeight="1" x14ac:dyDescent="0.2">
      <c r="A2761" s="20"/>
      <c r="B2761" s="2"/>
      <c r="C2761" s="2"/>
      <c r="D2761" s="2"/>
    </row>
    <row r="2762" spans="1:4" ht="12.75" customHeight="1" x14ac:dyDescent="0.2">
      <c r="A2762" s="21"/>
      <c r="B2762" s="3" t="s">
        <v>0</v>
      </c>
      <c r="C2762" s="20" t="s">
        <v>60</v>
      </c>
      <c r="D2762" s="21"/>
    </row>
    <row r="2763" spans="1:4" ht="12.75" customHeight="1" x14ac:dyDescent="0.2">
      <c r="A2763" s="21"/>
      <c r="B2763" s="3" t="s">
        <v>2</v>
      </c>
      <c r="C2763" s="20" t="s">
        <v>1839</v>
      </c>
      <c r="D2763" s="21"/>
    </row>
    <row r="2764" spans="1:4" ht="12.75" customHeight="1" x14ac:dyDescent="0.2">
      <c r="A2764" s="21"/>
      <c r="B2764" s="3" t="s">
        <v>1840</v>
      </c>
      <c r="C2764" s="20" t="s">
        <v>1213</v>
      </c>
      <c r="D2764" s="21"/>
    </row>
    <row r="2765" spans="1:4" ht="12.75" customHeight="1" x14ac:dyDescent="0.2">
      <c r="A2765" s="21"/>
      <c r="B2765" s="3" t="s">
        <v>9</v>
      </c>
      <c r="C2765" s="20" t="s">
        <v>1993</v>
      </c>
      <c r="D2765" s="21"/>
    </row>
    <row r="2766" spans="1:4" ht="12.75" customHeight="1" x14ac:dyDescent="0.2">
      <c r="A2766" s="21"/>
      <c r="B2766" s="3" t="s">
        <v>11</v>
      </c>
      <c r="C2766" s="20" t="s">
        <v>684</v>
      </c>
      <c r="D2766" s="21"/>
    </row>
    <row r="2767" spans="1:4" ht="12.75" customHeight="1" x14ac:dyDescent="0.2">
      <c r="A2767" s="21"/>
      <c r="B2767" s="3" t="s">
        <v>16</v>
      </c>
      <c r="C2767" s="20"/>
      <c r="D2767" s="21"/>
    </row>
    <row r="2768" spans="1:4" ht="12.75" customHeight="1" x14ac:dyDescent="0.2">
      <c r="A2768" s="21"/>
      <c r="B2768" s="3" t="s">
        <v>17</v>
      </c>
      <c r="C2768" s="20" t="s">
        <v>19</v>
      </c>
      <c r="D2768" s="21"/>
    </row>
    <row r="2769" spans="1:4" ht="12.75" customHeight="1" x14ac:dyDescent="0.2">
      <c r="A2769" s="21"/>
      <c r="B2769" s="20" t="s">
        <v>18</v>
      </c>
      <c r="C2769" s="4" t="s">
        <v>44</v>
      </c>
      <c r="D2769" s="6" t="str">
        <f>HYPERLINK("javascript:void(0)","kronopajzs")</f>
        <v>kronopajzs</v>
      </c>
    </row>
    <row r="2770" spans="1:4" ht="12.75" customHeight="1" x14ac:dyDescent="0.2">
      <c r="A2770" s="21"/>
      <c r="B2770" s="21"/>
      <c r="C2770" s="4" t="s">
        <v>67</v>
      </c>
      <c r="D2770" s="6" t="str">
        <f>HYPERLINK("javascript:void(0)","vasrög")</f>
        <v>vasrög</v>
      </c>
    </row>
    <row r="2771" spans="1:4" ht="12.75" customHeight="1" x14ac:dyDescent="0.2">
      <c r="A2771" s="21"/>
      <c r="B2771" s="21"/>
      <c r="C2771" s="4" t="s">
        <v>117</v>
      </c>
      <c r="D2771" s="6" t="str">
        <f>HYPERLINK("javascript:void(0)","horog")</f>
        <v>horog</v>
      </c>
    </row>
    <row r="2772" spans="1:4" ht="12.75" customHeight="1" x14ac:dyDescent="0.2">
      <c r="A2772" s="21"/>
      <c r="B2772" s="2"/>
      <c r="C2772" s="2"/>
      <c r="D2772" s="2"/>
    </row>
    <row r="2773" spans="1:4" ht="12.75" customHeight="1" x14ac:dyDescent="0.2">
      <c r="A2773" s="21"/>
      <c r="B2773" s="2"/>
      <c r="C2773" s="2"/>
      <c r="D2773" s="2"/>
    </row>
    <row r="2774" spans="1:4" ht="12.75" customHeight="1" x14ac:dyDescent="0.2">
      <c r="A2774" s="21"/>
      <c r="B2774" s="2"/>
      <c r="C2774" s="2"/>
      <c r="D2774" s="2"/>
    </row>
    <row r="2775" spans="1:4" ht="12.75" customHeight="1" x14ac:dyDescent="0.2">
      <c r="A2775" s="21"/>
      <c r="B2775" s="2"/>
      <c r="C2775" s="2"/>
      <c r="D2775" s="2"/>
    </row>
    <row r="2776" spans="1:4" ht="12.75" customHeight="1" x14ac:dyDescent="0.2">
      <c r="A2776" s="5"/>
      <c r="B2776" s="2"/>
      <c r="C2776" s="2"/>
      <c r="D2776" s="2"/>
    </row>
    <row r="2777" spans="1:4" ht="12.75" customHeight="1" x14ac:dyDescent="0.2">
      <c r="A2777" s="22" t="str">
        <f>HYPERLINK("javascript:void(0)","krono testpajzs")</f>
        <v>krono testpajzs</v>
      </c>
      <c r="B2777" s="21"/>
      <c r="C2777" s="21"/>
      <c r="D2777" s="21"/>
    </row>
    <row r="2778" spans="1:4" ht="12.75" customHeight="1" x14ac:dyDescent="0.2">
      <c r="A2778" s="20"/>
      <c r="B2778" s="2"/>
      <c r="C2778" s="2"/>
      <c r="D2778" s="2"/>
    </row>
    <row r="2779" spans="1:4" ht="12.75" customHeight="1" x14ac:dyDescent="0.2">
      <c r="A2779" s="21"/>
      <c r="B2779" s="3" t="s">
        <v>0</v>
      </c>
      <c r="C2779" s="20" t="s">
        <v>167</v>
      </c>
      <c r="D2779" s="21"/>
    </row>
    <row r="2780" spans="1:4" ht="12.75" customHeight="1" x14ac:dyDescent="0.2">
      <c r="A2780" s="21"/>
      <c r="B2780" s="3" t="s">
        <v>2</v>
      </c>
      <c r="C2780" s="20" t="s">
        <v>1839</v>
      </c>
      <c r="D2780" s="21"/>
    </row>
    <row r="2781" spans="1:4" ht="12.75" customHeight="1" x14ac:dyDescent="0.2">
      <c r="A2781" s="21"/>
      <c r="B2781" s="3" t="s">
        <v>1840</v>
      </c>
      <c r="C2781" s="20" t="s">
        <v>330</v>
      </c>
      <c r="D2781" s="21"/>
    </row>
    <row r="2782" spans="1:4" ht="12.75" customHeight="1" x14ac:dyDescent="0.2">
      <c r="A2782" s="21"/>
      <c r="B2782" s="3" t="s">
        <v>9</v>
      </c>
      <c r="C2782" s="20" t="s">
        <v>549</v>
      </c>
      <c r="D2782" s="21"/>
    </row>
    <row r="2783" spans="1:4" ht="12.75" customHeight="1" x14ac:dyDescent="0.2">
      <c r="A2783" s="21"/>
      <c r="B2783" s="3" t="s">
        <v>11</v>
      </c>
      <c r="C2783" s="20" t="s">
        <v>674</v>
      </c>
      <c r="D2783" s="21"/>
    </row>
    <row r="2784" spans="1:4" ht="12.75" customHeight="1" x14ac:dyDescent="0.2">
      <c r="A2784" s="21"/>
      <c r="B2784" s="3" t="s">
        <v>16</v>
      </c>
      <c r="C2784" s="20"/>
      <c r="D2784" s="21"/>
    </row>
    <row r="2785" spans="1:4" ht="12.75" customHeight="1" x14ac:dyDescent="0.2">
      <c r="A2785" s="21"/>
      <c r="B2785" s="3" t="s">
        <v>17</v>
      </c>
      <c r="C2785" s="20" t="s">
        <v>19</v>
      </c>
      <c r="D2785" s="21"/>
    </row>
    <row r="2786" spans="1:4" ht="12.75" customHeight="1" x14ac:dyDescent="0.2">
      <c r="A2786" s="21"/>
      <c r="B2786" s="20" t="s">
        <v>18</v>
      </c>
      <c r="C2786" s="4" t="s">
        <v>44</v>
      </c>
      <c r="D2786" s="6" t="str">
        <f>HYPERLINK("javascript:void(0)","rotor testpajzs")</f>
        <v>rotor testpajzs</v>
      </c>
    </row>
    <row r="2787" spans="1:4" ht="12.75" customHeight="1" x14ac:dyDescent="0.2">
      <c r="A2787" s="21"/>
      <c r="B2787" s="21"/>
      <c r="C2787" s="4" t="s">
        <v>67</v>
      </c>
      <c r="D2787" s="6" t="str">
        <f>HYPERLINK("javascript:void(0)","igeidő")</f>
        <v>igeidő</v>
      </c>
    </row>
    <row r="2788" spans="1:4" ht="12.75" customHeight="1" x14ac:dyDescent="0.2">
      <c r="A2788" s="21"/>
      <c r="B2788" s="21"/>
      <c r="C2788" s="4" t="s">
        <v>382</v>
      </c>
      <c r="D2788" s="6" t="str">
        <f>HYPERLINK("javascript:void(0)","szemgödör")</f>
        <v>szemgödör</v>
      </c>
    </row>
    <row r="2789" spans="1:4" ht="12.75" customHeight="1" x14ac:dyDescent="0.2">
      <c r="A2789" s="21"/>
      <c r="B2789" s="2"/>
      <c r="C2789" s="2"/>
      <c r="D2789" s="2"/>
    </row>
    <row r="2790" spans="1:4" ht="12.75" customHeight="1" x14ac:dyDescent="0.2">
      <c r="A2790" s="21"/>
      <c r="B2790" s="2"/>
      <c r="C2790" s="2"/>
      <c r="D2790" s="2"/>
    </row>
    <row r="2791" spans="1:4" ht="12.75" customHeight="1" x14ac:dyDescent="0.2">
      <c r="A2791" s="21"/>
      <c r="B2791" s="2"/>
      <c r="C2791" s="2"/>
      <c r="D2791" s="2"/>
    </row>
    <row r="2792" spans="1:4" ht="12.75" customHeight="1" x14ac:dyDescent="0.2">
      <c r="A2792" s="21"/>
      <c r="B2792" s="2"/>
      <c r="C2792" s="2"/>
      <c r="D2792" s="2"/>
    </row>
    <row r="2793" spans="1:4" ht="12.75" customHeight="1" x14ac:dyDescent="0.2">
      <c r="A2793" s="5"/>
      <c r="B2793" s="2"/>
      <c r="C2793" s="2"/>
      <c r="D2793" s="2"/>
    </row>
    <row r="2794" spans="1:4" ht="12.75" customHeight="1" x14ac:dyDescent="0.2">
      <c r="A2794" s="22" t="str">
        <f>HYPERLINK("javascript:void(0)","ezüstveretű illanat")</f>
        <v>ezüstveretű illanat</v>
      </c>
      <c r="B2794" s="21"/>
      <c r="C2794" s="21"/>
      <c r="D2794" s="21"/>
    </row>
    <row r="2795" spans="1:4" ht="12.75" customHeight="1" x14ac:dyDescent="0.2">
      <c r="A2795" s="20"/>
      <c r="B2795" s="2"/>
      <c r="C2795" s="2"/>
      <c r="D2795" s="2"/>
    </row>
    <row r="2796" spans="1:4" ht="12.75" customHeight="1" x14ac:dyDescent="0.2">
      <c r="A2796" s="21"/>
      <c r="B2796" s="3" t="s">
        <v>0</v>
      </c>
      <c r="C2796" s="20" t="s">
        <v>167</v>
      </c>
      <c r="D2796" s="21"/>
    </row>
    <row r="2797" spans="1:4" ht="12.75" customHeight="1" x14ac:dyDescent="0.2">
      <c r="A2797" s="21"/>
      <c r="B2797" s="3" t="s">
        <v>2</v>
      </c>
      <c r="C2797" s="20" t="s">
        <v>1839</v>
      </c>
      <c r="D2797" s="21"/>
    </row>
    <row r="2798" spans="1:4" ht="12.75" customHeight="1" x14ac:dyDescent="0.2">
      <c r="A2798" s="21"/>
      <c r="B2798" s="3" t="s">
        <v>1840</v>
      </c>
      <c r="C2798" s="20" t="s">
        <v>330</v>
      </c>
      <c r="D2798" s="21"/>
    </row>
    <row r="2799" spans="1:4" ht="12.75" customHeight="1" x14ac:dyDescent="0.2">
      <c r="A2799" s="21"/>
      <c r="B2799" s="3" t="s">
        <v>9</v>
      </c>
      <c r="C2799" s="20" t="s">
        <v>2001</v>
      </c>
      <c r="D2799" s="21"/>
    </row>
    <row r="2800" spans="1:4" ht="12.75" customHeight="1" x14ac:dyDescent="0.2">
      <c r="A2800" s="21"/>
      <c r="B2800" s="3" t="s">
        <v>11</v>
      </c>
      <c r="C2800" s="20" t="s">
        <v>702</v>
      </c>
      <c r="D2800" s="21"/>
    </row>
    <row r="2801" spans="1:4" ht="12.75" customHeight="1" x14ac:dyDescent="0.2">
      <c r="A2801" s="21"/>
      <c r="B2801" s="3" t="s">
        <v>16</v>
      </c>
      <c r="C2801" s="20"/>
      <c r="D2801" s="21"/>
    </row>
    <row r="2802" spans="1:4" ht="12.75" customHeight="1" x14ac:dyDescent="0.2">
      <c r="A2802" s="21"/>
      <c r="B2802" s="3" t="s">
        <v>17</v>
      </c>
      <c r="C2802" s="20" t="s">
        <v>19</v>
      </c>
      <c r="D2802" s="21"/>
    </row>
    <row r="2803" spans="1:4" ht="12.75" customHeight="1" x14ac:dyDescent="0.2">
      <c r="A2803" s="21"/>
      <c r="B2803" s="20" t="s">
        <v>18</v>
      </c>
      <c r="C2803" s="4" t="s">
        <v>44</v>
      </c>
      <c r="D2803" s="6" t="str">
        <f>HYPERLINK("javascript:void(0)","krono testpajzs")</f>
        <v>krono testpajzs</v>
      </c>
    </row>
    <row r="2804" spans="1:4" ht="12.75" customHeight="1" x14ac:dyDescent="0.2">
      <c r="A2804" s="21"/>
      <c r="B2804" s="21"/>
      <c r="C2804" s="4" t="s">
        <v>67</v>
      </c>
      <c r="D2804" s="6" t="str">
        <f>HYPERLINK("javascript:void(0)","ezüströg")</f>
        <v>ezüströg</v>
      </c>
    </row>
    <row r="2805" spans="1:4" ht="12.75" customHeight="1" x14ac:dyDescent="0.2">
      <c r="A2805" s="21"/>
      <c r="B2805" s="21"/>
      <c r="C2805" s="4" t="s">
        <v>117</v>
      </c>
      <c r="D2805" s="6" t="str">
        <f>HYPERLINK("javascript:void(0)","morfige")</f>
        <v>morfige</v>
      </c>
    </row>
    <row r="2806" spans="1:4" ht="12.75" customHeight="1" x14ac:dyDescent="0.2">
      <c r="A2806" s="21"/>
      <c r="B2806" s="2"/>
      <c r="C2806" s="2"/>
      <c r="D2806" s="2"/>
    </row>
    <row r="2807" spans="1:4" ht="12.75" customHeight="1" x14ac:dyDescent="0.2">
      <c r="A2807" s="21"/>
      <c r="B2807" s="2"/>
      <c r="C2807" s="2"/>
      <c r="D2807" s="2"/>
    </row>
    <row r="2808" spans="1:4" ht="12.75" customHeight="1" x14ac:dyDescent="0.2">
      <c r="A2808" s="21"/>
      <c r="B2808" s="2"/>
      <c r="C2808" s="2"/>
      <c r="D2808" s="2"/>
    </row>
    <row r="2809" spans="1:4" ht="12.75" customHeight="1" x14ac:dyDescent="0.2">
      <c r="A2809" s="21"/>
      <c r="B2809" s="2"/>
      <c r="C2809" s="2"/>
      <c r="D2809" s="2"/>
    </row>
    <row r="2810" spans="1:4" ht="12.75" customHeight="1" x14ac:dyDescent="0.2">
      <c r="A2810" s="5"/>
      <c r="B2810" s="2"/>
      <c r="C2810" s="2"/>
      <c r="D2810" s="2"/>
    </row>
    <row r="2811" spans="1:4" ht="12.75" customHeight="1" x14ac:dyDescent="0.2">
      <c r="A2811" s="22" t="str">
        <f>HYPERLINK("javascript:void(0)","kacatpajzs")</f>
        <v>kacatpajzs</v>
      </c>
      <c r="B2811" s="21"/>
      <c r="C2811" s="21"/>
      <c r="D2811" s="21"/>
    </row>
    <row r="2812" spans="1:4" ht="12.75" customHeight="1" x14ac:dyDescent="0.2">
      <c r="A2812" s="20"/>
      <c r="B2812" s="2"/>
      <c r="C2812" s="2"/>
      <c r="D2812" s="2"/>
    </row>
    <row r="2813" spans="1:4" ht="12.75" customHeight="1" x14ac:dyDescent="0.2">
      <c r="A2813" s="21"/>
      <c r="B2813" s="3" t="s">
        <v>0</v>
      </c>
      <c r="C2813" s="20" t="s">
        <v>532</v>
      </c>
      <c r="D2813" s="21"/>
    </row>
    <row r="2814" spans="1:4" ht="12.75" customHeight="1" x14ac:dyDescent="0.2">
      <c r="A2814" s="21"/>
      <c r="B2814" s="3" t="s">
        <v>2</v>
      </c>
      <c r="C2814" s="20" t="s">
        <v>1839</v>
      </c>
      <c r="D2814" s="21"/>
    </row>
    <row r="2815" spans="1:4" ht="12.75" customHeight="1" x14ac:dyDescent="0.2">
      <c r="A2815" s="21"/>
      <c r="B2815" s="3" t="s">
        <v>1840</v>
      </c>
      <c r="C2815" s="20" t="s">
        <v>1263</v>
      </c>
      <c r="D2815" s="21"/>
    </row>
    <row r="2816" spans="1:4" ht="12.75" customHeight="1" x14ac:dyDescent="0.2">
      <c r="A2816" s="21"/>
      <c r="B2816" s="3" t="s">
        <v>9</v>
      </c>
      <c r="C2816" s="20" t="s">
        <v>249</v>
      </c>
      <c r="D2816" s="21"/>
    </row>
    <row r="2817" spans="1:4" ht="12.75" customHeight="1" x14ac:dyDescent="0.2">
      <c r="A2817" s="21"/>
      <c r="B2817" s="3" t="s">
        <v>11</v>
      </c>
      <c r="C2817" s="20" t="s">
        <v>684</v>
      </c>
      <c r="D2817" s="21"/>
    </row>
    <row r="2818" spans="1:4" ht="12.75" customHeight="1" x14ac:dyDescent="0.2">
      <c r="A2818" s="21"/>
      <c r="B2818" s="3" t="s">
        <v>16</v>
      </c>
      <c r="C2818" s="20"/>
      <c r="D2818" s="21"/>
    </row>
    <row r="2819" spans="1:4" ht="12.75" customHeight="1" x14ac:dyDescent="0.2">
      <c r="A2819" s="21"/>
      <c r="B2819" s="3" t="s">
        <v>17</v>
      </c>
      <c r="C2819" s="20" t="s">
        <v>19</v>
      </c>
      <c r="D2819" s="21"/>
    </row>
    <row r="2820" spans="1:4" ht="12.75" customHeight="1" x14ac:dyDescent="0.2">
      <c r="A2820" s="21"/>
      <c r="B2820" s="20" t="s">
        <v>18</v>
      </c>
      <c r="C2820" s="4" t="s">
        <v>44</v>
      </c>
      <c r="D2820" s="6" t="str">
        <f>HYPERLINK("javascript:void(0)","kronopajzs")</f>
        <v>kronopajzs</v>
      </c>
    </row>
    <row r="2821" spans="1:4" ht="12.75" customHeight="1" x14ac:dyDescent="0.2">
      <c r="A2821" s="21"/>
      <c r="B2821" s="21"/>
      <c r="C2821" s="4" t="s">
        <v>139</v>
      </c>
      <c r="D2821" s="6" t="str">
        <f>HYPERLINK("javascript:void(0)","kacat")</f>
        <v>kacat</v>
      </c>
    </row>
    <row r="2822" spans="1:4" ht="12.75" customHeight="1" x14ac:dyDescent="0.2">
      <c r="A2822" s="21"/>
      <c r="B2822" s="21"/>
      <c r="C2822" s="4" t="s">
        <v>98</v>
      </c>
      <c r="D2822" s="6" t="str">
        <f>HYPERLINK("javascript:void(0)","rozsdalap")</f>
        <v>rozsdalap</v>
      </c>
    </row>
    <row r="2823" spans="1:4" ht="12.75" customHeight="1" x14ac:dyDescent="0.2">
      <c r="A2823" s="21"/>
      <c r="B2823" s="2"/>
      <c r="C2823" s="2"/>
      <c r="D2823" s="2"/>
    </row>
    <row r="2824" spans="1:4" ht="12.75" customHeight="1" x14ac:dyDescent="0.2">
      <c r="A2824" s="21"/>
      <c r="B2824" s="2"/>
      <c r="C2824" s="2"/>
      <c r="D2824" s="2"/>
    </row>
    <row r="2825" spans="1:4" ht="12.75" customHeight="1" x14ac:dyDescent="0.2">
      <c r="A2825" s="21"/>
      <c r="B2825" s="2"/>
      <c r="C2825" s="2"/>
      <c r="D2825" s="2"/>
    </row>
    <row r="2826" spans="1:4" ht="12.75" customHeight="1" x14ac:dyDescent="0.2">
      <c r="A2826" s="21"/>
      <c r="B2826" s="2"/>
      <c r="C2826" s="2"/>
      <c r="D2826" s="2"/>
    </row>
    <row r="2827" spans="1:4" ht="12.75" customHeight="1" x14ac:dyDescent="0.2">
      <c r="A2827" s="5"/>
      <c r="B2827" s="2"/>
      <c r="C2827" s="2"/>
      <c r="D2827" s="2"/>
    </row>
    <row r="2828" spans="1:4" ht="12.75" customHeight="1" x14ac:dyDescent="0.2">
      <c r="A2828" s="22" t="str">
        <f>HYPERLINK("javascript:void(0)","aranyveretű illanat")</f>
        <v>aranyveretű illanat</v>
      </c>
      <c r="B2828" s="21"/>
      <c r="C2828" s="21"/>
      <c r="D2828" s="21"/>
    </row>
    <row r="2829" spans="1:4" ht="12.75" customHeight="1" x14ac:dyDescent="0.2">
      <c r="A2829" s="20"/>
      <c r="B2829" s="2"/>
      <c r="C2829" s="2"/>
      <c r="D2829" s="2"/>
    </row>
    <row r="2830" spans="1:4" ht="12.75" customHeight="1" x14ac:dyDescent="0.2">
      <c r="A2830" s="21"/>
      <c r="B2830" s="3" t="s">
        <v>0</v>
      </c>
      <c r="C2830" s="20" t="s">
        <v>532</v>
      </c>
      <c r="D2830" s="21"/>
    </row>
    <row r="2831" spans="1:4" ht="12.75" customHeight="1" x14ac:dyDescent="0.2">
      <c r="A2831" s="21"/>
      <c r="B2831" s="3" t="s">
        <v>2</v>
      </c>
      <c r="C2831" s="20" t="s">
        <v>1839</v>
      </c>
      <c r="D2831" s="21"/>
    </row>
    <row r="2832" spans="1:4" ht="12.75" customHeight="1" x14ac:dyDescent="0.2">
      <c r="A2832" s="21"/>
      <c r="B2832" s="3" t="s">
        <v>1840</v>
      </c>
      <c r="C2832" s="20" t="s">
        <v>1263</v>
      </c>
      <c r="D2832" s="21"/>
    </row>
    <row r="2833" spans="1:4" ht="12.75" customHeight="1" x14ac:dyDescent="0.2">
      <c r="A2833" s="21"/>
      <c r="B2833" s="3" t="s">
        <v>9</v>
      </c>
      <c r="C2833" s="20" t="s">
        <v>2010</v>
      </c>
      <c r="D2833" s="21"/>
    </row>
    <row r="2834" spans="1:4" ht="12.75" customHeight="1" x14ac:dyDescent="0.2">
      <c r="A2834" s="21"/>
      <c r="B2834" s="3" t="s">
        <v>11</v>
      </c>
      <c r="C2834" s="20" t="s">
        <v>722</v>
      </c>
      <c r="D2834" s="21"/>
    </row>
    <row r="2835" spans="1:4" ht="12.75" customHeight="1" x14ac:dyDescent="0.2">
      <c r="A2835" s="21"/>
      <c r="B2835" s="3" t="s">
        <v>16</v>
      </c>
      <c r="C2835" s="20"/>
      <c r="D2835" s="21"/>
    </row>
    <row r="2836" spans="1:4" ht="12.75" customHeight="1" x14ac:dyDescent="0.2">
      <c r="A2836" s="21"/>
      <c r="B2836" s="3" t="s">
        <v>17</v>
      </c>
      <c r="C2836" s="20" t="s">
        <v>19</v>
      </c>
      <c r="D2836" s="21"/>
    </row>
    <row r="2837" spans="1:4" ht="12.75" customHeight="1" x14ac:dyDescent="0.2">
      <c r="A2837" s="21"/>
      <c r="B2837" s="20" t="s">
        <v>18</v>
      </c>
      <c r="C2837" s="4" t="s">
        <v>44</v>
      </c>
      <c r="D2837" s="6" t="str">
        <f>HYPERLINK("javascript:void(0)","kacatpajzs")</f>
        <v>kacatpajzs</v>
      </c>
    </row>
    <row r="2838" spans="1:4" ht="12.75" customHeight="1" x14ac:dyDescent="0.2">
      <c r="A2838" s="21"/>
      <c r="B2838" s="21"/>
      <c r="C2838" s="4" t="s">
        <v>67</v>
      </c>
      <c r="D2838" s="6" t="str">
        <f>HYPERLINK("javascript:void(0)","aranyrög")</f>
        <v>aranyrög</v>
      </c>
    </row>
    <row r="2839" spans="1:4" ht="12.75" customHeight="1" x14ac:dyDescent="0.2">
      <c r="A2839" s="21"/>
      <c r="B2839" s="21"/>
      <c r="C2839" s="4" t="s">
        <v>117</v>
      </c>
      <c r="D2839" s="6" t="str">
        <f>HYPERLINK("javascript:void(0)","imázs")</f>
        <v>imázs</v>
      </c>
    </row>
    <row r="2840" spans="1:4" ht="12.75" customHeight="1" x14ac:dyDescent="0.2">
      <c r="A2840" s="21"/>
      <c r="B2840" s="2"/>
      <c r="C2840" s="2"/>
      <c r="D2840" s="2"/>
    </row>
    <row r="2841" spans="1:4" ht="12.75" customHeight="1" x14ac:dyDescent="0.2">
      <c r="A2841" s="21"/>
      <c r="B2841" s="2"/>
      <c r="C2841" s="2"/>
      <c r="D2841" s="2"/>
    </row>
    <row r="2842" spans="1:4" ht="12.75" customHeight="1" x14ac:dyDescent="0.2">
      <c r="A2842" s="21"/>
      <c r="B2842" s="2"/>
      <c r="C2842" s="2"/>
      <c r="D2842" s="2"/>
    </row>
    <row r="2843" spans="1:4" ht="12.75" customHeight="1" x14ac:dyDescent="0.2">
      <c r="A2843" s="21"/>
      <c r="B2843" s="2"/>
      <c r="C2843" s="2"/>
      <c r="D2843" s="2"/>
    </row>
    <row r="2844" spans="1:4" ht="12.75" customHeight="1" x14ac:dyDescent="0.2">
      <c r="A2844" s="5"/>
      <c r="B2844" s="2"/>
      <c r="C2844" s="2"/>
      <c r="D2844" s="2"/>
    </row>
    <row r="2845" spans="1:4" ht="12.75" customHeight="1" x14ac:dyDescent="0.2">
      <c r="A2845" s="22" t="str">
        <f>HYPERLINK("javascript:void(0)","kacat testpajzs")</f>
        <v>kacat testpajzs</v>
      </c>
      <c r="B2845" s="21"/>
      <c r="C2845" s="21"/>
      <c r="D2845" s="21"/>
    </row>
    <row r="2846" spans="1:4" ht="12.75" customHeight="1" x14ac:dyDescent="0.2">
      <c r="A2846" s="20"/>
      <c r="B2846" s="2"/>
      <c r="C2846" s="2"/>
      <c r="D2846" s="2"/>
    </row>
    <row r="2847" spans="1:4" ht="12.75" customHeight="1" x14ac:dyDescent="0.2">
      <c r="A2847" s="21"/>
      <c r="B2847" s="3" t="s">
        <v>0</v>
      </c>
      <c r="C2847" s="20" t="s">
        <v>223</v>
      </c>
      <c r="D2847" s="21"/>
    </row>
    <row r="2848" spans="1:4" ht="12.75" customHeight="1" x14ac:dyDescent="0.2">
      <c r="A2848" s="21"/>
      <c r="B2848" s="3" t="s">
        <v>2</v>
      </c>
      <c r="C2848" s="20" t="s">
        <v>1839</v>
      </c>
      <c r="D2848" s="21"/>
    </row>
    <row r="2849" spans="1:4" ht="12.75" customHeight="1" x14ac:dyDescent="0.2">
      <c r="A2849" s="21"/>
      <c r="B2849" s="3" t="s">
        <v>1840</v>
      </c>
      <c r="C2849" s="20" t="s">
        <v>1284</v>
      </c>
      <c r="D2849" s="21"/>
    </row>
    <row r="2850" spans="1:4" ht="12.75" customHeight="1" x14ac:dyDescent="0.2">
      <c r="A2850" s="21"/>
      <c r="B2850" s="3" t="s">
        <v>9</v>
      </c>
      <c r="C2850" s="20" t="s">
        <v>262</v>
      </c>
      <c r="D2850" s="21"/>
    </row>
    <row r="2851" spans="1:4" ht="12.75" customHeight="1" x14ac:dyDescent="0.2">
      <c r="A2851" s="21"/>
      <c r="B2851" s="3" t="s">
        <v>11</v>
      </c>
      <c r="C2851" s="20" t="s">
        <v>702</v>
      </c>
      <c r="D2851" s="21"/>
    </row>
    <row r="2852" spans="1:4" ht="12.75" customHeight="1" x14ac:dyDescent="0.2">
      <c r="A2852" s="21"/>
      <c r="B2852" s="3" t="s">
        <v>16</v>
      </c>
      <c r="C2852" s="20"/>
      <c r="D2852" s="21"/>
    </row>
    <row r="2853" spans="1:4" ht="12.75" customHeight="1" x14ac:dyDescent="0.2">
      <c r="A2853" s="21"/>
      <c r="B2853" s="3" t="s">
        <v>17</v>
      </c>
      <c r="C2853" s="20" t="s">
        <v>19</v>
      </c>
      <c r="D2853" s="21"/>
    </row>
    <row r="2854" spans="1:4" ht="12.75" customHeight="1" x14ac:dyDescent="0.2">
      <c r="A2854" s="21"/>
      <c r="B2854" s="20" t="s">
        <v>18</v>
      </c>
      <c r="C2854" s="4" t="s">
        <v>44</v>
      </c>
      <c r="D2854" s="6" t="str">
        <f>HYPERLINK("javascript:void(0)","krono testpajzs")</f>
        <v>krono testpajzs</v>
      </c>
    </row>
    <row r="2855" spans="1:4" ht="12.75" customHeight="1" x14ac:dyDescent="0.2">
      <c r="A2855" s="21"/>
      <c r="B2855" s="21"/>
      <c r="C2855" s="4" t="s">
        <v>163</v>
      </c>
      <c r="D2855" s="6" t="str">
        <f>HYPERLINK("javascript:void(0)","kacat")</f>
        <v>kacat</v>
      </c>
    </row>
    <row r="2856" spans="1:4" ht="12.75" customHeight="1" x14ac:dyDescent="0.2">
      <c r="A2856" s="21"/>
      <c r="B2856" s="21"/>
      <c r="C2856" s="4" t="s">
        <v>163</v>
      </c>
      <c r="D2856" s="6" t="str">
        <f>HYPERLINK("javascript:void(0)","morfige")</f>
        <v>morfige</v>
      </c>
    </row>
    <row r="2857" spans="1:4" ht="12.75" customHeight="1" x14ac:dyDescent="0.2">
      <c r="A2857" s="21"/>
      <c r="B2857" s="2"/>
      <c r="C2857" s="2"/>
      <c r="D2857" s="2"/>
    </row>
    <row r="2858" spans="1:4" ht="12.75" customHeight="1" x14ac:dyDescent="0.2">
      <c r="A2858" s="21"/>
      <c r="B2858" s="2"/>
      <c r="C2858" s="2"/>
      <c r="D2858" s="2"/>
    </row>
    <row r="2859" spans="1:4" ht="12.75" customHeight="1" x14ac:dyDescent="0.2">
      <c r="A2859" s="21"/>
      <c r="B2859" s="2"/>
      <c r="C2859" s="2"/>
      <c r="D2859" s="2"/>
    </row>
    <row r="2860" spans="1:4" ht="12.75" customHeight="1" x14ac:dyDescent="0.2">
      <c r="A2860" s="21"/>
      <c r="B2860" s="2"/>
      <c r="C2860" s="2"/>
      <c r="D2860" s="2"/>
    </row>
    <row r="2861" spans="1:4" ht="12.75" customHeight="1" x14ac:dyDescent="0.2">
      <c r="A2861" s="5"/>
      <c r="B2861" s="2"/>
      <c r="C2861" s="2"/>
      <c r="D2861" s="2"/>
    </row>
    <row r="2862" spans="1:4" ht="12.75" customHeight="1" x14ac:dyDescent="0.2">
      <c r="A2862" s="22" t="str">
        <f>HYPERLINK("javascript:void(0)","opálveretű illanat")</f>
        <v>opálveretű illanat</v>
      </c>
      <c r="B2862" s="21"/>
      <c r="C2862" s="21"/>
      <c r="D2862" s="21"/>
    </row>
    <row r="2863" spans="1:4" ht="12.75" customHeight="1" x14ac:dyDescent="0.2">
      <c r="A2863" s="20"/>
      <c r="B2863" s="2"/>
      <c r="C2863" s="2"/>
      <c r="D2863" s="2"/>
    </row>
    <row r="2864" spans="1:4" ht="12.75" customHeight="1" x14ac:dyDescent="0.2">
      <c r="A2864" s="21"/>
      <c r="B2864" s="3" t="s">
        <v>0</v>
      </c>
      <c r="C2864" s="20" t="s">
        <v>223</v>
      </c>
      <c r="D2864" s="21"/>
    </row>
    <row r="2865" spans="1:4" ht="12.75" customHeight="1" x14ac:dyDescent="0.2">
      <c r="A2865" s="21"/>
      <c r="B2865" s="3" t="s">
        <v>2</v>
      </c>
      <c r="C2865" s="20" t="s">
        <v>1839</v>
      </c>
      <c r="D2865" s="21"/>
    </row>
    <row r="2866" spans="1:4" ht="12.75" customHeight="1" x14ac:dyDescent="0.2">
      <c r="A2866" s="21"/>
      <c r="B2866" s="3" t="s">
        <v>1840</v>
      </c>
      <c r="C2866" s="20" t="s">
        <v>1284</v>
      </c>
      <c r="D2866" s="21"/>
    </row>
    <row r="2867" spans="1:4" ht="12.75" customHeight="1" x14ac:dyDescent="0.2">
      <c r="A2867" s="21"/>
      <c r="B2867" s="3" t="s">
        <v>9</v>
      </c>
      <c r="C2867" s="20" t="s">
        <v>590</v>
      </c>
      <c r="D2867" s="21"/>
    </row>
    <row r="2868" spans="1:4" ht="12.75" customHeight="1" x14ac:dyDescent="0.2">
      <c r="A2868" s="21"/>
      <c r="B2868" s="3" t="s">
        <v>11</v>
      </c>
      <c r="C2868" s="20" t="s">
        <v>739</v>
      </c>
      <c r="D2868" s="21"/>
    </row>
    <row r="2869" spans="1:4" ht="12.75" customHeight="1" x14ac:dyDescent="0.2">
      <c r="A2869" s="21"/>
      <c r="B2869" s="3" t="s">
        <v>16</v>
      </c>
      <c r="C2869" s="20"/>
      <c r="D2869" s="21"/>
    </row>
    <row r="2870" spans="1:4" ht="12.75" customHeight="1" x14ac:dyDescent="0.2">
      <c r="A2870" s="21"/>
      <c r="B2870" s="3" t="s">
        <v>17</v>
      </c>
      <c r="C2870" s="20" t="s">
        <v>19</v>
      </c>
      <c r="D2870" s="21"/>
    </row>
    <row r="2871" spans="1:4" ht="12.75" customHeight="1" x14ac:dyDescent="0.2">
      <c r="A2871" s="21"/>
      <c r="B2871" s="20" t="s">
        <v>18</v>
      </c>
      <c r="C2871" s="4" t="s">
        <v>44</v>
      </c>
      <c r="D2871" s="6" t="str">
        <f>HYPERLINK("javascript:void(0)","kacat testpajzs")</f>
        <v>kacat testpajzs</v>
      </c>
    </row>
    <row r="2872" spans="1:4" ht="12.75" customHeight="1" x14ac:dyDescent="0.2">
      <c r="A2872" s="21"/>
      <c r="B2872" s="21"/>
      <c r="C2872" s="4" t="s">
        <v>63</v>
      </c>
      <c r="D2872" s="6" t="str">
        <f>HYPERLINK("javascript:void(0)","opál")</f>
        <v>opál</v>
      </c>
    </row>
    <row r="2873" spans="1:4" ht="12.75" customHeight="1" x14ac:dyDescent="0.2">
      <c r="A2873" s="21"/>
      <c r="B2873" s="21"/>
      <c r="C2873" s="4" t="s">
        <v>117</v>
      </c>
      <c r="D2873" s="6" t="str">
        <f>HYPERLINK("javascript:void(0)","dimenzióforgács")</f>
        <v>dimenzióforgács</v>
      </c>
    </row>
    <row r="2874" spans="1:4" ht="12.75" customHeight="1" x14ac:dyDescent="0.2">
      <c r="A2874" s="21"/>
      <c r="B2874" s="2"/>
      <c r="C2874" s="2"/>
      <c r="D2874" s="2"/>
    </row>
    <row r="2875" spans="1:4" ht="12.75" customHeight="1" x14ac:dyDescent="0.2">
      <c r="A2875" s="21"/>
      <c r="B2875" s="2"/>
      <c r="C2875" s="2"/>
      <c r="D2875" s="2"/>
    </row>
    <row r="2876" spans="1:4" ht="12.75" customHeight="1" x14ac:dyDescent="0.2">
      <c r="A2876" s="21"/>
      <c r="B2876" s="2"/>
      <c r="C2876" s="2"/>
      <c r="D2876" s="2"/>
    </row>
    <row r="2877" spans="1:4" ht="12.75" customHeight="1" x14ac:dyDescent="0.2">
      <c r="A2877" s="21"/>
      <c r="B2877" s="2"/>
      <c r="C2877" s="2"/>
      <c r="D2877" s="2"/>
    </row>
    <row r="2878" spans="1:4" ht="12.75" customHeight="1" x14ac:dyDescent="0.2">
      <c r="A2878" s="5"/>
      <c r="B2878" s="2"/>
      <c r="C2878" s="2"/>
      <c r="D2878" s="2"/>
    </row>
    <row r="2879" spans="1:4" ht="12.75" customHeight="1" x14ac:dyDescent="0.2">
      <c r="A2879" s="22" t="str">
        <f>HYPERLINK("javascript:void(0)","gyíkacél pajzs")</f>
        <v>gyíkacél pajzs</v>
      </c>
      <c r="B2879" s="21"/>
      <c r="C2879" s="21"/>
      <c r="D2879" s="21"/>
    </row>
    <row r="2880" spans="1:4" ht="12.75" customHeight="1" x14ac:dyDescent="0.2">
      <c r="A2880" s="20"/>
      <c r="B2880" s="2"/>
      <c r="C2880" s="2"/>
      <c r="D2880" s="2"/>
    </row>
    <row r="2881" spans="1:4" ht="12.75" customHeight="1" x14ac:dyDescent="0.2">
      <c r="A2881" s="21"/>
      <c r="B2881" s="3" t="s">
        <v>0</v>
      </c>
      <c r="C2881" s="20" t="s">
        <v>223</v>
      </c>
      <c r="D2881" s="21"/>
    </row>
    <row r="2882" spans="1:4" ht="12.75" customHeight="1" x14ac:dyDescent="0.2">
      <c r="A2882" s="21"/>
      <c r="B2882" s="3" t="s">
        <v>2</v>
      </c>
      <c r="C2882" s="20" t="s">
        <v>1839</v>
      </c>
      <c r="D2882" s="21"/>
    </row>
    <row r="2883" spans="1:4" ht="12.75" customHeight="1" x14ac:dyDescent="0.2">
      <c r="A2883" s="21"/>
      <c r="B2883" s="3" t="s">
        <v>1840</v>
      </c>
      <c r="C2883" s="20" t="s">
        <v>1284</v>
      </c>
      <c r="D2883" s="21"/>
    </row>
    <row r="2884" spans="1:4" ht="12.75" customHeight="1" x14ac:dyDescent="0.2">
      <c r="A2884" s="21"/>
      <c r="B2884" s="3" t="s">
        <v>9</v>
      </c>
      <c r="C2884" s="20" t="s">
        <v>601</v>
      </c>
      <c r="D2884" s="21"/>
    </row>
    <row r="2885" spans="1:4" ht="12.75" customHeight="1" x14ac:dyDescent="0.2">
      <c r="A2885" s="21"/>
      <c r="B2885" s="3" t="s">
        <v>11</v>
      </c>
      <c r="C2885" s="20" t="s">
        <v>702</v>
      </c>
      <c r="D2885" s="21"/>
    </row>
    <row r="2886" spans="1:4" ht="12.75" customHeight="1" x14ac:dyDescent="0.2">
      <c r="A2886" s="21"/>
      <c r="B2886" s="3" t="s">
        <v>16</v>
      </c>
      <c r="C2886" s="20"/>
      <c r="D2886" s="21"/>
    </row>
    <row r="2887" spans="1:4" ht="12.75" customHeight="1" x14ac:dyDescent="0.2">
      <c r="A2887" s="21"/>
      <c r="B2887" s="3" t="s">
        <v>17</v>
      </c>
      <c r="C2887" s="20" t="s">
        <v>19</v>
      </c>
      <c r="D2887" s="21"/>
    </row>
    <row r="2888" spans="1:4" ht="12.75" customHeight="1" x14ac:dyDescent="0.2">
      <c r="A2888" s="21"/>
      <c r="B2888" s="20" t="s">
        <v>18</v>
      </c>
      <c r="C2888" s="4" t="s">
        <v>193</v>
      </c>
      <c r="D2888" s="6" t="str">
        <f>HYPERLINK("javascript:void(0)","méregmirigy")</f>
        <v>méregmirigy</v>
      </c>
    </row>
    <row r="2889" spans="1:4" ht="12.75" customHeight="1" x14ac:dyDescent="0.2">
      <c r="A2889" s="21"/>
      <c r="B2889" s="21"/>
      <c r="C2889" s="4" t="s">
        <v>193</v>
      </c>
      <c r="D2889" s="6" t="str">
        <f>HYPERLINK("javascript:void(0)","tűzige")</f>
        <v>tűzige</v>
      </c>
    </row>
    <row r="2890" spans="1:4" ht="12.75" customHeight="1" x14ac:dyDescent="0.2">
      <c r="A2890" s="21"/>
      <c r="B2890" s="21"/>
      <c r="C2890" s="4" t="s">
        <v>193</v>
      </c>
      <c r="D2890" s="6" t="str">
        <f>HYPERLINK("javascript:void(0)","lámpás")</f>
        <v>lámpás</v>
      </c>
    </row>
    <row r="2891" spans="1:4" ht="12.75" customHeight="1" x14ac:dyDescent="0.2">
      <c r="A2891" s="21"/>
      <c r="B2891" s="2"/>
      <c r="C2891" s="2"/>
      <c r="D2891" s="2"/>
    </row>
    <row r="2892" spans="1:4" ht="12.75" customHeight="1" x14ac:dyDescent="0.2">
      <c r="A2892" s="21"/>
      <c r="B2892" s="2"/>
      <c r="C2892" s="2"/>
      <c r="D2892" s="2"/>
    </row>
    <row r="2893" spans="1:4" ht="12.75" customHeight="1" x14ac:dyDescent="0.2">
      <c r="A2893" s="21"/>
      <c r="B2893" s="2"/>
      <c r="C2893" s="2"/>
      <c r="D2893" s="2"/>
    </row>
    <row r="2894" spans="1:4" ht="12.75" customHeight="1" x14ac:dyDescent="0.2">
      <c r="A2894" s="21"/>
      <c r="B2894" s="2"/>
      <c r="C2894" s="2"/>
      <c r="D2894" s="2"/>
    </row>
    <row r="2895" spans="1:4" ht="12.75" customHeight="1" x14ac:dyDescent="0.2">
      <c r="A2895" s="5"/>
      <c r="B2895" s="2"/>
      <c r="C2895" s="2"/>
      <c r="D2895" s="2"/>
    </row>
    <row r="2896" spans="1:4" ht="12.75" customHeight="1" x14ac:dyDescent="0.2">
      <c r="A2896" s="22" t="str">
        <f>HYPERLINK("javascript:void(0)","csillámló törpepajzs")</f>
        <v>csillámló törpepajzs</v>
      </c>
      <c r="B2896" s="21"/>
      <c r="C2896" s="21"/>
      <c r="D2896" s="21"/>
    </row>
    <row r="2897" spans="1:4" ht="12.75" customHeight="1" x14ac:dyDescent="0.2">
      <c r="A2897" s="20"/>
      <c r="B2897" s="2"/>
      <c r="C2897" s="2"/>
      <c r="D2897" s="2"/>
    </row>
    <row r="2898" spans="1:4" ht="12.75" customHeight="1" x14ac:dyDescent="0.2">
      <c r="A2898" s="21"/>
      <c r="B2898" s="3" t="s">
        <v>0</v>
      </c>
      <c r="C2898" s="20" t="s">
        <v>223</v>
      </c>
      <c r="D2898" s="21"/>
    </row>
    <row r="2899" spans="1:4" ht="12.75" customHeight="1" x14ac:dyDescent="0.2">
      <c r="A2899" s="21"/>
      <c r="B2899" s="3" t="s">
        <v>2</v>
      </c>
      <c r="C2899" s="20" t="s">
        <v>1839</v>
      </c>
      <c r="D2899" s="21"/>
    </row>
    <row r="2900" spans="1:4" ht="12.75" customHeight="1" x14ac:dyDescent="0.2">
      <c r="A2900" s="21"/>
      <c r="B2900" s="3" t="s">
        <v>1840</v>
      </c>
      <c r="C2900" s="20" t="s">
        <v>351</v>
      </c>
      <c r="D2900" s="21"/>
    </row>
    <row r="2901" spans="1:4" ht="12.75" customHeight="1" x14ac:dyDescent="0.2">
      <c r="A2901" s="21"/>
      <c r="B2901" s="3" t="s">
        <v>9</v>
      </c>
      <c r="C2901" s="20" t="s">
        <v>415</v>
      </c>
      <c r="D2901" s="21"/>
    </row>
    <row r="2902" spans="1:4" ht="12.75" customHeight="1" x14ac:dyDescent="0.2">
      <c r="A2902" s="21"/>
      <c r="B2902" s="3" t="s">
        <v>11</v>
      </c>
      <c r="C2902" s="20" t="s">
        <v>702</v>
      </c>
      <c r="D2902" s="21"/>
    </row>
    <row r="2903" spans="1:4" ht="12.75" customHeight="1" x14ac:dyDescent="0.2">
      <c r="A2903" s="21"/>
      <c r="B2903" s="3" t="s">
        <v>16</v>
      </c>
      <c r="C2903" s="20"/>
      <c r="D2903" s="21"/>
    </row>
    <row r="2904" spans="1:4" ht="12.75" customHeight="1" x14ac:dyDescent="0.2">
      <c r="A2904" s="21"/>
      <c r="B2904" s="3" t="s">
        <v>17</v>
      </c>
      <c r="C2904" s="20" t="s">
        <v>19</v>
      </c>
      <c r="D2904" s="21"/>
    </row>
    <row r="2905" spans="1:4" ht="12.75" customHeight="1" x14ac:dyDescent="0.2">
      <c r="A2905" s="21"/>
      <c r="B2905" s="20" t="s">
        <v>18</v>
      </c>
      <c r="C2905" s="4" t="s">
        <v>57</v>
      </c>
      <c r="D2905" s="6" t="str">
        <f>HYPERLINK("javascript:void(0)","csillámgöb")</f>
        <v>csillámgöb</v>
      </c>
    </row>
    <row r="2906" spans="1:4" ht="12.75" customHeight="1" x14ac:dyDescent="0.2">
      <c r="A2906" s="21"/>
      <c r="B2906" s="21"/>
      <c r="C2906" s="4" t="s">
        <v>44</v>
      </c>
      <c r="D2906" s="6" t="str">
        <f>HYPERLINK("javascript:void(0)","kerek csillámpajzs")</f>
        <v>kerek csillámpajzs</v>
      </c>
    </row>
    <row r="2907" spans="1:4" ht="12.75" customHeight="1" x14ac:dyDescent="0.2">
      <c r="A2907" s="21"/>
      <c r="B2907" s="21"/>
      <c r="C2907" s="4" t="s">
        <v>98</v>
      </c>
      <c r="D2907" s="6" t="str">
        <f>HYPERLINK("javascript:void(0)","nagy pillepajzs")</f>
        <v>nagy pillepajzs</v>
      </c>
    </row>
    <row r="2908" spans="1:4" ht="12.75" customHeight="1" x14ac:dyDescent="0.2">
      <c r="A2908" s="21"/>
      <c r="B2908" s="2"/>
      <c r="C2908" s="2"/>
      <c r="D2908" s="2"/>
    </row>
    <row r="2909" spans="1:4" ht="12.75" customHeight="1" x14ac:dyDescent="0.2">
      <c r="A2909" s="21"/>
      <c r="B2909" s="2"/>
      <c r="C2909" s="2"/>
      <c r="D2909" s="2"/>
    </row>
    <row r="2910" spans="1:4" ht="12.75" customHeight="1" x14ac:dyDescent="0.2">
      <c r="A2910" s="21"/>
      <c r="B2910" s="2"/>
      <c r="C2910" s="2"/>
      <c r="D2910" s="2"/>
    </row>
    <row r="2911" spans="1:4" ht="12.75" customHeight="1" x14ac:dyDescent="0.2">
      <c r="A2911" s="21"/>
      <c r="B2911" s="2"/>
      <c r="C2911" s="2"/>
      <c r="D2911" s="2"/>
    </row>
    <row r="2912" spans="1:4" ht="12.75" customHeight="1" x14ac:dyDescent="0.2">
      <c r="A2912" s="5"/>
      <c r="B2912" s="2"/>
      <c r="C2912" s="2"/>
      <c r="D2912" s="2"/>
    </row>
    <row r="2913" spans="1:4" ht="12.75" customHeight="1" x14ac:dyDescent="0.2">
      <c r="A2913" s="22" t="str">
        <f>HYPERLINK("javascript:void(0)","uszonypajzs")</f>
        <v>uszonypajzs</v>
      </c>
      <c r="B2913" s="21"/>
      <c r="C2913" s="21"/>
      <c r="D2913" s="21"/>
    </row>
    <row r="2914" spans="1:4" ht="12.75" customHeight="1" x14ac:dyDescent="0.2">
      <c r="A2914" s="20"/>
      <c r="B2914" s="2"/>
      <c r="C2914" s="2"/>
      <c r="D2914" s="2"/>
    </row>
    <row r="2915" spans="1:4" ht="12.75" customHeight="1" x14ac:dyDescent="0.2">
      <c r="A2915" s="21"/>
      <c r="B2915" s="3" t="s">
        <v>0</v>
      </c>
      <c r="C2915" s="20" t="s">
        <v>229</v>
      </c>
      <c r="D2915" s="21"/>
    </row>
    <row r="2916" spans="1:4" ht="12.75" customHeight="1" x14ac:dyDescent="0.2">
      <c r="A2916" s="21"/>
      <c r="B2916" s="3" t="s">
        <v>2</v>
      </c>
      <c r="C2916" s="20" t="s">
        <v>1839</v>
      </c>
      <c r="D2916" s="21"/>
    </row>
    <row r="2917" spans="1:4" ht="12.75" customHeight="1" x14ac:dyDescent="0.2">
      <c r="A2917" s="21"/>
      <c r="B2917" s="3" t="s">
        <v>1840</v>
      </c>
      <c r="C2917" s="20" t="s">
        <v>1308</v>
      </c>
      <c r="D2917" s="21"/>
    </row>
    <row r="2918" spans="1:4" ht="12.75" customHeight="1" x14ac:dyDescent="0.2">
      <c r="A2918" s="21"/>
      <c r="B2918" s="3" t="s">
        <v>9</v>
      </c>
      <c r="C2918" s="20" t="s">
        <v>377</v>
      </c>
      <c r="D2918" s="21"/>
    </row>
    <row r="2919" spans="1:4" ht="12.75" customHeight="1" x14ac:dyDescent="0.2">
      <c r="A2919" s="21"/>
      <c r="B2919" s="3" t="s">
        <v>11</v>
      </c>
      <c r="C2919" s="20" t="s">
        <v>722</v>
      </c>
      <c r="D2919" s="21"/>
    </row>
    <row r="2920" spans="1:4" ht="12.75" customHeight="1" x14ac:dyDescent="0.2">
      <c r="A2920" s="21"/>
      <c r="B2920" s="3" t="s">
        <v>16</v>
      </c>
      <c r="C2920" s="20"/>
      <c r="D2920" s="21"/>
    </row>
    <row r="2921" spans="1:4" ht="12.75" customHeight="1" x14ac:dyDescent="0.2">
      <c r="A2921" s="21"/>
      <c r="B2921" s="3" t="s">
        <v>17</v>
      </c>
      <c r="C2921" s="20" t="s">
        <v>19</v>
      </c>
      <c r="D2921" s="21"/>
    </row>
    <row r="2922" spans="1:4" ht="12.75" customHeight="1" x14ac:dyDescent="0.2">
      <c r="A2922" s="21"/>
      <c r="B2922" s="20" t="s">
        <v>18</v>
      </c>
      <c r="C2922" s="4" t="s">
        <v>44</v>
      </c>
      <c r="D2922" s="6" t="str">
        <f>HYPERLINK("javascript:void(0)","kacatpajzs")</f>
        <v>kacatpajzs</v>
      </c>
    </row>
    <row r="2923" spans="1:4" ht="12.75" customHeight="1" x14ac:dyDescent="0.2">
      <c r="A2923" s="21"/>
      <c r="B2923" s="21"/>
      <c r="C2923" s="4" t="s">
        <v>77</v>
      </c>
      <c r="D2923" s="6" t="str">
        <f>HYPERLINK("javascript:void(0)","uszony")</f>
        <v>uszony</v>
      </c>
    </row>
    <row r="2924" spans="1:4" ht="12.75" customHeight="1" x14ac:dyDescent="0.2">
      <c r="A2924" s="21"/>
      <c r="B2924" s="21"/>
      <c r="C2924" s="4" t="s">
        <v>163</v>
      </c>
      <c r="D2924" s="6" t="str">
        <f>HYPERLINK("javascript:void(0)","horog")</f>
        <v>horog</v>
      </c>
    </row>
    <row r="2925" spans="1:4" ht="12.75" customHeight="1" x14ac:dyDescent="0.2">
      <c r="A2925" s="21"/>
      <c r="B2925" s="2"/>
      <c r="C2925" s="2"/>
      <c r="D2925" s="2"/>
    </row>
    <row r="2926" spans="1:4" ht="12.75" customHeight="1" x14ac:dyDescent="0.2">
      <c r="A2926" s="21"/>
      <c r="B2926" s="2"/>
      <c r="C2926" s="2"/>
      <c r="D2926" s="2"/>
    </row>
    <row r="2927" spans="1:4" ht="12.75" customHeight="1" x14ac:dyDescent="0.2">
      <c r="A2927" s="21"/>
      <c r="B2927" s="2"/>
      <c r="C2927" s="2"/>
      <c r="D2927" s="2"/>
    </row>
    <row r="2928" spans="1:4" ht="12.75" customHeight="1" x14ac:dyDescent="0.2">
      <c r="A2928" s="21"/>
      <c r="B2928" s="2"/>
      <c r="C2928" s="2"/>
      <c r="D2928" s="2"/>
    </row>
    <row r="2929" spans="1:4" ht="12.75" customHeight="1" x14ac:dyDescent="0.2">
      <c r="A2929" s="5"/>
      <c r="B2929" s="2"/>
      <c r="C2929" s="2"/>
      <c r="D2929" s="2"/>
    </row>
    <row r="2930" spans="1:4" ht="12.75" customHeight="1" x14ac:dyDescent="0.2">
      <c r="A2930" s="22" t="str">
        <f>HYPERLINK("javascript:void(0)","smaragdveretű illanat")</f>
        <v>smaragdveretű illanat</v>
      </c>
      <c r="B2930" s="21"/>
      <c r="C2930" s="21"/>
      <c r="D2930" s="21"/>
    </row>
    <row r="2931" spans="1:4" ht="12.75" customHeight="1" x14ac:dyDescent="0.2">
      <c r="A2931" s="20"/>
      <c r="B2931" s="2"/>
      <c r="C2931" s="2"/>
      <c r="D2931" s="2"/>
    </row>
    <row r="2932" spans="1:4" ht="12.75" customHeight="1" x14ac:dyDescent="0.2">
      <c r="A2932" s="21"/>
      <c r="B2932" s="3" t="s">
        <v>0</v>
      </c>
      <c r="C2932" s="20" t="s">
        <v>229</v>
      </c>
      <c r="D2932" s="21"/>
    </row>
    <row r="2933" spans="1:4" ht="12.75" customHeight="1" x14ac:dyDescent="0.2">
      <c r="A2933" s="21"/>
      <c r="B2933" s="3" t="s">
        <v>2</v>
      </c>
      <c r="C2933" s="20" t="s">
        <v>1839</v>
      </c>
      <c r="D2933" s="21"/>
    </row>
    <row r="2934" spans="1:4" ht="12.75" customHeight="1" x14ac:dyDescent="0.2">
      <c r="A2934" s="21"/>
      <c r="B2934" s="3" t="s">
        <v>1840</v>
      </c>
      <c r="C2934" s="20" t="s">
        <v>1308</v>
      </c>
      <c r="D2934" s="21"/>
    </row>
    <row r="2935" spans="1:4" ht="12.75" customHeight="1" x14ac:dyDescent="0.2">
      <c r="A2935" s="21"/>
      <c r="B2935" s="3" t="s">
        <v>9</v>
      </c>
      <c r="C2935" s="20" t="s">
        <v>1096</v>
      </c>
      <c r="D2935" s="21"/>
    </row>
    <row r="2936" spans="1:4" ht="12.75" customHeight="1" x14ac:dyDescent="0.2">
      <c r="A2936" s="21"/>
      <c r="B2936" s="3" t="s">
        <v>11</v>
      </c>
      <c r="C2936" s="20" t="s">
        <v>754</v>
      </c>
      <c r="D2936" s="21"/>
    </row>
    <row r="2937" spans="1:4" ht="12.75" customHeight="1" x14ac:dyDescent="0.2">
      <c r="A2937" s="21"/>
      <c r="B2937" s="3" t="s">
        <v>16</v>
      </c>
      <c r="C2937" s="20"/>
      <c r="D2937" s="21"/>
    </row>
    <row r="2938" spans="1:4" ht="12.75" customHeight="1" x14ac:dyDescent="0.2">
      <c r="A2938" s="21"/>
      <c r="B2938" s="3" t="s">
        <v>17</v>
      </c>
      <c r="C2938" s="20" t="s">
        <v>19</v>
      </c>
      <c r="D2938" s="21"/>
    </row>
    <row r="2939" spans="1:4" ht="12.75" customHeight="1" x14ac:dyDescent="0.2">
      <c r="A2939" s="21"/>
      <c r="B2939" s="20" t="s">
        <v>18</v>
      </c>
      <c r="C2939" s="4" t="s">
        <v>44</v>
      </c>
      <c r="D2939" s="6" t="str">
        <f>HYPERLINK("javascript:void(0)","uszonypajzs")</f>
        <v>uszonypajzs</v>
      </c>
    </row>
    <row r="2940" spans="1:4" ht="12.75" customHeight="1" x14ac:dyDescent="0.2">
      <c r="A2940" s="21"/>
      <c r="B2940" s="21"/>
      <c r="C2940" s="4" t="s">
        <v>323</v>
      </c>
      <c r="D2940" s="6" t="str">
        <f>HYPERLINK("javascript:void(0)","smaragd")</f>
        <v>smaragd</v>
      </c>
    </row>
    <row r="2941" spans="1:4" ht="12.75" customHeight="1" x14ac:dyDescent="0.2">
      <c r="A2941" s="21"/>
      <c r="B2941" s="21"/>
      <c r="C2941" s="4" t="s">
        <v>117</v>
      </c>
      <c r="D2941" s="6" t="str">
        <f>HYPERLINK("javascript:void(0)","hacuka")</f>
        <v>hacuka</v>
      </c>
    </row>
    <row r="2942" spans="1:4" ht="12.75" customHeight="1" x14ac:dyDescent="0.2">
      <c r="A2942" s="21"/>
      <c r="B2942" s="2"/>
      <c r="C2942" s="2"/>
      <c r="D2942" s="2"/>
    </row>
    <row r="2943" spans="1:4" ht="12.75" customHeight="1" x14ac:dyDescent="0.2">
      <c r="A2943" s="21"/>
      <c r="B2943" s="2"/>
      <c r="C2943" s="2"/>
      <c r="D2943" s="2"/>
    </row>
    <row r="2944" spans="1:4" ht="12.75" customHeight="1" x14ac:dyDescent="0.2">
      <c r="A2944" s="21"/>
      <c r="B2944" s="2"/>
      <c r="C2944" s="2"/>
      <c r="D2944" s="2"/>
    </row>
    <row r="2945" spans="1:4" ht="12.75" customHeight="1" x14ac:dyDescent="0.2">
      <c r="A2945" s="21"/>
      <c r="B2945" s="2"/>
      <c r="C2945" s="2"/>
      <c r="D2945" s="2"/>
    </row>
    <row r="2946" spans="1:4" ht="12.75" customHeight="1" x14ac:dyDescent="0.2">
      <c r="A2946" s="5"/>
      <c r="B2946" s="2"/>
      <c r="C2946" s="2"/>
      <c r="D2946" s="2"/>
    </row>
    <row r="2947" spans="1:4" ht="12.75" customHeight="1" x14ac:dyDescent="0.2">
      <c r="A2947" s="22" t="str">
        <f>HYPERLINK("javascript:void(0)","uszony testpajzs")</f>
        <v>uszony testpajzs</v>
      </c>
      <c r="B2947" s="21"/>
      <c r="C2947" s="21"/>
      <c r="D2947" s="21"/>
    </row>
    <row r="2948" spans="1:4" ht="12.75" customHeight="1" x14ac:dyDescent="0.2">
      <c r="A2948" s="20"/>
      <c r="B2948" s="2"/>
      <c r="C2948" s="2"/>
      <c r="D2948" s="2"/>
    </row>
    <row r="2949" spans="1:4" ht="12.75" customHeight="1" x14ac:dyDescent="0.2">
      <c r="A2949" s="21"/>
      <c r="B2949" s="3" t="s">
        <v>0</v>
      </c>
      <c r="C2949" s="20" t="s">
        <v>562</v>
      </c>
      <c r="D2949" s="21"/>
    </row>
    <row r="2950" spans="1:4" ht="12.75" customHeight="1" x14ac:dyDescent="0.2">
      <c r="A2950" s="21"/>
      <c r="B2950" s="3" t="s">
        <v>2</v>
      </c>
      <c r="C2950" s="20" t="s">
        <v>1839</v>
      </c>
      <c r="D2950" s="21"/>
    </row>
    <row r="2951" spans="1:4" ht="12.75" customHeight="1" x14ac:dyDescent="0.2">
      <c r="A2951" s="21"/>
      <c r="B2951" s="3" t="s">
        <v>1840</v>
      </c>
      <c r="C2951" s="20" t="s">
        <v>371</v>
      </c>
      <c r="D2951" s="21"/>
    </row>
    <row r="2952" spans="1:4" ht="12.75" customHeight="1" x14ac:dyDescent="0.2">
      <c r="A2952" s="21"/>
      <c r="B2952" s="3" t="s">
        <v>9</v>
      </c>
      <c r="C2952" s="20" t="s">
        <v>549</v>
      </c>
      <c r="D2952" s="21"/>
    </row>
    <row r="2953" spans="1:4" ht="12.75" customHeight="1" x14ac:dyDescent="0.2">
      <c r="A2953" s="21"/>
      <c r="B2953" s="3" t="s">
        <v>11</v>
      </c>
      <c r="C2953" s="20" t="s">
        <v>739</v>
      </c>
      <c r="D2953" s="21"/>
    </row>
    <row r="2954" spans="1:4" ht="12.75" customHeight="1" x14ac:dyDescent="0.2">
      <c r="A2954" s="21"/>
      <c r="B2954" s="3" t="s">
        <v>16</v>
      </c>
      <c r="C2954" s="20"/>
      <c r="D2954" s="21"/>
    </row>
    <row r="2955" spans="1:4" ht="12.75" customHeight="1" x14ac:dyDescent="0.2">
      <c r="A2955" s="21"/>
      <c r="B2955" s="3" t="s">
        <v>17</v>
      </c>
      <c r="C2955" s="20" t="s">
        <v>19</v>
      </c>
      <c r="D2955" s="21"/>
    </row>
    <row r="2956" spans="1:4" ht="12.75" customHeight="1" x14ac:dyDescent="0.2">
      <c r="A2956" s="21"/>
      <c r="B2956" s="20" t="s">
        <v>18</v>
      </c>
      <c r="C2956" s="4" t="s">
        <v>44</v>
      </c>
      <c r="D2956" s="6" t="str">
        <f>HYPERLINK("javascript:void(0)","kacat testpajzs")</f>
        <v>kacat testpajzs</v>
      </c>
    </row>
    <row r="2957" spans="1:4" ht="12.75" customHeight="1" x14ac:dyDescent="0.2">
      <c r="A2957" s="21"/>
      <c r="B2957" s="21"/>
      <c r="C2957" s="4" t="s">
        <v>67</v>
      </c>
      <c r="D2957" s="6" t="str">
        <f>HYPERLINK("javascript:void(0)","uszony")</f>
        <v>uszony</v>
      </c>
    </row>
    <row r="2958" spans="1:4" ht="12.75" customHeight="1" x14ac:dyDescent="0.2">
      <c r="A2958" s="21"/>
      <c r="B2958" s="21"/>
      <c r="C2958" s="4" t="s">
        <v>132</v>
      </c>
      <c r="D2958" s="6" t="str">
        <f>HYPERLINK("javascript:void(0)","imázs")</f>
        <v>imázs</v>
      </c>
    </row>
    <row r="2959" spans="1:4" ht="12.75" customHeight="1" x14ac:dyDescent="0.2">
      <c r="A2959" s="21"/>
      <c r="B2959" s="2"/>
      <c r="C2959" s="2"/>
      <c r="D2959" s="2"/>
    </row>
    <row r="2960" spans="1:4" ht="12.75" customHeight="1" x14ac:dyDescent="0.2">
      <c r="A2960" s="21"/>
      <c r="B2960" s="2"/>
      <c r="C2960" s="2"/>
      <c r="D2960" s="2"/>
    </row>
    <row r="2961" spans="1:4" ht="12.75" customHeight="1" x14ac:dyDescent="0.2">
      <c r="A2961" s="21"/>
      <c r="B2961" s="2"/>
      <c r="C2961" s="2"/>
      <c r="D2961" s="2"/>
    </row>
    <row r="2962" spans="1:4" ht="12.75" customHeight="1" x14ac:dyDescent="0.2">
      <c r="A2962" s="21"/>
      <c r="B2962" s="2"/>
      <c r="C2962" s="2"/>
      <c r="D2962" s="2"/>
    </row>
    <row r="2963" spans="1:4" ht="12.75" customHeight="1" x14ac:dyDescent="0.2">
      <c r="A2963" s="5"/>
      <c r="B2963" s="2"/>
      <c r="C2963" s="2"/>
      <c r="D2963" s="2"/>
    </row>
    <row r="2964" spans="1:4" ht="12.75" customHeight="1" x14ac:dyDescent="0.2">
      <c r="A2964" s="22" t="str">
        <f>HYPERLINK("javascript:void(0)","rubinveretű illanat")</f>
        <v>rubinveretű illanat</v>
      </c>
      <c r="B2964" s="21"/>
      <c r="C2964" s="21"/>
      <c r="D2964" s="21"/>
    </row>
    <row r="2965" spans="1:4" ht="12.75" customHeight="1" x14ac:dyDescent="0.2">
      <c r="A2965" s="20"/>
      <c r="B2965" s="2"/>
      <c r="C2965" s="2"/>
      <c r="D2965" s="2"/>
    </row>
    <row r="2966" spans="1:4" ht="12.75" customHeight="1" x14ac:dyDescent="0.2">
      <c r="A2966" s="21"/>
      <c r="B2966" s="3" t="s">
        <v>0</v>
      </c>
      <c r="C2966" s="20" t="s">
        <v>562</v>
      </c>
      <c r="D2966" s="21"/>
    </row>
    <row r="2967" spans="1:4" ht="12.75" customHeight="1" x14ac:dyDescent="0.2">
      <c r="A2967" s="21"/>
      <c r="B2967" s="3" t="s">
        <v>2</v>
      </c>
      <c r="C2967" s="20" t="s">
        <v>1839</v>
      </c>
      <c r="D2967" s="21"/>
    </row>
    <row r="2968" spans="1:4" ht="12.75" customHeight="1" x14ac:dyDescent="0.2">
      <c r="A2968" s="21"/>
      <c r="B2968" s="3" t="s">
        <v>1840</v>
      </c>
      <c r="C2968" s="20" t="s">
        <v>371</v>
      </c>
      <c r="D2968" s="21"/>
    </row>
    <row r="2969" spans="1:4" ht="12.75" customHeight="1" x14ac:dyDescent="0.2">
      <c r="A2969" s="21"/>
      <c r="B2969" s="3" t="s">
        <v>9</v>
      </c>
      <c r="C2969" s="20" t="s">
        <v>2025</v>
      </c>
      <c r="D2969" s="21"/>
    </row>
    <row r="2970" spans="1:4" ht="12.75" customHeight="1" x14ac:dyDescent="0.2">
      <c r="A2970" s="21"/>
      <c r="B2970" s="3" t="s">
        <v>11</v>
      </c>
      <c r="C2970" s="20" t="s">
        <v>770</v>
      </c>
      <c r="D2970" s="21"/>
    </row>
    <row r="2971" spans="1:4" ht="12.75" customHeight="1" x14ac:dyDescent="0.2">
      <c r="A2971" s="21"/>
      <c r="B2971" s="3" t="s">
        <v>16</v>
      </c>
      <c r="C2971" s="20"/>
      <c r="D2971" s="21"/>
    </row>
    <row r="2972" spans="1:4" ht="12.75" customHeight="1" x14ac:dyDescent="0.2">
      <c r="A2972" s="21"/>
      <c r="B2972" s="3" t="s">
        <v>17</v>
      </c>
      <c r="C2972" s="20" t="s">
        <v>19</v>
      </c>
      <c r="D2972" s="21"/>
    </row>
    <row r="2973" spans="1:4" ht="12.75" customHeight="1" x14ac:dyDescent="0.2">
      <c r="A2973" s="21"/>
      <c r="B2973" s="20" t="s">
        <v>18</v>
      </c>
      <c r="C2973" s="4" t="s">
        <v>44</v>
      </c>
      <c r="D2973" s="6" t="str">
        <f>HYPERLINK("javascript:void(0)","uszony testpajzs")</f>
        <v>uszony testpajzs</v>
      </c>
    </row>
    <row r="2974" spans="1:4" ht="12.75" customHeight="1" x14ac:dyDescent="0.2">
      <c r="A2974" s="21"/>
      <c r="B2974" s="21"/>
      <c r="C2974" s="4" t="s">
        <v>323</v>
      </c>
      <c r="D2974" s="6" t="str">
        <f>HYPERLINK("javascript:void(0)","rubin")</f>
        <v>rubin</v>
      </c>
    </row>
    <row r="2975" spans="1:4" ht="12.75" customHeight="1" x14ac:dyDescent="0.2">
      <c r="A2975" s="21"/>
      <c r="B2975" s="21"/>
      <c r="C2975" s="4" t="s">
        <v>290</v>
      </c>
      <c r="D2975" s="6" t="str">
        <f>HYPERLINK("javascript:void(0)","rémszarv")</f>
        <v>rémszarv</v>
      </c>
    </row>
    <row r="2976" spans="1:4" ht="12.75" customHeight="1" x14ac:dyDescent="0.2">
      <c r="A2976" s="21"/>
      <c r="B2976" s="2"/>
      <c r="C2976" s="2"/>
      <c r="D2976" s="2"/>
    </row>
    <row r="2977" spans="1:4" ht="12.75" customHeight="1" x14ac:dyDescent="0.2">
      <c r="A2977" s="21"/>
      <c r="B2977" s="2"/>
      <c r="C2977" s="2"/>
      <c r="D2977" s="2"/>
    </row>
    <row r="2978" spans="1:4" ht="12.75" customHeight="1" x14ac:dyDescent="0.2">
      <c r="A2978" s="21"/>
      <c r="B2978" s="2"/>
      <c r="C2978" s="2"/>
      <c r="D2978" s="2"/>
    </row>
    <row r="2979" spans="1:4" ht="12.75" customHeight="1" x14ac:dyDescent="0.2">
      <c r="A2979" s="21"/>
      <c r="B2979" s="2"/>
      <c r="C2979" s="2"/>
      <c r="D2979" s="2"/>
    </row>
    <row r="2980" spans="1:4" ht="12.75" customHeight="1" x14ac:dyDescent="0.2">
      <c r="A2980" s="5"/>
      <c r="B2980" s="2"/>
      <c r="C2980" s="2"/>
      <c r="D2980" s="2"/>
    </row>
    <row r="2981" spans="1:4" ht="12.75" customHeight="1" x14ac:dyDescent="0.2">
      <c r="A2981" s="22" t="str">
        <f>HYPERLINK("javascript:void(0)","mechano pajzs")</f>
        <v>mechano pajzs</v>
      </c>
      <c r="B2981" s="21"/>
      <c r="C2981" s="21"/>
      <c r="D2981" s="21"/>
    </row>
    <row r="2982" spans="1:4" ht="12.75" customHeight="1" x14ac:dyDescent="0.2">
      <c r="A2982" s="20"/>
      <c r="B2982" s="2"/>
      <c r="C2982" s="2"/>
      <c r="D2982" s="2"/>
    </row>
    <row r="2983" spans="1:4" ht="12.75" customHeight="1" x14ac:dyDescent="0.2">
      <c r="A2983" s="21"/>
      <c r="B2983" s="3" t="s">
        <v>0</v>
      </c>
      <c r="C2983" s="20" t="s">
        <v>575</v>
      </c>
      <c r="D2983" s="21"/>
    </row>
    <row r="2984" spans="1:4" ht="12.75" customHeight="1" x14ac:dyDescent="0.2">
      <c r="A2984" s="21"/>
      <c r="B2984" s="3" t="s">
        <v>2</v>
      </c>
      <c r="C2984" s="20" t="s">
        <v>1839</v>
      </c>
      <c r="D2984" s="21"/>
    </row>
    <row r="2985" spans="1:4" ht="12.75" customHeight="1" x14ac:dyDescent="0.2">
      <c r="A2985" s="21"/>
      <c r="B2985" s="3" t="s">
        <v>1840</v>
      </c>
      <c r="C2985" s="20" t="s">
        <v>1355</v>
      </c>
      <c r="D2985" s="21"/>
    </row>
    <row r="2986" spans="1:4" ht="12.75" customHeight="1" x14ac:dyDescent="0.2">
      <c r="A2986" s="21"/>
      <c r="B2986" s="3" t="s">
        <v>9</v>
      </c>
      <c r="C2986" s="20" t="s">
        <v>249</v>
      </c>
      <c r="D2986" s="21"/>
    </row>
    <row r="2987" spans="1:4" ht="12.75" customHeight="1" x14ac:dyDescent="0.2">
      <c r="A2987" s="21"/>
      <c r="B2987" s="3" t="s">
        <v>11</v>
      </c>
      <c r="C2987" s="20" t="s">
        <v>754</v>
      </c>
      <c r="D2987" s="21"/>
    </row>
    <row r="2988" spans="1:4" ht="12.75" customHeight="1" x14ac:dyDescent="0.2">
      <c r="A2988" s="21"/>
      <c r="B2988" s="3" t="s">
        <v>16</v>
      </c>
      <c r="C2988" s="20"/>
      <c r="D2988" s="21"/>
    </row>
    <row r="2989" spans="1:4" ht="12.75" customHeight="1" x14ac:dyDescent="0.2">
      <c r="A2989" s="21"/>
      <c r="B2989" s="3" t="s">
        <v>17</v>
      </c>
      <c r="C2989" s="20" t="s">
        <v>19</v>
      </c>
      <c r="D2989" s="21"/>
    </row>
    <row r="2990" spans="1:4" ht="12.75" customHeight="1" x14ac:dyDescent="0.2">
      <c r="A2990" s="21"/>
      <c r="B2990" s="20" t="s">
        <v>18</v>
      </c>
      <c r="C2990" s="4" t="s">
        <v>44</v>
      </c>
      <c r="D2990" s="6" t="str">
        <f>HYPERLINK("javascript:void(0)","uszonypajzs")</f>
        <v>uszonypajzs</v>
      </c>
    </row>
    <row r="2991" spans="1:4" ht="12.75" customHeight="1" x14ac:dyDescent="0.2">
      <c r="A2991" s="21"/>
      <c r="B2991" s="21"/>
      <c r="C2991" s="4" t="s">
        <v>77</v>
      </c>
      <c r="D2991" s="6" t="str">
        <f>HYPERLINK("javascript:void(0)","betüvető")</f>
        <v>betüvető</v>
      </c>
    </row>
    <row r="2992" spans="1:4" ht="12.75" customHeight="1" x14ac:dyDescent="0.2">
      <c r="A2992" s="21"/>
      <c r="B2992" s="21"/>
      <c r="C2992" s="4" t="s">
        <v>163</v>
      </c>
      <c r="D2992" s="6" t="str">
        <f>HYPERLINK("javascript:void(0)","kacat")</f>
        <v>kacat</v>
      </c>
    </row>
    <row r="2993" spans="1:4" ht="12.75" customHeight="1" x14ac:dyDescent="0.2">
      <c r="A2993" s="21"/>
      <c r="B2993" s="2"/>
      <c r="C2993" s="2"/>
      <c r="D2993" s="2"/>
    </row>
    <row r="2994" spans="1:4" ht="12.75" customHeight="1" x14ac:dyDescent="0.2">
      <c r="A2994" s="21"/>
      <c r="B2994" s="2"/>
      <c r="C2994" s="2"/>
      <c r="D2994" s="2"/>
    </row>
    <row r="2995" spans="1:4" ht="12.75" customHeight="1" x14ac:dyDescent="0.2">
      <c r="A2995" s="21"/>
      <c r="B2995" s="2"/>
      <c r="C2995" s="2"/>
      <c r="D2995" s="2"/>
    </row>
    <row r="2996" spans="1:4" ht="12.75" customHeight="1" x14ac:dyDescent="0.2">
      <c r="A2996" s="21"/>
      <c r="B2996" s="2"/>
      <c r="C2996" s="2"/>
      <c r="D2996" s="2"/>
    </row>
    <row r="2997" spans="1:4" ht="12.75" customHeight="1" x14ac:dyDescent="0.2">
      <c r="A2997" s="5"/>
      <c r="B2997" s="2"/>
      <c r="C2997" s="2"/>
      <c r="D2997" s="2"/>
    </row>
    <row r="2998" spans="1:4" ht="12.75" customHeight="1" x14ac:dyDescent="0.2">
      <c r="A2998" s="22" t="str">
        <f>HYPERLINK("javascript:void(0)","gyémántveretű illanat")</f>
        <v>gyémántveretű illanat</v>
      </c>
      <c r="B2998" s="21"/>
      <c r="C2998" s="21"/>
      <c r="D2998" s="21"/>
    </row>
    <row r="2999" spans="1:4" ht="12.75" customHeight="1" x14ac:dyDescent="0.2">
      <c r="A2999" s="20"/>
      <c r="B2999" s="2"/>
      <c r="C2999" s="2"/>
      <c r="D2999" s="2"/>
    </row>
    <row r="3000" spans="1:4" ht="12.75" customHeight="1" x14ac:dyDescent="0.2">
      <c r="A3000" s="21"/>
      <c r="B3000" s="3" t="s">
        <v>0</v>
      </c>
      <c r="C3000" s="20" t="s">
        <v>575</v>
      </c>
      <c r="D3000" s="21"/>
    </row>
    <row r="3001" spans="1:4" ht="12.75" customHeight="1" x14ac:dyDescent="0.2">
      <c r="A3001" s="21"/>
      <c r="B3001" s="3" t="s">
        <v>2</v>
      </c>
      <c r="C3001" s="20" t="s">
        <v>1839</v>
      </c>
      <c r="D3001" s="21"/>
    </row>
    <row r="3002" spans="1:4" ht="12.75" customHeight="1" x14ac:dyDescent="0.2">
      <c r="A3002" s="21"/>
      <c r="B3002" s="3" t="s">
        <v>1840</v>
      </c>
      <c r="C3002" s="20" t="s">
        <v>1355</v>
      </c>
      <c r="D3002" s="21"/>
    </row>
    <row r="3003" spans="1:4" ht="12.75" customHeight="1" x14ac:dyDescent="0.2">
      <c r="A3003" s="21"/>
      <c r="B3003" s="3" t="s">
        <v>9</v>
      </c>
      <c r="C3003" s="20" t="s">
        <v>738</v>
      </c>
      <c r="D3003" s="21"/>
    </row>
    <row r="3004" spans="1:4" ht="12.75" customHeight="1" x14ac:dyDescent="0.2">
      <c r="A3004" s="21"/>
      <c r="B3004" s="3" t="s">
        <v>11</v>
      </c>
      <c r="C3004" s="20" t="s">
        <v>779</v>
      </c>
      <c r="D3004" s="21"/>
    </row>
    <row r="3005" spans="1:4" ht="12.75" customHeight="1" x14ac:dyDescent="0.2">
      <c r="A3005" s="21"/>
      <c r="B3005" s="3" t="s">
        <v>16</v>
      </c>
      <c r="C3005" s="20"/>
      <c r="D3005" s="21"/>
    </row>
    <row r="3006" spans="1:4" ht="12.75" customHeight="1" x14ac:dyDescent="0.2">
      <c r="A3006" s="21"/>
      <c r="B3006" s="3" t="s">
        <v>17</v>
      </c>
      <c r="C3006" s="20" t="s">
        <v>19</v>
      </c>
      <c r="D3006" s="21"/>
    </row>
    <row r="3007" spans="1:4" ht="12.75" customHeight="1" x14ac:dyDescent="0.2">
      <c r="A3007" s="21"/>
      <c r="B3007" s="20" t="s">
        <v>18</v>
      </c>
      <c r="C3007" s="4" t="s">
        <v>44</v>
      </c>
      <c r="D3007" s="6" t="str">
        <f>HYPERLINK("javascript:void(0)","mechano pajzs")</f>
        <v>mechano pajzs</v>
      </c>
    </row>
    <row r="3008" spans="1:4" ht="12.75" customHeight="1" x14ac:dyDescent="0.2">
      <c r="A3008" s="21"/>
      <c r="B3008" s="21"/>
      <c r="C3008" s="4" t="s">
        <v>323</v>
      </c>
      <c r="D3008" s="6" t="str">
        <f>HYPERLINK("javascript:void(0)","gyémánt")</f>
        <v>gyémánt</v>
      </c>
    </row>
    <row r="3009" spans="1:4" ht="12.75" customHeight="1" x14ac:dyDescent="0.2">
      <c r="A3009" s="21"/>
      <c r="B3009" s="21"/>
      <c r="C3009" s="4" t="s">
        <v>117</v>
      </c>
      <c r="D3009" s="6" t="str">
        <f>HYPERLINK("javascript:void(0)","mechodron")</f>
        <v>mechodron</v>
      </c>
    </row>
    <row r="3010" spans="1:4" ht="12.75" customHeight="1" x14ac:dyDescent="0.2">
      <c r="A3010" s="21"/>
      <c r="B3010" s="2"/>
      <c r="C3010" s="2"/>
      <c r="D3010" s="2"/>
    </row>
    <row r="3011" spans="1:4" ht="12.75" customHeight="1" x14ac:dyDescent="0.2">
      <c r="A3011" s="21"/>
      <c r="B3011" s="2"/>
      <c r="C3011" s="2"/>
      <c r="D3011" s="2"/>
    </row>
    <row r="3012" spans="1:4" ht="12.75" customHeight="1" x14ac:dyDescent="0.2">
      <c r="A3012" s="21"/>
      <c r="B3012" s="2"/>
      <c r="C3012" s="2"/>
      <c r="D3012" s="2"/>
    </row>
    <row r="3013" spans="1:4" ht="12.75" customHeight="1" x14ac:dyDescent="0.2">
      <c r="A3013" s="21"/>
      <c r="B3013" s="2"/>
      <c r="C3013" s="2"/>
      <c r="D3013" s="2"/>
    </row>
    <row r="3014" spans="1:4" ht="12.75" customHeight="1" x14ac:dyDescent="0.2">
      <c r="A3014" s="5"/>
      <c r="B3014" s="2"/>
      <c r="C3014" s="2"/>
      <c r="D3014" s="2"/>
    </row>
    <row r="3015" spans="1:4" ht="12.75" customHeight="1" x14ac:dyDescent="0.2">
      <c r="A3015" s="22" t="str">
        <f>HYPERLINK("javascript:void(0)","mechano testpajzs")</f>
        <v>mechano testpajzs</v>
      </c>
      <c r="B3015" s="21"/>
      <c r="C3015" s="21"/>
      <c r="D3015" s="21"/>
    </row>
    <row r="3016" spans="1:4" ht="12.75" customHeight="1" x14ac:dyDescent="0.2">
      <c r="A3016" s="20"/>
      <c r="B3016" s="2"/>
      <c r="C3016" s="2"/>
      <c r="D3016" s="2"/>
    </row>
    <row r="3017" spans="1:4" ht="12.75" customHeight="1" x14ac:dyDescent="0.2">
      <c r="A3017" s="21"/>
      <c r="B3017" s="3" t="s">
        <v>0</v>
      </c>
      <c r="C3017" s="20" t="s">
        <v>585</v>
      </c>
      <c r="D3017" s="21"/>
    </row>
    <row r="3018" spans="1:4" ht="12.75" customHeight="1" x14ac:dyDescent="0.2">
      <c r="A3018" s="21"/>
      <c r="B3018" s="3" t="s">
        <v>2</v>
      </c>
      <c r="C3018" s="20" t="s">
        <v>1839</v>
      </c>
      <c r="D3018" s="21"/>
    </row>
    <row r="3019" spans="1:4" ht="12.75" customHeight="1" x14ac:dyDescent="0.2">
      <c r="A3019" s="21"/>
      <c r="B3019" s="3" t="s">
        <v>1840</v>
      </c>
      <c r="C3019" s="20" t="s">
        <v>256</v>
      </c>
      <c r="D3019" s="21"/>
    </row>
    <row r="3020" spans="1:4" ht="12.75" customHeight="1" x14ac:dyDescent="0.2">
      <c r="A3020" s="21"/>
      <c r="B3020" s="3" t="s">
        <v>9</v>
      </c>
      <c r="C3020" s="20" t="s">
        <v>262</v>
      </c>
      <c r="D3020" s="21"/>
    </row>
    <row r="3021" spans="1:4" ht="12.75" customHeight="1" x14ac:dyDescent="0.2">
      <c r="A3021" s="21"/>
      <c r="B3021" s="3" t="s">
        <v>11</v>
      </c>
      <c r="C3021" s="20" t="s">
        <v>770</v>
      </c>
      <c r="D3021" s="21"/>
    </row>
    <row r="3022" spans="1:4" ht="12.75" customHeight="1" x14ac:dyDescent="0.2">
      <c r="A3022" s="21"/>
      <c r="B3022" s="3" t="s">
        <v>16</v>
      </c>
      <c r="C3022" s="20"/>
      <c r="D3022" s="21"/>
    </row>
    <row r="3023" spans="1:4" ht="12.75" customHeight="1" x14ac:dyDescent="0.2">
      <c r="A3023" s="21"/>
      <c r="B3023" s="3" t="s">
        <v>17</v>
      </c>
      <c r="C3023" s="20" t="s">
        <v>19</v>
      </c>
      <c r="D3023" s="21"/>
    </row>
    <row r="3024" spans="1:4" ht="12.75" customHeight="1" x14ac:dyDescent="0.2">
      <c r="A3024" s="21"/>
      <c r="B3024" s="20" t="s">
        <v>18</v>
      </c>
      <c r="C3024" s="4" t="s">
        <v>44</v>
      </c>
      <c r="D3024" s="6" t="str">
        <f>HYPERLINK("javascript:void(0)","uszony testpajzs")</f>
        <v>uszony testpajzs</v>
      </c>
    </row>
    <row r="3025" spans="1:4" ht="12.75" customHeight="1" x14ac:dyDescent="0.2">
      <c r="A3025" s="21"/>
      <c r="B3025" s="21"/>
      <c r="C3025" s="4" t="s">
        <v>67</v>
      </c>
      <c r="D3025" s="6" t="str">
        <f>HYPERLINK("javascript:void(0)","betüvető")</f>
        <v>betüvető</v>
      </c>
    </row>
    <row r="3026" spans="1:4" ht="12.75" customHeight="1" x14ac:dyDescent="0.2">
      <c r="A3026" s="21"/>
      <c r="B3026" s="21"/>
      <c r="C3026" s="4" t="s">
        <v>67</v>
      </c>
      <c r="D3026" s="6" t="str">
        <f>HYPERLINK("javascript:void(0)","trolltartó")</f>
        <v>trolltartó</v>
      </c>
    </row>
    <row r="3027" spans="1:4" ht="12.75" customHeight="1" x14ac:dyDescent="0.2">
      <c r="A3027" s="21"/>
      <c r="B3027" s="2"/>
      <c r="C3027" s="2"/>
      <c r="D3027" s="2"/>
    </row>
    <row r="3028" spans="1:4" ht="12.75" customHeight="1" x14ac:dyDescent="0.2">
      <c r="A3028" s="21"/>
      <c r="B3028" s="2"/>
      <c r="C3028" s="2"/>
      <c r="D3028" s="2"/>
    </row>
    <row r="3029" spans="1:4" ht="12.75" customHeight="1" x14ac:dyDescent="0.2">
      <c r="A3029" s="21"/>
      <c r="B3029" s="2"/>
      <c r="C3029" s="2"/>
      <c r="D3029" s="2"/>
    </row>
    <row r="3030" spans="1:4" ht="12.75" customHeight="1" x14ac:dyDescent="0.2">
      <c r="A3030" s="21"/>
      <c r="B3030" s="2"/>
      <c r="C3030" s="2"/>
      <c r="D3030" s="2"/>
    </row>
    <row r="3031" spans="1:4" ht="12.75" customHeight="1" x14ac:dyDescent="0.2">
      <c r="A3031" s="5"/>
      <c r="B3031" s="2"/>
      <c r="C3031" s="2"/>
      <c r="D3031" s="2"/>
    </row>
    <row r="3032" spans="1:4" ht="12.75" customHeight="1" x14ac:dyDescent="0.2">
      <c r="A3032" s="22" t="str">
        <f>HYPERLINK("javascript:void(0)","hidracél illanat")</f>
        <v>hidracél illanat</v>
      </c>
      <c r="B3032" s="21"/>
      <c r="C3032" s="21"/>
      <c r="D3032" s="21"/>
    </row>
    <row r="3033" spans="1:4" ht="12.75" customHeight="1" x14ac:dyDescent="0.2">
      <c r="A3033" s="20"/>
      <c r="B3033" s="2"/>
      <c r="C3033" s="2"/>
      <c r="D3033" s="2"/>
    </row>
    <row r="3034" spans="1:4" ht="12.75" customHeight="1" x14ac:dyDescent="0.2">
      <c r="A3034" s="21"/>
      <c r="B3034" s="3" t="s">
        <v>0</v>
      </c>
      <c r="C3034" s="20" t="s">
        <v>585</v>
      </c>
      <c r="D3034" s="21"/>
    </row>
    <row r="3035" spans="1:4" ht="12.75" customHeight="1" x14ac:dyDescent="0.2">
      <c r="A3035" s="21"/>
      <c r="B3035" s="3" t="s">
        <v>2</v>
      </c>
      <c r="C3035" s="20" t="s">
        <v>1839</v>
      </c>
      <c r="D3035" s="21"/>
    </row>
    <row r="3036" spans="1:4" ht="12.75" customHeight="1" x14ac:dyDescent="0.2">
      <c r="A3036" s="21"/>
      <c r="B3036" s="3" t="s">
        <v>1840</v>
      </c>
      <c r="C3036" s="20" t="s">
        <v>256</v>
      </c>
      <c r="D3036" s="21"/>
    </row>
    <row r="3037" spans="1:4" ht="12.75" customHeight="1" x14ac:dyDescent="0.2">
      <c r="A3037" s="21"/>
      <c r="B3037" s="3" t="s">
        <v>9</v>
      </c>
      <c r="C3037" s="20" t="s">
        <v>1034</v>
      </c>
      <c r="D3037" s="21"/>
    </row>
    <row r="3038" spans="1:4" ht="12.75" customHeight="1" x14ac:dyDescent="0.2">
      <c r="A3038" s="21"/>
      <c r="B3038" s="3" t="s">
        <v>11</v>
      </c>
      <c r="C3038" s="20" t="s">
        <v>793</v>
      </c>
      <c r="D3038" s="21"/>
    </row>
    <row r="3039" spans="1:4" ht="12.75" customHeight="1" x14ac:dyDescent="0.2">
      <c r="A3039" s="21"/>
      <c r="B3039" s="3" t="s">
        <v>16</v>
      </c>
      <c r="C3039" s="20"/>
      <c r="D3039" s="21"/>
    </row>
    <row r="3040" spans="1:4" ht="12.75" customHeight="1" x14ac:dyDescent="0.2">
      <c r="A3040" s="21"/>
      <c r="B3040" s="3" t="s">
        <v>17</v>
      </c>
      <c r="C3040" s="20" t="s">
        <v>19</v>
      </c>
      <c r="D3040" s="21"/>
    </row>
    <row r="3041" spans="1:4" ht="12.75" customHeight="1" x14ac:dyDescent="0.2">
      <c r="A3041" s="21"/>
      <c r="B3041" s="20" t="s">
        <v>18</v>
      </c>
      <c r="C3041" s="4" t="s">
        <v>44</v>
      </c>
      <c r="D3041" s="6" t="str">
        <f>HYPERLINK("javascript:void(0)","mechano testpajzs")</f>
        <v>mechano testpajzs</v>
      </c>
    </row>
    <row r="3042" spans="1:4" ht="12.75" customHeight="1" x14ac:dyDescent="0.2">
      <c r="A3042" s="21"/>
      <c r="B3042" s="21"/>
      <c r="C3042" s="4" t="s">
        <v>139</v>
      </c>
      <c r="D3042" s="6" t="str">
        <f>HYPERLINK("javascript:void(0)","szén-hidragén")</f>
        <v>szén-hidragén</v>
      </c>
    </row>
    <row r="3043" spans="1:4" ht="12.75" customHeight="1" x14ac:dyDescent="0.2">
      <c r="A3043" s="21"/>
      <c r="B3043" s="21"/>
      <c r="C3043" s="4" t="s">
        <v>117</v>
      </c>
      <c r="D3043" s="6" t="str">
        <f>HYPERLINK("javascript:void(0)","mágnes")</f>
        <v>mágnes</v>
      </c>
    </row>
    <row r="3044" spans="1:4" ht="12.75" customHeight="1" x14ac:dyDescent="0.2">
      <c r="A3044" s="21"/>
      <c r="B3044" s="2"/>
      <c r="C3044" s="2"/>
      <c r="D3044" s="2"/>
    </row>
    <row r="3045" spans="1:4" ht="12.75" customHeight="1" x14ac:dyDescent="0.2">
      <c r="A3045" s="21"/>
      <c r="B3045" s="2"/>
      <c r="C3045" s="2"/>
      <c r="D3045" s="2"/>
    </row>
    <row r="3046" spans="1:4" ht="12.75" customHeight="1" x14ac:dyDescent="0.2">
      <c r="A3046" s="21"/>
      <c r="B3046" s="2"/>
      <c r="C3046" s="2"/>
      <c r="D3046" s="2"/>
    </row>
    <row r="3047" spans="1:4" ht="12.75" customHeight="1" x14ac:dyDescent="0.2">
      <c r="A3047" s="21"/>
      <c r="B3047" s="2"/>
      <c r="C3047" s="2"/>
      <c r="D3047" s="2"/>
    </row>
    <row r="3048" spans="1:4" ht="12.75" customHeight="1" x14ac:dyDescent="0.2">
      <c r="A3048" s="5"/>
      <c r="B3048" s="2"/>
      <c r="C3048" s="2"/>
      <c r="D3048" s="2"/>
    </row>
    <row r="3049" spans="1:4" ht="12.75" customHeight="1" x14ac:dyDescent="0.2">
      <c r="A3049" s="22" t="str">
        <f>HYPERLINK("javascript:void(0)","fotoacél pajzs")</f>
        <v>fotoacél pajzs</v>
      </c>
      <c r="B3049" s="21"/>
      <c r="C3049" s="21"/>
      <c r="D3049" s="21"/>
    </row>
    <row r="3050" spans="1:4" ht="12.75" customHeight="1" x14ac:dyDescent="0.2">
      <c r="A3050" s="20"/>
      <c r="B3050" s="2"/>
      <c r="C3050" s="2"/>
      <c r="D3050" s="2"/>
    </row>
    <row r="3051" spans="1:4" ht="12.75" customHeight="1" x14ac:dyDescent="0.2">
      <c r="A3051" s="21"/>
      <c r="B3051" s="3" t="s">
        <v>0</v>
      </c>
      <c r="C3051" s="20" t="s">
        <v>151</v>
      </c>
      <c r="D3051" s="21"/>
    </row>
    <row r="3052" spans="1:4" ht="12.75" customHeight="1" x14ac:dyDescent="0.2">
      <c r="A3052" s="21"/>
      <c r="B3052" s="3" t="s">
        <v>2</v>
      </c>
      <c r="C3052" s="20" t="s">
        <v>1839</v>
      </c>
      <c r="D3052" s="21"/>
    </row>
    <row r="3053" spans="1:4" ht="12.75" customHeight="1" x14ac:dyDescent="0.2">
      <c r="A3053" s="21"/>
      <c r="B3053" s="3" t="s">
        <v>1840</v>
      </c>
      <c r="C3053" s="20" t="s">
        <v>1381</v>
      </c>
      <c r="D3053" s="21"/>
    </row>
    <row r="3054" spans="1:4" ht="12.75" customHeight="1" x14ac:dyDescent="0.2">
      <c r="A3054" s="21"/>
      <c r="B3054" s="3" t="s">
        <v>9</v>
      </c>
      <c r="C3054" s="20" t="s">
        <v>377</v>
      </c>
      <c r="D3054" s="21"/>
    </row>
    <row r="3055" spans="1:4" ht="12.75" customHeight="1" x14ac:dyDescent="0.2">
      <c r="A3055" s="21"/>
      <c r="B3055" s="3" t="s">
        <v>11</v>
      </c>
      <c r="C3055" s="20" t="s">
        <v>779</v>
      </c>
      <c r="D3055" s="21"/>
    </row>
    <row r="3056" spans="1:4" ht="12.75" customHeight="1" x14ac:dyDescent="0.2">
      <c r="A3056" s="21"/>
      <c r="B3056" s="3" t="s">
        <v>16</v>
      </c>
      <c r="C3056" s="20"/>
      <c r="D3056" s="21"/>
    </row>
    <row r="3057" spans="1:4" ht="12.75" customHeight="1" x14ac:dyDescent="0.2">
      <c r="A3057" s="21"/>
      <c r="B3057" s="3" t="s">
        <v>17</v>
      </c>
      <c r="C3057" s="20" t="s">
        <v>19</v>
      </c>
      <c r="D3057" s="21"/>
    </row>
    <row r="3058" spans="1:4" ht="12.75" customHeight="1" x14ac:dyDescent="0.2">
      <c r="A3058" s="21"/>
      <c r="B3058" s="20" t="s">
        <v>18</v>
      </c>
      <c r="C3058" s="4" t="s">
        <v>44</v>
      </c>
      <c r="D3058" s="6" t="str">
        <f>HYPERLINK("javascript:void(0)","mechano pajzs")</f>
        <v>mechano pajzs</v>
      </c>
    </row>
    <row r="3059" spans="1:4" ht="12.75" customHeight="1" x14ac:dyDescent="0.2">
      <c r="A3059" s="21"/>
      <c r="B3059" s="21"/>
      <c r="C3059" s="4" t="s">
        <v>130</v>
      </c>
      <c r="D3059" s="6" t="str">
        <f>HYPERLINK("javascript:void(0)","fotogén")</f>
        <v>fotogén</v>
      </c>
    </row>
    <row r="3060" spans="1:4" ht="12.75" customHeight="1" x14ac:dyDescent="0.2">
      <c r="A3060" s="21"/>
      <c r="B3060" s="21"/>
      <c r="C3060" s="4" t="s">
        <v>193</v>
      </c>
      <c r="D3060" s="6" t="str">
        <f>HYPERLINK("javascript:void(0)","ámbra")</f>
        <v>ámbra</v>
      </c>
    </row>
    <row r="3061" spans="1:4" ht="12.75" customHeight="1" x14ac:dyDescent="0.2">
      <c r="A3061" s="21"/>
      <c r="B3061" s="2"/>
      <c r="C3061" s="2"/>
      <c r="D3061" s="2"/>
    </row>
    <row r="3062" spans="1:4" ht="12.75" customHeight="1" x14ac:dyDescent="0.2">
      <c r="A3062" s="21"/>
      <c r="B3062" s="2"/>
      <c r="C3062" s="2"/>
      <c r="D3062" s="2"/>
    </row>
    <row r="3063" spans="1:4" ht="12.75" customHeight="1" x14ac:dyDescent="0.2">
      <c r="A3063" s="21"/>
      <c r="B3063" s="2"/>
      <c r="C3063" s="2"/>
      <c r="D3063" s="2"/>
    </row>
    <row r="3064" spans="1:4" ht="12.75" customHeight="1" x14ac:dyDescent="0.2">
      <c r="A3064" s="21"/>
      <c r="B3064" s="2"/>
      <c r="C3064" s="2"/>
      <c r="D3064" s="2"/>
    </row>
    <row r="3065" spans="1:4" ht="12.75" customHeight="1" x14ac:dyDescent="0.2">
      <c r="A3065" s="5"/>
      <c r="B3065" s="2"/>
      <c r="C3065" s="2"/>
      <c r="D3065" s="2"/>
    </row>
    <row r="3066" spans="1:4" ht="12.75" customHeight="1" x14ac:dyDescent="0.2">
      <c r="A3066" s="22" t="str">
        <f>HYPERLINK("javascript:void(0)","diszproveretű illanat")</f>
        <v>diszproveretű illanat</v>
      </c>
      <c r="B3066" s="21"/>
      <c r="C3066" s="21"/>
      <c r="D3066" s="21"/>
    </row>
    <row r="3067" spans="1:4" ht="12.75" customHeight="1" x14ac:dyDescent="0.2">
      <c r="A3067" s="20"/>
      <c r="B3067" s="2"/>
      <c r="C3067" s="2"/>
      <c r="D3067" s="2"/>
    </row>
    <row r="3068" spans="1:4" ht="12.75" customHeight="1" x14ac:dyDescent="0.2">
      <c r="A3068" s="21"/>
      <c r="B3068" s="3" t="s">
        <v>0</v>
      </c>
      <c r="C3068" s="20" t="s">
        <v>151</v>
      </c>
      <c r="D3068" s="21"/>
    </row>
    <row r="3069" spans="1:4" ht="12.75" customHeight="1" x14ac:dyDescent="0.2">
      <c r="A3069" s="21"/>
      <c r="B3069" s="3" t="s">
        <v>2</v>
      </c>
      <c r="C3069" s="20" t="s">
        <v>1839</v>
      </c>
      <c r="D3069" s="21"/>
    </row>
    <row r="3070" spans="1:4" ht="12.75" customHeight="1" x14ac:dyDescent="0.2">
      <c r="A3070" s="21"/>
      <c r="B3070" s="3" t="s">
        <v>1840</v>
      </c>
      <c r="C3070" s="20" t="s">
        <v>1381</v>
      </c>
      <c r="D3070" s="21"/>
    </row>
    <row r="3071" spans="1:4" ht="12.75" customHeight="1" x14ac:dyDescent="0.2">
      <c r="A3071" s="21"/>
      <c r="B3071" s="3" t="s">
        <v>9</v>
      </c>
      <c r="C3071" s="20" t="s">
        <v>10</v>
      </c>
      <c r="D3071" s="21"/>
    </row>
    <row r="3072" spans="1:4" ht="12.75" customHeight="1" x14ac:dyDescent="0.2">
      <c r="A3072" s="21"/>
      <c r="B3072" s="3" t="s">
        <v>11</v>
      </c>
      <c r="C3072" s="20" t="s">
        <v>817</v>
      </c>
      <c r="D3072" s="21"/>
    </row>
    <row r="3073" spans="1:4" ht="12.75" customHeight="1" x14ac:dyDescent="0.2">
      <c r="A3073" s="21"/>
      <c r="B3073" s="3" t="s">
        <v>16</v>
      </c>
      <c r="C3073" s="20"/>
      <c r="D3073" s="21"/>
    </row>
    <row r="3074" spans="1:4" ht="12.75" customHeight="1" x14ac:dyDescent="0.2">
      <c r="A3074" s="21"/>
      <c r="B3074" s="3" t="s">
        <v>17</v>
      </c>
      <c r="C3074" s="20" t="s">
        <v>19</v>
      </c>
      <c r="D3074" s="21"/>
    </row>
    <row r="3075" spans="1:4" ht="12.75" customHeight="1" x14ac:dyDescent="0.2">
      <c r="A3075" s="21"/>
      <c r="B3075" s="20" t="s">
        <v>18</v>
      </c>
      <c r="C3075" s="4" t="s">
        <v>44</v>
      </c>
      <c r="D3075" s="6" t="str">
        <f>HYPERLINK("javascript:void(0)","fotoacél pajzs")</f>
        <v>fotoacél pajzs</v>
      </c>
    </row>
    <row r="3076" spans="1:4" ht="12.75" customHeight="1" x14ac:dyDescent="0.2">
      <c r="A3076" s="21"/>
      <c r="B3076" s="21"/>
      <c r="C3076" s="4" t="s">
        <v>474</v>
      </c>
      <c r="D3076" s="6" t="str">
        <f>HYPERLINK("javascript:void(0)","diszprózium")</f>
        <v>diszprózium</v>
      </c>
    </row>
    <row r="3077" spans="1:4" ht="12.75" customHeight="1" x14ac:dyDescent="0.2">
      <c r="A3077" s="21"/>
      <c r="B3077" s="21"/>
      <c r="C3077" s="4" t="s">
        <v>117</v>
      </c>
      <c r="D3077" s="6" t="str">
        <f>HYPERLINK("javascript:void(0)","kispárna")</f>
        <v>kispárna</v>
      </c>
    </row>
    <row r="3078" spans="1:4" ht="12.75" customHeight="1" x14ac:dyDescent="0.2">
      <c r="A3078" s="21"/>
      <c r="B3078" s="2"/>
      <c r="C3078" s="2"/>
      <c r="D3078" s="2"/>
    </row>
    <row r="3079" spans="1:4" ht="12.75" customHeight="1" x14ac:dyDescent="0.2">
      <c r="A3079" s="21"/>
      <c r="B3079" s="2"/>
      <c r="C3079" s="2"/>
      <c r="D3079" s="2"/>
    </row>
    <row r="3080" spans="1:4" ht="12.75" customHeight="1" x14ac:dyDescent="0.2">
      <c r="A3080" s="21"/>
      <c r="B3080" s="2"/>
      <c r="C3080" s="2"/>
      <c r="D3080" s="2"/>
    </row>
    <row r="3081" spans="1:4" ht="12.75" customHeight="1" x14ac:dyDescent="0.2">
      <c r="A3081" s="21"/>
      <c r="B3081" s="2"/>
      <c r="C3081" s="2"/>
      <c r="D3081" s="2"/>
    </row>
    <row r="3082" spans="1:4" ht="12.75" customHeight="1" x14ac:dyDescent="0.2">
      <c r="A3082" s="5"/>
      <c r="B3082" s="2"/>
      <c r="C3082" s="2"/>
      <c r="D3082" s="2"/>
    </row>
    <row r="3083" spans="1:4" ht="12.75" customHeight="1" x14ac:dyDescent="0.2">
      <c r="A3083" s="22" t="str">
        <f>HYPERLINK("javascript:void(0)","csillámló elfpajzs")</f>
        <v>csillámló elfpajzs</v>
      </c>
      <c r="B3083" s="21"/>
      <c r="C3083" s="21"/>
      <c r="D3083" s="21"/>
    </row>
    <row r="3084" spans="1:4" ht="12.75" customHeight="1" x14ac:dyDescent="0.2">
      <c r="A3084" s="20"/>
      <c r="B3084" s="2"/>
      <c r="C3084" s="2"/>
      <c r="D3084" s="2"/>
    </row>
    <row r="3085" spans="1:4" ht="12.75" customHeight="1" x14ac:dyDescent="0.2">
      <c r="A3085" s="21"/>
      <c r="B3085" s="3" t="s">
        <v>0</v>
      </c>
      <c r="C3085" s="20" t="s">
        <v>151</v>
      </c>
      <c r="D3085" s="21"/>
    </row>
    <row r="3086" spans="1:4" ht="12.75" customHeight="1" x14ac:dyDescent="0.2">
      <c r="A3086" s="21"/>
      <c r="B3086" s="3" t="s">
        <v>2</v>
      </c>
      <c r="C3086" s="20" t="s">
        <v>1839</v>
      </c>
      <c r="D3086" s="21"/>
    </row>
    <row r="3087" spans="1:4" ht="12.75" customHeight="1" x14ac:dyDescent="0.2">
      <c r="A3087" s="21"/>
      <c r="B3087" s="3" t="s">
        <v>1840</v>
      </c>
      <c r="C3087" s="20" t="s">
        <v>1422</v>
      </c>
      <c r="D3087" s="21"/>
    </row>
    <row r="3088" spans="1:4" ht="12.75" customHeight="1" x14ac:dyDescent="0.2">
      <c r="A3088" s="21"/>
      <c r="B3088" s="3" t="s">
        <v>9</v>
      </c>
      <c r="C3088" s="20" t="s">
        <v>135</v>
      </c>
      <c r="D3088" s="21"/>
    </row>
    <row r="3089" spans="1:4" ht="12.75" customHeight="1" x14ac:dyDescent="0.2">
      <c r="A3089" s="21"/>
      <c r="B3089" s="3" t="s">
        <v>11</v>
      </c>
      <c r="C3089" s="20" t="s">
        <v>779</v>
      </c>
      <c r="D3089" s="21"/>
    </row>
    <row r="3090" spans="1:4" ht="12.75" customHeight="1" x14ac:dyDescent="0.2">
      <c r="A3090" s="21"/>
      <c r="B3090" s="3" t="s">
        <v>16</v>
      </c>
      <c r="C3090" s="20"/>
      <c r="D3090" s="21"/>
    </row>
    <row r="3091" spans="1:4" ht="12.75" customHeight="1" x14ac:dyDescent="0.2">
      <c r="A3091" s="21"/>
      <c r="B3091" s="3" t="s">
        <v>17</v>
      </c>
      <c r="C3091" s="20" t="s">
        <v>19</v>
      </c>
      <c r="D3091" s="21"/>
    </row>
    <row r="3092" spans="1:4" ht="12.75" customHeight="1" x14ac:dyDescent="0.2">
      <c r="A3092" s="21"/>
      <c r="B3092" s="20" t="s">
        <v>18</v>
      </c>
      <c r="C3092" s="4" t="s">
        <v>57</v>
      </c>
      <c r="D3092" s="6" t="str">
        <f>HYPERLINK("javascript:void(0)","csillámgöb")</f>
        <v>csillámgöb</v>
      </c>
    </row>
    <row r="3093" spans="1:4" ht="12.75" customHeight="1" x14ac:dyDescent="0.2">
      <c r="A3093" s="21"/>
      <c r="B3093" s="21"/>
      <c r="C3093" s="4" t="s">
        <v>44</v>
      </c>
      <c r="D3093" s="6" t="str">
        <f>HYPERLINK("javascript:void(0)","csillámló törpepajzs")</f>
        <v>csillámló törpepajzs</v>
      </c>
    </row>
    <row r="3094" spans="1:4" ht="12.75" customHeight="1" x14ac:dyDescent="0.2">
      <c r="A3094" s="21"/>
      <c r="B3094" s="21"/>
      <c r="C3094" s="4" t="s">
        <v>44</v>
      </c>
      <c r="D3094" s="6" t="str">
        <f>HYPERLINK("javascript:void(0)","gyíkacél pajzs")</f>
        <v>gyíkacél pajzs</v>
      </c>
    </row>
    <row r="3095" spans="1:4" ht="12.75" customHeight="1" x14ac:dyDescent="0.2">
      <c r="A3095" s="21"/>
      <c r="B3095" s="2"/>
      <c r="C3095" s="2"/>
      <c r="D3095" s="2"/>
    </row>
    <row r="3096" spans="1:4" ht="12.75" customHeight="1" x14ac:dyDescent="0.2">
      <c r="A3096" s="21"/>
      <c r="B3096" s="2"/>
      <c r="C3096" s="2"/>
      <c r="D3096" s="2"/>
    </row>
    <row r="3097" spans="1:4" ht="12.75" customHeight="1" x14ac:dyDescent="0.2">
      <c r="A3097" s="21"/>
      <c r="B3097" s="2"/>
      <c r="C3097" s="2"/>
      <c r="D3097" s="2"/>
    </row>
    <row r="3098" spans="1:4" ht="12.75" customHeight="1" x14ac:dyDescent="0.2">
      <c r="A3098" s="21"/>
      <c r="B3098" s="2"/>
      <c r="C3098" s="2"/>
      <c r="D3098" s="2"/>
    </row>
    <row r="3099" spans="1:4" ht="12.75" customHeight="1" x14ac:dyDescent="0.2">
      <c r="A3099" s="5"/>
      <c r="B3099" s="2"/>
      <c r="C3099" s="2"/>
      <c r="D3099" s="2"/>
    </row>
    <row r="3100" spans="1:4" ht="12.75" customHeight="1" x14ac:dyDescent="0.2">
      <c r="A3100" s="22" t="str">
        <f>HYPERLINK("javascript:void(0)","fotoacél testpajzs")</f>
        <v>fotoacél testpajzs</v>
      </c>
      <c r="B3100" s="21"/>
      <c r="C3100" s="21"/>
      <c r="D3100" s="21"/>
    </row>
    <row r="3101" spans="1:4" ht="12.75" customHeight="1" x14ac:dyDescent="0.2">
      <c r="A3101" s="20"/>
      <c r="B3101" s="2"/>
      <c r="C3101" s="2"/>
      <c r="D3101" s="2"/>
    </row>
    <row r="3102" spans="1:4" ht="12.75" customHeight="1" x14ac:dyDescent="0.2">
      <c r="A3102" s="21"/>
      <c r="B3102" s="3" t="s">
        <v>0</v>
      </c>
      <c r="C3102" s="20" t="s">
        <v>219</v>
      </c>
      <c r="D3102" s="21"/>
    </row>
    <row r="3103" spans="1:4" ht="12.75" customHeight="1" x14ac:dyDescent="0.2">
      <c r="A3103" s="21"/>
      <c r="B3103" s="3" t="s">
        <v>2</v>
      </c>
      <c r="C3103" s="20" t="s">
        <v>1839</v>
      </c>
      <c r="D3103" s="21"/>
    </row>
    <row r="3104" spans="1:4" ht="12.75" customHeight="1" x14ac:dyDescent="0.2">
      <c r="A3104" s="21"/>
      <c r="B3104" s="3" t="s">
        <v>1840</v>
      </c>
      <c r="C3104" s="20" t="s">
        <v>411</v>
      </c>
      <c r="D3104" s="21"/>
    </row>
    <row r="3105" spans="1:4" ht="12.75" customHeight="1" x14ac:dyDescent="0.2">
      <c r="A3105" s="21"/>
      <c r="B3105" s="3" t="s">
        <v>9</v>
      </c>
      <c r="C3105" s="20" t="s">
        <v>549</v>
      </c>
      <c r="D3105" s="21"/>
    </row>
    <row r="3106" spans="1:4" ht="12.75" customHeight="1" x14ac:dyDescent="0.2">
      <c r="A3106" s="21"/>
      <c r="B3106" s="3" t="s">
        <v>11</v>
      </c>
      <c r="C3106" s="20" t="s">
        <v>793</v>
      </c>
      <c r="D3106" s="21"/>
    </row>
    <row r="3107" spans="1:4" ht="12.75" customHeight="1" x14ac:dyDescent="0.2">
      <c r="A3107" s="21"/>
      <c r="B3107" s="3" t="s">
        <v>16</v>
      </c>
      <c r="C3107" s="20"/>
      <c r="D3107" s="21"/>
    </row>
    <row r="3108" spans="1:4" ht="12.75" customHeight="1" x14ac:dyDescent="0.2">
      <c r="A3108" s="21"/>
      <c r="B3108" s="3" t="s">
        <v>17</v>
      </c>
      <c r="C3108" s="20" t="s">
        <v>19</v>
      </c>
      <c r="D3108" s="21"/>
    </row>
    <row r="3109" spans="1:4" ht="12.75" customHeight="1" x14ac:dyDescent="0.2">
      <c r="A3109" s="21"/>
      <c r="B3109" s="20" t="s">
        <v>18</v>
      </c>
      <c r="C3109" s="4" t="s">
        <v>44</v>
      </c>
      <c r="D3109" s="6" t="str">
        <f>HYPERLINK("javascript:void(0)","mechano testpajzs")</f>
        <v>mechano testpajzs</v>
      </c>
    </row>
    <row r="3110" spans="1:4" ht="12.75" customHeight="1" x14ac:dyDescent="0.2">
      <c r="A3110" s="21"/>
      <c r="B3110" s="21"/>
      <c r="C3110" s="4" t="s">
        <v>494</v>
      </c>
      <c r="D3110" s="6" t="str">
        <f>HYPERLINK("javascript:void(0)","fotogén")</f>
        <v>fotogén</v>
      </c>
    </row>
    <row r="3111" spans="1:4" ht="12.75" customHeight="1" x14ac:dyDescent="0.2">
      <c r="A3111" s="21"/>
      <c r="B3111" s="21"/>
      <c r="C3111" s="4" t="s">
        <v>77</v>
      </c>
      <c r="D3111" s="6" t="str">
        <f>HYPERLINK("javascript:void(0)","napfolt")</f>
        <v>napfolt</v>
      </c>
    </row>
    <row r="3112" spans="1:4" ht="12.75" customHeight="1" x14ac:dyDescent="0.2">
      <c r="A3112" s="21"/>
      <c r="B3112" s="2"/>
      <c r="C3112" s="2"/>
      <c r="D3112" s="2"/>
    </row>
    <row r="3113" spans="1:4" ht="12.75" customHeight="1" x14ac:dyDescent="0.2">
      <c r="A3113" s="21"/>
      <c r="B3113" s="2"/>
      <c r="C3113" s="2"/>
      <c r="D3113" s="2"/>
    </row>
    <row r="3114" spans="1:4" ht="12.75" customHeight="1" x14ac:dyDescent="0.2">
      <c r="A3114" s="21"/>
      <c r="B3114" s="2"/>
      <c r="C3114" s="2"/>
      <c r="D3114" s="2"/>
    </row>
    <row r="3115" spans="1:4" ht="12.75" customHeight="1" x14ac:dyDescent="0.2">
      <c r="A3115" s="21"/>
      <c r="B3115" s="2"/>
      <c r="C3115" s="2"/>
      <c r="D3115" s="2"/>
    </row>
    <row r="3116" spans="1:4" ht="12.75" customHeight="1" x14ac:dyDescent="0.2">
      <c r="A3116" s="5"/>
      <c r="B3116" s="2"/>
      <c r="C3116" s="2"/>
      <c r="D3116" s="2"/>
    </row>
    <row r="3117" spans="1:4" ht="12.75" customHeight="1" x14ac:dyDescent="0.2">
      <c r="A3117" s="22" t="str">
        <f>HYPERLINK("javascript:void(0)","démonacél illanat")</f>
        <v>démonacél illanat</v>
      </c>
      <c r="B3117" s="21"/>
      <c r="C3117" s="21"/>
      <c r="D3117" s="21"/>
    </row>
    <row r="3118" spans="1:4" ht="12.75" customHeight="1" x14ac:dyDescent="0.2">
      <c r="A3118" s="20"/>
      <c r="B3118" s="2"/>
      <c r="C3118" s="2"/>
      <c r="D3118" s="2"/>
    </row>
    <row r="3119" spans="1:4" ht="12.75" customHeight="1" x14ac:dyDescent="0.2">
      <c r="A3119" s="21"/>
      <c r="B3119" s="3" t="s">
        <v>0</v>
      </c>
      <c r="C3119" s="20" t="s">
        <v>219</v>
      </c>
      <c r="D3119" s="21"/>
    </row>
    <row r="3120" spans="1:4" ht="12.75" customHeight="1" x14ac:dyDescent="0.2">
      <c r="A3120" s="21"/>
      <c r="B3120" s="3" t="s">
        <v>2</v>
      </c>
      <c r="C3120" s="20" t="s">
        <v>1839</v>
      </c>
      <c r="D3120" s="21"/>
    </row>
    <row r="3121" spans="1:4" ht="12.75" customHeight="1" x14ac:dyDescent="0.2">
      <c r="A3121" s="21"/>
      <c r="B3121" s="3" t="s">
        <v>1840</v>
      </c>
      <c r="C3121" s="20" t="s">
        <v>411</v>
      </c>
      <c r="D3121" s="21"/>
    </row>
    <row r="3122" spans="1:4" ht="12.75" customHeight="1" x14ac:dyDescent="0.2">
      <c r="A3122" s="21"/>
      <c r="B3122" s="3" t="s">
        <v>9</v>
      </c>
      <c r="C3122" s="20" t="s">
        <v>2034</v>
      </c>
      <c r="D3122" s="21"/>
    </row>
    <row r="3123" spans="1:4" ht="12.75" customHeight="1" x14ac:dyDescent="0.2">
      <c r="A3123" s="21"/>
      <c r="B3123" s="3" t="s">
        <v>11</v>
      </c>
      <c r="C3123" s="20" t="s">
        <v>835</v>
      </c>
      <c r="D3123" s="21"/>
    </row>
    <row r="3124" spans="1:4" ht="12.75" customHeight="1" x14ac:dyDescent="0.2">
      <c r="A3124" s="21"/>
      <c r="B3124" s="3" t="s">
        <v>16</v>
      </c>
      <c r="C3124" s="20"/>
      <c r="D3124" s="21"/>
    </row>
    <row r="3125" spans="1:4" ht="12.75" customHeight="1" x14ac:dyDescent="0.2">
      <c r="A3125" s="21"/>
      <c r="B3125" s="3" t="s">
        <v>17</v>
      </c>
      <c r="C3125" s="20" t="s">
        <v>19</v>
      </c>
      <c r="D3125" s="21"/>
    </row>
    <row r="3126" spans="1:4" ht="12.75" customHeight="1" x14ac:dyDescent="0.2">
      <c r="A3126" s="21"/>
      <c r="B3126" s="20" t="s">
        <v>18</v>
      </c>
      <c r="C3126" s="4" t="s">
        <v>44</v>
      </c>
      <c r="D3126" s="6" t="str">
        <f>HYPERLINK("javascript:void(0)","fotoacél testpajzs")</f>
        <v>fotoacél testpajzs</v>
      </c>
    </row>
    <row r="3127" spans="1:4" ht="12.75" customHeight="1" x14ac:dyDescent="0.2">
      <c r="A3127" s="21"/>
      <c r="B3127" s="21"/>
      <c r="C3127" s="4" t="s">
        <v>398</v>
      </c>
      <c r="D3127" s="6" t="str">
        <f>HYPERLINK("javascript:void(0)","démonzanza")</f>
        <v>démonzanza</v>
      </c>
    </row>
    <row r="3128" spans="1:4" ht="12.75" customHeight="1" x14ac:dyDescent="0.2">
      <c r="A3128" s="21"/>
      <c r="B3128" s="21"/>
      <c r="C3128" s="4" t="s">
        <v>280</v>
      </c>
      <c r="D3128" s="6" t="str">
        <f>HYPERLINK("javascript:void(0)","nukleon")</f>
        <v>nukleon</v>
      </c>
    </row>
    <row r="3129" spans="1:4" ht="12.75" customHeight="1" x14ac:dyDescent="0.2">
      <c r="A3129" s="21"/>
      <c r="B3129" s="2"/>
      <c r="C3129" s="2"/>
      <c r="D3129" s="2"/>
    </row>
    <row r="3130" spans="1:4" ht="12.75" customHeight="1" x14ac:dyDescent="0.2">
      <c r="A3130" s="21"/>
      <c r="B3130" s="2"/>
      <c r="C3130" s="2"/>
      <c r="D3130" s="2"/>
    </row>
    <row r="3131" spans="1:4" ht="12.75" customHeight="1" x14ac:dyDescent="0.2">
      <c r="A3131" s="21"/>
      <c r="B3131" s="2"/>
      <c r="C3131" s="2"/>
      <c r="D3131" s="2"/>
    </row>
    <row r="3132" spans="1:4" ht="12.75" customHeight="1" x14ac:dyDescent="0.2">
      <c r="A3132" s="21"/>
      <c r="B3132" s="2"/>
      <c r="C3132" s="2"/>
      <c r="D3132" s="2"/>
    </row>
    <row r="3133" spans="1:4" ht="12.75" customHeight="1" x14ac:dyDescent="0.2">
      <c r="A3133" s="5"/>
      <c r="B3133" s="2"/>
      <c r="C3133" s="2"/>
      <c r="D3133" s="2"/>
    </row>
    <row r="3134" spans="1:4" ht="12.75" customHeight="1" x14ac:dyDescent="0.2">
      <c r="A3134" s="22" t="str">
        <f>HYPERLINK("javascript:void(0)","magnetoacél pajzs")</f>
        <v>magnetoacél pajzs</v>
      </c>
      <c r="B3134" s="21"/>
      <c r="C3134" s="21"/>
      <c r="D3134" s="21"/>
    </row>
    <row r="3135" spans="1:4" ht="12.75" customHeight="1" x14ac:dyDescent="0.2">
      <c r="A3135" s="20"/>
      <c r="B3135" s="2"/>
      <c r="C3135" s="2"/>
      <c r="D3135" s="2"/>
    </row>
    <row r="3136" spans="1:4" ht="12.75" customHeight="1" x14ac:dyDescent="0.2">
      <c r="A3136" s="21"/>
      <c r="B3136" s="3" t="s">
        <v>0</v>
      </c>
      <c r="C3136" s="20" t="s">
        <v>613</v>
      </c>
      <c r="D3136" s="21"/>
    </row>
    <row r="3137" spans="1:4" ht="12.75" customHeight="1" x14ac:dyDescent="0.2">
      <c r="A3137" s="21"/>
      <c r="B3137" s="3" t="s">
        <v>2</v>
      </c>
      <c r="C3137" s="20" t="s">
        <v>1839</v>
      </c>
      <c r="D3137" s="21"/>
    </row>
    <row r="3138" spans="1:4" ht="12.75" customHeight="1" x14ac:dyDescent="0.2">
      <c r="A3138" s="21"/>
      <c r="B3138" s="3" t="s">
        <v>1840</v>
      </c>
      <c r="C3138" s="20" t="s">
        <v>1412</v>
      </c>
      <c r="D3138" s="21"/>
    </row>
    <row r="3139" spans="1:4" ht="12.75" customHeight="1" x14ac:dyDescent="0.2">
      <c r="A3139" s="21"/>
      <c r="B3139" s="3" t="s">
        <v>9</v>
      </c>
      <c r="C3139" s="20" t="s">
        <v>249</v>
      </c>
      <c r="D3139" s="21"/>
    </row>
    <row r="3140" spans="1:4" ht="12.75" customHeight="1" x14ac:dyDescent="0.2">
      <c r="A3140" s="21"/>
      <c r="B3140" s="3" t="s">
        <v>11</v>
      </c>
      <c r="C3140" s="20" t="s">
        <v>817</v>
      </c>
      <c r="D3140" s="21"/>
    </row>
    <row r="3141" spans="1:4" ht="12.75" customHeight="1" x14ac:dyDescent="0.2">
      <c r="A3141" s="21"/>
      <c r="B3141" s="3" t="s">
        <v>16</v>
      </c>
      <c r="C3141" s="20"/>
      <c r="D3141" s="21"/>
    </row>
    <row r="3142" spans="1:4" ht="12.75" customHeight="1" x14ac:dyDescent="0.2">
      <c r="A3142" s="21"/>
      <c r="B3142" s="3" t="s">
        <v>17</v>
      </c>
      <c r="C3142" s="20" t="s">
        <v>19</v>
      </c>
      <c r="D3142" s="21"/>
    </row>
    <row r="3143" spans="1:4" ht="12.75" customHeight="1" x14ac:dyDescent="0.2">
      <c r="A3143" s="21"/>
      <c r="B3143" s="20" t="s">
        <v>18</v>
      </c>
      <c r="C3143" s="4" t="s">
        <v>44</v>
      </c>
      <c r="D3143" s="6" t="str">
        <f>HYPERLINK("javascript:void(0)","fotoacél pajzs")</f>
        <v>fotoacél pajzs</v>
      </c>
    </row>
    <row r="3144" spans="1:4" ht="12.75" customHeight="1" x14ac:dyDescent="0.2">
      <c r="A3144" s="21"/>
      <c r="B3144" s="21"/>
      <c r="C3144" s="4" t="s">
        <v>77</v>
      </c>
      <c r="D3144" s="6" t="str">
        <f>HYPERLINK("javascript:void(0)","vákuum")</f>
        <v>vákuum</v>
      </c>
    </row>
    <row r="3145" spans="1:4" ht="12.75" customHeight="1" x14ac:dyDescent="0.2">
      <c r="A3145" s="21"/>
      <c r="B3145" s="21"/>
      <c r="C3145" s="4" t="s">
        <v>309</v>
      </c>
      <c r="D3145" s="6" t="str">
        <f>HYPERLINK("javascript:void(0)","mágnes")</f>
        <v>mágnes</v>
      </c>
    </row>
    <row r="3146" spans="1:4" ht="12.75" customHeight="1" x14ac:dyDescent="0.2">
      <c r="A3146" s="21"/>
      <c r="B3146" s="2"/>
      <c r="C3146" s="2"/>
      <c r="D3146" s="2"/>
    </row>
    <row r="3147" spans="1:4" ht="12.75" customHeight="1" x14ac:dyDescent="0.2">
      <c r="A3147" s="21"/>
      <c r="B3147" s="2"/>
      <c r="C3147" s="2"/>
      <c r="D3147" s="2"/>
    </row>
    <row r="3148" spans="1:4" ht="12.75" customHeight="1" x14ac:dyDescent="0.2">
      <c r="A3148" s="21"/>
      <c r="B3148" s="2"/>
      <c r="C3148" s="2"/>
      <c r="D3148" s="2"/>
    </row>
    <row r="3149" spans="1:4" ht="12.75" customHeight="1" x14ac:dyDescent="0.2">
      <c r="A3149" s="21"/>
      <c r="B3149" s="2"/>
      <c r="C3149" s="2"/>
      <c r="D3149" s="2"/>
    </row>
    <row r="3150" spans="1:4" ht="12.75" customHeight="1" x14ac:dyDescent="0.2">
      <c r="A3150" s="5"/>
      <c r="B3150" s="2"/>
      <c r="C3150" s="2"/>
      <c r="D3150" s="2"/>
    </row>
    <row r="3151" spans="1:4" ht="12.75" customHeight="1" x14ac:dyDescent="0.2">
      <c r="A3151" s="22" t="str">
        <f>HYPERLINK("javascript:void(0)","kithrillveretű illanat")</f>
        <v>kithrillveretű illanat</v>
      </c>
      <c r="B3151" s="21"/>
      <c r="C3151" s="21"/>
      <c r="D3151" s="21"/>
    </row>
    <row r="3152" spans="1:4" ht="12.75" customHeight="1" x14ac:dyDescent="0.2">
      <c r="A3152" s="20"/>
      <c r="B3152" s="2"/>
      <c r="C3152" s="2"/>
      <c r="D3152" s="2"/>
    </row>
    <row r="3153" spans="1:4" ht="12.75" customHeight="1" x14ac:dyDescent="0.2">
      <c r="A3153" s="21"/>
      <c r="B3153" s="3" t="s">
        <v>0</v>
      </c>
      <c r="C3153" s="20" t="s">
        <v>613</v>
      </c>
      <c r="D3153" s="21"/>
    </row>
    <row r="3154" spans="1:4" ht="12.75" customHeight="1" x14ac:dyDescent="0.2">
      <c r="A3154" s="21"/>
      <c r="B3154" s="3" t="s">
        <v>2</v>
      </c>
      <c r="C3154" s="20" t="s">
        <v>1839</v>
      </c>
      <c r="D3154" s="21"/>
    </row>
    <row r="3155" spans="1:4" ht="12.75" customHeight="1" x14ac:dyDescent="0.2">
      <c r="A3155" s="21"/>
      <c r="B3155" s="3" t="s">
        <v>1840</v>
      </c>
      <c r="C3155" s="20" t="s">
        <v>1412</v>
      </c>
      <c r="D3155" s="21"/>
    </row>
    <row r="3156" spans="1:4" ht="12.75" customHeight="1" x14ac:dyDescent="0.2">
      <c r="A3156" s="21"/>
      <c r="B3156" s="3" t="s">
        <v>9</v>
      </c>
      <c r="C3156" s="20" t="s">
        <v>1195</v>
      </c>
      <c r="D3156" s="21"/>
    </row>
    <row r="3157" spans="1:4" ht="12.75" customHeight="1" x14ac:dyDescent="0.2">
      <c r="A3157" s="21"/>
      <c r="B3157" s="3" t="s">
        <v>11</v>
      </c>
      <c r="C3157" s="20" t="s">
        <v>856</v>
      </c>
      <c r="D3157" s="21"/>
    </row>
    <row r="3158" spans="1:4" ht="12.75" customHeight="1" x14ac:dyDescent="0.2">
      <c r="A3158" s="21"/>
      <c r="B3158" s="3" t="s">
        <v>16</v>
      </c>
      <c r="C3158" s="20"/>
      <c r="D3158" s="21"/>
    </row>
    <row r="3159" spans="1:4" ht="12.75" customHeight="1" x14ac:dyDescent="0.2">
      <c r="A3159" s="21"/>
      <c r="B3159" s="3" t="s">
        <v>17</v>
      </c>
      <c r="C3159" s="20" t="s">
        <v>19</v>
      </c>
      <c r="D3159" s="21"/>
    </row>
    <row r="3160" spans="1:4" ht="12.75" customHeight="1" x14ac:dyDescent="0.2">
      <c r="A3160" s="21"/>
      <c r="B3160" s="20" t="s">
        <v>18</v>
      </c>
      <c r="C3160" s="4" t="s">
        <v>44</v>
      </c>
      <c r="D3160" s="6" t="str">
        <f>HYPERLINK("javascript:void(0)","magnetoacél pajzs")</f>
        <v>magnetoacél pajzs</v>
      </c>
    </row>
    <row r="3161" spans="1:4" ht="12.75" customHeight="1" x14ac:dyDescent="0.2">
      <c r="A3161" s="21"/>
      <c r="B3161" s="21"/>
      <c r="C3161" s="4" t="s">
        <v>1085</v>
      </c>
      <c r="D3161" s="6" t="str">
        <f>HYPERLINK("javascript:void(0)","kithrill")</f>
        <v>kithrill</v>
      </c>
    </row>
    <row r="3162" spans="1:4" ht="12.75" customHeight="1" x14ac:dyDescent="0.2">
      <c r="A3162" s="21"/>
      <c r="B3162" s="21"/>
      <c r="C3162" s="4" t="s">
        <v>130</v>
      </c>
      <c r="D3162" s="6" t="str">
        <f>HYPERLINK("javascript:void(0)","hangjegy")</f>
        <v>hangjegy</v>
      </c>
    </row>
    <row r="3163" spans="1:4" ht="12.75" customHeight="1" x14ac:dyDescent="0.2">
      <c r="A3163" s="21"/>
      <c r="B3163" s="2"/>
      <c r="C3163" s="2"/>
      <c r="D3163" s="2"/>
    </row>
    <row r="3164" spans="1:4" ht="12.75" customHeight="1" x14ac:dyDescent="0.2">
      <c r="A3164" s="21"/>
      <c r="B3164" s="2"/>
      <c r="C3164" s="2"/>
      <c r="D3164" s="2"/>
    </row>
    <row r="3165" spans="1:4" ht="12.75" customHeight="1" x14ac:dyDescent="0.2">
      <c r="A3165" s="21"/>
      <c r="B3165" s="2"/>
      <c r="C3165" s="2"/>
      <c r="D3165" s="2"/>
    </row>
    <row r="3166" spans="1:4" ht="12.75" customHeight="1" x14ac:dyDescent="0.2">
      <c r="A3166" s="21"/>
      <c r="B3166" s="2"/>
      <c r="C3166" s="2"/>
      <c r="D3166" s="2"/>
    </row>
    <row r="3167" spans="1:4" ht="12.75" customHeight="1" x14ac:dyDescent="0.2">
      <c r="A3167" s="5"/>
      <c r="B3167" s="2"/>
      <c r="C3167" s="2"/>
      <c r="D3167" s="2"/>
    </row>
    <row r="3168" spans="1:4" ht="12.75" customHeight="1" x14ac:dyDescent="0.2">
      <c r="A3168" s="22" t="str">
        <f>HYPERLINK("javascript:void(0)","magnetoacél testpajzs")</f>
        <v>magnetoacél testpajzs</v>
      </c>
      <c r="B3168" s="21"/>
      <c r="C3168" s="21"/>
      <c r="D3168" s="21"/>
    </row>
    <row r="3169" spans="1:4" ht="12.75" customHeight="1" x14ac:dyDescent="0.2">
      <c r="A3169" s="20"/>
      <c r="B3169" s="2"/>
      <c r="C3169" s="2"/>
      <c r="D3169" s="2"/>
    </row>
    <row r="3170" spans="1:4" ht="12.75" customHeight="1" x14ac:dyDescent="0.2">
      <c r="A3170" s="21"/>
      <c r="B3170" s="3" t="s">
        <v>0</v>
      </c>
      <c r="C3170" s="20" t="s">
        <v>248</v>
      </c>
      <c r="D3170" s="21"/>
    </row>
    <row r="3171" spans="1:4" ht="12.75" customHeight="1" x14ac:dyDescent="0.2">
      <c r="A3171" s="21"/>
      <c r="B3171" s="3" t="s">
        <v>2</v>
      </c>
      <c r="C3171" s="20" t="s">
        <v>1839</v>
      </c>
      <c r="D3171" s="21"/>
    </row>
    <row r="3172" spans="1:4" ht="12.75" customHeight="1" x14ac:dyDescent="0.2">
      <c r="A3172" s="21"/>
      <c r="B3172" s="3" t="s">
        <v>1840</v>
      </c>
      <c r="C3172" s="20" t="s">
        <v>383</v>
      </c>
      <c r="D3172" s="21"/>
    </row>
    <row r="3173" spans="1:4" ht="12.75" customHeight="1" x14ac:dyDescent="0.2">
      <c r="A3173" s="21"/>
      <c r="B3173" s="3" t="s">
        <v>9</v>
      </c>
      <c r="C3173" s="20" t="s">
        <v>262</v>
      </c>
      <c r="D3173" s="21"/>
    </row>
    <row r="3174" spans="1:4" ht="12.75" customHeight="1" x14ac:dyDescent="0.2">
      <c r="A3174" s="21"/>
      <c r="B3174" s="3" t="s">
        <v>11</v>
      </c>
      <c r="C3174" s="20" t="s">
        <v>835</v>
      </c>
      <c r="D3174" s="21"/>
    </row>
    <row r="3175" spans="1:4" ht="12.75" customHeight="1" x14ac:dyDescent="0.2">
      <c r="A3175" s="21"/>
      <c r="B3175" s="3" t="s">
        <v>16</v>
      </c>
      <c r="C3175" s="20"/>
      <c r="D3175" s="21"/>
    </row>
    <row r="3176" spans="1:4" ht="12.75" customHeight="1" x14ac:dyDescent="0.2">
      <c r="A3176" s="21"/>
      <c r="B3176" s="3" t="s">
        <v>17</v>
      </c>
      <c r="C3176" s="20" t="s">
        <v>19</v>
      </c>
      <c r="D3176" s="21"/>
    </row>
    <row r="3177" spans="1:4" ht="12.75" customHeight="1" x14ac:dyDescent="0.2">
      <c r="A3177" s="21"/>
      <c r="B3177" s="20" t="s">
        <v>18</v>
      </c>
      <c r="C3177" s="4" t="s">
        <v>44</v>
      </c>
      <c r="D3177" s="6" t="str">
        <f>HYPERLINK("javascript:void(0)","fotoacél testpajzs")</f>
        <v>fotoacél testpajzs</v>
      </c>
    </row>
    <row r="3178" spans="1:4" ht="12.75" customHeight="1" x14ac:dyDescent="0.2">
      <c r="A3178" s="21"/>
      <c r="B3178" s="21"/>
      <c r="C3178" s="4" t="s">
        <v>77</v>
      </c>
      <c r="D3178" s="6" t="str">
        <f>HYPERLINK("javascript:void(0)","tudásmorzsa")</f>
        <v>tudásmorzsa</v>
      </c>
    </row>
    <row r="3179" spans="1:4" ht="12.75" customHeight="1" x14ac:dyDescent="0.2">
      <c r="A3179" s="21"/>
      <c r="B3179" s="21"/>
      <c r="C3179" s="4" t="s">
        <v>193</v>
      </c>
      <c r="D3179" s="6" t="str">
        <f>HYPERLINK("javascript:void(0)","mágnes")</f>
        <v>mágnes</v>
      </c>
    </row>
    <row r="3180" spans="1:4" ht="12.75" customHeight="1" x14ac:dyDescent="0.2">
      <c r="A3180" s="21"/>
      <c r="B3180" s="2"/>
      <c r="C3180" s="2"/>
      <c r="D3180" s="2"/>
    </row>
    <row r="3181" spans="1:4" ht="12.75" customHeight="1" x14ac:dyDescent="0.2">
      <c r="A3181" s="21"/>
      <c r="B3181" s="2"/>
      <c r="C3181" s="2"/>
      <c r="D3181" s="2"/>
    </row>
    <row r="3182" spans="1:4" ht="12.75" customHeight="1" x14ac:dyDescent="0.2">
      <c r="A3182" s="21"/>
      <c r="B3182" s="2"/>
      <c r="C3182" s="2"/>
      <c r="D3182" s="2"/>
    </row>
    <row r="3183" spans="1:4" ht="12.75" customHeight="1" x14ac:dyDescent="0.2">
      <c r="A3183" s="21"/>
      <c r="B3183" s="2"/>
      <c r="C3183" s="2"/>
      <c r="D3183" s="2"/>
    </row>
    <row r="3184" spans="1:4" ht="12.75" customHeight="1" x14ac:dyDescent="0.2">
      <c r="A3184" s="5"/>
      <c r="B3184" s="2"/>
      <c r="C3184" s="2"/>
      <c r="D3184" s="2"/>
    </row>
    <row r="3185" spans="1:4" ht="12.75" customHeight="1" x14ac:dyDescent="0.2">
      <c r="A3185" s="22" t="str">
        <f>HYPERLINK("javascript:void(0)","dracoacél illanat")</f>
        <v>dracoacél illanat</v>
      </c>
      <c r="B3185" s="21"/>
      <c r="C3185" s="21"/>
      <c r="D3185" s="21"/>
    </row>
    <row r="3186" spans="1:4" ht="12.75" customHeight="1" x14ac:dyDescent="0.2">
      <c r="A3186" s="20"/>
      <c r="B3186" s="2"/>
      <c r="C3186" s="2"/>
      <c r="D3186" s="2"/>
    </row>
    <row r="3187" spans="1:4" ht="12.75" customHeight="1" x14ac:dyDescent="0.2">
      <c r="A3187" s="21"/>
      <c r="B3187" s="3" t="s">
        <v>0</v>
      </c>
      <c r="C3187" s="20" t="s">
        <v>248</v>
      </c>
      <c r="D3187" s="21"/>
    </row>
    <row r="3188" spans="1:4" ht="12.75" customHeight="1" x14ac:dyDescent="0.2">
      <c r="A3188" s="21"/>
      <c r="B3188" s="3" t="s">
        <v>2</v>
      </c>
      <c r="C3188" s="20" t="s">
        <v>1839</v>
      </c>
      <c r="D3188" s="21"/>
    </row>
    <row r="3189" spans="1:4" ht="12.75" customHeight="1" x14ac:dyDescent="0.2">
      <c r="A3189" s="21"/>
      <c r="B3189" s="3" t="s">
        <v>1840</v>
      </c>
      <c r="C3189" s="20" t="s">
        <v>383</v>
      </c>
      <c r="D3189" s="21"/>
    </row>
    <row r="3190" spans="1:4" ht="12.75" customHeight="1" x14ac:dyDescent="0.2">
      <c r="A3190" s="21"/>
      <c r="B3190" s="3" t="s">
        <v>9</v>
      </c>
      <c r="C3190" s="20" t="s">
        <v>867</v>
      </c>
      <c r="D3190" s="21"/>
    </row>
    <row r="3191" spans="1:4" ht="12.75" customHeight="1" x14ac:dyDescent="0.2">
      <c r="A3191" s="21"/>
      <c r="B3191" s="3" t="s">
        <v>11</v>
      </c>
      <c r="C3191" s="20" t="s">
        <v>879</v>
      </c>
      <c r="D3191" s="21"/>
    </row>
    <row r="3192" spans="1:4" ht="12.75" customHeight="1" x14ac:dyDescent="0.2">
      <c r="A3192" s="21"/>
      <c r="B3192" s="3" t="s">
        <v>16</v>
      </c>
      <c r="C3192" s="20"/>
      <c r="D3192" s="21"/>
    </row>
    <row r="3193" spans="1:4" ht="12.75" customHeight="1" x14ac:dyDescent="0.2">
      <c r="A3193" s="21"/>
      <c r="B3193" s="3" t="s">
        <v>17</v>
      </c>
      <c r="C3193" s="20" t="s">
        <v>19</v>
      </c>
      <c r="D3193" s="21"/>
    </row>
    <row r="3194" spans="1:4" ht="25.5" customHeight="1" x14ac:dyDescent="0.2">
      <c r="A3194" s="21"/>
      <c r="B3194" s="20" t="s">
        <v>18</v>
      </c>
      <c r="C3194" s="4" t="s">
        <v>44</v>
      </c>
      <c r="D3194" s="6" t="str">
        <f>HYPERLINK("javascript:void(0)","magnetoacél testpajzs")</f>
        <v>magnetoacél testpajzs</v>
      </c>
    </row>
    <row r="3195" spans="1:4" ht="12.75" customHeight="1" x14ac:dyDescent="0.2">
      <c r="A3195" s="21"/>
      <c r="B3195" s="21"/>
      <c r="C3195" s="4" t="s">
        <v>130</v>
      </c>
      <c r="D3195" s="6" t="str">
        <f>HYPERLINK("javascript:void(0)","sárkányfű")</f>
        <v>sárkányfű</v>
      </c>
    </row>
    <row r="3196" spans="1:4" ht="12.75" customHeight="1" x14ac:dyDescent="0.2">
      <c r="A3196" s="21"/>
      <c r="B3196" s="21"/>
      <c r="C3196" s="4" t="s">
        <v>117</v>
      </c>
      <c r="D3196" s="6" t="str">
        <f>HYPERLINK("javascript:void(0)","gigacsáp")</f>
        <v>gigacsáp</v>
      </c>
    </row>
    <row r="3197" spans="1:4" ht="12.75" customHeight="1" x14ac:dyDescent="0.2">
      <c r="A3197" s="21"/>
      <c r="B3197" s="2"/>
      <c r="C3197" s="2"/>
      <c r="D3197" s="2"/>
    </row>
    <row r="3198" spans="1:4" ht="12.75" customHeight="1" x14ac:dyDescent="0.2">
      <c r="A3198" s="21"/>
      <c r="B3198" s="2"/>
      <c r="C3198" s="2"/>
      <c r="D3198" s="2"/>
    </row>
    <row r="3199" spans="1:4" ht="12.75" customHeight="1" x14ac:dyDescent="0.2">
      <c r="A3199" s="21"/>
      <c r="B3199" s="2"/>
      <c r="C3199" s="2"/>
      <c r="D3199" s="2"/>
    </row>
    <row r="3200" spans="1:4" ht="12.75" customHeight="1" x14ac:dyDescent="0.2">
      <c r="A3200" s="21"/>
      <c r="B3200" s="2"/>
      <c r="C3200" s="2"/>
      <c r="D3200" s="2"/>
    </row>
    <row r="3201" spans="1:4" ht="12.75" customHeight="1" x14ac:dyDescent="0.2">
      <c r="A3201" s="5"/>
      <c r="B3201" s="2"/>
      <c r="C3201" s="2"/>
      <c r="D3201" s="2"/>
    </row>
    <row r="3202" spans="1:4" ht="12.75" customHeight="1" x14ac:dyDescent="0.2">
      <c r="A3202" s="22" t="str">
        <f>HYPERLINK("javascript:void(0)","helioacél pajzs")</f>
        <v>helioacél pajzs</v>
      </c>
      <c r="B3202" s="21"/>
      <c r="C3202" s="21"/>
      <c r="D3202" s="21"/>
    </row>
    <row r="3203" spans="1:4" ht="12.75" customHeight="1" x14ac:dyDescent="0.2">
      <c r="A3203" s="20"/>
      <c r="B3203" s="2"/>
      <c r="C3203" s="2"/>
      <c r="D3203" s="2"/>
    </row>
    <row r="3204" spans="1:4" ht="12.75" customHeight="1" x14ac:dyDescent="0.2">
      <c r="A3204" s="21"/>
      <c r="B3204" s="3" t="s">
        <v>0</v>
      </c>
      <c r="C3204" s="20" t="s">
        <v>635</v>
      </c>
      <c r="D3204" s="21"/>
    </row>
    <row r="3205" spans="1:4" ht="12.75" customHeight="1" x14ac:dyDescent="0.2">
      <c r="A3205" s="21"/>
      <c r="B3205" s="3" t="s">
        <v>2</v>
      </c>
      <c r="C3205" s="20" t="s">
        <v>1839</v>
      </c>
      <c r="D3205" s="21"/>
    </row>
    <row r="3206" spans="1:4" ht="12.75" customHeight="1" x14ac:dyDescent="0.2">
      <c r="A3206" s="21"/>
      <c r="B3206" s="3" t="s">
        <v>1840</v>
      </c>
      <c r="C3206" s="20" t="s">
        <v>1740</v>
      </c>
      <c r="D3206" s="21"/>
    </row>
    <row r="3207" spans="1:4" ht="12.75" customHeight="1" x14ac:dyDescent="0.2">
      <c r="A3207" s="21"/>
      <c r="B3207" s="3" t="s">
        <v>9</v>
      </c>
      <c r="C3207" s="20" t="s">
        <v>377</v>
      </c>
      <c r="D3207" s="21"/>
    </row>
    <row r="3208" spans="1:4" ht="12.75" customHeight="1" x14ac:dyDescent="0.2">
      <c r="A3208" s="21"/>
      <c r="B3208" s="3" t="s">
        <v>11</v>
      </c>
      <c r="C3208" s="20" t="s">
        <v>856</v>
      </c>
      <c r="D3208" s="21"/>
    </row>
    <row r="3209" spans="1:4" ht="12.75" customHeight="1" x14ac:dyDescent="0.2">
      <c r="A3209" s="21"/>
      <c r="B3209" s="3" t="s">
        <v>16</v>
      </c>
      <c r="C3209" s="20"/>
      <c r="D3209" s="21"/>
    </row>
    <row r="3210" spans="1:4" ht="12.75" customHeight="1" x14ac:dyDescent="0.2">
      <c r="A3210" s="21"/>
      <c r="B3210" s="3" t="s">
        <v>17</v>
      </c>
      <c r="C3210" s="20" t="s">
        <v>19</v>
      </c>
      <c r="D3210" s="21"/>
    </row>
    <row r="3211" spans="1:4" ht="12.75" customHeight="1" x14ac:dyDescent="0.2">
      <c r="A3211" s="21"/>
      <c r="B3211" s="20" t="s">
        <v>18</v>
      </c>
      <c r="C3211" s="4" t="s">
        <v>44</v>
      </c>
      <c r="D3211" s="6" t="str">
        <f>HYPERLINK("javascript:void(0)","magnetoacél pajzs")</f>
        <v>magnetoacél pajzs</v>
      </c>
    </row>
    <row r="3212" spans="1:4" ht="12.75" customHeight="1" x14ac:dyDescent="0.2">
      <c r="A3212" s="21"/>
      <c r="B3212" s="21"/>
      <c r="C3212" s="4" t="s">
        <v>77</v>
      </c>
      <c r="D3212" s="6" t="str">
        <f>HYPERLINK("javascript:void(0)","istenpenge")</f>
        <v>istenpenge</v>
      </c>
    </row>
    <row r="3213" spans="1:4" ht="12.75" customHeight="1" x14ac:dyDescent="0.2">
      <c r="A3213" s="21"/>
      <c r="B3213" s="21"/>
      <c r="C3213" s="4" t="s">
        <v>98</v>
      </c>
      <c r="D3213" s="6" t="str">
        <f>HYPERLINK("javascript:void(0)","napfolt")</f>
        <v>napfolt</v>
      </c>
    </row>
    <row r="3214" spans="1:4" ht="12.75" customHeight="1" x14ac:dyDescent="0.2">
      <c r="A3214" s="21"/>
      <c r="B3214" s="2"/>
      <c r="C3214" s="2"/>
      <c r="D3214" s="2"/>
    </row>
    <row r="3215" spans="1:4" ht="12.75" customHeight="1" x14ac:dyDescent="0.2">
      <c r="A3215" s="21"/>
      <c r="B3215" s="2"/>
      <c r="C3215" s="2"/>
      <c r="D3215" s="2"/>
    </row>
    <row r="3216" spans="1:4" ht="12.75" customHeight="1" x14ac:dyDescent="0.2">
      <c r="A3216" s="21"/>
      <c r="B3216" s="2"/>
      <c r="C3216" s="2"/>
      <c r="D3216" s="2"/>
    </row>
    <row r="3217" spans="1:4" ht="12.75" customHeight="1" x14ac:dyDescent="0.2">
      <c r="A3217" s="21"/>
      <c r="B3217" s="2"/>
      <c r="C3217" s="2"/>
      <c r="D3217" s="2"/>
    </row>
    <row r="3218" spans="1:4" ht="12.75" customHeight="1" x14ac:dyDescent="0.2">
      <c r="A3218" s="5"/>
      <c r="B3218" s="2"/>
      <c r="C3218" s="2"/>
      <c r="D3218" s="2"/>
    </row>
    <row r="3219" spans="1:4" ht="12.75" customHeight="1" x14ac:dyDescent="0.2">
      <c r="A3219" s="22" t="str">
        <f>HYPERLINK("javascript:void(0)","centroveretű illanat")</f>
        <v>centroveretű illanat</v>
      </c>
      <c r="B3219" s="21"/>
      <c r="C3219" s="21"/>
      <c r="D3219" s="21"/>
    </row>
    <row r="3220" spans="1:4" ht="12.75" customHeight="1" x14ac:dyDescent="0.2">
      <c r="A3220" s="20"/>
      <c r="B3220" s="2"/>
      <c r="C3220" s="2"/>
      <c r="D3220" s="2"/>
    </row>
    <row r="3221" spans="1:4" ht="12.75" customHeight="1" x14ac:dyDescent="0.2">
      <c r="A3221" s="21"/>
      <c r="B3221" s="3" t="s">
        <v>0</v>
      </c>
      <c r="C3221" s="20" t="s">
        <v>635</v>
      </c>
      <c r="D3221" s="21"/>
    </row>
    <row r="3222" spans="1:4" ht="12.75" customHeight="1" x14ac:dyDescent="0.2">
      <c r="A3222" s="21"/>
      <c r="B3222" s="3" t="s">
        <v>2</v>
      </c>
      <c r="C3222" s="20" t="s">
        <v>1839</v>
      </c>
      <c r="D3222" s="21"/>
    </row>
    <row r="3223" spans="1:4" ht="12.75" customHeight="1" x14ac:dyDescent="0.2">
      <c r="A3223" s="21"/>
      <c r="B3223" s="3" t="s">
        <v>1840</v>
      </c>
      <c r="C3223" s="20" t="s">
        <v>1740</v>
      </c>
      <c r="D3223" s="21"/>
    </row>
    <row r="3224" spans="1:4" ht="12.75" customHeight="1" x14ac:dyDescent="0.2">
      <c r="A3224" s="21"/>
      <c r="B3224" s="3" t="s">
        <v>9</v>
      </c>
      <c r="C3224" s="20" t="s">
        <v>2050</v>
      </c>
      <c r="D3224" s="21"/>
    </row>
    <row r="3225" spans="1:4" ht="12.75" customHeight="1" x14ac:dyDescent="0.2">
      <c r="A3225" s="21"/>
      <c r="B3225" s="3" t="s">
        <v>11</v>
      </c>
      <c r="C3225" s="20" t="s">
        <v>901</v>
      </c>
      <c r="D3225" s="21"/>
    </row>
    <row r="3226" spans="1:4" ht="12.75" customHeight="1" x14ac:dyDescent="0.2">
      <c r="A3226" s="21"/>
      <c r="B3226" s="3" t="s">
        <v>16</v>
      </c>
      <c r="C3226" s="20"/>
      <c r="D3226" s="21"/>
    </row>
    <row r="3227" spans="1:4" ht="12.75" customHeight="1" x14ac:dyDescent="0.2">
      <c r="A3227" s="21"/>
      <c r="B3227" s="3" t="s">
        <v>17</v>
      </c>
      <c r="C3227" s="20" t="s">
        <v>19</v>
      </c>
      <c r="D3227" s="21"/>
    </row>
    <row r="3228" spans="1:4" ht="12.75" customHeight="1" x14ac:dyDescent="0.2">
      <c r="A3228" s="21"/>
      <c r="B3228" s="20" t="s">
        <v>18</v>
      </c>
      <c r="C3228" s="4" t="s">
        <v>44</v>
      </c>
      <c r="D3228" s="6" t="str">
        <f>HYPERLINK("javascript:void(0)","helioacél pajzs")</f>
        <v>helioacél pajzs</v>
      </c>
    </row>
    <row r="3229" spans="1:4" ht="12.75" customHeight="1" x14ac:dyDescent="0.2">
      <c r="A3229" s="21"/>
      <c r="B3229" s="21"/>
      <c r="C3229" s="4" t="s">
        <v>632</v>
      </c>
      <c r="D3229" s="6" t="str">
        <f>HYPERLINK("javascript:void(0)","centrolium")</f>
        <v>centrolium</v>
      </c>
    </row>
    <row r="3230" spans="1:4" ht="12.75" customHeight="1" x14ac:dyDescent="0.2">
      <c r="A3230" s="21"/>
      <c r="B3230" s="21"/>
      <c r="C3230" s="4" t="s">
        <v>117</v>
      </c>
      <c r="D3230" s="6" t="str">
        <f>HYPERLINK("javascript:void(0)","vasorr")</f>
        <v>vasorr</v>
      </c>
    </row>
    <row r="3231" spans="1:4" ht="12.75" customHeight="1" x14ac:dyDescent="0.2">
      <c r="A3231" s="21"/>
      <c r="B3231" s="2"/>
      <c r="C3231" s="2"/>
      <c r="D3231" s="2"/>
    </row>
    <row r="3232" spans="1:4" ht="12.75" customHeight="1" x14ac:dyDescent="0.2">
      <c r="A3232" s="21"/>
      <c r="B3232" s="2"/>
      <c r="C3232" s="2"/>
      <c r="D3232" s="2"/>
    </row>
    <row r="3233" spans="1:4" ht="12.75" customHeight="1" x14ac:dyDescent="0.2">
      <c r="A3233" s="21"/>
      <c r="B3233" s="2"/>
      <c r="C3233" s="2"/>
      <c r="D3233" s="2"/>
    </row>
    <row r="3234" spans="1:4" ht="12.75" customHeight="1" x14ac:dyDescent="0.2">
      <c r="A3234" s="21"/>
      <c r="B3234" s="2"/>
      <c r="C3234" s="2"/>
      <c r="D3234" s="2"/>
    </row>
    <row r="3235" spans="1:4" ht="12.75" customHeight="1" x14ac:dyDescent="0.2">
      <c r="A3235" s="5"/>
      <c r="B3235" s="2"/>
      <c r="C3235" s="2"/>
      <c r="D3235" s="2"/>
    </row>
    <row r="3236" spans="1:4" ht="12.75" customHeight="1" x14ac:dyDescent="0.2">
      <c r="A3236" s="22" t="str">
        <f>HYPERLINK("javascript:void(0)","helioacél testpajzs")</f>
        <v>helioacél testpajzs</v>
      </c>
      <c r="B3236" s="21"/>
      <c r="C3236" s="21"/>
      <c r="D3236" s="21"/>
    </row>
    <row r="3237" spans="1:4" ht="12.75" customHeight="1" x14ac:dyDescent="0.2">
      <c r="A3237" s="20"/>
      <c r="B3237" s="2"/>
      <c r="C3237" s="2"/>
      <c r="D3237" s="2"/>
    </row>
    <row r="3238" spans="1:4" ht="12.75" customHeight="1" x14ac:dyDescent="0.2">
      <c r="A3238" s="21"/>
      <c r="B3238" s="3" t="s">
        <v>0</v>
      </c>
      <c r="C3238" s="20" t="s">
        <v>239</v>
      </c>
      <c r="D3238" s="21"/>
    </row>
    <row r="3239" spans="1:4" ht="12.75" customHeight="1" x14ac:dyDescent="0.2">
      <c r="A3239" s="21"/>
      <c r="B3239" s="3" t="s">
        <v>2</v>
      </c>
      <c r="C3239" s="20" t="s">
        <v>1839</v>
      </c>
      <c r="D3239" s="21"/>
    </row>
    <row r="3240" spans="1:4" ht="12.75" customHeight="1" x14ac:dyDescent="0.2">
      <c r="A3240" s="21"/>
      <c r="B3240" s="3" t="s">
        <v>1840</v>
      </c>
      <c r="C3240" s="20" t="s">
        <v>2165</v>
      </c>
      <c r="D3240" s="21"/>
    </row>
    <row r="3241" spans="1:4" ht="12.75" customHeight="1" x14ac:dyDescent="0.2">
      <c r="A3241" s="21"/>
      <c r="B3241" s="3" t="s">
        <v>9</v>
      </c>
      <c r="C3241" s="20" t="s">
        <v>549</v>
      </c>
      <c r="D3241" s="21"/>
    </row>
    <row r="3242" spans="1:4" ht="12.75" customHeight="1" x14ac:dyDescent="0.2">
      <c r="A3242" s="21"/>
      <c r="B3242" s="3" t="s">
        <v>11</v>
      </c>
      <c r="C3242" s="20" t="s">
        <v>879</v>
      </c>
      <c r="D3242" s="21"/>
    </row>
    <row r="3243" spans="1:4" ht="12.75" customHeight="1" x14ac:dyDescent="0.2">
      <c r="A3243" s="21"/>
      <c r="B3243" s="3" t="s">
        <v>16</v>
      </c>
      <c r="C3243" s="20"/>
      <c r="D3243" s="21"/>
    </row>
    <row r="3244" spans="1:4" ht="12.75" customHeight="1" x14ac:dyDescent="0.2">
      <c r="A3244" s="21"/>
      <c r="B3244" s="3" t="s">
        <v>17</v>
      </c>
      <c r="C3244" s="20" t="s">
        <v>19</v>
      </c>
      <c r="D3244" s="21"/>
    </row>
    <row r="3245" spans="1:4" ht="25.5" customHeight="1" x14ac:dyDescent="0.2">
      <c r="A3245" s="21"/>
      <c r="B3245" s="20" t="s">
        <v>18</v>
      </c>
      <c r="C3245" s="4" t="s">
        <v>44</v>
      </c>
      <c r="D3245" s="6" t="str">
        <f>HYPERLINK("javascript:void(0)","magnetoacél testpajzs")</f>
        <v>magnetoacél testpajzs</v>
      </c>
    </row>
    <row r="3246" spans="1:4" ht="12.75" customHeight="1" x14ac:dyDescent="0.2">
      <c r="A3246" s="21"/>
      <c r="B3246" s="21"/>
      <c r="C3246" s="4" t="s">
        <v>55</v>
      </c>
      <c r="D3246" s="6" t="str">
        <f>HYPERLINK("javascript:void(0)","kárópikkely")</f>
        <v>kárópikkely</v>
      </c>
    </row>
    <row r="3247" spans="1:4" ht="12.75" customHeight="1" x14ac:dyDescent="0.2">
      <c r="A3247" s="21"/>
      <c r="B3247" s="21"/>
      <c r="C3247" s="4" t="s">
        <v>244</v>
      </c>
      <c r="D3247" s="6" t="str">
        <f>HYPERLINK("javascript:void(0)","napfolt")</f>
        <v>napfolt</v>
      </c>
    </row>
    <row r="3248" spans="1:4" ht="12.75" customHeight="1" x14ac:dyDescent="0.2">
      <c r="A3248" s="21"/>
      <c r="B3248" s="2"/>
      <c r="C3248" s="2"/>
      <c r="D3248" s="2"/>
    </row>
    <row r="3249" spans="1:4" ht="12.75" customHeight="1" x14ac:dyDescent="0.2">
      <c r="A3249" s="21"/>
      <c r="B3249" s="2"/>
      <c r="C3249" s="2"/>
      <c r="D3249" s="2"/>
    </row>
    <row r="3250" spans="1:4" ht="12.75" customHeight="1" x14ac:dyDescent="0.2">
      <c r="A3250" s="21"/>
      <c r="B3250" s="2"/>
      <c r="C3250" s="2"/>
      <c r="D3250" s="2"/>
    </row>
    <row r="3251" spans="1:4" ht="12.75" customHeight="1" x14ac:dyDescent="0.2">
      <c r="A3251" s="21"/>
      <c r="B3251" s="2"/>
      <c r="C3251" s="2"/>
      <c r="D3251" s="2"/>
    </row>
    <row r="3252" spans="1:4" ht="12.75" customHeight="1" x14ac:dyDescent="0.2">
      <c r="A3252" s="5"/>
      <c r="B3252" s="2"/>
      <c r="C3252" s="2"/>
      <c r="D3252" s="2"/>
    </row>
    <row r="3253" spans="1:4" ht="12.75" customHeight="1" x14ac:dyDescent="0.2">
      <c r="A3253" s="22" t="str">
        <f>HYPERLINK("javascript:void(0)","óriásacél illanat")</f>
        <v>óriásacél illanat</v>
      </c>
      <c r="B3253" s="21"/>
      <c r="C3253" s="21"/>
      <c r="D3253" s="21"/>
    </row>
    <row r="3254" spans="1:4" ht="12.75" customHeight="1" x14ac:dyDescent="0.2">
      <c r="A3254" s="20"/>
      <c r="B3254" s="2"/>
      <c r="C3254" s="2"/>
      <c r="D3254" s="2"/>
    </row>
    <row r="3255" spans="1:4" ht="12.75" customHeight="1" x14ac:dyDescent="0.2">
      <c r="A3255" s="21"/>
      <c r="B3255" s="3" t="s">
        <v>0</v>
      </c>
      <c r="C3255" s="20" t="s">
        <v>239</v>
      </c>
      <c r="D3255" s="21"/>
    </row>
    <row r="3256" spans="1:4" ht="12.75" customHeight="1" x14ac:dyDescent="0.2">
      <c r="A3256" s="21"/>
      <c r="B3256" s="3" t="s">
        <v>2</v>
      </c>
      <c r="C3256" s="20" t="s">
        <v>1839</v>
      </c>
      <c r="D3256" s="21"/>
    </row>
    <row r="3257" spans="1:4" ht="12.75" customHeight="1" x14ac:dyDescent="0.2">
      <c r="A3257" s="21"/>
      <c r="B3257" s="3" t="s">
        <v>1840</v>
      </c>
      <c r="C3257" s="20" t="s">
        <v>2165</v>
      </c>
      <c r="D3257" s="21"/>
    </row>
    <row r="3258" spans="1:4" ht="12.75" customHeight="1" x14ac:dyDescent="0.2">
      <c r="A3258" s="21"/>
      <c r="B3258" s="3" t="s">
        <v>9</v>
      </c>
      <c r="C3258" s="20" t="s">
        <v>1737</v>
      </c>
      <c r="D3258" s="21"/>
    </row>
    <row r="3259" spans="1:4" ht="12.75" customHeight="1" x14ac:dyDescent="0.2">
      <c r="A3259" s="21"/>
      <c r="B3259" s="3" t="s">
        <v>11</v>
      </c>
      <c r="C3259" s="20" t="s">
        <v>917</v>
      </c>
      <c r="D3259" s="21"/>
    </row>
    <row r="3260" spans="1:4" ht="12.75" customHeight="1" x14ac:dyDescent="0.2">
      <c r="A3260" s="21"/>
      <c r="B3260" s="3" t="s">
        <v>16</v>
      </c>
      <c r="C3260" s="20"/>
      <c r="D3260" s="21"/>
    </row>
    <row r="3261" spans="1:4" ht="12.75" customHeight="1" x14ac:dyDescent="0.2">
      <c r="A3261" s="21"/>
      <c r="B3261" s="3" t="s">
        <v>17</v>
      </c>
      <c r="C3261" s="20" t="s">
        <v>19</v>
      </c>
      <c r="D3261" s="21"/>
    </row>
    <row r="3262" spans="1:4" ht="12.75" customHeight="1" x14ac:dyDescent="0.2">
      <c r="A3262" s="21"/>
      <c r="B3262" s="20" t="s">
        <v>18</v>
      </c>
      <c r="C3262" s="4" t="s">
        <v>44</v>
      </c>
      <c r="D3262" s="6" t="str">
        <f>HYPERLINK("javascript:void(0)","helioacél testpajzs")</f>
        <v>helioacél testpajzs</v>
      </c>
    </row>
    <row r="3263" spans="1:4" ht="12.75" customHeight="1" x14ac:dyDescent="0.2">
      <c r="A3263" s="21"/>
      <c r="B3263" s="21"/>
      <c r="C3263" s="4" t="s">
        <v>142</v>
      </c>
      <c r="D3263" s="6" t="str">
        <f>HYPERLINK("javascript:void(0)","óriás korona")</f>
        <v>óriás korona</v>
      </c>
    </row>
    <row r="3264" spans="1:4" ht="12.75" customHeight="1" x14ac:dyDescent="0.2">
      <c r="A3264" s="21"/>
      <c r="B3264" s="21"/>
      <c r="C3264" s="4" t="s">
        <v>756</v>
      </c>
      <c r="D3264" s="6" t="str">
        <f>HYPERLINK("javascript:void(0)","ragya")</f>
        <v>ragya</v>
      </c>
    </row>
    <row r="3265" spans="1:4" ht="12.75" customHeight="1" x14ac:dyDescent="0.2">
      <c r="A3265" s="21"/>
      <c r="B3265" s="2"/>
      <c r="C3265" s="2"/>
      <c r="D3265" s="2"/>
    </row>
    <row r="3266" spans="1:4" ht="12.75" customHeight="1" x14ac:dyDescent="0.2">
      <c r="A3266" s="21"/>
      <c r="B3266" s="2"/>
      <c r="C3266" s="2"/>
      <c r="D3266" s="2"/>
    </row>
    <row r="3267" spans="1:4" ht="12.75" customHeight="1" x14ac:dyDescent="0.2">
      <c r="A3267" s="21"/>
      <c r="B3267" s="2"/>
      <c r="C3267" s="2"/>
      <c r="D3267" s="2"/>
    </row>
    <row r="3268" spans="1:4" ht="12.75" customHeight="1" x14ac:dyDescent="0.2">
      <c r="A3268" s="21"/>
      <c r="B3268" s="2"/>
      <c r="C3268" s="2"/>
      <c r="D3268" s="2"/>
    </row>
    <row r="3269" spans="1:4" ht="12.75" customHeight="1" x14ac:dyDescent="0.2">
      <c r="A3269" s="5"/>
      <c r="B3269" s="2"/>
      <c r="C3269" s="2"/>
      <c r="D3269" s="2"/>
    </row>
    <row r="3270" spans="1:4" ht="12.75" customHeight="1" x14ac:dyDescent="0.2">
      <c r="A3270" s="22" t="str">
        <f>HYPERLINK("javascript:void(0)","csillámló levélpajzs")</f>
        <v>csillámló levélpajzs</v>
      </c>
      <c r="B3270" s="21"/>
      <c r="C3270" s="21"/>
      <c r="D3270" s="21"/>
    </row>
    <row r="3271" spans="1:4" ht="12.75" customHeight="1" x14ac:dyDescent="0.2">
      <c r="A3271" s="20"/>
      <c r="B3271" s="2"/>
      <c r="C3271" s="2"/>
      <c r="D3271" s="2"/>
    </row>
    <row r="3272" spans="1:4" ht="12.75" customHeight="1" x14ac:dyDescent="0.2">
      <c r="A3272" s="21"/>
      <c r="B3272" s="3" t="s">
        <v>0</v>
      </c>
      <c r="C3272" s="20" t="s">
        <v>239</v>
      </c>
      <c r="D3272" s="21"/>
    </row>
    <row r="3273" spans="1:4" ht="12.75" customHeight="1" x14ac:dyDescent="0.2">
      <c r="A3273" s="21"/>
      <c r="B3273" s="3" t="s">
        <v>2</v>
      </c>
      <c r="C3273" s="20" t="s">
        <v>1839</v>
      </c>
      <c r="D3273" s="21"/>
    </row>
    <row r="3274" spans="1:4" ht="12.75" customHeight="1" x14ac:dyDescent="0.2">
      <c r="A3274" s="21"/>
      <c r="B3274" s="3" t="s">
        <v>1840</v>
      </c>
      <c r="C3274" s="20" t="s">
        <v>2055</v>
      </c>
      <c r="D3274" s="21"/>
    </row>
    <row r="3275" spans="1:4" ht="12.75" customHeight="1" x14ac:dyDescent="0.2">
      <c r="A3275" s="21"/>
      <c r="B3275" s="3" t="s">
        <v>9</v>
      </c>
      <c r="C3275" s="20" t="s">
        <v>1481</v>
      </c>
      <c r="D3275" s="21"/>
    </row>
    <row r="3276" spans="1:4" ht="12.75" customHeight="1" x14ac:dyDescent="0.2">
      <c r="A3276" s="21"/>
      <c r="B3276" s="3" t="s">
        <v>11</v>
      </c>
      <c r="C3276" s="20" t="s">
        <v>879</v>
      </c>
      <c r="D3276" s="21"/>
    </row>
    <row r="3277" spans="1:4" ht="12.75" customHeight="1" x14ac:dyDescent="0.2">
      <c r="A3277" s="21"/>
      <c r="B3277" s="3" t="s">
        <v>16</v>
      </c>
      <c r="C3277" s="20"/>
      <c r="D3277" s="21"/>
    </row>
    <row r="3278" spans="1:4" ht="12.75" customHeight="1" x14ac:dyDescent="0.2">
      <c r="A3278" s="21"/>
      <c r="B3278" s="3" t="s">
        <v>17</v>
      </c>
      <c r="C3278" s="20" t="s">
        <v>19</v>
      </c>
      <c r="D3278" s="21"/>
    </row>
    <row r="3279" spans="1:4" ht="12.75" customHeight="1" x14ac:dyDescent="0.2">
      <c r="A3279" s="21"/>
      <c r="B3279" s="20" t="s">
        <v>18</v>
      </c>
      <c r="C3279" s="4" t="s">
        <v>57</v>
      </c>
      <c r="D3279" s="6" t="str">
        <f>HYPERLINK("javascript:void(0)","csillámgöb")</f>
        <v>csillámgöb</v>
      </c>
    </row>
    <row r="3280" spans="1:4" ht="12.75" customHeight="1" x14ac:dyDescent="0.2">
      <c r="A3280" s="21"/>
      <c r="B3280" s="21"/>
      <c r="C3280" s="4" t="s">
        <v>44</v>
      </c>
      <c r="D3280" s="6" t="str">
        <f>HYPERLINK("javascript:void(0)","csillámló elfpajzs")</f>
        <v>csillámló elfpajzs</v>
      </c>
    </row>
    <row r="3281" spans="1:4" ht="12.75" customHeight="1" x14ac:dyDescent="0.2">
      <c r="A3281" s="21"/>
      <c r="B3281" s="21"/>
      <c r="C3281" s="4" t="s">
        <v>57</v>
      </c>
      <c r="D3281" s="6" t="str">
        <f>HYPERLINK("javascript:void(0)","ezüstpajzs")</f>
        <v>ezüstpajzs</v>
      </c>
    </row>
    <row r="3282" spans="1:4" ht="12.75" customHeight="1" x14ac:dyDescent="0.2">
      <c r="A3282" s="21"/>
      <c r="B3282" s="2"/>
      <c r="C3282" s="2"/>
      <c r="D3282" s="2"/>
    </row>
    <row r="3283" spans="1:4" ht="12.75" customHeight="1" x14ac:dyDescent="0.2">
      <c r="A3283" s="21"/>
      <c r="B3283" s="2"/>
      <c r="C3283" s="2"/>
      <c r="D3283" s="2"/>
    </row>
    <row r="3284" spans="1:4" ht="12.75" customHeight="1" x14ac:dyDescent="0.2">
      <c r="A3284" s="21"/>
      <c r="B3284" s="2"/>
      <c r="C3284" s="2"/>
      <c r="D3284" s="2"/>
    </row>
    <row r="3285" spans="1:4" ht="12.75" customHeight="1" x14ac:dyDescent="0.2">
      <c r="A3285" s="21"/>
      <c r="B3285" s="2"/>
      <c r="C3285" s="2"/>
      <c r="D3285" s="2"/>
    </row>
    <row r="3286" spans="1:4" ht="12.75" customHeight="1" x14ac:dyDescent="0.2">
      <c r="A3286" s="5"/>
      <c r="B3286" s="2"/>
      <c r="C3286" s="2"/>
      <c r="D3286" s="2"/>
    </row>
    <row r="3287" spans="1:4" ht="12.75" customHeight="1" x14ac:dyDescent="0.2">
      <c r="A3287" s="22" t="str">
        <f>HYPERLINK("javascript:void(0)","elemi pajzs")</f>
        <v>elemi pajzs</v>
      </c>
      <c r="B3287" s="21"/>
      <c r="C3287" s="21"/>
      <c r="D3287" s="21"/>
    </row>
    <row r="3288" spans="1:4" ht="12.75" customHeight="1" x14ac:dyDescent="0.2">
      <c r="A3288" s="20"/>
      <c r="B3288" s="2"/>
      <c r="C3288" s="2"/>
      <c r="D3288" s="2"/>
    </row>
    <row r="3289" spans="1:4" ht="12.75" customHeight="1" x14ac:dyDescent="0.2">
      <c r="A3289" s="21"/>
      <c r="B3289" s="3" t="s">
        <v>0</v>
      </c>
      <c r="C3289" s="20" t="s">
        <v>651</v>
      </c>
      <c r="D3289" s="21"/>
    </row>
    <row r="3290" spans="1:4" ht="12.75" customHeight="1" x14ac:dyDescent="0.2">
      <c r="A3290" s="21"/>
      <c r="B3290" s="3" t="s">
        <v>2</v>
      </c>
      <c r="C3290" s="20" t="s">
        <v>1839</v>
      </c>
      <c r="D3290" s="21"/>
    </row>
    <row r="3291" spans="1:4" ht="12.75" customHeight="1" x14ac:dyDescent="0.2">
      <c r="A3291" s="21"/>
      <c r="B3291" s="3" t="s">
        <v>1840</v>
      </c>
      <c r="C3291" s="20" t="s">
        <v>2173</v>
      </c>
      <c r="D3291" s="21"/>
    </row>
    <row r="3292" spans="1:4" ht="12.75" customHeight="1" x14ac:dyDescent="0.2">
      <c r="A3292" s="21"/>
      <c r="B3292" s="3" t="s">
        <v>9</v>
      </c>
      <c r="C3292" s="20" t="s">
        <v>249</v>
      </c>
      <c r="D3292" s="21"/>
    </row>
    <row r="3293" spans="1:4" ht="12.75" customHeight="1" x14ac:dyDescent="0.2">
      <c r="A3293" s="21"/>
      <c r="B3293" s="3" t="s">
        <v>11</v>
      </c>
      <c r="C3293" s="20" t="s">
        <v>901</v>
      </c>
      <c r="D3293" s="21"/>
    </row>
    <row r="3294" spans="1:4" ht="12.75" customHeight="1" x14ac:dyDescent="0.2">
      <c r="A3294" s="21"/>
      <c r="B3294" s="3" t="s">
        <v>16</v>
      </c>
      <c r="C3294" s="20"/>
      <c r="D3294" s="21"/>
    </row>
    <row r="3295" spans="1:4" ht="12.75" customHeight="1" x14ac:dyDescent="0.2">
      <c r="A3295" s="21"/>
      <c r="B3295" s="3" t="s">
        <v>17</v>
      </c>
      <c r="C3295" s="20" t="s">
        <v>19</v>
      </c>
      <c r="D3295" s="21"/>
    </row>
    <row r="3296" spans="1:4" ht="12.75" customHeight="1" x14ac:dyDescent="0.2">
      <c r="A3296" s="21"/>
      <c r="B3296" s="20" t="s">
        <v>18</v>
      </c>
      <c r="C3296" s="4" t="s">
        <v>44</v>
      </c>
      <c r="D3296" s="6" t="str">
        <f>HYPERLINK("javascript:void(0)","helioacél pajzs")</f>
        <v>helioacél pajzs</v>
      </c>
    </row>
    <row r="3297" spans="1:4" ht="12.75" customHeight="1" x14ac:dyDescent="0.2">
      <c r="A3297" s="21"/>
      <c r="B3297" s="21"/>
      <c r="C3297" s="4" t="s">
        <v>139</v>
      </c>
      <c r="D3297" s="6" t="str">
        <f>HYPERLINK("javascript:void(0)","elemi köpet")</f>
        <v>elemi köpet</v>
      </c>
    </row>
    <row r="3298" spans="1:4" ht="12.75" customHeight="1" x14ac:dyDescent="0.2">
      <c r="A3298" s="21"/>
      <c r="B3298" s="21"/>
      <c r="C3298" s="4" t="s">
        <v>193</v>
      </c>
      <c r="D3298" s="6" t="str">
        <f>HYPERLINK("javascript:void(0)","mechodron")</f>
        <v>mechodron</v>
      </c>
    </row>
    <row r="3299" spans="1:4" ht="12.75" customHeight="1" x14ac:dyDescent="0.2">
      <c r="A3299" s="21"/>
      <c r="B3299" s="2"/>
      <c r="C3299" s="2"/>
      <c r="D3299" s="2"/>
    </row>
    <row r="3300" spans="1:4" ht="12.75" customHeight="1" x14ac:dyDescent="0.2">
      <c r="A3300" s="21"/>
      <c r="B3300" s="2"/>
      <c r="C3300" s="2"/>
      <c r="D3300" s="2"/>
    </row>
    <row r="3301" spans="1:4" ht="12.75" customHeight="1" x14ac:dyDescent="0.2">
      <c r="A3301" s="21"/>
      <c r="B3301" s="2"/>
      <c r="C3301" s="2"/>
      <c r="D3301" s="2"/>
    </row>
    <row r="3302" spans="1:4" ht="12.75" customHeight="1" x14ac:dyDescent="0.2">
      <c r="A3302" s="21"/>
      <c r="B3302" s="2"/>
      <c r="C3302" s="2"/>
      <c r="D3302" s="2"/>
    </row>
    <row r="3303" spans="1:4" ht="12.75" customHeight="1" x14ac:dyDescent="0.2">
      <c r="A3303" s="5"/>
      <c r="B3303" s="2"/>
      <c r="C3303" s="2"/>
      <c r="D3303" s="2"/>
    </row>
    <row r="3304" spans="1:4" ht="12.75" customHeight="1" x14ac:dyDescent="0.2">
      <c r="A3304" s="22" t="str">
        <f>HYPERLINK("javascript:void(0)","hiperveretű illanat")</f>
        <v>hiperveretű illanat</v>
      </c>
      <c r="B3304" s="21"/>
      <c r="C3304" s="21"/>
      <c r="D3304" s="21"/>
    </row>
    <row r="3305" spans="1:4" ht="12.75" customHeight="1" x14ac:dyDescent="0.2">
      <c r="A3305" s="20"/>
      <c r="B3305" s="2"/>
      <c r="C3305" s="2"/>
      <c r="D3305" s="2"/>
    </row>
    <row r="3306" spans="1:4" ht="12.75" customHeight="1" x14ac:dyDescent="0.2">
      <c r="A3306" s="21"/>
      <c r="B3306" s="3" t="s">
        <v>0</v>
      </c>
      <c r="C3306" s="20" t="s">
        <v>651</v>
      </c>
      <c r="D3306" s="21"/>
    </row>
    <row r="3307" spans="1:4" ht="12.75" customHeight="1" x14ac:dyDescent="0.2">
      <c r="A3307" s="21"/>
      <c r="B3307" s="3" t="s">
        <v>2</v>
      </c>
      <c r="C3307" s="20" t="s">
        <v>1839</v>
      </c>
      <c r="D3307" s="21"/>
    </row>
    <row r="3308" spans="1:4" ht="12.75" customHeight="1" x14ac:dyDescent="0.2">
      <c r="A3308" s="21"/>
      <c r="B3308" s="3" t="s">
        <v>1840</v>
      </c>
      <c r="C3308" s="20" t="s">
        <v>2173</v>
      </c>
      <c r="D3308" s="21"/>
    </row>
    <row r="3309" spans="1:4" ht="12.75" customHeight="1" x14ac:dyDescent="0.2">
      <c r="A3309" s="21"/>
      <c r="B3309" s="3" t="s">
        <v>9</v>
      </c>
      <c r="C3309" s="20" t="s">
        <v>2070</v>
      </c>
      <c r="D3309" s="21"/>
    </row>
    <row r="3310" spans="1:4" ht="12.75" customHeight="1" x14ac:dyDescent="0.2">
      <c r="A3310" s="21"/>
      <c r="B3310" s="3" t="s">
        <v>11</v>
      </c>
      <c r="C3310" s="20" t="s">
        <v>939</v>
      </c>
      <c r="D3310" s="21"/>
    </row>
    <row r="3311" spans="1:4" ht="12.75" customHeight="1" x14ac:dyDescent="0.2">
      <c r="A3311" s="21"/>
      <c r="B3311" s="3" t="s">
        <v>16</v>
      </c>
      <c r="C3311" s="20"/>
      <c r="D3311" s="21"/>
    </row>
    <row r="3312" spans="1:4" ht="12.75" customHeight="1" x14ac:dyDescent="0.2">
      <c r="A3312" s="21"/>
      <c r="B3312" s="3" t="s">
        <v>17</v>
      </c>
      <c r="C3312" s="20" t="s">
        <v>19</v>
      </c>
      <c r="D3312" s="21"/>
    </row>
    <row r="3313" spans="1:4" ht="12.75" customHeight="1" x14ac:dyDescent="0.2">
      <c r="A3313" s="21"/>
      <c r="B3313" s="20" t="s">
        <v>18</v>
      </c>
      <c r="C3313" s="4" t="s">
        <v>44</v>
      </c>
      <c r="D3313" s="6" t="str">
        <f>HYPERLINK("javascript:void(0)","elemi pajzs")</f>
        <v>elemi pajzs</v>
      </c>
    </row>
    <row r="3314" spans="1:4" ht="12.75" customHeight="1" x14ac:dyDescent="0.2">
      <c r="A3314" s="21"/>
      <c r="B3314" s="21"/>
      <c r="C3314" s="4" t="s">
        <v>382</v>
      </c>
      <c r="D3314" s="6" t="str">
        <f>HYPERLINK("javascript:void(0)","hiperium")</f>
        <v>hiperium</v>
      </c>
    </row>
    <row r="3315" spans="1:4" ht="12.75" customHeight="1" x14ac:dyDescent="0.2">
      <c r="A3315" s="21"/>
      <c r="B3315" s="21"/>
      <c r="C3315" s="4" t="s">
        <v>98</v>
      </c>
      <c r="D3315" s="6" t="str">
        <f>HYPERLINK("javascript:void(0)","rúna")</f>
        <v>rúna</v>
      </c>
    </row>
    <row r="3316" spans="1:4" ht="12.75" customHeight="1" x14ac:dyDescent="0.2">
      <c r="A3316" s="21"/>
      <c r="B3316" s="2"/>
      <c r="C3316" s="2"/>
      <c r="D3316" s="2"/>
    </row>
    <row r="3317" spans="1:4" ht="12.75" customHeight="1" x14ac:dyDescent="0.2">
      <c r="A3317" s="21"/>
      <c r="B3317" s="2"/>
      <c r="C3317" s="2"/>
      <c r="D3317" s="2"/>
    </row>
    <row r="3318" spans="1:4" ht="12.75" customHeight="1" x14ac:dyDescent="0.2">
      <c r="A3318" s="21"/>
      <c r="B3318" s="2"/>
      <c r="C3318" s="2"/>
      <c r="D3318" s="2"/>
    </row>
    <row r="3319" spans="1:4" ht="12.75" customHeight="1" x14ac:dyDescent="0.2">
      <c r="A3319" s="21"/>
      <c r="B3319" s="2"/>
      <c r="C3319" s="2"/>
      <c r="D3319" s="2"/>
    </row>
    <row r="3320" spans="1:4" ht="12.75" customHeight="1" x14ac:dyDescent="0.2">
      <c r="A3320" s="5"/>
      <c r="B3320" s="2"/>
      <c r="C3320" s="2"/>
      <c r="D3320" s="2"/>
    </row>
    <row r="3321" spans="1:4" ht="12.75" customHeight="1" x14ac:dyDescent="0.2">
      <c r="A3321" s="22" t="str">
        <f>HYPERLINK("javascript:void(0)","elemi testpajzs")</f>
        <v>elemi testpajzs</v>
      </c>
      <c r="B3321" s="21"/>
      <c r="C3321" s="21"/>
      <c r="D3321" s="21"/>
    </row>
    <row r="3322" spans="1:4" ht="12.75" customHeight="1" x14ac:dyDescent="0.2">
      <c r="A3322" s="20"/>
      <c r="B3322" s="2"/>
      <c r="C3322" s="2"/>
      <c r="D3322" s="2"/>
    </row>
    <row r="3323" spans="1:4" ht="12.75" customHeight="1" x14ac:dyDescent="0.2">
      <c r="A3323" s="21"/>
      <c r="B3323" s="3" t="s">
        <v>0</v>
      </c>
      <c r="C3323" s="20" t="s">
        <v>69</v>
      </c>
      <c r="D3323" s="21"/>
    </row>
    <row r="3324" spans="1:4" ht="12.75" customHeight="1" x14ac:dyDescent="0.2">
      <c r="A3324" s="21"/>
      <c r="B3324" s="3" t="s">
        <v>2</v>
      </c>
      <c r="C3324" s="20" t="s">
        <v>1839</v>
      </c>
      <c r="D3324" s="21"/>
    </row>
    <row r="3325" spans="1:4" ht="12.75" customHeight="1" x14ac:dyDescent="0.2">
      <c r="A3325" s="21"/>
      <c r="B3325" s="3" t="s">
        <v>1840</v>
      </c>
      <c r="C3325" s="20" t="s">
        <v>2179</v>
      </c>
      <c r="D3325" s="21"/>
    </row>
    <row r="3326" spans="1:4" ht="12.75" customHeight="1" x14ac:dyDescent="0.2">
      <c r="A3326" s="21"/>
      <c r="B3326" s="3" t="s">
        <v>9</v>
      </c>
      <c r="C3326" s="20" t="s">
        <v>262</v>
      </c>
      <c r="D3326" s="21"/>
    </row>
    <row r="3327" spans="1:4" ht="12.75" customHeight="1" x14ac:dyDescent="0.2">
      <c r="A3327" s="21"/>
      <c r="B3327" s="3" t="s">
        <v>11</v>
      </c>
      <c r="C3327" s="20" t="s">
        <v>917</v>
      </c>
      <c r="D3327" s="21"/>
    </row>
    <row r="3328" spans="1:4" ht="12.75" customHeight="1" x14ac:dyDescent="0.2">
      <c r="A3328" s="21"/>
      <c r="B3328" s="3" t="s">
        <v>16</v>
      </c>
      <c r="C3328" s="20"/>
      <c r="D3328" s="21"/>
    </row>
    <row r="3329" spans="1:4" ht="12.75" customHeight="1" x14ac:dyDescent="0.2">
      <c r="A3329" s="21"/>
      <c r="B3329" s="3" t="s">
        <v>17</v>
      </c>
      <c r="C3329" s="20" t="s">
        <v>19</v>
      </c>
      <c r="D3329" s="21"/>
    </row>
    <row r="3330" spans="1:4" ht="12.75" customHeight="1" x14ac:dyDescent="0.2">
      <c r="A3330" s="21"/>
      <c r="B3330" s="20" t="s">
        <v>18</v>
      </c>
      <c r="C3330" s="4" t="s">
        <v>44</v>
      </c>
      <c r="D3330" s="6" t="str">
        <f>HYPERLINK("javascript:void(0)","helioacél testpajzs")</f>
        <v>helioacél testpajzs</v>
      </c>
    </row>
    <row r="3331" spans="1:4" ht="12.75" customHeight="1" x14ac:dyDescent="0.2">
      <c r="A3331" s="21"/>
      <c r="B3331" s="21"/>
      <c r="C3331" s="4" t="s">
        <v>163</v>
      </c>
      <c r="D3331" s="6" t="str">
        <f>HYPERLINK("javascript:void(0)","elemi köpet")</f>
        <v>elemi köpet</v>
      </c>
    </row>
    <row r="3332" spans="1:4" ht="12.75" customHeight="1" x14ac:dyDescent="0.2">
      <c r="A3332" s="21"/>
      <c r="B3332" s="21"/>
      <c r="C3332" s="4" t="s">
        <v>382</v>
      </c>
      <c r="D3332" s="6" t="str">
        <f>HYPERLINK("javascript:void(0)","mechodron")</f>
        <v>mechodron</v>
      </c>
    </row>
    <row r="3333" spans="1:4" ht="12.75" customHeight="1" x14ac:dyDescent="0.2">
      <c r="A3333" s="21"/>
      <c r="B3333" s="2"/>
      <c r="C3333" s="2"/>
      <c r="D3333" s="2"/>
    </row>
    <row r="3334" spans="1:4" ht="12.75" customHeight="1" x14ac:dyDescent="0.2">
      <c r="A3334" s="21"/>
      <c r="B3334" s="2"/>
      <c r="C3334" s="2"/>
      <c r="D3334" s="2"/>
    </row>
    <row r="3335" spans="1:4" ht="12.75" customHeight="1" x14ac:dyDescent="0.2">
      <c r="A3335" s="21"/>
      <c r="B3335" s="2"/>
      <c r="C3335" s="2"/>
      <c r="D3335" s="2"/>
    </row>
    <row r="3336" spans="1:4" ht="12.75" customHeight="1" x14ac:dyDescent="0.2">
      <c r="A3336" s="21"/>
      <c r="B3336" s="2"/>
      <c r="C3336" s="2"/>
      <c r="D3336" s="2"/>
    </row>
    <row r="3337" spans="1:4" ht="12.75" customHeight="1" x14ac:dyDescent="0.2">
      <c r="A3337" s="5"/>
      <c r="B3337" s="2"/>
      <c r="C3337" s="2"/>
      <c r="D3337" s="2"/>
    </row>
    <row r="3338" spans="1:4" ht="12.75" customHeight="1" x14ac:dyDescent="0.2">
      <c r="A3338" s="22" t="str">
        <f>HYPERLINK("javascript:void(0)","elfacél illanat")</f>
        <v>elfacél illanat</v>
      </c>
      <c r="B3338" s="21"/>
      <c r="C3338" s="21"/>
      <c r="D3338" s="21"/>
    </row>
    <row r="3339" spans="1:4" ht="12.75" customHeight="1" x14ac:dyDescent="0.2">
      <c r="A3339" s="20"/>
      <c r="B3339" s="2"/>
      <c r="C3339" s="2"/>
      <c r="D3339" s="2"/>
    </row>
    <row r="3340" spans="1:4" ht="12.75" customHeight="1" x14ac:dyDescent="0.2">
      <c r="A3340" s="21"/>
      <c r="B3340" s="3" t="s">
        <v>0</v>
      </c>
      <c r="C3340" s="20" t="s">
        <v>69</v>
      </c>
      <c r="D3340" s="21"/>
    </row>
    <row r="3341" spans="1:4" ht="12.75" customHeight="1" x14ac:dyDescent="0.2">
      <c r="A3341" s="21"/>
      <c r="B3341" s="3" t="s">
        <v>2</v>
      </c>
      <c r="C3341" s="20" t="s">
        <v>1839</v>
      </c>
      <c r="D3341" s="21"/>
    </row>
    <row r="3342" spans="1:4" ht="12.75" customHeight="1" x14ac:dyDescent="0.2">
      <c r="A3342" s="21"/>
      <c r="B3342" s="3" t="s">
        <v>1840</v>
      </c>
      <c r="C3342" s="20" t="s">
        <v>2179</v>
      </c>
      <c r="D3342" s="21"/>
    </row>
    <row r="3343" spans="1:4" ht="12.75" customHeight="1" x14ac:dyDescent="0.2">
      <c r="A3343" s="21"/>
      <c r="B3343" s="3" t="s">
        <v>9</v>
      </c>
      <c r="C3343" s="20" t="s">
        <v>1262</v>
      </c>
      <c r="D3343" s="21"/>
    </row>
    <row r="3344" spans="1:4" ht="12.75" customHeight="1" x14ac:dyDescent="0.2">
      <c r="A3344" s="21"/>
      <c r="B3344" s="3" t="s">
        <v>11</v>
      </c>
      <c r="C3344" s="20" t="s">
        <v>956</v>
      </c>
      <c r="D3344" s="21"/>
    </row>
    <row r="3345" spans="1:4" ht="12.75" customHeight="1" x14ac:dyDescent="0.2">
      <c r="A3345" s="21"/>
      <c r="B3345" s="3" t="s">
        <v>16</v>
      </c>
      <c r="C3345" s="20"/>
      <c r="D3345" s="21"/>
    </row>
    <row r="3346" spans="1:4" ht="12.75" customHeight="1" x14ac:dyDescent="0.2">
      <c r="A3346" s="21"/>
      <c r="B3346" s="3" t="s">
        <v>17</v>
      </c>
      <c r="C3346" s="20" t="s">
        <v>19</v>
      </c>
      <c r="D3346" s="21"/>
    </row>
    <row r="3347" spans="1:4" ht="12.75" customHeight="1" x14ac:dyDescent="0.2">
      <c r="A3347" s="21"/>
      <c r="B3347" s="20" t="s">
        <v>18</v>
      </c>
      <c r="C3347" s="4" t="s">
        <v>44</v>
      </c>
      <c r="D3347" s="6" t="str">
        <f>HYPERLINK("javascript:void(0)","elemi testpajzs")</f>
        <v>elemi testpajzs</v>
      </c>
    </row>
    <row r="3348" spans="1:4" ht="12.75" customHeight="1" x14ac:dyDescent="0.2">
      <c r="A3348" s="21"/>
      <c r="B3348" s="21"/>
      <c r="C3348" s="4" t="s">
        <v>130</v>
      </c>
      <c r="D3348" s="6" t="str">
        <f>HYPERLINK("javascript:void(0)","szent szimbólum")</f>
        <v>szent szimbólum</v>
      </c>
    </row>
    <row r="3349" spans="1:4" ht="12.75" customHeight="1" x14ac:dyDescent="0.2">
      <c r="A3349" s="21"/>
      <c r="B3349" s="21"/>
      <c r="C3349" s="4" t="s">
        <v>98</v>
      </c>
      <c r="D3349" s="6" t="str">
        <f>HYPERLINK("javascript:void(0)","hypnogén")</f>
        <v>hypnogén</v>
      </c>
    </row>
    <row r="3350" spans="1:4" ht="12.75" customHeight="1" x14ac:dyDescent="0.2">
      <c r="A3350" s="21"/>
      <c r="B3350" s="2"/>
      <c r="C3350" s="2"/>
      <c r="D3350" s="2"/>
    </row>
    <row r="3351" spans="1:4" ht="12.75" customHeight="1" x14ac:dyDescent="0.2">
      <c r="A3351" s="21"/>
      <c r="B3351" s="2"/>
      <c r="C3351" s="2"/>
      <c r="D3351" s="2"/>
    </row>
    <row r="3352" spans="1:4" ht="12.75" customHeight="1" x14ac:dyDescent="0.2">
      <c r="A3352" s="21"/>
      <c r="B3352" s="2"/>
      <c r="C3352" s="2"/>
      <c r="D3352" s="2"/>
    </row>
    <row r="3353" spans="1:4" ht="12.75" customHeight="1" x14ac:dyDescent="0.2">
      <c r="A3353" s="21"/>
      <c r="B3353" s="2"/>
      <c r="C3353" s="2"/>
      <c r="D3353" s="2"/>
    </row>
    <row r="3354" spans="1:4" ht="12.75" customHeight="1" x14ac:dyDescent="0.2">
      <c r="A3354" s="5"/>
      <c r="B3354" s="2"/>
      <c r="C3354" s="2"/>
      <c r="D3354" s="2"/>
    </row>
    <row r="3355" spans="1:4" ht="12.75" customHeight="1" x14ac:dyDescent="0.2">
      <c r="A3355" s="22" t="str">
        <f>HYPERLINK("javascript:void(0)","éjsötét pajzs")</f>
        <v>éjsötét pajzs</v>
      </c>
      <c r="B3355" s="21"/>
      <c r="C3355" s="21"/>
      <c r="D3355" s="21"/>
    </row>
    <row r="3356" spans="1:4" ht="12.75" customHeight="1" x14ac:dyDescent="0.2">
      <c r="A3356" s="20"/>
      <c r="B3356" s="2"/>
      <c r="C3356" s="2"/>
      <c r="D3356" s="2"/>
    </row>
    <row r="3357" spans="1:4" ht="12.75" customHeight="1" x14ac:dyDescent="0.2">
      <c r="A3357" s="21"/>
      <c r="B3357" s="3" t="s">
        <v>0</v>
      </c>
      <c r="C3357" s="20" t="s">
        <v>245</v>
      </c>
      <c r="D3357" s="21"/>
    </row>
    <row r="3358" spans="1:4" ht="12.75" customHeight="1" x14ac:dyDescent="0.2">
      <c r="A3358" s="21"/>
      <c r="B3358" s="3" t="s">
        <v>2</v>
      </c>
      <c r="C3358" s="20" t="s">
        <v>1839</v>
      </c>
      <c r="D3358" s="21"/>
    </row>
    <row r="3359" spans="1:4" ht="12.75" customHeight="1" x14ac:dyDescent="0.2">
      <c r="A3359" s="21"/>
      <c r="B3359" s="3" t="s">
        <v>1840</v>
      </c>
      <c r="C3359" s="20" t="s">
        <v>2183</v>
      </c>
      <c r="D3359" s="21"/>
    </row>
    <row r="3360" spans="1:4" ht="12.75" customHeight="1" x14ac:dyDescent="0.2">
      <c r="A3360" s="21"/>
      <c r="B3360" s="3" t="s">
        <v>9</v>
      </c>
      <c r="C3360" s="20" t="s">
        <v>377</v>
      </c>
      <c r="D3360" s="21"/>
    </row>
    <row r="3361" spans="1:4" ht="12.75" customHeight="1" x14ac:dyDescent="0.2">
      <c r="A3361" s="21"/>
      <c r="B3361" s="3" t="s">
        <v>11</v>
      </c>
      <c r="C3361" s="20" t="s">
        <v>939</v>
      </c>
      <c r="D3361" s="21"/>
    </row>
    <row r="3362" spans="1:4" ht="12.75" customHeight="1" x14ac:dyDescent="0.2">
      <c r="A3362" s="21"/>
      <c r="B3362" s="3" t="s">
        <v>16</v>
      </c>
      <c r="C3362" s="20"/>
      <c r="D3362" s="21"/>
    </row>
    <row r="3363" spans="1:4" ht="12.75" customHeight="1" x14ac:dyDescent="0.2">
      <c r="A3363" s="21"/>
      <c r="B3363" s="3" t="s">
        <v>17</v>
      </c>
      <c r="C3363" s="20" t="s">
        <v>19</v>
      </c>
      <c r="D3363" s="21"/>
    </row>
    <row r="3364" spans="1:4" ht="12.75" customHeight="1" x14ac:dyDescent="0.2">
      <c r="A3364" s="21"/>
      <c r="B3364" s="20" t="s">
        <v>18</v>
      </c>
      <c r="C3364" s="4" t="s">
        <v>44</v>
      </c>
      <c r="D3364" s="6" t="str">
        <f>HYPERLINK("javascript:void(0)","elemi pajzs")</f>
        <v>elemi pajzs</v>
      </c>
    </row>
    <row r="3365" spans="1:4" ht="12.75" customHeight="1" x14ac:dyDescent="0.2">
      <c r="A3365" s="21"/>
      <c r="B3365" s="21"/>
      <c r="C3365" s="4" t="s">
        <v>77</v>
      </c>
      <c r="D3365" s="6" t="str">
        <f>HYPERLINK("javascript:void(0)","éjfény")</f>
        <v>éjfény</v>
      </c>
    </row>
    <row r="3366" spans="1:4" ht="12.75" customHeight="1" x14ac:dyDescent="0.2">
      <c r="A3366" s="21"/>
      <c r="B3366" s="21"/>
      <c r="C3366" s="4" t="s">
        <v>117</v>
      </c>
      <c r="D3366" s="6" t="str">
        <f>HYPERLINK("javascript:void(0)","nukleon")</f>
        <v>nukleon</v>
      </c>
    </row>
    <row r="3367" spans="1:4" ht="12.75" customHeight="1" x14ac:dyDescent="0.2">
      <c r="A3367" s="21"/>
      <c r="B3367" s="2"/>
      <c r="C3367" s="2"/>
      <c r="D3367" s="2"/>
    </row>
    <row r="3368" spans="1:4" ht="12.75" customHeight="1" x14ac:dyDescent="0.2">
      <c r="A3368" s="21"/>
      <c r="B3368" s="2"/>
      <c r="C3368" s="2"/>
      <c r="D3368" s="2"/>
    </row>
    <row r="3369" spans="1:4" ht="12.75" customHeight="1" x14ac:dyDescent="0.2">
      <c r="A3369" s="21"/>
      <c r="B3369" s="2"/>
      <c r="C3369" s="2"/>
      <c r="D3369" s="2"/>
    </row>
    <row r="3370" spans="1:4" ht="12.75" customHeight="1" x14ac:dyDescent="0.2">
      <c r="A3370" s="21"/>
      <c r="B3370" s="2"/>
      <c r="C3370" s="2"/>
      <c r="D3370" s="2"/>
    </row>
    <row r="3371" spans="1:4" ht="12.75" customHeight="1" x14ac:dyDescent="0.2">
      <c r="A3371" s="5"/>
      <c r="B3371" s="2"/>
      <c r="C3371" s="2"/>
      <c r="D3371" s="2"/>
    </row>
    <row r="3372" spans="1:4" ht="12.75" customHeight="1" x14ac:dyDescent="0.2">
      <c r="A3372" s="22" t="str">
        <f>HYPERLINK("javascript:void(0)","kompoveretű illanat")</f>
        <v>kompoveretű illanat</v>
      </c>
      <c r="B3372" s="21"/>
      <c r="C3372" s="21"/>
      <c r="D3372" s="21"/>
    </row>
    <row r="3373" spans="1:4" ht="12.75" customHeight="1" x14ac:dyDescent="0.2">
      <c r="A3373" s="20"/>
      <c r="B3373" s="2"/>
      <c r="C3373" s="2"/>
      <c r="D3373" s="2"/>
    </row>
    <row r="3374" spans="1:4" ht="12.75" customHeight="1" x14ac:dyDescent="0.2">
      <c r="A3374" s="21"/>
      <c r="B3374" s="3" t="s">
        <v>0</v>
      </c>
      <c r="C3374" s="20" t="s">
        <v>245</v>
      </c>
      <c r="D3374" s="21"/>
    </row>
    <row r="3375" spans="1:4" ht="12.75" customHeight="1" x14ac:dyDescent="0.2">
      <c r="A3375" s="21"/>
      <c r="B3375" s="3" t="s">
        <v>2</v>
      </c>
      <c r="C3375" s="20" t="s">
        <v>1839</v>
      </c>
      <c r="D3375" s="21"/>
    </row>
    <row r="3376" spans="1:4" ht="12.75" customHeight="1" x14ac:dyDescent="0.2">
      <c r="A3376" s="21"/>
      <c r="B3376" s="3" t="s">
        <v>1840</v>
      </c>
      <c r="C3376" s="20" t="s">
        <v>2183</v>
      </c>
      <c r="D3376" s="21"/>
    </row>
    <row r="3377" spans="1:4" ht="12.75" customHeight="1" x14ac:dyDescent="0.2">
      <c r="A3377" s="21"/>
      <c r="B3377" s="3" t="s">
        <v>9</v>
      </c>
      <c r="C3377" s="20" t="s">
        <v>2077</v>
      </c>
      <c r="D3377" s="21"/>
    </row>
    <row r="3378" spans="1:4" ht="12.75" customHeight="1" x14ac:dyDescent="0.2">
      <c r="A3378" s="21"/>
      <c r="B3378" s="3" t="s">
        <v>11</v>
      </c>
      <c r="C3378" s="20" t="s">
        <v>973</v>
      </c>
      <c r="D3378" s="21"/>
    </row>
    <row r="3379" spans="1:4" ht="12.75" customHeight="1" x14ac:dyDescent="0.2">
      <c r="A3379" s="21"/>
      <c r="B3379" s="3" t="s">
        <v>16</v>
      </c>
      <c r="C3379" s="20"/>
      <c r="D3379" s="21"/>
    </row>
    <row r="3380" spans="1:4" ht="12.75" customHeight="1" x14ac:dyDescent="0.2">
      <c r="A3380" s="21"/>
      <c r="B3380" s="3" t="s">
        <v>17</v>
      </c>
      <c r="C3380" s="20" t="s">
        <v>19</v>
      </c>
      <c r="D3380" s="21"/>
    </row>
    <row r="3381" spans="1:4" ht="12.75" customHeight="1" x14ac:dyDescent="0.2">
      <c r="A3381" s="21"/>
      <c r="B3381" s="20" t="s">
        <v>18</v>
      </c>
      <c r="C3381" s="4" t="s">
        <v>44</v>
      </c>
      <c r="D3381" s="6" t="str">
        <f>HYPERLINK("javascript:void(0)","éjsötét pajzs")</f>
        <v>éjsötét pajzs</v>
      </c>
    </row>
    <row r="3382" spans="1:4" ht="12.75" customHeight="1" x14ac:dyDescent="0.2">
      <c r="A3382" s="21"/>
      <c r="B3382" s="21"/>
      <c r="C3382" s="4" t="s">
        <v>67</v>
      </c>
      <c r="D3382" s="6" t="str">
        <f>HYPERLINK("javascript:void(0)","kompózium")</f>
        <v>kompózium</v>
      </c>
    </row>
    <row r="3383" spans="1:4" ht="12.75" customHeight="1" x14ac:dyDescent="0.2">
      <c r="A3383" s="21"/>
      <c r="B3383" s="21"/>
      <c r="C3383" s="4" t="s">
        <v>98</v>
      </c>
      <c r="D3383" s="6" t="str">
        <f>HYPERLINK("javascript:void(0)","pamacsprém")</f>
        <v>pamacsprém</v>
      </c>
    </row>
    <row r="3384" spans="1:4" ht="12.75" customHeight="1" x14ac:dyDescent="0.2">
      <c r="A3384" s="21"/>
      <c r="B3384" s="2"/>
      <c r="C3384" s="2"/>
      <c r="D3384" s="2"/>
    </row>
    <row r="3385" spans="1:4" ht="12.75" customHeight="1" x14ac:dyDescent="0.2">
      <c r="A3385" s="21"/>
      <c r="B3385" s="2"/>
      <c r="C3385" s="2"/>
      <c r="D3385" s="2"/>
    </row>
    <row r="3386" spans="1:4" ht="12.75" customHeight="1" x14ac:dyDescent="0.2">
      <c r="A3386" s="21"/>
      <c r="B3386" s="2"/>
      <c r="C3386" s="2"/>
      <c r="D3386" s="2"/>
    </row>
    <row r="3387" spans="1:4" ht="12.75" customHeight="1" x14ac:dyDescent="0.2">
      <c r="A3387" s="21"/>
      <c r="B3387" s="2"/>
      <c r="C3387" s="2"/>
      <c r="D3387" s="2"/>
    </row>
    <row r="3388" spans="1:4" ht="12.75" customHeight="1" x14ac:dyDescent="0.2">
      <c r="A3388" s="5"/>
      <c r="B3388" s="2"/>
      <c r="C3388" s="2"/>
      <c r="D3388" s="2"/>
    </row>
    <row r="3389" spans="1:4" ht="12.75" customHeight="1" x14ac:dyDescent="0.2">
      <c r="A3389" s="22" t="str">
        <f>HYPERLINK("javascript:void(0)","éjsötét testpajzs")</f>
        <v>éjsötét testpajzs</v>
      </c>
      <c r="B3389" s="21"/>
      <c r="C3389" s="21"/>
      <c r="D3389" s="21"/>
    </row>
    <row r="3390" spans="1:4" ht="12.75" customHeight="1" x14ac:dyDescent="0.2">
      <c r="A3390" s="20"/>
      <c r="B3390" s="2"/>
      <c r="C3390" s="2"/>
      <c r="D3390" s="2"/>
    </row>
    <row r="3391" spans="1:4" ht="12.75" customHeight="1" x14ac:dyDescent="0.2">
      <c r="A3391" s="21"/>
      <c r="B3391" s="3" t="s">
        <v>0</v>
      </c>
      <c r="C3391" s="20" t="s">
        <v>671</v>
      </c>
      <c r="D3391" s="21"/>
    </row>
    <row r="3392" spans="1:4" ht="12.75" customHeight="1" x14ac:dyDescent="0.2">
      <c r="A3392" s="21"/>
      <c r="B3392" s="3" t="s">
        <v>2</v>
      </c>
      <c r="C3392" s="20" t="s">
        <v>1839</v>
      </c>
      <c r="D3392" s="21"/>
    </row>
    <row r="3393" spans="1:4" ht="12.75" customHeight="1" x14ac:dyDescent="0.2">
      <c r="A3393" s="21"/>
      <c r="B3393" s="3" t="s">
        <v>1840</v>
      </c>
      <c r="C3393" s="20" t="s">
        <v>287</v>
      </c>
      <c r="D3393" s="21"/>
    </row>
    <row r="3394" spans="1:4" ht="12.75" customHeight="1" x14ac:dyDescent="0.2">
      <c r="A3394" s="21"/>
      <c r="B3394" s="3" t="s">
        <v>9</v>
      </c>
      <c r="C3394" s="20" t="s">
        <v>549</v>
      </c>
      <c r="D3394" s="21"/>
    </row>
    <row r="3395" spans="1:4" ht="12.75" customHeight="1" x14ac:dyDescent="0.2">
      <c r="A3395" s="21"/>
      <c r="B3395" s="3" t="s">
        <v>11</v>
      </c>
      <c r="C3395" s="20" t="s">
        <v>956</v>
      </c>
      <c r="D3395" s="21"/>
    </row>
    <row r="3396" spans="1:4" ht="12.75" customHeight="1" x14ac:dyDescent="0.2">
      <c r="A3396" s="21"/>
      <c r="B3396" s="3" t="s">
        <v>16</v>
      </c>
      <c r="C3396" s="20"/>
      <c r="D3396" s="21"/>
    </row>
    <row r="3397" spans="1:4" ht="12.75" customHeight="1" x14ac:dyDescent="0.2">
      <c r="A3397" s="21"/>
      <c r="B3397" s="3" t="s">
        <v>17</v>
      </c>
      <c r="C3397" s="20" t="s">
        <v>19</v>
      </c>
      <c r="D3397" s="21"/>
    </row>
    <row r="3398" spans="1:4" ht="12.75" customHeight="1" x14ac:dyDescent="0.2">
      <c r="A3398" s="21"/>
      <c r="B3398" s="20" t="s">
        <v>18</v>
      </c>
      <c r="C3398" s="4" t="s">
        <v>44</v>
      </c>
      <c r="D3398" s="6" t="str">
        <f>HYPERLINK("javascript:void(0)","elemi testpajzs")</f>
        <v>elemi testpajzs</v>
      </c>
    </row>
    <row r="3399" spans="1:4" ht="12.75" customHeight="1" x14ac:dyDescent="0.2">
      <c r="A3399" s="21"/>
      <c r="B3399" s="21"/>
      <c r="C3399" s="4" t="s">
        <v>67</v>
      </c>
      <c r="D3399" s="6" t="str">
        <f>HYPERLINK("javascript:void(0)","éjfény")</f>
        <v>éjfény</v>
      </c>
    </row>
    <row r="3400" spans="1:4" ht="12.75" customHeight="1" x14ac:dyDescent="0.2">
      <c r="A3400" s="21"/>
      <c r="B3400" s="21"/>
      <c r="C3400" s="4" t="s">
        <v>1085</v>
      </c>
      <c r="D3400" s="6" t="str">
        <f>HYPERLINK("javascript:void(0)","elemi köpet")</f>
        <v>elemi köpet</v>
      </c>
    </row>
    <row r="3401" spans="1:4" ht="12.75" customHeight="1" x14ac:dyDescent="0.2">
      <c r="A3401" s="21"/>
      <c r="B3401" s="2"/>
      <c r="C3401" s="2"/>
      <c r="D3401" s="2"/>
    </row>
    <row r="3402" spans="1:4" ht="12.75" customHeight="1" x14ac:dyDescent="0.2">
      <c r="A3402" s="21"/>
      <c r="B3402" s="2"/>
      <c r="C3402" s="2"/>
      <c r="D3402" s="2"/>
    </row>
    <row r="3403" spans="1:4" ht="12.75" customHeight="1" x14ac:dyDescent="0.2">
      <c r="A3403" s="21"/>
      <c r="B3403" s="2"/>
      <c r="C3403" s="2"/>
      <c r="D3403" s="2"/>
    </row>
    <row r="3404" spans="1:4" ht="12.75" customHeight="1" x14ac:dyDescent="0.2">
      <c r="A3404" s="21"/>
      <c r="B3404" s="2"/>
      <c r="C3404" s="2"/>
      <c r="D3404" s="2"/>
    </row>
    <row r="3405" spans="1:4" ht="12.75" customHeight="1" x14ac:dyDescent="0.2">
      <c r="A3405" s="5"/>
      <c r="B3405" s="2"/>
      <c r="C3405" s="2"/>
      <c r="D3405" s="2"/>
    </row>
    <row r="3406" spans="1:4" ht="12.75" customHeight="1" x14ac:dyDescent="0.2">
      <c r="A3406" s="22" t="str">
        <f>HYPERLINK("javascript:void(0)","kentacél illanat")</f>
        <v>kentacél illanat</v>
      </c>
      <c r="B3406" s="21"/>
      <c r="C3406" s="21"/>
      <c r="D3406" s="21"/>
    </row>
    <row r="3407" spans="1:4" ht="12.75" customHeight="1" x14ac:dyDescent="0.2">
      <c r="A3407" s="20"/>
      <c r="B3407" s="2"/>
      <c r="C3407" s="2"/>
      <c r="D3407" s="2"/>
    </row>
    <row r="3408" spans="1:4" ht="12.75" customHeight="1" x14ac:dyDescent="0.2">
      <c r="A3408" s="21"/>
      <c r="B3408" s="3" t="s">
        <v>0</v>
      </c>
      <c r="C3408" s="20" t="s">
        <v>671</v>
      </c>
      <c r="D3408" s="21"/>
    </row>
    <row r="3409" spans="1:4" ht="12.75" customHeight="1" x14ac:dyDescent="0.2">
      <c r="A3409" s="21"/>
      <c r="B3409" s="3" t="s">
        <v>2</v>
      </c>
      <c r="C3409" s="20" t="s">
        <v>1839</v>
      </c>
      <c r="D3409" s="21"/>
    </row>
    <row r="3410" spans="1:4" ht="12.75" customHeight="1" x14ac:dyDescent="0.2">
      <c r="A3410" s="21"/>
      <c r="B3410" s="3" t="s">
        <v>1840</v>
      </c>
      <c r="C3410" s="20" t="s">
        <v>287</v>
      </c>
      <c r="D3410" s="21"/>
    </row>
    <row r="3411" spans="1:4" ht="12.75" customHeight="1" x14ac:dyDescent="0.2">
      <c r="A3411" s="21"/>
      <c r="B3411" s="3" t="s">
        <v>9</v>
      </c>
      <c r="C3411" s="20" t="s">
        <v>778</v>
      </c>
      <c r="D3411" s="21"/>
    </row>
    <row r="3412" spans="1:4" ht="12.75" customHeight="1" x14ac:dyDescent="0.2">
      <c r="A3412" s="21"/>
      <c r="B3412" s="3" t="s">
        <v>11</v>
      </c>
      <c r="C3412" s="20" t="s">
        <v>993</v>
      </c>
      <c r="D3412" s="21"/>
    </row>
    <row r="3413" spans="1:4" ht="12.75" customHeight="1" x14ac:dyDescent="0.2">
      <c r="A3413" s="21"/>
      <c r="B3413" s="3" t="s">
        <v>16</v>
      </c>
      <c r="C3413" s="20"/>
      <c r="D3413" s="21"/>
    </row>
    <row r="3414" spans="1:4" ht="12.75" customHeight="1" x14ac:dyDescent="0.2">
      <c r="A3414" s="21"/>
      <c r="B3414" s="3" t="s">
        <v>17</v>
      </c>
      <c r="C3414" s="20" t="s">
        <v>19</v>
      </c>
      <c r="D3414" s="21"/>
    </row>
    <row r="3415" spans="1:4" ht="12.75" customHeight="1" x14ac:dyDescent="0.2">
      <c r="A3415" s="21"/>
      <c r="B3415" s="20" t="s">
        <v>18</v>
      </c>
      <c r="C3415" s="4" t="s">
        <v>44</v>
      </c>
      <c r="D3415" s="6" t="str">
        <f>HYPERLINK("javascript:void(0)","éjsötét testpajzs")</f>
        <v>éjsötét testpajzs</v>
      </c>
    </row>
    <row r="3416" spans="1:4" ht="12.75" customHeight="1" x14ac:dyDescent="0.2">
      <c r="A3416" s="21"/>
      <c r="B3416" s="21"/>
      <c r="C3416" s="4" t="s">
        <v>98</v>
      </c>
      <c r="D3416" s="6" t="str">
        <f>HYPERLINK("javascript:void(0)","lux")</f>
        <v>lux</v>
      </c>
    </row>
    <row r="3417" spans="1:4" ht="12.75" customHeight="1" x14ac:dyDescent="0.2">
      <c r="A3417" s="21"/>
      <c r="B3417" s="21"/>
      <c r="C3417" s="4" t="s">
        <v>280</v>
      </c>
      <c r="D3417" s="6" t="str">
        <f>HYPERLINK("javascript:void(0)","szent szimbólum")</f>
        <v>szent szimbólum</v>
      </c>
    </row>
    <row r="3418" spans="1:4" ht="12.75" customHeight="1" x14ac:dyDescent="0.2">
      <c r="A3418" s="21"/>
      <c r="B3418" s="2"/>
      <c r="C3418" s="2"/>
      <c r="D3418" s="2"/>
    </row>
    <row r="3419" spans="1:4" ht="12.75" customHeight="1" x14ac:dyDescent="0.2">
      <c r="A3419" s="21"/>
      <c r="B3419" s="2"/>
      <c r="C3419" s="2"/>
      <c r="D3419" s="2"/>
    </row>
    <row r="3420" spans="1:4" ht="12.75" customHeight="1" x14ac:dyDescent="0.2">
      <c r="A3420" s="21"/>
      <c r="B3420" s="2"/>
      <c r="C3420" s="2"/>
      <c r="D3420" s="2"/>
    </row>
    <row r="3421" spans="1:4" ht="12.75" customHeight="1" x14ac:dyDescent="0.2">
      <c r="A3421" s="21"/>
      <c r="B3421" s="2"/>
      <c r="C3421" s="2"/>
      <c r="D3421" s="2"/>
    </row>
    <row r="3422" spans="1:4" ht="12.75" customHeight="1" x14ac:dyDescent="0.2">
      <c r="A3422" s="5"/>
      <c r="B3422" s="2"/>
      <c r="C3422" s="2"/>
      <c r="D3422" s="2"/>
    </row>
    <row r="3423" spans="1:4" ht="12.75" customHeight="1" x14ac:dyDescent="0.2">
      <c r="A3423" s="22" t="str">
        <f>HYPERLINK("javascript:void(0)","medúza pajzs")</f>
        <v>medúza pajzs</v>
      </c>
      <c r="B3423" s="21"/>
      <c r="C3423" s="21"/>
      <c r="D3423" s="21"/>
    </row>
    <row r="3424" spans="1:4" ht="12.75" customHeight="1" x14ac:dyDescent="0.2">
      <c r="A3424" s="20"/>
      <c r="B3424" s="2"/>
      <c r="C3424" s="2"/>
      <c r="D3424" s="2"/>
    </row>
    <row r="3425" spans="1:4" ht="12.75" customHeight="1" x14ac:dyDescent="0.2">
      <c r="A3425" s="21"/>
      <c r="B3425" s="3" t="s">
        <v>0</v>
      </c>
      <c r="C3425" s="20" t="s">
        <v>65</v>
      </c>
      <c r="D3425" s="21"/>
    </row>
    <row r="3426" spans="1:4" ht="12.75" customHeight="1" x14ac:dyDescent="0.2">
      <c r="A3426" s="21"/>
      <c r="B3426" s="3" t="s">
        <v>2</v>
      </c>
      <c r="C3426" s="20" t="s">
        <v>1839</v>
      </c>
      <c r="D3426" s="21"/>
    </row>
    <row r="3427" spans="1:4" ht="12.75" customHeight="1" x14ac:dyDescent="0.2">
      <c r="A3427" s="21"/>
      <c r="B3427" s="3" t="s">
        <v>1840</v>
      </c>
      <c r="C3427" s="20" t="s">
        <v>375</v>
      </c>
      <c r="D3427" s="21"/>
    </row>
    <row r="3428" spans="1:4" ht="12.75" customHeight="1" x14ac:dyDescent="0.2">
      <c r="A3428" s="21"/>
      <c r="B3428" s="3" t="s">
        <v>9</v>
      </c>
      <c r="C3428" s="20" t="s">
        <v>249</v>
      </c>
      <c r="D3428" s="21"/>
    </row>
    <row r="3429" spans="1:4" ht="12.75" customHeight="1" x14ac:dyDescent="0.2">
      <c r="A3429" s="21"/>
      <c r="B3429" s="3" t="s">
        <v>11</v>
      </c>
      <c r="C3429" s="20" t="s">
        <v>973</v>
      </c>
      <c r="D3429" s="21"/>
    </row>
    <row r="3430" spans="1:4" ht="12.75" customHeight="1" x14ac:dyDescent="0.2">
      <c r="A3430" s="21"/>
      <c r="B3430" s="3" t="s">
        <v>16</v>
      </c>
      <c r="C3430" s="20"/>
      <c r="D3430" s="21"/>
    </row>
    <row r="3431" spans="1:4" ht="12.75" customHeight="1" x14ac:dyDescent="0.2">
      <c r="A3431" s="21"/>
      <c r="B3431" s="3" t="s">
        <v>17</v>
      </c>
      <c r="C3431" s="20" t="s">
        <v>19</v>
      </c>
      <c r="D3431" s="21"/>
    </row>
    <row r="3432" spans="1:4" ht="12.75" customHeight="1" x14ac:dyDescent="0.2">
      <c r="A3432" s="21"/>
      <c r="B3432" s="20" t="s">
        <v>18</v>
      </c>
      <c r="C3432" s="4" t="s">
        <v>44</v>
      </c>
      <c r="D3432" s="6" t="str">
        <f>HYPERLINK("javascript:void(0)","éjsötét pajzs")</f>
        <v>éjsötét pajzs</v>
      </c>
    </row>
    <row r="3433" spans="1:4" ht="12.75" customHeight="1" x14ac:dyDescent="0.2">
      <c r="A3433" s="21"/>
      <c r="B3433" s="21"/>
      <c r="C3433" s="4" t="s">
        <v>98</v>
      </c>
      <c r="D3433" s="6" t="str">
        <f>HYPERLINK("javascript:void(0)","medúza csáp")</f>
        <v>medúza csáp</v>
      </c>
    </row>
    <row r="3434" spans="1:4" ht="12.75" customHeight="1" x14ac:dyDescent="0.2">
      <c r="A3434" s="21"/>
      <c r="B3434" s="21"/>
      <c r="C3434" s="4" t="s">
        <v>117</v>
      </c>
      <c r="D3434" s="6" t="str">
        <f>HYPERLINK("javascript:void(0)","zselatin")</f>
        <v>zselatin</v>
      </c>
    </row>
    <row r="3435" spans="1:4" ht="12.75" customHeight="1" x14ac:dyDescent="0.2">
      <c r="A3435" s="21"/>
      <c r="B3435" s="2"/>
      <c r="C3435" s="2"/>
      <c r="D3435" s="2"/>
    </row>
    <row r="3436" spans="1:4" ht="12.75" customHeight="1" x14ac:dyDescent="0.2">
      <c r="A3436" s="21"/>
      <c r="B3436" s="2"/>
      <c r="C3436" s="2"/>
      <c r="D3436" s="2"/>
    </row>
    <row r="3437" spans="1:4" ht="12.75" customHeight="1" x14ac:dyDescent="0.2">
      <c r="A3437" s="21"/>
      <c r="B3437" s="2"/>
      <c r="C3437" s="2"/>
      <c r="D3437" s="2"/>
    </row>
    <row r="3438" spans="1:4" ht="12.75" customHeight="1" x14ac:dyDescent="0.2">
      <c r="A3438" s="21"/>
      <c r="B3438" s="2"/>
      <c r="C3438" s="2"/>
      <c r="D3438" s="2"/>
    </row>
    <row r="3439" spans="1:4" ht="12.75" customHeight="1" x14ac:dyDescent="0.2">
      <c r="A3439" s="5"/>
      <c r="B3439" s="2"/>
      <c r="C3439" s="2"/>
      <c r="D3439" s="2"/>
    </row>
    <row r="3440" spans="1:4" ht="12.75" customHeight="1" x14ac:dyDescent="0.2">
      <c r="A3440" s="22" t="str">
        <f>HYPERLINK("javascript:void(0)","mengorni illanat")</f>
        <v>mengorni illanat</v>
      </c>
      <c r="B3440" s="21"/>
      <c r="C3440" s="21"/>
      <c r="D3440" s="21"/>
    </row>
    <row r="3441" spans="1:4" ht="12.75" customHeight="1" x14ac:dyDescent="0.2">
      <c r="A3441" s="20"/>
      <c r="B3441" s="2"/>
      <c r="C3441" s="2"/>
      <c r="D3441" s="2"/>
    </row>
    <row r="3442" spans="1:4" ht="12.75" customHeight="1" x14ac:dyDescent="0.2">
      <c r="A3442" s="21"/>
      <c r="B3442" s="3" t="s">
        <v>0</v>
      </c>
      <c r="C3442" s="20" t="s">
        <v>65</v>
      </c>
      <c r="D3442" s="21"/>
    </row>
    <row r="3443" spans="1:4" ht="12.75" customHeight="1" x14ac:dyDescent="0.2">
      <c r="A3443" s="21"/>
      <c r="B3443" s="3" t="s">
        <v>2</v>
      </c>
      <c r="C3443" s="20" t="s">
        <v>1839</v>
      </c>
      <c r="D3443" s="21"/>
    </row>
    <row r="3444" spans="1:4" ht="12.75" customHeight="1" x14ac:dyDescent="0.2">
      <c r="A3444" s="21"/>
      <c r="B3444" s="3" t="s">
        <v>1840</v>
      </c>
      <c r="C3444" s="20" t="s">
        <v>375</v>
      </c>
      <c r="D3444" s="21"/>
    </row>
    <row r="3445" spans="1:4" ht="12.75" customHeight="1" x14ac:dyDescent="0.2">
      <c r="A3445" s="21"/>
      <c r="B3445" s="3" t="s">
        <v>9</v>
      </c>
      <c r="C3445" s="20" t="s">
        <v>137</v>
      </c>
      <c r="D3445" s="21"/>
    </row>
    <row r="3446" spans="1:4" ht="12.75" customHeight="1" x14ac:dyDescent="0.2">
      <c r="A3446" s="21"/>
      <c r="B3446" s="3" t="s">
        <v>11</v>
      </c>
      <c r="C3446" s="20" t="s">
        <v>1015</v>
      </c>
      <c r="D3446" s="21"/>
    </row>
    <row r="3447" spans="1:4" ht="12.75" customHeight="1" x14ac:dyDescent="0.2">
      <c r="A3447" s="21"/>
      <c r="B3447" s="3" t="s">
        <v>16</v>
      </c>
      <c r="C3447" s="20"/>
      <c r="D3447" s="21"/>
    </row>
    <row r="3448" spans="1:4" ht="12.75" customHeight="1" x14ac:dyDescent="0.2">
      <c r="A3448" s="21"/>
      <c r="B3448" s="3" t="s">
        <v>17</v>
      </c>
      <c r="C3448" s="20" t="s">
        <v>19</v>
      </c>
      <c r="D3448" s="21"/>
    </row>
    <row r="3449" spans="1:4" ht="12.75" customHeight="1" x14ac:dyDescent="0.2">
      <c r="A3449" s="21"/>
      <c r="B3449" s="20" t="s">
        <v>18</v>
      </c>
      <c r="C3449" s="4" t="s">
        <v>44</v>
      </c>
      <c r="D3449" s="6" t="str">
        <f>HYPERLINK("javascript:void(0)","medúza pajzs")</f>
        <v>medúza pajzs</v>
      </c>
    </row>
    <row r="3450" spans="1:4" ht="12.75" customHeight="1" x14ac:dyDescent="0.2">
      <c r="A3450" s="21"/>
      <c r="B3450" s="21"/>
      <c r="C3450" s="4" t="s">
        <v>98</v>
      </c>
      <c r="D3450" s="6" t="str">
        <f>HYPERLINK("javascript:void(0)","tincs")</f>
        <v>tincs</v>
      </c>
    </row>
    <row r="3451" spans="1:4" ht="12.75" customHeight="1" x14ac:dyDescent="0.2">
      <c r="A3451" s="21"/>
      <c r="B3451" s="21"/>
      <c r="C3451" s="4" t="s">
        <v>98</v>
      </c>
      <c r="D3451" s="6" t="str">
        <f>HYPERLINK("javascript:void(0)","rúna")</f>
        <v>rúna</v>
      </c>
    </row>
    <row r="3452" spans="1:4" ht="12.75" customHeight="1" x14ac:dyDescent="0.2">
      <c r="A3452" s="21"/>
      <c r="B3452" s="2"/>
      <c r="C3452" s="2"/>
      <c r="D3452" s="2"/>
    </row>
    <row r="3453" spans="1:4" ht="12.75" customHeight="1" x14ac:dyDescent="0.2">
      <c r="A3453" s="21"/>
      <c r="B3453" s="2"/>
      <c r="C3453" s="2"/>
      <c r="D3453" s="2"/>
    </row>
    <row r="3454" spans="1:4" ht="12.75" customHeight="1" x14ac:dyDescent="0.2">
      <c r="A3454" s="21"/>
      <c r="B3454" s="2"/>
      <c r="C3454" s="2"/>
      <c r="D3454" s="2"/>
    </row>
    <row r="3455" spans="1:4" ht="12.75" customHeight="1" x14ac:dyDescent="0.2">
      <c r="A3455" s="21"/>
      <c r="B3455" s="2"/>
      <c r="C3455" s="2"/>
      <c r="D3455" s="2"/>
    </row>
    <row r="3456" spans="1:4" ht="12.75" customHeight="1" x14ac:dyDescent="0.2">
      <c r="A3456" s="5"/>
      <c r="B3456" s="2"/>
      <c r="C3456" s="2"/>
      <c r="D3456" s="2"/>
    </row>
    <row r="3457" spans="1:4" ht="12.75" customHeight="1" x14ac:dyDescent="0.2">
      <c r="A3457" s="22" t="str">
        <f>HYPERLINK("javascript:void(0)","diffragacs")</f>
        <v>diffragacs</v>
      </c>
      <c r="B3457" s="21"/>
      <c r="C3457" s="21"/>
      <c r="D3457" s="21"/>
    </row>
    <row r="3458" spans="1:4" ht="12.75" customHeight="1" x14ac:dyDescent="0.2">
      <c r="A3458" s="20"/>
      <c r="B3458" s="2"/>
      <c r="C3458" s="2"/>
      <c r="D3458" s="2"/>
    </row>
    <row r="3459" spans="1:4" ht="12.75" customHeight="1" x14ac:dyDescent="0.2">
      <c r="A3459" s="21"/>
      <c r="B3459" s="3" t="s">
        <v>0</v>
      </c>
      <c r="C3459" s="20" t="s">
        <v>65</v>
      </c>
      <c r="D3459" s="21"/>
    </row>
    <row r="3460" spans="1:4" ht="12.75" customHeight="1" x14ac:dyDescent="0.2">
      <c r="A3460" s="21"/>
      <c r="B3460" s="3" t="s">
        <v>2</v>
      </c>
      <c r="C3460" s="20" t="s">
        <v>1839</v>
      </c>
      <c r="D3460" s="21"/>
    </row>
    <row r="3461" spans="1:4" ht="12.75" customHeight="1" x14ac:dyDescent="0.2">
      <c r="A3461" s="21"/>
      <c r="B3461" s="3" t="s">
        <v>1840</v>
      </c>
      <c r="C3461" s="20" t="s">
        <v>21</v>
      </c>
      <c r="D3461" s="21"/>
    </row>
    <row r="3462" spans="1:4" ht="12.75" customHeight="1" x14ac:dyDescent="0.2">
      <c r="A3462" s="21"/>
      <c r="B3462" s="3" t="s">
        <v>9</v>
      </c>
      <c r="C3462" s="20" t="s">
        <v>27</v>
      </c>
      <c r="D3462" s="21"/>
    </row>
    <row r="3463" spans="1:4" ht="12.75" customHeight="1" x14ac:dyDescent="0.2">
      <c r="A3463" s="21"/>
      <c r="B3463" s="3" t="s">
        <v>11</v>
      </c>
      <c r="C3463" s="20" t="s">
        <v>168</v>
      </c>
      <c r="D3463" s="21"/>
    </row>
    <row r="3464" spans="1:4" ht="12.75" customHeight="1" x14ac:dyDescent="0.2">
      <c r="A3464" s="21"/>
      <c r="B3464" s="3" t="s">
        <v>16</v>
      </c>
      <c r="C3464" s="20"/>
      <c r="D3464" s="21"/>
    </row>
    <row r="3465" spans="1:4" ht="12.75" customHeight="1" x14ac:dyDescent="0.2">
      <c r="A3465" s="21"/>
      <c r="B3465" s="3" t="s">
        <v>17</v>
      </c>
      <c r="C3465" s="20" t="s">
        <v>19</v>
      </c>
      <c r="D3465" s="21"/>
    </row>
    <row r="3466" spans="1:4" ht="12.75" customHeight="1" x14ac:dyDescent="0.2">
      <c r="A3466" s="21"/>
      <c r="B3466" s="20" t="s">
        <v>18</v>
      </c>
      <c r="C3466" s="4" t="s">
        <v>130</v>
      </c>
      <c r="D3466" s="6" t="str">
        <f>HYPERLINK("javascript:void(0)","diffuzionit")</f>
        <v>diffuzionit</v>
      </c>
    </row>
    <row r="3467" spans="1:4" ht="12.75" customHeight="1" x14ac:dyDescent="0.2">
      <c r="A3467" s="21"/>
      <c r="B3467" s="21"/>
      <c r="C3467" s="4" t="s">
        <v>280</v>
      </c>
      <c r="D3467" s="6" t="str">
        <f>HYPERLINK("javascript:void(0)","ércragacs")</f>
        <v>ércragacs</v>
      </c>
    </row>
    <row r="3468" spans="1:4" ht="12.75" customHeight="1" x14ac:dyDescent="0.2">
      <c r="A3468" s="21"/>
      <c r="B3468" s="21"/>
      <c r="C3468" s="4" t="s">
        <v>67</v>
      </c>
      <c r="D3468" s="6" t="str">
        <f>HYPERLINK("javascript:void(0)","idegen szerkentyű")</f>
        <v>idegen szerkentyű</v>
      </c>
    </row>
    <row r="3469" spans="1:4" ht="12.75" customHeight="1" x14ac:dyDescent="0.2">
      <c r="A3469" s="21"/>
      <c r="B3469" s="2"/>
      <c r="C3469" s="2"/>
      <c r="D3469" s="2"/>
    </row>
    <row r="3470" spans="1:4" ht="12.75" customHeight="1" x14ac:dyDescent="0.2">
      <c r="A3470" s="21"/>
      <c r="B3470" s="2"/>
      <c r="C3470" s="2"/>
      <c r="D3470" s="2"/>
    </row>
    <row r="3471" spans="1:4" ht="12.75" customHeight="1" x14ac:dyDescent="0.2">
      <c r="A3471" s="21"/>
      <c r="B3471" s="2"/>
      <c r="C3471" s="2"/>
      <c r="D3471" s="2"/>
    </row>
    <row r="3472" spans="1:4" ht="12.75" customHeight="1" x14ac:dyDescent="0.2">
      <c r="A3472" s="21"/>
      <c r="B3472" s="2"/>
      <c r="C3472" s="2"/>
      <c r="D3472" s="2"/>
    </row>
    <row r="3473" spans="1:4" ht="12.75" customHeight="1" x14ac:dyDescent="0.2">
      <c r="A3473" s="5"/>
      <c r="B3473" s="2"/>
      <c r="C3473" s="2"/>
      <c r="D3473" s="2"/>
    </row>
    <row r="3474" spans="1:4" ht="12.75" customHeight="1" x14ac:dyDescent="0.2">
      <c r="A3474" s="22" t="str">
        <f>HYPERLINK("javascript:void(0)","dimenziómarkolat")</f>
        <v>dimenziómarkolat</v>
      </c>
      <c r="B3474" s="21"/>
      <c r="C3474" s="21"/>
      <c r="D3474" s="21"/>
    </row>
    <row r="3475" spans="1:4" ht="12.75" customHeight="1" x14ac:dyDescent="0.2">
      <c r="A3475" s="20"/>
      <c r="B3475" s="2"/>
      <c r="C3475" s="2"/>
      <c r="D3475" s="2"/>
    </row>
    <row r="3476" spans="1:4" ht="12.75" customHeight="1" x14ac:dyDescent="0.2">
      <c r="A3476" s="21"/>
      <c r="B3476" s="3" t="s">
        <v>0</v>
      </c>
      <c r="C3476" s="20" t="s">
        <v>65</v>
      </c>
      <c r="D3476" s="21"/>
    </row>
    <row r="3477" spans="1:4" ht="12.75" customHeight="1" x14ac:dyDescent="0.2">
      <c r="A3477" s="21"/>
      <c r="B3477" s="3" t="s">
        <v>2</v>
      </c>
      <c r="C3477" s="20" t="s">
        <v>1839</v>
      </c>
      <c r="D3477" s="21"/>
    </row>
    <row r="3478" spans="1:4" ht="12.75" customHeight="1" x14ac:dyDescent="0.2">
      <c r="A3478" s="21"/>
      <c r="B3478" s="3" t="s">
        <v>1840</v>
      </c>
      <c r="C3478" s="20" t="s">
        <v>21</v>
      </c>
      <c r="D3478" s="21"/>
    </row>
    <row r="3479" spans="1:4" ht="12.75" customHeight="1" x14ac:dyDescent="0.2">
      <c r="A3479" s="21"/>
      <c r="B3479" s="3" t="s">
        <v>9</v>
      </c>
      <c r="C3479" s="20" t="s">
        <v>2089</v>
      </c>
      <c r="D3479" s="21"/>
    </row>
    <row r="3480" spans="1:4" ht="12.75" customHeight="1" x14ac:dyDescent="0.2">
      <c r="A3480" s="21"/>
      <c r="B3480" s="3" t="s">
        <v>11</v>
      </c>
      <c r="C3480" s="20" t="s">
        <v>552</v>
      </c>
      <c r="D3480" s="21"/>
    </row>
    <row r="3481" spans="1:4" ht="12.75" customHeight="1" x14ac:dyDescent="0.2">
      <c r="A3481" s="21"/>
      <c r="B3481" s="3" t="s">
        <v>16</v>
      </c>
      <c r="C3481" s="20"/>
      <c r="D3481" s="21"/>
    </row>
    <row r="3482" spans="1:4" ht="12.75" customHeight="1" x14ac:dyDescent="0.2">
      <c r="A3482" s="21"/>
      <c r="B3482" s="3" t="s">
        <v>17</v>
      </c>
      <c r="C3482" s="20" t="s">
        <v>19</v>
      </c>
      <c r="D3482" s="21"/>
    </row>
    <row r="3483" spans="1:4" ht="12.75" customHeight="1" x14ac:dyDescent="0.2">
      <c r="A3483" s="21"/>
      <c r="B3483" s="20" t="s">
        <v>18</v>
      </c>
      <c r="C3483" s="4" t="s">
        <v>57</v>
      </c>
      <c r="D3483" s="6" t="str">
        <f>HYPERLINK("javascript:void(0)","diffragacs")</f>
        <v>diffragacs</v>
      </c>
    </row>
    <row r="3484" spans="1:4" ht="12.75" customHeight="1" x14ac:dyDescent="0.2">
      <c r="A3484" s="21"/>
      <c r="B3484" s="21"/>
      <c r="C3484" s="4" t="s">
        <v>67</v>
      </c>
      <c r="D3484" s="6" t="str">
        <f>HYPERLINK("javascript:void(0)","idegen bizgentyű")</f>
        <v>idegen bizgentyű</v>
      </c>
    </row>
    <row r="3485" spans="1:4" ht="12.75" customHeight="1" x14ac:dyDescent="0.2">
      <c r="A3485" s="21"/>
      <c r="B3485" s="21"/>
      <c r="C3485" s="4" t="s">
        <v>130</v>
      </c>
      <c r="D3485" s="6" t="str">
        <f>HYPERLINK("javascript:void(0)","gyémánt")</f>
        <v>gyémánt</v>
      </c>
    </row>
    <row r="3486" spans="1:4" ht="12.75" customHeight="1" x14ac:dyDescent="0.2">
      <c r="A3486" s="21"/>
      <c r="B3486" s="2"/>
      <c r="C3486" s="2"/>
      <c r="D3486" s="2"/>
    </row>
    <row r="3487" spans="1:4" ht="12.75" customHeight="1" x14ac:dyDescent="0.2">
      <c r="A3487" s="21"/>
      <c r="B3487" s="2"/>
      <c r="C3487" s="2"/>
      <c r="D3487" s="2"/>
    </row>
    <row r="3488" spans="1:4" ht="12.75" customHeight="1" x14ac:dyDescent="0.2">
      <c r="A3488" s="21"/>
      <c r="B3488" s="2"/>
      <c r="C3488" s="2"/>
      <c r="D3488" s="2"/>
    </row>
    <row r="3489" spans="1:4" ht="12.75" customHeight="1" x14ac:dyDescent="0.2">
      <c r="A3489" s="21"/>
      <c r="B3489" s="2"/>
      <c r="C3489" s="2"/>
      <c r="D3489" s="2"/>
    </row>
    <row r="3490" spans="1:4" ht="12.75" customHeight="1" x14ac:dyDescent="0.2">
      <c r="A3490" s="5"/>
      <c r="B3490" s="2"/>
      <c r="C3490" s="2"/>
      <c r="D3490" s="2"/>
    </row>
    <row r="3491" spans="1:4" ht="12.75" customHeight="1" x14ac:dyDescent="0.2">
      <c r="A3491" s="22" t="str">
        <f>HYPERLINK("javascript:void(0)","csillámló démonpajzs")</f>
        <v>csillámló démonpajzs</v>
      </c>
      <c r="B3491" s="21"/>
      <c r="C3491" s="21"/>
      <c r="D3491" s="21"/>
    </row>
    <row r="3492" spans="1:4" ht="12.75" customHeight="1" x14ac:dyDescent="0.2">
      <c r="A3492" s="20"/>
      <c r="B3492" s="2"/>
      <c r="C3492" s="2"/>
      <c r="D3492" s="2"/>
    </row>
    <row r="3493" spans="1:4" ht="12.75" customHeight="1" x14ac:dyDescent="0.2">
      <c r="A3493" s="21"/>
      <c r="B3493" s="3" t="s">
        <v>0</v>
      </c>
      <c r="C3493" s="20" t="s">
        <v>65</v>
      </c>
      <c r="D3493" s="21"/>
    </row>
    <row r="3494" spans="1:4" ht="12.75" customHeight="1" x14ac:dyDescent="0.2">
      <c r="A3494" s="21"/>
      <c r="B3494" s="3" t="s">
        <v>2</v>
      </c>
      <c r="C3494" s="20" t="s">
        <v>1839</v>
      </c>
      <c r="D3494" s="21"/>
    </row>
    <row r="3495" spans="1:4" ht="12.75" customHeight="1" x14ac:dyDescent="0.2">
      <c r="A3495" s="21"/>
      <c r="B3495" s="3" t="s">
        <v>1840</v>
      </c>
      <c r="C3495" s="20" t="s">
        <v>399</v>
      </c>
      <c r="D3495" s="21"/>
    </row>
    <row r="3496" spans="1:4" ht="12.75" customHeight="1" x14ac:dyDescent="0.2">
      <c r="A3496" s="21"/>
      <c r="B3496" s="3" t="s">
        <v>9</v>
      </c>
      <c r="C3496" s="20" t="s">
        <v>113</v>
      </c>
      <c r="D3496" s="21"/>
    </row>
    <row r="3497" spans="1:4" ht="12.75" customHeight="1" x14ac:dyDescent="0.2">
      <c r="A3497" s="21"/>
      <c r="B3497" s="3" t="s">
        <v>11</v>
      </c>
      <c r="C3497" s="20" t="s">
        <v>973</v>
      </c>
      <c r="D3497" s="21"/>
    </row>
    <row r="3498" spans="1:4" ht="12.75" customHeight="1" x14ac:dyDescent="0.2">
      <c r="A3498" s="21"/>
      <c r="B3498" s="3" t="s">
        <v>16</v>
      </c>
      <c r="C3498" s="20"/>
      <c r="D3498" s="21"/>
    </row>
    <row r="3499" spans="1:4" ht="12.75" customHeight="1" x14ac:dyDescent="0.2">
      <c r="A3499" s="21"/>
      <c r="B3499" s="3" t="s">
        <v>17</v>
      </c>
      <c r="C3499" s="20" t="s">
        <v>19</v>
      </c>
      <c r="D3499" s="21"/>
    </row>
    <row r="3500" spans="1:4" ht="12.75" customHeight="1" x14ac:dyDescent="0.2">
      <c r="A3500" s="21"/>
      <c r="B3500" s="20" t="s">
        <v>18</v>
      </c>
      <c r="C3500" s="4" t="s">
        <v>57</v>
      </c>
      <c r="D3500" s="6" t="str">
        <f>HYPERLINK("javascript:void(0)","csillámgöb")</f>
        <v>csillámgöb</v>
      </c>
    </row>
    <row r="3501" spans="1:4" ht="12.75" customHeight="1" x14ac:dyDescent="0.2">
      <c r="A3501" s="21"/>
      <c r="B3501" s="21"/>
      <c r="C3501" s="4" t="s">
        <v>44</v>
      </c>
      <c r="D3501" s="6" t="str">
        <f>HYPERLINK("javascript:void(0)","csillámló levélpajzs")</f>
        <v>csillámló levélpajzs</v>
      </c>
    </row>
    <row r="3502" spans="1:4" ht="12.75" customHeight="1" x14ac:dyDescent="0.2">
      <c r="A3502" s="21"/>
      <c r="B3502" s="21"/>
      <c r="C3502" s="4" t="s">
        <v>57</v>
      </c>
      <c r="D3502" s="6" t="str">
        <f>HYPERLINK("javascript:void(0)","aranypajzs")</f>
        <v>aranypajzs</v>
      </c>
    </row>
    <row r="3503" spans="1:4" ht="12.75" customHeight="1" x14ac:dyDescent="0.2">
      <c r="A3503" s="21"/>
      <c r="B3503" s="2"/>
      <c r="C3503" s="2"/>
      <c r="D3503" s="2"/>
    </row>
    <row r="3504" spans="1:4" ht="12.75" customHeight="1" x14ac:dyDescent="0.2">
      <c r="A3504" s="21"/>
      <c r="B3504" s="2"/>
      <c r="C3504" s="2"/>
      <c r="D3504" s="2"/>
    </row>
    <row r="3505" spans="1:4" ht="12.75" customHeight="1" x14ac:dyDescent="0.2">
      <c r="A3505" s="21"/>
      <c r="B3505" s="2"/>
      <c r="C3505" s="2"/>
      <c r="D3505" s="2"/>
    </row>
    <row r="3506" spans="1:4" ht="12.75" customHeight="1" x14ac:dyDescent="0.2">
      <c r="A3506" s="21"/>
      <c r="B3506" s="2"/>
      <c r="C3506" s="2"/>
      <c r="D3506" s="2"/>
    </row>
    <row r="3507" spans="1:4" ht="12.75" customHeight="1" x14ac:dyDescent="0.2">
      <c r="A3507" s="5"/>
      <c r="B3507" s="2"/>
      <c r="C3507" s="2"/>
      <c r="D3507" s="2"/>
    </row>
    <row r="3508" spans="1:4" ht="12.75" customHeight="1" x14ac:dyDescent="0.2">
      <c r="A3508" s="22" t="str">
        <f>HYPERLINK("javascript:void(0)","gyíkacél testpajzs")</f>
        <v>gyíkacél testpajzs</v>
      </c>
      <c r="B3508" s="21"/>
      <c r="C3508" s="21"/>
      <c r="D3508" s="21"/>
    </row>
    <row r="3509" spans="1:4" ht="12.75" customHeight="1" x14ac:dyDescent="0.2">
      <c r="A3509" s="20"/>
      <c r="B3509" s="2"/>
      <c r="C3509" s="2"/>
      <c r="D3509" s="2"/>
    </row>
    <row r="3510" spans="1:4" ht="12.75" customHeight="1" x14ac:dyDescent="0.2">
      <c r="A3510" s="21"/>
      <c r="B3510" s="3" t="s">
        <v>0</v>
      </c>
      <c r="C3510" s="20" t="s">
        <v>65</v>
      </c>
      <c r="D3510" s="21"/>
    </row>
    <row r="3511" spans="1:4" ht="12.75" customHeight="1" x14ac:dyDescent="0.2">
      <c r="A3511" s="21"/>
      <c r="B3511" s="3" t="s">
        <v>2</v>
      </c>
      <c r="C3511" s="20" t="s">
        <v>1839</v>
      </c>
      <c r="D3511" s="21"/>
    </row>
    <row r="3512" spans="1:4" ht="12.75" customHeight="1" x14ac:dyDescent="0.2">
      <c r="A3512" s="21"/>
      <c r="B3512" s="3" t="s">
        <v>1840</v>
      </c>
      <c r="C3512" s="20" t="s">
        <v>2206</v>
      </c>
      <c r="D3512" s="21"/>
    </row>
    <row r="3513" spans="1:4" ht="12.75" customHeight="1" x14ac:dyDescent="0.2">
      <c r="A3513" s="21"/>
      <c r="B3513" s="3" t="s">
        <v>9</v>
      </c>
      <c r="C3513" s="20" t="s">
        <v>658</v>
      </c>
      <c r="D3513" s="21"/>
    </row>
    <row r="3514" spans="1:4" ht="12.75" customHeight="1" x14ac:dyDescent="0.2">
      <c r="A3514" s="21"/>
      <c r="B3514" s="3" t="s">
        <v>11</v>
      </c>
      <c r="C3514" s="20" t="s">
        <v>973</v>
      </c>
      <c r="D3514" s="21"/>
    </row>
    <row r="3515" spans="1:4" ht="12.75" customHeight="1" x14ac:dyDescent="0.2">
      <c r="A3515" s="21"/>
      <c r="B3515" s="3" t="s">
        <v>16</v>
      </c>
      <c r="C3515" s="20"/>
      <c r="D3515" s="21"/>
    </row>
    <row r="3516" spans="1:4" ht="12.75" customHeight="1" x14ac:dyDescent="0.2">
      <c r="A3516" s="21"/>
      <c r="B3516" s="3" t="s">
        <v>17</v>
      </c>
      <c r="C3516" s="20" t="s">
        <v>19</v>
      </c>
      <c r="D3516" s="21"/>
    </row>
    <row r="3517" spans="1:4" ht="12.75" customHeight="1" x14ac:dyDescent="0.2">
      <c r="A3517" s="21"/>
      <c r="B3517" s="20" t="s">
        <v>18</v>
      </c>
      <c r="C3517" s="4" t="s">
        <v>130</v>
      </c>
      <c r="D3517" s="6" t="str">
        <f>HYPERLINK("javascript:void(0)","harmatcsepp")</f>
        <v>harmatcsepp</v>
      </c>
    </row>
    <row r="3518" spans="1:4" ht="12.75" customHeight="1" x14ac:dyDescent="0.2">
      <c r="A3518" s="21"/>
      <c r="B3518" s="21"/>
      <c r="C3518" s="4" t="s">
        <v>398</v>
      </c>
      <c r="D3518" s="6" t="str">
        <f>HYPERLINK("javascript:void(0)","vízige")</f>
        <v>vízige</v>
      </c>
    </row>
    <row r="3519" spans="1:4" ht="12.75" customHeight="1" x14ac:dyDescent="0.2">
      <c r="A3519" s="21"/>
      <c r="B3519" s="21"/>
      <c r="C3519" s="4" t="s">
        <v>139</v>
      </c>
      <c r="D3519" s="6" t="str">
        <f>HYPERLINK("javascript:void(0)","démonvádli")</f>
        <v>démonvádli</v>
      </c>
    </row>
    <row r="3520" spans="1:4" ht="12.75" customHeight="1" x14ac:dyDescent="0.2">
      <c r="A3520" s="21"/>
      <c r="B3520" s="2"/>
      <c r="C3520" s="2"/>
      <c r="D3520" s="2"/>
    </row>
    <row r="3521" spans="1:4" ht="12.75" customHeight="1" x14ac:dyDescent="0.2">
      <c r="A3521" s="21"/>
      <c r="B3521" s="2"/>
      <c r="C3521" s="2"/>
      <c r="D3521" s="2"/>
    </row>
    <row r="3522" spans="1:4" ht="12.75" customHeight="1" x14ac:dyDescent="0.2">
      <c r="A3522" s="21"/>
      <c r="B3522" s="2"/>
      <c r="C3522" s="2"/>
      <c r="D3522" s="2"/>
    </row>
    <row r="3523" spans="1:4" ht="12.75" customHeight="1" x14ac:dyDescent="0.2">
      <c r="A3523" s="21"/>
      <c r="B3523" s="2"/>
      <c r="C3523" s="2"/>
      <c r="D3523" s="2"/>
    </row>
    <row r="3524" spans="1:4" ht="12.75" customHeight="1" x14ac:dyDescent="0.2">
      <c r="A3524" s="5"/>
      <c r="B3524" s="2"/>
      <c r="C3524" s="2"/>
      <c r="D3524" s="2"/>
    </row>
    <row r="3525" spans="1:4" ht="12.75" customHeight="1" x14ac:dyDescent="0.2">
      <c r="A3525" s="22" t="str">
        <f>HYPERLINK("javascript:void(0)","medúza testpajzs")</f>
        <v>medúza testpajzs</v>
      </c>
      <c r="B3525" s="21"/>
      <c r="C3525" s="21"/>
      <c r="D3525" s="21"/>
    </row>
    <row r="3526" spans="1:4" ht="12.75" customHeight="1" x14ac:dyDescent="0.2">
      <c r="A3526" s="20"/>
      <c r="B3526" s="2"/>
      <c r="C3526" s="2"/>
      <c r="D3526" s="2"/>
    </row>
    <row r="3527" spans="1:4" ht="12.75" customHeight="1" x14ac:dyDescent="0.2">
      <c r="A3527" s="21"/>
      <c r="B3527" s="3" t="s">
        <v>0</v>
      </c>
      <c r="C3527" s="20" t="s">
        <v>680</v>
      </c>
      <c r="D3527" s="21"/>
    </row>
    <row r="3528" spans="1:4" ht="12.75" customHeight="1" x14ac:dyDescent="0.2">
      <c r="A3528" s="21"/>
      <c r="B3528" s="3" t="s">
        <v>2</v>
      </c>
      <c r="C3528" s="20" t="s">
        <v>1839</v>
      </c>
      <c r="D3528" s="21"/>
    </row>
    <row r="3529" spans="1:4" ht="12.75" customHeight="1" x14ac:dyDescent="0.2">
      <c r="A3529" s="21"/>
      <c r="B3529" s="3" t="s">
        <v>1840</v>
      </c>
      <c r="C3529" s="20" t="s">
        <v>448</v>
      </c>
      <c r="D3529" s="21"/>
    </row>
    <row r="3530" spans="1:4" ht="12.75" customHeight="1" x14ac:dyDescent="0.2">
      <c r="A3530" s="21"/>
      <c r="B3530" s="3" t="s">
        <v>9</v>
      </c>
      <c r="C3530" s="20" t="s">
        <v>262</v>
      </c>
      <c r="D3530" s="21"/>
    </row>
    <row r="3531" spans="1:4" ht="12.75" customHeight="1" x14ac:dyDescent="0.2">
      <c r="A3531" s="21"/>
      <c r="B3531" s="3" t="s">
        <v>11</v>
      </c>
      <c r="C3531" s="20" t="s">
        <v>993</v>
      </c>
      <c r="D3531" s="21"/>
    </row>
    <row r="3532" spans="1:4" ht="12.75" customHeight="1" x14ac:dyDescent="0.2">
      <c r="A3532" s="21"/>
      <c r="B3532" s="3" t="s">
        <v>16</v>
      </c>
      <c r="C3532" s="20"/>
      <c r="D3532" s="21"/>
    </row>
    <row r="3533" spans="1:4" ht="12.75" customHeight="1" x14ac:dyDescent="0.2">
      <c r="A3533" s="21"/>
      <c r="B3533" s="3" t="s">
        <v>17</v>
      </c>
      <c r="C3533" s="20" t="s">
        <v>19</v>
      </c>
      <c r="D3533" s="21"/>
    </row>
    <row r="3534" spans="1:4" ht="12.75" customHeight="1" x14ac:dyDescent="0.2">
      <c r="A3534" s="21"/>
      <c r="B3534" s="20" t="s">
        <v>18</v>
      </c>
      <c r="C3534" s="4" t="s">
        <v>44</v>
      </c>
      <c r="D3534" s="6" t="str">
        <f>HYPERLINK("javascript:void(0)","éjsötét testpajzs")</f>
        <v>éjsötét testpajzs</v>
      </c>
    </row>
    <row r="3535" spans="1:4" ht="12.75" customHeight="1" x14ac:dyDescent="0.2">
      <c r="A3535" s="21"/>
      <c r="B3535" s="21"/>
      <c r="C3535" s="4" t="s">
        <v>193</v>
      </c>
      <c r="D3535" s="6" t="str">
        <f>HYPERLINK("javascript:void(0)","medúza csáp")</f>
        <v>medúza csáp</v>
      </c>
    </row>
    <row r="3536" spans="1:4" ht="12.75" customHeight="1" x14ac:dyDescent="0.2">
      <c r="A3536" s="21"/>
      <c r="B3536" s="21"/>
      <c r="C3536" s="4" t="s">
        <v>212</v>
      </c>
      <c r="D3536" s="6" t="str">
        <f>HYPERLINK("javascript:void(0)","elemi köpet")</f>
        <v>elemi köpet</v>
      </c>
    </row>
    <row r="3537" spans="1:4" ht="12.75" customHeight="1" x14ac:dyDescent="0.2">
      <c r="A3537" s="21"/>
      <c r="B3537" s="2"/>
      <c r="C3537" s="2"/>
      <c r="D3537" s="2"/>
    </row>
    <row r="3538" spans="1:4" ht="12.75" customHeight="1" x14ac:dyDescent="0.2">
      <c r="A3538" s="21"/>
      <c r="B3538" s="2"/>
      <c r="C3538" s="2"/>
      <c r="D3538" s="2"/>
    </row>
    <row r="3539" spans="1:4" ht="12.75" customHeight="1" x14ac:dyDescent="0.2">
      <c r="A3539" s="21"/>
      <c r="B3539" s="2"/>
      <c r="C3539" s="2"/>
      <c r="D3539" s="2"/>
    </row>
    <row r="3540" spans="1:4" ht="12.75" customHeight="1" x14ac:dyDescent="0.2">
      <c r="A3540" s="21"/>
      <c r="B3540" s="2"/>
      <c r="C3540" s="2"/>
      <c r="D3540" s="2"/>
    </row>
    <row r="3541" spans="1:4" ht="12.75" customHeight="1" x14ac:dyDescent="0.2">
      <c r="A3541" s="5"/>
      <c r="B3541" s="2"/>
      <c r="C3541" s="2"/>
      <c r="D3541" s="2"/>
    </row>
    <row r="3542" spans="1:4" ht="12.75" customHeight="1" x14ac:dyDescent="0.2">
      <c r="A3542" s="22" t="str">
        <f>HYPERLINK("javascript:void(0)","fotoacél illanat")</f>
        <v>fotoacél illanat</v>
      </c>
      <c r="B3542" s="21"/>
      <c r="C3542" s="21"/>
      <c r="D3542" s="21"/>
    </row>
    <row r="3543" spans="1:4" ht="12.75" customHeight="1" x14ac:dyDescent="0.2">
      <c r="A3543" s="20"/>
      <c r="B3543" s="2"/>
      <c r="C3543" s="2"/>
      <c r="D3543" s="2"/>
    </row>
    <row r="3544" spans="1:4" ht="12.75" customHeight="1" x14ac:dyDescent="0.2">
      <c r="A3544" s="21"/>
      <c r="B3544" s="3" t="s">
        <v>0</v>
      </c>
      <c r="C3544" s="20" t="s">
        <v>680</v>
      </c>
      <c r="D3544" s="21"/>
    </row>
    <row r="3545" spans="1:4" ht="12.75" customHeight="1" x14ac:dyDescent="0.2">
      <c r="A3545" s="21"/>
      <c r="B3545" s="3" t="s">
        <v>2</v>
      </c>
      <c r="C3545" s="20" t="s">
        <v>1839</v>
      </c>
      <c r="D3545" s="21"/>
    </row>
    <row r="3546" spans="1:4" ht="12.75" customHeight="1" x14ac:dyDescent="0.2">
      <c r="A3546" s="21"/>
      <c r="B3546" s="3" t="s">
        <v>1840</v>
      </c>
      <c r="C3546" s="20" t="s">
        <v>448</v>
      </c>
      <c r="D3546" s="21"/>
    </row>
    <row r="3547" spans="1:4" ht="12.75" customHeight="1" x14ac:dyDescent="0.2">
      <c r="A3547" s="21"/>
      <c r="B3547" s="3" t="s">
        <v>9</v>
      </c>
      <c r="C3547" s="20" t="s">
        <v>2089</v>
      </c>
      <c r="D3547" s="21"/>
    </row>
    <row r="3548" spans="1:4" ht="12.75" customHeight="1" x14ac:dyDescent="0.2">
      <c r="A3548" s="21"/>
      <c r="B3548" s="3" t="s">
        <v>11</v>
      </c>
      <c r="C3548" s="20" t="s">
        <v>1035</v>
      </c>
      <c r="D3548" s="21"/>
    </row>
    <row r="3549" spans="1:4" ht="12.75" customHeight="1" x14ac:dyDescent="0.2">
      <c r="A3549" s="21"/>
      <c r="B3549" s="3" t="s">
        <v>16</v>
      </c>
      <c r="C3549" s="20"/>
      <c r="D3549" s="21"/>
    </row>
    <row r="3550" spans="1:4" ht="12.75" customHeight="1" x14ac:dyDescent="0.2">
      <c r="A3550" s="21"/>
      <c r="B3550" s="3" t="s">
        <v>17</v>
      </c>
      <c r="C3550" s="20" t="s">
        <v>19</v>
      </c>
      <c r="D3550" s="21"/>
    </row>
    <row r="3551" spans="1:4" ht="12.75" customHeight="1" x14ac:dyDescent="0.2">
      <c r="A3551" s="21"/>
      <c r="B3551" s="20" t="s">
        <v>18</v>
      </c>
      <c r="C3551" s="4" t="s">
        <v>44</v>
      </c>
      <c r="D3551" s="6" t="str">
        <f>HYPERLINK("javascript:void(0)","medúza testpajzs")</f>
        <v>medúza testpajzs</v>
      </c>
    </row>
    <row r="3552" spans="1:4" ht="12.75" customHeight="1" x14ac:dyDescent="0.2">
      <c r="A3552" s="21"/>
      <c r="B3552" s="21"/>
      <c r="C3552" s="4" t="s">
        <v>98</v>
      </c>
      <c r="D3552" s="6" t="str">
        <f>HYPERLINK("javascript:void(0)","fúrófej")</f>
        <v>fúrófej</v>
      </c>
    </row>
    <row r="3553" spans="1:4" ht="12.75" customHeight="1" x14ac:dyDescent="0.2">
      <c r="A3553" s="21"/>
      <c r="B3553" s="21"/>
      <c r="C3553" s="4" t="s">
        <v>98</v>
      </c>
      <c r="D3553" s="6" t="str">
        <f>HYPERLINK("javascript:void(0)","éjfény")</f>
        <v>éjfény</v>
      </c>
    </row>
    <row r="3554" spans="1:4" ht="12.75" customHeight="1" x14ac:dyDescent="0.2">
      <c r="A3554" s="21"/>
      <c r="B3554" s="2"/>
      <c r="C3554" s="2"/>
      <c r="D3554" s="2"/>
    </row>
    <row r="3555" spans="1:4" ht="12.75" customHeight="1" x14ac:dyDescent="0.2">
      <c r="A3555" s="21"/>
      <c r="B3555" s="2"/>
      <c r="C3555" s="2"/>
      <c r="D3555" s="2"/>
    </row>
    <row r="3556" spans="1:4" ht="12.75" customHeight="1" x14ac:dyDescent="0.2">
      <c r="A3556" s="21"/>
      <c r="B3556" s="2"/>
      <c r="C3556" s="2"/>
      <c r="D3556" s="2"/>
    </row>
    <row r="3557" spans="1:4" ht="12.75" customHeight="1" x14ac:dyDescent="0.2">
      <c r="A3557" s="21"/>
      <c r="B3557" s="2"/>
      <c r="C3557" s="2"/>
      <c r="D3557" s="2"/>
    </row>
    <row r="3558" spans="1:4" ht="12.75" customHeight="1" x14ac:dyDescent="0.2">
      <c r="A3558" s="5"/>
      <c r="B3558" s="2"/>
      <c r="C3558" s="2"/>
      <c r="D3558" s="2"/>
    </row>
    <row r="3559" spans="1:4" ht="12.75" customHeight="1" x14ac:dyDescent="0.2">
      <c r="A3559" s="22" t="str">
        <f>HYPERLINK("javascript:void(0)","harmatacél pajzs")</f>
        <v>harmatacél pajzs</v>
      </c>
      <c r="B3559" s="21"/>
      <c r="C3559" s="21"/>
      <c r="D3559" s="21"/>
    </row>
    <row r="3560" spans="1:4" ht="12.75" customHeight="1" x14ac:dyDescent="0.2">
      <c r="A3560" s="20"/>
      <c r="B3560" s="2"/>
      <c r="C3560" s="2"/>
      <c r="D3560" s="2"/>
    </row>
    <row r="3561" spans="1:4" ht="12.75" customHeight="1" x14ac:dyDescent="0.2">
      <c r="A3561" s="21"/>
      <c r="B3561" s="3" t="s">
        <v>0</v>
      </c>
      <c r="C3561" s="20" t="s">
        <v>690</v>
      </c>
      <c r="D3561" s="21"/>
    </row>
    <row r="3562" spans="1:4" ht="12.75" customHeight="1" x14ac:dyDescent="0.2">
      <c r="A3562" s="21"/>
      <c r="B3562" s="3" t="s">
        <v>2</v>
      </c>
      <c r="C3562" s="20" t="s">
        <v>1839</v>
      </c>
      <c r="D3562" s="21"/>
    </row>
    <row r="3563" spans="1:4" ht="12.75" customHeight="1" x14ac:dyDescent="0.2">
      <c r="A3563" s="21"/>
      <c r="B3563" s="3" t="s">
        <v>1840</v>
      </c>
      <c r="C3563" s="20" t="s">
        <v>1770</v>
      </c>
      <c r="D3563" s="21"/>
    </row>
    <row r="3564" spans="1:4" ht="12.75" customHeight="1" x14ac:dyDescent="0.2">
      <c r="A3564" s="21"/>
      <c r="B3564" s="3" t="s">
        <v>9</v>
      </c>
      <c r="C3564" s="20" t="s">
        <v>377</v>
      </c>
      <c r="D3564" s="21"/>
    </row>
    <row r="3565" spans="1:4" ht="12.75" customHeight="1" x14ac:dyDescent="0.2">
      <c r="A3565" s="21"/>
      <c r="B3565" s="3" t="s">
        <v>11</v>
      </c>
      <c r="C3565" s="20" t="s">
        <v>1015</v>
      </c>
      <c r="D3565" s="21"/>
    </row>
    <row r="3566" spans="1:4" ht="12.75" customHeight="1" x14ac:dyDescent="0.2">
      <c r="A3566" s="21"/>
      <c r="B3566" s="3" t="s">
        <v>16</v>
      </c>
      <c r="C3566" s="20"/>
      <c r="D3566" s="21"/>
    </row>
    <row r="3567" spans="1:4" ht="12.75" customHeight="1" x14ac:dyDescent="0.2">
      <c r="A3567" s="21"/>
      <c r="B3567" s="3" t="s">
        <v>17</v>
      </c>
      <c r="C3567" s="20" t="s">
        <v>19</v>
      </c>
      <c r="D3567" s="21"/>
    </row>
    <row r="3568" spans="1:4" ht="12.75" customHeight="1" x14ac:dyDescent="0.2">
      <c r="A3568" s="21"/>
      <c r="B3568" s="20" t="s">
        <v>18</v>
      </c>
      <c r="C3568" s="4" t="s">
        <v>44</v>
      </c>
      <c r="D3568" s="6" t="str">
        <f>HYPERLINK("javascript:void(0)","medúza pajzs")</f>
        <v>medúza pajzs</v>
      </c>
    </row>
    <row r="3569" spans="1:4" ht="12.75" customHeight="1" x14ac:dyDescent="0.2">
      <c r="A3569" s="21"/>
      <c r="B3569" s="21"/>
      <c r="C3569" s="4" t="s">
        <v>139</v>
      </c>
      <c r="D3569" s="6" t="str">
        <f>HYPERLINK("javascript:void(0)","harmatcsepp")</f>
        <v>harmatcsepp</v>
      </c>
    </row>
    <row r="3570" spans="1:4" ht="12.75" customHeight="1" x14ac:dyDescent="0.2">
      <c r="A3570" s="21"/>
      <c r="B3570" s="21"/>
      <c r="C3570" s="4" t="s">
        <v>193</v>
      </c>
      <c r="D3570" s="6" t="str">
        <f>HYPERLINK("javascript:void(0)","lux")</f>
        <v>lux</v>
      </c>
    </row>
    <row r="3571" spans="1:4" ht="12.75" customHeight="1" x14ac:dyDescent="0.2">
      <c r="A3571" s="21"/>
      <c r="B3571" s="2"/>
      <c r="C3571" s="2"/>
      <c r="D3571" s="2"/>
    </row>
    <row r="3572" spans="1:4" ht="12.75" customHeight="1" x14ac:dyDescent="0.2">
      <c r="A3572" s="21"/>
      <c r="B3572" s="2"/>
      <c r="C3572" s="2"/>
      <c r="D3572" s="2"/>
    </row>
    <row r="3573" spans="1:4" ht="12.75" customHeight="1" x14ac:dyDescent="0.2">
      <c r="A3573" s="21"/>
      <c r="B3573" s="2"/>
      <c r="C3573" s="2"/>
      <c r="D3573" s="2"/>
    </row>
    <row r="3574" spans="1:4" ht="12.75" customHeight="1" x14ac:dyDescent="0.2">
      <c r="A3574" s="21"/>
      <c r="B3574" s="2"/>
      <c r="C3574" s="2"/>
      <c r="D3574" s="2"/>
    </row>
    <row r="3575" spans="1:4" ht="12.75" customHeight="1" x14ac:dyDescent="0.2">
      <c r="A3575" s="5"/>
      <c r="B3575" s="2"/>
      <c r="C3575" s="2"/>
      <c r="D3575" s="2"/>
    </row>
    <row r="3576" spans="1:4" ht="12.75" customHeight="1" x14ac:dyDescent="0.2">
      <c r="A3576" s="22" t="str">
        <f>HYPERLINK("javascript:void(0)","skivei illanat")</f>
        <v>skivei illanat</v>
      </c>
      <c r="B3576" s="21"/>
      <c r="C3576" s="21"/>
      <c r="D3576" s="21"/>
    </row>
    <row r="3577" spans="1:4" ht="12.75" customHeight="1" x14ac:dyDescent="0.2">
      <c r="A3577" s="20"/>
      <c r="B3577" s="2"/>
      <c r="C3577" s="2"/>
      <c r="D3577" s="2"/>
    </row>
    <row r="3578" spans="1:4" ht="12.75" customHeight="1" x14ac:dyDescent="0.2">
      <c r="A3578" s="21"/>
      <c r="B3578" s="3" t="s">
        <v>0</v>
      </c>
      <c r="C3578" s="20" t="s">
        <v>690</v>
      </c>
      <c r="D3578" s="21"/>
    </row>
    <row r="3579" spans="1:4" ht="12.75" customHeight="1" x14ac:dyDescent="0.2">
      <c r="A3579" s="21"/>
      <c r="B3579" s="3" t="s">
        <v>2</v>
      </c>
      <c r="C3579" s="20" t="s">
        <v>1839</v>
      </c>
      <c r="D3579" s="21"/>
    </row>
    <row r="3580" spans="1:4" ht="12.75" customHeight="1" x14ac:dyDescent="0.2">
      <c r="A3580" s="21"/>
      <c r="B3580" s="3" t="s">
        <v>1840</v>
      </c>
      <c r="C3580" s="20" t="s">
        <v>1770</v>
      </c>
      <c r="D3580" s="21"/>
    </row>
    <row r="3581" spans="1:4" ht="12.75" customHeight="1" x14ac:dyDescent="0.2">
      <c r="A3581" s="21"/>
      <c r="B3581" s="3" t="s">
        <v>9</v>
      </c>
      <c r="C3581" s="20" t="s">
        <v>2092</v>
      </c>
      <c r="D3581" s="21"/>
    </row>
    <row r="3582" spans="1:4" ht="12.75" customHeight="1" x14ac:dyDescent="0.2">
      <c r="A3582" s="21"/>
      <c r="B3582" s="3" t="s">
        <v>11</v>
      </c>
      <c r="C3582" s="20" t="s">
        <v>1055</v>
      </c>
      <c r="D3582" s="21"/>
    </row>
    <row r="3583" spans="1:4" ht="12.75" customHeight="1" x14ac:dyDescent="0.2">
      <c r="A3583" s="21"/>
      <c r="B3583" s="3" t="s">
        <v>16</v>
      </c>
      <c r="C3583" s="20"/>
      <c r="D3583" s="21"/>
    </row>
    <row r="3584" spans="1:4" ht="12.75" customHeight="1" x14ac:dyDescent="0.2">
      <c r="A3584" s="21"/>
      <c r="B3584" s="3" t="s">
        <v>17</v>
      </c>
      <c r="C3584" s="20" t="s">
        <v>19</v>
      </c>
      <c r="D3584" s="21"/>
    </row>
    <row r="3585" spans="1:4" ht="12.75" customHeight="1" x14ac:dyDescent="0.2">
      <c r="A3585" s="21"/>
      <c r="B3585" s="20" t="s">
        <v>18</v>
      </c>
      <c r="C3585" s="4" t="s">
        <v>44</v>
      </c>
      <c r="D3585" s="6" t="str">
        <f>HYPERLINK("javascript:void(0)","harmatacél pajzs")</f>
        <v>harmatacél pajzs</v>
      </c>
    </row>
    <row r="3586" spans="1:4" ht="12.75" customHeight="1" x14ac:dyDescent="0.2">
      <c r="A3586" s="21"/>
      <c r="B3586" s="21"/>
      <c r="C3586" s="4" t="s">
        <v>98</v>
      </c>
      <c r="D3586" s="6" t="str">
        <f>HYPERLINK("javascript:void(0)","hőgolyó")</f>
        <v>hőgolyó</v>
      </c>
    </row>
    <row r="3587" spans="1:4" ht="12.75" customHeight="1" x14ac:dyDescent="0.2">
      <c r="A3587" s="21"/>
      <c r="B3587" s="21"/>
      <c r="C3587" s="4" t="s">
        <v>98</v>
      </c>
      <c r="D3587" s="6" t="str">
        <f>HYPERLINK("javascript:void(0)","kárópikkely")</f>
        <v>kárópikkely</v>
      </c>
    </row>
    <row r="3588" spans="1:4" ht="12.75" customHeight="1" x14ac:dyDescent="0.2">
      <c r="A3588" s="21"/>
      <c r="B3588" s="2"/>
      <c r="C3588" s="2"/>
      <c r="D3588" s="2"/>
    </row>
    <row r="3589" spans="1:4" ht="12.75" customHeight="1" x14ac:dyDescent="0.2">
      <c r="A3589" s="21"/>
      <c r="B3589" s="2"/>
      <c r="C3589" s="2"/>
      <c r="D3589" s="2"/>
    </row>
    <row r="3590" spans="1:4" ht="12.75" customHeight="1" x14ac:dyDescent="0.2">
      <c r="A3590" s="21"/>
      <c r="B3590" s="2"/>
      <c r="C3590" s="2"/>
      <c r="D3590" s="2"/>
    </row>
    <row r="3591" spans="1:4" ht="12.75" customHeight="1" x14ac:dyDescent="0.2">
      <c r="A3591" s="21"/>
      <c r="B3591" s="2"/>
      <c r="C3591" s="2"/>
      <c r="D3591" s="2"/>
    </row>
    <row r="3592" spans="1:4" ht="12.75" customHeight="1" x14ac:dyDescent="0.2">
      <c r="A3592" s="5"/>
      <c r="B3592" s="2"/>
      <c r="C3592" s="2"/>
      <c r="D3592" s="2"/>
    </row>
    <row r="3593" spans="1:4" ht="12.75" customHeight="1" x14ac:dyDescent="0.2">
      <c r="A3593" s="22" t="str">
        <f>HYPERLINK("javascript:void(0)","harmatacél testpajzs")</f>
        <v>harmatacél testpajzs</v>
      </c>
      <c r="B3593" s="21"/>
      <c r="C3593" s="21"/>
      <c r="D3593" s="21"/>
    </row>
    <row r="3594" spans="1:4" ht="12.75" customHeight="1" x14ac:dyDescent="0.2">
      <c r="A3594" s="20"/>
      <c r="B3594" s="2"/>
      <c r="C3594" s="2"/>
      <c r="D3594" s="2"/>
    </row>
    <row r="3595" spans="1:4" ht="12.75" customHeight="1" x14ac:dyDescent="0.2">
      <c r="A3595" s="21"/>
      <c r="B3595" s="3" t="s">
        <v>0</v>
      </c>
      <c r="C3595" s="20" t="s">
        <v>699</v>
      </c>
      <c r="D3595" s="21"/>
    </row>
    <row r="3596" spans="1:4" ht="12.75" customHeight="1" x14ac:dyDescent="0.2">
      <c r="A3596" s="21"/>
      <c r="B3596" s="3" t="s">
        <v>2</v>
      </c>
      <c r="C3596" s="20" t="s">
        <v>1839</v>
      </c>
      <c r="D3596" s="21"/>
    </row>
    <row r="3597" spans="1:4" ht="12.75" customHeight="1" x14ac:dyDescent="0.2">
      <c r="A3597" s="21"/>
      <c r="B3597" s="3" t="s">
        <v>1840</v>
      </c>
      <c r="C3597" s="20" t="s">
        <v>2220</v>
      </c>
      <c r="D3597" s="21"/>
    </row>
    <row r="3598" spans="1:4" ht="12.75" customHeight="1" x14ac:dyDescent="0.2">
      <c r="A3598" s="21"/>
      <c r="B3598" s="3" t="s">
        <v>9</v>
      </c>
      <c r="C3598" s="20" t="s">
        <v>549</v>
      </c>
      <c r="D3598" s="21"/>
    </row>
    <row r="3599" spans="1:4" ht="12.75" customHeight="1" x14ac:dyDescent="0.2">
      <c r="A3599" s="21"/>
      <c r="B3599" s="3" t="s">
        <v>11</v>
      </c>
      <c r="C3599" s="20" t="s">
        <v>1035</v>
      </c>
      <c r="D3599" s="21"/>
    </row>
    <row r="3600" spans="1:4" ht="12.75" customHeight="1" x14ac:dyDescent="0.2">
      <c r="A3600" s="21"/>
      <c r="B3600" s="3" t="s">
        <v>16</v>
      </c>
      <c r="C3600" s="20"/>
      <c r="D3600" s="21"/>
    </row>
    <row r="3601" spans="1:4" ht="12.75" customHeight="1" x14ac:dyDescent="0.2">
      <c r="A3601" s="21"/>
      <c r="B3601" s="3" t="s">
        <v>17</v>
      </c>
      <c r="C3601" s="20" t="s">
        <v>19</v>
      </c>
      <c r="D3601" s="21"/>
    </row>
    <row r="3602" spans="1:4" ht="12.75" customHeight="1" x14ac:dyDescent="0.2">
      <c r="A3602" s="21"/>
      <c r="B3602" s="20" t="s">
        <v>18</v>
      </c>
      <c r="C3602" s="4" t="s">
        <v>44</v>
      </c>
      <c r="D3602" s="6" t="str">
        <f>HYPERLINK("javascript:void(0)","medúza testpajzs")</f>
        <v>medúza testpajzs</v>
      </c>
    </row>
    <row r="3603" spans="1:4" ht="12.75" customHeight="1" x14ac:dyDescent="0.2">
      <c r="A3603" s="21"/>
      <c r="B3603" s="21"/>
      <c r="C3603" s="4" t="s">
        <v>163</v>
      </c>
      <c r="D3603" s="6" t="str">
        <f>HYPERLINK("javascript:void(0)","harmatcsepp")</f>
        <v>harmatcsepp</v>
      </c>
    </row>
    <row r="3604" spans="1:4" ht="12.75" customHeight="1" x14ac:dyDescent="0.2">
      <c r="A3604" s="21"/>
      <c r="B3604" s="21"/>
      <c r="C3604" s="4" t="s">
        <v>117</v>
      </c>
      <c r="D3604" s="6" t="str">
        <f>HYPERLINK("javascript:void(0)","istenpenge")</f>
        <v>istenpenge</v>
      </c>
    </row>
    <row r="3605" spans="1:4" ht="12.75" customHeight="1" x14ac:dyDescent="0.2">
      <c r="A3605" s="21"/>
      <c r="B3605" s="2"/>
      <c r="C3605" s="2"/>
      <c r="D3605" s="2"/>
    </row>
    <row r="3606" spans="1:4" ht="12.75" customHeight="1" x14ac:dyDescent="0.2">
      <c r="A3606" s="21"/>
      <c r="B3606" s="2"/>
      <c r="C3606" s="2"/>
      <c r="D3606" s="2"/>
    </row>
    <row r="3607" spans="1:4" ht="12.75" customHeight="1" x14ac:dyDescent="0.2">
      <c r="A3607" s="21"/>
      <c r="B3607" s="2"/>
      <c r="C3607" s="2"/>
      <c r="D3607" s="2"/>
    </row>
    <row r="3608" spans="1:4" ht="12.75" customHeight="1" x14ac:dyDescent="0.2">
      <c r="A3608" s="21"/>
      <c r="B3608" s="2"/>
      <c r="C3608" s="2"/>
      <c r="D3608" s="2"/>
    </row>
    <row r="3609" spans="1:4" ht="12.75" customHeight="1" x14ac:dyDescent="0.2">
      <c r="A3609" s="5"/>
      <c r="B3609" s="2"/>
      <c r="C3609" s="2"/>
      <c r="D3609" s="2"/>
    </row>
    <row r="3610" spans="1:4" ht="12.75" customHeight="1" x14ac:dyDescent="0.2">
      <c r="A3610" s="22" t="str">
        <f>HYPERLINK("javascript:void(0)","magnetoacél illanat")</f>
        <v>magnetoacél illanat</v>
      </c>
      <c r="B3610" s="21"/>
      <c r="C3610" s="21"/>
      <c r="D3610" s="21"/>
    </row>
    <row r="3611" spans="1:4" ht="12.75" customHeight="1" x14ac:dyDescent="0.2">
      <c r="A3611" s="20"/>
      <c r="B3611" s="2"/>
      <c r="C3611" s="2"/>
      <c r="D3611" s="2"/>
    </row>
    <row r="3612" spans="1:4" ht="12.75" customHeight="1" x14ac:dyDescent="0.2">
      <c r="A3612" s="21"/>
      <c r="B3612" s="3" t="s">
        <v>0</v>
      </c>
      <c r="C3612" s="20" t="s">
        <v>699</v>
      </c>
      <c r="D3612" s="21"/>
    </row>
    <row r="3613" spans="1:4" ht="12.75" customHeight="1" x14ac:dyDescent="0.2">
      <c r="A3613" s="21"/>
      <c r="B3613" s="3" t="s">
        <v>2</v>
      </c>
      <c r="C3613" s="20" t="s">
        <v>1839</v>
      </c>
      <c r="D3613" s="21"/>
    </row>
    <row r="3614" spans="1:4" ht="12.75" customHeight="1" x14ac:dyDescent="0.2">
      <c r="A3614" s="21"/>
      <c r="B3614" s="3" t="s">
        <v>1840</v>
      </c>
      <c r="C3614" s="20" t="s">
        <v>2220</v>
      </c>
      <c r="D3614" s="21"/>
    </row>
    <row r="3615" spans="1:4" ht="12.75" customHeight="1" x14ac:dyDescent="0.2">
      <c r="A3615" s="21"/>
      <c r="B3615" s="3" t="s">
        <v>9</v>
      </c>
      <c r="C3615" s="20" t="s">
        <v>1225</v>
      </c>
      <c r="D3615" s="21"/>
    </row>
    <row r="3616" spans="1:4" ht="12.75" customHeight="1" x14ac:dyDescent="0.2">
      <c r="A3616" s="21"/>
      <c r="B3616" s="3" t="s">
        <v>11</v>
      </c>
      <c r="C3616" s="20" t="s">
        <v>1071</v>
      </c>
      <c r="D3616" s="21"/>
    </row>
    <row r="3617" spans="1:4" ht="12.75" customHeight="1" x14ac:dyDescent="0.2">
      <c r="A3617" s="21"/>
      <c r="B3617" s="3" t="s">
        <v>16</v>
      </c>
      <c r="C3617" s="20"/>
      <c r="D3617" s="21"/>
    </row>
    <row r="3618" spans="1:4" ht="12.75" customHeight="1" x14ac:dyDescent="0.2">
      <c r="A3618" s="21"/>
      <c r="B3618" s="3" t="s">
        <v>17</v>
      </c>
      <c r="C3618" s="20" t="s">
        <v>19</v>
      </c>
      <c r="D3618" s="21"/>
    </row>
    <row r="3619" spans="1:4" ht="25.5" customHeight="1" x14ac:dyDescent="0.2">
      <c r="A3619" s="21"/>
      <c r="B3619" s="20" t="s">
        <v>18</v>
      </c>
      <c r="C3619" s="4" t="s">
        <v>44</v>
      </c>
      <c r="D3619" s="6" t="str">
        <f>HYPERLINK("javascript:void(0)","harmatacél testpajzs")</f>
        <v>harmatacél testpajzs</v>
      </c>
    </row>
    <row r="3620" spans="1:4" ht="12.75" customHeight="1" x14ac:dyDescent="0.2">
      <c r="A3620" s="21"/>
      <c r="B3620" s="21"/>
      <c r="C3620" s="4" t="s">
        <v>98</v>
      </c>
      <c r="D3620" s="6" t="str">
        <f>HYPERLINK("javascript:void(0)","gőg")</f>
        <v>gőg</v>
      </c>
    </row>
    <row r="3621" spans="1:4" ht="12.75" customHeight="1" x14ac:dyDescent="0.2">
      <c r="A3621" s="21"/>
      <c r="B3621" s="21"/>
      <c r="C3621" s="4" t="s">
        <v>163</v>
      </c>
      <c r="D3621" s="6" t="str">
        <f>HYPERLINK("javascript:void(0)","medúza csáp")</f>
        <v>medúza csáp</v>
      </c>
    </row>
    <row r="3622" spans="1:4" ht="12.75" customHeight="1" x14ac:dyDescent="0.2">
      <c r="A3622" s="21"/>
      <c r="B3622" s="2"/>
      <c r="C3622" s="2"/>
      <c r="D3622" s="2"/>
    </row>
    <row r="3623" spans="1:4" ht="12.75" customHeight="1" x14ac:dyDescent="0.2">
      <c r="A3623" s="21"/>
      <c r="B3623" s="2"/>
      <c r="C3623" s="2"/>
      <c r="D3623" s="2"/>
    </row>
    <row r="3624" spans="1:4" ht="12.75" customHeight="1" x14ac:dyDescent="0.2">
      <c r="A3624" s="21"/>
      <c r="B3624" s="2"/>
      <c r="C3624" s="2"/>
      <c r="D3624" s="2"/>
    </row>
    <row r="3625" spans="1:4" ht="12.75" customHeight="1" x14ac:dyDescent="0.2">
      <c r="A3625" s="21"/>
      <c r="B3625" s="2"/>
      <c r="C3625" s="2"/>
      <c r="D3625" s="2"/>
    </row>
    <row r="3626" spans="1:4" ht="12.75" customHeight="1" x14ac:dyDescent="0.2">
      <c r="A3626" s="5"/>
      <c r="B3626" s="2"/>
      <c r="C3626" s="2"/>
      <c r="D3626" s="2"/>
    </row>
    <row r="3627" spans="1:4" ht="12.75" customHeight="1" x14ac:dyDescent="0.2">
      <c r="A3627" s="22" t="str">
        <f>HYPERLINK("javascript:void(0)","szivárvány pajzs")</f>
        <v>szivárvány pajzs</v>
      </c>
      <c r="B3627" s="21"/>
      <c r="C3627" s="21"/>
      <c r="D3627" s="21"/>
    </row>
    <row r="3628" spans="1:4" ht="12.75" customHeight="1" x14ac:dyDescent="0.2">
      <c r="A3628" s="20"/>
      <c r="B3628" s="2"/>
      <c r="C3628" s="2"/>
      <c r="D3628" s="2"/>
    </row>
    <row r="3629" spans="1:4" ht="12.75" customHeight="1" x14ac:dyDescent="0.2">
      <c r="A3629" s="21"/>
      <c r="B3629" s="3" t="s">
        <v>0</v>
      </c>
      <c r="C3629" s="20" t="s">
        <v>709</v>
      </c>
      <c r="D3629" s="21"/>
    </row>
    <row r="3630" spans="1:4" ht="12.75" customHeight="1" x14ac:dyDescent="0.2">
      <c r="A3630" s="21"/>
      <c r="B3630" s="3" t="s">
        <v>2</v>
      </c>
      <c r="C3630" s="20" t="s">
        <v>1839</v>
      </c>
      <c r="D3630" s="21"/>
    </row>
    <row r="3631" spans="1:4" ht="12.75" customHeight="1" x14ac:dyDescent="0.2">
      <c r="A3631" s="21"/>
      <c r="B3631" s="3" t="s">
        <v>1840</v>
      </c>
      <c r="C3631" s="20" t="s">
        <v>2091</v>
      </c>
      <c r="D3631" s="21"/>
    </row>
    <row r="3632" spans="1:4" ht="12.75" customHeight="1" x14ac:dyDescent="0.2">
      <c r="A3632" s="21"/>
      <c r="B3632" s="3" t="s">
        <v>9</v>
      </c>
      <c r="C3632" s="20" t="s">
        <v>249</v>
      </c>
      <c r="D3632" s="21"/>
    </row>
    <row r="3633" spans="1:4" ht="12.75" customHeight="1" x14ac:dyDescent="0.2">
      <c r="A3633" s="21"/>
      <c r="B3633" s="3" t="s">
        <v>11</v>
      </c>
      <c r="C3633" s="20" t="s">
        <v>1055</v>
      </c>
      <c r="D3633" s="21"/>
    </row>
    <row r="3634" spans="1:4" ht="12.75" customHeight="1" x14ac:dyDescent="0.2">
      <c r="A3634" s="21"/>
      <c r="B3634" s="3" t="s">
        <v>16</v>
      </c>
      <c r="C3634" s="20"/>
      <c r="D3634" s="21"/>
    </row>
    <row r="3635" spans="1:4" ht="12.75" customHeight="1" x14ac:dyDescent="0.2">
      <c r="A3635" s="21"/>
      <c r="B3635" s="3" t="s">
        <v>17</v>
      </c>
      <c r="C3635" s="20" t="s">
        <v>19</v>
      </c>
      <c r="D3635" s="21"/>
    </row>
    <row r="3636" spans="1:4" ht="12.75" customHeight="1" x14ac:dyDescent="0.2">
      <c r="A3636" s="21"/>
      <c r="B3636" s="20" t="s">
        <v>18</v>
      </c>
      <c r="C3636" s="4" t="s">
        <v>44</v>
      </c>
      <c r="D3636" s="6" t="str">
        <f>HYPERLINK("javascript:void(0)","harmatacél pajzs")</f>
        <v>harmatacél pajzs</v>
      </c>
    </row>
    <row r="3637" spans="1:4" ht="12.75" customHeight="1" x14ac:dyDescent="0.2">
      <c r="A3637" s="21"/>
      <c r="B3637" s="21"/>
      <c r="C3637" s="4" t="s">
        <v>77</v>
      </c>
      <c r="D3637" s="6" t="str">
        <f>HYPERLINK("javascript:void(0)","szivárványszív")</f>
        <v>szivárványszív</v>
      </c>
    </row>
    <row r="3638" spans="1:4" ht="12.75" customHeight="1" x14ac:dyDescent="0.2">
      <c r="A3638" s="21"/>
      <c r="B3638" s="21"/>
      <c r="C3638" s="4" t="s">
        <v>68</v>
      </c>
      <c r="D3638" s="6" t="str">
        <f>HYPERLINK("javascript:void(0)","fúrófej")</f>
        <v>fúrófej</v>
      </c>
    </row>
    <row r="3639" spans="1:4" ht="12.75" customHeight="1" x14ac:dyDescent="0.2">
      <c r="A3639" s="21"/>
      <c r="B3639" s="2"/>
      <c r="C3639" s="2"/>
      <c r="D3639" s="2"/>
    </row>
    <row r="3640" spans="1:4" ht="12.75" customHeight="1" x14ac:dyDescent="0.2">
      <c r="A3640" s="21"/>
      <c r="B3640" s="2"/>
      <c r="C3640" s="2"/>
      <c r="D3640" s="2"/>
    </row>
    <row r="3641" spans="1:4" ht="12.75" customHeight="1" x14ac:dyDescent="0.2">
      <c r="A3641" s="21"/>
      <c r="B3641" s="2"/>
      <c r="C3641" s="2"/>
      <c r="D3641" s="2"/>
    </row>
    <row r="3642" spans="1:4" ht="12.75" customHeight="1" x14ac:dyDescent="0.2">
      <c r="A3642" s="21"/>
      <c r="B3642" s="2"/>
      <c r="C3642" s="2"/>
      <c r="D3642" s="2"/>
    </row>
    <row r="3643" spans="1:4" ht="12.75" customHeight="1" x14ac:dyDescent="0.2">
      <c r="A3643" s="5"/>
      <c r="B3643" s="2"/>
      <c r="C3643" s="2"/>
      <c r="D3643" s="2"/>
    </row>
    <row r="3644" spans="1:4" ht="12.75" customHeight="1" x14ac:dyDescent="0.2">
      <c r="A3644" s="22" t="str">
        <f>HYPERLINK("javascript:void(0)","parszi illanat")</f>
        <v>parszi illanat</v>
      </c>
      <c r="B3644" s="21"/>
      <c r="C3644" s="21"/>
      <c r="D3644" s="21"/>
    </row>
    <row r="3645" spans="1:4" ht="12.75" customHeight="1" x14ac:dyDescent="0.2">
      <c r="A3645" s="20"/>
      <c r="B3645" s="2"/>
      <c r="C3645" s="2"/>
      <c r="D3645" s="2"/>
    </row>
    <row r="3646" spans="1:4" ht="12.75" customHeight="1" x14ac:dyDescent="0.2">
      <c r="A3646" s="21"/>
      <c r="B3646" s="3" t="s">
        <v>0</v>
      </c>
      <c r="C3646" s="20" t="s">
        <v>709</v>
      </c>
      <c r="D3646" s="21"/>
    </row>
    <row r="3647" spans="1:4" ht="12.75" customHeight="1" x14ac:dyDescent="0.2">
      <c r="A3647" s="21"/>
      <c r="B3647" s="3" t="s">
        <v>2</v>
      </c>
      <c r="C3647" s="20" t="s">
        <v>1839</v>
      </c>
      <c r="D3647" s="21"/>
    </row>
    <row r="3648" spans="1:4" ht="12.75" customHeight="1" x14ac:dyDescent="0.2">
      <c r="A3648" s="21"/>
      <c r="B3648" s="3" t="s">
        <v>1840</v>
      </c>
      <c r="C3648" s="20" t="s">
        <v>2091</v>
      </c>
      <c r="D3648" s="21"/>
    </row>
    <row r="3649" spans="1:4" ht="12.75" customHeight="1" x14ac:dyDescent="0.2">
      <c r="A3649" s="21"/>
      <c r="B3649" s="3" t="s">
        <v>9</v>
      </c>
      <c r="C3649" s="20" t="s">
        <v>1559</v>
      </c>
      <c r="D3649" s="21"/>
    </row>
    <row r="3650" spans="1:4" ht="12.75" customHeight="1" x14ac:dyDescent="0.2">
      <c r="A3650" s="21"/>
      <c r="B3650" s="3" t="s">
        <v>11</v>
      </c>
      <c r="C3650" s="20" t="s">
        <v>1090</v>
      </c>
      <c r="D3650" s="21"/>
    </row>
    <row r="3651" spans="1:4" ht="12.75" customHeight="1" x14ac:dyDescent="0.2">
      <c r="A3651" s="21"/>
      <c r="B3651" s="3" t="s">
        <v>16</v>
      </c>
      <c r="C3651" s="20"/>
      <c r="D3651" s="21"/>
    </row>
    <row r="3652" spans="1:4" ht="12.75" customHeight="1" x14ac:dyDescent="0.2">
      <c r="A3652" s="21"/>
      <c r="B3652" s="3" t="s">
        <v>17</v>
      </c>
      <c r="C3652" s="20" t="s">
        <v>19</v>
      </c>
      <c r="D3652" s="21"/>
    </row>
    <row r="3653" spans="1:4" ht="12.75" customHeight="1" x14ac:dyDescent="0.2">
      <c r="A3653" s="21"/>
      <c r="B3653" s="20" t="s">
        <v>18</v>
      </c>
      <c r="C3653" s="4" t="s">
        <v>44</v>
      </c>
      <c r="D3653" s="6" t="str">
        <f>HYPERLINK("javascript:void(0)","szivárvány pajzs")</f>
        <v>szivárvány pajzs</v>
      </c>
    </row>
    <row r="3654" spans="1:4" ht="12.75" customHeight="1" x14ac:dyDescent="0.2">
      <c r="A3654" s="21"/>
      <c r="B3654" s="21"/>
      <c r="C3654" s="4" t="s">
        <v>117</v>
      </c>
      <c r="D3654" s="6" t="str">
        <f>HYPERLINK("javascript:void(0)","fókaprém")</f>
        <v>fókaprém</v>
      </c>
    </row>
    <row r="3655" spans="1:4" ht="12.75" customHeight="1" x14ac:dyDescent="0.2">
      <c r="A3655" s="21"/>
      <c r="B3655" s="21"/>
      <c r="C3655" s="4" t="s">
        <v>98</v>
      </c>
      <c r="D3655" s="6" t="str">
        <f>HYPERLINK("javascript:void(0)","negatívum")</f>
        <v>negatívum</v>
      </c>
    </row>
    <row r="3656" spans="1:4" ht="12.75" customHeight="1" x14ac:dyDescent="0.2">
      <c r="A3656" s="21"/>
      <c r="B3656" s="2"/>
      <c r="C3656" s="2"/>
      <c r="D3656" s="2"/>
    </row>
    <row r="3657" spans="1:4" ht="12.75" customHeight="1" x14ac:dyDescent="0.2">
      <c r="A3657" s="21"/>
      <c r="B3657" s="2"/>
      <c r="C3657" s="2"/>
      <c r="D3657" s="2"/>
    </row>
    <row r="3658" spans="1:4" ht="12.75" customHeight="1" x14ac:dyDescent="0.2">
      <c r="A3658" s="21"/>
      <c r="B3658" s="2"/>
      <c r="C3658" s="2"/>
      <c r="D3658" s="2"/>
    </row>
    <row r="3659" spans="1:4" ht="12.75" customHeight="1" x14ac:dyDescent="0.2">
      <c r="A3659" s="21"/>
      <c r="B3659" s="2"/>
      <c r="C3659" s="2"/>
      <c r="D3659" s="2"/>
    </row>
    <row r="3660" spans="1:4" ht="12.75" customHeight="1" x14ac:dyDescent="0.2">
      <c r="A3660" s="5"/>
      <c r="B3660" s="2"/>
      <c r="C3660" s="2"/>
      <c r="D3660" s="2"/>
    </row>
    <row r="3661" spans="1:4" ht="12.75" customHeight="1" x14ac:dyDescent="0.2">
      <c r="A3661" s="22" t="str">
        <f>HYPERLINK("javascript:void(0)","szivárvány testpajzs")</f>
        <v>szivárvány testpajzs</v>
      </c>
      <c r="B3661" s="21"/>
      <c r="C3661" s="21"/>
      <c r="D3661" s="21"/>
    </row>
    <row r="3662" spans="1:4" ht="12.75" customHeight="1" x14ac:dyDescent="0.2">
      <c r="A3662" s="20"/>
      <c r="B3662" s="2"/>
      <c r="C3662" s="2"/>
      <c r="D3662" s="2"/>
    </row>
    <row r="3663" spans="1:4" ht="12.75" customHeight="1" x14ac:dyDescent="0.2">
      <c r="A3663" s="21"/>
      <c r="B3663" s="3" t="s">
        <v>0</v>
      </c>
      <c r="C3663" s="20" t="s">
        <v>719</v>
      </c>
      <c r="D3663" s="21"/>
    </row>
    <row r="3664" spans="1:4" ht="12.75" customHeight="1" x14ac:dyDescent="0.2">
      <c r="A3664" s="21"/>
      <c r="B3664" s="3" t="s">
        <v>2</v>
      </c>
      <c r="C3664" s="20" t="s">
        <v>1839</v>
      </c>
      <c r="D3664" s="21"/>
    </row>
    <row r="3665" spans="1:4" ht="12.75" customHeight="1" x14ac:dyDescent="0.2">
      <c r="A3665" s="21"/>
      <c r="B3665" s="3" t="s">
        <v>1840</v>
      </c>
      <c r="C3665" s="20" t="s">
        <v>1798</v>
      </c>
      <c r="D3665" s="21"/>
    </row>
    <row r="3666" spans="1:4" ht="12.75" customHeight="1" x14ac:dyDescent="0.2">
      <c r="A3666" s="21"/>
      <c r="B3666" s="3" t="s">
        <v>9</v>
      </c>
      <c r="C3666" s="20" t="s">
        <v>262</v>
      </c>
      <c r="D3666" s="21"/>
    </row>
    <row r="3667" spans="1:4" ht="12.75" customHeight="1" x14ac:dyDescent="0.2">
      <c r="A3667" s="21"/>
      <c r="B3667" s="3" t="s">
        <v>11</v>
      </c>
      <c r="C3667" s="20" t="s">
        <v>1071</v>
      </c>
      <c r="D3667" s="21"/>
    </row>
    <row r="3668" spans="1:4" ht="12.75" customHeight="1" x14ac:dyDescent="0.2">
      <c r="A3668" s="21"/>
      <c r="B3668" s="3" t="s">
        <v>16</v>
      </c>
      <c r="C3668" s="20"/>
      <c r="D3668" s="21"/>
    </row>
    <row r="3669" spans="1:4" ht="12.75" customHeight="1" x14ac:dyDescent="0.2">
      <c r="A3669" s="21"/>
      <c r="B3669" s="3" t="s">
        <v>17</v>
      </c>
      <c r="C3669" s="20" t="s">
        <v>19</v>
      </c>
      <c r="D3669" s="21"/>
    </row>
    <row r="3670" spans="1:4" ht="25.5" customHeight="1" x14ac:dyDescent="0.2">
      <c r="A3670" s="21"/>
      <c r="B3670" s="20" t="s">
        <v>18</v>
      </c>
      <c r="C3670" s="4" t="s">
        <v>44</v>
      </c>
      <c r="D3670" s="6" t="str">
        <f>HYPERLINK("javascript:void(0)","harmatacél testpajzs")</f>
        <v>harmatacél testpajzs</v>
      </c>
    </row>
    <row r="3671" spans="1:4" ht="12.75" customHeight="1" x14ac:dyDescent="0.2">
      <c r="A3671" s="21"/>
      <c r="B3671" s="21"/>
      <c r="C3671" s="4" t="s">
        <v>67</v>
      </c>
      <c r="D3671" s="6" t="str">
        <f>HYPERLINK("javascript:void(0)","szivárványszív")</f>
        <v>szivárványszív</v>
      </c>
    </row>
    <row r="3672" spans="1:4" ht="12.75" customHeight="1" x14ac:dyDescent="0.2">
      <c r="A3672" s="21"/>
      <c r="B3672" s="21"/>
      <c r="C3672" s="4" t="s">
        <v>68</v>
      </c>
      <c r="D3672" s="6" t="str">
        <f>HYPERLINK("javascript:void(0)","hőgolyó")</f>
        <v>hőgolyó</v>
      </c>
    </row>
    <row r="3673" spans="1:4" ht="12.75" customHeight="1" x14ac:dyDescent="0.2">
      <c r="A3673" s="21"/>
      <c r="B3673" s="2"/>
      <c r="C3673" s="2"/>
      <c r="D3673" s="2"/>
    </row>
    <row r="3674" spans="1:4" ht="12.75" customHeight="1" x14ac:dyDescent="0.2">
      <c r="A3674" s="21"/>
      <c r="B3674" s="2"/>
      <c r="C3674" s="2"/>
      <c r="D3674" s="2"/>
    </row>
    <row r="3675" spans="1:4" ht="12.75" customHeight="1" x14ac:dyDescent="0.2">
      <c r="A3675" s="21"/>
      <c r="B3675" s="2"/>
      <c r="C3675" s="2"/>
      <c r="D3675" s="2"/>
    </row>
    <row r="3676" spans="1:4" ht="12.75" customHeight="1" x14ac:dyDescent="0.2">
      <c r="A3676" s="21"/>
      <c r="B3676" s="2"/>
      <c r="C3676" s="2"/>
      <c r="D3676" s="2"/>
    </row>
    <row r="3677" spans="1:4" ht="12.75" customHeight="1" x14ac:dyDescent="0.2">
      <c r="A3677" s="5"/>
      <c r="B3677" s="2"/>
      <c r="C3677" s="2"/>
      <c r="D3677" s="2"/>
    </row>
    <row r="3678" spans="1:4" ht="12.75" customHeight="1" x14ac:dyDescent="0.2">
      <c r="A3678" s="22" t="str">
        <f>HYPERLINK("javascript:void(0)","helioacél illanat")</f>
        <v>helioacél illanat</v>
      </c>
      <c r="B3678" s="21"/>
      <c r="C3678" s="21"/>
      <c r="D3678" s="21"/>
    </row>
    <row r="3679" spans="1:4" ht="12.75" customHeight="1" x14ac:dyDescent="0.2">
      <c r="A3679" s="20"/>
      <c r="B3679" s="2"/>
      <c r="C3679" s="2"/>
      <c r="D3679" s="2"/>
    </row>
    <row r="3680" spans="1:4" ht="12.75" customHeight="1" x14ac:dyDescent="0.2">
      <c r="A3680" s="21"/>
      <c r="B3680" s="3" t="s">
        <v>0</v>
      </c>
      <c r="C3680" s="20" t="s">
        <v>719</v>
      </c>
      <c r="D3680" s="21"/>
    </row>
    <row r="3681" spans="1:4" ht="12.75" customHeight="1" x14ac:dyDescent="0.2">
      <c r="A3681" s="21"/>
      <c r="B3681" s="3" t="s">
        <v>2</v>
      </c>
      <c r="C3681" s="20" t="s">
        <v>1839</v>
      </c>
      <c r="D3681" s="21"/>
    </row>
    <row r="3682" spans="1:4" ht="12.75" customHeight="1" x14ac:dyDescent="0.2">
      <c r="A3682" s="21"/>
      <c r="B3682" s="3" t="s">
        <v>1840</v>
      </c>
      <c r="C3682" s="20" t="s">
        <v>1798</v>
      </c>
      <c r="D3682" s="21"/>
    </row>
    <row r="3683" spans="1:4" ht="12.75" customHeight="1" x14ac:dyDescent="0.2">
      <c r="A3683" s="21"/>
      <c r="B3683" s="3" t="s">
        <v>9</v>
      </c>
      <c r="C3683" s="20" t="s">
        <v>820</v>
      </c>
      <c r="D3683" s="21"/>
    </row>
    <row r="3684" spans="1:4" ht="12.75" customHeight="1" x14ac:dyDescent="0.2">
      <c r="A3684" s="21"/>
      <c r="B3684" s="3" t="s">
        <v>11</v>
      </c>
      <c r="C3684" s="20" t="s">
        <v>1105</v>
      </c>
      <c r="D3684" s="21"/>
    </row>
    <row r="3685" spans="1:4" ht="12.75" customHeight="1" x14ac:dyDescent="0.2">
      <c r="A3685" s="21"/>
      <c r="B3685" s="3" t="s">
        <v>16</v>
      </c>
      <c r="C3685" s="20"/>
      <c r="D3685" s="21"/>
    </row>
    <row r="3686" spans="1:4" ht="12.75" customHeight="1" x14ac:dyDescent="0.2">
      <c r="A3686" s="21"/>
      <c r="B3686" s="3" t="s">
        <v>17</v>
      </c>
      <c r="C3686" s="20" t="s">
        <v>19</v>
      </c>
      <c r="D3686" s="21"/>
    </row>
    <row r="3687" spans="1:4" ht="12.75" customHeight="1" x14ac:dyDescent="0.2">
      <c r="A3687" s="21"/>
      <c r="B3687" s="20" t="s">
        <v>18</v>
      </c>
      <c r="C3687" s="4" t="s">
        <v>44</v>
      </c>
      <c r="D3687" s="6" t="str">
        <f>HYPERLINK("javascript:void(0)","szivárvány testpajzs")</f>
        <v>szivárvány testpajzs</v>
      </c>
    </row>
    <row r="3688" spans="1:4" ht="12.75" customHeight="1" x14ac:dyDescent="0.2">
      <c r="A3688" s="21"/>
      <c r="B3688" s="21"/>
      <c r="C3688" s="4" t="s">
        <v>117</v>
      </c>
      <c r="D3688" s="6" t="str">
        <f>HYPERLINK("javascript:void(0)","teleportige")</f>
        <v>teleportige</v>
      </c>
    </row>
    <row r="3689" spans="1:4" ht="12.75" customHeight="1" x14ac:dyDescent="0.2">
      <c r="A3689" s="21"/>
      <c r="B3689" s="21"/>
      <c r="C3689" s="4" t="s">
        <v>98</v>
      </c>
      <c r="D3689" s="6" t="str">
        <f>HYPERLINK("javascript:void(0)","hypnogén")</f>
        <v>hypnogén</v>
      </c>
    </row>
    <row r="3690" spans="1:4" ht="12.75" customHeight="1" x14ac:dyDescent="0.2">
      <c r="A3690" s="21"/>
      <c r="B3690" s="2"/>
      <c r="C3690" s="2"/>
      <c r="D3690" s="2"/>
    </row>
    <row r="3691" spans="1:4" ht="12.75" customHeight="1" x14ac:dyDescent="0.2">
      <c r="A3691" s="21"/>
      <c r="B3691" s="2"/>
      <c r="C3691" s="2"/>
      <c r="D3691" s="2"/>
    </row>
    <row r="3692" spans="1:4" ht="12.75" customHeight="1" x14ac:dyDescent="0.2">
      <c r="A3692" s="21"/>
      <c r="B3692" s="2"/>
      <c r="C3692" s="2"/>
      <c r="D3692" s="2"/>
    </row>
    <row r="3693" spans="1:4" ht="12.75" customHeight="1" x14ac:dyDescent="0.2">
      <c r="A3693" s="21"/>
      <c r="B3693" s="2"/>
      <c r="C3693" s="2"/>
      <c r="D3693" s="2"/>
    </row>
    <row r="3694" spans="1:4" ht="12.75" customHeight="1" x14ac:dyDescent="0.2">
      <c r="A3694" s="5"/>
      <c r="B3694" s="2"/>
      <c r="C3694" s="2"/>
      <c r="D3694" s="2"/>
    </row>
    <row r="3695" spans="1:4" ht="12.75" customHeight="1" x14ac:dyDescent="0.2">
      <c r="A3695" s="22" t="str">
        <f>HYPERLINK("javascript:void(0)","csillámló sárkánypajzs")</f>
        <v>csillámló sárkánypajzs</v>
      </c>
      <c r="B3695" s="21"/>
      <c r="C3695" s="21"/>
      <c r="D3695" s="21"/>
    </row>
    <row r="3696" spans="1:4" ht="12.75" customHeight="1" x14ac:dyDescent="0.2">
      <c r="A3696" s="20"/>
      <c r="B3696" s="2"/>
      <c r="C3696" s="2"/>
      <c r="D3696" s="2"/>
    </row>
    <row r="3697" spans="1:4" ht="12.75" customHeight="1" x14ac:dyDescent="0.2">
      <c r="A3697" s="21"/>
      <c r="B3697" s="3" t="s">
        <v>0</v>
      </c>
      <c r="C3697" s="20" t="s">
        <v>719</v>
      </c>
      <c r="D3697" s="21"/>
    </row>
    <row r="3698" spans="1:4" ht="12.75" customHeight="1" x14ac:dyDescent="0.2">
      <c r="A3698" s="21"/>
      <c r="B3698" s="3" t="s">
        <v>2</v>
      </c>
      <c r="C3698" s="20" t="s">
        <v>1839</v>
      </c>
      <c r="D3698" s="21"/>
    </row>
    <row r="3699" spans="1:4" ht="12.75" customHeight="1" x14ac:dyDescent="0.2">
      <c r="A3699" s="21"/>
      <c r="B3699" s="3" t="s">
        <v>1840</v>
      </c>
      <c r="C3699" s="20" t="s">
        <v>1782</v>
      </c>
      <c r="D3699" s="21"/>
    </row>
    <row r="3700" spans="1:4" ht="12.75" customHeight="1" x14ac:dyDescent="0.2">
      <c r="A3700" s="21"/>
      <c r="B3700" s="3" t="s">
        <v>9</v>
      </c>
      <c r="C3700" s="20" t="s">
        <v>2237</v>
      </c>
      <c r="D3700" s="21"/>
    </row>
    <row r="3701" spans="1:4" ht="12.75" customHeight="1" x14ac:dyDescent="0.2">
      <c r="A3701" s="21"/>
      <c r="B3701" s="3" t="s">
        <v>11</v>
      </c>
      <c r="C3701" s="20" t="s">
        <v>1071</v>
      </c>
      <c r="D3701" s="21"/>
    </row>
    <row r="3702" spans="1:4" ht="12.75" customHeight="1" x14ac:dyDescent="0.2">
      <c r="A3702" s="21"/>
      <c r="B3702" s="3" t="s">
        <v>16</v>
      </c>
      <c r="C3702" s="20"/>
      <c r="D3702" s="21"/>
    </row>
    <row r="3703" spans="1:4" ht="12.75" customHeight="1" x14ac:dyDescent="0.2">
      <c r="A3703" s="21"/>
      <c r="B3703" s="3" t="s">
        <v>17</v>
      </c>
      <c r="C3703" s="20" t="s">
        <v>19</v>
      </c>
      <c r="D3703" s="21"/>
    </row>
    <row r="3704" spans="1:4" ht="12.75" customHeight="1" x14ac:dyDescent="0.2">
      <c r="A3704" s="21"/>
      <c r="B3704" s="20" t="s">
        <v>18</v>
      </c>
      <c r="C3704" s="4" t="s">
        <v>57</v>
      </c>
      <c r="D3704" s="6" t="str">
        <f>HYPERLINK("javascript:void(0)","csillámgöb")</f>
        <v>csillámgöb</v>
      </c>
    </row>
    <row r="3705" spans="1:4" ht="25.5" customHeight="1" x14ac:dyDescent="0.2">
      <c r="A3705" s="21"/>
      <c r="B3705" s="21"/>
      <c r="C3705" s="4" t="s">
        <v>44</v>
      </c>
      <c r="D3705" s="6" t="str">
        <f>HYPERLINK("javascript:void(0)","csillámló démonpajzs")</f>
        <v>csillámló démonpajzs</v>
      </c>
    </row>
    <row r="3706" spans="1:4" ht="12.75" customHeight="1" x14ac:dyDescent="0.2">
      <c r="A3706" s="21"/>
      <c r="B3706" s="21"/>
      <c r="C3706" s="4" t="s">
        <v>44</v>
      </c>
      <c r="D3706" s="6" t="str">
        <f>HYPERLINK("javascript:void(0)","gyíkacél testpajzs")</f>
        <v>gyíkacél testpajzs</v>
      </c>
    </row>
    <row r="3707" spans="1:4" ht="12.75" customHeight="1" x14ac:dyDescent="0.2">
      <c r="A3707" s="21"/>
      <c r="B3707" s="2"/>
      <c r="C3707" s="2"/>
      <c r="D3707" s="2"/>
    </row>
    <row r="3708" spans="1:4" ht="12.75" customHeight="1" x14ac:dyDescent="0.2">
      <c r="A3708" s="21"/>
      <c r="B3708" s="2"/>
      <c r="C3708" s="2"/>
      <c r="D3708" s="2"/>
    </row>
    <row r="3709" spans="1:4" ht="12.75" customHeight="1" x14ac:dyDescent="0.2">
      <c r="A3709" s="21"/>
      <c r="B3709" s="2"/>
      <c r="C3709" s="2"/>
      <c r="D3709" s="2"/>
    </row>
    <row r="3710" spans="1:4" ht="12.75" customHeight="1" x14ac:dyDescent="0.2">
      <c r="A3710" s="21"/>
      <c r="B3710" s="2"/>
      <c r="C3710" s="2"/>
      <c r="D3710" s="2"/>
    </row>
    <row r="3711" spans="1:4" ht="12.75" customHeight="1" x14ac:dyDescent="0.2">
      <c r="A3711" s="5"/>
      <c r="B3711" s="2"/>
      <c r="C3711" s="2"/>
      <c r="D3711" s="2"/>
    </row>
    <row r="3712" spans="1:4" ht="12.75" customHeight="1" x14ac:dyDescent="0.2">
      <c r="A3712" s="22" t="str">
        <f>HYPERLINK("javascript:void(0)","hypnoacél pajzs")</f>
        <v>hypnoacél pajzs</v>
      </c>
      <c r="B3712" s="21"/>
      <c r="C3712" s="21"/>
      <c r="D3712" s="21"/>
    </row>
    <row r="3713" spans="1:4" ht="12.75" customHeight="1" x14ac:dyDescent="0.2">
      <c r="A3713" s="20"/>
      <c r="B3713" s="2"/>
      <c r="C3713" s="2"/>
      <c r="D3713" s="2"/>
    </row>
    <row r="3714" spans="1:4" ht="12.75" customHeight="1" x14ac:dyDescent="0.2">
      <c r="A3714" s="21"/>
      <c r="B3714" s="3" t="s">
        <v>0</v>
      </c>
      <c r="C3714" s="20" t="s">
        <v>728</v>
      </c>
      <c r="D3714" s="21"/>
    </row>
    <row r="3715" spans="1:4" ht="12.75" customHeight="1" x14ac:dyDescent="0.2">
      <c r="A3715" s="21"/>
      <c r="B3715" s="3" t="s">
        <v>2</v>
      </c>
      <c r="C3715" s="20" t="s">
        <v>1839</v>
      </c>
      <c r="D3715" s="21"/>
    </row>
    <row r="3716" spans="1:4" ht="12.75" customHeight="1" x14ac:dyDescent="0.2">
      <c r="A3716" s="21"/>
      <c r="B3716" s="3" t="s">
        <v>1840</v>
      </c>
      <c r="C3716" s="20" t="s">
        <v>166</v>
      </c>
      <c r="D3716" s="21"/>
    </row>
    <row r="3717" spans="1:4" ht="12.75" customHeight="1" x14ac:dyDescent="0.2">
      <c r="A3717" s="21"/>
      <c r="B3717" s="3" t="s">
        <v>9</v>
      </c>
      <c r="C3717" s="20" t="s">
        <v>377</v>
      </c>
      <c r="D3717" s="21"/>
    </row>
    <row r="3718" spans="1:4" ht="12.75" customHeight="1" x14ac:dyDescent="0.2">
      <c r="A3718" s="21"/>
      <c r="B3718" s="3" t="s">
        <v>11</v>
      </c>
      <c r="C3718" s="20" t="s">
        <v>1090</v>
      </c>
      <c r="D3718" s="21"/>
    </row>
    <row r="3719" spans="1:4" ht="12.75" customHeight="1" x14ac:dyDescent="0.2">
      <c r="A3719" s="21"/>
      <c r="B3719" s="3" t="s">
        <v>16</v>
      </c>
      <c r="C3719" s="20"/>
      <c r="D3719" s="21"/>
    </row>
    <row r="3720" spans="1:4" ht="12.75" customHeight="1" x14ac:dyDescent="0.2">
      <c r="A3720" s="21"/>
      <c r="B3720" s="3" t="s">
        <v>17</v>
      </c>
      <c r="C3720" s="20" t="s">
        <v>19</v>
      </c>
      <c r="D3720" s="21"/>
    </row>
    <row r="3721" spans="1:4" ht="12.75" customHeight="1" x14ac:dyDescent="0.2">
      <c r="A3721" s="21"/>
      <c r="B3721" s="20" t="s">
        <v>18</v>
      </c>
      <c r="C3721" s="4" t="s">
        <v>44</v>
      </c>
      <c r="D3721" s="6" t="str">
        <f>HYPERLINK("javascript:void(0)","szivárvány pajzs")</f>
        <v>szivárvány pajzs</v>
      </c>
    </row>
    <row r="3722" spans="1:4" ht="12.75" customHeight="1" x14ac:dyDescent="0.2">
      <c r="A3722" s="21"/>
      <c r="B3722" s="21"/>
      <c r="C3722" s="4" t="s">
        <v>67</v>
      </c>
      <c r="D3722" s="6" t="str">
        <f>HYPERLINK("javascript:void(0)","hypnogén")</f>
        <v>hypnogén</v>
      </c>
    </row>
    <row r="3723" spans="1:4" ht="12.75" customHeight="1" x14ac:dyDescent="0.2">
      <c r="A3723" s="21"/>
      <c r="B3723" s="21"/>
      <c r="C3723" s="4" t="s">
        <v>77</v>
      </c>
      <c r="D3723" s="6" t="str">
        <f>HYPERLINK("javascript:void(0)","szabo-penge")</f>
        <v>szabo-penge</v>
      </c>
    </row>
    <row r="3724" spans="1:4" ht="12.75" customHeight="1" x14ac:dyDescent="0.2">
      <c r="A3724" s="21"/>
      <c r="B3724" s="2"/>
      <c r="C3724" s="2"/>
      <c r="D3724" s="2"/>
    </row>
    <row r="3725" spans="1:4" ht="12.75" customHeight="1" x14ac:dyDescent="0.2">
      <c r="A3725" s="21"/>
      <c r="B3725" s="2"/>
      <c r="C3725" s="2"/>
      <c r="D3725" s="2"/>
    </row>
    <row r="3726" spans="1:4" ht="12.75" customHeight="1" x14ac:dyDescent="0.2">
      <c r="A3726" s="21"/>
      <c r="B3726" s="2"/>
      <c r="C3726" s="2"/>
      <c r="D3726" s="2"/>
    </row>
    <row r="3727" spans="1:4" ht="12.75" customHeight="1" x14ac:dyDescent="0.2">
      <c r="A3727" s="21"/>
      <c r="B3727" s="2"/>
      <c r="C3727" s="2"/>
      <c r="D3727" s="2"/>
    </row>
    <row r="3728" spans="1:4" ht="12.75" customHeight="1" x14ac:dyDescent="0.2">
      <c r="A3728" s="5"/>
      <c r="B3728" s="2"/>
      <c r="C3728" s="2"/>
      <c r="D3728" s="2"/>
    </row>
    <row r="3729" spans="1:4" ht="12.75" customHeight="1" x14ac:dyDescent="0.2">
      <c r="A3729" s="22" t="str">
        <f>HYPERLINK("javascript:void(0)","rimföldi illanat")</f>
        <v>rimföldi illanat</v>
      </c>
      <c r="B3729" s="21"/>
      <c r="C3729" s="21"/>
      <c r="D3729" s="21"/>
    </row>
    <row r="3730" spans="1:4" ht="12.75" customHeight="1" x14ac:dyDescent="0.2">
      <c r="A3730" s="20"/>
      <c r="B3730" s="2"/>
      <c r="C3730" s="2"/>
      <c r="D3730" s="2"/>
    </row>
    <row r="3731" spans="1:4" ht="12.75" customHeight="1" x14ac:dyDescent="0.2">
      <c r="A3731" s="21"/>
      <c r="B3731" s="3" t="s">
        <v>0</v>
      </c>
      <c r="C3731" s="20" t="s">
        <v>728</v>
      </c>
      <c r="D3731" s="21"/>
    </row>
    <row r="3732" spans="1:4" ht="12.75" customHeight="1" x14ac:dyDescent="0.2">
      <c r="A3732" s="21"/>
      <c r="B3732" s="3" t="s">
        <v>2</v>
      </c>
      <c r="C3732" s="20" t="s">
        <v>1839</v>
      </c>
      <c r="D3732" s="21"/>
    </row>
    <row r="3733" spans="1:4" ht="12.75" customHeight="1" x14ac:dyDescent="0.2">
      <c r="A3733" s="21"/>
      <c r="B3733" s="3" t="s">
        <v>1840</v>
      </c>
      <c r="C3733" s="20" t="s">
        <v>166</v>
      </c>
      <c r="D3733" s="21"/>
    </row>
    <row r="3734" spans="1:4" ht="12.75" customHeight="1" x14ac:dyDescent="0.2">
      <c r="A3734" s="21"/>
      <c r="B3734" s="3" t="s">
        <v>9</v>
      </c>
      <c r="C3734" s="20" t="s">
        <v>762</v>
      </c>
      <c r="D3734" s="21"/>
    </row>
    <row r="3735" spans="1:4" ht="12.75" customHeight="1" x14ac:dyDescent="0.2">
      <c r="A3735" s="21"/>
      <c r="B3735" s="3" t="s">
        <v>11</v>
      </c>
      <c r="C3735" s="20" t="s">
        <v>1125</v>
      </c>
      <c r="D3735" s="21"/>
    </row>
    <row r="3736" spans="1:4" ht="12.75" customHeight="1" x14ac:dyDescent="0.2">
      <c r="A3736" s="21"/>
      <c r="B3736" s="3" t="s">
        <v>16</v>
      </c>
      <c r="C3736" s="20"/>
      <c r="D3736" s="21"/>
    </row>
    <row r="3737" spans="1:4" ht="12.75" customHeight="1" x14ac:dyDescent="0.2">
      <c r="A3737" s="21"/>
      <c r="B3737" s="3" t="s">
        <v>17</v>
      </c>
      <c r="C3737" s="20" t="s">
        <v>19</v>
      </c>
      <c r="D3737" s="21"/>
    </row>
    <row r="3738" spans="1:4" ht="12.75" customHeight="1" x14ac:dyDescent="0.2">
      <c r="A3738" s="21"/>
      <c r="B3738" s="20" t="s">
        <v>18</v>
      </c>
      <c r="C3738" s="4" t="s">
        <v>44</v>
      </c>
      <c r="D3738" s="6" t="str">
        <f>HYPERLINK("javascript:void(0)","hypnoacél pajzs")</f>
        <v>hypnoacél pajzs</v>
      </c>
    </row>
    <row r="3739" spans="1:4" ht="12.75" customHeight="1" x14ac:dyDescent="0.2">
      <c r="A3739" s="21"/>
      <c r="B3739" s="21"/>
      <c r="C3739" s="4" t="s">
        <v>290</v>
      </c>
      <c r="D3739" s="6" t="str">
        <f>HYPERLINK("javascript:void(0)","bázispár")</f>
        <v>bázispár</v>
      </c>
    </row>
    <row r="3740" spans="1:4" ht="12.75" customHeight="1" x14ac:dyDescent="0.2">
      <c r="A3740" s="21"/>
      <c r="B3740" s="21"/>
      <c r="C3740" s="4" t="s">
        <v>98</v>
      </c>
      <c r="D3740" s="6" t="str">
        <f>HYPERLINK("javascript:void(0)","hőgolyó")</f>
        <v>hőgolyó</v>
      </c>
    </row>
    <row r="3741" spans="1:4" ht="12.75" customHeight="1" x14ac:dyDescent="0.2">
      <c r="A3741" s="21"/>
      <c r="B3741" s="2"/>
      <c r="C3741" s="2"/>
      <c r="D3741" s="2"/>
    </row>
    <row r="3742" spans="1:4" ht="12.75" customHeight="1" x14ac:dyDescent="0.2">
      <c r="A3742" s="21"/>
      <c r="B3742" s="2"/>
      <c r="C3742" s="2"/>
      <c r="D3742" s="2"/>
    </row>
    <row r="3743" spans="1:4" ht="12.75" customHeight="1" x14ac:dyDescent="0.2">
      <c r="A3743" s="21"/>
      <c r="B3743" s="2"/>
      <c r="C3743" s="2"/>
      <c r="D3743" s="2"/>
    </row>
    <row r="3744" spans="1:4" ht="12.75" customHeight="1" x14ac:dyDescent="0.2">
      <c r="A3744" s="21"/>
      <c r="B3744" s="2"/>
      <c r="C3744" s="2"/>
      <c r="D3744" s="2"/>
    </row>
    <row r="3745" spans="1:4" ht="12.75" customHeight="1" x14ac:dyDescent="0.2">
      <c r="A3745" s="5"/>
      <c r="B3745" s="2"/>
      <c r="C3745" s="2"/>
      <c r="D3745" s="2"/>
    </row>
    <row r="3746" spans="1:4" ht="12.75" customHeight="1" x14ac:dyDescent="0.2">
      <c r="A3746" s="22" t="str">
        <f>HYPERLINK("javascript:void(0)","hypnoacél testpajzs")</f>
        <v>hypnoacél testpajzs</v>
      </c>
      <c r="B3746" s="21"/>
      <c r="C3746" s="21"/>
      <c r="D3746" s="21"/>
    </row>
    <row r="3747" spans="1:4" ht="12.75" customHeight="1" x14ac:dyDescent="0.2">
      <c r="A3747" s="20"/>
      <c r="B3747" s="2"/>
      <c r="C3747" s="2"/>
      <c r="D3747" s="2"/>
    </row>
    <row r="3748" spans="1:4" ht="12.75" customHeight="1" x14ac:dyDescent="0.2">
      <c r="A3748" s="21"/>
      <c r="B3748" s="3" t="s">
        <v>0</v>
      </c>
      <c r="C3748" s="20" t="s">
        <v>78</v>
      </c>
      <c r="D3748" s="21"/>
    </row>
    <row r="3749" spans="1:4" ht="12.75" customHeight="1" x14ac:dyDescent="0.2">
      <c r="A3749" s="21"/>
      <c r="B3749" s="3" t="s">
        <v>2</v>
      </c>
      <c r="C3749" s="20" t="s">
        <v>1839</v>
      </c>
      <c r="D3749" s="21"/>
    </row>
    <row r="3750" spans="1:4" ht="12.75" customHeight="1" x14ac:dyDescent="0.2">
      <c r="A3750" s="21"/>
      <c r="B3750" s="3" t="s">
        <v>1840</v>
      </c>
      <c r="C3750" s="20" t="s">
        <v>489</v>
      </c>
      <c r="D3750" s="21"/>
    </row>
    <row r="3751" spans="1:4" ht="12.75" customHeight="1" x14ac:dyDescent="0.2">
      <c r="A3751" s="21"/>
      <c r="B3751" s="3" t="s">
        <v>9</v>
      </c>
      <c r="C3751" s="20" t="s">
        <v>549</v>
      </c>
      <c r="D3751" s="21"/>
    </row>
    <row r="3752" spans="1:4" ht="12.75" customHeight="1" x14ac:dyDescent="0.2">
      <c r="A3752" s="21"/>
      <c r="B3752" s="3" t="s">
        <v>11</v>
      </c>
      <c r="C3752" s="20" t="s">
        <v>1105</v>
      </c>
      <c r="D3752" s="21"/>
    </row>
    <row r="3753" spans="1:4" ht="12.75" customHeight="1" x14ac:dyDescent="0.2">
      <c r="A3753" s="21"/>
      <c r="B3753" s="3" t="s">
        <v>16</v>
      </c>
      <c r="C3753" s="20"/>
      <c r="D3753" s="21"/>
    </row>
    <row r="3754" spans="1:4" ht="12.75" customHeight="1" x14ac:dyDescent="0.2">
      <c r="A3754" s="21"/>
      <c r="B3754" s="3" t="s">
        <v>17</v>
      </c>
      <c r="C3754" s="20" t="s">
        <v>19</v>
      </c>
      <c r="D3754" s="21"/>
    </row>
    <row r="3755" spans="1:4" ht="12.75" customHeight="1" x14ac:dyDescent="0.2">
      <c r="A3755" s="21"/>
      <c r="B3755" s="20" t="s">
        <v>18</v>
      </c>
      <c r="C3755" s="4" t="s">
        <v>44</v>
      </c>
      <c r="D3755" s="6" t="str">
        <f>HYPERLINK("javascript:void(0)","szivárvány testpajzs")</f>
        <v>szivárvány testpajzs</v>
      </c>
    </row>
    <row r="3756" spans="1:4" ht="12.75" customHeight="1" x14ac:dyDescent="0.2">
      <c r="A3756" s="21"/>
      <c r="B3756" s="21"/>
      <c r="C3756" s="4" t="s">
        <v>139</v>
      </c>
      <c r="D3756" s="6" t="str">
        <f>HYPERLINK("javascript:void(0)","zselatin")</f>
        <v>zselatin</v>
      </c>
    </row>
    <row r="3757" spans="1:4" ht="12.75" customHeight="1" x14ac:dyDescent="0.2">
      <c r="A3757" s="21"/>
      <c r="B3757" s="21"/>
      <c r="C3757" s="4" t="s">
        <v>77</v>
      </c>
      <c r="D3757" s="6" t="str">
        <f>HYPERLINK("javascript:void(0)","hátszarv")</f>
        <v>hátszarv</v>
      </c>
    </row>
    <row r="3758" spans="1:4" ht="12.75" customHeight="1" x14ac:dyDescent="0.2">
      <c r="A3758" s="21"/>
      <c r="B3758" s="2"/>
      <c r="C3758" s="2"/>
      <c r="D3758" s="2"/>
    </row>
    <row r="3759" spans="1:4" ht="12.75" customHeight="1" x14ac:dyDescent="0.2">
      <c r="A3759" s="21"/>
      <c r="B3759" s="2"/>
      <c r="C3759" s="2"/>
      <c r="D3759" s="2"/>
    </row>
    <row r="3760" spans="1:4" ht="12.75" customHeight="1" x14ac:dyDescent="0.2">
      <c r="A3760" s="21"/>
      <c r="B3760" s="2"/>
      <c r="C3760" s="2"/>
      <c r="D3760" s="2"/>
    </row>
    <row r="3761" spans="1:4" ht="12.75" customHeight="1" x14ac:dyDescent="0.2">
      <c r="A3761" s="21"/>
      <c r="B3761" s="2"/>
      <c r="C3761" s="2"/>
      <c r="D3761" s="2"/>
    </row>
    <row r="3762" spans="1:4" ht="12.75" customHeight="1" x14ac:dyDescent="0.2">
      <c r="A3762" s="5"/>
      <c r="B3762" s="2"/>
      <c r="C3762" s="2"/>
      <c r="D3762" s="2"/>
    </row>
    <row r="3763" spans="1:4" ht="12.75" customHeight="1" x14ac:dyDescent="0.2">
      <c r="A3763" s="22" t="str">
        <f>HYPERLINK("javascript:void(0)","hypnoacél illanat")</f>
        <v>hypnoacél illanat</v>
      </c>
      <c r="B3763" s="21"/>
      <c r="C3763" s="21"/>
      <c r="D3763" s="21"/>
    </row>
    <row r="3764" spans="1:4" ht="12.75" customHeight="1" x14ac:dyDescent="0.2">
      <c r="A3764" s="20"/>
      <c r="B3764" s="2"/>
      <c r="C3764" s="2"/>
      <c r="D3764" s="2"/>
    </row>
    <row r="3765" spans="1:4" ht="12.75" customHeight="1" x14ac:dyDescent="0.2">
      <c r="A3765" s="21"/>
      <c r="B3765" s="3" t="s">
        <v>0</v>
      </c>
      <c r="C3765" s="20" t="s">
        <v>78</v>
      </c>
      <c r="D3765" s="21"/>
    </row>
    <row r="3766" spans="1:4" ht="12.75" customHeight="1" x14ac:dyDescent="0.2">
      <c r="A3766" s="21"/>
      <c r="B3766" s="3" t="s">
        <v>2</v>
      </c>
      <c r="C3766" s="20" t="s">
        <v>1839</v>
      </c>
      <c r="D3766" s="21"/>
    </row>
    <row r="3767" spans="1:4" ht="12.75" customHeight="1" x14ac:dyDescent="0.2">
      <c r="A3767" s="21"/>
      <c r="B3767" s="3" t="s">
        <v>1840</v>
      </c>
      <c r="C3767" s="20" t="s">
        <v>489</v>
      </c>
      <c r="D3767" s="21"/>
    </row>
    <row r="3768" spans="1:4" ht="12.75" customHeight="1" x14ac:dyDescent="0.2">
      <c r="A3768" s="21"/>
      <c r="B3768" s="3" t="s">
        <v>9</v>
      </c>
      <c r="C3768" s="20" t="s">
        <v>2244</v>
      </c>
      <c r="D3768" s="21"/>
    </row>
    <row r="3769" spans="1:4" ht="12.75" customHeight="1" x14ac:dyDescent="0.2">
      <c r="A3769" s="21"/>
      <c r="B3769" s="3" t="s">
        <v>11</v>
      </c>
      <c r="C3769" s="20" t="s">
        <v>1145</v>
      </c>
      <c r="D3769" s="21"/>
    </row>
    <row r="3770" spans="1:4" ht="12.75" customHeight="1" x14ac:dyDescent="0.2">
      <c r="A3770" s="21"/>
      <c r="B3770" s="3" t="s">
        <v>16</v>
      </c>
      <c r="C3770" s="20"/>
      <c r="D3770" s="21"/>
    </row>
    <row r="3771" spans="1:4" ht="12.75" customHeight="1" x14ac:dyDescent="0.2">
      <c r="A3771" s="21"/>
      <c r="B3771" s="3" t="s">
        <v>17</v>
      </c>
      <c r="C3771" s="20" t="s">
        <v>19</v>
      </c>
      <c r="D3771" s="21"/>
    </row>
    <row r="3772" spans="1:4" ht="12.75" customHeight="1" x14ac:dyDescent="0.2">
      <c r="A3772" s="21"/>
      <c r="B3772" s="20" t="s">
        <v>18</v>
      </c>
      <c r="C3772" s="4" t="s">
        <v>44</v>
      </c>
      <c r="D3772" s="6" t="str">
        <f>HYPERLINK("javascript:void(0)","hypnoacél testpajzs")</f>
        <v>hypnoacél testpajzs</v>
      </c>
    </row>
    <row r="3773" spans="1:4" ht="12.75" customHeight="1" x14ac:dyDescent="0.2">
      <c r="A3773" s="21"/>
      <c r="B3773" s="21"/>
      <c r="C3773" s="4" t="s">
        <v>382</v>
      </c>
      <c r="D3773" s="6" t="str">
        <f>HYPERLINK("javascript:void(0)","serte")</f>
        <v>serte</v>
      </c>
    </row>
    <row r="3774" spans="1:4" ht="12.75" customHeight="1" x14ac:dyDescent="0.2">
      <c r="A3774" s="21"/>
      <c r="B3774" s="21"/>
      <c r="C3774" s="4" t="s">
        <v>382</v>
      </c>
      <c r="D3774" s="6" t="str">
        <f>HYPERLINK("javascript:void(0)","éjfény")</f>
        <v>éjfény</v>
      </c>
    </row>
    <row r="3775" spans="1:4" ht="12.75" customHeight="1" x14ac:dyDescent="0.2">
      <c r="A3775" s="21"/>
      <c r="B3775" s="2"/>
      <c r="C3775" s="2"/>
      <c r="D3775" s="2"/>
    </row>
    <row r="3776" spans="1:4" ht="12.75" customHeight="1" x14ac:dyDescent="0.2">
      <c r="A3776" s="21"/>
      <c r="B3776" s="2"/>
      <c r="C3776" s="2"/>
      <c r="D3776" s="2"/>
    </row>
    <row r="3777" spans="1:4" ht="12.75" customHeight="1" x14ac:dyDescent="0.2">
      <c r="A3777" s="21"/>
      <c r="B3777" s="2"/>
      <c r="C3777" s="2"/>
      <c r="D3777" s="2"/>
    </row>
    <row r="3778" spans="1:4" ht="12.75" customHeight="1" x14ac:dyDescent="0.2">
      <c r="A3778" s="21"/>
      <c r="B3778" s="2"/>
      <c r="C3778" s="2"/>
      <c r="D3778" s="2"/>
    </row>
    <row r="3779" spans="1:4" ht="12.75" customHeight="1" x14ac:dyDescent="0.2">
      <c r="A3779" s="5"/>
      <c r="B3779" s="2"/>
      <c r="C3779" s="2"/>
      <c r="D3779" s="2"/>
    </row>
    <row r="3780" spans="1:4" ht="12.75" customHeight="1" x14ac:dyDescent="0.2">
      <c r="A3780" s="22" t="str">
        <f>HYPERLINK("javascript:void(0)","színjátszó pajzs")</f>
        <v>színjátszó pajzs</v>
      </c>
      <c r="B3780" s="21"/>
      <c r="C3780" s="21"/>
      <c r="D3780" s="21"/>
    </row>
    <row r="3781" spans="1:4" ht="12.75" customHeight="1" x14ac:dyDescent="0.2">
      <c r="A3781" s="20"/>
      <c r="B3781" s="2"/>
      <c r="C3781" s="2"/>
      <c r="D3781" s="2"/>
    </row>
    <row r="3782" spans="1:4" ht="12.75" customHeight="1" x14ac:dyDescent="0.2">
      <c r="A3782" s="21"/>
      <c r="B3782" s="3" t="s">
        <v>0</v>
      </c>
      <c r="C3782" s="20" t="s">
        <v>73</v>
      </c>
      <c r="D3782" s="21"/>
    </row>
    <row r="3783" spans="1:4" ht="12.75" customHeight="1" x14ac:dyDescent="0.2">
      <c r="A3783" s="21"/>
      <c r="B3783" s="3" t="s">
        <v>2</v>
      </c>
      <c r="C3783" s="20" t="s">
        <v>1839</v>
      </c>
      <c r="D3783" s="21"/>
    </row>
    <row r="3784" spans="1:4" ht="12.75" customHeight="1" x14ac:dyDescent="0.2">
      <c r="A3784" s="21"/>
      <c r="B3784" s="3" t="s">
        <v>1840</v>
      </c>
      <c r="C3784" s="20" t="s">
        <v>2248</v>
      </c>
      <c r="D3784" s="21"/>
    </row>
    <row r="3785" spans="1:4" ht="12.75" customHeight="1" x14ac:dyDescent="0.2">
      <c r="A3785" s="21"/>
      <c r="B3785" s="3" t="s">
        <v>9</v>
      </c>
      <c r="C3785" s="20" t="s">
        <v>249</v>
      </c>
      <c r="D3785" s="21"/>
    </row>
    <row r="3786" spans="1:4" ht="12.75" customHeight="1" x14ac:dyDescent="0.2">
      <c r="A3786" s="21"/>
      <c r="B3786" s="3" t="s">
        <v>11</v>
      </c>
      <c r="C3786" s="20" t="s">
        <v>1125</v>
      </c>
      <c r="D3786" s="21"/>
    </row>
    <row r="3787" spans="1:4" ht="12.75" customHeight="1" x14ac:dyDescent="0.2">
      <c r="A3787" s="21"/>
      <c r="B3787" s="3" t="s">
        <v>16</v>
      </c>
      <c r="C3787" s="20"/>
      <c r="D3787" s="21"/>
    </row>
    <row r="3788" spans="1:4" ht="12.75" customHeight="1" x14ac:dyDescent="0.2">
      <c r="A3788" s="21"/>
      <c r="B3788" s="3" t="s">
        <v>17</v>
      </c>
      <c r="C3788" s="20" t="s">
        <v>19</v>
      </c>
      <c r="D3788" s="21"/>
    </row>
    <row r="3789" spans="1:4" ht="12.75" customHeight="1" x14ac:dyDescent="0.2">
      <c r="A3789" s="21"/>
      <c r="B3789" s="20" t="s">
        <v>18</v>
      </c>
      <c r="C3789" s="4" t="s">
        <v>44</v>
      </c>
      <c r="D3789" s="6" t="str">
        <f>HYPERLINK("javascript:void(0)","hypnoacél pajzs")</f>
        <v>hypnoacél pajzs</v>
      </c>
    </row>
    <row r="3790" spans="1:4" ht="12.75" customHeight="1" x14ac:dyDescent="0.2">
      <c r="A3790" s="21"/>
      <c r="B3790" s="21"/>
      <c r="C3790" s="4" t="s">
        <v>77</v>
      </c>
      <c r="D3790" s="6" t="str">
        <f>HYPERLINK("javascript:void(0)","térszelet")</f>
        <v>térszelet</v>
      </c>
    </row>
    <row r="3791" spans="1:4" ht="12.75" customHeight="1" x14ac:dyDescent="0.2">
      <c r="A3791" s="21"/>
      <c r="B3791" s="21"/>
      <c r="C3791" s="4" t="s">
        <v>117</v>
      </c>
      <c r="D3791" s="6" t="str">
        <f>HYPERLINK("javascript:void(0)","szivárványszív")</f>
        <v>szivárványszív</v>
      </c>
    </row>
    <row r="3792" spans="1:4" ht="12.75" customHeight="1" x14ac:dyDescent="0.2">
      <c r="A3792" s="21"/>
      <c r="B3792" s="2"/>
      <c r="C3792" s="2"/>
      <c r="D3792" s="2"/>
    </row>
    <row r="3793" spans="1:4" ht="12.75" customHeight="1" x14ac:dyDescent="0.2">
      <c r="A3793" s="21"/>
      <c r="B3793" s="2"/>
      <c r="C3793" s="2"/>
      <c r="D3793" s="2"/>
    </row>
    <row r="3794" spans="1:4" ht="12.75" customHeight="1" x14ac:dyDescent="0.2">
      <c r="A3794" s="21"/>
      <c r="B3794" s="2"/>
      <c r="C3794" s="2"/>
      <c r="D3794" s="2"/>
    </row>
    <row r="3795" spans="1:4" ht="12.75" customHeight="1" x14ac:dyDescent="0.2">
      <c r="A3795" s="21"/>
      <c r="B3795" s="2"/>
      <c r="C3795" s="2"/>
      <c r="D3795" s="2"/>
    </row>
    <row r="3796" spans="1:4" ht="12.75" customHeight="1" x14ac:dyDescent="0.2">
      <c r="A3796" s="5"/>
      <c r="B3796" s="2"/>
      <c r="C3796" s="2"/>
      <c r="D3796" s="2"/>
    </row>
    <row r="3797" spans="1:4" ht="12.75" customHeight="1" x14ac:dyDescent="0.2">
      <c r="A3797" s="22" t="str">
        <f>HYPERLINK("javascript:void(0)","wendír illanat")</f>
        <v>wendír illanat</v>
      </c>
      <c r="B3797" s="21"/>
      <c r="C3797" s="21"/>
      <c r="D3797" s="21"/>
    </row>
    <row r="3798" spans="1:4" ht="12.75" customHeight="1" x14ac:dyDescent="0.2">
      <c r="A3798" s="20"/>
      <c r="B3798" s="2"/>
      <c r="C3798" s="2"/>
      <c r="D3798" s="2"/>
    </row>
    <row r="3799" spans="1:4" ht="12.75" customHeight="1" x14ac:dyDescent="0.2">
      <c r="A3799" s="21"/>
      <c r="B3799" s="3" t="s">
        <v>0</v>
      </c>
      <c r="C3799" s="20" t="s">
        <v>73</v>
      </c>
      <c r="D3799" s="21"/>
    </row>
    <row r="3800" spans="1:4" ht="12.75" customHeight="1" x14ac:dyDescent="0.2">
      <c r="A3800" s="21"/>
      <c r="B3800" s="3" t="s">
        <v>2</v>
      </c>
      <c r="C3800" s="20" t="s">
        <v>1839</v>
      </c>
      <c r="D3800" s="21"/>
    </row>
    <row r="3801" spans="1:4" ht="12.75" customHeight="1" x14ac:dyDescent="0.2">
      <c r="A3801" s="21"/>
      <c r="B3801" s="3" t="s">
        <v>1840</v>
      </c>
      <c r="C3801" s="20" t="s">
        <v>2248</v>
      </c>
      <c r="D3801" s="21"/>
    </row>
    <row r="3802" spans="1:4" ht="12.75" customHeight="1" x14ac:dyDescent="0.2">
      <c r="A3802" s="21"/>
      <c r="B3802" s="3" t="s">
        <v>9</v>
      </c>
      <c r="C3802" s="20" t="s">
        <v>1089</v>
      </c>
      <c r="D3802" s="21"/>
    </row>
    <row r="3803" spans="1:4" ht="12.75" customHeight="1" x14ac:dyDescent="0.2">
      <c r="A3803" s="21"/>
      <c r="B3803" s="3" t="s">
        <v>11</v>
      </c>
      <c r="C3803" s="20" t="s">
        <v>1159</v>
      </c>
      <c r="D3803" s="21"/>
    </row>
    <row r="3804" spans="1:4" ht="12.75" customHeight="1" x14ac:dyDescent="0.2">
      <c r="A3804" s="21"/>
      <c r="B3804" s="3" t="s">
        <v>16</v>
      </c>
      <c r="C3804" s="20"/>
      <c r="D3804" s="21"/>
    </row>
    <row r="3805" spans="1:4" ht="12.75" customHeight="1" x14ac:dyDescent="0.2">
      <c r="A3805" s="21"/>
      <c r="B3805" s="3" t="s">
        <v>17</v>
      </c>
      <c r="C3805" s="20" t="s">
        <v>19</v>
      </c>
      <c r="D3805" s="21"/>
    </row>
    <row r="3806" spans="1:4" ht="12.75" customHeight="1" x14ac:dyDescent="0.2">
      <c r="A3806" s="21"/>
      <c r="B3806" s="20" t="s">
        <v>18</v>
      </c>
      <c r="C3806" s="4" t="s">
        <v>44</v>
      </c>
      <c r="D3806" s="6" t="str">
        <f>HYPERLINK("javascript:void(0)","színjátszó pajzs")</f>
        <v>színjátszó pajzs</v>
      </c>
    </row>
    <row r="3807" spans="1:4" ht="12.75" customHeight="1" x14ac:dyDescent="0.2">
      <c r="A3807" s="21"/>
      <c r="B3807" s="21"/>
      <c r="C3807" s="4" t="s">
        <v>382</v>
      </c>
      <c r="D3807" s="6" t="str">
        <f>HYPERLINK("javascript:void(0)","orr")</f>
        <v>orr</v>
      </c>
    </row>
    <row r="3808" spans="1:4" ht="12.75" customHeight="1" x14ac:dyDescent="0.2">
      <c r="A3808" s="21"/>
      <c r="B3808" s="21"/>
      <c r="C3808" s="4" t="s">
        <v>98</v>
      </c>
      <c r="D3808" s="6" t="str">
        <f>HYPERLINK("javascript:void(0)","nagylemez")</f>
        <v>nagylemez</v>
      </c>
    </row>
    <row r="3809" spans="1:4" ht="12.75" customHeight="1" x14ac:dyDescent="0.2">
      <c r="A3809" s="21"/>
      <c r="B3809" s="2"/>
      <c r="C3809" s="2"/>
      <c r="D3809" s="2"/>
    </row>
  </sheetData>
  <mergeCells count="2202">
    <mergeCell ref="A1774:D1774"/>
    <mergeCell ref="C1799:D1799"/>
    <mergeCell ref="C1827:D1827"/>
    <mergeCell ref="C1828:D1828"/>
    <mergeCell ref="C1829:D1829"/>
    <mergeCell ref="C1830:D1830"/>
    <mergeCell ref="C1831:D1831"/>
    <mergeCell ref="C1832:D1832"/>
    <mergeCell ref="C1896:D1896"/>
    <mergeCell ref="C1897:D1897"/>
    <mergeCell ref="C2358:D2358"/>
    <mergeCell ref="C2359:D2359"/>
    <mergeCell ref="C2360:D2360"/>
    <mergeCell ref="C2338:D2338"/>
    <mergeCell ref="C2339:D2339"/>
    <mergeCell ref="B1783:B1785"/>
    <mergeCell ref="A1791:D1791"/>
    <mergeCell ref="C1782:D1782"/>
    <mergeCell ref="C1793:D1793"/>
    <mergeCell ref="C1794:D1794"/>
    <mergeCell ref="C1795:D1795"/>
    <mergeCell ref="C1796:D1796"/>
    <mergeCell ref="C1797:D1797"/>
    <mergeCell ref="C1798:D1798"/>
    <mergeCell ref="C1884:D1884"/>
    <mergeCell ref="B1885:B1887"/>
    <mergeCell ref="A1860:A1874"/>
    <mergeCell ref="B1868:B1870"/>
    <mergeCell ref="C1863:D1863"/>
    <mergeCell ref="C1864:D1864"/>
    <mergeCell ref="C1865:D1865"/>
    <mergeCell ref="C1866:D1866"/>
    <mergeCell ref="C1777:D1777"/>
    <mergeCell ref="C1778:D1778"/>
    <mergeCell ref="C1776:D1776"/>
    <mergeCell ref="C1779:D1779"/>
    <mergeCell ref="A2336:A2350"/>
    <mergeCell ref="A2319:A2333"/>
    <mergeCell ref="A2234:A2248"/>
    <mergeCell ref="B2242:B2244"/>
    <mergeCell ref="A2251:A2265"/>
    <mergeCell ref="B2259:B2261"/>
    <mergeCell ref="B2276:B2278"/>
    <mergeCell ref="B2293:B2295"/>
    <mergeCell ref="B2174:B2176"/>
    <mergeCell ref="A2183:A2197"/>
    <mergeCell ref="C2222:D2222"/>
    <mergeCell ref="C2223:D2223"/>
    <mergeCell ref="C2238:D2238"/>
    <mergeCell ref="C2235:D2235"/>
    <mergeCell ref="C2236:D2236"/>
    <mergeCell ref="C2237:D2237"/>
    <mergeCell ref="C2342:D2342"/>
    <mergeCell ref="A2149:A2163"/>
    <mergeCell ref="B2157:B2159"/>
    <mergeCell ref="A2098:A2112"/>
    <mergeCell ref="A2115:A2129"/>
    <mergeCell ref="B2123:B2125"/>
    <mergeCell ref="A2285:A2299"/>
    <mergeCell ref="C2275:D2275"/>
    <mergeCell ref="C2255:D2255"/>
    <mergeCell ref="C2256:D2256"/>
    <mergeCell ref="C2257:D2257"/>
    <mergeCell ref="C2258:D2258"/>
    <mergeCell ref="C2357:D2357"/>
    <mergeCell ref="C2388:D2388"/>
    <mergeCell ref="C2389:D2389"/>
    <mergeCell ref="C2390:D2390"/>
    <mergeCell ref="A2370:A2384"/>
    <mergeCell ref="A2387:A2401"/>
    <mergeCell ref="C2392:D2392"/>
    <mergeCell ref="C2393:D2393"/>
    <mergeCell ref="C2394:D2394"/>
    <mergeCell ref="A2369:D2369"/>
    <mergeCell ref="C2371:D2371"/>
    <mergeCell ref="A2335:D2335"/>
    <mergeCell ref="C2337:D2337"/>
    <mergeCell ref="C2340:D2340"/>
    <mergeCell ref="C2341:D2341"/>
    <mergeCell ref="C2326:D2326"/>
    <mergeCell ref="B2327:B2329"/>
    <mergeCell ref="C2343:D2343"/>
    <mergeCell ref="A2352:D2352"/>
    <mergeCell ref="C2354:D2354"/>
    <mergeCell ref="C2355:D2355"/>
    <mergeCell ref="C2356:D2356"/>
    <mergeCell ref="C2374:D2374"/>
    <mergeCell ref="C2375:D2375"/>
    <mergeCell ref="C2376:D2376"/>
    <mergeCell ref="C2377:D2377"/>
    <mergeCell ref="A2386:D2386"/>
    <mergeCell ref="C2309:D2309"/>
    <mergeCell ref="C2304:D2304"/>
    <mergeCell ref="C2305:D2305"/>
    <mergeCell ref="C2306:D2306"/>
    <mergeCell ref="C2307:D2307"/>
    <mergeCell ref="C2308:D2308"/>
    <mergeCell ref="A2318:D2318"/>
    <mergeCell ref="B2310:B2312"/>
    <mergeCell ref="A2302:A2316"/>
    <mergeCell ref="B2344:B2346"/>
    <mergeCell ref="A2353:A2367"/>
    <mergeCell ref="B2361:B2363"/>
    <mergeCell ref="B2378:B2380"/>
    <mergeCell ref="C240:D240"/>
    <mergeCell ref="C241:D241"/>
    <mergeCell ref="C108:D108"/>
    <mergeCell ref="C109:D109"/>
    <mergeCell ref="C110:D110"/>
    <mergeCell ref="C111:D111"/>
    <mergeCell ref="C2050:D2050"/>
    <mergeCell ref="C2051:D2051"/>
    <mergeCell ref="C2052:D2052"/>
    <mergeCell ref="C2053:D2053"/>
    <mergeCell ref="C2186:D2186"/>
    <mergeCell ref="A1621:D1621"/>
    <mergeCell ref="C1403:D1403"/>
    <mergeCell ref="C1404:D1404"/>
    <mergeCell ref="C1405:D1405"/>
    <mergeCell ref="C1578:D1578"/>
    <mergeCell ref="B1579:B1581"/>
    <mergeCell ref="C1556:D1556"/>
    <mergeCell ref="C1780:D1780"/>
    <mergeCell ref="C107:D107"/>
    <mergeCell ref="A120:D120"/>
    <mergeCell ref="C127:D127"/>
    <mergeCell ref="C128:D128"/>
    <mergeCell ref="C126:D126"/>
    <mergeCell ref="C122:D122"/>
    <mergeCell ref="C123:D123"/>
    <mergeCell ref="C124:D124"/>
    <mergeCell ref="C125:D125"/>
    <mergeCell ref="C174:D174"/>
    <mergeCell ref="C175:D175"/>
    <mergeCell ref="C171:D171"/>
    <mergeCell ref="C172:D172"/>
    <mergeCell ref="A153:A167"/>
    <mergeCell ref="A219:A231"/>
    <mergeCell ref="A234:A248"/>
    <mergeCell ref="B195:B197"/>
    <mergeCell ref="C194:D194"/>
    <mergeCell ref="A137:C137"/>
    <mergeCell ref="A152:D152"/>
    <mergeCell ref="C177:D177"/>
    <mergeCell ref="C190:D190"/>
    <mergeCell ref="C188:D188"/>
    <mergeCell ref="C189:D189"/>
    <mergeCell ref="C173:D173"/>
    <mergeCell ref="C176:D176"/>
    <mergeCell ref="C156:D156"/>
    <mergeCell ref="C154:D154"/>
    <mergeCell ref="C155:D155"/>
    <mergeCell ref="C157:D157"/>
    <mergeCell ref="C158:D158"/>
    <mergeCell ref="C159:D159"/>
    <mergeCell ref="A3730:A3744"/>
    <mergeCell ref="B3755:B3757"/>
    <mergeCell ref="B3772:B3774"/>
    <mergeCell ref="C3765:D3765"/>
    <mergeCell ref="C3766:D3766"/>
    <mergeCell ref="C3767:D3767"/>
    <mergeCell ref="C3768:D3768"/>
    <mergeCell ref="C3769:D3769"/>
    <mergeCell ref="C3749:D3749"/>
    <mergeCell ref="C3750:D3750"/>
    <mergeCell ref="C3751:D3751"/>
    <mergeCell ref="C3752:D3752"/>
    <mergeCell ref="C3753:D3753"/>
    <mergeCell ref="C3754:D3754"/>
    <mergeCell ref="A3763:D3763"/>
    <mergeCell ref="C291:D291"/>
    <mergeCell ref="C292:D292"/>
    <mergeCell ref="A285:A299"/>
    <mergeCell ref="C303:D303"/>
    <mergeCell ref="C304:D304"/>
    <mergeCell ref="C305:D305"/>
    <mergeCell ref="C306:D306"/>
    <mergeCell ref="C290:D290"/>
    <mergeCell ref="C2202:D2202"/>
    <mergeCell ref="C2201:D2201"/>
    <mergeCell ref="C2137:D2137"/>
    <mergeCell ref="C2138:D2138"/>
    <mergeCell ref="C2168:D2168"/>
    <mergeCell ref="C2169:D2169"/>
    <mergeCell ref="C2170:D2170"/>
    <mergeCell ref="C2151:D2151"/>
    <mergeCell ref="C2152:D2152"/>
    <mergeCell ref="A3746:D3746"/>
    <mergeCell ref="C3748:D3748"/>
    <mergeCell ref="C3799:D3799"/>
    <mergeCell ref="C3800:D3800"/>
    <mergeCell ref="C3770:D3770"/>
    <mergeCell ref="C3771:D3771"/>
    <mergeCell ref="C3782:D3782"/>
    <mergeCell ref="C3783:D3783"/>
    <mergeCell ref="C3784:D3784"/>
    <mergeCell ref="C3785:D3785"/>
    <mergeCell ref="C3801:D3801"/>
    <mergeCell ref="C3802:D3802"/>
    <mergeCell ref="C3786:D3786"/>
    <mergeCell ref="A3780:D3780"/>
    <mergeCell ref="B3806:B3808"/>
    <mergeCell ref="C3804:D3804"/>
    <mergeCell ref="C3805:D3805"/>
    <mergeCell ref="C3787:D3787"/>
    <mergeCell ref="C3788:D3788"/>
    <mergeCell ref="A3797:D3797"/>
    <mergeCell ref="C3803:D3803"/>
    <mergeCell ref="A3798:A3809"/>
    <mergeCell ref="B3738:B3740"/>
    <mergeCell ref="B3670:B3672"/>
    <mergeCell ref="A3678:D3678"/>
    <mergeCell ref="C3682:D3682"/>
    <mergeCell ref="C3683:D3683"/>
    <mergeCell ref="C3684:D3684"/>
    <mergeCell ref="C3685:D3685"/>
    <mergeCell ref="A3628:A3642"/>
    <mergeCell ref="B3636:B3638"/>
    <mergeCell ref="A3645:A3659"/>
    <mergeCell ref="B3653:B3655"/>
    <mergeCell ref="A3662:A3676"/>
    <mergeCell ref="A3679:A3693"/>
    <mergeCell ref="C3669:D3669"/>
    <mergeCell ref="C3686:D3686"/>
    <mergeCell ref="C3680:D3680"/>
    <mergeCell ref="C3681:D3681"/>
    <mergeCell ref="A3695:D3695"/>
    <mergeCell ref="C3697:D3697"/>
    <mergeCell ref="C3698:D3698"/>
    <mergeCell ref="C3699:D3699"/>
    <mergeCell ref="C3700:D3700"/>
    <mergeCell ref="C3701:D3701"/>
    <mergeCell ref="C3702:D3702"/>
    <mergeCell ref="C3703:D3703"/>
    <mergeCell ref="A3712:D3712"/>
    <mergeCell ref="C3714:D3714"/>
    <mergeCell ref="C3715:D3715"/>
    <mergeCell ref="C3716:D3716"/>
    <mergeCell ref="C3717:D3717"/>
    <mergeCell ref="C3718:D3718"/>
    <mergeCell ref="C3635:D3635"/>
    <mergeCell ref="C2733:D2733"/>
    <mergeCell ref="C2734:D2734"/>
    <mergeCell ref="C2746:D2746"/>
    <mergeCell ref="C2745:D2745"/>
    <mergeCell ref="C2747:D2747"/>
    <mergeCell ref="C2748:D2748"/>
    <mergeCell ref="C2749:D2749"/>
    <mergeCell ref="A2743:D2743"/>
    <mergeCell ref="C2750:D2750"/>
    <mergeCell ref="C2751:D2751"/>
    <mergeCell ref="A2642:A2656"/>
    <mergeCell ref="C2712:D2712"/>
    <mergeCell ref="C2713:D2713"/>
    <mergeCell ref="A3781:A3795"/>
    <mergeCell ref="A3747:A3761"/>
    <mergeCell ref="A3764:A3778"/>
    <mergeCell ref="B3687:B3689"/>
    <mergeCell ref="B3704:B3706"/>
    <mergeCell ref="A3696:A3710"/>
    <mergeCell ref="B3721:B3723"/>
    <mergeCell ref="B3789:B3791"/>
    <mergeCell ref="C3719:D3719"/>
    <mergeCell ref="C3720:D3720"/>
    <mergeCell ref="A3729:D3729"/>
    <mergeCell ref="C3731:D3731"/>
    <mergeCell ref="C3732:D3732"/>
    <mergeCell ref="C3733:D3733"/>
    <mergeCell ref="C3734:D3734"/>
    <mergeCell ref="C3735:D3735"/>
    <mergeCell ref="C3736:D3736"/>
    <mergeCell ref="A3713:A3727"/>
    <mergeCell ref="C3737:D3737"/>
    <mergeCell ref="C2695:D2695"/>
    <mergeCell ref="C2696:D2696"/>
    <mergeCell ref="C2697:D2697"/>
    <mergeCell ref="C2698:D2698"/>
    <mergeCell ref="C2699:D2699"/>
    <mergeCell ref="C2700:D2700"/>
    <mergeCell ref="A2641:D2641"/>
    <mergeCell ref="C2643:D2643"/>
    <mergeCell ref="C2646:D2646"/>
    <mergeCell ref="C2647:D2647"/>
    <mergeCell ref="C2648:D2648"/>
    <mergeCell ref="C2649:D2649"/>
    <mergeCell ref="C2728:D2728"/>
    <mergeCell ref="C2729:D2729"/>
    <mergeCell ref="C2730:D2730"/>
    <mergeCell ref="C2731:D2731"/>
    <mergeCell ref="C2732:D2732"/>
    <mergeCell ref="C2714:D2714"/>
    <mergeCell ref="C2715:D2715"/>
    <mergeCell ref="C2660:D2660"/>
    <mergeCell ref="C2798:D2798"/>
    <mergeCell ref="C2799:D2799"/>
    <mergeCell ref="C2800:D2800"/>
    <mergeCell ref="C2801:D2801"/>
    <mergeCell ref="C2802:D2802"/>
    <mergeCell ref="A2811:D2811"/>
    <mergeCell ref="C2813:D2813"/>
    <mergeCell ref="C2832:D2832"/>
    <mergeCell ref="C2833:D2833"/>
    <mergeCell ref="C2834:D2834"/>
    <mergeCell ref="C2835:D2835"/>
    <mergeCell ref="C2836:D2836"/>
    <mergeCell ref="C2814:D2814"/>
    <mergeCell ref="C2815:D2815"/>
    <mergeCell ref="C2816:D2816"/>
    <mergeCell ref="C2817:D2817"/>
    <mergeCell ref="C2818:D2818"/>
    <mergeCell ref="C2819:D2819"/>
    <mergeCell ref="C2831:D2831"/>
    <mergeCell ref="A2828:D2828"/>
    <mergeCell ref="A2795:A2809"/>
    <mergeCell ref="B2803:B2805"/>
    <mergeCell ref="A2812:A2826"/>
    <mergeCell ref="B2820:B2822"/>
    <mergeCell ref="C2763:D2763"/>
    <mergeCell ref="C2764:D2764"/>
    <mergeCell ref="C2765:D2765"/>
    <mergeCell ref="C2766:D2766"/>
    <mergeCell ref="C2767:D2767"/>
    <mergeCell ref="C2768:D2768"/>
    <mergeCell ref="C2780:D2780"/>
    <mergeCell ref="C2781:D2781"/>
    <mergeCell ref="A2777:D2777"/>
    <mergeCell ref="C2779:D2779"/>
    <mergeCell ref="C2782:D2782"/>
    <mergeCell ref="C2783:D2783"/>
    <mergeCell ref="C2784:D2784"/>
    <mergeCell ref="C2785:D2785"/>
    <mergeCell ref="A2794:D2794"/>
    <mergeCell ref="C2796:D2796"/>
    <mergeCell ref="C2797:D2797"/>
    <mergeCell ref="A2778:A2792"/>
    <mergeCell ref="B2786:B2788"/>
    <mergeCell ref="A2761:A2775"/>
    <mergeCell ref="B2769:B2771"/>
    <mergeCell ref="C2576:D2576"/>
    <mergeCell ref="A2506:A2520"/>
    <mergeCell ref="A2523:A2537"/>
    <mergeCell ref="C2541:D2541"/>
    <mergeCell ref="A2539:D2539"/>
    <mergeCell ref="C2529:D2529"/>
    <mergeCell ref="C2530:D2530"/>
    <mergeCell ref="C2542:D2542"/>
    <mergeCell ref="B2531:B2533"/>
    <mergeCell ref="A2540:A2554"/>
    <mergeCell ref="B2548:B2550"/>
    <mergeCell ref="A2522:D2522"/>
    <mergeCell ref="C2886:D2886"/>
    <mergeCell ref="C2887:D2887"/>
    <mergeCell ref="C2870:D2870"/>
    <mergeCell ref="B2871:B2873"/>
    <mergeCell ref="A2863:A2877"/>
    <mergeCell ref="A2879:D2879"/>
    <mergeCell ref="C2881:D2881"/>
    <mergeCell ref="A2880:A2894"/>
    <mergeCell ref="B2888:B2890"/>
    <mergeCell ref="A2676:A2690"/>
    <mergeCell ref="A2693:A2707"/>
    <mergeCell ref="B2701:B2703"/>
    <mergeCell ref="A2710:A2724"/>
    <mergeCell ref="B2718:B2720"/>
    <mergeCell ref="B2735:B2737"/>
    <mergeCell ref="B2752:B2754"/>
    <mergeCell ref="A2727:A2741"/>
    <mergeCell ref="A2744:A2758"/>
    <mergeCell ref="A2760:D2760"/>
    <mergeCell ref="C2762:D2762"/>
    <mergeCell ref="C2527:D2527"/>
    <mergeCell ref="C2528:D2528"/>
    <mergeCell ref="C2513:D2513"/>
    <mergeCell ref="A2471:D2471"/>
    <mergeCell ref="C2507:D2507"/>
    <mergeCell ref="C2496:D2496"/>
    <mergeCell ref="B2497:B2499"/>
    <mergeCell ref="A2489:A2503"/>
    <mergeCell ref="B2514:B2516"/>
    <mergeCell ref="C2546:D2546"/>
    <mergeCell ref="C2559:D2559"/>
    <mergeCell ref="C2560:D2560"/>
    <mergeCell ref="C2561:D2561"/>
    <mergeCell ref="C2562:D2562"/>
    <mergeCell ref="C2563:D2563"/>
    <mergeCell ref="C2564:D2564"/>
    <mergeCell ref="C2575:D2575"/>
    <mergeCell ref="A2488:D2488"/>
    <mergeCell ref="A2472:A2486"/>
    <mergeCell ref="B2480:B2482"/>
    <mergeCell ref="C2508:D2508"/>
    <mergeCell ref="C2509:D2509"/>
    <mergeCell ref="C2495:D2495"/>
    <mergeCell ref="C2510:D2510"/>
    <mergeCell ref="C2511:D2511"/>
    <mergeCell ref="A2505:D2505"/>
    <mergeCell ref="C2525:D2525"/>
    <mergeCell ref="C2524:D2524"/>
    <mergeCell ref="C2478:D2478"/>
    <mergeCell ref="C2461:D2461"/>
    <mergeCell ref="C2462:D2462"/>
    <mergeCell ref="C2512:D2512"/>
    <mergeCell ref="C2153:D2153"/>
    <mergeCell ref="C2154:D2154"/>
    <mergeCell ref="C2155:D2155"/>
    <mergeCell ref="C2156:D2156"/>
    <mergeCell ref="C2167:D2167"/>
    <mergeCell ref="C2054:D2054"/>
    <mergeCell ref="A2132:A2146"/>
    <mergeCell ref="B2140:B2142"/>
    <mergeCell ref="B2191:B2193"/>
    <mergeCell ref="B2208:B2210"/>
    <mergeCell ref="B2106:B2108"/>
    <mergeCell ref="C2372:D2372"/>
    <mergeCell ref="C2373:D2373"/>
    <mergeCell ref="C2445:D2445"/>
    <mergeCell ref="A2454:D2454"/>
    <mergeCell ref="B2446:B2448"/>
    <mergeCell ref="C2456:D2456"/>
    <mergeCell ref="C2457:D2457"/>
    <mergeCell ref="C2458:D2458"/>
    <mergeCell ref="C2459:D2459"/>
    <mergeCell ref="A2455:A2469"/>
    <mergeCell ref="B2463:B2465"/>
    <mergeCell ref="C2460:D2460"/>
    <mergeCell ref="C2479:D2479"/>
    <mergeCell ref="C2473:D2473"/>
    <mergeCell ref="C2474:D2474"/>
    <mergeCell ref="C2475:D2475"/>
    <mergeCell ref="C2476:D2476"/>
    <mergeCell ref="C2477:D2477"/>
    <mergeCell ref="C1781:D1781"/>
    <mergeCell ref="C1574:D1574"/>
    <mergeCell ref="C1575:D1575"/>
    <mergeCell ref="A1588:A1602"/>
    <mergeCell ref="B1596:B1598"/>
    <mergeCell ref="A1638:D1638"/>
    <mergeCell ref="A1655:D1655"/>
    <mergeCell ref="C1674:D1674"/>
    <mergeCell ref="A1604:D1604"/>
    <mergeCell ref="C1677:D1677"/>
    <mergeCell ref="C1678:D1678"/>
    <mergeCell ref="C1679:D1679"/>
    <mergeCell ref="C1680:D1680"/>
    <mergeCell ref="C1606:D1606"/>
    <mergeCell ref="C1645:D1645"/>
    <mergeCell ref="C1646:D1646"/>
    <mergeCell ref="C1663:D1663"/>
    <mergeCell ref="C1640:D1640"/>
    <mergeCell ref="C1641:D1641"/>
    <mergeCell ref="C1642:D1642"/>
    <mergeCell ref="C1643:D1643"/>
    <mergeCell ref="C1644:D1644"/>
    <mergeCell ref="A1605:A1619"/>
    <mergeCell ref="B1613:B1615"/>
    <mergeCell ref="A1622:A1636"/>
    <mergeCell ref="B1630:B1632"/>
    <mergeCell ref="A1639:A1653"/>
    <mergeCell ref="B1647:B1649"/>
    <mergeCell ref="A1656:A1670"/>
    <mergeCell ref="B1664:B1666"/>
    <mergeCell ref="A1775:A1789"/>
    <mergeCell ref="C1595:D1595"/>
    <mergeCell ref="C1557:D1557"/>
    <mergeCell ref="A1587:D1587"/>
    <mergeCell ref="A1570:D1570"/>
    <mergeCell ref="C1572:D1572"/>
    <mergeCell ref="C1573:D1573"/>
    <mergeCell ref="B1562:B1564"/>
    <mergeCell ref="C1657:D1657"/>
    <mergeCell ref="C1658:D1658"/>
    <mergeCell ref="C1659:D1659"/>
    <mergeCell ref="C1660:D1660"/>
    <mergeCell ref="C1661:D1661"/>
    <mergeCell ref="C1422:D1422"/>
    <mergeCell ref="C1423:D1423"/>
    <mergeCell ref="C1424:D1424"/>
    <mergeCell ref="C1425:D1425"/>
    <mergeCell ref="C1437:D1437"/>
    <mergeCell ref="C1438:D1438"/>
    <mergeCell ref="C1439:D1439"/>
    <mergeCell ref="C1440:D1440"/>
    <mergeCell ref="C1441:D1441"/>
    <mergeCell ref="C1509:D1509"/>
    <mergeCell ref="C1493:D1493"/>
    <mergeCell ref="C1524:D1524"/>
    <mergeCell ref="A1519:D1519"/>
    <mergeCell ref="C1521:D1521"/>
    <mergeCell ref="C1522:D1522"/>
    <mergeCell ref="C1523:D1523"/>
    <mergeCell ref="C1492:D1492"/>
    <mergeCell ref="A1486:A1500"/>
    <mergeCell ref="B1494:B1496"/>
    <mergeCell ref="C1510:D1510"/>
    <mergeCell ref="B1511:B1513"/>
    <mergeCell ref="A1384:A1398"/>
    <mergeCell ref="B1392:B1394"/>
    <mergeCell ref="A1367:A1381"/>
    <mergeCell ref="B1375:B1377"/>
    <mergeCell ref="A1401:A1415"/>
    <mergeCell ref="B1409:B1411"/>
    <mergeCell ref="A1418:A1432"/>
    <mergeCell ref="A1366:D1366"/>
    <mergeCell ref="C1368:D1368"/>
    <mergeCell ref="C1369:D1369"/>
    <mergeCell ref="C1370:D1370"/>
    <mergeCell ref="C1371:D1371"/>
    <mergeCell ref="C1372:D1372"/>
    <mergeCell ref="C1373:D1373"/>
    <mergeCell ref="C1374:D1374"/>
    <mergeCell ref="A1383:D1383"/>
    <mergeCell ref="C1385:D1385"/>
    <mergeCell ref="C1386:D1386"/>
    <mergeCell ref="C1387:D1387"/>
    <mergeCell ref="C1388:D1388"/>
    <mergeCell ref="C1389:D1389"/>
    <mergeCell ref="C1406:D1406"/>
    <mergeCell ref="C1407:D1407"/>
    <mergeCell ref="C1408:D1408"/>
    <mergeCell ref="A1417:D1417"/>
    <mergeCell ref="C1419:D1419"/>
    <mergeCell ref="C1420:D1420"/>
    <mergeCell ref="C1421:D1421"/>
    <mergeCell ref="C1390:D1390"/>
    <mergeCell ref="C1391:D1391"/>
    <mergeCell ref="A1400:D1400"/>
    <mergeCell ref="C1402:D1402"/>
    <mergeCell ref="A1502:D1502"/>
    <mergeCell ref="A1503:A1517"/>
    <mergeCell ref="C1491:D1491"/>
    <mergeCell ref="A1485:D1485"/>
    <mergeCell ref="A1520:A1534"/>
    <mergeCell ref="A1452:A1466"/>
    <mergeCell ref="B1460:B1462"/>
    <mergeCell ref="A1469:A1483"/>
    <mergeCell ref="B1477:B1479"/>
    <mergeCell ref="C2490:D2490"/>
    <mergeCell ref="C2581:D2581"/>
    <mergeCell ref="C2290:D2290"/>
    <mergeCell ref="C2291:D2291"/>
    <mergeCell ref="C2289:D2289"/>
    <mergeCell ref="A2301:D2301"/>
    <mergeCell ref="C2292:D2292"/>
    <mergeCell ref="C2491:D2491"/>
    <mergeCell ref="C2492:D2492"/>
    <mergeCell ref="A2284:D2284"/>
    <mergeCell ref="C2286:D2286"/>
    <mergeCell ref="C2287:D2287"/>
    <mergeCell ref="C2288:D2288"/>
    <mergeCell ref="C2303:D2303"/>
    <mergeCell ref="C1508:D1508"/>
    <mergeCell ref="C1504:D1504"/>
    <mergeCell ref="C1505:D1505"/>
    <mergeCell ref="C1506:D1506"/>
    <mergeCell ref="C1507:D1507"/>
    <mergeCell ref="C1525:D1525"/>
    <mergeCell ref="C1527:D1527"/>
    <mergeCell ref="B1528:B1530"/>
    <mergeCell ref="C1526:D1526"/>
    <mergeCell ref="A1536:D1536"/>
    <mergeCell ref="C1538:D1538"/>
    <mergeCell ref="C1539:D1539"/>
    <mergeCell ref="B1545:B1547"/>
    <mergeCell ref="A1537:A1551"/>
    <mergeCell ref="C1540:D1540"/>
    <mergeCell ref="C1541:D1541"/>
    <mergeCell ref="C1542:D1542"/>
    <mergeCell ref="C1543:D1543"/>
    <mergeCell ref="C2610:D2610"/>
    <mergeCell ref="C2611:D2611"/>
    <mergeCell ref="A1554:A1568"/>
    <mergeCell ref="A1571:A1585"/>
    <mergeCell ref="C1625:D1625"/>
    <mergeCell ref="C1626:D1626"/>
    <mergeCell ref="C1627:D1627"/>
    <mergeCell ref="C1628:D1628"/>
    <mergeCell ref="C1629:D1629"/>
    <mergeCell ref="C1607:D1607"/>
    <mergeCell ref="C1608:D1608"/>
    <mergeCell ref="C1609:D1609"/>
    <mergeCell ref="C1610:D1610"/>
    <mergeCell ref="C1611:D1611"/>
    <mergeCell ref="C1612:D1612"/>
    <mergeCell ref="C1624:D1624"/>
    <mergeCell ref="C1558:D1558"/>
    <mergeCell ref="C1559:D1559"/>
    <mergeCell ref="C1560:D1560"/>
    <mergeCell ref="C1561:D1561"/>
    <mergeCell ref="C1576:D1576"/>
    <mergeCell ref="C1577:D1577"/>
    <mergeCell ref="C1594:D1594"/>
    <mergeCell ref="C2612:D2612"/>
    <mergeCell ref="C2615:D2615"/>
    <mergeCell ref="B2616:B2618"/>
    <mergeCell ref="C2613:D2613"/>
    <mergeCell ref="C2614:D2614"/>
    <mergeCell ref="C2596:D2596"/>
    <mergeCell ref="A2591:A2605"/>
    <mergeCell ref="B2599:B2601"/>
    <mergeCell ref="C2597:D2597"/>
    <mergeCell ref="C2598:D2598"/>
    <mergeCell ref="A2607:D2607"/>
    <mergeCell ref="C2609:D2609"/>
    <mergeCell ref="C2493:D2493"/>
    <mergeCell ref="C2494:D2494"/>
    <mergeCell ref="C2547:D2547"/>
    <mergeCell ref="C2558:D2558"/>
    <mergeCell ref="C2577:D2577"/>
    <mergeCell ref="C2578:D2578"/>
    <mergeCell ref="C2579:D2579"/>
    <mergeCell ref="C2580:D2580"/>
    <mergeCell ref="A2556:D2556"/>
    <mergeCell ref="A2573:D2573"/>
    <mergeCell ref="A2590:D2590"/>
    <mergeCell ref="C2592:D2592"/>
    <mergeCell ref="C2593:D2593"/>
    <mergeCell ref="C2594:D2594"/>
    <mergeCell ref="C2595:D2595"/>
    <mergeCell ref="C2543:D2543"/>
    <mergeCell ref="C2544:D2544"/>
    <mergeCell ref="C2545:D2545"/>
    <mergeCell ref="A2608:A2622"/>
    <mergeCell ref="C2526:D2526"/>
    <mergeCell ref="B1426:B1428"/>
    <mergeCell ref="C1459:D1459"/>
    <mergeCell ref="A1468:D1468"/>
    <mergeCell ref="C1442:D1442"/>
    <mergeCell ref="A1451:D1451"/>
    <mergeCell ref="B1443:B1445"/>
    <mergeCell ref="A1435:A1449"/>
    <mergeCell ref="C2103:D2103"/>
    <mergeCell ref="C2104:D2104"/>
    <mergeCell ref="A2114:D2114"/>
    <mergeCell ref="A2182:D2182"/>
    <mergeCell ref="A2131:D2131"/>
    <mergeCell ref="A2148:D2148"/>
    <mergeCell ref="A2165:D2165"/>
    <mergeCell ref="A2199:D2199"/>
    <mergeCell ref="A2216:D2216"/>
    <mergeCell ref="A2233:D2233"/>
    <mergeCell ref="A2097:D2097"/>
    <mergeCell ref="C2099:D2099"/>
    <mergeCell ref="C2100:D2100"/>
    <mergeCell ref="A2080:D2080"/>
    <mergeCell ref="C2101:D2101"/>
    <mergeCell ref="C2102:D2102"/>
    <mergeCell ref="C1544:D1544"/>
    <mergeCell ref="A1553:D1553"/>
    <mergeCell ref="C1555:D1555"/>
    <mergeCell ref="C1662:D1662"/>
    <mergeCell ref="C1675:D1675"/>
    <mergeCell ref="C1676:D1676"/>
    <mergeCell ref="B1681:B1683"/>
    <mergeCell ref="A1673:A1687"/>
    <mergeCell ref="A1672:D1672"/>
    <mergeCell ref="A1434:D1434"/>
    <mergeCell ref="C1436:D1436"/>
    <mergeCell ref="C1476:D1476"/>
    <mergeCell ref="C1487:D1487"/>
    <mergeCell ref="C1488:D1488"/>
    <mergeCell ref="C1489:D1489"/>
    <mergeCell ref="C1490:D1490"/>
    <mergeCell ref="C1453:D1453"/>
    <mergeCell ref="C1454:D1454"/>
    <mergeCell ref="C1455:D1455"/>
    <mergeCell ref="C1456:D1456"/>
    <mergeCell ref="C1457:D1457"/>
    <mergeCell ref="C1458:D1458"/>
    <mergeCell ref="C1470:D1470"/>
    <mergeCell ref="C1471:D1471"/>
    <mergeCell ref="C1472:D1472"/>
    <mergeCell ref="C1473:D1473"/>
    <mergeCell ref="C1474:D1474"/>
    <mergeCell ref="C1475:D1475"/>
    <mergeCell ref="C1589:D1589"/>
    <mergeCell ref="C1590:D1590"/>
    <mergeCell ref="C1591:D1591"/>
    <mergeCell ref="C1592:D1592"/>
    <mergeCell ref="C1593:D1593"/>
    <mergeCell ref="C1747:D1747"/>
    <mergeCell ref="C1748:D1748"/>
    <mergeCell ref="C1759:D1759"/>
    <mergeCell ref="C1760:D1760"/>
    <mergeCell ref="C1761:D1761"/>
    <mergeCell ref="A1689:D1689"/>
    <mergeCell ref="A1706:D1706"/>
    <mergeCell ref="C1623:D1623"/>
    <mergeCell ref="C1764:D1764"/>
    <mergeCell ref="C1744:D1744"/>
    <mergeCell ref="A1740:D1740"/>
    <mergeCell ref="A1724:A1738"/>
    <mergeCell ref="B1732:B1734"/>
    <mergeCell ref="A1741:A1755"/>
    <mergeCell ref="B1749:B1751"/>
    <mergeCell ref="C1691:D1691"/>
    <mergeCell ref="C1692:D1692"/>
    <mergeCell ref="C1693:D1693"/>
    <mergeCell ref="C1694:D1694"/>
    <mergeCell ref="C1695:D1695"/>
    <mergeCell ref="A1690:A1704"/>
    <mergeCell ref="B1698:B1700"/>
    <mergeCell ref="C1696:D1696"/>
    <mergeCell ref="C1697:D1697"/>
    <mergeCell ref="B1766:B1768"/>
    <mergeCell ref="C1731:D1731"/>
    <mergeCell ref="C1765:D1765"/>
    <mergeCell ref="A1757:D1757"/>
    <mergeCell ref="A1758:A1772"/>
    <mergeCell ref="C1711:D1711"/>
    <mergeCell ref="C1712:D1712"/>
    <mergeCell ref="C1728:D1728"/>
    <mergeCell ref="C1729:D1729"/>
    <mergeCell ref="C1730:D1730"/>
    <mergeCell ref="C1713:D1713"/>
    <mergeCell ref="C1714:D1714"/>
    <mergeCell ref="A1707:A1721"/>
    <mergeCell ref="B1715:B1717"/>
    <mergeCell ref="C1725:D1725"/>
    <mergeCell ref="C1726:D1726"/>
    <mergeCell ref="C1727:D1727"/>
    <mergeCell ref="A1723:D1723"/>
    <mergeCell ref="C1743:D1743"/>
    <mergeCell ref="C1742:D1742"/>
    <mergeCell ref="C1745:D1745"/>
    <mergeCell ref="C1746:D1746"/>
    <mergeCell ref="C1709:D1709"/>
    <mergeCell ref="C1710:D1710"/>
    <mergeCell ref="C1708:D1708"/>
    <mergeCell ref="C1762:D1762"/>
    <mergeCell ref="C1763:D1763"/>
    <mergeCell ref="C2086:D2086"/>
    <mergeCell ref="C2087:D2087"/>
    <mergeCell ref="C2088:D2088"/>
    <mergeCell ref="C1881:D1881"/>
    <mergeCell ref="C1882:D1882"/>
    <mergeCell ref="C2066:D2066"/>
    <mergeCell ref="C2067:D2067"/>
    <mergeCell ref="C1932:D1932"/>
    <mergeCell ref="C1933:D1933"/>
    <mergeCell ref="C1895:D1895"/>
    <mergeCell ref="C2252:D2252"/>
    <mergeCell ref="C2253:D2253"/>
    <mergeCell ref="A2250:D2250"/>
    <mergeCell ref="C2105:D2105"/>
    <mergeCell ref="C1898:D1898"/>
    <mergeCell ref="C1899:D1899"/>
    <mergeCell ref="A2063:D2063"/>
    <mergeCell ref="A2013:A2027"/>
    <mergeCell ref="B2038:B2040"/>
    <mergeCell ref="A2030:A2044"/>
    <mergeCell ref="A2012:D2012"/>
    <mergeCell ref="A1978:D1978"/>
    <mergeCell ref="C1980:D1980"/>
    <mergeCell ref="B1970:B1972"/>
    <mergeCell ref="C1963:D1963"/>
    <mergeCell ref="C1964:D1964"/>
    <mergeCell ref="C1965:D1965"/>
    <mergeCell ref="C1966:D1966"/>
    <mergeCell ref="C2065:D2065"/>
    <mergeCell ref="C2139:D2139"/>
    <mergeCell ref="C2150:D2150"/>
    <mergeCell ref="C2049:D2049"/>
    <mergeCell ref="A2267:D2267"/>
    <mergeCell ref="C2184:D2184"/>
    <mergeCell ref="C2185:D2185"/>
    <mergeCell ref="C2172:D2172"/>
    <mergeCell ref="C2171:D2171"/>
    <mergeCell ref="C2187:D2187"/>
    <mergeCell ref="C2188:D2188"/>
    <mergeCell ref="C2189:D2189"/>
    <mergeCell ref="C2190:D2190"/>
    <mergeCell ref="C2173:D2173"/>
    <mergeCell ref="C2121:D2121"/>
    <mergeCell ref="C2116:D2116"/>
    <mergeCell ref="C2271:D2271"/>
    <mergeCell ref="C2269:D2269"/>
    <mergeCell ref="C2270:D2270"/>
    <mergeCell ref="C2122:D2122"/>
    <mergeCell ref="C2133:D2133"/>
    <mergeCell ref="C2134:D2134"/>
    <mergeCell ref="C2135:D2135"/>
    <mergeCell ref="C2136:D2136"/>
    <mergeCell ref="C2254:D2254"/>
    <mergeCell ref="A2268:A2282"/>
    <mergeCell ref="C2239:D2239"/>
    <mergeCell ref="C2224:D2224"/>
    <mergeCell ref="B2225:B2227"/>
    <mergeCell ref="C2203:D2203"/>
    <mergeCell ref="C2204:D2204"/>
    <mergeCell ref="C2205:D2205"/>
    <mergeCell ref="C2206:D2206"/>
    <mergeCell ref="C2207:D2207"/>
    <mergeCell ref="C2240:D2240"/>
    <mergeCell ref="C2241:D2241"/>
    <mergeCell ref="C2272:D2272"/>
    <mergeCell ref="C2273:D2273"/>
    <mergeCell ref="C2274:D2274"/>
    <mergeCell ref="A1996:A2010"/>
    <mergeCell ref="B2004:B2006"/>
    <mergeCell ref="C1981:D1981"/>
    <mergeCell ref="C1986:D1986"/>
    <mergeCell ref="C1998:D1998"/>
    <mergeCell ref="C2033:D2033"/>
    <mergeCell ref="C2034:D2034"/>
    <mergeCell ref="C2015:D2015"/>
    <mergeCell ref="C2016:D2016"/>
    <mergeCell ref="C2037:D2037"/>
    <mergeCell ref="C2048:D2048"/>
    <mergeCell ref="C2020:D2020"/>
    <mergeCell ref="C2031:D2031"/>
    <mergeCell ref="C2032:D2032"/>
    <mergeCell ref="C2119:D2119"/>
    <mergeCell ref="C2120:D2120"/>
    <mergeCell ref="C2019:D2019"/>
    <mergeCell ref="C2068:D2068"/>
    <mergeCell ref="C2069:D2069"/>
    <mergeCell ref="C2070:D2070"/>
    <mergeCell ref="C2071:D2071"/>
    <mergeCell ref="C2117:D2117"/>
    <mergeCell ref="C2118:D2118"/>
    <mergeCell ref="B2021:B2023"/>
    <mergeCell ref="C2018:D2018"/>
    <mergeCell ref="C2035:D2035"/>
    <mergeCell ref="C2036:D2036"/>
    <mergeCell ref="A2029:D2029"/>
    <mergeCell ref="A2046:D2046"/>
    <mergeCell ref="C1967:D1967"/>
    <mergeCell ref="C1968:D1968"/>
    <mergeCell ref="C1969:D1969"/>
    <mergeCell ref="C1999:D1999"/>
    <mergeCell ref="C2000:D2000"/>
    <mergeCell ref="C1982:D1982"/>
    <mergeCell ref="C1983:D1983"/>
    <mergeCell ref="C1984:D1984"/>
    <mergeCell ref="C1985:D1985"/>
    <mergeCell ref="A1995:D1995"/>
    <mergeCell ref="C1997:D1997"/>
    <mergeCell ref="A1962:A1976"/>
    <mergeCell ref="A1979:A1993"/>
    <mergeCell ref="B1987:B1989"/>
    <mergeCell ref="A2166:A2180"/>
    <mergeCell ref="A2200:A2214"/>
    <mergeCell ref="A2217:A2231"/>
    <mergeCell ref="A2064:A2078"/>
    <mergeCell ref="B2072:B2074"/>
    <mergeCell ref="A2081:A2095"/>
    <mergeCell ref="B2089:B2091"/>
    <mergeCell ref="C2219:D2219"/>
    <mergeCell ref="C2220:D2220"/>
    <mergeCell ref="C2221:D2221"/>
    <mergeCell ref="C2014:D2014"/>
    <mergeCell ref="C2017:D2017"/>
    <mergeCell ref="A2047:A2061"/>
    <mergeCell ref="B2055:B2057"/>
    <mergeCell ref="C2085:D2085"/>
    <mergeCell ref="C2082:D2082"/>
    <mergeCell ref="C2083:D2083"/>
    <mergeCell ref="C2084:D2084"/>
    <mergeCell ref="C2218:D2218"/>
    <mergeCell ref="C1813:D1813"/>
    <mergeCell ref="C1814:D1814"/>
    <mergeCell ref="C1815:D1815"/>
    <mergeCell ref="C1816:D1816"/>
    <mergeCell ref="C1900:D1900"/>
    <mergeCell ref="A1910:D1910"/>
    <mergeCell ref="C1912:D1912"/>
    <mergeCell ref="C1913:D1913"/>
    <mergeCell ref="A1894:A1908"/>
    <mergeCell ref="A1911:A1925"/>
    <mergeCell ref="C1901:D1901"/>
    <mergeCell ref="B1902:B1904"/>
    <mergeCell ref="C2001:D2001"/>
    <mergeCell ref="C2002:D2002"/>
    <mergeCell ref="C2003:D2003"/>
    <mergeCell ref="C1930:D1930"/>
    <mergeCell ref="C1929:D1929"/>
    <mergeCell ref="C1914:D1914"/>
    <mergeCell ref="C1915:D1915"/>
    <mergeCell ref="C1916:D1916"/>
    <mergeCell ref="C1917:D1917"/>
    <mergeCell ref="C1918:D1918"/>
    <mergeCell ref="C1931:D1931"/>
    <mergeCell ref="A1927:D1927"/>
    <mergeCell ref="B1919:B1921"/>
    <mergeCell ref="B1936:B1938"/>
    <mergeCell ref="C1934:D1934"/>
    <mergeCell ref="C1935:D1935"/>
    <mergeCell ref="C1946:D1946"/>
    <mergeCell ref="C1947:D1947"/>
    <mergeCell ref="C1948:D1948"/>
    <mergeCell ref="A1961:D1961"/>
    <mergeCell ref="A1928:A1942"/>
    <mergeCell ref="A1945:A1959"/>
    <mergeCell ref="B1953:B1955"/>
    <mergeCell ref="C1951:D1951"/>
    <mergeCell ref="C1952:D1952"/>
    <mergeCell ref="C1950:D1950"/>
    <mergeCell ref="A1893:D1893"/>
    <mergeCell ref="A1877:A1891"/>
    <mergeCell ref="C1883:D1883"/>
    <mergeCell ref="A1825:D1825"/>
    <mergeCell ref="C1862:D1862"/>
    <mergeCell ref="C1810:D1810"/>
    <mergeCell ref="A1808:D1808"/>
    <mergeCell ref="C1846:D1846"/>
    <mergeCell ref="A1842:D1842"/>
    <mergeCell ref="C1949:D1949"/>
    <mergeCell ref="A1944:D1944"/>
    <mergeCell ref="C1867:D1867"/>
    <mergeCell ref="A1876:D1876"/>
    <mergeCell ref="C1878:D1878"/>
    <mergeCell ref="C1879:D1879"/>
    <mergeCell ref="C1880:D1880"/>
    <mergeCell ref="B1800:B1802"/>
    <mergeCell ref="A1792:A1806"/>
    <mergeCell ref="A1809:A1823"/>
    <mergeCell ref="B1817:B1819"/>
    <mergeCell ref="A1826:A1840"/>
    <mergeCell ref="B1834:B1836"/>
    <mergeCell ref="A1843:A1857"/>
    <mergeCell ref="B1851:B1853"/>
    <mergeCell ref="C1845:D1845"/>
    <mergeCell ref="C1844:D1844"/>
    <mergeCell ref="C1847:D1847"/>
    <mergeCell ref="C1848:D1848"/>
    <mergeCell ref="C1849:D1849"/>
    <mergeCell ref="C1850:D1850"/>
    <mergeCell ref="A1859:D1859"/>
    <mergeCell ref="C1861:D1861"/>
    <mergeCell ref="C1811:D1811"/>
    <mergeCell ref="C1812:D1812"/>
    <mergeCell ref="C1833:D1833"/>
    <mergeCell ref="C910:D910"/>
    <mergeCell ref="C911:D911"/>
    <mergeCell ref="C912:D912"/>
    <mergeCell ref="C913:D913"/>
    <mergeCell ref="C914:D914"/>
    <mergeCell ref="C915:D915"/>
    <mergeCell ref="C540:D540"/>
    <mergeCell ref="C520:D520"/>
    <mergeCell ref="C543:D543"/>
    <mergeCell ref="C542:D542"/>
    <mergeCell ref="A552:D552"/>
    <mergeCell ref="B561:B563"/>
    <mergeCell ref="C554:D554"/>
    <mergeCell ref="C521:D521"/>
    <mergeCell ref="C590:D590"/>
    <mergeCell ref="B578:B580"/>
    <mergeCell ref="C555:D555"/>
    <mergeCell ref="C556:D556"/>
    <mergeCell ref="C557:D557"/>
    <mergeCell ref="C558:D558"/>
    <mergeCell ref="A569:D569"/>
    <mergeCell ref="A519:A533"/>
    <mergeCell ref="C591:D591"/>
    <mergeCell ref="C541:D541"/>
    <mergeCell ref="A535:D535"/>
    <mergeCell ref="A704:A718"/>
    <mergeCell ref="C812:D812"/>
    <mergeCell ref="C811:D811"/>
    <mergeCell ref="C829:D829"/>
    <mergeCell ref="C830:D830"/>
    <mergeCell ref="C760:D760"/>
    <mergeCell ref="C620:D620"/>
    <mergeCell ref="A250:D250"/>
    <mergeCell ref="C236:D236"/>
    <mergeCell ref="C237:D237"/>
    <mergeCell ref="C238:D238"/>
    <mergeCell ref="C239:D239"/>
    <mergeCell ref="B242:B244"/>
    <mergeCell ref="B276:B278"/>
    <mergeCell ref="A251:A265"/>
    <mergeCell ref="C892:D892"/>
    <mergeCell ref="C893:D893"/>
    <mergeCell ref="C894:D894"/>
    <mergeCell ref="C895:D895"/>
    <mergeCell ref="C896:D896"/>
    <mergeCell ref="C897:D897"/>
    <mergeCell ref="B899:B901"/>
    <mergeCell ref="A874:A888"/>
    <mergeCell ref="A873:D873"/>
    <mergeCell ref="C875:D875"/>
    <mergeCell ref="C876:D876"/>
    <mergeCell ref="C877:D877"/>
    <mergeCell ref="C878:D878"/>
    <mergeCell ref="A518:D518"/>
    <mergeCell ref="A502:A516"/>
    <mergeCell ref="C435:D435"/>
    <mergeCell ref="C436:D436"/>
    <mergeCell ref="C437:D437"/>
    <mergeCell ref="C438:D438"/>
    <mergeCell ref="C490:D490"/>
    <mergeCell ref="C491:D491"/>
    <mergeCell ref="A721:A735"/>
    <mergeCell ref="A738:A752"/>
    <mergeCell ref="A536:A550"/>
    <mergeCell ref="C269:D269"/>
    <mergeCell ref="A284:D284"/>
    <mergeCell ref="C288:D288"/>
    <mergeCell ref="C289:D289"/>
    <mergeCell ref="C256:D256"/>
    <mergeCell ref="C252:D252"/>
    <mergeCell ref="C253:D253"/>
    <mergeCell ref="C254:D254"/>
    <mergeCell ref="C255:D255"/>
    <mergeCell ref="A301:D301"/>
    <mergeCell ref="A267:D267"/>
    <mergeCell ref="C257:D257"/>
    <mergeCell ref="B408:B410"/>
    <mergeCell ref="C389:D389"/>
    <mergeCell ref="C406:D406"/>
    <mergeCell ref="C404:D404"/>
    <mergeCell ref="C405:D405"/>
    <mergeCell ref="A382:D382"/>
    <mergeCell ref="C321:D321"/>
    <mergeCell ref="C322:D322"/>
    <mergeCell ref="C286:D286"/>
    <mergeCell ref="C287:D287"/>
    <mergeCell ref="C385:D385"/>
    <mergeCell ref="C401:D401"/>
    <mergeCell ref="C272:D272"/>
    <mergeCell ref="C273:D273"/>
    <mergeCell ref="C274:D274"/>
    <mergeCell ref="C275:D275"/>
    <mergeCell ref="A367:C367"/>
    <mergeCell ref="A351:A365"/>
    <mergeCell ref="C358:D358"/>
    <mergeCell ref="C258:D258"/>
    <mergeCell ref="A1197:A1211"/>
    <mergeCell ref="B1222:B1224"/>
    <mergeCell ref="B1154:B1156"/>
    <mergeCell ref="A1145:D1145"/>
    <mergeCell ref="C1147:D1147"/>
    <mergeCell ref="C1150:D1150"/>
    <mergeCell ref="C845:D845"/>
    <mergeCell ref="A839:D839"/>
    <mergeCell ref="C858:D858"/>
    <mergeCell ref="C846:D846"/>
    <mergeCell ref="C813:D813"/>
    <mergeCell ref="B814:B816"/>
    <mergeCell ref="A822:D822"/>
    <mergeCell ref="C826:D826"/>
    <mergeCell ref="B831:B833"/>
    <mergeCell ref="C864:D864"/>
    <mergeCell ref="B865:B867"/>
    <mergeCell ref="A823:A837"/>
    <mergeCell ref="A840:A854"/>
    <mergeCell ref="A856:D856"/>
    <mergeCell ref="C859:D859"/>
    <mergeCell ref="C860:D860"/>
    <mergeCell ref="C861:D861"/>
    <mergeCell ref="C862:D862"/>
    <mergeCell ref="C863:D863"/>
    <mergeCell ref="A857:A871"/>
    <mergeCell ref="C824:D824"/>
    <mergeCell ref="C825:D825"/>
    <mergeCell ref="C827:D827"/>
    <mergeCell ref="C828:D828"/>
    <mergeCell ref="A907:D907"/>
    <mergeCell ref="C898:D898"/>
    <mergeCell ref="A1129:A1143"/>
    <mergeCell ref="B967:B969"/>
    <mergeCell ref="C994:D994"/>
    <mergeCell ref="C995:D995"/>
    <mergeCell ref="C978:D978"/>
    <mergeCell ref="C979:D979"/>
    <mergeCell ref="C980:D980"/>
    <mergeCell ref="C981:D981"/>
    <mergeCell ref="C982:D982"/>
    <mergeCell ref="C983:D983"/>
    <mergeCell ref="A992:D992"/>
    <mergeCell ref="C1012:D1012"/>
    <mergeCell ref="C1013:D1013"/>
    <mergeCell ref="C996:D996"/>
    <mergeCell ref="C997:D997"/>
    <mergeCell ref="C998:D998"/>
    <mergeCell ref="A1146:A1160"/>
    <mergeCell ref="C1079:D1079"/>
    <mergeCell ref="C1096:D1096"/>
    <mergeCell ref="C1085:D1085"/>
    <mergeCell ref="C1080:D1080"/>
    <mergeCell ref="C1081:D1081"/>
    <mergeCell ref="C1082:D1082"/>
    <mergeCell ref="C1083:D1083"/>
    <mergeCell ref="C1084:D1084"/>
    <mergeCell ref="C1097:D1097"/>
    <mergeCell ref="A1094:D1094"/>
    <mergeCell ref="C1098:D1098"/>
    <mergeCell ref="C1099:D1099"/>
    <mergeCell ref="C1100:D1100"/>
    <mergeCell ref="C1101:D1101"/>
    <mergeCell ref="A959:A973"/>
    <mergeCell ref="A976:A990"/>
    <mergeCell ref="C418:D418"/>
    <mergeCell ref="A416:D416"/>
    <mergeCell ref="C390:D390"/>
    <mergeCell ref="B391:B393"/>
    <mergeCell ref="A383:A397"/>
    <mergeCell ref="A400:A414"/>
    <mergeCell ref="C402:D402"/>
    <mergeCell ref="C403:D403"/>
    <mergeCell ref="A891:A905"/>
    <mergeCell ref="B916:B918"/>
    <mergeCell ref="A924:D924"/>
    <mergeCell ref="A908:A922"/>
    <mergeCell ref="C909:D909"/>
    <mergeCell ref="C492:D492"/>
    <mergeCell ref="B476:B478"/>
    <mergeCell ref="B459:B461"/>
    <mergeCell ref="C525:D525"/>
    <mergeCell ref="C526:D526"/>
    <mergeCell ref="A450:D450"/>
    <mergeCell ref="C455:D455"/>
    <mergeCell ref="C456:D456"/>
    <mergeCell ref="C457:D457"/>
    <mergeCell ref="C470:D470"/>
    <mergeCell ref="C469:D469"/>
    <mergeCell ref="C471:D471"/>
    <mergeCell ref="C472:D472"/>
    <mergeCell ref="C473:D473"/>
    <mergeCell ref="C474:D474"/>
    <mergeCell ref="A484:D484"/>
    <mergeCell ref="C486:D486"/>
    <mergeCell ref="C487:D487"/>
    <mergeCell ref="C191:D191"/>
    <mergeCell ref="C160:D160"/>
    <mergeCell ref="A233:D233"/>
    <mergeCell ref="C235:D235"/>
    <mergeCell ref="C419:D419"/>
    <mergeCell ref="A417:A431"/>
    <mergeCell ref="A434:A448"/>
    <mergeCell ref="C439:D439"/>
    <mergeCell ref="A433:D433"/>
    <mergeCell ref="B442:B444"/>
    <mergeCell ref="C420:D420"/>
    <mergeCell ref="A451:A465"/>
    <mergeCell ref="A368:A380"/>
    <mergeCell ref="C522:D522"/>
    <mergeCell ref="C523:D523"/>
    <mergeCell ref="C524:D524"/>
    <mergeCell ref="C458:D458"/>
    <mergeCell ref="C454:D454"/>
    <mergeCell ref="C452:D452"/>
    <mergeCell ref="C453:D453"/>
    <mergeCell ref="C488:D488"/>
    <mergeCell ref="C489:D489"/>
    <mergeCell ref="B425:B427"/>
    <mergeCell ref="B493:B495"/>
    <mergeCell ref="B510:B512"/>
    <mergeCell ref="C508:D508"/>
    <mergeCell ref="A467:D467"/>
    <mergeCell ref="C475:D475"/>
    <mergeCell ref="C506:D506"/>
    <mergeCell ref="C509:D509"/>
    <mergeCell ref="C507:D507"/>
    <mergeCell ref="A501:D501"/>
    <mergeCell ref="C1352:D1352"/>
    <mergeCell ref="B1307:B1309"/>
    <mergeCell ref="B1324:B1326"/>
    <mergeCell ref="A1316:A1330"/>
    <mergeCell ref="A1333:A1347"/>
    <mergeCell ref="B1341:B1343"/>
    <mergeCell ref="A1350:A1364"/>
    <mergeCell ref="B1358:B1360"/>
    <mergeCell ref="A1315:D1315"/>
    <mergeCell ref="C1317:D1317"/>
    <mergeCell ref="C1318:D1318"/>
    <mergeCell ref="C1319:D1319"/>
    <mergeCell ref="C1320:D1320"/>
    <mergeCell ref="C1353:D1353"/>
    <mergeCell ref="C1354:D1354"/>
    <mergeCell ref="C1355:D1355"/>
    <mergeCell ref="C1356:D1356"/>
    <mergeCell ref="C1357:D1357"/>
    <mergeCell ref="A1299:A1313"/>
    <mergeCell ref="C1151:D1151"/>
    <mergeCell ref="C1152:D1152"/>
    <mergeCell ref="C1288:D1288"/>
    <mergeCell ref="C1289:D1289"/>
    <mergeCell ref="B1256:B1258"/>
    <mergeCell ref="A1248:A1262"/>
    <mergeCell ref="A1281:D1281"/>
    <mergeCell ref="C1283:D1283"/>
    <mergeCell ref="C1334:D1334"/>
    <mergeCell ref="C1335:D1335"/>
    <mergeCell ref="C1336:D1336"/>
    <mergeCell ref="C1337:D1337"/>
    <mergeCell ref="C1338:D1338"/>
    <mergeCell ref="C1339:D1339"/>
    <mergeCell ref="C1340:D1340"/>
    <mergeCell ref="A1349:D1349"/>
    <mergeCell ref="C1351:D1351"/>
    <mergeCell ref="A1298:D1298"/>
    <mergeCell ref="C1300:D1300"/>
    <mergeCell ref="C1301:D1301"/>
    <mergeCell ref="C1302:D1302"/>
    <mergeCell ref="C1303:D1303"/>
    <mergeCell ref="C1304:D1304"/>
    <mergeCell ref="C1305:D1305"/>
    <mergeCell ref="C1306:D1306"/>
    <mergeCell ref="C1253:D1253"/>
    <mergeCell ref="C1254:D1254"/>
    <mergeCell ref="A1265:A1279"/>
    <mergeCell ref="B1273:B1275"/>
    <mergeCell ref="A1282:A1296"/>
    <mergeCell ref="B1290:B1292"/>
    <mergeCell ref="A1180:A1194"/>
    <mergeCell ref="C1268:D1268"/>
    <mergeCell ref="C1269:D1269"/>
    <mergeCell ref="C1271:D1271"/>
    <mergeCell ref="C1272:D1272"/>
    <mergeCell ref="C1255:D1255"/>
    <mergeCell ref="A1264:D1264"/>
    <mergeCell ref="C1266:D1266"/>
    <mergeCell ref="C1267:D1267"/>
    <mergeCell ref="C1270:D1270"/>
    <mergeCell ref="C1321:D1321"/>
    <mergeCell ref="C1322:D1322"/>
    <mergeCell ref="C1323:D1323"/>
    <mergeCell ref="A1332:D1332"/>
    <mergeCell ref="C1284:D1284"/>
    <mergeCell ref="C1285:D1285"/>
    <mergeCell ref="C1286:D1286"/>
    <mergeCell ref="C1287:D1287"/>
    <mergeCell ref="B1086:B1088"/>
    <mergeCell ref="C1166:D1166"/>
    <mergeCell ref="C1167:D1167"/>
    <mergeCell ref="C1134:D1134"/>
    <mergeCell ref="A1112:A1126"/>
    <mergeCell ref="A1061:A1075"/>
    <mergeCell ref="C1135:D1135"/>
    <mergeCell ref="B1069:B1071"/>
    <mergeCell ref="B1188:B1190"/>
    <mergeCell ref="A1196:D1196"/>
    <mergeCell ref="C1030:D1030"/>
    <mergeCell ref="A399:D399"/>
    <mergeCell ref="C326:D326"/>
    <mergeCell ref="B327:B329"/>
    <mergeCell ref="C324:D324"/>
    <mergeCell ref="C325:D325"/>
    <mergeCell ref="C356:D356"/>
    <mergeCell ref="C352:D352"/>
    <mergeCell ref="C353:D353"/>
    <mergeCell ref="C354:D354"/>
    <mergeCell ref="C355:D355"/>
    <mergeCell ref="A335:C335"/>
    <mergeCell ref="A350:D350"/>
    <mergeCell ref="B359:B361"/>
    <mergeCell ref="C357:D357"/>
    <mergeCell ref="A941:D941"/>
    <mergeCell ref="B1018:B1020"/>
    <mergeCell ref="B984:B986"/>
    <mergeCell ref="B1001:B1003"/>
    <mergeCell ref="C1064:D1064"/>
    <mergeCell ref="C1065:D1065"/>
    <mergeCell ref="C1153:D1153"/>
    <mergeCell ref="B259:B261"/>
    <mergeCell ref="C1168:D1168"/>
    <mergeCell ref="C1169:D1169"/>
    <mergeCell ref="B627:B629"/>
    <mergeCell ref="B661:B663"/>
    <mergeCell ref="A1027:A1041"/>
    <mergeCell ref="B1035:B1037"/>
    <mergeCell ref="A1044:A1058"/>
    <mergeCell ref="B1052:B1054"/>
    <mergeCell ref="C847:D847"/>
    <mergeCell ref="B848:B850"/>
    <mergeCell ref="C879:D879"/>
    <mergeCell ref="C880:D880"/>
    <mergeCell ref="C881:D881"/>
    <mergeCell ref="B882:B884"/>
    <mergeCell ref="A890:D890"/>
    <mergeCell ref="C964:D964"/>
    <mergeCell ref="C965:D965"/>
    <mergeCell ref="B1137:B1139"/>
    <mergeCell ref="A1162:D1162"/>
    <mergeCell ref="A1163:A1177"/>
    <mergeCell ref="B1171:B1173"/>
    <mergeCell ref="C1113:D1113"/>
    <mergeCell ref="C1114:D1114"/>
    <mergeCell ref="C270:D270"/>
    <mergeCell ref="C307:D307"/>
    <mergeCell ref="C308:D308"/>
    <mergeCell ref="C309:D309"/>
    <mergeCell ref="C999:D999"/>
    <mergeCell ref="C1000:D1000"/>
    <mergeCell ref="A1009:D1009"/>
    <mergeCell ref="B293:B295"/>
    <mergeCell ref="A1231:A1245"/>
    <mergeCell ref="B1239:B1241"/>
    <mergeCell ref="A806:A820"/>
    <mergeCell ref="A720:D720"/>
    <mergeCell ref="A1247:D1247"/>
    <mergeCell ref="A788:D788"/>
    <mergeCell ref="B746:B748"/>
    <mergeCell ref="A754:D754"/>
    <mergeCell ref="B797:B799"/>
    <mergeCell ref="A805:D805"/>
    <mergeCell ref="A1111:D1111"/>
    <mergeCell ref="C1117:D1117"/>
    <mergeCell ref="C1118:D1118"/>
    <mergeCell ref="C1119:D1119"/>
    <mergeCell ref="B1120:B1122"/>
    <mergeCell ref="A1128:D1128"/>
    <mergeCell ref="C1130:D1130"/>
    <mergeCell ref="C1131:D1131"/>
    <mergeCell ref="C1132:D1132"/>
    <mergeCell ref="C1133:D1133"/>
    <mergeCell ref="C1148:D1148"/>
    <mergeCell ref="C1031:D1031"/>
    <mergeCell ref="C1032:D1032"/>
    <mergeCell ref="C1033:D1033"/>
    <mergeCell ref="C1034:D1034"/>
    <mergeCell ref="C1202:D1202"/>
    <mergeCell ref="C1203:D1203"/>
    <mergeCell ref="A1179:D1179"/>
    <mergeCell ref="C1011:D1011"/>
    <mergeCell ref="A1010:A1024"/>
    <mergeCell ref="A993:A1007"/>
    <mergeCell ref="A1078:A1092"/>
    <mergeCell ref="C1250:D1250"/>
    <mergeCell ref="C1251:D1251"/>
    <mergeCell ref="C1252:D1252"/>
    <mergeCell ref="C844:D844"/>
    <mergeCell ref="C1182:D1182"/>
    <mergeCell ref="C1183:D1183"/>
    <mergeCell ref="C1184:D1184"/>
    <mergeCell ref="C1185:D1185"/>
    <mergeCell ref="C1186:D1186"/>
    <mergeCell ref="C1187:D1187"/>
    <mergeCell ref="C1198:D1198"/>
    <mergeCell ref="C1199:D1199"/>
    <mergeCell ref="C1200:D1200"/>
    <mergeCell ref="C1201:D1201"/>
    <mergeCell ref="C1221:D1221"/>
    <mergeCell ref="C1215:D1215"/>
    <mergeCell ref="C1216:D1216"/>
    <mergeCell ref="C1217:D1217"/>
    <mergeCell ref="C1218:D1218"/>
    <mergeCell ref="C1219:D1219"/>
    <mergeCell ref="C1220:D1220"/>
    <mergeCell ref="C1115:D1115"/>
    <mergeCell ref="C1116:D1116"/>
    <mergeCell ref="C1136:D1136"/>
    <mergeCell ref="C1204:D1204"/>
    <mergeCell ref="A1213:D1213"/>
    <mergeCell ref="A958:D958"/>
    <mergeCell ref="A942:A956"/>
    <mergeCell ref="A925:A939"/>
    <mergeCell ref="C947:D947"/>
    <mergeCell ref="A975:D975"/>
    <mergeCell ref="C977:D977"/>
    <mergeCell ref="C1249:D1249"/>
    <mergeCell ref="C1232:D1232"/>
    <mergeCell ref="C1233:D1233"/>
    <mergeCell ref="C1234:D1234"/>
    <mergeCell ref="C1235:D1235"/>
    <mergeCell ref="C1236:D1236"/>
    <mergeCell ref="C1237:D1237"/>
    <mergeCell ref="C1238:D1238"/>
    <mergeCell ref="C1170:D1170"/>
    <mergeCell ref="C1181:D1181"/>
    <mergeCell ref="C1149:D1149"/>
    <mergeCell ref="C1164:D1164"/>
    <mergeCell ref="C1165:D1165"/>
    <mergeCell ref="A1060:D1060"/>
    <mergeCell ref="A1043:D1043"/>
    <mergeCell ref="C1045:D1045"/>
    <mergeCell ref="C1062:D1062"/>
    <mergeCell ref="A1077:D1077"/>
    <mergeCell ref="C1102:D1102"/>
    <mergeCell ref="A1095:A1109"/>
    <mergeCell ref="B1103:B1105"/>
    <mergeCell ref="C1066:D1066"/>
    <mergeCell ref="C1067:D1067"/>
    <mergeCell ref="C1063:D1063"/>
    <mergeCell ref="C1068:D1068"/>
    <mergeCell ref="C1049:D1049"/>
    <mergeCell ref="C1050:D1050"/>
    <mergeCell ref="C1051:D1051"/>
    <mergeCell ref="C1046:D1046"/>
    <mergeCell ref="A1230:D1230"/>
    <mergeCell ref="B1205:B1207"/>
    <mergeCell ref="A1214:A1228"/>
    <mergeCell ref="A268:A282"/>
    <mergeCell ref="C388:D388"/>
    <mergeCell ref="C387:D387"/>
    <mergeCell ref="A319:A333"/>
    <mergeCell ref="A336:A348"/>
    <mergeCell ref="B729:B731"/>
    <mergeCell ref="B695:B697"/>
    <mergeCell ref="B678:B680"/>
    <mergeCell ref="A703:D703"/>
    <mergeCell ref="A586:D586"/>
    <mergeCell ref="B595:B597"/>
    <mergeCell ref="A603:C603"/>
    <mergeCell ref="A618:D618"/>
    <mergeCell ref="A635:D635"/>
    <mergeCell ref="A652:D652"/>
    <mergeCell ref="A669:D669"/>
    <mergeCell ref="A686:D686"/>
    <mergeCell ref="C688:D688"/>
    <mergeCell ref="C386:D386"/>
    <mergeCell ref="C384:D384"/>
    <mergeCell ref="C407:D407"/>
    <mergeCell ref="C539:D539"/>
    <mergeCell ref="C537:D537"/>
    <mergeCell ref="C538:D538"/>
    <mergeCell ref="C577:D577"/>
    <mergeCell ref="B712:B714"/>
    <mergeCell ref="A302:A316"/>
    <mergeCell ref="B310:B312"/>
    <mergeCell ref="A318:D318"/>
    <mergeCell ref="C320:D320"/>
    <mergeCell ref="C323:D323"/>
    <mergeCell ref="C694:D694"/>
    <mergeCell ref="C440:D440"/>
    <mergeCell ref="C441:D441"/>
    <mergeCell ref="C421:D421"/>
    <mergeCell ref="C422:D422"/>
    <mergeCell ref="C423:D423"/>
    <mergeCell ref="C424:D424"/>
    <mergeCell ref="A771:D771"/>
    <mergeCell ref="B780:B782"/>
    <mergeCell ref="A468:A482"/>
    <mergeCell ref="A485:A499"/>
    <mergeCell ref="C505:D505"/>
    <mergeCell ref="C503:D503"/>
    <mergeCell ref="C504:D504"/>
    <mergeCell ref="B527:B529"/>
    <mergeCell ref="B544:B546"/>
    <mergeCell ref="A570:A584"/>
    <mergeCell ref="A604:A616"/>
    <mergeCell ref="A587:A601"/>
    <mergeCell ref="A619:A633"/>
    <mergeCell ref="C676:D676"/>
    <mergeCell ref="C693:D693"/>
    <mergeCell ref="A553:A567"/>
    <mergeCell ref="A636:A650"/>
    <mergeCell ref="A653:A667"/>
    <mergeCell ref="A670:A684"/>
    <mergeCell ref="A687:A701"/>
    <mergeCell ref="C723:D723"/>
    <mergeCell ref="C1047:D1047"/>
    <mergeCell ref="C1048:D1048"/>
    <mergeCell ref="C573:D573"/>
    <mergeCell ref="C571:D571"/>
    <mergeCell ref="C572:D572"/>
    <mergeCell ref="C960:D960"/>
    <mergeCell ref="C961:D961"/>
    <mergeCell ref="C962:D962"/>
    <mergeCell ref="C963:D963"/>
    <mergeCell ref="C966:D966"/>
    <mergeCell ref="C1014:D1014"/>
    <mergeCell ref="C1015:D1015"/>
    <mergeCell ref="C1016:D1016"/>
    <mergeCell ref="C1017:D1017"/>
    <mergeCell ref="A1026:D1026"/>
    <mergeCell ref="C1028:D1028"/>
    <mergeCell ref="C1029:D1029"/>
    <mergeCell ref="C588:D588"/>
    <mergeCell ref="C589:D589"/>
    <mergeCell ref="C576:D576"/>
    <mergeCell ref="C795:D795"/>
    <mergeCell ref="C796:D796"/>
    <mergeCell ref="C807:D807"/>
    <mergeCell ref="C808:D808"/>
    <mergeCell ref="C809:D809"/>
    <mergeCell ref="C810:D810"/>
    <mergeCell ref="C842:D842"/>
    <mergeCell ref="C843:D843"/>
    <mergeCell ref="C705:D705"/>
    <mergeCell ref="C706:D706"/>
    <mergeCell ref="C707:D707"/>
    <mergeCell ref="C677:D677"/>
    <mergeCell ref="C790:D790"/>
    <mergeCell ref="C791:D791"/>
    <mergeCell ref="C792:D792"/>
    <mergeCell ref="C793:D793"/>
    <mergeCell ref="C794:D794"/>
    <mergeCell ref="C574:D574"/>
    <mergeCell ref="C575:D575"/>
    <mergeCell ref="A737:D737"/>
    <mergeCell ref="A789:A803"/>
    <mergeCell ref="A755:A769"/>
    <mergeCell ref="A772:A786"/>
    <mergeCell ref="B763:B765"/>
    <mergeCell ref="B644:B646"/>
    <mergeCell ref="C559:D559"/>
    <mergeCell ref="C560:D560"/>
    <mergeCell ref="C743:D743"/>
    <mergeCell ref="C744:D744"/>
    <mergeCell ref="C621:D621"/>
    <mergeCell ref="C622:D622"/>
    <mergeCell ref="C623:D623"/>
    <mergeCell ref="C624:D624"/>
    <mergeCell ref="C625:D625"/>
    <mergeCell ref="C638:D638"/>
    <mergeCell ref="B950:B952"/>
    <mergeCell ref="B933:B935"/>
    <mergeCell ref="C775:D775"/>
    <mergeCell ref="C776:D776"/>
    <mergeCell ref="C777:D777"/>
    <mergeCell ref="C778:D778"/>
    <mergeCell ref="C779:D779"/>
    <mergeCell ref="C642:D642"/>
    <mergeCell ref="C643:D643"/>
    <mergeCell ref="C841:D841"/>
    <mergeCell ref="C708:D708"/>
    <mergeCell ref="C709:D709"/>
    <mergeCell ref="C710:D710"/>
    <mergeCell ref="C711:D711"/>
    <mergeCell ref="C660:D660"/>
    <mergeCell ref="C654:D654"/>
    <mergeCell ref="C655:D655"/>
    <mergeCell ref="C656:D656"/>
    <mergeCell ref="C657:D657"/>
    <mergeCell ref="C658:D658"/>
    <mergeCell ref="C659:D659"/>
    <mergeCell ref="C689:D689"/>
    <mergeCell ref="C690:D690"/>
    <mergeCell ref="C691:D691"/>
    <mergeCell ref="C692:D692"/>
    <mergeCell ref="C671:D671"/>
    <mergeCell ref="C672:D672"/>
    <mergeCell ref="C673:D673"/>
    <mergeCell ref="C674:D674"/>
    <mergeCell ref="C675:D675"/>
    <mergeCell ref="C761:D761"/>
    <mergeCell ref="C722:D722"/>
    <mergeCell ref="A138:A150"/>
    <mergeCell ref="B161:B163"/>
    <mergeCell ref="C637:D637"/>
    <mergeCell ref="C592:D592"/>
    <mergeCell ref="C593:D593"/>
    <mergeCell ref="C594:D594"/>
    <mergeCell ref="C639:D639"/>
    <mergeCell ref="C640:D640"/>
    <mergeCell ref="C641:D641"/>
    <mergeCell ref="C626:D626"/>
    <mergeCell ref="C728:D728"/>
    <mergeCell ref="C739:D739"/>
    <mergeCell ref="C931:D931"/>
    <mergeCell ref="C932:D932"/>
    <mergeCell ref="C948:D948"/>
    <mergeCell ref="C949:D949"/>
    <mergeCell ref="C943:D943"/>
    <mergeCell ref="C944:D944"/>
    <mergeCell ref="C945:D945"/>
    <mergeCell ref="C946:D946"/>
    <mergeCell ref="C926:D926"/>
    <mergeCell ref="C927:D927"/>
    <mergeCell ref="C928:D928"/>
    <mergeCell ref="C929:D929"/>
    <mergeCell ref="C930:D930"/>
    <mergeCell ref="C724:D724"/>
    <mergeCell ref="C725:D725"/>
    <mergeCell ref="C726:D726"/>
    <mergeCell ref="C727:D727"/>
    <mergeCell ref="C740:D740"/>
    <mergeCell ref="C741:D741"/>
    <mergeCell ref="C742:D742"/>
    <mergeCell ref="C74:D74"/>
    <mergeCell ref="C71:D71"/>
    <mergeCell ref="C745:D745"/>
    <mergeCell ref="C756:D756"/>
    <mergeCell ref="C757:D757"/>
    <mergeCell ref="C758:D758"/>
    <mergeCell ref="C759:D759"/>
    <mergeCell ref="C762:D762"/>
    <mergeCell ref="C773:D773"/>
    <mergeCell ref="C774:D774"/>
    <mergeCell ref="C192:D192"/>
    <mergeCell ref="C193:D193"/>
    <mergeCell ref="C20:D20"/>
    <mergeCell ref="C21:D21"/>
    <mergeCell ref="A1:D1"/>
    <mergeCell ref="C3:D3"/>
    <mergeCell ref="C4:D4"/>
    <mergeCell ref="C5:D5"/>
    <mergeCell ref="C6:D6"/>
    <mergeCell ref="C22:D22"/>
    <mergeCell ref="C23:D23"/>
    <mergeCell ref="C40:D40"/>
    <mergeCell ref="C37:D37"/>
    <mergeCell ref="C38:D38"/>
    <mergeCell ref="C39:D39"/>
    <mergeCell ref="B44:B46"/>
    <mergeCell ref="C25:D25"/>
    <mergeCell ref="C26:D26"/>
    <mergeCell ref="A104:A118"/>
    <mergeCell ref="B112:B114"/>
    <mergeCell ref="A121:A135"/>
    <mergeCell ref="B129:B131"/>
    <mergeCell ref="C24:D24"/>
    <mergeCell ref="B27:B29"/>
    <mergeCell ref="C54:D54"/>
    <mergeCell ref="C55:D55"/>
    <mergeCell ref="C41:D41"/>
    <mergeCell ref="C42:D42"/>
    <mergeCell ref="C56:D56"/>
    <mergeCell ref="C7:D7"/>
    <mergeCell ref="A18:D18"/>
    <mergeCell ref="C8:D8"/>
    <mergeCell ref="C9:D9"/>
    <mergeCell ref="B10:B12"/>
    <mergeCell ref="A35:D35"/>
    <mergeCell ref="C43:D43"/>
    <mergeCell ref="C57:D57"/>
    <mergeCell ref="C58:D58"/>
    <mergeCell ref="C59:D59"/>
    <mergeCell ref="A53:A67"/>
    <mergeCell ref="B61:B63"/>
    <mergeCell ref="A2:A16"/>
    <mergeCell ref="A19:A33"/>
    <mergeCell ref="A36:A50"/>
    <mergeCell ref="C72:D72"/>
    <mergeCell ref="C73:D73"/>
    <mergeCell ref="A86:D86"/>
    <mergeCell ref="C88:D88"/>
    <mergeCell ref="C89:D89"/>
    <mergeCell ref="C90:D90"/>
    <mergeCell ref="C271:D271"/>
    <mergeCell ref="A52:D52"/>
    <mergeCell ref="A69:D69"/>
    <mergeCell ref="A103:D103"/>
    <mergeCell ref="A218:C218"/>
    <mergeCell ref="A203:C203"/>
    <mergeCell ref="C77:D77"/>
    <mergeCell ref="C60:D60"/>
    <mergeCell ref="A187:A201"/>
    <mergeCell ref="A204:A216"/>
    <mergeCell ref="A70:A84"/>
    <mergeCell ref="A87:A101"/>
    <mergeCell ref="B95:B97"/>
    <mergeCell ref="B78:B80"/>
    <mergeCell ref="A169:D169"/>
    <mergeCell ref="A186:D186"/>
    <mergeCell ref="A170:A184"/>
    <mergeCell ref="B178:B180"/>
    <mergeCell ref="C92:D92"/>
    <mergeCell ref="C91:D91"/>
    <mergeCell ref="C105:D105"/>
    <mergeCell ref="C106:D106"/>
    <mergeCell ref="C93:D93"/>
    <mergeCell ref="C94:D94"/>
    <mergeCell ref="C75:D75"/>
    <mergeCell ref="C76:D76"/>
    <mergeCell ref="C3326:D3326"/>
    <mergeCell ref="C3327:D3327"/>
    <mergeCell ref="C3328:D3328"/>
    <mergeCell ref="C3342:D3342"/>
    <mergeCell ref="C3340:D3340"/>
    <mergeCell ref="C3341:D3341"/>
    <mergeCell ref="C3323:D3323"/>
    <mergeCell ref="C3324:D3324"/>
    <mergeCell ref="C3343:D3343"/>
    <mergeCell ref="C3344:D3344"/>
    <mergeCell ref="C3345:D3345"/>
    <mergeCell ref="C3346:D3346"/>
    <mergeCell ref="C3329:D3329"/>
    <mergeCell ref="C3374:D3374"/>
    <mergeCell ref="C3358:D3358"/>
    <mergeCell ref="C3272:D3272"/>
    <mergeCell ref="C3273:D3273"/>
    <mergeCell ref="C3274:D3274"/>
    <mergeCell ref="C3275:D3275"/>
    <mergeCell ref="C3276:D3276"/>
    <mergeCell ref="C3038:D3038"/>
    <mergeCell ref="C3242:D3242"/>
    <mergeCell ref="C3243:D3243"/>
    <mergeCell ref="A3186:A3200"/>
    <mergeCell ref="A3203:A3217"/>
    <mergeCell ref="B3211:B3213"/>
    <mergeCell ref="B3228:B3230"/>
    <mergeCell ref="A3220:A3234"/>
    <mergeCell ref="B3245:B3247"/>
    <mergeCell ref="C3239:D3239"/>
    <mergeCell ref="C3244:D3244"/>
    <mergeCell ref="C3240:D3240"/>
    <mergeCell ref="C3241:D3241"/>
    <mergeCell ref="A3066:D3066"/>
    <mergeCell ref="C3068:D3068"/>
    <mergeCell ref="C3069:D3069"/>
    <mergeCell ref="C3125:D3125"/>
    <mergeCell ref="C3073:D3073"/>
    <mergeCell ref="C3074:D3074"/>
    <mergeCell ref="A3083:D3083"/>
    <mergeCell ref="C3086:D3086"/>
    <mergeCell ref="C3087:D3087"/>
    <mergeCell ref="C3159:D3159"/>
    <mergeCell ref="A3168:D3168"/>
    <mergeCell ref="A3151:D3151"/>
    <mergeCell ref="C3153:D3153"/>
    <mergeCell ref="C3154:D3154"/>
    <mergeCell ref="C3155:D3155"/>
    <mergeCell ref="C3156:D3156"/>
    <mergeCell ref="C3157:D3157"/>
    <mergeCell ref="C3158:D3158"/>
    <mergeCell ref="C2902:D2902"/>
    <mergeCell ref="A2913:D2913"/>
    <mergeCell ref="A2897:A2911"/>
    <mergeCell ref="B2905:B2907"/>
    <mergeCell ref="C2916:D2916"/>
    <mergeCell ref="C2917:D2917"/>
    <mergeCell ref="C3461:D3461"/>
    <mergeCell ref="C3462:D3462"/>
    <mergeCell ref="A3372:D3372"/>
    <mergeCell ref="A3355:D3355"/>
    <mergeCell ref="C3307:D3307"/>
    <mergeCell ref="C3308:D3308"/>
    <mergeCell ref="C3309:D3309"/>
    <mergeCell ref="C3310:D3310"/>
    <mergeCell ref="C3311:D3311"/>
    <mergeCell ref="A3321:D3321"/>
    <mergeCell ref="A3338:D3338"/>
    <mergeCell ref="A3118:A3132"/>
    <mergeCell ref="A3135:A3149"/>
    <mergeCell ref="B3143:B3145"/>
    <mergeCell ref="A3152:A3166"/>
    <mergeCell ref="B3160:B3162"/>
    <mergeCell ref="A3169:A3183"/>
    <mergeCell ref="C3277:D3277"/>
    <mergeCell ref="C2966:D2966"/>
    <mergeCell ref="C2967:D2967"/>
    <mergeCell ref="A3287:D3287"/>
    <mergeCell ref="C3289:D3289"/>
    <mergeCell ref="C3290:D3290"/>
    <mergeCell ref="C3291:D3291"/>
    <mergeCell ref="C3292:D3292"/>
    <mergeCell ref="C3293:D3293"/>
    <mergeCell ref="B3619:B3621"/>
    <mergeCell ref="C3618:D3618"/>
    <mergeCell ref="C3496:D3496"/>
    <mergeCell ref="C3497:D3497"/>
    <mergeCell ref="C3498:D3498"/>
    <mergeCell ref="C3499:D3499"/>
    <mergeCell ref="C2968:D2968"/>
    <mergeCell ref="C2969:D2969"/>
    <mergeCell ref="C2970:D2970"/>
    <mergeCell ref="C2971:D2971"/>
    <mergeCell ref="C2972:D2972"/>
    <mergeCell ref="A2981:D2981"/>
    <mergeCell ref="B2973:B2975"/>
    <mergeCell ref="C2983:D2983"/>
    <mergeCell ref="C2984:D2984"/>
    <mergeCell ref="C2987:D2987"/>
    <mergeCell ref="C2988:D2988"/>
    <mergeCell ref="C3138:D3138"/>
    <mergeCell ref="C3139:D3139"/>
    <mergeCell ref="C3140:D3140"/>
    <mergeCell ref="C3141:D3141"/>
    <mergeCell ref="C3142:D3142"/>
    <mergeCell ref="C2985:D2985"/>
    <mergeCell ref="C2986:D2986"/>
    <mergeCell ref="B2990:B2992"/>
    <mergeCell ref="C3085:D3085"/>
    <mergeCell ref="A2982:A2996"/>
    <mergeCell ref="B3007:B3009"/>
    <mergeCell ref="C3136:D3136"/>
    <mergeCell ref="C3137:D3137"/>
    <mergeCell ref="B3194:B3196"/>
    <mergeCell ref="A3134:D3134"/>
    <mergeCell ref="A3611:A3625"/>
    <mergeCell ref="C3000:D3000"/>
    <mergeCell ref="C3001:D3001"/>
    <mergeCell ref="C3002:D3002"/>
    <mergeCell ref="C3003:D3003"/>
    <mergeCell ref="C3004:D3004"/>
    <mergeCell ref="C3005:D3005"/>
    <mergeCell ref="C2918:D2918"/>
    <mergeCell ref="C2919:D2919"/>
    <mergeCell ref="C3071:D3071"/>
    <mergeCell ref="C3054:D3054"/>
    <mergeCell ref="C3055:D3055"/>
    <mergeCell ref="C3056:D3056"/>
    <mergeCell ref="C3057:D3057"/>
    <mergeCell ref="A3016:A3030"/>
    <mergeCell ref="A3033:A3047"/>
    <mergeCell ref="B3041:B3043"/>
    <mergeCell ref="A3050:A3064"/>
    <mergeCell ref="B3058:B3060"/>
    <mergeCell ref="C2955:D2955"/>
    <mergeCell ref="C2952:D2952"/>
    <mergeCell ref="C2953:D2953"/>
    <mergeCell ref="C2954:D2954"/>
    <mergeCell ref="C2921:D2921"/>
    <mergeCell ref="C3051:D3051"/>
    <mergeCell ref="C3052:D3052"/>
    <mergeCell ref="A3067:A3081"/>
    <mergeCell ref="B3075:B3077"/>
    <mergeCell ref="C3017:D3017"/>
    <mergeCell ref="C3018:D3018"/>
    <mergeCell ref="C3019:D3019"/>
    <mergeCell ref="C3020:D3020"/>
    <mergeCell ref="C3582:D3582"/>
    <mergeCell ref="C3583:D3583"/>
    <mergeCell ref="C3584:D3584"/>
    <mergeCell ref="A3593:D3593"/>
    <mergeCell ref="C3561:D3561"/>
    <mergeCell ref="C3562:D3562"/>
    <mergeCell ref="C3564:D3564"/>
    <mergeCell ref="C3565:D3565"/>
    <mergeCell ref="C3566:D3566"/>
    <mergeCell ref="C3567:D3567"/>
    <mergeCell ref="A3576:D3576"/>
    <mergeCell ref="C3549:D3549"/>
    <mergeCell ref="C3563:D3563"/>
    <mergeCell ref="A3288:A3302"/>
    <mergeCell ref="B3296:B3298"/>
    <mergeCell ref="A3305:A3319"/>
    <mergeCell ref="B3313:B3315"/>
    <mergeCell ref="A3322:A3336"/>
    <mergeCell ref="B3330:B3332"/>
    <mergeCell ref="B3347:B3349"/>
    <mergeCell ref="A3339:A3353"/>
    <mergeCell ref="C3359:D3359"/>
    <mergeCell ref="C3360:D3360"/>
    <mergeCell ref="C3361:D3361"/>
    <mergeCell ref="C3362:D3362"/>
    <mergeCell ref="C3294:D3294"/>
    <mergeCell ref="C3295:D3295"/>
    <mergeCell ref="A3304:D3304"/>
    <mergeCell ref="C3306:D3306"/>
    <mergeCell ref="C3380:D3380"/>
    <mergeCell ref="C3357:D3357"/>
    <mergeCell ref="C3325:D3325"/>
    <mergeCell ref="C3120:D3120"/>
    <mergeCell ref="C3121:D3121"/>
    <mergeCell ref="B3126:B3128"/>
    <mergeCell ref="C3175:D3175"/>
    <mergeCell ref="C3176:D3176"/>
    <mergeCell ref="A3185:D3185"/>
    <mergeCell ref="C3187:D3187"/>
    <mergeCell ref="C3188:D3188"/>
    <mergeCell ref="C3189:D3189"/>
    <mergeCell ref="C3190:D3190"/>
    <mergeCell ref="C3209:D3209"/>
    <mergeCell ref="C3210:D3210"/>
    <mergeCell ref="C3193:D3193"/>
    <mergeCell ref="A3202:D3202"/>
    <mergeCell ref="C3204:D3204"/>
    <mergeCell ref="C3205:D3205"/>
    <mergeCell ref="C3206:D3206"/>
    <mergeCell ref="C3207:D3207"/>
    <mergeCell ref="C3208:D3208"/>
    <mergeCell ref="C3122:D3122"/>
    <mergeCell ref="C3123:D3123"/>
    <mergeCell ref="C3124:D3124"/>
    <mergeCell ref="B3177:B3179"/>
    <mergeCell ref="C3170:D3170"/>
    <mergeCell ref="C3171:D3171"/>
    <mergeCell ref="C3172:D3172"/>
    <mergeCell ref="C3173:D3173"/>
    <mergeCell ref="C3256:D3256"/>
    <mergeCell ref="C3257:D3257"/>
    <mergeCell ref="C3258:D3258"/>
    <mergeCell ref="C3259:D3259"/>
    <mergeCell ref="C3260:D3260"/>
    <mergeCell ref="C3261:D3261"/>
    <mergeCell ref="A3270:D3270"/>
    <mergeCell ref="C3227:D3227"/>
    <mergeCell ref="A3219:D3219"/>
    <mergeCell ref="C3221:D3221"/>
    <mergeCell ref="C3222:D3222"/>
    <mergeCell ref="C3223:D3223"/>
    <mergeCell ref="C3224:D3224"/>
    <mergeCell ref="C3225:D3225"/>
    <mergeCell ref="C3226:D3226"/>
    <mergeCell ref="B3279:B3281"/>
    <mergeCell ref="C3174:D3174"/>
    <mergeCell ref="C3476:D3476"/>
    <mergeCell ref="C3463:D3463"/>
    <mergeCell ref="C3464:D3464"/>
    <mergeCell ref="C3544:D3544"/>
    <mergeCell ref="C3532:D3532"/>
    <mergeCell ref="C3533:D3533"/>
    <mergeCell ref="C3477:D3477"/>
    <mergeCell ref="C3478:D3478"/>
    <mergeCell ref="C3479:D3479"/>
    <mergeCell ref="C3480:D3480"/>
    <mergeCell ref="C3481:D3481"/>
    <mergeCell ref="C3482:D3482"/>
    <mergeCell ref="A3491:D3491"/>
    <mergeCell ref="C3493:D3493"/>
    <mergeCell ref="C3494:D3494"/>
    <mergeCell ref="C3495:D3495"/>
    <mergeCell ref="B3364:B3366"/>
    <mergeCell ref="A3356:A3370"/>
    <mergeCell ref="A3373:A3387"/>
    <mergeCell ref="B3381:B3383"/>
    <mergeCell ref="A3390:A3404"/>
    <mergeCell ref="B3398:B3400"/>
    <mergeCell ref="C2631:D2631"/>
    <mergeCell ref="C2632:D2632"/>
    <mergeCell ref="A2625:A2639"/>
    <mergeCell ref="C2644:D2644"/>
    <mergeCell ref="C2645:D2645"/>
    <mergeCell ref="C3108:D3108"/>
    <mergeCell ref="B3109:B3111"/>
    <mergeCell ref="C3103:D3103"/>
    <mergeCell ref="C3104:D3104"/>
    <mergeCell ref="C3105:D3105"/>
    <mergeCell ref="C3106:D3106"/>
    <mergeCell ref="C3107:D3107"/>
    <mergeCell ref="A3117:D3117"/>
    <mergeCell ref="C3119:D3119"/>
    <mergeCell ref="A3101:A3115"/>
    <mergeCell ref="C2937:D2937"/>
    <mergeCell ref="A2930:D2930"/>
    <mergeCell ref="C2932:D2932"/>
    <mergeCell ref="C2933:D2933"/>
    <mergeCell ref="C2934:D2934"/>
    <mergeCell ref="C2935:D2935"/>
    <mergeCell ref="C3023:D3023"/>
    <mergeCell ref="C3034:D3034"/>
    <mergeCell ref="C3035:D3035"/>
    <mergeCell ref="C3036:D3036"/>
    <mergeCell ref="C3037:D3037"/>
    <mergeCell ref="A2999:A3013"/>
    <mergeCell ref="B3024:B3026"/>
    <mergeCell ref="A3032:D3032"/>
    <mergeCell ref="C3072:D3072"/>
    <mergeCell ref="C2899:D2899"/>
    <mergeCell ref="C2900:D2900"/>
    <mergeCell ref="A2931:A2945"/>
    <mergeCell ref="C2920:D2920"/>
    <mergeCell ref="C3070:D3070"/>
    <mergeCell ref="C3040:D3040"/>
    <mergeCell ref="A3049:D3049"/>
    <mergeCell ref="C3091:D3091"/>
    <mergeCell ref="B3092:B3094"/>
    <mergeCell ref="C3053:D3053"/>
    <mergeCell ref="C3088:D3088"/>
    <mergeCell ref="C3089:D3089"/>
    <mergeCell ref="C3090:D3090"/>
    <mergeCell ref="B3449:B3451"/>
    <mergeCell ref="C3447:D3447"/>
    <mergeCell ref="C3448:D3448"/>
    <mergeCell ref="C3363:D3363"/>
    <mergeCell ref="C3312:D3312"/>
    <mergeCell ref="C3375:D3375"/>
    <mergeCell ref="C3376:D3376"/>
    <mergeCell ref="C3377:D3377"/>
    <mergeCell ref="C3378:D3378"/>
    <mergeCell ref="C3379:D3379"/>
    <mergeCell ref="C3278:D3278"/>
    <mergeCell ref="C3191:D3191"/>
    <mergeCell ref="C3192:D3192"/>
    <mergeCell ref="A3236:D3236"/>
    <mergeCell ref="C3238:D3238"/>
    <mergeCell ref="A3254:A3268"/>
    <mergeCell ref="A3271:A3285"/>
    <mergeCell ref="A3237:A3251"/>
    <mergeCell ref="B3262:B3264"/>
    <mergeCell ref="A3253:D3253"/>
    <mergeCell ref="C3255:D3255"/>
    <mergeCell ref="A3100:D3100"/>
    <mergeCell ref="C3102:D3102"/>
    <mergeCell ref="A3084:A3098"/>
    <mergeCell ref="C2851:D2851"/>
    <mergeCell ref="C2852:D2852"/>
    <mergeCell ref="A2846:A2860"/>
    <mergeCell ref="B2854:B2856"/>
    <mergeCell ref="C2848:D2848"/>
    <mergeCell ref="A2862:D2862"/>
    <mergeCell ref="C2853:D2853"/>
    <mergeCell ref="C2865:D2865"/>
    <mergeCell ref="C2866:D2866"/>
    <mergeCell ref="C2867:D2867"/>
    <mergeCell ref="C2868:D2868"/>
    <mergeCell ref="C2864:D2864"/>
    <mergeCell ref="C2869:D2869"/>
    <mergeCell ref="C2882:D2882"/>
    <mergeCell ref="C2883:D2883"/>
    <mergeCell ref="C2884:D2884"/>
    <mergeCell ref="C2885:D2885"/>
    <mergeCell ref="A3015:D3015"/>
    <mergeCell ref="A2998:D2998"/>
    <mergeCell ref="C3021:D3021"/>
    <mergeCell ref="C3022:D3022"/>
    <mergeCell ref="C2989:D2989"/>
    <mergeCell ref="C3006:D3006"/>
    <mergeCell ref="C2936:D2936"/>
    <mergeCell ref="C2915:D2915"/>
    <mergeCell ref="A2947:D2947"/>
    <mergeCell ref="C2949:D2949"/>
    <mergeCell ref="C2950:D2950"/>
    <mergeCell ref="C2951:D2951"/>
    <mergeCell ref="A2624:D2624"/>
    <mergeCell ref="C2626:D2626"/>
    <mergeCell ref="C2627:D2627"/>
    <mergeCell ref="C2628:D2628"/>
    <mergeCell ref="C2830:D2830"/>
    <mergeCell ref="B2633:B2635"/>
    <mergeCell ref="C2630:D2630"/>
    <mergeCell ref="C2903:D2903"/>
    <mergeCell ref="C2904:D2904"/>
    <mergeCell ref="C3039:D3039"/>
    <mergeCell ref="A2829:A2843"/>
    <mergeCell ref="B2837:B2839"/>
    <mergeCell ref="A2845:D2845"/>
    <mergeCell ref="C2847:D2847"/>
    <mergeCell ref="B2922:B2924"/>
    <mergeCell ref="A2914:A2928"/>
    <mergeCell ref="C2938:D2938"/>
    <mergeCell ref="B2939:B2941"/>
    <mergeCell ref="A2964:D2964"/>
    <mergeCell ref="A2948:A2962"/>
    <mergeCell ref="B2956:B2958"/>
    <mergeCell ref="A2965:A2979"/>
    <mergeCell ref="C2898:D2898"/>
    <mergeCell ref="A2896:D2896"/>
    <mergeCell ref="C2901:D2901"/>
    <mergeCell ref="C2716:D2716"/>
    <mergeCell ref="C2717:D2717"/>
    <mergeCell ref="A2692:D2692"/>
    <mergeCell ref="C2694:D2694"/>
    <mergeCell ref="B2684:B2686"/>
    <mergeCell ref="A2709:D2709"/>
    <mergeCell ref="C2711:D2711"/>
    <mergeCell ref="C2320:D2320"/>
    <mergeCell ref="C2321:D2321"/>
    <mergeCell ref="C2322:D2322"/>
    <mergeCell ref="C2323:D2323"/>
    <mergeCell ref="C2324:D2324"/>
    <mergeCell ref="C2325:D2325"/>
    <mergeCell ref="C2408:D2408"/>
    <mergeCell ref="C2425:D2425"/>
    <mergeCell ref="C2426:D2426"/>
    <mergeCell ref="A2420:D2420"/>
    <mergeCell ref="C2422:D2422"/>
    <mergeCell ref="C2423:D2423"/>
    <mergeCell ref="C2424:D2424"/>
    <mergeCell ref="C2427:D2427"/>
    <mergeCell ref="A2421:A2435"/>
    <mergeCell ref="C2849:D2849"/>
    <mergeCell ref="C2850:D2850"/>
    <mergeCell ref="A2557:A2571"/>
    <mergeCell ref="B2565:B2567"/>
    <mergeCell ref="A2574:A2588"/>
    <mergeCell ref="B2582:B2584"/>
    <mergeCell ref="A2659:A2673"/>
    <mergeCell ref="B2667:B2669"/>
    <mergeCell ref="B2650:B2652"/>
    <mergeCell ref="C2683:D2683"/>
    <mergeCell ref="A2726:D2726"/>
    <mergeCell ref="C2678:D2678"/>
    <mergeCell ref="C2679:D2679"/>
    <mergeCell ref="C2680:D2680"/>
    <mergeCell ref="C2681:D2681"/>
    <mergeCell ref="C2682:D2682"/>
    <mergeCell ref="A2675:D2675"/>
    <mergeCell ref="B2412:B2414"/>
    <mergeCell ref="A2404:A2418"/>
    <mergeCell ref="C2407:D2407"/>
    <mergeCell ref="C2391:D2391"/>
    <mergeCell ref="A2403:D2403"/>
    <mergeCell ref="C2405:D2405"/>
    <mergeCell ref="C2406:D2406"/>
    <mergeCell ref="C2409:D2409"/>
    <mergeCell ref="C2410:D2410"/>
    <mergeCell ref="C2411:D2411"/>
    <mergeCell ref="C2443:D2443"/>
    <mergeCell ref="C2444:D2444"/>
    <mergeCell ref="C2428:D2428"/>
    <mergeCell ref="C2439:D2439"/>
    <mergeCell ref="C2440:D2440"/>
    <mergeCell ref="C2441:D2441"/>
    <mergeCell ref="C2442:D2442"/>
    <mergeCell ref="B2395:B2397"/>
    <mergeCell ref="B2429:B2431"/>
    <mergeCell ref="A2437:D2437"/>
    <mergeCell ref="A2438:A2452"/>
    <mergeCell ref="C2629:D2629"/>
    <mergeCell ref="A2658:D2658"/>
    <mergeCell ref="C2661:D2661"/>
    <mergeCell ref="C2662:D2662"/>
    <mergeCell ref="C2663:D2663"/>
    <mergeCell ref="C2664:D2664"/>
    <mergeCell ref="C2665:D2665"/>
    <mergeCell ref="C2666:D2666"/>
    <mergeCell ref="C2677:D2677"/>
    <mergeCell ref="B3466:B3468"/>
    <mergeCell ref="A3458:A3472"/>
    <mergeCell ref="B3483:B3485"/>
    <mergeCell ref="A3475:A3489"/>
    <mergeCell ref="A3627:D3627"/>
    <mergeCell ref="A3492:A3506"/>
    <mergeCell ref="B3500:B3502"/>
    <mergeCell ref="C3465:D3465"/>
    <mergeCell ref="A3474:D3474"/>
    <mergeCell ref="A3389:D3389"/>
    <mergeCell ref="C3391:D3391"/>
    <mergeCell ref="C3392:D3392"/>
    <mergeCell ref="C3393:D3393"/>
    <mergeCell ref="C3394:D3394"/>
    <mergeCell ref="C3395:D3395"/>
    <mergeCell ref="C3396:D3396"/>
    <mergeCell ref="C3397:D3397"/>
    <mergeCell ref="A3406:D3406"/>
    <mergeCell ref="C3408:D3408"/>
    <mergeCell ref="C3409:D3409"/>
    <mergeCell ref="C3410:D3410"/>
    <mergeCell ref="C3411:D3411"/>
    <mergeCell ref="C3412:D3412"/>
    <mergeCell ref="C3649:D3649"/>
    <mergeCell ref="C3516:D3516"/>
    <mergeCell ref="B3517:B3519"/>
    <mergeCell ref="B3568:B3570"/>
    <mergeCell ref="B3585:B3587"/>
    <mergeCell ref="A3577:A3591"/>
    <mergeCell ref="B3602:B3604"/>
    <mergeCell ref="A3526:A3540"/>
    <mergeCell ref="B3534:B3536"/>
    <mergeCell ref="A3543:A3557"/>
    <mergeCell ref="B3551:B3553"/>
    <mergeCell ref="A3560:A3574"/>
    <mergeCell ref="A3509:A3523"/>
    <mergeCell ref="C3545:D3545"/>
    <mergeCell ref="C3546:D3546"/>
    <mergeCell ref="C3547:D3547"/>
    <mergeCell ref="C3548:D3548"/>
    <mergeCell ref="C3612:D3612"/>
    <mergeCell ref="C3613:D3613"/>
    <mergeCell ref="C3598:D3598"/>
    <mergeCell ref="C3599:D3599"/>
    <mergeCell ref="C3595:D3595"/>
    <mergeCell ref="C3614:D3614"/>
    <mergeCell ref="C3615:D3615"/>
    <mergeCell ref="A3610:D3610"/>
    <mergeCell ref="C3616:D3616"/>
    <mergeCell ref="C3617:D3617"/>
    <mergeCell ref="C3600:D3600"/>
    <mergeCell ref="C3578:D3578"/>
    <mergeCell ref="C3579:D3579"/>
    <mergeCell ref="C3580:D3580"/>
    <mergeCell ref="C3581:D3581"/>
    <mergeCell ref="C3667:D3667"/>
    <mergeCell ref="C3668:D3668"/>
    <mergeCell ref="C3651:D3651"/>
    <mergeCell ref="C3652:D3652"/>
    <mergeCell ref="A3661:D3661"/>
    <mergeCell ref="C3663:D3663"/>
    <mergeCell ref="C3664:D3664"/>
    <mergeCell ref="C3665:D3665"/>
    <mergeCell ref="C3666:D3666"/>
    <mergeCell ref="A3508:D3508"/>
    <mergeCell ref="C3510:D3510"/>
    <mergeCell ref="C3511:D3511"/>
    <mergeCell ref="C3512:D3512"/>
    <mergeCell ref="C3513:D3513"/>
    <mergeCell ref="C3514:D3514"/>
    <mergeCell ref="C3515:D3515"/>
    <mergeCell ref="A3525:D3525"/>
    <mergeCell ref="C3527:D3527"/>
    <mergeCell ref="C3528:D3528"/>
    <mergeCell ref="C3529:D3529"/>
    <mergeCell ref="C3530:D3530"/>
    <mergeCell ref="C3531:D3531"/>
    <mergeCell ref="C3650:D3650"/>
    <mergeCell ref="A3542:D3542"/>
    <mergeCell ref="A3594:A3608"/>
    <mergeCell ref="A3644:D3644"/>
    <mergeCell ref="C3646:D3646"/>
    <mergeCell ref="C3647:D3647"/>
    <mergeCell ref="C3648:D3648"/>
    <mergeCell ref="C3629:D3629"/>
    <mergeCell ref="C3630:D3630"/>
    <mergeCell ref="C3631:D3631"/>
    <mergeCell ref="C3632:D3632"/>
    <mergeCell ref="C3633:D3633"/>
    <mergeCell ref="C3634:D3634"/>
    <mergeCell ref="C3601:D3601"/>
    <mergeCell ref="C3596:D3596"/>
    <mergeCell ref="C3597:D3597"/>
    <mergeCell ref="C3550:D3550"/>
    <mergeCell ref="A3559:D3559"/>
    <mergeCell ref="C3413:D3413"/>
    <mergeCell ref="C3414:D3414"/>
    <mergeCell ref="A3423:D3423"/>
    <mergeCell ref="C3425:D3425"/>
    <mergeCell ref="C3426:D3426"/>
    <mergeCell ref="C3427:D3427"/>
    <mergeCell ref="C3428:D3428"/>
    <mergeCell ref="B3415:B3417"/>
    <mergeCell ref="C3431:D3431"/>
    <mergeCell ref="B3432:B3434"/>
    <mergeCell ref="C3429:D3429"/>
    <mergeCell ref="C3430:D3430"/>
    <mergeCell ref="A3440:D3440"/>
    <mergeCell ref="C3442:D3442"/>
    <mergeCell ref="C3443:D3443"/>
    <mergeCell ref="C3444:D3444"/>
    <mergeCell ref="A3424:A3438"/>
    <mergeCell ref="A3407:A3421"/>
    <mergeCell ref="C3445:D3445"/>
    <mergeCell ref="C3446:D3446"/>
    <mergeCell ref="A3441:A3455"/>
    <mergeCell ref="A3457:D3457"/>
    <mergeCell ref="C3459:D3459"/>
    <mergeCell ref="C3460:D34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805"/>
  <sheetViews>
    <sheetView topLeftCell="A1853" workbookViewId="0">
      <selection activeCell="D1881" sqref="D1881"/>
    </sheetView>
  </sheetViews>
  <sheetFormatPr defaultColWidth="14.42578125" defaultRowHeight="15" customHeight="1" x14ac:dyDescent="0.2"/>
  <cols>
    <col min="1" max="1" width="18.5703125" customWidth="1"/>
    <col min="2" max="2" width="12.85546875" customWidth="1"/>
    <col min="3" max="3" width="8" customWidth="1"/>
    <col min="4" max="4" width="18.42578125" customWidth="1"/>
    <col min="5" max="6" width="8" customWidth="1"/>
  </cols>
  <sheetData>
    <row r="1" spans="1:4" ht="12.75" customHeight="1" x14ac:dyDescent="0.2">
      <c r="A1" s="22" t="str">
        <f>HYPERLINK("javascript:void(0)","surranó")</f>
        <v>surranó</v>
      </c>
      <c r="B1" s="21"/>
      <c r="C1" s="21"/>
      <c r="D1" s="2"/>
    </row>
    <row r="2" spans="1:4" ht="12.75" customHeight="1" x14ac:dyDescent="0.2">
      <c r="A2" s="20"/>
      <c r="B2" s="2"/>
      <c r="C2" s="2"/>
      <c r="D2" s="2"/>
    </row>
    <row r="3" spans="1:4" ht="12.75" customHeight="1" x14ac:dyDescent="0.2">
      <c r="A3" s="21"/>
      <c r="B3" s="3" t="s">
        <v>0</v>
      </c>
      <c r="C3" s="3" t="s">
        <v>25</v>
      </c>
      <c r="D3" s="2"/>
    </row>
    <row r="4" spans="1:4" ht="12.75" customHeight="1" x14ac:dyDescent="0.2">
      <c r="A4" s="21"/>
      <c r="B4" s="3" t="s">
        <v>2</v>
      </c>
      <c r="C4" s="3"/>
      <c r="D4" s="2"/>
    </row>
    <row r="5" spans="1:4" ht="12.75" customHeight="1" x14ac:dyDescent="0.2">
      <c r="A5" s="21"/>
      <c r="B5" s="3" t="s">
        <v>1840</v>
      </c>
      <c r="C5" s="3" t="s">
        <v>1</v>
      </c>
      <c r="D5" s="2"/>
    </row>
    <row r="6" spans="1:4" ht="12.75" customHeight="1" x14ac:dyDescent="0.2">
      <c r="A6" s="21"/>
      <c r="B6" s="3" t="s">
        <v>9</v>
      </c>
      <c r="C6" s="3" t="s">
        <v>27</v>
      </c>
      <c r="D6" s="2"/>
    </row>
    <row r="7" spans="1:4" ht="12.75" customHeight="1" x14ac:dyDescent="0.2">
      <c r="A7" s="21"/>
      <c r="B7" s="3" t="s">
        <v>11</v>
      </c>
      <c r="C7" s="3" t="s">
        <v>12</v>
      </c>
      <c r="D7" s="2"/>
    </row>
    <row r="8" spans="1:4" ht="12.75" customHeight="1" x14ac:dyDescent="0.2">
      <c r="A8" s="21"/>
      <c r="B8" s="3" t="s">
        <v>16</v>
      </c>
      <c r="C8" s="3"/>
      <c r="D8" s="2"/>
    </row>
    <row r="9" spans="1:4" ht="12.75" customHeight="1" x14ac:dyDescent="0.2">
      <c r="A9" s="21"/>
      <c r="B9" s="3" t="s">
        <v>17</v>
      </c>
      <c r="C9" s="3" t="s">
        <v>19</v>
      </c>
      <c r="D9" s="2"/>
    </row>
    <row r="10" spans="1:4" ht="12.75" customHeight="1" x14ac:dyDescent="0.2">
      <c r="A10" s="21"/>
      <c r="B10" s="3" t="s">
        <v>18</v>
      </c>
      <c r="C10" s="4" t="s">
        <v>19</v>
      </c>
      <c r="D10" s="2"/>
    </row>
    <row r="11" spans="1:4" ht="12.75" customHeight="1" x14ac:dyDescent="0.2">
      <c r="A11" s="21"/>
      <c r="B11" s="2"/>
      <c r="C11" s="2"/>
      <c r="D11" s="2"/>
    </row>
    <row r="12" spans="1:4" ht="12.75" customHeight="1" x14ac:dyDescent="0.2">
      <c r="A12" s="21"/>
      <c r="B12" s="2"/>
      <c r="C12" s="2"/>
      <c r="D12" s="2"/>
    </row>
    <row r="13" spans="1:4" ht="12.75" customHeight="1" x14ac:dyDescent="0.2">
      <c r="A13" s="21"/>
      <c r="B13" s="2"/>
      <c r="C13" s="2"/>
      <c r="D13" s="2"/>
    </row>
    <row r="14" spans="1:4" ht="12.75" customHeight="1" x14ac:dyDescent="0.2">
      <c r="A14" s="21"/>
      <c r="B14" s="2"/>
      <c r="C14" s="2"/>
      <c r="D14" s="2"/>
    </row>
    <row r="15" spans="1:4" ht="12.75" customHeight="1" x14ac:dyDescent="0.2">
      <c r="A15" s="5"/>
      <c r="B15" s="2"/>
      <c r="C15" s="2"/>
      <c r="D15" s="2"/>
    </row>
    <row r="16" spans="1:4" ht="12.75" customHeight="1" x14ac:dyDescent="0.2">
      <c r="A16" s="22" t="str">
        <f>HYPERLINK("javascript:void(0)","bakancs")</f>
        <v>bakancs</v>
      </c>
      <c r="B16" s="21"/>
      <c r="C16" s="21"/>
      <c r="D16" s="2"/>
    </row>
    <row r="17" spans="1:4" ht="12.75" customHeight="1" x14ac:dyDescent="0.2">
      <c r="A17" s="20"/>
      <c r="B17" s="2"/>
      <c r="C17" s="2"/>
      <c r="D17" s="2"/>
    </row>
    <row r="18" spans="1:4" ht="12.75" customHeight="1" x14ac:dyDescent="0.2">
      <c r="A18" s="21"/>
      <c r="B18" s="3" t="s">
        <v>0</v>
      </c>
      <c r="C18" s="3" t="s">
        <v>7</v>
      </c>
      <c r="D18" s="2"/>
    </row>
    <row r="19" spans="1:4" ht="12.75" customHeight="1" x14ac:dyDescent="0.2">
      <c r="A19" s="21"/>
      <c r="B19" s="3" t="s">
        <v>2</v>
      </c>
      <c r="C19" s="3"/>
      <c r="D19" s="2"/>
    </row>
    <row r="20" spans="1:4" ht="12.75" customHeight="1" x14ac:dyDescent="0.2">
      <c r="A20" s="21"/>
      <c r="B20" s="3" t="s">
        <v>1840</v>
      </c>
      <c r="C20" s="3" t="s">
        <v>25</v>
      </c>
      <c r="D20" s="2"/>
    </row>
    <row r="21" spans="1:4" ht="12.75" customHeight="1" x14ac:dyDescent="0.2">
      <c r="A21" s="21"/>
      <c r="B21" s="3" t="s">
        <v>9</v>
      </c>
      <c r="C21" s="3" t="s">
        <v>93</v>
      </c>
      <c r="D21" s="2"/>
    </row>
    <row r="22" spans="1:4" ht="12.75" customHeight="1" x14ac:dyDescent="0.2">
      <c r="A22" s="21"/>
      <c r="B22" s="3" t="s">
        <v>11</v>
      </c>
      <c r="C22" s="3" t="s">
        <v>31</v>
      </c>
      <c r="D22" s="2"/>
    </row>
    <row r="23" spans="1:4" ht="12.75" customHeight="1" x14ac:dyDescent="0.2">
      <c r="A23" s="21"/>
      <c r="B23" s="3" t="s">
        <v>16</v>
      </c>
      <c r="C23" s="3"/>
      <c r="D23" s="2"/>
    </row>
    <row r="24" spans="1:4" ht="12.75" customHeight="1" x14ac:dyDescent="0.2">
      <c r="A24" s="21"/>
      <c r="B24" s="3" t="s">
        <v>17</v>
      </c>
      <c r="C24" s="3" t="s">
        <v>19</v>
      </c>
      <c r="D24" s="2"/>
    </row>
    <row r="25" spans="1:4" ht="12.75" customHeight="1" x14ac:dyDescent="0.2">
      <c r="A25" s="21"/>
      <c r="B25" s="3" t="s">
        <v>18</v>
      </c>
      <c r="C25" s="4" t="s">
        <v>19</v>
      </c>
      <c r="D25" s="2"/>
    </row>
    <row r="26" spans="1:4" ht="12.75" customHeight="1" x14ac:dyDescent="0.2">
      <c r="A26" s="21"/>
      <c r="B26" s="2"/>
      <c r="C26" s="2"/>
      <c r="D26" s="2"/>
    </row>
    <row r="27" spans="1:4" ht="12.75" customHeight="1" x14ac:dyDescent="0.2">
      <c r="A27" s="21"/>
      <c r="B27" s="2"/>
      <c r="C27" s="2"/>
      <c r="D27" s="2"/>
    </row>
    <row r="28" spans="1:4" ht="12.75" customHeight="1" x14ac:dyDescent="0.2">
      <c r="A28" s="21"/>
      <c r="B28" s="2"/>
      <c r="C28" s="2"/>
      <c r="D28" s="2"/>
    </row>
    <row r="29" spans="1:4" ht="12.75" customHeight="1" x14ac:dyDescent="0.2">
      <c r="A29" s="21"/>
      <c r="B29" s="2"/>
      <c r="C29" s="2"/>
      <c r="D29" s="2"/>
    </row>
    <row r="30" spans="1:4" ht="12.75" customHeight="1" x14ac:dyDescent="0.2">
      <c r="A30" s="5"/>
      <c r="B30" s="2"/>
      <c r="C30" s="2"/>
      <c r="D30" s="2"/>
    </row>
    <row r="31" spans="1:4" ht="12.75" customHeight="1" x14ac:dyDescent="0.2">
      <c r="A31" s="22" t="str">
        <f>HYPERLINK("javascript:void(0)","bőrcsizma")</f>
        <v>bőrcsizma</v>
      </c>
      <c r="B31" s="21"/>
      <c r="C31" s="21"/>
      <c r="D31" s="2"/>
    </row>
    <row r="32" spans="1:4" ht="12.75" customHeight="1" x14ac:dyDescent="0.2">
      <c r="A32" s="20"/>
      <c r="B32" s="2"/>
      <c r="C32" s="2"/>
      <c r="D32" s="2"/>
    </row>
    <row r="33" spans="1:4" ht="12.75" customHeight="1" x14ac:dyDescent="0.2">
      <c r="A33" s="21"/>
      <c r="B33" s="3" t="s">
        <v>0</v>
      </c>
      <c r="C33" s="3" t="s">
        <v>26</v>
      </c>
      <c r="D33" s="2"/>
    </row>
    <row r="34" spans="1:4" ht="12.75" customHeight="1" x14ac:dyDescent="0.2">
      <c r="A34" s="21"/>
      <c r="B34" s="3" t="s">
        <v>2</v>
      </c>
      <c r="C34" s="3"/>
      <c r="D34" s="2"/>
    </row>
    <row r="35" spans="1:4" ht="12.75" customHeight="1" x14ac:dyDescent="0.2">
      <c r="A35" s="21"/>
      <c r="B35" s="3" t="s">
        <v>1840</v>
      </c>
      <c r="C35" s="3" t="s">
        <v>29</v>
      </c>
      <c r="D35" s="2"/>
    </row>
    <row r="36" spans="1:4" ht="12.75" customHeight="1" x14ac:dyDescent="0.2">
      <c r="A36" s="21"/>
      <c r="B36" s="3" t="s">
        <v>9</v>
      </c>
      <c r="C36" s="3" t="s">
        <v>172</v>
      </c>
      <c r="D36" s="2"/>
    </row>
    <row r="37" spans="1:4" ht="12.75" customHeight="1" x14ac:dyDescent="0.2">
      <c r="A37" s="21"/>
      <c r="B37" s="3" t="s">
        <v>11</v>
      </c>
      <c r="C37" s="3" t="s">
        <v>165</v>
      </c>
      <c r="D37" s="2"/>
    </row>
    <row r="38" spans="1:4" ht="12.75" customHeight="1" x14ac:dyDescent="0.2">
      <c r="A38" s="21"/>
      <c r="B38" s="3" t="s">
        <v>16</v>
      </c>
      <c r="C38" s="3"/>
      <c r="D38" s="2"/>
    </row>
    <row r="39" spans="1:4" ht="12.75" customHeight="1" x14ac:dyDescent="0.2">
      <c r="A39" s="21"/>
      <c r="B39" s="3" t="s">
        <v>17</v>
      </c>
      <c r="C39" s="3" t="s">
        <v>19</v>
      </c>
      <c r="D39" s="2"/>
    </row>
    <row r="40" spans="1:4" ht="12.75" customHeight="1" x14ac:dyDescent="0.2">
      <c r="A40" s="21"/>
      <c r="B40" s="3" t="s">
        <v>18</v>
      </c>
      <c r="C40" s="4" t="s">
        <v>19</v>
      </c>
      <c r="D40" s="2"/>
    </row>
    <row r="41" spans="1:4" ht="12.75" customHeight="1" x14ac:dyDescent="0.2">
      <c r="A41" s="21"/>
      <c r="B41" s="2"/>
      <c r="C41" s="2"/>
      <c r="D41" s="2"/>
    </row>
    <row r="42" spans="1:4" ht="12.75" customHeight="1" x14ac:dyDescent="0.2">
      <c r="A42" s="21"/>
      <c r="B42" s="2"/>
      <c r="C42" s="2"/>
      <c r="D42" s="2"/>
    </row>
    <row r="43" spans="1:4" ht="12.75" customHeight="1" x14ac:dyDescent="0.2">
      <c r="A43" s="21"/>
      <c r="B43" s="2"/>
      <c r="C43" s="2"/>
      <c r="D43" s="2"/>
    </row>
    <row r="44" spans="1:4" ht="12.75" customHeight="1" x14ac:dyDescent="0.2">
      <c r="A44" s="21"/>
      <c r="B44" s="2"/>
      <c r="C44" s="2"/>
      <c r="D44" s="2"/>
    </row>
    <row r="45" spans="1:4" ht="12.75" customHeight="1" x14ac:dyDescent="0.2">
      <c r="A45" s="5"/>
      <c r="B45" s="2"/>
      <c r="C45" s="2"/>
      <c r="D45" s="2"/>
    </row>
    <row r="46" spans="1:4" ht="12.75" customHeight="1" x14ac:dyDescent="0.2">
      <c r="A46" s="22" t="str">
        <f>HYPERLINK("javascript:void(0)","törpe surranó")</f>
        <v>törpe surranó</v>
      </c>
      <c r="B46" s="21"/>
      <c r="C46" s="21"/>
      <c r="D46" s="2"/>
    </row>
    <row r="47" spans="1:4" ht="12.75" customHeight="1" x14ac:dyDescent="0.2">
      <c r="A47" s="20"/>
      <c r="B47" s="2"/>
      <c r="C47" s="2"/>
      <c r="D47" s="2"/>
    </row>
    <row r="48" spans="1:4" ht="12.75" customHeight="1" x14ac:dyDescent="0.2">
      <c r="A48" s="21"/>
      <c r="B48" s="3" t="s">
        <v>0</v>
      </c>
      <c r="C48" s="3" t="s">
        <v>40</v>
      </c>
      <c r="D48" s="2"/>
    </row>
    <row r="49" spans="1:4" ht="12.75" customHeight="1" x14ac:dyDescent="0.2">
      <c r="A49" s="21"/>
      <c r="B49" s="3" t="s">
        <v>2</v>
      </c>
      <c r="C49" s="3"/>
      <c r="D49" s="2"/>
    </row>
    <row r="50" spans="1:4" ht="12.75" customHeight="1" x14ac:dyDescent="0.2">
      <c r="A50" s="21"/>
      <c r="B50" s="3" t="s">
        <v>1840</v>
      </c>
      <c r="C50" s="3" t="s">
        <v>123</v>
      </c>
      <c r="D50" s="2"/>
    </row>
    <row r="51" spans="1:4" ht="12.75" customHeight="1" x14ac:dyDescent="0.2">
      <c r="A51" s="21"/>
      <c r="B51" s="3" t="s">
        <v>9</v>
      </c>
      <c r="C51" s="3" t="s">
        <v>147</v>
      </c>
      <c r="D51" s="2"/>
    </row>
    <row r="52" spans="1:4" ht="12.75" customHeight="1" x14ac:dyDescent="0.2">
      <c r="A52" s="21"/>
      <c r="B52" s="3" t="s">
        <v>11</v>
      </c>
      <c r="C52" s="3" t="s">
        <v>1883</v>
      </c>
      <c r="D52" s="2"/>
    </row>
    <row r="53" spans="1:4" ht="12.75" customHeight="1" x14ac:dyDescent="0.2">
      <c r="A53" s="21"/>
      <c r="B53" s="3" t="s">
        <v>16</v>
      </c>
      <c r="C53" s="3"/>
      <c r="D53" s="2"/>
    </row>
    <row r="54" spans="1:4" ht="12.75" customHeight="1" x14ac:dyDescent="0.2">
      <c r="A54" s="21"/>
      <c r="B54" s="3" t="s">
        <v>17</v>
      </c>
      <c r="C54" s="3" t="s">
        <v>19</v>
      </c>
      <c r="D54" s="2"/>
    </row>
    <row r="55" spans="1:4" ht="12.75" customHeight="1" x14ac:dyDescent="0.2">
      <c r="A55" s="21"/>
      <c r="B55" s="3" t="s">
        <v>18</v>
      </c>
      <c r="C55" s="4" t="s">
        <v>19</v>
      </c>
      <c r="D55" s="2"/>
    </row>
    <row r="56" spans="1:4" ht="12.75" customHeight="1" x14ac:dyDescent="0.2">
      <c r="A56" s="21"/>
      <c r="B56" s="2"/>
      <c r="C56" s="2"/>
      <c r="D56" s="2"/>
    </row>
    <row r="57" spans="1:4" ht="12.75" customHeight="1" x14ac:dyDescent="0.2">
      <c r="A57" s="21"/>
      <c r="B57" s="2"/>
      <c r="C57" s="2"/>
      <c r="D57" s="2"/>
    </row>
    <row r="58" spans="1:4" ht="12.75" customHeight="1" x14ac:dyDescent="0.2">
      <c r="A58" s="21"/>
      <c r="B58" s="2"/>
      <c r="C58" s="2"/>
      <c r="D58" s="2"/>
    </row>
    <row r="59" spans="1:4" ht="12.75" customHeight="1" x14ac:dyDescent="0.2">
      <c r="A59" s="21"/>
      <c r="B59" s="2"/>
      <c r="C59" s="2"/>
      <c r="D59" s="2"/>
    </row>
    <row r="60" spans="1:4" ht="12.75" customHeight="1" x14ac:dyDescent="0.2">
      <c r="A60" s="5"/>
      <c r="B60" s="2"/>
      <c r="C60" s="2"/>
      <c r="D60" s="2"/>
    </row>
    <row r="61" spans="1:4" ht="12.75" customHeight="1" x14ac:dyDescent="0.2">
      <c r="A61" s="22" t="str">
        <f>HYPERLINK("javascript:void(0)","törpe csizma")</f>
        <v>törpe csizma</v>
      </c>
      <c r="B61" s="21"/>
      <c r="C61" s="21"/>
      <c r="D61" s="2"/>
    </row>
    <row r="62" spans="1:4" ht="12.75" customHeight="1" x14ac:dyDescent="0.2">
      <c r="A62" s="20"/>
      <c r="B62" s="2"/>
      <c r="C62" s="2"/>
      <c r="D62" s="2"/>
    </row>
    <row r="63" spans="1:4" ht="12.75" customHeight="1" x14ac:dyDescent="0.2">
      <c r="A63" s="21"/>
      <c r="B63" s="3" t="s">
        <v>0</v>
      </c>
      <c r="C63" s="3" t="s">
        <v>46</v>
      </c>
      <c r="D63" s="2"/>
    </row>
    <row r="64" spans="1:4" ht="12.75" customHeight="1" x14ac:dyDescent="0.2">
      <c r="A64" s="21"/>
      <c r="B64" s="3" t="s">
        <v>2</v>
      </c>
      <c r="C64" s="3"/>
      <c r="D64" s="2"/>
    </row>
    <row r="65" spans="1:4" ht="12.75" customHeight="1" x14ac:dyDescent="0.2">
      <c r="A65" s="21"/>
      <c r="B65" s="3" t="s">
        <v>1840</v>
      </c>
      <c r="C65" s="3" t="s">
        <v>5</v>
      </c>
      <c r="D65" s="2"/>
    </row>
    <row r="66" spans="1:4" ht="12.75" customHeight="1" x14ac:dyDescent="0.2">
      <c r="A66" s="21"/>
      <c r="B66" s="3" t="s">
        <v>9</v>
      </c>
      <c r="C66" s="3" t="s">
        <v>374</v>
      </c>
      <c r="D66" s="2"/>
    </row>
    <row r="67" spans="1:4" ht="12.75" customHeight="1" x14ac:dyDescent="0.2">
      <c r="A67" s="21"/>
      <c r="B67" s="3" t="s">
        <v>11</v>
      </c>
      <c r="C67" s="3" t="s">
        <v>37</v>
      </c>
      <c r="D67" s="2"/>
    </row>
    <row r="68" spans="1:4" ht="12.75" customHeight="1" x14ac:dyDescent="0.2">
      <c r="A68" s="21"/>
      <c r="B68" s="3" t="s">
        <v>16</v>
      </c>
      <c r="C68" s="3"/>
      <c r="D68" s="2"/>
    </row>
    <row r="69" spans="1:4" ht="12.75" customHeight="1" x14ac:dyDescent="0.2">
      <c r="A69" s="21"/>
      <c r="B69" s="3" t="s">
        <v>17</v>
      </c>
      <c r="C69" s="3" t="s">
        <v>19</v>
      </c>
      <c r="D69" s="2"/>
    </row>
    <row r="70" spans="1:4" ht="12.75" customHeight="1" x14ac:dyDescent="0.2">
      <c r="A70" s="21"/>
      <c r="B70" s="3" t="s">
        <v>18</v>
      </c>
      <c r="C70" s="4" t="s">
        <v>19</v>
      </c>
      <c r="D70" s="2"/>
    </row>
    <row r="71" spans="1:4" ht="12.75" customHeight="1" x14ac:dyDescent="0.2">
      <c r="A71" s="21"/>
      <c r="B71" s="2"/>
      <c r="C71" s="2"/>
      <c r="D71" s="2"/>
    </row>
    <row r="72" spans="1:4" ht="12.75" customHeight="1" x14ac:dyDescent="0.2">
      <c r="A72" s="21"/>
      <c r="B72" s="2"/>
      <c r="C72" s="2"/>
      <c r="D72" s="2"/>
    </row>
    <row r="73" spans="1:4" ht="12.75" customHeight="1" x14ac:dyDescent="0.2">
      <c r="A73" s="21"/>
      <c r="B73" s="2"/>
      <c r="C73" s="2"/>
      <c r="D73" s="2"/>
    </row>
    <row r="74" spans="1:4" ht="12.75" customHeight="1" x14ac:dyDescent="0.2">
      <c r="A74" s="21"/>
      <c r="B74" s="2"/>
      <c r="C74" s="2"/>
      <c r="D74" s="2"/>
    </row>
    <row r="75" spans="1:4" ht="12.75" customHeight="1" x14ac:dyDescent="0.2">
      <c r="A75" s="5"/>
      <c r="B75" s="2"/>
      <c r="C75" s="2"/>
      <c r="D75" s="2"/>
    </row>
    <row r="76" spans="1:4" ht="12.75" customHeight="1" x14ac:dyDescent="0.2">
      <c r="A76" s="22" t="str">
        <f>HYPERLINK("javascript:void(0)","törpe bakancs")</f>
        <v>törpe bakancs</v>
      </c>
      <c r="B76" s="21"/>
      <c r="C76" s="21"/>
      <c r="D76" s="2"/>
    </row>
    <row r="77" spans="1:4" ht="12.75" customHeight="1" x14ac:dyDescent="0.2">
      <c r="A77" s="20"/>
      <c r="B77" s="2"/>
      <c r="C77" s="2"/>
      <c r="D77" s="2"/>
    </row>
    <row r="78" spans="1:4" ht="12.75" customHeight="1" x14ac:dyDescent="0.2">
      <c r="A78" s="21"/>
      <c r="B78" s="3" t="s">
        <v>0</v>
      </c>
      <c r="C78" s="3" t="s">
        <v>74</v>
      </c>
      <c r="D78" s="2"/>
    </row>
    <row r="79" spans="1:4" ht="12.75" customHeight="1" x14ac:dyDescent="0.2">
      <c r="A79" s="21"/>
      <c r="B79" s="3" t="s">
        <v>2</v>
      </c>
      <c r="C79" s="3"/>
      <c r="D79" s="2"/>
    </row>
    <row r="80" spans="1:4" ht="12.75" customHeight="1" x14ac:dyDescent="0.2">
      <c r="A80" s="21"/>
      <c r="B80" s="3" t="s">
        <v>1840</v>
      </c>
      <c r="C80" s="3" t="s">
        <v>128</v>
      </c>
      <c r="D80" s="2"/>
    </row>
    <row r="81" spans="1:4" ht="12.75" customHeight="1" x14ac:dyDescent="0.2">
      <c r="A81" s="21"/>
      <c r="B81" s="3" t="s">
        <v>9</v>
      </c>
      <c r="C81" s="3" t="s">
        <v>464</v>
      </c>
      <c r="D81" s="2"/>
    </row>
    <row r="82" spans="1:4" ht="12.75" customHeight="1" x14ac:dyDescent="0.2">
      <c r="A82" s="21"/>
      <c r="B82" s="3" t="s">
        <v>11</v>
      </c>
      <c r="C82" s="3" t="s">
        <v>1886</v>
      </c>
      <c r="D82" s="2"/>
    </row>
    <row r="83" spans="1:4" ht="12.75" customHeight="1" x14ac:dyDescent="0.2">
      <c r="A83" s="21"/>
      <c r="B83" s="3" t="s">
        <v>16</v>
      </c>
      <c r="C83" s="3"/>
      <c r="D83" s="2"/>
    </row>
    <row r="84" spans="1:4" ht="12.75" customHeight="1" x14ac:dyDescent="0.2">
      <c r="A84" s="21"/>
      <c r="B84" s="3" t="s">
        <v>17</v>
      </c>
      <c r="C84" s="3" t="s">
        <v>19</v>
      </c>
      <c r="D84" s="2"/>
    </row>
    <row r="85" spans="1:4" ht="12.75" customHeight="1" x14ac:dyDescent="0.2">
      <c r="A85" s="21"/>
      <c r="B85" s="3" t="s">
        <v>18</v>
      </c>
      <c r="C85" s="4" t="s">
        <v>19</v>
      </c>
      <c r="D85" s="2"/>
    </row>
    <row r="86" spans="1:4" ht="12.75" customHeight="1" x14ac:dyDescent="0.2">
      <c r="A86" s="21"/>
      <c r="B86" s="2"/>
      <c r="C86" s="2"/>
      <c r="D86" s="2"/>
    </row>
    <row r="87" spans="1:4" ht="12.75" customHeight="1" x14ac:dyDescent="0.2">
      <c r="A87" s="21"/>
      <c r="B87" s="2"/>
      <c r="C87" s="2"/>
      <c r="D87" s="2"/>
    </row>
    <row r="88" spans="1:4" ht="12.75" customHeight="1" x14ac:dyDescent="0.2">
      <c r="A88" s="21"/>
      <c r="B88" s="2"/>
      <c r="C88" s="2"/>
      <c r="D88" s="2"/>
    </row>
    <row r="89" spans="1:4" ht="12.75" customHeight="1" x14ac:dyDescent="0.2">
      <c r="A89" s="21"/>
      <c r="B89" s="2"/>
      <c r="C89" s="2"/>
      <c r="D89" s="2"/>
    </row>
    <row r="90" spans="1:4" ht="12.75" customHeight="1" x14ac:dyDescent="0.2">
      <c r="A90" s="5"/>
      <c r="B90" s="2"/>
      <c r="C90" s="2"/>
      <c r="D90" s="2"/>
    </row>
    <row r="91" spans="1:4" ht="12.75" customHeight="1" x14ac:dyDescent="0.2">
      <c r="A91" s="22" t="str">
        <f>HYPERLINK("javascript:void(0)","rézcsizma")</f>
        <v>rézcsizma</v>
      </c>
      <c r="B91" s="21"/>
      <c r="C91" s="21"/>
      <c r="D91" s="21"/>
    </row>
    <row r="92" spans="1:4" ht="12.75" customHeight="1" x14ac:dyDescent="0.2">
      <c r="A92" s="20"/>
      <c r="B92" s="2"/>
      <c r="C92" s="2"/>
      <c r="D92" s="2"/>
    </row>
    <row r="93" spans="1:4" ht="12.75" customHeight="1" x14ac:dyDescent="0.2">
      <c r="A93" s="21"/>
      <c r="B93" s="3" t="s">
        <v>0</v>
      </c>
      <c r="C93" s="20" t="s">
        <v>86</v>
      </c>
      <c r="D93" s="21"/>
    </row>
    <row r="94" spans="1:4" ht="12.75" customHeight="1" x14ac:dyDescent="0.2">
      <c r="A94" s="21"/>
      <c r="B94" s="3" t="s">
        <v>2</v>
      </c>
      <c r="C94" s="20"/>
      <c r="D94" s="21"/>
    </row>
    <row r="95" spans="1:4" ht="12.75" customHeight="1" x14ac:dyDescent="0.2">
      <c r="A95" s="21"/>
      <c r="B95" s="3" t="s">
        <v>1840</v>
      </c>
      <c r="C95" s="20" t="s">
        <v>33</v>
      </c>
      <c r="D95" s="21"/>
    </row>
    <row r="96" spans="1:4" ht="12.75" customHeight="1" x14ac:dyDescent="0.2">
      <c r="A96" s="21"/>
      <c r="B96" s="3" t="s">
        <v>9</v>
      </c>
      <c r="C96" s="20" t="s">
        <v>124</v>
      </c>
      <c r="D96" s="21"/>
    </row>
    <row r="97" spans="1:4" ht="12.75" customHeight="1" x14ac:dyDescent="0.2">
      <c r="A97" s="21"/>
      <c r="B97" s="3" t="s">
        <v>11</v>
      </c>
      <c r="C97" s="20" t="s">
        <v>1887</v>
      </c>
      <c r="D97" s="21"/>
    </row>
    <row r="98" spans="1:4" ht="12.75" customHeight="1" x14ac:dyDescent="0.2">
      <c r="A98" s="21"/>
      <c r="B98" s="3" t="s">
        <v>16</v>
      </c>
      <c r="C98" s="20"/>
      <c r="D98" s="21"/>
    </row>
    <row r="99" spans="1:4" ht="12.75" customHeight="1" x14ac:dyDescent="0.2">
      <c r="A99" s="21"/>
      <c r="B99" s="3" t="s">
        <v>17</v>
      </c>
      <c r="C99" s="20" t="s">
        <v>19</v>
      </c>
      <c r="D99" s="21"/>
    </row>
    <row r="100" spans="1:4" ht="12.75" customHeight="1" x14ac:dyDescent="0.2">
      <c r="A100" s="21"/>
      <c r="B100" s="20" t="s">
        <v>18</v>
      </c>
      <c r="C100" s="4" t="s">
        <v>44</v>
      </c>
      <c r="D100" s="6" t="str">
        <f>HYPERLINK("javascript:void(0)","törpe csizma")</f>
        <v>törpe csizma</v>
      </c>
    </row>
    <row r="101" spans="1:4" ht="12.75" customHeight="1" x14ac:dyDescent="0.2">
      <c r="A101" s="21"/>
      <c r="B101" s="21"/>
      <c r="C101" s="4" t="s">
        <v>232</v>
      </c>
      <c r="D101" s="6" t="str">
        <f>HYPERLINK("javascript:void(0)","rézérc")</f>
        <v>rézérc</v>
      </c>
    </row>
    <row r="102" spans="1:4" ht="12.75" customHeight="1" x14ac:dyDescent="0.2">
      <c r="A102" s="21"/>
      <c r="B102" s="21"/>
      <c r="C102" s="4" t="s">
        <v>55</v>
      </c>
      <c r="D102" s="6" t="str">
        <f>HYPERLINK("javascript:void(0)","gyöngy")</f>
        <v>gyöngy</v>
      </c>
    </row>
    <row r="103" spans="1:4" ht="12.75" customHeight="1" x14ac:dyDescent="0.2">
      <c r="A103" s="21"/>
      <c r="B103" s="2"/>
      <c r="C103" s="2"/>
      <c r="D103" s="2"/>
    </row>
    <row r="104" spans="1:4" ht="12.75" customHeight="1" x14ac:dyDescent="0.2">
      <c r="A104" s="21"/>
      <c r="B104" s="2"/>
      <c r="C104" s="2"/>
      <c r="D104" s="2"/>
    </row>
    <row r="105" spans="1:4" ht="12.75" customHeight="1" x14ac:dyDescent="0.2">
      <c r="A105" s="21"/>
      <c r="B105" s="2"/>
      <c r="C105" s="2"/>
      <c r="D105" s="2"/>
    </row>
    <row r="106" spans="1:4" ht="12.75" customHeight="1" x14ac:dyDescent="0.2">
      <c r="A106" s="21"/>
      <c r="B106" s="2"/>
      <c r="C106" s="2"/>
      <c r="D106" s="2"/>
    </row>
    <row r="107" spans="1:4" ht="12.75" customHeight="1" x14ac:dyDescent="0.2">
      <c r="A107" s="5"/>
      <c r="B107" s="2"/>
      <c r="C107" s="2"/>
      <c r="D107" s="2"/>
    </row>
    <row r="108" spans="1:4" ht="12.75" customHeight="1" x14ac:dyDescent="0.2">
      <c r="A108" s="22" t="str">
        <f>HYPERLINK("javascript:void(0)","bronzcsizma")</f>
        <v>bronzcsizma</v>
      </c>
      <c r="B108" s="21"/>
      <c r="C108" s="21"/>
      <c r="D108" s="21"/>
    </row>
    <row r="109" spans="1:4" ht="12.75" customHeight="1" x14ac:dyDescent="0.2">
      <c r="A109" s="20"/>
      <c r="B109" s="2"/>
      <c r="C109" s="2"/>
      <c r="D109" s="2"/>
    </row>
    <row r="110" spans="1:4" ht="12.75" customHeight="1" x14ac:dyDescent="0.2">
      <c r="A110" s="21"/>
      <c r="B110" s="3" t="s">
        <v>0</v>
      </c>
      <c r="C110" s="20" t="s">
        <v>100</v>
      </c>
      <c r="D110" s="21"/>
    </row>
    <row r="111" spans="1:4" ht="12.75" customHeight="1" x14ac:dyDescent="0.2">
      <c r="A111" s="21"/>
      <c r="B111" s="3" t="s">
        <v>2</v>
      </c>
      <c r="C111" s="20"/>
      <c r="D111" s="21"/>
    </row>
    <row r="112" spans="1:4" ht="12.75" customHeight="1" x14ac:dyDescent="0.2">
      <c r="A112" s="21"/>
      <c r="B112" s="3" t="s">
        <v>1840</v>
      </c>
      <c r="C112" s="20" t="s">
        <v>64</v>
      </c>
      <c r="D112" s="21"/>
    </row>
    <row r="113" spans="1:4" ht="12.75" customHeight="1" x14ac:dyDescent="0.2">
      <c r="A113" s="21"/>
      <c r="B113" s="3" t="s">
        <v>9</v>
      </c>
      <c r="C113" s="20" t="s">
        <v>135</v>
      </c>
      <c r="D113" s="21"/>
    </row>
    <row r="114" spans="1:4" ht="12.75" customHeight="1" x14ac:dyDescent="0.2">
      <c r="A114" s="21"/>
      <c r="B114" s="3" t="s">
        <v>11</v>
      </c>
      <c r="C114" s="20" t="s">
        <v>1891</v>
      </c>
      <c r="D114" s="21"/>
    </row>
    <row r="115" spans="1:4" ht="12.75" customHeight="1" x14ac:dyDescent="0.2">
      <c r="A115" s="21"/>
      <c r="B115" s="3" t="s">
        <v>16</v>
      </c>
      <c r="C115" s="20"/>
      <c r="D115" s="21"/>
    </row>
    <row r="116" spans="1:4" ht="12.75" customHeight="1" x14ac:dyDescent="0.2">
      <c r="A116" s="21"/>
      <c r="B116" s="3" t="s">
        <v>17</v>
      </c>
      <c r="C116" s="20" t="s">
        <v>19</v>
      </c>
      <c r="D116" s="21"/>
    </row>
    <row r="117" spans="1:4" ht="12.75" customHeight="1" x14ac:dyDescent="0.2">
      <c r="A117" s="21"/>
      <c r="B117" s="20" t="s">
        <v>18</v>
      </c>
      <c r="C117" s="4" t="s">
        <v>44</v>
      </c>
      <c r="D117" s="6" t="str">
        <f>HYPERLINK("javascript:void(0)","törpe csizma")</f>
        <v>törpe csizma</v>
      </c>
    </row>
    <row r="118" spans="1:4" ht="12.75" customHeight="1" x14ac:dyDescent="0.2">
      <c r="A118" s="21"/>
      <c r="B118" s="21"/>
      <c r="C118" s="4" t="s">
        <v>68</v>
      </c>
      <c r="D118" s="6" t="str">
        <f>HYPERLINK("javascript:void(0)","rézérc")</f>
        <v>rézérc</v>
      </c>
    </row>
    <row r="119" spans="1:4" ht="12.75" customHeight="1" x14ac:dyDescent="0.2">
      <c r="A119" s="21"/>
      <c r="B119" s="21"/>
      <c r="C119" s="4" t="s">
        <v>55</v>
      </c>
      <c r="D119" s="6" t="str">
        <f>HYPERLINK("javascript:void(0)","óngolyó")</f>
        <v>óngolyó</v>
      </c>
    </row>
    <row r="120" spans="1:4" ht="12.75" customHeight="1" x14ac:dyDescent="0.2">
      <c r="A120" s="21"/>
      <c r="B120" s="2"/>
      <c r="C120" s="2"/>
      <c r="D120" s="2"/>
    </row>
    <row r="121" spans="1:4" ht="12.75" customHeight="1" x14ac:dyDescent="0.2">
      <c r="A121" s="21"/>
      <c r="B121" s="2"/>
      <c r="C121" s="2"/>
      <c r="D121" s="2"/>
    </row>
    <row r="122" spans="1:4" ht="12.75" customHeight="1" x14ac:dyDescent="0.2">
      <c r="A122" s="21"/>
      <c r="B122" s="2"/>
      <c r="C122" s="2"/>
      <c r="D122" s="2"/>
    </row>
    <row r="123" spans="1:4" ht="12.75" customHeight="1" x14ac:dyDescent="0.2">
      <c r="A123" s="21"/>
      <c r="B123" s="2"/>
      <c r="C123" s="2"/>
      <c r="D123" s="2"/>
    </row>
    <row r="124" spans="1:4" ht="12.75" customHeight="1" x14ac:dyDescent="0.2">
      <c r="A124" s="5"/>
      <c r="B124" s="2"/>
      <c r="C124" s="2"/>
      <c r="D124" s="2"/>
    </row>
    <row r="125" spans="1:4" ht="12.75" customHeight="1" x14ac:dyDescent="0.2">
      <c r="A125" s="22" t="str">
        <f>HYPERLINK("javascript:void(0)","Hefrete csizmája")</f>
        <v>Hefrete csizmája</v>
      </c>
      <c r="B125" s="21"/>
      <c r="C125" s="21"/>
      <c r="D125" s="2"/>
    </row>
    <row r="126" spans="1:4" ht="12.75" customHeight="1" x14ac:dyDescent="0.2">
      <c r="A126" s="20"/>
      <c r="B126" s="2"/>
      <c r="C126" s="2"/>
      <c r="D126" s="2"/>
    </row>
    <row r="127" spans="1:4" ht="12.75" customHeight="1" x14ac:dyDescent="0.2">
      <c r="A127" s="21"/>
      <c r="B127" s="3" t="s">
        <v>0</v>
      </c>
      <c r="C127" s="3" t="s">
        <v>32</v>
      </c>
      <c r="D127" s="2"/>
    </row>
    <row r="128" spans="1:4" ht="12.75" customHeight="1" x14ac:dyDescent="0.2">
      <c r="A128" s="21"/>
      <c r="B128" s="3" t="s">
        <v>2</v>
      </c>
      <c r="C128" s="3"/>
      <c r="D128" s="2"/>
    </row>
    <row r="129" spans="1:4" ht="12.75" customHeight="1" x14ac:dyDescent="0.2">
      <c r="A129" s="21"/>
      <c r="B129" s="3" t="s">
        <v>1840</v>
      </c>
      <c r="C129" s="3" t="s">
        <v>92</v>
      </c>
      <c r="D129" s="2"/>
    </row>
    <row r="130" spans="1:4" ht="12.75" customHeight="1" x14ac:dyDescent="0.2">
      <c r="A130" s="21"/>
      <c r="B130" s="3" t="s">
        <v>9</v>
      </c>
      <c r="C130" s="3" t="s">
        <v>573</v>
      </c>
      <c r="D130" s="2"/>
    </row>
    <row r="131" spans="1:4" ht="25.5" customHeight="1" x14ac:dyDescent="0.2">
      <c r="A131" s="21"/>
      <c r="B131" s="3" t="s">
        <v>11</v>
      </c>
      <c r="C131" s="3" t="s">
        <v>1895</v>
      </c>
      <c r="D131" s="2"/>
    </row>
    <row r="132" spans="1:4" ht="12.75" customHeight="1" x14ac:dyDescent="0.2">
      <c r="A132" s="21"/>
      <c r="B132" s="3" t="s">
        <v>16</v>
      </c>
      <c r="C132" s="3"/>
      <c r="D132" s="2"/>
    </row>
    <row r="133" spans="1:4" ht="12.75" customHeight="1" x14ac:dyDescent="0.2">
      <c r="A133" s="21"/>
      <c r="B133" s="3" t="s">
        <v>17</v>
      </c>
      <c r="C133" s="3" t="s">
        <v>19</v>
      </c>
      <c r="D133" s="2"/>
    </row>
    <row r="134" spans="1:4" ht="12.75" customHeight="1" x14ac:dyDescent="0.2">
      <c r="A134" s="21"/>
      <c r="B134" s="3" t="s">
        <v>18</v>
      </c>
      <c r="C134" s="4" t="s">
        <v>19</v>
      </c>
      <c r="D134" s="2"/>
    </row>
    <row r="135" spans="1:4" ht="12.75" customHeight="1" x14ac:dyDescent="0.2">
      <c r="A135" s="21"/>
      <c r="B135" s="2"/>
      <c r="C135" s="2"/>
      <c r="D135" s="2"/>
    </row>
    <row r="136" spans="1:4" ht="12.75" customHeight="1" x14ac:dyDescent="0.2">
      <c r="A136" s="21"/>
      <c r="B136" s="2"/>
      <c r="C136" s="2"/>
      <c r="D136" s="2"/>
    </row>
    <row r="137" spans="1:4" ht="12.75" customHeight="1" x14ac:dyDescent="0.2">
      <c r="A137" s="21"/>
      <c r="B137" s="2"/>
      <c r="C137" s="2"/>
      <c r="D137" s="2"/>
    </row>
    <row r="138" spans="1:4" ht="12.75" customHeight="1" x14ac:dyDescent="0.2">
      <c r="A138" s="21"/>
      <c r="B138" s="2"/>
      <c r="C138" s="2"/>
      <c r="D138" s="2"/>
    </row>
    <row r="139" spans="1:4" ht="12.75" customHeight="1" x14ac:dyDescent="0.2">
      <c r="A139" s="5"/>
      <c r="B139" s="2"/>
      <c r="C139" s="2"/>
      <c r="D139" s="2"/>
    </row>
    <row r="140" spans="1:4" ht="12.75" customHeight="1" x14ac:dyDescent="0.2">
      <c r="A140" s="22" t="str">
        <f>HYPERLINK("javascript:void(0)","vascsizma")</f>
        <v>vascsizma</v>
      </c>
      <c r="B140" s="21"/>
      <c r="C140" s="21"/>
      <c r="D140" s="21"/>
    </row>
    <row r="141" spans="1:4" ht="12.75" customHeight="1" x14ac:dyDescent="0.2">
      <c r="A141" s="20"/>
      <c r="B141" s="2"/>
      <c r="C141" s="2"/>
      <c r="D141" s="2"/>
    </row>
    <row r="142" spans="1:4" ht="12.75" customHeight="1" x14ac:dyDescent="0.2">
      <c r="A142" s="21"/>
      <c r="B142" s="3" t="s">
        <v>0</v>
      </c>
      <c r="C142" s="20" t="s">
        <v>88</v>
      </c>
      <c r="D142" s="21"/>
    </row>
    <row r="143" spans="1:4" ht="12.75" customHeight="1" x14ac:dyDescent="0.2">
      <c r="A143" s="21"/>
      <c r="B143" s="3" t="s">
        <v>2</v>
      </c>
      <c r="C143" s="20"/>
      <c r="D143" s="21"/>
    </row>
    <row r="144" spans="1:4" ht="12.75" customHeight="1" x14ac:dyDescent="0.2">
      <c r="A144" s="21"/>
      <c r="B144" s="3" t="s">
        <v>1840</v>
      </c>
      <c r="C144" s="20" t="s">
        <v>100</v>
      </c>
      <c r="D144" s="21"/>
    </row>
    <row r="145" spans="1:4" ht="12.75" customHeight="1" x14ac:dyDescent="0.2">
      <c r="A145" s="21"/>
      <c r="B145" s="3" t="s">
        <v>9</v>
      </c>
      <c r="C145" s="20" t="s">
        <v>415</v>
      </c>
      <c r="D145" s="21"/>
    </row>
    <row r="146" spans="1:4" ht="12.75" customHeight="1" x14ac:dyDescent="0.2">
      <c r="A146" s="21"/>
      <c r="B146" s="3" t="s">
        <v>11</v>
      </c>
      <c r="C146" s="20" t="s">
        <v>1897</v>
      </c>
      <c r="D146" s="21"/>
    </row>
    <row r="147" spans="1:4" ht="12.75" customHeight="1" x14ac:dyDescent="0.2">
      <c r="A147" s="21"/>
      <c r="B147" s="3" t="s">
        <v>16</v>
      </c>
      <c r="C147" s="20"/>
      <c r="D147" s="21"/>
    </row>
    <row r="148" spans="1:4" ht="12.75" customHeight="1" x14ac:dyDescent="0.2">
      <c r="A148" s="21"/>
      <c r="B148" s="3" t="s">
        <v>17</v>
      </c>
      <c r="C148" s="20" t="s">
        <v>19</v>
      </c>
      <c r="D148" s="21"/>
    </row>
    <row r="149" spans="1:4" ht="12.75" customHeight="1" x14ac:dyDescent="0.2">
      <c r="A149" s="21"/>
      <c r="B149" s="20" t="s">
        <v>18</v>
      </c>
      <c r="C149" s="4" t="s">
        <v>44</v>
      </c>
      <c r="D149" s="6" t="str">
        <f>HYPERLINK("javascript:void(0)","törpe csizma")</f>
        <v>törpe csizma</v>
      </c>
    </row>
    <row r="150" spans="1:4" ht="12.75" customHeight="1" x14ac:dyDescent="0.2">
      <c r="A150" s="21"/>
      <c r="B150" s="21"/>
      <c r="C150" s="4" t="s">
        <v>68</v>
      </c>
      <c r="D150" s="6" t="str">
        <f>HYPERLINK("javascript:void(0)","vasérc")</f>
        <v>vasérc</v>
      </c>
    </row>
    <row r="151" spans="1:4" ht="12.75" customHeight="1" x14ac:dyDescent="0.2">
      <c r="A151" s="21"/>
      <c r="B151" s="21"/>
      <c r="C151" s="4" t="s">
        <v>55</v>
      </c>
      <c r="D151" s="6" t="str">
        <f>HYPERLINK("javascript:void(0)","smaragd")</f>
        <v>smaragd</v>
      </c>
    </row>
    <row r="152" spans="1:4" ht="12.75" customHeight="1" x14ac:dyDescent="0.2">
      <c r="A152" s="21"/>
      <c r="B152" s="2"/>
      <c r="C152" s="2"/>
      <c r="D152" s="2"/>
    </row>
    <row r="153" spans="1:4" ht="12.75" customHeight="1" x14ac:dyDescent="0.2">
      <c r="A153" s="21"/>
      <c r="B153" s="2"/>
      <c r="C153" s="2"/>
      <c r="D153" s="2"/>
    </row>
    <row r="154" spans="1:4" ht="12.75" customHeight="1" x14ac:dyDescent="0.2">
      <c r="A154" s="21"/>
      <c r="B154" s="2"/>
      <c r="C154" s="2"/>
      <c r="D154" s="2"/>
    </row>
    <row r="155" spans="1:4" ht="12.75" customHeight="1" x14ac:dyDescent="0.2">
      <c r="A155" s="21"/>
      <c r="B155" s="2"/>
      <c r="C155" s="2"/>
      <c r="D155" s="2"/>
    </row>
    <row r="156" spans="1:4" ht="12.75" customHeight="1" x14ac:dyDescent="0.2">
      <c r="A156" s="5"/>
      <c r="B156" s="2"/>
      <c r="C156" s="2"/>
      <c r="D156" s="2"/>
    </row>
    <row r="157" spans="1:4" ht="12.75" customHeight="1" x14ac:dyDescent="0.2">
      <c r="A157" s="22" t="str">
        <f>HYPERLINK("javascript:void(0)","hidracél csizma")</f>
        <v>hidracél csizma</v>
      </c>
      <c r="B157" s="21"/>
      <c r="C157" s="21"/>
      <c r="D157" s="21"/>
    </row>
    <row r="158" spans="1:4" ht="12.75" customHeight="1" x14ac:dyDescent="0.2">
      <c r="A158" s="20"/>
      <c r="B158" s="2"/>
      <c r="C158" s="2"/>
      <c r="D158" s="2"/>
    </row>
    <row r="159" spans="1:4" ht="12.75" customHeight="1" x14ac:dyDescent="0.2">
      <c r="A159" s="21"/>
      <c r="B159" s="3" t="s">
        <v>0</v>
      </c>
      <c r="C159" s="20" t="s">
        <v>155</v>
      </c>
      <c r="D159" s="21"/>
    </row>
    <row r="160" spans="1:4" ht="12.75" customHeight="1" x14ac:dyDescent="0.2">
      <c r="A160" s="21"/>
      <c r="B160" s="3" t="s">
        <v>2</v>
      </c>
      <c r="C160" s="20"/>
      <c r="D160" s="21"/>
    </row>
    <row r="161" spans="1:4" ht="12.75" customHeight="1" x14ac:dyDescent="0.2">
      <c r="A161" s="21"/>
      <c r="B161" s="3" t="s">
        <v>1840</v>
      </c>
      <c r="C161" s="20" t="s">
        <v>32</v>
      </c>
      <c r="D161" s="21"/>
    </row>
    <row r="162" spans="1:4" ht="12.75" customHeight="1" x14ac:dyDescent="0.2">
      <c r="A162" s="21"/>
      <c r="B162" s="3" t="s">
        <v>9</v>
      </c>
      <c r="C162" s="20" t="s">
        <v>147</v>
      </c>
      <c r="D162" s="21"/>
    </row>
    <row r="163" spans="1:4" ht="12.75" customHeight="1" x14ac:dyDescent="0.2">
      <c r="A163" s="21"/>
      <c r="B163" s="3" t="s">
        <v>11</v>
      </c>
      <c r="C163" s="20" t="s">
        <v>423</v>
      </c>
      <c r="D163" s="21"/>
    </row>
    <row r="164" spans="1:4" ht="12.75" customHeight="1" x14ac:dyDescent="0.2">
      <c r="A164" s="21"/>
      <c r="B164" s="3" t="s">
        <v>16</v>
      </c>
      <c r="C164" s="20"/>
      <c r="D164" s="21"/>
    </row>
    <row r="165" spans="1:4" ht="12.75" customHeight="1" x14ac:dyDescent="0.2">
      <c r="A165" s="21"/>
      <c r="B165" s="3" t="s">
        <v>17</v>
      </c>
      <c r="C165" s="20" t="s">
        <v>19</v>
      </c>
      <c r="D165" s="21"/>
    </row>
    <row r="166" spans="1:4" ht="12.75" customHeight="1" x14ac:dyDescent="0.2">
      <c r="A166" s="21"/>
      <c r="B166" s="20" t="s">
        <v>18</v>
      </c>
      <c r="C166" s="4" t="s">
        <v>309</v>
      </c>
      <c r="D166" s="6" t="str">
        <f>HYPERLINK("javascript:void(0)","szén-hidragén")</f>
        <v>szén-hidragén</v>
      </c>
    </row>
    <row r="167" spans="1:4" ht="12.75" customHeight="1" x14ac:dyDescent="0.2">
      <c r="A167" s="21"/>
      <c r="B167" s="21"/>
      <c r="C167" s="4" t="s">
        <v>57</v>
      </c>
      <c r="D167" s="6" t="str">
        <f>HYPERLINK("javascript:void(0)","platinarugó")</f>
        <v>platinarugó</v>
      </c>
    </row>
    <row r="168" spans="1:4" ht="12.75" customHeight="1" x14ac:dyDescent="0.2">
      <c r="A168" s="21"/>
      <c r="B168" s="21"/>
      <c r="C168" s="4" t="s">
        <v>309</v>
      </c>
      <c r="D168" s="6" t="str">
        <f>HYPERLINK("javascript:void(0)","vámpírherbium")</f>
        <v>vámpírherbium</v>
      </c>
    </row>
    <row r="169" spans="1:4" ht="12.75" customHeight="1" x14ac:dyDescent="0.2">
      <c r="A169" s="21"/>
      <c r="B169" s="2"/>
      <c r="C169" s="2"/>
      <c r="D169" s="2"/>
    </row>
    <row r="170" spans="1:4" ht="12.75" customHeight="1" x14ac:dyDescent="0.2">
      <c r="A170" s="21"/>
      <c r="B170" s="2"/>
      <c r="C170" s="2"/>
      <c r="D170" s="2"/>
    </row>
    <row r="171" spans="1:4" ht="12.75" customHeight="1" x14ac:dyDescent="0.2">
      <c r="A171" s="21"/>
      <c r="B171" s="2"/>
      <c r="C171" s="2"/>
      <c r="D171" s="2"/>
    </row>
    <row r="172" spans="1:4" ht="12.75" customHeight="1" x14ac:dyDescent="0.2">
      <c r="A172" s="21"/>
      <c r="B172" s="2"/>
      <c r="C172" s="2"/>
      <c r="D172" s="2"/>
    </row>
    <row r="173" spans="1:4" ht="12.75" customHeight="1" x14ac:dyDescent="0.2">
      <c r="A173" s="5"/>
      <c r="B173" s="2"/>
      <c r="C173" s="2"/>
      <c r="D173" s="2"/>
    </row>
    <row r="174" spans="1:4" ht="12.75" customHeight="1" x14ac:dyDescent="0.2">
      <c r="A174" s="22" t="str">
        <f>HYPERLINK("javascript:void(0)","opálcsizma")</f>
        <v>opálcsizma</v>
      </c>
      <c r="B174" s="21"/>
      <c r="C174" s="21"/>
      <c r="D174" s="21"/>
    </row>
    <row r="175" spans="1:4" ht="12.75" customHeight="1" x14ac:dyDescent="0.2">
      <c r="A175" s="20"/>
      <c r="B175" s="2"/>
      <c r="C175" s="2"/>
      <c r="D175" s="2"/>
    </row>
    <row r="176" spans="1:4" ht="12.75" customHeight="1" x14ac:dyDescent="0.2">
      <c r="A176" s="21"/>
      <c r="B176" s="3" t="s">
        <v>0</v>
      </c>
      <c r="C176" s="20" t="s">
        <v>159</v>
      </c>
      <c r="D176" s="21"/>
    </row>
    <row r="177" spans="1:4" ht="12.75" customHeight="1" x14ac:dyDescent="0.2">
      <c r="A177" s="21"/>
      <c r="B177" s="3" t="s">
        <v>2</v>
      </c>
      <c r="C177" s="20"/>
      <c r="D177" s="21"/>
    </row>
    <row r="178" spans="1:4" ht="12.75" customHeight="1" x14ac:dyDescent="0.2">
      <c r="A178" s="21"/>
      <c r="B178" s="3" t="s">
        <v>1840</v>
      </c>
      <c r="C178" s="20" t="s">
        <v>155</v>
      </c>
      <c r="D178" s="21"/>
    </row>
    <row r="179" spans="1:4" ht="12.75" customHeight="1" x14ac:dyDescent="0.2">
      <c r="A179" s="21"/>
      <c r="B179" s="3" t="s">
        <v>9</v>
      </c>
      <c r="C179" s="20" t="s">
        <v>30</v>
      </c>
      <c r="D179" s="21"/>
    </row>
    <row r="180" spans="1:4" ht="12.75" customHeight="1" x14ac:dyDescent="0.2">
      <c r="A180" s="21"/>
      <c r="B180" s="3" t="s">
        <v>11</v>
      </c>
      <c r="C180" s="20" t="s">
        <v>429</v>
      </c>
      <c r="D180" s="21"/>
    </row>
    <row r="181" spans="1:4" ht="12.75" customHeight="1" x14ac:dyDescent="0.2">
      <c r="A181" s="21"/>
      <c r="B181" s="3" t="s">
        <v>16</v>
      </c>
      <c r="C181" s="20"/>
      <c r="D181" s="21"/>
    </row>
    <row r="182" spans="1:4" ht="12.75" customHeight="1" x14ac:dyDescent="0.2">
      <c r="A182" s="21"/>
      <c r="B182" s="3" t="s">
        <v>17</v>
      </c>
      <c r="C182" s="20" t="s">
        <v>19</v>
      </c>
      <c r="D182" s="21"/>
    </row>
    <row r="183" spans="1:4" ht="12.75" customHeight="1" x14ac:dyDescent="0.2">
      <c r="A183" s="21"/>
      <c r="B183" s="20" t="s">
        <v>18</v>
      </c>
      <c r="C183" s="4" t="s">
        <v>271</v>
      </c>
      <c r="D183" s="6" t="str">
        <f>HYPERLINK("javascript:void(0)","opál")</f>
        <v>opál</v>
      </c>
    </row>
    <row r="184" spans="1:4" ht="12.75" customHeight="1" x14ac:dyDescent="0.2">
      <c r="A184" s="21"/>
      <c r="B184" s="21"/>
      <c r="C184" s="4" t="s">
        <v>271</v>
      </c>
      <c r="D184" s="6" t="str">
        <f>HYPERLINK("javascript:void(0)","jáspis")</f>
        <v>jáspis</v>
      </c>
    </row>
    <row r="185" spans="1:4" ht="12.75" customHeight="1" x14ac:dyDescent="0.2">
      <c r="A185" s="21"/>
      <c r="B185" s="21"/>
      <c r="C185" s="4" t="s">
        <v>271</v>
      </c>
      <c r="D185" s="6" t="str">
        <f>HYPERLINK("javascript:void(0)","gyöngy")</f>
        <v>gyöngy</v>
      </c>
    </row>
    <row r="186" spans="1:4" ht="12.75" customHeight="1" x14ac:dyDescent="0.2">
      <c r="A186" s="21"/>
      <c r="B186" s="2"/>
      <c r="C186" s="2"/>
      <c r="D186" s="2"/>
    </row>
    <row r="187" spans="1:4" ht="12.75" customHeight="1" x14ac:dyDescent="0.2">
      <c r="A187" s="21"/>
      <c r="B187" s="2"/>
      <c r="C187" s="2"/>
      <c r="D187" s="2"/>
    </row>
    <row r="188" spans="1:4" ht="12.75" customHeight="1" x14ac:dyDescent="0.2">
      <c r="A188" s="21"/>
      <c r="B188" s="2"/>
      <c r="C188" s="2"/>
      <c r="D188" s="2"/>
    </row>
    <row r="189" spans="1:4" ht="12.75" customHeight="1" x14ac:dyDescent="0.2">
      <c r="A189" s="21"/>
      <c r="B189" s="2"/>
      <c r="C189" s="2"/>
      <c r="D189" s="2"/>
    </row>
    <row r="190" spans="1:4" ht="12.75" customHeight="1" x14ac:dyDescent="0.2">
      <c r="A190" s="5"/>
      <c r="B190" s="2"/>
      <c r="C190" s="2"/>
      <c r="D190" s="2"/>
    </row>
    <row r="191" spans="1:4" ht="12.75" customHeight="1" x14ac:dyDescent="0.2">
      <c r="A191" s="22" t="str">
        <f>HYPERLINK("javascript:void(0)","smaragdcsizma")</f>
        <v>smaragdcsizma</v>
      </c>
      <c r="B191" s="21"/>
      <c r="C191" s="21"/>
      <c r="D191" s="21"/>
    </row>
    <row r="192" spans="1:4" ht="12.75" customHeight="1" x14ac:dyDescent="0.2">
      <c r="A192" s="20"/>
      <c r="B192" s="2"/>
      <c r="C192" s="2"/>
      <c r="D192" s="2"/>
    </row>
    <row r="193" spans="1:4" ht="12.75" customHeight="1" x14ac:dyDescent="0.2">
      <c r="A193" s="21"/>
      <c r="B193" s="3" t="s">
        <v>0</v>
      </c>
      <c r="C193" s="20" t="s">
        <v>153</v>
      </c>
      <c r="D193" s="21"/>
    </row>
    <row r="194" spans="1:4" ht="12.75" customHeight="1" x14ac:dyDescent="0.2">
      <c r="A194" s="21"/>
      <c r="B194" s="3" t="s">
        <v>2</v>
      </c>
      <c r="C194" s="20"/>
      <c r="D194" s="21"/>
    </row>
    <row r="195" spans="1:4" ht="12.75" customHeight="1" x14ac:dyDescent="0.2">
      <c r="A195" s="21"/>
      <c r="B195" s="3" t="s">
        <v>1840</v>
      </c>
      <c r="C195" s="20" t="s">
        <v>153</v>
      </c>
      <c r="D195" s="21"/>
    </row>
    <row r="196" spans="1:4" ht="12.75" customHeight="1" x14ac:dyDescent="0.2">
      <c r="A196" s="21"/>
      <c r="B196" s="3" t="s">
        <v>9</v>
      </c>
      <c r="C196" s="20" t="s">
        <v>93</v>
      </c>
      <c r="D196" s="21"/>
    </row>
    <row r="197" spans="1:4" ht="12.75" customHeight="1" x14ac:dyDescent="0.2">
      <c r="A197" s="21"/>
      <c r="B197" s="3" t="s">
        <v>11</v>
      </c>
      <c r="C197" s="20" t="s">
        <v>1072</v>
      </c>
      <c r="D197" s="21"/>
    </row>
    <row r="198" spans="1:4" ht="12.75" customHeight="1" x14ac:dyDescent="0.2">
      <c r="A198" s="21"/>
      <c r="B198" s="3" t="s">
        <v>16</v>
      </c>
      <c r="C198" s="20"/>
      <c r="D198" s="21"/>
    </row>
    <row r="199" spans="1:4" ht="12.75" customHeight="1" x14ac:dyDescent="0.2">
      <c r="A199" s="21"/>
      <c r="B199" s="3" t="s">
        <v>17</v>
      </c>
      <c r="C199" s="20" t="s">
        <v>19</v>
      </c>
      <c r="D199" s="21"/>
    </row>
    <row r="200" spans="1:4" ht="12.75" customHeight="1" x14ac:dyDescent="0.2">
      <c r="A200" s="21"/>
      <c r="B200" s="20" t="s">
        <v>18</v>
      </c>
      <c r="C200" s="4" t="s">
        <v>44</v>
      </c>
      <c r="D200" s="6" t="str">
        <f>HYPERLINK("javascript:void(0)","opálcsizma")</f>
        <v>opálcsizma</v>
      </c>
    </row>
    <row r="201" spans="1:4" ht="12.75" customHeight="1" x14ac:dyDescent="0.2">
      <c r="A201" s="21"/>
      <c r="B201" s="21"/>
      <c r="C201" s="4" t="s">
        <v>1663</v>
      </c>
      <c r="D201" s="6" t="str">
        <f>HYPERLINK("javascript:void(0)","smaragd")</f>
        <v>smaragd</v>
      </c>
    </row>
    <row r="202" spans="1:4" ht="12.75" customHeight="1" x14ac:dyDescent="0.2">
      <c r="A202" s="21"/>
      <c r="B202" s="21"/>
      <c r="C202" s="4" t="s">
        <v>139</v>
      </c>
      <c r="D202" s="6" t="str">
        <f>HYPERLINK("javascript:void(0)","kristálylap")</f>
        <v>kristálylap</v>
      </c>
    </row>
    <row r="203" spans="1:4" ht="12.75" customHeight="1" x14ac:dyDescent="0.2">
      <c r="A203" s="21"/>
      <c r="B203" s="2"/>
      <c r="C203" s="2"/>
      <c r="D203" s="2"/>
    </row>
    <row r="204" spans="1:4" ht="12.75" customHeight="1" x14ac:dyDescent="0.2">
      <c r="A204" s="21"/>
      <c r="B204" s="2"/>
      <c r="C204" s="2"/>
      <c r="D204" s="2"/>
    </row>
    <row r="205" spans="1:4" ht="12.75" customHeight="1" x14ac:dyDescent="0.2">
      <c r="A205" s="21"/>
      <c r="B205" s="2"/>
      <c r="C205" s="2"/>
      <c r="D205" s="2"/>
    </row>
    <row r="206" spans="1:4" ht="12.75" customHeight="1" x14ac:dyDescent="0.2">
      <c r="A206" s="21"/>
      <c r="B206" s="2"/>
      <c r="C206" s="2"/>
      <c r="D206" s="2"/>
    </row>
    <row r="207" spans="1:4" ht="12.75" customHeight="1" x14ac:dyDescent="0.2">
      <c r="A207" s="5"/>
      <c r="B207" s="2"/>
      <c r="C207" s="2"/>
      <c r="D207" s="2"/>
    </row>
    <row r="208" spans="1:4" ht="12.75" customHeight="1" x14ac:dyDescent="0.2">
      <c r="A208" s="22" t="str">
        <f>HYPERLINK("javascript:void(0)","ezüstcsizma")</f>
        <v>ezüstcsizma</v>
      </c>
      <c r="B208" s="21"/>
      <c r="C208" s="21"/>
      <c r="D208" s="21"/>
    </row>
    <row r="209" spans="1:4" ht="12.75" customHeight="1" x14ac:dyDescent="0.2">
      <c r="A209" s="20"/>
      <c r="B209" s="2"/>
      <c r="C209" s="2"/>
      <c r="D209" s="2"/>
    </row>
    <row r="210" spans="1:4" ht="12.75" customHeight="1" x14ac:dyDescent="0.2">
      <c r="A210" s="21"/>
      <c r="B210" s="3" t="s">
        <v>0</v>
      </c>
      <c r="C210" s="20" t="s">
        <v>35</v>
      </c>
      <c r="D210" s="21"/>
    </row>
    <row r="211" spans="1:4" ht="12.75" customHeight="1" x14ac:dyDescent="0.2">
      <c r="A211" s="21"/>
      <c r="B211" s="3" t="s">
        <v>2</v>
      </c>
      <c r="C211" s="20"/>
      <c r="D211" s="21"/>
    </row>
    <row r="212" spans="1:4" ht="12.75" customHeight="1" x14ac:dyDescent="0.2">
      <c r="A212" s="21"/>
      <c r="B212" s="3" t="s">
        <v>1840</v>
      </c>
      <c r="C212" s="20" t="s">
        <v>38</v>
      </c>
      <c r="D212" s="21"/>
    </row>
    <row r="213" spans="1:4" ht="12.75" customHeight="1" x14ac:dyDescent="0.2">
      <c r="A213" s="21"/>
      <c r="B213" s="3" t="s">
        <v>9</v>
      </c>
      <c r="C213" s="20" t="s">
        <v>147</v>
      </c>
      <c r="D213" s="21"/>
    </row>
    <row r="214" spans="1:4" ht="12.75" customHeight="1" x14ac:dyDescent="0.2">
      <c r="A214" s="21"/>
      <c r="B214" s="3" t="s">
        <v>11</v>
      </c>
      <c r="C214" s="20" t="s">
        <v>1903</v>
      </c>
      <c r="D214" s="21"/>
    </row>
    <row r="215" spans="1:4" ht="12.75" customHeight="1" x14ac:dyDescent="0.2">
      <c r="A215" s="21"/>
      <c r="B215" s="3" t="s">
        <v>16</v>
      </c>
      <c r="C215" s="20"/>
      <c r="D215" s="21"/>
    </row>
    <row r="216" spans="1:4" ht="12.75" customHeight="1" x14ac:dyDescent="0.2">
      <c r="A216" s="21"/>
      <c r="B216" s="3" t="s">
        <v>17</v>
      </c>
      <c r="C216" s="20" t="s">
        <v>19</v>
      </c>
      <c r="D216" s="21"/>
    </row>
    <row r="217" spans="1:4" ht="12.75" customHeight="1" x14ac:dyDescent="0.2">
      <c r="A217" s="21"/>
      <c r="B217" s="20" t="s">
        <v>18</v>
      </c>
      <c r="C217" s="4" t="s">
        <v>44</v>
      </c>
      <c r="D217" s="6" t="str">
        <f>HYPERLINK("javascript:void(0)","törpe csizma")</f>
        <v>törpe csizma</v>
      </c>
    </row>
    <row r="218" spans="1:4" ht="12.75" customHeight="1" x14ac:dyDescent="0.2">
      <c r="A218" s="21"/>
      <c r="B218" s="21"/>
      <c r="C218" s="4" t="s">
        <v>323</v>
      </c>
      <c r="D218" s="6" t="str">
        <f>HYPERLINK("javascript:void(0)","ezüst")</f>
        <v>ezüst</v>
      </c>
    </row>
    <row r="219" spans="1:4" ht="12.75" customHeight="1" x14ac:dyDescent="0.2">
      <c r="A219" s="21"/>
      <c r="B219" s="21"/>
      <c r="C219" s="4" t="s">
        <v>98</v>
      </c>
      <c r="D219" s="6" t="str">
        <f>HYPERLINK("javascript:void(0)","rubin")</f>
        <v>rubin</v>
      </c>
    </row>
    <row r="220" spans="1:4" ht="12.75" customHeight="1" x14ac:dyDescent="0.2">
      <c r="A220" s="21"/>
      <c r="B220" s="2"/>
      <c r="C220" s="2"/>
      <c r="D220" s="2"/>
    </row>
    <row r="221" spans="1:4" ht="12.75" customHeight="1" x14ac:dyDescent="0.2">
      <c r="A221" s="21"/>
      <c r="B221" s="2"/>
      <c r="C221" s="2"/>
      <c r="D221" s="2"/>
    </row>
    <row r="222" spans="1:4" ht="12.75" customHeight="1" x14ac:dyDescent="0.2">
      <c r="A222" s="21"/>
      <c r="B222" s="2"/>
      <c r="C222" s="2"/>
      <c r="D222" s="2"/>
    </row>
    <row r="223" spans="1:4" ht="12.75" customHeight="1" x14ac:dyDescent="0.2">
      <c r="A223" s="21"/>
      <c r="B223" s="2"/>
      <c r="C223" s="2"/>
      <c r="D223" s="2"/>
    </row>
    <row r="224" spans="1:4" ht="12.75" customHeight="1" x14ac:dyDescent="0.2">
      <c r="A224" s="5"/>
      <c r="B224" s="2"/>
      <c r="C224" s="2"/>
      <c r="D224" s="2"/>
    </row>
    <row r="225" spans="1:4" ht="12.75" customHeight="1" x14ac:dyDescent="0.2">
      <c r="A225" s="22" t="str">
        <f>HYPERLINK("javascript:void(0)","démonacél csizma")</f>
        <v>démonacél csizma</v>
      </c>
      <c r="B225" s="21"/>
      <c r="C225" s="21"/>
      <c r="D225" s="21"/>
    </row>
    <row r="226" spans="1:4" ht="12.75" customHeight="1" x14ac:dyDescent="0.2">
      <c r="A226" s="20"/>
      <c r="B226" s="2"/>
      <c r="C226" s="2"/>
      <c r="D226" s="2"/>
    </row>
    <row r="227" spans="1:4" ht="12.75" customHeight="1" x14ac:dyDescent="0.2">
      <c r="A227" s="21"/>
      <c r="B227" s="3" t="s">
        <v>0</v>
      </c>
      <c r="C227" s="20" t="s">
        <v>38</v>
      </c>
      <c r="D227" s="21"/>
    </row>
    <row r="228" spans="1:4" ht="12.75" customHeight="1" x14ac:dyDescent="0.2">
      <c r="A228" s="21"/>
      <c r="B228" s="3" t="s">
        <v>2</v>
      </c>
      <c r="C228" s="20"/>
      <c r="D228" s="21"/>
    </row>
    <row r="229" spans="1:4" ht="12.75" customHeight="1" x14ac:dyDescent="0.2">
      <c r="A229" s="21"/>
      <c r="B229" s="3" t="s">
        <v>1840</v>
      </c>
      <c r="C229" s="20" t="s">
        <v>206</v>
      </c>
      <c r="D229" s="21"/>
    </row>
    <row r="230" spans="1:4" ht="12.75" customHeight="1" x14ac:dyDescent="0.2">
      <c r="A230" s="21"/>
      <c r="B230" s="3" t="s">
        <v>9</v>
      </c>
      <c r="C230" s="20" t="s">
        <v>210</v>
      </c>
      <c r="D230" s="21"/>
    </row>
    <row r="231" spans="1:4" ht="12.75" customHeight="1" x14ac:dyDescent="0.2">
      <c r="A231" s="21"/>
      <c r="B231" s="3" t="s">
        <v>11</v>
      </c>
      <c r="C231" s="20" t="s">
        <v>490</v>
      </c>
      <c r="D231" s="21"/>
    </row>
    <row r="232" spans="1:4" ht="12.75" customHeight="1" x14ac:dyDescent="0.2">
      <c r="A232" s="21"/>
      <c r="B232" s="3" t="s">
        <v>16</v>
      </c>
      <c r="C232" s="20"/>
      <c r="D232" s="21"/>
    </row>
    <row r="233" spans="1:4" ht="12.75" customHeight="1" x14ac:dyDescent="0.2">
      <c r="A233" s="21"/>
      <c r="B233" s="3" t="s">
        <v>17</v>
      </c>
      <c r="C233" s="20" t="s">
        <v>19</v>
      </c>
      <c r="D233" s="21"/>
    </row>
    <row r="234" spans="1:4" ht="12.75" customHeight="1" x14ac:dyDescent="0.2">
      <c r="A234" s="21"/>
      <c r="B234" s="20" t="s">
        <v>18</v>
      </c>
      <c r="C234" s="4" t="s">
        <v>44</v>
      </c>
      <c r="D234" s="6" t="str">
        <f>HYPERLINK("javascript:void(0)","hidracél csizma")</f>
        <v>hidracél csizma</v>
      </c>
    </row>
    <row r="235" spans="1:4" ht="12.75" customHeight="1" x14ac:dyDescent="0.2">
      <c r="A235" s="21"/>
      <c r="B235" s="21"/>
      <c r="C235" s="4" t="s">
        <v>77</v>
      </c>
      <c r="D235" s="6" t="str">
        <f>HYPERLINK("javascript:void(0)","dadacsiganyál")</f>
        <v>dadacsiganyál</v>
      </c>
    </row>
    <row r="236" spans="1:4" ht="12.75" customHeight="1" x14ac:dyDescent="0.2">
      <c r="A236" s="21"/>
      <c r="B236" s="21"/>
      <c r="C236" s="4" t="s">
        <v>77</v>
      </c>
      <c r="D236" s="6" t="str">
        <f>HYPERLINK("javascript:void(0)","nyukug bajusz")</f>
        <v>nyukug bajusz</v>
      </c>
    </row>
    <row r="237" spans="1:4" ht="12.75" customHeight="1" x14ac:dyDescent="0.2">
      <c r="A237" s="21"/>
      <c r="B237" s="2"/>
      <c r="C237" s="2"/>
      <c r="D237" s="2"/>
    </row>
    <row r="238" spans="1:4" ht="12.75" customHeight="1" x14ac:dyDescent="0.2">
      <c r="A238" s="21"/>
      <c r="B238" s="2"/>
      <c r="C238" s="2"/>
      <c r="D238" s="2"/>
    </row>
    <row r="239" spans="1:4" ht="12.75" customHeight="1" x14ac:dyDescent="0.2">
      <c r="A239" s="21"/>
      <c r="B239" s="2"/>
      <c r="C239" s="2"/>
      <c r="D239" s="2"/>
    </row>
    <row r="240" spans="1:4" ht="12.75" customHeight="1" x14ac:dyDescent="0.2">
      <c r="A240" s="21"/>
      <c r="B240" s="2"/>
      <c r="C240" s="2"/>
      <c r="D240" s="2"/>
    </row>
    <row r="241" spans="1:4" ht="12.75" customHeight="1" x14ac:dyDescent="0.2">
      <c r="A241" s="5"/>
      <c r="B241" s="2"/>
      <c r="C241" s="2"/>
      <c r="D241" s="2"/>
    </row>
    <row r="242" spans="1:4" ht="12.75" customHeight="1" x14ac:dyDescent="0.2">
      <c r="A242" s="22" t="str">
        <f>HYPERLINK("javascript:void(0)","rubincsizma")</f>
        <v>rubincsizma</v>
      </c>
      <c r="B242" s="21"/>
      <c r="C242" s="21"/>
      <c r="D242" s="21"/>
    </row>
    <row r="243" spans="1:4" ht="12.75" customHeight="1" x14ac:dyDescent="0.2">
      <c r="A243" s="20"/>
      <c r="B243" s="2"/>
      <c r="C243" s="2"/>
      <c r="D243" s="2"/>
    </row>
    <row r="244" spans="1:4" ht="12.75" customHeight="1" x14ac:dyDescent="0.2">
      <c r="A244" s="21"/>
      <c r="B244" s="3" t="s">
        <v>0</v>
      </c>
      <c r="C244" s="20" t="s">
        <v>206</v>
      </c>
      <c r="D244" s="21"/>
    </row>
    <row r="245" spans="1:4" ht="12.75" customHeight="1" x14ac:dyDescent="0.2">
      <c r="A245" s="21"/>
      <c r="B245" s="3" t="s">
        <v>2</v>
      </c>
      <c r="C245" s="20"/>
      <c r="D245" s="21"/>
    </row>
    <row r="246" spans="1:4" ht="12.75" customHeight="1" x14ac:dyDescent="0.2">
      <c r="A246" s="21"/>
      <c r="B246" s="3" t="s">
        <v>1840</v>
      </c>
      <c r="C246" s="20" t="s">
        <v>221</v>
      </c>
      <c r="D246" s="21"/>
    </row>
    <row r="247" spans="1:4" ht="12.75" customHeight="1" x14ac:dyDescent="0.2">
      <c r="A247" s="21"/>
      <c r="B247" s="3" t="s">
        <v>9</v>
      </c>
      <c r="C247" s="20" t="s">
        <v>42</v>
      </c>
      <c r="D247" s="21"/>
    </row>
    <row r="248" spans="1:4" ht="12.75" customHeight="1" x14ac:dyDescent="0.2">
      <c r="A248" s="21"/>
      <c r="B248" s="3" t="s">
        <v>11</v>
      </c>
      <c r="C248" s="20" t="s">
        <v>209</v>
      </c>
      <c r="D248" s="21"/>
    </row>
    <row r="249" spans="1:4" ht="12.75" customHeight="1" x14ac:dyDescent="0.2">
      <c r="A249" s="21"/>
      <c r="B249" s="3" t="s">
        <v>16</v>
      </c>
      <c r="C249" s="20"/>
      <c r="D249" s="21"/>
    </row>
    <row r="250" spans="1:4" ht="12.75" customHeight="1" x14ac:dyDescent="0.2">
      <c r="A250" s="21"/>
      <c r="B250" s="3" t="s">
        <v>17</v>
      </c>
      <c r="C250" s="20" t="s">
        <v>19</v>
      </c>
      <c r="D250" s="21"/>
    </row>
    <row r="251" spans="1:4" ht="12.75" customHeight="1" x14ac:dyDescent="0.2">
      <c r="A251" s="21"/>
      <c r="B251" s="20" t="s">
        <v>18</v>
      </c>
      <c r="C251" s="4" t="s">
        <v>44</v>
      </c>
      <c r="D251" s="6" t="str">
        <f>HYPERLINK("javascript:void(0)","smaragdcsizma")</f>
        <v>smaragdcsizma</v>
      </c>
    </row>
    <row r="252" spans="1:4" ht="12.75" customHeight="1" x14ac:dyDescent="0.2">
      <c r="A252" s="21"/>
      <c r="B252" s="21"/>
      <c r="C252" s="4" t="s">
        <v>494</v>
      </c>
      <c r="D252" s="6" t="str">
        <f>HYPERLINK("javascript:void(0)","rubin")</f>
        <v>rubin</v>
      </c>
    </row>
    <row r="253" spans="1:4" ht="12.75" customHeight="1" x14ac:dyDescent="0.2">
      <c r="A253" s="21"/>
      <c r="B253" s="21"/>
      <c r="C253" s="4" t="s">
        <v>139</v>
      </c>
      <c r="D253" s="6" t="str">
        <f>HYPERLINK("javascript:void(0)","sárkánykarom")</f>
        <v>sárkánykarom</v>
      </c>
    </row>
    <row r="254" spans="1:4" ht="12.75" customHeight="1" x14ac:dyDescent="0.2">
      <c r="A254" s="21"/>
      <c r="B254" s="2"/>
      <c r="C254" s="2"/>
      <c r="D254" s="2"/>
    </row>
    <row r="255" spans="1:4" ht="12.75" customHeight="1" x14ac:dyDescent="0.2">
      <c r="A255" s="21"/>
      <c r="B255" s="2"/>
      <c r="C255" s="2"/>
      <c r="D255" s="2"/>
    </row>
    <row r="256" spans="1:4" ht="12.75" customHeight="1" x14ac:dyDescent="0.2">
      <c r="A256" s="21"/>
      <c r="B256" s="2"/>
      <c r="C256" s="2"/>
      <c r="D256" s="2"/>
    </row>
    <row r="257" spans="1:4" ht="12.75" customHeight="1" x14ac:dyDescent="0.2">
      <c r="A257" s="21"/>
      <c r="B257" s="2"/>
      <c r="C257" s="2"/>
      <c r="D257" s="2"/>
    </row>
    <row r="258" spans="1:4" ht="12.75" customHeight="1" x14ac:dyDescent="0.2">
      <c r="A258" s="5"/>
      <c r="B258" s="2"/>
      <c r="C258" s="2"/>
      <c r="D258" s="2"/>
    </row>
    <row r="259" spans="1:4" ht="12.75" customHeight="1" x14ac:dyDescent="0.2">
      <c r="A259" s="22" t="str">
        <f>HYPERLINK("javascript:void(0)","aranycsizma")</f>
        <v>aranycsizma</v>
      </c>
      <c r="B259" s="21"/>
      <c r="C259" s="21"/>
      <c r="D259" s="2"/>
    </row>
    <row r="260" spans="1:4" ht="12.75" customHeight="1" x14ac:dyDescent="0.2">
      <c r="A260" s="20"/>
      <c r="B260" s="2"/>
      <c r="C260" s="2"/>
      <c r="D260" s="2"/>
    </row>
    <row r="261" spans="1:4" ht="12.75" customHeight="1" x14ac:dyDescent="0.2">
      <c r="A261" s="21"/>
      <c r="B261" s="3" t="s">
        <v>0</v>
      </c>
      <c r="C261" s="3" t="s">
        <v>221</v>
      </c>
      <c r="D261" s="2"/>
    </row>
    <row r="262" spans="1:4" ht="12.75" customHeight="1" x14ac:dyDescent="0.2">
      <c r="A262" s="21"/>
      <c r="B262" s="3" t="s">
        <v>2</v>
      </c>
      <c r="C262" s="3"/>
      <c r="D262" s="2"/>
    </row>
    <row r="263" spans="1:4" ht="12.75" customHeight="1" x14ac:dyDescent="0.2">
      <c r="A263" s="21"/>
      <c r="B263" s="3" t="s">
        <v>1840</v>
      </c>
      <c r="C263" s="3" t="s">
        <v>157</v>
      </c>
      <c r="D263" s="2"/>
    </row>
    <row r="264" spans="1:4" ht="12.75" customHeight="1" x14ac:dyDescent="0.2">
      <c r="A264" s="21"/>
      <c r="B264" s="3" t="s">
        <v>9</v>
      </c>
      <c r="C264" s="3" t="s">
        <v>573</v>
      </c>
      <c r="D264" s="2"/>
    </row>
    <row r="265" spans="1:4" ht="25.5" customHeight="1" x14ac:dyDescent="0.2">
      <c r="A265" s="21"/>
      <c r="B265" s="3" t="s">
        <v>11</v>
      </c>
      <c r="C265" s="3" t="s">
        <v>1908</v>
      </c>
      <c r="D265" s="2"/>
    </row>
    <row r="266" spans="1:4" ht="12.75" customHeight="1" x14ac:dyDescent="0.2">
      <c r="A266" s="21"/>
      <c r="B266" s="3" t="s">
        <v>16</v>
      </c>
      <c r="C266" s="3"/>
      <c r="D266" s="2"/>
    </row>
    <row r="267" spans="1:4" ht="12.75" customHeight="1" x14ac:dyDescent="0.2">
      <c r="A267" s="21"/>
      <c r="B267" s="3" t="s">
        <v>17</v>
      </c>
      <c r="C267" s="3" t="s">
        <v>19</v>
      </c>
      <c r="D267" s="2"/>
    </row>
    <row r="268" spans="1:4" ht="12.75" customHeight="1" x14ac:dyDescent="0.2">
      <c r="A268" s="21"/>
      <c r="B268" s="3" t="s">
        <v>18</v>
      </c>
      <c r="C268" s="4" t="s">
        <v>19</v>
      </c>
      <c r="D268" s="2"/>
    </row>
    <row r="269" spans="1:4" ht="12.75" customHeight="1" x14ac:dyDescent="0.2">
      <c r="A269" s="21"/>
      <c r="B269" s="2"/>
      <c r="C269" s="2"/>
      <c r="D269" s="2"/>
    </row>
    <row r="270" spans="1:4" ht="12.75" customHeight="1" x14ac:dyDescent="0.2">
      <c r="A270" s="21"/>
      <c r="B270" s="2"/>
      <c r="C270" s="2"/>
      <c r="D270" s="2"/>
    </row>
    <row r="271" spans="1:4" ht="12.75" customHeight="1" x14ac:dyDescent="0.2">
      <c r="A271" s="21"/>
      <c r="B271" s="2"/>
      <c r="C271" s="2"/>
      <c r="D271" s="2"/>
    </row>
    <row r="272" spans="1:4" ht="12.75" customHeight="1" x14ac:dyDescent="0.2">
      <c r="A272" s="21"/>
      <c r="B272" s="2"/>
      <c r="C272" s="2"/>
      <c r="D272" s="2"/>
    </row>
    <row r="273" spans="1:4" ht="12.75" customHeight="1" x14ac:dyDescent="0.2">
      <c r="A273" s="5"/>
      <c r="B273" s="2"/>
      <c r="C273" s="2"/>
      <c r="D273" s="2"/>
    </row>
    <row r="274" spans="1:4" ht="12.75" customHeight="1" x14ac:dyDescent="0.2">
      <c r="A274" s="22" t="str">
        <f>HYPERLINK("javascript:void(0)","dracoacél csizma")</f>
        <v>dracoacél csizma</v>
      </c>
      <c r="B274" s="21"/>
      <c r="C274" s="21"/>
      <c r="D274" s="21"/>
    </row>
    <row r="275" spans="1:4" ht="12.75" customHeight="1" x14ac:dyDescent="0.2">
      <c r="A275" s="20"/>
      <c r="B275" s="2"/>
      <c r="C275" s="2"/>
      <c r="D275" s="2"/>
    </row>
    <row r="276" spans="1:4" ht="12.75" customHeight="1" x14ac:dyDescent="0.2">
      <c r="A276" s="21"/>
      <c r="B276" s="3" t="s">
        <v>0</v>
      </c>
      <c r="C276" s="20" t="s">
        <v>157</v>
      </c>
      <c r="D276" s="21"/>
    </row>
    <row r="277" spans="1:4" ht="12.75" customHeight="1" x14ac:dyDescent="0.2">
      <c r="A277" s="21"/>
      <c r="B277" s="3" t="s">
        <v>2</v>
      </c>
      <c r="C277" s="20"/>
      <c r="D277" s="21"/>
    </row>
    <row r="278" spans="1:4" ht="12.75" customHeight="1" x14ac:dyDescent="0.2">
      <c r="A278" s="21"/>
      <c r="B278" s="3" t="s">
        <v>1840</v>
      </c>
      <c r="C278" s="20" t="s">
        <v>260</v>
      </c>
      <c r="D278" s="21"/>
    </row>
    <row r="279" spans="1:4" ht="12.75" customHeight="1" x14ac:dyDescent="0.2">
      <c r="A279" s="21"/>
      <c r="B279" s="3" t="s">
        <v>9</v>
      </c>
      <c r="C279" s="20" t="s">
        <v>464</v>
      </c>
      <c r="D279" s="21"/>
    </row>
    <row r="280" spans="1:4" ht="12.75" customHeight="1" x14ac:dyDescent="0.2">
      <c r="A280" s="21"/>
      <c r="B280" s="3" t="s">
        <v>11</v>
      </c>
      <c r="C280" s="20" t="s">
        <v>561</v>
      </c>
      <c r="D280" s="21"/>
    </row>
    <row r="281" spans="1:4" ht="12.75" customHeight="1" x14ac:dyDescent="0.2">
      <c r="A281" s="21"/>
      <c r="B281" s="3" t="s">
        <v>16</v>
      </c>
      <c r="C281" s="20"/>
      <c r="D281" s="21"/>
    </row>
    <row r="282" spans="1:4" ht="12.75" customHeight="1" x14ac:dyDescent="0.2">
      <c r="A282" s="21"/>
      <c r="B282" s="3" t="s">
        <v>17</v>
      </c>
      <c r="C282" s="20" t="s">
        <v>19</v>
      </c>
      <c r="D282" s="21"/>
    </row>
    <row r="283" spans="1:4" ht="12.75" customHeight="1" x14ac:dyDescent="0.2">
      <c r="A283" s="21"/>
      <c r="B283" s="20" t="s">
        <v>18</v>
      </c>
      <c r="C283" s="4" t="s">
        <v>44</v>
      </c>
      <c r="D283" s="6" t="str">
        <f>HYPERLINK("javascript:void(0)","démonacél csizma")</f>
        <v>démonacél csizma</v>
      </c>
    </row>
    <row r="284" spans="1:4" ht="12.75" customHeight="1" x14ac:dyDescent="0.2">
      <c r="A284" s="21"/>
      <c r="B284" s="21"/>
      <c r="C284" s="4" t="s">
        <v>139</v>
      </c>
      <c r="D284" s="6" t="str">
        <f>HYPERLINK("javascript:void(0)","sárkány szem")</f>
        <v>sárkány szem</v>
      </c>
    </row>
    <row r="285" spans="1:4" ht="12.75" customHeight="1" x14ac:dyDescent="0.2">
      <c r="A285" s="21"/>
      <c r="B285" s="21"/>
      <c r="C285" s="4" t="s">
        <v>139</v>
      </c>
      <c r="D285" s="6" t="str">
        <f>HYPERLINK("javascript:void(0)","sárkány szarv")</f>
        <v>sárkány szarv</v>
      </c>
    </row>
    <row r="286" spans="1:4" ht="12.75" customHeight="1" x14ac:dyDescent="0.2">
      <c r="A286" s="21"/>
      <c r="B286" s="2"/>
      <c r="C286" s="2"/>
      <c r="D286" s="2"/>
    </row>
    <row r="287" spans="1:4" ht="12.75" customHeight="1" x14ac:dyDescent="0.2">
      <c r="A287" s="21"/>
      <c r="B287" s="2"/>
      <c r="C287" s="2"/>
      <c r="D287" s="2"/>
    </row>
    <row r="288" spans="1:4" ht="12.75" customHeight="1" x14ac:dyDescent="0.2">
      <c r="A288" s="21"/>
      <c r="B288" s="2"/>
      <c r="C288" s="2"/>
      <c r="D288" s="2"/>
    </row>
    <row r="289" spans="1:4" ht="12.75" customHeight="1" x14ac:dyDescent="0.2">
      <c r="A289" s="21"/>
      <c r="B289" s="2"/>
      <c r="C289" s="2"/>
      <c r="D289" s="2"/>
    </row>
    <row r="290" spans="1:4" ht="12.75" customHeight="1" x14ac:dyDescent="0.2">
      <c r="A290" s="5"/>
      <c r="B290" s="2"/>
      <c r="C290" s="2"/>
      <c r="D290" s="2"/>
    </row>
    <row r="291" spans="1:4" ht="12.75" customHeight="1" x14ac:dyDescent="0.2">
      <c r="A291" s="22" t="str">
        <f>HYPERLINK("javascript:void(0)","gyémántcsizma")</f>
        <v>gyémántcsizma</v>
      </c>
      <c r="B291" s="21"/>
      <c r="C291" s="21"/>
      <c r="D291" s="21"/>
    </row>
    <row r="292" spans="1:4" ht="12.75" customHeight="1" x14ac:dyDescent="0.2">
      <c r="A292" s="20"/>
      <c r="B292" s="2"/>
      <c r="C292" s="2"/>
      <c r="D292" s="2"/>
    </row>
    <row r="293" spans="1:4" ht="12.75" customHeight="1" x14ac:dyDescent="0.2">
      <c r="A293" s="21"/>
      <c r="B293" s="3" t="s">
        <v>0</v>
      </c>
      <c r="C293" s="20" t="s">
        <v>41</v>
      </c>
      <c r="D293" s="21"/>
    </row>
    <row r="294" spans="1:4" ht="12.75" customHeight="1" x14ac:dyDescent="0.2">
      <c r="A294" s="21"/>
      <c r="B294" s="3" t="s">
        <v>2</v>
      </c>
      <c r="C294" s="20"/>
      <c r="D294" s="21"/>
    </row>
    <row r="295" spans="1:4" ht="12.75" customHeight="1" x14ac:dyDescent="0.2">
      <c r="A295" s="21"/>
      <c r="B295" s="3" t="s">
        <v>1840</v>
      </c>
      <c r="C295" s="20" t="s">
        <v>284</v>
      </c>
      <c r="D295" s="21"/>
    </row>
    <row r="296" spans="1:4" ht="12.75" customHeight="1" x14ac:dyDescent="0.2">
      <c r="A296" s="21"/>
      <c r="B296" s="3" t="s">
        <v>9</v>
      </c>
      <c r="C296" s="20" t="s">
        <v>10</v>
      </c>
      <c r="D296" s="21"/>
    </row>
    <row r="297" spans="1:4" ht="12.75" customHeight="1" x14ac:dyDescent="0.2">
      <c r="A297" s="21"/>
      <c r="B297" s="3" t="s">
        <v>11</v>
      </c>
      <c r="C297" s="20" t="s">
        <v>551</v>
      </c>
      <c r="D297" s="21"/>
    </row>
    <row r="298" spans="1:4" ht="12.75" customHeight="1" x14ac:dyDescent="0.2">
      <c r="A298" s="21"/>
      <c r="B298" s="3" t="s">
        <v>16</v>
      </c>
      <c r="C298" s="20"/>
      <c r="D298" s="21"/>
    </row>
    <row r="299" spans="1:4" ht="12.75" customHeight="1" x14ac:dyDescent="0.2">
      <c r="A299" s="21"/>
      <c r="B299" s="3" t="s">
        <v>17</v>
      </c>
      <c r="C299" s="20" t="s">
        <v>19</v>
      </c>
      <c r="D299" s="21"/>
    </row>
    <row r="300" spans="1:4" ht="12.75" customHeight="1" x14ac:dyDescent="0.2">
      <c r="A300" s="21"/>
      <c r="B300" s="20" t="s">
        <v>18</v>
      </c>
      <c r="C300" s="4" t="s">
        <v>44</v>
      </c>
      <c r="D300" s="6" t="str">
        <f>HYPERLINK("javascript:void(0)","rubincsizma")</f>
        <v>rubincsizma</v>
      </c>
    </row>
    <row r="301" spans="1:4" ht="12.75" customHeight="1" x14ac:dyDescent="0.2">
      <c r="A301" s="21"/>
      <c r="B301" s="21"/>
      <c r="C301" s="4" t="s">
        <v>130</v>
      </c>
      <c r="D301" s="6" t="str">
        <f>HYPERLINK("javascript:void(0)","gyémánt")</f>
        <v>gyémánt</v>
      </c>
    </row>
    <row r="302" spans="1:4" ht="12.75" customHeight="1" x14ac:dyDescent="0.2">
      <c r="A302" s="21"/>
      <c r="B302" s="21"/>
      <c r="C302" s="4" t="s">
        <v>309</v>
      </c>
      <c r="D302" s="6" t="str">
        <f>HYPERLINK("javascript:void(0)","sárkány szem")</f>
        <v>sárkány szem</v>
      </c>
    </row>
    <row r="303" spans="1:4" ht="12.75" customHeight="1" x14ac:dyDescent="0.2">
      <c r="A303" s="21"/>
      <c r="B303" s="2"/>
      <c r="C303" s="2"/>
      <c r="D303" s="2"/>
    </row>
    <row r="304" spans="1:4" ht="12.75" customHeight="1" x14ac:dyDescent="0.2">
      <c r="A304" s="21"/>
      <c r="B304" s="2"/>
      <c r="C304" s="2"/>
      <c r="D304" s="2"/>
    </row>
    <row r="305" spans="1:4" ht="12.75" customHeight="1" x14ac:dyDescent="0.2">
      <c r="A305" s="21"/>
      <c r="B305" s="2"/>
      <c r="C305" s="2"/>
      <c r="D305" s="2"/>
    </row>
    <row r="306" spans="1:4" ht="12.75" customHeight="1" x14ac:dyDescent="0.2">
      <c r="A306" s="21"/>
      <c r="B306" s="2"/>
      <c r="C306" s="2"/>
      <c r="D306" s="2"/>
    </row>
    <row r="307" spans="1:4" ht="12.75" customHeight="1" x14ac:dyDescent="0.2">
      <c r="A307" s="5"/>
      <c r="B307" s="2"/>
      <c r="C307" s="2"/>
      <c r="D307" s="2"/>
    </row>
    <row r="308" spans="1:4" ht="12.75" customHeight="1" x14ac:dyDescent="0.2">
      <c r="A308" s="22" t="str">
        <f>HYPERLINK("javascript:void(0)","elfacél csizma")</f>
        <v>elfacél csizma</v>
      </c>
      <c r="B308" s="21"/>
      <c r="C308" s="21"/>
      <c r="D308" s="21"/>
    </row>
    <row r="309" spans="1:4" ht="12.75" customHeight="1" x14ac:dyDescent="0.2">
      <c r="A309" s="20"/>
      <c r="B309" s="2"/>
      <c r="C309" s="2"/>
      <c r="D309" s="2"/>
    </row>
    <row r="310" spans="1:4" ht="12.75" customHeight="1" x14ac:dyDescent="0.2">
      <c r="A310" s="21"/>
      <c r="B310" s="3" t="s">
        <v>0</v>
      </c>
      <c r="C310" s="20" t="s">
        <v>260</v>
      </c>
      <c r="D310" s="21"/>
    </row>
    <row r="311" spans="1:4" ht="12.75" customHeight="1" x14ac:dyDescent="0.2">
      <c r="A311" s="21"/>
      <c r="B311" s="3" t="s">
        <v>2</v>
      </c>
      <c r="C311" s="20"/>
      <c r="D311" s="21"/>
    </row>
    <row r="312" spans="1:4" ht="12.75" customHeight="1" x14ac:dyDescent="0.2">
      <c r="A312" s="21"/>
      <c r="B312" s="3" t="s">
        <v>1840</v>
      </c>
      <c r="C312" s="20" t="s">
        <v>298</v>
      </c>
      <c r="D312" s="21"/>
    </row>
    <row r="313" spans="1:4" ht="12.75" customHeight="1" x14ac:dyDescent="0.2">
      <c r="A313" s="21"/>
      <c r="B313" s="3" t="s">
        <v>9</v>
      </c>
      <c r="C313" s="20" t="s">
        <v>70</v>
      </c>
      <c r="D313" s="21"/>
    </row>
    <row r="314" spans="1:4" ht="12.75" customHeight="1" x14ac:dyDescent="0.2">
      <c r="A314" s="21"/>
      <c r="B314" s="3" t="s">
        <v>11</v>
      </c>
      <c r="C314" s="20" t="s">
        <v>519</v>
      </c>
      <c r="D314" s="21"/>
    </row>
    <row r="315" spans="1:4" ht="12.75" customHeight="1" x14ac:dyDescent="0.2">
      <c r="A315" s="21"/>
      <c r="B315" s="3" t="s">
        <v>16</v>
      </c>
      <c r="C315" s="20"/>
      <c r="D315" s="21"/>
    </row>
    <row r="316" spans="1:4" ht="12.75" customHeight="1" x14ac:dyDescent="0.2">
      <c r="A316" s="21"/>
      <c r="B316" s="3" t="s">
        <v>17</v>
      </c>
      <c r="C316" s="20" t="s">
        <v>19</v>
      </c>
      <c r="D316" s="21"/>
    </row>
    <row r="317" spans="1:4" ht="12.75" customHeight="1" x14ac:dyDescent="0.2">
      <c r="A317" s="21"/>
      <c r="B317" s="20" t="s">
        <v>18</v>
      </c>
      <c r="C317" s="4" t="s">
        <v>44</v>
      </c>
      <c r="D317" s="6" t="str">
        <f>HYPERLINK("javascript:void(0)","dracoacél csizma")</f>
        <v>dracoacél csizma</v>
      </c>
    </row>
    <row r="318" spans="1:4" ht="12.75" customHeight="1" x14ac:dyDescent="0.2">
      <c r="A318" s="21"/>
      <c r="B318" s="21"/>
      <c r="C318" s="4" t="s">
        <v>193</v>
      </c>
      <c r="D318" s="6" t="str">
        <f>HYPERLINK("javascript:void(0)","sárkányfű")</f>
        <v>sárkányfű</v>
      </c>
    </row>
    <row r="319" spans="1:4" ht="12.75" customHeight="1" x14ac:dyDescent="0.2">
      <c r="A319" s="21"/>
      <c r="B319" s="21"/>
      <c r="C319" s="4" t="s">
        <v>67</v>
      </c>
      <c r="D319" s="6" t="str">
        <f>HYPERLINK("javascript:void(0)","szent szimbólum")</f>
        <v>szent szimbólum</v>
      </c>
    </row>
    <row r="320" spans="1:4" ht="12.75" customHeight="1" x14ac:dyDescent="0.2">
      <c r="A320" s="21"/>
      <c r="B320" s="2"/>
      <c r="C320" s="2"/>
      <c r="D320" s="2"/>
    </row>
    <row r="321" spans="1:4" ht="12.75" customHeight="1" x14ac:dyDescent="0.2">
      <c r="A321" s="21"/>
      <c r="B321" s="2"/>
      <c r="C321" s="2"/>
      <c r="D321" s="2"/>
    </row>
    <row r="322" spans="1:4" ht="12.75" customHeight="1" x14ac:dyDescent="0.2">
      <c r="A322" s="21"/>
      <c r="B322" s="2"/>
      <c r="C322" s="2"/>
      <c r="D322" s="2"/>
    </row>
    <row r="323" spans="1:4" ht="12.75" customHeight="1" x14ac:dyDescent="0.2">
      <c r="A323" s="21"/>
      <c r="B323" s="2"/>
      <c r="C323" s="2"/>
      <c r="D323" s="2"/>
    </row>
    <row r="324" spans="1:4" ht="12.75" customHeight="1" x14ac:dyDescent="0.2">
      <c r="A324" s="5"/>
      <c r="B324" s="2"/>
      <c r="C324" s="2"/>
      <c r="D324" s="2"/>
    </row>
    <row r="325" spans="1:4" ht="12.75" customHeight="1" x14ac:dyDescent="0.2">
      <c r="A325" s="22" t="str">
        <f>HYPERLINK("javascript:void(0)","diszprocsizma")</f>
        <v>diszprocsizma</v>
      </c>
      <c r="B325" s="21"/>
      <c r="C325" s="21"/>
      <c r="D325" s="21"/>
    </row>
    <row r="326" spans="1:4" ht="12.75" customHeight="1" x14ac:dyDescent="0.2">
      <c r="A326" s="20"/>
      <c r="B326" s="2"/>
      <c r="C326" s="2"/>
      <c r="D326" s="2"/>
    </row>
    <row r="327" spans="1:4" ht="12.75" customHeight="1" x14ac:dyDescent="0.2">
      <c r="A327" s="21"/>
      <c r="B327" s="3" t="s">
        <v>0</v>
      </c>
      <c r="C327" s="20" t="s">
        <v>272</v>
      </c>
      <c r="D327" s="21"/>
    </row>
    <row r="328" spans="1:4" ht="12.75" customHeight="1" x14ac:dyDescent="0.2">
      <c r="A328" s="21"/>
      <c r="B328" s="3" t="s">
        <v>2</v>
      </c>
      <c r="C328" s="20"/>
      <c r="D328" s="21"/>
    </row>
    <row r="329" spans="1:4" ht="12.75" customHeight="1" x14ac:dyDescent="0.2">
      <c r="A329" s="21"/>
      <c r="B329" s="3" t="s">
        <v>1840</v>
      </c>
      <c r="C329" s="20" t="s">
        <v>107</v>
      </c>
      <c r="D329" s="21"/>
    </row>
    <row r="330" spans="1:4" ht="12.75" customHeight="1" x14ac:dyDescent="0.2">
      <c r="A330" s="21"/>
      <c r="B330" s="3" t="s">
        <v>9</v>
      </c>
      <c r="C330" s="20" t="s">
        <v>172</v>
      </c>
      <c r="D330" s="21"/>
    </row>
    <row r="331" spans="1:4" ht="12.75" customHeight="1" x14ac:dyDescent="0.2">
      <c r="A331" s="21"/>
      <c r="B331" s="3" t="s">
        <v>11</v>
      </c>
      <c r="C331" s="20" t="s">
        <v>116</v>
      </c>
      <c r="D331" s="21"/>
    </row>
    <row r="332" spans="1:4" ht="12.75" customHeight="1" x14ac:dyDescent="0.2">
      <c r="A332" s="21"/>
      <c r="B332" s="3" t="s">
        <v>16</v>
      </c>
      <c r="C332" s="20"/>
      <c r="D332" s="21"/>
    </row>
    <row r="333" spans="1:4" ht="12.75" customHeight="1" x14ac:dyDescent="0.2">
      <c r="A333" s="21"/>
      <c r="B333" s="3" t="s">
        <v>17</v>
      </c>
      <c r="C333" s="20" t="s">
        <v>19</v>
      </c>
      <c r="D333" s="21"/>
    </row>
    <row r="334" spans="1:4" ht="12.75" customHeight="1" x14ac:dyDescent="0.2">
      <c r="A334" s="21"/>
      <c r="B334" s="20" t="s">
        <v>18</v>
      </c>
      <c r="C334" s="4" t="s">
        <v>44</v>
      </c>
      <c r="D334" s="6" t="str">
        <f>HYPERLINK("javascript:void(0)","gyémántcsizma")</f>
        <v>gyémántcsizma</v>
      </c>
    </row>
    <row r="335" spans="1:4" ht="12.75" customHeight="1" x14ac:dyDescent="0.2">
      <c r="A335" s="21"/>
      <c r="B335" s="21"/>
      <c r="C335" s="4" t="s">
        <v>280</v>
      </c>
      <c r="D335" s="6" t="str">
        <f>HYPERLINK("javascript:void(0)","diszprózium")</f>
        <v>diszprózium</v>
      </c>
    </row>
    <row r="336" spans="1:4" ht="12.75" customHeight="1" x14ac:dyDescent="0.2">
      <c r="A336" s="21"/>
      <c r="B336" s="21"/>
      <c r="C336" s="4" t="s">
        <v>309</v>
      </c>
      <c r="D336" s="6" t="str">
        <f>HYPERLINK("javascript:void(0)","sárkány szarv")</f>
        <v>sárkány szarv</v>
      </c>
    </row>
    <row r="337" spans="1:4" ht="12.75" customHeight="1" x14ac:dyDescent="0.2">
      <c r="A337" s="21"/>
      <c r="B337" s="2"/>
      <c r="C337" s="2"/>
      <c r="D337" s="2"/>
    </row>
    <row r="338" spans="1:4" ht="12.75" customHeight="1" x14ac:dyDescent="0.2">
      <c r="A338" s="21"/>
      <c r="B338" s="2"/>
      <c r="C338" s="2"/>
      <c r="D338" s="2"/>
    </row>
    <row r="339" spans="1:4" ht="12.75" customHeight="1" x14ac:dyDescent="0.2">
      <c r="A339" s="21"/>
      <c r="B339" s="2"/>
      <c r="C339" s="2"/>
      <c r="D339" s="2"/>
    </row>
    <row r="340" spans="1:4" ht="12.75" customHeight="1" x14ac:dyDescent="0.2">
      <c r="A340" s="21"/>
      <c r="B340" s="2"/>
      <c r="C340" s="2"/>
      <c r="D340" s="2"/>
    </row>
    <row r="341" spans="1:4" ht="12.75" customHeight="1" x14ac:dyDescent="0.2">
      <c r="A341" s="5"/>
      <c r="B341" s="2"/>
      <c r="C341" s="2"/>
      <c r="D341" s="2"/>
    </row>
    <row r="342" spans="1:4" ht="12.75" customHeight="1" x14ac:dyDescent="0.2">
      <c r="A342" s="22" t="str">
        <f>HYPERLINK("javascript:void(0)","kithrill csizma")</f>
        <v>kithrill csizma</v>
      </c>
      <c r="B342" s="21"/>
      <c r="C342" s="21"/>
      <c r="D342" s="21"/>
    </row>
    <row r="343" spans="1:4" ht="12.75" customHeight="1" x14ac:dyDescent="0.2">
      <c r="A343" s="20"/>
      <c r="B343" s="2"/>
      <c r="C343" s="2"/>
      <c r="D343" s="2"/>
    </row>
    <row r="344" spans="1:4" ht="12.75" customHeight="1" x14ac:dyDescent="0.2">
      <c r="A344" s="21"/>
      <c r="B344" s="3" t="s">
        <v>0</v>
      </c>
      <c r="C344" s="20" t="s">
        <v>284</v>
      </c>
      <c r="D344" s="21"/>
    </row>
    <row r="345" spans="1:4" ht="12.75" customHeight="1" x14ac:dyDescent="0.2">
      <c r="A345" s="21"/>
      <c r="B345" s="3" t="s">
        <v>2</v>
      </c>
      <c r="C345" s="20"/>
      <c r="D345" s="21"/>
    </row>
    <row r="346" spans="1:4" ht="12.75" customHeight="1" x14ac:dyDescent="0.2">
      <c r="A346" s="21"/>
      <c r="B346" s="3" t="s">
        <v>1840</v>
      </c>
      <c r="C346" s="20" t="s">
        <v>178</v>
      </c>
      <c r="D346" s="21"/>
    </row>
    <row r="347" spans="1:4" ht="12.75" customHeight="1" x14ac:dyDescent="0.2">
      <c r="A347" s="21"/>
      <c r="B347" s="3" t="s">
        <v>9</v>
      </c>
      <c r="C347" s="20" t="s">
        <v>147</v>
      </c>
      <c r="D347" s="21"/>
    </row>
    <row r="348" spans="1:4" ht="12.75" customHeight="1" x14ac:dyDescent="0.2">
      <c r="A348" s="21"/>
      <c r="B348" s="3" t="s">
        <v>11</v>
      </c>
      <c r="C348" s="20" t="s">
        <v>152</v>
      </c>
      <c r="D348" s="21"/>
    </row>
    <row r="349" spans="1:4" ht="12.75" customHeight="1" x14ac:dyDescent="0.2">
      <c r="A349" s="21"/>
      <c r="B349" s="3" t="s">
        <v>16</v>
      </c>
      <c r="C349" s="20"/>
      <c r="D349" s="21"/>
    </row>
    <row r="350" spans="1:4" ht="12.75" customHeight="1" x14ac:dyDescent="0.2">
      <c r="A350" s="21"/>
      <c r="B350" s="3" t="s">
        <v>17</v>
      </c>
      <c r="C350" s="20" t="s">
        <v>19</v>
      </c>
      <c r="D350" s="21"/>
    </row>
    <row r="351" spans="1:4" ht="12.75" customHeight="1" x14ac:dyDescent="0.2">
      <c r="A351" s="21"/>
      <c r="B351" s="20" t="s">
        <v>18</v>
      </c>
      <c r="C351" s="4" t="s">
        <v>44</v>
      </c>
      <c r="D351" s="6" t="str">
        <f>HYPERLINK("javascript:void(0)","diszprocsizma")</f>
        <v>diszprocsizma</v>
      </c>
    </row>
    <row r="352" spans="1:4" ht="12.75" customHeight="1" x14ac:dyDescent="0.2">
      <c r="A352" s="21"/>
      <c r="B352" s="21"/>
      <c r="C352" s="4" t="s">
        <v>163</v>
      </c>
      <c r="D352" s="6" t="str">
        <f>HYPERLINK("javascript:void(0)","kithrill")</f>
        <v>kithrill</v>
      </c>
    </row>
    <row r="353" spans="1:4" ht="12.75" customHeight="1" x14ac:dyDescent="0.2">
      <c r="A353" s="21"/>
      <c r="B353" s="21"/>
      <c r="C353" s="4" t="s">
        <v>139</v>
      </c>
      <c r="D353" s="6" t="str">
        <f>HYPERLINK("javascript:void(0)","membránplazma")</f>
        <v>membránplazma</v>
      </c>
    </row>
    <row r="354" spans="1:4" ht="12.75" customHeight="1" x14ac:dyDescent="0.2">
      <c r="A354" s="21"/>
      <c r="B354" s="2"/>
      <c r="C354" s="2"/>
      <c r="D354" s="2"/>
    </row>
    <row r="355" spans="1:4" ht="12.75" customHeight="1" x14ac:dyDescent="0.2">
      <c r="A355" s="21"/>
      <c r="B355" s="2"/>
      <c r="C355" s="2"/>
      <c r="D355" s="2"/>
    </row>
    <row r="356" spans="1:4" ht="12.75" customHeight="1" x14ac:dyDescent="0.2">
      <c r="A356" s="21"/>
      <c r="B356" s="2"/>
      <c r="C356" s="2"/>
      <c r="D356" s="2"/>
    </row>
    <row r="357" spans="1:4" ht="12.75" customHeight="1" x14ac:dyDescent="0.2">
      <c r="A357" s="21"/>
      <c r="B357" s="2"/>
      <c r="C357" s="2"/>
      <c r="D357" s="2"/>
    </row>
    <row r="358" spans="1:4" ht="12.75" customHeight="1" x14ac:dyDescent="0.2">
      <c r="A358" s="5"/>
      <c r="B358" s="2"/>
      <c r="C358" s="2"/>
      <c r="D358" s="2"/>
    </row>
    <row r="359" spans="1:4" ht="12.75" customHeight="1" x14ac:dyDescent="0.2">
      <c r="A359" s="22" t="str">
        <f>HYPERLINK("javascript:void(0)","óriásacél csizma")</f>
        <v>óriásacél csizma</v>
      </c>
      <c r="B359" s="21"/>
      <c r="C359" s="21"/>
      <c r="D359" s="21"/>
    </row>
    <row r="360" spans="1:4" ht="12.75" customHeight="1" x14ac:dyDescent="0.2">
      <c r="A360" s="20"/>
      <c r="B360" s="2"/>
      <c r="C360" s="2"/>
      <c r="D360" s="2"/>
    </row>
    <row r="361" spans="1:4" ht="12.75" customHeight="1" x14ac:dyDescent="0.2">
      <c r="A361" s="21"/>
      <c r="B361" s="3" t="s">
        <v>0</v>
      </c>
      <c r="C361" s="20" t="s">
        <v>291</v>
      </c>
      <c r="D361" s="21"/>
    </row>
    <row r="362" spans="1:4" ht="12.75" customHeight="1" x14ac:dyDescent="0.2">
      <c r="A362" s="21"/>
      <c r="B362" s="3" t="s">
        <v>2</v>
      </c>
      <c r="C362" s="20"/>
      <c r="D362" s="21"/>
    </row>
    <row r="363" spans="1:4" ht="12.75" customHeight="1" x14ac:dyDescent="0.2">
      <c r="A363" s="21"/>
      <c r="B363" s="3" t="s">
        <v>1840</v>
      </c>
      <c r="C363" s="20" t="s">
        <v>353</v>
      </c>
      <c r="D363" s="21"/>
    </row>
    <row r="364" spans="1:4" ht="12.75" customHeight="1" x14ac:dyDescent="0.2">
      <c r="A364" s="21"/>
      <c r="B364" s="3" t="s">
        <v>9</v>
      </c>
      <c r="C364" s="20" t="s">
        <v>962</v>
      </c>
      <c r="D364" s="21"/>
    </row>
    <row r="365" spans="1:4" ht="12.75" customHeight="1" x14ac:dyDescent="0.2">
      <c r="A365" s="21"/>
      <c r="B365" s="3" t="s">
        <v>11</v>
      </c>
      <c r="C365" s="20" t="s">
        <v>1919</v>
      </c>
      <c r="D365" s="21"/>
    </row>
    <row r="366" spans="1:4" ht="12.75" customHeight="1" x14ac:dyDescent="0.2">
      <c r="A366" s="21"/>
      <c r="B366" s="3" t="s">
        <v>16</v>
      </c>
      <c r="C366" s="20"/>
      <c r="D366" s="21"/>
    </row>
    <row r="367" spans="1:4" ht="12.75" customHeight="1" x14ac:dyDescent="0.2">
      <c r="A367" s="21"/>
      <c r="B367" s="3" t="s">
        <v>17</v>
      </c>
      <c r="C367" s="20" t="s">
        <v>19</v>
      </c>
      <c r="D367" s="21"/>
    </row>
    <row r="368" spans="1:4" ht="12.75" customHeight="1" x14ac:dyDescent="0.2">
      <c r="A368" s="21"/>
      <c r="B368" s="20" t="s">
        <v>18</v>
      </c>
      <c r="C368" s="4" t="s">
        <v>44</v>
      </c>
      <c r="D368" s="6" t="str">
        <f>HYPERLINK("javascript:void(0)","elfacél csizma")</f>
        <v>elfacél csizma</v>
      </c>
    </row>
    <row r="369" spans="1:4" ht="12.75" customHeight="1" x14ac:dyDescent="0.2">
      <c r="A369" s="21"/>
      <c r="B369" s="21"/>
      <c r="C369" s="4" t="s">
        <v>67</v>
      </c>
      <c r="D369" s="6" t="str">
        <f>HYPERLINK("javascript:void(0)","óriás korona")</f>
        <v>óriás korona</v>
      </c>
    </row>
    <row r="370" spans="1:4" ht="12.75" customHeight="1" x14ac:dyDescent="0.2">
      <c r="A370" s="21"/>
      <c r="B370" s="21"/>
      <c r="C370" s="4" t="s">
        <v>309</v>
      </c>
      <c r="D370" s="6" t="str">
        <f>HYPERLINK("javascript:void(0)","fülpenge")</f>
        <v>fülpenge</v>
      </c>
    </row>
    <row r="371" spans="1:4" ht="12.75" customHeight="1" x14ac:dyDescent="0.2">
      <c r="A371" s="21"/>
      <c r="B371" s="2"/>
      <c r="C371" s="2"/>
      <c r="D371" s="2"/>
    </row>
    <row r="372" spans="1:4" ht="12.75" customHeight="1" x14ac:dyDescent="0.2">
      <c r="A372" s="21"/>
      <c r="B372" s="2"/>
      <c r="C372" s="2"/>
      <c r="D372" s="2"/>
    </row>
    <row r="373" spans="1:4" ht="12.75" customHeight="1" x14ac:dyDescent="0.2">
      <c r="A373" s="21"/>
      <c r="B373" s="2"/>
      <c r="C373" s="2"/>
      <c r="D373" s="2"/>
    </row>
    <row r="374" spans="1:4" ht="12.75" customHeight="1" x14ac:dyDescent="0.2">
      <c r="A374" s="21"/>
      <c r="B374" s="2"/>
      <c r="C374" s="2"/>
      <c r="D374" s="2"/>
    </row>
    <row r="375" spans="1:4" ht="12.75" customHeight="1" x14ac:dyDescent="0.2">
      <c r="A375" s="5"/>
      <c r="B375" s="2"/>
      <c r="C375" s="2"/>
      <c r="D375" s="2"/>
    </row>
    <row r="376" spans="1:4" ht="12.75" customHeight="1" x14ac:dyDescent="0.2">
      <c r="A376" s="22" t="str">
        <f>HYPERLINK("javascript:void(0)","centrocsizma")</f>
        <v>centrocsizma</v>
      </c>
      <c r="B376" s="21"/>
      <c r="C376" s="21"/>
      <c r="D376" s="21"/>
    </row>
    <row r="377" spans="1:4" ht="12.75" customHeight="1" x14ac:dyDescent="0.2">
      <c r="A377" s="20"/>
      <c r="B377" s="2"/>
      <c r="C377" s="2"/>
      <c r="D377" s="2"/>
    </row>
    <row r="378" spans="1:4" ht="12.75" customHeight="1" x14ac:dyDescent="0.2">
      <c r="A378" s="21"/>
      <c r="B378" s="3" t="s">
        <v>0</v>
      </c>
      <c r="C378" s="20" t="s">
        <v>298</v>
      </c>
      <c r="D378" s="21"/>
    </row>
    <row r="379" spans="1:4" ht="12.75" customHeight="1" x14ac:dyDescent="0.2">
      <c r="A379" s="21"/>
      <c r="B379" s="3" t="s">
        <v>2</v>
      </c>
      <c r="C379" s="20"/>
      <c r="D379" s="21"/>
    </row>
    <row r="380" spans="1:4" ht="12.75" customHeight="1" x14ac:dyDescent="0.2">
      <c r="A380" s="21"/>
      <c r="B380" s="3" t="s">
        <v>1840</v>
      </c>
      <c r="C380" s="20" t="s">
        <v>52</v>
      </c>
      <c r="D380" s="21"/>
    </row>
    <row r="381" spans="1:4" ht="12.75" customHeight="1" x14ac:dyDescent="0.2">
      <c r="A381" s="21"/>
      <c r="B381" s="3" t="s">
        <v>9</v>
      </c>
      <c r="C381" s="20" t="s">
        <v>210</v>
      </c>
      <c r="D381" s="21"/>
    </row>
    <row r="382" spans="1:4" ht="12.75" customHeight="1" x14ac:dyDescent="0.2">
      <c r="A382" s="21"/>
      <c r="B382" s="3" t="s">
        <v>11</v>
      </c>
      <c r="C382" s="20" t="s">
        <v>203</v>
      </c>
      <c r="D382" s="21"/>
    </row>
    <row r="383" spans="1:4" ht="12.75" customHeight="1" x14ac:dyDescent="0.2">
      <c r="A383" s="21"/>
      <c r="B383" s="3" t="s">
        <v>16</v>
      </c>
      <c r="C383" s="20"/>
      <c r="D383" s="21"/>
    </row>
    <row r="384" spans="1:4" ht="12.75" customHeight="1" x14ac:dyDescent="0.2">
      <c r="A384" s="21"/>
      <c r="B384" s="3" t="s">
        <v>17</v>
      </c>
      <c r="C384" s="20" t="s">
        <v>19</v>
      </c>
      <c r="D384" s="21"/>
    </row>
    <row r="385" spans="1:4" ht="12.75" customHeight="1" x14ac:dyDescent="0.2">
      <c r="A385" s="21"/>
      <c r="B385" s="20" t="s">
        <v>18</v>
      </c>
      <c r="C385" s="4" t="s">
        <v>44</v>
      </c>
      <c r="D385" s="6" t="str">
        <f>HYPERLINK("javascript:void(0)","kithrill csizma")</f>
        <v>kithrill csizma</v>
      </c>
    </row>
    <row r="386" spans="1:4" ht="12.75" customHeight="1" x14ac:dyDescent="0.2">
      <c r="A386" s="21"/>
      <c r="B386" s="21"/>
      <c r="C386" s="4" t="s">
        <v>193</v>
      </c>
      <c r="D386" s="6" t="str">
        <f>HYPERLINK("javascript:void(0)","centrolium")</f>
        <v>centrolium</v>
      </c>
    </row>
    <row r="387" spans="1:4" ht="12.75" customHeight="1" x14ac:dyDescent="0.2">
      <c r="A387" s="21"/>
      <c r="B387" s="21"/>
      <c r="C387" s="4" t="s">
        <v>139</v>
      </c>
      <c r="D387" s="6" t="str">
        <f>HYPERLINK("javascript:void(0)","dobhártya")</f>
        <v>dobhártya</v>
      </c>
    </row>
    <row r="388" spans="1:4" ht="12.75" customHeight="1" x14ac:dyDescent="0.2">
      <c r="A388" s="21"/>
      <c r="B388" s="2"/>
      <c r="C388" s="2"/>
      <c r="D388" s="2"/>
    </row>
    <row r="389" spans="1:4" ht="12.75" customHeight="1" x14ac:dyDescent="0.2">
      <c r="A389" s="21"/>
      <c r="B389" s="2"/>
      <c r="C389" s="2"/>
      <c r="D389" s="2"/>
    </row>
    <row r="390" spans="1:4" ht="12.75" customHeight="1" x14ac:dyDescent="0.2">
      <c r="A390" s="21"/>
      <c r="B390" s="2"/>
      <c r="C390" s="2"/>
      <c r="D390" s="2"/>
    </row>
    <row r="391" spans="1:4" ht="12.75" customHeight="1" x14ac:dyDescent="0.2">
      <c r="A391" s="21"/>
      <c r="B391" s="2"/>
      <c r="C391" s="2"/>
      <c r="D391" s="2"/>
    </row>
    <row r="392" spans="1:4" ht="12.75" customHeight="1" x14ac:dyDescent="0.2">
      <c r="A392" s="5"/>
      <c r="B392" s="2"/>
      <c r="C392" s="2"/>
      <c r="D392" s="2"/>
    </row>
    <row r="393" spans="1:4" ht="12.75" customHeight="1" x14ac:dyDescent="0.2">
      <c r="A393" s="22" t="str">
        <f>HYPERLINK("javascript:void(0)","hipercsizma")</f>
        <v>hipercsizma</v>
      </c>
      <c r="B393" s="21"/>
      <c r="C393" s="21"/>
      <c r="D393" s="21"/>
    </row>
    <row r="394" spans="1:4" ht="12.75" customHeight="1" x14ac:dyDescent="0.2">
      <c r="A394" s="20"/>
      <c r="B394" s="2"/>
      <c r="C394" s="2"/>
      <c r="D394" s="2"/>
    </row>
    <row r="395" spans="1:4" ht="12.75" customHeight="1" x14ac:dyDescent="0.2">
      <c r="A395" s="21"/>
      <c r="B395" s="3" t="s">
        <v>0</v>
      </c>
      <c r="C395" s="20" t="s">
        <v>187</v>
      </c>
      <c r="D395" s="21"/>
    </row>
    <row r="396" spans="1:4" ht="12.75" customHeight="1" x14ac:dyDescent="0.2">
      <c r="A396" s="21"/>
      <c r="B396" s="3" t="s">
        <v>2</v>
      </c>
      <c r="C396" s="20"/>
      <c r="D396" s="21"/>
    </row>
    <row r="397" spans="1:4" ht="12.75" customHeight="1" x14ac:dyDescent="0.2">
      <c r="A397" s="21"/>
      <c r="B397" s="3" t="s">
        <v>1840</v>
      </c>
      <c r="C397" s="20" t="s">
        <v>392</v>
      </c>
      <c r="D397" s="21"/>
    </row>
    <row r="398" spans="1:4" ht="12.75" customHeight="1" x14ac:dyDescent="0.2">
      <c r="A398" s="21"/>
      <c r="B398" s="3" t="s">
        <v>9</v>
      </c>
      <c r="C398" s="20" t="s">
        <v>36</v>
      </c>
      <c r="D398" s="21"/>
    </row>
    <row r="399" spans="1:4" ht="12.75" customHeight="1" x14ac:dyDescent="0.2">
      <c r="A399" s="21"/>
      <c r="B399" s="3" t="s">
        <v>11</v>
      </c>
      <c r="C399" s="20" t="s">
        <v>259</v>
      </c>
      <c r="D399" s="21"/>
    </row>
    <row r="400" spans="1:4" ht="12.75" customHeight="1" x14ac:dyDescent="0.2">
      <c r="A400" s="21"/>
      <c r="B400" s="3" t="s">
        <v>16</v>
      </c>
      <c r="C400" s="20"/>
      <c r="D400" s="21"/>
    </row>
    <row r="401" spans="1:4" ht="12.75" customHeight="1" x14ac:dyDescent="0.2">
      <c r="A401" s="21"/>
      <c r="B401" s="3" t="s">
        <v>17</v>
      </c>
      <c r="C401" s="20" t="s">
        <v>19</v>
      </c>
      <c r="D401" s="21"/>
    </row>
    <row r="402" spans="1:4" ht="12.75" customHeight="1" x14ac:dyDescent="0.2">
      <c r="A402" s="21"/>
      <c r="B402" s="20" t="s">
        <v>18</v>
      </c>
      <c r="C402" s="4" t="s">
        <v>44</v>
      </c>
      <c r="D402" s="6" t="str">
        <f>HYPERLINK("javascript:void(0)","centrocsizma")</f>
        <v>centrocsizma</v>
      </c>
    </row>
    <row r="403" spans="1:4" ht="12.75" customHeight="1" x14ac:dyDescent="0.2">
      <c r="A403" s="21"/>
      <c r="B403" s="21"/>
      <c r="C403" s="4" t="s">
        <v>139</v>
      </c>
      <c r="D403" s="6" t="str">
        <f>HYPERLINK("javascript:void(0)","hiperium")</f>
        <v>hiperium</v>
      </c>
    </row>
    <row r="404" spans="1:4" ht="12.75" customHeight="1" x14ac:dyDescent="0.2">
      <c r="A404" s="21"/>
      <c r="B404" s="21"/>
      <c r="C404" s="4" t="s">
        <v>139</v>
      </c>
      <c r="D404" s="6" t="str">
        <f>HYPERLINK("javascript:void(0)","sejtmag")</f>
        <v>sejtmag</v>
      </c>
    </row>
    <row r="405" spans="1:4" ht="12.75" customHeight="1" x14ac:dyDescent="0.2">
      <c r="A405" s="21"/>
      <c r="B405" s="2"/>
      <c r="C405" s="2"/>
      <c r="D405" s="2"/>
    </row>
    <row r="406" spans="1:4" ht="12.75" customHeight="1" x14ac:dyDescent="0.2">
      <c r="A406" s="21"/>
      <c r="B406" s="2"/>
      <c r="C406" s="2"/>
      <c r="D406" s="2"/>
    </row>
    <row r="407" spans="1:4" ht="12.75" customHeight="1" x14ac:dyDescent="0.2">
      <c r="A407" s="21"/>
      <c r="B407" s="2"/>
      <c r="C407" s="2"/>
      <c r="D407" s="2"/>
    </row>
    <row r="408" spans="1:4" ht="12.75" customHeight="1" x14ac:dyDescent="0.2">
      <c r="A408" s="21"/>
      <c r="B408" s="2"/>
      <c r="C408" s="2"/>
      <c r="D408" s="2"/>
    </row>
    <row r="409" spans="1:4" ht="12.75" customHeight="1" x14ac:dyDescent="0.2">
      <c r="A409" s="5"/>
      <c r="B409" s="2"/>
      <c r="C409" s="2"/>
      <c r="D409" s="2"/>
    </row>
    <row r="410" spans="1:4" ht="12.75" customHeight="1" x14ac:dyDescent="0.2">
      <c r="A410" s="22" t="str">
        <f>HYPERLINK("javascript:void(0)","kompocsizma")</f>
        <v>kompocsizma</v>
      </c>
      <c r="B410" s="21"/>
      <c r="C410" s="21"/>
      <c r="D410" s="21"/>
    </row>
    <row r="411" spans="1:4" ht="12.75" customHeight="1" x14ac:dyDescent="0.2">
      <c r="A411" s="20"/>
      <c r="B411" s="2"/>
      <c r="C411" s="2"/>
      <c r="D411" s="2"/>
    </row>
    <row r="412" spans="1:4" ht="12.75" customHeight="1" x14ac:dyDescent="0.2">
      <c r="A412" s="21"/>
      <c r="B412" s="3" t="s">
        <v>0</v>
      </c>
      <c r="C412" s="20" t="s">
        <v>107</v>
      </c>
      <c r="D412" s="21"/>
    </row>
    <row r="413" spans="1:4" ht="12.75" customHeight="1" x14ac:dyDescent="0.2">
      <c r="A413" s="21"/>
      <c r="B413" s="3" t="s">
        <v>2</v>
      </c>
      <c r="C413" s="20"/>
      <c r="D413" s="21"/>
    </row>
    <row r="414" spans="1:4" ht="12.75" customHeight="1" x14ac:dyDescent="0.2">
      <c r="A414" s="21"/>
      <c r="B414" s="3" t="s">
        <v>1840</v>
      </c>
      <c r="C414" s="20" t="s">
        <v>417</v>
      </c>
      <c r="D414" s="21"/>
    </row>
    <row r="415" spans="1:4" ht="12.75" customHeight="1" x14ac:dyDescent="0.2">
      <c r="A415" s="21"/>
      <c r="B415" s="3" t="s">
        <v>9</v>
      </c>
      <c r="C415" s="20" t="s">
        <v>464</v>
      </c>
      <c r="D415" s="21"/>
    </row>
    <row r="416" spans="1:4" ht="12.75" customHeight="1" x14ac:dyDescent="0.2">
      <c r="A416" s="21"/>
      <c r="B416" s="3" t="s">
        <v>11</v>
      </c>
      <c r="C416" s="20" t="s">
        <v>289</v>
      </c>
      <c r="D416" s="21"/>
    </row>
    <row r="417" spans="1:4" ht="12.75" customHeight="1" x14ac:dyDescent="0.2">
      <c r="A417" s="21"/>
      <c r="B417" s="3" t="s">
        <v>16</v>
      </c>
      <c r="C417" s="20"/>
      <c r="D417" s="21"/>
    </row>
    <row r="418" spans="1:4" ht="12.75" customHeight="1" x14ac:dyDescent="0.2">
      <c r="A418" s="21"/>
      <c r="B418" s="3" t="s">
        <v>17</v>
      </c>
      <c r="C418" s="20" t="s">
        <v>19</v>
      </c>
      <c r="D418" s="21"/>
    </row>
    <row r="419" spans="1:4" ht="12.75" customHeight="1" x14ac:dyDescent="0.2">
      <c r="A419" s="21"/>
      <c r="B419" s="20" t="s">
        <v>18</v>
      </c>
      <c r="C419" s="4" t="s">
        <v>44</v>
      </c>
      <c r="D419" s="6" t="str">
        <f>HYPERLINK("javascript:void(0)","óriásacél csizma")</f>
        <v>óriásacél csizma</v>
      </c>
    </row>
    <row r="420" spans="1:4" ht="12.75" customHeight="1" x14ac:dyDescent="0.2">
      <c r="A420" s="21"/>
      <c r="B420" s="21"/>
      <c r="C420" s="4" t="s">
        <v>44</v>
      </c>
      <c r="D420" s="6" t="str">
        <f>HYPERLINK("javascript:void(0)","hipercsizma")</f>
        <v>hipercsizma</v>
      </c>
    </row>
    <row r="421" spans="1:4" ht="12.75" customHeight="1" x14ac:dyDescent="0.2">
      <c r="A421" s="21"/>
      <c r="B421" s="21"/>
      <c r="C421" s="4" t="s">
        <v>139</v>
      </c>
      <c r="D421" s="6" t="str">
        <f>HYPERLINK("javascript:void(0)","kompózium")</f>
        <v>kompózium</v>
      </c>
    </row>
    <row r="422" spans="1:4" ht="12.75" customHeight="1" x14ac:dyDescent="0.2">
      <c r="A422" s="21"/>
      <c r="B422" s="2"/>
      <c r="C422" s="2"/>
      <c r="D422" s="2"/>
    </row>
    <row r="423" spans="1:4" ht="12.75" customHeight="1" x14ac:dyDescent="0.2">
      <c r="A423" s="21"/>
      <c r="B423" s="2"/>
      <c r="C423" s="2"/>
      <c r="D423" s="2"/>
    </row>
    <row r="424" spans="1:4" ht="12.75" customHeight="1" x14ac:dyDescent="0.2">
      <c r="A424" s="21"/>
      <c r="B424" s="2"/>
      <c r="C424" s="2"/>
      <c r="D424" s="2"/>
    </row>
    <row r="425" spans="1:4" ht="12.75" customHeight="1" x14ac:dyDescent="0.2">
      <c r="A425" s="21"/>
      <c r="B425" s="2"/>
      <c r="C425" s="2"/>
      <c r="D425" s="2"/>
    </row>
    <row r="426" spans="1:4" ht="12.75" customHeight="1" x14ac:dyDescent="0.2">
      <c r="A426" s="5"/>
      <c r="B426" s="2"/>
      <c r="C426" s="2"/>
      <c r="D426" s="2"/>
    </row>
    <row r="427" spans="1:4" ht="12.75" customHeight="1" x14ac:dyDescent="0.2">
      <c r="A427" s="22" t="str">
        <f>HYPERLINK("javascript:void(0)","csillámcipő")</f>
        <v>csillámcipő</v>
      </c>
      <c r="B427" s="21"/>
      <c r="C427" s="21"/>
      <c r="D427" s="21"/>
    </row>
    <row r="428" spans="1:4" ht="12.75" customHeight="1" x14ac:dyDescent="0.2">
      <c r="A428" s="20"/>
      <c r="B428" s="2"/>
      <c r="C428" s="2"/>
      <c r="D428" s="2"/>
    </row>
    <row r="429" spans="1:4" ht="12.75" customHeight="1" x14ac:dyDescent="0.2">
      <c r="A429" s="21"/>
      <c r="B429" s="3" t="s">
        <v>0</v>
      </c>
      <c r="C429" s="20" t="s">
        <v>107</v>
      </c>
      <c r="D429" s="21"/>
    </row>
    <row r="430" spans="1:4" ht="12.75" customHeight="1" x14ac:dyDescent="0.2">
      <c r="A430" s="21"/>
      <c r="B430" s="3" t="s">
        <v>2</v>
      </c>
      <c r="C430" s="20"/>
      <c r="D430" s="21"/>
    </row>
    <row r="431" spans="1:4" ht="12.75" customHeight="1" x14ac:dyDescent="0.2">
      <c r="A431" s="21"/>
      <c r="B431" s="3" t="s">
        <v>1840</v>
      </c>
      <c r="C431" s="20" t="s">
        <v>134</v>
      </c>
      <c r="D431" s="21"/>
    </row>
    <row r="432" spans="1:4" ht="12.75" customHeight="1" x14ac:dyDescent="0.2">
      <c r="A432" s="21"/>
      <c r="B432" s="3" t="s">
        <v>9</v>
      </c>
      <c r="C432" s="20" t="s">
        <v>93</v>
      </c>
      <c r="D432" s="21"/>
    </row>
    <row r="433" spans="1:4" ht="12.75" customHeight="1" x14ac:dyDescent="0.2">
      <c r="A433" s="21"/>
      <c r="B433" s="3" t="s">
        <v>11</v>
      </c>
      <c r="C433" s="20" t="s">
        <v>289</v>
      </c>
      <c r="D433" s="21"/>
    </row>
    <row r="434" spans="1:4" ht="12.75" customHeight="1" x14ac:dyDescent="0.2">
      <c r="A434" s="21"/>
      <c r="B434" s="3" t="s">
        <v>16</v>
      </c>
      <c r="C434" s="20"/>
      <c r="D434" s="21"/>
    </row>
    <row r="435" spans="1:4" ht="12.75" customHeight="1" x14ac:dyDescent="0.2">
      <c r="A435" s="21"/>
      <c r="B435" s="3" t="s">
        <v>17</v>
      </c>
      <c r="C435" s="20" t="s">
        <v>19</v>
      </c>
      <c r="D435" s="21"/>
    </row>
    <row r="436" spans="1:4" ht="12.75" customHeight="1" x14ac:dyDescent="0.2">
      <c r="A436" s="21"/>
      <c r="B436" s="20" t="s">
        <v>18</v>
      </c>
      <c r="C436" s="4" t="s">
        <v>98</v>
      </c>
      <c r="D436" s="6" t="str">
        <f>HYPERLINK("javascript:void(0)","ezüstcsizma")</f>
        <v>ezüstcsizma</v>
      </c>
    </row>
    <row r="437" spans="1:4" ht="12.75" customHeight="1" x14ac:dyDescent="0.2">
      <c r="A437" s="21"/>
      <c r="B437" s="21"/>
      <c r="C437" s="4" t="s">
        <v>57</v>
      </c>
      <c r="D437" s="6" t="str">
        <f>HYPERLINK("javascript:void(0)","csillámgöb")</f>
        <v>csillámgöb</v>
      </c>
    </row>
    <row r="438" spans="1:4" ht="12.75" customHeight="1" x14ac:dyDescent="0.2">
      <c r="A438" s="21"/>
      <c r="B438" s="21"/>
      <c r="C438" s="4" t="s">
        <v>139</v>
      </c>
      <c r="D438" s="6" t="str">
        <f>HYPERLINK("javascript:void(0)","mágusköpeny")</f>
        <v>mágusköpeny</v>
      </c>
    </row>
    <row r="439" spans="1:4" ht="12.75" customHeight="1" x14ac:dyDescent="0.2">
      <c r="A439" s="21"/>
      <c r="B439" s="2"/>
      <c r="C439" s="2"/>
      <c r="D439" s="2"/>
    </row>
    <row r="440" spans="1:4" ht="12.75" customHeight="1" x14ac:dyDescent="0.2">
      <c r="A440" s="21"/>
      <c r="B440" s="2"/>
      <c r="C440" s="2"/>
      <c r="D440" s="2"/>
    </row>
    <row r="441" spans="1:4" ht="12.75" customHeight="1" x14ac:dyDescent="0.2">
      <c r="A441" s="21"/>
      <c r="B441" s="2"/>
      <c r="C441" s="2"/>
      <c r="D441" s="2"/>
    </row>
    <row r="442" spans="1:4" ht="12.75" customHeight="1" x14ac:dyDescent="0.2">
      <c r="A442" s="21"/>
      <c r="B442" s="2"/>
      <c r="C442" s="2"/>
      <c r="D442" s="2"/>
    </row>
    <row r="443" spans="1:4" ht="12.75" customHeight="1" x14ac:dyDescent="0.2">
      <c r="A443" s="5"/>
      <c r="B443" s="2"/>
      <c r="C443" s="2"/>
      <c r="D443" s="2"/>
    </row>
    <row r="444" spans="1:4" ht="12.75" customHeight="1" x14ac:dyDescent="0.2">
      <c r="A444" s="22" t="str">
        <f>HYPERLINK("javascript:void(0)","körömcipő")</f>
        <v>körömcipő</v>
      </c>
      <c r="B444" s="21"/>
      <c r="C444" s="21"/>
      <c r="D444" s="21"/>
    </row>
    <row r="445" spans="1:4" ht="12.75" customHeight="1" x14ac:dyDescent="0.2">
      <c r="A445" s="20"/>
      <c r="B445" s="2"/>
      <c r="C445" s="2"/>
      <c r="D445" s="2"/>
    </row>
    <row r="446" spans="1:4" ht="12.75" customHeight="1" x14ac:dyDescent="0.2">
      <c r="A446" s="21"/>
      <c r="B446" s="3" t="s">
        <v>0</v>
      </c>
      <c r="C446" s="20" t="s">
        <v>324</v>
      </c>
      <c r="D446" s="21"/>
    </row>
    <row r="447" spans="1:4" ht="12.75" customHeight="1" x14ac:dyDescent="0.2">
      <c r="A447" s="21"/>
      <c r="B447" s="3" t="s">
        <v>2</v>
      </c>
      <c r="C447" s="20"/>
      <c r="D447" s="21"/>
    </row>
    <row r="448" spans="1:4" ht="12.75" customHeight="1" x14ac:dyDescent="0.2">
      <c r="A448" s="21"/>
      <c r="B448" s="3" t="s">
        <v>1840</v>
      </c>
      <c r="C448" s="20" t="s">
        <v>47</v>
      </c>
      <c r="D448" s="21"/>
    </row>
    <row r="449" spans="1:4" ht="12.75" customHeight="1" x14ac:dyDescent="0.2">
      <c r="A449" s="21"/>
      <c r="B449" s="3" t="s">
        <v>9</v>
      </c>
      <c r="C449" s="20" t="s">
        <v>172</v>
      </c>
      <c r="D449" s="21"/>
    </row>
    <row r="450" spans="1:4" ht="12.75" customHeight="1" x14ac:dyDescent="0.2">
      <c r="A450" s="21"/>
      <c r="B450" s="3" t="s">
        <v>11</v>
      </c>
      <c r="C450" s="20" t="s">
        <v>307</v>
      </c>
      <c r="D450" s="21"/>
    </row>
    <row r="451" spans="1:4" ht="12.75" customHeight="1" x14ac:dyDescent="0.2">
      <c r="A451" s="21"/>
      <c r="B451" s="3" t="s">
        <v>16</v>
      </c>
      <c r="C451" s="20"/>
      <c r="D451" s="21"/>
    </row>
    <row r="452" spans="1:4" ht="12.75" customHeight="1" x14ac:dyDescent="0.2">
      <c r="A452" s="21"/>
      <c r="B452" s="3" t="s">
        <v>17</v>
      </c>
      <c r="C452" s="20" t="s">
        <v>19</v>
      </c>
      <c r="D452" s="21"/>
    </row>
    <row r="453" spans="1:4" ht="12.75" customHeight="1" x14ac:dyDescent="0.2">
      <c r="A453" s="21"/>
      <c r="B453" s="20" t="s">
        <v>18</v>
      </c>
      <c r="C453" s="4" t="s">
        <v>44</v>
      </c>
      <c r="D453" s="6" t="str">
        <f>HYPERLINK("javascript:void(0)","kompocsizma")</f>
        <v>kompocsizma</v>
      </c>
    </row>
    <row r="454" spans="1:4" ht="12.75" customHeight="1" x14ac:dyDescent="0.2">
      <c r="A454" s="21"/>
      <c r="B454" s="21"/>
      <c r="C454" s="4" t="s">
        <v>130</v>
      </c>
      <c r="D454" s="6" t="str">
        <f>HYPERLINK("javascript:void(0)","gigaköröm")</f>
        <v>gigaköröm</v>
      </c>
    </row>
    <row r="455" spans="1:4" ht="12.75" customHeight="1" x14ac:dyDescent="0.2">
      <c r="A455" s="21"/>
      <c r="B455" s="21"/>
      <c r="C455" s="4" t="s">
        <v>139</v>
      </c>
      <c r="D455" s="6" t="str">
        <f>HYPERLINK("javascript:void(0)","mágusköpeny")</f>
        <v>mágusköpeny</v>
      </c>
    </row>
    <row r="456" spans="1:4" ht="12.75" customHeight="1" x14ac:dyDescent="0.2">
      <c r="A456" s="21"/>
      <c r="B456" s="2"/>
      <c r="C456" s="2"/>
      <c r="D456" s="2"/>
    </row>
    <row r="457" spans="1:4" ht="12.75" customHeight="1" x14ac:dyDescent="0.2">
      <c r="A457" s="21"/>
      <c r="B457" s="2"/>
      <c r="C457" s="2"/>
      <c r="D457" s="2"/>
    </row>
    <row r="458" spans="1:4" ht="12.75" customHeight="1" x14ac:dyDescent="0.2">
      <c r="A458" s="21"/>
      <c r="B458" s="2"/>
      <c r="C458" s="2"/>
      <c r="D458" s="2"/>
    </row>
    <row r="459" spans="1:4" ht="12.75" customHeight="1" x14ac:dyDescent="0.2">
      <c r="A459" s="21"/>
      <c r="B459" s="2"/>
      <c r="C459" s="2"/>
      <c r="D459" s="2"/>
    </row>
    <row r="460" spans="1:4" ht="12.75" customHeight="1" x14ac:dyDescent="0.2">
      <c r="A460" s="5"/>
      <c r="B460" s="2"/>
      <c r="C460" s="2"/>
      <c r="D460" s="2"/>
    </row>
    <row r="461" spans="1:4" ht="12.75" customHeight="1" x14ac:dyDescent="0.2">
      <c r="A461" s="22" t="str">
        <f>HYPERLINK("javascript:void(0)","antigrav csizma")</f>
        <v>antigrav csizma</v>
      </c>
      <c r="B461" s="21"/>
      <c r="C461" s="21"/>
      <c r="D461" s="21"/>
    </row>
    <row r="462" spans="1:4" ht="12.75" customHeight="1" x14ac:dyDescent="0.2">
      <c r="A462" s="20"/>
      <c r="B462" s="2"/>
      <c r="C462" s="2"/>
      <c r="D462" s="2"/>
    </row>
    <row r="463" spans="1:4" ht="12.75" customHeight="1" x14ac:dyDescent="0.2">
      <c r="A463" s="21"/>
      <c r="B463" s="3" t="s">
        <v>0</v>
      </c>
      <c r="C463" s="20" t="s">
        <v>178</v>
      </c>
      <c r="D463" s="21"/>
    </row>
    <row r="464" spans="1:4" ht="12.75" customHeight="1" x14ac:dyDescent="0.2">
      <c r="A464" s="21"/>
      <c r="B464" s="3" t="s">
        <v>2</v>
      </c>
      <c r="C464" s="20"/>
      <c r="D464" s="21"/>
    </row>
    <row r="465" spans="1:4" ht="12.75" customHeight="1" x14ac:dyDescent="0.2">
      <c r="A465" s="21"/>
      <c r="B465" s="3" t="s">
        <v>1840</v>
      </c>
      <c r="C465" s="20" t="s">
        <v>468</v>
      </c>
      <c r="D465" s="21"/>
    </row>
    <row r="466" spans="1:4" ht="12.75" customHeight="1" x14ac:dyDescent="0.2">
      <c r="A466" s="21"/>
      <c r="B466" s="3" t="s">
        <v>9</v>
      </c>
      <c r="C466" s="20" t="s">
        <v>626</v>
      </c>
      <c r="D466" s="21"/>
    </row>
    <row r="467" spans="1:4" ht="12.75" customHeight="1" x14ac:dyDescent="0.2">
      <c r="A467" s="21"/>
      <c r="B467" s="3" t="s">
        <v>11</v>
      </c>
      <c r="C467" s="20" t="s">
        <v>23</v>
      </c>
      <c r="D467" s="21"/>
    </row>
    <row r="468" spans="1:4" ht="12.75" customHeight="1" x14ac:dyDescent="0.2">
      <c r="A468" s="21"/>
      <c r="B468" s="3" t="s">
        <v>16</v>
      </c>
      <c r="C468" s="20"/>
      <c r="D468" s="21"/>
    </row>
    <row r="469" spans="1:4" ht="12.75" customHeight="1" x14ac:dyDescent="0.2">
      <c r="A469" s="21"/>
      <c r="B469" s="3" t="s">
        <v>17</v>
      </c>
      <c r="C469" s="20" t="s">
        <v>19</v>
      </c>
      <c r="D469" s="21"/>
    </row>
    <row r="470" spans="1:4" ht="12.75" customHeight="1" x14ac:dyDescent="0.2">
      <c r="A470" s="21"/>
      <c r="B470" s="20" t="s">
        <v>18</v>
      </c>
      <c r="C470" s="4" t="s">
        <v>44</v>
      </c>
      <c r="D470" s="6" t="str">
        <f>HYPERLINK("javascript:void(0)","kompocsizma")</f>
        <v>kompocsizma</v>
      </c>
    </row>
    <row r="471" spans="1:4" ht="12.75" customHeight="1" x14ac:dyDescent="0.2">
      <c r="A471" s="21"/>
      <c r="B471" s="21"/>
      <c r="C471" s="4" t="s">
        <v>130</v>
      </c>
      <c r="D471" s="6" t="str">
        <f>HYPERLINK("javascript:void(0)","antigrav bigyó")</f>
        <v>antigrav bigyó</v>
      </c>
    </row>
    <row r="472" spans="1:4" ht="12.75" customHeight="1" x14ac:dyDescent="0.2">
      <c r="A472" s="21"/>
      <c r="B472" s="21"/>
      <c r="C472" s="4" t="s">
        <v>67</v>
      </c>
      <c r="D472" s="6" t="str">
        <f>HYPERLINK("javascript:void(0)","fénynyaláb")</f>
        <v>fénynyaláb</v>
      </c>
    </row>
    <row r="473" spans="1:4" ht="12.75" customHeight="1" x14ac:dyDescent="0.2">
      <c r="A473" s="21"/>
      <c r="B473" s="2"/>
      <c r="C473" s="2"/>
      <c r="D473" s="2"/>
    </row>
    <row r="474" spans="1:4" ht="12.75" customHeight="1" x14ac:dyDescent="0.2">
      <c r="A474" s="21"/>
      <c r="B474" s="2"/>
      <c r="C474" s="2"/>
      <c r="D474" s="2"/>
    </row>
    <row r="475" spans="1:4" ht="12.75" customHeight="1" x14ac:dyDescent="0.2">
      <c r="A475" s="21"/>
      <c r="B475" s="2"/>
      <c r="C475" s="2"/>
      <c r="D475" s="2"/>
    </row>
    <row r="476" spans="1:4" ht="12.75" customHeight="1" x14ac:dyDescent="0.2">
      <c r="A476" s="21"/>
      <c r="B476" s="2"/>
      <c r="C476" s="2"/>
      <c r="D476" s="2"/>
    </row>
    <row r="477" spans="1:4" ht="12.75" customHeight="1" x14ac:dyDescent="0.2">
      <c r="A477" s="5"/>
      <c r="B477" s="2"/>
      <c r="C477" s="2"/>
      <c r="D477" s="2"/>
    </row>
    <row r="478" spans="1:4" ht="12.75" customHeight="1" x14ac:dyDescent="0.2">
      <c r="A478" s="22" t="str">
        <f>HYPERLINK("javascript:void(0)","szalagcsizma")</f>
        <v>szalagcsizma</v>
      </c>
      <c r="B478" s="21"/>
      <c r="C478" s="21"/>
      <c r="D478" s="21"/>
    </row>
    <row r="479" spans="1:4" ht="12.75" customHeight="1" x14ac:dyDescent="0.2">
      <c r="A479" s="20"/>
      <c r="B479" s="2"/>
      <c r="C479" s="2"/>
      <c r="D479" s="2"/>
    </row>
    <row r="480" spans="1:4" ht="12.75" customHeight="1" x14ac:dyDescent="0.2">
      <c r="A480" s="21"/>
      <c r="B480" s="3" t="s">
        <v>0</v>
      </c>
      <c r="C480" s="20" t="s">
        <v>178</v>
      </c>
      <c r="D480" s="21"/>
    </row>
    <row r="481" spans="1:4" ht="12.75" customHeight="1" x14ac:dyDescent="0.2">
      <c r="A481" s="21"/>
      <c r="B481" s="3" t="s">
        <v>2</v>
      </c>
      <c r="C481" s="20"/>
      <c r="D481" s="21"/>
    </row>
    <row r="482" spans="1:4" ht="12.75" customHeight="1" x14ac:dyDescent="0.2">
      <c r="A482" s="21"/>
      <c r="B482" s="3" t="s">
        <v>1840</v>
      </c>
      <c r="C482" s="20" t="s">
        <v>468</v>
      </c>
      <c r="D482" s="21"/>
    </row>
    <row r="483" spans="1:4" ht="12.75" customHeight="1" x14ac:dyDescent="0.2">
      <c r="A483" s="21"/>
      <c r="B483" s="3" t="s">
        <v>9</v>
      </c>
      <c r="C483" s="20" t="s">
        <v>172</v>
      </c>
      <c r="D483" s="21"/>
    </row>
    <row r="484" spans="1:4" ht="12.75" customHeight="1" x14ac:dyDescent="0.2">
      <c r="A484" s="21"/>
      <c r="B484" s="3" t="s">
        <v>11</v>
      </c>
      <c r="C484" s="20" t="s">
        <v>321</v>
      </c>
      <c r="D484" s="21"/>
    </row>
    <row r="485" spans="1:4" ht="12.75" customHeight="1" x14ac:dyDescent="0.2">
      <c r="A485" s="21"/>
      <c r="B485" s="3" t="s">
        <v>16</v>
      </c>
      <c r="C485" s="20"/>
      <c r="D485" s="21"/>
    </row>
    <row r="486" spans="1:4" ht="12.75" customHeight="1" x14ac:dyDescent="0.2">
      <c r="A486" s="21"/>
      <c r="B486" s="3" t="s">
        <v>17</v>
      </c>
      <c r="C486" s="20" t="s">
        <v>19</v>
      </c>
      <c r="D486" s="21"/>
    </row>
    <row r="487" spans="1:4" ht="12.75" customHeight="1" x14ac:dyDescent="0.2">
      <c r="A487" s="21"/>
      <c r="B487" s="20" t="s">
        <v>18</v>
      </c>
      <c r="C487" s="4" t="s">
        <v>67</v>
      </c>
      <c r="D487" s="6" t="str">
        <f>HYPERLINK("javascript:void(0)","ínszalag")</f>
        <v>ínszalag</v>
      </c>
    </row>
    <row r="488" spans="1:4" ht="12.75" customHeight="1" x14ac:dyDescent="0.2">
      <c r="A488" s="21"/>
      <c r="B488" s="21"/>
      <c r="C488" s="4" t="s">
        <v>44</v>
      </c>
      <c r="D488" s="6" t="str">
        <f>HYPERLINK("javascript:void(0)","körömcipő")</f>
        <v>körömcipő</v>
      </c>
    </row>
    <row r="489" spans="1:4" ht="12.75" customHeight="1" x14ac:dyDescent="0.2">
      <c r="A489" s="21"/>
      <c r="B489" s="21"/>
      <c r="C489" s="4" t="s">
        <v>232</v>
      </c>
      <c r="D489" s="6" t="str">
        <f>HYPERLINK("javascript:void(0)","óriás korona")</f>
        <v>óriás korona</v>
      </c>
    </row>
    <row r="490" spans="1:4" ht="12.75" customHeight="1" x14ac:dyDescent="0.2">
      <c r="A490" s="21"/>
      <c r="B490" s="2"/>
      <c r="C490" s="2"/>
      <c r="D490" s="2"/>
    </row>
    <row r="491" spans="1:4" ht="12.75" customHeight="1" x14ac:dyDescent="0.2">
      <c r="A491" s="21"/>
      <c r="B491" s="2"/>
      <c r="C491" s="2"/>
      <c r="D491" s="2"/>
    </row>
    <row r="492" spans="1:4" ht="12.75" customHeight="1" x14ac:dyDescent="0.2">
      <c r="A492" s="21"/>
      <c r="B492" s="2"/>
      <c r="C492" s="2"/>
      <c r="D492" s="2"/>
    </row>
    <row r="493" spans="1:4" ht="12.75" customHeight="1" x14ac:dyDescent="0.2">
      <c r="A493" s="21"/>
      <c r="B493" s="2"/>
      <c r="C493" s="2"/>
      <c r="D493" s="2"/>
    </row>
    <row r="494" spans="1:4" ht="12.75" customHeight="1" x14ac:dyDescent="0.2">
      <c r="A494" s="5"/>
      <c r="B494" s="2"/>
      <c r="C494" s="2"/>
      <c r="D494" s="2"/>
    </row>
    <row r="495" spans="1:4" ht="12.75" customHeight="1" x14ac:dyDescent="0.2">
      <c r="A495" s="22" t="str">
        <f>HYPERLINK("javascript:void(0)","csőcsizma")</f>
        <v>csőcsizma</v>
      </c>
      <c r="B495" s="21"/>
      <c r="C495" s="21"/>
      <c r="D495" s="21"/>
    </row>
    <row r="496" spans="1:4" ht="12.75" customHeight="1" x14ac:dyDescent="0.2">
      <c r="A496" s="20"/>
      <c r="B496" s="2"/>
      <c r="C496" s="2"/>
      <c r="D496" s="2"/>
    </row>
    <row r="497" spans="1:4" ht="12.75" customHeight="1" x14ac:dyDescent="0.2">
      <c r="A497" s="21"/>
      <c r="B497" s="3" t="s">
        <v>0</v>
      </c>
      <c r="C497" s="20" t="s">
        <v>340</v>
      </c>
      <c r="D497" s="21"/>
    </row>
    <row r="498" spans="1:4" ht="12.75" customHeight="1" x14ac:dyDescent="0.2">
      <c r="A498" s="21"/>
      <c r="B498" s="3" t="s">
        <v>2</v>
      </c>
      <c r="C498" s="20"/>
      <c r="D498" s="21"/>
    </row>
    <row r="499" spans="1:4" ht="12.75" customHeight="1" x14ac:dyDescent="0.2">
      <c r="A499" s="21"/>
      <c r="B499" s="3" t="s">
        <v>1840</v>
      </c>
      <c r="C499" s="20" t="s">
        <v>134</v>
      </c>
      <c r="D499" s="21"/>
    </row>
    <row r="500" spans="1:4" ht="12.75" customHeight="1" x14ac:dyDescent="0.2">
      <c r="A500" s="21"/>
      <c r="B500" s="3" t="s">
        <v>9</v>
      </c>
      <c r="C500" s="20" t="s">
        <v>573</v>
      </c>
      <c r="D500" s="21"/>
    </row>
    <row r="501" spans="1:4" ht="12.75" customHeight="1" x14ac:dyDescent="0.2">
      <c r="A501" s="21"/>
      <c r="B501" s="3" t="s">
        <v>11</v>
      </c>
      <c r="C501" s="20" t="s">
        <v>339</v>
      </c>
      <c r="D501" s="21"/>
    </row>
    <row r="502" spans="1:4" ht="12.75" customHeight="1" x14ac:dyDescent="0.2">
      <c r="A502" s="21"/>
      <c r="B502" s="3" t="s">
        <v>16</v>
      </c>
      <c r="C502" s="20"/>
      <c r="D502" s="21"/>
    </row>
    <row r="503" spans="1:4" ht="12.75" customHeight="1" x14ac:dyDescent="0.2">
      <c r="A503" s="21"/>
      <c r="B503" s="3" t="s">
        <v>17</v>
      </c>
      <c r="C503" s="20" t="s">
        <v>19</v>
      </c>
      <c r="D503" s="21"/>
    </row>
    <row r="504" spans="1:4" ht="12.75" customHeight="1" x14ac:dyDescent="0.2">
      <c r="A504" s="21"/>
      <c r="B504" s="20" t="s">
        <v>18</v>
      </c>
      <c r="C504" s="4" t="s">
        <v>44</v>
      </c>
      <c r="D504" s="6" t="str">
        <f>HYPERLINK("javascript:void(0)","szalagcsizma")</f>
        <v>szalagcsizma</v>
      </c>
    </row>
    <row r="505" spans="1:4" ht="12.75" customHeight="1" x14ac:dyDescent="0.2">
      <c r="A505" s="21"/>
      <c r="B505" s="21"/>
      <c r="C505" s="4" t="s">
        <v>57</v>
      </c>
      <c r="D505" s="6" t="str">
        <f>HYPERLINK("javascript:void(0)","vértcső")</f>
        <v>vértcső</v>
      </c>
    </row>
    <row r="506" spans="1:4" ht="12.75" customHeight="1" x14ac:dyDescent="0.2">
      <c r="A506" s="21"/>
      <c r="B506" s="21"/>
      <c r="C506" s="4" t="s">
        <v>98</v>
      </c>
      <c r="D506" s="6" t="str">
        <f>HYPERLINK("javascript:void(0)","hiperzsír")</f>
        <v>hiperzsír</v>
      </c>
    </row>
    <row r="507" spans="1:4" ht="12.75" customHeight="1" x14ac:dyDescent="0.2">
      <c r="A507" s="21"/>
      <c r="B507" s="2"/>
      <c r="C507" s="2"/>
      <c r="D507" s="2"/>
    </row>
    <row r="508" spans="1:4" ht="12.75" customHeight="1" x14ac:dyDescent="0.2">
      <c r="A508" s="21"/>
      <c r="B508" s="2"/>
      <c r="C508" s="2"/>
      <c r="D508" s="2"/>
    </row>
    <row r="509" spans="1:4" ht="12.75" customHeight="1" x14ac:dyDescent="0.2">
      <c r="A509" s="21"/>
      <c r="B509" s="2"/>
      <c r="C509" s="2"/>
      <c r="D509" s="2"/>
    </row>
    <row r="510" spans="1:4" ht="12.75" customHeight="1" x14ac:dyDescent="0.2">
      <c r="A510" s="21"/>
      <c r="B510" s="2"/>
      <c r="C510" s="2"/>
      <c r="D510" s="2"/>
    </row>
    <row r="511" spans="1:4" ht="12.75" customHeight="1" x14ac:dyDescent="0.2">
      <c r="A511" s="5"/>
      <c r="B511" s="2"/>
      <c r="C511" s="2"/>
      <c r="D511" s="2"/>
    </row>
    <row r="512" spans="1:4" ht="12.75" customHeight="1" x14ac:dyDescent="0.2">
      <c r="A512" s="22" t="str">
        <f>HYPERLINK("javascript:void(0)","mozsárcsizma")</f>
        <v>mozsárcsizma</v>
      </c>
      <c r="B512" s="21"/>
      <c r="C512" s="21"/>
      <c r="D512" s="21"/>
    </row>
    <row r="513" spans="1:4" ht="12.75" customHeight="1" x14ac:dyDescent="0.2">
      <c r="A513" s="20"/>
      <c r="B513" s="2"/>
      <c r="C513" s="2"/>
      <c r="D513" s="2"/>
    </row>
    <row r="514" spans="1:4" ht="12.75" customHeight="1" x14ac:dyDescent="0.2">
      <c r="A514" s="21"/>
      <c r="B514" s="3" t="s">
        <v>0</v>
      </c>
      <c r="C514" s="20" t="s">
        <v>353</v>
      </c>
      <c r="D514" s="21"/>
    </row>
    <row r="515" spans="1:4" ht="12.75" customHeight="1" x14ac:dyDescent="0.2">
      <c r="A515" s="21"/>
      <c r="B515" s="3" t="s">
        <v>2</v>
      </c>
      <c r="C515" s="20"/>
      <c r="D515" s="21"/>
    </row>
    <row r="516" spans="1:4" ht="12.75" customHeight="1" x14ac:dyDescent="0.2">
      <c r="A516" s="21"/>
      <c r="B516" s="3" t="s">
        <v>1840</v>
      </c>
      <c r="C516" s="20" t="s">
        <v>167</v>
      </c>
      <c r="D516" s="21"/>
    </row>
    <row r="517" spans="1:4" ht="12.75" customHeight="1" x14ac:dyDescent="0.2">
      <c r="A517" s="21"/>
      <c r="B517" s="3" t="s">
        <v>9</v>
      </c>
      <c r="C517" s="20" t="s">
        <v>233</v>
      </c>
      <c r="D517" s="21"/>
    </row>
    <row r="518" spans="1:4" ht="12.75" customHeight="1" x14ac:dyDescent="0.2">
      <c r="A518" s="21"/>
      <c r="B518" s="3" t="s">
        <v>11</v>
      </c>
      <c r="C518" s="20" t="s">
        <v>350</v>
      </c>
      <c r="D518" s="21"/>
    </row>
    <row r="519" spans="1:4" ht="12.75" customHeight="1" x14ac:dyDescent="0.2">
      <c r="A519" s="21"/>
      <c r="B519" s="3" t="s">
        <v>16</v>
      </c>
      <c r="C519" s="20"/>
      <c r="D519" s="21"/>
    </row>
    <row r="520" spans="1:4" ht="12.75" customHeight="1" x14ac:dyDescent="0.2">
      <c r="A520" s="21"/>
      <c r="B520" s="3" t="s">
        <v>17</v>
      </c>
      <c r="C520" s="20" t="s">
        <v>19</v>
      </c>
      <c r="D520" s="21"/>
    </row>
    <row r="521" spans="1:4" ht="12.75" customHeight="1" x14ac:dyDescent="0.2">
      <c r="A521" s="21"/>
      <c r="B521" s="20" t="s">
        <v>18</v>
      </c>
      <c r="C521" s="4" t="s">
        <v>44</v>
      </c>
      <c r="D521" s="6" t="str">
        <f>HYPERLINK("javascript:void(0)","csőcsizma")</f>
        <v>csőcsizma</v>
      </c>
    </row>
    <row r="522" spans="1:4" ht="12.75" customHeight="1" x14ac:dyDescent="0.2">
      <c r="A522" s="21"/>
      <c r="B522" s="21"/>
      <c r="C522" s="4" t="s">
        <v>68</v>
      </c>
      <c r="D522" s="6" t="str">
        <f>HYPERLINK("javascript:void(0)","ágyúmozsár")</f>
        <v>ágyúmozsár</v>
      </c>
    </row>
    <row r="523" spans="1:4" ht="12.75" customHeight="1" x14ac:dyDescent="0.2">
      <c r="A523" s="21"/>
      <c r="B523" s="21"/>
      <c r="C523" s="4" t="s">
        <v>193</v>
      </c>
      <c r="D523" s="6" t="str">
        <f>HYPERLINK("javascript:void(0)","ínszalag")</f>
        <v>ínszalag</v>
      </c>
    </row>
    <row r="524" spans="1:4" ht="12.75" customHeight="1" x14ac:dyDescent="0.2">
      <c r="A524" s="21"/>
      <c r="B524" s="2"/>
      <c r="C524" s="2"/>
      <c r="D524" s="2"/>
    </row>
    <row r="525" spans="1:4" ht="12.75" customHeight="1" x14ac:dyDescent="0.2">
      <c r="A525" s="21"/>
      <c r="B525" s="2"/>
      <c r="C525" s="2"/>
      <c r="D525" s="2"/>
    </row>
    <row r="526" spans="1:4" ht="12.75" customHeight="1" x14ac:dyDescent="0.2">
      <c r="A526" s="21"/>
      <c r="B526" s="2"/>
      <c r="C526" s="2"/>
      <c r="D526" s="2"/>
    </row>
    <row r="527" spans="1:4" ht="12.75" customHeight="1" x14ac:dyDescent="0.2">
      <c r="A527" s="21"/>
      <c r="B527" s="2"/>
      <c r="C527" s="2"/>
      <c r="D527" s="2"/>
    </row>
    <row r="528" spans="1:4" ht="12.75" customHeight="1" x14ac:dyDescent="0.2">
      <c r="A528" s="5"/>
      <c r="B528" s="2"/>
      <c r="C528" s="2"/>
      <c r="D528" s="2"/>
    </row>
    <row r="529" spans="1:4" ht="12.75" customHeight="1" x14ac:dyDescent="0.2">
      <c r="A529" s="22" t="str">
        <f>HYPERLINK("javascript:void(0)","kristálycsizma")</f>
        <v>kristálycsizma</v>
      </c>
      <c r="B529" s="21"/>
      <c r="C529" s="21"/>
      <c r="D529" s="21"/>
    </row>
    <row r="530" spans="1:4" ht="12.75" customHeight="1" x14ac:dyDescent="0.2">
      <c r="A530" s="20"/>
      <c r="B530" s="2"/>
      <c r="C530" s="2"/>
      <c r="D530" s="2"/>
    </row>
    <row r="531" spans="1:4" ht="12.75" customHeight="1" x14ac:dyDescent="0.2">
      <c r="A531" s="21"/>
      <c r="B531" s="3" t="s">
        <v>0</v>
      </c>
      <c r="C531" s="20" t="s">
        <v>274</v>
      </c>
      <c r="D531" s="21"/>
    </row>
    <row r="532" spans="1:4" ht="12.75" customHeight="1" x14ac:dyDescent="0.2">
      <c r="A532" s="21"/>
      <c r="B532" s="3" t="s">
        <v>2</v>
      </c>
      <c r="C532" s="20"/>
      <c r="D532" s="21"/>
    </row>
    <row r="533" spans="1:4" ht="12.75" customHeight="1" x14ac:dyDescent="0.2">
      <c r="A533" s="21"/>
      <c r="B533" s="3" t="s">
        <v>1840</v>
      </c>
      <c r="C533" s="20" t="s">
        <v>229</v>
      </c>
      <c r="D533" s="21"/>
    </row>
    <row r="534" spans="1:4" ht="12.75" customHeight="1" x14ac:dyDescent="0.2">
      <c r="A534" s="21"/>
      <c r="B534" s="3" t="s">
        <v>9</v>
      </c>
      <c r="C534" s="20" t="s">
        <v>573</v>
      </c>
      <c r="D534" s="21"/>
    </row>
    <row r="535" spans="1:4" ht="12.75" customHeight="1" x14ac:dyDescent="0.2">
      <c r="A535" s="21"/>
      <c r="B535" s="3" t="s">
        <v>11</v>
      </c>
      <c r="C535" s="20" t="s">
        <v>368</v>
      </c>
      <c r="D535" s="21"/>
    </row>
    <row r="536" spans="1:4" ht="12.75" customHeight="1" x14ac:dyDescent="0.2">
      <c r="A536" s="21"/>
      <c r="B536" s="3" t="s">
        <v>16</v>
      </c>
      <c r="C536" s="20"/>
      <c r="D536" s="21"/>
    </row>
    <row r="537" spans="1:4" ht="12.75" customHeight="1" x14ac:dyDescent="0.2">
      <c r="A537" s="21"/>
      <c r="B537" s="3" t="s">
        <v>17</v>
      </c>
      <c r="C537" s="20" t="s">
        <v>19</v>
      </c>
      <c r="D537" s="21"/>
    </row>
    <row r="538" spans="1:4" ht="12.75" customHeight="1" x14ac:dyDescent="0.2">
      <c r="A538" s="21"/>
      <c r="B538" s="20" t="s">
        <v>18</v>
      </c>
      <c r="C538" s="4" t="s">
        <v>44</v>
      </c>
      <c r="D538" s="6" t="str">
        <f>HYPERLINK("javascript:void(0)","mozsárcsizma")</f>
        <v>mozsárcsizma</v>
      </c>
    </row>
    <row r="539" spans="1:4" ht="12.75" customHeight="1" x14ac:dyDescent="0.2">
      <c r="A539" s="21"/>
      <c r="B539" s="21"/>
      <c r="C539" s="4" t="s">
        <v>68</v>
      </c>
      <c r="D539" s="6" t="str">
        <f>HYPERLINK("javascript:void(0)","ágyúmozsár")</f>
        <v>ágyúmozsár</v>
      </c>
    </row>
    <row r="540" spans="1:4" ht="12.75" customHeight="1" x14ac:dyDescent="0.2">
      <c r="A540" s="21"/>
      <c r="B540" s="21"/>
      <c r="C540" s="4" t="s">
        <v>55</v>
      </c>
      <c r="D540" s="6" t="str">
        <f>HYPERLINK("javascript:void(0)","robbanófej")</f>
        <v>robbanófej</v>
      </c>
    </row>
    <row r="541" spans="1:4" ht="12.75" customHeight="1" x14ac:dyDescent="0.2">
      <c r="A541" s="21"/>
      <c r="B541" s="2"/>
      <c r="C541" s="2"/>
      <c r="D541" s="2"/>
    </row>
    <row r="542" spans="1:4" ht="12.75" customHeight="1" x14ac:dyDescent="0.2">
      <c r="A542" s="21"/>
      <c r="B542" s="2"/>
      <c r="C542" s="2"/>
      <c r="D542" s="2"/>
    </row>
    <row r="543" spans="1:4" ht="12.75" customHeight="1" x14ac:dyDescent="0.2">
      <c r="A543" s="21"/>
      <c r="B543" s="2"/>
      <c r="C543" s="2"/>
      <c r="D543" s="2"/>
    </row>
    <row r="544" spans="1:4" ht="12.75" customHeight="1" x14ac:dyDescent="0.2">
      <c r="A544" s="21"/>
      <c r="B544" s="2"/>
      <c r="C544" s="2"/>
      <c r="D544" s="2"/>
    </row>
    <row r="545" spans="1:4" ht="12.75" customHeight="1" x14ac:dyDescent="0.2">
      <c r="A545" s="5"/>
      <c r="B545" s="2"/>
      <c r="C545" s="2"/>
      <c r="D545" s="2"/>
    </row>
    <row r="546" spans="1:4" ht="12.75" customHeight="1" x14ac:dyDescent="0.2">
      <c r="A546" s="22" t="str">
        <f>HYPERLINK("javascript:void(0)","ezüst antigrav csizma")</f>
        <v>ezüst antigrav csizma</v>
      </c>
      <c r="B546" s="21"/>
      <c r="C546" s="21"/>
      <c r="D546" s="21"/>
    </row>
    <row r="547" spans="1:4" ht="12.75" customHeight="1" x14ac:dyDescent="0.2">
      <c r="A547" s="20"/>
      <c r="B547" s="2"/>
      <c r="C547" s="2"/>
      <c r="D547" s="2"/>
    </row>
    <row r="548" spans="1:4" ht="12.75" customHeight="1" x14ac:dyDescent="0.2">
      <c r="A548" s="21"/>
      <c r="B548" s="3" t="s">
        <v>0</v>
      </c>
      <c r="C548" s="20" t="s">
        <v>274</v>
      </c>
      <c r="D548" s="21"/>
    </row>
    <row r="549" spans="1:4" ht="12.75" customHeight="1" x14ac:dyDescent="0.2">
      <c r="A549" s="21"/>
      <c r="B549" s="3" t="s">
        <v>2</v>
      </c>
      <c r="C549" s="20"/>
      <c r="D549" s="21"/>
    </row>
    <row r="550" spans="1:4" ht="12.75" customHeight="1" x14ac:dyDescent="0.2">
      <c r="A550" s="21"/>
      <c r="B550" s="3" t="s">
        <v>1840</v>
      </c>
      <c r="C550" s="20" t="s">
        <v>532</v>
      </c>
      <c r="D550" s="21"/>
    </row>
    <row r="551" spans="1:4" ht="12.75" customHeight="1" x14ac:dyDescent="0.2">
      <c r="A551" s="21"/>
      <c r="B551" s="3" t="s">
        <v>9</v>
      </c>
      <c r="C551" s="20" t="s">
        <v>626</v>
      </c>
      <c r="D551" s="21"/>
    </row>
    <row r="552" spans="1:4" ht="12.75" customHeight="1" x14ac:dyDescent="0.2">
      <c r="A552" s="21"/>
      <c r="B552" s="3" t="s">
        <v>11</v>
      </c>
      <c r="C552" s="20" t="s">
        <v>23</v>
      </c>
      <c r="D552" s="21"/>
    </row>
    <row r="553" spans="1:4" ht="12.75" customHeight="1" x14ac:dyDescent="0.2">
      <c r="A553" s="21"/>
      <c r="B553" s="3" t="s">
        <v>16</v>
      </c>
      <c r="C553" s="20"/>
      <c r="D553" s="21"/>
    </row>
    <row r="554" spans="1:4" ht="12.75" customHeight="1" x14ac:dyDescent="0.2">
      <c r="A554" s="21"/>
      <c r="B554" s="3" t="s">
        <v>17</v>
      </c>
      <c r="C554" s="20" t="s">
        <v>19</v>
      </c>
      <c r="D554" s="21"/>
    </row>
    <row r="555" spans="1:4" ht="12.75" customHeight="1" x14ac:dyDescent="0.2">
      <c r="A555" s="21"/>
      <c r="B555" s="20" t="s">
        <v>18</v>
      </c>
      <c r="C555" s="4" t="s">
        <v>44</v>
      </c>
      <c r="D555" s="6" t="str">
        <f>HYPERLINK("javascript:void(0)","antigrav csizma")</f>
        <v>antigrav csizma</v>
      </c>
    </row>
    <row r="556" spans="1:4" ht="12.75" customHeight="1" x14ac:dyDescent="0.2">
      <c r="A556" s="21"/>
      <c r="B556" s="21"/>
      <c r="C556" s="4" t="s">
        <v>139</v>
      </c>
      <c r="D556" s="6" t="str">
        <f>HYPERLINK("javascript:void(0)","robbanófej")</f>
        <v>robbanófej</v>
      </c>
    </row>
    <row r="557" spans="1:4" ht="12.75" customHeight="1" x14ac:dyDescent="0.2">
      <c r="A557" s="21"/>
      <c r="B557" s="21"/>
      <c r="C557" s="4" t="s">
        <v>193</v>
      </c>
      <c r="D557" s="6" t="str">
        <f>HYPERLINK("javascript:void(0)","rémszem")</f>
        <v>rémszem</v>
      </c>
    </row>
    <row r="558" spans="1:4" ht="12.75" customHeight="1" x14ac:dyDescent="0.2">
      <c r="A558" s="21"/>
      <c r="B558" s="2"/>
      <c r="C558" s="2"/>
      <c r="D558" s="2"/>
    </row>
    <row r="559" spans="1:4" ht="12.75" customHeight="1" x14ac:dyDescent="0.2">
      <c r="A559" s="21"/>
      <c r="B559" s="2"/>
      <c r="C559" s="2"/>
      <c r="D559" s="2"/>
    </row>
    <row r="560" spans="1:4" ht="12.75" customHeight="1" x14ac:dyDescent="0.2">
      <c r="A560" s="21"/>
      <c r="B560" s="2"/>
      <c r="C560" s="2"/>
      <c r="D560" s="2"/>
    </row>
    <row r="561" spans="1:4" ht="12.75" customHeight="1" x14ac:dyDescent="0.2">
      <c r="A561" s="21"/>
      <c r="B561" s="2"/>
      <c r="C561" s="2"/>
      <c r="D561" s="2"/>
    </row>
    <row r="562" spans="1:4" ht="12.75" customHeight="1" x14ac:dyDescent="0.2">
      <c r="A562" s="5"/>
      <c r="B562" s="2"/>
      <c r="C562" s="2"/>
      <c r="D562" s="2"/>
    </row>
    <row r="563" spans="1:4" ht="12.75" customHeight="1" x14ac:dyDescent="0.2">
      <c r="A563" s="22" t="str">
        <f>HYPERLINK("javascript:void(0)","csillámsaru")</f>
        <v>csillámsaru</v>
      </c>
      <c r="B563" s="21"/>
      <c r="C563" s="21"/>
      <c r="D563" s="21"/>
    </row>
    <row r="564" spans="1:4" ht="12.75" customHeight="1" x14ac:dyDescent="0.2">
      <c r="A564" s="20"/>
      <c r="B564" s="2"/>
      <c r="C564" s="2"/>
      <c r="D564" s="2"/>
    </row>
    <row r="565" spans="1:4" ht="12.75" customHeight="1" x14ac:dyDescent="0.2">
      <c r="A565" s="21"/>
      <c r="B565" s="3" t="s">
        <v>0</v>
      </c>
      <c r="C565" s="20" t="s">
        <v>274</v>
      </c>
      <c r="D565" s="21"/>
    </row>
    <row r="566" spans="1:4" ht="12.75" customHeight="1" x14ac:dyDescent="0.2">
      <c r="A566" s="21"/>
      <c r="B566" s="3" t="s">
        <v>2</v>
      </c>
      <c r="C566" s="20"/>
      <c r="D566" s="21"/>
    </row>
    <row r="567" spans="1:4" ht="12.75" customHeight="1" x14ac:dyDescent="0.2">
      <c r="A567" s="21"/>
      <c r="B567" s="3" t="s">
        <v>1840</v>
      </c>
      <c r="C567" s="20" t="s">
        <v>239</v>
      </c>
      <c r="D567" s="21"/>
    </row>
    <row r="568" spans="1:4" ht="12.75" customHeight="1" x14ac:dyDescent="0.2">
      <c r="A568" s="21"/>
      <c r="B568" s="3" t="s">
        <v>9</v>
      </c>
      <c r="C568" s="20" t="s">
        <v>1104</v>
      </c>
      <c r="D568" s="21"/>
    </row>
    <row r="569" spans="1:4" ht="12.75" customHeight="1" x14ac:dyDescent="0.2">
      <c r="A569" s="21"/>
      <c r="B569" s="3" t="s">
        <v>11</v>
      </c>
      <c r="C569" s="20" t="s">
        <v>381</v>
      </c>
      <c r="D569" s="21"/>
    </row>
    <row r="570" spans="1:4" ht="12.75" customHeight="1" x14ac:dyDescent="0.2">
      <c r="A570" s="21"/>
      <c r="B570" s="3" t="s">
        <v>16</v>
      </c>
      <c r="C570" s="20"/>
      <c r="D570" s="21"/>
    </row>
    <row r="571" spans="1:4" ht="12.75" customHeight="1" x14ac:dyDescent="0.2">
      <c r="A571" s="21"/>
      <c r="B571" s="3" t="s">
        <v>17</v>
      </c>
      <c r="C571" s="20" t="s">
        <v>19</v>
      </c>
      <c r="D571" s="21"/>
    </row>
    <row r="572" spans="1:4" ht="12.75" customHeight="1" x14ac:dyDescent="0.2">
      <c r="A572" s="21"/>
      <c r="B572" s="20" t="s">
        <v>18</v>
      </c>
      <c r="C572" s="4" t="s">
        <v>44</v>
      </c>
      <c r="D572" s="6" t="str">
        <f>HYPERLINK("javascript:void(0)","csillámcipő")</f>
        <v>csillámcipő</v>
      </c>
    </row>
    <row r="573" spans="1:4" ht="12.75" customHeight="1" x14ac:dyDescent="0.2">
      <c r="A573" s="21"/>
      <c r="B573" s="21"/>
      <c r="C573" s="4" t="s">
        <v>98</v>
      </c>
      <c r="D573" s="6" t="str">
        <f>HYPERLINK("javascript:void(0)","aranycsizma")</f>
        <v>aranycsizma</v>
      </c>
    </row>
    <row r="574" spans="1:4" ht="12.75" customHeight="1" x14ac:dyDescent="0.2">
      <c r="A574" s="21"/>
      <c r="B574" s="21"/>
      <c r="C574" s="4" t="s">
        <v>57</v>
      </c>
      <c r="D574" s="6" t="str">
        <f>HYPERLINK("javascript:void(0)","csillámgöb")</f>
        <v>csillámgöb</v>
      </c>
    </row>
    <row r="575" spans="1:4" ht="12.75" customHeight="1" x14ac:dyDescent="0.2">
      <c r="A575" s="21"/>
      <c r="B575" s="2"/>
      <c r="C575" s="2"/>
      <c r="D575" s="2"/>
    </row>
    <row r="576" spans="1:4" ht="12.75" customHeight="1" x14ac:dyDescent="0.2">
      <c r="A576" s="21"/>
      <c r="B576" s="2"/>
      <c r="C576" s="2"/>
      <c r="D576" s="2"/>
    </row>
    <row r="577" spans="1:4" ht="12.75" customHeight="1" x14ac:dyDescent="0.2">
      <c r="A577" s="21"/>
      <c r="B577" s="2"/>
      <c r="C577" s="2"/>
      <c r="D577" s="2"/>
    </row>
    <row r="578" spans="1:4" ht="12.75" customHeight="1" x14ac:dyDescent="0.2">
      <c r="A578" s="21"/>
      <c r="B578" s="2"/>
      <c r="C578" s="2"/>
      <c r="D578" s="2"/>
    </row>
    <row r="579" spans="1:4" ht="12.75" customHeight="1" x14ac:dyDescent="0.2">
      <c r="A579" s="5"/>
      <c r="B579" s="2"/>
      <c r="C579" s="2"/>
      <c r="D579" s="2"/>
    </row>
    <row r="580" spans="1:4" ht="12.75" customHeight="1" x14ac:dyDescent="0.2">
      <c r="A580" s="22" t="str">
        <f>HYPERLINK("javascript:void(0)","animált csizma")</f>
        <v>animált csizma</v>
      </c>
      <c r="B580" s="21"/>
      <c r="C580" s="21"/>
      <c r="D580" s="21"/>
    </row>
    <row r="581" spans="1:4" ht="12.75" customHeight="1" x14ac:dyDescent="0.2">
      <c r="A581" s="20"/>
      <c r="B581" s="2"/>
      <c r="C581" s="2"/>
      <c r="D581" s="2"/>
    </row>
    <row r="582" spans="1:4" ht="12.75" customHeight="1" x14ac:dyDescent="0.2">
      <c r="A582" s="21"/>
      <c r="B582" s="3" t="s">
        <v>0</v>
      </c>
      <c r="C582" s="20" t="s">
        <v>52</v>
      </c>
      <c r="D582" s="21"/>
    </row>
    <row r="583" spans="1:4" ht="12.75" customHeight="1" x14ac:dyDescent="0.2">
      <c r="A583" s="21"/>
      <c r="B583" s="3" t="s">
        <v>2</v>
      </c>
      <c r="C583" s="20"/>
      <c r="D583" s="21"/>
    </row>
    <row r="584" spans="1:4" ht="12.75" customHeight="1" x14ac:dyDescent="0.2">
      <c r="A584" s="21"/>
      <c r="B584" s="3" t="s">
        <v>1840</v>
      </c>
      <c r="C584" s="20" t="s">
        <v>585</v>
      </c>
      <c r="D584" s="21"/>
    </row>
    <row r="585" spans="1:4" ht="12.75" customHeight="1" x14ac:dyDescent="0.2">
      <c r="A585" s="21"/>
      <c r="B585" s="3" t="s">
        <v>9</v>
      </c>
      <c r="C585" s="20" t="s">
        <v>124</v>
      </c>
      <c r="D585" s="21"/>
    </row>
    <row r="586" spans="1:4" ht="12.75" customHeight="1" x14ac:dyDescent="0.2">
      <c r="A586" s="21"/>
      <c r="B586" s="3" t="s">
        <v>11</v>
      </c>
      <c r="C586" s="20" t="s">
        <v>397</v>
      </c>
      <c r="D586" s="21"/>
    </row>
    <row r="587" spans="1:4" ht="12.75" customHeight="1" x14ac:dyDescent="0.2">
      <c r="A587" s="21"/>
      <c r="B587" s="3" t="s">
        <v>16</v>
      </c>
      <c r="C587" s="20"/>
      <c r="D587" s="21"/>
    </row>
    <row r="588" spans="1:4" ht="12.75" customHeight="1" x14ac:dyDescent="0.2">
      <c r="A588" s="21"/>
      <c r="B588" s="3" t="s">
        <v>17</v>
      </c>
      <c r="C588" s="20" t="s">
        <v>19</v>
      </c>
      <c r="D588" s="21"/>
    </row>
    <row r="589" spans="1:4" ht="12.75" customHeight="1" x14ac:dyDescent="0.2">
      <c r="A589" s="21"/>
      <c r="B589" s="20" t="s">
        <v>18</v>
      </c>
      <c r="C589" s="4" t="s">
        <v>44</v>
      </c>
      <c r="D589" s="6" t="str">
        <f>HYPERLINK("javascript:void(0)","kristálycsizma")</f>
        <v>kristálycsizma</v>
      </c>
    </row>
    <row r="590" spans="1:4" ht="12.75" customHeight="1" x14ac:dyDescent="0.2">
      <c r="A590" s="21"/>
      <c r="B590" s="21"/>
      <c r="C590" s="4" t="s">
        <v>67</v>
      </c>
      <c r="D590" s="6" t="str">
        <f>HYPERLINK("javascript:void(0)","nekroige")</f>
        <v>nekroige</v>
      </c>
    </row>
    <row r="591" spans="1:4" ht="12.75" customHeight="1" x14ac:dyDescent="0.2">
      <c r="A591" s="21"/>
      <c r="B591" s="21"/>
      <c r="C591" s="4" t="s">
        <v>55</v>
      </c>
      <c r="D591" s="6" t="str">
        <f>HYPERLINK("javascript:void(0)","lámpás")</f>
        <v>lámpás</v>
      </c>
    </row>
    <row r="592" spans="1:4" ht="12.75" customHeight="1" x14ac:dyDescent="0.2">
      <c r="A592" s="21"/>
      <c r="B592" s="2"/>
      <c r="C592" s="2"/>
      <c r="D592" s="2"/>
    </row>
    <row r="593" spans="1:4" ht="12.75" customHeight="1" x14ac:dyDescent="0.2">
      <c r="A593" s="21"/>
      <c r="B593" s="2"/>
      <c r="C593" s="2"/>
      <c r="D593" s="2"/>
    </row>
    <row r="594" spans="1:4" ht="12.75" customHeight="1" x14ac:dyDescent="0.2">
      <c r="A594" s="21"/>
      <c r="B594" s="2"/>
      <c r="C594" s="2"/>
      <c r="D594" s="2"/>
    </row>
    <row r="595" spans="1:4" ht="12.75" customHeight="1" x14ac:dyDescent="0.2">
      <c r="A595" s="21"/>
      <c r="B595" s="2"/>
      <c r="C595" s="2"/>
      <c r="D595" s="2"/>
    </row>
    <row r="596" spans="1:4" ht="12.75" customHeight="1" x14ac:dyDescent="0.2">
      <c r="A596" s="5"/>
      <c r="B596" s="2"/>
      <c r="C596" s="2"/>
      <c r="D596" s="2"/>
    </row>
    <row r="597" spans="1:4" ht="12.75" customHeight="1" x14ac:dyDescent="0.2">
      <c r="A597" s="22" t="str">
        <f>HYPERLINK("javascript:void(0)","bűvös szandál")</f>
        <v>bűvös szandál</v>
      </c>
      <c r="B597" s="21"/>
      <c r="C597" s="21"/>
      <c r="D597" s="21"/>
    </row>
    <row r="598" spans="1:4" ht="12.75" customHeight="1" x14ac:dyDescent="0.2">
      <c r="A598" s="20"/>
      <c r="B598" s="2"/>
      <c r="C598" s="2"/>
      <c r="D598" s="2"/>
    </row>
    <row r="599" spans="1:4" ht="12.75" customHeight="1" x14ac:dyDescent="0.2">
      <c r="A599" s="21"/>
      <c r="B599" s="3" t="s">
        <v>0</v>
      </c>
      <c r="C599" s="20" t="s">
        <v>385</v>
      </c>
      <c r="D599" s="21"/>
    </row>
    <row r="600" spans="1:4" ht="12.75" customHeight="1" x14ac:dyDescent="0.2">
      <c r="A600" s="21"/>
      <c r="B600" s="3" t="s">
        <v>2</v>
      </c>
      <c r="C600" s="20"/>
      <c r="D600" s="21"/>
    </row>
    <row r="601" spans="1:4" ht="12.75" customHeight="1" x14ac:dyDescent="0.2">
      <c r="A601" s="21"/>
      <c r="B601" s="3" t="s">
        <v>1840</v>
      </c>
      <c r="C601" s="20" t="s">
        <v>613</v>
      </c>
      <c r="D601" s="21"/>
    </row>
    <row r="602" spans="1:4" ht="12.75" customHeight="1" x14ac:dyDescent="0.2">
      <c r="A602" s="21"/>
      <c r="B602" s="3" t="s">
        <v>9</v>
      </c>
      <c r="C602" s="20" t="s">
        <v>79</v>
      </c>
      <c r="D602" s="21"/>
    </row>
    <row r="603" spans="1:4" ht="12.75" customHeight="1" x14ac:dyDescent="0.2">
      <c r="A603" s="21"/>
      <c r="B603" s="3" t="s">
        <v>11</v>
      </c>
      <c r="C603" s="20" t="s">
        <v>414</v>
      </c>
      <c r="D603" s="21"/>
    </row>
    <row r="604" spans="1:4" ht="12.75" customHeight="1" x14ac:dyDescent="0.2">
      <c r="A604" s="21"/>
      <c r="B604" s="3" t="s">
        <v>16</v>
      </c>
      <c r="C604" s="20"/>
      <c r="D604" s="21"/>
    </row>
    <row r="605" spans="1:4" ht="12.75" customHeight="1" x14ac:dyDescent="0.2">
      <c r="A605" s="21"/>
      <c r="B605" s="3" t="s">
        <v>17</v>
      </c>
      <c r="C605" s="20" t="s">
        <v>19</v>
      </c>
      <c r="D605" s="21"/>
    </row>
    <row r="606" spans="1:4" ht="12.75" customHeight="1" x14ac:dyDescent="0.2">
      <c r="A606" s="21"/>
      <c r="B606" s="20" t="s">
        <v>18</v>
      </c>
      <c r="C606" s="4" t="s">
        <v>132</v>
      </c>
      <c r="D606" s="6" t="str">
        <f>HYPERLINK("javascript:void(0)","rémszem")</f>
        <v>rémszem</v>
      </c>
    </row>
    <row r="607" spans="1:4" ht="12.75" customHeight="1" x14ac:dyDescent="0.2">
      <c r="A607" s="21"/>
      <c r="B607" s="21"/>
      <c r="C607" s="4" t="s">
        <v>77</v>
      </c>
      <c r="D607" s="6" t="str">
        <f>HYPERLINK("javascript:void(0)","csáphárító")</f>
        <v>csáphárító</v>
      </c>
    </row>
    <row r="608" spans="1:4" ht="12.75" customHeight="1" x14ac:dyDescent="0.2">
      <c r="A608" s="21"/>
      <c r="B608" s="21"/>
      <c r="C608" s="4" t="s">
        <v>163</v>
      </c>
      <c r="D608" s="6" t="str">
        <f>HYPERLINK("javascript:void(0)","varázsige")</f>
        <v>varázsige</v>
      </c>
    </row>
    <row r="609" spans="1:4" ht="12.75" customHeight="1" x14ac:dyDescent="0.2">
      <c r="A609" s="21"/>
      <c r="B609" s="2"/>
      <c r="C609" s="2"/>
      <c r="D609" s="2"/>
    </row>
    <row r="610" spans="1:4" ht="12.75" customHeight="1" x14ac:dyDescent="0.2">
      <c r="A610" s="21"/>
      <c r="B610" s="2"/>
      <c r="C610" s="2"/>
      <c r="D610" s="2"/>
    </row>
    <row r="611" spans="1:4" ht="12.75" customHeight="1" x14ac:dyDescent="0.2">
      <c r="A611" s="21"/>
      <c r="B611" s="2"/>
      <c r="C611" s="2"/>
      <c r="D611" s="2"/>
    </row>
    <row r="612" spans="1:4" ht="12.75" customHeight="1" x14ac:dyDescent="0.2">
      <c r="A612" s="21"/>
      <c r="B612" s="2"/>
      <c r="C612" s="2"/>
      <c r="D612" s="2"/>
    </row>
    <row r="613" spans="1:4" ht="12.75" customHeight="1" x14ac:dyDescent="0.2">
      <c r="A613" s="5"/>
      <c r="B613" s="2"/>
      <c r="C613" s="2"/>
      <c r="D613" s="2"/>
    </row>
    <row r="614" spans="1:4" ht="12.75" customHeight="1" x14ac:dyDescent="0.2">
      <c r="A614" s="22" t="str">
        <f>HYPERLINK("javascript:void(0)","mágikus szandál")</f>
        <v>mágikus szandál</v>
      </c>
      <c r="B614" s="21"/>
      <c r="C614" s="21"/>
      <c r="D614" s="21"/>
    </row>
    <row r="615" spans="1:4" ht="12.75" customHeight="1" x14ac:dyDescent="0.2">
      <c r="A615" s="20"/>
      <c r="B615" s="2"/>
      <c r="C615" s="2"/>
      <c r="D615" s="2"/>
    </row>
    <row r="616" spans="1:4" ht="12.75" customHeight="1" x14ac:dyDescent="0.2">
      <c r="A616" s="21"/>
      <c r="B616" s="3" t="s">
        <v>0</v>
      </c>
      <c r="C616" s="20" t="s">
        <v>392</v>
      </c>
      <c r="D616" s="21"/>
    </row>
    <row r="617" spans="1:4" ht="12.75" customHeight="1" x14ac:dyDescent="0.2">
      <c r="A617" s="21"/>
      <c r="B617" s="3" t="s">
        <v>2</v>
      </c>
      <c r="C617" s="20"/>
      <c r="D617" s="21"/>
    </row>
    <row r="618" spans="1:4" ht="12.75" customHeight="1" x14ac:dyDescent="0.2">
      <c r="A618" s="21"/>
      <c r="B618" s="3" t="s">
        <v>1840</v>
      </c>
      <c r="C618" s="20" t="s">
        <v>239</v>
      </c>
      <c r="D618" s="21"/>
    </row>
    <row r="619" spans="1:4" ht="12.75" customHeight="1" x14ac:dyDescent="0.2">
      <c r="A619" s="21"/>
      <c r="B619" s="3" t="s">
        <v>9</v>
      </c>
      <c r="C619" s="20" t="s">
        <v>30</v>
      </c>
      <c r="D619" s="21"/>
    </row>
    <row r="620" spans="1:4" ht="12.75" customHeight="1" x14ac:dyDescent="0.2">
      <c r="A620" s="21"/>
      <c r="B620" s="3" t="s">
        <v>11</v>
      </c>
      <c r="C620" s="20" t="s">
        <v>427</v>
      </c>
      <c r="D620" s="21"/>
    </row>
    <row r="621" spans="1:4" ht="12.75" customHeight="1" x14ac:dyDescent="0.2">
      <c r="A621" s="21"/>
      <c r="B621" s="3" t="s">
        <v>16</v>
      </c>
      <c r="C621" s="20"/>
      <c r="D621" s="21"/>
    </row>
    <row r="622" spans="1:4" ht="12.75" customHeight="1" x14ac:dyDescent="0.2">
      <c r="A622" s="21"/>
      <c r="B622" s="3" t="s">
        <v>17</v>
      </c>
      <c r="C622" s="20" t="s">
        <v>19</v>
      </c>
      <c r="D622" s="21"/>
    </row>
    <row r="623" spans="1:4" ht="12.75" customHeight="1" x14ac:dyDescent="0.2">
      <c r="A623" s="21"/>
      <c r="B623" s="20" t="s">
        <v>18</v>
      </c>
      <c r="C623" s="4" t="s">
        <v>44</v>
      </c>
      <c r="D623" s="6" t="str">
        <f>HYPERLINK("javascript:void(0)","bűvös szandál")</f>
        <v>bűvös szandál</v>
      </c>
    </row>
    <row r="624" spans="1:4" ht="12.75" customHeight="1" x14ac:dyDescent="0.2">
      <c r="A624" s="21"/>
      <c r="B624" s="21"/>
      <c r="C624" s="4" t="s">
        <v>232</v>
      </c>
      <c r="D624" s="6" t="str">
        <f>HYPERLINK("javascript:void(0)","haspók")</f>
        <v>haspók</v>
      </c>
    </row>
    <row r="625" spans="1:4" ht="12.75" customHeight="1" x14ac:dyDescent="0.2">
      <c r="A625" s="21"/>
      <c r="B625" s="21"/>
      <c r="C625" s="4" t="s">
        <v>117</v>
      </c>
      <c r="D625" s="6" t="str">
        <f>HYPERLINK("javascript:void(0)","kígyócsörgő")</f>
        <v>kígyócsörgő</v>
      </c>
    </row>
    <row r="626" spans="1:4" ht="12.75" customHeight="1" x14ac:dyDescent="0.2">
      <c r="A626" s="21"/>
      <c r="B626" s="2"/>
      <c r="C626" s="2"/>
      <c r="D626" s="2"/>
    </row>
    <row r="627" spans="1:4" ht="12.75" customHeight="1" x14ac:dyDescent="0.2">
      <c r="A627" s="21"/>
      <c r="B627" s="2"/>
      <c r="C627" s="2"/>
      <c r="D627" s="2"/>
    </row>
    <row r="628" spans="1:4" ht="12.75" customHeight="1" x14ac:dyDescent="0.2">
      <c r="A628" s="21"/>
      <c r="B628" s="2"/>
      <c r="C628" s="2"/>
      <c r="D628" s="2"/>
    </row>
    <row r="629" spans="1:4" ht="12.75" customHeight="1" x14ac:dyDescent="0.2">
      <c r="A629" s="21"/>
      <c r="B629" s="2"/>
      <c r="C629" s="2"/>
      <c r="D629" s="2"/>
    </row>
    <row r="630" spans="1:4" ht="12.75" customHeight="1" x14ac:dyDescent="0.2">
      <c r="A630" s="5"/>
      <c r="B630" s="2"/>
      <c r="C630" s="2"/>
      <c r="D630" s="2"/>
    </row>
    <row r="631" spans="1:4" ht="12.75" customHeight="1" x14ac:dyDescent="0.2">
      <c r="A631" s="22" t="str">
        <f>HYPERLINK("javascript:void(0)","arany antigrav csizma")</f>
        <v>arany antigrav csizma</v>
      </c>
      <c r="B631" s="21"/>
      <c r="C631" s="21"/>
      <c r="D631" s="21"/>
    </row>
    <row r="632" spans="1:4" ht="12.75" customHeight="1" x14ac:dyDescent="0.2">
      <c r="A632" s="20"/>
      <c r="B632" s="2"/>
      <c r="C632" s="2"/>
      <c r="D632" s="2"/>
    </row>
    <row r="633" spans="1:4" ht="12.75" customHeight="1" x14ac:dyDescent="0.2">
      <c r="A633" s="21"/>
      <c r="B633" s="3" t="s">
        <v>0</v>
      </c>
      <c r="C633" s="20" t="s">
        <v>392</v>
      </c>
      <c r="D633" s="21"/>
    </row>
    <row r="634" spans="1:4" ht="12.75" customHeight="1" x14ac:dyDescent="0.2">
      <c r="A634" s="21"/>
      <c r="B634" s="3" t="s">
        <v>2</v>
      </c>
      <c r="C634" s="20"/>
      <c r="D634" s="21"/>
    </row>
    <row r="635" spans="1:4" ht="12.75" customHeight="1" x14ac:dyDescent="0.2">
      <c r="A635" s="21"/>
      <c r="B635" s="3" t="s">
        <v>1840</v>
      </c>
      <c r="C635" s="20" t="s">
        <v>219</v>
      </c>
      <c r="D635" s="21"/>
    </row>
    <row r="636" spans="1:4" ht="12.75" customHeight="1" x14ac:dyDescent="0.2">
      <c r="A636" s="21"/>
      <c r="B636" s="3" t="s">
        <v>9</v>
      </c>
      <c r="C636" s="20" t="s">
        <v>626</v>
      </c>
      <c r="D636" s="21"/>
    </row>
    <row r="637" spans="1:4" ht="12.75" customHeight="1" x14ac:dyDescent="0.2">
      <c r="A637" s="21"/>
      <c r="B637" s="3" t="s">
        <v>11</v>
      </c>
      <c r="C637" s="20" t="s">
        <v>23</v>
      </c>
      <c r="D637" s="21"/>
    </row>
    <row r="638" spans="1:4" ht="12.75" customHeight="1" x14ac:dyDescent="0.2">
      <c r="A638" s="21"/>
      <c r="B638" s="3" t="s">
        <v>16</v>
      </c>
      <c r="C638" s="20"/>
      <c r="D638" s="21"/>
    </row>
    <row r="639" spans="1:4" ht="12.75" customHeight="1" x14ac:dyDescent="0.2">
      <c r="A639" s="21"/>
      <c r="B639" s="3" t="s">
        <v>17</v>
      </c>
      <c r="C639" s="20" t="s">
        <v>19</v>
      </c>
      <c r="D639" s="21"/>
    </row>
    <row r="640" spans="1:4" ht="25.5" customHeight="1" x14ac:dyDescent="0.2">
      <c r="A640" s="21"/>
      <c r="B640" s="20" t="s">
        <v>18</v>
      </c>
      <c r="C640" s="4" t="s">
        <v>44</v>
      </c>
      <c r="D640" s="6" t="str">
        <f>HYPERLINK("javascript:void(0)","ezüst antigrav csizma")</f>
        <v>ezüst antigrav csizma</v>
      </c>
    </row>
    <row r="641" spans="1:4" ht="12.75" customHeight="1" x14ac:dyDescent="0.2">
      <c r="A641" s="21"/>
      <c r="B641" s="21"/>
      <c r="C641" s="4" t="s">
        <v>139</v>
      </c>
      <c r="D641" s="6" t="str">
        <f>HYPERLINK("javascript:void(0)","kocka")</f>
        <v>kocka</v>
      </c>
    </row>
    <row r="642" spans="1:4" ht="12.75" customHeight="1" x14ac:dyDescent="0.2">
      <c r="A642" s="21"/>
      <c r="B642" s="21"/>
      <c r="C642" s="4" t="s">
        <v>382</v>
      </c>
      <c r="D642" s="6" t="str">
        <f>HYPERLINK("javascript:void(0)","nekroige")</f>
        <v>nekroige</v>
      </c>
    </row>
    <row r="643" spans="1:4" ht="12.75" customHeight="1" x14ac:dyDescent="0.2">
      <c r="A643" s="21"/>
      <c r="B643" s="2"/>
      <c r="C643" s="2"/>
      <c r="D643" s="2"/>
    </row>
    <row r="644" spans="1:4" ht="12.75" customHeight="1" x14ac:dyDescent="0.2">
      <c r="A644" s="21"/>
      <c r="B644" s="2"/>
      <c r="C644" s="2"/>
      <c r="D644" s="2"/>
    </row>
    <row r="645" spans="1:4" ht="12.75" customHeight="1" x14ac:dyDescent="0.2">
      <c r="A645" s="21"/>
      <c r="B645" s="2"/>
      <c r="C645" s="2"/>
      <c r="D645" s="2"/>
    </row>
    <row r="646" spans="1:4" ht="12.75" customHeight="1" x14ac:dyDescent="0.2">
      <c r="A646" s="21"/>
      <c r="B646" s="2"/>
      <c r="C646" s="2"/>
      <c r="D646" s="2"/>
    </row>
    <row r="647" spans="1:4" ht="12.75" customHeight="1" x14ac:dyDescent="0.2">
      <c r="A647" s="5"/>
      <c r="B647" s="2"/>
      <c r="C647" s="2"/>
      <c r="D647" s="2"/>
    </row>
    <row r="648" spans="1:4" ht="12.75" customHeight="1" x14ac:dyDescent="0.2">
      <c r="A648" s="22" t="str">
        <f>HYPERLINK("javascript:void(0)","pillecsizma")</f>
        <v>pillecsizma</v>
      </c>
      <c r="B648" s="21"/>
      <c r="C648" s="21"/>
      <c r="D648" s="21"/>
    </row>
    <row r="649" spans="1:4" ht="12.75" customHeight="1" x14ac:dyDescent="0.2">
      <c r="A649" s="20"/>
      <c r="B649" s="2"/>
      <c r="C649" s="2"/>
      <c r="D649" s="2"/>
    </row>
    <row r="650" spans="1:4" ht="12.75" customHeight="1" x14ac:dyDescent="0.2">
      <c r="A650" s="21"/>
      <c r="B650" s="3" t="s">
        <v>0</v>
      </c>
      <c r="C650" s="20" t="s">
        <v>192</v>
      </c>
      <c r="D650" s="21"/>
    </row>
    <row r="651" spans="1:4" ht="12.75" customHeight="1" x14ac:dyDescent="0.2">
      <c r="A651" s="21"/>
      <c r="B651" s="3" t="s">
        <v>2</v>
      </c>
      <c r="C651" s="20"/>
      <c r="D651" s="21"/>
    </row>
    <row r="652" spans="1:4" ht="12.75" customHeight="1" x14ac:dyDescent="0.2">
      <c r="A652" s="21"/>
      <c r="B652" s="3" t="s">
        <v>1840</v>
      </c>
      <c r="C652" s="20" t="s">
        <v>245</v>
      </c>
      <c r="D652" s="21"/>
    </row>
    <row r="653" spans="1:4" ht="12.75" customHeight="1" x14ac:dyDescent="0.2">
      <c r="A653" s="21"/>
      <c r="B653" s="3" t="s">
        <v>9</v>
      </c>
      <c r="C653" s="20" t="s">
        <v>53</v>
      </c>
      <c r="D653" s="21"/>
    </row>
    <row r="654" spans="1:4" ht="12.75" customHeight="1" x14ac:dyDescent="0.2">
      <c r="A654" s="21"/>
      <c r="B654" s="3" t="s">
        <v>11</v>
      </c>
      <c r="C654" s="20" t="s">
        <v>437</v>
      </c>
      <c r="D654" s="21"/>
    </row>
    <row r="655" spans="1:4" ht="12.75" customHeight="1" x14ac:dyDescent="0.2">
      <c r="A655" s="21"/>
      <c r="B655" s="3" t="s">
        <v>16</v>
      </c>
      <c r="C655" s="20"/>
      <c r="D655" s="21"/>
    </row>
    <row r="656" spans="1:4" ht="12.75" customHeight="1" x14ac:dyDescent="0.2">
      <c r="A656" s="21"/>
      <c r="B656" s="3" t="s">
        <v>17</v>
      </c>
      <c r="C656" s="20" t="s">
        <v>19</v>
      </c>
      <c r="D656" s="21"/>
    </row>
    <row r="657" spans="1:4" ht="12.75" customHeight="1" x14ac:dyDescent="0.2">
      <c r="A657" s="21"/>
      <c r="B657" s="20" t="s">
        <v>18</v>
      </c>
      <c r="C657" s="4" t="s">
        <v>44</v>
      </c>
      <c r="D657" s="6" t="str">
        <f>HYPERLINK("javascript:void(0)","animált csizma")</f>
        <v>animált csizma</v>
      </c>
    </row>
    <row r="658" spans="1:4" ht="12.75" customHeight="1" x14ac:dyDescent="0.2">
      <c r="A658" s="21"/>
      <c r="B658" s="21"/>
      <c r="C658" s="4" t="s">
        <v>44</v>
      </c>
      <c r="D658" s="6" t="str">
        <f>HYPERLINK("javascript:void(0)","mágikus szandál")</f>
        <v>mágikus szandál</v>
      </c>
    </row>
    <row r="659" spans="1:4" ht="12.75" customHeight="1" x14ac:dyDescent="0.2">
      <c r="A659" s="21"/>
      <c r="B659" s="21"/>
      <c r="C659" s="4" t="s">
        <v>398</v>
      </c>
      <c r="D659" s="6" t="str">
        <f>HYPERLINK("javascript:void(0)","mantüske")</f>
        <v>mantüske</v>
      </c>
    </row>
    <row r="660" spans="1:4" ht="12.75" customHeight="1" x14ac:dyDescent="0.2">
      <c r="A660" s="21"/>
      <c r="B660" s="2"/>
      <c r="C660" s="2"/>
      <c r="D660" s="2"/>
    </row>
    <row r="661" spans="1:4" ht="12.75" customHeight="1" x14ac:dyDescent="0.2">
      <c r="A661" s="21"/>
      <c r="B661" s="2"/>
      <c r="C661" s="2"/>
      <c r="D661" s="2"/>
    </row>
    <row r="662" spans="1:4" ht="12.75" customHeight="1" x14ac:dyDescent="0.2">
      <c r="A662" s="21"/>
      <c r="B662" s="2"/>
      <c r="C662" s="2"/>
      <c r="D662" s="2"/>
    </row>
    <row r="663" spans="1:4" ht="12.75" customHeight="1" x14ac:dyDescent="0.2">
      <c r="A663" s="21"/>
      <c r="B663" s="2"/>
      <c r="C663" s="2"/>
      <c r="D663" s="2"/>
    </row>
    <row r="664" spans="1:4" ht="12.75" customHeight="1" x14ac:dyDescent="0.2">
      <c r="A664" s="5"/>
      <c r="B664" s="2"/>
      <c r="C664" s="2"/>
      <c r="D664" s="2"/>
    </row>
    <row r="665" spans="1:4" ht="12.75" customHeight="1" x14ac:dyDescent="0.2">
      <c r="A665" s="22" t="str">
        <f>HYPERLINK("javascript:void(0)","yetitappancs")</f>
        <v>yetitappancs</v>
      </c>
      <c r="B665" s="21"/>
      <c r="C665" s="21"/>
      <c r="D665" s="21"/>
    </row>
    <row r="666" spans="1:4" ht="12.75" customHeight="1" x14ac:dyDescent="0.2">
      <c r="A666" s="20"/>
      <c r="B666" s="2"/>
      <c r="C666" s="2"/>
      <c r="D666" s="2"/>
    </row>
    <row r="667" spans="1:4" ht="12.75" customHeight="1" x14ac:dyDescent="0.2">
      <c r="A667" s="21"/>
      <c r="B667" s="3" t="s">
        <v>0</v>
      </c>
      <c r="C667" s="20" t="s">
        <v>115</v>
      </c>
      <c r="D667" s="21"/>
    </row>
    <row r="668" spans="1:4" ht="12.75" customHeight="1" x14ac:dyDescent="0.2">
      <c r="A668" s="21"/>
      <c r="B668" s="3" t="s">
        <v>2</v>
      </c>
      <c r="C668" s="20"/>
      <c r="D668" s="21"/>
    </row>
    <row r="669" spans="1:4" ht="12.75" customHeight="1" x14ac:dyDescent="0.2">
      <c r="A669" s="21"/>
      <c r="B669" s="3" t="s">
        <v>1840</v>
      </c>
      <c r="C669" s="20" t="s">
        <v>680</v>
      </c>
      <c r="D669" s="21"/>
    </row>
    <row r="670" spans="1:4" ht="12.75" customHeight="1" x14ac:dyDescent="0.2">
      <c r="A670" s="21"/>
      <c r="B670" s="3" t="s">
        <v>9</v>
      </c>
      <c r="C670" s="20" t="s">
        <v>30</v>
      </c>
      <c r="D670" s="21"/>
    </row>
    <row r="671" spans="1:4" ht="12.75" customHeight="1" x14ac:dyDescent="0.2">
      <c r="A671" s="21"/>
      <c r="B671" s="3" t="s">
        <v>11</v>
      </c>
      <c r="C671" s="20" t="s">
        <v>447</v>
      </c>
      <c r="D671" s="21"/>
    </row>
    <row r="672" spans="1:4" ht="12.75" customHeight="1" x14ac:dyDescent="0.2">
      <c r="A672" s="21"/>
      <c r="B672" s="3" t="s">
        <v>16</v>
      </c>
      <c r="C672" s="20"/>
      <c r="D672" s="21"/>
    </row>
    <row r="673" spans="1:4" ht="12.75" customHeight="1" x14ac:dyDescent="0.2">
      <c r="A673" s="21"/>
      <c r="B673" s="3" t="s">
        <v>17</v>
      </c>
      <c r="C673" s="20" t="s">
        <v>19</v>
      </c>
      <c r="D673" s="21"/>
    </row>
    <row r="674" spans="1:4" ht="12.75" customHeight="1" x14ac:dyDescent="0.2">
      <c r="A674" s="21"/>
      <c r="B674" s="20" t="s">
        <v>18</v>
      </c>
      <c r="C674" s="4" t="s">
        <v>44</v>
      </c>
      <c r="D674" s="6" t="str">
        <f>HYPERLINK("javascript:void(0)","pillecsizma")</f>
        <v>pillecsizma</v>
      </c>
    </row>
    <row r="675" spans="1:4" ht="12.75" customHeight="1" x14ac:dyDescent="0.2">
      <c r="A675" s="21"/>
      <c r="B675" s="21"/>
      <c r="C675" s="4" t="s">
        <v>232</v>
      </c>
      <c r="D675" s="6" t="str">
        <f>HYPERLINK("javascript:void(0)","yetiláb")</f>
        <v>yetiláb</v>
      </c>
    </row>
    <row r="676" spans="1:4" ht="12.75" customHeight="1" x14ac:dyDescent="0.2">
      <c r="A676" s="21"/>
      <c r="B676" s="21"/>
      <c r="C676" s="4" t="s">
        <v>117</v>
      </c>
      <c r="D676" s="6" t="str">
        <f>HYPERLINK("javascript:void(0)","haspók")</f>
        <v>haspók</v>
      </c>
    </row>
    <row r="677" spans="1:4" ht="12.75" customHeight="1" x14ac:dyDescent="0.2">
      <c r="A677" s="21"/>
      <c r="B677" s="2"/>
      <c r="C677" s="2"/>
      <c r="D677" s="2"/>
    </row>
    <row r="678" spans="1:4" ht="12.75" customHeight="1" x14ac:dyDescent="0.2">
      <c r="A678" s="21"/>
      <c r="B678" s="2"/>
      <c r="C678" s="2"/>
      <c r="D678" s="2"/>
    </row>
    <row r="679" spans="1:4" ht="12.75" customHeight="1" x14ac:dyDescent="0.2">
      <c r="A679" s="21"/>
      <c r="B679" s="2"/>
      <c r="C679" s="2"/>
      <c r="D679" s="2"/>
    </row>
    <row r="680" spans="1:4" ht="12.75" customHeight="1" x14ac:dyDescent="0.2">
      <c r="A680" s="21"/>
      <c r="B680" s="2"/>
      <c r="C680" s="2"/>
      <c r="D680" s="2"/>
    </row>
    <row r="681" spans="1:4" ht="12.75" customHeight="1" x14ac:dyDescent="0.2">
      <c r="A681" s="5"/>
      <c r="B681" s="2"/>
      <c r="C681" s="2"/>
      <c r="D681" s="2"/>
    </row>
    <row r="682" spans="1:4" ht="12.75" customHeight="1" x14ac:dyDescent="0.2">
      <c r="A682" s="22" t="str">
        <f>HYPERLINK("javascript:void(0)","csillámsurranó")</f>
        <v>csillámsurranó</v>
      </c>
      <c r="B682" s="21"/>
      <c r="C682" s="21"/>
      <c r="D682" s="21"/>
    </row>
    <row r="683" spans="1:4" ht="12.75" customHeight="1" x14ac:dyDescent="0.2">
      <c r="A683" s="20"/>
      <c r="B683" s="2"/>
      <c r="C683" s="2"/>
      <c r="D683" s="2"/>
    </row>
    <row r="684" spans="1:4" ht="12.75" customHeight="1" x14ac:dyDescent="0.2">
      <c r="A684" s="21"/>
      <c r="B684" s="3" t="s">
        <v>0</v>
      </c>
      <c r="C684" s="20" t="s">
        <v>115</v>
      </c>
      <c r="D684" s="21"/>
    </row>
    <row r="685" spans="1:4" ht="12.75" customHeight="1" x14ac:dyDescent="0.2">
      <c r="A685" s="21"/>
      <c r="B685" s="3" t="s">
        <v>2</v>
      </c>
      <c r="C685" s="20"/>
      <c r="D685" s="21"/>
    </row>
    <row r="686" spans="1:4" ht="12.75" customHeight="1" x14ac:dyDescent="0.2">
      <c r="A686" s="21"/>
      <c r="B686" s="3" t="s">
        <v>1840</v>
      </c>
      <c r="C686" s="20" t="s">
        <v>302</v>
      </c>
      <c r="D686" s="21"/>
    </row>
    <row r="687" spans="1:4" ht="12.75" customHeight="1" x14ac:dyDescent="0.2">
      <c r="A687" s="21"/>
      <c r="B687" s="3" t="s">
        <v>9</v>
      </c>
      <c r="C687" s="20" t="s">
        <v>943</v>
      </c>
      <c r="D687" s="21"/>
    </row>
    <row r="688" spans="1:4" ht="12.75" customHeight="1" x14ac:dyDescent="0.2">
      <c r="A688" s="21"/>
      <c r="B688" s="3" t="s">
        <v>11</v>
      </c>
      <c r="C688" s="20" t="s">
        <v>447</v>
      </c>
      <c r="D688" s="21"/>
    </row>
    <row r="689" spans="1:4" ht="12.75" customHeight="1" x14ac:dyDescent="0.2">
      <c r="A689" s="21"/>
      <c r="B689" s="3" t="s">
        <v>16</v>
      </c>
      <c r="C689" s="20"/>
      <c r="D689" s="21"/>
    </row>
    <row r="690" spans="1:4" ht="12.75" customHeight="1" x14ac:dyDescent="0.2">
      <c r="A690" s="21"/>
      <c r="B690" s="3" t="s">
        <v>17</v>
      </c>
      <c r="C690" s="20" t="s">
        <v>19</v>
      </c>
      <c r="D690" s="21"/>
    </row>
    <row r="691" spans="1:4" ht="12.75" customHeight="1" x14ac:dyDescent="0.2">
      <c r="A691" s="21"/>
      <c r="B691" s="20" t="s">
        <v>18</v>
      </c>
      <c r="C691" s="4" t="s">
        <v>44</v>
      </c>
      <c r="D691" s="6" t="str">
        <f>HYPERLINK("javascript:void(0)","csillámsaru")</f>
        <v>csillámsaru</v>
      </c>
    </row>
    <row r="692" spans="1:4" ht="12.75" customHeight="1" x14ac:dyDescent="0.2">
      <c r="A692" s="21"/>
      <c r="B692" s="21"/>
      <c r="C692" s="4" t="s">
        <v>57</v>
      </c>
      <c r="D692" s="6" t="str">
        <f>HYPERLINK("javascript:void(0)","csillámgöb")</f>
        <v>csillámgöb</v>
      </c>
    </row>
    <row r="693" spans="1:4" ht="12.75" customHeight="1" x14ac:dyDescent="0.2">
      <c r="A693" s="21"/>
      <c r="B693" s="21"/>
      <c r="C693" s="4" t="s">
        <v>780</v>
      </c>
      <c r="D693" s="6" t="str">
        <f>HYPERLINK("javascript:void(0)","kompózium")</f>
        <v>kompózium</v>
      </c>
    </row>
    <row r="694" spans="1:4" ht="12.75" customHeight="1" x14ac:dyDescent="0.2">
      <c r="A694" s="21"/>
      <c r="B694" s="2"/>
      <c r="C694" s="2"/>
      <c r="D694" s="2"/>
    </row>
    <row r="695" spans="1:4" ht="12.75" customHeight="1" x14ac:dyDescent="0.2">
      <c r="A695" s="21"/>
      <c r="B695" s="2"/>
      <c r="C695" s="2"/>
      <c r="D695" s="2"/>
    </row>
    <row r="696" spans="1:4" ht="12.75" customHeight="1" x14ac:dyDescent="0.2">
      <c r="A696" s="21"/>
      <c r="B696" s="2"/>
      <c r="C696" s="2"/>
      <c r="D696" s="2"/>
    </row>
    <row r="697" spans="1:4" ht="12.75" customHeight="1" x14ac:dyDescent="0.2">
      <c r="A697" s="21"/>
      <c r="B697" s="2"/>
      <c r="C697" s="2"/>
      <c r="D697" s="2"/>
    </row>
    <row r="698" spans="1:4" ht="12.75" customHeight="1" x14ac:dyDescent="0.2">
      <c r="A698" s="5"/>
      <c r="B698" s="2"/>
      <c r="C698" s="2"/>
      <c r="D698" s="2"/>
    </row>
    <row r="699" spans="1:4" ht="12.75" customHeight="1" x14ac:dyDescent="0.2">
      <c r="A699" s="22" t="str">
        <f>HYPERLINK("javascript:void(0)","sikolycsizma")</f>
        <v>sikolycsizma</v>
      </c>
      <c r="B699" s="21"/>
      <c r="C699" s="21"/>
      <c r="D699" s="21"/>
    </row>
    <row r="700" spans="1:4" ht="12.75" customHeight="1" x14ac:dyDescent="0.2">
      <c r="A700" s="20"/>
      <c r="B700" s="2"/>
      <c r="C700" s="2"/>
      <c r="D700" s="2"/>
    </row>
    <row r="701" spans="1:4" ht="12.75" customHeight="1" x14ac:dyDescent="0.2">
      <c r="A701" s="21"/>
      <c r="B701" s="3" t="s">
        <v>0</v>
      </c>
      <c r="C701" s="20" t="s">
        <v>417</v>
      </c>
      <c r="D701" s="21"/>
    </row>
    <row r="702" spans="1:4" ht="12.75" customHeight="1" x14ac:dyDescent="0.2">
      <c r="A702" s="21"/>
      <c r="B702" s="3" t="s">
        <v>2</v>
      </c>
      <c r="C702" s="20"/>
      <c r="D702" s="21"/>
    </row>
    <row r="703" spans="1:4" ht="12.75" customHeight="1" x14ac:dyDescent="0.2">
      <c r="A703" s="21"/>
      <c r="B703" s="3" t="s">
        <v>1840</v>
      </c>
      <c r="C703" s="20" t="s">
        <v>709</v>
      </c>
      <c r="D703" s="21"/>
    </row>
    <row r="704" spans="1:4" ht="12.75" customHeight="1" x14ac:dyDescent="0.2">
      <c r="A704" s="21"/>
      <c r="B704" s="3" t="s">
        <v>9</v>
      </c>
      <c r="C704" s="20" t="s">
        <v>53</v>
      </c>
      <c r="D704" s="21"/>
    </row>
    <row r="705" spans="1:4" ht="12.75" customHeight="1" x14ac:dyDescent="0.2">
      <c r="A705" s="21"/>
      <c r="B705" s="3" t="s">
        <v>11</v>
      </c>
      <c r="C705" s="20" t="s">
        <v>453</v>
      </c>
      <c r="D705" s="21"/>
    </row>
    <row r="706" spans="1:4" ht="12.75" customHeight="1" x14ac:dyDescent="0.2">
      <c r="A706" s="21"/>
      <c r="B706" s="3" t="s">
        <v>16</v>
      </c>
      <c r="C706" s="20"/>
      <c r="D706" s="21"/>
    </row>
    <row r="707" spans="1:4" ht="12.75" customHeight="1" x14ac:dyDescent="0.2">
      <c r="A707" s="21"/>
      <c r="B707" s="3" t="s">
        <v>17</v>
      </c>
      <c r="C707" s="20" t="s">
        <v>19</v>
      </c>
      <c r="D707" s="21"/>
    </row>
    <row r="708" spans="1:4" ht="12.75" customHeight="1" x14ac:dyDescent="0.2">
      <c r="A708" s="21"/>
      <c r="B708" s="20" t="s">
        <v>18</v>
      </c>
      <c r="C708" s="4" t="s">
        <v>232</v>
      </c>
      <c r="D708" s="6" t="str">
        <f>HYPERLINK("javascript:void(0)","hárpia copf")</f>
        <v>hárpia copf</v>
      </c>
    </row>
    <row r="709" spans="1:4" ht="12.75" customHeight="1" x14ac:dyDescent="0.2">
      <c r="A709" s="21"/>
      <c r="B709" s="21"/>
      <c r="C709" s="4" t="s">
        <v>67</v>
      </c>
      <c r="D709" s="6" t="str">
        <f>HYPERLINK("javascript:void(0)","robbanófej")</f>
        <v>robbanófej</v>
      </c>
    </row>
    <row r="710" spans="1:4" ht="12.75" customHeight="1" x14ac:dyDescent="0.2">
      <c r="A710" s="21"/>
      <c r="B710" s="21"/>
      <c r="C710" s="4" t="s">
        <v>382</v>
      </c>
      <c r="D710" s="6" t="str">
        <f>HYPERLINK("javascript:void(0)","nekroige")</f>
        <v>nekroige</v>
      </c>
    </row>
    <row r="711" spans="1:4" ht="12.75" customHeight="1" x14ac:dyDescent="0.2">
      <c r="A711" s="21"/>
      <c r="B711" s="2"/>
      <c r="C711" s="2"/>
      <c r="D711" s="2"/>
    </row>
    <row r="712" spans="1:4" ht="12.75" customHeight="1" x14ac:dyDescent="0.2">
      <c r="A712" s="21"/>
      <c r="B712" s="2"/>
      <c r="C712" s="2"/>
      <c r="D712" s="2"/>
    </row>
    <row r="713" spans="1:4" ht="12.75" customHeight="1" x14ac:dyDescent="0.2">
      <c r="A713" s="21"/>
      <c r="B713" s="2"/>
      <c r="C713" s="2"/>
      <c r="D713" s="2"/>
    </row>
    <row r="714" spans="1:4" ht="12.75" customHeight="1" x14ac:dyDescent="0.2">
      <c r="A714" s="21"/>
      <c r="B714" s="2"/>
      <c r="C714" s="2"/>
      <c r="D714" s="2"/>
    </row>
    <row r="715" spans="1:4" ht="12.75" customHeight="1" x14ac:dyDescent="0.2">
      <c r="A715" s="5"/>
      <c r="B715" s="2"/>
      <c r="C715" s="2"/>
      <c r="D715" s="2"/>
    </row>
    <row r="716" spans="1:4" ht="12.75" customHeight="1" x14ac:dyDescent="0.2">
      <c r="A716" s="22" t="str">
        <f>HYPERLINK("javascript:void(0)","smaragd antigrav csizma")</f>
        <v>smaragd antigrav csizma</v>
      </c>
      <c r="B716" s="21"/>
      <c r="C716" s="21"/>
      <c r="D716" s="21"/>
    </row>
    <row r="717" spans="1:4" ht="12.75" customHeight="1" x14ac:dyDescent="0.2">
      <c r="A717" s="20"/>
      <c r="B717" s="2"/>
      <c r="C717" s="2"/>
      <c r="D717" s="2"/>
    </row>
    <row r="718" spans="1:4" ht="12.75" customHeight="1" x14ac:dyDescent="0.2">
      <c r="A718" s="21"/>
      <c r="B718" s="3" t="s">
        <v>0</v>
      </c>
      <c r="C718" s="20" t="s">
        <v>417</v>
      </c>
      <c r="D718" s="21"/>
    </row>
    <row r="719" spans="1:4" ht="12.75" customHeight="1" x14ac:dyDescent="0.2">
      <c r="A719" s="21"/>
      <c r="B719" s="3" t="s">
        <v>2</v>
      </c>
      <c r="C719" s="20"/>
      <c r="D719" s="21"/>
    </row>
    <row r="720" spans="1:4" ht="12.75" customHeight="1" x14ac:dyDescent="0.2">
      <c r="A720" s="21"/>
      <c r="B720" s="3" t="s">
        <v>1840</v>
      </c>
      <c r="C720" s="20" t="s">
        <v>245</v>
      </c>
      <c r="D720" s="21"/>
    </row>
    <row r="721" spans="1:4" ht="12.75" customHeight="1" x14ac:dyDescent="0.2">
      <c r="A721" s="21"/>
      <c r="B721" s="3" t="s">
        <v>9</v>
      </c>
      <c r="C721" s="20" t="s">
        <v>626</v>
      </c>
      <c r="D721" s="21"/>
    </row>
    <row r="722" spans="1:4" ht="12.75" customHeight="1" x14ac:dyDescent="0.2">
      <c r="A722" s="21"/>
      <c r="B722" s="3" t="s">
        <v>11</v>
      </c>
      <c r="C722" s="20" t="s">
        <v>23</v>
      </c>
      <c r="D722" s="21"/>
    </row>
    <row r="723" spans="1:4" ht="12.75" customHeight="1" x14ac:dyDescent="0.2">
      <c r="A723" s="21"/>
      <c r="B723" s="3" t="s">
        <v>16</v>
      </c>
      <c r="C723" s="20"/>
      <c r="D723" s="21"/>
    </row>
    <row r="724" spans="1:4" ht="12.75" customHeight="1" x14ac:dyDescent="0.2">
      <c r="A724" s="21"/>
      <c r="B724" s="3" t="s">
        <v>17</v>
      </c>
      <c r="C724" s="20" t="s">
        <v>19</v>
      </c>
      <c r="D724" s="21"/>
    </row>
    <row r="725" spans="1:4" ht="25.5" customHeight="1" x14ac:dyDescent="0.2">
      <c r="A725" s="21"/>
      <c r="B725" s="20" t="s">
        <v>18</v>
      </c>
      <c r="C725" s="4" t="s">
        <v>44</v>
      </c>
      <c r="D725" s="6" t="str">
        <f>HYPERLINK("javascript:void(0)","arany antigrav csizma")</f>
        <v>arany antigrav csizma</v>
      </c>
    </row>
    <row r="726" spans="1:4" ht="12.75" customHeight="1" x14ac:dyDescent="0.2">
      <c r="A726" s="21"/>
      <c r="B726" s="21"/>
      <c r="C726" s="4" t="s">
        <v>139</v>
      </c>
      <c r="D726" s="6" t="str">
        <f>HYPERLINK("javascript:void(0)","hárpia copf")</f>
        <v>hárpia copf</v>
      </c>
    </row>
    <row r="727" spans="1:4" ht="12.75" customHeight="1" x14ac:dyDescent="0.2">
      <c r="A727" s="21"/>
      <c r="B727" s="21"/>
      <c r="C727" s="4" t="s">
        <v>193</v>
      </c>
      <c r="D727" s="6" t="str">
        <f>HYPERLINK("javascript:void(0)","kígyócsörgő")</f>
        <v>kígyócsörgő</v>
      </c>
    </row>
    <row r="728" spans="1:4" ht="12.75" customHeight="1" x14ac:dyDescent="0.2">
      <c r="A728" s="21"/>
      <c r="B728" s="2"/>
      <c r="C728" s="2"/>
      <c r="D728" s="2"/>
    </row>
    <row r="729" spans="1:4" ht="12.75" customHeight="1" x14ac:dyDescent="0.2">
      <c r="A729" s="21"/>
      <c r="B729" s="2"/>
      <c r="C729" s="2"/>
      <c r="D729" s="2"/>
    </row>
    <row r="730" spans="1:4" ht="12.75" customHeight="1" x14ac:dyDescent="0.2">
      <c r="A730" s="21"/>
      <c r="B730" s="2"/>
      <c r="C730" s="2"/>
      <c r="D730" s="2"/>
    </row>
    <row r="731" spans="1:4" ht="12.75" customHeight="1" x14ac:dyDescent="0.2">
      <c r="A731" s="21"/>
      <c r="B731" s="2"/>
      <c r="C731" s="2"/>
      <c r="D731" s="2"/>
    </row>
    <row r="732" spans="1:4" ht="12.75" customHeight="1" x14ac:dyDescent="0.2">
      <c r="A732" s="5"/>
      <c r="B732" s="2"/>
      <c r="C732" s="2"/>
      <c r="D732" s="2"/>
    </row>
    <row r="733" spans="1:4" ht="12.75" customHeight="1" x14ac:dyDescent="0.2">
      <c r="A733" s="22" t="str">
        <f>HYPERLINK("javascript:void(0)","díszes szandál")</f>
        <v>díszes szandál</v>
      </c>
      <c r="B733" s="21"/>
      <c r="C733" s="21"/>
      <c r="D733" s="21"/>
    </row>
    <row r="734" spans="1:4" ht="12.75" customHeight="1" x14ac:dyDescent="0.2">
      <c r="A734" s="20"/>
      <c r="B734" s="2"/>
      <c r="C734" s="2"/>
      <c r="D734" s="2"/>
    </row>
    <row r="735" spans="1:4" ht="12.75" customHeight="1" x14ac:dyDescent="0.2">
      <c r="A735" s="21"/>
      <c r="B735" s="3" t="s">
        <v>0</v>
      </c>
      <c r="C735" s="20" t="s">
        <v>216</v>
      </c>
      <c r="D735" s="21"/>
    </row>
    <row r="736" spans="1:4" ht="12.75" customHeight="1" x14ac:dyDescent="0.2">
      <c r="A736" s="21"/>
      <c r="B736" s="3" t="s">
        <v>2</v>
      </c>
      <c r="C736" s="20"/>
      <c r="D736" s="21"/>
    </row>
    <row r="737" spans="1:4" ht="12.75" customHeight="1" x14ac:dyDescent="0.2">
      <c r="A737" s="21"/>
      <c r="B737" s="3" t="s">
        <v>1840</v>
      </c>
      <c r="C737" s="20" t="s">
        <v>78</v>
      </c>
      <c r="D737" s="21"/>
    </row>
    <row r="738" spans="1:4" ht="12.75" customHeight="1" x14ac:dyDescent="0.2">
      <c r="A738" s="21"/>
      <c r="B738" s="3" t="s">
        <v>9</v>
      </c>
      <c r="C738" s="20" t="s">
        <v>137</v>
      </c>
      <c r="D738" s="21"/>
    </row>
    <row r="739" spans="1:4" ht="12.75" customHeight="1" x14ac:dyDescent="0.2">
      <c r="A739" s="21"/>
      <c r="B739" s="3" t="s">
        <v>11</v>
      </c>
      <c r="C739" s="20" t="s">
        <v>465</v>
      </c>
      <c r="D739" s="21"/>
    </row>
    <row r="740" spans="1:4" ht="12.75" customHeight="1" x14ac:dyDescent="0.2">
      <c r="A740" s="21"/>
      <c r="B740" s="3" t="s">
        <v>16</v>
      </c>
      <c r="C740" s="20"/>
      <c r="D740" s="21"/>
    </row>
    <row r="741" spans="1:4" ht="12.75" customHeight="1" x14ac:dyDescent="0.2">
      <c r="A741" s="21"/>
      <c r="B741" s="3" t="s">
        <v>17</v>
      </c>
      <c r="C741" s="20" t="s">
        <v>19</v>
      </c>
      <c r="D741" s="21"/>
    </row>
    <row r="742" spans="1:4" ht="12.75" customHeight="1" x14ac:dyDescent="0.2">
      <c r="A742" s="21"/>
      <c r="B742" s="20" t="s">
        <v>18</v>
      </c>
      <c r="C742" s="4" t="s">
        <v>44</v>
      </c>
      <c r="D742" s="6" t="str">
        <f>HYPERLINK("javascript:void(0)","yetitappancs")</f>
        <v>yetitappancs</v>
      </c>
    </row>
    <row r="743" spans="1:4" ht="12.75" customHeight="1" x14ac:dyDescent="0.2">
      <c r="A743" s="21"/>
      <c r="B743" s="21"/>
      <c r="C743" s="4" t="s">
        <v>44</v>
      </c>
      <c r="D743" s="6" t="str">
        <f>HYPERLINK("javascript:void(0)","sikolycsizma")</f>
        <v>sikolycsizma</v>
      </c>
    </row>
    <row r="744" spans="1:4" ht="12.75" customHeight="1" x14ac:dyDescent="0.2">
      <c r="A744" s="21"/>
      <c r="B744" s="21"/>
      <c r="C744" s="4" t="s">
        <v>232</v>
      </c>
      <c r="D744" s="6" t="str">
        <f>HYPERLINK("javascript:void(0)","esztétikum")</f>
        <v>esztétikum</v>
      </c>
    </row>
    <row r="745" spans="1:4" ht="12.75" customHeight="1" x14ac:dyDescent="0.2">
      <c r="A745" s="21"/>
      <c r="B745" s="2"/>
      <c r="C745" s="2"/>
      <c r="D745" s="2"/>
    </row>
    <row r="746" spans="1:4" ht="12.75" customHeight="1" x14ac:dyDescent="0.2">
      <c r="A746" s="21"/>
      <c r="B746" s="2"/>
      <c r="C746" s="2"/>
      <c r="D746" s="2"/>
    </row>
    <row r="747" spans="1:4" ht="12.75" customHeight="1" x14ac:dyDescent="0.2">
      <c r="A747" s="21"/>
      <c r="B747" s="2"/>
      <c r="C747" s="2"/>
      <c r="D747" s="2"/>
    </row>
    <row r="748" spans="1:4" ht="12.75" customHeight="1" x14ac:dyDescent="0.2">
      <c r="A748" s="21"/>
      <c r="B748" s="2"/>
      <c r="C748" s="2"/>
      <c r="D748" s="2"/>
    </row>
    <row r="749" spans="1:4" ht="12.75" customHeight="1" x14ac:dyDescent="0.2">
      <c r="A749" s="5"/>
      <c r="B749" s="2"/>
      <c r="C749" s="2"/>
      <c r="D749" s="2"/>
    </row>
    <row r="750" spans="1:4" ht="12.75" customHeight="1" x14ac:dyDescent="0.2">
      <c r="A750" s="22" t="str">
        <f>HYPERLINK("javascript:void(0)","csapcsizma")</f>
        <v>csapcsizma</v>
      </c>
      <c r="B750" s="21"/>
      <c r="C750" s="21"/>
      <c r="D750" s="21"/>
    </row>
    <row r="751" spans="1:4" ht="12.75" customHeight="1" x14ac:dyDescent="0.2">
      <c r="A751" s="20"/>
      <c r="B751" s="2"/>
      <c r="C751" s="2"/>
      <c r="D751" s="2"/>
    </row>
    <row r="752" spans="1:4" ht="12.75" customHeight="1" x14ac:dyDescent="0.2">
      <c r="A752" s="21"/>
      <c r="B752" s="3" t="s">
        <v>0</v>
      </c>
      <c r="C752" s="20" t="s">
        <v>435</v>
      </c>
      <c r="D752" s="21"/>
    </row>
    <row r="753" spans="1:4" ht="12.75" customHeight="1" x14ac:dyDescent="0.2">
      <c r="A753" s="21"/>
      <c r="B753" s="3" t="s">
        <v>2</v>
      </c>
      <c r="C753" s="20"/>
      <c r="D753" s="21"/>
    </row>
    <row r="754" spans="1:4" ht="12.75" customHeight="1" x14ac:dyDescent="0.2">
      <c r="A754" s="21"/>
      <c r="B754" s="3" t="s">
        <v>1840</v>
      </c>
      <c r="C754" s="20" t="s">
        <v>161</v>
      </c>
      <c r="D754" s="21"/>
    </row>
    <row r="755" spans="1:4" ht="12.75" customHeight="1" x14ac:dyDescent="0.2">
      <c r="A755" s="21"/>
      <c r="B755" s="3" t="s">
        <v>9</v>
      </c>
      <c r="C755" s="20" t="s">
        <v>172</v>
      </c>
      <c r="D755" s="21"/>
    </row>
    <row r="756" spans="1:4" ht="12.75" customHeight="1" x14ac:dyDescent="0.2">
      <c r="A756" s="21"/>
      <c r="B756" s="3" t="s">
        <v>11</v>
      </c>
      <c r="C756" s="20" t="s">
        <v>470</v>
      </c>
      <c r="D756" s="21"/>
    </row>
    <row r="757" spans="1:4" ht="12.75" customHeight="1" x14ac:dyDescent="0.2">
      <c r="A757" s="21"/>
      <c r="B757" s="3" t="s">
        <v>16</v>
      </c>
      <c r="C757" s="20"/>
      <c r="D757" s="21"/>
    </row>
    <row r="758" spans="1:4" ht="12.75" customHeight="1" x14ac:dyDescent="0.2">
      <c r="A758" s="21"/>
      <c r="B758" s="3" t="s">
        <v>17</v>
      </c>
      <c r="C758" s="20" t="s">
        <v>19</v>
      </c>
      <c r="D758" s="21"/>
    </row>
    <row r="759" spans="1:4" ht="12.75" customHeight="1" x14ac:dyDescent="0.2">
      <c r="A759" s="21"/>
      <c r="B759" s="20" t="s">
        <v>18</v>
      </c>
      <c r="C759" s="4" t="s">
        <v>44</v>
      </c>
      <c r="D759" s="6" t="str">
        <f>HYPERLINK("javascript:void(0)","díszes szandál")</f>
        <v>díszes szandál</v>
      </c>
    </row>
    <row r="760" spans="1:4" ht="12.75" customHeight="1" x14ac:dyDescent="0.2">
      <c r="A760" s="21"/>
      <c r="B760" s="21"/>
      <c r="C760" s="4" t="s">
        <v>193</v>
      </c>
      <c r="D760" s="6" t="str">
        <f>HYPERLINK("javascript:void(0)","démonfog")</f>
        <v>démonfog</v>
      </c>
    </row>
    <row r="761" spans="1:4" ht="12.75" customHeight="1" x14ac:dyDescent="0.2">
      <c r="A761" s="21"/>
      <c r="B761" s="21"/>
      <c r="C761" s="4" t="s">
        <v>232</v>
      </c>
      <c r="D761" s="6" t="str">
        <f>HYPERLINK("javascript:void(0)","hordócsap")</f>
        <v>hordócsap</v>
      </c>
    </row>
    <row r="762" spans="1:4" ht="12.75" customHeight="1" x14ac:dyDescent="0.2">
      <c r="A762" s="21"/>
      <c r="B762" s="2"/>
      <c r="C762" s="2"/>
      <c r="D762" s="2"/>
    </row>
    <row r="763" spans="1:4" ht="12.75" customHeight="1" x14ac:dyDescent="0.2">
      <c r="A763" s="21"/>
      <c r="B763" s="2"/>
      <c r="C763" s="2"/>
      <c r="D763" s="2"/>
    </row>
    <row r="764" spans="1:4" ht="12.75" customHeight="1" x14ac:dyDescent="0.2">
      <c r="A764" s="21"/>
      <c r="B764" s="2"/>
      <c r="C764" s="2"/>
      <c r="D764" s="2"/>
    </row>
    <row r="765" spans="1:4" ht="12.75" customHeight="1" x14ac:dyDescent="0.2">
      <c r="A765" s="21"/>
      <c r="B765" s="2"/>
      <c r="C765" s="2"/>
      <c r="D765" s="2"/>
    </row>
    <row r="766" spans="1:4" ht="12.75" customHeight="1" x14ac:dyDescent="0.2">
      <c r="A766" s="5"/>
      <c r="B766" s="2"/>
      <c r="C766" s="2"/>
      <c r="D766" s="2"/>
    </row>
    <row r="767" spans="1:4" ht="12.75" customHeight="1" x14ac:dyDescent="0.2">
      <c r="A767" s="22" t="str">
        <f>HYPERLINK("javascript:void(0)","szárnyas szandál")</f>
        <v>szárnyas szandál</v>
      </c>
      <c r="B767" s="21"/>
      <c r="C767" s="21"/>
      <c r="D767" s="21"/>
    </row>
    <row r="768" spans="1:4" ht="12.75" customHeight="1" x14ac:dyDescent="0.2">
      <c r="A768" s="20"/>
      <c r="B768" s="2"/>
      <c r="C768" s="2"/>
      <c r="D768" s="2"/>
    </row>
    <row r="769" spans="1:4" ht="12.75" customHeight="1" x14ac:dyDescent="0.2">
      <c r="A769" s="21"/>
      <c r="B769" s="3" t="s">
        <v>0</v>
      </c>
      <c r="C769" s="20" t="s">
        <v>47</v>
      </c>
      <c r="D769" s="21"/>
    </row>
    <row r="770" spans="1:4" ht="12.75" customHeight="1" x14ac:dyDescent="0.2">
      <c r="A770" s="21"/>
      <c r="B770" s="3" t="s">
        <v>2</v>
      </c>
      <c r="C770" s="20"/>
      <c r="D770" s="21"/>
    </row>
    <row r="771" spans="1:4" ht="12.75" customHeight="1" x14ac:dyDescent="0.2">
      <c r="A771" s="21"/>
      <c r="B771" s="3" t="s">
        <v>1840</v>
      </c>
      <c r="C771" s="20" t="s">
        <v>776</v>
      </c>
      <c r="D771" s="21"/>
    </row>
    <row r="772" spans="1:4" ht="12.75" customHeight="1" x14ac:dyDescent="0.2">
      <c r="A772" s="21"/>
      <c r="B772" s="3" t="s">
        <v>9</v>
      </c>
      <c r="C772" s="20" t="s">
        <v>53</v>
      </c>
      <c r="D772" s="21"/>
    </row>
    <row r="773" spans="1:4" ht="12.75" customHeight="1" x14ac:dyDescent="0.2">
      <c r="A773" s="21"/>
      <c r="B773" s="3" t="s">
        <v>11</v>
      </c>
      <c r="C773" s="20" t="s">
        <v>483</v>
      </c>
      <c r="D773" s="21"/>
    </row>
    <row r="774" spans="1:4" ht="12.75" customHeight="1" x14ac:dyDescent="0.2">
      <c r="A774" s="21"/>
      <c r="B774" s="3" t="s">
        <v>16</v>
      </c>
      <c r="C774" s="20"/>
      <c r="D774" s="21"/>
    </row>
    <row r="775" spans="1:4" ht="12.75" customHeight="1" x14ac:dyDescent="0.2">
      <c r="A775" s="21"/>
      <c r="B775" s="3" t="s">
        <v>17</v>
      </c>
      <c r="C775" s="20" t="s">
        <v>19</v>
      </c>
      <c r="D775" s="21"/>
    </row>
    <row r="776" spans="1:4" ht="12.75" customHeight="1" x14ac:dyDescent="0.2">
      <c r="A776" s="21"/>
      <c r="B776" s="20" t="s">
        <v>18</v>
      </c>
      <c r="C776" s="4" t="s">
        <v>335</v>
      </c>
      <c r="D776" s="6" t="str">
        <f>HYPERLINK("javascript:void(0)","főnixtoll")</f>
        <v>főnixtoll</v>
      </c>
    </row>
    <row r="777" spans="1:4" ht="12.75" customHeight="1" x14ac:dyDescent="0.2">
      <c r="A777" s="21"/>
      <c r="B777" s="21"/>
      <c r="C777" s="4" t="s">
        <v>117</v>
      </c>
      <c r="D777" s="6" t="str">
        <f>HYPERLINK("javascript:void(0)","hemoglobin")</f>
        <v>hemoglobin</v>
      </c>
    </row>
    <row r="778" spans="1:4" ht="12.75" customHeight="1" x14ac:dyDescent="0.2">
      <c r="A778" s="21"/>
      <c r="B778" s="21"/>
      <c r="C778" s="4" t="s">
        <v>77</v>
      </c>
      <c r="D778" s="6" t="str">
        <f>HYPERLINK("javascript:void(0)","spóra")</f>
        <v>spóra</v>
      </c>
    </row>
    <row r="779" spans="1:4" ht="12.75" customHeight="1" x14ac:dyDescent="0.2">
      <c r="A779" s="21"/>
      <c r="B779" s="2"/>
      <c r="C779" s="2"/>
      <c r="D779" s="2"/>
    </row>
    <row r="780" spans="1:4" ht="12.75" customHeight="1" x14ac:dyDescent="0.2">
      <c r="A780" s="21"/>
      <c r="B780" s="2"/>
      <c r="C780" s="2"/>
      <c r="D780" s="2"/>
    </row>
    <row r="781" spans="1:4" ht="12.75" customHeight="1" x14ac:dyDescent="0.2">
      <c r="A781" s="21"/>
      <c r="B781" s="2"/>
      <c r="C781" s="2"/>
      <c r="D781" s="2"/>
    </row>
    <row r="782" spans="1:4" ht="12.75" customHeight="1" x14ac:dyDescent="0.2">
      <c r="A782" s="21"/>
      <c r="B782" s="2"/>
      <c r="C782" s="2"/>
      <c r="D782" s="2"/>
    </row>
    <row r="783" spans="1:4" ht="12.75" customHeight="1" x14ac:dyDescent="0.2">
      <c r="A783" s="5"/>
      <c r="B783" s="2"/>
      <c r="C783" s="2"/>
      <c r="D783" s="2"/>
    </row>
    <row r="784" spans="1:4" ht="12.75" customHeight="1" x14ac:dyDescent="0.2">
      <c r="A784" s="22" t="str">
        <f>HYPERLINK("javascript:void(0)","rubin antigrav csizma")</f>
        <v>rubin antigrav csizma</v>
      </c>
      <c r="B784" s="21"/>
      <c r="C784" s="21"/>
      <c r="D784" s="21"/>
    </row>
    <row r="785" spans="1:4" ht="12.75" customHeight="1" x14ac:dyDescent="0.2">
      <c r="A785" s="20"/>
      <c r="B785" s="2"/>
      <c r="C785" s="2"/>
      <c r="D785" s="2"/>
    </row>
    <row r="786" spans="1:4" ht="12.75" customHeight="1" x14ac:dyDescent="0.2">
      <c r="A786" s="21"/>
      <c r="B786" s="3" t="s">
        <v>0</v>
      </c>
      <c r="C786" s="20" t="s">
        <v>47</v>
      </c>
      <c r="D786" s="21"/>
    </row>
    <row r="787" spans="1:4" ht="12.75" customHeight="1" x14ac:dyDescent="0.2">
      <c r="A787" s="21"/>
      <c r="B787" s="3" t="s">
        <v>2</v>
      </c>
      <c r="C787" s="20"/>
      <c r="D787" s="21"/>
    </row>
    <row r="788" spans="1:4" ht="12.75" customHeight="1" x14ac:dyDescent="0.2">
      <c r="A788" s="21"/>
      <c r="B788" s="3" t="s">
        <v>1840</v>
      </c>
      <c r="C788" s="20" t="s">
        <v>719</v>
      </c>
      <c r="D788" s="21"/>
    </row>
    <row r="789" spans="1:4" ht="12.75" customHeight="1" x14ac:dyDescent="0.2">
      <c r="A789" s="21"/>
      <c r="B789" s="3" t="s">
        <v>9</v>
      </c>
      <c r="C789" s="20" t="s">
        <v>626</v>
      </c>
      <c r="D789" s="21"/>
    </row>
    <row r="790" spans="1:4" ht="12.75" customHeight="1" x14ac:dyDescent="0.2">
      <c r="A790" s="21"/>
      <c r="B790" s="3" t="s">
        <v>11</v>
      </c>
      <c r="C790" s="20" t="s">
        <v>23</v>
      </c>
      <c r="D790" s="21"/>
    </row>
    <row r="791" spans="1:4" ht="12.75" customHeight="1" x14ac:dyDescent="0.2">
      <c r="A791" s="21"/>
      <c r="B791" s="3" t="s">
        <v>16</v>
      </c>
      <c r="C791" s="20"/>
      <c r="D791" s="21"/>
    </row>
    <row r="792" spans="1:4" ht="12.75" customHeight="1" x14ac:dyDescent="0.2">
      <c r="A792" s="21"/>
      <c r="B792" s="3" t="s">
        <v>17</v>
      </c>
      <c r="C792" s="20" t="s">
        <v>19</v>
      </c>
      <c r="D792" s="21"/>
    </row>
    <row r="793" spans="1:4" ht="25.5" customHeight="1" x14ac:dyDescent="0.2">
      <c r="A793" s="21"/>
      <c r="B793" s="20" t="s">
        <v>18</v>
      </c>
      <c r="C793" s="4" t="s">
        <v>44</v>
      </c>
      <c r="D793" s="6" t="str">
        <f>HYPERLINK("javascript:void(0)","smaragd antigrav csizma")</f>
        <v>smaragd antigrav csizma</v>
      </c>
    </row>
    <row r="794" spans="1:4" ht="12.75" customHeight="1" x14ac:dyDescent="0.2">
      <c r="A794" s="21"/>
      <c r="B794" s="21"/>
      <c r="C794" s="4" t="s">
        <v>309</v>
      </c>
      <c r="D794" s="6" t="str">
        <f>HYPERLINK("javascript:void(0)","varázskulcs")</f>
        <v>varázskulcs</v>
      </c>
    </row>
    <row r="795" spans="1:4" ht="12.75" customHeight="1" x14ac:dyDescent="0.2">
      <c r="A795" s="21"/>
      <c r="B795" s="21"/>
      <c r="C795" s="4" t="s">
        <v>139</v>
      </c>
      <c r="D795" s="6" t="str">
        <f>HYPERLINK("javascript:void(0)","spóra")</f>
        <v>spóra</v>
      </c>
    </row>
    <row r="796" spans="1:4" ht="12.75" customHeight="1" x14ac:dyDescent="0.2">
      <c r="A796" s="21"/>
      <c r="B796" s="2"/>
      <c r="C796" s="2"/>
      <c r="D796" s="2"/>
    </row>
    <row r="797" spans="1:4" ht="12.75" customHeight="1" x14ac:dyDescent="0.2">
      <c r="A797" s="21"/>
      <c r="B797" s="2"/>
      <c r="C797" s="2"/>
      <c r="D797" s="2"/>
    </row>
    <row r="798" spans="1:4" ht="12.75" customHeight="1" x14ac:dyDescent="0.2">
      <c r="A798" s="21"/>
      <c r="B798" s="2"/>
      <c r="C798" s="2"/>
      <c r="D798" s="2"/>
    </row>
    <row r="799" spans="1:4" ht="12.75" customHeight="1" x14ac:dyDescent="0.2">
      <c r="A799" s="21"/>
      <c r="B799" s="2"/>
      <c r="C799" s="2"/>
      <c r="D799" s="2"/>
    </row>
    <row r="800" spans="1:4" ht="12.75" customHeight="1" x14ac:dyDescent="0.2">
      <c r="A800" s="5"/>
      <c r="B800" s="2"/>
      <c r="C800" s="2"/>
      <c r="D800" s="2"/>
    </row>
    <row r="801" spans="1:4" ht="12.75" customHeight="1" x14ac:dyDescent="0.2">
      <c r="A801" s="22" t="str">
        <f>HYPERLINK("javascript:void(0)","kentacél csizma")</f>
        <v>kentacél csizma</v>
      </c>
      <c r="B801" s="21"/>
      <c r="C801" s="21"/>
      <c r="D801" s="21"/>
    </row>
    <row r="802" spans="1:4" ht="12.75" customHeight="1" x14ac:dyDescent="0.2">
      <c r="A802" s="20"/>
      <c r="B802" s="2"/>
      <c r="C802" s="2"/>
      <c r="D802" s="2"/>
    </row>
    <row r="803" spans="1:4" ht="12.75" customHeight="1" x14ac:dyDescent="0.2">
      <c r="A803" s="21"/>
      <c r="B803" s="3" t="s">
        <v>0</v>
      </c>
      <c r="C803" s="20" t="s">
        <v>127</v>
      </c>
      <c r="D803" s="21"/>
    </row>
    <row r="804" spans="1:4" ht="12.75" customHeight="1" x14ac:dyDescent="0.2">
      <c r="A804" s="21"/>
      <c r="B804" s="3" t="s">
        <v>2</v>
      </c>
      <c r="C804" s="20"/>
      <c r="D804" s="21"/>
    </row>
    <row r="805" spans="1:4" ht="12.75" customHeight="1" x14ac:dyDescent="0.2">
      <c r="A805" s="21"/>
      <c r="B805" s="3" t="s">
        <v>1840</v>
      </c>
      <c r="C805" s="20" t="s">
        <v>83</v>
      </c>
      <c r="D805" s="21"/>
    </row>
    <row r="806" spans="1:4" ht="12.75" customHeight="1" x14ac:dyDescent="0.2">
      <c r="A806" s="21"/>
      <c r="B806" s="3" t="s">
        <v>9</v>
      </c>
      <c r="C806" s="20" t="s">
        <v>343</v>
      </c>
      <c r="D806" s="21"/>
    </row>
    <row r="807" spans="1:4" ht="12.75" customHeight="1" x14ac:dyDescent="0.2">
      <c r="A807" s="21"/>
      <c r="B807" s="3" t="s">
        <v>11</v>
      </c>
      <c r="C807" s="20" t="s">
        <v>488</v>
      </c>
      <c r="D807" s="21"/>
    </row>
    <row r="808" spans="1:4" ht="12.75" customHeight="1" x14ac:dyDescent="0.2">
      <c r="A808" s="21"/>
      <c r="B808" s="3" t="s">
        <v>16</v>
      </c>
      <c r="C808" s="20"/>
      <c r="D808" s="21"/>
    </row>
    <row r="809" spans="1:4" ht="12.75" customHeight="1" x14ac:dyDescent="0.2">
      <c r="A809" s="21"/>
      <c r="B809" s="3" t="s">
        <v>17</v>
      </c>
      <c r="C809" s="20" t="s">
        <v>19</v>
      </c>
      <c r="D809" s="21"/>
    </row>
    <row r="810" spans="1:4" ht="12.75" customHeight="1" x14ac:dyDescent="0.2">
      <c r="A810" s="21"/>
      <c r="B810" s="20" t="s">
        <v>18</v>
      </c>
      <c r="C810" s="4" t="s">
        <v>44</v>
      </c>
      <c r="D810" s="6" t="str">
        <f>HYPERLINK("javascript:void(0)","csapcsizma")</f>
        <v>csapcsizma</v>
      </c>
    </row>
    <row r="811" spans="1:4" ht="12.75" customHeight="1" x14ac:dyDescent="0.2">
      <c r="A811" s="21"/>
      <c r="B811" s="21"/>
      <c r="C811" s="4" t="s">
        <v>44</v>
      </c>
      <c r="D811" s="6" t="str">
        <f>HYPERLINK("javascript:void(0)","szárnyas szandál")</f>
        <v>szárnyas szandál</v>
      </c>
    </row>
    <row r="812" spans="1:4" ht="12.75" customHeight="1" x14ac:dyDescent="0.2">
      <c r="A812" s="21"/>
      <c r="B812" s="21"/>
      <c r="C812" s="4" t="s">
        <v>232</v>
      </c>
      <c r="D812" s="6" t="str">
        <f>HYPERLINK("javascript:void(0)","malacorr")</f>
        <v>malacorr</v>
      </c>
    </row>
    <row r="813" spans="1:4" ht="12.75" customHeight="1" x14ac:dyDescent="0.2">
      <c r="A813" s="21"/>
      <c r="B813" s="2"/>
      <c r="C813" s="2"/>
      <c r="D813" s="2"/>
    </row>
    <row r="814" spans="1:4" ht="12.75" customHeight="1" x14ac:dyDescent="0.2">
      <c r="A814" s="21"/>
      <c r="B814" s="2"/>
      <c r="C814" s="2"/>
      <c r="D814" s="2"/>
    </row>
    <row r="815" spans="1:4" ht="12.75" customHeight="1" x14ac:dyDescent="0.2">
      <c r="A815" s="21"/>
      <c r="B815" s="2"/>
      <c r="C815" s="2"/>
      <c r="D815" s="2"/>
    </row>
    <row r="816" spans="1:4" ht="12.75" customHeight="1" x14ac:dyDescent="0.2">
      <c r="A816" s="21"/>
      <c r="B816" s="2"/>
      <c r="C816" s="2"/>
      <c r="D816" s="2"/>
    </row>
    <row r="817" spans="1:4" ht="12.75" customHeight="1" x14ac:dyDescent="0.2">
      <c r="A817" s="5"/>
      <c r="B817" s="2"/>
      <c r="C817" s="2"/>
      <c r="D817" s="2"/>
    </row>
    <row r="818" spans="1:4" ht="12.75" customHeight="1" x14ac:dyDescent="0.2">
      <c r="A818" s="22" t="str">
        <f>HYPERLINK("javascript:void(0)","csillámos kiscsizma")</f>
        <v>csillámos kiscsizma</v>
      </c>
      <c r="B818" s="21"/>
      <c r="C818" s="21"/>
      <c r="D818" s="21"/>
    </row>
    <row r="819" spans="1:4" ht="12.75" customHeight="1" x14ac:dyDescent="0.2">
      <c r="A819" s="20"/>
      <c r="B819" s="2"/>
      <c r="C819" s="2"/>
      <c r="D819" s="2"/>
    </row>
    <row r="820" spans="1:4" ht="12.75" customHeight="1" x14ac:dyDescent="0.2">
      <c r="A820" s="21"/>
      <c r="B820" s="3" t="s">
        <v>0</v>
      </c>
      <c r="C820" s="20" t="s">
        <v>127</v>
      </c>
      <c r="D820" s="21"/>
    </row>
    <row r="821" spans="1:4" ht="12.75" customHeight="1" x14ac:dyDescent="0.2">
      <c r="A821" s="21"/>
      <c r="B821" s="3" t="s">
        <v>2</v>
      </c>
      <c r="C821" s="20"/>
      <c r="D821" s="21"/>
    </row>
    <row r="822" spans="1:4" ht="12.75" customHeight="1" x14ac:dyDescent="0.2">
      <c r="A822" s="21"/>
      <c r="B822" s="3" t="s">
        <v>1840</v>
      </c>
      <c r="C822" s="20" t="s">
        <v>896</v>
      </c>
      <c r="D822" s="21"/>
    </row>
    <row r="823" spans="1:4" ht="12.75" customHeight="1" x14ac:dyDescent="0.2">
      <c r="A823" s="21"/>
      <c r="B823" s="3" t="s">
        <v>9</v>
      </c>
      <c r="C823" s="20" t="s">
        <v>1973</v>
      </c>
      <c r="D823" s="21"/>
    </row>
    <row r="824" spans="1:4" ht="12.75" customHeight="1" x14ac:dyDescent="0.2">
      <c r="A824" s="21"/>
      <c r="B824" s="3" t="s">
        <v>11</v>
      </c>
      <c r="C824" s="20" t="s">
        <v>488</v>
      </c>
      <c r="D824" s="21"/>
    </row>
    <row r="825" spans="1:4" ht="12.75" customHeight="1" x14ac:dyDescent="0.2">
      <c r="A825" s="21"/>
      <c r="B825" s="3" t="s">
        <v>16</v>
      </c>
      <c r="C825" s="20"/>
      <c r="D825" s="21"/>
    </row>
    <row r="826" spans="1:4" ht="12.75" customHeight="1" x14ac:dyDescent="0.2">
      <c r="A826" s="21"/>
      <c r="B826" s="3" t="s">
        <v>17</v>
      </c>
      <c r="C826" s="20" t="s">
        <v>19</v>
      </c>
      <c r="D826" s="21"/>
    </row>
    <row r="827" spans="1:4" ht="12.75" customHeight="1" x14ac:dyDescent="0.2">
      <c r="A827" s="21"/>
      <c r="B827" s="20" t="s">
        <v>18</v>
      </c>
      <c r="C827" s="4" t="s">
        <v>57</v>
      </c>
      <c r="D827" s="6" t="str">
        <f>HYPERLINK("javascript:void(0)","csillámgöb")</f>
        <v>csillámgöb</v>
      </c>
    </row>
    <row r="828" spans="1:4" ht="12.75" customHeight="1" x14ac:dyDescent="0.2">
      <c r="A828" s="21"/>
      <c r="B828" s="21"/>
      <c r="C828" s="4" t="s">
        <v>44</v>
      </c>
      <c r="D828" s="6" t="str">
        <f>HYPERLINK("javascript:void(0)","csillámsurranó")</f>
        <v>csillámsurranó</v>
      </c>
    </row>
    <row r="829" spans="1:4" ht="12.75" customHeight="1" x14ac:dyDescent="0.2">
      <c r="A829" s="21"/>
      <c r="B829" s="21"/>
      <c r="C829" s="4" t="s">
        <v>309</v>
      </c>
      <c r="D829" s="6" t="str">
        <f>HYPERLINK("javascript:void(0)","szellemszarv")</f>
        <v>szellemszarv</v>
      </c>
    </row>
    <row r="830" spans="1:4" ht="12.75" customHeight="1" x14ac:dyDescent="0.2">
      <c r="A830" s="21"/>
      <c r="B830" s="2"/>
      <c r="C830" s="2"/>
      <c r="D830" s="2"/>
    </row>
    <row r="831" spans="1:4" ht="12.75" customHeight="1" x14ac:dyDescent="0.2">
      <c r="A831" s="21"/>
      <c r="B831" s="2"/>
      <c r="C831" s="2"/>
      <c r="D831" s="2"/>
    </row>
    <row r="832" spans="1:4" ht="12.75" customHeight="1" x14ac:dyDescent="0.2">
      <c r="A832" s="21"/>
      <c r="B832" s="2"/>
      <c r="C832" s="2"/>
      <c r="D832" s="2"/>
    </row>
    <row r="833" spans="1:4" ht="12.75" customHeight="1" x14ac:dyDescent="0.2">
      <c r="A833" s="21"/>
      <c r="B833" s="2"/>
      <c r="C833" s="2"/>
      <c r="D833" s="2"/>
    </row>
    <row r="834" spans="1:4" ht="12.75" customHeight="1" x14ac:dyDescent="0.2">
      <c r="A834" s="5"/>
      <c r="B834" s="2"/>
      <c r="C834" s="2"/>
      <c r="D834" s="2"/>
    </row>
    <row r="835" spans="1:4" ht="12.75" customHeight="1" x14ac:dyDescent="0.2">
      <c r="A835" s="22" t="str">
        <f>HYPERLINK("javascript:void(0)","ezüst saru")</f>
        <v>ezüst saru</v>
      </c>
      <c r="B835" s="21"/>
      <c r="C835" s="21"/>
      <c r="D835" s="21"/>
    </row>
    <row r="836" spans="1:4" ht="12.75" customHeight="1" x14ac:dyDescent="0.2">
      <c r="A836" s="20"/>
      <c r="B836" s="2"/>
      <c r="C836" s="2"/>
      <c r="D836" s="2"/>
    </row>
    <row r="837" spans="1:4" ht="12.75" customHeight="1" x14ac:dyDescent="0.2">
      <c r="A837" s="21"/>
      <c r="B837" s="3" t="s">
        <v>0</v>
      </c>
      <c r="C837" s="20" t="s">
        <v>204</v>
      </c>
      <c r="D837" s="21"/>
    </row>
    <row r="838" spans="1:4" ht="12.75" customHeight="1" x14ac:dyDescent="0.2">
      <c r="A838" s="21"/>
      <c r="B838" s="3" t="s">
        <v>2</v>
      </c>
      <c r="C838" s="20"/>
      <c r="D838" s="21"/>
    </row>
    <row r="839" spans="1:4" ht="12.75" customHeight="1" x14ac:dyDescent="0.2">
      <c r="A839" s="21"/>
      <c r="B839" s="3" t="s">
        <v>1840</v>
      </c>
      <c r="C839" s="20" t="s">
        <v>281</v>
      </c>
      <c r="D839" s="21"/>
    </row>
    <row r="840" spans="1:4" ht="12.75" customHeight="1" x14ac:dyDescent="0.2">
      <c r="A840" s="21"/>
      <c r="B840" s="3" t="s">
        <v>9</v>
      </c>
      <c r="C840" s="20" t="s">
        <v>93</v>
      </c>
      <c r="D840" s="21"/>
    </row>
    <row r="841" spans="1:4" ht="12.75" customHeight="1" x14ac:dyDescent="0.2">
      <c r="A841" s="21"/>
      <c r="B841" s="3" t="s">
        <v>11</v>
      </c>
      <c r="C841" s="20" t="s">
        <v>497</v>
      </c>
      <c r="D841" s="21"/>
    </row>
    <row r="842" spans="1:4" ht="12.75" customHeight="1" x14ac:dyDescent="0.2">
      <c r="A842" s="21"/>
      <c r="B842" s="3" t="s">
        <v>16</v>
      </c>
      <c r="C842" s="20"/>
      <c r="D842" s="21"/>
    </row>
    <row r="843" spans="1:4" ht="12.75" customHeight="1" x14ac:dyDescent="0.2">
      <c r="A843" s="21"/>
      <c r="B843" s="3" t="s">
        <v>17</v>
      </c>
      <c r="C843" s="20" t="s">
        <v>19</v>
      </c>
      <c r="D843" s="21"/>
    </row>
    <row r="844" spans="1:4" ht="12.75" customHeight="1" x14ac:dyDescent="0.2">
      <c r="A844" s="21"/>
      <c r="B844" s="20" t="s">
        <v>18</v>
      </c>
      <c r="C844" s="4" t="s">
        <v>44</v>
      </c>
      <c r="D844" s="6" t="str">
        <f>HYPERLINK("javascript:void(0)","kentacél csizma")</f>
        <v>kentacél csizma</v>
      </c>
    </row>
    <row r="845" spans="1:4" ht="12.75" customHeight="1" x14ac:dyDescent="0.2">
      <c r="A845" s="21"/>
      <c r="B845" s="21"/>
      <c r="C845" s="4" t="s">
        <v>269</v>
      </c>
      <c r="D845" s="6" t="str">
        <f>HYPERLINK("javascript:void(0)","sudár")</f>
        <v>sudár</v>
      </c>
    </row>
    <row r="846" spans="1:4" ht="12.75" customHeight="1" x14ac:dyDescent="0.2">
      <c r="A846" s="21"/>
      <c r="B846" s="21"/>
      <c r="C846" s="4" t="s">
        <v>232</v>
      </c>
      <c r="D846" s="6" t="str">
        <f>HYPERLINK("javascript:void(0)","ezüströg")</f>
        <v>ezüströg</v>
      </c>
    </row>
    <row r="847" spans="1:4" ht="12.75" customHeight="1" x14ac:dyDescent="0.2">
      <c r="A847" s="21"/>
      <c r="B847" s="2"/>
      <c r="C847" s="2"/>
      <c r="D847" s="2"/>
    </row>
    <row r="848" spans="1:4" ht="12.75" customHeight="1" x14ac:dyDescent="0.2">
      <c r="A848" s="21"/>
      <c r="B848" s="2"/>
      <c r="C848" s="2"/>
      <c r="D848" s="2"/>
    </row>
    <row r="849" spans="1:4" ht="12.75" customHeight="1" x14ac:dyDescent="0.2">
      <c r="A849" s="21"/>
      <c r="B849" s="2"/>
      <c r="C849" s="2"/>
      <c r="D849" s="2"/>
    </row>
    <row r="850" spans="1:4" ht="12.75" customHeight="1" x14ac:dyDescent="0.2">
      <c r="A850" s="21"/>
      <c r="B850" s="2"/>
      <c r="C850" s="2"/>
      <c r="D850" s="2"/>
    </row>
    <row r="851" spans="1:4" ht="12.75" customHeight="1" x14ac:dyDescent="0.2">
      <c r="A851" s="5"/>
      <c r="B851" s="2"/>
      <c r="C851" s="2"/>
      <c r="D851" s="2"/>
    </row>
    <row r="852" spans="1:4" ht="12.75" customHeight="1" x14ac:dyDescent="0.2">
      <c r="A852" s="22" t="str">
        <f>HYPERLINK("javascript:void(0)","arany saru")</f>
        <v>arany saru</v>
      </c>
      <c r="B852" s="21"/>
      <c r="C852" s="21"/>
      <c r="D852" s="21"/>
    </row>
    <row r="853" spans="1:4" ht="12.75" customHeight="1" x14ac:dyDescent="0.2">
      <c r="A853" s="20"/>
      <c r="B853" s="2"/>
      <c r="C853" s="2"/>
      <c r="D853" s="2"/>
    </row>
    <row r="854" spans="1:4" ht="12.75" customHeight="1" x14ac:dyDescent="0.2">
      <c r="A854" s="21"/>
      <c r="B854" s="3" t="s">
        <v>0</v>
      </c>
      <c r="C854" s="20" t="s">
        <v>468</v>
      </c>
      <c r="D854" s="21"/>
    </row>
    <row r="855" spans="1:4" ht="12.75" customHeight="1" x14ac:dyDescent="0.2">
      <c r="A855" s="21"/>
      <c r="B855" s="3" t="s">
        <v>2</v>
      </c>
      <c r="C855" s="20"/>
      <c r="D855" s="21"/>
    </row>
    <row r="856" spans="1:4" ht="12.75" customHeight="1" x14ac:dyDescent="0.2">
      <c r="A856" s="21"/>
      <c r="B856" s="3" t="s">
        <v>1840</v>
      </c>
      <c r="C856" s="20" t="s">
        <v>862</v>
      </c>
      <c r="D856" s="21"/>
    </row>
    <row r="857" spans="1:4" ht="12.75" customHeight="1" x14ac:dyDescent="0.2">
      <c r="A857" s="21"/>
      <c r="B857" s="3" t="s">
        <v>9</v>
      </c>
      <c r="C857" s="20" t="s">
        <v>1975</v>
      </c>
      <c r="D857" s="21"/>
    </row>
    <row r="858" spans="1:4" ht="12.75" customHeight="1" x14ac:dyDescent="0.2">
      <c r="A858" s="21"/>
      <c r="B858" s="3" t="s">
        <v>11</v>
      </c>
      <c r="C858" s="20" t="s">
        <v>501</v>
      </c>
      <c r="D858" s="21"/>
    </row>
    <row r="859" spans="1:4" ht="12.75" customHeight="1" x14ac:dyDescent="0.2">
      <c r="A859" s="21"/>
      <c r="B859" s="3" t="s">
        <v>16</v>
      </c>
      <c r="C859" s="20"/>
      <c r="D859" s="21"/>
    </row>
    <row r="860" spans="1:4" ht="12.75" customHeight="1" x14ac:dyDescent="0.2">
      <c r="A860" s="21"/>
      <c r="B860" s="3" t="s">
        <v>17</v>
      </c>
      <c r="C860" s="20" t="s">
        <v>19</v>
      </c>
      <c r="D860" s="21"/>
    </row>
    <row r="861" spans="1:4" ht="12.75" customHeight="1" x14ac:dyDescent="0.2">
      <c r="A861" s="21"/>
      <c r="B861" s="20" t="s">
        <v>18</v>
      </c>
      <c r="C861" s="4" t="s">
        <v>290</v>
      </c>
      <c r="D861" s="6" t="str">
        <f>HYPERLINK("javascript:void(0)","szemgödör")</f>
        <v>szemgödör</v>
      </c>
    </row>
    <row r="862" spans="1:4" ht="12.75" customHeight="1" x14ac:dyDescent="0.2">
      <c r="A862" s="21"/>
      <c r="B862" s="21"/>
      <c r="C862" s="4" t="s">
        <v>232</v>
      </c>
      <c r="D862" s="6" t="str">
        <f>HYPERLINK("javascript:void(0)","aranyrög")</f>
        <v>aranyrög</v>
      </c>
    </row>
    <row r="863" spans="1:4" ht="12.75" customHeight="1" x14ac:dyDescent="0.2">
      <c r="A863" s="21"/>
      <c r="B863" s="21"/>
      <c r="C863" s="4" t="s">
        <v>117</v>
      </c>
      <c r="D863" s="6" t="str">
        <f>HYPERLINK("javascript:void(0)","spóra")</f>
        <v>spóra</v>
      </c>
    </row>
    <row r="864" spans="1:4" ht="12.75" customHeight="1" x14ac:dyDescent="0.2">
      <c r="A864" s="21"/>
      <c r="B864" s="2"/>
      <c r="C864" s="2"/>
      <c r="D864" s="2"/>
    </row>
    <row r="865" spans="1:4" ht="12.75" customHeight="1" x14ac:dyDescent="0.2">
      <c r="A865" s="21"/>
      <c r="B865" s="2"/>
      <c r="C865" s="2"/>
      <c r="D865" s="2"/>
    </row>
    <row r="866" spans="1:4" ht="12.75" customHeight="1" x14ac:dyDescent="0.2">
      <c r="A866" s="21"/>
      <c r="B866" s="2"/>
      <c r="C866" s="2"/>
      <c r="D866" s="2"/>
    </row>
    <row r="867" spans="1:4" ht="12.75" customHeight="1" x14ac:dyDescent="0.2">
      <c r="A867" s="21"/>
      <c r="B867" s="2"/>
      <c r="C867" s="2"/>
      <c r="D867" s="2"/>
    </row>
    <row r="868" spans="1:4" ht="12.75" customHeight="1" x14ac:dyDescent="0.2">
      <c r="A868" s="5"/>
      <c r="B868" s="2"/>
      <c r="C868" s="2"/>
      <c r="D868" s="2"/>
    </row>
    <row r="869" spans="1:4" ht="12.75" customHeight="1" x14ac:dyDescent="0.2">
      <c r="A869" s="22" t="str">
        <f>HYPERLINK("javascript:void(0)","gyémánt antigrav csizma")</f>
        <v>gyémánt antigrav csizma</v>
      </c>
      <c r="B869" s="21"/>
      <c r="C869" s="21"/>
      <c r="D869" s="21"/>
    </row>
    <row r="870" spans="1:4" ht="12.75" customHeight="1" x14ac:dyDescent="0.2">
      <c r="A870" s="20"/>
      <c r="B870" s="2"/>
      <c r="C870" s="2"/>
      <c r="D870" s="2"/>
    </row>
    <row r="871" spans="1:4" ht="12.75" customHeight="1" x14ac:dyDescent="0.2">
      <c r="A871" s="21"/>
      <c r="B871" s="3" t="s">
        <v>0</v>
      </c>
      <c r="C871" s="20" t="s">
        <v>468</v>
      </c>
      <c r="D871" s="21"/>
    </row>
    <row r="872" spans="1:4" ht="12.75" customHeight="1" x14ac:dyDescent="0.2">
      <c r="A872" s="21"/>
      <c r="B872" s="3" t="s">
        <v>2</v>
      </c>
      <c r="C872" s="20"/>
      <c r="D872" s="21"/>
    </row>
    <row r="873" spans="1:4" ht="12.75" customHeight="1" x14ac:dyDescent="0.2">
      <c r="A873" s="21"/>
      <c r="B873" s="3" t="s">
        <v>1840</v>
      </c>
      <c r="C873" s="20" t="s">
        <v>773</v>
      </c>
      <c r="D873" s="21"/>
    </row>
    <row r="874" spans="1:4" ht="12.75" customHeight="1" x14ac:dyDescent="0.2">
      <c r="A874" s="21"/>
      <c r="B874" s="3" t="s">
        <v>9</v>
      </c>
      <c r="C874" s="20" t="s">
        <v>626</v>
      </c>
      <c r="D874" s="21"/>
    </row>
    <row r="875" spans="1:4" ht="12.75" customHeight="1" x14ac:dyDescent="0.2">
      <c r="A875" s="21"/>
      <c r="B875" s="3" t="s">
        <v>11</v>
      </c>
      <c r="C875" s="20" t="s">
        <v>23</v>
      </c>
      <c r="D875" s="21"/>
    </row>
    <row r="876" spans="1:4" ht="12.75" customHeight="1" x14ac:dyDescent="0.2">
      <c r="A876" s="21"/>
      <c r="B876" s="3" t="s">
        <v>16</v>
      </c>
      <c r="C876" s="20"/>
      <c r="D876" s="21"/>
    </row>
    <row r="877" spans="1:4" ht="12.75" customHeight="1" x14ac:dyDescent="0.2">
      <c r="A877" s="21"/>
      <c r="B877" s="3" t="s">
        <v>17</v>
      </c>
      <c r="C877" s="20" t="s">
        <v>19</v>
      </c>
      <c r="D877" s="21"/>
    </row>
    <row r="878" spans="1:4" ht="25.5" customHeight="1" x14ac:dyDescent="0.2">
      <c r="A878" s="21"/>
      <c r="B878" s="20" t="s">
        <v>18</v>
      </c>
      <c r="C878" s="4" t="s">
        <v>44</v>
      </c>
      <c r="D878" s="6" t="str">
        <f>HYPERLINK("javascript:void(0)","rubin antigrav csizma")</f>
        <v>rubin antigrav csizma</v>
      </c>
    </row>
    <row r="879" spans="1:4" ht="12.75" customHeight="1" x14ac:dyDescent="0.2">
      <c r="A879" s="21"/>
      <c r="B879" s="21"/>
      <c r="C879" s="4" t="s">
        <v>474</v>
      </c>
      <c r="D879" s="6" t="str">
        <f>HYPERLINK("javascript:void(0)","szemgödör")</f>
        <v>szemgödör</v>
      </c>
    </row>
    <row r="880" spans="1:4" ht="12.75" customHeight="1" x14ac:dyDescent="0.2">
      <c r="A880" s="21"/>
      <c r="B880" s="21"/>
      <c r="C880" s="4" t="s">
        <v>280</v>
      </c>
      <c r="D880" s="6" t="str">
        <f>HYPERLINK("javascript:void(0)","vari amulett")</f>
        <v>vari amulett</v>
      </c>
    </row>
    <row r="881" spans="1:4" ht="12.75" customHeight="1" x14ac:dyDescent="0.2">
      <c r="A881" s="21"/>
      <c r="B881" s="2"/>
      <c r="C881" s="2"/>
      <c r="D881" s="2"/>
    </row>
    <row r="882" spans="1:4" ht="12.75" customHeight="1" x14ac:dyDescent="0.2">
      <c r="A882" s="21"/>
      <c r="B882" s="2"/>
      <c r="C882" s="2"/>
      <c r="D882" s="2"/>
    </row>
    <row r="883" spans="1:4" ht="12.75" customHeight="1" x14ac:dyDescent="0.2">
      <c r="A883" s="21"/>
      <c r="B883" s="2"/>
      <c r="C883" s="2"/>
      <c r="D883" s="2"/>
    </row>
    <row r="884" spans="1:4" ht="12.75" customHeight="1" x14ac:dyDescent="0.2">
      <c r="A884" s="21"/>
      <c r="B884" s="2"/>
      <c r="C884" s="2"/>
      <c r="D884" s="2"/>
    </row>
    <row r="885" spans="1:4" ht="12.75" customHeight="1" x14ac:dyDescent="0.2">
      <c r="A885" s="5"/>
      <c r="B885" s="2"/>
      <c r="C885" s="2"/>
      <c r="D885" s="2"/>
    </row>
    <row r="886" spans="1:4" ht="12.75" customHeight="1" x14ac:dyDescent="0.2">
      <c r="A886" s="22" t="str">
        <f>HYPERLINK("javascript:void(0)","smaragd saru")</f>
        <v>smaragd saru</v>
      </c>
      <c r="B886" s="21"/>
      <c r="C886" s="21"/>
      <c r="D886" s="21"/>
    </row>
    <row r="887" spans="1:4" ht="12.75" customHeight="1" x14ac:dyDescent="0.2">
      <c r="A887" s="20"/>
      <c r="B887" s="2"/>
      <c r="C887" s="2"/>
      <c r="D887" s="2"/>
    </row>
    <row r="888" spans="1:4" ht="12.75" customHeight="1" x14ac:dyDescent="0.2">
      <c r="A888" s="21"/>
      <c r="B888" s="3" t="s">
        <v>0</v>
      </c>
      <c r="C888" s="20" t="s">
        <v>213</v>
      </c>
      <c r="D888" s="21"/>
    </row>
    <row r="889" spans="1:4" ht="12.75" customHeight="1" x14ac:dyDescent="0.2">
      <c r="A889" s="21"/>
      <c r="B889" s="3" t="s">
        <v>2</v>
      </c>
      <c r="C889" s="20"/>
      <c r="D889" s="21"/>
    </row>
    <row r="890" spans="1:4" ht="12.75" customHeight="1" x14ac:dyDescent="0.2">
      <c r="A890" s="21"/>
      <c r="B890" s="3" t="s">
        <v>1840</v>
      </c>
      <c r="C890" s="20" t="s">
        <v>896</v>
      </c>
      <c r="D890" s="21"/>
    </row>
    <row r="891" spans="1:4" ht="12.75" customHeight="1" x14ac:dyDescent="0.2">
      <c r="A891" s="21"/>
      <c r="B891" s="3" t="s">
        <v>9</v>
      </c>
      <c r="C891" s="20" t="s">
        <v>30</v>
      </c>
      <c r="D891" s="21"/>
    </row>
    <row r="892" spans="1:4" ht="12.75" customHeight="1" x14ac:dyDescent="0.2">
      <c r="A892" s="21"/>
      <c r="B892" s="3" t="s">
        <v>11</v>
      </c>
      <c r="C892" s="20" t="s">
        <v>514</v>
      </c>
      <c r="D892" s="21"/>
    </row>
    <row r="893" spans="1:4" ht="12.75" customHeight="1" x14ac:dyDescent="0.2">
      <c r="A893" s="21"/>
      <c r="B893" s="3" t="s">
        <v>16</v>
      </c>
      <c r="C893" s="20"/>
      <c r="D893" s="21"/>
    </row>
    <row r="894" spans="1:4" ht="12.75" customHeight="1" x14ac:dyDescent="0.2">
      <c r="A894" s="21"/>
      <c r="B894" s="3" t="s">
        <v>17</v>
      </c>
      <c r="C894" s="20" t="s">
        <v>19</v>
      </c>
      <c r="D894" s="21"/>
    </row>
    <row r="895" spans="1:4" ht="12.75" customHeight="1" x14ac:dyDescent="0.2">
      <c r="A895" s="21"/>
      <c r="B895" s="20" t="s">
        <v>18</v>
      </c>
      <c r="C895" s="4" t="s">
        <v>44</v>
      </c>
      <c r="D895" s="6" t="str">
        <f>HYPERLINK("javascript:void(0)","ezüst saru")</f>
        <v>ezüst saru</v>
      </c>
    </row>
    <row r="896" spans="1:4" ht="12.75" customHeight="1" x14ac:dyDescent="0.2">
      <c r="A896" s="21"/>
      <c r="B896" s="21"/>
      <c r="C896" s="4" t="s">
        <v>44</v>
      </c>
      <c r="D896" s="6" t="str">
        <f>HYPERLINK("javascript:void(0)","arany saru")</f>
        <v>arany saru</v>
      </c>
    </row>
    <row r="897" spans="1:4" ht="12.75" customHeight="1" x14ac:dyDescent="0.2">
      <c r="A897" s="21"/>
      <c r="B897" s="21"/>
      <c r="C897" s="4" t="s">
        <v>232</v>
      </c>
      <c r="D897" s="6" t="str">
        <f>HYPERLINK("javascript:void(0)","manókoponya")</f>
        <v>manókoponya</v>
      </c>
    </row>
    <row r="898" spans="1:4" ht="12.75" customHeight="1" x14ac:dyDescent="0.2">
      <c r="A898" s="21"/>
      <c r="B898" s="2"/>
      <c r="C898" s="2"/>
      <c r="D898" s="2"/>
    </row>
    <row r="899" spans="1:4" ht="12.75" customHeight="1" x14ac:dyDescent="0.2">
      <c r="A899" s="21"/>
      <c r="B899" s="2"/>
      <c r="C899" s="2"/>
      <c r="D899" s="2"/>
    </row>
    <row r="900" spans="1:4" ht="12.75" customHeight="1" x14ac:dyDescent="0.2">
      <c r="A900" s="21"/>
      <c r="B900" s="2"/>
      <c r="C900" s="2"/>
      <c r="D900" s="2"/>
    </row>
    <row r="901" spans="1:4" ht="12.75" customHeight="1" x14ac:dyDescent="0.2">
      <c r="A901" s="21"/>
      <c r="B901" s="2"/>
      <c r="C901" s="2"/>
      <c r="D901" s="2"/>
    </row>
    <row r="902" spans="1:4" ht="12.75" customHeight="1" x14ac:dyDescent="0.2">
      <c r="A902" s="5"/>
      <c r="B902" s="2"/>
      <c r="C902" s="2"/>
      <c r="D902" s="2"/>
    </row>
    <row r="903" spans="1:4" ht="12.75" customHeight="1" x14ac:dyDescent="0.2">
      <c r="A903" s="22" t="str">
        <f>HYPERLINK("javascript:void(0)","rubin saru")</f>
        <v>rubin saru</v>
      </c>
      <c r="B903" s="21"/>
      <c r="C903" s="21"/>
      <c r="D903" s="21"/>
    </row>
    <row r="904" spans="1:4" ht="12.75" customHeight="1" x14ac:dyDescent="0.2">
      <c r="A904" s="20"/>
      <c r="B904" s="2"/>
      <c r="C904" s="2"/>
      <c r="D904" s="2"/>
    </row>
    <row r="905" spans="1:4" ht="12.75" customHeight="1" x14ac:dyDescent="0.2">
      <c r="A905" s="21"/>
      <c r="B905" s="3" t="s">
        <v>0</v>
      </c>
      <c r="C905" s="20" t="s">
        <v>58</v>
      </c>
      <c r="D905" s="21"/>
    </row>
    <row r="906" spans="1:4" ht="12.75" customHeight="1" x14ac:dyDescent="0.2">
      <c r="A906" s="21"/>
      <c r="B906" s="3" t="s">
        <v>2</v>
      </c>
      <c r="C906" s="20"/>
      <c r="D906" s="21"/>
    </row>
    <row r="907" spans="1:4" ht="12.75" customHeight="1" x14ac:dyDescent="0.2">
      <c r="A907" s="21"/>
      <c r="B907" s="3" t="s">
        <v>1840</v>
      </c>
      <c r="C907" s="20" t="s">
        <v>926</v>
      </c>
      <c r="D907" s="21"/>
    </row>
    <row r="908" spans="1:4" ht="12.75" customHeight="1" x14ac:dyDescent="0.2">
      <c r="A908" s="21"/>
      <c r="B908" s="3" t="s">
        <v>9</v>
      </c>
      <c r="C908" s="20" t="s">
        <v>441</v>
      </c>
      <c r="D908" s="21"/>
    </row>
    <row r="909" spans="1:4" ht="12.75" customHeight="1" x14ac:dyDescent="0.2">
      <c r="A909" s="21"/>
      <c r="B909" s="3" t="s">
        <v>11</v>
      </c>
      <c r="C909" s="20" t="s">
        <v>523</v>
      </c>
      <c r="D909" s="21"/>
    </row>
    <row r="910" spans="1:4" ht="12.75" customHeight="1" x14ac:dyDescent="0.2">
      <c r="A910" s="21"/>
      <c r="B910" s="3" t="s">
        <v>16</v>
      </c>
      <c r="C910" s="20"/>
      <c r="D910" s="21"/>
    </row>
    <row r="911" spans="1:4" ht="12.75" customHeight="1" x14ac:dyDescent="0.2">
      <c r="A911" s="21"/>
      <c r="B911" s="3" t="s">
        <v>17</v>
      </c>
      <c r="C911" s="20" t="s">
        <v>19</v>
      </c>
      <c r="D911" s="21"/>
    </row>
    <row r="912" spans="1:4" ht="12.75" customHeight="1" x14ac:dyDescent="0.2">
      <c r="A912" s="21"/>
      <c r="B912" s="20" t="s">
        <v>18</v>
      </c>
      <c r="C912" s="4" t="s">
        <v>44</v>
      </c>
      <c r="D912" s="6" t="str">
        <f>HYPERLINK("javascript:void(0)","smaragd saru")</f>
        <v>smaragd saru</v>
      </c>
    </row>
    <row r="913" spans="1:4" ht="12.75" customHeight="1" x14ac:dyDescent="0.2">
      <c r="A913" s="21"/>
      <c r="B913" s="21"/>
      <c r="C913" s="4" t="s">
        <v>232</v>
      </c>
      <c r="D913" s="6" t="str">
        <f>HYPERLINK("javascript:void(0)","vérrög")</f>
        <v>vérrög</v>
      </c>
    </row>
    <row r="914" spans="1:4" ht="12.75" customHeight="1" x14ac:dyDescent="0.2">
      <c r="A914" s="21"/>
      <c r="B914" s="21"/>
      <c r="C914" s="4" t="s">
        <v>139</v>
      </c>
      <c r="D914" s="6" t="str">
        <f>HYPERLINK("javascript:void(0)","vari amulett")</f>
        <v>vari amulett</v>
      </c>
    </row>
    <row r="915" spans="1:4" ht="12.75" customHeight="1" x14ac:dyDescent="0.2">
      <c r="A915" s="21"/>
      <c r="B915" s="2"/>
      <c r="C915" s="2"/>
      <c r="D915" s="2"/>
    </row>
    <row r="916" spans="1:4" ht="12.75" customHeight="1" x14ac:dyDescent="0.2">
      <c r="A916" s="21"/>
      <c r="B916" s="2"/>
      <c r="C916" s="2"/>
      <c r="D916" s="2"/>
    </row>
    <row r="917" spans="1:4" ht="12.75" customHeight="1" x14ac:dyDescent="0.2">
      <c r="A917" s="21"/>
      <c r="B917" s="2"/>
      <c r="C917" s="2"/>
      <c r="D917" s="2"/>
    </row>
    <row r="918" spans="1:4" ht="12.75" customHeight="1" x14ac:dyDescent="0.2">
      <c r="A918" s="21"/>
      <c r="B918" s="2"/>
      <c r="C918" s="2"/>
      <c r="D918" s="2"/>
    </row>
    <row r="919" spans="1:4" ht="12.75" customHeight="1" x14ac:dyDescent="0.2">
      <c r="A919" s="5"/>
      <c r="B919" s="2"/>
      <c r="C919" s="2"/>
      <c r="D919" s="2"/>
    </row>
    <row r="920" spans="1:4" ht="12.75" customHeight="1" x14ac:dyDescent="0.2">
      <c r="A920" s="22" t="str">
        <f>HYPERLINK("javascript:void(0)","diszpro antigrav csizma")</f>
        <v>diszpro antigrav csizma</v>
      </c>
      <c r="B920" s="21"/>
      <c r="C920" s="21"/>
      <c r="D920" s="21"/>
    </row>
    <row r="921" spans="1:4" ht="12.75" customHeight="1" x14ac:dyDescent="0.2">
      <c r="A921" s="20"/>
      <c r="B921" s="2"/>
      <c r="C921" s="2"/>
      <c r="D921" s="2"/>
    </row>
    <row r="922" spans="1:4" ht="12.75" customHeight="1" x14ac:dyDescent="0.2">
      <c r="A922" s="21"/>
      <c r="B922" s="3" t="s">
        <v>0</v>
      </c>
      <c r="C922" s="20" t="s">
        <v>134</v>
      </c>
      <c r="D922" s="21"/>
    </row>
    <row r="923" spans="1:4" ht="12.75" customHeight="1" x14ac:dyDescent="0.2">
      <c r="A923" s="21"/>
      <c r="B923" s="3" t="s">
        <v>2</v>
      </c>
      <c r="C923" s="20"/>
      <c r="D923" s="21"/>
    </row>
    <row r="924" spans="1:4" ht="12.75" customHeight="1" x14ac:dyDescent="0.2">
      <c r="A924" s="21"/>
      <c r="B924" s="3" t="s">
        <v>1840</v>
      </c>
      <c r="C924" s="20" t="s">
        <v>281</v>
      </c>
      <c r="D924" s="21"/>
    </row>
    <row r="925" spans="1:4" ht="12.75" customHeight="1" x14ac:dyDescent="0.2">
      <c r="A925" s="21"/>
      <c r="B925" s="3" t="s">
        <v>9</v>
      </c>
      <c r="C925" s="20" t="s">
        <v>626</v>
      </c>
      <c r="D925" s="21"/>
    </row>
    <row r="926" spans="1:4" ht="12.75" customHeight="1" x14ac:dyDescent="0.2">
      <c r="A926" s="21"/>
      <c r="B926" s="3" t="s">
        <v>11</v>
      </c>
      <c r="C926" s="20" t="s">
        <v>23</v>
      </c>
      <c r="D926" s="21"/>
    </row>
    <row r="927" spans="1:4" ht="12.75" customHeight="1" x14ac:dyDescent="0.2">
      <c r="A927" s="21"/>
      <c r="B927" s="3" t="s">
        <v>16</v>
      </c>
      <c r="C927" s="20"/>
      <c r="D927" s="21"/>
    </row>
    <row r="928" spans="1:4" ht="12.75" customHeight="1" x14ac:dyDescent="0.2">
      <c r="A928" s="21"/>
      <c r="B928" s="3" t="s">
        <v>17</v>
      </c>
      <c r="C928" s="20" t="s">
        <v>19</v>
      </c>
      <c r="D928" s="21"/>
    </row>
    <row r="929" spans="1:4" ht="25.5" customHeight="1" x14ac:dyDescent="0.2">
      <c r="A929" s="21"/>
      <c r="B929" s="20" t="s">
        <v>18</v>
      </c>
      <c r="C929" s="4" t="s">
        <v>44</v>
      </c>
      <c r="D929" s="6" t="str">
        <f>HYPERLINK("javascript:void(0)","gyémánt antigrav csizma")</f>
        <v>gyémánt antigrav csizma</v>
      </c>
    </row>
    <row r="930" spans="1:4" ht="12.75" customHeight="1" x14ac:dyDescent="0.2">
      <c r="A930" s="21"/>
      <c r="B930" s="21"/>
      <c r="C930" s="4" t="s">
        <v>139</v>
      </c>
      <c r="D930" s="6" t="str">
        <f>HYPERLINK("javascript:void(0)","űrlap")</f>
        <v>űrlap</v>
      </c>
    </row>
    <row r="931" spans="1:4" ht="12.75" customHeight="1" x14ac:dyDescent="0.2">
      <c r="A931" s="21"/>
      <c r="B931" s="21"/>
      <c r="C931" s="4" t="s">
        <v>130</v>
      </c>
      <c r="D931" s="6" t="str">
        <f>HYPERLINK("javascript:void(0)","szemgödör")</f>
        <v>szemgödör</v>
      </c>
    </row>
    <row r="932" spans="1:4" ht="12.75" customHeight="1" x14ac:dyDescent="0.2">
      <c r="A932" s="21"/>
      <c r="B932" s="2"/>
      <c r="C932" s="2"/>
      <c r="D932" s="2"/>
    </row>
    <row r="933" spans="1:4" ht="12.75" customHeight="1" x14ac:dyDescent="0.2">
      <c r="A933" s="21"/>
      <c r="B933" s="2"/>
      <c r="C933" s="2"/>
      <c r="D933" s="2"/>
    </row>
    <row r="934" spans="1:4" ht="12.75" customHeight="1" x14ac:dyDescent="0.2">
      <c r="A934" s="21"/>
      <c r="B934" s="2"/>
      <c r="C934" s="2"/>
      <c r="D934" s="2"/>
    </row>
    <row r="935" spans="1:4" ht="12.75" customHeight="1" x14ac:dyDescent="0.2">
      <c r="A935" s="21"/>
      <c r="B935" s="2"/>
      <c r="C935" s="2"/>
      <c r="D935" s="2"/>
    </row>
    <row r="936" spans="1:4" ht="12.75" customHeight="1" x14ac:dyDescent="0.2">
      <c r="A936" s="5"/>
      <c r="B936" s="2"/>
      <c r="C936" s="2"/>
      <c r="D936" s="2"/>
    </row>
    <row r="937" spans="1:4" ht="12.75" customHeight="1" x14ac:dyDescent="0.2">
      <c r="A937" s="22" t="str">
        <f>HYPERLINK("javascript:void(0)","gyémánt saru")</f>
        <v>gyémánt saru</v>
      </c>
      <c r="B937" s="21"/>
      <c r="C937" s="21"/>
      <c r="D937" s="21"/>
    </row>
    <row r="938" spans="1:4" ht="12.75" customHeight="1" x14ac:dyDescent="0.2">
      <c r="A938" s="20"/>
      <c r="B938" s="2"/>
      <c r="C938" s="2"/>
      <c r="D938" s="2"/>
    </row>
    <row r="939" spans="1:4" ht="12.75" customHeight="1" x14ac:dyDescent="0.2">
      <c r="A939" s="21"/>
      <c r="B939" s="3" t="s">
        <v>0</v>
      </c>
      <c r="C939" s="20" t="s">
        <v>134</v>
      </c>
      <c r="D939" s="21"/>
    </row>
    <row r="940" spans="1:4" ht="12.75" customHeight="1" x14ac:dyDescent="0.2">
      <c r="A940" s="21"/>
      <c r="B940" s="3" t="s">
        <v>2</v>
      </c>
      <c r="C940" s="20"/>
      <c r="D940" s="21"/>
    </row>
    <row r="941" spans="1:4" ht="12.75" customHeight="1" x14ac:dyDescent="0.2">
      <c r="A941" s="21"/>
      <c r="B941" s="3" t="s">
        <v>1840</v>
      </c>
      <c r="C941" s="20" t="s">
        <v>953</v>
      </c>
      <c r="D941" s="21"/>
    </row>
    <row r="942" spans="1:4" ht="12.75" customHeight="1" x14ac:dyDescent="0.2">
      <c r="A942" s="21"/>
      <c r="B942" s="3" t="s">
        <v>9</v>
      </c>
      <c r="C942" s="20" t="s">
        <v>27</v>
      </c>
      <c r="D942" s="21"/>
    </row>
    <row r="943" spans="1:4" ht="12.75" customHeight="1" x14ac:dyDescent="0.2">
      <c r="A943" s="21"/>
      <c r="B943" s="3" t="s">
        <v>11</v>
      </c>
      <c r="C943" s="20" t="s">
        <v>536</v>
      </c>
      <c r="D943" s="21"/>
    </row>
    <row r="944" spans="1:4" ht="12.75" customHeight="1" x14ac:dyDescent="0.2">
      <c r="A944" s="21"/>
      <c r="B944" s="3" t="s">
        <v>16</v>
      </c>
      <c r="C944" s="20"/>
      <c r="D944" s="21"/>
    </row>
    <row r="945" spans="1:4" ht="12.75" customHeight="1" x14ac:dyDescent="0.2">
      <c r="A945" s="21"/>
      <c r="B945" s="3" t="s">
        <v>17</v>
      </c>
      <c r="C945" s="20" t="s">
        <v>19</v>
      </c>
      <c r="D945" s="21"/>
    </row>
    <row r="946" spans="1:4" ht="12.75" customHeight="1" x14ac:dyDescent="0.2">
      <c r="A946" s="21"/>
      <c r="B946" s="20" t="s">
        <v>18</v>
      </c>
      <c r="C946" s="4" t="s">
        <v>67</v>
      </c>
      <c r="D946" s="6" t="str">
        <f>HYPERLINK("javascript:void(0)","rotorlapát")</f>
        <v>rotorlapát</v>
      </c>
    </row>
    <row r="947" spans="1:4" ht="12.75" customHeight="1" x14ac:dyDescent="0.2">
      <c r="A947" s="21"/>
      <c r="B947" s="21"/>
      <c r="C947" s="4" t="s">
        <v>67</v>
      </c>
      <c r="D947" s="6" t="str">
        <f>HYPERLINK("javascript:void(0)","csigaház")</f>
        <v>csigaház</v>
      </c>
    </row>
    <row r="948" spans="1:4" ht="12.75" customHeight="1" x14ac:dyDescent="0.2">
      <c r="A948" s="21"/>
      <c r="B948" s="21"/>
      <c r="C948" s="4" t="s">
        <v>244</v>
      </c>
      <c r="D948" s="6" t="str">
        <f>HYPERLINK("javascript:void(0)","göb")</f>
        <v>göb</v>
      </c>
    </row>
    <row r="949" spans="1:4" ht="12.75" customHeight="1" x14ac:dyDescent="0.2">
      <c r="A949" s="21"/>
      <c r="B949" s="2"/>
      <c r="C949" s="2"/>
      <c r="D949" s="2"/>
    </row>
    <row r="950" spans="1:4" ht="12.75" customHeight="1" x14ac:dyDescent="0.2">
      <c r="A950" s="21"/>
      <c r="B950" s="2"/>
      <c r="C950" s="2"/>
      <c r="D950" s="2"/>
    </row>
    <row r="951" spans="1:4" ht="12.75" customHeight="1" x14ac:dyDescent="0.2">
      <c r="A951" s="21"/>
      <c r="B951" s="2"/>
      <c r="C951" s="2"/>
      <c r="D951" s="2"/>
    </row>
    <row r="952" spans="1:4" ht="12.75" customHeight="1" x14ac:dyDescent="0.2">
      <c r="A952" s="21"/>
      <c r="B952" s="2"/>
      <c r="C952" s="2"/>
      <c r="D952" s="2"/>
    </row>
    <row r="953" spans="1:4" ht="12.75" customHeight="1" x14ac:dyDescent="0.2">
      <c r="A953" s="5"/>
      <c r="B953" s="2"/>
      <c r="C953" s="2"/>
      <c r="D953" s="2"/>
    </row>
    <row r="954" spans="1:4" ht="12.75" customHeight="1" x14ac:dyDescent="0.2">
      <c r="A954" s="22" t="str">
        <f>HYPERLINK("javascript:void(0)","csillámcsizma")</f>
        <v>csillámcsizma</v>
      </c>
      <c r="B954" s="21"/>
      <c r="C954" s="21"/>
      <c r="D954" s="21"/>
    </row>
    <row r="955" spans="1:4" ht="12.75" customHeight="1" x14ac:dyDescent="0.2">
      <c r="A955" s="20"/>
      <c r="B955" s="2"/>
      <c r="C955" s="2"/>
      <c r="D955" s="2"/>
    </row>
    <row r="956" spans="1:4" ht="12.75" customHeight="1" x14ac:dyDescent="0.2">
      <c r="A956" s="21"/>
      <c r="B956" s="3" t="s">
        <v>0</v>
      </c>
      <c r="C956" s="20" t="s">
        <v>134</v>
      </c>
      <c r="D956" s="21"/>
    </row>
    <row r="957" spans="1:4" ht="12.75" customHeight="1" x14ac:dyDescent="0.2">
      <c r="A957" s="21"/>
      <c r="B957" s="3" t="s">
        <v>2</v>
      </c>
      <c r="C957" s="20"/>
      <c r="D957" s="21"/>
    </row>
    <row r="958" spans="1:4" ht="12.75" customHeight="1" x14ac:dyDescent="0.2">
      <c r="A958" s="21"/>
      <c r="B958" s="3" t="s">
        <v>1840</v>
      </c>
      <c r="C958" s="20" t="s">
        <v>99</v>
      </c>
      <c r="D958" s="21"/>
    </row>
    <row r="959" spans="1:4" ht="12.75" customHeight="1" x14ac:dyDescent="0.2">
      <c r="A959" s="21"/>
      <c r="B959" s="3" t="s">
        <v>9</v>
      </c>
      <c r="C959" s="20" t="s">
        <v>1986</v>
      </c>
      <c r="D959" s="21"/>
    </row>
    <row r="960" spans="1:4" ht="12.75" customHeight="1" x14ac:dyDescent="0.2">
      <c r="A960" s="21"/>
      <c r="B960" s="3" t="s">
        <v>11</v>
      </c>
      <c r="C960" s="20" t="s">
        <v>536</v>
      </c>
      <c r="D960" s="21"/>
    </row>
    <row r="961" spans="1:4" ht="12.75" customHeight="1" x14ac:dyDescent="0.2">
      <c r="A961" s="21"/>
      <c r="B961" s="3" t="s">
        <v>16</v>
      </c>
      <c r="C961" s="20"/>
      <c r="D961" s="21"/>
    </row>
    <row r="962" spans="1:4" ht="12.75" customHeight="1" x14ac:dyDescent="0.2">
      <c r="A962" s="21"/>
      <c r="B962" s="3" t="s">
        <v>17</v>
      </c>
      <c r="C962" s="20" t="s">
        <v>19</v>
      </c>
      <c r="D962" s="21"/>
    </row>
    <row r="963" spans="1:4" ht="12.75" customHeight="1" x14ac:dyDescent="0.2">
      <c r="A963" s="21"/>
      <c r="B963" s="20" t="s">
        <v>18</v>
      </c>
      <c r="C963" s="4" t="s">
        <v>57</v>
      </c>
      <c r="D963" s="6" t="str">
        <f>HYPERLINK("javascript:void(0)","csillámgöb")</f>
        <v>csillámgöb</v>
      </c>
    </row>
    <row r="964" spans="1:4" ht="12.75" customHeight="1" x14ac:dyDescent="0.2">
      <c r="A964" s="21"/>
      <c r="B964" s="21"/>
      <c r="C964" s="4" t="s">
        <v>44</v>
      </c>
      <c r="D964" s="6" t="str">
        <f>HYPERLINK("javascript:void(0)","csillámos kiscsizma")</f>
        <v>csillámos kiscsizma</v>
      </c>
    </row>
    <row r="965" spans="1:4" ht="12.75" customHeight="1" x14ac:dyDescent="0.2">
      <c r="A965" s="21"/>
      <c r="B965" s="21"/>
      <c r="C965" s="4" t="s">
        <v>280</v>
      </c>
      <c r="D965" s="6" t="str">
        <f>HYPERLINK("javascript:void(0)","grifftoll")</f>
        <v>grifftoll</v>
      </c>
    </row>
    <row r="966" spans="1:4" ht="12.75" customHeight="1" x14ac:dyDescent="0.2">
      <c r="A966" s="21"/>
      <c r="B966" s="2"/>
      <c r="C966" s="2"/>
      <c r="D966" s="2"/>
    </row>
    <row r="967" spans="1:4" ht="12.75" customHeight="1" x14ac:dyDescent="0.2">
      <c r="A967" s="21"/>
      <c r="B967" s="2"/>
      <c r="C967" s="2"/>
      <c r="D967" s="2"/>
    </row>
    <row r="968" spans="1:4" ht="12.75" customHeight="1" x14ac:dyDescent="0.2">
      <c r="A968" s="21"/>
      <c r="B968" s="2"/>
      <c r="C968" s="2"/>
      <c r="D968" s="2"/>
    </row>
    <row r="969" spans="1:4" ht="12.75" customHeight="1" x14ac:dyDescent="0.2">
      <c r="A969" s="21"/>
      <c r="B969" s="2"/>
      <c r="C969" s="2"/>
      <c r="D969" s="2"/>
    </row>
    <row r="970" spans="1:4" ht="12.75" customHeight="1" x14ac:dyDescent="0.2">
      <c r="A970" s="5"/>
      <c r="B970" s="2"/>
      <c r="C970" s="2"/>
      <c r="D970" s="2"/>
    </row>
    <row r="971" spans="1:4" ht="12.75" customHeight="1" x14ac:dyDescent="0.2">
      <c r="A971" s="22" t="str">
        <f>HYPERLINK("javascript:void(0)","diszpro saru")</f>
        <v>diszpro saru</v>
      </c>
      <c r="B971" s="21"/>
      <c r="C971" s="21"/>
      <c r="D971" s="21"/>
    </row>
    <row r="972" spans="1:4" ht="12.75" customHeight="1" x14ac:dyDescent="0.2">
      <c r="A972" s="20"/>
      <c r="B972" s="2"/>
      <c r="C972" s="2"/>
      <c r="D972" s="2"/>
    </row>
    <row r="973" spans="1:4" ht="12.75" customHeight="1" x14ac:dyDescent="0.2">
      <c r="A973" s="21"/>
      <c r="B973" s="3" t="s">
        <v>0</v>
      </c>
      <c r="C973" s="20" t="s">
        <v>376</v>
      </c>
      <c r="D973" s="21"/>
    </row>
    <row r="974" spans="1:4" ht="12.75" customHeight="1" x14ac:dyDescent="0.2">
      <c r="A974" s="21"/>
      <c r="B974" s="3" t="s">
        <v>2</v>
      </c>
      <c r="C974" s="20"/>
      <c r="D974" s="21"/>
    </row>
    <row r="975" spans="1:4" ht="12.75" customHeight="1" x14ac:dyDescent="0.2">
      <c r="A975" s="21"/>
      <c r="B975" s="3" t="s">
        <v>1840</v>
      </c>
      <c r="C975" s="20" t="s">
        <v>978</v>
      </c>
      <c r="D975" s="21"/>
    </row>
    <row r="976" spans="1:4" ht="12.75" customHeight="1" x14ac:dyDescent="0.2">
      <c r="A976" s="21"/>
      <c r="B976" s="3" t="s">
        <v>9</v>
      </c>
      <c r="C976" s="20" t="s">
        <v>84</v>
      </c>
      <c r="D976" s="21"/>
    </row>
    <row r="977" spans="1:4" ht="12.75" customHeight="1" x14ac:dyDescent="0.2">
      <c r="A977" s="21"/>
      <c r="B977" s="3" t="s">
        <v>11</v>
      </c>
      <c r="C977" s="20" t="s">
        <v>542</v>
      </c>
      <c r="D977" s="21"/>
    </row>
    <row r="978" spans="1:4" ht="12.75" customHeight="1" x14ac:dyDescent="0.2">
      <c r="A978" s="21"/>
      <c r="B978" s="3" t="s">
        <v>16</v>
      </c>
      <c r="C978" s="20"/>
      <c r="D978" s="21"/>
    </row>
    <row r="979" spans="1:4" ht="12.75" customHeight="1" x14ac:dyDescent="0.2">
      <c r="A979" s="21"/>
      <c r="B979" s="3" t="s">
        <v>17</v>
      </c>
      <c r="C979" s="20" t="s">
        <v>19</v>
      </c>
      <c r="D979" s="21"/>
    </row>
    <row r="980" spans="1:4" ht="12.75" customHeight="1" x14ac:dyDescent="0.2">
      <c r="A980" s="21"/>
      <c r="B980" s="20" t="s">
        <v>18</v>
      </c>
      <c r="C980" s="4" t="s">
        <v>44</v>
      </c>
      <c r="D980" s="6" t="str">
        <f>HYPERLINK("javascript:void(0)","rubin saru")</f>
        <v>rubin saru</v>
      </c>
    </row>
    <row r="981" spans="1:4" ht="12.75" customHeight="1" x14ac:dyDescent="0.2">
      <c r="A981" s="21"/>
      <c r="B981" s="21"/>
      <c r="C981" s="4" t="s">
        <v>44</v>
      </c>
      <c r="D981" s="6" t="str">
        <f>HYPERLINK("javascript:void(0)","gyémánt saru")</f>
        <v>gyémánt saru</v>
      </c>
    </row>
    <row r="982" spans="1:4" ht="12.75" customHeight="1" x14ac:dyDescent="0.2">
      <c r="A982" s="21"/>
      <c r="B982" s="21"/>
      <c r="C982" s="4" t="s">
        <v>232</v>
      </c>
      <c r="D982" s="6" t="str">
        <f>HYPERLINK("javascript:void(0)","homokóra")</f>
        <v>homokóra</v>
      </c>
    </row>
    <row r="983" spans="1:4" ht="12.75" customHeight="1" x14ac:dyDescent="0.2">
      <c r="A983" s="21"/>
      <c r="B983" s="2"/>
      <c r="C983" s="2"/>
      <c r="D983" s="2"/>
    </row>
    <row r="984" spans="1:4" ht="12.75" customHeight="1" x14ac:dyDescent="0.2">
      <c r="A984" s="21"/>
      <c r="B984" s="2"/>
      <c r="C984" s="2"/>
      <c r="D984" s="2"/>
    </row>
    <row r="985" spans="1:4" ht="12.75" customHeight="1" x14ac:dyDescent="0.2">
      <c r="A985" s="21"/>
      <c r="B985" s="2"/>
      <c r="C985" s="2"/>
      <c r="D985" s="2"/>
    </row>
    <row r="986" spans="1:4" ht="12.75" customHeight="1" x14ac:dyDescent="0.2">
      <c r="A986" s="21"/>
      <c r="B986" s="2"/>
      <c r="C986" s="2"/>
      <c r="D986" s="2"/>
    </row>
    <row r="987" spans="1:4" ht="12.75" customHeight="1" x14ac:dyDescent="0.2">
      <c r="A987" s="5"/>
      <c r="B987" s="2"/>
      <c r="C987" s="2"/>
      <c r="D987" s="2"/>
    </row>
    <row r="988" spans="1:4" ht="12.75" customHeight="1" x14ac:dyDescent="0.2">
      <c r="A988" s="22" t="str">
        <f>HYPERLINK("javascript:void(0)","hidracél saru")</f>
        <v>hidracél saru</v>
      </c>
      <c r="B988" s="21"/>
      <c r="C988" s="21"/>
      <c r="D988" s="21"/>
    </row>
    <row r="989" spans="1:4" ht="12.75" customHeight="1" x14ac:dyDescent="0.2">
      <c r="A989" s="20"/>
      <c r="B989" s="2"/>
      <c r="C989" s="2"/>
      <c r="D989" s="2"/>
    </row>
    <row r="990" spans="1:4" ht="12.75" customHeight="1" x14ac:dyDescent="0.2">
      <c r="A990" s="21"/>
      <c r="B990" s="3" t="s">
        <v>0</v>
      </c>
      <c r="C990" s="20" t="s">
        <v>60</v>
      </c>
      <c r="D990" s="21"/>
    </row>
    <row r="991" spans="1:4" ht="12.75" customHeight="1" x14ac:dyDescent="0.2">
      <c r="A991" s="21"/>
      <c r="B991" s="3" t="s">
        <v>2</v>
      </c>
      <c r="C991" s="20"/>
      <c r="D991" s="21"/>
    </row>
    <row r="992" spans="1:4" ht="12.75" customHeight="1" x14ac:dyDescent="0.2">
      <c r="A992" s="21"/>
      <c r="B992" s="3" t="s">
        <v>1840</v>
      </c>
      <c r="C992" s="20" t="s">
        <v>1012</v>
      </c>
      <c r="D992" s="21"/>
    </row>
    <row r="993" spans="1:4" ht="12.75" customHeight="1" x14ac:dyDescent="0.2">
      <c r="A993" s="21"/>
      <c r="B993" s="3" t="s">
        <v>9</v>
      </c>
      <c r="C993" s="20" t="s">
        <v>93</v>
      </c>
      <c r="D993" s="21"/>
    </row>
    <row r="994" spans="1:4" ht="12.75" customHeight="1" x14ac:dyDescent="0.2">
      <c r="A994" s="21"/>
      <c r="B994" s="3" t="s">
        <v>11</v>
      </c>
      <c r="C994" s="20" t="s">
        <v>552</v>
      </c>
      <c r="D994" s="21"/>
    </row>
    <row r="995" spans="1:4" ht="12.75" customHeight="1" x14ac:dyDescent="0.2">
      <c r="A995" s="21"/>
      <c r="B995" s="3" t="s">
        <v>16</v>
      </c>
      <c r="C995" s="20"/>
      <c r="D995" s="21"/>
    </row>
    <row r="996" spans="1:4" ht="12.75" customHeight="1" x14ac:dyDescent="0.2">
      <c r="A996" s="21"/>
      <c r="B996" s="3" t="s">
        <v>17</v>
      </c>
      <c r="C996" s="20" t="s">
        <v>19</v>
      </c>
      <c r="D996" s="21"/>
    </row>
    <row r="997" spans="1:4" ht="12.75" customHeight="1" x14ac:dyDescent="0.2">
      <c r="A997" s="21"/>
      <c r="B997" s="20" t="s">
        <v>18</v>
      </c>
      <c r="C997" s="4" t="s">
        <v>44</v>
      </c>
      <c r="D997" s="6" t="str">
        <f>HYPERLINK("javascript:void(0)","diszpro saru")</f>
        <v>diszpro saru</v>
      </c>
    </row>
    <row r="998" spans="1:4" ht="12.75" customHeight="1" x14ac:dyDescent="0.2">
      <c r="A998" s="21"/>
      <c r="B998" s="21"/>
      <c r="C998" s="4" t="s">
        <v>77</v>
      </c>
      <c r="D998" s="6" t="str">
        <f>HYPERLINK("javascript:void(0)","horog")</f>
        <v>horog</v>
      </c>
    </row>
    <row r="999" spans="1:4" ht="12.75" customHeight="1" x14ac:dyDescent="0.2">
      <c r="A999" s="21"/>
      <c r="B999" s="21"/>
      <c r="C999" s="4" t="s">
        <v>117</v>
      </c>
      <c r="D999" s="6" t="str">
        <f>HYPERLINK("javascript:void(0)","csigaház")</f>
        <v>csigaház</v>
      </c>
    </row>
    <row r="1000" spans="1:4" ht="12.75" customHeight="1" x14ac:dyDescent="0.2">
      <c r="A1000" s="21"/>
      <c r="B1000" s="2"/>
      <c r="C1000" s="2"/>
      <c r="D1000" s="2"/>
    </row>
    <row r="1001" spans="1:4" ht="12.75" customHeight="1" x14ac:dyDescent="0.2">
      <c r="A1001" s="21"/>
      <c r="B1001" s="2"/>
      <c r="C1001" s="2"/>
      <c r="D1001" s="2"/>
    </row>
    <row r="1002" spans="1:4" ht="12.75" customHeight="1" x14ac:dyDescent="0.2">
      <c r="A1002" s="21"/>
      <c r="B1002" s="2"/>
      <c r="C1002" s="2"/>
      <c r="D1002" s="2"/>
    </row>
    <row r="1003" spans="1:4" ht="12.75" customHeight="1" x14ac:dyDescent="0.2">
      <c r="A1003" s="21"/>
      <c r="B1003" s="2"/>
      <c r="C1003" s="2"/>
      <c r="D1003" s="2"/>
    </row>
    <row r="1004" spans="1:4" ht="12.75" customHeight="1" x14ac:dyDescent="0.2">
      <c r="A1004" s="5"/>
      <c r="B1004" s="2"/>
      <c r="C1004" s="2"/>
      <c r="D1004" s="2"/>
    </row>
    <row r="1005" spans="1:4" ht="12.75" customHeight="1" x14ac:dyDescent="0.2">
      <c r="A1005" s="22" t="str">
        <f>HYPERLINK("javascript:void(0)","kithrill saru")</f>
        <v>kithrill saru</v>
      </c>
      <c r="B1005" s="21"/>
      <c r="C1005" s="21"/>
      <c r="D1005" s="21"/>
    </row>
    <row r="1006" spans="1:4" ht="12.75" customHeight="1" x14ac:dyDescent="0.2">
      <c r="A1006" s="20"/>
      <c r="B1006" s="2"/>
      <c r="C1006" s="2"/>
      <c r="D1006" s="2"/>
    </row>
    <row r="1007" spans="1:4" ht="12.75" customHeight="1" x14ac:dyDescent="0.2">
      <c r="A1007" s="21"/>
      <c r="B1007" s="3" t="s">
        <v>0</v>
      </c>
      <c r="C1007" s="20" t="s">
        <v>167</v>
      </c>
      <c r="D1007" s="21"/>
    </row>
    <row r="1008" spans="1:4" ht="12.75" customHeight="1" x14ac:dyDescent="0.2">
      <c r="A1008" s="21"/>
      <c r="B1008" s="3" t="s">
        <v>2</v>
      </c>
      <c r="C1008" s="20"/>
      <c r="D1008" s="21"/>
    </row>
    <row r="1009" spans="1:4" ht="12.75" customHeight="1" x14ac:dyDescent="0.2">
      <c r="A1009" s="21"/>
      <c r="B1009" s="3" t="s">
        <v>1840</v>
      </c>
      <c r="C1009" s="20" t="s">
        <v>99</v>
      </c>
      <c r="D1009" s="21"/>
    </row>
    <row r="1010" spans="1:4" ht="12.75" customHeight="1" x14ac:dyDescent="0.2">
      <c r="A1010" s="21"/>
      <c r="B1010" s="3" t="s">
        <v>9</v>
      </c>
      <c r="C1010" s="20" t="s">
        <v>30</v>
      </c>
      <c r="D1010" s="21"/>
    </row>
    <row r="1011" spans="1:4" ht="12.75" customHeight="1" x14ac:dyDescent="0.2">
      <c r="A1011" s="21"/>
      <c r="B1011" s="3" t="s">
        <v>11</v>
      </c>
      <c r="C1011" s="20" t="s">
        <v>566</v>
      </c>
      <c r="D1011" s="21"/>
    </row>
    <row r="1012" spans="1:4" ht="12.75" customHeight="1" x14ac:dyDescent="0.2">
      <c r="A1012" s="21"/>
      <c r="B1012" s="3" t="s">
        <v>16</v>
      </c>
      <c r="C1012" s="20"/>
      <c r="D1012" s="21"/>
    </row>
    <row r="1013" spans="1:4" ht="12.75" customHeight="1" x14ac:dyDescent="0.2">
      <c r="A1013" s="21"/>
      <c r="B1013" s="3" t="s">
        <v>17</v>
      </c>
      <c r="C1013" s="20" t="s">
        <v>19</v>
      </c>
      <c r="D1013" s="21"/>
    </row>
    <row r="1014" spans="1:4" ht="12.75" customHeight="1" x14ac:dyDescent="0.2">
      <c r="A1014" s="21"/>
      <c r="B1014" s="20" t="s">
        <v>18</v>
      </c>
      <c r="C1014" s="4" t="s">
        <v>77</v>
      </c>
      <c r="D1014" s="6" t="str">
        <f>HYPERLINK("javascript:void(0)","morfige")</f>
        <v>morfige</v>
      </c>
    </row>
    <row r="1015" spans="1:4" ht="12.75" customHeight="1" x14ac:dyDescent="0.2">
      <c r="A1015" s="21"/>
      <c r="B1015" s="21"/>
      <c r="C1015" s="4" t="s">
        <v>117</v>
      </c>
      <c r="D1015" s="6" t="str">
        <f>HYPERLINK("javascript:void(0)","űrlap")</f>
        <v>űrlap</v>
      </c>
    </row>
    <row r="1016" spans="1:4" ht="12.75" customHeight="1" x14ac:dyDescent="0.2">
      <c r="A1016" s="21"/>
      <c r="B1016" s="21"/>
      <c r="C1016" s="4" t="s">
        <v>244</v>
      </c>
      <c r="D1016" s="6" t="str">
        <f>HYPERLINK("javascript:void(0)","manókoponya")</f>
        <v>manókoponya</v>
      </c>
    </row>
    <row r="1017" spans="1:4" ht="12.75" customHeight="1" x14ac:dyDescent="0.2">
      <c r="A1017" s="21"/>
      <c r="B1017" s="2"/>
      <c r="C1017" s="2"/>
      <c r="D1017" s="2"/>
    </row>
    <row r="1018" spans="1:4" ht="12.75" customHeight="1" x14ac:dyDescent="0.2">
      <c r="A1018" s="21"/>
      <c r="B1018" s="2"/>
      <c r="C1018" s="2"/>
      <c r="D1018" s="2"/>
    </row>
    <row r="1019" spans="1:4" ht="12.75" customHeight="1" x14ac:dyDescent="0.2">
      <c r="A1019" s="21"/>
      <c r="B1019" s="2"/>
      <c r="C1019" s="2"/>
      <c r="D1019" s="2"/>
    </row>
    <row r="1020" spans="1:4" ht="12.75" customHeight="1" x14ac:dyDescent="0.2">
      <c r="A1020" s="21"/>
      <c r="B1020" s="2"/>
      <c r="C1020" s="2"/>
      <c r="D1020" s="2"/>
    </row>
    <row r="1021" spans="1:4" ht="12.75" customHeight="1" x14ac:dyDescent="0.2">
      <c r="A1021" s="5"/>
      <c r="B1021" s="2"/>
      <c r="C1021" s="2"/>
      <c r="D1021" s="2"/>
    </row>
    <row r="1022" spans="1:4" ht="12.75" customHeight="1" x14ac:dyDescent="0.2">
      <c r="A1022" s="22" t="str">
        <f>HYPERLINK("javascript:void(0)","kithrill antigrav csizma")</f>
        <v>kithrill antigrav csizma</v>
      </c>
      <c r="B1022" s="21"/>
      <c r="C1022" s="21"/>
      <c r="D1022" s="21"/>
    </row>
    <row r="1023" spans="1:4" ht="12.75" customHeight="1" x14ac:dyDescent="0.2">
      <c r="A1023" s="20"/>
      <c r="B1023" s="2"/>
      <c r="C1023" s="2"/>
      <c r="D1023" s="2"/>
    </row>
    <row r="1024" spans="1:4" ht="12.75" customHeight="1" x14ac:dyDescent="0.2">
      <c r="A1024" s="21"/>
      <c r="B1024" s="3" t="s">
        <v>0</v>
      </c>
      <c r="C1024" s="20" t="s">
        <v>167</v>
      </c>
      <c r="D1024" s="21"/>
    </row>
    <row r="1025" spans="1:4" ht="12.75" customHeight="1" x14ac:dyDescent="0.2">
      <c r="A1025" s="21"/>
      <c r="B1025" s="3" t="s">
        <v>2</v>
      </c>
      <c r="C1025" s="20"/>
      <c r="D1025" s="21"/>
    </row>
    <row r="1026" spans="1:4" ht="12.75" customHeight="1" x14ac:dyDescent="0.2">
      <c r="A1026" s="21"/>
      <c r="B1026" s="3" t="s">
        <v>1840</v>
      </c>
      <c r="C1026" s="20" t="s">
        <v>905</v>
      </c>
      <c r="D1026" s="21"/>
    </row>
    <row r="1027" spans="1:4" ht="12.75" customHeight="1" x14ac:dyDescent="0.2">
      <c r="A1027" s="21"/>
      <c r="B1027" s="3" t="s">
        <v>9</v>
      </c>
      <c r="C1027" s="20" t="s">
        <v>626</v>
      </c>
      <c r="D1027" s="21"/>
    </row>
    <row r="1028" spans="1:4" ht="12.75" customHeight="1" x14ac:dyDescent="0.2">
      <c r="A1028" s="21"/>
      <c r="B1028" s="3" t="s">
        <v>11</v>
      </c>
      <c r="C1028" s="20" t="s">
        <v>23</v>
      </c>
      <c r="D1028" s="21"/>
    </row>
    <row r="1029" spans="1:4" ht="12.75" customHeight="1" x14ac:dyDescent="0.2">
      <c r="A1029" s="21"/>
      <c r="B1029" s="3" t="s">
        <v>16</v>
      </c>
      <c r="C1029" s="20"/>
      <c r="D1029" s="21"/>
    </row>
    <row r="1030" spans="1:4" ht="12.75" customHeight="1" x14ac:dyDescent="0.2">
      <c r="A1030" s="21"/>
      <c r="B1030" s="3" t="s">
        <v>17</v>
      </c>
      <c r="C1030" s="20" t="s">
        <v>19</v>
      </c>
      <c r="D1030" s="21"/>
    </row>
    <row r="1031" spans="1:4" ht="25.5" customHeight="1" x14ac:dyDescent="0.2">
      <c r="A1031" s="21"/>
      <c r="B1031" s="20" t="s">
        <v>18</v>
      </c>
      <c r="C1031" s="4" t="s">
        <v>44</v>
      </c>
      <c r="D1031" s="6" t="str">
        <f>HYPERLINK("javascript:void(0)","diszpro antigrav csizma")</f>
        <v>diszpro antigrav csizma</v>
      </c>
    </row>
    <row r="1032" spans="1:4" ht="12.75" customHeight="1" x14ac:dyDescent="0.2">
      <c r="A1032" s="21"/>
      <c r="B1032" s="21"/>
      <c r="C1032" s="4" t="s">
        <v>139</v>
      </c>
      <c r="D1032" s="6" t="str">
        <f>HYPERLINK("javascript:void(0)","igeidő")</f>
        <v>igeidő</v>
      </c>
    </row>
    <row r="1033" spans="1:4" ht="12.75" customHeight="1" x14ac:dyDescent="0.2">
      <c r="A1033" s="21"/>
      <c r="B1033" s="21"/>
      <c r="C1033" s="4" t="s">
        <v>139</v>
      </c>
      <c r="D1033" s="6" t="str">
        <f>HYPERLINK("javascript:void(0)","homokóra")</f>
        <v>homokóra</v>
      </c>
    </row>
    <row r="1034" spans="1:4" ht="12.75" customHeight="1" x14ac:dyDescent="0.2">
      <c r="A1034" s="21"/>
      <c r="B1034" s="2"/>
      <c r="C1034" s="2"/>
      <c r="D1034" s="2"/>
    </row>
    <row r="1035" spans="1:4" ht="12.75" customHeight="1" x14ac:dyDescent="0.2">
      <c r="A1035" s="21"/>
      <c r="B1035" s="2"/>
      <c r="C1035" s="2"/>
      <c r="D1035" s="2"/>
    </row>
    <row r="1036" spans="1:4" ht="12.75" customHeight="1" x14ac:dyDescent="0.2">
      <c r="A1036" s="21"/>
      <c r="B1036" s="2"/>
      <c r="C1036" s="2"/>
      <c r="D1036" s="2"/>
    </row>
    <row r="1037" spans="1:4" ht="12.75" customHeight="1" x14ac:dyDescent="0.2">
      <c r="A1037" s="21"/>
      <c r="B1037" s="2"/>
      <c r="C1037" s="2"/>
      <c r="D1037" s="2"/>
    </row>
    <row r="1038" spans="1:4" ht="12.75" customHeight="1" x14ac:dyDescent="0.2">
      <c r="A1038" s="5"/>
      <c r="B1038" s="2"/>
      <c r="C1038" s="2"/>
      <c r="D1038" s="2"/>
    </row>
    <row r="1039" spans="1:4" ht="12.75" customHeight="1" x14ac:dyDescent="0.2">
      <c r="A1039" s="22" t="str">
        <f>HYPERLINK("javascript:void(0)","démonacél saru")</f>
        <v>démonacél saru</v>
      </c>
      <c r="B1039" s="21"/>
      <c r="C1039" s="21"/>
      <c r="D1039" s="21"/>
    </row>
    <row r="1040" spans="1:4" ht="12.75" customHeight="1" x14ac:dyDescent="0.2">
      <c r="A1040" s="20"/>
      <c r="B1040" s="2"/>
      <c r="C1040" s="2"/>
      <c r="D1040" s="2"/>
    </row>
    <row r="1041" spans="1:4" ht="12.75" customHeight="1" x14ac:dyDescent="0.2">
      <c r="A1041" s="21"/>
      <c r="B1041" s="3" t="s">
        <v>0</v>
      </c>
      <c r="C1041" s="20" t="s">
        <v>532</v>
      </c>
      <c r="D1041" s="21"/>
    </row>
    <row r="1042" spans="1:4" ht="12.75" customHeight="1" x14ac:dyDescent="0.2">
      <c r="A1042" s="21"/>
      <c r="B1042" s="3" t="s">
        <v>2</v>
      </c>
      <c r="C1042" s="20"/>
      <c r="D1042" s="21"/>
    </row>
    <row r="1043" spans="1:4" ht="12.75" customHeight="1" x14ac:dyDescent="0.2">
      <c r="A1043" s="21"/>
      <c r="B1043" s="3" t="s">
        <v>1840</v>
      </c>
      <c r="C1043" s="20" t="s">
        <v>95</v>
      </c>
      <c r="D1043" s="21"/>
    </row>
    <row r="1044" spans="1:4" ht="12.75" customHeight="1" x14ac:dyDescent="0.2">
      <c r="A1044" s="21"/>
      <c r="B1044" s="3" t="s">
        <v>9</v>
      </c>
      <c r="C1044" s="20" t="s">
        <v>42</v>
      </c>
      <c r="D1044" s="21"/>
    </row>
    <row r="1045" spans="1:4" ht="12.75" customHeight="1" x14ac:dyDescent="0.2">
      <c r="A1045" s="21"/>
      <c r="B1045" s="3" t="s">
        <v>11</v>
      </c>
      <c r="C1045" s="20" t="s">
        <v>587</v>
      </c>
      <c r="D1045" s="21"/>
    </row>
    <row r="1046" spans="1:4" ht="12.75" customHeight="1" x14ac:dyDescent="0.2">
      <c r="A1046" s="21"/>
      <c r="B1046" s="3" t="s">
        <v>16</v>
      </c>
      <c r="C1046" s="20"/>
      <c r="D1046" s="21"/>
    </row>
    <row r="1047" spans="1:4" ht="12.75" customHeight="1" x14ac:dyDescent="0.2">
      <c r="A1047" s="21"/>
      <c r="B1047" s="3" t="s">
        <v>17</v>
      </c>
      <c r="C1047" s="20" t="s">
        <v>19</v>
      </c>
      <c r="D1047" s="21"/>
    </row>
    <row r="1048" spans="1:4" ht="12.75" customHeight="1" x14ac:dyDescent="0.2">
      <c r="A1048" s="21"/>
      <c r="B1048" s="20" t="s">
        <v>18</v>
      </c>
      <c r="C1048" s="4" t="s">
        <v>44</v>
      </c>
      <c r="D1048" s="6" t="str">
        <f>HYPERLINK("javascript:void(0)","hidracél saru")</f>
        <v>hidracél saru</v>
      </c>
    </row>
    <row r="1049" spans="1:4" ht="12.75" customHeight="1" x14ac:dyDescent="0.2">
      <c r="A1049" s="21"/>
      <c r="B1049" s="21"/>
      <c r="C1049" s="4" t="s">
        <v>44</v>
      </c>
      <c r="D1049" s="6" t="str">
        <f>HYPERLINK("javascript:void(0)","kithrill saru")</f>
        <v>kithrill saru</v>
      </c>
    </row>
    <row r="1050" spans="1:4" ht="12.75" customHeight="1" x14ac:dyDescent="0.2">
      <c r="A1050" s="21"/>
      <c r="B1050" s="21"/>
      <c r="C1050" s="4" t="s">
        <v>77</v>
      </c>
      <c r="D1050" s="6" t="str">
        <f>HYPERLINK("javascript:void(0)","imázs")</f>
        <v>imázs</v>
      </c>
    </row>
    <row r="1051" spans="1:4" ht="12.75" customHeight="1" x14ac:dyDescent="0.2">
      <c r="A1051" s="21"/>
      <c r="B1051" s="2"/>
      <c r="C1051" s="2"/>
      <c r="D1051" s="2"/>
    </row>
    <row r="1052" spans="1:4" ht="12.75" customHeight="1" x14ac:dyDescent="0.2">
      <c r="A1052" s="21"/>
      <c r="B1052" s="2"/>
      <c r="C1052" s="2"/>
      <c r="D1052" s="2"/>
    </row>
    <row r="1053" spans="1:4" ht="12.75" customHeight="1" x14ac:dyDescent="0.2">
      <c r="A1053" s="21"/>
      <c r="B1053" s="2"/>
      <c r="C1053" s="2"/>
      <c r="D1053" s="2"/>
    </row>
    <row r="1054" spans="1:4" ht="12.75" customHeight="1" x14ac:dyDescent="0.2">
      <c r="A1054" s="21"/>
      <c r="B1054" s="2"/>
      <c r="C1054" s="2"/>
      <c r="D1054" s="2"/>
    </row>
    <row r="1055" spans="1:4" ht="12.75" customHeight="1" x14ac:dyDescent="0.2">
      <c r="A1055" s="5"/>
      <c r="B1055" s="2"/>
      <c r="C1055" s="2"/>
      <c r="D1055" s="2"/>
    </row>
    <row r="1056" spans="1:4" ht="12.75" customHeight="1" x14ac:dyDescent="0.2">
      <c r="A1056" s="22" t="str">
        <f>HYPERLINK("javascript:void(0)","centro saru")</f>
        <v>centro saru</v>
      </c>
      <c r="B1056" s="21"/>
      <c r="C1056" s="21"/>
      <c r="D1056" s="21"/>
    </row>
    <row r="1057" spans="1:4" ht="12.75" customHeight="1" x14ac:dyDescent="0.2">
      <c r="A1057" s="20"/>
      <c r="B1057" s="2"/>
      <c r="C1057" s="2"/>
      <c r="D1057" s="2"/>
    </row>
    <row r="1058" spans="1:4" ht="12.75" customHeight="1" x14ac:dyDescent="0.2">
      <c r="A1058" s="21"/>
      <c r="B1058" s="3" t="s">
        <v>0</v>
      </c>
      <c r="C1058" s="20" t="s">
        <v>223</v>
      </c>
      <c r="D1058" s="21"/>
    </row>
    <row r="1059" spans="1:4" ht="12.75" customHeight="1" x14ac:dyDescent="0.2">
      <c r="A1059" s="21"/>
      <c r="B1059" s="3" t="s">
        <v>2</v>
      </c>
      <c r="C1059" s="20"/>
      <c r="D1059" s="21"/>
    </row>
    <row r="1060" spans="1:4" ht="12.75" customHeight="1" x14ac:dyDescent="0.2">
      <c r="A1060" s="21"/>
      <c r="B1060" s="3" t="s">
        <v>1840</v>
      </c>
      <c r="C1060" s="20" t="s">
        <v>312</v>
      </c>
      <c r="D1060" s="21"/>
    </row>
    <row r="1061" spans="1:4" ht="12.75" customHeight="1" x14ac:dyDescent="0.2">
      <c r="A1061" s="21"/>
      <c r="B1061" s="3" t="s">
        <v>9</v>
      </c>
      <c r="C1061" s="20" t="s">
        <v>79</v>
      </c>
      <c r="D1061" s="21"/>
    </row>
    <row r="1062" spans="1:4" ht="12.75" customHeight="1" x14ac:dyDescent="0.2">
      <c r="A1062" s="21"/>
      <c r="B1062" s="3" t="s">
        <v>11</v>
      </c>
      <c r="C1062" s="20" t="s">
        <v>603</v>
      </c>
      <c r="D1062" s="21"/>
    </row>
    <row r="1063" spans="1:4" ht="12.75" customHeight="1" x14ac:dyDescent="0.2">
      <c r="A1063" s="21"/>
      <c r="B1063" s="3" t="s">
        <v>16</v>
      </c>
      <c r="C1063" s="20"/>
      <c r="D1063" s="21"/>
    </row>
    <row r="1064" spans="1:4" ht="12.75" customHeight="1" x14ac:dyDescent="0.2">
      <c r="A1064" s="21"/>
      <c r="B1064" s="3" t="s">
        <v>17</v>
      </c>
      <c r="C1064" s="20" t="s">
        <v>19</v>
      </c>
      <c r="D1064" s="21"/>
    </row>
    <row r="1065" spans="1:4" ht="12.75" customHeight="1" x14ac:dyDescent="0.2">
      <c r="A1065" s="21"/>
      <c r="B1065" s="20" t="s">
        <v>18</v>
      </c>
      <c r="C1065" s="4" t="s">
        <v>44</v>
      </c>
      <c r="D1065" s="6" t="str">
        <f>HYPERLINK("javascript:void(0)","démonacél saru")</f>
        <v>démonacél saru</v>
      </c>
    </row>
    <row r="1066" spans="1:4" ht="12.75" customHeight="1" x14ac:dyDescent="0.2">
      <c r="A1066" s="21"/>
      <c r="B1066" s="21"/>
      <c r="C1066" s="4" t="s">
        <v>77</v>
      </c>
      <c r="D1066" s="6" t="str">
        <f>HYPERLINK("javascript:void(0)","dimenzióforgács")</f>
        <v>dimenzióforgács</v>
      </c>
    </row>
    <row r="1067" spans="1:4" ht="12.75" customHeight="1" x14ac:dyDescent="0.2">
      <c r="A1067" s="21"/>
      <c r="B1067" s="21"/>
      <c r="C1067" s="4" t="s">
        <v>382</v>
      </c>
      <c r="D1067" s="6" t="str">
        <f>HYPERLINK("javascript:void(0)","homokóra")</f>
        <v>homokóra</v>
      </c>
    </row>
    <row r="1068" spans="1:4" ht="12.75" customHeight="1" x14ac:dyDescent="0.2">
      <c r="A1068" s="21"/>
      <c r="B1068" s="2"/>
      <c r="C1068" s="2"/>
      <c r="D1068" s="2"/>
    </row>
    <row r="1069" spans="1:4" ht="12.75" customHeight="1" x14ac:dyDescent="0.2">
      <c r="A1069" s="21"/>
      <c r="B1069" s="2"/>
      <c r="C1069" s="2"/>
      <c r="D1069" s="2"/>
    </row>
    <row r="1070" spans="1:4" ht="12.75" customHeight="1" x14ac:dyDescent="0.2">
      <c r="A1070" s="21"/>
      <c r="B1070" s="2"/>
      <c r="C1070" s="2"/>
      <c r="D1070" s="2"/>
    </row>
    <row r="1071" spans="1:4" ht="12.75" customHeight="1" x14ac:dyDescent="0.2">
      <c r="A1071" s="21"/>
      <c r="B1071" s="2"/>
      <c r="C1071" s="2"/>
      <c r="D1071" s="2"/>
    </row>
    <row r="1072" spans="1:4" ht="12.75" customHeight="1" x14ac:dyDescent="0.2">
      <c r="A1072" s="5"/>
      <c r="B1072" s="2"/>
      <c r="C1072" s="2"/>
      <c r="D1072" s="2"/>
    </row>
    <row r="1073" spans="1:4" ht="12.75" customHeight="1" x14ac:dyDescent="0.2">
      <c r="A1073" s="22" t="str">
        <f>HYPERLINK("javascript:void(0)","csillámos nyomhagyó")</f>
        <v>csillámos nyomhagyó</v>
      </c>
      <c r="B1073" s="21"/>
      <c r="C1073" s="21"/>
      <c r="D1073" s="21"/>
    </row>
    <row r="1074" spans="1:4" ht="12.75" customHeight="1" x14ac:dyDescent="0.2">
      <c r="A1074" s="20"/>
      <c r="B1074" s="2"/>
      <c r="C1074" s="2"/>
      <c r="D1074" s="2"/>
    </row>
    <row r="1075" spans="1:4" ht="12.75" customHeight="1" x14ac:dyDescent="0.2">
      <c r="A1075" s="21"/>
      <c r="B1075" s="3" t="s">
        <v>0</v>
      </c>
      <c r="C1075" s="20" t="s">
        <v>223</v>
      </c>
      <c r="D1075" s="21"/>
    </row>
    <row r="1076" spans="1:4" ht="12.75" customHeight="1" x14ac:dyDescent="0.2">
      <c r="A1076" s="21"/>
      <c r="B1076" s="3" t="s">
        <v>2</v>
      </c>
      <c r="C1076" s="20"/>
      <c r="D1076" s="21"/>
    </row>
    <row r="1077" spans="1:4" ht="12.75" customHeight="1" x14ac:dyDescent="0.2">
      <c r="A1077" s="21"/>
      <c r="B1077" s="3" t="s">
        <v>1840</v>
      </c>
      <c r="C1077" s="20" t="s">
        <v>1174</v>
      </c>
      <c r="D1077" s="21"/>
    </row>
    <row r="1078" spans="1:4" ht="12.75" customHeight="1" x14ac:dyDescent="0.2">
      <c r="A1078" s="21"/>
      <c r="B1078" s="3" t="s">
        <v>9</v>
      </c>
      <c r="C1078" s="20" t="s">
        <v>1994</v>
      </c>
      <c r="D1078" s="21"/>
    </row>
    <row r="1079" spans="1:4" ht="12.75" customHeight="1" x14ac:dyDescent="0.2">
      <c r="A1079" s="21"/>
      <c r="B1079" s="3" t="s">
        <v>11</v>
      </c>
      <c r="C1079" s="20" t="s">
        <v>603</v>
      </c>
      <c r="D1079" s="21"/>
    </row>
    <row r="1080" spans="1:4" ht="12.75" customHeight="1" x14ac:dyDescent="0.2">
      <c r="A1080" s="21"/>
      <c r="B1080" s="3" t="s">
        <v>16</v>
      </c>
      <c r="C1080" s="20"/>
      <c r="D1080" s="21"/>
    </row>
    <row r="1081" spans="1:4" ht="12.75" customHeight="1" x14ac:dyDescent="0.2">
      <c r="A1081" s="21"/>
      <c r="B1081" s="3" t="s">
        <v>17</v>
      </c>
      <c r="C1081" s="20" t="s">
        <v>19</v>
      </c>
      <c r="D1081" s="21"/>
    </row>
    <row r="1082" spans="1:4" ht="12.75" customHeight="1" x14ac:dyDescent="0.2">
      <c r="A1082" s="21"/>
      <c r="B1082" s="20" t="s">
        <v>18</v>
      </c>
      <c r="C1082" s="4" t="s">
        <v>57</v>
      </c>
      <c r="D1082" s="6" t="str">
        <f>HYPERLINK("javascript:void(0)","csillámgöb")</f>
        <v>csillámgöb</v>
      </c>
    </row>
    <row r="1083" spans="1:4" ht="12.75" customHeight="1" x14ac:dyDescent="0.2">
      <c r="A1083" s="21"/>
      <c r="B1083" s="21"/>
      <c r="C1083" s="4" t="s">
        <v>44</v>
      </c>
      <c r="D1083" s="6" t="str">
        <f>HYPERLINK("javascript:void(0)","csillámcsizma")</f>
        <v>csillámcsizma</v>
      </c>
    </row>
    <row r="1084" spans="1:4" ht="12.75" customHeight="1" x14ac:dyDescent="0.2">
      <c r="A1084" s="21"/>
      <c r="B1084" s="21"/>
      <c r="C1084" s="4" t="s">
        <v>163</v>
      </c>
      <c r="D1084" s="6" t="str">
        <f>HYPERLINK("javascript:void(0)","bűzmirigy")</f>
        <v>bűzmirigy</v>
      </c>
    </row>
    <row r="1085" spans="1:4" ht="12.75" customHeight="1" x14ac:dyDescent="0.2">
      <c r="A1085" s="21"/>
      <c r="B1085" s="2"/>
      <c r="C1085" s="2"/>
      <c r="D1085" s="2"/>
    </row>
    <row r="1086" spans="1:4" ht="12.75" customHeight="1" x14ac:dyDescent="0.2">
      <c r="A1086" s="21"/>
      <c r="B1086" s="2"/>
      <c r="C1086" s="2"/>
      <c r="D1086" s="2"/>
    </row>
    <row r="1087" spans="1:4" ht="12.75" customHeight="1" x14ac:dyDescent="0.2">
      <c r="A1087" s="21"/>
      <c r="B1087" s="2"/>
      <c r="C1087" s="2"/>
      <c r="D1087" s="2"/>
    </row>
    <row r="1088" spans="1:4" ht="12.75" customHeight="1" x14ac:dyDescent="0.2">
      <c r="A1088" s="21"/>
      <c r="B1088" s="2"/>
      <c r="C1088" s="2"/>
      <c r="D1088" s="2"/>
    </row>
    <row r="1089" spans="1:4" ht="12.75" customHeight="1" x14ac:dyDescent="0.2">
      <c r="A1089" s="5"/>
      <c r="B1089" s="2"/>
      <c r="C1089" s="2"/>
      <c r="D1089" s="2"/>
    </row>
    <row r="1090" spans="1:4" ht="12.75" customHeight="1" x14ac:dyDescent="0.2">
      <c r="A1090" s="22" t="str">
        <f>HYPERLINK("javascript:void(0)","dracoacél saru")</f>
        <v>dracoacél saru</v>
      </c>
      <c r="B1090" s="21"/>
      <c r="C1090" s="21"/>
      <c r="D1090" s="21"/>
    </row>
    <row r="1091" spans="1:4" ht="12.75" customHeight="1" x14ac:dyDescent="0.2">
      <c r="A1091" s="20"/>
      <c r="B1091" s="2"/>
      <c r="C1091" s="2"/>
      <c r="D1091" s="2"/>
    </row>
    <row r="1092" spans="1:4" ht="12.75" customHeight="1" x14ac:dyDescent="0.2">
      <c r="A1092" s="21"/>
      <c r="B1092" s="3" t="s">
        <v>0</v>
      </c>
      <c r="C1092" s="20" t="s">
        <v>229</v>
      </c>
      <c r="D1092" s="21"/>
    </row>
    <row r="1093" spans="1:4" ht="12.75" customHeight="1" x14ac:dyDescent="0.2">
      <c r="A1093" s="21"/>
      <c r="B1093" s="3" t="s">
        <v>2</v>
      </c>
      <c r="C1093" s="20"/>
      <c r="D1093" s="21"/>
    </row>
    <row r="1094" spans="1:4" ht="12.75" customHeight="1" x14ac:dyDescent="0.2">
      <c r="A1094" s="21"/>
      <c r="B1094" s="3" t="s">
        <v>1840</v>
      </c>
      <c r="C1094" s="20" t="s">
        <v>356</v>
      </c>
      <c r="D1094" s="21"/>
    </row>
    <row r="1095" spans="1:4" ht="12.75" customHeight="1" x14ac:dyDescent="0.2">
      <c r="A1095" s="21"/>
      <c r="B1095" s="3" t="s">
        <v>9</v>
      </c>
      <c r="C1095" s="20" t="s">
        <v>70</v>
      </c>
      <c r="D1095" s="21"/>
    </row>
    <row r="1096" spans="1:4" ht="12.75" customHeight="1" x14ac:dyDescent="0.2">
      <c r="A1096" s="21"/>
      <c r="B1096" s="3" t="s">
        <v>11</v>
      </c>
      <c r="C1096" s="20" t="s">
        <v>625</v>
      </c>
      <c r="D1096" s="21"/>
    </row>
    <row r="1097" spans="1:4" ht="12.75" customHeight="1" x14ac:dyDescent="0.2">
      <c r="A1097" s="21"/>
      <c r="B1097" s="3" t="s">
        <v>16</v>
      </c>
      <c r="C1097" s="20"/>
      <c r="D1097" s="21"/>
    </row>
    <row r="1098" spans="1:4" ht="12.75" customHeight="1" x14ac:dyDescent="0.2">
      <c r="A1098" s="21"/>
      <c r="B1098" s="3" t="s">
        <v>17</v>
      </c>
      <c r="C1098" s="20" t="s">
        <v>19</v>
      </c>
      <c r="D1098" s="21"/>
    </row>
    <row r="1099" spans="1:4" ht="12.75" customHeight="1" x14ac:dyDescent="0.2">
      <c r="A1099" s="21"/>
      <c r="B1099" s="20" t="s">
        <v>18</v>
      </c>
      <c r="C1099" s="4" t="s">
        <v>77</v>
      </c>
      <c r="D1099" s="6" t="str">
        <f>HYPERLINK("javascript:void(0)","hacuka")</f>
        <v>hacuka</v>
      </c>
    </row>
    <row r="1100" spans="1:4" ht="12.75" customHeight="1" x14ac:dyDescent="0.2">
      <c r="A1100" s="21"/>
      <c r="B1100" s="21"/>
      <c r="C1100" s="4" t="s">
        <v>244</v>
      </c>
      <c r="D1100" s="6" t="str">
        <f>HYPERLINK("javascript:void(0)","hörcsögagyar")</f>
        <v>hörcsögagyar</v>
      </c>
    </row>
    <row r="1101" spans="1:4" ht="12.75" customHeight="1" x14ac:dyDescent="0.2">
      <c r="A1101" s="21"/>
      <c r="B1101" s="21"/>
      <c r="C1101" s="4" t="s">
        <v>382</v>
      </c>
      <c r="D1101" s="6" t="str">
        <f>HYPERLINK("javascript:void(0)","horog")</f>
        <v>horog</v>
      </c>
    </row>
    <row r="1102" spans="1:4" ht="12.75" customHeight="1" x14ac:dyDescent="0.2">
      <c r="A1102" s="21"/>
      <c r="B1102" s="2"/>
      <c r="C1102" s="2"/>
      <c r="D1102" s="2"/>
    </row>
    <row r="1103" spans="1:4" ht="12.75" customHeight="1" x14ac:dyDescent="0.2">
      <c r="A1103" s="21"/>
      <c r="B1103" s="2"/>
      <c r="C1103" s="2"/>
      <c r="D1103" s="2"/>
    </row>
    <row r="1104" spans="1:4" ht="12.75" customHeight="1" x14ac:dyDescent="0.2">
      <c r="A1104" s="21"/>
      <c r="B1104" s="2"/>
      <c r="C1104" s="2"/>
      <c r="D1104" s="2"/>
    </row>
    <row r="1105" spans="1:4" ht="12.75" customHeight="1" x14ac:dyDescent="0.2">
      <c r="A1105" s="21"/>
      <c r="B1105" s="2"/>
      <c r="C1105" s="2"/>
      <c r="D1105" s="2"/>
    </row>
    <row r="1106" spans="1:4" ht="12.75" customHeight="1" x14ac:dyDescent="0.2">
      <c r="A1106" s="5"/>
      <c r="B1106" s="2"/>
      <c r="C1106" s="2"/>
      <c r="D1106" s="2"/>
    </row>
    <row r="1107" spans="1:4" ht="12.75" customHeight="1" x14ac:dyDescent="0.2">
      <c r="A1107" s="22" t="str">
        <f>HYPERLINK("javascript:void(0)","centro antigrav csizma")</f>
        <v>centro antigrav csizma</v>
      </c>
      <c r="B1107" s="21"/>
      <c r="C1107" s="21"/>
      <c r="D1107" s="21"/>
    </row>
    <row r="1108" spans="1:4" ht="12.75" customHeight="1" x14ac:dyDescent="0.2">
      <c r="A1108" s="20"/>
      <c r="B1108" s="2"/>
      <c r="C1108" s="2"/>
      <c r="D1108" s="2"/>
    </row>
    <row r="1109" spans="1:4" ht="12.75" customHeight="1" x14ac:dyDescent="0.2">
      <c r="A1109" s="21"/>
      <c r="B1109" s="3" t="s">
        <v>0</v>
      </c>
      <c r="C1109" s="20" t="s">
        <v>229</v>
      </c>
      <c r="D1109" s="21"/>
    </row>
    <row r="1110" spans="1:4" ht="12.75" customHeight="1" x14ac:dyDescent="0.2">
      <c r="A1110" s="21"/>
      <c r="B1110" s="3" t="s">
        <v>2</v>
      </c>
      <c r="C1110" s="20"/>
      <c r="D1110" s="21"/>
    </row>
    <row r="1111" spans="1:4" ht="12.75" customHeight="1" x14ac:dyDescent="0.2">
      <c r="A1111" s="21"/>
      <c r="B1111" s="3" t="s">
        <v>1840</v>
      </c>
      <c r="C1111" s="20" t="s">
        <v>968</v>
      </c>
      <c r="D1111" s="21"/>
    </row>
    <row r="1112" spans="1:4" ht="12.75" customHeight="1" x14ac:dyDescent="0.2">
      <c r="A1112" s="21"/>
      <c r="B1112" s="3" t="s">
        <v>9</v>
      </c>
      <c r="C1112" s="20" t="s">
        <v>626</v>
      </c>
      <c r="D1112" s="21"/>
    </row>
    <row r="1113" spans="1:4" ht="12.75" customHeight="1" x14ac:dyDescent="0.2">
      <c r="A1113" s="21"/>
      <c r="B1113" s="3" t="s">
        <v>11</v>
      </c>
      <c r="C1113" s="20" t="s">
        <v>23</v>
      </c>
      <c r="D1113" s="21"/>
    </row>
    <row r="1114" spans="1:4" ht="12.75" customHeight="1" x14ac:dyDescent="0.2">
      <c r="A1114" s="21"/>
      <c r="B1114" s="3" t="s">
        <v>16</v>
      </c>
      <c r="C1114" s="20"/>
      <c r="D1114" s="21"/>
    </row>
    <row r="1115" spans="1:4" ht="12.75" customHeight="1" x14ac:dyDescent="0.2">
      <c r="A1115" s="21"/>
      <c r="B1115" s="3" t="s">
        <v>17</v>
      </c>
      <c r="C1115" s="20" t="s">
        <v>19</v>
      </c>
      <c r="D1115" s="21"/>
    </row>
    <row r="1116" spans="1:4" ht="25.5" customHeight="1" x14ac:dyDescent="0.2">
      <c r="A1116" s="21"/>
      <c r="B1116" s="20" t="s">
        <v>18</v>
      </c>
      <c r="C1116" s="4" t="s">
        <v>44</v>
      </c>
      <c r="D1116" s="6" t="str">
        <f>HYPERLINK("javascript:void(0)","kithrill antigrav csizma")</f>
        <v>kithrill antigrav csizma</v>
      </c>
    </row>
    <row r="1117" spans="1:4" ht="12.75" customHeight="1" x14ac:dyDescent="0.2">
      <c r="A1117" s="21"/>
      <c r="B1117" s="21"/>
      <c r="C1117" s="4" t="s">
        <v>323</v>
      </c>
      <c r="D1117" s="6" t="str">
        <f>HYPERLINK("javascript:void(0)","igeidő")</f>
        <v>igeidő</v>
      </c>
    </row>
    <row r="1118" spans="1:4" ht="12.75" customHeight="1" x14ac:dyDescent="0.2">
      <c r="A1118" s="21"/>
      <c r="B1118" s="21"/>
      <c r="C1118" s="4" t="s">
        <v>139</v>
      </c>
      <c r="D1118" s="6" t="str">
        <f>HYPERLINK("javascript:void(0)","hacuka")</f>
        <v>hacuka</v>
      </c>
    </row>
    <row r="1119" spans="1:4" ht="12.75" customHeight="1" x14ac:dyDescent="0.2">
      <c r="A1119" s="21"/>
      <c r="B1119" s="2"/>
      <c r="C1119" s="2"/>
      <c r="D1119" s="2"/>
    </row>
    <row r="1120" spans="1:4" ht="12.75" customHeight="1" x14ac:dyDescent="0.2">
      <c r="A1120" s="21"/>
      <c r="B1120" s="2"/>
      <c r="C1120" s="2"/>
      <c r="D1120" s="2"/>
    </row>
    <row r="1121" spans="1:4" ht="12.75" customHeight="1" x14ac:dyDescent="0.2">
      <c r="A1121" s="21"/>
      <c r="B1121" s="2"/>
      <c r="C1121" s="2"/>
      <c r="D1121" s="2"/>
    </row>
    <row r="1122" spans="1:4" ht="12.75" customHeight="1" x14ac:dyDescent="0.2">
      <c r="A1122" s="21"/>
      <c r="B1122" s="2"/>
      <c r="C1122" s="2"/>
      <c r="D1122" s="2"/>
    </row>
    <row r="1123" spans="1:4" ht="12.75" customHeight="1" x14ac:dyDescent="0.2">
      <c r="A1123" s="5"/>
      <c r="B1123" s="2"/>
      <c r="C1123" s="2"/>
      <c r="D1123" s="2"/>
    </row>
    <row r="1124" spans="1:4" ht="12.75" customHeight="1" x14ac:dyDescent="0.2">
      <c r="A1124" s="22" t="str">
        <f>HYPERLINK("javascript:void(0)","hiper saru")</f>
        <v>hiper saru</v>
      </c>
      <c r="B1124" s="21"/>
      <c r="C1124" s="21"/>
      <c r="D1124" s="21"/>
    </row>
    <row r="1125" spans="1:4" ht="12.75" customHeight="1" x14ac:dyDescent="0.2">
      <c r="A1125" s="20"/>
      <c r="B1125" s="2"/>
      <c r="C1125" s="2"/>
      <c r="D1125" s="2"/>
    </row>
    <row r="1126" spans="1:4" ht="12.75" customHeight="1" x14ac:dyDescent="0.2">
      <c r="A1126" s="21"/>
      <c r="B1126" s="3" t="s">
        <v>0</v>
      </c>
      <c r="C1126" s="20" t="s">
        <v>562</v>
      </c>
      <c r="D1126" s="21"/>
    </row>
    <row r="1127" spans="1:4" ht="12.75" customHeight="1" x14ac:dyDescent="0.2">
      <c r="A1127" s="21"/>
      <c r="B1127" s="3" t="s">
        <v>2</v>
      </c>
      <c r="C1127" s="20"/>
      <c r="D1127" s="21"/>
    </row>
    <row r="1128" spans="1:4" ht="12.75" customHeight="1" x14ac:dyDescent="0.2">
      <c r="A1128" s="21"/>
      <c r="B1128" s="3" t="s">
        <v>1840</v>
      </c>
      <c r="C1128" s="20" t="s">
        <v>103</v>
      </c>
      <c r="D1128" s="21"/>
    </row>
    <row r="1129" spans="1:4" ht="12.75" customHeight="1" x14ac:dyDescent="0.2">
      <c r="A1129" s="21"/>
      <c r="B1129" s="3" t="s">
        <v>9</v>
      </c>
      <c r="C1129" s="20" t="s">
        <v>959</v>
      </c>
      <c r="D1129" s="21"/>
    </row>
    <row r="1130" spans="1:4" ht="12.75" customHeight="1" x14ac:dyDescent="0.2">
      <c r="A1130" s="21"/>
      <c r="B1130" s="3" t="s">
        <v>11</v>
      </c>
      <c r="C1130" s="20" t="s">
        <v>645</v>
      </c>
      <c r="D1130" s="21"/>
    </row>
    <row r="1131" spans="1:4" ht="12.75" customHeight="1" x14ac:dyDescent="0.2">
      <c r="A1131" s="21"/>
      <c r="B1131" s="3" t="s">
        <v>16</v>
      </c>
      <c r="C1131" s="20"/>
      <c r="D1131" s="21"/>
    </row>
    <row r="1132" spans="1:4" ht="12.75" customHeight="1" x14ac:dyDescent="0.2">
      <c r="A1132" s="21"/>
      <c r="B1132" s="3" t="s">
        <v>17</v>
      </c>
      <c r="C1132" s="20" t="s">
        <v>19</v>
      </c>
      <c r="D1132" s="21"/>
    </row>
    <row r="1133" spans="1:4" ht="12.75" customHeight="1" x14ac:dyDescent="0.2">
      <c r="A1133" s="21"/>
      <c r="B1133" s="20" t="s">
        <v>18</v>
      </c>
      <c r="C1133" s="4" t="s">
        <v>44</v>
      </c>
      <c r="D1133" s="6" t="str">
        <f>HYPERLINK("javascript:void(0)","centro saru")</f>
        <v>centro saru</v>
      </c>
    </row>
    <row r="1134" spans="1:4" ht="12.75" customHeight="1" x14ac:dyDescent="0.2">
      <c r="A1134" s="21"/>
      <c r="B1134" s="21"/>
      <c r="C1134" s="4" t="s">
        <v>44</v>
      </c>
      <c r="D1134" s="6" t="str">
        <f>HYPERLINK("javascript:void(0)","dracoacél saru")</f>
        <v>dracoacél saru</v>
      </c>
    </row>
    <row r="1135" spans="1:4" ht="12.75" customHeight="1" x14ac:dyDescent="0.2">
      <c r="A1135" s="21"/>
      <c r="B1135" s="21"/>
      <c r="C1135" s="4" t="s">
        <v>44</v>
      </c>
      <c r="D1135" s="6" t="str">
        <f>HYPERLINK("javascript:void(0)","hipertalp")</f>
        <v>hipertalp</v>
      </c>
    </row>
    <row r="1136" spans="1:4" ht="12.75" customHeight="1" x14ac:dyDescent="0.2">
      <c r="A1136" s="21"/>
      <c r="B1136" s="2"/>
      <c r="C1136" s="2"/>
      <c r="D1136" s="2"/>
    </row>
    <row r="1137" spans="1:4" ht="12.75" customHeight="1" x14ac:dyDescent="0.2">
      <c r="A1137" s="21"/>
      <c r="B1137" s="2"/>
      <c r="C1137" s="2"/>
      <c r="D1137" s="2"/>
    </row>
    <row r="1138" spans="1:4" ht="12.75" customHeight="1" x14ac:dyDescent="0.2">
      <c r="A1138" s="21"/>
      <c r="B1138" s="2"/>
      <c r="C1138" s="2"/>
      <c r="D1138" s="2"/>
    </row>
    <row r="1139" spans="1:4" ht="12.75" customHeight="1" x14ac:dyDescent="0.2">
      <c r="A1139" s="21"/>
      <c r="B1139" s="2"/>
      <c r="C1139" s="2"/>
      <c r="D1139" s="2"/>
    </row>
    <row r="1140" spans="1:4" ht="12.75" customHeight="1" x14ac:dyDescent="0.2">
      <c r="A1140" s="5"/>
      <c r="B1140" s="2"/>
      <c r="C1140" s="2"/>
      <c r="D1140" s="2"/>
    </row>
    <row r="1141" spans="1:4" ht="12.75" customHeight="1" x14ac:dyDescent="0.2">
      <c r="A1141" s="22" t="str">
        <f>HYPERLINK("javascript:void(0)","elfacél saru")</f>
        <v>elfacél saru</v>
      </c>
      <c r="B1141" s="21"/>
      <c r="C1141" s="21"/>
      <c r="D1141" s="21"/>
    </row>
    <row r="1142" spans="1:4" ht="12.75" customHeight="1" x14ac:dyDescent="0.2">
      <c r="A1142" s="20"/>
      <c r="B1142" s="2"/>
      <c r="C1142" s="2"/>
      <c r="D1142" s="2"/>
    </row>
    <row r="1143" spans="1:4" ht="12.75" customHeight="1" x14ac:dyDescent="0.2">
      <c r="A1143" s="21"/>
      <c r="B1143" s="3" t="s">
        <v>0</v>
      </c>
      <c r="C1143" s="20" t="s">
        <v>575</v>
      </c>
      <c r="D1143" s="21"/>
    </row>
    <row r="1144" spans="1:4" ht="12.75" customHeight="1" x14ac:dyDescent="0.2">
      <c r="A1144" s="21"/>
      <c r="B1144" s="3" t="s">
        <v>2</v>
      </c>
      <c r="C1144" s="20"/>
      <c r="D1144" s="21"/>
    </row>
    <row r="1145" spans="1:4" ht="12.75" customHeight="1" x14ac:dyDescent="0.2">
      <c r="A1145" s="21"/>
      <c r="B1145" s="3" t="s">
        <v>1840</v>
      </c>
      <c r="C1145" s="20" t="s">
        <v>1174</v>
      </c>
      <c r="D1145" s="21"/>
    </row>
    <row r="1146" spans="1:4" ht="12.75" customHeight="1" x14ac:dyDescent="0.2">
      <c r="A1146" s="21"/>
      <c r="B1146" s="3" t="s">
        <v>9</v>
      </c>
      <c r="C1146" s="20" t="s">
        <v>70</v>
      </c>
      <c r="D1146" s="21"/>
    </row>
    <row r="1147" spans="1:4" ht="12.75" customHeight="1" x14ac:dyDescent="0.2">
      <c r="A1147" s="21"/>
      <c r="B1147" s="3" t="s">
        <v>11</v>
      </c>
      <c r="C1147" s="20" t="s">
        <v>660</v>
      </c>
      <c r="D1147" s="21"/>
    </row>
    <row r="1148" spans="1:4" ht="12.75" customHeight="1" x14ac:dyDescent="0.2">
      <c r="A1148" s="21"/>
      <c r="B1148" s="3" t="s">
        <v>16</v>
      </c>
      <c r="C1148" s="20"/>
      <c r="D1148" s="21"/>
    </row>
    <row r="1149" spans="1:4" ht="12.75" customHeight="1" x14ac:dyDescent="0.2">
      <c r="A1149" s="21"/>
      <c r="B1149" s="3" t="s">
        <v>17</v>
      </c>
      <c r="C1149" s="20" t="s">
        <v>19</v>
      </c>
      <c r="D1149" s="21"/>
    </row>
    <row r="1150" spans="1:4" ht="12.75" customHeight="1" x14ac:dyDescent="0.2">
      <c r="A1150" s="21"/>
      <c r="B1150" s="20" t="s">
        <v>18</v>
      </c>
      <c r="C1150" s="4" t="s">
        <v>44</v>
      </c>
      <c r="D1150" s="6" t="str">
        <f>HYPERLINK("javascript:void(0)","hiper saru")</f>
        <v>hiper saru</v>
      </c>
    </row>
    <row r="1151" spans="1:4" ht="12.75" customHeight="1" x14ac:dyDescent="0.2">
      <c r="A1151" s="21"/>
      <c r="B1151" s="21"/>
      <c r="C1151" s="4" t="s">
        <v>77</v>
      </c>
      <c r="D1151" s="6" t="str">
        <f>HYPERLINK("javascript:void(0)","betüvető")</f>
        <v>betüvető</v>
      </c>
    </row>
    <row r="1152" spans="1:4" ht="12.75" customHeight="1" x14ac:dyDescent="0.2">
      <c r="A1152" s="21"/>
      <c r="B1152" s="21"/>
      <c r="C1152" s="4" t="s">
        <v>117</v>
      </c>
      <c r="D1152" s="6" t="str">
        <f>HYPERLINK("javascript:void(0)","dimenzióforgács")</f>
        <v>dimenzióforgács</v>
      </c>
    </row>
    <row r="1153" spans="1:4" ht="12.75" customHeight="1" x14ac:dyDescent="0.2">
      <c r="A1153" s="21"/>
      <c r="B1153" s="2"/>
      <c r="C1153" s="2"/>
      <c r="D1153" s="2"/>
    </row>
    <row r="1154" spans="1:4" ht="12.75" customHeight="1" x14ac:dyDescent="0.2">
      <c r="A1154" s="21"/>
      <c r="B1154" s="2"/>
      <c r="C1154" s="2"/>
      <c r="D1154" s="2"/>
    </row>
    <row r="1155" spans="1:4" ht="12.75" customHeight="1" x14ac:dyDescent="0.2">
      <c r="A1155" s="21"/>
      <c r="B1155" s="2"/>
      <c r="C1155" s="2"/>
      <c r="D1155" s="2"/>
    </row>
    <row r="1156" spans="1:4" ht="12.75" customHeight="1" x14ac:dyDescent="0.2">
      <c r="A1156" s="21"/>
      <c r="B1156" s="2"/>
      <c r="C1156" s="2"/>
      <c r="D1156" s="2"/>
    </row>
    <row r="1157" spans="1:4" ht="12.75" customHeight="1" x14ac:dyDescent="0.2">
      <c r="A1157" s="5"/>
      <c r="B1157" s="2"/>
      <c r="C1157" s="2"/>
      <c r="D1157" s="2"/>
    </row>
    <row r="1158" spans="1:4" ht="12.75" customHeight="1" x14ac:dyDescent="0.2">
      <c r="A1158" s="22" t="str">
        <f>HYPERLINK("javascript:void(0)","kompózium saru")</f>
        <v>kompózium saru</v>
      </c>
      <c r="B1158" s="21"/>
      <c r="C1158" s="21"/>
      <c r="D1158" s="21"/>
    </row>
    <row r="1159" spans="1:4" ht="12.75" customHeight="1" x14ac:dyDescent="0.2">
      <c r="A1159" s="20"/>
      <c r="B1159" s="2"/>
      <c r="C1159" s="2"/>
      <c r="D1159" s="2"/>
    </row>
    <row r="1160" spans="1:4" ht="12.75" customHeight="1" x14ac:dyDescent="0.2">
      <c r="A1160" s="21"/>
      <c r="B1160" s="3" t="s">
        <v>0</v>
      </c>
      <c r="C1160" s="20" t="s">
        <v>585</v>
      </c>
      <c r="D1160" s="21"/>
    </row>
    <row r="1161" spans="1:4" ht="12.75" customHeight="1" x14ac:dyDescent="0.2">
      <c r="A1161" s="21"/>
      <c r="B1161" s="3" t="s">
        <v>2</v>
      </c>
      <c r="C1161" s="20"/>
      <c r="D1161" s="21"/>
    </row>
    <row r="1162" spans="1:4" ht="12.75" customHeight="1" x14ac:dyDescent="0.2">
      <c r="A1162" s="21"/>
      <c r="B1162" s="3" t="s">
        <v>1840</v>
      </c>
      <c r="C1162" s="20" t="s">
        <v>1207</v>
      </c>
      <c r="D1162" s="21"/>
    </row>
    <row r="1163" spans="1:4" ht="12.75" customHeight="1" x14ac:dyDescent="0.2">
      <c r="A1163" s="21"/>
      <c r="B1163" s="3" t="s">
        <v>9</v>
      </c>
      <c r="C1163" s="20" t="s">
        <v>959</v>
      </c>
      <c r="D1163" s="21"/>
    </row>
    <row r="1164" spans="1:4" ht="12.75" customHeight="1" x14ac:dyDescent="0.2">
      <c r="A1164" s="21"/>
      <c r="B1164" s="3" t="s">
        <v>11</v>
      </c>
      <c r="C1164" s="20" t="s">
        <v>674</v>
      </c>
      <c r="D1164" s="21"/>
    </row>
    <row r="1165" spans="1:4" ht="12.75" customHeight="1" x14ac:dyDescent="0.2">
      <c r="A1165" s="21"/>
      <c r="B1165" s="3" t="s">
        <v>16</v>
      </c>
      <c r="C1165" s="20"/>
      <c r="D1165" s="21"/>
    </row>
    <row r="1166" spans="1:4" ht="12.75" customHeight="1" x14ac:dyDescent="0.2">
      <c r="A1166" s="21"/>
      <c r="B1166" s="3" t="s">
        <v>17</v>
      </c>
      <c r="C1166" s="20" t="s">
        <v>19</v>
      </c>
      <c r="D1166" s="21"/>
    </row>
    <row r="1167" spans="1:4" ht="12.75" customHeight="1" x14ac:dyDescent="0.2">
      <c r="A1167" s="21"/>
      <c r="B1167" s="20" t="s">
        <v>18</v>
      </c>
      <c r="C1167" s="4" t="s">
        <v>68</v>
      </c>
      <c r="D1167" s="6" t="str">
        <f>HYPERLINK("javascript:void(0)","kompózium")</f>
        <v>kompózium</v>
      </c>
    </row>
    <row r="1168" spans="1:4" ht="12.75" customHeight="1" x14ac:dyDescent="0.2">
      <c r="A1168" s="21"/>
      <c r="B1168" s="21"/>
      <c r="C1168" s="4" t="s">
        <v>77</v>
      </c>
      <c r="D1168" s="6" t="str">
        <f>HYPERLINK("javascript:void(0)","mágnes")</f>
        <v>mágnes</v>
      </c>
    </row>
    <row r="1169" spans="1:4" ht="12.75" customHeight="1" x14ac:dyDescent="0.2">
      <c r="A1169" s="21"/>
      <c r="B1169" s="21"/>
      <c r="C1169" s="4" t="s">
        <v>193</v>
      </c>
      <c r="D1169" s="6" t="str">
        <f>HYPERLINK("javascript:void(0)","hörcsögagyar")</f>
        <v>hörcsögagyar</v>
      </c>
    </row>
    <row r="1170" spans="1:4" ht="12.75" customHeight="1" x14ac:dyDescent="0.2">
      <c r="A1170" s="21"/>
      <c r="B1170" s="2"/>
      <c r="C1170" s="2"/>
      <c r="D1170" s="2"/>
    </row>
    <row r="1171" spans="1:4" ht="12.75" customHeight="1" x14ac:dyDescent="0.2">
      <c r="A1171" s="21"/>
      <c r="B1171" s="2"/>
      <c r="C1171" s="2"/>
      <c r="D1171" s="2"/>
    </row>
    <row r="1172" spans="1:4" ht="12.75" customHeight="1" x14ac:dyDescent="0.2">
      <c r="A1172" s="21"/>
      <c r="B1172" s="2"/>
      <c r="C1172" s="2"/>
      <c r="D1172" s="2"/>
    </row>
    <row r="1173" spans="1:4" ht="12.75" customHeight="1" x14ac:dyDescent="0.2">
      <c r="A1173" s="21"/>
      <c r="B1173" s="2"/>
      <c r="C1173" s="2"/>
      <c r="D1173" s="2"/>
    </row>
    <row r="1174" spans="1:4" ht="12.75" customHeight="1" x14ac:dyDescent="0.2">
      <c r="A1174" s="5"/>
      <c r="B1174" s="2"/>
      <c r="C1174" s="2"/>
      <c r="D1174" s="2"/>
    </row>
    <row r="1175" spans="1:4" ht="12.75" customHeight="1" x14ac:dyDescent="0.2">
      <c r="A1175" s="22" t="str">
        <f>HYPERLINK("javascript:void(0)","hiper antigrav csizma")</f>
        <v>hiper antigrav csizma</v>
      </c>
      <c r="B1175" s="21"/>
      <c r="C1175" s="21"/>
      <c r="D1175" s="21"/>
    </row>
    <row r="1176" spans="1:4" ht="12.75" customHeight="1" x14ac:dyDescent="0.2">
      <c r="A1176" s="20"/>
      <c r="B1176" s="2"/>
      <c r="C1176" s="2"/>
      <c r="D1176" s="2"/>
    </row>
    <row r="1177" spans="1:4" ht="12.75" customHeight="1" x14ac:dyDescent="0.2">
      <c r="A1177" s="21"/>
      <c r="B1177" s="3" t="s">
        <v>0</v>
      </c>
      <c r="C1177" s="20" t="s">
        <v>585</v>
      </c>
      <c r="D1177" s="21"/>
    </row>
    <row r="1178" spans="1:4" ht="12.75" customHeight="1" x14ac:dyDescent="0.2">
      <c r="A1178" s="21"/>
      <c r="B1178" s="3" t="s">
        <v>2</v>
      </c>
      <c r="C1178" s="20"/>
      <c r="D1178" s="21"/>
    </row>
    <row r="1179" spans="1:4" ht="12.75" customHeight="1" x14ac:dyDescent="0.2">
      <c r="A1179" s="21"/>
      <c r="B1179" s="3" t="s">
        <v>1840</v>
      </c>
      <c r="C1179" s="20" t="s">
        <v>99</v>
      </c>
      <c r="D1179" s="21"/>
    </row>
    <row r="1180" spans="1:4" ht="12.75" customHeight="1" x14ac:dyDescent="0.2">
      <c r="A1180" s="21"/>
      <c r="B1180" s="3" t="s">
        <v>9</v>
      </c>
      <c r="C1180" s="20" t="s">
        <v>626</v>
      </c>
      <c r="D1180" s="21"/>
    </row>
    <row r="1181" spans="1:4" ht="12.75" customHeight="1" x14ac:dyDescent="0.2">
      <c r="A1181" s="21"/>
      <c r="B1181" s="3" t="s">
        <v>11</v>
      </c>
      <c r="C1181" s="20" t="s">
        <v>23</v>
      </c>
      <c r="D1181" s="21"/>
    </row>
    <row r="1182" spans="1:4" ht="12.75" customHeight="1" x14ac:dyDescent="0.2">
      <c r="A1182" s="21"/>
      <c r="B1182" s="3" t="s">
        <v>16</v>
      </c>
      <c r="C1182" s="20"/>
      <c r="D1182" s="21"/>
    </row>
    <row r="1183" spans="1:4" ht="12.75" customHeight="1" x14ac:dyDescent="0.2">
      <c r="A1183" s="21"/>
      <c r="B1183" s="3" t="s">
        <v>17</v>
      </c>
      <c r="C1183" s="20" t="s">
        <v>19</v>
      </c>
      <c r="D1183" s="21"/>
    </row>
    <row r="1184" spans="1:4" ht="25.5" customHeight="1" x14ac:dyDescent="0.2">
      <c r="A1184" s="21"/>
      <c r="B1184" s="20" t="s">
        <v>18</v>
      </c>
      <c r="C1184" s="4" t="s">
        <v>44</v>
      </c>
      <c r="D1184" s="6" t="str">
        <f>HYPERLINK("javascript:void(0)","centro antigrav csizma")</f>
        <v>centro antigrav csizma</v>
      </c>
    </row>
    <row r="1185" spans="1:4" ht="12.75" customHeight="1" x14ac:dyDescent="0.2">
      <c r="A1185" s="21"/>
      <c r="B1185" s="21"/>
      <c r="C1185" s="4" t="s">
        <v>139</v>
      </c>
      <c r="D1185" s="6" t="str">
        <f>HYPERLINK("javascript:void(0)","torokgyík")</f>
        <v>torokgyík</v>
      </c>
    </row>
    <row r="1186" spans="1:4" ht="12.75" customHeight="1" x14ac:dyDescent="0.2">
      <c r="A1186" s="21"/>
      <c r="B1186" s="21"/>
      <c r="C1186" s="4" t="s">
        <v>323</v>
      </c>
      <c r="D1186" s="6" t="str">
        <f>HYPERLINK("javascript:void(0)","hiperium")</f>
        <v>hiperium</v>
      </c>
    </row>
    <row r="1187" spans="1:4" ht="12.75" customHeight="1" x14ac:dyDescent="0.2">
      <c r="A1187" s="21"/>
      <c r="B1187" s="2"/>
      <c r="C1187" s="2"/>
      <c r="D1187" s="2"/>
    </row>
    <row r="1188" spans="1:4" ht="12.75" customHeight="1" x14ac:dyDescent="0.2">
      <c r="A1188" s="21"/>
      <c r="B1188" s="2"/>
      <c r="C1188" s="2"/>
      <c r="D1188" s="2"/>
    </row>
    <row r="1189" spans="1:4" ht="12.75" customHeight="1" x14ac:dyDescent="0.2">
      <c r="A1189" s="21"/>
      <c r="B1189" s="2"/>
      <c r="C1189" s="2"/>
      <c r="D1189" s="2"/>
    </row>
    <row r="1190" spans="1:4" ht="12.75" customHeight="1" x14ac:dyDescent="0.2">
      <c r="A1190" s="21"/>
      <c r="B1190" s="2"/>
      <c r="C1190" s="2"/>
      <c r="D1190" s="2"/>
    </row>
    <row r="1191" spans="1:4" ht="12.75" customHeight="1" x14ac:dyDescent="0.2">
      <c r="A1191" s="5"/>
      <c r="B1191" s="2"/>
      <c r="C1191" s="2"/>
      <c r="D1191" s="2"/>
    </row>
    <row r="1192" spans="1:4" ht="12.75" customHeight="1" x14ac:dyDescent="0.2">
      <c r="A1192" s="22" t="str">
        <f>HYPERLINK("javascript:void(0)","óriásacél saru")</f>
        <v>óriásacél saru</v>
      </c>
      <c r="B1192" s="21"/>
      <c r="C1192" s="21"/>
      <c r="D1192" s="21"/>
    </row>
    <row r="1193" spans="1:4" ht="12.75" customHeight="1" x14ac:dyDescent="0.2">
      <c r="A1193" s="20"/>
      <c r="B1193" s="2"/>
      <c r="C1193" s="2"/>
      <c r="D1193" s="2"/>
    </row>
    <row r="1194" spans="1:4" ht="12.75" customHeight="1" x14ac:dyDescent="0.2">
      <c r="A1194" s="21"/>
      <c r="B1194" s="3" t="s">
        <v>0</v>
      </c>
      <c r="C1194" s="20" t="s">
        <v>151</v>
      </c>
      <c r="D1194" s="21"/>
    </row>
    <row r="1195" spans="1:4" ht="12.75" customHeight="1" x14ac:dyDescent="0.2">
      <c r="A1195" s="21"/>
      <c r="B1195" s="3" t="s">
        <v>2</v>
      </c>
      <c r="C1195" s="20"/>
      <c r="D1195" s="21"/>
    </row>
    <row r="1196" spans="1:4" ht="12.75" customHeight="1" x14ac:dyDescent="0.2">
      <c r="A1196" s="21"/>
      <c r="B1196" s="3" t="s">
        <v>1840</v>
      </c>
      <c r="C1196" s="20" t="s">
        <v>1230</v>
      </c>
      <c r="D1196" s="21"/>
    </row>
    <row r="1197" spans="1:4" ht="12.75" customHeight="1" x14ac:dyDescent="0.2">
      <c r="A1197" s="21"/>
      <c r="B1197" s="3" t="s">
        <v>9</v>
      </c>
      <c r="C1197" s="20" t="s">
        <v>36</v>
      </c>
      <c r="D1197" s="21"/>
    </row>
    <row r="1198" spans="1:4" ht="12.75" customHeight="1" x14ac:dyDescent="0.2">
      <c r="A1198" s="21"/>
      <c r="B1198" s="3" t="s">
        <v>11</v>
      </c>
      <c r="C1198" s="20" t="s">
        <v>684</v>
      </c>
      <c r="D1198" s="21"/>
    </row>
    <row r="1199" spans="1:4" ht="12.75" customHeight="1" x14ac:dyDescent="0.2">
      <c r="A1199" s="21"/>
      <c r="B1199" s="3" t="s">
        <v>16</v>
      </c>
      <c r="C1199" s="20"/>
      <c r="D1199" s="21"/>
    </row>
    <row r="1200" spans="1:4" ht="12.75" customHeight="1" x14ac:dyDescent="0.2">
      <c r="A1200" s="21"/>
      <c r="B1200" s="3" t="s">
        <v>17</v>
      </c>
      <c r="C1200" s="20" t="s">
        <v>19</v>
      </c>
      <c r="D1200" s="21"/>
    </row>
    <row r="1201" spans="1:4" ht="12.75" customHeight="1" x14ac:dyDescent="0.2">
      <c r="A1201" s="21"/>
      <c r="B1201" s="20" t="s">
        <v>18</v>
      </c>
      <c r="C1201" s="4" t="s">
        <v>44</v>
      </c>
      <c r="D1201" s="6" t="str">
        <f>HYPERLINK("javascript:void(0)","elfacél saru")</f>
        <v>elfacél saru</v>
      </c>
    </row>
    <row r="1202" spans="1:4" ht="12.75" customHeight="1" x14ac:dyDescent="0.2">
      <c r="A1202" s="21"/>
      <c r="B1202" s="21"/>
      <c r="C1202" s="4" t="s">
        <v>44</v>
      </c>
      <c r="D1202" s="6" t="str">
        <f>HYPERLINK("javascript:void(0)","kompózium saru")</f>
        <v>kompózium saru</v>
      </c>
    </row>
    <row r="1203" spans="1:4" ht="12.75" customHeight="1" x14ac:dyDescent="0.2">
      <c r="A1203" s="21"/>
      <c r="B1203" s="21"/>
      <c r="C1203" s="4" t="s">
        <v>44</v>
      </c>
      <c r="D1203" s="6" t="str">
        <f>HYPERLINK("javascript:void(0)","óriásacél talp")</f>
        <v>óriásacél talp</v>
      </c>
    </row>
    <row r="1204" spans="1:4" ht="12.75" customHeight="1" x14ac:dyDescent="0.2">
      <c r="A1204" s="21"/>
      <c r="B1204" s="2"/>
      <c r="C1204" s="2"/>
      <c r="D1204" s="2"/>
    </row>
    <row r="1205" spans="1:4" ht="12.75" customHeight="1" x14ac:dyDescent="0.2">
      <c r="A1205" s="21"/>
      <c r="B1205" s="2"/>
      <c r="C1205" s="2"/>
      <c r="D1205" s="2"/>
    </row>
    <row r="1206" spans="1:4" ht="12.75" customHeight="1" x14ac:dyDescent="0.2">
      <c r="A1206" s="21"/>
      <c r="B1206" s="2"/>
      <c r="C1206" s="2"/>
      <c r="D1206" s="2"/>
    </row>
    <row r="1207" spans="1:4" ht="12.75" customHeight="1" x14ac:dyDescent="0.2">
      <c r="A1207" s="21"/>
      <c r="B1207" s="2"/>
      <c r="C1207" s="2"/>
      <c r="D1207" s="2"/>
    </row>
    <row r="1208" spans="1:4" ht="12.75" customHeight="1" x14ac:dyDescent="0.2">
      <c r="A1208" s="5"/>
      <c r="B1208" s="2"/>
      <c r="C1208" s="2"/>
      <c r="D1208" s="2"/>
    </row>
    <row r="1209" spans="1:4" ht="12.75" customHeight="1" x14ac:dyDescent="0.2">
      <c r="A1209" s="22" t="str">
        <f>HYPERLINK("javascript:void(0)","óriásacél talp")</f>
        <v>óriásacél talp</v>
      </c>
      <c r="B1209" s="21"/>
      <c r="C1209" s="21"/>
      <c r="D1209" s="21"/>
    </row>
    <row r="1210" spans="1:4" ht="12.75" customHeight="1" x14ac:dyDescent="0.2">
      <c r="A1210" s="20"/>
      <c r="B1210" s="2"/>
      <c r="C1210" s="2"/>
      <c r="D1210" s="2"/>
    </row>
    <row r="1211" spans="1:4" ht="12.75" customHeight="1" x14ac:dyDescent="0.2">
      <c r="A1211" s="21"/>
      <c r="B1211" s="3" t="s">
        <v>0</v>
      </c>
      <c r="C1211" s="20" t="s">
        <v>151</v>
      </c>
      <c r="D1211" s="21"/>
    </row>
    <row r="1212" spans="1:4" ht="12.75" customHeight="1" x14ac:dyDescent="0.2">
      <c r="A1212" s="21"/>
      <c r="B1212" s="3" t="s">
        <v>2</v>
      </c>
      <c r="C1212" s="20"/>
      <c r="D1212" s="21"/>
    </row>
    <row r="1213" spans="1:4" ht="12.75" customHeight="1" x14ac:dyDescent="0.2">
      <c r="A1213" s="21"/>
      <c r="B1213" s="3" t="s">
        <v>1840</v>
      </c>
      <c r="C1213" s="20" t="s">
        <v>178</v>
      </c>
      <c r="D1213" s="21"/>
    </row>
    <row r="1214" spans="1:4" ht="12.75" customHeight="1" x14ac:dyDescent="0.2">
      <c r="A1214" s="21"/>
      <c r="B1214" s="3" t="s">
        <v>9</v>
      </c>
      <c r="C1214" s="20" t="s">
        <v>42</v>
      </c>
      <c r="D1214" s="21"/>
    </row>
    <row r="1215" spans="1:4" ht="12.75" customHeight="1" x14ac:dyDescent="0.2">
      <c r="A1215" s="21"/>
      <c r="B1215" s="3" t="s">
        <v>11</v>
      </c>
      <c r="C1215" s="20" t="s">
        <v>368</v>
      </c>
      <c r="D1215" s="21"/>
    </row>
    <row r="1216" spans="1:4" ht="12.75" customHeight="1" x14ac:dyDescent="0.2">
      <c r="A1216" s="21"/>
      <c r="B1216" s="3" t="s">
        <v>16</v>
      </c>
      <c r="C1216" s="20"/>
      <c r="D1216" s="21"/>
    </row>
    <row r="1217" spans="1:4" ht="12.75" customHeight="1" x14ac:dyDescent="0.2">
      <c r="A1217" s="21"/>
      <c r="B1217" s="3" t="s">
        <v>17</v>
      </c>
      <c r="C1217" s="20" t="s">
        <v>19</v>
      </c>
      <c r="D1217" s="21"/>
    </row>
    <row r="1218" spans="1:4" ht="12.75" customHeight="1" x14ac:dyDescent="0.2">
      <c r="A1218" s="21"/>
      <c r="B1218" s="20" t="s">
        <v>18</v>
      </c>
      <c r="C1218" s="4" t="s">
        <v>193</v>
      </c>
      <c r="D1218" s="6" t="str">
        <f>HYPERLINK("javascript:void(0)","ámbra")</f>
        <v>ámbra</v>
      </c>
    </row>
    <row r="1219" spans="1:4" ht="12.75" customHeight="1" x14ac:dyDescent="0.2">
      <c r="A1219" s="21"/>
      <c r="B1219" s="21"/>
      <c r="C1219" s="4" t="s">
        <v>139</v>
      </c>
      <c r="D1219" s="6" t="str">
        <f>HYPERLINK("javascript:void(0)","trolltartó")</f>
        <v>trolltartó</v>
      </c>
    </row>
    <row r="1220" spans="1:4" ht="12.75" customHeight="1" x14ac:dyDescent="0.2">
      <c r="A1220" s="21"/>
      <c r="B1220" s="21"/>
      <c r="C1220" s="4" t="s">
        <v>98</v>
      </c>
      <c r="D1220" s="6" t="str">
        <f>HYPERLINK("javascript:void(0)","uszony")</f>
        <v>uszony</v>
      </c>
    </row>
    <row r="1221" spans="1:4" ht="12.75" customHeight="1" x14ac:dyDescent="0.2">
      <c r="A1221" s="21"/>
      <c r="B1221" s="2"/>
      <c r="C1221" s="2"/>
      <c r="D1221" s="2"/>
    </row>
    <row r="1222" spans="1:4" ht="12.75" customHeight="1" x14ac:dyDescent="0.2">
      <c r="A1222" s="21"/>
      <c r="B1222" s="2"/>
      <c r="C1222" s="2"/>
      <c r="D1222" s="2"/>
    </row>
    <row r="1223" spans="1:4" ht="12.75" customHeight="1" x14ac:dyDescent="0.2">
      <c r="A1223" s="21"/>
      <c r="B1223" s="2"/>
      <c r="C1223" s="2"/>
      <c r="D1223" s="2"/>
    </row>
    <row r="1224" spans="1:4" ht="12.75" customHeight="1" x14ac:dyDescent="0.2">
      <c r="A1224" s="21"/>
      <c r="B1224" s="2"/>
      <c r="C1224" s="2"/>
      <c r="D1224" s="2"/>
    </row>
    <row r="1225" spans="1:4" ht="12.75" customHeight="1" x14ac:dyDescent="0.2">
      <c r="A1225" s="5"/>
      <c r="B1225" s="2"/>
      <c r="C1225" s="2"/>
      <c r="D1225" s="2"/>
    </row>
    <row r="1226" spans="1:4" ht="12.75" customHeight="1" x14ac:dyDescent="0.2">
      <c r="A1226" s="22" t="str">
        <f>HYPERLINK("javascript:void(0)","csillámtaposó")</f>
        <v>csillámtaposó</v>
      </c>
      <c r="B1226" s="21"/>
      <c r="C1226" s="21"/>
      <c r="D1226" s="21"/>
    </row>
    <row r="1227" spans="1:4" ht="12.75" customHeight="1" x14ac:dyDescent="0.2">
      <c r="A1227" s="20"/>
      <c r="B1227" s="2"/>
      <c r="C1227" s="2"/>
      <c r="D1227" s="2"/>
    </row>
    <row r="1228" spans="1:4" ht="12.75" customHeight="1" x14ac:dyDescent="0.2">
      <c r="A1228" s="21"/>
      <c r="B1228" s="3" t="s">
        <v>0</v>
      </c>
      <c r="C1228" s="20" t="s">
        <v>151</v>
      </c>
      <c r="D1228" s="21"/>
    </row>
    <row r="1229" spans="1:4" ht="12.75" customHeight="1" x14ac:dyDescent="0.2">
      <c r="A1229" s="21"/>
      <c r="B1229" s="3" t="s">
        <v>2</v>
      </c>
      <c r="C1229" s="20"/>
      <c r="D1229" s="21"/>
    </row>
    <row r="1230" spans="1:4" ht="12.75" customHeight="1" x14ac:dyDescent="0.2">
      <c r="A1230" s="21"/>
      <c r="B1230" s="3" t="s">
        <v>1840</v>
      </c>
      <c r="C1230" s="20" t="s">
        <v>242</v>
      </c>
      <c r="D1230" s="21"/>
    </row>
    <row r="1231" spans="1:4" ht="12.75" customHeight="1" x14ac:dyDescent="0.2">
      <c r="A1231" s="21"/>
      <c r="B1231" s="3" t="s">
        <v>9</v>
      </c>
      <c r="C1231" s="20" t="s">
        <v>200</v>
      </c>
      <c r="D1231" s="21"/>
    </row>
    <row r="1232" spans="1:4" ht="12.75" customHeight="1" x14ac:dyDescent="0.2">
      <c r="A1232" s="21"/>
      <c r="B1232" s="3" t="s">
        <v>11</v>
      </c>
      <c r="C1232" s="20" t="s">
        <v>684</v>
      </c>
      <c r="D1232" s="21"/>
    </row>
    <row r="1233" spans="1:4" ht="12.75" customHeight="1" x14ac:dyDescent="0.2">
      <c r="A1233" s="21"/>
      <c r="B1233" s="3" t="s">
        <v>16</v>
      </c>
      <c r="C1233" s="20"/>
      <c r="D1233" s="21"/>
    </row>
    <row r="1234" spans="1:4" ht="12.75" customHeight="1" x14ac:dyDescent="0.2">
      <c r="A1234" s="21"/>
      <c r="B1234" s="3" t="s">
        <v>17</v>
      </c>
      <c r="C1234" s="20" t="s">
        <v>19</v>
      </c>
      <c r="D1234" s="21"/>
    </row>
    <row r="1235" spans="1:4" ht="12.75" customHeight="1" x14ac:dyDescent="0.2">
      <c r="A1235" s="21"/>
      <c r="B1235" s="20" t="s">
        <v>18</v>
      </c>
      <c r="C1235" s="4" t="s">
        <v>57</v>
      </c>
      <c r="D1235" s="6" t="str">
        <f>HYPERLINK("javascript:void(0)","csillámgöb")</f>
        <v>csillámgöb</v>
      </c>
    </row>
    <row r="1236" spans="1:4" ht="25.5" customHeight="1" x14ac:dyDescent="0.2">
      <c r="A1236" s="21"/>
      <c r="B1236" s="21"/>
      <c r="C1236" s="4" t="s">
        <v>44</v>
      </c>
      <c r="D1236" s="6" t="str">
        <f>HYPERLINK("javascript:void(0)","csillámos nyomhagyó")</f>
        <v>csillámos nyomhagyó</v>
      </c>
    </row>
    <row r="1237" spans="1:4" ht="12.75" customHeight="1" x14ac:dyDescent="0.2">
      <c r="A1237" s="21"/>
      <c r="B1237" s="21"/>
      <c r="C1237" s="4" t="s">
        <v>403</v>
      </c>
      <c r="D1237" s="6" t="str">
        <f>HYPERLINK("javascript:void(0)","sárkány szív")</f>
        <v>sárkány szív</v>
      </c>
    </row>
    <row r="1238" spans="1:4" ht="12.75" customHeight="1" x14ac:dyDescent="0.2">
      <c r="A1238" s="21"/>
      <c r="B1238" s="2"/>
      <c r="C1238" s="2"/>
      <c r="D1238" s="2"/>
    </row>
    <row r="1239" spans="1:4" ht="12.75" customHeight="1" x14ac:dyDescent="0.2">
      <c r="A1239" s="21"/>
      <c r="B1239" s="2"/>
      <c r="C1239" s="2"/>
      <c r="D1239" s="2"/>
    </row>
    <row r="1240" spans="1:4" ht="12.75" customHeight="1" x14ac:dyDescent="0.2">
      <c r="A1240" s="21"/>
      <c r="B1240" s="2"/>
      <c r="C1240" s="2"/>
      <c r="D1240" s="2"/>
    </row>
    <row r="1241" spans="1:4" ht="12.75" customHeight="1" x14ac:dyDescent="0.2">
      <c r="A1241" s="21"/>
      <c r="B1241" s="2"/>
      <c r="C1241" s="2"/>
      <c r="D1241" s="2"/>
    </row>
    <row r="1242" spans="1:4" ht="12.75" customHeight="1" x14ac:dyDescent="0.2">
      <c r="A1242" s="5"/>
      <c r="B1242" s="2"/>
      <c r="C1242" s="2"/>
      <c r="D1242" s="2"/>
    </row>
    <row r="1243" spans="1:4" ht="12.75" customHeight="1" x14ac:dyDescent="0.2">
      <c r="A1243" s="22" t="str">
        <f>HYPERLINK("javascript:void(0)","mengorni saru")</f>
        <v>mengorni saru</v>
      </c>
      <c r="B1243" s="21"/>
      <c r="C1243" s="21"/>
      <c r="D1243" s="21"/>
    </row>
    <row r="1244" spans="1:4" ht="12.75" customHeight="1" x14ac:dyDescent="0.2">
      <c r="A1244" s="20"/>
      <c r="B1244" s="2"/>
      <c r="C1244" s="2"/>
      <c r="D1244" s="2"/>
    </row>
    <row r="1245" spans="1:4" ht="12.75" customHeight="1" x14ac:dyDescent="0.2">
      <c r="A1245" s="21"/>
      <c r="B1245" s="3" t="s">
        <v>0</v>
      </c>
      <c r="C1245" s="20" t="s">
        <v>219</v>
      </c>
      <c r="D1245" s="21"/>
    </row>
    <row r="1246" spans="1:4" ht="12.75" customHeight="1" x14ac:dyDescent="0.2">
      <c r="A1246" s="21"/>
      <c r="B1246" s="3" t="s">
        <v>2</v>
      </c>
      <c r="C1246" s="20"/>
      <c r="D1246" s="21"/>
    </row>
    <row r="1247" spans="1:4" ht="12.75" customHeight="1" x14ac:dyDescent="0.2">
      <c r="A1247" s="21"/>
      <c r="B1247" s="3" t="s">
        <v>1840</v>
      </c>
      <c r="C1247" s="20" t="s">
        <v>1252</v>
      </c>
      <c r="D1247" s="21"/>
    </row>
    <row r="1248" spans="1:4" ht="12.75" customHeight="1" x14ac:dyDescent="0.2">
      <c r="A1248" s="21"/>
      <c r="B1248" s="3" t="s">
        <v>9</v>
      </c>
      <c r="C1248" s="20" t="s">
        <v>84</v>
      </c>
      <c r="D1248" s="21"/>
    </row>
    <row r="1249" spans="1:4" ht="12.75" customHeight="1" x14ac:dyDescent="0.2">
      <c r="A1249" s="21"/>
      <c r="B1249" s="3" t="s">
        <v>11</v>
      </c>
      <c r="C1249" s="20" t="s">
        <v>702</v>
      </c>
      <c r="D1249" s="21"/>
    </row>
    <row r="1250" spans="1:4" ht="12.75" customHeight="1" x14ac:dyDescent="0.2">
      <c r="A1250" s="21"/>
      <c r="B1250" s="3" t="s">
        <v>16</v>
      </c>
      <c r="C1250" s="20"/>
      <c r="D1250" s="21"/>
    </row>
    <row r="1251" spans="1:4" ht="12.75" customHeight="1" x14ac:dyDescent="0.2">
      <c r="A1251" s="21"/>
      <c r="B1251" s="3" t="s">
        <v>17</v>
      </c>
      <c r="C1251" s="20" t="s">
        <v>19</v>
      </c>
      <c r="D1251" s="21"/>
    </row>
    <row r="1252" spans="1:4" ht="12.75" customHeight="1" x14ac:dyDescent="0.2">
      <c r="A1252" s="21"/>
      <c r="B1252" s="20" t="s">
        <v>18</v>
      </c>
      <c r="C1252" s="4" t="s">
        <v>44</v>
      </c>
      <c r="D1252" s="6" t="str">
        <f>HYPERLINK("javascript:void(0)","óriásacél saru")</f>
        <v>óriásacél saru</v>
      </c>
    </row>
    <row r="1253" spans="1:4" ht="12.75" customHeight="1" x14ac:dyDescent="0.2">
      <c r="A1253" s="21"/>
      <c r="B1253" s="21"/>
      <c r="C1253" s="4" t="s">
        <v>309</v>
      </c>
      <c r="D1253" s="6" t="str">
        <f>HYPERLINK("javascript:void(0)","nukleon")</f>
        <v>nukleon</v>
      </c>
    </row>
    <row r="1254" spans="1:4" ht="12.75" customHeight="1" x14ac:dyDescent="0.2">
      <c r="A1254" s="21"/>
      <c r="B1254" s="21"/>
      <c r="C1254" s="4" t="s">
        <v>98</v>
      </c>
      <c r="D1254" s="6" t="str">
        <f>HYPERLINK("javascript:void(0)","uszony")</f>
        <v>uszony</v>
      </c>
    </row>
    <row r="1255" spans="1:4" ht="12.75" customHeight="1" x14ac:dyDescent="0.2">
      <c r="A1255" s="21"/>
      <c r="B1255" s="2"/>
      <c r="C1255" s="2"/>
      <c r="D1255" s="2"/>
    </row>
    <row r="1256" spans="1:4" ht="12.75" customHeight="1" x14ac:dyDescent="0.2">
      <c r="A1256" s="21"/>
      <c r="B1256" s="2"/>
      <c r="C1256" s="2"/>
      <c r="D1256" s="2"/>
    </row>
    <row r="1257" spans="1:4" ht="12.75" customHeight="1" x14ac:dyDescent="0.2">
      <c r="A1257" s="21"/>
      <c r="B1257" s="2"/>
      <c r="C1257" s="2"/>
      <c r="D1257" s="2"/>
    </row>
    <row r="1258" spans="1:4" ht="12.75" customHeight="1" x14ac:dyDescent="0.2">
      <c r="A1258" s="21"/>
      <c r="B1258" s="2"/>
      <c r="C1258" s="2"/>
      <c r="D1258" s="2"/>
    </row>
    <row r="1259" spans="1:4" ht="12.75" customHeight="1" x14ac:dyDescent="0.2">
      <c r="A1259" s="5"/>
      <c r="B1259" s="2"/>
      <c r="C1259" s="2"/>
      <c r="D1259" s="2"/>
    </row>
    <row r="1260" spans="1:4" ht="12.75" customHeight="1" x14ac:dyDescent="0.2">
      <c r="A1260" s="22" t="str">
        <f>HYPERLINK("javascript:void(0)","skivei saru")</f>
        <v>skivei saru</v>
      </c>
      <c r="B1260" s="21"/>
      <c r="C1260" s="21"/>
      <c r="D1260" s="21"/>
    </row>
    <row r="1261" spans="1:4" ht="12.75" customHeight="1" x14ac:dyDescent="0.2">
      <c r="A1261" s="20"/>
      <c r="B1261" s="2"/>
      <c r="C1261" s="2"/>
      <c r="D1261" s="2"/>
    </row>
    <row r="1262" spans="1:4" ht="12.75" customHeight="1" x14ac:dyDescent="0.2">
      <c r="A1262" s="21"/>
      <c r="B1262" s="3" t="s">
        <v>0</v>
      </c>
      <c r="C1262" s="20" t="s">
        <v>613</v>
      </c>
      <c r="D1262" s="21"/>
    </row>
    <row r="1263" spans="1:4" ht="12.75" customHeight="1" x14ac:dyDescent="0.2">
      <c r="A1263" s="21"/>
      <c r="B1263" s="3" t="s">
        <v>2</v>
      </c>
      <c r="C1263" s="20"/>
      <c r="D1263" s="21"/>
    </row>
    <row r="1264" spans="1:4" ht="12.75" customHeight="1" x14ac:dyDescent="0.2">
      <c r="A1264" s="21"/>
      <c r="B1264" s="3" t="s">
        <v>1840</v>
      </c>
      <c r="C1264" s="20" t="s">
        <v>143</v>
      </c>
      <c r="D1264" s="21"/>
    </row>
    <row r="1265" spans="1:4" ht="12.75" customHeight="1" x14ac:dyDescent="0.2">
      <c r="A1265" s="21"/>
      <c r="B1265" s="3" t="s">
        <v>9</v>
      </c>
      <c r="C1265" s="20" t="s">
        <v>30</v>
      </c>
      <c r="D1265" s="21"/>
    </row>
    <row r="1266" spans="1:4" ht="12.75" customHeight="1" x14ac:dyDescent="0.2">
      <c r="A1266" s="21"/>
      <c r="B1266" s="3" t="s">
        <v>11</v>
      </c>
      <c r="C1266" s="20" t="s">
        <v>722</v>
      </c>
      <c r="D1266" s="21"/>
    </row>
    <row r="1267" spans="1:4" ht="12.75" customHeight="1" x14ac:dyDescent="0.2">
      <c r="A1267" s="21"/>
      <c r="B1267" s="3" t="s">
        <v>16</v>
      </c>
      <c r="C1267" s="20"/>
      <c r="D1267" s="21"/>
    </row>
    <row r="1268" spans="1:4" ht="12.75" customHeight="1" x14ac:dyDescent="0.2">
      <c r="A1268" s="21"/>
      <c r="B1268" s="3" t="s">
        <v>17</v>
      </c>
      <c r="C1268" s="20" t="s">
        <v>19</v>
      </c>
      <c r="D1268" s="21"/>
    </row>
    <row r="1269" spans="1:4" ht="12.75" customHeight="1" x14ac:dyDescent="0.2">
      <c r="A1269" s="21"/>
      <c r="B1269" s="20" t="s">
        <v>18</v>
      </c>
      <c r="C1269" s="4" t="s">
        <v>77</v>
      </c>
      <c r="D1269" s="6" t="str">
        <f>HYPERLINK("javascript:void(0)","vákuum")</f>
        <v>vákuum</v>
      </c>
    </row>
    <row r="1270" spans="1:4" ht="12.75" customHeight="1" x14ac:dyDescent="0.2">
      <c r="A1270" s="21"/>
      <c r="B1270" s="21"/>
      <c r="C1270" s="4" t="s">
        <v>193</v>
      </c>
      <c r="D1270" s="6" t="str">
        <f>HYPERLINK("javascript:void(0)","rémszarv")</f>
        <v>rémszarv</v>
      </c>
    </row>
    <row r="1271" spans="1:4" ht="12.75" customHeight="1" x14ac:dyDescent="0.2">
      <c r="A1271" s="21"/>
      <c r="B1271" s="21"/>
      <c r="C1271" s="4" t="s">
        <v>163</v>
      </c>
      <c r="D1271" s="6" t="str">
        <f>HYPERLINK("javascript:void(0)","vérrög")</f>
        <v>vérrög</v>
      </c>
    </row>
    <row r="1272" spans="1:4" ht="12.75" customHeight="1" x14ac:dyDescent="0.2">
      <c r="A1272" s="21"/>
      <c r="B1272" s="2"/>
      <c r="C1272" s="2"/>
      <c r="D1272" s="2"/>
    </row>
    <row r="1273" spans="1:4" ht="12.75" customHeight="1" x14ac:dyDescent="0.2">
      <c r="A1273" s="21"/>
      <c r="B1273" s="2"/>
      <c r="C1273" s="2"/>
      <c r="D1273" s="2"/>
    </row>
    <row r="1274" spans="1:4" ht="12.75" customHeight="1" x14ac:dyDescent="0.2">
      <c r="A1274" s="21"/>
      <c r="B1274" s="2"/>
      <c r="C1274" s="2"/>
      <c r="D1274" s="2"/>
    </row>
    <row r="1275" spans="1:4" ht="12.75" customHeight="1" x14ac:dyDescent="0.2">
      <c r="A1275" s="21"/>
      <c r="B1275" s="2"/>
      <c r="C1275" s="2"/>
      <c r="D1275" s="2"/>
    </row>
    <row r="1276" spans="1:4" ht="12.75" customHeight="1" x14ac:dyDescent="0.2">
      <c r="A1276" s="5"/>
      <c r="B1276" s="2"/>
      <c r="C1276" s="2"/>
      <c r="D1276" s="2"/>
    </row>
    <row r="1277" spans="1:4" ht="12.75" customHeight="1" x14ac:dyDescent="0.2">
      <c r="A1277" s="22" t="str">
        <f>HYPERLINK("javascript:void(0)","kompózium antigrav csizma")</f>
        <v>kompózium antigrav csizma</v>
      </c>
      <c r="B1277" s="21"/>
      <c r="C1277" s="21"/>
      <c r="D1277" s="21"/>
    </row>
    <row r="1278" spans="1:4" ht="12.75" customHeight="1" x14ac:dyDescent="0.2">
      <c r="A1278" s="20"/>
      <c r="B1278" s="2"/>
      <c r="C1278" s="2"/>
      <c r="D1278" s="2"/>
    </row>
    <row r="1279" spans="1:4" ht="12.75" customHeight="1" x14ac:dyDescent="0.2">
      <c r="A1279" s="21"/>
      <c r="B1279" s="3" t="s">
        <v>0</v>
      </c>
      <c r="C1279" s="20" t="s">
        <v>613</v>
      </c>
      <c r="D1279" s="21"/>
    </row>
    <row r="1280" spans="1:4" ht="12.75" customHeight="1" x14ac:dyDescent="0.2">
      <c r="A1280" s="21"/>
      <c r="B1280" s="3" t="s">
        <v>2</v>
      </c>
      <c r="C1280" s="20"/>
      <c r="D1280" s="21"/>
    </row>
    <row r="1281" spans="1:4" ht="12.75" customHeight="1" x14ac:dyDescent="0.2">
      <c r="A1281" s="21"/>
      <c r="B1281" s="3" t="s">
        <v>1840</v>
      </c>
      <c r="C1281" s="20" t="s">
        <v>305</v>
      </c>
      <c r="D1281" s="21"/>
    </row>
    <row r="1282" spans="1:4" ht="12.75" customHeight="1" x14ac:dyDescent="0.2">
      <c r="A1282" s="21"/>
      <c r="B1282" s="3" t="s">
        <v>9</v>
      </c>
      <c r="C1282" s="20" t="s">
        <v>626</v>
      </c>
      <c r="D1282" s="21"/>
    </row>
    <row r="1283" spans="1:4" ht="12.75" customHeight="1" x14ac:dyDescent="0.2">
      <c r="A1283" s="21"/>
      <c r="B1283" s="3" t="s">
        <v>11</v>
      </c>
      <c r="C1283" s="20" t="s">
        <v>23</v>
      </c>
      <c r="D1283" s="21"/>
    </row>
    <row r="1284" spans="1:4" ht="12.75" customHeight="1" x14ac:dyDescent="0.2">
      <c r="A1284" s="21"/>
      <c r="B1284" s="3" t="s">
        <v>16</v>
      </c>
      <c r="C1284" s="20"/>
      <c r="D1284" s="21"/>
    </row>
    <row r="1285" spans="1:4" ht="12.75" customHeight="1" x14ac:dyDescent="0.2">
      <c r="A1285" s="21"/>
      <c r="B1285" s="3" t="s">
        <v>17</v>
      </c>
      <c r="C1285" s="20" t="s">
        <v>19</v>
      </c>
      <c r="D1285" s="21"/>
    </row>
    <row r="1286" spans="1:4" ht="25.5" customHeight="1" x14ac:dyDescent="0.2">
      <c r="A1286" s="21"/>
      <c r="B1286" s="20" t="s">
        <v>18</v>
      </c>
      <c r="C1286" s="4" t="s">
        <v>44</v>
      </c>
      <c r="D1286" s="6" t="str">
        <f>HYPERLINK("javascript:void(0)","hiper antigrav csizma")</f>
        <v>hiper antigrav csizma</v>
      </c>
    </row>
    <row r="1287" spans="1:4" ht="12.75" customHeight="1" x14ac:dyDescent="0.2">
      <c r="A1287" s="21"/>
      <c r="B1287" s="21"/>
      <c r="C1287" s="4" t="s">
        <v>139</v>
      </c>
      <c r="D1287" s="6" t="str">
        <f>HYPERLINK("javascript:void(0)","vákuum")</f>
        <v>vákuum</v>
      </c>
    </row>
    <row r="1288" spans="1:4" ht="12.75" customHeight="1" x14ac:dyDescent="0.2">
      <c r="A1288" s="21"/>
      <c r="B1288" s="21"/>
      <c r="C1288" s="4" t="s">
        <v>130</v>
      </c>
      <c r="D1288" s="6" t="str">
        <f>HYPERLINK("javascript:void(0)","istenköröm")</f>
        <v>istenköröm</v>
      </c>
    </row>
    <row r="1289" spans="1:4" ht="12.75" customHeight="1" x14ac:dyDescent="0.2">
      <c r="A1289" s="21"/>
      <c r="B1289" s="2"/>
      <c r="C1289" s="2"/>
      <c r="D1289" s="2"/>
    </row>
    <row r="1290" spans="1:4" ht="12.75" customHeight="1" x14ac:dyDescent="0.2">
      <c r="A1290" s="21"/>
      <c r="B1290" s="2"/>
      <c r="C1290" s="2"/>
      <c r="D1290" s="2"/>
    </row>
    <row r="1291" spans="1:4" ht="12.75" customHeight="1" x14ac:dyDescent="0.2">
      <c r="A1291" s="21"/>
      <c r="B1291" s="2"/>
      <c r="C1291" s="2"/>
      <c r="D1291" s="2"/>
    </row>
    <row r="1292" spans="1:4" ht="12.75" customHeight="1" x14ac:dyDescent="0.2">
      <c r="A1292" s="21"/>
      <c r="B1292" s="2"/>
      <c r="C1292" s="2"/>
      <c r="D1292" s="2"/>
    </row>
    <row r="1293" spans="1:4" ht="12.75" customHeight="1" x14ac:dyDescent="0.2">
      <c r="A1293" s="5"/>
      <c r="B1293" s="2"/>
      <c r="C1293" s="2"/>
      <c r="D1293" s="2"/>
    </row>
    <row r="1294" spans="1:4" ht="12.75" customHeight="1" x14ac:dyDescent="0.2">
      <c r="A1294" s="22" t="str">
        <f>HYPERLINK("javascript:void(0)","parszi saru")</f>
        <v>parszi saru</v>
      </c>
      <c r="B1294" s="21"/>
      <c r="C1294" s="21"/>
      <c r="D1294" s="21"/>
    </row>
    <row r="1295" spans="1:4" ht="12.75" customHeight="1" x14ac:dyDescent="0.2">
      <c r="A1295" s="20"/>
      <c r="B1295" s="2"/>
      <c r="C1295" s="2"/>
      <c r="D1295" s="2"/>
    </row>
    <row r="1296" spans="1:4" ht="12.75" customHeight="1" x14ac:dyDescent="0.2">
      <c r="A1296" s="21"/>
      <c r="B1296" s="3" t="s">
        <v>0</v>
      </c>
      <c r="C1296" s="20" t="s">
        <v>248</v>
      </c>
      <c r="D1296" s="21"/>
    </row>
    <row r="1297" spans="1:4" ht="12.75" customHeight="1" x14ac:dyDescent="0.2">
      <c r="A1297" s="21"/>
      <c r="B1297" s="3" t="s">
        <v>2</v>
      </c>
      <c r="C1297" s="20"/>
      <c r="D1297" s="21"/>
    </row>
    <row r="1298" spans="1:4" ht="12.75" customHeight="1" x14ac:dyDescent="0.2">
      <c r="A1298" s="21"/>
      <c r="B1298" s="3" t="s">
        <v>1840</v>
      </c>
      <c r="C1298" s="20" t="s">
        <v>242</v>
      </c>
      <c r="D1298" s="21"/>
    </row>
    <row r="1299" spans="1:4" ht="12.75" customHeight="1" x14ac:dyDescent="0.2">
      <c r="A1299" s="21"/>
      <c r="B1299" s="3" t="s">
        <v>9</v>
      </c>
      <c r="C1299" s="20" t="s">
        <v>27</v>
      </c>
      <c r="D1299" s="21"/>
    </row>
    <row r="1300" spans="1:4" ht="12.75" customHeight="1" x14ac:dyDescent="0.2">
      <c r="A1300" s="21"/>
      <c r="B1300" s="3" t="s">
        <v>11</v>
      </c>
      <c r="C1300" s="20" t="s">
        <v>739</v>
      </c>
      <c r="D1300" s="21"/>
    </row>
    <row r="1301" spans="1:4" ht="12.75" customHeight="1" x14ac:dyDescent="0.2">
      <c r="A1301" s="21"/>
      <c r="B1301" s="3" t="s">
        <v>16</v>
      </c>
      <c r="C1301" s="20"/>
      <c r="D1301" s="21"/>
    </row>
    <row r="1302" spans="1:4" ht="12.75" customHeight="1" x14ac:dyDescent="0.2">
      <c r="A1302" s="21"/>
      <c r="B1302" s="3" t="s">
        <v>17</v>
      </c>
      <c r="C1302" s="20" t="s">
        <v>19</v>
      </c>
      <c r="D1302" s="21"/>
    </row>
    <row r="1303" spans="1:4" ht="12.75" customHeight="1" x14ac:dyDescent="0.2">
      <c r="A1303" s="21"/>
      <c r="B1303" s="20" t="s">
        <v>18</v>
      </c>
      <c r="C1303" s="4" t="s">
        <v>44</v>
      </c>
      <c r="D1303" s="6" t="str">
        <f>HYPERLINK("javascript:void(0)","mengorni saru")</f>
        <v>mengorni saru</v>
      </c>
    </row>
    <row r="1304" spans="1:4" ht="12.75" customHeight="1" x14ac:dyDescent="0.2">
      <c r="A1304" s="21"/>
      <c r="B1304" s="21"/>
      <c r="C1304" s="4" t="s">
        <v>44</v>
      </c>
      <c r="D1304" s="6" t="str">
        <f>HYPERLINK("javascript:void(0)","skivei saru")</f>
        <v>skivei saru</v>
      </c>
    </row>
    <row r="1305" spans="1:4" ht="12.75" customHeight="1" x14ac:dyDescent="0.2">
      <c r="A1305" s="21"/>
      <c r="B1305" s="21"/>
      <c r="C1305" s="4" t="s">
        <v>44</v>
      </c>
      <c r="D1305" s="6" t="str">
        <f>HYPERLINK("javascript:void(0)","parszi fűző")</f>
        <v>parszi fűző</v>
      </c>
    </row>
    <row r="1306" spans="1:4" ht="12.75" customHeight="1" x14ac:dyDescent="0.2">
      <c r="A1306" s="21"/>
      <c r="B1306" s="2"/>
      <c r="C1306" s="2"/>
      <c r="D1306" s="2"/>
    </row>
    <row r="1307" spans="1:4" ht="12.75" customHeight="1" x14ac:dyDescent="0.2">
      <c r="A1307" s="21"/>
      <c r="B1307" s="2"/>
      <c r="C1307" s="2"/>
      <c r="D1307" s="2"/>
    </row>
    <row r="1308" spans="1:4" ht="12.75" customHeight="1" x14ac:dyDescent="0.2">
      <c r="A1308" s="21"/>
      <c r="B1308" s="2"/>
      <c r="C1308" s="2"/>
      <c r="D1308" s="2"/>
    </row>
    <row r="1309" spans="1:4" ht="12.75" customHeight="1" x14ac:dyDescent="0.2">
      <c r="A1309" s="21"/>
      <c r="B1309" s="2"/>
      <c r="C1309" s="2"/>
      <c r="D1309" s="2"/>
    </row>
    <row r="1310" spans="1:4" ht="12.75" customHeight="1" x14ac:dyDescent="0.2">
      <c r="A1310" s="5"/>
      <c r="B1310" s="2"/>
      <c r="C1310" s="2"/>
      <c r="D1310" s="2"/>
    </row>
    <row r="1311" spans="1:4" ht="12.75" customHeight="1" x14ac:dyDescent="0.2">
      <c r="A1311" s="22" t="str">
        <f>HYPERLINK("javascript:void(0)","parszi fűző")</f>
        <v>parszi fűző</v>
      </c>
      <c r="B1311" s="21"/>
      <c r="C1311" s="21"/>
      <c r="D1311" s="21"/>
    </row>
    <row r="1312" spans="1:4" ht="12.75" customHeight="1" x14ac:dyDescent="0.2">
      <c r="A1312" s="20"/>
      <c r="B1312" s="2"/>
      <c r="C1312" s="2"/>
      <c r="D1312" s="2"/>
    </row>
    <row r="1313" spans="1:4" ht="12.75" customHeight="1" x14ac:dyDescent="0.2">
      <c r="A1313" s="21"/>
      <c r="B1313" s="3" t="s">
        <v>0</v>
      </c>
      <c r="C1313" s="20" t="s">
        <v>248</v>
      </c>
      <c r="D1313" s="21"/>
    </row>
    <row r="1314" spans="1:4" ht="12.75" customHeight="1" x14ac:dyDescent="0.2">
      <c r="A1314" s="21"/>
      <c r="B1314" s="3" t="s">
        <v>2</v>
      </c>
      <c r="C1314" s="20"/>
      <c r="D1314" s="21"/>
    </row>
    <row r="1315" spans="1:4" ht="12.75" customHeight="1" x14ac:dyDescent="0.2">
      <c r="A1315" s="21"/>
      <c r="B1315" s="3" t="s">
        <v>1840</v>
      </c>
      <c r="C1315" s="20" t="s">
        <v>340</v>
      </c>
      <c r="D1315" s="21"/>
    </row>
    <row r="1316" spans="1:4" ht="12.75" customHeight="1" x14ac:dyDescent="0.2">
      <c r="A1316" s="21"/>
      <c r="B1316" s="3" t="s">
        <v>9</v>
      </c>
      <c r="C1316" s="20" t="s">
        <v>42</v>
      </c>
      <c r="D1316" s="21"/>
    </row>
    <row r="1317" spans="1:4" ht="12.75" customHeight="1" x14ac:dyDescent="0.2">
      <c r="A1317" s="21"/>
      <c r="B1317" s="3" t="s">
        <v>11</v>
      </c>
      <c r="C1317" s="20" t="s">
        <v>368</v>
      </c>
      <c r="D1317" s="21"/>
    </row>
    <row r="1318" spans="1:4" ht="12.75" customHeight="1" x14ac:dyDescent="0.2">
      <c r="A1318" s="21"/>
      <c r="B1318" s="3" t="s">
        <v>16</v>
      </c>
      <c r="C1318" s="20"/>
      <c r="D1318" s="21"/>
    </row>
    <row r="1319" spans="1:4" ht="12.75" customHeight="1" x14ac:dyDescent="0.2">
      <c r="A1319" s="21"/>
      <c r="B1319" s="3" t="s">
        <v>17</v>
      </c>
      <c r="C1319" s="20" t="s">
        <v>19</v>
      </c>
      <c r="D1319" s="21"/>
    </row>
    <row r="1320" spans="1:4" ht="12.75" customHeight="1" x14ac:dyDescent="0.2">
      <c r="A1320" s="21"/>
      <c r="B1320" s="20" t="s">
        <v>18</v>
      </c>
      <c r="C1320" s="4" t="s">
        <v>77</v>
      </c>
      <c r="D1320" s="6" t="str">
        <f>HYPERLINK("javascript:void(0)","gigacsáp")</f>
        <v>gigacsáp</v>
      </c>
    </row>
    <row r="1321" spans="1:4" ht="12.75" customHeight="1" x14ac:dyDescent="0.2">
      <c r="A1321" s="21"/>
      <c r="B1321" s="21"/>
      <c r="C1321" s="4" t="s">
        <v>382</v>
      </c>
      <c r="D1321" s="6" t="str">
        <f>HYPERLINK("javascript:void(0)","istenköröm")</f>
        <v>istenköröm</v>
      </c>
    </row>
    <row r="1322" spans="1:4" ht="12.75" customHeight="1" x14ac:dyDescent="0.2">
      <c r="A1322" s="21"/>
      <c r="B1322" s="21"/>
      <c r="C1322" s="4" t="s">
        <v>309</v>
      </c>
      <c r="D1322" s="6" t="str">
        <f>HYPERLINK("javascript:void(0)","mechodron")</f>
        <v>mechodron</v>
      </c>
    </row>
    <row r="1323" spans="1:4" ht="12.75" customHeight="1" x14ac:dyDescent="0.2">
      <c r="A1323" s="21"/>
      <c r="B1323" s="2"/>
      <c r="C1323" s="2"/>
      <c r="D1323" s="2"/>
    </row>
    <row r="1324" spans="1:4" ht="12.75" customHeight="1" x14ac:dyDescent="0.2">
      <c r="A1324" s="21"/>
      <c r="B1324" s="2"/>
      <c r="C1324" s="2"/>
      <c r="D1324" s="2"/>
    </row>
    <row r="1325" spans="1:4" ht="12.75" customHeight="1" x14ac:dyDescent="0.2">
      <c r="A1325" s="21"/>
      <c r="B1325" s="2"/>
      <c r="C1325" s="2"/>
      <c r="D1325" s="2"/>
    </row>
    <row r="1326" spans="1:4" ht="12.75" customHeight="1" x14ac:dyDescent="0.2">
      <c r="A1326" s="21"/>
      <c r="B1326" s="2"/>
      <c r="C1326" s="2"/>
      <c r="D1326" s="2"/>
    </row>
    <row r="1327" spans="1:4" ht="12.75" customHeight="1" x14ac:dyDescent="0.2">
      <c r="A1327" s="5"/>
      <c r="B1327" s="2"/>
      <c r="C1327" s="2"/>
      <c r="D1327" s="2"/>
    </row>
    <row r="1328" spans="1:4" ht="12.75" customHeight="1" x14ac:dyDescent="0.2">
      <c r="A1328" s="22" t="str">
        <f>HYPERLINK("javascript:void(0)","kentacél saru")</f>
        <v>kentacél saru</v>
      </c>
      <c r="B1328" s="21"/>
      <c r="C1328" s="21"/>
      <c r="D1328" s="21"/>
    </row>
    <row r="1329" spans="1:4" ht="12.75" customHeight="1" x14ac:dyDescent="0.2">
      <c r="A1329" s="20"/>
      <c r="B1329" s="2"/>
      <c r="C1329" s="2"/>
      <c r="D1329" s="2"/>
    </row>
    <row r="1330" spans="1:4" ht="12.75" customHeight="1" x14ac:dyDescent="0.2">
      <c r="A1330" s="21"/>
      <c r="B1330" s="3" t="s">
        <v>0</v>
      </c>
      <c r="C1330" s="20" t="s">
        <v>635</v>
      </c>
      <c r="D1330" s="21"/>
    </row>
    <row r="1331" spans="1:4" ht="12.75" customHeight="1" x14ac:dyDescent="0.2">
      <c r="A1331" s="21"/>
      <c r="B1331" s="3" t="s">
        <v>2</v>
      </c>
      <c r="C1331" s="20"/>
      <c r="D1331" s="21"/>
    </row>
    <row r="1332" spans="1:4" ht="12.75" customHeight="1" x14ac:dyDescent="0.2">
      <c r="A1332" s="21"/>
      <c r="B1332" s="3" t="s">
        <v>1840</v>
      </c>
      <c r="C1332" s="20" t="s">
        <v>1322</v>
      </c>
      <c r="D1332" s="21"/>
    </row>
    <row r="1333" spans="1:4" ht="12.75" customHeight="1" x14ac:dyDescent="0.2">
      <c r="A1333" s="21"/>
      <c r="B1333" s="3" t="s">
        <v>9</v>
      </c>
      <c r="C1333" s="20" t="s">
        <v>30</v>
      </c>
      <c r="D1333" s="21"/>
    </row>
    <row r="1334" spans="1:4" ht="12.75" customHeight="1" x14ac:dyDescent="0.2">
      <c r="A1334" s="21"/>
      <c r="B1334" s="3" t="s">
        <v>11</v>
      </c>
      <c r="C1334" s="20" t="s">
        <v>754</v>
      </c>
      <c r="D1334" s="21"/>
    </row>
    <row r="1335" spans="1:4" ht="12.75" customHeight="1" x14ac:dyDescent="0.2">
      <c r="A1335" s="21"/>
      <c r="B1335" s="3" t="s">
        <v>16</v>
      </c>
      <c r="C1335" s="20"/>
      <c r="D1335" s="21"/>
    </row>
    <row r="1336" spans="1:4" ht="12.75" customHeight="1" x14ac:dyDescent="0.2">
      <c r="A1336" s="21"/>
      <c r="B1336" s="3" t="s">
        <v>17</v>
      </c>
      <c r="C1336" s="20" t="s">
        <v>19</v>
      </c>
      <c r="D1336" s="21"/>
    </row>
    <row r="1337" spans="1:4" ht="12.75" customHeight="1" x14ac:dyDescent="0.2">
      <c r="A1337" s="21"/>
      <c r="B1337" s="20" t="s">
        <v>18</v>
      </c>
      <c r="C1337" s="4" t="s">
        <v>44</v>
      </c>
      <c r="D1337" s="6" t="str">
        <f>HYPERLINK("javascript:void(0)","parszi saru")</f>
        <v>parszi saru</v>
      </c>
    </row>
    <row r="1338" spans="1:4" ht="12.75" customHeight="1" x14ac:dyDescent="0.2">
      <c r="A1338" s="21"/>
      <c r="B1338" s="21"/>
      <c r="C1338" s="4" t="s">
        <v>77</v>
      </c>
      <c r="D1338" s="6" t="str">
        <f>HYPERLINK("javascript:void(0)","istenpenge")</f>
        <v>istenpenge</v>
      </c>
    </row>
    <row r="1339" spans="1:4" ht="12.75" customHeight="1" x14ac:dyDescent="0.2">
      <c r="A1339" s="21"/>
      <c r="B1339" s="21"/>
      <c r="C1339" s="4" t="s">
        <v>193</v>
      </c>
      <c r="D1339" s="6" t="str">
        <f>HYPERLINK("javascript:void(0)","kispárna")</f>
        <v>kispárna</v>
      </c>
    </row>
    <row r="1340" spans="1:4" ht="12.75" customHeight="1" x14ac:dyDescent="0.2">
      <c r="A1340" s="21"/>
      <c r="B1340" s="2"/>
      <c r="C1340" s="2"/>
      <c r="D1340" s="2"/>
    </row>
    <row r="1341" spans="1:4" ht="12.75" customHeight="1" x14ac:dyDescent="0.2">
      <c r="A1341" s="21"/>
      <c r="B1341" s="2"/>
      <c r="C1341" s="2"/>
      <c r="D1341" s="2"/>
    </row>
    <row r="1342" spans="1:4" ht="12.75" customHeight="1" x14ac:dyDescent="0.2">
      <c r="A1342" s="21"/>
      <c r="B1342" s="2"/>
      <c r="C1342" s="2"/>
      <c r="D1342" s="2"/>
    </row>
    <row r="1343" spans="1:4" ht="12.75" customHeight="1" x14ac:dyDescent="0.2">
      <c r="A1343" s="21"/>
      <c r="B1343" s="2"/>
      <c r="C1343" s="2"/>
      <c r="D1343" s="2"/>
    </row>
    <row r="1344" spans="1:4" ht="12.75" customHeight="1" x14ac:dyDescent="0.2">
      <c r="A1344" s="5"/>
      <c r="B1344" s="2"/>
      <c r="C1344" s="2"/>
      <c r="D1344" s="2"/>
    </row>
    <row r="1345" spans="1:4" ht="12.75" customHeight="1" x14ac:dyDescent="0.2">
      <c r="A1345" s="22" t="str">
        <f>HYPERLINK("javascript:void(0)","magnetoacél előlap")</f>
        <v>magnetoacél előlap</v>
      </c>
      <c r="B1345" s="21"/>
      <c r="C1345" s="21"/>
      <c r="D1345" s="21"/>
    </row>
    <row r="1346" spans="1:4" ht="12.75" customHeight="1" x14ac:dyDescent="0.2">
      <c r="A1346" s="20"/>
      <c r="B1346" s="2"/>
      <c r="C1346" s="2"/>
      <c r="D1346" s="2"/>
    </row>
    <row r="1347" spans="1:4" ht="12.75" customHeight="1" x14ac:dyDescent="0.2">
      <c r="A1347" s="21"/>
      <c r="B1347" s="3" t="s">
        <v>0</v>
      </c>
      <c r="C1347" s="20" t="s">
        <v>635</v>
      </c>
      <c r="D1347" s="21"/>
    </row>
    <row r="1348" spans="1:4" ht="12.75" customHeight="1" x14ac:dyDescent="0.2">
      <c r="A1348" s="21"/>
      <c r="B1348" s="3" t="s">
        <v>2</v>
      </c>
      <c r="C1348" s="20"/>
      <c r="D1348" s="21"/>
    </row>
    <row r="1349" spans="1:4" ht="12.75" customHeight="1" x14ac:dyDescent="0.2">
      <c r="A1349" s="21"/>
      <c r="B1349" s="3" t="s">
        <v>1840</v>
      </c>
      <c r="C1349" s="20" t="s">
        <v>274</v>
      </c>
      <c r="D1349" s="21"/>
    </row>
    <row r="1350" spans="1:4" ht="12.75" customHeight="1" x14ac:dyDescent="0.2">
      <c r="A1350" s="21"/>
      <c r="B1350" s="3" t="s">
        <v>9</v>
      </c>
      <c r="C1350" s="20" t="s">
        <v>42</v>
      </c>
      <c r="D1350" s="21"/>
    </row>
    <row r="1351" spans="1:4" ht="12.75" customHeight="1" x14ac:dyDescent="0.2">
      <c r="A1351" s="21"/>
      <c r="B1351" s="3" t="s">
        <v>11</v>
      </c>
      <c r="C1351" s="20" t="s">
        <v>368</v>
      </c>
      <c r="D1351" s="21"/>
    </row>
    <row r="1352" spans="1:4" ht="12.75" customHeight="1" x14ac:dyDescent="0.2">
      <c r="A1352" s="21"/>
      <c r="B1352" s="3" t="s">
        <v>16</v>
      </c>
      <c r="C1352" s="20"/>
      <c r="D1352" s="21"/>
    </row>
    <row r="1353" spans="1:4" ht="12.75" customHeight="1" x14ac:dyDescent="0.2">
      <c r="A1353" s="21"/>
      <c r="B1353" s="3" t="s">
        <v>17</v>
      </c>
      <c r="C1353" s="20" t="s">
        <v>19</v>
      </c>
      <c r="D1353" s="21"/>
    </row>
    <row r="1354" spans="1:4" ht="12.75" customHeight="1" x14ac:dyDescent="0.2">
      <c r="A1354" s="21"/>
      <c r="B1354" s="20" t="s">
        <v>18</v>
      </c>
      <c r="C1354" s="4" t="s">
        <v>309</v>
      </c>
      <c r="D1354" s="6" t="str">
        <f>HYPERLINK("javascript:void(0)","mágnes")</f>
        <v>mágnes</v>
      </c>
    </row>
    <row r="1355" spans="1:4" ht="12.75" customHeight="1" x14ac:dyDescent="0.2">
      <c r="A1355" s="21"/>
      <c r="B1355" s="21"/>
      <c r="C1355" s="4" t="s">
        <v>68</v>
      </c>
      <c r="D1355" s="6" t="str">
        <f>HYPERLINK("javascript:void(0)","vasorr")</f>
        <v>vasorr</v>
      </c>
    </row>
    <row r="1356" spans="1:4" ht="12.75" customHeight="1" x14ac:dyDescent="0.2">
      <c r="A1356" s="21"/>
      <c r="B1356" s="21"/>
      <c r="C1356" s="4" t="s">
        <v>193</v>
      </c>
      <c r="D1356" s="6" t="str">
        <f>HYPERLINK("javascript:void(0)","trolltartó")</f>
        <v>trolltartó</v>
      </c>
    </row>
    <row r="1357" spans="1:4" ht="12.75" customHeight="1" x14ac:dyDescent="0.2">
      <c r="A1357" s="21"/>
      <c r="B1357" s="2"/>
      <c r="C1357" s="2"/>
      <c r="D1357" s="2"/>
    </row>
    <row r="1358" spans="1:4" ht="12.75" customHeight="1" x14ac:dyDescent="0.2">
      <c r="A1358" s="21"/>
      <c r="B1358" s="2"/>
      <c r="C1358" s="2"/>
      <c r="D1358" s="2"/>
    </row>
    <row r="1359" spans="1:4" ht="12.75" customHeight="1" x14ac:dyDescent="0.2">
      <c r="A1359" s="21"/>
      <c r="B1359" s="2"/>
      <c r="C1359" s="2"/>
      <c r="D1359" s="2"/>
    </row>
    <row r="1360" spans="1:4" ht="12.75" customHeight="1" x14ac:dyDescent="0.2">
      <c r="A1360" s="21"/>
      <c r="B1360" s="2"/>
      <c r="C1360" s="2"/>
      <c r="D1360" s="2"/>
    </row>
    <row r="1361" spans="1:4" ht="12.75" customHeight="1" x14ac:dyDescent="0.2">
      <c r="A1361" s="5"/>
      <c r="B1361" s="2"/>
      <c r="C1361" s="2"/>
      <c r="D1361" s="2"/>
    </row>
    <row r="1362" spans="1:4" ht="12.75" customHeight="1" x14ac:dyDescent="0.2">
      <c r="A1362" s="22" t="str">
        <f>HYPERLINK("javascript:void(0)","wendír saru")</f>
        <v>wendír saru</v>
      </c>
      <c r="B1362" s="21"/>
      <c r="C1362" s="21"/>
      <c r="D1362" s="21"/>
    </row>
    <row r="1363" spans="1:4" ht="12.75" customHeight="1" x14ac:dyDescent="0.2">
      <c r="A1363" s="20"/>
      <c r="B1363" s="2"/>
      <c r="C1363" s="2"/>
      <c r="D1363" s="2"/>
    </row>
    <row r="1364" spans="1:4" ht="12.75" customHeight="1" x14ac:dyDescent="0.2">
      <c r="A1364" s="21"/>
      <c r="B1364" s="3" t="s">
        <v>0</v>
      </c>
      <c r="C1364" s="20" t="s">
        <v>239</v>
      </c>
      <c r="D1364" s="21"/>
    </row>
    <row r="1365" spans="1:4" ht="12.75" customHeight="1" x14ac:dyDescent="0.2">
      <c r="A1365" s="21"/>
      <c r="B1365" s="3" t="s">
        <v>2</v>
      </c>
      <c r="C1365" s="20"/>
      <c r="D1365" s="21"/>
    </row>
    <row r="1366" spans="1:4" ht="12.75" customHeight="1" x14ac:dyDescent="0.2">
      <c r="A1366" s="21"/>
      <c r="B1366" s="3" t="s">
        <v>1840</v>
      </c>
      <c r="C1366" s="20" t="s">
        <v>351</v>
      </c>
      <c r="D1366" s="21"/>
    </row>
    <row r="1367" spans="1:4" ht="12.75" customHeight="1" x14ac:dyDescent="0.2">
      <c r="A1367" s="21"/>
      <c r="B1367" s="3" t="s">
        <v>9</v>
      </c>
      <c r="C1367" s="20" t="s">
        <v>27</v>
      </c>
      <c r="D1367" s="21"/>
    </row>
    <row r="1368" spans="1:4" ht="12.75" customHeight="1" x14ac:dyDescent="0.2">
      <c r="A1368" s="21"/>
      <c r="B1368" s="3" t="s">
        <v>11</v>
      </c>
      <c r="C1368" s="20" t="s">
        <v>770</v>
      </c>
      <c r="D1368" s="21"/>
    </row>
    <row r="1369" spans="1:4" ht="12.75" customHeight="1" x14ac:dyDescent="0.2">
      <c r="A1369" s="21"/>
      <c r="B1369" s="3" t="s">
        <v>16</v>
      </c>
      <c r="C1369" s="20"/>
      <c r="D1369" s="21"/>
    </row>
    <row r="1370" spans="1:4" ht="12.75" customHeight="1" x14ac:dyDescent="0.2">
      <c r="A1370" s="21"/>
      <c r="B1370" s="3" t="s">
        <v>17</v>
      </c>
      <c r="C1370" s="20" t="s">
        <v>19</v>
      </c>
      <c r="D1370" s="21"/>
    </row>
    <row r="1371" spans="1:4" ht="12.75" customHeight="1" x14ac:dyDescent="0.2">
      <c r="A1371" s="21"/>
      <c r="B1371" s="20" t="s">
        <v>18</v>
      </c>
      <c r="C1371" s="4" t="s">
        <v>98</v>
      </c>
      <c r="D1371" s="6" t="str">
        <f>HYPERLINK("javascript:void(0)","ragya")</f>
        <v>ragya</v>
      </c>
    </row>
    <row r="1372" spans="1:4" ht="12.75" customHeight="1" x14ac:dyDescent="0.2">
      <c r="A1372" s="21"/>
      <c r="B1372" s="21"/>
      <c r="C1372" s="4" t="s">
        <v>280</v>
      </c>
      <c r="D1372" s="6" t="str">
        <f>HYPERLINK("javascript:void(0)","nukleon")</f>
        <v>nukleon</v>
      </c>
    </row>
    <row r="1373" spans="1:4" ht="12.75" customHeight="1" x14ac:dyDescent="0.2">
      <c r="A1373" s="21"/>
      <c r="B1373" s="21"/>
      <c r="C1373" s="4" t="s">
        <v>494</v>
      </c>
      <c r="D1373" s="6" t="str">
        <f>HYPERLINK("javascript:void(0)","szent szimbólum")</f>
        <v>szent szimbólum</v>
      </c>
    </row>
    <row r="1374" spans="1:4" ht="12.75" customHeight="1" x14ac:dyDescent="0.2">
      <c r="A1374" s="21"/>
      <c r="B1374" s="2"/>
      <c r="C1374" s="2"/>
      <c r="D1374" s="2"/>
    </row>
    <row r="1375" spans="1:4" ht="12.75" customHeight="1" x14ac:dyDescent="0.2">
      <c r="A1375" s="21"/>
      <c r="B1375" s="2"/>
      <c r="C1375" s="2"/>
      <c r="D1375" s="2"/>
    </row>
    <row r="1376" spans="1:4" ht="12.75" customHeight="1" x14ac:dyDescent="0.2">
      <c r="A1376" s="21"/>
      <c r="B1376" s="2"/>
      <c r="C1376" s="2"/>
      <c r="D1376" s="2"/>
    </row>
    <row r="1377" spans="1:4" ht="12.75" customHeight="1" x14ac:dyDescent="0.2">
      <c r="A1377" s="21"/>
      <c r="B1377" s="2"/>
      <c r="C1377" s="2"/>
      <c r="D1377" s="2"/>
    </row>
    <row r="1378" spans="1:4" ht="12.75" customHeight="1" x14ac:dyDescent="0.2">
      <c r="A1378" s="5"/>
      <c r="B1378" s="2"/>
      <c r="C1378" s="2"/>
      <c r="D1378" s="2"/>
    </row>
    <row r="1379" spans="1:4" ht="12.75" customHeight="1" x14ac:dyDescent="0.2">
      <c r="A1379" s="22" t="str">
        <f>HYPERLINK("javascript:void(0)","hidracél antigrav csizma")</f>
        <v>hidracél antigrav csizma</v>
      </c>
      <c r="B1379" s="21"/>
      <c r="C1379" s="21"/>
      <c r="D1379" s="21"/>
    </row>
    <row r="1380" spans="1:4" ht="12.75" customHeight="1" x14ac:dyDescent="0.2">
      <c r="A1380" s="20"/>
      <c r="B1380" s="2"/>
      <c r="C1380" s="2"/>
      <c r="D1380" s="2"/>
    </row>
    <row r="1381" spans="1:4" ht="12.75" customHeight="1" x14ac:dyDescent="0.2">
      <c r="A1381" s="21"/>
      <c r="B1381" s="3" t="s">
        <v>0</v>
      </c>
      <c r="C1381" s="20" t="s">
        <v>239</v>
      </c>
      <c r="D1381" s="21"/>
    </row>
    <row r="1382" spans="1:4" ht="12.75" customHeight="1" x14ac:dyDescent="0.2">
      <c r="A1382" s="21"/>
      <c r="B1382" s="3" t="s">
        <v>2</v>
      </c>
      <c r="C1382" s="20"/>
      <c r="D1382" s="21"/>
    </row>
    <row r="1383" spans="1:4" ht="12.75" customHeight="1" x14ac:dyDescent="0.2">
      <c r="A1383" s="21"/>
      <c r="B1383" s="3" t="s">
        <v>1840</v>
      </c>
      <c r="C1383" s="20" t="s">
        <v>1165</v>
      </c>
      <c r="D1383" s="21"/>
    </row>
    <row r="1384" spans="1:4" ht="12.75" customHeight="1" x14ac:dyDescent="0.2">
      <c r="A1384" s="21"/>
      <c r="B1384" s="3" t="s">
        <v>9</v>
      </c>
      <c r="C1384" s="20" t="s">
        <v>626</v>
      </c>
      <c r="D1384" s="21"/>
    </row>
    <row r="1385" spans="1:4" ht="12.75" customHeight="1" x14ac:dyDescent="0.2">
      <c r="A1385" s="21"/>
      <c r="B1385" s="3" t="s">
        <v>11</v>
      </c>
      <c r="C1385" s="20" t="s">
        <v>23</v>
      </c>
      <c r="D1385" s="21"/>
    </row>
    <row r="1386" spans="1:4" ht="12.75" customHeight="1" x14ac:dyDescent="0.2">
      <c r="A1386" s="21"/>
      <c r="B1386" s="3" t="s">
        <v>16</v>
      </c>
      <c r="C1386" s="20"/>
      <c r="D1386" s="21"/>
    </row>
    <row r="1387" spans="1:4" ht="12.75" customHeight="1" x14ac:dyDescent="0.2">
      <c r="A1387" s="21"/>
      <c r="B1387" s="3" t="s">
        <v>17</v>
      </c>
      <c r="C1387" s="20" t="s">
        <v>19</v>
      </c>
      <c r="D1387" s="21"/>
    </row>
    <row r="1388" spans="1:4" ht="25.5" customHeight="1" x14ac:dyDescent="0.2">
      <c r="A1388" s="21"/>
      <c r="B1388" s="20" t="s">
        <v>18</v>
      </c>
      <c r="C1388" s="4" t="s">
        <v>44</v>
      </c>
      <c r="D1388" s="6" t="str">
        <f>HYPERLINK("javascript:void(0)","kompózium antigrav csizma")</f>
        <v>kompózium antigrav csizma</v>
      </c>
    </row>
    <row r="1389" spans="1:4" ht="12.75" customHeight="1" x14ac:dyDescent="0.2">
      <c r="A1389" s="21"/>
      <c r="B1389" s="21"/>
      <c r="C1389" s="4" t="s">
        <v>382</v>
      </c>
      <c r="D1389" s="6" t="str">
        <f>HYPERLINK("javascript:void(0)","ragya")</f>
        <v>ragya</v>
      </c>
    </row>
    <row r="1390" spans="1:4" ht="12.75" customHeight="1" x14ac:dyDescent="0.2">
      <c r="A1390" s="21"/>
      <c r="B1390" s="21"/>
      <c r="C1390" s="4" t="s">
        <v>193</v>
      </c>
      <c r="D1390" s="6" t="str">
        <f>HYPERLINK("javascript:void(0)","vákuum")</f>
        <v>vákuum</v>
      </c>
    </row>
    <row r="1391" spans="1:4" ht="12.75" customHeight="1" x14ac:dyDescent="0.2">
      <c r="A1391" s="21"/>
      <c r="B1391" s="2"/>
      <c r="C1391" s="2"/>
      <c r="D1391" s="2"/>
    </row>
    <row r="1392" spans="1:4" ht="12.75" customHeight="1" x14ac:dyDescent="0.2">
      <c r="A1392" s="21"/>
      <c r="B1392" s="2"/>
      <c r="C1392" s="2"/>
      <c r="D1392" s="2"/>
    </row>
    <row r="1393" spans="1:4" ht="12.75" customHeight="1" x14ac:dyDescent="0.2">
      <c r="A1393" s="21"/>
      <c r="B1393" s="2"/>
      <c r="C1393" s="2"/>
      <c r="D1393" s="2"/>
    </row>
    <row r="1394" spans="1:4" ht="12.75" customHeight="1" x14ac:dyDescent="0.2">
      <c r="A1394" s="21"/>
      <c r="B1394" s="2"/>
      <c r="C1394" s="2"/>
      <c r="D1394" s="2"/>
    </row>
    <row r="1395" spans="1:4" ht="12.75" customHeight="1" x14ac:dyDescent="0.2">
      <c r="A1395" s="5"/>
      <c r="B1395" s="2"/>
      <c r="C1395" s="2"/>
      <c r="D1395" s="2"/>
    </row>
    <row r="1396" spans="1:4" ht="12.75" customHeight="1" x14ac:dyDescent="0.2">
      <c r="A1396" s="22" t="str">
        <f>HYPERLINK("javascript:void(0)","csillámló elfcsizma")</f>
        <v>csillámló elfcsizma</v>
      </c>
      <c r="B1396" s="21"/>
      <c r="C1396" s="21"/>
      <c r="D1396" s="21"/>
    </row>
    <row r="1397" spans="1:4" ht="12.75" customHeight="1" x14ac:dyDescent="0.2">
      <c r="A1397" s="20"/>
      <c r="B1397" s="2"/>
      <c r="C1397" s="2"/>
      <c r="D1397" s="2"/>
    </row>
    <row r="1398" spans="1:4" ht="12.75" customHeight="1" x14ac:dyDescent="0.2">
      <c r="A1398" s="21"/>
      <c r="B1398" s="3" t="s">
        <v>0</v>
      </c>
      <c r="C1398" s="20" t="s">
        <v>239</v>
      </c>
      <c r="D1398" s="21"/>
    </row>
    <row r="1399" spans="1:4" ht="12.75" customHeight="1" x14ac:dyDescent="0.2">
      <c r="A1399" s="21"/>
      <c r="B1399" s="3" t="s">
        <v>2</v>
      </c>
      <c r="C1399" s="20"/>
      <c r="D1399" s="21"/>
    </row>
    <row r="1400" spans="1:4" ht="12.75" customHeight="1" x14ac:dyDescent="0.2">
      <c r="A1400" s="21"/>
      <c r="B1400" s="3" t="s">
        <v>1840</v>
      </c>
      <c r="C1400" s="20" t="s">
        <v>1390</v>
      </c>
      <c r="D1400" s="21"/>
    </row>
    <row r="1401" spans="1:4" ht="12.75" customHeight="1" x14ac:dyDescent="0.2">
      <c r="A1401" s="21"/>
      <c r="B1401" s="3" t="s">
        <v>9</v>
      </c>
      <c r="C1401" s="20" t="s">
        <v>1907</v>
      </c>
      <c r="D1401" s="21"/>
    </row>
    <row r="1402" spans="1:4" ht="12.75" customHeight="1" x14ac:dyDescent="0.2">
      <c r="A1402" s="21"/>
      <c r="B1402" s="3" t="s">
        <v>11</v>
      </c>
      <c r="C1402" s="20" t="s">
        <v>770</v>
      </c>
      <c r="D1402" s="21"/>
    </row>
    <row r="1403" spans="1:4" ht="12.75" customHeight="1" x14ac:dyDescent="0.2">
      <c r="A1403" s="21"/>
      <c r="B1403" s="3" t="s">
        <v>16</v>
      </c>
      <c r="C1403" s="20"/>
      <c r="D1403" s="21"/>
    </row>
    <row r="1404" spans="1:4" ht="12.75" customHeight="1" x14ac:dyDescent="0.2">
      <c r="A1404" s="21"/>
      <c r="B1404" s="3" t="s">
        <v>17</v>
      </c>
      <c r="C1404" s="20" t="s">
        <v>19</v>
      </c>
      <c r="D1404" s="21"/>
    </row>
    <row r="1405" spans="1:4" ht="12.75" customHeight="1" x14ac:dyDescent="0.2">
      <c r="A1405" s="21"/>
      <c r="B1405" s="20" t="s">
        <v>18</v>
      </c>
      <c r="C1405" s="4" t="s">
        <v>57</v>
      </c>
      <c r="D1405" s="6" t="str">
        <f>HYPERLINK("javascript:void(0)","csillámgöb")</f>
        <v>csillámgöb</v>
      </c>
    </row>
    <row r="1406" spans="1:4" ht="12.75" customHeight="1" x14ac:dyDescent="0.2">
      <c r="A1406" s="21"/>
      <c r="B1406" s="21"/>
      <c r="C1406" s="4" t="s">
        <v>44</v>
      </c>
      <c r="D1406" s="6" t="str">
        <f>HYPERLINK("javascript:void(0)","csillámtaposó")</f>
        <v>csillámtaposó</v>
      </c>
    </row>
    <row r="1407" spans="1:4" ht="12.75" customHeight="1" x14ac:dyDescent="0.2">
      <c r="A1407" s="21"/>
      <c r="B1407" s="21"/>
      <c r="C1407" s="4" t="s">
        <v>309</v>
      </c>
      <c r="D1407" s="6" t="str">
        <f>HYPERLINK("javascript:void(0)","sárkánykarom")</f>
        <v>sárkánykarom</v>
      </c>
    </row>
    <row r="1408" spans="1:4" ht="12.75" customHeight="1" x14ac:dyDescent="0.2">
      <c r="A1408" s="21"/>
      <c r="B1408" s="2"/>
      <c r="C1408" s="2"/>
      <c r="D1408" s="2"/>
    </row>
    <row r="1409" spans="1:4" ht="12.75" customHeight="1" x14ac:dyDescent="0.2">
      <c r="A1409" s="21"/>
      <c r="B1409" s="2"/>
      <c r="C1409" s="2"/>
      <c r="D1409" s="2"/>
    </row>
    <row r="1410" spans="1:4" ht="12.75" customHeight="1" x14ac:dyDescent="0.2">
      <c r="A1410" s="21"/>
      <c r="B1410" s="2"/>
      <c r="C1410" s="2"/>
      <c r="D1410" s="2"/>
    </row>
    <row r="1411" spans="1:4" ht="12.75" customHeight="1" x14ac:dyDescent="0.2">
      <c r="A1411" s="21"/>
      <c r="B1411" s="2"/>
      <c r="C1411" s="2"/>
      <c r="D1411" s="2"/>
    </row>
    <row r="1412" spans="1:4" ht="12.75" customHeight="1" x14ac:dyDescent="0.2">
      <c r="A1412" s="5"/>
      <c r="B1412" s="2"/>
      <c r="C1412" s="2"/>
      <c r="D1412" s="2"/>
    </row>
    <row r="1413" spans="1:4" ht="12.75" customHeight="1" x14ac:dyDescent="0.2">
      <c r="A1413" s="22" t="str">
        <f>HYPERLINK("javascript:void(0)","fotoacél saru")</f>
        <v>fotoacél saru</v>
      </c>
      <c r="B1413" s="21"/>
      <c r="C1413" s="21"/>
      <c r="D1413" s="21"/>
    </row>
    <row r="1414" spans="1:4" ht="12.75" customHeight="1" x14ac:dyDescent="0.2">
      <c r="A1414" s="20"/>
      <c r="B1414" s="2"/>
      <c r="C1414" s="2"/>
      <c r="D1414" s="2"/>
    </row>
    <row r="1415" spans="1:4" ht="12.75" customHeight="1" x14ac:dyDescent="0.2">
      <c r="A1415" s="21"/>
      <c r="B1415" s="3" t="s">
        <v>0</v>
      </c>
      <c r="C1415" s="20" t="s">
        <v>651</v>
      </c>
      <c r="D1415" s="21"/>
    </row>
    <row r="1416" spans="1:4" ht="12.75" customHeight="1" x14ac:dyDescent="0.2">
      <c r="A1416" s="21"/>
      <c r="B1416" s="3" t="s">
        <v>2</v>
      </c>
      <c r="C1416" s="20"/>
      <c r="D1416" s="21"/>
    </row>
    <row r="1417" spans="1:4" ht="12.75" customHeight="1" x14ac:dyDescent="0.2">
      <c r="A1417" s="21"/>
      <c r="B1417" s="3" t="s">
        <v>1840</v>
      </c>
      <c r="C1417" s="20" t="s">
        <v>1362</v>
      </c>
      <c r="D1417" s="21"/>
    </row>
    <row r="1418" spans="1:4" ht="12.75" customHeight="1" x14ac:dyDescent="0.2">
      <c r="A1418" s="21"/>
      <c r="B1418" s="3" t="s">
        <v>9</v>
      </c>
      <c r="C1418" s="20" t="s">
        <v>30</v>
      </c>
      <c r="D1418" s="21"/>
    </row>
    <row r="1419" spans="1:4" ht="12.75" customHeight="1" x14ac:dyDescent="0.2">
      <c r="A1419" s="21"/>
      <c r="B1419" s="3" t="s">
        <v>11</v>
      </c>
      <c r="C1419" s="20" t="s">
        <v>779</v>
      </c>
      <c r="D1419" s="21"/>
    </row>
    <row r="1420" spans="1:4" ht="12.75" customHeight="1" x14ac:dyDescent="0.2">
      <c r="A1420" s="21"/>
      <c r="B1420" s="3" t="s">
        <v>16</v>
      </c>
      <c r="C1420" s="20"/>
      <c r="D1420" s="21"/>
    </row>
    <row r="1421" spans="1:4" ht="12.75" customHeight="1" x14ac:dyDescent="0.2">
      <c r="A1421" s="21"/>
      <c r="B1421" s="3" t="s">
        <v>17</v>
      </c>
      <c r="C1421" s="20" t="s">
        <v>19</v>
      </c>
      <c r="D1421" s="21"/>
    </row>
    <row r="1422" spans="1:4" ht="12.75" customHeight="1" x14ac:dyDescent="0.2">
      <c r="A1422" s="21"/>
      <c r="B1422" s="20" t="s">
        <v>18</v>
      </c>
      <c r="C1422" s="4" t="s">
        <v>44</v>
      </c>
      <c r="D1422" s="6" t="str">
        <f>HYPERLINK("javascript:void(0)","kentacél saru")</f>
        <v>kentacél saru</v>
      </c>
    </row>
    <row r="1423" spans="1:4" ht="12.75" customHeight="1" x14ac:dyDescent="0.2">
      <c r="A1423" s="21"/>
      <c r="B1423" s="21"/>
      <c r="C1423" s="4" t="s">
        <v>44</v>
      </c>
      <c r="D1423" s="6" t="str">
        <f>HYPERLINK("javascript:void(0)","wendír saru")</f>
        <v>wendír saru</v>
      </c>
    </row>
    <row r="1424" spans="1:4" ht="12.75" customHeight="1" x14ac:dyDescent="0.2">
      <c r="A1424" s="21"/>
      <c r="B1424" s="21"/>
      <c r="C1424" s="4" t="s">
        <v>44</v>
      </c>
      <c r="D1424" s="6" t="str">
        <f>HYPERLINK("javascript:void(0)","fotoacél talp")</f>
        <v>fotoacél talp</v>
      </c>
    </row>
    <row r="1425" spans="1:4" ht="12.75" customHeight="1" x14ac:dyDescent="0.2">
      <c r="A1425" s="21"/>
      <c r="B1425" s="2"/>
      <c r="C1425" s="2"/>
      <c r="D1425" s="2"/>
    </row>
    <row r="1426" spans="1:4" ht="12.75" customHeight="1" x14ac:dyDescent="0.2">
      <c r="A1426" s="21"/>
      <c r="B1426" s="2"/>
      <c r="C1426" s="2"/>
      <c r="D1426" s="2"/>
    </row>
    <row r="1427" spans="1:4" ht="12.75" customHeight="1" x14ac:dyDescent="0.2">
      <c r="A1427" s="21"/>
      <c r="B1427" s="2"/>
      <c r="C1427" s="2"/>
      <c r="D1427" s="2"/>
    </row>
    <row r="1428" spans="1:4" ht="12.75" customHeight="1" x14ac:dyDescent="0.2">
      <c r="A1428" s="21"/>
      <c r="B1428" s="2"/>
      <c r="C1428" s="2"/>
      <c r="D1428" s="2"/>
    </row>
    <row r="1429" spans="1:4" ht="12.75" customHeight="1" x14ac:dyDescent="0.2">
      <c r="A1429" s="5"/>
      <c r="B1429" s="2"/>
      <c r="C1429" s="2"/>
      <c r="D1429" s="2"/>
    </row>
    <row r="1430" spans="1:4" ht="12.75" customHeight="1" x14ac:dyDescent="0.2">
      <c r="A1430" s="22" t="str">
        <f>HYPERLINK("javascript:void(0)","hypnoacél előlap")</f>
        <v>hypnoacél előlap</v>
      </c>
      <c r="B1430" s="21"/>
      <c r="C1430" s="21"/>
      <c r="D1430" s="21"/>
    </row>
    <row r="1431" spans="1:4" ht="12.75" customHeight="1" x14ac:dyDescent="0.2">
      <c r="A1431" s="20"/>
      <c r="B1431" s="2"/>
      <c r="C1431" s="2"/>
      <c r="D1431" s="2"/>
    </row>
    <row r="1432" spans="1:4" ht="12.75" customHeight="1" x14ac:dyDescent="0.2">
      <c r="A1432" s="21"/>
      <c r="B1432" s="3" t="s">
        <v>0</v>
      </c>
      <c r="C1432" s="20" t="s">
        <v>651</v>
      </c>
      <c r="D1432" s="21"/>
    </row>
    <row r="1433" spans="1:4" ht="12.75" customHeight="1" x14ac:dyDescent="0.2">
      <c r="A1433" s="21"/>
      <c r="B1433" s="3" t="s">
        <v>2</v>
      </c>
      <c r="C1433" s="20"/>
      <c r="D1433" s="21"/>
    </row>
    <row r="1434" spans="1:4" ht="12.75" customHeight="1" x14ac:dyDescent="0.2">
      <c r="A1434" s="21"/>
      <c r="B1434" s="3" t="s">
        <v>1840</v>
      </c>
      <c r="C1434" s="20" t="s">
        <v>274</v>
      </c>
      <c r="D1434" s="21"/>
    </row>
    <row r="1435" spans="1:4" ht="12.75" customHeight="1" x14ac:dyDescent="0.2">
      <c r="A1435" s="21"/>
      <c r="B1435" s="3" t="s">
        <v>9</v>
      </c>
      <c r="C1435" s="20" t="s">
        <v>42</v>
      </c>
      <c r="D1435" s="21"/>
    </row>
    <row r="1436" spans="1:4" ht="12.75" customHeight="1" x14ac:dyDescent="0.2">
      <c r="A1436" s="21"/>
      <c r="B1436" s="3" t="s">
        <v>11</v>
      </c>
      <c r="C1436" s="20" t="s">
        <v>368</v>
      </c>
      <c r="D1436" s="21"/>
    </row>
    <row r="1437" spans="1:4" ht="12.75" customHeight="1" x14ac:dyDescent="0.2">
      <c r="A1437" s="21"/>
      <c r="B1437" s="3" t="s">
        <v>16</v>
      </c>
      <c r="C1437" s="20"/>
      <c r="D1437" s="21"/>
    </row>
    <row r="1438" spans="1:4" ht="12.75" customHeight="1" x14ac:dyDescent="0.2">
      <c r="A1438" s="21"/>
      <c r="B1438" s="3" t="s">
        <v>17</v>
      </c>
      <c r="C1438" s="20" t="s">
        <v>19</v>
      </c>
      <c r="D1438" s="21"/>
    </row>
    <row r="1439" spans="1:4" ht="12.75" customHeight="1" x14ac:dyDescent="0.2">
      <c r="A1439" s="21"/>
      <c r="B1439" s="20" t="s">
        <v>18</v>
      </c>
      <c r="C1439" s="4" t="s">
        <v>68</v>
      </c>
      <c r="D1439" s="6" t="str">
        <f>HYPERLINK("javascript:void(0)","hypnogén")</f>
        <v>hypnogén</v>
      </c>
    </row>
    <row r="1440" spans="1:4" ht="12.75" customHeight="1" x14ac:dyDescent="0.2">
      <c r="A1440" s="21"/>
      <c r="B1440" s="21"/>
      <c r="C1440" s="4" t="s">
        <v>193</v>
      </c>
      <c r="D1440" s="6" t="str">
        <f>HYPERLINK("javascript:void(0)","trolltartó")</f>
        <v>trolltartó</v>
      </c>
    </row>
    <row r="1441" spans="1:4" ht="12.75" customHeight="1" x14ac:dyDescent="0.2">
      <c r="A1441" s="21"/>
      <c r="B1441" s="21"/>
      <c r="C1441" s="4" t="s">
        <v>382</v>
      </c>
      <c r="D1441" s="6" t="str">
        <f>HYPERLINK("javascript:void(0)","ámbra")</f>
        <v>ámbra</v>
      </c>
    </row>
    <row r="1442" spans="1:4" ht="12.75" customHeight="1" x14ac:dyDescent="0.2">
      <c r="A1442" s="21"/>
      <c r="B1442" s="2"/>
      <c r="C1442" s="2"/>
      <c r="D1442" s="2"/>
    </row>
    <row r="1443" spans="1:4" ht="12.75" customHeight="1" x14ac:dyDescent="0.2">
      <c r="A1443" s="21"/>
      <c r="B1443" s="2"/>
      <c r="C1443" s="2"/>
      <c r="D1443" s="2"/>
    </row>
    <row r="1444" spans="1:4" ht="12.75" customHeight="1" x14ac:dyDescent="0.2">
      <c r="A1444" s="21"/>
      <c r="B1444" s="2"/>
      <c r="C1444" s="2"/>
      <c r="D1444" s="2"/>
    </row>
    <row r="1445" spans="1:4" ht="12.75" customHeight="1" x14ac:dyDescent="0.2">
      <c r="A1445" s="21"/>
      <c r="B1445" s="2"/>
      <c r="C1445" s="2"/>
      <c r="D1445" s="2"/>
    </row>
    <row r="1446" spans="1:4" ht="12.75" customHeight="1" x14ac:dyDescent="0.2">
      <c r="A1446" s="5"/>
      <c r="B1446" s="2"/>
      <c r="C1446" s="2"/>
      <c r="D1446" s="2"/>
    </row>
    <row r="1447" spans="1:4" ht="12.75" customHeight="1" x14ac:dyDescent="0.2">
      <c r="A1447" s="22" t="str">
        <f>HYPERLINK("javascript:void(0)","rimföldi saru")</f>
        <v>rimföldi saru</v>
      </c>
      <c r="B1447" s="21"/>
      <c r="C1447" s="21"/>
      <c r="D1447" s="21"/>
    </row>
    <row r="1448" spans="1:4" ht="12.75" customHeight="1" x14ac:dyDescent="0.2">
      <c r="A1448" s="20"/>
      <c r="B1448" s="2"/>
      <c r="C1448" s="2"/>
      <c r="D1448" s="2"/>
    </row>
    <row r="1449" spans="1:4" ht="12.75" customHeight="1" x14ac:dyDescent="0.2">
      <c r="A1449" s="21"/>
      <c r="B1449" s="3" t="s">
        <v>0</v>
      </c>
      <c r="C1449" s="20" t="s">
        <v>69</v>
      </c>
      <c r="D1449" s="21"/>
    </row>
    <row r="1450" spans="1:4" ht="12.75" customHeight="1" x14ac:dyDescent="0.2">
      <c r="A1450" s="21"/>
      <c r="B1450" s="3" t="s">
        <v>2</v>
      </c>
      <c r="C1450" s="20"/>
      <c r="D1450" s="21"/>
    </row>
    <row r="1451" spans="1:4" ht="12.75" customHeight="1" x14ac:dyDescent="0.2">
      <c r="A1451" s="21"/>
      <c r="B1451" s="3" t="s">
        <v>1840</v>
      </c>
      <c r="C1451" s="20" t="s">
        <v>1373</v>
      </c>
      <c r="D1451" s="21"/>
    </row>
    <row r="1452" spans="1:4" ht="12.75" customHeight="1" x14ac:dyDescent="0.2">
      <c r="A1452" s="21"/>
      <c r="B1452" s="3" t="s">
        <v>9</v>
      </c>
      <c r="C1452" s="20" t="s">
        <v>27</v>
      </c>
      <c r="D1452" s="21"/>
    </row>
    <row r="1453" spans="1:4" ht="12.75" customHeight="1" x14ac:dyDescent="0.2">
      <c r="A1453" s="21"/>
      <c r="B1453" s="3" t="s">
        <v>11</v>
      </c>
      <c r="C1453" s="20" t="s">
        <v>793</v>
      </c>
      <c r="D1453" s="21"/>
    </row>
    <row r="1454" spans="1:4" ht="12.75" customHeight="1" x14ac:dyDescent="0.2">
      <c r="A1454" s="21"/>
      <c r="B1454" s="3" t="s">
        <v>16</v>
      </c>
      <c r="C1454" s="20"/>
      <c r="D1454" s="21"/>
    </row>
    <row r="1455" spans="1:4" ht="12.75" customHeight="1" x14ac:dyDescent="0.2">
      <c r="A1455" s="21"/>
      <c r="B1455" s="3" t="s">
        <v>17</v>
      </c>
      <c r="C1455" s="20" t="s">
        <v>19</v>
      </c>
      <c r="D1455" s="21"/>
    </row>
    <row r="1456" spans="1:4" ht="12.75" customHeight="1" x14ac:dyDescent="0.2">
      <c r="A1456" s="21"/>
      <c r="B1456" s="20" t="s">
        <v>18</v>
      </c>
      <c r="C1456" s="4" t="s">
        <v>44</v>
      </c>
      <c r="D1456" s="6" t="str">
        <f>HYPERLINK("javascript:void(0)","fotoacél saru")</f>
        <v>fotoacél saru</v>
      </c>
    </row>
    <row r="1457" spans="1:4" ht="12.75" customHeight="1" x14ac:dyDescent="0.2">
      <c r="A1457" s="21"/>
      <c r="B1457" s="21"/>
      <c r="C1457" s="4" t="s">
        <v>77</v>
      </c>
      <c r="D1457" s="6" t="str">
        <f>HYPERLINK("javascript:void(0)","zselatin")</f>
        <v>zselatin</v>
      </c>
    </row>
    <row r="1458" spans="1:4" ht="12.75" customHeight="1" x14ac:dyDescent="0.2">
      <c r="A1458" s="21"/>
      <c r="B1458" s="21"/>
      <c r="C1458" s="4" t="s">
        <v>130</v>
      </c>
      <c r="D1458" s="6" t="str">
        <f>HYPERLINK("javascript:void(0)","hangjegy")</f>
        <v>hangjegy</v>
      </c>
    </row>
    <row r="1459" spans="1:4" ht="12.75" customHeight="1" x14ac:dyDescent="0.2">
      <c r="A1459" s="21"/>
      <c r="B1459" s="2"/>
      <c r="C1459" s="2"/>
      <c r="D1459" s="2"/>
    </row>
    <row r="1460" spans="1:4" ht="12.75" customHeight="1" x14ac:dyDescent="0.2">
      <c r="A1460" s="21"/>
      <c r="B1460" s="2"/>
      <c r="C1460" s="2"/>
      <c r="D1460" s="2"/>
    </row>
    <row r="1461" spans="1:4" ht="12.75" customHeight="1" x14ac:dyDescent="0.2">
      <c r="A1461" s="21"/>
      <c r="B1461" s="2"/>
      <c r="C1461" s="2"/>
      <c r="D1461" s="2"/>
    </row>
    <row r="1462" spans="1:4" ht="12.75" customHeight="1" x14ac:dyDescent="0.2">
      <c r="A1462" s="21"/>
      <c r="B1462" s="2"/>
      <c r="C1462" s="2"/>
      <c r="D1462" s="2"/>
    </row>
    <row r="1463" spans="1:4" ht="12.75" customHeight="1" x14ac:dyDescent="0.2">
      <c r="A1463" s="5"/>
      <c r="B1463" s="2"/>
      <c r="C1463" s="2"/>
      <c r="D1463" s="2"/>
    </row>
    <row r="1464" spans="1:4" ht="12.75" customHeight="1" x14ac:dyDescent="0.2">
      <c r="A1464" s="22" t="str">
        <f>HYPERLINK("javascript:void(0)","magnetoacél saru")</f>
        <v>magnetoacél saru</v>
      </c>
      <c r="B1464" s="21"/>
      <c r="C1464" s="21"/>
      <c r="D1464" s="21"/>
    </row>
    <row r="1465" spans="1:4" ht="12.75" customHeight="1" x14ac:dyDescent="0.2">
      <c r="A1465" s="20"/>
      <c r="B1465" s="2"/>
      <c r="C1465" s="2"/>
      <c r="D1465" s="2"/>
    </row>
    <row r="1466" spans="1:4" ht="12.75" customHeight="1" x14ac:dyDescent="0.2">
      <c r="A1466" s="21"/>
      <c r="B1466" s="3" t="s">
        <v>0</v>
      </c>
      <c r="C1466" s="20" t="s">
        <v>245</v>
      </c>
      <c r="D1466" s="21"/>
    </row>
    <row r="1467" spans="1:4" ht="12.75" customHeight="1" x14ac:dyDescent="0.2">
      <c r="A1467" s="21"/>
      <c r="B1467" s="3" t="s">
        <v>2</v>
      </c>
      <c r="C1467" s="20"/>
      <c r="D1467" s="21"/>
    </row>
    <row r="1468" spans="1:4" ht="12.75" customHeight="1" x14ac:dyDescent="0.2">
      <c r="A1468" s="21"/>
      <c r="B1468" s="3" t="s">
        <v>1840</v>
      </c>
      <c r="C1468" s="20" t="s">
        <v>1390</v>
      </c>
      <c r="D1468" s="21"/>
    </row>
    <row r="1469" spans="1:4" ht="12.75" customHeight="1" x14ac:dyDescent="0.2">
      <c r="A1469" s="21"/>
      <c r="B1469" s="3" t="s">
        <v>9</v>
      </c>
      <c r="C1469" s="20" t="s">
        <v>93</v>
      </c>
      <c r="D1469" s="21"/>
    </row>
    <row r="1470" spans="1:4" ht="12.75" customHeight="1" x14ac:dyDescent="0.2">
      <c r="A1470" s="21"/>
      <c r="B1470" s="3" t="s">
        <v>11</v>
      </c>
      <c r="C1470" s="20" t="s">
        <v>817</v>
      </c>
      <c r="D1470" s="21"/>
    </row>
    <row r="1471" spans="1:4" ht="12.75" customHeight="1" x14ac:dyDescent="0.2">
      <c r="A1471" s="21"/>
      <c r="B1471" s="3" t="s">
        <v>16</v>
      </c>
      <c r="C1471" s="20"/>
      <c r="D1471" s="21"/>
    </row>
    <row r="1472" spans="1:4" ht="12.75" customHeight="1" x14ac:dyDescent="0.2">
      <c r="A1472" s="21"/>
      <c r="B1472" s="3" t="s">
        <v>17</v>
      </c>
      <c r="C1472" s="20" t="s">
        <v>19</v>
      </c>
      <c r="D1472" s="21"/>
    </row>
    <row r="1473" spans="1:4" ht="12.75" customHeight="1" x14ac:dyDescent="0.2">
      <c r="A1473" s="21"/>
      <c r="B1473" s="20" t="s">
        <v>18</v>
      </c>
      <c r="C1473" s="4" t="s">
        <v>382</v>
      </c>
      <c r="D1473" s="6" t="str">
        <f>HYPERLINK("javascript:void(0)","mágnes")</f>
        <v>mágnes</v>
      </c>
    </row>
    <row r="1474" spans="1:4" ht="12.75" customHeight="1" x14ac:dyDescent="0.2">
      <c r="A1474" s="21"/>
      <c r="B1474" s="21"/>
      <c r="C1474" s="4" t="s">
        <v>232</v>
      </c>
      <c r="D1474" s="6" t="str">
        <f>HYPERLINK("javascript:void(0)","pamacsprém")</f>
        <v>pamacsprém</v>
      </c>
    </row>
    <row r="1475" spans="1:4" ht="12.75" customHeight="1" x14ac:dyDescent="0.2">
      <c r="A1475" s="21"/>
      <c r="B1475" s="21"/>
      <c r="C1475" s="4" t="s">
        <v>67</v>
      </c>
      <c r="D1475" s="6" t="str">
        <f>HYPERLINK("javascript:void(0)","gigacsáp")</f>
        <v>gigacsáp</v>
      </c>
    </row>
    <row r="1476" spans="1:4" ht="12.75" customHeight="1" x14ac:dyDescent="0.2">
      <c r="A1476" s="21"/>
      <c r="B1476" s="2"/>
      <c r="C1476" s="2"/>
      <c r="D1476" s="2"/>
    </row>
    <row r="1477" spans="1:4" ht="12.75" customHeight="1" x14ac:dyDescent="0.2">
      <c r="A1477" s="21"/>
      <c r="B1477" s="2"/>
      <c r="C1477" s="2"/>
      <c r="D1477" s="2"/>
    </row>
    <row r="1478" spans="1:4" ht="12.75" customHeight="1" x14ac:dyDescent="0.2">
      <c r="A1478" s="21"/>
      <c r="B1478" s="2"/>
      <c r="C1478" s="2"/>
      <c r="D1478" s="2"/>
    </row>
    <row r="1479" spans="1:4" ht="12.75" customHeight="1" x14ac:dyDescent="0.2">
      <c r="A1479" s="21"/>
      <c r="B1479" s="2"/>
      <c r="C1479" s="2"/>
      <c r="D1479" s="2"/>
    </row>
    <row r="1480" spans="1:4" ht="12.75" customHeight="1" x14ac:dyDescent="0.2">
      <c r="A1480" s="5"/>
      <c r="B1480" s="2"/>
      <c r="C1480" s="2"/>
      <c r="D1480" s="2"/>
    </row>
    <row r="1481" spans="1:4" ht="12.75" customHeight="1" x14ac:dyDescent="0.2">
      <c r="A1481" s="22" t="str">
        <f>HYPERLINK("javascript:void(0)","prémdísz")</f>
        <v>prémdísz</v>
      </c>
      <c r="B1481" s="21"/>
      <c r="C1481" s="21"/>
      <c r="D1481" s="21"/>
    </row>
    <row r="1482" spans="1:4" ht="12.75" customHeight="1" x14ac:dyDescent="0.2">
      <c r="A1482" s="20"/>
      <c r="B1482" s="2"/>
      <c r="C1482" s="2"/>
      <c r="D1482" s="2"/>
    </row>
    <row r="1483" spans="1:4" ht="12.75" customHeight="1" x14ac:dyDescent="0.2">
      <c r="A1483" s="21"/>
      <c r="B1483" s="3" t="s">
        <v>0</v>
      </c>
      <c r="C1483" s="20" t="s">
        <v>245</v>
      </c>
      <c r="D1483" s="21"/>
    </row>
    <row r="1484" spans="1:4" ht="12.75" customHeight="1" x14ac:dyDescent="0.2">
      <c r="A1484" s="21"/>
      <c r="B1484" s="3" t="s">
        <v>2</v>
      </c>
      <c r="C1484" s="20"/>
      <c r="D1484" s="21"/>
    </row>
    <row r="1485" spans="1:4" ht="12.75" customHeight="1" x14ac:dyDescent="0.2">
      <c r="A1485" s="21"/>
      <c r="B1485" s="3" t="s">
        <v>1840</v>
      </c>
      <c r="C1485" s="20" t="s">
        <v>274</v>
      </c>
      <c r="D1485" s="21"/>
    </row>
    <row r="1486" spans="1:4" ht="12.75" customHeight="1" x14ac:dyDescent="0.2">
      <c r="A1486" s="21"/>
      <c r="B1486" s="3" t="s">
        <v>9</v>
      </c>
      <c r="C1486" s="20" t="s">
        <v>42</v>
      </c>
      <c r="D1486" s="21"/>
    </row>
    <row r="1487" spans="1:4" ht="12.75" customHeight="1" x14ac:dyDescent="0.2">
      <c r="A1487" s="21"/>
      <c r="B1487" s="3" t="s">
        <v>11</v>
      </c>
      <c r="C1487" s="20" t="s">
        <v>368</v>
      </c>
      <c r="D1487" s="21"/>
    </row>
    <row r="1488" spans="1:4" ht="12.75" customHeight="1" x14ac:dyDescent="0.2">
      <c r="A1488" s="21"/>
      <c r="B1488" s="3" t="s">
        <v>16</v>
      </c>
      <c r="C1488" s="20"/>
      <c r="D1488" s="21"/>
    </row>
    <row r="1489" spans="1:4" ht="12.75" customHeight="1" x14ac:dyDescent="0.2">
      <c r="A1489" s="21"/>
      <c r="B1489" s="3" t="s">
        <v>17</v>
      </c>
      <c r="C1489" s="20" t="s">
        <v>19</v>
      </c>
      <c r="D1489" s="21"/>
    </row>
    <row r="1490" spans="1:4" ht="12.75" customHeight="1" x14ac:dyDescent="0.2">
      <c r="A1490" s="21"/>
      <c r="B1490" s="20" t="s">
        <v>18</v>
      </c>
      <c r="C1490" s="4" t="s">
        <v>77</v>
      </c>
      <c r="D1490" s="6" t="str">
        <f>HYPERLINK("javascript:void(0)","pamacsprém")</f>
        <v>pamacsprém</v>
      </c>
    </row>
    <row r="1491" spans="1:4" ht="12.75" customHeight="1" x14ac:dyDescent="0.2">
      <c r="A1491" s="21"/>
      <c r="B1491" s="21"/>
      <c r="C1491" s="4" t="s">
        <v>309</v>
      </c>
      <c r="D1491" s="6" t="str">
        <f>HYPERLINK("javascript:void(0)","ragya")</f>
        <v>ragya</v>
      </c>
    </row>
    <row r="1492" spans="1:4" ht="12.75" customHeight="1" x14ac:dyDescent="0.2">
      <c r="A1492" s="21"/>
      <c r="B1492" s="21"/>
      <c r="C1492" s="4" t="s">
        <v>139</v>
      </c>
      <c r="D1492" s="6" t="str">
        <f>HYPERLINK("javascript:void(0)","kispárna")</f>
        <v>kispárna</v>
      </c>
    </row>
    <row r="1493" spans="1:4" ht="12.75" customHeight="1" x14ac:dyDescent="0.2">
      <c r="A1493" s="21"/>
      <c r="B1493" s="2"/>
      <c r="C1493" s="2"/>
      <c r="D1493" s="2"/>
    </row>
    <row r="1494" spans="1:4" ht="12.75" customHeight="1" x14ac:dyDescent="0.2">
      <c r="A1494" s="21"/>
      <c r="B1494" s="2"/>
      <c r="C1494" s="2"/>
      <c r="D1494" s="2"/>
    </row>
    <row r="1495" spans="1:4" ht="12.75" customHeight="1" x14ac:dyDescent="0.2">
      <c r="A1495" s="21"/>
      <c r="B1495" s="2"/>
      <c r="C1495" s="2"/>
      <c r="D1495" s="2"/>
    </row>
    <row r="1496" spans="1:4" ht="12.75" customHeight="1" x14ac:dyDescent="0.2">
      <c r="A1496" s="21"/>
      <c r="B1496" s="2"/>
      <c r="C1496" s="2"/>
      <c r="D1496" s="2"/>
    </row>
    <row r="1497" spans="1:4" ht="12.75" customHeight="1" x14ac:dyDescent="0.2">
      <c r="A1497" s="5"/>
      <c r="B1497" s="2"/>
      <c r="C1497" s="2"/>
      <c r="D1497" s="2"/>
    </row>
    <row r="1498" spans="1:4" ht="12.75" customHeight="1" x14ac:dyDescent="0.2">
      <c r="A1498" s="22" t="str">
        <f>HYPERLINK("javascript:void(0)","démonacél antigrav csizma")</f>
        <v>démonacél antigrav csizma</v>
      </c>
      <c r="B1498" s="21"/>
      <c r="C1498" s="21"/>
      <c r="D1498" s="21"/>
    </row>
    <row r="1499" spans="1:4" ht="12.75" customHeight="1" x14ac:dyDescent="0.2">
      <c r="A1499" s="20"/>
      <c r="B1499" s="2"/>
      <c r="C1499" s="2"/>
      <c r="D1499" s="2"/>
    </row>
    <row r="1500" spans="1:4" ht="12.75" customHeight="1" x14ac:dyDescent="0.2">
      <c r="A1500" s="21"/>
      <c r="B1500" s="3" t="s">
        <v>0</v>
      </c>
      <c r="C1500" s="20" t="s">
        <v>245</v>
      </c>
      <c r="D1500" s="21"/>
    </row>
    <row r="1501" spans="1:4" ht="12.75" customHeight="1" x14ac:dyDescent="0.2">
      <c r="A1501" s="21"/>
      <c r="B1501" s="3" t="s">
        <v>2</v>
      </c>
      <c r="C1501" s="20"/>
      <c r="D1501" s="21"/>
    </row>
    <row r="1502" spans="1:4" ht="12.75" customHeight="1" x14ac:dyDescent="0.2">
      <c r="A1502" s="21"/>
      <c r="B1502" s="3" t="s">
        <v>1840</v>
      </c>
      <c r="C1502" s="20" t="s">
        <v>1230</v>
      </c>
      <c r="D1502" s="21"/>
    </row>
    <row r="1503" spans="1:4" ht="12.75" customHeight="1" x14ac:dyDescent="0.2">
      <c r="A1503" s="21"/>
      <c r="B1503" s="3" t="s">
        <v>9</v>
      </c>
      <c r="C1503" s="20" t="s">
        <v>626</v>
      </c>
      <c r="D1503" s="21"/>
    </row>
    <row r="1504" spans="1:4" ht="12.75" customHeight="1" x14ac:dyDescent="0.2">
      <c r="A1504" s="21"/>
      <c r="B1504" s="3" t="s">
        <v>11</v>
      </c>
      <c r="C1504" s="20" t="s">
        <v>23</v>
      </c>
      <c r="D1504" s="21"/>
    </row>
    <row r="1505" spans="1:4" ht="12.75" customHeight="1" x14ac:dyDescent="0.2">
      <c r="A1505" s="21"/>
      <c r="B1505" s="3" t="s">
        <v>16</v>
      </c>
      <c r="C1505" s="20"/>
      <c r="D1505" s="21"/>
    </row>
    <row r="1506" spans="1:4" ht="12.75" customHeight="1" x14ac:dyDescent="0.2">
      <c r="A1506" s="21"/>
      <c r="B1506" s="3" t="s">
        <v>17</v>
      </c>
      <c r="C1506" s="20" t="s">
        <v>19</v>
      </c>
      <c r="D1506" s="21"/>
    </row>
    <row r="1507" spans="1:4" ht="25.5" customHeight="1" x14ac:dyDescent="0.2">
      <c r="A1507" s="21"/>
      <c r="B1507" s="20" t="s">
        <v>18</v>
      </c>
      <c r="C1507" s="4" t="s">
        <v>44</v>
      </c>
      <c r="D1507" s="6" t="str">
        <f>HYPERLINK("javascript:void(0)","hidracél antigrav csizma")</f>
        <v>hidracél antigrav csizma</v>
      </c>
    </row>
    <row r="1508" spans="1:4" ht="12.75" customHeight="1" x14ac:dyDescent="0.2">
      <c r="A1508" s="21"/>
      <c r="B1508" s="21"/>
      <c r="C1508" s="4" t="s">
        <v>139</v>
      </c>
      <c r="D1508" s="6" t="str">
        <f>HYPERLINK("javascript:void(0)","éjfény")</f>
        <v>éjfény</v>
      </c>
    </row>
    <row r="1509" spans="1:4" ht="12.75" customHeight="1" x14ac:dyDescent="0.2">
      <c r="A1509" s="21"/>
      <c r="B1509" s="21"/>
      <c r="C1509" s="4" t="s">
        <v>193</v>
      </c>
      <c r="D1509" s="6" t="str">
        <f>HYPERLINK("javascript:void(0)","kárópikkely")</f>
        <v>kárópikkely</v>
      </c>
    </row>
    <row r="1510" spans="1:4" ht="12.75" customHeight="1" x14ac:dyDescent="0.2">
      <c r="A1510" s="21"/>
      <c r="B1510" s="2"/>
      <c r="C1510" s="2"/>
      <c r="D1510" s="2"/>
    </row>
    <row r="1511" spans="1:4" ht="12.75" customHeight="1" x14ac:dyDescent="0.2">
      <c r="A1511" s="21"/>
      <c r="B1511" s="2"/>
      <c r="C1511" s="2"/>
      <c r="D1511" s="2"/>
    </row>
    <row r="1512" spans="1:4" ht="12.75" customHeight="1" x14ac:dyDescent="0.2">
      <c r="A1512" s="21"/>
      <c r="B1512" s="2"/>
      <c r="C1512" s="2"/>
      <c r="D1512" s="2"/>
    </row>
    <row r="1513" spans="1:4" ht="12.75" customHeight="1" x14ac:dyDescent="0.2">
      <c r="A1513" s="21"/>
      <c r="B1513" s="2"/>
      <c r="C1513" s="2"/>
      <c r="D1513" s="2"/>
    </row>
    <row r="1514" spans="1:4" ht="12.75" customHeight="1" x14ac:dyDescent="0.2">
      <c r="A1514" s="5"/>
      <c r="B1514" s="2"/>
      <c r="C1514" s="2"/>
      <c r="D1514" s="2"/>
    </row>
    <row r="1515" spans="1:4" ht="12.75" customHeight="1" x14ac:dyDescent="0.2">
      <c r="A1515" s="22" t="str">
        <f>HYPERLINK("javascript:void(0)","fényes saru")</f>
        <v>fényes saru</v>
      </c>
      <c r="B1515" s="21"/>
      <c r="C1515" s="21"/>
      <c r="D1515" s="21"/>
    </row>
    <row r="1516" spans="1:4" ht="12.75" customHeight="1" x14ac:dyDescent="0.2">
      <c r="A1516" s="20"/>
      <c r="B1516" s="2"/>
      <c r="C1516" s="2"/>
      <c r="D1516" s="2"/>
    </row>
    <row r="1517" spans="1:4" ht="12.75" customHeight="1" x14ac:dyDescent="0.2">
      <c r="A1517" s="21"/>
      <c r="B1517" s="3" t="s">
        <v>0</v>
      </c>
      <c r="C1517" s="20" t="s">
        <v>671</v>
      </c>
      <c r="D1517" s="21"/>
    </row>
    <row r="1518" spans="1:4" ht="12.75" customHeight="1" x14ac:dyDescent="0.2">
      <c r="A1518" s="21"/>
      <c r="B1518" s="3" t="s">
        <v>2</v>
      </c>
      <c r="C1518" s="20"/>
      <c r="D1518" s="21"/>
    </row>
    <row r="1519" spans="1:4" ht="12.75" customHeight="1" x14ac:dyDescent="0.2">
      <c r="A1519" s="21"/>
      <c r="B1519" s="3" t="s">
        <v>1840</v>
      </c>
      <c r="C1519" s="20" t="s">
        <v>1406</v>
      </c>
      <c r="D1519" s="21"/>
    </row>
    <row r="1520" spans="1:4" ht="12.75" customHeight="1" x14ac:dyDescent="0.2">
      <c r="A1520" s="21"/>
      <c r="B1520" s="3" t="s">
        <v>9</v>
      </c>
      <c r="C1520" s="20" t="s">
        <v>30</v>
      </c>
      <c r="D1520" s="21"/>
    </row>
    <row r="1521" spans="1:4" ht="12.75" customHeight="1" x14ac:dyDescent="0.2">
      <c r="A1521" s="21"/>
      <c r="B1521" s="3" t="s">
        <v>11</v>
      </c>
      <c r="C1521" s="20" t="s">
        <v>835</v>
      </c>
      <c r="D1521" s="21"/>
    </row>
    <row r="1522" spans="1:4" ht="12.75" customHeight="1" x14ac:dyDescent="0.2">
      <c r="A1522" s="21"/>
      <c r="B1522" s="3" t="s">
        <v>16</v>
      </c>
      <c r="C1522" s="20"/>
      <c r="D1522" s="21"/>
    </row>
    <row r="1523" spans="1:4" ht="12.75" customHeight="1" x14ac:dyDescent="0.2">
      <c r="A1523" s="21"/>
      <c r="B1523" s="3" t="s">
        <v>17</v>
      </c>
      <c r="C1523" s="20" t="s">
        <v>19</v>
      </c>
      <c r="D1523" s="21"/>
    </row>
    <row r="1524" spans="1:4" ht="12.75" customHeight="1" x14ac:dyDescent="0.2">
      <c r="A1524" s="21"/>
      <c r="B1524" s="20" t="s">
        <v>18</v>
      </c>
      <c r="C1524" s="4" t="s">
        <v>44</v>
      </c>
      <c r="D1524" s="6" t="str">
        <f>HYPERLINK("javascript:void(0)","rimföldi saru")</f>
        <v>rimföldi saru</v>
      </c>
    </row>
    <row r="1525" spans="1:4" ht="12.75" customHeight="1" x14ac:dyDescent="0.2">
      <c r="A1525" s="21"/>
      <c r="B1525" s="21"/>
      <c r="C1525" s="4" t="s">
        <v>44</v>
      </c>
      <c r="D1525" s="6" t="str">
        <f>HYPERLINK("javascript:void(0)","magnetoacél saru")</f>
        <v>magnetoacél saru</v>
      </c>
    </row>
    <row r="1526" spans="1:4" ht="12.75" customHeight="1" x14ac:dyDescent="0.2">
      <c r="A1526" s="21"/>
      <c r="B1526" s="21"/>
      <c r="C1526" s="4" t="s">
        <v>44</v>
      </c>
      <c r="D1526" s="6" t="str">
        <f>HYPERLINK("javascript:void(0)","fényes talp")</f>
        <v>fényes talp</v>
      </c>
    </row>
    <row r="1527" spans="1:4" ht="12.75" customHeight="1" x14ac:dyDescent="0.2">
      <c r="A1527" s="21"/>
      <c r="B1527" s="2"/>
      <c r="C1527" s="2"/>
      <c r="D1527" s="2"/>
    </row>
    <row r="1528" spans="1:4" ht="12.75" customHeight="1" x14ac:dyDescent="0.2">
      <c r="A1528" s="21"/>
      <c r="B1528" s="2"/>
      <c r="C1528" s="2"/>
      <c r="D1528" s="2"/>
    </row>
    <row r="1529" spans="1:4" ht="12.75" customHeight="1" x14ac:dyDescent="0.2">
      <c r="A1529" s="21"/>
      <c r="B1529" s="2"/>
      <c r="C1529" s="2"/>
      <c r="D1529" s="2"/>
    </row>
    <row r="1530" spans="1:4" ht="12.75" customHeight="1" x14ac:dyDescent="0.2">
      <c r="A1530" s="21"/>
      <c r="B1530" s="2"/>
      <c r="C1530" s="2"/>
      <c r="D1530" s="2"/>
    </row>
    <row r="1531" spans="1:4" ht="12.75" customHeight="1" x14ac:dyDescent="0.2">
      <c r="A1531" s="5"/>
      <c r="B1531" s="2"/>
      <c r="C1531" s="2"/>
      <c r="D1531" s="2"/>
    </row>
    <row r="1532" spans="1:4" ht="12.75" customHeight="1" x14ac:dyDescent="0.2">
      <c r="A1532" s="22" t="str">
        <f>HYPERLINK("javascript:void(0)","helioacél saru")</f>
        <v>helioacél saru</v>
      </c>
      <c r="B1532" s="21"/>
      <c r="C1532" s="21"/>
      <c r="D1532" s="21"/>
    </row>
    <row r="1533" spans="1:4" ht="12.75" customHeight="1" x14ac:dyDescent="0.2">
      <c r="A1533" s="20"/>
      <c r="B1533" s="2"/>
      <c r="C1533" s="2"/>
      <c r="D1533" s="2"/>
    </row>
    <row r="1534" spans="1:4" ht="12.75" customHeight="1" x14ac:dyDescent="0.2">
      <c r="A1534" s="21"/>
      <c r="B1534" s="3" t="s">
        <v>0</v>
      </c>
      <c r="C1534" s="20" t="s">
        <v>65</v>
      </c>
      <c r="D1534" s="21"/>
    </row>
    <row r="1535" spans="1:4" ht="12.75" customHeight="1" x14ac:dyDescent="0.2">
      <c r="A1535" s="21"/>
      <c r="B1535" s="3" t="s">
        <v>2</v>
      </c>
      <c r="C1535" s="20"/>
      <c r="D1535" s="21"/>
    </row>
    <row r="1536" spans="1:4" ht="12.75" customHeight="1" x14ac:dyDescent="0.2">
      <c r="A1536" s="21"/>
      <c r="B1536" s="3" t="s">
        <v>1840</v>
      </c>
      <c r="C1536" s="20" t="s">
        <v>1422</v>
      </c>
      <c r="D1536" s="21"/>
    </row>
    <row r="1537" spans="1:4" ht="12.75" customHeight="1" x14ac:dyDescent="0.2">
      <c r="A1537" s="21"/>
      <c r="B1537" s="3" t="s">
        <v>9</v>
      </c>
      <c r="C1537" s="20" t="s">
        <v>42</v>
      </c>
      <c r="D1537" s="21"/>
    </row>
    <row r="1538" spans="1:4" ht="12.75" customHeight="1" x14ac:dyDescent="0.2">
      <c r="A1538" s="21"/>
      <c r="B1538" s="3" t="s">
        <v>11</v>
      </c>
      <c r="C1538" s="20" t="s">
        <v>856</v>
      </c>
      <c r="D1538" s="21"/>
    </row>
    <row r="1539" spans="1:4" ht="12.75" customHeight="1" x14ac:dyDescent="0.2">
      <c r="A1539" s="21"/>
      <c r="B1539" s="3" t="s">
        <v>16</v>
      </c>
      <c r="C1539" s="20"/>
      <c r="D1539" s="21"/>
    </row>
    <row r="1540" spans="1:4" ht="12.75" customHeight="1" x14ac:dyDescent="0.2">
      <c r="A1540" s="21"/>
      <c r="B1540" s="3" t="s">
        <v>17</v>
      </c>
      <c r="C1540" s="20" t="s">
        <v>19</v>
      </c>
      <c r="D1540" s="21"/>
    </row>
    <row r="1541" spans="1:4" ht="12.75" customHeight="1" x14ac:dyDescent="0.2">
      <c r="A1541" s="21"/>
      <c r="B1541" s="20" t="s">
        <v>18</v>
      </c>
      <c r="C1541" s="4" t="s">
        <v>44</v>
      </c>
      <c r="D1541" s="6" t="str">
        <f>HYPERLINK("javascript:void(0)","fényes saru")</f>
        <v>fényes saru</v>
      </c>
    </row>
    <row r="1542" spans="1:4" ht="12.75" customHeight="1" x14ac:dyDescent="0.2">
      <c r="A1542" s="21"/>
      <c r="B1542" s="21"/>
      <c r="C1542" s="4" t="s">
        <v>98</v>
      </c>
      <c r="D1542" s="6" t="str">
        <f>HYPERLINK("javascript:void(0)","medúza csáp")</f>
        <v>medúza csáp</v>
      </c>
    </row>
    <row r="1543" spans="1:4" ht="12.75" customHeight="1" x14ac:dyDescent="0.2">
      <c r="A1543" s="21"/>
      <c r="B1543" s="21"/>
      <c r="C1543" s="4" t="s">
        <v>98</v>
      </c>
      <c r="D1543" s="6" t="str">
        <f>HYPERLINK("javascript:void(0)","napfolt")</f>
        <v>napfolt</v>
      </c>
    </row>
    <row r="1544" spans="1:4" ht="12.75" customHeight="1" x14ac:dyDescent="0.2">
      <c r="A1544" s="21"/>
      <c r="B1544" s="2"/>
      <c r="C1544" s="2"/>
      <c r="D1544" s="2"/>
    </row>
    <row r="1545" spans="1:4" ht="12.75" customHeight="1" x14ac:dyDescent="0.2">
      <c r="A1545" s="21"/>
      <c r="B1545" s="2"/>
      <c r="C1545" s="2"/>
      <c r="D1545" s="2"/>
    </row>
    <row r="1546" spans="1:4" ht="12.75" customHeight="1" x14ac:dyDescent="0.2">
      <c r="A1546" s="21"/>
      <c r="B1546" s="2"/>
      <c r="C1546" s="2"/>
      <c r="D1546" s="2"/>
    </row>
    <row r="1547" spans="1:4" ht="12.75" customHeight="1" x14ac:dyDescent="0.2">
      <c r="A1547" s="21"/>
      <c r="B1547" s="2"/>
      <c r="C1547" s="2"/>
      <c r="D1547" s="2"/>
    </row>
    <row r="1548" spans="1:4" ht="12.75" customHeight="1" x14ac:dyDescent="0.2">
      <c r="A1548" s="5"/>
      <c r="B1548" s="2"/>
      <c r="C1548" s="2"/>
      <c r="D1548" s="2"/>
    </row>
    <row r="1549" spans="1:4" ht="12.75" customHeight="1" x14ac:dyDescent="0.2">
      <c r="A1549" s="22" t="str">
        <f>HYPERLINK("javascript:void(0)","bundabélés")</f>
        <v>bundabélés</v>
      </c>
      <c r="B1549" s="21"/>
      <c r="C1549" s="21"/>
      <c r="D1549" s="21"/>
    </row>
    <row r="1550" spans="1:4" ht="12.75" customHeight="1" x14ac:dyDescent="0.2">
      <c r="A1550" s="20"/>
      <c r="B1550" s="2"/>
      <c r="C1550" s="2"/>
      <c r="D1550" s="2"/>
    </row>
    <row r="1551" spans="1:4" ht="12.75" customHeight="1" x14ac:dyDescent="0.2">
      <c r="A1551" s="21"/>
      <c r="B1551" s="3" t="s">
        <v>0</v>
      </c>
      <c r="C1551" s="20" t="s">
        <v>65</v>
      </c>
      <c r="D1551" s="21"/>
    </row>
    <row r="1552" spans="1:4" ht="12.75" customHeight="1" x14ac:dyDescent="0.2">
      <c r="A1552" s="21"/>
      <c r="B1552" s="3" t="s">
        <v>2</v>
      </c>
      <c r="C1552" s="20"/>
      <c r="D1552" s="21"/>
    </row>
    <row r="1553" spans="1:4" ht="12.75" customHeight="1" x14ac:dyDescent="0.2">
      <c r="A1553" s="21"/>
      <c r="B1553" s="3" t="s">
        <v>1840</v>
      </c>
      <c r="C1553" s="20" t="s">
        <v>274</v>
      </c>
      <c r="D1553" s="21"/>
    </row>
    <row r="1554" spans="1:4" ht="12.75" customHeight="1" x14ac:dyDescent="0.2">
      <c r="A1554" s="21"/>
      <c r="B1554" s="3" t="s">
        <v>9</v>
      </c>
      <c r="C1554" s="20" t="s">
        <v>42</v>
      </c>
      <c r="D1554" s="21"/>
    </row>
    <row r="1555" spans="1:4" ht="12.75" customHeight="1" x14ac:dyDescent="0.2">
      <c r="A1555" s="21"/>
      <c r="B1555" s="3" t="s">
        <v>11</v>
      </c>
      <c r="C1555" s="20" t="s">
        <v>368</v>
      </c>
      <c r="D1555" s="21"/>
    </row>
    <row r="1556" spans="1:4" ht="12.75" customHeight="1" x14ac:dyDescent="0.2">
      <c r="A1556" s="21"/>
      <c r="B1556" s="3" t="s">
        <v>16</v>
      </c>
      <c r="C1556" s="20"/>
      <c r="D1556" s="21"/>
    </row>
    <row r="1557" spans="1:4" ht="12.75" customHeight="1" x14ac:dyDescent="0.2">
      <c r="A1557" s="21"/>
      <c r="B1557" s="3" t="s">
        <v>17</v>
      </c>
      <c r="C1557" s="20" t="s">
        <v>19</v>
      </c>
      <c r="D1557" s="21"/>
    </row>
    <row r="1558" spans="1:4" ht="12.75" customHeight="1" x14ac:dyDescent="0.2">
      <c r="A1558" s="21"/>
      <c r="B1558" s="20" t="s">
        <v>18</v>
      </c>
      <c r="C1558" s="4" t="s">
        <v>68</v>
      </c>
      <c r="D1558" s="6" t="str">
        <f>HYPERLINK("javascript:void(0)","tincs")</f>
        <v>tincs</v>
      </c>
    </row>
    <row r="1559" spans="1:4" ht="12.75" customHeight="1" x14ac:dyDescent="0.2">
      <c r="A1559" s="21"/>
      <c r="B1559" s="21"/>
      <c r="C1559" s="4" t="s">
        <v>98</v>
      </c>
      <c r="D1559" s="6" t="str">
        <f>HYPERLINK("javascript:void(0)","pamacsprém")</f>
        <v>pamacsprém</v>
      </c>
    </row>
    <row r="1560" spans="1:4" ht="12.75" customHeight="1" x14ac:dyDescent="0.2">
      <c r="A1560" s="21"/>
      <c r="B1560" s="21"/>
      <c r="C1560" s="4" t="s">
        <v>494</v>
      </c>
      <c r="D1560" s="6" t="str">
        <f>HYPERLINK("javascript:void(0)","hangjegy")</f>
        <v>hangjegy</v>
      </c>
    </row>
    <row r="1561" spans="1:4" ht="12.75" customHeight="1" x14ac:dyDescent="0.2">
      <c r="A1561" s="21"/>
      <c r="B1561" s="2"/>
      <c r="C1561" s="2"/>
      <c r="D1561" s="2"/>
    </row>
    <row r="1562" spans="1:4" ht="12.75" customHeight="1" x14ac:dyDescent="0.2">
      <c r="A1562" s="21"/>
      <c r="B1562" s="2"/>
      <c r="C1562" s="2"/>
      <c r="D1562" s="2"/>
    </row>
    <row r="1563" spans="1:4" ht="12.75" customHeight="1" x14ac:dyDescent="0.2">
      <c r="A1563" s="21"/>
      <c r="B1563" s="2"/>
      <c r="C1563" s="2"/>
      <c r="D1563" s="2"/>
    </row>
    <row r="1564" spans="1:4" ht="12.75" customHeight="1" x14ac:dyDescent="0.2">
      <c r="A1564" s="21"/>
      <c r="B1564" s="2"/>
      <c r="C1564" s="2"/>
      <c r="D1564" s="2"/>
    </row>
    <row r="1565" spans="1:4" ht="12.75" customHeight="1" x14ac:dyDescent="0.2">
      <c r="A1565" s="5"/>
      <c r="B1565" s="2"/>
      <c r="C1565" s="2"/>
      <c r="D1565" s="2"/>
    </row>
    <row r="1566" spans="1:4" ht="12.75" customHeight="1" x14ac:dyDescent="0.2">
      <c r="A1566" s="22" t="str">
        <f>HYPERLINK("javascript:void(0)","csillámló démoncsizma")</f>
        <v>csillámló démoncsizma</v>
      </c>
      <c r="B1566" s="21"/>
      <c r="C1566" s="21"/>
      <c r="D1566" s="21"/>
    </row>
    <row r="1567" spans="1:4" ht="12.75" customHeight="1" x14ac:dyDescent="0.2">
      <c r="A1567" s="20"/>
      <c r="B1567" s="2"/>
      <c r="C1567" s="2"/>
      <c r="D1567" s="2"/>
    </row>
    <row r="1568" spans="1:4" ht="12.75" customHeight="1" x14ac:dyDescent="0.2">
      <c r="A1568" s="21"/>
      <c r="B1568" s="3" t="s">
        <v>0</v>
      </c>
      <c r="C1568" s="20" t="s">
        <v>65</v>
      </c>
      <c r="D1568" s="21"/>
    </row>
    <row r="1569" spans="1:4" ht="12.75" customHeight="1" x14ac:dyDescent="0.2">
      <c r="A1569" s="21"/>
      <c r="B1569" s="3" t="s">
        <v>2</v>
      </c>
      <c r="C1569" s="20"/>
      <c r="D1569" s="21"/>
    </row>
    <row r="1570" spans="1:4" ht="12.75" customHeight="1" x14ac:dyDescent="0.2">
      <c r="A1570" s="21"/>
      <c r="B1570" s="3" t="s">
        <v>1840</v>
      </c>
      <c r="C1570" s="20" t="s">
        <v>278</v>
      </c>
      <c r="D1570" s="21"/>
    </row>
    <row r="1571" spans="1:4" ht="12.75" customHeight="1" x14ac:dyDescent="0.2">
      <c r="A1571" s="21"/>
      <c r="B1571" s="3" t="s">
        <v>9</v>
      </c>
      <c r="C1571" s="20" t="s">
        <v>2038</v>
      </c>
      <c r="D1571" s="21"/>
    </row>
    <row r="1572" spans="1:4" ht="12.75" customHeight="1" x14ac:dyDescent="0.2">
      <c r="A1572" s="21"/>
      <c r="B1572" s="3" t="s">
        <v>11</v>
      </c>
      <c r="C1572" s="20" t="s">
        <v>856</v>
      </c>
      <c r="D1572" s="21"/>
    </row>
    <row r="1573" spans="1:4" ht="12.75" customHeight="1" x14ac:dyDescent="0.2">
      <c r="A1573" s="21"/>
      <c r="B1573" s="3" t="s">
        <v>16</v>
      </c>
      <c r="C1573" s="20"/>
      <c r="D1573" s="21"/>
    </row>
    <row r="1574" spans="1:4" ht="12.75" customHeight="1" x14ac:dyDescent="0.2">
      <c r="A1574" s="21"/>
      <c r="B1574" s="3" t="s">
        <v>17</v>
      </c>
      <c r="C1574" s="20" t="s">
        <v>19</v>
      </c>
      <c r="D1574" s="21"/>
    </row>
    <row r="1575" spans="1:4" ht="12.75" customHeight="1" x14ac:dyDescent="0.2">
      <c r="A1575" s="21"/>
      <c r="B1575" s="20" t="s">
        <v>18</v>
      </c>
      <c r="C1575" s="4" t="s">
        <v>57</v>
      </c>
      <c r="D1575" s="6" t="str">
        <f>HYPERLINK("javascript:void(0)","csillámgöb")</f>
        <v>csillámgöb</v>
      </c>
    </row>
    <row r="1576" spans="1:4" ht="12.75" customHeight="1" x14ac:dyDescent="0.2">
      <c r="A1576" s="21"/>
      <c r="B1576" s="21"/>
      <c r="C1576" s="4" t="s">
        <v>44</v>
      </c>
      <c r="D1576" s="6" t="str">
        <f>HYPERLINK("javascript:void(0)","csillámló elfcsizma")</f>
        <v>csillámló elfcsizma</v>
      </c>
    </row>
    <row r="1577" spans="1:4" ht="12.75" customHeight="1" x14ac:dyDescent="0.2">
      <c r="A1577" s="21"/>
      <c r="B1577" s="21"/>
      <c r="C1577" s="4" t="s">
        <v>296</v>
      </c>
      <c r="D1577" s="6" t="str">
        <f>HYPERLINK("javascript:void(0)","tűzige")</f>
        <v>tűzige</v>
      </c>
    </row>
    <row r="1578" spans="1:4" ht="12.75" customHeight="1" x14ac:dyDescent="0.2">
      <c r="A1578" s="21"/>
      <c r="B1578" s="2"/>
      <c r="C1578" s="2"/>
      <c r="D1578" s="2"/>
    </row>
    <row r="1579" spans="1:4" ht="12.75" customHeight="1" x14ac:dyDescent="0.2">
      <c r="A1579" s="21"/>
      <c r="B1579" s="2"/>
      <c r="C1579" s="2"/>
      <c r="D1579" s="2"/>
    </row>
    <row r="1580" spans="1:4" ht="12.75" customHeight="1" x14ac:dyDescent="0.2">
      <c r="A1580" s="21"/>
      <c r="B1580" s="2"/>
      <c r="C1580" s="2"/>
      <c r="D1580" s="2"/>
    </row>
    <row r="1581" spans="1:4" ht="12.75" customHeight="1" x14ac:dyDescent="0.2">
      <c r="A1581" s="21"/>
      <c r="B1581" s="2"/>
      <c r="C1581" s="2"/>
      <c r="D1581" s="2"/>
    </row>
    <row r="1582" spans="1:4" ht="12.75" customHeight="1" x14ac:dyDescent="0.2">
      <c r="A1582" s="5"/>
      <c r="B1582" s="2"/>
      <c r="C1582" s="2"/>
      <c r="D1582" s="2"/>
    </row>
    <row r="1583" spans="1:4" ht="12.75" customHeight="1" x14ac:dyDescent="0.2">
      <c r="A1583" s="22" t="str">
        <f>HYPERLINK("javascript:void(0)","artini saru")</f>
        <v>artini saru</v>
      </c>
      <c r="B1583" s="21"/>
      <c r="C1583" s="21"/>
      <c r="D1583" s="21"/>
    </row>
    <row r="1584" spans="1:4" ht="12.75" customHeight="1" x14ac:dyDescent="0.2">
      <c r="A1584" s="20"/>
      <c r="B1584" s="2"/>
      <c r="C1584" s="2"/>
      <c r="D1584" s="2"/>
    </row>
    <row r="1585" spans="1:4" ht="12.75" customHeight="1" x14ac:dyDescent="0.2">
      <c r="A1585" s="21"/>
      <c r="B1585" s="3" t="s">
        <v>0</v>
      </c>
      <c r="C1585" s="20" t="s">
        <v>680</v>
      </c>
      <c r="D1585" s="21"/>
    </row>
    <row r="1586" spans="1:4" ht="12.75" customHeight="1" x14ac:dyDescent="0.2">
      <c r="A1586" s="21"/>
      <c r="B1586" s="3" t="s">
        <v>2</v>
      </c>
      <c r="C1586" s="20"/>
      <c r="D1586" s="21"/>
    </row>
    <row r="1587" spans="1:4" ht="12.75" customHeight="1" x14ac:dyDescent="0.2">
      <c r="A1587" s="21"/>
      <c r="B1587" s="3" t="s">
        <v>1840</v>
      </c>
      <c r="C1587" s="20" t="s">
        <v>2041</v>
      </c>
      <c r="D1587" s="21"/>
    </row>
    <row r="1588" spans="1:4" ht="12.75" customHeight="1" x14ac:dyDescent="0.2">
      <c r="A1588" s="21"/>
      <c r="B1588" s="3" t="s">
        <v>9</v>
      </c>
      <c r="C1588" s="20" t="s">
        <v>172</v>
      </c>
      <c r="D1588" s="21"/>
    </row>
    <row r="1589" spans="1:4" ht="12.75" customHeight="1" x14ac:dyDescent="0.2">
      <c r="A1589" s="21"/>
      <c r="B1589" s="3" t="s">
        <v>11</v>
      </c>
      <c r="C1589" s="20" t="s">
        <v>879</v>
      </c>
      <c r="D1589" s="21"/>
    </row>
    <row r="1590" spans="1:4" ht="12.75" customHeight="1" x14ac:dyDescent="0.2">
      <c r="A1590" s="21"/>
      <c r="B1590" s="3" t="s">
        <v>16</v>
      </c>
      <c r="C1590" s="20"/>
      <c r="D1590" s="21"/>
    </row>
    <row r="1591" spans="1:4" ht="12.75" customHeight="1" x14ac:dyDescent="0.2">
      <c r="A1591" s="21"/>
      <c r="B1591" s="3" t="s">
        <v>17</v>
      </c>
      <c r="C1591" s="20" t="s">
        <v>19</v>
      </c>
      <c r="D1591" s="21"/>
    </row>
    <row r="1592" spans="1:4" ht="12.75" customHeight="1" x14ac:dyDescent="0.2">
      <c r="A1592" s="21"/>
      <c r="B1592" s="20" t="s">
        <v>18</v>
      </c>
      <c r="C1592" s="4" t="s">
        <v>232</v>
      </c>
      <c r="D1592" s="6" t="str">
        <f>HYPERLINK("javascript:void(0)","bajuszkötő")</f>
        <v>bajuszkötő</v>
      </c>
    </row>
    <row r="1593" spans="1:4" ht="12.75" customHeight="1" x14ac:dyDescent="0.2">
      <c r="A1593" s="21"/>
      <c r="B1593" s="21"/>
      <c r="C1593" s="4" t="s">
        <v>193</v>
      </c>
      <c r="D1593" s="6" t="str">
        <f>HYPERLINK("javascript:void(0)","pamacsprém")</f>
        <v>pamacsprém</v>
      </c>
    </row>
    <row r="1594" spans="1:4" ht="12.75" customHeight="1" x14ac:dyDescent="0.2">
      <c r="A1594" s="21"/>
      <c r="B1594" s="21"/>
      <c r="C1594" s="4" t="s">
        <v>139</v>
      </c>
      <c r="D1594" s="6" t="str">
        <f>HYPERLINK("javascript:void(0)","vasorr")</f>
        <v>vasorr</v>
      </c>
    </row>
    <row r="1595" spans="1:4" ht="12.75" customHeight="1" x14ac:dyDescent="0.2">
      <c r="A1595" s="21"/>
      <c r="B1595" s="2"/>
      <c r="C1595" s="2"/>
      <c r="D1595" s="2"/>
    </row>
    <row r="1596" spans="1:4" ht="12.75" customHeight="1" x14ac:dyDescent="0.2">
      <c r="A1596" s="21"/>
      <c r="B1596" s="2"/>
      <c r="C1596" s="2"/>
      <c r="D1596" s="2"/>
    </row>
    <row r="1597" spans="1:4" ht="12.75" customHeight="1" x14ac:dyDescent="0.2">
      <c r="A1597" s="21"/>
      <c r="B1597" s="2"/>
      <c r="C1597" s="2"/>
      <c r="D1597" s="2"/>
    </row>
    <row r="1598" spans="1:4" ht="12.75" customHeight="1" x14ac:dyDescent="0.2">
      <c r="A1598" s="21"/>
      <c r="B1598" s="2"/>
      <c r="C1598" s="2"/>
      <c r="D1598" s="2"/>
    </row>
    <row r="1599" spans="1:4" ht="12.75" customHeight="1" x14ac:dyDescent="0.2">
      <c r="A1599" s="5"/>
      <c r="B1599" s="2"/>
      <c r="C1599" s="2"/>
      <c r="D1599" s="2"/>
    </row>
    <row r="1600" spans="1:4" ht="12.75" customHeight="1" x14ac:dyDescent="0.2">
      <c r="A1600" s="22" t="str">
        <f>HYPERLINK("javascript:void(0)","dracoacél antigrav csizma")</f>
        <v>dracoacél antigrav csizma</v>
      </c>
      <c r="B1600" s="21"/>
      <c r="C1600" s="21"/>
      <c r="D1600" s="21"/>
    </row>
    <row r="1601" spans="1:4" ht="12.75" customHeight="1" x14ac:dyDescent="0.2">
      <c r="A1601" s="20"/>
      <c r="B1601" s="2"/>
      <c r="C1601" s="2"/>
      <c r="D1601" s="2"/>
    </row>
    <row r="1602" spans="1:4" ht="12.75" customHeight="1" x14ac:dyDescent="0.2">
      <c r="A1602" s="21"/>
      <c r="B1602" s="3" t="s">
        <v>0</v>
      </c>
      <c r="C1602" s="20" t="s">
        <v>680</v>
      </c>
      <c r="D1602" s="21"/>
    </row>
    <row r="1603" spans="1:4" ht="12.75" customHeight="1" x14ac:dyDescent="0.2">
      <c r="A1603" s="21"/>
      <c r="B1603" s="3" t="s">
        <v>2</v>
      </c>
      <c r="C1603" s="20"/>
      <c r="D1603" s="21"/>
    </row>
    <row r="1604" spans="1:4" ht="12.75" customHeight="1" x14ac:dyDescent="0.2">
      <c r="A1604" s="21"/>
      <c r="B1604" s="3" t="s">
        <v>1840</v>
      </c>
      <c r="C1604" s="20" t="s">
        <v>1284</v>
      </c>
      <c r="D1604" s="21"/>
    </row>
    <row r="1605" spans="1:4" ht="12.75" customHeight="1" x14ac:dyDescent="0.2">
      <c r="A1605" s="21"/>
      <c r="B1605" s="3" t="s">
        <v>9</v>
      </c>
      <c r="C1605" s="20" t="s">
        <v>626</v>
      </c>
      <c r="D1605" s="21"/>
    </row>
    <row r="1606" spans="1:4" ht="12.75" customHeight="1" x14ac:dyDescent="0.2">
      <c r="A1606" s="21"/>
      <c r="B1606" s="3" t="s">
        <v>11</v>
      </c>
      <c r="C1606" s="20" t="s">
        <v>23</v>
      </c>
      <c r="D1606" s="21"/>
    </row>
    <row r="1607" spans="1:4" ht="12.75" customHeight="1" x14ac:dyDescent="0.2">
      <c r="A1607" s="21"/>
      <c r="B1607" s="3" t="s">
        <v>16</v>
      </c>
      <c r="C1607" s="20"/>
      <c r="D1607" s="21"/>
    </row>
    <row r="1608" spans="1:4" ht="12.75" customHeight="1" x14ac:dyDescent="0.2">
      <c r="A1608" s="21"/>
      <c r="B1608" s="3" t="s">
        <v>17</v>
      </c>
      <c r="C1608" s="20" t="s">
        <v>19</v>
      </c>
      <c r="D1608" s="21"/>
    </row>
    <row r="1609" spans="1:4" ht="25.5" customHeight="1" x14ac:dyDescent="0.2">
      <c r="A1609" s="21"/>
      <c r="B1609" s="20" t="s">
        <v>18</v>
      </c>
      <c r="C1609" s="4" t="s">
        <v>44</v>
      </c>
      <c r="D1609" s="6" t="str">
        <f>HYPERLINK("javascript:void(0)","démonacél antigrav csizma")</f>
        <v>démonacél antigrav csizma</v>
      </c>
    </row>
    <row r="1610" spans="1:4" ht="12.75" customHeight="1" x14ac:dyDescent="0.2">
      <c r="A1610" s="21"/>
      <c r="B1610" s="21"/>
      <c r="C1610" s="4" t="s">
        <v>139</v>
      </c>
      <c r="D1610" s="6" t="str">
        <f>HYPERLINK("javascript:void(0)","bajuszkötő")</f>
        <v>bajuszkötő</v>
      </c>
    </row>
    <row r="1611" spans="1:4" ht="12.75" customHeight="1" x14ac:dyDescent="0.2">
      <c r="A1611" s="21"/>
      <c r="B1611" s="21"/>
      <c r="C1611" s="4" t="s">
        <v>1085</v>
      </c>
      <c r="D1611" s="6" t="str">
        <f>HYPERLINK("javascript:void(0)","pamacsprém")</f>
        <v>pamacsprém</v>
      </c>
    </row>
    <row r="1612" spans="1:4" ht="12.75" customHeight="1" x14ac:dyDescent="0.2">
      <c r="A1612" s="21"/>
      <c r="B1612" s="2"/>
      <c r="C1612" s="2"/>
      <c r="D1612" s="2"/>
    </row>
    <row r="1613" spans="1:4" ht="12.75" customHeight="1" x14ac:dyDescent="0.2">
      <c r="A1613" s="21"/>
      <c r="B1613" s="2"/>
      <c r="C1613" s="2"/>
      <c r="D1613" s="2"/>
    </row>
    <row r="1614" spans="1:4" ht="12.75" customHeight="1" x14ac:dyDescent="0.2">
      <c r="A1614" s="21"/>
      <c r="B1614" s="2"/>
      <c r="C1614" s="2"/>
      <c r="D1614" s="2"/>
    </row>
    <row r="1615" spans="1:4" ht="12.75" customHeight="1" x14ac:dyDescent="0.2">
      <c r="A1615" s="21"/>
      <c r="B1615" s="2"/>
      <c r="C1615" s="2"/>
      <c r="D1615" s="2"/>
    </row>
    <row r="1616" spans="1:4" ht="12.75" customHeight="1" x14ac:dyDescent="0.2">
      <c r="A1616" s="5"/>
      <c r="B1616" s="2"/>
      <c r="C1616" s="2"/>
      <c r="D1616" s="2"/>
    </row>
    <row r="1617" spans="1:4" ht="12.75" customHeight="1" x14ac:dyDescent="0.2">
      <c r="A1617" s="22" t="str">
        <f>HYPERLINK("javascript:void(0)","hypnoacél saru")</f>
        <v>hypnoacél saru</v>
      </c>
      <c r="B1617" s="21"/>
      <c r="C1617" s="21"/>
      <c r="D1617" s="21"/>
    </row>
    <row r="1618" spans="1:4" ht="12.75" customHeight="1" x14ac:dyDescent="0.2">
      <c r="A1618" s="20"/>
      <c r="B1618" s="2"/>
      <c r="C1618" s="2"/>
      <c r="D1618" s="2"/>
    </row>
    <row r="1619" spans="1:4" ht="12.75" customHeight="1" x14ac:dyDescent="0.2">
      <c r="A1619" s="21"/>
      <c r="B1619" s="3" t="s">
        <v>0</v>
      </c>
      <c r="C1619" s="20" t="s">
        <v>690</v>
      </c>
      <c r="D1619" s="21"/>
    </row>
    <row r="1620" spans="1:4" ht="12.75" customHeight="1" x14ac:dyDescent="0.2">
      <c r="A1620" s="21"/>
      <c r="B1620" s="3" t="s">
        <v>2</v>
      </c>
      <c r="C1620" s="20"/>
      <c r="D1620" s="21"/>
    </row>
    <row r="1621" spans="1:4" ht="12.75" customHeight="1" x14ac:dyDescent="0.2">
      <c r="A1621" s="21"/>
      <c r="B1621" s="3" t="s">
        <v>1840</v>
      </c>
      <c r="C1621" s="20" t="s">
        <v>2045</v>
      </c>
      <c r="D1621" s="21"/>
    </row>
    <row r="1622" spans="1:4" ht="12.75" customHeight="1" x14ac:dyDescent="0.2">
      <c r="A1622" s="21"/>
      <c r="B1622" s="3" t="s">
        <v>9</v>
      </c>
      <c r="C1622" s="20" t="s">
        <v>84</v>
      </c>
      <c r="D1622" s="21"/>
    </row>
    <row r="1623" spans="1:4" ht="12.75" customHeight="1" x14ac:dyDescent="0.2">
      <c r="A1623" s="21"/>
      <c r="B1623" s="3" t="s">
        <v>11</v>
      </c>
      <c r="C1623" s="20" t="s">
        <v>901</v>
      </c>
      <c r="D1623" s="21"/>
    </row>
    <row r="1624" spans="1:4" ht="12.75" customHeight="1" x14ac:dyDescent="0.2">
      <c r="A1624" s="21"/>
      <c r="B1624" s="3" t="s">
        <v>16</v>
      </c>
      <c r="C1624" s="20"/>
      <c r="D1624" s="21"/>
    </row>
    <row r="1625" spans="1:4" ht="12.75" customHeight="1" x14ac:dyDescent="0.2">
      <c r="A1625" s="21"/>
      <c r="B1625" s="3" t="s">
        <v>17</v>
      </c>
      <c r="C1625" s="20" t="s">
        <v>19</v>
      </c>
      <c r="D1625" s="21"/>
    </row>
    <row r="1626" spans="1:4" ht="12.75" customHeight="1" x14ac:dyDescent="0.2">
      <c r="A1626" s="21"/>
      <c r="B1626" s="20" t="s">
        <v>18</v>
      </c>
      <c r="C1626" s="4" t="s">
        <v>44</v>
      </c>
      <c r="D1626" s="6" t="str">
        <f>HYPERLINK("javascript:void(0)","helioacél saru")</f>
        <v>helioacél saru</v>
      </c>
    </row>
    <row r="1627" spans="1:4" ht="12.75" customHeight="1" x14ac:dyDescent="0.2">
      <c r="A1627" s="21"/>
      <c r="B1627" s="21"/>
      <c r="C1627" s="4" t="s">
        <v>44</v>
      </c>
      <c r="D1627" s="6" t="str">
        <f>HYPERLINK("javascript:void(0)","artini saru")</f>
        <v>artini saru</v>
      </c>
    </row>
    <row r="1628" spans="1:4" ht="12.75" customHeight="1" x14ac:dyDescent="0.2">
      <c r="A1628" s="21"/>
      <c r="B1628" s="21"/>
      <c r="C1628" s="4" t="s">
        <v>44</v>
      </c>
      <c r="D1628" s="6" t="str">
        <f>HYPERLINK("javascript:void(0)","hypnoacél talp")</f>
        <v>hypnoacél talp</v>
      </c>
    </row>
    <row r="1629" spans="1:4" ht="12.75" customHeight="1" x14ac:dyDescent="0.2">
      <c r="A1629" s="21"/>
      <c r="B1629" s="2"/>
      <c r="C1629" s="2"/>
      <c r="D1629" s="2"/>
    </row>
    <row r="1630" spans="1:4" ht="12.75" customHeight="1" x14ac:dyDescent="0.2">
      <c r="A1630" s="21"/>
      <c r="B1630" s="2"/>
      <c r="C1630" s="2"/>
      <c r="D1630" s="2"/>
    </row>
    <row r="1631" spans="1:4" ht="12.75" customHeight="1" x14ac:dyDescent="0.2">
      <c r="A1631" s="21"/>
      <c r="B1631" s="2"/>
      <c r="C1631" s="2"/>
      <c r="D1631" s="2"/>
    </row>
    <row r="1632" spans="1:4" ht="12.75" customHeight="1" x14ac:dyDescent="0.2">
      <c r="A1632" s="21"/>
      <c r="B1632" s="2"/>
      <c r="C1632" s="2"/>
      <c r="D1632" s="2"/>
    </row>
    <row r="1633" spans="1:4" ht="12.75" customHeight="1" x14ac:dyDescent="0.2">
      <c r="A1633" s="5"/>
      <c r="B1633" s="2"/>
      <c r="C1633" s="2"/>
      <c r="D1633" s="2"/>
    </row>
    <row r="1634" spans="1:4" ht="12.75" customHeight="1" x14ac:dyDescent="0.2">
      <c r="A1634" s="22" t="str">
        <f>HYPERLINK("javascript:void(0)","vas páncéllemez")</f>
        <v>vas páncéllemez</v>
      </c>
      <c r="B1634" s="21"/>
      <c r="C1634" s="21"/>
      <c r="D1634" s="21"/>
    </row>
    <row r="1635" spans="1:4" ht="12.75" customHeight="1" x14ac:dyDescent="0.2">
      <c r="A1635" s="20"/>
      <c r="B1635" s="2"/>
      <c r="C1635" s="2"/>
      <c r="D1635" s="2"/>
    </row>
    <row r="1636" spans="1:4" ht="12.75" customHeight="1" x14ac:dyDescent="0.2">
      <c r="A1636" s="21"/>
      <c r="B1636" s="3" t="s">
        <v>0</v>
      </c>
      <c r="C1636" s="20" t="s">
        <v>690</v>
      </c>
      <c r="D1636" s="21"/>
    </row>
    <row r="1637" spans="1:4" ht="12.75" customHeight="1" x14ac:dyDescent="0.2">
      <c r="A1637" s="21"/>
      <c r="B1637" s="3" t="s">
        <v>2</v>
      </c>
      <c r="C1637" s="20"/>
      <c r="D1637" s="21"/>
    </row>
    <row r="1638" spans="1:4" ht="12.75" customHeight="1" x14ac:dyDescent="0.2">
      <c r="A1638" s="21"/>
      <c r="B1638" s="3" t="s">
        <v>1840</v>
      </c>
      <c r="C1638" s="20" t="s">
        <v>115</v>
      </c>
      <c r="D1638" s="21"/>
    </row>
    <row r="1639" spans="1:4" ht="12.75" customHeight="1" x14ac:dyDescent="0.2">
      <c r="A1639" s="21"/>
      <c r="B1639" s="3" t="s">
        <v>9</v>
      </c>
      <c r="C1639" s="20" t="s">
        <v>42</v>
      </c>
      <c r="D1639" s="21"/>
    </row>
    <row r="1640" spans="1:4" ht="12.75" customHeight="1" x14ac:dyDescent="0.2">
      <c r="A1640" s="21"/>
      <c r="B1640" s="3" t="s">
        <v>11</v>
      </c>
      <c r="C1640" s="20" t="s">
        <v>368</v>
      </c>
      <c r="D1640" s="21"/>
    </row>
    <row r="1641" spans="1:4" ht="12.75" customHeight="1" x14ac:dyDescent="0.2">
      <c r="A1641" s="21"/>
      <c r="B1641" s="3" t="s">
        <v>16</v>
      </c>
      <c r="C1641" s="20"/>
      <c r="D1641" s="21"/>
    </row>
    <row r="1642" spans="1:4" ht="12.75" customHeight="1" x14ac:dyDescent="0.2">
      <c r="A1642" s="21"/>
      <c r="B1642" s="3" t="s">
        <v>17</v>
      </c>
      <c r="C1642" s="20" t="s">
        <v>19</v>
      </c>
      <c r="D1642" s="21"/>
    </row>
    <row r="1643" spans="1:4" ht="12.75" customHeight="1" x14ac:dyDescent="0.2">
      <c r="A1643" s="21"/>
      <c r="B1643" s="20" t="s">
        <v>18</v>
      </c>
      <c r="C1643" s="4" t="s">
        <v>68</v>
      </c>
      <c r="D1643" s="6" t="str">
        <f>HYPERLINK("javascript:void(0)","gőg")</f>
        <v>gőg</v>
      </c>
    </row>
    <row r="1644" spans="1:4" ht="12.75" customHeight="1" x14ac:dyDescent="0.2">
      <c r="A1644" s="21"/>
      <c r="B1644" s="21"/>
      <c r="C1644" s="4" t="s">
        <v>232</v>
      </c>
      <c r="D1644" s="6" t="str">
        <f>HYPERLINK("javascript:void(0)","vasrög")</f>
        <v>vasrög</v>
      </c>
    </row>
    <row r="1645" spans="1:4" ht="12.75" customHeight="1" x14ac:dyDescent="0.2">
      <c r="A1645" s="21"/>
      <c r="B1645" s="21"/>
      <c r="C1645" s="4" t="s">
        <v>309</v>
      </c>
      <c r="D1645" s="6" t="str">
        <f>HYPERLINK("javascript:void(0)","lux")</f>
        <v>lux</v>
      </c>
    </row>
    <row r="1646" spans="1:4" ht="12.75" customHeight="1" x14ac:dyDescent="0.2">
      <c r="A1646" s="21"/>
      <c r="B1646" s="2"/>
      <c r="C1646" s="2"/>
      <c r="D1646" s="2"/>
    </row>
    <row r="1647" spans="1:4" ht="12.75" customHeight="1" x14ac:dyDescent="0.2">
      <c r="A1647" s="21"/>
      <c r="B1647" s="2"/>
      <c r="C1647" s="2"/>
      <c r="D1647" s="2"/>
    </row>
    <row r="1648" spans="1:4" ht="12.75" customHeight="1" x14ac:dyDescent="0.2">
      <c r="A1648" s="21"/>
      <c r="B1648" s="2"/>
      <c r="C1648" s="2"/>
      <c r="D1648" s="2"/>
    </row>
    <row r="1649" spans="1:4" ht="12.75" customHeight="1" x14ac:dyDescent="0.2">
      <c r="A1649" s="21"/>
      <c r="B1649" s="2"/>
      <c r="C1649" s="2"/>
      <c r="D1649" s="2"/>
    </row>
    <row r="1650" spans="1:4" ht="12.75" customHeight="1" x14ac:dyDescent="0.2">
      <c r="A1650" s="5"/>
      <c r="B1650" s="2"/>
      <c r="C1650" s="2"/>
      <c r="D1650" s="2"/>
    </row>
    <row r="1651" spans="1:4" ht="12.75" customHeight="1" x14ac:dyDescent="0.2">
      <c r="A1651" s="22" t="str">
        <f>HYPERLINK("javascript:void(0)","thordi saru")</f>
        <v>thordi saru</v>
      </c>
      <c r="B1651" s="21"/>
      <c r="C1651" s="21"/>
      <c r="D1651" s="21"/>
    </row>
    <row r="1652" spans="1:4" ht="12.75" customHeight="1" x14ac:dyDescent="0.2">
      <c r="A1652" s="20"/>
      <c r="B1652" s="2"/>
      <c r="C1652" s="2"/>
      <c r="D1652" s="2"/>
    </row>
    <row r="1653" spans="1:4" ht="12.75" customHeight="1" x14ac:dyDescent="0.2">
      <c r="A1653" s="21"/>
      <c r="B1653" s="3" t="s">
        <v>0</v>
      </c>
      <c r="C1653" s="20" t="s">
        <v>699</v>
      </c>
      <c r="D1653" s="21"/>
    </row>
    <row r="1654" spans="1:4" ht="12.75" customHeight="1" x14ac:dyDescent="0.2">
      <c r="A1654" s="21"/>
      <c r="B1654" s="3" t="s">
        <v>2</v>
      </c>
      <c r="C1654" s="20"/>
      <c r="D1654" s="21"/>
    </row>
    <row r="1655" spans="1:4" ht="12.75" customHeight="1" x14ac:dyDescent="0.2">
      <c r="A1655" s="21"/>
      <c r="B1655" s="3" t="s">
        <v>1840</v>
      </c>
      <c r="C1655" s="20" t="s">
        <v>278</v>
      </c>
      <c r="D1655" s="21"/>
    </row>
    <row r="1656" spans="1:4" ht="12.75" customHeight="1" x14ac:dyDescent="0.2">
      <c r="A1656" s="21"/>
      <c r="B1656" s="3" t="s">
        <v>9</v>
      </c>
      <c r="C1656" s="20" t="s">
        <v>27</v>
      </c>
      <c r="D1656" s="21"/>
    </row>
    <row r="1657" spans="1:4" ht="12.75" customHeight="1" x14ac:dyDescent="0.2">
      <c r="A1657" s="21"/>
      <c r="B1657" s="3" t="s">
        <v>11</v>
      </c>
      <c r="C1657" s="20" t="s">
        <v>917</v>
      </c>
      <c r="D1657" s="21"/>
    </row>
    <row r="1658" spans="1:4" ht="12.75" customHeight="1" x14ac:dyDescent="0.2">
      <c r="A1658" s="21"/>
      <c r="B1658" s="3" t="s">
        <v>16</v>
      </c>
      <c r="C1658" s="20"/>
      <c r="D1658" s="21"/>
    </row>
    <row r="1659" spans="1:4" ht="12.75" customHeight="1" x14ac:dyDescent="0.2">
      <c r="A1659" s="21"/>
      <c r="B1659" s="3" t="s">
        <v>17</v>
      </c>
      <c r="C1659" s="20" t="s">
        <v>19</v>
      </c>
      <c r="D1659" s="21"/>
    </row>
    <row r="1660" spans="1:4" ht="12.75" customHeight="1" x14ac:dyDescent="0.2">
      <c r="A1660" s="21"/>
      <c r="B1660" s="20" t="s">
        <v>18</v>
      </c>
      <c r="C1660" s="4" t="s">
        <v>44</v>
      </c>
      <c r="D1660" s="6" t="str">
        <f>HYPERLINK("javascript:void(0)","hypnoacél saru")</f>
        <v>hypnoacél saru</v>
      </c>
    </row>
    <row r="1661" spans="1:4" ht="12.75" customHeight="1" x14ac:dyDescent="0.2">
      <c r="A1661" s="21"/>
      <c r="B1661" s="21"/>
      <c r="C1661" s="4" t="s">
        <v>67</v>
      </c>
      <c r="D1661" s="6" t="str">
        <f>HYPERLINK("javascript:void(0)","fűrészfog")</f>
        <v>fűrészfog</v>
      </c>
    </row>
    <row r="1662" spans="1:4" ht="12.75" customHeight="1" x14ac:dyDescent="0.2">
      <c r="A1662" s="21"/>
      <c r="B1662" s="21"/>
      <c r="C1662" s="4" t="s">
        <v>98</v>
      </c>
      <c r="D1662" s="6" t="str">
        <f>HYPERLINK("javascript:void(0)","zselatin")</f>
        <v>zselatin</v>
      </c>
    </row>
    <row r="1663" spans="1:4" ht="12.75" customHeight="1" x14ac:dyDescent="0.2">
      <c r="A1663" s="21"/>
      <c r="B1663" s="2"/>
      <c r="C1663" s="2"/>
      <c r="D1663" s="2"/>
    </row>
    <row r="1664" spans="1:4" ht="12.75" customHeight="1" x14ac:dyDescent="0.2">
      <c r="A1664" s="21"/>
      <c r="B1664" s="2"/>
      <c r="C1664" s="2"/>
      <c r="D1664" s="2"/>
    </row>
    <row r="1665" spans="1:4" ht="12.75" customHeight="1" x14ac:dyDescent="0.2">
      <c r="A1665" s="21"/>
      <c r="B1665" s="2"/>
      <c r="C1665" s="2"/>
      <c r="D1665" s="2"/>
    </row>
    <row r="1666" spans="1:4" ht="12.75" customHeight="1" x14ac:dyDescent="0.2">
      <c r="A1666" s="21"/>
      <c r="B1666" s="2"/>
      <c r="C1666" s="2"/>
      <c r="D1666" s="2"/>
    </row>
    <row r="1667" spans="1:4" ht="12.75" customHeight="1" x14ac:dyDescent="0.2">
      <c r="A1667" s="5"/>
      <c r="B1667" s="2"/>
      <c r="C1667" s="2"/>
      <c r="D1667" s="2"/>
    </row>
    <row r="1668" spans="1:4" ht="12.75" customHeight="1" x14ac:dyDescent="0.2">
      <c r="A1668" s="22" t="str">
        <f>HYPERLINK("javascript:void(0)","harmatacél saru")</f>
        <v>harmatacél saru</v>
      </c>
      <c r="B1668" s="21"/>
      <c r="C1668" s="21"/>
      <c r="D1668" s="21"/>
    </row>
    <row r="1669" spans="1:4" ht="12.75" customHeight="1" x14ac:dyDescent="0.2">
      <c r="A1669" s="20"/>
      <c r="B1669" s="2"/>
      <c r="C1669" s="2"/>
      <c r="D1669" s="2"/>
    </row>
    <row r="1670" spans="1:4" ht="12.75" customHeight="1" x14ac:dyDescent="0.2">
      <c r="A1670" s="21"/>
      <c r="B1670" s="3" t="s">
        <v>0</v>
      </c>
      <c r="C1670" s="20" t="s">
        <v>709</v>
      </c>
      <c r="D1670" s="21"/>
    </row>
    <row r="1671" spans="1:4" ht="12.75" customHeight="1" x14ac:dyDescent="0.2">
      <c r="A1671" s="21"/>
      <c r="B1671" s="3" t="s">
        <v>2</v>
      </c>
      <c r="C1671" s="20"/>
      <c r="D1671" s="21"/>
    </row>
    <row r="1672" spans="1:4" ht="12.75" customHeight="1" x14ac:dyDescent="0.2">
      <c r="A1672" s="21"/>
      <c r="B1672" s="3" t="s">
        <v>1840</v>
      </c>
      <c r="C1672" s="20" t="s">
        <v>421</v>
      </c>
      <c r="D1672" s="21"/>
    </row>
    <row r="1673" spans="1:4" ht="12.75" customHeight="1" x14ac:dyDescent="0.2">
      <c r="A1673" s="21"/>
      <c r="B1673" s="3" t="s">
        <v>9</v>
      </c>
      <c r="C1673" s="20" t="s">
        <v>2049</v>
      </c>
      <c r="D1673" s="21"/>
    </row>
    <row r="1674" spans="1:4" ht="12.75" customHeight="1" x14ac:dyDescent="0.2">
      <c r="A1674" s="21"/>
      <c r="B1674" s="3" t="s">
        <v>11</v>
      </c>
      <c r="C1674" s="20" t="s">
        <v>939</v>
      </c>
      <c r="D1674" s="21"/>
    </row>
    <row r="1675" spans="1:4" ht="12.75" customHeight="1" x14ac:dyDescent="0.2">
      <c r="A1675" s="21"/>
      <c r="B1675" s="3" t="s">
        <v>16</v>
      </c>
      <c r="C1675" s="20"/>
      <c r="D1675" s="21"/>
    </row>
    <row r="1676" spans="1:4" ht="12.75" customHeight="1" x14ac:dyDescent="0.2">
      <c r="A1676" s="21"/>
      <c r="B1676" s="3" t="s">
        <v>17</v>
      </c>
      <c r="C1676" s="20" t="s">
        <v>19</v>
      </c>
      <c r="D1676" s="21"/>
    </row>
    <row r="1677" spans="1:4" ht="12.75" customHeight="1" x14ac:dyDescent="0.2">
      <c r="A1677" s="21"/>
      <c r="B1677" s="20" t="s">
        <v>18</v>
      </c>
      <c r="C1677" s="4" t="s">
        <v>232</v>
      </c>
      <c r="D1677" s="6" t="str">
        <f>HYPERLINK("javascript:void(0)","fókaprém")</f>
        <v>fókaprém</v>
      </c>
    </row>
    <row r="1678" spans="1:4" ht="12.75" customHeight="1" x14ac:dyDescent="0.2">
      <c r="A1678" s="21"/>
      <c r="B1678" s="21"/>
      <c r="C1678" s="4" t="s">
        <v>309</v>
      </c>
      <c r="D1678" s="6" t="str">
        <f>HYPERLINK("javascript:void(0)","harmatcsepp")</f>
        <v>harmatcsepp</v>
      </c>
    </row>
    <row r="1679" spans="1:4" ht="12.75" customHeight="1" x14ac:dyDescent="0.2">
      <c r="A1679" s="21"/>
      <c r="B1679" s="21"/>
      <c r="C1679" s="4" t="s">
        <v>117</v>
      </c>
      <c r="D1679" s="6" t="str">
        <f>HYPERLINK("javascript:void(0)","zselatin")</f>
        <v>zselatin</v>
      </c>
    </row>
    <row r="1680" spans="1:4" ht="12.75" customHeight="1" x14ac:dyDescent="0.2">
      <c r="A1680" s="21"/>
      <c r="B1680" s="2"/>
      <c r="C1680" s="2"/>
      <c r="D1680" s="2"/>
    </row>
    <row r="1681" spans="1:4" ht="12.75" customHeight="1" x14ac:dyDescent="0.2">
      <c r="A1681" s="21"/>
      <c r="B1681" s="2"/>
      <c r="C1681" s="2"/>
      <c r="D1681" s="2"/>
    </row>
    <row r="1682" spans="1:4" ht="12.75" customHeight="1" x14ac:dyDescent="0.2">
      <c r="A1682" s="21"/>
      <c r="B1682" s="2"/>
      <c r="C1682" s="2"/>
      <c r="D1682" s="2"/>
    </row>
    <row r="1683" spans="1:4" ht="12.75" customHeight="1" x14ac:dyDescent="0.2">
      <c r="A1683" s="21"/>
      <c r="B1683" s="2"/>
      <c r="C1683" s="2"/>
      <c r="D1683" s="2"/>
    </row>
    <row r="1684" spans="1:4" ht="12.75" customHeight="1" x14ac:dyDescent="0.2">
      <c r="A1684" s="5"/>
      <c r="B1684" s="2"/>
      <c r="C1684" s="2"/>
      <c r="D1684" s="2"/>
    </row>
    <row r="1685" spans="1:4" ht="12.75" customHeight="1" x14ac:dyDescent="0.2">
      <c r="A1685" s="22" t="str">
        <f>HYPERLINK("javascript:void(0)","szivárvány rostély")</f>
        <v>szivárvány rostély</v>
      </c>
      <c r="B1685" s="21"/>
      <c r="C1685" s="21"/>
      <c r="D1685" s="21"/>
    </row>
    <row r="1686" spans="1:4" ht="12.75" customHeight="1" x14ac:dyDescent="0.2">
      <c r="A1686" s="20"/>
      <c r="B1686" s="2"/>
      <c r="C1686" s="2"/>
      <c r="D1686" s="2"/>
    </row>
    <row r="1687" spans="1:4" ht="12.75" customHeight="1" x14ac:dyDescent="0.2">
      <c r="A1687" s="21"/>
      <c r="B1687" s="3" t="s">
        <v>0</v>
      </c>
      <c r="C1687" s="20" t="s">
        <v>709</v>
      </c>
      <c r="D1687" s="21"/>
    </row>
    <row r="1688" spans="1:4" ht="12.75" customHeight="1" x14ac:dyDescent="0.2">
      <c r="A1688" s="21"/>
      <c r="B1688" s="3" t="s">
        <v>2</v>
      </c>
      <c r="C1688" s="20"/>
      <c r="D1688" s="21"/>
    </row>
    <row r="1689" spans="1:4" ht="12.75" customHeight="1" x14ac:dyDescent="0.2">
      <c r="A1689" s="21"/>
      <c r="B1689" s="3" t="s">
        <v>1840</v>
      </c>
      <c r="C1689" s="20" t="s">
        <v>115</v>
      </c>
      <c r="D1689" s="21"/>
    </row>
    <row r="1690" spans="1:4" ht="12.75" customHeight="1" x14ac:dyDescent="0.2">
      <c r="A1690" s="21"/>
      <c r="B1690" s="3" t="s">
        <v>9</v>
      </c>
      <c r="C1690" s="20" t="s">
        <v>42</v>
      </c>
      <c r="D1690" s="21"/>
    </row>
    <row r="1691" spans="1:4" ht="12.75" customHeight="1" x14ac:dyDescent="0.2">
      <c r="A1691" s="21"/>
      <c r="B1691" s="3" t="s">
        <v>11</v>
      </c>
      <c r="C1691" s="20" t="s">
        <v>368</v>
      </c>
      <c r="D1691" s="21"/>
    </row>
    <row r="1692" spans="1:4" ht="12.75" customHeight="1" x14ac:dyDescent="0.2">
      <c r="A1692" s="21"/>
      <c r="B1692" s="3" t="s">
        <v>16</v>
      </c>
      <c r="C1692" s="20"/>
      <c r="D1692" s="21"/>
    </row>
    <row r="1693" spans="1:4" ht="12.75" customHeight="1" x14ac:dyDescent="0.2">
      <c r="A1693" s="21"/>
      <c r="B1693" s="3" t="s">
        <v>17</v>
      </c>
      <c r="C1693" s="20" t="s">
        <v>19</v>
      </c>
      <c r="D1693" s="21"/>
    </row>
    <row r="1694" spans="1:4" ht="12.75" customHeight="1" x14ac:dyDescent="0.2">
      <c r="A1694" s="21"/>
      <c r="B1694" s="20" t="s">
        <v>18</v>
      </c>
      <c r="C1694" s="4" t="s">
        <v>77</v>
      </c>
      <c r="D1694" s="6" t="str">
        <f>HYPERLINK("javascript:void(0)","szivárványszív")</f>
        <v>szivárványszív</v>
      </c>
    </row>
    <row r="1695" spans="1:4" ht="12.75" customHeight="1" x14ac:dyDescent="0.2">
      <c r="A1695" s="21"/>
      <c r="B1695" s="21"/>
      <c r="C1695" s="4" t="s">
        <v>68</v>
      </c>
      <c r="D1695" s="6" t="str">
        <f>HYPERLINK("javascript:void(0)","medúza csáp")</f>
        <v>medúza csáp</v>
      </c>
    </row>
    <row r="1696" spans="1:4" ht="12.75" customHeight="1" x14ac:dyDescent="0.2">
      <c r="A1696" s="21"/>
      <c r="B1696" s="21"/>
      <c r="C1696" s="4" t="s">
        <v>117</v>
      </c>
      <c r="D1696" s="6" t="str">
        <f>HYPERLINK("javascript:void(0)","éjfény")</f>
        <v>éjfény</v>
      </c>
    </row>
    <row r="1697" spans="1:4" ht="12.75" customHeight="1" x14ac:dyDescent="0.2">
      <c r="A1697" s="21"/>
      <c r="B1697" s="2"/>
      <c r="C1697" s="2"/>
      <c r="D1697" s="2"/>
    </row>
    <row r="1698" spans="1:4" ht="12.75" customHeight="1" x14ac:dyDescent="0.2">
      <c r="A1698" s="21"/>
      <c r="B1698" s="2"/>
      <c r="C1698" s="2"/>
      <c r="D1698" s="2"/>
    </row>
    <row r="1699" spans="1:4" ht="12.75" customHeight="1" x14ac:dyDescent="0.2">
      <c r="A1699" s="21"/>
      <c r="B1699" s="2"/>
      <c r="C1699" s="2"/>
      <c r="D1699" s="2"/>
    </row>
    <row r="1700" spans="1:4" ht="12.75" customHeight="1" x14ac:dyDescent="0.2">
      <c r="A1700" s="21"/>
      <c r="B1700" s="2"/>
      <c r="C1700" s="2"/>
      <c r="D1700" s="2"/>
    </row>
    <row r="1701" spans="1:4" ht="12.75" customHeight="1" x14ac:dyDescent="0.2">
      <c r="A1701" s="5"/>
      <c r="B1701" s="2"/>
      <c r="C1701" s="2"/>
      <c r="D1701" s="2"/>
    </row>
    <row r="1702" spans="1:4" ht="12.75" customHeight="1" x14ac:dyDescent="0.2">
      <c r="A1702" s="22" t="str">
        <f>HYPERLINK("javascript:void(0)","elfacél antigrav csizma")</f>
        <v>elfacél antigrav csizma</v>
      </c>
      <c r="B1702" s="21"/>
      <c r="C1702" s="21"/>
      <c r="D1702" s="21"/>
    </row>
    <row r="1703" spans="1:4" ht="12.75" customHeight="1" x14ac:dyDescent="0.2">
      <c r="A1703" s="20"/>
      <c r="B1703" s="2"/>
      <c r="C1703" s="2"/>
      <c r="D1703" s="2"/>
    </row>
    <row r="1704" spans="1:4" ht="12.75" customHeight="1" x14ac:dyDescent="0.2">
      <c r="A1704" s="21"/>
      <c r="B1704" s="3" t="s">
        <v>0</v>
      </c>
      <c r="C1704" s="20" t="s">
        <v>709</v>
      </c>
      <c r="D1704" s="21"/>
    </row>
    <row r="1705" spans="1:4" ht="12.75" customHeight="1" x14ac:dyDescent="0.2">
      <c r="A1705" s="21"/>
      <c r="B1705" s="3" t="s">
        <v>2</v>
      </c>
      <c r="C1705" s="20"/>
      <c r="D1705" s="21"/>
    </row>
    <row r="1706" spans="1:4" ht="12.75" customHeight="1" x14ac:dyDescent="0.2">
      <c r="A1706" s="21"/>
      <c r="B1706" s="3" t="s">
        <v>1840</v>
      </c>
      <c r="C1706" s="20" t="s">
        <v>1342</v>
      </c>
      <c r="D1706" s="21"/>
    </row>
    <row r="1707" spans="1:4" ht="12.75" customHeight="1" x14ac:dyDescent="0.2">
      <c r="A1707" s="21"/>
      <c r="B1707" s="3" t="s">
        <v>9</v>
      </c>
      <c r="C1707" s="20" t="s">
        <v>626</v>
      </c>
      <c r="D1707" s="21"/>
    </row>
    <row r="1708" spans="1:4" ht="12.75" customHeight="1" x14ac:dyDescent="0.2">
      <c r="A1708" s="21"/>
      <c r="B1708" s="3" t="s">
        <v>11</v>
      </c>
      <c r="C1708" s="20" t="s">
        <v>23</v>
      </c>
      <c r="D1708" s="21"/>
    </row>
    <row r="1709" spans="1:4" ht="12.75" customHeight="1" x14ac:dyDescent="0.2">
      <c r="A1709" s="21"/>
      <c r="B1709" s="3" t="s">
        <v>16</v>
      </c>
      <c r="C1709" s="20"/>
      <c r="D1709" s="21"/>
    </row>
    <row r="1710" spans="1:4" ht="12.75" customHeight="1" x14ac:dyDescent="0.2">
      <c r="A1710" s="21"/>
      <c r="B1710" s="3" t="s">
        <v>17</v>
      </c>
      <c r="C1710" s="20" t="s">
        <v>19</v>
      </c>
      <c r="D1710" s="21"/>
    </row>
    <row r="1711" spans="1:4" ht="25.5" customHeight="1" x14ac:dyDescent="0.2">
      <c r="A1711" s="21"/>
      <c r="B1711" s="20" t="s">
        <v>18</v>
      </c>
      <c r="C1711" s="4" t="s">
        <v>44</v>
      </c>
      <c r="D1711" s="6" t="str">
        <f>HYPERLINK("javascript:void(0)","dracoacél antigrav csizma")</f>
        <v>dracoacél antigrav csizma</v>
      </c>
    </row>
    <row r="1712" spans="1:4" ht="12.75" customHeight="1" x14ac:dyDescent="0.2">
      <c r="A1712" s="21"/>
      <c r="B1712" s="21"/>
      <c r="C1712" s="4" t="s">
        <v>139</v>
      </c>
      <c r="D1712" s="6" t="str">
        <f>HYPERLINK("javascript:void(0)","fókaprém")</f>
        <v>fókaprém</v>
      </c>
    </row>
    <row r="1713" spans="1:4" ht="12.75" customHeight="1" x14ac:dyDescent="0.2">
      <c r="A1713" s="21"/>
      <c r="B1713" s="21"/>
      <c r="C1713" s="4" t="s">
        <v>193</v>
      </c>
      <c r="D1713" s="6" t="str">
        <f>HYPERLINK("javascript:void(0)","fúrófej")</f>
        <v>fúrófej</v>
      </c>
    </row>
    <row r="1714" spans="1:4" ht="12.75" customHeight="1" x14ac:dyDescent="0.2">
      <c r="A1714" s="21"/>
      <c r="B1714" s="2"/>
      <c r="C1714" s="2"/>
      <c r="D1714" s="2"/>
    </row>
    <row r="1715" spans="1:4" ht="12.75" customHeight="1" x14ac:dyDescent="0.2">
      <c r="A1715" s="21"/>
      <c r="B1715" s="2"/>
      <c r="C1715" s="2"/>
      <c r="D1715" s="2"/>
    </row>
    <row r="1716" spans="1:4" ht="12.75" customHeight="1" x14ac:dyDescent="0.2">
      <c r="A1716" s="21"/>
      <c r="B1716" s="2"/>
      <c r="C1716" s="2"/>
      <c r="D1716" s="2"/>
    </row>
    <row r="1717" spans="1:4" ht="12.75" customHeight="1" x14ac:dyDescent="0.2">
      <c r="A1717" s="21"/>
      <c r="B1717" s="2"/>
      <c r="C1717" s="2"/>
      <c r="D1717" s="2"/>
    </row>
    <row r="1718" spans="1:4" ht="12.75" customHeight="1" x14ac:dyDescent="0.2">
      <c r="A1718" s="5"/>
      <c r="B1718" s="2"/>
      <c r="C1718" s="2"/>
      <c r="D1718" s="2"/>
    </row>
    <row r="1719" spans="1:4" ht="12.75" customHeight="1" x14ac:dyDescent="0.2">
      <c r="A1719" s="22" t="str">
        <f>HYPERLINK("javascript:void(0)","réz mokaszin")</f>
        <v>réz mokaszin</v>
      </c>
      <c r="B1719" s="21"/>
      <c r="C1719" s="21"/>
      <c r="D1719" s="21"/>
    </row>
    <row r="1720" spans="1:4" ht="12.75" customHeight="1" x14ac:dyDescent="0.2">
      <c r="A1720" s="20"/>
      <c r="B1720" s="2"/>
      <c r="C1720" s="2"/>
      <c r="D1720" s="2"/>
    </row>
    <row r="1721" spans="1:4" ht="12.75" customHeight="1" x14ac:dyDescent="0.2">
      <c r="A1721" s="21"/>
      <c r="B1721" s="3" t="s">
        <v>0</v>
      </c>
      <c r="C1721" s="20" t="s">
        <v>719</v>
      </c>
      <c r="D1721" s="21"/>
    </row>
    <row r="1722" spans="1:4" ht="12.75" customHeight="1" x14ac:dyDescent="0.2">
      <c r="A1722" s="21"/>
      <c r="B1722" s="3" t="s">
        <v>2</v>
      </c>
      <c r="C1722" s="20"/>
      <c r="D1722" s="21"/>
    </row>
    <row r="1723" spans="1:4" ht="12.75" customHeight="1" x14ac:dyDescent="0.2">
      <c r="A1723" s="21"/>
      <c r="B1723" s="3" t="s">
        <v>1840</v>
      </c>
      <c r="C1723" s="20" t="s">
        <v>2055</v>
      </c>
      <c r="D1723" s="21"/>
    </row>
    <row r="1724" spans="1:4" ht="12.75" customHeight="1" x14ac:dyDescent="0.2">
      <c r="A1724" s="21"/>
      <c r="B1724" s="3" t="s">
        <v>9</v>
      </c>
      <c r="C1724" s="20" t="s">
        <v>2056</v>
      </c>
      <c r="D1724" s="21"/>
    </row>
    <row r="1725" spans="1:4" ht="12.75" customHeight="1" x14ac:dyDescent="0.2">
      <c r="A1725" s="21"/>
      <c r="B1725" s="3" t="s">
        <v>11</v>
      </c>
      <c r="C1725" s="20" t="s">
        <v>956</v>
      </c>
      <c r="D1725" s="21"/>
    </row>
    <row r="1726" spans="1:4" ht="12.75" customHeight="1" x14ac:dyDescent="0.2">
      <c r="A1726" s="21"/>
      <c r="B1726" s="3" t="s">
        <v>16</v>
      </c>
      <c r="C1726" s="20"/>
      <c r="D1726" s="21"/>
    </row>
    <row r="1727" spans="1:4" ht="12.75" customHeight="1" x14ac:dyDescent="0.2">
      <c r="A1727" s="21"/>
      <c r="B1727" s="3" t="s">
        <v>17</v>
      </c>
      <c r="C1727" s="20" t="s">
        <v>19</v>
      </c>
      <c r="D1727" s="21"/>
    </row>
    <row r="1728" spans="1:4" ht="12.75" customHeight="1" x14ac:dyDescent="0.2">
      <c r="A1728" s="21"/>
      <c r="B1728" s="20" t="s">
        <v>18</v>
      </c>
      <c r="C1728" s="4" t="s">
        <v>44</v>
      </c>
      <c r="D1728" s="6" t="str">
        <f>HYPERLINK("javascript:void(0)","thordi saru")</f>
        <v>thordi saru</v>
      </c>
    </row>
    <row r="1729" spans="1:4" ht="12.75" customHeight="1" x14ac:dyDescent="0.2">
      <c r="A1729" s="21"/>
      <c r="B1729" s="21"/>
      <c r="C1729" s="4" t="s">
        <v>44</v>
      </c>
      <c r="D1729" s="6" t="str">
        <f>HYPERLINK("javascript:void(0)","harmatacél saru")</f>
        <v>harmatacél saru</v>
      </c>
    </row>
    <row r="1730" spans="1:4" ht="12.75" customHeight="1" x14ac:dyDescent="0.2">
      <c r="A1730" s="21"/>
      <c r="B1730" s="21"/>
      <c r="C1730" s="4" t="s">
        <v>44</v>
      </c>
      <c r="D1730" s="6" t="str">
        <f>HYPERLINK("javascript:void(0)","réztalp")</f>
        <v>réztalp</v>
      </c>
    </row>
    <row r="1731" spans="1:4" ht="12.75" customHeight="1" x14ac:dyDescent="0.2">
      <c r="A1731" s="21"/>
      <c r="B1731" s="2"/>
      <c r="C1731" s="2"/>
      <c r="D1731" s="2"/>
    </row>
    <row r="1732" spans="1:4" ht="12.75" customHeight="1" x14ac:dyDescent="0.2">
      <c r="A1732" s="21"/>
      <c r="B1732" s="2"/>
      <c r="C1732" s="2"/>
      <c r="D1732" s="2"/>
    </row>
    <row r="1733" spans="1:4" ht="12.75" customHeight="1" x14ac:dyDescent="0.2">
      <c r="A1733" s="21"/>
      <c r="B1733" s="2"/>
      <c r="C1733" s="2"/>
      <c r="D1733" s="2"/>
    </row>
    <row r="1734" spans="1:4" ht="12.75" customHeight="1" x14ac:dyDescent="0.2">
      <c r="A1734" s="21"/>
      <c r="B1734" s="2"/>
      <c r="C1734" s="2"/>
      <c r="D1734" s="2"/>
    </row>
    <row r="1735" spans="1:4" ht="12.75" customHeight="1" x14ac:dyDescent="0.2">
      <c r="A1735" s="5"/>
      <c r="B1735" s="2"/>
      <c r="C1735" s="2"/>
      <c r="D1735" s="2"/>
    </row>
    <row r="1736" spans="1:4" ht="12.75" customHeight="1" x14ac:dyDescent="0.2">
      <c r="A1736" s="22" t="str">
        <f>HYPERLINK("javascript:void(0)","csillámló sárkánycsizma")</f>
        <v>csillámló sárkánycsizma</v>
      </c>
      <c r="B1736" s="21"/>
      <c r="C1736" s="21"/>
      <c r="D1736" s="21"/>
    </row>
    <row r="1737" spans="1:4" ht="12.75" customHeight="1" x14ac:dyDescent="0.2">
      <c r="A1737" s="20"/>
      <c r="B1737" s="2"/>
      <c r="C1737" s="2"/>
      <c r="D1737" s="2"/>
    </row>
    <row r="1738" spans="1:4" ht="12.75" customHeight="1" x14ac:dyDescent="0.2">
      <c r="A1738" s="21"/>
      <c r="B1738" s="3" t="s">
        <v>0</v>
      </c>
      <c r="C1738" s="20" t="s">
        <v>719</v>
      </c>
      <c r="D1738" s="21"/>
    </row>
    <row r="1739" spans="1:4" ht="12.75" customHeight="1" x14ac:dyDescent="0.2">
      <c r="A1739" s="21"/>
      <c r="B1739" s="3" t="s">
        <v>2</v>
      </c>
      <c r="C1739" s="20"/>
      <c r="D1739" s="21"/>
    </row>
    <row r="1740" spans="1:4" ht="12.75" customHeight="1" x14ac:dyDescent="0.2">
      <c r="A1740" s="21"/>
      <c r="B1740" s="3" t="s">
        <v>1840</v>
      </c>
      <c r="C1740" s="20" t="s">
        <v>455</v>
      </c>
      <c r="D1740" s="21"/>
    </row>
    <row r="1741" spans="1:4" ht="12.75" customHeight="1" x14ac:dyDescent="0.2">
      <c r="A1741" s="21"/>
      <c r="B1741" s="3" t="s">
        <v>9</v>
      </c>
      <c r="C1741" s="20" t="s">
        <v>2058</v>
      </c>
      <c r="D1741" s="21"/>
    </row>
    <row r="1742" spans="1:4" ht="12.75" customHeight="1" x14ac:dyDescent="0.2">
      <c r="A1742" s="21"/>
      <c r="B1742" s="3" t="s">
        <v>11</v>
      </c>
      <c r="C1742" s="20" t="s">
        <v>956</v>
      </c>
      <c r="D1742" s="21"/>
    </row>
    <row r="1743" spans="1:4" ht="12.75" customHeight="1" x14ac:dyDescent="0.2">
      <c r="A1743" s="21"/>
      <c r="B1743" s="3" t="s">
        <v>16</v>
      </c>
      <c r="C1743" s="20"/>
      <c r="D1743" s="21"/>
    </row>
    <row r="1744" spans="1:4" ht="12.75" customHeight="1" x14ac:dyDescent="0.2">
      <c r="A1744" s="21"/>
      <c r="B1744" s="3" t="s">
        <v>17</v>
      </c>
      <c r="C1744" s="20" t="s">
        <v>19</v>
      </c>
      <c r="D1744" s="21"/>
    </row>
    <row r="1745" spans="1:4" ht="12.75" customHeight="1" x14ac:dyDescent="0.2">
      <c r="A1745" s="21"/>
      <c r="B1745" s="20" t="s">
        <v>18</v>
      </c>
      <c r="C1745" s="4" t="s">
        <v>57</v>
      </c>
      <c r="D1745" s="6" t="str">
        <f>HYPERLINK("javascript:void(0)","csillámgöb")</f>
        <v>csillámgöb</v>
      </c>
    </row>
    <row r="1746" spans="1:4" ht="25.5" customHeight="1" x14ac:dyDescent="0.2">
      <c r="A1746" s="21"/>
      <c r="B1746" s="21"/>
      <c r="C1746" s="4" t="s">
        <v>44</v>
      </c>
      <c r="D1746" s="6" t="str">
        <f>HYPERLINK("javascript:void(0)","csillámló démoncsizma")</f>
        <v>csillámló démoncsizma</v>
      </c>
    </row>
    <row r="1747" spans="1:4" ht="12.75" customHeight="1" x14ac:dyDescent="0.2">
      <c r="A1747" s="21"/>
      <c r="B1747" s="21"/>
      <c r="C1747" s="4" t="s">
        <v>296</v>
      </c>
      <c r="D1747" s="6" t="str">
        <f>HYPERLINK("javascript:void(0)","vízige")</f>
        <v>vízige</v>
      </c>
    </row>
    <row r="1748" spans="1:4" ht="12.75" customHeight="1" x14ac:dyDescent="0.2">
      <c r="A1748" s="21"/>
      <c r="B1748" s="2"/>
      <c r="C1748" s="2"/>
      <c r="D1748" s="2"/>
    </row>
    <row r="1749" spans="1:4" ht="12.75" customHeight="1" x14ac:dyDescent="0.2">
      <c r="A1749" s="21"/>
      <c r="B1749" s="2"/>
      <c r="C1749" s="2"/>
      <c r="D1749" s="2"/>
    </row>
    <row r="1750" spans="1:4" ht="12.75" customHeight="1" x14ac:dyDescent="0.2">
      <c r="A1750" s="21"/>
      <c r="B1750" s="2"/>
      <c r="C1750" s="2"/>
      <c r="D1750" s="2"/>
    </row>
    <row r="1751" spans="1:4" ht="12.75" customHeight="1" x14ac:dyDescent="0.2">
      <c r="A1751" s="21"/>
      <c r="B1751" s="2"/>
      <c r="C1751" s="2"/>
      <c r="D1751" s="2"/>
    </row>
    <row r="1752" spans="1:4" ht="12.75" customHeight="1" x14ac:dyDescent="0.2">
      <c r="A1752" s="5"/>
      <c r="B1752" s="2"/>
      <c r="C1752" s="2"/>
      <c r="D1752" s="2"/>
    </row>
    <row r="1753" spans="1:4" ht="12.75" customHeight="1" x14ac:dyDescent="0.2">
      <c r="A1753" s="22" t="str">
        <f>HYPERLINK("javascript:void(0)","bronz mokaszin")</f>
        <v>bronz mokaszin</v>
      </c>
      <c r="B1753" s="21"/>
      <c r="C1753" s="21"/>
      <c r="D1753" s="21"/>
    </row>
    <row r="1754" spans="1:4" ht="12.75" customHeight="1" x14ac:dyDescent="0.2">
      <c r="A1754" s="20"/>
      <c r="B1754" s="2"/>
      <c r="C1754" s="2"/>
      <c r="D1754" s="2"/>
    </row>
    <row r="1755" spans="1:4" ht="12.75" customHeight="1" x14ac:dyDescent="0.2">
      <c r="A1755" s="21"/>
      <c r="B1755" s="3" t="s">
        <v>0</v>
      </c>
      <c r="C1755" s="20" t="s">
        <v>728</v>
      </c>
      <c r="D1755" s="21"/>
    </row>
    <row r="1756" spans="1:4" ht="12.75" customHeight="1" x14ac:dyDescent="0.2">
      <c r="A1756" s="21"/>
      <c r="B1756" s="3" t="s">
        <v>2</v>
      </c>
      <c r="C1756" s="20"/>
      <c r="D1756" s="21"/>
    </row>
    <row r="1757" spans="1:4" ht="12.75" customHeight="1" x14ac:dyDescent="0.2">
      <c r="A1757" s="21"/>
      <c r="B1757" s="3" t="s">
        <v>1840</v>
      </c>
      <c r="C1757" s="20" t="s">
        <v>2059</v>
      </c>
      <c r="D1757" s="21"/>
    </row>
    <row r="1758" spans="1:4" ht="12.75" customHeight="1" x14ac:dyDescent="0.2">
      <c r="A1758" s="21"/>
      <c r="B1758" s="3" t="s">
        <v>9</v>
      </c>
      <c r="C1758" s="20" t="s">
        <v>2060</v>
      </c>
      <c r="D1758" s="21"/>
    </row>
    <row r="1759" spans="1:4" ht="12.75" customHeight="1" x14ac:dyDescent="0.2">
      <c r="A1759" s="21"/>
      <c r="B1759" s="3" t="s">
        <v>11</v>
      </c>
      <c r="C1759" s="20" t="s">
        <v>973</v>
      </c>
      <c r="D1759" s="21"/>
    </row>
    <row r="1760" spans="1:4" ht="12.75" customHeight="1" x14ac:dyDescent="0.2">
      <c r="A1760" s="21"/>
      <c r="B1760" s="3" t="s">
        <v>16</v>
      </c>
      <c r="C1760" s="20"/>
      <c r="D1760" s="21"/>
    </row>
    <row r="1761" spans="1:4" ht="12.75" customHeight="1" x14ac:dyDescent="0.2">
      <c r="A1761" s="21"/>
      <c r="B1761" s="3" t="s">
        <v>17</v>
      </c>
      <c r="C1761" s="20" t="s">
        <v>19</v>
      </c>
      <c r="D1761" s="21"/>
    </row>
    <row r="1762" spans="1:4" ht="12.75" customHeight="1" x14ac:dyDescent="0.2">
      <c r="A1762" s="21"/>
      <c r="B1762" s="20" t="s">
        <v>18</v>
      </c>
      <c r="C1762" s="4" t="s">
        <v>44</v>
      </c>
      <c r="D1762" s="6" t="str">
        <f>HYPERLINK("javascript:void(0)","réz mokaszin")</f>
        <v>réz mokaszin</v>
      </c>
    </row>
    <row r="1763" spans="1:4" ht="12.75" customHeight="1" x14ac:dyDescent="0.2">
      <c r="A1763" s="21"/>
      <c r="B1763" s="21"/>
      <c r="C1763" s="4" t="s">
        <v>77</v>
      </c>
      <c r="D1763" s="6" t="str">
        <f>HYPERLINK("javascript:void(0)","bronzrög")</f>
        <v>bronzrög</v>
      </c>
    </row>
    <row r="1764" spans="1:4" ht="12.75" customHeight="1" x14ac:dyDescent="0.2">
      <c r="A1764" s="21"/>
      <c r="B1764" s="21"/>
      <c r="C1764" s="4" t="s">
        <v>77</v>
      </c>
      <c r="D1764" s="6" t="str">
        <f>HYPERLINK("javascript:void(0)","szabo-penge")</f>
        <v>szabo-penge</v>
      </c>
    </row>
    <row r="1765" spans="1:4" ht="12.75" customHeight="1" x14ac:dyDescent="0.2">
      <c r="A1765" s="21"/>
      <c r="B1765" s="2"/>
      <c r="C1765" s="2"/>
      <c r="D1765" s="2"/>
    </row>
    <row r="1766" spans="1:4" ht="12.75" customHeight="1" x14ac:dyDescent="0.2">
      <c r="A1766" s="21"/>
      <c r="B1766" s="2"/>
      <c r="C1766" s="2"/>
      <c r="D1766" s="2"/>
    </row>
    <row r="1767" spans="1:4" ht="12.75" customHeight="1" x14ac:dyDescent="0.2">
      <c r="A1767" s="21"/>
      <c r="B1767" s="2"/>
      <c r="C1767" s="2"/>
      <c r="D1767" s="2"/>
    </row>
    <row r="1768" spans="1:4" ht="12.75" customHeight="1" x14ac:dyDescent="0.2">
      <c r="A1768" s="21"/>
      <c r="B1768" s="2"/>
      <c r="C1768" s="2"/>
      <c r="D1768" s="2"/>
    </row>
    <row r="1769" spans="1:4" ht="12.75" customHeight="1" x14ac:dyDescent="0.2">
      <c r="A1769" s="5"/>
      <c r="B1769" s="2"/>
      <c r="C1769" s="2"/>
      <c r="D1769" s="2"/>
    </row>
    <row r="1770" spans="1:4" ht="12.75" customHeight="1" x14ac:dyDescent="0.2">
      <c r="A1770" s="22" t="str">
        <f>HYPERLINK("javascript:void(0)","smaragd vállap")</f>
        <v>smaragd vállap</v>
      </c>
      <c r="B1770" s="21"/>
      <c r="C1770" s="21"/>
      <c r="D1770" s="21"/>
    </row>
    <row r="1771" spans="1:4" ht="12.75" customHeight="1" x14ac:dyDescent="0.2">
      <c r="A1771" s="20"/>
      <c r="B1771" s="2"/>
      <c r="C1771" s="2"/>
      <c r="D1771" s="2"/>
    </row>
    <row r="1772" spans="1:4" ht="12.75" customHeight="1" x14ac:dyDescent="0.2">
      <c r="A1772" s="21"/>
      <c r="B1772" s="3" t="s">
        <v>0</v>
      </c>
      <c r="C1772" s="20" t="s">
        <v>728</v>
      </c>
      <c r="D1772" s="21"/>
    </row>
    <row r="1773" spans="1:4" ht="12.75" customHeight="1" x14ac:dyDescent="0.2">
      <c r="A1773" s="21"/>
      <c r="B1773" s="3" t="s">
        <v>2</v>
      </c>
      <c r="C1773" s="20"/>
      <c r="D1773" s="21"/>
    </row>
    <row r="1774" spans="1:4" ht="12.75" customHeight="1" x14ac:dyDescent="0.2">
      <c r="A1774" s="21"/>
      <c r="B1774" s="3" t="s">
        <v>1840</v>
      </c>
      <c r="C1774" s="20" t="s">
        <v>115</v>
      </c>
      <c r="D1774" s="21"/>
    </row>
    <row r="1775" spans="1:4" ht="12.75" customHeight="1" x14ac:dyDescent="0.2">
      <c r="A1775" s="21"/>
      <c r="B1775" s="3" t="s">
        <v>9</v>
      </c>
      <c r="C1775" s="20" t="s">
        <v>42</v>
      </c>
      <c r="D1775" s="21"/>
    </row>
    <row r="1776" spans="1:4" ht="12.75" customHeight="1" x14ac:dyDescent="0.2">
      <c r="A1776" s="21"/>
      <c r="B1776" s="3" t="s">
        <v>11</v>
      </c>
      <c r="C1776" s="20" t="s">
        <v>368</v>
      </c>
      <c r="D1776" s="21"/>
    </row>
    <row r="1777" spans="1:4" ht="12.75" customHeight="1" x14ac:dyDescent="0.2">
      <c r="A1777" s="21"/>
      <c r="B1777" s="3" t="s">
        <v>16</v>
      </c>
      <c r="C1777" s="20"/>
      <c r="D1777" s="21"/>
    </row>
    <row r="1778" spans="1:4" ht="12.75" customHeight="1" x14ac:dyDescent="0.2">
      <c r="A1778" s="21"/>
      <c r="B1778" s="3" t="s">
        <v>17</v>
      </c>
      <c r="C1778" s="20" t="s">
        <v>19</v>
      </c>
      <c r="D1778" s="21"/>
    </row>
    <row r="1779" spans="1:4" ht="12.75" customHeight="1" x14ac:dyDescent="0.2">
      <c r="A1779" s="21"/>
      <c r="B1779" s="20" t="s">
        <v>18</v>
      </c>
      <c r="C1779" s="4" t="s">
        <v>63</v>
      </c>
      <c r="D1779" s="6" t="str">
        <f>HYPERLINK("javascript:void(0)","smaragd")</f>
        <v>smaragd</v>
      </c>
    </row>
    <row r="1780" spans="1:4" ht="12.75" customHeight="1" x14ac:dyDescent="0.2">
      <c r="A1780" s="21"/>
      <c r="B1780" s="21"/>
      <c r="C1780" s="4" t="s">
        <v>244</v>
      </c>
      <c r="D1780" s="6" t="str">
        <f>HYPERLINK("javascript:void(0)","bázispár")</f>
        <v>bázispár</v>
      </c>
    </row>
    <row r="1781" spans="1:4" ht="12.75" customHeight="1" x14ac:dyDescent="0.2">
      <c r="A1781" s="21"/>
      <c r="B1781" s="21"/>
      <c r="C1781" s="4" t="s">
        <v>117</v>
      </c>
      <c r="D1781" s="6" t="str">
        <f>HYPERLINK("javascript:void(0)","gőg")</f>
        <v>gőg</v>
      </c>
    </row>
    <row r="1782" spans="1:4" ht="12.75" customHeight="1" x14ac:dyDescent="0.2">
      <c r="A1782" s="21"/>
      <c r="B1782" s="2"/>
      <c r="C1782" s="2"/>
      <c r="D1782" s="2"/>
    </row>
    <row r="1783" spans="1:4" ht="12.75" customHeight="1" x14ac:dyDescent="0.2">
      <c r="A1783" s="21"/>
      <c r="B1783" s="2"/>
      <c r="C1783" s="2"/>
      <c r="D1783" s="2"/>
    </row>
    <row r="1784" spans="1:4" ht="12.75" customHeight="1" x14ac:dyDescent="0.2">
      <c r="A1784" s="21"/>
      <c r="B1784" s="2"/>
      <c r="C1784" s="2"/>
      <c r="D1784" s="2"/>
    </row>
    <row r="1785" spans="1:4" ht="12.75" customHeight="1" x14ac:dyDescent="0.2">
      <c r="A1785" s="21"/>
      <c r="B1785" s="2"/>
      <c r="C1785" s="2"/>
      <c r="D1785" s="2"/>
    </row>
    <row r="1786" spans="1:4" ht="12.75" customHeight="1" x14ac:dyDescent="0.2">
      <c r="A1786" s="5"/>
      <c r="B1786" s="2"/>
      <c r="C1786" s="2"/>
      <c r="D1786" s="2"/>
    </row>
    <row r="1787" spans="1:4" ht="12.75" customHeight="1" x14ac:dyDescent="0.2">
      <c r="A1787" s="22" t="str">
        <f>HYPERLINK("javascript:void(0)","vas mokaszin")</f>
        <v>vas mokaszin</v>
      </c>
      <c r="B1787" s="21"/>
      <c r="C1787" s="21"/>
      <c r="D1787" s="21"/>
    </row>
    <row r="1788" spans="1:4" ht="12.75" customHeight="1" x14ac:dyDescent="0.2">
      <c r="A1788" s="20"/>
      <c r="B1788" s="2"/>
      <c r="C1788" s="2"/>
      <c r="D1788" s="2"/>
    </row>
    <row r="1789" spans="1:4" ht="12.75" customHeight="1" x14ac:dyDescent="0.2">
      <c r="A1789" s="21"/>
      <c r="B1789" s="3" t="s">
        <v>0</v>
      </c>
      <c r="C1789" s="20" t="s">
        <v>78</v>
      </c>
      <c r="D1789" s="21"/>
    </row>
    <row r="1790" spans="1:4" ht="12.75" customHeight="1" x14ac:dyDescent="0.2">
      <c r="A1790" s="21"/>
      <c r="B1790" s="3" t="s">
        <v>2</v>
      </c>
      <c r="C1790" s="20"/>
      <c r="D1790" s="21"/>
    </row>
    <row r="1791" spans="1:4" ht="12.75" customHeight="1" x14ac:dyDescent="0.2">
      <c r="A1791" s="21"/>
      <c r="B1791" s="3" t="s">
        <v>1840</v>
      </c>
      <c r="C1791" s="20" t="s">
        <v>2064</v>
      </c>
      <c r="D1791" s="21"/>
    </row>
    <row r="1792" spans="1:4" ht="12.75" customHeight="1" x14ac:dyDescent="0.2">
      <c r="A1792" s="21"/>
      <c r="B1792" s="3" t="s">
        <v>9</v>
      </c>
      <c r="C1792" s="20" t="s">
        <v>2050</v>
      </c>
      <c r="D1792" s="21"/>
    </row>
    <row r="1793" spans="1:4" ht="12.75" customHeight="1" x14ac:dyDescent="0.2">
      <c r="A1793" s="21"/>
      <c r="B1793" s="3" t="s">
        <v>11</v>
      </c>
      <c r="C1793" s="20" t="s">
        <v>993</v>
      </c>
      <c r="D1793" s="21"/>
    </row>
    <row r="1794" spans="1:4" ht="12.75" customHeight="1" x14ac:dyDescent="0.2">
      <c r="A1794" s="21"/>
      <c r="B1794" s="3" t="s">
        <v>16</v>
      </c>
      <c r="C1794" s="20"/>
      <c r="D1794" s="21"/>
    </row>
    <row r="1795" spans="1:4" ht="12.75" customHeight="1" x14ac:dyDescent="0.2">
      <c r="A1795" s="21"/>
      <c r="B1795" s="3" t="s">
        <v>17</v>
      </c>
      <c r="C1795" s="20" t="s">
        <v>19</v>
      </c>
      <c r="D1795" s="21"/>
    </row>
    <row r="1796" spans="1:4" ht="12.75" customHeight="1" x14ac:dyDescent="0.2">
      <c r="A1796" s="21"/>
      <c r="B1796" s="20" t="s">
        <v>18</v>
      </c>
      <c r="C1796" s="4" t="s">
        <v>77</v>
      </c>
      <c r="D1796" s="6" t="str">
        <f>HYPERLINK("javascript:void(0)","vasrög")</f>
        <v>vasrög</v>
      </c>
    </row>
    <row r="1797" spans="1:4" ht="12.75" customHeight="1" x14ac:dyDescent="0.2">
      <c r="A1797" s="21"/>
      <c r="B1797" s="21"/>
      <c r="C1797" s="4" t="s">
        <v>309</v>
      </c>
      <c r="D1797" s="6" t="str">
        <f>HYPERLINK("javascript:void(0)","serte")</f>
        <v>serte</v>
      </c>
    </row>
    <row r="1798" spans="1:4" ht="12.75" customHeight="1" x14ac:dyDescent="0.2">
      <c r="A1798" s="21"/>
      <c r="B1798" s="21"/>
      <c r="C1798" s="4" t="s">
        <v>98</v>
      </c>
      <c r="D1798" s="6" t="str">
        <f>HYPERLINK("javascript:void(0)","tincs")</f>
        <v>tincs</v>
      </c>
    </row>
    <row r="1799" spans="1:4" ht="12.75" customHeight="1" x14ac:dyDescent="0.2">
      <c r="A1799" s="21"/>
      <c r="B1799" s="2"/>
      <c r="C1799" s="2"/>
      <c r="D1799" s="2"/>
    </row>
    <row r="1800" spans="1:4" ht="12.75" customHeight="1" x14ac:dyDescent="0.2">
      <c r="A1800" s="21"/>
      <c r="B1800" s="2"/>
      <c r="C1800" s="2"/>
      <c r="D1800" s="2"/>
    </row>
    <row r="1801" spans="1:4" ht="12.75" customHeight="1" x14ac:dyDescent="0.2">
      <c r="A1801" s="21"/>
      <c r="B1801" s="2"/>
      <c r="C1801" s="2"/>
      <c r="D1801" s="2"/>
    </row>
    <row r="1802" spans="1:4" ht="12.75" customHeight="1" x14ac:dyDescent="0.2">
      <c r="A1802" s="21"/>
      <c r="B1802" s="2"/>
      <c r="C1802" s="2"/>
      <c r="D1802" s="2"/>
    </row>
    <row r="1803" spans="1:4" ht="12.75" customHeight="1" x14ac:dyDescent="0.2">
      <c r="A1803" s="5"/>
      <c r="B1803" s="2"/>
      <c r="C1803" s="2"/>
      <c r="D1803" s="2"/>
    </row>
    <row r="1804" spans="1:4" ht="12.75" customHeight="1" x14ac:dyDescent="0.2">
      <c r="A1804" s="22" t="str">
        <f>HYPERLINK("javascript:void(0)","óriásacél antigrav csizma")</f>
        <v>óriásacél antigrav csizma</v>
      </c>
      <c r="B1804" s="21"/>
      <c r="C1804" s="21"/>
      <c r="D1804" s="21"/>
    </row>
    <row r="1805" spans="1:4" ht="12.75" customHeight="1" x14ac:dyDescent="0.2">
      <c r="A1805" s="20"/>
      <c r="B1805" s="2"/>
      <c r="C1805" s="2"/>
      <c r="D1805" s="2"/>
    </row>
    <row r="1806" spans="1:4" ht="12.75" customHeight="1" x14ac:dyDescent="0.2">
      <c r="A1806" s="21"/>
      <c r="B1806" s="3" t="s">
        <v>0</v>
      </c>
      <c r="C1806" s="20" t="s">
        <v>78</v>
      </c>
      <c r="D1806" s="21"/>
    </row>
    <row r="1807" spans="1:4" ht="12.75" customHeight="1" x14ac:dyDescent="0.2">
      <c r="A1807" s="21"/>
      <c r="B1807" s="3" t="s">
        <v>2</v>
      </c>
      <c r="C1807" s="20"/>
      <c r="D1807" s="21"/>
    </row>
    <row r="1808" spans="1:4" ht="12.75" customHeight="1" x14ac:dyDescent="0.2">
      <c r="A1808" s="21"/>
      <c r="B1808" s="3" t="s">
        <v>1840</v>
      </c>
      <c r="C1808" s="20" t="s">
        <v>1373</v>
      </c>
      <c r="D1808" s="21"/>
    </row>
    <row r="1809" spans="1:4" ht="12.75" customHeight="1" x14ac:dyDescent="0.2">
      <c r="A1809" s="21"/>
      <c r="B1809" s="3" t="s">
        <v>9</v>
      </c>
      <c r="C1809" s="20" t="s">
        <v>626</v>
      </c>
      <c r="D1809" s="21"/>
    </row>
    <row r="1810" spans="1:4" ht="12.75" customHeight="1" x14ac:dyDescent="0.2">
      <c r="A1810" s="21"/>
      <c r="B1810" s="3" t="s">
        <v>11</v>
      </c>
      <c r="C1810" s="20" t="s">
        <v>23</v>
      </c>
      <c r="D1810" s="21"/>
    </row>
    <row r="1811" spans="1:4" ht="12.75" customHeight="1" x14ac:dyDescent="0.2">
      <c r="A1811" s="21"/>
      <c r="B1811" s="3" t="s">
        <v>16</v>
      </c>
      <c r="C1811" s="20"/>
      <c r="D1811" s="21"/>
    </row>
    <row r="1812" spans="1:4" ht="12.75" customHeight="1" x14ac:dyDescent="0.2">
      <c r="A1812" s="21"/>
      <c r="B1812" s="3" t="s">
        <v>17</v>
      </c>
      <c r="C1812" s="20" t="s">
        <v>19</v>
      </c>
      <c r="D1812" s="21"/>
    </row>
    <row r="1813" spans="1:4" ht="25.5" customHeight="1" x14ac:dyDescent="0.2">
      <c r="A1813" s="21"/>
      <c r="B1813" s="20" t="s">
        <v>18</v>
      </c>
      <c r="C1813" s="4" t="s">
        <v>44</v>
      </c>
      <c r="D1813" s="6" t="str">
        <f>HYPERLINK("javascript:void(0)","elfacél antigrav csizma")</f>
        <v>elfacél antigrav csizma</v>
      </c>
    </row>
    <row r="1814" spans="1:4" ht="12.75" customHeight="1" x14ac:dyDescent="0.2">
      <c r="A1814" s="21"/>
      <c r="B1814" s="21"/>
      <c r="C1814" s="4" t="s">
        <v>130</v>
      </c>
      <c r="D1814" s="6" t="str">
        <f>HYPERLINK("javascript:void(0)","serte")</f>
        <v>serte</v>
      </c>
    </row>
    <row r="1815" spans="1:4" ht="12.75" customHeight="1" x14ac:dyDescent="0.2">
      <c r="A1815" s="21"/>
      <c r="B1815" s="21"/>
      <c r="C1815" s="4" t="s">
        <v>193</v>
      </c>
      <c r="D1815" s="6" t="str">
        <f>HYPERLINK("javascript:void(0)","szivárványszív")</f>
        <v>szivárványszív</v>
      </c>
    </row>
    <row r="1816" spans="1:4" ht="12.75" customHeight="1" x14ac:dyDescent="0.2">
      <c r="A1816" s="21"/>
      <c r="B1816" s="2"/>
      <c r="C1816" s="2"/>
      <c r="D1816" s="2"/>
    </row>
    <row r="1817" spans="1:4" ht="12.75" customHeight="1" x14ac:dyDescent="0.2">
      <c r="A1817" s="21"/>
      <c r="B1817" s="2"/>
      <c r="C1817" s="2"/>
      <c r="D1817" s="2"/>
    </row>
    <row r="1818" spans="1:4" ht="12.75" customHeight="1" x14ac:dyDescent="0.2">
      <c r="A1818" s="21"/>
      <c r="B1818" s="2"/>
      <c r="C1818" s="2"/>
      <c r="D1818" s="2"/>
    </row>
    <row r="1819" spans="1:4" ht="12.75" customHeight="1" x14ac:dyDescent="0.2">
      <c r="A1819" s="21"/>
      <c r="B1819" s="2"/>
      <c r="C1819" s="2"/>
      <c r="D1819" s="2"/>
    </row>
    <row r="1820" spans="1:4" ht="12.75" customHeight="1" x14ac:dyDescent="0.2">
      <c r="A1820" s="5"/>
      <c r="B1820" s="2"/>
      <c r="C1820" s="2"/>
      <c r="D1820" s="2"/>
    </row>
    <row r="1821" spans="1:4" ht="12.75" customHeight="1" x14ac:dyDescent="0.2">
      <c r="A1821" s="22" t="str">
        <f>HYPERLINK("javascript:void(0)","ezüst mokaszin")</f>
        <v>ezüst mokaszin</v>
      </c>
      <c r="B1821" s="21"/>
      <c r="C1821" s="21"/>
      <c r="D1821" s="21"/>
    </row>
    <row r="1822" spans="1:4" ht="12.75" customHeight="1" x14ac:dyDescent="0.2">
      <c r="A1822" s="20"/>
      <c r="B1822" s="2"/>
      <c r="C1822" s="2"/>
      <c r="D1822" s="2"/>
    </row>
    <row r="1823" spans="1:4" ht="12.75" customHeight="1" x14ac:dyDescent="0.2">
      <c r="A1823" s="21"/>
      <c r="B1823" s="3" t="s">
        <v>0</v>
      </c>
      <c r="C1823" s="20" t="s">
        <v>73</v>
      </c>
      <c r="D1823" s="21"/>
    </row>
    <row r="1824" spans="1:4" ht="12.75" customHeight="1" x14ac:dyDescent="0.2">
      <c r="A1824" s="21"/>
      <c r="B1824" s="3" t="s">
        <v>2</v>
      </c>
      <c r="C1824" s="20"/>
      <c r="D1824" s="21"/>
    </row>
    <row r="1825" spans="1:4" ht="12.75" customHeight="1" x14ac:dyDescent="0.2">
      <c r="A1825" s="21"/>
      <c r="B1825" s="3" t="s">
        <v>1840</v>
      </c>
      <c r="C1825" s="20" t="s">
        <v>455</v>
      </c>
      <c r="D1825" s="21"/>
    </row>
    <row r="1826" spans="1:4" ht="12.75" customHeight="1" x14ac:dyDescent="0.2">
      <c r="A1826" s="21"/>
      <c r="B1826" s="3" t="s">
        <v>9</v>
      </c>
      <c r="C1826" s="20" t="s">
        <v>1532</v>
      </c>
      <c r="D1826" s="21"/>
    </row>
    <row r="1827" spans="1:4" ht="12.75" customHeight="1" x14ac:dyDescent="0.2">
      <c r="A1827" s="21"/>
      <c r="B1827" s="3" t="s">
        <v>11</v>
      </c>
      <c r="C1827" s="20" t="s">
        <v>1015</v>
      </c>
      <c r="D1827" s="21"/>
    </row>
    <row r="1828" spans="1:4" ht="12.75" customHeight="1" x14ac:dyDescent="0.2">
      <c r="A1828" s="21"/>
      <c r="B1828" s="3" t="s">
        <v>16</v>
      </c>
      <c r="C1828" s="20"/>
      <c r="D1828" s="21"/>
    </row>
    <row r="1829" spans="1:4" ht="12.75" customHeight="1" x14ac:dyDescent="0.2">
      <c r="A1829" s="21"/>
      <c r="B1829" s="3" t="s">
        <v>17</v>
      </c>
      <c r="C1829" s="20" t="s">
        <v>19</v>
      </c>
      <c r="D1829" s="21"/>
    </row>
    <row r="1830" spans="1:4" ht="12.75" customHeight="1" x14ac:dyDescent="0.2">
      <c r="A1830" s="21"/>
      <c r="B1830" s="20" t="s">
        <v>18</v>
      </c>
      <c r="C1830" s="4" t="s">
        <v>44</v>
      </c>
      <c r="D1830" s="6" t="str">
        <f>HYPERLINK("javascript:void(0)","bronz mokaszin")</f>
        <v>bronz mokaszin</v>
      </c>
    </row>
    <row r="1831" spans="1:4" ht="12.75" customHeight="1" x14ac:dyDescent="0.2">
      <c r="A1831" s="21"/>
      <c r="B1831" s="21"/>
      <c r="C1831" s="4" t="s">
        <v>44</v>
      </c>
      <c r="D1831" s="6" t="str">
        <f>HYPERLINK("javascript:void(0)","vas mokaszin")</f>
        <v>vas mokaszin</v>
      </c>
    </row>
    <row r="1832" spans="1:4" ht="12.75" customHeight="1" x14ac:dyDescent="0.2">
      <c r="A1832" s="21"/>
      <c r="B1832" s="21"/>
      <c r="C1832" s="4" t="s">
        <v>44</v>
      </c>
      <c r="D1832" s="6" t="str">
        <f>HYPERLINK("javascript:void(0)","ezüst fűző")</f>
        <v>ezüst fűző</v>
      </c>
    </row>
    <row r="1833" spans="1:4" ht="12.75" customHeight="1" x14ac:dyDescent="0.2">
      <c r="A1833" s="21"/>
      <c r="B1833" s="2"/>
      <c r="C1833" s="2"/>
      <c r="D1833" s="2"/>
    </row>
    <row r="1834" spans="1:4" ht="12.75" customHeight="1" x14ac:dyDescent="0.2">
      <c r="A1834" s="21"/>
      <c r="B1834" s="2"/>
      <c r="C1834" s="2"/>
      <c r="D1834" s="2"/>
    </row>
    <row r="1835" spans="1:4" ht="12.75" customHeight="1" x14ac:dyDescent="0.2">
      <c r="A1835" s="21"/>
      <c r="B1835" s="2"/>
      <c r="C1835" s="2"/>
      <c r="D1835" s="2"/>
    </row>
    <row r="1836" spans="1:4" ht="12.75" customHeight="1" x14ac:dyDescent="0.2">
      <c r="A1836" s="21"/>
      <c r="B1836" s="2"/>
      <c r="C1836" s="2"/>
      <c r="D1836" s="2"/>
    </row>
    <row r="1837" spans="1:4" ht="12.75" customHeight="1" x14ac:dyDescent="0.2">
      <c r="A1837" s="5"/>
      <c r="B1837" s="2"/>
      <c r="C1837" s="2"/>
      <c r="D1837" s="2"/>
    </row>
    <row r="1838" spans="1:4" ht="12.75" customHeight="1" x14ac:dyDescent="0.2">
      <c r="A1838" s="22" t="str">
        <f>HYPERLINK("javascript:void(0)","ezüst fűző")</f>
        <v>ezüst fűző</v>
      </c>
      <c r="B1838" s="21"/>
      <c r="C1838" s="21"/>
      <c r="D1838" s="21"/>
    </row>
    <row r="1839" spans="1:4" ht="12.75" customHeight="1" x14ac:dyDescent="0.2">
      <c r="A1839" s="20"/>
      <c r="B1839" s="2"/>
      <c r="C1839" s="2"/>
      <c r="D1839" s="2"/>
    </row>
    <row r="1840" spans="1:4" ht="12.75" customHeight="1" x14ac:dyDescent="0.2">
      <c r="A1840" s="21"/>
      <c r="B1840" s="3" t="s">
        <v>0</v>
      </c>
      <c r="C1840" s="20" t="s">
        <v>73</v>
      </c>
      <c r="D1840" s="21"/>
    </row>
    <row r="1841" spans="1:4" ht="12.75" customHeight="1" x14ac:dyDescent="0.2">
      <c r="A1841" s="21"/>
      <c r="B1841" s="3" t="s">
        <v>2</v>
      </c>
      <c r="C1841" s="20"/>
      <c r="D1841" s="21"/>
    </row>
    <row r="1842" spans="1:4" ht="12.75" customHeight="1" x14ac:dyDescent="0.2">
      <c r="A1842" s="21"/>
      <c r="B1842" s="3" t="s">
        <v>1840</v>
      </c>
      <c r="C1842" s="20" t="s">
        <v>115</v>
      </c>
      <c r="D1842" s="21"/>
    </row>
    <row r="1843" spans="1:4" ht="12.75" customHeight="1" x14ac:dyDescent="0.2">
      <c r="A1843" s="21"/>
      <c r="B1843" s="3" t="s">
        <v>9</v>
      </c>
      <c r="C1843" s="20" t="s">
        <v>42</v>
      </c>
      <c r="D1843" s="21"/>
    </row>
    <row r="1844" spans="1:4" ht="12.75" customHeight="1" x14ac:dyDescent="0.2">
      <c r="A1844" s="21"/>
      <c r="B1844" s="3" t="s">
        <v>11</v>
      </c>
      <c r="C1844" s="20" t="s">
        <v>368</v>
      </c>
      <c r="D1844" s="21"/>
    </row>
    <row r="1845" spans="1:4" ht="12.75" customHeight="1" x14ac:dyDescent="0.2">
      <c r="A1845" s="21"/>
      <c r="B1845" s="3" t="s">
        <v>16</v>
      </c>
      <c r="C1845" s="20"/>
      <c r="D1845" s="21"/>
    </row>
    <row r="1846" spans="1:4" ht="12.75" customHeight="1" x14ac:dyDescent="0.2">
      <c r="A1846" s="21"/>
      <c r="B1846" s="3" t="s">
        <v>17</v>
      </c>
      <c r="C1846" s="20" t="s">
        <v>19</v>
      </c>
      <c r="D1846" s="21"/>
    </row>
    <row r="1847" spans="1:4" ht="12.75" customHeight="1" x14ac:dyDescent="0.2">
      <c r="A1847" s="21"/>
      <c r="B1847" s="20" t="s">
        <v>18</v>
      </c>
      <c r="C1847" s="4" t="s">
        <v>77</v>
      </c>
      <c r="D1847" s="6" t="str">
        <f>HYPERLINK("javascript:void(0)","ezüströg")</f>
        <v>ezüströg</v>
      </c>
    </row>
    <row r="1848" spans="1:4" ht="12.75" customHeight="1" x14ac:dyDescent="0.2">
      <c r="A1848" s="21"/>
      <c r="B1848" s="21"/>
      <c r="C1848" s="4" t="s">
        <v>139</v>
      </c>
      <c r="D1848" s="6" t="str">
        <f>HYPERLINK("javascript:void(0)","orr")</f>
        <v>orr</v>
      </c>
    </row>
    <row r="1849" spans="1:4" ht="12.75" customHeight="1" x14ac:dyDescent="0.2">
      <c r="A1849" s="21"/>
      <c r="B1849" s="21"/>
      <c r="C1849" s="4" t="s">
        <v>1085</v>
      </c>
      <c r="D1849" s="6" t="str">
        <f>HYPERLINK("javascript:void(0)","fűrészfog")</f>
        <v>fűrészfog</v>
      </c>
    </row>
    <row r="1850" spans="1:4" ht="12.75" customHeight="1" x14ac:dyDescent="0.2">
      <c r="A1850" s="21"/>
      <c r="B1850" s="2"/>
      <c r="C1850" s="2"/>
      <c r="D1850" s="2"/>
    </row>
    <row r="1851" spans="1:4" ht="12.75" customHeight="1" x14ac:dyDescent="0.2">
      <c r="A1851" s="21"/>
      <c r="B1851" s="2"/>
      <c r="C1851" s="2"/>
      <c r="D1851" s="2"/>
    </row>
    <row r="1852" spans="1:4" ht="12.75" customHeight="1" x14ac:dyDescent="0.2">
      <c r="A1852" s="21"/>
      <c r="B1852" s="2"/>
      <c r="C1852" s="2"/>
      <c r="D1852" s="2"/>
    </row>
    <row r="1853" spans="1:4" ht="12.75" customHeight="1" x14ac:dyDescent="0.2">
      <c r="A1853" s="21"/>
      <c r="B1853" s="2"/>
      <c r="C1853" s="2"/>
      <c r="D1853" s="2"/>
    </row>
    <row r="1854" spans="1:4" ht="12.75" customHeight="1" x14ac:dyDescent="0.2">
      <c r="A1854" s="5"/>
      <c r="B1854" s="2"/>
      <c r="C1854" s="2"/>
      <c r="D1854" s="2"/>
    </row>
    <row r="1855" spans="1:4" ht="12.75" customHeight="1" x14ac:dyDescent="0.2">
      <c r="A1855" s="22" t="str">
        <f>HYPERLINK("javascript:void(0)","arany mokaszin")</f>
        <v>arany mokaszin</v>
      </c>
      <c r="B1855" s="21"/>
      <c r="C1855" s="21"/>
      <c r="D1855" s="21"/>
    </row>
    <row r="1856" spans="1:4" ht="12.75" customHeight="1" x14ac:dyDescent="0.2">
      <c r="A1856" s="20"/>
      <c r="B1856" s="2"/>
      <c r="C1856" s="2"/>
      <c r="D1856" s="2"/>
    </row>
    <row r="1857" spans="1:4" ht="12.75" customHeight="1" x14ac:dyDescent="0.2">
      <c r="A1857" s="21"/>
      <c r="B1857" s="3" t="s">
        <v>0</v>
      </c>
      <c r="C1857" s="20" t="s">
        <v>275</v>
      </c>
      <c r="D1857" s="21"/>
    </row>
    <row r="1858" spans="1:4" ht="12.75" customHeight="1" x14ac:dyDescent="0.2">
      <c r="A1858" s="21"/>
      <c r="B1858" s="3" t="s">
        <v>2</v>
      </c>
      <c r="C1858" s="20"/>
      <c r="D1858" s="21"/>
    </row>
    <row r="1859" spans="1:4" ht="12.75" customHeight="1" x14ac:dyDescent="0.2">
      <c r="A1859" s="21"/>
      <c r="B1859" s="3" t="s">
        <v>1840</v>
      </c>
      <c r="C1859" s="20" t="s">
        <v>2069</v>
      </c>
      <c r="D1859" s="21"/>
    </row>
    <row r="1860" spans="1:4" ht="12.75" customHeight="1" x14ac:dyDescent="0.2">
      <c r="A1860" s="21"/>
      <c r="B1860" s="3" t="s">
        <v>9</v>
      </c>
      <c r="C1860" s="20" t="s">
        <v>1517</v>
      </c>
      <c r="D1860" s="21"/>
    </row>
    <row r="1861" spans="1:4" ht="12.75" customHeight="1" x14ac:dyDescent="0.2">
      <c r="A1861" s="21"/>
      <c r="B1861" s="3" t="s">
        <v>11</v>
      </c>
      <c r="C1861" s="20" t="s">
        <v>1035</v>
      </c>
      <c r="D1861" s="21"/>
    </row>
    <row r="1862" spans="1:4" ht="12.75" customHeight="1" x14ac:dyDescent="0.2">
      <c r="A1862" s="21"/>
      <c r="B1862" s="3" t="s">
        <v>16</v>
      </c>
      <c r="C1862" s="20"/>
      <c r="D1862" s="21"/>
    </row>
    <row r="1863" spans="1:4" ht="12.75" customHeight="1" x14ac:dyDescent="0.2">
      <c r="A1863" s="21"/>
      <c r="B1863" s="3" t="s">
        <v>17</v>
      </c>
      <c r="C1863" s="20" t="s">
        <v>19</v>
      </c>
      <c r="D1863" s="21"/>
    </row>
    <row r="1864" spans="1:4" ht="12.75" customHeight="1" x14ac:dyDescent="0.2">
      <c r="A1864" s="21"/>
      <c r="B1864" s="20" t="s">
        <v>18</v>
      </c>
      <c r="C1864" s="4" t="s">
        <v>44</v>
      </c>
      <c r="D1864" s="6" t="str">
        <f>HYPERLINK("javascript:void(0)","ezüst mokaszin")</f>
        <v>ezüst mokaszin</v>
      </c>
    </row>
    <row r="1865" spans="1:4" ht="12.75" customHeight="1" x14ac:dyDescent="0.2">
      <c r="A1865" s="21"/>
      <c r="B1865" s="21"/>
      <c r="C1865" s="4" t="s">
        <v>98</v>
      </c>
      <c r="D1865" s="6" t="str">
        <f>HYPERLINK("javascript:void(0)","ördögpihe")</f>
        <v>ördögpihe</v>
      </c>
    </row>
    <row r="1866" spans="1:4" ht="12.75" customHeight="1" x14ac:dyDescent="0.2">
      <c r="A1866" s="21"/>
      <c r="B1866" s="21"/>
      <c r="C1866" s="4" t="s">
        <v>309</v>
      </c>
      <c r="D1866" s="6" t="str">
        <f>HYPERLINK("javascript:void(0)","bázispár")</f>
        <v>bázispár</v>
      </c>
    </row>
    <row r="1867" spans="1:4" ht="12.75" customHeight="1" x14ac:dyDescent="0.2">
      <c r="A1867" s="21"/>
      <c r="B1867" s="2"/>
      <c r="C1867" s="2"/>
      <c r="D1867" s="2"/>
    </row>
    <row r="1868" spans="1:4" ht="12.75" customHeight="1" x14ac:dyDescent="0.2">
      <c r="A1868" s="21"/>
      <c r="B1868" s="2"/>
      <c r="C1868" s="2"/>
      <c r="D1868" s="2"/>
    </row>
    <row r="1869" spans="1:4" ht="12.75" customHeight="1" x14ac:dyDescent="0.2">
      <c r="A1869" s="21"/>
      <c r="B1869" s="2"/>
      <c r="C1869" s="2"/>
      <c r="D1869" s="2"/>
    </row>
    <row r="1870" spans="1:4" ht="12.75" customHeight="1" x14ac:dyDescent="0.2">
      <c r="A1870" s="21"/>
      <c r="B1870" s="2"/>
      <c r="C1870" s="2"/>
      <c r="D1870" s="2"/>
    </row>
    <row r="1871" spans="1:4" ht="12.75" customHeight="1" x14ac:dyDescent="0.2">
      <c r="A1871" s="5"/>
      <c r="B1871" s="2"/>
      <c r="C1871" s="2"/>
      <c r="D1871" s="2"/>
    </row>
    <row r="1872" spans="1:4" ht="12.75" customHeight="1" x14ac:dyDescent="0.2">
      <c r="A1872" s="22" t="str">
        <f>HYPERLINK("javascript:void(0)","smaragd mokaszin")</f>
        <v>smaragd mokaszin</v>
      </c>
      <c r="B1872" s="21"/>
      <c r="C1872" s="21"/>
      <c r="D1872" s="21"/>
    </row>
    <row r="1873" spans="1:4" ht="12.75" customHeight="1" x14ac:dyDescent="0.2">
      <c r="A1873" s="20"/>
      <c r="B1873" s="2"/>
      <c r="C1873" s="2"/>
      <c r="D1873" s="2"/>
    </row>
    <row r="1874" spans="1:4" ht="12.75" customHeight="1" x14ac:dyDescent="0.2">
      <c r="A1874" s="21"/>
      <c r="B1874" s="3" t="s">
        <v>0</v>
      </c>
      <c r="C1874" s="20" t="s">
        <v>161</v>
      </c>
      <c r="D1874" s="21"/>
    </row>
    <row r="1875" spans="1:4" ht="12.75" customHeight="1" x14ac:dyDescent="0.2">
      <c r="A1875" s="21"/>
      <c r="B1875" s="3" t="s">
        <v>2</v>
      </c>
      <c r="C1875" s="20"/>
      <c r="D1875" s="21"/>
    </row>
    <row r="1876" spans="1:4" ht="12.75" customHeight="1" x14ac:dyDescent="0.2">
      <c r="A1876" s="21"/>
      <c r="B1876" s="3" t="s">
        <v>1840</v>
      </c>
      <c r="C1876" s="20" t="s">
        <v>399</v>
      </c>
      <c r="D1876" s="21"/>
    </row>
    <row r="1877" spans="1:4" ht="12.75" customHeight="1" x14ac:dyDescent="0.2">
      <c r="A1877" s="21"/>
      <c r="B1877" s="3" t="s">
        <v>9</v>
      </c>
      <c r="C1877" s="20" t="s">
        <v>343</v>
      </c>
      <c r="D1877" s="21"/>
    </row>
    <row r="1878" spans="1:4" ht="12.75" customHeight="1" x14ac:dyDescent="0.2">
      <c r="A1878" s="21"/>
      <c r="B1878" s="3" t="s">
        <v>11</v>
      </c>
      <c r="C1878" s="20" t="s">
        <v>1055</v>
      </c>
      <c r="D1878" s="21"/>
    </row>
    <row r="1879" spans="1:4" ht="12.75" customHeight="1" x14ac:dyDescent="0.2">
      <c r="A1879" s="21"/>
      <c r="B1879" s="3" t="s">
        <v>16</v>
      </c>
      <c r="C1879" s="20"/>
      <c r="D1879" s="21"/>
    </row>
    <row r="1880" spans="1:4" ht="12.75" customHeight="1" x14ac:dyDescent="0.2">
      <c r="A1880" s="21"/>
      <c r="B1880" s="3" t="s">
        <v>17</v>
      </c>
      <c r="C1880" s="20" t="s">
        <v>19</v>
      </c>
      <c r="D1880" s="21"/>
    </row>
    <row r="1881" spans="1:4" ht="12.75" customHeight="1" x14ac:dyDescent="0.2">
      <c r="A1881" s="21"/>
      <c r="B1881" s="20" t="s">
        <v>18</v>
      </c>
      <c r="C1881" s="4" t="s">
        <v>323</v>
      </c>
      <c r="D1881" s="6" t="str">
        <f>HYPERLINK("javascript:void(0)","smaragd")</f>
        <v>smaragd</v>
      </c>
    </row>
    <row r="1882" spans="1:4" ht="12.75" customHeight="1" x14ac:dyDescent="0.2">
      <c r="A1882" s="21"/>
      <c r="B1882" s="21"/>
      <c r="C1882" s="4" t="s">
        <v>67</v>
      </c>
      <c r="D1882" s="6" t="str">
        <f>HYPERLINK("javascript:void(0)","csigaszem")</f>
        <v>csigaszem</v>
      </c>
    </row>
    <row r="1883" spans="1:4" ht="12.75" customHeight="1" x14ac:dyDescent="0.2">
      <c r="A1883" s="21"/>
      <c r="B1883" s="21"/>
      <c r="C1883" s="4" t="s">
        <v>474</v>
      </c>
      <c r="D1883" s="6" t="str">
        <f>HYPERLINK("javascript:void(0)","rémszarv")</f>
        <v>rémszarv</v>
      </c>
    </row>
    <row r="1884" spans="1:4" ht="12.75" customHeight="1" x14ac:dyDescent="0.2">
      <c r="A1884" s="21"/>
      <c r="B1884" s="2"/>
      <c r="C1884" s="2"/>
      <c r="D1884" s="2"/>
    </row>
    <row r="1885" spans="1:4" ht="12.75" customHeight="1" x14ac:dyDescent="0.2">
      <c r="A1885" s="21"/>
      <c r="B1885" s="2"/>
      <c r="C1885" s="2"/>
      <c r="D1885" s="2"/>
    </row>
    <row r="1886" spans="1:4" ht="12.75" customHeight="1" x14ac:dyDescent="0.2">
      <c r="A1886" s="21"/>
      <c r="B1886" s="2"/>
      <c r="C1886" s="2"/>
      <c r="D1886" s="2"/>
    </row>
    <row r="1887" spans="1:4" ht="12.75" customHeight="1" x14ac:dyDescent="0.2">
      <c r="A1887" s="21"/>
      <c r="B1887" s="2"/>
      <c r="C1887" s="2"/>
      <c r="D1887" s="2"/>
    </row>
    <row r="1888" spans="1:4" ht="12.75" customHeight="1" x14ac:dyDescent="0.2">
      <c r="A1888" s="5"/>
      <c r="B1888" s="2"/>
      <c r="C1888" s="2"/>
      <c r="D1888" s="2"/>
    </row>
    <row r="1889" spans="1:4" ht="12.75" customHeight="1" x14ac:dyDescent="0.2">
      <c r="A1889" s="22" t="str">
        <f>HYPERLINK("javascript:void(0)","karimás rostély")</f>
        <v>karimás rostély</v>
      </c>
      <c r="B1889" s="21"/>
      <c r="C1889" s="21"/>
      <c r="D1889" s="21"/>
    </row>
    <row r="1890" spans="1:4" ht="12.75" customHeight="1" x14ac:dyDescent="0.2">
      <c r="A1890" s="20"/>
      <c r="B1890" s="2"/>
      <c r="C1890" s="2"/>
      <c r="D1890" s="2"/>
    </row>
    <row r="1891" spans="1:4" ht="12.75" customHeight="1" x14ac:dyDescent="0.2">
      <c r="A1891" s="21"/>
      <c r="B1891" s="3" t="s">
        <v>0</v>
      </c>
      <c r="C1891" s="20" t="s">
        <v>161</v>
      </c>
      <c r="D1891" s="21"/>
    </row>
    <row r="1892" spans="1:4" ht="12.75" customHeight="1" x14ac:dyDescent="0.2">
      <c r="A1892" s="21"/>
      <c r="B1892" s="3" t="s">
        <v>2</v>
      </c>
      <c r="C1892" s="20"/>
      <c r="D1892" s="21"/>
    </row>
    <row r="1893" spans="1:4" ht="12.75" customHeight="1" x14ac:dyDescent="0.2">
      <c r="A1893" s="21"/>
      <c r="B1893" s="3" t="s">
        <v>1840</v>
      </c>
      <c r="C1893" s="20" t="s">
        <v>115</v>
      </c>
      <c r="D1893" s="21"/>
    </row>
    <row r="1894" spans="1:4" ht="12.75" customHeight="1" x14ac:dyDescent="0.2">
      <c r="A1894" s="21"/>
      <c r="B1894" s="3" t="s">
        <v>9</v>
      </c>
      <c r="C1894" s="20" t="s">
        <v>42</v>
      </c>
      <c r="D1894" s="21"/>
    </row>
    <row r="1895" spans="1:4" ht="12.75" customHeight="1" x14ac:dyDescent="0.2">
      <c r="A1895" s="21"/>
      <c r="B1895" s="3" t="s">
        <v>11</v>
      </c>
      <c r="C1895" s="20" t="s">
        <v>368</v>
      </c>
      <c r="D1895" s="21"/>
    </row>
    <row r="1896" spans="1:4" ht="12.75" customHeight="1" x14ac:dyDescent="0.2">
      <c r="A1896" s="21"/>
      <c r="B1896" s="3" t="s">
        <v>16</v>
      </c>
      <c r="C1896" s="20"/>
      <c r="D1896" s="21"/>
    </row>
    <row r="1897" spans="1:4" ht="12.75" customHeight="1" x14ac:dyDescent="0.2">
      <c r="A1897" s="21"/>
      <c r="B1897" s="3" t="s">
        <v>17</v>
      </c>
      <c r="C1897" s="20" t="s">
        <v>19</v>
      </c>
      <c r="D1897" s="21"/>
    </row>
    <row r="1898" spans="1:4" ht="12.75" customHeight="1" x14ac:dyDescent="0.2">
      <c r="A1898" s="21"/>
      <c r="B1898" s="20" t="s">
        <v>18</v>
      </c>
      <c r="C1898" s="4" t="s">
        <v>77</v>
      </c>
      <c r="D1898" s="6" t="str">
        <f>HYPERLINK("javascript:void(0)","vaskarima")</f>
        <v>vaskarima</v>
      </c>
    </row>
    <row r="1899" spans="1:4" ht="12.75" customHeight="1" x14ac:dyDescent="0.2">
      <c r="A1899" s="21"/>
      <c r="B1899" s="21"/>
      <c r="C1899" s="4" t="s">
        <v>117</v>
      </c>
      <c r="D1899" s="6" t="str">
        <f>HYPERLINK("javascript:void(0)","nagylemez")</f>
        <v>nagylemez</v>
      </c>
    </row>
    <row r="1900" spans="1:4" ht="12.75" customHeight="1" x14ac:dyDescent="0.2">
      <c r="A1900" s="21"/>
      <c r="B1900" s="21"/>
      <c r="C1900" s="4" t="s">
        <v>2071</v>
      </c>
      <c r="D1900" s="6" t="str">
        <f>HYPERLINK("javascript:void(0)","ámbra")</f>
        <v>ámbra</v>
      </c>
    </row>
    <row r="1901" spans="1:4" ht="12.75" customHeight="1" x14ac:dyDescent="0.2">
      <c r="A1901" s="21"/>
      <c r="B1901" s="2"/>
      <c r="C1901" s="2"/>
      <c r="D1901" s="2"/>
    </row>
    <row r="1902" spans="1:4" ht="12.75" customHeight="1" x14ac:dyDescent="0.2">
      <c r="A1902" s="21"/>
      <c r="B1902" s="2"/>
      <c r="C1902" s="2"/>
      <c r="D1902" s="2"/>
    </row>
    <row r="1903" spans="1:4" ht="12.75" customHeight="1" x14ac:dyDescent="0.2">
      <c r="A1903" s="21"/>
      <c r="B1903" s="2"/>
      <c r="C1903" s="2"/>
      <c r="D1903" s="2"/>
    </row>
    <row r="1904" spans="1:4" ht="12.75" customHeight="1" x14ac:dyDescent="0.2">
      <c r="A1904" s="21"/>
      <c r="B1904" s="2"/>
      <c r="C1904" s="2"/>
      <c r="D1904" s="2"/>
    </row>
    <row r="1905" spans="1:4" ht="12.75" customHeight="1" x14ac:dyDescent="0.2">
      <c r="A1905" s="5"/>
      <c r="B1905" s="2"/>
      <c r="C1905" s="2"/>
      <c r="D1905" s="2"/>
    </row>
    <row r="1906" spans="1:4" ht="12.75" customHeight="1" x14ac:dyDescent="0.2">
      <c r="A1906" s="22" t="str">
        <f>HYPERLINK("javascript:void(0)","kentacél antigrav csizma")</f>
        <v>kentacél antigrav csizma</v>
      </c>
      <c r="B1906" s="21"/>
      <c r="C1906" s="21"/>
      <c r="D1906" s="21"/>
    </row>
    <row r="1907" spans="1:4" ht="12.75" customHeight="1" x14ac:dyDescent="0.2">
      <c r="A1907" s="20"/>
      <c r="B1907" s="2"/>
      <c r="C1907" s="2"/>
      <c r="D1907" s="2"/>
    </row>
    <row r="1908" spans="1:4" ht="12.75" customHeight="1" x14ac:dyDescent="0.2">
      <c r="A1908" s="21"/>
      <c r="B1908" s="3" t="s">
        <v>0</v>
      </c>
      <c r="C1908" s="20" t="s">
        <v>161</v>
      </c>
      <c r="D1908" s="21"/>
    </row>
    <row r="1909" spans="1:4" ht="12.75" customHeight="1" x14ac:dyDescent="0.2">
      <c r="A1909" s="21"/>
      <c r="B1909" s="3" t="s">
        <v>2</v>
      </c>
      <c r="C1909" s="20"/>
      <c r="D1909" s="21"/>
    </row>
    <row r="1910" spans="1:4" ht="12.75" customHeight="1" x14ac:dyDescent="0.2">
      <c r="A1910" s="21"/>
      <c r="B1910" s="3" t="s">
        <v>1840</v>
      </c>
      <c r="C1910" s="20" t="s">
        <v>1412</v>
      </c>
      <c r="D1910" s="21"/>
    </row>
    <row r="1911" spans="1:4" ht="12.75" customHeight="1" x14ac:dyDescent="0.2">
      <c r="A1911" s="21"/>
      <c r="B1911" s="3" t="s">
        <v>9</v>
      </c>
      <c r="C1911" s="20" t="s">
        <v>626</v>
      </c>
      <c r="D1911" s="21"/>
    </row>
    <row r="1912" spans="1:4" ht="12.75" customHeight="1" x14ac:dyDescent="0.2">
      <c r="A1912" s="21"/>
      <c r="B1912" s="3" t="s">
        <v>11</v>
      </c>
      <c r="C1912" s="20" t="s">
        <v>23</v>
      </c>
      <c r="D1912" s="21"/>
    </row>
    <row r="1913" spans="1:4" ht="12.75" customHeight="1" x14ac:dyDescent="0.2">
      <c r="A1913" s="21"/>
      <c r="B1913" s="3" t="s">
        <v>16</v>
      </c>
      <c r="C1913" s="20"/>
      <c r="D1913" s="21"/>
    </row>
    <row r="1914" spans="1:4" ht="12.75" customHeight="1" x14ac:dyDescent="0.2">
      <c r="A1914" s="21"/>
      <c r="B1914" s="3" t="s">
        <v>17</v>
      </c>
      <c r="C1914" s="20" t="s">
        <v>19</v>
      </c>
      <c r="D1914" s="21"/>
    </row>
    <row r="1915" spans="1:4" ht="25.5" customHeight="1" x14ac:dyDescent="0.2">
      <c r="A1915" s="21"/>
      <c r="B1915" s="20" t="s">
        <v>18</v>
      </c>
      <c r="C1915" s="4" t="s">
        <v>44</v>
      </c>
      <c r="D1915" s="6" t="str">
        <f>HYPERLINK("javascript:void(0)","óriásacél antigrav csizma")</f>
        <v>óriásacél antigrav csizma</v>
      </c>
    </row>
    <row r="1916" spans="1:4" ht="12.75" customHeight="1" x14ac:dyDescent="0.2">
      <c r="A1916" s="21"/>
      <c r="B1916" s="21"/>
      <c r="C1916" s="4" t="s">
        <v>139</v>
      </c>
      <c r="D1916" s="6" t="str">
        <f>HYPERLINK("javascript:void(0)","vaskarima")</f>
        <v>vaskarima</v>
      </c>
    </row>
    <row r="1917" spans="1:4" ht="12.75" customHeight="1" x14ac:dyDescent="0.2">
      <c r="A1917" s="21"/>
      <c r="B1917" s="21"/>
      <c r="C1917" s="4" t="s">
        <v>494</v>
      </c>
      <c r="D1917" s="6" t="str">
        <f>HYPERLINK("javascript:void(0)","teleportige")</f>
        <v>teleportige</v>
      </c>
    </row>
    <row r="1918" spans="1:4" ht="12.75" customHeight="1" x14ac:dyDescent="0.2">
      <c r="A1918" s="21"/>
      <c r="B1918" s="2"/>
      <c r="C1918" s="2"/>
      <c r="D1918" s="2"/>
    </row>
    <row r="1919" spans="1:4" ht="12.75" customHeight="1" x14ac:dyDescent="0.2">
      <c r="A1919" s="21"/>
      <c r="B1919" s="2"/>
      <c r="C1919" s="2"/>
      <c r="D1919" s="2"/>
    </row>
    <row r="1920" spans="1:4" ht="12.75" customHeight="1" x14ac:dyDescent="0.2">
      <c r="A1920" s="21"/>
      <c r="B1920" s="2"/>
      <c r="C1920" s="2"/>
      <c r="D1920" s="2"/>
    </row>
    <row r="1921" spans="1:4" ht="12.75" customHeight="1" x14ac:dyDescent="0.2">
      <c r="A1921" s="21"/>
      <c r="B1921" s="2"/>
      <c r="C1921" s="2"/>
      <c r="D1921" s="2"/>
    </row>
    <row r="1922" spans="1:4" ht="12.75" customHeight="1" x14ac:dyDescent="0.2">
      <c r="A1922" s="5"/>
      <c r="B1922" s="2"/>
      <c r="C1922" s="2"/>
      <c r="D1922" s="2"/>
    </row>
    <row r="1923" spans="1:4" ht="12.75" customHeight="1" x14ac:dyDescent="0.2">
      <c r="A1923" s="22" t="str">
        <f>HYPERLINK("javascript:void(0)","csillámló harmatcsizma")</f>
        <v>csillámló harmatcsizma</v>
      </c>
      <c r="B1923" s="21"/>
      <c r="C1923" s="21"/>
      <c r="D1923" s="21"/>
    </row>
    <row r="1924" spans="1:4" ht="12.75" customHeight="1" x14ac:dyDescent="0.2">
      <c r="A1924" s="20"/>
      <c r="B1924" s="2"/>
      <c r="C1924" s="2"/>
      <c r="D1924" s="2"/>
    </row>
    <row r="1925" spans="1:4" ht="12.75" customHeight="1" x14ac:dyDescent="0.2">
      <c r="A1925" s="21"/>
      <c r="B1925" s="3" t="s">
        <v>0</v>
      </c>
      <c r="C1925" s="20" t="s">
        <v>161</v>
      </c>
      <c r="D1925" s="21"/>
    </row>
    <row r="1926" spans="1:4" ht="12.75" customHeight="1" x14ac:dyDescent="0.2">
      <c r="A1926" s="21"/>
      <c r="B1926" s="3" t="s">
        <v>2</v>
      </c>
      <c r="C1926" s="20"/>
      <c r="D1926" s="21"/>
    </row>
    <row r="1927" spans="1:4" ht="12.75" customHeight="1" x14ac:dyDescent="0.2">
      <c r="A1927" s="21"/>
      <c r="B1927" s="3" t="s">
        <v>1840</v>
      </c>
      <c r="C1927" s="20" t="s">
        <v>304</v>
      </c>
      <c r="D1927" s="21"/>
    </row>
    <row r="1928" spans="1:4" ht="12.75" customHeight="1" x14ac:dyDescent="0.2">
      <c r="A1928" s="21"/>
      <c r="B1928" s="3" t="s">
        <v>9</v>
      </c>
      <c r="C1928" s="20" t="s">
        <v>172</v>
      </c>
      <c r="D1928" s="21"/>
    </row>
    <row r="1929" spans="1:4" ht="12.75" customHeight="1" x14ac:dyDescent="0.2">
      <c r="A1929" s="21"/>
      <c r="B1929" s="3" t="s">
        <v>11</v>
      </c>
      <c r="C1929" s="20" t="s">
        <v>1055</v>
      </c>
      <c r="D1929" s="21"/>
    </row>
    <row r="1930" spans="1:4" ht="12.75" customHeight="1" x14ac:dyDescent="0.2">
      <c r="A1930" s="21"/>
      <c r="B1930" s="3" t="s">
        <v>16</v>
      </c>
      <c r="C1930" s="20"/>
      <c r="D1930" s="21"/>
    </row>
    <row r="1931" spans="1:4" ht="12.75" customHeight="1" x14ac:dyDescent="0.2">
      <c r="A1931" s="21"/>
      <c r="B1931" s="3" t="s">
        <v>17</v>
      </c>
      <c r="C1931" s="20" t="s">
        <v>19</v>
      </c>
      <c r="D1931" s="21"/>
    </row>
    <row r="1932" spans="1:4" ht="12.75" customHeight="1" x14ac:dyDescent="0.2">
      <c r="A1932" s="21"/>
      <c r="B1932" s="20" t="s">
        <v>18</v>
      </c>
      <c r="C1932" s="4" t="s">
        <v>57</v>
      </c>
      <c r="D1932" s="6" t="str">
        <f>HYPERLINK("javascript:void(0)","csillámgöb")</f>
        <v>csillámgöb</v>
      </c>
    </row>
    <row r="1933" spans="1:4" ht="25.5" customHeight="1" x14ac:dyDescent="0.2">
      <c r="A1933" s="21"/>
      <c r="B1933" s="21"/>
      <c r="C1933" s="4" t="s">
        <v>44</v>
      </c>
      <c r="D1933" s="6" t="str">
        <f>HYPERLINK("javascript:void(0)","csillámló sárkánycsizma")</f>
        <v>csillámló sárkánycsizma</v>
      </c>
    </row>
    <row r="1934" spans="1:4" ht="12.75" customHeight="1" x14ac:dyDescent="0.2">
      <c r="A1934" s="21"/>
      <c r="B1934" s="21"/>
      <c r="C1934" s="4" t="s">
        <v>1113</v>
      </c>
      <c r="D1934" s="6" t="str">
        <f>HYPERLINK("javascript:void(0)","harmatcsepp")</f>
        <v>harmatcsepp</v>
      </c>
    </row>
    <row r="1935" spans="1:4" ht="12.75" customHeight="1" x14ac:dyDescent="0.2">
      <c r="A1935" s="21"/>
      <c r="B1935" s="2"/>
      <c r="C1935" s="2"/>
      <c r="D1935" s="2"/>
    </row>
    <row r="1936" spans="1:4" ht="12.75" customHeight="1" x14ac:dyDescent="0.2">
      <c r="A1936" s="21"/>
      <c r="B1936" s="2"/>
      <c r="C1936" s="2"/>
      <c r="D1936" s="2"/>
    </row>
    <row r="1937" spans="1:4" ht="12.75" customHeight="1" x14ac:dyDescent="0.2">
      <c r="A1937" s="21"/>
      <c r="B1937" s="2"/>
      <c r="C1937" s="2"/>
      <c r="D1937" s="2"/>
    </row>
    <row r="1938" spans="1:4" ht="12.75" customHeight="1" x14ac:dyDescent="0.2">
      <c r="A1938" s="21"/>
      <c r="B1938" s="2"/>
      <c r="C1938" s="2"/>
      <c r="D1938" s="2"/>
    </row>
    <row r="1939" spans="1:4" ht="12.75" customHeight="1" x14ac:dyDescent="0.2">
      <c r="A1939" s="5"/>
      <c r="B1939" s="2"/>
      <c r="C1939" s="2"/>
      <c r="D1939" s="2"/>
    </row>
    <row r="1940" spans="1:4" ht="12.75" customHeight="1" x14ac:dyDescent="0.2">
      <c r="A1940" s="22" t="str">
        <f>HYPERLINK("javascript:void(0)","rubin mokaszin")</f>
        <v>rubin mokaszin</v>
      </c>
      <c r="B1940" s="21"/>
      <c r="C1940" s="21"/>
      <c r="D1940" s="21"/>
    </row>
    <row r="1941" spans="1:4" ht="12.75" customHeight="1" x14ac:dyDescent="0.2">
      <c r="A1941" s="20"/>
      <c r="B1941" s="2"/>
      <c r="C1941" s="2"/>
      <c r="D1941" s="2"/>
    </row>
    <row r="1942" spans="1:4" ht="12.75" customHeight="1" x14ac:dyDescent="0.2">
      <c r="A1942" s="21"/>
      <c r="B1942" s="3" t="s">
        <v>0</v>
      </c>
      <c r="C1942" s="20" t="s">
        <v>253</v>
      </c>
      <c r="D1942" s="21"/>
    </row>
    <row r="1943" spans="1:4" ht="12.75" customHeight="1" x14ac:dyDescent="0.2">
      <c r="A1943" s="21"/>
      <c r="B1943" s="3" t="s">
        <v>2</v>
      </c>
      <c r="C1943" s="20"/>
      <c r="D1943" s="21"/>
    </row>
    <row r="1944" spans="1:4" ht="12.75" customHeight="1" x14ac:dyDescent="0.2">
      <c r="A1944" s="21"/>
      <c r="B1944" s="3" t="s">
        <v>1840</v>
      </c>
      <c r="C1944" s="20" t="s">
        <v>1786</v>
      </c>
      <c r="D1944" s="21"/>
    </row>
    <row r="1945" spans="1:4" ht="12.75" customHeight="1" x14ac:dyDescent="0.2">
      <c r="A1945" s="21"/>
      <c r="B1945" s="3" t="s">
        <v>9</v>
      </c>
      <c r="C1945" s="20" t="s">
        <v>172</v>
      </c>
      <c r="D1945" s="21"/>
    </row>
    <row r="1946" spans="1:4" ht="12.75" customHeight="1" x14ac:dyDescent="0.2">
      <c r="A1946" s="21"/>
      <c r="B1946" s="3" t="s">
        <v>11</v>
      </c>
      <c r="C1946" s="20" t="s">
        <v>1071</v>
      </c>
      <c r="D1946" s="21"/>
    </row>
    <row r="1947" spans="1:4" ht="12.75" customHeight="1" x14ac:dyDescent="0.2">
      <c r="A1947" s="21"/>
      <c r="B1947" s="3" t="s">
        <v>16</v>
      </c>
      <c r="C1947" s="20"/>
      <c r="D1947" s="21"/>
    </row>
    <row r="1948" spans="1:4" ht="12.75" customHeight="1" x14ac:dyDescent="0.2">
      <c r="A1948" s="21"/>
      <c r="B1948" s="3" t="s">
        <v>17</v>
      </c>
      <c r="C1948" s="20" t="s">
        <v>19</v>
      </c>
      <c r="D1948" s="21"/>
    </row>
    <row r="1949" spans="1:4" ht="12.75" customHeight="1" x14ac:dyDescent="0.2">
      <c r="A1949" s="21"/>
      <c r="B1949" s="20" t="s">
        <v>18</v>
      </c>
      <c r="C1949" s="4" t="s">
        <v>44</v>
      </c>
      <c r="D1949" s="6" t="str">
        <f>HYPERLINK("javascript:void(0)","arany mokaszin")</f>
        <v>arany mokaszin</v>
      </c>
    </row>
    <row r="1950" spans="1:4" ht="12.75" customHeight="1" x14ac:dyDescent="0.2">
      <c r="A1950" s="21"/>
      <c r="B1950" s="21"/>
      <c r="C1950" s="4" t="s">
        <v>44</v>
      </c>
      <c r="D1950" s="6" t="str">
        <f>HYPERLINK("javascript:void(0)","smaragd mokaszin")</f>
        <v>smaragd mokaszin</v>
      </c>
    </row>
    <row r="1951" spans="1:4" ht="12.75" customHeight="1" x14ac:dyDescent="0.2">
      <c r="A1951" s="21"/>
      <c r="B1951" s="21"/>
      <c r="C1951" s="4" t="s">
        <v>44</v>
      </c>
      <c r="D1951" s="6" t="str">
        <f>HYPERLINK("javascript:void(0)","rubin fűző")</f>
        <v>rubin fűző</v>
      </c>
    </row>
    <row r="1952" spans="1:4" ht="12.75" customHeight="1" x14ac:dyDescent="0.2">
      <c r="A1952" s="21"/>
      <c r="B1952" s="2"/>
      <c r="C1952" s="2"/>
      <c r="D1952" s="2"/>
    </row>
    <row r="1953" spans="1:4" ht="12.75" customHeight="1" x14ac:dyDescent="0.2">
      <c r="A1953" s="21"/>
      <c r="B1953" s="2"/>
      <c r="C1953" s="2"/>
      <c r="D1953" s="2"/>
    </row>
    <row r="1954" spans="1:4" ht="12.75" customHeight="1" x14ac:dyDescent="0.2">
      <c r="A1954" s="21"/>
      <c r="B1954" s="2"/>
      <c r="C1954" s="2"/>
      <c r="D1954" s="2"/>
    </row>
    <row r="1955" spans="1:4" ht="12.75" customHeight="1" x14ac:dyDescent="0.2">
      <c r="A1955" s="21"/>
      <c r="B1955" s="2"/>
      <c r="C1955" s="2"/>
      <c r="D1955" s="2"/>
    </row>
    <row r="1956" spans="1:4" ht="12.75" customHeight="1" x14ac:dyDescent="0.2">
      <c r="A1956" s="5"/>
      <c r="B1956" s="2"/>
      <c r="C1956" s="2"/>
      <c r="D1956" s="2"/>
    </row>
    <row r="1957" spans="1:4" ht="12.75" customHeight="1" x14ac:dyDescent="0.2">
      <c r="A1957" s="22" t="str">
        <f>HYPERLINK("javascript:void(0)","gyémánt mokaszin")</f>
        <v>gyémánt mokaszin</v>
      </c>
      <c r="B1957" s="21"/>
      <c r="C1957" s="21"/>
      <c r="D1957" s="21"/>
    </row>
    <row r="1958" spans="1:4" ht="12.75" customHeight="1" x14ac:dyDescent="0.2">
      <c r="A1958" s="20"/>
      <c r="B1958" s="2"/>
      <c r="C1958" s="2"/>
      <c r="D1958" s="2"/>
    </row>
    <row r="1959" spans="1:4" ht="12.75" customHeight="1" x14ac:dyDescent="0.2">
      <c r="A1959" s="21"/>
      <c r="B1959" s="3" t="s">
        <v>0</v>
      </c>
      <c r="C1959" s="20" t="s">
        <v>773</v>
      </c>
      <c r="D1959" s="21"/>
    </row>
    <row r="1960" spans="1:4" ht="12.75" customHeight="1" x14ac:dyDescent="0.2">
      <c r="A1960" s="21"/>
      <c r="B1960" s="3" t="s">
        <v>2</v>
      </c>
      <c r="C1960" s="20"/>
      <c r="D1960" s="21"/>
    </row>
    <row r="1961" spans="1:4" ht="12.75" customHeight="1" x14ac:dyDescent="0.2">
      <c r="A1961" s="21"/>
      <c r="B1961" s="3" t="s">
        <v>1840</v>
      </c>
      <c r="C1961" s="20" t="s">
        <v>2078</v>
      </c>
      <c r="D1961" s="21"/>
    </row>
    <row r="1962" spans="1:4" ht="12.75" customHeight="1" x14ac:dyDescent="0.2">
      <c r="A1962" s="21"/>
      <c r="B1962" s="3" t="s">
        <v>9</v>
      </c>
      <c r="C1962" s="20" t="s">
        <v>2079</v>
      </c>
      <c r="D1962" s="21"/>
    </row>
    <row r="1963" spans="1:4" ht="12.75" customHeight="1" x14ac:dyDescent="0.2">
      <c r="A1963" s="21"/>
      <c r="B1963" s="3" t="s">
        <v>11</v>
      </c>
      <c r="C1963" s="20" t="s">
        <v>1090</v>
      </c>
      <c r="D1963" s="21"/>
    </row>
    <row r="1964" spans="1:4" ht="12.75" customHeight="1" x14ac:dyDescent="0.2">
      <c r="A1964" s="21"/>
      <c r="B1964" s="3" t="s">
        <v>16</v>
      </c>
      <c r="C1964" s="20"/>
      <c r="D1964" s="21"/>
    </row>
    <row r="1965" spans="1:4" ht="12.75" customHeight="1" x14ac:dyDescent="0.2">
      <c r="A1965" s="21"/>
      <c r="B1965" s="3" t="s">
        <v>17</v>
      </c>
      <c r="C1965" s="20" t="s">
        <v>19</v>
      </c>
      <c r="D1965" s="21"/>
    </row>
    <row r="1966" spans="1:4" ht="12.75" customHeight="1" x14ac:dyDescent="0.2">
      <c r="A1966" s="21"/>
      <c r="B1966" s="20" t="s">
        <v>18</v>
      </c>
      <c r="C1966" s="4" t="s">
        <v>44</v>
      </c>
      <c r="D1966" s="6" t="str">
        <f>HYPERLINK("javascript:void(0)","rubin mokaszin")</f>
        <v>rubin mokaszin</v>
      </c>
    </row>
    <row r="1967" spans="1:4" ht="12.75" customHeight="1" x14ac:dyDescent="0.2">
      <c r="A1967" s="21"/>
      <c r="B1967" s="21"/>
      <c r="C1967" s="4" t="s">
        <v>323</v>
      </c>
      <c r="D1967" s="6" t="str">
        <f>HYPERLINK("javascript:void(0)","gyémánt")</f>
        <v>gyémánt</v>
      </c>
    </row>
    <row r="1968" spans="1:4" ht="12.75" customHeight="1" x14ac:dyDescent="0.2">
      <c r="A1968" s="21"/>
      <c r="B1968" s="21"/>
      <c r="C1968" s="4" t="s">
        <v>55</v>
      </c>
      <c r="D1968" s="6" t="str">
        <f>HYPERLINK("javascript:void(0)","lexikon")</f>
        <v>lexikon</v>
      </c>
    </row>
    <row r="1969" spans="1:4" ht="12.75" customHeight="1" x14ac:dyDescent="0.2">
      <c r="A1969" s="21"/>
      <c r="B1969" s="2"/>
      <c r="C1969" s="2"/>
      <c r="D1969" s="2"/>
    </row>
    <row r="1970" spans="1:4" ht="12.75" customHeight="1" x14ac:dyDescent="0.2">
      <c r="A1970" s="21"/>
      <c r="B1970" s="2"/>
      <c r="C1970" s="2"/>
      <c r="D1970" s="2"/>
    </row>
    <row r="1971" spans="1:4" ht="12.75" customHeight="1" x14ac:dyDescent="0.2">
      <c r="A1971" s="21"/>
      <c r="B1971" s="2"/>
      <c r="C1971" s="2"/>
      <c r="D1971" s="2"/>
    </row>
    <row r="1972" spans="1:4" ht="12.75" customHeight="1" x14ac:dyDescent="0.2">
      <c r="A1972" s="21"/>
      <c r="B1972" s="2"/>
      <c r="C1972" s="2"/>
      <c r="D1972" s="2"/>
    </row>
    <row r="1973" spans="1:4" ht="12.75" customHeight="1" x14ac:dyDescent="0.2">
      <c r="A1973" s="5"/>
      <c r="B1973" s="2"/>
      <c r="C1973" s="2"/>
      <c r="D1973" s="2"/>
    </row>
    <row r="1974" spans="1:4" ht="12.75" customHeight="1" x14ac:dyDescent="0.2">
      <c r="A1974" s="22" t="str">
        <f>HYPERLINK("javascript:void(0)","hiper vállap")</f>
        <v>hiper vállap</v>
      </c>
      <c r="B1974" s="21"/>
      <c r="C1974" s="21"/>
      <c r="D1974" s="21"/>
    </row>
    <row r="1975" spans="1:4" ht="12.75" customHeight="1" x14ac:dyDescent="0.2">
      <c r="A1975" s="20"/>
      <c r="B1975" s="2"/>
      <c r="C1975" s="2"/>
      <c r="D1975" s="2"/>
    </row>
    <row r="1976" spans="1:4" ht="12.75" customHeight="1" x14ac:dyDescent="0.2">
      <c r="A1976" s="21"/>
      <c r="B1976" s="3" t="s">
        <v>0</v>
      </c>
      <c r="C1976" s="20" t="s">
        <v>773</v>
      </c>
      <c r="D1976" s="21"/>
    </row>
    <row r="1977" spans="1:4" ht="12.75" customHeight="1" x14ac:dyDescent="0.2">
      <c r="A1977" s="21"/>
      <c r="B1977" s="3" t="s">
        <v>2</v>
      </c>
      <c r="C1977" s="20"/>
      <c r="D1977" s="21"/>
    </row>
    <row r="1978" spans="1:4" ht="12.75" customHeight="1" x14ac:dyDescent="0.2">
      <c r="A1978" s="21"/>
      <c r="B1978" s="3" t="s">
        <v>1840</v>
      </c>
      <c r="C1978" s="20" t="s">
        <v>115</v>
      </c>
      <c r="D1978" s="21"/>
    </row>
    <row r="1979" spans="1:4" ht="12.75" customHeight="1" x14ac:dyDescent="0.2">
      <c r="A1979" s="21"/>
      <c r="B1979" s="3" t="s">
        <v>9</v>
      </c>
      <c r="C1979" s="20" t="s">
        <v>42</v>
      </c>
      <c r="D1979" s="21"/>
    </row>
    <row r="1980" spans="1:4" ht="12.75" customHeight="1" x14ac:dyDescent="0.2">
      <c r="A1980" s="21"/>
      <c r="B1980" s="3" t="s">
        <v>11</v>
      </c>
      <c r="C1980" s="20" t="s">
        <v>368</v>
      </c>
      <c r="D1980" s="21"/>
    </row>
    <row r="1981" spans="1:4" ht="12.75" customHeight="1" x14ac:dyDescent="0.2">
      <c r="A1981" s="21"/>
      <c r="B1981" s="3" t="s">
        <v>16</v>
      </c>
      <c r="C1981" s="20"/>
      <c r="D1981" s="21"/>
    </row>
    <row r="1982" spans="1:4" ht="12.75" customHeight="1" x14ac:dyDescent="0.2">
      <c r="A1982" s="21"/>
      <c r="B1982" s="3" t="s">
        <v>17</v>
      </c>
      <c r="C1982" s="20" t="s">
        <v>19</v>
      </c>
      <c r="D1982" s="21"/>
    </row>
    <row r="1983" spans="1:4" ht="12.75" customHeight="1" x14ac:dyDescent="0.2">
      <c r="A1983" s="21"/>
      <c r="B1983" s="20" t="s">
        <v>18</v>
      </c>
      <c r="C1983" s="4" t="s">
        <v>323</v>
      </c>
      <c r="D1983" s="6" t="str">
        <f>HYPERLINK("javascript:void(0)","hiperium")</f>
        <v>hiperium</v>
      </c>
    </row>
    <row r="1984" spans="1:4" ht="12.75" customHeight="1" x14ac:dyDescent="0.2">
      <c r="A1984" s="21"/>
      <c r="B1984" s="21"/>
      <c r="C1984" s="4" t="s">
        <v>269</v>
      </c>
      <c r="D1984" s="6" t="str">
        <f>HYPERLINK("javascript:void(0)","éjfény")</f>
        <v>éjfény</v>
      </c>
    </row>
    <row r="1985" spans="1:4" ht="12.75" customHeight="1" x14ac:dyDescent="0.2">
      <c r="A1985" s="21"/>
      <c r="B1985" s="21"/>
      <c r="C1985" s="4" t="s">
        <v>68</v>
      </c>
      <c r="D1985" s="6" t="str">
        <f>HYPERLINK("javascript:void(0)","lexikon")</f>
        <v>lexikon</v>
      </c>
    </row>
    <row r="1986" spans="1:4" ht="12.75" customHeight="1" x14ac:dyDescent="0.2">
      <c r="A1986" s="21"/>
      <c r="B1986" s="2"/>
      <c r="C1986" s="2"/>
      <c r="D1986" s="2"/>
    </row>
    <row r="1987" spans="1:4" ht="12.75" customHeight="1" x14ac:dyDescent="0.2">
      <c r="A1987" s="21"/>
      <c r="B1987" s="2"/>
      <c r="C1987" s="2"/>
      <c r="D1987" s="2"/>
    </row>
    <row r="1988" spans="1:4" ht="12.75" customHeight="1" x14ac:dyDescent="0.2">
      <c r="A1988" s="21"/>
      <c r="B1988" s="2"/>
      <c r="C1988" s="2"/>
      <c r="D1988" s="2"/>
    </row>
    <row r="1989" spans="1:4" ht="12.75" customHeight="1" x14ac:dyDescent="0.2">
      <c r="A1989" s="21"/>
      <c r="B1989" s="2"/>
      <c r="C1989" s="2"/>
      <c r="D1989" s="2"/>
    </row>
    <row r="1990" spans="1:4" ht="12.75" customHeight="1" x14ac:dyDescent="0.2">
      <c r="A1990" s="5"/>
      <c r="B1990" s="2"/>
      <c r="C1990" s="2"/>
      <c r="D1990" s="2"/>
    </row>
    <row r="1991" spans="1:4" ht="12.75" customHeight="1" x14ac:dyDescent="0.2">
      <c r="A1991" s="22" t="str">
        <f>HYPERLINK("javascript:void(0)","diszpromokaszin")</f>
        <v>diszpromokaszin</v>
      </c>
      <c r="B1991" s="21"/>
      <c r="C1991" s="21"/>
      <c r="D1991" s="21"/>
    </row>
    <row r="1992" spans="1:4" ht="12.75" customHeight="1" x14ac:dyDescent="0.2">
      <c r="A1992" s="20"/>
      <c r="B1992" s="2"/>
      <c r="C1992" s="2"/>
      <c r="D1992" s="2"/>
    </row>
    <row r="1993" spans="1:4" ht="12.75" customHeight="1" x14ac:dyDescent="0.2">
      <c r="A1993" s="21"/>
      <c r="B1993" s="3" t="s">
        <v>0</v>
      </c>
      <c r="C1993" s="20" t="s">
        <v>776</v>
      </c>
      <c r="D1993" s="21"/>
    </row>
    <row r="1994" spans="1:4" ht="12.75" customHeight="1" x14ac:dyDescent="0.2">
      <c r="A1994" s="21"/>
      <c r="B1994" s="3" t="s">
        <v>2</v>
      </c>
      <c r="C1994" s="20"/>
      <c r="D1994" s="21"/>
    </row>
    <row r="1995" spans="1:4" ht="12.75" customHeight="1" x14ac:dyDescent="0.2">
      <c r="A1995" s="21"/>
      <c r="B1995" s="3" t="s">
        <v>1840</v>
      </c>
      <c r="C1995" s="20" t="s">
        <v>304</v>
      </c>
      <c r="D1995" s="21"/>
    </row>
    <row r="1996" spans="1:4" ht="12.75" customHeight="1" x14ac:dyDescent="0.2">
      <c r="A1996" s="21"/>
      <c r="B1996" s="3" t="s">
        <v>9</v>
      </c>
      <c r="C1996" s="20" t="s">
        <v>692</v>
      </c>
      <c r="D1996" s="21"/>
    </row>
    <row r="1997" spans="1:4" ht="12.75" customHeight="1" x14ac:dyDescent="0.2">
      <c r="A1997" s="21"/>
      <c r="B1997" s="3" t="s">
        <v>11</v>
      </c>
      <c r="C1997" s="20" t="s">
        <v>1105</v>
      </c>
      <c r="D1997" s="21"/>
    </row>
    <row r="1998" spans="1:4" ht="12.75" customHeight="1" x14ac:dyDescent="0.2">
      <c r="A1998" s="21"/>
      <c r="B1998" s="3" t="s">
        <v>16</v>
      </c>
      <c r="C1998" s="20"/>
      <c r="D1998" s="21"/>
    </row>
    <row r="1999" spans="1:4" ht="12.75" customHeight="1" x14ac:dyDescent="0.2">
      <c r="A1999" s="21"/>
      <c r="B1999" s="3" t="s">
        <v>17</v>
      </c>
      <c r="C1999" s="20" t="s">
        <v>19</v>
      </c>
      <c r="D1999" s="21"/>
    </row>
    <row r="2000" spans="1:4" ht="12.75" customHeight="1" x14ac:dyDescent="0.2">
      <c r="A2000" s="21"/>
      <c r="B2000" s="20" t="s">
        <v>18</v>
      </c>
      <c r="C2000" s="4" t="s">
        <v>309</v>
      </c>
      <c r="D2000" s="6" t="str">
        <f>HYPERLINK("javascript:void(0)","hagymapikkely")</f>
        <v>hagymapikkely</v>
      </c>
    </row>
    <row r="2001" spans="1:4" ht="12.75" customHeight="1" x14ac:dyDescent="0.2">
      <c r="A2001" s="21"/>
      <c r="B2001" s="21"/>
      <c r="C2001" s="4" t="s">
        <v>280</v>
      </c>
      <c r="D2001" s="6" t="str">
        <f>HYPERLINK("javascript:void(0)","diszprózium")</f>
        <v>diszprózium</v>
      </c>
    </row>
    <row r="2002" spans="1:4" ht="12.75" customHeight="1" x14ac:dyDescent="0.2">
      <c r="A2002" s="21"/>
      <c r="B2002" s="21"/>
      <c r="C2002" s="4" t="s">
        <v>139</v>
      </c>
      <c r="D2002" s="6" t="str">
        <f>HYPERLINK("javascript:void(0)","csigaszem")</f>
        <v>csigaszem</v>
      </c>
    </row>
    <row r="2003" spans="1:4" ht="12.75" customHeight="1" x14ac:dyDescent="0.2">
      <c r="A2003" s="21"/>
      <c r="B2003" s="2"/>
      <c r="C2003" s="2"/>
      <c r="D2003" s="2"/>
    </row>
    <row r="2004" spans="1:4" ht="12.75" customHeight="1" x14ac:dyDescent="0.2">
      <c r="A2004" s="21"/>
      <c r="B2004" s="2"/>
      <c r="C2004" s="2"/>
      <c r="D2004" s="2"/>
    </row>
    <row r="2005" spans="1:4" ht="12.75" customHeight="1" x14ac:dyDescent="0.2">
      <c r="A2005" s="21"/>
      <c r="B2005" s="2"/>
      <c r="C2005" s="2"/>
      <c r="D2005" s="2"/>
    </row>
    <row r="2006" spans="1:4" ht="12.75" customHeight="1" x14ac:dyDescent="0.2">
      <c r="A2006" s="21"/>
      <c r="B2006" s="2"/>
      <c r="C2006" s="2"/>
      <c r="D2006" s="2"/>
    </row>
    <row r="2007" spans="1:4" ht="12.75" customHeight="1" x14ac:dyDescent="0.2">
      <c r="A2007" s="5"/>
      <c r="B2007" s="2"/>
      <c r="C2007" s="2"/>
      <c r="D2007" s="2"/>
    </row>
    <row r="2008" spans="1:4" ht="12.75" customHeight="1" x14ac:dyDescent="0.2">
      <c r="A2008" s="22" t="str">
        <f>HYPERLINK("javascript:void(0)","mengorni antigrav csizma")</f>
        <v>mengorni antigrav csizma</v>
      </c>
      <c r="B2008" s="21"/>
      <c r="C2008" s="21"/>
      <c r="D2008" s="21"/>
    </row>
    <row r="2009" spans="1:4" ht="12.75" customHeight="1" x14ac:dyDescent="0.2">
      <c r="A2009" s="20"/>
      <c r="B2009" s="2"/>
      <c r="C2009" s="2"/>
      <c r="D2009" s="2"/>
    </row>
    <row r="2010" spans="1:4" ht="12.75" customHeight="1" x14ac:dyDescent="0.2">
      <c r="A2010" s="21"/>
      <c r="B2010" s="3" t="s">
        <v>0</v>
      </c>
      <c r="C2010" s="20" t="s">
        <v>776</v>
      </c>
      <c r="D2010" s="21"/>
    </row>
    <row r="2011" spans="1:4" ht="12.75" customHeight="1" x14ac:dyDescent="0.2">
      <c r="A2011" s="21"/>
      <c r="B2011" s="3" t="s">
        <v>2</v>
      </c>
      <c r="C2011" s="20"/>
      <c r="D2011" s="21"/>
    </row>
    <row r="2012" spans="1:4" ht="12.75" customHeight="1" x14ac:dyDescent="0.2">
      <c r="A2012" s="21"/>
      <c r="B2012" s="3" t="s">
        <v>1840</v>
      </c>
      <c r="C2012" s="20" t="s">
        <v>287</v>
      </c>
      <c r="D2012" s="21"/>
    </row>
    <row r="2013" spans="1:4" ht="12.75" customHeight="1" x14ac:dyDescent="0.2">
      <c r="A2013" s="21"/>
      <c r="B2013" s="3" t="s">
        <v>9</v>
      </c>
      <c r="C2013" s="20" t="s">
        <v>626</v>
      </c>
      <c r="D2013" s="21"/>
    </row>
    <row r="2014" spans="1:4" ht="12.75" customHeight="1" x14ac:dyDescent="0.2">
      <c r="A2014" s="21"/>
      <c r="B2014" s="3" t="s">
        <v>11</v>
      </c>
      <c r="C2014" s="20" t="s">
        <v>23</v>
      </c>
      <c r="D2014" s="21"/>
    </row>
    <row r="2015" spans="1:4" ht="12.75" customHeight="1" x14ac:dyDescent="0.2">
      <c r="A2015" s="21"/>
      <c r="B2015" s="3" t="s">
        <v>16</v>
      </c>
      <c r="C2015" s="20"/>
      <c r="D2015" s="21"/>
    </row>
    <row r="2016" spans="1:4" ht="12.75" customHeight="1" x14ac:dyDescent="0.2">
      <c r="A2016" s="21"/>
      <c r="B2016" s="3" t="s">
        <v>17</v>
      </c>
      <c r="C2016" s="20" t="s">
        <v>19</v>
      </c>
      <c r="D2016" s="21"/>
    </row>
    <row r="2017" spans="1:4" ht="25.5" customHeight="1" x14ac:dyDescent="0.2">
      <c r="A2017" s="21"/>
      <c r="B2017" s="20" t="s">
        <v>18</v>
      </c>
      <c r="C2017" s="4" t="s">
        <v>44</v>
      </c>
      <c r="D2017" s="6" t="str">
        <f>HYPERLINK("javascript:void(0)","kentacél antigrav csizma")</f>
        <v>kentacél antigrav csizma</v>
      </c>
    </row>
    <row r="2018" spans="1:4" ht="12.75" customHeight="1" x14ac:dyDescent="0.2">
      <c r="A2018" s="21"/>
      <c r="B2018" s="21"/>
      <c r="C2018" s="4" t="s">
        <v>130</v>
      </c>
      <c r="D2018" s="6" t="str">
        <f>HYPERLINK("javascript:void(0)","hagymapikkely")</f>
        <v>hagymapikkely</v>
      </c>
    </row>
    <row r="2019" spans="1:4" ht="12.75" customHeight="1" x14ac:dyDescent="0.2">
      <c r="A2019" s="21"/>
      <c r="B2019" s="21"/>
      <c r="C2019" s="4" t="s">
        <v>163</v>
      </c>
      <c r="D2019" s="6" t="str">
        <f>HYPERLINK("javascript:void(0)","brummogás")</f>
        <v>brummogás</v>
      </c>
    </row>
    <row r="2020" spans="1:4" ht="12.75" customHeight="1" x14ac:dyDescent="0.2">
      <c r="A2020" s="21"/>
      <c r="B2020" s="2"/>
      <c r="C2020" s="2"/>
      <c r="D2020" s="2"/>
    </row>
    <row r="2021" spans="1:4" ht="12.75" customHeight="1" x14ac:dyDescent="0.2">
      <c r="A2021" s="21"/>
      <c r="B2021" s="2"/>
      <c r="C2021" s="2"/>
      <c r="D2021" s="2"/>
    </row>
    <row r="2022" spans="1:4" ht="12.75" customHeight="1" x14ac:dyDescent="0.2">
      <c r="A2022" s="21"/>
      <c r="B2022" s="2"/>
      <c r="C2022" s="2"/>
      <c r="D2022" s="2"/>
    </row>
    <row r="2023" spans="1:4" ht="12.75" customHeight="1" x14ac:dyDescent="0.2">
      <c r="A2023" s="21"/>
      <c r="B2023" s="2"/>
      <c r="C2023" s="2"/>
      <c r="D2023" s="2"/>
    </row>
    <row r="2024" spans="1:4" ht="12.75" customHeight="1" x14ac:dyDescent="0.2">
      <c r="A2024" s="5"/>
      <c r="B2024" s="2"/>
      <c r="C2024" s="2"/>
      <c r="D2024" s="2"/>
    </row>
    <row r="2025" spans="1:4" ht="12.75" customHeight="1" x14ac:dyDescent="0.2">
      <c r="A2025" s="22" t="str">
        <f>HYPERLINK("javascript:void(0)","kithrill mokaszin")</f>
        <v>kithrill mokaszin</v>
      </c>
      <c r="B2025" s="21"/>
      <c r="C2025" s="21"/>
      <c r="D2025" s="21"/>
    </row>
    <row r="2026" spans="1:4" ht="12.75" customHeight="1" x14ac:dyDescent="0.2">
      <c r="A2026" s="20"/>
      <c r="B2026" s="2"/>
      <c r="C2026" s="2"/>
      <c r="D2026" s="2"/>
    </row>
    <row r="2027" spans="1:4" ht="12.75" customHeight="1" x14ac:dyDescent="0.2">
      <c r="A2027" s="21"/>
      <c r="B2027" s="3" t="s">
        <v>0</v>
      </c>
      <c r="C2027" s="20" t="s">
        <v>782</v>
      </c>
      <c r="D2027" s="21"/>
    </row>
    <row r="2028" spans="1:4" ht="12.75" customHeight="1" x14ac:dyDescent="0.2">
      <c r="A2028" s="21"/>
      <c r="B2028" s="3" t="s">
        <v>2</v>
      </c>
      <c r="C2028" s="20"/>
      <c r="D2028" s="21"/>
    </row>
    <row r="2029" spans="1:4" ht="12.75" customHeight="1" x14ac:dyDescent="0.2">
      <c r="A2029" s="21"/>
      <c r="B2029" s="3" t="s">
        <v>1840</v>
      </c>
      <c r="C2029" s="20" t="s">
        <v>476</v>
      </c>
      <c r="D2029" s="21"/>
    </row>
    <row r="2030" spans="1:4" ht="12.75" customHeight="1" x14ac:dyDescent="0.2">
      <c r="A2030" s="21"/>
      <c r="B2030" s="3" t="s">
        <v>9</v>
      </c>
      <c r="C2030" s="20" t="s">
        <v>678</v>
      </c>
      <c r="D2030" s="21"/>
    </row>
    <row r="2031" spans="1:4" ht="12.75" customHeight="1" x14ac:dyDescent="0.2">
      <c r="A2031" s="21"/>
      <c r="B2031" s="3" t="s">
        <v>11</v>
      </c>
      <c r="C2031" s="20" t="s">
        <v>1125</v>
      </c>
      <c r="D2031" s="21"/>
    </row>
    <row r="2032" spans="1:4" ht="12.75" customHeight="1" x14ac:dyDescent="0.2">
      <c r="A2032" s="21"/>
      <c r="B2032" s="3" t="s">
        <v>16</v>
      </c>
      <c r="C2032" s="20"/>
      <c r="D2032" s="21"/>
    </row>
    <row r="2033" spans="1:4" ht="12.75" customHeight="1" x14ac:dyDescent="0.2">
      <c r="A2033" s="21"/>
      <c r="B2033" s="3" t="s">
        <v>17</v>
      </c>
      <c r="C2033" s="20" t="s">
        <v>19</v>
      </c>
      <c r="D2033" s="21"/>
    </row>
    <row r="2034" spans="1:4" ht="12.75" customHeight="1" x14ac:dyDescent="0.2">
      <c r="A2034" s="21"/>
      <c r="B2034" s="20" t="s">
        <v>18</v>
      </c>
      <c r="C2034" s="4" t="s">
        <v>44</v>
      </c>
      <c r="D2034" s="6" t="str">
        <f>HYPERLINK("javascript:void(0)","diszpromokaszin")</f>
        <v>diszpromokaszin</v>
      </c>
    </row>
    <row r="2035" spans="1:4" ht="12.75" customHeight="1" x14ac:dyDescent="0.2">
      <c r="A2035" s="21"/>
      <c r="B2035" s="21"/>
      <c r="C2035" s="4" t="s">
        <v>44</v>
      </c>
      <c r="D2035" s="6" t="str">
        <f>HYPERLINK("javascript:void(0)","gyémánt mokaszin")</f>
        <v>gyémánt mokaszin</v>
      </c>
    </row>
    <row r="2036" spans="1:4" ht="12.75" customHeight="1" x14ac:dyDescent="0.2">
      <c r="A2036" s="21"/>
      <c r="B2036" s="21"/>
      <c r="C2036" s="4" t="s">
        <v>44</v>
      </c>
      <c r="D2036" s="6" t="str">
        <f>HYPERLINK("javascript:void(0)","kithrill fűző")</f>
        <v>kithrill fűző</v>
      </c>
    </row>
    <row r="2037" spans="1:4" ht="12.75" customHeight="1" x14ac:dyDescent="0.2">
      <c r="A2037" s="21"/>
      <c r="B2037" s="2"/>
      <c r="C2037" s="2"/>
      <c r="D2037" s="2"/>
    </row>
    <row r="2038" spans="1:4" ht="12.75" customHeight="1" x14ac:dyDescent="0.2">
      <c r="A2038" s="21"/>
      <c r="B2038" s="2"/>
      <c r="C2038" s="2"/>
      <c r="D2038" s="2"/>
    </row>
    <row r="2039" spans="1:4" ht="12.75" customHeight="1" x14ac:dyDescent="0.2">
      <c r="A2039" s="21"/>
      <c r="B2039" s="2"/>
      <c r="C2039" s="2"/>
      <c r="D2039" s="2"/>
    </row>
    <row r="2040" spans="1:4" ht="12.75" customHeight="1" x14ac:dyDescent="0.2">
      <c r="A2040" s="21"/>
      <c r="B2040" s="2"/>
      <c r="C2040" s="2"/>
      <c r="D2040" s="2"/>
    </row>
    <row r="2041" spans="1:4" ht="12.75" customHeight="1" x14ac:dyDescent="0.2">
      <c r="A2041" s="5"/>
      <c r="B2041" s="2"/>
      <c r="C2041" s="2"/>
      <c r="D2041" s="2"/>
    </row>
    <row r="2042" spans="1:4" ht="12.75" customHeight="1" x14ac:dyDescent="0.2">
      <c r="A2042" s="22" t="str">
        <f>HYPERLINK("javascript:void(0)","centromokaszin")</f>
        <v>centromokaszin</v>
      </c>
      <c r="B2042" s="21"/>
      <c r="C2042" s="21"/>
      <c r="D2042" s="21"/>
    </row>
    <row r="2043" spans="1:4" ht="12.75" customHeight="1" x14ac:dyDescent="0.2">
      <c r="A2043" s="20"/>
      <c r="B2043" s="2"/>
      <c r="C2043" s="2"/>
      <c r="D2043" s="2"/>
    </row>
    <row r="2044" spans="1:4" ht="12.75" customHeight="1" x14ac:dyDescent="0.2">
      <c r="A2044" s="21"/>
      <c r="B2044" s="3" t="s">
        <v>0</v>
      </c>
      <c r="C2044" s="20" t="s">
        <v>790</v>
      </c>
      <c r="D2044" s="21"/>
    </row>
    <row r="2045" spans="1:4" ht="12.75" customHeight="1" x14ac:dyDescent="0.2">
      <c r="A2045" s="21"/>
      <c r="B2045" s="3" t="s">
        <v>2</v>
      </c>
      <c r="C2045" s="20"/>
      <c r="D2045" s="21"/>
    </row>
    <row r="2046" spans="1:4" ht="12.75" customHeight="1" x14ac:dyDescent="0.2">
      <c r="A2046" s="21"/>
      <c r="B2046" s="3" t="s">
        <v>1840</v>
      </c>
      <c r="C2046" s="20" t="s">
        <v>1782</v>
      </c>
      <c r="D2046" s="21"/>
    </row>
    <row r="2047" spans="1:4" ht="12.75" customHeight="1" x14ac:dyDescent="0.2">
      <c r="A2047" s="21"/>
      <c r="B2047" s="3" t="s">
        <v>9</v>
      </c>
      <c r="C2047" s="20" t="s">
        <v>137</v>
      </c>
      <c r="D2047" s="21"/>
    </row>
    <row r="2048" spans="1:4" ht="12.75" customHeight="1" x14ac:dyDescent="0.2">
      <c r="A2048" s="21"/>
      <c r="B2048" s="3" t="s">
        <v>11</v>
      </c>
      <c r="C2048" s="20" t="s">
        <v>1145</v>
      </c>
      <c r="D2048" s="21"/>
    </row>
    <row r="2049" spans="1:4" ht="12.75" customHeight="1" x14ac:dyDescent="0.2">
      <c r="A2049" s="21"/>
      <c r="B2049" s="3" t="s">
        <v>16</v>
      </c>
      <c r="C2049" s="20"/>
      <c r="D2049" s="21"/>
    </row>
    <row r="2050" spans="1:4" ht="12.75" customHeight="1" x14ac:dyDescent="0.2">
      <c r="A2050" s="21"/>
      <c r="B2050" s="3" t="s">
        <v>17</v>
      </c>
      <c r="C2050" s="20" t="s">
        <v>19</v>
      </c>
      <c r="D2050" s="21"/>
    </row>
    <row r="2051" spans="1:4" ht="12.75" customHeight="1" x14ac:dyDescent="0.2">
      <c r="A2051" s="21"/>
      <c r="B2051" s="20" t="s">
        <v>18</v>
      </c>
      <c r="C2051" s="4" t="s">
        <v>44</v>
      </c>
      <c r="D2051" s="6" t="str">
        <f>HYPERLINK("javascript:void(0)","kithrill mokaszin")</f>
        <v>kithrill mokaszin</v>
      </c>
    </row>
    <row r="2052" spans="1:4" ht="12.75" customHeight="1" x14ac:dyDescent="0.2">
      <c r="A2052" s="21"/>
      <c r="B2052" s="21"/>
      <c r="C2052" s="4" t="s">
        <v>280</v>
      </c>
      <c r="D2052" s="6" t="str">
        <f>HYPERLINK("javascript:void(0)","centrolium")</f>
        <v>centrolium</v>
      </c>
    </row>
    <row r="2053" spans="1:4" ht="12.75" customHeight="1" x14ac:dyDescent="0.2">
      <c r="A2053" s="21"/>
      <c r="B2053" s="21"/>
      <c r="C2053" s="4" t="s">
        <v>55</v>
      </c>
      <c r="D2053" s="6" t="str">
        <f>HYPERLINK("javascript:void(0)","ikerkristály")</f>
        <v>ikerkristály</v>
      </c>
    </row>
    <row r="2054" spans="1:4" ht="12.75" customHeight="1" x14ac:dyDescent="0.2">
      <c r="A2054" s="21"/>
      <c r="B2054" s="2"/>
      <c r="C2054" s="2"/>
      <c r="D2054" s="2"/>
    </row>
    <row r="2055" spans="1:4" ht="12.75" customHeight="1" x14ac:dyDescent="0.2">
      <c r="A2055" s="21"/>
      <c r="B2055" s="2"/>
      <c r="C2055" s="2"/>
      <c r="D2055" s="2"/>
    </row>
    <row r="2056" spans="1:4" ht="12.75" customHeight="1" x14ac:dyDescent="0.2">
      <c r="A2056" s="21"/>
      <c r="B2056" s="2"/>
      <c r="C2056" s="2"/>
      <c r="D2056" s="2"/>
    </row>
    <row r="2057" spans="1:4" ht="12.75" customHeight="1" x14ac:dyDescent="0.2">
      <c r="A2057" s="21"/>
      <c r="B2057" s="2"/>
      <c r="C2057" s="2"/>
      <c r="D2057" s="2"/>
    </row>
    <row r="2058" spans="1:4" ht="12.75" customHeight="1" x14ac:dyDescent="0.2">
      <c r="A2058" s="5"/>
      <c r="B2058" s="2"/>
      <c r="C2058" s="2"/>
      <c r="D2058" s="2"/>
    </row>
    <row r="2059" spans="1:4" ht="12.75" customHeight="1" x14ac:dyDescent="0.2">
      <c r="A2059" s="22" t="str">
        <f>HYPERLINK("javascript:void(0)","csillámló orkcsizma")</f>
        <v>csillámló orkcsizma</v>
      </c>
      <c r="B2059" s="21"/>
      <c r="C2059" s="21"/>
      <c r="D2059" s="21"/>
    </row>
    <row r="2060" spans="1:4" ht="12.75" customHeight="1" x14ac:dyDescent="0.2">
      <c r="A2060" s="20"/>
      <c r="B2060" s="2"/>
      <c r="C2060" s="2"/>
      <c r="D2060" s="2"/>
    </row>
    <row r="2061" spans="1:4" ht="12.75" customHeight="1" x14ac:dyDescent="0.2">
      <c r="A2061" s="21"/>
      <c r="B2061" s="3" t="s">
        <v>0</v>
      </c>
      <c r="C2061" s="20" t="s">
        <v>790</v>
      </c>
      <c r="D2061" s="21"/>
    </row>
    <row r="2062" spans="1:4" ht="12.75" customHeight="1" x14ac:dyDescent="0.2">
      <c r="A2062" s="21"/>
      <c r="B2062" s="3" t="s">
        <v>2</v>
      </c>
      <c r="C2062" s="20"/>
      <c r="D2062" s="21"/>
    </row>
    <row r="2063" spans="1:4" ht="12.75" customHeight="1" x14ac:dyDescent="0.2">
      <c r="A2063" s="21"/>
      <c r="B2063" s="3" t="s">
        <v>1840</v>
      </c>
      <c r="C2063" s="20" t="s">
        <v>2087</v>
      </c>
      <c r="D2063" s="21"/>
    </row>
    <row r="2064" spans="1:4" ht="12.75" customHeight="1" x14ac:dyDescent="0.2">
      <c r="A2064" s="21"/>
      <c r="B2064" s="3" t="s">
        <v>9</v>
      </c>
      <c r="C2064" s="20" t="s">
        <v>2038</v>
      </c>
      <c r="D2064" s="21"/>
    </row>
    <row r="2065" spans="1:4" ht="12.75" customHeight="1" x14ac:dyDescent="0.2">
      <c r="A2065" s="21"/>
      <c r="B2065" s="3" t="s">
        <v>11</v>
      </c>
      <c r="C2065" s="20" t="s">
        <v>1145</v>
      </c>
      <c r="D2065" s="21"/>
    </row>
    <row r="2066" spans="1:4" ht="12.75" customHeight="1" x14ac:dyDescent="0.2">
      <c r="A2066" s="21"/>
      <c r="B2066" s="3" t="s">
        <v>16</v>
      </c>
      <c r="C2066" s="20"/>
      <c r="D2066" s="21"/>
    </row>
    <row r="2067" spans="1:4" ht="12.75" customHeight="1" x14ac:dyDescent="0.2">
      <c r="A2067" s="21"/>
      <c r="B2067" s="3" t="s">
        <v>17</v>
      </c>
      <c r="C2067" s="20" t="s">
        <v>19</v>
      </c>
      <c r="D2067" s="21"/>
    </row>
    <row r="2068" spans="1:4" ht="12.75" customHeight="1" x14ac:dyDescent="0.2">
      <c r="A2068" s="21"/>
      <c r="B2068" s="20" t="s">
        <v>18</v>
      </c>
      <c r="C2068" s="4" t="s">
        <v>57</v>
      </c>
      <c r="D2068" s="6" t="str">
        <f>HYPERLINK("javascript:void(0)","csillámgöb")</f>
        <v>csillámgöb</v>
      </c>
    </row>
    <row r="2069" spans="1:4" ht="25.5" customHeight="1" x14ac:dyDescent="0.2">
      <c r="A2069" s="21"/>
      <c r="B2069" s="21"/>
      <c r="C2069" s="4" t="s">
        <v>44</v>
      </c>
      <c r="D2069" s="6" t="str">
        <f>HYPERLINK("javascript:void(0)","csillámló harmatcsizma")</f>
        <v>csillámló harmatcsizma</v>
      </c>
    </row>
    <row r="2070" spans="1:4" ht="12.75" customHeight="1" x14ac:dyDescent="0.2">
      <c r="A2070" s="21"/>
      <c r="B2070" s="21"/>
      <c r="C2070" s="4" t="s">
        <v>98</v>
      </c>
      <c r="D2070" s="6" t="str">
        <f>HYPERLINK("javascript:void(0)","sodrony boxeralsó")</f>
        <v>sodrony boxeralsó</v>
      </c>
    </row>
    <row r="2071" spans="1:4" ht="12.75" customHeight="1" x14ac:dyDescent="0.2">
      <c r="A2071" s="21"/>
      <c r="B2071" s="2"/>
      <c r="C2071" s="2"/>
      <c r="D2071" s="2"/>
    </row>
    <row r="2072" spans="1:4" ht="12.75" customHeight="1" x14ac:dyDescent="0.2">
      <c r="A2072" s="21"/>
      <c r="B2072" s="2"/>
      <c r="C2072" s="2"/>
      <c r="D2072" s="2"/>
    </row>
    <row r="2073" spans="1:4" ht="12.75" customHeight="1" x14ac:dyDescent="0.2">
      <c r="A2073" s="21"/>
      <c r="B2073" s="2"/>
      <c r="C2073" s="2"/>
      <c r="D2073" s="2"/>
    </row>
    <row r="2074" spans="1:4" ht="12.75" customHeight="1" x14ac:dyDescent="0.2">
      <c r="A2074" s="21"/>
      <c r="B2074" s="2"/>
      <c r="C2074" s="2"/>
      <c r="D2074" s="2"/>
    </row>
    <row r="2075" spans="1:4" ht="12.75" customHeight="1" x14ac:dyDescent="0.2">
      <c r="A2075" s="5"/>
      <c r="B2075" s="2"/>
      <c r="C2075" s="2"/>
      <c r="D2075" s="2"/>
    </row>
    <row r="2076" spans="1:4" ht="12.75" customHeight="1" x14ac:dyDescent="0.2">
      <c r="A2076" s="22" t="str">
        <f>HYPERLINK("javascript:void(0)","hipermokaszin")</f>
        <v>hipermokaszin</v>
      </c>
      <c r="B2076" s="21"/>
      <c r="C2076" s="21"/>
      <c r="D2076" s="21"/>
    </row>
    <row r="2077" spans="1:4" ht="12.75" customHeight="1" x14ac:dyDescent="0.2">
      <c r="A2077" s="20"/>
      <c r="B2077" s="2"/>
      <c r="C2077" s="2"/>
      <c r="D2077" s="2"/>
    </row>
    <row r="2078" spans="1:4" ht="12.75" customHeight="1" x14ac:dyDescent="0.2">
      <c r="A2078" s="21"/>
      <c r="B2078" s="3" t="s">
        <v>0</v>
      </c>
      <c r="C2078" s="20" t="s">
        <v>83</v>
      </c>
      <c r="D2078" s="21"/>
    </row>
    <row r="2079" spans="1:4" ht="12.75" customHeight="1" x14ac:dyDescent="0.2">
      <c r="A2079" s="21"/>
      <c r="B2079" s="3" t="s">
        <v>2</v>
      </c>
      <c r="C2079" s="20"/>
      <c r="D2079" s="21"/>
    </row>
    <row r="2080" spans="1:4" ht="12.75" customHeight="1" x14ac:dyDescent="0.2">
      <c r="A2080" s="21"/>
      <c r="B2080" s="3" t="s">
        <v>1840</v>
      </c>
      <c r="C2080" s="20" t="s">
        <v>1792</v>
      </c>
      <c r="D2080" s="21"/>
    </row>
    <row r="2081" spans="1:4" ht="12.75" customHeight="1" x14ac:dyDescent="0.2">
      <c r="A2081" s="21"/>
      <c r="B2081" s="3" t="s">
        <v>9</v>
      </c>
      <c r="C2081" s="20" t="s">
        <v>716</v>
      </c>
      <c r="D2081" s="21"/>
    </row>
    <row r="2082" spans="1:4" ht="12.75" customHeight="1" x14ac:dyDescent="0.2">
      <c r="A2082" s="21"/>
      <c r="B2082" s="3" t="s">
        <v>11</v>
      </c>
      <c r="C2082" s="20" t="s">
        <v>1159</v>
      </c>
      <c r="D2082" s="21"/>
    </row>
    <row r="2083" spans="1:4" ht="12.75" customHeight="1" x14ac:dyDescent="0.2">
      <c r="A2083" s="21"/>
      <c r="B2083" s="3" t="s">
        <v>16</v>
      </c>
      <c r="C2083" s="20"/>
      <c r="D2083" s="21"/>
    </row>
    <row r="2084" spans="1:4" ht="12.75" customHeight="1" x14ac:dyDescent="0.2">
      <c r="A2084" s="21"/>
      <c r="B2084" s="3" t="s">
        <v>17</v>
      </c>
      <c r="C2084" s="20" t="s">
        <v>19</v>
      </c>
      <c r="D2084" s="21"/>
    </row>
    <row r="2085" spans="1:4" ht="12.75" customHeight="1" x14ac:dyDescent="0.2">
      <c r="A2085" s="21"/>
      <c r="B2085" s="20" t="s">
        <v>18</v>
      </c>
      <c r="C2085" s="4" t="s">
        <v>67</v>
      </c>
      <c r="D2085" s="6" t="str">
        <f>HYPERLINK("javascript:void(0)","dobókocka")</f>
        <v>dobókocka</v>
      </c>
    </row>
    <row r="2086" spans="1:4" ht="12.75" customHeight="1" x14ac:dyDescent="0.2">
      <c r="A2086" s="21"/>
      <c r="B2086" s="21"/>
      <c r="C2086" s="4" t="s">
        <v>280</v>
      </c>
      <c r="D2086" s="6" t="str">
        <f>HYPERLINK("javascript:void(0)","hiperium")</f>
        <v>hiperium</v>
      </c>
    </row>
    <row r="2087" spans="1:4" ht="12.75" customHeight="1" x14ac:dyDescent="0.2">
      <c r="A2087" s="21"/>
      <c r="B2087" s="21"/>
      <c r="C2087" s="4" t="s">
        <v>382</v>
      </c>
      <c r="D2087" s="6" t="str">
        <f>HYPERLINK("javascript:void(0)","bigapata")</f>
        <v>bigapata</v>
      </c>
    </row>
    <row r="2088" spans="1:4" ht="12.75" customHeight="1" x14ac:dyDescent="0.2">
      <c r="A2088" s="21"/>
      <c r="B2088" s="2"/>
      <c r="C2088" s="2"/>
      <c r="D2088" s="2"/>
    </row>
    <row r="2089" spans="1:4" ht="12.75" customHeight="1" x14ac:dyDescent="0.2">
      <c r="A2089" s="21"/>
      <c r="B2089" s="2"/>
      <c r="C2089" s="2"/>
      <c r="D2089" s="2"/>
    </row>
    <row r="2090" spans="1:4" ht="12.75" customHeight="1" x14ac:dyDescent="0.2">
      <c r="A2090" s="21"/>
      <c r="B2090" s="2"/>
      <c r="C2090" s="2"/>
      <c r="D2090" s="2"/>
    </row>
    <row r="2091" spans="1:4" ht="12.75" customHeight="1" x14ac:dyDescent="0.2">
      <c r="A2091" s="21"/>
      <c r="B2091" s="2"/>
      <c r="C2091" s="2"/>
      <c r="D2091" s="2"/>
    </row>
    <row r="2092" spans="1:4" ht="12.75" customHeight="1" x14ac:dyDescent="0.2">
      <c r="A2092" s="5"/>
      <c r="B2092" s="2"/>
      <c r="C2092" s="2"/>
      <c r="D2092" s="2"/>
    </row>
    <row r="2093" spans="1:4" ht="12.75" customHeight="1" x14ac:dyDescent="0.2">
      <c r="A2093" s="22" t="str">
        <f>HYPERLINK("javascript:void(0)","fotoacél antigrav csizma")</f>
        <v>fotoacél antigrav csizma</v>
      </c>
      <c r="B2093" s="21"/>
      <c r="C2093" s="21"/>
      <c r="D2093" s="21"/>
    </row>
    <row r="2094" spans="1:4" ht="12.75" customHeight="1" x14ac:dyDescent="0.2">
      <c r="A2094" s="20"/>
      <c r="B2094" s="2"/>
      <c r="C2094" s="2"/>
      <c r="D2094" s="2"/>
    </row>
    <row r="2095" spans="1:4" ht="12.75" customHeight="1" x14ac:dyDescent="0.2">
      <c r="A2095" s="21"/>
      <c r="B2095" s="3" t="s">
        <v>0</v>
      </c>
      <c r="C2095" s="20" t="s">
        <v>83</v>
      </c>
      <c r="D2095" s="21"/>
    </row>
    <row r="2096" spans="1:4" ht="12.75" customHeight="1" x14ac:dyDescent="0.2">
      <c r="A2096" s="21"/>
      <c r="B2096" s="3" t="s">
        <v>2</v>
      </c>
      <c r="C2096" s="20"/>
      <c r="D2096" s="21"/>
    </row>
    <row r="2097" spans="1:4" ht="12.75" customHeight="1" x14ac:dyDescent="0.2">
      <c r="A2097" s="21"/>
      <c r="B2097" s="3" t="s">
        <v>1840</v>
      </c>
      <c r="C2097" s="20" t="s">
        <v>2091</v>
      </c>
      <c r="D2097" s="21"/>
    </row>
    <row r="2098" spans="1:4" ht="12.75" customHeight="1" x14ac:dyDescent="0.2">
      <c r="A2098" s="21"/>
      <c r="B2098" s="3" t="s">
        <v>9</v>
      </c>
      <c r="C2098" s="20" t="s">
        <v>626</v>
      </c>
      <c r="D2098" s="21"/>
    </row>
    <row r="2099" spans="1:4" ht="12.75" customHeight="1" x14ac:dyDescent="0.2">
      <c r="A2099" s="21"/>
      <c r="B2099" s="3" t="s">
        <v>11</v>
      </c>
      <c r="C2099" s="20" t="s">
        <v>23</v>
      </c>
      <c r="D2099" s="21"/>
    </row>
    <row r="2100" spans="1:4" ht="12.75" customHeight="1" x14ac:dyDescent="0.2">
      <c r="A2100" s="21"/>
      <c r="B2100" s="3" t="s">
        <v>16</v>
      </c>
      <c r="C2100" s="20"/>
      <c r="D2100" s="21"/>
    </row>
    <row r="2101" spans="1:4" ht="12.75" customHeight="1" x14ac:dyDescent="0.2">
      <c r="A2101" s="21"/>
      <c r="B2101" s="3" t="s">
        <v>17</v>
      </c>
      <c r="C2101" s="20" t="s">
        <v>19</v>
      </c>
      <c r="D2101" s="21"/>
    </row>
    <row r="2102" spans="1:4" ht="25.5" customHeight="1" x14ac:dyDescent="0.2">
      <c r="A2102" s="21"/>
      <c r="B2102" s="20" t="s">
        <v>18</v>
      </c>
      <c r="C2102" s="4" t="s">
        <v>44</v>
      </c>
      <c r="D2102" s="6" t="str">
        <f>HYPERLINK("javascript:void(0)","mengorni antigrav csizma")</f>
        <v>mengorni antigrav csizma</v>
      </c>
    </row>
    <row r="2103" spans="1:4" ht="12.75" customHeight="1" x14ac:dyDescent="0.2">
      <c r="A2103" s="21"/>
      <c r="B2103" s="21"/>
      <c r="C2103" s="4" t="s">
        <v>163</v>
      </c>
      <c r="D2103" s="6" t="str">
        <f>HYPERLINK("javascript:void(0)","dobókocka")</f>
        <v>dobókocka</v>
      </c>
    </row>
    <row r="2104" spans="1:4" ht="12.75" customHeight="1" x14ac:dyDescent="0.2">
      <c r="A2104" s="21"/>
      <c r="B2104" s="21"/>
      <c r="C2104" s="4" t="s">
        <v>382</v>
      </c>
      <c r="D2104" s="6" t="str">
        <f>HYPERLINK("javascript:void(0)","sárkányzsák")</f>
        <v>sárkányzsák</v>
      </c>
    </row>
    <row r="2105" spans="1:4" ht="12.75" customHeight="1" x14ac:dyDescent="0.2">
      <c r="A2105" s="21"/>
      <c r="B2105" s="2"/>
      <c r="C2105" s="2"/>
      <c r="D2105" s="2"/>
    </row>
    <row r="2106" spans="1:4" ht="12.75" customHeight="1" x14ac:dyDescent="0.2">
      <c r="A2106" s="21"/>
      <c r="B2106" s="2"/>
      <c r="C2106" s="2"/>
      <c r="D2106" s="2"/>
    </row>
    <row r="2107" spans="1:4" ht="12.75" customHeight="1" x14ac:dyDescent="0.2">
      <c r="A2107" s="21"/>
      <c r="B2107" s="2"/>
      <c r="C2107" s="2"/>
      <c r="D2107" s="2"/>
    </row>
    <row r="2108" spans="1:4" ht="12.75" customHeight="1" x14ac:dyDescent="0.2">
      <c r="A2108" s="21"/>
      <c r="B2108" s="2"/>
      <c r="C2108" s="2"/>
      <c r="D2108" s="2"/>
    </row>
    <row r="2109" spans="1:4" ht="12.75" customHeight="1" x14ac:dyDescent="0.2">
      <c r="A2109" s="5"/>
      <c r="B2109" s="2"/>
      <c r="C2109" s="2"/>
      <c r="D2109" s="2"/>
    </row>
    <row r="2110" spans="1:4" ht="12.75" customHeight="1" x14ac:dyDescent="0.2">
      <c r="A2110" s="22" t="str">
        <f>HYPERLINK("javascript:void(0)","hidracél mokaszin")</f>
        <v>hidracél mokaszin</v>
      </c>
      <c r="B2110" s="21"/>
      <c r="C2110" s="21"/>
      <c r="D2110" s="21"/>
    </row>
    <row r="2111" spans="1:4" ht="12.75" customHeight="1" x14ac:dyDescent="0.2">
      <c r="A2111" s="20"/>
      <c r="B2111" s="2"/>
      <c r="C2111" s="2"/>
      <c r="D2111" s="2"/>
    </row>
    <row r="2112" spans="1:4" ht="12.75" customHeight="1" x14ac:dyDescent="0.2">
      <c r="A2112" s="21"/>
      <c r="B2112" s="3" t="s">
        <v>0</v>
      </c>
      <c r="C2112" s="20" t="s">
        <v>302</v>
      </c>
      <c r="D2112" s="21"/>
    </row>
    <row r="2113" spans="1:4" ht="12.75" customHeight="1" x14ac:dyDescent="0.2">
      <c r="A2113" s="21"/>
      <c r="B2113" s="3" t="s">
        <v>2</v>
      </c>
      <c r="C2113" s="20"/>
      <c r="D2113" s="21"/>
    </row>
    <row r="2114" spans="1:4" ht="12.75" customHeight="1" x14ac:dyDescent="0.2">
      <c r="A2114" s="21"/>
      <c r="B2114" s="3" t="s">
        <v>1840</v>
      </c>
      <c r="C2114" s="20" t="s">
        <v>2093</v>
      </c>
      <c r="D2114" s="21"/>
    </row>
    <row r="2115" spans="1:4" ht="12.75" customHeight="1" x14ac:dyDescent="0.2">
      <c r="A2115" s="21"/>
      <c r="B2115" s="3" t="s">
        <v>9</v>
      </c>
      <c r="C2115" s="20" t="s">
        <v>1532</v>
      </c>
      <c r="D2115" s="21"/>
    </row>
    <row r="2116" spans="1:4" ht="12.75" customHeight="1" x14ac:dyDescent="0.2">
      <c r="A2116" s="21"/>
      <c r="B2116" s="3" t="s">
        <v>11</v>
      </c>
      <c r="C2116" s="20" t="s">
        <v>1177</v>
      </c>
      <c r="D2116" s="21"/>
    </row>
    <row r="2117" spans="1:4" ht="12.75" customHeight="1" x14ac:dyDescent="0.2">
      <c r="A2117" s="21"/>
      <c r="B2117" s="3" t="s">
        <v>16</v>
      </c>
      <c r="C2117" s="20"/>
      <c r="D2117" s="21"/>
    </row>
    <row r="2118" spans="1:4" ht="12.75" customHeight="1" x14ac:dyDescent="0.2">
      <c r="A2118" s="21"/>
      <c r="B2118" s="3" t="s">
        <v>17</v>
      </c>
      <c r="C2118" s="20" t="s">
        <v>19</v>
      </c>
      <c r="D2118" s="21"/>
    </row>
    <row r="2119" spans="1:4" ht="12.75" customHeight="1" x14ac:dyDescent="0.2">
      <c r="A2119" s="21"/>
      <c r="B2119" s="20" t="s">
        <v>18</v>
      </c>
      <c r="C2119" s="4" t="s">
        <v>44</v>
      </c>
      <c r="D2119" s="6" t="str">
        <f>HYPERLINK("javascript:void(0)","hipermokaszin")</f>
        <v>hipermokaszin</v>
      </c>
    </row>
    <row r="2120" spans="1:4" ht="12.75" customHeight="1" x14ac:dyDescent="0.2">
      <c r="A2120" s="21"/>
      <c r="B2120" s="21"/>
      <c r="C2120" s="4" t="s">
        <v>44</v>
      </c>
      <c r="D2120" s="6" t="str">
        <f>HYPERLINK("javascript:void(0)","centromokaszin")</f>
        <v>centromokaszin</v>
      </c>
    </row>
    <row r="2121" spans="1:4" ht="12.75" customHeight="1" x14ac:dyDescent="0.2">
      <c r="A2121" s="21"/>
      <c r="B2121" s="21"/>
      <c r="C2121" s="4" t="s">
        <v>44</v>
      </c>
      <c r="D2121" s="6" t="str">
        <f>HYPERLINK("javascript:void(0)","hidracél fűző")</f>
        <v>hidracél fűző</v>
      </c>
    </row>
    <row r="2122" spans="1:4" ht="12.75" customHeight="1" x14ac:dyDescent="0.2">
      <c r="A2122" s="21"/>
      <c r="B2122" s="2"/>
      <c r="C2122" s="2"/>
      <c r="D2122" s="2"/>
    </row>
    <row r="2123" spans="1:4" ht="12.75" customHeight="1" x14ac:dyDescent="0.2">
      <c r="A2123" s="21"/>
      <c r="B2123" s="2"/>
      <c r="C2123" s="2"/>
      <c r="D2123" s="2"/>
    </row>
    <row r="2124" spans="1:4" ht="12.75" customHeight="1" x14ac:dyDescent="0.2">
      <c r="A2124" s="21"/>
      <c r="B2124" s="2"/>
      <c r="C2124" s="2"/>
      <c r="D2124" s="2"/>
    </row>
    <row r="2125" spans="1:4" ht="12.75" customHeight="1" x14ac:dyDescent="0.2">
      <c r="A2125" s="21"/>
      <c r="B2125" s="2"/>
      <c r="C2125" s="2"/>
      <c r="D2125" s="2"/>
    </row>
    <row r="2126" spans="1:4" ht="12.75" customHeight="1" x14ac:dyDescent="0.2">
      <c r="A2126" s="5"/>
      <c r="B2126" s="2"/>
      <c r="C2126" s="2"/>
      <c r="D2126" s="2"/>
    </row>
    <row r="2127" spans="1:4" ht="12.75" customHeight="1" x14ac:dyDescent="0.2">
      <c r="A2127" s="22" t="str">
        <f>HYPERLINK("javascript:void(0)","hidracél fűző")</f>
        <v>hidracél fűző</v>
      </c>
      <c r="B2127" s="21"/>
      <c r="C2127" s="21"/>
      <c r="D2127" s="21"/>
    </row>
    <row r="2128" spans="1:4" ht="12.75" customHeight="1" x14ac:dyDescent="0.2">
      <c r="A2128" s="20"/>
      <c r="B2128" s="2"/>
      <c r="C2128" s="2"/>
      <c r="D2128" s="2"/>
    </row>
    <row r="2129" spans="1:4" ht="12.75" customHeight="1" x14ac:dyDescent="0.2">
      <c r="A2129" s="21"/>
      <c r="B2129" s="3" t="s">
        <v>0</v>
      </c>
      <c r="C2129" s="20" t="s">
        <v>302</v>
      </c>
      <c r="D2129" s="21"/>
    </row>
    <row r="2130" spans="1:4" ht="12.75" customHeight="1" x14ac:dyDescent="0.2">
      <c r="A2130" s="21"/>
      <c r="B2130" s="3" t="s">
        <v>2</v>
      </c>
      <c r="C2130" s="20"/>
      <c r="D2130" s="21"/>
    </row>
    <row r="2131" spans="1:4" ht="12.75" customHeight="1" x14ac:dyDescent="0.2">
      <c r="A2131" s="21"/>
      <c r="B2131" s="3" t="s">
        <v>1840</v>
      </c>
      <c r="C2131" s="20" t="s">
        <v>417</v>
      </c>
      <c r="D2131" s="21"/>
    </row>
    <row r="2132" spans="1:4" ht="12.75" customHeight="1" x14ac:dyDescent="0.2">
      <c r="A2132" s="21"/>
      <c r="B2132" s="3" t="s">
        <v>9</v>
      </c>
      <c r="C2132" s="20" t="s">
        <v>42</v>
      </c>
      <c r="D2132" s="21"/>
    </row>
    <row r="2133" spans="1:4" ht="12.75" customHeight="1" x14ac:dyDescent="0.2">
      <c r="A2133" s="21"/>
      <c r="B2133" s="3" t="s">
        <v>11</v>
      </c>
      <c r="C2133" s="20" t="s">
        <v>2096</v>
      </c>
      <c r="D2133" s="21"/>
    </row>
    <row r="2134" spans="1:4" ht="12.75" customHeight="1" x14ac:dyDescent="0.2">
      <c r="A2134" s="21"/>
      <c r="B2134" s="3" t="s">
        <v>16</v>
      </c>
      <c r="C2134" s="20"/>
      <c r="D2134" s="21"/>
    </row>
    <row r="2135" spans="1:4" ht="12.75" customHeight="1" x14ac:dyDescent="0.2">
      <c r="A2135" s="21"/>
      <c r="B2135" s="3" t="s">
        <v>17</v>
      </c>
      <c r="C2135" s="20" t="s">
        <v>19</v>
      </c>
      <c r="D2135" s="21"/>
    </row>
    <row r="2136" spans="1:4" ht="12.75" customHeight="1" x14ac:dyDescent="0.2">
      <c r="A2136" s="21"/>
      <c r="B2136" s="20" t="s">
        <v>18</v>
      </c>
      <c r="C2136" s="4" t="s">
        <v>193</v>
      </c>
      <c r="D2136" s="6" t="str">
        <f>HYPERLINK("javascript:void(0)","szén-hidragén")</f>
        <v>szén-hidragén</v>
      </c>
    </row>
    <row r="2137" spans="1:4" ht="12.75" customHeight="1" x14ac:dyDescent="0.2">
      <c r="A2137" s="21"/>
      <c r="B2137" s="21"/>
      <c r="C2137" s="4" t="s">
        <v>67</v>
      </c>
      <c r="D2137" s="6" t="str">
        <f>HYPERLINK("javascript:void(0)","tekervény")</f>
        <v>tekervény</v>
      </c>
    </row>
    <row r="2138" spans="1:4" ht="12.75" customHeight="1" x14ac:dyDescent="0.2">
      <c r="A2138" s="21"/>
      <c r="B2138" s="21"/>
      <c r="C2138" s="4" t="s">
        <v>244</v>
      </c>
      <c r="D2138" s="6" t="str">
        <f>HYPERLINK("javascript:void(0)","vaskarima")</f>
        <v>vaskarima</v>
      </c>
    </row>
    <row r="2139" spans="1:4" ht="12.75" customHeight="1" x14ac:dyDescent="0.2">
      <c r="A2139" s="21"/>
      <c r="B2139" s="2"/>
      <c r="C2139" s="2"/>
      <c r="D2139" s="2"/>
    </row>
    <row r="2140" spans="1:4" ht="12.75" customHeight="1" x14ac:dyDescent="0.2">
      <c r="A2140" s="21"/>
      <c r="B2140" s="2"/>
      <c r="C2140" s="2"/>
      <c r="D2140" s="2"/>
    </row>
    <row r="2141" spans="1:4" ht="12.75" customHeight="1" x14ac:dyDescent="0.2">
      <c r="A2141" s="21"/>
      <c r="B2141" s="2"/>
      <c r="C2141" s="2"/>
      <c r="D2141" s="2"/>
    </row>
    <row r="2142" spans="1:4" ht="12.75" customHeight="1" x14ac:dyDescent="0.2">
      <c r="A2142" s="21"/>
      <c r="B2142" s="2"/>
      <c r="C2142" s="2"/>
      <c r="D2142" s="2"/>
    </row>
    <row r="2143" spans="1:4" ht="12.75" customHeight="1" x14ac:dyDescent="0.2">
      <c r="A2143" s="5"/>
      <c r="B2143" s="2"/>
      <c r="C2143" s="2"/>
      <c r="D2143" s="2"/>
    </row>
    <row r="2144" spans="1:4" ht="12.75" customHeight="1" x14ac:dyDescent="0.2">
      <c r="A2144" s="22" t="str">
        <f>HYPERLINK("javascript:void(0)","dracoacél mokaszin")</f>
        <v>dracoacél mokaszin</v>
      </c>
      <c r="B2144" s="21"/>
      <c r="C2144" s="21"/>
      <c r="D2144" s="21"/>
    </row>
    <row r="2145" spans="1:4" ht="12.75" customHeight="1" x14ac:dyDescent="0.2">
      <c r="A2145" s="20"/>
      <c r="B2145" s="2"/>
      <c r="C2145" s="2"/>
      <c r="D2145" s="2"/>
    </row>
    <row r="2146" spans="1:4" ht="12.75" customHeight="1" x14ac:dyDescent="0.2">
      <c r="A2146" s="21"/>
      <c r="B2146" s="3" t="s">
        <v>0</v>
      </c>
      <c r="C2146" s="20" t="s">
        <v>255</v>
      </c>
      <c r="D2146" s="21"/>
    </row>
    <row r="2147" spans="1:4" ht="12.75" customHeight="1" x14ac:dyDescent="0.2">
      <c r="A2147" s="21"/>
      <c r="B2147" s="3" t="s">
        <v>2</v>
      </c>
      <c r="C2147" s="20"/>
      <c r="D2147" s="21"/>
    </row>
    <row r="2148" spans="1:4" ht="12.75" customHeight="1" x14ac:dyDescent="0.2">
      <c r="A2148" s="21"/>
      <c r="B2148" s="3" t="s">
        <v>1840</v>
      </c>
      <c r="C2148" s="20" t="s">
        <v>2087</v>
      </c>
      <c r="D2148" s="21"/>
    </row>
    <row r="2149" spans="1:4" ht="12.75" customHeight="1" x14ac:dyDescent="0.2">
      <c r="A2149" s="21"/>
      <c r="B2149" s="3" t="s">
        <v>9</v>
      </c>
      <c r="C2149" s="20" t="s">
        <v>2060</v>
      </c>
      <c r="D2149" s="21"/>
    </row>
    <row r="2150" spans="1:4" ht="12.75" customHeight="1" x14ac:dyDescent="0.2">
      <c r="A2150" s="21"/>
      <c r="B2150" s="3" t="s">
        <v>11</v>
      </c>
      <c r="C2150" s="20" t="s">
        <v>1354</v>
      </c>
      <c r="D2150" s="21"/>
    </row>
    <row r="2151" spans="1:4" ht="12.75" customHeight="1" x14ac:dyDescent="0.2">
      <c r="A2151" s="21"/>
      <c r="B2151" s="3" t="s">
        <v>16</v>
      </c>
      <c r="C2151" s="20"/>
      <c r="D2151" s="21"/>
    </row>
    <row r="2152" spans="1:4" ht="12.75" customHeight="1" x14ac:dyDescent="0.2">
      <c r="A2152" s="21"/>
      <c r="B2152" s="3" t="s">
        <v>17</v>
      </c>
      <c r="C2152" s="20" t="s">
        <v>19</v>
      </c>
      <c r="D2152" s="21"/>
    </row>
    <row r="2153" spans="1:4" ht="12.75" customHeight="1" x14ac:dyDescent="0.2">
      <c r="A2153" s="21"/>
      <c r="B2153" s="20" t="s">
        <v>18</v>
      </c>
      <c r="C2153" s="4" t="s">
        <v>67</v>
      </c>
      <c r="D2153" s="6" t="str">
        <f>HYPERLINK("javascript:void(0)","monsztabéklyó")</f>
        <v>monsztabéklyó</v>
      </c>
    </row>
    <row r="2154" spans="1:4" ht="12.75" customHeight="1" x14ac:dyDescent="0.2">
      <c r="A2154" s="21"/>
      <c r="B2154" s="21"/>
      <c r="C2154" s="4" t="s">
        <v>139</v>
      </c>
      <c r="D2154" s="6" t="str">
        <f>HYPERLINK("javascript:void(0)","sárkányzsák")</f>
        <v>sárkányzsák</v>
      </c>
    </row>
    <row r="2155" spans="1:4" ht="12.75" customHeight="1" x14ac:dyDescent="0.2">
      <c r="A2155" s="21"/>
      <c r="B2155" s="21"/>
      <c r="C2155" s="4" t="s">
        <v>44</v>
      </c>
      <c r="D2155" s="6" t="str">
        <f>HYPERLINK("javascript:void(0)","hidracél mokaszin")</f>
        <v>hidracél mokaszin</v>
      </c>
    </row>
    <row r="2156" spans="1:4" ht="12.75" customHeight="1" x14ac:dyDescent="0.2">
      <c r="A2156" s="21"/>
      <c r="B2156" s="2"/>
      <c r="C2156" s="2"/>
      <c r="D2156" s="2"/>
    </row>
    <row r="2157" spans="1:4" ht="12.75" customHeight="1" x14ac:dyDescent="0.2">
      <c r="A2157" s="21"/>
      <c r="B2157" s="2"/>
      <c r="C2157" s="2"/>
      <c r="D2157" s="2"/>
    </row>
    <row r="2158" spans="1:4" ht="12.75" customHeight="1" x14ac:dyDescent="0.2">
      <c r="A2158" s="21"/>
      <c r="B2158" s="2"/>
      <c r="C2158" s="2"/>
      <c r="D2158" s="2"/>
    </row>
    <row r="2159" spans="1:4" ht="12.75" customHeight="1" x14ac:dyDescent="0.2">
      <c r="A2159" s="21"/>
      <c r="B2159" s="2"/>
      <c r="C2159" s="2"/>
      <c r="D2159" s="2"/>
    </row>
    <row r="2160" spans="1:4" ht="12.75" customHeight="1" x14ac:dyDescent="0.2">
      <c r="A2160" s="5"/>
      <c r="B2160" s="2"/>
      <c r="C2160" s="2"/>
      <c r="D2160" s="2"/>
    </row>
    <row r="2161" spans="1:4" ht="12.75" customHeight="1" x14ac:dyDescent="0.2">
      <c r="A2161" s="22" t="str">
        <f>HYPERLINK("javascript:void(0)","elfacél mokaszin")</f>
        <v>elfacél mokaszin</v>
      </c>
      <c r="B2161" s="21"/>
      <c r="C2161" s="21"/>
      <c r="D2161" s="21"/>
    </row>
    <row r="2162" spans="1:4" ht="12.75" customHeight="1" x14ac:dyDescent="0.2">
      <c r="A2162" s="20"/>
      <c r="B2162" s="2"/>
      <c r="C2162" s="2"/>
      <c r="D2162" s="2"/>
    </row>
    <row r="2163" spans="1:4" ht="12.75" customHeight="1" x14ac:dyDescent="0.2">
      <c r="A2163" s="21"/>
      <c r="B2163" s="3" t="s">
        <v>0</v>
      </c>
      <c r="C2163" s="20" t="s">
        <v>281</v>
      </c>
      <c r="D2163" s="21"/>
    </row>
    <row r="2164" spans="1:4" ht="12.75" customHeight="1" x14ac:dyDescent="0.2">
      <c r="A2164" s="21"/>
      <c r="B2164" s="3" t="s">
        <v>2</v>
      </c>
      <c r="C2164" s="20"/>
      <c r="D2164" s="21"/>
    </row>
    <row r="2165" spans="1:4" ht="12.75" customHeight="1" x14ac:dyDescent="0.2">
      <c r="A2165" s="21"/>
      <c r="B2165" s="3" t="s">
        <v>1840</v>
      </c>
      <c r="C2165" s="20" t="s">
        <v>207</v>
      </c>
      <c r="D2165" s="21"/>
    </row>
    <row r="2166" spans="1:4" ht="12.75" customHeight="1" x14ac:dyDescent="0.2">
      <c r="A2166" s="21"/>
      <c r="B2166" s="3" t="s">
        <v>9</v>
      </c>
      <c r="C2166" s="20" t="s">
        <v>1001</v>
      </c>
      <c r="D2166" s="21"/>
    </row>
    <row r="2167" spans="1:4" ht="12.75" customHeight="1" x14ac:dyDescent="0.2">
      <c r="A2167" s="21"/>
      <c r="B2167" s="3" t="s">
        <v>11</v>
      </c>
      <c r="C2167" s="20" t="s">
        <v>1190</v>
      </c>
      <c r="D2167" s="21"/>
    </row>
    <row r="2168" spans="1:4" ht="12.75" customHeight="1" x14ac:dyDescent="0.2">
      <c r="A2168" s="21"/>
      <c r="B2168" s="3" t="s">
        <v>16</v>
      </c>
      <c r="C2168" s="20"/>
      <c r="D2168" s="21"/>
    </row>
    <row r="2169" spans="1:4" ht="12.75" customHeight="1" x14ac:dyDescent="0.2">
      <c r="A2169" s="21"/>
      <c r="B2169" s="3" t="s">
        <v>17</v>
      </c>
      <c r="C2169" s="20" t="s">
        <v>19</v>
      </c>
      <c r="D2169" s="21"/>
    </row>
    <row r="2170" spans="1:4" ht="12.75" customHeight="1" x14ac:dyDescent="0.2">
      <c r="A2170" s="21"/>
      <c r="B2170" s="20" t="s">
        <v>18</v>
      </c>
      <c r="C2170" s="4" t="s">
        <v>67</v>
      </c>
      <c r="D2170" s="6" t="str">
        <f>HYPERLINK("javascript:void(0)","kígyóborda")</f>
        <v>kígyóborda</v>
      </c>
    </row>
    <row r="2171" spans="1:4" ht="12.75" customHeight="1" x14ac:dyDescent="0.2">
      <c r="A2171" s="21"/>
      <c r="B2171" s="21"/>
      <c r="C2171" s="4" t="s">
        <v>139</v>
      </c>
      <c r="D2171" s="6" t="str">
        <f>HYPERLINK("javascript:void(0)","serte")</f>
        <v>serte</v>
      </c>
    </row>
    <row r="2172" spans="1:4" ht="12.75" customHeight="1" x14ac:dyDescent="0.2">
      <c r="A2172" s="21"/>
      <c r="B2172" s="21"/>
      <c r="C2172" s="4" t="s">
        <v>117</v>
      </c>
      <c r="D2172" s="6" t="str">
        <f>HYPERLINK("javascript:void(0)","dobókocka")</f>
        <v>dobókocka</v>
      </c>
    </row>
    <row r="2173" spans="1:4" ht="12.75" customHeight="1" x14ac:dyDescent="0.2">
      <c r="A2173" s="21"/>
      <c r="B2173" s="2"/>
      <c r="C2173" s="2"/>
      <c r="D2173" s="2"/>
    </row>
    <row r="2174" spans="1:4" ht="12.75" customHeight="1" x14ac:dyDescent="0.2">
      <c r="A2174" s="21"/>
      <c r="B2174" s="2"/>
      <c r="C2174" s="2"/>
      <c r="D2174" s="2"/>
    </row>
    <row r="2175" spans="1:4" ht="12.75" customHeight="1" x14ac:dyDescent="0.2">
      <c r="A2175" s="21"/>
      <c r="B2175" s="2"/>
      <c r="C2175" s="2"/>
      <c r="D2175" s="2"/>
    </row>
    <row r="2176" spans="1:4" ht="12.75" customHeight="1" x14ac:dyDescent="0.2">
      <c r="A2176" s="21"/>
      <c r="B2176" s="2"/>
      <c r="C2176" s="2"/>
      <c r="D2176" s="2"/>
    </row>
    <row r="2177" spans="1:4" ht="12.75" customHeight="1" x14ac:dyDescent="0.2">
      <c r="A2177" s="5"/>
      <c r="B2177" s="2"/>
      <c r="C2177" s="2"/>
      <c r="D2177" s="2"/>
    </row>
    <row r="2178" spans="1:4" ht="12.75" customHeight="1" x14ac:dyDescent="0.2">
      <c r="A2178" s="22" t="str">
        <f>HYPERLINK("javascript:void(0)","magnetoacél antigrav csizma")</f>
        <v>magnetoacél antigrav csizma</v>
      </c>
      <c r="B2178" s="21"/>
      <c r="C2178" s="21"/>
      <c r="D2178" s="21"/>
    </row>
    <row r="2179" spans="1:4" ht="12.75" customHeight="1" x14ac:dyDescent="0.2">
      <c r="A2179" s="20"/>
      <c r="B2179" s="2"/>
      <c r="C2179" s="2"/>
      <c r="D2179" s="2"/>
    </row>
    <row r="2180" spans="1:4" ht="12.75" customHeight="1" x14ac:dyDescent="0.2">
      <c r="A2180" s="21"/>
      <c r="B2180" s="3" t="s">
        <v>0</v>
      </c>
      <c r="C2180" s="20" t="s">
        <v>281</v>
      </c>
      <c r="D2180" s="21"/>
    </row>
    <row r="2181" spans="1:4" ht="12.75" customHeight="1" x14ac:dyDescent="0.2">
      <c r="A2181" s="21"/>
      <c r="B2181" s="3" t="s">
        <v>2</v>
      </c>
      <c r="C2181" s="20"/>
      <c r="D2181" s="21"/>
    </row>
    <row r="2182" spans="1:4" ht="12.75" customHeight="1" x14ac:dyDescent="0.2">
      <c r="A2182" s="21"/>
      <c r="B2182" s="3" t="s">
        <v>1840</v>
      </c>
      <c r="C2182" s="20" t="s">
        <v>207</v>
      </c>
      <c r="D2182" s="21"/>
    </row>
    <row r="2183" spans="1:4" ht="12.75" customHeight="1" x14ac:dyDescent="0.2">
      <c r="A2183" s="21"/>
      <c r="B2183" s="3" t="s">
        <v>9</v>
      </c>
      <c r="C2183" s="20" t="s">
        <v>626</v>
      </c>
      <c r="D2183" s="21"/>
    </row>
    <row r="2184" spans="1:4" ht="12.75" customHeight="1" x14ac:dyDescent="0.2">
      <c r="A2184" s="21"/>
      <c r="B2184" s="3" t="s">
        <v>11</v>
      </c>
      <c r="C2184" s="20" t="s">
        <v>23</v>
      </c>
      <c r="D2184" s="21"/>
    </row>
    <row r="2185" spans="1:4" ht="12.75" customHeight="1" x14ac:dyDescent="0.2">
      <c r="A2185" s="21"/>
      <c r="B2185" s="3" t="s">
        <v>16</v>
      </c>
      <c r="C2185" s="20"/>
      <c r="D2185" s="21"/>
    </row>
    <row r="2186" spans="1:4" ht="12.75" customHeight="1" x14ac:dyDescent="0.2">
      <c r="A2186" s="21"/>
      <c r="B2186" s="3" t="s">
        <v>17</v>
      </c>
      <c r="C2186" s="20" t="s">
        <v>19</v>
      </c>
      <c r="D2186" s="21"/>
    </row>
    <row r="2187" spans="1:4" ht="25.5" customHeight="1" x14ac:dyDescent="0.2">
      <c r="A2187" s="21"/>
      <c r="B2187" s="20" t="s">
        <v>18</v>
      </c>
      <c r="C2187" s="4" t="s">
        <v>44</v>
      </c>
      <c r="D2187" s="6" t="str">
        <f>HYPERLINK("javascript:void(0)","fotoacél antigrav csizma")</f>
        <v>fotoacél antigrav csizma</v>
      </c>
    </row>
    <row r="2188" spans="1:4" ht="12.75" customHeight="1" x14ac:dyDescent="0.2">
      <c r="A2188" s="21"/>
      <c r="B2188" s="21"/>
      <c r="C2188" s="4" t="s">
        <v>309</v>
      </c>
      <c r="D2188" s="6" t="str">
        <f>HYPERLINK("javascript:void(0)","monsztabéklyó")</f>
        <v>monsztabéklyó</v>
      </c>
    </row>
    <row r="2189" spans="1:4" ht="12.75" customHeight="1" x14ac:dyDescent="0.2">
      <c r="A2189" s="21"/>
      <c r="B2189" s="21"/>
      <c r="C2189" s="4" t="s">
        <v>163</v>
      </c>
      <c r="D2189" s="6" t="str">
        <f>HYPERLINK("javascript:void(0)","ikerkristály")</f>
        <v>ikerkristály</v>
      </c>
    </row>
    <row r="2190" spans="1:4" ht="12.75" customHeight="1" x14ac:dyDescent="0.2">
      <c r="A2190" s="21"/>
      <c r="B2190" s="2"/>
      <c r="C2190" s="2"/>
      <c r="D2190" s="2"/>
    </row>
    <row r="2191" spans="1:4" ht="12.75" customHeight="1" x14ac:dyDescent="0.2">
      <c r="A2191" s="21"/>
      <c r="B2191" s="2"/>
      <c r="C2191" s="2"/>
      <c r="D2191" s="2"/>
    </row>
    <row r="2192" spans="1:4" ht="12.75" customHeight="1" x14ac:dyDescent="0.2">
      <c r="A2192" s="21"/>
      <c r="B2192" s="2"/>
      <c r="C2192" s="2"/>
      <c r="D2192" s="2"/>
    </row>
    <row r="2193" spans="1:4" ht="12.75" customHeight="1" x14ac:dyDescent="0.2">
      <c r="A2193" s="21"/>
      <c r="B2193" s="2"/>
      <c r="C2193" s="2"/>
      <c r="D2193" s="2"/>
    </row>
    <row r="2194" spans="1:4" ht="12.75" customHeight="1" x14ac:dyDescent="0.2">
      <c r="A2194" s="5"/>
      <c r="B2194" s="2"/>
      <c r="C2194" s="2"/>
      <c r="D2194" s="2"/>
    </row>
    <row r="2195" spans="1:4" ht="12.75" customHeight="1" x14ac:dyDescent="0.2">
      <c r="A2195" s="22" t="str">
        <f>HYPERLINK("javascript:void(0)","óriásacél mokaszin")</f>
        <v>óriásacél mokaszin</v>
      </c>
      <c r="B2195" s="21"/>
      <c r="C2195" s="21"/>
      <c r="D2195" s="21"/>
    </row>
    <row r="2196" spans="1:4" ht="12.75" customHeight="1" x14ac:dyDescent="0.2">
      <c r="A2196" s="20"/>
      <c r="B2196" s="2"/>
      <c r="C2196" s="2"/>
      <c r="D2196" s="2"/>
    </row>
    <row r="2197" spans="1:4" ht="12.75" customHeight="1" x14ac:dyDescent="0.2">
      <c r="A2197" s="21"/>
      <c r="B2197" s="3" t="s">
        <v>0</v>
      </c>
      <c r="C2197" s="20" t="s">
        <v>181</v>
      </c>
      <c r="D2197" s="21"/>
    </row>
    <row r="2198" spans="1:4" ht="12.75" customHeight="1" x14ac:dyDescent="0.2">
      <c r="A2198" s="21"/>
      <c r="B2198" s="3" t="s">
        <v>2</v>
      </c>
      <c r="C2198" s="20"/>
      <c r="D2198" s="21"/>
    </row>
    <row r="2199" spans="1:4" ht="12.75" customHeight="1" x14ac:dyDescent="0.2">
      <c r="A2199" s="21"/>
      <c r="B2199" s="3" t="s">
        <v>1840</v>
      </c>
      <c r="C2199" s="20" t="s">
        <v>2101</v>
      </c>
      <c r="D2199" s="21"/>
    </row>
    <row r="2200" spans="1:4" ht="12.75" customHeight="1" x14ac:dyDescent="0.2">
      <c r="A2200" s="21"/>
      <c r="B2200" s="3" t="s">
        <v>9</v>
      </c>
      <c r="C2200" s="20" t="s">
        <v>2102</v>
      </c>
      <c r="D2200" s="21"/>
    </row>
    <row r="2201" spans="1:4" ht="12.75" customHeight="1" x14ac:dyDescent="0.2">
      <c r="A2201" s="21"/>
      <c r="B2201" s="3" t="s">
        <v>11</v>
      </c>
      <c r="C2201" s="20" t="s">
        <v>1372</v>
      </c>
      <c r="D2201" s="21"/>
    </row>
    <row r="2202" spans="1:4" ht="12.75" customHeight="1" x14ac:dyDescent="0.2">
      <c r="A2202" s="21"/>
      <c r="B2202" s="3" t="s">
        <v>16</v>
      </c>
      <c r="C2202" s="20"/>
      <c r="D2202" s="21"/>
    </row>
    <row r="2203" spans="1:4" ht="12.75" customHeight="1" x14ac:dyDescent="0.2">
      <c r="A2203" s="21"/>
      <c r="B2203" s="3" t="s">
        <v>17</v>
      </c>
      <c r="C2203" s="20" t="s">
        <v>19</v>
      </c>
      <c r="D2203" s="21"/>
    </row>
    <row r="2204" spans="1:4" ht="12.75" customHeight="1" x14ac:dyDescent="0.2">
      <c r="A2204" s="21"/>
      <c r="B2204" s="20" t="s">
        <v>18</v>
      </c>
      <c r="C2204" s="4" t="s">
        <v>44</v>
      </c>
      <c r="D2204" s="6" t="str">
        <f>HYPERLINK("javascript:void(0)","dracoacél mokaszin")</f>
        <v>dracoacél mokaszin</v>
      </c>
    </row>
    <row r="2205" spans="1:4" ht="12.75" customHeight="1" x14ac:dyDescent="0.2">
      <c r="A2205" s="21"/>
      <c r="B2205" s="21"/>
      <c r="C2205" s="4" t="s">
        <v>44</v>
      </c>
      <c r="D2205" s="6" t="str">
        <f>HYPERLINK("javascript:void(0)","óriásacél fűző")</f>
        <v>óriásacél fűző</v>
      </c>
    </row>
    <row r="2206" spans="1:4" ht="12.75" customHeight="1" x14ac:dyDescent="0.2">
      <c r="A2206" s="21"/>
      <c r="B2206" s="21"/>
      <c r="C2206" s="4" t="s">
        <v>44</v>
      </c>
      <c r="D2206" s="6" t="str">
        <f>HYPERLINK("javascript:void(0)","elfacél mokaszin")</f>
        <v>elfacél mokaszin</v>
      </c>
    </row>
    <row r="2207" spans="1:4" ht="12.75" customHeight="1" x14ac:dyDescent="0.2">
      <c r="A2207" s="21"/>
      <c r="B2207" s="2"/>
      <c r="C2207" s="2"/>
      <c r="D2207" s="2"/>
    </row>
    <row r="2208" spans="1:4" ht="12.75" customHeight="1" x14ac:dyDescent="0.2">
      <c r="A2208" s="21"/>
      <c r="B2208" s="2"/>
      <c r="C2208" s="2"/>
      <c r="D2208" s="2"/>
    </row>
    <row r="2209" spans="1:4" ht="12.75" customHeight="1" x14ac:dyDescent="0.2">
      <c r="A2209" s="21"/>
      <c r="B2209" s="2"/>
      <c r="C2209" s="2"/>
      <c r="D2209" s="2"/>
    </row>
    <row r="2210" spans="1:4" ht="12.75" customHeight="1" x14ac:dyDescent="0.2">
      <c r="A2210" s="21"/>
      <c r="B2210" s="2"/>
      <c r="C2210" s="2"/>
      <c r="D2210" s="2"/>
    </row>
    <row r="2211" spans="1:4" ht="12.75" customHeight="1" x14ac:dyDescent="0.2">
      <c r="A2211" s="5"/>
      <c r="B2211" s="2"/>
      <c r="C2211" s="2"/>
      <c r="D2211" s="2"/>
    </row>
    <row r="2212" spans="1:4" ht="12.75" customHeight="1" x14ac:dyDescent="0.2">
      <c r="A2212" s="22" t="str">
        <f>HYPERLINK("javascript:void(0)","óriásacél fűző")</f>
        <v>óriásacél fűző</v>
      </c>
      <c r="B2212" s="21"/>
      <c r="C2212" s="21"/>
      <c r="D2212" s="21"/>
    </row>
    <row r="2213" spans="1:4" ht="12.75" customHeight="1" x14ac:dyDescent="0.2">
      <c r="A2213" s="20"/>
      <c r="B2213" s="2"/>
      <c r="C2213" s="2"/>
      <c r="D2213" s="2"/>
    </row>
    <row r="2214" spans="1:4" ht="12.75" customHeight="1" x14ac:dyDescent="0.2">
      <c r="A2214" s="21"/>
      <c r="B2214" s="3" t="s">
        <v>0</v>
      </c>
      <c r="C2214" s="20" t="s">
        <v>181</v>
      </c>
      <c r="D2214" s="21"/>
    </row>
    <row r="2215" spans="1:4" ht="12.75" customHeight="1" x14ac:dyDescent="0.2">
      <c r="A2215" s="21"/>
      <c r="B2215" s="3" t="s">
        <v>2</v>
      </c>
      <c r="C2215" s="20"/>
      <c r="D2215" s="21"/>
    </row>
    <row r="2216" spans="1:4" ht="12.75" customHeight="1" x14ac:dyDescent="0.2">
      <c r="A2216" s="21"/>
      <c r="B2216" s="3" t="s">
        <v>1840</v>
      </c>
      <c r="C2216" s="20" t="s">
        <v>417</v>
      </c>
      <c r="D2216" s="21"/>
    </row>
    <row r="2217" spans="1:4" ht="12.75" customHeight="1" x14ac:dyDescent="0.2">
      <c r="A2217" s="21"/>
      <c r="B2217" s="3" t="s">
        <v>9</v>
      </c>
      <c r="C2217" s="20" t="s">
        <v>42</v>
      </c>
      <c r="D2217" s="21"/>
    </row>
    <row r="2218" spans="1:4" ht="12.75" customHeight="1" x14ac:dyDescent="0.2">
      <c r="A2218" s="21"/>
      <c r="B2218" s="3" t="s">
        <v>11</v>
      </c>
      <c r="C2218" s="20" t="s">
        <v>2104</v>
      </c>
      <c r="D2218" s="21"/>
    </row>
    <row r="2219" spans="1:4" ht="12.75" customHeight="1" x14ac:dyDescent="0.2">
      <c r="A2219" s="21"/>
      <c r="B2219" s="3" t="s">
        <v>16</v>
      </c>
      <c r="C2219" s="20"/>
      <c r="D2219" s="21"/>
    </row>
    <row r="2220" spans="1:4" ht="12.75" customHeight="1" x14ac:dyDescent="0.2">
      <c r="A2220" s="21"/>
      <c r="B2220" s="3" t="s">
        <v>17</v>
      </c>
      <c r="C2220" s="20" t="s">
        <v>19</v>
      </c>
      <c r="D2220" s="21"/>
    </row>
    <row r="2221" spans="1:4" ht="12.75" customHeight="1" x14ac:dyDescent="0.2">
      <c r="A2221" s="21"/>
      <c r="B2221" s="20" t="s">
        <v>18</v>
      </c>
      <c r="C2221" s="4" t="s">
        <v>309</v>
      </c>
      <c r="D2221" s="6" t="str">
        <f>HYPERLINK("javascript:void(0)","teleportige")</f>
        <v>teleportige</v>
      </c>
    </row>
    <row r="2222" spans="1:4" ht="12.75" customHeight="1" x14ac:dyDescent="0.2">
      <c r="A2222" s="21"/>
      <c r="B2222" s="21"/>
      <c r="C2222" s="4" t="s">
        <v>68</v>
      </c>
      <c r="D2222" s="6" t="str">
        <f>HYPERLINK("javascript:void(0)","magmacsepp")</f>
        <v>magmacsepp</v>
      </c>
    </row>
    <row r="2223" spans="1:4" ht="12.75" customHeight="1" x14ac:dyDescent="0.2">
      <c r="A2223" s="21"/>
      <c r="B2223" s="21"/>
      <c r="C2223" s="4" t="s">
        <v>67</v>
      </c>
      <c r="D2223" s="6" t="str">
        <f>HYPERLINK("javascript:void(0)","sárkányzsák")</f>
        <v>sárkányzsák</v>
      </c>
    </row>
    <row r="2224" spans="1:4" ht="12.75" customHeight="1" x14ac:dyDescent="0.2">
      <c r="A2224" s="21"/>
      <c r="B2224" s="2"/>
      <c r="C2224" s="2"/>
      <c r="D2224" s="2"/>
    </row>
    <row r="2225" spans="1:4" ht="12.75" customHeight="1" x14ac:dyDescent="0.2">
      <c r="A2225" s="21"/>
      <c r="B2225" s="2"/>
      <c r="C2225" s="2"/>
      <c r="D2225" s="2"/>
    </row>
    <row r="2226" spans="1:4" ht="12.75" customHeight="1" x14ac:dyDescent="0.2">
      <c r="A2226" s="21"/>
      <c r="B2226" s="2"/>
      <c r="C2226" s="2"/>
      <c r="D2226" s="2"/>
    </row>
    <row r="2227" spans="1:4" ht="12.75" customHeight="1" x14ac:dyDescent="0.2">
      <c r="A2227" s="21"/>
      <c r="B2227" s="2"/>
      <c r="C2227" s="2"/>
      <c r="D2227" s="2"/>
    </row>
    <row r="2228" spans="1:4" ht="12.75" customHeight="1" x14ac:dyDescent="0.2">
      <c r="A2228" s="5"/>
      <c r="B2228" s="2"/>
      <c r="C2228" s="2"/>
      <c r="D2228" s="2"/>
    </row>
    <row r="2229" spans="1:4" ht="12.75" customHeight="1" x14ac:dyDescent="0.2">
      <c r="A2229" s="22" t="str">
        <f>HYPERLINK("javascript:void(0)","csillámló óriáscsizma")</f>
        <v>csillámló óriáscsizma</v>
      </c>
      <c r="B2229" s="21"/>
      <c r="C2229" s="21"/>
      <c r="D2229" s="21"/>
    </row>
    <row r="2230" spans="1:4" ht="12.75" customHeight="1" x14ac:dyDescent="0.2">
      <c r="A2230" s="20"/>
      <c r="B2230" s="2"/>
      <c r="C2230" s="2"/>
      <c r="D2230" s="2"/>
    </row>
    <row r="2231" spans="1:4" ht="12.75" customHeight="1" x14ac:dyDescent="0.2">
      <c r="A2231" s="21"/>
      <c r="B2231" s="3" t="s">
        <v>0</v>
      </c>
      <c r="C2231" s="20" t="s">
        <v>181</v>
      </c>
      <c r="D2231" s="21"/>
    </row>
    <row r="2232" spans="1:4" ht="12.75" customHeight="1" x14ac:dyDescent="0.2">
      <c r="A2232" s="21"/>
      <c r="B2232" s="3" t="s">
        <v>2</v>
      </c>
      <c r="C2232" s="20"/>
      <c r="D2232" s="21"/>
    </row>
    <row r="2233" spans="1:4" ht="12.75" customHeight="1" x14ac:dyDescent="0.2">
      <c r="A2233" s="21"/>
      <c r="B2233" s="3" t="s">
        <v>1840</v>
      </c>
      <c r="C2233" s="20" t="s">
        <v>493</v>
      </c>
      <c r="D2233" s="21"/>
    </row>
    <row r="2234" spans="1:4" ht="12.75" customHeight="1" x14ac:dyDescent="0.2">
      <c r="A2234" s="21"/>
      <c r="B2234" s="3" t="s">
        <v>9</v>
      </c>
      <c r="C2234" s="20" t="s">
        <v>2105</v>
      </c>
      <c r="D2234" s="21"/>
    </row>
    <row r="2235" spans="1:4" ht="12.75" customHeight="1" x14ac:dyDescent="0.2">
      <c r="A2235" s="21"/>
      <c r="B2235" s="3" t="s">
        <v>11</v>
      </c>
      <c r="C2235" s="20" t="s">
        <v>1372</v>
      </c>
      <c r="D2235" s="21"/>
    </row>
    <row r="2236" spans="1:4" ht="12.75" customHeight="1" x14ac:dyDescent="0.2">
      <c r="A2236" s="21"/>
      <c r="B2236" s="3" t="s">
        <v>16</v>
      </c>
      <c r="C2236" s="20"/>
      <c r="D2236" s="21"/>
    </row>
    <row r="2237" spans="1:4" ht="12.75" customHeight="1" x14ac:dyDescent="0.2">
      <c r="A2237" s="21"/>
      <c r="B2237" s="3" t="s">
        <v>17</v>
      </c>
      <c r="C2237" s="20" t="s">
        <v>19</v>
      </c>
      <c r="D2237" s="21"/>
    </row>
    <row r="2238" spans="1:4" ht="12.75" customHeight="1" x14ac:dyDescent="0.2">
      <c r="A2238" s="21"/>
      <c r="B2238" s="20" t="s">
        <v>18</v>
      </c>
      <c r="C2238" s="4" t="s">
        <v>57</v>
      </c>
      <c r="D2238" s="6" t="str">
        <f>HYPERLINK("javascript:void(0)","csillámgöb")</f>
        <v>csillámgöb</v>
      </c>
    </row>
    <row r="2239" spans="1:4" ht="12.75" customHeight="1" x14ac:dyDescent="0.2">
      <c r="A2239" s="21"/>
      <c r="B2239" s="21"/>
      <c r="C2239" s="4" t="s">
        <v>44</v>
      </c>
      <c r="D2239" s="6" t="str">
        <f>HYPERLINK("javascript:void(0)","csillámló orkcsizma")</f>
        <v>csillámló orkcsizma</v>
      </c>
    </row>
    <row r="2240" spans="1:4" ht="12.75" customHeight="1" x14ac:dyDescent="0.2">
      <c r="A2240" s="21"/>
      <c r="B2240" s="21"/>
      <c r="C2240" s="4" t="s">
        <v>232</v>
      </c>
      <c r="D2240" s="6" t="str">
        <f>HYPERLINK("javascript:void(0)","kincsgúla")</f>
        <v>kincsgúla</v>
      </c>
    </row>
    <row r="2241" spans="1:4" ht="12.75" customHeight="1" x14ac:dyDescent="0.2">
      <c r="A2241" s="21"/>
      <c r="B2241" s="2"/>
      <c r="C2241" s="2"/>
      <c r="D2241" s="2"/>
    </row>
    <row r="2242" spans="1:4" ht="12.75" customHeight="1" x14ac:dyDescent="0.2">
      <c r="A2242" s="21"/>
      <c r="B2242" s="2"/>
      <c r="C2242" s="2"/>
      <c r="D2242" s="2"/>
    </row>
    <row r="2243" spans="1:4" ht="12.75" customHeight="1" x14ac:dyDescent="0.2">
      <c r="A2243" s="21"/>
      <c r="B2243" s="2"/>
      <c r="C2243" s="2"/>
      <c r="D2243" s="2"/>
    </row>
    <row r="2244" spans="1:4" ht="12.75" customHeight="1" x14ac:dyDescent="0.2">
      <c r="A2244" s="21"/>
      <c r="B2244" s="2"/>
      <c r="C2244" s="2"/>
      <c r="D2244" s="2"/>
    </row>
    <row r="2245" spans="1:4" ht="12.75" customHeight="1" x14ac:dyDescent="0.2">
      <c r="A2245" s="5"/>
      <c r="B2245" s="2"/>
      <c r="C2245" s="2"/>
      <c r="D2245" s="2"/>
    </row>
    <row r="2246" spans="1:4" ht="12.75" customHeight="1" x14ac:dyDescent="0.2">
      <c r="A2246" s="22" t="str">
        <f>HYPERLINK("javascript:void(0)","démonacél mokaszin")</f>
        <v>démonacél mokaszin</v>
      </c>
      <c r="B2246" s="21"/>
      <c r="C2246" s="21"/>
      <c r="D2246" s="21"/>
    </row>
    <row r="2247" spans="1:4" ht="12.75" customHeight="1" x14ac:dyDescent="0.2">
      <c r="A2247" s="20"/>
      <c r="B2247" s="2"/>
      <c r="C2247" s="2"/>
      <c r="D2247" s="2"/>
    </row>
    <row r="2248" spans="1:4" ht="12.75" customHeight="1" x14ac:dyDescent="0.2">
      <c r="A2248" s="21"/>
      <c r="B2248" s="3" t="s">
        <v>0</v>
      </c>
      <c r="C2248" s="20" t="s">
        <v>853</v>
      </c>
      <c r="D2248" s="21"/>
    </row>
    <row r="2249" spans="1:4" ht="12.75" customHeight="1" x14ac:dyDescent="0.2">
      <c r="A2249" s="21"/>
      <c r="B2249" s="3" t="s">
        <v>2</v>
      </c>
      <c r="C2249" s="20"/>
      <c r="D2249" s="21"/>
    </row>
    <row r="2250" spans="1:4" ht="12.75" customHeight="1" x14ac:dyDescent="0.2">
      <c r="A2250" s="21"/>
      <c r="B2250" s="3" t="s">
        <v>1840</v>
      </c>
      <c r="C2250" s="20" t="s">
        <v>2107</v>
      </c>
      <c r="D2250" s="21"/>
    </row>
    <row r="2251" spans="1:4" ht="12.75" customHeight="1" x14ac:dyDescent="0.2">
      <c r="A2251" s="21"/>
      <c r="B2251" s="3" t="s">
        <v>9</v>
      </c>
      <c r="C2251" s="20" t="s">
        <v>2049</v>
      </c>
      <c r="D2251" s="21"/>
    </row>
    <row r="2252" spans="1:4" ht="12.75" customHeight="1" x14ac:dyDescent="0.2">
      <c r="A2252" s="21"/>
      <c r="B2252" s="3" t="s">
        <v>11</v>
      </c>
      <c r="C2252" s="20" t="s">
        <v>1443</v>
      </c>
      <c r="D2252" s="21"/>
    </row>
    <row r="2253" spans="1:4" ht="12.75" customHeight="1" x14ac:dyDescent="0.2">
      <c r="A2253" s="21"/>
      <c r="B2253" s="3" t="s">
        <v>16</v>
      </c>
      <c r="C2253" s="20"/>
      <c r="D2253" s="21"/>
    </row>
    <row r="2254" spans="1:4" ht="12.75" customHeight="1" x14ac:dyDescent="0.2">
      <c r="A2254" s="21"/>
      <c r="B2254" s="3" t="s">
        <v>17</v>
      </c>
      <c r="C2254" s="20" t="s">
        <v>19</v>
      </c>
      <c r="D2254" s="21"/>
    </row>
    <row r="2255" spans="1:4" ht="12.75" customHeight="1" x14ac:dyDescent="0.2">
      <c r="A2255" s="21"/>
      <c r="B2255" s="20" t="s">
        <v>18</v>
      </c>
      <c r="C2255" s="4" t="s">
        <v>44</v>
      </c>
      <c r="D2255" s="6" t="str">
        <f>HYPERLINK("javascript:void(0)","óriásacél mokaszin")</f>
        <v>óriásacél mokaszin</v>
      </c>
    </row>
    <row r="2256" spans="1:4" ht="12.75" customHeight="1" x14ac:dyDescent="0.2">
      <c r="A2256" s="21"/>
      <c r="B2256" s="21"/>
      <c r="C2256" s="4" t="s">
        <v>327</v>
      </c>
      <c r="D2256" s="6" t="str">
        <f>HYPERLINK("javascript:void(0)","hagymapikkely")</f>
        <v>hagymapikkely</v>
      </c>
    </row>
    <row r="2257" spans="1:4" ht="12.75" customHeight="1" x14ac:dyDescent="0.2">
      <c r="A2257" s="21"/>
      <c r="B2257" s="21"/>
      <c r="C2257" s="4" t="s">
        <v>331</v>
      </c>
      <c r="D2257" s="6" t="str">
        <f>HYPERLINK("javascript:void(0)","démonamulett")</f>
        <v>démonamulett</v>
      </c>
    </row>
    <row r="2258" spans="1:4" ht="12.75" customHeight="1" x14ac:dyDescent="0.2">
      <c r="A2258" s="21"/>
      <c r="B2258" s="2"/>
      <c r="C2258" s="2"/>
      <c r="D2258" s="2"/>
    </row>
    <row r="2259" spans="1:4" ht="12.75" customHeight="1" x14ac:dyDescent="0.2">
      <c r="A2259" s="21"/>
      <c r="B2259" s="2"/>
      <c r="C2259" s="2"/>
      <c r="D2259" s="2"/>
    </row>
    <row r="2260" spans="1:4" ht="12.75" customHeight="1" x14ac:dyDescent="0.2">
      <c r="A2260" s="21"/>
      <c r="B2260" s="2"/>
      <c r="C2260" s="2"/>
      <c r="D2260" s="2"/>
    </row>
    <row r="2261" spans="1:4" ht="12.75" customHeight="1" x14ac:dyDescent="0.2">
      <c r="A2261" s="21"/>
      <c r="B2261" s="2"/>
      <c r="C2261" s="2"/>
      <c r="D2261" s="2"/>
    </row>
    <row r="2262" spans="1:4" ht="12.75" customHeight="1" x14ac:dyDescent="0.2">
      <c r="A2262" s="5"/>
      <c r="B2262" s="2"/>
      <c r="C2262" s="2"/>
      <c r="D2262" s="2"/>
    </row>
    <row r="2263" spans="1:4" ht="12.75" customHeight="1" x14ac:dyDescent="0.2">
      <c r="A2263" s="22" t="str">
        <f>HYPERLINK("javascript:void(0)","kentacél mokaszin")</f>
        <v>kentacél mokaszin</v>
      </c>
      <c r="B2263" s="21"/>
      <c r="C2263" s="21"/>
      <c r="D2263" s="21"/>
    </row>
    <row r="2264" spans="1:4" ht="12.75" customHeight="1" x14ac:dyDescent="0.2">
      <c r="A2264" s="20"/>
      <c r="B2264" s="2"/>
      <c r="C2264" s="2"/>
      <c r="D2264" s="2"/>
    </row>
    <row r="2265" spans="1:4" ht="12.75" customHeight="1" x14ac:dyDescent="0.2">
      <c r="A2265" s="21"/>
      <c r="B2265" s="3" t="s">
        <v>0</v>
      </c>
      <c r="C2265" s="20" t="s">
        <v>862</v>
      </c>
      <c r="D2265" s="21"/>
    </row>
    <row r="2266" spans="1:4" ht="12.75" customHeight="1" x14ac:dyDescent="0.2">
      <c r="A2266" s="21"/>
      <c r="B2266" s="3" t="s">
        <v>2</v>
      </c>
      <c r="C2266" s="20"/>
      <c r="D2266" s="21"/>
    </row>
    <row r="2267" spans="1:4" ht="12.75" customHeight="1" x14ac:dyDescent="0.2">
      <c r="A2267" s="21"/>
      <c r="B2267" s="3" t="s">
        <v>1840</v>
      </c>
      <c r="C2267" s="20" t="s">
        <v>2109</v>
      </c>
      <c r="D2267" s="21"/>
    </row>
    <row r="2268" spans="1:4" ht="12.75" customHeight="1" x14ac:dyDescent="0.2">
      <c r="A2268" s="21"/>
      <c r="B2268" s="3" t="s">
        <v>9</v>
      </c>
      <c r="C2268" s="20" t="s">
        <v>2110</v>
      </c>
      <c r="D2268" s="21"/>
    </row>
    <row r="2269" spans="1:4" ht="12.75" customHeight="1" x14ac:dyDescent="0.2">
      <c r="A2269" s="21"/>
      <c r="B2269" s="3" t="s">
        <v>11</v>
      </c>
      <c r="C2269" s="20" t="s">
        <v>1528</v>
      </c>
      <c r="D2269" s="21"/>
    </row>
    <row r="2270" spans="1:4" ht="12.75" customHeight="1" x14ac:dyDescent="0.2">
      <c r="A2270" s="21"/>
      <c r="B2270" s="3" t="s">
        <v>16</v>
      </c>
      <c r="C2270" s="20"/>
      <c r="D2270" s="21"/>
    </row>
    <row r="2271" spans="1:4" ht="12.75" customHeight="1" x14ac:dyDescent="0.2">
      <c r="A2271" s="21"/>
      <c r="B2271" s="3" t="s">
        <v>17</v>
      </c>
      <c r="C2271" s="20" t="s">
        <v>19</v>
      </c>
      <c r="D2271" s="21"/>
    </row>
    <row r="2272" spans="1:4" ht="12.75" customHeight="1" x14ac:dyDescent="0.2">
      <c r="A2272" s="21"/>
      <c r="B2272" s="20" t="s">
        <v>18</v>
      </c>
      <c r="C2272" s="4" t="s">
        <v>68</v>
      </c>
      <c r="D2272" s="6" t="str">
        <f>HYPERLINK("javascript:void(0)","managöb")</f>
        <v>managöb</v>
      </c>
    </row>
    <row r="2273" spans="1:4" ht="12.75" customHeight="1" x14ac:dyDescent="0.2">
      <c r="A2273" s="21"/>
      <c r="B2273" s="21"/>
      <c r="C2273" s="4" t="s">
        <v>98</v>
      </c>
      <c r="D2273" s="6" t="str">
        <f>HYPERLINK("javascript:void(0)","térszelet")</f>
        <v>térszelet</v>
      </c>
    </row>
    <row r="2274" spans="1:4" ht="12.75" customHeight="1" x14ac:dyDescent="0.2">
      <c r="A2274" s="21"/>
      <c r="B2274" s="21"/>
      <c r="C2274" s="4" t="s">
        <v>290</v>
      </c>
      <c r="D2274" s="6" t="str">
        <f>HYPERLINK("javascript:void(0)","kígyóborda")</f>
        <v>kígyóborda</v>
      </c>
    </row>
    <row r="2275" spans="1:4" ht="12.75" customHeight="1" x14ac:dyDescent="0.2">
      <c r="A2275" s="21"/>
      <c r="B2275" s="2"/>
      <c r="C2275" s="2"/>
      <c r="D2275" s="2"/>
    </row>
    <row r="2276" spans="1:4" ht="12.75" customHeight="1" x14ac:dyDescent="0.2">
      <c r="A2276" s="21"/>
      <c r="B2276" s="2"/>
      <c r="C2276" s="2"/>
      <c r="D2276" s="2"/>
    </row>
    <row r="2277" spans="1:4" ht="12.75" customHeight="1" x14ac:dyDescent="0.2">
      <c r="A2277" s="21"/>
      <c r="B2277" s="2"/>
      <c r="C2277" s="2"/>
      <c r="D2277" s="2"/>
    </row>
    <row r="2278" spans="1:4" ht="12.75" customHeight="1" x14ac:dyDescent="0.2">
      <c r="A2278" s="21"/>
      <c r="B2278" s="2"/>
      <c r="C2278" s="2"/>
      <c r="D2278" s="2"/>
    </row>
    <row r="2279" spans="1:4" ht="12.75" customHeight="1" x14ac:dyDescent="0.2">
      <c r="A2279" s="5"/>
      <c r="B2279" s="2"/>
      <c r="C2279" s="2"/>
      <c r="D2279" s="2"/>
    </row>
    <row r="2280" spans="1:4" ht="12.75" customHeight="1" x14ac:dyDescent="0.2">
      <c r="A2280" s="22" t="str">
        <f>HYPERLINK("javascript:void(0)","helioacél antigrav csizma")</f>
        <v>helioacél antigrav csizma</v>
      </c>
      <c r="B2280" s="21"/>
      <c r="C2280" s="21"/>
      <c r="D2280" s="21"/>
    </row>
    <row r="2281" spans="1:4" ht="12.75" customHeight="1" x14ac:dyDescent="0.2">
      <c r="A2281" s="20"/>
      <c r="B2281" s="2"/>
      <c r="C2281" s="2"/>
      <c r="D2281" s="2"/>
    </row>
    <row r="2282" spans="1:4" ht="12.75" customHeight="1" x14ac:dyDescent="0.2">
      <c r="A2282" s="21"/>
      <c r="B2282" s="3" t="s">
        <v>0</v>
      </c>
      <c r="C2282" s="20" t="s">
        <v>862</v>
      </c>
      <c r="D2282" s="21"/>
    </row>
    <row r="2283" spans="1:4" ht="12.75" customHeight="1" x14ac:dyDescent="0.2">
      <c r="A2283" s="21"/>
      <c r="B2283" s="3" t="s">
        <v>2</v>
      </c>
      <c r="C2283" s="20"/>
      <c r="D2283" s="21"/>
    </row>
    <row r="2284" spans="1:4" ht="12.75" customHeight="1" x14ac:dyDescent="0.2">
      <c r="A2284" s="21"/>
      <c r="B2284" s="3" t="s">
        <v>1840</v>
      </c>
      <c r="C2284" s="20" t="s">
        <v>2109</v>
      </c>
      <c r="D2284" s="21"/>
    </row>
    <row r="2285" spans="1:4" ht="12.75" customHeight="1" x14ac:dyDescent="0.2">
      <c r="A2285" s="21"/>
      <c r="B2285" s="3" t="s">
        <v>9</v>
      </c>
      <c r="C2285" s="20" t="s">
        <v>626</v>
      </c>
      <c r="D2285" s="21"/>
    </row>
    <row r="2286" spans="1:4" ht="12.75" customHeight="1" x14ac:dyDescent="0.2">
      <c r="A2286" s="21"/>
      <c r="B2286" s="3" t="s">
        <v>11</v>
      </c>
      <c r="C2286" s="20" t="s">
        <v>23</v>
      </c>
      <c r="D2286" s="21"/>
    </row>
    <row r="2287" spans="1:4" ht="12.75" customHeight="1" x14ac:dyDescent="0.2">
      <c r="A2287" s="21"/>
      <c r="B2287" s="3" t="s">
        <v>16</v>
      </c>
      <c r="C2287" s="20"/>
      <c r="D2287" s="21"/>
    </row>
    <row r="2288" spans="1:4" ht="12.75" customHeight="1" x14ac:dyDescent="0.2">
      <c r="A2288" s="21"/>
      <c r="B2288" s="3" t="s">
        <v>17</v>
      </c>
      <c r="C2288" s="20" t="s">
        <v>19</v>
      </c>
      <c r="D2288" s="21"/>
    </row>
    <row r="2289" spans="1:4" ht="25.5" customHeight="1" x14ac:dyDescent="0.2">
      <c r="A2289" s="21"/>
      <c r="B2289" s="20" t="s">
        <v>18</v>
      </c>
      <c r="C2289" s="4" t="s">
        <v>44</v>
      </c>
      <c r="D2289" s="6" t="str">
        <f>HYPERLINK("javascript:void(0)","magnetoacél antigrav csizma")</f>
        <v>magnetoacél antigrav csizma</v>
      </c>
    </row>
    <row r="2290" spans="1:4" ht="12.75" customHeight="1" x14ac:dyDescent="0.2">
      <c r="A2290" s="21"/>
      <c r="B2290" s="21"/>
      <c r="C2290" s="4" t="s">
        <v>786</v>
      </c>
      <c r="D2290" s="6" t="str">
        <f>HYPERLINK("javascript:void(0)","iránytű")</f>
        <v>iránytű</v>
      </c>
    </row>
    <row r="2291" spans="1:4" ht="12.75" customHeight="1" x14ac:dyDescent="0.2">
      <c r="A2291" s="21"/>
      <c r="B2291" s="21"/>
      <c r="C2291" s="4" t="s">
        <v>894</v>
      </c>
      <c r="D2291" s="6" t="str">
        <f>HYPERLINK("javascript:void(0)","kígyóborda")</f>
        <v>kígyóborda</v>
      </c>
    </row>
    <row r="2292" spans="1:4" ht="12.75" customHeight="1" x14ac:dyDescent="0.2">
      <c r="A2292" s="21"/>
      <c r="B2292" s="2"/>
      <c r="C2292" s="2"/>
      <c r="D2292" s="2"/>
    </row>
    <row r="2293" spans="1:4" ht="12.75" customHeight="1" x14ac:dyDescent="0.2">
      <c r="A2293" s="21"/>
      <c r="B2293" s="2"/>
      <c r="C2293" s="2"/>
      <c r="D2293" s="2"/>
    </row>
    <row r="2294" spans="1:4" ht="12.75" customHeight="1" x14ac:dyDescent="0.2">
      <c r="A2294" s="21"/>
      <c r="B2294" s="2"/>
      <c r="C2294" s="2"/>
      <c r="D2294" s="2"/>
    </row>
    <row r="2295" spans="1:4" ht="12.75" customHeight="1" x14ac:dyDescent="0.2">
      <c r="A2295" s="21"/>
      <c r="B2295" s="2"/>
      <c r="C2295" s="2"/>
      <c r="D2295" s="2"/>
    </row>
    <row r="2296" spans="1:4" ht="12.75" customHeight="1" x14ac:dyDescent="0.2">
      <c r="A2296" s="5"/>
      <c r="B2296" s="2"/>
      <c r="C2296" s="2"/>
      <c r="D2296" s="2"/>
    </row>
    <row r="2297" spans="1:4" ht="12.75" customHeight="1" x14ac:dyDescent="0.2">
      <c r="A2297" s="22" t="str">
        <f>HYPERLINK("javascript:void(0)","kompózium mokaszin")</f>
        <v>kompózium mokaszin</v>
      </c>
      <c r="B2297" s="21"/>
      <c r="C2297" s="21"/>
      <c r="D2297" s="21"/>
    </row>
    <row r="2298" spans="1:4" ht="12.75" customHeight="1" x14ac:dyDescent="0.2">
      <c r="A2298" s="20"/>
      <c r="B2298" s="2"/>
      <c r="C2298" s="2"/>
      <c r="D2298" s="2"/>
    </row>
    <row r="2299" spans="1:4" ht="12.75" customHeight="1" x14ac:dyDescent="0.2">
      <c r="A2299" s="21"/>
      <c r="B2299" s="3" t="s">
        <v>0</v>
      </c>
      <c r="C2299" s="20" t="s">
        <v>874</v>
      </c>
      <c r="D2299" s="21"/>
    </row>
    <row r="2300" spans="1:4" ht="12.75" customHeight="1" x14ac:dyDescent="0.2">
      <c r="A2300" s="21"/>
      <c r="B2300" s="3" t="s">
        <v>2</v>
      </c>
      <c r="C2300" s="20"/>
      <c r="D2300" s="21"/>
    </row>
    <row r="2301" spans="1:4" ht="12.75" customHeight="1" x14ac:dyDescent="0.2">
      <c r="A2301" s="21"/>
      <c r="B2301" s="3" t="s">
        <v>1840</v>
      </c>
      <c r="C2301" s="20" t="s">
        <v>493</v>
      </c>
      <c r="D2301" s="21"/>
    </row>
    <row r="2302" spans="1:4" ht="12.75" customHeight="1" x14ac:dyDescent="0.2">
      <c r="A2302" s="21"/>
      <c r="B2302" s="3" t="s">
        <v>9</v>
      </c>
      <c r="C2302" s="20" t="s">
        <v>792</v>
      </c>
      <c r="D2302" s="21"/>
    </row>
    <row r="2303" spans="1:4" ht="12.75" customHeight="1" x14ac:dyDescent="0.2">
      <c r="A2303" s="21"/>
      <c r="B2303" s="3" t="s">
        <v>11</v>
      </c>
      <c r="C2303" s="20" t="s">
        <v>1451</v>
      </c>
      <c r="D2303" s="21"/>
    </row>
    <row r="2304" spans="1:4" ht="12.75" customHeight="1" x14ac:dyDescent="0.2">
      <c r="A2304" s="21"/>
      <c r="B2304" s="3" t="s">
        <v>16</v>
      </c>
      <c r="C2304" s="20"/>
      <c r="D2304" s="21"/>
    </row>
    <row r="2305" spans="1:4" ht="12.75" customHeight="1" x14ac:dyDescent="0.2">
      <c r="A2305" s="21"/>
      <c r="B2305" s="3" t="s">
        <v>17</v>
      </c>
      <c r="C2305" s="20" t="s">
        <v>19</v>
      </c>
      <c r="D2305" s="21"/>
    </row>
    <row r="2306" spans="1:4" ht="25.5" customHeight="1" x14ac:dyDescent="0.2">
      <c r="A2306" s="21"/>
      <c r="B2306" s="20" t="s">
        <v>18</v>
      </c>
      <c r="C2306" s="4" t="s">
        <v>44</v>
      </c>
      <c r="D2306" s="6" t="str">
        <f>HYPERLINK("javascript:void(0)","démonacél mokaszin")</f>
        <v>démonacél mokaszin</v>
      </c>
    </row>
    <row r="2307" spans="1:4" ht="12.75" customHeight="1" x14ac:dyDescent="0.2">
      <c r="A2307" s="21"/>
      <c r="B2307" s="21"/>
      <c r="C2307" s="4" t="s">
        <v>44</v>
      </c>
      <c r="D2307" s="6" t="str">
        <f>HYPERLINK("javascript:void(0)","kentacél mokaszin")</f>
        <v>kentacél mokaszin</v>
      </c>
    </row>
    <row r="2308" spans="1:4" ht="12.75" customHeight="1" x14ac:dyDescent="0.2">
      <c r="A2308" s="21"/>
      <c r="B2308" s="21"/>
      <c r="C2308" s="4" t="s">
        <v>44</v>
      </c>
      <c r="D2308" s="6" t="str">
        <f>HYPERLINK("javascript:void(0)","kompózium fűző")</f>
        <v>kompózium fűző</v>
      </c>
    </row>
    <row r="2309" spans="1:4" ht="12.75" customHeight="1" x14ac:dyDescent="0.2">
      <c r="A2309" s="21"/>
      <c r="B2309" s="2"/>
      <c r="C2309" s="2"/>
      <c r="D2309" s="2"/>
    </row>
    <row r="2310" spans="1:4" ht="12.75" customHeight="1" x14ac:dyDescent="0.2">
      <c r="A2310" s="21"/>
      <c r="B2310" s="2"/>
      <c r="C2310" s="2"/>
      <c r="D2310" s="2"/>
    </row>
    <row r="2311" spans="1:4" ht="12.75" customHeight="1" x14ac:dyDescent="0.2">
      <c r="A2311" s="21"/>
      <c r="B2311" s="2"/>
      <c r="C2311" s="2"/>
      <c r="D2311" s="2"/>
    </row>
    <row r="2312" spans="1:4" ht="12.75" customHeight="1" x14ac:dyDescent="0.2">
      <c r="A2312" s="21"/>
      <c r="B2312" s="2"/>
      <c r="C2312" s="2"/>
      <c r="D2312" s="2"/>
    </row>
    <row r="2313" spans="1:4" ht="12.75" customHeight="1" x14ac:dyDescent="0.2">
      <c r="A2313" s="5"/>
      <c r="B2313" s="2"/>
      <c r="C2313" s="2"/>
      <c r="D2313" s="2"/>
    </row>
    <row r="2314" spans="1:4" ht="12.75" customHeight="1" x14ac:dyDescent="0.2">
      <c r="A2314" s="22" t="str">
        <f>HYPERLINK("javascript:void(0)","kompózium fűző")</f>
        <v>kompózium fűző</v>
      </c>
      <c r="B2314" s="21"/>
      <c r="C2314" s="21"/>
      <c r="D2314" s="21"/>
    </row>
    <row r="2315" spans="1:4" ht="12.75" customHeight="1" x14ac:dyDescent="0.2">
      <c r="A2315" s="20"/>
      <c r="B2315" s="2"/>
      <c r="C2315" s="2"/>
      <c r="D2315" s="2"/>
    </row>
    <row r="2316" spans="1:4" ht="12.75" customHeight="1" x14ac:dyDescent="0.2">
      <c r="A2316" s="21"/>
      <c r="B2316" s="3" t="s">
        <v>0</v>
      </c>
      <c r="C2316" s="20" t="s">
        <v>874</v>
      </c>
      <c r="D2316" s="21"/>
    </row>
    <row r="2317" spans="1:4" ht="12.75" customHeight="1" x14ac:dyDescent="0.2">
      <c r="A2317" s="21"/>
      <c r="B2317" s="3" t="s">
        <v>2</v>
      </c>
      <c r="C2317" s="20"/>
      <c r="D2317" s="21"/>
    </row>
    <row r="2318" spans="1:4" ht="12.75" customHeight="1" x14ac:dyDescent="0.2">
      <c r="A2318" s="21"/>
      <c r="B2318" s="3" t="s">
        <v>1840</v>
      </c>
      <c r="C2318" s="20" t="s">
        <v>417</v>
      </c>
      <c r="D2318" s="21"/>
    </row>
    <row r="2319" spans="1:4" ht="12.75" customHeight="1" x14ac:dyDescent="0.2">
      <c r="A2319" s="21"/>
      <c r="B2319" s="3" t="s">
        <v>9</v>
      </c>
      <c r="C2319" s="20" t="s">
        <v>36</v>
      </c>
      <c r="D2319" s="21"/>
    </row>
    <row r="2320" spans="1:4" ht="12.75" customHeight="1" x14ac:dyDescent="0.2">
      <c r="A2320" s="21"/>
      <c r="B2320" s="3" t="s">
        <v>11</v>
      </c>
      <c r="C2320" s="20" t="s">
        <v>2114</v>
      </c>
      <c r="D2320" s="21"/>
    </row>
    <row r="2321" spans="1:4" ht="12.75" customHeight="1" x14ac:dyDescent="0.2">
      <c r="A2321" s="21"/>
      <c r="B2321" s="3" t="s">
        <v>16</v>
      </c>
      <c r="C2321" s="20"/>
      <c r="D2321" s="21"/>
    </row>
    <row r="2322" spans="1:4" ht="12.75" customHeight="1" x14ac:dyDescent="0.2">
      <c r="A2322" s="21"/>
      <c r="B2322" s="3" t="s">
        <v>17</v>
      </c>
      <c r="C2322" s="20" t="s">
        <v>19</v>
      </c>
      <c r="D2322" s="21"/>
    </row>
    <row r="2323" spans="1:4" ht="12.75" customHeight="1" x14ac:dyDescent="0.2">
      <c r="A2323" s="21"/>
      <c r="B2323" s="20" t="s">
        <v>18</v>
      </c>
      <c r="C2323" s="4" t="s">
        <v>98</v>
      </c>
      <c r="D2323" s="6" t="str">
        <f>HYPERLINK("javascript:void(0)","kompózium")</f>
        <v>kompózium</v>
      </c>
    </row>
    <row r="2324" spans="1:4" ht="12.75" customHeight="1" x14ac:dyDescent="0.2">
      <c r="A2324" s="21"/>
      <c r="B2324" s="21"/>
      <c r="C2324" s="4" t="s">
        <v>68</v>
      </c>
      <c r="D2324" s="6" t="str">
        <f>HYPERLINK("javascript:void(0)","ejtőernyő")</f>
        <v>ejtőernyő</v>
      </c>
    </row>
    <row r="2325" spans="1:4" ht="12.75" customHeight="1" x14ac:dyDescent="0.2">
      <c r="A2325" s="21"/>
      <c r="B2325" s="21"/>
      <c r="C2325" s="4" t="s">
        <v>67</v>
      </c>
      <c r="D2325" s="6" t="str">
        <f>HYPERLINK("javascript:void(0)","zanzahúr")</f>
        <v>zanzahúr</v>
      </c>
    </row>
    <row r="2326" spans="1:4" ht="12.75" customHeight="1" x14ac:dyDescent="0.2">
      <c r="A2326" s="21"/>
      <c r="B2326" s="2"/>
      <c r="C2326" s="2"/>
      <c r="D2326" s="2"/>
    </row>
    <row r="2327" spans="1:4" ht="12.75" customHeight="1" x14ac:dyDescent="0.2">
      <c r="A2327" s="21"/>
      <c r="B2327" s="2"/>
      <c r="C2327" s="2"/>
      <c r="D2327" s="2"/>
    </row>
    <row r="2328" spans="1:4" ht="12.75" customHeight="1" x14ac:dyDescent="0.2">
      <c r="A2328" s="21"/>
      <c r="B2328" s="2"/>
      <c r="C2328" s="2"/>
      <c r="D2328" s="2"/>
    </row>
    <row r="2329" spans="1:4" ht="12.75" customHeight="1" x14ac:dyDescent="0.2">
      <c r="A2329" s="21"/>
      <c r="B2329" s="2"/>
      <c r="C2329" s="2"/>
      <c r="D2329" s="2"/>
    </row>
    <row r="2330" spans="1:4" ht="12.75" customHeight="1" x14ac:dyDescent="0.2">
      <c r="A2330" s="5"/>
      <c r="B2330" s="2"/>
      <c r="C2330" s="2"/>
      <c r="D2330" s="2"/>
    </row>
    <row r="2331" spans="1:4" ht="12.75" customHeight="1" x14ac:dyDescent="0.2">
      <c r="A2331" s="22" t="str">
        <f>HYPERLINK("javascript:void(0)","fotoacél habtipró")</f>
        <v>fotoacél habtipró</v>
      </c>
      <c r="B2331" s="21"/>
      <c r="C2331" s="21"/>
      <c r="D2331" s="21"/>
    </row>
    <row r="2332" spans="1:4" ht="12.75" customHeight="1" x14ac:dyDescent="0.2">
      <c r="A2332" s="20"/>
      <c r="B2332" s="2"/>
      <c r="C2332" s="2"/>
      <c r="D2332" s="2"/>
    </row>
    <row r="2333" spans="1:4" ht="12.75" customHeight="1" x14ac:dyDescent="0.2">
      <c r="A2333" s="21"/>
      <c r="B2333" s="3" t="s">
        <v>0</v>
      </c>
      <c r="C2333" s="20" t="s">
        <v>883</v>
      </c>
      <c r="D2333" s="21"/>
    </row>
    <row r="2334" spans="1:4" ht="12.75" customHeight="1" x14ac:dyDescent="0.2">
      <c r="A2334" s="21"/>
      <c r="B2334" s="3" t="s">
        <v>2</v>
      </c>
      <c r="C2334" s="20"/>
      <c r="D2334" s="21"/>
    </row>
    <row r="2335" spans="1:4" ht="12.75" customHeight="1" x14ac:dyDescent="0.2">
      <c r="A2335" s="21"/>
      <c r="B2335" s="3" t="s">
        <v>1840</v>
      </c>
      <c r="C2335" s="20" t="s">
        <v>2117</v>
      </c>
      <c r="D2335" s="21"/>
    </row>
    <row r="2336" spans="1:4" ht="12.75" customHeight="1" x14ac:dyDescent="0.2">
      <c r="A2336" s="21"/>
      <c r="B2336" s="3" t="s">
        <v>9</v>
      </c>
      <c r="C2336" s="20" t="s">
        <v>2118</v>
      </c>
      <c r="D2336" s="21"/>
    </row>
    <row r="2337" spans="1:4" ht="12.75" customHeight="1" x14ac:dyDescent="0.2">
      <c r="A2337" s="21"/>
      <c r="B2337" s="3" t="s">
        <v>11</v>
      </c>
      <c r="C2337" s="20" t="s">
        <v>1628</v>
      </c>
      <c r="D2337" s="21"/>
    </row>
    <row r="2338" spans="1:4" ht="12.75" customHeight="1" x14ac:dyDescent="0.2">
      <c r="A2338" s="21"/>
      <c r="B2338" s="3" t="s">
        <v>16</v>
      </c>
      <c r="C2338" s="20"/>
      <c r="D2338" s="21"/>
    </row>
    <row r="2339" spans="1:4" ht="12.75" customHeight="1" x14ac:dyDescent="0.2">
      <c r="A2339" s="21"/>
      <c r="B2339" s="3" t="s">
        <v>17</v>
      </c>
      <c r="C2339" s="20" t="s">
        <v>19</v>
      </c>
      <c r="D2339" s="21"/>
    </row>
    <row r="2340" spans="1:4" ht="12.75" customHeight="1" x14ac:dyDescent="0.2">
      <c r="A2340" s="21"/>
      <c r="B2340" s="20" t="s">
        <v>18</v>
      </c>
      <c r="C2340" s="4" t="s">
        <v>68</v>
      </c>
      <c r="D2340" s="6" t="str">
        <f>HYPERLINK("javascript:void(0)","habléc")</f>
        <v>habléc</v>
      </c>
    </row>
    <row r="2341" spans="1:4" ht="12.75" customHeight="1" x14ac:dyDescent="0.2">
      <c r="A2341" s="21"/>
      <c r="B2341" s="21"/>
      <c r="C2341" s="4" t="s">
        <v>398</v>
      </c>
      <c r="D2341" s="6" t="str">
        <f>HYPERLINK("javascript:void(0)","ördögpihe")</f>
        <v>ördögpihe</v>
      </c>
    </row>
    <row r="2342" spans="1:4" ht="25.5" customHeight="1" x14ac:dyDescent="0.2">
      <c r="A2342" s="21"/>
      <c r="B2342" s="21"/>
      <c r="C2342" s="4" t="s">
        <v>44</v>
      </c>
      <c r="D2342" s="6" t="str">
        <f>HYPERLINK("javascript:void(0)","kompózium mokaszin")</f>
        <v>kompózium mokaszin</v>
      </c>
    </row>
    <row r="2343" spans="1:4" ht="12.75" customHeight="1" x14ac:dyDescent="0.2">
      <c r="A2343" s="21"/>
      <c r="B2343" s="2"/>
      <c r="C2343" s="2"/>
      <c r="D2343" s="2"/>
    </row>
    <row r="2344" spans="1:4" ht="12.75" customHeight="1" x14ac:dyDescent="0.2">
      <c r="A2344" s="21"/>
      <c r="B2344" s="2"/>
      <c r="C2344" s="2"/>
      <c r="D2344" s="2"/>
    </row>
    <row r="2345" spans="1:4" ht="12.75" customHeight="1" x14ac:dyDescent="0.2">
      <c r="A2345" s="21"/>
      <c r="B2345" s="2"/>
      <c r="C2345" s="2"/>
      <c r="D2345" s="2"/>
    </row>
    <row r="2346" spans="1:4" ht="12.75" customHeight="1" x14ac:dyDescent="0.2">
      <c r="A2346" s="21"/>
      <c r="B2346" s="2"/>
      <c r="C2346" s="2"/>
      <c r="D2346" s="2"/>
    </row>
    <row r="2347" spans="1:4" ht="12.75" customHeight="1" x14ac:dyDescent="0.2">
      <c r="A2347" s="5"/>
      <c r="B2347" s="2"/>
      <c r="C2347" s="2"/>
      <c r="D2347" s="2"/>
    </row>
    <row r="2348" spans="1:4" ht="12.75" customHeight="1" x14ac:dyDescent="0.2">
      <c r="A2348" s="22" t="str">
        <f>HYPERLINK("javascript:void(0)","fotoacél mokaszin")</f>
        <v>fotoacél mokaszin</v>
      </c>
      <c r="B2348" s="21"/>
      <c r="C2348" s="21"/>
      <c r="D2348" s="21"/>
    </row>
    <row r="2349" spans="1:4" ht="12.75" customHeight="1" x14ac:dyDescent="0.2">
      <c r="A2349" s="20"/>
      <c r="B2349" s="2"/>
      <c r="C2349" s="2"/>
      <c r="D2349" s="2"/>
    </row>
    <row r="2350" spans="1:4" ht="12.75" customHeight="1" x14ac:dyDescent="0.2">
      <c r="A2350" s="21"/>
      <c r="B2350" s="3" t="s">
        <v>0</v>
      </c>
      <c r="C2350" s="20" t="s">
        <v>896</v>
      </c>
      <c r="D2350" s="21"/>
    </row>
    <row r="2351" spans="1:4" ht="12.75" customHeight="1" x14ac:dyDescent="0.2">
      <c r="A2351" s="21"/>
      <c r="B2351" s="3" t="s">
        <v>2</v>
      </c>
      <c r="C2351" s="20"/>
      <c r="D2351" s="21"/>
    </row>
    <row r="2352" spans="1:4" ht="12.75" customHeight="1" x14ac:dyDescent="0.2">
      <c r="A2352" s="21"/>
      <c r="B2352" s="3" t="s">
        <v>1840</v>
      </c>
      <c r="C2352" s="20" t="s">
        <v>1800</v>
      </c>
      <c r="D2352" s="21"/>
    </row>
    <row r="2353" spans="1:4" ht="12.75" customHeight="1" x14ac:dyDescent="0.2">
      <c r="A2353" s="21"/>
      <c r="B2353" s="3" t="s">
        <v>9</v>
      </c>
      <c r="C2353" s="20" t="s">
        <v>2119</v>
      </c>
      <c r="D2353" s="21"/>
    </row>
    <row r="2354" spans="1:4" ht="12.75" customHeight="1" x14ac:dyDescent="0.2">
      <c r="A2354" s="21"/>
      <c r="B2354" s="3" t="s">
        <v>11</v>
      </c>
      <c r="C2354" s="20" t="s">
        <v>1459</v>
      </c>
      <c r="D2354" s="21"/>
    </row>
    <row r="2355" spans="1:4" ht="12.75" customHeight="1" x14ac:dyDescent="0.2">
      <c r="A2355" s="21"/>
      <c r="B2355" s="3" t="s">
        <v>16</v>
      </c>
      <c r="C2355" s="20"/>
      <c r="D2355" s="21"/>
    </row>
    <row r="2356" spans="1:4" ht="12.75" customHeight="1" x14ac:dyDescent="0.2">
      <c r="A2356" s="21"/>
      <c r="B2356" s="3" t="s">
        <v>17</v>
      </c>
      <c r="C2356" s="20" t="s">
        <v>19</v>
      </c>
      <c r="D2356" s="21"/>
    </row>
    <row r="2357" spans="1:4" ht="12.75" customHeight="1" x14ac:dyDescent="0.2">
      <c r="A2357" s="21"/>
      <c r="B2357" s="20" t="s">
        <v>18</v>
      </c>
      <c r="C2357" s="4" t="s">
        <v>68</v>
      </c>
      <c r="D2357" s="6" t="str">
        <f>HYPERLINK("javascript:void(0)","molekula")</f>
        <v>molekula</v>
      </c>
    </row>
    <row r="2358" spans="1:4" ht="12.75" customHeight="1" x14ac:dyDescent="0.2">
      <c r="A2358" s="21"/>
      <c r="B2358" s="21"/>
      <c r="C2358" s="4" t="s">
        <v>132</v>
      </c>
      <c r="D2358" s="6" t="str">
        <f>HYPERLINK("javascript:void(0)","csapdaszeg")</f>
        <v>csapdaszeg</v>
      </c>
    </row>
    <row r="2359" spans="1:4" ht="12.75" customHeight="1" x14ac:dyDescent="0.2">
      <c r="A2359" s="21"/>
      <c r="B2359" s="21"/>
      <c r="C2359" s="4" t="s">
        <v>265</v>
      </c>
      <c r="D2359" s="6" t="str">
        <f>HYPERLINK("javascript:void(0)","managöb")</f>
        <v>managöb</v>
      </c>
    </row>
    <row r="2360" spans="1:4" ht="12.75" customHeight="1" x14ac:dyDescent="0.2">
      <c r="A2360" s="21"/>
      <c r="B2360" s="2"/>
      <c r="C2360" s="2"/>
      <c r="D2360" s="2"/>
    </row>
    <row r="2361" spans="1:4" ht="12.75" customHeight="1" x14ac:dyDescent="0.2">
      <c r="A2361" s="21"/>
      <c r="B2361" s="2"/>
      <c r="C2361" s="2"/>
      <c r="D2361" s="2"/>
    </row>
    <row r="2362" spans="1:4" ht="12.75" customHeight="1" x14ac:dyDescent="0.2">
      <c r="A2362" s="21"/>
      <c r="B2362" s="2"/>
      <c r="C2362" s="2"/>
      <c r="D2362" s="2"/>
    </row>
    <row r="2363" spans="1:4" ht="12.75" customHeight="1" x14ac:dyDescent="0.2">
      <c r="A2363" s="21"/>
      <c r="B2363" s="2"/>
      <c r="C2363" s="2"/>
      <c r="D2363" s="2"/>
    </row>
    <row r="2364" spans="1:4" ht="12.75" customHeight="1" x14ac:dyDescent="0.2">
      <c r="A2364" s="5"/>
      <c r="B2364" s="2"/>
      <c r="C2364" s="2"/>
      <c r="D2364" s="2"/>
    </row>
    <row r="2365" spans="1:4" ht="12.75" customHeight="1" x14ac:dyDescent="0.2">
      <c r="A2365" s="22" t="str">
        <f>HYPERLINK("javascript:void(0)","csúszórámás antigrav csizma")</f>
        <v>csúszórámás antigrav csizma</v>
      </c>
      <c r="B2365" s="21"/>
      <c r="C2365" s="21"/>
      <c r="D2365" s="21"/>
    </row>
    <row r="2366" spans="1:4" ht="12.75" customHeight="1" x14ac:dyDescent="0.2">
      <c r="A2366" s="20"/>
      <c r="B2366" s="2"/>
      <c r="C2366" s="2"/>
      <c r="D2366" s="2"/>
    </row>
    <row r="2367" spans="1:4" ht="12.75" customHeight="1" x14ac:dyDescent="0.2">
      <c r="A2367" s="21"/>
      <c r="B2367" s="3" t="s">
        <v>0</v>
      </c>
      <c r="C2367" s="20" t="s">
        <v>896</v>
      </c>
      <c r="D2367" s="21"/>
    </row>
    <row r="2368" spans="1:4" ht="12.75" customHeight="1" x14ac:dyDescent="0.2">
      <c r="A2368" s="21"/>
      <c r="B2368" s="3" t="s">
        <v>2</v>
      </c>
      <c r="C2368" s="20"/>
      <c r="D2368" s="21"/>
    </row>
    <row r="2369" spans="1:4" ht="12.75" customHeight="1" x14ac:dyDescent="0.2">
      <c r="A2369" s="21"/>
      <c r="B2369" s="3" t="s">
        <v>1840</v>
      </c>
      <c r="C2369" s="20" t="s">
        <v>1800</v>
      </c>
      <c r="D2369" s="21"/>
    </row>
    <row r="2370" spans="1:4" ht="12.75" customHeight="1" x14ac:dyDescent="0.2">
      <c r="A2370" s="21"/>
      <c r="B2370" s="3" t="s">
        <v>9</v>
      </c>
      <c r="C2370" s="20" t="s">
        <v>626</v>
      </c>
      <c r="D2370" s="21"/>
    </row>
    <row r="2371" spans="1:4" ht="12.75" customHeight="1" x14ac:dyDescent="0.2">
      <c r="A2371" s="21"/>
      <c r="B2371" s="3" t="s">
        <v>11</v>
      </c>
      <c r="C2371" s="20" t="s">
        <v>23</v>
      </c>
      <c r="D2371" s="21"/>
    </row>
    <row r="2372" spans="1:4" ht="12.75" customHeight="1" x14ac:dyDescent="0.2">
      <c r="A2372" s="21"/>
      <c r="B2372" s="3" t="s">
        <v>16</v>
      </c>
      <c r="C2372" s="20"/>
      <c r="D2372" s="21"/>
    </row>
    <row r="2373" spans="1:4" ht="12.75" customHeight="1" x14ac:dyDescent="0.2">
      <c r="A2373" s="21"/>
      <c r="B2373" s="3" t="s">
        <v>17</v>
      </c>
      <c r="C2373" s="20" t="s">
        <v>19</v>
      </c>
      <c r="D2373" s="21"/>
    </row>
    <row r="2374" spans="1:4" ht="25.5" customHeight="1" x14ac:dyDescent="0.2">
      <c r="A2374" s="21"/>
      <c r="B2374" s="20" t="s">
        <v>18</v>
      </c>
      <c r="C2374" s="4" t="s">
        <v>44</v>
      </c>
      <c r="D2374" s="6" t="str">
        <f>HYPERLINK("javascript:void(0)","helioacél antigrav csizma")</f>
        <v>helioacél antigrav csizma</v>
      </c>
    </row>
    <row r="2375" spans="1:4" ht="12.75" customHeight="1" x14ac:dyDescent="0.2">
      <c r="A2375" s="21"/>
      <c r="B2375" s="21"/>
      <c r="C2375" s="4" t="s">
        <v>163</v>
      </c>
      <c r="D2375" s="6" t="str">
        <f>HYPERLINK("javascript:void(0)","banánhéj")</f>
        <v>banánhéj</v>
      </c>
    </row>
    <row r="2376" spans="1:4" ht="12.75" customHeight="1" x14ac:dyDescent="0.2">
      <c r="A2376" s="21"/>
      <c r="B2376" s="21"/>
      <c r="C2376" s="4" t="s">
        <v>756</v>
      </c>
      <c r="D2376" s="6" t="str">
        <f>HYPERLINK("javascript:void(0)","porszőr")</f>
        <v>porszőr</v>
      </c>
    </row>
    <row r="2377" spans="1:4" ht="12.75" customHeight="1" x14ac:dyDescent="0.2">
      <c r="A2377" s="21"/>
      <c r="B2377" s="2"/>
      <c r="C2377" s="2"/>
      <c r="D2377" s="2"/>
    </row>
    <row r="2378" spans="1:4" ht="12.75" customHeight="1" x14ac:dyDescent="0.2">
      <c r="A2378" s="21"/>
      <c r="B2378" s="2"/>
      <c r="C2378" s="2"/>
      <c r="D2378" s="2"/>
    </row>
    <row r="2379" spans="1:4" ht="12.75" customHeight="1" x14ac:dyDescent="0.2">
      <c r="A2379" s="21"/>
      <c r="B2379" s="2"/>
      <c r="C2379" s="2"/>
      <c r="D2379" s="2"/>
    </row>
    <row r="2380" spans="1:4" ht="12.75" customHeight="1" x14ac:dyDescent="0.2">
      <c r="A2380" s="21"/>
      <c r="B2380" s="2"/>
      <c r="C2380" s="2"/>
      <c r="D2380" s="2"/>
    </row>
    <row r="2381" spans="1:4" ht="12.75" customHeight="1" x14ac:dyDescent="0.2">
      <c r="A2381" s="5"/>
      <c r="B2381" s="2"/>
      <c r="C2381" s="2"/>
      <c r="D2381" s="2"/>
    </row>
    <row r="2382" spans="1:4" ht="12.75" customHeight="1" x14ac:dyDescent="0.2">
      <c r="A2382" s="22" t="str">
        <f>HYPERLINK("javascript:void(0)","csillámló hegylépő")</f>
        <v>csillámló hegylépő</v>
      </c>
      <c r="B2382" s="21"/>
      <c r="C2382" s="21"/>
      <c r="D2382" s="21"/>
    </row>
    <row r="2383" spans="1:4" ht="12.75" customHeight="1" x14ac:dyDescent="0.2">
      <c r="A2383" s="20"/>
      <c r="B2383" s="2"/>
      <c r="C2383" s="2"/>
      <c r="D2383" s="2"/>
    </row>
    <row r="2384" spans="1:4" ht="12.75" customHeight="1" x14ac:dyDescent="0.2">
      <c r="A2384" s="21"/>
      <c r="B2384" s="3" t="s">
        <v>0</v>
      </c>
      <c r="C2384" s="20" t="s">
        <v>896</v>
      </c>
      <c r="D2384" s="21"/>
    </row>
    <row r="2385" spans="1:4" ht="12.75" customHeight="1" x14ac:dyDescent="0.2">
      <c r="A2385" s="21"/>
      <c r="B2385" s="3" t="s">
        <v>2</v>
      </c>
      <c r="C2385" s="20"/>
      <c r="D2385" s="21"/>
    </row>
    <row r="2386" spans="1:4" ht="12.75" customHeight="1" x14ac:dyDescent="0.2">
      <c r="A2386" s="21"/>
      <c r="B2386" s="3" t="s">
        <v>1840</v>
      </c>
      <c r="C2386" s="20" t="s">
        <v>522</v>
      </c>
      <c r="D2386" s="21"/>
    </row>
    <row r="2387" spans="1:4" ht="12.75" customHeight="1" x14ac:dyDescent="0.2">
      <c r="A2387" s="21"/>
      <c r="B2387" s="3" t="s">
        <v>9</v>
      </c>
      <c r="C2387" s="20" t="s">
        <v>2036</v>
      </c>
      <c r="D2387" s="21"/>
    </row>
    <row r="2388" spans="1:4" ht="12.75" customHeight="1" x14ac:dyDescent="0.2">
      <c r="A2388" s="21"/>
      <c r="B2388" s="3" t="s">
        <v>11</v>
      </c>
      <c r="C2388" s="20" t="s">
        <v>1459</v>
      </c>
      <c r="D2388" s="21"/>
    </row>
    <row r="2389" spans="1:4" ht="12.75" customHeight="1" x14ac:dyDescent="0.2">
      <c r="A2389" s="21"/>
      <c r="B2389" s="3" t="s">
        <v>16</v>
      </c>
      <c r="C2389" s="20"/>
      <c r="D2389" s="21"/>
    </row>
    <row r="2390" spans="1:4" ht="12.75" customHeight="1" x14ac:dyDescent="0.2">
      <c r="A2390" s="21"/>
      <c r="B2390" s="3" t="s">
        <v>17</v>
      </c>
      <c r="C2390" s="20" t="s">
        <v>19</v>
      </c>
      <c r="D2390" s="21"/>
    </row>
    <row r="2391" spans="1:4" ht="12.75" customHeight="1" x14ac:dyDescent="0.2">
      <c r="A2391" s="21"/>
      <c r="B2391" s="20" t="s">
        <v>18</v>
      </c>
      <c r="C2391" s="4" t="s">
        <v>57</v>
      </c>
      <c r="D2391" s="6" t="str">
        <f>HYPERLINK("javascript:void(0)","csillámgöb")</f>
        <v>csillámgöb</v>
      </c>
    </row>
    <row r="2392" spans="1:4" ht="25.5" customHeight="1" x14ac:dyDescent="0.2">
      <c r="A2392" s="21"/>
      <c r="B2392" s="21"/>
      <c r="C2392" s="4" t="s">
        <v>44</v>
      </c>
      <c r="D2392" s="6" t="str">
        <f>HYPERLINK("javascript:void(0)","csillámló óriáscsizma")</f>
        <v>csillámló óriáscsizma</v>
      </c>
    </row>
    <row r="2393" spans="1:4" ht="12.75" customHeight="1" x14ac:dyDescent="0.2">
      <c r="A2393" s="21"/>
      <c r="B2393" s="21"/>
      <c r="C2393" s="4" t="s">
        <v>894</v>
      </c>
      <c r="D2393" s="6" t="str">
        <f>HYPERLINK("javascript:void(0)","rémszem")</f>
        <v>rémszem</v>
      </c>
    </row>
    <row r="2394" spans="1:4" ht="12.75" customHeight="1" x14ac:dyDescent="0.2">
      <c r="A2394" s="21"/>
      <c r="B2394" s="2"/>
      <c r="C2394" s="2"/>
      <c r="D2394" s="2"/>
    </row>
    <row r="2395" spans="1:4" ht="12.75" customHeight="1" x14ac:dyDescent="0.2">
      <c r="A2395" s="21"/>
      <c r="B2395" s="2"/>
      <c r="C2395" s="2"/>
      <c r="D2395" s="2"/>
    </row>
    <row r="2396" spans="1:4" ht="12.75" customHeight="1" x14ac:dyDescent="0.2">
      <c r="A2396" s="21"/>
      <c r="B2396" s="2"/>
      <c r="C2396" s="2"/>
      <c r="D2396" s="2"/>
    </row>
    <row r="2397" spans="1:4" ht="12.75" customHeight="1" x14ac:dyDescent="0.2">
      <c r="A2397" s="21"/>
      <c r="B2397" s="2"/>
      <c r="C2397" s="2"/>
      <c r="D2397" s="2"/>
    </row>
    <row r="2398" spans="1:4" ht="12.75" customHeight="1" x14ac:dyDescent="0.2">
      <c r="A2398" s="5"/>
      <c r="B2398" s="2"/>
      <c r="C2398" s="2"/>
      <c r="D2398" s="2"/>
    </row>
    <row r="2399" spans="1:4" ht="12.75" customHeight="1" x14ac:dyDescent="0.2">
      <c r="A2399" s="22" t="str">
        <f>HYPERLINK("javascript:void(0)","fogastalpú taposó")</f>
        <v>fogastalpú taposó</v>
      </c>
      <c r="B2399" s="21"/>
      <c r="C2399" s="21"/>
      <c r="D2399" s="21"/>
    </row>
    <row r="2400" spans="1:4" ht="12.75" customHeight="1" x14ac:dyDescent="0.2">
      <c r="A2400" s="20"/>
      <c r="B2400" s="2"/>
      <c r="C2400" s="2"/>
      <c r="D2400" s="2"/>
    </row>
    <row r="2401" spans="1:4" ht="12.75" customHeight="1" x14ac:dyDescent="0.2">
      <c r="A2401" s="21"/>
      <c r="B2401" s="3" t="s">
        <v>0</v>
      </c>
      <c r="C2401" s="20" t="s">
        <v>905</v>
      </c>
      <c r="D2401" s="21"/>
    </row>
    <row r="2402" spans="1:4" ht="12.75" customHeight="1" x14ac:dyDescent="0.2">
      <c r="A2402" s="21"/>
      <c r="B2402" s="3" t="s">
        <v>2</v>
      </c>
      <c r="C2402" s="20"/>
      <c r="D2402" s="21"/>
    </row>
    <row r="2403" spans="1:4" ht="12.75" customHeight="1" x14ac:dyDescent="0.2">
      <c r="A2403" s="21"/>
      <c r="B2403" s="3" t="s">
        <v>1840</v>
      </c>
      <c r="C2403" s="20" t="s">
        <v>222</v>
      </c>
      <c r="D2403" s="21"/>
    </row>
    <row r="2404" spans="1:4" ht="12.75" customHeight="1" x14ac:dyDescent="0.2">
      <c r="A2404" s="21"/>
      <c r="B2404" s="3" t="s">
        <v>9</v>
      </c>
      <c r="C2404" s="20" t="s">
        <v>30</v>
      </c>
      <c r="D2404" s="21"/>
    </row>
    <row r="2405" spans="1:4" ht="12.75" customHeight="1" x14ac:dyDescent="0.2">
      <c r="A2405" s="21"/>
      <c r="B2405" s="3" t="s">
        <v>11</v>
      </c>
      <c r="C2405" s="20" t="s">
        <v>1199</v>
      </c>
      <c r="D2405" s="21"/>
    </row>
    <row r="2406" spans="1:4" ht="12.75" customHeight="1" x14ac:dyDescent="0.2">
      <c r="A2406" s="21"/>
      <c r="B2406" s="3" t="s">
        <v>16</v>
      </c>
      <c r="C2406" s="20"/>
      <c r="D2406" s="21"/>
    </row>
    <row r="2407" spans="1:4" ht="12.75" customHeight="1" x14ac:dyDescent="0.2">
      <c r="A2407" s="21"/>
      <c r="B2407" s="3" t="s">
        <v>17</v>
      </c>
      <c r="C2407" s="20" t="s">
        <v>19</v>
      </c>
      <c r="D2407" s="21"/>
    </row>
    <row r="2408" spans="1:4" ht="12.75" customHeight="1" x14ac:dyDescent="0.2">
      <c r="A2408" s="21"/>
      <c r="B2408" s="20" t="s">
        <v>18</v>
      </c>
      <c r="C2408" s="4" t="s">
        <v>44</v>
      </c>
      <c r="D2408" s="6" t="str">
        <f>HYPERLINK("javascript:void(0)","fotoacél habtipró")</f>
        <v>fotoacél habtipró</v>
      </c>
    </row>
    <row r="2409" spans="1:4" ht="12.75" customHeight="1" x14ac:dyDescent="0.2">
      <c r="A2409" s="21"/>
      <c r="B2409" s="21"/>
      <c r="C2409" s="4" t="s">
        <v>44</v>
      </c>
      <c r="D2409" s="6" t="str">
        <f>HYPERLINK("javascript:void(0)","fogastalp")</f>
        <v>fogastalp</v>
      </c>
    </row>
    <row r="2410" spans="1:4" ht="12.75" customHeight="1" x14ac:dyDescent="0.2">
      <c r="A2410" s="21"/>
      <c r="B2410" s="21"/>
      <c r="C2410" s="4" t="s">
        <v>44</v>
      </c>
      <c r="D2410" s="6" t="str">
        <f>HYPERLINK("javascript:void(0)","fotoacél mokaszin")</f>
        <v>fotoacél mokaszin</v>
      </c>
    </row>
    <row r="2411" spans="1:4" ht="12.75" customHeight="1" x14ac:dyDescent="0.2">
      <c r="A2411" s="21"/>
      <c r="B2411" s="2"/>
      <c r="C2411" s="2"/>
      <c r="D2411" s="2"/>
    </row>
    <row r="2412" spans="1:4" ht="12.75" customHeight="1" x14ac:dyDescent="0.2">
      <c r="A2412" s="21"/>
      <c r="B2412" s="2"/>
      <c r="C2412" s="2"/>
      <c r="D2412" s="2"/>
    </row>
    <row r="2413" spans="1:4" ht="12.75" customHeight="1" x14ac:dyDescent="0.2">
      <c r="A2413" s="21"/>
      <c r="B2413" s="2"/>
      <c r="C2413" s="2"/>
      <c r="D2413" s="2"/>
    </row>
    <row r="2414" spans="1:4" ht="12.75" customHeight="1" x14ac:dyDescent="0.2">
      <c r="A2414" s="21"/>
      <c r="B2414" s="2"/>
      <c r="C2414" s="2"/>
      <c r="D2414" s="2"/>
    </row>
    <row r="2415" spans="1:4" ht="12.75" customHeight="1" x14ac:dyDescent="0.2">
      <c r="A2415" s="5"/>
      <c r="B2415" s="2"/>
      <c r="C2415" s="2"/>
      <c r="D2415" s="2"/>
    </row>
    <row r="2416" spans="1:4" ht="12.75" customHeight="1" x14ac:dyDescent="0.2">
      <c r="A2416" s="22" t="str">
        <f>HYPERLINK("javascript:void(0)","fogastalp")</f>
        <v>fogastalp</v>
      </c>
      <c r="B2416" s="21"/>
      <c r="C2416" s="21"/>
      <c r="D2416" s="21"/>
    </row>
    <row r="2417" spans="1:4" ht="12.75" customHeight="1" x14ac:dyDescent="0.2">
      <c r="A2417" s="20"/>
      <c r="B2417" s="2"/>
      <c r="C2417" s="2"/>
      <c r="D2417" s="2"/>
    </row>
    <row r="2418" spans="1:4" ht="12.75" customHeight="1" x14ac:dyDescent="0.2">
      <c r="A2418" s="21"/>
      <c r="B2418" s="3" t="s">
        <v>0</v>
      </c>
      <c r="C2418" s="20" t="s">
        <v>905</v>
      </c>
      <c r="D2418" s="21"/>
    </row>
    <row r="2419" spans="1:4" ht="12.75" customHeight="1" x14ac:dyDescent="0.2">
      <c r="A2419" s="21"/>
      <c r="B2419" s="3" t="s">
        <v>2</v>
      </c>
      <c r="C2419" s="20"/>
      <c r="D2419" s="21"/>
    </row>
    <row r="2420" spans="1:4" ht="12.75" customHeight="1" x14ac:dyDescent="0.2">
      <c r="A2420" s="21"/>
      <c r="B2420" s="3" t="s">
        <v>1840</v>
      </c>
      <c r="C2420" s="20" t="s">
        <v>417</v>
      </c>
      <c r="D2420" s="21"/>
    </row>
    <row r="2421" spans="1:4" ht="12.75" customHeight="1" x14ac:dyDescent="0.2">
      <c r="A2421" s="21"/>
      <c r="B2421" s="3" t="s">
        <v>9</v>
      </c>
      <c r="C2421" s="20" t="s">
        <v>70</v>
      </c>
      <c r="D2421" s="21"/>
    </row>
    <row r="2422" spans="1:4" ht="12.75" customHeight="1" x14ac:dyDescent="0.2">
      <c r="A2422" s="21"/>
      <c r="B2422" s="3" t="s">
        <v>11</v>
      </c>
      <c r="C2422" s="20" t="s">
        <v>2124</v>
      </c>
      <c r="D2422" s="21"/>
    </row>
    <row r="2423" spans="1:4" ht="12.75" customHeight="1" x14ac:dyDescent="0.2">
      <c r="A2423" s="21"/>
      <c r="B2423" s="3" t="s">
        <v>16</v>
      </c>
      <c r="C2423" s="20"/>
      <c r="D2423" s="21"/>
    </row>
    <row r="2424" spans="1:4" ht="12.75" customHeight="1" x14ac:dyDescent="0.2">
      <c r="A2424" s="21"/>
      <c r="B2424" s="3" t="s">
        <v>17</v>
      </c>
      <c r="C2424" s="20" t="s">
        <v>19</v>
      </c>
      <c r="D2424" s="21"/>
    </row>
    <row r="2425" spans="1:4" ht="12.75" customHeight="1" x14ac:dyDescent="0.2">
      <c r="A2425" s="21"/>
      <c r="B2425" s="20" t="s">
        <v>18</v>
      </c>
      <c r="C2425" s="4" t="s">
        <v>67</v>
      </c>
      <c r="D2425" s="6" t="str">
        <f>HYPERLINK("javascript:void(0)","cerka")</f>
        <v>cerka</v>
      </c>
    </row>
    <row r="2426" spans="1:4" ht="12.75" customHeight="1" x14ac:dyDescent="0.2">
      <c r="A2426" s="21"/>
      <c r="B2426" s="21"/>
      <c r="C2426" s="4" t="s">
        <v>68</v>
      </c>
      <c r="D2426" s="6" t="str">
        <f>HYPERLINK("javascript:void(0)","tépőfog")</f>
        <v>tépőfog</v>
      </c>
    </row>
    <row r="2427" spans="1:4" ht="12.75" customHeight="1" x14ac:dyDescent="0.2">
      <c r="A2427" s="21"/>
      <c r="B2427" s="21"/>
      <c r="C2427" s="4" t="s">
        <v>331</v>
      </c>
      <c r="D2427" s="6" t="str">
        <f>HYPERLINK("javascript:void(0)","magmacsepp")</f>
        <v>magmacsepp</v>
      </c>
    </row>
    <row r="2428" spans="1:4" ht="12.75" customHeight="1" x14ac:dyDescent="0.2">
      <c r="A2428" s="21"/>
      <c r="B2428" s="2"/>
      <c r="C2428" s="2"/>
      <c r="D2428" s="2"/>
    </row>
    <row r="2429" spans="1:4" ht="12.75" customHeight="1" x14ac:dyDescent="0.2">
      <c r="A2429" s="21"/>
      <c r="B2429" s="2"/>
      <c r="C2429" s="2"/>
      <c r="D2429" s="2"/>
    </row>
    <row r="2430" spans="1:4" ht="12.75" customHeight="1" x14ac:dyDescent="0.2">
      <c r="A2430" s="21"/>
      <c r="B2430" s="2"/>
      <c r="C2430" s="2"/>
      <c r="D2430" s="2"/>
    </row>
    <row r="2431" spans="1:4" ht="12.75" customHeight="1" x14ac:dyDescent="0.2">
      <c r="A2431" s="21"/>
      <c r="B2431" s="2"/>
      <c r="C2431" s="2"/>
      <c r="D2431" s="2"/>
    </row>
    <row r="2432" spans="1:4" ht="12.75" customHeight="1" x14ac:dyDescent="0.2">
      <c r="A2432" s="5"/>
      <c r="B2432" s="2"/>
      <c r="C2432" s="2"/>
      <c r="D2432" s="2"/>
    </row>
    <row r="2433" spans="1:4" ht="12.75" customHeight="1" x14ac:dyDescent="0.2">
      <c r="A2433" s="22" t="str">
        <f>HYPERLINK("javascript:void(0)","kriptonacél mokaszin")</f>
        <v>kriptonacél mokaszin</v>
      </c>
      <c r="B2433" s="21"/>
      <c r="C2433" s="21"/>
      <c r="D2433" s="21"/>
    </row>
    <row r="2434" spans="1:4" ht="12.75" customHeight="1" x14ac:dyDescent="0.2">
      <c r="A2434" s="20"/>
      <c r="B2434" s="2"/>
      <c r="C2434" s="2"/>
      <c r="D2434" s="2"/>
    </row>
    <row r="2435" spans="1:4" ht="12.75" customHeight="1" x14ac:dyDescent="0.2">
      <c r="A2435" s="21"/>
      <c r="B2435" s="3" t="s">
        <v>0</v>
      </c>
      <c r="C2435" s="20" t="s">
        <v>319</v>
      </c>
      <c r="D2435" s="21"/>
    </row>
    <row r="2436" spans="1:4" ht="12.75" customHeight="1" x14ac:dyDescent="0.2">
      <c r="A2436" s="21"/>
      <c r="B2436" s="3" t="s">
        <v>2</v>
      </c>
      <c r="C2436" s="20"/>
      <c r="D2436" s="21"/>
    </row>
    <row r="2437" spans="1:4" ht="12.75" customHeight="1" x14ac:dyDescent="0.2">
      <c r="A2437" s="21"/>
      <c r="B2437" s="3" t="s">
        <v>1840</v>
      </c>
      <c r="C2437" s="20" t="s">
        <v>2127</v>
      </c>
      <c r="D2437" s="21"/>
    </row>
    <row r="2438" spans="1:4" ht="12.75" customHeight="1" x14ac:dyDescent="0.2">
      <c r="A2438" s="21"/>
      <c r="B2438" s="3" t="s">
        <v>9</v>
      </c>
      <c r="C2438" s="20" t="s">
        <v>464</v>
      </c>
      <c r="D2438" s="21"/>
    </row>
    <row r="2439" spans="1:4" ht="12.75" customHeight="1" x14ac:dyDescent="0.2">
      <c r="A2439" s="21"/>
      <c r="B2439" s="3" t="s">
        <v>11</v>
      </c>
      <c r="C2439" s="20" t="s">
        <v>1472</v>
      </c>
      <c r="D2439" s="21"/>
    </row>
    <row r="2440" spans="1:4" ht="12.75" customHeight="1" x14ac:dyDescent="0.2">
      <c r="A2440" s="21"/>
      <c r="B2440" s="3" t="s">
        <v>16</v>
      </c>
      <c r="C2440" s="20"/>
      <c r="D2440" s="21"/>
    </row>
    <row r="2441" spans="1:4" ht="12.75" customHeight="1" x14ac:dyDescent="0.2">
      <c r="A2441" s="21"/>
      <c r="B2441" s="3" t="s">
        <v>17</v>
      </c>
      <c r="C2441" s="20" t="s">
        <v>19</v>
      </c>
      <c r="D2441" s="21"/>
    </row>
    <row r="2442" spans="1:4" ht="12.75" customHeight="1" x14ac:dyDescent="0.2">
      <c r="A2442" s="21"/>
      <c r="B2442" s="20" t="s">
        <v>18</v>
      </c>
      <c r="C2442" s="4" t="s">
        <v>68</v>
      </c>
      <c r="D2442" s="6" t="str">
        <f>HYPERLINK("javascript:void(0)","valkript")</f>
        <v>valkript</v>
      </c>
    </row>
    <row r="2443" spans="1:4" ht="12.75" customHeight="1" x14ac:dyDescent="0.2">
      <c r="A2443" s="21"/>
      <c r="B2443" s="21"/>
      <c r="C2443" s="4" t="s">
        <v>132</v>
      </c>
      <c r="D2443" s="6" t="str">
        <f>HYPERLINK("javascript:void(0)","monsztabéklyó")</f>
        <v>monsztabéklyó</v>
      </c>
    </row>
    <row r="2444" spans="1:4" ht="12.75" customHeight="1" x14ac:dyDescent="0.2">
      <c r="A2444" s="21"/>
      <c r="B2444" s="21"/>
      <c r="C2444" s="4" t="s">
        <v>44</v>
      </c>
      <c r="D2444" s="6" t="str">
        <f>HYPERLINK("javascript:void(0)","fogastalpú taposó")</f>
        <v>fogastalpú taposó</v>
      </c>
    </row>
    <row r="2445" spans="1:4" ht="12.75" customHeight="1" x14ac:dyDescent="0.2">
      <c r="A2445" s="21"/>
      <c r="B2445" s="2"/>
      <c r="C2445" s="2"/>
      <c r="D2445" s="2"/>
    </row>
    <row r="2446" spans="1:4" ht="12.75" customHeight="1" x14ac:dyDescent="0.2">
      <c r="A2446" s="21"/>
      <c r="B2446" s="2"/>
      <c r="C2446" s="2"/>
      <c r="D2446" s="2"/>
    </row>
    <row r="2447" spans="1:4" ht="12.75" customHeight="1" x14ac:dyDescent="0.2">
      <c r="A2447" s="21"/>
      <c r="B2447" s="2"/>
      <c r="C2447" s="2"/>
      <c r="D2447" s="2"/>
    </row>
    <row r="2448" spans="1:4" ht="12.75" customHeight="1" x14ac:dyDescent="0.2">
      <c r="A2448" s="21"/>
      <c r="B2448" s="2"/>
      <c r="C2448" s="2"/>
      <c r="D2448" s="2"/>
    </row>
    <row r="2449" spans="1:4" ht="12.75" customHeight="1" x14ac:dyDescent="0.2">
      <c r="A2449" s="5"/>
      <c r="B2449" s="2"/>
      <c r="C2449" s="2"/>
      <c r="D2449" s="2"/>
    </row>
    <row r="2450" spans="1:4" ht="12.75" customHeight="1" x14ac:dyDescent="0.2">
      <c r="A2450" s="22" t="str">
        <f>HYPERLINK("javascript:void(0)","felleglépő")</f>
        <v>felleglépő</v>
      </c>
      <c r="B2450" s="21"/>
      <c r="C2450" s="21"/>
      <c r="D2450" s="21"/>
    </row>
    <row r="2451" spans="1:4" ht="12.75" customHeight="1" x14ac:dyDescent="0.2">
      <c r="A2451" s="20"/>
      <c r="B2451" s="2"/>
      <c r="C2451" s="2"/>
      <c r="D2451" s="2"/>
    </row>
    <row r="2452" spans="1:4" ht="12.75" customHeight="1" x14ac:dyDescent="0.2">
      <c r="A2452" s="21"/>
      <c r="B2452" s="3" t="s">
        <v>0</v>
      </c>
      <c r="C2452" s="20" t="s">
        <v>926</v>
      </c>
      <c r="D2452" s="21"/>
    </row>
    <row r="2453" spans="1:4" ht="12.75" customHeight="1" x14ac:dyDescent="0.2">
      <c r="A2453" s="21"/>
      <c r="B2453" s="3" t="s">
        <v>2</v>
      </c>
      <c r="C2453" s="20"/>
      <c r="D2453" s="21"/>
    </row>
    <row r="2454" spans="1:4" ht="12.75" customHeight="1" x14ac:dyDescent="0.2">
      <c r="A2454" s="21"/>
      <c r="B2454" s="3" t="s">
        <v>1840</v>
      </c>
      <c r="C2454" s="20" t="s">
        <v>522</v>
      </c>
      <c r="D2454" s="21"/>
    </row>
    <row r="2455" spans="1:4" ht="12.75" customHeight="1" x14ac:dyDescent="0.2">
      <c r="A2455" s="21"/>
      <c r="B2455" s="3" t="s">
        <v>9</v>
      </c>
      <c r="C2455" s="20" t="s">
        <v>1044</v>
      </c>
      <c r="D2455" s="21"/>
    </row>
    <row r="2456" spans="1:4" ht="12.75" customHeight="1" x14ac:dyDescent="0.2">
      <c r="A2456" s="21"/>
      <c r="B2456" s="3" t="s">
        <v>11</v>
      </c>
      <c r="C2456" s="20" t="s">
        <v>1560</v>
      </c>
      <c r="D2456" s="21"/>
    </row>
    <row r="2457" spans="1:4" ht="12.75" customHeight="1" x14ac:dyDescent="0.2">
      <c r="A2457" s="21"/>
      <c r="B2457" s="3" t="s">
        <v>16</v>
      </c>
      <c r="C2457" s="20"/>
      <c r="D2457" s="21"/>
    </row>
    <row r="2458" spans="1:4" ht="12.75" customHeight="1" x14ac:dyDescent="0.2">
      <c r="A2458" s="21"/>
      <c r="B2458" s="3" t="s">
        <v>17</v>
      </c>
      <c r="C2458" s="20" t="s">
        <v>19</v>
      </c>
      <c r="D2458" s="21"/>
    </row>
    <row r="2459" spans="1:4" ht="12.75" customHeight="1" x14ac:dyDescent="0.2">
      <c r="A2459" s="21"/>
      <c r="B2459" s="20" t="s">
        <v>18</v>
      </c>
      <c r="C2459" s="4" t="s">
        <v>331</v>
      </c>
      <c r="D2459" s="6" t="str">
        <f>HYPERLINK("javascript:void(0)","angyalhaj")</f>
        <v>angyalhaj</v>
      </c>
    </row>
    <row r="2460" spans="1:4" ht="12.75" customHeight="1" x14ac:dyDescent="0.2">
      <c r="A2460" s="21"/>
      <c r="B2460" s="21"/>
      <c r="C2460" s="4" t="s">
        <v>756</v>
      </c>
      <c r="D2460" s="6" t="str">
        <f>HYPERLINK("javascript:void(0)","vitorla")</f>
        <v>vitorla</v>
      </c>
    </row>
    <row r="2461" spans="1:4" ht="12.75" customHeight="1" x14ac:dyDescent="0.2">
      <c r="A2461" s="21"/>
      <c r="B2461" s="21"/>
      <c r="C2461" s="4" t="s">
        <v>117</v>
      </c>
      <c r="D2461" s="6" t="str">
        <f>HYPERLINK("javascript:void(0)","cerka")</f>
        <v>cerka</v>
      </c>
    </row>
    <row r="2462" spans="1:4" ht="12.75" customHeight="1" x14ac:dyDescent="0.2">
      <c r="A2462" s="21"/>
      <c r="B2462" s="2"/>
      <c r="C2462" s="2"/>
      <c r="D2462" s="2"/>
    </row>
    <row r="2463" spans="1:4" ht="12.75" customHeight="1" x14ac:dyDescent="0.2">
      <c r="A2463" s="21"/>
      <c r="B2463" s="2"/>
      <c r="C2463" s="2"/>
      <c r="D2463" s="2"/>
    </row>
    <row r="2464" spans="1:4" ht="12.75" customHeight="1" x14ac:dyDescent="0.2">
      <c r="A2464" s="21"/>
      <c r="B2464" s="2"/>
      <c r="C2464" s="2"/>
      <c r="D2464" s="2"/>
    </row>
    <row r="2465" spans="1:4" ht="12.75" customHeight="1" x14ac:dyDescent="0.2">
      <c r="A2465" s="21"/>
      <c r="B2465" s="2"/>
      <c r="C2465" s="2"/>
      <c r="D2465" s="2"/>
    </row>
    <row r="2466" spans="1:4" ht="12.75" customHeight="1" x14ac:dyDescent="0.2">
      <c r="A2466" s="5"/>
      <c r="B2466" s="2"/>
      <c r="C2466" s="2"/>
      <c r="D2466" s="2"/>
    </row>
    <row r="2467" spans="1:4" ht="12.75" customHeight="1" x14ac:dyDescent="0.2">
      <c r="A2467" s="22" t="str">
        <f>HYPERLINK("javascript:void(0)","hypnoacél antigrav csizma")</f>
        <v>hypnoacél antigrav csizma</v>
      </c>
      <c r="B2467" s="21"/>
      <c r="C2467" s="21"/>
      <c r="D2467" s="21"/>
    </row>
    <row r="2468" spans="1:4" ht="12.75" customHeight="1" x14ac:dyDescent="0.2">
      <c r="A2468" s="20"/>
      <c r="B2468" s="2"/>
      <c r="C2468" s="2"/>
      <c r="D2468" s="2"/>
    </row>
    <row r="2469" spans="1:4" ht="12.75" customHeight="1" x14ac:dyDescent="0.2">
      <c r="A2469" s="21"/>
      <c r="B2469" s="3" t="s">
        <v>0</v>
      </c>
      <c r="C2469" s="20" t="s">
        <v>926</v>
      </c>
      <c r="D2469" s="21"/>
    </row>
    <row r="2470" spans="1:4" ht="12.75" customHeight="1" x14ac:dyDescent="0.2">
      <c r="A2470" s="21"/>
      <c r="B2470" s="3" t="s">
        <v>2</v>
      </c>
      <c r="C2470" s="20"/>
      <c r="D2470" s="21"/>
    </row>
    <row r="2471" spans="1:4" ht="12.75" customHeight="1" x14ac:dyDescent="0.2">
      <c r="A2471" s="21"/>
      <c r="B2471" s="3" t="s">
        <v>1840</v>
      </c>
      <c r="C2471" s="20" t="s">
        <v>522</v>
      </c>
      <c r="D2471" s="21"/>
    </row>
    <row r="2472" spans="1:4" ht="12.75" customHeight="1" x14ac:dyDescent="0.2">
      <c r="A2472" s="21"/>
      <c r="B2472" s="3" t="s">
        <v>9</v>
      </c>
      <c r="C2472" s="20" t="s">
        <v>626</v>
      </c>
      <c r="D2472" s="21"/>
    </row>
    <row r="2473" spans="1:4" ht="12.75" customHeight="1" x14ac:dyDescent="0.2">
      <c r="A2473" s="21"/>
      <c r="B2473" s="3" t="s">
        <v>11</v>
      </c>
      <c r="C2473" s="20" t="s">
        <v>23</v>
      </c>
      <c r="D2473" s="21"/>
    </row>
    <row r="2474" spans="1:4" ht="12.75" customHeight="1" x14ac:dyDescent="0.2">
      <c r="A2474" s="21"/>
      <c r="B2474" s="3" t="s">
        <v>16</v>
      </c>
      <c r="C2474" s="20"/>
      <c r="D2474" s="21"/>
    </row>
    <row r="2475" spans="1:4" ht="12.75" customHeight="1" x14ac:dyDescent="0.2">
      <c r="A2475" s="21"/>
      <c r="B2475" s="3" t="s">
        <v>17</v>
      </c>
      <c r="C2475" s="20" t="s">
        <v>19</v>
      </c>
      <c r="D2475" s="21"/>
    </row>
    <row r="2476" spans="1:4" ht="25.5" customHeight="1" x14ac:dyDescent="0.2">
      <c r="A2476" s="21"/>
      <c r="B2476" s="20" t="s">
        <v>18</v>
      </c>
      <c r="C2476" s="4" t="s">
        <v>44</v>
      </c>
      <c r="D2476" s="6" t="str">
        <f>HYPERLINK("javascript:void(0)","csúszórámás antigrav csizma")</f>
        <v>csúszórámás antigrav csizma</v>
      </c>
    </row>
    <row r="2477" spans="1:4" ht="12.75" customHeight="1" x14ac:dyDescent="0.2">
      <c r="A2477" s="21"/>
      <c r="B2477" s="21"/>
      <c r="C2477" s="4" t="s">
        <v>163</v>
      </c>
      <c r="D2477" s="6" t="str">
        <f>HYPERLINK("javascript:void(0)","angyalhaj")</f>
        <v>angyalhaj</v>
      </c>
    </row>
    <row r="2478" spans="1:4" ht="12.75" customHeight="1" x14ac:dyDescent="0.2">
      <c r="A2478" s="21"/>
      <c r="B2478" s="21"/>
      <c r="C2478" s="4" t="s">
        <v>780</v>
      </c>
      <c r="D2478" s="6" t="str">
        <f>HYPERLINK("javascript:void(0)","ejtőernyő")</f>
        <v>ejtőernyő</v>
      </c>
    </row>
    <row r="2479" spans="1:4" ht="12.75" customHeight="1" x14ac:dyDescent="0.2">
      <c r="A2479" s="21"/>
      <c r="B2479" s="2"/>
      <c r="C2479" s="2"/>
      <c r="D2479" s="2"/>
    </row>
    <row r="2480" spans="1:4" ht="12.75" customHeight="1" x14ac:dyDescent="0.2">
      <c r="A2480" s="21"/>
      <c r="B2480" s="2"/>
      <c r="C2480" s="2"/>
      <c r="D2480" s="2"/>
    </row>
    <row r="2481" spans="1:4" ht="12.75" customHeight="1" x14ac:dyDescent="0.2">
      <c r="A2481" s="21"/>
      <c r="B2481" s="2"/>
      <c r="C2481" s="2"/>
      <c r="D2481" s="2"/>
    </row>
    <row r="2482" spans="1:4" ht="12.75" customHeight="1" x14ac:dyDescent="0.2">
      <c r="A2482" s="21"/>
      <c r="B2482" s="2"/>
      <c r="C2482" s="2"/>
      <c r="D2482" s="2"/>
    </row>
    <row r="2483" spans="1:4" ht="12.75" customHeight="1" x14ac:dyDescent="0.2">
      <c r="A2483" s="5"/>
      <c r="B2483" s="2"/>
      <c r="C2483" s="2"/>
      <c r="D2483" s="2"/>
    </row>
    <row r="2484" spans="1:4" ht="12.75" customHeight="1" x14ac:dyDescent="0.2">
      <c r="A2484" s="22" t="str">
        <f>HYPERLINK("javascript:void(0)","magnetoacél mokaszin")</f>
        <v>magnetoacél mokaszin</v>
      </c>
      <c r="B2484" s="21"/>
      <c r="C2484" s="21"/>
      <c r="D2484" s="21"/>
    </row>
    <row r="2485" spans="1:4" ht="12.75" customHeight="1" x14ac:dyDescent="0.2">
      <c r="A2485" s="20"/>
      <c r="B2485" s="2"/>
      <c r="C2485" s="2"/>
      <c r="D2485" s="2"/>
    </row>
    <row r="2486" spans="1:4" ht="12.75" customHeight="1" x14ac:dyDescent="0.2">
      <c r="A2486" s="21"/>
      <c r="B2486" s="3" t="s">
        <v>0</v>
      </c>
      <c r="C2486" s="20" t="s">
        <v>937</v>
      </c>
      <c r="D2486" s="21"/>
    </row>
    <row r="2487" spans="1:4" ht="12.75" customHeight="1" x14ac:dyDescent="0.2">
      <c r="A2487" s="21"/>
      <c r="B2487" s="3" t="s">
        <v>2</v>
      </c>
      <c r="C2487" s="20"/>
      <c r="D2487" s="21"/>
    </row>
    <row r="2488" spans="1:4" ht="12.75" customHeight="1" x14ac:dyDescent="0.2">
      <c r="A2488" s="21"/>
      <c r="B2488" s="3" t="s">
        <v>1840</v>
      </c>
      <c r="C2488" s="20" t="s">
        <v>2130</v>
      </c>
      <c r="D2488" s="21"/>
    </row>
    <row r="2489" spans="1:4" ht="12.75" customHeight="1" x14ac:dyDescent="0.2">
      <c r="A2489" s="21"/>
      <c r="B2489" s="3" t="s">
        <v>9</v>
      </c>
      <c r="C2489" s="20" t="s">
        <v>2070</v>
      </c>
      <c r="D2489" s="21"/>
    </row>
    <row r="2490" spans="1:4" ht="12.75" customHeight="1" x14ac:dyDescent="0.2">
      <c r="A2490" s="21"/>
      <c r="B2490" s="3" t="s">
        <v>11</v>
      </c>
      <c r="C2490" s="20" t="s">
        <v>1477</v>
      </c>
      <c r="D2490" s="21"/>
    </row>
    <row r="2491" spans="1:4" ht="12.75" customHeight="1" x14ac:dyDescent="0.2">
      <c r="A2491" s="21"/>
      <c r="B2491" s="3" t="s">
        <v>16</v>
      </c>
      <c r="C2491" s="20"/>
      <c r="D2491" s="21"/>
    </row>
    <row r="2492" spans="1:4" ht="12.75" customHeight="1" x14ac:dyDescent="0.2">
      <c r="A2492" s="21"/>
      <c r="B2492" s="3" t="s">
        <v>17</v>
      </c>
      <c r="C2492" s="20" t="s">
        <v>19</v>
      </c>
      <c r="D2492" s="21"/>
    </row>
    <row r="2493" spans="1:4" ht="12.75" customHeight="1" x14ac:dyDescent="0.2">
      <c r="A2493" s="21"/>
      <c r="B2493" s="20" t="s">
        <v>18</v>
      </c>
      <c r="C2493" s="4" t="s">
        <v>44</v>
      </c>
      <c r="D2493" s="6" t="str">
        <f>HYPERLINK("javascript:void(0)","felleglépő")</f>
        <v>felleglépő</v>
      </c>
    </row>
    <row r="2494" spans="1:4" ht="25.5" customHeight="1" x14ac:dyDescent="0.2">
      <c r="A2494" s="21"/>
      <c r="B2494" s="21"/>
      <c r="C2494" s="4" t="s">
        <v>44</v>
      </c>
      <c r="D2494" s="6" t="str">
        <f>HYPERLINK("javascript:void(0)","kriptonacél mokaszin")</f>
        <v>kriptonacél mokaszin</v>
      </c>
    </row>
    <row r="2495" spans="1:4" ht="12.75" customHeight="1" x14ac:dyDescent="0.2">
      <c r="A2495" s="21"/>
      <c r="B2495" s="21"/>
      <c r="C2495" s="4" t="s">
        <v>44</v>
      </c>
      <c r="D2495" s="6" t="str">
        <f>HYPERLINK("javascript:void(0)","magnetoacél fűző")</f>
        <v>magnetoacél fűző</v>
      </c>
    </row>
    <row r="2496" spans="1:4" ht="12.75" customHeight="1" x14ac:dyDescent="0.2">
      <c r="A2496" s="21"/>
      <c r="B2496" s="2"/>
      <c r="C2496" s="2"/>
      <c r="D2496" s="2"/>
    </row>
    <row r="2497" spans="1:4" ht="12.75" customHeight="1" x14ac:dyDescent="0.2">
      <c r="A2497" s="21"/>
      <c r="B2497" s="2"/>
      <c r="C2497" s="2"/>
      <c r="D2497" s="2"/>
    </row>
    <row r="2498" spans="1:4" ht="12.75" customHeight="1" x14ac:dyDescent="0.2">
      <c r="A2498" s="21"/>
      <c r="B2498" s="2"/>
      <c r="C2498" s="2"/>
      <c r="D2498" s="2"/>
    </row>
    <row r="2499" spans="1:4" ht="12.75" customHeight="1" x14ac:dyDescent="0.2">
      <c r="A2499" s="21"/>
      <c r="B2499" s="2"/>
      <c r="C2499" s="2"/>
      <c r="D2499" s="2"/>
    </row>
    <row r="2500" spans="1:4" ht="12.75" customHeight="1" x14ac:dyDescent="0.2">
      <c r="A2500" s="5"/>
      <c r="B2500" s="2"/>
      <c r="C2500" s="2"/>
      <c r="D2500" s="2"/>
    </row>
    <row r="2501" spans="1:4" ht="12.75" customHeight="1" x14ac:dyDescent="0.2">
      <c r="A2501" s="22" t="str">
        <f>HYPERLINK("javascript:void(0)","magnetoacél fűző")</f>
        <v>magnetoacél fűző</v>
      </c>
      <c r="B2501" s="21"/>
      <c r="C2501" s="21"/>
      <c r="D2501" s="21"/>
    </row>
    <row r="2502" spans="1:4" ht="12.75" customHeight="1" x14ac:dyDescent="0.2">
      <c r="A2502" s="20"/>
      <c r="B2502" s="2"/>
      <c r="C2502" s="2"/>
      <c r="D2502" s="2"/>
    </row>
    <row r="2503" spans="1:4" ht="12.75" customHeight="1" x14ac:dyDescent="0.2">
      <c r="A2503" s="21"/>
      <c r="B2503" s="3" t="s">
        <v>0</v>
      </c>
      <c r="C2503" s="20" t="s">
        <v>937</v>
      </c>
      <c r="D2503" s="21"/>
    </row>
    <row r="2504" spans="1:4" ht="12.75" customHeight="1" x14ac:dyDescent="0.2">
      <c r="A2504" s="21"/>
      <c r="B2504" s="3" t="s">
        <v>2</v>
      </c>
      <c r="C2504" s="20"/>
      <c r="D2504" s="21"/>
    </row>
    <row r="2505" spans="1:4" ht="12.75" customHeight="1" x14ac:dyDescent="0.2">
      <c r="A2505" s="21"/>
      <c r="B2505" s="3" t="s">
        <v>1840</v>
      </c>
      <c r="C2505" s="20" t="s">
        <v>47</v>
      </c>
      <c r="D2505" s="21"/>
    </row>
    <row r="2506" spans="1:4" ht="12.75" customHeight="1" x14ac:dyDescent="0.2">
      <c r="A2506" s="21"/>
      <c r="B2506" s="3" t="s">
        <v>9</v>
      </c>
      <c r="C2506" s="20" t="s">
        <v>70</v>
      </c>
      <c r="D2506" s="21"/>
    </row>
    <row r="2507" spans="1:4" ht="12.75" customHeight="1" x14ac:dyDescent="0.2">
      <c r="A2507" s="21"/>
      <c r="B2507" s="3" t="s">
        <v>11</v>
      </c>
      <c r="C2507" s="20" t="s">
        <v>2132</v>
      </c>
      <c r="D2507" s="21"/>
    </row>
    <row r="2508" spans="1:4" ht="12.75" customHeight="1" x14ac:dyDescent="0.2">
      <c r="A2508" s="21"/>
      <c r="B2508" s="3" t="s">
        <v>16</v>
      </c>
      <c r="C2508" s="20"/>
      <c r="D2508" s="21"/>
    </row>
    <row r="2509" spans="1:4" ht="12.75" customHeight="1" x14ac:dyDescent="0.2">
      <c r="A2509" s="21"/>
      <c r="B2509" s="3" t="s">
        <v>17</v>
      </c>
      <c r="C2509" s="20" t="s">
        <v>19</v>
      </c>
      <c r="D2509" s="21"/>
    </row>
    <row r="2510" spans="1:4" ht="12.75" customHeight="1" x14ac:dyDescent="0.2">
      <c r="A2510" s="21"/>
      <c r="B2510" s="20" t="s">
        <v>18</v>
      </c>
      <c r="C2510" s="4" t="s">
        <v>244</v>
      </c>
      <c r="D2510" s="6" t="str">
        <f>HYPERLINK("javascript:void(0)","vaskarima")</f>
        <v>vaskarima</v>
      </c>
    </row>
    <row r="2511" spans="1:4" ht="12.75" customHeight="1" x14ac:dyDescent="0.2">
      <c r="A2511" s="21"/>
      <c r="B2511" s="21"/>
      <c r="C2511" s="4" t="s">
        <v>68</v>
      </c>
      <c r="D2511" s="6" t="str">
        <f>HYPERLINK("javascript:void(0)","rozmáragyar")</f>
        <v>rozmáragyar</v>
      </c>
    </row>
    <row r="2512" spans="1:4" ht="12.75" customHeight="1" x14ac:dyDescent="0.2">
      <c r="A2512" s="21"/>
      <c r="B2512" s="21"/>
      <c r="C2512" s="4" t="s">
        <v>244</v>
      </c>
      <c r="D2512" s="6" t="str">
        <f>HYPERLINK("javascript:void(0)","kígyóborda")</f>
        <v>kígyóborda</v>
      </c>
    </row>
    <row r="2513" spans="1:4" ht="12.75" customHeight="1" x14ac:dyDescent="0.2">
      <c r="A2513" s="21"/>
      <c r="B2513" s="2"/>
      <c r="C2513" s="2"/>
      <c r="D2513" s="2"/>
    </row>
    <row r="2514" spans="1:4" ht="12.75" customHeight="1" x14ac:dyDescent="0.2">
      <c r="A2514" s="21"/>
      <c r="B2514" s="2"/>
      <c r="C2514" s="2"/>
      <c r="D2514" s="2"/>
    </row>
    <row r="2515" spans="1:4" ht="12.75" customHeight="1" x14ac:dyDescent="0.2">
      <c r="A2515" s="21"/>
      <c r="B2515" s="2"/>
      <c r="C2515" s="2"/>
      <c r="D2515" s="2"/>
    </row>
    <row r="2516" spans="1:4" ht="12.75" customHeight="1" x14ac:dyDescent="0.2">
      <c r="A2516" s="21"/>
      <c r="B2516" s="2"/>
      <c r="C2516" s="2"/>
      <c r="D2516" s="2"/>
    </row>
    <row r="2517" spans="1:4" ht="12.75" customHeight="1" x14ac:dyDescent="0.2">
      <c r="A2517" s="5"/>
      <c r="B2517" s="2"/>
      <c r="C2517" s="2"/>
      <c r="D2517" s="2"/>
    </row>
    <row r="2518" spans="1:4" ht="12.75" customHeight="1" x14ac:dyDescent="0.2">
      <c r="A2518" s="22" t="str">
        <f>HYPERLINK("javascript:void(0)","pikkelysaru")</f>
        <v>pikkelysaru</v>
      </c>
      <c r="B2518" s="21"/>
      <c r="C2518" s="21"/>
      <c r="D2518" s="21"/>
    </row>
    <row r="2519" spans="1:4" ht="12.75" customHeight="1" x14ac:dyDescent="0.2">
      <c r="A2519" s="20"/>
      <c r="B2519" s="2"/>
      <c r="C2519" s="2"/>
      <c r="D2519" s="2"/>
    </row>
    <row r="2520" spans="1:4" ht="12.75" customHeight="1" x14ac:dyDescent="0.2">
      <c r="A2520" s="21"/>
      <c r="B2520" s="3" t="s">
        <v>0</v>
      </c>
      <c r="C2520" s="20" t="s">
        <v>190</v>
      </c>
      <c r="D2520" s="21"/>
    </row>
    <row r="2521" spans="1:4" ht="12.75" customHeight="1" x14ac:dyDescent="0.2">
      <c r="A2521" s="21"/>
      <c r="B2521" s="3" t="s">
        <v>2</v>
      </c>
      <c r="C2521" s="20"/>
      <c r="D2521" s="21"/>
    </row>
    <row r="2522" spans="1:4" ht="12.75" customHeight="1" x14ac:dyDescent="0.2">
      <c r="A2522" s="21"/>
      <c r="B2522" s="3" t="s">
        <v>1840</v>
      </c>
      <c r="C2522" s="20" t="s">
        <v>2135</v>
      </c>
      <c r="D2522" s="21"/>
    </row>
    <row r="2523" spans="1:4" ht="12.75" customHeight="1" x14ac:dyDescent="0.2">
      <c r="A2523" s="21"/>
      <c r="B2523" s="3" t="s">
        <v>9</v>
      </c>
      <c r="C2523" s="20" t="s">
        <v>36</v>
      </c>
      <c r="D2523" s="21"/>
    </row>
    <row r="2524" spans="1:4" ht="12.75" customHeight="1" x14ac:dyDescent="0.2">
      <c r="A2524" s="21"/>
      <c r="B2524" s="3" t="s">
        <v>11</v>
      </c>
      <c r="C2524" s="20" t="s">
        <v>1216</v>
      </c>
      <c r="D2524" s="21"/>
    </row>
    <row r="2525" spans="1:4" ht="12.75" customHeight="1" x14ac:dyDescent="0.2">
      <c r="A2525" s="21"/>
      <c r="B2525" s="3" t="s">
        <v>16</v>
      </c>
      <c r="C2525" s="20"/>
      <c r="D2525" s="21"/>
    </row>
    <row r="2526" spans="1:4" ht="12.75" customHeight="1" x14ac:dyDescent="0.2">
      <c r="A2526" s="21"/>
      <c r="B2526" s="3" t="s">
        <v>17</v>
      </c>
      <c r="C2526" s="20" t="s">
        <v>19</v>
      </c>
      <c r="D2526" s="21"/>
    </row>
    <row r="2527" spans="1:4" ht="12.75" customHeight="1" x14ac:dyDescent="0.2">
      <c r="A2527" s="21"/>
      <c r="B2527" s="20" t="s">
        <v>18</v>
      </c>
      <c r="C2527" s="4" t="s">
        <v>98</v>
      </c>
      <c r="D2527" s="6" t="str">
        <f>HYPERLINK("javascript:void(0)","pillepikkely")</f>
        <v>pillepikkely</v>
      </c>
    </row>
    <row r="2528" spans="1:4" ht="12.75" customHeight="1" x14ac:dyDescent="0.2">
      <c r="A2528" s="21"/>
      <c r="B2528" s="21"/>
      <c r="C2528" s="4" t="s">
        <v>269</v>
      </c>
      <c r="D2528" s="6" t="str">
        <f>HYPERLINK("javascript:void(0)","pálha")</f>
        <v>pálha</v>
      </c>
    </row>
    <row r="2529" spans="1:4" ht="25.5" customHeight="1" x14ac:dyDescent="0.2">
      <c r="A2529" s="21"/>
      <c r="B2529" s="21"/>
      <c r="C2529" s="4" t="s">
        <v>44</v>
      </c>
      <c r="D2529" s="6" t="str">
        <f>HYPERLINK("javascript:void(0)","magnetoacél mokaszin")</f>
        <v>magnetoacél mokaszin</v>
      </c>
    </row>
    <row r="2530" spans="1:4" ht="12.75" customHeight="1" x14ac:dyDescent="0.2">
      <c r="A2530" s="21"/>
      <c r="B2530" s="2"/>
      <c r="C2530" s="2"/>
      <c r="D2530" s="2"/>
    </row>
    <row r="2531" spans="1:4" ht="12.75" customHeight="1" x14ac:dyDescent="0.2">
      <c r="A2531" s="21"/>
      <c r="B2531" s="2"/>
      <c r="C2531" s="2"/>
      <c r="D2531" s="2"/>
    </row>
    <row r="2532" spans="1:4" ht="12.75" customHeight="1" x14ac:dyDescent="0.2">
      <c r="A2532" s="21"/>
      <c r="B2532" s="2"/>
      <c r="C2532" s="2"/>
      <c r="D2532" s="2"/>
    </row>
    <row r="2533" spans="1:4" ht="12.75" customHeight="1" x14ac:dyDescent="0.2">
      <c r="A2533" s="21"/>
      <c r="B2533" s="2"/>
      <c r="C2533" s="2"/>
      <c r="D2533" s="2"/>
    </row>
    <row r="2534" spans="1:4" ht="12.75" customHeight="1" x14ac:dyDescent="0.2">
      <c r="A2534" s="5"/>
      <c r="B2534" s="2"/>
      <c r="C2534" s="2"/>
      <c r="D2534" s="2"/>
    </row>
    <row r="2535" spans="1:4" ht="12.75" customHeight="1" x14ac:dyDescent="0.2">
      <c r="A2535" s="22" t="str">
        <f>HYPERLINK("javascript:void(0)","csillámló légcipő")</f>
        <v>csillámló légcipő</v>
      </c>
      <c r="B2535" s="21"/>
      <c r="C2535" s="21"/>
      <c r="D2535" s="21"/>
    </row>
    <row r="2536" spans="1:4" ht="12.75" customHeight="1" x14ac:dyDescent="0.2">
      <c r="A2536" s="20"/>
      <c r="B2536" s="2"/>
      <c r="C2536" s="2"/>
      <c r="D2536" s="2"/>
    </row>
    <row r="2537" spans="1:4" ht="12.75" customHeight="1" x14ac:dyDescent="0.2">
      <c r="A2537" s="21"/>
      <c r="B2537" s="3" t="s">
        <v>0</v>
      </c>
      <c r="C2537" s="20" t="s">
        <v>190</v>
      </c>
      <c r="D2537" s="21"/>
    </row>
    <row r="2538" spans="1:4" ht="12.75" customHeight="1" x14ac:dyDescent="0.2">
      <c r="A2538" s="21"/>
      <c r="B2538" s="3" t="s">
        <v>2</v>
      </c>
      <c r="C2538" s="20"/>
      <c r="D2538" s="21"/>
    </row>
    <row r="2539" spans="1:4" ht="12.75" customHeight="1" x14ac:dyDescent="0.2">
      <c r="A2539" s="21"/>
      <c r="B2539" s="3" t="s">
        <v>1840</v>
      </c>
      <c r="C2539" s="20" t="s">
        <v>2137</v>
      </c>
      <c r="D2539" s="21"/>
    </row>
    <row r="2540" spans="1:4" ht="12.75" customHeight="1" x14ac:dyDescent="0.2">
      <c r="A2540" s="21"/>
      <c r="B2540" s="3" t="s">
        <v>9</v>
      </c>
      <c r="C2540" s="20" t="s">
        <v>172</v>
      </c>
      <c r="D2540" s="21"/>
    </row>
    <row r="2541" spans="1:4" ht="12.75" customHeight="1" x14ac:dyDescent="0.2">
      <c r="A2541" s="21"/>
      <c r="B2541" s="3" t="s">
        <v>11</v>
      </c>
      <c r="C2541" s="20" t="s">
        <v>1216</v>
      </c>
      <c r="D2541" s="21"/>
    </row>
    <row r="2542" spans="1:4" ht="12.75" customHeight="1" x14ac:dyDescent="0.2">
      <c r="A2542" s="21"/>
      <c r="B2542" s="3" t="s">
        <v>16</v>
      </c>
      <c r="C2542" s="20"/>
      <c r="D2542" s="21"/>
    </row>
    <row r="2543" spans="1:4" ht="12.75" customHeight="1" x14ac:dyDescent="0.2">
      <c r="A2543" s="21"/>
      <c r="B2543" s="3" t="s">
        <v>17</v>
      </c>
      <c r="C2543" s="20" t="s">
        <v>19</v>
      </c>
      <c r="D2543" s="21"/>
    </row>
    <row r="2544" spans="1:4" ht="12.75" customHeight="1" x14ac:dyDescent="0.2">
      <c r="A2544" s="21"/>
      <c r="B2544" s="20" t="s">
        <v>18</v>
      </c>
      <c r="C2544" s="4" t="s">
        <v>57</v>
      </c>
      <c r="D2544" s="6" t="str">
        <f>HYPERLINK("javascript:void(0)","csillámgöb")</f>
        <v>csillámgöb</v>
      </c>
    </row>
    <row r="2545" spans="1:4" ht="12.75" customHeight="1" x14ac:dyDescent="0.2">
      <c r="A2545" s="21"/>
      <c r="B2545" s="21"/>
      <c r="C2545" s="4" t="s">
        <v>44</v>
      </c>
      <c r="D2545" s="6" t="str">
        <f>HYPERLINK("javascript:void(0)","csillámló hegylépő")</f>
        <v>csillámló hegylépő</v>
      </c>
    </row>
    <row r="2546" spans="1:4" ht="12.75" customHeight="1" x14ac:dyDescent="0.2">
      <c r="A2546" s="21"/>
      <c r="B2546" s="21"/>
      <c r="C2546" s="4" t="s">
        <v>772</v>
      </c>
      <c r="D2546" s="6" t="str">
        <f>HYPERLINK("javascript:void(0)","légige")</f>
        <v>légige</v>
      </c>
    </row>
    <row r="2547" spans="1:4" ht="12.75" customHeight="1" x14ac:dyDescent="0.2">
      <c r="A2547" s="21"/>
      <c r="B2547" s="2"/>
      <c r="C2547" s="2"/>
      <c r="D2547" s="2"/>
    </row>
    <row r="2548" spans="1:4" ht="12.75" customHeight="1" x14ac:dyDescent="0.2">
      <c r="A2548" s="21"/>
      <c r="B2548" s="2"/>
      <c r="C2548" s="2"/>
      <c r="D2548" s="2"/>
    </row>
    <row r="2549" spans="1:4" ht="12.75" customHeight="1" x14ac:dyDescent="0.2">
      <c r="A2549" s="21"/>
      <c r="B2549" s="2"/>
      <c r="C2549" s="2"/>
      <c r="D2549" s="2"/>
    </row>
    <row r="2550" spans="1:4" ht="12.75" customHeight="1" x14ac:dyDescent="0.2">
      <c r="A2550" s="21"/>
      <c r="B2550" s="2"/>
      <c r="C2550" s="2"/>
      <c r="D2550" s="2"/>
    </row>
    <row r="2551" spans="1:4" ht="12.75" customHeight="1" x14ac:dyDescent="0.2">
      <c r="A2551" s="5"/>
      <c r="B2551" s="2"/>
      <c r="C2551" s="2"/>
      <c r="D2551" s="2"/>
    </row>
    <row r="2552" spans="1:4" ht="12.75" customHeight="1" x14ac:dyDescent="0.2">
      <c r="A2552" s="22" t="str">
        <f>HYPERLINK("javascript:void(0)","tűtappancs")</f>
        <v>tűtappancs</v>
      </c>
      <c r="B2552" s="21"/>
      <c r="C2552" s="21"/>
      <c r="D2552" s="21"/>
    </row>
    <row r="2553" spans="1:4" ht="12.75" customHeight="1" x14ac:dyDescent="0.2">
      <c r="A2553" s="20"/>
      <c r="B2553" s="2"/>
      <c r="C2553" s="2"/>
      <c r="D2553" s="2"/>
    </row>
    <row r="2554" spans="1:4" ht="12.75" customHeight="1" x14ac:dyDescent="0.2">
      <c r="A2554" s="21"/>
      <c r="B2554" s="3" t="s">
        <v>0</v>
      </c>
      <c r="C2554" s="20" t="s">
        <v>953</v>
      </c>
      <c r="D2554" s="21"/>
    </row>
    <row r="2555" spans="1:4" ht="12.75" customHeight="1" x14ac:dyDescent="0.2">
      <c r="A2555" s="21"/>
      <c r="B2555" s="3" t="s">
        <v>2</v>
      </c>
      <c r="C2555" s="20"/>
      <c r="D2555" s="21"/>
    </row>
    <row r="2556" spans="1:4" ht="12.75" customHeight="1" x14ac:dyDescent="0.2">
      <c r="A2556" s="21"/>
      <c r="B2556" s="3" t="s">
        <v>1840</v>
      </c>
      <c r="C2556" s="20" t="s">
        <v>2139</v>
      </c>
      <c r="D2556" s="21"/>
    </row>
    <row r="2557" spans="1:4" ht="12.75" customHeight="1" x14ac:dyDescent="0.2">
      <c r="A2557" s="21"/>
      <c r="B2557" s="3" t="s">
        <v>9</v>
      </c>
      <c r="C2557" s="20" t="s">
        <v>210</v>
      </c>
      <c r="D2557" s="21"/>
    </row>
    <row r="2558" spans="1:4" ht="12.75" customHeight="1" x14ac:dyDescent="0.2">
      <c r="A2558" s="21"/>
      <c r="B2558" s="3" t="s">
        <v>11</v>
      </c>
      <c r="C2558" s="20" t="s">
        <v>1488</v>
      </c>
      <c r="D2558" s="21"/>
    </row>
    <row r="2559" spans="1:4" ht="12.75" customHeight="1" x14ac:dyDescent="0.2">
      <c r="A2559" s="21"/>
      <c r="B2559" s="3" t="s">
        <v>16</v>
      </c>
      <c r="C2559" s="20"/>
      <c r="D2559" s="21"/>
    </row>
    <row r="2560" spans="1:4" ht="12.75" customHeight="1" x14ac:dyDescent="0.2">
      <c r="A2560" s="21"/>
      <c r="B2560" s="3" t="s">
        <v>17</v>
      </c>
      <c r="C2560" s="20" t="s">
        <v>19</v>
      </c>
      <c r="D2560" s="21"/>
    </row>
    <row r="2561" spans="1:4" ht="12.75" customHeight="1" x14ac:dyDescent="0.2">
      <c r="A2561" s="21"/>
      <c r="B2561" s="20" t="s">
        <v>18</v>
      </c>
      <c r="C2561" s="4" t="s">
        <v>117</v>
      </c>
      <c r="D2561" s="6" t="str">
        <f>HYPERLINK("javascript:void(0)","kalaptű")</f>
        <v>kalaptű</v>
      </c>
    </row>
    <row r="2562" spans="1:4" ht="12.75" customHeight="1" x14ac:dyDescent="0.2">
      <c r="A2562" s="21"/>
      <c r="B2562" s="21"/>
      <c r="C2562" s="4" t="s">
        <v>296</v>
      </c>
      <c r="D2562" s="6" t="str">
        <f>HYPERLINK("javascript:void(0)","porszőr")</f>
        <v>porszőr</v>
      </c>
    </row>
    <row r="2563" spans="1:4" ht="12.75" customHeight="1" x14ac:dyDescent="0.2">
      <c r="A2563" s="21"/>
      <c r="B2563" s="21"/>
      <c r="C2563" s="4" t="s">
        <v>132</v>
      </c>
      <c r="D2563" s="6" t="str">
        <f>HYPERLINK("javascript:void(0)","molekula")</f>
        <v>molekula</v>
      </c>
    </row>
    <row r="2564" spans="1:4" ht="12.75" customHeight="1" x14ac:dyDescent="0.2">
      <c r="A2564" s="21"/>
      <c r="B2564" s="2"/>
      <c r="C2564" s="2"/>
      <c r="D2564" s="2"/>
    </row>
    <row r="2565" spans="1:4" ht="12.75" customHeight="1" x14ac:dyDescent="0.2">
      <c r="A2565" s="21"/>
      <c r="B2565" s="2"/>
      <c r="C2565" s="2"/>
      <c r="D2565" s="2"/>
    </row>
    <row r="2566" spans="1:4" ht="12.75" customHeight="1" x14ac:dyDescent="0.2">
      <c r="A2566" s="21"/>
      <c r="B2566" s="2"/>
      <c r="C2566" s="2"/>
      <c r="D2566" s="2"/>
    </row>
    <row r="2567" spans="1:4" ht="12.75" customHeight="1" x14ac:dyDescent="0.2">
      <c r="A2567" s="21"/>
      <c r="B2567" s="2"/>
      <c r="C2567" s="2"/>
      <c r="D2567" s="2"/>
    </row>
    <row r="2568" spans="1:4" ht="12.75" customHeight="1" x14ac:dyDescent="0.2">
      <c r="A2568" s="5"/>
      <c r="B2568" s="2"/>
      <c r="C2568" s="2"/>
      <c r="D2568" s="2"/>
    </row>
    <row r="2569" spans="1:4" ht="12.75" customHeight="1" x14ac:dyDescent="0.2">
      <c r="A2569" s="22" t="str">
        <f>HYPERLINK("javascript:void(0)","harmatacél antigrav csizma")</f>
        <v>harmatacél antigrav csizma</v>
      </c>
      <c r="B2569" s="21"/>
      <c r="C2569" s="21"/>
      <c r="D2569" s="21"/>
    </row>
    <row r="2570" spans="1:4" ht="12.75" customHeight="1" x14ac:dyDescent="0.2">
      <c r="A2570" s="20"/>
      <c r="B2570" s="2"/>
      <c r="C2570" s="2"/>
      <c r="D2570" s="2"/>
    </row>
    <row r="2571" spans="1:4" ht="12.75" customHeight="1" x14ac:dyDescent="0.2">
      <c r="A2571" s="21"/>
      <c r="B2571" s="3" t="s">
        <v>0</v>
      </c>
      <c r="C2571" s="20" t="s">
        <v>953</v>
      </c>
      <c r="D2571" s="21"/>
    </row>
    <row r="2572" spans="1:4" ht="12.75" customHeight="1" x14ac:dyDescent="0.2">
      <c r="A2572" s="21"/>
      <c r="B2572" s="3" t="s">
        <v>2</v>
      </c>
      <c r="C2572" s="20"/>
      <c r="D2572" s="21"/>
    </row>
    <row r="2573" spans="1:4" ht="12.75" customHeight="1" x14ac:dyDescent="0.2">
      <c r="A2573" s="21"/>
      <c r="B2573" s="3" t="s">
        <v>1840</v>
      </c>
      <c r="C2573" s="20" t="s">
        <v>2139</v>
      </c>
      <c r="D2573" s="21"/>
    </row>
    <row r="2574" spans="1:4" ht="12.75" customHeight="1" x14ac:dyDescent="0.2">
      <c r="A2574" s="21"/>
      <c r="B2574" s="3" t="s">
        <v>9</v>
      </c>
      <c r="C2574" s="20" t="s">
        <v>626</v>
      </c>
      <c r="D2574" s="21"/>
    </row>
    <row r="2575" spans="1:4" ht="12.75" customHeight="1" x14ac:dyDescent="0.2">
      <c r="A2575" s="21"/>
      <c r="B2575" s="3" t="s">
        <v>11</v>
      </c>
      <c r="C2575" s="20" t="s">
        <v>23</v>
      </c>
      <c r="D2575" s="21"/>
    </row>
    <row r="2576" spans="1:4" ht="12.75" customHeight="1" x14ac:dyDescent="0.2">
      <c r="A2576" s="21"/>
      <c r="B2576" s="3" t="s">
        <v>16</v>
      </c>
      <c r="C2576" s="20"/>
      <c r="D2576" s="21"/>
    </row>
    <row r="2577" spans="1:4" ht="12.75" customHeight="1" x14ac:dyDescent="0.2">
      <c r="A2577" s="21"/>
      <c r="B2577" s="3" t="s">
        <v>17</v>
      </c>
      <c r="C2577" s="20" t="s">
        <v>19</v>
      </c>
      <c r="D2577" s="21"/>
    </row>
    <row r="2578" spans="1:4" ht="25.5" customHeight="1" x14ac:dyDescent="0.2">
      <c r="A2578" s="21"/>
      <c r="B2578" s="20" t="s">
        <v>18</v>
      </c>
      <c r="C2578" s="4" t="s">
        <v>44</v>
      </c>
      <c r="D2578" s="6" t="str">
        <f>HYPERLINK("javascript:void(0)","hypnoacél antigrav csizma")</f>
        <v>hypnoacél antigrav csizma</v>
      </c>
    </row>
    <row r="2579" spans="1:4" ht="12.75" customHeight="1" x14ac:dyDescent="0.2">
      <c r="A2579" s="21"/>
      <c r="B2579" s="21"/>
      <c r="C2579" s="4" t="s">
        <v>2140</v>
      </c>
      <c r="D2579" s="6" t="str">
        <f>HYPERLINK("javascript:void(0)","pillepikkely")</f>
        <v>pillepikkely</v>
      </c>
    </row>
    <row r="2580" spans="1:4" ht="12.75" customHeight="1" x14ac:dyDescent="0.2">
      <c r="A2580" s="21"/>
      <c r="B2580" s="21"/>
      <c r="C2580" s="4" t="s">
        <v>244</v>
      </c>
      <c r="D2580" s="6" t="str">
        <f>HYPERLINK("javascript:void(0)","habléc")</f>
        <v>habléc</v>
      </c>
    </row>
    <row r="2581" spans="1:4" ht="12.75" customHeight="1" x14ac:dyDescent="0.2">
      <c r="A2581" s="21"/>
      <c r="B2581" s="2"/>
      <c r="C2581" s="2"/>
      <c r="D2581" s="2"/>
    </row>
    <row r="2582" spans="1:4" ht="12.75" customHeight="1" x14ac:dyDescent="0.2">
      <c r="A2582" s="21"/>
      <c r="B2582" s="2"/>
      <c r="C2582" s="2"/>
      <c r="D2582" s="2"/>
    </row>
    <row r="2583" spans="1:4" ht="12.75" customHeight="1" x14ac:dyDescent="0.2">
      <c r="A2583" s="21"/>
      <c r="B2583" s="2"/>
      <c r="C2583" s="2"/>
      <c r="D2583" s="2"/>
    </row>
    <row r="2584" spans="1:4" ht="12.75" customHeight="1" x14ac:dyDescent="0.2">
      <c r="A2584" s="21"/>
      <c r="B2584" s="2"/>
      <c r="C2584" s="2"/>
      <c r="D2584" s="2"/>
    </row>
    <row r="2585" spans="1:4" ht="12.75" customHeight="1" x14ac:dyDescent="0.2">
      <c r="A2585" s="5"/>
      <c r="B2585" s="2"/>
      <c r="C2585" s="2"/>
      <c r="D2585" s="2"/>
    </row>
    <row r="2586" spans="1:4" ht="12.75" customHeight="1" x14ac:dyDescent="0.2">
      <c r="A2586" s="22" t="str">
        <f>HYPERLINK("javascript:void(0)","mengorni mokaszin")</f>
        <v>mengorni mokaszin</v>
      </c>
      <c r="B2586" s="21"/>
      <c r="C2586" s="21"/>
      <c r="D2586" s="21"/>
    </row>
    <row r="2587" spans="1:4" ht="12.75" customHeight="1" x14ac:dyDescent="0.2">
      <c r="A2587" s="20"/>
      <c r="B2587" s="2"/>
      <c r="C2587" s="2"/>
      <c r="D2587" s="2"/>
    </row>
    <row r="2588" spans="1:4" ht="12.75" customHeight="1" x14ac:dyDescent="0.2">
      <c r="A2588" s="21"/>
      <c r="B2588" s="3" t="s">
        <v>0</v>
      </c>
      <c r="C2588" s="20" t="s">
        <v>293</v>
      </c>
      <c r="D2588" s="21"/>
    </row>
    <row r="2589" spans="1:4" ht="12.75" customHeight="1" x14ac:dyDescent="0.2">
      <c r="A2589" s="21"/>
      <c r="B2589" s="3" t="s">
        <v>2</v>
      </c>
      <c r="C2589" s="20"/>
      <c r="D2589" s="21"/>
    </row>
    <row r="2590" spans="1:4" ht="12.75" customHeight="1" x14ac:dyDescent="0.2">
      <c r="A2590" s="21"/>
      <c r="B2590" s="3" t="s">
        <v>1840</v>
      </c>
      <c r="C2590" s="20" t="s">
        <v>2141</v>
      </c>
      <c r="D2590" s="21"/>
    </row>
    <row r="2591" spans="1:4" ht="12.75" customHeight="1" x14ac:dyDescent="0.2">
      <c r="A2591" s="21"/>
      <c r="B2591" s="3" t="s">
        <v>9</v>
      </c>
      <c r="C2591" s="20" t="s">
        <v>2056</v>
      </c>
      <c r="D2591" s="21"/>
    </row>
    <row r="2592" spans="1:4" ht="12.75" customHeight="1" x14ac:dyDescent="0.2">
      <c r="A2592" s="21"/>
      <c r="B2592" s="3" t="s">
        <v>11</v>
      </c>
      <c r="C2592" s="20" t="s">
        <v>1657</v>
      </c>
      <c r="D2592" s="21"/>
    </row>
    <row r="2593" spans="1:4" ht="12.75" customHeight="1" x14ac:dyDescent="0.2">
      <c r="A2593" s="21"/>
      <c r="B2593" s="3" t="s">
        <v>16</v>
      </c>
      <c r="C2593" s="20"/>
      <c r="D2593" s="21"/>
    </row>
    <row r="2594" spans="1:4" ht="12.75" customHeight="1" x14ac:dyDescent="0.2">
      <c r="A2594" s="21"/>
      <c r="B2594" s="3" t="s">
        <v>17</v>
      </c>
      <c r="C2594" s="20" t="s">
        <v>19</v>
      </c>
      <c r="D2594" s="21"/>
    </row>
    <row r="2595" spans="1:4" ht="12.75" customHeight="1" x14ac:dyDescent="0.2">
      <c r="A2595" s="21"/>
      <c r="B2595" s="20" t="s">
        <v>18</v>
      </c>
      <c r="C2595" s="4" t="s">
        <v>44</v>
      </c>
      <c r="D2595" s="6" t="str">
        <f>HYPERLINK("javascript:void(0)","pikkelysaru")</f>
        <v>pikkelysaru</v>
      </c>
    </row>
    <row r="2596" spans="1:4" ht="12.75" customHeight="1" x14ac:dyDescent="0.2">
      <c r="A2596" s="21"/>
      <c r="B2596" s="21"/>
      <c r="C2596" s="4" t="s">
        <v>44</v>
      </c>
      <c r="D2596" s="6" t="str">
        <f>HYPERLINK("javascript:void(0)","mengorni fűző")</f>
        <v>mengorni fűző</v>
      </c>
    </row>
    <row r="2597" spans="1:4" ht="12.75" customHeight="1" x14ac:dyDescent="0.2">
      <c r="A2597" s="21"/>
      <c r="B2597" s="21"/>
      <c r="C2597" s="4" t="s">
        <v>44</v>
      </c>
      <c r="D2597" s="6" t="str">
        <f>HYPERLINK("javascript:void(0)","tűtappancs")</f>
        <v>tűtappancs</v>
      </c>
    </row>
    <row r="2598" spans="1:4" ht="12.75" customHeight="1" x14ac:dyDescent="0.2">
      <c r="A2598" s="21"/>
      <c r="B2598" s="2"/>
      <c r="C2598" s="2"/>
      <c r="D2598" s="2"/>
    </row>
    <row r="2599" spans="1:4" ht="12.75" customHeight="1" x14ac:dyDescent="0.2">
      <c r="A2599" s="21"/>
      <c r="B2599" s="2"/>
      <c r="C2599" s="2"/>
      <c r="D2599" s="2"/>
    </row>
    <row r="2600" spans="1:4" ht="12.75" customHeight="1" x14ac:dyDescent="0.2">
      <c r="A2600" s="21"/>
      <c r="B2600" s="2"/>
      <c r="C2600" s="2"/>
      <c r="D2600" s="2"/>
    </row>
    <row r="2601" spans="1:4" ht="12.75" customHeight="1" x14ac:dyDescent="0.2">
      <c r="A2601" s="21"/>
      <c r="B2601" s="2"/>
      <c r="C2601" s="2"/>
      <c r="D2601" s="2"/>
    </row>
    <row r="2602" spans="1:4" ht="12.75" customHeight="1" x14ac:dyDescent="0.2">
      <c r="A2602" s="5"/>
      <c r="B2602" s="2"/>
      <c r="C2602" s="2"/>
      <c r="D2602" s="2"/>
    </row>
    <row r="2603" spans="1:4" ht="12.75" customHeight="1" x14ac:dyDescent="0.2">
      <c r="A2603" s="22" t="str">
        <f>HYPERLINK("javascript:void(0)","mengorni fűző")</f>
        <v>mengorni fűző</v>
      </c>
      <c r="B2603" s="21"/>
      <c r="C2603" s="21"/>
      <c r="D2603" s="21"/>
    </row>
    <row r="2604" spans="1:4" ht="12.75" customHeight="1" x14ac:dyDescent="0.2">
      <c r="A2604" s="20"/>
      <c r="B2604" s="2"/>
      <c r="C2604" s="2"/>
      <c r="D2604" s="2"/>
    </row>
    <row r="2605" spans="1:4" ht="12.75" customHeight="1" x14ac:dyDescent="0.2">
      <c r="A2605" s="21"/>
      <c r="B2605" s="3" t="s">
        <v>0</v>
      </c>
      <c r="C2605" s="20" t="s">
        <v>293</v>
      </c>
      <c r="D2605" s="21"/>
    </row>
    <row r="2606" spans="1:4" ht="12.75" customHeight="1" x14ac:dyDescent="0.2">
      <c r="A2606" s="21"/>
      <c r="B2606" s="3" t="s">
        <v>2</v>
      </c>
      <c r="C2606" s="20"/>
      <c r="D2606" s="21"/>
    </row>
    <row r="2607" spans="1:4" ht="12.75" customHeight="1" x14ac:dyDescent="0.2">
      <c r="A2607" s="21"/>
      <c r="B2607" s="3" t="s">
        <v>1840</v>
      </c>
      <c r="C2607" s="20" t="s">
        <v>127</v>
      </c>
      <c r="D2607" s="21"/>
    </row>
    <row r="2608" spans="1:4" ht="12.75" customHeight="1" x14ac:dyDescent="0.2">
      <c r="A2608" s="21"/>
      <c r="B2608" s="3" t="s">
        <v>9</v>
      </c>
      <c r="C2608" s="20" t="s">
        <v>70</v>
      </c>
      <c r="D2608" s="21"/>
    </row>
    <row r="2609" spans="1:4" ht="12.75" customHeight="1" x14ac:dyDescent="0.2">
      <c r="A2609" s="21"/>
      <c r="B2609" s="3" t="s">
        <v>11</v>
      </c>
      <c r="C2609" s="20" t="s">
        <v>2144</v>
      </c>
      <c r="D2609" s="21"/>
    </row>
    <row r="2610" spans="1:4" ht="12.75" customHeight="1" x14ac:dyDescent="0.2">
      <c r="A2610" s="21"/>
      <c r="B2610" s="3" t="s">
        <v>16</v>
      </c>
      <c r="C2610" s="20"/>
      <c r="D2610" s="21"/>
    </row>
    <row r="2611" spans="1:4" ht="12.75" customHeight="1" x14ac:dyDescent="0.2">
      <c r="A2611" s="21"/>
      <c r="B2611" s="3" t="s">
        <v>17</v>
      </c>
      <c r="C2611" s="20" t="s">
        <v>19</v>
      </c>
      <c r="D2611" s="21"/>
    </row>
    <row r="2612" spans="1:4" ht="12.75" customHeight="1" x14ac:dyDescent="0.2">
      <c r="A2612" s="21"/>
      <c r="B2612" s="20" t="s">
        <v>18</v>
      </c>
      <c r="C2612" s="4" t="s">
        <v>269</v>
      </c>
      <c r="D2612" s="6" t="str">
        <f>HYPERLINK("javascript:void(0)","vasorr")</f>
        <v>vasorr</v>
      </c>
    </row>
    <row r="2613" spans="1:4" ht="12.75" customHeight="1" x14ac:dyDescent="0.2">
      <c r="A2613" s="21"/>
      <c r="B2613" s="21"/>
      <c r="C2613" s="4" t="s">
        <v>68</v>
      </c>
      <c r="D2613" s="6" t="str">
        <f>HYPERLINK("javascript:void(0)","hálószem")</f>
        <v>hálószem</v>
      </c>
    </row>
    <row r="2614" spans="1:4" ht="12.75" customHeight="1" x14ac:dyDescent="0.2">
      <c r="A2614" s="21"/>
      <c r="B2614" s="21"/>
      <c r="C2614" s="4" t="s">
        <v>132</v>
      </c>
      <c r="D2614" s="6" t="str">
        <f>HYPERLINK("javascript:void(0)","rozmáragyar")</f>
        <v>rozmáragyar</v>
      </c>
    </row>
    <row r="2615" spans="1:4" ht="12.75" customHeight="1" x14ac:dyDescent="0.2">
      <c r="A2615" s="21"/>
      <c r="B2615" s="2"/>
      <c r="C2615" s="2"/>
      <c r="D2615" s="2"/>
    </row>
    <row r="2616" spans="1:4" ht="12.75" customHeight="1" x14ac:dyDescent="0.2">
      <c r="A2616" s="21"/>
      <c r="B2616" s="2"/>
      <c r="C2616" s="2"/>
      <c r="D2616" s="2"/>
    </row>
    <row r="2617" spans="1:4" ht="12.75" customHeight="1" x14ac:dyDescent="0.2">
      <c r="A2617" s="21"/>
      <c r="B2617" s="2"/>
      <c r="C2617" s="2"/>
      <c r="D2617" s="2"/>
    </row>
    <row r="2618" spans="1:4" ht="12.75" customHeight="1" x14ac:dyDescent="0.2">
      <c r="A2618" s="21"/>
      <c r="B2618" s="2"/>
      <c r="C2618" s="2"/>
      <c r="D2618" s="2"/>
    </row>
    <row r="2619" spans="1:4" ht="12.75" customHeight="1" x14ac:dyDescent="0.2">
      <c r="A2619" s="5"/>
      <c r="B2619" s="2"/>
      <c r="C2619" s="2"/>
      <c r="D2619" s="2"/>
    </row>
    <row r="2620" spans="1:4" ht="12.75" customHeight="1" x14ac:dyDescent="0.2">
      <c r="A2620" s="22" t="str">
        <f>HYPERLINK("javascript:void(0)","angyalsurranó")</f>
        <v>angyalsurranó</v>
      </c>
      <c r="B2620" s="21"/>
      <c r="C2620" s="21"/>
      <c r="D2620" s="21"/>
    </row>
    <row r="2621" spans="1:4" ht="12.75" customHeight="1" x14ac:dyDescent="0.2">
      <c r="A2621" s="20"/>
      <c r="B2621" s="2"/>
      <c r="C2621" s="2"/>
      <c r="D2621" s="2"/>
    </row>
    <row r="2622" spans="1:4" ht="12.75" customHeight="1" x14ac:dyDescent="0.2">
      <c r="A2622" s="21"/>
      <c r="B2622" s="3" t="s">
        <v>0</v>
      </c>
      <c r="C2622" s="20" t="s">
        <v>968</v>
      </c>
      <c r="D2622" s="21"/>
    </row>
    <row r="2623" spans="1:4" ht="12.75" customHeight="1" x14ac:dyDescent="0.2">
      <c r="A2623" s="21"/>
      <c r="B2623" s="3" t="s">
        <v>2</v>
      </c>
      <c r="C2623" s="20"/>
      <c r="D2623" s="21"/>
    </row>
    <row r="2624" spans="1:4" ht="12.75" customHeight="1" x14ac:dyDescent="0.2">
      <c r="A2624" s="21"/>
      <c r="B2624" s="3" t="s">
        <v>1840</v>
      </c>
      <c r="C2624" s="20" t="s">
        <v>2137</v>
      </c>
      <c r="D2624" s="21"/>
    </row>
    <row r="2625" spans="1:4" ht="12.75" customHeight="1" x14ac:dyDescent="0.2">
      <c r="A2625" s="21"/>
      <c r="B2625" s="3" t="s">
        <v>9</v>
      </c>
      <c r="C2625" s="20" t="s">
        <v>210</v>
      </c>
      <c r="D2625" s="21"/>
    </row>
    <row r="2626" spans="1:4" ht="12.75" customHeight="1" x14ac:dyDescent="0.2">
      <c r="A2626" s="21"/>
      <c r="B2626" s="3" t="s">
        <v>11</v>
      </c>
      <c r="C2626" s="20" t="s">
        <v>1500</v>
      </c>
      <c r="D2626" s="21"/>
    </row>
    <row r="2627" spans="1:4" ht="12.75" customHeight="1" x14ac:dyDescent="0.2">
      <c r="A2627" s="21"/>
      <c r="B2627" s="3" t="s">
        <v>16</v>
      </c>
      <c r="C2627" s="20"/>
      <c r="D2627" s="21"/>
    </row>
    <row r="2628" spans="1:4" ht="12.75" customHeight="1" x14ac:dyDescent="0.2">
      <c r="A2628" s="21"/>
      <c r="B2628" s="3" t="s">
        <v>17</v>
      </c>
      <c r="C2628" s="20" t="s">
        <v>19</v>
      </c>
      <c r="D2628" s="21"/>
    </row>
    <row r="2629" spans="1:4" ht="12.75" customHeight="1" x14ac:dyDescent="0.2">
      <c r="A2629" s="21"/>
      <c r="B2629" s="20" t="s">
        <v>18</v>
      </c>
      <c r="C2629" s="4" t="s">
        <v>44</v>
      </c>
      <c r="D2629" s="6" t="str">
        <f>HYPERLINK("javascript:void(0)","mengorni mokaszin")</f>
        <v>mengorni mokaszin</v>
      </c>
    </row>
    <row r="2630" spans="1:4" ht="12.75" customHeight="1" x14ac:dyDescent="0.2">
      <c r="A2630" s="21"/>
      <c r="B2630" s="21"/>
      <c r="C2630" s="4" t="s">
        <v>296</v>
      </c>
      <c r="D2630" s="6" t="str">
        <f>HYPERLINK("javascript:void(0)","angyalhaj")</f>
        <v>angyalhaj</v>
      </c>
    </row>
    <row r="2631" spans="1:4" ht="12.75" customHeight="1" x14ac:dyDescent="0.2">
      <c r="A2631" s="21"/>
      <c r="B2631" s="21"/>
      <c r="C2631" s="4" t="s">
        <v>269</v>
      </c>
      <c r="D2631" s="6" t="str">
        <f>HYPERLINK("javascript:void(0)","orrkarika")</f>
        <v>orrkarika</v>
      </c>
    </row>
    <row r="2632" spans="1:4" ht="12.75" customHeight="1" x14ac:dyDescent="0.2">
      <c r="A2632" s="21"/>
      <c r="B2632" s="2"/>
      <c r="C2632" s="2"/>
      <c r="D2632" s="2"/>
    </row>
    <row r="2633" spans="1:4" ht="12.75" customHeight="1" x14ac:dyDescent="0.2">
      <c r="A2633" s="21"/>
      <c r="B2633" s="2"/>
      <c r="C2633" s="2"/>
      <c r="D2633" s="2"/>
    </row>
    <row r="2634" spans="1:4" ht="12.75" customHeight="1" x14ac:dyDescent="0.2">
      <c r="A2634" s="21"/>
      <c r="B2634" s="2"/>
      <c r="C2634" s="2"/>
      <c r="D2634" s="2"/>
    </row>
    <row r="2635" spans="1:4" ht="12.75" customHeight="1" x14ac:dyDescent="0.2">
      <c r="A2635" s="21"/>
      <c r="B2635" s="2"/>
      <c r="C2635" s="2"/>
      <c r="D2635" s="2"/>
    </row>
    <row r="2636" spans="1:4" ht="12.75" customHeight="1" x14ac:dyDescent="0.2">
      <c r="A2636" s="5"/>
      <c r="B2636" s="2"/>
      <c r="C2636" s="2"/>
      <c r="D2636" s="2"/>
    </row>
    <row r="2637" spans="1:4" ht="12.75" customHeight="1" x14ac:dyDescent="0.2">
      <c r="A2637" s="22" t="str">
        <f>HYPERLINK("javascript:void(0)","rémes törtető")</f>
        <v>rémes törtető</v>
      </c>
      <c r="B2637" s="21"/>
      <c r="C2637" s="21"/>
      <c r="D2637" s="21"/>
    </row>
    <row r="2638" spans="1:4" ht="12.75" customHeight="1" x14ac:dyDescent="0.2">
      <c r="A2638" s="20"/>
      <c r="B2638" s="2"/>
      <c r="C2638" s="2"/>
      <c r="D2638" s="2"/>
    </row>
    <row r="2639" spans="1:4" ht="12.75" customHeight="1" x14ac:dyDescent="0.2">
      <c r="A2639" s="21"/>
      <c r="B2639" s="3" t="s">
        <v>0</v>
      </c>
      <c r="C2639" s="20" t="s">
        <v>978</v>
      </c>
      <c r="D2639" s="21"/>
    </row>
    <row r="2640" spans="1:4" ht="12.75" customHeight="1" x14ac:dyDescent="0.2">
      <c r="A2640" s="21"/>
      <c r="B2640" s="3" t="s">
        <v>2</v>
      </c>
      <c r="C2640" s="20"/>
      <c r="D2640" s="21"/>
    </row>
    <row r="2641" spans="1:4" ht="12.75" customHeight="1" x14ac:dyDescent="0.2">
      <c r="A2641" s="21"/>
      <c r="B2641" s="3" t="s">
        <v>1840</v>
      </c>
      <c r="C2641" s="20" t="s">
        <v>2145</v>
      </c>
      <c r="D2641" s="21"/>
    </row>
    <row r="2642" spans="1:4" ht="12.75" customHeight="1" x14ac:dyDescent="0.2">
      <c r="A2642" s="21"/>
      <c r="B2642" s="3" t="s">
        <v>9</v>
      </c>
      <c r="C2642" s="20" t="s">
        <v>2146</v>
      </c>
      <c r="D2642" s="21"/>
    </row>
    <row r="2643" spans="1:4" ht="12.75" customHeight="1" x14ac:dyDescent="0.2">
      <c r="A2643" s="21"/>
      <c r="B2643" s="3" t="s">
        <v>11</v>
      </c>
      <c r="C2643" s="20" t="s">
        <v>839</v>
      </c>
      <c r="D2643" s="21"/>
    </row>
    <row r="2644" spans="1:4" ht="12.75" customHeight="1" x14ac:dyDescent="0.2">
      <c r="A2644" s="21"/>
      <c r="B2644" s="3" t="s">
        <v>16</v>
      </c>
      <c r="C2644" s="20"/>
      <c r="D2644" s="21"/>
    </row>
    <row r="2645" spans="1:4" ht="12.75" customHeight="1" x14ac:dyDescent="0.2">
      <c r="A2645" s="21"/>
      <c r="B2645" s="3" t="s">
        <v>17</v>
      </c>
      <c r="C2645" s="20" t="s">
        <v>19</v>
      </c>
      <c r="D2645" s="21"/>
    </row>
    <row r="2646" spans="1:4" ht="12.75" customHeight="1" x14ac:dyDescent="0.2">
      <c r="A2646" s="21"/>
      <c r="B2646" s="20" t="s">
        <v>18</v>
      </c>
      <c r="C2646" s="4" t="s">
        <v>196</v>
      </c>
      <c r="D2646" s="6" t="str">
        <f>HYPERLINK("javascript:void(0)","törtvény")</f>
        <v>törtvény</v>
      </c>
    </row>
    <row r="2647" spans="1:4" ht="12.75" customHeight="1" x14ac:dyDescent="0.2">
      <c r="A2647" s="21"/>
      <c r="B2647" s="21"/>
      <c r="C2647" s="4" t="s">
        <v>117</v>
      </c>
      <c r="D2647" s="6" t="str">
        <f>HYPERLINK("javascript:void(0)","rémláb")</f>
        <v>rémláb</v>
      </c>
    </row>
    <row r="2648" spans="1:4" ht="12.75" customHeight="1" x14ac:dyDescent="0.2">
      <c r="A2648" s="21"/>
      <c r="B2648" s="21"/>
      <c r="C2648" s="4" t="s">
        <v>296</v>
      </c>
      <c r="D2648" s="6" t="str">
        <f>HYPERLINK("javascript:void(0)","csapdaszeg")</f>
        <v>csapdaszeg</v>
      </c>
    </row>
    <row r="2649" spans="1:4" ht="12.75" customHeight="1" x14ac:dyDescent="0.2">
      <c r="A2649" s="21"/>
      <c r="B2649" s="2"/>
      <c r="C2649" s="2"/>
      <c r="D2649" s="2"/>
    </row>
    <row r="2650" spans="1:4" ht="12.75" customHeight="1" x14ac:dyDescent="0.2">
      <c r="A2650" s="21"/>
      <c r="B2650" s="2"/>
      <c r="C2650" s="2"/>
      <c r="D2650" s="2"/>
    </row>
    <row r="2651" spans="1:4" ht="12.75" customHeight="1" x14ac:dyDescent="0.2">
      <c r="A2651" s="21"/>
      <c r="B2651" s="2"/>
      <c r="C2651" s="2"/>
      <c r="D2651" s="2"/>
    </row>
    <row r="2652" spans="1:4" ht="12.75" customHeight="1" x14ac:dyDescent="0.2">
      <c r="A2652" s="21"/>
      <c r="B2652" s="2"/>
      <c r="C2652" s="2"/>
      <c r="D2652" s="2"/>
    </row>
    <row r="2653" spans="1:4" ht="12.75" customHeight="1" x14ac:dyDescent="0.2">
      <c r="A2653" s="5"/>
      <c r="B2653" s="2"/>
      <c r="C2653" s="2"/>
      <c r="D2653" s="2"/>
    </row>
    <row r="2654" spans="1:4" ht="12.75" customHeight="1" x14ac:dyDescent="0.2">
      <c r="A2654" s="22" t="str">
        <f>HYPERLINK("javascript:void(0)","skívei antigrav csizma")</f>
        <v>skívei antigrav csizma</v>
      </c>
      <c r="B2654" s="21"/>
      <c r="C2654" s="21"/>
      <c r="D2654" s="21"/>
    </row>
    <row r="2655" spans="1:4" ht="12.75" customHeight="1" x14ac:dyDescent="0.2">
      <c r="A2655" s="20"/>
      <c r="B2655" s="2"/>
      <c r="C2655" s="2"/>
      <c r="D2655" s="2"/>
    </row>
    <row r="2656" spans="1:4" ht="12.75" customHeight="1" x14ac:dyDescent="0.2">
      <c r="A2656" s="21"/>
      <c r="B2656" s="3" t="s">
        <v>0</v>
      </c>
      <c r="C2656" s="20" t="s">
        <v>978</v>
      </c>
      <c r="D2656" s="21"/>
    </row>
    <row r="2657" spans="1:4" ht="12.75" customHeight="1" x14ac:dyDescent="0.2">
      <c r="A2657" s="21"/>
      <c r="B2657" s="3" t="s">
        <v>2</v>
      </c>
      <c r="C2657" s="20"/>
      <c r="D2657" s="21"/>
    </row>
    <row r="2658" spans="1:4" ht="12.75" customHeight="1" x14ac:dyDescent="0.2">
      <c r="A2658" s="21"/>
      <c r="B2658" s="3" t="s">
        <v>1840</v>
      </c>
      <c r="C2658" s="20" t="s">
        <v>2145</v>
      </c>
      <c r="D2658" s="21"/>
    </row>
    <row r="2659" spans="1:4" ht="12.75" customHeight="1" x14ac:dyDescent="0.2">
      <c r="A2659" s="21"/>
      <c r="B2659" s="3" t="s">
        <v>9</v>
      </c>
      <c r="C2659" s="20" t="s">
        <v>626</v>
      </c>
      <c r="D2659" s="21"/>
    </row>
    <row r="2660" spans="1:4" ht="12.75" customHeight="1" x14ac:dyDescent="0.2">
      <c r="A2660" s="21"/>
      <c r="B2660" s="3" t="s">
        <v>11</v>
      </c>
      <c r="C2660" s="20" t="s">
        <v>23</v>
      </c>
      <c r="D2660" s="21"/>
    </row>
    <row r="2661" spans="1:4" ht="12.75" customHeight="1" x14ac:dyDescent="0.2">
      <c r="A2661" s="21"/>
      <c r="B2661" s="3" t="s">
        <v>16</v>
      </c>
      <c r="C2661" s="20"/>
      <c r="D2661" s="21"/>
    </row>
    <row r="2662" spans="1:4" ht="12.75" customHeight="1" x14ac:dyDescent="0.2">
      <c r="A2662" s="21"/>
      <c r="B2662" s="3" t="s">
        <v>17</v>
      </c>
      <c r="C2662" s="20" t="s">
        <v>19</v>
      </c>
      <c r="D2662" s="21"/>
    </row>
    <row r="2663" spans="1:4" ht="25.5" customHeight="1" x14ac:dyDescent="0.2">
      <c r="A2663" s="21"/>
      <c r="B2663" s="20" t="s">
        <v>18</v>
      </c>
      <c r="C2663" s="4" t="s">
        <v>44</v>
      </c>
      <c r="D2663" s="6" t="str">
        <f>HYPERLINK("javascript:void(0)","harmatacél antigrav csizma")</f>
        <v>harmatacél antigrav csizma</v>
      </c>
    </row>
    <row r="2664" spans="1:4" ht="12.75" customHeight="1" x14ac:dyDescent="0.2">
      <c r="A2664" s="21"/>
      <c r="B2664" s="21"/>
      <c r="C2664" s="4" t="s">
        <v>780</v>
      </c>
      <c r="D2664" s="6" t="str">
        <f>HYPERLINK("javascript:void(0)","antiige")</f>
        <v>antiige</v>
      </c>
    </row>
    <row r="2665" spans="1:4" ht="12.75" customHeight="1" x14ac:dyDescent="0.2">
      <c r="A2665" s="21"/>
      <c r="B2665" s="21"/>
      <c r="C2665" s="4" t="s">
        <v>756</v>
      </c>
      <c r="D2665" s="6" t="str">
        <f>HYPERLINK("javascript:void(0)","angyalhaj")</f>
        <v>angyalhaj</v>
      </c>
    </row>
    <row r="2666" spans="1:4" ht="12.75" customHeight="1" x14ac:dyDescent="0.2">
      <c r="A2666" s="21"/>
      <c r="B2666" s="2"/>
      <c r="C2666" s="2"/>
      <c r="D2666" s="2"/>
    </row>
    <row r="2667" spans="1:4" ht="12.75" customHeight="1" x14ac:dyDescent="0.2">
      <c r="A2667" s="21"/>
      <c r="B2667" s="2"/>
      <c r="C2667" s="2"/>
      <c r="D2667" s="2"/>
    </row>
    <row r="2668" spans="1:4" ht="12.75" customHeight="1" x14ac:dyDescent="0.2">
      <c r="A2668" s="21"/>
      <c r="B2668" s="2"/>
      <c r="C2668" s="2"/>
      <c r="D2668" s="2"/>
    </row>
    <row r="2669" spans="1:4" ht="12.75" customHeight="1" x14ac:dyDescent="0.2">
      <c r="A2669" s="21"/>
      <c r="B2669" s="2"/>
      <c r="C2669" s="2"/>
      <c r="D2669" s="2"/>
    </row>
    <row r="2670" spans="1:4" ht="12.75" customHeight="1" x14ac:dyDescent="0.2">
      <c r="A2670" s="5"/>
      <c r="B2670" s="2"/>
      <c r="C2670" s="2"/>
      <c r="D2670" s="2"/>
    </row>
    <row r="2671" spans="1:4" ht="12.75" customHeight="1" x14ac:dyDescent="0.2">
      <c r="A2671" s="22" t="str">
        <f>HYPERLINK("javascript:void(0)","skívei mokaszin")</f>
        <v>skívei mokaszin</v>
      </c>
      <c r="B2671" s="21"/>
      <c r="C2671" s="21"/>
      <c r="D2671" s="21"/>
    </row>
    <row r="2672" spans="1:4" ht="12.75" customHeight="1" x14ac:dyDescent="0.2">
      <c r="A2672" s="20"/>
      <c r="B2672" s="2"/>
      <c r="C2672" s="2"/>
      <c r="D2672" s="2"/>
    </row>
    <row r="2673" spans="1:4" ht="12.75" customHeight="1" x14ac:dyDescent="0.2">
      <c r="A2673" s="21"/>
      <c r="B2673" s="3" t="s">
        <v>0</v>
      </c>
      <c r="C2673" s="20" t="s">
        <v>87</v>
      </c>
      <c r="D2673" s="21"/>
    </row>
    <row r="2674" spans="1:4" ht="12.75" customHeight="1" x14ac:dyDescent="0.2">
      <c r="A2674" s="21"/>
      <c r="B2674" s="3" t="s">
        <v>2</v>
      </c>
      <c r="C2674" s="20"/>
      <c r="D2674" s="21"/>
    </row>
    <row r="2675" spans="1:4" ht="12.75" customHeight="1" x14ac:dyDescent="0.2">
      <c r="A2675" s="21"/>
      <c r="B2675" s="3" t="s">
        <v>1840</v>
      </c>
      <c r="C2675" s="20" t="s">
        <v>2149</v>
      </c>
      <c r="D2675" s="21"/>
    </row>
    <row r="2676" spans="1:4" ht="12.75" customHeight="1" x14ac:dyDescent="0.2">
      <c r="A2676" s="21"/>
      <c r="B2676" s="3" t="s">
        <v>9</v>
      </c>
      <c r="C2676" s="20" t="s">
        <v>958</v>
      </c>
      <c r="D2676" s="21"/>
    </row>
    <row r="2677" spans="1:4" ht="12.75" customHeight="1" x14ac:dyDescent="0.2">
      <c r="A2677" s="21"/>
      <c r="B2677" s="3" t="s">
        <v>11</v>
      </c>
      <c r="C2677" s="20" t="s">
        <v>1509</v>
      </c>
      <c r="D2677" s="21"/>
    </row>
    <row r="2678" spans="1:4" ht="12.75" customHeight="1" x14ac:dyDescent="0.2">
      <c r="A2678" s="21"/>
      <c r="B2678" s="3" t="s">
        <v>16</v>
      </c>
      <c r="C2678" s="20"/>
      <c r="D2678" s="21"/>
    </row>
    <row r="2679" spans="1:4" ht="12.75" customHeight="1" x14ac:dyDescent="0.2">
      <c r="A2679" s="21"/>
      <c r="B2679" s="3" t="s">
        <v>17</v>
      </c>
      <c r="C2679" s="20" t="s">
        <v>19</v>
      </c>
      <c r="D2679" s="21"/>
    </row>
    <row r="2680" spans="1:4" ht="12.75" customHeight="1" x14ac:dyDescent="0.2">
      <c r="A2680" s="21"/>
      <c r="B2680" s="20" t="s">
        <v>18</v>
      </c>
      <c r="C2680" s="4" t="s">
        <v>44</v>
      </c>
      <c r="D2680" s="6" t="str">
        <f>HYPERLINK("javascript:void(0)","rémes törtető")</f>
        <v>rémes törtető</v>
      </c>
    </row>
    <row r="2681" spans="1:4" ht="12.75" customHeight="1" x14ac:dyDescent="0.2">
      <c r="A2681" s="21"/>
      <c r="B2681" s="21"/>
      <c r="C2681" s="4" t="s">
        <v>44</v>
      </c>
      <c r="D2681" s="6" t="str">
        <f>HYPERLINK("javascript:void(0)","angyalsurranó")</f>
        <v>angyalsurranó</v>
      </c>
    </row>
    <row r="2682" spans="1:4" ht="12.75" customHeight="1" x14ac:dyDescent="0.2">
      <c r="A2682" s="21"/>
      <c r="B2682" s="21"/>
      <c r="C2682" s="4" t="s">
        <v>44</v>
      </c>
      <c r="D2682" s="6" t="str">
        <f>HYPERLINK("javascript:void(0)","skívei fűző")</f>
        <v>skívei fűző</v>
      </c>
    </row>
    <row r="2683" spans="1:4" ht="12.75" customHeight="1" x14ac:dyDescent="0.2">
      <c r="A2683" s="21"/>
      <c r="B2683" s="2"/>
      <c r="C2683" s="2"/>
      <c r="D2683" s="2"/>
    </row>
    <row r="2684" spans="1:4" ht="12.75" customHeight="1" x14ac:dyDescent="0.2">
      <c r="A2684" s="21"/>
      <c r="B2684" s="2"/>
      <c r="C2684" s="2"/>
      <c r="D2684" s="2"/>
    </row>
    <row r="2685" spans="1:4" ht="12.75" customHeight="1" x14ac:dyDescent="0.2">
      <c r="A2685" s="21"/>
      <c r="B2685" s="2"/>
      <c r="C2685" s="2"/>
      <c r="D2685" s="2"/>
    </row>
    <row r="2686" spans="1:4" ht="12.75" customHeight="1" x14ac:dyDescent="0.2">
      <c r="A2686" s="21"/>
      <c r="B2686" s="2"/>
      <c r="C2686" s="2"/>
      <c r="D2686" s="2"/>
    </row>
    <row r="2687" spans="1:4" ht="12.75" customHeight="1" x14ac:dyDescent="0.2">
      <c r="A2687" s="5"/>
      <c r="B2687" s="2"/>
      <c r="C2687" s="2"/>
      <c r="D2687" s="2"/>
    </row>
    <row r="2688" spans="1:4" ht="12.75" customHeight="1" x14ac:dyDescent="0.2">
      <c r="A2688" s="22" t="str">
        <f>HYPERLINK("javascript:void(0)","skívei fűző")</f>
        <v>skívei fűző</v>
      </c>
      <c r="B2688" s="21"/>
      <c r="C2688" s="21"/>
      <c r="D2688" s="21"/>
    </row>
    <row r="2689" spans="1:4" ht="12.75" customHeight="1" x14ac:dyDescent="0.2">
      <c r="A2689" s="20"/>
      <c r="B2689" s="2"/>
      <c r="C2689" s="2"/>
      <c r="D2689" s="2"/>
    </row>
    <row r="2690" spans="1:4" ht="12.75" customHeight="1" x14ac:dyDescent="0.2">
      <c r="A2690" s="21"/>
      <c r="B2690" s="3" t="s">
        <v>0</v>
      </c>
      <c r="C2690" s="20" t="s">
        <v>87</v>
      </c>
      <c r="D2690" s="21"/>
    </row>
    <row r="2691" spans="1:4" ht="12.75" customHeight="1" x14ac:dyDescent="0.2">
      <c r="A2691" s="21"/>
      <c r="B2691" s="3" t="s">
        <v>2</v>
      </c>
      <c r="C2691" s="20"/>
      <c r="D2691" s="21"/>
    </row>
    <row r="2692" spans="1:4" ht="12.75" customHeight="1" x14ac:dyDescent="0.2">
      <c r="A2692" s="21"/>
      <c r="B2692" s="3" t="s">
        <v>1840</v>
      </c>
      <c r="C2692" s="20" t="s">
        <v>127</v>
      </c>
      <c r="D2692" s="21"/>
    </row>
    <row r="2693" spans="1:4" ht="12.75" customHeight="1" x14ac:dyDescent="0.2">
      <c r="A2693" s="21"/>
      <c r="B2693" s="3" t="s">
        <v>9</v>
      </c>
      <c r="C2693" s="20" t="s">
        <v>70</v>
      </c>
      <c r="D2693" s="21"/>
    </row>
    <row r="2694" spans="1:4" ht="12.75" customHeight="1" x14ac:dyDescent="0.2">
      <c r="A2694" s="21"/>
      <c r="B2694" s="3" t="s">
        <v>11</v>
      </c>
      <c r="C2694" s="20" t="s">
        <v>2144</v>
      </c>
      <c r="D2694" s="21"/>
    </row>
    <row r="2695" spans="1:4" ht="12.75" customHeight="1" x14ac:dyDescent="0.2">
      <c r="A2695" s="21"/>
      <c r="B2695" s="3" t="s">
        <v>16</v>
      </c>
      <c r="C2695" s="20"/>
      <c r="D2695" s="21"/>
    </row>
    <row r="2696" spans="1:4" ht="12.75" customHeight="1" x14ac:dyDescent="0.2">
      <c r="A2696" s="21"/>
      <c r="B2696" s="3" t="s">
        <v>17</v>
      </c>
      <c r="C2696" s="20" t="s">
        <v>19</v>
      </c>
      <c r="D2696" s="21"/>
    </row>
    <row r="2697" spans="1:4" ht="12.75" customHeight="1" x14ac:dyDescent="0.2">
      <c r="A2697" s="21"/>
      <c r="B2697" s="20" t="s">
        <v>18</v>
      </c>
      <c r="C2697" s="4" t="s">
        <v>269</v>
      </c>
      <c r="D2697" s="6" t="str">
        <f>HYPERLINK("javascript:void(0)","brummogás")</f>
        <v>brummogás</v>
      </c>
    </row>
    <row r="2698" spans="1:4" ht="12.75" customHeight="1" x14ac:dyDescent="0.2">
      <c r="A2698" s="21"/>
      <c r="B2698" s="21"/>
      <c r="C2698" s="4" t="s">
        <v>67</v>
      </c>
      <c r="D2698" s="6" t="str">
        <f>HYPERLINK("javascript:void(0)","fülcsáp")</f>
        <v>fülcsáp</v>
      </c>
    </row>
    <row r="2699" spans="1:4" ht="12.75" customHeight="1" x14ac:dyDescent="0.2">
      <c r="A2699" s="21"/>
      <c r="B2699" s="21"/>
      <c r="C2699" s="4" t="s">
        <v>98</v>
      </c>
      <c r="D2699" s="6" t="str">
        <f>HYPERLINK("javascript:void(0)","kártyalap")</f>
        <v>kártyalap</v>
      </c>
    </row>
    <row r="2700" spans="1:4" ht="12.75" customHeight="1" x14ac:dyDescent="0.2">
      <c r="A2700" s="21"/>
      <c r="B2700" s="2"/>
      <c r="C2700" s="2"/>
      <c r="D2700" s="2"/>
    </row>
    <row r="2701" spans="1:4" ht="12.75" customHeight="1" x14ac:dyDescent="0.2">
      <c r="A2701" s="21"/>
      <c r="B2701" s="2"/>
      <c r="C2701" s="2"/>
      <c r="D2701" s="2"/>
    </row>
    <row r="2702" spans="1:4" ht="12.75" customHeight="1" x14ac:dyDescent="0.2">
      <c r="A2702" s="21"/>
      <c r="B2702" s="2"/>
      <c r="C2702" s="2"/>
      <c r="D2702" s="2"/>
    </row>
    <row r="2703" spans="1:4" ht="12.75" customHeight="1" x14ac:dyDescent="0.2">
      <c r="A2703" s="21"/>
      <c r="B2703" s="2"/>
      <c r="C2703" s="2"/>
      <c r="D2703" s="2"/>
    </row>
    <row r="2704" spans="1:4" ht="12.75" customHeight="1" x14ac:dyDescent="0.2">
      <c r="A2704" s="5"/>
      <c r="B2704" s="2"/>
      <c r="C2704" s="2"/>
      <c r="D2704" s="2"/>
    </row>
    <row r="2705" spans="1:4" ht="12.75" customHeight="1" x14ac:dyDescent="0.2">
      <c r="A2705" s="22" t="str">
        <f>HYPERLINK("javascript:void(0)","csillámló yeticsizma")</f>
        <v>csillámló yeticsizma</v>
      </c>
      <c r="B2705" s="21"/>
      <c r="C2705" s="21"/>
      <c r="D2705" s="21"/>
    </row>
    <row r="2706" spans="1:4" ht="12.75" customHeight="1" x14ac:dyDescent="0.2">
      <c r="A2706" s="20"/>
      <c r="B2706" s="2"/>
      <c r="C2706" s="2"/>
      <c r="D2706" s="2"/>
    </row>
    <row r="2707" spans="1:4" ht="12.75" customHeight="1" x14ac:dyDescent="0.2">
      <c r="A2707" s="21"/>
      <c r="B2707" s="3" t="s">
        <v>0</v>
      </c>
      <c r="C2707" s="20" t="s">
        <v>87</v>
      </c>
      <c r="D2707" s="21"/>
    </row>
    <row r="2708" spans="1:4" ht="12.75" customHeight="1" x14ac:dyDescent="0.2">
      <c r="A2708" s="21"/>
      <c r="B2708" s="3" t="s">
        <v>2</v>
      </c>
      <c r="C2708" s="20"/>
      <c r="D2708" s="21"/>
    </row>
    <row r="2709" spans="1:4" ht="12.75" customHeight="1" x14ac:dyDescent="0.2">
      <c r="A2709" s="21"/>
      <c r="B2709" s="3" t="s">
        <v>1840</v>
      </c>
      <c r="C2709" s="20" t="s">
        <v>2153</v>
      </c>
      <c r="D2709" s="21"/>
    </row>
    <row r="2710" spans="1:4" ht="12.75" customHeight="1" x14ac:dyDescent="0.2">
      <c r="A2710" s="21"/>
      <c r="B2710" s="3" t="s">
        <v>9</v>
      </c>
      <c r="C2710" s="20" t="s">
        <v>126</v>
      </c>
      <c r="D2710" s="21"/>
    </row>
    <row r="2711" spans="1:4" ht="12.75" customHeight="1" x14ac:dyDescent="0.2">
      <c r="A2711" s="21"/>
      <c r="B2711" s="3" t="s">
        <v>11</v>
      </c>
      <c r="C2711" s="20" t="s">
        <v>1509</v>
      </c>
      <c r="D2711" s="21"/>
    </row>
    <row r="2712" spans="1:4" ht="12.75" customHeight="1" x14ac:dyDescent="0.2">
      <c r="A2712" s="21"/>
      <c r="B2712" s="3" t="s">
        <v>16</v>
      </c>
      <c r="C2712" s="20"/>
      <c r="D2712" s="21"/>
    </row>
    <row r="2713" spans="1:4" ht="12.75" customHeight="1" x14ac:dyDescent="0.2">
      <c r="A2713" s="21"/>
      <c r="B2713" s="3" t="s">
        <v>17</v>
      </c>
      <c r="C2713" s="20" t="s">
        <v>19</v>
      </c>
      <c r="D2713" s="21"/>
    </row>
    <row r="2714" spans="1:4" ht="12.75" customHeight="1" x14ac:dyDescent="0.2">
      <c r="A2714" s="21"/>
      <c r="B2714" s="20" t="s">
        <v>18</v>
      </c>
      <c r="C2714" s="4" t="s">
        <v>57</v>
      </c>
      <c r="D2714" s="6" t="str">
        <f>HYPERLINK("javascript:void(0)","csillámgöb")</f>
        <v>csillámgöb</v>
      </c>
    </row>
    <row r="2715" spans="1:4" ht="12.75" customHeight="1" x14ac:dyDescent="0.2">
      <c r="A2715" s="21"/>
      <c r="B2715" s="21"/>
      <c r="C2715" s="4" t="s">
        <v>44</v>
      </c>
      <c r="D2715" s="6" t="str">
        <f>HYPERLINK("javascript:void(0)","csillámló légcipő")</f>
        <v>csillámló légcipő</v>
      </c>
    </row>
    <row r="2716" spans="1:4" ht="12.75" customHeight="1" x14ac:dyDescent="0.2">
      <c r="A2716" s="21"/>
      <c r="B2716" s="21"/>
      <c r="C2716" s="4" t="s">
        <v>98</v>
      </c>
      <c r="D2716" s="6" t="str">
        <f>HYPERLINK("javascript:void(0)","vasrög")</f>
        <v>vasrög</v>
      </c>
    </row>
    <row r="2717" spans="1:4" ht="12.75" customHeight="1" x14ac:dyDescent="0.2">
      <c r="A2717" s="21"/>
      <c r="B2717" s="2"/>
      <c r="C2717" s="2"/>
      <c r="D2717" s="2"/>
    </row>
    <row r="2718" spans="1:4" ht="12.75" customHeight="1" x14ac:dyDescent="0.2">
      <c r="A2718" s="21"/>
      <c r="B2718" s="2"/>
      <c r="C2718" s="2"/>
      <c r="D2718" s="2"/>
    </row>
    <row r="2719" spans="1:4" ht="12.75" customHeight="1" x14ac:dyDescent="0.2">
      <c r="A2719" s="21"/>
      <c r="B2719" s="2"/>
      <c r="C2719" s="2"/>
      <c r="D2719" s="2"/>
    </row>
    <row r="2720" spans="1:4" ht="12.75" customHeight="1" x14ac:dyDescent="0.2">
      <c r="A2720" s="21"/>
      <c r="B2720" s="2"/>
      <c r="C2720" s="2"/>
      <c r="D2720" s="2"/>
    </row>
    <row r="2721" spans="1:4" ht="12.75" customHeight="1" x14ac:dyDescent="0.2">
      <c r="A2721" s="5"/>
      <c r="B2721" s="2"/>
      <c r="C2721" s="2"/>
      <c r="D2721" s="2"/>
    </row>
    <row r="2722" spans="1:4" ht="12.75" customHeight="1" x14ac:dyDescent="0.2">
      <c r="A2722" s="22" t="str">
        <f>HYPERLINK("javascript:void(0)","tüzércsizma")</f>
        <v>tüzércsizma</v>
      </c>
      <c r="B2722" s="21"/>
      <c r="C2722" s="21"/>
      <c r="D2722" s="21"/>
    </row>
    <row r="2723" spans="1:4" ht="12.75" customHeight="1" x14ac:dyDescent="0.2">
      <c r="A2723" s="20"/>
      <c r="B2723" s="2"/>
      <c r="C2723" s="2"/>
      <c r="D2723" s="2"/>
    </row>
    <row r="2724" spans="1:4" ht="12.75" customHeight="1" x14ac:dyDescent="0.2">
      <c r="A2724" s="21"/>
      <c r="B2724" s="3" t="s">
        <v>0</v>
      </c>
      <c r="C2724" s="20" t="s">
        <v>999</v>
      </c>
      <c r="D2724" s="21"/>
    </row>
    <row r="2725" spans="1:4" ht="12.75" customHeight="1" x14ac:dyDescent="0.2">
      <c r="A2725" s="21"/>
      <c r="B2725" s="3" t="s">
        <v>2</v>
      </c>
      <c r="C2725" s="20"/>
      <c r="D2725" s="21"/>
    </row>
    <row r="2726" spans="1:4" ht="12.75" customHeight="1" x14ac:dyDescent="0.2">
      <c r="A2726" s="21"/>
      <c r="B2726" s="3" t="s">
        <v>1840</v>
      </c>
      <c r="C2726" s="20" t="s">
        <v>2154</v>
      </c>
      <c r="D2726" s="21"/>
    </row>
    <row r="2727" spans="1:4" ht="12.75" customHeight="1" x14ac:dyDescent="0.2">
      <c r="A2727" s="21"/>
      <c r="B2727" s="3" t="s">
        <v>9</v>
      </c>
      <c r="C2727" s="20" t="s">
        <v>2155</v>
      </c>
      <c r="D2727" s="21"/>
    </row>
    <row r="2728" spans="1:4" ht="12.75" customHeight="1" x14ac:dyDescent="0.2">
      <c r="A2728" s="21"/>
      <c r="B2728" s="3" t="s">
        <v>11</v>
      </c>
      <c r="C2728" s="20" t="s">
        <v>1674</v>
      </c>
      <c r="D2728" s="21"/>
    </row>
    <row r="2729" spans="1:4" ht="12.75" customHeight="1" x14ac:dyDescent="0.2">
      <c r="A2729" s="21"/>
      <c r="B2729" s="3" t="s">
        <v>16</v>
      </c>
      <c r="C2729" s="20"/>
      <c r="D2729" s="21"/>
    </row>
    <row r="2730" spans="1:4" ht="12.75" customHeight="1" x14ac:dyDescent="0.2">
      <c r="A2730" s="21"/>
      <c r="B2730" s="3" t="s">
        <v>17</v>
      </c>
      <c r="C2730" s="20" t="s">
        <v>19</v>
      </c>
      <c r="D2730" s="21"/>
    </row>
    <row r="2731" spans="1:4" ht="12.75" customHeight="1" x14ac:dyDescent="0.2">
      <c r="A2731" s="21"/>
      <c r="B2731" s="20" t="s">
        <v>18</v>
      </c>
      <c r="C2731" s="4" t="s">
        <v>196</v>
      </c>
      <c r="D2731" s="6" t="str">
        <f>HYPERLINK("javascript:void(0)","gyutacs")</f>
        <v>gyutacs</v>
      </c>
    </row>
    <row r="2732" spans="1:4" ht="12.75" customHeight="1" x14ac:dyDescent="0.2">
      <c r="A2732" s="21"/>
      <c r="B2732" s="21"/>
      <c r="C2732" s="4" t="s">
        <v>44</v>
      </c>
      <c r="D2732" s="6" t="str">
        <f>HYPERLINK("javascript:void(0)","skívei mokaszin")</f>
        <v>skívei mokaszin</v>
      </c>
    </row>
    <row r="2733" spans="1:4" ht="12.75" customHeight="1" x14ac:dyDescent="0.2">
      <c r="A2733" s="21"/>
      <c r="B2733" s="21"/>
      <c r="C2733" s="4" t="s">
        <v>139</v>
      </c>
      <c r="D2733" s="6" t="str">
        <f>HYPERLINK("javascript:void(0)","aszályige")</f>
        <v>aszályige</v>
      </c>
    </row>
    <row r="2734" spans="1:4" ht="12.75" customHeight="1" x14ac:dyDescent="0.2">
      <c r="A2734" s="21"/>
      <c r="B2734" s="2"/>
      <c r="C2734" s="2"/>
      <c r="D2734" s="2"/>
    </row>
    <row r="2735" spans="1:4" ht="12.75" customHeight="1" x14ac:dyDescent="0.2">
      <c r="A2735" s="21"/>
      <c r="B2735" s="2"/>
      <c r="C2735" s="2"/>
      <c r="D2735" s="2"/>
    </row>
    <row r="2736" spans="1:4" ht="12.75" customHeight="1" x14ac:dyDescent="0.2">
      <c r="A2736" s="21"/>
      <c r="B2736" s="2"/>
      <c r="C2736" s="2"/>
      <c r="D2736" s="2"/>
    </row>
    <row r="2737" spans="1:4" ht="12.75" customHeight="1" x14ac:dyDescent="0.2">
      <c r="A2737" s="21"/>
      <c r="B2737" s="2"/>
      <c r="C2737" s="2"/>
      <c r="D2737" s="2"/>
    </row>
    <row r="2738" spans="1:4" ht="12.75" customHeight="1" x14ac:dyDescent="0.2">
      <c r="A2738" s="5"/>
      <c r="B2738" s="2"/>
      <c r="C2738" s="2"/>
      <c r="D2738" s="2"/>
    </row>
    <row r="2739" spans="1:4" ht="12.75" customHeight="1" x14ac:dyDescent="0.2">
      <c r="A2739" s="22" t="str">
        <f>HYPERLINK("javascript:void(0)","pikkelycsizma")</f>
        <v>pikkelycsizma</v>
      </c>
      <c r="B2739" s="21"/>
      <c r="C2739" s="21"/>
      <c r="D2739" s="21"/>
    </row>
    <row r="2740" spans="1:4" ht="12.75" customHeight="1" x14ac:dyDescent="0.2">
      <c r="A2740" s="20"/>
      <c r="B2740" s="2"/>
      <c r="C2740" s="2"/>
      <c r="D2740" s="2"/>
    </row>
    <row r="2741" spans="1:4" ht="12.75" customHeight="1" x14ac:dyDescent="0.2">
      <c r="A2741" s="21"/>
      <c r="B2741" s="3" t="s">
        <v>0</v>
      </c>
      <c r="C2741" s="20" t="s">
        <v>1012</v>
      </c>
      <c r="D2741" s="21"/>
    </row>
    <row r="2742" spans="1:4" ht="12.75" customHeight="1" x14ac:dyDescent="0.2">
      <c r="A2742" s="21"/>
      <c r="B2742" s="3" t="s">
        <v>2</v>
      </c>
      <c r="C2742" s="20"/>
      <c r="D2742" s="21"/>
    </row>
    <row r="2743" spans="1:4" ht="12.75" customHeight="1" x14ac:dyDescent="0.2">
      <c r="A2743" s="21"/>
      <c r="B2743" s="3" t="s">
        <v>1840</v>
      </c>
      <c r="C2743" s="20" t="s">
        <v>2158</v>
      </c>
      <c r="D2743" s="21"/>
    </row>
    <row r="2744" spans="1:4" ht="12.75" customHeight="1" x14ac:dyDescent="0.2">
      <c r="A2744" s="21"/>
      <c r="B2744" s="3" t="s">
        <v>9</v>
      </c>
      <c r="C2744" s="20" t="s">
        <v>2048</v>
      </c>
      <c r="D2744" s="21"/>
    </row>
    <row r="2745" spans="1:4" ht="12.75" customHeight="1" x14ac:dyDescent="0.2">
      <c r="A2745" s="21"/>
      <c r="B2745" s="3" t="s">
        <v>11</v>
      </c>
      <c r="C2745" s="20" t="s">
        <v>1520</v>
      </c>
      <c r="D2745" s="21"/>
    </row>
    <row r="2746" spans="1:4" ht="12.75" customHeight="1" x14ac:dyDescent="0.2">
      <c r="A2746" s="21"/>
      <c r="B2746" s="3" t="s">
        <v>16</v>
      </c>
      <c r="C2746" s="20"/>
      <c r="D2746" s="21"/>
    </row>
    <row r="2747" spans="1:4" ht="12.75" customHeight="1" x14ac:dyDescent="0.2">
      <c r="A2747" s="21"/>
      <c r="B2747" s="3" t="s">
        <v>17</v>
      </c>
      <c r="C2747" s="20" t="s">
        <v>19</v>
      </c>
      <c r="D2747" s="21"/>
    </row>
    <row r="2748" spans="1:4" ht="12.75" customHeight="1" x14ac:dyDescent="0.2">
      <c r="A2748" s="21"/>
      <c r="B2748" s="20" t="s">
        <v>18</v>
      </c>
      <c r="C2748" s="4" t="s">
        <v>780</v>
      </c>
      <c r="D2748" s="6" t="str">
        <f>HYPERLINK("javascript:void(0)","csigaszem")</f>
        <v>csigaszem</v>
      </c>
    </row>
    <row r="2749" spans="1:4" ht="12.75" customHeight="1" x14ac:dyDescent="0.2">
      <c r="A2749" s="21"/>
      <c r="B2749" s="21"/>
      <c r="C2749" s="4" t="s">
        <v>117</v>
      </c>
      <c r="D2749" s="6" t="str">
        <f>HYPERLINK("javascript:void(0)","glóriahasító")</f>
        <v>glóriahasító</v>
      </c>
    </row>
    <row r="2750" spans="1:4" ht="12.75" customHeight="1" x14ac:dyDescent="0.2">
      <c r="A2750" s="21"/>
      <c r="B2750" s="21"/>
      <c r="C2750" s="4" t="s">
        <v>290</v>
      </c>
      <c r="D2750" s="6" t="str">
        <f>HYPERLINK("javascript:void(0)","ködpikkely")</f>
        <v>ködpikkely</v>
      </c>
    </row>
    <row r="2751" spans="1:4" ht="12.75" customHeight="1" x14ac:dyDescent="0.2">
      <c r="A2751" s="21"/>
      <c r="B2751" s="2"/>
      <c r="C2751" s="2"/>
      <c r="D2751" s="2"/>
    </row>
    <row r="2752" spans="1:4" ht="12.75" customHeight="1" x14ac:dyDescent="0.2">
      <c r="A2752" s="21"/>
      <c r="B2752" s="2"/>
      <c r="C2752" s="2"/>
      <c r="D2752" s="2"/>
    </row>
    <row r="2753" spans="1:4" ht="12.75" customHeight="1" x14ac:dyDescent="0.2">
      <c r="A2753" s="21"/>
      <c r="B2753" s="2"/>
      <c r="C2753" s="2"/>
      <c r="D2753" s="2"/>
    </row>
    <row r="2754" spans="1:4" ht="12.75" customHeight="1" x14ac:dyDescent="0.2">
      <c r="A2754" s="21"/>
      <c r="B2754" s="2"/>
      <c r="C2754" s="2"/>
      <c r="D2754" s="2"/>
    </row>
    <row r="2755" spans="1:4" ht="12.75" customHeight="1" x14ac:dyDescent="0.2">
      <c r="A2755" s="5"/>
      <c r="B2755" s="2"/>
      <c r="C2755" s="2"/>
      <c r="D2755" s="2"/>
    </row>
    <row r="2756" spans="1:4" ht="12.75" customHeight="1" x14ac:dyDescent="0.2">
      <c r="A2756" s="22" t="str">
        <f>HYPERLINK("javascript:void(0)","pikkelyes antigrav csizma")</f>
        <v>pikkelyes antigrav csizma</v>
      </c>
      <c r="B2756" s="21"/>
      <c r="C2756" s="21"/>
      <c r="D2756" s="21"/>
    </row>
    <row r="2757" spans="1:4" ht="12.75" customHeight="1" x14ac:dyDescent="0.2">
      <c r="A2757" s="20"/>
      <c r="B2757" s="2"/>
      <c r="C2757" s="2"/>
      <c r="D2757" s="2"/>
    </row>
    <row r="2758" spans="1:4" ht="12.75" customHeight="1" x14ac:dyDescent="0.2">
      <c r="A2758" s="21"/>
      <c r="B2758" s="3" t="s">
        <v>0</v>
      </c>
      <c r="C2758" s="20" t="s">
        <v>1012</v>
      </c>
      <c r="D2758" s="21"/>
    </row>
    <row r="2759" spans="1:4" ht="12.75" customHeight="1" x14ac:dyDescent="0.2">
      <c r="A2759" s="21"/>
      <c r="B2759" s="3" t="s">
        <v>2</v>
      </c>
      <c r="C2759" s="20"/>
      <c r="D2759" s="21"/>
    </row>
    <row r="2760" spans="1:4" ht="12.75" customHeight="1" x14ac:dyDescent="0.2">
      <c r="A2760" s="21"/>
      <c r="B2760" s="3" t="s">
        <v>1840</v>
      </c>
      <c r="C2760" s="20" t="s">
        <v>2158</v>
      </c>
      <c r="D2760" s="21"/>
    </row>
    <row r="2761" spans="1:4" ht="12.75" customHeight="1" x14ac:dyDescent="0.2">
      <c r="A2761" s="21"/>
      <c r="B2761" s="3" t="s">
        <v>9</v>
      </c>
      <c r="C2761" s="20" t="s">
        <v>626</v>
      </c>
      <c r="D2761" s="21"/>
    </row>
    <row r="2762" spans="1:4" ht="12.75" customHeight="1" x14ac:dyDescent="0.2">
      <c r="A2762" s="21"/>
      <c r="B2762" s="3" t="s">
        <v>11</v>
      </c>
      <c r="C2762" s="20" t="s">
        <v>23</v>
      </c>
      <c r="D2762" s="21"/>
    </row>
    <row r="2763" spans="1:4" ht="12.75" customHeight="1" x14ac:dyDescent="0.2">
      <c r="A2763" s="21"/>
      <c r="B2763" s="3" t="s">
        <v>16</v>
      </c>
      <c r="C2763" s="20"/>
      <c r="D2763" s="21"/>
    </row>
    <row r="2764" spans="1:4" ht="12.75" customHeight="1" x14ac:dyDescent="0.2">
      <c r="A2764" s="21"/>
      <c r="B2764" s="3" t="s">
        <v>17</v>
      </c>
      <c r="C2764" s="20" t="s">
        <v>19</v>
      </c>
      <c r="D2764" s="21"/>
    </row>
    <row r="2765" spans="1:4" ht="25.5" customHeight="1" x14ac:dyDescent="0.2">
      <c r="A2765" s="21"/>
      <c r="B2765" s="20" t="s">
        <v>18</v>
      </c>
      <c r="C2765" s="4" t="s">
        <v>44</v>
      </c>
      <c r="D2765" s="6" t="str">
        <f>HYPERLINK("javascript:void(0)","skívei antigrav csizma")</f>
        <v>skívei antigrav csizma</v>
      </c>
    </row>
    <row r="2766" spans="1:4" ht="12.75" customHeight="1" x14ac:dyDescent="0.2">
      <c r="A2766" s="21"/>
      <c r="B2766" s="21"/>
      <c r="C2766" s="4" t="s">
        <v>163</v>
      </c>
      <c r="D2766" s="6" t="str">
        <f>HYPERLINK("javascript:void(0)","ködpikkely")</f>
        <v>ködpikkely</v>
      </c>
    </row>
    <row r="2767" spans="1:4" ht="12.75" customHeight="1" x14ac:dyDescent="0.2">
      <c r="A2767" s="21"/>
      <c r="B2767" s="21"/>
      <c r="C2767" s="4" t="s">
        <v>756</v>
      </c>
      <c r="D2767" s="6" t="str">
        <f>HYPERLINK("javascript:void(0)","pillepikkely")</f>
        <v>pillepikkely</v>
      </c>
    </row>
    <row r="2768" spans="1:4" ht="12.75" customHeight="1" x14ac:dyDescent="0.2">
      <c r="A2768" s="21"/>
      <c r="B2768" s="2"/>
      <c r="C2768" s="2"/>
      <c r="D2768" s="2"/>
    </row>
    <row r="2769" spans="1:4" ht="12.75" customHeight="1" x14ac:dyDescent="0.2">
      <c r="A2769" s="21"/>
      <c r="B2769" s="2"/>
      <c r="C2769" s="2"/>
      <c r="D2769" s="2"/>
    </row>
    <row r="2770" spans="1:4" ht="12.75" customHeight="1" x14ac:dyDescent="0.2">
      <c r="A2770" s="21"/>
      <c r="B2770" s="2"/>
      <c r="C2770" s="2"/>
      <c r="D2770" s="2"/>
    </row>
    <row r="2771" spans="1:4" ht="12.75" customHeight="1" x14ac:dyDescent="0.2">
      <c r="A2771" s="21"/>
      <c r="B2771" s="2"/>
      <c r="C2771" s="2"/>
      <c r="D2771" s="2"/>
    </row>
    <row r="2772" spans="1:4" ht="12.75" customHeight="1" x14ac:dyDescent="0.2">
      <c r="A2772" s="5"/>
      <c r="B2772" s="2"/>
      <c r="C2772" s="2"/>
      <c r="D2772" s="2"/>
    </row>
    <row r="2773" spans="1:4" ht="12.75" customHeight="1" x14ac:dyDescent="0.2">
      <c r="A2773" s="22" t="str">
        <f>HYPERLINK("javascript:void(0)","rögtipró")</f>
        <v>rögtipró</v>
      </c>
      <c r="B2773" s="21"/>
      <c r="C2773" s="21"/>
      <c r="D2773" s="21"/>
    </row>
    <row r="2774" spans="1:4" ht="12.75" customHeight="1" x14ac:dyDescent="0.2">
      <c r="A2774" s="20"/>
      <c r="B2774" s="2"/>
      <c r="C2774" s="2"/>
      <c r="D2774" s="2"/>
    </row>
    <row r="2775" spans="1:4" ht="12.75" customHeight="1" x14ac:dyDescent="0.2">
      <c r="A2775" s="21"/>
      <c r="B2775" s="3" t="s">
        <v>0</v>
      </c>
      <c r="C2775" s="20" t="s">
        <v>91</v>
      </c>
      <c r="D2775" s="21"/>
    </row>
    <row r="2776" spans="1:4" ht="12.75" customHeight="1" x14ac:dyDescent="0.2">
      <c r="A2776" s="21"/>
      <c r="B2776" s="3" t="s">
        <v>2</v>
      </c>
      <c r="C2776" s="20"/>
      <c r="D2776" s="21"/>
    </row>
    <row r="2777" spans="1:4" ht="12.75" customHeight="1" x14ac:dyDescent="0.2">
      <c r="A2777" s="21"/>
      <c r="B2777" s="3" t="s">
        <v>1840</v>
      </c>
      <c r="C2777" s="20" t="s">
        <v>2153</v>
      </c>
      <c r="D2777" s="21"/>
    </row>
    <row r="2778" spans="1:4" ht="12.75" customHeight="1" x14ac:dyDescent="0.2">
      <c r="A2778" s="21"/>
      <c r="B2778" s="3" t="s">
        <v>9</v>
      </c>
      <c r="C2778" s="20" t="s">
        <v>1428</v>
      </c>
      <c r="D2778" s="21"/>
    </row>
    <row r="2779" spans="1:4" ht="12.75" customHeight="1" x14ac:dyDescent="0.2">
      <c r="A2779" s="21"/>
      <c r="B2779" s="3" t="s">
        <v>11</v>
      </c>
      <c r="C2779" s="20" t="s">
        <v>2160</v>
      </c>
      <c r="D2779" s="21"/>
    </row>
    <row r="2780" spans="1:4" ht="12.75" customHeight="1" x14ac:dyDescent="0.2">
      <c r="A2780" s="21"/>
      <c r="B2780" s="3" t="s">
        <v>16</v>
      </c>
      <c r="C2780" s="20"/>
      <c r="D2780" s="21"/>
    </row>
    <row r="2781" spans="1:4" ht="12.75" customHeight="1" x14ac:dyDescent="0.2">
      <c r="A2781" s="21"/>
      <c r="B2781" s="3" t="s">
        <v>17</v>
      </c>
      <c r="C2781" s="20" t="s">
        <v>19</v>
      </c>
      <c r="D2781" s="21"/>
    </row>
    <row r="2782" spans="1:4" ht="12.75" customHeight="1" x14ac:dyDescent="0.2">
      <c r="A2782" s="21"/>
      <c r="B2782" s="20" t="s">
        <v>18</v>
      </c>
      <c r="C2782" s="4" t="s">
        <v>44</v>
      </c>
      <c r="D2782" s="6" t="str">
        <f>HYPERLINK("javascript:void(0)","pikkelycsizma")</f>
        <v>pikkelycsizma</v>
      </c>
    </row>
    <row r="2783" spans="1:4" ht="12.75" customHeight="1" x14ac:dyDescent="0.2">
      <c r="A2783" s="21"/>
      <c r="B2783" s="21"/>
      <c r="C2783" s="4" t="s">
        <v>44</v>
      </c>
      <c r="D2783" s="6" t="str">
        <f>HYPERLINK("javascript:void(0)","tüzércsizma")</f>
        <v>tüzércsizma</v>
      </c>
    </row>
    <row r="2784" spans="1:4" ht="12.75" customHeight="1" x14ac:dyDescent="0.2">
      <c r="A2784" s="21"/>
      <c r="B2784" s="21"/>
      <c r="C2784" s="4" t="s">
        <v>44</v>
      </c>
      <c r="D2784" s="6" t="str">
        <f>HYPERLINK("javascript:void(0)","szőnyegtalp")</f>
        <v>szőnyegtalp</v>
      </c>
    </row>
    <row r="2785" spans="1:4" ht="12.75" customHeight="1" x14ac:dyDescent="0.2">
      <c r="A2785" s="21"/>
      <c r="B2785" s="2"/>
      <c r="C2785" s="2"/>
      <c r="D2785" s="2"/>
    </row>
    <row r="2786" spans="1:4" ht="12.75" customHeight="1" x14ac:dyDescent="0.2">
      <c r="A2786" s="21"/>
      <c r="B2786" s="2"/>
      <c r="C2786" s="2"/>
      <c r="D2786" s="2"/>
    </row>
    <row r="2787" spans="1:4" ht="12.75" customHeight="1" x14ac:dyDescent="0.2">
      <c r="A2787" s="21"/>
      <c r="B2787" s="2"/>
      <c r="C2787" s="2"/>
      <c r="D2787" s="2"/>
    </row>
    <row r="2788" spans="1:4" ht="12.75" customHeight="1" x14ac:dyDescent="0.2">
      <c r="A2788" s="21"/>
      <c r="B2788" s="2"/>
      <c r="C2788" s="2"/>
      <c r="D2788" s="2"/>
    </row>
    <row r="2789" spans="1:4" ht="12.75" customHeight="1" x14ac:dyDescent="0.2">
      <c r="A2789" s="5"/>
      <c r="B2789" s="2"/>
      <c r="C2789" s="2"/>
      <c r="D2789" s="2"/>
    </row>
    <row r="2790" spans="1:4" ht="12.75" customHeight="1" x14ac:dyDescent="0.2">
      <c r="A2790" s="22" t="str">
        <f>HYPERLINK("javascript:void(0)","szőnyegtalp")</f>
        <v>szőnyegtalp</v>
      </c>
      <c r="B2790" s="21"/>
      <c r="C2790" s="21"/>
      <c r="D2790" s="21"/>
    </row>
    <row r="2791" spans="1:4" ht="12.75" customHeight="1" x14ac:dyDescent="0.2">
      <c r="A2791" s="20"/>
      <c r="B2791" s="2"/>
      <c r="C2791" s="2"/>
      <c r="D2791" s="2"/>
    </row>
    <row r="2792" spans="1:4" ht="12.75" customHeight="1" x14ac:dyDescent="0.2">
      <c r="A2792" s="21"/>
      <c r="B2792" s="3" t="s">
        <v>0</v>
      </c>
      <c r="C2792" s="20" t="s">
        <v>91</v>
      </c>
      <c r="D2792" s="21"/>
    </row>
    <row r="2793" spans="1:4" ht="12.75" customHeight="1" x14ac:dyDescent="0.2">
      <c r="A2793" s="21"/>
      <c r="B2793" s="3" t="s">
        <v>2</v>
      </c>
      <c r="C2793" s="20"/>
      <c r="D2793" s="21"/>
    </row>
    <row r="2794" spans="1:4" ht="12.75" customHeight="1" x14ac:dyDescent="0.2">
      <c r="A2794" s="21"/>
      <c r="B2794" s="3" t="s">
        <v>1840</v>
      </c>
      <c r="C2794" s="20" t="s">
        <v>204</v>
      </c>
      <c r="D2794" s="21"/>
    </row>
    <row r="2795" spans="1:4" ht="12.75" customHeight="1" x14ac:dyDescent="0.2">
      <c r="A2795" s="21"/>
      <c r="B2795" s="3" t="s">
        <v>9</v>
      </c>
      <c r="C2795" s="20" t="s">
        <v>70</v>
      </c>
      <c r="D2795" s="21"/>
    </row>
    <row r="2796" spans="1:4" ht="12.75" customHeight="1" x14ac:dyDescent="0.2">
      <c r="A2796" s="21"/>
      <c r="B2796" s="3" t="s">
        <v>11</v>
      </c>
      <c r="C2796" s="20" t="s">
        <v>2144</v>
      </c>
      <c r="D2796" s="21"/>
    </row>
    <row r="2797" spans="1:4" ht="12.75" customHeight="1" x14ac:dyDescent="0.2">
      <c r="A2797" s="21"/>
      <c r="B2797" s="3" t="s">
        <v>16</v>
      </c>
      <c r="C2797" s="20"/>
      <c r="D2797" s="21"/>
    </row>
    <row r="2798" spans="1:4" ht="12.75" customHeight="1" x14ac:dyDescent="0.2">
      <c r="A2798" s="21"/>
      <c r="B2798" s="3" t="s">
        <v>17</v>
      </c>
      <c r="C2798" s="20" t="s">
        <v>19</v>
      </c>
      <c r="D2798" s="21"/>
    </row>
    <row r="2799" spans="1:4" ht="12.75" customHeight="1" x14ac:dyDescent="0.2">
      <c r="A2799" s="21"/>
      <c r="B2799" s="20" t="s">
        <v>18</v>
      </c>
      <c r="C2799" s="4" t="s">
        <v>139</v>
      </c>
      <c r="D2799" s="6" t="str">
        <f>HYPERLINK("javascript:void(0)","csapdaszeg")</f>
        <v>csapdaszeg</v>
      </c>
    </row>
    <row r="2800" spans="1:4" ht="12.75" customHeight="1" x14ac:dyDescent="0.2">
      <c r="A2800" s="21"/>
      <c r="B2800" s="21"/>
      <c r="C2800" s="4" t="s">
        <v>269</v>
      </c>
      <c r="D2800" s="6" t="str">
        <f>HYPERLINK("javascript:void(0)","rojt")</f>
        <v>rojt</v>
      </c>
    </row>
    <row r="2801" spans="1:4" ht="12.75" customHeight="1" x14ac:dyDescent="0.2">
      <c r="A2801" s="21"/>
      <c r="B2801" s="21"/>
      <c r="C2801" s="4" t="s">
        <v>117</v>
      </c>
      <c r="D2801" s="6" t="str">
        <f>HYPERLINK("javascript:void(0)","zászlórúd")</f>
        <v>zászlórúd</v>
      </c>
    </row>
    <row r="2802" spans="1:4" ht="12.75" customHeight="1" x14ac:dyDescent="0.2">
      <c r="A2802" s="21"/>
      <c r="B2802" s="2"/>
      <c r="C2802" s="2"/>
      <c r="D2802" s="2"/>
    </row>
    <row r="2803" spans="1:4" ht="12.75" customHeight="1" x14ac:dyDescent="0.2">
      <c r="A2803" s="21"/>
      <c r="B2803" s="2"/>
      <c r="C2803" s="2"/>
      <c r="D2803" s="2"/>
    </row>
    <row r="2804" spans="1:4" ht="12.75" customHeight="1" x14ac:dyDescent="0.2">
      <c r="A2804" s="21"/>
      <c r="B2804" s="2"/>
      <c r="C2804" s="2"/>
      <c r="D2804" s="2"/>
    </row>
    <row r="2805" spans="1:4" ht="12.75" customHeight="1" x14ac:dyDescent="0.2">
      <c r="A2805" s="21"/>
      <c r="B2805" s="2"/>
      <c r="C2805" s="2"/>
      <c r="D2805" s="2"/>
    </row>
    <row r="2806" spans="1:4" ht="12.75" customHeight="1" x14ac:dyDescent="0.2">
      <c r="A2806" s="5"/>
      <c r="B2806" s="2"/>
      <c r="C2806" s="2"/>
      <c r="D2806" s="2"/>
    </row>
    <row r="2807" spans="1:4" ht="12.75" customHeight="1" x14ac:dyDescent="0.2">
      <c r="A2807" s="22" t="str">
        <f>HYPERLINK("javascript:void(0)","kriptonacél saru")</f>
        <v>kriptonacél saru</v>
      </c>
      <c r="B2807" s="21"/>
      <c r="C2807" s="21"/>
      <c r="D2807" s="21"/>
    </row>
    <row r="2808" spans="1:4" ht="12.75" customHeight="1" x14ac:dyDescent="0.2">
      <c r="A2808" s="20"/>
      <c r="B2808" s="2"/>
      <c r="C2808" s="2"/>
      <c r="D2808" s="2"/>
    </row>
    <row r="2809" spans="1:4" ht="12.75" customHeight="1" x14ac:dyDescent="0.2">
      <c r="A2809" s="21"/>
      <c r="B2809" s="3" t="s">
        <v>0</v>
      </c>
      <c r="C2809" s="20" t="s">
        <v>1032</v>
      </c>
      <c r="D2809" s="21"/>
    </row>
    <row r="2810" spans="1:4" ht="12.75" customHeight="1" x14ac:dyDescent="0.2">
      <c r="A2810" s="21"/>
      <c r="B2810" s="3" t="s">
        <v>2</v>
      </c>
      <c r="C2810" s="20"/>
      <c r="D2810" s="21"/>
    </row>
    <row r="2811" spans="1:4" ht="12.75" customHeight="1" x14ac:dyDescent="0.2">
      <c r="A2811" s="21"/>
      <c r="B2811" s="3" t="s">
        <v>1840</v>
      </c>
      <c r="C2811" s="20" t="s">
        <v>2161</v>
      </c>
      <c r="D2811" s="21"/>
    </row>
    <row r="2812" spans="1:4" ht="12.75" customHeight="1" x14ac:dyDescent="0.2">
      <c r="A2812" s="21"/>
      <c r="B2812" s="3" t="s">
        <v>9</v>
      </c>
      <c r="C2812" s="20" t="s">
        <v>1491</v>
      </c>
      <c r="D2812" s="21"/>
    </row>
    <row r="2813" spans="1:4" ht="12.75" customHeight="1" x14ac:dyDescent="0.2">
      <c r="A2813" s="21"/>
      <c r="B2813" s="3" t="s">
        <v>11</v>
      </c>
      <c r="C2813" s="20" t="s">
        <v>1029</v>
      </c>
      <c r="D2813" s="21"/>
    </row>
    <row r="2814" spans="1:4" ht="12.75" customHeight="1" x14ac:dyDescent="0.2">
      <c r="A2814" s="21"/>
      <c r="B2814" s="3" t="s">
        <v>16</v>
      </c>
      <c r="C2814" s="20"/>
      <c r="D2814" s="21"/>
    </row>
    <row r="2815" spans="1:4" ht="12.75" customHeight="1" x14ac:dyDescent="0.2">
      <c r="A2815" s="21"/>
      <c r="B2815" s="3" t="s">
        <v>17</v>
      </c>
      <c r="C2815" s="20" t="s">
        <v>19</v>
      </c>
      <c r="D2815" s="21"/>
    </row>
    <row r="2816" spans="1:4" ht="12.75" customHeight="1" x14ac:dyDescent="0.2">
      <c r="A2816" s="21"/>
      <c r="B2816" s="20" t="s">
        <v>18</v>
      </c>
      <c r="C2816" s="4" t="s">
        <v>44</v>
      </c>
      <c r="D2816" s="6" t="str">
        <f>HYPERLINK("javascript:void(0)","rögtipró")</f>
        <v>rögtipró</v>
      </c>
    </row>
    <row r="2817" spans="1:4" ht="12.75" customHeight="1" x14ac:dyDescent="0.2">
      <c r="A2817" s="21"/>
      <c r="B2817" s="21"/>
      <c r="C2817" s="4" t="s">
        <v>244</v>
      </c>
      <c r="D2817" s="6" t="str">
        <f>HYPERLINK("javascript:void(0)","valkript")</f>
        <v>valkript</v>
      </c>
    </row>
    <row r="2818" spans="1:4" ht="12.75" customHeight="1" x14ac:dyDescent="0.2">
      <c r="A2818" s="21"/>
      <c r="B2818" s="21"/>
      <c r="C2818" s="4" t="s">
        <v>244</v>
      </c>
      <c r="D2818" s="6" t="str">
        <f>HYPERLINK("javascript:void(0)","kónya")</f>
        <v>kónya</v>
      </c>
    </row>
    <row r="2819" spans="1:4" ht="12.75" customHeight="1" x14ac:dyDescent="0.2">
      <c r="A2819" s="21"/>
      <c r="B2819" s="2"/>
      <c r="C2819" s="2"/>
      <c r="D2819" s="2"/>
    </row>
    <row r="2820" spans="1:4" ht="12.75" customHeight="1" x14ac:dyDescent="0.2">
      <c r="A2820" s="21"/>
      <c r="B2820" s="2"/>
      <c r="C2820" s="2"/>
      <c r="D2820" s="2"/>
    </row>
    <row r="2821" spans="1:4" ht="12.75" customHeight="1" x14ac:dyDescent="0.2">
      <c r="A2821" s="21"/>
      <c r="B2821" s="2"/>
      <c r="C2821" s="2"/>
      <c r="D2821" s="2"/>
    </row>
    <row r="2822" spans="1:4" ht="12.75" customHeight="1" x14ac:dyDescent="0.2">
      <c r="A2822" s="21"/>
      <c r="B2822" s="2"/>
      <c r="C2822" s="2"/>
      <c r="D2822" s="2"/>
    </row>
    <row r="2823" spans="1:4" ht="12.75" customHeight="1" x14ac:dyDescent="0.2">
      <c r="A2823" s="5"/>
      <c r="B2823" s="2"/>
      <c r="C2823" s="2"/>
      <c r="D2823" s="2"/>
    </row>
    <row r="2824" spans="1:4" ht="12.75" customHeight="1" x14ac:dyDescent="0.2">
      <c r="A2824" s="22" t="str">
        <f>HYPERLINK("javascript:void(0)","dobtaposó")</f>
        <v>dobtaposó</v>
      </c>
      <c r="B2824" s="21"/>
      <c r="C2824" s="21"/>
      <c r="D2824" s="21"/>
    </row>
    <row r="2825" spans="1:4" ht="12.75" customHeight="1" x14ac:dyDescent="0.2">
      <c r="A2825" s="20"/>
      <c r="B2825" s="2"/>
      <c r="C2825" s="2"/>
      <c r="D2825" s="2"/>
    </row>
    <row r="2826" spans="1:4" ht="12.75" customHeight="1" x14ac:dyDescent="0.2">
      <c r="A2826" s="21"/>
      <c r="B2826" s="3" t="s">
        <v>0</v>
      </c>
      <c r="C2826" s="20" t="s">
        <v>99</v>
      </c>
      <c r="D2826" s="21"/>
    </row>
    <row r="2827" spans="1:4" ht="12.75" customHeight="1" x14ac:dyDescent="0.2">
      <c r="A2827" s="21"/>
      <c r="B2827" s="3" t="s">
        <v>2</v>
      </c>
      <c r="C2827" s="20"/>
      <c r="D2827" s="21"/>
    </row>
    <row r="2828" spans="1:4" ht="12.75" customHeight="1" x14ac:dyDescent="0.2">
      <c r="A2828" s="21"/>
      <c r="B2828" s="3" t="s">
        <v>1840</v>
      </c>
      <c r="C2828" s="20" t="s">
        <v>2163</v>
      </c>
      <c r="D2828" s="21"/>
    </row>
    <row r="2829" spans="1:4" ht="12.75" customHeight="1" x14ac:dyDescent="0.2">
      <c r="A2829" s="21"/>
      <c r="B2829" s="3" t="s">
        <v>9</v>
      </c>
      <c r="C2829" s="20" t="s">
        <v>1461</v>
      </c>
      <c r="D2829" s="21"/>
    </row>
    <row r="2830" spans="1:4" ht="12.75" customHeight="1" x14ac:dyDescent="0.2">
      <c r="A2830" s="21"/>
      <c r="B2830" s="3" t="s">
        <v>11</v>
      </c>
      <c r="C2830" s="20" t="s">
        <v>2164</v>
      </c>
      <c r="D2830" s="21"/>
    </row>
    <row r="2831" spans="1:4" ht="12.75" customHeight="1" x14ac:dyDescent="0.2">
      <c r="A2831" s="21"/>
      <c r="B2831" s="3" t="s">
        <v>16</v>
      </c>
      <c r="C2831" s="20"/>
      <c r="D2831" s="21"/>
    </row>
    <row r="2832" spans="1:4" ht="12.75" customHeight="1" x14ac:dyDescent="0.2">
      <c r="A2832" s="21"/>
      <c r="B2832" s="3" t="s">
        <v>17</v>
      </c>
      <c r="C2832" s="20" t="s">
        <v>19</v>
      </c>
      <c r="D2832" s="21"/>
    </row>
    <row r="2833" spans="1:4" ht="12.75" customHeight="1" x14ac:dyDescent="0.2">
      <c r="A2833" s="21"/>
      <c r="B2833" s="20" t="s">
        <v>18</v>
      </c>
      <c r="C2833" s="4" t="s">
        <v>240</v>
      </c>
      <c r="D2833" s="6" t="str">
        <f>HYPERLINK("javascript:void(0)","dobverő")</f>
        <v>dobverő</v>
      </c>
    </row>
    <row r="2834" spans="1:4" ht="12.75" customHeight="1" x14ac:dyDescent="0.2">
      <c r="A2834" s="21"/>
      <c r="B2834" s="21"/>
      <c r="C2834" s="4" t="s">
        <v>772</v>
      </c>
      <c r="D2834" s="6" t="str">
        <f>HYPERLINK("javascript:void(0)","ködpikkely")</f>
        <v>ködpikkely</v>
      </c>
    </row>
    <row r="2835" spans="1:4" ht="12.75" customHeight="1" x14ac:dyDescent="0.2">
      <c r="A2835" s="21"/>
      <c r="B2835" s="21"/>
      <c r="C2835" s="4" t="s">
        <v>1536</v>
      </c>
      <c r="D2835" s="6" t="str">
        <f>HYPERLINK("javascript:void(0)","angyalhaj")</f>
        <v>angyalhaj</v>
      </c>
    </row>
    <row r="2836" spans="1:4" ht="12.75" customHeight="1" x14ac:dyDescent="0.2">
      <c r="A2836" s="21"/>
      <c r="B2836" s="2"/>
      <c r="C2836" s="2"/>
      <c r="D2836" s="2"/>
    </row>
    <row r="2837" spans="1:4" ht="12.75" customHeight="1" x14ac:dyDescent="0.2">
      <c r="A2837" s="21"/>
      <c r="B2837" s="2"/>
      <c r="C2837" s="2"/>
      <c r="D2837" s="2"/>
    </row>
    <row r="2838" spans="1:4" ht="12.75" customHeight="1" x14ac:dyDescent="0.2">
      <c r="A2838" s="21"/>
      <c r="B2838" s="2"/>
      <c r="C2838" s="2"/>
      <c r="D2838" s="2"/>
    </row>
    <row r="2839" spans="1:4" ht="12.75" customHeight="1" x14ac:dyDescent="0.2">
      <c r="A2839" s="21"/>
      <c r="B2839" s="2"/>
      <c r="C2839" s="2"/>
      <c r="D2839" s="2"/>
    </row>
    <row r="2840" spans="1:4" ht="12.75" customHeight="1" x14ac:dyDescent="0.2">
      <c r="A2840" s="5"/>
      <c r="B2840" s="2"/>
      <c r="C2840" s="2"/>
      <c r="D2840" s="2"/>
    </row>
    <row r="2841" spans="1:4" ht="12.75" customHeight="1" x14ac:dyDescent="0.2">
      <c r="A2841" s="22" t="str">
        <f>HYPERLINK("javascript:void(0)","röpdíszes antigrav csizma")</f>
        <v>röpdíszes antigrav csizma</v>
      </c>
      <c r="B2841" s="21"/>
      <c r="C2841" s="21"/>
      <c r="D2841" s="21"/>
    </row>
    <row r="2842" spans="1:4" ht="12.75" customHeight="1" x14ac:dyDescent="0.2">
      <c r="A2842" s="20"/>
      <c r="B2842" s="2"/>
      <c r="C2842" s="2"/>
      <c r="D2842" s="2"/>
    </row>
    <row r="2843" spans="1:4" ht="12.75" customHeight="1" x14ac:dyDescent="0.2">
      <c r="A2843" s="21"/>
      <c r="B2843" s="3" t="s">
        <v>0</v>
      </c>
      <c r="C2843" s="20" t="s">
        <v>99</v>
      </c>
      <c r="D2843" s="21"/>
    </row>
    <row r="2844" spans="1:4" ht="12.75" customHeight="1" x14ac:dyDescent="0.2">
      <c r="A2844" s="21"/>
      <c r="B2844" s="3" t="s">
        <v>2</v>
      </c>
      <c r="C2844" s="20"/>
      <c r="D2844" s="21"/>
    </row>
    <row r="2845" spans="1:4" ht="12.75" customHeight="1" x14ac:dyDescent="0.2">
      <c r="A2845" s="21"/>
      <c r="B2845" s="3" t="s">
        <v>1840</v>
      </c>
      <c r="C2845" s="20" t="s">
        <v>2168</v>
      </c>
      <c r="D2845" s="21"/>
    </row>
    <row r="2846" spans="1:4" ht="12.75" customHeight="1" x14ac:dyDescent="0.2">
      <c r="A2846" s="21"/>
      <c r="B2846" s="3" t="s">
        <v>9</v>
      </c>
      <c r="C2846" s="20" t="s">
        <v>626</v>
      </c>
      <c r="D2846" s="21"/>
    </row>
    <row r="2847" spans="1:4" ht="12.75" customHeight="1" x14ac:dyDescent="0.2">
      <c r="A2847" s="21"/>
      <c r="B2847" s="3" t="s">
        <v>11</v>
      </c>
      <c r="C2847" s="20" t="s">
        <v>23</v>
      </c>
      <c r="D2847" s="21"/>
    </row>
    <row r="2848" spans="1:4" ht="12.75" customHeight="1" x14ac:dyDescent="0.2">
      <c r="A2848" s="21"/>
      <c r="B2848" s="3" t="s">
        <v>16</v>
      </c>
      <c r="C2848" s="20"/>
      <c r="D2848" s="21"/>
    </row>
    <row r="2849" spans="1:4" ht="12.75" customHeight="1" x14ac:dyDescent="0.2">
      <c r="A2849" s="21"/>
      <c r="B2849" s="3" t="s">
        <v>17</v>
      </c>
      <c r="C2849" s="20" t="s">
        <v>19</v>
      </c>
      <c r="D2849" s="21"/>
    </row>
    <row r="2850" spans="1:4" ht="25.5" customHeight="1" x14ac:dyDescent="0.2">
      <c r="A2850" s="21"/>
      <c r="B2850" s="20" t="s">
        <v>18</v>
      </c>
      <c r="C2850" s="4" t="s">
        <v>44</v>
      </c>
      <c r="D2850" s="6" t="str">
        <f>HYPERLINK("javascript:void(0)","pikkelyes antigrav csizma")</f>
        <v>pikkelyes antigrav csizma</v>
      </c>
    </row>
    <row r="2851" spans="1:4" ht="12.75" customHeight="1" x14ac:dyDescent="0.2">
      <c r="A2851" s="21"/>
      <c r="B2851" s="21"/>
      <c r="C2851" s="4" t="s">
        <v>756</v>
      </c>
      <c r="D2851" s="6" t="str">
        <f>HYPERLINK("javascript:void(0)","röpkavics")</f>
        <v>röpkavics</v>
      </c>
    </row>
    <row r="2852" spans="1:4" ht="12.75" customHeight="1" x14ac:dyDescent="0.2">
      <c r="A2852" s="21"/>
      <c r="B2852" s="21"/>
      <c r="C2852" s="4" t="s">
        <v>309</v>
      </c>
      <c r="D2852" s="6" t="str">
        <f>HYPERLINK("javascript:void(0)","kincsgúla")</f>
        <v>kincsgúla</v>
      </c>
    </row>
    <row r="2853" spans="1:4" ht="12.75" customHeight="1" x14ac:dyDescent="0.2">
      <c r="A2853" s="21"/>
      <c r="B2853" s="2"/>
      <c r="C2853" s="2"/>
      <c r="D2853" s="2"/>
    </row>
    <row r="2854" spans="1:4" ht="12.75" customHeight="1" x14ac:dyDescent="0.2">
      <c r="A2854" s="21"/>
      <c r="B2854" s="2"/>
      <c r="C2854" s="2"/>
      <c r="D2854" s="2"/>
    </row>
    <row r="2855" spans="1:4" ht="12.75" customHeight="1" x14ac:dyDescent="0.2">
      <c r="A2855" s="21"/>
      <c r="B2855" s="2"/>
      <c r="C2855" s="2"/>
      <c r="D2855" s="2"/>
    </row>
    <row r="2856" spans="1:4" ht="12.75" customHeight="1" x14ac:dyDescent="0.2">
      <c r="A2856" s="21"/>
      <c r="B2856" s="2"/>
      <c r="C2856" s="2"/>
      <c r="D2856" s="2"/>
    </row>
    <row r="2857" spans="1:4" ht="12.75" customHeight="1" x14ac:dyDescent="0.2">
      <c r="A2857" s="5"/>
      <c r="B2857" s="2"/>
      <c r="C2857" s="2"/>
      <c r="D2857" s="2"/>
    </row>
    <row r="2858" spans="1:4" ht="12.75" customHeight="1" x14ac:dyDescent="0.2">
      <c r="A2858" s="22" t="str">
        <f>HYPERLINK("javascript:void(0)","csillámló kompozitcsizma")</f>
        <v>csillámló kompozitcsizma</v>
      </c>
      <c r="B2858" s="21"/>
      <c r="C2858" s="21"/>
      <c r="D2858" s="21"/>
    </row>
    <row r="2859" spans="1:4" ht="12.75" customHeight="1" x14ac:dyDescent="0.2">
      <c r="A2859" s="20"/>
      <c r="B2859" s="2"/>
      <c r="C2859" s="2"/>
      <c r="D2859" s="2"/>
    </row>
    <row r="2860" spans="1:4" ht="12.75" customHeight="1" x14ac:dyDescent="0.2">
      <c r="A2860" s="21"/>
      <c r="B2860" s="3" t="s">
        <v>0</v>
      </c>
      <c r="C2860" s="20" t="s">
        <v>99</v>
      </c>
      <c r="D2860" s="21"/>
    </row>
    <row r="2861" spans="1:4" ht="12.75" customHeight="1" x14ac:dyDescent="0.2">
      <c r="A2861" s="21"/>
      <c r="B2861" s="3" t="s">
        <v>2</v>
      </c>
      <c r="C2861" s="20"/>
      <c r="D2861" s="21"/>
    </row>
    <row r="2862" spans="1:4" ht="12.75" customHeight="1" x14ac:dyDescent="0.2">
      <c r="A2862" s="21"/>
      <c r="B2862" s="3" t="s">
        <v>1840</v>
      </c>
      <c r="C2862" s="20" t="s">
        <v>533</v>
      </c>
      <c r="D2862" s="21"/>
    </row>
    <row r="2863" spans="1:4" ht="12.75" customHeight="1" x14ac:dyDescent="0.2">
      <c r="A2863" s="21"/>
      <c r="B2863" s="3" t="s">
        <v>9</v>
      </c>
      <c r="C2863" s="20" t="s">
        <v>2170</v>
      </c>
      <c r="D2863" s="21"/>
    </row>
    <row r="2864" spans="1:4" ht="12.75" customHeight="1" x14ac:dyDescent="0.2">
      <c r="A2864" s="21"/>
      <c r="B2864" s="3" t="s">
        <v>11</v>
      </c>
      <c r="C2864" s="20" t="s">
        <v>2164</v>
      </c>
      <c r="D2864" s="21"/>
    </row>
    <row r="2865" spans="1:4" ht="12.75" customHeight="1" x14ac:dyDescent="0.2">
      <c r="A2865" s="21"/>
      <c r="B2865" s="3" t="s">
        <v>16</v>
      </c>
      <c r="C2865" s="20"/>
      <c r="D2865" s="21"/>
    </row>
    <row r="2866" spans="1:4" ht="12.75" customHeight="1" x14ac:dyDescent="0.2">
      <c r="A2866" s="21"/>
      <c r="B2866" s="3" t="s">
        <v>17</v>
      </c>
      <c r="C2866" s="20" t="s">
        <v>19</v>
      </c>
      <c r="D2866" s="21"/>
    </row>
    <row r="2867" spans="1:4" ht="12.75" customHeight="1" x14ac:dyDescent="0.2">
      <c r="A2867" s="21"/>
      <c r="B2867" s="20" t="s">
        <v>18</v>
      </c>
      <c r="C2867" s="4" t="s">
        <v>57</v>
      </c>
      <c r="D2867" s="6" t="str">
        <f>HYPERLINK("javascript:void(0)","csillámgöb")</f>
        <v>csillámgöb</v>
      </c>
    </row>
    <row r="2868" spans="1:4" ht="12.75" customHeight="1" x14ac:dyDescent="0.2">
      <c r="A2868" s="21"/>
      <c r="B2868" s="21"/>
      <c r="C2868" s="4" t="s">
        <v>44</v>
      </c>
      <c r="D2868" s="6" t="str">
        <f>HYPERLINK("javascript:void(0)","csillámló yeticsizma")</f>
        <v>csillámló yeticsizma</v>
      </c>
    </row>
    <row r="2869" spans="1:4" ht="12.75" customHeight="1" x14ac:dyDescent="0.2">
      <c r="A2869" s="21"/>
      <c r="B2869" s="21"/>
      <c r="C2869" s="4" t="s">
        <v>139</v>
      </c>
      <c r="D2869" s="6" t="str">
        <f>HYPERLINK("javascript:void(0)","bronzrög")</f>
        <v>bronzrög</v>
      </c>
    </row>
    <row r="2870" spans="1:4" ht="12.75" customHeight="1" x14ac:dyDescent="0.2">
      <c r="A2870" s="21"/>
      <c r="B2870" s="2"/>
      <c r="C2870" s="2"/>
      <c r="D2870" s="2"/>
    </row>
    <row r="2871" spans="1:4" ht="12.75" customHeight="1" x14ac:dyDescent="0.2">
      <c r="A2871" s="21"/>
      <c r="B2871" s="2"/>
      <c r="C2871" s="2"/>
      <c r="D2871" s="2"/>
    </row>
    <row r="2872" spans="1:4" ht="12.75" customHeight="1" x14ac:dyDescent="0.2">
      <c r="A2872" s="21"/>
      <c r="B2872" s="2"/>
      <c r="C2872" s="2"/>
      <c r="D2872" s="2"/>
    </row>
    <row r="2873" spans="1:4" ht="12.75" customHeight="1" x14ac:dyDescent="0.2">
      <c r="A2873" s="21"/>
      <c r="B2873" s="2"/>
      <c r="C2873" s="2"/>
      <c r="D2873" s="2"/>
    </row>
    <row r="2874" spans="1:4" ht="12.75" customHeight="1" x14ac:dyDescent="0.2">
      <c r="A2874" s="5"/>
      <c r="B2874" s="2"/>
      <c r="C2874" s="2"/>
      <c r="D2874" s="2"/>
    </row>
    <row r="2875" spans="1:4" ht="12.75" customHeight="1" x14ac:dyDescent="0.2">
      <c r="A2875" s="22" t="str">
        <f>HYPERLINK("javascript:void(0)","cordiomokaszin")</f>
        <v>cordiomokaszin</v>
      </c>
      <c r="B2875" s="21"/>
      <c r="C2875" s="21"/>
      <c r="D2875" s="21"/>
    </row>
    <row r="2876" spans="1:4" ht="12.75" customHeight="1" x14ac:dyDescent="0.2">
      <c r="A2876" s="20"/>
      <c r="B2876" s="2"/>
      <c r="C2876" s="2"/>
      <c r="D2876" s="2"/>
    </row>
    <row r="2877" spans="1:4" ht="12.75" customHeight="1" x14ac:dyDescent="0.2">
      <c r="A2877" s="21"/>
      <c r="B2877" s="3" t="s">
        <v>0</v>
      </c>
      <c r="C2877" s="20" t="s">
        <v>341</v>
      </c>
      <c r="D2877" s="21"/>
    </row>
    <row r="2878" spans="1:4" ht="12.75" customHeight="1" x14ac:dyDescent="0.2">
      <c r="A2878" s="21"/>
      <c r="B2878" s="3" t="s">
        <v>2</v>
      </c>
      <c r="C2878" s="20"/>
      <c r="D2878" s="21"/>
    </row>
    <row r="2879" spans="1:4" ht="12.75" customHeight="1" x14ac:dyDescent="0.2">
      <c r="A2879" s="21"/>
      <c r="B2879" s="3" t="s">
        <v>1840</v>
      </c>
      <c r="C2879" s="20" t="s">
        <v>2171</v>
      </c>
      <c r="D2879" s="21"/>
    </row>
    <row r="2880" spans="1:4" ht="12.75" customHeight="1" x14ac:dyDescent="0.2">
      <c r="A2880" s="21"/>
      <c r="B2880" s="3" t="s">
        <v>9</v>
      </c>
      <c r="C2880" s="20" t="s">
        <v>93</v>
      </c>
      <c r="D2880" s="21"/>
    </row>
    <row r="2881" spans="1:4" ht="12.75" customHeight="1" x14ac:dyDescent="0.2">
      <c r="A2881" s="21"/>
      <c r="B2881" s="3" t="s">
        <v>11</v>
      </c>
      <c r="C2881" s="20" t="s">
        <v>1544</v>
      </c>
      <c r="D2881" s="21"/>
    </row>
    <row r="2882" spans="1:4" ht="12.75" customHeight="1" x14ac:dyDescent="0.2">
      <c r="A2882" s="21"/>
      <c r="B2882" s="3" t="s">
        <v>16</v>
      </c>
      <c r="C2882" s="20"/>
      <c r="D2882" s="21"/>
    </row>
    <row r="2883" spans="1:4" ht="12.75" customHeight="1" x14ac:dyDescent="0.2">
      <c r="A2883" s="21"/>
      <c r="B2883" s="3" t="s">
        <v>17</v>
      </c>
      <c r="C2883" s="20" t="s">
        <v>19</v>
      </c>
      <c r="D2883" s="21"/>
    </row>
    <row r="2884" spans="1:4" ht="12.75" customHeight="1" x14ac:dyDescent="0.2">
      <c r="A2884" s="21"/>
      <c r="B2884" s="20" t="s">
        <v>18</v>
      </c>
      <c r="C2884" s="4" t="s">
        <v>44</v>
      </c>
      <c r="D2884" s="6" t="str">
        <f>HYPERLINK("javascript:void(0)","dobtaposó")</f>
        <v>dobtaposó</v>
      </c>
    </row>
    <row r="2885" spans="1:4" ht="12.75" customHeight="1" x14ac:dyDescent="0.2">
      <c r="A2885" s="21"/>
      <c r="B2885" s="21"/>
      <c r="C2885" s="4" t="s">
        <v>44</v>
      </c>
      <c r="D2885" s="6" t="str">
        <f>HYPERLINK("javascript:void(0)","cordiofűző")</f>
        <v>cordiofűző</v>
      </c>
    </row>
    <row r="2886" spans="1:4" ht="12.75" customHeight="1" x14ac:dyDescent="0.2">
      <c r="A2886" s="21"/>
      <c r="B2886" s="21"/>
      <c r="C2886" s="4" t="s">
        <v>44</v>
      </c>
      <c r="D2886" s="6" t="str">
        <f>HYPERLINK("javascript:void(0)","kriptonacél saru")</f>
        <v>kriptonacél saru</v>
      </c>
    </row>
    <row r="2887" spans="1:4" ht="12.75" customHeight="1" x14ac:dyDescent="0.2">
      <c r="A2887" s="21"/>
      <c r="B2887" s="2"/>
      <c r="C2887" s="2"/>
      <c r="D2887" s="2"/>
    </row>
    <row r="2888" spans="1:4" ht="12.75" customHeight="1" x14ac:dyDescent="0.2">
      <c r="A2888" s="21"/>
      <c r="B2888" s="2"/>
      <c r="C2888" s="2"/>
      <c r="D2888" s="2"/>
    </row>
    <row r="2889" spans="1:4" ht="12.75" customHeight="1" x14ac:dyDescent="0.2">
      <c r="A2889" s="21"/>
      <c r="B2889" s="2"/>
      <c r="C2889" s="2"/>
      <c r="D2889" s="2"/>
    </row>
    <row r="2890" spans="1:4" ht="12.75" customHeight="1" x14ac:dyDescent="0.2">
      <c r="A2890" s="21"/>
      <c r="B2890" s="2"/>
      <c r="C2890" s="2"/>
      <c r="D2890" s="2"/>
    </row>
    <row r="2891" spans="1:4" ht="12.75" customHeight="1" x14ac:dyDescent="0.2">
      <c r="A2891" s="5"/>
      <c r="B2891" s="2"/>
      <c r="C2891" s="2"/>
      <c r="D2891" s="2"/>
    </row>
    <row r="2892" spans="1:4" ht="12.75" customHeight="1" x14ac:dyDescent="0.2">
      <c r="A2892" s="22" t="str">
        <f>HYPERLINK("javascript:void(0)","cordiofűző")</f>
        <v>cordiofűző</v>
      </c>
      <c r="B2892" s="21"/>
      <c r="C2892" s="21"/>
      <c r="D2892" s="21"/>
    </row>
    <row r="2893" spans="1:4" ht="12.75" customHeight="1" x14ac:dyDescent="0.2">
      <c r="A2893" s="20"/>
      <c r="B2893" s="2"/>
      <c r="C2893" s="2"/>
      <c r="D2893" s="2"/>
    </row>
    <row r="2894" spans="1:4" ht="12.75" customHeight="1" x14ac:dyDescent="0.2">
      <c r="A2894" s="21"/>
      <c r="B2894" s="3" t="s">
        <v>0</v>
      </c>
      <c r="C2894" s="20" t="s">
        <v>341</v>
      </c>
      <c r="D2894" s="21"/>
    </row>
    <row r="2895" spans="1:4" ht="12.75" customHeight="1" x14ac:dyDescent="0.2">
      <c r="A2895" s="21"/>
      <c r="B2895" s="3" t="s">
        <v>2</v>
      </c>
      <c r="C2895" s="20"/>
      <c r="D2895" s="21"/>
    </row>
    <row r="2896" spans="1:4" ht="12.75" customHeight="1" x14ac:dyDescent="0.2">
      <c r="A2896" s="21"/>
      <c r="B2896" s="3" t="s">
        <v>1840</v>
      </c>
      <c r="C2896" s="20" t="s">
        <v>204</v>
      </c>
      <c r="D2896" s="21"/>
    </row>
    <row r="2897" spans="1:4" ht="12.75" customHeight="1" x14ac:dyDescent="0.2">
      <c r="A2897" s="21"/>
      <c r="B2897" s="3" t="s">
        <v>9</v>
      </c>
      <c r="C2897" s="20" t="s">
        <v>70</v>
      </c>
      <c r="D2897" s="21"/>
    </row>
    <row r="2898" spans="1:4" ht="12.75" customHeight="1" x14ac:dyDescent="0.2">
      <c r="A2898" s="21"/>
      <c r="B2898" s="3" t="s">
        <v>11</v>
      </c>
      <c r="C2898" s="20" t="s">
        <v>2144</v>
      </c>
      <c r="D2898" s="21"/>
    </row>
    <row r="2899" spans="1:4" ht="12.75" customHeight="1" x14ac:dyDescent="0.2">
      <c r="A2899" s="21"/>
      <c r="B2899" s="3" t="s">
        <v>16</v>
      </c>
      <c r="C2899" s="20"/>
      <c r="D2899" s="21"/>
    </row>
    <row r="2900" spans="1:4" ht="12.75" customHeight="1" x14ac:dyDescent="0.2">
      <c r="A2900" s="21"/>
      <c r="B2900" s="3" t="s">
        <v>17</v>
      </c>
      <c r="C2900" s="20" t="s">
        <v>19</v>
      </c>
      <c r="D2900" s="21"/>
    </row>
    <row r="2901" spans="1:4" ht="12.75" customHeight="1" x14ac:dyDescent="0.2">
      <c r="A2901" s="21"/>
      <c r="B2901" s="20" t="s">
        <v>18</v>
      </c>
      <c r="C2901" s="4" t="s">
        <v>323</v>
      </c>
      <c r="D2901" s="6" t="str">
        <f>HYPERLINK("javascript:void(0)","cordionium")</f>
        <v>cordionium</v>
      </c>
    </row>
    <row r="2902" spans="1:4" ht="12.75" customHeight="1" x14ac:dyDescent="0.2">
      <c r="A2902" s="21"/>
      <c r="B2902" s="21"/>
      <c r="C2902" s="4" t="s">
        <v>269</v>
      </c>
      <c r="D2902" s="6" t="str">
        <f>HYPERLINK("javascript:void(0)","cingulum")</f>
        <v>cingulum</v>
      </c>
    </row>
    <row r="2903" spans="1:4" ht="12.75" customHeight="1" x14ac:dyDescent="0.2">
      <c r="A2903" s="21"/>
      <c r="B2903" s="21"/>
      <c r="C2903" s="4" t="s">
        <v>117</v>
      </c>
      <c r="D2903" s="6" t="str">
        <f>HYPERLINK("javascript:void(0)","lékék")</f>
        <v>lékék</v>
      </c>
    </row>
    <row r="2904" spans="1:4" ht="12.75" customHeight="1" x14ac:dyDescent="0.2">
      <c r="A2904" s="21"/>
      <c r="B2904" s="2"/>
      <c r="C2904" s="2"/>
      <c r="D2904" s="2"/>
    </row>
    <row r="2905" spans="1:4" ht="12.75" customHeight="1" x14ac:dyDescent="0.2">
      <c r="A2905" s="21"/>
      <c r="B2905" s="2"/>
      <c r="C2905" s="2"/>
      <c r="D2905" s="2"/>
    </row>
    <row r="2906" spans="1:4" ht="12.75" customHeight="1" x14ac:dyDescent="0.2">
      <c r="A2906" s="21"/>
      <c r="B2906" s="2"/>
      <c r="C2906" s="2"/>
      <c r="D2906" s="2"/>
    </row>
    <row r="2907" spans="1:4" ht="12.75" customHeight="1" x14ac:dyDescent="0.2">
      <c r="A2907" s="21"/>
      <c r="B2907" s="2"/>
      <c r="C2907" s="2"/>
      <c r="D2907" s="2"/>
    </row>
    <row r="2908" spans="1:4" ht="12.75" customHeight="1" x14ac:dyDescent="0.2">
      <c r="A2908" s="5"/>
      <c r="B2908" s="2"/>
      <c r="C2908" s="2"/>
      <c r="D2908" s="2"/>
    </row>
    <row r="2909" spans="1:4" ht="12.75" customHeight="1" x14ac:dyDescent="0.2">
      <c r="A2909" s="22" t="str">
        <f>HYPERLINK("javascript:void(0)","léleklépő")</f>
        <v>léleklépő</v>
      </c>
      <c r="B2909" s="21"/>
      <c r="C2909" s="21"/>
      <c r="D2909" s="21"/>
    </row>
    <row r="2910" spans="1:4" ht="12.75" customHeight="1" x14ac:dyDescent="0.2">
      <c r="A2910" s="20"/>
      <c r="B2910" s="2"/>
      <c r="C2910" s="2"/>
      <c r="D2910" s="2"/>
    </row>
    <row r="2911" spans="1:4" ht="12.75" customHeight="1" x14ac:dyDescent="0.2">
      <c r="A2911" s="21"/>
      <c r="B2911" s="3" t="s">
        <v>0</v>
      </c>
      <c r="C2911" s="20" t="s">
        <v>1060</v>
      </c>
      <c r="D2911" s="21"/>
    </row>
    <row r="2912" spans="1:4" ht="12.75" customHeight="1" x14ac:dyDescent="0.2">
      <c r="A2912" s="21"/>
      <c r="B2912" s="3" t="s">
        <v>2</v>
      </c>
      <c r="C2912" s="20"/>
      <c r="D2912" s="21"/>
    </row>
    <row r="2913" spans="1:4" ht="12.75" customHeight="1" x14ac:dyDescent="0.2">
      <c r="A2913" s="21"/>
      <c r="B2913" s="3" t="s">
        <v>1840</v>
      </c>
      <c r="C2913" s="20" t="s">
        <v>2174</v>
      </c>
      <c r="D2913" s="21"/>
    </row>
    <row r="2914" spans="1:4" ht="12.75" customHeight="1" x14ac:dyDescent="0.2">
      <c r="A2914" s="21"/>
      <c r="B2914" s="3" t="s">
        <v>9</v>
      </c>
      <c r="C2914" s="20" t="s">
        <v>886</v>
      </c>
      <c r="D2914" s="21"/>
    </row>
    <row r="2915" spans="1:4" ht="12.75" customHeight="1" x14ac:dyDescent="0.2">
      <c r="A2915" s="21"/>
      <c r="B2915" s="3" t="s">
        <v>11</v>
      </c>
      <c r="C2915" s="20" t="s">
        <v>2175</v>
      </c>
      <c r="D2915" s="21"/>
    </row>
    <row r="2916" spans="1:4" ht="12.75" customHeight="1" x14ac:dyDescent="0.2">
      <c r="A2916" s="21"/>
      <c r="B2916" s="3" t="s">
        <v>16</v>
      </c>
      <c r="C2916" s="20"/>
      <c r="D2916" s="21"/>
    </row>
    <row r="2917" spans="1:4" ht="12.75" customHeight="1" x14ac:dyDescent="0.2">
      <c r="A2917" s="21"/>
      <c r="B2917" s="3" t="s">
        <v>17</v>
      </c>
      <c r="C2917" s="20" t="s">
        <v>19</v>
      </c>
      <c r="D2917" s="21"/>
    </row>
    <row r="2918" spans="1:4" ht="12.75" customHeight="1" x14ac:dyDescent="0.2">
      <c r="A2918" s="21"/>
      <c r="B2918" s="20" t="s">
        <v>18</v>
      </c>
      <c r="C2918" s="4" t="s">
        <v>117</v>
      </c>
      <c r="D2918" s="6" t="str">
        <f>HYPERLINK("javascript:void(0)","lélekfodor")</f>
        <v>lélekfodor</v>
      </c>
    </row>
    <row r="2919" spans="1:4" ht="12.75" customHeight="1" x14ac:dyDescent="0.2">
      <c r="A2919" s="21"/>
      <c r="B2919" s="21"/>
      <c r="C2919" s="4" t="s">
        <v>44</v>
      </c>
      <c r="D2919" s="6" t="str">
        <f>HYPERLINK("javascript:void(0)","cordiomokaszin")</f>
        <v>cordiomokaszin</v>
      </c>
    </row>
    <row r="2920" spans="1:4" ht="12.75" customHeight="1" x14ac:dyDescent="0.2">
      <c r="A2920" s="21"/>
      <c r="B2920" s="21"/>
      <c r="C2920" s="4" t="s">
        <v>309</v>
      </c>
      <c r="D2920" s="6" t="str">
        <f>HYPERLINK("javascript:void(0)","porszőr")</f>
        <v>porszőr</v>
      </c>
    </row>
    <row r="2921" spans="1:4" ht="12.75" customHeight="1" x14ac:dyDescent="0.2">
      <c r="A2921" s="21"/>
      <c r="B2921" s="2"/>
      <c r="C2921" s="2"/>
      <c r="D2921" s="2"/>
    </row>
    <row r="2922" spans="1:4" ht="12.75" customHeight="1" x14ac:dyDescent="0.2">
      <c r="A2922" s="21"/>
      <c r="B2922" s="2"/>
      <c r="C2922" s="2"/>
      <c r="D2922" s="2"/>
    </row>
    <row r="2923" spans="1:4" ht="12.75" customHeight="1" x14ac:dyDescent="0.2">
      <c r="A2923" s="21"/>
      <c r="B2923" s="2"/>
      <c r="C2923" s="2"/>
      <c r="D2923" s="2"/>
    </row>
    <row r="2924" spans="1:4" ht="12.75" customHeight="1" x14ac:dyDescent="0.2">
      <c r="A2924" s="21"/>
      <c r="B2924" s="2"/>
      <c r="C2924" s="2"/>
      <c r="D2924" s="2"/>
    </row>
    <row r="2925" spans="1:4" ht="12.75" customHeight="1" x14ac:dyDescent="0.2">
      <c r="A2925" s="5"/>
      <c r="B2925" s="2"/>
      <c r="C2925" s="2"/>
      <c r="D2925" s="2"/>
    </row>
    <row r="2926" spans="1:4" ht="12.75" customHeight="1" x14ac:dyDescent="0.2">
      <c r="A2926" s="22" t="str">
        <f>HYPERLINK("javascript:void(0)","karikasaru")</f>
        <v>karikasaru</v>
      </c>
      <c r="B2926" s="21"/>
      <c r="C2926" s="21"/>
      <c r="D2926" s="21"/>
    </row>
    <row r="2927" spans="1:4" ht="12.75" customHeight="1" x14ac:dyDescent="0.2">
      <c r="A2927" s="20"/>
      <c r="B2927" s="2"/>
      <c r="C2927" s="2"/>
      <c r="D2927" s="2"/>
    </row>
    <row r="2928" spans="1:4" ht="12.75" customHeight="1" x14ac:dyDescent="0.2">
      <c r="A2928" s="21"/>
      <c r="B2928" s="3" t="s">
        <v>0</v>
      </c>
      <c r="C2928" s="20" t="s">
        <v>95</v>
      </c>
      <c r="D2928" s="21"/>
    </row>
    <row r="2929" spans="1:4" ht="12.75" customHeight="1" x14ac:dyDescent="0.2">
      <c r="A2929" s="21"/>
      <c r="B2929" s="3" t="s">
        <v>2</v>
      </c>
      <c r="C2929" s="20"/>
      <c r="D2929" s="21"/>
    </row>
    <row r="2930" spans="1:4" ht="12.75" customHeight="1" x14ac:dyDescent="0.2">
      <c r="A2930" s="21"/>
      <c r="B2930" s="3" t="s">
        <v>1840</v>
      </c>
      <c r="C2930" s="20" t="s">
        <v>533</v>
      </c>
      <c r="D2930" s="21"/>
    </row>
    <row r="2931" spans="1:4" ht="12.75" customHeight="1" x14ac:dyDescent="0.2">
      <c r="A2931" s="21"/>
      <c r="B2931" s="3" t="s">
        <v>9</v>
      </c>
      <c r="C2931" s="20" t="s">
        <v>2177</v>
      </c>
      <c r="D2931" s="21"/>
    </row>
    <row r="2932" spans="1:4" ht="12.75" customHeight="1" x14ac:dyDescent="0.2">
      <c r="A2932" s="21"/>
      <c r="B2932" s="3" t="s">
        <v>11</v>
      </c>
      <c r="C2932" s="20" t="s">
        <v>1553</v>
      </c>
      <c r="D2932" s="21"/>
    </row>
    <row r="2933" spans="1:4" ht="12.75" customHeight="1" x14ac:dyDescent="0.2">
      <c r="A2933" s="21"/>
      <c r="B2933" s="3" t="s">
        <v>16</v>
      </c>
      <c r="C2933" s="20"/>
      <c r="D2933" s="21"/>
    </row>
    <row r="2934" spans="1:4" ht="12.75" customHeight="1" x14ac:dyDescent="0.2">
      <c r="A2934" s="21"/>
      <c r="B2934" s="3" t="s">
        <v>17</v>
      </c>
      <c r="C2934" s="20" t="s">
        <v>19</v>
      </c>
      <c r="D2934" s="21"/>
    </row>
    <row r="2935" spans="1:4" ht="12.75" customHeight="1" x14ac:dyDescent="0.2">
      <c r="A2935" s="21"/>
      <c r="B2935" s="20" t="s">
        <v>18</v>
      </c>
      <c r="C2935" s="4" t="s">
        <v>796</v>
      </c>
      <c r="D2935" s="6" t="str">
        <f>HYPERLINK("javascript:void(0)","ördögpihe")</f>
        <v>ördögpihe</v>
      </c>
    </row>
    <row r="2936" spans="1:4" ht="12.75" customHeight="1" x14ac:dyDescent="0.2">
      <c r="A2936" s="21"/>
      <c r="B2936" s="21"/>
      <c r="C2936" s="4" t="s">
        <v>269</v>
      </c>
      <c r="D2936" s="6" t="str">
        <f>HYPERLINK("javascript:void(0)","rozmáragyar")</f>
        <v>rozmáragyar</v>
      </c>
    </row>
    <row r="2937" spans="1:4" ht="12.75" customHeight="1" x14ac:dyDescent="0.2">
      <c r="A2937" s="21"/>
      <c r="B2937" s="21"/>
      <c r="C2937" s="4" t="s">
        <v>780</v>
      </c>
      <c r="D2937" s="6" t="str">
        <f>HYPERLINK("javascript:void(0)","dobkarika")</f>
        <v>dobkarika</v>
      </c>
    </row>
    <row r="2938" spans="1:4" ht="12.75" customHeight="1" x14ac:dyDescent="0.2">
      <c r="A2938" s="21"/>
      <c r="B2938" s="2"/>
      <c r="C2938" s="2"/>
      <c r="D2938" s="2"/>
    </row>
    <row r="2939" spans="1:4" ht="12.75" customHeight="1" x14ac:dyDescent="0.2">
      <c r="A2939" s="21"/>
      <c r="B2939" s="2"/>
      <c r="C2939" s="2"/>
      <c r="D2939" s="2"/>
    </row>
    <row r="2940" spans="1:4" ht="12.75" customHeight="1" x14ac:dyDescent="0.2">
      <c r="A2940" s="21"/>
      <c r="B2940" s="2"/>
      <c r="C2940" s="2"/>
      <c r="D2940" s="2"/>
    </row>
    <row r="2941" spans="1:4" ht="12.75" customHeight="1" x14ac:dyDescent="0.2">
      <c r="A2941" s="21"/>
      <c r="B2941" s="2"/>
      <c r="C2941" s="2"/>
      <c r="D2941" s="2"/>
    </row>
    <row r="2942" spans="1:4" ht="12.75" customHeight="1" x14ac:dyDescent="0.2">
      <c r="A2942" s="5"/>
      <c r="B2942" s="2"/>
      <c r="C2942" s="2"/>
      <c r="D2942" s="2"/>
    </row>
    <row r="2943" spans="1:4" ht="12.75" customHeight="1" x14ac:dyDescent="0.2">
      <c r="A2943" s="22" t="str">
        <f>HYPERLINK("javascript:void(0)","csillámos antigrav csizma")</f>
        <v>csillámos antigrav csizma</v>
      </c>
      <c r="B2943" s="21"/>
      <c r="C2943" s="21"/>
      <c r="D2943" s="21"/>
    </row>
    <row r="2944" spans="1:4" ht="12.75" customHeight="1" x14ac:dyDescent="0.2">
      <c r="A2944" s="20"/>
      <c r="B2944" s="2"/>
      <c r="C2944" s="2"/>
      <c r="D2944" s="2"/>
    </row>
    <row r="2945" spans="1:4" ht="12.75" customHeight="1" x14ac:dyDescent="0.2">
      <c r="A2945" s="21"/>
      <c r="B2945" s="3" t="s">
        <v>0</v>
      </c>
      <c r="C2945" s="20" t="s">
        <v>95</v>
      </c>
      <c r="D2945" s="21"/>
    </row>
    <row r="2946" spans="1:4" ht="12.75" customHeight="1" x14ac:dyDescent="0.2">
      <c r="A2946" s="21"/>
      <c r="B2946" s="3" t="s">
        <v>2</v>
      </c>
      <c r="C2946" s="20"/>
      <c r="D2946" s="21"/>
    </row>
    <row r="2947" spans="1:4" ht="12.75" customHeight="1" x14ac:dyDescent="0.2">
      <c r="A2947" s="21"/>
      <c r="B2947" s="3" t="s">
        <v>1840</v>
      </c>
      <c r="C2947" s="20" t="s">
        <v>533</v>
      </c>
      <c r="D2947" s="21"/>
    </row>
    <row r="2948" spans="1:4" ht="12.75" customHeight="1" x14ac:dyDescent="0.2">
      <c r="A2948" s="21"/>
      <c r="B2948" s="3" t="s">
        <v>9</v>
      </c>
      <c r="C2948" s="20" t="s">
        <v>626</v>
      </c>
      <c r="D2948" s="21"/>
    </row>
    <row r="2949" spans="1:4" ht="12.75" customHeight="1" x14ac:dyDescent="0.2">
      <c r="A2949" s="21"/>
      <c r="B2949" s="3" t="s">
        <v>11</v>
      </c>
      <c r="C2949" s="20" t="s">
        <v>23</v>
      </c>
      <c r="D2949" s="21"/>
    </row>
    <row r="2950" spans="1:4" ht="12.75" customHeight="1" x14ac:dyDescent="0.2">
      <c r="A2950" s="21"/>
      <c r="B2950" s="3" t="s">
        <v>16</v>
      </c>
      <c r="C2950" s="20"/>
      <c r="D2950" s="21"/>
    </row>
    <row r="2951" spans="1:4" ht="12.75" customHeight="1" x14ac:dyDescent="0.2">
      <c r="A2951" s="21"/>
      <c r="B2951" s="3" t="s">
        <v>17</v>
      </c>
      <c r="C2951" s="20" t="s">
        <v>19</v>
      </c>
      <c r="D2951" s="21"/>
    </row>
    <row r="2952" spans="1:4" ht="25.5" customHeight="1" x14ac:dyDescent="0.2">
      <c r="A2952" s="21"/>
      <c r="B2952" s="20" t="s">
        <v>18</v>
      </c>
      <c r="C2952" s="4" t="s">
        <v>44</v>
      </c>
      <c r="D2952" s="6" t="str">
        <f>HYPERLINK("javascript:void(0)","röpdíszes antigrav csizma")</f>
        <v>röpdíszes antigrav csizma</v>
      </c>
    </row>
    <row r="2953" spans="1:4" ht="12.75" customHeight="1" x14ac:dyDescent="0.2">
      <c r="A2953" s="21"/>
      <c r="B2953" s="21"/>
      <c r="C2953" s="4" t="s">
        <v>358</v>
      </c>
      <c r="D2953" s="6" t="str">
        <f>HYPERLINK("javascript:void(0)","kvarc")</f>
        <v>kvarc</v>
      </c>
    </row>
    <row r="2954" spans="1:4" ht="12.75" customHeight="1" x14ac:dyDescent="0.2">
      <c r="A2954" s="21"/>
      <c r="B2954" s="21"/>
      <c r="C2954" s="4" t="s">
        <v>1113</v>
      </c>
      <c r="D2954" s="6" t="str">
        <f>HYPERLINK("javascript:void(0)","ködpikkely")</f>
        <v>ködpikkely</v>
      </c>
    </row>
    <row r="2955" spans="1:4" ht="12.75" customHeight="1" x14ac:dyDescent="0.2">
      <c r="A2955" s="21"/>
      <c r="B2955" s="2"/>
      <c r="C2955" s="2"/>
      <c r="D2955" s="2"/>
    </row>
    <row r="2956" spans="1:4" ht="12.75" customHeight="1" x14ac:dyDescent="0.2">
      <c r="A2956" s="21"/>
      <c r="B2956" s="2"/>
      <c r="C2956" s="2"/>
      <c r="D2956" s="2"/>
    </row>
    <row r="2957" spans="1:4" ht="12.75" customHeight="1" x14ac:dyDescent="0.2">
      <c r="A2957" s="21"/>
      <c r="B2957" s="2"/>
      <c r="C2957" s="2"/>
      <c r="D2957" s="2"/>
    </row>
    <row r="2958" spans="1:4" ht="12.75" customHeight="1" x14ac:dyDescent="0.2">
      <c r="A2958" s="21"/>
      <c r="B2958" s="2"/>
      <c r="C2958" s="2"/>
      <c r="D2958" s="2"/>
    </row>
    <row r="2959" spans="1:4" ht="12.75" customHeight="1" x14ac:dyDescent="0.2">
      <c r="A2959" s="5"/>
      <c r="B2959" s="2"/>
      <c r="C2959" s="2"/>
      <c r="D2959" s="2"/>
    </row>
    <row r="2960" spans="1:4" ht="12.75" customHeight="1" x14ac:dyDescent="0.2">
      <c r="A2960" s="22" t="str">
        <f>HYPERLINK("javascript:void(0)","radionitmokaszin")</f>
        <v>radionitmokaszin</v>
      </c>
      <c r="B2960" s="21"/>
      <c r="C2960" s="21"/>
      <c r="D2960" s="21"/>
    </row>
    <row r="2961" spans="1:4" ht="12.75" customHeight="1" x14ac:dyDescent="0.2">
      <c r="A2961" s="20"/>
      <c r="B2961" s="2"/>
      <c r="C2961" s="2"/>
      <c r="D2961" s="2"/>
    </row>
    <row r="2962" spans="1:4" ht="12.75" customHeight="1" x14ac:dyDescent="0.2">
      <c r="A2962" s="21"/>
      <c r="B2962" s="3" t="s">
        <v>0</v>
      </c>
      <c r="C2962" s="20" t="s">
        <v>336</v>
      </c>
      <c r="D2962" s="21"/>
    </row>
    <row r="2963" spans="1:4" ht="12.75" customHeight="1" x14ac:dyDescent="0.2">
      <c r="A2963" s="21"/>
      <c r="B2963" s="3" t="s">
        <v>2</v>
      </c>
      <c r="C2963" s="20"/>
      <c r="D2963" s="21"/>
    </row>
    <row r="2964" spans="1:4" ht="12.75" customHeight="1" x14ac:dyDescent="0.2">
      <c r="A2964" s="21"/>
      <c r="B2964" s="3" t="s">
        <v>1840</v>
      </c>
      <c r="C2964" s="20" t="s">
        <v>2181</v>
      </c>
      <c r="D2964" s="21"/>
    </row>
    <row r="2965" spans="1:4" ht="12.75" customHeight="1" x14ac:dyDescent="0.2">
      <c r="A2965" s="21"/>
      <c r="B2965" s="3" t="s">
        <v>9</v>
      </c>
      <c r="C2965" s="20" t="s">
        <v>2056</v>
      </c>
      <c r="D2965" s="21"/>
    </row>
    <row r="2966" spans="1:4" ht="12.75" customHeight="1" x14ac:dyDescent="0.2">
      <c r="A2966" s="21"/>
      <c r="B2966" s="3" t="s">
        <v>11</v>
      </c>
      <c r="C2966" s="20" t="s">
        <v>1040</v>
      </c>
      <c r="D2966" s="21"/>
    </row>
    <row r="2967" spans="1:4" ht="12.75" customHeight="1" x14ac:dyDescent="0.2">
      <c r="A2967" s="21"/>
      <c r="B2967" s="3" t="s">
        <v>16</v>
      </c>
      <c r="C2967" s="20"/>
      <c r="D2967" s="21"/>
    </row>
    <row r="2968" spans="1:4" ht="12.75" customHeight="1" x14ac:dyDescent="0.2">
      <c r="A2968" s="21"/>
      <c r="B2968" s="3" t="s">
        <v>17</v>
      </c>
      <c r="C2968" s="20" t="s">
        <v>19</v>
      </c>
      <c r="D2968" s="21"/>
    </row>
    <row r="2969" spans="1:4" ht="12.75" customHeight="1" x14ac:dyDescent="0.2">
      <c r="A2969" s="21"/>
      <c r="B2969" s="20" t="s">
        <v>18</v>
      </c>
      <c r="C2969" s="4" t="s">
        <v>44</v>
      </c>
      <c r="D2969" s="6" t="str">
        <f>HYPERLINK("javascript:void(0)","léleklépő")</f>
        <v>léleklépő</v>
      </c>
    </row>
    <row r="2970" spans="1:4" ht="12.75" customHeight="1" x14ac:dyDescent="0.2">
      <c r="A2970" s="21"/>
      <c r="B2970" s="21"/>
      <c r="C2970" s="4" t="s">
        <v>44</v>
      </c>
      <c r="D2970" s="6" t="str">
        <f>HYPERLINK("javascript:void(0)","karikasaru")</f>
        <v>karikasaru</v>
      </c>
    </row>
    <row r="2971" spans="1:4" ht="12.75" customHeight="1" x14ac:dyDescent="0.2">
      <c r="A2971" s="21"/>
      <c r="B2971" s="21"/>
      <c r="C2971" s="4" t="s">
        <v>44</v>
      </c>
      <c r="D2971" s="6" t="str">
        <f>HYPERLINK("javascript:void(0)","radionitfűző")</f>
        <v>radionitfűző</v>
      </c>
    </row>
    <row r="2972" spans="1:4" ht="12.75" customHeight="1" x14ac:dyDescent="0.2">
      <c r="A2972" s="21"/>
      <c r="B2972" s="2"/>
      <c r="C2972" s="2"/>
      <c r="D2972" s="2"/>
    </row>
    <row r="2973" spans="1:4" ht="12.75" customHeight="1" x14ac:dyDescent="0.2">
      <c r="A2973" s="21"/>
      <c r="B2973" s="2"/>
      <c r="C2973" s="2"/>
      <c r="D2973" s="2"/>
    </row>
    <row r="2974" spans="1:4" ht="12.75" customHeight="1" x14ac:dyDescent="0.2">
      <c r="A2974" s="21"/>
      <c r="B2974" s="2"/>
      <c r="C2974" s="2"/>
      <c r="D2974" s="2"/>
    </row>
    <row r="2975" spans="1:4" ht="12.75" customHeight="1" x14ac:dyDescent="0.2">
      <c r="A2975" s="21"/>
      <c r="B2975" s="2"/>
      <c r="C2975" s="2"/>
      <c r="D2975" s="2"/>
    </row>
    <row r="2976" spans="1:4" ht="12.75" customHeight="1" x14ac:dyDescent="0.2">
      <c r="A2976" s="5"/>
      <c r="B2976" s="2"/>
      <c r="C2976" s="2"/>
      <c r="D2976" s="2"/>
    </row>
    <row r="2977" spans="1:4" ht="12.75" customHeight="1" x14ac:dyDescent="0.2">
      <c r="A2977" s="22" t="str">
        <f>HYPERLINK("javascript:void(0)","radionitfűző")</f>
        <v>radionitfűző</v>
      </c>
      <c r="B2977" s="21"/>
      <c r="C2977" s="21"/>
      <c r="D2977" s="21"/>
    </row>
    <row r="2978" spans="1:4" ht="12.75" customHeight="1" x14ac:dyDescent="0.2">
      <c r="A2978" s="20"/>
      <c r="B2978" s="2"/>
      <c r="C2978" s="2"/>
      <c r="D2978" s="2"/>
    </row>
    <row r="2979" spans="1:4" ht="12.75" customHeight="1" x14ac:dyDescent="0.2">
      <c r="A2979" s="21"/>
      <c r="B2979" s="3" t="s">
        <v>0</v>
      </c>
      <c r="C2979" s="20" t="s">
        <v>336</v>
      </c>
      <c r="D2979" s="21"/>
    </row>
    <row r="2980" spans="1:4" ht="12.75" customHeight="1" x14ac:dyDescent="0.2">
      <c r="A2980" s="21"/>
      <c r="B2980" s="3" t="s">
        <v>2</v>
      </c>
      <c r="C2980" s="20"/>
      <c r="D2980" s="21"/>
    </row>
    <row r="2981" spans="1:4" ht="12.75" customHeight="1" x14ac:dyDescent="0.2">
      <c r="A2981" s="21"/>
      <c r="B2981" s="3" t="s">
        <v>1840</v>
      </c>
      <c r="C2981" s="20" t="s">
        <v>613</v>
      </c>
      <c r="D2981" s="21"/>
    </row>
    <row r="2982" spans="1:4" ht="12.75" customHeight="1" x14ac:dyDescent="0.2">
      <c r="A2982" s="21"/>
      <c r="B2982" s="3" t="s">
        <v>9</v>
      </c>
      <c r="C2982" s="20" t="s">
        <v>70</v>
      </c>
      <c r="D2982" s="21"/>
    </row>
    <row r="2983" spans="1:4" ht="12.75" customHeight="1" x14ac:dyDescent="0.2">
      <c r="A2983" s="21"/>
      <c r="B2983" s="3" t="s">
        <v>11</v>
      </c>
      <c r="C2983" s="20" t="s">
        <v>2182</v>
      </c>
      <c r="D2983" s="21"/>
    </row>
    <row r="2984" spans="1:4" ht="12.75" customHeight="1" x14ac:dyDescent="0.2">
      <c r="A2984" s="21"/>
      <c r="B2984" s="3" t="s">
        <v>16</v>
      </c>
      <c r="C2984" s="20"/>
      <c r="D2984" s="21"/>
    </row>
    <row r="2985" spans="1:4" ht="12.75" customHeight="1" x14ac:dyDescent="0.2">
      <c r="A2985" s="21"/>
      <c r="B2985" s="3" t="s">
        <v>17</v>
      </c>
      <c r="C2985" s="20" t="s">
        <v>19</v>
      </c>
      <c r="D2985" s="21"/>
    </row>
    <row r="2986" spans="1:4" ht="12.75" customHeight="1" x14ac:dyDescent="0.2">
      <c r="A2986" s="21"/>
      <c r="B2986" s="20" t="s">
        <v>18</v>
      </c>
      <c r="C2986" s="4" t="s">
        <v>323</v>
      </c>
      <c r="D2986" s="6" t="str">
        <f>HYPERLINK("javascript:void(0)","radiolium")</f>
        <v>radiolium</v>
      </c>
    </row>
    <row r="2987" spans="1:4" ht="12.75" customHeight="1" x14ac:dyDescent="0.2">
      <c r="A2987" s="21"/>
      <c r="B2987" s="21"/>
      <c r="C2987" s="4" t="s">
        <v>240</v>
      </c>
      <c r="D2987" s="6" t="str">
        <f>HYPERLINK("javascript:void(0)","suhanás")</f>
        <v>suhanás</v>
      </c>
    </row>
    <row r="2988" spans="1:4" ht="12.75" customHeight="1" x14ac:dyDescent="0.2">
      <c r="A2988" s="21"/>
      <c r="B2988" s="21"/>
      <c r="C2988" s="4" t="s">
        <v>102</v>
      </c>
      <c r="D2988" s="6" t="str">
        <f>HYPERLINK("javascript:void(0)","törtvény")</f>
        <v>törtvény</v>
      </c>
    </row>
    <row r="2989" spans="1:4" ht="12.75" customHeight="1" x14ac:dyDescent="0.2">
      <c r="A2989" s="21"/>
      <c r="B2989" s="2"/>
      <c r="C2989" s="2"/>
      <c r="D2989" s="2"/>
    </row>
    <row r="2990" spans="1:4" ht="12.75" customHeight="1" x14ac:dyDescent="0.2">
      <c r="A2990" s="21"/>
      <c r="B2990" s="2"/>
      <c r="C2990" s="2"/>
      <c r="D2990" s="2"/>
    </row>
    <row r="2991" spans="1:4" ht="12.75" customHeight="1" x14ac:dyDescent="0.2">
      <c r="A2991" s="21"/>
      <c r="B2991" s="2"/>
      <c r="C2991" s="2"/>
      <c r="D2991" s="2"/>
    </row>
    <row r="2992" spans="1:4" ht="12.75" customHeight="1" x14ac:dyDescent="0.2">
      <c r="A2992" s="21"/>
      <c r="B2992" s="2"/>
      <c r="C2992" s="2"/>
      <c r="D2992" s="2"/>
    </row>
    <row r="2993" spans="1:4" ht="12.75" customHeight="1" x14ac:dyDescent="0.2">
      <c r="A2993" s="5"/>
      <c r="B2993" s="2"/>
      <c r="C2993" s="2"/>
      <c r="D2993" s="2"/>
    </row>
    <row r="2994" spans="1:4" ht="12.75" customHeight="1" x14ac:dyDescent="0.2">
      <c r="A2994" s="22" t="str">
        <f>HYPERLINK("javascript:void(0)","csatasaru")</f>
        <v>csatasaru</v>
      </c>
      <c r="B2994" s="21"/>
      <c r="C2994" s="21"/>
      <c r="D2994" s="21"/>
    </row>
    <row r="2995" spans="1:4" ht="12.75" customHeight="1" x14ac:dyDescent="0.2">
      <c r="A2995" s="20"/>
      <c r="B2995" s="2"/>
      <c r="C2995" s="2"/>
      <c r="D2995" s="2"/>
    </row>
    <row r="2996" spans="1:4" ht="12.75" customHeight="1" x14ac:dyDescent="0.2">
      <c r="A2996" s="21"/>
      <c r="B2996" s="3" t="s">
        <v>0</v>
      </c>
      <c r="C2996" s="20" t="s">
        <v>347</v>
      </c>
      <c r="D2996" s="21"/>
    </row>
    <row r="2997" spans="1:4" ht="12.75" customHeight="1" x14ac:dyDescent="0.2">
      <c r="A2997" s="21"/>
      <c r="B2997" s="3" t="s">
        <v>2</v>
      </c>
      <c r="C2997" s="20"/>
      <c r="D2997" s="21"/>
    </row>
    <row r="2998" spans="1:4" ht="12.75" customHeight="1" x14ac:dyDescent="0.2">
      <c r="A2998" s="21"/>
      <c r="B2998" s="3" t="s">
        <v>1840</v>
      </c>
      <c r="C2998" s="20" t="s">
        <v>2185</v>
      </c>
      <c r="D2998" s="21"/>
    </row>
    <row r="2999" spans="1:4" ht="12.75" customHeight="1" x14ac:dyDescent="0.2">
      <c r="A2999" s="21"/>
      <c r="B2999" s="3" t="s">
        <v>9</v>
      </c>
      <c r="C2999" s="20" t="s">
        <v>712</v>
      </c>
      <c r="D2999" s="21"/>
    </row>
    <row r="3000" spans="1:4" ht="12.75" customHeight="1" x14ac:dyDescent="0.2">
      <c r="A3000" s="21"/>
      <c r="B3000" s="3" t="s">
        <v>11</v>
      </c>
      <c r="C3000" s="20" t="s">
        <v>1565</v>
      </c>
      <c r="D3000" s="21"/>
    </row>
    <row r="3001" spans="1:4" ht="12.75" customHeight="1" x14ac:dyDescent="0.2">
      <c r="A3001" s="21"/>
      <c r="B3001" s="3" t="s">
        <v>16</v>
      </c>
      <c r="C3001" s="20"/>
      <c r="D3001" s="21"/>
    </row>
    <row r="3002" spans="1:4" ht="12.75" customHeight="1" x14ac:dyDescent="0.2">
      <c r="A3002" s="21"/>
      <c r="B3002" s="3" t="s">
        <v>17</v>
      </c>
      <c r="C3002" s="20" t="s">
        <v>19</v>
      </c>
      <c r="D3002" s="21"/>
    </row>
    <row r="3003" spans="1:4" ht="12.75" customHeight="1" x14ac:dyDescent="0.2">
      <c r="A3003" s="21"/>
      <c r="B3003" s="20" t="s">
        <v>18</v>
      </c>
      <c r="C3003" s="4" t="s">
        <v>780</v>
      </c>
      <c r="D3003" s="6" t="str">
        <f>HYPERLINK("javascript:void(0)","csatatüske")</f>
        <v>csatatüske</v>
      </c>
    </row>
    <row r="3004" spans="1:4" ht="12.75" customHeight="1" x14ac:dyDescent="0.2">
      <c r="A3004" s="21"/>
      <c r="B3004" s="21"/>
      <c r="C3004" s="4" t="s">
        <v>44</v>
      </c>
      <c r="D3004" s="6" t="str">
        <f>HYPERLINK("javascript:void(0)","radionitmokaszin")</f>
        <v>radionitmokaszin</v>
      </c>
    </row>
    <row r="3005" spans="1:4" ht="12.75" customHeight="1" x14ac:dyDescent="0.2">
      <c r="A3005" s="21"/>
      <c r="B3005" s="21"/>
      <c r="C3005" s="4" t="s">
        <v>139</v>
      </c>
      <c r="D3005" s="6" t="str">
        <f>HYPERLINK("javascript:void(0)","rozmáragyar")</f>
        <v>rozmáragyar</v>
      </c>
    </row>
    <row r="3006" spans="1:4" ht="12.75" customHeight="1" x14ac:dyDescent="0.2">
      <c r="A3006" s="21"/>
      <c r="B3006" s="2"/>
      <c r="C3006" s="2"/>
      <c r="D3006" s="2"/>
    </row>
    <row r="3007" spans="1:4" ht="12.75" customHeight="1" x14ac:dyDescent="0.2">
      <c r="A3007" s="21"/>
      <c r="B3007" s="2"/>
      <c r="C3007" s="2"/>
      <c r="D3007" s="2"/>
    </row>
    <row r="3008" spans="1:4" ht="12.75" customHeight="1" x14ac:dyDescent="0.2">
      <c r="A3008" s="21"/>
      <c r="B3008" s="2"/>
      <c r="C3008" s="2"/>
      <c r="D3008" s="2"/>
    </row>
    <row r="3009" spans="1:4" ht="12.75" customHeight="1" x14ac:dyDescent="0.2">
      <c r="A3009" s="21"/>
      <c r="B3009" s="2"/>
      <c r="C3009" s="2"/>
      <c r="D3009" s="2"/>
    </row>
    <row r="3010" spans="1:4" ht="12.75" customHeight="1" x14ac:dyDescent="0.2">
      <c r="A3010" s="5"/>
      <c r="B3010" s="2"/>
      <c r="C3010" s="2"/>
      <c r="D3010" s="2"/>
    </row>
    <row r="3011" spans="1:4" ht="12.75" customHeight="1" x14ac:dyDescent="0.2">
      <c r="A3011" s="22" t="str">
        <f>HYPERLINK("javascript:void(0)","csillámló patinacsizma")</f>
        <v>csillámló patinacsizma</v>
      </c>
      <c r="B3011" s="21"/>
      <c r="C3011" s="21"/>
      <c r="D3011" s="21"/>
    </row>
    <row r="3012" spans="1:4" ht="12.75" customHeight="1" x14ac:dyDescent="0.2">
      <c r="A3012" s="20"/>
      <c r="B3012" s="2"/>
      <c r="C3012" s="2"/>
      <c r="D3012" s="2"/>
    </row>
    <row r="3013" spans="1:4" ht="12.75" customHeight="1" x14ac:dyDescent="0.2">
      <c r="A3013" s="21"/>
      <c r="B3013" s="3" t="s">
        <v>0</v>
      </c>
      <c r="C3013" s="20" t="s">
        <v>347</v>
      </c>
      <c r="D3013" s="21"/>
    </row>
    <row r="3014" spans="1:4" ht="12.75" customHeight="1" x14ac:dyDescent="0.2">
      <c r="A3014" s="21"/>
      <c r="B3014" s="3" t="s">
        <v>2</v>
      </c>
      <c r="C3014" s="20"/>
      <c r="D3014" s="21"/>
    </row>
    <row r="3015" spans="1:4" ht="12.75" customHeight="1" x14ac:dyDescent="0.2">
      <c r="A3015" s="21"/>
      <c r="B3015" s="3" t="s">
        <v>1840</v>
      </c>
      <c r="C3015" s="20" t="s">
        <v>2186</v>
      </c>
      <c r="D3015" s="21"/>
    </row>
    <row r="3016" spans="1:4" ht="12.75" customHeight="1" x14ac:dyDescent="0.2">
      <c r="A3016" s="21"/>
      <c r="B3016" s="3" t="s">
        <v>9</v>
      </c>
      <c r="C3016" s="20" t="s">
        <v>415</v>
      </c>
      <c r="D3016" s="21"/>
    </row>
    <row r="3017" spans="1:4" ht="12.75" customHeight="1" x14ac:dyDescent="0.2">
      <c r="A3017" s="21"/>
      <c r="B3017" s="3" t="s">
        <v>11</v>
      </c>
      <c r="C3017" s="20" t="s">
        <v>1565</v>
      </c>
      <c r="D3017" s="21"/>
    </row>
    <row r="3018" spans="1:4" ht="12.75" customHeight="1" x14ac:dyDescent="0.2">
      <c r="A3018" s="21"/>
      <c r="B3018" s="3" t="s">
        <v>16</v>
      </c>
      <c r="C3018" s="20"/>
      <c r="D3018" s="21"/>
    </row>
    <row r="3019" spans="1:4" ht="12.75" customHeight="1" x14ac:dyDescent="0.2">
      <c r="A3019" s="21"/>
      <c r="B3019" s="3" t="s">
        <v>17</v>
      </c>
      <c r="C3019" s="20" t="s">
        <v>19</v>
      </c>
      <c r="D3019" s="21"/>
    </row>
    <row r="3020" spans="1:4" ht="12.75" customHeight="1" x14ac:dyDescent="0.2">
      <c r="A3020" s="21"/>
      <c r="B3020" s="20" t="s">
        <v>18</v>
      </c>
      <c r="C3020" s="4" t="s">
        <v>57</v>
      </c>
      <c r="D3020" s="6" t="str">
        <f>HYPERLINK("javascript:void(0)","csillámgöb")</f>
        <v>csillámgöb</v>
      </c>
    </row>
    <row r="3021" spans="1:4" ht="25.5" customHeight="1" x14ac:dyDescent="0.2">
      <c r="A3021" s="21"/>
      <c r="B3021" s="21"/>
      <c r="C3021" s="4" t="s">
        <v>44</v>
      </c>
      <c r="D3021" s="6" t="str">
        <f>HYPERLINK("javascript:void(0)","csillámló kompozitcsizma")</f>
        <v>csillámló kompozitcsizma</v>
      </c>
    </row>
    <row r="3022" spans="1:4" ht="12.75" customHeight="1" x14ac:dyDescent="0.2">
      <c r="A3022" s="21"/>
      <c r="B3022" s="21"/>
      <c r="C3022" s="4" t="s">
        <v>988</v>
      </c>
      <c r="D3022" s="6" t="str">
        <f>HYPERLINK("javascript:void(0)","aszályige")</f>
        <v>aszályige</v>
      </c>
    </row>
    <row r="3023" spans="1:4" ht="12.75" customHeight="1" x14ac:dyDescent="0.2">
      <c r="A3023" s="21"/>
      <c r="B3023" s="2"/>
      <c r="C3023" s="2"/>
      <c r="D3023" s="2"/>
    </row>
    <row r="3024" spans="1:4" ht="12.75" customHeight="1" x14ac:dyDescent="0.2">
      <c r="A3024" s="21"/>
      <c r="B3024" s="2"/>
      <c r="C3024" s="2"/>
      <c r="D3024" s="2"/>
    </row>
    <row r="3025" spans="1:4" ht="12.75" customHeight="1" x14ac:dyDescent="0.2">
      <c r="A3025" s="21"/>
      <c r="B3025" s="2"/>
      <c r="C3025" s="2"/>
      <c r="D3025" s="2"/>
    </row>
    <row r="3026" spans="1:4" ht="12.75" customHeight="1" x14ac:dyDescent="0.2">
      <c r="A3026" s="21"/>
      <c r="B3026" s="2"/>
      <c r="C3026" s="2"/>
      <c r="D3026" s="2"/>
    </row>
    <row r="3027" spans="1:4" ht="12.75" customHeight="1" x14ac:dyDescent="0.2">
      <c r="A3027" s="5"/>
      <c r="B3027" s="2"/>
      <c r="C3027" s="2"/>
      <c r="D3027" s="2"/>
    </row>
    <row r="3028" spans="1:4" ht="12.75" customHeight="1" x14ac:dyDescent="0.2">
      <c r="A3028" s="22" t="str">
        <f>HYPERLINK("javascript:void(0)","szarusaru")</f>
        <v>szarusaru</v>
      </c>
      <c r="B3028" s="21"/>
      <c r="C3028" s="21"/>
      <c r="D3028" s="21"/>
    </row>
    <row r="3029" spans="1:4" ht="12.75" customHeight="1" x14ac:dyDescent="0.2">
      <c r="A3029" s="20"/>
      <c r="B3029" s="2"/>
      <c r="C3029" s="2"/>
      <c r="D3029" s="2"/>
    </row>
    <row r="3030" spans="1:4" ht="12.75" customHeight="1" x14ac:dyDescent="0.2">
      <c r="A3030" s="21"/>
      <c r="B3030" s="3" t="s">
        <v>0</v>
      </c>
      <c r="C3030" s="20" t="s">
        <v>312</v>
      </c>
      <c r="D3030" s="21"/>
    </row>
    <row r="3031" spans="1:4" ht="12.75" customHeight="1" x14ac:dyDescent="0.2">
      <c r="A3031" s="21"/>
      <c r="B3031" s="3" t="s">
        <v>2</v>
      </c>
      <c r="C3031" s="20"/>
      <c r="D3031" s="21"/>
    </row>
    <row r="3032" spans="1:4" ht="12.75" customHeight="1" x14ac:dyDescent="0.2">
      <c r="A3032" s="21"/>
      <c r="B3032" s="3" t="s">
        <v>1840</v>
      </c>
      <c r="C3032" s="20" t="s">
        <v>2188</v>
      </c>
      <c r="D3032" s="21"/>
    </row>
    <row r="3033" spans="1:4" ht="12.75" customHeight="1" x14ac:dyDescent="0.2">
      <c r="A3033" s="21"/>
      <c r="B3033" s="3" t="s">
        <v>9</v>
      </c>
      <c r="C3033" s="20" t="s">
        <v>2060</v>
      </c>
      <c r="D3033" s="21"/>
    </row>
    <row r="3034" spans="1:4" ht="12.75" customHeight="1" x14ac:dyDescent="0.2">
      <c r="A3034" s="21"/>
      <c r="B3034" s="3" t="s">
        <v>11</v>
      </c>
      <c r="C3034" s="20" t="s">
        <v>2190</v>
      </c>
      <c r="D3034" s="21"/>
    </row>
    <row r="3035" spans="1:4" ht="12.75" customHeight="1" x14ac:dyDescent="0.2">
      <c r="A3035" s="21"/>
      <c r="B3035" s="3" t="s">
        <v>16</v>
      </c>
      <c r="C3035" s="20"/>
      <c r="D3035" s="21"/>
    </row>
    <row r="3036" spans="1:4" ht="12.75" customHeight="1" x14ac:dyDescent="0.2">
      <c r="A3036" s="21"/>
      <c r="B3036" s="3" t="s">
        <v>17</v>
      </c>
      <c r="C3036" s="20" t="s">
        <v>19</v>
      </c>
      <c r="D3036" s="21"/>
    </row>
    <row r="3037" spans="1:4" ht="12.75" customHeight="1" x14ac:dyDescent="0.2">
      <c r="A3037" s="21"/>
      <c r="B3037" s="20" t="s">
        <v>18</v>
      </c>
      <c r="C3037" s="4" t="s">
        <v>2005</v>
      </c>
      <c r="D3037" s="6" t="str">
        <f>HYPERLINK("javascript:void(0)","dobókocka")</f>
        <v>dobókocka</v>
      </c>
    </row>
    <row r="3038" spans="1:4" ht="12.75" customHeight="1" x14ac:dyDescent="0.2">
      <c r="A3038" s="21"/>
      <c r="B3038" s="21"/>
      <c r="C3038" s="4" t="s">
        <v>772</v>
      </c>
      <c r="D3038" s="6" t="str">
        <f>HYPERLINK("javascript:void(0)","maxilla")</f>
        <v>maxilla</v>
      </c>
    </row>
    <row r="3039" spans="1:4" ht="12.75" customHeight="1" x14ac:dyDescent="0.2">
      <c r="A3039" s="21"/>
      <c r="B3039" s="21"/>
      <c r="C3039" s="4" t="s">
        <v>780</v>
      </c>
      <c r="D3039" s="6" t="str">
        <f>HYPERLINK("javascript:void(0)","kvarc")</f>
        <v>kvarc</v>
      </c>
    </row>
    <row r="3040" spans="1:4" ht="12.75" customHeight="1" x14ac:dyDescent="0.2">
      <c r="A3040" s="21"/>
      <c r="B3040" s="2"/>
      <c r="C3040" s="2"/>
      <c r="D3040" s="2"/>
    </row>
    <row r="3041" spans="1:4" ht="12.75" customHeight="1" x14ac:dyDescent="0.2">
      <c r="A3041" s="21"/>
      <c r="B3041" s="2"/>
      <c r="C3041" s="2"/>
      <c r="D3041" s="2"/>
    </row>
    <row r="3042" spans="1:4" ht="12.75" customHeight="1" x14ac:dyDescent="0.2">
      <c r="A3042" s="21"/>
      <c r="B3042" s="2"/>
      <c r="C3042" s="2"/>
      <c r="D3042" s="2"/>
    </row>
    <row r="3043" spans="1:4" ht="12.75" customHeight="1" x14ac:dyDescent="0.2">
      <c r="A3043" s="21"/>
      <c r="B3043" s="2"/>
      <c r="C3043" s="2"/>
      <c r="D3043" s="2"/>
    </row>
    <row r="3044" spans="1:4" ht="12.75" customHeight="1" x14ac:dyDescent="0.2">
      <c r="A3044" s="5"/>
      <c r="B3044" s="2"/>
      <c r="C3044" s="2"/>
      <c r="D3044" s="2"/>
    </row>
    <row r="3045" spans="1:4" ht="12.75" customHeight="1" x14ac:dyDescent="0.2">
      <c r="A3045" s="22" t="str">
        <f>HYPERLINK("javascript:void(0)","zombitipró antigrav csizma")</f>
        <v>zombitipró antigrav csizma</v>
      </c>
      <c r="B3045" s="21"/>
      <c r="C3045" s="21"/>
      <c r="D3045" s="21"/>
    </row>
    <row r="3046" spans="1:4" ht="12.75" customHeight="1" x14ac:dyDescent="0.2">
      <c r="A3046" s="20"/>
      <c r="B3046" s="2"/>
      <c r="C3046" s="2"/>
      <c r="D3046" s="2"/>
    </row>
    <row r="3047" spans="1:4" ht="12.75" customHeight="1" x14ac:dyDescent="0.2">
      <c r="A3047" s="21"/>
      <c r="B3047" s="3" t="s">
        <v>0</v>
      </c>
      <c r="C3047" s="20" t="s">
        <v>312</v>
      </c>
      <c r="D3047" s="21"/>
    </row>
    <row r="3048" spans="1:4" ht="12.75" customHeight="1" x14ac:dyDescent="0.2">
      <c r="A3048" s="21"/>
      <c r="B3048" s="3" t="s">
        <v>2</v>
      </c>
      <c r="C3048" s="20"/>
      <c r="D3048" s="21"/>
    </row>
    <row r="3049" spans="1:4" ht="12.75" customHeight="1" x14ac:dyDescent="0.2">
      <c r="A3049" s="21"/>
      <c r="B3049" s="3" t="s">
        <v>1840</v>
      </c>
      <c r="C3049" s="20" t="s">
        <v>2193</v>
      </c>
      <c r="D3049" s="21"/>
    </row>
    <row r="3050" spans="1:4" ht="12.75" customHeight="1" x14ac:dyDescent="0.2">
      <c r="A3050" s="21"/>
      <c r="B3050" s="3" t="s">
        <v>9</v>
      </c>
      <c r="C3050" s="20" t="s">
        <v>626</v>
      </c>
      <c r="D3050" s="21"/>
    </row>
    <row r="3051" spans="1:4" ht="12.75" customHeight="1" x14ac:dyDescent="0.2">
      <c r="A3051" s="21"/>
      <c r="B3051" s="3" t="s">
        <v>11</v>
      </c>
      <c r="C3051" s="20" t="s">
        <v>23</v>
      </c>
      <c r="D3051" s="21"/>
    </row>
    <row r="3052" spans="1:4" ht="12.75" customHeight="1" x14ac:dyDescent="0.2">
      <c r="A3052" s="21"/>
      <c r="B3052" s="3" t="s">
        <v>16</v>
      </c>
      <c r="C3052" s="20"/>
      <c r="D3052" s="21"/>
    </row>
    <row r="3053" spans="1:4" ht="12.75" customHeight="1" x14ac:dyDescent="0.2">
      <c r="A3053" s="21"/>
      <c r="B3053" s="3" t="s">
        <v>17</v>
      </c>
      <c r="C3053" s="20" t="s">
        <v>19</v>
      </c>
      <c r="D3053" s="21"/>
    </row>
    <row r="3054" spans="1:4" ht="25.5" customHeight="1" x14ac:dyDescent="0.2">
      <c r="A3054" s="21"/>
      <c r="B3054" s="20" t="s">
        <v>18</v>
      </c>
      <c r="C3054" s="4" t="s">
        <v>44</v>
      </c>
      <c r="D3054" s="6" t="str">
        <f>HYPERLINK("javascript:void(0)","csillámos antigrav csizma")</f>
        <v>csillámos antigrav csizma</v>
      </c>
    </row>
    <row r="3055" spans="1:4" ht="12.75" customHeight="1" x14ac:dyDescent="0.2">
      <c r="A3055" s="21"/>
      <c r="B3055" s="21"/>
      <c r="C3055" s="4" t="s">
        <v>2194</v>
      </c>
      <c r="D3055" s="6" t="str">
        <f>HYPERLINK("javascript:void(0)","patkányfarok")</f>
        <v>patkányfarok</v>
      </c>
    </row>
    <row r="3056" spans="1:4" ht="12.75" customHeight="1" x14ac:dyDescent="0.2">
      <c r="A3056" s="21"/>
      <c r="B3056" s="21"/>
      <c r="C3056" s="4" t="s">
        <v>398</v>
      </c>
      <c r="D3056" s="6" t="str">
        <f>HYPERLINK("javascript:void(0)","csatatüske")</f>
        <v>csatatüske</v>
      </c>
    </row>
    <row r="3057" spans="1:4" ht="12.75" customHeight="1" x14ac:dyDescent="0.2">
      <c r="A3057" s="21"/>
      <c r="B3057" s="2"/>
      <c r="C3057" s="2"/>
      <c r="D3057" s="2"/>
    </row>
    <row r="3058" spans="1:4" ht="12.75" customHeight="1" x14ac:dyDescent="0.2">
      <c r="A3058" s="21"/>
      <c r="B3058" s="2"/>
      <c r="C3058" s="2"/>
      <c r="D3058" s="2"/>
    </row>
    <row r="3059" spans="1:4" ht="12.75" customHeight="1" x14ac:dyDescent="0.2">
      <c r="A3059" s="21"/>
      <c r="B3059" s="2"/>
      <c r="C3059" s="2"/>
      <c r="D3059" s="2"/>
    </row>
    <row r="3060" spans="1:4" ht="12.75" customHeight="1" x14ac:dyDescent="0.2">
      <c r="A3060" s="21"/>
      <c r="B3060" s="2"/>
      <c r="C3060" s="2"/>
      <c r="D3060" s="2"/>
    </row>
    <row r="3061" spans="1:4" ht="12.75" customHeight="1" x14ac:dyDescent="0.2">
      <c r="A3061" s="5"/>
      <c r="B3061" s="2"/>
      <c r="C3061" s="2"/>
      <c r="D3061" s="2"/>
    </row>
    <row r="3062" spans="1:4" ht="12.75" customHeight="1" x14ac:dyDescent="0.2">
      <c r="A3062" s="22" t="str">
        <f>HYPERLINK("javascript:void(0)","diffuziomokaszin")</f>
        <v>diffuziomokaszin</v>
      </c>
      <c r="B3062" s="21"/>
      <c r="C3062" s="21"/>
      <c r="D3062" s="21"/>
    </row>
    <row r="3063" spans="1:4" ht="12.75" customHeight="1" x14ac:dyDescent="0.2">
      <c r="A3063" s="20"/>
      <c r="B3063" s="2"/>
      <c r="C3063" s="2"/>
      <c r="D3063" s="2"/>
    </row>
    <row r="3064" spans="1:4" ht="12.75" customHeight="1" x14ac:dyDescent="0.2">
      <c r="A3064" s="21"/>
      <c r="B3064" s="3" t="s">
        <v>0</v>
      </c>
      <c r="C3064" s="20" t="s">
        <v>305</v>
      </c>
      <c r="D3064" s="21"/>
    </row>
    <row r="3065" spans="1:4" ht="12.75" customHeight="1" x14ac:dyDescent="0.2">
      <c r="A3065" s="21"/>
      <c r="B3065" s="3" t="s">
        <v>2</v>
      </c>
      <c r="C3065" s="20"/>
      <c r="D3065" s="21"/>
    </row>
    <row r="3066" spans="1:4" ht="12.75" customHeight="1" x14ac:dyDescent="0.2">
      <c r="A3066" s="21"/>
      <c r="B3066" s="3" t="s">
        <v>1840</v>
      </c>
      <c r="C3066" s="20" t="s">
        <v>2197</v>
      </c>
      <c r="D3066" s="21"/>
    </row>
    <row r="3067" spans="1:4" ht="12.75" customHeight="1" x14ac:dyDescent="0.2">
      <c r="A3067" s="21"/>
      <c r="B3067" s="3" t="s">
        <v>9</v>
      </c>
      <c r="C3067" s="20" t="s">
        <v>678</v>
      </c>
      <c r="D3067" s="21"/>
    </row>
    <row r="3068" spans="1:4" ht="12.75" customHeight="1" x14ac:dyDescent="0.2">
      <c r="A3068" s="21"/>
      <c r="B3068" s="3" t="s">
        <v>11</v>
      </c>
      <c r="C3068" s="20" t="s">
        <v>1577</v>
      </c>
      <c r="D3068" s="21"/>
    </row>
    <row r="3069" spans="1:4" ht="12.75" customHeight="1" x14ac:dyDescent="0.2">
      <c r="A3069" s="21"/>
      <c r="B3069" s="3" t="s">
        <v>16</v>
      </c>
      <c r="C3069" s="20"/>
      <c r="D3069" s="21"/>
    </row>
    <row r="3070" spans="1:4" ht="12.75" customHeight="1" x14ac:dyDescent="0.2">
      <c r="A3070" s="21"/>
      <c r="B3070" s="3" t="s">
        <v>17</v>
      </c>
      <c r="C3070" s="20" t="s">
        <v>19</v>
      </c>
      <c r="D3070" s="21"/>
    </row>
    <row r="3071" spans="1:4" ht="12.75" customHeight="1" x14ac:dyDescent="0.2">
      <c r="A3071" s="21"/>
      <c r="B3071" s="20" t="s">
        <v>18</v>
      </c>
      <c r="C3071" s="4" t="s">
        <v>44</v>
      </c>
      <c r="D3071" s="6" t="str">
        <f>HYPERLINK("javascript:void(0)","csatasaru")</f>
        <v>csatasaru</v>
      </c>
    </row>
    <row r="3072" spans="1:4" ht="12.75" customHeight="1" x14ac:dyDescent="0.2">
      <c r="A3072" s="21"/>
      <c r="B3072" s="21"/>
      <c r="C3072" s="4" t="s">
        <v>44</v>
      </c>
      <c r="D3072" s="6" t="str">
        <f>HYPERLINK("javascript:void(0)","szarusaru")</f>
        <v>szarusaru</v>
      </c>
    </row>
    <row r="3073" spans="1:4" ht="12.75" customHeight="1" x14ac:dyDescent="0.2">
      <c r="A3073" s="21"/>
      <c r="B3073" s="21"/>
      <c r="C3073" s="4" t="s">
        <v>44</v>
      </c>
      <c r="D3073" s="6" t="str">
        <f>HYPERLINK("javascript:void(0)","diffuziofűző")</f>
        <v>diffuziofűző</v>
      </c>
    </row>
    <row r="3074" spans="1:4" ht="12.75" customHeight="1" x14ac:dyDescent="0.2">
      <c r="A3074" s="21"/>
      <c r="B3074" s="2"/>
      <c r="C3074" s="2"/>
      <c r="D3074" s="2"/>
    </row>
    <row r="3075" spans="1:4" ht="12.75" customHeight="1" x14ac:dyDescent="0.2">
      <c r="A3075" s="21"/>
      <c r="B3075" s="2"/>
      <c r="C3075" s="2"/>
      <c r="D3075" s="2"/>
    </row>
    <row r="3076" spans="1:4" ht="12.75" customHeight="1" x14ac:dyDescent="0.2">
      <c r="A3076" s="21"/>
      <c r="B3076" s="2"/>
      <c r="C3076" s="2"/>
      <c r="D3076" s="2"/>
    </row>
    <row r="3077" spans="1:4" ht="12.75" customHeight="1" x14ac:dyDescent="0.2">
      <c r="A3077" s="21"/>
      <c r="B3077" s="2"/>
      <c r="C3077" s="2"/>
      <c r="D3077" s="2"/>
    </row>
    <row r="3078" spans="1:4" ht="12.75" customHeight="1" x14ac:dyDescent="0.2">
      <c r="A3078" s="5"/>
      <c r="B3078" s="2"/>
      <c r="C3078" s="2"/>
      <c r="D3078" s="2"/>
    </row>
    <row r="3079" spans="1:4" ht="12.75" customHeight="1" x14ac:dyDescent="0.2">
      <c r="A3079" s="22" t="str">
        <f>HYPERLINK("javascript:void(0)","diffuziofűző")</f>
        <v>diffuziofűző</v>
      </c>
      <c r="B3079" s="21"/>
      <c r="C3079" s="21"/>
      <c r="D3079" s="21"/>
    </row>
    <row r="3080" spans="1:4" ht="12.75" customHeight="1" x14ac:dyDescent="0.2">
      <c r="A3080" s="20"/>
      <c r="B3080" s="2"/>
      <c r="C3080" s="2"/>
      <c r="D3080" s="2"/>
    </row>
    <row r="3081" spans="1:4" ht="12.75" customHeight="1" x14ac:dyDescent="0.2">
      <c r="A3081" s="21"/>
      <c r="B3081" s="3" t="s">
        <v>0</v>
      </c>
      <c r="C3081" s="20" t="s">
        <v>305</v>
      </c>
      <c r="D3081" s="21"/>
    </row>
    <row r="3082" spans="1:4" ht="12.75" customHeight="1" x14ac:dyDescent="0.2">
      <c r="A3082" s="21"/>
      <c r="B3082" s="3" t="s">
        <v>2</v>
      </c>
      <c r="C3082" s="20"/>
      <c r="D3082" s="21"/>
    </row>
    <row r="3083" spans="1:4" ht="12.75" customHeight="1" x14ac:dyDescent="0.2">
      <c r="A3083" s="21"/>
      <c r="B3083" s="3" t="s">
        <v>1840</v>
      </c>
      <c r="C3083" s="20" t="s">
        <v>651</v>
      </c>
      <c r="D3083" s="21"/>
    </row>
    <row r="3084" spans="1:4" ht="12.75" customHeight="1" x14ac:dyDescent="0.2">
      <c r="A3084" s="21"/>
      <c r="B3084" s="3" t="s">
        <v>9</v>
      </c>
      <c r="C3084" s="20" t="s">
        <v>70</v>
      </c>
      <c r="D3084" s="21"/>
    </row>
    <row r="3085" spans="1:4" ht="12.75" customHeight="1" x14ac:dyDescent="0.2">
      <c r="A3085" s="21"/>
      <c r="B3085" s="3" t="s">
        <v>11</v>
      </c>
      <c r="C3085" s="20" t="s">
        <v>2199</v>
      </c>
      <c r="D3085" s="21"/>
    </row>
    <row r="3086" spans="1:4" ht="12.75" customHeight="1" x14ac:dyDescent="0.2">
      <c r="A3086" s="21"/>
      <c r="B3086" s="3" t="s">
        <v>16</v>
      </c>
      <c r="C3086" s="20"/>
      <c r="D3086" s="21"/>
    </row>
    <row r="3087" spans="1:4" ht="12.75" customHeight="1" x14ac:dyDescent="0.2">
      <c r="A3087" s="21"/>
      <c r="B3087" s="3" t="s">
        <v>17</v>
      </c>
      <c r="C3087" s="20" t="s">
        <v>19</v>
      </c>
      <c r="D3087" s="21"/>
    </row>
    <row r="3088" spans="1:4" ht="12.75" customHeight="1" x14ac:dyDescent="0.2">
      <c r="A3088" s="21"/>
      <c r="B3088" s="20" t="s">
        <v>18</v>
      </c>
      <c r="C3088" s="4" t="s">
        <v>63</v>
      </c>
      <c r="D3088" s="6" t="str">
        <f>HYPERLINK("javascript:void(0)","diffuzionit")</f>
        <v>diffuzionit</v>
      </c>
    </row>
    <row r="3089" spans="1:4" ht="12.75" customHeight="1" x14ac:dyDescent="0.2">
      <c r="A3089" s="21"/>
      <c r="B3089" s="21"/>
      <c r="C3089" s="4" t="s">
        <v>296</v>
      </c>
      <c r="D3089" s="6" t="str">
        <f>HYPERLINK("javascript:void(0)","drótkosár")</f>
        <v>drótkosár</v>
      </c>
    </row>
    <row r="3090" spans="1:4" ht="12.75" customHeight="1" x14ac:dyDescent="0.2">
      <c r="A3090" s="21"/>
      <c r="B3090" s="21"/>
      <c r="C3090" s="4" t="s">
        <v>420</v>
      </c>
      <c r="D3090" s="6" t="str">
        <f>HYPERLINK("javascript:void(0)","dobverő")</f>
        <v>dobverő</v>
      </c>
    </row>
    <row r="3091" spans="1:4" ht="12.75" customHeight="1" x14ac:dyDescent="0.2">
      <c r="A3091" s="21"/>
      <c r="B3091" s="2"/>
      <c r="C3091" s="2"/>
      <c r="D3091" s="2"/>
    </row>
    <row r="3092" spans="1:4" ht="12.75" customHeight="1" x14ac:dyDescent="0.2">
      <c r="A3092" s="21"/>
      <c r="B3092" s="2"/>
      <c r="C3092" s="2"/>
      <c r="D3092" s="2"/>
    </row>
    <row r="3093" spans="1:4" ht="12.75" customHeight="1" x14ac:dyDescent="0.2">
      <c r="A3093" s="21"/>
      <c r="B3093" s="2"/>
      <c r="C3093" s="2"/>
      <c r="D3093" s="2"/>
    </row>
    <row r="3094" spans="1:4" ht="12.75" customHeight="1" x14ac:dyDescent="0.2">
      <c r="A3094" s="21"/>
      <c r="B3094" s="2"/>
      <c r="C3094" s="2"/>
      <c r="D3094" s="2"/>
    </row>
    <row r="3095" spans="1:4" ht="12.75" customHeight="1" x14ac:dyDescent="0.2">
      <c r="A3095" s="5"/>
      <c r="B3095" s="2"/>
      <c r="C3095" s="2"/>
      <c r="D3095" s="2"/>
    </row>
    <row r="3096" spans="1:4" ht="12.75" customHeight="1" x14ac:dyDescent="0.2">
      <c r="A3096" s="22" t="str">
        <f>HYPERLINK("javascript:void(0)","csontsaru")</f>
        <v>csontsaru</v>
      </c>
      <c r="B3096" s="21"/>
      <c r="C3096" s="21"/>
      <c r="D3096" s="21"/>
    </row>
    <row r="3097" spans="1:4" ht="12.75" customHeight="1" x14ac:dyDescent="0.2">
      <c r="A3097" s="20"/>
      <c r="B3097" s="2"/>
      <c r="C3097" s="2"/>
      <c r="D3097" s="2"/>
    </row>
    <row r="3098" spans="1:4" ht="12.75" customHeight="1" x14ac:dyDescent="0.2">
      <c r="A3098" s="21"/>
      <c r="B3098" s="3" t="s">
        <v>0</v>
      </c>
      <c r="C3098" s="20" t="s">
        <v>1114</v>
      </c>
      <c r="D3098" s="21"/>
    </row>
    <row r="3099" spans="1:4" ht="12.75" customHeight="1" x14ac:dyDescent="0.2">
      <c r="A3099" s="21"/>
      <c r="B3099" s="3" t="s">
        <v>2</v>
      </c>
      <c r="C3099" s="20"/>
      <c r="D3099" s="21"/>
    </row>
    <row r="3100" spans="1:4" ht="12.75" customHeight="1" x14ac:dyDescent="0.2">
      <c r="A3100" s="21"/>
      <c r="B3100" s="3" t="s">
        <v>1840</v>
      </c>
      <c r="C3100" s="20" t="s">
        <v>2186</v>
      </c>
      <c r="D3100" s="21"/>
    </row>
    <row r="3101" spans="1:4" ht="12.75" customHeight="1" x14ac:dyDescent="0.2">
      <c r="A3101" s="21"/>
      <c r="B3101" s="3" t="s">
        <v>9</v>
      </c>
      <c r="C3101" s="20" t="s">
        <v>1042</v>
      </c>
      <c r="D3101" s="21"/>
    </row>
    <row r="3102" spans="1:4" ht="12.75" customHeight="1" x14ac:dyDescent="0.2">
      <c r="A3102" s="21"/>
      <c r="B3102" s="3" t="s">
        <v>11</v>
      </c>
      <c r="C3102" s="20" t="s">
        <v>2201</v>
      </c>
      <c r="D3102" s="21"/>
    </row>
    <row r="3103" spans="1:4" ht="12.75" customHeight="1" x14ac:dyDescent="0.2">
      <c r="A3103" s="21"/>
      <c r="B3103" s="3" t="s">
        <v>16</v>
      </c>
      <c r="C3103" s="20"/>
      <c r="D3103" s="21"/>
    </row>
    <row r="3104" spans="1:4" ht="12.75" customHeight="1" x14ac:dyDescent="0.2">
      <c r="A3104" s="21"/>
      <c r="B3104" s="3" t="s">
        <v>17</v>
      </c>
      <c r="C3104" s="20" t="s">
        <v>19</v>
      </c>
      <c r="D3104" s="21"/>
    </row>
    <row r="3105" spans="1:4" ht="12.75" customHeight="1" x14ac:dyDescent="0.2">
      <c r="A3105" s="21"/>
      <c r="B3105" s="20" t="s">
        <v>18</v>
      </c>
      <c r="C3105" s="4" t="s">
        <v>44</v>
      </c>
      <c r="D3105" s="6" t="str">
        <f>HYPERLINK("javascript:void(0)","diffuziomokaszin")</f>
        <v>diffuziomokaszin</v>
      </c>
    </row>
    <row r="3106" spans="1:4" ht="12.75" customHeight="1" x14ac:dyDescent="0.2">
      <c r="A3106" s="21"/>
      <c r="B3106" s="21"/>
      <c r="C3106" s="4" t="s">
        <v>269</v>
      </c>
      <c r="D3106" s="6" t="str">
        <f>HYPERLINK("javascript:void(0)","bőrcsont")</f>
        <v>bőrcsont</v>
      </c>
    </row>
    <row r="3107" spans="1:4" ht="12.75" customHeight="1" x14ac:dyDescent="0.2">
      <c r="A3107" s="21"/>
      <c r="B3107" s="21"/>
      <c r="C3107" s="4" t="s">
        <v>780</v>
      </c>
      <c r="D3107" s="6" t="str">
        <f>HYPERLINK("javascript:void(0)","maxilla")</f>
        <v>maxilla</v>
      </c>
    </row>
    <row r="3108" spans="1:4" ht="12.75" customHeight="1" x14ac:dyDescent="0.2">
      <c r="A3108" s="21"/>
      <c r="B3108" s="2"/>
      <c r="C3108" s="2"/>
      <c r="D3108" s="2"/>
    </row>
    <row r="3109" spans="1:4" ht="12.75" customHeight="1" x14ac:dyDescent="0.2">
      <c r="A3109" s="21"/>
      <c r="B3109" s="2"/>
      <c r="C3109" s="2"/>
      <c r="D3109" s="2"/>
    </row>
    <row r="3110" spans="1:4" ht="12.75" customHeight="1" x14ac:dyDescent="0.2">
      <c r="A3110" s="21"/>
      <c r="B3110" s="2"/>
      <c r="C3110" s="2"/>
      <c r="D3110" s="2"/>
    </row>
    <row r="3111" spans="1:4" ht="12.75" customHeight="1" x14ac:dyDescent="0.2">
      <c r="A3111" s="21"/>
      <c r="B3111" s="2"/>
      <c r="C3111" s="2"/>
      <c r="D3111" s="2"/>
    </row>
    <row r="3112" spans="1:4" ht="12.75" customHeight="1" x14ac:dyDescent="0.2">
      <c r="A3112" s="5"/>
      <c r="B3112" s="2"/>
      <c r="C3112" s="2"/>
      <c r="D3112" s="2"/>
    </row>
    <row r="3113" spans="1:4" ht="12.75" customHeight="1" x14ac:dyDescent="0.2">
      <c r="A3113" s="22" t="str">
        <f>HYPERLINK("javascript:void(0)","tövispárnás csizma")</f>
        <v>tövispárnás csizma</v>
      </c>
      <c r="B3113" s="21"/>
      <c r="C3113" s="21"/>
      <c r="D3113" s="21"/>
    </row>
    <row r="3114" spans="1:4" ht="12.75" customHeight="1" x14ac:dyDescent="0.2">
      <c r="A3114" s="20"/>
      <c r="B3114" s="2"/>
      <c r="C3114" s="2"/>
      <c r="D3114" s="2"/>
    </row>
    <row r="3115" spans="1:4" ht="12.75" customHeight="1" x14ac:dyDescent="0.2">
      <c r="A3115" s="21"/>
      <c r="B3115" s="3" t="s">
        <v>0</v>
      </c>
      <c r="C3115" s="20" t="s">
        <v>356</v>
      </c>
      <c r="D3115" s="21"/>
    </row>
    <row r="3116" spans="1:4" ht="12.75" customHeight="1" x14ac:dyDescent="0.2">
      <c r="A3116" s="21"/>
      <c r="B3116" s="3" t="s">
        <v>2</v>
      </c>
      <c r="C3116" s="20"/>
      <c r="D3116" s="21"/>
    </row>
    <row r="3117" spans="1:4" ht="12.75" customHeight="1" x14ac:dyDescent="0.2">
      <c r="A3117" s="21"/>
      <c r="B3117" s="3" t="s">
        <v>1840</v>
      </c>
      <c r="C3117" s="20" t="s">
        <v>2202</v>
      </c>
      <c r="D3117" s="21"/>
    </row>
    <row r="3118" spans="1:4" ht="12.75" customHeight="1" x14ac:dyDescent="0.2">
      <c r="A3118" s="21"/>
      <c r="B3118" s="3" t="s">
        <v>9</v>
      </c>
      <c r="C3118" s="20" t="s">
        <v>2203</v>
      </c>
      <c r="D3118" s="21"/>
    </row>
    <row r="3119" spans="1:4" ht="12.75" customHeight="1" x14ac:dyDescent="0.2">
      <c r="A3119" s="21"/>
      <c r="B3119" s="3" t="s">
        <v>11</v>
      </c>
      <c r="C3119" s="20" t="s">
        <v>1047</v>
      </c>
      <c r="D3119" s="21"/>
    </row>
    <row r="3120" spans="1:4" ht="12.75" customHeight="1" x14ac:dyDescent="0.2">
      <c r="A3120" s="21"/>
      <c r="B3120" s="3" t="s">
        <v>16</v>
      </c>
      <c r="C3120" s="20"/>
      <c r="D3120" s="21"/>
    </row>
    <row r="3121" spans="1:4" ht="12.75" customHeight="1" x14ac:dyDescent="0.2">
      <c r="A3121" s="21"/>
      <c r="B3121" s="3" t="s">
        <v>17</v>
      </c>
      <c r="C3121" s="20" t="s">
        <v>19</v>
      </c>
      <c r="D3121" s="21"/>
    </row>
    <row r="3122" spans="1:4" ht="12.75" customHeight="1" x14ac:dyDescent="0.2">
      <c r="A3122" s="21"/>
      <c r="B3122" s="20" t="s">
        <v>18</v>
      </c>
      <c r="C3122" s="4" t="s">
        <v>2140</v>
      </c>
      <c r="D3122" s="6" t="str">
        <f>HYPERLINK("javascript:void(0)","kispárna")</f>
        <v>kispárna</v>
      </c>
    </row>
    <row r="3123" spans="1:4" ht="12.75" customHeight="1" x14ac:dyDescent="0.2">
      <c r="A3123" s="21"/>
      <c r="B3123" s="21"/>
      <c r="C3123" s="4" t="s">
        <v>244</v>
      </c>
      <c r="D3123" s="6" t="str">
        <f>HYPERLINK("javascript:void(0)","szikracsóva")</f>
        <v>szikracsóva</v>
      </c>
    </row>
    <row r="3124" spans="1:4" ht="12.75" customHeight="1" x14ac:dyDescent="0.2">
      <c r="A3124" s="21"/>
      <c r="B3124" s="21"/>
      <c r="C3124" s="4" t="s">
        <v>1536</v>
      </c>
      <c r="D3124" s="6" t="str">
        <f>HYPERLINK("javascript:void(0)","fügetövis")</f>
        <v>fügetövis</v>
      </c>
    </row>
    <row r="3125" spans="1:4" ht="12.75" customHeight="1" x14ac:dyDescent="0.2">
      <c r="A3125" s="21"/>
      <c r="B3125" s="2"/>
      <c r="C3125" s="2"/>
      <c r="D3125" s="2"/>
    </row>
    <row r="3126" spans="1:4" ht="12.75" customHeight="1" x14ac:dyDescent="0.2">
      <c r="A3126" s="21"/>
      <c r="B3126" s="2"/>
      <c r="C3126" s="2"/>
      <c r="D3126" s="2"/>
    </row>
    <row r="3127" spans="1:4" ht="12.75" customHeight="1" x14ac:dyDescent="0.2">
      <c r="A3127" s="21"/>
      <c r="B3127" s="2"/>
      <c r="C3127" s="2"/>
      <c r="D3127" s="2"/>
    </row>
    <row r="3128" spans="1:4" ht="12.75" customHeight="1" x14ac:dyDescent="0.2">
      <c r="A3128" s="21"/>
      <c r="B3128" s="2"/>
      <c r="C3128" s="2"/>
      <c r="D3128" s="2"/>
    </row>
    <row r="3129" spans="1:4" ht="12.75" customHeight="1" x14ac:dyDescent="0.2">
      <c r="A3129" s="5"/>
      <c r="B3129" s="2"/>
      <c r="C3129" s="2"/>
      <c r="D3129" s="2"/>
    </row>
    <row r="3130" spans="1:4" ht="12.75" customHeight="1" x14ac:dyDescent="0.2">
      <c r="A3130" s="22" t="str">
        <f>HYPERLINK("javascript:void(0)","fügemintás antigrav csizma")</f>
        <v>fügemintás antigrav csizma</v>
      </c>
      <c r="B3130" s="21"/>
      <c r="C3130" s="21"/>
      <c r="D3130" s="21"/>
    </row>
    <row r="3131" spans="1:4" ht="12.75" customHeight="1" x14ac:dyDescent="0.2">
      <c r="A3131" s="20"/>
      <c r="B3131" s="2"/>
      <c r="C3131" s="2"/>
      <c r="D3131" s="2"/>
    </row>
    <row r="3132" spans="1:4" ht="12.75" customHeight="1" x14ac:dyDescent="0.2">
      <c r="A3132" s="21"/>
      <c r="B3132" s="3" t="s">
        <v>0</v>
      </c>
      <c r="C3132" s="20" t="s">
        <v>356</v>
      </c>
      <c r="D3132" s="21"/>
    </row>
    <row r="3133" spans="1:4" ht="12.75" customHeight="1" x14ac:dyDescent="0.2">
      <c r="A3133" s="21"/>
      <c r="B3133" s="3" t="s">
        <v>2</v>
      </c>
      <c r="C3133" s="20"/>
      <c r="D3133" s="21"/>
    </row>
    <row r="3134" spans="1:4" ht="12.75" customHeight="1" x14ac:dyDescent="0.2">
      <c r="A3134" s="21"/>
      <c r="B3134" s="3" t="s">
        <v>1840</v>
      </c>
      <c r="C3134" s="20" t="s">
        <v>2202</v>
      </c>
      <c r="D3134" s="21"/>
    </row>
    <row r="3135" spans="1:4" ht="12.75" customHeight="1" x14ac:dyDescent="0.2">
      <c r="A3135" s="21"/>
      <c r="B3135" s="3" t="s">
        <v>9</v>
      </c>
      <c r="C3135" s="20" t="s">
        <v>626</v>
      </c>
      <c r="D3135" s="21"/>
    </row>
    <row r="3136" spans="1:4" ht="12.75" customHeight="1" x14ac:dyDescent="0.2">
      <c r="A3136" s="21"/>
      <c r="B3136" s="3" t="s">
        <v>11</v>
      </c>
      <c r="C3136" s="20" t="s">
        <v>23</v>
      </c>
      <c r="D3136" s="21"/>
    </row>
    <row r="3137" spans="1:4" ht="12.75" customHeight="1" x14ac:dyDescent="0.2">
      <c r="A3137" s="21"/>
      <c r="B3137" s="3" t="s">
        <v>16</v>
      </c>
      <c r="C3137" s="20"/>
      <c r="D3137" s="21"/>
    </row>
    <row r="3138" spans="1:4" ht="12.75" customHeight="1" x14ac:dyDescent="0.2">
      <c r="A3138" s="21"/>
      <c r="B3138" s="3" t="s">
        <v>17</v>
      </c>
      <c r="C3138" s="20" t="s">
        <v>19</v>
      </c>
      <c r="D3138" s="21"/>
    </row>
    <row r="3139" spans="1:4" ht="25.5" customHeight="1" x14ac:dyDescent="0.2">
      <c r="A3139" s="21"/>
      <c r="B3139" s="20" t="s">
        <v>18</v>
      </c>
      <c r="C3139" s="4" t="s">
        <v>44</v>
      </c>
      <c r="D3139" s="6" t="str">
        <f>HYPERLINK("javascript:void(0)","zombitipró antigrav csizma")</f>
        <v>zombitipró antigrav csizma</v>
      </c>
    </row>
    <row r="3140" spans="1:4" ht="12.75" customHeight="1" x14ac:dyDescent="0.2">
      <c r="A3140" s="21"/>
      <c r="B3140" s="21"/>
      <c r="C3140" s="4" t="s">
        <v>2194</v>
      </c>
      <c r="D3140" s="6" t="str">
        <f>HYPERLINK("javascript:void(0)","fügetövis")</f>
        <v>fügetövis</v>
      </c>
    </row>
    <row r="3141" spans="1:4" ht="12.75" customHeight="1" x14ac:dyDescent="0.2">
      <c r="A3141" s="21"/>
      <c r="B3141" s="21"/>
      <c r="C3141" s="4" t="s">
        <v>398</v>
      </c>
      <c r="D3141" s="6" t="str">
        <f>HYPERLINK("javascript:void(0)","csatatüske")</f>
        <v>csatatüske</v>
      </c>
    </row>
    <row r="3142" spans="1:4" ht="12.75" customHeight="1" x14ac:dyDescent="0.2">
      <c r="A3142" s="21"/>
      <c r="B3142" s="2"/>
      <c r="C3142" s="2"/>
      <c r="D3142" s="2"/>
    </row>
    <row r="3143" spans="1:4" ht="12.75" customHeight="1" x14ac:dyDescent="0.2">
      <c r="A3143" s="21"/>
      <c r="B3143" s="2"/>
      <c r="C3143" s="2"/>
      <c r="D3143" s="2"/>
    </row>
    <row r="3144" spans="1:4" ht="12.75" customHeight="1" x14ac:dyDescent="0.2">
      <c r="A3144" s="21"/>
      <c r="B3144" s="2"/>
      <c r="C3144" s="2"/>
      <c r="D3144" s="2"/>
    </row>
    <row r="3145" spans="1:4" ht="12.75" customHeight="1" x14ac:dyDescent="0.2">
      <c r="A3145" s="21"/>
      <c r="B3145" s="2"/>
      <c r="C3145" s="2"/>
      <c r="D3145" s="2"/>
    </row>
    <row r="3146" spans="1:4" ht="12.75" customHeight="1" x14ac:dyDescent="0.2">
      <c r="A3146" s="5"/>
      <c r="B3146" s="2"/>
      <c r="C3146" s="2"/>
      <c r="D3146" s="2"/>
    </row>
    <row r="3147" spans="1:4" ht="12.75" customHeight="1" x14ac:dyDescent="0.2">
      <c r="A3147" s="22" t="str">
        <f>HYPERLINK("javascript:void(0)","tuskócsizma")</f>
        <v>tuskócsizma</v>
      </c>
      <c r="B3147" s="21"/>
      <c r="C3147" s="21"/>
      <c r="D3147" s="21"/>
    </row>
    <row r="3148" spans="1:4" ht="12.75" customHeight="1" x14ac:dyDescent="0.2">
      <c r="A3148" s="20"/>
      <c r="B3148" s="2"/>
      <c r="C3148" s="2"/>
      <c r="D3148" s="2"/>
    </row>
    <row r="3149" spans="1:4" ht="12.75" customHeight="1" x14ac:dyDescent="0.2">
      <c r="A3149" s="21"/>
      <c r="B3149" s="3" t="s">
        <v>0</v>
      </c>
      <c r="C3149" s="20" t="s">
        <v>110</v>
      </c>
      <c r="D3149" s="21"/>
    </row>
    <row r="3150" spans="1:4" ht="12.75" customHeight="1" x14ac:dyDescent="0.2">
      <c r="A3150" s="21"/>
      <c r="B3150" s="3" t="s">
        <v>2</v>
      </c>
      <c r="C3150" s="20"/>
      <c r="D3150" s="21"/>
    </row>
    <row r="3151" spans="1:4" ht="12.75" customHeight="1" x14ac:dyDescent="0.2">
      <c r="A3151" s="21"/>
      <c r="B3151" s="3" t="s">
        <v>1840</v>
      </c>
      <c r="C3151" s="20" t="s">
        <v>2208</v>
      </c>
      <c r="D3151" s="21"/>
    </row>
    <row r="3152" spans="1:4" ht="12.75" customHeight="1" x14ac:dyDescent="0.2">
      <c r="A3152" s="21"/>
      <c r="B3152" s="3" t="s">
        <v>9</v>
      </c>
      <c r="C3152" s="20" t="s">
        <v>2209</v>
      </c>
      <c r="D3152" s="21"/>
    </row>
    <row r="3153" spans="1:4" ht="12.75" customHeight="1" x14ac:dyDescent="0.2">
      <c r="A3153" s="21"/>
      <c r="B3153" s="3" t="s">
        <v>11</v>
      </c>
      <c r="C3153" s="20" t="s">
        <v>2210</v>
      </c>
      <c r="D3153" s="21"/>
    </row>
    <row r="3154" spans="1:4" ht="12.75" customHeight="1" x14ac:dyDescent="0.2">
      <c r="A3154" s="21"/>
      <c r="B3154" s="3" t="s">
        <v>16</v>
      </c>
      <c r="C3154" s="20"/>
      <c r="D3154" s="21"/>
    </row>
    <row r="3155" spans="1:4" ht="12.75" customHeight="1" x14ac:dyDescent="0.2">
      <c r="A3155" s="21"/>
      <c r="B3155" s="3" t="s">
        <v>17</v>
      </c>
      <c r="C3155" s="20" t="s">
        <v>19</v>
      </c>
      <c r="D3155" s="21"/>
    </row>
    <row r="3156" spans="1:4" ht="12.75" customHeight="1" x14ac:dyDescent="0.2">
      <c r="A3156" s="21"/>
      <c r="B3156" s="20" t="s">
        <v>18</v>
      </c>
      <c r="C3156" s="4" t="s">
        <v>44</v>
      </c>
      <c r="D3156" s="6" t="str">
        <f>HYPERLINK("javascript:void(0)","tövispárnás csizma")</f>
        <v>tövispárnás csizma</v>
      </c>
    </row>
    <row r="3157" spans="1:4" ht="12.75" customHeight="1" x14ac:dyDescent="0.2">
      <c r="A3157" s="21"/>
      <c r="B3157" s="21"/>
      <c r="C3157" s="4" t="s">
        <v>44</v>
      </c>
      <c r="D3157" s="6" t="str">
        <f>HYPERLINK("javascript:void(0)","kristálytalp")</f>
        <v>kristálytalp</v>
      </c>
    </row>
    <row r="3158" spans="1:4" ht="12.75" customHeight="1" x14ac:dyDescent="0.2">
      <c r="A3158" s="21"/>
      <c r="B3158" s="21"/>
      <c r="C3158" s="4" t="s">
        <v>44</v>
      </c>
      <c r="D3158" s="6" t="str">
        <f>HYPERLINK("javascript:void(0)","csontsaru")</f>
        <v>csontsaru</v>
      </c>
    </row>
    <row r="3159" spans="1:4" ht="12.75" customHeight="1" x14ac:dyDescent="0.2">
      <c r="A3159" s="21"/>
      <c r="B3159" s="2"/>
      <c r="C3159" s="2"/>
      <c r="D3159" s="2"/>
    </row>
    <row r="3160" spans="1:4" ht="12.75" customHeight="1" x14ac:dyDescent="0.2">
      <c r="A3160" s="21"/>
      <c r="B3160" s="2"/>
      <c r="C3160" s="2"/>
      <c r="D3160" s="2"/>
    </row>
    <row r="3161" spans="1:4" ht="12.75" customHeight="1" x14ac:dyDescent="0.2">
      <c r="A3161" s="21"/>
      <c r="B3161" s="2"/>
      <c r="C3161" s="2"/>
      <c r="D3161" s="2"/>
    </row>
    <row r="3162" spans="1:4" ht="12.75" customHeight="1" x14ac:dyDescent="0.2">
      <c r="A3162" s="21"/>
      <c r="B3162" s="2"/>
      <c r="C3162" s="2"/>
      <c r="D3162" s="2"/>
    </row>
    <row r="3163" spans="1:4" ht="12.75" customHeight="1" x14ac:dyDescent="0.2">
      <c r="A3163" s="5"/>
      <c r="B3163" s="2"/>
      <c r="C3163" s="2"/>
      <c r="D3163" s="2"/>
    </row>
    <row r="3164" spans="1:4" ht="12.75" customHeight="1" x14ac:dyDescent="0.2">
      <c r="A3164" s="22" t="str">
        <f>HYPERLINK("javascript:void(0)","kristálytalp")</f>
        <v>kristálytalp</v>
      </c>
      <c r="B3164" s="21"/>
      <c r="C3164" s="21"/>
      <c r="D3164" s="21"/>
    </row>
    <row r="3165" spans="1:4" ht="12.75" customHeight="1" x14ac:dyDescent="0.2">
      <c r="A3165" s="20"/>
      <c r="B3165" s="2"/>
      <c r="C3165" s="2"/>
      <c r="D3165" s="2"/>
    </row>
    <row r="3166" spans="1:4" ht="12.75" customHeight="1" x14ac:dyDescent="0.2">
      <c r="A3166" s="21"/>
      <c r="B3166" s="3" t="s">
        <v>0</v>
      </c>
      <c r="C3166" s="20" t="s">
        <v>110</v>
      </c>
      <c r="D3166" s="21"/>
    </row>
    <row r="3167" spans="1:4" ht="12.75" customHeight="1" x14ac:dyDescent="0.2">
      <c r="A3167" s="21"/>
      <c r="B3167" s="3" t="s">
        <v>2</v>
      </c>
      <c r="C3167" s="20"/>
      <c r="D3167" s="21"/>
    </row>
    <row r="3168" spans="1:4" ht="12.75" customHeight="1" x14ac:dyDescent="0.2">
      <c r="A3168" s="21"/>
      <c r="B3168" s="3" t="s">
        <v>1840</v>
      </c>
      <c r="C3168" s="20" t="s">
        <v>671</v>
      </c>
      <c r="D3168" s="21"/>
    </row>
    <row r="3169" spans="1:4" ht="12.75" customHeight="1" x14ac:dyDescent="0.2">
      <c r="A3169" s="21"/>
      <c r="B3169" s="3" t="s">
        <v>9</v>
      </c>
      <c r="C3169" s="20" t="s">
        <v>1321</v>
      </c>
      <c r="D3169" s="21"/>
    </row>
    <row r="3170" spans="1:4" ht="12.75" customHeight="1" x14ac:dyDescent="0.2">
      <c r="A3170" s="21"/>
      <c r="B3170" s="3" t="s">
        <v>11</v>
      </c>
      <c r="C3170" s="20" t="s">
        <v>2212</v>
      </c>
      <c r="D3170" s="21"/>
    </row>
    <row r="3171" spans="1:4" ht="12.75" customHeight="1" x14ac:dyDescent="0.2">
      <c r="A3171" s="21"/>
      <c r="B3171" s="3" t="s">
        <v>16</v>
      </c>
      <c r="C3171" s="20"/>
      <c r="D3171" s="21"/>
    </row>
    <row r="3172" spans="1:4" ht="12.75" customHeight="1" x14ac:dyDescent="0.2">
      <c r="A3172" s="21"/>
      <c r="B3172" s="3" t="s">
        <v>17</v>
      </c>
      <c r="C3172" s="20" t="s">
        <v>19</v>
      </c>
      <c r="D3172" s="21"/>
    </row>
    <row r="3173" spans="1:4" ht="12.75" customHeight="1" x14ac:dyDescent="0.2">
      <c r="A3173" s="21"/>
      <c r="B3173" s="20" t="s">
        <v>18</v>
      </c>
      <c r="C3173" s="4" t="s">
        <v>786</v>
      </c>
      <c r="D3173" s="6" t="str">
        <f>HYPERLINK("javascript:void(0)","ikerkristály")</f>
        <v>ikerkristály</v>
      </c>
    </row>
    <row r="3174" spans="1:4" ht="12.75" customHeight="1" x14ac:dyDescent="0.2">
      <c r="A3174" s="21"/>
      <c r="B3174" s="21"/>
      <c r="C3174" s="4" t="s">
        <v>240</v>
      </c>
      <c r="D3174" s="6" t="str">
        <f>HYPERLINK("javascript:void(0)","tuskójelvény")</f>
        <v>tuskójelvény</v>
      </c>
    </row>
    <row r="3175" spans="1:4" ht="12.75" customHeight="1" x14ac:dyDescent="0.2">
      <c r="A3175" s="21"/>
      <c r="B3175" s="21"/>
      <c r="C3175" s="4" t="s">
        <v>265</v>
      </c>
      <c r="D3175" s="6" t="str">
        <f>HYPERLINK("javascript:void(0)","kvarc")</f>
        <v>kvarc</v>
      </c>
    </row>
    <row r="3176" spans="1:4" ht="12.75" customHeight="1" x14ac:dyDescent="0.2">
      <c r="A3176" s="21"/>
      <c r="B3176" s="2"/>
      <c r="C3176" s="2"/>
      <c r="D3176" s="2"/>
    </row>
    <row r="3177" spans="1:4" ht="12.75" customHeight="1" x14ac:dyDescent="0.2">
      <c r="A3177" s="21"/>
      <c r="B3177" s="2"/>
      <c r="C3177" s="2"/>
      <c r="D3177" s="2"/>
    </row>
    <row r="3178" spans="1:4" ht="12.75" customHeight="1" x14ac:dyDescent="0.2">
      <c r="A3178" s="21"/>
      <c r="B3178" s="2"/>
      <c r="C3178" s="2"/>
      <c r="D3178" s="2"/>
    </row>
    <row r="3179" spans="1:4" ht="12.75" customHeight="1" x14ac:dyDescent="0.2">
      <c r="A3179" s="21"/>
      <c r="B3179" s="2"/>
      <c r="C3179" s="2"/>
      <c r="D3179" s="2"/>
    </row>
    <row r="3180" spans="1:4" ht="12.75" customHeight="1" x14ac:dyDescent="0.2">
      <c r="A3180" s="5"/>
      <c r="B3180" s="2"/>
      <c r="C3180" s="2"/>
      <c r="D3180" s="2"/>
    </row>
    <row r="3181" spans="1:4" ht="12.75" customHeight="1" x14ac:dyDescent="0.2">
      <c r="A3181" s="22" t="str">
        <f>HYPERLINK("javascript:void(0)","csillámló trollcsizma")</f>
        <v>csillámló trollcsizma</v>
      </c>
      <c r="B3181" s="21"/>
      <c r="C3181" s="21"/>
      <c r="D3181" s="21"/>
    </row>
    <row r="3182" spans="1:4" ht="12.75" customHeight="1" x14ac:dyDescent="0.2">
      <c r="A3182" s="20"/>
      <c r="B3182" s="2"/>
      <c r="C3182" s="2"/>
      <c r="D3182" s="2"/>
    </row>
    <row r="3183" spans="1:4" ht="12.75" customHeight="1" x14ac:dyDescent="0.2">
      <c r="A3183" s="21"/>
      <c r="B3183" s="3" t="s">
        <v>0</v>
      </c>
      <c r="C3183" s="20" t="s">
        <v>110</v>
      </c>
      <c r="D3183" s="21"/>
    </row>
    <row r="3184" spans="1:4" ht="12.75" customHeight="1" x14ac:dyDescent="0.2">
      <c r="A3184" s="21"/>
      <c r="B3184" s="3" t="s">
        <v>2</v>
      </c>
      <c r="C3184" s="20"/>
      <c r="D3184" s="21"/>
    </row>
    <row r="3185" spans="1:4" ht="12.75" customHeight="1" x14ac:dyDescent="0.2">
      <c r="A3185" s="21"/>
      <c r="B3185" s="3" t="s">
        <v>1840</v>
      </c>
      <c r="C3185" s="20" t="s">
        <v>548</v>
      </c>
      <c r="D3185" s="21"/>
    </row>
    <row r="3186" spans="1:4" ht="12.75" customHeight="1" x14ac:dyDescent="0.2">
      <c r="A3186" s="21"/>
      <c r="B3186" s="3" t="s">
        <v>9</v>
      </c>
      <c r="C3186" s="20" t="s">
        <v>1414</v>
      </c>
      <c r="D3186" s="21"/>
    </row>
    <row r="3187" spans="1:4" ht="12.75" customHeight="1" x14ac:dyDescent="0.2">
      <c r="A3187" s="21"/>
      <c r="B3187" s="3" t="s">
        <v>11</v>
      </c>
      <c r="C3187" s="20" t="s">
        <v>2210</v>
      </c>
      <c r="D3187" s="21"/>
    </row>
    <row r="3188" spans="1:4" ht="12.75" customHeight="1" x14ac:dyDescent="0.2">
      <c r="A3188" s="21"/>
      <c r="B3188" s="3" t="s">
        <v>16</v>
      </c>
      <c r="C3188" s="20"/>
      <c r="D3188" s="21"/>
    </row>
    <row r="3189" spans="1:4" ht="12.75" customHeight="1" x14ac:dyDescent="0.2">
      <c r="A3189" s="21"/>
      <c r="B3189" s="3" t="s">
        <v>17</v>
      </c>
      <c r="C3189" s="20" t="s">
        <v>19</v>
      </c>
      <c r="D3189" s="21"/>
    </row>
    <row r="3190" spans="1:4" ht="12.75" customHeight="1" x14ac:dyDescent="0.2">
      <c r="A3190" s="21"/>
      <c r="B3190" s="20" t="s">
        <v>18</v>
      </c>
      <c r="C3190" s="4" t="s">
        <v>57</v>
      </c>
      <c r="D3190" s="6" t="str">
        <f>HYPERLINK("javascript:void(0)","csillámgöb")</f>
        <v>csillámgöb</v>
      </c>
    </row>
    <row r="3191" spans="1:4" ht="25.5" customHeight="1" x14ac:dyDescent="0.2">
      <c r="A3191" s="21"/>
      <c r="B3191" s="21"/>
      <c r="C3191" s="4" t="s">
        <v>44</v>
      </c>
      <c r="D3191" s="6" t="str">
        <f>HYPERLINK("javascript:void(0)","csillámló patinacsizma")</f>
        <v>csillámló patinacsizma</v>
      </c>
    </row>
    <row r="3192" spans="1:4" ht="12.75" customHeight="1" x14ac:dyDescent="0.2">
      <c r="A3192" s="21"/>
      <c r="B3192" s="21"/>
      <c r="C3192" s="4" t="s">
        <v>327</v>
      </c>
      <c r="D3192" s="6" t="str">
        <f>HYPERLINK("javascript:void(0)","bigapata")</f>
        <v>bigapata</v>
      </c>
    </row>
    <row r="3193" spans="1:4" ht="12.75" customHeight="1" x14ac:dyDescent="0.2">
      <c r="A3193" s="21"/>
      <c r="B3193" s="2"/>
      <c r="C3193" s="2"/>
      <c r="D3193" s="2"/>
    </row>
    <row r="3194" spans="1:4" ht="12.75" customHeight="1" x14ac:dyDescent="0.2">
      <c r="A3194" s="21"/>
      <c r="B3194" s="2"/>
      <c r="C3194" s="2"/>
      <c r="D3194" s="2"/>
    </row>
    <row r="3195" spans="1:4" ht="12.75" customHeight="1" x14ac:dyDescent="0.2">
      <c r="A3195" s="21"/>
      <c r="B3195" s="2"/>
      <c r="C3195" s="2"/>
      <c r="D3195" s="2"/>
    </row>
    <row r="3196" spans="1:4" ht="12.75" customHeight="1" x14ac:dyDescent="0.2">
      <c r="A3196" s="21"/>
      <c r="B3196" s="2"/>
      <c r="C3196" s="2"/>
      <c r="D3196" s="2"/>
    </row>
    <row r="3197" spans="1:4" ht="12.75" customHeight="1" x14ac:dyDescent="0.2">
      <c r="A3197" s="5"/>
      <c r="B3197" s="2"/>
      <c r="C3197" s="2"/>
      <c r="D3197" s="2"/>
    </row>
    <row r="3198" spans="1:4" ht="12.75" customHeight="1" x14ac:dyDescent="0.2">
      <c r="A3198" s="22" t="str">
        <f>HYPERLINK("javascript:void(0)","kristálysaru")</f>
        <v>kristálysaru</v>
      </c>
      <c r="B3198" s="21"/>
      <c r="C3198" s="21"/>
      <c r="D3198" s="21"/>
    </row>
    <row r="3199" spans="1:4" ht="12.75" customHeight="1" x14ac:dyDescent="0.2">
      <c r="A3199" s="20"/>
      <c r="B3199" s="2"/>
      <c r="C3199" s="2"/>
      <c r="D3199" s="2"/>
    </row>
    <row r="3200" spans="1:4" ht="12.75" customHeight="1" x14ac:dyDescent="0.2">
      <c r="A3200" s="21"/>
      <c r="B3200" s="3" t="s">
        <v>0</v>
      </c>
      <c r="C3200" s="20" t="s">
        <v>1142</v>
      </c>
      <c r="D3200" s="21"/>
    </row>
    <row r="3201" spans="1:4" ht="12.75" customHeight="1" x14ac:dyDescent="0.2">
      <c r="A3201" s="21"/>
      <c r="B3201" s="3" t="s">
        <v>2</v>
      </c>
      <c r="C3201" s="20"/>
      <c r="D3201" s="21"/>
    </row>
    <row r="3202" spans="1:4" ht="12.75" customHeight="1" x14ac:dyDescent="0.2">
      <c r="A3202" s="21"/>
      <c r="B3202" s="3" t="s">
        <v>1840</v>
      </c>
      <c r="C3202" s="20" t="s">
        <v>2214</v>
      </c>
      <c r="D3202" s="21"/>
    </row>
    <row r="3203" spans="1:4" ht="12.75" customHeight="1" x14ac:dyDescent="0.2">
      <c r="A3203" s="21"/>
      <c r="B3203" s="3" t="s">
        <v>9</v>
      </c>
      <c r="C3203" s="20" t="s">
        <v>1054</v>
      </c>
      <c r="D3203" s="21"/>
    </row>
    <row r="3204" spans="1:4" ht="12.75" customHeight="1" x14ac:dyDescent="0.2">
      <c r="A3204" s="21"/>
      <c r="B3204" s="3" t="s">
        <v>11</v>
      </c>
      <c r="C3204" s="20" t="s">
        <v>1607</v>
      </c>
      <c r="D3204" s="21"/>
    </row>
    <row r="3205" spans="1:4" ht="12.75" customHeight="1" x14ac:dyDescent="0.2">
      <c r="A3205" s="21"/>
      <c r="B3205" s="3" t="s">
        <v>16</v>
      </c>
      <c r="C3205" s="20"/>
      <c r="D3205" s="21"/>
    </row>
    <row r="3206" spans="1:4" ht="12.75" customHeight="1" x14ac:dyDescent="0.2">
      <c r="A3206" s="21"/>
      <c r="B3206" s="3" t="s">
        <v>17</v>
      </c>
      <c r="C3206" s="20" t="s">
        <v>19</v>
      </c>
      <c r="D3206" s="21"/>
    </row>
    <row r="3207" spans="1:4" ht="12.75" customHeight="1" x14ac:dyDescent="0.2">
      <c r="A3207" s="21"/>
      <c r="B3207" s="20" t="s">
        <v>18</v>
      </c>
      <c r="C3207" s="4" t="s">
        <v>280</v>
      </c>
      <c r="D3207" s="6" t="str">
        <f>HYPERLINK("javascript:void(0)","démonfog")</f>
        <v>démonfog</v>
      </c>
    </row>
    <row r="3208" spans="1:4" ht="12.75" customHeight="1" x14ac:dyDescent="0.2">
      <c r="A3208" s="21"/>
      <c r="B3208" s="21"/>
      <c r="C3208" s="4" t="s">
        <v>44</v>
      </c>
      <c r="D3208" s="6" t="str">
        <f>HYPERLINK("javascript:void(0)","tuskócsizma")</f>
        <v>tuskócsizma</v>
      </c>
    </row>
    <row r="3209" spans="1:4" ht="12.75" customHeight="1" x14ac:dyDescent="0.2">
      <c r="A3209" s="21"/>
      <c r="B3209" s="21"/>
      <c r="C3209" s="4" t="s">
        <v>290</v>
      </c>
      <c r="D3209" s="6" t="str">
        <f>HYPERLINK("javascript:void(0)","életkristály")</f>
        <v>életkristály</v>
      </c>
    </row>
    <row r="3210" spans="1:4" ht="12.75" customHeight="1" x14ac:dyDescent="0.2">
      <c r="A3210" s="21"/>
      <c r="B3210" s="2"/>
      <c r="C3210" s="2"/>
      <c r="D3210" s="2"/>
    </row>
    <row r="3211" spans="1:4" ht="12.75" customHeight="1" x14ac:dyDescent="0.2">
      <c r="A3211" s="21"/>
      <c r="B3211" s="2"/>
      <c r="C3211" s="2"/>
      <c r="D3211" s="2"/>
    </row>
    <row r="3212" spans="1:4" ht="12.75" customHeight="1" x14ac:dyDescent="0.2">
      <c r="A3212" s="21"/>
      <c r="B3212" s="2"/>
      <c r="C3212" s="2"/>
      <c r="D3212" s="2"/>
    </row>
    <row r="3213" spans="1:4" ht="12.75" customHeight="1" x14ac:dyDescent="0.2">
      <c r="A3213" s="21"/>
      <c r="B3213" s="2"/>
      <c r="C3213" s="2"/>
      <c r="D3213" s="2"/>
    </row>
    <row r="3214" spans="1:4" ht="12.75" customHeight="1" x14ac:dyDescent="0.2">
      <c r="A3214" s="5"/>
      <c r="B3214" s="2"/>
      <c r="C3214" s="2"/>
      <c r="D3214" s="2"/>
    </row>
    <row r="3215" spans="1:4" ht="12.75" customHeight="1" x14ac:dyDescent="0.2">
      <c r="A3215" s="22" t="str">
        <f>HYPERLINK("javascript:void(0)","kitinsaru")</f>
        <v>kitinsaru</v>
      </c>
      <c r="B3215" s="21"/>
      <c r="C3215" s="21"/>
      <c r="D3215" s="21"/>
    </row>
    <row r="3216" spans="1:4" ht="12.75" customHeight="1" x14ac:dyDescent="0.2">
      <c r="A3216" s="20"/>
      <c r="B3216" s="2"/>
      <c r="C3216" s="2"/>
      <c r="D3216" s="2"/>
    </row>
    <row r="3217" spans="1:4" ht="12.75" customHeight="1" x14ac:dyDescent="0.2">
      <c r="A3217" s="21"/>
      <c r="B3217" s="3" t="s">
        <v>0</v>
      </c>
      <c r="C3217" s="20" t="s">
        <v>103</v>
      </c>
      <c r="D3217" s="21"/>
    </row>
    <row r="3218" spans="1:4" ht="12.75" customHeight="1" x14ac:dyDescent="0.2">
      <c r="A3218" s="21"/>
      <c r="B3218" s="3" t="s">
        <v>2</v>
      </c>
      <c r="C3218" s="20"/>
      <c r="D3218" s="21"/>
    </row>
    <row r="3219" spans="1:4" ht="12.75" customHeight="1" x14ac:dyDescent="0.2">
      <c r="A3219" s="21"/>
      <c r="B3219" s="3" t="s">
        <v>1840</v>
      </c>
      <c r="C3219" s="20" t="s">
        <v>2217</v>
      </c>
      <c r="D3219" s="21"/>
    </row>
    <row r="3220" spans="1:4" ht="12.75" customHeight="1" x14ac:dyDescent="0.2">
      <c r="A3220" s="21"/>
      <c r="B3220" s="3" t="s">
        <v>9</v>
      </c>
      <c r="C3220" s="20" t="s">
        <v>374</v>
      </c>
      <c r="D3220" s="21"/>
    </row>
    <row r="3221" spans="1:4" ht="12.75" customHeight="1" x14ac:dyDescent="0.2">
      <c r="A3221" s="21"/>
      <c r="B3221" s="3" t="s">
        <v>11</v>
      </c>
      <c r="C3221" s="20" t="s">
        <v>2218</v>
      </c>
      <c r="D3221" s="21"/>
    </row>
    <row r="3222" spans="1:4" ht="12.75" customHeight="1" x14ac:dyDescent="0.2">
      <c r="A3222" s="21"/>
      <c r="B3222" s="3" t="s">
        <v>16</v>
      </c>
      <c r="C3222" s="20"/>
      <c r="D3222" s="21"/>
    </row>
    <row r="3223" spans="1:4" ht="12.75" customHeight="1" x14ac:dyDescent="0.2">
      <c r="A3223" s="21"/>
      <c r="B3223" s="3" t="s">
        <v>17</v>
      </c>
      <c r="C3223" s="20" t="s">
        <v>19</v>
      </c>
      <c r="D3223" s="21"/>
    </row>
    <row r="3224" spans="1:4" ht="12.75" customHeight="1" x14ac:dyDescent="0.2">
      <c r="A3224" s="21"/>
      <c r="B3224" s="20" t="s">
        <v>18</v>
      </c>
      <c r="C3224" s="4" t="s">
        <v>780</v>
      </c>
      <c r="D3224" s="6" t="str">
        <f>HYPERLINK("javascript:void(0)","lélekfodor")</f>
        <v>lélekfodor</v>
      </c>
    </row>
    <row r="3225" spans="1:4" ht="12.75" customHeight="1" x14ac:dyDescent="0.2">
      <c r="A3225" s="21"/>
      <c r="B3225" s="21"/>
      <c r="C3225" s="4" t="s">
        <v>2219</v>
      </c>
      <c r="D3225" s="6" t="str">
        <f>HYPERLINK("javascript:void(0)","harmatcsepp")</f>
        <v>harmatcsepp</v>
      </c>
    </row>
    <row r="3226" spans="1:4" ht="12.75" customHeight="1" x14ac:dyDescent="0.2">
      <c r="A3226" s="21"/>
      <c r="B3226" s="21"/>
      <c r="C3226" s="4" t="s">
        <v>936</v>
      </c>
      <c r="D3226" s="6" t="str">
        <f>HYPERLINK("javascript:void(0)","kitintüske")</f>
        <v>kitintüske</v>
      </c>
    </row>
    <row r="3227" spans="1:4" ht="12.75" customHeight="1" x14ac:dyDescent="0.2">
      <c r="A3227" s="21"/>
      <c r="B3227" s="2"/>
      <c r="C3227" s="2"/>
      <c r="D3227" s="2"/>
    </row>
    <row r="3228" spans="1:4" ht="12.75" customHeight="1" x14ac:dyDescent="0.2">
      <c r="A3228" s="21"/>
      <c r="B3228" s="2"/>
      <c r="C3228" s="2"/>
      <c r="D3228" s="2"/>
    </row>
    <row r="3229" spans="1:4" ht="12.75" customHeight="1" x14ac:dyDescent="0.2">
      <c r="A3229" s="21"/>
      <c r="B3229" s="2"/>
      <c r="C3229" s="2"/>
      <c r="D3229" s="2"/>
    </row>
    <row r="3230" spans="1:4" ht="12.75" customHeight="1" x14ac:dyDescent="0.2">
      <c r="A3230" s="21"/>
      <c r="B3230" s="2"/>
      <c r="C3230" s="2"/>
      <c r="D3230" s="2"/>
    </row>
    <row r="3231" spans="1:4" ht="12.75" customHeight="1" x14ac:dyDescent="0.2">
      <c r="A3231" s="5"/>
      <c r="B3231" s="2"/>
      <c r="C3231" s="2"/>
      <c r="D3231" s="2"/>
    </row>
    <row r="3232" spans="1:4" ht="12.75" customHeight="1" x14ac:dyDescent="0.2">
      <c r="A3232" s="22" t="str">
        <f>HYPERLINK("javascript:void(0)","pókhálós antigrav csizma")</f>
        <v>pókhálós antigrav csizma</v>
      </c>
      <c r="B3232" s="21"/>
      <c r="C3232" s="21"/>
      <c r="D3232" s="21"/>
    </row>
    <row r="3233" spans="1:4" ht="12.75" customHeight="1" x14ac:dyDescent="0.2">
      <c r="A3233" s="20"/>
      <c r="B3233" s="2"/>
      <c r="C3233" s="2"/>
      <c r="D3233" s="2"/>
    </row>
    <row r="3234" spans="1:4" ht="12.75" customHeight="1" x14ac:dyDescent="0.2">
      <c r="A3234" s="21"/>
      <c r="B3234" s="3" t="s">
        <v>0</v>
      </c>
      <c r="C3234" s="20" t="s">
        <v>103</v>
      </c>
      <c r="D3234" s="21"/>
    </row>
    <row r="3235" spans="1:4" ht="12.75" customHeight="1" x14ac:dyDescent="0.2">
      <c r="A3235" s="21"/>
      <c r="B3235" s="3" t="s">
        <v>2</v>
      </c>
      <c r="C3235" s="20"/>
      <c r="D3235" s="21"/>
    </row>
    <row r="3236" spans="1:4" ht="12.75" customHeight="1" x14ac:dyDescent="0.2">
      <c r="A3236" s="21"/>
      <c r="B3236" s="3" t="s">
        <v>1840</v>
      </c>
      <c r="C3236" s="20" t="s">
        <v>2217</v>
      </c>
      <c r="D3236" s="21"/>
    </row>
    <row r="3237" spans="1:4" ht="12.75" customHeight="1" x14ac:dyDescent="0.2">
      <c r="A3237" s="21"/>
      <c r="B3237" s="3" t="s">
        <v>9</v>
      </c>
      <c r="C3237" s="20" t="s">
        <v>626</v>
      </c>
      <c r="D3237" s="21"/>
    </row>
    <row r="3238" spans="1:4" ht="12.75" customHeight="1" x14ac:dyDescent="0.2">
      <c r="A3238" s="21"/>
      <c r="B3238" s="3" t="s">
        <v>11</v>
      </c>
      <c r="C3238" s="20" t="s">
        <v>23</v>
      </c>
      <c r="D3238" s="21"/>
    </row>
    <row r="3239" spans="1:4" ht="12.75" customHeight="1" x14ac:dyDescent="0.2">
      <c r="A3239" s="21"/>
      <c r="B3239" s="3" t="s">
        <v>16</v>
      </c>
      <c r="C3239" s="20"/>
      <c r="D3239" s="21"/>
    </row>
    <row r="3240" spans="1:4" ht="12.75" customHeight="1" x14ac:dyDescent="0.2">
      <c r="A3240" s="21"/>
      <c r="B3240" s="3" t="s">
        <v>17</v>
      </c>
      <c r="C3240" s="20" t="s">
        <v>19</v>
      </c>
      <c r="D3240" s="21"/>
    </row>
    <row r="3241" spans="1:4" ht="25.5" customHeight="1" x14ac:dyDescent="0.2">
      <c r="A3241" s="21"/>
      <c r="B3241" s="20" t="s">
        <v>18</v>
      </c>
      <c r="C3241" s="4" t="s">
        <v>44</v>
      </c>
      <c r="D3241" s="6" t="str">
        <f>HYPERLINK("javascript:void(0)","fügemintás antigrav csizma")</f>
        <v>fügemintás antigrav csizma</v>
      </c>
    </row>
    <row r="3242" spans="1:4" ht="12.75" customHeight="1" x14ac:dyDescent="0.2">
      <c r="A3242" s="21"/>
      <c r="B3242" s="21"/>
      <c r="C3242" s="4" t="s">
        <v>2194</v>
      </c>
      <c r="D3242" s="6" t="str">
        <f>HYPERLINK("javascript:void(0)","tarsus")</f>
        <v>tarsus</v>
      </c>
    </row>
    <row r="3243" spans="1:4" ht="12.75" customHeight="1" x14ac:dyDescent="0.2">
      <c r="A3243" s="21"/>
      <c r="B3243" s="21"/>
      <c r="C3243" s="4" t="s">
        <v>936</v>
      </c>
      <c r="D3243" s="6" t="str">
        <f>HYPERLINK("javascript:void(0)","maxilla")</f>
        <v>maxilla</v>
      </c>
    </row>
    <row r="3244" spans="1:4" ht="12.75" customHeight="1" x14ac:dyDescent="0.2">
      <c r="A3244" s="21"/>
      <c r="B3244" s="2"/>
      <c r="C3244" s="2"/>
      <c r="D3244" s="2"/>
    </row>
    <row r="3245" spans="1:4" ht="12.75" customHeight="1" x14ac:dyDescent="0.2">
      <c r="A3245" s="21"/>
      <c r="B3245" s="2"/>
      <c r="C3245" s="2"/>
      <c r="D3245" s="2"/>
    </row>
    <row r="3246" spans="1:4" ht="12.75" customHeight="1" x14ac:dyDescent="0.2">
      <c r="A3246" s="21"/>
      <c r="B3246" s="2"/>
      <c r="C3246" s="2"/>
      <c r="D3246" s="2"/>
    </row>
    <row r="3247" spans="1:4" ht="12.75" customHeight="1" x14ac:dyDescent="0.2">
      <c r="A3247" s="21"/>
      <c r="B3247" s="2"/>
      <c r="C3247" s="2"/>
      <c r="D3247" s="2"/>
    </row>
    <row r="3248" spans="1:4" ht="12.75" customHeight="1" x14ac:dyDescent="0.2">
      <c r="A3248" s="5"/>
      <c r="B3248" s="2"/>
      <c r="C3248" s="2"/>
      <c r="D3248" s="2"/>
    </row>
    <row r="3249" spans="1:4" ht="12.75" customHeight="1" x14ac:dyDescent="0.2">
      <c r="A3249" s="22" t="str">
        <f>HYPERLINK("javascript:void(0)","piacpapucs")</f>
        <v>piacpapucs</v>
      </c>
      <c r="B3249" s="21"/>
      <c r="C3249" s="21"/>
      <c r="D3249" s="21"/>
    </row>
    <row r="3250" spans="1:4" ht="12.75" customHeight="1" x14ac:dyDescent="0.2">
      <c r="A3250" s="20"/>
      <c r="B3250" s="2"/>
      <c r="C3250" s="2"/>
      <c r="D3250" s="2"/>
    </row>
    <row r="3251" spans="1:4" ht="12.75" customHeight="1" x14ac:dyDescent="0.2">
      <c r="A3251" s="21"/>
      <c r="B3251" s="3" t="s">
        <v>0</v>
      </c>
      <c r="C3251" s="20" t="s">
        <v>112</v>
      </c>
      <c r="D3251" s="21"/>
    </row>
    <row r="3252" spans="1:4" ht="12.75" customHeight="1" x14ac:dyDescent="0.2">
      <c r="A3252" s="21"/>
      <c r="B3252" s="3" t="s">
        <v>2</v>
      </c>
      <c r="C3252" s="20"/>
      <c r="D3252" s="21"/>
    </row>
    <row r="3253" spans="1:4" ht="12.75" customHeight="1" x14ac:dyDescent="0.2">
      <c r="A3253" s="21"/>
      <c r="B3253" s="3" t="s">
        <v>1840</v>
      </c>
      <c r="C3253" s="20" t="s">
        <v>548</v>
      </c>
      <c r="D3253" s="21"/>
    </row>
    <row r="3254" spans="1:4" ht="12.75" customHeight="1" x14ac:dyDescent="0.2">
      <c r="A3254" s="21"/>
      <c r="B3254" s="3" t="s">
        <v>9</v>
      </c>
      <c r="C3254" s="20" t="s">
        <v>343</v>
      </c>
      <c r="D3254" s="21"/>
    </row>
    <row r="3255" spans="1:4" ht="12.75" customHeight="1" x14ac:dyDescent="0.2">
      <c r="A3255" s="21"/>
      <c r="B3255" s="3" t="s">
        <v>11</v>
      </c>
      <c r="C3255" s="20" t="s">
        <v>2222</v>
      </c>
      <c r="D3255" s="21"/>
    </row>
    <row r="3256" spans="1:4" ht="12.75" customHeight="1" x14ac:dyDescent="0.2">
      <c r="A3256" s="21"/>
      <c r="B3256" s="3" t="s">
        <v>16</v>
      </c>
      <c r="C3256" s="20"/>
      <c r="D3256" s="21"/>
    </row>
    <row r="3257" spans="1:4" ht="12.75" customHeight="1" x14ac:dyDescent="0.2">
      <c r="A3257" s="21"/>
      <c r="B3257" s="3" t="s">
        <v>17</v>
      </c>
      <c r="C3257" s="20" t="s">
        <v>19</v>
      </c>
      <c r="D3257" s="21"/>
    </row>
    <row r="3258" spans="1:4" ht="12.75" customHeight="1" x14ac:dyDescent="0.2">
      <c r="A3258" s="21"/>
      <c r="B3258" s="20" t="s">
        <v>18</v>
      </c>
      <c r="C3258" s="4" t="s">
        <v>44</v>
      </c>
      <c r="D3258" s="6" t="str">
        <f>HYPERLINK("javascript:void(0)","kitinsaru")</f>
        <v>kitinsaru</v>
      </c>
    </row>
    <row r="3259" spans="1:4" ht="12.75" customHeight="1" x14ac:dyDescent="0.2">
      <c r="A3259" s="21"/>
      <c r="B3259" s="21"/>
      <c r="C3259" s="4" t="s">
        <v>44</v>
      </c>
      <c r="D3259" s="6" t="str">
        <f>HYPERLINK("javascript:void(0)","húrfűző")</f>
        <v>húrfűző</v>
      </c>
    </row>
    <row r="3260" spans="1:4" ht="12.75" customHeight="1" x14ac:dyDescent="0.2">
      <c r="A3260" s="21"/>
      <c r="B3260" s="21"/>
      <c r="C3260" s="4" t="s">
        <v>44</v>
      </c>
      <c r="D3260" s="6" t="str">
        <f>HYPERLINK("javascript:void(0)","kristálysaru")</f>
        <v>kristálysaru</v>
      </c>
    </row>
    <row r="3261" spans="1:4" ht="12.75" customHeight="1" x14ac:dyDescent="0.2">
      <c r="A3261" s="21"/>
      <c r="B3261" s="2"/>
      <c r="C3261" s="2"/>
      <c r="D3261" s="2"/>
    </row>
    <row r="3262" spans="1:4" ht="12.75" customHeight="1" x14ac:dyDescent="0.2">
      <c r="A3262" s="21"/>
      <c r="B3262" s="2"/>
      <c r="C3262" s="2"/>
      <c r="D3262" s="2"/>
    </row>
    <row r="3263" spans="1:4" ht="12.75" customHeight="1" x14ac:dyDescent="0.2">
      <c r="A3263" s="21"/>
      <c r="B3263" s="2"/>
      <c r="C3263" s="2"/>
      <c r="D3263" s="2"/>
    </row>
    <row r="3264" spans="1:4" ht="12.75" customHeight="1" x14ac:dyDescent="0.2">
      <c r="A3264" s="21"/>
      <c r="B3264" s="2"/>
      <c r="C3264" s="2"/>
      <c r="D3264" s="2"/>
    </row>
    <row r="3265" spans="1:4" ht="12.75" customHeight="1" x14ac:dyDescent="0.2">
      <c r="A3265" s="5"/>
      <c r="B3265" s="2"/>
      <c r="C3265" s="2"/>
      <c r="D3265" s="2"/>
    </row>
    <row r="3266" spans="1:4" ht="12.75" customHeight="1" x14ac:dyDescent="0.2">
      <c r="A3266" s="22" t="str">
        <f>HYPERLINK("javascript:void(0)","húrfűző")</f>
        <v>húrfűző</v>
      </c>
      <c r="B3266" s="21"/>
      <c r="C3266" s="21"/>
      <c r="D3266" s="21"/>
    </row>
    <row r="3267" spans="1:4" ht="12.75" customHeight="1" x14ac:dyDescent="0.2">
      <c r="A3267" s="20"/>
      <c r="B3267" s="2"/>
      <c r="C3267" s="2"/>
      <c r="D3267" s="2"/>
    </row>
    <row r="3268" spans="1:4" ht="12.75" customHeight="1" x14ac:dyDescent="0.2">
      <c r="A3268" s="21"/>
      <c r="B3268" s="3" t="s">
        <v>0</v>
      </c>
      <c r="C3268" s="20" t="s">
        <v>112</v>
      </c>
      <c r="D3268" s="21"/>
    </row>
    <row r="3269" spans="1:4" ht="12.75" customHeight="1" x14ac:dyDescent="0.2">
      <c r="A3269" s="21"/>
      <c r="B3269" s="3" t="s">
        <v>2</v>
      </c>
      <c r="C3269" s="20"/>
      <c r="D3269" s="21"/>
    </row>
    <row r="3270" spans="1:4" ht="12.75" customHeight="1" x14ac:dyDescent="0.2">
      <c r="A3270" s="21"/>
      <c r="B3270" s="3" t="s">
        <v>1840</v>
      </c>
      <c r="C3270" s="20" t="s">
        <v>699</v>
      </c>
      <c r="D3270" s="21"/>
    </row>
    <row r="3271" spans="1:4" ht="12.75" customHeight="1" x14ac:dyDescent="0.2">
      <c r="A3271" s="21"/>
      <c r="B3271" s="3" t="s">
        <v>9</v>
      </c>
      <c r="C3271" s="20" t="s">
        <v>2225</v>
      </c>
      <c r="D3271" s="21"/>
    </row>
    <row r="3272" spans="1:4" ht="12.75" customHeight="1" x14ac:dyDescent="0.2">
      <c r="A3272" s="21"/>
      <c r="B3272" s="3" t="s">
        <v>11</v>
      </c>
      <c r="C3272" s="20" t="s">
        <v>2226</v>
      </c>
      <c r="D3272" s="21"/>
    </row>
    <row r="3273" spans="1:4" ht="12.75" customHeight="1" x14ac:dyDescent="0.2">
      <c r="A3273" s="21"/>
      <c r="B3273" s="3" t="s">
        <v>16</v>
      </c>
      <c r="C3273" s="20"/>
      <c r="D3273" s="21"/>
    </row>
    <row r="3274" spans="1:4" ht="12.75" customHeight="1" x14ac:dyDescent="0.2">
      <c r="A3274" s="21"/>
      <c r="B3274" s="3" t="s">
        <v>17</v>
      </c>
      <c r="C3274" s="20" t="s">
        <v>19</v>
      </c>
      <c r="D3274" s="21"/>
    </row>
    <row r="3275" spans="1:4" ht="12.75" customHeight="1" x14ac:dyDescent="0.2">
      <c r="A3275" s="21"/>
      <c r="B3275" s="20" t="s">
        <v>18</v>
      </c>
      <c r="C3275" s="4" t="s">
        <v>780</v>
      </c>
      <c r="D3275" s="6" t="str">
        <f>HYPERLINK("javascript:void(0)","merkantid")</f>
        <v>merkantid</v>
      </c>
    </row>
    <row r="3276" spans="1:4" ht="12.75" customHeight="1" x14ac:dyDescent="0.2">
      <c r="A3276" s="21"/>
      <c r="B3276" s="21"/>
      <c r="C3276" s="4" t="s">
        <v>772</v>
      </c>
      <c r="D3276" s="6" t="str">
        <f>HYPERLINK("javascript:void(0)","méregcsepp")</f>
        <v>méregcsepp</v>
      </c>
    </row>
    <row r="3277" spans="1:4" ht="12.75" customHeight="1" x14ac:dyDescent="0.2">
      <c r="A3277" s="21"/>
      <c r="B3277" s="21"/>
      <c r="C3277" s="4" t="s">
        <v>1536</v>
      </c>
      <c r="D3277" s="6" t="str">
        <f>HYPERLINK("javascript:void(0)","zanzahúr")</f>
        <v>zanzahúr</v>
      </c>
    </row>
    <row r="3278" spans="1:4" ht="12.75" customHeight="1" x14ac:dyDescent="0.2">
      <c r="A3278" s="21"/>
      <c r="B3278" s="2"/>
      <c r="C3278" s="2"/>
      <c r="D3278" s="2"/>
    </row>
    <row r="3279" spans="1:4" ht="12.75" customHeight="1" x14ac:dyDescent="0.2">
      <c r="A3279" s="21"/>
      <c r="B3279" s="2"/>
      <c r="C3279" s="2"/>
      <c r="D3279" s="2"/>
    </row>
    <row r="3280" spans="1:4" ht="12.75" customHeight="1" x14ac:dyDescent="0.2">
      <c r="A3280" s="21"/>
      <c r="B3280" s="2"/>
      <c r="C3280" s="2"/>
      <c r="D3280" s="2"/>
    </row>
    <row r="3281" spans="1:4" ht="12.75" customHeight="1" x14ac:dyDescent="0.2">
      <c r="A3281" s="21"/>
      <c r="B3281" s="2"/>
      <c r="C3281" s="2"/>
      <c r="D3281" s="2"/>
    </row>
    <row r="3282" spans="1:4" ht="12.75" customHeight="1" x14ac:dyDescent="0.2">
      <c r="A3282" s="5"/>
      <c r="B3282" s="2"/>
      <c r="C3282" s="2"/>
      <c r="D3282" s="2"/>
    </row>
    <row r="3283" spans="1:4" ht="12.75" customHeight="1" x14ac:dyDescent="0.2">
      <c r="A3283" s="22" t="str">
        <f>HYPERLINK("javascript:void(0)","szellemmokaszin")</f>
        <v>szellemmokaszin</v>
      </c>
      <c r="B3283" s="21"/>
      <c r="C3283" s="21"/>
      <c r="D3283" s="21"/>
    </row>
    <row r="3284" spans="1:4" ht="12.75" customHeight="1" x14ac:dyDescent="0.2">
      <c r="A3284" s="20"/>
      <c r="B3284" s="2"/>
      <c r="C3284" s="2"/>
      <c r="D3284" s="2"/>
    </row>
    <row r="3285" spans="1:4" ht="12.75" customHeight="1" x14ac:dyDescent="0.2">
      <c r="A3285" s="21"/>
      <c r="B3285" s="3" t="s">
        <v>0</v>
      </c>
      <c r="C3285" s="20" t="s">
        <v>1165</v>
      </c>
      <c r="D3285" s="21"/>
    </row>
    <row r="3286" spans="1:4" ht="12.75" customHeight="1" x14ac:dyDescent="0.2">
      <c r="A3286" s="21"/>
      <c r="B3286" s="3" t="s">
        <v>2</v>
      </c>
      <c r="C3286" s="20"/>
      <c r="D3286" s="21"/>
    </row>
    <row r="3287" spans="1:4" ht="12.75" customHeight="1" x14ac:dyDescent="0.2">
      <c r="A3287" s="21"/>
      <c r="B3287" s="3" t="s">
        <v>1840</v>
      </c>
      <c r="C3287" s="20" t="s">
        <v>1452</v>
      </c>
      <c r="D3287" s="21"/>
    </row>
    <row r="3288" spans="1:4" ht="12.75" customHeight="1" x14ac:dyDescent="0.2">
      <c r="A3288" s="21"/>
      <c r="B3288" s="3" t="s">
        <v>9</v>
      </c>
      <c r="C3288" s="20" t="s">
        <v>2229</v>
      </c>
      <c r="D3288" s="21"/>
    </row>
    <row r="3289" spans="1:4" ht="12.75" customHeight="1" x14ac:dyDescent="0.2">
      <c r="A3289" s="21"/>
      <c r="B3289" s="3" t="s">
        <v>11</v>
      </c>
      <c r="C3289" s="20" t="s">
        <v>1059</v>
      </c>
      <c r="D3289" s="21"/>
    </row>
    <row r="3290" spans="1:4" ht="12.75" customHeight="1" x14ac:dyDescent="0.2">
      <c r="A3290" s="21"/>
      <c r="B3290" s="3" t="s">
        <v>16</v>
      </c>
      <c r="C3290" s="20"/>
      <c r="D3290" s="21"/>
    </row>
    <row r="3291" spans="1:4" ht="12.75" customHeight="1" x14ac:dyDescent="0.2">
      <c r="A3291" s="21"/>
      <c r="B3291" s="3" t="s">
        <v>17</v>
      </c>
      <c r="C3291" s="20" t="s">
        <v>19</v>
      </c>
      <c r="D3291" s="21"/>
    </row>
    <row r="3292" spans="1:4" ht="12.75" customHeight="1" x14ac:dyDescent="0.2">
      <c r="A3292" s="21"/>
      <c r="B3292" s="20" t="s">
        <v>18</v>
      </c>
      <c r="C3292" s="4" t="s">
        <v>44</v>
      </c>
      <c r="D3292" s="6" t="str">
        <f>HYPERLINK("javascript:void(0)","piacpapucs")</f>
        <v>piacpapucs</v>
      </c>
    </row>
    <row r="3293" spans="1:4" ht="12.75" customHeight="1" x14ac:dyDescent="0.2">
      <c r="A3293" s="21"/>
      <c r="B3293" s="21"/>
      <c r="C3293" s="4" t="s">
        <v>269</v>
      </c>
      <c r="D3293" s="6" t="str">
        <f>HYPERLINK("javascript:void(0)","egoplazma")</f>
        <v>egoplazma</v>
      </c>
    </row>
    <row r="3294" spans="1:4" ht="12.75" customHeight="1" x14ac:dyDescent="0.2">
      <c r="A3294" s="21"/>
      <c r="B3294" s="21"/>
      <c r="C3294" s="4" t="s">
        <v>290</v>
      </c>
      <c r="D3294" s="6" t="str">
        <f>HYPERLINK("javascript:void(0)","szellemláng")</f>
        <v>szellemláng</v>
      </c>
    </row>
    <row r="3295" spans="1:4" ht="12.75" customHeight="1" x14ac:dyDescent="0.2">
      <c r="A3295" s="21"/>
      <c r="B3295" s="2"/>
      <c r="C3295" s="2"/>
      <c r="D3295" s="2"/>
    </row>
    <row r="3296" spans="1:4" ht="12.75" customHeight="1" x14ac:dyDescent="0.2">
      <c r="A3296" s="21"/>
      <c r="B3296" s="2"/>
      <c r="C3296" s="2"/>
      <c r="D3296" s="2"/>
    </row>
    <row r="3297" spans="1:4" ht="12.75" customHeight="1" x14ac:dyDescent="0.2">
      <c r="A3297" s="21"/>
      <c r="B3297" s="2"/>
      <c r="C3297" s="2"/>
      <c r="D3297" s="2"/>
    </row>
    <row r="3298" spans="1:4" ht="12.75" customHeight="1" x14ac:dyDescent="0.2">
      <c r="A3298" s="21"/>
      <c r="B3298" s="2"/>
      <c r="C3298" s="2"/>
      <c r="D3298" s="2"/>
    </row>
    <row r="3299" spans="1:4" ht="12.75" customHeight="1" x14ac:dyDescent="0.2">
      <c r="A3299" s="5"/>
      <c r="B3299" s="2"/>
      <c r="C3299" s="2"/>
      <c r="D3299" s="2"/>
    </row>
    <row r="3300" spans="1:4" ht="12.75" customHeight="1" x14ac:dyDescent="0.2">
      <c r="A3300" s="22" t="str">
        <f>HYPERLINK("javascript:void(0)","csillámló pengecsizma")</f>
        <v>csillámló pengecsizma</v>
      </c>
      <c r="B3300" s="21"/>
      <c r="C3300" s="21"/>
      <c r="D3300" s="21"/>
    </row>
    <row r="3301" spans="1:4" ht="12.75" customHeight="1" x14ac:dyDescent="0.2">
      <c r="A3301" s="20"/>
      <c r="B3301" s="2"/>
      <c r="C3301" s="2"/>
      <c r="D3301" s="2"/>
    </row>
    <row r="3302" spans="1:4" ht="12.75" customHeight="1" x14ac:dyDescent="0.2">
      <c r="A3302" s="21"/>
      <c r="B3302" s="3" t="s">
        <v>0</v>
      </c>
      <c r="C3302" s="20" t="s">
        <v>1174</v>
      </c>
      <c r="D3302" s="21"/>
    </row>
    <row r="3303" spans="1:4" ht="12.75" customHeight="1" x14ac:dyDescent="0.2">
      <c r="A3303" s="21"/>
      <c r="B3303" s="3" t="s">
        <v>2</v>
      </c>
      <c r="C3303" s="20"/>
      <c r="D3303" s="21"/>
    </row>
    <row r="3304" spans="1:4" ht="12.75" customHeight="1" x14ac:dyDescent="0.2">
      <c r="A3304" s="21"/>
      <c r="B3304" s="3" t="s">
        <v>1840</v>
      </c>
      <c r="C3304" s="20" t="s">
        <v>2231</v>
      </c>
      <c r="D3304" s="21"/>
    </row>
    <row r="3305" spans="1:4" ht="12.75" customHeight="1" x14ac:dyDescent="0.2">
      <c r="A3305" s="21"/>
      <c r="B3305" s="3" t="s">
        <v>9</v>
      </c>
      <c r="C3305" s="20" t="s">
        <v>169</v>
      </c>
      <c r="D3305" s="21"/>
    </row>
    <row r="3306" spans="1:4" ht="12.75" customHeight="1" x14ac:dyDescent="0.2">
      <c r="A3306" s="21"/>
      <c r="B3306" s="3" t="s">
        <v>11</v>
      </c>
      <c r="C3306" s="20" t="s">
        <v>2232</v>
      </c>
      <c r="D3306" s="21"/>
    </row>
    <row r="3307" spans="1:4" ht="12.75" customHeight="1" x14ac:dyDescent="0.2">
      <c r="A3307" s="21"/>
      <c r="B3307" s="3" t="s">
        <v>16</v>
      </c>
      <c r="C3307" s="20"/>
      <c r="D3307" s="21"/>
    </row>
    <row r="3308" spans="1:4" ht="12.75" customHeight="1" x14ac:dyDescent="0.2">
      <c r="A3308" s="21"/>
      <c r="B3308" s="3" t="s">
        <v>17</v>
      </c>
      <c r="C3308" s="20" t="s">
        <v>19</v>
      </c>
      <c r="D3308" s="21"/>
    </row>
    <row r="3309" spans="1:4" ht="12.75" customHeight="1" x14ac:dyDescent="0.2">
      <c r="A3309" s="21"/>
      <c r="B3309" s="20" t="s">
        <v>18</v>
      </c>
      <c r="C3309" s="4" t="s">
        <v>57</v>
      </c>
      <c r="D3309" s="6" t="str">
        <f>HYPERLINK("javascript:void(0)","csillámgöb")</f>
        <v>csillámgöb</v>
      </c>
    </row>
    <row r="3310" spans="1:4" ht="12.75" customHeight="1" x14ac:dyDescent="0.2">
      <c r="A3310" s="21"/>
      <c r="B3310" s="21"/>
      <c r="C3310" s="4" t="s">
        <v>44</v>
      </c>
      <c r="D3310" s="6" t="str">
        <f>HYPERLINK("javascript:void(0)","csillámló trollcsizma")</f>
        <v>csillámló trollcsizma</v>
      </c>
    </row>
    <row r="3311" spans="1:4" ht="12.75" customHeight="1" x14ac:dyDescent="0.2">
      <c r="A3311" s="21"/>
      <c r="B3311" s="21"/>
      <c r="C3311" s="4" t="s">
        <v>280</v>
      </c>
      <c r="D3311" s="6" t="str">
        <f>HYPERLINK("javascript:void(0)","fülpenge")</f>
        <v>fülpenge</v>
      </c>
    </row>
    <row r="3312" spans="1:4" ht="12.75" customHeight="1" x14ac:dyDescent="0.2">
      <c r="A3312" s="21"/>
      <c r="B3312" s="2"/>
      <c r="C3312" s="2"/>
      <c r="D3312" s="2"/>
    </row>
    <row r="3313" spans="1:4" ht="12.75" customHeight="1" x14ac:dyDescent="0.2">
      <c r="A3313" s="21"/>
      <c r="B3313" s="2"/>
      <c r="C3313" s="2"/>
      <c r="D3313" s="2"/>
    </row>
    <row r="3314" spans="1:4" ht="12.75" customHeight="1" x14ac:dyDescent="0.2">
      <c r="A3314" s="21"/>
      <c r="B3314" s="2"/>
      <c r="C3314" s="2"/>
      <c r="D3314" s="2"/>
    </row>
    <row r="3315" spans="1:4" ht="12.75" customHeight="1" x14ac:dyDescent="0.2">
      <c r="A3315" s="21"/>
      <c r="B3315" s="2"/>
      <c r="C3315" s="2"/>
      <c r="D3315" s="2"/>
    </row>
    <row r="3316" spans="1:4" ht="12.75" customHeight="1" x14ac:dyDescent="0.2">
      <c r="A3316" s="5"/>
      <c r="B3316" s="2"/>
      <c r="C3316" s="2"/>
      <c r="D3316" s="2"/>
    </row>
    <row r="3317" spans="1:4" ht="12.75" customHeight="1" x14ac:dyDescent="0.2">
      <c r="A3317" s="22" t="str">
        <f>HYPERLINK("javascript:void(0)","ezüstös sziklamászó")</f>
        <v>ezüstös sziklamászó</v>
      </c>
      <c r="B3317" s="21"/>
      <c r="C3317" s="21"/>
      <c r="D3317" s="21"/>
    </row>
    <row r="3318" spans="1:4" ht="12.75" customHeight="1" x14ac:dyDescent="0.2">
      <c r="A3318" s="20"/>
      <c r="B3318" s="2"/>
      <c r="C3318" s="2"/>
      <c r="D3318" s="2"/>
    </row>
    <row r="3319" spans="1:4" ht="12.75" customHeight="1" x14ac:dyDescent="0.2">
      <c r="A3319" s="21"/>
      <c r="B3319" s="3" t="s">
        <v>0</v>
      </c>
      <c r="C3319" s="20" t="s">
        <v>1174</v>
      </c>
      <c r="D3319" s="21"/>
    </row>
    <row r="3320" spans="1:4" ht="12.75" customHeight="1" x14ac:dyDescent="0.2">
      <c r="A3320" s="21"/>
      <c r="B3320" s="3" t="s">
        <v>2</v>
      </c>
      <c r="C3320" s="20"/>
      <c r="D3320" s="21"/>
    </row>
    <row r="3321" spans="1:4" ht="12.75" customHeight="1" x14ac:dyDescent="0.2">
      <c r="A3321" s="21"/>
      <c r="B3321" s="3" t="s">
        <v>1840</v>
      </c>
      <c r="C3321" s="20" t="s">
        <v>2234</v>
      </c>
      <c r="D3321" s="21"/>
    </row>
    <row r="3322" spans="1:4" ht="12.75" customHeight="1" x14ac:dyDescent="0.2">
      <c r="A3322" s="21"/>
      <c r="B3322" s="3" t="s">
        <v>9</v>
      </c>
      <c r="C3322" s="20" t="s">
        <v>2235</v>
      </c>
      <c r="D3322" s="21"/>
    </row>
    <row r="3323" spans="1:4" ht="12.75" customHeight="1" x14ac:dyDescent="0.2">
      <c r="A3323" s="21"/>
      <c r="B3323" s="3" t="s">
        <v>11</v>
      </c>
      <c r="C3323" s="20" t="s">
        <v>2232</v>
      </c>
      <c r="D3323" s="21"/>
    </row>
    <row r="3324" spans="1:4" ht="12.75" customHeight="1" x14ac:dyDescent="0.2">
      <c r="A3324" s="21"/>
      <c r="B3324" s="3" t="s">
        <v>16</v>
      </c>
      <c r="C3324" s="20"/>
      <c r="D3324" s="21"/>
    </row>
    <row r="3325" spans="1:4" ht="12.75" customHeight="1" x14ac:dyDescent="0.2">
      <c r="A3325" s="21"/>
      <c r="B3325" s="3" t="s">
        <v>17</v>
      </c>
      <c r="C3325" s="20" t="s">
        <v>19</v>
      </c>
      <c r="D3325" s="21"/>
    </row>
    <row r="3326" spans="1:4" ht="12.75" customHeight="1" x14ac:dyDescent="0.2">
      <c r="A3326" s="21"/>
      <c r="B3326" s="20" t="s">
        <v>18</v>
      </c>
      <c r="C3326" s="4" t="s">
        <v>780</v>
      </c>
      <c r="D3326" s="6" t="str">
        <f>HYPERLINK("javascript:void(0)","méregcsepp")</f>
        <v>méregcsepp</v>
      </c>
    </row>
    <row r="3327" spans="1:4" ht="12.75" customHeight="1" x14ac:dyDescent="0.2">
      <c r="A3327" s="21"/>
      <c r="B3327" s="21"/>
      <c r="C3327" s="4" t="s">
        <v>1536</v>
      </c>
      <c r="D3327" s="6" t="str">
        <f>HYPERLINK("javascript:void(0)","banánhéj")</f>
        <v>banánhéj</v>
      </c>
    </row>
    <row r="3328" spans="1:4" ht="12.75" customHeight="1" x14ac:dyDescent="0.2">
      <c r="A3328" s="21"/>
      <c r="B3328" s="21"/>
      <c r="C3328" s="4" t="s">
        <v>240</v>
      </c>
      <c r="D3328" s="6" t="str">
        <f>HYPERLINK("javascript:void(0)","kutyasíp")</f>
        <v>kutyasíp</v>
      </c>
    </row>
    <row r="3329" spans="1:4" ht="12.75" customHeight="1" x14ac:dyDescent="0.2">
      <c r="A3329" s="21"/>
      <c r="B3329" s="2"/>
      <c r="C3329" s="2"/>
      <c r="D3329" s="2"/>
    </row>
    <row r="3330" spans="1:4" ht="12.75" customHeight="1" x14ac:dyDescent="0.2">
      <c r="A3330" s="21"/>
      <c r="B3330" s="2"/>
      <c r="C3330" s="2"/>
      <c r="D3330" s="2"/>
    </row>
    <row r="3331" spans="1:4" ht="12.75" customHeight="1" x14ac:dyDescent="0.2">
      <c r="A3331" s="21"/>
      <c r="B3331" s="2"/>
      <c r="C3331" s="2"/>
      <c r="D3331" s="2"/>
    </row>
    <row r="3332" spans="1:4" ht="12.75" customHeight="1" x14ac:dyDescent="0.2">
      <c r="A3332" s="21"/>
      <c r="B3332" s="2"/>
      <c r="C3332" s="2"/>
      <c r="D3332" s="2"/>
    </row>
    <row r="3333" spans="1:4" ht="12.75" customHeight="1" x14ac:dyDescent="0.2">
      <c r="A3333" s="5"/>
      <c r="B3333" s="2"/>
      <c r="C3333" s="2"/>
      <c r="D3333" s="2"/>
    </row>
    <row r="3334" spans="1:4" ht="12.75" customHeight="1" x14ac:dyDescent="0.2">
      <c r="A3334" s="22" t="str">
        <f>HYPERLINK("javascript:void(0)","hangfogó antigrav csizma")</f>
        <v>hangfogó antigrav csizma</v>
      </c>
      <c r="B3334" s="21"/>
      <c r="C3334" s="21"/>
      <c r="D3334" s="21"/>
    </row>
    <row r="3335" spans="1:4" ht="12.75" customHeight="1" x14ac:dyDescent="0.2">
      <c r="A3335" s="20"/>
      <c r="B3335" s="2"/>
      <c r="C3335" s="2"/>
      <c r="D3335" s="2"/>
    </row>
    <row r="3336" spans="1:4" ht="12.75" customHeight="1" x14ac:dyDescent="0.2">
      <c r="A3336" s="21"/>
      <c r="B3336" s="3" t="s">
        <v>0</v>
      </c>
      <c r="C3336" s="20" t="s">
        <v>1174</v>
      </c>
      <c r="D3336" s="21"/>
    </row>
    <row r="3337" spans="1:4" ht="12.75" customHeight="1" x14ac:dyDescent="0.2">
      <c r="A3337" s="21"/>
      <c r="B3337" s="3" t="s">
        <v>2</v>
      </c>
      <c r="C3337" s="20"/>
      <c r="D3337" s="21"/>
    </row>
    <row r="3338" spans="1:4" ht="12.75" customHeight="1" x14ac:dyDescent="0.2">
      <c r="A3338" s="21"/>
      <c r="B3338" s="3" t="s">
        <v>1840</v>
      </c>
      <c r="C3338" s="20" t="s">
        <v>2234</v>
      </c>
      <c r="D3338" s="21"/>
    </row>
    <row r="3339" spans="1:4" ht="12.75" customHeight="1" x14ac:dyDescent="0.2">
      <c r="A3339" s="21"/>
      <c r="B3339" s="3" t="s">
        <v>9</v>
      </c>
      <c r="C3339" s="20" t="s">
        <v>626</v>
      </c>
      <c r="D3339" s="21"/>
    </row>
    <row r="3340" spans="1:4" ht="12.75" customHeight="1" x14ac:dyDescent="0.2">
      <c r="A3340" s="21"/>
      <c r="B3340" s="3" t="s">
        <v>11</v>
      </c>
      <c r="C3340" s="20" t="s">
        <v>23</v>
      </c>
      <c r="D3340" s="21"/>
    </row>
    <row r="3341" spans="1:4" ht="12.75" customHeight="1" x14ac:dyDescent="0.2">
      <c r="A3341" s="21"/>
      <c r="B3341" s="3" t="s">
        <v>16</v>
      </c>
      <c r="C3341" s="20"/>
      <c r="D3341" s="21"/>
    </row>
    <row r="3342" spans="1:4" ht="12.75" customHeight="1" x14ac:dyDescent="0.2">
      <c r="A3342" s="21"/>
      <c r="B3342" s="3" t="s">
        <v>17</v>
      </c>
      <c r="C3342" s="20" t="s">
        <v>19</v>
      </c>
      <c r="D3342" s="21"/>
    </row>
    <row r="3343" spans="1:4" ht="25.5" customHeight="1" x14ac:dyDescent="0.2">
      <c r="A3343" s="21"/>
      <c r="B3343" s="20" t="s">
        <v>18</v>
      </c>
      <c r="C3343" s="4" t="s">
        <v>44</v>
      </c>
      <c r="D3343" s="6" t="str">
        <f>HYPERLINK("javascript:void(0)","pókhálós antigrav csizma")</f>
        <v>pókhálós antigrav csizma</v>
      </c>
    </row>
    <row r="3344" spans="1:4" ht="12.75" customHeight="1" x14ac:dyDescent="0.2">
      <c r="A3344" s="21"/>
      <c r="B3344" s="21"/>
      <c r="C3344" s="4" t="s">
        <v>772</v>
      </c>
      <c r="D3344" s="6" t="str">
        <f>HYPERLINK("javascript:void(0)","kutyasíp")</f>
        <v>kutyasíp</v>
      </c>
    </row>
    <row r="3345" spans="1:4" ht="12.75" customHeight="1" x14ac:dyDescent="0.2">
      <c r="A3345" s="21"/>
      <c r="B3345" s="21"/>
      <c r="C3345" s="4" t="s">
        <v>936</v>
      </c>
      <c r="D3345" s="6" t="str">
        <f>HYPERLINK("javascript:void(0)","csonttoll")</f>
        <v>csonttoll</v>
      </c>
    </row>
    <row r="3346" spans="1:4" ht="12.75" customHeight="1" x14ac:dyDescent="0.2">
      <c r="A3346" s="21"/>
      <c r="B3346" s="2"/>
      <c r="C3346" s="2"/>
      <c r="D3346" s="2"/>
    </row>
    <row r="3347" spans="1:4" ht="12.75" customHeight="1" x14ac:dyDescent="0.2">
      <c r="A3347" s="21"/>
      <c r="B3347" s="2"/>
      <c r="C3347" s="2"/>
      <c r="D3347" s="2"/>
    </row>
    <row r="3348" spans="1:4" ht="12.75" customHeight="1" x14ac:dyDescent="0.2">
      <c r="A3348" s="21"/>
      <c r="B3348" s="2"/>
      <c r="C3348" s="2"/>
      <c r="D3348" s="2"/>
    </row>
    <row r="3349" spans="1:4" ht="12.75" customHeight="1" x14ac:dyDescent="0.2">
      <c r="A3349" s="21"/>
      <c r="B3349" s="2"/>
      <c r="C3349" s="2"/>
      <c r="D3349" s="2"/>
    </row>
    <row r="3350" spans="1:4" ht="12.75" customHeight="1" x14ac:dyDescent="0.2">
      <c r="A3350" s="5"/>
      <c r="B3350" s="2"/>
      <c r="C3350" s="2"/>
      <c r="D3350" s="2"/>
    </row>
    <row r="3351" spans="1:4" ht="12.75" customHeight="1" x14ac:dyDescent="0.2">
      <c r="A3351" s="22" t="str">
        <f>HYPERLINK("javascript:void(0)","áztatott sziklamászó")</f>
        <v>áztatott sziklamászó</v>
      </c>
      <c r="B3351" s="21"/>
      <c r="C3351" s="21"/>
      <c r="D3351" s="21"/>
    </row>
    <row r="3352" spans="1:4" ht="12.75" customHeight="1" x14ac:dyDescent="0.2">
      <c r="A3352" s="20"/>
      <c r="B3352" s="2"/>
      <c r="C3352" s="2"/>
      <c r="D3352" s="2"/>
    </row>
    <row r="3353" spans="1:4" ht="12.75" customHeight="1" x14ac:dyDescent="0.2">
      <c r="A3353" s="21"/>
      <c r="B3353" s="3" t="s">
        <v>0</v>
      </c>
      <c r="C3353" s="20" t="s">
        <v>119</v>
      </c>
      <c r="D3353" s="21"/>
    </row>
    <row r="3354" spans="1:4" ht="12.75" customHeight="1" x14ac:dyDescent="0.2">
      <c r="A3354" s="21"/>
      <c r="B3354" s="3" t="s">
        <v>2</v>
      </c>
      <c r="C3354" s="20"/>
      <c r="D3354" s="21"/>
    </row>
    <row r="3355" spans="1:4" ht="12.75" customHeight="1" x14ac:dyDescent="0.2">
      <c r="A3355" s="21"/>
      <c r="B3355" s="3" t="s">
        <v>1840</v>
      </c>
      <c r="C3355" s="20" t="s">
        <v>2239</v>
      </c>
      <c r="D3355" s="21"/>
    </row>
    <row r="3356" spans="1:4" ht="12.75" customHeight="1" x14ac:dyDescent="0.2">
      <c r="A3356" s="21"/>
      <c r="B3356" s="3" t="s">
        <v>9</v>
      </c>
      <c r="C3356" s="20" t="s">
        <v>1481</v>
      </c>
      <c r="D3356" s="21"/>
    </row>
    <row r="3357" spans="1:4" ht="12.75" customHeight="1" x14ac:dyDescent="0.2">
      <c r="A3357" s="21"/>
      <c r="B3357" s="3" t="s">
        <v>11</v>
      </c>
      <c r="C3357" s="20" t="s">
        <v>2240</v>
      </c>
      <c r="D3357" s="21"/>
    </row>
    <row r="3358" spans="1:4" ht="12.75" customHeight="1" x14ac:dyDescent="0.2">
      <c r="A3358" s="21"/>
      <c r="B3358" s="3" t="s">
        <v>16</v>
      </c>
      <c r="C3358" s="20"/>
      <c r="D3358" s="21"/>
    </row>
    <row r="3359" spans="1:4" ht="12.75" customHeight="1" x14ac:dyDescent="0.2">
      <c r="A3359" s="21"/>
      <c r="B3359" s="3" t="s">
        <v>17</v>
      </c>
      <c r="C3359" s="20" t="s">
        <v>19</v>
      </c>
      <c r="D3359" s="21"/>
    </row>
    <row r="3360" spans="1:4" ht="25.5" customHeight="1" x14ac:dyDescent="0.2">
      <c r="A3360" s="21"/>
      <c r="B3360" s="20" t="s">
        <v>18</v>
      </c>
      <c r="C3360" s="4" t="s">
        <v>44</v>
      </c>
      <c r="D3360" s="6" t="str">
        <f>HYPERLINK("javascript:void(0)","ezüstös sziklamászó")</f>
        <v>ezüstös sziklamászó</v>
      </c>
    </row>
    <row r="3361" spans="1:4" ht="12.75" customHeight="1" x14ac:dyDescent="0.2">
      <c r="A3361" s="21"/>
      <c r="B3361" s="21"/>
      <c r="C3361" s="4" t="s">
        <v>132</v>
      </c>
      <c r="D3361" s="6" t="str">
        <f>HYPERLINK("javascript:void(0)","tarsus")</f>
        <v>tarsus</v>
      </c>
    </row>
    <row r="3362" spans="1:4" ht="12.75" customHeight="1" x14ac:dyDescent="0.2">
      <c r="A3362" s="21"/>
      <c r="B3362" s="21"/>
      <c r="C3362" s="4" t="s">
        <v>67</v>
      </c>
      <c r="D3362" s="6" t="str">
        <f>HYPERLINK("javascript:void(0)","aquaakta")</f>
        <v>aquaakta</v>
      </c>
    </row>
    <row r="3363" spans="1:4" ht="12.75" customHeight="1" x14ac:dyDescent="0.2">
      <c r="A3363" s="21"/>
      <c r="B3363" s="2"/>
      <c r="C3363" s="2"/>
      <c r="D3363" s="2"/>
    </row>
    <row r="3364" spans="1:4" ht="12.75" customHeight="1" x14ac:dyDescent="0.2">
      <c r="A3364" s="21"/>
      <c r="B3364" s="2"/>
      <c r="C3364" s="2"/>
      <c r="D3364" s="2"/>
    </row>
    <row r="3365" spans="1:4" ht="12.75" customHeight="1" x14ac:dyDescent="0.2">
      <c r="A3365" s="21"/>
      <c r="B3365" s="2"/>
      <c r="C3365" s="2"/>
      <c r="D3365" s="2"/>
    </row>
    <row r="3366" spans="1:4" ht="12.75" customHeight="1" x14ac:dyDescent="0.2">
      <c r="A3366" s="21"/>
      <c r="B3366" s="2"/>
      <c r="C3366" s="2"/>
      <c r="D3366" s="2"/>
    </row>
    <row r="3367" spans="1:4" ht="12.75" customHeight="1" x14ac:dyDescent="0.2">
      <c r="A3367" s="5"/>
      <c r="B3367" s="2"/>
      <c r="C3367" s="2"/>
      <c r="D3367" s="2"/>
    </row>
    <row r="3368" spans="1:4" ht="12.75" customHeight="1" x14ac:dyDescent="0.2">
      <c r="A3368" s="22" t="str">
        <f>HYPERLINK("javascript:void(0)","kéregcsizma")</f>
        <v>kéregcsizma</v>
      </c>
      <c r="B3368" s="21"/>
      <c r="C3368" s="21"/>
      <c r="D3368" s="21"/>
    </row>
    <row r="3369" spans="1:4" ht="12.75" customHeight="1" x14ac:dyDescent="0.2">
      <c r="A3369" s="20"/>
      <c r="B3369" s="2"/>
      <c r="C3369" s="2"/>
      <c r="D3369" s="2"/>
    </row>
    <row r="3370" spans="1:4" ht="12.75" customHeight="1" x14ac:dyDescent="0.2">
      <c r="A3370" s="21"/>
      <c r="B3370" s="3" t="s">
        <v>0</v>
      </c>
      <c r="C3370" s="20" t="s">
        <v>1196</v>
      </c>
      <c r="D3370" s="21"/>
    </row>
    <row r="3371" spans="1:4" ht="12.75" customHeight="1" x14ac:dyDescent="0.2">
      <c r="A3371" s="21"/>
      <c r="B3371" s="3" t="s">
        <v>2</v>
      </c>
      <c r="C3371" s="20"/>
      <c r="D3371" s="21"/>
    </row>
    <row r="3372" spans="1:4" ht="12.75" customHeight="1" x14ac:dyDescent="0.2">
      <c r="A3372" s="21"/>
      <c r="B3372" s="3" t="s">
        <v>1840</v>
      </c>
      <c r="C3372" s="20" t="s">
        <v>1478</v>
      </c>
      <c r="D3372" s="21"/>
    </row>
    <row r="3373" spans="1:4" ht="12.75" customHeight="1" x14ac:dyDescent="0.2">
      <c r="A3373" s="21"/>
      <c r="B3373" s="3" t="s">
        <v>9</v>
      </c>
      <c r="C3373" s="20" t="s">
        <v>2121</v>
      </c>
      <c r="D3373" s="21"/>
    </row>
    <row r="3374" spans="1:4" ht="12.75" customHeight="1" x14ac:dyDescent="0.2">
      <c r="A3374" s="21"/>
      <c r="B3374" s="3" t="s">
        <v>11</v>
      </c>
      <c r="C3374" s="20" t="s">
        <v>2242</v>
      </c>
      <c r="D3374" s="21"/>
    </row>
    <row r="3375" spans="1:4" ht="12.75" customHeight="1" x14ac:dyDescent="0.2">
      <c r="A3375" s="21"/>
      <c r="B3375" s="3" t="s">
        <v>16</v>
      </c>
      <c r="C3375" s="20"/>
      <c r="D3375" s="21"/>
    </row>
    <row r="3376" spans="1:4" ht="12.75" customHeight="1" x14ac:dyDescent="0.2">
      <c r="A3376" s="21"/>
      <c r="B3376" s="3" t="s">
        <v>17</v>
      </c>
      <c r="C3376" s="20" t="s">
        <v>19</v>
      </c>
      <c r="D3376" s="21"/>
    </row>
    <row r="3377" spans="1:4" ht="25.5" customHeight="1" x14ac:dyDescent="0.2">
      <c r="A3377" s="21"/>
      <c r="B3377" s="20" t="s">
        <v>18</v>
      </c>
      <c r="C3377" s="4" t="s">
        <v>44</v>
      </c>
      <c r="D3377" s="6" t="str">
        <f>HYPERLINK("javascript:void(0)","áztatott sziklamászó")</f>
        <v>áztatott sziklamászó</v>
      </c>
    </row>
    <row r="3378" spans="1:4" ht="12.75" customHeight="1" x14ac:dyDescent="0.2">
      <c r="A3378" s="21"/>
      <c r="B3378" s="21"/>
      <c r="C3378" s="4" t="s">
        <v>196</v>
      </c>
      <c r="D3378" s="6" t="str">
        <f>HYPERLINK("javascript:void(0)","kéreg")</f>
        <v>kéreg</v>
      </c>
    </row>
    <row r="3379" spans="1:4" ht="12.75" customHeight="1" x14ac:dyDescent="0.2">
      <c r="A3379" s="21"/>
      <c r="B3379" s="21"/>
      <c r="C3379" s="4" t="s">
        <v>67</v>
      </c>
      <c r="D3379" s="6" t="str">
        <f>HYPERLINK("javascript:void(0)","raszta")</f>
        <v>raszta</v>
      </c>
    </row>
    <row r="3380" spans="1:4" ht="12.75" customHeight="1" x14ac:dyDescent="0.2">
      <c r="A3380" s="21"/>
      <c r="B3380" s="2"/>
      <c r="C3380" s="2"/>
      <c r="D3380" s="2"/>
    </row>
    <row r="3381" spans="1:4" ht="12.75" customHeight="1" x14ac:dyDescent="0.2">
      <c r="A3381" s="21"/>
      <c r="B3381" s="2"/>
      <c r="C3381" s="2"/>
      <c r="D3381" s="2"/>
    </row>
    <row r="3382" spans="1:4" ht="12.75" customHeight="1" x14ac:dyDescent="0.2">
      <c r="A3382" s="21"/>
      <c r="B3382" s="2"/>
      <c r="C3382" s="2"/>
      <c r="D3382" s="2"/>
    </row>
    <row r="3383" spans="1:4" ht="12.75" customHeight="1" x14ac:dyDescent="0.2">
      <c r="A3383" s="21"/>
      <c r="B3383" s="2"/>
      <c r="C3383" s="2"/>
      <c r="D3383" s="2"/>
    </row>
    <row r="3384" spans="1:4" ht="12.75" customHeight="1" x14ac:dyDescent="0.2">
      <c r="A3384" s="5"/>
      <c r="B3384" s="2"/>
      <c r="C3384" s="2"/>
      <c r="D3384" s="2"/>
    </row>
    <row r="3385" spans="1:4" ht="12.75" customHeight="1" x14ac:dyDescent="0.2">
      <c r="A3385" s="22" t="str">
        <f>HYPERLINK("javascript:void(0)","kígyócsizma")</f>
        <v>kígyócsizma</v>
      </c>
      <c r="B3385" s="21"/>
      <c r="C3385" s="21"/>
      <c r="D3385" s="21"/>
    </row>
    <row r="3386" spans="1:4" ht="12.75" customHeight="1" x14ac:dyDescent="0.2">
      <c r="A3386" s="20"/>
      <c r="B3386" s="2"/>
      <c r="C3386" s="2"/>
      <c r="D3386" s="2"/>
    </row>
    <row r="3387" spans="1:4" ht="12.75" customHeight="1" x14ac:dyDescent="0.2">
      <c r="A3387" s="21"/>
      <c r="B3387" s="3" t="s">
        <v>0</v>
      </c>
      <c r="C3387" s="20" t="s">
        <v>1207</v>
      </c>
      <c r="D3387" s="21"/>
    </row>
    <row r="3388" spans="1:4" ht="12.75" customHeight="1" x14ac:dyDescent="0.2">
      <c r="A3388" s="21"/>
      <c r="B3388" s="3" t="s">
        <v>2</v>
      </c>
      <c r="C3388" s="20"/>
      <c r="D3388" s="21"/>
    </row>
    <row r="3389" spans="1:4" ht="12.75" customHeight="1" x14ac:dyDescent="0.2">
      <c r="A3389" s="21"/>
      <c r="B3389" s="3" t="s">
        <v>1840</v>
      </c>
      <c r="C3389" s="20" t="s">
        <v>2243</v>
      </c>
      <c r="D3389" s="21"/>
    </row>
    <row r="3390" spans="1:4" ht="12.75" customHeight="1" x14ac:dyDescent="0.2">
      <c r="A3390" s="21"/>
      <c r="B3390" s="3" t="s">
        <v>9</v>
      </c>
      <c r="C3390" s="20" t="s">
        <v>36</v>
      </c>
      <c r="D3390" s="21"/>
    </row>
    <row r="3391" spans="1:4" ht="12.75" customHeight="1" x14ac:dyDescent="0.2">
      <c r="A3391" s="21"/>
      <c r="B3391" s="3" t="s">
        <v>11</v>
      </c>
      <c r="C3391" s="20" t="s">
        <v>2245</v>
      </c>
      <c r="D3391" s="21"/>
    </row>
    <row r="3392" spans="1:4" ht="12.75" customHeight="1" x14ac:dyDescent="0.2">
      <c r="A3392" s="21"/>
      <c r="B3392" s="3" t="s">
        <v>16</v>
      </c>
      <c r="C3392" s="20"/>
      <c r="D3392" s="21"/>
    </row>
    <row r="3393" spans="1:4" ht="12.75" customHeight="1" x14ac:dyDescent="0.2">
      <c r="A3393" s="21"/>
      <c r="B3393" s="3" t="s">
        <v>17</v>
      </c>
      <c r="C3393" s="20" t="s">
        <v>19</v>
      </c>
      <c r="D3393" s="21"/>
    </row>
    <row r="3394" spans="1:4" ht="12.75" customHeight="1" x14ac:dyDescent="0.2">
      <c r="A3394" s="21"/>
      <c r="B3394" s="20" t="s">
        <v>18</v>
      </c>
      <c r="C3394" s="4" t="s">
        <v>44</v>
      </c>
      <c r="D3394" s="6" t="str">
        <f>HYPERLINK("javascript:void(0)","kéregcsizma")</f>
        <v>kéregcsizma</v>
      </c>
    </row>
    <row r="3395" spans="1:4" ht="12.75" customHeight="1" x14ac:dyDescent="0.2">
      <c r="A3395" s="21"/>
      <c r="B3395" s="21"/>
      <c r="C3395" s="4" t="s">
        <v>240</v>
      </c>
      <c r="D3395" s="6" t="str">
        <f>HYPERLINK("javascript:void(0)","kígyópikkely")</f>
        <v>kígyópikkely</v>
      </c>
    </row>
    <row r="3396" spans="1:4" ht="12.75" customHeight="1" x14ac:dyDescent="0.2">
      <c r="A3396" s="21"/>
      <c r="B3396" s="21"/>
      <c r="C3396" s="4" t="s">
        <v>67</v>
      </c>
      <c r="D3396" s="6" t="str">
        <f>HYPERLINK("javascript:void(0)","ectokinézis")</f>
        <v>ectokinézis</v>
      </c>
    </row>
    <row r="3397" spans="1:4" ht="12.75" customHeight="1" x14ac:dyDescent="0.2">
      <c r="A3397" s="21"/>
      <c r="B3397" s="2"/>
      <c r="C3397" s="2"/>
      <c r="D3397" s="2"/>
    </row>
    <row r="3398" spans="1:4" ht="12.75" customHeight="1" x14ac:dyDescent="0.2">
      <c r="A3398" s="21"/>
      <c r="B3398" s="2"/>
      <c r="C3398" s="2"/>
      <c r="D3398" s="2"/>
    </row>
    <row r="3399" spans="1:4" ht="12.75" customHeight="1" x14ac:dyDescent="0.2">
      <c r="A3399" s="21"/>
      <c r="B3399" s="2"/>
      <c r="C3399" s="2"/>
      <c r="D3399" s="2"/>
    </row>
    <row r="3400" spans="1:4" ht="12.75" customHeight="1" x14ac:dyDescent="0.2">
      <c r="A3400" s="21"/>
      <c r="B3400" s="2"/>
      <c r="C3400" s="2"/>
      <c r="D3400" s="2"/>
    </row>
    <row r="3401" spans="1:4" ht="12.75" customHeight="1" x14ac:dyDescent="0.2">
      <c r="A3401" s="5"/>
      <c r="B3401" s="2"/>
      <c r="C3401" s="2"/>
      <c r="D3401" s="2"/>
    </row>
    <row r="3402" spans="1:4" ht="12.75" customHeight="1" x14ac:dyDescent="0.2">
      <c r="A3402" s="22" t="str">
        <f>HYPERLINK("javascript:void(0)","démonjárta antigrav csizma")</f>
        <v>démonjárta antigrav csizma</v>
      </c>
      <c r="B3402" s="21"/>
      <c r="C3402" s="21"/>
      <c r="D3402" s="21"/>
    </row>
    <row r="3403" spans="1:4" ht="12.75" customHeight="1" x14ac:dyDescent="0.2">
      <c r="A3403" s="20"/>
      <c r="B3403" s="2"/>
      <c r="C3403" s="2"/>
      <c r="D3403" s="2"/>
    </row>
    <row r="3404" spans="1:4" ht="12.75" customHeight="1" x14ac:dyDescent="0.2">
      <c r="A3404" s="21"/>
      <c r="B3404" s="3" t="s">
        <v>0</v>
      </c>
      <c r="C3404" s="20" t="s">
        <v>1207</v>
      </c>
      <c r="D3404" s="21"/>
    </row>
    <row r="3405" spans="1:4" ht="12.75" customHeight="1" x14ac:dyDescent="0.2">
      <c r="A3405" s="21"/>
      <c r="B3405" s="3" t="s">
        <v>2</v>
      </c>
      <c r="C3405" s="20"/>
      <c r="D3405" s="21"/>
    </row>
    <row r="3406" spans="1:4" ht="12.75" customHeight="1" x14ac:dyDescent="0.2">
      <c r="A3406" s="21"/>
      <c r="B3406" s="3" t="s">
        <v>1840</v>
      </c>
      <c r="C3406" s="20" t="s">
        <v>579</v>
      </c>
      <c r="D3406" s="21"/>
    </row>
    <row r="3407" spans="1:4" ht="12.75" customHeight="1" x14ac:dyDescent="0.2">
      <c r="A3407" s="21"/>
      <c r="B3407" s="3" t="s">
        <v>9</v>
      </c>
      <c r="C3407" s="20" t="s">
        <v>626</v>
      </c>
      <c r="D3407" s="21"/>
    </row>
    <row r="3408" spans="1:4" ht="12.75" customHeight="1" x14ac:dyDescent="0.2">
      <c r="A3408" s="21"/>
      <c r="B3408" s="3" t="s">
        <v>11</v>
      </c>
      <c r="C3408" s="20" t="s">
        <v>23</v>
      </c>
      <c r="D3408" s="21"/>
    </row>
    <row r="3409" spans="1:4" ht="12.75" customHeight="1" x14ac:dyDescent="0.2">
      <c r="A3409" s="21"/>
      <c r="B3409" s="3" t="s">
        <v>16</v>
      </c>
      <c r="C3409" s="20"/>
      <c r="D3409" s="21"/>
    </row>
    <row r="3410" spans="1:4" ht="12.75" customHeight="1" x14ac:dyDescent="0.2">
      <c r="A3410" s="21"/>
      <c r="B3410" s="3" t="s">
        <v>17</v>
      </c>
      <c r="C3410" s="20" t="s">
        <v>19</v>
      </c>
      <c r="D3410" s="21"/>
    </row>
    <row r="3411" spans="1:4" ht="25.5" customHeight="1" x14ac:dyDescent="0.2">
      <c r="A3411" s="21"/>
      <c r="B3411" s="20" t="s">
        <v>18</v>
      </c>
      <c r="C3411" s="4" t="s">
        <v>44</v>
      </c>
      <c r="D3411" s="6" t="str">
        <f>HYPERLINK("javascript:void(0)","hangfogó antigrav csizma")</f>
        <v>hangfogó antigrav csizma</v>
      </c>
    </row>
    <row r="3412" spans="1:4" ht="12.75" customHeight="1" x14ac:dyDescent="0.2">
      <c r="A3412" s="21"/>
      <c r="B3412" s="21"/>
      <c r="C3412" s="4" t="s">
        <v>309</v>
      </c>
      <c r="D3412" s="6" t="str">
        <f>HYPERLINK("javascript:void(0)","felhőgyapjú")</f>
        <v>felhőgyapjú</v>
      </c>
    </row>
    <row r="3413" spans="1:4" ht="12.75" customHeight="1" x14ac:dyDescent="0.2">
      <c r="A3413" s="21"/>
      <c r="B3413" s="21"/>
      <c r="C3413" s="4" t="s">
        <v>280</v>
      </c>
      <c r="D3413" s="6" t="str">
        <f>HYPERLINK("javascript:void(0)","démontoll")</f>
        <v>démontoll</v>
      </c>
    </row>
    <row r="3414" spans="1:4" ht="12.75" customHeight="1" x14ac:dyDescent="0.2">
      <c r="A3414" s="21"/>
      <c r="B3414" s="2"/>
      <c r="C3414" s="2"/>
      <c r="D3414" s="2"/>
    </row>
    <row r="3415" spans="1:4" ht="12.75" customHeight="1" x14ac:dyDescent="0.2">
      <c r="A3415" s="21"/>
      <c r="B3415" s="2"/>
      <c r="C3415" s="2"/>
      <c r="D3415" s="2"/>
    </row>
    <row r="3416" spans="1:4" ht="12.75" customHeight="1" x14ac:dyDescent="0.2">
      <c r="A3416" s="21"/>
      <c r="B3416" s="2"/>
      <c r="C3416" s="2"/>
      <c r="D3416" s="2"/>
    </row>
    <row r="3417" spans="1:4" ht="12.75" customHeight="1" x14ac:dyDescent="0.2">
      <c r="A3417" s="21"/>
      <c r="B3417" s="2"/>
      <c r="C3417" s="2"/>
      <c r="D3417" s="2"/>
    </row>
    <row r="3418" spans="1:4" ht="12.75" customHeight="1" x14ac:dyDescent="0.2">
      <c r="A3418" s="5"/>
      <c r="B3418" s="2"/>
      <c r="C3418" s="2"/>
      <c r="D3418" s="2"/>
    </row>
    <row r="3419" spans="1:4" ht="12.75" customHeight="1" x14ac:dyDescent="0.2">
      <c r="A3419" s="22" t="str">
        <f>HYPERLINK("javascript:void(0)","pékcsizma")</f>
        <v>pékcsizma</v>
      </c>
      <c r="B3419" s="21"/>
      <c r="C3419" s="21"/>
      <c r="D3419" s="21"/>
    </row>
    <row r="3420" spans="1:4" ht="12.75" customHeight="1" x14ac:dyDescent="0.2">
      <c r="A3420" s="20"/>
      <c r="B3420" s="2"/>
      <c r="C3420" s="2"/>
      <c r="D3420" s="2"/>
    </row>
    <row r="3421" spans="1:4" ht="12.75" customHeight="1" x14ac:dyDescent="0.2">
      <c r="A3421" s="21"/>
      <c r="B3421" s="3" t="s">
        <v>0</v>
      </c>
      <c r="C3421" s="20" t="s">
        <v>1213</v>
      </c>
      <c r="D3421" s="21"/>
    </row>
    <row r="3422" spans="1:4" ht="12.75" customHeight="1" x14ac:dyDescent="0.2">
      <c r="A3422" s="21"/>
      <c r="B3422" s="3" t="s">
        <v>2</v>
      </c>
      <c r="C3422" s="20"/>
      <c r="D3422" s="21"/>
    </row>
    <row r="3423" spans="1:4" ht="12.75" customHeight="1" x14ac:dyDescent="0.2">
      <c r="A3423" s="21"/>
      <c r="B3423" s="3" t="s">
        <v>1840</v>
      </c>
      <c r="C3423" s="20" t="s">
        <v>2251</v>
      </c>
      <c r="D3423" s="21"/>
    </row>
    <row r="3424" spans="1:4" ht="12.75" customHeight="1" x14ac:dyDescent="0.2">
      <c r="A3424" s="21"/>
      <c r="B3424" s="3" t="s">
        <v>9</v>
      </c>
      <c r="C3424" s="20" t="s">
        <v>962</v>
      </c>
      <c r="D3424" s="21"/>
    </row>
    <row r="3425" spans="1:4" ht="12.75" customHeight="1" x14ac:dyDescent="0.2">
      <c r="A3425" s="21"/>
      <c r="B3425" s="3" t="s">
        <v>11</v>
      </c>
      <c r="C3425" s="20" t="s">
        <v>2252</v>
      </c>
      <c r="D3425" s="21"/>
    </row>
    <row r="3426" spans="1:4" ht="12.75" customHeight="1" x14ac:dyDescent="0.2">
      <c r="A3426" s="21"/>
      <c r="B3426" s="3" t="s">
        <v>16</v>
      </c>
      <c r="C3426" s="20"/>
      <c r="D3426" s="21"/>
    </row>
    <row r="3427" spans="1:4" ht="12.75" customHeight="1" x14ac:dyDescent="0.2">
      <c r="A3427" s="21"/>
      <c r="B3427" s="3" t="s">
        <v>17</v>
      </c>
      <c r="C3427" s="20" t="s">
        <v>19</v>
      </c>
      <c r="D3427" s="21"/>
    </row>
    <row r="3428" spans="1:4" ht="12.75" customHeight="1" x14ac:dyDescent="0.2">
      <c r="A3428" s="21"/>
      <c r="B3428" s="20" t="s">
        <v>18</v>
      </c>
      <c r="C3428" s="4" t="s">
        <v>77</v>
      </c>
      <c r="D3428" s="6" t="str">
        <f>HYPERLINK("javascript:void(0)","fatális hiba")</f>
        <v>fatális hiba</v>
      </c>
    </row>
    <row r="3429" spans="1:4" ht="12.75" customHeight="1" x14ac:dyDescent="0.2">
      <c r="A3429" s="21"/>
      <c r="B3429" s="21"/>
      <c r="C3429" s="4" t="s">
        <v>44</v>
      </c>
      <c r="D3429" s="6" t="str">
        <f>HYPERLINK("javascript:void(0)","kígyócsizma")</f>
        <v>kígyócsizma</v>
      </c>
    </row>
    <row r="3430" spans="1:4" ht="12.75" customHeight="1" x14ac:dyDescent="0.2">
      <c r="A3430" s="21"/>
      <c r="B3430" s="21"/>
      <c r="C3430" s="4" t="s">
        <v>240</v>
      </c>
      <c r="D3430" s="6" t="str">
        <f>HYPERLINK("javascript:void(0)","kenyérhéj")</f>
        <v>kenyérhéj</v>
      </c>
    </row>
    <row r="3431" spans="1:4" ht="12.75" customHeight="1" x14ac:dyDescent="0.2">
      <c r="A3431" s="21"/>
      <c r="B3431" s="2"/>
      <c r="C3431" s="2"/>
      <c r="D3431" s="2"/>
    </row>
    <row r="3432" spans="1:4" ht="12.75" customHeight="1" x14ac:dyDescent="0.2">
      <c r="A3432" s="21"/>
      <c r="B3432" s="2"/>
      <c r="C3432" s="2"/>
      <c r="D3432" s="2"/>
    </row>
    <row r="3433" spans="1:4" ht="12.75" customHeight="1" x14ac:dyDescent="0.2">
      <c r="A3433" s="21"/>
      <c r="B3433" s="2"/>
      <c r="C3433" s="2"/>
      <c r="D3433" s="2"/>
    </row>
    <row r="3434" spans="1:4" ht="12.75" customHeight="1" x14ac:dyDescent="0.2">
      <c r="A3434" s="21"/>
      <c r="B3434" s="2"/>
      <c r="C3434" s="2"/>
      <c r="D3434" s="2"/>
    </row>
    <row r="3435" spans="1:4" ht="12.75" customHeight="1" x14ac:dyDescent="0.2">
      <c r="A3435" s="5"/>
      <c r="B3435" s="2"/>
      <c r="C3435" s="2"/>
      <c r="D3435" s="2"/>
    </row>
    <row r="3436" spans="1:4" ht="12.75" customHeight="1" x14ac:dyDescent="0.2">
      <c r="A3436" s="22" t="str">
        <f>HYPERLINK("javascript:void(0)","csillámló manócsizma")</f>
        <v>csillámló manócsizma</v>
      </c>
      <c r="B3436" s="21"/>
      <c r="C3436" s="21"/>
      <c r="D3436" s="21"/>
    </row>
    <row r="3437" spans="1:4" ht="12.75" customHeight="1" x14ac:dyDescent="0.2">
      <c r="A3437" s="20"/>
      <c r="B3437" s="2"/>
      <c r="C3437" s="2"/>
      <c r="D3437" s="2"/>
    </row>
    <row r="3438" spans="1:4" ht="12.75" customHeight="1" x14ac:dyDescent="0.2">
      <c r="A3438" s="21"/>
      <c r="B3438" s="3" t="s">
        <v>0</v>
      </c>
      <c r="C3438" s="20" t="s">
        <v>230</v>
      </c>
      <c r="D3438" s="21"/>
    </row>
    <row r="3439" spans="1:4" ht="12.75" customHeight="1" x14ac:dyDescent="0.2">
      <c r="A3439" s="21"/>
      <c r="B3439" s="3" t="s">
        <v>2</v>
      </c>
      <c r="C3439" s="20"/>
      <c r="D3439" s="21"/>
    </row>
    <row r="3440" spans="1:4" ht="12.75" customHeight="1" x14ac:dyDescent="0.2">
      <c r="A3440" s="21"/>
      <c r="B3440" s="3" t="s">
        <v>1840</v>
      </c>
      <c r="C3440" s="20" t="s">
        <v>1823</v>
      </c>
      <c r="D3440" s="21"/>
    </row>
    <row r="3441" spans="1:4" ht="12.75" customHeight="1" x14ac:dyDescent="0.2">
      <c r="A3441" s="21"/>
      <c r="B3441" s="3" t="s">
        <v>9</v>
      </c>
      <c r="C3441" s="20" t="s">
        <v>2253</v>
      </c>
      <c r="D3441" s="21"/>
    </row>
    <row r="3442" spans="1:4" ht="12.75" customHeight="1" x14ac:dyDescent="0.2">
      <c r="A3442" s="21"/>
      <c r="B3442" s="3" t="s">
        <v>11</v>
      </c>
      <c r="C3442" s="20" t="s">
        <v>2245</v>
      </c>
      <c r="D3442" s="21"/>
    </row>
    <row r="3443" spans="1:4" ht="12.75" customHeight="1" x14ac:dyDescent="0.2">
      <c r="A3443" s="21"/>
      <c r="B3443" s="3" t="s">
        <v>16</v>
      </c>
      <c r="C3443" s="20"/>
      <c r="D3443" s="21"/>
    </row>
    <row r="3444" spans="1:4" ht="12.75" customHeight="1" x14ac:dyDescent="0.2">
      <c r="A3444" s="21"/>
      <c r="B3444" s="3" t="s">
        <v>17</v>
      </c>
      <c r="C3444" s="20" t="s">
        <v>19</v>
      </c>
      <c r="D3444" s="21"/>
    </row>
    <row r="3445" spans="1:4" ht="12.75" customHeight="1" x14ac:dyDescent="0.2">
      <c r="A3445" s="21"/>
      <c r="B3445" s="20" t="s">
        <v>18</v>
      </c>
      <c r="C3445" s="4" t="s">
        <v>57</v>
      </c>
      <c r="D3445" s="6" t="str">
        <f>HYPERLINK("javascript:void(0)","csillámgöb")</f>
        <v>csillámgöb</v>
      </c>
    </row>
    <row r="3446" spans="1:4" ht="25.5" customHeight="1" x14ac:dyDescent="0.2">
      <c r="A3446" s="21"/>
      <c r="B3446" s="21"/>
      <c r="C3446" s="4" t="s">
        <v>44</v>
      </c>
      <c r="D3446" s="6" t="str">
        <f>HYPERLINK("javascript:void(0)","csillámló pengecsizma")</f>
        <v>csillámló pengecsizma</v>
      </c>
    </row>
    <row r="3447" spans="1:4" ht="12.75" customHeight="1" x14ac:dyDescent="0.2">
      <c r="A3447" s="21"/>
      <c r="B3447" s="21"/>
      <c r="C3447" s="4" t="s">
        <v>398</v>
      </c>
      <c r="D3447" s="6" t="str">
        <f>HYPERLINK("javascript:void(0)","melegige")</f>
        <v>melegige</v>
      </c>
    </row>
    <row r="3448" spans="1:4" ht="12.75" customHeight="1" x14ac:dyDescent="0.2">
      <c r="A3448" s="21"/>
      <c r="B3448" s="2"/>
      <c r="C3448" s="2"/>
      <c r="D3448" s="2"/>
    </row>
    <row r="3449" spans="1:4" ht="12.75" customHeight="1" x14ac:dyDescent="0.2">
      <c r="A3449" s="21"/>
      <c r="B3449" s="2"/>
      <c r="C3449" s="2"/>
      <c r="D3449" s="2"/>
    </row>
    <row r="3450" spans="1:4" ht="12.75" customHeight="1" x14ac:dyDescent="0.2">
      <c r="A3450" s="21"/>
      <c r="B3450" s="2"/>
      <c r="C3450" s="2"/>
      <c r="D3450" s="2"/>
    </row>
    <row r="3451" spans="1:4" ht="12.75" customHeight="1" x14ac:dyDescent="0.2">
      <c r="A3451" s="21"/>
      <c r="B3451" s="2"/>
      <c r="C3451" s="2"/>
      <c r="D3451" s="2"/>
    </row>
    <row r="3452" spans="1:4" ht="12.75" customHeight="1" x14ac:dyDescent="0.2">
      <c r="A3452" s="5"/>
      <c r="B3452" s="2"/>
      <c r="C3452" s="2"/>
      <c r="D3452" s="2"/>
    </row>
    <row r="3453" spans="1:4" ht="12.75" customHeight="1" x14ac:dyDescent="0.2">
      <c r="A3453" s="22" t="str">
        <f>HYPERLINK("javascript:void(0)","földrengető")</f>
        <v>földrengető</v>
      </c>
      <c r="B3453" s="21"/>
      <c r="C3453" s="21"/>
      <c r="D3453" s="21"/>
    </row>
    <row r="3454" spans="1:4" ht="12.75" customHeight="1" x14ac:dyDescent="0.2">
      <c r="A3454" s="20"/>
      <c r="B3454" s="2"/>
      <c r="C3454" s="2"/>
      <c r="D3454" s="2"/>
    </row>
    <row r="3455" spans="1:4" ht="12.75" customHeight="1" x14ac:dyDescent="0.2">
      <c r="A3455" s="21"/>
      <c r="B3455" s="3" t="s">
        <v>0</v>
      </c>
      <c r="C3455" s="20" t="s">
        <v>230</v>
      </c>
      <c r="D3455" s="21"/>
    </row>
    <row r="3456" spans="1:4" ht="12.75" customHeight="1" x14ac:dyDescent="0.2">
      <c r="A3456" s="21"/>
      <c r="B3456" s="3" t="s">
        <v>2</v>
      </c>
      <c r="C3456" s="20"/>
      <c r="D3456" s="21"/>
    </row>
    <row r="3457" spans="1:4" ht="12.75" customHeight="1" x14ac:dyDescent="0.2">
      <c r="A3457" s="21"/>
      <c r="B3457" s="3" t="s">
        <v>1840</v>
      </c>
      <c r="C3457" s="20" t="s">
        <v>285</v>
      </c>
      <c r="D3457" s="21"/>
    </row>
    <row r="3458" spans="1:4" ht="12.75" customHeight="1" x14ac:dyDescent="0.2">
      <c r="A3458" s="21"/>
      <c r="B3458" s="3" t="s">
        <v>9</v>
      </c>
      <c r="C3458" s="20" t="s">
        <v>61</v>
      </c>
      <c r="D3458" s="21"/>
    </row>
    <row r="3459" spans="1:4" ht="12.75" customHeight="1" x14ac:dyDescent="0.2">
      <c r="A3459" s="21"/>
      <c r="B3459" s="3" t="s">
        <v>11</v>
      </c>
      <c r="C3459" s="20" t="s">
        <v>1334</v>
      </c>
      <c r="D3459" s="21"/>
    </row>
    <row r="3460" spans="1:4" ht="12.75" customHeight="1" x14ac:dyDescent="0.2">
      <c r="A3460" s="21"/>
      <c r="B3460" s="3" t="s">
        <v>16</v>
      </c>
      <c r="C3460" s="20"/>
      <c r="D3460" s="21"/>
    </row>
    <row r="3461" spans="1:4" ht="12.75" customHeight="1" x14ac:dyDescent="0.2">
      <c r="A3461" s="21"/>
      <c r="B3461" s="3" t="s">
        <v>17</v>
      </c>
      <c r="C3461" s="20" t="s">
        <v>19</v>
      </c>
      <c r="D3461" s="21"/>
    </row>
    <row r="3462" spans="1:4" ht="12.75" customHeight="1" x14ac:dyDescent="0.2">
      <c r="A3462" s="21"/>
      <c r="B3462" s="20" t="s">
        <v>18</v>
      </c>
      <c r="C3462" s="4" t="s">
        <v>98</v>
      </c>
      <c r="D3462" s="6" t="str">
        <f>HYPERLINK("javascript:void(0)","epicentrum")</f>
        <v>epicentrum</v>
      </c>
    </row>
    <row r="3463" spans="1:4" ht="12.75" customHeight="1" x14ac:dyDescent="0.2">
      <c r="A3463" s="21"/>
      <c r="B3463" s="21"/>
      <c r="C3463" s="4" t="s">
        <v>44</v>
      </c>
      <c r="D3463" s="6" t="str">
        <f>HYPERLINK("javascript:void(0)","pékcsizma")</f>
        <v>pékcsizma</v>
      </c>
    </row>
    <row r="3464" spans="1:4" ht="12.75" customHeight="1" x14ac:dyDescent="0.2">
      <c r="A3464" s="21"/>
      <c r="B3464" s="21"/>
      <c r="C3464" s="4" t="s">
        <v>196</v>
      </c>
      <c r="D3464" s="6" t="str">
        <f>HYPERLINK("javascript:void(0)","úszó")</f>
        <v>úszó</v>
      </c>
    </row>
    <row r="3465" spans="1:4" ht="12.75" customHeight="1" x14ac:dyDescent="0.2">
      <c r="A3465" s="21"/>
      <c r="B3465" s="2"/>
      <c r="C3465" s="2"/>
      <c r="D3465" s="2"/>
    </row>
    <row r="3466" spans="1:4" ht="12.75" customHeight="1" x14ac:dyDescent="0.2">
      <c r="A3466" s="21"/>
      <c r="B3466" s="2"/>
      <c r="C3466" s="2"/>
      <c r="D3466" s="2"/>
    </row>
    <row r="3467" spans="1:4" ht="12.75" customHeight="1" x14ac:dyDescent="0.2">
      <c r="A3467" s="21"/>
      <c r="B3467" s="2"/>
      <c r="C3467" s="2"/>
      <c r="D3467" s="2"/>
    </row>
    <row r="3468" spans="1:4" ht="12.75" customHeight="1" x14ac:dyDescent="0.2">
      <c r="A3468" s="21"/>
      <c r="B3468" s="2"/>
      <c r="C3468" s="2"/>
      <c r="D3468" s="2"/>
    </row>
    <row r="3469" spans="1:4" ht="12.75" customHeight="1" x14ac:dyDescent="0.2">
      <c r="A3469" s="5"/>
      <c r="B3469" s="2"/>
      <c r="C3469" s="2"/>
      <c r="D3469" s="2"/>
    </row>
    <row r="3470" spans="1:4" ht="12.75" customHeight="1" x14ac:dyDescent="0.2">
      <c r="A3470" s="22" t="str">
        <f>HYPERLINK("javascript:void(0)","haragos bakancs")</f>
        <v>haragos bakancs</v>
      </c>
      <c r="B3470" s="21"/>
      <c r="C3470" s="21"/>
      <c r="D3470" s="21"/>
    </row>
    <row r="3471" spans="1:4" ht="12.75" customHeight="1" x14ac:dyDescent="0.2">
      <c r="A3471" s="20"/>
      <c r="B3471" s="2"/>
      <c r="C3471" s="2"/>
      <c r="D3471" s="2"/>
    </row>
    <row r="3472" spans="1:4" ht="12.75" customHeight="1" x14ac:dyDescent="0.2">
      <c r="A3472" s="21"/>
      <c r="B3472" s="3" t="s">
        <v>0</v>
      </c>
      <c r="C3472" s="20" t="s">
        <v>1230</v>
      </c>
      <c r="D3472" s="21"/>
    </row>
    <row r="3473" spans="1:4" ht="12.75" customHeight="1" x14ac:dyDescent="0.2">
      <c r="A3473" s="21"/>
      <c r="B3473" s="3" t="s">
        <v>2</v>
      </c>
      <c r="C3473" s="20"/>
      <c r="D3473" s="21"/>
    </row>
    <row r="3474" spans="1:4" ht="12.75" customHeight="1" x14ac:dyDescent="0.2">
      <c r="A3474" s="21"/>
      <c r="B3474" s="3" t="s">
        <v>1840</v>
      </c>
      <c r="C3474" s="20" t="s">
        <v>2256</v>
      </c>
      <c r="D3474" s="21"/>
    </row>
    <row r="3475" spans="1:4" ht="12.75" customHeight="1" x14ac:dyDescent="0.2">
      <c r="A3475" s="21"/>
      <c r="B3475" s="3" t="s">
        <v>9</v>
      </c>
      <c r="C3475" s="20" t="s">
        <v>2257</v>
      </c>
      <c r="D3475" s="21"/>
    </row>
    <row r="3476" spans="1:4" ht="12.75" customHeight="1" x14ac:dyDescent="0.2">
      <c r="A3476" s="21"/>
      <c r="B3476" s="3" t="s">
        <v>11</v>
      </c>
      <c r="C3476" s="20" t="s">
        <v>2258</v>
      </c>
      <c r="D3476" s="21"/>
    </row>
    <row r="3477" spans="1:4" ht="12.75" customHeight="1" x14ac:dyDescent="0.2">
      <c r="A3477" s="21"/>
      <c r="B3477" s="3" t="s">
        <v>16</v>
      </c>
      <c r="C3477" s="20"/>
      <c r="D3477" s="21"/>
    </row>
    <row r="3478" spans="1:4" ht="12.75" customHeight="1" x14ac:dyDescent="0.2">
      <c r="A3478" s="21"/>
      <c r="B3478" s="3" t="s">
        <v>17</v>
      </c>
      <c r="C3478" s="20" t="s">
        <v>19</v>
      </c>
      <c r="D3478" s="21"/>
    </row>
    <row r="3479" spans="1:4" ht="12.75" customHeight="1" x14ac:dyDescent="0.2">
      <c r="A3479" s="21"/>
      <c r="B3479" s="20" t="s">
        <v>18</v>
      </c>
      <c r="C3479" s="4" t="s">
        <v>77</v>
      </c>
      <c r="D3479" s="6" t="str">
        <f>HYPERLINK("javascript:void(0)","roncogás")</f>
        <v>roncogás</v>
      </c>
    </row>
    <row r="3480" spans="1:4" ht="12.75" customHeight="1" x14ac:dyDescent="0.2">
      <c r="A3480" s="21"/>
      <c r="B3480" s="21"/>
      <c r="C3480" s="4" t="s">
        <v>44</v>
      </c>
      <c r="D3480" s="6" t="str">
        <f>HYPERLINK("javascript:void(0)","földrengető")</f>
        <v>földrengető</v>
      </c>
    </row>
    <row r="3481" spans="1:4" ht="12.75" customHeight="1" x14ac:dyDescent="0.2">
      <c r="A3481" s="21"/>
      <c r="B3481" s="21"/>
      <c r="C3481" s="4" t="s">
        <v>117</v>
      </c>
      <c r="D3481" s="6" t="str">
        <f>HYPERLINK("javascript:void(0)","epicentrum")</f>
        <v>epicentrum</v>
      </c>
    </row>
    <row r="3482" spans="1:4" ht="12.75" customHeight="1" x14ac:dyDescent="0.2">
      <c r="A3482" s="21"/>
      <c r="B3482" s="2"/>
      <c r="C3482" s="2"/>
      <c r="D3482" s="2"/>
    </row>
    <row r="3483" spans="1:4" ht="12.75" customHeight="1" x14ac:dyDescent="0.2">
      <c r="A3483" s="21"/>
      <c r="B3483" s="2"/>
      <c r="C3483" s="2"/>
      <c r="D3483" s="2"/>
    </row>
    <row r="3484" spans="1:4" ht="12.75" customHeight="1" x14ac:dyDescent="0.2">
      <c r="A3484" s="21"/>
      <c r="B3484" s="2"/>
      <c r="C3484" s="2"/>
      <c r="D3484" s="2"/>
    </row>
    <row r="3485" spans="1:4" ht="12.75" customHeight="1" x14ac:dyDescent="0.2">
      <c r="A3485" s="21"/>
      <c r="B3485" s="2"/>
      <c r="C3485" s="2"/>
      <c r="D3485" s="2"/>
    </row>
    <row r="3486" spans="1:4" ht="12.75" customHeight="1" x14ac:dyDescent="0.2">
      <c r="A3486" s="5"/>
      <c r="B3486" s="2"/>
      <c r="C3486" s="2"/>
      <c r="D3486" s="2"/>
    </row>
    <row r="3487" spans="1:4" ht="12.75" customHeight="1" x14ac:dyDescent="0.2">
      <c r="A3487" s="22" t="str">
        <f>HYPERLINK("javascript:void(0)","csomós antigrav csizma")</f>
        <v>csomós antigrav csizma</v>
      </c>
      <c r="B3487" s="21"/>
      <c r="C3487" s="21"/>
      <c r="D3487" s="21"/>
    </row>
    <row r="3488" spans="1:4" ht="12.75" customHeight="1" x14ac:dyDescent="0.2">
      <c r="A3488" s="20"/>
      <c r="B3488" s="2"/>
      <c r="C3488" s="2"/>
      <c r="D3488" s="2"/>
    </row>
    <row r="3489" spans="1:4" ht="12.75" customHeight="1" x14ac:dyDescent="0.2">
      <c r="A3489" s="21"/>
      <c r="B3489" s="3" t="s">
        <v>0</v>
      </c>
      <c r="C3489" s="20" t="s">
        <v>1230</v>
      </c>
      <c r="D3489" s="21"/>
    </row>
    <row r="3490" spans="1:4" ht="12.75" customHeight="1" x14ac:dyDescent="0.2">
      <c r="A3490" s="21"/>
      <c r="B3490" s="3" t="s">
        <v>2</v>
      </c>
      <c r="C3490" s="20"/>
      <c r="D3490" s="21"/>
    </row>
    <row r="3491" spans="1:4" ht="12.75" customHeight="1" x14ac:dyDescent="0.2">
      <c r="A3491" s="21"/>
      <c r="B3491" s="3" t="s">
        <v>1840</v>
      </c>
      <c r="C3491" s="20" t="s">
        <v>2243</v>
      </c>
      <c r="D3491" s="21"/>
    </row>
    <row r="3492" spans="1:4" ht="12.75" customHeight="1" x14ac:dyDescent="0.2">
      <c r="A3492" s="21"/>
      <c r="B3492" s="3" t="s">
        <v>9</v>
      </c>
      <c r="C3492" s="20" t="s">
        <v>626</v>
      </c>
      <c r="D3492" s="21"/>
    </row>
    <row r="3493" spans="1:4" ht="12.75" customHeight="1" x14ac:dyDescent="0.2">
      <c r="A3493" s="21"/>
      <c r="B3493" s="3" t="s">
        <v>11</v>
      </c>
      <c r="C3493" s="20" t="s">
        <v>23</v>
      </c>
      <c r="D3493" s="21"/>
    </row>
    <row r="3494" spans="1:4" ht="12.75" customHeight="1" x14ac:dyDescent="0.2">
      <c r="A3494" s="21"/>
      <c r="B3494" s="3" t="s">
        <v>16</v>
      </c>
      <c r="C3494" s="20"/>
      <c r="D3494" s="21"/>
    </row>
    <row r="3495" spans="1:4" ht="12.75" customHeight="1" x14ac:dyDescent="0.2">
      <c r="A3495" s="21"/>
      <c r="B3495" s="3" t="s">
        <v>17</v>
      </c>
      <c r="C3495" s="20" t="s">
        <v>19</v>
      </c>
      <c r="D3495" s="21"/>
    </row>
    <row r="3496" spans="1:4" ht="25.5" customHeight="1" x14ac:dyDescent="0.2">
      <c r="A3496" s="21"/>
      <c r="B3496" s="20" t="s">
        <v>18</v>
      </c>
      <c r="C3496" s="4" t="s">
        <v>44</v>
      </c>
      <c r="D3496" s="6" t="str">
        <f>HYPERLINK("javascript:void(0)","démonjárta antigrav csizma")</f>
        <v>démonjárta antigrav csizma</v>
      </c>
    </row>
    <row r="3497" spans="1:4" ht="12.75" customHeight="1" x14ac:dyDescent="0.2">
      <c r="A3497" s="21"/>
      <c r="B3497" s="21"/>
      <c r="C3497" s="4" t="s">
        <v>193</v>
      </c>
      <c r="D3497" s="6" t="str">
        <f>HYPERLINK("javascript:void(0)","tollcsomó")</f>
        <v>tollcsomó</v>
      </c>
    </row>
    <row r="3498" spans="1:4" ht="12.75" customHeight="1" x14ac:dyDescent="0.2">
      <c r="A3498" s="21"/>
      <c r="B3498" s="21"/>
      <c r="C3498" s="4" t="s">
        <v>98</v>
      </c>
      <c r="D3498" s="6" t="str">
        <f>HYPERLINK("javascript:void(0)","bőrszárny")</f>
        <v>bőrszárny</v>
      </c>
    </row>
    <row r="3499" spans="1:4" ht="12.75" customHeight="1" x14ac:dyDescent="0.2">
      <c r="A3499" s="21"/>
      <c r="B3499" s="2"/>
      <c r="C3499" s="2"/>
      <c r="D3499" s="2"/>
    </row>
    <row r="3500" spans="1:4" ht="12.75" customHeight="1" x14ac:dyDescent="0.2">
      <c r="A3500" s="21"/>
      <c r="B3500" s="2"/>
      <c r="C3500" s="2"/>
      <c r="D3500" s="2"/>
    </row>
    <row r="3501" spans="1:4" ht="12.75" customHeight="1" x14ac:dyDescent="0.2">
      <c r="A3501" s="21"/>
      <c r="B3501" s="2"/>
      <c r="C3501" s="2"/>
      <c r="D3501" s="2"/>
    </row>
    <row r="3502" spans="1:4" ht="12.75" customHeight="1" x14ac:dyDescent="0.2">
      <c r="A3502" s="21"/>
      <c r="B3502" s="2"/>
      <c r="C3502" s="2"/>
      <c r="D3502" s="2"/>
    </row>
    <row r="3503" spans="1:4" ht="12.75" customHeight="1" x14ac:dyDescent="0.2">
      <c r="A3503" s="5"/>
      <c r="B3503" s="2"/>
      <c r="C3503" s="2"/>
      <c r="D3503" s="2"/>
    </row>
    <row r="3504" spans="1:4" ht="12.75" customHeight="1" x14ac:dyDescent="0.2">
      <c r="A3504" s="22" t="str">
        <f>HYPERLINK("javascript:void(0)","prémes tolltaposó")</f>
        <v>prémes tolltaposó</v>
      </c>
      <c r="B3504" s="21"/>
      <c r="C3504" s="21"/>
      <c r="D3504" s="21"/>
    </row>
    <row r="3505" spans="1:4" ht="12.75" customHeight="1" x14ac:dyDescent="0.2">
      <c r="A3505" s="20"/>
      <c r="B3505" s="2"/>
      <c r="C3505" s="2"/>
      <c r="D3505" s="2"/>
    </row>
    <row r="3506" spans="1:4" ht="12.75" customHeight="1" x14ac:dyDescent="0.2">
      <c r="A3506" s="21"/>
      <c r="B3506" s="3" t="s">
        <v>0</v>
      </c>
      <c r="C3506" s="20" t="s">
        <v>330</v>
      </c>
      <c r="D3506" s="21"/>
    </row>
    <row r="3507" spans="1:4" ht="12.75" customHeight="1" x14ac:dyDescent="0.2">
      <c r="A3507" s="21"/>
      <c r="B3507" s="3" t="s">
        <v>2</v>
      </c>
      <c r="C3507" s="20"/>
      <c r="D3507" s="21"/>
    </row>
    <row r="3508" spans="1:4" ht="12.75" customHeight="1" x14ac:dyDescent="0.2">
      <c r="A3508" s="21"/>
      <c r="B3508" s="3" t="s">
        <v>1840</v>
      </c>
      <c r="C3508" s="20" t="s">
        <v>572</v>
      </c>
      <c r="D3508" s="21"/>
    </row>
    <row r="3509" spans="1:4" ht="12.75" customHeight="1" x14ac:dyDescent="0.2">
      <c r="A3509" s="21"/>
      <c r="B3509" s="3" t="s">
        <v>9</v>
      </c>
      <c r="C3509" s="20" t="s">
        <v>169</v>
      </c>
      <c r="D3509" s="21"/>
    </row>
    <row r="3510" spans="1:4" ht="12.75" customHeight="1" x14ac:dyDescent="0.2">
      <c r="A3510" s="21"/>
      <c r="B3510" s="3" t="s">
        <v>11</v>
      </c>
      <c r="C3510" s="20" t="s">
        <v>1075</v>
      </c>
      <c r="D3510" s="21"/>
    </row>
    <row r="3511" spans="1:4" ht="12.75" customHeight="1" x14ac:dyDescent="0.2">
      <c r="A3511" s="21"/>
      <c r="B3511" s="3" t="s">
        <v>16</v>
      </c>
      <c r="C3511" s="20"/>
      <c r="D3511" s="21"/>
    </row>
    <row r="3512" spans="1:4" ht="12.75" customHeight="1" x14ac:dyDescent="0.2">
      <c r="A3512" s="21"/>
      <c r="B3512" s="3" t="s">
        <v>17</v>
      </c>
      <c r="C3512" s="20" t="s">
        <v>19</v>
      </c>
      <c r="D3512" s="21"/>
    </row>
    <row r="3513" spans="1:4" ht="12.75" customHeight="1" x14ac:dyDescent="0.2">
      <c r="A3513" s="21"/>
      <c r="B3513" s="20" t="s">
        <v>18</v>
      </c>
      <c r="C3513" s="4" t="s">
        <v>68</v>
      </c>
      <c r="D3513" s="6" t="str">
        <f>HYPERLINK("javascript:void(0)","orrmányprém")</f>
        <v>orrmányprém</v>
      </c>
    </row>
    <row r="3514" spans="1:4" ht="12.75" customHeight="1" x14ac:dyDescent="0.2">
      <c r="A3514" s="21"/>
      <c r="B3514" s="21"/>
      <c r="C3514" s="4" t="s">
        <v>44</v>
      </c>
      <c r="D3514" s="6" t="str">
        <f>HYPERLINK("javascript:void(0)","haragos bakancs")</f>
        <v>haragos bakancs</v>
      </c>
    </row>
    <row r="3515" spans="1:4" ht="12.75" customHeight="1" x14ac:dyDescent="0.2">
      <c r="A3515" s="21"/>
      <c r="B3515" s="21"/>
      <c r="C3515" s="4" t="s">
        <v>55</v>
      </c>
      <c r="D3515" s="6" t="str">
        <f>HYPERLINK("javascript:void(0)","szinapszis")</f>
        <v>szinapszis</v>
      </c>
    </row>
    <row r="3516" spans="1:4" ht="12.75" customHeight="1" x14ac:dyDescent="0.2">
      <c r="A3516" s="21"/>
      <c r="B3516" s="2"/>
      <c r="C3516" s="2"/>
      <c r="D3516" s="2"/>
    </row>
    <row r="3517" spans="1:4" ht="12.75" customHeight="1" x14ac:dyDescent="0.2">
      <c r="A3517" s="21"/>
      <c r="B3517" s="2"/>
      <c r="C3517" s="2"/>
      <c r="D3517" s="2"/>
    </row>
    <row r="3518" spans="1:4" ht="12.75" customHeight="1" x14ac:dyDescent="0.2">
      <c r="A3518" s="21"/>
      <c r="B3518" s="2"/>
      <c r="C3518" s="2"/>
      <c r="D3518" s="2"/>
    </row>
    <row r="3519" spans="1:4" ht="12.75" customHeight="1" x14ac:dyDescent="0.2">
      <c r="A3519" s="21"/>
      <c r="B3519" s="2"/>
      <c r="C3519" s="2"/>
      <c r="D3519" s="2"/>
    </row>
    <row r="3520" spans="1:4" ht="12.75" customHeight="1" x14ac:dyDescent="0.2">
      <c r="A3520" s="5"/>
      <c r="B3520" s="2"/>
      <c r="C3520" s="2"/>
      <c r="D3520" s="2"/>
    </row>
    <row r="3521" spans="1:4" ht="12.75" customHeight="1" x14ac:dyDescent="0.2">
      <c r="A3521" s="22" t="str">
        <f>HYPERLINK("javascript:void(0)","gutasaru")</f>
        <v>gutasaru</v>
      </c>
      <c r="B3521" s="21"/>
      <c r="C3521" s="21"/>
      <c r="D3521" s="21"/>
    </row>
    <row r="3522" spans="1:4" ht="12.75" customHeight="1" x14ac:dyDescent="0.2">
      <c r="A3522" s="20"/>
      <c r="B3522" s="2"/>
      <c r="C3522" s="2"/>
      <c r="D3522" s="2"/>
    </row>
    <row r="3523" spans="1:4" ht="12.75" customHeight="1" x14ac:dyDescent="0.2">
      <c r="A3523" s="21"/>
      <c r="B3523" s="3" t="s">
        <v>0</v>
      </c>
      <c r="C3523" s="20" t="s">
        <v>345</v>
      </c>
      <c r="D3523" s="21"/>
    </row>
    <row r="3524" spans="1:4" ht="12.75" customHeight="1" x14ac:dyDescent="0.2">
      <c r="A3524" s="21"/>
      <c r="B3524" s="3" t="s">
        <v>2</v>
      </c>
      <c r="C3524" s="20"/>
      <c r="D3524" s="21"/>
    </row>
    <row r="3525" spans="1:4" ht="12.75" customHeight="1" x14ac:dyDescent="0.2">
      <c r="A3525" s="21"/>
      <c r="B3525" s="3" t="s">
        <v>1840</v>
      </c>
      <c r="C3525" s="20" t="s">
        <v>2260</v>
      </c>
      <c r="D3525" s="21"/>
    </row>
    <row r="3526" spans="1:4" ht="12.75" customHeight="1" x14ac:dyDescent="0.2">
      <c r="A3526" s="21"/>
      <c r="B3526" s="3" t="s">
        <v>9</v>
      </c>
      <c r="C3526" s="20" t="s">
        <v>343</v>
      </c>
      <c r="D3526" s="21"/>
    </row>
    <row r="3527" spans="1:4" ht="12.75" customHeight="1" x14ac:dyDescent="0.2">
      <c r="A3527" s="21"/>
      <c r="B3527" s="3" t="s">
        <v>11</v>
      </c>
      <c r="C3527" s="20" t="s">
        <v>2261</v>
      </c>
      <c r="D3527" s="21"/>
    </row>
    <row r="3528" spans="1:4" ht="12.75" customHeight="1" x14ac:dyDescent="0.2">
      <c r="A3528" s="21"/>
      <c r="B3528" s="3" t="s">
        <v>16</v>
      </c>
      <c r="C3528" s="20"/>
      <c r="D3528" s="21"/>
    </row>
    <row r="3529" spans="1:4" ht="12.75" customHeight="1" x14ac:dyDescent="0.2">
      <c r="A3529" s="21"/>
      <c r="B3529" s="3" t="s">
        <v>17</v>
      </c>
      <c r="C3529" s="20" t="s">
        <v>19</v>
      </c>
      <c r="D3529" s="21"/>
    </row>
    <row r="3530" spans="1:4" ht="12.75" customHeight="1" x14ac:dyDescent="0.2">
      <c r="A3530" s="21"/>
      <c r="B3530" s="20" t="s">
        <v>18</v>
      </c>
      <c r="C3530" s="4" t="s">
        <v>44</v>
      </c>
      <c r="D3530" s="6" t="str">
        <f>HYPERLINK("javascript:void(0)","prémes tolltaposó")</f>
        <v>prémes tolltaposó</v>
      </c>
    </row>
    <row r="3531" spans="1:4" ht="12.75" customHeight="1" x14ac:dyDescent="0.2">
      <c r="A3531" s="21"/>
      <c r="B3531" s="21"/>
      <c r="C3531" s="4" t="s">
        <v>98</v>
      </c>
      <c r="D3531" s="6" t="str">
        <f>HYPERLINK("javascript:void(0)","utóguta")</f>
        <v>utóguta</v>
      </c>
    </row>
    <row r="3532" spans="1:4" ht="12.75" customHeight="1" x14ac:dyDescent="0.2">
      <c r="A3532" s="21"/>
      <c r="B3532" s="21"/>
      <c r="C3532" s="4" t="s">
        <v>196</v>
      </c>
      <c r="D3532" s="6" t="str">
        <f>HYPERLINK("javascript:void(0)","szimbiótahártya")</f>
        <v>szimbiótahártya</v>
      </c>
    </row>
    <row r="3533" spans="1:4" ht="12.75" customHeight="1" x14ac:dyDescent="0.2">
      <c r="A3533" s="21"/>
      <c r="B3533" s="2"/>
      <c r="C3533" s="2"/>
      <c r="D3533" s="2"/>
    </row>
    <row r="3534" spans="1:4" ht="12.75" customHeight="1" x14ac:dyDescent="0.2">
      <c r="A3534" s="21"/>
      <c r="B3534" s="2"/>
      <c r="C3534" s="2"/>
      <c r="D3534" s="2"/>
    </row>
    <row r="3535" spans="1:4" ht="12.75" customHeight="1" x14ac:dyDescent="0.2">
      <c r="A3535" s="21"/>
      <c r="B3535" s="2"/>
      <c r="C3535" s="2"/>
      <c r="D3535" s="2"/>
    </row>
    <row r="3536" spans="1:4" ht="12.75" customHeight="1" x14ac:dyDescent="0.2">
      <c r="A3536" s="21"/>
      <c r="B3536" s="2"/>
      <c r="C3536" s="2"/>
      <c r="D3536" s="2"/>
    </row>
    <row r="3537" spans="1:4" ht="12.75" customHeight="1" x14ac:dyDescent="0.2">
      <c r="A3537" s="5"/>
      <c r="B3537" s="2"/>
      <c r="C3537" s="2"/>
      <c r="D3537" s="2"/>
    </row>
    <row r="3538" spans="1:4" ht="12.75" customHeight="1" x14ac:dyDescent="0.2">
      <c r="A3538" s="22" t="str">
        <f>HYPERLINK("javascript:void(0)","rémcsizma")</f>
        <v>rémcsizma</v>
      </c>
      <c r="B3538" s="21"/>
      <c r="C3538" s="21"/>
      <c r="D3538" s="21"/>
    </row>
    <row r="3539" spans="1:4" ht="12.75" customHeight="1" x14ac:dyDescent="0.2">
      <c r="A3539" s="20"/>
      <c r="B3539" s="2"/>
      <c r="C3539" s="2"/>
      <c r="D3539" s="2"/>
    </row>
    <row r="3540" spans="1:4" ht="12.75" customHeight="1" x14ac:dyDescent="0.2">
      <c r="A3540" s="21"/>
      <c r="B3540" s="3" t="s">
        <v>0</v>
      </c>
      <c r="C3540" s="20" t="s">
        <v>1252</v>
      </c>
      <c r="D3540" s="21"/>
    </row>
    <row r="3541" spans="1:4" ht="12.75" customHeight="1" x14ac:dyDescent="0.2">
      <c r="A3541" s="21"/>
      <c r="B3541" s="3" t="s">
        <v>2</v>
      </c>
      <c r="C3541" s="20"/>
      <c r="D3541" s="21"/>
    </row>
    <row r="3542" spans="1:4" ht="12.75" customHeight="1" x14ac:dyDescent="0.2">
      <c r="A3542" s="21"/>
      <c r="B3542" s="3" t="s">
        <v>1840</v>
      </c>
      <c r="C3542" s="20" t="s">
        <v>2263</v>
      </c>
      <c r="D3542" s="21"/>
    </row>
    <row r="3543" spans="1:4" ht="12.75" customHeight="1" x14ac:dyDescent="0.2">
      <c r="A3543" s="21"/>
      <c r="B3543" s="3" t="s">
        <v>9</v>
      </c>
      <c r="C3543" s="20" t="s">
        <v>135</v>
      </c>
      <c r="D3543" s="21"/>
    </row>
    <row r="3544" spans="1:4" ht="12.75" customHeight="1" x14ac:dyDescent="0.2">
      <c r="A3544" s="21"/>
      <c r="B3544" s="3" t="s">
        <v>11</v>
      </c>
      <c r="C3544" s="20" t="s">
        <v>2265</v>
      </c>
      <c r="D3544" s="21"/>
    </row>
    <row r="3545" spans="1:4" ht="12.75" customHeight="1" x14ac:dyDescent="0.2">
      <c r="A3545" s="21"/>
      <c r="B3545" s="3" t="s">
        <v>16</v>
      </c>
      <c r="C3545" s="20"/>
      <c r="D3545" s="21"/>
    </row>
    <row r="3546" spans="1:4" ht="12.75" customHeight="1" x14ac:dyDescent="0.2">
      <c r="A3546" s="21"/>
      <c r="B3546" s="3" t="s">
        <v>17</v>
      </c>
      <c r="C3546" s="20" t="s">
        <v>19</v>
      </c>
      <c r="D3546" s="21"/>
    </row>
    <row r="3547" spans="1:4" ht="12.75" customHeight="1" x14ac:dyDescent="0.2">
      <c r="A3547" s="21"/>
      <c r="B3547" s="20" t="s">
        <v>18</v>
      </c>
      <c r="C3547" s="4" t="s">
        <v>331</v>
      </c>
      <c r="D3547" s="6" t="str">
        <f>HYPERLINK("javascript:void(0)","rémkép")</f>
        <v>rémkép</v>
      </c>
    </row>
    <row r="3548" spans="1:4" ht="12.75" customHeight="1" x14ac:dyDescent="0.2">
      <c r="A3548" s="21"/>
      <c r="B3548" s="21"/>
      <c r="C3548" s="4" t="s">
        <v>57</v>
      </c>
      <c r="D3548" s="6" t="str">
        <f>HYPERLINK("javascript:void(0)","okuláré")</f>
        <v>okuláré</v>
      </c>
    </row>
    <row r="3549" spans="1:4" ht="12.75" customHeight="1" x14ac:dyDescent="0.2">
      <c r="A3549" s="21"/>
      <c r="B3549" s="21"/>
      <c r="C3549" s="4" t="s">
        <v>296</v>
      </c>
      <c r="D3549" s="6" t="str">
        <f>HYPERLINK("javascript:void(0)","tollcsomó")</f>
        <v>tollcsomó</v>
      </c>
    </row>
    <row r="3550" spans="1:4" ht="12.75" customHeight="1" x14ac:dyDescent="0.2">
      <c r="A3550" s="21"/>
      <c r="B3550" s="2"/>
      <c r="C3550" s="2"/>
      <c r="D3550" s="2"/>
    </row>
    <row r="3551" spans="1:4" ht="12.75" customHeight="1" x14ac:dyDescent="0.2">
      <c r="A3551" s="21"/>
      <c r="B3551" s="2"/>
      <c r="C3551" s="2"/>
      <c r="D3551" s="2"/>
    </row>
    <row r="3552" spans="1:4" ht="12.75" customHeight="1" x14ac:dyDescent="0.2">
      <c r="A3552" s="21"/>
      <c r="B3552" s="2"/>
      <c r="C3552" s="2"/>
      <c r="D3552" s="2"/>
    </row>
    <row r="3553" spans="1:4" ht="12.75" customHeight="1" x14ac:dyDescent="0.2">
      <c r="A3553" s="21"/>
      <c r="B3553" s="2"/>
      <c r="C3553" s="2"/>
      <c r="D3553" s="2"/>
    </row>
    <row r="3554" spans="1:4" ht="12.75" customHeight="1" x14ac:dyDescent="0.2">
      <c r="A3554" s="5"/>
      <c r="B3554" s="2"/>
      <c r="C3554" s="2"/>
      <c r="D3554" s="2"/>
    </row>
    <row r="3555" spans="1:4" ht="12.75" customHeight="1" x14ac:dyDescent="0.2">
      <c r="A3555" s="22" t="str">
        <f>HYPERLINK("javascript:void(0)","okkult antigrav csizma")</f>
        <v>okkult antigrav csizma</v>
      </c>
      <c r="B3555" s="21"/>
      <c r="C3555" s="21"/>
      <c r="D3555" s="21"/>
    </row>
    <row r="3556" spans="1:4" ht="12.75" customHeight="1" x14ac:dyDescent="0.2">
      <c r="A3556" s="20"/>
      <c r="B3556" s="2"/>
      <c r="C3556" s="2"/>
      <c r="D3556" s="2"/>
    </row>
    <row r="3557" spans="1:4" ht="12.75" customHeight="1" x14ac:dyDescent="0.2">
      <c r="A3557" s="21"/>
      <c r="B3557" s="3" t="s">
        <v>0</v>
      </c>
      <c r="C3557" s="20" t="s">
        <v>1252</v>
      </c>
      <c r="D3557" s="21"/>
    </row>
    <row r="3558" spans="1:4" ht="12.75" customHeight="1" x14ac:dyDescent="0.2">
      <c r="A3558" s="21"/>
      <c r="B3558" s="3" t="s">
        <v>2</v>
      </c>
      <c r="C3558" s="20"/>
      <c r="D3558" s="21"/>
    </row>
    <row r="3559" spans="1:4" ht="12.75" customHeight="1" x14ac:dyDescent="0.2">
      <c r="A3559" s="21"/>
      <c r="B3559" s="3" t="s">
        <v>1840</v>
      </c>
      <c r="C3559" s="20" t="s">
        <v>2266</v>
      </c>
      <c r="D3559" s="21"/>
    </row>
    <row r="3560" spans="1:4" ht="12.75" customHeight="1" x14ac:dyDescent="0.2">
      <c r="A3560" s="21"/>
      <c r="B3560" s="3" t="s">
        <v>9</v>
      </c>
      <c r="C3560" s="20" t="s">
        <v>626</v>
      </c>
      <c r="D3560" s="21"/>
    </row>
    <row r="3561" spans="1:4" ht="12.75" customHeight="1" x14ac:dyDescent="0.2">
      <c r="A3561" s="21"/>
      <c r="B3561" s="3" t="s">
        <v>11</v>
      </c>
      <c r="C3561" s="20" t="s">
        <v>23</v>
      </c>
      <c r="D3561" s="21"/>
    </row>
    <row r="3562" spans="1:4" ht="12.75" customHeight="1" x14ac:dyDescent="0.2">
      <c r="A3562" s="21"/>
      <c r="B3562" s="3" t="s">
        <v>16</v>
      </c>
      <c r="C3562" s="20"/>
      <c r="D3562" s="21"/>
    </row>
    <row r="3563" spans="1:4" ht="12.75" customHeight="1" x14ac:dyDescent="0.2">
      <c r="A3563" s="21"/>
      <c r="B3563" s="3" t="s">
        <v>17</v>
      </c>
      <c r="C3563" s="20" t="s">
        <v>19</v>
      </c>
      <c r="D3563" s="21"/>
    </row>
    <row r="3564" spans="1:4" ht="25.5" customHeight="1" x14ac:dyDescent="0.2">
      <c r="A3564" s="21"/>
      <c r="B3564" s="20" t="s">
        <v>18</v>
      </c>
      <c r="C3564" s="4" t="s">
        <v>44</v>
      </c>
      <c r="D3564" s="6" t="str">
        <f>HYPERLINK("javascript:void(0)","csomós antigrav csizma")</f>
        <v>csomós antigrav csizma</v>
      </c>
    </row>
    <row r="3565" spans="1:4" ht="12.75" customHeight="1" x14ac:dyDescent="0.2">
      <c r="A3565" s="21"/>
      <c r="B3565" s="21"/>
      <c r="C3565" s="4" t="s">
        <v>130</v>
      </c>
      <c r="D3565" s="6" t="str">
        <f>HYPERLINK("javascript:void(0)","tollcsomó")</f>
        <v>tollcsomó</v>
      </c>
    </row>
    <row r="3566" spans="1:4" ht="12.75" customHeight="1" x14ac:dyDescent="0.2">
      <c r="A3566" s="21"/>
      <c r="B3566" s="21"/>
      <c r="C3566" s="4" t="s">
        <v>98</v>
      </c>
      <c r="D3566" s="6" t="str">
        <f>HYPERLINK("javascript:void(0)","okuláré")</f>
        <v>okuláré</v>
      </c>
    </row>
    <row r="3567" spans="1:4" ht="12.75" customHeight="1" x14ac:dyDescent="0.2">
      <c r="A3567" s="21"/>
      <c r="B3567" s="2"/>
      <c r="C3567" s="2"/>
      <c r="D3567" s="2"/>
    </row>
    <row r="3568" spans="1:4" ht="12.75" customHeight="1" x14ac:dyDescent="0.2">
      <c r="A3568" s="21"/>
      <c r="B3568" s="2"/>
      <c r="C3568" s="2"/>
      <c r="D3568" s="2"/>
    </row>
    <row r="3569" spans="1:4" ht="12.75" customHeight="1" x14ac:dyDescent="0.2">
      <c r="A3569" s="21"/>
      <c r="B3569" s="2"/>
      <c r="C3569" s="2"/>
      <c r="D3569" s="2"/>
    </row>
    <row r="3570" spans="1:4" ht="12.75" customHeight="1" x14ac:dyDescent="0.2">
      <c r="A3570" s="21"/>
      <c r="B3570" s="2"/>
      <c r="C3570" s="2"/>
      <c r="D3570" s="2"/>
    </row>
    <row r="3571" spans="1:4" ht="12.75" customHeight="1" x14ac:dyDescent="0.2">
      <c r="A3571" s="5"/>
      <c r="B3571" s="2"/>
      <c r="C3571" s="2"/>
      <c r="D3571" s="2"/>
    </row>
    <row r="3572" spans="1:4" ht="12.75" customHeight="1" x14ac:dyDescent="0.2">
      <c r="A3572" s="22" t="str">
        <f>HYPERLINK("javascript:void(0)","rozsdacipő")</f>
        <v>rozsdacipő</v>
      </c>
      <c r="B3572" s="21"/>
      <c r="C3572" s="21"/>
      <c r="D3572" s="21"/>
    </row>
    <row r="3573" spans="1:4" ht="12.75" customHeight="1" x14ac:dyDescent="0.2">
      <c r="A3573" s="20"/>
      <c r="B3573" s="2"/>
      <c r="C3573" s="2"/>
      <c r="D3573" s="2"/>
    </row>
    <row r="3574" spans="1:4" ht="12.75" customHeight="1" x14ac:dyDescent="0.2">
      <c r="A3574" s="21"/>
      <c r="B3574" s="3" t="s">
        <v>0</v>
      </c>
      <c r="C3574" s="20" t="s">
        <v>1263</v>
      </c>
      <c r="D3574" s="21"/>
    </row>
    <row r="3575" spans="1:4" ht="12.75" customHeight="1" x14ac:dyDescent="0.2">
      <c r="A3575" s="21"/>
      <c r="B3575" s="3" t="s">
        <v>2</v>
      </c>
      <c r="C3575" s="20"/>
      <c r="D3575" s="21"/>
    </row>
    <row r="3576" spans="1:4" ht="12.75" customHeight="1" x14ac:dyDescent="0.2">
      <c r="A3576" s="21"/>
      <c r="B3576" s="3" t="s">
        <v>1840</v>
      </c>
      <c r="C3576" s="20" t="s">
        <v>292</v>
      </c>
      <c r="D3576" s="21"/>
    </row>
    <row r="3577" spans="1:4" ht="12.75" customHeight="1" x14ac:dyDescent="0.2">
      <c r="A3577" s="21"/>
      <c r="B3577" s="3" t="s">
        <v>9</v>
      </c>
      <c r="C3577" s="20" t="s">
        <v>1255</v>
      </c>
      <c r="D3577" s="21"/>
    </row>
    <row r="3578" spans="1:4" ht="12.75" customHeight="1" x14ac:dyDescent="0.2">
      <c r="A3578" s="21"/>
      <c r="B3578" s="3" t="s">
        <v>11</v>
      </c>
      <c r="C3578" s="20" t="s">
        <v>2267</v>
      </c>
      <c r="D3578" s="21"/>
    </row>
    <row r="3579" spans="1:4" ht="12.75" customHeight="1" x14ac:dyDescent="0.2">
      <c r="A3579" s="21"/>
      <c r="B3579" s="3" t="s">
        <v>16</v>
      </c>
      <c r="C3579" s="20"/>
      <c r="D3579" s="21"/>
    </row>
    <row r="3580" spans="1:4" ht="12.75" customHeight="1" x14ac:dyDescent="0.2">
      <c r="A3580" s="21"/>
      <c r="B3580" s="3" t="s">
        <v>17</v>
      </c>
      <c r="C3580" s="20" t="s">
        <v>19</v>
      </c>
      <c r="D3580" s="21"/>
    </row>
    <row r="3581" spans="1:4" ht="12.75" customHeight="1" x14ac:dyDescent="0.2">
      <c r="A3581" s="21"/>
      <c r="B3581" s="20" t="s">
        <v>18</v>
      </c>
      <c r="C3581" s="4" t="s">
        <v>44</v>
      </c>
      <c r="D3581" s="6" t="str">
        <f>HYPERLINK("javascript:void(0)","gutasaru")</f>
        <v>gutasaru</v>
      </c>
    </row>
    <row r="3582" spans="1:4" ht="12.75" customHeight="1" x14ac:dyDescent="0.2">
      <c r="A3582" s="21"/>
      <c r="B3582" s="21"/>
      <c r="C3582" s="4" t="s">
        <v>44</v>
      </c>
      <c r="D3582" s="6" t="str">
        <f>HYPERLINK("javascript:void(0)","rémcsizma")</f>
        <v>rémcsizma</v>
      </c>
    </row>
    <row r="3583" spans="1:4" ht="12.75" customHeight="1" x14ac:dyDescent="0.2">
      <c r="A3583" s="21"/>
      <c r="B3583" s="21"/>
      <c r="C3583" s="4" t="s">
        <v>77</v>
      </c>
      <c r="D3583" s="6" t="str">
        <f>HYPERLINK("javascript:void(0)","ércrozsda")</f>
        <v>ércrozsda</v>
      </c>
    </row>
    <row r="3584" spans="1:4" ht="12.75" customHeight="1" x14ac:dyDescent="0.2">
      <c r="A3584" s="21"/>
      <c r="B3584" s="2"/>
      <c r="C3584" s="2"/>
      <c r="D3584" s="2"/>
    </row>
    <row r="3585" spans="1:4" ht="12.75" customHeight="1" x14ac:dyDescent="0.2">
      <c r="A3585" s="21"/>
      <c r="B3585" s="2"/>
      <c r="C3585" s="2"/>
      <c r="D3585" s="2"/>
    </row>
    <row r="3586" spans="1:4" ht="12.75" customHeight="1" x14ac:dyDescent="0.2">
      <c r="A3586" s="21"/>
      <c r="B3586" s="2"/>
      <c r="C3586" s="2"/>
      <c r="D3586" s="2"/>
    </row>
    <row r="3587" spans="1:4" ht="12.75" customHeight="1" x14ac:dyDescent="0.2">
      <c r="A3587" s="21"/>
      <c r="B3587" s="2"/>
      <c r="C3587" s="2"/>
      <c r="D3587" s="2"/>
    </row>
    <row r="3588" spans="1:4" ht="12.75" customHeight="1" x14ac:dyDescent="0.2">
      <c r="A3588" s="5"/>
      <c r="B3588" s="2"/>
      <c r="C3588" s="2"/>
      <c r="D3588" s="2"/>
    </row>
    <row r="3589" spans="1:4" ht="12.75" customHeight="1" x14ac:dyDescent="0.2">
      <c r="A3589" s="22" t="str">
        <f>HYPERLINK("javascript:void(0)","félcipő")</f>
        <v>félcipő</v>
      </c>
      <c r="B3589" s="21"/>
      <c r="C3589" s="21"/>
      <c r="D3589" s="21"/>
    </row>
    <row r="3590" spans="1:4" ht="12.75" customHeight="1" x14ac:dyDescent="0.2">
      <c r="A3590" s="20"/>
      <c r="B3590" s="2"/>
      <c r="C3590" s="2"/>
      <c r="D3590" s="2"/>
    </row>
    <row r="3591" spans="1:4" ht="12.75" customHeight="1" x14ac:dyDescent="0.2">
      <c r="A3591" s="21"/>
      <c r="B3591" s="3" t="s">
        <v>0</v>
      </c>
      <c r="C3591" s="20" t="s">
        <v>1270</v>
      </c>
      <c r="D3591" s="21"/>
    </row>
    <row r="3592" spans="1:4" ht="12.75" customHeight="1" x14ac:dyDescent="0.2">
      <c r="A3592" s="21"/>
      <c r="B3592" s="3" t="s">
        <v>2</v>
      </c>
      <c r="C3592" s="20"/>
      <c r="D3592" s="21"/>
    </row>
    <row r="3593" spans="1:4" ht="12.75" customHeight="1" x14ac:dyDescent="0.2">
      <c r="A3593" s="21"/>
      <c r="B3593" s="3" t="s">
        <v>1840</v>
      </c>
      <c r="C3593" s="20" t="s">
        <v>2269</v>
      </c>
      <c r="D3593" s="21"/>
    </row>
    <row r="3594" spans="1:4" ht="12.75" customHeight="1" x14ac:dyDescent="0.2">
      <c r="A3594" s="21"/>
      <c r="B3594" s="3" t="s">
        <v>9</v>
      </c>
      <c r="C3594" s="20" t="s">
        <v>53</v>
      </c>
      <c r="D3594" s="21"/>
    </row>
    <row r="3595" spans="1:4" ht="12.75" customHeight="1" x14ac:dyDescent="0.2">
      <c r="A3595" s="21"/>
      <c r="B3595" s="3" t="s">
        <v>11</v>
      </c>
      <c r="C3595" s="20" t="s">
        <v>2270</v>
      </c>
      <c r="D3595" s="21"/>
    </row>
    <row r="3596" spans="1:4" ht="12.75" customHeight="1" x14ac:dyDescent="0.2">
      <c r="A3596" s="21"/>
      <c r="B3596" s="3" t="s">
        <v>16</v>
      </c>
      <c r="C3596" s="20"/>
      <c r="D3596" s="21"/>
    </row>
    <row r="3597" spans="1:4" ht="12.75" customHeight="1" x14ac:dyDescent="0.2">
      <c r="A3597" s="21"/>
      <c r="B3597" s="3" t="s">
        <v>17</v>
      </c>
      <c r="C3597" s="20" t="s">
        <v>19</v>
      </c>
      <c r="D3597" s="21"/>
    </row>
    <row r="3598" spans="1:4" ht="12.75" customHeight="1" x14ac:dyDescent="0.2">
      <c r="A3598" s="21"/>
      <c r="B3598" s="20" t="s">
        <v>18</v>
      </c>
      <c r="C3598" s="4" t="s">
        <v>44</v>
      </c>
      <c r="D3598" s="6" t="str">
        <f>HYPERLINK("javascript:void(0)","rozsdacipő")</f>
        <v>rozsdacipő</v>
      </c>
    </row>
    <row r="3599" spans="1:4" ht="12.75" customHeight="1" x14ac:dyDescent="0.2">
      <c r="A3599" s="21"/>
      <c r="B3599" s="21"/>
      <c r="C3599" s="4" t="s">
        <v>68</v>
      </c>
      <c r="D3599" s="6" t="str">
        <f>HYPERLINK("javascript:void(0)","hullahó")</f>
        <v>hullahó</v>
      </c>
    </row>
    <row r="3600" spans="1:4" ht="12.75" customHeight="1" x14ac:dyDescent="0.2">
      <c r="A3600" s="21"/>
      <c r="B3600" s="21"/>
      <c r="C3600" s="4" t="s">
        <v>132</v>
      </c>
      <c r="D3600" s="6" t="str">
        <f>HYPERLINK("javascript:void(0)","animátum")</f>
        <v>animátum</v>
      </c>
    </row>
    <row r="3601" spans="1:4" ht="12.75" customHeight="1" x14ac:dyDescent="0.2">
      <c r="A3601" s="21"/>
      <c r="B3601" s="2"/>
      <c r="C3601" s="2"/>
      <c r="D3601" s="2"/>
    </row>
    <row r="3602" spans="1:4" ht="12.75" customHeight="1" x14ac:dyDescent="0.2">
      <c r="A3602" s="21"/>
      <c r="B3602" s="2"/>
      <c r="C3602" s="2"/>
      <c r="D3602" s="2"/>
    </row>
    <row r="3603" spans="1:4" ht="12.75" customHeight="1" x14ac:dyDescent="0.2">
      <c r="A3603" s="21"/>
      <c r="B3603" s="2"/>
      <c r="C3603" s="2"/>
      <c r="D3603" s="2"/>
    </row>
    <row r="3604" spans="1:4" ht="12.75" customHeight="1" x14ac:dyDescent="0.2">
      <c r="A3604" s="21"/>
      <c r="B3604" s="2"/>
      <c r="C3604" s="2"/>
      <c r="D3604" s="2"/>
    </row>
    <row r="3605" spans="1:4" ht="12.75" customHeight="1" x14ac:dyDescent="0.2">
      <c r="A3605" s="5"/>
      <c r="B3605" s="2"/>
      <c r="C3605" s="2"/>
      <c r="D3605" s="2"/>
    </row>
    <row r="3606" spans="1:4" ht="12.75" customHeight="1" x14ac:dyDescent="0.2">
      <c r="A3606" s="22" t="str">
        <f>HYPERLINK("javascript:void(0)","hódjáró")</f>
        <v>hódjáró</v>
      </c>
      <c r="B3606" s="21"/>
      <c r="C3606" s="21"/>
      <c r="D3606" s="21"/>
    </row>
    <row r="3607" spans="1:4" ht="12.75" customHeight="1" x14ac:dyDescent="0.2">
      <c r="A3607" s="20"/>
      <c r="B3607" s="2"/>
      <c r="C3607" s="2"/>
      <c r="D3607" s="2"/>
    </row>
    <row r="3608" spans="1:4" ht="12.75" customHeight="1" x14ac:dyDescent="0.2">
      <c r="A3608" s="21"/>
      <c r="B3608" s="3" t="s">
        <v>0</v>
      </c>
      <c r="C3608" s="20" t="s">
        <v>143</v>
      </c>
      <c r="D3608" s="21"/>
    </row>
    <row r="3609" spans="1:4" ht="12.75" customHeight="1" x14ac:dyDescent="0.2">
      <c r="A3609" s="21"/>
      <c r="B3609" s="3" t="s">
        <v>2</v>
      </c>
      <c r="C3609" s="20"/>
      <c r="D3609" s="21"/>
    </row>
    <row r="3610" spans="1:4" ht="12.75" customHeight="1" x14ac:dyDescent="0.2">
      <c r="A3610" s="21"/>
      <c r="B3610" s="3" t="s">
        <v>1840</v>
      </c>
      <c r="C3610" s="20" t="s">
        <v>593</v>
      </c>
      <c r="D3610" s="21"/>
    </row>
    <row r="3611" spans="1:4" ht="12.75" customHeight="1" x14ac:dyDescent="0.2">
      <c r="A3611" s="21"/>
      <c r="B3611" s="3" t="s">
        <v>9</v>
      </c>
      <c r="C3611" s="20" t="s">
        <v>1414</v>
      </c>
      <c r="D3611" s="21"/>
    </row>
    <row r="3612" spans="1:4" ht="12.75" customHeight="1" x14ac:dyDescent="0.2">
      <c r="A3612" s="21"/>
      <c r="B3612" s="3" t="s">
        <v>11</v>
      </c>
      <c r="C3612" s="20" t="s">
        <v>1093</v>
      </c>
      <c r="D3612" s="21"/>
    </row>
    <row r="3613" spans="1:4" ht="12.75" customHeight="1" x14ac:dyDescent="0.2">
      <c r="A3613" s="21"/>
      <c r="B3613" s="3" t="s">
        <v>16</v>
      </c>
      <c r="C3613" s="20"/>
      <c r="D3613" s="21"/>
    </row>
    <row r="3614" spans="1:4" ht="12.75" customHeight="1" x14ac:dyDescent="0.2">
      <c r="A3614" s="21"/>
      <c r="B3614" s="3" t="s">
        <v>17</v>
      </c>
      <c r="C3614" s="20" t="s">
        <v>19</v>
      </c>
      <c r="D3614" s="21"/>
    </row>
    <row r="3615" spans="1:4" ht="12.75" customHeight="1" x14ac:dyDescent="0.2">
      <c r="A3615" s="21"/>
      <c r="B3615" s="20" t="s">
        <v>18</v>
      </c>
      <c r="C3615" s="4" t="s">
        <v>142</v>
      </c>
      <c r="D3615" s="6" t="str">
        <f>HYPERLINK("javascript:void(0)","félhód")</f>
        <v>félhód</v>
      </c>
    </row>
    <row r="3616" spans="1:4" ht="12.75" customHeight="1" x14ac:dyDescent="0.2">
      <c r="A3616" s="21"/>
      <c r="B3616" s="21"/>
      <c r="C3616" s="4" t="s">
        <v>196</v>
      </c>
      <c r="D3616" s="6" t="str">
        <f>HYPERLINK("javascript:void(0)","hódprizma")</f>
        <v>hódprizma</v>
      </c>
    </row>
    <row r="3617" spans="1:4" ht="12.75" customHeight="1" x14ac:dyDescent="0.2">
      <c r="A3617" s="21"/>
      <c r="B3617" s="21"/>
      <c r="C3617" s="4" t="s">
        <v>98</v>
      </c>
      <c r="D3617" s="6" t="str">
        <f>HYPERLINK("javascript:void(0)","roncogás")</f>
        <v>roncogás</v>
      </c>
    </row>
    <row r="3618" spans="1:4" ht="12.75" customHeight="1" x14ac:dyDescent="0.2">
      <c r="A3618" s="21"/>
      <c r="B3618" s="2"/>
      <c r="C3618" s="2"/>
      <c r="D3618" s="2"/>
    </row>
    <row r="3619" spans="1:4" ht="12.75" customHeight="1" x14ac:dyDescent="0.2">
      <c r="A3619" s="21"/>
      <c r="B3619" s="2"/>
      <c r="C3619" s="2"/>
      <c r="D3619" s="2"/>
    </row>
    <row r="3620" spans="1:4" ht="12.75" customHeight="1" x14ac:dyDescent="0.2">
      <c r="A3620" s="21"/>
      <c r="B3620" s="2"/>
      <c r="C3620" s="2"/>
      <c r="D3620" s="2"/>
    </row>
    <row r="3621" spans="1:4" ht="12.75" customHeight="1" x14ac:dyDescent="0.2">
      <c r="A3621" s="21"/>
      <c r="B3621" s="2"/>
      <c r="C3621" s="2"/>
      <c r="D3621" s="2"/>
    </row>
    <row r="3622" spans="1:4" ht="12.75" customHeight="1" x14ac:dyDescent="0.2">
      <c r="A3622" s="5"/>
      <c r="B3622" s="2"/>
      <c r="C3622" s="2"/>
      <c r="D3622" s="2"/>
    </row>
    <row r="3623" spans="1:4" ht="12.75" customHeight="1" x14ac:dyDescent="0.2">
      <c r="A3623" s="22" t="str">
        <f>HYPERLINK("javascript:void(0)","falánk antigrav csizma")</f>
        <v>falánk antigrav csizma</v>
      </c>
      <c r="B3623" s="21"/>
      <c r="C3623" s="21"/>
      <c r="D3623" s="21"/>
    </row>
    <row r="3624" spans="1:4" ht="12.75" customHeight="1" x14ac:dyDescent="0.2">
      <c r="A3624" s="20"/>
      <c r="B3624" s="2"/>
      <c r="C3624" s="2"/>
      <c r="D3624" s="2"/>
    </row>
    <row r="3625" spans="1:4" ht="12.75" customHeight="1" x14ac:dyDescent="0.2">
      <c r="A3625" s="21"/>
      <c r="B3625" s="3" t="s">
        <v>0</v>
      </c>
      <c r="C3625" s="20" t="s">
        <v>143</v>
      </c>
      <c r="D3625" s="21"/>
    </row>
    <row r="3626" spans="1:4" ht="12.75" customHeight="1" x14ac:dyDescent="0.2">
      <c r="A3626" s="21"/>
      <c r="B3626" s="3" t="s">
        <v>2</v>
      </c>
      <c r="C3626" s="20"/>
      <c r="D3626" s="21"/>
    </row>
    <row r="3627" spans="1:4" ht="12.75" customHeight="1" x14ac:dyDescent="0.2">
      <c r="A3627" s="21"/>
      <c r="B3627" s="3" t="s">
        <v>1840</v>
      </c>
      <c r="C3627" s="20" t="s">
        <v>2256</v>
      </c>
      <c r="D3627" s="21"/>
    </row>
    <row r="3628" spans="1:4" ht="12.75" customHeight="1" x14ac:dyDescent="0.2">
      <c r="A3628" s="21"/>
      <c r="B3628" s="3" t="s">
        <v>9</v>
      </c>
      <c r="C3628" s="20" t="s">
        <v>626</v>
      </c>
      <c r="D3628" s="21"/>
    </row>
    <row r="3629" spans="1:4" ht="12.75" customHeight="1" x14ac:dyDescent="0.2">
      <c r="A3629" s="21"/>
      <c r="B3629" s="3" t="s">
        <v>11</v>
      </c>
      <c r="C3629" s="20" t="s">
        <v>23</v>
      </c>
      <c r="D3629" s="21"/>
    </row>
    <row r="3630" spans="1:4" ht="12.75" customHeight="1" x14ac:dyDescent="0.2">
      <c r="A3630" s="21"/>
      <c r="B3630" s="3" t="s">
        <v>16</v>
      </c>
      <c r="C3630" s="20"/>
      <c r="D3630" s="21"/>
    </row>
    <row r="3631" spans="1:4" ht="12.75" customHeight="1" x14ac:dyDescent="0.2">
      <c r="A3631" s="21"/>
      <c r="B3631" s="3" t="s">
        <v>17</v>
      </c>
      <c r="C3631" s="20" t="s">
        <v>19</v>
      </c>
      <c r="D3631" s="21"/>
    </row>
    <row r="3632" spans="1:4" ht="25.5" customHeight="1" x14ac:dyDescent="0.2">
      <c r="A3632" s="21"/>
      <c r="B3632" s="20" t="s">
        <v>18</v>
      </c>
      <c r="C3632" s="4" t="s">
        <v>44</v>
      </c>
      <c r="D3632" s="6" t="str">
        <f>HYPERLINK("javascript:void(0)","okkult antigrav csizma")</f>
        <v>okkult antigrav csizma</v>
      </c>
    </row>
    <row r="3633" spans="1:4" ht="12.75" customHeight="1" x14ac:dyDescent="0.2">
      <c r="A3633" s="21"/>
      <c r="B3633" s="21"/>
      <c r="C3633" s="4" t="s">
        <v>309</v>
      </c>
      <c r="D3633" s="6" t="str">
        <f>HYPERLINK("javascript:void(0)","mananektár")</f>
        <v>mananektár</v>
      </c>
    </row>
    <row r="3634" spans="1:4" ht="12.75" customHeight="1" x14ac:dyDescent="0.2">
      <c r="A3634" s="21"/>
      <c r="B3634" s="21"/>
      <c r="C3634" s="4" t="s">
        <v>280</v>
      </c>
      <c r="D3634" s="6" t="str">
        <f>HYPERLINK("javascript:void(0)","eledel")</f>
        <v>eledel</v>
      </c>
    </row>
    <row r="3635" spans="1:4" ht="12.75" customHeight="1" x14ac:dyDescent="0.2">
      <c r="A3635" s="21"/>
      <c r="B3635" s="2"/>
      <c r="C3635" s="2"/>
      <c r="D3635" s="2"/>
    </row>
    <row r="3636" spans="1:4" ht="12.75" customHeight="1" x14ac:dyDescent="0.2">
      <c r="A3636" s="21"/>
      <c r="B3636" s="2"/>
      <c r="C3636" s="2"/>
      <c r="D3636" s="2"/>
    </row>
    <row r="3637" spans="1:4" ht="12.75" customHeight="1" x14ac:dyDescent="0.2">
      <c r="A3637" s="21"/>
      <c r="B3637" s="2"/>
      <c r="C3637" s="2"/>
      <c r="D3637" s="2"/>
    </row>
    <row r="3638" spans="1:4" ht="12.75" customHeight="1" x14ac:dyDescent="0.2">
      <c r="A3638" s="21"/>
      <c r="B3638" s="2"/>
      <c r="C3638" s="2"/>
      <c r="D3638" s="2"/>
    </row>
    <row r="3639" spans="1:4" ht="12.75" customHeight="1" x14ac:dyDescent="0.2">
      <c r="A3639" s="5"/>
      <c r="B3639" s="2"/>
      <c r="C3639" s="2"/>
      <c r="D3639" s="2"/>
    </row>
    <row r="3640" spans="1:4" ht="12.75" customHeight="1" x14ac:dyDescent="0.2">
      <c r="A3640" s="22" t="str">
        <f>HYPERLINK("javascript:void(0)","felhőtaposó")</f>
        <v>felhőtaposó</v>
      </c>
      <c r="B3640" s="21"/>
      <c r="C3640" s="21"/>
      <c r="D3640" s="21"/>
    </row>
    <row r="3641" spans="1:4" ht="12.75" customHeight="1" x14ac:dyDescent="0.2">
      <c r="A3641" s="20"/>
      <c r="B3641" s="2"/>
      <c r="C3641" s="2"/>
      <c r="D3641" s="2"/>
    </row>
    <row r="3642" spans="1:4" ht="12.75" customHeight="1" x14ac:dyDescent="0.2">
      <c r="A3642" s="21"/>
      <c r="B3642" s="3" t="s">
        <v>0</v>
      </c>
      <c r="C3642" s="20" t="s">
        <v>1284</v>
      </c>
      <c r="D3642" s="21"/>
    </row>
    <row r="3643" spans="1:4" ht="12.75" customHeight="1" x14ac:dyDescent="0.2">
      <c r="A3643" s="21"/>
      <c r="B3643" s="3" t="s">
        <v>2</v>
      </c>
      <c r="C3643" s="20"/>
      <c r="D3643" s="21"/>
    </row>
    <row r="3644" spans="1:4" ht="12.75" customHeight="1" x14ac:dyDescent="0.2">
      <c r="A3644" s="21"/>
      <c r="B3644" s="3" t="s">
        <v>1840</v>
      </c>
      <c r="C3644" s="20" t="s">
        <v>588</v>
      </c>
      <c r="D3644" s="21"/>
    </row>
    <row r="3645" spans="1:4" ht="12.75" customHeight="1" x14ac:dyDescent="0.2">
      <c r="A3645" s="21"/>
      <c r="B3645" s="3" t="s">
        <v>9</v>
      </c>
      <c r="C3645" s="20" t="s">
        <v>1336</v>
      </c>
      <c r="D3645" s="21"/>
    </row>
    <row r="3646" spans="1:4" ht="12.75" customHeight="1" x14ac:dyDescent="0.2">
      <c r="A3646" s="21"/>
      <c r="B3646" s="3" t="s">
        <v>11</v>
      </c>
      <c r="C3646" s="20" t="s">
        <v>2274</v>
      </c>
      <c r="D3646" s="21"/>
    </row>
    <row r="3647" spans="1:4" ht="12.75" customHeight="1" x14ac:dyDescent="0.2">
      <c r="A3647" s="21"/>
      <c r="B3647" s="3" t="s">
        <v>16</v>
      </c>
      <c r="C3647" s="20"/>
      <c r="D3647" s="21"/>
    </row>
    <row r="3648" spans="1:4" ht="12.75" customHeight="1" x14ac:dyDescent="0.2">
      <c r="A3648" s="21"/>
      <c r="B3648" s="3" t="s">
        <v>17</v>
      </c>
      <c r="C3648" s="20" t="s">
        <v>19</v>
      </c>
      <c r="D3648" s="21"/>
    </row>
    <row r="3649" spans="1:4" ht="12.75" customHeight="1" x14ac:dyDescent="0.2">
      <c r="A3649" s="21"/>
      <c r="B3649" s="20" t="s">
        <v>18</v>
      </c>
      <c r="C3649" s="4" t="s">
        <v>44</v>
      </c>
      <c r="D3649" s="6" t="str">
        <f>HYPERLINK("javascript:void(0)","félcipő")</f>
        <v>félcipő</v>
      </c>
    </row>
    <row r="3650" spans="1:4" ht="12.75" customHeight="1" x14ac:dyDescent="0.2">
      <c r="A3650" s="21"/>
      <c r="B3650" s="21"/>
      <c r="C3650" s="4" t="s">
        <v>44</v>
      </c>
      <c r="D3650" s="6" t="str">
        <f>HYPERLINK("javascript:void(0)","hódjáró")</f>
        <v>hódjáró</v>
      </c>
    </row>
    <row r="3651" spans="1:4" ht="12.75" customHeight="1" x14ac:dyDescent="0.2">
      <c r="A3651" s="21"/>
      <c r="B3651" s="21"/>
      <c r="C3651" s="4" t="s">
        <v>142</v>
      </c>
      <c r="D3651" s="6" t="str">
        <f>HYPERLINK("javascript:void(0)","felhő-szkóp")</f>
        <v>felhő-szkóp</v>
      </c>
    </row>
    <row r="3652" spans="1:4" ht="12.75" customHeight="1" x14ac:dyDescent="0.2">
      <c r="A3652" s="21"/>
      <c r="B3652" s="2"/>
      <c r="C3652" s="2"/>
      <c r="D3652" s="2"/>
    </row>
    <row r="3653" spans="1:4" ht="12.75" customHeight="1" x14ac:dyDescent="0.2">
      <c r="A3653" s="21"/>
      <c r="B3653" s="2"/>
      <c r="C3653" s="2"/>
      <c r="D3653" s="2"/>
    </row>
    <row r="3654" spans="1:4" ht="12.75" customHeight="1" x14ac:dyDescent="0.2">
      <c r="A3654" s="21"/>
      <c r="B3654" s="2"/>
      <c r="C3654" s="2"/>
      <c r="D3654" s="2"/>
    </row>
    <row r="3655" spans="1:4" ht="12.75" customHeight="1" x14ac:dyDescent="0.2">
      <c r="A3655" s="21"/>
      <c r="B3655" s="2"/>
      <c r="C3655" s="2"/>
      <c r="D3655" s="2"/>
    </row>
    <row r="3656" spans="1:4" ht="12.75" customHeight="1" x14ac:dyDescent="0.2">
      <c r="A3656" s="5"/>
      <c r="B3656" s="2"/>
      <c r="C3656" s="2"/>
      <c r="D3656" s="2"/>
    </row>
    <row r="3657" spans="1:4" ht="12.75" customHeight="1" x14ac:dyDescent="0.2">
      <c r="A3657" s="22" t="str">
        <f>HYPERLINK("javascript:void(0)","tyúkláb")</f>
        <v>tyúkláb</v>
      </c>
      <c r="B3657" s="21"/>
      <c r="C3657" s="21"/>
      <c r="D3657" s="21"/>
    </row>
    <row r="3658" spans="1:4" ht="12.75" customHeight="1" x14ac:dyDescent="0.2">
      <c r="A3658" s="20"/>
      <c r="B3658" s="2"/>
      <c r="C3658" s="2"/>
      <c r="D3658" s="2"/>
    </row>
    <row r="3659" spans="1:4" ht="12.75" customHeight="1" x14ac:dyDescent="0.2">
      <c r="A3659" s="21"/>
      <c r="B3659" s="3" t="s">
        <v>0</v>
      </c>
      <c r="C3659" s="20" t="s">
        <v>1294</v>
      </c>
      <c r="D3659" s="21"/>
    </row>
    <row r="3660" spans="1:4" ht="12.75" customHeight="1" x14ac:dyDescent="0.2">
      <c r="A3660" s="21"/>
      <c r="B3660" s="3" t="s">
        <v>2</v>
      </c>
      <c r="C3660" s="20"/>
      <c r="D3660" s="21"/>
    </row>
    <row r="3661" spans="1:4" ht="12.75" customHeight="1" x14ac:dyDescent="0.2">
      <c r="A3661" s="21"/>
      <c r="B3661" s="3" t="s">
        <v>1840</v>
      </c>
      <c r="C3661" s="20" t="s">
        <v>2277</v>
      </c>
      <c r="D3661" s="21"/>
    </row>
    <row r="3662" spans="1:4" ht="12.75" customHeight="1" x14ac:dyDescent="0.2">
      <c r="A3662" s="21"/>
      <c r="B3662" s="3" t="s">
        <v>9</v>
      </c>
      <c r="C3662" s="20" t="s">
        <v>124</v>
      </c>
      <c r="D3662" s="21"/>
    </row>
    <row r="3663" spans="1:4" ht="12.75" customHeight="1" x14ac:dyDescent="0.2">
      <c r="A3663" s="21"/>
      <c r="B3663" s="3" t="s">
        <v>11</v>
      </c>
      <c r="C3663" s="20" t="s">
        <v>2278</v>
      </c>
      <c r="D3663" s="21"/>
    </row>
    <row r="3664" spans="1:4" ht="12.75" customHeight="1" x14ac:dyDescent="0.2">
      <c r="A3664" s="21"/>
      <c r="B3664" s="3" t="s">
        <v>16</v>
      </c>
      <c r="C3664" s="20"/>
      <c r="D3664" s="21"/>
    </row>
    <row r="3665" spans="1:4" ht="12.75" customHeight="1" x14ac:dyDescent="0.2">
      <c r="A3665" s="21"/>
      <c r="B3665" s="3" t="s">
        <v>17</v>
      </c>
      <c r="C3665" s="20" t="s">
        <v>19</v>
      </c>
      <c r="D3665" s="21"/>
    </row>
    <row r="3666" spans="1:4" ht="12.75" customHeight="1" x14ac:dyDescent="0.2">
      <c r="A3666" s="21"/>
      <c r="B3666" s="20" t="s">
        <v>18</v>
      </c>
      <c r="C3666" s="4" t="s">
        <v>44</v>
      </c>
      <c r="D3666" s="6" t="str">
        <f>HYPERLINK("javascript:void(0)","felhőtaposó")</f>
        <v>felhőtaposó</v>
      </c>
    </row>
    <row r="3667" spans="1:4" ht="12.75" customHeight="1" x14ac:dyDescent="0.2">
      <c r="A3667" s="21"/>
      <c r="B3667" s="21"/>
      <c r="C3667" s="4" t="s">
        <v>331</v>
      </c>
      <c r="D3667" s="6" t="str">
        <f>HYPERLINK("javascript:void(0)","tyúkszem")</f>
        <v>tyúkszem</v>
      </c>
    </row>
    <row r="3668" spans="1:4" ht="12.75" customHeight="1" x14ac:dyDescent="0.2">
      <c r="A3668" s="21"/>
      <c r="B3668" s="21"/>
      <c r="C3668" s="4" t="s">
        <v>55</v>
      </c>
      <c r="D3668" s="6" t="str">
        <f>HYPERLINK("javascript:void(0)","lélekkristály")</f>
        <v>lélekkristály</v>
      </c>
    </row>
    <row r="3669" spans="1:4" ht="12.75" customHeight="1" x14ac:dyDescent="0.2">
      <c r="A3669" s="21"/>
      <c r="B3669" s="2"/>
      <c r="C3669" s="2"/>
      <c r="D3669" s="2"/>
    </row>
    <row r="3670" spans="1:4" ht="12.75" customHeight="1" x14ac:dyDescent="0.2">
      <c r="A3670" s="21"/>
      <c r="B3670" s="2"/>
      <c r="C3670" s="2"/>
      <c r="D3670" s="2"/>
    </row>
    <row r="3671" spans="1:4" ht="12.75" customHeight="1" x14ac:dyDescent="0.2">
      <c r="A3671" s="21"/>
      <c r="B3671" s="2"/>
      <c r="C3671" s="2"/>
      <c r="D3671" s="2"/>
    </row>
    <row r="3672" spans="1:4" ht="12.75" customHeight="1" x14ac:dyDescent="0.2">
      <c r="A3672" s="21"/>
      <c r="B3672" s="2"/>
      <c r="C3672" s="2"/>
      <c r="D3672" s="2"/>
    </row>
    <row r="3673" spans="1:4" ht="12.75" customHeight="1" x14ac:dyDescent="0.2">
      <c r="A3673" s="5"/>
      <c r="B3673" s="2"/>
      <c r="C3673" s="2"/>
      <c r="D3673" s="2"/>
    </row>
    <row r="3674" spans="1:4" ht="12.75" customHeight="1" x14ac:dyDescent="0.2">
      <c r="A3674" s="22" t="str">
        <f>HYPERLINK("javascript:void(0)","vértapicskoló")</f>
        <v>vértapicskoló</v>
      </c>
      <c r="B3674" s="21"/>
      <c r="C3674" s="21"/>
      <c r="D3674" s="21"/>
    </row>
    <row r="3675" spans="1:4" ht="12.75" customHeight="1" x14ac:dyDescent="0.2">
      <c r="A3675" s="20"/>
      <c r="B3675" s="2"/>
      <c r="C3675" s="2"/>
      <c r="D3675" s="2"/>
    </row>
    <row r="3676" spans="1:4" ht="12.75" customHeight="1" x14ac:dyDescent="0.2">
      <c r="A3676" s="21"/>
      <c r="B3676" s="3" t="s">
        <v>0</v>
      </c>
      <c r="C3676" s="20" t="s">
        <v>242</v>
      </c>
      <c r="D3676" s="21"/>
    </row>
    <row r="3677" spans="1:4" ht="12.75" customHeight="1" x14ac:dyDescent="0.2">
      <c r="A3677" s="21"/>
      <c r="B3677" s="3" t="s">
        <v>2</v>
      </c>
      <c r="C3677" s="20"/>
      <c r="D3677" s="21"/>
    </row>
    <row r="3678" spans="1:4" ht="12.75" customHeight="1" x14ac:dyDescent="0.2">
      <c r="A3678" s="21"/>
      <c r="B3678" s="3" t="s">
        <v>1840</v>
      </c>
      <c r="C3678" s="20" t="s">
        <v>2280</v>
      </c>
      <c r="D3678" s="21"/>
    </row>
    <row r="3679" spans="1:4" ht="12.75" customHeight="1" x14ac:dyDescent="0.2">
      <c r="A3679" s="21"/>
      <c r="B3679" s="3" t="s">
        <v>9</v>
      </c>
      <c r="C3679" s="20" t="s">
        <v>49</v>
      </c>
      <c r="D3679" s="21"/>
    </row>
    <row r="3680" spans="1:4" ht="12.75" customHeight="1" x14ac:dyDescent="0.2">
      <c r="A3680" s="21"/>
      <c r="B3680" s="3" t="s">
        <v>11</v>
      </c>
      <c r="C3680" s="20" t="s">
        <v>2281</v>
      </c>
      <c r="D3680" s="21"/>
    </row>
    <row r="3681" spans="1:4" ht="12.75" customHeight="1" x14ac:dyDescent="0.2">
      <c r="A3681" s="21"/>
      <c r="B3681" s="3" t="s">
        <v>16</v>
      </c>
      <c r="C3681" s="20"/>
      <c r="D3681" s="21"/>
    </row>
    <row r="3682" spans="1:4" ht="12.75" customHeight="1" x14ac:dyDescent="0.2">
      <c r="A3682" s="21"/>
      <c r="B3682" s="3" t="s">
        <v>17</v>
      </c>
      <c r="C3682" s="20" t="s">
        <v>19</v>
      </c>
      <c r="D3682" s="21"/>
    </row>
    <row r="3683" spans="1:4" ht="12.75" customHeight="1" x14ac:dyDescent="0.2">
      <c r="A3683" s="21"/>
      <c r="B3683" s="20" t="s">
        <v>18</v>
      </c>
      <c r="C3683" s="4" t="s">
        <v>68</v>
      </c>
      <c r="D3683" s="6" t="str">
        <f>HYPERLINK("javascript:void(0)","vértócsa")</f>
        <v>vértócsa</v>
      </c>
    </row>
    <row r="3684" spans="1:4" ht="12.75" customHeight="1" x14ac:dyDescent="0.2">
      <c r="A3684" s="21"/>
      <c r="B3684" s="21"/>
      <c r="C3684" s="4" t="s">
        <v>142</v>
      </c>
      <c r="D3684" s="6" t="str">
        <f>HYPERLINK("javascript:void(0)","lábkarcsont")</f>
        <v>lábkarcsont</v>
      </c>
    </row>
    <row r="3685" spans="1:4" ht="12.75" customHeight="1" x14ac:dyDescent="0.2">
      <c r="A3685" s="21"/>
      <c r="B3685" s="21"/>
      <c r="C3685" s="4" t="s">
        <v>55</v>
      </c>
      <c r="D3685" s="6" t="str">
        <f>HYPERLINK("javascript:void(0)","idegen mütyüge")</f>
        <v>idegen mütyüge</v>
      </c>
    </row>
    <row r="3686" spans="1:4" ht="12.75" customHeight="1" x14ac:dyDescent="0.2">
      <c r="A3686" s="21"/>
      <c r="B3686" s="2"/>
      <c r="C3686" s="2"/>
      <c r="D3686" s="2"/>
    </row>
    <row r="3687" spans="1:4" ht="12.75" customHeight="1" x14ac:dyDescent="0.2">
      <c r="A3687" s="21"/>
      <c r="B3687" s="2"/>
      <c r="C3687" s="2"/>
      <c r="D3687" s="2"/>
    </row>
    <row r="3688" spans="1:4" ht="12.75" customHeight="1" x14ac:dyDescent="0.2">
      <c r="A3688" s="21"/>
      <c r="B3688" s="2"/>
      <c r="C3688" s="2"/>
      <c r="D3688" s="2"/>
    </row>
    <row r="3689" spans="1:4" ht="12.75" customHeight="1" x14ac:dyDescent="0.2">
      <c r="A3689" s="21"/>
      <c r="B3689" s="2"/>
      <c r="C3689" s="2"/>
      <c r="D3689" s="2"/>
    </row>
    <row r="3690" spans="1:4" ht="12.75" customHeight="1" x14ac:dyDescent="0.2">
      <c r="A3690" s="5"/>
      <c r="B3690" s="2"/>
      <c r="C3690" s="2"/>
      <c r="D3690" s="2"/>
    </row>
    <row r="3691" spans="1:4" ht="12.75" customHeight="1" x14ac:dyDescent="0.2">
      <c r="A3691" s="22" t="str">
        <f>HYPERLINK("javascript:void(0)","regnáló antigrav csizma")</f>
        <v>regnáló antigrav csizma</v>
      </c>
      <c r="B3691" s="21"/>
      <c r="C3691" s="21"/>
      <c r="D3691" s="21"/>
    </row>
    <row r="3692" spans="1:4" ht="12.75" customHeight="1" x14ac:dyDescent="0.2">
      <c r="A3692" s="20"/>
      <c r="B3692" s="2"/>
      <c r="C3692" s="2"/>
      <c r="D3692" s="2"/>
    </row>
    <row r="3693" spans="1:4" ht="12.75" customHeight="1" x14ac:dyDescent="0.2">
      <c r="A3693" s="21"/>
      <c r="B3693" s="3" t="s">
        <v>0</v>
      </c>
      <c r="C3693" s="20" t="s">
        <v>242</v>
      </c>
      <c r="D3693" s="21"/>
    </row>
    <row r="3694" spans="1:4" ht="12.75" customHeight="1" x14ac:dyDescent="0.2">
      <c r="A3694" s="21"/>
      <c r="B3694" s="3" t="s">
        <v>2</v>
      </c>
      <c r="C3694" s="20"/>
      <c r="D3694" s="21"/>
    </row>
    <row r="3695" spans="1:4" ht="12.75" customHeight="1" x14ac:dyDescent="0.2">
      <c r="A3695" s="21"/>
      <c r="B3695" s="3" t="s">
        <v>1840</v>
      </c>
      <c r="C3695" s="20" t="s">
        <v>2283</v>
      </c>
      <c r="D3695" s="21"/>
    </row>
    <row r="3696" spans="1:4" ht="12.75" customHeight="1" x14ac:dyDescent="0.2">
      <c r="A3696" s="21"/>
      <c r="B3696" s="3" t="s">
        <v>9</v>
      </c>
      <c r="C3696" s="20" t="s">
        <v>626</v>
      </c>
      <c r="D3696" s="21"/>
    </row>
    <row r="3697" spans="1:4" ht="12.75" customHeight="1" x14ac:dyDescent="0.2">
      <c r="A3697" s="21"/>
      <c r="B3697" s="3" t="s">
        <v>11</v>
      </c>
      <c r="C3697" s="20" t="s">
        <v>23</v>
      </c>
      <c r="D3697" s="21"/>
    </row>
    <row r="3698" spans="1:4" ht="12.75" customHeight="1" x14ac:dyDescent="0.2">
      <c r="A3698" s="21"/>
      <c r="B3698" s="3" t="s">
        <v>16</v>
      </c>
      <c r="C3698" s="20"/>
      <c r="D3698" s="21"/>
    </row>
    <row r="3699" spans="1:4" ht="12.75" customHeight="1" x14ac:dyDescent="0.2">
      <c r="A3699" s="21"/>
      <c r="B3699" s="3" t="s">
        <v>17</v>
      </c>
      <c r="C3699" s="20" t="s">
        <v>19</v>
      </c>
      <c r="D3699" s="21"/>
    </row>
    <row r="3700" spans="1:4" ht="25.5" customHeight="1" x14ac:dyDescent="0.2">
      <c r="A3700" s="21"/>
      <c r="B3700" s="20" t="s">
        <v>18</v>
      </c>
      <c r="C3700" s="4" t="s">
        <v>44</v>
      </c>
      <c r="D3700" s="6" t="str">
        <f>HYPERLINK("javascript:void(0)","falánk antigrav csizma")</f>
        <v>falánk antigrav csizma</v>
      </c>
    </row>
    <row r="3701" spans="1:4" ht="12.75" customHeight="1" x14ac:dyDescent="0.2">
      <c r="A3701" s="21"/>
      <c r="B3701" s="21"/>
      <c r="C3701" s="4" t="s">
        <v>474</v>
      </c>
      <c r="D3701" s="6" t="str">
        <f>HYPERLINK("javascript:void(0)","regnum")</f>
        <v>regnum</v>
      </c>
    </row>
    <row r="3702" spans="1:4" ht="12.75" customHeight="1" x14ac:dyDescent="0.2">
      <c r="A3702" s="21"/>
      <c r="B3702" s="21"/>
      <c r="C3702" s="4" t="s">
        <v>139</v>
      </c>
      <c r="D3702" s="6" t="str">
        <f>HYPERLINK("javascript:void(0)","vértócsa")</f>
        <v>vértócsa</v>
      </c>
    </row>
    <row r="3703" spans="1:4" ht="12.75" customHeight="1" x14ac:dyDescent="0.2">
      <c r="A3703" s="21"/>
      <c r="B3703" s="2"/>
      <c r="C3703" s="2"/>
      <c r="D3703" s="2"/>
    </row>
    <row r="3704" spans="1:4" ht="12.75" customHeight="1" x14ac:dyDescent="0.2">
      <c r="A3704" s="21"/>
      <c r="B3704" s="2"/>
      <c r="C3704" s="2"/>
      <c r="D3704" s="2"/>
    </row>
    <row r="3705" spans="1:4" ht="12.75" customHeight="1" x14ac:dyDescent="0.2">
      <c r="A3705" s="21"/>
      <c r="B3705" s="2"/>
      <c r="C3705" s="2"/>
      <c r="D3705" s="2"/>
    </row>
    <row r="3706" spans="1:4" ht="12.75" customHeight="1" x14ac:dyDescent="0.2">
      <c r="A3706" s="21"/>
      <c r="B3706" s="2"/>
      <c r="C3706" s="2"/>
      <c r="D3706" s="2"/>
    </row>
    <row r="3707" spans="1:4" ht="12.75" customHeight="1" x14ac:dyDescent="0.2">
      <c r="A3707" s="5"/>
      <c r="B3707" s="2"/>
      <c r="C3707" s="2"/>
      <c r="D3707" s="2"/>
    </row>
    <row r="3708" spans="1:4" ht="12.75" customHeight="1" x14ac:dyDescent="0.2">
      <c r="A3708" s="22" t="str">
        <f>HYPERLINK("javascript:void(0)","lángnyelves csizma")</f>
        <v>lángnyelves csizma</v>
      </c>
      <c r="B3708" s="21"/>
      <c r="C3708" s="21"/>
      <c r="D3708" s="21"/>
    </row>
    <row r="3709" spans="1:4" ht="12.75" customHeight="1" x14ac:dyDescent="0.2">
      <c r="A3709" s="20"/>
      <c r="B3709" s="2"/>
      <c r="C3709" s="2"/>
      <c r="D3709" s="2"/>
    </row>
    <row r="3710" spans="1:4" ht="12.75" customHeight="1" x14ac:dyDescent="0.2">
      <c r="A3710" s="21"/>
      <c r="B3710" s="3" t="s">
        <v>0</v>
      </c>
      <c r="C3710" s="20" t="s">
        <v>1308</v>
      </c>
      <c r="D3710" s="21"/>
    </row>
    <row r="3711" spans="1:4" ht="12.75" customHeight="1" x14ac:dyDescent="0.2">
      <c r="A3711" s="21"/>
      <c r="B3711" s="3" t="s">
        <v>2</v>
      </c>
      <c r="C3711" s="20"/>
      <c r="D3711" s="21"/>
    </row>
    <row r="3712" spans="1:4" ht="12.75" customHeight="1" x14ac:dyDescent="0.2">
      <c r="A3712" s="21"/>
      <c r="B3712" s="3" t="s">
        <v>1840</v>
      </c>
      <c r="C3712" s="20" t="s">
        <v>2284</v>
      </c>
      <c r="D3712" s="21"/>
    </row>
    <row r="3713" spans="1:4" ht="12.75" customHeight="1" x14ac:dyDescent="0.2">
      <c r="A3713" s="21"/>
      <c r="B3713" s="3" t="s">
        <v>9</v>
      </c>
      <c r="C3713" s="20" t="s">
        <v>129</v>
      </c>
      <c r="D3713" s="21"/>
    </row>
    <row r="3714" spans="1:4" ht="12.75" customHeight="1" x14ac:dyDescent="0.2">
      <c r="A3714" s="21"/>
      <c r="B3714" s="3" t="s">
        <v>11</v>
      </c>
      <c r="C3714" s="20" t="s">
        <v>2285</v>
      </c>
      <c r="D3714" s="21"/>
    </row>
    <row r="3715" spans="1:4" ht="12.75" customHeight="1" x14ac:dyDescent="0.2">
      <c r="A3715" s="21"/>
      <c r="B3715" s="3" t="s">
        <v>16</v>
      </c>
      <c r="C3715" s="20"/>
      <c r="D3715" s="21"/>
    </row>
    <row r="3716" spans="1:4" ht="12.75" customHeight="1" x14ac:dyDescent="0.2">
      <c r="A3716" s="21"/>
      <c r="B3716" s="3" t="s">
        <v>17</v>
      </c>
      <c r="C3716" s="20" t="s">
        <v>19</v>
      </c>
      <c r="D3716" s="21"/>
    </row>
    <row r="3717" spans="1:4" ht="12.75" customHeight="1" x14ac:dyDescent="0.2">
      <c r="A3717" s="21"/>
      <c r="B3717" s="20" t="s">
        <v>18</v>
      </c>
      <c r="C3717" s="4" t="s">
        <v>44</v>
      </c>
      <c r="D3717" s="6" t="str">
        <f>HYPERLINK("javascript:void(0)","tyúkláb")</f>
        <v>tyúkláb</v>
      </c>
    </row>
    <row r="3718" spans="1:4" ht="12.75" customHeight="1" x14ac:dyDescent="0.2">
      <c r="A3718" s="21"/>
      <c r="B3718" s="21"/>
      <c r="C3718" s="4" t="s">
        <v>44</v>
      </c>
      <c r="D3718" s="6" t="str">
        <f>HYPERLINK("javascript:void(0)","vértapicskoló")</f>
        <v>vértapicskoló</v>
      </c>
    </row>
    <row r="3719" spans="1:4" ht="12.75" customHeight="1" x14ac:dyDescent="0.2">
      <c r="A3719" s="21"/>
      <c r="B3719" s="21"/>
      <c r="C3719" s="4" t="s">
        <v>68</v>
      </c>
      <c r="D3719" s="6" t="str">
        <f>HYPERLINK("javascript:void(0)","lángpehely")</f>
        <v>lángpehely</v>
      </c>
    </row>
    <row r="3720" spans="1:4" ht="12.75" customHeight="1" x14ac:dyDescent="0.2">
      <c r="A3720" s="21"/>
      <c r="B3720" s="2"/>
      <c r="C3720" s="2"/>
      <c r="D3720" s="2"/>
    </row>
    <row r="3721" spans="1:4" ht="12.75" customHeight="1" x14ac:dyDescent="0.2">
      <c r="A3721" s="21"/>
      <c r="B3721" s="2"/>
      <c r="C3721" s="2"/>
      <c r="D3721" s="2"/>
    </row>
    <row r="3722" spans="1:4" ht="12.75" customHeight="1" x14ac:dyDescent="0.2">
      <c r="A3722" s="21"/>
      <c r="B3722" s="2"/>
      <c r="C3722" s="2"/>
      <c r="D3722" s="2"/>
    </row>
    <row r="3723" spans="1:4" ht="12.75" customHeight="1" x14ac:dyDescent="0.2">
      <c r="A3723" s="21"/>
      <c r="B3723" s="2"/>
      <c r="C3723" s="2"/>
      <c r="D3723" s="2"/>
    </row>
    <row r="3724" spans="1:4" ht="12.75" customHeight="1" x14ac:dyDescent="0.2">
      <c r="A3724" s="5"/>
      <c r="B3724" s="2"/>
      <c r="C3724" s="2"/>
      <c r="D3724" s="2"/>
    </row>
    <row r="3725" spans="1:4" ht="12.75" customHeight="1" x14ac:dyDescent="0.2">
      <c r="A3725" s="22" t="str">
        <f>HYPERLINK("javascript:void(0)","agytaposó")</f>
        <v>agytaposó</v>
      </c>
      <c r="B3725" s="21"/>
      <c r="C3725" s="21"/>
      <c r="D3725" s="21"/>
    </row>
    <row r="3726" spans="1:4" ht="12.75" customHeight="1" x14ac:dyDescent="0.2">
      <c r="A3726" s="20"/>
      <c r="B3726" s="2"/>
      <c r="C3726" s="2"/>
      <c r="D3726" s="2"/>
    </row>
    <row r="3727" spans="1:4" ht="12.75" customHeight="1" x14ac:dyDescent="0.2">
      <c r="A3727" s="21"/>
      <c r="B3727" s="3" t="s">
        <v>0</v>
      </c>
      <c r="C3727" s="20" t="s">
        <v>361</v>
      </c>
      <c r="D3727" s="21"/>
    </row>
    <row r="3728" spans="1:4" ht="12.75" customHeight="1" x14ac:dyDescent="0.2">
      <c r="A3728" s="21"/>
      <c r="B3728" s="3" t="s">
        <v>2</v>
      </c>
      <c r="C3728" s="20"/>
      <c r="D3728" s="21"/>
    </row>
    <row r="3729" spans="1:4" ht="12.75" customHeight="1" x14ac:dyDescent="0.2">
      <c r="A3729" s="21"/>
      <c r="B3729" s="3" t="s">
        <v>1840</v>
      </c>
      <c r="C3729" s="20" t="s">
        <v>2286</v>
      </c>
      <c r="D3729" s="21"/>
    </row>
    <row r="3730" spans="1:4" ht="12.75" customHeight="1" x14ac:dyDescent="0.2">
      <c r="A3730" s="21"/>
      <c r="B3730" s="3" t="s">
        <v>9</v>
      </c>
      <c r="C3730" s="20" t="s">
        <v>2287</v>
      </c>
      <c r="D3730" s="21"/>
    </row>
    <row r="3731" spans="1:4" ht="12.75" customHeight="1" x14ac:dyDescent="0.2">
      <c r="A3731" s="21"/>
      <c r="B3731" s="3" t="s">
        <v>11</v>
      </c>
      <c r="C3731" s="20" t="s">
        <v>1109</v>
      </c>
      <c r="D3731" s="21"/>
    </row>
    <row r="3732" spans="1:4" ht="12.75" customHeight="1" x14ac:dyDescent="0.2">
      <c r="A3732" s="21"/>
      <c r="B3732" s="3" t="s">
        <v>16</v>
      </c>
      <c r="C3732" s="20"/>
      <c r="D3732" s="21"/>
    </row>
    <row r="3733" spans="1:4" ht="12.75" customHeight="1" x14ac:dyDescent="0.2">
      <c r="A3733" s="21"/>
      <c r="B3733" s="3" t="s">
        <v>17</v>
      </c>
      <c r="C3733" s="20" t="s">
        <v>19</v>
      </c>
      <c r="D3733" s="21"/>
    </row>
    <row r="3734" spans="1:4" ht="12.75" customHeight="1" x14ac:dyDescent="0.2">
      <c r="A3734" s="21"/>
      <c r="B3734" s="20" t="s">
        <v>18</v>
      </c>
      <c r="C3734" s="4" t="s">
        <v>44</v>
      </c>
      <c r="D3734" s="6" t="str">
        <f>HYPERLINK("javascript:void(0)","lángnyelves csizma")</f>
        <v>lángnyelves csizma</v>
      </c>
    </row>
    <row r="3735" spans="1:4" ht="12.75" customHeight="1" x14ac:dyDescent="0.2">
      <c r="A3735" s="21"/>
      <c r="B3735" s="21"/>
      <c r="C3735" s="4" t="s">
        <v>102</v>
      </c>
      <c r="D3735" s="6" t="str">
        <f>HYPERLINK("javascript:void(0)","bolondgomba")</f>
        <v>bolondgomba</v>
      </c>
    </row>
    <row r="3736" spans="1:4" ht="12.75" customHeight="1" x14ac:dyDescent="0.2">
      <c r="A3736" s="21"/>
      <c r="B3736" s="21"/>
      <c r="C3736" s="4" t="s">
        <v>196</v>
      </c>
      <c r="D3736" s="6" t="str">
        <f>HYPERLINK("javascript:void(0)","adattekercs")</f>
        <v>adattekercs</v>
      </c>
    </row>
    <row r="3737" spans="1:4" ht="12.75" customHeight="1" x14ac:dyDescent="0.2">
      <c r="A3737" s="21"/>
      <c r="B3737" s="2"/>
      <c r="C3737" s="2"/>
      <c r="D3737" s="2"/>
    </row>
    <row r="3738" spans="1:4" ht="12.75" customHeight="1" x14ac:dyDescent="0.2">
      <c r="A3738" s="21"/>
      <c r="B3738" s="2"/>
      <c r="C3738" s="2"/>
      <c r="D3738" s="2"/>
    </row>
    <row r="3739" spans="1:4" ht="12.75" customHeight="1" x14ac:dyDescent="0.2">
      <c r="A3739" s="21"/>
      <c r="B3739" s="2"/>
      <c r="C3739" s="2"/>
      <c r="D3739" s="2"/>
    </row>
    <row r="3740" spans="1:4" ht="12.75" customHeight="1" x14ac:dyDescent="0.2">
      <c r="A3740" s="21"/>
      <c r="B3740" s="2"/>
      <c r="C3740" s="2"/>
      <c r="D3740" s="2"/>
    </row>
    <row r="3741" spans="1:4" ht="12.75" customHeight="1" x14ac:dyDescent="0.2">
      <c r="A3741" s="5"/>
      <c r="B3741" s="2"/>
      <c r="C3741" s="2"/>
      <c r="D3741" s="2"/>
    </row>
    <row r="3742" spans="1:4" ht="12.75" customHeight="1" x14ac:dyDescent="0.2">
      <c r="A3742" s="22" t="str">
        <f>HYPERLINK("javascript:void(0)","tenyeres talp")</f>
        <v>tenyeres talp</v>
      </c>
      <c r="B3742" s="21"/>
      <c r="C3742" s="21"/>
      <c r="D3742" s="21"/>
    </row>
    <row r="3743" spans="1:4" ht="12.75" customHeight="1" x14ac:dyDescent="0.2">
      <c r="A3743" s="20"/>
      <c r="B3743" s="2"/>
      <c r="C3743" s="2"/>
      <c r="D3743" s="2"/>
    </row>
    <row r="3744" spans="1:4" ht="12.75" customHeight="1" x14ac:dyDescent="0.2">
      <c r="A3744" s="21"/>
      <c r="B3744" s="3" t="s">
        <v>0</v>
      </c>
      <c r="C3744" s="20" t="s">
        <v>1322</v>
      </c>
      <c r="D3744" s="21"/>
    </row>
    <row r="3745" spans="1:4" ht="12.75" customHeight="1" x14ac:dyDescent="0.2">
      <c r="A3745" s="21"/>
      <c r="B3745" s="3" t="s">
        <v>2</v>
      </c>
      <c r="C3745" s="20"/>
      <c r="D3745" s="21"/>
    </row>
    <row r="3746" spans="1:4" ht="12.75" customHeight="1" x14ac:dyDescent="0.2">
      <c r="A3746" s="21"/>
      <c r="B3746" s="3" t="s">
        <v>1840</v>
      </c>
      <c r="C3746" s="20" t="s">
        <v>2289</v>
      </c>
      <c r="D3746" s="21"/>
    </row>
    <row r="3747" spans="1:4" ht="12.75" customHeight="1" x14ac:dyDescent="0.2">
      <c r="A3747" s="21"/>
      <c r="B3747" s="3" t="s">
        <v>9</v>
      </c>
      <c r="C3747" s="20" t="s">
        <v>135</v>
      </c>
      <c r="D3747" s="21"/>
    </row>
    <row r="3748" spans="1:4" ht="12.75" customHeight="1" x14ac:dyDescent="0.2">
      <c r="A3748" s="21"/>
      <c r="B3748" s="3" t="s">
        <v>11</v>
      </c>
      <c r="C3748" s="20" t="s">
        <v>2290</v>
      </c>
      <c r="D3748" s="21"/>
    </row>
    <row r="3749" spans="1:4" ht="12.75" customHeight="1" x14ac:dyDescent="0.2">
      <c r="A3749" s="21"/>
      <c r="B3749" s="3" t="s">
        <v>16</v>
      </c>
      <c r="C3749" s="20"/>
      <c r="D3749" s="21"/>
    </row>
    <row r="3750" spans="1:4" ht="12.75" customHeight="1" x14ac:dyDescent="0.2">
      <c r="A3750" s="21"/>
      <c r="B3750" s="3" t="s">
        <v>17</v>
      </c>
      <c r="C3750" s="20" t="s">
        <v>19</v>
      </c>
      <c r="D3750" s="21"/>
    </row>
    <row r="3751" spans="1:4" ht="12.75" customHeight="1" x14ac:dyDescent="0.2">
      <c r="A3751" s="21"/>
      <c r="B3751" s="20" t="s">
        <v>18</v>
      </c>
      <c r="C3751" s="4" t="s">
        <v>117</v>
      </c>
      <c r="D3751" s="6" t="str">
        <f>HYPERLINK("javascript:void(0)","vérüreg")</f>
        <v>vérüreg</v>
      </c>
    </row>
    <row r="3752" spans="1:4" ht="12.75" customHeight="1" x14ac:dyDescent="0.2">
      <c r="A3752" s="21"/>
      <c r="B3752" s="21"/>
      <c r="C3752" s="4" t="s">
        <v>77</v>
      </c>
      <c r="D3752" s="6" t="str">
        <f>HYPERLINK("javascript:void(0)","kopoltyú")</f>
        <v>kopoltyú</v>
      </c>
    </row>
    <row r="3753" spans="1:4" ht="12.75" customHeight="1" x14ac:dyDescent="0.2">
      <c r="A3753" s="21"/>
      <c r="B3753" s="21"/>
      <c r="C3753" s="4" t="s">
        <v>139</v>
      </c>
      <c r="D3753" s="6" t="str">
        <f>HYPERLINK("javascript:void(0)","príma enyv")</f>
        <v>príma enyv</v>
      </c>
    </row>
    <row r="3754" spans="1:4" ht="12.75" customHeight="1" x14ac:dyDescent="0.2">
      <c r="A3754" s="21"/>
      <c r="B3754" s="2"/>
      <c r="C3754" s="2"/>
      <c r="D3754" s="2"/>
    </row>
    <row r="3755" spans="1:4" ht="12.75" customHeight="1" x14ac:dyDescent="0.2">
      <c r="A3755" s="21"/>
      <c r="B3755" s="2"/>
      <c r="C3755" s="2"/>
      <c r="D3755" s="2"/>
    </row>
    <row r="3756" spans="1:4" ht="12.75" customHeight="1" x14ac:dyDescent="0.2">
      <c r="A3756" s="21"/>
      <c r="B3756" s="2"/>
      <c r="C3756" s="2"/>
      <c r="D3756" s="2"/>
    </row>
    <row r="3757" spans="1:4" ht="12.75" customHeight="1" x14ac:dyDescent="0.2">
      <c r="A3757" s="21"/>
      <c r="B3757" s="2"/>
      <c r="C3757" s="2"/>
      <c r="D3757" s="2"/>
    </row>
    <row r="3758" spans="1:4" ht="12.75" customHeight="1" x14ac:dyDescent="0.2">
      <c r="A3758" s="5"/>
      <c r="B3758" s="2"/>
      <c r="C3758" s="2"/>
      <c r="D3758" s="2"/>
    </row>
    <row r="3759" spans="1:4" ht="12.75" customHeight="1" x14ac:dyDescent="0.2">
      <c r="A3759" s="22" t="str">
        <f>HYPERLINK("javascript:void(0)","príma antigrav csizma")</f>
        <v>príma antigrav csizma</v>
      </c>
      <c r="B3759" s="21"/>
      <c r="C3759" s="21"/>
      <c r="D3759" s="21"/>
    </row>
    <row r="3760" spans="1:4" ht="12.75" customHeight="1" x14ac:dyDescent="0.2">
      <c r="A3760" s="20"/>
      <c r="B3760" s="2"/>
      <c r="C3760" s="2"/>
      <c r="D3760" s="2"/>
    </row>
    <row r="3761" spans="1:4" ht="12.75" customHeight="1" x14ac:dyDescent="0.2">
      <c r="A3761" s="21"/>
      <c r="B3761" s="3" t="s">
        <v>0</v>
      </c>
      <c r="C3761" s="20" t="s">
        <v>1322</v>
      </c>
      <c r="D3761" s="21"/>
    </row>
    <row r="3762" spans="1:4" ht="12.75" customHeight="1" x14ac:dyDescent="0.2">
      <c r="A3762" s="21"/>
      <c r="B3762" s="3" t="s">
        <v>2</v>
      </c>
      <c r="C3762" s="20"/>
      <c r="D3762" s="21"/>
    </row>
    <row r="3763" spans="1:4" ht="12.75" customHeight="1" x14ac:dyDescent="0.2">
      <c r="A3763" s="21"/>
      <c r="B3763" s="3" t="s">
        <v>1840</v>
      </c>
      <c r="C3763" s="20" t="s">
        <v>1823</v>
      </c>
      <c r="D3763" s="21"/>
    </row>
    <row r="3764" spans="1:4" ht="12.75" customHeight="1" x14ac:dyDescent="0.2">
      <c r="A3764" s="21"/>
      <c r="B3764" s="3" t="s">
        <v>9</v>
      </c>
      <c r="C3764" s="20" t="s">
        <v>626</v>
      </c>
      <c r="D3764" s="21"/>
    </row>
    <row r="3765" spans="1:4" ht="12.75" customHeight="1" x14ac:dyDescent="0.2">
      <c r="A3765" s="21"/>
      <c r="B3765" s="3" t="s">
        <v>11</v>
      </c>
      <c r="C3765" s="20" t="s">
        <v>23</v>
      </c>
      <c r="D3765" s="21"/>
    </row>
    <row r="3766" spans="1:4" ht="12.75" customHeight="1" x14ac:dyDescent="0.2">
      <c r="A3766" s="21"/>
      <c r="B3766" s="3" t="s">
        <v>16</v>
      </c>
      <c r="C3766" s="20"/>
      <c r="D3766" s="21"/>
    </row>
    <row r="3767" spans="1:4" ht="12.75" customHeight="1" x14ac:dyDescent="0.2">
      <c r="A3767" s="21"/>
      <c r="B3767" s="3" t="s">
        <v>17</v>
      </c>
      <c r="C3767" s="20" t="s">
        <v>19</v>
      </c>
      <c r="D3767" s="21"/>
    </row>
    <row r="3768" spans="1:4" ht="25.5" customHeight="1" x14ac:dyDescent="0.2">
      <c r="A3768" s="21"/>
      <c r="B3768" s="20" t="s">
        <v>18</v>
      </c>
      <c r="C3768" s="4" t="s">
        <v>44</v>
      </c>
      <c r="D3768" s="6" t="str">
        <f>HYPERLINK("javascript:void(0)","regnáló antigrav csizma")</f>
        <v>regnáló antigrav csizma</v>
      </c>
    </row>
    <row r="3769" spans="1:4" ht="12.75" customHeight="1" x14ac:dyDescent="0.2">
      <c r="A3769" s="21"/>
      <c r="B3769" s="21"/>
      <c r="C3769" s="4" t="s">
        <v>309</v>
      </c>
      <c r="D3769" s="6" t="str">
        <f>HYPERLINK("javascript:void(0)","féreggyűrű")</f>
        <v>féreggyűrű</v>
      </c>
    </row>
    <row r="3770" spans="1:4" ht="12.75" customHeight="1" x14ac:dyDescent="0.2">
      <c r="A3770" s="21"/>
      <c r="B3770" s="21"/>
      <c r="C3770" s="4" t="s">
        <v>163</v>
      </c>
      <c r="D3770" s="6" t="str">
        <f>HYPERLINK("javascript:void(0)","príma enyv")</f>
        <v>príma enyv</v>
      </c>
    </row>
    <row r="3771" spans="1:4" ht="12.75" customHeight="1" x14ac:dyDescent="0.2">
      <c r="A3771" s="21"/>
      <c r="B3771" s="2"/>
      <c r="C3771" s="2"/>
      <c r="D3771" s="2"/>
    </row>
    <row r="3772" spans="1:4" ht="12.75" customHeight="1" x14ac:dyDescent="0.2">
      <c r="A3772" s="21"/>
      <c r="B3772" s="2"/>
      <c r="C3772" s="2"/>
      <c r="D3772" s="2"/>
    </row>
    <row r="3773" spans="1:4" ht="12.75" customHeight="1" x14ac:dyDescent="0.2">
      <c r="A3773" s="21"/>
      <c r="B3773" s="2"/>
      <c r="C3773" s="2"/>
      <c r="D3773" s="2"/>
    </row>
    <row r="3774" spans="1:4" ht="12.75" customHeight="1" x14ac:dyDescent="0.2">
      <c r="A3774" s="21"/>
      <c r="B3774" s="2"/>
      <c r="C3774" s="2"/>
      <c r="D3774" s="2"/>
    </row>
    <row r="3775" spans="1:4" ht="12.75" customHeight="1" x14ac:dyDescent="0.2">
      <c r="A3775" s="5"/>
      <c r="B3775" s="2"/>
      <c r="C3775" s="2"/>
      <c r="D3775" s="2"/>
    </row>
    <row r="3776" spans="1:4" ht="12.75" customHeight="1" x14ac:dyDescent="0.2">
      <c r="A3776" s="22" t="str">
        <f>HYPERLINK("javascript:void(0)","lidérccsizma")</f>
        <v>lidérccsizma</v>
      </c>
      <c r="B3776" s="21"/>
      <c r="C3776" s="21"/>
      <c r="D3776" s="21"/>
    </row>
    <row r="3777" spans="1:4" ht="12.75" customHeight="1" x14ac:dyDescent="0.2">
      <c r="A3777" s="20"/>
      <c r="B3777" s="2"/>
      <c r="C3777" s="2"/>
      <c r="D3777" s="2"/>
    </row>
    <row r="3778" spans="1:4" ht="12.75" customHeight="1" x14ac:dyDescent="0.2">
      <c r="A3778" s="21"/>
      <c r="B3778" s="3" t="s">
        <v>0</v>
      </c>
      <c r="C3778" s="20" t="s">
        <v>371</v>
      </c>
      <c r="D3778" s="21"/>
    </row>
    <row r="3779" spans="1:4" ht="12.75" customHeight="1" x14ac:dyDescent="0.2">
      <c r="A3779" s="21"/>
      <c r="B3779" s="3" t="s">
        <v>2</v>
      </c>
      <c r="C3779" s="20"/>
      <c r="D3779" s="21"/>
    </row>
    <row r="3780" spans="1:4" ht="12.75" customHeight="1" x14ac:dyDescent="0.2">
      <c r="A3780" s="21"/>
      <c r="B3780" s="3" t="s">
        <v>1840</v>
      </c>
      <c r="C3780" s="20" t="s">
        <v>1796</v>
      </c>
      <c r="D3780" s="21"/>
    </row>
    <row r="3781" spans="1:4" ht="12.75" customHeight="1" x14ac:dyDescent="0.2">
      <c r="A3781" s="21"/>
      <c r="B3781" s="3" t="s">
        <v>9</v>
      </c>
      <c r="C3781" s="20" t="s">
        <v>200</v>
      </c>
      <c r="D3781" s="21"/>
    </row>
    <row r="3782" spans="1:4" ht="12.75" customHeight="1" x14ac:dyDescent="0.2">
      <c r="A3782" s="21"/>
      <c r="B3782" s="3" t="s">
        <v>11</v>
      </c>
      <c r="C3782" s="20" t="s">
        <v>2294</v>
      </c>
      <c r="D3782" s="21"/>
    </row>
    <row r="3783" spans="1:4" ht="12.75" customHeight="1" x14ac:dyDescent="0.2">
      <c r="A3783" s="21"/>
      <c r="B3783" s="3" t="s">
        <v>16</v>
      </c>
      <c r="C3783" s="20"/>
      <c r="D3783" s="21"/>
    </row>
    <row r="3784" spans="1:4" ht="12.75" customHeight="1" x14ac:dyDescent="0.2">
      <c r="A3784" s="21"/>
      <c r="B3784" s="3" t="s">
        <v>17</v>
      </c>
      <c r="C3784" s="20" t="s">
        <v>19</v>
      </c>
      <c r="D3784" s="21"/>
    </row>
    <row r="3785" spans="1:4" ht="12.75" customHeight="1" x14ac:dyDescent="0.2">
      <c r="A3785" s="21"/>
      <c r="B3785" s="20" t="s">
        <v>18</v>
      </c>
      <c r="C3785" s="4" t="s">
        <v>44</v>
      </c>
      <c r="D3785" s="6" t="str">
        <f>HYPERLINK("javascript:void(0)","agytaposó")</f>
        <v>agytaposó</v>
      </c>
    </row>
    <row r="3786" spans="1:4" ht="12.75" customHeight="1" x14ac:dyDescent="0.2">
      <c r="A3786" s="21"/>
      <c r="B3786" s="21"/>
      <c r="C3786" s="4" t="s">
        <v>44</v>
      </c>
      <c r="D3786" s="6" t="str">
        <f>HYPERLINK("javascript:void(0)","tenyeres talp")</f>
        <v>tenyeres talp</v>
      </c>
    </row>
    <row r="3787" spans="1:4" ht="12.75" customHeight="1" x14ac:dyDescent="0.2">
      <c r="A3787" s="21"/>
      <c r="B3787" s="21"/>
      <c r="C3787" s="4" t="s">
        <v>68</v>
      </c>
      <c r="D3787" s="6" t="str">
        <f>HYPERLINK("javascript:void(0)","lidérc érc")</f>
        <v>lidérc érc</v>
      </c>
    </row>
    <row r="3788" spans="1:4" ht="12.75" customHeight="1" x14ac:dyDescent="0.2">
      <c r="A3788" s="21"/>
      <c r="B3788" s="2"/>
      <c r="C3788" s="2"/>
      <c r="D3788" s="2"/>
    </row>
    <row r="3789" spans="1:4" ht="12.75" customHeight="1" x14ac:dyDescent="0.2">
      <c r="A3789" s="21"/>
      <c r="B3789" s="2"/>
      <c r="C3789" s="2"/>
      <c r="D3789" s="2"/>
    </row>
    <row r="3790" spans="1:4" ht="12.75" customHeight="1" x14ac:dyDescent="0.2">
      <c r="A3790" s="21"/>
      <c r="B3790" s="2"/>
      <c r="C3790" s="2"/>
      <c r="D3790" s="2"/>
    </row>
    <row r="3791" spans="1:4" ht="12.75" customHeight="1" x14ac:dyDescent="0.2">
      <c r="A3791" s="21"/>
      <c r="B3791" s="2"/>
      <c r="C3791" s="2"/>
      <c r="D3791" s="2"/>
    </row>
    <row r="3792" spans="1:4" ht="12.75" customHeight="1" x14ac:dyDescent="0.2">
      <c r="A3792" s="5"/>
      <c r="B3792" s="2"/>
      <c r="C3792" s="2"/>
      <c r="D3792" s="2"/>
    </row>
    <row r="3793" spans="1:4" ht="12.75" customHeight="1" x14ac:dyDescent="0.2">
      <c r="A3793" s="22" t="str">
        <f>HYPERLINK("javascript:void(0)","árnycsizma")</f>
        <v>árnycsizma</v>
      </c>
      <c r="B3793" s="21"/>
      <c r="C3793" s="21"/>
      <c r="D3793" s="21"/>
    </row>
    <row r="3794" spans="1:4" ht="12.75" customHeight="1" x14ac:dyDescent="0.2">
      <c r="A3794" s="20"/>
      <c r="B3794" s="2"/>
      <c r="C3794" s="2"/>
      <c r="D3794" s="2"/>
    </row>
    <row r="3795" spans="1:4" ht="12.75" customHeight="1" x14ac:dyDescent="0.2">
      <c r="A3795" s="21"/>
      <c r="B3795" s="3" t="s">
        <v>0</v>
      </c>
      <c r="C3795" s="20" t="s">
        <v>1342</v>
      </c>
      <c r="D3795" s="21"/>
    </row>
    <row r="3796" spans="1:4" ht="12.75" customHeight="1" x14ac:dyDescent="0.2">
      <c r="A3796" s="21"/>
      <c r="B3796" s="3" t="s">
        <v>2</v>
      </c>
      <c r="C3796" s="20"/>
      <c r="D3796" s="21"/>
    </row>
    <row r="3797" spans="1:4" ht="12.75" customHeight="1" x14ac:dyDescent="0.2">
      <c r="A3797" s="21"/>
      <c r="B3797" s="3" t="s">
        <v>1840</v>
      </c>
      <c r="C3797" s="20" t="s">
        <v>2295</v>
      </c>
      <c r="D3797" s="21"/>
    </row>
    <row r="3798" spans="1:4" ht="12.75" customHeight="1" x14ac:dyDescent="0.2">
      <c r="A3798" s="21"/>
      <c r="B3798" s="3" t="s">
        <v>9</v>
      </c>
      <c r="C3798" s="20" t="s">
        <v>753</v>
      </c>
      <c r="D3798" s="21"/>
    </row>
    <row r="3799" spans="1:4" ht="12.75" customHeight="1" x14ac:dyDescent="0.2">
      <c r="A3799" s="21"/>
      <c r="B3799" s="3" t="s">
        <v>11</v>
      </c>
      <c r="C3799" s="20" t="s">
        <v>1131</v>
      </c>
      <c r="D3799" s="21"/>
    </row>
    <row r="3800" spans="1:4" ht="12.75" customHeight="1" x14ac:dyDescent="0.2">
      <c r="A3800" s="21"/>
      <c r="B3800" s="3" t="s">
        <v>16</v>
      </c>
      <c r="C3800" s="20"/>
      <c r="D3800" s="21"/>
    </row>
    <row r="3801" spans="1:4" ht="12.75" customHeight="1" x14ac:dyDescent="0.2">
      <c r="A3801" s="21"/>
      <c r="B3801" s="3" t="s">
        <v>17</v>
      </c>
      <c r="C3801" s="20" t="s">
        <v>19</v>
      </c>
      <c r="D3801" s="21"/>
    </row>
    <row r="3802" spans="1:4" ht="12.75" customHeight="1" x14ac:dyDescent="0.2">
      <c r="A3802" s="21"/>
      <c r="B3802" s="20" t="s">
        <v>18</v>
      </c>
      <c r="C3802" s="4" t="s">
        <v>44</v>
      </c>
      <c r="D3802" s="6" t="str">
        <f>HYPERLINK("javascript:void(0)","lidérccsizma")</f>
        <v>lidérccsizma</v>
      </c>
    </row>
    <row r="3803" spans="1:4" ht="12.75" customHeight="1" x14ac:dyDescent="0.2">
      <c r="A3803" s="21"/>
      <c r="B3803" s="21"/>
      <c r="C3803" s="4" t="s">
        <v>265</v>
      </c>
      <c r="D3803" s="6" t="str">
        <f>HYPERLINK("javascript:void(0)","árnyékláb")</f>
        <v>árnyékláb</v>
      </c>
    </row>
    <row r="3804" spans="1:4" ht="12.75" customHeight="1" x14ac:dyDescent="0.2">
      <c r="A3804" s="21"/>
      <c r="B3804" s="21"/>
      <c r="C3804" s="4" t="s">
        <v>163</v>
      </c>
      <c r="D3804" s="6" t="str">
        <f>HYPERLINK("javascript:void(0)","szemgyöngy")</f>
        <v>szemgyöngy</v>
      </c>
    </row>
    <row r="3805" spans="1:4" ht="12.75" customHeight="1" x14ac:dyDescent="0.2">
      <c r="A3805" s="21"/>
      <c r="B3805" s="2"/>
      <c r="C3805" s="2"/>
      <c r="D3805" s="2"/>
    </row>
  </sheetData>
  <mergeCells count="2186">
    <mergeCell ref="A1227:A1241"/>
    <mergeCell ref="C1250:D1250"/>
    <mergeCell ref="C1251:D1251"/>
    <mergeCell ref="B1252:B1254"/>
    <mergeCell ref="A1244:A1258"/>
    <mergeCell ref="C1234:D1234"/>
    <mergeCell ref="C1233:D1233"/>
    <mergeCell ref="C1245:D1245"/>
    <mergeCell ref="C1246:D1246"/>
    <mergeCell ref="C1247:D1247"/>
    <mergeCell ref="C1248:D1248"/>
    <mergeCell ref="C1249:D1249"/>
    <mergeCell ref="C1500:D1500"/>
    <mergeCell ref="C1501:D1501"/>
    <mergeCell ref="C1502:D1502"/>
    <mergeCell ref="C1503:D1503"/>
    <mergeCell ref="A1312:A1326"/>
    <mergeCell ref="A1329:A1343"/>
    <mergeCell ref="A1346:A1360"/>
    <mergeCell ref="A1363:A1377"/>
    <mergeCell ref="A1380:A1394"/>
    <mergeCell ref="A1397:A1411"/>
    <mergeCell ref="C1266:D1266"/>
    <mergeCell ref="C1267:D1267"/>
    <mergeCell ref="C1285:D1285"/>
    <mergeCell ref="B1286:B1288"/>
    <mergeCell ref="A1277:D1277"/>
    <mergeCell ref="C1279:D1279"/>
    <mergeCell ref="C1280:D1280"/>
    <mergeCell ref="A1465:A1479"/>
    <mergeCell ref="A1482:A1496"/>
    <mergeCell ref="C1472:D1472"/>
    <mergeCell ref="B1728:B1730"/>
    <mergeCell ref="C1725:D1725"/>
    <mergeCell ref="C1726:D1726"/>
    <mergeCell ref="C1573:D1573"/>
    <mergeCell ref="C1574:D1574"/>
    <mergeCell ref="C1268:D1268"/>
    <mergeCell ref="B1269:B1271"/>
    <mergeCell ref="B1405:B1407"/>
    <mergeCell ref="A1413:D1413"/>
    <mergeCell ref="A1414:A1428"/>
    <mergeCell ref="A1431:A1445"/>
    <mergeCell ref="A1448:A1462"/>
    <mergeCell ref="C1537:D1537"/>
    <mergeCell ref="C1538:D1538"/>
    <mergeCell ref="C1539:D1539"/>
    <mergeCell ref="C1540:D1540"/>
    <mergeCell ref="B1541:B1543"/>
    <mergeCell ref="A1549:D1549"/>
    <mergeCell ref="A1533:A1547"/>
    <mergeCell ref="A1550:A1564"/>
    <mergeCell ref="A1278:A1292"/>
    <mergeCell ref="A1295:A1309"/>
    <mergeCell ref="A1261:A1275"/>
    <mergeCell ref="C1483:D1483"/>
    <mergeCell ref="C1484:D1484"/>
    <mergeCell ref="C1485:D1485"/>
    <mergeCell ref="C1486:D1486"/>
    <mergeCell ref="C1487:D1487"/>
    <mergeCell ref="C1488:D1488"/>
    <mergeCell ref="C1489:D1489"/>
    <mergeCell ref="C1471:D1471"/>
    <mergeCell ref="B1337:B1339"/>
    <mergeCell ref="C1637:D1637"/>
    <mergeCell ref="C1638:D1638"/>
    <mergeCell ref="C1639:D1639"/>
    <mergeCell ref="C1640:D1640"/>
    <mergeCell ref="C1641:D1641"/>
    <mergeCell ref="C1642:D1642"/>
    <mergeCell ref="B1643:B1645"/>
    <mergeCell ref="A1651:D1651"/>
    <mergeCell ref="C1653:D1653"/>
    <mergeCell ref="C1654:D1654"/>
    <mergeCell ref="C1655:D1655"/>
    <mergeCell ref="A1635:A1649"/>
    <mergeCell ref="A1652:A1666"/>
    <mergeCell ref="C1721:D1721"/>
    <mergeCell ref="C1722:D1722"/>
    <mergeCell ref="C1723:D1723"/>
    <mergeCell ref="C1724:D1724"/>
    <mergeCell ref="C2389:D2389"/>
    <mergeCell ref="C2390:D2390"/>
    <mergeCell ref="C2388:D2388"/>
    <mergeCell ref="A2382:D2382"/>
    <mergeCell ref="C2384:D2384"/>
    <mergeCell ref="C2385:D2385"/>
    <mergeCell ref="C2386:D2386"/>
    <mergeCell ref="C2387:D2387"/>
    <mergeCell ref="B2391:B2393"/>
    <mergeCell ref="C1674:D1674"/>
    <mergeCell ref="C1673:D1673"/>
    <mergeCell ref="C1657:D1657"/>
    <mergeCell ref="C1658:D1658"/>
    <mergeCell ref="C1659:D1659"/>
    <mergeCell ref="B1660:B1662"/>
    <mergeCell ref="A1668:D1668"/>
    <mergeCell ref="C1670:D1670"/>
    <mergeCell ref="C1671:D1671"/>
    <mergeCell ref="C1672:D1672"/>
    <mergeCell ref="C1675:D1675"/>
    <mergeCell ref="C1676:D1676"/>
    <mergeCell ref="B1677:B1679"/>
    <mergeCell ref="A1685:D1685"/>
    <mergeCell ref="C1687:D1687"/>
    <mergeCell ref="C1688:D1688"/>
    <mergeCell ref="A1669:A1683"/>
    <mergeCell ref="A1686:A1700"/>
    <mergeCell ref="A1703:A1717"/>
    <mergeCell ref="C1704:D1704"/>
    <mergeCell ref="C1705:D1705"/>
    <mergeCell ref="C1706:D1706"/>
    <mergeCell ref="C1707:D1707"/>
    <mergeCell ref="C2639:D2639"/>
    <mergeCell ref="C2640:D2640"/>
    <mergeCell ref="C2641:D2641"/>
    <mergeCell ref="C2642:D2642"/>
    <mergeCell ref="A2637:D2637"/>
    <mergeCell ref="A2671:D2671"/>
    <mergeCell ref="C2643:D2643"/>
    <mergeCell ref="C1994:D1994"/>
    <mergeCell ref="C1995:D1995"/>
    <mergeCell ref="A2025:D2025"/>
    <mergeCell ref="C2010:D2010"/>
    <mergeCell ref="C2011:D2011"/>
    <mergeCell ref="C2012:D2012"/>
    <mergeCell ref="A2059:D2059"/>
    <mergeCell ref="A2127:D2127"/>
    <mergeCell ref="C2129:D2129"/>
    <mergeCell ref="C2130:D2130"/>
    <mergeCell ref="C2131:D2131"/>
    <mergeCell ref="C2132:D2132"/>
    <mergeCell ref="C2133:D2133"/>
    <mergeCell ref="C2134:D2134"/>
    <mergeCell ref="B2136:B2138"/>
    <mergeCell ref="C2135:D2135"/>
    <mergeCell ref="C2180:D2180"/>
    <mergeCell ref="C2181:D2181"/>
    <mergeCell ref="C2182:D2182"/>
    <mergeCell ref="C1998:D1998"/>
    <mergeCell ref="C1999:D1999"/>
    <mergeCell ref="C2248:D2248"/>
    <mergeCell ref="C2249:D2249"/>
    <mergeCell ref="C2250:D2250"/>
    <mergeCell ref="C2251:D2251"/>
    <mergeCell ref="C2656:D2656"/>
    <mergeCell ref="C2657:D2657"/>
    <mergeCell ref="C2658:D2658"/>
    <mergeCell ref="C2659:D2659"/>
    <mergeCell ref="C2660:D2660"/>
    <mergeCell ref="C2661:D2661"/>
    <mergeCell ref="C2662:D2662"/>
    <mergeCell ref="C2676:D2676"/>
    <mergeCell ref="C2673:D2673"/>
    <mergeCell ref="C2674:D2674"/>
    <mergeCell ref="C2675:D2675"/>
    <mergeCell ref="B2765:B2767"/>
    <mergeCell ref="C2764:D2764"/>
    <mergeCell ref="B2680:B2682"/>
    <mergeCell ref="C2678:D2678"/>
    <mergeCell ref="C2679:D2679"/>
    <mergeCell ref="C2762:D2762"/>
    <mergeCell ref="C2727:D2727"/>
    <mergeCell ref="C2728:D2728"/>
    <mergeCell ref="B2731:B2733"/>
    <mergeCell ref="A2739:D2739"/>
    <mergeCell ref="A2756:D2756"/>
    <mergeCell ref="C2759:D2759"/>
    <mergeCell ref="C2760:D2760"/>
    <mergeCell ref="C2796:D2796"/>
    <mergeCell ref="C2797:D2797"/>
    <mergeCell ref="C2798:D2798"/>
    <mergeCell ref="C2792:D2792"/>
    <mergeCell ref="C2793:D2793"/>
    <mergeCell ref="C2794:D2794"/>
    <mergeCell ref="C2795:D2795"/>
    <mergeCell ref="B2799:B2801"/>
    <mergeCell ref="A2807:D2807"/>
    <mergeCell ref="C2814:D2814"/>
    <mergeCell ref="C2815:D2815"/>
    <mergeCell ref="B2816:B2818"/>
    <mergeCell ref="A2808:A2822"/>
    <mergeCell ref="A2791:A2805"/>
    <mergeCell ref="C2491:D2491"/>
    <mergeCell ref="C2492:D2492"/>
    <mergeCell ref="B2425:B2427"/>
    <mergeCell ref="A2433:D2433"/>
    <mergeCell ref="A2790:D2790"/>
    <mergeCell ref="C2695:D2695"/>
    <mergeCell ref="C2696:D2696"/>
    <mergeCell ref="B2697:B2699"/>
    <mergeCell ref="A2705:D2705"/>
    <mergeCell ref="C2489:D2489"/>
    <mergeCell ref="C2490:D2490"/>
    <mergeCell ref="C2574:D2574"/>
    <mergeCell ref="C2575:D2575"/>
    <mergeCell ref="C2576:D2576"/>
    <mergeCell ref="C2577:D2577"/>
    <mergeCell ref="C2588:D2588"/>
    <mergeCell ref="C2589:D2589"/>
    <mergeCell ref="C2590:D2590"/>
    <mergeCell ref="C2406:D2406"/>
    <mergeCell ref="C2407:D2407"/>
    <mergeCell ref="B2408:B2410"/>
    <mergeCell ref="C2405:D2405"/>
    <mergeCell ref="A2399:D2399"/>
    <mergeCell ref="C2435:D2435"/>
    <mergeCell ref="C2436:D2436"/>
    <mergeCell ref="C2437:D2437"/>
    <mergeCell ref="C2438:D2438"/>
    <mergeCell ref="C2441:D2441"/>
    <mergeCell ref="C2763:D2763"/>
    <mergeCell ref="C2781:D2781"/>
    <mergeCell ref="B2782:B2784"/>
    <mergeCell ref="C2709:D2709"/>
    <mergeCell ref="C2710:D2710"/>
    <mergeCell ref="C2711:D2711"/>
    <mergeCell ref="C2712:D2712"/>
    <mergeCell ref="C2713:D2713"/>
    <mergeCell ref="B2714:B2716"/>
    <mergeCell ref="C2724:D2724"/>
    <mergeCell ref="C2725:D2725"/>
    <mergeCell ref="C2729:D2729"/>
    <mergeCell ref="C2730:D2730"/>
    <mergeCell ref="C2707:D2707"/>
    <mergeCell ref="C2708:D2708"/>
    <mergeCell ref="A2688:D2688"/>
    <mergeCell ref="A2722:D2722"/>
    <mergeCell ref="C2726:D2726"/>
    <mergeCell ref="C2644:D2644"/>
    <mergeCell ref="C2645:D2645"/>
    <mergeCell ref="C2691:D2691"/>
    <mergeCell ref="C2692:D2692"/>
    <mergeCell ref="C2608:D2608"/>
    <mergeCell ref="C2609:D2609"/>
    <mergeCell ref="C2610:D2610"/>
    <mergeCell ref="C2611:D2611"/>
    <mergeCell ref="A2620:D2620"/>
    <mergeCell ref="C2622:D2622"/>
    <mergeCell ref="C2623:D2623"/>
    <mergeCell ref="C2592:D2592"/>
    <mergeCell ref="C2593:D2593"/>
    <mergeCell ref="B2493:B2495"/>
    <mergeCell ref="A2501:D2501"/>
    <mergeCell ref="C2677:D2677"/>
    <mergeCell ref="C2690:D2690"/>
    <mergeCell ref="C2624:D2624"/>
    <mergeCell ref="C2625:D2625"/>
    <mergeCell ref="C2626:D2626"/>
    <mergeCell ref="C2627:D2627"/>
    <mergeCell ref="C2628:D2628"/>
    <mergeCell ref="B2629:B2631"/>
    <mergeCell ref="C2572:D2572"/>
    <mergeCell ref="A2569:D2569"/>
    <mergeCell ref="C2571:D2571"/>
    <mergeCell ref="C2573:D2573"/>
    <mergeCell ref="A2603:D2603"/>
    <mergeCell ref="C2605:D2605"/>
    <mergeCell ref="C2606:D2606"/>
    <mergeCell ref="C2607:D2607"/>
    <mergeCell ref="C2558:D2558"/>
    <mergeCell ref="B2561:B2563"/>
    <mergeCell ref="C2594:D2594"/>
    <mergeCell ref="B2595:B2597"/>
    <mergeCell ref="A2654:D2654"/>
    <mergeCell ref="C2779:D2779"/>
    <mergeCell ref="A2774:A2788"/>
    <mergeCell ref="C2780:D2780"/>
    <mergeCell ref="A2773:D2773"/>
    <mergeCell ref="C2775:D2775"/>
    <mergeCell ref="C2776:D2776"/>
    <mergeCell ref="C2777:D2777"/>
    <mergeCell ref="C2778:D2778"/>
    <mergeCell ref="C2693:D2693"/>
    <mergeCell ref="C2694:D2694"/>
    <mergeCell ref="C2741:D2741"/>
    <mergeCell ref="C2742:D2742"/>
    <mergeCell ref="C2743:D2743"/>
    <mergeCell ref="C2744:D2744"/>
    <mergeCell ref="C2745:D2745"/>
    <mergeCell ref="C2746:D2746"/>
    <mergeCell ref="C2747:D2747"/>
    <mergeCell ref="B2748:B2750"/>
    <mergeCell ref="C2758:D2758"/>
    <mergeCell ref="C2761:D2761"/>
    <mergeCell ref="A2706:A2720"/>
    <mergeCell ref="A2723:A2737"/>
    <mergeCell ref="A2740:A2754"/>
    <mergeCell ref="A2757:A2771"/>
    <mergeCell ref="C2282:D2282"/>
    <mergeCell ref="C2283:D2283"/>
    <mergeCell ref="C1826:D1826"/>
    <mergeCell ref="C1827:D1827"/>
    <mergeCell ref="B1983:B1985"/>
    <mergeCell ref="A1991:D1991"/>
    <mergeCell ref="B1813:B1815"/>
    <mergeCell ref="A1821:D1821"/>
    <mergeCell ref="C1823:D1823"/>
    <mergeCell ref="C1824:D1824"/>
    <mergeCell ref="C1825:D1825"/>
    <mergeCell ref="C1947:D1947"/>
    <mergeCell ref="C1948:D1948"/>
    <mergeCell ref="C1844:D1844"/>
    <mergeCell ref="C1845:D1845"/>
    <mergeCell ref="C1846:D1846"/>
    <mergeCell ref="B1847:B1849"/>
    <mergeCell ref="C1860:D1860"/>
    <mergeCell ref="C1857:D1857"/>
    <mergeCell ref="C1858:D1858"/>
    <mergeCell ref="C1859:D1859"/>
    <mergeCell ref="C1896:D1896"/>
    <mergeCell ref="C1897:D1897"/>
    <mergeCell ref="C1912:D1912"/>
    <mergeCell ref="A1906:D1906"/>
    <mergeCell ref="C2252:D2252"/>
    <mergeCell ref="A1889:D1889"/>
    <mergeCell ref="C1891:D1891"/>
    <mergeCell ref="C1892:D1892"/>
    <mergeCell ref="C1893:D1893"/>
    <mergeCell ref="C2031:D2031"/>
    <mergeCell ref="C2032:D2032"/>
    <mergeCell ref="C1908:D1908"/>
    <mergeCell ref="C1909:D1909"/>
    <mergeCell ref="C1910:D1910"/>
    <mergeCell ref="C1911:D1911"/>
    <mergeCell ref="C1925:D1925"/>
    <mergeCell ref="C2202:D2202"/>
    <mergeCell ref="C2233:D2233"/>
    <mergeCell ref="C2183:D2183"/>
    <mergeCell ref="C2184:D2184"/>
    <mergeCell ref="B2289:B2291"/>
    <mergeCell ref="A2297:D2297"/>
    <mergeCell ref="C2197:D2197"/>
    <mergeCell ref="C2198:D2198"/>
    <mergeCell ref="C2199:D2199"/>
    <mergeCell ref="C2200:D2200"/>
    <mergeCell ref="C2201:D2201"/>
    <mergeCell ref="C2234:D2234"/>
    <mergeCell ref="C2235:D2235"/>
    <mergeCell ref="C2236:D2236"/>
    <mergeCell ref="C2237:D2237"/>
    <mergeCell ref="B2255:B2257"/>
    <mergeCell ref="A2263:D2263"/>
    <mergeCell ref="C2265:D2265"/>
    <mergeCell ref="C2266:D2266"/>
    <mergeCell ref="C2267:D2267"/>
    <mergeCell ref="C2268:D2268"/>
    <mergeCell ref="C2217:D2217"/>
    <mergeCell ref="B2187:B2189"/>
    <mergeCell ref="A2195:D2195"/>
    <mergeCell ref="C2203:D2203"/>
    <mergeCell ref="B2204:B2206"/>
    <mergeCell ref="A2212:D2212"/>
    <mergeCell ref="C1875:D1875"/>
    <mergeCell ref="C1876:D1876"/>
    <mergeCell ref="C1879:D1879"/>
    <mergeCell ref="C1880:D1880"/>
    <mergeCell ref="B1881:B1883"/>
    <mergeCell ref="C1877:D1877"/>
    <mergeCell ref="C1878:D1878"/>
    <mergeCell ref="C1862:D1862"/>
    <mergeCell ref="C1863:D1863"/>
    <mergeCell ref="B1864:B1866"/>
    <mergeCell ref="A1872:D1872"/>
    <mergeCell ref="C1874:D1874"/>
    <mergeCell ref="C2046:D2046"/>
    <mergeCell ref="C2047:D2047"/>
    <mergeCell ref="C2033:D2033"/>
    <mergeCell ref="B2034:B2036"/>
    <mergeCell ref="A2008:D2008"/>
    <mergeCell ref="C2027:D2027"/>
    <mergeCell ref="C2028:D2028"/>
    <mergeCell ref="C2029:D2029"/>
    <mergeCell ref="C2030:D2030"/>
    <mergeCell ref="C2044:D2044"/>
    <mergeCell ref="C2045:D2045"/>
    <mergeCell ref="A2042:D2042"/>
    <mergeCell ref="C1926:D1926"/>
    <mergeCell ref="C1927:D1927"/>
    <mergeCell ref="C1928:D1928"/>
    <mergeCell ref="C1929:D1929"/>
    <mergeCell ref="C1930:D1930"/>
    <mergeCell ref="C1931:D1931"/>
    <mergeCell ref="C1894:D1894"/>
    <mergeCell ref="C1895:D1895"/>
    <mergeCell ref="C2214:D2214"/>
    <mergeCell ref="C2215:D2215"/>
    <mergeCell ref="C2253:D2253"/>
    <mergeCell ref="A2246:D2246"/>
    <mergeCell ref="C2218:D2218"/>
    <mergeCell ref="C2219:D2219"/>
    <mergeCell ref="C2220:D2220"/>
    <mergeCell ref="C2231:D2231"/>
    <mergeCell ref="C2232:D2232"/>
    <mergeCell ref="C2254:D2254"/>
    <mergeCell ref="B2238:B2240"/>
    <mergeCell ref="C2166:D2166"/>
    <mergeCell ref="C2167:D2167"/>
    <mergeCell ref="C2168:D2168"/>
    <mergeCell ref="C2169:D2169"/>
    <mergeCell ref="B2170:B2172"/>
    <mergeCell ref="A2178:D2178"/>
    <mergeCell ref="C2185:D2185"/>
    <mergeCell ref="C2186:D2186"/>
    <mergeCell ref="A2196:A2210"/>
    <mergeCell ref="A2213:A2227"/>
    <mergeCell ref="A2230:A2244"/>
    <mergeCell ref="A2247:A2261"/>
    <mergeCell ref="A2162:A2176"/>
    <mergeCell ref="A2179:A2193"/>
    <mergeCell ref="A2161:D2161"/>
    <mergeCell ref="C2150:D2150"/>
    <mergeCell ref="C2149:D2149"/>
    <mergeCell ref="A2144:D2144"/>
    <mergeCell ref="C2146:D2146"/>
    <mergeCell ref="C2147:D2147"/>
    <mergeCell ref="C2148:D2148"/>
    <mergeCell ref="C2151:D2151"/>
    <mergeCell ref="C2152:D2152"/>
    <mergeCell ref="B2153:B2155"/>
    <mergeCell ref="C2216:D2216"/>
    <mergeCell ref="C2065:D2065"/>
    <mergeCell ref="C2066:D2066"/>
    <mergeCell ref="C2067:D2067"/>
    <mergeCell ref="B2068:B2070"/>
    <mergeCell ref="C2079:D2079"/>
    <mergeCell ref="C2080:D2080"/>
    <mergeCell ref="C2081:D2081"/>
    <mergeCell ref="C2082:D2082"/>
    <mergeCell ref="C2112:D2112"/>
    <mergeCell ref="C2113:D2113"/>
    <mergeCell ref="C2114:D2114"/>
    <mergeCell ref="C2115:D2115"/>
    <mergeCell ref="C2116:D2116"/>
    <mergeCell ref="C2117:D2117"/>
    <mergeCell ref="C2118:D2118"/>
    <mergeCell ref="B2119:B2121"/>
    <mergeCell ref="C2165:D2165"/>
    <mergeCell ref="C2163:D2163"/>
    <mergeCell ref="C2164:D2164"/>
    <mergeCell ref="C2097:D2097"/>
    <mergeCell ref="C2098:D2098"/>
    <mergeCell ref="A1515:D1515"/>
    <mergeCell ref="A1516:A1530"/>
    <mergeCell ref="A1499:A1513"/>
    <mergeCell ref="C1777:D1777"/>
    <mergeCell ref="C1778:D1778"/>
    <mergeCell ref="C1793:D1793"/>
    <mergeCell ref="C1794:D1794"/>
    <mergeCell ref="C1795:D1795"/>
    <mergeCell ref="B1796:B1798"/>
    <mergeCell ref="A1804:D1804"/>
    <mergeCell ref="A1788:A1802"/>
    <mergeCell ref="A1805:A1819"/>
    <mergeCell ref="B1779:B1781"/>
    <mergeCell ref="A1787:D1787"/>
    <mergeCell ref="C1772:D1772"/>
    <mergeCell ref="C1773:D1773"/>
    <mergeCell ref="C1774:D1774"/>
    <mergeCell ref="C1775:D1775"/>
    <mergeCell ref="C1776:D1776"/>
    <mergeCell ref="C1656:D1656"/>
    <mergeCell ref="C1708:D1708"/>
    <mergeCell ref="C1709:D1709"/>
    <mergeCell ref="C1710:D1710"/>
    <mergeCell ref="C1689:D1689"/>
    <mergeCell ref="C1690:D1690"/>
    <mergeCell ref="C1691:D1691"/>
    <mergeCell ref="C1692:D1692"/>
    <mergeCell ref="C1693:D1693"/>
    <mergeCell ref="B1694:B1696"/>
    <mergeCell ref="A1702:D1702"/>
    <mergeCell ref="C1757:D1757"/>
    <mergeCell ref="C1621:D1621"/>
    <mergeCell ref="C1828:D1828"/>
    <mergeCell ref="C1829:D1829"/>
    <mergeCell ref="C1913:D1913"/>
    <mergeCell ref="C1914:D1914"/>
    <mergeCell ref="A1923:D1923"/>
    <mergeCell ref="B2000:B2002"/>
    <mergeCell ref="B1898:B1900"/>
    <mergeCell ref="A1754:A1768"/>
    <mergeCell ref="C1194:D1194"/>
    <mergeCell ref="B1184:B1186"/>
    <mergeCell ref="A1176:A1190"/>
    <mergeCell ref="C1216:D1216"/>
    <mergeCell ref="C1217:D1217"/>
    <mergeCell ref="A1192:D1192"/>
    <mergeCell ref="C1195:D1195"/>
    <mergeCell ref="C1196:D1196"/>
    <mergeCell ref="C1197:D1197"/>
    <mergeCell ref="A1193:A1207"/>
    <mergeCell ref="A1210:A1224"/>
    <mergeCell ref="C1281:D1281"/>
    <mergeCell ref="C1282:D1282"/>
    <mergeCell ref="C1283:D1283"/>
    <mergeCell ref="C1284:D1284"/>
    <mergeCell ref="B1354:B1356"/>
    <mergeCell ref="C1435:D1435"/>
    <mergeCell ref="C1335:D1335"/>
    <mergeCell ref="C1336:D1336"/>
    <mergeCell ref="C1404:D1404"/>
    <mergeCell ref="B1490:B1492"/>
    <mergeCell ref="A1498:D1498"/>
    <mergeCell ref="C1469:D1469"/>
    <mergeCell ref="C1470:D1470"/>
    <mergeCell ref="C2286:D2286"/>
    <mergeCell ref="C2269:D2269"/>
    <mergeCell ref="C2270:D2270"/>
    <mergeCell ref="C2271:D2271"/>
    <mergeCell ref="B2306:B2308"/>
    <mergeCell ref="A2314:D2314"/>
    <mergeCell ref="C2317:D2317"/>
    <mergeCell ref="C2318:D2318"/>
    <mergeCell ref="C2319:D2319"/>
    <mergeCell ref="C2320:D2320"/>
    <mergeCell ref="C2321:D2321"/>
    <mergeCell ref="C2322:D2322"/>
    <mergeCell ref="C2333:D2333"/>
    <mergeCell ref="C2334:D2334"/>
    <mergeCell ref="C2335:D2335"/>
    <mergeCell ref="C2336:D2336"/>
    <mergeCell ref="C1861:D1861"/>
    <mergeCell ref="A2076:D2076"/>
    <mergeCell ref="C2078:D2078"/>
    <mergeCell ref="C2048:D2048"/>
    <mergeCell ref="C2049:D2049"/>
    <mergeCell ref="C2050:D2050"/>
    <mergeCell ref="C2083:D2083"/>
    <mergeCell ref="C2084:D2084"/>
    <mergeCell ref="B2085:B2087"/>
    <mergeCell ref="A2093:D2093"/>
    <mergeCell ref="C2095:D2095"/>
    <mergeCell ref="C2096:D2096"/>
    <mergeCell ref="C2061:D2061"/>
    <mergeCell ref="C2062:D2062"/>
    <mergeCell ref="C2063:D2063"/>
    <mergeCell ref="C2064:D2064"/>
    <mergeCell ref="C2099:D2099"/>
    <mergeCell ref="C2100:D2100"/>
    <mergeCell ref="C2101:D2101"/>
    <mergeCell ref="B2102:B2104"/>
    <mergeCell ref="A2110:D2110"/>
    <mergeCell ref="B2357:B2359"/>
    <mergeCell ref="A2416:D2416"/>
    <mergeCell ref="A2450:D2450"/>
    <mergeCell ref="C2350:D2350"/>
    <mergeCell ref="C2351:D2351"/>
    <mergeCell ref="C2352:D2352"/>
    <mergeCell ref="C2353:D2353"/>
    <mergeCell ref="C2354:D2354"/>
    <mergeCell ref="C2355:D2355"/>
    <mergeCell ref="C2356:D2356"/>
    <mergeCell ref="C2439:D2439"/>
    <mergeCell ref="C2373:D2373"/>
    <mergeCell ref="C2424:D2424"/>
    <mergeCell ref="C2401:D2401"/>
    <mergeCell ref="C2402:D2402"/>
    <mergeCell ref="C2403:D2403"/>
    <mergeCell ref="C2404:D2404"/>
    <mergeCell ref="C2440:D2440"/>
    <mergeCell ref="C2284:D2284"/>
    <mergeCell ref="C2285:D2285"/>
    <mergeCell ref="C2288:D2288"/>
    <mergeCell ref="C2367:D2367"/>
    <mergeCell ref="C2368:D2368"/>
    <mergeCell ref="C2369:D2369"/>
    <mergeCell ref="C2370:D2370"/>
    <mergeCell ref="B2221:B2223"/>
    <mergeCell ref="A2229:D2229"/>
    <mergeCell ref="B2272:B2274"/>
    <mergeCell ref="C2540:D2540"/>
    <mergeCell ref="C2541:D2541"/>
    <mergeCell ref="C2557:D2557"/>
    <mergeCell ref="C2521:D2521"/>
    <mergeCell ref="C2522:D2522"/>
    <mergeCell ref="C2523:D2523"/>
    <mergeCell ref="C2524:D2524"/>
    <mergeCell ref="C2525:D2525"/>
    <mergeCell ref="C2526:D2526"/>
    <mergeCell ref="C2287:D2287"/>
    <mergeCell ref="A2280:D2280"/>
    <mergeCell ref="C2337:D2337"/>
    <mergeCell ref="C2338:D2338"/>
    <mergeCell ref="C2339:D2339"/>
    <mergeCell ref="B2340:B2342"/>
    <mergeCell ref="A2348:D2348"/>
    <mergeCell ref="C2452:D2452"/>
    <mergeCell ref="C2455:D2455"/>
    <mergeCell ref="C2456:D2456"/>
    <mergeCell ref="C2457:D2457"/>
    <mergeCell ref="C2473:D2473"/>
    <mergeCell ref="C2469:D2469"/>
    <mergeCell ref="C2470:D2470"/>
    <mergeCell ref="C2471:D2471"/>
    <mergeCell ref="C2472:D2472"/>
    <mergeCell ref="C2474:D2474"/>
    <mergeCell ref="C2475:D2475"/>
    <mergeCell ref="A2264:A2278"/>
    <mergeCell ref="A2281:A2295"/>
    <mergeCell ref="A2298:A2312"/>
    <mergeCell ref="A2315:A2329"/>
    <mergeCell ref="C3269:D3269"/>
    <mergeCell ref="C3270:D3270"/>
    <mergeCell ref="C3271:D3271"/>
    <mergeCell ref="C3272:D3272"/>
    <mergeCell ref="C3257:D3257"/>
    <mergeCell ref="A3148:A3162"/>
    <mergeCell ref="A3165:A3179"/>
    <mergeCell ref="A3334:D3334"/>
    <mergeCell ref="A3351:D3351"/>
    <mergeCell ref="A3368:D3368"/>
    <mergeCell ref="B3343:B3345"/>
    <mergeCell ref="A3335:A3349"/>
    <mergeCell ref="A3352:A3366"/>
    <mergeCell ref="A3131:A3145"/>
    <mergeCell ref="B3139:B3141"/>
    <mergeCell ref="A3147:D3147"/>
    <mergeCell ref="A3301:A3315"/>
    <mergeCell ref="A3318:A3332"/>
    <mergeCell ref="B3275:B3277"/>
    <mergeCell ref="A3283:D3283"/>
    <mergeCell ref="C3235:D3235"/>
    <mergeCell ref="C3236:D3236"/>
    <mergeCell ref="C3220:D3220"/>
    <mergeCell ref="C3221:D3221"/>
    <mergeCell ref="C3222:D3222"/>
    <mergeCell ref="C3223:D3223"/>
    <mergeCell ref="C3185:D3185"/>
    <mergeCell ref="C3186:D3186"/>
    <mergeCell ref="C3187:D3187"/>
    <mergeCell ref="C3188:D3188"/>
    <mergeCell ref="A3216:A3230"/>
    <mergeCell ref="A3233:A3247"/>
    <mergeCell ref="A3267:A3281"/>
    <mergeCell ref="A3284:A3298"/>
    <mergeCell ref="B3292:B3294"/>
    <mergeCell ref="B3309:B3311"/>
    <mergeCell ref="B3326:B3328"/>
    <mergeCell ref="B3241:B3243"/>
    <mergeCell ref="C3254:D3254"/>
    <mergeCell ref="C3256:D3256"/>
    <mergeCell ref="B3258:B3260"/>
    <mergeCell ref="A3266:D3266"/>
    <mergeCell ref="A3250:A3264"/>
    <mergeCell ref="A3300:D3300"/>
    <mergeCell ref="A3317:D3317"/>
    <mergeCell ref="A3249:D3249"/>
    <mergeCell ref="B3190:B3192"/>
    <mergeCell ref="A3198:D3198"/>
    <mergeCell ref="A3182:A3196"/>
    <mergeCell ref="C3252:D3252"/>
    <mergeCell ref="C3253:D3253"/>
    <mergeCell ref="C3268:D3268"/>
    <mergeCell ref="B3207:B3209"/>
    <mergeCell ref="A3215:D3215"/>
    <mergeCell ref="B3224:B3226"/>
    <mergeCell ref="A3232:D3232"/>
    <mergeCell ref="A3199:A3213"/>
    <mergeCell ref="C3200:D3200"/>
    <mergeCell ref="C3189:D3189"/>
    <mergeCell ref="C3201:D3201"/>
    <mergeCell ref="C3206:D3206"/>
    <mergeCell ref="C3217:D3217"/>
    <mergeCell ref="C3183:D3183"/>
    <mergeCell ref="C3184:D3184"/>
    <mergeCell ref="B3156:B3158"/>
    <mergeCell ref="A3164:D3164"/>
    <mergeCell ref="B3173:B3175"/>
    <mergeCell ref="A3181:D3181"/>
    <mergeCell ref="C3172:D3172"/>
    <mergeCell ref="C3104:D3104"/>
    <mergeCell ref="B3105:B3107"/>
    <mergeCell ref="A3113:D3113"/>
    <mergeCell ref="C3115:D3115"/>
    <mergeCell ref="C3116:D3116"/>
    <mergeCell ref="A3097:A3111"/>
    <mergeCell ref="C3117:D3117"/>
    <mergeCell ref="C3118:D3118"/>
    <mergeCell ref="C3119:D3119"/>
    <mergeCell ref="C3120:D3120"/>
    <mergeCell ref="C3121:D3121"/>
    <mergeCell ref="B3122:B3124"/>
    <mergeCell ref="A3130:D3130"/>
    <mergeCell ref="A3114:A3128"/>
    <mergeCell ref="C3098:D3098"/>
    <mergeCell ref="C3099:D3099"/>
    <mergeCell ref="C3100:D3100"/>
    <mergeCell ref="C3101:D3101"/>
    <mergeCell ref="C3102:D3102"/>
    <mergeCell ref="C3103:D3103"/>
    <mergeCell ref="C3150:D3150"/>
    <mergeCell ref="C3151:D3151"/>
    <mergeCell ref="C3154:D3154"/>
    <mergeCell ref="C3155:D3155"/>
    <mergeCell ref="C3132:D3132"/>
    <mergeCell ref="C3133:D3133"/>
    <mergeCell ref="C3134:D3134"/>
    <mergeCell ref="C3135:D3135"/>
    <mergeCell ref="C3166:D3166"/>
    <mergeCell ref="C3167:D3167"/>
    <mergeCell ref="C3168:D3168"/>
    <mergeCell ref="C3202:D3202"/>
    <mergeCell ref="C3203:D3203"/>
    <mergeCell ref="C3237:D3237"/>
    <mergeCell ref="C3238:D3238"/>
    <mergeCell ref="C3239:D3239"/>
    <mergeCell ref="C3240:D3240"/>
    <mergeCell ref="C3234:D3234"/>
    <mergeCell ref="C3204:D3204"/>
    <mergeCell ref="C3205:D3205"/>
    <mergeCell ref="C3218:D3218"/>
    <mergeCell ref="C3219:D3219"/>
    <mergeCell ref="C3171:D3171"/>
    <mergeCell ref="C3371:D3371"/>
    <mergeCell ref="C3303:D3303"/>
    <mergeCell ref="C3304:D3304"/>
    <mergeCell ref="C3305:D3305"/>
    <mergeCell ref="C3306:D3306"/>
    <mergeCell ref="C3307:D3307"/>
    <mergeCell ref="C3255:D3255"/>
    <mergeCell ref="C3285:D3285"/>
    <mergeCell ref="C3325:D3325"/>
    <mergeCell ref="C3336:D3336"/>
    <mergeCell ref="C3337:D3337"/>
    <mergeCell ref="C3338:D3338"/>
    <mergeCell ref="C3339:D3339"/>
    <mergeCell ref="C3340:D3340"/>
    <mergeCell ref="C3341:D3341"/>
    <mergeCell ref="C3342:D3342"/>
    <mergeCell ref="C3507:D3507"/>
    <mergeCell ref="C3508:D3508"/>
    <mergeCell ref="C3509:D3509"/>
    <mergeCell ref="C3510:D3510"/>
    <mergeCell ref="C3511:D3511"/>
    <mergeCell ref="C3512:D3512"/>
    <mergeCell ref="C3376:D3376"/>
    <mergeCell ref="C3442:D3442"/>
    <mergeCell ref="C3443:D3443"/>
    <mergeCell ref="C3425:D3425"/>
    <mergeCell ref="C3426:D3426"/>
    <mergeCell ref="A3436:D3436"/>
    <mergeCell ref="C3438:D3438"/>
    <mergeCell ref="A3437:A3451"/>
    <mergeCell ref="C3439:D3439"/>
    <mergeCell ref="A3369:A3383"/>
    <mergeCell ref="C3391:D3391"/>
    <mergeCell ref="C3392:D3392"/>
    <mergeCell ref="A3402:D3402"/>
    <mergeCell ref="B3411:B3413"/>
    <mergeCell ref="A3419:D3419"/>
    <mergeCell ref="C3393:D3393"/>
    <mergeCell ref="C3404:D3404"/>
    <mergeCell ref="C3459:D3459"/>
    <mergeCell ref="C3460:D3460"/>
    <mergeCell ref="C3389:D3389"/>
    <mergeCell ref="B3445:B3447"/>
    <mergeCell ref="A3453:D3453"/>
    <mergeCell ref="C3476:D3476"/>
    <mergeCell ref="C3477:D3477"/>
    <mergeCell ref="C3308:D3308"/>
    <mergeCell ref="C3319:D3319"/>
    <mergeCell ref="C3320:D3320"/>
    <mergeCell ref="C3321:D3321"/>
    <mergeCell ref="C3322:D3322"/>
    <mergeCell ref="C3323:D3323"/>
    <mergeCell ref="C3324:D3324"/>
    <mergeCell ref="C3359:D3359"/>
    <mergeCell ref="C3353:D3353"/>
    <mergeCell ref="C3354:D3354"/>
    <mergeCell ref="C3355:D3355"/>
    <mergeCell ref="C3356:D3356"/>
    <mergeCell ref="C3357:D3357"/>
    <mergeCell ref="C3358:D3358"/>
    <mergeCell ref="C3370:D3370"/>
    <mergeCell ref="B487:B489"/>
    <mergeCell ref="A479:A493"/>
    <mergeCell ref="A496:A510"/>
    <mergeCell ref="A530:A544"/>
    <mergeCell ref="A547:A561"/>
    <mergeCell ref="C571:D571"/>
    <mergeCell ref="C548:D548"/>
    <mergeCell ref="C549:D549"/>
    <mergeCell ref="C550:D550"/>
    <mergeCell ref="C551:D551"/>
    <mergeCell ref="C553:D553"/>
    <mergeCell ref="C554:D554"/>
    <mergeCell ref="C536:D536"/>
    <mergeCell ref="A546:D546"/>
    <mergeCell ref="C3302:D3302"/>
    <mergeCell ref="C3286:D3286"/>
    <mergeCell ref="C3287:D3287"/>
    <mergeCell ref="C3288:D3288"/>
    <mergeCell ref="C3289:D3289"/>
    <mergeCell ref="C3290:D3290"/>
    <mergeCell ref="C3291:D3291"/>
    <mergeCell ref="C3251:D3251"/>
    <mergeCell ref="C3273:D3273"/>
    <mergeCell ref="C3274:D3274"/>
    <mergeCell ref="C3169:D3169"/>
    <mergeCell ref="C3170:D3170"/>
    <mergeCell ref="C3152:D3152"/>
    <mergeCell ref="C3153:D3153"/>
    <mergeCell ref="C3136:D3136"/>
    <mergeCell ref="C3137:D3137"/>
    <mergeCell ref="C3138:D3138"/>
    <mergeCell ref="C3149:D3149"/>
    <mergeCell ref="B572:B574"/>
    <mergeCell ref="B555:B557"/>
    <mergeCell ref="C587:D587"/>
    <mergeCell ref="C588:D588"/>
    <mergeCell ref="B589:B591"/>
    <mergeCell ref="C570:D570"/>
    <mergeCell ref="C622:D622"/>
    <mergeCell ref="B623:B625"/>
    <mergeCell ref="A631:D631"/>
    <mergeCell ref="C633:D633"/>
    <mergeCell ref="C634:D634"/>
    <mergeCell ref="C635:D635"/>
    <mergeCell ref="C636:D636"/>
    <mergeCell ref="C637:D637"/>
    <mergeCell ref="C1977:D1977"/>
    <mergeCell ref="C1978:D1978"/>
    <mergeCell ref="C1979:D1979"/>
    <mergeCell ref="A478:D478"/>
    <mergeCell ref="C483:D483"/>
    <mergeCell ref="C484:D484"/>
    <mergeCell ref="C485:D485"/>
    <mergeCell ref="C486:D486"/>
    <mergeCell ref="A495:D495"/>
    <mergeCell ref="C482:D482"/>
    <mergeCell ref="C502:D502"/>
    <mergeCell ref="C503:D503"/>
    <mergeCell ref="C501:D501"/>
    <mergeCell ref="C519:D519"/>
    <mergeCell ref="C518:D518"/>
    <mergeCell ref="B504:B506"/>
    <mergeCell ref="A512:D512"/>
    <mergeCell ref="C480:D480"/>
    <mergeCell ref="C481:D481"/>
    <mergeCell ref="C621:D621"/>
    <mergeCell ref="A513:A527"/>
    <mergeCell ref="C531:D531"/>
    <mergeCell ref="C537:D537"/>
    <mergeCell ref="C532:D532"/>
    <mergeCell ref="C533:D533"/>
    <mergeCell ref="C534:D534"/>
    <mergeCell ref="C535:D535"/>
    <mergeCell ref="C497:D497"/>
    <mergeCell ref="C498:D498"/>
    <mergeCell ref="C499:D499"/>
    <mergeCell ref="C500:D500"/>
    <mergeCell ref="C514:D514"/>
    <mergeCell ref="C515:D515"/>
    <mergeCell ref="B538:B540"/>
    <mergeCell ref="C1980:D1980"/>
    <mergeCell ref="C1981:D1981"/>
    <mergeCell ref="C1982:D1982"/>
    <mergeCell ref="C1993:D1993"/>
    <mergeCell ref="C2013:D2013"/>
    <mergeCell ref="C2014:D2014"/>
    <mergeCell ref="C2015:D2015"/>
    <mergeCell ref="C2016:D2016"/>
    <mergeCell ref="C1943:D1943"/>
    <mergeCell ref="C1944:D1944"/>
    <mergeCell ref="C1945:D1945"/>
    <mergeCell ref="C1946:D1946"/>
    <mergeCell ref="C1996:D1996"/>
    <mergeCell ref="C1997:D1997"/>
    <mergeCell ref="C1959:D1959"/>
    <mergeCell ref="C1960:D1960"/>
    <mergeCell ref="C1961:D1961"/>
    <mergeCell ref="C1962:D1962"/>
    <mergeCell ref="C1965:D1965"/>
    <mergeCell ref="C1963:D1963"/>
    <mergeCell ref="C1964:D1964"/>
    <mergeCell ref="C1758:D1758"/>
    <mergeCell ref="C1791:D1791"/>
    <mergeCell ref="C1792:D1792"/>
    <mergeCell ref="A1957:D1957"/>
    <mergeCell ref="A1974:D1974"/>
    <mergeCell ref="C1976:D1976"/>
    <mergeCell ref="C1740:D1740"/>
    <mergeCell ref="C1741:D1741"/>
    <mergeCell ref="C1742:D1742"/>
    <mergeCell ref="C1743:D1743"/>
    <mergeCell ref="C1744:D1744"/>
    <mergeCell ref="C1755:D1755"/>
    <mergeCell ref="C1756:D1756"/>
    <mergeCell ref="C1760:D1760"/>
    <mergeCell ref="C1761:D1761"/>
    <mergeCell ref="B1762:B1764"/>
    <mergeCell ref="A1770:D1770"/>
    <mergeCell ref="A1771:A1785"/>
    <mergeCell ref="A1838:D1838"/>
    <mergeCell ref="C1840:D1840"/>
    <mergeCell ref="C1841:D1841"/>
    <mergeCell ref="C1842:D1842"/>
    <mergeCell ref="C1843:D1843"/>
    <mergeCell ref="A1855:D1855"/>
    <mergeCell ref="A1940:D1940"/>
    <mergeCell ref="C1942:D1942"/>
    <mergeCell ref="C1807:D1807"/>
    <mergeCell ref="C1808:D1808"/>
    <mergeCell ref="C1809:D1809"/>
    <mergeCell ref="C1810:D1810"/>
    <mergeCell ref="C1811:D1811"/>
    <mergeCell ref="C1812:D1812"/>
    <mergeCell ref="C1467:D1467"/>
    <mergeCell ref="C1468:D1468"/>
    <mergeCell ref="C1570:D1570"/>
    <mergeCell ref="C1571:D1571"/>
    <mergeCell ref="C1555:D1555"/>
    <mergeCell ref="C1556:D1556"/>
    <mergeCell ref="C1557:D1557"/>
    <mergeCell ref="A1566:D1566"/>
    <mergeCell ref="C1568:D1568"/>
    <mergeCell ref="C1569:D1569"/>
    <mergeCell ref="C1146:D1146"/>
    <mergeCell ref="C1147:D1147"/>
    <mergeCell ref="A1719:D1719"/>
    <mergeCell ref="A1736:D1736"/>
    <mergeCell ref="A1447:D1447"/>
    <mergeCell ref="C1401:D1401"/>
    <mergeCell ref="C1402:D1402"/>
    <mergeCell ref="C1403:D1403"/>
    <mergeCell ref="C1417:D1417"/>
    <mergeCell ref="C1418:D1418"/>
    <mergeCell ref="C1419:D1419"/>
    <mergeCell ref="C1420:D1420"/>
    <mergeCell ref="C1421:D1421"/>
    <mergeCell ref="A1430:D1430"/>
    <mergeCell ref="C1432:D1432"/>
    <mergeCell ref="C1433:D1433"/>
    <mergeCell ref="C1434:D1434"/>
    <mergeCell ref="A1464:D1464"/>
    <mergeCell ref="C1466:D1466"/>
    <mergeCell ref="C1451:D1451"/>
    <mergeCell ref="C1452:D1452"/>
    <mergeCell ref="B1507:B1509"/>
    <mergeCell ref="C1453:D1453"/>
    <mergeCell ref="C1454:D1454"/>
    <mergeCell ref="C1455:D1455"/>
    <mergeCell ref="B1456:B1458"/>
    <mergeCell ref="A1362:D1362"/>
    <mergeCell ref="C1364:D1364"/>
    <mergeCell ref="C1365:D1365"/>
    <mergeCell ref="C1366:D1366"/>
    <mergeCell ref="C1367:D1367"/>
    <mergeCell ref="C1368:D1368"/>
    <mergeCell ref="C1369:D1369"/>
    <mergeCell ref="C1370:D1370"/>
    <mergeCell ref="B1371:B1373"/>
    <mergeCell ref="A1379:D1379"/>
    <mergeCell ref="C1381:D1381"/>
    <mergeCell ref="C1382:D1382"/>
    <mergeCell ref="C1383:D1383"/>
    <mergeCell ref="C1384:D1384"/>
    <mergeCell ref="C1385:D1385"/>
    <mergeCell ref="B1422:B1424"/>
    <mergeCell ref="C1449:D1449"/>
    <mergeCell ref="C1450:D1450"/>
    <mergeCell ref="C1353:D1353"/>
    <mergeCell ref="C1436:D1436"/>
    <mergeCell ref="C1437:D1437"/>
    <mergeCell ref="C1438:D1438"/>
    <mergeCell ref="B1439:B1441"/>
    <mergeCell ref="A1345:D1345"/>
    <mergeCell ref="C1347:D1347"/>
    <mergeCell ref="C1348:D1348"/>
    <mergeCell ref="C1349:D1349"/>
    <mergeCell ref="C1350:D1350"/>
    <mergeCell ref="C1351:D1351"/>
    <mergeCell ref="C1399:D1399"/>
    <mergeCell ref="C1400:D1400"/>
    <mergeCell ref="C1386:D1386"/>
    <mergeCell ref="C1387:D1387"/>
    <mergeCell ref="B1388:B1390"/>
    <mergeCell ref="A1396:D1396"/>
    <mergeCell ref="C1398:D1398"/>
    <mergeCell ref="C1415:D1415"/>
    <mergeCell ref="C1416:D1416"/>
    <mergeCell ref="A1141:D1141"/>
    <mergeCell ref="C1143:D1143"/>
    <mergeCell ref="C1319:D1319"/>
    <mergeCell ref="B1320:B1322"/>
    <mergeCell ref="C1302:D1302"/>
    <mergeCell ref="B1303:B1305"/>
    <mergeCell ref="A1311:D1311"/>
    <mergeCell ref="C1317:D1317"/>
    <mergeCell ref="C1318:D1318"/>
    <mergeCell ref="C1301:D1301"/>
    <mergeCell ref="C1313:D1313"/>
    <mergeCell ref="C1314:D1314"/>
    <mergeCell ref="C1315:D1315"/>
    <mergeCell ref="C1316:D1316"/>
    <mergeCell ref="B1235:B1237"/>
    <mergeCell ref="A1243:D1243"/>
    <mergeCell ref="A1294:D1294"/>
    <mergeCell ref="C1296:D1296"/>
    <mergeCell ref="C1297:D1297"/>
    <mergeCell ref="C1298:D1298"/>
    <mergeCell ref="A1260:D1260"/>
    <mergeCell ref="C1262:D1262"/>
    <mergeCell ref="C1263:D1263"/>
    <mergeCell ref="C1264:D1264"/>
    <mergeCell ref="C1265:D1265"/>
    <mergeCell ref="B1218:B1220"/>
    <mergeCell ref="A1226:D1226"/>
    <mergeCell ref="C1228:D1228"/>
    <mergeCell ref="C1229:D1229"/>
    <mergeCell ref="C1230:D1230"/>
    <mergeCell ref="C1231:D1231"/>
    <mergeCell ref="C1232:D1232"/>
    <mergeCell ref="B2017:B2019"/>
    <mergeCell ref="B2051:B2053"/>
    <mergeCell ref="A1822:A1836"/>
    <mergeCell ref="A1839:A1853"/>
    <mergeCell ref="A1856:A1870"/>
    <mergeCell ref="B1830:B1832"/>
    <mergeCell ref="B1915:B1917"/>
    <mergeCell ref="B1949:B1951"/>
    <mergeCell ref="B1932:B1934"/>
    <mergeCell ref="B1966:B1968"/>
    <mergeCell ref="C1163:D1163"/>
    <mergeCell ref="C1164:D1164"/>
    <mergeCell ref="C1165:D1165"/>
    <mergeCell ref="C1166:D1166"/>
    <mergeCell ref="B1167:B1169"/>
    <mergeCell ref="A1175:D1175"/>
    <mergeCell ref="C1177:D1177"/>
    <mergeCell ref="A1159:A1173"/>
    <mergeCell ref="A1328:D1328"/>
    <mergeCell ref="C1330:D1330"/>
    <mergeCell ref="C1331:D1331"/>
    <mergeCell ref="C1332:D1332"/>
    <mergeCell ref="C1333:D1333"/>
    <mergeCell ref="C1334:D1334"/>
    <mergeCell ref="C1299:D1299"/>
    <mergeCell ref="C1300:D1300"/>
    <mergeCell ref="C1198:D1198"/>
    <mergeCell ref="C1199:D1199"/>
    <mergeCell ref="C1200:D1200"/>
    <mergeCell ref="B1201:B1203"/>
    <mergeCell ref="A1209:D1209"/>
    <mergeCell ref="C1352:D1352"/>
    <mergeCell ref="A2332:A2346"/>
    <mergeCell ref="A2349:A2363"/>
    <mergeCell ref="A2366:A2380"/>
    <mergeCell ref="A2638:A2652"/>
    <mergeCell ref="B2646:B2648"/>
    <mergeCell ref="B2612:B2614"/>
    <mergeCell ref="A2604:A2618"/>
    <mergeCell ref="A2621:A2635"/>
    <mergeCell ref="A2655:A2669"/>
    <mergeCell ref="A2672:A2686"/>
    <mergeCell ref="A2689:A2703"/>
    <mergeCell ref="B2663:B2665"/>
    <mergeCell ref="B2323:B2325"/>
    <mergeCell ref="A2331:D2331"/>
    <mergeCell ref="B2374:B2376"/>
    <mergeCell ref="A2365:D2365"/>
    <mergeCell ref="C2458:D2458"/>
    <mergeCell ref="C2371:D2371"/>
    <mergeCell ref="C2372:D2372"/>
    <mergeCell ref="A2485:A2499"/>
    <mergeCell ref="A2502:A2516"/>
    <mergeCell ref="A2484:D2484"/>
    <mergeCell ref="A2467:D2467"/>
    <mergeCell ref="A2518:D2518"/>
    <mergeCell ref="A2451:A2465"/>
    <mergeCell ref="A2468:A2482"/>
    <mergeCell ref="C2559:D2559"/>
    <mergeCell ref="C2560:D2560"/>
    <mergeCell ref="A2552:D2552"/>
    <mergeCell ref="C2554:D2554"/>
    <mergeCell ref="B2578:B2580"/>
    <mergeCell ref="A2586:D2586"/>
    <mergeCell ref="A1992:A2006"/>
    <mergeCell ref="A2009:A2023"/>
    <mergeCell ref="A2026:A2040"/>
    <mergeCell ref="A1873:A1887"/>
    <mergeCell ref="A1890:A1904"/>
    <mergeCell ref="A1907:A1921"/>
    <mergeCell ref="A1924:A1938"/>
    <mergeCell ref="A1941:A1955"/>
    <mergeCell ref="A1958:A1972"/>
    <mergeCell ref="A1975:A1989"/>
    <mergeCell ref="A2111:A2125"/>
    <mergeCell ref="A2128:A2142"/>
    <mergeCell ref="A2043:A2057"/>
    <mergeCell ref="A2060:A2074"/>
    <mergeCell ref="A2077:A2091"/>
    <mergeCell ref="A2094:A2108"/>
    <mergeCell ref="A2145:A2159"/>
    <mergeCell ref="C2299:D2299"/>
    <mergeCell ref="C2300:D2300"/>
    <mergeCell ref="C2301:D2301"/>
    <mergeCell ref="C2302:D2302"/>
    <mergeCell ref="C2303:D2303"/>
    <mergeCell ref="C2304:D2304"/>
    <mergeCell ref="C2305:D2305"/>
    <mergeCell ref="C2316:D2316"/>
    <mergeCell ref="A2383:A2397"/>
    <mergeCell ref="A2400:A2414"/>
    <mergeCell ref="A2417:A2431"/>
    <mergeCell ref="A2434:A2448"/>
    <mergeCell ref="A2519:A2533"/>
    <mergeCell ref="C2555:D2555"/>
    <mergeCell ref="C2556:D2556"/>
    <mergeCell ref="C2418:D2418"/>
    <mergeCell ref="C2419:D2419"/>
    <mergeCell ref="C2420:D2420"/>
    <mergeCell ref="C2421:D2421"/>
    <mergeCell ref="C2422:D2422"/>
    <mergeCell ref="C2423:D2423"/>
    <mergeCell ref="C2453:D2453"/>
    <mergeCell ref="C2454:D2454"/>
    <mergeCell ref="A2535:D2535"/>
    <mergeCell ref="C2537:D2537"/>
    <mergeCell ref="C2538:D2538"/>
    <mergeCell ref="C2539:D2539"/>
    <mergeCell ref="C2542:D2542"/>
    <mergeCell ref="C2543:D2543"/>
    <mergeCell ref="B2544:B2546"/>
    <mergeCell ref="B2442:B2444"/>
    <mergeCell ref="B2476:B2478"/>
    <mergeCell ref="B2459:B2461"/>
    <mergeCell ref="C2507:D2507"/>
    <mergeCell ref="C2508:D2508"/>
    <mergeCell ref="C2509:D2509"/>
    <mergeCell ref="B2510:B2512"/>
    <mergeCell ref="C2503:D2503"/>
    <mergeCell ref="C2504:D2504"/>
    <mergeCell ref="C2505:D2505"/>
    <mergeCell ref="C2506:D2506"/>
    <mergeCell ref="C2520:D2520"/>
    <mergeCell ref="A2536:A2550"/>
    <mergeCell ref="A2553:A2567"/>
    <mergeCell ref="A2587:A2601"/>
    <mergeCell ref="A2570:A2584"/>
    <mergeCell ref="C2486:D2486"/>
    <mergeCell ref="C2487:D2487"/>
    <mergeCell ref="C2488:D2488"/>
    <mergeCell ref="B2527:B2529"/>
    <mergeCell ref="C2591:D2591"/>
    <mergeCell ref="C1605:D1605"/>
    <mergeCell ref="C1606:D1606"/>
    <mergeCell ref="B1711:B1713"/>
    <mergeCell ref="C1738:D1738"/>
    <mergeCell ref="C1739:D1739"/>
    <mergeCell ref="C1552:D1552"/>
    <mergeCell ref="C1572:D1572"/>
    <mergeCell ref="B1575:B1577"/>
    <mergeCell ref="A1583:D1583"/>
    <mergeCell ref="C1585:D1585"/>
    <mergeCell ref="C1586:D1586"/>
    <mergeCell ref="C1587:D1587"/>
    <mergeCell ref="C1588:D1588"/>
    <mergeCell ref="C1589:D1589"/>
    <mergeCell ref="C1590:D1590"/>
    <mergeCell ref="A1567:A1581"/>
    <mergeCell ref="A1532:D1532"/>
    <mergeCell ref="C1534:D1534"/>
    <mergeCell ref="C1553:D1553"/>
    <mergeCell ref="C1554:D1554"/>
    <mergeCell ref="B1592:B1594"/>
    <mergeCell ref="A1600:D1600"/>
    <mergeCell ref="B1558:B1560"/>
    <mergeCell ref="C1622:D1622"/>
    <mergeCell ref="C1623:D1623"/>
    <mergeCell ref="C1624:D1624"/>
    <mergeCell ref="C1625:D1625"/>
    <mergeCell ref="B1626:B1628"/>
    <mergeCell ref="A1617:D1617"/>
    <mergeCell ref="A1618:A1632"/>
    <mergeCell ref="A1634:D1634"/>
    <mergeCell ref="C1636:D1636"/>
    <mergeCell ref="C1603:D1603"/>
    <mergeCell ref="C1789:D1789"/>
    <mergeCell ref="C1790:D1790"/>
    <mergeCell ref="C1504:D1504"/>
    <mergeCell ref="C1505:D1505"/>
    <mergeCell ref="C1506:D1506"/>
    <mergeCell ref="B1473:B1475"/>
    <mergeCell ref="A1481:D1481"/>
    <mergeCell ref="C1604:D1604"/>
    <mergeCell ref="C1806:D1806"/>
    <mergeCell ref="A1584:A1598"/>
    <mergeCell ref="C1551:D1551"/>
    <mergeCell ref="C1607:D1607"/>
    <mergeCell ref="C1608:D1608"/>
    <mergeCell ref="B1609:B1611"/>
    <mergeCell ref="A1601:A1615"/>
    <mergeCell ref="C1591:D1591"/>
    <mergeCell ref="C1727:D1727"/>
    <mergeCell ref="C1759:D1759"/>
    <mergeCell ref="B1745:B1747"/>
    <mergeCell ref="A1753:D1753"/>
    <mergeCell ref="A1720:A1734"/>
    <mergeCell ref="A1737:A1751"/>
    <mergeCell ref="C1620:D1620"/>
    <mergeCell ref="C1619:D1619"/>
    <mergeCell ref="C1517:D1517"/>
    <mergeCell ref="C1518:D1518"/>
    <mergeCell ref="C1519:D1519"/>
    <mergeCell ref="C1520:D1520"/>
    <mergeCell ref="C1521:D1521"/>
    <mergeCell ref="C1522:D1522"/>
    <mergeCell ref="C1523:D1523"/>
    <mergeCell ref="C909:D909"/>
    <mergeCell ref="A597:D597"/>
    <mergeCell ref="C599:D599"/>
    <mergeCell ref="C600:D600"/>
    <mergeCell ref="C601:D601"/>
    <mergeCell ref="A615:A629"/>
    <mergeCell ref="C619:D619"/>
    <mergeCell ref="C620:D620"/>
    <mergeCell ref="C616:D616"/>
    <mergeCell ref="C602:D602"/>
    <mergeCell ref="C603:D603"/>
    <mergeCell ref="C604:D604"/>
    <mergeCell ref="C605:D605"/>
    <mergeCell ref="B606:B608"/>
    <mergeCell ref="A614:D614"/>
    <mergeCell ref="A580:D580"/>
    <mergeCell ref="C1602:D1602"/>
    <mergeCell ref="B1524:B1526"/>
    <mergeCell ref="C1535:D1535"/>
    <mergeCell ref="C1536:D1536"/>
    <mergeCell ref="A1124:D1124"/>
    <mergeCell ref="B1150:B1152"/>
    <mergeCell ref="A1158:D1158"/>
    <mergeCell ref="C1162:D1162"/>
    <mergeCell ref="C1126:D1126"/>
    <mergeCell ref="C1127:D1127"/>
    <mergeCell ref="C1128:D1128"/>
    <mergeCell ref="C1129:D1129"/>
    <mergeCell ref="C1130:D1130"/>
    <mergeCell ref="C1131:D1131"/>
    <mergeCell ref="C1132:D1132"/>
    <mergeCell ref="B1133:B1135"/>
    <mergeCell ref="C452:D452"/>
    <mergeCell ref="A376:D376"/>
    <mergeCell ref="C378:D378"/>
    <mergeCell ref="C383:D383"/>
    <mergeCell ref="B878:B880"/>
    <mergeCell ref="A886:D886"/>
    <mergeCell ref="C890:D890"/>
    <mergeCell ref="C891:D891"/>
    <mergeCell ref="C892:D892"/>
    <mergeCell ref="C893:D893"/>
    <mergeCell ref="C894:D894"/>
    <mergeCell ref="B895:B897"/>
    <mergeCell ref="A903:D903"/>
    <mergeCell ref="C905:D905"/>
    <mergeCell ref="C906:D906"/>
    <mergeCell ref="C907:D907"/>
    <mergeCell ref="C908:D908"/>
    <mergeCell ref="A564:A578"/>
    <mergeCell ref="A581:A595"/>
    <mergeCell ref="A598:A612"/>
    <mergeCell ref="A632:A646"/>
    <mergeCell ref="A563:D563"/>
    <mergeCell ref="C583:D583"/>
    <mergeCell ref="C584:D584"/>
    <mergeCell ref="C585:D585"/>
    <mergeCell ref="C586:D586"/>
    <mergeCell ref="C516:D516"/>
    <mergeCell ref="C517:D517"/>
    <mergeCell ref="A529:D529"/>
    <mergeCell ref="C552:D552"/>
    <mergeCell ref="C569:D569"/>
    <mergeCell ref="C565:D565"/>
    <mergeCell ref="C401:D401"/>
    <mergeCell ref="B402:B404"/>
    <mergeCell ref="C395:D395"/>
    <mergeCell ref="C396:D396"/>
    <mergeCell ref="C397:D397"/>
    <mergeCell ref="A394:A408"/>
    <mergeCell ref="A393:D393"/>
    <mergeCell ref="C379:D379"/>
    <mergeCell ref="C380:D380"/>
    <mergeCell ref="C381:D381"/>
    <mergeCell ref="C382:D382"/>
    <mergeCell ref="A377:A391"/>
    <mergeCell ref="B385:B387"/>
    <mergeCell ref="C384:D384"/>
    <mergeCell ref="C429:D429"/>
    <mergeCell ref="C430:D430"/>
    <mergeCell ref="C431:D431"/>
    <mergeCell ref="C398:D398"/>
    <mergeCell ref="C399:D399"/>
    <mergeCell ref="C418:D418"/>
    <mergeCell ref="A411:A425"/>
    <mergeCell ref="C400:D400"/>
    <mergeCell ref="B453:B455"/>
    <mergeCell ref="A461:D461"/>
    <mergeCell ref="C740:D740"/>
    <mergeCell ref="C741:D741"/>
    <mergeCell ref="C720:D720"/>
    <mergeCell ref="C721:D721"/>
    <mergeCell ref="C722:D722"/>
    <mergeCell ref="C723:D723"/>
    <mergeCell ref="C724:D724"/>
    <mergeCell ref="B725:B727"/>
    <mergeCell ref="A733:D733"/>
    <mergeCell ref="C414:D414"/>
    <mergeCell ref="A410:D410"/>
    <mergeCell ref="C412:D412"/>
    <mergeCell ref="C413:D413"/>
    <mergeCell ref="C415:D415"/>
    <mergeCell ref="C416:D416"/>
    <mergeCell ref="C417:D417"/>
    <mergeCell ref="C463:D463"/>
    <mergeCell ref="C464:D464"/>
    <mergeCell ref="A445:A459"/>
    <mergeCell ref="C432:D432"/>
    <mergeCell ref="C433:D433"/>
    <mergeCell ref="C434:D434"/>
    <mergeCell ref="C435:D435"/>
    <mergeCell ref="C450:D450"/>
    <mergeCell ref="A444:D444"/>
    <mergeCell ref="C446:D446"/>
    <mergeCell ref="C447:D447"/>
    <mergeCell ref="C448:D448"/>
    <mergeCell ref="C449:D449"/>
    <mergeCell ref="C451:D451"/>
    <mergeCell ref="C465:D465"/>
    <mergeCell ref="C466:D466"/>
    <mergeCell ref="C467:D467"/>
    <mergeCell ref="C468:D468"/>
    <mergeCell ref="C469:D469"/>
    <mergeCell ref="B470:B472"/>
    <mergeCell ref="A462:A476"/>
    <mergeCell ref="B419:B421"/>
    <mergeCell ref="A428:A442"/>
    <mergeCell ref="B436:B438"/>
    <mergeCell ref="A427:D427"/>
    <mergeCell ref="C840:D840"/>
    <mergeCell ref="C789:D789"/>
    <mergeCell ref="C774:D774"/>
    <mergeCell ref="C805:D805"/>
    <mergeCell ref="C806:D806"/>
    <mergeCell ref="C807:D807"/>
    <mergeCell ref="C808:D808"/>
    <mergeCell ref="B810:B812"/>
    <mergeCell ref="A818:D818"/>
    <mergeCell ref="C790:D790"/>
    <mergeCell ref="C791:D791"/>
    <mergeCell ref="C820:D820"/>
    <mergeCell ref="C821:D821"/>
    <mergeCell ref="C822:D822"/>
    <mergeCell ref="C823:D823"/>
    <mergeCell ref="C824:D824"/>
    <mergeCell ref="C809:D809"/>
    <mergeCell ref="C706:D706"/>
    <mergeCell ref="C707:D707"/>
    <mergeCell ref="A648:D648"/>
    <mergeCell ref="C650:D650"/>
    <mergeCell ref="B827:B829"/>
    <mergeCell ref="A835:D835"/>
    <mergeCell ref="C837:D837"/>
    <mergeCell ref="C838:D838"/>
    <mergeCell ref="C839:D839"/>
    <mergeCell ref="A665:D665"/>
    <mergeCell ref="C667:D667"/>
    <mergeCell ref="C671:D671"/>
    <mergeCell ref="C672:D672"/>
    <mergeCell ref="C617:D617"/>
    <mergeCell ref="C618:D618"/>
    <mergeCell ref="C687:D687"/>
    <mergeCell ref="C688:D688"/>
    <mergeCell ref="C689:D689"/>
    <mergeCell ref="C690:D690"/>
    <mergeCell ref="B640:B642"/>
    <mergeCell ref="B691:B693"/>
    <mergeCell ref="A699:D699"/>
    <mergeCell ref="B674:B676"/>
    <mergeCell ref="A682:D682"/>
    <mergeCell ref="C656:D656"/>
    <mergeCell ref="B657:B659"/>
    <mergeCell ref="C673:D673"/>
    <mergeCell ref="C735:D735"/>
    <mergeCell ref="C736:D736"/>
    <mergeCell ref="C737:D737"/>
    <mergeCell ref="C738:D738"/>
    <mergeCell ref="C739:D739"/>
    <mergeCell ref="C788:D788"/>
    <mergeCell ref="C718:D718"/>
    <mergeCell ref="C719:D719"/>
    <mergeCell ref="B759:B761"/>
    <mergeCell ref="C1211:D1211"/>
    <mergeCell ref="C1212:D1212"/>
    <mergeCell ref="C1213:D1213"/>
    <mergeCell ref="C1214:D1214"/>
    <mergeCell ref="C1215:D1215"/>
    <mergeCell ref="C991:D991"/>
    <mergeCell ref="C992:D992"/>
    <mergeCell ref="C976:D976"/>
    <mergeCell ref="C977:D977"/>
    <mergeCell ref="C993:D993"/>
    <mergeCell ref="C994:D994"/>
    <mergeCell ref="C1008:D1008"/>
    <mergeCell ref="C1007:D1007"/>
    <mergeCell ref="C1114:D1114"/>
    <mergeCell ref="C1115:D1115"/>
    <mergeCell ref="C1061:D1061"/>
    <mergeCell ref="C1058:D1058"/>
    <mergeCell ref="C1059:D1059"/>
    <mergeCell ref="C1060:D1060"/>
    <mergeCell ref="A988:D988"/>
    <mergeCell ref="C990:D990"/>
    <mergeCell ref="A989:A1003"/>
    <mergeCell ref="A1006:A1020"/>
    <mergeCell ref="A1023:A1037"/>
    <mergeCell ref="A1040:A1054"/>
    <mergeCell ref="A1057:A1071"/>
    <mergeCell ref="C1144:D1144"/>
    <mergeCell ref="C1145:D1145"/>
    <mergeCell ref="C1148:D1148"/>
    <mergeCell ref="C1149:D1149"/>
    <mergeCell ref="A1142:A1156"/>
    <mergeCell ref="B1116:B1118"/>
    <mergeCell ref="B742:B744"/>
    <mergeCell ref="C701:D701"/>
    <mergeCell ref="C702:D702"/>
    <mergeCell ref="C703:D703"/>
    <mergeCell ref="C704:D704"/>
    <mergeCell ref="C705:D705"/>
    <mergeCell ref="C1063:D1063"/>
    <mergeCell ref="C1009:D1009"/>
    <mergeCell ref="C1010:D1010"/>
    <mergeCell ref="C910:D910"/>
    <mergeCell ref="C911:D911"/>
    <mergeCell ref="A767:D767"/>
    <mergeCell ref="C769:D769"/>
    <mergeCell ref="C770:D770"/>
    <mergeCell ref="C771:D771"/>
    <mergeCell ref="C772:D772"/>
    <mergeCell ref="C773:D773"/>
    <mergeCell ref="C775:D775"/>
    <mergeCell ref="B776:B778"/>
    <mergeCell ref="A784:D784"/>
    <mergeCell ref="C786:D786"/>
    <mergeCell ref="C787:D787"/>
    <mergeCell ref="A750:D750"/>
    <mergeCell ref="C752:D752"/>
    <mergeCell ref="C753:D753"/>
    <mergeCell ref="C754:D754"/>
    <mergeCell ref="C841:D841"/>
    <mergeCell ref="C825:D825"/>
    <mergeCell ref="C826:D826"/>
    <mergeCell ref="C755:D755"/>
    <mergeCell ref="C756:D756"/>
    <mergeCell ref="A751:A765"/>
    <mergeCell ref="C653:D653"/>
    <mergeCell ref="C654:D654"/>
    <mergeCell ref="C670:D670"/>
    <mergeCell ref="C686:D686"/>
    <mergeCell ref="C684:D684"/>
    <mergeCell ref="C685:D685"/>
    <mergeCell ref="C582:D582"/>
    <mergeCell ref="C638:D638"/>
    <mergeCell ref="C639:D639"/>
    <mergeCell ref="C520:D520"/>
    <mergeCell ref="B521:B523"/>
    <mergeCell ref="C668:D668"/>
    <mergeCell ref="C669:D669"/>
    <mergeCell ref="C651:D651"/>
    <mergeCell ref="C652:D652"/>
    <mergeCell ref="C655:D655"/>
    <mergeCell ref="C566:D566"/>
    <mergeCell ref="C567:D567"/>
    <mergeCell ref="C568:D568"/>
    <mergeCell ref="C792:D792"/>
    <mergeCell ref="B793:B795"/>
    <mergeCell ref="A801:D801"/>
    <mergeCell ref="C803:D803"/>
    <mergeCell ref="C804:D804"/>
    <mergeCell ref="C757:D757"/>
    <mergeCell ref="C758:D758"/>
    <mergeCell ref="C1111:D1111"/>
    <mergeCell ref="A1090:D1090"/>
    <mergeCell ref="C1098:D1098"/>
    <mergeCell ref="B1099:B1101"/>
    <mergeCell ref="A1107:D1107"/>
    <mergeCell ref="C1109:D1109"/>
    <mergeCell ref="C1097:D1097"/>
    <mergeCell ref="C1044:D1044"/>
    <mergeCell ref="A1039:D1039"/>
    <mergeCell ref="C1043:D1043"/>
    <mergeCell ref="C1041:D1041"/>
    <mergeCell ref="C1042:D1042"/>
    <mergeCell ref="C1027:D1027"/>
    <mergeCell ref="A1022:D1022"/>
    <mergeCell ref="C1026:D1026"/>
    <mergeCell ref="C1024:D1024"/>
    <mergeCell ref="C1025:D1025"/>
    <mergeCell ref="C1045:D1045"/>
    <mergeCell ref="C1013:D1013"/>
    <mergeCell ref="B1014:B1016"/>
    <mergeCell ref="C1075:D1075"/>
    <mergeCell ref="C1076:D1076"/>
    <mergeCell ref="B1065:B1067"/>
    <mergeCell ref="A1073:D1073"/>
    <mergeCell ref="C1062:D1062"/>
    <mergeCell ref="A1056:D1056"/>
    <mergeCell ref="C1077:D1077"/>
    <mergeCell ref="C1095:D1095"/>
    <mergeCell ref="C1080:D1080"/>
    <mergeCell ref="C1081:D1081"/>
    <mergeCell ref="C1113:D1113"/>
    <mergeCell ref="C1110:D1110"/>
    <mergeCell ref="C1078:D1078"/>
    <mergeCell ref="C1079:D1079"/>
    <mergeCell ref="C1092:D1092"/>
    <mergeCell ref="C1093:D1093"/>
    <mergeCell ref="C1094:D1094"/>
    <mergeCell ref="C1096:D1096"/>
    <mergeCell ref="B1082:B1084"/>
    <mergeCell ref="C1112:D1112"/>
    <mergeCell ref="B1031:B1033"/>
    <mergeCell ref="C1064:D1064"/>
    <mergeCell ref="A1074:A1088"/>
    <mergeCell ref="A1091:A1105"/>
    <mergeCell ref="A1125:A1139"/>
    <mergeCell ref="A972:A986"/>
    <mergeCell ref="A887:A901"/>
    <mergeCell ref="B963:B965"/>
    <mergeCell ref="A971:D971"/>
    <mergeCell ref="A1108:A1122"/>
    <mergeCell ref="C975:D975"/>
    <mergeCell ref="C973:D973"/>
    <mergeCell ref="C974:D974"/>
    <mergeCell ref="C874:D874"/>
    <mergeCell ref="C875:D875"/>
    <mergeCell ref="C876:D876"/>
    <mergeCell ref="C877:D877"/>
    <mergeCell ref="A937:D937"/>
    <mergeCell ref="C940:D940"/>
    <mergeCell ref="C941:D941"/>
    <mergeCell ref="C942:D942"/>
    <mergeCell ref="C943:D943"/>
    <mergeCell ref="C944:D944"/>
    <mergeCell ref="B946:B948"/>
    <mergeCell ref="A938:A952"/>
    <mergeCell ref="C1011:D1011"/>
    <mergeCell ref="C996:D996"/>
    <mergeCell ref="B997:B999"/>
    <mergeCell ref="A1005:D1005"/>
    <mergeCell ref="C1028:D1028"/>
    <mergeCell ref="C1012:D1012"/>
    <mergeCell ref="C1029:D1029"/>
    <mergeCell ref="C1030:D1030"/>
    <mergeCell ref="C1046:D1046"/>
    <mergeCell ref="C1047:D1047"/>
    <mergeCell ref="B1048:B1050"/>
    <mergeCell ref="C1178:D1178"/>
    <mergeCell ref="C1179:D1179"/>
    <mergeCell ref="C1180:D1180"/>
    <mergeCell ref="C1181:D1181"/>
    <mergeCell ref="C1182:D1182"/>
    <mergeCell ref="C1183:D1183"/>
    <mergeCell ref="A649:A663"/>
    <mergeCell ref="A666:A680"/>
    <mergeCell ref="A683:A697"/>
    <mergeCell ref="A700:A714"/>
    <mergeCell ref="A717:A731"/>
    <mergeCell ref="A734:A748"/>
    <mergeCell ref="B708:B710"/>
    <mergeCell ref="A716:D716"/>
    <mergeCell ref="B844:B846"/>
    <mergeCell ref="A852:D852"/>
    <mergeCell ref="B861:B863"/>
    <mergeCell ref="A869:D869"/>
    <mergeCell ref="A768:A782"/>
    <mergeCell ref="A785:A799"/>
    <mergeCell ref="A802:A816"/>
    <mergeCell ref="A819:A833"/>
    <mergeCell ref="A836:A850"/>
    <mergeCell ref="A853:A867"/>
    <mergeCell ref="A870:A884"/>
    <mergeCell ref="C1160:D1160"/>
    <mergeCell ref="C1161:D1161"/>
    <mergeCell ref="C872:D872"/>
    <mergeCell ref="C873:D873"/>
    <mergeCell ref="C978:D978"/>
    <mergeCell ref="C995:D995"/>
    <mergeCell ref="C939:D939"/>
    <mergeCell ref="B980:B982"/>
    <mergeCell ref="C962:D962"/>
    <mergeCell ref="A955:A969"/>
    <mergeCell ref="A954:D954"/>
    <mergeCell ref="C956:D956"/>
    <mergeCell ref="C957:D957"/>
    <mergeCell ref="C857:D857"/>
    <mergeCell ref="C858:D858"/>
    <mergeCell ref="C859:D859"/>
    <mergeCell ref="C860:D860"/>
    <mergeCell ref="C958:D958"/>
    <mergeCell ref="C959:D959"/>
    <mergeCell ref="C842:D842"/>
    <mergeCell ref="C843:D843"/>
    <mergeCell ref="C854:D854"/>
    <mergeCell ref="C855:D855"/>
    <mergeCell ref="C856:D856"/>
    <mergeCell ref="C871:D871"/>
    <mergeCell ref="C945:D945"/>
    <mergeCell ref="C888:D888"/>
    <mergeCell ref="C889:D889"/>
    <mergeCell ref="B912:B914"/>
    <mergeCell ref="A920:D920"/>
    <mergeCell ref="C922:D922"/>
    <mergeCell ref="C923:D923"/>
    <mergeCell ref="C924:D924"/>
    <mergeCell ref="C925:D925"/>
    <mergeCell ref="C926:D926"/>
    <mergeCell ref="C927:D927"/>
    <mergeCell ref="C928:D928"/>
    <mergeCell ref="B929:B931"/>
    <mergeCell ref="A904:A918"/>
    <mergeCell ref="A921:A935"/>
    <mergeCell ref="C960:D960"/>
    <mergeCell ref="C961:D961"/>
    <mergeCell ref="C979:D979"/>
    <mergeCell ref="A31:C31"/>
    <mergeCell ref="A46:C46"/>
    <mergeCell ref="A1:C1"/>
    <mergeCell ref="A2:A14"/>
    <mergeCell ref="A16:C16"/>
    <mergeCell ref="A17:A29"/>
    <mergeCell ref="B100:B102"/>
    <mergeCell ref="C93:D93"/>
    <mergeCell ref="C114:D114"/>
    <mergeCell ref="C113:D113"/>
    <mergeCell ref="C159:D159"/>
    <mergeCell ref="C160:D160"/>
    <mergeCell ref="C212:D212"/>
    <mergeCell ref="C213:D213"/>
    <mergeCell ref="C227:D227"/>
    <mergeCell ref="A225:D225"/>
    <mergeCell ref="C362:D362"/>
    <mergeCell ref="C346:D346"/>
    <mergeCell ref="C347:D347"/>
    <mergeCell ref="C348:D348"/>
    <mergeCell ref="C349:D349"/>
    <mergeCell ref="C350:D350"/>
    <mergeCell ref="B351:B353"/>
    <mergeCell ref="A359:D359"/>
    <mergeCell ref="C233:D233"/>
    <mergeCell ref="C228:D228"/>
    <mergeCell ref="B234:B236"/>
    <mergeCell ref="A209:A223"/>
    <mergeCell ref="A32:A44"/>
    <mergeCell ref="A47:A59"/>
    <mergeCell ref="A61:C61"/>
    <mergeCell ref="C216:D216"/>
    <mergeCell ref="B217:B219"/>
    <mergeCell ref="A76:C76"/>
    <mergeCell ref="C115:D115"/>
    <mergeCell ref="C116:D116"/>
    <mergeCell ref="A62:A74"/>
    <mergeCell ref="B117:B119"/>
    <mergeCell ref="A77:A89"/>
    <mergeCell ref="A91:D91"/>
    <mergeCell ref="C182:D182"/>
    <mergeCell ref="B183:B185"/>
    <mergeCell ref="C162:D162"/>
    <mergeCell ref="C163:D163"/>
    <mergeCell ref="C179:D179"/>
    <mergeCell ref="C94:D94"/>
    <mergeCell ref="C145:D145"/>
    <mergeCell ref="C146:D146"/>
    <mergeCell ref="C147:D147"/>
    <mergeCell ref="C165:D165"/>
    <mergeCell ref="B166:B168"/>
    <mergeCell ref="A125:C125"/>
    <mergeCell ref="A126:A138"/>
    <mergeCell ref="C144:D144"/>
    <mergeCell ref="C95:D95"/>
    <mergeCell ref="C96:D96"/>
    <mergeCell ref="C97:D97"/>
    <mergeCell ref="C98:D98"/>
    <mergeCell ref="C99:D99"/>
    <mergeCell ref="A108:D108"/>
    <mergeCell ref="C230:D230"/>
    <mergeCell ref="C231:D231"/>
    <mergeCell ref="C232:D232"/>
    <mergeCell ref="C215:D215"/>
    <mergeCell ref="A175:A189"/>
    <mergeCell ref="C181:D181"/>
    <mergeCell ref="C180:D180"/>
    <mergeCell ref="C198:D198"/>
    <mergeCell ref="C199:D199"/>
    <mergeCell ref="A192:A206"/>
    <mergeCell ref="A191:D191"/>
    <mergeCell ref="C193:D193"/>
    <mergeCell ref="C194:D194"/>
    <mergeCell ref="C195:D195"/>
    <mergeCell ref="C196:D196"/>
    <mergeCell ref="C197:D197"/>
    <mergeCell ref="B200:B202"/>
    <mergeCell ref="A208:D208"/>
    <mergeCell ref="C229:D229"/>
    <mergeCell ref="A226:A240"/>
    <mergeCell ref="C210:D210"/>
    <mergeCell ref="C211:D211"/>
    <mergeCell ref="C214:D214"/>
    <mergeCell ref="C110:D110"/>
    <mergeCell ref="C178:D178"/>
    <mergeCell ref="C177:D177"/>
    <mergeCell ref="A174:D174"/>
    <mergeCell ref="C176:D176"/>
    <mergeCell ref="B149:B151"/>
    <mergeCell ref="A141:A155"/>
    <mergeCell ref="C111:D111"/>
    <mergeCell ref="C112:D112"/>
    <mergeCell ref="C143:D143"/>
    <mergeCell ref="C148:D148"/>
    <mergeCell ref="C142:D142"/>
    <mergeCell ref="A157:D157"/>
    <mergeCell ref="C164:D164"/>
    <mergeCell ref="A158:A172"/>
    <mergeCell ref="A140:D140"/>
    <mergeCell ref="C161:D161"/>
    <mergeCell ref="A92:A106"/>
    <mergeCell ref="A109:A123"/>
    <mergeCell ref="A242:D242"/>
    <mergeCell ref="A260:A272"/>
    <mergeCell ref="C344:D344"/>
    <mergeCell ref="C345:D345"/>
    <mergeCell ref="C364:D364"/>
    <mergeCell ref="C365:D365"/>
    <mergeCell ref="C366:D366"/>
    <mergeCell ref="C367:D367"/>
    <mergeCell ref="C361:D361"/>
    <mergeCell ref="A342:D342"/>
    <mergeCell ref="B283:B285"/>
    <mergeCell ref="A275:A289"/>
    <mergeCell ref="C246:D246"/>
    <mergeCell ref="C247:D247"/>
    <mergeCell ref="C363:D363"/>
    <mergeCell ref="C333:D333"/>
    <mergeCell ref="C280:D280"/>
    <mergeCell ref="C281:D281"/>
    <mergeCell ref="C282:D282"/>
    <mergeCell ref="C299:D299"/>
    <mergeCell ref="C293:D293"/>
    <mergeCell ref="C296:D296"/>
    <mergeCell ref="C298:D298"/>
    <mergeCell ref="C279:D279"/>
    <mergeCell ref="C276:D276"/>
    <mergeCell ref="A274:D274"/>
    <mergeCell ref="C277:D277"/>
    <mergeCell ref="C250:D250"/>
    <mergeCell ref="C248:D248"/>
    <mergeCell ref="C249:D249"/>
    <mergeCell ref="C331:D331"/>
    <mergeCell ref="C297:D297"/>
    <mergeCell ref="A291:D291"/>
    <mergeCell ref="B300:B302"/>
    <mergeCell ref="A308:D308"/>
    <mergeCell ref="C310:D310"/>
    <mergeCell ref="A292:A306"/>
    <mergeCell ref="C311:D311"/>
    <mergeCell ref="C312:D312"/>
    <mergeCell ref="A309:A323"/>
    <mergeCell ref="C294:D294"/>
    <mergeCell ref="C295:D295"/>
    <mergeCell ref="B251:B253"/>
    <mergeCell ref="A259:C259"/>
    <mergeCell ref="A243:A257"/>
    <mergeCell ref="C244:D244"/>
    <mergeCell ref="C245:D245"/>
    <mergeCell ref="C3492:D3492"/>
    <mergeCell ref="C3458:D3458"/>
    <mergeCell ref="B3479:B3481"/>
    <mergeCell ref="A3487:D3487"/>
    <mergeCell ref="A3471:A3485"/>
    <mergeCell ref="B3360:B3362"/>
    <mergeCell ref="C3410:D3410"/>
    <mergeCell ref="C3489:D3489"/>
    <mergeCell ref="C3490:D3490"/>
    <mergeCell ref="C3374:D3374"/>
    <mergeCell ref="C3375:D3375"/>
    <mergeCell ref="B3377:B3379"/>
    <mergeCell ref="C3456:D3456"/>
    <mergeCell ref="C3457:D3457"/>
    <mergeCell ref="C3461:D3461"/>
    <mergeCell ref="B3462:B3464"/>
    <mergeCell ref="A3470:D3470"/>
    <mergeCell ref="C3390:D3390"/>
    <mergeCell ref="A3385:D3385"/>
    <mergeCell ref="C3387:D3387"/>
    <mergeCell ref="C3388:D3388"/>
    <mergeCell ref="A3386:A3400"/>
    <mergeCell ref="A3403:A3417"/>
    <mergeCell ref="C3440:D3440"/>
    <mergeCell ref="C3441:D3441"/>
    <mergeCell ref="C3372:D3372"/>
    <mergeCell ref="C3373:D3373"/>
    <mergeCell ref="A3573:A3587"/>
    <mergeCell ref="A3590:A3604"/>
    <mergeCell ref="C3444:D3444"/>
    <mergeCell ref="C3455:D3455"/>
    <mergeCell ref="B3632:B3634"/>
    <mergeCell ref="A3640:D3640"/>
    <mergeCell ref="A3623:D3623"/>
    <mergeCell ref="C3574:D3574"/>
    <mergeCell ref="C3575:D3575"/>
    <mergeCell ref="C3576:D3576"/>
    <mergeCell ref="C278:D278"/>
    <mergeCell ref="A343:A357"/>
    <mergeCell ref="A326:A340"/>
    <mergeCell ref="A360:A374"/>
    <mergeCell ref="B334:B336"/>
    <mergeCell ref="B368:B370"/>
    <mergeCell ref="C313:D313"/>
    <mergeCell ref="C314:D314"/>
    <mergeCell ref="C315:D315"/>
    <mergeCell ref="C316:D316"/>
    <mergeCell ref="B317:B319"/>
    <mergeCell ref="C332:D332"/>
    <mergeCell ref="A325:D325"/>
    <mergeCell ref="C327:D327"/>
    <mergeCell ref="C328:D328"/>
    <mergeCell ref="C329:D329"/>
    <mergeCell ref="C330:D330"/>
    <mergeCell ref="C3472:D3472"/>
    <mergeCell ref="C3473:D3473"/>
    <mergeCell ref="C3474:D3474"/>
    <mergeCell ref="C3475:D3475"/>
    <mergeCell ref="C3527:D3527"/>
    <mergeCell ref="C3712:D3712"/>
    <mergeCell ref="A3743:A3757"/>
    <mergeCell ref="B3751:B3753"/>
    <mergeCell ref="C3643:D3643"/>
    <mergeCell ref="C3644:D3644"/>
    <mergeCell ref="C3645:D3645"/>
    <mergeCell ref="C3610:D3610"/>
    <mergeCell ref="C3663:D3663"/>
    <mergeCell ref="C3682:D3682"/>
    <mergeCell ref="C3664:D3664"/>
    <mergeCell ref="C3665:D3665"/>
    <mergeCell ref="C3676:D3676"/>
    <mergeCell ref="C3677:D3677"/>
    <mergeCell ref="C3678:D3678"/>
    <mergeCell ref="C3646:D3646"/>
    <mergeCell ref="C3647:D3647"/>
    <mergeCell ref="C3659:D3659"/>
    <mergeCell ref="C3660:D3660"/>
    <mergeCell ref="C3661:D3661"/>
    <mergeCell ref="C3662:D3662"/>
    <mergeCell ref="B3666:B3668"/>
    <mergeCell ref="A3674:D3674"/>
    <mergeCell ref="C3749:D3749"/>
    <mergeCell ref="C3750:D3750"/>
    <mergeCell ref="C3528:D3528"/>
    <mergeCell ref="C3648:D3648"/>
    <mergeCell ref="A3641:A3655"/>
    <mergeCell ref="B3513:B3515"/>
    <mergeCell ref="C3642:D3642"/>
    <mergeCell ref="B3394:B3396"/>
    <mergeCell ref="C3543:D3543"/>
    <mergeCell ref="C3544:D3544"/>
    <mergeCell ref="C3625:D3625"/>
    <mergeCell ref="C3626:D3626"/>
    <mergeCell ref="A3607:A3621"/>
    <mergeCell ref="A3624:A3638"/>
    <mergeCell ref="C3630:D3630"/>
    <mergeCell ref="C3631:D3631"/>
    <mergeCell ref="A3420:A3434"/>
    <mergeCell ref="C3529:D3529"/>
    <mergeCell ref="B3530:B3532"/>
    <mergeCell ref="C3541:D3541"/>
    <mergeCell ref="C3542:D3542"/>
    <mergeCell ref="A3521:D3521"/>
    <mergeCell ref="C3523:D3523"/>
    <mergeCell ref="C3524:D3524"/>
    <mergeCell ref="C3525:D3525"/>
    <mergeCell ref="C3526:D3526"/>
    <mergeCell ref="A3505:A3519"/>
    <mergeCell ref="A3522:A3536"/>
    <mergeCell ref="A3454:A3468"/>
    <mergeCell ref="C3405:D3405"/>
    <mergeCell ref="C3406:D3406"/>
    <mergeCell ref="C3407:D3407"/>
    <mergeCell ref="C3408:D3408"/>
    <mergeCell ref="C3409:D3409"/>
    <mergeCell ref="C3493:D3493"/>
    <mergeCell ref="C3494:D3494"/>
    <mergeCell ref="B3496:B3498"/>
    <mergeCell ref="A3504:D3504"/>
    <mergeCell ref="A3488:A3502"/>
    <mergeCell ref="C3506:D3506"/>
    <mergeCell ref="C3421:D3421"/>
    <mergeCell ref="C3422:D3422"/>
    <mergeCell ref="C3423:D3423"/>
    <mergeCell ref="C3424:D3424"/>
    <mergeCell ref="C3427:D3427"/>
    <mergeCell ref="C3478:D3478"/>
    <mergeCell ref="C3495:D3495"/>
    <mergeCell ref="B3428:B3430"/>
    <mergeCell ref="C3491:D3491"/>
    <mergeCell ref="B3649:B3651"/>
    <mergeCell ref="A3675:A3689"/>
    <mergeCell ref="C3545:D3545"/>
    <mergeCell ref="C3546:D3546"/>
    <mergeCell ref="A3538:D3538"/>
    <mergeCell ref="C3540:D3540"/>
    <mergeCell ref="B3547:B3549"/>
    <mergeCell ref="A3555:D3555"/>
    <mergeCell ref="C3557:D3557"/>
    <mergeCell ref="C3558:D3558"/>
    <mergeCell ref="C3559:D3559"/>
    <mergeCell ref="C3560:D3560"/>
    <mergeCell ref="C3561:D3561"/>
    <mergeCell ref="C3562:D3562"/>
    <mergeCell ref="C3563:D3563"/>
    <mergeCell ref="B3564:B3566"/>
    <mergeCell ref="A3539:A3553"/>
    <mergeCell ref="C3784:D3784"/>
    <mergeCell ref="C3679:D3679"/>
    <mergeCell ref="C3680:D3680"/>
    <mergeCell ref="C3693:D3693"/>
    <mergeCell ref="C3681:D3681"/>
    <mergeCell ref="C3694:D3694"/>
    <mergeCell ref="C3695:D3695"/>
    <mergeCell ref="C3696:D3696"/>
    <mergeCell ref="C3697:D3697"/>
    <mergeCell ref="C3698:D3698"/>
    <mergeCell ref="C3699:D3699"/>
    <mergeCell ref="C3710:D3710"/>
    <mergeCell ref="C3629:D3629"/>
    <mergeCell ref="C3765:D3765"/>
    <mergeCell ref="C3766:D3766"/>
    <mergeCell ref="C3767:D3767"/>
    <mergeCell ref="A3776:D3776"/>
    <mergeCell ref="C3778:D3778"/>
    <mergeCell ref="C3779:D3779"/>
    <mergeCell ref="C3780:D3780"/>
    <mergeCell ref="C3781:D3781"/>
    <mergeCell ref="C3782:D3782"/>
    <mergeCell ref="C3783:D3783"/>
    <mergeCell ref="C3733:D3733"/>
    <mergeCell ref="B3734:B3736"/>
    <mergeCell ref="C3714:D3714"/>
    <mergeCell ref="C3715:D3715"/>
    <mergeCell ref="C3716:D3716"/>
    <mergeCell ref="C3727:D3727"/>
    <mergeCell ref="C3728:D3728"/>
    <mergeCell ref="C3729:D3729"/>
    <mergeCell ref="C3711:D3711"/>
    <mergeCell ref="C3797:D3797"/>
    <mergeCell ref="C3747:D3747"/>
    <mergeCell ref="C3713:D3713"/>
    <mergeCell ref="A3657:D3657"/>
    <mergeCell ref="A3692:A3706"/>
    <mergeCell ref="B3683:B3685"/>
    <mergeCell ref="A3691:D3691"/>
    <mergeCell ref="B3700:B3702"/>
    <mergeCell ref="A3708:D3708"/>
    <mergeCell ref="C3745:D3745"/>
    <mergeCell ref="C3746:D3746"/>
    <mergeCell ref="A3742:D3742"/>
    <mergeCell ref="C3744:D3744"/>
    <mergeCell ref="C3730:D3730"/>
    <mergeCell ref="C3731:D3731"/>
    <mergeCell ref="C3732:D3732"/>
    <mergeCell ref="A3794:A3805"/>
    <mergeCell ref="A3777:A3791"/>
    <mergeCell ref="B3717:B3719"/>
    <mergeCell ref="A3726:A3740"/>
    <mergeCell ref="A3760:A3774"/>
    <mergeCell ref="A3709:A3723"/>
    <mergeCell ref="A3658:A3672"/>
    <mergeCell ref="B3768:B3770"/>
    <mergeCell ref="B3802:B3804"/>
    <mergeCell ref="B3785:B3787"/>
    <mergeCell ref="A3759:D3759"/>
    <mergeCell ref="C3761:D3761"/>
    <mergeCell ref="C3762:D3762"/>
    <mergeCell ref="C3763:D3763"/>
    <mergeCell ref="C3764:D3764"/>
    <mergeCell ref="A3725:D3725"/>
    <mergeCell ref="C3799:D3799"/>
    <mergeCell ref="C3800:D3800"/>
    <mergeCell ref="C3801:D3801"/>
    <mergeCell ref="A3793:D3793"/>
    <mergeCell ref="C3795:D3795"/>
    <mergeCell ref="C3798:D3798"/>
    <mergeCell ref="C3748:D3748"/>
    <mergeCell ref="C3577:D3577"/>
    <mergeCell ref="C3578:D3578"/>
    <mergeCell ref="C3579:D3579"/>
    <mergeCell ref="C3580:D3580"/>
    <mergeCell ref="B3581:B3583"/>
    <mergeCell ref="A3589:D3589"/>
    <mergeCell ref="C3591:D3591"/>
    <mergeCell ref="A3606:D3606"/>
    <mergeCell ref="C3627:D3627"/>
    <mergeCell ref="C3628:D3628"/>
    <mergeCell ref="C3608:D3608"/>
    <mergeCell ref="C3611:D3611"/>
    <mergeCell ref="C3612:D3612"/>
    <mergeCell ref="C3613:D3613"/>
    <mergeCell ref="C3614:D3614"/>
    <mergeCell ref="C3592:D3592"/>
    <mergeCell ref="C3593:D3593"/>
    <mergeCell ref="C3594:D3594"/>
    <mergeCell ref="C3595:D3595"/>
    <mergeCell ref="C3596:D3596"/>
    <mergeCell ref="C3597:D3597"/>
    <mergeCell ref="B3598:B3600"/>
    <mergeCell ref="C3609:D3609"/>
    <mergeCell ref="B3615:B3617"/>
    <mergeCell ref="C3796:D3796"/>
    <mergeCell ref="A3556:A3570"/>
    <mergeCell ref="A3572:D3572"/>
    <mergeCell ref="C2984:D2984"/>
    <mergeCell ref="C2985:D2985"/>
    <mergeCell ref="C2983:D2983"/>
    <mergeCell ref="C2999:D2999"/>
    <mergeCell ref="C3001:D3001"/>
    <mergeCell ref="C3000:D3000"/>
    <mergeCell ref="A3062:D3062"/>
    <mergeCell ref="A3063:A3077"/>
    <mergeCell ref="C3082:D3082"/>
    <mergeCell ref="A3080:A3094"/>
    <mergeCell ref="C3019:D3019"/>
    <mergeCell ref="C3015:D3015"/>
    <mergeCell ref="C3016:D3016"/>
    <mergeCell ref="C3017:D3017"/>
    <mergeCell ref="C3018:D3018"/>
    <mergeCell ref="B3054:B3056"/>
    <mergeCell ref="C3048:D3048"/>
    <mergeCell ref="C3049:D3049"/>
    <mergeCell ref="A3012:A3026"/>
    <mergeCell ref="A3029:A3043"/>
    <mergeCell ref="B3020:B3022"/>
    <mergeCell ref="A3028:D3028"/>
    <mergeCell ref="C3030:D3030"/>
    <mergeCell ref="C3031:D3031"/>
    <mergeCell ref="C3032:D3032"/>
    <mergeCell ref="C3033:D3033"/>
    <mergeCell ref="B3088:B3090"/>
    <mergeCell ref="C3083:D3083"/>
    <mergeCell ref="C3002:D3002"/>
    <mergeCell ref="B3003:B3005"/>
    <mergeCell ref="A3096:D3096"/>
    <mergeCell ref="C3052:D3052"/>
    <mergeCell ref="A3045:D3045"/>
    <mergeCell ref="C3047:D3047"/>
    <mergeCell ref="A3046:A3060"/>
    <mergeCell ref="C3050:D3050"/>
    <mergeCell ref="C3051:D3051"/>
    <mergeCell ref="C3013:D3013"/>
    <mergeCell ref="C3014:D3014"/>
    <mergeCell ref="C3034:D3034"/>
    <mergeCell ref="C3035:D3035"/>
    <mergeCell ref="C3036:D3036"/>
    <mergeCell ref="C3053:D3053"/>
    <mergeCell ref="B3037:B3039"/>
    <mergeCell ref="A2994:D2994"/>
    <mergeCell ref="C2996:D2996"/>
    <mergeCell ref="C2997:D2997"/>
    <mergeCell ref="C2998:D2998"/>
    <mergeCell ref="C3084:D3084"/>
    <mergeCell ref="C3085:D3085"/>
    <mergeCell ref="C3086:D3086"/>
    <mergeCell ref="C3087:D3087"/>
    <mergeCell ref="A3079:D3079"/>
    <mergeCell ref="C3081:D3081"/>
    <mergeCell ref="C3068:D3068"/>
    <mergeCell ref="C3069:D3069"/>
    <mergeCell ref="C3064:D3064"/>
    <mergeCell ref="C3065:D3065"/>
    <mergeCell ref="C3066:D3066"/>
    <mergeCell ref="C3067:D3067"/>
    <mergeCell ref="C3070:D3070"/>
    <mergeCell ref="B3071:B3073"/>
    <mergeCell ref="C2894:D2894"/>
    <mergeCell ref="C2881:D2881"/>
    <mergeCell ref="C2882:D2882"/>
    <mergeCell ref="C2883:D2883"/>
    <mergeCell ref="C2860:D2860"/>
    <mergeCell ref="C2861:D2861"/>
    <mergeCell ref="C2895:D2895"/>
    <mergeCell ref="C2896:D2896"/>
    <mergeCell ref="C2897:D2897"/>
    <mergeCell ref="C2898:D2898"/>
    <mergeCell ref="C2899:D2899"/>
    <mergeCell ref="C2914:D2914"/>
    <mergeCell ref="C2915:D2915"/>
    <mergeCell ref="C2900:D2900"/>
    <mergeCell ref="B2901:B2903"/>
    <mergeCell ref="A2909:D2909"/>
    <mergeCell ref="C2911:D2911"/>
    <mergeCell ref="C2912:D2912"/>
    <mergeCell ref="C2981:D2981"/>
    <mergeCell ref="C2982:D2982"/>
    <mergeCell ref="C2964:D2964"/>
    <mergeCell ref="C2965:D2965"/>
    <mergeCell ref="C2968:D2968"/>
    <mergeCell ref="C2979:D2979"/>
    <mergeCell ref="C2980:D2980"/>
    <mergeCell ref="A3011:D3011"/>
    <mergeCell ref="A2995:A3009"/>
    <mergeCell ref="A2961:A2975"/>
    <mergeCell ref="A2978:A2992"/>
    <mergeCell ref="C2913:D2913"/>
    <mergeCell ref="C2916:D2916"/>
    <mergeCell ref="C2963:D2963"/>
    <mergeCell ref="B2969:B2971"/>
    <mergeCell ref="C2946:D2946"/>
    <mergeCell ref="C2947:D2947"/>
    <mergeCell ref="C2948:D2948"/>
    <mergeCell ref="C2949:D2949"/>
    <mergeCell ref="C2950:D2950"/>
    <mergeCell ref="C2951:D2951"/>
    <mergeCell ref="C2962:D2962"/>
    <mergeCell ref="B2952:B2954"/>
    <mergeCell ref="B2986:B2988"/>
    <mergeCell ref="C2929:D2929"/>
    <mergeCell ref="C2930:D2930"/>
    <mergeCell ref="C2966:D2966"/>
    <mergeCell ref="C2967:D2967"/>
    <mergeCell ref="A2977:D2977"/>
    <mergeCell ref="C2928:D2928"/>
    <mergeCell ref="C2931:D2931"/>
    <mergeCell ref="C2932:D2932"/>
    <mergeCell ref="C2917:D2917"/>
    <mergeCell ref="B2918:B2920"/>
    <mergeCell ref="C2934:D2934"/>
    <mergeCell ref="B2935:B2937"/>
    <mergeCell ref="A2943:D2943"/>
    <mergeCell ref="C2945:D2945"/>
    <mergeCell ref="A2960:D2960"/>
    <mergeCell ref="C2933:D2933"/>
    <mergeCell ref="A2842:A2856"/>
    <mergeCell ref="A2859:A2873"/>
    <mergeCell ref="A2876:A2890"/>
    <mergeCell ref="A2893:A2907"/>
    <mergeCell ref="A2910:A2924"/>
    <mergeCell ref="A2927:A2941"/>
    <mergeCell ref="A2944:A2958"/>
    <mergeCell ref="C2865:D2865"/>
    <mergeCell ref="C2866:D2866"/>
    <mergeCell ref="C2877:D2877"/>
    <mergeCell ref="B2850:B2852"/>
    <mergeCell ref="C2847:D2847"/>
    <mergeCell ref="C2863:D2863"/>
    <mergeCell ref="C2864:D2864"/>
    <mergeCell ref="C2848:D2848"/>
    <mergeCell ref="C2849:D2849"/>
    <mergeCell ref="A2858:D2858"/>
    <mergeCell ref="C2862:D2862"/>
    <mergeCell ref="C2809:D2809"/>
    <mergeCell ref="C2810:D2810"/>
    <mergeCell ref="C2843:D2843"/>
    <mergeCell ref="C2844:D2844"/>
    <mergeCell ref="C2845:D2845"/>
    <mergeCell ref="C2846:D2846"/>
    <mergeCell ref="B2867:B2869"/>
    <mergeCell ref="A2875:D2875"/>
    <mergeCell ref="A2892:D2892"/>
    <mergeCell ref="B2884:B2886"/>
    <mergeCell ref="C2878:D2878"/>
    <mergeCell ref="C2879:D2879"/>
    <mergeCell ref="C2880:D2880"/>
    <mergeCell ref="C2813:D2813"/>
    <mergeCell ref="C2811:D2811"/>
    <mergeCell ref="C2812:D2812"/>
    <mergeCell ref="A2926:D2926"/>
    <mergeCell ref="A2824:D2824"/>
    <mergeCell ref="C2826:D2826"/>
    <mergeCell ref="C2827:D2827"/>
    <mergeCell ref="C2828:D2828"/>
    <mergeCell ref="C2829:D2829"/>
    <mergeCell ref="C2830:D2830"/>
    <mergeCell ref="C2831:D2831"/>
    <mergeCell ref="A2825:A2839"/>
    <mergeCell ref="B2833:B2835"/>
    <mergeCell ref="A2841:D2841"/>
    <mergeCell ref="C2832:D28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03"/>
  <sheetViews>
    <sheetView topLeftCell="A164" workbookViewId="0">
      <selection activeCell="D170" sqref="D170"/>
    </sheetView>
  </sheetViews>
  <sheetFormatPr defaultColWidth="14.42578125" defaultRowHeight="15" customHeight="1" x14ac:dyDescent="0.2"/>
  <cols>
    <col min="1" max="1" width="18.28515625" customWidth="1"/>
    <col min="2" max="2" width="12.85546875" customWidth="1"/>
    <col min="3" max="3" width="8" customWidth="1"/>
    <col min="4" max="4" width="18.28515625" customWidth="1"/>
    <col min="5" max="6" width="8" customWidth="1"/>
  </cols>
  <sheetData>
    <row r="1" spans="1:4" ht="12.75" customHeight="1" x14ac:dyDescent="0.2">
      <c r="A1" s="22" t="str">
        <f>HYPERLINK("javascript:void(0)","gyémánt láncing")</f>
        <v>gyémánt láncing</v>
      </c>
      <c r="B1" s="21"/>
      <c r="C1" s="21"/>
      <c r="D1" s="2"/>
    </row>
    <row r="2" spans="1:4" ht="12.75" customHeight="1" x14ac:dyDescent="0.2">
      <c r="A2" s="20"/>
      <c r="B2" s="2"/>
      <c r="C2" s="2"/>
      <c r="D2" s="2"/>
    </row>
    <row r="3" spans="1:4" ht="12.75" customHeight="1" x14ac:dyDescent="0.2">
      <c r="A3" s="21"/>
      <c r="B3" s="3" t="s">
        <v>0</v>
      </c>
      <c r="C3" s="3" t="s">
        <v>1</v>
      </c>
      <c r="D3" s="2"/>
    </row>
    <row r="4" spans="1:4" ht="12.75" customHeight="1" x14ac:dyDescent="0.2">
      <c r="A4" s="21"/>
      <c r="B4" s="3" t="s">
        <v>2</v>
      </c>
      <c r="C4" s="3" t="s">
        <v>2322</v>
      </c>
      <c r="D4" s="2"/>
    </row>
    <row r="5" spans="1:4" ht="12.75" customHeight="1" x14ac:dyDescent="0.2">
      <c r="A5" s="21"/>
      <c r="B5" s="3" t="s">
        <v>1840</v>
      </c>
      <c r="C5" s="3" t="s">
        <v>92</v>
      </c>
      <c r="D5" s="2"/>
    </row>
    <row r="6" spans="1:4" ht="12.75" customHeight="1" x14ac:dyDescent="0.2">
      <c r="A6" s="21"/>
      <c r="B6" s="3" t="s">
        <v>9</v>
      </c>
      <c r="C6" s="3" t="s">
        <v>129</v>
      </c>
      <c r="D6" s="2"/>
    </row>
    <row r="7" spans="1:4" ht="25.5" customHeight="1" x14ac:dyDescent="0.2">
      <c r="A7" s="21"/>
      <c r="B7" s="3" t="s">
        <v>11</v>
      </c>
      <c r="C7" s="3" t="s">
        <v>227</v>
      </c>
      <c r="D7" s="2"/>
    </row>
    <row r="8" spans="1:4" ht="12.75" customHeight="1" x14ac:dyDescent="0.2">
      <c r="A8" s="21"/>
      <c r="B8" s="3" t="s">
        <v>16</v>
      </c>
      <c r="C8" s="3"/>
      <c r="D8" s="2"/>
    </row>
    <row r="9" spans="1:4" ht="12.75" customHeight="1" x14ac:dyDescent="0.2">
      <c r="A9" s="21"/>
      <c r="B9" s="3" t="s">
        <v>17</v>
      </c>
      <c r="C9" s="3" t="s">
        <v>19</v>
      </c>
      <c r="D9" s="2"/>
    </row>
    <row r="10" spans="1:4" ht="12.75" customHeight="1" x14ac:dyDescent="0.2">
      <c r="A10" s="21"/>
      <c r="B10" s="3" t="s">
        <v>18</v>
      </c>
      <c r="C10" s="4" t="s">
        <v>19</v>
      </c>
      <c r="D10" s="2"/>
    </row>
    <row r="11" spans="1:4" ht="12.75" customHeight="1" x14ac:dyDescent="0.2">
      <c r="A11" s="21"/>
      <c r="B11" s="2"/>
      <c r="C11" s="2"/>
      <c r="D11" s="2"/>
    </row>
    <row r="12" spans="1:4" ht="12.75" customHeight="1" x14ac:dyDescent="0.2">
      <c r="A12" s="21"/>
      <c r="B12" s="2"/>
      <c r="C12" s="2"/>
      <c r="D12" s="2"/>
    </row>
    <row r="13" spans="1:4" ht="12.75" customHeight="1" x14ac:dyDescent="0.2">
      <c r="A13" s="21"/>
      <c r="B13" s="2"/>
      <c r="C13" s="2"/>
      <c r="D13" s="2"/>
    </row>
    <row r="14" spans="1:4" ht="12.75" customHeight="1" x14ac:dyDescent="0.2">
      <c r="A14" s="21"/>
      <c r="B14" s="2"/>
      <c r="C14" s="2"/>
      <c r="D14" s="2"/>
    </row>
    <row r="15" spans="1:4" ht="12.75" customHeight="1" x14ac:dyDescent="0.2">
      <c r="A15" s="5"/>
      <c r="B15" s="2"/>
      <c r="C15" s="2"/>
      <c r="D15" s="2"/>
    </row>
    <row r="16" spans="1:4" ht="12.75" customHeight="1" x14ac:dyDescent="0.2">
      <c r="A16" s="22" t="str">
        <f>HYPERLINK("javascript:void(0)","vászoning")</f>
        <v>vászoning</v>
      </c>
      <c r="B16" s="21"/>
      <c r="C16" s="21"/>
      <c r="D16" s="2"/>
    </row>
    <row r="17" spans="1:4" ht="12.75" customHeight="1" x14ac:dyDescent="0.2">
      <c r="A17" s="20"/>
      <c r="B17" s="2"/>
      <c r="C17" s="2"/>
      <c r="D17" s="2"/>
    </row>
    <row r="18" spans="1:4" ht="12.75" customHeight="1" x14ac:dyDescent="0.2">
      <c r="A18" s="21"/>
      <c r="B18" s="3" t="s">
        <v>0</v>
      </c>
      <c r="C18" s="3" t="s">
        <v>1</v>
      </c>
      <c r="D18" s="2"/>
    </row>
    <row r="19" spans="1:4" ht="12.75" customHeight="1" x14ac:dyDescent="0.2">
      <c r="A19" s="21"/>
      <c r="B19" s="3" t="s">
        <v>2</v>
      </c>
      <c r="C19" s="3" t="s">
        <v>2322</v>
      </c>
      <c r="D19" s="2"/>
    </row>
    <row r="20" spans="1:4" ht="12.75" customHeight="1" x14ac:dyDescent="0.2">
      <c r="A20" s="21"/>
      <c r="B20" s="3" t="s">
        <v>1840</v>
      </c>
      <c r="C20" s="3" t="s">
        <v>21</v>
      </c>
      <c r="D20" s="2"/>
    </row>
    <row r="21" spans="1:4" ht="12.75" customHeight="1" x14ac:dyDescent="0.2">
      <c r="A21" s="21"/>
      <c r="B21" s="3" t="s">
        <v>9</v>
      </c>
      <c r="C21" s="3" t="s">
        <v>53</v>
      </c>
      <c r="D21" s="2"/>
    </row>
    <row r="22" spans="1:4" ht="12.75" customHeight="1" x14ac:dyDescent="0.2">
      <c r="A22" s="21"/>
      <c r="B22" s="3" t="s">
        <v>11</v>
      </c>
      <c r="C22" s="3" t="s">
        <v>1571</v>
      </c>
      <c r="D22" s="2"/>
    </row>
    <row r="23" spans="1:4" ht="12.75" customHeight="1" x14ac:dyDescent="0.2">
      <c r="A23" s="21"/>
      <c r="B23" s="3" t="s">
        <v>16</v>
      </c>
      <c r="C23" s="3"/>
      <c r="D23" s="2"/>
    </row>
    <row r="24" spans="1:4" ht="12.75" customHeight="1" x14ac:dyDescent="0.2">
      <c r="A24" s="21"/>
      <c r="B24" s="3" t="s">
        <v>17</v>
      </c>
      <c r="C24" s="3" t="s">
        <v>19</v>
      </c>
      <c r="D24" s="2"/>
    </row>
    <row r="25" spans="1:4" ht="12.75" customHeight="1" x14ac:dyDescent="0.2">
      <c r="A25" s="21"/>
      <c r="B25" s="3" t="s">
        <v>18</v>
      </c>
      <c r="C25" s="4" t="s">
        <v>19</v>
      </c>
      <c r="D25" s="2"/>
    </row>
    <row r="26" spans="1:4" ht="12.75" customHeight="1" x14ac:dyDescent="0.2">
      <c r="A26" s="21"/>
      <c r="B26" s="2"/>
      <c r="C26" s="2"/>
      <c r="D26" s="2"/>
    </row>
    <row r="27" spans="1:4" ht="12.75" customHeight="1" x14ac:dyDescent="0.2">
      <c r="A27" s="21"/>
      <c r="B27" s="2"/>
      <c r="C27" s="2"/>
      <c r="D27" s="2"/>
    </row>
    <row r="28" spans="1:4" ht="12.75" customHeight="1" x14ac:dyDescent="0.2">
      <c r="A28" s="21"/>
      <c r="B28" s="2"/>
      <c r="C28" s="2"/>
      <c r="D28" s="2"/>
    </row>
    <row r="29" spans="1:4" ht="12.75" customHeight="1" x14ac:dyDescent="0.2">
      <c r="A29" s="21"/>
      <c r="B29" s="2"/>
      <c r="C29" s="2"/>
      <c r="D29" s="2"/>
    </row>
    <row r="30" spans="1:4" ht="12.75" customHeight="1" x14ac:dyDescent="0.2">
      <c r="A30" s="5"/>
      <c r="B30" s="2"/>
      <c r="C30" s="2"/>
      <c r="D30" s="2"/>
    </row>
    <row r="31" spans="1:4" ht="12.75" customHeight="1" x14ac:dyDescent="0.2">
      <c r="A31" s="22" t="str">
        <f>HYPERLINK("javascript:void(0)","rézpáncél")</f>
        <v>rézpáncél</v>
      </c>
      <c r="B31" s="21"/>
      <c r="C31" s="21"/>
      <c r="D31" s="2"/>
    </row>
    <row r="32" spans="1:4" ht="12.75" customHeight="1" x14ac:dyDescent="0.2">
      <c r="A32" s="20"/>
      <c r="B32" s="2"/>
      <c r="C32" s="2"/>
      <c r="D32" s="2"/>
    </row>
    <row r="33" spans="1:4" ht="12.75" customHeight="1" x14ac:dyDescent="0.2">
      <c r="A33" s="21"/>
      <c r="B33" s="3" t="s">
        <v>0</v>
      </c>
      <c r="C33" s="3" t="s">
        <v>29</v>
      </c>
      <c r="D33" s="2"/>
    </row>
    <row r="34" spans="1:4" ht="12.75" customHeight="1" x14ac:dyDescent="0.2">
      <c r="A34" s="21"/>
      <c r="B34" s="3" t="s">
        <v>2</v>
      </c>
      <c r="C34" s="3" t="s">
        <v>2322</v>
      </c>
      <c r="D34" s="2"/>
    </row>
    <row r="35" spans="1:4" ht="12.75" customHeight="1" x14ac:dyDescent="0.2">
      <c r="A35" s="21"/>
      <c r="B35" s="3" t="s">
        <v>1840</v>
      </c>
      <c r="C35" s="3" t="s">
        <v>29</v>
      </c>
      <c r="D35" s="2"/>
    </row>
    <row r="36" spans="1:4" ht="12.75" customHeight="1" x14ac:dyDescent="0.2">
      <c r="A36" s="21"/>
      <c r="B36" s="3" t="s">
        <v>9</v>
      </c>
      <c r="C36" s="3" t="s">
        <v>249</v>
      </c>
      <c r="D36" s="2"/>
    </row>
    <row r="37" spans="1:4" ht="12.75" customHeight="1" x14ac:dyDescent="0.2">
      <c r="A37" s="21"/>
      <c r="B37" s="3" t="s">
        <v>11</v>
      </c>
      <c r="C37" s="3" t="s">
        <v>2324</v>
      </c>
      <c r="D37" s="2"/>
    </row>
    <row r="38" spans="1:4" ht="12.75" customHeight="1" x14ac:dyDescent="0.2">
      <c r="A38" s="21"/>
      <c r="B38" s="3" t="s">
        <v>16</v>
      </c>
      <c r="C38" s="3"/>
      <c r="D38" s="2"/>
    </row>
    <row r="39" spans="1:4" ht="12.75" customHeight="1" x14ac:dyDescent="0.2">
      <c r="A39" s="21"/>
      <c r="B39" s="3" t="s">
        <v>17</v>
      </c>
      <c r="C39" s="3" t="s">
        <v>19</v>
      </c>
      <c r="D39" s="2"/>
    </row>
    <row r="40" spans="1:4" ht="12.75" customHeight="1" x14ac:dyDescent="0.2">
      <c r="A40" s="21"/>
      <c r="B40" s="3" t="s">
        <v>18</v>
      </c>
      <c r="C40" s="4" t="s">
        <v>19</v>
      </c>
      <c r="D40" s="2"/>
    </row>
    <row r="41" spans="1:4" ht="12.75" customHeight="1" x14ac:dyDescent="0.2">
      <c r="A41" s="21"/>
      <c r="B41" s="2"/>
      <c r="C41" s="2"/>
      <c r="D41" s="2"/>
    </row>
    <row r="42" spans="1:4" ht="12.75" customHeight="1" x14ac:dyDescent="0.2">
      <c r="A42" s="21"/>
      <c r="B42" s="2"/>
      <c r="C42" s="2"/>
      <c r="D42" s="2"/>
    </row>
    <row r="43" spans="1:4" ht="12.75" customHeight="1" x14ac:dyDescent="0.2">
      <c r="A43" s="21"/>
      <c r="B43" s="2"/>
      <c r="C43" s="2"/>
      <c r="D43" s="2"/>
    </row>
    <row r="44" spans="1:4" ht="12.75" customHeight="1" x14ac:dyDescent="0.2">
      <c r="A44" s="21"/>
      <c r="B44" s="2"/>
      <c r="C44" s="2"/>
      <c r="D44" s="2"/>
    </row>
    <row r="45" spans="1:4" ht="12.75" customHeight="1" x14ac:dyDescent="0.2">
      <c r="A45" s="5"/>
      <c r="B45" s="2"/>
      <c r="C45" s="2"/>
      <c r="D45" s="2"/>
    </row>
    <row r="46" spans="1:4" ht="12.75" customHeight="1" x14ac:dyDescent="0.2">
      <c r="A46" s="22" t="str">
        <f>HYPERLINK("javascript:void(0)","tuskópáncél")</f>
        <v>tuskópáncél</v>
      </c>
      <c r="B46" s="21"/>
      <c r="C46" s="21"/>
      <c r="D46" s="2"/>
    </row>
    <row r="47" spans="1:4" ht="12.75" customHeight="1" x14ac:dyDescent="0.2">
      <c r="A47" s="20"/>
      <c r="B47" s="2"/>
      <c r="C47" s="2"/>
      <c r="D47" s="2"/>
    </row>
    <row r="48" spans="1:4" ht="12.75" customHeight="1" x14ac:dyDescent="0.2">
      <c r="A48" s="21"/>
      <c r="B48" s="3" t="s">
        <v>0</v>
      </c>
      <c r="C48" s="3" t="s">
        <v>123</v>
      </c>
      <c r="D48" s="2"/>
    </row>
    <row r="49" spans="1:4" ht="12.75" customHeight="1" x14ac:dyDescent="0.2">
      <c r="A49" s="21"/>
      <c r="B49" s="3" t="s">
        <v>2</v>
      </c>
      <c r="C49" s="3" t="s">
        <v>2322</v>
      </c>
      <c r="D49" s="2"/>
    </row>
    <row r="50" spans="1:4" ht="12.75" customHeight="1" x14ac:dyDescent="0.2">
      <c r="A50" s="21"/>
      <c r="B50" s="3" t="s">
        <v>1840</v>
      </c>
      <c r="C50" s="3" t="s">
        <v>123</v>
      </c>
      <c r="D50" s="2"/>
    </row>
    <row r="51" spans="1:4" ht="12.75" customHeight="1" x14ac:dyDescent="0.2">
      <c r="A51" s="21"/>
      <c r="B51" s="3" t="s">
        <v>9</v>
      </c>
      <c r="C51" s="3" t="s">
        <v>250</v>
      </c>
      <c r="D51" s="2"/>
    </row>
    <row r="52" spans="1:4" ht="12.75" customHeight="1" x14ac:dyDescent="0.2">
      <c r="A52" s="21"/>
      <c r="B52" s="3" t="s">
        <v>11</v>
      </c>
      <c r="C52" s="3" t="s">
        <v>2327</v>
      </c>
      <c r="D52" s="2"/>
    </row>
    <row r="53" spans="1:4" ht="12.75" customHeight="1" x14ac:dyDescent="0.2">
      <c r="A53" s="21"/>
      <c r="B53" s="3" t="s">
        <v>16</v>
      </c>
      <c r="C53" s="3"/>
      <c r="D53" s="2"/>
    </row>
    <row r="54" spans="1:4" ht="12.75" customHeight="1" x14ac:dyDescent="0.2">
      <c r="A54" s="21"/>
      <c r="B54" s="3" t="s">
        <v>17</v>
      </c>
      <c r="C54" s="3" t="s">
        <v>19</v>
      </c>
      <c r="D54" s="2"/>
    </row>
    <row r="55" spans="1:4" ht="12.75" customHeight="1" x14ac:dyDescent="0.2">
      <c r="A55" s="21"/>
      <c r="B55" s="3" t="s">
        <v>18</v>
      </c>
      <c r="C55" s="4" t="s">
        <v>19</v>
      </c>
      <c r="D55" s="2"/>
    </row>
    <row r="56" spans="1:4" ht="12.75" customHeight="1" x14ac:dyDescent="0.2">
      <c r="A56" s="21"/>
      <c r="B56" s="2"/>
      <c r="C56" s="2"/>
      <c r="D56" s="2"/>
    </row>
    <row r="57" spans="1:4" ht="12.75" customHeight="1" x14ac:dyDescent="0.2">
      <c r="A57" s="21"/>
      <c r="B57" s="2"/>
      <c r="C57" s="2"/>
      <c r="D57" s="2"/>
    </row>
    <row r="58" spans="1:4" ht="12.75" customHeight="1" x14ac:dyDescent="0.2">
      <c r="A58" s="21"/>
      <c r="B58" s="2"/>
      <c r="C58" s="2"/>
      <c r="D58" s="2"/>
    </row>
    <row r="59" spans="1:4" ht="12.75" customHeight="1" x14ac:dyDescent="0.2">
      <c r="A59" s="21"/>
      <c r="B59" s="2"/>
      <c r="C59" s="2"/>
      <c r="D59" s="2"/>
    </row>
    <row r="60" spans="1:4" ht="12.75" customHeight="1" x14ac:dyDescent="0.2">
      <c r="A60" s="5"/>
      <c r="B60" s="2"/>
      <c r="C60" s="2"/>
      <c r="D60" s="2"/>
    </row>
    <row r="61" spans="1:4" ht="12.75" customHeight="1" x14ac:dyDescent="0.2">
      <c r="A61" s="22" t="str">
        <f>HYPERLINK("javascript:void(0)","bronzpáncél")</f>
        <v>bronzpáncél</v>
      </c>
      <c r="B61" s="21"/>
      <c r="C61" s="21"/>
      <c r="D61" s="2"/>
    </row>
    <row r="62" spans="1:4" ht="12.75" customHeight="1" x14ac:dyDescent="0.2">
      <c r="A62" s="20"/>
      <c r="B62" s="2"/>
      <c r="C62" s="2"/>
      <c r="D62" s="2"/>
    </row>
    <row r="63" spans="1:4" ht="12.75" customHeight="1" x14ac:dyDescent="0.2">
      <c r="A63" s="21"/>
      <c r="B63" s="3" t="s">
        <v>0</v>
      </c>
      <c r="C63" s="3" t="s">
        <v>5</v>
      </c>
      <c r="D63" s="2"/>
    </row>
    <row r="64" spans="1:4" ht="12.75" customHeight="1" x14ac:dyDescent="0.2">
      <c r="A64" s="21"/>
      <c r="B64" s="3" t="s">
        <v>2</v>
      </c>
      <c r="C64" s="3" t="s">
        <v>2322</v>
      </c>
      <c r="D64" s="2"/>
    </row>
    <row r="65" spans="1:4" ht="12.75" customHeight="1" x14ac:dyDescent="0.2">
      <c r="A65" s="21"/>
      <c r="B65" s="3" t="s">
        <v>1840</v>
      </c>
      <c r="C65" s="3" t="s">
        <v>40</v>
      </c>
      <c r="D65" s="2"/>
    </row>
    <row r="66" spans="1:4" ht="12.75" customHeight="1" x14ac:dyDescent="0.2">
      <c r="A66" s="21"/>
      <c r="B66" s="3" t="s">
        <v>9</v>
      </c>
      <c r="C66" s="3" t="s">
        <v>179</v>
      </c>
      <c r="D66" s="2"/>
    </row>
    <row r="67" spans="1:4" ht="12.75" customHeight="1" x14ac:dyDescent="0.2">
      <c r="A67" s="21"/>
      <c r="B67" s="3" t="s">
        <v>11</v>
      </c>
      <c r="C67" s="3" t="s">
        <v>2328</v>
      </c>
      <c r="D67" s="2"/>
    </row>
    <row r="68" spans="1:4" ht="12.75" customHeight="1" x14ac:dyDescent="0.2">
      <c r="A68" s="21"/>
      <c r="B68" s="3" t="s">
        <v>16</v>
      </c>
      <c r="C68" s="3"/>
      <c r="D68" s="2"/>
    </row>
    <row r="69" spans="1:4" ht="12.75" customHeight="1" x14ac:dyDescent="0.2">
      <c r="A69" s="21"/>
      <c r="B69" s="3" t="s">
        <v>17</v>
      </c>
      <c r="C69" s="3" t="s">
        <v>19</v>
      </c>
      <c r="D69" s="2"/>
    </row>
    <row r="70" spans="1:4" ht="12.75" customHeight="1" x14ac:dyDescent="0.2">
      <c r="A70" s="21"/>
      <c r="B70" s="3" t="s">
        <v>18</v>
      </c>
      <c r="C70" s="4" t="s">
        <v>19</v>
      </c>
      <c r="D70" s="2"/>
    </row>
    <row r="71" spans="1:4" ht="12.75" customHeight="1" x14ac:dyDescent="0.2">
      <c r="A71" s="21"/>
      <c r="B71" s="2"/>
      <c r="C71" s="2"/>
      <c r="D71" s="2"/>
    </row>
    <row r="72" spans="1:4" ht="12.75" customHeight="1" x14ac:dyDescent="0.2">
      <c r="A72" s="21"/>
      <c r="B72" s="2"/>
      <c r="C72" s="2"/>
      <c r="D72" s="2"/>
    </row>
    <row r="73" spans="1:4" ht="12.75" customHeight="1" x14ac:dyDescent="0.2">
      <c r="A73" s="21"/>
      <c r="B73" s="2"/>
      <c r="C73" s="2"/>
      <c r="D73" s="2"/>
    </row>
    <row r="74" spans="1:4" ht="12.75" customHeight="1" x14ac:dyDescent="0.2">
      <c r="A74" s="21"/>
      <c r="B74" s="2"/>
      <c r="C74" s="2"/>
      <c r="D74" s="2"/>
    </row>
    <row r="75" spans="1:4" ht="12.75" customHeight="1" x14ac:dyDescent="0.2">
      <c r="A75" s="5"/>
      <c r="B75" s="2"/>
      <c r="C75" s="2"/>
      <c r="D75" s="2"/>
    </row>
    <row r="76" spans="1:4" ht="12.75" customHeight="1" x14ac:dyDescent="0.2">
      <c r="A76" s="22" t="str">
        <f>HYPERLINK("javascript:void(0)","láncing")</f>
        <v>láncing</v>
      </c>
      <c r="B76" s="21"/>
      <c r="C76" s="21"/>
      <c r="D76" s="21"/>
    </row>
    <row r="77" spans="1:4" ht="12.75" customHeight="1" x14ac:dyDescent="0.2">
      <c r="A77" s="20"/>
      <c r="B77" s="2"/>
      <c r="C77" s="2"/>
      <c r="D77" s="2"/>
    </row>
    <row r="78" spans="1:4" ht="12.75" customHeight="1" x14ac:dyDescent="0.2">
      <c r="A78" s="21"/>
      <c r="B78" s="3" t="s">
        <v>0</v>
      </c>
      <c r="C78" s="20" t="s">
        <v>48</v>
      </c>
      <c r="D78" s="21"/>
    </row>
    <row r="79" spans="1:4" ht="12.75" customHeight="1" x14ac:dyDescent="0.2">
      <c r="A79" s="21"/>
      <c r="B79" s="3" t="s">
        <v>2</v>
      </c>
      <c r="C79" s="20" t="s">
        <v>2322</v>
      </c>
      <c r="D79" s="21"/>
    </row>
    <row r="80" spans="1:4" ht="12.75" customHeight="1" x14ac:dyDescent="0.2">
      <c r="A80" s="21"/>
      <c r="B80" s="3" t="s">
        <v>1840</v>
      </c>
      <c r="C80" s="20" t="s">
        <v>51</v>
      </c>
      <c r="D80" s="21"/>
    </row>
    <row r="81" spans="1:4" ht="12.75" customHeight="1" x14ac:dyDescent="0.2">
      <c r="A81" s="21"/>
      <c r="B81" s="3" t="s">
        <v>9</v>
      </c>
      <c r="C81" s="20" t="s">
        <v>129</v>
      </c>
      <c r="D81" s="21"/>
    </row>
    <row r="82" spans="1:4" ht="12.75" customHeight="1" x14ac:dyDescent="0.2">
      <c r="A82" s="21"/>
      <c r="B82" s="3" t="s">
        <v>11</v>
      </c>
      <c r="C82" s="20" t="s">
        <v>1636</v>
      </c>
      <c r="D82" s="21"/>
    </row>
    <row r="83" spans="1:4" ht="12.75" customHeight="1" x14ac:dyDescent="0.2">
      <c r="A83" s="21"/>
      <c r="B83" s="3" t="s">
        <v>16</v>
      </c>
      <c r="C83" s="20"/>
      <c r="D83" s="21"/>
    </row>
    <row r="84" spans="1:4" ht="12.75" customHeight="1" x14ac:dyDescent="0.2">
      <c r="A84" s="21"/>
      <c r="B84" s="3" t="s">
        <v>17</v>
      </c>
      <c r="C84" s="20" t="s">
        <v>19</v>
      </c>
      <c r="D84" s="21"/>
    </row>
    <row r="85" spans="1:4" ht="12.75" customHeight="1" x14ac:dyDescent="0.2">
      <c r="A85" s="21"/>
      <c r="B85" s="20" t="s">
        <v>18</v>
      </c>
      <c r="C85" s="4" t="s">
        <v>232</v>
      </c>
      <c r="D85" s="6" t="str">
        <f>HYPERLINK("javascript:void(0)","vasérc")</f>
        <v>vasérc</v>
      </c>
    </row>
    <row r="86" spans="1:4" ht="12.75" customHeight="1" x14ac:dyDescent="0.2">
      <c r="A86" s="21"/>
      <c r="B86" s="21"/>
      <c r="C86" s="4" t="s">
        <v>56</v>
      </c>
      <c r="D86" s="6" t="str">
        <f>HYPERLINK("javascript:void(0)","óngolyó")</f>
        <v>óngolyó</v>
      </c>
    </row>
    <row r="87" spans="1:4" ht="12.75" customHeight="1" x14ac:dyDescent="0.2">
      <c r="A87" s="21"/>
      <c r="B87" s="21"/>
      <c r="C87" s="4" t="s">
        <v>44</v>
      </c>
      <c r="D87" s="6" t="str">
        <f>HYPERLINK("javascript:void(0)","vászoning")</f>
        <v>vászoning</v>
      </c>
    </row>
    <row r="88" spans="1:4" ht="12.75" customHeight="1" x14ac:dyDescent="0.2">
      <c r="A88" s="21"/>
      <c r="B88" s="2"/>
      <c r="C88" s="2"/>
      <c r="D88" s="2"/>
    </row>
    <row r="89" spans="1:4" ht="12.75" customHeight="1" x14ac:dyDescent="0.2">
      <c r="A89" s="21"/>
      <c r="B89" s="2"/>
      <c r="C89" s="2"/>
      <c r="D89" s="2"/>
    </row>
    <row r="90" spans="1:4" ht="12.75" customHeight="1" x14ac:dyDescent="0.2">
      <c r="A90" s="21"/>
      <c r="B90" s="2"/>
      <c r="C90" s="2"/>
      <c r="D90" s="2"/>
    </row>
    <row r="91" spans="1:4" ht="12.75" customHeight="1" x14ac:dyDescent="0.2">
      <c r="A91" s="21"/>
      <c r="B91" s="2"/>
      <c r="C91" s="2"/>
      <c r="D91" s="2"/>
    </row>
    <row r="92" spans="1:4" ht="12.75" customHeight="1" x14ac:dyDescent="0.2">
      <c r="A92" s="5"/>
      <c r="B92" s="2"/>
      <c r="C92" s="2"/>
      <c r="D92" s="2"/>
    </row>
    <row r="93" spans="1:4" ht="12.75" customHeight="1" x14ac:dyDescent="0.2">
      <c r="A93" s="22" t="str">
        <f>HYPERLINK("javascript:void(0)","vaspáncél")</f>
        <v>vaspáncél</v>
      </c>
      <c r="B93" s="21"/>
      <c r="C93" s="21"/>
      <c r="D93" s="21"/>
    </row>
    <row r="94" spans="1:4" ht="12.75" customHeight="1" x14ac:dyDescent="0.2">
      <c r="A94" s="20"/>
      <c r="B94" s="2"/>
      <c r="C94" s="2"/>
      <c r="D94" s="2"/>
    </row>
    <row r="95" spans="1:4" ht="12.75" customHeight="1" x14ac:dyDescent="0.2">
      <c r="A95" s="21"/>
      <c r="B95" s="3" t="s">
        <v>0</v>
      </c>
      <c r="C95" s="20" t="s">
        <v>33</v>
      </c>
      <c r="D95" s="21"/>
    </row>
    <row r="96" spans="1:4" ht="12.75" customHeight="1" x14ac:dyDescent="0.2">
      <c r="A96" s="21"/>
      <c r="B96" s="3" t="s">
        <v>2</v>
      </c>
      <c r="C96" s="20" t="s">
        <v>2322</v>
      </c>
      <c r="D96" s="21"/>
    </row>
    <row r="97" spans="1:4" ht="12.75" customHeight="1" x14ac:dyDescent="0.2">
      <c r="A97" s="21"/>
      <c r="B97" s="3" t="s">
        <v>1840</v>
      </c>
      <c r="C97" s="20" t="s">
        <v>74</v>
      </c>
      <c r="D97" s="21"/>
    </row>
    <row r="98" spans="1:4" ht="12.75" customHeight="1" x14ac:dyDescent="0.2">
      <c r="A98" s="21"/>
      <c r="B98" s="3" t="s">
        <v>9</v>
      </c>
      <c r="C98" s="20" t="s">
        <v>236</v>
      </c>
      <c r="D98" s="21"/>
    </row>
    <row r="99" spans="1:4" ht="12.75" customHeight="1" x14ac:dyDescent="0.2">
      <c r="A99" s="21"/>
      <c r="B99" s="3" t="s">
        <v>11</v>
      </c>
      <c r="C99" s="20" t="s">
        <v>2331</v>
      </c>
      <c r="D99" s="21"/>
    </row>
    <row r="100" spans="1:4" ht="12.75" customHeight="1" x14ac:dyDescent="0.2">
      <c r="A100" s="21"/>
      <c r="B100" s="3" t="s">
        <v>16</v>
      </c>
      <c r="C100" s="20"/>
      <c r="D100" s="21"/>
    </row>
    <row r="101" spans="1:4" ht="12.75" customHeight="1" x14ac:dyDescent="0.2">
      <c r="A101" s="21"/>
      <c r="B101" s="3" t="s">
        <v>17</v>
      </c>
      <c r="C101" s="20" t="s">
        <v>19</v>
      </c>
      <c r="D101" s="21"/>
    </row>
    <row r="102" spans="1:4" ht="12.75" customHeight="1" x14ac:dyDescent="0.2">
      <c r="A102" s="21"/>
      <c r="B102" s="20" t="s">
        <v>18</v>
      </c>
      <c r="C102" s="4" t="s">
        <v>44</v>
      </c>
      <c r="D102" s="6" t="str">
        <f>HYPERLINK("javascript:void(0)","bőrpáncél")</f>
        <v>bőrpáncél</v>
      </c>
    </row>
    <row r="103" spans="1:4" ht="12.75" customHeight="1" x14ac:dyDescent="0.2">
      <c r="A103" s="21"/>
      <c r="B103" s="21"/>
      <c r="C103" s="4" t="s">
        <v>67</v>
      </c>
      <c r="D103" s="6" t="str">
        <f>HYPERLINK("javascript:void(0)","vasérc")</f>
        <v>vasérc</v>
      </c>
    </row>
    <row r="104" spans="1:4" ht="12.75" customHeight="1" x14ac:dyDescent="0.2">
      <c r="A104" s="21"/>
      <c r="B104" s="21"/>
      <c r="C104" s="4" t="s">
        <v>56</v>
      </c>
      <c r="D104" s="6" t="str">
        <f>HYPERLINK("javascript:void(0)","óngolyó")</f>
        <v>óngolyó</v>
      </c>
    </row>
    <row r="105" spans="1:4" ht="12.75" customHeight="1" x14ac:dyDescent="0.2">
      <c r="A105" s="21"/>
      <c r="B105" s="2"/>
      <c r="C105" s="2"/>
      <c r="D105" s="2"/>
    </row>
    <row r="106" spans="1:4" ht="12.75" customHeight="1" x14ac:dyDescent="0.2">
      <c r="A106" s="21"/>
      <c r="B106" s="2"/>
      <c r="C106" s="2"/>
      <c r="D106" s="2"/>
    </row>
    <row r="107" spans="1:4" ht="12.75" customHeight="1" x14ac:dyDescent="0.2">
      <c r="A107" s="21"/>
      <c r="B107" s="2"/>
      <c r="C107" s="2"/>
      <c r="D107" s="2"/>
    </row>
    <row r="108" spans="1:4" ht="12.75" customHeight="1" x14ac:dyDescent="0.2">
      <c r="A108" s="21"/>
      <c r="B108" s="2"/>
      <c r="C108" s="2"/>
      <c r="D108" s="2"/>
    </row>
    <row r="109" spans="1:4" ht="12.75" customHeight="1" x14ac:dyDescent="0.2">
      <c r="A109" s="5"/>
      <c r="B109" s="2"/>
      <c r="C109" s="2"/>
      <c r="D109" s="2"/>
    </row>
    <row r="110" spans="1:4" ht="12.75" customHeight="1" x14ac:dyDescent="0.2">
      <c r="A110" s="22" t="str">
        <f>HYPERLINK("javascript:void(0)","ezüst láncing")</f>
        <v>ezüst láncing</v>
      </c>
      <c r="B110" s="21"/>
      <c r="C110" s="21"/>
      <c r="D110" s="21"/>
    </row>
    <row r="111" spans="1:4" ht="12.75" customHeight="1" x14ac:dyDescent="0.2">
      <c r="A111" s="20"/>
      <c r="B111" s="2"/>
      <c r="C111" s="2"/>
      <c r="D111" s="2"/>
    </row>
    <row r="112" spans="1:4" ht="12.75" customHeight="1" x14ac:dyDescent="0.2">
      <c r="A112" s="21"/>
      <c r="B112" s="3" t="s">
        <v>0</v>
      </c>
      <c r="C112" s="20" t="s">
        <v>72</v>
      </c>
      <c r="D112" s="21"/>
    </row>
    <row r="113" spans="1:4" ht="12.75" customHeight="1" x14ac:dyDescent="0.2">
      <c r="A113" s="21"/>
      <c r="B113" s="3" t="s">
        <v>2</v>
      </c>
      <c r="C113" s="20" t="s">
        <v>2322</v>
      </c>
      <c r="D113" s="21"/>
    </row>
    <row r="114" spans="1:4" ht="12.75" customHeight="1" x14ac:dyDescent="0.2">
      <c r="A114" s="21"/>
      <c r="B114" s="3" t="s">
        <v>1840</v>
      </c>
      <c r="C114" s="20" t="s">
        <v>72</v>
      </c>
      <c r="D114" s="21"/>
    </row>
    <row r="115" spans="1:4" ht="12.75" customHeight="1" x14ac:dyDescent="0.2">
      <c r="A115" s="21"/>
      <c r="B115" s="3" t="s">
        <v>9</v>
      </c>
      <c r="C115" s="20" t="s">
        <v>124</v>
      </c>
      <c r="D115" s="21"/>
    </row>
    <row r="116" spans="1:4" ht="12.75" customHeight="1" x14ac:dyDescent="0.2">
      <c r="A116" s="21"/>
      <c r="B116" s="3" t="s">
        <v>11</v>
      </c>
      <c r="C116" s="20" t="s">
        <v>254</v>
      </c>
      <c r="D116" s="21"/>
    </row>
    <row r="117" spans="1:4" ht="12.75" customHeight="1" x14ac:dyDescent="0.2">
      <c r="A117" s="21"/>
      <c r="B117" s="3" t="s">
        <v>16</v>
      </c>
      <c r="C117" s="20"/>
      <c r="D117" s="21"/>
    </row>
    <row r="118" spans="1:4" ht="12.75" customHeight="1" x14ac:dyDescent="0.2">
      <c r="A118" s="21"/>
      <c r="B118" s="3" t="s">
        <v>17</v>
      </c>
      <c r="C118" s="20" t="s">
        <v>19</v>
      </c>
      <c r="D118" s="21"/>
    </row>
    <row r="119" spans="1:4" ht="12.75" customHeight="1" x14ac:dyDescent="0.2">
      <c r="A119" s="21"/>
      <c r="B119" s="20" t="s">
        <v>18</v>
      </c>
      <c r="C119" s="4" t="s">
        <v>44</v>
      </c>
      <c r="D119" s="6" t="str">
        <f>HYPERLINK("javascript:void(0)","láncing")</f>
        <v>láncing</v>
      </c>
    </row>
    <row r="120" spans="1:4" ht="12.75" customHeight="1" x14ac:dyDescent="0.2">
      <c r="A120" s="21"/>
      <c r="B120" s="21"/>
      <c r="C120" s="4" t="s">
        <v>193</v>
      </c>
      <c r="D120" s="6" t="str">
        <f>HYPERLINK("javascript:void(0)","ezüst")</f>
        <v>ezüst</v>
      </c>
    </row>
    <row r="121" spans="1:4" ht="12.75" customHeight="1" x14ac:dyDescent="0.2">
      <c r="A121" s="21"/>
      <c r="B121" s="21"/>
      <c r="C121" s="4" t="s">
        <v>44</v>
      </c>
      <c r="D121" s="6" t="str">
        <f>HYPERLINK("javascript:void(0)","arany")</f>
        <v>arany</v>
      </c>
    </row>
    <row r="122" spans="1:4" ht="12.75" customHeight="1" x14ac:dyDescent="0.2">
      <c r="A122" s="21"/>
      <c r="B122" s="2"/>
      <c r="C122" s="2"/>
      <c r="D122" s="2"/>
    </row>
    <row r="123" spans="1:4" ht="12.75" customHeight="1" x14ac:dyDescent="0.2">
      <c r="A123" s="21"/>
      <c r="B123" s="2"/>
      <c r="C123" s="2"/>
      <c r="D123" s="2"/>
    </row>
    <row r="124" spans="1:4" ht="12.75" customHeight="1" x14ac:dyDescent="0.2">
      <c r="A124" s="21"/>
      <c r="B124" s="2"/>
      <c r="C124" s="2"/>
      <c r="D124" s="2"/>
    </row>
    <row r="125" spans="1:4" ht="12.75" customHeight="1" x14ac:dyDescent="0.2">
      <c r="A125" s="21"/>
      <c r="B125" s="2"/>
      <c r="C125" s="2"/>
      <c r="D125" s="2"/>
    </row>
    <row r="126" spans="1:4" ht="12.75" customHeight="1" x14ac:dyDescent="0.2">
      <c r="A126" s="5"/>
      <c r="B126" s="2"/>
      <c r="C126" s="2"/>
      <c r="D126" s="2"/>
    </row>
    <row r="127" spans="1:4" ht="12.75" customHeight="1" x14ac:dyDescent="0.2">
      <c r="A127" s="22" t="str">
        <f>HYPERLINK("javascript:void(0)","aranyláncing")</f>
        <v>aranyláncing</v>
      </c>
      <c r="B127" s="21"/>
      <c r="C127" s="21"/>
      <c r="D127" s="21"/>
    </row>
    <row r="128" spans="1:4" ht="12.75" customHeight="1" x14ac:dyDescent="0.2">
      <c r="A128" s="20"/>
      <c r="B128" s="2"/>
      <c r="C128" s="2"/>
      <c r="D128" s="2"/>
    </row>
    <row r="129" spans="1:4" ht="12.75" customHeight="1" x14ac:dyDescent="0.2">
      <c r="A129" s="21"/>
      <c r="B129" s="3" t="s">
        <v>0</v>
      </c>
      <c r="C129" s="20" t="s">
        <v>90</v>
      </c>
      <c r="D129" s="21"/>
    </row>
    <row r="130" spans="1:4" ht="12.75" customHeight="1" x14ac:dyDescent="0.2">
      <c r="A130" s="21"/>
      <c r="B130" s="3" t="s">
        <v>2</v>
      </c>
      <c r="C130" s="20" t="s">
        <v>2322</v>
      </c>
      <c r="D130" s="21"/>
    </row>
    <row r="131" spans="1:4" ht="12.75" customHeight="1" x14ac:dyDescent="0.2">
      <c r="A131" s="21"/>
      <c r="B131" s="3" t="s">
        <v>1840</v>
      </c>
      <c r="C131" s="20" t="s">
        <v>92</v>
      </c>
      <c r="D131" s="21"/>
    </row>
    <row r="132" spans="1:4" ht="12.75" customHeight="1" x14ac:dyDescent="0.2">
      <c r="A132" s="21"/>
      <c r="B132" s="3" t="s">
        <v>9</v>
      </c>
      <c r="C132" s="20" t="s">
        <v>129</v>
      </c>
      <c r="D132" s="21"/>
    </row>
    <row r="133" spans="1:4" ht="12.75" customHeight="1" x14ac:dyDescent="0.2">
      <c r="A133" s="21"/>
      <c r="B133" s="3" t="s">
        <v>11</v>
      </c>
      <c r="C133" s="20" t="s">
        <v>2333</v>
      </c>
      <c r="D133" s="21"/>
    </row>
    <row r="134" spans="1:4" ht="12.75" customHeight="1" x14ac:dyDescent="0.2">
      <c r="A134" s="21"/>
      <c r="B134" s="3" t="s">
        <v>16</v>
      </c>
      <c r="C134" s="20"/>
      <c r="D134" s="21"/>
    </row>
    <row r="135" spans="1:4" ht="12.75" customHeight="1" x14ac:dyDescent="0.2">
      <c r="A135" s="21"/>
      <c r="B135" s="3" t="s">
        <v>17</v>
      </c>
      <c r="C135" s="20" t="s">
        <v>19</v>
      </c>
      <c r="D135" s="21"/>
    </row>
    <row r="136" spans="1:4" ht="12.75" customHeight="1" x14ac:dyDescent="0.2">
      <c r="A136" s="21"/>
      <c r="B136" s="20" t="s">
        <v>18</v>
      </c>
      <c r="C136" s="4" t="s">
        <v>55</v>
      </c>
      <c r="D136" s="6" t="str">
        <f>HYPERLINK("javascript:void(0)","láncsisak")</f>
        <v>láncsisak</v>
      </c>
    </row>
    <row r="137" spans="1:4" ht="12.75" customHeight="1" x14ac:dyDescent="0.2">
      <c r="A137" s="21"/>
      <c r="B137" s="21"/>
      <c r="C137" s="4" t="s">
        <v>57</v>
      </c>
      <c r="D137" s="6" t="str">
        <f>HYPERLINK("javascript:void(0)","arany")</f>
        <v>arany</v>
      </c>
    </row>
    <row r="138" spans="1:4" ht="12.75" customHeight="1" x14ac:dyDescent="0.2">
      <c r="A138" s="21"/>
      <c r="B138" s="21"/>
      <c r="C138" s="4" t="s">
        <v>77</v>
      </c>
      <c r="D138" s="6" t="str">
        <f>HYPERLINK("javascript:void(0)","patkányzsír")</f>
        <v>patkányzsír</v>
      </c>
    </row>
    <row r="139" spans="1:4" ht="12.75" customHeight="1" x14ac:dyDescent="0.2">
      <c r="A139" s="21"/>
      <c r="B139" s="2"/>
      <c r="C139" s="2"/>
      <c r="D139" s="2"/>
    </row>
    <row r="140" spans="1:4" ht="12.75" customHeight="1" x14ac:dyDescent="0.2">
      <c r="A140" s="21"/>
      <c r="B140" s="2"/>
      <c r="C140" s="2"/>
      <c r="D140" s="2"/>
    </row>
    <row r="141" spans="1:4" ht="12.75" customHeight="1" x14ac:dyDescent="0.2">
      <c r="A141" s="21"/>
      <c r="B141" s="2"/>
      <c r="C141" s="2"/>
      <c r="D141" s="2"/>
    </row>
    <row r="142" spans="1:4" ht="12.75" customHeight="1" x14ac:dyDescent="0.2">
      <c r="A142" s="21"/>
      <c r="B142" s="2"/>
      <c r="C142" s="2"/>
      <c r="D142" s="2"/>
    </row>
    <row r="143" spans="1:4" ht="12.75" customHeight="1" x14ac:dyDescent="0.2">
      <c r="A143" s="5"/>
      <c r="B143" s="2"/>
      <c r="C143" s="2"/>
      <c r="D143" s="2"/>
    </row>
    <row r="144" spans="1:4" ht="12.75" customHeight="1" x14ac:dyDescent="0.2">
      <c r="A144" s="22" t="str">
        <f>HYPERLINK("javascript:void(0)","Zamárdi felsője")</f>
        <v>Zamárdi felsője</v>
      </c>
      <c r="B144" s="21"/>
      <c r="C144" s="21"/>
      <c r="D144" s="2"/>
    </row>
    <row r="145" spans="1:4" ht="12.75" customHeight="1" x14ac:dyDescent="0.2">
      <c r="A145" s="20"/>
      <c r="B145" s="2"/>
      <c r="C145" s="2"/>
      <c r="D145" s="2"/>
    </row>
    <row r="146" spans="1:4" ht="12.75" customHeight="1" x14ac:dyDescent="0.2">
      <c r="A146" s="21"/>
      <c r="B146" s="3" t="s">
        <v>0</v>
      </c>
      <c r="C146" s="3" t="s">
        <v>90</v>
      </c>
      <c r="D146" s="2"/>
    </row>
    <row r="147" spans="1:4" ht="12.75" customHeight="1" x14ac:dyDescent="0.2">
      <c r="A147" s="21"/>
      <c r="B147" s="3" t="s">
        <v>2</v>
      </c>
      <c r="C147" s="3" t="s">
        <v>2322</v>
      </c>
      <c r="D147" s="2"/>
    </row>
    <row r="148" spans="1:4" ht="12.75" customHeight="1" x14ac:dyDescent="0.2">
      <c r="A148" s="21"/>
      <c r="B148" s="3" t="s">
        <v>1840</v>
      </c>
      <c r="C148" s="3" t="s">
        <v>100</v>
      </c>
      <c r="D148" s="2"/>
    </row>
    <row r="149" spans="1:4" ht="12.75" customHeight="1" x14ac:dyDescent="0.2">
      <c r="A149" s="21"/>
      <c r="B149" s="3" t="s">
        <v>9</v>
      </c>
      <c r="C149" s="3" t="s">
        <v>366</v>
      </c>
      <c r="D149" s="2"/>
    </row>
    <row r="150" spans="1:4" ht="25.5" customHeight="1" x14ac:dyDescent="0.2">
      <c r="A150" s="21"/>
      <c r="B150" s="3" t="s">
        <v>11</v>
      </c>
      <c r="C150" s="3" t="s">
        <v>2336</v>
      </c>
      <c r="D150" s="2"/>
    </row>
    <row r="151" spans="1:4" ht="12.75" customHeight="1" x14ac:dyDescent="0.2">
      <c r="A151" s="21"/>
      <c r="B151" s="3" t="s">
        <v>16</v>
      </c>
      <c r="C151" s="3"/>
      <c r="D151" s="2"/>
    </row>
    <row r="152" spans="1:4" ht="12.75" customHeight="1" x14ac:dyDescent="0.2">
      <c r="A152" s="21"/>
      <c r="B152" s="3" t="s">
        <v>17</v>
      </c>
      <c r="C152" s="3" t="s">
        <v>19</v>
      </c>
      <c r="D152" s="2"/>
    </row>
    <row r="153" spans="1:4" ht="12.75" customHeight="1" x14ac:dyDescent="0.2">
      <c r="A153" s="21"/>
      <c r="B153" s="3" t="s">
        <v>18</v>
      </c>
      <c r="C153" s="4" t="s">
        <v>19</v>
      </c>
      <c r="D153" s="2"/>
    </row>
    <row r="154" spans="1:4" ht="12.75" customHeight="1" x14ac:dyDescent="0.2">
      <c r="A154" s="21"/>
      <c r="B154" s="2"/>
      <c r="C154" s="2"/>
      <c r="D154" s="2"/>
    </row>
    <row r="155" spans="1:4" ht="12.75" customHeight="1" x14ac:dyDescent="0.2">
      <c r="A155" s="21"/>
      <c r="B155" s="2"/>
      <c r="C155" s="2"/>
      <c r="D155" s="2"/>
    </row>
    <row r="156" spans="1:4" ht="12.75" customHeight="1" x14ac:dyDescent="0.2">
      <c r="A156" s="21"/>
      <c r="B156" s="2"/>
      <c r="C156" s="2"/>
      <c r="D156" s="2"/>
    </row>
    <row r="157" spans="1:4" ht="12.75" customHeight="1" x14ac:dyDescent="0.2">
      <c r="A157" s="21"/>
      <c r="B157" s="2"/>
      <c r="C157" s="2"/>
      <c r="D157" s="2"/>
    </row>
    <row r="158" spans="1:4" ht="12.75" customHeight="1" x14ac:dyDescent="0.2">
      <c r="A158" s="5"/>
      <c r="B158" s="2"/>
      <c r="C158" s="2"/>
      <c r="D158" s="2"/>
    </row>
    <row r="159" spans="1:4" ht="12.75" customHeight="1" x14ac:dyDescent="0.2">
      <c r="A159" s="22" t="str">
        <f>HYPERLINK("javascript:void(0)","ezüstpáncél")</f>
        <v>ezüstpáncél</v>
      </c>
      <c r="B159" s="21"/>
      <c r="C159" s="21"/>
      <c r="D159" s="21"/>
    </row>
    <row r="160" spans="1:4" ht="12.75" customHeight="1" x14ac:dyDescent="0.2">
      <c r="A160" s="20"/>
      <c r="B160" s="2"/>
      <c r="C160" s="2"/>
      <c r="D160" s="2"/>
    </row>
    <row r="161" spans="1:4" ht="12.75" customHeight="1" x14ac:dyDescent="0.2">
      <c r="A161" s="21"/>
      <c r="B161" s="3" t="s">
        <v>0</v>
      </c>
      <c r="C161" s="20" t="s">
        <v>118</v>
      </c>
      <c r="D161" s="21"/>
    </row>
    <row r="162" spans="1:4" ht="12.75" customHeight="1" x14ac:dyDescent="0.2">
      <c r="A162" s="21"/>
      <c r="B162" s="3" t="s">
        <v>2</v>
      </c>
      <c r="C162" s="20" t="s">
        <v>2322</v>
      </c>
      <c r="D162" s="21"/>
    </row>
    <row r="163" spans="1:4" ht="12.75" customHeight="1" x14ac:dyDescent="0.2">
      <c r="A163" s="21"/>
      <c r="B163" s="3" t="s">
        <v>1840</v>
      </c>
      <c r="C163" s="20" t="s">
        <v>159</v>
      </c>
      <c r="D163" s="21"/>
    </row>
    <row r="164" spans="1:4" ht="12.75" customHeight="1" x14ac:dyDescent="0.2">
      <c r="A164" s="21"/>
      <c r="B164" s="3" t="s">
        <v>9</v>
      </c>
      <c r="C164" s="20" t="s">
        <v>75</v>
      </c>
      <c r="D164" s="21"/>
    </row>
    <row r="165" spans="1:4" ht="12.75" customHeight="1" x14ac:dyDescent="0.2">
      <c r="A165" s="21"/>
      <c r="B165" s="3" t="s">
        <v>11</v>
      </c>
      <c r="C165" s="20" t="s">
        <v>2337</v>
      </c>
      <c r="D165" s="21"/>
    </row>
    <row r="166" spans="1:4" ht="12.75" customHeight="1" x14ac:dyDescent="0.2">
      <c r="A166" s="21"/>
      <c r="B166" s="3" t="s">
        <v>16</v>
      </c>
      <c r="C166" s="20"/>
      <c r="D166" s="21"/>
    </row>
    <row r="167" spans="1:4" ht="12.75" customHeight="1" x14ac:dyDescent="0.2">
      <c r="A167" s="21"/>
      <c r="B167" s="3" t="s">
        <v>17</v>
      </c>
      <c r="C167" s="20" t="s">
        <v>19</v>
      </c>
      <c r="D167" s="21"/>
    </row>
    <row r="168" spans="1:4" ht="12.75" customHeight="1" x14ac:dyDescent="0.2">
      <c r="A168" s="21"/>
      <c r="B168" s="20" t="s">
        <v>18</v>
      </c>
      <c r="C168" s="4" t="s">
        <v>44</v>
      </c>
      <c r="D168" s="6" t="str">
        <f>HYPERLINK("javascript:void(0)","bőrpáncél")</f>
        <v>bőrpáncél</v>
      </c>
    </row>
    <row r="169" spans="1:4" ht="12.75" customHeight="1" x14ac:dyDescent="0.2">
      <c r="A169" s="21"/>
      <c r="B169" s="21"/>
      <c r="C169" s="4" t="s">
        <v>130</v>
      </c>
      <c r="D169" s="6" t="str">
        <f>HYPERLINK("javascript:void(0)","ezüst")</f>
        <v>ezüst</v>
      </c>
    </row>
    <row r="170" spans="1:4" ht="12.75" customHeight="1" x14ac:dyDescent="0.2">
      <c r="A170" s="21"/>
      <c r="B170" s="21"/>
      <c r="C170" s="4" t="s">
        <v>55</v>
      </c>
      <c r="D170" s="6" t="str">
        <f>HYPERLINK("javascript:void(0)","smaragd")</f>
        <v>smaragd</v>
      </c>
    </row>
    <row r="171" spans="1:4" ht="12.75" customHeight="1" x14ac:dyDescent="0.2">
      <c r="A171" s="21"/>
      <c r="B171" s="2"/>
      <c r="C171" s="2"/>
      <c r="D171" s="2"/>
    </row>
    <row r="172" spans="1:4" ht="12.75" customHeight="1" x14ac:dyDescent="0.2">
      <c r="A172" s="21"/>
      <c r="B172" s="2"/>
      <c r="C172" s="2"/>
      <c r="D172" s="2"/>
    </row>
    <row r="173" spans="1:4" ht="12.75" customHeight="1" x14ac:dyDescent="0.2">
      <c r="A173" s="21"/>
      <c r="B173" s="2"/>
      <c r="C173" s="2"/>
      <c r="D173" s="2"/>
    </row>
    <row r="174" spans="1:4" ht="12.75" customHeight="1" x14ac:dyDescent="0.2">
      <c r="A174" s="21"/>
      <c r="B174" s="2"/>
      <c r="C174" s="2"/>
      <c r="D174" s="2"/>
    </row>
    <row r="175" spans="1:4" ht="12.75" customHeight="1" x14ac:dyDescent="0.2">
      <c r="A175" s="5"/>
      <c r="B175" s="2"/>
      <c r="C175" s="2"/>
      <c r="D175" s="2"/>
    </row>
    <row r="176" spans="1:4" ht="12.75" customHeight="1" x14ac:dyDescent="0.2">
      <c r="A176" s="22" t="str">
        <f>HYPERLINK("javascript:void(0)","aranypáncél")</f>
        <v>aranypáncél</v>
      </c>
      <c r="B176" s="21"/>
      <c r="C176" s="21"/>
      <c r="D176" s="21"/>
    </row>
    <row r="177" spans="1:4" ht="12.75" customHeight="1" x14ac:dyDescent="0.2">
      <c r="A177" s="20"/>
      <c r="B177" s="2"/>
      <c r="C177" s="2"/>
      <c r="D177" s="2"/>
    </row>
    <row r="178" spans="1:4" ht="12.75" customHeight="1" x14ac:dyDescent="0.2">
      <c r="A178" s="21"/>
      <c r="B178" s="3" t="s">
        <v>0</v>
      </c>
      <c r="C178" s="20" t="s">
        <v>155</v>
      </c>
      <c r="D178" s="21"/>
    </row>
    <row r="179" spans="1:4" ht="12.75" customHeight="1" x14ac:dyDescent="0.2">
      <c r="A179" s="21"/>
      <c r="B179" s="3" t="s">
        <v>2</v>
      </c>
      <c r="C179" s="20" t="s">
        <v>2322</v>
      </c>
      <c r="D179" s="21"/>
    </row>
    <row r="180" spans="1:4" ht="12.75" customHeight="1" x14ac:dyDescent="0.2">
      <c r="A180" s="21"/>
      <c r="B180" s="3" t="s">
        <v>1840</v>
      </c>
      <c r="C180" s="20" t="s">
        <v>157</v>
      </c>
      <c r="D180" s="21"/>
    </row>
    <row r="181" spans="1:4" ht="12.75" customHeight="1" x14ac:dyDescent="0.2">
      <c r="A181" s="21"/>
      <c r="B181" s="3" t="s">
        <v>9</v>
      </c>
      <c r="C181" s="20" t="s">
        <v>511</v>
      </c>
      <c r="D181" s="21"/>
    </row>
    <row r="182" spans="1:4" ht="12.75" customHeight="1" x14ac:dyDescent="0.2">
      <c r="A182" s="21"/>
      <c r="B182" s="3" t="s">
        <v>11</v>
      </c>
      <c r="C182" s="20" t="s">
        <v>2340</v>
      </c>
      <c r="D182" s="21"/>
    </row>
    <row r="183" spans="1:4" ht="12.75" customHeight="1" x14ac:dyDescent="0.2">
      <c r="A183" s="21"/>
      <c r="B183" s="3" t="s">
        <v>16</v>
      </c>
      <c r="C183" s="20"/>
      <c r="D183" s="21"/>
    </row>
    <row r="184" spans="1:4" ht="12.75" customHeight="1" x14ac:dyDescent="0.2">
      <c r="A184" s="21"/>
      <c r="B184" s="3" t="s">
        <v>17</v>
      </c>
      <c r="C184" s="20" t="s">
        <v>19</v>
      </c>
      <c r="D184" s="21"/>
    </row>
    <row r="185" spans="1:4" ht="12.75" customHeight="1" x14ac:dyDescent="0.2">
      <c r="A185" s="21"/>
      <c r="B185" s="20" t="s">
        <v>18</v>
      </c>
      <c r="C185" s="4" t="s">
        <v>232</v>
      </c>
      <c r="D185" s="6" t="str">
        <f>HYPERLINK("javascript:void(0)","arany")</f>
        <v>arany</v>
      </c>
    </row>
    <row r="186" spans="1:4" ht="12.75" customHeight="1" x14ac:dyDescent="0.2">
      <c r="A186" s="21"/>
      <c r="B186" s="21"/>
      <c r="C186" s="4" t="s">
        <v>44</v>
      </c>
      <c r="D186" s="6" t="str">
        <f>HYPERLINK("javascript:void(0)","aranyláncing")</f>
        <v>aranyláncing</v>
      </c>
    </row>
    <row r="187" spans="1:4" ht="12.75" customHeight="1" x14ac:dyDescent="0.2">
      <c r="A187" s="21"/>
      <c r="B187" s="21"/>
      <c r="C187" s="4" t="s">
        <v>55</v>
      </c>
      <c r="D187" s="6" t="str">
        <f>HYPERLINK("javascript:void(0)","vasérc")</f>
        <v>vasérc</v>
      </c>
    </row>
    <row r="188" spans="1:4" ht="12.75" customHeight="1" x14ac:dyDescent="0.2">
      <c r="A188" s="21"/>
      <c r="B188" s="2"/>
      <c r="C188" s="2"/>
      <c r="D188" s="2"/>
    </row>
    <row r="189" spans="1:4" ht="12.75" customHeight="1" x14ac:dyDescent="0.2">
      <c r="A189" s="21"/>
      <c r="B189" s="2"/>
      <c r="C189" s="2"/>
      <c r="D189" s="2"/>
    </row>
    <row r="190" spans="1:4" ht="12.75" customHeight="1" x14ac:dyDescent="0.2">
      <c r="A190" s="21"/>
      <c r="B190" s="2"/>
      <c r="C190" s="2"/>
      <c r="D190" s="2"/>
    </row>
    <row r="191" spans="1:4" ht="12.75" customHeight="1" x14ac:dyDescent="0.2">
      <c r="A191" s="21"/>
      <c r="B191" s="2"/>
      <c r="C191" s="2"/>
      <c r="D191" s="2"/>
    </row>
    <row r="192" spans="1:4" ht="12.75" customHeight="1" x14ac:dyDescent="0.2">
      <c r="A192" s="5"/>
      <c r="B192" s="2"/>
      <c r="C192" s="2"/>
      <c r="D192" s="2"/>
    </row>
    <row r="193" spans="1:4" ht="12.75" customHeight="1" x14ac:dyDescent="0.2">
      <c r="A193" s="22" t="str">
        <f>HYPERLINK("javascript:void(0)","rubin láncing")</f>
        <v>rubin láncing</v>
      </c>
      <c r="B193" s="21"/>
      <c r="C193" s="21"/>
      <c r="D193" s="2"/>
    </row>
    <row r="194" spans="1:4" ht="12.75" customHeight="1" x14ac:dyDescent="0.2">
      <c r="A194" s="20"/>
      <c r="B194" s="2"/>
      <c r="C194" s="2"/>
      <c r="D194" s="2"/>
    </row>
    <row r="195" spans="1:4" ht="12.75" customHeight="1" x14ac:dyDescent="0.2">
      <c r="A195" s="21"/>
      <c r="B195" s="3" t="s">
        <v>0</v>
      </c>
      <c r="C195" s="3" t="s">
        <v>153</v>
      </c>
      <c r="D195" s="2"/>
    </row>
    <row r="196" spans="1:4" ht="12.75" customHeight="1" x14ac:dyDescent="0.2">
      <c r="A196" s="21"/>
      <c r="B196" s="3" t="s">
        <v>2</v>
      </c>
      <c r="C196" s="3" t="s">
        <v>2322</v>
      </c>
      <c r="D196" s="2"/>
    </row>
    <row r="197" spans="1:4" ht="12.75" customHeight="1" x14ac:dyDescent="0.2">
      <c r="A197" s="21"/>
      <c r="B197" s="3" t="s">
        <v>1840</v>
      </c>
      <c r="C197" s="3" t="s">
        <v>298</v>
      </c>
      <c r="D197" s="2"/>
    </row>
    <row r="198" spans="1:4" ht="12.75" customHeight="1" x14ac:dyDescent="0.2">
      <c r="A198" s="21"/>
      <c r="B198" s="3" t="s">
        <v>9</v>
      </c>
      <c r="C198" s="3" t="s">
        <v>42</v>
      </c>
      <c r="D198" s="2"/>
    </row>
    <row r="199" spans="1:4" ht="25.5" customHeight="1" x14ac:dyDescent="0.2">
      <c r="A199" s="21"/>
      <c r="B199" s="3" t="s">
        <v>11</v>
      </c>
      <c r="C199" s="3" t="s">
        <v>457</v>
      </c>
      <c r="D199" s="2"/>
    </row>
    <row r="200" spans="1:4" ht="12.75" customHeight="1" x14ac:dyDescent="0.2">
      <c r="A200" s="21"/>
      <c r="B200" s="3" t="s">
        <v>16</v>
      </c>
      <c r="C200" s="3"/>
      <c r="D200" s="2"/>
    </row>
    <row r="201" spans="1:4" ht="12.75" customHeight="1" x14ac:dyDescent="0.2">
      <c r="A201" s="21"/>
      <c r="B201" s="3" t="s">
        <v>17</v>
      </c>
      <c r="C201" s="3" t="s">
        <v>19</v>
      </c>
      <c r="D201" s="2"/>
    </row>
    <row r="202" spans="1:4" ht="12.75" customHeight="1" x14ac:dyDescent="0.2">
      <c r="A202" s="21"/>
      <c r="B202" s="3" t="s">
        <v>18</v>
      </c>
      <c r="C202" s="4" t="s">
        <v>19</v>
      </c>
      <c r="D202" s="2"/>
    </row>
    <row r="203" spans="1:4" ht="12.75" customHeight="1" x14ac:dyDescent="0.2">
      <c r="A203" s="21"/>
      <c r="B203" s="2"/>
      <c r="C203" s="2"/>
      <c r="D203" s="2"/>
    </row>
    <row r="204" spans="1:4" ht="12.75" customHeight="1" x14ac:dyDescent="0.2">
      <c r="A204" s="21"/>
      <c r="B204" s="2"/>
      <c r="C204" s="2"/>
      <c r="D204" s="2"/>
    </row>
    <row r="205" spans="1:4" ht="12.75" customHeight="1" x14ac:dyDescent="0.2">
      <c r="A205" s="21"/>
      <c r="B205" s="2"/>
      <c r="C205" s="2"/>
      <c r="D205" s="2"/>
    </row>
    <row r="206" spans="1:4" ht="12.75" customHeight="1" x14ac:dyDescent="0.2">
      <c r="A206" s="21"/>
      <c r="B206" s="2"/>
      <c r="C206" s="2"/>
      <c r="D206" s="2"/>
    </row>
    <row r="207" spans="1:4" ht="12.75" customHeight="1" x14ac:dyDescent="0.2">
      <c r="A207" s="5"/>
      <c r="B207" s="2"/>
      <c r="C207" s="2"/>
      <c r="D207" s="2"/>
    </row>
    <row r="208" spans="1:4" ht="12.75" customHeight="1" x14ac:dyDescent="0.2">
      <c r="A208" s="22" t="str">
        <f>HYPERLINK("javascript:void(0)","smaragd láncing")</f>
        <v>smaragd láncing</v>
      </c>
      <c r="B208" s="21"/>
      <c r="C208" s="21"/>
      <c r="D208" s="2"/>
    </row>
    <row r="209" spans="1:4" ht="12.75" customHeight="1" x14ac:dyDescent="0.2">
      <c r="A209" s="20"/>
      <c r="B209" s="2"/>
      <c r="C209" s="2"/>
      <c r="D209" s="2"/>
    </row>
    <row r="210" spans="1:4" ht="12.75" customHeight="1" x14ac:dyDescent="0.2">
      <c r="A210" s="21"/>
      <c r="B210" s="3" t="s">
        <v>0</v>
      </c>
      <c r="C210" s="3" t="s">
        <v>206</v>
      </c>
      <c r="D210" s="2"/>
    </row>
    <row r="211" spans="1:4" ht="12.75" customHeight="1" x14ac:dyDescent="0.2">
      <c r="A211" s="21"/>
      <c r="B211" s="3" t="s">
        <v>2</v>
      </c>
      <c r="C211" s="3" t="s">
        <v>2322</v>
      </c>
      <c r="D211" s="2"/>
    </row>
    <row r="212" spans="1:4" ht="12.75" customHeight="1" x14ac:dyDescent="0.2">
      <c r="A212" s="21"/>
      <c r="B212" s="3" t="s">
        <v>1840</v>
      </c>
      <c r="C212" s="3" t="s">
        <v>340</v>
      </c>
      <c r="D212" s="2"/>
    </row>
    <row r="213" spans="1:4" ht="12.75" customHeight="1" x14ac:dyDescent="0.2">
      <c r="A213" s="21"/>
      <c r="B213" s="3" t="s">
        <v>9</v>
      </c>
      <c r="C213" s="3" t="s">
        <v>962</v>
      </c>
      <c r="D213" s="2"/>
    </row>
    <row r="214" spans="1:4" ht="25.5" customHeight="1" x14ac:dyDescent="0.2">
      <c r="A214" s="21"/>
      <c r="B214" s="3" t="s">
        <v>11</v>
      </c>
      <c r="C214" s="3" t="s">
        <v>177</v>
      </c>
      <c r="D214" s="2"/>
    </row>
    <row r="215" spans="1:4" ht="12.75" customHeight="1" x14ac:dyDescent="0.2">
      <c r="A215" s="21"/>
      <c r="B215" s="3" t="s">
        <v>16</v>
      </c>
      <c r="C215" s="3"/>
      <c r="D215" s="2"/>
    </row>
    <row r="216" spans="1:4" ht="12.75" customHeight="1" x14ac:dyDescent="0.2">
      <c r="A216" s="21"/>
      <c r="B216" s="3" t="s">
        <v>17</v>
      </c>
      <c r="C216" s="3" t="s">
        <v>19</v>
      </c>
      <c r="D216" s="2"/>
    </row>
    <row r="217" spans="1:4" ht="12.75" customHeight="1" x14ac:dyDescent="0.2">
      <c r="A217" s="21"/>
      <c r="B217" s="3" t="s">
        <v>18</v>
      </c>
      <c r="C217" s="4" t="s">
        <v>19</v>
      </c>
      <c r="D217" s="2"/>
    </row>
    <row r="218" spans="1:4" ht="12.75" customHeight="1" x14ac:dyDescent="0.2">
      <c r="A218" s="21"/>
      <c r="B218" s="2"/>
      <c r="C218" s="2"/>
      <c r="D218" s="2"/>
    </row>
    <row r="219" spans="1:4" ht="12.75" customHeight="1" x14ac:dyDescent="0.2">
      <c r="A219" s="21"/>
      <c r="B219" s="2"/>
      <c r="C219" s="2"/>
      <c r="D219" s="2"/>
    </row>
    <row r="220" spans="1:4" ht="12.75" customHeight="1" x14ac:dyDescent="0.2">
      <c r="A220" s="21"/>
      <c r="B220" s="2"/>
      <c r="C220" s="2"/>
      <c r="D220" s="2"/>
    </row>
    <row r="221" spans="1:4" ht="12.75" customHeight="1" x14ac:dyDescent="0.2">
      <c r="A221" s="21"/>
      <c r="B221" s="2"/>
      <c r="C221" s="2"/>
      <c r="D221" s="2"/>
    </row>
    <row r="222" spans="1:4" ht="12.75" customHeight="1" x14ac:dyDescent="0.2">
      <c r="A222" s="5"/>
      <c r="B222" s="2"/>
      <c r="C222" s="2"/>
      <c r="D222" s="2"/>
    </row>
    <row r="223" spans="1:4" ht="12.75" customHeight="1" x14ac:dyDescent="0.2">
      <c r="A223" s="22" t="str">
        <f>HYPERLINK("javascript:void(0)","mágusköpeny")</f>
        <v>mágusköpeny</v>
      </c>
      <c r="B223" s="21"/>
      <c r="C223" s="21"/>
      <c r="D223" s="21"/>
    </row>
    <row r="224" spans="1:4" ht="12.75" customHeight="1" x14ac:dyDescent="0.2">
      <c r="A224" s="20"/>
      <c r="B224" s="2"/>
      <c r="C224" s="2"/>
      <c r="D224" s="2"/>
    </row>
    <row r="225" spans="1:4" ht="12.75" customHeight="1" x14ac:dyDescent="0.2">
      <c r="A225" s="21"/>
      <c r="B225" s="3" t="s">
        <v>0</v>
      </c>
      <c r="C225" s="20" t="s">
        <v>206</v>
      </c>
      <c r="D225" s="21"/>
    </row>
    <row r="226" spans="1:4" ht="12.75" customHeight="1" x14ac:dyDescent="0.2">
      <c r="A226" s="21"/>
      <c r="B226" s="3" t="s">
        <v>2</v>
      </c>
      <c r="C226" s="20" t="s">
        <v>2322</v>
      </c>
      <c r="D226" s="21"/>
    </row>
    <row r="227" spans="1:4" ht="12.75" customHeight="1" x14ac:dyDescent="0.2">
      <c r="A227" s="21"/>
      <c r="B227" s="3" t="s">
        <v>1840</v>
      </c>
      <c r="C227" s="20" t="s">
        <v>48</v>
      </c>
      <c r="D227" s="21"/>
    </row>
    <row r="228" spans="1:4" ht="12.75" customHeight="1" x14ac:dyDescent="0.2">
      <c r="A228" s="21"/>
      <c r="B228" s="3" t="s">
        <v>9</v>
      </c>
      <c r="C228" s="20" t="s">
        <v>93</v>
      </c>
      <c r="D228" s="21"/>
    </row>
    <row r="229" spans="1:4" ht="12.75" customHeight="1" x14ac:dyDescent="0.2">
      <c r="A229" s="21"/>
      <c r="B229" s="3" t="s">
        <v>11</v>
      </c>
      <c r="C229" s="20" t="s">
        <v>116</v>
      </c>
      <c r="D229" s="21"/>
    </row>
    <row r="230" spans="1:4" ht="12.75" customHeight="1" x14ac:dyDescent="0.2">
      <c r="A230" s="21"/>
      <c r="B230" s="3" t="s">
        <v>16</v>
      </c>
      <c r="C230" s="20"/>
      <c r="D230" s="21"/>
    </row>
    <row r="231" spans="1:4" ht="12.75" customHeight="1" x14ac:dyDescent="0.2">
      <c r="A231" s="21"/>
      <c r="B231" s="3" t="s">
        <v>17</v>
      </c>
      <c r="C231" s="20" t="s">
        <v>19</v>
      </c>
      <c r="D231" s="21"/>
    </row>
    <row r="232" spans="1:4" ht="12.75" customHeight="1" x14ac:dyDescent="0.2">
      <c r="A232" s="21"/>
      <c r="B232" s="20" t="s">
        <v>18</v>
      </c>
      <c r="C232" s="4" t="s">
        <v>196</v>
      </c>
      <c r="D232" s="6" t="str">
        <f>HYPERLINK("javascript:void(0)","varázsige")</f>
        <v>varázsige</v>
      </c>
    </row>
    <row r="233" spans="1:4" ht="12.75" customHeight="1" x14ac:dyDescent="0.2">
      <c r="A233" s="21"/>
      <c r="B233" s="21"/>
      <c r="C233" s="4" t="s">
        <v>193</v>
      </c>
      <c r="D233" s="6" t="str">
        <f>HYPERLINK("javascript:void(0)","vászoning")</f>
        <v>vászoning</v>
      </c>
    </row>
    <row r="234" spans="1:4" ht="12.75" customHeight="1" x14ac:dyDescent="0.2">
      <c r="A234" s="21"/>
      <c r="B234" s="21"/>
      <c r="C234" s="4" t="s">
        <v>68</v>
      </c>
      <c r="D234" s="6" t="str">
        <f>HYPERLINK("javascript:void(0)","szent szimbólum")</f>
        <v>szent szimbólum</v>
      </c>
    </row>
    <row r="235" spans="1:4" ht="12.75" customHeight="1" x14ac:dyDescent="0.2">
      <c r="A235" s="21"/>
      <c r="B235" s="2"/>
      <c r="C235" s="2"/>
      <c r="D235" s="2"/>
    </row>
    <row r="236" spans="1:4" ht="12.75" customHeight="1" x14ac:dyDescent="0.2">
      <c r="A236" s="21"/>
      <c r="B236" s="2"/>
      <c r="C236" s="2"/>
      <c r="D236" s="2"/>
    </row>
    <row r="237" spans="1:4" ht="12.75" customHeight="1" x14ac:dyDescent="0.2">
      <c r="A237" s="21"/>
      <c r="B237" s="2"/>
      <c r="C237" s="2"/>
      <c r="D237" s="2"/>
    </row>
    <row r="238" spans="1:4" ht="12.75" customHeight="1" x14ac:dyDescent="0.2">
      <c r="A238" s="21"/>
      <c r="B238" s="2"/>
      <c r="C238" s="2"/>
      <c r="D238" s="2"/>
    </row>
    <row r="239" spans="1:4" ht="12.75" customHeight="1" x14ac:dyDescent="0.2">
      <c r="A239" s="5"/>
      <c r="B239" s="2"/>
      <c r="C239" s="2"/>
      <c r="D239" s="2"/>
    </row>
    <row r="240" spans="1:4" ht="12.75" customHeight="1" x14ac:dyDescent="0.2">
      <c r="A240" s="22" t="str">
        <f>HYPERLINK("javascript:void(0)","gyémántpáncél")</f>
        <v>gyémántpáncél</v>
      </c>
      <c r="B240" s="21"/>
      <c r="C240" s="21"/>
      <c r="D240" s="21"/>
    </row>
    <row r="241" spans="1:4" ht="12.75" customHeight="1" x14ac:dyDescent="0.2">
      <c r="A241" s="20"/>
      <c r="B241" s="2"/>
      <c r="C241" s="2"/>
      <c r="D241" s="2"/>
    </row>
    <row r="242" spans="1:4" ht="12.75" customHeight="1" x14ac:dyDescent="0.2">
      <c r="A242" s="21"/>
      <c r="B242" s="3" t="s">
        <v>0</v>
      </c>
      <c r="C242" s="20" t="s">
        <v>221</v>
      </c>
      <c r="D242" s="21"/>
    </row>
    <row r="243" spans="1:4" ht="12.75" customHeight="1" x14ac:dyDescent="0.2">
      <c r="A243" s="21"/>
      <c r="B243" s="3" t="s">
        <v>2</v>
      </c>
      <c r="C243" s="20" t="s">
        <v>2322</v>
      </c>
      <c r="D243" s="21"/>
    </row>
    <row r="244" spans="1:4" ht="12.75" customHeight="1" x14ac:dyDescent="0.2">
      <c r="A244" s="21"/>
      <c r="B244" s="3" t="s">
        <v>1840</v>
      </c>
      <c r="C244" s="20" t="s">
        <v>385</v>
      </c>
      <c r="D244" s="21"/>
    </row>
    <row r="245" spans="1:4" ht="12.75" customHeight="1" x14ac:dyDescent="0.2">
      <c r="A245" s="21"/>
      <c r="B245" s="3" t="s">
        <v>9</v>
      </c>
      <c r="C245" s="20" t="s">
        <v>343</v>
      </c>
      <c r="D245" s="21"/>
    </row>
    <row r="246" spans="1:4" ht="12.75" customHeight="1" x14ac:dyDescent="0.2">
      <c r="A246" s="21"/>
      <c r="B246" s="3" t="s">
        <v>11</v>
      </c>
      <c r="C246" s="20" t="s">
        <v>89</v>
      </c>
      <c r="D246" s="21"/>
    </row>
    <row r="247" spans="1:4" ht="12.75" customHeight="1" x14ac:dyDescent="0.2">
      <c r="A247" s="21"/>
      <c r="B247" s="3" t="s">
        <v>16</v>
      </c>
      <c r="C247" s="20"/>
      <c r="D247" s="21"/>
    </row>
    <row r="248" spans="1:4" ht="12.75" customHeight="1" x14ac:dyDescent="0.2">
      <c r="A248" s="21"/>
      <c r="B248" s="3" t="s">
        <v>17</v>
      </c>
      <c r="C248" s="20" t="s">
        <v>19</v>
      </c>
      <c r="D248" s="21"/>
    </row>
    <row r="249" spans="1:4" ht="12.75" customHeight="1" x14ac:dyDescent="0.2">
      <c r="A249" s="21"/>
      <c r="B249" s="20" t="s">
        <v>18</v>
      </c>
      <c r="C249" s="4" t="s">
        <v>139</v>
      </c>
      <c r="D249" s="6" t="str">
        <f>HYPERLINK("javascript:void(0)","gyémánt")</f>
        <v>gyémánt</v>
      </c>
    </row>
    <row r="250" spans="1:4" ht="12.75" customHeight="1" x14ac:dyDescent="0.2">
      <c r="A250" s="21"/>
      <c r="B250" s="21"/>
      <c r="C250" s="4" t="s">
        <v>44</v>
      </c>
      <c r="D250" s="6" t="str">
        <f>HYPERLINK("javascript:void(0)","gyémánt láncing")</f>
        <v>gyémánt láncing</v>
      </c>
    </row>
    <row r="251" spans="1:4" ht="12.75" customHeight="1" x14ac:dyDescent="0.2">
      <c r="A251" s="21"/>
      <c r="B251" s="21"/>
      <c r="C251" s="4" t="s">
        <v>139</v>
      </c>
      <c r="D251" s="6" t="str">
        <f>HYPERLINK("javascript:void(0)","kallandra fog")</f>
        <v>kallandra fog</v>
      </c>
    </row>
    <row r="252" spans="1:4" ht="12.75" customHeight="1" x14ac:dyDescent="0.2">
      <c r="A252" s="21"/>
      <c r="B252" s="2"/>
      <c r="C252" s="2"/>
      <c r="D252" s="2"/>
    </row>
    <row r="253" spans="1:4" ht="12.75" customHeight="1" x14ac:dyDescent="0.2">
      <c r="A253" s="21"/>
      <c r="B253" s="2"/>
      <c r="C253" s="2"/>
      <c r="D253" s="2"/>
    </row>
    <row r="254" spans="1:4" ht="12.75" customHeight="1" x14ac:dyDescent="0.2">
      <c r="A254" s="21"/>
      <c r="B254" s="2"/>
      <c r="C254" s="2"/>
      <c r="D254" s="2"/>
    </row>
    <row r="255" spans="1:4" ht="12.75" customHeight="1" x14ac:dyDescent="0.2">
      <c r="A255" s="21"/>
      <c r="B255" s="2"/>
      <c r="C255" s="2"/>
      <c r="D255" s="2"/>
    </row>
    <row r="256" spans="1:4" ht="12.75" customHeight="1" x14ac:dyDescent="0.2">
      <c r="A256" s="5"/>
      <c r="B256" s="2"/>
      <c r="C256" s="2"/>
      <c r="D256" s="2"/>
    </row>
    <row r="257" spans="1:4" ht="12.75" customHeight="1" x14ac:dyDescent="0.2">
      <c r="A257" s="22" t="str">
        <f>HYPERLINK("javascript:void(0)","diszpropáncél")</f>
        <v>diszpropáncél</v>
      </c>
      <c r="B257" s="21"/>
      <c r="C257" s="21"/>
      <c r="D257" s="21"/>
    </row>
    <row r="258" spans="1:4" ht="12.75" customHeight="1" x14ac:dyDescent="0.2">
      <c r="A258" s="20"/>
      <c r="B258" s="2"/>
      <c r="C258" s="2"/>
      <c r="D258" s="2"/>
    </row>
    <row r="259" spans="1:4" ht="12.75" customHeight="1" x14ac:dyDescent="0.2">
      <c r="A259" s="21"/>
      <c r="B259" s="3" t="s">
        <v>0</v>
      </c>
      <c r="C259" s="20" t="s">
        <v>157</v>
      </c>
      <c r="D259" s="21"/>
    </row>
    <row r="260" spans="1:4" ht="12.75" customHeight="1" x14ac:dyDescent="0.2">
      <c r="A260" s="21"/>
      <c r="B260" s="3" t="s">
        <v>2</v>
      </c>
      <c r="C260" s="20" t="s">
        <v>2322</v>
      </c>
      <c r="D260" s="21"/>
    </row>
    <row r="261" spans="1:4" ht="12.75" customHeight="1" x14ac:dyDescent="0.2">
      <c r="A261" s="21"/>
      <c r="B261" s="3" t="s">
        <v>1840</v>
      </c>
      <c r="C261" s="20" t="s">
        <v>216</v>
      </c>
      <c r="D261" s="21"/>
    </row>
    <row r="262" spans="1:4" ht="12.75" customHeight="1" x14ac:dyDescent="0.2">
      <c r="A262" s="21"/>
      <c r="B262" s="3" t="s">
        <v>9</v>
      </c>
      <c r="C262" s="20" t="s">
        <v>124</v>
      </c>
      <c r="D262" s="21"/>
    </row>
    <row r="263" spans="1:4" ht="12.75" customHeight="1" x14ac:dyDescent="0.2">
      <c r="A263" s="21"/>
      <c r="B263" s="3" t="s">
        <v>11</v>
      </c>
      <c r="C263" s="20" t="s">
        <v>520</v>
      </c>
      <c r="D263" s="21"/>
    </row>
    <row r="264" spans="1:4" ht="12.75" customHeight="1" x14ac:dyDescent="0.2">
      <c r="A264" s="21"/>
      <c r="B264" s="3" t="s">
        <v>16</v>
      </c>
      <c r="C264" s="20"/>
      <c r="D264" s="21"/>
    </row>
    <row r="265" spans="1:4" ht="12.75" customHeight="1" x14ac:dyDescent="0.2">
      <c r="A265" s="21"/>
      <c r="B265" s="3" t="s">
        <v>17</v>
      </c>
      <c r="C265" s="20" t="s">
        <v>19</v>
      </c>
      <c r="D265" s="21"/>
    </row>
    <row r="266" spans="1:4" ht="12.75" customHeight="1" x14ac:dyDescent="0.2">
      <c r="A266" s="21"/>
      <c r="B266" s="20" t="s">
        <v>18</v>
      </c>
      <c r="C266" s="4" t="s">
        <v>139</v>
      </c>
      <c r="D266" s="6" t="str">
        <f>HYPERLINK("javascript:void(0)","diszprózium")</f>
        <v>diszprózium</v>
      </c>
    </row>
    <row r="267" spans="1:4" ht="12.75" customHeight="1" x14ac:dyDescent="0.2">
      <c r="A267" s="21"/>
      <c r="B267" s="21"/>
      <c r="C267" s="4" t="s">
        <v>44</v>
      </c>
      <c r="D267" s="6" t="str">
        <f>HYPERLINK("javascript:void(0)","gyémántpáncél")</f>
        <v>gyémántpáncél</v>
      </c>
    </row>
    <row r="268" spans="1:4" ht="12.75" customHeight="1" x14ac:dyDescent="0.2">
      <c r="A268" s="21"/>
      <c r="B268" s="21"/>
      <c r="C268" s="4" t="s">
        <v>98</v>
      </c>
      <c r="D268" s="6" t="str">
        <f>HYPERLINK("javascript:void(0)","sárkány izom")</f>
        <v>sárkány izom</v>
      </c>
    </row>
    <row r="269" spans="1:4" ht="12.75" customHeight="1" x14ac:dyDescent="0.2">
      <c r="A269" s="21"/>
      <c r="B269" s="2"/>
      <c r="C269" s="2"/>
      <c r="D269" s="2"/>
    </row>
    <row r="270" spans="1:4" ht="12.75" customHeight="1" x14ac:dyDescent="0.2">
      <c r="A270" s="21"/>
      <c r="B270" s="2"/>
      <c r="C270" s="2"/>
      <c r="D270" s="2"/>
    </row>
    <row r="271" spans="1:4" ht="12.75" customHeight="1" x14ac:dyDescent="0.2">
      <c r="A271" s="21"/>
      <c r="B271" s="2"/>
      <c r="C271" s="2"/>
      <c r="D271" s="2"/>
    </row>
    <row r="272" spans="1:4" ht="12.75" customHeight="1" x14ac:dyDescent="0.2">
      <c r="A272" s="21"/>
      <c r="B272" s="2"/>
      <c r="C272" s="2"/>
      <c r="D272" s="2"/>
    </row>
    <row r="273" spans="1:4" ht="12.75" customHeight="1" x14ac:dyDescent="0.2">
      <c r="A273" s="5"/>
      <c r="B273" s="2"/>
      <c r="C273" s="2"/>
      <c r="D273" s="2"/>
    </row>
    <row r="274" spans="1:4" ht="12.75" customHeight="1" x14ac:dyDescent="0.2">
      <c r="A274" s="22" t="str">
        <f>HYPERLINK("javascript:void(0)","sodrony boxeralsó")</f>
        <v>sodrony boxeralsó</v>
      </c>
      <c r="B274" s="21"/>
      <c r="C274" s="21"/>
      <c r="D274" s="2"/>
    </row>
    <row r="275" spans="1:4" ht="12.75" customHeight="1" x14ac:dyDescent="0.2">
      <c r="A275" s="20"/>
      <c r="B275" s="2"/>
      <c r="C275" s="2"/>
      <c r="D275" s="2"/>
    </row>
    <row r="276" spans="1:4" ht="12.75" customHeight="1" x14ac:dyDescent="0.2">
      <c r="A276" s="21"/>
      <c r="B276" s="3" t="s">
        <v>0</v>
      </c>
      <c r="C276" s="3" t="s">
        <v>41</v>
      </c>
      <c r="D276" s="2"/>
    </row>
    <row r="277" spans="1:4" ht="12.75" customHeight="1" x14ac:dyDescent="0.2">
      <c r="A277" s="21"/>
      <c r="B277" s="3" t="s">
        <v>2</v>
      </c>
      <c r="C277" s="3" t="s">
        <v>2322</v>
      </c>
      <c r="D277" s="2"/>
    </row>
    <row r="278" spans="1:4" ht="12.75" customHeight="1" x14ac:dyDescent="0.2">
      <c r="A278" s="21"/>
      <c r="B278" s="3" t="s">
        <v>1840</v>
      </c>
      <c r="C278" s="3" t="s">
        <v>58</v>
      </c>
      <c r="D278" s="2"/>
    </row>
    <row r="279" spans="1:4" ht="12.75" customHeight="1" x14ac:dyDescent="0.2">
      <c r="A279" s="21"/>
      <c r="B279" s="3" t="s">
        <v>9</v>
      </c>
      <c r="C279" s="3" t="s">
        <v>113</v>
      </c>
      <c r="D279" s="2"/>
    </row>
    <row r="280" spans="1:4" ht="25.5" customHeight="1" x14ac:dyDescent="0.2">
      <c r="A280" s="21"/>
      <c r="B280" s="3" t="s">
        <v>11</v>
      </c>
      <c r="C280" s="3" t="s">
        <v>685</v>
      </c>
      <c r="D280" s="2"/>
    </row>
    <row r="281" spans="1:4" ht="12.75" customHeight="1" x14ac:dyDescent="0.2">
      <c r="A281" s="21"/>
      <c r="B281" s="3" t="s">
        <v>16</v>
      </c>
      <c r="C281" s="3"/>
      <c r="D281" s="2"/>
    </row>
    <row r="282" spans="1:4" ht="12.75" customHeight="1" x14ac:dyDescent="0.2">
      <c r="A282" s="21"/>
      <c r="B282" s="3" t="s">
        <v>17</v>
      </c>
      <c r="C282" s="3" t="s">
        <v>19</v>
      </c>
      <c r="D282" s="2"/>
    </row>
    <row r="283" spans="1:4" ht="12.75" customHeight="1" x14ac:dyDescent="0.2">
      <c r="A283" s="21"/>
      <c r="B283" s="3" t="s">
        <v>18</v>
      </c>
      <c r="C283" s="4" t="s">
        <v>19</v>
      </c>
      <c r="D283" s="2"/>
    </row>
    <row r="284" spans="1:4" ht="12.75" customHeight="1" x14ac:dyDescent="0.2">
      <c r="A284" s="21"/>
      <c r="B284" s="2"/>
      <c r="C284" s="2"/>
      <c r="D284" s="2"/>
    </row>
    <row r="285" spans="1:4" ht="12.75" customHeight="1" x14ac:dyDescent="0.2">
      <c r="A285" s="21"/>
      <c r="B285" s="2"/>
      <c r="C285" s="2"/>
      <c r="D285" s="2"/>
    </row>
    <row r="286" spans="1:4" ht="12.75" customHeight="1" x14ac:dyDescent="0.2">
      <c r="A286" s="21"/>
      <c r="B286" s="2"/>
      <c r="C286" s="2"/>
      <c r="D286" s="2"/>
    </row>
    <row r="287" spans="1:4" ht="12.75" customHeight="1" x14ac:dyDescent="0.2">
      <c r="A287" s="21"/>
      <c r="B287" s="2"/>
      <c r="C287" s="2"/>
      <c r="D287" s="2"/>
    </row>
    <row r="288" spans="1:4" ht="12.75" customHeight="1" x14ac:dyDescent="0.2">
      <c r="A288" s="5"/>
      <c r="B288" s="2"/>
      <c r="C288" s="2"/>
      <c r="D288" s="2"/>
    </row>
    <row r="289" spans="1:4" ht="12.75" customHeight="1" x14ac:dyDescent="0.2">
      <c r="A289" s="22" t="str">
        <f>HYPERLINK("javascript:void(0)","kithpáncél")</f>
        <v>kithpáncél</v>
      </c>
      <c r="B289" s="21"/>
      <c r="C289" s="21"/>
      <c r="D289" s="21"/>
    </row>
    <row r="290" spans="1:4" ht="12.75" customHeight="1" x14ac:dyDescent="0.2">
      <c r="A290" s="20"/>
      <c r="B290" s="2"/>
      <c r="C290" s="2"/>
      <c r="D290" s="2"/>
    </row>
    <row r="291" spans="1:4" ht="12.75" customHeight="1" x14ac:dyDescent="0.2">
      <c r="A291" s="21"/>
      <c r="B291" s="3" t="s">
        <v>0</v>
      </c>
      <c r="C291" s="20" t="s">
        <v>260</v>
      </c>
      <c r="D291" s="21"/>
    </row>
    <row r="292" spans="1:4" ht="12.75" customHeight="1" x14ac:dyDescent="0.2">
      <c r="A292" s="21"/>
      <c r="B292" s="3" t="s">
        <v>2</v>
      </c>
      <c r="C292" s="20" t="s">
        <v>2322</v>
      </c>
      <c r="D292" s="21"/>
    </row>
    <row r="293" spans="1:4" ht="12.75" customHeight="1" x14ac:dyDescent="0.2">
      <c r="A293" s="21"/>
      <c r="B293" s="3" t="s">
        <v>1840</v>
      </c>
      <c r="C293" s="20" t="s">
        <v>167</v>
      </c>
      <c r="D293" s="21"/>
    </row>
    <row r="294" spans="1:4" ht="12.75" customHeight="1" x14ac:dyDescent="0.2">
      <c r="A294" s="21"/>
      <c r="B294" s="3" t="s">
        <v>9</v>
      </c>
      <c r="C294" s="20" t="s">
        <v>962</v>
      </c>
      <c r="D294" s="21"/>
    </row>
    <row r="295" spans="1:4" ht="12.75" customHeight="1" x14ac:dyDescent="0.2">
      <c r="A295" s="21"/>
      <c r="B295" s="3" t="s">
        <v>11</v>
      </c>
      <c r="C295" s="20" t="s">
        <v>551</v>
      </c>
      <c r="D295" s="21"/>
    </row>
    <row r="296" spans="1:4" ht="12.75" customHeight="1" x14ac:dyDescent="0.2">
      <c r="A296" s="21"/>
      <c r="B296" s="3" t="s">
        <v>16</v>
      </c>
      <c r="C296" s="20"/>
      <c r="D296" s="21"/>
    </row>
    <row r="297" spans="1:4" ht="12.75" customHeight="1" x14ac:dyDescent="0.2">
      <c r="A297" s="21"/>
      <c r="B297" s="3" t="s">
        <v>17</v>
      </c>
      <c r="C297" s="20" t="s">
        <v>19</v>
      </c>
      <c r="D297" s="21"/>
    </row>
    <row r="298" spans="1:4" ht="12.75" customHeight="1" x14ac:dyDescent="0.2">
      <c r="A298" s="21"/>
      <c r="B298" s="20" t="s">
        <v>18</v>
      </c>
      <c r="C298" s="4" t="s">
        <v>139</v>
      </c>
      <c r="D298" s="6" t="str">
        <f>HYPERLINK("javascript:void(0)","kithrill")</f>
        <v>kithrill</v>
      </c>
    </row>
    <row r="299" spans="1:4" ht="12.75" customHeight="1" x14ac:dyDescent="0.2">
      <c r="A299" s="21"/>
      <c r="B299" s="21"/>
      <c r="C299" s="4" t="s">
        <v>44</v>
      </c>
      <c r="D299" s="6" t="str">
        <f>HYPERLINK("javascript:void(0)","diszpropáncél")</f>
        <v>diszpropáncél</v>
      </c>
    </row>
    <row r="300" spans="1:4" ht="12.75" customHeight="1" x14ac:dyDescent="0.2">
      <c r="A300" s="21"/>
      <c r="B300" s="21"/>
      <c r="C300" s="4" t="s">
        <v>244</v>
      </c>
      <c r="D300" s="6" t="str">
        <f>HYPERLINK("javascript:void(0)","sárkány taréj")</f>
        <v>sárkány taréj</v>
      </c>
    </row>
    <row r="301" spans="1:4" ht="12.75" customHeight="1" x14ac:dyDescent="0.2">
      <c r="A301" s="21"/>
      <c r="B301" s="2"/>
      <c r="C301" s="2"/>
      <c r="D301" s="2"/>
    </row>
    <row r="302" spans="1:4" ht="12.75" customHeight="1" x14ac:dyDescent="0.2">
      <c r="A302" s="21"/>
      <c r="B302" s="2"/>
      <c r="C302" s="2"/>
      <c r="D302" s="2"/>
    </row>
    <row r="303" spans="1:4" ht="12.75" customHeight="1" x14ac:dyDescent="0.2">
      <c r="A303" s="21"/>
      <c r="B303" s="2"/>
      <c r="C303" s="2"/>
      <c r="D303" s="2"/>
    </row>
    <row r="304" spans="1:4" ht="12.75" customHeight="1" x14ac:dyDescent="0.2">
      <c r="A304" s="21"/>
      <c r="B304" s="2"/>
      <c r="C304" s="2"/>
      <c r="D304" s="2"/>
    </row>
    <row r="305" spans="1:4" ht="12.75" customHeight="1" x14ac:dyDescent="0.2">
      <c r="A305" s="5"/>
      <c r="B305" s="2"/>
      <c r="C305" s="2"/>
      <c r="D305" s="2"/>
    </row>
    <row r="306" spans="1:4" ht="12.75" customHeight="1" x14ac:dyDescent="0.2">
      <c r="A306" s="22" t="str">
        <f>HYPERLINK("javascript:void(0)","sárkányálló suba")</f>
        <v>sárkányálló suba</v>
      </c>
      <c r="B306" s="21"/>
      <c r="C306" s="21"/>
      <c r="D306" s="21"/>
    </row>
    <row r="307" spans="1:4" ht="12.75" customHeight="1" x14ac:dyDescent="0.2">
      <c r="A307" s="20"/>
      <c r="B307" s="2"/>
      <c r="C307" s="2"/>
      <c r="D307" s="2"/>
    </row>
    <row r="308" spans="1:4" ht="12.75" customHeight="1" x14ac:dyDescent="0.2">
      <c r="A308" s="21"/>
      <c r="B308" s="3" t="s">
        <v>0</v>
      </c>
      <c r="C308" s="20" t="s">
        <v>272</v>
      </c>
      <c r="D308" s="21"/>
    </row>
    <row r="309" spans="1:4" ht="12.75" customHeight="1" x14ac:dyDescent="0.2">
      <c r="A309" s="21"/>
      <c r="B309" s="3" t="s">
        <v>2</v>
      </c>
      <c r="C309" s="20" t="s">
        <v>2322</v>
      </c>
      <c r="D309" s="21"/>
    </row>
    <row r="310" spans="1:4" ht="12.75" customHeight="1" x14ac:dyDescent="0.2">
      <c r="A310" s="21"/>
      <c r="B310" s="3" t="s">
        <v>1840</v>
      </c>
      <c r="C310" s="20" t="s">
        <v>562</v>
      </c>
      <c r="D310" s="21"/>
    </row>
    <row r="311" spans="1:4" ht="12.75" customHeight="1" x14ac:dyDescent="0.2">
      <c r="A311" s="21"/>
      <c r="B311" s="3" t="s">
        <v>9</v>
      </c>
      <c r="C311" s="20" t="s">
        <v>135</v>
      </c>
      <c r="D311" s="21"/>
    </row>
    <row r="312" spans="1:4" ht="12.75" customHeight="1" x14ac:dyDescent="0.2">
      <c r="A312" s="21"/>
      <c r="B312" s="3" t="s">
        <v>11</v>
      </c>
      <c r="C312" s="20" t="s">
        <v>89</v>
      </c>
      <c r="D312" s="21"/>
    </row>
    <row r="313" spans="1:4" ht="12.75" customHeight="1" x14ac:dyDescent="0.2">
      <c r="A313" s="21"/>
      <c r="B313" s="3" t="s">
        <v>16</v>
      </c>
      <c r="C313" s="20"/>
      <c r="D313" s="21"/>
    </row>
    <row r="314" spans="1:4" ht="12.75" customHeight="1" x14ac:dyDescent="0.2">
      <c r="A314" s="21"/>
      <c r="B314" s="3" t="s">
        <v>17</v>
      </c>
      <c r="C314" s="20" t="s">
        <v>19</v>
      </c>
      <c r="D314" s="21"/>
    </row>
    <row r="315" spans="1:4" ht="12.75" customHeight="1" x14ac:dyDescent="0.2">
      <c r="A315" s="21"/>
      <c r="B315" s="20" t="s">
        <v>18</v>
      </c>
      <c r="C315" s="4" t="s">
        <v>139</v>
      </c>
      <c r="D315" s="6" t="str">
        <f>HYPERLINK("javascript:void(0)","sárkányfű")</f>
        <v>sárkányfű</v>
      </c>
    </row>
    <row r="316" spans="1:4" ht="12.75" customHeight="1" x14ac:dyDescent="0.2">
      <c r="A316" s="21"/>
      <c r="B316" s="21"/>
      <c r="C316" s="4" t="s">
        <v>56</v>
      </c>
      <c r="D316" s="6" t="str">
        <f>HYPERLINK("javascript:void(0)","sárkány izom")</f>
        <v>sárkány izom</v>
      </c>
    </row>
    <row r="317" spans="1:4" ht="12.75" customHeight="1" x14ac:dyDescent="0.2">
      <c r="A317" s="21"/>
      <c r="B317" s="21"/>
      <c r="C317" s="4" t="s">
        <v>77</v>
      </c>
      <c r="D317" s="6" t="str">
        <f>HYPERLINK("javascript:void(0)","sárkány szív")</f>
        <v>sárkány szív</v>
      </c>
    </row>
    <row r="318" spans="1:4" ht="12.75" customHeight="1" x14ac:dyDescent="0.2">
      <c r="A318" s="21"/>
      <c r="B318" s="2"/>
      <c r="C318" s="2"/>
      <c r="D318" s="2"/>
    </row>
    <row r="319" spans="1:4" ht="12.75" customHeight="1" x14ac:dyDescent="0.2">
      <c r="A319" s="21"/>
      <c r="B319" s="2"/>
      <c r="C319" s="2"/>
      <c r="D319" s="2"/>
    </row>
    <row r="320" spans="1:4" ht="12.75" customHeight="1" x14ac:dyDescent="0.2">
      <c r="A320" s="21"/>
      <c r="B320" s="2"/>
      <c r="C320" s="2"/>
      <c r="D320" s="2"/>
    </row>
    <row r="321" spans="1:4" ht="12.75" customHeight="1" x14ac:dyDescent="0.2">
      <c r="A321" s="21"/>
      <c r="B321" s="2"/>
      <c r="C321" s="2"/>
      <c r="D321" s="2"/>
    </row>
    <row r="322" spans="1:4" ht="12.75" customHeight="1" x14ac:dyDescent="0.2">
      <c r="A322" s="5"/>
      <c r="B322" s="2"/>
      <c r="C322" s="2"/>
      <c r="D322" s="2"/>
    </row>
    <row r="323" spans="1:4" ht="12.75" customHeight="1" x14ac:dyDescent="0.2">
      <c r="A323" s="22" t="str">
        <f>HYPERLINK("javascript:void(0)","centropáncél")</f>
        <v>centropáncél</v>
      </c>
      <c r="B323" s="21"/>
      <c r="C323" s="21"/>
      <c r="D323" s="21"/>
    </row>
    <row r="324" spans="1:4" ht="12.75" customHeight="1" x14ac:dyDescent="0.2">
      <c r="A324" s="20"/>
      <c r="B324" s="2"/>
      <c r="C324" s="2"/>
      <c r="D324" s="2"/>
    </row>
    <row r="325" spans="1:4" ht="12.75" customHeight="1" x14ac:dyDescent="0.2">
      <c r="A325" s="21"/>
      <c r="B325" s="3" t="s">
        <v>0</v>
      </c>
      <c r="C325" s="20" t="s">
        <v>284</v>
      </c>
      <c r="D325" s="21"/>
    </row>
    <row r="326" spans="1:4" ht="12.75" customHeight="1" x14ac:dyDescent="0.2">
      <c r="A326" s="21"/>
      <c r="B326" s="3" t="s">
        <v>2</v>
      </c>
      <c r="C326" s="20" t="s">
        <v>2322</v>
      </c>
      <c r="D326" s="21"/>
    </row>
    <row r="327" spans="1:4" ht="12.75" customHeight="1" x14ac:dyDescent="0.2">
      <c r="A327" s="21"/>
      <c r="B327" s="3" t="s">
        <v>1840</v>
      </c>
      <c r="C327" s="20" t="s">
        <v>219</v>
      </c>
      <c r="D327" s="21"/>
    </row>
    <row r="328" spans="1:4" ht="12.75" customHeight="1" x14ac:dyDescent="0.2">
      <c r="A328" s="21"/>
      <c r="B328" s="3" t="s">
        <v>9</v>
      </c>
      <c r="C328" s="20" t="s">
        <v>126</v>
      </c>
      <c r="D328" s="21"/>
    </row>
    <row r="329" spans="1:4" ht="12.75" customHeight="1" x14ac:dyDescent="0.2">
      <c r="A329" s="21"/>
      <c r="B329" s="3" t="s">
        <v>11</v>
      </c>
      <c r="C329" s="20" t="s">
        <v>519</v>
      </c>
      <c r="D329" s="21"/>
    </row>
    <row r="330" spans="1:4" ht="12.75" customHeight="1" x14ac:dyDescent="0.2">
      <c r="A330" s="21"/>
      <c r="B330" s="3" t="s">
        <v>16</v>
      </c>
      <c r="C330" s="20"/>
      <c r="D330" s="21"/>
    </row>
    <row r="331" spans="1:4" ht="12.75" customHeight="1" x14ac:dyDescent="0.2">
      <c r="A331" s="21"/>
      <c r="B331" s="3" t="s">
        <v>17</v>
      </c>
      <c r="C331" s="20" t="s">
        <v>19</v>
      </c>
      <c r="D331" s="21"/>
    </row>
    <row r="332" spans="1:4" ht="12.75" customHeight="1" x14ac:dyDescent="0.2">
      <c r="A332" s="21"/>
      <c r="B332" s="20" t="s">
        <v>18</v>
      </c>
      <c r="C332" s="4" t="s">
        <v>139</v>
      </c>
      <c r="D332" s="6" t="str">
        <f>HYPERLINK("javascript:void(0)","centrolium")</f>
        <v>centrolium</v>
      </c>
    </row>
    <row r="333" spans="1:4" ht="12.75" customHeight="1" x14ac:dyDescent="0.2">
      <c r="A333" s="21"/>
      <c r="B333" s="21"/>
      <c r="C333" s="4" t="s">
        <v>44</v>
      </c>
      <c r="D333" s="6" t="str">
        <f>HYPERLINK("javascript:void(0)","kithpáncél")</f>
        <v>kithpáncél</v>
      </c>
    </row>
    <row r="334" spans="1:4" ht="12.75" customHeight="1" x14ac:dyDescent="0.2">
      <c r="A334" s="21"/>
      <c r="B334" s="21"/>
      <c r="C334" s="4" t="s">
        <v>244</v>
      </c>
      <c r="D334" s="6" t="str">
        <f>HYPERLINK("javascript:void(0)","sárkány szem")</f>
        <v>sárkány szem</v>
      </c>
    </row>
    <row r="335" spans="1:4" ht="12.75" customHeight="1" x14ac:dyDescent="0.2">
      <c r="A335" s="21"/>
      <c r="B335" s="2"/>
      <c r="C335" s="2"/>
      <c r="D335" s="2"/>
    </row>
    <row r="336" spans="1:4" ht="12.75" customHeight="1" x14ac:dyDescent="0.2">
      <c r="A336" s="21"/>
      <c r="B336" s="2"/>
      <c r="C336" s="2"/>
      <c r="D336" s="2"/>
    </row>
    <row r="337" spans="1:4" ht="12.75" customHeight="1" x14ac:dyDescent="0.2">
      <c r="A337" s="21"/>
      <c r="B337" s="2"/>
      <c r="C337" s="2"/>
      <c r="D337" s="2"/>
    </row>
    <row r="338" spans="1:4" ht="12.75" customHeight="1" x14ac:dyDescent="0.2">
      <c r="A338" s="21"/>
      <c r="B338" s="2"/>
      <c r="C338" s="2"/>
      <c r="D338" s="2"/>
    </row>
    <row r="339" spans="1:4" ht="12.75" customHeight="1" x14ac:dyDescent="0.2">
      <c r="A339" s="5"/>
      <c r="B339" s="2"/>
      <c r="C339" s="2"/>
      <c r="D339" s="2"/>
    </row>
    <row r="340" spans="1:4" ht="12.75" customHeight="1" x14ac:dyDescent="0.2">
      <c r="A340" s="22" t="str">
        <f>HYPERLINK("javascript:void(0)","hiperpáncél")</f>
        <v>hiperpáncél</v>
      </c>
      <c r="B340" s="21"/>
      <c r="C340" s="21"/>
      <c r="D340" s="21"/>
    </row>
    <row r="341" spans="1:4" ht="12.75" customHeight="1" x14ac:dyDescent="0.2">
      <c r="A341" s="20"/>
      <c r="B341" s="2"/>
      <c r="C341" s="2"/>
      <c r="D341" s="2"/>
    </row>
    <row r="342" spans="1:4" ht="12.75" customHeight="1" x14ac:dyDescent="0.2">
      <c r="A342" s="21"/>
      <c r="B342" s="3" t="s">
        <v>0</v>
      </c>
      <c r="C342" s="20" t="s">
        <v>291</v>
      </c>
      <c r="D342" s="21"/>
    </row>
    <row r="343" spans="1:4" ht="12.75" customHeight="1" x14ac:dyDescent="0.2">
      <c r="A343" s="21"/>
      <c r="B343" s="3" t="s">
        <v>2</v>
      </c>
      <c r="C343" s="20" t="s">
        <v>2322</v>
      </c>
      <c r="D343" s="21"/>
    </row>
    <row r="344" spans="1:4" ht="12.75" customHeight="1" x14ac:dyDescent="0.2">
      <c r="A344" s="21"/>
      <c r="B344" s="3" t="s">
        <v>1840</v>
      </c>
      <c r="C344" s="20" t="s">
        <v>239</v>
      </c>
      <c r="D344" s="21"/>
    </row>
    <row r="345" spans="1:4" ht="12.75" customHeight="1" x14ac:dyDescent="0.2">
      <c r="A345" s="21"/>
      <c r="B345" s="3" t="s">
        <v>9</v>
      </c>
      <c r="C345" s="20" t="s">
        <v>200</v>
      </c>
      <c r="D345" s="21"/>
    </row>
    <row r="346" spans="1:4" ht="12.75" customHeight="1" x14ac:dyDescent="0.2">
      <c r="A346" s="21"/>
      <c r="B346" s="3" t="s">
        <v>11</v>
      </c>
      <c r="C346" s="20" t="s">
        <v>116</v>
      </c>
      <c r="D346" s="21"/>
    </row>
    <row r="347" spans="1:4" ht="12.75" customHeight="1" x14ac:dyDescent="0.2">
      <c r="A347" s="21"/>
      <c r="B347" s="3" t="s">
        <v>16</v>
      </c>
      <c r="C347" s="20"/>
      <c r="D347" s="21"/>
    </row>
    <row r="348" spans="1:4" ht="12.75" customHeight="1" x14ac:dyDescent="0.2">
      <c r="A348" s="21"/>
      <c r="B348" s="3" t="s">
        <v>17</v>
      </c>
      <c r="C348" s="20" t="s">
        <v>19</v>
      </c>
      <c r="D348" s="21"/>
    </row>
    <row r="349" spans="1:4" ht="12.75" customHeight="1" x14ac:dyDescent="0.2">
      <c r="A349" s="21"/>
      <c r="B349" s="20" t="s">
        <v>18</v>
      </c>
      <c r="C349" s="4" t="s">
        <v>139</v>
      </c>
      <c r="D349" s="6" t="str">
        <f>HYPERLINK("javascript:void(0)","hiperium")</f>
        <v>hiperium</v>
      </c>
    </row>
    <row r="350" spans="1:4" ht="12.75" customHeight="1" x14ac:dyDescent="0.2">
      <c r="A350" s="21"/>
      <c r="B350" s="21"/>
      <c r="C350" s="4" t="s">
        <v>44</v>
      </c>
      <c r="D350" s="6" t="str">
        <f>HYPERLINK("javascript:void(0)","centropáncél")</f>
        <v>centropáncél</v>
      </c>
    </row>
    <row r="351" spans="1:4" ht="12.75" customHeight="1" x14ac:dyDescent="0.2">
      <c r="A351" s="21"/>
      <c r="B351" s="21"/>
      <c r="C351" s="4" t="s">
        <v>244</v>
      </c>
      <c r="D351" s="6" t="str">
        <f>HYPERLINK("javascript:void(0)","sárkány szív")</f>
        <v>sárkány szív</v>
      </c>
    </row>
    <row r="352" spans="1:4" ht="12.75" customHeight="1" x14ac:dyDescent="0.2">
      <c r="A352" s="21"/>
      <c r="B352" s="2"/>
      <c r="C352" s="2"/>
      <c r="D352" s="2"/>
    </row>
    <row r="353" spans="1:4" ht="12.75" customHeight="1" x14ac:dyDescent="0.2">
      <c r="A353" s="21"/>
      <c r="B353" s="2"/>
      <c r="C353" s="2"/>
      <c r="D353" s="2"/>
    </row>
    <row r="354" spans="1:4" ht="12.75" customHeight="1" x14ac:dyDescent="0.2">
      <c r="A354" s="21"/>
      <c r="B354" s="2"/>
      <c r="C354" s="2"/>
      <c r="D354" s="2"/>
    </row>
    <row r="355" spans="1:4" ht="12.75" customHeight="1" x14ac:dyDescent="0.2">
      <c r="A355" s="21"/>
      <c r="B355" s="2"/>
      <c r="C355" s="2"/>
      <c r="D355" s="2"/>
    </row>
    <row r="356" spans="1:4" ht="12.75" customHeight="1" x14ac:dyDescent="0.2">
      <c r="A356" s="5"/>
      <c r="B356" s="2"/>
      <c r="C356" s="2"/>
      <c r="D356" s="2"/>
    </row>
    <row r="357" spans="1:4" ht="12.75" customHeight="1" x14ac:dyDescent="0.2">
      <c r="A357" s="22" t="str">
        <f>HYPERLINK("javascript:void(0)","bűzpáncél")</f>
        <v>bűzpáncél</v>
      </c>
      <c r="B357" s="21"/>
      <c r="C357" s="21"/>
      <c r="D357" s="21"/>
    </row>
    <row r="358" spans="1:4" ht="12.75" customHeight="1" x14ac:dyDescent="0.2">
      <c r="A358" s="20"/>
      <c r="B358" s="2"/>
      <c r="C358" s="2"/>
      <c r="D358" s="2"/>
    </row>
    <row r="359" spans="1:4" ht="12.75" customHeight="1" x14ac:dyDescent="0.2">
      <c r="A359" s="21"/>
      <c r="B359" s="3" t="s">
        <v>0</v>
      </c>
      <c r="C359" s="20" t="s">
        <v>298</v>
      </c>
      <c r="D359" s="21"/>
    </row>
    <row r="360" spans="1:4" ht="12.75" customHeight="1" x14ac:dyDescent="0.2">
      <c r="A360" s="21"/>
      <c r="B360" s="3" t="s">
        <v>2</v>
      </c>
      <c r="C360" s="20" t="s">
        <v>2322</v>
      </c>
      <c r="D360" s="21"/>
    </row>
    <row r="361" spans="1:4" ht="12.75" customHeight="1" x14ac:dyDescent="0.2">
      <c r="A361" s="21"/>
      <c r="B361" s="3" t="s">
        <v>1840</v>
      </c>
      <c r="C361" s="20" t="s">
        <v>65</v>
      </c>
      <c r="D361" s="21"/>
    </row>
    <row r="362" spans="1:4" ht="12.75" customHeight="1" x14ac:dyDescent="0.2">
      <c r="A362" s="21"/>
      <c r="B362" s="3" t="s">
        <v>9</v>
      </c>
      <c r="C362" s="20" t="s">
        <v>233</v>
      </c>
      <c r="D362" s="21"/>
    </row>
    <row r="363" spans="1:4" ht="12.75" customHeight="1" x14ac:dyDescent="0.2">
      <c r="A363" s="21"/>
      <c r="B363" s="3" t="s">
        <v>11</v>
      </c>
      <c r="C363" s="20" t="s">
        <v>152</v>
      </c>
      <c r="D363" s="21"/>
    </row>
    <row r="364" spans="1:4" ht="12.75" customHeight="1" x14ac:dyDescent="0.2">
      <c r="A364" s="21"/>
      <c r="B364" s="3" t="s">
        <v>16</v>
      </c>
      <c r="C364" s="20"/>
      <c r="D364" s="21"/>
    </row>
    <row r="365" spans="1:4" ht="12.75" customHeight="1" x14ac:dyDescent="0.2">
      <c r="A365" s="21"/>
      <c r="B365" s="3" t="s">
        <v>17</v>
      </c>
      <c r="C365" s="20" t="s">
        <v>19</v>
      </c>
      <c r="D365" s="21"/>
    </row>
    <row r="366" spans="1:4" ht="12.75" customHeight="1" x14ac:dyDescent="0.2">
      <c r="A366" s="21"/>
      <c r="B366" s="20" t="s">
        <v>18</v>
      </c>
      <c r="C366" s="4" t="s">
        <v>163</v>
      </c>
      <c r="D366" s="6" t="str">
        <f>HYPERLINK("javascript:void(0)","bűzmirigy")</f>
        <v>bűzmirigy</v>
      </c>
    </row>
    <row r="367" spans="1:4" ht="12.75" customHeight="1" x14ac:dyDescent="0.2">
      <c r="A367" s="21"/>
      <c r="B367" s="21"/>
      <c r="C367" s="4" t="s">
        <v>44</v>
      </c>
      <c r="D367" s="6" t="str">
        <f>HYPERLINK("javascript:void(0)","hiperpáncél")</f>
        <v>hiperpáncél</v>
      </c>
    </row>
    <row r="368" spans="1:4" ht="12.75" customHeight="1" x14ac:dyDescent="0.2">
      <c r="A368" s="21"/>
      <c r="B368" s="21"/>
      <c r="C368" s="4" t="s">
        <v>244</v>
      </c>
      <c r="D368" s="6" t="str">
        <f>HYPERLINK("javascript:void(0)","sárkány szarv")</f>
        <v>sárkány szarv</v>
      </c>
    </row>
    <row r="369" spans="1:4" ht="12.75" customHeight="1" x14ac:dyDescent="0.2">
      <c r="A369" s="21"/>
      <c r="B369" s="2"/>
      <c r="C369" s="2"/>
      <c r="D369" s="2"/>
    </row>
    <row r="370" spans="1:4" ht="12.75" customHeight="1" x14ac:dyDescent="0.2">
      <c r="A370" s="21"/>
      <c r="B370" s="2"/>
      <c r="C370" s="2"/>
      <c r="D370" s="2"/>
    </row>
    <row r="371" spans="1:4" ht="12.75" customHeight="1" x14ac:dyDescent="0.2">
      <c r="A371" s="21"/>
      <c r="B371" s="2"/>
      <c r="C371" s="2"/>
      <c r="D371" s="2"/>
    </row>
    <row r="372" spans="1:4" ht="12.75" customHeight="1" x14ac:dyDescent="0.2">
      <c r="A372" s="21"/>
      <c r="B372" s="2"/>
      <c r="C372" s="2"/>
      <c r="D372" s="2"/>
    </row>
    <row r="373" spans="1:4" ht="12.75" customHeight="1" x14ac:dyDescent="0.2">
      <c r="A373" s="5"/>
      <c r="B373" s="2"/>
      <c r="C373" s="2"/>
      <c r="D373" s="2"/>
    </row>
    <row r="374" spans="1:4" ht="12.75" customHeight="1" x14ac:dyDescent="0.2">
      <c r="A374" s="22" t="str">
        <f>HYPERLINK("javascript:void(0)","plazmapáncél")</f>
        <v>plazmapáncél</v>
      </c>
      <c r="B374" s="21"/>
      <c r="C374" s="21"/>
      <c r="D374" s="21"/>
    </row>
    <row r="375" spans="1:4" ht="12.75" customHeight="1" x14ac:dyDescent="0.2">
      <c r="A375" s="20"/>
      <c r="B375" s="2"/>
      <c r="C375" s="2"/>
      <c r="D375" s="2"/>
    </row>
    <row r="376" spans="1:4" ht="12.75" customHeight="1" x14ac:dyDescent="0.2">
      <c r="A376" s="21"/>
      <c r="B376" s="3" t="s">
        <v>0</v>
      </c>
      <c r="C376" s="20" t="s">
        <v>187</v>
      </c>
      <c r="D376" s="21"/>
    </row>
    <row r="377" spans="1:4" ht="12.75" customHeight="1" x14ac:dyDescent="0.2">
      <c r="A377" s="21"/>
      <c r="B377" s="3" t="s">
        <v>2</v>
      </c>
      <c r="C377" s="20" t="s">
        <v>2322</v>
      </c>
      <c r="D377" s="21"/>
    </row>
    <row r="378" spans="1:4" ht="12.75" customHeight="1" x14ac:dyDescent="0.2">
      <c r="A378" s="21"/>
      <c r="B378" s="3" t="s">
        <v>1840</v>
      </c>
      <c r="C378" s="20" t="s">
        <v>728</v>
      </c>
      <c r="D378" s="21"/>
    </row>
    <row r="379" spans="1:4" ht="12.75" customHeight="1" x14ac:dyDescent="0.2">
      <c r="A379" s="21"/>
      <c r="B379" s="3" t="s">
        <v>9</v>
      </c>
      <c r="C379" s="20" t="s">
        <v>169</v>
      </c>
      <c r="D379" s="21"/>
    </row>
    <row r="380" spans="1:4" ht="12.75" customHeight="1" x14ac:dyDescent="0.2">
      <c r="A380" s="21"/>
      <c r="B380" s="3" t="s">
        <v>11</v>
      </c>
      <c r="C380" s="20" t="s">
        <v>162</v>
      </c>
      <c r="D380" s="21"/>
    </row>
    <row r="381" spans="1:4" ht="12.75" customHeight="1" x14ac:dyDescent="0.2">
      <c r="A381" s="21"/>
      <c r="B381" s="3" t="s">
        <v>16</v>
      </c>
      <c r="C381" s="20"/>
      <c r="D381" s="21"/>
    </row>
    <row r="382" spans="1:4" ht="12.75" customHeight="1" x14ac:dyDescent="0.2">
      <c r="A382" s="21"/>
      <c r="B382" s="3" t="s">
        <v>17</v>
      </c>
      <c r="C382" s="20" t="s">
        <v>19</v>
      </c>
      <c r="D382" s="21"/>
    </row>
    <row r="383" spans="1:4" ht="12.75" customHeight="1" x14ac:dyDescent="0.2">
      <c r="A383" s="21"/>
      <c r="B383" s="20" t="s">
        <v>18</v>
      </c>
      <c r="C383" s="4" t="s">
        <v>139</v>
      </c>
      <c r="D383" s="6" t="str">
        <f>HYPERLINK("javascript:void(0)","membránplazma")</f>
        <v>membránplazma</v>
      </c>
    </row>
    <row r="384" spans="1:4" ht="12.75" customHeight="1" x14ac:dyDescent="0.2">
      <c r="A384" s="21"/>
      <c r="B384" s="21"/>
      <c r="C384" s="4" t="s">
        <v>44</v>
      </c>
      <c r="D384" s="6" t="str">
        <f>HYPERLINK("javascript:void(0)","bűzpáncél")</f>
        <v>bűzpáncél</v>
      </c>
    </row>
    <row r="385" spans="1:4" ht="12.75" customHeight="1" x14ac:dyDescent="0.2">
      <c r="A385" s="21"/>
      <c r="B385" s="21"/>
      <c r="C385" s="4" t="s">
        <v>67</v>
      </c>
      <c r="D385" s="6" t="str">
        <f>HYPERLINK("javascript:void(0)","sejtmag")</f>
        <v>sejtmag</v>
      </c>
    </row>
    <row r="386" spans="1:4" ht="12.75" customHeight="1" x14ac:dyDescent="0.2">
      <c r="A386" s="21"/>
      <c r="B386" s="2"/>
      <c r="C386" s="2"/>
      <c r="D386" s="2"/>
    </row>
    <row r="387" spans="1:4" ht="12.75" customHeight="1" x14ac:dyDescent="0.2">
      <c r="A387" s="21"/>
      <c r="B387" s="2"/>
      <c r="C387" s="2"/>
      <c r="D387" s="2"/>
    </row>
    <row r="388" spans="1:4" ht="12.75" customHeight="1" x14ac:dyDescent="0.2">
      <c r="A388" s="21"/>
      <c r="B388" s="2"/>
      <c r="C388" s="2"/>
      <c r="D388" s="2"/>
    </row>
    <row r="389" spans="1:4" ht="12.75" customHeight="1" x14ac:dyDescent="0.2">
      <c r="A389" s="21"/>
      <c r="B389" s="2"/>
      <c r="C389" s="2"/>
      <c r="D389" s="2"/>
    </row>
    <row r="390" spans="1:4" ht="12.75" customHeight="1" x14ac:dyDescent="0.2">
      <c r="A390" s="5"/>
      <c r="B390" s="2"/>
      <c r="C390" s="2"/>
      <c r="D390" s="2"/>
    </row>
    <row r="391" spans="1:4" ht="12.75" customHeight="1" x14ac:dyDescent="0.2">
      <c r="A391" s="22" t="str">
        <f>HYPERLINK("javascript:void(0)","körömpáncél")</f>
        <v>körömpáncél</v>
      </c>
      <c r="B391" s="21"/>
      <c r="C391" s="21"/>
      <c r="D391" s="21"/>
    </row>
    <row r="392" spans="1:4" ht="12.75" customHeight="1" x14ac:dyDescent="0.2">
      <c r="A392" s="20"/>
      <c r="B392" s="2"/>
      <c r="C392" s="2"/>
      <c r="D392" s="2"/>
    </row>
    <row r="393" spans="1:4" ht="12.75" customHeight="1" x14ac:dyDescent="0.2">
      <c r="A393" s="21"/>
      <c r="B393" s="3" t="s">
        <v>0</v>
      </c>
      <c r="C393" s="20" t="s">
        <v>107</v>
      </c>
      <c r="D393" s="21"/>
    </row>
    <row r="394" spans="1:4" ht="12.75" customHeight="1" x14ac:dyDescent="0.2">
      <c r="A394" s="21"/>
      <c r="B394" s="3" t="s">
        <v>2</v>
      </c>
      <c r="C394" s="20" t="s">
        <v>2322</v>
      </c>
      <c r="D394" s="21"/>
    </row>
    <row r="395" spans="1:4" ht="12.75" customHeight="1" x14ac:dyDescent="0.2">
      <c r="A395" s="21"/>
      <c r="B395" s="3" t="s">
        <v>1840</v>
      </c>
      <c r="C395" s="20" t="s">
        <v>773</v>
      </c>
      <c r="D395" s="21"/>
    </row>
    <row r="396" spans="1:4" ht="12.75" customHeight="1" x14ac:dyDescent="0.2">
      <c r="A396" s="21"/>
      <c r="B396" s="3" t="s">
        <v>9</v>
      </c>
      <c r="C396" s="20" t="s">
        <v>1255</v>
      </c>
      <c r="D396" s="21"/>
    </row>
    <row r="397" spans="1:4" ht="12.75" customHeight="1" x14ac:dyDescent="0.2">
      <c r="A397" s="21"/>
      <c r="B397" s="3" t="s">
        <v>11</v>
      </c>
      <c r="C397" s="20" t="s">
        <v>191</v>
      </c>
      <c r="D397" s="21"/>
    </row>
    <row r="398" spans="1:4" ht="12.75" customHeight="1" x14ac:dyDescent="0.2">
      <c r="A398" s="21"/>
      <c r="B398" s="3" t="s">
        <v>16</v>
      </c>
      <c r="C398" s="20"/>
      <c r="D398" s="21"/>
    </row>
    <row r="399" spans="1:4" ht="12.75" customHeight="1" x14ac:dyDescent="0.2">
      <c r="A399" s="21"/>
      <c r="B399" s="3" t="s">
        <v>17</v>
      </c>
      <c r="C399" s="20" t="s">
        <v>19</v>
      </c>
      <c r="D399" s="21"/>
    </row>
    <row r="400" spans="1:4" ht="12.75" customHeight="1" x14ac:dyDescent="0.2">
      <c r="A400" s="21"/>
      <c r="B400" s="20" t="s">
        <v>18</v>
      </c>
      <c r="C400" s="4" t="s">
        <v>139</v>
      </c>
      <c r="D400" s="6" t="str">
        <f>HYPERLINK("javascript:void(0)","mágusköpeny")</f>
        <v>mágusköpeny</v>
      </c>
    </row>
    <row r="401" spans="1:4" ht="12.75" customHeight="1" x14ac:dyDescent="0.2">
      <c r="A401" s="21"/>
      <c r="B401" s="21"/>
      <c r="C401" s="4" t="s">
        <v>494</v>
      </c>
      <c r="D401" s="6" t="str">
        <f>HYPERLINK("javascript:void(0)","gigaköröm")</f>
        <v>gigaköröm</v>
      </c>
    </row>
    <row r="402" spans="1:4" ht="12.75" customHeight="1" x14ac:dyDescent="0.2">
      <c r="A402" s="21"/>
      <c r="B402" s="21"/>
      <c r="C402" s="4" t="s">
        <v>44</v>
      </c>
      <c r="D402" s="6" t="str">
        <f>HYPERLINK("javascript:void(0)","plazmapáncél")</f>
        <v>plazmapáncél</v>
      </c>
    </row>
    <row r="403" spans="1:4" ht="12.75" customHeight="1" x14ac:dyDescent="0.2">
      <c r="A403" s="21"/>
      <c r="B403" s="2"/>
      <c r="C403" s="2"/>
      <c r="D403" s="2"/>
    </row>
    <row r="404" spans="1:4" ht="12.75" customHeight="1" x14ac:dyDescent="0.2">
      <c r="A404" s="21"/>
      <c r="B404" s="2"/>
      <c r="C404" s="2"/>
      <c r="D404" s="2"/>
    </row>
    <row r="405" spans="1:4" ht="12.75" customHeight="1" x14ac:dyDescent="0.2">
      <c r="A405" s="21"/>
      <c r="B405" s="2"/>
      <c r="C405" s="2"/>
      <c r="D405" s="2"/>
    </row>
    <row r="406" spans="1:4" ht="12.75" customHeight="1" x14ac:dyDescent="0.2">
      <c r="A406" s="21"/>
      <c r="B406" s="2"/>
      <c r="C406" s="2"/>
      <c r="D406" s="2"/>
    </row>
    <row r="407" spans="1:4" ht="12.75" customHeight="1" x14ac:dyDescent="0.2">
      <c r="A407" s="5"/>
      <c r="B407" s="2"/>
      <c r="C407" s="2"/>
      <c r="D407" s="2"/>
    </row>
    <row r="408" spans="1:4" ht="12.75" customHeight="1" x14ac:dyDescent="0.2">
      <c r="A408" s="22" t="str">
        <f>HYPERLINK("javascript:void(0)","gyíkacél mellény")</f>
        <v>gyíkacél mellény</v>
      </c>
      <c r="B408" s="21"/>
      <c r="C408" s="21"/>
      <c r="D408" s="21"/>
    </row>
    <row r="409" spans="1:4" ht="12.75" customHeight="1" x14ac:dyDescent="0.2">
      <c r="A409" s="20"/>
      <c r="B409" s="2"/>
      <c r="C409" s="2"/>
      <c r="D409" s="2"/>
    </row>
    <row r="410" spans="1:4" ht="12.75" customHeight="1" x14ac:dyDescent="0.2">
      <c r="A410" s="21"/>
      <c r="B410" s="3" t="s">
        <v>0</v>
      </c>
      <c r="C410" s="20" t="s">
        <v>107</v>
      </c>
      <c r="D410" s="21"/>
    </row>
    <row r="411" spans="1:4" ht="12.75" customHeight="1" x14ac:dyDescent="0.2">
      <c r="A411" s="21"/>
      <c r="B411" s="3" t="s">
        <v>2</v>
      </c>
      <c r="C411" s="20" t="s">
        <v>2322</v>
      </c>
      <c r="D411" s="21"/>
    </row>
    <row r="412" spans="1:4" ht="12.75" customHeight="1" x14ac:dyDescent="0.2">
      <c r="A412" s="21"/>
      <c r="B412" s="3" t="s">
        <v>1840</v>
      </c>
      <c r="C412" s="20" t="s">
        <v>719</v>
      </c>
      <c r="D412" s="21"/>
    </row>
    <row r="413" spans="1:4" ht="12.75" customHeight="1" x14ac:dyDescent="0.2">
      <c r="A413" s="21"/>
      <c r="B413" s="3" t="s">
        <v>9</v>
      </c>
      <c r="C413" s="20" t="s">
        <v>198</v>
      </c>
      <c r="D413" s="21"/>
    </row>
    <row r="414" spans="1:4" ht="12.75" customHeight="1" x14ac:dyDescent="0.2">
      <c r="A414" s="21"/>
      <c r="B414" s="3" t="s">
        <v>11</v>
      </c>
      <c r="C414" s="20" t="s">
        <v>279</v>
      </c>
      <c r="D414" s="21"/>
    </row>
    <row r="415" spans="1:4" ht="12.75" customHeight="1" x14ac:dyDescent="0.2">
      <c r="A415" s="21"/>
      <c r="B415" s="3" t="s">
        <v>16</v>
      </c>
      <c r="C415" s="20"/>
      <c r="D415" s="21"/>
    </row>
    <row r="416" spans="1:4" ht="12.75" customHeight="1" x14ac:dyDescent="0.2">
      <c r="A416" s="21"/>
      <c r="B416" s="3" t="s">
        <v>17</v>
      </c>
      <c r="C416" s="20" t="s">
        <v>19</v>
      </c>
      <c r="D416" s="21"/>
    </row>
    <row r="417" spans="1:4" ht="12.75" customHeight="1" x14ac:dyDescent="0.2">
      <c r="A417" s="21"/>
      <c r="B417" s="20" t="s">
        <v>18</v>
      </c>
      <c r="C417" s="4" t="s">
        <v>280</v>
      </c>
      <c r="D417" s="6" t="str">
        <f>HYPERLINK("javascript:void(0)","szent szimbólum")</f>
        <v>szent szimbólum</v>
      </c>
    </row>
    <row r="418" spans="1:4" ht="12.75" customHeight="1" x14ac:dyDescent="0.2">
      <c r="A418" s="21"/>
      <c r="B418" s="21"/>
      <c r="C418" s="4" t="s">
        <v>280</v>
      </c>
      <c r="D418" s="6" t="str">
        <f>HYPERLINK("javascript:void(0)","portgyűrű")</f>
        <v>portgyűrű</v>
      </c>
    </row>
    <row r="419" spans="1:4" ht="12.75" customHeight="1" x14ac:dyDescent="0.2">
      <c r="A419" s="21"/>
      <c r="B419" s="21"/>
      <c r="C419" s="4" t="s">
        <v>1379</v>
      </c>
      <c r="D419" s="6" t="str">
        <f>HYPERLINK("javascript:void(0)","goblinbatka")</f>
        <v>goblinbatka</v>
      </c>
    </row>
    <row r="420" spans="1:4" ht="12.75" customHeight="1" x14ac:dyDescent="0.2">
      <c r="A420" s="21"/>
      <c r="B420" s="2"/>
      <c r="C420" s="2"/>
      <c r="D420" s="2"/>
    </row>
    <row r="421" spans="1:4" ht="12.75" customHeight="1" x14ac:dyDescent="0.2">
      <c r="A421" s="21"/>
      <c r="B421" s="2"/>
      <c r="C421" s="2"/>
      <c r="D421" s="2"/>
    </row>
    <row r="422" spans="1:4" ht="12.75" customHeight="1" x14ac:dyDescent="0.2">
      <c r="A422" s="21"/>
      <c r="B422" s="2"/>
      <c r="C422" s="2"/>
      <c r="D422" s="2"/>
    </row>
    <row r="423" spans="1:4" ht="12.75" customHeight="1" x14ac:dyDescent="0.2">
      <c r="A423" s="21"/>
      <c r="B423" s="2"/>
      <c r="C423" s="2"/>
      <c r="D423" s="2"/>
    </row>
    <row r="424" spans="1:4" ht="12.75" customHeight="1" x14ac:dyDescent="0.2">
      <c r="A424" s="5"/>
      <c r="B424" s="2"/>
      <c r="C424" s="2"/>
      <c r="D424" s="2"/>
    </row>
    <row r="425" spans="1:4" ht="12.75" customHeight="1" x14ac:dyDescent="0.2">
      <c r="A425" s="22" t="str">
        <f>HYPERLINK("javascript:void(0)","könnyű csillámköpeny")</f>
        <v>könnyű csillámköpeny</v>
      </c>
      <c r="B425" s="21"/>
      <c r="C425" s="21"/>
      <c r="D425" s="21"/>
    </row>
    <row r="426" spans="1:4" ht="12.75" customHeight="1" x14ac:dyDescent="0.2">
      <c r="A426" s="20"/>
      <c r="B426" s="2"/>
      <c r="C426" s="2"/>
      <c r="D426" s="2"/>
    </row>
    <row r="427" spans="1:4" ht="12.75" customHeight="1" x14ac:dyDescent="0.2">
      <c r="A427" s="21"/>
      <c r="B427" s="3" t="s">
        <v>0</v>
      </c>
      <c r="C427" s="20" t="s">
        <v>107</v>
      </c>
      <c r="D427" s="21"/>
    </row>
    <row r="428" spans="1:4" ht="12.75" customHeight="1" x14ac:dyDescent="0.2">
      <c r="A428" s="21"/>
      <c r="B428" s="3" t="s">
        <v>2</v>
      </c>
      <c r="C428" s="20" t="s">
        <v>2322</v>
      </c>
      <c r="D428" s="21"/>
    </row>
    <row r="429" spans="1:4" ht="12.75" customHeight="1" x14ac:dyDescent="0.2">
      <c r="A429" s="21"/>
      <c r="B429" s="3" t="s">
        <v>1840</v>
      </c>
      <c r="C429" s="20" t="s">
        <v>937</v>
      </c>
      <c r="D429" s="21"/>
    </row>
    <row r="430" spans="1:4" ht="12.75" customHeight="1" x14ac:dyDescent="0.2">
      <c r="A430" s="21"/>
      <c r="B430" s="3" t="s">
        <v>9</v>
      </c>
      <c r="C430" s="20" t="s">
        <v>2354</v>
      </c>
      <c r="D430" s="21"/>
    </row>
    <row r="431" spans="1:4" ht="12.75" customHeight="1" x14ac:dyDescent="0.2">
      <c r="A431" s="21"/>
      <c r="B431" s="3" t="s">
        <v>11</v>
      </c>
      <c r="C431" s="20" t="s">
        <v>289</v>
      </c>
      <c r="D431" s="21"/>
    </row>
    <row r="432" spans="1:4" ht="12.75" customHeight="1" x14ac:dyDescent="0.2">
      <c r="A432" s="21"/>
      <c r="B432" s="3" t="s">
        <v>16</v>
      </c>
      <c r="C432" s="20"/>
      <c r="D432" s="21"/>
    </row>
    <row r="433" spans="1:4" ht="12.75" customHeight="1" x14ac:dyDescent="0.2">
      <c r="A433" s="21"/>
      <c r="B433" s="3" t="s">
        <v>17</v>
      </c>
      <c r="C433" s="20" t="s">
        <v>19</v>
      </c>
      <c r="D433" s="21"/>
    </row>
    <row r="434" spans="1:4" ht="12.75" customHeight="1" x14ac:dyDescent="0.2">
      <c r="A434" s="21"/>
      <c r="B434" s="20" t="s">
        <v>18</v>
      </c>
      <c r="C434" s="4" t="s">
        <v>139</v>
      </c>
      <c r="D434" s="6" t="str">
        <f>HYPERLINK("javascript:void(0)","sárkányálló suba")</f>
        <v>sárkányálló suba</v>
      </c>
    </row>
    <row r="435" spans="1:4" ht="12.75" customHeight="1" x14ac:dyDescent="0.2">
      <c r="A435" s="21"/>
      <c r="B435" s="21"/>
      <c r="C435" s="4" t="s">
        <v>57</v>
      </c>
      <c r="D435" s="6" t="str">
        <f>HYPERLINK("javascript:void(0)","csillámgöb")</f>
        <v>csillámgöb</v>
      </c>
    </row>
    <row r="436" spans="1:4" ht="12.75" customHeight="1" x14ac:dyDescent="0.2">
      <c r="A436" s="21"/>
      <c r="B436" s="21"/>
      <c r="C436" s="4" t="s">
        <v>44</v>
      </c>
      <c r="D436" s="6" t="str">
        <f>HYPERLINK("javascript:void(0)","ezüstpáncél")</f>
        <v>ezüstpáncél</v>
      </c>
    </row>
    <row r="437" spans="1:4" ht="12.75" customHeight="1" x14ac:dyDescent="0.2">
      <c r="A437" s="21"/>
      <c r="B437" s="2"/>
      <c r="C437" s="2"/>
      <c r="D437" s="2"/>
    </row>
    <row r="438" spans="1:4" ht="12.75" customHeight="1" x14ac:dyDescent="0.2">
      <c r="A438" s="21"/>
      <c r="B438" s="2"/>
      <c r="C438" s="2"/>
      <c r="D438" s="2"/>
    </row>
    <row r="439" spans="1:4" ht="12.75" customHeight="1" x14ac:dyDescent="0.2">
      <c r="A439" s="21"/>
      <c r="B439" s="2"/>
      <c r="C439" s="2"/>
      <c r="D439" s="2"/>
    </row>
    <row r="440" spans="1:4" ht="12.75" customHeight="1" x14ac:dyDescent="0.2">
      <c r="A440" s="21"/>
      <c r="B440" s="2"/>
      <c r="C440" s="2"/>
      <c r="D440" s="2"/>
    </row>
    <row r="441" spans="1:4" ht="12.75" customHeight="1" x14ac:dyDescent="0.2">
      <c r="A441" s="5"/>
      <c r="B441" s="2"/>
      <c r="C441" s="2"/>
      <c r="D441" s="2"/>
    </row>
    <row r="442" spans="1:4" ht="12.75" customHeight="1" x14ac:dyDescent="0.2">
      <c r="A442" s="22" t="str">
        <f>HYPERLINK("javascript:void(0)","szélpáncél")</f>
        <v>szélpáncél</v>
      </c>
      <c r="B442" s="21"/>
      <c r="C442" s="21"/>
      <c r="D442" s="21"/>
    </row>
    <row r="443" spans="1:4" ht="12.75" customHeight="1" x14ac:dyDescent="0.2">
      <c r="A443" s="20"/>
      <c r="B443" s="2"/>
      <c r="C443" s="2"/>
      <c r="D443" s="2"/>
    </row>
    <row r="444" spans="1:4" ht="12.75" customHeight="1" x14ac:dyDescent="0.2">
      <c r="A444" s="21"/>
      <c r="B444" s="3" t="s">
        <v>0</v>
      </c>
      <c r="C444" s="20" t="s">
        <v>324</v>
      </c>
      <c r="D444" s="21"/>
    </row>
    <row r="445" spans="1:4" ht="12.75" customHeight="1" x14ac:dyDescent="0.2">
      <c r="A445" s="21"/>
      <c r="B445" s="3" t="s">
        <v>2</v>
      </c>
      <c r="C445" s="20" t="s">
        <v>2322</v>
      </c>
      <c r="D445" s="21"/>
    </row>
    <row r="446" spans="1:4" ht="12.75" customHeight="1" x14ac:dyDescent="0.2">
      <c r="A446" s="21"/>
      <c r="B446" s="3" t="s">
        <v>1840</v>
      </c>
      <c r="C446" s="20" t="s">
        <v>302</v>
      </c>
      <c r="D446" s="21"/>
    </row>
    <row r="447" spans="1:4" ht="12.75" customHeight="1" x14ac:dyDescent="0.2">
      <c r="A447" s="21"/>
      <c r="B447" s="3" t="s">
        <v>9</v>
      </c>
      <c r="C447" s="20" t="s">
        <v>704</v>
      </c>
      <c r="D447" s="21"/>
    </row>
    <row r="448" spans="1:4" ht="12.75" customHeight="1" x14ac:dyDescent="0.2">
      <c r="A448" s="21"/>
      <c r="B448" s="3" t="s">
        <v>11</v>
      </c>
      <c r="C448" s="20" t="s">
        <v>243</v>
      </c>
      <c r="D448" s="21"/>
    </row>
    <row r="449" spans="1:4" ht="12.75" customHeight="1" x14ac:dyDescent="0.2">
      <c r="A449" s="21"/>
      <c r="B449" s="3" t="s">
        <v>16</v>
      </c>
      <c r="C449" s="20"/>
      <c r="D449" s="21"/>
    </row>
    <row r="450" spans="1:4" ht="12.75" customHeight="1" x14ac:dyDescent="0.2">
      <c r="A450" s="21"/>
      <c r="B450" s="3" t="s">
        <v>17</v>
      </c>
      <c r="C450" s="20" t="s">
        <v>19</v>
      </c>
      <c r="D450" s="21"/>
    </row>
    <row r="451" spans="1:4" ht="12.75" customHeight="1" x14ac:dyDescent="0.2">
      <c r="A451" s="21"/>
      <c r="B451" s="20" t="s">
        <v>18</v>
      </c>
      <c r="C451" s="4" t="s">
        <v>117</v>
      </c>
      <c r="D451" s="6" t="str">
        <f>HYPERLINK("javascript:void(0)","sárkányálló suba")</f>
        <v>sárkányálló suba</v>
      </c>
    </row>
    <row r="452" spans="1:4" ht="12.75" customHeight="1" x14ac:dyDescent="0.2">
      <c r="A452" s="21"/>
      <c r="B452" s="21"/>
      <c r="C452" s="4" t="s">
        <v>77</v>
      </c>
      <c r="D452" s="6" t="str">
        <f>HYPERLINK("javascript:void(0)","kompózium")</f>
        <v>kompózium</v>
      </c>
    </row>
    <row r="453" spans="1:4" ht="12.75" customHeight="1" x14ac:dyDescent="0.2">
      <c r="A453" s="21"/>
      <c r="B453" s="21"/>
      <c r="C453" s="4" t="s">
        <v>756</v>
      </c>
      <c r="D453" s="6" t="str">
        <f>HYPERLINK("javascript:void(0)","légige")</f>
        <v>légige</v>
      </c>
    </row>
    <row r="454" spans="1:4" ht="12.75" customHeight="1" x14ac:dyDescent="0.2">
      <c r="A454" s="21"/>
      <c r="B454" s="2"/>
      <c r="C454" s="2"/>
      <c r="D454" s="2"/>
    </row>
    <row r="455" spans="1:4" ht="12.75" customHeight="1" x14ac:dyDescent="0.2">
      <c r="A455" s="21"/>
      <c r="B455" s="2"/>
      <c r="C455" s="2"/>
      <c r="D455" s="2"/>
    </row>
    <row r="456" spans="1:4" ht="12.75" customHeight="1" x14ac:dyDescent="0.2">
      <c r="A456" s="21"/>
      <c r="B456" s="2"/>
      <c r="C456" s="2"/>
      <c r="D456" s="2"/>
    </row>
    <row r="457" spans="1:4" ht="12.75" customHeight="1" x14ac:dyDescent="0.2">
      <c r="A457" s="21"/>
      <c r="B457" s="2"/>
      <c r="C457" s="2"/>
      <c r="D457" s="2"/>
    </row>
    <row r="458" spans="1:4" ht="12.75" customHeight="1" x14ac:dyDescent="0.2">
      <c r="A458" s="5"/>
      <c r="B458" s="2"/>
      <c r="C458" s="2"/>
      <c r="D458" s="2"/>
    </row>
    <row r="459" spans="1:4" ht="12.75" customHeight="1" x14ac:dyDescent="0.2">
      <c r="A459" s="22" t="str">
        <f>HYPERLINK("javascript:void(0)","lángpáncél")</f>
        <v>lángpáncél</v>
      </c>
      <c r="B459" s="21"/>
      <c r="C459" s="21"/>
      <c r="D459" s="21"/>
    </row>
    <row r="460" spans="1:4" ht="12.75" customHeight="1" x14ac:dyDescent="0.2">
      <c r="A460" s="20"/>
      <c r="B460" s="2"/>
      <c r="C460" s="2"/>
      <c r="D460" s="2"/>
    </row>
    <row r="461" spans="1:4" ht="12.75" customHeight="1" x14ac:dyDescent="0.2">
      <c r="A461" s="21"/>
      <c r="B461" s="3" t="s">
        <v>0</v>
      </c>
      <c r="C461" s="20" t="s">
        <v>324</v>
      </c>
      <c r="D461" s="21"/>
    </row>
    <row r="462" spans="1:4" ht="12.75" customHeight="1" x14ac:dyDescent="0.2">
      <c r="A462" s="21"/>
      <c r="B462" s="3" t="s">
        <v>2</v>
      </c>
      <c r="C462" s="20" t="s">
        <v>2322</v>
      </c>
      <c r="D462" s="21"/>
    </row>
    <row r="463" spans="1:4" ht="12.75" customHeight="1" x14ac:dyDescent="0.2">
      <c r="A463" s="21"/>
      <c r="B463" s="3" t="s">
        <v>1840</v>
      </c>
      <c r="C463" s="20" t="s">
        <v>255</v>
      </c>
      <c r="D463" s="21"/>
    </row>
    <row r="464" spans="1:4" ht="12.75" customHeight="1" x14ac:dyDescent="0.2">
      <c r="A464" s="21"/>
      <c r="B464" s="3" t="s">
        <v>9</v>
      </c>
      <c r="C464" s="20" t="s">
        <v>36</v>
      </c>
      <c r="D464" s="21"/>
    </row>
    <row r="465" spans="1:4" ht="12.75" customHeight="1" x14ac:dyDescent="0.2">
      <c r="A465" s="21"/>
      <c r="B465" s="3" t="s">
        <v>11</v>
      </c>
      <c r="C465" s="20" t="s">
        <v>2358</v>
      </c>
      <c r="D465" s="21"/>
    </row>
    <row r="466" spans="1:4" ht="12.75" customHeight="1" x14ac:dyDescent="0.2">
      <c r="A466" s="21"/>
      <c r="B466" s="3" t="s">
        <v>16</v>
      </c>
      <c r="C466" s="20"/>
      <c r="D466" s="21"/>
    </row>
    <row r="467" spans="1:4" ht="12.75" customHeight="1" x14ac:dyDescent="0.2">
      <c r="A467" s="21"/>
      <c r="B467" s="3" t="s">
        <v>17</v>
      </c>
      <c r="C467" s="20" t="s">
        <v>19</v>
      </c>
      <c r="D467" s="21"/>
    </row>
    <row r="468" spans="1:4" ht="12.75" customHeight="1" x14ac:dyDescent="0.2">
      <c r="A468" s="21"/>
      <c r="B468" s="20" t="s">
        <v>18</v>
      </c>
      <c r="C468" s="4" t="s">
        <v>117</v>
      </c>
      <c r="D468" s="6" t="str">
        <f>HYPERLINK("javascript:void(0)","sodrony boxeralsó")</f>
        <v>sodrony boxeralsó</v>
      </c>
    </row>
    <row r="469" spans="1:4" ht="12.75" customHeight="1" x14ac:dyDescent="0.2">
      <c r="A469" s="21"/>
      <c r="B469" s="21"/>
      <c r="C469" s="4" t="s">
        <v>77</v>
      </c>
      <c r="D469" s="6" t="str">
        <f>HYPERLINK("javascript:void(0)","kompózium")</f>
        <v>kompózium</v>
      </c>
    </row>
    <row r="470" spans="1:4" ht="12.75" customHeight="1" x14ac:dyDescent="0.2">
      <c r="A470" s="21"/>
      <c r="B470" s="21"/>
      <c r="C470" s="4" t="s">
        <v>756</v>
      </c>
      <c r="D470" s="6" t="str">
        <f>HYPERLINK("javascript:void(0)","tűzige")</f>
        <v>tűzige</v>
      </c>
    </row>
    <row r="471" spans="1:4" ht="12.75" customHeight="1" x14ac:dyDescent="0.2">
      <c r="A471" s="21"/>
      <c r="B471" s="2"/>
      <c r="C471" s="2"/>
      <c r="D471" s="2"/>
    </row>
    <row r="472" spans="1:4" ht="12.75" customHeight="1" x14ac:dyDescent="0.2">
      <c r="A472" s="21"/>
      <c r="B472" s="2"/>
      <c r="C472" s="2"/>
      <c r="D472" s="2"/>
    </row>
    <row r="473" spans="1:4" ht="12.75" customHeight="1" x14ac:dyDescent="0.2">
      <c r="A473" s="21"/>
      <c r="B473" s="2"/>
      <c r="C473" s="2"/>
      <c r="D473" s="2"/>
    </row>
    <row r="474" spans="1:4" ht="12.75" customHeight="1" x14ac:dyDescent="0.2">
      <c r="A474" s="21"/>
      <c r="B474" s="2"/>
      <c r="C474" s="2"/>
      <c r="D474" s="2"/>
    </row>
    <row r="475" spans="1:4" ht="12.75" customHeight="1" x14ac:dyDescent="0.2">
      <c r="A475" s="5"/>
      <c r="B475" s="2"/>
      <c r="C475" s="2"/>
      <c r="D475" s="2"/>
    </row>
    <row r="476" spans="1:4" ht="12.75" customHeight="1" x14ac:dyDescent="0.2">
      <c r="A476" s="22" t="str">
        <f>HYPERLINK("javascript:void(0)","jégpáncél")</f>
        <v>jégpáncél</v>
      </c>
      <c r="B476" s="21"/>
      <c r="C476" s="21"/>
      <c r="D476" s="21"/>
    </row>
    <row r="477" spans="1:4" ht="12.75" customHeight="1" x14ac:dyDescent="0.2">
      <c r="A477" s="20"/>
      <c r="B477" s="2"/>
      <c r="C477" s="2"/>
      <c r="D477" s="2"/>
    </row>
    <row r="478" spans="1:4" ht="12.75" customHeight="1" x14ac:dyDescent="0.2">
      <c r="A478" s="21"/>
      <c r="B478" s="3" t="s">
        <v>0</v>
      </c>
      <c r="C478" s="20" t="s">
        <v>324</v>
      </c>
      <c r="D478" s="21"/>
    </row>
    <row r="479" spans="1:4" ht="12.75" customHeight="1" x14ac:dyDescent="0.2">
      <c r="A479" s="21"/>
      <c r="B479" s="3" t="s">
        <v>2</v>
      </c>
      <c r="C479" s="20" t="s">
        <v>2322</v>
      </c>
      <c r="D479" s="21"/>
    </row>
    <row r="480" spans="1:4" ht="12.75" customHeight="1" x14ac:dyDescent="0.2">
      <c r="A480" s="21"/>
      <c r="B480" s="3" t="s">
        <v>1840</v>
      </c>
      <c r="C480" s="20" t="s">
        <v>255</v>
      </c>
      <c r="D480" s="21"/>
    </row>
    <row r="481" spans="1:4" ht="12.75" customHeight="1" x14ac:dyDescent="0.2">
      <c r="A481" s="21"/>
      <c r="B481" s="3" t="s">
        <v>9</v>
      </c>
      <c r="C481" s="20" t="s">
        <v>135</v>
      </c>
      <c r="D481" s="21"/>
    </row>
    <row r="482" spans="1:4" ht="12.75" customHeight="1" x14ac:dyDescent="0.2">
      <c r="A482" s="21"/>
      <c r="B482" s="3" t="s">
        <v>11</v>
      </c>
      <c r="C482" s="20" t="s">
        <v>259</v>
      </c>
      <c r="D482" s="21"/>
    </row>
    <row r="483" spans="1:4" ht="12.75" customHeight="1" x14ac:dyDescent="0.2">
      <c r="A483" s="21"/>
      <c r="B483" s="3" t="s">
        <v>16</v>
      </c>
      <c r="C483" s="20"/>
      <c r="D483" s="21"/>
    </row>
    <row r="484" spans="1:4" ht="12.75" customHeight="1" x14ac:dyDescent="0.2">
      <c r="A484" s="21"/>
      <c r="B484" s="3" t="s">
        <v>17</v>
      </c>
      <c r="C484" s="20" t="s">
        <v>19</v>
      </c>
      <c r="D484" s="21"/>
    </row>
    <row r="485" spans="1:4" ht="12.75" customHeight="1" x14ac:dyDescent="0.2">
      <c r="A485" s="21"/>
      <c r="B485" s="20" t="s">
        <v>18</v>
      </c>
      <c r="C485" s="4" t="s">
        <v>117</v>
      </c>
      <c r="D485" s="6" t="str">
        <f>HYPERLINK("javascript:void(0)","rubin láncing")</f>
        <v>rubin láncing</v>
      </c>
    </row>
    <row r="486" spans="1:4" ht="12.75" customHeight="1" x14ac:dyDescent="0.2">
      <c r="A486" s="21"/>
      <c r="B486" s="21"/>
      <c r="C486" s="4" t="s">
        <v>77</v>
      </c>
      <c r="D486" s="6" t="str">
        <f>HYPERLINK("javascript:void(0)","kompózium")</f>
        <v>kompózium</v>
      </c>
    </row>
    <row r="487" spans="1:4" ht="12.75" customHeight="1" x14ac:dyDescent="0.2">
      <c r="A487" s="21"/>
      <c r="B487" s="21"/>
      <c r="C487" s="4" t="s">
        <v>756</v>
      </c>
      <c r="D487" s="6" t="str">
        <f>HYPERLINK("javascript:void(0)","vízige")</f>
        <v>vízige</v>
      </c>
    </row>
    <row r="488" spans="1:4" ht="12.75" customHeight="1" x14ac:dyDescent="0.2">
      <c r="A488" s="21"/>
      <c r="B488" s="2"/>
      <c r="C488" s="2"/>
      <c r="D488" s="2"/>
    </row>
    <row r="489" spans="1:4" ht="12.75" customHeight="1" x14ac:dyDescent="0.2">
      <c r="A489" s="21"/>
      <c r="B489" s="2"/>
      <c r="C489" s="2"/>
      <c r="D489" s="2"/>
    </row>
    <row r="490" spans="1:4" ht="12.75" customHeight="1" x14ac:dyDescent="0.2">
      <c r="A490" s="21"/>
      <c r="B490" s="2"/>
      <c r="C490" s="2"/>
      <c r="D490" s="2"/>
    </row>
    <row r="491" spans="1:4" ht="12.75" customHeight="1" x14ac:dyDescent="0.2">
      <c r="A491" s="21"/>
      <c r="B491" s="2"/>
      <c r="C491" s="2"/>
      <c r="D491" s="2"/>
    </row>
    <row r="492" spans="1:4" ht="12.75" customHeight="1" x14ac:dyDescent="0.2">
      <c r="A492" s="5"/>
      <c r="B492" s="2"/>
      <c r="C492" s="2"/>
      <c r="D492" s="2"/>
    </row>
    <row r="493" spans="1:4" ht="12.75" customHeight="1" x14ac:dyDescent="0.2">
      <c r="A493" s="22" t="str">
        <f>HYPERLINK("javascript:void(0)","gránitpáncél")</f>
        <v>gránitpáncél</v>
      </c>
      <c r="B493" s="21"/>
      <c r="C493" s="21"/>
      <c r="D493" s="21"/>
    </row>
    <row r="494" spans="1:4" ht="12.75" customHeight="1" x14ac:dyDescent="0.2">
      <c r="A494" s="20"/>
      <c r="B494" s="2"/>
      <c r="C494" s="2"/>
      <c r="D494" s="2"/>
    </row>
    <row r="495" spans="1:4" ht="12.75" customHeight="1" x14ac:dyDescent="0.2">
      <c r="A495" s="21"/>
      <c r="B495" s="3" t="s">
        <v>0</v>
      </c>
      <c r="C495" s="20" t="s">
        <v>324</v>
      </c>
      <c r="D495" s="21"/>
    </row>
    <row r="496" spans="1:4" ht="12.75" customHeight="1" x14ac:dyDescent="0.2">
      <c r="A496" s="21"/>
      <c r="B496" s="3" t="s">
        <v>2</v>
      </c>
      <c r="C496" s="20" t="s">
        <v>2322</v>
      </c>
      <c r="D496" s="21"/>
    </row>
    <row r="497" spans="1:4" ht="12.75" customHeight="1" x14ac:dyDescent="0.2">
      <c r="A497" s="21"/>
      <c r="B497" s="3" t="s">
        <v>1840</v>
      </c>
      <c r="C497" s="20" t="s">
        <v>281</v>
      </c>
      <c r="D497" s="21"/>
    </row>
    <row r="498" spans="1:4" ht="12.75" customHeight="1" x14ac:dyDescent="0.2">
      <c r="A498" s="21"/>
      <c r="B498" s="3" t="s">
        <v>9</v>
      </c>
      <c r="C498" s="20" t="s">
        <v>236</v>
      </c>
      <c r="D498" s="21"/>
    </row>
    <row r="499" spans="1:4" ht="12.75" customHeight="1" x14ac:dyDescent="0.2">
      <c r="A499" s="21"/>
      <c r="B499" s="3" t="s">
        <v>11</v>
      </c>
      <c r="C499" s="20" t="s">
        <v>2361</v>
      </c>
      <c r="D499" s="21"/>
    </row>
    <row r="500" spans="1:4" ht="12.75" customHeight="1" x14ac:dyDescent="0.2">
      <c r="A500" s="21"/>
      <c r="B500" s="3" t="s">
        <v>16</v>
      </c>
      <c r="C500" s="20"/>
      <c r="D500" s="21"/>
    </row>
    <row r="501" spans="1:4" ht="12.75" customHeight="1" x14ac:dyDescent="0.2">
      <c r="A501" s="21"/>
      <c r="B501" s="3" t="s">
        <v>17</v>
      </c>
      <c r="C501" s="20" t="s">
        <v>19</v>
      </c>
      <c r="D501" s="21"/>
    </row>
    <row r="502" spans="1:4" ht="12.75" customHeight="1" x14ac:dyDescent="0.2">
      <c r="A502" s="21"/>
      <c r="B502" s="20" t="s">
        <v>18</v>
      </c>
      <c r="C502" s="4" t="s">
        <v>117</v>
      </c>
      <c r="D502" s="6" t="str">
        <f>HYPERLINK("javascript:void(0)","smaragd láncing")</f>
        <v>smaragd láncing</v>
      </c>
    </row>
    <row r="503" spans="1:4" ht="12.75" customHeight="1" x14ac:dyDescent="0.2">
      <c r="A503" s="21"/>
      <c r="B503" s="21"/>
      <c r="C503" s="4" t="s">
        <v>77</v>
      </c>
      <c r="D503" s="6" t="str">
        <f>HYPERLINK("javascript:void(0)","kompózium")</f>
        <v>kompózium</v>
      </c>
    </row>
    <row r="504" spans="1:4" ht="12.75" customHeight="1" x14ac:dyDescent="0.2">
      <c r="A504" s="21"/>
      <c r="B504" s="21"/>
      <c r="C504" s="4" t="s">
        <v>756</v>
      </c>
      <c r="D504" s="6" t="str">
        <f>HYPERLINK("javascript:void(0)","földige")</f>
        <v>földige</v>
      </c>
    </row>
    <row r="505" spans="1:4" ht="12.75" customHeight="1" x14ac:dyDescent="0.2">
      <c r="A505" s="21"/>
      <c r="B505" s="2"/>
      <c r="C505" s="2"/>
      <c r="D505" s="2"/>
    </row>
    <row r="506" spans="1:4" ht="12.75" customHeight="1" x14ac:dyDescent="0.2">
      <c r="A506" s="21"/>
      <c r="B506" s="2"/>
      <c r="C506" s="2"/>
      <c r="D506" s="2"/>
    </row>
    <row r="507" spans="1:4" ht="12.75" customHeight="1" x14ac:dyDescent="0.2">
      <c r="A507" s="21"/>
      <c r="B507" s="2"/>
      <c r="C507" s="2"/>
      <c r="D507" s="2"/>
    </row>
    <row r="508" spans="1:4" ht="12.75" customHeight="1" x14ac:dyDescent="0.2">
      <c r="A508" s="21"/>
      <c r="B508" s="2"/>
      <c r="C508" s="2"/>
      <c r="D508" s="2"/>
    </row>
    <row r="509" spans="1:4" ht="12.75" customHeight="1" x14ac:dyDescent="0.2">
      <c r="A509" s="5"/>
      <c r="B509" s="2"/>
      <c r="C509" s="2"/>
      <c r="D509" s="2"/>
    </row>
    <row r="510" spans="1:4" ht="12.75" customHeight="1" x14ac:dyDescent="0.2">
      <c r="A510" s="22" t="str">
        <f>HYPERLINK("javascript:void(0)","sárpáncél")</f>
        <v>sárpáncél</v>
      </c>
      <c r="B510" s="21"/>
      <c r="C510" s="21"/>
      <c r="D510" s="21"/>
    </row>
    <row r="511" spans="1:4" ht="12.75" customHeight="1" x14ac:dyDescent="0.2">
      <c r="A511" s="20"/>
      <c r="B511" s="2"/>
      <c r="C511" s="2"/>
      <c r="D511" s="2"/>
    </row>
    <row r="512" spans="1:4" ht="12.75" customHeight="1" x14ac:dyDescent="0.2">
      <c r="A512" s="21"/>
      <c r="B512" s="3" t="s">
        <v>0</v>
      </c>
      <c r="C512" s="20" t="s">
        <v>178</v>
      </c>
      <c r="D512" s="21"/>
    </row>
    <row r="513" spans="1:4" ht="12.75" customHeight="1" x14ac:dyDescent="0.2">
      <c r="A513" s="21"/>
      <c r="B513" s="3" t="s">
        <v>2</v>
      </c>
      <c r="C513" s="20" t="s">
        <v>2322</v>
      </c>
      <c r="D513" s="21"/>
    </row>
    <row r="514" spans="1:4" ht="12.75" customHeight="1" x14ac:dyDescent="0.2">
      <c r="A514" s="21"/>
      <c r="B514" s="3" t="s">
        <v>1840</v>
      </c>
      <c r="C514" s="20" t="s">
        <v>883</v>
      </c>
      <c r="D514" s="21"/>
    </row>
    <row r="515" spans="1:4" ht="12.75" customHeight="1" x14ac:dyDescent="0.2">
      <c r="A515" s="21"/>
      <c r="B515" s="3" t="s">
        <v>9</v>
      </c>
      <c r="C515" s="20" t="s">
        <v>200</v>
      </c>
      <c r="D515" s="21"/>
    </row>
    <row r="516" spans="1:4" ht="12.75" customHeight="1" x14ac:dyDescent="0.2">
      <c r="A516" s="21"/>
      <c r="B516" s="3" t="s">
        <v>11</v>
      </c>
      <c r="C516" s="20" t="s">
        <v>289</v>
      </c>
      <c r="D516" s="21"/>
    </row>
    <row r="517" spans="1:4" ht="12.75" customHeight="1" x14ac:dyDescent="0.2">
      <c r="A517" s="21"/>
      <c r="B517" s="3" t="s">
        <v>16</v>
      </c>
      <c r="C517" s="20"/>
      <c r="D517" s="21"/>
    </row>
    <row r="518" spans="1:4" ht="12.75" customHeight="1" x14ac:dyDescent="0.2">
      <c r="A518" s="21"/>
      <c r="B518" s="3" t="s">
        <v>17</v>
      </c>
      <c r="C518" s="20" t="s">
        <v>19</v>
      </c>
      <c r="D518" s="21"/>
    </row>
    <row r="519" spans="1:4" ht="12.75" customHeight="1" x14ac:dyDescent="0.2">
      <c r="A519" s="21"/>
      <c r="B519" s="20" t="s">
        <v>18</v>
      </c>
      <c r="C519" s="4" t="s">
        <v>44</v>
      </c>
      <c r="D519" s="6" t="str">
        <f>HYPERLINK("javascript:void(0)","jégpáncél")</f>
        <v>jégpáncél</v>
      </c>
    </row>
    <row r="520" spans="1:4" ht="12.75" customHeight="1" x14ac:dyDescent="0.2">
      <c r="A520" s="21"/>
      <c r="B520" s="21"/>
      <c r="C520" s="4" t="s">
        <v>44</v>
      </c>
      <c r="D520" s="6" t="str">
        <f>HYPERLINK("javascript:void(0)","gránitpáncél")</f>
        <v>gránitpáncél</v>
      </c>
    </row>
    <row r="521" spans="1:4" ht="12.75" customHeight="1" x14ac:dyDescent="0.2">
      <c r="A521" s="21"/>
      <c r="B521" s="21"/>
      <c r="C521" s="4" t="s">
        <v>232</v>
      </c>
      <c r="D521" s="6" t="str">
        <f>HYPERLINK("javascript:void(0)","hiperzsír")</f>
        <v>hiperzsír</v>
      </c>
    </row>
    <row r="522" spans="1:4" ht="12.75" customHeight="1" x14ac:dyDescent="0.2">
      <c r="A522" s="21"/>
      <c r="B522" s="2"/>
      <c r="C522" s="2"/>
      <c r="D522" s="2"/>
    </row>
    <row r="523" spans="1:4" ht="12.75" customHeight="1" x14ac:dyDescent="0.2">
      <c r="A523" s="21"/>
      <c r="B523" s="2"/>
      <c r="C523" s="2"/>
      <c r="D523" s="2"/>
    </row>
    <row r="524" spans="1:4" ht="12.75" customHeight="1" x14ac:dyDescent="0.2">
      <c r="A524" s="21"/>
      <c r="B524" s="2"/>
      <c r="C524" s="2"/>
      <c r="D524" s="2"/>
    </row>
    <row r="525" spans="1:4" ht="12.75" customHeight="1" x14ac:dyDescent="0.2">
      <c r="A525" s="21"/>
      <c r="B525" s="2"/>
      <c r="C525" s="2"/>
      <c r="D525" s="2"/>
    </row>
    <row r="526" spans="1:4" ht="12.75" customHeight="1" x14ac:dyDescent="0.2">
      <c r="A526" s="5"/>
      <c r="B526" s="2"/>
      <c r="C526" s="2"/>
      <c r="D526" s="2"/>
    </row>
    <row r="527" spans="1:4" ht="12.75" customHeight="1" x14ac:dyDescent="0.2">
      <c r="A527" s="22" t="str">
        <f>HYPERLINK("javascript:void(0)","gőzpáncél")</f>
        <v>gőzpáncél</v>
      </c>
      <c r="B527" s="21"/>
      <c r="C527" s="21"/>
      <c r="D527" s="21"/>
    </row>
    <row r="528" spans="1:4" ht="12.75" customHeight="1" x14ac:dyDescent="0.2">
      <c r="A528" s="20"/>
      <c r="B528" s="2"/>
      <c r="C528" s="2"/>
      <c r="D528" s="2"/>
    </row>
    <row r="529" spans="1:4" ht="12.75" customHeight="1" x14ac:dyDescent="0.2">
      <c r="A529" s="21"/>
      <c r="B529" s="3" t="s">
        <v>0</v>
      </c>
      <c r="C529" s="20" t="s">
        <v>178</v>
      </c>
      <c r="D529" s="21"/>
    </row>
    <row r="530" spans="1:4" ht="12.75" customHeight="1" x14ac:dyDescent="0.2">
      <c r="A530" s="21"/>
      <c r="B530" s="3" t="s">
        <v>2</v>
      </c>
      <c r="C530" s="20" t="s">
        <v>2322</v>
      </c>
      <c r="D530" s="21"/>
    </row>
    <row r="531" spans="1:4" ht="12.75" customHeight="1" x14ac:dyDescent="0.2">
      <c r="A531" s="21"/>
      <c r="B531" s="3" t="s">
        <v>1840</v>
      </c>
      <c r="C531" s="20" t="s">
        <v>874</v>
      </c>
      <c r="D531" s="21"/>
    </row>
    <row r="532" spans="1:4" ht="12.75" customHeight="1" x14ac:dyDescent="0.2">
      <c r="A532" s="21"/>
      <c r="B532" s="3" t="s">
        <v>9</v>
      </c>
      <c r="C532" s="20" t="s">
        <v>53</v>
      </c>
      <c r="D532" s="21"/>
    </row>
    <row r="533" spans="1:4" ht="12.75" customHeight="1" x14ac:dyDescent="0.2">
      <c r="A533" s="21"/>
      <c r="B533" s="3" t="s">
        <v>11</v>
      </c>
      <c r="C533" s="20" t="s">
        <v>289</v>
      </c>
      <c r="D533" s="21"/>
    </row>
    <row r="534" spans="1:4" ht="12.75" customHeight="1" x14ac:dyDescent="0.2">
      <c r="A534" s="21"/>
      <c r="B534" s="3" t="s">
        <v>16</v>
      </c>
      <c r="C534" s="20"/>
      <c r="D534" s="21"/>
    </row>
    <row r="535" spans="1:4" ht="12.75" customHeight="1" x14ac:dyDescent="0.2">
      <c r="A535" s="21"/>
      <c r="B535" s="3" t="s">
        <v>17</v>
      </c>
      <c r="C535" s="20" t="s">
        <v>19</v>
      </c>
      <c r="D535" s="21"/>
    </row>
    <row r="536" spans="1:4" ht="12.75" customHeight="1" x14ac:dyDescent="0.2">
      <c r="A536" s="21"/>
      <c r="B536" s="20" t="s">
        <v>18</v>
      </c>
      <c r="C536" s="4" t="s">
        <v>44</v>
      </c>
      <c r="D536" s="6" t="str">
        <f>HYPERLINK("javascript:void(0)","szélpáncél")</f>
        <v>szélpáncél</v>
      </c>
    </row>
    <row r="537" spans="1:4" ht="12.75" customHeight="1" x14ac:dyDescent="0.2">
      <c r="A537" s="21"/>
      <c r="B537" s="21"/>
      <c r="C537" s="4" t="s">
        <v>44</v>
      </c>
      <c r="D537" s="6" t="str">
        <f>HYPERLINK("javascript:void(0)","lángpáncél")</f>
        <v>lángpáncél</v>
      </c>
    </row>
    <row r="538" spans="1:4" ht="12.75" customHeight="1" x14ac:dyDescent="0.2">
      <c r="A538" s="21"/>
      <c r="B538" s="21"/>
      <c r="C538" s="4" t="s">
        <v>232</v>
      </c>
      <c r="D538" s="6" t="str">
        <f>HYPERLINK("javascript:void(0)","hiperzsír")</f>
        <v>hiperzsír</v>
      </c>
    </row>
    <row r="539" spans="1:4" ht="12.75" customHeight="1" x14ac:dyDescent="0.2">
      <c r="A539" s="21"/>
      <c r="B539" s="2"/>
      <c r="C539" s="2"/>
      <c r="D539" s="2"/>
    </row>
    <row r="540" spans="1:4" ht="12.75" customHeight="1" x14ac:dyDescent="0.2">
      <c r="A540" s="21"/>
      <c r="B540" s="2"/>
      <c r="C540" s="2"/>
      <c r="D540" s="2"/>
    </row>
    <row r="541" spans="1:4" ht="12.75" customHeight="1" x14ac:dyDescent="0.2">
      <c r="A541" s="21"/>
      <c r="B541" s="2"/>
      <c r="C541" s="2"/>
      <c r="D541" s="2"/>
    </row>
    <row r="542" spans="1:4" ht="12.75" customHeight="1" x14ac:dyDescent="0.2">
      <c r="A542" s="21"/>
      <c r="B542" s="2"/>
      <c r="C542" s="2"/>
      <c r="D542" s="2"/>
    </row>
    <row r="543" spans="1:4" ht="12.75" customHeight="1" x14ac:dyDescent="0.2">
      <c r="A543" s="5"/>
      <c r="B543" s="2"/>
      <c r="C543" s="2"/>
      <c r="D543" s="2"/>
    </row>
    <row r="544" spans="1:4" ht="12.75" customHeight="1" x14ac:dyDescent="0.2">
      <c r="A544" s="22" t="str">
        <f>HYPERLINK("javascript:void(0)","magmapáncél")</f>
        <v>magmapáncél</v>
      </c>
      <c r="B544" s="21"/>
      <c r="C544" s="21"/>
      <c r="D544" s="21"/>
    </row>
    <row r="545" spans="1:4" ht="12.75" customHeight="1" x14ac:dyDescent="0.2">
      <c r="A545" s="20"/>
      <c r="B545" s="2"/>
      <c r="C545" s="2"/>
      <c r="D545" s="2"/>
    </row>
    <row r="546" spans="1:4" ht="12.75" customHeight="1" x14ac:dyDescent="0.2">
      <c r="A546" s="21"/>
      <c r="B546" s="3" t="s">
        <v>0</v>
      </c>
      <c r="C546" s="20" t="s">
        <v>178</v>
      </c>
      <c r="D546" s="21"/>
    </row>
    <row r="547" spans="1:4" ht="12.75" customHeight="1" x14ac:dyDescent="0.2">
      <c r="A547" s="21"/>
      <c r="B547" s="3" t="s">
        <v>2</v>
      </c>
      <c r="C547" s="20" t="s">
        <v>2322</v>
      </c>
      <c r="D547" s="21"/>
    </row>
    <row r="548" spans="1:4" ht="12.75" customHeight="1" x14ac:dyDescent="0.2">
      <c r="A548" s="21"/>
      <c r="B548" s="3" t="s">
        <v>1840</v>
      </c>
      <c r="C548" s="20" t="s">
        <v>896</v>
      </c>
      <c r="D548" s="21"/>
    </row>
    <row r="549" spans="1:4" ht="12.75" customHeight="1" x14ac:dyDescent="0.2">
      <c r="A549" s="21"/>
      <c r="B549" s="3" t="s">
        <v>9</v>
      </c>
      <c r="C549" s="20" t="s">
        <v>2364</v>
      </c>
      <c r="D549" s="21"/>
    </row>
    <row r="550" spans="1:4" ht="12.75" customHeight="1" x14ac:dyDescent="0.2">
      <c r="A550" s="21"/>
      <c r="B550" s="3" t="s">
        <v>11</v>
      </c>
      <c r="C550" s="20" t="s">
        <v>289</v>
      </c>
      <c r="D550" s="21"/>
    </row>
    <row r="551" spans="1:4" ht="12.75" customHeight="1" x14ac:dyDescent="0.2">
      <c r="A551" s="21"/>
      <c r="B551" s="3" t="s">
        <v>16</v>
      </c>
      <c r="C551" s="20"/>
      <c r="D551" s="21"/>
    </row>
    <row r="552" spans="1:4" ht="12.75" customHeight="1" x14ac:dyDescent="0.2">
      <c r="A552" s="21"/>
      <c r="B552" s="3" t="s">
        <v>17</v>
      </c>
      <c r="C552" s="20" t="s">
        <v>19</v>
      </c>
      <c r="D552" s="21"/>
    </row>
    <row r="553" spans="1:4" ht="12.75" customHeight="1" x14ac:dyDescent="0.2">
      <c r="A553" s="21"/>
      <c r="B553" s="20" t="s">
        <v>18</v>
      </c>
      <c r="C553" s="4" t="s">
        <v>44</v>
      </c>
      <c r="D553" s="6" t="str">
        <f>HYPERLINK("javascript:void(0)","lángpáncél")</f>
        <v>lángpáncél</v>
      </c>
    </row>
    <row r="554" spans="1:4" ht="12.75" customHeight="1" x14ac:dyDescent="0.2">
      <c r="A554" s="21"/>
      <c r="B554" s="21"/>
      <c r="C554" s="4" t="s">
        <v>44</v>
      </c>
      <c r="D554" s="6" t="str">
        <f>HYPERLINK("javascript:void(0)","gránitpáncél")</f>
        <v>gránitpáncél</v>
      </c>
    </row>
    <row r="555" spans="1:4" ht="12.75" customHeight="1" x14ac:dyDescent="0.2">
      <c r="A555" s="21"/>
      <c r="B555" s="21"/>
      <c r="C555" s="4" t="s">
        <v>232</v>
      </c>
      <c r="D555" s="6" t="str">
        <f>HYPERLINK("javascript:void(0)","hiperzsír")</f>
        <v>hiperzsír</v>
      </c>
    </row>
    <row r="556" spans="1:4" ht="12.75" customHeight="1" x14ac:dyDescent="0.2">
      <c r="A556" s="21"/>
      <c r="B556" s="2"/>
      <c r="C556" s="2"/>
      <c r="D556" s="2"/>
    </row>
    <row r="557" spans="1:4" ht="12.75" customHeight="1" x14ac:dyDescent="0.2">
      <c r="A557" s="21"/>
      <c r="B557" s="2"/>
      <c r="C557" s="2"/>
      <c r="D557" s="2"/>
    </row>
    <row r="558" spans="1:4" ht="12.75" customHeight="1" x14ac:dyDescent="0.2">
      <c r="A558" s="21"/>
      <c r="B558" s="2"/>
      <c r="C558" s="2"/>
      <c r="D558" s="2"/>
    </row>
    <row r="559" spans="1:4" ht="12.75" customHeight="1" x14ac:dyDescent="0.2">
      <c r="A559" s="21"/>
      <c r="B559" s="2"/>
      <c r="C559" s="2"/>
      <c r="D559" s="2"/>
    </row>
    <row r="560" spans="1:4" ht="12.75" customHeight="1" x14ac:dyDescent="0.2">
      <c r="A560" s="5"/>
      <c r="B560" s="2"/>
      <c r="C560" s="2"/>
      <c r="D560" s="2"/>
    </row>
    <row r="561" spans="1:4" ht="12.75" customHeight="1" x14ac:dyDescent="0.2">
      <c r="A561" s="22" t="str">
        <f>HYPERLINK("javascript:void(0)","dérpáncél")</f>
        <v>dérpáncél</v>
      </c>
      <c r="B561" s="21"/>
      <c r="C561" s="21"/>
      <c r="D561" s="21"/>
    </row>
    <row r="562" spans="1:4" ht="12.75" customHeight="1" x14ac:dyDescent="0.2">
      <c r="A562" s="20"/>
      <c r="B562" s="2"/>
      <c r="C562" s="2"/>
      <c r="D562" s="2"/>
    </row>
    <row r="563" spans="1:4" ht="12.75" customHeight="1" x14ac:dyDescent="0.2">
      <c r="A563" s="21"/>
      <c r="B563" s="3" t="s">
        <v>0</v>
      </c>
      <c r="C563" s="20" t="s">
        <v>178</v>
      </c>
      <c r="D563" s="21"/>
    </row>
    <row r="564" spans="1:4" ht="12.75" customHeight="1" x14ac:dyDescent="0.2">
      <c r="A564" s="21"/>
      <c r="B564" s="3" t="s">
        <v>2</v>
      </c>
      <c r="C564" s="20" t="s">
        <v>2322</v>
      </c>
      <c r="D564" s="21"/>
    </row>
    <row r="565" spans="1:4" ht="12.75" customHeight="1" x14ac:dyDescent="0.2">
      <c r="A565" s="21"/>
      <c r="B565" s="3" t="s">
        <v>1840</v>
      </c>
      <c r="C565" s="20" t="s">
        <v>883</v>
      </c>
      <c r="D565" s="21"/>
    </row>
    <row r="566" spans="1:4" ht="12.75" customHeight="1" x14ac:dyDescent="0.2">
      <c r="A566" s="21"/>
      <c r="B566" s="3" t="s">
        <v>9</v>
      </c>
      <c r="C566" s="20" t="s">
        <v>84</v>
      </c>
      <c r="D566" s="21"/>
    </row>
    <row r="567" spans="1:4" ht="12.75" customHeight="1" x14ac:dyDescent="0.2">
      <c r="A567" s="21"/>
      <c r="B567" s="3" t="s">
        <v>11</v>
      </c>
      <c r="C567" s="20" t="s">
        <v>289</v>
      </c>
      <c r="D567" s="21"/>
    </row>
    <row r="568" spans="1:4" ht="12.75" customHeight="1" x14ac:dyDescent="0.2">
      <c r="A568" s="21"/>
      <c r="B568" s="3" t="s">
        <v>16</v>
      </c>
      <c r="C568" s="20"/>
      <c r="D568" s="21"/>
    </row>
    <row r="569" spans="1:4" ht="12.75" customHeight="1" x14ac:dyDescent="0.2">
      <c r="A569" s="21"/>
      <c r="B569" s="3" t="s">
        <v>17</v>
      </c>
      <c r="C569" s="20" t="s">
        <v>19</v>
      </c>
      <c r="D569" s="21"/>
    </row>
    <row r="570" spans="1:4" ht="12.75" customHeight="1" x14ac:dyDescent="0.2">
      <c r="A570" s="21"/>
      <c r="B570" s="20" t="s">
        <v>18</v>
      </c>
      <c r="C570" s="4" t="s">
        <v>44</v>
      </c>
      <c r="D570" s="6" t="str">
        <f>HYPERLINK("javascript:void(0)","szélpáncél")</f>
        <v>szélpáncél</v>
      </c>
    </row>
    <row r="571" spans="1:4" ht="12.75" customHeight="1" x14ac:dyDescent="0.2">
      <c r="A571" s="21"/>
      <c r="B571" s="21"/>
      <c r="C571" s="4" t="s">
        <v>44</v>
      </c>
      <c r="D571" s="6" t="str">
        <f>HYPERLINK("javascript:void(0)","jégpáncél")</f>
        <v>jégpáncél</v>
      </c>
    </row>
    <row r="572" spans="1:4" ht="12.75" customHeight="1" x14ac:dyDescent="0.2">
      <c r="A572" s="21"/>
      <c r="B572" s="21"/>
      <c r="C572" s="4" t="s">
        <v>232</v>
      </c>
      <c r="D572" s="6" t="str">
        <f>HYPERLINK("javascript:void(0)","hiperzsír")</f>
        <v>hiperzsír</v>
      </c>
    </row>
    <row r="573" spans="1:4" ht="12.75" customHeight="1" x14ac:dyDescent="0.2">
      <c r="A573" s="21"/>
      <c r="B573" s="2"/>
      <c r="C573" s="2"/>
      <c r="D573" s="2"/>
    </row>
    <row r="574" spans="1:4" ht="12.75" customHeight="1" x14ac:dyDescent="0.2">
      <c r="A574" s="21"/>
      <c r="B574" s="2"/>
      <c r="C574" s="2"/>
      <c r="D574" s="2"/>
    </row>
    <row r="575" spans="1:4" ht="12.75" customHeight="1" x14ac:dyDescent="0.2">
      <c r="A575" s="21"/>
      <c r="B575" s="2"/>
      <c r="C575" s="2"/>
      <c r="D575" s="2"/>
    </row>
    <row r="576" spans="1:4" ht="12.75" customHeight="1" x14ac:dyDescent="0.2">
      <c r="A576" s="21"/>
      <c r="B576" s="2"/>
      <c r="C576" s="2"/>
      <c r="D576" s="2"/>
    </row>
    <row r="577" spans="1:4" ht="12.75" customHeight="1" x14ac:dyDescent="0.2">
      <c r="A577" s="5"/>
      <c r="B577" s="2"/>
      <c r="C577" s="2"/>
      <c r="D577" s="2"/>
    </row>
    <row r="578" spans="1:4" ht="12.75" customHeight="1" x14ac:dyDescent="0.2">
      <c r="A578" s="22" t="str">
        <f>HYPERLINK("javascript:void(0)","vörös elemipáncél")</f>
        <v>vörös elemipáncél</v>
      </c>
      <c r="B578" s="21"/>
      <c r="C578" s="21"/>
      <c r="D578" s="21"/>
    </row>
    <row r="579" spans="1:4" ht="12.75" customHeight="1" x14ac:dyDescent="0.2">
      <c r="A579" s="20"/>
      <c r="B579" s="2"/>
      <c r="C579" s="2"/>
      <c r="D579" s="2"/>
    </row>
    <row r="580" spans="1:4" ht="12.75" customHeight="1" x14ac:dyDescent="0.2">
      <c r="A580" s="21"/>
      <c r="B580" s="3" t="s">
        <v>0</v>
      </c>
      <c r="C580" s="20" t="s">
        <v>340</v>
      </c>
      <c r="D580" s="21"/>
    </row>
    <row r="581" spans="1:4" ht="12.75" customHeight="1" x14ac:dyDescent="0.2">
      <c r="A581" s="21"/>
      <c r="B581" s="3" t="s">
        <v>2</v>
      </c>
      <c r="C581" s="20" t="s">
        <v>2322</v>
      </c>
      <c r="D581" s="21"/>
    </row>
    <row r="582" spans="1:4" ht="12.75" customHeight="1" x14ac:dyDescent="0.2">
      <c r="A582" s="21"/>
      <c r="B582" s="3" t="s">
        <v>1840</v>
      </c>
      <c r="C582" s="20" t="s">
        <v>190</v>
      </c>
      <c r="D582" s="21"/>
    </row>
    <row r="583" spans="1:4" ht="12.75" customHeight="1" x14ac:dyDescent="0.2">
      <c r="A583" s="21"/>
      <c r="B583" s="3" t="s">
        <v>9</v>
      </c>
      <c r="C583" s="20" t="s">
        <v>374</v>
      </c>
      <c r="D583" s="21"/>
    </row>
    <row r="584" spans="1:4" ht="12.75" customHeight="1" x14ac:dyDescent="0.2">
      <c r="A584" s="21"/>
      <c r="B584" s="3" t="s">
        <v>11</v>
      </c>
      <c r="C584" s="20" t="s">
        <v>307</v>
      </c>
      <c r="D584" s="21"/>
    </row>
    <row r="585" spans="1:4" ht="12.75" customHeight="1" x14ac:dyDescent="0.2">
      <c r="A585" s="21"/>
      <c r="B585" s="3" t="s">
        <v>16</v>
      </c>
      <c r="C585" s="20"/>
      <c r="D585" s="21"/>
    </row>
    <row r="586" spans="1:4" ht="12.75" customHeight="1" x14ac:dyDescent="0.2">
      <c r="A586" s="21"/>
      <c r="B586" s="3" t="s">
        <v>17</v>
      </c>
      <c r="C586" s="20" t="s">
        <v>19</v>
      </c>
      <c r="D586" s="21"/>
    </row>
    <row r="587" spans="1:4" ht="12.75" customHeight="1" x14ac:dyDescent="0.2">
      <c r="A587" s="21"/>
      <c r="B587" s="20" t="s">
        <v>18</v>
      </c>
      <c r="C587" s="4" t="s">
        <v>44</v>
      </c>
      <c r="D587" s="6" t="str">
        <f>HYPERLINK("javascript:void(0)","gőzpáncél")</f>
        <v>gőzpáncél</v>
      </c>
    </row>
    <row r="588" spans="1:4" ht="12.75" customHeight="1" x14ac:dyDescent="0.2">
      <c r="A588" s="21"/>
      <c r="B588" s="21"/>
      <c r="C588" s="4" t="s">
        <v>44</v>
      </c>
      <c r="D588" s="6" t="str">
        <f>HYPERLINK("javascript:void(0)","magmapáncél")</f>
        <v>magmapáncél</v>
      </c>
    </row>
    <row r="589" spans="1:4" ht="12.75" customHeight="1" x14ac:dyDescent="0.2">
      <c r="A589" s="21"/>
      <c r="B589" s="21"/>
      <c r="C589" s="4" t="s">
        <v>163</v>
      </c>
      <c r="D589" s="6" t="str">
        <f>HYPERLINK("javascript:void(0)","melegige")</f>
        <v>melegige</v>
      </c>
    </row>
    <row r="590" spans="1:4" ht="12.75" customHeight="1" x14ac:dyDescent="0.2">
      <c r="A590" s="21"/>
      <c r="B590" s="2"/>
      <c r="C590" s="2"/>
      <c r="D590" s="2"/>
    </row>
    <row r="591" spans="1:4" ht="12.75" customHeight="1" x14ac:dyDescent="0.2">
      <c r="A591" s="21"/>
      <c r="B591" s="2"/>
      <c r="C591" s="2"/>
      <c r="D591" s="2"/>
    </row>
    <row r="592" spans="1:4" ht="12.75" customHeight="1" x14ac:dyDescent="0.2">
      <c r="A592" s="21"/>
      <c r="B592" s="2"/>
      <c r="C592" s="2"/>
      <c r="D592" s="2"/>
    </row>
    <row r="593" spans="1:4" ht="12.75" customHeight="1" x14ac:dyDescent="0.2">
      <c r="A593" s="21"/>
      <c r="B593" s="2"/>
      <c r="C593" s="2"/>
      <c r="D593" s="2"/>
    </row>
    <row r="594" spans="1:4" ht="12.75" customHeight="1" x14ac:dyDescent="0.2">
      <c r="A594" s="5"/>
      <c r="B594" s="2"/>
      <c r="C594" s="2"/>
      <c r="D594" s="2"/>
    </row>
    <row r="595" spans="1:4" ht="12.75" customHeight="1" x14ac:dyDescent="0.2">
      <c r="A595" s="22" t="str">
        <f>HYPERLINK("javascript:void(0)","kék elemipáncél")</f>
        <v>kék elemipáncél</v>
      </c>
      <c r="B595" s="21"/>
      <c r="C595" s="21"/>
      <c r="D595" s="21"/>
    </row>
    <row r="596" spans="1:4" ht="12.75" customHeight="1" x14ac:dyDescent="0.2">
      <c r="A596" s="20"/>
      <c r="B596" s="2"/>
      <c r="C596" s="2"/>
      <c r="D596" s="2"/>
    </row>
    <row r="597" spans="1:4" ht="12.75" customHeight="1" x14ac:dyDescent="0.2">
      <c r="A597" s="21"/>
      <c r="B597" s="3" t="s">
        <v>0</v>
      </c>
      <c r="C597" s="20" t="s">
        <v>340</v>
      </c>
      <c r="D597" s="21"/>
    </row>
    <row r="598" spans="1:4" ht="12.75" customHeight="1" x14ac:dyDescent="0.2">
      <c r="A598" s="21"/>
      <c r="B598" s="3" t="s">
        <v>2</v>
      </c>
      <c r="C598" s="20" t="s">
        <v>2322</v>
      </c>
      <c r="D598" s="21"/>
    </row>
    <row r="599" spans="1:4" ht="12.75" customHeight="1" x14ac:dyDescent="0.2">
      <c r="A599" s="21"/>
      <c r="B599" s="3" t="s">
        <v>1840</v>
      </c>
      <c r="C599" s="20" t="s">
        <v>953</v>
      </c>
      <c r="D599" s="21"/>
    </row>
    <row r="600" spans="1:4" ht="12.75" customHeight="1" x14ac:dyDescent="0.2">
      <c r="A600" s="21"/>
      <c r="B600" s="3" t="s">
        <v>9</v>
      </c>
      <c r="C600" s="20" t="s">
        <v>262</v>
      </c>
      <c r="D600" s="21"/>
    </row>
    <row r="601" spans="1:4" ht="12.75" customHeight="1" x14ac:dyDescent="0.2">
      <c r="A601" s="21"/>
      <c r="B601" s="3" t="s">
        <v>11</v>
      </c>
      <c r="C601" s="20" t="s">
        <v>307</v>
      </c>
      <c r="D601" s="21"/>
    </row>
    <row r="602" spans="1:4" ht="12.75" customHeight="1" x14ac:dyDescent="0.2">
      <c r="A602" s="21"/>
      <c r="B602" s="3" t="s">
        <v>16</v>
      </c>
      <c r="C602" s="20"/>
      <c r="D602" s="21"/>
    </row>
    <row r="603" spans="1:4" ht="12.75" customHeight="1" x14ac:dyDescent="0.2">
      <c r="A603" s="21"/>
      <c r="B603" s="3" t="s">
        <v>17</v>
      </c>
      <c r="C603" s="20" t="s">
        <v>19</v>
      </c>
      <c r="D603" s="21"/>
    </row>
    <row r="604" spans="1:4" ht="12.75" customHeight="1" x14ac:dyDescent="0.2">
      <c r="A604" s="21"/>
      <c r="B604" s="20" t="s">
        <v>18</v>
      </c>
      <c r="C604" s="4" t="s">
        <v>44</v>
      </c>
      <c r="D604" s="6" t="str">
        <f>HYPERLINK("javascript:void(0)","sárpáncél")</f>
        <v>sárpáncél</v>
      </c>
    </row>
    <row r="605" spans="1:4" ht="12.75" customHeight="1" x14ac:dyDescent="0.2">
      <c r="A605" s="21"/>
      <c r="B605" s="21"/>
      <c r="C605" s="4" t="s">
        <v>44</v>
      </c>
      <c r="D605" s="6" t="str">
        <f>HYPERLINK("javascript:void(0)","dérpáncél")</f>
        <v>dérpáncél</v>
      </c>
    </row>
    <row r="606" spans="1:4" ht="12.75" customHeight="1" x14ac:dyDescent="0.2">
      <c r="A606" s="21"/>
      <c r="B606" s="21"/>
      <c r="C606" s="4" t="s">
        <v>163</v>
      </c>
      <c r="D606" s="6" t="str">
        <f>HYPERLINK("javascript:void(0)","hidegige")</f>
        <v>hidegige</v>
      </c>
    </row>
    <row r="607" spans="1:4" ht="12.75" customHeight="1" x14ac:dyDescent="0.2">
      <c r="A607" s="21"/>
      <c r="B607" s="2"/>
      <c r="C607" s="2"/>
      <c r="D607" s="2"/>
    </row>
    <row r="608" spans="1:4" ht="12.75" customHeight="1" x14ac:dyDescent="0.2">
      <c r="A608" s="21"/>
      <c r="B608" s="2"/>
      <c r="C608" s="2"/>
      <c r="D608" s="2"/>
    </row>
    <row r="609" spans="1:4" ht="12.75" customHeight="1" x14ac:dyDescent="0.2">
      <c r="A609" s="21"/>
      <c r="B609" s="2"/>
      <c r="C609" s="2"/>
      <c r="D609" s="2"/>
    </row>
    <row r="610" spans="1:4" ht="12.75" customHeight="1" x14ac:dyDescent="0.2">
      <c r="A610" s="21"/>
      <c r="B610" s="2"/>
      <c r="C610" s="2"/>
      <c r="D610" s="2"/>
    </row>
    <row r="611" spans="1:4" ht="12.75" customHeight="1" x14ac:dyDescent="0.2">
      <c r="A611" s="5"/>
      <c r="B611" s="2"/>
      <c r="C611" s="2"/>
      <c r="D611" s="2"/>
    </row>
    <row r="612" spans="1:4" ht="12.75" customHeight="1" x14ac:dyDescent="0.2">
      <c r="A612" s="22" t="str">
        <f>HYPERLINK("javascript:void(0)","vértcső")</f>
        <v>vértcső</v>
      </c>
      <c r="B612" s="21"/>
      <c r="C612" s="21"/>
      <c r="D612" s="21"/>
    </row>
    <row r="613" spans="1:4" ht="12.75" customHeight="1" x14ac:dyDescent="0.2">
      <c r="A613" s="20"/>
      <c r="B613" s="2"/>
      <c r="C613" s="2"/>
      <c r="D613" s="2"/>
    </row>
    <row r="614" spans="1:4" ht="12.75" customHeight="1" x14ac:dyDescent="0.2">
      <c r="A614" s="21"/>
      <c r="B614" s="3" t="s">
        <v>0</v>
      </c>
      <c r="C614" s="20" t="s">
        <v>340</v>
      </c>
      <c r="D614" s="21"/>
    </row>
    <row r="615" spans="1:4" ht="12.75" customHeight="1" x14ac:dyDescent="0.2">
      <c r="A615" s="21"/>
      <c r="B615" s="3" t="s">
        <v>2</v>
      </c>
      <c r="C615" s="20" t="s">
        <v>2322</v>
      </c>
      <c r="D615" s="21"/>
    </row>
    <row r="616" spans="1:4" ht="12.75" customHeight="1" x14ac:dyDescent="0.2">
      <c r="A616" s="21"/>
      <c r="B616" s="3" t="s">
        <v>1840</v>
      </c>
      <c r="C616" s="20" t="s">
        <v>115</v>
      </c>
      <c r="D616" s="21"/>
    </row>
    <row r="617" spans="1:4" ht="12.75" customHeight="1" x14ac:dyDescent="0.2">
      <c r="A617" s="21"/>
      <c r="B617" s="3" t="s">
        <v>9</v>
      </c>
      <c r="C617" s="20" t="s">
        <v>42</v>
      </c>
      <c r="D617" s="21"/>
    </row>
    <row r="618" spans="1:4" ht="12.75" customHeight="1" x14ac:dyDescent="0.2">
      <c r="A618" s="21"/>
      <c r="B618" s="3" t="s">
        <v>11</v>
      </c>
      <c r="C618" s="20" t="s">
        <v>152</v>
      </c>
      <c r="D618" s="21"/>
    </row>
    <row r="619" spans="1:4" ht="12.75" customHeight="1" x14ac:dyDescent="0.2">
      <c r="A619" s="21"/>
      <c r="B619" s="3" t="s">
        <v>16</v>
      </c>
      <c r="C619" s="20"/>
      <c r="D619" s="21"/>
    </row>
    <row r="620" spans="1:4" ht="12.75" customHeight="1" x14ac:dyDescent="0.2">
      <c r="A620" s="21"/>
      <c r="B620" s="3" t="s">
        <v>17</v>
      </c>
      <c r="C620" s="20" t="s">
        <v>19</v>
      </c>
      <c r="D620" s="21"/>
    </row>
    <row r="621" spans="1:4" ht="12.75" customHeight="1" x14ac:dyDescent="0.2">
      <c r="A621" s="21"/>
      <c r="B621" s="20" t="s">
        <v>18</v>
      </c>
      <c r="C621" s="4" t="s">
        <v>57</v>
      </c>
      <c r="D621" s="6" t="str">
        <f>HYPERLINK("javascript:void(0)","spiritusz")</f>
        <v>spiritusz</v>
      </c>
    </row>
    <row r="622" spans="1:4" ht="12.75" customHeight="1" x14ac:dyDescent="0.2">
      <c r="A622" s="21"/>
      <c r="B622" s="21"/>
      <c r="C622" s="4" t="s">
        <v>44</v>
      </c>
      <c r="D622" s="6" t="str">
        <f>HYPERLINK("javascript:void(0)","képcső")</f>
        <v>képcső</v>
      </c>
    </row>
    <row r="623" spans="1:4" ht="12.75" customHeight="1" x14ac:dyDescent="0.2">
      <c r="A623" s="21"/>
      <c r="B623" s="21"/>
      <c r="C623" s="4" t="s">
        <v>77</v>
      </c>
      <c r="D623" s="6" t="str">
        <f>HYPERLINK("javascript:void(0)","mágusköpeny")</f>
        <v>mágusköpeny</v>
      </c>
    </row>
    <row r="624" spans="1:4" ht="12.75" customHeight="1" x14ac:dyDescent="0.2">
      <c r="A624" s="21"/>
      <c r="B624" s="2"/>
      <c r="C624" s="2"/>
      <c r="D624" s="2"/>
    </row>
    <row r="625" spans="1:4" ht="12.75" customHeight="1" x14ac:dyDescent="0.2">
      <c r="A625" s="21"/>
      <c r="B625" s="2"/>
      <c r="C625" s="2"/>
      <c r="D625" s="2"/>
    </row>
    <row r="626" spans="1:4" ht="12.75" customHeight="1" x14ac:dyDescent="0.2">
      <c r="A626" s="21"/>
      <c r="B626" s="2"/>
      <c r="C626" s="2"/>
      <c r="D626" s="2"/>
    </row>
    <row r="627" spans="1:4" ht="12.75" customHeight="1" x14ac:dyDescent="0.2">
      <c r="A627" s="21"/>
      <c r="B627" s="2"/>
      <c r="C627" s="2"/>
      <c r="D627" s="2"/>
    </row>
    <row r="628" spans="1:4" ht="12.75" customHeight="1" x14ac:dyDescent="0.2">
      <c r="A628" s="5"/>
      <c r="B628" s="2"/>
      <c r="C628" s="2"/>
      <c r="D628" s="2"/>
    </row>
    <row r="629" spans="1:4" ht="12.75" customHeight="1" x14ac:dyDescent="0.2">
      <c r="A629" s="22" t="str">
        <f>HYPERLINK("javascript:void(0)","varázspáncél")</f>
        <v>varázspáncél</v>
      </c>
      <c r="B629" s="21"/>
      <c r="C629" s="21"/>
      <c r="D629" s="21"/>
    </row>
    <row r="630" spans="1:4" ht="12.75" customHeight="1" x14ac:dyDescent="0.2">
      <c r="A630" s="20"/>
      <c r="B630" s="2"/>
      <c r="C630" s="2"/>
      <c r="D630" s="2"/>
    </row>
    <row r="631" spans="1:4" ht="12.75" customHeight="1" x14ac:dyDescent="0.2">
      <c r="A631" s="21"/>
      <c r="B631" s="3" t="s">
        <v>0</v>
      </c>
      <c r="C631" s="20" t="s">
        <v>353</v>
      </c>
      <c r="D631" s="21"/>
    </row>
    <row r="632" spans="1:4" ht="12.75" customHeight="1" x14ac:dyDescent="0.2">
      <c r="A632" s="21"/>
      <c r="B632" s="3" t="s">
        <v>2</v>
      </c>
      <c r="C632" s="20" t="s">
        <v>2322</v>
      </c>
      <c r="D632" s="21"/>
    </row>
    <row r="633" spans="1:4" ht="12.75" customHeight="1" x14ac:dyDescent="0.2">
      <c r="A633" s="21"/>
      <c r="B633" s="3" t="s">
        <v>1840</v>
      </c>
      <c r="C633" s="20" t="s">
        <v>999</v>
      </c>
      <c r="D633" s="21"/>
    </row>
    <row r="634" spans="1:4" ht="12.75" customHeight="1" x14ac:dyDescent="0.2">
      <c r="A634" s="21"/>
      <c r="B634" s="3" t="s">
        <v>9</v>
      </c>
      <c r="C634" s="20" t="s">
        <v>75</v>
      </c>
      <c r="D634" s="21"/>
    </row>
    <row r="635" spans="1:4" ht="12.75" customHeight="1" x14ac:dyDescent="0.2">
      <c r="A635" s="21"/>
      <c r="B635" s="3" t="s">
        <v>11</v>
      </c>
      <c r="C635" s="20" t="s">
        <v>321</v>
      </c>
      <c r="D635" s="21"/>
    </row>
    <row r="636" spans="1:4" ht="12.75" customHeight="1" x14ac:dyDescent="0.2">
      <c r="A636" s="21"/>
      <c r="B636" s="3" t="s">
        <v>16</v>
      </c>
      <c r="C636" s="20"/>
      <c r="D636" s="21"/>
    </row>
    <row r="637" spans="1:4" ht="12.75" customHeight="1" x14ac:dyDescent="0.2">
      <c r="A637" s="21"/>
      <c r="B637" s="3" t="s">
        <v>17</v>
      </c>
      <c r="C637" s="20" t="s">
        <v>19</v>
      </c>
      <c r="D637" s="21"/>
    </row>
    <row r="638" spans="1:4" ht="12.75" customHeight="1" x14ac:dyDescent="0.2">
      <c r="A638" s="21"/>
      <c r="B638" s="20" t="s">
        <v>18</v>
      </c>
      <c r="C638" s="4" t="s">
        <v>44</v>
      </c>
      <c r="D638" s="6" t="str">
        <f>HYPERLINK("javascript:void(0)","vörös elemipáncél")</f>
        <v>vörös elemipáncél</v>
      </c>
    </row>
    <row r="639" spans="1:4" ht="12.75" customHeight="1" x14ac:dyDescent="0.2">
      <c r="A639" s="21"/>
      <c r="B639" s="21"/>
      <c r="C639" s="4" t="s">
        <v>44</v>
      </c>
      <c r="D639" s="6" t="str">
        <f>HYPERLINK("javascript:void(0)","kék elemipáncél")</f>
        <v>kék elemipáncél</v>
      </c>
    </row>
    <row r="640" spans="1:4" ht="12.75" customHeight="1" x14ac:dyDescent="0.2">
      <c r="A640" s="21"/>
      <c r="B640" s="21"/>
      <c r="C640" s="4" t="s">
        <v>382</v>
      </c>
      <c r="D640" s="6" t="str">
        <f>HYPERLINK("javascript:void(0)","varázsige")</f>
        <v>varázsige</v>
      </c>
    </row>
    <row r="641" spans="1:4" ht="12.75" customHeight="1" x14ac:dyDescent="0.2">
      <c r="A641" s="21"/>
      <c r="B641" s="2"/>
      <c r="C641" s="2"/>
      <c r="D641" s="2"/>
    </row>
    <row r="642" spans="1:4" ht="12.75" customHeight="1" x14ac:dyDescent="0.2">
      <c r="A642" s="21"/>
      <c r="B642" s="2"/>
      <c r="C642" s="2"/>
      <c r="D642" s="2"/>
    </row>
    <row r="643" spans="1:4" ht="12.75" customHeight="1" x14ac:dyDescent="0.2">
      <c r="A643" s="21"/>
      <c r="B643" s="2"/>
      <c r="C643" s="2"/>
      <c r="D643" s="2"/>
    </row>
    <row r="644" spans="1:4" ht="12.75" customHeight="1" x14ac:dyDescent="0.2">
      <c r="A644" s="21"/>
      <c r="B644" s="2"/>
      <c r="C644" s="2"/>
      <c r="D644" s="2"/>
    </row>
    <row r="645" spans="1:4" ht="12.75" customHeight="1" x14ac:dyDescent="0.2">
      <c r="A645" s="5"/>
      <c r="B645" s="2"/>
      <c r="C645" s="2"/>
      <c r="D645" s="2"/>
    </row>
    <row r="646" spans="1:4" ht="12.75" customHeight="1" x14ac:dyDescent="0.2">
      <c r="A646" s="22" t="str">
        <f>HYPERLINK("javascript:void(0)","animált páncél")</f>
        <v>animált páncél</v>
      </c>
      <c r="B646" s="21"/>
      <c r="C646" s="21"/>
      <c r="D646" s="21"/>
    </row>
    <row r="647" spans="1:4" ht="12.75" customHeight="1" x14ac:dyDescent="0.2">
      <c r="A647" s="20"/>
      <c r="B647" s="2"/>
      <c r="C647" s="2"/>
      <c r="D647" s="2"/>
    </row>
    <row r="648" spans="1:4" ht="12.75" customHeight="1" x14ac:dyDescent="0.2">
      <c r="A648" s="21"/>
      <c r="B648" s="3" t="s">
        <v>0</v>
      </c>
      <c r="C648" s="20" t="s">
        <v>274</v>
      </c>
      <c r="D648" s="21"/>
    </row>
    <row r="649" spans="1:4" ht="12.75" customHeight="1" x14ac:dyDescent="0.2">
      <c r="A649" s="21"/>
      <c r="B649" s="3" t="s">
        <v>2</v>
      </c>
      <c r="C649" s="20" t="s">
        <v>2322</v>
      </c>
      <c r="D649" s="21"/>
    </row>
    <row r="650" spans="1:4" ht="12.75" customHeight="1" x14ac:dyDescent="0.2">
      <c r="A650" s="21"/>
      <c r="B650" s="3" t="s">
        <v>1840</v>
      </c>
      <c r="C650" s="20" t="s">
        <v>1060</v>
      </c>
      <c r="D650" s="21"/>
    </row>
    <row r="651" spans="1:4" ht="12.75" customHeight="1" x14ac:dyDescent="0.2">
      <c r="A651" s="21"/>
      <c r="B651" s="3" t="s">
        <v>9</v>
      </c>
      <c r="C651" s="20" t="s">
        <v>124</v>
      </c>
      <c r="D651" s="21"/>
    </row>
    <row r="652" spans="1:4" ht="12.75" customHeight="1" x14ac:dyDescent="0.2">
      <c r="A652" s="21"/>
      <c r="B652" s="3" t="s">
        <v>11</v>
      </c>
      <c r="C652" s="20" t="s">
        <v>339</v>
      </c>
      <c r="D652" s="21"/>
    </row>
    <row r="653" spans="1:4" ht="12.75" customHeight="1" x14ac:dyDescent="0.2">
      <c r="A653" s="21"/>
      <c r="B653" s="3" t="s">
        <v>16</v>
      </c>
      <c r="C653" s="20"/>
      <c r="D653" s="21"/>
    </row>
    <row r="654" spans="1:4" ht="12.75" customHeight="1" x14ac:dyDescent="0.2">
      <c r="A654" s="21"/>
      <c r="B654" s="3" t="s">
        <v>17</v>
      </c>
      <c r="C654" s="20" t="s">
        <v>19</v>
      </c>
      <c r="D654" s="21"/>
    </row>
    <row r="655" spans="1:4" ht="12.75" customHeight="1" x14ac:dyDescent="0.2">
      <c r="A655" s="21"/>
      <c r="B655" s="20" t="s">
        <v>18</v>
      </c>
      <c r="C655" s="4" t="s">
        <v>44</v>
      </c>
      <c r="D655" s="6" t="str">
        <f>HYPERLINK("javascript:void(0)","körömpáncél")</f>
        <v>körömpáncél</v>
      </c>
    </row>
    <row r="656" spans="1:4" ht="12.75" customHeight="1" x14ac:dyDescent="0.2">
      <c r="A656" s="21"/>
      <c r="B656" s="21"/>
      <c r="C656" s="4" t="s">
        <v>44</v>
      </c>
      <c r="D656" s="6" t="str">
        <f>HYPERLINK("javascript:void(0)","varázspáncél")</f>
        <v>varázspáncél</v>
      </c>
    </row>
    <row r="657" spans="1:4" ht="12.75" customHeight="1" x14ac:dyDescent="0.2">
      <c r="A657" s="21"/>
      <c r="B657" s="21"/>
      <c r="C657" s="4" t="s">
        <v>68</v>
      </c>
      <c r="D657" s="6" t="str">
        <f>HYPERLINK("javascript:void(0)","nekroige")</f>
        <v>nekroige</v>
      </c>
    </row>
    <row r="658" spans="1:4" ht="12.75" customHeight="1" x14ac:dyDescent="0.2">
      <c r="A658" s="21"/>
      <c r="B658" s="2"/>
      <c r="C658" s="2"/>
      <c r="D658" s="2"/>
    </row>
    <row r="659" spans="1:4" ht="12.75" customHeight="1" x14ac:dyDescent="0.2">
      <c r="A659" s="21"/>
      <c r="B659" s="2"/>
      <c r="C659" s="2"/>
      <c r="D659" s="2"/>
    </row>
    <row r="660" spans="1:4" ht="12.75" customHeight="1" x14ac:dyDescent="0.2">
      <c r="A660" s="21"/>
      <c r="B660" s="2"/>
      <c r="C660" s="2"/>
      <c r="D660" s="2"/>
    </row>
    <row r="661" spans="1:4" ht="12.75" customHeight="1" x14ac:dyDescent="0.2">
      <c r="A661" s="21"/>
      <c r="B661" s="2"/>
      <c r="C661" s="2"/>
      <c r="D661" s="2"/>
    </row>
    <row r="662" spans="1:4" ht="12.75" customHeight="1" x14ac:dyDescent="0.2">
      <c r="A662" s="5"/>
      <c r="B662" s="2"/>
      <c r="C662" s="2"/>
      <c r="D662" s="2"/>
    </row>
    <row r="663" spans="1:4" ht="12.75" customHeight="1" x14ac:dyDescent="0.2">
      <c r="A663" s="22" t="str">
        <f>HYPERLINK("javascript:void(0)","gyíkacél ködmön")</f>
        <v>gyíkacél ködmön</v>
      </c>
      <c r="B663" s="21"/>
      <c r="C663" s="21"/>
      <c r="D663" s="21"/>
    </row>
    <row r="664" spans="1:4" ht="12.75" customHeight="1" x14ac:dyDescent="0.2">
      <c r="A664" s="20"/>
      <c r="B664" s="2"/>
      <c r="C664" s="2"/>
      <c r="D664" s="2"/>
    </row>
    <row r="665" spans="1:4" ht="12.75" customHeight="1" x14ac:dyDescent="0.2">
      <c r="A665" s="21"/>
      <c r="B665" s="3" t="s">
        <v>0</v>
      </c>
      <c r="C665" s="20" t="s">
        <v>274</v>
      </c>
      <c r="D665" s="21"/>
    </row>
    <row r="666" spans="1:4" ht="12.75" customHeight="1" x14ac:dyDescent="0.2">
      <c r="A666" s="21"/>
      <c r="B666" s="3" t="s">
        <v>2</v>
      </c>
      <c r="C666" s="20" t="s">
        <v>2322</v>
      </c>
      <c r="D666" s="21"/>
    </row>
    <row r="667" spans="1:4" ht="12.75" customHeight="1" x14ac:dyDescent="0.2">
      <c r="A667" s="21"/>
      <c r="B667" s="3" t="s">
        <v>1840</v>
      </c>
      <c r="C667" s="20" t="s">
        <v>978</v>
      </c>
      <c r="D667" s="21"/>
    </row>
    <row r="668" spans="1:4" ht="12.75" customHeight="1" x14ac:dyDescent="0.2">
      <c r="A668" s="21"/>
      <c r="B668" s="3" t="s">
        <v>9</v>
      </c>
      <c r="C668" s="20" t="s">
        <v>377</v>
      </c>
      <c r="D668" s="21"/>
    </row>
    <row r="669" spans="1:4" ht="12.75" customHeight="1" x14ac:dyDescent="0.2">
      <c r="A669" s="21"/>
      <c r="B669" s="3" t="s">
        <v>11</v>
      </c>
      <c r="C669" s="20" t="s">
        <v>295</v>
      </c>
      <c r="D669" s="21"/>
    </row>
    <row r="670" spans="1:4" ht="12.75" customHeight="1" x14ac:dyDescent="0.2">
      <c r="A670" s="21"/>
      <c r="B670" s="3" t="s">
        <v>16</v>
      </c>
      <c r="C670" s="20"/>
      <c r="D670" s="21"/>
    </row>
    <row r="671" spans="1:4" ht="12.75" customHeight="1" x14ac:dyDescent="0.2">
      <c r="A671" s="21"/>
      <c r="B671" s="3" t="s">
        <v>17</v>
      </c>
      <c r="C671" s="20" t="s">
        <v>19</v>
      </c>
      <c r="D671" s="21"/>
    </row>
    <row r="672" spans="1:4" ht="12.75" customHeight="1" x14ac:dyDescent="0.2">
      <c r="A672" s="21"/>
      <c r="B672" s="20" t="s">
        <v>18</v>
      </c>
      <c r="C672" s="4" t="s">
        <v>280</v>
      </c>
      <c r="D672" s="6" t="str">
        <f>HYPERLINK("javascript:void(0)","szent szimbólum")</f>
        <v>szent szimbólum</v>
      </c>
    </row>
    <row r="673" spans="1:4" ht="12.75" customHeight="1" x14ac:dyDescent="0.2">
      <c r="A673" s="21"/>
      <c r="B673" s="21"/>
      <c r="C673" s="4" t="s">
        <v>1379</v>
      </c>
      <c r="D673" s="6" t="str">
        <f>HYPERLINK("javascript:void(0)","goblinbatka")</f>
        <v>goblinbatka</v>
      </c>
    </row>
    <row r="674" spans="1:4" ht="12.75" customHeight="1" x14ac:dyDescent="0.2">
      <c r="A674" s="21"/>
      <c r="B674" s="21"/>
      <c r="C674" s="4" t="s">
        <v>280</v>
      </c>
      <c r="D674" s="6" t="str">
        <f>HYPERLINK("javascript:void(0)","portgyűrű")</f>
        <v>portgyűrű</v>
      </c>
    </row>
    <row r="675" spans="1:4" ht="12.75" customHeight="1" x14ac:dyDescent="0.2">
      <c r="A675" s="21"/>
      <c r="B675" s="2"/>
      <c r="C675" s="2"/>
      <c r="D675" s="2"/>
    </row>
    <row r="676" spans="1:4" ht="12.75" customHeight="1" x14ac:dyDescent="0.2">
      <c r="A676" s="21"/>
      <c r="B676" s="2"/>
      <c r="C676" s="2"/>
      <c r="D676" s="2"/>
    </row>
    <row r="677" spans="1:4" ht="12.75" customHeight="1" x14ac:dyDescent="0.2">
      <c r="A677" s="21"/>
      <c r="B677" s="2"/>
      <c r="C677" s="2"/>
      <c r="D677" s="2"/>
    </row>
    <row r="678" spans="1:4" ht="12.75" customHeight="1" x14ac:dyDescent="0.2">
      <c r="A678" s="21"/>
      <c r="B678" s="2"/>
      <c r="C678" s="2"/>
      <c r="D678" s="2"/>
    </row>
    <row r="679" spans="1:4" ht="12.75" customHeight="1" x14ac:dyDescent="0.2">
      <c r="A679" s="5"/>
      <c r="B679" s="2"/>
      <c r="C679" s="2"/>
      <c r="D679" s="2"/>
    </row>
    <row r="680" spans="1:4" ht="12.75" customHeight="1" x14ac:dyDescent="0.2">
      <c r="A680" s="22" t="str">
        <f>HYPERLINK("javascript:void(0)","közepes csillámköpeny")</f>
        <v>közepes csillámköpeny</v>
      </c>
      <c r="B680" s="21"/>
      <c r="C680" s="21"/>
      <c r="D680" s="21"/>
    </row>
    <row r="681" spans="1:4" ht="12.75" customHeight="1" x14ac:dyDescent="0.2">
      <c r="A681" s="20"/>
      <c r="B681" s="2"/>
      <c r="C681" s="2"/>
      <c r="D681" s="2"/>
    </row>
    <row r="682" spans="1:4" ht="12.75" customHeight="1" x14ac:dyDescent="0.2">
      <c r="A682" s="21"/>
      <c r="B682" s="3" t="s">
        <v>0</v>
      </c>
      <c r="C682" s="20" t="s">
        <v>274</v>
      </c>
      <c r="D682" s="21"/>
    </row>
    <row r="683" spans="1:4" ht="12.75" customHeight="1" x14ac:dyDescent="0.2">
      <c r="A683" s="21"/>
      <c r="B683" s="3" t="s">
        <v>2</v>
      </c>
      <c r="C683" s="20" t="s">
        <v>2322</v>
      </c>
      <c r="D683" s="21"/>
    </row>
    <row r="684" spans="1:4" ht="12.75" customHeight="1" x14ac:dyDescent="0.2">
      <c r="A684" s="21"/>
      <c r="B684" s="3" t="s">
        <v>1840</v>
      </c>
      <c r="C684" s="20" t="s">
        <v>1213</v>
      </c>
      <c r="D684" s="21"/>
    </row>
    <row r="685" spans="1:4" ht="12.75" customHeight="1" x14ac:dyDescent="0.2">
      <c r="A685" s="21"/>
      <c r="B685" s="3" t="s">
        <v>9</v>
      </c>
      <c r="C685" s="20" t="s">
        <v>1517</v>
      </c>
      <c r="D685" s="21"/>
    </row>
    <row r="686" spans="1:4" ht="12.75" customHeight="1" x14ac:dyDescent="0.2">
      <c r="A686" s="21"/>
      <c r="B686" s="3" t="s">
        <v>11</v>
      </c>
      <c r="C686" s="20" t="s">
        <v>360</v>
      </c>
      <c r="D686" s="21"/>
    </row>
    <row r="687" spans="1:4" ht="12.75" customHeight="1" x14ac:dyDescent="0.2">
      <c r="A687" s="21"/>
      <c r="B687" s="3" t="s">
        <v>16</v>
      </c>
      <c r="C687" s="20"/>
      <c r="D687" s="21"/>
    </row>
    <row r="688" spans="1:4" ht="12.75" customHeight="1" x14ac:dyDescent="0.2">
      <c r="A688" s="21"/>
      <c r="B688" s="3" t="s">
        <v>17</v>
      </c>
      <c r="C688" s="20" t="s">
        <v>19</v>
      </c>
      <c r="D688" s="21"/>
    </row>
    <row r="689" spans="1:4" ht="12.75" customHeight="1" x14ac:dyDescent="0.2">
      <c r="A689" s="21"/>
      <c r="B689" s="20" t="s">
        <v>18</v>
      </c>
      <c r="C689" s="4" t="s">
        <v>57</v>
      </c>
      <c r="D689" s="6" t="str">
        <f>HYPERLINK("javascript:void(0)","csillámgöb")</f>
        <v>csillámgöb</v>
      </c>
    </row>
    <row r="690" spans="1:4" ht="25.5" customHeight="1" x14ac:dyDescent="0.2">
      <c r="A690" s="21"/>
      <c r="B690" s="21"/>
      <c r="C690" s="4" t="s">
        <v>44</v>
      </c>
      <c r="D690" s="6" t="str">
        <f>HYPERLINK("javascript:void(0)","könnyű csillámköpeny")</f>
        <v>könnyű csillámköpeny</v>
      </c>
    </row>
    <row r="691" spans="1:4" ht="12.75" customHeight="1" x14ac:dyDescent="0.2">
      <c r="A691" s="21"/>
      <c r="B691" s="21"/>
      <c r="C691" s="4" t="s">
        <v>139</v>
      </c>
      <c r="D691" s="6" t="str">
        <f>HYPERLINK("javascript:void(0)","rubin láncing")</f>
        <v>rubin láncing</v>
      </c>
    </row>
    <row r="692" spans="1:4" ht="12.75" customHeight="1" x14ac:dyDescent="0.2">
      <c r="A692" s="21"/>
      <c r="B692" s="2"/>
      <c r="C692" s="2"/>
      <c r="D692" s="2"/>
    </row>
    <row r="693" spans="1:4" ht="12.75" customHeight="1" x14ac:dyDescent="0.2">
      <c r="A693" s="21"/>
      <c r="B693" s="2"/>
      <c r="C693" s="2"/>
      <c r="D693" s="2"/>
    </row>
    <row r="694" spans="1:4" ht="12.75" customHeight="1" x14ac:dyDescent="0.2">
      <c r="A694" s="21"/>
      <c r="B694" s="2"/>
      <c r="C694" s="2"/>
      <c r="D694" s="2"/>
    </row>
    <row r="695" spans="1:4" ht="12.75" customHeight="1" x14ac:dyDescent="0.2">
      <c r="A695" s="21"/>
      <c r="B695" s="2"/>
      <c r="C695" s="2"/>
      <c r="D695" s="2"/>
    </row>
    <row r="696" spans="1:4" ht="12.75" customHeight="1" x14ac:dyDescent="0.2">
      <c r="A696" s="5"/>
      <c r="B696" s="2"/>
      <c r="C696" s="2"/>
      <c r="D696" s="2"/>
    </row>
    <row r="697" spans="1:4" ht="12.75" customHeight="1" x14ac:dyDescent="0.2">
      <c r="A697" s="22" t="str">
        <f>HYPERLINK("javascript:void(0)","ezüst mellvért")</f>
        <v>ezüst mellvért</v>
      </c>
      <c r="B697" s="21"/>
      <c r="C697" s="21"/>
      <c r="D697" s="21"/>
    </row>
    <row r="698" spans="1:4" ht="12.75" customHeight="1" x14ac:dyDescent="0.2">
      <c r="A698" s="20"/>
      <c r="B698" s="2"/>
      <c r="C698" s="2"/>
      <c r="D698" s="2"/>
    </row>
    <row r="699" spans="1:4" ht="12.75" customHeight="1" x14ac:dyDescent="0.2">
      <c r="A699" s="21"/>
      <c r="B699" s="3" t="s">
        <v>0</v>
      </c>
      <c r="C699" s="20" t="s">
        <v>52</v>
      </c>
      <c r="D699" s="21"/>
    </row>
    <row r="700" spans="1:4" ht="12.75" customHeight="1" x14ac:dyDescent="0.2">
      <c r="A700" s="21"/>
      <c r="B700" s="3" t="s">
        <v>2</v>
      </c>
      <c r="C700" s="20" t="s">
        <v>2322</v>
      </c>
      <c r="D700" s="21"/>
    </row>
    <row r="701" spans="1:4" ht="12.75" customHeight="1" x14ac:dyDescent="0.2">
      <c r="A701" s="21"/>
      <c r="B701" s="3" t="s">
        <v>1840</v>
      </c>
      <c r="C701" s="20" t="s">
        <v>1114</v>
      </c>
      <c r="D701" s="21"/>
    </row>
    <row r="702" spans="1:4" ht="12.75" customHeight="1" x14ac:dyDescent="0.2">
      <c r="A702" s="21"/>
      <c r="B702" s="3" t="s">
        <v>9</v>
      </c>
      <c r="C702" s="20" t="s">
        <v>129</v>
      </c>
      <c r="D702" s="21"/>
    </row>
    <row r="703" spans="1:4" ht="12.75" customHeight="1" x14ac:dyDescent="0.2">
      <c r="A703" s="21"/>
      <c r="B703" s="3" t="s">
        <v>11</v>
      </c>
      <c r="C703" s="20" t="s">
        <v>368</v>
      </c>
      <c r="D703" s="21"/>
    </row>
    <row r="704" spans="1:4" ht="12.75" customHeight="1" x14ac:dyDescent="0.2">
      <c r="A704" s="21"/>
      <c r="B704" s="3" t="s">
        <v>16</v>
      </c>
      <c r="C704" s="20"/>
      <c r="D704" s="21"/>
    </row>
    <row r="705" spans="1:4" ht="12.75" customHeight="1" x14ac:dyDescent="0.2">
      <c r="A705" s="21"/>
      <c r="B705" s="3" t="s">
        <v>17</v>
      </c>
      <c r="C705" s="20" t="s">
        <v>19</v>
      </c>
      <c r="D705" s="21"/>
    </row>
    <row r="706" spans="1:4" ht="12.75" customHeight="1" x14ac:dyDescent="0.2">
      <c r="A706" s="21"/>
      <c r="B706" s="20" t="s">
        <v>18</v>
      </c>
      <c r="C706" s="4" t="s">
        <v>67</v>
      </c>
      <c r="D706" s="6" t="str">
        <f>HYPERLINK("javascript:void(0)","ezüströg")</f>
        <v>ezüströg</v>
      </c>
    </row>
    <row r="707" spans="1:4" ht="12.75" customHeight="1" x14ac:dyDescent="0.2">
      <c r="A707" s="21"/>
      <c r="B707" s="21"/>
      <c r="C707" s="4" t="s">
        <v>265</v>
      </c>
      <c r="D707" s="6" t="str">
        <f>HYPERLINK("javascript:void(0)","rémszem")</f>
        <v>rémszem</v>
      </c>
    </row>
    <row r="708" spans="1:4" ht="12.75" customHeight="1" x14ac:dyDescent="0.2">
      <c r="A708" s="21"/>
      <c r="B708" s="21"/>
      <c r="C708" s="4" t="s">
        <v>232</v>
      </c>
      <c r="D708" s="6" t="str">
        <f>HYPERLINK("javascript:void(0)","kígyócsörgő")</f>
        <v>kígyócsörgő</v>
      </c>
    </row>
    <row r="709" spans="1:4" ht="12.75" customHeight="1" x14ac:dyDescent="0.2">
      <c r="A709" s="21"/>
      <c r="B709" s="2"/>
      <c r="C709" s="2"/>
      <c r="D709" s="2"/>
    </row>
    <row r="710" spans="1:4" ht="12.75" customHeight="1" x14ac:dyDescent="0.2">
      <c r="A710" s="21"/>
      <c r="B710" s="2"/>
      <c r="C710" s="2"/>
      <c r="D710" s="2"/>
    </row>
    <row r="711" spans="1:4" ht="12.75" customHeight="1" x14ac:dyDescent="0.2">
      <c r="A711" s="21"/>
      <c r="B711" s="2"/>
      <c r="C711" s="2"/>
      <c r="D711" s="2"/>
    </row>
    <row r="712" spans="1:4" ht="12.75" customHeight="1" x14ac:dyDescent="0.2">
      <c r="A712" s="21"/>
      <c r="B712" s="2"/>
      <c r="C712" s="2"/>
      <c r="D712" s="2"/>
    </row>
    <row r="713" spans="1:4" ht="12.75" customHeight="1" x14ac:dyDescent="0.2">
      <c r="A713" s="5"/>
      <c r="B713" s="2"/>
      <c r="C713" s="2"/>
      <c r="D713" s="2"/>
    </row>
    <row r="714" spans="1:4" ht="12.75" customHeight="1" x14ac:dyDescent="0.2">
      <c r="A714" s="22" t="str">
        <f>HYPERLINK("javascript:void(0)","réz mellvért")</f>
        <v>réz mellvért</v>
      </c>
      <c r="B714" s="21"/>
      <c r="C714" s="21"/>
      <c r="D714" s="21"/>
    </row>
    <row r="715" spans="1:4" ht="12.75" customHeight="1" x14ac:dyDescent="0.2">
      <c r="A715" s="20"/>
      <c r="B715" s="2"/>
      <c r="C715" s="2"/>
      <c r="D715" s="2"/>
    </row>
    <row r="716" spans="1:4" ht="12.75" customHeight="1" x14ac:dyDescent="0.2">
      <c r="A716" s="21"/>
      <c r="B716" s="3" t="s">
        <v>0</v>
      </c>
      <c r="C716" s="20" t="s">
        <v>385</v>
      </c>
      <c r="D716" s="21"/>
    </row>
    <row r="717" spans="1:4" ht="12.75" customHeight="1" x14ac:dyDescent="0.2">
      <c r="A717" s="21"/>
      <c r="B717" s="3" t="s">
        <v>2</v>
      </c>
      <c r="C717" s="20" t="s">
        <v>2322</v>
      </c>
      <c r="D717" s="21"/>
    </row>
    <row r="718" spans="1:4" ht="12.75" customHeight="1" x14ac:dyDescent="0.2">
      <c r="A718" s="21"/>
      <c r="B718" s="3" t="s">
        <v>1840</v>
      </c>
      <c r="C718" s="20" t="s">
        <v>1165</v>
      </c>
      <c r="D718" s="21"/>
    </row>
    <row r="719" spans="1:4" ht="12.75" customHeight="1" x14ac:dyDescent="0.2">
      <c r="A719" s="21"/>
      <c r="B719" s="3" t="s">
        <v>9</v>
      </c>
      <c r="C719" s="20" t="s">
        <v>131</v>
      </c>
      <c r="D719" s="21"/>
    </row>
    <row r="720" spans="1:4" ht="12.75" customHeight="1" x14ac:dyDescent="0.2">
      <c r="A720" s="21"/>
      <c r="B720" s="3" t="s">
        <v>11</v>
      </c>
      <c r="C720" s="20" t="s">
        <v>381</v>
      </c>
      <c r="D720" s="21"/>
    </row>
    <row r="721" spans="1:4" ht="12.75" customHeight="1" x14ac:dyDescent="0.2">
      <c r="A721" s="21"/>
      <c r="B721" s="3" t="s">
        <v>16</v>
      </c>
      <c r="C721" s="20"/>
      <c r="D721" s="21"/>
    </row>
    <row r="722" spans="1:4" ht="12.75" customHeight="1" x14ac:dyDescent="0.2">
      <c r="A722" s="21"/>
      <c r="B722" s="3" t="s">
        <v>17</v>
      </c>
      <c r="C722" s="20" t="s">
        <v>19</v>
      </c>
      <c r="D722" s="21"/>
    </row>
    <row r="723" spans="1:4" ht="12.75" customHeight="1" x14ac:dyDescent="0.2">
      <c r="A723" s="21"/>
      <c r="B723" s="20" t="s">
        <v>18</v>
      </c>
      <c r="C723" s="4" t="s">
        <v>44</v>
      </c>
      <c r="D723" s="6" t="str">
        <f>HYPERLINK("javascript:void(0)","ezüst mellvért")</f>
        <v>ezüst mellvért</v>
      </c>
    </row>
    <row r="724" spans="1:4" ht="12.75" customHeight="1" x14ac:dyDescent="0.2">
      <c r="A724" s="21"/>
      <c r="B724" s="21"/>
      <c r="C724" s="4" t="s">
        <v>67</v>
      </c>
      <c r="D724" s="6" t="str">
        <f>HYPERLINK("javascript:void(0)","rézrög")</f>
        <v>rézrög</v>
      </c>
    </row>
    <row r="725" spans="1:4" ht="12.75" customHeight="1" x14ac:dyDescent="0.2">
      <c r="A725" s="21"/>
      <c r="B725" s="21"/>
      <c r="C725" s="4" t="s">
        <v>68</v>
      </c>
      <c r="D725" s="6" t="str">
        <f>HYPERLINK("javascript:void(0)","démonfog")</f>
        <v>démonfog</v>
      </c>
    </row>
    <row r="726" spans="1:4" ht="12.75" customHeight="1" x14ac:dyDescent="0.2">
      <c r="A726" s="21"/>
      <c r="B726" s="2"/>
      <c r="C726" s="2"/>
      <c r="D726" s="2"/>
    </row>
    <row r="727" spans="1:4" ht="12.75" customHeight="1" x14ac:dyDescent="0.2">
      <c r="A727" s="21"/>
      <c r="B727" s="2"/>
      <c r="C727" s="2"/>
      <c r="D727" s="2"/>
    </row>
    <row r="728" spans="1:4" ht="12.75" customHeight="1" x14ac:dyDescent="0.2">
      <c r="A728" s="21"/>
      <c r="B728" s="2"/>
      <c r="C728" s="2"/>
      <c r="D728" s="2"/>
    </row>
    <row r="729" spans="1:4" ht="12.75" customHeight="1" x14ac:dyDescent="0.2">
      <c r="A729" s="21"/>
      <c r="B729" s="2"/>
      <c r="C729" s="2"/>
      <c r="D729" s="2"/>
    </row>
    <row r="730" spans="1:4" ht="12.75" customHeight="1" x14ac:dyDescent="0.2">
      <c r="A730" s="5"/>
      <c r="B730" s="2"/>
      <c r="C730" s="2"/>
      <c r="D730" s="2"/>
    </row>
    <row r="731" spans="1:4" ht="12.75" customHeight="1" x14ac:dyDescent="0.2">
      <c r="A731" s="22" t="str">
        <f>HYPERLINK("javascript:void(0)","arany mellvért")</f>
        <v>arany mellvért</v>
      </c>
      <c r="B731" s="21"/>
      <c r="C731" s="21"/>
      <c r="D731" s="21"/>
    </row>
    <row r="732" spans="1:4" ht="12.75" customHeight="1" x14ac:dyDescent="0.2">
      <c r="A732" s="20"/>
      <c r="B732" s="2"/>
      <c r="C732" s="2"/>
      <c r="D732" s="2"/>
    </row>
    <row r="733" spans="1:4" ht="12.75" customHeight="1" x14ac:dyDescent="0.2">
      <c r="A733" s="21"/>
      <c r="B733" s="3" t="s">
        <v>0</v>
      </c>
      <c r="C733" s="20" t="s">
        <v>392</v>
      </c>
      <c r="D733" s="21"/>
    </row>
    <row r="734" spans="1:4" ht="12.75" customHeight="1" x14ac:dyDescent="0.2">
      <c r="A734" s="21"/>
      <c r="B734" s="3" t="s">
        <v>2</v>
      </c>
      <c r="C734" s="20" t="s">
        <v>2322</v>
      </c>
      <c r="D734" s="21"/>
    </row>
    <row r="735" spans="1:4" ht="12.75" customHeight="1" x14ac:dyDescent="0.2">
      <c r="A735" s="21"/>
      <c r="B735" s="3" t="s">
        <v>1840</v>
      </c>
      <c r="C735" s="20" t="s">
        <v>230</v>
      </c>
      <c r="D735" s="21"/>
    </row>
    <row r="736" spans="1:4" ht="12.75" customHeight="1" x14ac:dyDescent="0.2">
      <c r="A736" s="21"/>
      <c r="B736" s="3" t="s">
        <v>9</v>
      </c>
      <c r="C736" s="20" t="s">
        <v>124</v>
      </c>
      <c r="D736" s="21"/>
    </row>
    <row r="737" spans="1:4" ht="12.75" customHeight="1" x14ac:dyDescent="0.2">
      <c r="A737" s="21"/>
      <c r="B737" s="3" t="s">
        <v>11</v>
      </c>
      <c r="C737" s="20" t="s">
        <v>397</v>
      </c>
      <c r="D737" s="21"/>
    </row>
    <row r="738" spans="1:4" ht="12.75" customHeight="1" x14ac:dyDescent="0.2">
      <c r="A738" s="21"/>
      <c r="B738" s="3" t="s">
        <v>16</v>
      </c>
      <c r="C738" s="20"/>
      <c r="D738" s="21"/>
    </row>
    <row r="739" spans="1:4" ht="12.75" customHeight="1" x14ac:dyDescent="0.2">
      <c r="A739" s="21"/>
      <c r="B739" s="3" t="s">
        <v>17</v>
      </c>
      <c r="C739" s="20" t="s">
        <v>19</v>
      </c>
      <c r="D739" s="21"/>
    </row>
    <row r="740" spans="1:4" ht="12.75" customHeight="1" x14ac:dyDescent="0.2">
      <c r="A740" s="21"/>
      <c r="B740" s="20" t="s">
        <v>18</v>
      </c>
      <c r="C740" s="4" t="s">
        <v>44</v>
      </c>
      <c r="D740" s="6" t="str">
        <f>HYPERLINK("javascript:void(0)","arany előlap")</f>
        <v>arany előlap</v>
      </c>
    </row>
    <row r="741" spans="1:4" ht="12.75" customHeight="1" x14ac:dyDescent="0.2">
      <c r="A741" s="21"/>
      <c r="B741" s="21"/>
      <c r="C741" s="4" t="s">
        <v>44</v>
      </c>
      <c r="D741" s="6" t="str">
        <f>HYPERLINK("javascript:void(0)","réz mellvért")</f>
        <v>réz mellvért</v>
      </c>
    </row>
    <row r="742" spans="1:4" ht="12.75" customHeight="1" x14ac:dyDescent="0.2">
      <c r="A742" s="21"/>
      <c r="B742" s="21"/>
      <c r="C742" s="4" t="s">
        <v>44</v>
      </c>
      <c r="D742" s="6" t="str">
        <f>HYPERLINK("javascript:void(0)","animált páncél")</f>
        <v>animált páncél</v>
      </c>
    </row>
    <row r="743" spans="1:4" ht="12.75" customHeight="1" x14ac:dyDescent="0.2">
      <c r="A743" s="21"/>
      <c r="B743" s="2"/>
      <c r="C743" s="2"/>
      <c r="D743" s="2"/>
    </row>
    <row r="744" spans="1:4" ht="12.75" customHeight="1" x14ac:dyDescent="0.2">
      <c r="A744" s="21"/>
      <c r="B744" s="2"/>
      <c r="C744" s="2"/>
      <c r="D744" s="2"/>
    </row>
    <row r="745" spans="1:4" ht="12.75" customHeight="1" x14ac:dyDescent="0.2">
      <c r="A745" s="21"/>
      <c r="B745" s="2"/>
      <c r="C745" s="2"/>
      <c r="D745" s="2"/>
    </row>
    <row r="746" spans="1:4" ht="12.75" customHeight="1" x14ac:dyDescent="0.2">
      <c r="A746" s="21"/>
      <c r="B746" s="2"/>
      <c r="C746" s="2"/>
      <c r="D746" s="2"/>
    </row>
    <row r="747" spans="1:4" ht="12.75" customHeight="1" x14ac:dyDescent="0.2">
      <c r="A747" s="5"/>
      <c r="B747" s="2"/>
      <c r="C747" s="2"/>
      <c r="D747" s="2"/>
    </row>
    <row r="748" spans="1:4" ht="12.75" customHeight="1" x14ac:dyDescent="0.2">
      <c r="A748" s="22" t="str">
        <f>HYPERLINK("javascript:void(0)","bronz mellvért")</f>
        <v>bronz mellvért</v>
      </c>
      <c r="B748" s="21"/>
      <c r="C748" s="21"/>
      <c r="D748" s="21"/>
    </row>
    <row r="749" spans="1:4" ht="12.75" customHeight="1" x14ac:dyDescent="0.2">
      <c r="A749" s="20"/>
      <c r="B749" s="2"/>
      <c r="C749" s="2"/>
      <c r="D749" s="2"/>
    </row>
    <row r="750" spans="1:4" ht="12.75" customHeight="1" x14ac:dyDescent="0.2">
      <c r="A750" s="21"/>
      <c r="B750" s="3" t="s">
        <v>0</v>
      </c>
      <c r="C750" s="20" t="s">
        <v>192</v>
      </c>
      <c r="D750" s="21"/>
    </row>
    <row r="751" spans="1:4" ht="12.75" customHeight="1" x14ac:dyDescent="0.2">
      <c r="A751" s="21"/>
      <c r="B751" s="3" t="s">
        <v>2</v>
      </c>
      <c r="C751" s="20" t="s">
        <v>2322</v>
      </c>
      <c r="D751" s="21"/>
    </row>
    <row r="752" spans="1:4" ht="12.75" customHeight="1" x14ac:dyDescent="0.2">
      <c r="A752" s="21"/>
      <c r="B752" s="3" t="s">
        <v>1840</v>
      </c>
      <c r="C752" s="20" t="s">
        <v>1270</v>
      </c>
      <c r="D752" s="21"/>
    </row>
    <row r="753" spans="1:4" ht="12.75" customHeight="1" x14ac:dyDescent="0.2">
      <c r="A753" s="21"/>
      <c r="B753" s="3" t="s">
        <v>9</v>
      </c>
      <c r="C753" s="20" t="s">
        <v>75</v>
      </c>
      <c r="D753" s="21"/>
    </row>
    <row r="754" spans="1:4" ht="12.75" customHeight="1" x14ac:dyDescent="0.2">
      <c r="A754" s="21"/>
      <c r="B754" s="3" t="s">
        <v>11</v>
      </c>
      <c r="C754" s="20" t="s">
        <v>414</v>
      </c>
      <c r="D754" s="21"/>
    </row>
    <row r="755" spans="1:4" ht="12.75" customHeight="1" x14ac:dyDescent="0.2">
      <c r="A755" s="21"/>
      <c r="B755" s="3" t="s">
        <v>16</v>
      </c>
      <c r="C755" s="20"/>
      <c r="D755" s="21"/>
    </row>
    <row r="756" spans="1:4" ht="12.75" customHeight="1" x14ac:dyDescent="0.2">
      <c r="A756" s="21"/>
      <c r="B756" s="3" t="s">
        <v>17</v>
      </c>
      <c r="C756" s="20" t="s">
        <v>19</v>
      </c>
      <c r="D756" s="21"/>
    </row>
    <row r="757" spans="1:4" ht="12.75" customHeight="1" x14ac:dyDescent="0.2">
      <c r="A757" s="21"/>
      <c r="B757" s="20" t="s">
        <v>18</v>
      </c>
      <c r="C757" s="4" t="s">
        <v>67</v>
      </c>
      <c r="D757" s="6" t="str">
        <f>HYPERLINK("javascript:void(0)","bronzrög")</f>
        <v>bronzrög</v>
      </c>
    </row>
    <row r="758" spans="1:4" ht="12.75" customHeight="1" x14ac:dyDescent="0.2">
      <c r="A758" s="21"/>
      <c r="B758" s="21"/>
      <c r="C758" s="4" t="s">
        <v>290</v>
      </c>
      <c r="D758" s="6" t="str">
        <f>HYPERLINK("javascript:void(0)","lámpás")</f>
        <v>lámpás</v>
      </c>
    </row>
    <row r="759" spans="1:4" ht="12.75" customHeight="1" x14ac:dyDescent="0.2">
      <c r="A759" s="21"/>
      <c r="B759" s="21"/>
      <c r="C759" s="4" t="s">
        <v>369</v>
      </c>
      <c r="D759" s="6" t="str">
        <f>HYPERLINK("javascript:void(0)","mantüske")</f>
        <v>mantüske</v>
      </c>
    </row>
    <row r="760" spans="1:4" ht="12.75" customHeight="1" x14ac:dyDescent="0.2">
      <c r="A760" s="21"/>
      <c r="B760" s="2"/>
      <c r="C760" s="2"/>
      <c r="D760" s="2"/>
    </row>
    <row r="761" spans="1:4" ht="12.75" customHeight="1" x14ac:dyDescent="0.2">
      <c r="A761" s="21"/>
      <c r="B761" s="2"/>
      <c r="C761" s="2"/>
      <c r="D761" s="2"/>
    </row>
    <row r="762" spans="1:4" ht="12.75" customHeight="1" x14ac:dyDescent="0.2">
      <c r="A762" s="21"/>
      <c r="B762" s="2"/>
      <c r="C762" s="2"/>
      <c r="D762" s="2"/>
    </row>
    <row r="763" spans="1:4" ht="12.75" customHeight="1" x14ac:dyDescent="0.2">
      <c r="A763" s="21"/>
      <c r="B763" s="2"/>
      <c r="C763" s="2"/>
      <c r="D763" s="2"/>
    </row>
    <row r="764" spans="1:4" ht="12.75" customHeight="1" x14ac:dyDescent="0.2">
      <c r="A764" s="5"/>
      <c r="B764" s="2"/>
      <c r="C764" s="2"/>
      <c r="D764" s="2"/>
    </row>
    <row r="765" spans="1:4" ht="12.75" customHeight="1" x14ac:dyDescent="0.2">
      <c r="A765" s="22" t="str">
        <f>HYPERLINK("javascript:void(0)","vas mellvért")</f>
        <v>vas mellvért</v>
      </c>
      <c r="B765" s="21"/>
      <c r="C765" s="21"/>
      <c r="D765" s="21"/>
    </row>
    <row r="766" spans="1:4" ht="12.75" customHeight="1" x14ac:dyDescent="0.2">
      <c r="A766" s="20"/>
      <c r="B766" s="2"/>
      <c r="C766" s="2"/>
      <c r="D766" s="2"/>
    </row>
    <row r="767" spans="1:4" ht="12.75" customHeight="1" x14ac:dyDescent="0.2">
      <c r="A767" s="21"/>
      <c r="B767" s="3" t="s">
        <v>0</v>
      </c>
      <c r="C767" s="20" t="s">
        <v>115</v>
      </c>
      <c r="D767" s="21"/>
    </row>
    <row r="768" spans="1:4" ht="12.75" customHeight="1" x14ac:dyDescent="0.2">
      <c r="A768" s="21"/>
      <c r="B768" s="3" t="s">
        <v>2</v>
      </c>
      <c r="C768" s="20" t="s">
        <v>2322</v>
      </c>
      <c r="D768" s="21"/>
    </row>
    <row r="769" spans="1:4" ht="12.75" customHeight="1" x14ac:dyDescent="0.2">
      <c r="A769" s="21"/>
      <c r="B769" s="3" t="s">
        <v>1840</v>
      </c>
      <c r="C769" s="20" t="s">
        <v>361</v>
      </c>
      <c r="D769" s="21"/>
    </row>
    <row r="770" spans="1:4" ht="12.75" customHeight="1" x14ac:dyDescent="0.2">
      <c r="A770" s="21"/>
      <c r="B770" s="3" t="s">
        <v>9</v>
      </c>
      <c r="C770" s="20" t="s">
        <v>131</v>
      </c>
      <c r="D770" s="21"/>
    </row>
    <row r="771" spans="1:4" ht="12.75" customHeight="1" x14ac:dyDescent="0.2">
      <c r="A771" s="21"/>
      <c r="B771" s="3" t="s">
        <v>11</v>
      </c>
      <c r="C771" s="20" t="s">
        <v>427</v>
      </c>
      <c r="D771" s="21"/>
    </row>
    <row r="772" spans="1:4" ht="12.75" customHeight="1" x14ac:dyDescent="0.2">
      <c r="A772" s="21"/>
      <c r="B772" s="3" t="s">
        <v>16</v>
      </c>
      <c r="C772" s="20"/>
      <c r="D772" s="21"/>
    </row>
    <row r="773" spans="1:4" ht="12.75" customHeight="1" x14ac:dyDescent="0.2">
      <c r="A773" s="21"/>
      <c r="B773" s="3" t="s">
        <v>17</v>
      </c>
      <c r="C773" s="20" t="s">
        <v>19</v>
      </c>
      <c r="D773" s="21"/>
    </row>
    <row r="774" spans="1:4" ht="12.75" customHeight="1" x14ac:dyDescent="0.2">
      <c r="A774" s="21"/>
      <c r="B774" s="20" t="s">
        <v>18</v>
      </c>
      <c r="C774" s="4" t="s">
        <v>44</v>
      </c>
      <c r="D774" s="6" t="str">
        <f>HYPERLINK("javascript:void(0)","arany mellvért")</f>
        <v>arany mellvért</v>
      </c>
    </row>
    <row r="775" spans="1:4" ht="12.75" customHeight="1" x14ac:dyDescent="0.2">
      <c r="A775" s="21"/>
      <c r="B775" s="21"/>
      <c r="C775" s="4" t="s">
        <v>44</v>
      </c>
      <c r="D775" s="6" t="str">
        <f>HYPERLINK("javascript:void(0)","bronz mellvért")</f>
        <v>bronz mellvért</v>
      </c>
    </row>
    <row r="776" spans="1:4" ht="12.75" customHeight="1" x14ac:dyDescent="0.2">
      <c r="A776" s="21"/>
      <c r="B776" s="21"/>
      <c r="C776" s="4" t="s">
        <v>44</v>
      </c>
      <c r="D776" s="6" t="str">
        <f>HYPERLINK("javascript:void(0)","vas előlap")</f>
        <v>vas előlap</v>
      </c>
    </row>
    <row r="777" spans="1:4" ht="12.75" customHeight="1" x14ac:dyDescent="0.2">
      <c r="A777" s="21"/>
      <c r="B777" s="2"/>
      <c r="C777" s="2"/>
      <c r="D777" s="2"/>
    </row>
    <row r="778" spans="1:4" ht="12.75" customHeight="1" x14ac:dyDescent="0.2">
      <c r="A778" s="21"/>
      <c r="B778" s="2"/>
      <c r="C778" s="2"/>
      <c r="D778" s="2"/>
    </row>
    <row r="779" spans="1:4" ht="12.75" customHeight="1" x14ac:dyDescent="0.2">
      <c r="A779" s="21"/>
      <c r="B779" s="2"/>
      <c r="C779" s="2"/>
      <c r="D779" s="2"/>
    </row>
    <row r="780" spans="1:4" ht="12.75" customHeight="1" x14ac:dyDescent="0.2">
      <c r="A780" s="21"/>
      <c r="B780" s="2"/>
      <c r="C780" s="2"/>
      <c r="D780" s="2"/>
    </row>
    <row r="781" spans="1:4" ht="12.75" customHeight="1" x14ac:dyDescent="0.2">
      <c r="A781" s="5"/>
      <c r="B781" s="2"/>
      <c r="C781" s="2"/>
      <c r="D781" s="2"/>
    </row>
    <row r="782" spans="1:4" ht="12.75" customHeight="1" x14ac:dyDescent="0.2">
      <c r="A782" s="22" t="str">
        <f>HYPERLINK("javascript:void(0)","gyíkacél zubbony")</f>
        <v>gyíkacél zubbony</v>
      </c>
      <c r="B782" s="21"/>
      <c r="C782" s="21"/>
      <c r="D782" s="21"/>
    </row>
    <row r="783" spans="1:4" ht="12.75" customHeight="1" x14ac:dyDescent="0.2">
      <c r="A783" s="20"/>
      <c r="B783" s="2"/>
      <c r="C783" s="2"/>
      <c r="D783" s="2"/>
    </row>
    <row r="784" spans="1:4" ht="12.75" customHeight="1" x14ac:dyDescent="0.2">
      <c r="A784" s="21"/>
      <c r="B784" s="3" t="s">
        <v>0</v>
      </c>
      <c r="C784" s="20" t="s">
        <v>115</v>
      </c>
      <c r="D784" s="21"/>
    </row>
    <row r="785" spans="1:4" ht="12.75" customHeight="1" x14ac:dyDescent="0.2">
      <c r="A785" s="21"/>
      <c r="B785" s="3" t="s">
        <v>2</v>
      </c>
      <c r="C785" s="20" t="s">
        <v>2322</v>
      </c>
      <c r="D785" s="21"/>
    </row>
    <row r="786" spans="1:4" ht="12.75" customHeight="1" x14ac:dyDescent="0.2">
      <c r="A786" s="21"/>
      <c r="B786" s="3" t="s">
        <v>1840</v>
      </c>
      <c r="C786" s="20" t="s">
        <v>345</v>
      </c>
      <c r="D786" s="21"/>
    </row>
    <row r="787" spans="1:4" ht="12.75" customHeight="1" x14ac:dyDescent="0.2">
      <c r="A787" s="21"/>
      <c r="B787" s="3" t="s">
        <v>9</v>
      </c>
      <c r="C787" s="20" t="s">
        <v>250</v>
      </c>
      <c r="D787" s="21"/>
    </row>
    <row r="788" spans="1:4" ht="12.75" customHeight="1" x14ac:dyDescent="0.2">
      <c r="A788" s="21"/>
      <c r="B788" s="3" t="s">
        <v>11</v>
      </c>
      <c r="C788" s="20" t="s">
        <v>315</v>
      </c>
      <c r="D788" s="21"/>
    </row>
    <row r="789" spans="1:4" ht="12.75" customHeight="1" x14ac:dyDescent="0.2">
      <c r="A789" s="21"/>
      <c r="B789" s="3" t="s">
        <v>16</v>
      </c>
      <c r="C789" s="20"/>
      <c r="D789" s="21"/>
    </row>
    <row r="790" spans="1:4" ht="12.75" customHeight="1" x14ac:dyDescent="0.2">
      <c r="A790" s="21"/>
      <c r="B790" s="3" t="s">
        <v>17</v>
      </c>
      <c r="C790" s="20" t="s">
        <v>19</v>
      </c>
      <c r="D790" s="21"/>
    </row>
    <row r="791" spans="1:4" ht="12.75" customHeight="1" x14ac:dyDescent="0.2">
      <c r="A791" s="21"/>
      <c r="B791" s="20" t="s">
        <v>18</v>
      </c>
      <c r="C791" s="4" t="s">
        <v>280</v>
      </c>
      <c r="D791" s="6" t="str">
        <f>HYPERLINK("javascript:void(0)","portgyűrű")</f>
        <v>portgyűrű</v>
      </c>
    </row>
    <row r="792" spans="1:4" ht="12.75" customHeight="1" x14ac:dyDescent="0.2">
      <c r="A792" s="21"/>
      <c r="B792" s="21"/>
      <c r="C792" s="4" t="s">
        <v>280</v>
      </c>
      <c r="D792" s="6" t="str">
        <f>HYPERLINK("javascript:void(0)","szent szimbólum")</f>
        <v>szent szimbólum</v>
      </c>
    </row>
    <row r="793" spans="1:4" ht="12.75" customHeight="1" x14ac:dyDescent="0.2">
      <c r="A793" s="21"/>
      <c r="B793" s="21"/>
      <c r="C793" s="4" t="s">
        <v>1379</v>
      </c>
      <c r="D793" s="6" t="str">
        <f>HYPERLINK("javascript:void(0)","goblinbatka")</f>
        <v>goblinbatka</v>
      </c>
    </row>
    <row r="794" spans="1:4" ht="12.75" customHeight="1" x14ac:dyDescent="0.2">
      <c r="A794" s="21"/>
      <c r="B794" s="2"/>
      <c r="C794" s="2"/>
      <c r="D794" s="2"/>
    </row>
    <row r="795" spans="1:4" ht="12.75" customHeight="1" x14ac:dyDescent="0.2">
      <c r="A795" s="21"/>
      <c r="B795" s="2"/>
      <c r="C795" s="2"/>
      <c r="D795" s="2"/>
    </row>
    <row r="796" spans="1:4" ht="12.75" customHeight="1" x14ac:dyDescent="0.2">
      <c r="A796" s="21"/>
      <c r="B796" s="2"/>
      <c r="C796" s="2"/>
      <c r="D796" s="2"/>
    </row>
    <row r="797" spans="1:4" ht="12.75" customHeight="1" x14ac:dyDescent="0.2">
      <c r="A797" s="21"/>
      <c r="B797" s="2"/>
      <c r="C797" s="2"/>
      <c r="D797" s="2"/>
    </row>
    <row r="798" spans="1:4" ht="12.75" customHeight="1" x14ac:dyDescent="0.2">
      <c r="A798" s="5"/>
      <c r="B798" s="2"/>
      <c r="C798" s="2"/>
      <c r="D798" s="2"/>
    </row>
    <row r="799" spans="1:4" ht="12.75" customHeight="1" x14ac:dyDescent="0.2">
      <c r="A799" s="22" t="str">
        <f>HYPERLINK("javascript:void(0)","csillámmellény")</f>
        <v>csillámmellény</v>
      </c>
      <c r="B799" s="21"/>
      <c r="C799" s="21"/>
      <c r="D799" s="21"/>
    </row>
    <row r="800" spans="1:4" ht="12.75" customHeight="1" x14ac:dyDescent="0.2">
      <c r="A800" s="20"/>
      <c r="B800" s="2"/>
      <c r="C800" s="2"/>
      <c r="D800" s="2"/>
    </row>
    <row r="801" spans="1:4" ht="12.75" customHeight="1" x14ac:dyDescent="0.2">
      <c r="A801" s="21"/>
      <c r="B801" s="3" t="s">
        <v>0</v>
      </c>
      <c r="C801" s="20" t="s">
        <v>115</v>
      </c>
      <c r="D801" s="21"/>
    </row>
    <row r="802" spans="1:4" ht="12.75" customHeight="1" x14ac:dyDescent="0.2">
      <c r="A802" s="21"/>
      <c r="B802" s="3" t="s">
        <v>2</v>
      </c>
      <c r="C802" s="20" t="s">
        <v>2322</v>
      </c>
      <c r="D802" s="21"/>
    </row>
    <row r="803" spans="1:4" ht="12.75" customHeight="1" x14ac:dyDescent="0.2">
      <c r="A803" s="21"/>
      <c r="B803" s="3" t="s">
        <v>1840</v>
      </c>
      <c r="C803" s="20" t="s">
        <v>1422</v>
      </c>
      <c r="D803" s="21"/>
    </row>
    <row r="804" spans="1:4" ht="12.75" customHeight="1" x14ac:dyDescent="0.2">
      <c r="A804" s="21"/>
      <c r="B804" s="3" t="s">
        <v>9</v>
      </c>
      <c r="C804" s="20" t="s">
        <v>464</v>
      </c>
      <c r="D804" s="21"/>
    </row>
    <row r="805" spans="1:4" ht="12.75" customHeight="1" x14ac:dyDescent="0.2">
      <c r="A805" s="21"/>
      <c r="B805" s="3" t="s">
        <v>11</v>
      </c>
      <c r="C805" s="20" t="s">
        <v>427</v>
      </c>
      <c r="D805" s="21"/>
    </row>
    <row r="806" spans="1:4" ht="12.75" customHeight="1" x14ac:dyDescent="0.2">
      <c r="A806" s="21"/>
      <c r="B806" s="3" t="s">
        <v>16</v>
      </c>
      <c r="C806" s="20"/>
      <c r="D806" s="21"/>
    </row>
    <row r="807" spans="1:4" ht="12.75" customHeight="1" x14ac:dyDescent="0.2">
      <c r="A807" s="21"/>
      <c r="B807" s="3" t="s">
        <v>17</v>
      </c>
      <c r="C807" s="20" t="s">
        <v>19</v>
      </c>
      <c r="D807" s="21"/>
    </row>
    <row r="808" spans="1:4" ht="25.5" customHeight="1" x14ac:dyDescent="0.2">
      <c r="A808" s="21"/>
      <c r="B808" s="20" t="s">
        <v>18</v>
      </c>
      <c r="C808" s="4" t="s">
        <v>44</v>
      </c>
      <c r="D808" s="6" t="str">
        <f>HYPERLINK("javascript:void(0)","közepes csillámköpeny")</f>
        <v>közepes csillámköpeny</v>
      </c>
    </row>
    <row r="809" spans="1:4" ht="12.75" customHeight="1" x14ac:dyDescent="0.2">
      <c r="A809" s="21"/>
      <c r="B809" s="21"/>
      <c r="C809" s="4" t="s">
        <v>57</v>
      </c>
      <c r="D809" s="6" t="str">
        <f>HYPERLINK("javascript:void(0)","csillámgöb")</f>
        <v>csillámgöb</v>
      </c>
    </row>
    <row r="810" spans="1:4" ht="12.75" customHeight="1" x14ac:dyDescent="0.2">
      <c r="A810" s="21"/>
      <c r="B810" s="21"/>
      <c r="C810" s="4" t="s">
        <v>44</v>
      </c>
      <c r="D810" s="6" t="str">
        <f>HYPERLINK("javascript:void(0)","aranypáncél")</f>
        <v>aranypáncél</v>
      </c>
    </row>
    <row r="811" spans="1:4" ht="12.75" customHeight="1" x14ac:dyDescent="0.2">
      <c r="A811" s="21"/>
      <c r="B811" s="2"/>
      <c r="C811" s="2"/>
      <c r="D811" s="2"/>
    </row>
    <row r="812" spans="1:4" ht="12.75" customHeight="1" x14ac:dyDescent="0.2">
      <c r="A812" s="21"/>
      <c r="B812" s="2"/>
      <c r="C812" s="2"/>
      <c r="D812" s="2"/>
    </row>
    <row r="813" spans="1:4" ht="12.75" customHeight="1" x14ac:dyDescent="0.2">
      <c r="A813" s="21"/>
      <c r="B813" s="2"/>
      <c r="C813" s="2"/>
      <c r="D813" s="2"/>
    </row>
    <row r="814" spans="1:4" ht="12.75" customHeight="1" x14ac:dyDescent="0.2">
      <c r="A814" s="21"/>
      <c r="B814" s="2"/>
      <c r="C814" s="2"/>
      <c r="D814" s="2"/>
    </row>
    <row r="815" spans="1:4" ht="12.75" customHeight="1" x14ac:dyDescent="0.2">
      <c r="A815" s="5"/>
      <c r="B815" s="2"/>
      <c r="C815" s="2"/>
      <c r="D815" s="2"/>
    </row>
    <row r="816" spans="1:4" ht="12.75" customHeight="1" x14ac:dyDescent="0.2">
      <c r="A816" s="22" t="str">
        <f>HYPERLINK("javascript:void(0)","opál mellvért")</f>
        <v>opál mellvért</v>
      </c>
      <c r="B816" s="21"/>
      <c r="C816" s="21"/>
      <c r="D816" s="21"/>
    </row>
    <row r="817" spans="1:4" ht="12.75" customHeight="1" x14ac:dyDescent="0.2">
      <c r="A817" s="20"/>
      <c r="B817" s="2"/>
      <c r="C817" s="2"/>
      <c r="D817" s="2"/>
    </row>
    <row r="818" spans="1:4" ht="12.75" customHeight="1" x14ac:dyDescent="0.2">
      <c r="A818" s="21"/>
      <c r="B818" s="3" t="s">
        <v>0</v>
      </c>
      <c r="C818" s="20" t="s">
        <v>417</v>
      </c>
      <c r="D818" s="21"/>
    </row>
    <row r="819" spans="1:4" ht="12.75" customHeight="1" x14ac:dyDescent="0.2">
      <c r="A819" s="21"/>
      <c r="B819" s="3" t="s">
        <v>2</v>
      </c>
      <c r="C819" s="20" t="s">
        <v>2322</v>
      </c>
      <c r="D819" s="21"/>
    </row>
    <row r="820" spans="1:4" ht="12.75" customHeight="1" x14ac:dyDescent="0.2">
      <c r="A820" s="21"/>
      <c r="B820" s="3" t="s">
        <v>1840</v>
      </c>
      <c r="C820" s="20" t="s">
        <v>1359</v>
      </c>
      <c r="D820" s="21"/>
    </row>
    <row r="821" spans="1:4" ht="12.75" customHeight="1" x14ac:dyDescent="0.2">
      <c r="A821" s="21"/>
      <c r="B821" s="3" t="s">
        <v>9</v>
      </c>
      <c r="C821" s="20" t="s">
        <v>36</v>
      </c>
      <c r="D821" s="21"/>
    </row>
    <row r="822" spans="1:4" ht="12.75" customHeight="1" x14ac:dyDescent="0.2">
      <c r="A822" s="21"/>
      <c r="B822" s="3" t="s">
        <v>11</v>
      </c>
      <c r="C822" s="20" t="s">
        <v>437</v>
      </c>
      <c r="D822" s="21"/>
    </row>
    <row r="823" spans="1:4" ht="12.75" customHeight="1" x14ac:dyDescent="0.2">
      <c r="A823" s="21"/>
      <c r="B823" s="3" t="s">
        <v>16</v>
      </c>
      <c r="C823" s="20"/>
      <c r="D823" s="21"/>
    </row>
    <row r="824" spans="1:4" ht="12.75" customHeight="1" x14ac:dyDescent="0.2">
      <c r="A824" s="21"/>
      <c r="B824" s="3" t="s">
        <v>17</v>
      </c>
      <c r="C824" s="20" t="s">
        <v>19</v>
      </c>
      <c r="D824" s="21"/>
    </row>
    <row r="825" spans="1:4" ht="12.75" customHeight="1" x14ac:dyDescent="0.2">
      <c r="A825" s="21"/>
      <c r="B825" s="20" t="s">
        <v>18</v>
      </c>
      <c r="C825" s="4" t="s">
        <v>44</v>
      </c>
      <c r="D825" s="6" t="str">
        <f>HYPERLINK("javascript:void(0)","vas mellvért")</f>
        <v>vas mellvért</v>
      </c>
    </row>
    <row r="826" spans="1:4" ht="12.75" customHeight="1" x14ac:dyDescent="0.2">
      <c r="A826" s="21"/>
      <c r="B826" s="21"/>
      <c r="C826" s="4" t="s">
        <v>309</v>
      </c>
      <c r="D826" s="6" t="str">
        <f>HYPERLINK("javascript:void(0)","főnixtoll")</f>
        <v>főnixtoll</v>
      </c>
    </row>
    <row r="827" spans="1:4" ht="12.75" customHeight="1" x14ac:dyDescent="0.2">
      <c r="A827" s="21"/>
      <c r="B827" s="21"/>
      <c r="C827" s="4" t="s">
        <v>98</v>
      </c>
      <c r="D827" s="6" t="str">
        <f>HYPERLINK("javascript:void(0)","kocka")</f>
        <v>kocka</v>
      </c>
    </row>
    <row r="828" spans="1:4" ht="12.75" customHeight="1" x14ac:dyDescent="0.2">
      <c r="A828" s="21"/>
      <c r="B828" s="2"/>
      <c r="C828" s="2"/>
      <c r="D828" s="2"/>
    </row>
    <row r="829" spans="1:4" ht="12.75" customHeight="1" x14ac:dyDescent="0.2">
      <c r="A829" s="21"/>
      <c r="B829" s="2"/>
      <c r="C829" s="2"/>
      <c r="D829" s="2"/>
    </row>
    <row r="830" spans="1:4" ht="12.75" customHeight="1" x14ac:dyDescent="0.2">
      <c r="A830" s="21"/>
      <c r="B830" s="2"/>
      <c r="C830" s="2"/>
      <c r="D830" s="2"/>
    </row>
    <row r="831" spans="1:4" ht="12.75" customHeight="1" x14ac:dyDescent="0.2">
      <c r="A831" s="21"/>
      <c r="B831" s="2"/>
      <c r="C831" s="2"/>
      <c r="D831" s="2"/>
    </row>
    <row r="832" spans="1:4" ht="12.75" customHeight="1" x14ac:dyDescent="0.2">
      <c r="A832" s="5"/>
      <c r="B832" s="2"/>
      <c r="C832" s="2"/>
      <c r="D832" s="2"/>
    </row>
    <row r="833" spans="1:4" ht="12.75" customHeight="1" x14ac:dyDescent="0.2">
      <c r="A833" s="22" t="str">
        <f>HYPERLINK("javascript:void(0)","hidracél mellvért")</f>
        <v>hidracél mellvért</v>
      </c>
      <c r="B833" s="21"/>
      <c r="C833" s="21"/>
      <c r="D833" s="21"/>
    </row>
    <row r="834" spans="1:4" ht="12.75" customHeight="1" x14ac:dyDescent="0.2">
      <c r="A834" s="20"/>
      <c r="B834" s="2"/>
      <c r="C834" s="2"/>
      <c r="D834" s="2"/>
    </row>
    <row r="835" spans="1:4" ht="12.75" customHeight="1" x14ac:dyDescent="0.2">
      <c r="A835" s="21"/>
      <c r="B835" s="3" t="s">
        <v>0</v>
      </c>
      <c r="C835" s="20" t="s">
        <v>216</v>
      </c>
      <c r="D835" s="21"/>
    </row>
    <row r="836" spans="1:4" ht="12.75" customHeight="1" x14ac:dyDescent="0.2">
      <c r="A836" s="21"/>
      <c r="B836" s="3" t="s">
        <v>2</v>
      </c>
      <c r="C836" s="20" t="s">
        <v>2322</v>
      </c>
      <c r="D836" s="21"/>
    </row>
    <row r="837" spans="1:4" ht="12.75" customHeight="1" x14ac:dyDescent="0.2">
      <c r="A837" s="21"/>
      <c r="B837" s="3" t="s">
        <v>1840</v>
      </c>
      <c r="C837" s="20" t="s">
        <v>1385</v>
      </c>
      <c r="D837" s="21"/>
    </row>
    <row r="838" spans="1:4" ht="12.75" customHeight="1" x14ac:dyDescent="0.2">
      <c r="A838" s="21"/>
      <c r="B838" s="3" t="s">
        <v>9</v>
      </c>
      <c r="C838" s="20" t="s">
        <v>374</v>
      </c>
      <c r="D838" s="21"/>
    </row>
    <row r="839" spans="1:4" ht="12.75" customHeight="1" x14ac:dyDescent="0.2">
      <c r="A839" s="21"/>
      <c r="B839" s="3" t="s">
        <v>11</v>
      </c>
      <c r="C839" s="20" t="s">
        <v>447</v>
      </c>
      <c r="D839" s="21"/>
    </row>
    <row r="840" spans="1:4" ht="12.75" customHeight="1" x14ac:dyDescent="0.2">
      <c r="A840" s="21"/>
      <c r="B840" s="3" t="s">
        <v>16</v>
      </c>
      <c r="C840" s="20"/>
      <c r="D840" s="21"/>
    </row>
    <row r="841" spans="1:4" ht="12.75" customHeight="1" x14ac:dyDescent="0.2">
      <c r="A841" s="21"/>
      <c r="B841" s="3" t="s">
        <v>17</v>
      </c>
      <c r="C841" s="20" t="s">
        <v>19</v>
      </c>
      <c r="D841" s="21"/>
    </row>
    <row r="842" spans="1:4" ht="12.75" customHeight="1" x14ac:dyDescent="0.2">
      <c r="A842" s="21"/>
      <c r="B842" s="20" t="s">
        <v>18</v>
      </c>
      <c r="C842" s="4" t="s">
        <v>280</v>
      </c>
      <c r="D842" s="6" t="str">
        <f>HYPERLINK("javascript:void(0)","szén-hidragén")</f>
        <v>szén-hidragén</v>
      </c>
    </row>
    <row r="843" spans="1:4" ht="12.75" customHeight="1" x14ac:dyDescent="0.2">
      <c r="A843" s="21"/>
      <c r="B843" s="21"/>
      <c r="C843" s="4" t="s">
        <v>139</v>
      </c>
      <c r="D843" s="6" t="str">
        <f>HYPERLINK("javascript:void(0)","csáphárító")</f>
        <v>csáphárító</v>
      </c>
    </row>
    <row r="844" spans="1:4" ht="12.75" customHeight="1" x14ac:dyDescent="0.2">
      <c r="A844" s="21"/>
      <c r="B844" s="21"/>
      <c r="C844" s="4" t="s">
        <v>68</v>
      </c>
      <c r="D844" s="6" t="str">
        <f>HYPERLINK("javascript:void(0)","portgyűrű")</f>
        <v>portgyűrű</v>
      </c>
    </row>
    <row r="845" spans="1:4" ht="12.75" customHeight="1" x14ac:dyDescent="0.2">
      <c r="A845" s="21"/>
      <c r="B845" s="2"/>
      <c r="C845" s="2"/>
      <c r="D845" s="2"/>
    </row>
    <row r="846" spans="1:4" ht="12.75" customHeight="1" x14ac:dyDescent="0.2">
      <c r="A846" s="21"/>
      <c r="B846" s="2"/>
      <c r="C846" s="2"/>
      <c r="D846" s="2"/>
    </row>
    <row r="847" spans="1:4" ht="12.75" customHeight="1" x14ac:dyDescent="0.2">
      <c r="A847" s="21"/>
      <c r="B847" s="2"/>
      <c r="C847" s="2"/>
      <c r="D847" s="2"/>
    </row>
    <row r="848" spans="1:4" ht="12.75" customHeight="1" x14ac:dyDescent="0.2">
      <c r="A848" s="21"/>
      <c r="B848" s="2"/>
      <c r="C848" s="2"/>
      <c r="D848" s="2"/>
    </row>
    <row r="849" spans="1:4" ht="12.75" customHeight="1" x14ac:dyDescent="0.2">
      <c r="A849" s="5"/>
      <c r="B849" s="2"/>
      <c r="C849" s="2"/>
      <c r="D849" s="2"/>
    </row>
    <row r="850" spans="1:4" ht="12.75" customHeight="1" x14ac:dyDescent="0.2">
      <c r="A850" s="22" t="str">
        <f>HYPERLINK("javascript:void(0)","smaragd mellvért")</f>
        <v>smaragd mellvért</v>
      </c>
      <c r="B850" s="21"/>
      <c r="C850" s="21"/>
      <c r="D850" s="21"/>
    </row>
    <row r="851" spans="1:4" ht="12.75" customHeight="1" x14ac:dyDescent="0.2">
      <c r="A851" s="20"/>
      <c r="B851" s="2"/>
      <c r="C851" s="2"/>
      <c r="D851" s="2"/>
    </row>
    <row r="852" spans="1:4" ht="12.75" customHeight="1" x14ac:dyDescent="0.2">
      <c r="A852" s="21"/>
      <c r="B852" s="3" t="s">
        <v>0</v>
      </c>
      <c r="C852" s="20" t="s">
        <v>435</v>
      </c>
      <c r="D852" s="21"/>
    </row>
    <row r="853" spans="1:4" ht="12.75" customHeight="1" x14ac:dyDescent="0.2">
      <c r="A853" s="21"/>
      <c r="B853" s="3" t="s">
        <v>2</v>
      </c>
      <c r="C853" s="20" t="s">
        <v>2322</v>
      </c>
      <c r="D853" s="21"/>
    </row>
    <row r="854" spans="1:4" ht="12.75" customHeight="1" x14ac:dyDescent="0.2">
      <c r="A854" s="21"/>
      <c r="B854" s="3" t="s">
        <v>1840</v>
      </c>
      <c r="C854" s="20" t="s">
        <v>267</v>
      </c>
      <c r="D854" s="21"/>
    </row>
    <row r="855" spans="1:4" ht="12.75" customHeight="1" x14ac:dyDescent="0.2">
      <c r="A855" s="21"/>
      <c r="B855" s="3" t="s">
        <v>9</v>
      </c>
      <c r="C855" s="20" t="s">
        <v>124</v>
      </c>
      <c r="D855" s="21"/>
    </row>
    <row r="856" spans="1:4" ht="12.75" customHeight="1" x14ac:dyDescent="0.2">
      <c r="A856" s="21"/>
      <c r="B856" s="3" t="s">
        <v>11</v>
      </c>
      <c r="C856" s="20" t="s">
        <v>453</v>
      </c>
      <c r="D856" s="21"/>
    </row>
    <row r="857" spans="1:4" ht="12.75" customHeight="1" x14ac:dyDescent="0.2">
      <c r="A857" s="21"/>
      <c r="B857" s="3" t="s">
        <v>16</v>
      </c>
      <c r="C857" s="20"/>
      <c r="D857" s="21"/>
    </row>
    <row r="858" spans="1:4" ht="12.75" customHeight="1" x14ac:dyDescent="0.2">
      <c r="A858" s="21"/>
      <c r="B858" s="3" t="s">
        <v>17</v>
      </c>
      <c r="C858" s="20" t="s">
        <v>19</v>
      </c>
      <c r="D858" s="21"/>
    </row>
    <row r="859" spans="1:4" ht="12.75" customHeight="1" x14ac:dyDescent="0.2">
      <c r="A859" s="21"/>
      <c r="B859" s="20" t="s">
        <v>18</v>
      </c>
      <c r="C859" s="4" t="s">
        <v>44</v>
      </c>
      <c r="D859" s="6" t="str">
        <f>HYPERLINK("javascript:void(0)","opál mellvért")</f>
        <v>opál mellvért</v>
      </c>
    </row>
    <row r="860" spans="1:4" ht="12.75" customHeight="1" x14ac:dyDescent="0.2">
      <c r="A860" s="21"/>
      <c r="B860" s="21"/>
      <c r="C860" s="4" t="s">
        <v>44</v>
      </c>
      <c r="D860" s="6" t="str">
        <f>HYPERLINK("javascript:void(0)","hidracél mellvért")</f>
        <v>hidracél mellvért</v>
      </c>
    </row>
    <row r="861" spans="1:4" ht="12.75" customHeight="1" x14ac:dyDescent="0.2">
      <c r="A861" s="21"/>
      <c r="B861" s="21"/>
      <c r="C861" s="4" t="s">
        <v>44</v>
      </c>
      <c r="D861" s="6" t="str">
        <f>HYPERLINK("javascript:void(0)","smaragd előlap")</f>
        <v>smaragd előlap</v>
      </c>
    </row>
    <row r="862" spans="1:4" ht="12.75" customHeight="1" x14ac:dyDescent="0.2">
      <c r="A862" s="21"/>
      <c r="B862" s="2"/>
      <c r="C862" s="2"/>
      <c r="D862" s="2"/>
    </row>
    <row r="863" spans="1:4" ht="12.75" customHeight="1" x14ac:dyDescent="0.2">
      <c r="A863" s="21"/>
      <c r="B863" s="2"/>
      <c r="C863" s="2"/>
      <c r="D863" s="2"/>
    </row>
    <row r="864" spans="1:4" ht="12.75" customHeight="1" x14ac:dyDescent="0.2">
      <c r="A864" s="21"/>
      <c r="B864" s="2"/>
      <c r="C864" s="2"/>
      <c r="D864" s="2"/>
    </row>
    <row r="865" spans="1:4" ht="12.75" customHeight="1" x14ac:dyDescent="0.2">
      <c r="A865" s="21"/>
      <c r="B865" s="2"/>
      <c r="C865" s="2"/>
      <c r="D865" s="2"/>
    </row>
    <row r="866" spans="1:4" ht="12.75" customHeight="1" x14ac:dyDescent="0.2">
      <c r="A866" s="5"/>
      <c r="B866" s="2"/>
      <c r="C866" s="2"/>
      <c r="D866" s="2"/>
    </row>
    <row r="867" spans="1:4" ht="12.75" customHeight="1" x14ac:dyDescent="0.2">
      <c r="A867" s="22" t="str">
        <f>HYPERLINK("javascript:void(0)","rubin mellvért")</f>
        <v>rubin mellvért</v>
      </c>
      <c r="B867" s="21"/>
      <c r="C867" s="21"/>
      <c r="D867" s="21"/>
    </row>
    <row r="868" spans="1:4" ht="12.75" customHeight="1" x14ac:dyDescent="0.2">
      <c r="A868" s="20"/>
      <c r="B868" s="2"/>
      <c r="C868" s="2"/>
      <c r="D868" s="2"/>
    </row>
    <row r="869" spans="1:4" ht="12.75" customHeight="1" x14ac:dyDescent="0.2">
      <c r="A869" s="21"/>
      <c r="B869" s="3" t="s">
        <v>0</v>
      </c>
      <c r="C869" s="20" t="s">
        <v>47</v>
      </c>
      <c r="D869" s="21"/>
    </row>
    <row r="870" spans="1:4" ht="12.75" customHeight="1" x14ac:dyDescent="0.2">
      <c r="A870" s="21"/>
      <c r="B870" s="3" t="s">
        <v>2</v>
      </c>
      <c r="C870" s="20" t="s">
        <v>2322</v>
      </c>
      <c r="D870" s="21"/>
    </row>
    <row r="871" spans="1:4" ht="12.75" customHeight="1" x14ac:dyDescent="0.2">
      <c r="A871" s="21"/>
      <c r="B871" s="3" t="s">
        <v>1840</v>
      </c>
      <c r="C871" s="20" t="s">
        <v>364</v>
      </c>
      <c r="D871" s="21"/>
    </row>
    <row r="872" spans="1:4" ht="12.75" customHeight="1" x14ac:dyDescent="0.2">
      <c r="A872" s="21"/>
      <c r="B872" s="3" t="s">
        <v>9</v>
      </c>
      <c r="C872" s="20" t="s">
        <v>36</v>
      </c>
      <c r="D872" s="21"/>
    </row>
    <row r="873" spans="1:4" ht="12.75" customHeight="1" x14ac:dyDescent="0.2">
      <c r="A873" s="21"/>
      <c r="B873" s="3" t="s">
        <v>11</v>
      </c>
      <c r="C873" s="20" t="s">
        <v>465</v>
      </c>
      <c r="D873" s="21"/>
    </row>
    <row r="874" spans="1:4" ht="12.75" customHeight="1" x14ac:dyDescent="0.2">
      <c r="A874" s="21"/>
      <c r="B874" s="3" t="s">
        <v>16</v>
      </c>
      <c r="C874" s="20"/>
      <c r="D874" s="21"/>
    </row>
    <row r="875" spans="1:4" ht="12.75" customHeight="1" x14ac:dyDescent="0.2">
      <c r="A875" s="21"/>
      <c r="B875" s="3" t="s">
        <v>17</v>
      </c>
      <c r="C875" s="20" t="s">
        <v>19</v>
      </c>
      <c r="D875" s="21"/>
    </row>
    <row r="876" spans="1:4" ht="12.75" customHeight="1" x14ac:dyDescent="0.2">
      <c r="A876" s="21"/>
      <c r="B876" s="20" t="s">
        <v>18</v>
      </c>
      <c r="C876" s="4" t="s">
        <v>44</v>
      </c>
      <c r="D876" s="6" t="str">
        <f>HYPERLINK("javascript:void(0)","smaragd mellvért")</f>
        <v>smaragd mellvért</v>
      </c>
    </row>
    <row r="877" spans="1:4" ht="12.75" customHeight="1" x14ac:dyDescent="0.2">
      <c r="A877" s="21"/>
      <c r="B877" s="21"/>
      <c r="C877" s="4" t="s">
        <v>68</v>
      </c>
      <c r="D877" s="6" t="str">
        <f>HYPERLINK("javascript:void(0)","göb")</f>
        <v>göb</v>
      </c>
    </row>
    <row r="878" spans="1:4" ht="12.75" customHeight="1" x14ac:dyDescent="0.2">
      <c r="A878" s="21"/>
      <c r="B878" s="21"/>
      <c r="C878" s="4" t="s">
        <v>244</v>
      </c>
      <c r="D878" s="6" t="str">
        <f>HYPERLINK("javascript:void(0)","kocka")</f>
        <v>kocka</v>
      </c>
    </row>
    <row r="879" spans="1:4" ht="12.75" customHeight="1" x14ac:dyDescent="0.2">
      <c r="A879" s="21"/>
      <c r="B879" s="2"/>
      <c r="C879" s="2"/>
      <c r="D879" s="2"/>
    </row>
    <row r="880" spans="1:4" ht="12.75" customHeight="1" x14ac:dyDescent="0.2">
      <c r="A880" s="21"/>
      <c r="B880" s="2"/>
      <c r="C880" s="2"/>
      <c r="D880" s="2"/>
    </row>
    <row r="881" spans="1:4" ht="12.75" customHeight="1" x14ac:dyDescent="0.2">
      <c r="A881" s="21"/>
      <c r="B881" s="2"/>
      <c r="C881" s="2"/>
      <c r="D881" s="2"/>
    </row>
    <row r="882" spans="1:4" ht="12.75" customHeight="1" x14ac:dyDescent="0.2">
      <c r="A882" s="21"/>
      <c r="B882" s="2"/>
      <c r="C882" s="2"/>
      <c r="D882" s="2"/>
    </row>
    <row r="883" spans="1:4" ht="12.75" customHeight="1" x14ac:dyDescent="0.2">
      <c r="A883" s="5"/>
      <c r="B883" s="2"/>
      <c r="C883" s="2"/>
      <c r="D883" s="2"/>
    </row>
    <row r="884" spans="1:4" ht="12.75" customHeight="1" x14ac:dyDescent="0.2">
      <c r="A884" s="22" t="str">
        <f>HYPERLINK("javascript:void(0)","démonacél mellvért")</f>
        <v>démonacél mellvért</v>
      </c>
      <c r="B884" s="21"/>
      <c r="C884" s="21"/>
      <c r="D884" s="21"/>
    </row>
    <row r="885" spans="1:4" ht="12.75" customHeight="1" x14ac:dyDescent="0.2">
      <c r="A885" s="20"/>
      <c r="B885" s="2"/>
      <c r="C885" s="2"/>
      <c r="D885" s="2"/>
    </row>
    <row r="886" spans="1:4" ht="12.75" customHeight="1" x14ac:dyDescent="0.2">
      <c r="A886" s="21"/>
      <c r="B886" s="3" t="s">
        <v>0</v>
      </c>
      <c r="C886" s="20" t="s">
        <v>127</v>
      </c>
      <c r="D886" s="21"/>
    </row>
    <row r="887" spans="1:4" ht="12.75" customHeight="1" x14ac:dyDescent="0.2">
      <c r="A887" s="21"/>
      <c r="B887" s="3" t="s">
        <v>2</v>
      </c>
      <c r="C887" s="20" t="s">
        <v>2322</v>
      </c>
      <c r="D887" s="21"/>
    </row>
    <row r="888" spans="1:4" ht="12.75" customHeight="1" x14ac:dyDescent="0.2">
      <c r="A888" s="21"/>
      <c r="B888" s="3" t="s">
        <v>1840</v>
      </c>
      <c r="C888" s="20" t="s">
        <v>2389</v>
      </c>
      <c r="D888" s="21"/>
    </row>
    <row r="889" spans="1:4" ht="12.75" customHeight="1" x14ac:dyDescent="0.2">
      <c r="A889" s="21"/>
      <c r="B889" s="3" t="s">
        <v>9</v>
      </c>
      <c r="C889" s="20" t="s">
        <v>374</v>
      </c>
      <c r="D889" s="21"/>
    </row>
    <row r="890" spans="1:4" ht="12.75" customHeight="1" x14ac:dyDescent="0.2">
      <c r="A890" s="21"/>
      <c r="B890" s="3" t="s">
        <v>11</v>
      </c>
      <c r="C890" s="20" t="s">
        <v>470</v>
      </c>
      <c r="D890" s="21"/>
    </row>
    <row r="891" spans="1:4" ht="12.75" customHeight="1" x14ac:dyDescent="0.2">
      <c r="A891" s="21"/>
      <c r="B891" s="3" t="s">
        <v>16</v>
      </c>
      <c r="C891" s="20"/>
      <c r="D891" s="21"/>
    </row>
    <row r="892" spans="1:4" ht="12.75" customHeight="1" x14ac:dyDescent="0.2">
      <c r="A892" s="21"/>
      <c r="B892" s="3" t="s">
        <v>17</v>
      </c>
      <c r="C892" s="20" t="s">
        <v>19</v>
      </c>
      <c r="D892" s="21"/>
    </row>
    <row r="893" spans="1:4" ht="12.75" customHeight="1" x14ac:dyDescent="0.2">
      <c r="A893" s="21"/>
      <c r="B893" s="20" t="s">
        <v>18</v>
      </c>
      <c r="C893" s="4" t="s">
        <v>797</v>
      </c>
      <c r="D893" s="6" t="str">
        <f>HYPERLINK("javascript:void(0)","démonzanza")</f>
        <v>démonzanza</v>
      </c>
    </row>
    <row r="894" spans="1:4" ht="12.75" customHeight="1" x14ac:dyDescent="0.2">
      <c r="A894" s="21"/>
      <c r="B894" s="21"/>
      <c r="C894" s="4" t="s">
        <v>98</v>
      </c>
      <c r="D894" s="6" t="str">
        <f>HYPERLINK("javascript:void(0)","vari amulett")</f>
        <v>vari amulett</v>
      </c>
    </row>
    <row r="895" spans="1:4" ht="12.75" customHeight="1" x14ac:dyDescent="0.2">
      <c r="A895" s="21"/>
      <c r="B895" s="21"/>
      <c r="C895" s="4" t="s">
        <v>139</v>
      </c>
      <c r="D895" s="6" t="str">
        <f>HYPERLINK("javascript:void(0)","portgyűrű")</f>
        <v>portgyűrű</v>
      </c>
    </row>
    <row r="896" spans="1:4" ht="12.75" customHeight="1" x14ac:dyDescent="0.2">
      <c r="A896" s="21"/>
      <c r="B896" s="2"/>
      <c r="C896" s="2"/>
      <c r="D896" s="2"/>
    </row>
    <row r="897" spans="1:4" ht="12.75" customHeight="1" x14ac:dyDescent="0.2">
      <c r="A897" s="21"/>
      <c r="B897" s="2"/>
      <c r="C897" s="2"/>
      <c r="D897" s="2"/>
    </row>
    <row r="898" spans="1:4" ht="12.75" customHeight="1" x14ac:dyDescent="0.2">
      <c r="A898" s="21"/>
      <c r="B898" s="2"/>
      <c r="C898" s="2"/>
      <c r="D898" s="2"/>
    </row>
    <row r="899" spans="1:4" ht="12.75" customHeight="1" x14ac:dyDescent="0.2">
      <c r="A899" s="21"/>
      <c r="B899" s="2"/>
      <c r="C899" s="2"/>
      <c r="D899" s="2"/>
    </row>
    <row r="900" spans="1:4" ht="12.75" customHeight="1" x14ac:dyDescent="0.2">
      <c r="A900" s="5"/>
      <c r="B900" s="2"/>
      <c r="C900" s="2"/>
      <c r="D900" s="2"/>
    </row>
    <row r="901" spans="1:4" ht="12.75" customHeight="1" x14ac:dyDescent="0.2">
      <c r="A901" s="22" t="str">
        <f>HYPERLINK("javascript:void(0)","gyíkacél egyenruha")</f>
        <v>gyíkacél egyenruha</v>
      </c>
      <c r="B901" s="21"/>
      <c r="C901" s="21"/>
      <c r="D901" s="21"/>
    </row>
    <row r="902" spans="1:4" ht="12.75" customHeight="1" x14ac:dyDescent="0.2">
      <c r="A902" s="20"/>
      <c r="B902" s="2"/>
      <c r="C902" s="2"/>
      <c r="D902" s="2"/>
    </row>
    <row r="903" spans="1:4" ht="12.75" customHeight="1" x14ac:dyDescent="0.2">
      <c r="A903" s="21"/>
      <c r="B903" s="3" t="s">
        <v>0</v>
      </c>
      <c r="C903" s="20" t="s">
        <v>127</v>
      </c>
      <c r="D903" s="21"/>
    </row>
    <row r="904" spans="1:4" ht="12.75" customHeight="1" x14ac:dyDescent="0.2">
      <c r="A904" s="21"/>
      <c r="B904" s="3" t="s">
        <v>2</v>
      </c>
      <c r="C904" s="20" t="s">
        <v>2322</v>
      </c>
      <c r="D904" s="21"/>
    </row>
    <row r="905" spans="1:4" ht="12.75" customHeight="1" x14ac:dyDescent="0.2">
      <c r="A905" s="21"/>
      <c r="B905" s="3" t="s">
        <v>1840</v>
      </c>
      <c r="C905" s="20" t="s">
        <v>383</v>
      </c>
      <c r="D905" s="21"/>
    </row>
    <row r="906" spans="1:4" ht="12.75" customHeight="1" x14ac:dyDescent="0.2">
      <c r="A906" s="21"/>
      <c r="B906" s="3" t="s">
        <v>9</v>
      </c>
      <c r="C906" s="20" t="s">
        <v>236</v>
      </c>
      <c r="D906" s="21"/>
    </row>
    <row r="907" spans="1:4" ht="12.75" customHeight="1" x14ac:dyDescent="0.2">
      <c r="A907" s="21"/>
      <c r="B907" s="3" t="s">
        <v>11</v>
      </c>
      <c r="C907" s="20" t="s">
        <v>329</v>
      </c>
      <c r="D907" s="21"/>
    </row>
    <row r="908" spans="1:4" ht="12.75" customHeight="1" x14ac:dyDescent="0.2">
      <c r="A908" s="21"/>
      <c r="B908" s="3" t="s">
        <v>16</v>
      </c>
      <c r="C908" s="20"/>
      <c r="D908" s="21"/>
    </row>
    <row r="909" spans="1:4" ht="12.75" customHeight="1" x14ac:dyDescent="0.2">
      <c r="A909" s="21"/>
      <c r="B909" s="3" t="s">
        <v>17</v>
      </c>
      <c r="C909" s="20" t="s">
        <v>19</v>
      </c>
      <c r="D909" s="21"/>
    </row>
    <row r="910" spans="1:4" ht="12.75" customHeight="1" x14ac:dyDescent="0.2">
      <c r="A910" s="21"/>
      <c r="B910" s="20" t="s">
        <v>18</v>
      </c>
      <c r="C910" s="4" t="s">
        <v>280</v>
      </c>
      <c r="D910" s="6" t="str">
        <f>HYPERLINK("javascript:void(0)","portgyűrű")</f>
        <v>portgyűrű</v>
      </c>
    </row>
    <row r="911" spans="1:4" ht="12.75" customHeight="1" x14ac:dyDescent="0.2">
      <c r="A911" s="21"/>
      <c r="B911" s="21"/>
      <c r="C911" s="4" t="s">
        <v>1379</v>
      </c>
      <c r="D911" s="6" t="str">
        <f>HYPERLINK("javascript:void(0)","goblinbatka")</f>
        <v>goblinbatka</v>
      </c>
    </row>
    <row r="912" spans="1:4" ht="12.75" customHeight="1" x14ac:dyDescent="0.2">
      <c r="A912" s="21"/>
      <c r="B912" s="21"/>
      <c r="C912" s="4" t="s">
        <v>280</v>
      </c>
      <c r="D912" s="6" t="str">
        <f>HYPERLINK("javascript:void(0)","szent szimbólum")</f>
        <v>szent szimbólum</v>
      </c>
    </row>
    <row r="913" spans="1:4" ht="12.75" customHeight="1" x14ac:dyDescent="0.2">
      <c r="A913" s="21"/>
      <c r="B913" s="2"/>
      <c r="C913" s="2"/>
      <c r="D913" s="2"/>
    </row>
    <row r="914" spans="1:4" ht="12.75" customHeight="1" x14ac:dyDescent="0.2">
      <c r="A914" s="21"/>
      <c r="B914" s="2"/>
      <c r="C914" s="2"/>
      <c r="D914" s="2"/>
    </row>
    <row r="915" spans="1:4" ht="12.75" customHeight="1" x14ac:dyDescent="0.2">
      <c r="A915" s="21"/>
      <c r="B915" s="2"/>
      <c r="C915" s="2"/>
      <c r="D915" s="2"/>
    </row>
    <row r="916" spans="1:4" ht="12.75" customHeight="1" x14ac:dyDescent="0.2">
      <c r="A916" s="21"/>
      <c r="B916" s="2"/>
      <c r="C916" s="2"/>
      <c r="D916" s="2"/>
    </row>
    <row r="917" spans="1:4" ht="12.75" customHeight="1" x14ac:dyDescent="0.2">
      <c r="A917" s="5"/>
      <c r="B917" s="2"/>
      <c r="C917" s="2"/>
      <c r="D917" s="2"/>
    </row>
    <row r="918" spans="1:4" ht="12.75" customHeight="1" x14ac:dyDescent="0.2">
      <c r="A918" s="22" t="str">
        <f>HYPERLINK("javascript:void(0)","mellényes csillámköpeny")</f>
        <v>mellényes csillámköpeny</v>
      </c>
      <c r="B918" s="21"/>
      <c r="C918" s="21"/>
      <c r="D918" s="21"/>
    </row>
    <row r="919" spans="1:4" ht="12.75" customHeight="1" x14ac:dyDescent="0.2">
      <c r="A919" s="20"/>
      <c r="B919" s="2"/>
      <c r="C919" s="2"/>
      <c r="D919" s="2"/>
    </row>
    <row r="920" spans="1:4" ht="12.75" customHeight="1" x14ac:dyDescent="0.2">
      <c r="A920" s="21"/>
      <c r="B920" s="3" t="s">
        <v>0</v>
      </c>
      <c r="C920" s="20" t="s">
        <v>127</v>
      </c>
      <c r="D920" s="21"/>
    </row>
    <row r="921" spans="1:4" ht="12.75" customHeight="1" x14ac:dyDescent="0.2">
      <c r="A921" s="21"/>
      <c r="B921" s="3" t="s">
        <v>2</v>
      </c>
      <c r="C921" s="20" t="s">
        <v>2322</v>
      </c>
      <c r="D921" s="21"/>
    </row>
    <row r="922" spans="1:4" ht="12.75" customHeight="1" x14ac:dyDescent="0.2">
      <c r="A922" s="21"/>
      <c r="B922" s="3" t="s">
        <v>1840</v>
      </c>
      <c r="C922" s="20" t="s">
        <v>1770</v>
      </c>
      <c r="D922" s="21"/>
    </row>
    <row r="923" spans="1:4" ht="12.75" customHeight="1" x14ac:dyDescent="0.2">
      <c r="A923" s="21"/>
      <c r="B923" s="3" t="s">
        <v>9</v>
      </c>
      <c r="C923" s="20" t="s">
        <v>1433</v>
      </c>
      <c r="D923" s="21"/>
    </row>
    <row r="924" spans="1:4" ht="12.75" customHeight="1" x14ac:dyDescent="0.2">
      <c r="A924" s="21"/>
      <c r="B924" s="3" t="s">
        <v>11</v>
      </c>
      <c r="C924" s="20" t="s">
        <v>470</v>
      </c>
      <c r="D924" s="21"/>
    </row>
    <row r="925" spans="1:4" ht="12.75" customHeight="1" x14ac:dyDescent="0.2">
      <c r="A925" s="21"/>
      <c r="B925" s="3" t="s">
        <v>16</v>
      </c>
      <c r="C925" s="20"/>
      <c r="D925" s="21"/>
    </row>
    <row r="926" spans="1:4" ht="12.75" customHeight="1" x14ac:dyDescent="0.2">
      <c r="A926" s="21"/>
      <c r="B926" s="3" t="s">
        <v>17</v>
      </c>
      <c r="C926" s="20" t="s">
        <v>19</v>
      </c>
      <c r="D926" s="21"/>
    </row>
    <row r="927" spans="1:4" ht="12.75" customHeight="1" x14ac:dyDescent="0.2">
      <c r="A927" s="21"/>
      <c r="B927" s="20" t="s">
        <v>18</v>
      </c>
      <c r="C927" s="4" t="s">
        <v>57</v>
      </c>
      <c r="D927" s="6" t="str">
        <f>HYPERLINK("javascript:void(0)","csillámgöb")</f>
        <v>csillámgöb</v>
      </c>
    </row>
    <row r="928" spans="1:4" ht="12.75" customHeight="1" x14ac:dyDescent="0.2">
      <c r="A928" s="21"/>
      <c r="B928" s="21"/>
      <c r="C928" s="4" t="s">
        <v>44</v>
      </c>
      <c r="D928" s="6" t="str">
        <f>HYPERLINK("javascript:void(0)","csillámmellény")</f>
        <v>csillámmellény</v>
      </c>
    </row>
    <row r="929" spans="1:4" ht="12.75" customHeight="1" x14ac:dyDescent="0.2">
      <c r="A929" s="21"/>
      <c r="B929" s="21"/>
      <c r="C929" s="4" t="s">
        <v>280</v>
      </c>
      <c r="D929" s="6" t="str">
        <f>HYPERLINK("javascript:void(0)","gyémántkarika")</f>
        <v>gyémántkarika</v>
      </c>
    </row>
    <row r="930" spans="1:4" ht="12.75" customHeight="1" x14ac:dyDescent="0.2">
      <c r="A930" s="21"/>
      <c r="B930" s="2"/>
      <c r="C930" s="2"/>
      <c r="D930" s="2"/>
    </row>
    <row r="931" spans="1:4" ht="12.75" customHeight="1" x14ac:dyDescent="0.2">
      <c r="A931" s="21"/>
      <c r="B931" s="2"/>
      <c r="C931" s="2"/>
      <c r="D931" s="2"/>
    </row>
    <row r="932" spans="1:4" ht="12.75" customHeight="1" x14ac:dyDescent="0.2">
      <c r="A932" s="21"/>
      <c r="B932" s="2"/>
      <c r="C932" s="2"/>
      <c r="D932" s="2"/>
    </row>
    <row r="933" spans="1:4" ht="12.75" customHeight="1" x14ac:dyDescent="0.2">
      <c r="A933" s="21"/>
      <c r="B933" s="2"/>
      <c r="C933" s="2"/>
      <c r="D933" s="2"/>
    </row>
    <row r="934" spans="1:4" ht="12.75" customHeight="1" x14ac:dyDescent="0.2">
      <c r="A934" s="5"/>
      <c r="B934" s="2"/>
      <c r="C934" s="2"/>
      <c r="D934" s="2"/>
    </row>
    <row r="935" spans="1:4" ht="12.75" customHeight="1" x14ac:dyDescent="0.2">
      <c r="A935" s="22" t="str">
        <f>HYPERLINK("javascript:void(0)","gyémánt mellvért")</f>
        <v>gyémánt mellvért</v>
      </c>
      <c r="B935" s="21"/>
      <c r="C935" s="21"/>
      <c r="D935" s="21"/>
    </row>
    <row r="936" spans="1:4" ht="12.75" customHeight="1" x14ac:dyDescent="0.2">
      <c r="A936" s="20"/>
      <c r="B936" s="2"/>
      <c r="C936" s="2"/>
      <c r="D936" s="2"/>
    </row>
    <row r="937" spans="1:4" ht="12.75" customHeight="1" x14ac:dyDescent="0.2">
      <c r="A937" s="21"/>
      <c r="B937" s="3" t="s">
        <v>0</v>
      </c>
      <c r="C937" s="20" t="s">
        <v>204</v>
      </c>
      <c r="D937" s="21"/>
    </row>
    <row r="938" spans="1:4" ht="12.75" customHeight="1" x14ac:dyDescent="0.2">
      <c r="A938" s="21"/>
      <c r="B938" s="3" t="s">
        <v>2</v>
      </c>
      <c r="C938" s="20" t="s">
        <v>2322</v>
      </c>
      <c r="D938" s="21"/>
    </row>
    <row r="939" spans="1:4" ht="12.75" customHeight="1" x14ac:dyDescent="0.2">
      <c r="A939" s="21"/>
      <c r="B939" s="3" t="s">
        <v>1840</v>
      </c>
      <c r="C939" s="20" t="s">
        <v>2395</v>
      </c>
      <c r="D939" s="21"/>
    </row>
    <row r="940" spans="1:4" ht="12.75" customHeight="1" x14ac:dyDescent="0.2">
      <c r="A940" s="21"/>
      <c r="B940" s="3" t="s">
        <v>9</v>
      </c>
      <c r="C940" s="20" t="s">
        <v>30</v>
      </c>
      <c r="D940" s="21"/>
    </row>
    <row r="941" spans="1:4" ht="12.75" customHeight="1" x14ac:dyDescent="0.2">
      <c r="A941" s="21"/>
      <c r="B941" s="3" t="s">
        <v>11</v>
      </c>
      <c r="C941" s="20" t="s">
        <v>483</v>
      </c>
      <c r="D941" s="21"/>
    </row>
    <row r="942" spans="1:4" ht="12.75" customHeight="1" x14ac:dyDescent="0.2">
      <c r="A942" s="21"/>
      <c r="B942" s="3" t="s">
        <v>16</v>
      </c>
      <c r="C942" s="20"/>
      <c r="D942" s="21"/>
    </row>
    <row r="943" spans="1:4" ht="12.75" customHeight="1" x14ac:dyDescent="0.2">
      <c r="A943" s="21"/>
      <c r="B943" s="3" t="s">
        <v>17</v>
      </c>
      <c r="C943" s="20" t="s">
        <v>19</v>
      </c>
      <c r="D943" s="21"/>
    </row>
    <row r="944" spans="1:4" ht="12.75" customHeight="1" x14ac:dyDescent="0.2">
      <c r="A944" s="21"/>
      <c r="B944" s="20" t="s">
        <v>18</v>
      </c>
      <c r="C944" s="4" t="s">
        <v>44</v>
      </c>
      <c r="D944" s="6" t="str">
        <f>HYPERLINK("javascript:void(0)","rubin mellvért")</f>
        <v>rubin mellvért</v>
      </c>
    </row>
    <row r="945" spans="1:4" ht="12.75" customHeight="1" x14ac:dyDescent="0.2">
      <c r="A945" s="21"/>
      <c r="B945" s="21"/>
      <c r="C945" s="4" t="s">
        <v>44</v>
      </c>
      <c r="D945" s="6" t="str">
        <f>HYPERLINK("javascript:void(0)","démonacél mellvért")</f>
        <v>démonacél mellvért</v>
      </c>
    </row>
    <row r="946" spans="1:4" ht="12.75" customHeight="1" x14ac:dyDescent="0.2">
      <c r="A946" s="21"/>
      <c r="B946" s="21"/>
      <c r="C946" s="4" t="s">
        <v>44</v>
      </c>
      <c r="D946" s="6" t="str">
        <f>HYPERLINK("javascript:void(0)","gyémánt előlap")</f>
        <v>gyémánt előlap</v>
      </c>
    </row>
    <row r="947" spans="1:4" ht="12.75" customHeight="1" x14ac:dyDescent="0.2">
      <c r="A947" s="21"/>
      <c r="B947" s="2"/>
      <c r="C947" s="2"/>
      <c r="D947" s="2"/>
    </row>
    <row r="948" spans="1:4" ht="12.75" customHeight="1" x14ac:dyDescent="0.2">
      <c r="A948" s="21"/>
      <c r="B948" s="2"/>
      <c r="C948" s="2"/>
      <c r="D948" s="2"/>
    </row>
    <row r="949" spans="1:4" ht="12.75" customHeight="1" x14ac:dyDescent="0.2">
      <c r="A949" s="21"/>
      <c r="B949" s="2"/>
      <c r="C949" s="2"/>
      <c r="D949" s="2"/>
    </row>
    <row r="950" spans="1:4" ht="12.75" customHeight="1" x14ac:dyDescent="0.2">
      <c r="A950" s="21"/>
      <c r="B950" s="2"/>
      <c r="C950" s="2"/>
      <c r="D950" s="2"/>
    </row>
    <row r="951" spans="1:4" ht="12.75" customHeight="1" x14ac:dyDescent="0.2">
      <c r="A951" s="5"/>
      <c r="B951" s="2"/>
      <c r="C951" s="2"/>
      <c r="D951" s="2"/>
    </row>
    <row r="952" spans="1:4" ht="12.75" customHeight="1" x14ac:dyDescent="0.2">
      <c r="A952" s="22" t="str">
        <f>HYPERLINK("javascript:void(0)","dracoacél mellvért")</f>
        <v>dracoacél mellvért</v>
      </c>
      <c r="B952" s="21"/>
      <c r="C952" s="21"/>
      <c r="D952" s="21"/>
    </row>
    <row r="953" spans="1:4" ht="12.75" customHeight="1" x14ac:dyDescent="0.2">
      <c r="A953" s="20"/>
      <c r="B953" s="2"/>
      <c r="C953" s="2"/>
      <c r="D953" s="2"/>
    </row>
    <row r="954" spans="1:4" ht="12.75" customHeight="1" x14ac:dyDescent="0.2">
      <c r="A954" s="21"/>
      <c r="B954" s="3" t="s">
        <v>0</v>
      </c>
      <c r="C954" s="20" t="s">
        <v>468</v>
      </c>
      <c r="D954" s="21"/>
    </row>
    <row r="955" spans="1:4" ht="12.75" customHeight="1" x14ac:dyDescent="0.2">
      <c r="A955" s="21"/>
      <c r="B955" s="3" t="s">
        <v>2</v>
      </c>
      <c r="C955" s="20" t="s">
        <v>2322</v>
      </c>
      <c r="D955" s="21"/>
    </row>
    <row r="956" spans="1:4" ht="12.75" customHeight="1" x14ac:dyDescent="0.2">
      <c r="A956" s="21"/>
      <c r="B956" s="3" t="s">
        <v>1840</v>
      </c>
      <c r="C956" s="20" t="s">
        <v>2206</v>
      </c>
      <c r="D956" s="21"/>
    </row>
    <row r="957" spans="1:4" ht="12.75" customHeight="1" x14ac:dyDescent="0.2">
      <c r="A957" s="21"/>
      <c r="B957" s="3" t="s">
        <v>9</v>
      </c>
      <c r="C957" s="20" t="s">
        <v>200</v>
      </c>
      <c r="D957" s="21"/>
    </row>
    <row r="958" spans="1:4" ht="12.75" customHeight="1" x14ac:dyDescent="0.2">
      <c r="A958" s="21"/>
      <c r="B958" s="3" t="s">
        <v>11</v>
      </c>
      <c r="C958" s="20" t="s">
        <v>488</v>
      </c>
      <c r="D958" s="21"/>
    </row>
    <row r="959" spans="1:4" ht="12.75" customHeight="1" x14ac:dyDescent="0.2">
      <c r="A959" s="21"/>
      <c r="B959" s="3" t="s">
        <v>16</v>
      </c>
      <c r="C959" s="20"/>
      <c r="D959" s="21"/>
    </row>
    <row r="960" spans="1:4" ht="12.75" customHeight="1" x14ac:dyDescent="0.2">
      <c r="A960" s="21"/>
      <c r="B960" s="3" t="s">
        <v>17</v>
      </c>
      <c r="C960" s="20" t="s">
        <v>19</v>
      </c>
      <c r="D960" s="21"/>
    </row>
    <row r="961" spans="1:4" ht="12.75" customHeight="1" x14ac:dyDescent="0.2">
      <c r="A961" s="21"/>
      <c r="B961" s="20" t="s">
        <v>18</v>
      </c>
      <c r="C961" s="4" t="s">
        <v>44</v>
      </c>
      <c r="D961" s="6" t="str">
        <f>HYPERLINK("javascript:void(0)","gyémánt mellvért")</f>
        <v>gyémánt mellvért</v>
      </c>
    </row>
    <row r="962" spans="1:4" ht="12.75" customHeight="1" x14ac:dyDescent="0.2">
      <c r="A962" s="21"/>
      <c r="B962" s="21"/>
      <c r="C962" s="4" t="s">
        <v>68</v>
      </c>
      <c r="D962" s="6" t="str">
        <f>HYPERLINK("javascript:void(0)","csigaház")</f>
        <v>csigaház</v>
      </c>
    </row>
    <row r="963" spans="1:4" ht="12.75" customHeight="1" x14ac:dyDescent="0.2">
      <c r="A963" s="21"/>
      <c r="B963" s="21"/>
      <c r="C963" s="4" t="s">
        <v>269</v>
      </c>
      <c r="D963" s="6" t="str">
        <f>HYPERLINK("javascript:void(0)","esztétikum")</f>
        <v>esztétikum</v>
      </c>
    </row>
    <row r="964" spans="1:4" ht="12.75" customHeight="1" x14ac:dyDescent="0.2">
      <c r="A964" s="21"/>
      <c r="B964" s="2"/>
      <c r="C964" s="2"/>
      <c r="D964" s="2"/>
    </row>
    <row r="965" spans="1:4" ht="12.75" customHeight="1" x14ac:dyDescent="0.2">
      <c r="A965" s="21"/>
      <c r="B965" s="2"/>
      <c r="C965" s="2"/>
      <c r="D965" s="2"/>
    </row>
    <row r="966" spans="1:4" ht="12.75" customHeight="1" x14ac:dyDescent="0.2">
      <c r="A966" s="21"/>
      <c r="B966" s="2"/>
      <c r="C966" s="2"/>
      <c r="D966" s="2"/>
    </row>
    <row r="967" spans="1:4" ht="12.75" customHeight="1" x14ac:dyDescent="0.2">
      <c r="A967" s="21"/>
      <c r="B967" s="2"/>
      <c r="C967" s="2"/>
      <c r="D967" s="2"/>
    </row>
    <row r="968" spans="1:4" ht="12.75" customHeight="1" x14ac:dyDescent="0.2">
      <c r="A968" s="5"/>
      <c r="B968" s="2"/>
      <c r="C968" s="2"/>
      <c r="D968" s="2"/>
    </row>
    <row r="969" spans="1:4" ht="12.75" customHeight="1" x14ac:dyDescent="0.2">
      <c r="A969" s="22" t="str">
        <f>HYPERLINK("javascript:void(0)","diszpro mellvért")</f>
        <v>diszpro mellvért</v>
      </c>
      <c r="B969" s="21"/>
      <c r="C969" s="21"/>
      <c r="D969" s="21"/>
    </row>
    <row r="970" spans="1:4" ht="12.75" customHeight="1" x14ac:dyDescent="0.2">
      <c r="A970" s="20"/>
      <c r="B970" s="2"/>
      <c r="C970" s="2"/>
      <c r="D970" s="2"/>
    </row>
    <row r="971" spans="1:4" ht="12.75" customHeight="1" x14ac:dyDescent="0.2">
      <c r="A971" s="21"/>
      <c r="B971" s="3" t="s">
        <v>0</v>
      </c>
      <c r="C971" s="20" t="s">
        <v>213</v>
      </c>
      <c r="D971" s="21"/>
    </row>
    <row r="972" spans="1:4" ht="12.75" customHeight="1" x14ac:dyDescent="0.2">
      <c r="A972" s="21"/>
      <c r="B972" s="3" t="s">
        <v>2</v>
      </c>
      <c r="C972" s="20" t="s">
        <v>2322</v>
      </c>
      <c r="D972" s="21"/>
    </row>
    <row r="973" spans="1:4" ht="12.75" customHeight="1" x14ac:dyDescent="0.2">
      <c r="A973" s="21"/>
      <c r="B973" s="3" t="s">
        <v>1840</v>
      </c>
      <c r="C973" s="20" t="s">
        <v>175</v>
      </c>
      <c r="D973" s="21"/>
    </row>
    <row r="974" spans="1:4" ht="12.75" customHeight="1" x14ac:dyDescent="0.2">
      <c r="A974" s="21"/>
      <c r="B974" s="3" t="s">
        <v>9</v>
      </c>
      <c r="C974" s="20" t="s">
        <v>374</v>
      </c>
      <c r="D974" s="21"/>
    </row>
    <row r="975" spans="1:4" ht="12.75" customHeight="1" x14ac:dyDescent="0.2">
      <c r="A975" s="21"/>
      <c r="B975" s="3" t="s">
        <v>11</v>
      </c>
      <c r="C975" s="20" t="s">
        <v>497</v>
      </c>
      <c r="D975" s="21"/>
    </row>
    <row r="976" spans="1:4" ht="12.75" customHeight="1" x14ac:dyDescent="0.2">
      <c r="A976" s="21"/>
      <c r="B976" s="3" t="s">
        <v>16</v>
      </c>
      <c r="C976" s="20"/>
      <c r="D976" s="21"/>
    </row>
    <row r="977" spans="1:4" ht="12.75" customHeight="1" x14ac:dyDescent="0.2">
      <c r="A977" s="21"/>
      <c r="B977" s="3" t="s">
        <v>17</v>
      </c>
      <c r="C977" s="20" t="s">
        <v>19</v>
      </c>
      <c r="D977" s="21"/>
    </row>
    <row r="978" spans="1:4" ht="12.75" customHeight="1" x14ac:dyDescent="0.2">
      <c r="A978" s="21"/>
      <c r="B978" s="20" t="s">
        <v>18</v>
      </c>
      <c r="C978" s="4" t="s">
        <v>1085</v>
      </c>
      <c r="D978" s="6" t="str">
        <f>HYPERLINK("javascript:void(0)","diszprózium")</f>
        <v>diszprózium</v>
      </c>
    </row>
    <row r="979" spans="1:4" ht="12.75" customHeight="1" x14ac:dyDescent="0.2">
      <c r="A979" s="21"/>
      <c r="B979" s="21"/>
      <c r="C979" s="4" t="s">
        <v>68</v>
      </c>
      <c r="D979" s="6" t="str">
        <f>HYPERLINK("javascript:void(0)","istenköröm")</f>
        <v>istenköröm</v>
      </c>
    </row>
    <row r="980" spans="1:4" ht="12.75" customHeight="1" x14ac:dyDescent="0.2">
      <c r="A980" s="21"/>
      <c r="B980" s="21"/>
      <c r="C980" s="4" t="s">
        <v>117</v>
      </c>
      <c r="D980" s="6" t="str">
        <f>HYPERLINK("javascript:void(0)","hordócsap")</f>
        <v>hordócsap</v>
      </c>
    </row>
    <row r="981" spans="1:4" ht="12.75" customHeight="1" x14ac:dyDescent="0.2">
      <c r="A981" s="21"/>
      <c r="B981" s="2"/>
      <c r="C981" s="2"/>
      <c r="D981" s="2"/>
    </row>
    <row r="982" spans="1:4" ht="12.75" customHeight="1" x14ac:dyDescent="0.2">
      <c r="A982" s="21"/>
      <c r="B982" s="2"/>
      <c r="C982" s="2"/>
      <c r="D982" s="2"/>
    </row>
    <row r="983" spans="1:4" ht="12.75" customHeight="1" x14ac:dyDescent="0.2">
      <c r="A983" s="21"/>
      <c r="B983" s="2"/>
      <c r="C983" s="2"/>
      <c r="D983" s="2"/>
    </row>
    <row r="984" spans="1:4" ht="12.75" customHeight="1" x14ac:dyDescent="0.2">
      <c r="A984" s="21"/>
      <c r="B984" s="2"/>
      <c r="C984" s="2"/>
      <c r="D984" s="2"/>
    </row>
    <row r="985" spans="1:4" ht="12.75" customHeight="1" x14ac:dyDescent="0.2">
      <c r="A985" s="5"/>
      <c r="B985" s="2"/>
      <c r="C985" s="2"/>
      <c r="D985" s="2"/>
    </row>
    <row r="986" spans="1:4" ht="12.75" customHeight="1" x14ac:dyDescent="0.2">
      <c r="A986" s="22" t="str">
        <f>HYPERLINK("javascript:void(0)","kithrill mellvért")</f>
        <v>kithrill mellvért</v>
      </c>
      <c r="B986" s="21"/>
      <c r="C986" s="21"/>
      <c r="D986" s="21"/>
    </row>
    <row r="987" spans="1:4" ht="12.75" customHeight="1" x14ac:dyDescent="0.2">
      <c r="A987" s="20"/>
      <c r="B987" s="2"/>
      <c r="C987" s="2"/>
      <c r="D987" s="2"/>
    </row>
    <row r="988" spans="1:4" ht="12.75" customHeight="1" x14ac:dyDescent="0.2">
      <c r="A988" s="21"/>
      <c r="B988" s="3" t="s">
        <v>0</v>
      </c>
      <c r="C988" s="20" t="s">
        <v>58</v>
      </c>
      <c r="D988" s="21"/>
    </row>
    <row r="989" spans="1:4" ht="12.75" customHeight="1" x14ac:dyDescent="0.2">
      <c r="A989" s="21"/>
      <c r="B989" s="3" t="s">
        <v>2</v>
      </c>
      <c r="C989" s="20" t="s">
        <v>2322</v>
      </c>
      <c r="D989" s="21"/>
    </row>
    <row r="990" spans="1:4" ht="12.75" customHeight="1" x14ac:dyDescent="0.2">
      <c r="A990" s="21"/>
      <c r="B990" s="3" t="s">
        <v>1840</v>
      </c>
      <c r="C990" s="20" t="s">
        <v>2397</v>
      </c>
      <c r="D990" s="21"/>
    </row>
    <row r="991" spans="1:4" ht="12.75" customHeight="1" x14ac:dyDescent="0.2">
      <c r="A991" s="21"/>
      <c r="B991" s="3" t="s">
        <v>9</v>
      </c>
      <c r="C991" s="20" t="s">
        <v>135</v>
      </c>
      <c r="D991" s="21"/>
    </row>
    <row r="992" spans="1:4" ht="12.75" customHeight="1" x14ac:dyDescent="0.2">
      <c r="A992" s="21"/>
      <c r="B992" s="3" t="s">
        <v>11</v>
      </c>
      <c r="C992" s="20" t="s">
        <v>501</v>
      </c>
      <c r="D992" s="21"/>
    </row>
    <row r="993" spans="1:4" ht="12.75" customHeight="1" x14ac:dyDescent="0.2">
      <c r="A993" s="21"/>
      <c r="B993" s="3" t="s">
        <v>16</v>
      </c>
      <c r="C993" s="20"/>
      <c r="D993" s="21"/>
    </row>
    <row r="994" spans="1:4" ht="12.75" customHeight="1" x14ac:dyDescent="0.2">
      <c r="A994" s="21"/>
      <c r="B994" s="3" t="s">
        <v>17</v>
      </c>
      <c r="C994" s="20" t="s">
        <v>19</v>
      </c>
      <c r="D994" s="21"/>
    </row>
    <row r="995" spans="1:4" ht="12.75" customHeight="1" x14ac:dyDescent="0.2">
      <c r="A995" s="21"/>
      <c r="B995" s="20" t="s">
        <v>18</v>
      </c>
      <c r="C995" s="4" t="s">
        <v>44</v>
      </c>
      <c r="D995" s="6" t="str">
        <f>HYPERLINK("javascript:void(0)","dracoacél mellvért")</f>
        <v>dracoacél mellvért</v>
      </c>
    </row>
    <row r="996" spans="1:4" ht="12.75" customHeight="1" x14ac:dyDescent="0.2">
      <c r="A996" s="21"/>
      <c r="B996" s="21"/>
      <c r="C996" s="4" t="s">
        <v>44</v>
      </c>
      <c r="D996" s="6" t="str">
        <f>HYPERLINK("javascript:void(0)","diszpro mellvért")</f>
        <v>diszpro mellvért</v>
      </c>
    </row>
    <row r="997" spans="1:4" ht="12.75" customHeight="1" x14ac:dyDescent="0.2">
      <c r="A997" s="21"/>
      <c r="B997" s="21"/>
      <c r="C997" s="4" t="s">
        <v>44</v>
      </c>
      <c r="D997" s="6" t="str">
        <f>HYPERLINK("javascript:void(0)","kithrill előlap")</f>
        <v>kithrill előlap</v>
      </c>
    </row>
    <row r="998" spans="1:4" ht="12.75" customHeight="1" x14ac:dyDescent="0.2">
      <c r="A998" s="21"/>
      <c r="B998" s="2"/>
      <c r="C998" s="2"/>
      <c r="D998" s="2"/>
    </row>
    <row r="999" spans="1:4" ht="12.75" customHeight="1" x14ac:dyDescent="0.2">
      <c r="A999" s="21"/>
      <c r="B999" s="2"/>
      <c r="C999" s="2"/>
      <c r="D999" s="2"/>
    </row>
    <row r="1000" spans="1:4" ht="12.75" customHeight="1" x14ac:dyDescent="0.2">
      <c r="A1000" s="21"/>
      <c r="B1000" s="2"/>
      <c r="C1000" s="2"/>
      <c r="D1000" s="2"/>
    </row>
    <row r="1001" spans="1:4" ht="12.75" customHeight="1" x14ac:dyDescent="0.2">
      <c r="A1001" s="21"/>
      <c r="B1001" s="2"/>
      <c r="C1001" s="2"/>
      <c r="D1001" s="2"/>
    </row>
    <row r="1002" spans="1:4" ht="12.75" customHeight="1" x14ac:dyDescent="0.2">
      <c r="A1002" s="5"/>
      <c r="B1002" s="2"/>
      <c r="C1002" s="2"/>
      <c r="D1002" s="2"/>
    </row>
    <row r="1003" spans="1:4" ht="12.75" customHeight="1" x14ac:dyDescent="0.2">
      <c r="A1003" s="22" t="str">
        <f>HYPERLINK("javascript:void(0)","kithrill előlap")</f>
        <v>kithrill előlap</v>
      </c>
      <c r="B1003" s="21"/>
      <c r="C1003" s="21"/>
      <c r="D1003" s="21"/>
    </row>
    <row r="1004" spans="1:4" ht="12.75" customHeight="1" x14ac:dyDescent="0.2">
      <c r="A1004" s="20"/>
      <c r="B1004" s="2"/>
      <c r="C1004" s="2"/>
      <c r="D1004" s="2"/>
    </row>
    <row r="1005" spans="1:4" ht="12.75" customHeight="1" x14ac:dyDescent="0.2">
      <c r="A1005" s="21"/>
      <c r="B1005" s="3" t="s">
        <v>0</v>
      </c>
      <c r="C1005" s="20" t="s">
        <v>58</v>
      </c>
      <c r="D1005" s="21"/>
    </row>
    <row r="1006" spans="1:4" ht="12.75" customHeight="1" x14ac:dyDescent="0.2">
      <c r="A1006" s="21"/>
      <c r="B1006" s="3" t="s">
        <v>2</v>
      </c>
      <c r="C1006" s="20" t="s">
        <v>2322</v>
      </c>
      <c r="D1006" s="21"/>
    </row>
    <row r="1007" spans="1:4" ht="12.75" customHeight="1" x14ac:dyDescent="0.2">
      <c r="A1007" s="21"/>
      <c r="B1007" s="3" t="s">
        <v>1840</v>
      </c>
      <c r="C1007" s="20" t="s">
        <v>35</v>
      </c>
      <c r="D1007" s="21"/>
    </row>
    <row r="1008" spans="1:4" ht="12.75" customHeight="1" x14ac:dyDescent="0.2">
      <c r="A1008" s="21"/>
      <c r="B1008" s="3" t="s">
        <v>9</v>
      </c>
      <c r="C1008" s="20" t="s">
        <v>79</v>
      </c>
      <c r="D1008" s="21"/>
    </row>
    <row r="1009" spans="1:4" ht="12.75" customHeight="1" x14ac:dyDescent="0.2">
      <c r="A1009" s="21"/>
      <c r="B1009" s="3" t="s">
        <v>11</v>
      </c>
      <c r="C1009" s="20" t="s">
        <v>339</v>
      </c>
      <c r="D1009" s="21"/>
    </row>
    <row r="1010" spans="1:4" ht="12.75" customHeight="1" x14ac:dyDescent="0.2">
      <c r="A1010" s="21"/>
      <c r="B1010" s="3" t="s">
        <v>16</v>
      </c>
      <c r="C1010" s="20"/>
      <c r="D1010" s="21"/>
    </row>
    <row r="1011" spans="1:4" ht="12.75" customHeight="1" x14ac:dyDescent="0.2">
      <c r="A1011" s="21"/>
      <c r="B1011" s="3" t="s">
        <v>17</v>
      </c>
      <c r="C1011" s="20" t="s">
        <v>19</v>
      </c>
      <c r="D1011" s="21"/>
    </row>
    <row r="1012" spans="1:4" ht="12.75" customHeight="1" x14ac:dyDescent="0.2">
      <c r="A1012" s="21"/>
      <c r="B1012" s="20" t="s">
        <v>18</v>
      </c>
      <c r="C1012" s="4" t="s">
        <v>1085</v>
      </c>
      <c r="D1012" s="6" t="str">
        <f>HYPERLINK("javascript:void(0)","kithrill")</f>
        <v>kithrill</v>
      </c>
    </row>
    <row r="1013" spans="1:4" ht="12.75" customHeight="1" x14ac:dyDescent="0.2">
      <c r="A1013" s="21"/>
      <c r="B1013" s="21"/>
      <c r="C1013" s="4" t="s">
        <v>68</v>
      </c>
      <c r="D1013" s="6" t="str">
        <f>HYPERLINK("javascript:void(0)","vérrög")</f>
        <v>vérrög</v>
      </c>
    </row>
    <row r="1014" spans="1:4" ht="12.75" customHeight="1" x14ac:dyDescent="0.2">
      <c r="A1014" s="21"/>
      <c r="B1014" s="21"/>
      <c r="C1014" s="4" t="s">
        <v>98</v>
      </c>
      <c r="D1014" s="6" t="str">
        <f>HYPERLINK("javascript:void(0)","spóra")</f>
        <v>spóra</v>
      </c>
    </row>
    <row r="1015" spans="1:4" ht="12.75" customHeight="1" x14ac:dyDescent="0.2">
      <c r="A1015" s="21"/>
      <c r="B1015" s="2"/>
      <c r="C1015" s="2"/>
      <c r="D1015" s="2"/>
    </row>
    <row r="1016" spans="1:4" ht="12.75" customHeight="1" x14ac:dyDescent="0.2">
      <c r="A1016" s="21"/>
      <c r="B1016" s="2"/>
      <c r="C1016" s="2"/>
      <c r="D1016" s="2"/>
    </row>
    <row r="1017" spans="1:4" ht="12.75" customHeight="1" x14ac:dyDescent="0.2">
      <c r="A1017" s="21"/>
      <c r="B1017" s="2"/>
      <c r="C1017" s="2"/>
      <c r="D1017" s="2"/>
    </row>
    <row r="1018" spans="1:4" ht="12.75" customHeight="1" x14ac:dyDescent="0.2">
      <c r="A1018" s="21"/>
      <c r="B1018" s="2"/>
      <c r="C1018" s="2"/>
      <c r="D1018" s="2"/>
    </row>
    <row r="1019" spans="1:4" ht="12.75" customHeight="1" x14ac:dyDescent="0.2">
      <c r="A1019" s="5"/>
      <c r="B1019" s="2"/>
      <c r="C1019" s="2"/>
      <c r="D1019" s="2"/>
    </row>
    <row r="1020" spans="1:4" ht="12.75" customHeight="1" x14ac:dyDescent="0.2">
      <c r="A1020" s="22" t="str">
        <f>HYPERLINK("javascript:void(0)","centro mellvért")</f>
        <v>centro mellvért</v>
      </c>
      <c r="B1020" s="21"/>
      <c r="C1020" s="21"/>
      <c r="D1020" s="21"/>
    </row>
    <row r="1021" spans="1:4" ht="12.75" customHeight="1" x14ac:dyDescent="0.2">
      <c r="A1021" s="20"/>
      <c r="B1021" s="2"/>
      <c r="C1021" s="2"/>
      <c r="D1021" s="2"/>
    </row>
    <row r="1022" spans="1:4" ht="12.75" customHeight="1" x14ac:dyDescent="0.2">
      <c r="A1022" s="21"/>
      <c r="B1022" s="3" t="s">
        <v>0</v>
      </c>
      <c r="C1022" s="20" t="s">
        <v>134</v>
      </c>
      <c r="D1022" s="21"/>
    </row>
    <row r="1023" spans="1:4" ht="12.75" customHeight="1" x14ac:dyDescent="0.2">
      <c r="A1023" s="21"/>
      <c r="B1023" s="3" t="s">
        <v>2</v>
      </c>
      <c r="C1023" s="20" t="s">
        <v>2322</v>
      </c>
      <c r="D1023" s="21"/>
    </row>
    <row r="1024" spans="1:4" ht="12.75" customHeight="1" x14ac:dyDescent="0.2">
      <c r="A1024" s="21"/>
      <c r="B1024" s="3" t="s">
        <v>1840</v>
      </c>
      <c r="C1024" s="20" t="s">
        <v>432</v>
      </c>
      <c r="D1024" s="21"/>
    </row>
    <row r="1025" spans="1:4" ht="12.75" customHeight="1" x14ac:dyDescent="0.2">
      <c r="A1025" s="21"/>
      <c r="B1025" s="3" t="s">
        <v>9</v>
      </c>
      <c r="C1025" s="20" t="s">
        <v>306</v>
      </c>
      <c r="D1025" s="21"/>
    </row>
    <row r="1026" spans="1:4" ht="12.75" customHeight="1" x14ac:dyDescent="0.2">
      <c r="A1026" s="21"/>
      <c r="B1026" s="3" t="s">
        <v>11</v>
      </c>
      <c r="C1026" s="20" t="s">
        <v>514</v>
      </c>
      <c r="D1026" s="21"/>
    </row>
    <row r="1027" spans="1:4" ht="12.75" customHeight="1" x14ac:dyDescent="0.2">
      <c r="A1027" s="21"/>
      <c r="B1027" s="3" t="s">
        <v>16</v>
      </c>
      <c r="C1027" s="20"/>
      <c r="D1027" s="21"/>
    </row>
    <row r="1028" spans="1:4" ht="12.75" customHeight="1" x14ac:dyDescent="0.2">
      <c r="A1028" s="21"/>
      <c r="B1028" s="3" t="s">
        <v>17</v>
      </c>
      <c r="C1028" s="20" t="s">
        <v>19</v>
      </c>
      <c r="D1028" s="21"/>
    </row>
    <row r="1029" spans="1:4" ht="12.75" customHeight="1" x14ac:dyDescent="0.2">
      <c r="A1029" s="21"/>
      <c r="B1029" s="20" t="s">
        <v>18</v>
      </c>
      <c r="C1029" s="4" t="s">
        <v>44</v>
      </c>
      <c r="D1029" s="6" t="str">
        <f>HYPERLINK("javascript:void(0)","kithrill mellvért")</f>
        <v>kithrill mellvért</v>
      </c>
    </row>
    <row r="1030" spans="1:4" ht="12.75" customHeight="1" x14ac:dyDescent="0.2">
      <c r="A1030" s="21"/>
      <c r="B1030" s="21"/>
      <c r="C1030" s="4" t="s">
        <v>163</v>
      </c>
      <c r="D1030" s="6" t="str">
        <f>HYPERLINK("javascript:void(0)","centrolium")</f>
        <v>centrolium</v>
      </c>
    </row>
    <row r="1031" spans="1:4" ht="12.75" customHeight="1" x14ac:dyDescent="0.2">
      <c r="A1031" s="21"/>
      <c r="B1031" s="21"/>
      <c r="C1031" s="4" t="s">
        <v>68</v>
      </c>
      <c r="D1031" s="6" t="str">
        <f>HYPERLINK("javascript:void(0)","űrlap")</f>
        <v>űrlap</v>
      </c>
    </row>
    <row r="1032" spans="1:4" ht="12.75" customHeight="1" x14ac:dyDescent="0.2">
      <c r="A1032" s="21"/>
      <c r="B1032" s="2"/>
      <c r="C1032" s="2"/>
      <c r="D1032" s="2"/>
    </row>
    <row r="1033" spans="1:4" ht="12.75" customHeight="1" x14ac:dyDescent="0.2">
      <c r="A1033" s="21"/>
      <c r="B1033" s="2"/>
      <c r="C1033" s="2"/>
      <c r="D1033" s="2"/>
    </row>
    <row r="1034" spans="1:4" ht="12.75" customHeight="1" x14ac:dyDescent="0.2">
      <c r="A1034" s="21"/>
      <c r="B1034" s="2"/>
      <c r="C1034" s="2"/>
      <c r="D1034" s="2"/>
    </row>
    <row r="1035" spans="1:4" ht="12.75" customHeight="1" x14ac:dyDescent="0.2">
      <c r="A1035" s="21"/>
      <c r="B1035" s="2"/>
      <c r="C1035" s="2"/>
      <c r="D1035" s="2"/>
    </row>
    <row r="1036" spans="1:4" ht="12.75" customHeight="1" x14ac:dyDescent="0.2">
      <c r="A1036" s="5"/>
      <c r="B1036" s="2"/>
      <c r="C1036" s="2"/>
      <c r="D1036" s="2"/>
    </row>
    <row r="1037" spans="1:4" ht="12.75" customHeight="1" x14ac:dyDescent="0.2">
      <c r="A1037" s="22" t="str">
        <f>HYPERLINK("javascript:void(0)","rotor sisakdísz")</f>
        <v>rotor sisakdísz</v>
      </c>
      <c r="B1037" s="21"/>
      <c r="C1037" s="21"/>
      <c r="D1037" s="21"/>
    </row>
    <row r="1038" spans="1:4" ht="12.75" customHeight="1" x14ac:dyDescent="0.2">
      <c r="A1038" s="20"/>
      <c r="B1038" s="2"/>
      <c r="C1038" s="2"/>
      <c r="D1038" s="2"/>
    </row>
    <row r="1039" spans="1:4" ht="12.75" customHeight="1" x14ac:dyDescent="0.2">
      <c r="A1039" s="21"/>
      <c r="B1039" s="3" t="s">
        <v>0</v>
      </c>
      <c r="C1039" s="20" t="s">
        <v>134</v>
      </c>
      <c r="D1039" s="21"/>
    </row>
    <row r="1040" spans="1:4" ht="12.75" customHeight="1" x14ac:dyDescent="0.2">
      <c r="A1040" s="21"/>
      <c r="B1040" s="3" t="s">
        <v>2</v>
      </c>
      <c r="C1040" s="20" t="s">
        <v>2322</v>
      </c>
      <c r="D1040" s="21"/>
    </row>
    <row r="1041" spans="1:4" ht="12.75" customHeight="1" x14ac:dyDescent="0.2">
      <c r="A1041" s="21"/>
      <c r="B1041" s="3" t="s">
        <v>1840</v>
      </c>
      <c r="C1041" s="20" t="s">
        <v>206</v>
      </c>
      <c r="D1041" s="21"/>
    </row>
    <row r="1042" spans="1:4" ht="12.75" customHeight="1" x14ac:dyDescent="0.2">
      <c r="A1042" s="21"/>
      <c r="B1042" s="3" t="s">
        <v>9</v>
      </c>
      <c r="C1042" s="20" t="s">
        <v>84</v>
      </c>
      <c r="D1042" s="21"/>
    </row>
    <row r="1043" spans="1:4" ht="12.75" customHeight="1" x14ac:dyDescent="0.2">
      <c r="A1043" s="21"/>
      <c r="B1043" s="3" t="s">
        <v>11</v>
      </c>
      <c r="C1043" s="20" t="s">
        <v>368</v>
      </c>
      <c r="D1043" s="21"/>
    </row>
    <row r="1044" spans="1:4" ht="12.75" customHeight="1" x14ac:dyDescent="0.2">
      <c r="A1044" s="21"/>
      <c r="B1044" s="3" t="s">
        <v>16</v>
      </c>
      <c r="C1044" s="20"/>
      <c r="D1044" s="21"/>
    </row>
    <row r="1045" spans="1:4" ht="12.75" customHeight="1" x14ac:dyDescent="0.2">
      <c r="A1045" s="21"/>
      <c r="B1045" s="3" t="s">
        <v>17</v>
      </c>
      <c r="C1045" s="20" t="s">
        <v>19</v>
      </c>
      <c r="D1045" s="21"/>
    </row>
    <row r="1046" spans="1:4" ht="12.75" customHeight="1" x14ac:dyDescent="0.2">
      <c r="A1046" s="21"/>
      <c r="B1046" s="20" t="s">
        <v>18</v>
      </c>
      <c r="C1046" s="4" t="s">
        <v>67</v>
      </c>
      <c r="D1046" s="6" t="str">
        <f>HYPERLINK("javascript:void(0)","rotorlapát")</f>
        <v>rotorlapát</v>
      </c>
    </row>
    <row r="1047" spans="1:4" ht="12.75" customHeight="1" x14ac:dyDescent="0.2">
      <c r="A1047" s="21"/>
      <c r="B1047" s="21"/>
      <c r="C1047" s="4" t="s">
        <v>193</v>
      </c>
      <c r="D1047" s="6" t="str">
        <f>HYPERLINK("javascript:void(0)","sudár")</f>
        <v>sudár</v>
      </c>
    </row>
    <row r="1048" spans="1:4" ht="12.75" customHeight="1" x14ac:dyDescent="0.2">
      <c r="A1048" s="21"/>
      <c r="B1048" s="21"/>
      <c r="C1048" s="4" t="s">
        <v>117</v>
      </c>
      <c r="D1048" s="6" t="str">
        <f>HYPERLINK("javascript:void(0)","malacorr")</f>
        <v>malacorr</v>
      </c>
    </row>
    <row r="1049" spans="1:4" ht="12.75" customHeight="1" x14ac:dyDescent="0.2">
      <c r="A1049" s="21"/>
      <c r="B1049" s="2"/>
      <c r="C1049" s="2"/>
      <c r="D1049" s="2"/>
    </row>
    <row r="1050" spans="1:4" ht="12.75" customHeight="1" x14ac:dyDescent="0.2">
      <c r="A1050" s="21"/>
      <c r="B1050" s="2"/>
      <c r="C1050" s="2"/>
      <c r="D1050" s="2"/>
    </row>
    <row r="1051" spans="1:4" ht="12.75" customHeight="1" x14ac:dyDescent="0.2">
      <c r="A1051" s="21"/>
      <c r="B1051" s="2"/>
      <c r="C1051" s="2"/>
      <c r="D1051" s="2"/>
    </row>
    <row r="1052" spans="1:4" ht="12.75" customHeight="1" x14ac:dyDescent="0.2">
      <c r="A1052" s="21"/>
      <c r="B1052" s="2"/>
      <c r="C1052" s="2"/>
      <c r="D1052" s="2"/>
    </row>
    <row r="1053" spans="1:4" ht="12.75" customHeight="1" x14ac:dyDescent="0.2">
      <c r="A1053" s="5"/>
      <c r="B1053" s="2"/>
      <c r="C1053" s="2"/>
      <c r="D1053" s="2"/>
    </row>
    <row r="1054" spans="1:4" ht="12.75" customHeight="1" x14ac:dyDescent="0.2">
      <c r="A1054" s="22" t="str">
        <f>HYPERLINK("javascript:void(0)","gyíkacél mellvért")</f>
        <v>gyíkacél mellvért</v>
      </c>
      <c r="B1054" s="21"/>
      <c r="C1054" s="21"/>
      <c r="D1054" s="21"/>
    </row>
    <row r="1055" spans="1:4" ht="12.75" customHeight="1" x14ac:dyDescent="0.2">
      <c r="A1055" s="20"/>
      <c r="B1055" s="2"/>
      <c r="C1055" s="2"/>
      <c r="D1055" s="2"/>
    </row>
    <row r="1056" spans="1:4" ht="12.75" customHeight="1" x14ac:dyDescent="0.2">
      <c r="A1056" s="21"/>
      <c r="B1056" s="3" t="s">
        <v>0</v>
      </c>
      <c r="C1056" s="20" t="s">
        <v>134</v>
      </c>
      <c r="D1056" s="21"/>
    </row>
    <row r="1057" spans="1:4" ht="12.75" customHeight="1" x14ac:dyDescent="0.2">
      <c r="A1057" s="21"/>
      <c r="B1057" s="3" t="s">
        <v>2</v>
      </c>
      <c r="C1057" s="20" t="s">
        <v>2322</v>
      </c>
      <c r="D1057" s="21"/>
    </row>
    <row r="1058" spans="1:4" ht="12.75" customHeight="1" x14ac:dyDescent="0.2">
      <c r="A1058" s="21"/>
      <c r="B1058" s="3" t="s">
        <v>1840</v>
      </c>
      <c r="C1058" s="20" t="s">
        <v>399</v>
      </c>
      <c r="D1058" s="21"/>
    </row>
    <row r="1059" spans="1:4" ht="12.75" customHeight="1" x14ac:dyDescent="0.2">
      <c r="A1059" s="21"/>
      <c r="B1059" s="3" t="s">
        <v>9</v>
      </c>
      <c r="C1059" s="20" t="s">
        <v>262</v>
      </c>
      <c r="D1059" s="21"/>
    </row>
    <row r="1060" spans="1:4" ht="12.75" customHeight="1" x14ac:dyDescent="0.2">
      <c r="A1060" s="21"/>
      <c r="B1060" s="3" t="s">
        <v>11</v>
      </c>
      <c r="C1060" s="20" t="s">
        <v>350</v>
      </c>
      <c r="D1060" s="21"/>
    </row>
    <row r="1061" spans="1:4" ht="12.75" customHeight="1" x14ac:dyDescent="0.2">
      <c r="A1061" s="21"/>
      <c r="B1061" s="3" t="s">
        <v>16</v>
      </c>
      <c r="C1061" s="20"/>
      <c r="D1061" s="21"/>
    </row>
    <row r="1062" spans="1:4" ht="12.75" customHeight="1" x14ac:dyDescent="0.2">
      <c r="A1062" s="21"/>
      <c r="B1062" s="3" t="s">
        <v>17</v>
      </c>
      <c r="C1062" s="20" t="s">
        <v>19</v>
      </c>
      <c r="D1062" s="21"/>
    </row>
    <row r="1063" spans="1:4" ht="12.75" customHeight="1" x14ac:dyDescent="0.2">
      <c r="A1063" s="21"/>
      <c r="B1063" s="20" t="s">
        <v>18</v>
      </c>
      <c r="C1063" s="4" t="s">
        <v>1379</v>
      </c>
      <c r="D1063" s="6" t="str">
        <f>HYPERLINK("javascript:void(0)","goblinbatka")</f>
        <v>goblinbatka</v>
      </c>
    </row>
    <row r="1064" spans="1:4" ht="12.75" customHeight="1" x14ac:dyDescent="0.2">
      <c r="A1064" s="21"/>
      <c r="B1064" s="21"/>
      <c r="C1064" s="4" t="s">
        <v>280</v>
      </c>
      <c r="D1064" s="6" t="str">
        <f>HYPERLINK("javascript:void(0)","portgyűrű")</f>
        <v>portgyűrű</v>
      </c>
    </row>
    <row r="1065" spans="1:4" ht="12.75" customHeight="1" x14ac:dyDescent="0.2">
      <c r="A1065" s="21"/>
      <c r="B1065" s="21"/>
      <c r="C1065" s="4" t="s">
        <v>280</v>
      </c>
      <c r="D1065" s="6" t="str">
        <f>HYPERLINK("javascript:void(0)","szent szimbólum")</f>
        <v>szent szimbólum</v>
      </c>
    </row>
    <row r="1066" spans="1:4" ht="12.75" customHeight="1" x14ac:dyDescent="0.2">
      <c r="A1066" s="21"/>
      <c r="B1066" s="2"/>
      <c r="C1066" s="2"/>
      <c r="D1066" s="2"/>
    </row>
    <row r="1067" spans="1:4" ht="12.75" customHeight="1" x14ac:dyDescent="0.2">
      <c r="A1067" s="21"/>
      <c r="B1067" s="2"/>
      <c r="C1067" s="2"/>
      <c r="D1067" s="2"/>
    </row>
    <row r="1068" spans="1:4" ht="12.75" customHeight="1" x14ac:dyDescent="0.2">
      <c r="A1068" s="21"/>
      <c r="B1068" s="2"/>
      <c r="C1068" s="2"/>
      <c r="D1068" s="2"/>
    </row>
    <row r="1069" spans="1:4" ht="12.75" customHeight="1" x14ac:dyDescent="0.2">
      <c r="A1069" s="21"/>
      <c r="B1069" s="2"/>
      <c r="C1069" s="2"/>
      <c r="D1069" s="2"/>
    </row>
    <row r="1070" spans="1:4" ht="12.75" customHeight="1" x14ac:dyDescent="0.2">
      <c r="A1070" s="5"/>
      <c r="B1070" s="2"/>
      <c r="C1070" s="2"/>
      <c r="D1070" s="2"/>
    </row>
    <row r="1071" spans="1:4" ht="12.75" customHeight="1" x14ac:dyDescent="0.2">
      <c r="A1071" s="22" t="str">
        <f>HYPERLINK("javascript:void(0)","csillámos felleghajtó")</f>
        <v>csillámos felleghajtó</v>
      </c>
      <c r="B1071" s="21"/>
      <c r="C1071" s="21"/>
      <c r="D1071" s="21"/>
    </row>
    <row r="1072" spans="1:4" ht="12.75" customHeight="1" x14ac:dyDescent="0.2">
      <c r="A1072" s="20"/>
      <c r="B1072" s="2"/>
      <c r="C1072" s="2"/>
      <c r="D1072" s="2"/>
    </row>
    <row r="1073" spans="1:4" ht="12.75" customHeight="1" x14ac:dyDescent="0.2">
      <c r="A1073" s="21"/>
      <c r="B1073" s="3" t="s">
        <v>0</v>
      </c>
      <c r="C1073" s="20" t="s">
        <v>134</v>
      </c>
      <c r="D1073" s="21"/>
    </row>
    <row r="1074" spans="1:4" ht="12.75" customHeight="1" x14ac:dyDescent="0.2">
      <c r="A1074" s="21"/>
      <c r="B1074" s="3" t="s">
        <v>2</v>
      </c>
      <c r="C1074" s="20" t="s">
        <v>2322</v>
      </c>
      <c r="D1074" s="21"/>
    </row>
    <row r="1075" spans="1:4" ht="12.75" customHeight="1" x14ac:dyDescent="0.2">
      <c r="A1075" s="21"/>
      <c r="B1075" s="3" t="s">
        <v>1840</v>
      </c>
      <c r="C1075" s="20" t="s">
        <v>1788</v>
      </c>
      <c r="D1075" s="21"/>
    </row>
    <row r="1076" spans="1:4" ht="12.75" customHeight="1" x14ac:dyDescent="0.2">
      <c r="A1076" s="21"/>
      <c r="B1076" s="3" t="s">
        <v>9</v>
      </c>
      <c r="C1076" s="20" t="s">
        <v>2402</v>
      </c>
      <c r="D1076" s="21"/>
    </row>
    <row r="1077" spans="1:4" ht="12.75" customHeight="1" x14ac:dyDescent="0.2">
      <c r="A1077" s="21"/>
      <c r="B1077" s="3" t="s">
        <v>11</v>
      </c>
      <c r="C1077" s="20" t="s">
        <v>514</v>
      </c>
      <c r="D1077" s="21"/>
    </row>
    <row r="1078" spans="1:4" ht="12.75" customHeight="1" x14ac:dyDescent="0.2">
      <c r="A1078" s="21"/>
      <c r="B1078" s="3" t="s">
        <v>16</v>
      </c>
      <c r="C1078" s="20"/>
      <c r="D1078" s="21"/>
    </row>
    <row r="1079" spans="1:4" ht="12.75" customHeight="1" x14ac:dyDescent="0.2">
      <c r="A1079" s="21"/>
      <c r="B1079" s="3" t="s">
        <v>17</v>
      </c>
      <c r="C1079" s="20" t="s">
        <v>19</v>
      </c>
      <c r="D1079" s="21"/>
    </row>
    <row r="1080" spans="1:4" ht="12.75" customHeight="1" x14ac:dyDescent="0.2">
      <c r="A1080" s="21"/>
      <c r="B1080" s="20" t="s">
        <v>18</v>
      </c>
      <c r="C1080" s="4" t="s">
        <v>57</v>
      </c>
      <c r="D1080" s="6" t="str">
        <f>HYPERLINK("javascript:void(0)","csillámgöb")</f>
        <v>csillámgöb</v>
      </c>
    </row>
    <row r="1081" spans="1:4" ht="25.5" customHeight="1" x14ac:dyDescent="0.2">
      <c r="A1081" s="21"/>
      <c r="B1081" s="21"/>
      <c r="C1081" s="4" t="s">
        <v>44</v>
      </c>
      <c r="D1081" s="6" t="str">
        <f>HYPERLINK("javascript:void(0)","mellényes csillámköpeny")</f>
        <v>mellényes csillámköpeny</v>
      </c>
    </row>
    <row r="1082" spans="1:4" ht="12.75" customHeight="1" x14ac:dyDescent="0.2">
      <c r="A1082" s="21"/>
      <c r="B1082" s="21"/>
      <c r="C1082" s="4" t="s">
        <v>280</v>
      </c>
      <c r="D1082" s="6" t="str">
        <f>HYPERLINK("javascript:void(0)","vászoning")</f>
        <v>vászoning</v>
      </c>
    </row>
    <row r="1083" spans="1:4" ht="12.75" customHeight="1" x14ac:dyDescent="0.2">
      <c r="A1083" s="21"/>
      <c r="B1083" s="2"/>
      <c r="C1083" s="2"/>
      <c r="D1083" s="2"/>
    </row>
    <row r="1084" spans="1:4" ht="12.75" customHeight="1" x14ac:dyDescent="0.2">
      <c r="A1084" s="21"/>
      <c r="B1084" s="2"/>
      <c r="C1084" s="2"/>
      <c r="D1084" s="2"/>
    </row>
    <row r="1085" spans="1:4" ht="12.75" customHeight="1" x14ac:dyDescent="0.2">
      <c r="A1085" s="21"/>
      <c r="B1085" s="2"/>
      <c r="C1085" s="2"/>
      <c r="D1085" s="2"/>
    </row>
    <row r="1086" spans="1:4" ht="12.75" customHeight="1" x14ac:dyDescent="0.2">
      <c r="A1086" s="21"/>
      <c r="B1086" s="2"/>
      <c r="C1086" s="2"/>
      <c r="D1086" s="2"/>
    </row>
    <row r="1087" spans="1:4" ht="12.75" customHeight="1" x14ac:dyDescent="0.2">
      <c r="A1087" s="5"/>
      <c r="B1087" s="2"/>
      <c r="C1087" s="2"/>
      <c r="D1087" s="2"/>
    </row>
    <row r="1088" spans="1:4" ht="12.75" customHeight="1" x14ac:dyDescent="0.2">
      <c r="A1088" s="22" t="str">
        <f>HYPERLINK("javascript:void(0)","hiperium mellvért")</f>
        <v>hiperium mellvért</v>
      </c>
      <c r="B1088" s="21"/>
      <c r="C1088" s="21"/>
      <c r="D1088" s="21"/>
    </row>
    <row r="1089" spans="1:4" ht="12.75" customHeight="1" x14ac:dyDescent="0.2">
      <c r="A1089" s="20"/>
      <c r="B1089" s="2"/>
      <c r="C1089" s="2"/>
      <c r="D1089" s="2"/>
    </row>
    <row r="1090" spans="1:4" ht="12.75" customHeight="1" x14ac:dyDescent="0.2">
      <c r="A1090" s="21"/>
      <c r="B1090" s="3" t="s">
        <v>0</v>
      </c>
      <c r="C1090" s="20" t="s">
        <v>376</v>
      </c>
      <c r="D1090" s="21"/>
    </row>
    <row r="1091" spans="1:4" ht="12.75" customHeight="1" x14ac:dyDescent="0.2">
      <c r="A1091" s="21"/>
      <c r="B1091" s="3" t="s">
        <v>2</v>
      </c>
      <c r="C1091" s="20" t="s">
        <v>2322</v>
      </c>
      <c r="D1091" s="21"/>
    </row>
    <row r="1092" spans="1:4" ht="12.75" customHeight="1" x14ac:dyDescent="0.2">
      <c r="A1092" s="21"/>
      <c r="B1092" s="3" t="s">
        <v>1840</v>
      </c>
      <c r="C1092" s="20" t="s">
        <v>426</v>
      </c>
      <c r="D1092" s="21"/>
    </row>
    <row r="1093" spans="1:4" ht="12.75" customHeight="1" x14ac:dyDescent="0.2">
      <c r="A1093" s="21"/>
      <c r="B1093" s="3" t="s">
        <v>9</v>
      </c>
      <c r="C1093" s="20" t="s">
        <v>200</v>
      </c>
      <c r="D1093" s="21"/>
    </row>
    <row r="1094" spans="1:4" ht="12.75" customHeight="1" x14ac:dyDescent="0.2">
      <c r="A1094" s="21"/>
      <c r="B1094" s="3" t="s">
        <v>11</v>
      </c>
      <c r="C1094" s="20" t="s">
        <v>523</v>
      </c>
      <c r="D1094" s="21"/>
    </row>
    <row r="1095" spans="1:4" ht="12.75" customHeight="1" x14ac:dyDescent="0.2">
      <c r="A1095" s="21"/>
      <c r="B1095" s="3" t="s">
        <v>16</v>
      </c>
      <c r="C1095" s="20"/>
      <c r="D1095" s="21"/>
    </row>
    <row r="1096" spans="1:4" ht="12.75" customHeight="1" x14ac:dyDescent="0.2">
      <c r="A1096" s="21"/>
      <c r="B1096" s="3" t="s">
        <v>17</v>
      </c>
      <c r="C1096" s="20" t="s">
        <v>19</v>
      </c>
      <c r="D1096" s="21"/>
    </row>
    <row r="1097" spans="1:4" ht="12.75" customHeight="1" x14ac:dyDescent="0.2">
      <c r="A1097" s="21"/>
      <c r="B1097" s="20" t="s">
        <v>18</v>
      </c>
      <c r="C1097" s="4" t="s">
        <v>163</v>
      </c>
      <c r="D1097" s="6" t="str">
        <f>HYPERLINK("javascript:void(0)","csontszilánk")</f>
        <v>csontszilánk</v>
      </c>
    </row>
    <row r="1098" spans="1:4" ht="12.75" customHeight="1" x14ac:dyDescent="0.2">
      <c r="A1098" s="21"/>
      <c r="B1098" s="21"/>
      <c r="C1098" s="4" t="s">
        <v>117</v>
      </c>
      <c r="D1098" s="6" t="str">
        <f>HYPERLINK("javascript:void(0)","istenköröm")</f>
        <v>istenköröm</v>
      </c>
    </row>
    <row r="1099" spans="1:4" ht="12.75" customHeight="1" x14ac:dyDescent="0.2">
      <c r="A1099" s="21"/>
      <c r="B1099" s="21"/>
      <c r="C1099" s="4" t="s">
        <v>369</v>
      </c>
      <c r="D1099" s="6" t="str">
        <f>HYPERLINK("javascript:void(0)","sudár")</f>
        <v>sudár</v>
      </c>
    </row>
    <row r="1100" spans="1:4" ht="12.75" customHeight="1" x14ac:dyDescent="0.2">
      <c r="A1100" s="21"/>
      <c r="B1100" s="2"/>
      <c r="C1100" s="2"/>
      <c r="D1100" s="2"/>
    </row>
    <row r="1101" spans="1:4" ht="12.75" customHeight="1" x14ac:dyDescent="0.2">
      <c r="A1101" s="21"/>
      <c r="B1101" s="2"/>
      <c r="C1101" s="2"/>
      <c r="D1101" s="2"/>
    </row>
    <row r="1102" spans="1:4" ht="12.75" customHeight="1" x14ac:dyDescent="0.2">
      <c r="A1102" s="21"/>
      <c r="B1102" s="2"/>
      <c r="C1102" s="2"/>
      <c r="D1102" s="2"/>
    </row>
    <row r="1103" spans="1:4" ht="12.75" customHeight="1" x14ac:dyDescent="0.2">
      <c r="A1103" s="21"/>
      <c r="B1103" s="2"/>
      <c r="C1103" s="2"/>
      <c r="D1103" s="2"/>
    </row>
    <row r="1104" spans="1:4" ht="12.75" customHeight="1" x14ac:dyDescent="0.2">
      <c r="A1104" s="5"/>
      <c r="B1104" s="2"/>
      <c r="C1104" s="2"/>
      <c r="D1104" s="2"/>
    </row>
    <row r="1105" spans="1:4" ht="12.75" customHeight="1" x14ac:dyDescent="0.2">
      <c r="A1105" s="22" t="str">
        <f>HYPERLINK("javascript:void(0)","kompózium mellvért")</f>
        <v>kompózium mellvért</v>
      </c>
      <c r="B1105" s="21"/>
      <c r="C1105" s="21"/>
      <c r="D1105" s="21"/>
    </row>
    <row r="1106" spans="1:4" ht="12.75" customHeight="1" x14ac:dyDescent="0.2">
      <c r="A1106" s="20"/>
      <c r="B1106" s="2"/>
      <c r="C1106" s="2"/>
      <c r="D1106" s="2"/>
    </row>
    <row r="1107" spans="1:4" ht="12.75" customHeight="1" x14ac:dyDescent="0.2">
      <c r="A1107" s="21"/>
      <c r="B1107" s="3" t="s">
        <v>0</v>
      </c>
      <c r="C1107" s="20" t="s">
        <v>60</v>
      </c>
      <c r="D1107" s="21"/>
    </row>
    <row r="1108" spans="1:4" ht="12.75" customHeight="1" x14ac:dyDescent="0.2">
      <c r="A1108" s="21"/>
      <c r="B1108" s="3" t="s">
        <v>2</v>
      </c>
      <c r="C1108" s="20" t="s">
        <v>2322</v>
      </c>
      <c r="D1108" s="21"/>
    </row>
    <row r="1109" spans="1:4" ht="12.75" customHeight="1" x14ac:dyDescent="0.2">
      <c r="A1109" s="21"/>
      <c r="B1109" s="3" t="s">
        <v>1840</v>
      </c>
      <c r="C1109" s="20" t="s">
        <v>496</v>
      </c>
      <c r="D1109" s="21"/>
    </row>
    <row r="1110" spans="1:4" ht="12.75" customHeight="1" x14ac:dyDescent="0.2">
      <c r="A1110" s="21"/>
      <c r="B1110" s="3" t="s">
        <v>9</v>
      </c>
      <c r="C1110" s="20" t="s">
        <v>233</v>
      </c>
      <c r="D1110" s="21"/>
    </row>
    <row r="1111" spans="1:4" ht="12.75" customHeight="1" x14ac:dyDescent="0.2">
      <c r="A1111" s="21"/>
      <c r="B1111" s="3" t="s">
        <v>11</v>
      </c>
      <c r="C1111" s="20" t="s">
        <v>536</v>
      </c>
      <c r="D1111" s="21"/>
    </row>
    <row r="1112" spans="1:4" ht="12.75" customHeight="1" x14ac:dyDescent="0.2">
      <c r="A1112" s="21"/>
      <c r="B1112" s="3" t="s">
        <v>16</v>
      </c>
      <c r="C1112" s="20"/>
      <c r="D1112" s="21"/>
    </row>
    <row r="1113" spans="1:4" ht="12.75" customHeight="1" x14ac:dyDescent="0.2">
      <c r="A1113" s="21"/>
      <c r="B1113" s="3" t="s">
        <v>17</v>
      </c>
      <c r="C1113" s="20" t="s">
        <v>19</v>
      </c>
      <c r="D1113" s="21"/>
    </row>
    <row r="1114" spans="1:4" ht="12.75" customHeight="1" x14ac:dyDescent="0.2">
      <c r="A1114" s="21"/>
      <c r="B1114" s="20" t="s">
        <v>18</v>
      </c>
      <c r="C1114" s="4" t="s">
        <v>44</v>
      </c>
      <c r="D1114" s="6" t="str">
        <f>HYPERLINK("javascript:void(0)","centro mellvért")</f>
        <v>centro mellvért</v>
      </c>
    </row>
    <row r="1115" spans="1:4" ht="12.75" customHeight="1" x14ac:dyDescent="0.2">
      <c r="A1115" s="21"/>
      <c r="B1115" s="21"/>
      <c r="C1115" s="4" t="s">
        <v>44</v>
      </c>
      <c r="D1115" s="6" t="str">
        <f>HYPERLINK("javascript:void(0)","hiperium mellvért")</f>
        <v>hiperium mellvért</v>
      </c>
    </row>
    <row r="1116" spans="1:4" ht="12.75" customHeight="1" x14ac:dyDescent="0.2">
      <c r="A1116" s="21"/>
      <c r="B1116" s="21"/>
      <c r="C1116" s="4" t="s">
        <v>44</v>
      </c>
      <c r="D1116" s="6" t="str">
        <f>HYPERLINK("javascript:void(0)","kompózium előlap")</f>
        <v>kompózium előlap</v>
      </c>
    </row>
    <row r="1117" spans="1:4" ht="12.75" customHeight="1" x14ac:dyDescent="0.2">
      <c r="A1117" s="21"/>
      <c r="B1117" s="2"/>
      <c r="C1117" s="2"/>
      <c r="D1117" s="2"/>
    </row>
    <row r="1118" spans="1:4" ht="12.75" customHeight="1" x14ac:dyDescent="0.2">
      <c r="A1118" s="21"/>
      <c r="B1118" s="2"/>
      <c r="C1118" s="2"/>
      <c r="D1118" s="2"/>
    </row>
    <row r="1119" spans="1:4" ht="12.75" customHeight="1" x14ac:dyDescent="0.2">
      <c r="A1119" s="21"/>
      <c r="B1119" s="2"/>
      <c r="C1119" s="2"/>
      <c r="D1119" s="2"/>
    </row>
    <row r="1120" spans="1:4" ht="12.75" customHeight="1" x14ac:dyDescent="0.2">
      <c r="A1120" s="21"/>
      <c r="B1120" s="2"/>
      <c r="C1120" s="2"/>
      <c r="D1120" s="2"/>
    </row>
    <row r="1121" spans="1:4" ht="12.75" customHeight="1" x14ac:dyDescent="0.2">
      <c r="A1121" s="5"/>
      <c r="B1121" s="2"/>
      <c r="C1121" s="2"/>
      <c r="D1121" s="2"/>
    </row>
    <row r="1122" spans="1:4" ht="12.75" customHeight="1" x14ac:dyDescent="0.2">
      <c r="A1122" s="22" t="str">
        <f>HYPERLINK("javascript:void(0)","kompózium előlap")</f>
        <v>kompózium előlap</v>
      </c>
      <c r="B1122" s="21"/>
      <c r="C1122" s="21"/>
      <c r="D1122" s="21"/>
    </row>
    <row r="1123" spans="1:4" ht="12.75" customHeight="1" x14ac:dyDescent="0.2">
      <c r="A1123" s="20"/>
      <c r="B1123" s="2"/>
      <c r="C1123" s="2"/>
      <c r="D1123" s="2"/>
    </row>
    <row r="1124" spans="1:4" ht="12.75" customHeight="1" x14ac:dyDescent="0.2">
      <c r="A1124" s="21"/>
      <c r="B1124" s="3" t="s">
        <v>0</v>
      </c>
      <c r="C1124" s="20" t="s">
        <v>60</v>
      </c>
      <c r="D1124" s="21"/>
    </row>
    <row r="1125" spans="1:4" ht="12.75" customHeight="1" x14ac:dyDescent="0.2">
      <c r="A1125" s="21"/>
      <c r="B1125" s="3" t="s">
        <v>2</v>
      </c>
      <c r="C1125" s="20" t="s">
        <v>2322</v>
      </c>
      <c r="D1125" s="21"/>
    </row>
    <row r="1126" spans="1:4" ht="12.75" customHeight="1" x14ac:dyDescent="0.2">
      <c r="A1126" s="21"/>
      <c r="B1126" s="3" t="s">
        <v>1840</v>
      </c>
      <c r="C1126" s="20" t="s">
        <v>157</v>
      </c>
      <c r="D1126" s="21"/>
    </row>
    <row r="1127" spans="1:4" ht="12.75" customHeight="1" x14ac:dyDescent="0.2">
      <c r="A1127" s="21"/>
      <c r="B1127" s="3" t="s">
        <v>9</v>
      </c>
      <c r="C1127" s="20" t="s">
        <v>84</v>
      </c>
      <c r="D1127" s="21"/>
    </row>
    <row r="1128" spans="1:4" ht="12.75" customHeight="1" x14ac:dyDescent="0.2">
      <c r="A1128" s="21"/>
      <c r="B1128" s="3" t="s">
        <v>11</v>
      </c>
      <c r="C1128" s="20" t="s">
        <v>368</v>
      </c>
      <c r="D1128" s="21"/>
    </row>
    <row r="1129" spans="1:4" ht="12.75" customHeight="1" x14ac:dyDescent="0.2">
      <c r="A1129" s="21"/>
      <c r="B1129" s="3" t="s">
        <v>16</v>
      </c>
      <c r="C1129" s="20"/>
      <c r="D1129" s="21"/>
    </row>
    <row r="1130" spans="1:4" ht="12.75" customHeight="1" x14ac:dyDescent="0.2">
      <c r="A1130" s="21"/>
      <c r="B1130" s="3" t="s">
        <v>17</v>
      </c>
      <c r="C1130" s="20" t="s">
        <v>19</v>
      </c>
      <c r="D1130" s="21"/>
    </row>
    <row r="1131" spans="1:4" ht="12.75" customHeight="1" x14ac:dyDescent="0.2">
      <c r="A1131" s="21"/>
      <c r="B1131" s="20" t="s">
        <v>18</v>
      </c>
      <c r="C1131" s="4" t="s">
        <v>77</v>
      </c>
      <c r="D1131" s="6" t="str">
        <f>HYPERLINK("javascript:void(0)","kompózium")</f>
        <v>kompózium</v>
      </c>
    </row>
    <row r="1132" spans="1:4" ht="12.75" customHeight="1" x14ac:dyDescent="0.2">
      <c r="A1132" s="21"/>
      <c r="B1132" s="21"/>
      <c r="C1132" s="4" t="s">
        <v>142</v>
      </c>
      <c r="D1132" s="6" t="str">
        <f>HYPERLINK("javascript:void(0)","igeidő")</f>
        <v>igeidő</v>
      </c>
    </row>
    <row r="1133" spans="1:4" ht="12.75" customHeight="1" x14ac:dyDescent="0.2">
      <c r="A1133" s="21"/>
      <c r="B1133" s="21"/>
      <c r="C1133" s="4" t="s">
        <v>117</v>
      </c>
      <c r="D1133" s="6" t="str">
        <f>HYPERLINK("javascript:void(0)","rozsdalap")</f>
        <v>rozsdalap</v>
      </c>
    </row>
    <row r="1134" spans="1:4" ht="12.75" customHeight="1" x14ac:dyDescent="0.2">
      <c r="A1134" s="21"/>
      <c r="B1134" s="2"/>
      <c r="C1134" s="2"/>
      <c r="D1134" s="2"/>
    </row>
    <row r="1135" spans="1:4" ht="12.75" customHeight="1" x14ac:dyDescent="0.2">
      <c r="A1135" s="21"/>
      <c r="B1135" s="2"/>
      <c r="C1135" s="2"/>
      <c r="D1135" s="2"/>
    </row>
    <row r="1136" spans="1:4" ht="12.75" customHeight="1" x14ac:dyDescent="0.2">
      <c r="A1136" s="21"/>
      <c r="B1136" s="2"/>
      <c r="C1136" s="2"/>
      <c r="D1136" s="2"/>
    </row>
    <row r="1137" spans="1:4" ht="12.75" customHeight="1" x14ac:dyDescent="0.2">
      <c r="A1137" s="21"/>
      <c r="B1137" s="2"/>
      <c r="C1137" s="2"/>
      <c r="D1137" s="2"/>
    </row>
    <row r="1138" spans="1:4" ht="12.75" customHeight="1" x14ac:dyDescent="0.2">
      <c r="A1138" s="5"/>
      <c r="B1138" s="2"/>
      <c r="C1138" s="2"/>
      <c r="D1138" s="2"/>
    </row>
    <row r="1139" spans="1:4" ht="12.75" customHeight="1" x14ac:dyDescent="0.2">
      <c r="A1139" s="22" t="str">
        <f>HYPERLINK("javascript:void(0)","elfacél mellvért")</f>
        <v>elfacél mellvért</v>
      </c>
      <c r="B1139" s="21"/>
      <c r="C1139" s="21"/>
      <c r="D1139" s="21"/>
    </row>
    <row r="1140" spans="1:4" ht="12.75" customHeight="1" x14ac:dyDescent="0.2">
      <c r="A1140" s="20"/>
      <c r="B1140" s="2"/>
      <c r="C1140" s="2"/>
      <c r="D1140" s="2"/>
    </row>
    <row r="1141" spans="1:4" ht="12.75" customHeight="1" x14ac:dyDescent="0.2">
      <c r="A1141" s="21"/>
      <c r="B1141" s="3" t="s">
        <v>0</v>
      </c>
      <c r="C1141" s="20" t="s">
        <v>167</v>
      </c>
      <c r="D1141" s="21"/>
    </row>
    <row r="1142" spans="1:4" ht="12.75" customHeight="1" x14ac:dyDescent="0.2">
      <c r="A1142" s="21"/>
      <c r="B1142" s="3" t="s">
        <v>2</v>
      </c>
      <c r="C1142" s="20" t="s">
        <v>2322</v>
      </c>
      <c r="D1142" s="21"/>
    </row>
    <row r="1143" spans="1:4" ht="12.75" customHeight="1" x14ac:dyDescent="0.2">
      <c r="A1143" s="21"/>
      <c r="B1143" s="3" t="s">
        <v>1840</v>
      </c>
      <c r="C1143" s="20" t="s">
        <v>482</v>
      </c>
      <c r="D1143" s="21"/>
    </row>
    <row r="1144" spans="1:4" ht="12.75" customHeight="1" x14ac:dyDescent="0.2">
      <c r="A1144" s="21"/>
      <c r="B1144" s="3" t="s">
        <v>9</v>
      </c>
      <c r="C1144" s="20" t="s">
        <v>172</v>
      </c>
      <c r="D1144" s="21"/>
    </row>
    <row r="1145" spans="1:4" ht="12.75" customHeight="1" x14ac:dyDescent="0.2">
      <c r="A1145" s="21"/>
      <c r="B1145" s="3" t="s">
        <v>11</v>
      </c>
      <c r="C1145" s="20" t="s">
        <v>542</v>
      </c>
      <c r="D1145" s="21"/>
    </row>
    <row r="1146" spans="1:4" ht="12.75" customHeight="1" x14ac:dyDescent="0.2">
      <c r="A1146" s="21"/>
      <c r="B1146" s="3" t="s">
        <v>16</v>
      </c>
      <c r="C1146" s="20"/>
      <c r="D1146" s="21"/>
    </row>
    <row r="1147" spans="1:4" ht="12.75" customHeight="1" x14ac:dyDescent="0.2">
      <c r="A1147" s="21"/>
      <c r="B1147" s="3" t="s">
        <v>17</v>
      </c>
      <c r="C1147" s="20" t="s">
        <v>19</v>
      </c>
      <c r="D1147" s="21"/>
    </row>
    <row r="1148" spans="1:4" ht="12.75" customHeight="1" x14ac:dyDescent="0.2">
      <c r="A1148" s="21"/>
      <c r="B1148" s="20" t="s">
        <v>18</v>
      </c>
      <c r="C1148" s="4" t="s">
        <v>44</v>
      </c>
      <c r="D1148" s="6" t="str">
        <f>HYPERLINK("javascript:void(0)","kompózium mellvért")</f>
        <v>kompózium mellvért</v>
      </c>
    </row>
    <row r="1149" spans="1:4" ht="12.75" customHeight="1" x14ac:dyDescent="0.2">
      <c r="A1149" s="21"/>
      <c r="B1149" s="21"/>
      <c r="C1149" s="4" t="s">
        <v>244</v>
      </c>
      <c r="D1149" s="6" t="str">
        <f>HYPERLINK("javascript:void(0)","hörcsögagyar")</f>
        <v>hörcsögagyar</v>
      </c>
    </row>
    <row r="1150" spans="1:4" ht="12.75" customHeight="1" x14ac:dyDescent="0.2">
      <c r="A1150" s="21"/>
      <c r="B1150" s="21"/>
      <c r="C1150" s="4" t="s">
        <v>290</v>
      </c>
      <c r="D1150" s="6" t="str">
        <f>HYPERLINK("javascript:void(0)","rotorlapát")</f>
        <v>rotorlapát</v>
      </c>
    </row>
    <row r="1151" spans="1:4" ht="12.75" customHeight="1" x14ac:dyDescent="0.2">
      <c r="A1151" s="21"/>
      <c r="B1151" s="2"/>
      <c r="C1151" s="2"/>
      <c r="D1151" s="2"/>
    </row>
    <row r="1152" spans="1:4" ht="12.75" customHeight="1" x14ac:dyDescent="0.2">
      <c r="A1152" s="21"/>
      <c r="B1152" s="2"/>
      <c r="C1152" s="2"/>
      <c r="D1152" s="2"/>
    </row>
    <row r="1153" spans="1:4" ht="12.75" customHeight="1" x14ac:dyDescent="0.2">
      <c r="A1153" s="21"/>
      <c r="B1153" s="2"/>
      <c r="C1153" s="2"/>
      <c r="D1153" s="2"/>
    </row>
    <row r="1154" spans="1:4" ht="12.75" customHeight="1" x14ac:dyDescent="0.2">
      <c r="A1154" s="21"/>
      <c r="B1154" s="2"/>
      <c r="C1154" s="2"/>
      <c r="D1154" s="2"/>
    </row>
    <row r="1155" spans="1:4" ht="12.75" customHeight="1" x14ac:dyDescent="0.2">
      <c r="A1155" s="5"/>
      <c r="B1155" s="2"/>
      <c r="C1155" s="2"/>
      <c r="D1155" s="2"/>
    </row>
    <row r="1156" spans="1:4" ht="12.75" customHeight="1" x14ac:dyDescent="0.2">
      <c r="A1156" s="22" t="str">
        <f>HYPERLINK("javascript:void(0)","óriásacél mellvért")</f>
        <v>óriásacél mellvért</v>
      </c>
      <c r="B1156" s="21"/>
      <c r="C1156" s="21"/>
      <c r="D1156" s="21"/>
    </row>
    <row r="1157" spans="1:4" ht="12.75" customHeight="1" x14ac:dyDescent="0.2">
      <c r="A1157" s="20"/>
      <c r="B1157" s="2"/>
      <c r="C1157" s="2"/>
      <c r="D1157" s="2"/>
    </row>
    <row r="1158" spans="1:4" ht="12.75" customHeight="1" x14ac:dyDescent="0.2">
      <c r="A1158" s="21"/>
      <c r="B1158" s="3" t="s">
        <v>0</v>
      </c>
      <c r="C1158" s="20" t="s">
        <v>532</v>
      </c>
      <c r="D1158" s="21"/>
    </row>
    <row r="1159" spans="1:4" ht="12.75" customHeight="1" x14ac:dyDescent="0.2">
      <c r="A1159" s="21"/>
      <c r="B1159" s="3" t="s">
        <v>2</v>
      </c>
      <c r="C1159" s="20" t="s">
        <v>2322</v>
      </c>
      <c r="D1159" s="21"/>
    </row>
    <row r="1160" spans="1:4" ht="12.75" customHeight="1" x14ac:dyDescent="0.2">
      <c r="A1160" s="21"/>
      <c r="B1160" s="3" t="s">
        <v>1840</v>
      </c>
      <c r="C1160" s="20" t="s">
        <v>2407</v>
      </c>
      <c r="D1160" s="21"/>
    </row>
    <row r="1161" spans="1:4" ht="12.75" customHeight="1" x14ac:dyDescent="0.2">
      <c r="A1161" s="21"/>
      <c r="B1161" s="3" t="s">
        <v>9</v>
      </c>
      <c r="C1161" s="20" t="s">
        <v>129</v>
      </c>
      <c r="D1161" s="21"/>
    </row>
    <row r="1162" spans="1:4" ht="12.75" customHeight="1" x14ac:dyDescent="0.2">
      <c r="A1162" s="21"/>
      <c r="B1162" s="3" t="s">
        <v>11</v>
      </c>
      <c r="C1162" s="20" t="s">
        <v>552</v>
      </c>
      <c r="D1162" s="21"/>
    </row>
    <row r="1163" spans="1:4" ht="12.75" customHeight="1" x14ac:dyDescent="0.2">
      <c r="A1163" s="21"/>
      <c r="B1163" s="3" t="s">
        <v>16</v>
      </c>
      <c r="C1163" s="20"/>
      <c r="D1163" s="21"/>
    </row>
    <row r="1164" spans="1:4" ht="12.75" customHeight="1" x14ac:dyDescent="0.2">
      <c r="A1164" s="21"/>
      <c r="B1164" s="3" t="s">
        <v>17</v>
      </c>
      <c r="C1164" s="20" t="s">
        <v>19</v>
      </c>
      <c r="D1164" s="21"/>
    </row>
    <row r="1165" spans="1:4" ht="12.75" customHeight="1" x14ac:dyDescent="0.2">
      <c r="A1165" s="21"/>
      <c r="B1165" s="20" t="s">
        <v>18</v>
      </c>
      <c r="C1165" s="4" t="s">
        <v>68</v>
      </c>
      <c r="D1165" s="6" t="str">
        <f>HYPERLINK("javascript:void(0)","imázs")</f>
        <v>imázs</v>
      </c>
    </row>
    <row r="1166" spans="1:4" ht="12.75" customHeight="1" x14ac:dyDescent="0.2">
      <c r="A1166" s="21"/>
      <c r="B1166" s="21"/>
      <c r="C1166" s="4" t="s">
        <v>382</v>
      </c>
      <c r="D1166" s="6" t="str">
        <f>HYPERLINK("javascript:void(0)","csontszilánk")</f>
        <v>csontszilánk</v>
      </c>
    </row>
    <row r="1167" spans="1:4" ht="12.75" customHeight="1" x14ac:dyDescent="0.2">
      <c r="A1167" s="21"/>
      <c r="B1167" s="21"/>
      <c r="C1167" s="4" t="s">
        <v>98</v>
      </c>
      <c r="D1167" s="6" t="str">
        <f>HYPERLINK("javascript:void(0)","csigaház")</f>
        <v>csigaház</v>
      </c>
    </row>
    <row r="1168" spans="1:4" ht="12.75" customHeight="1" x14ac:dyDescent="0.2">
      <c r="A1168" s="21"/>
      <c r="B1168" s="2"/>
      <c r="C1168" s="2"/>
      <c r="D1168" s="2"/>
    </row>
    <row r="1169" spans="1:4" ht="12.75" customHeight="1" x14ac:dyDescent="0.2">
      <c r="A1169" s="21"/>
      <c r="B1169" s="2"/>
      <c r="C1169" s="2"/>
      <c r="D1169" s="2"/>
    </row>
    <row r="1170" spans="1:4" ht="12.75" customHeight="1" x14ac:dyDescent="0.2">
      <c r="A1170" s="21"/>
      <c r="B1170" s="2"/>
      <c r="C1170" s="2"/>
      <c r="D1170" s="2"/>
    </row>
    <row r="1171" spans="1:4" ht="12.75" customHeight="1" x14ac:dyDescent="0.2">
      <c r="A1171" s="21"/>
      <c r="B1171" s="2"/>
      <c r="C1171" s="2"/>
      <c r="D1171" s="2"/>
    </row>
    <row r="1172" spans="1:4" ht="12.75" customHeight="1" x14ac:dyDescent="0.2">
      <c r="A1172" s="5"/>
      <c r="B1172" s="2"/>
      <c r="C1172" s="2"/>
      <c r="D1172" s="2"/>
    </row>
    <row r="1173" spans="1:4" ht="12.75" customHeight="1" x14ac:dyDescent="0.2">
      <c r="A1173" s="22" t="str">
        <f>HYPERLINK("javascript:void(0)","kentacél mellvért")</f>
        <v>kentacél mellvért</v>
      </c>
      <c r="B1173" s="21"/>
      <c r="C1173" s="21"/>
      <c r="D1173" s="21"/>
    </row>
    <row r="1174" spans="1:4" ht="12.75" customHeight="1" x14ac:dyDescent="0.2">
      <c r="A1174" s="20"/>
      <c r="B1174" s="2"/>
      <c r="C1174" s="2"/>
      <c r="D1174" s="2"/>
    </row>
    <row r="1175" spans="1:4" ht="12.75" customHeight="1" x14ac:dyDescent="0.2">
      <c r="A1175" s="21"/>
      <c r="B1175" s="3" t="s">
        <v>0</v>
      </c>
      <c r="C1175" s="20" t="s">
        <v>223</v>
      </c>
      <c r="D1175" s="21"/>
    </row>
    <row r="1176" spans="1:4" ht="12.75" customHeight="1" x14ac:dyDescent="0.2">
      <c r="A1176" s="21"/>
      <c r="B1176" s="3" t="s">
        <v>2</v>
      </c>
      <c r="C1176" s="20" t="s">
        <v>2322</v>
      </c>
      <c r="D1176" s="21"/>
    </row>
    <row r="1177" spans="1:4" ht="12.75" customHeight="1" x14ac:dyDescent="0.2">
      <c r="A1177" s="21"/>
      <c r="B1177" s="3" t="s">
        <v>1840</v>
      </c>
      <c r="C1177" s="20" t="s">
        <v>2409</v>
      </c>
      <c r="D1177" s="21"/>
    </row>
    <row r="1178" spans="1:4" ht="12.75" customHeight="1" x14ac:dyDescent="0.2">
      <c r="A1178" s="21"/>
      <c r="B1178" s="3" t="s">
        <v>9</v>
      </c>
      <c r="C1178" s="20" t="s">
        <v>210</v>
      </c>
      <c r="D1178" s="21"/>
    </row>
    <row r="1179" spans="1:4" ht="12.75" customHeight="1" x14ac:dyDescent="0.2">
      <c r="A1179" s="21"/>
      <c r="B1179" s="3" t="s">
        <v>11</v>
      </c>
      <c r="C1179" s="20" t="s">
        <v>566</v>
      </c>
      <c r="D1179" s="21"/>
    </row>
    <row r="1180" spans="1:4" ht="12.75" customHeight="1" x14ac:dyDescent="0.2">
      <c r="A1180" s="21"/>
      <c r="B1180" s="3" t="s">
        <v>16</v>
      </c>
      <c r="C1180" s="20"/>
      <c r="D1180" s="21"/>
    </row>
    <row r="1181" spans="1:4" ht="12.75" customHeight="1" x14ac:dyDescent="0.2">
      <c r="A1181" s="21"/>
      <c r="B1181" s="3" t="s">
        <v>17</v>
      </c>
      <c r="C1181" s="20" t="s">
        <v>19</v>
      </c>
      <c r="D1181" s="21"/>
    </row>
    <row r="1182" spans="1:4" ht="12.75" customHeight="1" x14ac:dyDescent="0.2">
      <c r="A1182" s="21"/>
      <c r="B1182" s="20" t="s">
        <v>18</v>
      </c>
      <c r="C1182" s="4" t="s">
        <v>44</v>
      </c>
      <c r="D1182" s="6" t="str">
        <f>HYPERLINK("javascript:void(0)","elfacél mellvért")</f>
        <v>elfacél mellvért</v>
      </c>
    </row>
    <row r="1183" spans="1:4" ht="12.75" customHeight="1" x14ac:dyDescent="0.2">
      <c r="A1183" s="21"/>
      <c r="B1183" s="21"/>
      <c r="C1183" s="4" t="s">
        <v>44</v>
      </c>
      <c r="D1183" s="6" t="str">
        <f>HYPERLINK("javascript:void(0)","óriásacél mellvért")</f>
        <v>óriásacél mellvért</v>
      </c>
    </row>
    <row r="1184" spans="1:4" ht="12.75" customHeight="1" x14ac:dyDescent="0.2">
      <c r="A1184" s="21"/>
      <c r="B1184" s="21"/>
      <c r="C1184" s="4" t="s">
        <v>44</v>
      </c>
      <c r="D1184" s="6" t="str">
        <f>HYPERLINK("javascript:void(0)","kentacél előlap")</f>
        <v>kentacél előlap</v>
      </c>
    </row>
    <row r="1185" spans="1:4" ht="12.75" customHeight="1" x14ac:dyDescent="0.2">
      <c r="A1185" s="21"/>
      <c r="B1185" s="2"/>
      <c r="C1185" s="2"/>
      <c r="D1185" s="2"/>
    </row>
    <row r="1186" spans="1:4" ht="12.75" customHeight="1" x14ac:dyDescent="0.2">
      <c r="A1186" s="21"/>
      <c r="B1186" s="2"/>
      <c r="C1186" s="2"/>
      <c r="D1186" s="2"/>
    </row>
    <row r="1187" spans="1:4" ht="12.75" customHeight="1" x14ac:dyDescent="0.2">
      <c r="A1187" s="21"/>
      <c r="B1187" s="2"/>
      <c r="C1187" s="2"/>
      <c r="D1187" s="2"/>
    </row>
    <row r="1188" spans="1:4" ht="12.75" customHeight="1" x14ac:dyDescent="0.2">
      <c r="A1188" s="21"/>
      <c r="B1188" s="2"/>
      <c r="C1188" s="2"/>
      <c r="D1188" s="2"/>
    </row>
    <row r="1189" spans="1:4" ht="12.75" customHeight="1" x14ac:dyDescent="0.2">
      <c r="A1189" s="5"/>
      <c r="B1189" s="2"/>
      <c r="C1189" s="2"/>
      <c r="D1189" s="2"/>
    </row>
    <row r="1190" spans="1:4" ht="12.75" customHeight="1" x14ac:dyDescent="0.2">
      <c r="A1190" s="22" t="str">
        <f>HYPERLINK("javascript:void(0)","kentacél előlap")</f>
        <v>kentacél előlap</v>
      </c>
      <c r="B1190" s="21"/>
      <c r="C1190" s="21"/>
      <c r="D1190" s="21"/>
    </row>
    <row r="1191" spans="1:4" ht="12.75" customHeight="1" x14ac:dyDescent="0.2">
      <c r="A1191" s="20"/>
      <c r="B1191" s="2"/>
      <c r="C1191" s="2"/>
      <c r="D1191" s="2"/>
    </row>
    <row r="1192" spans="1:4" ht="12.75" customHeight="1" x14ac:dyDescent="0.2">
      <c r="A1192" s="21"/>
      <c r="B1192" s="3" t="s">
        <v>0</v>
      </c>
      <c r="C1192" s="20" t="s">
        <v>223</v>
      </c>
      <c r="D1192" s="21"/>
    </row>
    <row r="1193" spans="1:4" ht="12.75" customHeight="1" x14ac:dyDescent="0.2">
      <c r="A1193" s="21"/>
      <c r="B1193" s="3" t="s">
        <v>2</v>
      </c>
      <c r="C1193" s="20" t="s">
        <v>2322</v>
      </c>
      <c r="D1193" s="21"/>
    </row>
    <row r="1194" spans="1:4" ht="12.75" customHeight="1" x14ac:dyDescent="0.2">
      <c r="A1194" s="21"/>
      <c r="B1194" s="3" t="s">
        <v>1840</v>
      </c>
      <c r="C1194" s="20" t="s">
        <v>260</v>
      </c>
      <c r="D1194" s="21"/>
    </row>
    <row r="1195" spans="1:4" ht="12.75" customHeight="1" x14ac:dyDescent="0.2">
      <c r="A1195" s="21"/>
      <c r="B1195" s="3" t="s">
        <v>9</v>
      </c>
      <c r="C1195" s="20" t="s">
        <v>79</v>
      </c>
      <c r="D1195" s="21"/>
    </row>
    <row r="1196" spans="1:4" ht="12.75" customHeight="1" x14ac:dyDescent="0.2">
      <c r="A1196" s="21"/>
      <c r="B1196" s="3" t="s">
        <v>11</v>
      </c>
      <c r="C1196" s="20" t="s">
        <v>368</v>
      </c>
      <c r="D1196" s="21"/>
    </row>
    <row r="1197" spans="1:4" ht="12.75" customHeight="1" x14ac:dyDescent="0.2">
      <c r="A1197" s="21"/>
      <c r="B1197" s="3" t="s">
        <v>16</v>
      </c>
      <c r="C1197" s="20"/>
      <c r="D1197" s="21"/>
    </row>
    <row r="1198" spans="1:4" ht="12.75" customHeight="1" x14ac:dyDescent="0.2">
      <c r="A1198" s="21"/>
      <c r="B1198" s="3" t="s">
        <v>17</v>
      </c>
      <c r="C1198" s="20" t="s">
        <v>19</v>
      </c>
      <c r="D1198" s="21"/>
    </row>
    <row r="1199" spans="1:4" ht="12.75" customHeight="1" x14ac:dyDescent="0.2">
      <c r="A1199" s="21"/>
      <c r="B1199" s="20" t="s">
        <v>18</v>
      </c>
      <c r="C1199" s="4" t="s">
        <v>398</v>
      </c>
      <c r="D1199" s="6" t="str">
        <f>HYPERLINK("javascript:void(0)","fotogén")</f>
        <v>fotogén</v>
      </c>
    </row>
    <row r="1200" spans="1:4" ht="12.75" customHeight="1" x14ac:dyDescent="0.2">
      <c r="A1200" s="21"/>
      <c r="B1200" s="21"/>
      <c r="C1200" s="4" t="s">
        <v>327</v>
      </c>
      <c r="D1200" s="6" t="str">
        <f>HYPERLINK("javascript:void(0)","horog")</f>
        <v>horog</v>
      </c>
    </row>
    <row r="1201" spans="1:4" ht="12.75" customHeight="1" x14ac:dyDescent="0.2">
      <c r="A1201" s="21"/>
      <c r="B1201" s="21"/>
      <c r="C1201" s="4" t="s">
        <v>98</v>
      </c>
      <c r="D1201" s="6" t="str">
        <f>HYPERLINK("javascript:void(0)","manókoponya")</f>
        <v>manókoponya</v>
      </c>
    </row>
    <row r="1202" spans="1:4" ht="12.75" customHeight="1" x14ac:dyDescent="0.2">
      <c r="A1202" s="21"/>
      <c r="B1202" s="2"/>
      <c r="C1202" s="2"/>
      <c r="D1202" s="2"/>
    </row>
    <row r="1203" spans="1:4" ht="12.75" customHeight="1" x14ac:dyDescent="0.2">
      <c r="A1203" s="21"/>
      <c r="B1203" s="2"/>
      <c r="C1203" s="2"/>
      <c r="D1203" s="2"/>
    </row>
    <row r="1204" spans="1:4" ht="12.75" customHeight="1" x14ac:dyDescent="0.2">
      <c r="A1204" s="21"/>
      <c r="B1204" s="2"/>
      <c r="C1204" s="2"/>
      <c r="D1204" s="2"/>
    </row>
    <row r="1205" spans="1:4" ht="12.75" customHeight="1" x14ac:dyDescent="0.2">
      <c r="A1205" s="21"/>
      <c r="B1205" s="2"/>
      <c r="C1205" s="2"/>
      <c r="D1205" s="2"/>
    </row>
    <row r="1206" spans="1:4" ht="12.75" customHeight="1" x14ac:dyDescent="0.2">
      <c r="A1206" s="5"/>
      <c r="B1206" s="2"/>
      <c r="C1206" s="2"/>
      <c r="D1206" s="2"/>
    </row>
    <row r="1207" spans="1:4" ht="12.75" customHeight="1" x14ac:dyDescent="0.2">
      <c r="A1207" s="22" t="str">
        <f>HYPERLINK("javascript:void(0)","gyíkacél páncél")</f>
        <v>gyíkacél páncél</v>
      </c>
      <c r="B1207" s="21"/>
      <c r="C1207" s="21"/>
      <c r="D1207" s="21"/>
    </row>
    <row r="1208" spans="1:4" ht="12.75" customHeight="1" x14ac:dyDescent="0.2">
      <c r="A1208" s="20"/>
      <c r="B1208" s="2"/>
      <c r="C1208" s="2"/>
      <c r="D1208" s="2"/>
    </row>
    <row r="1209" spans="1:4" ht="12.75" customHeight="1" x14ac:dyDescent="0.2">
      <c r="A1209" s="21"/>
      <c r="B1209" s="3" t="s">
        <v>0</v>
      </c>
      <c r="C1209" s="20" t="s">
        <v>223</v>
      </c>
      <c r="D1209" s="21"/>
    </row>
    <row r="1210" spans="1:4" ht="12.75" customHeight="1" x14ac:dyDescent="0.2">
      <c r="A1210" s="21"/>
      <c r="B1210" s="3" t="s">
        <v>2</v>
      </c>
      <c r="C1210" s="20" t="s">
        <v>2322</v>
      </c>
      <c r="D1210" s="21"/>
    </row>
    <row r="1211" spans="1:4" ht="12.75" customHeight="1" x14ac:dyDescent="0.2">
      <c r="A1211" s="21"/>
      <c r="B1211" s="3" t="s">
        <v>1840</v>
      </c>
      <c r="C1211" s="20" t="s">
        <v>482</v>
      </c>
      <c r="D1211" s="21"/>
    </row>
    <row r="1212" spans="1:4" ht="12.75" customHeight="1" x14ac:dyDescent="0.2">
      <c r="A1212" s="21"/>
      <c r="B1212" s="3" t="s">
        <v>9</v>
      </c>
      <c r="C1212" s="20" t="s">
        <v>300</v>
      </c>
      <c r="D1212" s="21"/>
    </row>
    <row r="1213" spans="1:4" ht="12.75" customHeight="1" x14ac:dyDescent="0.2">
      <c r="A1213" s="21"/>
      <c r="B1213" s="3" t="s">
        <v>11</v>
      </c>
      <c r="C1213" s="20" t="s">
        <v>368</v>
      </c>
      <c r="D1213" s="21"/>
    </row>
    <row r="1214" spans="1:4" ht="12.75" customHeight="1" x14ac:dyDescent="0.2">
      <c r="A1214" s="21"/>
      <c r="B1214" s="3" t="s">
        <v>16</v>
      </c>
      <c r="C1214" s="20"/>
      <c r="D1214" s="21"/>
    </row>
    <row r="1215" spans="1:4" ht="12.75" customHeight="1" x14ac:dyDescent="0.2">
      <c r="A1215" s="21"/>
      <c r="B1215" s="3" t="s">
        <v>17</v>
      </c>
      <c r="C1215" s="20" t="s">
        <v>19</v>
      </c>
      <c r="D1215" s="21"/>
    </row>
    <row r="1216" spans="1:4" ht="12.75" customHeight="1" x14ac:dyDescent="0.2">
      <c r="A1216" s="21"/>
      <c r="B1216" s="20" t="s">
        <v>18</v>
      </c>
      <c r="C1216" s="4" t="s">
        <v>1379</v>
      </c>
      <c r="D1216" s="6" t="str">
        <f>HYPERLINK("javascript:void(0)","goblinbatka")</f>
        <v>goblinbatka</v>
      </c>
    </row>
    <row r="1217" spans="1:4" ht="12.75" customHeight="1" x14ac:dyDescent="0.2">
      <c r="A1217" s="21"/>
      <c r="B1217" s="21"/>
      <c r="C1217" s="4" t="s">
        <v>280</v>
      </c>
      <c r="D1217" s="6" t="str">
        <f>HYPERLINK("javascript:void(0)","szent szimbólum")</f>
        <v>szent szimbólum</v>
      </c>
    </row>
    <row r="1218" spans="1:4" ht="12.75" customHeight="1" x14ac:dyDescent="0.2">
      <c r="A1218" s="21"/>
      <c r="B1218" s="21"/>
      <c r="C1218" s="4" t="s">
        <v>280</v>
      </c>
      <c r="D1218" s="6" t="str">
        <f>HYPERLINK("javascript:void(0)","portgyűrű")</f>
        <v>portgyűrű</v>
      </c>
    </row>
    <row r="1219" spans="1:4" ht="12.75" customHeight="1" x14ac:dyDescent="0.2">
      <c r="A1219" s="21"/>
      <c r="B1219" s="2"/>
      <c r="C1219" s="2"/>
      <c r="D1219" s="2"/>
    </row>
    <row r="1220" spans="1:4" ht="12.75" customHeight="1" x14ac:dyDescent="0.2">
      <c r="A1220" s="21"/>
      <c r="B1220" s="2"/>
      <c r="C1220" s="2"/>
      <c r="D1220" s="2"/>
    </row>
    <row r="1221" spans="1:4" ht="12.75" customHeight="1" x14ac:dyDescent="0.2">
      <c r="A1221" s="21"/>
      <c r="B1221" s="2"/>
      <c r="C1221" s="2"/>
      <c r="D1221" s="2"/>
    </row>
    <row r="1222" spans="1:4" ht="12.75" customHeight="1" x14ac:dyDescent="0.2">
      <c r="A1222" s="21"/>
      <c r="B1222" s="2"/>
      <c r="C1222" s="2"/>
      <c r="D1222" s="2"/>
    </row>
    <row r="1223" spans="1:4" ht="12.75" customHeight="1" x14ac:dyDescent="0.2">
      <c r="A1223" s="5"/>
      <c r="B1223" s="2"/>
      <c r="C1223" s="2"/>
      <c r="D1223" s="2"/>
    </row>
    <row r="1224" spans="1:4" ht="12.75" customHeight="1" x14ac:dyDescent="0.2">
      <c r="A1224" s="22" t="str">
        <f>HYPERLINK("javascript:void(0)","csillámos kispáncél")</f>
        <v>csillámos kispáncél</v>
      </c>
      <c r="B1224" s="21"/>
      <c r="C1224" s="21"/>
      <c r="D1224" s="21"/>
    </row>
    <row r="1225" spans="1:4" ht="12.75" customHeight="1" x14ac:dyDescent="0.2">
      <c r="A1225" s="20"/>
      <c r="B1225" s="2"/>
      <c r="C1225" s="2"/>
      <c r="D1225" s="2"/>
    </row>
    <row r="1226" spans="1:4" ht="12.75" customHeight="1" x14ac:dyDescent="0.2">
      <c r="A1226" s="21"/>
      <c r="B1226" s="3" t="s">
        <v>0</v>
      </c>
      <c r="C1226" s="20" t="s">
        <v>223</v>
      </c>
      <c r="D1226" s="21"/>
    </row>
    <row r="1227" spans="1:4" ht="12.75" customHeight="1" x14ac:dyDescent="0.2">
      <c r="A1227" s="21"/>
      <c r="B1227" s="3" t="s">
        <v>2</v>
      </c>
      <c r="C1227" s="20" t="s">
        <v>2322</v>
      </c>
      <c r="D1227" s="21"/>
    </row>
    <row r="1228" spans="1:4" ht="12.75" customHeight="1" x14ac:dyDescent="0.2">
      <c r="A1228" s="21"/>
      <c r="B1228" s="3" t="s">
        <v>1840</v>
      </c>
      <c r="C1228" s="20" t="s">
        <v>2413</v>
      </c>
      <c r="D1228" s="21"/>
    </row>
    <row r="1229" spans="1:4" ht="12.75" customHeight="1" x14ac:dyDescent="0.2">
      <c r="A1229" s="21"/>
      <c r="B1229" s="3" t="s">
        <v>9</v>
      </c>
      <c r="C1229" s="20" t="s">
        <v>2360</v>
      </c>
      <c r="D1229" s="21"/>
    </row>
    <row r="1230" spans="1:4" ht="12.75" customHeight="1" x14ac:dyDescent="0.2">
      <c r="A1230" s="21"/>
      <c r="B1230" s="3" t="s">
        <v>11</v>
      </c>
      <c r="C1230" s="20" t="s">
        <v>566</v>
      </c>
      <c r="D1230" s="21"/>
    </row>
    <row r="1231" spans="1:4" ht="12.75" customHeight="1" x14ac:dyDescent="0.2">
      <c r="A1231" s="21"/>
      <c r="B1231" s="3" t="s">
        <v>16</v>
      </c>
      <c r="C1231" s="20"/>
      <c r="D1231" s="21"/>
    </row>
    <row r="1232" spans="1:4" ht="12.75" customHeight="1" x14ac:dyDescent="0.2">
      <c r="A1232" s="21"/>
      <c r="B1232" s="3" t="s">
        <v>17</v>
      </c>
      <c r="C1232" s="20" t="s">
        <v>19</v>
      </c>
      <c r="D1232" s="21"/>
    </row>
    <row r="1233" spans="1:4" ht="12.75" customHeight="1" x14ac:dyDescent="0.2">
      <c r="A1233" s="21"/>
      <c r="B1233" s="20" t="s">
        <v>18</v>
      </c>
      <c r="C1233" s="4" t="s">
        <v>57</v>
      </c>
      <c r="D1233" s="6" t="str">
        <f>HYPERLINK("javascript:void(0)","csillámgöb")</f>
        <v>csillámgöb</v>
      </c>
    </row>
    <row r="1234" spans="1:4" ht="12.75" customHeight="1" x14ac:dyDescent="0.2">
      <c r="A1234" s="21"/>
      <c r="B1234" s="21"/>
      <c r="C1234" s="4" t="s">
        <v>44</v>
      </c>
      <c r="D1234" s="6" t="str">
        <f>HYPERLINK("javascript:void(0)","csillámos felleghajtó")</f>
        <v>csillámos felleghajtó</v>
      </c>
    </row>
    <row r="1235" spans="1:4" ht="12.75" customHeight="1" x14ac:dyDescent="0.2">
      <c r="A1235" s="21"/>
      <c r="B1235" s="21"/>
      <c r="C1235" s="4" t="s">
        <v>163</v>
      </c>
      <c r="D1235" s="6" t="str">
        <f>HYPERLINK("javascript:void(0)","szent szimbólum")</f>
        <v>szent szimbólum</v>
      </c>
    </row>
    <row r="1236" spans="1:4" ht="12.75" customHeight="1" x14ac:dyDescent="0.2">
      <c r="A1236" s="21"/>
      <c r="B1236" s="2"/>
      <c r="C1236" s="2"/>
      <c r="D1236" s="2"/>
    </row>
    <row r="1237" spans="1:4" ht="12.75" customHeight="1" x14ac:dyDescent="0.2">
      <c r="A1237" s="21"/>
      <c r="B1237" s="2"/>
      <c r="C1237" s="2"/>
      <c r="D1237" s="2"/>
    </row>
    <row r="1238" spans="1:4" ht="12.75" customHeight="1" x14ac:dyDescent="0.2">
      <c r="A1238" s="21"/>
      <c r="B1238" s="2"/>
      <c r="C1238" s="2"/>
      <c r="D1238" s="2"/>
    </row>
    <row r="1239" spans="1:4" ht="12.75" customHeight="1" x14ac:dyDescent="0.2">
      <c r="A1239" s="21"/>
      <c r="B1239" s="2"/>
      <c r="C1239" s="2"/>
      <c r="D1239" s="2"/>
    </row>
    <row r="1240" spans="1:4" ht="12.75" customHeight="1" x14ac:dyDescent="0.2">
      <c r="A1240" s="5"/>
      <c r="B1240" s="2"/>
      <c r="C1240" s="2"/>
      <c r="D1240" s="2"/>
    </row>
    <row r="1241" spans="1:4" ht="12.75" customHeight="1" x14ac:dyDescent="0.2">
      <c r="A1241" s="22" t="str">
        <f>HYPERLINK("javascript:void(0)","mengorni mellvért")</f>
        <v>mengorni mellvért</v>
      </c>
      <c r="B1241" s="21"/>
      <c r="C1241" s="21"/>
      <c r="D1241" s="21"/>
    </row>
    <row r="1242" spans="1:4" ht="12.75" customHeight="1" x14ac:dyDescent="0.2">
      <c r="A1242" s="20"/>
      <c r="B1242" s="2"/>
      <c r="C1242" s="2"/>
      <c r="D1242" s="2"/>
    </row>
    <row r="1243" spans="1:4" ht="12.75" customHeight="1" x14ac:dyDescent="0.2">
      <c r="A1243" s="21"/>
      <c r="B1243" s="3" t="s">
        <v>0</v>
      </c>
      <c r="C1243" s="20" t="s">
        <v>229</v>
      </c>
      <c r="D1243" s="21"/>
    </row>
    <row r="1244" spans="1:4" ht="12.75" customHeight="1" x14ac:dyDescent="0.2">
      <c r="A1244" s="21"/>
      <c r="B1244" s="3" t="s">
        <v>2</v>
      </c>
      <c r="C1244" s="20" t="s">
        <v>2322</v>
      </c>
      <c r="D1244" s="21"/>
    </row>
    <row r="1245" spans="1:4" ht="12.75" customHeight="1" x14ac:dyDescent="0.2">
      <c r="A1245" s="21"/>
      <c r="B1245" s="3" t="s">
        <v>1840</v>
      </c>
      <c r="C1245" s="20" t="s">
        <v>1805</v>
      </c>
      <c r="D1245" s="21"/>
    </row>
    <row r="1246" spans="1:4" ht="12.75" customHeight="1" x14ac:dyDescent="0.2">
      <c r="A1246" s="21"/>
      <c r="B1246" s="3" t="s">
        <v>9</v>
      </c>
      <c r="C1246" s="20" t="s">
        <v>464</v>
      </c>
      <c r="D1246" s="21"/>
    </row>
    <row r="1247" spans="1:4" ht="12.75" customHeight="1" x14ac:dyDescent="0.2">
      <c r="A1247" s="21"/>
      <c r="B1247" s="3" t="s">
        <v>11</v>
      </c>
      <c r="C1247" s="20" t="s">
        <v>587</v>
      </c>
      <c r="D1247" s="21"/>
    </row>
    <row r="1248" spans="1:4" ht="12.75" customHeight="1" x14ac:dyDescent="0.2">
      <c r="A1248" s="21"/>
      <c r="B1248" s="3" t="s">
        <v>16</v>
      </c>
      <c r="C1248" s="20"/>
      <c r="D1248" s="21"/>
    </row>
    <row r="1249" spans="1:4" ht="12.75" customHeight="1" x14ac:dyDescent="0.2">
      <c r="A1249" s="21"/>
      <c r="B1249" s="3" t="s">
        <v>17</v>
      </c>
      <c r="C1249" s="20" t="s">
        <v>19</v>
      </c>
      <c r="D1249" s="21"/>
    </row>
    <row r="1250" spans="1:4" ht="12.75" customHeight="1" x14ac:dyDescent="0.2">
      <c r="A1250" s="21"/>
      <c r="B1250" s="20" t="s">
        <v>18</v>
      </c>
      <c r="C1250" s="4" t="s">
        <v>44</v>
      </c>
      <c r="D1250" s="6" t="str">
        <f>HYPERLINK("javascript:void(0)","kentacél mellvért")</f>
        <v>kentacél mellvért</v>
      </c>
    </row>
    <row r="1251" spans="1:4" ht="12.75" customHeight="1" x14ac:dyDescent="0.2">
      <c r="A1251" s="21"/>
      <c r="B1251" s="21"/>
      <c r="C1251" s="4" t="s">
        <v>68</v>
      </c>
      <c r="D1251" s="6" t="str">
        <f>HYPERLINK("javascript:void(0)","hacuka")</f>
        <v>hacuka</v>
      </c>
    </row>
    <row r="1252" spans="1:4" ht="12.75" customHeight="1" x14ac:dyDescent="0.2">
      <c r="A1252" s="21"/>
      <c r="B1252" s="21"/>
      <c r="C1252" s="4" t="s">
        <v>309</v>
      </c>
      <c r="D1252" s="6" t="str">
        <f>HYPERLINK("javascript:void(0)","rotorlapát")</f>
        <v>rotorlapát</v>
      </c>
    </row>
    <row r="1253" spans="1:4" ht="12.75" customHeight="1" x14ac:dyDescent="0.2">
      <c r="A1253" s="21"/>
      <c r="B1253" s="2"/>
      <c r="C1253" s="2"/>
      <c r="D1253" s="2"/>
    </row>
    <row r="1254" spans="1:4" ht="12.75" customHeight="1" x14ac:dyDescent="0.2">
      <c r="A1254" s="21"/>
      <c r="B1254" s="2"/>
      <c r="C1254" s="2"/>
      <c r="D1254" s="2"/>
    </row>
    <row r="1255" spans="1:4" ht="12.75" customHeight="1" x14ac:dyDescent="0.2">
      <c r="A1255" s="21"/>
      <c r="B1255" s="2"/>
      <c r="C1255" s="2"/>
      <c r="D1255" s="2"/>
    </row>
    <row r="1256" spans="1:4" ht="12.75" customHeight="1" x14ac:dyDescent="0.2">
      <c r="A1256" s="21"/>
      <c r="B1256" s="2"/>
      <c r="C1256" s="2"/>
      <c r="D1256" s="2"/>
    </row>
    <row r="1257" spans="1:4" ht="12.75" customHeight="1" x14ac:dyDescent="0.2">
      <c r="A1257" s="5"/>
      <c r="B1257" s="2"/>
      <c r="C1257" s="2"/>
      <c r="D1257" s="2"/>
    </row>
    <row r="1258" spans="1:4" ht="12.75" customHeight="1" x14ac:dyDescent="0.2">
      <c r="A1258" s="22" t="str">
        <f>HYPERLINK("javascript:void(0)","uszonytaréj")</f>
        <v>uszonytaréj</v>
      </c>
      <c r="B1258" s="21"/>
      <c r="C1258" s="21"/>
      <c r="D1258" s="21"/>
    </row>
    <row r="1259" spans="1:4" ht="12.75" customHeight="1" x14ac:dyDescent="0.2">
      <c r="A1259" s="20"/>
      <c r="B1259" s="2"/>
      <c r="C1259" s="2"/>
      <c r="D1259" s="2"/>
    </row>
    <row r="1260" spans="1:4" ht="12.75" customHeight="1" x14ac:dyDescent="0.2">
      <c r="A1260" s="21"/>
      <c r="B1260" s="3" t="s">
        <v>0</v>
      </c>
      <c r="C1260" s="20" t="s">
        <v>229</v>
      </c>
      <c r="D1260" s="21"/>
    </row>
    <row r="1261" spans="1:4" ht="12.75" customHeight="1" x14ac:dyDescent="0.2">
      <c r="A1261" s="21"/>
      <c r="B1261" s="3" t="s">
        <v>2</v>
      </c>
      <c r="C1261" s="20" t="s">
        <v>2322</v>
      </c>
      <c r="D1261" s="21"/>
    </row>
    <row r="1262" spans="1:4" ht="12.75" customHeight="1" x14ac:dyDescent="0.2">
      <c r="A1262" s="21"/>
      <c r="B1262" s="3" t="s">
        <v>1840</v>
      </c>
      <c r="C1262" s="20" t="s">
        <v>272</v>
      </c>
      <c r="D1262" s="21"/>
    </row>
    <row r="1263" spans="1:4" ht="12.75" customHeight="1" x14ac:dyDescent="0.2">
      <c r="A1263" s="21"/>
      <c r="B1263" s="3" t="s">
        <v>9</v>
      </c>
      <c r="C1263" s="20" t="s">
        <v>27</v>
      </c>
      <c r="D1263" s="21"/>
    </row>
    <row r="1264" spans="1:4" ht="12.75" customHeight="1" x14ac:dyDescent="0.2">
      <c r="A1264" s="21"/>
      <c r="B1264" s="3" t="s">
        <v>11</v>
      </c>
      <c r="C1264" s="20" t="s">
        <v>368</v>
      </c>
      <c r="D1264" s="21"/>
    </row>
    <row r="1265" spans="1:4" ht="12.75" customHeight="1" x14ac:dyDescent="0.2">
      <c r="A1265" s="21"/>
      <c r="B1265" s="3" t="s">
        <v>16</v>
      </c>
      <c r="C1265" s="20"/>
      <c r="D1265" s="21"/>
    </row>
    <row r="1266" spans="1:4" ht="12.75" customHeight="1" x14ac:dyDescent="0.2">
      <c r="A1266" s="21"/>
      <c r="B1266" s="3" t="s">
        <v>17</v>
      </c>
      <c r="C1266" s="20" t="s">
        <v>19</v>
      </c>
      <c r="D1266" s="21"/>
    </row>
    <row r="1267" spans="1:4" ht="12.75" customHeight="1" x14ac:dyDescent="0.2">
      <c r="A1267" s="21"/>
      <c r="B1267" s="20" t="s">
        <v>18</v>
      </c>
      <c r="C1267" s="4" t="s">
        <v>77</v>
      </c>
      <c r="D1267" s="6" t="str">
        <f>HYPERLINK("javascript:void(0)","uszony")</f>
        <v>uszony</v>
      </c>
    </row>
    <row r="1268" spans="1:4" ht="12.75" customHeight="1" x14ac:dyDescent="0.2">
      <c r="A1268" s="21"/>
      <c r="B1268" s="21"/>
      <c r="C1268" s="4" t="s">
        <v>163</v>
      </c>
      <c r="D1268" s="6" t="str">
        <f>HYPERLINK("javascript:void(0)","morfige")</f>
        <v>morfige</v>
      </c>
    </row>
    <row r="1269" spans="1:4" ht="12.75" customHeight="1" x14ac:dyDescent="0.2">
      <c r="A1269" s="21"/>
      <c r="B1269" s="21"/>
      <c r="C1269" s="4" t="s">
        <v>98</v>
      </c>
      <c r="D1269" s="6" t="str">
        <f>HYPERLINK("javascript:void(0)","űrlap")</f>
        <v>űrlap</v>
      </c>
    </row>
    <row r="1270" spans="1:4" ht="12.75" customHeight="1" x14ac:dyDescent="0.2">
      <c r="A1270" s="21"/>
      <c r="B1270" s="2"/>
      <c r="C1270" s="2"/>
      <c r="D1270" s="2"/>
    </row>
    <row r="1271" spans="1:4" ht="12.75" customHeight="1" x14ac:dyDescent="0.2">
      <c r="A1271" s="21"/>
      <c r="B1271" s="2"/>
      <c r="C1271" s="2"/>
      <c r="D1271" s="2"/>
    </row>
    <row r="1272" spans="1:4" ht="12.75" customHeight="1" x14ac:dyDescent="0.2">
      <c r="A1272" s="21"/>
      <c r="B1272" s="2"/>
      <c r="C1272" s="2"/>
      <c r="D1272" s="2"/>
    </row>
    <row r="1273" spans="1:4" ht="12.75" customHeight="1" x14ac:dyDescent="0.2">
      <c r="A1273" s="21"/>
      <c r="B1273" s="2"/>
      <c r="C1273" s="2"/>
      <c r="D1273" s="2"/>
    </row>
    <row r="1274" spans="1:4" ht="12.75" customHeight="1" x14ac:dyDescent="0.2">
      <c r="A1274" s="5"/>
      <c r="B1274" s="2"/>
      <c r="C1274" s="2"/>
      <c r="D1274" s="2"/>
    </row>
    <row r="1275" spans="1:4" ht="12.75" customHeight="1" x14ac:dyDescent="0.2">
      <c r="A1275" s="22" t="str">
        <f>HYPERLINK("javascript:void(0)","skivei mellvért")</f>
        <v>skivei mellvért</v>
      </c>
      <c r="B1275" s="21"/>
      <c r="C1275" s="21"/>
      <c r="D1275" s="21"/>
    </row>
    <row r="1276" spans="1:4" ht="12.75" customHeight="1" x14ac:dyDescent="0.2">
      <c r="A1276" s="20"/>
      <c r="B1276" s="2"/>
      <c r="C1276" s="2"/>
      <c r="D1276" s="2"/>
    </row>
    <row r="1277" spans="1:4" ht="12.75" customHeight="1" x14ac:dyDescent="0.2">
      <c r="A1277" s="21"/>
      <c r="B1277" s="3" t="s">
        <v>0</v>
      </c>
      <c r="C1277" s="20" t="s">
        <v>562</v>
      </c>
      <c r="D1277" s="21"/>
    </row>
    <row r="1278" spans="1:4" ht="12.75" customHeight="1" x14ac:dyDescent="0.2">
      <c r="A1278" s="21"/>
      <c r="B1278" s="3" t="s">
        <v>2</v>
      </c>
      <c r="C1278" s="20" t="s">
        <v>2322</v>
      </c>
      <c r="D1278" s="21"/>
    </row>
    <row r="1279" spans="1:4" ht="12.75" customHeight="1" x14ac:dyDescent="0.2">
      <c r="A1279" s="21"/>
      <c r="B1279" s="3" t="s">
        <v>1840</v>
      </c>
      <c r="C1279" s="20" t="s">
        <v>2415</v>
      </c>
      <c r="D1279" s="21"/>
    </row>
    <row r="1280" spans="1:4" ht="12.75" customHeight="1" x14ac:dyDescent="0.2">
      <c r="A1280" s="21"/>
      <c r="B1280" s="3" t="s">
        <v>9</v>
      </c>
      <c r="C1280" s="20" t="s">
        <v>374</v>
      </c>
      <c r="D1280" s="21"/>
    </row>
    <row r="1281" spans="1:4" ht="12.75" customHeight="1" x14ac:dyDescent="0.2">
      <c r="A1281" s="21"/>
      <c r="B1281" s="3" t="s">
        <v>11</v>
      </c>
      <c r="C1281" s="20" t="s">
        <v>603</v>
      </c>
      <c r="D1281" s="21"/>
    </row>
    <row r="1282" spans="1:4" ht="12.75" customHeight="1" x14ac:dyDescent="0.2">
      <c r="A1282" s="21"/>
      <c r="B1282" s="3" t="s">
        <v>16</v>
      </c>
      <c r="C1282" s="20"/>
      <c r="D1282" s="21"/>
    </row>
    <row r="1283" spans="1:4" ht="12.75" customHeight="1" x14ac:dyDescent="0.2">
      <c r="A1283" s="21"/>
      <c r="B1283" s="3" t="s">
        <v>17</v>
      </c>
      <c r="C1283" s="20" t="s">
        <v>19</v>
      </c>
      <c r="D1283" s="21"/>
    </row>
    <row r="1284" spans="1:4" ht="12.75" customHeight="1" x14ac:dyDescent="0.2">
      <c r="A1284" s="21"/>
      <c r="B1284" s="20" t="s">
        <v>18</v>
      </c>
      <c r="C1284" s="4" t="s">
        <v>68</v>
      </c>
      <c r="D1284" s="6" t="str">
        <f>HYPERLINK("javascript:void(0)","trolltartó")</f>
        <v>trolltartó</v>
      </c>
    </row>
    <row r="1285" spans="1:4" ht="12.75" customHeight="1" x14ac:dyDescent="0.2">
      <c r="A1285" s="21"/>
      <c r="B1285" s="21"/>
      <c r="C1285" s="4" t="s">
        <v>117</v>
      </c>
      <c r="D1285" s="6" t="str">
        <f>HYPERLINK("javascript:void(0)","dimenzióforgács")</f>
        <v>dimenzióforgács</v>
      </c>
    </row>
    <row r="1286" spans="1:4" ht="12.75" customHeight="1" x14ac:dyDescent="0.2">
      <c r="A1286" s="21"/>
      <c r="B1286" s="21"/>
      <c r="C1286" s="4" t="s">
        <v>382</v>
      </c>
      <c r="D1286" s="6" t="str">
        <f>HYPERLINK("javascript:void(0)","morfige")</f>
        <v>morfige</v>
      </c>
    </row>
    <row r="1287" spans="1:4" ht="12.75" customHeight="1" x14ac:dyDescent="0.2">
      <c r="A1287" s="21"/>
      <c r="B1287" s="2"/>
      <c r="C1287" s="2"/>
      <c r="D1287" s="2"/>
    </row>
    <row r="1288" spans="1:4" ht="12.75" customHeight="1" x14ac:dyDescent="0.2">
      <c r="A1288" s="21"/>
      <c r="B1288" s="2"/>
      <c r="C1288" s="2"/>
      <c r="D1288" s="2"/>
    </row>
    <row r="1289" spans="1:4" ht="12.75" customHeight="1" x14ac:dyDescent="0.2">
      <c r="A1289" s="21"/>
      <c r="B1289" s="2"/>
      <c r="C1289" s="2"/>
      <c r="D1289" s="2"/>
    </row>
    <row r="1290" spans="1:4" ht="12.75" customHeight="1" x14ac:dyDescent="0.2">
      <c r="A1290" s="21"/>
      <c r="B1290" s="2"/>
      <c r="C1290" s="2"/>
      <c r="D1290" s="2"/>
    </row>
    <row r="1291" spans="1:4" ht="12.75" customHeight="1" x14ac:dyDescent="0.2">
      <c r="A1291" s="5"/>
      <c r="B1291" s="2"/>
      <c r="C1291" s="2"/>
      <c r="D1291" s="2"/>
    </row>
    <row r="1292" spans="1:4" ht="12.75" customHeight="1" x14ac:dyDescent="0.2">
      <c r="A1292" s="22" t="str">
        <f>HYPERLINK("javascript:void(0)","hipertalp")</f>
        <v>hipertalp</v>
      </c>
      <c r="B1292" s="21"/>
      <c r="C1292" s="21"/>
      <c r="D1292" s="21"/>
    </row>
    <row r="1293" spans="1:4" ht="12.75" customHeight="1" x14ac:dyDescent="0.2">
      <c r="A1293" s="20"/>
      <c r="B1293" s="2"/>
      <c r="C1293" s="2"/>
      <c r="D1293" s="2"/>
    </row>
    <row r="1294" spans="1:4" ht="12.75" customHeight="1" x14ac:dyDescent="0.2">
      <c r="A1294" s="21"/>
      <c r="B1294" s="3" t="s">
        <v>0</v>
      </c>
      <c r="C1294" s="20" t="s">
        <v>562</v>
      </c>
      <c r="D1294" s="21"/>
    </row>
    <row r="1295" spans="1:4" ht="12.75" customHeight="1" x14ac:dyDescent="0.2">
      <c r="A1295" s="21"/>
      <c r="B1295" s="3" t="s">
        <v>2</v>
      </c>
      <c r="C1295" s="20" t="s">
        <v>2322</v>
      </c>
      <c r="D1295" s="21"/>
    </row>
    <row r="1296" spans="1:4" ht="12.75" customHeight="1" x14ac:dyDescent="0.2">
      <c r="A1296" s="21"/>
      <c r="B1296" s="3" t="s">
        <v>1840</v>
      </c>
      <c r="C1296" s="20" t="s">
        <v>284</v>
      </c>
      <c r="D1296" s="21"/>
    </row>
    <row r="1297" spans="1:4" ht="12.75" customHeight="1" x14ac:dyDescent="0.2">
      <c r="A1297" s="21"/>
      <c r="B1297" s="3" t="s">
        <v>9</v>
      </c>
      <c r="C1297" s="20" t="s">
        <v>27</v>
      </c>
      <c r="D1297" s="21"/>
    </row>
    <row r="1298" spans="1:4" ht="12.75" customHeight="1" x14ac:dyDescent="0.2">
      <c r="A1298" s="21"/>
      <c r="B1298" s="3" t="s">
        <v>11</v>
      </c>
      <c r="C1298" s="20" t="s">
        <v>368</v>
      </c>
      <c r="D1298" s="21"/>
    </row>
    <row r="1299" spans="1:4" ht="12.75" customHeight="1" x14ac:dyDescent="0.2">
      <c r="A1299" s="21"/>
      <c r="B1299" s="3" t="s">
        <v>16</v>
      </c>
      <c r="C1299" s="20"/>
      <c r="D1299" s="21"/>
    </row>
    <row r="1300" spans="1:4" ht="12.75" customHeight="1" x14ac:dyDescent="0.2">
      <c r="A1300" s="21"/>
      <c r="B1300" s="3" t="s">
        <v>17</v>
      </c>
      <c r="C1300" s="20" t="s">
        <v>19</v>
      </c>
      <c r="D1300" s="21"/>
    </row>
    <row r="1301" spans="1:4" ht="12.75" customHeight="1" x14ac:dyDescent="0.2">
      <c r="A1301" s="21"/>
      <c r="B1301" s="20" t="s">
        <v>18</v>
      </c>
      <c r="C1301" s="4" t="s">
        <v>67</v>
      </c>
      <c r="D1301" s="6" t="str">
        <f>HYPERLINK("javascript:void(0)","rémszarv")</f>
        <v>rémszarv</v>
      </c>
    </row>
    <row r="1302" spans="1:4" ht="12.75" customHeight="1" x14ac:dyDescent="0.2">
      <c r="A1302" s="21"/>
      <c r="B1302" s="21"/>
      <c r="C1302" s="4" t="s">
        <v>193</v>
      </c>
      <c r="D1302" s="6" t="str">
        <f>HYPERLINK("javascript:void(0)","kacat")</f>
        <v>kacat</v>
      </c>
    </row>
    <row r="1303" spans="1:4" ht="12.75" customHeight="1" x14ac:dyDescent="0.2">
      <c r="A1303" s="21"/>
      <c r="B1303" s="21"/>
      <c r="C1303" s="4" t="s">
        <v>193</v>
      </c>
      <c r="D1303" s="6" t="str">
        <f>HYPERLINK("javascript:void(0)","hörcsögagyar")</f>
        <v>hörcsögagyar</v>
      </c>
    </row>
    <row r="1304" spans="1:4" ht="12.75" customHeight="1" x14ac:dyDescent="0.2">
      <c r="A1304" s="21"/>
      <c r="B1304" s="2"/>
      <c r="C1304" s="2"/>
      <c r="D1304" s="2"/>
    </row>
    <row r="1305" spans="1:4" ht="12.75" customHeight="1" x14ac:dyDescent="0.2">
      <c r="A1305" s="21"/>
      <c r="B1305" s="2"/>
      <c r="C1305" s="2"/>
      <c r="D1305" s="2"/>
    </row>
    <row r="1306" spans="1:4" ht="12.75" customHeight="1" x14ac:dyDescent="0.2">
      <c r="A1306" s="21"/>
      <c r="B1306" s="2"/>
      <c r="C1306" s="2"/>
      <c r="D1306" s="2"/>
    </row>
    <row r="1307" spans="1:4" ht="12.75" customHeight="1" x14ac:dyDescent="0.2">
      <c r="A1307" s="21"/>
      <c r="B1307" s="2"/>
      <c r="C1307" s="2"/>
      <c r="D1307" s="2"/>
    </row>
    <row r="1308" spans="1:4" ht="12.75" customHeight="1" x14ac:dyDescent="0.2">
      <c r="A1308" s="5"/>
      <c r="B1308" s="2"/>
      <c r="C1308" s="2"/>
      <c r="D1308" s="2"/>
    </row>
    <row r="1309" spans="1:4" ht="12.75" customHeight="1" x14ac:dyDescent="0.2">
      <c r="A1309" s="22" t="str">
        <f>HYPERLINK("javascript:void(0)","rimföldi mellvért")</f>
        <v>rimföldi mellvért</v>
      </c>
      <c r="B1309" s="21"/>
      <c r="C1309" s="21"/>
      <c r="D1309" s="21"/>
    </row>
    <row r="1310" spans="1:4" ht="12.75" customHeight="1" x14ac:dyDescent="0.2">
      <c r="A1310" s="20"/>
      <c r="B1310" s="2"/>
      <c r="C1310" s="2"/>
      <c r="D1310" s="2"/>
    </row>
    <row r="1311" spans="1:4" ht="12.75" customHeight="1" x14ac:dyDescent="0.2">
      <c r="A1311" s="21"/>
      <c r="B1311" s="3" t="s">
        <v>0</v>
      </c>
      <c r="C1311" s="20" t="s">
        <v>575</v>
      </c>
      <c r="D1311" s="21"/>
    </row>
    <row r="1312" spans="1:4" ht="12.75" customHeight="1" x14ac:dyDescent="0.2">
      <c r="A1312" s="21"/>
      <c r="B1312" s="3" t="s">
        <v>2</v>
      </c>
      <c r="C1312" s="20" t="s">
        <v>2322</v>
      </c>
      <c r="D1312" s="21"/>
    </row>
    <row r="1313" spans="1:4" ht="12.75" customHeight="1" x14ac:dyDescent="0.2">
      <c r="A1313" s="21"/>
      <c r="B1313" s="3" t="s">
        <v>1840</v>
      </c>
      <c r="C1313" s="20" t="s">
        <v>517</v>
      </c>
      <c r="D1313" s="21"/>
    </row>
    <row r="1314" spans="1:4" ht="12.75" customHeight="1" x14ac:dyDescent="0.2">
      <c r="A1314" s="21"/>
      <c r="B1314" s="3" t="s">
        <v>9</v>
      </c>
      <c r="C1314" s="20" t="s">
        <v>464</v>
      </c>
      <c r="D1314" s="21"/>
    </row>
    <row r="1315" spans="1:4" ht="12.75" customHeight="1" x14ac:dyDescent="0.2">
      <c r="A1315" s="21"/>
      <c r="B1315" s="3" t="s">
        <v>11</v>
      </c>
      <c r="C1315" s="20" t="s">
        <v>625</v>
      </c>
      <c r="D1315" s="21"/>
    </row>
    <row r="1316" spans="1:4" ht="12.75" customHeight="1" x14ac:dyDescent="0.2">
      <c r="A1316" s="21"/>
      <c r="B1316" s="3" t="s">
        <v>16</v>
      </c>
      <c r="C1316" s="20"/>
      <c r="D1316" s="21"/>
    </row>
    <row r="1317" spans="1:4" ht="12.75" customHeight="1" x14ac:dyDescent="0.2">
      <c r="A1317" s="21"/>
      <c r="B1317" s="3" t="s">
        <v>17</v>
      </c>
      <c r="C1317" s="20" t="s">
        <v>19</v>
      </c>
      <c r="D1317" s="21"/>
    </row>
    <row r="1318" spans="1:4" ht="12.75" customHeight="1" x14ac:dyDescent="0.2">
      <c r="A1318" s="21"/>
      <c r="B1318" s="20" t="s">
        <v>18</v>
      </c>
      <c r="C1318" s="4" t="s">
        <v>44</v>
      </c>
      <c r="D1318" s="6" t="str">
        <f>HYPERLINK("javascript:void(0)","mengorni mellvért")</f>
        <v>mengorni mellvért</v>
      </c>
    </row>
    <row r="1319" spans="1:4" ht="12.75" customHeight="1" x14ac:dyDescent="0.2">
      <c r="A1319" s="21"/>
      <c r="B1319" s="21"/>
      <c r="C1319" s="4" t="s">
        <v>44</v>
      </c>
      <c r="D1319" s="6" t="str">
        <f>HYPERLINK("javascript:void(0)","skivei mellvért")</f>
        <v>skivei mellvért</v>
      </c>
    </row>
    <row r="1320" spans="1:4" ht="12.75" customHeight="1" x14ac:dyDescent="0.2">
      <c r="A1320" s="21"/>
      <c r="B1320" s="21"/>
      <c r="C1320" s="4" t="s">
        <v>44</v>
      </c>
      <c r="D1320" s="6" t="str">
        <f>HYPERLINK("javascript:void(0)","rimföldi előlap")</f>
        <v>rimföldi előlap</v>
      </c>
    </row>
    <row r="1321" spans="1:4" ht="12.75" customHeight="1" x14ac:dyDescent="0.2">
      <c r="A1321" s="21"/>
      <c r="B1321" s="2"/>
      <c r="C1321" s="2"/>
      <c r="D1321" s="2"/>
    </row>
    <row r="1322" spans="1:4" ht="12.75" customHeight="1" x14ac:dyDescent="0.2">
      <c r="A1322" s="21"/>
      <c r="B1322" s="2"/>
      <c r="C1322" s="2"/>
      <c r="D1322" s="2"/>
    </row>
    <row r="1323" spans="1:4" ht="12.75" customHeight="1" x14ac:dyDescent="0.2">
      <c r="A1323" s="21"/>
      <c r="B1323" s="2"/>
      <c r="C1323" s="2"/>
      <c r="D1323" s="2"/>
    </row>
    <row r="1324" spans="1:4" ht="12.75" customHeight="1" x14ac:dyDescent="0.2">
      <c r="A1324" s="21"/>
      <c r="B1324" s="2"/>
      <c r="C1324" s="2"/>
      <c r="D1324" s="2"/>
    </row>
    <row r="1325" spans="1:4" ht="12.75" customHeight="1" x14ac:dyDescent="0.2">
      <c r="A1325" s="5"/>
      <c r="B1325" s="2"/>
      <c r="C1325" s="2"/>
      <c r="D1325" s="2"/>
    </row>
    <row r="1326" spans="1:4" ht="12.75" customHeight="1" x14ac:dyDescent="0.2">
      <c r="A1326" s="22" t="str">
        <f>HYPERLINK("javascript:void(0)","rimföldi előlap")</f>
        <v>rimföldi előlap</v>
      </c>
      <c r="B1326" s="21"/>
      <c r="C1326" s="21"/>
      <c r="D1326" s="21"/>
    </row>
    <row r="1327" spans="1:4" ht="12.75" customHeight="1" x14ac:dyDescent="0.2">
      <c r="A1327" s="20"/>
      <c r="B1327" s="2"/>
      <c r="C1327" s="2"/>
      <c r="D1327" s="2"/>
    </row>
    <row r="1328" spans="1:4" ht="12.75" customHeight="1" x14ac:dyDescent="0.2">
      <c r="A1328" s="21"/>
      <c r="B1328" s="3" t="s">
        <v>0</v>
      </c>
      <c r="C1328" s="20" t="s">
        <v>575</v>
      </c>
      <c r="D1328" s="21"/>
    </row>
    <row r="1329" spans="1:4" ht="12.75" customHeight="1" x14ac:dyDescent="0.2">
      <c r="A1329" s="21"/>
      <c r="B1329" s="3" t="s">
        <v>2</v>
      </c>
      <c r="C1329" s="20" t="s">
        <v>2322</v>
      </c>
      <c r="D1329" s="21"/>
    </row>
    <row r="1330" spans="1:4" ht="12.75" customHeight="1" x14ac:dyDescent="0.2">
      <c r="A1330" s="21"/>
      <c r="B1330" s="3" t="s">
        <v>1840</v>
      </c>
      <c r="C1330" s="20" t="s">
        <v>107</v>
      </c>
      <c r="D1330" s="21"/>
    </row>
    <row r="1331" spans="1:4" ht="12.75" customHeight="1" x14ac:dyDescent="0.2">
      <c r="A1331" s="21"/>
      <c r="B1331" s="3" t="s">
        <v>9</v>
      </c>
      <c r="C1331" s="20" t="s">
        <v>42</v>
      </c>
      <c r="D1331" s="21"/>
    </row>
    <row r="1332" spans="1:4" ht="12.75" customHeight="1" x14ac:dyDescent="0.2">
      <c r="A1332" s="21"/>
      <c r="B1332" s="3" t="s">
        <v>11</v>
      </c>
      <c r="C1332" s="20" t="s">
        <v>368</v>
      </c>
      <c r="D1332" s="21"/>
    </row>
    <row r="1333" spans="1:4" ht="12.75" customHeight="1" x14ac:dyDescent="0.2">
      <c r="A1333" s="21"/>
      <c r="B1333" s="3" t="s">
        <v>16</v>
      </c>
      <c r="C1333" s="20"/>
      <c r="D1333" s="21"/>
    </row>
    <row r="1334" spans="1:4" ht="12.75" customHeight="1" x14ac:dyDescent="0.2">
      <c r="A1334" s="21"/>
      <c r="B1334" s="3" t="s">
        <v>17</v>
      </c>
      <c r="C1334" s="20" t="s">
        <v>19</v>
      </c>
      <c r="D1334" s="21"/>
    </row>
    <row r="1335" spans="1:4" ht="12.75" customHeight="1" x14ac:dyDescent="0.2">
      <c r="A1335" s="21"/>
      <c r="B1335" s="20" t="s">
        <v>18</v>
      </c>
      <c r="C1335" s="4" t="s">
        <v>68</v>
      </c>
      <c r="D1335" s="6" t="str">
        <f>HYPERLINK("javascript:void(0)","mechodron")</f>
        <v>mechodron</v>
      </c>
    </row>
    <row r="1336" spans="1:4" ht="12.75" customHeight="1" x14ac:dyDescent="0.2">
      <c r="A1336" s="21"/>
      <c r="B1336" s="21"/>
      <c r="C1336" s="4" t="s">
        <v>117</v>
      </c>
      <c r="D1336" s="6" t="str">
        <f>HYPERLINK("javascript:void(0)","imázs")</f>
        <v>imázs</v>
      </c>
    </row>
    <row r="1337" spans="1:4" ht="12.75" customHeight="1" x14ac:dyDescent="0.2">
      <c r="A1337" s="21"/>
      <c r="B1337" s="21"/>
      <c r="C1337" s="4" t="s">
        <v>382</v>
      </c>
      <c r="D1337" s="6" t="str">
        <f>HYPERLINK("javascript:void(0)","morfige")</f>
        <v>morfige</v>
      </c>
    </row>
    <row r="1338" spans="1:4" ht="12.75" customHeight="1" x14ac:dyDescent="0.2">
      <c r="A1338" s="21"/>
      <c r="B1338" s="2"/>
      <c r="C1338" s="2"/>
      <c r="D1338" s="2"/>
    </row>
    <row r="1339" spans="1:4" ht="12.75" customHeight="1" x14ac:dyDescent="0.2">
      <c r="A1339" s="21"/>
      <c r="B1339" s="2"/>
      <c r="C1339" s="2"/>
      <c r="D1339" s="2"/>
    </row>
    <row r="1340" spans="1:4" ht="12.75" customHeight="1" x14ac:dyDescent="0.2">
      <c r="A1340" s="21"/>
      <c r="B1340" s="2"/>
      <c r="C1340" s="2"/>
      <c r="D1340" s="2"/>
    </row>
    <row r="1341" spans="1:4" ht="12.75" customHeight="1" x14ac:dyDescent="0.2">
      <c r="A1341" s="21"/>
      <c r="B1341" s="2"/>
      <c r="C1341" s="2"/>
      <c r="D1341" s="2"/>
    </row>
    <row r="1342" spans="1:4" ht="12.75" customHeight="1" x14ac:dyDescent="0.2">
      <c r="A1342" s="5"/>
      <c r="B1342" s="2"/>
      <c r="C1342" s="2"/>
      <c r="D1342" s="2"/>
    </row>
    <row r="1343" spans="1:4" ht="12.75" customHeight="1" x14ac:dyDescent="0.2">
      <c r="A1343" s="22" t="str">
        <f>HYPERLINK("javascript:void(0)","parszi mellvért")</f>
        <v>parszi mellvért</v>
      </c>
      <c r="B1343" s="21"/>
      <c r="C1343" s="21"/>
      <c r="D1343" s="21"/>
    </row>
    <row r="1344" spans="1:4" ht="12.75" customHeight="1" x14ac:dyDescent="0.2">
      <c r="A1344" s="20"/>
      <c r="B1344" s="2"/>
      <c r="C1344" s="2"/>
      <c r="D1344" s="2"/>
    </row>
    <row r="1345" spans="1:4" ht="12.75" customHeight="1" x14ac:dyDescent="0.2">
      <c r="A1345" s="21"/>
      <c r="B1345" s="3" t="s">
        <v>0</v>
      </c>
      <c r="C1345" s="20" t="s">
        <v>585</v>
      </c>
      <c r="D1345" s="21"/>
    </row>
    <row r="1346" spans="1:4" ht="12.75" customHeight="1" x14ac:dyDescent="0.2">
      <c r="A1346" s="21"/>
      <c r="B1346" s="3" t="s">
        <v>2</v>
      </c>
      <c r="C1346" s="20" t="s">
        <v>2322</v>
      </c>
      <c r="D1346" s="21"/>
    </row>
    <row r="1347" spans="1:4" ht="12.75" customHeight="1" x14ac:dyDescent="0.2">
      <c r="A1347" s="21"/>
      <c r="B1347" s="3" t="s">
        <v>1840</v>
      </c>
      <c r="C1347" s="20" t="s">
        <v>2418</v>
      </c>
      <c r="D1347" s="21"/>
    </row>
    <row r="1348" spans="1:4" ht="12.75" customHeight="1" x14ac:dyDescent="0.2">
      <c r="A1348" s="21"/>
      <c r="B1348" s="3" t="s">
        <v>9</v>
      </c>
      <c r="C1348" s="20" t="s">
        <v>374</v>
      </c>
      <c r="D1348" s="21"/>
    </row>
    <row r="1349" spans="1:4" ht="12.75" customHeight="1" x14ac:dyDescent="0.2">
      <c r="A1349" s="21"/>
      <c r="B1349" s="3" t="s">
        <v>11</v>
      </c>
      <c r="C1349" s="20" t="s">
        <v>645</v>
      </c>
      <c r="D1349" s="21"/>
    </row>
    <row r="1350" spans="1:4" ht="12.75" customHeight="1" x14ac:dyDescent="0.2">
      <c r="A1350" s="21"/>
      <c r="B1350" s="3" t="s">
        <v>16</v>
      </c>
      <c r="C1350" s="20"/>
      <c r="D1350" s="21"/>
    </row>
    <row r="1351" spans="1:4" ht="12.75" customHeight="1" x14ac:dyDescent="0.2">
      <c r="A1351" s="21"/>
      <c r="B1351" s="3" t="s">
        <v>17</v>
      </c>
      <c r="C1351" s="20" t="s">
        <v>19</v>
      </c>
      <c r="D1351" s="21"/>
    </row>
    <row r="1352" spans="1:4" ht="12.75" customHeight="1" x14ac:dyDescent="0.2">
      <c r="A1352" s="21"/>
      <c r="B1352" s="20" t="s">
        <v>18</v>
      </c>
      <c r="C1352" s="4" t="s">
        <v>44</v>
      </c>
      <c r="D1352" s="6" t="str">
        <f>HYPERLINK("javascript:void(0)","rimföldi mellvért")</f>
        <v>rimföldi mellvért</v>
      </c>
    </row>
    <row r="1353" spans="1:4" ht="12.75" customHeight="1" x14ac:dyDescent="0.2">
      <c r="A1353" s="21"/>
      <c r="B1353" s="21"/>
      <c r="C1353" s="4" t="s">
        <v>68</v>
      </c>
      <c r="D1353" s="6" t="str">
        <f>HYPERLINK("javascript:void(0)","torokgyík")</f>
        <v>torokgyík</v>
      </c>
    </row>
    <row r="1354" spans="1:4" ht="12.75" customHeight="1" x14ac:dyDescent="0.2">
      <c r="A1354" s="21"/>
      <c r="B1354" s="21"/>
      <c r="C1354" s="4" t="s">
        <v>474</v>
      </c>
      <c r="D1354" s="6" t="str">
        <f>HYPERLINK("javascript:void(0)","homokóra")</f>
        <v>homokóra</v>
      </c>
    </row>
    <row r="1355" spans="1:4" ht="12.75" customHeight="1" x14ac:dyDescent="0.2">
      <c r="A1355" s="21"/>
      <c r="B1355" s="2"/>
      <c r="C1355" s="2"/>
      <c r="D1355" s="2"/>
    </row>
    <row r="1356" spans="1:4" ht="12.75" customHeight="1" x14ac:dyDescent="0.2">
      <c r="A1356" s="21"/>
      <c r="B1356" s="2"/>
      <c r="C1356" s="2"/>
      <c r="D1356" s="2"/>
    </row>
    <row r="1357" spans="1:4" ht="12.75" customHeight="1" x14ac:dyDescent="0.2">
      <c r="A1357" s="21"/>
      <c r="B1357" s="2"/>
      <c r="C1357" s="2"/>
      <c r="D1357" s="2"/>
    </row>
    <row r="1358" spans="1:4" ht="12.75" customHeight="1" x14ac:dyDescent="0.2">
      <c r="A1358" s="21"/>
      <c r="B1358" s="2"/>
      <c r="C1358" s="2"/>
      <c r="D1358" s="2"/>
    </row>
    <row r="1359" spans="1:4" ht="12.75" customHeight="1" x14ac:dyDescent="0.2">
      <c r="A1359" s="5"/>
      <c r="B1359" s="2"/>
      <c r="C1359" s="2"/>
      <c r="D1359" s="2"/>
    </row>
    <row r="1360" spans="1:4" ht="12.75" customHeight="1" x14ac:dyDescent="0.2">
      <c r="A1360" s="22" t="str">
        <f>HYPERLINK("javascript:void(0)","wendír mellvért")</f>
        <v>wendír mellvért</v>
      </c>
      <c r="B1360" s="21"/>
      <c r="C1360" s="21"/>
      <c r="D1360" s="21"/>
    </row>
    <row r="1361" spans="1:4" ht="12.75" customHeight="1" x14ac:dyDescent="0.2">
      <c r="A1361" s="20"/>
      <c r="B1361" s="2"/>
      <c r="C1361" s="2"/>
      <c r="D1361" s="2"/>
    </row>
    <row r="1362" spans="1:4" ht="12.75" customHeight="1" x14ac:dyDescent="0.2">
      <c r="A1362" s="21"/>
      <c r="B1362" s="3" t="s">
        <v>0</v>
      </c>
      <c r="C1362" s="20" t="s">
        <v>151</v>
      </c>
      <c r="D1362" s="21"/>
    </row>
    <row r="1363" spans="1:4" ht="12.75" customHeight="1" x14ac:dyDescent="0.2">
      <c r="A1363" s="21"/>
      <c r="B1363" s="3" t="s">
        <v>2</v>
      </c>
      <c r="C1363" s="20" t="s">
        <v>2322</v>
      </c>
      <c r="D1363" s="21"/>
    </row>
    <row r="1364" spans="1:4" ht="12.75" customHeight="1" x14ac:dyDescent="0.2">
      <c r="A1364" s="21"/>
      <c r="B1364" s="3" t="s">
        <v>1840</v>
      </c>
      <c r="C1364" s="20" t="s">
        <v>2420</v>
      </c>
      <c r="D1364" s="21"/>
    </row>
    <row r="1365" spans="1:4" ht="12.75" customHeight="1" x14ac:dyDescent="0.2">
      <c r="A1365" s="21"/>
      <c r="B1365" s="3" t="s">
        <v>9</v>
      </c>
      <c r="C1365" s="20" t="s">
        <v>124</v>
      </c>
      <c r="D1365" s="21"/>
    </row>
    <row r="1366" spans="1:4" ht="12.75" customHeight="1" x14ac:dyDescent="0.2">
      <c r="A1366" s="21"/>
      <c r="B1366" s="3" t="s">
        <v>11</v>
      </c>
      <c r="C1366" s="20" t="s">
        <v>660</v>
      </c>
      <c r="D1366" s="21"/>
    </row>
    <row r="1367" spans="1:4" ht="12.75" customHeight="1" x14ac:dyDescent="0.2">
      <c r="A1367" s="21"/>
      <c r="B1367" s="3" t="s">
        <v>16</v>
      </c>
      <c r="C1367" s="20"/>
      <c r="D1367" s="21"/>
    </row>
    <row r="1368" spans="1:4" ht="12.75" customHeight="1" x14ac:dyDescent="0.2">
      <c r="A1368" s="21"/>
      <c r="B1368" s="3" t="s">
        <v>17</v>
      </c>
      <c r="C1368" s="20" t="s">
        <v>19</v>
      </c>
      <c r="D1368" s="21"/>
    </row>
    <row r="1369" spans="1:4" ht="12.75" customHeight="1" x14ac:dyDescent="0.2">
      <c r="A1369" s="21"/>
      <c r="B1369" s="20" t="s">
        <v>18</v>
      </c>
      <c r="C1369" s="4" t="s">
        <v>68</v>
      </c>
      <c r="D1369" s="6" t="str">
        <f>HYPERLINK("javascript:void(0)","kispárna")</f>
        <v>kispárna</v>
      </c>
    </row>
    <row r="1370" spans="1:4" ht="12.75" customHeight="1" x14ac:dyDescent="0.2">
      <c r="A1370" s="21"/>
      <c r="B1370" s="21"/>
      <c r="C1370" s="4" t="s">
        <v>309</v>
      </c>
      <c r="D1370" s="6" t="str">
        <f>HYPERLINK("javascript:void(0)","rémszarv")</f>
        <v>rémszarv</v>
      </c>
    </row>
    <row r="1371" spans="1:4" ht="12.75" customHeight="1" x14ac:dyDescent="0.2">
      <c r="A1371" s="21"/>
      <c r="B1371" s="21"/>
      <c r="C1371" s="4" t="s">
        <v>382</v>
      </c>
      <c r="D1371" s="6" t="str">
        <f>HYPERLINK("javascript:void(0)","morfige")</f>
        <v>morfige</v>
      </c>
    </row>
    <row r="1372" spans="1:4" ht="12.75" customHeight="1" x14ac:dyDescent="0.2">
      <c r="A1372" s="21"/>
      <c r="B1372" s="2"/>
      <c r="C1372" s="2"/>
      <c r="D1372" s="2"/>
    </row>
    <row r="1373" spans="1:4" ht="12.75" customHeight="1" x14ac:dyDescent="0.2">
      <c r="A1373" s="21"/>
      <c r="B1373" s="2"/>
      <c r="C1373" s="2"/>
      <c r="D1373" s="2"/>
    </row>
    <row r="1374" spans="1:4" ht="12.75" customHeight="1" x14ac:dyDescent="0.2">
      <c r="A1374" s="21"/>
      <c r="B1374" s="2"/>
      <c r="C1374" s="2"/>
      <c r="D1374" s="2"/>
    </row>
    <row r="1375" spans="1:4" ht="12.75" customHeight="1" x14ac:dyDescent="0.2">
      <c r="A1375" s="21"/>
      <c r="B1375" s="2"/>
      <c r="C1375" s="2"/>
      <c r="D1375" s="2"/>
    </row>
    <row r="1376" spans="1:4" ht="12.75" customHeight="1" x14ac:dyDescent="0.2">
      <c r="A1376" s="5"/>
      <c r="B1376" s="2"/>
      <c r="C1376" s="2"/>
      <c r="D1376" s="2"/>
    </row>
    <row r="1377" spans="1:4" ht="12.75" customHeight="1" x14ac:dyDescent="0.2">
      <c r="A1377" s="22" t="str">
        <f>HYPERLINK("javascript:void(0)","csillámos kisvért")</f>
        <v>csillámos kisvért</v>
      </c>
      <c r="B1377" s="21"/>
      <c r="C1377" s="21"/>
      <c r="D1377" s="21"/>
    </row>
    <row r="1378" spans="1:4" ht="12.75" customHeight="1" x14ac:dyDescent="0.2">
      <c r="A1378" s="20"/>
      <c r="B1378" s="2"/>
      <c r="C1378" s="2"/>
      <c r="D1378" s="2"/>
    </row>
    <row r="1379" spans="1:4" ht="12.75" customHeight="1" x14ac:dyDescent="0.2">
      <c r="A1379" s="21"/>
      <c r="B1379" s="3" t="s">
        <v>0</v>
      </c>
      <c r="C1379" s="20" t="s">
        <v>151</v>
      </c>
      <c r="D1379" s="21"/>
    </row>
    <row r="1380" spans="1:4" ht="12.75" customHeight="1" x14ac:dyDescent="0.2">
      <c r="A1380" s="21"/>
      <c r="B1380" s="3" t="s">
        <v>2</v>
      </c>
      <c r="C1380" s="20" t="s">
        <v>2322</v>
      </c>
      <c r="D1380" s="21"/>
    </row>
    <row r="1381" spans="1:4" ht="12.75" customHeight="1" x14ac:dyDescent="0.2">
      <c r="A1381" s="21"/>
      <c r="B1381" s="3" t="s">
        <v>1840</v>
      </c>
      <c r="C1381" s="20" t="s">
        <v>2422</v>
      </c>
      <c r="D1381" s="21"/>
    </row>
    <row r="1382" spans="1:4" ht="12.75" customHeight="1" x14ac:dyDescent="0.2">
      <c r="A1382" s="21"/>
      <c r="B1382" s="3" t="s">
        <v>9</v>
      </c>
      <c r="C1382" s="20" t="s">
        <v>1568</v>
      </c>
      <c r="D1382" s="21"/>
    </row>
    <row r="1383" spans="1:4" ht="12.75" customHeight="1" x14ac:dyDescent="0.2">
      <c r="A1383" s="21"/>
      <c r="B1383" s="3" t="s">
        <v>11</v>
      </c>
      <c r="C1383" s="20" t="s">
        <v>660</v>
      </c>
      <c r="D1383" s="21"/>
    </row>
    <row r="1384" spans="1:4" ht="12.75" customHeight="1" x14ac:dyDescent="0.2">
      <c r="A1384" s="21"/>
      <c r="B1384" s="3" t="s">
        <v>16</v>
      </c>
      <c r="C1384" s="20"/>
      <c r="D1384" s="21"/>
    </row>
    <row r="1385" spans="1:4" ht="12.75" customHeight="1" x14ac:dyDescent="0.2">
      <c r="A1385" s="21"/>
      <c r="B1385" s="3" t="s">
        <v>17</v>
      </c>
      <c r="C1385" s="20" t="s">
        <v>19</v>
      </c>
      <c r="D1385" s="21"/>
    </row>
    <row r="1386" spans="1:4" ht="12.75" customHeight="1" x14ac:dyDescent="0.2">
      <c r="A1386" s="21"/>
      <c r="B1386" s="20" t="s">
        <v>18</v>
      </c>
      <c r="C1386" s="4" t="s">
        <v>57</v>
      </c>
      <c r="D1386" s="6" t="str">
        <f>HYPERLINK("javascript:void(0)","csillámgöb")</f>
        <v>csillámgöb</v>
      </c>
    </row>
    <row r="1387" spans="1:4" ht="12.75" customHeight="1" x14ac:dyDescent="0.2">
      <c r="A1387" s="21"/>
      <c r="B1387" s="21"/>
      <c r="C1387" s="4" t="s">
        <v>44</v>
      </c>
      <c r="D1387" s="6" t="str">
        <f>HYPERLINK("javascript:void(0)","csillámos kispáncél")</f>
        <v>csillámos kispáncél</v>
      </c>
    </row>
    <row r="1388" spans="1:4" ht="12.75" customHeight="1" x14ac:dyDescent="0.2">
      <c r="A1388" s="21"/>
      <c r="B1388" s="21"/>
      <c r="C1388" s="4" t="s">
        <v>163</v>
      </c>
      <c r="D1388" s="6" t="str">
        <f>HYPERLINK("javascript:void(0)","szent szimbólum")</f>
        <v>szent szimbólum</v>
      </c>
    </row>
    <row r="1389" spans="1:4" ht="12.75" customHeight="1" x14ac:dyDescent="0.2">
      <c r="A1389" s="21"/>
      <c r="B1389" s="2"/>
      <c r="C1389" s="2"/>
      <c r="D1389" s="2"/>
    </row>
    <row r="1390" spans="1:4" ht="12.75" customHeight="1" x14ac:dyDescent="0.2">
      <c r="A1390" s="21"/>
      <c r="B1390" s="2"/>
      <c r="C1390" s="2"/>
      <c r="D1390" s="2"/>
    </row>
    <row r="1391" spans="1:4" ht="12.75" customHeight="1" x14ac:dyDescent="0.2">
      <c r="A1391" s="21"/>
      <c r="B1391" s="2"/>
      <c r="C1391" s="2"/>
      <c r="D1391" s="2"/>
    </row>
    <row r="1392" spans="1:4" ht="12.75" customHeight="1" x14ac:dyDescent="0.2">
      <c r="A1392" s="21"/>
      <c r="B1392" s="2"/>
      <c r="C1392" s="2"/>
      <c r="D1392" s="2"/>
    </row>
    <row r="1393" spans="1:4" ht="12.75" customHeight="1" x14ac:dyDescent="0.2">
      <c r="A1393" s="5"/>
      <c r="B1393" s="2"/>
      <c r="C1393" s="2"/>
      <c r="D1393" s="2"/>
    </row>
    <row r="1394" spans="1:4" ht="12.75" customHeight="1" x14ac:dyDescent="0.2">
      <c r="A1394" s="22" t="str">
        <f>HYPERLINK("javascript:void(0)","artini mellvért")</f>
        <v>artini mellvért</v>
      </c>
      <c r="B1394" s="21"/>
      <c r="C1394" s="21"/>
      <c r="D1394" s="21"/>
    </row>
    <row r="1395" spans="1:4" ht="12.75" customHeight="1" x14ac:dyDescent="0.2">
      <c r="A1395" s="20"/>
      <c r="B1395" s="2"/>
      <c r="C1395" s="2"/>
      <c r="D1395" s="2"/>
    </row>
    <row r="1396" spans="1:4" ht="12.75" customHeight="1" x14ac:dyDescent="0.2">
      <c r="A1396" s="21"/>
      <c r="B1396" s="3" t="s">
        <v>0</v>
      </c>
      <c r="C1396" s="20" t="s">
        <v>219</v>
      </c>
      <c r="D1396" s="21"/>
    </row>
    <row r="1397" spans="1:4" ht="12.75" customHeight="1" x14ac:dyDescent="0.2">
      <c r="A1397" s="21"/>
      <c r="B1397" s="3" t="s">
        <v>2</v>
      </c>
      <c r="C1397" s="20" t="s">
        <v>2322</v>
      </c>
      <c r="D1397" s="21"/>
    </row>
    <row r="1398" spans="1:4" ht="12.75" customHeight="1" x14ac:dyDescent="0.2">
      <c r="A1398" s="21"/>
      <c r="B1398" s="3" t="s">
        <v>1840</v>
      </c>
      <c r="C1398" s="20" t="s">
        <v>2423</v>
      </c>
      <c r="D1398" s="21"/>
    </row>
    <row r="1399" spans="1:4" ht="12.75" customHeight="1" x14ac:dyDescent="0.2">
      <c r="A1399" s="21"/>
      <c r="B1399" s="3" t="s">
        <v>9</v>
      </c>
      <c r="C1399" s="20" t="s">
        <v>962</v>
      </c>
      <c r="D1399" s="21"/>
    </row>
    <row r="1400" spans="1:4" ht="12.75" customHeight="1" x14ac:dyDescent="0.2">
      <c r="A1400" s="21"/>
      <c r="B1400" s="3" t="s">
        <v>11</v>
      </c>
      <c r="C1400" s="20" t="s">
        <v>674</v>
      </c>
      <c r="D1400" s="21"/>
    </row>
    <row r="1401" spans="1:4" ht="12.75" customHeight="1" x14ac:dyDescent="0.2">
      <c r="A1401" s="21"/>
      <c r="B1401" s="3" t="s">
        <v>16</v>
      </c>
      <c r="C1401" s="20"/>
      <c r="D1401" s="21"/>
    </row>
    <row r="1402" spans="1:4" ht="12.75" customHeight="1" x14ac:dyDescent="0.2">
      <c r="A1402" s="21"/>
      <c r="B1402" s="3" t="s">
        <v>17</v>
      </c>
      <c r="C1402" s="20" t="s">
        <v>19</v>
      </c>
      <c r="D1402" s="21"/>
    </row>
    <row r="1403" spans="1:4" ht="12.75" customHeight="1" x14ac:dyDescent="0.2">
      <c r="A1403" s="21"/>
      <c r="B1403" s="20" t="s">
        <v>18</v>
      </c>
      <c r="C1403" s="4" t="s">
        <v>44</v>
      </c>
      <c r="D1403" s="6" t="str">
        <f>HYPERLINK("javascript:void(0)","wendír mellvért")</f>
        <v>wendír mellvért</v>
      </c>
    </row>
    <row r="1404" spans="1:4" ht="12.75" customHeight="1" x14ac:dyDescent="0.2">
      <c r="A1404" s="21"/>
      <c r="B1404" s="21"/>
      <c r="C1404" s="4" t="s">
        <v>44</v>
      </c>
      <c r="D1404" s="6" t="str">
        <f>HYPERLINK("javascript:void(0)","parszi mellvért")</f>
        <v>parszi mellvért</v>
      </c>
    </row>
    <row r="1405" spans="1:4" ht="12.75" customHeight="1" x14ac:dyDescent="0.2">
      <c r="A1405" s="21"/>
      <c r="B1405" s="21"/>
      <c r="C1405" s="4" t="s">
        <v>44</v>
      </c>
      <c r="D1405" s="6" t="str">
        <f>HYPERLINK("javascript:void(0)","artini előlap")</f>
        <v>artini előlap</v>
      </c>
    </row>
    <row r="1406" spans="1:4" ht="12.75" customHeight="1" x14ac:dyDescent="0.2">
      <c r="A1406" s="21"/>
      <c r="B1406" s="2"/>
      <c r="C1406" s="2"/>
      <c r="D1406" s="2"/>
    </row>
    <row r="1407" spans="1:4" ht="12.75" customHeight="1" x14ac:dyDescent="0.2">
      <c r="A1407" s="21"/>
      <c r="B1407" s="2"/>
      <c r="C1407" s="2"/>
      <c r="D1407" s="2"/>
    </row>
    <row r="1408" spans="1:4" ht="12.75" customHeight="1" x14ac:dyDescent="0.2">
      <c r="A1408" s="21"/>
      <c r="B1408" s="2"/>
      <c r="C1408" s="2"/>
      <c r="D1408" s="2"/>
    </row>
    <row r="1409" spans="1:4" ht="12.75" customHeight="1" x14ac:dyDescent="0.2">
      <c r="A1409" s="21"/>
      <c r="B1409" s="2"/>
      <c r="C1409" s="2"/>
      <c r="D1409" s="2"/>
    </row>
    <row r="1410" spans="1:4" ht="12.75" customHeight="1" x14ac:dyDescent="0.2">
      <c r="A1410" s="5"/>
      <c r="B1410" s="2"/>
      <c r="C1410" s="2"/>
      <c r="D1410" s="2"/>
    </row>
    <row r="1411" spans="1:4" ht="12.75" customHeight="1" x14ac:dyDescent="0.2">
      <c r="A1411" s="22" t="str">
        <f>HYPERLINK("javascript:void(0)","artini előlap")</f>
        <v>artini előlap</v>
      </c>
      <c r="B1411" s="21"/>
      <c r="C1411" s="21"/>
      <c r="D1411" s="21"/>
    </row>
    <row r="1412" spans="1:4" ht="12.75" customHeight="1" x14ac:dyDescent="0.2">
      <c r="A1412" s="20"/>
      <c r="B1412" s="2"/>
      <c r="C1412" s="2"/>
      <c r="D1412" s="2"/>
    </row>
    <row r="1413" spans="1:4" ht="12.75" customHeight="1" x14ac:dyDescent="0.2">
      <c r="A1413" s="21"/>
      <c r="B1413" s="3" t="s">
        <v>0</v>
      </c>
      <c r="C1413" s="20" t="s">
        <v>219</v>
      </c>
      <c r="D1413" s="21"/>
    </row>
    <row r="1414" spans="1:4" ht="12.75" customHeight="1" x14ac:dyDescent="0.2">
      <c r="A1414" s="21"/>
      <c r="B1414" s="3" t="s">
        <v>2</v>
      </c>
      <c r="C1414" s="20" t="s">
        <v>2322</v>
      </c>
      <c r="D1414" s="21"/>
    </row>
    <row r="1415" spans="1:4" ht="12.75" customHeight="1" x14ac:dyDescent="0.2">
      <c r="A1415" s="21"/>
      <c r="B1415" s="3" t="s">
        <v>1840</v>
      </c>
      <c r="C1415" s="20" t="s">
        <v>340</v>
      </c>
      <c r="D1415" s="21"/>
    </row>
    <row r="1416" spans="1:4" ht="12.75" customHeight="1" x14ac:dyDescent="0.2">
      <c r="A1416" s="21"/>
      <c r="B1416" s="3" t="s">
        <v>9</v>
      </c>
      <c r="C1416" s="20" t="s">
        <v>42</v>
      </c>
      <c r="D1416" s="21"/>
    </row>
    <row r="1417" spans="1:4" ht="12.75" customHeight="1" x14ac:dyDescent="0.2">
      <c r="A1417" s="21"/>
      <c r="B1417" s="3" t="s">
        <v>11</v>
      </c>
      <c r="C1417" s="20" t="s">
        <v>368</v>
      </c>
      <c r="D1417" s="21"/>
    </row>
    <row r="1418" spans="1:4" ht="12.75" customHeight="1" x14ac:dyDescent="0.2">
      <c r="A1418" s="21"/>
      <c r="B1418" s="3" t="s">
        <v>16</v>
      </c>
      <c r="C1418" s="20"/>
      <c r="D1418" s="21"/>
    </row>
    <row r="1419" spans="1:4" ht="12.75" customHeight="1" x14ac:dyDescent="0.2">
      <c r="A1419" s="21"/>
      <c r="B1419" s="3" t="s">
        <v>17</v>
      </c>
      <c r="C1419" s="20" t="s">
        <v>19</v>
      </c>
      <c r="D1419" s="21"/>
    </row>
    <row r="1420" spans="1:4" ht="12.75" customHeight="1" x14ac:dyDescent="0.2">
      <c r="A1420" s="21"/>
      <c r="B1420" s="20" t="s">
        <v>18</v>
      </c>
      <c r="C1420" s="4" t="s">
        <v>163</v>
      </c>
      <c r="D1420" s="6" t="str">
        <f>HYPERLINK("javascript:void(0)","nukleon")</f>
        <v>nukleon</v>
      </c>
    </row>
    <row r="1421" spans="1:4" ht="12.75" customHeight="1" x14ac:dyDescent="0.2">
      <c r="A1421" s="21"/>
      <c r="B1421" s="21"/>
      <c r="C1421" s="4" t="s">
        <v>67</v>
      </c>
      <c r="D1421" s="6" t="str">
        <f>HYPERLINK("javascript:void(0)","mechodron")</f>
        <v>mechodron</v>
      </c>
    </row>
    <row r="1422" spans="1:4" ht="12.75" customHeight="1" x14ac:dyDescent="0.2">
      <c r="A1422" s="21"/>
      <c r="B1422" s="21"/>
      <c r="C1422" s="4" t="s">
        <v>139</v>
      </c>
      <c r="D1422" s="6" t="str">
        <f>HYPERLINK("javascript:void(0)","dimenzióforgács")</f>
        <v>dimenzióforgács</v>
      </c>
    </row>
    <row r="1423" spans="1:4" ht="12.75" customHeight="1" x14ac:dyDescent="0.2">
      <c r="A1423" s="21"/>
      <c r="B1423" s="2"/>
      <c r="C1423" s="2"/>
      <c r="D1423" s="2"/>
    </row>
    <row r="1424" spans="1:4" ht="12.75" customHeight="1" x14ac:dyDescent="0.2">
      <c r="A1424" s="21"/>
      <c r="B1424" s="2"/>
      <c r="C1424" s="2"/>
      <c r="D1424" s="2"/>
    </row>
    <row r="1425" spans="1:4" ht="12.75" customHeight="1" x14ac:dyDescent="0.2">
      <c r="A1425" s="21"/>
      <c r="B1425" s="2"/>
      <c r="C1425" s="2"/>
      <c r="D1425" s="2"/>
    </row>
    <row r="1426" spans="1:4" ht="12.75" customHeight="1" x14ac:dyDescent="0.2">
      <c r="A1426" s="21"/>
      <c r="B1426" s="2"/>
      <c r="C1426" s="2"/>
      <c r="D1426" s="2"/>
    </row>
    <row r="1427" spans="1:4" ht="12.75" customHeight="1" x14ac:dyDescent="0.2">
      <c r="A1427" s="5"/>
      <c r="B1427" s="2"/>
      <c r="C1427" s="2"/>
      <c r="D1427" s="2"/>
    </row>
    <row r="1428" spans="1:4" ht="12.75" customHeight="1" x14ac:dyDescent="0.2">
      <c r="A1428" s="22" t="str">
        <f>HYPERLINK("javascript:void(0)","thordi mellvért")</f>
        <v>thordi mellvért</v>
      </c>
      <c r="B1428" s="21"/>
      <c r="C1428" s="21"/>
      <c r="D1428" s="21"/>
    </row>
    <row r="1429" spans="1:4" ht="12.75" customHeight="1" x14ac:dyDescent="0.2">
      <c r="A1429" s="20"/>
      <c r="B1429" s="2"/>
      <c r="C1429" s="2"/>
      <c r="D1429" s="2"/>
    </row>
    <row r="1430" spans="1:4" ht="12.75" customHeight="1" x14ac:dyDescent="0.2">
      <c r="A1430" s="21"/>
      <c r="B1430" s="3" t="s">
        <v>0</v>
      </c>
      <c r="C1430" s="20" t="s">
        <v>613</v>
      </c>
      <c r="D1430" s="21"/>
    </row>
    <row r="1431" spans="1:4" ht="12.75" customHeight="1" x14ac:dyDescent="0.2">
      <c r="A1431" s="21"/>
      <c r="B1431" s="3" t="s">
        <v>2</v>
      </c>
      <c r="C1431" s="20" t="s">
        <v>2322</v>
      </c>
      <c r="D1431" s="21"/>
    </row>
    <row r="1432" spans="1:4" ht="12.75" customHeight="1" x14ac:dyDescent="0.2">
      <c r="A1432" s="21"/>
      <c r="B1432" s="3" t="s">
        <v>1840</v>
      </c>
      <c r="C1432" s="20" t="s">
        <v>2425</v>
      </c>
      <c r="D1432" s="21"/>
    </row>
    <row r="1433" spans="1:4" ht="12.75" customHeight="1" x14ac:dyDescent="0.2">
      <c r="A1433" s="21"/>
      <c r="B1433" s="3" t="s">
        <v>9</v>
      </c>
      <c r="C1433" s="20" t="s">
        <v>135</v>
      </c>
      <c r="D1433" s="21"/>
    </row>
    <row r="1434" spans="1:4" ht="12.75" customHeight="1" x14ac:dyDescent="0.2">
      <c r="A1434" s="21"/>
      <c r="B1434" s="3" t="s">
        <v>11</v>
      </c>
      <c r="C1434" s="20" t="s">
        <v>684</v>
      </c>
      <c r="D1434" s="21"/>
    </row>
    <row r="1435" spans="1:4" ht="12.75" customHeight="1" x14ac:dyDescent="0.2">
      <c r="A1435" s="21"/>
      <c r="B1435" s="3" t="s">
        <v>16</v>
      </c>
      <c r="C1435" s="20"/>
      <c r="D1435" s="21"/>
    </row>
    <row r="1436" spans="1:4" ht="12.75" customHeight="1" x14ac:dyDescent="0.2">
      <c r="A1436" s="21"/>
      <c r="B1436" s="3" t="s">
        <v>17</v>
      </c>
      <c r="C1436" s="20" t="s">
        <v>19</v>
      </c>
      <c r="D1436" s="21"/>
    </row>
    <row r="1437" spans="1:4" ht="12.75" customHeight="1" x14ac:dyDescent="0.2">
      <c r="A1437" s="21"/>
      <c r="B1437" s="20" t="s">
        <v>18</v>
      </c>
      <c r="C1437" s="4" t="s">
        <v>44</v>
      </c>
      <c r="D1437" s="6" t="str">
        <f>HYPERLINK("javascript:void(0)","artini mellvért")</f>
        <v>artini mellvért</v>
      </c>
    </row>
    <row r="1438" spans="1:4" ht="12.75" customHeight="1" x14ac:dyDescent="0.2">
      <c r="A1438" s="21"/>
      <c r="B1438" s="21"/>
      <c r="C1438" s="4" t="s">
        <v>1997</v>
      </c>
      <c r="D1438" s="6" t="str">
        <f>HYPERLINK("javascript:void(0)","hangjegy")</f>
        <v>hangjegy</v>
      </c>
    </row>
    <row r="1439" spans="1:4" ht="12.75" customHeight="1" x14ac:dyDescent="0.2">
      <c r="A1439" s="21"/>
      <c r="B1439" s="21"/>
      <c r="C1439" s="4" t="s">
        <v>309</v>
      </c>
      <c r="D1439" s="6" t="str">
        <f>HYPERLINK("javascript:void(0)","mechodron")</f>
        <v>mechodron</v>
      </c>
    </row>
    <row r="1440" spans="1:4" ht="12.75" customHeight="1" x14ac:dyDescent="0.2">
      <c r="A1440" s="21"/>
      <c r="B1440" s="2"/>
      <c r="C1440" s="2"/>
      <c r="D1440" s="2"/>
    </row>
    <row r="1441" spans="1:4" ht="12.75" customHeight="1" x14ac:dyDescent="0.2">
      <c r="A1441" s="21"/>
      <c r="B1441" s="2"/>
      <c r="C1441" s="2"/>
      <c r="D1441" s="2"/>
    </row>
    <row r="1442" spans="1:4" ht="12.75" customHeight="1" x14ac:dyDescent="0.2">
      <c r="A1442" s="21"/>
      <c r="B1442" s="2"/>
      <c r="C1442" s="2"/>
      <c r="D1442" s="2"/>
    </row>
    <row r="1443" spans="1:4" ht="12.75" customHeight="1" x14ac:dyDescent="0.2">
      <c r="A1443" s="21"/>
      <c r="B1443" s="2"/>
      <c r="C1443" s="2"/>
      <c r="D1443" s="2"/>
    </row>
    <row r="1444" spans="1:4" ht="12.75" customHeight="1" x14ac:dyDescent="0.2">
      <c r="A1444" s="5"/>
      <c r="B1444" s="2"/>
      <c r="C1444" s="2"/>
      <c r="D1444" s="2"/>
    </row>
    <row r="1445" spans="1:4" ht="12.75" customHeight="1" x14ac:dyDescent="0.2">
      <c r="A1445" s="22" t="str">
        <f>HYPERLINK("javascript:void(0)","fotoacél mellvért")</f>
        <v>fotoacél mellvért</v>
      </c>
      <c r="B1445" s="21"/>
      <c r="C1445" s="21"/>
      <c r="D1445" s="21"/>
    </row>
    <row r="1446" spans="1:4" ht="12.75" customHeight="1" x14ac:dyDescent="0.2">
      <c r="A1446" s="20"/>
      <c r="B1446" s="2"/>
      <c r="C1446" s="2"/>
      <c r="D1446" s="2"/>
    </row>
    <row r="1447" spans="1:4" ht="12.75" customHeight="1" x14ac:dyDescent="0.2">
      <c r="A1447" s="21"/>
      <c r="B1447" s="3" t="s">
        <v>0</v>
      </c>
      <c r="C1447" s="20" t="s">
        <v>248</v>
      </c>
      <c r="D1447" s="21"/>
    </row>
    <row r="1448" spans="1:4" ht="12.75" customHeight="1" x14ac:dyDescent="0.2">
      <c r="A1448" s="21"/>
      <c r="B1448" s="3" t="s">
        <v>2</v>
      </c>
      <c r="C1448" s="20" t="s">
        <v>2322</v>
      </c>
      <c r="D1448" s="21"/>
    </row>
    <row r="1449" spans="1:4" ht="12.75" customHeight="1" x14ac:dyDescent="0.2">
      <c r="A1449" s="21"/>
      <c r="B1449" s="3" t="s">
        <v>1840</v>
      </c>
      <c r="C1449" s="20" t="s">
        <v>2426</v>
      </c>
      <c r="D1449" s="21"/>
    </row>
    <row r="1450" spans="1:4" ht="12.75" customHeight="1" x14ac:dyDescent="0.2">
      <c r="A1450" s="21"/>
      <c r="B1450" s="3" t="s">
        <v>9</v>
      </c>
      <c r="C1450" s="20" t="s">
        <v>306</v>
      </c>
      <c r="D1450" s="21"/>
    </row>
    <row r="1451" spans="1:4" ht="12.75" customHeight="1" x14ac:dyDescent="0.2">
      <c r="A1451" s="21"/>
      <c r="B1451" s="3" t="s">
        <v>11</v>
      </c>
      <c r="C1451" s="20" t="s">
        <v>702</v>
      </c>
      <c r="D1451" s="21"/>
    </row>
    <row r="1452" spans="1:4" ht="12.75" customHeight="1" x14ac:dyDescent="0.2">
      <c r="A1452" s="21"/>
      <c r="B1452" s="3" t="s">
        <v>16</v>
      </c>
      <c r="C1452" s="20"/>
      <c r="D1452" s="21"/>
    </row>
    <row r="1453" spans="1:4" ht="12.75" customHeight="1" x14ac:dyDescent="0.2">
      <c r="A1453" s="21"/>
      <c r="B1453" s="3" t="s">
        <v>17</v>
      </c>
      <c r="C1453" s="20" t="s">
        <v>19</v>
      </c>
      <c r="D1453" s="21"/>
    </row>
    <row r="1454" spans="1:4" ht="12.75" customHeight="1" x14ac:dyDescent="0.2">
      <c r="A1454" s="21"/>
      <c r="B1454" s="20" t="s">
        <v>18</v>
      </c>
      <c r="C1454" s="4" t="s">
        <v>68</v>
      </c>
      <c r="D1454" s="6" t="str">
        <f>HYPERLINK("javascript:void(0)","tudásmorzsa")</f>
        <v>tudásmorzsa</v>
      </c>
    </row>
    <row r="1455" spans="1:4" ht="12.75" customHeight="1" x14ac:dyDescent="0.2">
      <c r="A1455" s="21"/>
      <c r="B1455" s="21"/>
      <c r="C1455" s="4" t="s">
        <v>117</v>
      </c>
      <c r="D1455" s="6" t="str">
        <f>HYPERLINK("javascript:void(0)","kispárna")</f>
        <v>kispárna</v>
      </c>
    </row>
    <row r="1456" spans="1:4" ht="12.75" customHeight="1" x14ac:dyDescent="0.2">
      <c r="A1456" s="21"/>
      <c r="B1456" s="21"/>
      <c r="C1456" s="4" t="s">
        <v>280</v>
      </c>
      <c r="D1456" s="6" t="str">
        <f>HYPERLINK("javascript:void(0)","dimenzióforgács")</f>
        <v>dimenzióforgács</v>
      </c>
    </row>
    <row r="1457" spans="1:4" ht="12.75" customHeight="1" x14ac:dyDescent="0.2">
      <c r="A1457" s="21"/>
      <c r="B1457" s="2"/>
      <c r="C1457" s="2"/>
      <c r="D1457" s="2"/>
    </row>
    <row r="1458" spans="1:4" ht="12.75" customHeight="1" x14ac:dyDescent="0.2">
      <c r="A1458" s="21"/>
      <c r="B1458" s="2"/>
      <c r="C1458" s="2"/>
      <c r="D1458" s="2"/>
    </row>
    <row r="1459" spans="1:4" ht="12.75" customHeight="1" x14ac:dyDescent="0.2">
      <c r="A1459" s="21"/>
      <c r="B1459" s="2"/>
      <c r="C1459" s="2"/>
      <c r="D1459" s="2"/>
    </row>
    <row r="1460" spans="1:4" ht="12.75" customHeight="1" x14ac:dyDescent="0.2">
      <c r="A1460" s="21"/>
      <c r="B1460" s="2"/>
      <c r="C1460" s="2"/>
      <c r="D1460" s="2"/>
    </row>
    <row r="1461" spans="1:4" ht="12.75" customHeight="1" x14ac:dyDescent="0.2">
      <c r="A1461" s="5"/>
      <c r="B1461" s="2"/>
      <c r="C1461" s="2"/>
      <c r="D1461" s="2"/>
    </row>
    <row r="1462" spans="1:4" ht="12.75" customHeight="1" x14ac:dyDescent="0.2">
      <c r="A1462" s="22" t="str">
        <f>HYPERLINK("javascript:void(0)","magnetoacél mellvért")</f>
        <v>magnetoacél mellvért</v>
      </c>
      <c r="B1462" s="21"/>
      <c r="C1462" s="21"/>
      <c r="D1462" s="21"/>
    </row>
    <row r="1463" spans="1:4" ht="12.75" customHeight="1" x14ac:dyDescent="0.2">
      <c r="A1463" s="20"/>
      <c r="B1463" s="2"/>
      <c r="C1463" s="2"/>
      <c r="D1463" s="2"/>
    </row>
    <row r="1464" spans="1:4" ht="12.75" customHeight="1" x14ac:dyDescent="0.2">
      <c r="A1464" s="21"/>
      <c r="B1464" s="3" t="s">
        <v>0</v>
      </c>
      <c r="C1464" s="20" t="s">
        <v>635</v>
      </c>
      <c r="D1464" s="21"/>
    </row>
    <row r="1465" spans="1:4" ht="12.75" customHeight="1" x14ac:dyDescent="0.2">
      <c r="A1465" s="21"/>
      <c r="B1465" s="3" t="s">
        <v>2</v>
      </c>
      <c r="C1465" s="20" t="s">
        <v>2322</v>
      </c>
      <c r="D1465" s="21"/>
    </row>
    <row r="1466" spans="1:4" ht="12.75" customHeight="1" x14ac:dyDescent="0.2">
      <c r="A1466" s="21"/>
      <c r="B1466" s="3" t="s">
        <v>1840</v>
      </c>
      <c r="C1466" s="20" t="s">
        <v>1814</v>
      </c>
      <c r="D1466" s="21"/>
    </row>
    <row r="1467" spans="1:4" ht="12.75" customHeight="1" x14ac:dyDescent="0.2">
      <c r="A1467" s="21"/>
      <c r="B1467" s="3" t="s">
        <v>9</v>
      </c>
      <c r="C1467" s="20" t="s">
        <v>200</v>
      </c>
      <c r="D1467" s="21"/>
    </row>
    <row r="1468" spans="1:4" ht="12.75" customHeight="1" x14ac:dyDescent="0.2">
      <c r="A1468" s="21"/>
      <c r="B1468" s="3" t="s">
        <v>11</v>
      </c>
      <c r="C1468" s="20" t="s">
        <v>722</v>
      </c>
      <c r="D1468" s="21"/>
    </row>
    <row r="1469" spans="1:4" ht="12.75" customHeight="1" x14ac:dyDescent="0.2">
      <c r="A1469" s="21"/>
      <c r="B1469" s="3" t="s">
        <v>16</v>
      </c>
      <c r="C1469" s="20"/>
      <c r="D1469" s="21"/>
    </row>
    <row r="1470" spans="1:4" ht="12.75" customHeight="1" x14ac:dyDescent="0.2">
      <c r="A1470" s="21"/>
      <c r="B1470" s="3" t="s">
        <v>17</v>
      </c>
      <c r="C1470" s="20" t="s">
        <v>19</v>
      </c>
      <c r="D1470" s="21"/>
    </row>
    <row r="1471" spans="1:4" ht="12.75" customHeight="1" x14ac:dyDescent="0.2">
      <c r="A1471" s="21"/>
      <c r="B1471" s="20" t="s">
        <v>18</v>
      </c>
      <c r="C1471" s="4" t="s">
        <v>44</v>
      </c>
      <c r="D1471" s="6" t="str">
        <f>HYPERLINK("javascript:void(0)","thordi mellvért")</f>
        <v>thordi mellvért</v>
      </c>
    </row>
    <row r="1472" spans="1:4" ht="12.75" customHeight="1" x14ac:dyDescent="0.2">
      <c r="A1472" s="21"/>
      <c r="B1472" s="21"/>
      <c r="C1472" s="4" t="s">
        <v>44</v>
      </c>
      <c r="D1472" s="6" t="str">
        <f>HYPERLINK("javascript:void(0)","fotoacél mellvért")</f>
        <v>fotoacél mellvért</v>
      </c>
    </row>
    <row r="1473" spans="1:4" ht="12.75" customHeight="1" x14ac:dyDescent="0.2">
      <c r="A1473" s="21"/>
      <c r="B1473" s="21"/>
      <c r="C1473" s="4" t="s">
        <v>44</v>
      </c>
      <c r="D1473" s="6" t="str">
        <f>HYPERLINK("javascript:void(0)","magnetoacél előlap")</f>
        <v>magnetoacél előlap</v>
      </c>
    </row>
    <row r="1474" spans="1:4" ht="12.75" customHeight="1" x14ac:dyDescent="0.2">
      <c r="A1474" s="21"/>
      <c r="B1474" s="2"/>
      <c r="C1474" s="2"/>
      <c r="D1474" s="2"/>
    </row>
    <row r="1475" spans="1:4" ht="12.75" customHeight="1" x14ac:dyDescent="0.2">
      <c r="A1475" s="21"/>
      <c r="B1475" s="2"/>
      <c r="C1475" s="2"/>
      <c r="D1475" s="2"/>
    </row>
    <row r="1476" spans="1:4" ht="12.75" customHeight="1" x14ac:dyDescent="0.2">
      <c r="A1476" s="21"/>
      <c r="B1476" s="2"/>
      <c r="C1476" s="2"/>
      <c r="D1476" s="2"/>
    </row>
    <row r="1477" spans="1:4" ht="12.75" customHeight="1" x14ac:dyDescent="0.2">
      <c r="A1477" s="21"/>
      <c r="B1477" s="2"/>
      <c r="C1477" s="2"/>
      <c r="D1477" s="2"/>
    </row>
    <row r="1478" spans="1:4" ht="12.75" customHeight="1" x14ac:dyDescent="0.2">
      <c r="A1478" s="5"/>
      <c r="B1478" s="2"/>
      <c r="C1478" s="2"/>
      <c r="D1478" s="2"/>
    </row>
    <row r="1479" spans="1:4" ht="12.75" customHeight="1" x14ac:dyDescent="0.2">
      <c r="A1479" s="22" t="str">
        <f>HYPERLINK("javascript:void(0)","helioacél mellvért")</f>
        <v>helioacél mellvért</v>
      </c>
      <c r="B1479" s="21"/>
      <c r="C1479" s="21"/>
      <c r="D1479" s="21"/>
    </row>
    <row r="1480" spans="1:4" ht="12.75" customHeight="1" x14ac:dyDescent="0.2">
      <c r="A1480" s="20"/>
      <c r="B1480" s="2"/>
      <c r="C1480" s="2"/>
      <c r="D1480" s="2"/>
    </row>
    <row r="1481" spans="1:4" ht="12.75" customHeight="1" x14ac:dyDescent="0.2">
      <c r="A1481" s="21"/>
      <c r="B1481" s="3" t="s">
        <v>0</v>
      </c>
      <c r="C1481" s="20" t="s">
        <v>239</v>
      </c>
      <c r="D1481" s="21"/>
    </row>
    <row r="1482" spans="1:4" ht="12.75" customHeight="1" x14ac:dyDescent="0.2">
      <c r="A1482" s="21"/>
      <c r="B1482" s="3" t="s">
        <v>2</v>
      </c>
      <c r="C1482" s="20" t="s">
        <v>2322</v>
      </c>
      <c r="D1482" s="21"/>
    </row>
    <row r="1483" spans="1:4" ht="12.75" customHeight="1" x14ac:dyDescent="0.2">
      <c r="A1483" s="21"/>
      <c r="B1483" s="3" t="s">
        <v>1840</v>
      </c>
      <c r="C1483" s="20" t="s">
        <v>2427</v>
      </c>
      <c r="D1483" s="21"/>
    </row>
    <row r="1484" spans="1:4" ht="12.75" customHeight="1" x14ac:dyDescent="0.2">
      <c r="A1484" s="21"/>
      <c r="B1484" s="3" t="s">
        <v>9</v>
      </c>
      <c r="C1484" s="20" t="s">
        <v>172</v>
      </c>
      <c r="D1484" s="21"/>
    </row>
    <row r="1485" spans="1:4" ht="12.75" customHeight="1" x14ac:dyDescent="0.2">
      <c r="A1485" s="21"/>
      <c r="B1485" s="3" t="s">
        <v>11</v>
      </c>
      <c r="C1485" s="20" t="s">
        <v>739</v>
      </c>
      <c r="D1485" s="21"/>
    </row>
    <row r="1486" spans="1:4" ht="12.75" customHeight="1" x14ac:dyDescent="0.2">
      <c r="A1486" s="21"/>
      <c r="B1486" s="3" t="s">
        <v>16</v>
      </c>
      <c r="C1486" s="20"/>
      <c r="D1486" s="21"/>
    </row>
    <row r="1487" spans="1:4" ht="12.75" customHeight="1" x14ac:dyDescent="0.2">
      <c r="A1487" s="21"/>
      <c r="B1487" s="3" t="s">
        <v>17</v>
      </c>
      <c r="C1487" s="20" t="s">
        <v>19</v>
      </c>
      <c r="D1487" s="21"/>
    </row>
    <row r="1488" spans="1:4" ht="25.5" customHeight="1" x14ac:dyDescent="0.2">
      <c r="A1488" s="21"/>
      <c r="B1488" s="20" t="s">
        <v>18</v>
      </c>
      <c r="C1488" s="4" t="s">
        <v>44</v>
      </c>
      <c r="D1488" s="6" t="str">
        <f>HYPERLINK("javascript:void(0)","magnetoacél mellvért")</f>
        <v>magnetoacél mellvért</v>
      </c>
    </row>
    <row r="1489" spans="1:4" ht="12.75" customHeight="1" x14ac:dyDescent="0.2">
      <c r="A1489" s="21"/>
      <c r="B1489" s="21"/>
      <c r="C1489" s="4" t="s">
        <v>68</v>
      </c>
      <c r="D1489" s="6" t="str">
        <f>HYPERLINK("javascript:void(0)","kárópikkely")</f>
        <v>kárópikkely</v>
      </c>
    </row>
    <row r="1490" spans="1:4" ht="12.75" customHeight="1" x14ac:dyDescent="0.2">
      <c r="A1490" s="21"/>
      <c r="B1490" s="21"/>
      <c r="C1490" s="4" t="s">
        <v>130</v>
      </c>
      <c r="D1490" s="6" t="str">
        <f>HYPERLINK("javascript:void(0)","ámbra")</f>
        <v>ámbra</v>
      </c>
    </row>
    <row r="1491" spans="1:4" ht="12.75" customHeight="1" x14ac:dyDescent="0.2">
      <c r="A1491" s="21"/>
      <c r="B1491" s="2"/>
      <c r="C1491" s="2"/>
      <c r="D1491" s="2"/>
    </row>
    <row r="1492" spans="1:4" ht="12.75" customHeight="1" x14ac:dyDescent="0.2">
      <c r="A1492" s="21"/>
      <c r="B1492" s="2"/>
      <c r="C1492" s="2"/>
      <c r="D1492" s="2"/>
    </row>
    <row r="1493" spans="1:4" ht="12.75" customHeight="1" x14ac:dyDescent="0.2">
      <c r="A1493" s="21"/>
      <c r="B1493" s="2"/>
      <c r="C1493" s="2"/>
      <c r="D1493" s="2"/>
    </row>
    <row r="1494" spans="1:4" ht="12.75" customHeight="1" x14ac:dyDescent="0.2">
      <c r="A1494" s="21"/>
      <c r="B1494" s="2"/>
      <c r="C1494" s="2"/>
      <c r="D1494" s="2"/>
    </row>
    <row r="1495" spans="1:4" ht="12.75" customHeight="1" x14ac:dyDescent="0.2">
      <c r="A1495" s="5"/>
      <c r="B1495" s="2"/>
      <c r="C1495" s="2"/>
      <c r="D1495" s="2"/>
    </row>
    <row r="1496" spans="1:4" ht="12.75" customHeight="1" x14ac:dyDescent="0.2">
      <c r="A1496" s="22" t="str">
        <f>HYPERLINK("javascript:void(0)","pikkelyrostély")</f>
        <v>pikkelyrostély</v>
      </c>
      <c r="B1496" s="21"/>
      <c r="C1496" s="21"/>
      <c r="D1496" s="21"/>
    </row>
    <row r="1497" spans="1:4" ht="12.75" customHeight="1" x14ac:dyDescent="0.2">
      <c r="A1497" s="20"/>
      <c r="B1497" s="2"/>
      <c r="C1497" s="2"/>
      <c r="D1497" s="2"/>
    </row>
    <row r="1498" spans="1:4" ht="12.75" customHeight="1" x14ac:dyDescent="0.2">
      <c r="A1498" s="21"/>
      <c r="B1498" s="3" t="s">
        <v>0</v>
      </c>
      <c r="C1498" s="20" t="s">
        <v>239</v>
      </c>
      <c r="D1498" s="21"/>
    </row>
    <row r="1499" spans="1:4" ht="12.75" customHeight="1" x14ac:dyDescent="0.2">
      <c r="A1499" s="21"/>
      <c r="B1499" s="3" t="s">
        <v>2</v>
      </c>
      <c r="C1499" s="20" t="s">
        <v>2322</v>
      </c>
      <c r="D1499" s="21"/>
    </row>
    <row r="1500" spans="1:4" ht="12.75" customHeight="1" x14ac:dyDescent="0.2">
      <c r="A1500" s="21"/>
      <c r="B1500" s="3" t="s">
        <v>1840</v>
      </c>
      <c r="C1500" s="20" t="s">
        <v>52</v>
      </c>
      <c r="D1500" s="21"/>
    </row>
    <row r="1501" spans="1:4" ht="12.75" customHeight="1" x14ac:dyDescent="0.2">
      <c r="A1501" s="21"/>
      <c r="B1501" s="3" t="s">
        <v>9</v>
      </c>
      <c r="C1501" s="20" t="s">
        <v>42</v>
      </c>
      <c r="D1501" s="21"/>
    </row>
    <row r="1502" spans="1:4" ht="12.75" customHeight="1" x14ac:dyDescent="0.2">
      <c r="A1502" s="21"/>
      <c r="B1502" s="3" t="s">
        <v>11</v>
      </c>
      <c r="C1502" s="20" t="s">
        <v>368</v>
      </c>
      <c r="D1502" s="21"/>
    </row>
    <row r="1503" spans="1:4" ht="12.75" customHeight="1" x14ac:dyDescent="0.2">
      <c r="A1503" s="21"/>
      <c r="B1503" s="3" t="s">
        <v>16</v>
      </c>
      <c r="C1503" s="20"/>
      <c r="D1503" s="21"/>
    </row>
    <row r="1504" spans="1:4" ht="12.75" customHeight="1" x14ac:dyDescent="0.2">
      <c r="A1504" s="21"/>
      <c r="B1504" s="3" t="s">
        <v>17</v>
      </c>
      <c r="C1504" s="20" t="s">
        <v>19</v>
      </c>
      <c r="D1504" s="21"/>
    </row>
    <row r="1505" spans="1:4" ht="12.75" customHeight="1" x14ac:dyDescent="0.2">
      <c r="A1505" s="21"/>
      <c r="B1505" s="20" t="s">
        <v>18</v>
      </c>
      <c r="C1505" s="4" t="s">
        <v>77</v>
      </c>
      <c r="D1505" s="6" t="str">
        <f>HYPERLINK("javascript:void(0)","kárópikkely")</f>
        <v>kárópikkely</v>
      </c>
    </row>
    <row r="1506" spans="1:4" ht="12.75" customHeight="1" x14ac:dyDescent="0.2">
      <c r="A1506" s="21"/>
      <c r="B1506" s="21"/>
      <c r="C1506" s="4" t="s">
        <v>139</v>
      </c>
      <c r="D1506" s="6" t="str">
        <f>HYPERLINK("javascript:void(0)","kispárna")</f>
        <v>kispárna</v>
      </c>
    </row>
    <row r="1507" spans="1:4" ht="12.75" customHeight="1" x14ac:dyDescent="0.2">
      <c r="A1507" s="21"/>
      <c r="B1507" s="21"/>
      <c r="C1507" s="4" t="s">
        <v>369</v>
      </c>
      <c r="D1507" s="6" t="str">
        <f>HYPERLINK("javascript:void(0)","mechodron")</f>
        <v>mechodron</v>
      </c>
    </row>
    <row r="1508" spans="1:4" ht="12.75" customHeight="1" x14ac:dyDescent="0.2">
      <c r="A1508" s="21"/>
      <c r="B1508" s="2"/>
      <c r="C1508" s="2"/>
      <c r="D1508" s="2"/>
    </row>
    <row r="1509" spans="1:4" ht="12.75" customHeight="1" x14ac:dyDescent="0.2">
      <c r="A1509" s="21"/>
      <c r="B1509" s="2"/>
      <c r="C1509" s="2"/>
      <c r="D1509" s="2"/>
    </row>
    <row r="1510" spans="1:4" ht="12.75" customHeight="1" x14ac:dyDescent="0.2">
      <c r="A1510" s="21"/>
      <c r="B1510" s="2"/>
      <c r="C1510" s="2"/>
      <c r="D1510" s="2"/>
    </row>
    <row r="1511" spans="1:4" ht="12.75" customHeight="1" x14ac:dyDescent="0.2">
      <c r="A1511" s="21"/>
      <c r="B1511" s="2"/>
      <c r="C1511" s="2"/>
      <c r="D1511" s="2"/>
    </row>
    <row r="1512" spans="1:4" ht="12.75" customHeight="1" x14ac:dyDescent="0.2">
      <c r="A1512" s="5"/>
      <c r="B1512" s="2"/>
      <c r="C1512" s="2"/>
      <c r="D1512" s="2"/>
    </row>
    <row r="1513" spans="1:4" ht="12.75" customHeight="1" x14ac:dyDescent="0.2">
      <c r="A1513" s="22" t="str">
        <f>HYPERLINK("javascript:void(0)","csillámló elfpáncél")</f>
        <v>csillámló elfpáncél</v>
      </c>
      <c r="B1513" s="21"/>
      <c r="C1513" s="21"/>
      <c r="D1513" s="21"/>
    </row>
    <row r="1514" spans="1:4" ht="12.75" customHeight="1" x14ac:dyDescent="0.2">
      <c r="A1514" s="20"/>
      <c r="B1514" s="2"/>
      <c r="C1514" s="2"/>
      <c r="D1514" s="2"/>
    </row>
    <row r="1515" spans="1:4" ht="12.75" customHeight="1" x14ac:dyDescent="0.2">
      <c r="A1515" s="21"/>
      <c r="B1515" s="3" t="s">
        <v>0</v>
      </c>
      <c r="C1515" s="20" t="s">
        <v>239</v>
      </c>
      <c r="D1515" s="21"/>
    </row>
    <row r="1516" spans="1:4" ht="12.75" customHeight="1" x14ac:dyDescent="0.2">
      <c r="A1516" s="21"/>
      <c r="B1516" s="3" t="s">
        <v>2</v>
      </c>
      <c r="C1516" s="20" t="s">
        <v>2322</v>
      </c>
      <c r="D1516" s="21"/>
    </row>
    <row r="1517" spans="1:4" ht="12.75" customHeight="1" x14ac:dyDescent="0.2">
      <c r="A1517" s="21"/>
      <c r="B1517" s="3" t="s">
        <v>1840</v>
      </c>
      <c r="C1517" s="20" t="s">
        <v>2428</v>
      </c>
      <c r="D1517" s="21"/>
    </row>
    <row r="1518" spans="1:4" ht="12.75" customHeight="1" x14ac:dyDescent="0.2">
      <c r="A1518" s="21"/>
      <c r="B1518" s="3" t="s">
        <v>9</v>
      </c>
      <c r="C1518" s="20" t="s">
        <v>2056</v>
      </c>
      <c r="D1518" s="21"/>
    </row>
    <row r="1519" spans="1:4" ht="12.75" customHeight="1" x14ac:dyDescent="0.2">
      <c r="A1519" s="21"/>
      <c r="B1519" s="3" t="s">
        <v>11</v>
      </c>
      <c r="C1519" s="20" t="s">
        <v>739</v>
      </c>
      <c r="D1519" s="21"/>
    </row>
    <row r="1520" spans="1:4" ht="12.75" customHeight="1" x14ac:dyDescent="0.2">
      <c r="A1520" s="21"/>
      <c r="B1520" s="3" t="s">
        <v>16</v>
      </c>
      <c r="C1520" s="20"/>
      <c r="D1520" s="21"/>
    </row>
    <row r="1521" spans="1:4" ht="12.75" customHeight="1" x14ac:dyDescent="0.2">
      <c r="A1521" s="21"/>
      <c r="B1521" s="3" t="s">
        <v>17</v>
      </c>
      <c r="C1521" s="20" t="s">
        <v>19</v>
      </c>
      <c r="D1521" s="21"/>
    </row>
    <row r="1522" spans="1:4" ht="12.75" customHeight="1" x14ac:dyDescent="0.2">
      <c r="A1522" s="21"/>
      <c r="B1522" s="20" t="s">
        <v>18</v>
      </c>
      <c r="C1522" s="4" t="s">
        <v>57</v>
      </c>
      <c r="D1522" s="6" t="str">
        <f>HYPERLINK("javascript:void(0)","csillámgöb")</f>
        <v>csillámgöb</v>
      </c>
    </row>
    <row r="1523" spans="1:4" ht="12.75" customHeight="1" x14ac:dyDescent="0.2">
      <c r="A1523" s="21"/>
      <c r="B1523" s="21"/>
      <c r="C1523" s="4" t="s">
        <v>44</v>
      </c>
      <c r="D1523" s="6" t="str">
        <f>HYPERLINK("javascript:void(0)","csillámos kisvért")</f>
        <v>csillámos kisvért</v>
      </c>
    </row>
    <row r="1524" spans="1:4" ht="12.75" customHeight="1" x14ac:dyDescent="0.2">
      <c r="A1524" s="21"/>
      <c r="B1524" s="21"/>
      <c r="C1524" s="4" t="s">
        <v>1536</v>
      </c>
      <c r="D1524" s="6" t="str">
        <f>HYPERLINK("javascript:void(0)","ámbra")</f>
        <v>ámbra</v>
      </c>
    </row>
    <row r="1525" spans="1:4" ht="12.75" customHeight="1" x14ac:dyDescent="0.2">
      <c r="A1525" s="21"/>
      <c r="B1525" s="2"/>
      <c r="C1525" s="2"/>
      <c r="D1525" s="2"/>
    </row>
    <row r="1526" spans="1:4" ht="12.75" customHeight="1" x14ac:dyDescent="0.2">
      <c r="A1526" s="21"/>
      <c r="B1526" s="2"/>
      <c r="C1526" s="2"/>
      <c r="D1526" s="2"/>
    </row>
    <row r="1527" spans="1:4" ht="12.75" customHeight="1" x14ac:dyDescent="0.2">
      <c r="A1527" s="21"/>
      <c r="B1527" s="2"/>
      <c r="C1527" s="2"/>
      <c r="D1527" s="2"/>
    </row>
    <row r="1528" spans="1:4" ht="12.75" customHeight="1" x14ac:dyDescent="0.2">
      <c r="A1528" s="21"/>
      <c r="B1528" s="2"/>
      <c r="C1528" s="2"/>
      <c r="D1528" s="2"/>
    </row>
    <row r="1529" spans="1:4" ht="12.75" customHeight="1" x14ac:dyDescent="0.2">
      <c r="A1529" s="5"/>
      <c r="B1529" s="2"/>
      <c r="C1529" s="2"/>
      <c r="D1529" s="2"/>
    </row>
    <row r="1530" spans="1:4" ht="12.75" customHeight="1" x14ac:dyDescent="0.2">
      <c r="A1530" s="22" t="str">
        <f>HYPERLINK("javascript:void(0)","rúna mellvért")</f>
        <v>rúna mellvért</v>
      </c>
      <c r="B1530" s="21"/>
      <c r="C1530" s="21"/>
      <c r="D1530" s="21"/>
    </row>
    <row r="1531" spans="1:4" ht="12.75" customHeight="1" x14ac:dyDescent="0.2">
      <c r="A1531" s="20"/>
      <c r="B1531" s="2"/>
      <c r="C1531" s="2"/>
      <c r="D1531" s="2"/>
    </row>
    <row r="1532" spans="1:4" ht="12.75" customHeight="1" x14ac:dyDescent="0.2">
      <c r="A1532" s="21"/>
      <c r="B1532" s="3" t="s">
        <v>0</v>
      </c>
      <c r="C1532" s="20" t="s">
        <v>651</v>
      </c>
      <c r="D1532" s="21"/>
    </row>
    <row r="1533" spans="1:4" ht="12.75" customHeight="1" x14ac:dyDescent="0.2">
      <c r="A1533" s="21"/>
      <c r="B1533" s="3" t="s">
        <v>2</v>
      </c>
      <c r="C1533" s="20" t="s">
        <v>2322</v>
      </c>
      <c r="D1533" s="21"/>
    </row>
    <row r="1534" spans="1:4" ht="12.75" customHeight="1" x14ac:dyDescent="0.2">
      <c r="A1534" s="21"/>
      <c r="B1534" s="3" t="s">
        <v>1840</v>
      </c>
      <c r="C1534" s="20" t="s">
        <v>2429</v>
      </c>
      <c r="D1534" s="21"/>
    </row>
    <row r="1535" spans="1:4" ht="12.75" customHeight="1" x14ac:dyDescent="0.2">
      <c r="A1535" s="21"/>
      <c r="B1535" s="3" t="s">
        <v>9</v>
      </c>
      <c r="C1535" s="20" t="s">
        <v>200</v>
      </c>
      <c r="D1535" s="21"/>
    </row>
    <row r="1536" spans="1:4" ht="12.75" customHeight="1" x14ac:dyDescent="0.2">
      <c r="A1536" s="21"/>
      <c r="B1536" s="3" t="s">
        <v>11</v>
      </c>
      <c r="C1536" s="20" t="s">
        <v>754</v>
      </c>
      <c r="D1536" s="21"/>
    </row>
    <row r="1537" spans="1:4" ht="12.75" customHeight="1" x14ac:dyDescent="0.2">
      <c r="A1537" s="21"/>
      <c r="B1537" s="3" t="s">
        <v>16</v>
      </c>
      <c r="C1537" s="20"/>
      <c r="D1537" s="21"/>
    </row>
    <row r="1538" spans="1:4" ht="12.75" customHeight="1" x14ac:dyDescent="0.2">
      <c r="A1538" s="21"/>
      <c r="B1538" s="3" t="s">
        <v>17</v>
      </c>
      <c r="C1538" s="20" t="s">
        <v>19</v>
      </c>
      <c r="D1538" s="21"/>
    </row>
    <row r="1539" spans="1:4" ht="12.75" customHeight="1" x14ac:dyDescent="0.2">
      <c r="A1539" s="21"/>
      <c r="B1539" s="20" t="s">
        <v>18</v>
      </c>
      <c r="C1539" s="4" t="s">
        <v>68</v>
      </c>
      <c r="D1539" s="6" t="str">
        <f>HYPERLINK("javascript:void(0)","rúna")</f>
        <v>rúna</v>
      </c>
    </row>
    <row r="1540" spans="1:4" ht="12.75" customHeight="1" x14ac:dyDescent="0.2">
      <c r="A1540" s="21"/>
      <c r="B1540" s="21"/>
      <c r="C1540" s="4" t="s">
        <v>117</v>
      </c>
      <c r="D1540" s="6" t="str">
        <f>HYPERLINK("javascript:void(0)","gigacsáp")</f>
        <v>gigacsáp</v>
      </c>
    </row>
    <row r="1541" spans="1:4" ht="12.75" customHeight="1" x14ac:dyDescent="0.2">
      <c r="A1541" s="21"/>
      <c r="B1541" s="21"/>
      <c r="C1541" s="4" t="s">
        <v>244</v>
      </c>
      <c r="D1541" s="6" t="str">
        <f>HYPERLINK("javascript:void(0)","uszony")</f>
        <v>uszony</v>
      </c>
    </row>
    <row r="1542" spans="1:4" ht="12.75" customHeight="1" x14ac:dyDescent="0.2">
      <c r="A1542" s="21"/>
      <c r="B1542" s="2"/>
      <c r="C1542" s="2"/>
      <c r="D1542" s="2"/>
    </row>
    <row r="1543" spans="1:4" ht="12.75" customHeight="1" x14ac:dyDescent="0.2">
      <c r="A1543" s="21"/>
      <c r="B1543" s="2"/>
      <c r="C1543" s="2"/>
      <c r="D1543" s="2"/>
    </row>
    <row r="1544" spans="1:4" ht="12.75" customHeight="1" x14ac:dyDescent="0.2">
      <c r="A1544" s="21"/>
      <c r="B1544" s="2"/>
      <c r="C1544" s="2"/>
      <c r="D1544" s="2"/>
    </row>
    <row r="1545" spans="1:4" ht="12.75" customHeight="1" x14ac:dyDescent="0.2">
      <c r="A1545" s="21"/>
      <c r="B1545" s="2"/>
      <c r="C1545" s="2"/>
      <c r="D1545" s="2"/>
    </row>
    <row r="1546" spans="1:4" ht="12.75" customHeight="1" x14ac:dyDescent="0.2">
      <c r="A1546" s="5"/>
      <c r="B1546" s="2"/>
      <c r="C1546" s="2"/>
      <c r="D1546" s="2"/>
    </row>
    <row r="1547" spans="1:4" ht="12.75" customHeight="1" x14ac:dyDescent="0.2">
      <c r="A1547" s="22" t="str">
        <f>HYPERLINK("javascript:void(0)","hypnoacél mellvért")</f>
        <v>hypnoacél mellvért</v>
      </c>
      <c r="B1547" s="21"/>
      <c r="C1547" s="21"/>
      <c r="D1547" s="21"/>
    </row>
    <row r="1548" spans="1:4" ht="12.75" customHeight="1" x14ac:dyDescent="0.2">
      <c r="A1548" s="20"/>
      <c r="B1548" s="2"/>
      <c r="C1548" s="2"/>
      <c r="D1548" s="2"/>
    </row>
    <row r="1549" spans="1:4" ht="12.75" customHeight="1" x14ac:dyDescent="0.2">
      <c r="A1549" s="21"/>
      <c r="B1549" s="3" t="s">
        <v>0</v>
      </c>
      <c r="C1549" s="20" t="s">
        <v>69</v>
      </c>
      <c r="D1549" s="21"/>
    </row>
    <row r="1550" spans="1:4" ht="12.75" customHeight="1" x14ac:dyDescent="0.2">
      <c r="A1550" s="21"/>
      <c r="B1550" s="3" t="s">
        <v>2</v>
      </c>
      <c r="C1550" s="20" t="s">
        <v>2322</v>
      </c>
      <c r="D1550" s="21"/>
    </row>
    <row r="1551" spans="1:4" ht="12.75" customHeight="1" x14ac:dyDescent="0.2">
      <c r="A1551" s="21"/>
      <c r="B1551" s="3" t="s">
        <v>1840</v>
      </c>
      <c r="C1551" s="20" t="s">
        <v>2430</v>
      </c>
      <c r="D1551" s="21"/>
    </row>
    <row r="1552" spans="1:4" ht="12.75" customHeight="1" x14ac:dyDescent="0.2">
      <c r="A1552" s="21"/>
      <c r="B1552" s="3" t="s">
        <v>9</v>
      </c>
      <c r="C1552" s="20" t="s">
        <v>172</v>
      </c>
      <c r="D1552" s="21"/>
    </row>
    <row r="1553" spans="1:4" ht="12.75" customHeight="1" x14ac:dyDescent="0.2">
      <c r="A1553" s="21"/>
      <c r="B1553" s="3" t="s">
        <v>11</v>
      </c>
      <c r="C1553" s="20" t="s">
        <v>770</v>
      </c>
      <c r="D1553" s="21"/>
    </row>
    <row r="1554" spans="1:4" ht="12.75" customHeight="1" x14ac:dyDescent="0.2">
      <c r="A1554" s="21"/>
      <c r="B1554" s="3" t="s">
        <v>16</v>
      </c>
      <c r="C1554" s="20"/>
      <c r="D1554" s="21"/>
    </row>
    <row r="1555" spans="1:4" ht="12.75" customHeight="1" x14ac:dyDescent="0.2">
      <c r="A1555" s="21"/>
      <c r="B1555" s="3" t="s">
        <v>17</v>
      </c>
      <c r="C1555" s="20" t="s">
        <v>19</v>
      </c>
      <c r="D1555" s="21"/>
    </row>
    <row r="1556" spans="1:4" ht="12.75" customHeight="1" x14ac:dyDescent="0.2">
      <c r="A1556" s="21"/>
      <c r="B1556" s="20" t="s">
        <v>18</v>
      </c>
      <c r="C1556" s="4" t="s">
        <v>44</v>
      </c>
      <c r="D1556" s="6" t="str">
        <f>HYPERLINK("javascript:void(0)","helioacél mellvért")</f>
        <v>helioacél mellvért</v>
      </c>
    </row>
    <row r="1557" spans="1:4" ht="12.75" customHeight="1" x14ac:dyDescent="0.2">
      <c r="A1557" s="21"/>
      <c r="B1557" s="21"/>
      <c r="C1557" s="4" t="s">
        <v>44</v>
      </c>
      <c r="D1557" s="6" t="str">
        <f>HYPERLINK("javascript:void(0)","rúna mellvért")</f>
        <v>rúna mellvért</v>
      </c>
    </row>
    <row r="1558" spans="1:4" ht="12.75" customHeight="1" x14ac:dyDescent="0.2">
      <c r="A1558" s="21"/>
      <c r="B1558" s="21"/>
      <c r="C1558" s="4" t="s">
        <v>44</v>
      </c>
      <c r="D1558" s="6" t="str">
        <f>HYPERLINK("javascript:void(0)","hypnoacél előlap")</f>
        <v>hypnoacél előlap</v>
      </c>
    </row>
    <row r="1559" spans="1:4" ht="12.75" customHeight="1" x14ac:dyDescent="0.2">
      <c r="A1559" s="21"/>
      <c r="B1559" s="2"/>
      <c r="C1559" s="2"/>
      <c r="D1559" s="2"/>
    </row>
    <row r="1560" spans="1:4" ht="12.75" customHeight="1" x14ac:dyDescent="0.2">
      <c r="A1560" s="21"/>
      <c r="B1560" s="2"/>
      <c r="C1560" s="2"/>
      <c r="D1560" s="2"/>
    </row>
    <row r="1561" spans="1:4" ht="12.75" customHeight="1" x14ac:dyDescent="0.2">
      <c r="A1561" s="21"/>
      <c r="B1561" s="2"/>
      <c r="C1561" s="2"/>
      <c r="D1561" s="2"/>
    </row>
    <row r="1562" spans="1:4" ht="12.75" customHeight="1" x14ac:dyDescent="0.2">
      <c r="A1562" s="21"/>
      <c r="B1562" s="2"/>
      <c r="C1562" s="2"/>
      <c r="D1562" s="2"/>
    </row>
    <row r="1563" spans="1:4" ht="12.75" customHeight="1" x14ac:dyDescent="0.2">
      <c r="A1563" s="5"/>
      <c r="B1563" s="2"/>
      <c r="C1563" s="2"/>
      <c r="D1563" s="2"/>
    </row>
    <row r="1564" spans="1:4" ht="12.75" customHeight="1" x14ac:dyDescent="0.2">
      <c r="A1564" s="22" t="str">
        <f>HYPERLINK("javascript:void(0)","fotoacél talp")</f>
        <v>fotoacél talp</v>
      </c>
      <c r="B1564" s="21"/>
      <c r="C1564" s="21"/>
      <c r="D1564" s="21"/>
    </row>
    <row r="1565" spans="1:4" ht="12.75" customHeight="1" x14ac:dyDescent="0.2">
      <c r="A1565" s="20"/>
      <c r="B1565" s="2"/>
      <c r="C1565" s="2"/>
      <c r="D1565" s="2"/>
    </row>
    <row r="1566" spans="1:4" ht="12.75" customHeight="1" x14ac:dyDescent="0.2">
      <c r="A1566" s="21"/>
      <c r="B1566" s="3" t="s">
        <v>0</v>
      </c>
      <c r="C1566" s="20" t="s">
        <v>69</v>
      </c>
      <c r="D1566" s="21"/>
    </row>
    <row r="1567" spans="1:4" ht="12.75" customHeight="1" x14ac:dyDescent="0.2">
      <c r="A1567" s="21"/>
      <c r="B1567" s="3" t="s">
        <v>2</v>
      </c>
      <c r="C1567" s="20" t="s">
        <v>2322</v>
      </c>
      <c r="D1567" s="21"/>
    </row>
    <row r="1568" spans="1:4" ht="12.75" customHeight="1" x14ac:dyDescent="0.2">
      <c r="A1568" s="21"/>
      <c r="B1568" s="3" t="s">
        <v>1840</v>
      </c>
      <c r="C1568" s="20" t="s">
        <v>52</v>
      </c>
      <c r="D1568" s="21"/>
    </row>
    <row r="1569" spans="1:4" ht="12.75" customHeight="1" x14ac:dyDescent="0.2">
      <c r="A1569" s="21"/>
      <c r="B1569" s="3" t="s">
        <v>9</v>
      </c>
      <c r="C1569" s="20" t="s">
        <v>42</v>
      </c>
      <c r="D1569" s="21"/>
    </row>
    <row r="1570" spans="1:4" ht="12.75" customHeight="1" x14ac:dyDescent="0.2">
      <c r="A1570" s="21"/>
      <c r="B1570" s="3" t="s">
        <v>11</v>
      </c>
      <c r="C1570" s="20" t="s">
        <v>368</v>
      </c>
      <c r="D1570" s="21"/>
    </row>
    <row r="1571" spans="1:4" ht="12.75" customHeight="1" x14ac:dyDescent="0.2">
      <c r="A1571" s="21"/>
      <c r="B1571" s="3" t="s">
        <v>16</v>
      </c>
      <c r="C1571" s="20"/>
      <c r="D1571" s="21"/>
    </row>
    <row r="1572" spans="1:4" ht="12.75" customHeight="1" x14ac:dyDescent="0.2">
      <c r="A1572" s="21"/>
      <c r="B1572" s="3" t="s">
        <v>17</v>
      </c>
      <c r="C1572" s="20" t="s">
        <v>19</v>
      </c>
      <c r="D1572" s="21"/>
    </row>
    <row r="1573" spans="1:4" ht="12.75" customHeight="1" x14ac:dyDescent="0.2">
      <c r="A1573" s="21"/>
      <c r="B1573" s="20" t="s">
        <v>18</v>
      </c>
      <c r="C1573" s="4" t="s">
        <v>280</v>
      </c>
      <c r="D1573" s="6" t="str">
        <f>HYPERLINK("javascript:void(0)","fotogén")</f>
        <v>fotogén</v>
      </c>
    </row>
    <row r="1574" spans="1:4" ht="12.75" customHeight="1" x14ac:dyDescent="0.2">
      <c r="A1574" s="21"/>
      <c r="B1574" s="21"/>
      <c r="C1574" s="4" t="s">
        <v>139</v>
      </c>
      <c r="D1574" s="6" t="str">
        <f>HYPERLINK("javascript:void(0)","elemi köpet")</f>
        <v>elemi köpet</v>
      </c>
    </row>
    <row r="1575" spans="1:4" ht="12.75" customHeight="1" x14ac:dyDescent="0.2">
      <c r="A1575" s="21"/>
      <c r="B1575" s="21"/>
      <c r="C1575" s="4" t="s">
        <v>117</v>
      </c>
      <c r="D1575" s="6" t="str">
        <f>HYPERLINK("javascript:void(0)","tudásmorzsa")</f>
        <v>tudásmorzsa</v>
      </c>
    </row>
    <row r="1576" spans="1:4" ht="12.75" customHeight="1" x14ac:dyDescent="0.2">
      <c r="A1576" s="21"/>
      <c r="B1576" s="2"/>
      <c r="C1576" s="2"/>
      <c r="D1576" s="2"/>
    </row>
    <row r="1577" spans="1:4" ht="12.75" customHeight="1" x14ac:dyDescent="0.2">
      <c r="A1577" s="21"/>
      <c r="B1577" s="2"/>
      <c r="C1577" s="2"/>
      <c r="D1577" s="2"/>
    </row>
    <row r="1578" spans="1:4" ht="12.75" customHeight="1" x14ac:dyDescent="0.2">
      <c r="A1578" s="21"/>
      <c r="B1578" s="2"/>
      <c r="C1578" s="2"/>
      <c r="D1578" s="2"/>
    </row>
    <row r="1579" spans="1:4" ht="12.75" customHeight="1" x14ac:dyDescent="0.2">
      <c r="A1579" s="21"/>
      <c r="B1579" s="2"/>
      <c r="C1579" s="2"/>
      <c r="D1579" s="2"/>
    </row>
    <row r="1580" spans="1:4" ht="12.75" customHeight="1" x14ac:dyDescent="0.2">
      <c r="A1580" s="5"/>
      <c r="B1580" s="2"/>
      <c r="C1580" s="2"/>
      <c r="D1580" s="2"/>
    </row>
    <row r="1581" spans="1:4" ht="12.75" customHeight="1" x14ac:dyDescent="0.2">
      <c r="A1581" s="22" t="str">
        <f>HYPERLINK("javascript:void(0)","éjsötét mellvért")</f>
        <v>éjsötét mellvért</v>
      </c>
      <c r="B1581" s="21"/>
      <c r="C1581" s="21"/>
      <c r="D1581" s="21"/>
    </row>
    <row r="1582" spans="1:4" ht="12.75" customHeight="1" x14ac:dyDescent="0.2">
      <c r="A1582" s="20"/>
      <c r="B1582" s="2"/>
      <c r="C1582" s="2"/>
      <c r="D1582" s="2"/>
    </row>
    <row r="1583" spans="1:4" ht="12.75" customHeight="1" x14ac:dyDescent="0.2">
      <c r="A1583" s="21"/>
      <c r="B1583" s="3" t="s">
        <v>0</v>
      </c>
      <c r="C1583" s="20" t="s">
        <v>245</v>
      </c>
      <c r="D1583" s="21"/>
    </row>
    <row r="1584" spans="1:4" ht="12.75" customHeight="1" x14ac:dyDescent="0.2">
      <c r="A1584" s="21"/>
      <c r="B1584" s="3" t="s">
        <v>2</v>
      </c>
      <c r="C1584" s="20" t="s">
        <v>2322</v>
      </c>
      <c r="D1584" s="21"/>
    </row>
    <row r="1585" spans="1:4" ht="12.75" customHeight="1" x14ac:dyDescent="0.2">
      <c r="A1585" s="21"/>
      <c r="B1585" s="3" t="s">
        <v>1840</v>
      </c>
      <c r="C1585" s="20" t="s">
        <v>543</v>
      </c>
      <c r="D1585" s="21"/>
    </row>
    <row r="1586" spans="1:4" ht="12.75" customHeight="1" x14ac:dyDescent="0.2">
      <c r="A1586" s="21"/>
      <c r="B1586" s="3" t="s">
        <v>9</v>
      </c>
      <c r="C1586" s="20" t="s">
        <v>374</v>
      </c>
      <c r="D1586" s="21"/>
    </row>
    <row r="1587" spans="1:4" ht="12.75" customHeight="1" x14ac:dyDescent="0.2">
      <c r="A1587" s="21"/>
      <c r="B1587" s="3" t="s">
        <v>11</v>
      </c>
      <c r="C1587" s="20" t="s">
        <v>779</v>
      </c>
      <c r="D1587" s="21"/>
    </row>
    <row r="1588" spans="1:4" ht="12.75" customHeight="1" x14ac:dyDescent="0.2">
      <c r="A1588" s="21"/>
      <c r="B1588" s="3" t="s">
        <v>16</v>
      </c>
      <c r="C1588" s="20"/>
      <c r="D1588" s="21"/>
    </row>
    <row r="1589" spans="1:4" ht="12.75" customHeight="1" x14ac:dyDescent="0.2">
      <c r="A1589" s="21"/>
      <c r="B1589" s="3" t="s">
        <v>17</v>
      </c>
      <c r="C1589" s="20" t="s">
        <v>19</v>
      </c>
      <c r="D1589" s="21"/>
    </row>
    <row r="1590" spans="1:4" ht="12.75" customHeight="1" x14ac:dyDescent="0.2">
      <c r="A1590" s="21"/>
      <c r="B1590" s="20" t="s">
        <v>18</v>
      </c>
      <c r="C1590" s="4" t="s">
        <v>44</v>
      </c>
      <c r="D1590" s="6" t="str">
        <f>HYPERLINK("javascript:void(0)","hypnoacél mellvért")</f>
        <v>hypnoacél mellvért</v>
      </c>
    </row>
    <row r="1591" spans="1:4" ht="12.75" customHeight="1" x14ac:dyDescent="0.2">
      <c r="A1591" s="21"/>
      <c r="B1591" s="21"/>
      <c r="C1591" s="4" t="s">
        <v>68</v>
      </c>
      <c r="D1591" s="6" t="str">
        <f>HYPERLINK("javascript:void(0)","éjfény")</f>
        <v>éjfény</v>
      </c>
    </row>
    <row r="1592" spans="1:4" ht="12.75" customHeight="1" x14ac:dyDescent="0.2">
      <c r="A1592" s="21"/>
      <c r="B1592" s="21"/>
      <c r="C1592" s="4" t="s">
        <v>117</v>
      </c>
      <c r="D1592" s="6" t="str">
        <f>HYPERLINK("javascript:void(0)","tudásmorzsa")</f>
        <v>tudásmorzsa</v>
      </c>
    </row>
    <row r="1593" spans="1:4" ht="12.75" customHeight="1" x14ac:dyDescent="0.2">
      <c r="A1593" s="21"/>
      <c r="B1593" s="2"/>
      <c r="C1593" s="2"/>
      <c r="D1593" s="2"/>
    </row>
    <row r="1594" spans="1:4" ht="12.75" customHeight="1" x14ac:dyDescent="0.2">
      <c r="A1594" s="21"/>
      <c r="B1594" s="2"/>
      <c r="C1594" s="2"/>
      <c r="D1594" s="2"/>
    </row>
    <row r="1595" spans="1:4" ht="12.75" customHeight="1" x14ac:dyDescent="0.2">
      <c r="A1595" s="21"/>
      <c r="B1595" s="2"/>
      <c r="C1595" s="2"/>
      <c r="D1595" s="2"/>
    </row>
    <row r="1596" spans="1:4" ht="12.75" customHeight="1" x14ac:dyDescent="0.2">
      <c r="A1596" s="21"/>
      <c r="B1596" s="2"/>
      <c r="C1596" s="2"/>
      <c r="D1596" s="2"/>
    </row>
    <row r="1597" spans="1:4" ht="12.75" customHeight="1" x14ac:dyDescent="0.2">
      <c r="A1597" s="5"/>
      <c r="B1597" s="2"/>
      <c r="C1597" s="2"/>
      <c r="D1597" s="2"/>
    </row>
    <row r="1598" spans="1:4" ht="12.75" customHeight="1" x14ac:dyDescent="0.2">
      <c r="A1598" s="22" t="str">
        <f>HYPERLINK("javascript:void(0)","inverz mellvért")</f>
        <v>inverz mellvért</v>
      </c>
      <c r="B1598" s="21"/>
      <c r="C1598" s="21"/>
      <c r="D1598" s="21"/>
    </row>
    <row r="1599" spans="1:4" ht="12.75" customHeight="1" x14ac:dyDescent="0.2">
      <c r="A1599" s="20"/>
      <c r="B1599" s="2"/>
      <c r="C1599" s="2"/>
      <c r="D1599" s="2"/>
    </row>
    <row r="1600" spans="1:4" ht="12.75" customHeight="1" x14ac:dyDescent="0.2">
      <c r="A1600" s="21"/>
      <c r="B1600" s="3" t="s">
        <v>0</v>
      </c>
      <c r="C1600" s="20" t="s">
        <v>671</v>
      </c>
      <c r="D1600" s="21"/>
    </row>
    <row r="1601" spans="1:4" ht="12.75" customHeight="1" x14ac:dyDescent="0.2">
      <c r="A1601" s="21"/>
      <c r="B1601" s="3" t="s">
        <v>2</v>
      </c>
      <c r="C1601" s="20" t="s">
        <v>2322</v>
      </c>
      <c r="D1601" s="21"/>
    </row>
    <row r="1602" spans="1:4" ht="12.75" customHeight="1" x14ac:dyDescent="0.2">
      <c r="A1602" s="21"/>
      <c r="B1602" s="3" t="s">
        <v>1840</v>
      </c>
      <c r="C1602" s="20" t="s">
        <v>2437</v>
      </c>
      <c r="D1602" s="21"/>
    </row>
    <row r="1603" spans="1:4" ht="12.75" customHeight="1" x14ac:dyDescent="0.2">
      <c r="A1603" s="21"/>
      <c r="B1603" s="3" t="s">
        <v>9</v>
      </c>
      <c r="C1603" s="20" t="s">
        <v>124</v>
      </c>
      <c r="D1603" s="21"/>
    </row>
    <row r="1604" spans="1:4" ht="12.75" customHeight="1" x14ac:dyDescent="0.2">
      <c r="A1604" s="21"/>
      <c r="B1604" s="3" t="s">
        <v>11</v>
      </c>
      <c r="C1604" s="20" t="s">
        <v>793</v>
      </c>
      <c r="D1604" s="21"/>
    </row>
    <row r="1605" spans="1:4" ht="12.75" customHeight="1" x14ac:dyDescent="0.2">
      <c r="A1605" s="21"/>
      <c r="B1605" s="3" t="s">
        <v>16</v>
      </c>
      <c r="C1605" s="20"/>
      <c r="D1605" s="21"/>
    </row>
    <row r="1606" spans="1:4" ht="12.75" customHeight="1" x14ac:dyDescent="0.2">
      <c r="A1606" s="21"/>
      <c r="B1606" s="3" t="s">
        <v>17</v>
      </c>
      <c r="C1606" s="20" t="s">
        <v>19</v>
      </c>
      <c r="D1606" s="21"/>
    </row>
    <row r="1607" spans="1:4" ht="12.75" customHeight="1" x14ac:dyDescent="0.2">
      <c r="A1607" s="21"/>
      <c r="B1607" s="20" t="s">
        <v>18</v>
      </c>
      <c r="C1607" s="4" t="s">
        <v>68</v>
      </c>
      <c r="D1607" s="6" t="str">
        <f>HYPERLINK("javascript:void(0)","negatívum")</f>
        <v>negatívum</v>
      </c>
    </row>
    <row r="1608" spans="1:4" ht="12.75" customHeight="1" x14ac:dyDescent="0.2">
      <c r="A1608" s="21"/>
      <c r="B1608" s="21"/>
      <c r="C1608" s="4" t="s">
        <v>756</v>
      </c>
      <c r="D1608" s="6" t="str">
        <f>HYPERLINK("javascript:void(0)","ragya")</f>
        <v>ragya</v>
      </c>
    </row>
    <row r="1609" spans="1:4" ht="12.75" customHeight="1" x14ac:dyDescent="0.2">
      <c r="A1609" s="21"/>
      <c r="B1609" s="21"/>
      <c r="C1609" s="4" t="s">
        <v>98</v>
      </c>
      <c r="D1609" s="6" t="str">
        <f>HYPERLINK("javascript:void(0)","vasorr")</f>
        <v>vasorr</v>
      </c>
    </row>
    <row r="1610" spans="1:4" ht="12.75" customHeight="1" x14ac:dyDescent="0.2">
      <c r="A1610" s="21"/>
      <c r="B1610" s="2"/>
      <c r="C1610" s="2"/>
      <c r="D1610" s="2"/>
    </row>
    <row r="1611" spans="1:4" ht="12.75" customHeight="1" x14ac:dyDescent="0.2">
      <c r="A1611" s="21"/>
      <c r="B1611" s="2"/>
      <c r="C1611" s="2"/>
      <c r="D1611" s="2"/>
    </row>
    <row r="1612" spans="1:4" ht="12.75" customHeight="1" x14ac:dyDescent="0.2">
      <c r="A1612" s="21"/>
      <c r="B1612" s="2"/>
      <c r="C1612" s="2"/>
      <c r="D1612" s="2"/>
    </row>
    <row r="1613" spans="1:4" ht="12.75" customHeight="1" x14ac:dyDescent="0.2">
      <c r="A1613" s="21"/>
      <c r="B1613" s="2"/>
      <c r="C1613" s="2"/>
      <c r="D1613" s="2"/>
    </row>
    <row r="1614" spans="1:4" ht="12.75" customHeight="1" x14ac:dyDescent="0.2">
      <c r="A1614" s="5"/>
      <c r="B1614" s="2"/>
      <c r="C1614" s="2"/>
      <c r="D1614" s="2"/>
    </row>
    <row r="1615" spans="1:4" ht="12.75" customHeight="1" x14ac:dyDescent="0.2">
      <c r="A1615" s="22" t="str">
        <f>HYPERLINK("javascript:void(0)","fényes talp")</f>
        <v>fényes talp</v>
      </c>
      <c r="B1615" s="21"/>
      <c r="C1615" s="21"/>
      <c r="D1615" s="21"/>
    </row>
    <row r="1616" spans="1:4" ht="12.75" customHeight="1" x14ac:dyDescent="0.2">
      <c r="A1616" s="20"/>
      <c r="B1616" s="2"/>
      <c r="C1616" s="2"/>
      <c r="D1616" s="2"/>
    </row>
    <row r="1617" spans="1:4" ht="12.75" customHeight="1" x14ac:dyDescent="0.2">
      <c r="A1617" s="21"/>
      <c r="B1617" s="3" t="s">
        <v>0</v>
      </c>
      <c r="C1617" s="20" t="s">
        <v>671</v>
      </c>
      <c r="D1617" s="21"/>
    </row>
    <row r="1618" spans="1:4" ht="12.75" customHeight="1" x14ac:dyDescent="0.2">
      <c r="A1618" s="21"/>
      <c r="B1618" s="3" t="s">
        <v>2</v>
      </c>
      <c r="C1618" s="20" t="s">
        <v>2322</v>
      </c>
      <c r="D1618" s="21"/>
    </row>
    <row r="1619" spans="1:4" ht="12.75" customHeight="1" x14ac:dyDescent="0.2">
      <c r="A1619" s="21"/>
      <c r="B1619" s="3" t="s">
        <v>1840</v>
      </c>
      <c r="C1619" s="20" t="s">
        <v>52</v>
      </c>
      <c r="D1619" s="21"/>
    </row>
    <row r="1620" spans="1:4" ht="12.75" customHeight="1" x14ac:dyDescent="0.2">
      <c r="A1620" s="21"/>
      <c r="B1620" s="3" t="s">
        <v>9</v>
      </c>
      <c r="C1620" s="20" t="s">
        <v>42</v>
      </c>
      <c r="D1620" s="21"/>
    </row>
    <row r="1621" spans="1:4" ht="12.75" customHeight="1" x14ac:dyDescent="0.2">
      <c r="A1621" s="21"/>
      <c r="B1621" s="3" t="s">
        <v>11</v>
      </c>
      <c r="C1621" s="20" t="s">
        <v>368</v>
      </c>
      <c r="D1621" s="21"/>
    </row>
    <row r="1622" spans="1:4" ht="12.75" customHeight="1" x14ac:dyDescent="0.2">
      <c r="A1622" s="21"/>
      <c r="B1622" s="3" t="s">
        <v>16</v>
      </c>
      <c r="C1622" s="20"/>
      <c r="D1622" s="21"/>
    </row>
    <row r="1623" spans="1:4" ht="12.75" customHeight="1" x14ac:dyDescent="0.2">
      <c r="A1623" s="21"/>
      <c r="B1623" s="3" t="s">
        <v>17</v>
      </c>
      <c r="C1623" s="20" t="s">
        <v>19</v>
      </c>
      <c r="D1623" s="21"/>
    </row>
    <row r="1624" spans="1:4" ht="12.75" customHeight="1" x14ac:dyDescent="0.2">
      <c r="A1624" s="21"/>
      <c r="B1624" s="20" t="s">
        <v>18</v>
      </c>
      <c r="C1624" s="4" t="s">
        <v>77</v>
      </c>
      <c r="D1624" s="6" t="str">
        <f>HYPERLINK("javascript:void(0)","lux")</f>
        <v>lux</v>
      </c>
    </row>
    <row r="1625" spans="1:4" ht="12.75" customHeight="1" x14ac:dyDescent="0.2">
      <c r="A1625" s="21"/>
      <c r="B1625" s="21"/>
      <c r="C1625" s="4" t="s">
        <v>67</v>
      </c>
      <c r="D1625" s="6" t="str">
        <f>HYPERLINK("javascript:void(0)","istenpenge")</f>
        <v>istenpenge</v>
      </c>
    </row>
    <row r="1626" spans="1:4" ht="12.75" customHeight="1" x14ac:dyDescent="0.2">
      <c r="A1626" s="21"/>
      <c r="B1626" s="21"/>
      <c r="C1626" s="4" t="s">
        <v>130</v>
      </c>
      <c r="D1626" s="6" t="str">
        <f>HYPERLINK("javascript:void(0)","nukleon")</f>
        <v>nukleon</v>
      </c>
    </row>
    <row r="1627" spans="1:4" ht="12.75" customHeight="1" x14ac:dyDescent="0.2">
      <c r="A1627" s="21"/>
      <c r="B1627" s="2"/>
      <c r="C1627" s="2"/>
      <c r="D1627" s="2"/>
    </row>
    <row r="1628" spans="1:4" ht="12.75" customHeight="1" x14ac:dyDescent="0.2">
      <c r="A1628" s="21"/>
      <c r="B1628" s="2"/>
      <c r="C1628" s="2"/>
      <c r="D1628" s="2"/>
    </row>
    <row r="1629" spans="1:4" ht="12.75" customHeight="1" x14ac:dyDescent="0.2">
      <c r="A1629" s="21"/>
      <c r="B1629" s="2"/>
      <c r="C1629" s="2"/>
      <c r="D1629" s="2"/>
    </row>
    <row r="1630" spans="1:4" ht="12.75" customHeight="1" x14ac:dyDescent="0.2">
      <c r="A1630" s="21"/>
      <c r="B1630" s="2"/>
      <c r="C1630" s="2"/>
      <c r="D1630" s="2"/>
    </row>
    <row r="1631" spans="1:4" ht="12.75" customHeight="1" x14ac:dyDescent="0.2">
      <c r="A1631" s="5"/>
      <c r="B1631" s="2"/>
      <c r="C1631" s="2"/>
      <c r="D1631" s="2"/>
    </row>
    <row r="1632" spans="1:4" ht="12.75" customHeight="1" x14ac:dyDescent="0.2">
      <c r="A1632" s="22" t="str">
        <f>HYPERLINK("javascript:void(0)","szőrmente")</f>
        <v>szőrmente</v>
      </c>
      <c r="B1632" s="21"/>
      <c r="C1632" s="21"/>
      <c r="D1632" s="21"/>
    </row>
    <row r="1633" spans="1:4" ht="12.75" customHeight="1" x14ac:dyDescent="0.2">
      <c r="A1633" s="20"/>
      <c r="B1633" s="2"/>
      <c r="C1633" s="2"/>
      <c r="D1633" s="2"/>
    </row>
    <row r="1634" spans="1:4" ht="12.75" customHeight="1" x14ac:dyDescent="0.2">
      <c r="A1634" s="21"/>
      <c r="B1634" s="3" t="s">
        <v>0</v>
      </c>
      <c r="C1634" s="20" t="s">
        <v>65</v>
      </c>
      <c r="D1634" s="21"/>
    </row>
    <row r="1635" spans="1:4" ht="12.75" customHeight="1" x14ac:dyDescent="0.2">
      <c r="A1635" s="21"/>
      <c r="B1635" s="3" t="s">
        <v>2</v>
      </c>
      <c r="C1635" s="20" t="s">
        <v>2322</v>
      </c>
      <c r="D1635" s="21"/>
    </row>
    <row r="1636" spans="1:4" ht="12.75" customHeight="1" x14ac:dyDescent="0.2">
      <c r="A1636" s="21"/>
      <c r="B1636" s="3" t="s">
        <v>1840</v>
      </c>
      <c r="C1636" s="20" t="s">
        <v>2453</v>
      </c>
      <c r="D1636" s="21"/>
    </row>
    <row r="1637" spans="1:4" ht="12.75" customHeight="1" x14ac:dyDescent="0.2">
      <c r="A1637" s="21"/>
      <c r="B1637" s="3" t="s">
        <v>9</v>
      </c>
      <c r="C1637" s="20" t="s">
        <v>441</v>
      </c>
      <c r="D1637" s="21"/>
    </row>
    <row r="1638" spans="1:4" ht="12.75" customHeight="1" x14ac:dyDescent="0.2">
      <c r="A1638" s="21"/>
      <c r="B1638" s="3" t="s">
        <v>11</v>
      </c>
      <c r="C1638" s="20" t="s">
        <v>817</v>
      </c>
      <c r="D1638" s="21"/>
    </row>
    <row r="1639" spans="1:4" ht="12.75" customHeight="1" x14ac:dyDescent="0.2">
      <c r="A1639" s="21"/>
      <c r="B1639" s="3" t="s">
        <v>16</v>
      </c>
      <c r="C1639" s="20"/>
      <c r="D1639" s="21"/>
    </row>
    <row r="1640" spans="1:4" ht="12.75" customHeight="1" x14ac:dyDescent="0.2">
      <c r="A1640" s="21"/>
      <c r="B1640" s="3" t="s">
        <v>17</v>
      </c>
      <c r="C1640" s="20" t="s">
        <v>19</v>
      </c>
      <c r="D1640" s="21"/>
    </row>
    <row r="1641" spans="1:4" ht="12.75" customHeight="1" x14ac:dyDescent="0.2">
      <c r="A1641" s="21"/>
      <c r="B1641" s="20" t="s">
        <v>18</v>
      </c>
      <c r="C1641" s="4" t="s">
        <v>44</v>
      </c>
      <c r="D1641" s="6" t="str">
        <f>HYPERLINK("javascript:void(0)","éjsötét mellvért")</f>
        <v>éjsötét mellvért</v>
      </c>
    </row>
    <row r="1642" spans="1:4" ht="12.75" customHeight="1" x14ac:dyDescent="0.2">
      <c r="A1642" s="21"/>
      <c r="B1642" s="21"/>
      <c r="C1642" s="4" t="s">
        <v>44</v>
      </c>
      <c r="D1642" s="6" t="str">
        <f>HYPERLINK("javascript:void(0)","inverz mellvért")</f>
        <v>inverz mellvért</v>
      </c>
    </row>
    <row r="1643" spans="1:4" ht="12.75" customHeight="1" x14ac:dyDescent="0.2">
      <c r="A1643" s="21"/>
      <c r="B1643" s="21"/>
      <c r="C1643" s="4" t="s">
        <v>44</v>
      </c>
      <c r="D1643" s="6" t="str">
        <f>HYPERLINK("javascript:void(0)","bundabélés")</f>
        <v>bundabélés</v>
      </c>
    </row>
    <row r="1644" spans="1:4" ht="12.75" customHeight="1" x14ac:dyDescent="0.2">
      <c r="A1644" s="21"/>
      <c r="B1644" s="2"/>
      <c r="C1644" s="2"/>
      <c r="D1644" s="2"/>
    </row>
    <row r="1645" spans="1:4" ht="12.75" customHeight="1" x14ac:dyDescent="0.2">
      <c r="A1645" s="21"/>
      <c r="B1645" s="2"/>
      <c r="C1645" s="2"/>
      <c r="D1645" s="2"/>
    </row>
    <row r="1646" spans="1:4" ht="12.75" customHeight="1" x14ac:dyDescent="0.2">
      <c r="A1646" s="21"/>
      <c r="B1646" s="2"/>
      <c r="C1646" s="2"/>
      <c r="D1646" s="2"/>
    </row>
    <row r="1647" spans="1:4" ht="12.75" customHeight="1" x14ac:dyDescent="0.2">
      <c r="A1647" s="21"/>
      <c r="B1647" s="2"/>
      <c r="C1647" s="2"/>
      <c r="D1647" s="2"/>
    </row>
    <row r="1648" spans="1:4" ht="12.75" customHeight="1" x14ac:dyDescent="0.2">
      <c r="A1648" s="5"/>
      <c r="B1648" s="2"/>
      <c r="C1648" s="2"/>
      <c r="D1648" s="2"/>
    </row>
    <row r="1649" spans="1:4" ht="12.75" customHeight="1" x14ac:dyDescent="0.2">
      <c r="A1649" s="22" t="str">
        <f>HYPERLINK("javascript:void(0)","csillámló démonpáncél")</f>
        <v>csillámló démonpáncél</v>
      </c>
      <c r="B1649" s="21"/>
      <c r="C1649" s="21"/>
      <c r="D1649" s="21"/>
    </row>
    <row r="1650" spans="1:4" ht="12.75" customHeight="1" x14ac:dyDescent="0.2">
      <c r="A1650" s="20"/>
      <c r="B1650" s="2"/>
      <c r="C1650" s="2"/>
      <c r="D1650" s="2"/>
    </row>
    <row r="1651" spans="1:4" ht="12.75" customHeight="1" x14ac:dyDescent="0.2">
      <c r="A1651" s="21"/>
      <c r="B1651" s="3" t="s">
        <v>0</v>
      </c>
      <c r="C1651" s="20" t="s">
        <v>65</v>
      </c>
      <c r="D1651" s="21"/>
    </row>
    <row r="1652" spans="1:4" ht="12.75" customHeight="1" x14ac:dyDescent="0.2">
      <c r="A1652" s="21"/>
      <c r="B1652" s="3" t="s">
        <v>2</v>
      </c>
      <c r="C1652" s="20" t="s">
        <v>2322</v>
      </c>
      <c r="D1652" s="21"/>
    </row>
    <row r="1653" spans="1:4" ht="12.75" customHeight="1" x14ac:dyDescent="0.2">
      <c r="A1653" s="21"/>
      <c r="B1653" s="3" t="s">
        <v>1840</v>
      </c>
      <c r="C1653" s="20" t="s">
        <v>2454</v>
      </c>
      <c r="D1653" s="21"/>
    </row>
    <row r="1654" spans="1:4" ht="12.75" customHeight="1" x14ac:dyDescent="0.2">
      <c r="A1654" s="21"/>
      <c r="B1654" s="3" t="s">
        <v>9</v>
      </c>
      <c r="C1654" s="20" t="s">
        <v>2455</v>
      </c>
      <c r="D1654" s="21"/>
    </row>
    <row r="1655" spans="1:4" ht="12.75" customHeight="1" x14ac:dyDescent="0.2">
      <c r="A1655" s="21"/>
      <c r="B1655" s="3" t="s">
        <v>11</v>
      </c>
      <c r="C1655" s="20" t="s">
        <v>817</v>
      </c>
      <c r="D1655" s="21"/>
    </row>
    <row r="1656" spans="1:4" ht="12.75" customHeight="1" x14ac:dyDescent="0.2">
      <c r="A1656" s="21"/>
      <c r="B1656" s="3" t="s">
        <v>16</v>
      </c>
      <c r="C1656" s="20"/>
      <c r="D1656" s="21"/>
    </row>
    <row r="1657" spans="1:4" ht="12.75" customHeight="1" x14ac:dyDescent="0.2">
      <c r="A1657" s="21"/>
      <c r="B1657" s="3" t="s">
        <v>17</v>
      </c>
      <c r="C1657" s="20" t="s">
        <v>19</v>
      </c>
      <c r="D1657" s="21"/>
    </row>
    <row r="1658" spans="1:4" ht="12.75" customHeight="1" x14ac:dyDescent="0.2">
      <c r="A1658" s="21"/>
      <c r="B1658" s="20" t="s">
        <v>18</v>
      </c>
      <c r="C1658" s="4" t="s">
        <v>57</v>
      </c>
      <c r="D1658" s="6" t="str">
        <f>HYPERLINK("javascript:void(0)","csillámgöb")</f>
        <v>csillámgöb</v>
      </c>
    </row>
    <row r="1659" spans="1:4" ht="12.75" customHeight="1" x14ac:dyDescent="0.2">
      <c r="A1659" s="21"/>
      <c r="B1659" s="21"/>
      <c r="C1659" s="4" t="s">
        <v>44</v>
      </c>
      <c r="D1659" s="6" t="str">
        <f>HYPERLINK("javascript:void(0)","csillámló elfpáncél")</f>
        <v>csillámló elfpáncél</v>
      </c>
    </row>
    <row r="1660" spans="1:4" ht="12.75" customHeight="1" x14ac:dyDescent="0.2">
      <c r="A1660" s="21"/>
      <c r="B1660" s="21"/>
      <c r="C1660" s="4" t="s">
        <v>296</v>
      </c>
      <c r="D1660" s="6" t="str">
        <f>HYPERLINK("javascript:void(0)","mágnes")</f>
        <v>mágnes</v>
      </c>
    </row>
    <row r="1661" spans="1:4" ht="12.75" customHeight="1" x14ac:dyDescent="0.2">
      <c r="A1661" s="21"/>
      <c r="B1661" s="2"/>
      <c r="C1661" s="2"/>
      <c r="D1661" s="2"/>
    </row>
    <row r="1662" spans="1:4" ht="12.75" customHeight="1" x14ac:dyDescent="0.2">
      <c r="A1662" s="21"/>
      <c r="B1662" s="2"/>
      <c r="C1662" s="2"/>
      <c r="D1662" s="2"/>
    </row>
    <row r="1663" spans="1:4" ht="12.75" customHeight="1" x14ac:dyDescent="0.2">
      <c r="A1663" s="21"/>
      <c r="B1663" s="2"/>
      <c r="C1663" s="2"/>
      <c r="D1663" s="2"/>
    </row>
    <row r="1664" spans="1:4" ht="12.75" customHeight="1" x14ac:dyDescent="0.2">
      <c r="A1664" s="21"/>
      <c r="B1664" s="2"/>
      <c r="C1664" s="2"/>
      <c r="D1664" s="2"/>
    </row>
    <row r="1665" spans="1:4" ht="12.75" customHeight="1" x14ac:dyDescent="0.2">
      <c r="A1665" s="5"/>
      <c r="B1665" s="2"/>
      <c r="C1665" s="2"/>
      <c r="D1665" s="2"/>
    </row>
    <row r="1666" spans="1:4" ht="12.75" customHeight="1" x14ac:dyDescent="0.2">
      <c r="A1666" s="22" t="str">
        <f>HYPERLINK("javascript:void(0)","teljes rézvért")</f>
        <v>teljes rézvért</v>
      </c>
      <c r="B1666" s="21"/>
      <c r="C1666" s="21"/>
      <c r="D1666" s="21"/>
    </row>
    <row r="1667" spans="1:4" ht="12.75" customHeight="1" x14ac:dyDescent="0.2">
      <c r="A1667" s="20"/>
      <c r="B1667" s="2"/>
      <c r="C1667" s="2"/>
      <c r="D1667" s="2"/>
    </row>
    <row r="1668" spans="1:4" ht="12.75" customHeight="1" x14ac:dyDescent="0.2">
      <c r="A1668" s="21"/>
      <c r="B1668" s="3" t="s">
        <v>0</v>
      </c>
      <c r="C1668" s="20" t="s">
        <v>680</v>
      </c>
      <c r="D1668" s="21"/>
    </row>
    <row r="1669" spans="1:4" ht="12.75" customHeight="1" x14ac:dyDescent="0.2">
      <c r="A1669" s="21"/>
      <c r="B1669" s="3" t="s">
        <v>2</v>
      </c>
      <c r="C1669" s="20" t="s">
        <v>2322</v>
      </c>
      <c r="D1669" s="21"/>
    </row>
    <row r="1670" spans="1:4" ht="12.75" customHeight="1" x14ac:dyDescent="0.2">
      <c r="A1670" s="21"/>
      <c r="B1670" s="3" t="s">
        <v>1840</v>
      </c>
      <c r="C1670" s="20" t="s">
        <v>2457</v>
      </c>
      <c r="D1670" s="21"/>
    </row>
    <row r="1671" spans="1:4" ht="12.75" customHeight="1" x14ac:dyDescent="0.2">
      <c r="A1671" s="21"/>
      <c r="B1671" s="3" t="s">
        <v>9</v>
      </c>
      <c r="C1671" s="20" t="s">
        <v>200</v>
      </c>
      <c r="D1671" s="21"/>
    </row>
    <row r="1672" spans="1:4" ht="12.75" customHeight="1" x14ac:dyDescent="0.2">
      <c r="A1672" s="21"/>
      <c r="B1672" s="3" t="s">
        <v>11</v>
      </c>
      <c r="C1672" s="20" t="s">
        <v>835</v>
      </c>
      <c r="D1672" s="21"/>
    </row>
    <row r="1673" spans="1:4" ht="12.75" customHeight="1" x14ac:dyDescent="0.2">
      <c r="A1673" s="21"/>
      <c r="B1673" s="3" t="s">
        <v>16</v>
      </c>
      <c r="C1673" s="20"/>
      <c r="D1673" s="21"/>
    </row>
    <row r="1674" spans="1:4" ht="12.75" customHeight="1" x14ac:dyDescent="0.2">
      <c r="A1674" s="21"/>
      <c r="B1674" s="3" t="s">
        <v>17</v>
      </c>
      <c r="C1674" s="20" t="s">
        <v>19</v>
      </c>
      <c r="D1674" s="21"/>
    </row>
    <row r="1675" spans="1:4" ht="12.75" customHeight="1" x14ac:dyDescent="0.2">
      <c r="A1675" s="21"/>
      <c r="B1675" s="20" t="s">
        <v>18</v>
      </c>
      <c r="C1675" s="4" t="s">
        <v>44</v>
      </c>
      <c r="D1675" s="6" t="str">
        <f>HYPERLINK("javascript:void(0)","szőrmente")</f>
        <v>szőrmente</v>
      </c>
    </row>
    <row r="1676" spans="1:4" ht="12.75" customHeight="1" x14ac:dyDescent="0.2">
      <c r="A1676" s="21"/>
      <c r="B1676" s="21"/>
      <c r="C1676" s="4" t="s">
        <v>68</v>
      </c>
      <c r="D1676" s="6" t="str">
        <f>HYPERLINK("javascript:void(0)","fúrófej")</f>
        <v>fúrófej</v>
      </c>
    </row>
    <row r="1677" spans="1:4" ht="12.75" customHeight="1" x14ac:dyDescent="0.2">
      <c r="A1677" s="21"/>
      <c r="B1677" s="21"/>
      <c r="C1677" s="4" t="s">
        <v>68</v>
      </c>
      <c r="D1677" s="6" t="str">
        <f>HYPERLINK("javascript:void(0)","rézrög")</f>
        <v>rézrög</v>
      </c>
    </row>
    <row r="1678" spans="1:4" ht="12.75" customHeight="1" x14ac:dyDescent="0.2">
      <c r="A1678" s="21"/>
      <c r="B1678" s="2"/>
      <c r="C1678" s="2"/>
      <c r="D1678" s="2"/>
    </row>
    <row r="1679" spans="1:4" ht="12.75" customHeight="1" x14ac:dyDescent="0.2">
      <c r="A1679" s="21"/>
      <c r="B1679" s="2"/>
      <c r="C1679" s="2"/>
      <c r="D1679" s="2"/>
    </row>
    <row r="1680" spans="1:4" ht="12.75" customHeight="1" x14ac:dyDescent="0.2">
      <c r="A1680" s="21"/>
      <c r="B1680" s="2"/>
      <c r="C1680" s="2"/>
      <c r="D1680" s="2"/>
    </row>
    <row r="1681" spans="1:4" ht="12.75" customHeight="1" x14ac:dyDescent="0.2">
      <c r="A1681" s="21"/>
      <c r="B1681" s="2"/>
      <c r="C1681" s="2"/>
      <c r="D1681" s="2"/>
    </row>
    <row r="1682" spans="1:4" ht="12.75" customHeight="1" x14ac:dyDescent="0.2">
      <c r="A1682" s="5"/>
      <c r="B1682" s="2"/>
      <c r="C1682" s="2"/>
      <c r="D1682" s="2"/>
    </row>
    <row r="1683" spans="1:4" ht="12.75" customHeight="1" x14ac:dyDescent="0.2">
      <c r="A1683" s="22" t="str">
        <f>HYPERLINK("javascript:void(0)","fényes rostély")</f>
        <v>fényes rostély</v>
      </c>
      <c r="B1683" s="21"/>
      <c r="C1683" s="21"/>
      <c r="D1683" s="21"/>
    </row>
    <row r="1684" spans="1:4" ht="12.75" customHeight="1" x14ac:dyDescent="0.2">
      <c r="A1684" s="20"/>
      <c r="B1684" s="2"/>
      <c r="C1684" s="2"/>
      <c r="D1684" s="2"/>
    </row>
    <row r="1685" spans="1:4" ht="12.75" customHeight="1" x14ac:dyDescent="0.2">
      <c r="A1685" s="21"/>
      <c r="B1685" s="3" t="s">
        <v>0</v>
      </c>
      <c r="C1685" s="20" t="s">
        <v>680</v>
      </c>
      <c r="D1685" s="21"/>
    </row>
    <row r="1686" spans="1:4" ht="12.75" customHeight="1" x14ac:dyDescent="0.2">
      <c r="A1686" s="21"/>
      <c r="B1686" s="3" t="s">
        <v>2</v>
      </c>
      <c r="C1686" s="20" t="s">
        <v>2322</v>
      </c>
      <c r="D1686" s="21"/>
    </row>
    <row r="1687" spans="1:4" ht="12.75" customHeight="1" x14ac:dyDescent="0.2">
      <c r="A1687" s="21"/>
      <c r="B1687" s="3" t="s">
        <v>1840</v>
      </c>
      <c r="C1687" s="20" t="s">
        <v>52</v>
      </c>
      <c r="D1687" s="21"/>
    </row>
    <row r="1688" spans="1:4" ht="12.75" customHeight="1" x14ac:dyDescent="0.2">
      <c r="A1688" s="21"/>
      <c r="B1688" s="3" t="s">
        <v>9</v>
      </c>
      <c r="C1688" s="20" t="s">
        <v>42</v>
      </c>
      <c r="D1688" s="21"/>
    </row>
    <row r="1689" spans="1:4" ht="12.75" customHeight="1" x14ac:dyDescent="0.2">
      <c r="A1689" s="21"/>
      <c r="B1689" s="3" t="s">
        <v>11</v>
      </c>
      <c r="C1689" s="20" t="s">
        <v>368</v>
      </c>
      <c r="D1689" s="21"/>
    </row>
    <row r="1690" spans="1:4" ht="12.75" customHeight="1" x14ac:dyDescent="0.2">
      <c r="A1690" s="21"/>
      <c r="B1690" s="3" t="s">
        <v>16</v>
      </c>
      <c r="C1690" s="20"/>
      <c r="D1690" s="21"/>
    </row>
    <row r="1691" spans="1:4" ht="12.75" customHeight="1" x14ac:dyDescent="0.2">
      <c r="A1691" s="21"/>
      <c r="B1691" s="3" t="s">
        <v>17</v>
      </c>
      <c r="C1691" s="20" t="s">
        <v>19</v>
      </c>
      <c r="D1691" s="21"/>
    </row>
    <row r="1692" spans="1:4" ht="12.75" customHeight="1" x14ac:dyDescent="0.2">
      <c r="A1692" s="21"/>
      <c r="B1692" s="20" t="s">
        <v>18</v>
      </c>
      <c r="C1692" s="4" t="s">
        <v>77</v>
      </c>
      <c r="D1692" s="6" t="str">
        <f>HYPERLINK("javascript:void(0)","fúrófej")</f>
        <v>fúrófej</v>
      </c>
    </row>
    <row r="1693" spans="1:4" ht="12.75" customHeight="1" x14ac:dyDescent="0.2">
      <c r="A1693" s="21"/>
      <c r="B1693" s="21"/>
      <c r="C1693" s="4" t="s">
        <v>67</v>
      </c>
      <c r="D1693" s="6" t="str">
        <f>HYPERLINK("javascript:void(0)","rúna")</f>
        <v>rúna</v>
      </c>
    </row>
    <row r="1694" spans="1:4" ht="12.75" customHeight="1" x14ac:dyDescent="0.2">
      <c r="A1694" s="21"/>
      <c r="B1694" s="21"/>
      <c r="C1694" s="4" t="s">
        <v>193</v>
      </c>
      <c r="D1694" s="6" t="str">
        <f>HYPERLINK("javascript:void(0)","kispárna")</f>
        <v>kispárna</v>
      </c>
    </row>
    <row r="1695" spans="1:4" ht="12.75" customHeight="1" x14ac:dyDescent="0.2">
      <c r="A1695" s="21"/>
      <c r="B1695" s="2"/>
      <c r="C1695" s="2"/>
      <c r="D1695" s="2"/>
    </row>
    <row r="1696" spans="1:4" ht="12.75" customHeight="1" x14ac:dyDescent="0.2">
      <c r="A1696" s="21"/>
      <c r="B1696" s="2"/>
      <c r="C1696" s="2"/>
      <c r="D1696" s="2"/>
    </row>
    <row r="1697" spans="1:4" ht="12.75" customHeight="1" x14ac:dyDescent="0.2">
      <c r="A1697" s="21"/>
      <c r="B1697" s="2"/>
      <c r="C1697" s="2"/>
      <c r="D1697" s="2"/>
    </row>
    <row r="1698" spans="1:4" ht="12.75" customHeight="1" x14ac:dyDescent="0.2">
      <c r="A1698" s="21"/>
      <c r="B1698" s="2"/>
      <c r="C1698" s="2"/>
      <c r="D1698" s="2"/>
    </row>
    <row r="1699" spans="1:4" ht="12.75" customHeight="1" x14ac:dyDescent="0.2">
      <c r="A1699" s="5"/>
      <c r="B1699" s="2"/>
      <c r="C1699" s="2"/>
      <c r="D1699" s="2"/>
    </row>
    <row r="1700" spans="1:4" ht="12.75" customHeight="1" x14ac:dyDescent="0.2">
      <c r="A1700" s="22" t="str">
        <f>HYPERLINK("javascript:void(0)","teljes bronzvért")</f>
        <v>teljes bronzvért</v>
      </c>
      <c r="B1700" s="21"/>
      <c r="C1700" s="21"/>
      <c r="D1700" s="21"/>
    </row>
    <row r="1701" spans="1:4" ht="12.75" customHeight="1" x14ac:dyDescent="0.2">
      <c r="A1701" s="20"/>
      <c r="B1701" s="2"/>
      <c r="C1701" s="2"/>
      <c r="D1701" s="2"/>
    </row>
    <row r="1702" spans="1:4" ht="12.75" customHeight="1" x14ac:dyDescent="0.2">
      <c r="A1702" s="21"/>
      <c r="B1702" s="3" t="s">
        <v>0</v>
      </c>
      <c r="C1702" s="20" t="s">
        <v>690</v>
      </c>
      <c r="D1702" s="21"/>
    </row>
    <row r="1703" spans="1:4" ht="12.75" customHeight="1" x14ac:dyDescent="0.2">
      <c r="A1703" s="21"/>
      <c r="B1703" s="3" t="s">
        <v>2</v>
      </c>
      <c r="C1703" s="20" t="s">
        <v>2322</v>
      </c>
      <c r="D1703" s="21"/>
    </row>
    <row r="1704" spans="1:4" ht="12.75" customHeight="1" x14ac:dyDescent="0.2">
      <c r="A1704" s="21"/>
      <c r="B1704" s="3" t="s">
        <v>1840</v>
      </c>
      <c r="C1704" s="20" t="s">
        <v>2243</v>
      </c>
      <c r="D1704" s="21"/>
    </row>
    <row r="1705" spans="1:4" ht="12.75" customHeight="1" x14ac:dyDescent="0.2">
      <c r="A1705" s="21"/>
      <c r="B1705" s="3" t="s">
        <v>9</v>
      </c>
      <c r="C1705" s="20" t="s">
        <v>113</v>
      </c>
      <c r="D1705" s="21"/>
    </row>
    <row r="1706" spans="1:4" ht="12.75" customHeight="1" x14ac:dyDescent="0.2">
      <c r="A1706" s="21"/>
      <c r="B1706" s="3" t="s">
        <v>11</v>
      </c>
      <c r="C1706" s="20" t="s">
        <v>856</v>
      </c>
      <c r="D1706" s="21"/>
    </row>
    <row r="1707" spans="1:4" ht="12.75" customHeight="1" x14ac:dyDescent="0.2">
      <c r="A1707" s="21"/>
      <c r="B1707" s="3" t="s">
        <v>16</v>
      </c>
      <c r="C1707" s="20"/>
      <c r="D1707" s="21"/>
    </row>
    <row r="1708" spans="1:4" ht="12.75" customHeight="1" x14ac:dyDescent="0.2">
      <c r="A1708" s="21"/>
      <c r="B1708" s="3" t="s">
        <v>17</v>
      </c>
      <c r="C1708" s="20" t="s">
        <v>19</v>
      </c>
      <c r="D1708" s="21"/>
    </row>
    <row r="1709" spans="1:4" ht="12.75" customHeight="1" x14ac:dyDescent="0.2">
      <c r="A1709" s="21"/>
      <c r="B1709" s="20" t="s">
        <v>18</v>
      </c>
      <c r="C1709" s="4" t="s">
        <v>68</v>
      </c>
      <c r="D1709" s="6" t="str">
        <f>HYPERLINK("javascript:void(0)","hőgolyó")</f>
        <v>hőgolyó</v>
      </c>
    </row>
    <row r="1710" spans="1:4" ht="12.75" customHeight="1" x14ac:dyDescent="0.2">
      <c r="A1710" s="21"/>
      <c r="B1710" s="21"/>
      <c r="C1710" s="4" t="s">
        <v>117</v>
      </c>
      <c r="D1710" s="6" t="str">
        <f>HYPERLINK("javascript:void(0)","negatívum")</f>
        <v>negatívum</v>
      </c>
    </row>
    <row r="1711" spans="1:4" ht="12.75" customHeight="1" x14ac:dyDescent="0.2">
      <c r="A1711" s="21"/>
      <c r="B1711" s="21"/>
      <c r="C1711" s="4" t="s">
        <v>232</v>
      </c>
      <c r="D1711" s="6" t="str">
        <f>HYPERLINK("javascript:void(0)","bronzrög")</f>
        <v>bronzrög</v>
      </c>
    </row>
    <row r="1712" spans="1:4" ht="12.75" customHeight="1" x14ac:dyDescent="0.2">
      <c r="A1712" s="21"/>
      <c r="B1712" s="2"/>
      <c r="C1712" s="2"/>
      <c r="D1712" s="2"/>
    </row>
    <row r="1713" spans="1:4" ht="12.75" customHeight="1" x14ac:dyDescent="0.2">
      <c r="A1713" s="21"/>
      <c r="B1713" s="2"/>
      <c r="C1713" s="2"/>
      <c r="D1713" s="2"/>
    </row>
    <row r="1714" spans="1:4" ht="12.75" customHeight="1" x14ac:dyDescent="0.2">
      <c r="A1714" s="21"/>
      <c r="B1714" s="2"/>
      <c r="C1714" s="2"/>
      <c r="D1714" s="2"/>
    </row>
    <row r="1715" spans="1:4" ht="12.75" customHeight="1" x14ac:dyDescent="0.2">
      <c r="A1715" s="21"/>
      <c r="B1715" s="2"/>
      <c r="C1715" s="2"/>
      <c r="D1715" s="2"/>
    </row>
    <row r="1716" spans="1:4" ht="12.75" customHeight="1" x14ac:dyDescent="0.2">
      <c r="A1716" s="5"/>
      <c r="B1716" s="2"/>
      <c r="C1716" s="2"/>
      <c r="D1716" s="2"/>
    </row>
    <row r="1717" spans="1:4" ht="12.75" customHeight="1" x14ac:dyDescent="0.2">
      <c r="A1717" s="22" t="str">
        <f>HYPERLINK("javascript:void(0)","teljes vasvért")</f>
        <v>teljes vasvért</v>
      </c>
      <c r="B1717" s="21"/>
      <c r="C1717" s="21"/>
      <c r="D1717" s="21"/>
    </row>
    <row r="1718" spans="1:4" ht="12.75" customHeight="1" x14ac:dyDescent="0.2">
      <c r="A1718" s="20"/>
      <c r="B1718" s="2"/>
      <c r="C1718" s="2"/>
      <c r="D1718" s="2"/>
    </row>
    <row r="1719" spans="1:4" ht="12.75" customHeight="1" x14ac:dyDescent="0.2">
      <c r="A1719" s="21"/>
      <c r="B1719" s="3" t="s">
        <v>0</v>
      </c>
      <c r="C1719" s="20" t="s">
        <v>699</v>
      </c>
      <c r="D1719" s="21"/>
    </row>
    <row r="1720" spans="1:4" ht="12.75" customHeight="1" x14ac:dyDescent="0.2">
      <c r="A1720" s="21"/>
      <c r="B1720" s="3" t="s">
        <v>2</v>
      </c>
      <c r="C1720" s="20" t="s">
        <v>2322</v>
      </c>
      <c r="D1720" s="21"/>
    </row>
    <row r="1721" spans="1:4" ht="12.75" customHeight="1" x14ac:dyDescent="0.2">
      <c r="A1721" s="21"/>
      <c r="B1721" s="3" t="s">
        <v>1840</v>
      </c>
      <c r="C1721" s="20" t="s">
        <v>285</v>
      </c>
      <c r="D1721" s="21"/>
    </row>
    <row r="1722" spans="1:4" ht="12.75" customHeight="1" x14ac:dyDescent="0.2">
      <c r="A1722" s="21"/>
      <c r="B1722" s="3" t="s">
        <v>9</v>
      </c>
      <c r="C1722" s="20" t="s">
        <v>233</v>
      </c>
      <c r="D1722" s="21"/>
    </row>
    <row r="1723" spans="1:4" ht="12.75" customHeight="1" x14ac:dyDescent="0.2">
      <c r="A1723" s="21"/>
      <c r="B1723" s="3" t="s">
        <v>11</v>
      </c>
      <c r="C1723" s="20" t="s">
        <v>879</v>
      </c>
      <c r="D1723" s="21"/>
    </row>
    <row r="1724" spans="1:4" ht="12.75" customHeight="1" x14ac:dyDescent="0.2">
      <c r="A1724" s="21"/>
      <c r="B1724" s="3" t="s">
        <v>16</v>
      </c>
      <c r="C1724" s="20"/>
      <c r="D1724" s="21"/>
    </row>
    <row r="1725" spans="1:4" ht="12.75" customHeight="1" x14ac:dyDescent="0.2">
      <c r="A1725" s="21"/>
      <c r="B1725" s="3" t="s">
        <v>17</v>
      </c>
      <c r="C1725" s="20" t="s">
        <v>19</v>
      </c>
      <c r="D1725" s="21"/>
    </row>
    <row r="1726" spans="1:4" ht="12.75" customHeight="1" x14ac:dyDescent="0.2">
      <c r="A1726" s="21"/>
      <c r="B1726" s="20" t="s">
        <v>18</v>
      </c>
      <c r="C1726" s="4" t="s">
        <v>44</v>
      </c>
      <c r="D1726" s="6" t="str">
        <f>HYPERLINK("javascript:void(0)","teljes rézvért")</f>
        <v>teljes rézvért</v>
      </c>
    </row>
    <row r="1727" spans="1:4" ht="12.75" customHeight="1" x14ac:dyDescent="0.2">
      <c r="A1727" s="21"/>
      <c r="B1727" s="21"/>
      <c r="C1727" s="4" t="s">
        <v>44</v>
      </c>
      <c r="D1727" s="6" t="str">
        <f>HYPERLINK("javascript:void(0)","teljes bronzvért")</f>
        <v>teljes bronzvért</v>
      </c>
    </row>
    <row r="1728" spans="1:4" ht="12.75" customHeight="1" x14ac:dyDescent="0.2">
      <c r="A1728" s="21"/>
      <c r="B1728" s="21"/>
      <c r="C1728" s="4" t="s">
        <v>44</v>
      </c>
      <c r="D1728" s="6" t="str">
        <f>HYPERLINK("javascript:void(0)","vas páncéllemez")</f>
        <v>vas páncéllemez</v>
      </c>
    </row>
    <row r="1729" spans="1:4" ht="12.75" customHeight="1" x14ac:dyDescent="0.2">
      <c r="A1729" s="21"/>
      <c r="B1729" s="2"/>
      <c r="C1729" s="2"/>
      <c r="D1729" s="2"/>
    </row>
    <row r="1730" spans="1:4" ht="12.75" customHeight="1" x14ac:dyDescent="0.2">
      <c r="A1730" s="21"/>
      <c r="B1730" s="2"/>
      <c r="C1730" s="2"/>
      <c r="D1730" s="2"/>
    </row>
    <row r="1731" spans="1:4" ht="12.75" customHeight="1" x14ac:dyDescent="0.2">
      <c r="A1731" s="21"/>
      <c r="B1731" s="2"/>
      <c r="C1731" s="2"/>
      <c r="D1731" s="2"/>
    </row>
    <row r="1732" spans="1:4" ht="12.75" customHeight="1" x14ac:dyDescent="0.2">
      <c r="A1732" s="21"/>
      <c r="B1732" s="2"/>
      <c r="C1732" s="2"/>
      <c r="D1732" s="2"/>
    </row>
    <row r="1733" spans="1:4" ht="12.75" customHeight="1" x14ac:dyDescent="0.2">
      <c r="A1733" s="5"/>
      <c r="B1733" s="2"/>
      <c r="C1733" s="2"/>
      <c r="D1733" s="2"/>
    </row>
    <row r="1734" spans="1:4" ht="12.75" customHeight="1" x14ac:dyDescent="0.2">
      <c r="A1734" s="22" t="str">
        <f>HYPERLINK("javascript:void(0)","hypnoacél talp")</f>
        <v>hypnoacél talp</v>
      </c>
      <c r="B1734" s="21"/>
      <c r="C1734" s="21"/>
      <c r="D1734" s="21"/>
    </row>
    <row r="1735" spans="1:4" ht="12.75" customHeight="1" x14ac:dyDescent="0.2">
      <c r="A1735" s="20"/>
      <c r="B1735" s="2"/>
      <c r="C1735" s="2"/>
      <c r="D1735" s="2"/>
    </row>
    <row r="1736" spans="1:4" ht="12.75" customHeight="1" x14ac:dyDescent="0.2">
      <c r="A1736" s="21"/>
      <c r="B1736" s="3" t="s">
        <v>0</v>
      </c>
      <c r="C1736" s="20" t="s">
        <v>699</v>
      </c>
      <c r="D1736" s="21"/>
    </row>
    <row r="1737" spans="1:4" ht="12.75" customHeight="1" x14ac:dyDescent="0.2">
      <c r="A1737" s="21"/>
      <c r="B1737" s="3" t="s">
        <v>2</v>
      </c>
      <c r="C1737" s="20" t="s">
        <v>2322</v>
      </c>
      <c r="D1737" s="21"/>
    </row>
    <row r="1738" spans="1:4" ht="12.75" customHeight="1" x14ac:dyDescent="0.2">
      <c r="A1738" s="21"/>
      <c r="B1738" s="3" t="s">
        <v>1840</v>
      </c>
      <c r="C1738" s="20" t="s">
        <v>417</v>
      </c>
      <c r="D1738" s="21"/>
    </row>
    <row r="1739" spans="1:4" ht="12.75" customHeight="1" x14ac:dyDescent="0.2">
      <c r="A1739" s="21"/>
      <c r="B1739" s="3" t="s">
        <v>9</v>
      </c>
      <c r="C1739" s="20" t="s">
        <v>42</v>
      </c>
      <c r="D1739" s="21"/>
    </row>
    <row r="1740" spans="1:4" ht="12.75" customHeight="1" x14ac:dyDescent="0.2">
      <c r="A1740" s="21"/>
      <c r="B1740" s="3" t="s">
        <v>11</v>
      </c>
      <c r="C1740" s="20" t="s">
        <v>368</v>
      </c>
      <c r="D1740" s="21"/>
    </row>
    <row r="1741" spans="1:4" ht="12.75" customHeight="1" x14ac:dyDescent="0.2">
      <c r="A1741" s="21"/>
      <c r="B1741" s="3" t="s">
        <v>16</v>
      </c>
      <c r="C1741" s="20"/>
      <c r="D1741" s="21"/>
    </row>
    <row r="1742" spans="1:4" ht="12.75" customHeight="1" x14ac:dyDescent="0.2">
      <c r="A1742" s="21"/>
      <c r="B1742" s="3" t="s">
        <v>17</v>
      </c>
      <c r="C1742" s="20" t="s">
        <v>19</v>
      </c>
      <c r="D1742" s="21"/>
    </row>
    <row r="1743" spans="1:4" ht="12.75" customHeight="1" x14ac:dyDescent="0.2">
      <c r="A1743" s="21"/>
      <c r="B1743" s="20" t="s">
        <v>18</v>
      </c>
      <c r="C1743" s="4" t="s">
        <v>139</v>
      </c>
      <c r="D1743" s="6" t="str">
        <f>HYPERLINK("javascript:void(0)","harmatcsepp")</f>
        <v>harmatcsepp</v>
      </c>
    </row>
    <row r="1744" spans="1:4" ht="12.75" customHeight="1" x14ac:dyDescent="0.2">
      <c r="A1744" s="21"/>
      <c r="B1744" s="21"/>
      <c r="C1744" s="4" t="s">
        <v>117</v>
      </c>
      <c r="D1744" s="6" t="str">
        <f>HYPERLINK("javascript:void(0)","hypnogén")</f>
        <v>hypnogén</v>
      </c>
    </row>
    <row r="1745" spans="1:4" ht="12.75" customHeight="1" x14ac:dyDescent="0.2">
      <c r="A1745" s="21"/>
      <c r="B1745" s="21"/>
      <c r="C1745" s="4" t="s">
        <v>382</v>
      </c>
      <c r="D1745" s="6" t="str">
        <f>HYPERLINK("javascript:void(0)","kispárna")</f>
        <v>kispárna</v>
      </c>
    </row>
    <row r="1746" spans="1:4" ht="12.75" customHeight="1" x14ac:dyDescent="0.2">
      <c r="A1746" s="21"/>
      <c r="B1746" s="2"/>
      <c r="C1746" s="2"/>
      <c r="D1746" s="2"/>
    </row>
    <row r="1747" spans="1:4" ht="12.75" customHeight="1" x14ac:dyDescent="0.2">
      <c r="A1747" s="21"/>
      <c r="B1747" s="2"/>
      <c r="C1747" s="2"/>
      <c r="D1747" s="2"/>
    </row>
    <row r="1748" spans="1:4" ht="12.75" customHeight="1" x14ac:dyDescent="0.2">
      <c r="A1748" s="21"/>
      <c r="B1748" s="2"/>
      <c r="C1748" s="2"/>
      <c r="D1748" s="2"/>
    </row>
    <row r="1749" spans="1:4" ht="12.75" customHeight="1" x14ac:dyDescent="0.2">
      <c r="A1749" s="21"/>
      <c r="B1749" s="2"/>
      <c r="C1749" s="2"/>
      <c r="D1749" s="2"/>
    </row>
    <row r="1750" spans="1:4" ht="12.75" customHeight="1" x14ac:dyDescent="0.2">
      <c r="A1750" s="5"/>
      <c r="B1750" s="2"/>
      <c r="C1750" s="2"/>
      <c r="D1750" s="2"/>
    </row>
    <row r="1751" spans="1:4" ht="12.75" customHeight="1" x14ac:dyDescent="0.2">
      <c r="A1751" s="22" t="str">
        <f>HYPERLINK("javascript:void(0)","teljes ezüstvért")</f>
        <v>teljes ezüstvért</v>
      </c>
      <c r="B1751" s="21"/>
      <c r="C1751" s="21"/>
      <c r="D1751" s="21"/>
    </row>
    <row r="1752" spans="1:4" ht="12.75" customHeight="1" x14ac:dyDescent="0.2">
      <c r="A1752" s="20"/>
      <c r="B1752" s="2"/>
      <c r="C1752" s="2"/>
      <c r="D1752" s="2"/>
    </row>
    <row r="1753" spans="1:4" ht="12.75" customHeight="1" x14ac:dyDescent="0.2">
      <c r="A1753" s="21"/>
      <c r="B1753" s="3" t="s">
        <v>0</v>
      </c>
      <c r="C1753" s="20" t="s">
        <v>709</v>
      </c>
      <c r="D1753" s="21"/>
    </row>
    <row r="1754" spans="1:4" ht="12.75" customHeight="1" x14ac:dyDescent="0.2">
      <c r="A1754" s="21"/>
      <c r="B1754" s="3" t="s">
        <v>2</v>
      </c>
      <c r="C1754" s="20" t="s">
        <v>2322</v>
      </c>
      <c r="D1754" s="21"/>
    </row>
    <row r="1755" spans="1:4" ht="12.75" customHeight="1" x14ac:dyDescent="0.2">
      <c r="A1755" s="21"/>
      <c r="B1755" s="3" t="s">
        <v>1840</v>
      </c>
      <c r="C1755" s="20" t="s">
        <v>2283</v>
      </c>
      <c r="D1755" s="21"/>
    </row>
    <row r="1756" spans="1:4" ht="12.75" customHeight="1" x14ac:dyDescent="0.2">
      <c r="A1756" s="21"/>
      <c r="B1756" s="3" t="s">
        <v>9</v>
      </c>
      <c r="C1756" s="20" t="s">
        <v>1986</v>
      </c>
      <c r="D1756" s="21"/>
    </row>
    <row r="1757" spans="1:4" ht="12.75" customHeight="1" x14ac:dyDescent="0.2">
      <c r="A1757" s="21"/>
      <c r="B1757" s="3" t="s">
        <v>11</v>
      </c>
      <c r="C1757" s="20" t="s">
        <v>901</v>
      </c>
      <c r="D1757" s="21"/>
    </row>
    <row r="1758" spans="1:4" ht="12.75" customHeight="1" x14ac:dyDescent="0.2">
      <c r="A1758" s="21"/>
      <c r="B1758" s="3" t="s">
        <v>16</v>
      </c>
      <c r="C1758" s="20"/>
      <c r="D1758" s="21"/>
    </row>
    <row r="1759" spans="1:4" ht="12.75" customHeight="1" x14ac:dyDescent="0.2">
      <c r="A1759" s="21"/>
      <c r="B1759" s="3" t="s">
        <v>17</v>
      </c>
      <c r="C1759" s="20" t="s">
        <v>19</v>
      </c>
      <c r="D1759" s="21"/>
    </row>
    <row r="1760" spans="1:4" ht="12.75" customHeight="1" x14ac:dyDescent="0.2">
      <c r="A1760" s="21"/>
      <c r="B1760" s="20" t="s">
        <v>18</v>
      </c>
      <c r="C1760" s="4" t="s">
        <v>44</v>
      </c>
      <c r="D1760" s="6" t="str">
        <f>HYPERLINK("javascript:void(0)","teljes vasvért")</f>
        <v>teljes vasvért</v>
      </c>
    </row>
    <row r="1761" spans="1:4" ht="12.75" customHeight="1" x14ac:dyDescent="0.2">
      <c r="A1761" s="21"/>
      <c r="B1761" s="21"/>
      <c r="C1761" s="4" t="s">
        <v>232</v>
      </c>
      <c r="D1761" s="6" t="str">
        <f>HYPERLINK("javascript:void(0)","ezüströg")</f>
        <v>ezüströg</v>
      </c>
    </row>
    <row r="1762" spans="1:4" ht="12.75" customHeight="1" x14ac:dyDescent="0.2">
      <c r="A1762" s="21"/>
      <c r="B1762" s="21"/>
      <c r="C1762" s="4" t="s">
        <v>68</v>
      </c>
      <c r="D1762" s="6" t="str">
        <f>HYPERLINK("javascript:void(0)","fókaprém")</f>
        <v>fókaprém</v>
      </c>
    </row>
    <row r="1763" spans="1:4" ht="12.75" customHeight="1" x14ac:dyDescent="0.2">
      <c r="A1763" s="21"/>
      <c r="B1763" s="2"/>
      <c r="C1763" s="2"/>
      <c r="D1763" s="2"/>
    </row>
    <row r="1764" spans="1:4" ht="12.75" customHeight="1" x14ac:dyDescent="0.2">
      <c r="A1764" s="21"/>
      <c r="B1764" s="2"/>
      <c r="C1764" s="2"/>
      <c r="D1764" s="2"/>
    </row>
    <row r="1765" spans="1:4" ht="12.75" customHeight="1" x14ac:dyDescent="0.2">
      <c r="A1765" s="21"/>
      <c r="B1765" s="2"/>
      <c r="C1765" s="2"/>
      <c r="D1765" s="2"/>
    </row>
    <row r="1766" spans="1:4" ht="12.75" customHeight="1" x14ac:dyDescent="0.2">
      <c r="A1766" s="21"/>
      <c r="B1766" s="2"/>
      <c r="C1766" s="2"/>
      <c r="D1766" s="2"/>
    </row>
    <row r="1767" spans="1:4" ht="12.75" customHeight="1" x14ac:dyDescent="0.2">
      <c r="A1767" s="5"/>
      <c r="B1767" s="2"/>
      <c r="C1767" s="2"/>
      <c r="D1767" s="2"/>
    </row>
    <row r="1768" spans="1:4" ht="12.75" customHeight="1" x14ac:dyDescent="0.2">
      <c r="A1768" s="22" t="str">
        <f>HYPERLINK("javascript:void(0)","teljes aranyvért")</f>
        <v>teljes aranyvért</v>
      </c>
      <c r="B1768" s="21"/>
      <c r="C1768" s="21"/>
      <c r="D1768" s="21"/>
    </row>
    <row r="1769" spans="1:4" ht="12.75" customHeight="1" x14ac:dyDescent="0.2">
      <c r="A1769" s="20"/>
      <c r="B1769" s="2"/>
      <c r="C1769" s="2"/>
      <c r="D1769" s="2"/>
    </row>
    <row r="1770" spans="1:4" ht="12.75" customHeight="1" x14ac:dyDescent="0.2">
      <c r="A1770" s="21"/>
      <c r="B1770" s="3" t="s">
        <v>0</v>
      </c>
      <c r="C1770" s="20" t="s">
        <v>719</v>
      </c>
      <c r="D1770" s="21"/>
    </row>
    <row r="1771" spans="1:4" ht="12.75" customHeight="1" x14ac:dyDescent="0.2">
      <c r="A1771" s="21"/>
      <c r="B1771" s="3" t="s">
        <v>2</v>
      </c>
      <c r="C1771" s="20" t="s">
        <v>2322</v>
      </c>
      <c r="D1771" s="21"/>
    </row>
    <row r="1772" spans="1:4" ht="12.75" customHeight="1" x14ac:dyDescent="0.2">
      <c r="A1772" s="21"/>
      <c r="B1772" s="3" t="s">
        <v>1840</v>
      </c>
      <c r="C1772" s="20" t="s">
        <v>2463</v>
      </c>
      <c r="D1772" s="21"/>
    </row>
    <row r="1773" spans="1:4" ht="12.75" customHeight="1" x14ac:dyDescent="0.2">
      <c r="A1773" s="21"/>
      <c r="B1773" s="3" t="s">
        <v>9</v>
      </c>
      <c r="C1773" s="20" t="s">
        <v>2464</v>
      </c>
      <c r="D1773" s="21"/>
    </row>
    <row r="1774" spans="1:4" ht="12.75" customHeight="1" x14ac:dyDescent="0.2">
      <c r="A1774" s="21"/>
      <c r="B1774" s="3" t="s">
        <v>11</v>
      </c>
      <c r="C1774" s="20" t="s">
        <v>917</v>
      </c>
      <c r="D1774" s="21"/>
    </row>
    <row r="1775" spans="1:4" ht="12.75" customHeight="1" x14ac:dyDescent="0.2">
      <c r="A1775" s="21"/>
      <c r="B1775" s="3" t="s">
        <v>16</v>
      </c>
      <c r="C1775" s="20"/>
      <c r="D1775" s="21"/>
    </row>
    <row r="1776" spans="1:4" ht="12.75" customHeight="1" x14ac:dyDescent="0.2">
      <c r="A1776" s="21"/>
      <c r="B1776" s="3" t="s">
        <v>17</v>
      </c>
      <c r="C1776" s="20" t="s">
        <v>19</v>
      </c>
      <c r="D1776" s="21"/>
    </row>
    <row r="1777" spans="1:4" ht="12.75" customHeight="1" x14ac:dyDescent="0.2">
      <c r="A1777" s="21"/>
      <c r="B1777" s="20" t="s">
        <v>18</v>
      </c>
      <c r="C1777" s="4" t="s">
        <v>232</v>
      </c>
      <c r="D1777" s="6" t="str">
        <f>HYPERLINK("javascript:void(0)","aranyrög")</f>
        <v>aranyrög</v>
      </c>
    </row>
    <row r="1778" spans="1:4" ht="12.75" customHeight="1" x14ac:dyDescent="0.2">
      <c r="A1778" s="21"/>
      <c r="B1778" s="21"/>
      <c r="C1778" s="4" t="s">
        <v>68</v>
      </c>
      <c r="D1778" s="6" t="str">
        <f>HYPERLINK("javascript:void(0)","teleportige")</f>
        <v>teleportige</v>
      </c>
    </row>
    <row r="1779" spans="1:4" ht="12.75" customHeight="1" x14ac:dyDescent="0.2">
      <c r="A1779" s="21"/>
      <c r="B1779" s="21"/>
      <c r="C1779" s="4" t="s">
        <v>117</v>
      </c>
      <c r="D1779" s="6" t="str">
        <f>HYPERLINK("javascript:void(0)","hőgolyó")</f>
        <v>hőgolyó</v>
      </c>
    </row>
    <row r="1780" spans="1:4" ht="12.75" customHeight="1" x14ac:dyDescent="0.2">
      <c r="A1780" s="21"/>
      <c r="B1780" s="2"/>
      <c r="C1780" s="2"/>
      <c r="D1780" s="2"/>
    </row>
    <row r="1781" spans="1:4" ht="12.75" customHeight="1" x14ac:dyDescent="0.2">
      <c r="A1781" s="21"/>
      <c r="B1781" s="2"/>
      <c r="C1781" s="2"/>
      <c r="D1781" s="2"/>
    </row>
    <row r="1782" spans="1:4" ht="12.75" customHeight="1" x14ac:dyDescent="0.2">
      <c r="A1782" s="21"/>
      <c r="B1782" s="2"/>
      <c r="C1782" s="2"/>
      <c r="D1782" s="2"/>
    </row>
    <row r="1783" spans="1:4" ht="12.75" customHeight="1" x14ac:dyDescent="0.2">
      <c r="A1783" s="21"/>
      <c r="B1783" s="2"/>
      <c r="C1783" s="2"/>
      <c r="D1783" s="2"/>
    </row>
    <row r="1784" spans="1:4" ht="12.75" customHeight="1" x14ac:dyDescent="0.2">
      <c r="A1784" s="5"/>
      <c r="B1784" s="2"/>
      <c r="C1784" s="2"/>
      <c r="D1784" s="2"/>
    </row>
    <row r="1785" spans="1:4" ht="12.75" customHeight="1" x14ac:dyDescent="0.2">
      <c r="A1785" s="22" t="str">
        <f>HYPERLINK("javascript:void(0)","réztalp")</f>
        <v>réztalp</v>
      </c>
      <c r="B1785" s="21"/>
      <c r="C1785" s="21"/>
      <c r="D1785" s="21"/>
    </row>
    <row r="1786" spans="1:4" ht="12.75" customHeight="1" x14ac:dyDescent="0.2">
      <c r="A1786" s="20"/>
      <c r="B1786" s="2"/>
      <c r="C1786" s="2"/>
      <c r="D1786" s="2"/>
    </row>
    <row r="1787" spans="1:4" ht="12.75" customHeight="1" x14ac:dyDescent="0.2">
      <c r="A1787" s="21"/>
      <c r="B1787" s="3" t="s">
        <v>0</v>
      </c>
      <c r="C1787" s="20" t="s">
        <v>719</v>
      </c>
      <c r="D1787" s="21"/>
    </row>
    <row r="1788" spans="1:4" ht="12.75" customHeight="1" x14ac:dyDescent="0.2">
      <c r="A1788" s="21"/>
      <c r="B1788" s="3" t="s">
        <v>2</v>
      </c>
      <c r="C1788" s="20" t="s">
        <v>2322</v>
      </c>
      <c r="D1788" s="21"/>
    </row>
    <row r="1789" spans="1:4" ht="12.75" customHeight="1" x14ac:dyDescent="0.2">
      <c r="A1789" s="21"/>
      <c r="B1789" s="3" t="s">
        <v>1840</v>
      </c>
      <c r="C1789" s="20" t="s">
        <v>417</v>
      </c>
      <c r="D1789" s="21"/>
    </row>
    <row r="1790" spans="1:4" ht="12.75" customHeight="1" x14ac:dyDescent="0.2">
      <c r="A1790" s="21"/>
      <c r="B1790" s="3" t="s">
        <v>9</v>
      </c>
      <c r="C1790" s="20" t="s">
        <v>42</v>
      </c>
      <c r="D1790" s="21"/>
    </row>
    <row r="1791" spans="1:4" ht="12.75" customHeight="1" x14ac:dyDescent="0.2">
      <c r="A1791" s="21"/>
      <c r="B1791" s="3" t="s">
        <v>11</v>
      </c>
      <c r="C1791" s="20" t="s">
        <v>368</v>
      </c>
      <c r="D1791" s="21"/>
    </row>
    <row r="1792" spans="1:4" ht="12.75" customHeight="1" x14ac:dyDescent="0.2">
      <c r="A1792" s="21"/>
      <c r="B1792" s="3" t="s">
        <v>16</v>
      </c>
      <c r="C1792" s="20"/>
      <c r="D1792" s="21"/>
    </row>
    <row r="1793" spans="1:4" ht="12.75" customHeight="1" x14ac:dyDescent="0.2">
      <c r="A1793" s="21"/>
      <c r="B1793" s="3" t="s">
        <v>17</v>
      </c>
      <c r="C1793" s="20" t="s">
        <v>19</v>
      </c>
      <c r="D1793" s="21"/>
    </row>
    <row r="1794" spans="1:4" ht="12.75" customHeight="1" x14ac:dyDescent="0.2">
      <c r="A1794" s="21"/>
      <c r="B1794" s="20" t="s">
        <v>18</v>
      </c>
      <c r="C1794" s="4" t="s">
        <v>77</v>
      </c>
      <c r="D1794" s="6" t="str">
        <f>HYPERLINK("javascript:void(0)","rézrög")</f>
        <v>rézrög</v>
      </c>
    </row>
    <row r="1795" spans="1:4" ht="12.75" customHeight="1" x14ac:dyDescent="0.2">
      <c r="A1795" s="21"/>
      <c r="B1795" s="21"/>
      <c r="C1795" s="4" t="s">
        <v>77</v>
      </c>
      <c r="D1795" s="6" t="str">
        <f>HYPERLINK("javascript:void(0)","nagylemez")</f>
        <v>nagylemez</v>
      </c>
    </row>
    <row r="1796" spans="1:4" ht="12.75" customHeight="1" x14ac:dyDescent="0.2">
      <c r="A1796" s="21"/>
      <c r="B1796" s="21"/>
      <c r="C1796" s="4" t="s">
        <v>117</v>
      </c>
      <c r="D1796" s="6" t="str">
        <f>HYPERLINK("javascript:void(0)","negatívum")</f>
        <v>negatívum</v>
      </c>
    </row>
    <row r="1797" spans="1:4" ht="12.75" customHeight="1" x14ac:dyDescent="0.2">
      <c r="A1797" s="21"/>
      <c r="B1797" s="2"/>
      <c r="C1797" s="2"/>
      <c r="D1797" s="2"/>
    </row>
    <row r="1798" spans="1:4" ht="12.75" customHeight="1" x14ac:dyDescent="0.2">
      <c r="A1798" s="21"/>
      <c r="B1798" s="2"/>
      <c r="C1798" s="2"/>
      <c r="D1798" s="2"/>
    </row>
    <row r="1799" spans="1:4" ht="12.75" customHeight="1" x14ac:dyDescent="0.2">
      <c r="A1799" s="21"/>
      <c r="B1799" s="2"/>
      <c r="C1799" s="2"/>
      <c r="D1799" s="2"/>
    </row>
    <row r="1800" spans="1:4" ht="12.75" customHeight="1" x14ac:dyDescent="0.2">
      <c r="A1800" s="21"/>
      <c r="B1800" s="2"/>
      <c r="C1800" s="2"/>
      <c r="D1800" s="2"/>
    </row>
    <row r="1801" spans="1:4" ht="12.75" customHeight="1" x14ac:dyDescent="0.2">
      <c r="A1801" s="5"/>
      <c r="B1801" s="2"/>
      <c r="C1801" s="2"/>
      <c r="D1801" s="2"/>
    </row>
    <row r="1802" spans="1:4" ht="12.75" customHeight="1" x14ac:dyDescent="0.2">
      <c r="A1802" s="22" t="str">
        <f>HYPERLINK("javascript:void(0)","csillámló sárkánypáncél")</f>
        <v>csillámló sárkánypáncél</v>
      </c>
      <c r="B1802" s="21"/>
      <c r="C1802" s="21"/>
      <c r="D1802" s="21"/>
    </row>
    <row r="1803" spans="1:4" ht="12.75" customHeight="1" x14ac:dyDescent="0.2">
      <c r="A1803" s="20"/>
      <c r="B1803" s="2"/>
      <c r="C1803" s="2"/>
      <c r="D1803" s="2"/>
    </row>
    <row r="1804" spans="1:4" ht="12.75" customHeight="1" x14ac:dyDescent="0.2">
      <c r="A1804" s="21"/>
      <c r="B1804" s="3" t="s">
        <v>0</v>
      </c>
      <c r="C1804" s="20" t="s">
        <v>719</v>
      </c>
      <c r="D1804" s="21"/>
    </row>
    <row r="1805" spans="1:4" ht="12.75" customHeight="1" x14ac:dyDescent="0.2">
      <c r="A1805" s="21"/>
      <c r="B1805" s="3" t="s">
        <v>2</v>
      </c>
      <c r="C1805" s="20" t="s">
        <v>2322</v>
      </c>
      <c r="D1805" s="21"/>
    </row>
    <row r="1806" spans="1:4" ht="12.75" customHeight="1" x14ac:dyDescent="0.2">
      <c r="A1806" s="21"/>
      <c r="B1806" s="3" t="s">
        <v>1840</v>
      </c>
      <c r="C1806" s="20" t="s">
        <v>2280</v>
      </c>
      <c r="D1806" s="21"/>
    </row>
    <row r="1807" spans="1:4" ht="12.75" customHeight="1" x14ac:dyDescent="0.2">
      <c r="A1807" s="21"/>
      <c r="B1807" s="3" t="s">
        <v>9</v>
      </c>
      <c r="C1807" s="20" t="s">
        <v>2155</v>
      </c>
      <c r="D1807" s="21"/>
    </row>
    <row r="1808" spans="1:4" ht="12.75" customHeight="1" x14ac:dyDescent="0.2">
      <c r="A1808" s="21"/>
      <c r="B1808" s="3" t="s">
        <v>11</v>
      </c>
      <c r="C1808" s="20" t="s">
        <v>917</v>
      </c>
      <c r="D1808" s="21"/>
    </row>
    <row r="1809" spans="1:4" ht="12.75" customHeight="1" x14ac:dyDescent="0.2">
      <c r="A1809" s="21"/>
      <c r="B1809" s="3" t="s">
        <v>16</v>
      </c>
      <c r="C1809" s="20"/>
      <c r="D1809" s="21"/>
    </row>
    <row r="1810" spans="1:4" ht="12.75" customHeight="1" x14ac:dyDescent="0.2">
      <c r="A1810" s="21"/>
      <c r="B1810" s="3" t="s">
        <v>17</v>
      </c>
      <c r="C1810" s="20" t="s">
        <v>19</v>
      </c>
      <c r="D1810" s="21"/>
    </row>
    <row r="1811" spans="1:4" ht="12.75" customHeight="1" x14ac:dyDescent="0.2">
      <c r="A1811" s="21"/>
      <c r="B1811" s="20" t="s">
        <v>18</v>
      </c>
      <c r="C1811" s="4" t="s">
        <v>57</v>
      </c>
      <c r="D1811" s="6" t="str">
        <f>HYPERLINK("javascript:void(0)","csillámgöb")</f>
        <v>csillámgöb</v>
      </c>
    </row>
    <row r="1812" spans="1:4" ht="25.5" customHeight="1" x14ac:dyDescent="0.2">
      <c r="A1812" s="21"/>
      <c r="B1812" s="21"/>
      <c r="C1812" s="4" t="s">
        <v>44</v>
      </c>
      <c r="D1812" s="6" t="str">
        <f>HYPERLINK("javascript:void(0)","csillámló démonpáncél")</f>
        <v>csillámló démonpáncél</v>
      </c>
    </row>
    <row r="1813" spans="1:4" ht="12.75" customHeight="1" x14ac:dyDescent="0.2">
      <c r="A1813" s="21"/>
      <c r="B1813" s="21"/>
      <c r="C1813" s="4" t="s">
        <v>786</v>
      </c>
      <c r="D1813" s="6" t="str">
        <f>HYPERLINK("javascript:void(0)","trolltartó")</f>
        <v>trolltartó</v>
      </c>
    </row>
    <row r="1814" spans="1:4" ht="12.75" customHeight="1" x14ac:dyDescent="0.2">
      <c r="A1814" s="21"/>
      <c r="B1814" s="2"/>
      <c r="C1814" s="2"/>
      <c r="D1814" s="2"/>
    </row>
    <row r="1815" spans="1:4" ht="12.75" customHeight="1" x14ac:dyDescent="0.2">
      <c r="A1815" s="21"/>
      <c r="B1815" s="2"/>
      <c r="C1815" s="2"/>
      <c r="D1815" s="2"/>
    </row>
    <row r="1816" spans="1:4" ht="12.75" customHeight="1" x14ac:dyDescent="0.2">
      <c r="A1816" s="21"/>
      <c r="B1816" s="2"/>
      <c r="C1816" s="2"/>
      <c r="D1816" s="2"/>
    </row>
    <row r="1817" spans="1:4" ht="12.75" customHeight="1" x14ac:dyDescent="0.2">
      <c r="A1817" s="21"/>
      <c r="B1817" s="2"/>
      <c r="C1817" s="2"/>
      <c r="D1817" s="2"/>
    </row>
    <row r="1818" spans="1:4" ht="12.75" customHeight="1" x14ac:dyDescent="0.2">
      <c r="A1818" s="5"/>
      <c r="B1818" s="2"/>
      <c r="C1818" s="2"/>
      <c r="D1818" s="2"/>
    </row>
    <row r="1819" spans="1:4" ht="12.75" customHeight="1" x14ac:dyDescent="0.2">
      <c r="A1819" s="22" t="str">
        <f>HYPERLINK("javascript:void(0)","teljes smaragdvért")</f>
        <v>teljes smaragdvért</v>
      </c>
      <c r="B1819" s="21"/>
      <c r="C1819" s="21"/>
      <c r="D1819" s="21"/>
    </row>
    <row r="1820" spans="1:4" ht="12.75" customHeight="1" x14ac:dyDescent="0.2">
      <c r="A1820" s="20"/>
      <c r="B1820" s="2"/>
      <c r="C1820" s="2"/>
      <c r="D1820" s="2"/>
    </row>
    <row r="1821" spans="1:4" ht="12.75" customHeight="1" x14ac:dyDescent="0.2">
      <c r="A1821" s="21"/>
      <c r="B1821" s="3" t="s">
        <v>0</v>
      </c>
      <c r="C1821" s="20" t="s">
        <v>728</v>
      </c>
      <c r="D1821" s="21"/>
    </row>
    <row r="1822" spans="1:4" ht="12.75" customHeight="1" x14ac:dyDescent="0.2">
      <c r="A1822" s="21"/>
      <c r="B1822" s="3" t="s">
        <v>2</v>
      </c>
      <c r="C1822" s="20" t="s">
        <v>2322</v>
      </c>
      <c r="D1822" s="21"/>
    </row>
    <row r="1823" spans="1:4" ht="12.75" customHeight="1" x14ac:dyDescent="0.2">
      <c r="A1823" s="21"/>
      <c r="B1823" s="3" t="s">
        <v>1840</v>
      </c>
      <c r="C1823" s="20" t="s">
        <v>2466</v>
      </c>
      <c r="D1823" s="21"/>
    </row>
    <row r="1824" spans="1:4" ht="12.75" customHeight="1" x14ac:dyDescent="0.2">
      <c r="A1824" s="21"/>
      <c r="B1824" s="3" t="s">
        <v>9</v>
      </c>
      <c r="C1824" s="20" t="s">
        <v>1991</v>
      </c>
      <c r="D1824" s="21"/>
    </row>
    <row r="1825" spans="1:4" ht="12.75" customHeight="1" x14ac:dyDescent="0.2">
      <c r="A1825" s="21"/>
      <c r="B1825" s="3" t="s">
        <v>11</v>
      </c>
      <c r="C1825" s="20" t="s">
        <v>939</v>
      </c>
      <c r="D1825" s="21"/>
    </row>
    <row r="1826" spans="1:4" ht="12.75" customHeight="1" x14ac:dyDescent="0.2">
      <c r="A1826" s="21"/>
      <c r="B1826" s="3" t="s">
        <v>16</v>
      </c>
      <c r="C1826" s="20"/>
      <c r="D1826" s="21"/>
    </row>
    <row r="1827" spans="1:4" ht="12.75" customHeight="1" x14ac:dyDescent="0.2">
      <c r="A1827" s="21"/>
      <c r="B1827" s="3" t="s">
        <v>17</v>
      </c>
      <c r="C1827" s="20" t="s">
        <v>19</v>
      </c>
      <c r="D1827" s="21"/>
    </row>
    <row r="1828" spans="1:4" ht="12.75" customHeight="1" x14ac:dyDescent="0.2">
      <c r="A1828" s="21"/>
      <c r="B1828" s="20" t="s">
        <v>18</v>
      </c>
      <c r="C1828" s="4" t="s">
        <v>44</v>
      </c>
      <c r="D1828" s="6" t="str">
        <f>HYPERLINK("javascript:void(0)","teljes ezüstvért")</f>
        <v>teljes ezüstvért</v>
      </c>
    </row>
    <row r="1829" spans="1:4" ht="12.75" customHeight="1" x14ac:dyDescent="0.2">
      <c r="A1829" s="21"/>
      <c r="B1829" s="21"/>
      <c r="C1829" s="4" t="s">
        <v>44</v>
      </c>
      <c r="D1829" s="6" t="str">
        <f>HYPERLINK("javascript:void(0)","teljes aranyvért")</f>
        <v>teljes aranyvért</v>
      </c>
    </row>
    <row r="1830" spans="1:4" ht="12.75" customHeight="1" x14ac:dyDescent="0.2">
      <c r="A1830" s="21"/>
      <c r="B1830" s="21"/>
      <c r="C1830" s="4" t="s">
        <v>44</v>
      </c>
      <c r="D1830" s="6" t="str">
        <f>HYPERLINK("javascript:void(0)","smaragd vállap")</f>
        <v>smaragd vállap</v>
      </c>
    </row>
    <row r="1831" spans="1:4" ht="12.75" customHeight="1" x14ac:dyDescent="0.2">
      <c r="A1831" s="21"/>
      <c r="B1831" s="2"/>
      <c r="C1831" s="2"/>
      <c r="D1831" s="2"/>
    </row>
    <row r="1832" spans="1:4" ht="12.75" customHeight="1" x14ac:dyDescent="0.2">
      <c r="A1832" s="21"/>
      <c r="B1832" s="2"/>
      <c r="C1832" s="2"/>
      <c r="D1832" s="2"/>
    </row>
    <row r="1833" spans="1:4" ht="12.75" customHeight="1" x14ac:dyDescent="0.2">
      <c r="A1833" s="21"/>
      <c r="B1833" s="2"/>
      <c r="C1833" s="2"/>
      <c r="D1833" s="2"/>
    </row>
    <row r="1834" spans="1:4" ht="12.75" customHeight="1" x14ac:dyDescent="0.2">
      <c r="A1834" s="21"/>
      <c r="B1834" s="2"/>
      <c r="C1834" s="2"/>
      <c r="D1834" s="2"/>
    </row>
    <row r="1835" spans="1:4" ht="12.75" customHeight="1" x14ac:dyDescent="0.2">
      <c r="A1835" s="5"/>
      <c r="B1835" s="2"/>
      <c r="C1835" s="2"/>
      <c r="D1835" s="2"/>
    </row>
    <row r="1836" spans="1:4" ht="12.75" customHeight="1" x14ac:dyDescent="0.2">
      <c r="A1836" s="22" t="str">
        <f>HYPERLINK("javascript:void(0)","teljes rubinvért")</f>
        <v>teljes rubinvért</v>
      </c>
      <c r="B1836" s="21"/>
      <c r="C1836" s="21"/>
      <c r="D1836" s="21"/>
    </row>
    <row r="1837" spans="1:4" ht="12.75" customHeight="1" x14ac:dyDescent="0.2">
      <c r="A1837" s="20"/>
      <c r="B1837" s="2"/>
      <c r="C1837" s="2"/>
      <c r="D1837" s="2"/>
    </row>
    <row r="1838" spans="1:4" ht="12.75" customHeight="1" x14ac:dyDescent="0.2">
      <c r="A1838" s="21"/>
      <c r="B1838" s="3" t="s">
        <v>0</v>
      </c>
      <c r="C1838" s="20" t="s">
        <v>78</v>
      </c>
      <c r="D1838" s="21"/>
    </row>
    <row r="1839" spans="1:4" ht="12.75" customHeight="1" x14ac:dyDescent="0.2">
      <c r="A1839" s="21"/>
      <c r="B1839" s="3" t="s">
        <v>2</v>
      </c>
      <c r="C1839" s="20" t="s">
        <v>2322</v>
      </c>
      <c r="D1839" s="21"/>
    </row>
    <row r="1840" spans="1:4" ht="12.75" customHeight="1" x14ac:dyDescent="0.2">
      <c r="A1840" s="21"/>
      <c r="B1840" s="3" t="s">
        <v>1840</v>
      </c>
      <c r="C1840" s="20" t="s">
        <v>2467</v>
      </c>
      <c r="D1840" s="21"/>
    </row>
    <row r="1841" spans="1:4" ht="12.75" customHeight="1" x14ac:dyDescent="0.2">
      <c r="A1841" s="21"/>
      <c r="B1841" s="3" t="s">
        <v>9</v>
      </c>
      <c r="C1841" s="20" t="s">
        <v>2080</v>
      </c>
      <c r="D1841" s="21"/>
    </row>
    <row r="1842" spans="1:4" ht="12.75" customHeight="1" x14ac:dyDescent="0.2">
      <c r="A1842" s="21"/>
      <c r="B1842" s="3" t="s">
        <v>11</v>
      </c>
      <c r="C1842" s="20" t="s">
        <v>956</v>
      </c>
      <c r="D1842" s="21"/>
    </row>
    <row r="1843" spans="1:4" ht="12.75" customHeight="1" x14ac:dyDescent="0.2">
      <c r="A1843" s="21"/>
      <c r="B1843" s="3" t="s">
        <v>16</v>
      </c>
      <c r="C1843" s="20"/>
      <c r="D1843" s="21"/>
    </row>
    <row r="1844" spans="1:4" ht="12.75" customHeight="1" x14ac:dyDescent="0.2">
      <c r="A1844" s="21"/>
      <c r="B1844" s="3" t="s">
        <v>17</v>
      </c>
      <c r="C1844" s="20" t="s">
        <v>19</v>
      </c>
      <c r="D1844" s="21"/>
    </row>
    <row r="1845" spans="1:4" ht="12.75" customHeight="1" x14ac:dyDescent="0.2">
      <c r="A1845" s="21"/>
      <c r="B1845" s="20" t="s">
        <v>18</v>
      </c>
      <c r="C1845" s="4" t="s">
        <v>44</v>
      </c>
      <c r="D1845" s="6" t="str">
        <f>HYPERLINK("javascript:void(0)","teljes smaragdvért")</f>
        <v>teljes smaragdvért</v>
      </c>
    </row>
    <row r="1846" spans="1:4" ht="12.75" customHeight="1" x14ac:dyDescent="0.2">
      <c r="A1846" s="21"/>
      <c r="B1846" s="21"/>
      <c r="C1846" s="4" t="s">
        <v>68</v>
      </c>
      <c r="D1846" s="6" t="str">
        <f>HYPERLINK("javascript:void(0)","hátszarv")</f>
        <v>hátszarv</v>
      </c>
    </row>
    <row r="1847" spans="1:4" ht="12.75" customHeight="1" x14ac:dyDescent="0.2">
      <c r="A1847" s="21"/>
      <c r="B1847" s="21"/>
      <c r="C1847" s="4" t="s">
        <v>98</v>
      </c>
      <c r="D1847" s="6" t="str">
        <f>HYPERLINK("javascript:void(0)","negatívum")</f>
        <v>negatívum</v>
      </c>
    </row>
    <row r="1848" spans="1:4" ht="12.75" customHeight="1" x14ac:dyDescent="0.2">
      <c r="A1848" s="21"/>
      <c r="B1848" s="2"/>
      <c r="C1848" s="2"/>
      <c r="D1848" s="2"/>
    </row>
    <row r="1849" spans="1:4" ht="12.75" customHeight="1" x14ac:dyDescent="0.2">
      <c r="A1849" s="21"/>
      <c r="B1849" s="2"/>
      <c r="C1849" s="2"/>
      <c r="D1849" s="2"/>
    </row>
    <row r="1850" spans="1:4" ht="12.75" customHeight="1" x14ac:dyDescent="0.2">
      <c r="A1850" s="21"/>
      <c r="B1850" s="2"/>
      <c r="C1850" s="2"/>
      <c r="D1850" s="2"/>
    </row>
    <row r="1851" spans="1:4" ht="12.75" customHeight="1" x14ac:dyDescent="0.2">
      <c r="A1851" s="21"/>
      <c r="B1851" s="2"/>
      <c r="C1851" s="2"/>
      <c r="D1851" s="2"/>
    </row>
    <row r="1852" spans="1:4" ht="12.75" customHeight="1" x14ac:dyDescent="0.2">
      <c r="A1852" s="5"/>
      <c r="B1852" s="2"/>
      <c r="C1852" s="2"/>
      <c r="D1852" s="2"/>
    </row>
    <row r="1853" spans="1:4" ht="12.75" customHeight="1" x14ac:dyDescent="0.2">
      <c r="A1853" s="22" t="str">
        <f>HYPERLINK("javascript:void(0)","serte rostély")</f>
        <v>serte rostély</v>
      </c>
      <c r="B1853" s="21"/>
      <c r="C1853" s="21"/>
      <c r="D1853" s="21"/>
    </row>
    <row r="1854" spans="1:4" ht="12.75" customHeight="1" x14ac:dyDescent="0.2">
      <c r="A1854" s="20"/>
      <c r="B1854" s="2"/>
      <c r="C1854" s="2"/>
      <c r="D1854" s="2"/>
    </row>
    <row r="1855" spans="1:4" ht="12.75" customHeight="1" x14ac:dyDescent="0.2">
      <c r="A1855" s="21"/>
      <c r="B1855" s="3" t="s">
        <v>0</v>
      </c>
      <c r="C1855" s="20" t="s">
        <v>78</v>
      </c>
      <c r="D1855" s="21"/>
    </row>
    <row r="1856" spans="1:4" ht="12.75" customHeight="1" x14ac:dyDescent="0.2">
      <c r="A1856" s="21"/>
      <c r="B1856" s="3" t="s">
        <v>2</v>
      </c>
      <c r="C1856" s="20" t="s">
        <v>2322</v>
      </c>
      <c r="D1856" s="21"/>
    </row>
    <row r="1857" spans="1:4" ht="12.75" customHeight="1" x14ac:dyDescent="0.2">
      <c r="A1857" s="21"/>
      <c r="B1857" s="3" t="s">
        <v>1840</v>
      </c>
      <c r="C1857" s="20" t="s">
        <v>417</v>
      </c>
      <c r="D1857" s="21"/>
    </row>
    <row r="1858" spans="1:4" ht="12.75" customHeight="1" x14ac:dyDescent="0.2">
      <c r="A1858" s="21"/>
      <c r="B1858" s="3" t="s">
        <v>9</v>
      </c>
      <c r="C1858" s="20" t="s">
        <v>42</v>
      </c>
      <c r="D1858" s="21"/>
    </row>
    <row r="1859" spans="1:4" ht="12.75" customHeight="1" x14ac:dyDescent="0.2">
      <c r="A1859" s="21"/>
      <c r="B1859" s="3" t="s">
        <v>11</v>
      </c>
      <c r="C1859" s="20" t="s">
        <v>368</v>
      </c>
      <c r="D1859" s="21"/>
    </row>
    <row r="1860" spans="1:4" ht="12.75" customHeight="1" x14ac:dyDescent="0.2">
      <c r="A1860" s="21"/>
      <c r="B1860" s="3" t="s">
        <v>16</v>
      </c>
      <c r="C1860" s="20"/>
      <c r="D1860" s="21"/>
    </row>
    <row r="1861" spans="1:4" ht="12.75" customHeight="1" x14ac:dyDescent="0.2">
      <c r="A1861" s="21"/>
      <c r="B1861" s="3" t="s">
        <v>17</v>
      </c>
      <c r="C1861" s="20" t="s">
        <v>19</v>
      </c>
      <c r="D1861" s="21"/>
    </row>
    <row r="1862" spans="1:4" ht="12.75" customHeight="1" x14ac:dyDescent="0.2">
      <c r="A1862" s="21"/>
      <c r="B1862" s="20" t="s">
        <v>18</v>
      </c>
      <c r="C1862" s="4" t="s">
        <v>309</v>
      </c>
      <c r="D1862" s="6" t="str">
        <f>HYPERLINK("javascript:void(0)","serte")</f>
        <v>serte</v>
      </c>
    </row>
    <row r="1863" spans="1:4" ht="12.75" customHeight="1" x14ac:dyDescent="0.2">
      <c r="A1863" s="21"/>
      <c r="B1863" s="21"/>
      <c r="C1863" s="4" t="s">
        <v>163</v>
      </c>
      <c r="D1863" s="6" t="str">
        <f>HYPERLINK("javascript:void(0)","pamacsprém")</f>
        <v>pamacsprém</v>
      </c>
    </row>
    <row r="1864" spans="1:4" ht="12.75" customHeight="1" x14ac:dyDescent="0.2">
      <c r="A1864" s="21"/>
      <c r="B1864" s="21"/>
      <c r="C1864" s="4" t="s">
        <v>382</v>
      </c>
      <c r="D1864" s="6" t="str">
        <f>HYPERLINK("javascript:void(0)","kispárna")</f>
        <v>kispárna</v>
      </c>
    </row>
    <row r="1865" spans="1:4" ht="12.75" customHeight="1" x14ac:dyDescent="0.2">
      <c r="A1865" s="21"/>
      <c r="B1865" s="2"/>
      <c r="C1865" s="2"/>
      <c r="D1865" s="2"/>
    </row>
    <row r="1866" spans="1:4" ht="12.75" customHeight="1" x14ac:dyDescent="0.2">
      <c r="A1866" s="21"/>
      <c r="B1866" s="2"/>
      <c r="C1866" s="2"/>
      <c r="D1866" s="2"/>
    </row>
    <row r="1867" spans="1:4" ht="12.75" customHeight="1" x14ac:dyDescent="0.2">
      <c r="A1867" s="21"/>
      <c r="B1867" s="2"/>
      <c r="C1867" s="2"/>
      <c r="D1867" s="2"/>
    </row>
    <row r="1868" spans="1:4" ht="12.75" customHeight="1" x14ac:dyDescent="0.2">
      <c r="A1868" s="21"/>
      <c r="B1868" s="2"/>
      <c r="C1868" s="2"/>
      <c r="D1868" s="2"/>
    </row>
    <row r="1869" spans="1:4" ht="12.75" customHeight="1" x14ac:dyDescent="0.2">
      <c r="A1869" s="5"/>
      <c r="B1869" s="2"/>
      <c r="C1869" s="2"/>
      <c r="D1869" s="2"/>
    </row>
    <row r="1870" spans="1:4" ht="12.75" customHeight="1" x14ac:dyDescent="0.2">
      <c r="A1870" s="22" t="str">
        <f>HYPERLINK("javascript:void(0)","teljes gyémántvért")</f>
        <v>teljes gyémántvért</v>
      </c>
      <c r="B1870" s="21"/>
      <c r="C1870" s="21"/>
      <c r="D1870" s="21"/>
    </row>
    <row r="1871" spans="1:4" ht="12.75" customHeight="1" x14ac:dyDescent="0.2">
      <c r="A1871" s="20"/>
      <c r="B1871" s="2"/>
      <c r="C1871" s="2"/>
      <c r="D1871" s="2"/>
    </row>
    <row r="1872" spans="1:4" ht="12.75" customHeight="1" x14ac:dyDescent="0.2">
      <c r="A1872" s="21"/>
      <c r="B1872" s="3" t="s">
        <v>0</v>
      </c>
      <c r="C1872" s="20" t="s">
        <v>73</v>
      </c>
      <c r="D1872" s="21"/>
    </row>
    <row r="1873" spans="1:4" ht="12.75" customHeight="1" x14ac:dyDescent="0.2">
      <c r="A1873" s="21"/>
      <c r="B1873" s="3" t="s">
        <v>2</v>
      </c>
      <c r="C1873" s="20" t="s">
        <v>2322</v>
      </c>
      <c r="D1873" s="21"/>
    </row>
    <row r="1874" spans="1:4" ht="12.75" customHeight="1" x14ac:dyDescent="0.2">
      <c r="A1874" s="21"/>
      <c r="B1874" s="3" t="s">
        <v>1840</v>
      </c>
      <c r="C1874" s="20" t="s">
        <v>2468</v>
      </c>
      <c r="D1874" s="21"/>
    </row>
    <row r="1875" spans="1:4" ht="12.75" customHeight="1" x14ac:dyDescent="0.2">
      <c r="A1875" s="21"/>
      <c r="B1875" s="3" t="s">
        <v>9</v>
      </c>
      <c r="C1875" s="20" t="s">
        <v>1503</v>
      </c>
      <c r="D1875" s="21"/>
    </row>
    <row r="1876" spans="1:4" ht="12.75" customHeight="1" x14ac:dyDescent="0.2">
      <c r="A1876" s="21"/>
      <c r="B1876" s="3" t="s">
        <v>11</v>
      </c>
      <c r="C1876" s="20" t="s">
        <v>973</v>
      </c>
      <c r="D1876" s="21"/>
    </row>
    <row r="1877" spans="1:4" ht="12.75" customHeight="1" x14ac:dyDescent="0.2">
      <c r="A1877" s="21"/>
      <c r="B1877" s="3" t="s">
        <v>16</v>
      </c>
      <c r="C1877" s="20"/>
      <c r="D1877" s="21"/>
    </row>
    <row r="1878" spans="1:4" ht="12.75" customHeight="1" x14ac:dyDescent="0.2">
      <c r="A1878" s="21"/>
      <c r="B1878" s="3" t="s">
        <v>17</v>
      </c>
      <c r="C1878" s="20" t="s">
        <v>19</v>
      </c>
      <c r="D1878" s="21"/>
    </row>
    <row r="1879" spans="1:4" ht="12.75" customHeight="1" x14ac:dyDescent="0.2">
      <c r="A1879" s="21"/>
      <c r="B1879" s="20" t="s">
        <v>18</v>
      </c>
      <c r="C1879" s="4" t="s">
        <v>323</v>
      </c>
      <c r="D1879" s="6" t="str">
        <f>HYPERLINK("javascript:void(0)","gyémánt")</f>
        <v>gyémánt</v>
      </c>
    </row>
    <row r="1880" spans="1:4" ht="12.75" customHeight="1" x14ac:dyDescent="0.2">
      <c r="A1880" s="21"/>
      <c r="B1880" s="21"/>
      <c r="C1880" s="4" t="s">
        <v>117</v>
      </c>
      <c r="D1880" s="6" t="str">
        <f>HYPERLINK("javascript:void(0)","nagylemez")</f>
        <v>nagylemez</v>
      </c>
    </row>
    <row r="1881" spans="1:4" ht="12.75" customHeight="1" x14ac:dyDescent="0.2">
      <c r="A1881" s="21"/>
      <c r="B1881" s="21"/>
      <c r="C1881" s="4" t="s">
        <v>420</v>
      </c>
      <c r="D1881" s="6" t="str">
        <f>HYPERLINK("javascript:void(0)","orr")</f>
        <v>orr</v>
      </c>
    </row>
    <row r="1882" spans="1:4" ht="12.75" customHeight="1" x14ac:dyDescent="0.2">
      <c r="A1882" s="21"/>
      <c r="B1882" s="2"/>
      <c r="C1882" s="2"/>
      <c r="D1882" s="2"/>
    </row>
    <row r="1883" spans="1:4" ht="12.75" customHeight="1" x14ac:dyDescent="0.2">
      <c r="A1883" s="21"/>
      <c r="B1883" s="2"/>
      <c r="C1883" s="2"/>
      <c r="D1883" s="2"/>
    </row>
    <row r="1884" spans="1:4" ht="12.75" customHeight="1" x14ac:dyDescent="0.2">
      <c r="A1884" s="21"/>
      <c r="B1884" s="2"/>
      <c r="C1884" s="2"/>
      <c r="D1884" s="2"/>
    </row>
    <row r="1885" spans="1:4" ht="12.75" customHeight="1" x14ac:dyDescent="0.2">
      <c r="A1885" s="21"/>
      <c r="B1885" s="2"/>
      <c r="C1885" s="2"/>
      <c r="D1885" s="2"/>
    </row>
    <row r="1886" spans="1:4" ht="12.75" customHeight="1" x14ac:dyDescent="0.2">
      <c r="A1886" s="5"/>
      <c r="B1886" s="2"/>
      <c r="C1886" s="2"/>
      <c r="D1886" s="2"/>
    </row>
    <row r="1887" spans="1:4" ht="12.75" customHeight="1" x14ac:dyDescent="0.2">
      <c r="A1887" s="22" t="str">
        <f>HYPERLINK("javascript:void(0)","teljes diszprovért")</f>
        <v>teljes diszprovért</v>
      </c>
      <c r="B1887" s="21"/>
      <c r="C1887" s="21"/>
      <c r="D1887" s="21"/>
    </row>
    <row r="1888" spans="1:4" ht="12.75" customHeight="1" x14ac:dyDescent="0.2">
      <c r="A1888" s="20"/>
      <c r="B1888" s="2"/>
      <c r="C1888" s="2"/>
      <c r="D1888" s="2"/>
    </row>
    <row r="1889" spans="1:4" ht="12.75" customHeight="1" x14ac:dyDescent="0.2">
      <c r="A1889" s="21"/>
      <c r="B1889" s="3" t="s">
        <v>0</v>
      </c>
      <c r="C1889" s="20" t="s">
        <v>275</v>
      </c>
      <c r="D1889" s="21"/>
    </row>
    <row r="1890" spans="1:4" ht="12.75" customHeight="1" x14ac:dyDescent="0.2">
      <c r="A1890" s="21"/>
      <c r="B1890" s="3" t="s">
        <v>2</v>
      </c>
      <c r="C1890" s="20" t="s">
        <v>2322</v>
      </c>
      <c r="D1890" s="21"/>
    </row>
    <row r="1891" spans="1:4" ht="12.75" customHeight="1" x14ac:dyDescent="0.2">
      <c r="A1891" s="21"/>
      <c r="B1891" s="3" t="s">
        <v>1840</v>
      </c>
      <c r="C1891" s="20" t="s">
        <v>2469</v>
      </c>
      <c r="D1891" s="21"/>
    </row>
    <row r="1892" spans="1:4" ht="12.75" customHeight="1" x14ac:dyDescent="0.2">
      <c r="A1892" s="21"/>
      <c r="B1892" s="3" t="s">
        <v>9</v>
      </c>
      <c r="C1892" s="20" t="s">
        <v>2470</v>
      </c>
      <c r="D1892" s="21"/>
    </row>
    <row r="1893" spans="1:4" ht="12.75" customHeight="1" x14ac:dyDescent="0.2">
      <c r="A1893" s="21"/>
      <c r="B1893" s="3" t="s">
        <v>11</v>
      </c>
      <c r="C1893" s="20" t="s">
        <v>993</v>
      </c>
      <c r="D1893" s="21"/>
    </row>
    <row r="1894" spans="1:4" ht="12.75" customHeight="1" x14ac:dyDescent="0.2">
      <c r="A1894" s="21"/>
      <c r="B1894" s="3" t="s">
        <v>16</v>
      </c>
      <c r="C1894" s="20"/>
      <c r="D1894" s="21"/>
    </row>
    <row r="1895" spans="1:4" ht="12.75" customHeight="1" x14ac:dyDescent="0.2">
      <c r="A1895" s="21"/>
      <c r="B1895" s="3" t="s">
        <v>17</v>
      </c>
      <c r="C1895" s="20" t="s">
        <v>19</v>
      </c>
      <c r="D1895" s="21"/>
    </row>
    <row r="1896" spans="1:4" ht="12.75" customHeight="1" x14ac:dyDescent="0.2">
      <c r="A1896" s="21"/>
      <c r="B1896" s="20" t="s">
        <v>18</v>
      </c>
      <c r="C1896" s="4" t="s">
        <v>44</v>
      </c>
      <c r="D1896" s="6" t="str">
        <f>HYPERLINK("javascript:void(0)","teljes rubinvért")</f>
        <v>teljes rubinvért</v>
      </c>
    </row>
    <row r="1897" spans="1:4" ht="12.75" customHeight="1" x14ac:dyDescent="0.2">
      <c r="A1897" s="21"/>
      <c r="B1897" s="21"/>
      <c r="C1897" s="4" t="s">
        <v>44</v>
      </c>
      <c r="D1897" s="6" t="str">
        <f>HYPERLINK("javascript:void(0)","teljes gyémántvért")</f>
        <v>teljes gyémántvért</v>
      </c>
    </row>
    <row r="1898" spans="1:4" ht="12.75" customHeight="1" x14ac:dyDescent="0.2">
      <c r="A1898" s="21"/>
      <c r="B1898" s="21"/>
      <c r="C1898" s="4" t="s">
        <v>44</v>
      </c>
      <c r="D1898" s="6" t="str">
        <f>HYPERLINK("javascript:void(0)","diszpro vállap")</f>
        <v>diszpro vállap</v>
      </c>
    </row>
    <row r="1899" spans="1:4" ht="12.75" customHeight="1" x14ac:dyDescent="0.2">
      <c r="A1899" s="21"/>
      <c r="B1899" s="2"/>
      <c r="C1899" s="2"/>
      <c r="D1899" s="2"/>
    </row>
    <row r="1900" spans="1:4" ht="12.75" customHeight="1" x14ac:dyDescent="0.2">
      <c r="A1900" s="21"/>
      <c r="B1900" s="2"/>
      <c r="C1900" s="2"/>
      <c r="D1900" s="2"/>
    </row>
    <row r="1901" spans="1:4" ht="12.75" customHeight="1" x14ac:dyDescent="0.2">
      <c r="A1901" s="21"/>
      <c r="B1901" s="2"/>
      <c r="C1901" s="2"/>
      <c r="D1901" s="2"/>
    </row>
    <row r="1902" spans="1:4" ht="12.75" customHeight="1" x14ac:dyDescent="0.2">
      <c r="A1902" s="21"/>
      <c r="B1902" s="2"/>
      <c r="C1902" s="2"/>
      <c r="D1902" s="2"/>
    </row>
    <row r="1903" spans="1:4" ht="12.75" customHeight="1" x14ac:dyDescent="0.2">
      <c r="A1903" s="5"/>
      <c r="B1903" s="2"/>
      <c r="C1903" s="2"/>
      <c r="D1903" s="2"/>
    </row>
    <row r="1904" spans="1:4" ht="12.75" customHeight="1" x14ac:dyDescent="0.2">
      <c r="A1904" s="22" t="str">
        <f>HYPERLINK("javascript:void(0)","diszpro vállap")</f>
        <v>diszpro vállap</v>
      </c>
      <c r="B1904" s="21"/>
      <c r="C1904" s="21"/>
      <c r="D1904" s="21"/>
    </row>
    <row r="1905" spans="1:4" ht="12.75" customHeight="1" x14ac:dyDescent="0.2">
      <c r="A1905" s="20"/>
      <c r="B1905" s="2"/>
      <c r="C1905" s="2"/>
      <c r="D1905" s="2"/>
    </row>
    <row r="1906" spans="1:4" ht="12.75" customHeight="1" x14ac:dyDescent="0.2">
      <c r="A1906" s="21"/>
      <c r="B1906" s="3" t="s">
        <v>0</v>
      </c>
      <c r="C1906" s="20" t="s">
        <v>275</v>
      </c>
      <c r="D1906" s="21"/>
    </row>
    <row r="1907" spans="1:4" ht="12.75" customHeight="1" x14ac:dyDescent="0.2">
      <c r="A1907" s="21"/>
      <c r="B1907" s="3" t="s">
        <v>2</v>
      </c>
      <c r="C1907" s="20" t="s">
        <v>2322</v>
      </c>
      <c r="D1907" s="21"/>
    </row>
    <row r="1908" spans="1:4" ht="12.75" customHeight="1" x14ac:dyDescent="0.2">
      <c r="A1908" s="21"/>
      <c r="B1908" s="3" t="s">
        <v>1840</v>
      </c>
      <c r="C1908" s="20" t="s">
        <v>417</v>
      </c>
      <c r="D1908" s="21"/>
    </row>
    <row r="1909" spans="1:4" ht="12.75" customHeight="1" x14ac:dyDescent="0.2">
      <c r="A1909" s="21"/>
      <c r="B1909" s="3" t="s">
        <v>9</v>
      </c>
      <c r="C1909" s="20" t="s">
        <v>42</v>
      </c>
      <c r="D1909" s="21"/>
    </row>
    <row r="1910" spans="1:4" ht="12.75" customHeight="1" x14ac:dyDescent="0.2">
      <c r="A1910" s="21"/>
      <c r="B1910" s="3" t="s">
        <v>11</v>
      </c>
      <c r="C1910" s="20" t="s">
        <v>368</v>
      </c>
      <c r="D1910" s="21"/>
    </row>
    <row r="1911" spans="1:4" ht="12.75" customHeight="1" x14ac:dyDescent="0.2">
      <c r="A1911" s="21"/>
      <c r="B1911" s="3" t="s">
        <v>16</v>
      </c>
      <c r="C1911" s="20"/>
      <c r="D1911" s="21"/>
    </row>
    <row r="1912" spans="1:4" ht="12.75" customHeight="1" x14ac:dyDescent="0.2">
      <c r="A1912" s="21"/>
      <c r="B1912" s="3" t="s">
        <v>17</v>
      </c>
      <c r="C1912" s="20" t="s">
        <v>19</v>
      </c>
      <c r="D1912" s="21"/>
    </row>
    <row r="1913" spans="1:4" ht="12.75" customHeight="1" x14ac:dyDescent="0.2">
      <c r="A1913" s="21"/>
      <c r="B1913" s="20" t="s">
        <v>18</v>
      </c>
      <c r="C1913" s="4" t="s">
        <v>280</v>
      </c>
      <c r="D1913" s="6" t="str">
        <f>HYPERLINK("javascript:void(0)","diszprózium")</f>
        <v>diszprózium</v>
      </c>
    </row>
    <row r="1914" spans="1:4" ht="12.75" customHeight="1" x14ac:dyDescent="0.2">
      <c r="A1914" s="21"/>
      <c r="B1914" s="21"/>
      <c r="C1914" s="4" t="s">
        <v>117</v>
      </c>
      <c r="D1914" s="6" t="str">
        <f>HYPERLINK("javascript:void(0)","szabo-penge")</f>
        <v>szabo-penge</v>
      </c>
    </row>
    <row r="1915" spans="1:4" ht="12.75" customHeight="1" x14ac:dyDescent="0.2">
      <c r="A1915" s="21"/>
      <c r="B1915" s="21"/>
      <c r="C1915" s="4" t="s">
        <v>68</v>
      </c>
      <c r="D1915" s="6" t="str">
        <f>HYPERLINK("javascript:void(0)","brummogás")</f>
        <v>brummogás</v>
      </c>
    </row>
    <row r="1916" spans="1:4" ht="12.75" customHeight="1" x14ac:dyDescent="0.2">
      <c r="A1916" s="21"/>
      <c r="B1916" s="2"/>
      <c r="C1916" s="2"/>
      <c r="D1916" s="2"/>
    </row>
    <row r="1917" spans="1:4" ht="12.75" customHeight="1" x14ac:dyDescent="0.2">
      <c r="A1917" s="21"/>
      <c r="B1917" s="2"/>
      <c r="C1917" s="2"/>
      <c r="D1917" s="2"/>
    </row>
    <row r="1918" spans="1:4" ht="12.75" customHeight="1" x14ac:dyDescent="0.2">
      <c r="A1918" s="21"/>
      <c r="B1918" s="2"/>
      <c r="C1918" s="2"/>
      <c r="D1918" s="2"/>
    </row>
    <row r="1919" spans="1:4" ht="12.75" customHeight="1" x14ac:dyDescent="0.2">
      <c r="A1919" s="21"/>
      <c r="B1919" s="2"/>
      <c r="C1919" s="2"/>
      <c r="D1919" s="2"/>
    </row>
    <row r="1920" spans="1:4" ht="12.75" customHeight="1" x14ac:dyDescent="0.2">
      <c r="A1920" s="5"/>
      <c r="B1920" s="2"/>
      <c r="C1920" s="2"/>
      <c r="D1920" s="2"/>
    </row>
    <row r="1921" spans="1:4" ht="12.75" customHeight="1" x14ac:dyDescent="0.2">
      <c r="A1921" s="22" t="str">
        <f>HYPERLINK("javascript:void(0)","teljes kithrillvért")</f>
        <v>teljes kithrillvért</v>
      </c>
      <c r="B1921" s="21"/>
      <c r="C1921" s="21"/>
      <c r="D1921" s="21"/>
    </row>
    <row r="1922" spans="1:4" ht="12.75" customHeight="1" x14ac:dyDescent="0.2">
      <c r="A1922" s="20"/>
      <c r="B1922" s="2"/>
      <c r="C1922" s="2"/>
      <c r="D1922" s="2"/>
    </row>
    <row r="1923" spans="1:4" ht="12.75" customHeight="1" x14ac:dyDescent="0.2">
      <c r="A1923" s="21"/>
      <c r="B1923" s="3" t="s">
        <v>0</v>
      </c>
      <c r="C1923" s="20" t="s">
        <v>161</v>
      </c>
      <c r="D1923" s="21"/>
    </row>
    <row r="1924" spans="1:4" ht="12.75" customHeight="1" x14ac:dyDescent="0.2">
      <c r="A1924" s="21"/>
      <c r="B1924" s="3" t="s">
        <v>2</v>
      </c>
      <c r="C1924" s="20" t="s">
        <v>2322</v>
      </c>
      <c r="D1924" s="21"/>
    </row>
    <row r="1925" spans="1:4" ht="12.75" customHeight="1" x14ac:dyDescent="0.2">
      <c r="A1925" s="21"/>
      <c r="B1925" s="3" t="s">
        <v>1840</v>
      </c>
      <c r="C1925" s="20" t="s">
        <v>2471</v>
      </c>
      <c r="D1925" s="21"/>
    </row>
    <row r="1926" spans="1:4" ht="12.75" customHeight="1" x14ac:dyDescent="0.2">
      <c r="A1926" s="21"/>
      <c r="B1926" s="3" t="s">
        <v>9</v>
      </c>
      <c r="C1926" s="20" t="s">
        <v>1152</v>
      </c>
      <c r="D1926" s="21"/>
    </row>
    <row r="1927" spans="1:4" ht="12.75" customHeight="1" x14ac:dyDescent="0.2">
      <c r="A1927" s="21"/>
      <c r="B1927" s="3" t="s">
        <v>11</v>
      </c>
      <c r="C1927" s="20" t="s">
        <v>1015</v>
      </c>
      <c r="D1927" s="21"/>
    </row>
    <row r="1928" spans="1:4" ht="12.75" customHeight="1" x14ac:dyDescent="0.2">
      <c r="A1928" s="21"/>
      <c r="B1928" s="3" t="s">
        <v>16</v>
      </c>
      <c r="C1928" s="20"/>
      <c r="D1928" s="21"/>
    </row>
    <row r="1929" spans="1:4" ht="12.75" customHeight="1" x14ac:dyDescent="0.2">
      <c r="A1929" s="21"/>
      <c r="B1929" s="3" t="s">
        <v>17</v>
      </c>
      <c r="C1929" s="20" t="s">
        <v>19</v>
      </c>
      <c r="D1929" s="21"/>
    </row>
    <row r="1930" spans="1:4" ht="12.75" customHeight="1" x14ac:dyDescent="0.2">
      <c r="A1930" s="21"/>
      <c r="B1930" s="20" t="s">
        <v>18</v>
      </c>
      <c r="C1930" s="4" t="s">
        <v>44</v>
      </c>
      <c r="D1930" s="6" t="str">
        <f>HYPERLINK("javascript:void(0)","teljes diszprovért")</f>
        <v>teljes diszprovért</v>
      </c>
    </row>
    <row r="1931" spans="1:4" ht="12.75" customHeight="1" x14ac:dyDescent="0.2">
      <c r="A1931" s="21"/>
      <c r="B1931" s="21"/>
      <c r="C1931" s="4" t="s">
        <v>68</v>
      </c>
      <c r="D1931" s="6" t="str">
        <f>HYPERLINK("javascript:void(0)","vaskarima")</f>
        <v>vaskarima</v>
      </c>
    </row>
    <row r="1932" spans="1:4" ht="12.75" customHeight="1" x14ac:dyDescent="0.2">
      <c r="A1932" s="21"/>
      <c r="B1932" s="21"/>
      <c r="C1932" s="4" t="s">
        <v>193</v>
      </c>
      <c r="D1932" s="6" t="str">
        <f>HYPERLINK("javascript:void(0)","bázispár")</f>
        <v>bázispár</v>
      </c>
    </row>
    <row r="1933" spans="1:4" ht="12.75" customHeight="1" x14ac:dyDescent="0.2">
      <c r="A1933" s="21"/>
      <c r="B1933" s="2"/>
      <c r="C1933" s="2"/>
      <c r="D1933" s="2"/>
    </row>
    <row r="1934" spans="1:4" ht="12.75" customHeight="1" x14ac:dyDescent="0.2">
      <c r="A1934" s="21"/>
      <c r="B1934" s="2"/>
      <c r="C1934" s="2"/>
      <c r="D1934" s="2"/>
    </row>
    <row r="1935" spans="1:4" ht="12.75" customHeight="1" x14ac:dyDescent="0.2">
      <c r="A1935" s="21"/>
      <c r="B1935" s="2"/>
      <c r="C1935" s="2"/>
      <c r="D1935" s="2"/>
    </row>
    <row r="1936" spans="1:4" ht="12.75" customHeight="1" x14ac:dyDescent="0.2">
      <c r="A1936" s="21"/>
      <c r="B1936" s="2"/>
      <c r="C1936" s="2"/>
      <c r="D1936" s="2"/>
    </row>
    <row r="1937" spans="1:4" ht="12.75" customHeight="1" x14ac:dyDescent="0.2">
      <c r="A1937" s="5"/>
      <c r="B1937" s="2"/>
      <c r="C1937" s="2"/>
      <c r="D1937" s="2"/>
    </row>
    <row r="1938" spans="1:4" ht="12.75" customHeight="1" x14ac:dyDescent="0.2">
      <c r="A1938" s="22" t="str">
        <f>HYPERLINK("javascript:void(0)","csillámló kristálypáncél")</f>
        <v>csillámló kristálypáncél</v>
      </c>
      <c r="B1938" s="21"/>
      <c r="C1938" s="21"/>
      <c r="D1938" s="21"/>
    </row>
    <row r="1939" spans="1:4" ht="12.75" customHeight="1" x14ac:dyDescent="0.2">
      <c r="A1939" s="20"/>
      <c r="B1939" s="2"/>
      <c r="C1939" s="2"/>
      <c r="D1939" s="2"/>
    </row>
    <row r="1940" spans="1:4" ht="12.75" customHeight="1" x14ac:dyDescent="0.2">
      <c r="A1940" s="21"/>
      <c r="B1940" s="3" t="s">
        <v>0</v>
      </c>
      <c r="C1940" s="20" t="s">
        <v>161</v>
      </c>
      <c r="D1940" s="21"/>
    </row>
    <row r="1941" spans="1:4" ht="12.75" customHeight="1" x14ac:dyDescent="0.2">
      <c r="A1941" s="21"/>
      <c r="B1941" s="3" t="s">
        <v>2</v>
      </c>
      <c r="C1941" s="20" t="s">
        <v>2322</v>
      </c>
      <c r="D1941" s="21"/>
    </row>
    <row r="1942" spans="1:4" ht="12.75" customHeight="1" x14ac:dyDescent="0.2">
      <c r="A1942" s="21"/>
      <c r="B1942" s="3" t="s">
        <v>1840</v>
      </c>
      <c r="C1942" s="20" t="s">
        <v>2472</v>
      </c>
      <c r="D1942" s="21"/>
    </row>
    <row r="1943" spans="1:4" ht="12.75" customHeight="1" x14ac:dyDescent="0.2">
      <c r="A1943" s="21"/>
      <c r="B1943" s="3" t="s">
        <v>9</v>
      </c>
      <c r="C1943" s="20" t="s">
        <v>1433</v>
      </c>
      <c r="D1943" s="21"/>
    </row>
    <row r="1944" spans="1:4" ht="12.75" customHeight="1" x14ac:dyDescent="0.2">
      <c r="A1944" s="21"/>
      <c r="B1944" s="3" t="s">
        <v>11</v>
      </c>
      <c r="C1944" s="20" t="s">
        <v>1015</v>
      </c>
      <c r="D1944" s="21"/>
    </row>
    <row r="1945" spans="1:4" ht="12.75" customHeight="1" x14ac:dyDescent="0.2">
      <c r="A1945" s="21"/>
      <c r="B1945" s="3" t="s">
        <v>16</v>
      </c>
      <c r="C1945" s="20"/>
      <c r="D1945" s="21"/>
    </row>
    <row r="1946" spans="1:4" ht="12.75" customHeight="1" x14ac:dyDescent="0.2">
      <c r="A1946" s="21"/>
      <c r="B1946" s="3" t="s">
        <v>17</v>
      </c>
      <c r="C1946" s="20" t="s">
        <v>19</v>
      </c>
      <c r="D1946" s="21"/>
    </row>
    <row r="1947" spans="1:4" ht="12.75" customHeight="1" x14ac:dyDescent="0.2">
      <c r="A1947" s="21"/>
      <c r="B1947" s="20" t="s">
        <v>18</v>
      </c>
      <c r="C1947" s="4" t="s">
        <v>57</v>
      </c>
      <c r="D1947" s="6" t="str">
        <f>HYPERLINK("javascript:void(0)","csillámgöb")</f>
        <v>csillámgöb</v>
      </c>
    </row>
    <row r="1948" spans="1:4" ht="25.5" customHeight="1" x14ac:dyDescent="0.2">
      <c r="A1948" s="21"/>
      <c r="B1948" s="21"/>
      <c r="C1948" s="4" t="s">
        <v>44</v>
      </c>
      <c r="D1948" s="6" t="str">
        <f>HYPERLINK("javascript:void(0)","csillámló sárkánypáncél")</f>
        <v>csillámló sárkánypáncél</v>
      </c>
    </row>
    <row r="1949" spans="1:4" ht="12.75" customHeight="1" x14ac:dyDescent="0.2">
      <c r="A1949" s="21"/>
      <c r="B1949" s="21"/>
      <c r="C1949" s="4" t="s">
        <v>988</v>
      </c>
      <c r="D1949" s="6" t="str">
        <f>HYPERLINK("javascript:void(0)","nekroige")</f>
        <v>nekroige</v>
      </c>
    </row>
    <row r="1950" spans="1:4" ht="12.75" customHeight="1" x14ac:dyDescent="0.2">
      <c r="A1950" s="21"/>
      <c r="B1950" s="2"/>
      <c r="C1950" s="2"/>
      <c r="D1950" s="2"/>
    </row>
    <row r="1951" spans="1:4" ht="12.75" customHeight="1" x14ac:dyDescent="0.2">
      <c r="A1951" s="21"/>
      <c r="B1951" s="2"/>
      <c r="C1951" s="2"/>
      <c r="D1951" s="2"/>
    </row>
    <row r="1952" spans="1:4" ht="12.75" customHeight="1" x14ac:dyDescent="0.2">
      <c r="A1952" s="21"/>
      <c r="B1952" s="2"/>
      <c r="C1952" s="2"/>
      <c r="D1952" s="2"/>
    </row>
    <row r="1953" spans="1:4" ht="12.75" customHeight="1" x14ac:dyDescent="0.2">
      <c r="A1953" s="21"/>
      <c r="B1953" s="2"/>
      <c r="C1953" s="2"/>
      <c r="D1953" s="2"/>
    </row>
    <row r="1954" spans="1:4" ht="12.75" customHeight="1" x14ac:dyDescent="0.2">
      <c r="A1954" s="5"/>
      <c r="B1954" s="2"/>
      <c r="C1954" s="2"/>
      <c r="D1954" s="2"/>
    </row>
    <row r="1955" spans="1:4" ht="12.75" customHeight="1" x14ac:dyDescent="0.2">
      <c r="A1955" s="22" t="str">
        <f>HYPERLINK("javascript:void(0)","teljes centrovért")</f>
        <v>teljes centrovért</v>
      </c>
      <c r="B1955" s="21"/>
      <c r="C1955" s="21"/>
      <c r="D1955" s="21"/>
    </row>
    <row r="1956" spans="1:4" ht="12.75" customHeight="1" x14ac:dyDescent="0.2">
      <c r="A1956" s="20"/>
      <c r="B1956" s="2"/>
      <c r="C1956" s="2"/>
      <c r="D1956" s="2"/>
    </row>
    <row r="1957" spans="1:4" ht="12.75" customHeight="1" x14ac:dyDescent="0.2">
      <c r="A1957" s="21"/>
      <c r="B1957" s="3" t="s">
        <v>0</v>
      </c>
      <c r="C1957" s="20" t="s">
        <v>253</v>
      </c>
      <c r="D1957" s="21"/>
    </row>
    <row r="1958" spans="1:4" ht="12.75" customHeight="1" x14ac:dyDescent="0.2">
      <c r="A1958" s="21"/>
      <c r="B1958" s="3" t="s">
        <v>2</v>
      </c>
      <c r="C1958" s="20" t="s">
        <v>2322</v>
      </c>
      <c r="D1958" s="21"/>
    </row>
    <row r="1959" spans="1:4" ht="12.75" customHeight="1" x14ac:dyDescent="0.2">
      <c r="A1959" s="21"/>
      <c r="B1959" s="3" t="s">
        <v>1840</v>
      </c>
      <c r="C1959" s="20" t="s">
        <v>2473</v>
      </c>
      <c r="D1959" s="21"/>
    </row>
    <row r="1960" spans="1:4" ht="12.75" customHeight="1" x14ac:dyDescent="0.2">
      <c r="A1960" s="21"/>
      <c r="B1960" s="3" t="s">
        <v>9</v>
      </c>
      <c r="C1960" s="20" t="s">
        <v>42</v>
      </c>
      <c r="D1960" s="21"/>
    </row>
    <row r="1961" spans="1:4" ht="12.75" customHeight="1" x14ac:dyDescent="0.2">
      <c r="A1961" s="21"/>
      <c r="B1961" s="3" t="s">
        <v>11</v>
      </c>
      <c r="C1961" s="20" t="s">
        <v>1035</v>
      </c>
      <c r="D1961" s="21"/>
    </row>
    <row r="1962" spans="1:4" ht="12.75" customHeight="1" x14ac:dyDescent="0.2">
      <c r="A1962" s="21"/>
      <c r="B1962" s="3" t="s">
        <v>16</v>
      </c>
      <c r="C1962" s="20"/>
      <c r="D1962" s="21"/>
    </row>
    <row r="1963" spans="1:4" ht="12.75" customHeight="1" x14ac:dyDescent="0.2">
      <c r="A1963" s="21"/>
      <c r="B1963" s="3" t="s">
        <v>17</v>
      </c>
      <c r="C1963" s="20" t="s">
        <v>19</v>
      </c>
      <c r="D1963" s="21"/>
    </row>
    <row r="1964" spans="1:4" ht="12.75" customHeight="1" x14ac:dyDescent="0.2">
      <c r="A1964" s="21"/>
      <c r="B1964" s="20" t="s">
        <v>18</v>
      </c>
      <c r="C1964" s="4" t="s">
        <v>280</v>
      </c>
      <c r="D1964" s="6" t="str">
        <f>HYPERLINK("javascript:void(0)","centrolium")</f>
        <v>centrolium</v>
      </c>
    </row>
    <row r="1965" spans="1:4" ht="12.75" customHeight="1" x14ac:dyDescent="0.2">
      <c r="A1965" s="21"/>
      <c r="B1965" s="21"/>
      <c r="C1965" s="4" t="s">
        <v>163</v>
      </c>
      <c r="D1965" s="6" t="str">
        <f>HYPERLINK("javascript:void(0)","törmelék")</f>
        <v>törmelék</v>
      </c>
    </row>
    <row r="1966" spans="1:4" ht="12.75" customHeight="1" x14ac:dyDescent="0.2">
      <c r="A1966" s="21"/>
      <c r="B1966" s="21"/>
      <c r="C1966" s="4" t="s">
        <v>382</v>
      </c>
      <c r="D1966" s="6" t="str">
        <f>HYPERLINK("javascript:void(0)","orr")</f>
        <v>orr</v>
      </c>
    </row>
    <row r="1967" spans="1:4" ht="12.75" customHeight="1" x14ac:dyDescent="0.2">
      <c r="A1967" s="21"/>
      <c r="B1967" s="2"/>
      <c r="C1967" s="2"/>
      <c r="D1967" s="2"/>
    </row>
    <row r="1968" spans="1:4" ht="12.75" customHeight="1" x14ac:dyDescent="0.2">
      <c r="A1968" s="21"/>
      <c r="B1968" s="2"/>
      <c r="C1968" s="2"/>
      <c r="D1968" s="2"/>
    </row>
    <row r="1969" spans="1:4" ht="12.75" customHeight="1" x14ac:dyDescent="0.2">
      <c r="A1969" s="21"/>
      <c r="B1969" s="2"/>
      <c r="C1969" s="2"/>
      <c r="D1969" s="2"/>
    </row>
    <row r="1970" spans="1:4" ht="12.75" customHeight="1" x14ac:dyDescent="0.2">
      <c r="A1970" s="21"/>
      <c r="B1970" s="2"/>
      <c r="C1970" s="2"/>
      <c r="D1970" s="2"/>
    </row>
    <row r="1971" spans="1:4" ht="12.75" customHeight="1" x14ac:dyDescent="0.2">
      <c r="A1971" s="5"/>
      <c r="B1971" s="2"/>
      <c r="C1971" s="2"/>
      <c r="D1971" s="2"/>
    </row>
    <row r="1972" spans="1:4" ht="12.75" customHeight="1" x14ac:dyDescent="0.2">
      <c r="A1972" s="22" t="str">
        <f>HYPERLINK("javascript:void(0)","rubin fűző")</f>
        <v>rubin fűző</v>
      </c>
      <c r="B1972" s="21"/>
      <c r="C1972" s="21"/>
      <c r="D1972" s="21"/>
    </row>
    <row r="1973" spans="1:4" ht="12.75" customHeight="1" x14ac:dyDescent="0.2">
      <c r="A1973" s="20"/>
      <c r="B1973" s="2"/>
      <c r="C1973" s="2"/>
      <c r="D1973" s="2"/>
    </row>
    <row r="1974" spans="1:4" ht="12.75" customHeight="1" x14ac:dyDescent="0.2">
      <c r="A1974" s="21"/>
      <c r="B1974" s="3" t="s">
        <v>0</v>
      </c>
      <c r="C1974" s="20" t="s">
        <v>253</v>
      </c>
      <c r="D1974" s="21"/>
    </row>
    <row r="1975" spans="1:4" ht="12.75" customHeight="1" x14ac:dyDescent="0.2">
      <c r="A1975" s="21"/>
      <c r="B1975" s="3" t="s">
        <v>2</v>
      </c>
      <c r="C1975" s="20" t="s">
        <v>2322</v>
      </c>
      <c r="D1975" s="21"/>
    </row>
    <row r="1976" spans="1:4" ht="12.75" customHeight="1" x14ac:dyDescent="0.2">
      <c r="A1976" s="21"/>
      <c r="B1976" s="3" t="s">
        <v>1840</v>
      </c>
      <c r="C1976" s="20" t="s">
        <v>417</v>
      </c>
      <c r="D1976" s="21"/>
    </row>
    <row r="1977" spans="1:4" ht="12.75" customHeight="1" x14ac:dyDescent="0.2">
      <c r="A1977" s="21"/>
      <c r="B1977" s="3" t="s">
        <v>9</v>
      </c>
      <c r="C1977" s="20" t="s">
        <v>42</v>
      </c>
      <c r="D1977" s="21"/>
    </row>
    <row r="1978" spans="1:4" ht="12.75" customHeight="1" x14ac:dyDescent="0.2">
      <c r="A1978" s="21"/>
      <c r="B1978" s="3" t="s">
        <v>11</v>
      </c>
      <c r="C1978" s="20" t="s">
        <v>368</v>
      </c>
      <c r="D1978" s="21"/>
    </row>
    <row r="1979" spans="1:4" ht="12.75" customHeight="1" x14ac:dyDescent="0.2">
      <c r="A1979" s="21"/>
      <c r="B1979" s="3" t="s">
        <v>16</v>
      </c>
      <c r="C1979" s="20"/>
      <c r="D1979" s="21"/>
    </row>
    <row r="1980" spans="1:4" ht="12.75" customHeight="1" x14ac:dyDescent="0.2">
      <c r="A1980" s="21"/>
      <c r="B1980" s="3" t="s">
        <v>17</v>
      </c>
      <c r="C1980" s="20" t="s">
        <v>19</v>
      </c>
      <c r="D1980" s="21"/>
    </row>
    <row r="1981" spans="1:4" ht="12.75" customHeight="1" x14ac:dyDescent="0.2">
      <c r="A1981" s="21"/>
      <c r="B1981" s="20" t="s">
        <v>18</v>
      </c>
      <c r="C1981" s="4" t="s">
        <v>323</v>
      </c>
      <c r="D1981" s="6" t="str">
        <f>HYPERLINK("javascript:void(0)","rubin")</f>
        <v>rubin</v>
      </c>
    </row>
    <row r="1982" spans="1:4" ht="12.75" customHeight="1" x14ac:dyDescent="0.2">
      <c r="A1982" s="21"/>
      <c r="B1982" s="21"/>
      <c r="C1982" s="4" t="s">
        <v>139</v>
      </c>
      <c r="D1982" s="6" t="str">
        <f>HYPERLINK("javascript:void(0)","vitorla")</f>
        <v>vitorla</v>
      </c>
    </row>
    <row r="1983" spans="1:4" ht="12.75" customHeight="1" x14ac:dyDescent="0.2">
      <c r="A1983" s="21"/>
      <c r="B1983" s="21"/>
      <c r="C1983" s="4" t="s">
        <v>98</v>
      </c>
      <c r="D1983" s="6" t="str">
        <f>HYPERLINK("javascript:void(0)","fókaprém")</f>
        <v>fókaprém</v>
      </c>
    </row>
    <row r="1984" spans="1:4" ht="12.75" customHeight="1" x14ac:dyDescent="0.2">
      <c r="A1984" s="21"/>
      <c r="B1984" s="2"/>
      <c r="C1984" s="2"/>
      <c r="D1984" s="2"/>
    </row>
    <row r="1985" spans="1:4" ht="12.75" customHeight="1" x14ac:dyDescent="0.2">
      <c r="A1985" s="21"/>
      <c r="B1985" s="2"/>
      <c r="C1985" s="2"/>
      <c r="D1985" s="2"/>
    </row>
    <row r="1986" spans="1:4" ht="12.75" customHeight="1" x14ac:dyDescent="0.2">
      <c r="A1986" s="21"/>
      <c r="B1986" s="2"/>
      <c r="C1986" s="2"/>
      <c r="D1986" s="2"/>
    </row>
    <row r="1987" spans="1:4" ht="12.75" customHeight="1" x14ac:dyDescent="0.2">
      <c r="A1987" s="21"/>
      <c r="B1987" s="2"/>
      <c r="C1987" s="2"/>
      <c r="D1987" s="2"/>
    </row>
    <row r="1988" spans="1:4" ht="12.75" customHeight="1" x14ac:dyDescent="0.2">
      <c r="A1988" s="5"/>
      <c r="B1988" s="2"/>
      <c r="C1988" s="2"/>
      <c r="D1988" s="2"/>
    </row>
    <row r="1989" spans="1:4" ht="12.75" customHeight="1" x14ac:dyDescent="0.2">
      <c r="A1989" s="22" t="str">
        <f>HYPERLINK("javascript:void(0)","teljes hipervért")</f>
        <v>teljes hipervért</v>
      </c>
      <c r="B1989" s="21"/>
      <c r="C1989" s="21"/>
      <c r="D1989" s="21"/>
    </row>
    <row r="1990" spans="1:4" ht="12.75" customHeight="1" x14ac:dyDescent="0.2">
      <c r="A1990" s="20"/>
      <c r="B1990" s="2"/>
      <c r="C1990" s="2"/>
      <c r="D1990" s="2"/>
    </row>
    <row r="1991" spans="1:4" ht="12.75" customHeight="1" x14ac:dyDescent="0.2">
      <c r="A1991" s="21"/>
      <c r="B1991" s="3" t="s">
        <v>0</v>
      </c>
      <c r="C1991" s="20" t="s">
        <v>773</v>
      </c>
      <c r="D1991" s="21"/>
    </row>
    <row r="1992" spans="1:4" ht="12.75" customHeight="1" x14ac:dyDescent="0.2">
      <c r="A1992" s="21"/>
      <c r="B1992" s="3" t="s">
        <v>2</v>
      </c>
      <c r="C1992" s="20" t="s">
        <v>2322</v>
      </c>
      <c r="D1992" s="21"/>
    </row>
    <row r="1993" spans="1:4" ht="12.75" customHeight="1" x14ac:dyDescent="0.2">
      <c r="A1993" s="21"/>
      <c r="B1993" s="3" t="s">
        <v>1840</v>
      </c>
      <c r="C1993" s="20" t="s">
        <v>2474</v>
      </c>
      <c r="D1993" s="21"/>
    </row>
    <row r="1994" spans="1:4" ht="12.75" customHeight="1" x14ac:dyDescent="0.2">
      <c r="A1994" s="21"/>
      <c r="B1994" s="3" t="s">
        <v>9</v>
      </c>
      <c r="C1994" s="20" t="s">
        <v>2475</v>
      </c>
      <c r="D1994" s="21"/>
    </row>
    <row r="1995" spans="1:4" ht="12.75" customHeight="1" x14ac:dyDescent="0.2">
      <c r="A1995" s="21"/>
      <c r="B1995" s="3" t="s">
        <v>11</v>
      </c>
      <c r="C1995" s="20" t="s">
        <v>1055</v>
      </c>
      <c r="D1995" s="21"/>
    </row>
    <row r="1996" spans="1:4" ht="12.75" customHeight="1" x14ac:dyDescent="0.2">
      <c r="A1996" s="21"/>
      <c r="B1996" s="3" t="s">
        <v>16</v>
      </c>
      <c r="C1996" s="20"/>
      <c r="D1996" s="21"/>
    </row>
    <row r="1997" spans="1:4" ht="12.75" customHeight="1" x14ac:dyDescent="0.2">
      <c r="A1997" s="21"/>
      <c r="B1997" s="3" t="s">
        <v>17</v>
      </c>
      <c r="C1997" s="20" t="s">
        <v>19</v>
      </c>
      <c r="D1997" s="21"/>
    </row>
    <row r="1998" spans="1:4" ht="12.75" customHeight="1" x14ac:dyDescent="0.2">
      <c r="A1998" s="21"/>
      <c r="B1998" s="20" t="s">
        <v>18</v>
      </c>
      <c r="C1998" s="4" t="s">
        <v>44</v>
      </c>
      <c r="D1998" s="6" t="str">
        <f>HYPERLINK("javascript:void(0)","teljes centrovért")</f>
        <v>teljes centrovért</v>
      </c>
    </row>
    <row r="1999" spans="1:4" ht="12.75" customHeight="1" x14ac:dyDescent="0.2">
      <c r="A1999" s="21"/>
      <c r="B1999" s="21"/>
      <c r="C1999" s="4" t="s">
        <v>44</v>
      </c>
      <c r="D1999" s="6" t="str">
        <f>HYPERLINK("javascript:void(0)","teljes kithrillvért")</f>
        <v>teljes kithrillvért</v>
      </c>
    </row>
    <row r="2000" spans="1:4" ht="12.75" customHeight="1" x14ac:dyDescent="0.2">
      <c r="A2000" s="21"/>
      <c r="B2000" s="21"/>
      <c r="C2000" s="4" t="s">
        <v>44</v>
      </c>
      <c r="D2000" s="6" t="str">
        <f>HYPERLINK("javascript:void(0)","hiper vállap")</f>
        <v>hiper vállap</v>
      </c>
    </row>
    <row r="2001" spans="1:4" ht="12.75" customHeight="1" x14ac:dyDescent="0.2">
      <c r="A2001" s="21"/>
      <c r="B2001" s="2"/>
      <c r="C2001" s="2"/>
      <c r="D2001" s="2"/>
    </row>
    <row r="2002" spans="1:4" ht="12.75" customHeight="1" x14ac:dyDescent="0.2">
      <c r="A2002" s="21"/>
      <c r="B2002" s="2"/>
      <c r="C2002" s="2"/>
      <c r="D2002" s="2"/>
    </row>
    <row r="2003" spans="1:4" ht="12.75" customHeight="1" x14ac:dyDescent="0.2">
      <c r="A2003" s="21"/>
      <c r="B2003" s="2"/>
      <c r="C2003" s="2"/>
      <c r="D2003" s="2"/>
    </row>
    <row r="2004" spans="1:4" ht="12.75" customHeight="1" x14ac:dyDescent="0.2">
      <c r="A2004" s="21"/>
      <c r="B2004" s="2"/>
      <c r="C2004" s="2"/>
      <c r="D2004" s="2"/>
    </row>
    <row r="2005" spans="1:4" ht="12.75" customHeight="1" x14ac:dyDescent="0.2">
      <c r="A2005" s="5"/>
      <c r="B2005" s="2"/>
      <c r="C2005" s="2"/>
      <c r="D2005" s="2"/>
    </row>
    <row r="2006" spans="1:4" ht="12.75" customHeight="1" x14ac:dyDescent="0.2">
      <c r="A2006" s="22" t="str">
        <f>HYPERLINK("javascript:void(0)","teljes hidracélvért")</f>
        <v>teljes hidracélvért</v>
      </c>
      <c r="B2006" s="21"/>
      <c r="C2006" s="21"/>
      <c r="D2006" s="21"/>
    </row>
    <row r="2007" spans="1:4" ht="12.75" customHeight="1" x14ac:dyDescent="0.2">
      <c r="A2007" s="20"/>
      <c r="B2007" s="2"/>
      <c r="C2007" s="2"/>
      <c r="D2007" s="2"/>
    </row>
    <row r="2008" spans="1:4" ht="12.75" customHeight="1" x14ac:dyDescent="0.2">
      <c r="A2008" s="21"/>
      <c r="B2008" s="3" t="s">
        <v>0</v>
      </c>
      <c r="C2008" s="20" t="s">
        <v>776</v>
      </c>
      <c r="D2008" s="21"/>
    </row>
    <row r="2009" spans="1:4" ht="12.75" customHeight="1" x14ac:dyDescent="0.2">
      <c r="A2009" s="21"/>
      <c r="B2009" s="3" t="s">
        <v>2</v>
      </c>
      <c r="C2009" s="20" t="s">
        <v>2322</v>
      </c>
      <c r="D2009" s="21"/>
    </row>
    <row r="2010" spans="1:4" ht="12.75" customHeight="1" x14ac:dyDescent="0.2">
      <c r="A2010" s="21"/>
      <c r="B2010" s="3" t="s">
        <v>1840</v>
      </c>
      <c r="C2010" s="20" t="s">
        <v>611</v>
      </c>
      <c r="D2010" s="21"/>
    </row>
    <row r="2011" spans="1:4" ht="12.75" customHeight="1" x14ac:dyDescent="0.2">
      <c r="A2011" s="21"/>
      <c r="B2011" s="3" t="s">
        <v>9</v>
      </c>
      <c r="C2011" s="20" t="s">
        <v>1324</v>
      </c>
      <c r="D2011" s="21"/>
    </row>
    <row r="2012" spans="1:4" ht="12.75" customHeight="1" x14ac:dyDescent="0.2">
      <c r="A2012" s="21"/>
      <c r="B2012" s="3" t="s">
        <v>11</v>
      </c>
      <c r="C2012" s="20" t="s">
        <v>1071</v>
      </c>
      <c r="D2012" s="21"/>
    </row>
    <row r="2013" spans="1:4" ht="12.75" customHeight="1" x14ac:dyDescent="0.2">
      <c r="A2013" s="21"/>
      <c r="B2013" s="3" t="s">
        <v>16</v>
      </c>
      <c r="C2013" s="20"/>
      <c r="D2013" s="21"/>
    </row>
    <row r="2014" spans="1:4" ht="12.75" customHeight="1" x14ac:dyDescent="0.2">
      <c r="A2014" s="21"/>
      <c r="B2014" s="3" t="s">
        <v>17</v>
      </c>
      <c r="C2014" s="20" t="s">
        <v>19</v>
      </c>
      <c r="D2014" s="21"/>
    </row>
    <row r="2015" spans="1:4" ht="12.75" customHeight="1" x14ac:dyDescent="0.2">
      <c r="A2015" s="21"/>
      <c r="B2015" s="20" t="s">
        <v>18</v>
      </c>
      <c r="C2015" s="4" t="s">
        <v>44</v>
      </c>
      <c r="D2015" s="6" t="str">
        <f>HYPERLINK("javascript:void(0)","teljes hipervért")</f>
        <v>teljes hipervért</v>
      </c>
    </row>
    <row r="2016" spans="1:4" ht="12.75" customHeight="1" x14ac:dyDescent="0.2">
      <c r="A2016" s="21"/>
      <c r="B2016" s="21"/>
      <c r="C2016" s="4" t="s">
        <v>163</v>
      </c>
      <c r="D2016" s="6" t="str">
        <f>HYPERLINK("javascript:void(0)","hagymapikkely")</f>
        <v>hagymapikkely</v>
      </c>
    </row>
    <row r="2017" spans="1:4" ht="12.75" customHeight="1" x14ac:dyDescent="0.2">
      <c r="A2017" s="21"/>
      <c r="B2017" s="21"/>
      <c r="C2017" s="4" t="s">
        <v>280</v>
      </c>
      <c r="D2017" s="6" t="str">
        <f>HYPERLINK("javascript:void(0)","szén-hidragén")</f>
        <v>szén-hidragén</v>
      </c>
    </row>
    <row r="2018" spans="1:4" ht="12.75" customHeight="1" x14ac:dyDescent="0.2">
      <c r="A2018" s="21"/>
      <c r="B2018" s="2"/>
      <c r="C2018" s="2"/>
      <c r="D2018" s="2"/>
    </row>
    <row r="2019" spans="1:4" ht="12.75" customHeight="1" x14ac:dyDescent="0.2">
      <c r="A2019" s="21"/>
      <c r="B2019" s="2"/>
      <c r="C2019" s="2"/>
      <c r="D2019" s="2"/>
    </row>
    <row r="2020" spans="1:4" ht="12.75" customHeight="1" x14ac:dyDescent="0.2">
      <c r="A2020" s="21"/>
      <c r="B2020" s="2"/>
      <c r="C2020" s="2"/>
      <c r="D2020" s="2"/>
    </row>
    <row r="2021" spans="1:4" ht="12.75" customHeight="1" x14ac:dyDescent="0.2">
      <c r="A2021" s="21"/>
      <c r="B2021" s="2"/>
      <c r="C2021" s="2"/>
      <c r="D2021" s="2"/>
    </row>
    <row r="2022" spans="1:4" ht="12.75" customHeight="1" x14ac:dyDescent="0.2">
      <c r="A2022" s="5"/>
      <c r="B2022" s="2"/>
      <c r="C2022" s="2"/>
      <c r="D2022" s="2"/>
    </row>
    <row r="2023" spans="1:4" ht="12.75" customHeight="1" x14ac:dyDescent="0.2">
      <c r="A2023" s="22" t="str">
        <f>HYPERLINK("javascript:void(0)","izzó rostély")</f>
        <v>izzó rostély</v>
      </c>
      <c r="B2023" s="21"/>
      <c r="C2023" s="21"/>
      <c r="D2023" s="21"/>
    </row>
    <row r="2024" spans="1:4" ht="12.75" customHeight="1" x14ac:dyDescent="0.2">
      <c r="A2024" s="20"/>
      <c r="B2024" s="2"/>
      <c r="C2024" s="2"/>
      <c r="D2024" s="2"/>
    </row>
    <row r="2025" spans="1:4" ht="12.75" customHeight="1" x14ac:dyDescent="0.2">
      <c r="A2025" s="21"/>
      <c r="B2025" s="3" t="s">
        <v>0</v>
      </c>
      <c r="C2025" s="20" t="s">
        <v>776</v>
      </c>
      <c r="D2025" s="21"/>
    </row>
    <row r="2026" spans="1:4" ht="12.75" customHeight="1" x14ac:dyDescent="0.2">
      <c r="A2026" s="21"/>
      <c r="B2026" s="3" t="s">
        <v>2</v>
      </c>
      <c r="C2026" s="20" t="s">
        <v>2322</v>
      </c>
      <c r="D2026" s="21"/>
    </row>
    <row r="2027" spans="1:4" ht="12.75" customHeight="1" x14ac:dyDescent="0.2">
      <c r="A2027" s="21"/>
      <c r="B2027" s="3" t="s">
        <v>1840</v>
      </c>
      <c r="C2027" s="20" t="s">
        <v>417</v>
      </c>
      <c r="D2027" s="21"/>
    </row>
    <row r="2028" spans="1:4" ht="12.75" customHeight="1" x14ac:dyDescent="0.2">
      <c r="A2028" s="21"/>
      <c r="B2028" s="3" t="s">
        <v>9</v>
      </c>
      <c r="C2028" s="20" t="s">
        <v>42</v>
      </c>
      <c r="D2028" s="21"/>
    </row>
    <row r="2029" spans="1:4" ht="12.75" customHeight="1" x14ac:dyDescent="0.2">
      <c r="A2029" s="21"/>
      <c r="B2029" s="3" t="s">
        <v>11</v>
      </c>
      <c r="C2029" s="20" t="s">
        <v>368</v>
      </c>
      <c r="D2029" s="21"/>
    </row>
    <row r="2030" spans="1:4" ht="12.75" customHeight="1" x14ac:dyDescent="0.2">
      <c r="A2030" s="21"/>
      <c r="B2030" s="3" t="s">
        <v>16</v>
      </c>
      <c r="C2030" s="20"/>
      <c r="D2030" s="21"/>
    </row>
    <row r="2031" spans="1:4" ht="12.75" customHeight="1" x14ac:dyDescent="0.2">
      <c r="A2031" s="21"/>
      <c r="B2031" s="3" t="s">
        <v>17</v>
      </c>
      <c r="C2031" s="20" t="s">
        <v>19</v>
      </c>
      <c r="D2031" s="21"/>
    </row>
    <row r="2032" spans="1:4" ht="12.75" customHeight="1" x14ac:dyDescent="0.2">
      <c r="A2032" s="21"/>
      <c r="B2032" s="20" t="s">
        <v>18</v>
      </c>
      <c r="C2032" s="4" t="s">
        <v>77</v>
      </c>
      <c r="D2032" s="6" t="str">
        <f>HYPERLINK("javascript:void(0)","sárkányzsák")</f>
        <v>sárkányzsák</v>
      </c>
    </row>
    <row r="2033" spans="1:4" ht="12.75" customHeight="1" x14ac:dyDescent="0.2">
      <c r="A2033" s="21"/>
      <c r="B2033" s="21"/>
      <c r="C2033" s="4" t="s">
        <v>117</v>
      </c>
      <c r="D2033" s="6" t="str">
        <f>HYPERLINK("javascript:void(0)","térszelet")</f>
        <v>térszelet</v>
      </c>
    </row>
    <row r="2034" spans="1:4" ht="12.75" customHeight="1" x14ac:dyDescent="0.2">
      <c r="A2034" s="21"/>
      <c r="B2034" s="21"/>
      <c r="C2034" s="4" t="s">
        <v>106</v>
      </c>
      <c r="D2034" s="6" t="str">
        <f>HYPERLINK("javascript:void(0)","ámbra")</f>
        <v>ámbra</v>
      </c>
    </row>
    <row r="2035" spans="1:4" ht="12.75" customHeight="1" x14ac:dyDescent="0.2">
      <c r="A2035" s="21"/>
      <c r="B2035" s="2"/>
      <c r="C2035" s="2"/>
      <c r="D2035" s="2"/>
    </row>
    <row r="2036" spans="1:4" ht="12.75" customHeight="1" x14ac:dyDescent="0.2">
      <c r="A2036" s="21"/>
      <c r="B2036" s="2"/>
      <c r="C2036" s="2"/>
      <c r="D2036" s="2"/>
    </row>
    <row r="2037" spans="1:4" ht="12.75" customHeight="1" x14ac:dyDescent="0.2">
      <c r="A2037" s="21"/>
      <c r="B2037" s="2"/>
      <c r="C2037" s="2"/>
      <c r="D2037" s="2"/>
    </row>
    <row r="2038" spans="1:4" ht="12.75" customHeight="1" x14ac:dyDescent="0.2">
      <c r="A2038" s="21"/>
      <c r="B2038" s="2"/>
      <c r="C2038" s="2"/>
      <c r="D2038" s="2"/>
    </row>
    <row r="2039" spans="1:4" ht="12.75" customHeight="1" x14ac:dyDescent="0.2">
      <c r="A2039" s="5"/>
      <c r="B2039" s="2"/>
      <c r="C2039" s="2"/>
      <c r="D2039" s="2"/>
    </row>
    <row r="2040" spans="1:4" ht="12.75" customHeight="1" x14ac:dyDescent="0.2">
      <c r="A2040" s="22" t="str">
        <f>HYPERLINK("javascript:void(0)","teljes démonvért")</f>
        <v>teljes démonvért</v>
      </c>
      <c r="B2040" s="21"/>
      <c r="C2040" s="21"/>
      <c r="D2040" s="21"/>
    </row>
    <row r="2041" spans="1:4" ht="12.75" customHeight="1" x14ac:dyDescent="0.2">
      <c r="A2041" s="20"/>
      <c r="B2041" s="2"/>
      <c r="C2041" s="2"/>
      <c r="D2041" s="2"/>
    </row>
    <row r="2042" spans="1:4" ht="12.75" customHeight="1" x14ac:dyDescent="0.2">
      <c r="A2042" s="21"/>
      <c r="B2042" s="3" t="s">
        <v>0</v>
      </c>
      <c r="C2042" s="20" t="s">
        <v>782</v>
      </c>
      <c r="D2042" s="21"/>
    </row>
    <row r="2043" spans="1:4" ht="12.75" customHeight="1" x14ac:dyDescent="0.2">
      <c r="A2043" s="21"/>
      <c r="B2043" s="3" t="s">
        <v>2</v>
      </c>
      <c r="C2043" s="20" t="s">
        <v>2322</v>
      </c>
      <c r="D2043" s="21"/>
    </row>
    <row r="2044" spans="1:4" ht="12.75" customHeight="1" x14ac:dyDescent="0.2">
      <c r="A2044" s="21"/>
      <c r="B2044" s="3" t="s">
        <v>1840</v>
      </c>
      <c r="C2044" s="20" t="s">
        <v>2476</v>
      </c>
      <c r="D2044" s="21"/>
    </row>
    <row r="2045" spans="1:4" ht="12.75" customHeight="1" x14ac:dyDescent="0.2">
      <c r="A2045" s="21"/>
      <c r="B2045" s="3" t="s">
        <v>9</v>
      </c>
      <c r="C2045" s="20" t="s">
        <v>916</v>
      </c>
      <c r="D2045" s="21"/>
    </row>
    <row r="2046" spans="1:4" ht="12.75" customHeight="1" x14ac:dyDescent="0.2">
      <c r="A2046" s="21"/>
      <c r="B2046" s="3" t="s">
        <v>11</v>
      </c>
      <c r="C2046" s="20" t="s">
        <v>1090</v>
      </c>
      <c r="D2046" s="21"/>
    </row>
    <row r="2047" spans="1:4" ht="12.75" customHeight="1" x14ac:dyDescent="0.2">
      <c r="A2047" s="21"/>
      <c r="B2047" s="3" t="s">
        <v>16</v>
      </c>
      <c r="C2047" s="20"/>
      <c r="D2047" s="21"/>
    </row>
    <row r="2048" spans="1:4" ht="12.75" customHeight="1" x14ac:dyDescent="0.2">
      <c r="A2048" s="21"/>
      <c r="B2048" s="3" t="s">
        <v>17</v>
      </c>
      <c r="C2048" s="20" t="s">
        <v>19</v>
      </c>
      <c r="D2048" s="21"/>
    </row>
    <row r="2049" spans="1:4" ht="12.75" customHeight="1" x14ac:dyDescent="0.2">
      <c r="A2049" s="21"/>
      <c r="B2049" s="20" t="s">
        <v>18</v>
      </c>
      <c r="C2049" s="4" t="s">
        <v>212</v>
      </c>
      <c r="D2049" s="6" t="str">
        <f>HYPERLINK("javascript:void(0)","démonzanza")</f>
        <v>démonzanza</v>
      </c>
    </row>
    <row r="2050" spans="1:4" ht="12.75" customHeight="1" x14ac:dyDescent="0.2">
      <c r="A2050" s="21"/>
      <c r="B2050" s="21"/>
      <c r="C2050" s="4" t="s">
        <v>290</v>
      </c>
      <c r="D2050" s="6" t="str">
        <f>HYPERLINK("javascript:void(0)","bigapata")</f>
        <v>bigapata</v>
      </c>
    </row>
    <row r="2051" spans="1:4" ht="12.75" customHeight="1" x14ac:dyDescent="0.2">
      <c r="A2051" s="21"/>
      <c r="B2051" s="21"/>
      <c r="C2051" s="4" t="s">
        <v>184</v>
      </c>
      <c r="D2051" s="6" t="str">
        <f>HYPERLINK("javascript:void(0)","törmelék")</f>
        <v>törmelék</v>
      </c>
    </row>
    <row r="2052" spans="1:4" ht="12.75" customHeight="1" x14ac:dyDescent="0.2">
      <c r="A2052" s="21"/>
      <c r="B2052" s="2"/>
      <c r="C2052" s="2"/>
      <c r="D2052" s="2"/>
    </row>
    <row r="2053" spans="1:4" ht="12.75" customHeight="1" x14ac:dyDescent="0.2">
      <c r="A2053" s="21"/>
      <c r="B2053" s="2"/>
      <c r="C2053" s="2"/>
      <c r="D2053" s="2"/>
    </row>
    <row r="2054" spans="1:4" ht="12.75" customHeight="1" x14ac:dyDescent="0.2">
      <c r="A2054" s="21"/>
      <c r="B2054" s="2"/>
      <c r="C2054" s="2"/>
      <c r="D2054" s="2"/>
    </row>
    <row r="2055" spans="1:4" ht="12.75" customHeight="1" x14ac:dyDescent="0.2">
      <c r="A2055" s="21"/>
      <c r="B2055" s="2"/>
      <c r="C2055" s="2"/>
      <c r="D2055" s="2"/>
    </row>
    <row r="2056" spans="1:4" ht="12.75" customHeight="1" x14ac:dyDescent="0.2">
      <c r="A2056" s="5"/>
      <c r="B2056" s="2"/>
      <c r="C2056" s="2"/>
      <c r="D2056" s="2"/>
    </row>
    <row r="2057" spans="1:4" ht="12.75" customHeight="1" x14ac:dyDescent="0.2">
      <c r="A2057" s="22" t="str">
        <f>HYPERLINK("javascript:void(0)","kithrill fűző")</f>
        <v>kithrill fűző</v>
      </c>
      <c r="B2057" s="21"/>
      <c r="C2057" s="21"/>
      <c r="D2057" s="21"/>
    </row>
    <row r="2058" spans="1:4" ht="12.75" customHeight="1" x14ac:dyDescent="0.2">
      <c r="A2058" s="20"/>
      <c r="B2058" s="2"/>
      <c r="C2058" s="2"/>
      <c r="D2058" s="2"/>
    </row>
    <row r="2059" spans="1:4" ht="12.75" customHeight="1" x14ac:dyDescent="0.2">
      <c r="A2059" s="21"/>
      <c r="B2059" s="3" t="s">
        <v>0</v>
      </c>
      <c r="C2059" s="20" t="s">
        <v>782</v>
      </c>
      <c r="D2059" s="21"/>
    </row>
    <row r="2060" spans="1:4" ht="12.75" customHeight="1" x14ac:dyDescent="0.2">
      <c r="A2060" s="21"/>
      <c r="B2060" s="3" t="s">
        <v>2</v>
      </c>
      <c r="C2060" s="20" t="s">
        <v>2322</v>
      </c>
      <c r="D2060" s="21"/>
    </row>
    <row r="2061" spans="1:4" ht="12.75" customHeight="1" x14ac:dyDescent="0.2">
      <c r="A2061" s="21"/>
      <c r="B2061" s="3" t="s">
        <v>1840</v>
      </c>
      <c r="C2061" s="20" t="s">
        <v>417</v>
      </c>
      <c r="D2061" s="21"/>
    </row>
    <row r="2062" spans="1:4" ht="12.75" customHeight="1" x14ac:dyDescent="0.2">
      <c r="A2062" s="21"/>
      <c r="B2062" s="3" t="s">
        <v>9</v>
      </c>
      <c r="C2062" s="20" t="s">
        <v>42</v>
      </c>
      <c r="D2062" s="21"/>
    </row>
    <row r="2063" spans="1:4" ht="12.75" customHeight="1" x14ac:dyDescent="0.2">
      <c r="A2063" s="21"/>
      <c r="B2063" s="3" t="s">
        <v>11</v>
      </c>
      <c r="C2063" s="20" t="s">
        <v>368</v>
      </c>
      <c r="D2063" s="21"/>
    </row>
    <row r="2064" spans="1:4" ht="12.75" customHeight="1" x14ac:dyDescent="0.2">
      <c r="A2064" s="21"/>
      <c r="B2064" s="3" t="s">
        <v>16</v>
      </c>
      <c r="C2064" s="20"/>
      <c r="D2064" s="21"/>
    </row>
    <row r="2065" spans="1:4" ht="12.75" customHeight="1" x14ac:dyDescent="0.2">
      <c r="A2065" s="21"/>
      <c r="B2065" s="3" t="s">
        <v>17</v>
      </c>
      <c r="C2065" s="20" t="s">
        <v>19</v>
      </c>
      <c r="D2065" s="21"/>
    </row>
    <row r="2066" spans="1:4" ht="12.75" customHeight="1" x14ac:dyDescent="0.2">
      <c r="A2066" s="21"/>
      <c r="B2066" s="20" t="s">
        <v>18</v>
      </c>
      <c r="C2066" s="4" t="s">
        <v>403</v>
      </c>
      <c r="D2066" s="6" t="str">
        <f>HYPERLINK("javascript:void(0)","kithrill")</f>
        <v>kithrill</v>
      </c>
    </row>
    <row r="2067" spans="1:4" ht="12.75" customHeight="1" x14ac:dyDescent="0.2">
      <c r="A2067" s="21"/>
      <c r="B2067" s="21"/>
      <c r="C2067" s="4" t="s">
        <v>67</v>
      </c>
      <c r="D2067" s="6" t="str">
        <f>HYPERLINK("javascript:void(0)","aszályige")</f>
        <v>aszályige</v>
      </c>
    </row>
    <row r="2068" spans="1:4" ht="12.75" customHeight="1" x14ac:dyDescent="0.2">
      <c r="A2068" s="21"/>
      <c r="B2068" s="21"/>
      <c r="C2068" s="4" t="s">
        <v>280</v>
      </c>
      <c r="D2068" s="6" t="str">
        <f>HYPERLINK("javascript:void(0)","lux")</f>
        <v>lux</v>
      </c>
    </row>
    <row r="2069" spans="1:4" ht="12.75" customHeight="1" x14ac:dyDescent="0.2">
      <c r="A2069" s="21"/>
      <c r="B2069" s="2"/>
      <c r="C2069" s="2"/>
      <c r="D2069" s="2"/>
    </row>
    <row r="2070" spans="1:4" ht="12.75" customHeight="1" x14ac:dyDescent="0.2">
      <c r="A2070" s="21"/>
      <c r="B2070" s="2"/>
      <c r="C2070" s="2"/>
      <c r="D2070" s="2"/>
    </row>
    <row r="2071" spans="1:4" ht="12.75" customHeight="1" x14ac:dyDescent="0.2">
      <c r="A2071" s="21"/>
      <c r="B2071" s="2"/>
      <c r="C2071" s="2"/>
      <c r="D2071" s="2"/>
    </row>
    <row r="2072" spans="1:4" ht="12.75" customHeight="1" x14ac:dyDescent="0.2">
      <c r="A2072" s="21"/>
      <c r="B2072" s="2"/>
      <c r="C2072" s="2"/>
      <c r="D2072" s="2"/>
    </row>
    <row r="2073" spans="1:4" ht="12.75" customHeight="1" x14ac:dyDescent="0.2">
      <c r="A2073" s="5"/>
      <c r="B2073" s="2"/>
      <c r="C2073" s="2"/>
      <c r="D2073" s="2"/>
    </row>
    <row r="2074" spans="1:4" ht="12.75" customHeight="1" x14ac:dyDescent="0.2">
      <c r="A2074" s="22" t="str">
        <f>HYPERLINK("javascript:void(0)","dracoacél vállap")</f>
        <v>dracoacél vállap</v>
      </c>
      <c r="B2074" s="21"/>
      <c r="C2074" s="21"/>
      <c r="D2074" s="21"/>
    </row>
    <row r="2075" spans="1:4" ht="12.75" customHeight="1" x14ac:dyDescent="0.2">
      <c r="A2075" s="20"/>
      <c r="B2075" s="2"/>
      <c r="C2075" s="2"/>
      <c r="D2075" s="2"/>
    </row>
    <row r="2076" spans="1:4" ht="12.75" customHeight="1" x14ac:dyDescent="0.2">
      <c r="A2076" s="21"/>
      <c r="B2076" s="3" t="s">
        <v>0</v>
      </c>
      <c r="C2076" s="20" t="s">
        <v>782</v>
      </c>
      <c r="D2076" s="21"/>
    </row>
    <row r="2077" spans="1:4" ht="12.75" customHeight="1" x14ac:dyDescent="0.2">
      <c r="A2077" s="21"/>
      <c r="B2077" s="3" t="s">
        <v>2</v>
      </c>
      <c r="C2077" s="20" t="s">
        <v>2322</v>
      </c>
      <c r="D2077" s="21"/>
    </row>
    <row r="2078" spans="1:4" ht="12.75" customHeight="1" x14ac:dyDescent="0.2">
      <c r="A2078" s="21"/>
      <c r="B2078" s="3" t="s">
        <v>1840</v>
      </c>
      <c r="C2078" s="20" t="s">
        <v>115</v>
      </c>
      <c r="D2078" s="21"/>
    </row>
    <row r="2079" spans="1:4" ht="12.75" customHeight="1" x14ac:dyDescent="0.2">
      <c r="A2079" s="21"/>
      <c r="B2079" s="3" t="s">
        <v>9</v>
      </c>
      <c r="C2079" s="20" t="s">
        <v>42</v>
      </c>
      <c r="D2079" s="21"/>
    </row>
    <row r="2080" spans="1:4" ht="12.75" customHeight="1" x14ac:dyDescent="0.2">
      <c r="A2080" s="21"/>
      <c r="B2080" s="3" t="s">
        <v>11</v>
      </c>
      <c r="C2080" s="20" t="s">
        <v>2477</v>
      </c>
      <c r="D2080" s="21"/>
    </row>
    <row r="2081" spans="1:4" ht="12.75" customHeight="1" x14ac:dyDescent="0.2">
      <c r="A2081" s="21"/>
      <c r="B2081" s="3" t="s">
        <v>16</v>
      </c>
      <c r="C2081" s="20"/>
      <c r="D2081" s="21"/>
    </row>
    <row r="2082" spans="1:4" ht="12.75" customHeight="1" x14ac:dyDescent="0.2">
      <c r="A2082" s="21"/>
      <c r="B2082" s="3" t="s">
        <v>17</v>
      </c>
      <c r="C2082" s="20" t="s">
        <v>19</v>
      </c>
      <c r="D2082" s="21"/>
    </row>
    <row r="2083" spans="1:4" ht="12.75" customHeight="1" x14ac:dyDescent="0.2">
      <c r="A2083" s="21"/>
      <c r="B2083" s="20" t="s">
        <v>18</v>
      </c>
      <c r="C2083" s="4" t="s">
        <v>139</v>
      </c>
      <c r="D2083" s="6" t="str">
        <f>HYPERLINK("javascript:void(0)","gránitrög")</f>
        <v>gránitrög</v>
      </c>
    </row>
    <row r="2084" spans="1:4" ht="12.75" customHeight="1" x14ac:dyDescent="0.2">
      <c r="A2084" s="21"/>
      <c r="B2084" s="21"/>
      <c r="C2084" s="4" t="s">
        <v>132</v>
      </c>
      <c r="D2084" s="6" t="str">
        <f>HYPERLINK("javascript:void(0)","wattacsomó")</f>
        <v>wattacsomó</v>
      </c>
    </row>
    <row r="2085" spans="1:4" ht="12.75" customHeight="1" x14ac:dyDescent="0.2">
      <c r="A2085" s="21"/>
      <c r="B2085" s="21"/>
      <c r="C2085" s="4" t="s">
        <v>68</v>
      </c>
      <c r="D2085" s="6" t="str">
        <f>HYPERLINK("javascript:void(0)","ikerkristály")</f>
        <v>ikerkristály</v>
      </c>
    </row>
    <row r="2086" spans="1:4" ht="12.75" customHeight="1" x14ac:dyDescent="0.2">
      <c r="A2086" s="21"/>
      <c r="B2086" s="2"/>
      <c r="C2086" s="2"/>
      <c r="D2086" s="2"/>
    </row>
    <row r="2087" spans="1:4" ht="12.75" customHeight="1" x14ac:dyDescent="0.2">
      <c r="A2087" s="21"/>
      <c r="B2087" s="2"/>
      <c r="C2087" s="2"/>
      <c r="D2087" s="2"/>
    </row>
    <row r="2088" spans="1:4" ht="12.75" customHeight="1" x14ac:dyDescent="0.2">
      <c r="A2088" s="21"/>
      <c r="B2088" s="2"/>
      <c r="C2088" s="2"/>
      <c r="D2088" s="2"/>
    </row>
    <row r="2089" spans="1:4" ht="12.75" customHeight="1" x14ac:dyDescent="0.2">
      <c r="A2089" s="21"/>
      <c r="B2089" s="2"/>
      <c r="C2089" s="2"/>
      <c r="D2089" s="2"/>
    </row>
    <row r="2090" spans="1:4" ht="12.75" customHeight="1" x14ac:dyDescent="0.2">
      <c r="A2090" s="5"/>
      <c r="B2090" s="2"/>
      <c r="C2090" s="2"/>
      <c r="D2090" s="2"/>
    </row>
    <row r="2091" spans="1:4" ht="12.75" customHeight="1" x14ac:dyDescent="0.2">
      <c r="A2091" s="22" t="str">
        <f>HYPERLINK("javascript:void(0)","teljes sárkányvért")</f>
        <v>teljes sárkányvért</v>
      </c>
      <c r="B2091" s="21"/>
      <c r="C2091" s="21"/>
      <c r="D2091" s="21"/>
    </row>
    <row r="2092" spans="1:4" ht="12.75" customHeight="1" x14ac:dyDescent="0.2">
      <c r="A2092" s="20"/>
      <c r="B2092" s="2"/>
      <c r="C2092" s="2"/>
      <c r="D2092" s="2"/>
    </row>
    <row r="2093" spans="1:4" ht="12.75" customHeight="1" x14ac:dyDescent="0.2">
      <c r="A2093" s="21"/>
      <c r="B2093" s="3" t="s">
        <v>0</v>
      </c>
      <c r="C2093" s="20" t="s">
        <v>790</v>
      </c>
      <c r="D2093" s="21"/>
    </row>
    <row r="2094" spans="1:4" ht="12.75" customHeight="1" x14ac:dyDescent="0.2">
      <c r="A2094" s="21"/>
      <c r="B2094" s="3" t="s">
        <v>2</v>
      </c>
      <c r="C2094" s="20" t="s">
        <v>2322</v>
      </c>
      <c r="D2094" s="21"/>
    </row>
    <row r="2095" spans="1:4" ht="12.75" customHeight="1" x14ac:dyDescent="0.2">
      <c r="A2095" s="21"/>
      <c r="B2095" s="3" t="s">
        <v>1840</v>
      </c>
      <c r="C2095" s="20" t="s">
        <v>2478</v>
      </c>
      <c r="D2095" s="21"/>
    </row>
    <row r="2096" spans="1:4" ht="12.75" customHeight="1" x14ac:dyDescent="0.2">
      <c r="A2096" s="21"/>
      <c r="B2096" s="3" t="s">
        <v>9</v>
      </c>
      <c r="C2096" s="20" t="s">
        <v>2379</v>
      </c>
      <c r="D2096" s="21"/>
    </row>
    <row r="2097" spans="1:4" ht="12.75" customHeight="1" x14ac:dyDescent="0.2">
      <c r="A2097" s="21"/>
      <c r="B2097" s="3" t="s">
        <v>11</v>
      </c>
      <c r="C2097" s="20" t="s">
        <v>1105</v>
      </c>
      <c r="D2097" s="21"/>
    </row>
    <row r="2098" spans="1:4" ht="12.75" customHeight="1" x14ac:dyDescent="0.2">
      <c r="A2098" s="21"/>
      <c r="B2098" s="3" t="s">
        <v>16</v>
      </c>
      <c r="C2098" s="20"/>
      <c r="D2098" s="21"/>
    </row>
    <row r="2099" spans="1:4" ht="12.75" customHeight="1" x14ac:dyDescent="0.2">
      <c r="A2099" s="21"/>
      <c r="B2099" s="3" t="s">
        <v>17</v>
      </c>
      <c r="C2099" s="20" t="s">
        <v>19</v>
      </c>
      <c r="D2099" s="21"/>
    </row>
    <row r="2100" spans="1:4" ht="12.75" customHeight="1" x14ac:dyDescent="0.2">
      <c r="A2100" s="21"/>
      <c r="B2100" s="20" t="s">
        <v>18</v>
      </c>
      <c r="C2100" s="4" t="s">
        <v>44</v>
      </c>
      <c r="D2100" s="6" t="str">
        <f>HYPERLINK("javascript:void(0)","teljes démonvért")</f>
        <v>teljes démonvért</v>
      </c>
    </row>
    <row r="2101" spans="1:4" ht="12.75" customHeight="1" x14ac:dyDescent="0.2">
      <c r="A2101" s="21"/>
      <c r="B2101" s="21"/>
      <c r="C2101" s="4" t="s">
        <v>44</v>
      </c>
      <c r="D2101" s="6" t="str">
        <f>HYPERLINK("javascript:void(0)","teljes hidracélvért")</f>
        <v>teljes hidracélvért</v>
      </c>
    </row>
    <row r="2102" spans="1:4" ht="12.75" customHeight="1" x14ac:dyDescent="0.2">
      <c r="A2102" s="21"/>
      <c r="B2102" s="21"/>
      <c r="C2102" s="4" t="s">
        <v>44</v>
      </c>
      <c r="D2102" s="6" t="str">
        <f>HYPERLINK("javascript:void(0)","dracoacél vállap")</f>
        <v>dracoacél vállap</v>
      </c>
    </row>
    <row r="2103" spans="1:4" ht="12.75" customHeight="1" x14ac:dyDescent="0.2">
      <c r="A2103" s="21"/>
      <c r="B2103" s="2"/>
      <c r="C2103" s="2"/>
      <c r="D2103" s="2"/>
    </row>
    <row r="2104" spans="1:4" ht="12.75" customHeight="1" x14ac:dyDescent="0.2">
      <c r="A2104" s="21"/>
      <c r="B2104" s="2"/>
      <c r="C2104" s="2"/>
      <c r="D2104" s="2"/>
    </row>
    <row r="2105" spans="1:4" ht="12.75" customHeight="1" x14ac:dyDescent="0.2">
      <c r="A2105" s="21"/>
      <c r="B2105" s="2"/>
      <c r="C2105" s="2"/>
      <c r="D2105" s="2"/>
    </row>
    <row r="2106" spans="1:4" ht="12.75" customHeight="1" x14ac:dyDescent="0.2">
      <c r="A2106" s="21"/>
      <c r="B2106" s="2"/>
      <c r="C2106" s="2"/>
      <c r="D2106" s="2"/>
    </row>
    <row r="2107" spans="1:4" ht="12.75" customHeight="1" x14ac:dyDescent="0.2">
      <c r="A2107" s="5"/>
      <c r="B2107" s="2"/>
      <c r="C2107" s="2"/>
      <c r="D2107" s="2"/>
    </row>
    <row r="2108" spans="1:4" ht="12.75" customHeight="1" x14ac:dyDescent="0.2">
      <c r="A2108" s="22" t="str">
        <f>HYPERLINK("javascript:void(0)","csillámló orkpáncél")</f>
        <v>csillámló orkpáncél</v>
      </c>
      <c r="B2108" s="21"/>
      <c r="C2108" s="21"/>
      <c r="D2108" s="21"/>
    </row>
    <row r="2109" spans="1:4" ht="12.75" customHeight="1" x14ac:dyDescent="0.2">
      <c r="A2109" s="20"/>
      <c r="B2109" s="2"/>
      <c r="C2109" s="2"/>
      <c r="D2109" s="2"/>
    </row>
    <row r="2110" spans="1:4" ht="12.75" customHeight="1" x14ac:dyDescent="0.2">
      <c r="A2110" s="21"/>
      <c r="B2110" s="3" t="s">
        <v>0</v>
      </c>
      <c r="C2110" s="20" t="s">
        <v>790</v>
      </c>
      <c r="D2110" s="21"/>
    </row>
    <row r="2111" spans="1:4" ht="12.75" customHeight="1" x14ac:dyDescent="0.2">
      <c r="A2111" s="21"/>
      <c r="B2111" s="3" t="s">
        <v>2</v>
      </c>
      <c r="C2111" s="20" t="s">
        <v>2322</v>
      </c>
      <c r="D2111" s="21"/>
    </row>
    <row r="2112" spans="1:4" ht="12.75" customHeight="1" x14ac:dyDescent="0.2">
      <c r="A2112" s="21"/>
      <c r="B2112" s="3" t="s">
        <v>1840</v>
      </c>
      <c r="C2112" s="20" t="s">
        <v>2479</v>
      </c>
      <c r="D2112" s="21"/>
    </row>
    <row r="2113" spans="1:4" ht="12.75" customHeight="1" x14ac:dyDescent="0.2">
      <c r="A2113" s="21"/>
      <c r="B2113" s="3" t="s">
        <v>9</v>
      </c>
      <c r="C2113" s="20" t="s">
        <v>2480</v>
      </c>
      <c r="D2113" s="21"/>
    </row>
    <row r="2114" spans="1:4" ht="12.75" customHeight="1" x14ac:dyDescent="0.2">
      <c r="A2114" s="21"/>
      <c r="B2114" s="3" t="s">
        <v>11</v>
      </c>
      <c r="C2114" s="20" t="s">
        <v>1105</v>
      </c>
      <c r="D2114" s="21"/>
    </row>
    <row r="2115" spans="1:4" ht="12.75" customHeight="1" x14ac:dyDescent="0.2">
      <c r="A2115" s="21"/>
      <c r="B2115" s="3" t="s">
        <v>16</v>
      </c>
      <c r="C2115" s="20"/>
      <c r="D2115" s="21"/>
    </row>
    <row r="2116" spans="1:4" ht="12.75" customHeight="1" x14ac:dyDescent="0.2">
      <c r="A2116" s="21"/>
      <c r="B2116" s="3" t="s">
        <v>17</v>
      </c>
      <c r="C2116" s="20" t="s">
        <v>19</v>
      </c>
      <c r="D2116" s="21"/>
    </row>
    <row r="2117" spans="1:4" ht="12.75" customHeight="1" x14ac:dyDescent="0.2">
      <c r="A2117" s="21"/>
      <c r="B2117" s="20" t="s">
        <v>18</v>
      </c>
      <c r="C2117" s="4" t="s">
        <v>57</v>
      </c>
      <c r="D2117" s="6" t="str">
        <f>HYPERLINK("javascript:void(0)","csillámgöb")</f>
        <v>csillámgöb</v>
      </c>
    </row>
    <row r="2118" spans="1:4" ht="25.5" customHeight="1" x14ac:dyDescent="0.2">
      <c r="A2118" s="21"/>
      <c r="B2118" s="21"/>
      <c r="C2118" s="4" t="s">
        <v>44</v>
      </c>
      <c r="D2118" s="6" t="str">
        <f>HYPERLINK("javascript:void(0)","csillámló kristálypáncél")</f>
        <v>csillámló kristálypáncél</v>
      </c>
    </row>
    <row r="2119" spans="1:4" ht="12.75" customHeight="1" x14ac:dyDescent="0.2">
      <c r="A2119" s="21"/>
      <c r="B2119" s="21"/>
      <c r="C2119" s="4" t="s">
        <v>780</v>
      </c>
      <c r="D2119" s="6" t="str">
        <f>HYPERLINK("javascript:void(0)","sejtmag")</f>
        <v>sejtmag</v>
      </c>
    </row>
    <row r="2120" spans="1:4" ht="12.75" customHeight="1" x14ac:dyDescent="0.2">
      <c r="A2120" s="21"/>
      <c r="B2120" s="2"/>
      <c r="C2120" s="2"/>
      <c r="D2120" s="2"/>
    </row>
    <row r="2121" spans="1:4" ht="12.75" customHeight="1" x14ac:dyDescent="0.2">
      <c r="A2121" s="21"/>
      <c r="B2121" s="2"/>
      <c r="C2121" s="2"/>
      <c r="D2121" s="2"/>
    </row>
    <row r="2122" spans="1:4" ht="12.75" customHeight="1" x14ac:dyDescent="0.2">
      <c r="A2122" s="21"/>
      <c r="B2122" s="2"/>
      <c r="C2122" s="2"/>
      <c r="D2122" s="2"/>
    </row>
    <row r="2123" spans="1:4" ht="12.75" customHeight="1" x14ac:dyDescent="0.2">
      <c r="A2123" s="21"/>
      <c r="B2123" s="2"/>
      <c r="C2123" s="2"/>
      <c r="D2123" s="2"/>
    </row>
    <row r="2124" spans="1:4" ht="12.75" customHeight="1" x14ac:dyDescent="0.2">
      <c r="A2124" s="5"/>
      <c r="B2124" s="2"/>
      <c r="C2124" s="2"/>
      <c r="D2124" s="2"/>
    </row>
    <row r="2125" spans="1:4" ht="12.75" customHeight="1" x14ac:dyDescent="0.2">
      <c r="A2125" s="22" t="str">
        <f>HYPERLINK("javascript:void(0)","teljes átokvért")</f>
        <v>teljes átokvért</v>
      </c>
      <c r="B2125" s="21"/>
      <c r="C2125" s="21"/>
      <c r="D2125" s="21"/>
    </row>
    <row r="2126" spans="1:4" ht="12.75" customHeight="1" x14ac:dyDescent="0.2">
      <c r="A2126" s="20"/>
      <c r="B2126" s="2"/>
      <c r="C2126" s="2"/>
      <c r="D2126" s="2"/>
    </row>
    <row r="2127" spans="1:4" ht="12.75" customHeight="1" x14ac:dyDescent="0.2">
      <c r="A2127" s="21"/>
      <c r="B2127" s="3" t="s">
        <v>0</v>
      </c>
      <c r="C2127" s="20" t="s">
        <v>83</v>
      </c>
      <c r="D2127" s="21"/>
    </row>
    <row r="2128" spans="1:4" ht="12.75" customHeight="1" x14ac:dyDescent="0.2">
      <c r="A2128" s="21"/>
      <c r="B2128" s="3" t="s">
        <v>2</v>
      </c>
      <c r="C2128" s="20" t="s">
        <v>2322</v>
      </c>
      <c r="D2128" s="21"/>
    </row>
    <row r="2129" spans="1:4" ht="12.75" customHeight="1" x14ac:dyDescent="0.2">
      <c r="A2129" s="21"/>
      <c r="B2129" s="3" t="s">
        <v>1840</v>
      </c>
      <c r="C2129" s="20" t="s">
        <v>2481</v>
      </c>
      <c r="D2129" s="21"/>
    </row>
    <row r="2130" spans="1:4" ht="12.75" customHeight="1" x14ac:dyDescent="0.2">
      <c r="A2130" s="21"/>
      <c r="B2130" s="3" t="s">
        <v>9</v>
      </c>
      <c r="C2130" s="20" t="s">
        <v>1973</v>
      </c>
      <c r="D2130" s="21"/>
    </row>
    <row r="2131" spans="1:4" ht="12.75" customHeight="1" x14ac:dyDescent="0.2">
      <c r="A2131" s="21"/>
      <c r="B2131" s="3" t="s">
        <v>11</v>
      </c>
      <c r="C2131" s="20" t="s">
        <v>1125</v>
      </c>
      <c r="D2131" s="21"/>
    </row>
    <row r="2132" spans="1:4" ht="12.75" customHeight="1" x14ac:dyDescent="0.2">
      <c r="A2132" s="21"/>
      <c r="B2132" s="3" t="s">
        <v>16</v>
      </c>
      <c r="C2132" s="20"/>
      <c r="D2132" s="21"/>
    </row>
    <row r="2133" spans="1:4" ht="12.75" customHeight="1" x14ac:dyDescent="0.2">
      <c r="A2133" s="21"/>
      <c r="B2133" s="3" t="s">
        <v>17</v>
      </c>
      <c r="C2133" s="20" t="s">
        <v>19</v>
      </c>
      <c r="D2133" s="21"/>
    </row>
    <row r="2134" spans="1:4" ht="12.75" customHeight="1" x14ac:dyDescent="0.2">
      <c r="A2134" s="21"/>
      <c r="B2134" s="20" t="s">
        <v>18</v>
      </c>
      <c r="C2134" s="4" t="s">
        <v>44</v>
      </c>
      <c r="D2134" s="6" t="str">
        <f>HYPERLINK("javascript:void(0)","teljes sárkányvért")</f>
        <v>teljes sárkányvért</v>
      </c>
    </row>
    <row r="2135" spans="1:4" ht="12.75" customHeight="1" x14ac:dyDescent="0.2">
      <c r="A2135" s="21"/>
      <c r="B2135" s="21"/>
      <c r="C2135" s="4" t="s">
        <v>244</v>
      </c>
      <c r="D2135" s="6" t="str">
        <f>HYPERLINK("javascript:void(0)","átokige")</f>
        <v>átokige</v>
      </c>
    </row>
    <row r="2136" spans="1:4" ht="12.75" customHeight="1" x14ac:dyDescent="0.2">
      <c r="A2136" s="21"/>
      <c r="B2136" s="21"/>
      <c r="C2136" s="4" t="s">
        <v>1844</v>
      </c>
      <c r="D2136" s="6" t="str">
        <f>HYPERLINK("javascript:void(0)","kincs")</f>
        <v>kincs</v>
      </c>
    </row>
    <row r="2137" spans="1:4" ht="12.75" customHeight="1" x14ac:dyDescent="0.2">
      <c r="A2137" s="21"/>
      <c r="B2137" s="2"/>
      <c r="C2137" s="2"/>
      <c r="D2137" s="2"/>
    </row>
    <row r="2138" spans="1:4" ht="12.75" customHeight="1" x14ac:dyDescent="0.2">
      <c r="A2138" s="21"/>
      <c r="B2138" s="2"/>
      <c r="C2138" s="2"/>
      <c r="D2138" s="2"/>
    </row>
    <row r="2139" spans="1:4" ht="12.75" customHeight="1" x14ac:dyDescent="0.2">
      <c r="A2139" s="21"/>
      <c r="B2139" s="2"/>
      <c r="C2139" s="2"/>
      <c r="D2139" s="2"/>
    </row>
    <row r="2140" spans="1:4" ht="12.75" customHeight="1" x14ac:dyDescent="0.2">
      <c r="A2140" s="21"/>
      <c r="B2140" s="2"/>
      <c r="C2140" s="2"/>
      <c r="D2140" s="2"/>
    </row>
    <row r="2141" spans="1:4" ht="12.75" customHeight="1" x14ac:dyDescent="0.2">
      <c r="A2141" s="5"/>
      <c r="B2141" s="2"/>
      <c r="C2141" s="2"/>
      <c r="D2141" s="2"/>
    </row>
    <row r="2142" spans="1:4" ht="12.75" customHeight="1" x14ac:dyDescent="0.2">
      <c r="A2142" s="22" t="str">
        <f>HYPERLINK("javascript:void(0)","teljes grafitvért")</f>
        <v>teljes grafitvért</v>
      </c>
      <c r="B2142" s="21"/>
      <c r="C2142" s="21"/>
      <c r="D2142" s="21"/>
    </row>
    <row r="2143" spans="1:4" ht="12.75" customHeight="1" x14ac:dyDescent="0.2">
      <c r="A2143" s="20"/>
      <c r="B2143" s="2"/>
      <c r="C2143" s="2"/>
      <c r="D2143" s="2"/>
    </row>
    <row r="2144" spans="1:4" ht="12.75" customHeight="1" x14ac:dyDescent="0.2">
      <c r="A2144" s="21"/>
      <c r="B2144" s="3" t="s">
        <v>0</v>
      </c>
      <c r="C2144" s="20" t="s">
        <v>302</v>
      </c>
      <c r="D2144" s="21"/>
    </row>
    <row r="2145" spans="1:4" ht="12.75" customHeight="1" x14ac:dyDescent="0.2">
      <c r="A2145" s="21"/>
      <c r="B2145" s="3" t="s">
        <v>2</v>
      </c>
      <c r="C2145" s="20" t="s">
        <v>2322</v>
      </c>
      <c r="D2145" s="21"/>
    </row>
    <row r="2146" spans="1:4" ht="12.75" customHeight="1" x14ac:dyDescent="0.2">
      <c r="A2146" s="21"/>
      <c r="B2146" s="3" t="s">
        <v>1840</v>
      </c>
      <c r="C2146" s="20" t="s">
        <v>2482</v>
      </c>
      <c r="D2146" s="21"/>
    </row>
    <row r="2147" spans="1:4" ht="12.75" customHeight="1" x14ac:dyDescent="0.2">
      <c r="A2147" s="21"/>
      <c r="B2147" s="3" t="s">
        <v>9</v>
      </c>
      <c r="C2147" s="20" t="s">
        <v>306</v>
      </c>
      <c r="D2147" s="21"/>
    </row>
    <row r="2148" spans="1:4" ht="12.75" customHeight="1" x14ac:dyDescent="0.2">
      <c r="A2148" s="21"/>
      <c r="B2148" s="3" t="s">
        <v>11</v>
      </c>
      <c r="C2148" s="20" t="s">
        <v>1145</v>
      </c>
      <c r="D2148" s="21"/>
    </row>
    <row r="2149" spans="1:4" ht="12.75" customHeight="1" x14ac:dyDescent="0.2">
      <c r="A2149" s="21"/>
      <c r="B2149" s="3" t="s">
        <v>16</v>
      </c>
      <c r="C2149" s="20"/>
      <c r="D2149" s="21"/>
    </row>
    <row r="2150" spans="1:4" ht="12.75" customHeight="1" x14ac:dyDescent="0.2">
      <c r="A2150" s="21"/>
      <c r="B2150" s="3" t="s">
        <v>17</v>
      </c>
      <c r="C2150" s="20" t="s">
        <v>19</v>
      </c>
      <c r="D2150" s="21"/>
    </row>
    <row r="2151" spans="1:4" ht="12.75" customHeight="1" x14ac:dyDescent="0.2">
      <c r="A2151" s="21"/>
      <c r="B2151" s="20" t="s">
        <v>18</v>
      </c>
      <c r="C2151" s="4" t="s">
        <v>193</v>
      </c>
      <c r="D2151" s="6" t="str">
        <f>HYPERLINK("javascript:void(0)","gránitrög")</f>
        <v>gránitrög</v>
      </c>
    </row>
    <row r="2152" spans="1:4" ht="12.75" customHeight="1" x14ac:dyDescent="0.2">
      <c r="A2152" s="21"/>
      <c r="B2152" s="21"/>
      <c r="C2152" s="4" t="s">
        <v>244</v>
      </c>
      <c r="D2152" s="6" t="str">
        <f>HYPERLINK("javascript:void(0)","cerka")</f>
        <v>cerka</v>
      </c>
    </row>
    <row r="2153" spans="1:4" ht="12.75" customHeight="1" x14ac:dyDescent="0.2">
      <c r="A2153" s="21"/>
      <c r="B2153" s="21"/>
      <c r="C2153" s="4" t="s">
        <v>772</v>
      </c>
      <c r="D2153" s="6" t="str">
        <f>HYPERLINK("javascript:void(0)","aszályige")</f>
        <v>aszályige</v>
      </c>
    </row>
    <row r="2154" spans="1:4" ht="12.75" customHeight="1" x14ac:dyDescent="0.2">
      <c r="A2154" s="21"/>
      <c r="B2154" s="2"/>
      <c r="C2154" s="2"/>
      <c r="D2154" s="2"/>
    </row>
    <row r="2155" spans="1:4" ht="12.75" customHeight="1" x14ac:dyDescent="0.2">
      <c r="A2155" s="21"/>
      <c r="B2155" s="2"/>
      <c r="C2155" s="2"/>
      <c r="D2155" s="2"/>
    </row>
    <row r="2156" spans="1:4" ht="12.75" customHeight="1" x14ac:dyDescent="0.2">
      <c r="A2156" s="21"/>
      <c r="B2156" s="2"/>
      <c r="C2156" s="2"/>
      <c r="D2156" s="2"/>
    </row>
    <row r="2157" spans="1:4" ht="12.75" customHeight="1" x14ac:dyDescent="0.2">
      <c r="A2157" s="21"/>
      <c r="B2157" s="2"/>
      <c r="C2157" s="2"/>
      <c r="D2157" s="2"/>
    </row>
    <row r="2158" spans="1:4" ht="12.75" customHeight="1" x14ac:dyDescent="0.2">
      <c r="A2158" s="5"/>
      <c r="B2158" s="2"/>
      <c r="C2158" s="2"/>
      <c r="D2158" s="2"/>
    </row>
    <row r="2159" spans="1:4" ht="12.75" customHeight="1" x14ac:dyDescent="0.2">
      <c r="A2159" s="22" t="str">
        <f>HYPERLINK("javascript:void(0)","teljes húrvért")</f>
        <v>teljes húrvért</v>
      </c>
      <c r="B2159" s="21"/>
      <c r="C2159" s="21"/>
      <c r="D2159" s="21"/>
    </row>
    <row r="2160" spans="1:4" ht="12.75" customHeight="1" x14ac:dyDescent="0.2">
      <c r="A2160" s="20"/>
      <c r="B2160" s="2"/>
      <c r="C2160" s="2"/>
      <c r="D2160" s="2"/>
    </row>
    <row r="2161" spans="1:4" ht="12.75" customHeight="1" x14ac:dyDescent="0.2">
      <c r="A2161" s="21"/>
      <c r="B2161" s="3" t="s">
        <v>0</v>
      </c>
      <c r="C2161" s="20" t="s">
        <v>255</v>
      </c>
      <c r="D2161" s="21"/>
    </row>
    <row r="2162" spans="1:4" ht="12.75" customHeight="1" x14ac:dyDescent="0.2">
      <c r="A2162" s="21"/>
      <c r="B2162" s="3" t="s">
        <v>2</v>
      </c>
      <c r="C2162" s="20" t="s">
        <v>2322</v>
      </c>
      <c r="D2162" s="21"/>
    </row>
    <row r="2163" spans="1:4" ht="12.75" customHeight="1" x14ac:dyDescent="0.2">
      <c r="A2163" s="21"/>
      <c r="B2163" s="3" t="s">
        <v>1840</v>
      </c>
      <c r="C2163" s="20" t="s">
        <v>318</v>
      </c>
      <c r="D2163" s="21"/>
    </row>
    <row r="2164" spans="1:4" ht="12.75" customHeight="1" x14ac:dyDescent="0.2">
      <c r="A2164" s="21"/>
      <c r="B2164" s="3" t="s">
        <v>9</v>
      </c>
      <c r="C2164" s="20" t="s">
        <v>1584</v>
      </c>
      <c r="D2164" s="21"/>
    </row>
    <row r="2165" spans="1:4" ht="12.75" customHeight="1" x14ac:dyDescent="0.2">
      <c r="A2165" s="21"/>
      <c r="B2165" s="3" t="s">
        <v>11</v>
      </c>
      <c r="C2165" s="20" t="s">
        <v>1159</v>
      </c>
      <c r="D2165" s="21"/>
    </row>
    <row r="2166" spans="1:4" ht="12.75" customHeight="1" x14ac:dyDescent="0.2">
      <c r="A2166" s="21"/>
      <c r="B2166" s="3" t="s">
        <v>16</v>
      </c>
      <c r="C2166" s="20"/>
      <c r="D2166" s="21"/>
    </row>
    <row r="2167" spans="1:4" ht="12.75" customHeight="1" x14ac:dyDescent="0.2">
      <c r="A2167" s="21"/>
      <c r="B2167" s="3" t="s">
        <v>17</v>
      </c>
      <c r="C2167" s="20" t="s">
        <v>19</v>
      </c>
      <c r="D2167" s="21"/>
    </row>
    <row r="2168" spans="1:4" ht="12.75" customHeight="1" x14ac:dyDescent="0.2">
      <c r="A2168" s="21"/>
      <c r="B2168" s="20" t="s">
        <v>18</v>
      </c>
      <c r="C2168" s="4" t="s">
        <v>44</v>
      </c>
      <c r="D2168" s="6" t="str">
        <f>HYPERLINK("javascript:void(0)","teljes grafitvért")</f>
        <v>teljes grafitvért</v>
      </c>
    </row>
    <row r="2169" spans="1:4" ht="12.75" customHeight="1" x14ac:dyDescent="0.2">
      <c r="A2169" s="21"/>
      <c r="B2169" s="21"/>
      <c r="C2169" s="4" t="s">
        <v>44</v>
      </c>
      <c r="D2169" s="6" t="str">
        <f>HYPERLINK("javascript:void(0)","húrmellény")</f>
        <v>húrmellény</v>
      </c>
    </row>
    <row r="2170" spans="1:4" ht="12.75" customHeight="1" x14ac:dyDescent="0.2">
      <c r="A2170" s="21"/>
      <c r="B2170" s="21"/>
      <c r="C2170" s="4" t="s">
        <v>44</v>
      </c>
      <c r="D2170" s="6" t="str">
        <f>HYPERLINK("javascript:void(0)","teljes átokvért")</f>
        <v>teljes átokvért</v>
      </c>
    </row>
    <row r="2171" spans="1:4" ht="12.75" customHeight="1" x14ac:dyDescent="0.2">
      <c r="A2171" s="21"/>
      <c r="B2171" s="2"/>
      <c r="C2171" s="2"/>
      <c r="D2171" s="2"/>
    </row>
    <row r="2172" spans="1:4" ht="12.75" customHeight="1" x14ac:dyDescent="0.2">
      <c r="A2172" s="21"/>
      <c r="B2172" s="2"/>
      <c r="C2172" s="2"/>
      <c r="D2172" s="2"/>
    </row>
    <row r="2173" spans="1:4" ht="12.75" customHeight="1" x14ac:dyDescent="0.2">
      <c r="A2173" s="21"/>
      <c r="B2173" s="2"/>
      <c r="C2173" s="2"/>
      <c r="D2173" s="2"/>
    </row>
    <row r="2174" spans="1:4" ht="12.75" customHeight="1" x14ac:dyDescent="0.2">
      <c r="A2174" s="21"/>
      <c r="B2174" s="2"/>
      <c r="C2174" s="2"/>
      <c r="D2174" s="2"/>
    </row>
    <row r="2175" spans="1:4" ht="12.75" customHeight="1" x14ac:dyDescent="0.2">
      <c r="A2175" s="5"/>
      <c r="B2175" s="2"/>
      <c r="C2175" s="2"/>
      <c r="D2175" s="2"/>
    </row>
    <row r="2176" spans="1:4" ht="12.75" customHeight="1" x14ac:dyDescent="0.2">
      <c r="A2176" s="22" t="str">
        <f>HYPERLINK("javascript:void(0)","húrmellény")</f>
        <v>húrmellény</v>
      </c>
      <c r="B2176" s="21"/>
      <c r="C2176" s="21"/>
      <c r="D2176" s="21"/>
    </row>
    <row r="2177" spans="1:4" ht="12.75" customHeight="1" x14ac:dyDescent="0.2">
      <c r="A2177" s="20"/>
      <c r="B2177" s="2"/>
      <c r="C2177" s="2"/>
      <c r="D2177" s="2"/>
    </row>
    <row r="2178" spans="1:4" ht="12.75" customHeight="1" x14ac:dyDescent="0.2">
      <c r="A2178" s="21"/>
      <c r="B2178" s="3" t="s">
        <v>0</v>
      </c>
      <c r="C2178" s="20" t="s">
        <v>255</v>
      </c>
      <c r="D2178" s="21"/>
    </row>
    <row r="2179" spans="1:4" ht="12.75" customHeight="1" x14ac:dyDescent="0.2">
      <c r="A2179" s="21"/>
      <c r="B2179" s="3" t="s">
        <v>2</v>
      </c>
      <c r="C2179" s="20" t="s">
        <v>2322</v>
      </c>
      <c r="D2179" s="21"/>
    </row>
    <row r="2180" spans="1:4" ht="12.75" customHeight="1" x14ac:dyDescent="0.2">
      <c r="A2180" s="21"/>
      <c r="B2180" s="3" t="s">
        <v>1840</v>
      </c>
      <c r="C2180" s="20" t="s">
        <v>115</v>
      </c>
      <c r="D2180" s="21"/>
    </row>
    <row r="2181" spans="1:4" ht="12.75" customHeight="1" x14ac:dyDescent="0.2">
      <c r="A2181" s="21"/>
      <c r="B2181" s="3" t="s">
        <v>9</v>
      </c>
      <c r="C2181" s="20" t="s">
        <v>42</v>
      </c>
      <c r="D2181" s="21"/>
    </row>
    <row r="2182" spans="1:4" ht="12.75" customHeight="1" x14ac:dyDescent="0.2">
      <c r="A2182" s="21"/>
      <c r="B2182" s="3" t="s">
        <v>11</v>
      </c>
      <c r="C2182" s="20" t="s">
        <v>2483</v>
      </c>
      <c r="D2182" s="21"/>
    </row>
    <row r="2183" spans="1:4" ht="12.75" customHeight="1" x14ac:dyDescent="0.2">
      <c r="A2183" s="21"/>
      <c r="B2183" s="3" t="s">
        <v>16</v>
      </c>
      <c r="C2183" s="20"/>
      <c r="D2183" s="21"/>
    </row>
    <row r="2184" spans="1:4" ht="12.75" customHeight="1" x14ac:dyDescent="0.2">
      <c r="A2184" s="21"/>
      <c r="B2184" s="3" t="s">
        <v>17</v>
      </c>
      <c r="C2184" s="20" t="s">
        <v>19</v>
      </c>
      <c r="D2184" s="21"/>
    </row>
    <row r="2185" spans="1:4" ht="12.75" customHeight="1" x14ac:dyDescent="0.2">
      <c r="A2185" s="21"/>
      <c r="B2185" s="20" t="s">
        <v>18</v>
      </c>
      <c r="C2185" s="4" t="s">
        <v>67</v>
      </c>
      <c r="D2185" s="6" t="str">
        <f>HYPERLINK("javascript:void(0)","zanzahúr")</f>
        <v>zanzahúr</v>
      </c>
    </row>
    <row r="2186" spans="1:4" ht="12.75" customHeight="1" x14ac:dyDescent="0.2">
      <c r="A2186" s="21"/>
      <c r="B2186" s="21"/>
      <c r="C2186" s="4" t="s">
        <v>132</v>
      </c>
      <c r="D2186" s="6" t="str">
        <f>HYPERLINK("javascript:void(0)","csapdaszeg")</f>
        <v>csapdaszeg</v>
      </c>
    </row>
    <row r="2187" spans="1:4" ht="12.75" customHeight="1" x14ac:dyDescent="0.2">
      <c r="A2187" s="21"/>
      <c r="B2187" s="21"/>
      <c r="C2187" s="4" t="s">
        <v>280</v>
      </c>
      <c r="D2187" s="6" t="str">
        <f>HYPERLINK("javascript:void(0)","hörcsögagyar")</f>
        <v>hörcsögagyar</v>
      </c>
    </row>
    <row r="2188" spans="1:4" ht="12.75" customHeight="1" x14ac:dyDescent="0.2">
      <c r="A2188" s="21"/>
      <c r="B2188" s="2"/>
      <c r="C2188" s="2"/>
      <c r="D2188" s="2"/>
    </row>
    <row r="2189" spans="1:4" ht="12.75" customHeight="1" x14ac:dyDescent="0.2">
      <c r="A2189" s="21"/>
      <c r="B2189" s="2"/>
      <c r="C2189" s="2"/>
      <c r="D2189" s="2"/>
    </row>
    <row r="2190" spans="1:4" ht="12.75" customHeight="1" x14ac:dyDescent="0.2">
      <c r="A2190" s="21"/>
      <c r="B2190" s="2"/>
      <c r="C2190" s="2"/>
      <c r="D2190" s="2"/>
    </row>
    <row r="2191" spans="1:4" ht="12.75" customHeight="1" x14ac:dyDescent="0.2">
      <c r="A2191" s="21"/>
      <c r="B2191" s="2"/>
      <c r="C2191" s="2"/>
      <c r="D2191" s="2"/>
    </row>
    <row r="2192" spans="1:4" ht="12.75" customHeight="1" x14ac:dyDescent="0.2">
      <c r="A2192" s="5"/>
      <c r="B2192" s="2"/>
      <c r="C2192" s="2"/>
      <c r="D2192" s="2"/>
    </row>
    <row r="2193" spans="1:4" ht="12.75" customHeight="1" x14ac:dyDescent="0.2">
      <c r="A2193" s="22" t="str">
        <f>HYPERLINK("javascript:void(0)","teljes elfacélvért")</f>
        <v>teljes elfacélvért</v>
      </c>
      <c r="B2193" s="21"/>
      <c r="C2193" s="21"/>
      <c r="D2193" s="21"/>
    </row>
    <row r="2194" spans="1:4" ht="12.75" customHeight="1" x14ac:dyDescent="0.2">
      <c r="A2194" s="20"/>
      <c r="B2194" s="2"/>
      <c r="C2194" s="2"/>
      <c r="D2194" s="2"/>
    </row>
    <row r="2195" spans="1:4" ht="12.75" customHeight="1" x14ac:dyDescent="0.2">
      <c r="A2195" s="21"/>
      <c r="B2195" s="3" t="s">
        <v>0</v>
      </c>
      <c r="C2195" s="20" t="s">
        <v>281</v>
      </c>
      <c r="D2195" s="21"/>
    </row>
    <row r="2196" spans="1:4" ht="12.75" customHeight="1" x14ac:dyDescent="0.2">
      <c r="A2196" s="21"/>
      <c r="B2196" s="3" t="s">
        <v>2</v>
      </c>
      <c r="C2196" s="20" t="s">
        <v>2322</v>
      </c>
      <c r="D2196" s="21"/>
    </row>
    <row r="2197" spans="1:4" ht="12.75" customHeight="1" x14ac:dyDescent="0.2">
      <c r="A2197" s="21"/>
      <c r="B2197" s="3" t="s">
        <v>1840</v>
      </c>
      <c r="C2197" s="20" t="s">
        <v>2484</v>
      </c>
      <c r="D2197" s="21"/>
    </row>
    <row r="2198" spans="1:4" ht="12.75" customHeight="1" x14ac:dyDescent="0.2">
      <c r="A2198" s="21"/>
      <c r="B2198" s="3" t="s">
        <v>9</v>
      </c>
      <c r="C2198" s="20" t="s">
        <v>1167</v>
      </c>
      <c r="D2198" s="21"/>
    </row>
    <row r="2199" spans="1:4" ht="12.75" customHeight="1" x14ac:dyDescent="0.2">
      <c r="A2199" s="21"/>
      <c r="B2199" s="3" t="s">
        <v>11</v>
      </c>
      <c r="C2199" s="20" t="s">
        <v>1177</v>
      </c>
      <c r="D2199" s="21"/>
    </row>
    <row r="2200" spans="1:4" ht="12.75" customHeight="1" x14ac:dyDescent="0.2">
      <c r="A2200" s="21"/>
      <c r="B2200" s="3" t="s">
        <v>16</v>
      </c>
      <c r="C2200" s="20"/>
      <c r="D2200" s="21"/>
    </row>
    <row r="2201" spans="1:4" ht="12.75" customHeight="1" x14ac:dyDescent="0.2">
      <c r="A2201" s="21"/>
      <c r="B2201" s="3" t="s">
        <v>17</v>
      </c>
      <c r="C2201" s="20" t="s">
        <v>19</v>
      </c>
      <c r="D2201" s="21"/>
    </row>
    <row r="2202" spans="1:4" ht="12.75" customHeight="1" x14ac:dyDescent="0.2">
      <c r="A2202" s="21"/>
      <c r="B2202" s="20" t="s">
        <v>18</v>
      </c>
      <c r="C2202" s="4" t="s">
        <v>67</v>
      </c>
      <c r="D2202" s="6" t="str">
        <f>HYPERLINK("javascript:void(0)","cerka")</f>
        <v>cerka</v>
      </c>
    </row>
    <row r="2203" spans="1:4" ht="12.75" customHeight="1" x14ac:dyDescent="0.2">
      <c r="A2203" s="21"/>
      <c r="B2203" s="21"/>
      <c r="C2203" s="4" t="s">
        <v>244</v>
      </c>
      <c r="D2203" s="6" t="str">
        <f>HYPERLINK("javascript:void(0)","kígyóborda")</f>
        <v>kígyóborda</v>
      </c>
    </row>
    <row r="2204" spans="1:4" ht="12.75" customHeight="1" x14ac:dyDescent="0.2">
      <c r="A2204" s="21"/>
      <c r="B2204" s="21"/>
      <c r="C2204" s="4" t="s">
        <v>44</v>
      </c>
      <c r="D2204" s="6" t="str">
        <f>HYPERLINK("javascript:void(0)","teljes húrvért")</f>
        <v>teljes húrvért</v>
      </c>
    </row>
    <row r="2205" spans="1:4" ht="12.75" customHeight="1" x14ac:dyDescent="0.2">
      <c r="A2205" s="21"/>
      <c r="B2205" s="2"/>
      <c r="C2205" s="2"/>
      <c r="D2205" s="2"/>
    </row>
    <row r="2206" spans="1:4" ht="12.75" customHeight="1" x14ac:dyDescent="0.2">
      <c r="A2206" s="21"/>
      <c r="B2206" s="2"/>
      <c r="C2206" s="2"/>
      <c r="D2206" s="2"/>
    </row>
    <row r="2207" spans="1:4" ht="12.75" customHeight="1" x14ac:dyDescent="0.2">
      <c r="A2207" s="21"/>
      <c r="B2207" s="2"/>
      <c r="C2207" s="2"/>
      <c r="D2207" s="2"/>
    </row>
    <row r="2208" spans="1:4" ht="12.75" customHeight="1" x14ac:dyDescent="0.2">
      <c r="A2208" s="21"/>
      <c r="B2208" s="2"/>
      <c r="C2208" s="2"/>
      <c r="D2208" s="2"/>
    </row>
    <row r="2209" spans="1:4" ht="12.75" customHeight="1" x14ac:dyDescent="0.2">
      <c r="A2209" s="5"/>
      <c r="B2209" s="2"/>
      <c r="C2209" s="2"/>
      <c r="D2209" s="2"/>
    </row>
    <row r="2210" spans="1:4" ht="12.75" customHeight="1" x14ac:dyDescent="0.2">
      <c r="A2210" s="22" t="str">
        <f>HYPERLINK("javascript:void(0)","teljes gránitvért")</f>
        <v>teljes gránitvért</v>
      </c>
      <c r="B2210" s="21"/>
      <c r="C2210" s="21"/>
      <c r="D2210" s="21"/>
    </row>
    <row r="2211" spans="1:4" ht="12.75" customHeight="1" x14ac:dyDescent="0.2">
      <c r="A2211" s="20"/>
      <c r="B2211" s="2"/>
      <c r="C2211" s="2"/>
      <c r="D2211" s="2"/>
    </row>
    <row r="2212" spans="1:4" ht="12.75" customHeight="1" x14ac:dyDescent="0.2">
      <c r="A2212" s="21"/>
      <c r="B2212" s="3" t="s">
        <v>0</v>
      </c>
      <c r="C2212" s="20" t="s">
        <v>181</v>
      </c>
      <c r="D2212" s="21"/>
    </row>
    <row r="2213" spans="1:4" ht="12.75" customHeight="1" x14ac:dyDescent="0.2">
      <c r="A2213" s="21"/>
      <c r="B2213" s="3" t="s">
        <v>2</v>
      </c>
      <c r="C2213" s="20" t="s">
        <v>2322</v>
      </c>
      <c r="D2213" s="21"/>
    </row>
    <row r="2214" spans="1:4" ht="12.75" customHeight="1" x14ac:dyDescent="0.2">
      <c r="A2214" s="21"/>
      <c r="B2214" s="3" t="s">
        <v>1840</v>
      </c>
      <c r="C2214" s="20" t="s">
        <v>2485</v>
      </c>
      <c r="D2214" s="21"/>
    </row>
    <row r="2215" spans="1:4" ht="12.75" customHeight="1" x14ac:dyDescent="0.2">
      <c r="A2215" s="21"/>
      <c r="B2215" s="3" t="s">
        <v>9</v>
      </c>
      <c r="C2215" s="20" t="s">
        <v>2360</v>
      </c>
      <c r="D2215" s="21"/>
    </row>
    <row r="2216" spans="1:4" ht="12.75" customHeight="1" x14ac:dyDescent="0.2">
      <c r="A2216" s="21"/>
      <c r="B2216" s="3" t="s">
        <v>11</v>
      </c>
      <c r="C2216" s="20" t="s">
        <v>1354</v>
      </c>
      <c r="D2216" s="21"/>
    </row>
    <row r="2217" spans="1:4" ht="12.75" customHeight="1" x14ac:dyDescent="0.2">
      <c r="A2217" s="21"/>
      <c r="B2217" s="3" t="s">
        <v>16</v>
      </c>
      <c r="C2217" s="20"/>
      <c r="D2217" s="21"/>
    </row>
    <row r="2218" spans="1:4" ht="12.75" customHeight="1" x14ac:dyDescent="0.2">
      <c r="A2218" s="21"/>
      <c r="B2218" s="3" t="s">
        <v>17</v>
      </c>
      <c r="C2218" s="20" t="s">
        <v>19</v>
      </c>
      <c r="D2218" s="21"/>
    </row>
    <row r="2219" spans="1:4" ht="12.75" customHeight="1" x14ac:dyDescent="0.2">
      <c r="A2219" s="21"/>
      <c r="B2219" s="20" t="s">
        <v>18</v>
      </c>
      <c r="C2219" s="4" t="s">
        <v>139</v>
      </c>
      <c r="D2219" s="6" t="str">
        <f>HYPERLINK("javascript:void(0)","átokige")</f>
        <v>átokige</v>
      </c>
    </row>
    <row r="2220" spans="1:4" ht="12.75" customHeight="1" x14ac:dyDescent="0.2">
      <c r="A2220" s="21"/>
      <c r="B2220" s="21"/>
      <c r="C2220" s="4" t="s">
        <v>132</v>
      </c>
      <c r="D2220" s="6" t="str">
        <f>HYPERLINK("javascript:void(0)","magmacsepp")</f>
        <v>magmacsepp</v>
      </c>
    </row>
    <row r="2221" spans="1:4" ht="12.75" customHeight="1" x14ac:dyDescent="0.2">
      <c r="A2221" s="21"/>
      <c r="B2221" s="21"/>
      <c r="C2221" s="4" t="s">
        <v>240</v>
      </c>
      <c r="D2221" s="6" t="str">
        <f>HYPERLINK("javascript:void(0)","sárkányzsák")</f>
        <v>sárkányzsák</v>
      </c>
    </row>
    <row r="2222" spans="1:4" ht="12.75" customHeight="1" x14ac:dyDescent="0.2">
      <c r="A2222" s="21"/>
      <c r="B2222" s="2"/>
      <c r="C2222" s="2"/>
      <c r="D2222" s="2"/>
    </row>
    <row r="2223" spans="1:4" ht="12.75" customHeight="1" x14ac:dyDescent="0.2">
      <c r="A2223" s="21"/>
      <c r="B2223" s="2"/>
      <c r="C2223" s="2"/>
      <c r="D2223" s="2"/>
    </row>
    <row r="2224" spans="1:4" ht="12.75" customHeight="1" x14ac:dyDescent="0.2">
      <c r="A2224" s="21"/>
      <c r="B2224" s="2"/>
      <c r="C2224" s="2"/>
      <c r="D2224" s="2"/>
    </row>
    <row r="2225" spans="1:4" ht="12.75" customHeight="1" x14ac:dyDescent="0.2">
      <c r="A2225" s="21"/>
      <c r="B2225" s="2"/>
      <c r="C2225" s="2"/>
      <c r="D2225" s="2"/>
    </row>
    <row r="2226" spans="1:4" ht="12.75" customHeight="1" x14ac:dyDescent="0.2">
      <c r="A2226" s="5"/>
      <c r="B2226" s="2"/>
      <c r="C2226" s="2"/>
      <c r="D2226" s="2"/>
    </row>
    <row r="2227" spans="1:4" ht="12.75" customHeight="1" x14ac:dyDescent="0.2">
      <c r="A2227" s="22" t="str">
        <f>HYPERLINK("javascript:void(0)","csillámló óriáspáncél")</f>
        <v>csillámló óriáspáncél</v>
      </c>
      <c r="B2227" s="21"/>
      <c r="C2227" s="21"/>
      <c r="D2227" s="21"/>
    </row>
    <row r="2228" spans="1:4" ht="12.75" customHeight="1" x14ac:dyDescent="0.2">
      <c r="A2228" s="20"/>
      <c r="B2228" s="2"/>
      <c r="C2228" s="2"/>
      <c r="D2228" s="2"/>
    </row>
    <row r="2229" spans="1:4" ht="12.75" customHeight="1" x14ac:dyDescent="0.2">
      <c r="A2229" s="21"/>
      <c r="B2229" s="3" t="s">
        <v>0</v>
      </c>
      <c r="C2229" s="20" t="s">
        <v>181</v>
      </c>
      <c r="D2229" s="21"/>
    </row>
    <row r="2230" spans="1:4" ht="12.75" customHeight="1" x14ac:dyDescent="0.2">
      <c r="A2230" s="21"/>
      <c r="B2230" s="3" t="s">
        <v>2</v>
      </c>
      <c r="C2230" s="20" t="s">
        <v>2322</v>
      </c>
      <c r="D2230" s="21"/>
    </row>
    <row r="2231" spans="1:4" ht="12.75" customHeight="1" x14ac:dyDescent="0.2">
      <c r="A2231" s="21"/>
      <c r="B2231" s="3" t="s">
        <v>1840</v>
      </c>
      <c r="C2231" s="20" t="s">
        <v>325</v>
      </c>
      <c r="D2231" s="21"/>
    </row>
    <row r="2232" spans="1:4" ht="12.75" customHeight="1" x14ac:dyDescent="0.2">
      <c r="A2232" s="21"/>
      <c r="B2232" s="3" t="s">
        <v>9</v>
      </c>
      <c r="C2232" s="20" t="s">
        <v>2486</v>
      </c>
      <c r="D2232" s="21"/>
    </row>
    <row r="2233" spans="1:4" ht="12.75" customHeight="1" x14ac:dyDescent="0.2">
      <c r="A2233" s="21"/>
      <c r="B2233" s="3" t="s">
        <v>11</v>
      </c>
      <c r="C2233" s="20" t="s">
        <v>1354</v>
      </c>
      <c r="D2233" s="21"/>
    </row>
    <row r="2234" spans="1:4" ht="12.75" customHeight="1" x14ac:dyDescent="0.2">
      <c r="A2234" s="21"/>
      <c r="B2234" s="3" t="s">
        <v>16</v>
      </c>
      <c r="C2234" s="20"/>
      <c r="D2234" s="21"/>
    </row>
    <row r="2235" spans="1:4" ht="12.75" customHeight="1" x14ac:dyDescent="0.2">
      <c r="A2235" s="21"/>
      <c r="B2235" s="3" t="s">
        <v>17</v>
      </c>
      <c r="C2235" s="20" t="s">
        <v>19</v>
      </c>
      <c r="D2235" s="21"/>
    </row>
    <row r="2236" spans="1:4" ht="12.75" customHeight="1" x14ac:dyDescent="0.2">
      <c r="A2236" s="21"/>
      <c r="B2236" s="20" t="s">
        <v>18</v>
      </c>
      <c r="C2236" s="4" t="s">
        <v>57</v>
      </c>
      <c r="D2236" s="6" t="str">
        <f>HYPERLINK("javascript:void(0)","csillámgöb")</f>
        <v>csillámgöb</v>
      </c>
    </row>
    <row r="2237" spans="1:4" ht="12.75" customHeight="1" x14ac:dyDescent="0.2">
      <c r="A2237" s="21"/>
      <c r="B2237" s="21"/>
      <c r="C2237" s="4" t="s">
        <v>44</v>
      </c>
      <c r="D2237" s="6" t="str">
        <f>HYPERLINK("javascript:void(0)","csillámló orkpáncél")</f>
        <v>csillámló orkpáncél</v>
      </c>
    </row>
    <row r="2238" spans="1:4" ht="12.75" customHeight="1" x14ac:dyDescent="0.2">
      <c r="A2238" s="21"/>
      <c r="B2238" s="21"/>
      <c r="C2238" s="4" t="s">
        <v>309</v>
      </c>
      <c r="D2238" s="6" t="str">
        <f>HYPERLINK("javascript:void(0)","robbanófej")</f>
        <v>robbanófej</v>
      </c>
    </row>
    <row r="2239" spans="1:4" ht="12.75" customHeight="1" x14ac:dyDescent="0.2">
      <c r="A2239" s="21"/>
      <c r="B2239" s="2"/>
      <c r="C2239" s="2"/>
      <c r="D2239" s="2"/>
    </row>
    <row r="2240" spans="1:4" ht="12.75" customHeight="1" x14ac:dyDescent="0.2">
      <c r="A2240" s="21"/>
      <c r="B2240" s="2"/>
      <c r="C2240" s="2"/>
      <c r="D2240" s="2"/>
    </row>
    <row r="2241" spans="1:4" ht="12.75" customHeight="1" x14ac:dyDescent="0.2">
      <c r="A2241" s="21"/>
      <c r="B2241" s="2"/>
      <c r="C2241" s="2"/>
      <c r="D2241" s="2"/>
    </row>
    <row r="2242" spans="1:4" ht="12.75" customHeight="1" x14ac:dyDescent="0.2">
      <c r="A2242" s="21"/>
      <c r="B2242" s="2"/>
      <c r="C2242" s="2"/>
      <c r="D2242" s="2"/>
    </row>
    <row r="2243" spans="1:4" ht="12.75" customHeight="1" x14ac:dyDescent="0.2">
      <c r="A2243" s="5"/>
      <c r="B2243" s="2"/>
      <c r="C2243" s="2"/>
      <c r="D2243" s="2"/>
    </row>
    <row r="2244" spans="1:4" ht="12.75" customHeight="1" x14ac:dyDescent="0.2">
      <c r="A2244" s="22" t="str">
        <f>HYPERLINK("javascript:void(0)","teljes óriásacélvért")</f>
        <v>teljes óriásacélvért</v>
      </c>
      <c r="B2244" s="21"/>
      <c r="C2244" s="21"/>
      <c r="D2244" s="21"/>
    </row>
    <row r="2245" spans="1:4" ht="12.75" customHeight="1" x14ac:dyDescent="0.2">
      <c r="A2245" s="20"/>
      <c r="B2245" s="2"/>
      <c r="C2245" s="2"/>
      <c r="D2245" s="2"/>
    </row>
    <row r="2246" spans="1:4" ht="12.75" customHeight="1" x14ac:dyDescent="0.2">
      <c r="A2246" s="21"/>
      <c r="B2246" s="3" t="s">
        <v>0</v>
      </c>
      <c r="C2246" s="20" t="s">
        <v>853</v>
      </c>
      <c r="D2246" s="21"/>
    </row>
    <row r="2247" spans="1:4" ht="12.75" customHeight="1" x14ac:dyDescent="0.2">
      <c r="A2247" s="21"/>
      <c r="B2247" s="3" t="s">
        <v>2</v>
      </c>
      <c r="C2247" s="20" t="s">
        <v>2322</v>
      </c>
      <c r="D2247" s="21"/>
    </row>
    <row r="2248" spans="1:4" ht="12.75" customHeight="1" x14ac:dyDescent="0.2">
      <c r="A2248" s="21"/>
      <c r="B2248" s="3" t="s">
        <v>1840</v>
      </c>
      <c r="C2248" s="20" t="s">
        <v>2487</v>
      </c>
      <c r="D2248" s="21"/>
    </row>
    <row r="2249" spans="1:4" ht="12.75" customHeight="1" x14ac:dyDescent="0.2">
      <c r="A2249" s="21"/>
      <c r="B2249" s="3" t="s">
        <v>9</v>
      </c>
      <c r="C2249" s="20" t="s">
        <v>233</v>
      </c>
      <c r="D2249" s="21"/>
    </row>
    <row r="2250" spans="1:4" ht="12.75" customHeight="1" x14ac:dyDescent="0.2">
      <c r="A2250" s="21"/>
      <c r="B2250" s="3" t="s">
        <v>11</v>
      </c>
      <c r="C2250" s="20" t="s">
        <v>1190</v>
      </c>
      <c r="D2250" s="21"/>
    </row>
    <row r="2251" spans="1:4" ht="12.75" customHeight="1" x14ac:dyDescent="0.2">
      <c r="A2251" s="21"/>
      <c r="B2251" s="3" t="s">
        <v>16</v>
      </c>
      <c r="C2251" s="20"/>
      <c r="D2251" s="21"/>
    </row>
    <row r="2252" spans="1:4" ht="12.75" customHeight="1" x14ac:dyDescent="0.2">
      <c r="A2252" s="21"/>
      <c r="B2252" s="3" t="s">
        <v>17</v>
      </c>
      <c r="C2252" s="20" t="s">
        <v>19</v>
      </c>
      <c r="D2252" s="21"/>
    </row>
    <row r="2253" spans="1:4" ht="12.75" customHeight="1" x14ac:dyDescent="0.2">
      <c r="A2253" s="21"/>
      <c r="B2253" s="20" t="s">
        <v>18</v>
      </c>
      <c r="C2253" s="4" t="s">
        <v>44</v>
      </c>
      <c r="D2253" s="6" t="str">
        <f>HYPERLINK("javascript:void(0)","óriáscsatt")</f>
        <v>óriáscsatt</v>
      </c>
    </row>
    <row r="2254" spans="1:4" ht="12.75" customHeight="1" x14ac:dyDescent="0.2">
      <c r="A2254" s="21"/>
      <c r="B2254" s="21"/>
      <c r="C2254" s="4" t="s">
        <v>44</v>
      </c>
      <c r="D2254" s="6" t="str">
        <f>HYPERLINK("javascript:void(0)","teljes elfacélvért")</f>
        <v>teljes elfacélvért</v>
      </c>
    </row>
    <row r="2255" spans="1:4" ht="12.75" customHeight="1" x14ac:dyDescent="0.2">
      <c r="A2255" s="21"/>
      <c r="B2255" s="21"/>
      <c r="C2255" s="4" t="s">
        <v>44</v>
      </c>
      <c r="D2255" s="6" t="str">
        <f>HYPERLINK("javascript:void(0)","teljes gránitvért")</f>
        <v>teljes gránitvért</v>
      </c>
    </row>
    <row r="2256" spans="1:4" ht="12.75" customHeight="1" x14ac:dyDescent="0.2">
      <c r="A2256" s="21"/>
      <c r="B2256" s="2"/>
      <c r="C2256" s="2"/>
      <c r="D2256" s="2"/>
    </row>
    <row r="2257" spans="1:4" ht="12.75" customHeight="1" x14ac:dyDescent="0.2">
      <c r="A2257" s="21"/>
      <c r="B2257" s="2"/>
      <c r="C2257" s="2"/>
      <c r="D2257" s="2"/>
    </row>
    <row r="2258" spans="1:4" ht="12.75" customHeight="1" x14ac:dyDescent="0.2">
      <c r="A2258" s="21"/>
      <c r="B2258" s="2"/>
      <c r="C2258" s="2"/>
      <c r="D2258" s="2"/>
    </row>
    <row r="2259" spans="1:4" ht="12.75" customHeight="1" x14ac:dyDescent="0.2">
      <c r="A2259" s="21"/>
      <c r="B2259" s="2"/>
      <c r="C2259" s="2"/>
      <c r="D2259" s="2"/>
    </row>
    <row r="2260" spans="1:4" ht="12.75" customHeight="1" x14ac:dyDescent="0.2">
      <c r="A2260" s="5"/>
      <c r="B2260" s="2"/>
      <c r="C2260" s="2"/>
      <c r="D2260" s="2"/>
    </row>
    <row r="2261" spans="1:4" ht="12.75" customHeight="1" x14ac:dyDescent="0.2">
      <c r="A2261" s="22" t="str">
        <f>HYPERLINK("javascript:void(0)","óriáscsatt")</f>
        <v>óriáscsatt</v>
      </c>
      <c r="B2261" s="21"/>
      <c r="C2261" s="21"/>
      <c r="D2261" s="21"/>
    </row>
    <row r="2262" spans="1:4" ht="12.75" customHeight="1" x14ac:dyDescent="0.2">
      <c r="A2262" s="20"/>
      <c r="B2262" s="2"/>
      <c r="C2262" s="2"/>
      <c r="D2262" s="2"/>
    </row>
    <row r="2263" spans="1:4" ht="12.75" customHeight="1" x14ac:dyDescent="0.2">
      <c r="A2263" s="21"/>
      <c r="B2263" s="3" t="s">
        <v>0</v>
      </c>
      <c r="C2263" s="20" t="s">
        <v>853</v>
      </c>
      <c r="D2263" s="21"/>
    </row>
    <row r="2264" spans="1:4" ht="12.75" customHeight="1" x14ac:dyDescent="0.2">
      <c r="A2264" s="21"/>
      <c r="B2264" s="3" t="s">
        <v>2</v>
      </c>
      <c r="C2264" s="20" t="s">
        <v>2322</v>
      </c>
      <c r="D2264" s="21"/>
    </row>
    <row r="2265" spans="1:4" ht="12.75" customHeight="1" x14ac:dyDescent="0.2">
      <c r="A2265" s="21"/>
      <c r="B2265" s="3" t="s">
        <v>1840</v>
      </c>
      <c r="C2265" s="20" t="s">
        <v>115</v>
      </c>
      <c r="D2265" s="21"/>
    </row>
    <row r="2266" spans="1:4" ht="12.75" customHeight="1" x14ac:dyDescent="0.2">
      <c r="A2266" s="21"/>
      <c r="B2266" s="3" t="s">
        <v>9</v>
      </c>
      <c r="C2266" s="20" t="s">
        <v>42</v>
      </c>
      <c r="D2266" s="21"/>
    </row>
    <row r="2267" spans="1:4" ht="12.75" customHeight="1" x14ac:dyDescent="0.2">
      <c r="A2267" s="21"/>
      <c r="B2267" s="3" t="s">
        <v>11</v>
      </c>
      <c r="C2267" s="20" t="s">
        <v>2488</v>
      </c>
      <c r="D2267" s="21"/>
    </row>
    <row r="2268" spans="1:4" ht="12.75" customHeight="1" x14ac:dyDescent="0.2">
      <c r="A2268" s="21"/>
      <c r="B2268" s="3" t="s">
        <v>16</v>
      </c>
      <c r="C2268" s="20"/>
      <c r="D2268" s="21"/>
    </row>
    <row r="2269" spans="1:4" ht="12.75" customHeight="1" x14ac:dyDescent="0.2">
      <c r="A2269" s="21"/>
      <c r="B2269" s="3" t="s">
        <v>17</v>
      </c>
      <c r="C2269" s="20" t="s">
        <v>19</v>
      </c>
      <c r="D2269" s="21"/>
    </row>
    <row r="2270" spans="1:4" ht="12.75" customHeight="1" x14ac:dyDescent="0.2">
      <c r="A2270" s="21"/>
      <c r="B2270" s="20" t="s">
        <v>18</v>
      </c>
      <c r="C2270" s="4" t="s">
        <v>67</v>
      </c>
      <c r="D2270" s="6" t="str">
        <f>HYPERLINK("javascript:void(0)","démonamulett")</f>
        <v>démonamulett</v>
      </c>
    </row>
    <row r="2271" spans="1:4" ht="12.75" customHeight="1" x14ac:dyDescent="0.2">
      <c r="A2271" s="21"/>
      <c r="B2271" s="21"/>
      <c r="C2271" s="4" t="s">
        <v>67</v>
      </c>
      <c r="D2271" s="6" t="str">
        <f>HYPERLINK("javascript:void(0)","monsztabéklyó")</f>
        <v>monsztabéklyó</v>
      </c>
    </row>
    <row r="2272" spans="1:4" ht="12.75" customHeight="1" x14ac:dyDescent="0.2">
      <c r="A2272" s="21"/>
      <c r="B2272" s="21"/>
      <c r="C2272" s="4" t="s">
        <v>269</v>
      </c>
      <c r="D2272" s="6" t="str">
        <f>HYPERLINK("javascript:void(0)","csapdaszeg")</f>
        <v>csapdaszeg</v>
      </c>
    </row>
    <row r="2273" spans="1:4" ht="12.75" customHeight="1" x14ac:dyDescent="0.2">
      <c r="A2273" s="21"/>
      <c r="B2273" s="2"/>
      <c r="C2273" s="2"/>
      <c r="D2273" s="2"/>
    </row>
    <row r="2274" spans="1:4" ht="12.75" customHeight="1" x14ac:dyDescent="0.2">
      <c r="A2274" s="21"/>
      <c r="B2274" s="2"/>
      <c r="C2274" s="2"/>
      <c r="D2274" s="2"/>
    </row>
    <row r="2275" spans="1:4" ht="12.75" customHeight="1" x14ac:dyDescent="0.2">
      <c r="A2275" s="21"/>
      <c r="B2275" s="2"/>
      <c r="C2275" s="2"/>
      <c r="D2275" s="2"/>
    </row>
    <row r="2276" spans="1:4" ht="12.75" customHeight="1" x14ac:dyDescent="0.2">
      <c r="A2276" s="21"/>
      <c r="B2276" s="2"/>
      <c r="C2276" s="2"/>
      <c r="D2276" s="2"/>
    </row>
    <row r="2277" spans="1:4" ht="12.75" customHeight="1" x14ac:dyDescent="0.2">
      <c r="A2277" s="5"/>
      <c r="B2277" s="2"/>
      <c r="C2277" s="2"/>
      <c r="D2277" s="2"/>
    </row>
    <row r="2278" spans="1:4" ht="12.75" customHeight="1" x14ac:dyDescent="0.2">
      <c r="A2278" s="22" t="str">
        <f>HYPERLINK("javascript:void(0)","teljes kentacélvért")</f>
        <v>teljes kentacélvért</v>
      </c>
      <c r="B2278" s="21"/>
      <c r="C2278" s="21"/>
      <c r="D2278" s="21"/>
    </row>
    <row r="2279" spans="1:4" ht="12.75" customHeight="1" x14ac:dyDescent="0.2">
      <c r="A2279" s="20"/>
      <c r="B2279" s="2"/>
      <c r="C2279" s="2"/>
      <c r="D2279" s="2"/>
    </row>
    <row r="2280" spans="1:4" ht="12.75" customHeight="1" x14ac:dyDescent="0.2">
      <c r="A2280" s="21"/>
      <c r="B2280" s="3" t="s">
        <v>0</v>
      </c>
      <c r="C2280" s="20" t="s">
        <v>862</v>
      </c>
      <c r="D2280" s="21"/>
    </row>
    <row r="2281" spans="1:4" ht="12.75" customHeight="1" x14ac:dyDescent="0.2">
      <c r="A2281" s="21"/>
      <c r="B2281" s="3" t="s">
        <v>2</v>
      </c>
      <c r="C2281" s="20" t="s">
        <v>2322</v>
      </c>
      <c r="D2281" s="21"/>
    </row>
    <row r="2282" spans="1:4" ht="12.75" customHeight="1" x14ac:dyDescent="0.2">
      <c r="A2282" s="21"/>
      <c r="B2282" s="3" t="s">
        <v>1840</v>
      </c>
      <c r="C2282" s="20" t="s">
        <v>2489</v>
      </c>
      <c r="D2282" s="21"/>
    </row>
    <row r="2283" spans="1:4" ht="12.75" customHeight="1" x14ac:dyDescent="0.2">
      <c r="A2283" s="21"/>
      <c r="B2283" s="3" t="s">
        <v>9</v>
      </c>
      <c r="C2283" s="20" t="s">
        <v>2490</v>
      </c>
      <c r="D2283" s="21"/>
    </row>
    <row r="2284" spans="1:4" ht="12.75" customHeight="1" x14ac:dyDescent="0.2">
      <c r="A2284" s="21"/>
      <c r="B2284" s="3" t="s">
        <v>11</v>
      </c>
      <c r="C2284" s="20" t="s">
        <v>1372</v>
      </c>
      <c r="D2284" s="21"/>
    </row>
    <row r="2285" spans="1:4" ht="12.75" customHeight="1" x14ac:dyDescent="0.2">
      <c r="A2285" s="21"/>
      <c r="B2285" s="3" t="s">
        <v>16</v>
      </c>
      <c r="C2285" s="20"/>
      <c r="D2285" s="21"/>
    </row>
    <row r="2286" spans="1:4" ht="12.75" customHeight="1" x14ac:dyDescent="0.2">
      <c r="A2286" s="21"/>
      <c r="B2286" s="3" t="s">
        <v>17</v>
      </c>
      <c r="C2286" s="20" t="s">
        <v>19</v>
      </c>
      <c r="D2286" s="21"/>
    </row>
    <row r="2287" spans="1:4" ht="12.75" customHeight="1" x14ac:dyDescent="0.2">
      <c r="A2287" s="21"/>
      <c r="B2287" s="20" t="s">
        <v>18</v>
      </c>
      <c r="C2287" s="4" t="s">
        <v>44</v>
      </c>
      <c r="D2287" s="6" t="str">
        <f>HYPERLINK("javascript:void(0)","teljes óriásacélvért")</f>
        <v>teljes óriásacélvért</v>
      </c>
    </row>
    <row r="2288" spans="1:4" ht="12.75" customHeight="1" x14ac:dyDescent="0.2">
      <c r="A2288" s="21"/>
      <c r="B2288" s="21"/>
      <c r="C2288" s="4" t="s">
        <v>68</v>
      </c>
      <c r="D2288" s="6" t="str">
        <f>HYPERLINK("javascript:void(0)","managöb")</f>
        <v>managöb</v>
      </c>
    </row>
    <row r="2289" spans="1:4" ht="12.75" customHeight="1" x14ac:dyDescent="0.2">
      <c r="A2289" s="21"/>
      <c r="B2289" s="21"/>
      <c r="C2289" s="4" t="s">
        <v>132</v>
      </c>
      <c r="D2289" s="6" t="str">
        <f>HYPERLINK("javascript:void(0)","bigapata")</f>
        <v>bigapata</v>
      </c>
    </row>
    <row r="2290" spans="1:4" ht="12.75" customHeight="1" x14ac:dyDescent="0.2">
      <c r="A2290" s="21"/>
      <c r="B2290" s="2"/>
      <c r="C2290" s="2"/>
      <c r="D2290" s="2"/>
    </row>
    <row r="2291" spans="1:4" ht="12.75" customHeight="1" x14ac:dyDescent="0.2">
      <c r="A2291" s="21"/>
      <c r="B2291" s="2"/>
      <c r="C2291" s="2"/>
      <c r="D2291" s="2"/>
    </row>
    <row r="2292" spans="1:4" ht="12.75" customHeight="1" x14ac:dyDescent="0.2">
      <c r="A2292" s="21"/>
      <c r="B2292" s="2"/>
      <c r="C2292" s="2"/>
      <c r="D2292" s="2"/>
    </row>
    <row r="2293" spans="1:4" ht="12.75" customHeight="1" x14ac:dyDescent="0.2">
      <c r="A2293" s="21"/>
      <c r="B2293" s="2"/>
      <c r="C2293" s="2"/>
      <c r="D2293" s="2"/>
    </row>
    <row r="2294" spans="1:4" ht="12.75" customHeight="1" x14ac:dyDescent="0.2">
      <c r="A2294" s="5"/>
      <c r="B2294" s="2"/>
      <c r="C2294" s="2"/>
      <c r="D2294" s="2"/>
    </row>
    <row r="2295" spans="1:4" ht="12.75" customHeight="1" x14ac:dyDescent="0.2">
      <c r="A2295" s="22" t="str">
        <f>HYPERLINK("javascript:void(0)","teljes ernyővért")</f>
        <v>teljes ernyővért</v>
      </c>
      <c r="B2295" s="21"/>
      <c r="C2295" s="21"/>
      <c r="D2295" s="21"/>
    </row>
    <row r="2296" spans="1:4" ht="12.75" customHeight="1" x14ac:dyDescent="0.2">
      <c r="A2296" s="20"/>
      <c r="B2296" s="2"/>
      <c r="C2296" s="2"/>
      <c r="D2296" s="2"/>
    </row>
    <row r="2297" spans="1:4" ht="12.75" customHeight="1" x14ac:dyDescent="0.2">
      <c r="A2297" s="21"/>
      <c r="B2297" s="3" t="s">
        <v>0</v>
      </c>
      <c r="C2297" s="20" t="s">
        <v>874</v>
      </c>
      <c r="D2297" s="21"/>
    </row>
    <row r="2298" spans="1:4" ht="12.75" customHeight="1" x14ac:dyDescent="0.2">
      <c r="A2298" s="21"/>
      <c r="B2298" s="3" t="s">
        <v>2</v>
      </c>
      <c r="C2298" s="20" t="s">
        <v>2322</v>
      </c>
      <c r="D2298" s="21"/>
    </row>
    <row r="2299" spans="1:4" ht="12.75" customHeight="1" x14ac:dyDescent="0.2">
      <c r="A2299" s="21"/>
      <c r="B2299" s="3" t="s">
        <v>1840</v>
      </c>
      <c r="C2299" s="20" t="s">
        <v>2491</v>
      </c>
      <c r="D2299" s="21"/>
    </row>
    <row r="2300" spans="1:4" ht="12.75" customHeight="1" x14ac:dyDescent="0.2">
      <c r="A2300" s="21"/>
      <c r="B2300" s="3" t="s">
        <v>9</v>
      </c>
      <c r="C2300" s="20" t="s">
        <v>2492</v>
      </c>
      <c r="D2300" s="21"/>
    </row>
    <row r="2301" spans="1:4" ht="12.75" customHeight="1" x14ac:dyDescent="0.2">
      <c r="A2301" s="21"/>
      <c r="B2301" s="3" t="s">
        <v>11</v>
      </c>
      <c r="C2301" s="20" t="s">
        <v>1443</v>
      </c>
      <c r="D2301" s="21"/>
    </row>
    <row r="2302" spans="1:4" ht="12.75" customHeight="1" x14ac:dyDescent="0.2">
      <c r="A2302" s="21"/>
      <c r="B2302" s="3" t="s">
        <v>16</v>
      </c>
      <c r="C2302" s="20"/>
      <c r="D2302" s="21"/>
    </row>
    <row r="2303" spans="1:4" ht="12.75" customHeight="1" x14ac:dyDescent="0.2">
      <c r="A2303" s="21"/>
      <c r="B2303" s="3" t="s">
        <v>17</v>
      </c>
      <c r="C2303" s="20" t="s">
        <v>19</v>
      </c>
      <c r="D2303" s="21"/>
    </row>
    <row r="2304" spans="1:4" ht="12.75" customHeight="1" x14ac:dyDescent="0.2">
      <c r="A2304" s="21"/>
      <c r="B2304" s="20" t="s">
        <v>18</v>
      </c>
      <c r="C2304" s="4" t="s">
        <v>269</v>
      </c>
      <c r="D2304" s="6" t="str">
        <f>HYPERLINK("javascript:void(0)","porszőr")</f>
        <v>porszőr</v>
      </c>
    </row>
    <row r="2305" spans="1:4" ht="12.75" customHeight="1" x14ac:dyDescent="0.2">
      <c r="A2305" s="21"/>
      <c r="B2305" s="21"/>
      <c r="C2305" s="4" t="s">
        <v>331</v>
      </c>
      <c r="D2305" s="6" t="str">
        <f>HYPERLINK("javascript:void(0)","ejtőernyő")</f>
        <v>ejtőernyő</v>
      </c>
    </row>
    <row r="2306" spans="1:4" ht="12.75" customHeight="1" x14ac:dyDescent="0.2">
      <c r="A2306" s="21"/>
      <c r="B2306" s="21"/>
      <c r="C2306" s="4" t="s">
        <v>228</v>
      </c>
      <c r="D2306" s="6" t="str">
        <f>HYPERLINK("javascript:void(0)","csapdaszeg")</f>
        <v>csapdaszeg</v>
      </c>
    </row>
    <row r="2307" spans="1:4" ht="12.75" customHeight="1" x14ac:dyDescent="0.2">
      <c r="A2307" s="21"/>
      <c r="B2307" s="2"/>
      <c r="C2307" s="2"/>
      <c r="D2307" s="2"/>
    </row>
    <row r="2308" spans="1:4" ht="12.75" customHeight="1" x14ac:dyDescent="0.2">
      <c r="A2308" s="21"/>
      <c r="B2308" s="2"/>
      <c r="C2308" s="2"/>
      <c r="D2308" s="2"/>
    </row>
    <row r="2309" spans="1:4" ht="12.75" customHeight="1" x14ac:dyDescent="0.2">
      <c r="A2309" s="21"/>
      <c r="B2309" s="2"/>
      <c r="C2309" s="2"/>
      <c r="D2309" s="2"/>
    </row>
    <row r="2310" spans="1:4" ht="12.75" customHeight="1" x14ac:dyDescent="0.2">
      <c r="A2310" s="21"/>
      <c r="B2310" s="2"/>
      <c r="C2310" s="2"/>
      <c r="D2310" s="2"/>
    </row>
    <row r="2311" spans="1:4" ht="12.75" customHeight="1" x14ac:dyDescent="0.2">
      <c r="A2311" s="5"/>
      <c r="B2311" s="2"/>
      <c r="C2311" s="2"/>
      <c r="D2311" s="2"/>
    </row>
    <row r="2312" spans="1:4" ht="12.75" customHeight="1" x14ac:dyDescent="0.2">
      <c r="A2312" s="22" t="str">
        <f>HYPERLINK("javascript:void(0)","teljes fotoacélvért")</f>
        <v>teljes fotoacélvért</v>
      </c>
      <c r="B2312" s="21"/>
      <c r="C2312" s="21"/>
      <c r="D2312" s="21"/>
    </row>
    <row r="2313" spans="1:4" ht="12.75" customHeight="1" x14ac:dyDescent="0.2">
      <c r="A2313" s="20"/>
      <c r="B2313" s="2"/>
      <c r="C2313" s="2"/>
      <c r="D2313" s="2"/>
    </row>
    <row r="2314" spans="1:4" ht="12.75" customHeight="1" x14ac:dyDescent="0.2">
      <c r="A2314" s="21"/>
      <c r="B2314" s="3" t="s">
        <v>0</v>
      </c>
      <c r="C2314" s="20" t="s">
        <v>883</v>
      </c>
      <c r="D2314" s="21"/>
    </row>
    <row r="2315" spans="1:4" ht="12.75" customHeight="1" x14ac:dyDescent="0.2">
      <c r="A2315" s="21"/>
      <c r="B2315" s="3" t="s">
        <v>2</v>
      </c>
      <c r="C2315" s="20" t="s">
        <v>2322</v>
      </c>
      <c r="D2315" s="21"/>
    </row>
    <row r="2316" spans="1:4" ht="12.75" customHeight="1" x14ac:dyDescent="0.2">
      <c r="A2316" s="21"/>
      <c r="B2316" s="3" t="s">
        <v>1840</v>
      </c>
      <c r="C2316" s="20" t="s">
        <v>2493</v>
      </c>
      <c r="D2316" s="21"/>
    </row>
    <row r="2317" spans="1:4" ht="12.75" customHeight="1" x14ac:dyDescent="0.2">
      <c r="A2317" s="21"/>
      <c r="B2317" s="3" t="s">
        <v>9</v>
      </c>
      <c r="C2317" s="20" t="s">
        <v>2058</v>
      </c>
      <c r="D2317" s="21"/>
    </row>
    <row r="2318" spans="1:4" ht="12.75" customHeight="1" x14ac:dyDescent="0.2">
      <c r="A2318" s="21"/>
      <c r="B2318" s="3" t="s">
        <v>11</v>
      </c>
      <c r="C2318" s="20" t="s">
        <v>1528</v>
      </c>
      <c r="D2318" s="21"/>
    </row>
    <row r="2319" spans="1:4" ht="12.75" customHeight="1" x14ac:dyDescent="0.2">
      <c r="A2319" s="21"/>
      <c r="B2319" s="3" t="s">
        <v>16</v>
      </c>
      <c r="C2319" s="20"/>
      <c r="D2319" s="21"/>
    </row>
    <row r="2320" spans="1:4" ht="12.75" customHeight="1" x14ac:dyDescent="0.2">
      <c r="A2320" s="21"/>
      <c r="B2320" s="3" t="s">
        <v>17</v>
      </c>
      <c r="C2320" s="20" t="s">
        <v>19</v>
      </c>
      <c r="D2320" s="21"/>
    </row>
    <row r="2321" spans="1:4" ht="12.75" customHeight="1" x14ac:dyDescent="0.2">
      <c r="A2321" s="21"/>
      <c r="B2321" s="20" t="s">
        <v>18</v>
      </c>
      <c r="C2321" s="4" t="s">
        <v>44</v>
      </c>
      <c r="D2321" s="6" t="str">
        <f>HYPERLINK("javascript:void(0)","teljes kentacélvért")</f>
        <v>teljes kentacélvért</v>
      </c>
    </row>
    <row r="2322" spans="1:4" ht="12.75" customHeight="1" x14ac:dyDescent="0.2">
      <c r="A2322" s="21"/>
      <c r="B2322" s="21"/>
      <c r="C2322" s="4" t="s">
        <v>44</v>
      </c>
      <c r="D2322" s="6" t="str">
        <f>HYPERLINK("javascript:void(0)","teljes ernyővért")</f>
        <v>teljes ernyővért</v>
      </c>
    </row>
    <row r="2323" spans="1:4" ht="12.75" customHeight="1" x14ac:dyDescent="0.2">
      <c r="A2323" s="21"/>
      <c r="B2323" s="21"/>
      <c r="C2323" s="4" t="s">
        <v>44</v>
      </c>
      <c r="D2323" s="6" t="str">
        <f>HYPERLINK("javascript:void(0)","fotonbélés")</f>
        <v>fotonbélés</v>
      </c>
    </row>
    <row r="2324" spans="1:4" ht="12.75" customHeight="1" x14ac:dyDescent="0.2">
      <c r="A2324" s="21"/>
      <c r="B2324" s="2"/>
      <c r="C2324" s="2"/>
      <c r="D2324" s="2"/>
    </row>
    <row r="2325" spans="1:4" ht="12.75" customHeight="1" x14ac:dyDescent="0.2">
      <c r="A2325" s="21"/>
      <c r="B2325" s="2"/>
      <c r="C2325" s="2"/>
      <c r="D2325" s="2"/>
    </row>
    <row r="2326" spans="1:4" ht="12.75" customHeight="1" x14ac:dyDescent="0.2">
      <c r="A2326" s="21"/>
      <c r="B2326" s="2"/>
      <c r="C2326" s="2"/>
      <c r="D2326" s="2"/>
    </row>
    <row r="2327" spans="1:4" ht="12.75" customHeight="1" x14ac:dyDescent="0.2">
      <c r="A2327" s="21"/>
      <c r="B2327" s="2"/>
      <c r="C2327" s="2"/>
      <c r="D2327" s="2"/>
    </row>
    <row r="2328" spans="1:4" ht="12.75" customHeight="1" x14ac:dyDescent="0.2">
      <c r="A2328" s="5"/>
      <c r="B2328" s="2"/>
      <c r="C2328" s="2"/>
      <c r="D2328" s="2"/>
    </row>
    <row r="2329" spans="1:4" ht="12.75" customHeight="1" x14ac:dyDescent="0.2">
      <c r="A2329" s="22" t="str">
        <f>HYPERLINK("javascript:void(0)","fotonbélés")</f>
        <v>fotonbélés</v>
      </c>
      <c r="B2329" s="21"/>
      <c r="C2329" s="21"/>
      <c r="D2329" s="21"/>
    </row>
    <row r="2330" spans="1:4" ht="12.75" customHeight="1" x14ac:dyDescent="0.2">
      <c r="A2330" s="20"/>
      <c r="B2330" s="2"/>
      <c r="C2330" s="2"/>
      <c r="D2330" s="2"/>
    </row>
    <row r="2331" spans="1:4" ht="12.75" customHeight="1" x14ac:dyDescent="0.2">
      <c r="A2331" s="21"/>
      <c r="B2331" s="3" t="s">
        <v>0</v>
      </c>
      <c r="C2331" s="20" t="s">
        <v>883</v>
      </c>
      <c r="D2331" s="21"/>
    </row>
    <row r="2332" spans="1:4" ht="12.75" customHeight="1" x14ac:dyDescent="0.2">
      <c r="A2332" s="21"/>
      <c r="B2332" s="3" t="s">
        <v>2</v>
      </c>
      <c r="C2332" s="20" t="s">
        <v>2322</v>
      </c>
      <c r="D2332" s="21"/>
    </row>
    <row r="2333" spans="1:4" ht="12.75" customHeight="1" x14ac:dyDescent="0.2">
      <c r="A2333" s="21"/>
      <c r="B2333" s="3" t="s">
        <v>1840</v>
      </c>
      <c r="C2333" s="20" t="s">
        <v>115</v>
      </c>
      <c r="D2333" s="21"/>
    </row>
    <row r="2334" spans="1:4" ht="12.75" customHeight="1" x14ac:dyDescent="0.2">
      <c r="A2334" s="21"/>
      <c r="B2334" s="3" t="s">
        <v>9</v>
      </c>
      <c r="C2334" s="20" t="s">
        <v>172</v>
      </c>
      <c r="D2334" s="21"/>
    </row>
    <row r="2335" spans="1:4" ht="12.75" customHeight="1" x14ac:dyDescent="0.2">
      <c r="A2335" s="21"/>
      <c r="B2335" s="3" t="s">
        <v>11</v>
      </c>
      <c r="C2335" s="20" t="s">
        <v>2494</v>
      </c>
      <c r="D2335" s="21"/>
    </row>
    <row r="2336" spans="1:4" ht="12.75" customHeight="1" x14ac:dyDescent="0.2">
      <c r="A2336" s="21"/>
      <c r="B2336" s="3" t="s">
        <v>16</v>
      </c>
      <c r="C2336" s="20"/>
      <c r="D2336" s="21"/>
    </row>
    <row r="2337" spans="1:4" ht="12.75" customHeight="1" x14ac:dyDescent="0.2">
      <c r="A2337" s="21"/>
      <c r="B2337" s="3" t="s">
        <v>17</v>
      </c>
      <c r="C2337" s="20" t="s">
        <v>19</v>
      </c>
      <c r="D2337" s="21"/>
    </row>
    <row r="2338" spans="1:4" ht="12.75" customHeight="1" x14ac:dyDescent="0.2">
      <c r="A2338" s="21"/>
      <c r="B2338" s="20" t="s">
        <v>18</v>
      </c>
      <c r="C2338" s="4" t="s">
        <v>68</v>
      </c>
      <c r="D2338" s="6" t="str">
        <f>HYPERLINK("javascript:void(0)","habléc")</f>
        <v>habléc</v>
      </c>
    </row>
    <row r="2339" spans="1:4" ht="12.75" customHeight="1" x14ac:dyDescent="0.2">
      <c r="A2339" s="21"/>
      <c r="B2339" s="21"/>
      <c r="C2339" s="4" t="s">
        <v>98</v>
      </c>
      <c r="D2339" s="6" t="str">
        <f>HYPERLINK("javascript:void(0)","lidérclámpás")</f>
        <v>lidérclámpás</v>
      </c>
    </row>
    <row r="2340" spans="1:4" ht="12.75" customHeight="1" x14ac:dyDescent="0.2">
      <c r="A2340" s="21"/>
      <c r="B2340" s="21"/>
      <c r="C2340" s="4" t="s">
        <v>244</v>
      </c>
      <c r="D2340" s="6" t="str">
        <f>HYPERLINK("javascript:void(0)","térszelet")</f>
        <v>térszelet</v>
      </c>
    </row>
    <row r="2341" spans="1:4" ht="12.75" customHeight="1" x14ac:dyDescent="0.2">
      <c r="A2341" s="21"/>
      <c r="B2341" s="2"/>
      <c r="C2341" s="2"/>
      <c r="D2341" s="2"/>
    </row>
    <row r="2342" spans="1:4" ht="12.75" customHeight="1" x14ac:dyDescent="0.2">
      <c r="A2342" s="21"/>
      <c r="B2342" s="2"/>
      <c r="C2342" s="2"/>
      <c r="D2342" s="2"/>
    </row>
    <row r="2343" spans="1:4" ht="12.75" customHeight="1" x14ac:dyDescent="0.2">
      <c r="A2343" s="21"/>
      <c r="B2343" s="2"/>
      <c r="C2343" s="2"/>
      <c r="D2343" s="2"/>
    </row>
    <row r="2344" spans="1:4" ht="12.75" customHeight="1" x14ac:dyDescent="0.2">
      <c r="A2344" s="21"/>
      <c r="B2344" s="2"/>
      <c r="C2344" s="2"/>
      <c r="D2344" s="2"/>
    </row>
    <row r="2345" spans="1:4" ht="12.75" customHeight="1" x14ac:dyDescent="0.2">
      <c r="A2345" s="5"/>
      <c r="B2345" s="2"/>
      <c r="C2345" s="2"/>
      <c r="D2345" s="2"/>
    </row>
    <row r="2346" spans="1:4" ht="12.75" customHeight="1" x14ac:dyDescent="0.2">
      <c r="A2346" s="22" t="str">
        <f>HYPERLINK("javascript:void(0)","teljes atomvért")</f>
        <v>teljes atomvért</v>
      </c>
      <c r="B2346" s="21"/>
      <c r="C2346" s="21"/>
      <c r="D2346" s="21"/>
    </row>
    <row r="2347" spans="1:4" ht="12.75" customHeight="1" x14ac:dyDescent="0.2">
      <c r="A2347" s="20"/>
      <c r="B2347" s="2"/>
      <c r="C2347" s="2"/>
      <c r="D2347" s="2"/>
    </row>
    <row r="2348" spans="1:4" ht="12.75" customHeight="1" x14ac:dyDescent="0.2">
      <c r="A2348" s="21"/>
      <c r="B2348" s="3" t="s">
        <v>0</v>
      </c>
      <c r="C2348" s="20" t="s">
        <v>896</v>
      </c>
      <c r="D2348" s="21"/>
    </row>
    <row r="2349" spans="1:4" ht="12.75" customHeight="1" x14ac:dyDescent="0.2">
      <c r="A2349" s="21"/>
      <c r="B2349" s="3" t="s">
        <v>2</v>
      </c>
      <c r="C2349" s="20" t="s">
        <v>2322</v>
      </c>
      <c r="D2349" s="21"/>
    </row>
    <row r="2350" spans="1:4" ht="12.75" customHeight="1" x14ac:dyDescent="0.2">
      <c r="A2350" s="21"/>
      <c r="B2350" s="3" t="s">
        <v>1840</v>
      </c>
      <c r="C2350" s="20" t="s">
        <v>2495</v>
      </c>
      <c r="D2350" s="21"/>
    </row>
    <row r="2351" spans="1:4" ht="12.75" customHeight="1" x14ac:dyDescent="0.2">
      <c r="A2351" s="21"/>
      <c r="B2351" s="3" t="s">
        <v>9</v>
      </c>
      <c r="C2351" s="20" t="s">
        <v>1595</v>
      </c>
      <c r="D2351" s="21"/>
    </row>
    <row r="2352" spans="1:4" ht="12.75" customHeight="1" x14ac:dyDescent="0.2">
      <c r="A2352" s="21"/>
      <c r="B2352" s="3" t="s">
        <v>11</v>
      </c>
      <c r="C2352" s="20" t="s">
        <v>1451</v>
      </c>
      <c r="D2352" s="21"/>
    </row>
    <row r="2353" spans="1:4" ht="12.75" customHeight="1" x14ac:dyDescent="0.2">
      <c r="A2353" s="21"/>
      <c r="B2353" s="3" t="s">
        <v>16</v>
      </c>
      <c r="C2353" s="20"/>
      <c r="D2353" s="21"/>
    </row>
    <row r="2354" spans="1:4" ht="12.75" customHeight="1" x14ac:dyDescent="0.2">
      <c r="A2354" s="21"/>
      <c r="B2354" s="3" t="s">
        <v>17</v>
      </c>
      <c r="C2354" s="20" t="s">
        <v>19</v>
      </c>
      <c r="D2354" s="21"/>
    </row>
    <row r="2355" spans="1:4" ht="12.75" customHeight="1" x14ac:dyDescent="0.2">
      <c r="A2355" s="21"/>
      <c r="B2355" s="20" t="s">
        <v>18</v>
      </c>
      <c r="C2355" s="4" t="s">
        <v>68</v>
      </c>
      <c r="D2355" s="6" t="str">
        <f>HYPERLINK("javascript:void(0)","molekula")</f>
        <v>molekula</v>
      </c>
    </row>
    <row r="2356" spans="1:4" ht="12.75" customHeight="1" x14ac:dyDescent="0.2">
      <c r="A2356" s="21"/>
      <c r="B2356" s="21"/>
      <c r="C2356" s="4" t="s">
        <v>44</v>
      </c>
      <c r="D2356" s="6" t="str">
        <f>HYPERLINK("javascript:void(0)","teljes fotoacélvért")</f>
        <v>teljes fotoacélvért</v>
      </c>
    </row>
    <row r="2357" spans="1:4" ht="12.75" customHeight="1" x14ac:dyDescent="0.2">
      <c r="A2357" s="21"/>
      <c r="B2357" s="21"/>
      <c r="C2357" s="4" t="s">
        <v>244</v>
      </c>
      <c r="D2357" s="6" t="str">
        <f>HYPERLINK("javascript:void(0)","zanzahúr")</f>
        <v>zanzahúr</v>
      </c>
    </row>
    <row r="2358" spans="1:4" ht="12.75" customHeight="1" x14ac:dyDescent="0.2">
      <c r="A2358" s="21"/>
      <c r="B2358" s="2"/>
      <c r="C2358" s="2"/>
      <c r="D2358" s="2"/>
    </row>
    <row r="2359" spans="1:4" ht="12.75" customHeight="1" x14ac:dyDescent="0.2">
      <c r="A2359" s="21"/>
      <c r="B2359" s="2"/>
      <c r="C2359" s="2"/>
      <c r="D2359" s="2"/>
    </row>
    <row r="2360" spans="1:4" ht="12.75" customHeight="1" x14ac:dyDescent="0.2">
      <c r="A2360" s="21"/>
      <c r="B2360" s="2"/>
      <c r="C2360" s="2"/>
      <c r="D2360" s="2"/>
    </row>
    <row r="2361" spans="1:4" ht="12.75" customHeight="1" x14ac:dyDescent="0.2">
      <c r="A2361" s="21"/>
      <c r="B2361" s="2"/>
      <c r="C2361" s="2"/>
      <c r="D2361" s="2"/>
    </row>
    <row r="2362" spans="1:4" ht="12.75" customHeight="1" x14ac:dyDescent="0.2">
      <c r="A2362" s="5"/>
      <c r="B2362" s="2"/>
      <c r="C2362" s="2"/>
      <c r="D2362" s="2"/>
    </row>
    <row r="2363" spans="1:4" ht="12.75" customHeight="1" x14ac:dyDescent="0.2">
      <c r="A2363" s="22" t="str">
        <f>HYPERLINK("javascript:void(0)","csillámló sziklapáncél")</f>
        <v>csillámló sziklapáncél</v>
      </c>
      <c r="B2363" s="21"/>
      <c r="C2363" s="21"/>
      <c r="D2363" s="21"/>
    </row>
    <row r="2364" spans="1:4" ht="12.75" customHeight="1" x14ac:dyDescent="0.2">
      <c r="A2364" s="20"/>
      <c r="B2364" s="2"/>
      <c r="C2364" s="2"/>
      <c r="D2364" s="2"/>
    </row>
    <row r="2365" spans="1:4" ht="12.75" customHeight="1" x14ac:dyDescent="0.2">
      <c r="A2365" s="21"/>
      <c r="B2365" s="3" t="s">
        <v>0</v>
      </c>
      <c r="C2365" s="20" t="s">
        <v>896</v>
      </c>
      <c r="D2365" s="21"/>
    </row>
    <row r="2366" spans="1:4" ht="12.75" customHeight="1" x14ac:dyDescent="0.2">
      <c r="A2366" s="21"/>
      <c r="B2366" s="3" t="s">
        <v>2</v>
      </c>
      <c r="C2366" s="20" t="s">
        <v>2322</v>
      </c>
      <c r="D2366" s="21"/>
    </row>
    <row r="2367" spans="1:4" ht="12.75" customHeight="1" x14ac:dyDescent="0.2">
      <c r="A2367" s="21"/>
      <c r="B2367" s="3" t="s">
        <v>1840</v>
      </c>
      <c r="C2367" s="20" t="s">
        <v>1850</v>
      </c>
      <c r="D2367" s="21"/>
    </row>
    <row r="2368" spans="1:4" ht="12.75" customHeight="1" x14ac:dyDescent="0.2">
      <c r="A2368" s="21"/>
      <c r="B2368" s="3" t="s">
        <v>9</v>
      </c>
      <c r="C2368" s="20" t="s">
        <v>816</v>
      </c>
      <c r="D2368" s="21"/>
    </row>
    <row r="2369" spans="1:4" ht="12.75" customHeight="1" x14ac:dyDescent="0.2">
      <c r="A2369" s="21"/>
      <c r="B2369" s="3" t="s">
        <v>11</v>
      </c>
      <c r="C2369" s="20" t="s">
        <v>1451</v>
      </c>
      <c r="D2369" s="21"/>
    </row>
    <row r="2370" spans="1:4" ht="12.75" customHeight="1" x14ac:dyDescent="0.2">
      <c r="A2370" s="21"/>
      <c r="B2370" s="3" t="s">
        <v>16</v>
      </c>
      <c r="C2370" s="20"/>
      <c r="D2370" s="21"/>
    </row>
    <row r="2371" spans="1:4" ht="12.75" customHeight="1" x14ac:dyDescent="0.2">
      <c r="A2371" s="21"/>
      <c r="B2371" s="3" t="s">
        <v>17</v>
      </c>
      <c r="C2371" s="20" t="s">
        <v>19</v>
      </c>
      <c r="D2371" s="21"/>
    </row>
    <row r="2372" spans="1:4" ht="12.75" customHeight="1" x14ac:dyDescent="0.2">
      <c r="A2372" s="21"/>
      <c r="B2372" s="20" t="s">
        <v>18</v>
      </c>
      <c r="C2372" s="4" t="s">
        <v>57</v>
      </c>
      <c r="D2372" s="6" t="str">
        <f>HYPERLINK("javascript:void(0)","csillámgöb")</f>
        <v>csillámgöb</v>
      </c>
    </row>
    <row r="2373" spans="1:4" ht="25.5" customHeight="1" x14ac:dyDescent="0.2">
      <c r="A2373" s="21"/>
      <c r="B2373" s="21"/>
      <c r="C2373" s="4" t="s">
        <v>44</v>
      </c>
      <c r="D2373" s="6" t="str">
        <f>HYPERLINK("javascript:void(0)","csillámló óriáspáncél")</f>
        <v>csillámló óriáspáncél</v>
      </c>
    </row>
    <row r="2374" spans="1:4" ht="12.75" customHeight="1" x14ac:dyDescent="0.2">
      <c r="A2374" s="21"/>
      <c r="B2374" s="21"/>
      <c r="C2374" s="4" t="s">
        <v>265</v>
      </c>
      <c r="D2374" s="6" t="str">
        <f>HYPERLINK("javascript:void(0)","földige")</f>
        <v>földige</v>
      </c>
    </row>
    <row r="2375" spans="1:4" ht="12.75" customHeight="1" x14ac:dyDescent="0.2">
      <c r="A2375" s="21"/>
      <c r="B2375" s="2"/>
      <c r="C2375" s="2"/>
      <c r="D2375" s="2"/>
    </row>
    <row r="2376" spans="1:4" ht="12.75" customHeight="1" x14ac:dyDescent="0.2">
      <c r="A2376" s="21"/>
      <c r="B2376" s="2"/>
      <c r="C2376" s="2"/>
      <c r="D2376" s="2"/>
    </row>
    <row r="2377" spans="1:4" ht="12.75" customHeight="1" x14ac:dyDescent="0.2">
      <c r="A2377" s="21"/>
      <c r="B2377" s="2"/>
      <c r="C2377" s="2"/>
      <c r="D2377" s="2"/>
    </row>
    <row r="2378" spans="1:4" ht="12.75" customHeight="1" x14ac:dyDescent="0.2">
      <c r="A2378" s="21"/>
      <c r="B2378" s="2"/>
      <c r="C2378" s="2"/>
      <c r="D2378" s="2"/>
    </row>
    <row r="2379" spans="1:4" ht="12.75" customHeight="1" x14ac:dyDescent="0.2">
      <c r="A2379" s="5"/>
      <c r="B2379" s="2"/>
      <c r="C2379" s="2"/>
      <c r="D2379" s="2"/>
    </row>
    <row r="2380" spans="1:4" ht="12.75" customHeight="1" x14ac:dyDescent="0.2">
      <c r="A2380" s="22" t="str">
        <f>HYPERLINK("javascript:void(0)","pálhacuka")</f>
        <v>pálhacuka</v>
      </c>
      <c r="B2380" s="21"/>
      <c r="C2380" s="21"/>
      <c r="D2380" s="21"/>
    </row>
    <row r="2381" spans="1:4" ht="12.75" customHeight="1" x14ac:dyDescent="0.2">
      <c r="A2381" s="20"/>
      <c r="B2381" s="2"/>
      <c r="C2381" s="2"/>
      <c r="D2381" s="2"/>
    </row>
    <row r="2382" spans="1:4" ht="12.75" customHeight="1" x14ac:dyDescent="0.2">
      <c r="A2382" s="21"/>
      <c r="B2382" s="3" t="s">
        <v>0</v>
      </c>
      <c r="C2382" s="20" t="s">
        <v>905</v>
      </c>
      <c r="D2382" s="21"/>
    </row>
    <row r="2383" spans="1:4" ht="12.75" customHeight="1" x14ac:dyDescent="0.2">
      <c r="A2383" s="21"/>
      <c r="B2383" s="3" t="s">
        <v>2</v>
      </c>
      <c r="C2383" s="20" t="s">
        <v>2322</v>
      </c>
      <c r="D2383" s="21"/>
    </row>
    <row r="2384" spans="1:4" ht="12.75" customHeight="1" x14ac:dyDescent="0.2">
      <c r="A2384" s="21"/>
      <c r="B2384" s="3" t="s">
        <v>1840</v>
      </c>
      <c r="C2384" s="20" t="s">
        <v>2496</v>
      </c>
      <c r="D2384" s="21"/>
    </row>
    <row r="2385" spans="1:4" ht="12.75" customHeight="1" x14ac:dyDescent="0.2">
      <c r="A2385" s="21"/>
      <c r="B2385" s="3" t="s">
        <v>9</v>
      </c>
      <c r="C2385" s="20" t="s">
        <v>2497</v>
      </c>
      <c r="D2385" s="21"/>
    </row>
    <row r="2386" spans="1:4" ht="12.75" customHeight="1" x14ac:dyDescent="0.2">
      <c r="A2386" s="21"/>
      <c r="B2386" s="3" t="s">
        <v>11</v>
      </c>
      <c r="C2386" s="20" t="s">
        <v>1628</v>
      </c>
      <c r="D2386" s="21"/>
    </row>
    <row r="2387" spans="1:4" ht="12.75" customHeight="1" x14ac:dyDescent="0.2">
      <c r="A2387" s="21"/>
      <c r="B2387" s="3" t="s">
        <v>16</v>
      </c>
      <c r="C2387" s="20"/>
      <c r="D2387" s="21"/>
    </row>
    <row r="2388" spans="1:4" ht="12.75" customHeight="1" x14ac:dyDescent="0.2">
      <c r="A2388" s="21"/>
      <c r="B2388" s="3" t="s">
        <v>17</v>
      </c>
      <c r="C2388" s="20" t="s">
        <v>19</v>
      </c>
      <c r="D2388" s="21"/>
    </row>
    <row r="2389" spans="1:4" ht="12.75" customHeight="1" x14ac:dyDescent="0.2">
      <c r="A2389" s="21"/>
      <c r="B2389" s="20" t="s">
        <v>18</v>
      </c>
      <c r="C2389" s="4" t="s">
        <v>117</v>
      </c>
      <c r="D2389" s="6" t="str">
        <f>HYPERLINK("javascript:void(0)","démonamulett")</f>
        <v>démonamulett</v>
      </c>
    </row>
    <row r="2390" spans="1:4" ht="12.75" customHeight="1" x14ac:dyDescent="0.2">
      <c r="A2390" s="21"/>
      <c r="B2390" s="21"/>
      <c r="C2390" s="4" t="s">
        <v>269</v>
      </c>
      <c r="D2390" s="6" t="str">
        <f>HYPERLINK("javascript:void(0)","pálha")</f>
        <v>pálha</v>
      </c>
    </row>
    <row r="2391" spans="1:4" ht="12.75" customHeight="1" x14ac:dyDescent="0.2">
      <c r="A2391" s="21"/>
      <c r="B2391" s="21"/>
      <c r="C2391" s="4" t="s">
        <v>98</v>
      </c>
      <c r="D2391" s="6" t="str">
        <f>HYPERLINK("javascript:void(0)","dobókocka")</f>
        <v>dobókocka</v>
      </c>
    </row>
    <row r="2392" spans="1:4" ht="12.75" customHeight="1" x14ac:dyDescent="0.2">
      <c r="A2392" s="21"/>
      <c r="B2392" s="2"/>
      <c r="C2392" s="2"/>
      <c r="D2392" s="2"/>
    </row>
    <row r="2393" spans="1:4" ht="12.75" customHeight="1" x14ac:dyDescent="0.2">
      <c r="A2393" s="21"/>
      <c r="B2393" s="2"/>
      <c r="C2393" s="2"/>
      <c r="D2393" s="2"/>
    </row>
    <row r="2394" spans="1:4" ht="12.75" customHeight="1" x14ac:dyDescent="0.2">
      <c r="A2394" s="21"/>
      <c r="B2394" s="2"/>
      <c r="C2394" s="2"/>
      <c r="D2394" s="2"/>
    </row>
    <row r="2395" spans="1:4" ht="12.75" customHeight="1" x14ac:dyDescent="0.2">
      <c r="A2395" s="21"/>
      <c r="B2395" s="2"/>
      <c r="C2395" s="2"/>
      <c r="D2395" s="2"/>
    </row>
    <row r="2396" spans="1:4" ht="12.75" customHeight="1" x14ac:dyDescent="0.2">
      <c r="A2396" s="5"/>
      <c r="B2396" s="2"/>
      <c r="C2396" s="2"/>
      <c r="D2396" s="2"/>
    </row>
    <row r="2397" spans="1:4" ht="12.75" customHeight="1" x14ac:dyDescent="0.2">
      <c r="A2397" s="22" t="str">
        <f>HYPERLINK("javascript:void(0)","teljes kriptonvért")</f>
        <v>teljes kriptonvért</v>
      </c>
      <c r="B2397" s="21"/>
      <c r="C2397" s="21"/>
      <c r="D2397" s="21"/>
    </row>
    <row r="2398" spans="1:4" ht="12.75" customHeight="1" x14ac:dyDescent="0.2">
      <c r="A2398" s="20"/>
      <c r="B2398" s="2"/>
      <c r="C2398" s="2"/>
      <c r="D2398" s="2"/>
    </row>
    <row r="2399" spans="1:4" ht="12.75" customHeight="1" x14ac:dyDescent="0.2">
      <c r="A2399" s="21"/>
      <c r="B2399" s="3" t="s">
        <v>0</v>
      </c>
      <c r="C2399" s="20" t="s">
        <v>319</v>
      </c>
      <c r="D2399" s="21"/>
    </row>
    <row r="2400" spans="1:4" ht="12.75" customHeight="1" x14ac:dyDescent="0.2">
      <c r="A2400" s="21"/>
      <c r="B2400" s="3" t="s">
        <v>2</v>
      </c>
      <c r="C2400" s="20" t="s">
        <v>2322</v>
      </c>
      <c r="D2400" s="21"/>
    </row>
    <row r="2401" spans="1:4" ht="12.75" customHeight="1" x14ac:dyDescent="0.2">
      <c r="A2401" s="21"/>
      <c r="B2401" s="3" t="s">
        <v>1840</v>
      </c>
      <c r="C2401" s="20" t="s">
        <v>2498</v>
      </c>
      <c r="D2401" s="21"/>
    </row>
    <row r="2402" spans="1:4" ht="12.75" customHeight="1" x14ac:dyDescent="0.2">
      <c r="A2402" s="21"/>
      <c r="B2402" s="3" t="s">
        <v>9</v>
      </c>
      <c r="C2402" s="20" t="s">
        <v>2499</v>
      </c>
      <c r="D2402" s="21"/>
    </row>
    <row r="2403" spans="1:4" ht="12.75" customHeight="1" x14ac:dyDescent="0.2">
      <c r="A2403" s="21"/>
      <c r="B2403" s="3" t="s">
        <v>11</v>
      </c>
      <c r="C2403" s="20" t="s">
        <v>1459</v>
      </c>
      <c r="D2403" s="21"/>
    </row>
    <row r="2404" spans="1:4" ht="12.75" customHeight="1" x14ac:dyDescent="0.2">
      <c r="A2404" s="21"/>
      <c r="B2404" s="3" t="s">
        <v>16</v>
      </c>
      <c r="C2404" s="20"/>
      <c r="D2404" s="21"/>
    </row>
    <row r="2405" spans="1:4" ht="12.75" customHeight="1" x14ac:dyDescent="0.2">
      <c r="A2405" s="21"/>
      <c r="B2405" s="3" t="s">
        <v>17</v>
      </c>
      <c r="C2405" s="20" t="s">
        <v>19</v>
      </c>
      <c r="D2405" s="21"/>
    </row>
    <row r="2406" spans="1:4" ht="12.75" customHeight="1" x14ac:dyDescent="0.2">
      <c r="A2406" s="21"/>
      <c r="B2406" s="20" t="s">
        <v>18</v>
      </c>
      <c r="C2406" s="4" t="s">
        <v>44</v>
      </c>
      <c r="D2406" s="6" t="str">
        <f>HYPERLINK("javascript:void(0)","kriptonbélés")</f>
        <v>kriptonbélés</v>
      </c>
    </row>
    <row r="2407" spans="1:4" ht="12.75" customHeight="1" x14ac:dyDescent="0.2">
      <c r="A2407" s="21"/>
      <c r="B2407" s="21"/>
      <c r="C2407" s="4" t="s">
        <v>44</v>
      </c>
      <c r="D2407" s="6" t="str">
        <f>HYPERLINK("javascript:void(0)","pálhacuka")</f>
        <v>pálhacuka</v>
      </c>
    </row>
    <row r="2408" spans="1:4" ht="12.75" customHeight="1" x14ac:dyDescent="0.2">
      <c r="A2408" s="21"/>
      <c r="B2408" s="21"/>
      <c r="C2408" s="4" t="s">
        <v>44</v>
      </c>
      <c r="D2408" s="6" t="str">
        <f>HYPERLINK("javascript:void(0)","teljes atomvért")</f>
        <v>teljes atomvért</v>
      </c>
    </row>
    <row r="2409" spans="1:4" ht="12.75" customHeight="1" x14ac:dyDescent="0.2">
      <c r="A2409" s="21"/>
      <c r="B2409" s="2"/>
      <c r="C2409" s="2"/>
      <c r="D2409" s="2"/>
    </row>
    <row r="2410" spans="1:4" ht="12.75" customHeight="1" x14ac:dyDescent="0.2">
      <c r="A2410" s="21"/>
      <c r="B2410" s="2"/>
      <c r="C2410" s="2"/>
      <c r="D2410" s="2"/>
    </row>
    <row r="2411" spans="1:4" ht="12.75" customHeight="1" x14ac:dyDescent="0.2">
      <c r="A2411" s="21"/>
      <c r="B2411" s="2"/>
      <c r="C2411" s="2"/>
      <c r="D2411" s="2"/>
    </row>
    <row r="2412" spans="1:4" ht="12.75" customHeight="1" x14ac:dyDescent="0.2">
      <c r="A2412" s="21"/>
      <c r="B2412" s="2"/>
      <c r="C2412" s="2"/>
      <c r="D2412" s="2"/>
    </row>
    <row r="2413" spans="1:4" ht="12.75" customHeight="1" x14ac:dyDescent="0.2">
      <c r="A2413" s="5"/>
      <c r="B2413" s="2"/>
      <c r="C2413" s="2"/>
      <c r="D2413" s="2"/>
    </row>
    <row r="2414" spans="1:4" ht="12.75" customHeight="1" x14ac:dyDescent="0.2">
      <c r="A2414" s="22" t="str">
        <f>HYPERLINK("javascript:void(0)","kriptonbélés")</f>
        <v>kriptonbélés</v>
      </c>
      <c r="B2414" s="21"/>
      <c r="C2414" s="21"/>
      <c r="D2414" s="21"/>
    </row>
    <row r="2415" spans="1:4" ht="12.75" customHeight="1" x14ac:dyDescent="0.2">
      <c r="A2415" s="20"/>
      <c r="B2415" s="2"/>
      <c r="C2415" s="2"/>
      <c r="D2415" s="2"/>
    </row>
    <row r="2416" spans="1:4" ht="12.75" customHeight="1" x14ac:dyDescent="0.2">
      <c r="A2416" s="21"/>
      <c r="B2416" s="3" t="s">
        <v>0</v>
      </c>
      <c r="C2416" s="20" t="s">
        <v>319</v>
      </c>
      <c r="D2416" s="21"/>
    </row>
    <row r="2417" spans="1:4" ht="12.75" customHeight="1" x14ac:dyDescent="0.2">
      <c r="A2417" s="21"/>
      <c r="B2417" s="3" t="s">
        <v>2</v>
      </c>
      <c r="C2417" s="20" t="s">
        <v>2322</v>
      </c>
      <c r="D2417" s="21"/>
    </row>
    <row r="2418" spans="1:4" ht="12.75" customHeight="1" x14ac:dyDescent="0.2">
      <c r="A2418" s="21"/>
      <c r="B2418" s="3" t="s">
        <v>1840</v>
      </c>
      <c r="C2418" s="20" t="s">
        <v>115</v>
      </c>
      <c r="D2418" s="21"/>
    </row>
    <row r="2419" spans="1:4" ht="12.75" customHeight="1" x14ac:dyDescent="0.2">
      <c r="A2419" s="21"/>
      <c r="B2419" s="3" t="s">
        <v>9</v>
      </c>
      <c r="C2419" s="20" t="s">
        <v>172</v>
      </c>
      <c r="D2419" s="21"/>
    </row>
    <row r="2420" spans="1:4" ht="12.75" customHeight="1" x14ac:dyDescent="0.2">
      <c r="A2420" s="21"/>
      <c r="B2420" s="3" t="s">
        <v>11</v>
      </c>
      <c r="C2420" s="20" t="s">
        <v>2494</v>
      </c>
      <c r="D2420" s="21"/>
    </row>
    <row r="2421" spans="1:4" ht="12.75" customHeight="1" x14ac:dyDescent="0.2">
      <c r="A2421" s="21"/>
      <c r="B2421" s="3" t="s">
        <v>16</v>
      </c>
      <c r="C2421" s="20"/>
      <c r="D2421" s="21"/>
    </row>
    <row r="2422" spans="1:4" ht="12.75" customHeight="1" x14ac:dyDescent="0.2">
      <c r="A2422" s="21"/>
      <c r="B2422" s="3" t="s">
        <v>17</v>
      </c>
      <c r="C2422" s="20" t="s">
        <v>19</v>
      </c>
      <c r="D2422" s="21"/>
    </row>
    <row r="2423" spans="1:4" ht="12.75" customHeight="1" x14ac:dyDescent="0.2">
      <c r="A2423" s="21"/>
      <c r="B2423" s="20" t="s">
        <v>18</v>
      </c>
      <c r="C2423" s="4" t="s">
        <v>68</v>
      </c>
      <c r="D2423" s="6" t="str">
        <f>HYPERLINK("javascript:void(0)","valkript")</f>
        <v>valkript</v>
      </c>
    </row>
    <row r="2424" spans="1:4" ht="12.75" customHeight="1" x14ac:dyDescent="0.2">
      <c r="A2424" s="21"/>
      <c r="B2424" s="21"/>
      <c r="C2424" s="4" t="s">
        <v>132</v>
      </c>
      <c r="D2424" s="6" t="str">
        <f>HYPERLINK("javascript:void(0)","ejtőernyő")</f>
        <v>ejtőernyő</v>
      </c>
    </row>
    <row r="2425" spans="1:4" ht="12.75" customHeight="1" x14ac:dyDescent="0.2">
      <c r="A2425" s="21"/>
      <c r="B2425" s="21"/>
      <c r="C2425" s="4" t="s">
        <v>228</v>
      </c>
      <c r="D2425" s="6" t="str">
        <f>HYPERLINK("javascript:void(0)","brummogás")</f>
        <v>brummogás</v>
      </c>
    </row>
    <row r="2426" spans="1:4" ht="12.75" customHeight="1" x14ac:dyDescent="0.2">
      <c r="A2426" s="21"/>
      <c r="B2426" s="2"/>
      <c r="C2426" s="2"/>
      <c r="D2426" s="2"/>
    </row>
    <row r="2427" spans="1:4" ht="12.75" customHeight="1" x14ac:dyDescent="0.2">
      <c r="A2427" s="21"/>
      <c r="B2427" s="2"/>
      <c r="C2427" s="2"/>
      <c r="D2427" s="2"/>
    </row>
    <row r="2428" spans="1:4" ht="12.75" customHeight="1" x14ac:dyDescent="0.2">
      <c r="A2428" s="21"/>
      <c r="B2428" s="2"/>
      <c r="C2428" s="2"/>
      <c r="D2428" s="2"/>
    </row>
    <row r="2429" spans="1:4" ht="12.75" customHeight="1" x14ac:dyDescent="0.2">
      <c r="A2429" s="21"/>
      <c r="B2429" s="2"/>
      <c r="C2429" s="2"/>
      <c r="D2429" s="2"/>
    </row>
    <row r="2430" spans="1:4" ht="12.75" customHeight="1" x14ac:dyDescent="0.2">
      <c r="A2430" s="5"/>
      <c r="B2430" s="2"/>
      <c r="C2430" s="2"/>
      <c r="D2430" s="2"/>
    </row>
    <row r="2431" spans="1:4" ht="12.75" customHeight="1" x14ac:dyDescent="0.2">
      <c r="A2431" s="22" t="str">
        <f>HYPERLINK("javascript:void(0)","teljes angyalvért")</f>
        <v>teljes angyalvért</v>
      </c>
      <c r="B2431" s="21"/>
      <c r="C2431" s="21"/>
      <c r="D2431" s="21"/>
    </row>
    <row r="2432" spans="1:4" ht="12.75" customHeight="1" x14ac:dyDescent="0.2">
      <c r="A2432" s="20"/>
      <c r="B2432" s="2"/>
      <c r="C2432" s="2"/>
      <c r="D2432" s="2"/>
    </row>
    <row r="2433" spans="1:4" ht="12.75" customHeight="1" x14ac:dyDescent="0.2">
      <c r="A2433" s="21"/>
      <c r="B2433" s="3" t="s">
        <v>0</v>
      </c>
      <c r="C2433" s="20" t="s">
        <v>926</v>
      </c>
      <c r="D2433" s="21"/>
    </row>
    <row r="2434" spans="1:4" ht="12.75" customHeight="1" x14ac:dyDescent="0.2">
      <c r="A2434" s="21"/>
      <c r="B2434" s="3" t="s">
        <v>2</v>
      </c>
      <c r="C2434" s="20" t="s">
        <v>2322</v>
      </c>
      <c r="D2434" s="21"/>
    </row>
    <row r="2435" spans="1:4" ht="12.75" customHeight="1" x14ac:dyDescent="0.2">
      <c r="A2435" s="21"/>
      <c r="B2435" s="3" t="s">
        <v>1840</v>
      </c>
      <c r="C2435" s="20" t="s">
        <v>2500</v>
      </c>
      <c r="D2435" s="21"/>
    </row>
    <row r="2436" spans="1:4" ht="12.75" customHeight="1" x14ac:dyDescent="0.2">
      <c r="A2436" s="21"/>
      <c r="B2436" s="3" t="s">
        <v>9</v>
      </c>
      <c r="C2436" s="20" t="s">
        <v>1524</v>
      </c>
      <c r="D2436" s="21"/>
    </row>
    <row r="2437" spans="1:4" ht="12.75" customHeight="1" x14ac:dyDescent="0.2">
      <c r="A2437" s="21"/>
      <c r="B2437" s="3" t="s">
        <v>11</v>
      </c>
      <c r="C2437" s="20" t="s">
        <v>1199</v>
      </c>
      <c r="D2437" s="21"/>
    </row>
    <row r="2438" spans="1:4" ht="12.75" customHeight="1" x14ac:dyDescent="0.2">
      <c r="A2438" s="21"/>
      <c r="B2438" s="3" t="s">
        <v>16</v>
      </c>
      <c r="C2438" s="20"/>
      <c r="D2438" s="21"/>
    </row>
    <row r="2439" spans="1:4" ht="12.75" customHeight="1" x14ac:dyDescent="0.2">
      <c r="A2439" s="21"/>
      <c r="B2439" s="3" t="s">
        <v>17</v>
      </c>
      <c r="C2439" s="20" t="s">
        <v>19</v>
      </c>
      <c r="D2439" s="21"/>
    </row>
    <row r="2440" spans="1:4" ht="12.75" customHeight="1" x14ac:dyDescent="0.2">
      <c r="A2440" s="21"/>
      <c r="B2440" s="20" t="s">
        <v>18</v>
      </c>
      <c r="C2440" s="4" t="s">
        <v>244</v>
      </c>
      <c r="D2440" s="6" t="str">
        <f>HYPERLINK("javascript:void(0)","angyalhaj")</f>
        <v>angyalhaj</v>
      </c>
    </row>
    <row r="2441" spans="1:4" ht="12.75" customHeight="1" x14ac:dyDescent="0.2">
      <c r="A2441" s="21"/>
      <c r="B2441" s="21"/>
      <c r="C2441" s="4" t="s">
        <v>44</v>
      </c>
      <c r="D2441" s="6" t="str">
        <f>HYPERLINK("javascript:void(0)","teljes kriptonvért")</f>
        <v>teljes kriptonvért</v>
      </c>
    </row>
    <row r="2442" spans="1:4" ht="12.75" customHeight="1" x14ac:dyDescent="0.2">
      <c r="A2442" s="21"/>
      <c r="B2442" s="21"/>
      <c r="C2442" s="4" t="s">
        <v>132</v>
      </c>
      <c r="D2442" s="6" t="str">
        <f>HYPERLINK("javascript:void(0)","lidérclámpás")</f>
        <v>lidérclámpás</v>
      </c>
    </row>
    <row r="2443" spans="1:4" ht="12.75" customHeight="1" x14ac:dyDescent="0.2">
      <c r="A2443" s="21"/>
      <c r="B2443" s="2"/>
      <c r="C2443" s="2"/>
      <c r="D2443" s="2"/>
    </row>
    <row r="2444" spans="1:4" ht="12.75" customHeight="1" x14ac:dyDescent="0.2">
      <c r="A2444" s="21"/>
      <c r="B2444" s="2"/>
      <c r="C2444" s="2"/>
      <c r="D2444" s="2"/>
    </row>
    <row r="2445" spans="1:4" ht="12.75" customHeight="1" x14ac:dyDescent="0.2">
      <c r="A2445" s="21"/>
      <c r="B2445" s="2"/>
      <c r="C2445" s="2"/>
      <c r="D2445" s="2"/>
    </row>
    <row r="2446" spans="1:4" ht="12.75" customHeight="1" x14ac:dyDescent="0.2">
      <c r="A2446" s="21"/>
      <c r="B2446" s="2"/>
      <c r="C2446" s="2"/>
      <c r="D2446" s="2"/>
    </row>
    <row r="2447" spans="1:4" ht="12.75" customHeight="1" x14ac:dyDescent="0.2">
      <c r="A2447" s="5"/>
      <c r="B2447" s="2"/>
      <c r="C2447" s="2"/>
      <c r="D2447" s="2"/>
    </row>
    <row r="2448" spans="1:4" ht="12.75" customHeight="1" x14ac:dyDescent="0.2">
      <c r="A2448" s="22" t="str">
        <f>HYPERLINK("javascript:void(0)","rozmárpáncél")</f>
        <v>rozmárpáncél</v>
      </c>
      <c r="B2448" s="21"/>
      <c r="C2448" s="21"/>
      <c r="D2448" s="21"/>
    </row>
    <row r="2449" spans="1:4" ht="12.75" customHeight="1" x14ac:dyDescent="0.2">
      <c r="A2449" s="20"/>
      <c r="B2449" s="2"/>
      <c r="C2449" s="2"/>
      <c r="D2449" s="2"/>
    </row>
    <row r="2450" spans="1:4" ht="12.75" customHeight="1" x14ac:dyDescent="0.2">
      <c r="A2450" s="21"/>
      <c r="B2450" s="3" t="s">
        <v>0</v>
      </c>
      <c r="C2450" s="20" t="s">
        <v>937</v>
      </c>
      <c r="D2450" s="21"/>
    </row>
    <row r="2451" spans="1:4" ht="12.75" customHeight="1" x14ac:dyDescent="0.2">
      <c r="A2451" s="21"/>
      <c r="B2451" s="3" t="s">
        <v>2</v>
      </c>
      <c r="C2451" s="20" t="s">
        <v>2322</v>
      </c>
      <c r="D2451" s="21"/>
    </row>
    <row r="2452" spans="1:4" ht="12.75" customHeight="1" x14ac:dyDescent="0.2">
      <c r="A2452" s="21"/>
      <c r="B2452" s="3" t="s">
        <v>1840</v>
      </c>
      <c r="C2452" s="20" t="s">
        <v>2501</v>
      </c>
      <c r="D2452" s="21"/>
    </row>
    <row r="2453" spans="1:4" ht="12.75" customHeight="1" x14ac:dyDescent="0.2">
      <c r="A2453" s="21"/>
      <c r="B2453" s="3" t="s">
        <v>9</v>
      </c>
      <c r="C2453" s="20" t="s">
        <v>724</v>
      </c>
      <c r="D2453" s="21"/>
    </row>
    <row r="2454" spans="1:4" ht="12.75" customHeight="1" x14ac:dyDescent="0.2">
      <c r="A2454" s="21"/>
      <c r="B2454" s="3" t="s">
        <v>11</v>
      </c>
      <c r="C2454" s="20" t="s">
        <v>1472</v>
      </c>
      <c r="D2454" s="21"/>
    </row>
    <row r="2455" spans="1:4" ht="12.75" customHeight="1" x14ac:dyDescent="0.2">
      <c r="A2455" s="21"/>
      <c r="B2455" s="3" t="s">
        <v>16</v>
      </c>
      <c r="C2455" s="20"/>
      <c r="D2455" s="21"/>
    </row>
    <row r="2456" spans="1:4" ht="12.75" customHeight="1" x14ac:dyDescent="0.2">
      <c r="A2456" s="21"/>
      <c r="B2456" s="3" t="s">
        <v>17</v>
      </c>
      <c r="C2456" s="20" t="s">
        <v>19</v>
      </c>
      <c r="D2456" s="21"/>
    </row>
    <row r="2457" spans="1:4" ht="12.75" customHeight="1" x14ac:dyDescent="0.2">
      <c r="A2457" s="21"/>
      <c r="B2457" s="20" t="s">
        <v>18</v>
      </c>
      <c r="C2457" s="4" t="s">
        <v>67</v>
      </c>
      <c r="D2457" s="6" t="str">
        <f>HYPERLINK("javascript:void(0)","rozmáragyar")</f>
        <v>rozmáragyar</v>
      </c>
    </row>
    <row r="2458" spans="1:4" ht="12.75" customHeight="1" x14ac:dyDescent="0.2">
      <c r="A2458" s="21"/>
      <c r="B2458" s="21"/>
      <c r="C2458" s="4" t="s">
        <v>139</v>
      </c>
      <c r="D2458" s="6" t="str">
        <f>HYPERLINK("javascript:void(0)","csapdaszeg")</f>
        <v>csapdaszeg</v>
      </c>
    </row>
    <row r="2459" spans="1:4" ht="12.75" customHeight="1" x14ac:dyDescent="0.2">
      <c r="A2459" s="21"/>
      <c r="B2459" s="21"/>
      <c r="C2459" s="4" t="s">
        <v>244</v>
      </c>
      <c r="D2459" s="6" t="str">
        <f>HYPERLINK("javascript:void(0)","banánhéj")</f>
        <v>banánhéj</v>
      </c>
    </row>
    <row r="2460" spans="1:4" ht="12.75" customHeight="1" x14ac:dyDescent="0.2">
      <c r="A2460" s="21"/>
      <c r="B2460" s="2"/>
      <c r="C2460" s="2"/>
      <c r="D2460" s="2"/>
    </row>
    <row r="2461" spans="1:4" ht="12.75" customHeight="1" x14ac:dyDescent="0.2">
      <c r="A2461" s="21"/>
      <c r="B2461" s="2"/>
      <c r="C2461" s="2"/>
      <c r="D2461" s="2"/>
    </row>
    <row r="2462" spans="1:4" ht="12.75" customHeight="1" x14ac:dyDescent="0.2">
      <c r="A2462" s="21"/>
      <c r="B2462" s="2"/>
      <c r="C2462" s="2"/>
      <c r="D2462" s="2"/>
    </row>
    <row r="2463" spans="1:4" ht="12.75" customHeight="1" x14ac:dyDescent="0.2">
      <c r="A2463" s="21"/>
      <c r="B2463" s="2"/>
      <c r="C2463" s="2"/>
      <c r="D2463" s="2"/>
    </row>
    <row r="2464" spans="1:4" ht="12.75" customHeight="1" x14ac:dyDescent="0.2">
      <c r="A2464" s="5"/>
      <c r="B2464" s="2"/>
      <c r="C2464" s="2"/>
      <c r="D2464" s="2"/>
    </row>
    <row r="2465" spans="1:4" ht="12.75" customHeight="1" x14ac:dyDescent="0.2">
      <c r="A2465" s="22" t="str">
        <f>HYPERLINK("javascript:void(0)","teljes pálhavért")</f>
        <v>teljes pálhavért</v>
      </c>
      <c r="B2465" s="21"/>
      <c r="C2465" s="21"/>
      <c r="D2465" s="21"/>
    </row>
    <row r="2466" spans="1:4" ht="12.75" customHeight="1" x14ac:dyDescent="0.2">
      <c r="A2466" s="20"/>
      <c r="B2466" s="2"/>
      <c r="C2466" s="2"/>
      <c r="D2466" s="2"/>
    </row>
    <row r="2467" spans="1:4" ht="12.75" customHeight="1" x14ac:dyDescent="0.2">
      <c r="A2467" s="21"/>
      <c r="B2467" s="3" t="s">
        <v>0</v>
      </c>
      <c r="C2467" s="20" t="s">
        <v>190</v>
      </c>
      <c r="D2467" s="21"/>
    </row>
    <row r="2468" spans="1:4" ht="12.75" customHeight="1" x14ac:dyDescent="0.2">
      <c r="A2468" s="21"/>
      <c r="B2468" s="3" t="s">
        <v>2</v>
      </c>
      <c r="C2468" s="20" t="s">
        <v>2322</v>
      </c>
      <c r="D2468" s="21"/>
    </row>
    <row r="2469" spans="1:4" ht="12.75" customHeight="1" x14ac:dyDescent="0.2">
      <c r="A2469" s="21"/>
      <c r="B2469" s="3" t="s">
        <v>1840</v>
      </c>
      <c r="C2469" s="20" t="s">
        <v>2502</v>
      </c>
      <c r="D2469" s="21"/>
    </row>
    <row r="2470" spans="1:4" ht="12.75" customHeight="1" x14ac:dyDescent="0.2">
      <c r="A2470" s="21"/>
      <c r="B2470" s="3" t="s">
        <v>9</v>
      </c>
      <c r="C2470" s="20" t="s">
        <v>834</v>
      </c>
      <c r="D2470" s="21"/>
    </row>
    <row r="2471" spans="1:4" ht="12.75" customHeight="1" x14ac:dyDescent="0.2">
      <c r="A2471" s="21"/>
      <c r="B2471" s="3" t="s">
        <v>11</v>
      </c>
      <c r="C2471" s="20" t="s">
        <v>1560</v>
      </c>
      <c r="D2471" s="21"/>
    </row>
    <row r="2472" spans="1:4" ht="12.75" customHeight="1" x14ac:dyDescent="0.2">
      <c r="A2472" s="21"/>
      <c r="B2472" s="3" t="s">
        <v>16</v>
      </c>
      <c r="C2472" s="20"/>
      <c r="D2472" s="21"/>
    </row>
    <row r="2473" spans="1:4" ht="12.75" customHeight="1" x14ac:dyDescent="0.2">
      <c r="A2473" s="21"/>
      <c r="B2473" s="3" t="s">
        <v>17</v>
      </c>
      <c r="C2473" s="20" t="s">
        <v>19</v>
      </c>
      <c r="D2473" s="21"/>
    </row>
    <row r="2474" spans="1:4" ht="12.75" customHeight="1" x14ac:dyDescent="0.2">
      <c r="A2474" s="21"/>
      <c r="B2474" s="20" t="s">
        <v>18</v>
      </c>
      <c r="C2474" s="4" t="s">
        <v>44</v>
      </c>
      <c r="D2474" s="6" t="str">
        <f>HYPERLINK("javascript:void(0)","rozmárpáncél")</f>
        <v>rozmárpáncél</v>
      </c>
    </row>
    <row r="2475" spans="1:4" ht="12.75" customHeight="1" x14ac:dyDescent="0.2">
      <c r="A2475" s="21"/>
      <c r="B2475" s="21"/>
      <c r="C2475" s="4" t="s">
        <v>44</v>
      </c>
      <c r="D2475" s="6" t="str">
        <f>HYPERLINK("javascript:void(0)","teljes angyalvért")</f>
        <v>teljes angyalvért</v>
      </c>
    </row>
    <row r="2476" spans="1:4" ht="12.75" customHeight="1" x14ac:dyDescent="0.2">
      <c r="A2476" s="21"/>
      <c r="B2476" s="21"/>
      <c r="C2476" s="4" t="s">
        <v>44</v>
      </c>
      <c r="D2476" s="6" t="str">
        <f>HYPERLINK("javascript:void(0)","pálhamellény")</f>
        <v>pálhamellény</v>
      </c>
    </row>
    <row r="2477" spans="1:4" ht="12.75" customHeight="1" x14ac:dyDescent="0.2">
      <c r="A2477" s="21"/>
      <c r="B2477" s="2"/>
      <c r="C2477" s="2"/>
      <c r="D2477" s="2"/>
    </row>
    <row r="2478" spans="1:4" ht="12.75" customHeight="1" x14ac:dyDescent="0.2">
      <c r="A2478" s="21"/>
      <c r="B2478" s="2"/>
      <c r="C2478" s="2"/>
      <c r="D2478" s="2"/>
    </row>
    <row r="2479" spans="1:4" ht="12.75" customHeight="1" x14ac:dyDescent="0.2">
      <c r="A2479" s="21"/>
      <c r="B2479" s="2"/>
      <c r="C2479" s="2"/>
      <c r="D2479" s="2"/>
    </row>
    <row r="2480" spans="1:4" ht="12.75" customHeight="1" x14ac:dyDescent="0.2">
      <c r="A2480" s="21"/>
      <c r="B2480" s="2"/>
      <c r="C2480" s="2"/>
      <c r="D2480" s="2"/>
    </row>
    <row r="2481" spans="1:4" ht="12.75" customHeight="1" x14ac:dyDescent="0.2">
      <c r="A2481" s="5"/>
      <c r="B2481" s="2"/>
      <c r="C2481" s="2"/>
      <c r="D2481" s="2"/>
    </row>
    <row r="2482" spans="1:4" ht="12.75" customHeight="1" x14ac:dyDescent="0.2">
      <c r="A2482" s="22" t="str">
        <f>HYPERLINK("javascript:void(0)","pálhamellény")</f>
        <v>pálhamellény</v>
      </c>
      <c r="B2482" s="21"/>
      <c r="C2482" s="21"/>
      <c r="D2482" s="21"/>
    </row>
    <row r="2483" spans="1:4" ht="12.75" customHeight="1" x14ac:dyDescent="0.2">
      <c r="A2483" s="20"/>
      <c r="B2483" s="2"/>
      <c r="C2483" s="2"/>
      <c r="D2483" s="2"/>
    </row>
    <row r="2484" spans="1:4" ht="12.75" customHeight="1" x14ac:dyDescent="0.2">
      <c r="A2484" s="21"/>
      <c r="B2484" s="3" t="s">
        <v>0</v>
      </c>
      <c r="C2484" s="20" t="s">
        <v>190</v>
      </c>
      <c r="D2484" s="21"/>
    </row>
    <row r="2485" spans="1:4" ht="12.75" customHeight="1" x14ac:dyDescent="0.2">
      <c r="A2485" s="21"/>
      <c r="B2485" s="3" t="s">
        <v>2</v>
      </c>
      <c r="C2485" s="20" t="s">
        <v>2322</v>
      </c>
      <c r="D2485" s="21"/>
    </row>
    <row r="2486" spans="1:4" ht="12.75" customHeight="1" x14ac:dyDescent="0.2">
      <c r="A2486" s="21"/>
      <c r="B2486" s="3" t="s">
        <v>1840</v>
      </c>
      <c r="C2486" s="20" t="s">
        <v>216</v>
      </c>
      <c r="D2486" s="21"/>
    </row>
    <row r="2487" spans="1:4" ht="12.75" customHeight="1" x14ac:dyDescent="0.2">
      <c r="A2487" s="21"/>
      <c r="B2487" s="3" t="s">
        <v>9</v>
      </c>
      <c r="C2487" s="20" t="s">
        <v>172</v>
      </c>
      <c r="D2487" s="21"/>
    </row>
    <row r="2488" spans="1:4" ht="12.75" customHeight="1" x14ac:dyDescent="0.2">
      <c r="A2488" s="21"/>
      <c r="B2488" s="3" t="s">
        <v>11</v>
      </c>
      <c r="C2488" s="20" t="s">
        <v>2503</v>
      </c>
      <c r="D2488" s="21"/>
    </row>
    <row r="2489" spans="1:4" ht="12.75" customHeight="1" x14ac:dyDescent="0.2">
      <c r="A2489" s="21"/>
      <c r="B2489" s="3" t="s">
        <v>16</v>
      </c>
      <c r="C2489" s="20"/>
      <c r="D2489" s="21"/>
    </row>
    <row r="2490" spans="1:4" ht="12.75" customHeight="1" x14ac:dyDescent="0.2">
      <c r="A2490" s="21"/>
      <c r="B2490" s="3" t="s">
        <v>17</v>
      </c>
      <c r="C2490" s="20" t="s">
        <v>19</v>
      </c>
      <c r="D2490" s="21"/>
    </row>
    <row r="2491" spans="1:4" ht="12.75" customHeight="1" x14ac:dyDescent="0.2">
      <c r="A2491" s="21"/>
      <c r="B2491" s="20" t="s">
        <v>18</v>
      </c>
      <c r="C2491" s="4" t="s">
        <v>68</v>
      </c>
      <c r="D2491" s="6" t="str">
        <f>HYPERLINK("javascript:void(0)","mogorv")</f>
        <v>mogorv</v>
      </c>
    </row>
    <row r="2492" spans="1:4" ht="12.75" customHeight="1" x14ac:dyDescent="0.2">
      <c r="A2492" s="21"/>
      <c r="B2492" s="21"/>
      <c r="C2492" s="4" t="s">
        <v>244</v>
      </c>
      <c r="D2492" s="6" t="str">
        <f>HYPERLINK("javascript:void(0)","pálha")</f>
        <v>pálha</v>
      </c>
    </row>
    <row r="2493" spans="1:4" ht="12.75" customHeight="1" x14ac:dyDescent="0.2">
      <c r="A2493" s="21"/>
      <c r="B2493" s="21"/>
      <c r="C2493" s="4" t="s">
        <v>244</v>
      </c>
      <c r="D2493" s="6" t="str">
        <f>HYPERLINK("javascript:void(0)","banánhéj")</f>
        <v>banánhéj</v>
      </c>
    </row>
    <row r="2494" spans="1:4" ht="12.75" customHeight="1" x14ac:dyDescent="0.2">
      <c r="A2494" s="21"/>
      <c r="B2494" s="2"/>
      <c r="C2494" s="2"/>
      <c r="D2494" s="2"/>
    </row>
    <row r="2495" spans="1:4" ht="12.75" customHeight="1" x14ac:dyDescent="0.2">
      <c r="A2495" s="21"/>
      <c r="B2495" s="2"/>
      <c r="C2495" s="2"/>
      <c r="D2495" s="2"/>
    </row>
    <row r="2496" spans="1:4" ht="12.75" customHeight="1" x14ac:dyDescent="0.2">
      <c r="A2496" s="21"/>
      <c r="B2496" s="2"/>
      <c r="C2496" s="2"/>
      <c r="D2496" s="2"/>
    </row>
    <row r="2497" spans="1:4" ht="12.75" customHeight="1" x14ac:dyDescent="0.2">
      <c r="A2497" s="21"/>
      <c r="B2497" s="2"/>
      <c r="C2497" s="2"/>
      <c r="D2497" s="2"/>
    </row>
    <row r="2498" spans="1:4" ht="12.75" customHeight="1" x14ac:dyDescent="0.2">
      <c r="A2498" s="5"/>
      <c r="B2498" s="2"/>
      <c r="C2498" s="2"/>
      <c r="D2498" s="2"/>
    </row>
    <row r="2499" spans="1:4" ht="12.75" customHeight="1" x14ac:dyDescent="0.2">
      <c r="A2499" s="22" t="str">
        <f>HYPERLINK("javascript:void(0)","csillámos légvért")</f>
        <v>csillámos légvért</v>
      </c>
      <c r="B2499" s="21"/>
      <c r="C2499" s="21"/>
      <c r="D2499" s="21"/>
    </row>
    <row r="2500" spans="1:4" ht="12.75" customHeight="1" x14ac:dyDescent="0.2">
      <c r="A2500" s="20"/>
      <c r="B2500" s="2"/>
      <c r="C2500" s="2"/>
      <c r="D2500" s="2"/>
    </row>
    <row r="2501" spans="1:4" ht="12.75" customHeight="1" x14ac:dyDescent="0.2">
      <c r="A2501" s="21"/>
      <c r="B2501" s="3" t="s">
        <v>0</v>
      </c>
      <c r="C2501" s="20" t="s">
        <v>190</v>
      </c>
      <c r="D2501" s="21"/>
    </row>
    <row r="2502" spans="1:4" ht="12.75" customHeight="1" x14ac:dyDescent="0.2">
      <c r="A2502" s="21"/>
      <c r="B2502" s="3" t="s">
        <v>2</v>
      </c>
      <c r="C2502" s="20" t="s">
        <v>2322</v>
      </c>
      <c r="D2502" s="21"/>
    </row>
    <row r="2503" spans="1:4" ht="12.75" customHeight="1" x14ac:dyDescent="0.2">
      <c r="A2503" s="21"/>
      <c r="B2503" s="3" t="s">
        <v>1840</v>
      </c>
      <c r="C2503" s="20" t="s">
        <v>641</v>
      </c>
      <c r="D2503" s="21"/>
    </row>
    <row r="2504" spans="1:4" ht="12.75" customHeight="1" x14ac:dyDescent="0.2">
      <c r="A2504" s="21"/>
      <c r="B2504" s="3" t="s">
        <v>9</v>
      </c>
      <c r="C2504" s="20" t="s">
        <v>1286</v>
      </c>
      <c r="D2504" s="21"/>
    </row>
    <row r="2505" spans="1:4" ht="12.75" customHeight="1" x14ac:dyDescent="0.2">
      <c r="A2505" s="21"/>
      <c r="B2505" s="3" t="s">
        <v>11</v>
      </c>
      <c r="C2505" s="20" t="s">
        <v>1560</v>
      </c>
      <c r="D2505" s="21"/>
    </row>
    <row r="2506" spans="1:4" ht="12.75" customHeight="1" x14ac:dyDescent="0.2">
      <c r="A2506" s="21"/>
      <c r="B2506" s="3" t="s">
        <v>16</v>
      </c>
      <c r="C2506" s="20"/>
      <c r="D2506" s="21"/>
    </row>
    <row r="2507" spans="1:4" ht="12.75" customHeight="1" x14ac:dyDescent="0.2">
      <c r="A2507" s="21"/>
      <c r="B2507" s="3" t="s">
        <v>17</v>
      </c>
      <c r="C2507" s="20" t="s">
        <v>19</v>
      </c>
      <c r="D2507" s="21"/>
    </row>
    <row r="2508" spans="1:4" ht="12.75" customHeight="1" x14ac:dyDescent="0.2">
      <c r="A2508" s="21"/>
      <c r="B2508" s="20" t="s">
        <v>18</v>
      </c>
      <c r="C2508" s="4" t="s">
        <v>57</v>
      </c>
      <c r="D2508" s="6" t="str">
        <f>HYPERLINK("javascript:void(0)","csillámgöb")</f>
        <v>csillámgöb</v>
      </c>
    </row>
    <row r="2509" spans="1:4" ht="25.5" customHeight="1" x14ac:dyDescent="0.2">
      <c r="A2509" s="21"/>
      <c r="B2509" s="21"/>
      <c r="C2509" s="4" t="s">
        <v>44</v>
      </c>
      <c r="D2509" s="6" t="str">
        <f>HYPERLINK("javascript:void(0)","csillámló sziklapáncél")</f>
        <v>csillámló sziklapáncél</v>
      </c>
    </row>
    <row r="2510" spans="1:4" ht="12.75" customHeight="1" x14ac:dyDescent="0.2">
      <c r="A2510" s="21"/>
      <c r="B2510" s="21"/>
      <c r="C2510" s="4" t="s">
        <v>756</v>
      </c>
      <c r="D2510" s="6" t="str">
        <f>HYPERLINK("javascript:void(0)","spiritusz")</f>
        <v>spiritusz</v>
      </c>
    </row>
    <row r="2511" spans="1:4" ht="12.75" customHeight="1" x14ac:dyDescent="0.2">
      <c r="A2511" s="21"/>
      <c r="B2511" s="2"/>
      <c r="C2511" s="2"/>
      <c r="D2511" s="2"/>
    </row>
    <row r="2512" spans="1:4" ht="12.75" customHeight="1" x14ac:dyDescent="0.2">
      <c r="A2512" s="21"/>
      <c r="B2512" s="2"/>
      <c r="C2512" s="2"/>
      <c r="D2512" s="2"/>
    </row>
    <row r="2513" spans="1:4" ht="12.75" customHeight="1" x14ac:dyDescent="0.2">
      <c r="A2513" s="21"/>
      <c r="B2513" s="2"/>
      <c r="C2513" s="2"/>
      <c r="D2513" s="2"/>
    </row>
    <row r="2514" spans="1:4" ht="12.75" customHeight="1" x14ac:dyDescent="0.2">
      <c r="A2514" s="21"/>
      <c r="B2514" s="2"/>
      <c r="C2514" s="2"/>
      <c r="D2514" s="2"/>
    </row>
    <row r="2515" spans="1:4" ht="12.75" customHeight="1" x14ac:dyDescent="0.2">
      <c r="A2515" s="5"/>
      <c r="B2515" s="2"/>
      <c r="C2515" s="2"/>
      <c r="D2515" s="2"/>
    </row>
    <row r="2516" spans="1:4" ht="12.75" customHeight="1" x14ac:dyDescent="0.2">
      <c r="A2516" s="22" t="str">
        <f>HYPERLINK("javascript:void(0)","üvegmellvéd")</f>
        <v>üvegmellvéd</v>
      </c>
      <c r="B2516" s="21"/>
      <c r="C2516" s="21"/>
      <c r="D2516" s="21"/>
    </row>
    <row r="2517" spans="1:4" ht="12.75" customHeight="1" x14ac:dyDescent="0.2">
      <c r="A2517" s="20"/>
      <c r="B2517" s="2"/>
      <c r="C2517" s="2"/>
      <c r="D2517" s="2"/>
    </row>
    <row r="2518" spans="1:4" ht="12.75" customHeight="1" x14ac:dyDescent="0.2">
      <c r="A2518" s="21"/>
      <c r="B2518" s="3" t="s">
        <v>0</v>
      </c>
      <c r="C2518" s="20" t="s">
        <v>953</v>
      </c>
      <c r="D2518" s="21"/>
    </row>
    <row r="2519" spans="1:4" ht="12.75" customHeight="1" x14ac:dyDescent="0.2">
      <c r="A2519" s="21"/>
      <c r="B2519" s="3" t="s">
        <v>2</v>
      </c>
      <c r="C2519" s="20" t="s">
        <v>2322</v>
      </c>
      <c r="D2519" s="21"/>
    </row>
    <row r="2520" spans="1:4" ht="12.75" customHeight="1" x14ac:dyDescent="0.2">
      <c r="A2520" s="21"/>
      <c r="B2520" s="3" t="s">
        <v>1840</v>
      </c>
      <c r="C2520" s="20" t="s">
        <v>338</v>
      </c>
      <c r="D2520" s="21"/>
    </row>
    <row r="2521" spans="1:4" ht="12.75" customHeight="1" x14ac:dyDescent="0.2">
      <c r="A2521" s="21"/>
      <c r="B2521" s="3" t="s">
        <v>9</v>
      </c>
      <c r="C2521" s="20" t="s">
        <v>2455</v>
      </c>
      <c r="D2521" s="21"/>
    </row>
    <row r="2522" spans="1:4" ht="12.75" customHeight="1" x14ac:dyDescent="0.2">
      <c r="A2522" s="21"/>
      <c r="B2522" s="3" t="s">
        <v>11</v>
      </c>
      <c r="C2522" s="20" t="s">
        <v>1477</v>
      </c>
      <c r="D2522" s="21"/>
    </row>
    <row r="2523" spans="1:4" ht="12.75" customHeight="1" x14ac:dyDescent="0.2">
      <c r="A2523" s="21"/>
      <c r="B2523" s="3" t="s">
        <v>16</v>
      </c>
      <c r="C2523" s="20"/>
      <c r="D2523" s="21"/>
    </row>
    <row r="2524" spans="1:4" ht="12.75" customHeight="1" x14ac:dyDescent="0.2">
      <c r="A2524" s="21"/>
      <c r="B2524" s="3" t="s">
        <v>17</v>
      </c>
      <c r="C2524" s="20" t="s">
        <v>19</v>
      </c>
      <c r="D2524" s="21"/>
    </row>
    <row r="2525" spans="1:4" ht="12.75" customHeight="1" x14ac:dyDescent="0.2">
      <c r="A2525" s="21"/>
      <c r="B2525" s="20" t="s">
        <v>18</v>
      </c>
      <c r="C2525" s="4" t="s">
        <v>44</v>
      </c>
      <c r="D2525" s="6" t="str">
        <f>HYPERLINK("javascript:void(0)","teljes pálhavért")</f>
        <v>teljes pálhavért</v>
      </c>
    </row>
    <row r="2526" spans="1:4" ht="12.75" customHeight="1" x14ac:dyDescent="0.2">
      <c r="A2526" s="21"/>
      <c r="B2526" s="21"/>
      <c r="C2526" s="4" t="s">
        <v>98</v>
      </c>
      <c r="D2526" s="6" t="str">
        <f>HYPERLINK("javascript:void(0)","cerka")</f>
        <v>cerka</v>
      </c>
    </row>
    <row r="2527" spans="1:4" ht="12.75" customHeight="1" x14ac:dyDescent="0.2">
      <c r="A2527" s="21"/>
      <c r="B2527" s="21"/>
      <c r="C2527" s="4" t="s">
        <v>331</v>
      </c>
      <c r="D2527" s="6" t="str">
        <f>HYPERLINK("javascript:void(0)","fiola")</f>
        <v>fiola</v>
      </c>
    </row>
    <row r="2528" spans="1:4" ht="12.75" customHeight="1" x14ac:dyDescent="0.2">
      <c r="A2528" s="21"/>
      <c r="B2528" s="2"/>
      <c r="C2528" s="2"/>
      <c r="D2528" s="2"/>
    </row>
    <row r="2529" spans="1:4" ht="12.75" customHeight="1" x14ac:dyDescent="0.2">
      <c r="A2529" s="21"/>
      <c r="B2529" s="2"/>
      <c r="C2529" s="2"/>
      <c r="D2529" s="2"/>
    </row>
    <row r="2530" spans="1:4" ht="12.75" customHeight="1" x14ac:dyDescent="0.2">
      <c r="A2530" s="21"/>
      <c r="B2530" s="2"/>
      <c r="C2530" s="2"/>
      <c r="D2530" s="2"/>
    </row>
    <row r="2531" spans="1:4" ht="12.75" customHeight="1" x14ac:dyDescent="0.2">
      <c r="A2531" s="21"/>
      <c r="B2531" s="2"/>
      <c r="C2531" s="2"/>
      <c r="D2531" s="2"/>
    </row>
    <row r="2532" spans="1:4" ht="12.75" customHeight="1" x14ac:dyDescent="0.2">
      <c r="A2532" s="5"/>
      <c r="B2532" s="2"/>
      <c r="C2532" s="2"/>
      <c r="D2532" s="2"/>
    </row>
    <row r="2533" spans="1:4" ht="12.75" customHeight="1" x14ac:dyDescent="0.2">
      <c r="A2533" s="22" t="str">
        <f>HYPERLINK("javascript:void(0)","teljes szélvért")</f>
        <v>teljes szélvért</v>
      </c>
      <c r="B2533" s="21"/>
      <c r="C2533" s="21"/>
      <c r="D2533" s="21"/>
    </row>
    <row r="2534" spans="1:4" ht="12.75" customHeight="1" x14ac:dyDescent="0.2">
      <c r="A2534" s="20"/>
      <c r="B2534" s="2"/>
      <c r="C2534" s="2"/>
      <c r="D2534" s="2"/>
    </row>
    <row r="2535" spans="1:4" ht="12.75" customHeight="1" x14ac:dyDescent="0.2">
      <c r="A2535" s="21"/>
      <c r="B2535" s="3" t="s">
        <v>0</v>
      </c>
      <c r="C2535" s="20" t="s">
        <v>293</v>
      </c>
      <c r="D2535" s="21"/>
    </row>
    <row r="2536" spans="1:4" ht="12.75" customHeight="1" x14ac:dyDescent="0.2">
      <c r="A2536" s="21"/>
      <c r="B2536" s="3" t="s">
        <v>2</v>
      </c>
      <c r="C2536" s="20" t="s">
        <v>2322</v>
      </c>
      <c r="D2536" s="21"/>
    </row>
    <row r="2537" spans="1:4" ht="12.75" customHeight="1" x14ac:dyDescent="0.2">
      <c r="A2537" s="21"/>
      <c r="B2537" s="3" t="s">
        <v>1840</v>
      </c>
      <c r="C2537" s="20" t="s">
        <v>2504</v>
      </c>
      <c r="D2537" s="21"/>
    </row>
    <row r="2538" spans="1:4" ht="12.75" customHeight="1" x14ac:dyDescent="0.2">
      <c r="A2538" s="21"/>
      <c r="B2538" s="3" t="s">
        <v>9</v>
      </c>
      <c r="C2538" s="20" t="s">
        <v>1340</v>
      </c>
      <c r="D2538" s="21"/>
    </row>
    <row r="2539" spans="1:4" ht="12.75" customHeight="1" x14ac:dyDescent="0.2">
      <c r="A2539" s="21"/>
      <c r="B2539" s="3" t="s">
        <v>11</v>
      </c>
      <c r="C2539" s="20" t="s">
        <v>1216</v>
      </c>
      <c r="D2539" s="21"/>
    </row>
    <row r="2540" spans="1:4" ht="12.75" customHeight="1" x14ac:dyDescent="0.2">
      <c r="A2540" s="21"/>
      <c r="B2540" s="3" t="s">
        <v>16</v>
      </c>
      <c r="C2540" s="20"/>
      <c r="D2540" s="21"/>
    </row>
    <row r="2541" spans="1:4" ht="12.75" customHeight="1" x14ac:dyDescent="0.2">
      <c r="A2541" s="21"/>
      <c r="B2541" s="3" t="s">
        <v>17</v>
      </c>
      <c r="C2541" s="20" t="s">
        <v>19</v>
      </c>
      <c r="D2541" s="21"/>
    </row>
    <row r="2542" spans="1:4" ht="12.75" customHeight="1" x14ac:dyDescent="0.2">
      <c r="A2542" s="21"/>
      <c r="B2542" s="20" t="s">
        <v>18</v>
      </c>
      <c r="C2542" s="4" t="s">
        <v>67</v>
      </c>
      <c r="D2542" s="6" t="str">
        <f>HYPERLINK("javascript:void(0)","képszél")</f>
        <v>képszél</v>
      </c>
    </row>
    <row r="2543" spans="1:4" ht="12.75" customHeight="1" x14ac:dyDescent="0.2">
      <c r="A2543" s="21"/>
      <c r="B2543" s="21"/>
      <c r="C2543" s="4" t="s">
        <v>132</v>
      </c>
      <c r="D2543" s="6" t="str">
        <f>HYPERLINK("javascript:void(0)","hídpenge")</f>
        <v>hídpenge</v>
      </c>
    </row>
    <row r="2544" spans="1:4" ht="12.75" customHeight="1" x14ac:dyDescent="0.2">
      <c r="A2544" s="21"/>
      <c r="B2544" s="21"/>
      <c r="C2544" s="4" t="s">
        <v>269</v>
      </c>
      <c r="D2544" s="6" t="str">
        <f>HYPERLINK("javascript:void(0)","pálha")</f>
        <v>pálha</v>
      </c>
    </row>
    <row r="2545" spans="1:4" ht="12.75" customHeight="1" x14ac:dyDescent="0.2">
      <c r="A2545" s="21"/>
      <c r="B2545" s="2"/>
      <c r="C2545" s="2"/>
      <c r="D2545" s="2"/>
    </row>
    <row r="2546" spans="1:4" ht="12.75" customHeight="1" x14ac:dyDescent="0.2">
      <c r="A2546" s="21"/>
      <c r="B2546" s="2"/>
      <c r="C2546" s="2"/>
      <c r="D2546" s="2"/>
    </row>
    <row r="2547" spans="1:4" ht="12.75" customHeight="1" x14ac:dyDescent="0.2">
      <c r="A2547" s="21"/>
      <c r="B2547" s="2"/>
      <c r="C2547" s="2"/>
      <c r="D2547" s="2"/>
    </row>
    <row r="2548" spans="1:4" ht="12.75" customHeight="1" x14ac:dyDescent="0.2">
      <c r="A2548" s="21"/>
      <c r="B2548" s="2"/>
      <c r="C2548" s="2"/>
      <c r="D2548" s="2"/>
    </row>
    <row r="2549" spans="1:4" ht="12.75" customHeight="1" x14ac:dyDescent="0.2">
      <c r="A2549" s="5"/>
      <c r="B2549" s="2"/>
      <c r="C2549" s="2"/>
      <c r="D2549" s="2"/>
    </row>
    <row r="2550" spans="1:4" ht="12.75" customHeight="1" x14ac:dyDescent="0.2">
      <c r="A2550" s="22" t="str">
        <f>HYPERLINK("javascript:void(0)","csillámpáncél")</f>
        <v>csillámpáncél</v>
      </c>
      <c r="B2550" s="21"/>
      <c r="C2550" s="21"/>
      <c r="D2550" s="21"/>
    </row>
    <row r="2551" spans="1:4" ht="12.75" customHeight="1" x14ac:dyDescent="0.2">
      <c r="A2551" s="20"/>
      <c r="B2551" s="2"/>
      <c r="C2551" s="2"/>
      <c r="D2551" s="2"/>
    </row>
    <row r="2552" spans="1:4" ht="12.75" customHeight="1" x14ac:dyDescent="0.2">
      <c r="A2552" s="21"/>
      <c r="B2552" s="3" t="s">
        <v>0</v>
      </c>
      <c r="C2552" s="20" t="s">
        <v>968</v>
      </c>
      <c r="D2552" s="21"/>
    </row>
    <row r="2553" spans="1:4" ht="12.75" customHeight="1" x14ac:dyDescent="0.2">
      <c r="A2553" s="21"/>
      <c r="B2553" s="3" t="s">
        <v>2</v>
      </c>
      <c r="C2553" s="20" t="s">
        <v>2322</v>
      </c>
      <c r="D2553" s="21"/>
    </row>
    <row r="2554" spans="1:4" ht="12.75" customHeight="1" x14ac:dyDescent="0.2">
      <c r="A2554" s="21"/>
      <c r="B2554" s="3" t="s">
        <v>1840</v>
      </c>
      <c r="C2554" s="20" t="s">
        <v>2505</v>
      </c>
      <c r="D2554" s="21"/>
    </row>
    <row r="2555" spans="1:4" ht="12.75" customHeight="1" x14ac:dyDescent="0.2">
      <c r="A2555" s="21"/>
      <c r="B2555" s="3" t="s">
        <v>9</v>
      </c>
      <c r="C2555" s="20" t="s">
        <v>753</v>
      </c>
      <c r="D2555" s="21"/>
    </row>
    <row r="2556" spans="1:4" ht="12.75" customHeight="1" x14ac:dyDescent="0.2">
      <c r="A2556" s="21"/>
      <c r="B2556" s="3" t="s">
        <v>11</v>
      </c>
      <c r="C2556" s="20" t="s">
        <v>1488</v>
      </c>
      <c r="D2556" s="21"/>
    </row>
    <row r="2557" spans="1:4" ht="12.75" customHeight="1" x14ac:dyDescent="0.2">
      <c r="A2557" s="21"/>
      <c r="B2557" s="3" t="s">
        <v>16</v>
      </c>
      <c r="C2557" s="20"/>
      <c r="D2557" s="21"/>
    </row>
    <row r="2558" spans="1:4" ht="12.75" customHeight="1" x14ac:dyDescent="0.2">
      <c r="A2558" s="21"/>
      <c r="B2558" s="3" t="s">
        <v>17</v>
      </c>
      <c r="C2558" s="20" t="s">
        <v>19</v>
      </c>
      <c r="D2558" s="21"/>
    </row>
    <row r="2559" spans="1:4" ht="12.75" customHeight="1" x14ac:dyDescent="0.2">
      <c r="A2559" s="21"/>
      <c r="B2559" s="20" t="s">
        <v>18</v>
      </c>
      <c r="C2559" s="4" t="s">
        <v>44</v>
      </c>
      <c r="D2559" s="6" t="str">
        <f>HYPERLINK("javascript:void(0)","teljes szélvért")</f>
        <v>teljes szélvért</v>
      </c>
    </row>
    <row r="2560" spans="1:4" ht="12.75" customHeight="1" x14ac:dyDescent="0.2">
      <c r="A2560" s="21"/>
      <c r="B2560" s="21"/>
      <c r="C2560" s="4" t="s">
        <v>44</v>
      </c>
      <c r="D2560" s="6" t="str">
        <f>HYPERLINK("javascript:void(0)","üvegmellvéd")</f>
        <v>üvegmellvéd</v>
      </c>
    </row>
    <row r="2561" spans="1:4" ht="12.75" customHeight="1" x14ac:dyDescent="0.2">
      <c r="A2561" s="21"/>
      <c r="B2561" s="21"/>
      <c r="C2561" s="4" t="s">
        <v>44</v>
      </c>
      <c r="D2561" s="6" t="str">
        <f>HYPERLINK("javascript:void(0)","ékes csillámöv")</f>
        <v>ékes csillámöv</v>
      </c>
    </row>
    <row r="2562" spans="1:4" ht="12.75" customHeight="1" x14ac:dyDescent="0.2">
      <c r="A2562" s="21"/>
      <c r="B2562" s="2"/>
      <c r="C2562" s="2"/>
      <c r="D2562" s="2"/>
    </row>
    <row r="2563" spans="1:4" ht="12.75" customHeight="1" x14ac:dyDescent="0.2">
      <c r="A2563" s="21"/>
      <c r="B2563" s="2"/>
      <c r="C2563" s="2"/>
      <c r="D2563" s="2"/>
    </row>
    <row r="2564" spans="1:4" ht="12.75" customHeight="1" x14ac:dyDescent="0.2">
      <c r="A2564" s="21"/>
      <c r="B2564" s="2"/>
      <c r="C2564" s="2"/>
      <c r="D2564" s="2"/>
    </row>
    <row r="2565" spans="1:4" ht="12.75" customHeight="1" x14ac:dyDescent="0.2">
      <c r="A2565" s="21"/>
      <c r="B2565" s="2"/>
      <c r="C2565" s="2"/>
      <c r="D2565" s="2"/>
    </row>
    <row r="2566" spans="1:4" ht="12.75" customHeight="1" x14ac:dyDescent="0.2">
      <c r="A2566" s="5"/>
      <c r="B2566" s="2"/>
      <c r="C2566" s="2"/>
      <c r="D2566" s="2"/>
    </row>
    <row r="2567" spans="1:4" ht="12.75" customHeight="1" x14ac:dyDescent="0.2">
      <c r="A2567" s="22" t="str">
        <f>HYPERLINK("javascript:void(0)","ékes csillámöv")</f>
        <v>ékes csillámöv</v>
      </c>
      <c r="B2567" s="21"/>
      <c r="C2567" s="21"/>
      <c r="D2567" s="21"/>
    </row>
    <row r="2568" spans="1:4" ht="12.75" customHeight="1" x14ac:dyDescent="0.2">
      <c r="A2568" s="20"/>
      <c r="B2568" s="2"/>
      <c r="C2568" s="2"/>
      <c r="D2568" s="2"/>
    </row>
    <row r="2569" spans="1:4" ht="12.75" customHeight="1" x14ac:dyDescent="0.2">
      <c r="A2569" s="21"/>
      <c r="B2569" s="3" t="s">
        <v>0</v>
      </c>
      <c r="C2569" s="20" t="s">
        <v>968</v>
      </c>
      <c r="D2569" s="21"/>
    </row>
    <row r="2570" spans="1:4" ht="12.75" customHeight="1" x14ac:dyDescent="0.2">
      <c r="A2570" s="21"/>
      <c r="B2570" s="3" t="s">
        <v>2</v>
      </c>
      <c r="C2570" s="20" t="s">
        <v>2322</v>
      </c>
      <c r="D2570" s="21"/>
    </row>
    <row r="2571" spans="1:4" ht="12.75" customHeight="1" x14ac:dyDescent="0.2">
      <c r="A2571" s="21"/>
      <c r="B2571" s="3" t="s">
        <v>1840</v>
      </c>
      <c r="C2571" s="20" t="s">
        <v>435</v>
      </c>
      <c r="D2571" s="21"/>
    </row>
    <row r="2572" spans="1:4" ht="12.75" customHeight="1" x14ac:dyDescent="0.2">
      <c r="A2572" s="21"/>
      <c r="B2572" s="3" t="s">
        <v>9</v>
      </c>
      <c r="C2572" s="20" t="s">
        <v>172</v>
      </c>
      <c r="D2572" s="21"/>
    </row>
    <row r="2573" spans="1:4" ht="12.75" customHeight="1" x14ac:dyDescent="0.2">
      <c r="A2573" s="21"/>
      <c r="B2573" s="3" t="s">
        <v>11</v>
      </c>
      <c r="C2573" s="20" t="s">
        <v>2506</v>
      </c>
      <c r="D2573" s="21"/>
    </row>
    <row r="2574" spans="1:4" ht="12.75" customHeight="1" x14ac:dyDescent="0.2">
      <c r="A2574" s="21"/>
      <c r="B2574" s="3" t="s">
        <v>16</v>
      </c>
      <c r="C2574" s="20"/>
      <c r="D2574" s="21"/>
    </row>
    <row r="2575" spans="1:4" ht="12.75" customHeight="1" x14ac:dyDescent="0.2">
      <c r="A2575" s="21"/>
      <c r="B2575" s="3" t="s">
        <v>17</v>
      </c>
      <c r="C2575" s="20" t="s">
        <v>19</v>
      </c>
      <c r="D2575" s="21"/>
    </row>
    <row r="2576" spans="1:4" ht="12.75" customHeight="1" x14ac:dyDescent="0.2">
      <c r="A2576" s="21"/>
      <c r="B2576" s="20" t="s">
        <v>18</v>
      </c>
      <c r="C2576" s="4" t="s">
        <v>67</v>
      </c>
      <c r="D2576" s="6" t="str">
        <f>HYPERLINK("javascript:void(0)","lékék")</f>
        <v>lékék</v>
      </c>
    </row>
    <row r="2577" spans="1:4" ht="12.75" customHeight="1" x14ac:dyDescent="0.2">
      <c r="A2577" s="21"/>
      <c r="B2577" s="21"/>
      <c r="C2577" s="4" t="s">
        <v>331</v>
      </c>
      <c r="D2577" s="6" t="str">
        <f>HYPERLINK("javascript:void(0)","dobókocka")</f>
        <v>dobókocka</v>
      </c>
    </row>
    <row r="2578" spans="1:4" ht="12.75" customHeight="1" x14ac:dyDescent="0.2">
      <c r="A2578" s="21"/>
      <c r="B2578" s="21"/>
      <c r="C2578" s="4" t="s">
        <v>102</v>
      </c>
      <c r="D2578" s="6" t="str">
        <f>HYPERLINK("javascript:void(0)","ikerkristály")</f>
        <v>ikerkristály</v>
      </c>
    </row>
    <row r="2579" spans="1:4" ht="12.75" customHeight="1" x14ac:dyDescent="0.2">
      <c r="A2579" s="21"/>
      <c r="B2579" s="2"/>
      <c r="C2579" s="2"/>
      <c r="D2579" s="2"/>
    </row>
    <row r="2580" spans="1:4" ht="12.75" customHeight="1" x14ac:dyDescent="0.2">
      <c r="A2580" s="21"/>
      <c r="B2580" s="2"/>
      <c r="C2580" s="2"/>
      <c r="D2580" s="2"/>
    </row>
    <row r="2581" spans="1:4" ht="12.75" customHeight="1" x14ac:dyDescent="0.2">
      <c r="A2581" s="21"/>
      <c r="B2581" s="2"/>
      <c r="C2581" s="2"/>
      <c r="D2581" s="2"/>
    </row>
    <row r="2582" spans="1:4" ht="12.75" customHeight="1" x14ac:dyDescent="0.2">
      <c r="A2582" s="21"/>
      <c r="B2582" s="2"/>
      <c r="C2582" s="2"/>
      <c r="D2582" s="2"/>
    </row>
    <row r="2583" spans="1:4" ht="12.75" customHeight="1" x14ac:dyDescent="0.2">
      <c r="A2583" s="5"/>
      <c r="B2583" s="2"/>
      <c r="C2583" s="2"/>
      <c r="D2583" s="2"/>
    </row>
    <row r="2584" spans="1:4" ht="12.75" customHeight="1" x14ac:dyDescent="0.2">
      <c r="A2584" s="22" t="str">
        <f>HYPERLINK("javascript:void(0)","csillámvért")</f>
        <v>csillámvért</v>
      </c>
      <c r="B2584" s="21"/>
      <c r="C2584" s="21"/>
      <c r="D2584" s="21"/>
    </row>
    <row r="2585" spans="1:4" ht="12.75" customHeight="1" x14ac:dyDescent="0.2">
      <c r="A2585" s="20"/>
      <c r="B2585" s="2"/>
      <c r="C2585" s="2"/>
      <c r="D2585" s="2"/>
    </row>
    <row r="2586" spans="1:4" ht="12.75" customHeight="1" x14ac:dyDescent="0.2">
      <c r="A2586" s="21"/>
      <c r="B2586" s="3" t="s">
        <v>0</v>
      </c>
      <c r="C2586" s="20" t="s">
        <v>978</v>
      </c>
      <c r="D2586" s="21"/>
    </row>
    <row r="2587" spans="1:4" ht="12.75" customHeight="1" x14ac:dyDescent="0.2">
      <c r="A2587" s="21"/>
      <c r="B2587" s="3" t="s">
        <v>2</v>
      </c>
      <c r="C2587" s="20" t="s">
        <v>2322</v>
      </c>
      <c r="D2587" s="21"/>
    </row>
    <row r="2588" spans="1:4" ht="12.75" customHeight="1" x14ac:dyDescent="0.2">
      <c r="A2588" s="21"/>
      <c r="B2588" s="3" t="s">
        <v>1840</v>
      </c>
      <c r="C2588" s="20" t="s">
        <v>2507</v>
      </c>
      <c r="D2588" s="21"/>
    </row>
    <row r="2589" spans="1:4" ht="12.75" customHeight="1" x14ac:dyDescent="0.2">
      <c r="A2589" s="21"/>
      <c r="B2589" s="3" t="s">
        <v>9</v>
      </c>
      <c r="C2589" s="20" t="s">
        <v>573</v>
      </c>
      <c r="D2589" s="21"/>
    </row>
    <row r="2590" spans="1:4" ht="12.75" customHeight="1" x14ac:dyDescent="0.2">
      <c r="A2590" s="21"/>
      <c r="B2590" s="3" t="s">
        <v>11</v>
      </c>
      <c r="C2590" s="20" t="s">
        <v>1657</v>
      </c>
      <c r="D2590" s="21"/>
    </row>
    <row r="2591" spans="1:4" ht="12.75" customHeight="1" x14ac:dyDescent="0.2">
      <c r="A2591" s="21"/>
      <c r="B2591" s="3" t="s">
        <v>16</v>
      </c>
      <c r="C2591" s="20"/>
      <c r="D2591" s="21"/>
    </row>
    <row r="2592" spans="1:4" ht="12.75" customHeight="1" x14ac:dyDescent="0.2">
      <c r="A2592" s="21"/>
      <c r="B2592" s="3" t="s">
        <v>17</v>
      </c>
      <c r="C2592" s="20" t="s">
        <v>19</v>
      </c>
      <c r="D2592" s="21"/>
    </row>
    <row r="2593" spans="1:4" ht="12.75" customHeight="1" x14ac:dyDescent="0.2">
      <c r="A2593" s="21"/>
      <c r="B2593" s="20" t="s">
        <v>18</v>
      </c>
      <c r="C2593" s="4" t="s">
        <v>331</v>
      </c>
      <c r="D2593" s="6" t="str">
        <f>HYPERLINK("javascript:void(0)","antiige")</f>
        <v>antiige</v>
      </c>
    </row>
    <row r="2594" spans="1:4" ht="12.75" customHeight="1" x14ac:dyDescent="0.2">
      <c r="A2594" s="21"/>
      <c r="B2594" s="21"/>
      <c r="C2594" s="4" t="s">
        <v>44</v>
      </c>
      <c r="D2594" s="6" t="str">
        <f>HYPERLINK("javascript:void(0)","csillámpáncél")</f>
        <v>csillámpáncél</v>
      </c>
    </row>
    <row r="2595" spans="1:4" ht="12.75" customHeight="1" x14ac:dyDescent="0.2">
      <c r="A2595" s="21"/>
      <c r="B2595" s="21"/>
      <c r="C2595" s="4" t="s">
        <v>331</v>
      </c>
      <c r="D2595" s="6" t="str">
        <f>HYPERLINK("javascript:void(0)","valkript")</f>
        <v>valkript</v>
      </c>
    </row>
    <row r="2596" spans="1:4" ht="12.75" customHeight="1" x14ac:dyDescent="0.2">
      <c r="A2596" s="21"/>
      <c r="B2596" s="2"/>
      <c r="C2596" s="2"/>
      <c r="D2596" s="2"/>
    </row>
    <row r="2597" spans="1:4" ht="12.75" customHeight="1" x14ac:dyDescent="0.2">
      <c r="A2597" s="21"/>
      <c r="B2597" s="2"/>
      <c r="C2597" s="2"/>
      <c r="D2597" s="2"/>
    </row>
    <row r="2598" spans="1:4" ht="12.75" customHeight="1" x14ac:dyDescent="0.2">
      <c r="A2598" s="21"/>
      <c r="B2598" s="2"/>
      <c r="C2598" s="2"/>
      <c r="D2598" s="2"/>
    </row>
    <row r="2599" spans="1:4" ht="12.75" customHeight="1" x14ac:dyDescent="0.2">
      <c r="A2599" s="21"/>
      <c r="B2599" s="2"/>
      <c r="C2599" s="2"/>
      <c r="D2599" s="2"/>
    </row>
    <row r="2600" spans="1:4" ht="12.75" customHeight="1" x14ac:dyDescent="0.2">
      <c r="A2600" s="5"/>
      <c r="B2600" s="2"/>
      <c r="C2600" s="2"/>
      <c r="D2600" s="2"/>
    </row>
    <row r="2601" spans="1:4" ht="12.75" customHeight="1" x14ac:dyDescent="0.2">
      <c r="A2601" s="22" t="str">
        <f>HYPERLINK("javascript:void(0)","csáppáncél")</f>
        <v>csáppáncél</v>
      </c>
      <c r="B2601" s="21"/>
      <c r="C2601" s="21"/>
      <c r="D2601" s="21"/>
    </row>
    <row r="2602" spans="1:4" ht="12.75" customHeight="1" x14ac:dyDescent="0.2">
      <c r="A2602" s="20"/>
      <c r="B2602" s="2"/>
      <c r="C2602" s="2"/>
      <c r="D2602" s="2"/>
    </row>
    <row r="2603" spans="1:4" ht="12.75" customHeight="1" x14ac:dyDescent="0.2">
      <c r="A2603" s="21"/>
      <c r="B2603" s="3" t="s">
        <v>0</v>
      </c>
      <c r="C2603" s="20" t="s">
        <v>87</v>
      </c>
      <c r="D2603" s="21"/>
    </row>
    <row r="2604" spans="1:4" ht="12.75" customHeight="1" x14ac:dyDescent="0.2">
      <c r="A2604" s="21"/>
      <c r="B2604" s="3" t="s">
        <v>2</v>
      </c>
      <c r="C2604" s="20" t="s">
        <v>2322</v>
      </c>
      <c r="D2604" s="21"/>
    </row>
    <row r="2605" spans="1:4" ht="12.75" customHeight="1" x14ac:dyDescent="0.2">
      <c r="A2605" s="21"/>
      <c r="B2605" s="3" t="s">
        <v>1840</v>
      </c>
      <c r="C2605" s="20" t="s">
        <v>2508</v>
      </c>
      <c r="D2605" s="21"/>
    </row>
    <row r="2606" spans="1:4" ht="12.75" customHeight="1" x14ac:dyDescent="0.2">
      <c r="A2606" s="21"/>
      <c r="B2606" s="3" t="s">
        <v>9</v>
      </c>
      <c r="C2606" s="20" t="s">
        <v>200</v>
      </c>
      <c r="D2606" s="21"/>
    </row>
    <row r="2607" spans="1:4" ht="12.75" customHeight="1" x14ac:dyDescent="0.2">
      <c r="A2607" s="21"/>
      <c r="B2607" s="3" t="s">
        <v>11</v>
      </c>
      <c r="C2607" s="20" t="s">
        <v>1500</v>
      </c>
      <c r="D2607" s="21"/>
    </row>
    <row r="2608" spans="1:4" ht="12.75" customHeight="1" x14ac:dyDescent="0.2">
      <c r="A2608" s="21"/>
      <c r="B2608" s="3" t="s">
        <v>16</v>
      </c>
      <c r="C2608" s="20"/>
      <c r="D2608" s="21"/>
    </row>
    <row r="2609" spans="1:4" ht="12.75" customHeight="1" x14ac:dyDescent="0.2">
      <c r="A2609" s="21"/>
      <c r="B2609" s="3" t="s">
        <v>17</v>
      </c>
      <c r="C2609" s="20" t="s">
        <v>19</v>
      </c>
      <c r="D2609" s="21"/>
    </row>
    <row r="2610" spans="1:4" ht="12.75" customHeight="1" x14ac:dyDescent="0.2">
      <c r="A2610" s="21"/>
      <c r="B2610" s="20" t="s">
        <v>18</v>
      </c>
      <c r="C2610" s="4" t="s">
        <v>117</v>
      </c>
      <c r="D2610" s="6" t="str">
        <f>HYPERLINK("javascript:void(0)","monsztabéklyó")</f>
        <v>monsztabéklyó</v>
      </c>
    </row>
    <row r="2611" spans="1:4" ht="12.75" customHeight="1" x14ac:dyDescent="0.2">
      <c r="A2611" s="21"/>
      <c r="B2611" s="21"/>
      <c r="C2611" s="4" t="s">
        <v>228</v>
      </c>
      <c r="D2611" s="6" t="str">
        <f>HYPERLINK("javascript:void(0)","pálha")</f>
        <v>pálha</v>
      </c>
    </row>
    <row r="2612" spans="1:4" ht="12.75" customHeight="1" x14ac:dyDescent="0.2">
      <c r="A2612" s="21"/>
      <c r="B2612" s="21"/>
      <c r="C2612" s="4" t="s">
        <v>102</v>
      </c>
      <c r="D2612" s="6" t="str">
        <f>HYPERLINK("javascript:void(0)","fülcsáp")</f>
        <v>fülcsáp</v>
      </c>
    </row>
    <row r="2613" spans="1:4" ht="12.75" customHeight="1" x14ac:dyDescent="0.2">
      <c r="A2613" s="21"/>
      <c r="B2613" s="2"/>
      <c r="C2613" s="2"/>
      <c r="D2613" s="2"/>
    </row>
    <row r="2614" spans="1:4" ht="12.75" customHeight="1" x14ac:dyDescent="0.2">
      <c r="A2614" s="21"/>
      <c r="B2614" s="2"/>
      <c r="C2614" s="2"/>
      <c r="D2614" s="2"/>
    </row>
    <row r="2615" spans="1:4" ht="12.75" customHeight="1" x14ac:dyDescent="0.2">
      <c r="A2615" s="21"/>
      <c r="B2615" s="2"/>
      <c r="C2615" s="2"/>
      <c r="D2615" s="2"/>
    </row>
    <row r="2616" spans="1:4" ht="12.75" customHeight="1" x14ac:dyDescent="0.2">
      <c r="A2616" s="21"/>
      <c r="B2616" s="2"/>
      <c r="C2616" s="2"/>
      <c r="D2616" s="2"/>
    </row>
    <row r="2617" spans="1:4" ht="12.75" customHeight="1" x14ac:dyDescent="0.2">
      <c r="A2617" s="5"/>
      <c r="B2617" s="2"/>
      <c r="C2617" s="2"/>
      <c r="D2617" s="2"/>
    </row>
    <row r="2618" spans="1:4" ht="12.75" customHeight="1" x14ac:dyDescent="0.2">
      <c r="A2618" s="22" t="str">
        <f>HYPERLINK("javascript:void(0)","csillámló yetipáncél")</f>
        <v>csillámló yetipáncél</v>
      </c>
      <c r="B2618" s="21"/>
      <c r="C2618" s="21"/>
      <c r="D2618" s="21"/>
    </row>
    <row r="2619" spans="1:4" ht="12.75" customHeight="1" x14ac:dyDescent="0.2">
      <c r="A2619" s="20"/>
      <c r="B2619" s="2"/>
      <c r="C2619" s="2"/>
      <c r="D2619" s="2"/>
    </row>
    <row r="2620" spans="1:4" ht="12.75" customHeight="1" x14ac:dyDescent="0.2">
      <c r="A2620" s="21"/>
      <c r="B2620" s="3" t="s">
        <v>0</v>
      </c>
      <c r="C2620" s="20" t="s">
        <v>87</v>
      </c>
      <c r="D2620" s="21"/>
    </row>
    <row r="2621" spans="1:4" ht="12.75" customHeight="1" x14ac:dyDescent="0.2">
      <c r="A2621" s="21"/>
      <c r="B2621" s="3" t="s">
        <v>2</v>
      </c>
      <c r="C2621" s="20" t="s">
        <v>2322</v>
      </c>
      <c r="D2621" s="21"/>
    </row>
    <row r="2622" spans="1:4" ht="12.75" customHeight="1" x14ac:dyDescent="0.2">
      <c r="A2622" s="21"/>
      <c r="B2622" s="3" t="s">
        <v>1840</v>
      </c>
      <c r="C2622" s="20" t="s">
        <v>661</v>
      </c>
      <c r="D2622" s="21"/>
    </row>
    <row r="2623" spans="1:4" ht="12.75" customHeight="1" x14ac:dyDescent="0.2">
      <c r="A2623" s="21"/>
      <c r="B2623" s="3" t="s">
        <v>9</v>
      </c>
      <c r="C2623" s="20" t="s">
        <v>2509</v>
      </c>
      <c r="D2623" s="21"/>
    </row>
    <row r="2624" spans="1:4" ht="12.75" customHeight="1" x14ac:dyDescent="0.2">
      <c r="A2624" s="21"/>
      <c r="B2624" s="3" t="s">
        <v>11</v>
      </c>
      <c r="C2624" s="20" t="s">
        <v>1500</v>
      </c>
      <c r="D2624" s="21"/>
    </row>
    <row r="2625" spans="1:4" ht="12.75" customHeight="1" x14ac:dyDescent="0.2">
      <c r="A2625" s="21"/>
      <c r="B2625" s="3" t="s">
        <v>16</v>
      </c>
      <c r="C2625" s="20"/>
      <c r="D2625" s="21"/>
    </row>
    <row r="2626" spans="1:4" ht="12.75" customHeight="1" x14ac:dyDescent="0.2">
      <c r="A2626" s="21"/>
      <c r="B2626" s="3" t="s">
        <v>17</v>
      </c>
      <c r="C2626" s="20" t="s">
        <v>19</v>
      </c>
      <c r="D2626" s="21"/>
    </row>
    <row r="2627" spans="1:4" ht="12.75" customHeight="1" x14ac:dyDescent="0.2">
      <c r="A2627" s="21"/>
      <c r="B2627" s="20" t="s">
        <v>18</v>
      </c>
      <c r="C2627" s="4" t="s">
        <v>57</v>
      </c>
      <c r="D2627" s="6" t="str">
        <f>HYPERLINK("javascript:void(0)","csillámgöb")</f>
        <v>csillámgöb</v>
      </c>
    </row>
    <row r="2628" spans="1:4" ht="12.75" customHeight="1" x14ac:dyDescent="0.2">
      <c r="A2628" s="21"/>
      <c r="B2628" s="21"/>
      <c r="C2628" s="4" t="s">
        <v>44</v>
      </c>
      <c r="D2628" s="6" t="str">
        <f>HYPERLINK("javascript:void(0)","csillámos légvért")</f>
        <v>csillámos légvért</v>
      </c>
    </row>
    <row r="2629" spans="1:4" ht="12.75" customHeight="1" x14ac:dyDescent="0.2">
      <c r="A2629" s="21"/>
      <c r="B2629" s="21"/>
      <c r="C2629" s="4" t="s">
        <v>1536</v>
      </c>
      <c r="D2629" s="6" t="str">
        <f>HYPERLINK("javascript:void(0)","ördögpihe")</f>
        <v>ördögpihe</v>
      </c>
    </row>
    <row r="2630" spans="1:4" ht="12.75" customHeight="1" x14ac:dyDescent="0.2">
      <c r="A2630" s="21"/>
      <c r="B2630" s="2"/>
      <c r="C2630" s="2"/>
      <c r="D2630" s="2"/>
    </row>
    <row r="2631" spans="1:4" ht="12.75" customHeight="1" x14ac:dyDescent="0.2">
      <c r="A2631" s="21"/>
      <c r="B2631" s="2"/>
      <c r="C2631" s="2"/>
      <c r="D2631" s="2"/>
    </row>
    <row r="2632" spans="1:4" ht="12.75" customHeight="1" x14ac:dyDescent="0.2">
      <c r="A2632" s="21"/>
      <c r="B2632" s="2"/>
      <c r="C2632" s="2"/>
      <c r="D2632" s="2"/>
    </row>
    <row r="2633" spans="1:4" ht="12.75" customHeight="1" x14ac:dyDescent="0.2">
      <c r="A2633" s="21"/>
      <c r="B2633" s="2"/>
      <c r="C2633" s="2"/>
      <c r="D2633" s="2"/>
    </row>
    <row r="2634" spans="1:4" ht="12.75" customHeight="1" x14ac:dyDescent="0.2">
      <c r="A2634" s="5"/>
      <c r="B2634" s="2"/>
      <c r="C2634" s="2"/>
      <c r="D2634" s="2"/>
    </row>
    <row r="2635" spans="1:4" ht="12.75" customHeight="1" x14ac:dyDescent="0.2">
      <c r="A2635" s="22" t="str">
        <f>HYPERLINK("javascript:void(0)","teljes élvért")</f>
        <v>teljes élvért</v>
      </c>
      <c r="B2635" s="21"/>
      <c r="C2635" s="21"/>
      <c r="D2635" s="21"/>
    </row>
    <row r="2636" spans="1:4" ht="12.75" customHeight="1" x14ac:dyDescent="0.2">
      <c r="A2636" s="20"/>
      <c r="B2636" s="2"/>
      <c r="C2636" s="2"/>
      <c r="D2636" s="2"/>
    </row>
    <row r="2637" spans="1:4" ht="12.75" customHeight="1" x14ac:dyDescent="0.2">
      <c r="A2637" s="21"/>
      <c r="B2637" s="3" t="s">
        <v>0</v>
      </c>
      <c r="C2637" s="20" t="s">
        <v>999</v>
      </c>
      <c r="D2637" s="21"/>
    </row>
    <row r="2638" spans="1:4" ht="12.75" customHeight="1" x14ac:dyDescent="0.2">
      <c r="A2638" s="21"/>
      <c r="B2638" s="3" t="s">
        <v>2</v>
      </c>
      <c r="C2638" s="20" t="s">
        <v>2322</v>
      </c>
      <c r="D2638" s="21"/>
    </row>
    <row r="2639" spans="1:4" ht="12.75" customHeight="1" x14ac:dyDescent="0.2">
      <c r="A2639" s="21"/>
      <c r="B2639" s="3" t="s">
        <v>1840</v>
      </c>
      <c r="C2639" s="20" t="s">
        <v>2510</v>
      </c>
      <c r="D2639" s="21"/>
    </row>
    <row r="2640" spans="1:4" ht="12.75" customHeight="1" x14ac:dyDescent="0.2">
      <c r="A2640" s="21"/>
      <c r="B2640" s="3" t="s">
        <v>9</v>
      </c>
      <c r="C2640" s="20" t="s">
        <v>1108</v>
      </c>
      <c r="D2640" s="21"/>
    </row>
    <row r="2641" spans="1:4" ht="12.75" customHeight="1" x14ac:dyDescent="0.2">
      <c r="A2641" s="21"/>
      <c r="B2641" s="3" t="s">
        <v>11</v>
      </c>
      <c r="C2641" s="20" t="s">
        <v>839</v>
      </c>
      <c r="D2641" s="21"/>
    </row>
    <row r="2642" spans="1:4" ht="12.75" customHeight="1" x14ac:dyDescent="0.2">
      <c r="A2642" s="21"/>
      <c r="B2642" s="3" t="s">
        <v>16</v>
      </c>
      <c r="C2642" s="20"/>
      <c r="D2642" s="21"/>
    </row>
    <row r="2643" spans="1:4" ht="12.75" customHeight="1" x14ac:dyDescent="0.2">
      <c r="A2643" s="21"/>
      <c r="B2643" s="3" t="s">
        <v>17</v>
      </c>
      <c r="C2643" s="20" t="s">
        <v>19</v>
      </c>
      <c r="D2643" s="21"/>
    </row>
    <row r="2644" spans="1:4" ht="12.75" customHeight="1" x14ac:dyDescent="0.2">
      <c r="A2644" s="21"/>
      <c r="B2644" s="20" t="s">
        <v>18</v>
      </c>
      <c r="C2644" s="4" t="s">
        <v>44</v>
      </c>
      <c r="D2644" s="6" t="str">
        <f>HYPERLINK("javascript:void(0)","csáppáncél")</f>
        <v>csáppáncél</v>
      </c>
    </row>
    <row r="2645" spans="1:4" ht="12.75" customHeight="1" x14ac:dyDescent="0.2">
      <c r="A2645" s="21"/>
      <c r="B2645" s="21"/>
      <c r="C2645" s="4" t="s">
        <v>44</v>
      </c>
      <c r="D2645" s="6" t="str">
        <f>HYPERLINK("javascript:void(0)","csillámvért")</f>
        <v>csillámvért</v>
      </c>
    </row>
    <row r="2646" spans="1:4" ht="12.75" customHeight="1" x14ac:dyDescent="0.2">
      <c r="A2646" s="21"/>
      <c r="B2646" s="21"/>
      <c r="C2646" s="4" t="s">
        <v>44</v>
      </c>
      <c r="D2646" s="6" t="str">
        <f>HYPERLINK("javascript:void(0)","élbélés")</f>
        <v>élbélés</v>
      </c>
    </row>
    <row r="2647" spans="1:4" ht="12.75" customHeight="1" x14ac:dyDescent="0.2">
      <c r="A2647" s="21"/>
      <c r="B2647" s="2"/>
      <c r="C2647" s="2"/>
      <c r="D2647" s="2"/>
    </row>
    <row r="2648" spans="1:4" ht="12.75" customHeight="1" x14ac:dyDescent="0.2">
      <c r="A2648" s="21"/>
      <c r="B2648" s="2"/>
      <c r="C2648" s="2"/>
      <c r="D2648" s="2"/>
    </row>
    <row r="2649" spans="1:4" ht="12.75" customHeight="1" x14ac:dyDescent="0.2">
      <c r="A2649" s="21"/>
      <c r="B2649" s="2"/>
      <c r="C2649" s="2"/>
      <c r="D2649" s="2"/>
    </row>
    <row r="2650" spans="1:4" ht="12.75" customHeight="1" x14ac:dyDescent="0.2">
      <c r="A2650" s="21"/>
      <c r="B2650" s="2"/>
      <c r="C2650" s="2"/>
      <c r="D2650" s="2"/>
    </row>
    <row r="2651" spans="1:4" ht="12.75" customHeight="1" x14ac:dyDescent="0.2">
      <c r="A2651" s="5"/>
      <c r="B2651" s="2"/>
      <c r="C2651" s="2"/>
      <c r="D2651" s="2"/>
    </row>
    <row r="2652" spans="1:4" ht="12.75" customHeight="1" x14ac:dyDescent="0.2">
      <c r="A2652" s="22" t="str">
        <f>HYPERLINK("javascript:void(0)","élbélés")</f>
        <v>élbélés</v>
      </c>
      <c r="B2652" s="21"/>
      <c r="C2652" s="21"/>
      <c r="D2652" s="21"/>
    </row>
    <row r="2653" spans="1:4" ht="12.75" customHeight="1" x14ac:dyDescent="0.2">
      <c r="A2653" s="20"/>
      <c r="B2653" s="2"/>
      <c r="C2653" s="2"/>
      <c r="D2653" s="2"/>
    </row>
    <row r="2654" spans="1:4" ht="12.75" customHeight="1" x14ac:dyDescent="0.2">
      <c r="A2654" s="21"/>
      <c r="B2654" s="3" t="s">
        <v>0</v>
      </c>
      <c r="C2654" s="20" t="s">
        <v>999</v>
      </c>
      <c r="D2654" s="21"/>
    </row>
    <row r="2655" spans="1:4" ht="12.75" customHeight="1" x14ac:dyDescent="0.2">
      <c r="A2655" s="21"/>
      <c r="B2655" s="3" t="s">
        <v>2</v>
      </c>
      <c r="C2655" s="20" t="s">
        <v>2322</v>
      </c>
      <c r="D2655" s="21"/>
    </row>
    <row r="2656" spans="1:4" ht="12.75" customHeight="1" x14ac:dyDescent="0.2">
      <c r="A2656" s="21"/>
      <c r="B2656" s="3" t="s">
        <v>1840</v>
      </c>
      <c r="C2656" s="20" t="s">
        <v>435</v>
      </c>
      <c r="D2656" s="21"/>
    </row>
    <row r="2657" spans="1:4" ht="12.75" customHeight="1" x14ac:dyDescent="0.2">
      <c r="A2657" s="21"/>
      <c r="B2657" s="3" t="s">
        <v>9</v>
      </c>
      <c r="C2657" s="20" t="s">
        <v>172</v>
      </c>
      <c r="D2657" s="21"/>
    </row>
    <row r="2658" spans="1:4" ht="12.75" customHeight="1" x14ac:dyDescent="0.2">
      <c r="A2658" s="21"/>
      <c r="B2658" s="3" t="s">
        <v>11</v>
      </c>
      <c r="C2658" s="20" t="s">
        <v>2506</v>
      </c>
      <c r="D2658" s="21"/>
    </row>
    <row r="2659" spans="1:4" ht="12.75" customHeight="1" x14ac:dyDescent="0.2">
      <c r="A2659" s="21"/>
      <c r="B2659" s="3" t="s">
        <v>16</v>
      </c>
      <c r="C2659" s="20"/>
      <c r="D2659" s="21"/>
    </row>
    <row r="2660" spans="1:4" ht="12.75" customHeight="1" x14ac:dyDescent="0.2">
      <c r="A2660" s="21"/>
      <c r="B2660" s="3" t="s">
        <v>17</v>
      </c>
      <c r="C2660" s="20" t="s">
        <v>19</v>
      </c>
      <c r="D2660" s="21"/>
    </row>
    <row r="2661" spans="1:4" ht="12.75" customHeight="1" x14ac:dyDescent="0.2">
      <c r="A2661" s="21"/>
      <c r="B2661" s="20" t="s">
        <v>18</v>
      </c>
      <c r="C2661" s="4" t="s">
        <v>67</v>
      </c>
      <c r="D2661" s="6" t="str">
        <f>HYPERLINK("javascript:void(0)","négyél")</f>
        <v>négyél</v>
      </c>
    </row>
    <row r="2662" spans="1:4" ht="12.75" customHeight="1" x14ac:dyDescent="0.2">
      <c r="A2662" s="21"/>
      <c r="B2662" s="21"/>
      <c r="C2662" s="4" t="s">
        <v>420</v>
      </c>
      <c r="D2662" s="6" t="str">
        <f>HYPERLINK("javascript:void(0)","angyalhaj")</f>
        <v>angyalhaj</v>
      </c>
    </row>
    <row r="2663" spans="1:4" ht="12.75" customHeight="1" x14ac:dyDescent="0.2">
      <c r="A2663" s="21"/>
      <c r="B2663" s="21"/>
      <c r="C2663" s="4" t="s">
        <v>420</v>
      </c>
      <c r="D2663" s="6" t="str">
        <f>HYPERLINK("javascript:void(0)","ördögpihe")</f>
        <v>ördögpihe</v>
      </c>
    </row>
    <row r="2664" spans="1:4" ht="12.75" customHeight="1" x14ac:dyDescent="0.2">
      <c r="A2664" s="21"/>
      <c r="B2664" s="2"/>
      <c r="C2664" s="2"/>
      <c r="D2664" s="2"/>
    </row>
    <row r="2665" spans="1:4" ht="12.75" customHeight="1" x14ac:dyDescent="0.2">
      <c r="A2665" s="21"/>
      <c r="B2665" s="2"/>
      <c r="C2665" s="2"/>
      <c r="D2665" s="2"/>
    </row>
    <row r="2666" spans="1:4" ht="12.75" customHeight="1" x14ac:dyDescent="0.2">
      <c r="A2666" s="21"/>
      <c r="B2666" s="2"/>
      <c r="C2666" s="2"/>
      <c r="D2666" s="2"/>
    </row>
    <row r="2667" spans="1:4" ht="12.75" customHeight="1" x14ac:dyDescent="0.2">
      <c r="A2667" s="21"/>
      <c r="B2667" s="2"/>
      <c r="C2667" s="2"/>
      <c r="D2667" s="2"/>
    </row>
    <row r="2668" spans="1:4" ht="12.75" customHeight="1" x14ac:dyDescent="0.2">
      <c r="A2668" s="5"/>
      <c r="B2668" s="2"/>
      <c r="C2668" s="2"/>
      <c r="D2668" s="2"/>
    </row>
    <row r="2669" spans="1:4" ht="12.75" customHeight="1" x14ac:dyDescent="0.2">
      <c r="A2669" s="22" t="str">
        <f>HYPERLINK("javascript:void(0)","ködpáncél")</f>
        <v>ködpáncél</v>
      </c>
      <c r="B2669" s="21"/>
      <c r="C2669" s="21"/>
      <c r="D2669" s="21"/>
    </row>
    <row r="2670" spans="1:4" ht="12.75" customHeight="1" x14ac:dyDescent="0.2">
      <c r="A2670" s="20"/>
      <c r="B2670" s="2"/>
      <c r="C2670" s="2"/>
      <c r="D2670" s="2"/>
    </row>
    <row r="2671" spans="1:4" ht="12.75" customHeight="1" x14ac:dyDescent="0.2">
      <c r="A2671" s="21"/>
      <c r="B2671" s="3" t="s">
        <v>0</v>
      </c>
      <c r="C2671" s="20" t="s">
        <v>1012</v>
      </c>
      <c r="D2671" s="21"/>
    </row>
    <row r="2672" spans="1:4" ht="12.75" customHeight="1" x14ac:dyDescent="0.2">
      <c r="A2672" s="21"/>
      <c r="B2672" s="3" t="s">
        <v>2</v>
      </c>
      <c r="C2672" s="20" t="s">
        <v>2322</v>
      </c>
      <c r="D2672" s="21"/>
    </row>
    <row r="2673" spans="1:4" ht="12.75" customHeight="1" x14ac:dyDescent="0.2">
      <c r="A2673" s="21"/>
      <c r="B2673" s="3" t="s">
        <v>1840</v>
      </c>
      <c r="C2673" s="20" t="s">
        <v>348</v>
      </c>
      <c r="D2673" s="21"/>
    </row>
    <row r="2674" spans="1:4" ht="12.75" customHeight="1" x14ac:dyDescent="0.2">
      <c r="A2674" s="21"/>
      <c r="B2674" s="3" t="s">
        <v>9</v>
      </c>
      <c r="C2674" s="20" t="s">
        <v>2511</v>
      </c>
      <c r="D2674" s="21"/>
    </row>
    <row r="2675" spans="1:4" ht="12.75" customHeight="1" x14ac:dyDescent="0.2">
      <c r="A2675" s="21"/>
      <c r="B2675" s="3" t="s">
        <v>11</v>
      </c>
      <c r="C2675" s="20" t="s">
        <v>1509</v>
      </c>
      <c r="D2675" s="21"/>
    </row>
    <row r="2676" spans="1:4" ht="12.75" customHeight="1" x14ac:dyDescent="0.2">
      <c r="A2676" s="21"/>
      <c r="B2676" s="3" t="s">
        <v>16</v>
      </c>
      <c r="C2676" s="20"/>
      <c r="D2676" s="21"/>
    </row>
    <row r="2677" spans="1:4" ht="12.75" customHeight="1" x14ac:dyDescent="0.2">
      <c r="A2677" s="21"/>
      <c r="B2677" s="3" t="s">
        <v>17</v>
      </c>
      <c r="C2677" s="20" t="s">
        <v>19</v>
      </c>
      <c r="D2677" s="21"/>
    </row>
    <row r="2678" spans="1:4" ht="12.75" customHeight="1" x14ac:dyDescent="0.2">
      <c r="A2678" s="21"/>
      <c r="B2678" s="20" t="s">
        <v>18</v>
      </c>
      <c r="C2678" s="4" t="s">
        <v>265</v>
      </c>
      <c r="D2678" s="6" t="str">
        <f>HYPERLINK("javascript:void(0)","ködpikkely")</f>
        <v>ködpikkely</v>
      </c>
    </row>
    <row r="2679" spans="1:4" ht="12.75" customHeight="1" x14ac:dyDescent="0.2">
      <c r="A2679" s="21"/>
      <c r="B2679" s="21"/>
      <c r="C2679" s="4" t="s">
        <v>228</v>
      </c>
      <c r="D2679" s="6" t="str">
        <f>HYPERLINK("javascript:void(0)","kártyalap")</f>
        <v>kártyalap</v>
      </c>
    </row>
    <row r="2680" spans="1:4" ht="12.75" customHeight="1" x14ac:dyDescent="0.2">
      <c r="A2680" s="21"/>
      <c r="B2680" s="21"/>
      <c r="C2680" s="4" t="s">
        <v>44</v>
      </c>
      <c r="D2680" s="6" t="str">
        <f>HYPERLINK("javascript:void(0)","teljes élvért")</f>
        <v>teljes élvért</v>
      </c>
    </row>
    <row r="2681" spans="1:4" ht="12.75" customHeight="1" x14ac:dyDescent="0.2">
      <c r="A2681" s="21"/>
      <c r="B2681" s="2"/>
      <c r="C2681" s="2"/>
      <c r="D2681" s="2"/>
    </row>
    <row r="2682" spans="1:4" ht="12.75" customHeight="1" x14ac:dyDescent="0.2">
      <c r="A2682" s="21"/>
      <c r="B2682" s="2"/>
      <c r="C2682" s="2"/>
      <c r="D2682" s="2"/>
    </row>
    <row r="2683" spans="1:4" ht="12.75" customHeight="1" x14ac:dyDescent="0.2">
      <c r="A2683" s="21"/>
      <c r="B2683" s="2"/>
      <c r="C2683" s="2"/>
      <c r="D2683" s="2"/>
    </row>
    <row r="2684" spans="1:4" ht="12.75" customHeight="1" x14ac:dyDescent="0.2">
      <c r="A2684" s="21"/>
      <c r="B2684" s="2"/>
      <c r="C2684" s="2"/>
      <c r="D2684" s="2"/>
    </row>
    <row r="2685" spans="1:4" ht="12.75" customHeight="1" x14ac:dyDescent="0.2">
      <c r="A2685" s="5"/>
      <c r="B2685" s="2"/>
      <c r="C2685" s="2"/>
      <c r="D2685" s="2"/>
    </row>
    <row r="2686" spans="1:4" ht="12.75" customHeight="1" x14ac:dyDescent="0.2">
      <c r="A2686" s="22" t="str">
        <f>HYPERLINK("javascript:void(0)","gólempáncél")</f>
        <v>gólempáncél</v>
      </c>
      <c r="B2686" s="21"/>
      <c r="C2686" s="21"/>
      <c r="D2686" s="21"/>
    </row>
    <row r="2687" spans="1:4" ht="12.75" customHeight="1" x14ac:dyDescent="0.2">
      <c r="A2687" s="20"/>
      <c r="B2687" s="2"/>
      <c r="C2687" s="2"/>
      <c r="D2687" s="2"/>
    </row>
    <row r="2688" spans="1:4" ht="12.75" customHeight="1" x14ac:dyDescent="0.2">
      <c r="A2688" s="21"/>
      <c r="B2688" s="3" t="s">
        <v>0</v>
      </c>
      <c r="C2688" s="20" t="s">
        <v>91</v>
      </c>
      <c r="D2688" s="21"/>
    </row>
    <row r="2689" spans="1:4" ht="12.75" customHeight="1" x14ac:dyDescent="0.2">
      <c r="A2689" s="21"/>
      <c r="B2689" s="3" t="s">
        <v>2</v>
      </c>
      <c r="C2689" s="20" t="s">
        <v>2322</v>
      </c>
      <c r="D2689" s="21"/>
    </row>
    <row r="2690" spans="1:4" ht="12.75" customHeight="1" x14ac:dyDescent="0.2">
      <c r="A2690" s="21"/>
      <c r="B2690" s="3" t="s">
        <v>1840</v>
      </c>
      <c r="C2690" s="20" t="s">
        <v>2512</v>
      </c>
      <c r="D2690" s="21"/>
    </row>
    <row r="2691" spans="1:4" ht="12.75" customHeight="1" x14ac:dyDescent="0.2">
      <c r="A2691" s="21"/>
      <c r="B2691" s="3" t="s">
        <v>9</v>
      </c>
      <c r="C2691" s="20" t="s">
        <v>2102</v>
      </c>
      <c r="D2691" s="21"/>
    </row>
    <row r="2692" spans="1:4" ht="12.75" customHeight="1" x14ac:dyDescent="0.2">
      <c r="A2692" s="21"/>
      <c r="B2692" s="3" t="s">
        <v>11</v>
      </c>
      <c r="C2692" s="20" t="s">
        <v>1674</v>
      </c>
      <c r="D2692" s="21"/>
    </row>
    <row r="2693" spans="1:4" ht="12.75" customHeight="1" x14ac:dyDescent="0.2">
      <c r="A2693" s="21"/>
      <c r="B2693" s="3" t="s">
        <v>16</v>
      </c>
      <c r="C2693" s="20"/>
      <c r="D2693" s="21"/>
    </row>
    <row r="2694" spans="1:4" ht="12.75" customHeight="1" x14ac:dyDescent="0.2">
      <c r="A2694" s="21"/>
      <c r="B2694" s="3" t="s">
        <v>17</v>
      </c>
      <c r="C2694" s="20" t="s">
        <v>19</v>
      </c>
      <c r="D2694" s="21"/>
    </row>
    <row r="2695" spans="1:4" ht="12.75" customHeight="1" x14ac:dyDescent="0.2">
      <c r="A2695" s="21"/>
      <c r="B2695" s="20" t="s">
        <v>18</v>
      </c>
      <c r="C2695" s="4" t="s">
        <v>309</v>
      </c>
      <c r="D2695" s="6" t="str">
        <f>HYPERLINK("javascript:void(0)","ködpikkely")</f>
        <v>ködpikkely</v>
      </c>
    </row>
    <row r="2696" spans="1:4" ht="12.75" customHeight="1" x14ac:dyDescent="0.2">
      <c r="A2696" s="21"/>
      <c r="B2696" s="21"/>
      <c r="C2696" s="4" t="s">
        <v>244</v>
      </c>
      <c r="D2696" s="6" t="str">
        <f>HYPERLINK("javascript:void(0)","monsztabéklyó")</f>
        <v>monsztabéklyó</v>
      </c>
    </row>
    <row r="2697" spans="1:4" ht="12.75" customHeight="1" x14ac:dyDescent="0.2">
      <c r="A2697" s="21"/>
      <c r="B2697" s="21"/>
      <c r="C2697" s="4" t="s">
        <v>67</v>
      </c>
      <c r="D2697" s="6" t="str">
        <f>HYPERLINK("javascript:void(0)","gólemamulett")</f>
        <v>gólemamulett</v>
      </c>
    </row>
    <row r="2698" spans="1:4" ht="12.75" customHeight="1" x14ac:dyDescent="0.2">
      <c r="A2698" s="21"/>
      <c r="B2698" s="2"/>
      <c r="C2698" s="2"/>
      <c r="D2698" s="2"/>
    </row>
    <row r="2699" spans="1:4" ht="12.75" customHeight="1" x14ac:dyDescent="0.2">
      <c r="A2699" s="21"/>
      <c r="B2699" s="2"/>
      <c r="C2699" s="2"/>
      <c r="D2699" s="2"/>
    </row>
    <row r="2700" spans="1:4" ht="12.75" customHeight="1" x14ac:dyDescent="0.2">
      <c r="A2700" s="21"/>
      <c r="B2700" s="2"/>
      <c r="C2700" s="2"/>
      <c r="D2700" s="2"/>
    </row>
    <row r="2701" spans="1:4" ht="12.75" customHeight="1" x14ac:dyDescent="0.2">
      <c r="A2701" s="21"/>
      <c r="B2701" s="2"/>
      <c r="C2701" s="2"/>
      <c r="D2701" s="2"/>
    </row>
    <row r="2702" spans="1:4" ht="12.75" customHeight="1" x14ac:dyDescent="0.2">
      <c r="A2702" s="5"/>
      <c r="B2702" s="2"/>
      <c r="C2702" s="2"/>
      <c r="D2702" s="2"/>
    </row>
    <row r="2703" spans="1:4" ht="12.75" customHeight="1" x14ac:dyDescent="0.2">
      <c r="A2703" s="22" t="str">
        <f>HYPERLINK("javascript:void(0)","teljes gólemvért")</f>
        <v>teljes gólemvért</v>
      </c>
      <c r="B2703" s="21"/>
      <c r="C2703" s="21"/>
      <c r="D2703" s="21"/>
    </row>
    <row r="2704" spans="1:4" ht="12.75" customHeight="1" x14ac:dyDescent="0.2">
      <c r="A2704" s="20"/>
      <c r="B2704" s="2"/>
      <c r="C2704" s="2"/>
      <c r="D2704" s="2"/>
    </row>
    <row r="2705" spans="1:4" ht="12.75" customHeight="1" x14ac:dyDescent="0.2">
      <c r="A2705" s="21"/>
      <c r="B2705" s="3" t="s">
        <v>0</v>
      </c>
      <c r="C2705" s="20" t="s">
        <v>1032</v>
      </c>
      <c r="D2705" s="21"/>
    </row>
    <row r="2706" spans="1:4" ht="12.75" customHeight="1" x14ac:dyDescent="0.2">
      <c r="A2706" s="21"/>
      <c r="B2706" s="3" t="s">
        <v>2</v>
      </c>
      <c r="C2706" s="20" t="s">
        <v>2322</v>
      </c>
      <c r="D2706" s="21"/>
    </row>
    <row r="2707" spans="1:4" ht="12.75" customHeight="1" x14ac:dyDescent="0.2">
      <c r="A2707" s="21"/>
      <c r="B2707" s="3" t="s">
        <v>1840</v>
      </c>
      <c r="C2707" s="20" t="s">
        <v>2513</v>
      </c>
      <c r="D2707" s="21"/>
    </row>
    <row r="2708" spans="1:4" ht="12.75" customHeight="1" x14ac:dyDescent="0.2">
      <c r="A2708" s="21"/>
      <c r="B2708" s="3" t="s">
        <v>9</v>
      </c>
      <c r="C2708" s="20" t="s">
        <v>2287</v>
      </c>
      <c r="D2708" s="21"/>
    </row>
    <row r="2709" spans="1:4" ht="12.75" customHeight="1" x14ac:dyDescent="0.2">
      <c r="A2709" s="21"/>
      <c r="B2709" s="3" t="s">
        <v>11</v>
      </c>
      <c r="C2709" s="20" t="s">
        <v>1520</v>
      </c>
      <c r="D2709" s="21"/>
    </row>
    <row r="2710" spans="1:4" ht="12.75" customHeight="1" x14ac:dyDescent="0.2">
      <c r="A2710" s="21"/>
      <c r="B2710" s="3" t="s">
        <v>16</v>
      </c>
      <c r="C2710" s="20"/>
      <c r="D2710" s="21"/>
    </row>
    <row r="2711" spans="1:4" ht="12.75" customHeight="1" x14ac:dyDescent="0.2">
      <c r="A2711" s="21"/>
      <c r="B2711" s="3" t="s">
        <v>17</v>
      </c>
      <c r="C2711" s="20" t="s">
        <v>19</v>
      </c>
      <c r="D2711" s="21"/>
    </row>
    <row r="2712" spans="1:4" ht="12.75" customHeight="1" x14ac:dyDescent="0.2">
      <c r="A2712" s="21"/>
      <c r="B2712" s="20" t="s">
        <v>18</v>
      </c>
      <c r="C2712" s="4" t="s">
        <v>44</v>
      </c>
      <c r="D2712" s="6" t="str">
        <f>HYPERLINK("javascript:void(0)","ködpáncél")</f>
        <v>ködpáncél</v>
      </c>
    </row>
    <row r="2713" spans="1:4" ht="12.75" customHeight="1" x14ac:dyDescent="0.2">
      <c r="A2713" s="21"/>
      <c r="B2713" s="21"/>
      <c r="C2713" s="4" t="s">
        <v>44</v>
      </c>
      <c r="D2713" s="6" t="str">
        <f>HYPERLINK("javascript:void(0)","jelmellény")</f>
        <v>jelmellény</v>
      </c>
    </row>
    <row r="2714" spans="1:4" ht="12.75" customHeight="1" x14ac:dyDescent="0.2">
      <c r="A2714" s="21"/>
      <c r="B2714" s="21"/>
      <c r="C2714" s="4" t="s">
        <v>44</v>
      </c>
      <c r="D2714" s="6" t="str">
        <f>HYPERLINK("javascript:void(0)","gólempáncél")</f>
        <v>gólempáncél</v>
      </c>
    </row>
    <row r="2715" spans="1:4" ht="12.75" customHeight="1" x14ac:dyDescent="0.2">
      <c r="A2715" s="21"/>
      <c r="B2715" s="2"/>
      <c r="C2715" s="2"/>
      <c r="D2715" s="2"/>
    </row>
    <row r="2716" spans="1:4" ht="12.75" customHeight="1" x14ac:dyDescent="0.2">
      <c r="A2716" s="21"/>
      <c r="B2716" s="2"/>
      <c r="C2716" s="2"/>
      <c r="D2716" s="2"/>
    </row>
    <row r="2717" spans="1:4" ht="12.75" customHeight="1" x14ac:dyDescent="0.2">
      <c r="A2717" s="21"/>
      <c r="B2717" s="2"/>
      <c r="C2717" s="2"/>
      <c r="D2717" s="2"/>
    </row>
    <row r="2718" spans="1:4" ht="12.75" customHeight="1" x14ac:dyDescent="0.2">
      <c r="A2718" s="21"/>
      <c r="B2718" s="2"/>
      <c r="C2718" s="2"/>
      <c r="D2718" s="2"/>
    </row>
    <row r="2719" spans="1:4" ht="12.75" customHeight="1" x14ac:dyDescent="0.2">
      <c r="A2719" s="5"/>
      <c r="B2719" s="2"/>
      <c r="C2719" s="2"/>
      <c r="D2719" s="2"/>
    </row>
    <row r="2720" spans="1:4" ht="12.75" customHeight="1" x14ac:dyDescent="0.2">
      <c r="A2720" s="22" t="str">
        <f>HYPERLINK("javascript:void(0)","jelmellény")</f>
        <v>jelmellény</v>
      </c>
      <c r="B2720" s="21"/>
      <c r="C2720" s="21"/>
      <c r="D2720" s="21"/>
    </row>
    <row r="2721" spans="1:4" ht="12.75" customHeight="1" x14ac:dyDescent="0.2">
      <c r="A2721" s="20"/>
      <c r="B2721" s="2"/>
      <c r="C2721" s="2"/>
      <c r="D2721" s="2"/>
    </row>
    <row r="2722" spans="1:4" ht="12.75" customHeight="1" x14ac:dyDescent="0.2">
      <c r="A2722" s="21"/>
      <c r="B2722" s="3" t="s">
        <v>0</v>
      </c>
      <c r="C2722" s="20" t="s">
        <v>1032</v>
      </c>
      <c r="D2722" s="21"/>
    </row>
    <row r="2723" spans="1:4" ht="12.75" customHeight="1" x14ac:dyDescent="0.2">
      <c r="A2723" s="21"/>
      <c r="B2723" s="3" t="s">
        <v>2</v>
      </c>
      <c r="C2723" s="20" t="s">
        <v>2322</v>
      </c>
      <c r="D2723" s="21"/>
    </row>
    <row r="2724" spans="1:4" ht="12.75" customHeight="1" x14ac:dyDescent="0.2">
      <c r="A2724" s="21"/>
      <c r="B2724" s="3" t="s">
        <v>1840</v>
      </c>
      <c r="C2724" s="20" t="s">
        <v>213</v>
      </c>
      <c r="D2724" s="21"/>
    </row>
    <row r="2725" spans="1:4" ht="12.75" customHeight="1" x14ac:dyDescent="0.2">
      <c r="A2725" s="21"/>
      <c r="B2725" s="3" t="s">
        <v>9</v>
      </c>
      <c r="C2725" s="20" t="s">
        <v>172</v>
      </c>
      <c r="D2725" s="21"/>
    </row>
    <row r="2726" spans="1:4" ht="12.75" customHeight="1" x14ac:dyDescent="0.2">
      <c r="A2726" s="21"/>
      <c r="B2726" s="3" t="s">
        <v>11</v>
      </c>
      <c r="C2726" s="20" t="s">
        <v>2506</v>
      </c>
      <c r="D2726" s="21"/>
    </row>
    <row r="2727" spans="1:4" ht="12.75" customHeight="1" x14ac:dyDescent="0.2">
      <c r="A2727" s="21"/>
      <c r="B2727" s="3" t="s">
        <v>16</v>
      </c>
      <c r="C2727" s="20"/>
      <c r="D2727" s="21"/>
    </row>
    <row r="2728" spans="1:4" ht="12.75" customHeight="1" x14ac:dyDescent="0.2">
      <c r="A2728" s="21"/>
      <c r="B2728" s="3" t="s">
        <v>17</v>
      </c>
      <c r="C2728" s="20" t="s">
        <v>19</v>
      </c>
      <c r="D2728" s="21"/>
    </row>
    <row r="2729" spans="1:4" ht="12.75" customHeight="1" x14ac:dyDescent="0.2">
      <c r="A2729" s="21"/>
      <c r="B2729" s="20" t="s">
        <v>18</v>
      </c>
      <c r="C2729" s="4" t="s">
        <v>331</v>
      </c>
      <c r="D2729" s="6" t="str">
        <f>HYPERLINK("javascript:void(0)","békítő")</f>
        <v>békítő</v>
      </c>
    </row>
    <row r="2730" spans="1:4" ht="12.75" customHeight="1" x14ac:dyDescent="0.2">
      <c r="A2730" s="21"/>
      <c r="B2730" s="21"/>
      <c r="C2730" s="4" t="s">
        <v>403</v>
      </c>
      <c r="D2730" s="6" t="str">
        <f>HYPERLINK("javascript:void(0)","pálha")</f>
        <v>pálha</v>
      </c>
    </row>
    <row r="2731" spans="1:4" ht="12.75" customHeight="1" x14ac:dyDescent="0.2">
      <c r="A2731" s="21"/>
      <c r="B2731" s="21"/>
      <c r="C2731" s="4" t="s">
        <v>244</v>
      </c>
      <c r="D2731" s="6" t="str">
        <f>HYPERLINK("javascript:void(0)","orrkarika")</f>
        <v>orrkarika</v>
      </c>
    </row>
    <row r="2732" spans="1:4" ht="12.75" customHeight="1" x14ac:dyDescent="0.2">
      <c r="A2732" s="21"/>
      <c r="B2732" s="2"/>
      <c r="C2732" s="2"/>
      <c r="D2732" s="2"/>
    </row>
    <row r="2733" spans="1:4" ht="12.75" customHeight="1" x14ac:dyDescent="0.2">
      <c r="A2733" s="21"/>
      <c r="B2733" s="2"/>
      <c r="C2733" s="2"/>
      <c r="D2733" s="2"/>
    </row>
    <row r="2734" spans="1:4" ht="12.75" customHeight="1" x14ac:dyDescent="0.2">
      <c r="A2734" s="21"/>
      <c r="B2734" s="2"/>
      <c r="C2734" s="2"/>
      <c r="D2734" s="2"/>
    </row>
    <row r="2735" spans="1:4" ht="12.75" customHeight="1" x14ac:dyDescent="0.2">
      <c r="A2735" s="21"/>
      <c r="B2735" s="2"/>
      <c r="C2735" s="2"/>
      <c r="D2735" s="2"/>
    </row>
    <row r="2736" spans="1:4" ht="12.75" customHeight="1" x14ac:dyDescent="0.2">
      <c r="A2736" s="5"/>
      <c r="B2736" s="2"/>
      <c r="C2736" s="2"/>
      <c r="D2736" s="2"/>
    </row>
    <row r="2737" spans="1:4" ht="12.75" customHeight="1" x14ac:dyDescent="0.2">
      <c r="A2737" s="22" t="str">
        <f>HYPERLINK("javascript:void(0)","dobpáncél")</f>
        <v>dobpáncél</v>
      </c>
      <c r="B2737" s="21"/>
      <c r="C2737" s="21"/>
      <c r="D2737" s="21"/>
    </row>
    <row r="2738" spans="1:4" ht="12.75" customHeight="1" x14ac:dyDescent="0.2">
      <c r="A2738" s="20"/>
      <c r="B2738" s="2"/>
      <c r="C2738" s="2"/>
      <c r="D2738" s="2"/>
    </row>
    <row r="2739" spans="1:4" ht="12.75" customHeight="1" x14ac:dyDescent="0.2">
      <c r="A2739" s="21"/>
      <c r="B2739" s="3" t="s">
        <v>0</v>
      </c>
      <c r="C2739" s="20" t="s">
        <v>99</v>
      </c>
      <c r="D2739" s="21"/>
    </row>
    <row r="2740" spans="1:4" ht="12.75" customHeight="1" x14ac:dyDescent="0.2">
      <c r="A2740" s="21"/>
      <c r="B2740" s="3" t="s">
        <v>2</v>
      </c>
      <c r="C2740" s="20" t="s">
        <v>2322</v>
      </c>
      <c r="D2740" s="21"/>
    </row>
    <row r="2741" spans="1:4" ht="12.75" customHeight="1" x14ac:dyDescent="0.2">
      <c r="A2741" s="21"/>
      <c r="B2741" s="3" t="s">
        <v>1840</v>
      </c>
      <c r="C2741" s="20" t="s">
        <v>2514</v>
      </c>
      <c r="D2741" s="21"/>
    </row>
    <row r="2742" spans="1:4" ht="12.75" customHeight="1" x14ac:dyDescent="0.2">
      <c r="A2742" s="21"/>
      <c r="B2742" s="3" t="s">
        <v>9</v>
      </c>
      <c r="C2742" s="20" t="s">
        <v>113</v>
      </c>
      <c r="D2742" s="21"/>
    </row>
    <row r="2743" spans="1:4" ht="12.75" customHeight="1" x14ac:dyDescent="0.2">
      <c r="A2743" s="21"/>
      <c r="B2743" s="3" t="s">
        <v>11</v>
      </c>
      <c r="C2743" s="20" t="s">
        <v>2160</v>
      </c>
      <c r="D2743" s="21"/>
    </row>
    <row r="2744" spans="1:4" ht="12.75" customHeight="1" x14ac:dyDescent="0.2">
      <c r="A2744" s="21"/>
      <c r="B2744" s="3" t="s">
        <v>16</v>
      </c>
      <c r="C2744" s="20"/>
      <c r="D2744" s="21"/>
    </row>
    <row r="2745" spans="1:4" ht="12.75" customHeight="1" x14ac:dyDescent="0.2">
      <c r="A2745" s="21"/>
      <c r="B2745" s="3" t="s">
        <v>17</v>
      </c>
      <c r="C2745" s="20" t="s">
        <v>19</v>
      </c>
      <c r="D2745" s="21"/>
    </row>
    <row r="2746" spans="1:4" ht="12.75" customHeight="1" x14ac:dyDescent="0.2">
      <c r="A2746" s="21"/>
      <c r="B2746" s="20" t="s">
        <v>18</v>
      </c>
      <c r="C2746" s="4" t="s">
        <v>44</v>
      </c>
      <c r="D2746" s="6" t="str">
        <f>HYPERLINK("javascript:void(0)","teljes gólemvért")</f>
        <v>teljes gólemvért</v>
      </c>
    </row>
    <row r="2747" spans="1:4" ht="12.75" customHeight="1" x14ac:dyDescent="0.2">
      <c r="A2747" s="21"/>
      <c r="B2747" s="21"/>
      <c r="C2747" s="4" t="s">
        <v>98</v>
      </c>
      <c r="D2747" s="6" t="str">
        <f>HYPERLINK("javascript:void(0)","kártyalap")</f>
        <v>kártyalap</v>
      </c>
    </row>
    <row r="2748" spans="1:4" ht="12.75" customHeight="1" x14ac:dyDescent="0.2">
      <c r="A2748" s="21"/>
      <c r="B2748" s="21"/>
      <c r="C2748" s="4" t="s">
        <v>265</v>
      </c>
      <c r="D2748" s="6" t="str">
        <f>HYPERLINK("javascript:void(0)","dobverő")</f>
        <v>dobverő</v>
      </c>
    </row>
    <row r="2749" spans="1:4" ht="12.75" customHeight="1" x14ac:dyDescent="0.2">
      <c r="A2749" s="21"/>
      <c r="B2749" s="2"/>
      <c r="C2749" s="2"/>
      <c r="D2749" s="2"/>
    </row>
    <row r="2750" spans="1:4" ht="12.75" customHeight="1" x14ac:dyDescent="0.2">
      <c r="A2750" s="21"/>
      <c r="B2750" s="2"/>
      <c r="C2750" s="2"/>
      <c r="D2750" s="2"/>
    </row>
    <row r="2751" spans="1:4" ht="12.75" customHeight="1" x14ac:dyDescent="0.2">
      <c r="A2751" s="21"/>
      <c r="B2751" s="2"/>
      <c r="C2751" s="2"/>
      <c r="D2751" s="2"/>
    </row>
    <row r="2752" spans="1:4" ht="12.75" customHeight="1" x14ac:dyDescent="0.2">
      <c r="A2752" s="21"/>
      <c r="B2752" s="2"/>
      <c r="C2752" s="2"/>
      <c r="D2752" s="2"/>
    </row>
    <row r="2753" spans="1:4" ht="12.75" customHeight="1" x14ac:dyDescent="0.2">
      <c r="A2753" s="5"/>
      <c r="B2753" s="2"/>
      <c r="C2753" s="2"/>
      <c r="D2753" s="2"/>
    </row>
    <row r="2754" spans="1:4" ht="12.75" customHeight="1" x14ac:dyDescent="0.2">
      <c r="A2754" s="22" t="str">
        <f>HYPERLINK("javascript:void(0)","csillámló kompozitpáncél")</f>
        <v>csillámló kompozitpáncél</v>
      </c>
      <c r="B2754" s="21"/>
      <c r="C2754" s="21"/>
      <c r="D2754" s="21"/>
    </row>
    <row r="2755" spans="1:4" ht="12.75" customHeight="1" x14ac:dyDescent="0.2">
      <c r="A2755" s="20"/>
      <c r="B2755" s="2"/>
      <c r="C2755" s="2"/>
      <c r="D2755" s="2"/>
    </row>
    <row r="2756" spans="1:4" ht="12.75" customHeight="1" x14ac:dyDescent="0.2">
      <c r="A2756" s="21"/>
      <c r="B2756" s="3" t="s">
        <v>0</v>
      </c>
      <c r="C2756" s="20" t="s">
        <v>99</v>
      </c>
      <c r="D2756" s="21"/>
    </row>
    <row r="2757" spans="1:4" ht="12.75" customHeight="1" x14ac:dyDescent="0.2">
      <c r="A2757" s="21"/>
      <c r="B2757" s="3" t="s">
        <v>2</v>
      </c>
      <c r="C2757" s="20" t="s">
        <v>2322</v>
      </c>
      <c r="D2757" s="21"/>
    </row>
    <row r="2758" spans="1:4" ht="12.75" customHeight="1" x14ac:dyDescent="0.2">
      <c r="A2758" s="21"/>
      <c r="B2758" s="3" t="s">
        <v>1840</v>
      </c>
      <c r="C2758" s="20" t="s">
        <v>1857</v>
      </c>
      <c r="D2758" s="21"/>
    </row>
    <row r="2759" spans="1:4" ht="12.75" customHeight="1" x14ac:dyDescent="0.2">
      <c r="A2759" s="21"/>
      <c r="B2759" s="3" t="s">
        <v>9</v>
      </c>
      <c r="C2759" s="20" t="s">
        <v>1286</v>
      </c>
      <c r="D2759" s="21"/>
    </row>
    <row r="2760" spans="1:4" ht="12.75" customHeight="1" x14ac:dyDescent="0.2">
      <c r="A2760" s="21"/>
      <c r="B2760" s="3" t="s">
        <v>11</v>
      </c>
      <c r="C2760" s="20" t="s">
        <v>2160</v>
      </c>
      <c r="D2760" s="21"/>
    </row>
    <row r="2761" spans="1:4" ht="12.75" customHeight="1" x14ac:dyDescent="0.2">
      <c r="A2761" s="21"/>
      <c r="B2761" s="3" t="s">
        <v>16</v>
      </c>
      <c r="C2761" s="20"/>
      <c r="D2761" s="21"/>
    </row>
    <row r="2762" spans="1:4" ht="12.75" customHeight="1" x14ac:dyDescent="0.2">
      <c r="A2762" s="21"/>
      <c r="B2762" s="3" t="s">
        <v>17</v>
      </c>
      <c r="C2762" s="20" t="s">
        <v>19</v>
      </c>
      <c r="D2762" s="21"/>
    </row>
    <row r="2763" spans="1:4" ht="12.75" customHeight="1" x14ac:dyDescent="0.2">
      <c r="A2763" s="21"/>
      <c r="B2763" s="20" t="s">
        <v>18</v>
      </c>
      <c r="C2763" s="4" t="s">
        <v>57</v>
      </c>
      <c r="D2763" s="6" t="str">
        <f>HYPERLINK("javascript:void(0)","csillámgöb")</f>
        <v>csillámgöb</v>
      </c>
    </row>
    <row r="2764" spans="1:4" ht="12.75" customHeight="1" x14ac:dyDescent="0.2">
      <c r="A2764" s="21"/>
      <c r="B2764" s="21"/>
      <c r="C2764" s="4" t="s">
        <v>44</v>
      </c>
      <c r="D2764" s="6" t="str">
        <f>HYPERLINK("javascript:void(0)","csillámló yetipáncél")</f>
        <v>csillámló yetipáncél</v>
      </c>
    </row>
    <row r="2765" spans="1:4" ht="12.75" customHeight="1" x14ac:dyDescent="0.2">
      <c r="A2765" s="21"/>
      <c r="B2765" s="21"/>
      <c r="C2765" s="4" t="s">
        <v>193</v>
      </c>
      <c r="D2765" s="6" t="str">
        <f>HYPERLINK("javascript:void(0)","vérrög")</f>
        <v>vérrög</v>
      </c>
    </row>
    <row r="2766" spans="1:4" ht="12.75" customHeight="1" x14ac:dyDescent="0.2">
      <c r="A2766" s="21"/>
      <c r="B2766" s="2"/>
      <c r="C2766" s="2"/>
      <c r="D2766" s="2"/>
    </row>
    <row r="2767" spans="1:4" ht="12.75" customHeight="1" x14ac:dyDescent="0.2">
      <c r="A2767" s="21"/>
      <c r="B2767" s="2"/>
      <c r="C2767" s="2"/>
      <c r="D2767" s="2"/>
    </row>
    <row r="2768" spans="1:4" ht="12.75" customHeight="1" x14ac:dyDescent="0.2">
      <c r="A2768" s="21"/>
      <c r="B2768" s="2"/>
      <c r="C2768" s="2"/>
      <c r="D2768" s="2"/>
    </row>
    <row r="2769" spans="1:4" ht="12.75" customHeight="1" x14ac:dyDescent="0.2">
      <c r="A2769" s="21"/>
      <c r="B2769" s="2"/>
      <c r="C2769" s="2"/>
      <c r="D2769" s="2"/>
    </row>
    <row r="2770" spans="1:4" ht="12.75" customHeight="1" x14ac:dyDescent="0.2">
      <c r="A2770" s="5"/>
      <c r="B2770" s="2"/>
      <c r="C2770" s="2"/>
      <c r="D2770" s="2"/>
    </row>
    <row r="2771" spans="1:4" ht="12.75" customHeight="1" x14ac:dyDescent="0.2">
      <c r="A2771" s="22" t="str">
        <f>HYPERLINK("javascript:void(0)","pántpáncél")</f>
        <v>pántpáncél</v>
      </c>
      <c r="B2771" s="21"/>
      <c r="C2771" s="21"/>
      <c r="D2771" s="21"/>
    </row>
    <row r="2772" spans="1:4" ht="12.75" customHeight="1" x14ac:dyDescent="0.2">
      <c r="A2772" s="20"/>
      <c r="B2772" s="2"/>
      <c r="C2772" s="2"/>
      <c r="D2772" s="2"/>
    </row>
    <row r="2773" spans="1:4" ht="12.75" customHeight="1" x14ac:dyDescent="0.2">
      <c r="A2773" s="21"/>
      <c r="B2773" s="3" t="s">
        <v>0</v>
      </c>
      <c r="C2773" s="20" t="s">
        <v>341</v>
      </c>
      <c r="D2773" s="21"/>
    </row>
    <row r="2774" spans="1:4" ht="12.75" customHeight="1" x14ac:dyDescent="0.2">
      <c r="A2774" s="21"/>
      <c r="B2774" s="3" t="s">
        <v>2</v>
      </c>
      <c r="C2774" s="20" t="s">
        <v>2322</v>
      </c>
      <c r="D2774" s="21"/>
    </row>
    <row r="2775" spans="1:4" ht="12.75" customHeight="1" x14ac:dyDescent="0.2">
      <c r="A2775" s="21"/>
      <c r="B2775" s="3" t="s">
        <v>1840</v>
      </c>
      <c r="C2775" s="20" t="s">
        <v>2515</v>
      </c>
      <c r="D2775" s="21"/>
    </row>
    <row r="2776" spans="1:4" ht="12.75" customHeight="1" x14ac:dyDescent="0.2">
      <c r="A2776" s="21"/>
      <c r="B2776" s="3" t="s">
        <v>9</v>
      </c>
      <c r="C2776" s="20" t="s">
        <v>2049</v>
      </c>
      <c r="D2776" s="21"/>
    </row>
    <row r="2777" spans="1:4" ht="12.75" customHeight="1" x14ac:dyDescent="0.2">
      <c r="A2777" s="21"/>
      <c r="B2777" s="3" t="s">
        <v>11</v>
      </c>
      <c r="C2777" s="20" t="s">
        <v>1029</v>
      </c>
      <c r="D2777" s="21"/>
    </row>
    <row r="2778" spans="1:4" ht="12.75" customHeight="1" x14ac:dyDescent="0.2">
      <c r="A2778" s="21"/>
      <c r="B2778" s="3" t="s">
        <v>16</v>
      </c>
      <c r="C2778" s="20"/>
      <c r="D2778" s="21"/>
    </row>
    <row r="2779" spans="1:4" ht="12.75" customHeight="1" x14ac:dyDescent="0.2">
      <c r="A2779" s="21"/>
      <c r="B2779" s="3" t="s">
        <v>17</v>
      </c>
      <c r="C2779" s="20" t="s">
        <v>19</v>
      </c>
      <c r="D2779" s="21"/>
    </row>
    <row r="2780" spans="1:4" ht="12.75" customHeight="1" x14ac:dyDescent="0.2">
      <c r="A2780" s="21"/>
      <c r="B2780" s="20" t="s">
        <v>18</v>
      </c>
      <c r="C2780" s="4" t="s">
        <v>244</v>
      </c>
      <c r="D2780" s="6" t="str">
        <f>HYPERLINK("javascript:void(0)","cingulum")</f>
        <v>cingulum</v>
      </c>
    </row>
    <row r="2781" spans="1:4" ht="12.75" customHeight="1" x14ac:dyDescent="0.2">
      <c r="A2781" s="21"/>
      <c r="B2781" s="21"/>
      <c r="C2781" s="4" t="s">
        <v>290</v>
      </c>
      <c r="D2781" s="6" t="str">
        <f>HYPERLINK("javascript:void(0)","fülcsáp")</f>
        <v>fülcsáp</v>
      </c>
    </row>
    <row r="2782" spans="1:4" ht="12.75" customHeight="1" x14ac:dyDescent="0.2">
      <c r="A2782" s="21"/>
      <c r="B2782" s="21"/>
      <c r="C2782" s="4" t="s">
        <v>786</v>
      </c>
      <c r="D2782" s="6" t="str">
        <f>HYPERLINK("javascript:void(0)","ködpikkely")</f>
        <v>ködpikkely</v>
      </c>
    </row>
    <row r="2783" spans="1:4" ht="12.75" customHeight="1" x14ac:dyDescent="0.2">
      <c r="A2783" s="21"/>
      <c r="B2783" s="2"/>
      <c r="C2783" s="2"/>
      <c r="D2783" s="2"/>
    </row>
    <row r="2784" spans="1:4" ht="12.75" customHeight="1" x14ac:dyDescent="0.2">
      <c r="A2784" s="21"/>
      <c r="B2784" s="2"/>
      <c r="C2784" s="2"/>
      <c r="D2784" s="2"/>
    </row>
    <row r="2785" spans="1:4" ht="12.75" customHeight="1" x14ac:dyDescent="0.2">
      <c r="A2785" s="21"/>
      <c r="B2785" s="2"/>
      <c r="C2785" s="2"/>
      <c r="D2785" s="2"/>
    </row>
    <row r="2786" spans="1:4" ht="12.75" customHeight="1" x14ac:dyDescent="0.2">
      <c r="A2786" s="21"/>
      <c r="B2786" s="2"/>
      <c r="C2786" s="2"/>
      <c r="D2786" s="2"/>
    </row>
    <row r="2787" spans="1:4" ht="12.75" customHeight="1" x14ac:dyDescent="0.2">
      <c r="A2787" s="5"/>
      <c r="B2787" s="2"/>
      <c r="C2787" s="2"/>
      <c r="D2787" s="2"/>
    </row>
    <row r="2788" spans="1:4" ht="12.75" customHeight="1" x14ac:dyDescent="0.2">
      <c r="A2788" s="22" t="str">
        <f>HYPERLINK("javascript:void(0)","lélekpáncél")</f>
        <v>lélekpáncél</v>
      </c>
      <c r="B2788" s="21"/>
      <c r="C2788" s="21"/>
      <c r="D2788" s="21"/>
    </row>
    <row r="2789" spans="1:4" ht="12.75" customHeight="1" x14ac:dyDescent="0.2">
      <c r="A2789" s="20"/>
      <c r="B2789" s="2"/>
      <c r="C2789" s="2"/>
      <c r="D2789" s="2"/>
    </row>
    <row r="2790" spans="1:4" ht="12.75" customHeight="1" x14ac:dyDescent="0.2">
      <c r="A2790" s="21"/>
      <c r="B2790" s="3" t="s">
        <v>0</v>
      </c>
      <c r="C2790" s="20" t="s">
        <v>1060</v>
      </c>
      <c r="D2790" s="21"/>
    </row>
    <row r="2791" spans="1:4" ht="12.75" customHeight="1" x14ac:dyDescent="0.2">
      <c r="A2791" s="21"/>
      <c r="B2791" s="3" t="s">
        <v>2</v>
      </c>
      <c r="C2791" s="20" t="s">
        <v>2322</v>
      </c>
      <c r="D2791" s="21"/>
    </row>
    <row r="2792" spans="1:4" ht="12.75" customHeight="1" x14ac:dyDescent="0.2">
      <c r="A2792" s="21"/>
      <c r="B2792" s="3" t="s">
        <v>1840</v>
      </c>
      <c r="C2792" s="20" t="s">
        <v>359</v>
      </c>
      <c r="D2792" s="21"/>
    </row>
    <row r="2793" spans="1:4" ht="12.75" customHeight="1" x14ac:dyDescent="0.2">
      <c r="A2793" s="21"/>
      <c r="B2793" s="3" t="s">
        <v>9</v>
      </c>
      <c r="C2793" s="20" t="s">
        <v>210</v>
      </c>
      <c r="D2793" s="21"/>
    </row>
    <row r="2794" spans="1:4" ht="12.75" customHeight="1" x14ac:dyDescent="0.2">
      <c r="A2794" s="21"/>
      <c r="B2794" s="3" t="s">
        <v>11</v>
      </c>
      <c r="C2794" s="20" t="s">
        <v>2164</v>
      </c>
      <c r="D2794" s="21"/>
    </row>
    <row r="2795" spans="1:4" ht="12.75" customHeight="1" x14ac:dyDescent="0.2">
      <c r="A2795" s="21"/>
      <c r="B2795" s="3" t="s">
        <v>16</v>
      </c>
      <c r="C2795" s="20"/>
      <c r="D2795" s="21"/>
    </row>
    <row r="2796" spans="1:4" ht="12.75" customHeight="1" x14ac:dyDescent="0.2">
      <c r="A2796" s="21"/>
      <c r="B2796" s="3" t="s">
        <v>17</v>
      </c>
      <c r="C2796" s="20" t="s">
        <v>19</v>
      </c>
      <c r="D2796" s="21"/>
    </row>
    <row r="2797" spans="1:4" ht="12.75" customHeight="1" x14ac:dyDescent="0.2">
      <c r="A2797" s="21"/>
      <c r="B2797" s="20" t="s">
        <v>18</v>
      </c>
      <c r="C2797" s="4" t="s">
        <v>44</v>
      </c>
      <c r="D2797" s="6" t="str">
        <f>HYPERLINK("javascript:void(0)","pántpáncél")</f>
        <v>pántpáncél</v>
      </c>
    </row>
    <row r="2798" spans="1:4" ht="12.75" customHeight="1" x14ac:dyDescent="0.2">
      <c r="A2798" s="21"/>
      <c r="B2798" s="21"/>
      <c r="C2798" s="4" t="s">
        <v>44</v>
      </c>
      <c r="D2798" s="6" t="str">
        <f>HYPERLINK("javascript:void(0)","dobpáncél")</f>
        <v>dobpáncél</v>
      </c>
    </row>
    <row r="2799" spans="1:4" ht="12.75" customHeight="1" x14ac:dyDescent="0.2">
      <c r="A2799" s="21"/>
      <c r="B2799" s="21"/>
      <c r="C2799" s="4" t="s">
        <v>44</v>
      </c>
      <c r="D2799" s="6" t="str">
        <f>HYPERLINK("javascript:void(0)","lélekmellény")</f>
        <v>lélekmellény</v>
      </c>
    </row>
    <row r="2800" spans="1:4" ht="12.75" customHeight="1" x14ac:dyDescent="0.2">
      <c r="A2800" s="21"/>
      <c r="B2800" s="2"/>
      <c r="C2800" s="2"/>
      <c r="D2800" s="2"/>
    </row>
    <row r="2801" spans="1:4" ht="12.75" customHeight="1" x14ac:dyDescent="0.2">
      <c r="A2801" s="21"/>
      <c r="B2801" s="2"/>
      <c r="C2801" s="2"/>
      <c r="D2801" s="2"/>
    </row>
    <row r="2802" spans="1:4" ht="12.75" customHeight="1" x14ac:dyDescent="0.2">
      <c r="A2802" s="21"/>
      <c r="B2802" s="2"/>
      <c r="C2802" s="2"/>
      <c r="D2802" s="2"/>
    </row>
    <row r="2803" spans="1:4" ht="12.75" customHeight="1" x14ac:dyDescent="0.2">
      <c r="A2803" s="21"/>
      <c r="B2803" s="2"/>
      <c r="C2803" s="2"/>
      <c r="D2803" s="2"/>
    </row>
    <row r="2804" spans="1:4" ht="12.75" customHeight="1" x14ac:dyDescent="0.2">
      <c r="A2804" s="5"/>
      <c r="B2804" s="2"/>
      <c r="C2804" s="2"/>
      <c r="D2804" s="2"/>
    </row>
    <row r="2805" spans="1:4" ht="12.75" customHeight="1" x14ac:dyDescent="0.2">
      <c r="A2805" s="22" t="str">
        <f>HYPERLINK("javascript:void(0)","lélekmellény")</f>
        <v>lélekmellény</v>
      </c>
      <c r="B2805" s="21"/>
      <c r="C2805" s="21"/>
      <c r="D2805" s="21"/>
    </row>
    <row r="2806" spans="1:4" ht="12.75" customHeight="1" x14ac:dyDescent="0.2">
      <c r="A2806" s="20"/>
      <c r="B2806" s="2"/>
      <c r="C2806" s="2"/>
      <c r="D2806" s="2"/>
    </row>
    <row r="2807" spans="1:4" ht="12.75" customHeight="1" x14ac:dyDescent="0.2">
      <c r="A2807" s="21"/>
      <c r="B2807" s="3" t="s">
        <v>0</v>
      </c>
      <c r="C2807" s="20" t="s">
        <v>1060</v>
      </c>
      <c r="D2807" s="21"/>
    </row>
    <row r="2808" spans="1:4" ht="12.75" customHeight="1" x14ac:dyDescent="0.2">
      <c r="A2808" s="21"/>
      <c r="B2808" s="3" t="s">
        <v>2</v>
      </c>
      <c r="C2808" s="20" t="s">
        <v>2322</v>
      </c>
      <c r="D2808" s="21"/>
    </row>
    <row r="2809" spans="1:4" ht="12.75" customHeight="1" x14ac:dyDescent="0.2">
      <c r="A2809" s="21"/>
      <c r="B2809" s="3" t="s">
        <v>1840</v>
      </c>
      <c r="C2809" s="20" t="s">
        <v>223</v>
      </c>
      <c r="D2809" s="21"/>
    </row>
    <row r="2810" spans="1:4" ht="12.75" customHeight="1" x14ac:dyDescent="0.2">
      <c r="A2810" s="21"/>
      <c r="B2810" s="3" t="s">
        <v>9</v>
      </c>
      <c r="C2810" s="20" t="s">
        <v>172</v>
      </c>
      <c r="D2810" s="21"/>
    </row>
    <row r="2811" spans="1:4" ht="12.75" customHeight="1" x14ac:dyDescent="0.2">
      <c r="A2811" s="21"/>
      <c r="B2811" s="3" t="s">
        <v>11</v>
      </c>
      <c r="C2811" s="20" t="s">
        <v>2516</v>
      </c>
      <c r="D2811" s="21"/>
    </row>
    <row r="2812" spans="1:4" ht="12.75" customHeight="1" x14ac:dyDescent="0.2">
      <c r="A2812" s="21"/>
      <c r="B2812" s="3" t="s">
        <v>16</v>
      </c>
      <c r="C2812" s="20"/>
      <c r="D2812" s="21"/>
    </row>
    <row r="2813" spans="1:4" ht="12.75" customHeight="1" x14ac:dyDescent="0.2">
      <c r="A2813" s="21"/>
      <c r="B2813" s="3" t="s">
        <v>17</v>
      </c>
      <c r="C2813" s="20" t="s">
        <v>19</v>
      </c>
      <c r="D2813" s="21"/>
    </row>
    <row r="2814" spans="1:4" ht="12.75" customHeight="1" x14ac:dyDescent="0.2">
      <c r="A2814" s="21"/>
      <c r="B2814" s="20" t="s">
        <v>18</v>
      </c>
      <c r="C2814" s="4" t="s">
        <v>244</v>
      </c>
      <c r="D2814" s="6" t="str">
        <f>HYPERLINK("javascript:void(0)","lélekfodor")</f>
        <v>lélekfodor</v>
      </c>
    </row>
    <row r="2815" spans="1:4" ht="12.75" customHeight="1" x14ac:dyDescent="0.2">
      <c r="A2815" s="21"/>
      <c r="B2815" s="21"/>
      <c r="C2815" s="4" t="s">
        <v>420</v>
      </c>
      <c r="D2815" s="6" t="str">
        <f>HYPERLINK("javascript:void(0)","ködpikkely")</f>
        <v>ködpikkely</v>
      </c>
    </row>
    <row r="2816" spans="1:4" ht="12.75" customHeight="1" x14ac:dyDescent="0.2">
      <c r="A2816" s="21"/>
      <c r="B2816" s="21"/>
      <c r="C2816" s="4" t="s">
        <v>163</v>
      </c>
      <c r="D2816" s="6" t="str">
        <f>HYPERLINK("javascript:void(0)","pálha")</f>
        <v>pálha</v>
      </c>
    </row>
    <row r="2817" spans="1:4" ht="12.75" customHeight="1" x14ac:dyDescent="0.2">
      <c r="A2817" s="21"/>
      <c r="B2817" s="2"/>
      <c r="C2817" s="2"/>
      <c r="D2817" s="2"/>
    </row>
    <row r="2818" spans="1:4" ht="12.75" customHeight="1" x14ac:dyDescent="0.2">
      <c r="A2818" s="21"/>
      <c r="B2818" s="2"/>
      <c r="C2818" s="2"/>
      <c r="D2818" s="2"/>
    </row>
    <row r="2819" spans="1:4" ht="12.75" customHeight="1" x14ac:dyDescent="0.2">
      <c r="A2819" s="21"/>
      <c r="B2819" s="2"/>
      <c r="C2819" s="2"/>
      <c r="D2819" s="2"/>
    </row>
    <row r="2820" spans="1:4" ht="12.75" customHeight="1" x14ac:dyDescent="0.2">
      <c r="A2820" s="21"/>
      <c r="B2820" s="2"/>
      <c r="C2820" s="2"/>
      <c r="D2820" s="2"/>
    </row>
    <row r="2821" spans="1:4" ht="12.75" customHeight="1" x14ac:dyDescent="0.2">
      <c r="A2821" s="5"/>
      <c r="B2821" s="2"/>
      <c r="C2821" s="2"/>
      <c r="D2821" s="2"/>
    </row>
    <row r="2822" spans="1:4" ht="12.75" customHeight="1" x14ac:dyDescent="0.2">
      <c r="A2822" s="22" t="str">
        <f>HYPERLINK("javascript:void(0)","lélekvért")</f>
        <v>lélekvért</v>
      </c>
      <c r="B2822" s="21"/>
      <c r="C2822" s="21"/>
      <c r="D2822" s="21"/>
    </row>
    <row r="2823" spans="1:4" ht="12.75" customHeight="1" x14ac:dyDescent="0.2">
      <c r="A2823" s="20"/>
      <c r="B2823" s="2"/>
      <c r="C2823" s="2"/>
      <c r="D2823" s="2"/>
    </row>
    <row r="2824" spans="1:4" ht="12.75" customHeight="1" x14ac:dyDescent="0.2">
      <c r="A2824" s="21"/>
      <c r="B2824" s="3" t="s">
        <v>0</v>
      </c>
      <c r="C2824" s="20" t="s">
        <v>95</v>
      </c>
      <c r="D2824" s="21"/>
    </row>
    <row r="2825" spans="1:4" ht="12.75" customHeight="1" x14ac:dyDescent="0.2">
      <c r="A2825" s="21"/>
      <c r="B2825" s="3" t="s">
        <v>2</v>
      </c>
      <c r="C2825" s="20" t="s">
        <v>2322</v>
      </c>
      <c r="D2825" s="21"/>
    </row>
    <row r="2826" spans="1:4" ht="12.75" customHeight="1" x14ac:dyDescent="0.2">
      <c r="A2826" s="21"/>
      <c r="B2826" s="3" t="s">
        <v>1840</v>
      </c>
      <c r="C2826" s="20" t="s">
        <v>1854</v>
      </c>
      <c r="D2826" s="21"/>
    </row>
    <row r="2827" spans="1:4" ht="12.75" customHeight="1" x14ac:dyDescent="0.2">
      <c r="A2827" s="21"/>
      <c r="B2827" s="3" t="s">
        <v>9</v>
      </c>
      <c r="C2827" s="20" t="s">
        <v>1481</v>
      </c>
      <c r="D2827" s="21"/>
    </row>
    <row r="2828" spans="1:4" ht="12.75" customHeight="1" x14ac:dyDescent="0.2">
      <c r="A2828" s="21"/>
      <c r="B2828" s="3" t="s">
        <v>11</v>
      </c>
      <c r="C2828" s="20" t="s">
        <v>1544</v>
      </c>
      <c r="D2828" s="21"/>
    </row>
    <row r="2829" spans="1:4" ht="12.75" customHeight="1" x14ac:dyDescent="0.2">
      <c r="A2829" s="21"/>
      <c r="B2829" s="3" t="s">
        <v>16</v>
      </c>
      <c r="C2829" s="20"/>
      <c r="D2829" s="21"/>
    </row>
    <row r="2830" spans="1:4" ht="12.75" customHeight="1" x14ac:dyDescent="0.2">
      <c r="A2830" s="21"/>
      <c r="B2830" s="3" t="s">
        <v>17</v>
      </c>
      <c r="C2830" s="20" t="s">
        <v>19</v>
      </c>
      <c r="D2830" s="21"/>
    </row>
    <row r="2831" spans="1:4" ht="12.75" customHeight="1" x14ac:dyDescent="0.2">
      <c r="A2831" s="21"/>
      <c r="B2831" s="20" t="s">
        <v>18</v>
      </c>
      <c r="C2831" s="4" t="s">
        <v>139</v>
      </c>
      <c r="D2831" s="6" t="str">
        <f>HYPERLINK("javascript:void(0)","dobkarika")</f>
        <v>dobkarika</v>
      </c>
    </row>
    <row r="2832" spans="1:4" ht="12.75" customHeight="1" x14ac:dyDescent="0.2">
      <c r="A2832" s="21"/>
      <c r="B2832" s="21"/>
      <c r="C2832" s="4" t="s">
        <v>269</v>
      </c>
      <c r="D2832" s="6" t="str">
        <f>HYPERLINK("javascript:void(0)","zászlórúd")</f>
        <v>zászlórúd</v>
      </c>
    </row>
    <row r="2833" spans="1:4" ht="12.75" customHeight="1" x14ac:dyDescent="0.2">
      <c r="A2833" s="21"/>
      <c r="B2833" s="21"/>
      <c r="C2833" s="4" t="s">
        <v>44</v>
      </c>
      <c r="D2833" s="6" t="str">
        <f>HYPERLINK("javascript:void(0)","lélekpáncél")</f>
        <v>lélekpáncél</v>
      </c>
    </row>
    <row r="2834" spans="1:4" ht="12.75" customHeight="1" x14ac:dyDescent="0.2">
      <c r="A2834" s="21"/>
      <c r="B2834" s="2"/>
      <c r="C2834" s="2"/>
      <c r="D2834" s="2"/>
    </row>
    <row r="2835" spans="1:4" ht="12.75" customHeight="1" x14ac:dyDescent="0.2">
      <c r="A2835" s="21"/>
      <c r="B2835" s="2"/>
      <c r="C2835" s="2"/>
      <c r="D2835" s="2"/>
    </row>
    <row r="2836" spans="1:4" ht="12.75" customHeight="1" x14ac:dyDescent="0.2">
      <c r="A2836" s="21"/>
      <c r="B2836" s="2"/>
      <c r="C2836" s="2"/>
      <c r="D2836" s="2"/>
    </row>
    <row r="2837" spans="1:4" ht="12.75" customHeight="1" x14ac:dyDescent="0.2">
      <c r="A2837" s="21"/>
      <c r="B2837" s="2"/>
      <c r="C2837" s="2"/>
      <c r="D2837" s="2"/>
    </row>
    <row r="2838" spans="1:4" ht="12.75" customHeight="1" x14ac:dyDescent="0.2">
      <c r="A2838" s="5"/>
      <c r="B2838" s="2"/>
      <c r="C2838" s="2"/>
      <c r="D2838" s="2"/>
    </row>
    <row r="2839" spans="1:4" ht="12.75" customHeight="1" x14ac:dyDescent="0.2">
      <c r="A2839" s="22" t="str">
        <f>HYPERLINK("javascript:void(0)","suhanóvért")</f>
        <v>suhanóvért</v>
      </c>
      <c r="B2839" s="21"/>
      <c r="C2839" s="21"/>
      <c r="D2839" s="21"/>
    </row>
    <row r="2840" spans="1:4" ht="12.75" customHeight="1" x14ac:dyDescent="0.2">
      <c r="A2840" s="20"/>
      <c r="B2840" s="2"/>
      <c r="C2840" s="2"/>
      <c r="D2840" s="2"/>
    </row>
    <row r="2841" spans="1:4" ht="12.75" customHeight="1" x14ac:dyDescent="0.2">
      <c r="A2841" s="21"/>
      <c r="B2841" s="3" t="s">
        <v>0</v>
      </c>
      <c r="C2841" s="20" t="s">
        <v>336</v>
      </c>
      <c r="D2841" s="21"/>
    </row>
    <row r="2842" spans="1:4" ht="12.75" customHeight="1" x14ac:dyDescent="0.2">
      <c r="A2842" s="21"/>
      <c r="B2842" s="3" t="s">
        <v>2</v>
      </c>
      <c r="C2842" s="20" t="s">
        <v>2322</v>
      </c>
      <c r="D2842" s="21"/>
    </row>
    <row r="2843" spans="1:4" ht="12.75" customHeight="1" x14ac:dyDescent="0.2">
      <c r="A2843" s="21"/>
      <c r="B2843" s="3" t="s">
        <v>1840</v>
      </c>
      <c r="C2843" s="20" t="s">
        <v>2517</v>
      </c>
      <c r="D2843" s="21"/>
    </row>
    <row r="2844" spans="1:4" ht="12.75" customHeight="1" x14ac:dyDescent="0.2">
      <c r="A2844" s="21"/>
      <c r="B2844" s="3" t="s">
        <v>9</v>
      </c>
      <c r="C2844" s="20" t="s">
        <v>1454</v>
      </c>
      <c r="D2844" s="21"/>
    </row>
    <row r="2845" spans="1:4" ht="12.75" customHeight="1" x14ac:dyDescent="0.2">
      <c r="A2845" s="21"/>
      <c r="B2845" s="3" t="s">
        <v>11</v>
      </c>
      <c r="C2845" s="20" t="s">
        <v>2175</v>
      </c>
      <c r="D2845" s="21"/>
    </row>
    <row r="2846" spans="1:4" ht="12.75" customHeight="1" x14ac:dyDescent="0.2">
      <c r="A2846" s="21"/>
      <c r="B2846" s="3" t="s">
        <v>16</v>
      </c>
      <c r="C2846" s="20"/>
      <c r="D2846" s="21"/>
    </row>
    <row r="2847" spans="1:4" ht="12.75" customHeight="1" x14ac:dyDescent="0.2">
      <c r="A2847" s="21"/>
      <c r="B2847" s="3" t="s">
        <v>17</v>
      </c>
      <c r="C2847" s="20" t="s">
        <v>19</v>
      </c>
      <c r="D2847" s="21"/>
    </row>
    <row r="2848" spans="1:4" ht="12.75" customHeight="1" x14ac:dyDescent="0.2">
      <c r="A2848" s="21"/>
      <c r="B2848" s="20" t="s">
        <v>18</v>
      </c>
      <c r="C2848" s="4" t="s">
        <v>244</v>
      </c>
      <c r="D2848" s="6" t="str">
        <f>HYPERLINK("javascript:void(0)","suhanás")</f>
        <v>suhanás</v>
      </c>
    </row>
    <row r="2849" spans="1:4" ht="12.75" customHeight="1" x14ac:dyDescent="0.2">
      <c r="A2849" s="21"/>
      <c r="B2849" s="21"/>
      <c r="C2849" s="4" t="s">
        <v>403</v>
      </c>
      <c r="D2849" s="6" t="str">
        <f>HYPERLINK("javascript:void(0)","nekroige")</f>
        <v>nekroige</v>
      </c>
    </row>
    <row r="2850" spans="1:4" ht="12.75" customHeight="1" x14ac:dyDescent="0.2">
      <c r="A2850" s="21"/>
      <c r="B2850" s="21"/>
      <c r="C2850" s="4" t="s">
        <v>780</v>
      </c>
      <c r="D2850" s="6" t="str">
        <f>HYPERLINK("javascript:void(0)","lélekfodor")</f>
        <v>lélekfodor</v>
      </c>
    </row>
    <row r="2851" spans="1:4" ht="12.75" customHeight="1" x14ac:dyDescent="0.2">
      <c r="A2851" s="21"/>
      <c r="B2851" s="2"/>
      <c r="C2851" s="2"/>
      <c r="D2851" s="2"/>
    </row>
    <row r="2852" spans="1:4" ht="12.75" customHeight="1" x14ac:dyDescent="0.2">
      <c r="A2852" s="21"/>
      <c r="B2852" s="2"/>
      <c r="C2852" s="2"/>
      <c r="D2852" s="2"/>
    </row>
    <row r="2853" spans="1:4" ht="12.75" customHeight="1" x14ac:dyDescent="0.2">
      <c r="A2853" s="21"/>
      <c r="B2853" s="2"/>
      <c r="C2853" s="2"/>
      <c r="D2853" s="2"/>
    </row>
    <row r="2854" spans="1:4" ht="12.75" customHeight="1" x14ac:dyDescent="0.2">
      <c r="A2854" s="21"/>
      <c r="B2854" s="2"/>
      <c r="C2854" s="2"/>
      <c r="D2854" s="2"/>
    </row>
    <row r="2855" spans="1:4" ht="12.75" customHeight="1" x14ac:dyDescent="0.2">
      <c r="A2855" s="5"/>
      <c r="B2855" s="2"/>
      <c r="C2855" s="2"/>
      <c r="D2855" s="2"/>
    </row>
    <row r="2856" spans="1:4" ht="12.75" customHeight="1" x14ac:dyDescent="0.2">
      <c r="A2856" s="22" t="str">
        <f>HYPERLINK("javascript:void(0)","tüskepáncél")</f>
        <v>tüskepáncél</v>
      </c>
      <c r="B2856" s="21"/>
      <c r="C2856" s="21"/>
      <c r="D2856" s="21"/>
    </row>
    <row r="2857" spans="1:4" ht="12.75" customHeight="1" x14ac:dyDescent="0.2">
      <c r="A2857" s="20"/>
      <c r="B2857" s="2"/>
      <c r="C2857" s="2"/>
      <c r="D2857" s="2"/>
    </row>
    <row r="2858" spans="1:4" ht="12.75" customHeight="1" x14ac:dyDescent="0.2">
      <c r="A2858" s="21"/>
      <c r="B2858" s="3" t="s">
        <v>0</v>
      </c>
      <c r="C2858" s="20" t="s">
        <v>347</v>
      </c>
      <c r="D2858" s="21"/>
    </row>
    <row r="2859" spans="1:4" ht="12.75" customHeight="1" x14ac:dyDescent="0.2">
      <c r="A2859" s="21"/>
      <c r="B2859" s="3" t="s">
        <v>2</v>
      </c>
      <c r="C2859" s="20" t="s">
        <v>2322</v>
      </c>
      <c r="D2859" s="21"/>
    </row>
    <row r="2860" spans="1:4" ht="12.75" customHeight="1" x14ac:dyDescent="0.2">
      <c r="A2860" s="21"/>
      <c r="B2860" s="3" t="s">
        <v>1840</v>
      </c>
      <c r="C2860" s="20" t="s">
        <v>2518</v>
      </c>
      <c r="D2860" s="21"/>
    </row>
    <row r="2861" spans="1:4" ht="12.75" customHeight="1" x14ac:dyDescent="0.2">
      <c r="A2861" s="21"/>
      <c r="B2861" s="3" t="s">
        <v>9</v>
      </c>
      <c r="C2861" s="20" t="s">
        <v>2155</v>
      </c>
      <c r="D2861" s="21"/>
    </row>
    <row r="2862" spans="1:4" ht="12.75" customHeight="1" x14ac:dyDescent="0.2">
      <c r="A2862" s="21"/>
      <c r="B2862" s="3" t="s">
        <v>11</v>
      </c>
      <c r="C2862" s="20" t="s">
        <v>1553</v>
      </c>
      <c r="D2862" s="21"/>
    </row>
    <row r="2863" spans="1:4" ht="12.75" customHeight="1" x14ac:dyDescent="0.2">
      <c r="A2863" s="21"/>
      <c r="B2863" s="3" t="s">
        <v>16</v>
      </c>
      <c r="C2863" s="20"/>
      <c r="D2863" s="21"/>
    </row>
    <row r="2864" spans="1:4" ht="12.75" customHeight="1" x14ac:dyDescent="0.2">
      <c r="A2864" s="21"/>
      <c r="B2864" s="3" t="s">
        <v>17</v>
      </c>
      <c r="C2864" s="20" t="s">
        <v>19</v>
      </c>
      <c r="D2864" s="21"/>
    </row>
    <row r="2865" spans="1:4" ht="12.75" customHeight="1" x14ac:dyDescent="0.2">
      <c r="A2865" s="21"/>
      <c r="B2865" s="20" t="s">
        <v>18</v>
      </c>
      <c r="C2865" s="4" t="s">
        <v>44</v>
      </c>
      <c r="D2865" s="6" t="str">
        <f>HYPERLINK("javascript:void(0)","lélekvért")</f>
        <v>lélekvért</v>
      </c>
    </row>
    <row r="2866" spans="1:4" ht="12.75" customHeight="1" x14ac:dyDescent="0.2">
      <c r="A2866" s="21"/>
      <c r="B2866" s="21"/>
      <c r="C2866" s="4" t="s">
        <v>44</v>
      </c>
      <c r="D2866" s="6" t="str">
        <f>HYPERLINK("javascript:void(0)","suhanóvért")</f>
        <v>suhanóvért</v>
      </c>
    </row>
    <row r="2867" spans="1:4" ht="12.75" customHeight="1" x14ac:dyDescent="0.2">
      <c r="A2867" s="21"/>
      <c r="B2867" s="21"/>
      <c r="C2867" s="4" t="s">
        <v>44</v>
      </c>
      <c r="D2867" s="6" t="str">
        <f>HYPERLINK("javascript:void(0)","tüskebélés")</f>
        <v>tüskebélés</v>
      </c>
    </row>
    <row r="2868" spans="1:4" ht="12.75" customHeight="1" x14ac:dyDescent="0.2">
      <c r="A2868" s="21"/>
      <c r="B2868" s="2"/>
      <c r="C2868" s="2"/>
      <c r="D2868" s="2"/>
    </row>
    <row r="2869" spans="1:4" ht="12.75" customHeight="1" x14ac:dyDescent="0.2">
      <c r="A2869" s="21"/>
      <c r="B2869" s="2"/>
      <c r="C2869" s="2"/>
      <c r="D2869" s="2"/>
    </row>
    <row r="2870" spans="1:4" ht="12.75" customHeight="1" x14ac:dyDescent="0.2">
      <c r="A2870" s="21"/>
      <c r="B2870" s="2"/>
      <c r="C2870" s="2"/>
      <c r="D2870" s="2"/>
    </row>
    <row r="2871" spans="1:4" ht="12.75" customHeight="1" x14ac:dyDescent="0.2">
      <c r="A2871" s="21"/>
      <c r="B2871" s="2"/>
      <c r="C2871" s="2"/>
      <c r="D2871" s="2"/>
    </row>
    <row r="2872" spans="1:4" ht="12.75" customHeight="1" x14ac:dyDescent="0.2">
      <c r="A2872" s="5"/>
      <c r="B2872" s="2"/>
      <c r="C2872" s="2"/>
      <c r="D2872" s="2"/>
    </row>
    <row r="2873" spans="1:4" ht="12.75" customHeight="1" x14ac:dyDescent="0.2">
      <c r="A2873" s="22" t="str">
        <f>HYPERLINK("javascript:void(0)","tüskebélés")</f>
        <v>tüskebélés</v>
      </c>
      <c r="B2873" s="21"/>
      <c r="C2873" s="21"/>
      <c r="D2873" s="21"/>
    </row>
    <row r="2874" spans="1:4" ht="12.75" customHeight="1" x14ac:dyDescent="0.2">
      <c r="A2874" s="20"/>
      <c r="B2874" s="2"/>
      <c r="C2874" s="2"/>
      <c r="D2874" s="2"/>
    </row>
    <row r="2875" spans="1:4" ht="12.75" customHeight="1" x14ac:dyDescent="0.2">
      <c r="A2875" s="21"/>
      <c r="B2875" s="3" t="s">
        <v>0</v>
      </c>
      <c r="C2875" s="20" t="s">
        <v>347</v>
      </c>
      <c r="D2875" s="21"/>
    </row>
    <row r="2876" spans="1:4" ht="12.75" customHeight="1" x14ac:dyDescent="0.2">
      <c r="A2876" s="21"/>
      <c r="B2876" s="3" t="s">
        <v>2</v>
      </c>
      <c r="C2876" s="20" t="s">
        <v>2322</v>
      </c>
      <c r="D2876" s="21"/>
    </row>
    <row r="2877" spans="1:4" ht="12.75" customHeight="1" x14ac:dyDescent="0.2">
      <c r="A2877" s="21"/>
      <c r="B2877" s="3" t="s">
        <v>1840</v>
      </c>
      <c r="C2877" s="20" t="s">
        <v>239</v>
      </c>
      <c r="D2877" s="21"/>
    </row>
    <row r="2878" spans="1:4" ht="12.75" customHeight="1" x14ac:dyDescent="0.2">
      <c r="A2878" s="21"/>
      <c r="B2878" s="3" t="s">
        <v>9</v>
      </c>
      <c r="C2878" s="20" t="s">
        <v>172</v>
      </c>
      <c r="D2878" s="21"/>
    </row>
    <row r="2879" spans="1:4" ht="12.75" customHeight="1" x14ac:dyDescent="0.2">
      <c r="A2879" s="21"/>
      <c r="B2879" s="3" t="s">
        <v>11</v>
      </c>
      <c r="C2879" s="20" t="s">
        <v>2519</v>
      </c>
      <c r="D2879" s="21"/>
    </row>
    <row r="2880" spans="1:4" ht="12.75" customHeight="1" x14ac:dyDescent="0.2">
      <c r="A2880" s="21"/>
      <c r="B2880" s="3" t="s">
        <v>16</v>
      </c>
      <c r="C2880" s="20"/>
      <c r="D2880" s="21"/>
    </row>
    <row r="2881" spans="1:4" ht="12.75" customHeight="1" x14ac:dyDescent="0.2">
      <c r="A2881" s="21"/>
      <c r="B2881" s="3" t="s">
        <v>17</v>
      </c>
      <c r="C2881" s="20" t="s">
        <v>19</v>
      </c>
      <c r="D2881" s="21"/>
    </row>
    <row r="2882" spans="1:4" ht="12.75" customHeight="1" x14ac:dyDescent="0.2">
      <c r="A2882" s="21"/>
      <c r="B2882" s="20" t="s">
        <v>18</v>
      </c>
      <c r="C2882" s="4" t="s">
        <v>327</v>
      </c>
      <c r="D2882" s="6" t="str">
        <f>HYPERLINK("javascript:void(0)","csatatüske")</f>
        <v>csatatüske</v>
      </c>
    </row>
    <row r="2883" spans="1:4" ht="12.75" customHeight="1" x14ac:dyDescent="0.2">
      <c r="A2883" s="21"/>
      <c r="B2883" s="21"/>
      <c r="C2883" s="4" t="s">
        <v>269</v>
      </c>
      <c r="D2883" s="6" t="str">
        <f>HYPERLINK("javascript:void(0)","dobverő")</f>
        <v>dobverő</v>
      </c>
    </row>
    <row r="2884" spans="1:4" ht="12.75" customHeight="1" x14ac:dyDescent="0.2">
      <c r="A2884" s="21"/>
      <c r="B2884" s="21"/>
      <c r="C2884" s="4" t="s">
        <v>244</v>
      </c>
      <c r="D2884" s="6" t="str">
        <f>HYPERLINK("javascript:void(0)","térszelet")</f>
        <v>térszelet</v>
      </c>
    </row>
    <row r="2885" spans="1:4" ht="12.75" customHeight="1" x14ac:dyDescent="0.2">
      <c r="A2885" s="21"/>
      <c r="B2885" s="2"/>
      <c r="C2885" s="2"/>
      <c r="D2885" s="2"/>
    </row>
    <row r="2886" spans="1:4" ht="12.75" customHeight="1" x14ac:dyDescent="0.2">
      <c r="A2886" s="21"/>
      <c r="B2886" s="2"/>
      <c r="C2886" s="2"/>
      <c r="D2886" s="2"/>
    </row>
    <row r="2887" spans="1:4" ht="12.75" customHeight="1" x14ac:dyDescent="0.2">
      <c r="A2887" s="21"/>
      <c r="B2887" s="2"/>
      <c r="C2887" s="2"/>
      <c r="D2887" s="2"/>
    </row>
    <row r="2888" spans="1:4" ht="12.75" customHeight="1" x14ac:dyDescent="0.2">
      <c r="A2888" s="21"/>
      <c r="B2888" s="2"/>
      <c r="C2888" s="2"/>
      <c r="D2888" s="2"/>
    </row>
    <row r="2889" spans="1:4" ht="12.75" customHeight="1" x14ac:dyDescent="0.2">
      <c r="A2889" s="5"/>
      <c r="B2889" s="2"/>
      <c r="C2889" s="2"/>
      <c r="D2889" s="2"/>
    </row>
    <row r="2890" spans="1:4" ht="12.75" customHeight="1" x14ac:dyDescent="0.2">
      <c r="A2890" s="22" t="str">
        <f>HYPERLINK("javascript:void(0)","csillámló patinapáncél")</f>
        <v>csillámló patinapáncél</v>
      </c>
      <c r="B2890" s="21"/>
      <c r="C2890" s="21"/>
      <c r="D2890" s="21"/>
    </row>
    <row r="2891" spans="1:4" ht="12.75" customHeight="1" x14ac:dyDescent="0.2">
      <c r="A2891" s="20"/>
      <c r="B2891" s="2"/>
      <c r="C2891" s="2"/>
      <c r="D2891" s="2"/>
    </row>
    <row r="2892" spans="1:4" ht="12.75" customHeight="1" x14ac:dyDescent="0.2">
      <c r="A2892" s="21"/>
      <c r="B2892" s="3" t="s">
        <v>0</v>
      </c>
      <c r="C2892" s="20" t="s">
        <v>347</v>
      </c>
      <c r="D2892" s="21"/>
    </row>
    <row r="2893" spans="1:4" ht="12.75" customHeight="1" x14ac:dyDescent="0.2">
      <c r="A2893" s="21"/>
      <c r="B2893" s="3" t="s">
        <v>2</v>
      </c>
      <c r="C2893" s="20" t="s">
        <v>2322</v>
      </c>
      <c r="D2893" s="21"/>
    </row>
    <row r="2894" spans="1:4" ht="12.75" customHeight="1" x14ac:dyDescent="0.2">
      <c r="A2894" s="21"/>
      <c r="B2894" s="3" t="s">
        <v>1840</v>
      </c>
      <c r="C2894" s="20" t="s">
        <v>365</v>
      </c>
      <c r="D2894" s="21"/>
    </row>
    <row r="2895" spans="1:4" ht="12.75" customHeight="1" x14ac:dyDescent="0.2">
      <c r="A2895" s="21"/>
      <c r="B2895" s="3" t="s">
        <v>9</v>
      </c>
      <c r="C2895" s="20" t="s">
        <v>2520</v>
      </c>
      <c r="D2895" s="21"/>
    </row>
    <row r="2896" spans="1:4" ht="12.75" customHeight="1" x14ac:dyDescent="0.2">
      <c r="A2896" s="21"/>
      <c r="B2896" s="3" t="s">
        <v>11</v>
      </c>
      <c r="C2896" s="20" t="s">
        <v>1553</v>
      </c>
      <c r="D2896" s="21"/>
    </row>
    <row r="2897" spans="1:4" ht="12.75" customHeight="1" x14ac:dyDescent="0.2">
      <c r="A2897" s="21"/>
      <c r="B2897" s="3" t="s">
        <v>16</v>
      </c>
      <c r="C2897" s="20"/>
      <c r="D2897" s="21"/>
    </row>
    <row r="2898" spans="1:4" ht="12.75" customHeight="1" x14ac:dyDescent="0.2">
      <c r="A2898" s="21"/>
      <c r="B2898" s="3" t="s">
        <v>17</v>
      </c>
      <c r="C2898" s="20" t="s">
        <v>19</v>
      </c>
      <c r="D2898" s="21"/>
    </row>
    <row r="2899" spans="1:4" ht="12.75" customHeight="1" x14ac:dyDescent="0.2">
      <c r="A2899" s="21"/>
      <c r="B2899" s="20" t="s">
        <v>18</v>
      </c>
      <c r="C2899" s="4" t="s">
        <v>57</v>
      </c>
      <c r="D2899" s="6" t="str">
        <f>HYPERLINK("javascript:void(0)","csillámgöb")</f>
        <v>csillámgöb</v>
      </c>
    </row>
    <row r="2900" spans="1:4" ht="25.5" customHeight="1" x14ac:dyDescent="0.2">
      <c r="A2900" s="21"/>
      <c r="B2900" s="21"/>
      <c r="C2900" s="4" t="s">
        <v>44</v>
      </c>
      <c r="D2900" s="6" t="str">
        <f>HYPERLINK("javascript:void(0)","csillámló kompozitpáncél")</f>
        <v>csillámló kompozitpáncél</v>
      </c>
    </row>
    <row r="2901" spans="1:4" ht="12.75" customHeight="1" x14ac:dyDescent="0.2">
      <c r="A2901" s="21"/>
      <c r="B2901" s="21"/>
      <c r="C2901" s="4" t="s">
        <v>327</v>
      </c>
      <c r="D2901" s="6" t="str">
        <f>HYPERLINK("javascript:void(0)","csapdaszeg")</f>
        <v>csapdaszeg</v>
      </c>
    </row>
    <row r="2902" spans="1:4" ht="12.75" customHeight="1" x14ac:dyDescent="0.2">
      <c r="A2902" s="21"/>
      <c r="B2902" s="2"/>
      <c r="C2902" s="2"/>
      <c r="D2902" s="2"/>
    </row>
    <row r="2903" spans="1:4" ht="12.75" customHeight="1" x14ac:dyDescent="0.2">
      <c r="A2903" s="21"/>
      <c r="B2903" s="2"/>
      <c r="C2903" s="2"/>
      <c r="D2903" s="2"/>
    </row>
    <row r="2904" spans="1:4" ht="12.75" customHeight="1" x14ac:dyDescent="0.2">
      <c r="A2904" s="21"/>
      <c r="B2904" s="2"/>
      <c r="C2904" s="2"/>
      <c r="D2904" s="2"/>
    </row>
    <row r="2905" spans="1:4" ht="12.75" customHeight="1" x14ac:dyDescent="0.2">
      <c r="A2905" s="21"/>
      <c r="B2905" s="2"/>
      <c r="C2905" s="2"/>
      <c r="D2905" s="2"/>
    </row>
    <row r="2906" spans="1:4" ht="12.75" customHeight="1" x14ac:dyDescent="0.2">
      <c r="A2906" s="5"/>
      <c r="B2906" s="2"/>
      <c r="C2906" s="2"/>
      <c r="D2906" s="2"/>
    </row>
    <row r="2907" spans="1:4" ht="12.75" customHeight="1" x14ac:dyDescent="0.2">
      <c r="A2907" s="22" t="str">
        <f>HYPERLINK("javascript:void(0)","gyűrüsvért")</f>
        <v>gyűrüsvért</v>
      </c>
      <c r="B2907" s="21"/>
      <c r="C2907" s="21"/>
      <c r="D2907" s="21"/>
    </row>
    <row r="2908" spans="1:4" ht="12.75" customHeight="1" x14ac:dyDescent="0.2">
      <c r="A2908" s="20"/>
      <c r="B2908" s="2"/>
      <c r="C2908" s="2"/>
      <c r="D2908" s="2"/>
    </row>
    <row r="2909" spans="1:4" ht="12.75" customHeight="1" x14ac:dyDescent="0.2">
      <c r="A2909" s="21"/>
      <c r="B2909" s="3" t="s">
        <v>0</v>
      </c>
      <c r="C2909" s="20" t="s">
        <v>312</v>
      </c>
      <c r="D2909" s="21"/>
    </row>
    <row r="2910" spans="1:4" ht="12.75" customHeight="1" x14ac:dyDescent="0.2">
      <c r="A2910" s="21"/>
      <c r="B2910" s="3" t="s">
        <v>2</v>
      </c>
      <c r="C2910" s="20" t="s">
        <v>2322</v>
      </c>
      <c r="D2910" s="21"/>
    </row>
    <row r="2911" spans="1:4" ht="12.75" customHeight="1" x14ac:dyDescent="0.2">
      <c r="A2911" s="21"/>
      <c r="B2911" s="3" t="s">
        <v>1840</v>
      </c>
      <c r="C2911" s="20" t="s">
        <v>2521</v>
      </c>
      <c r="D2911" s="21"/>
    </row>
    <row r="2912" spans="1:4" ht="12.75" customHeight="1" x14ac:dyDescent="0.2">
      <c r="A2912" s="21"/>
      <c r="B2912" s="3" t="s">
        <v>9</v>
      </c>
      <c r="C2912" s="20" t="s">
        <v>958</v>
      </c>
      <c r="D2912" s="21"/>
    </row>
    <row r="2913" spans="1:4" ht="12.75" customHeight="1" x14ac:dyDescent="0.2">
      <c r="A2913" s="21"/>
      <c r="B2913" s="3" t="s">
        <v>11</v>
      </c>
      <c r="C2913" s="20" t="s">
        <v>1040</v>
      </c>
      <c r="D2913" s="21"/>
    </row>
    <row r="2914" spans="1:4" ht="12.75" customHeight="1" x14ac:dyDescent="0.2">
      <c r="A2914" s="21"/>
      <c r="B2914" s="3" t="s">
        <v>16</v>
      </c>
      <c r="C2914" s="20"/>
      <c r="D2914" s="21"/>
    </row>
    <row r="2915" spans="1:4" ht="12.75" customHeight="1" x14ac:dyDescent="0.2">
      <c r="A2915" s="21"/>
      <c r="B2915" s="3" t="s">
        <v>17</v>
      </c>
      <c r="C2915" s="20" t="s">
        <v>19</v>
      </c>
      <c r="D2915" s="21"/>
    </row>
    <row r="2916" spans="1:4" ht="12.75" customHeight="1" x14ac:dyDescent="0.2">
      <c r="A2916" s="21"/>
      <c r="B2916" s="20" t="s">
        <v>18</v>
      </c>
      <c r="C2916" s="4" t="s">
        <v>894</v>
      </c>
      <c r="D2916" s="6" t="str">
        <f>HYPERLINK("javascript:void(0)","patkányfarok")</f>
        <v>patkányfarok</v>
      </c>
    </row>
    <row r="2917" spans="1:4" ht="12.75" customHeight="1" x14ac:dyDescent="0.2">
      <c r="A2917" s="21"/>
      <c r="B2917" s="21"/>
      <c r="C2917" s="4" t="s">
        <v>44</v>
      </c>
      <c r="D2917" s="6" t="str">
        <f>HYPERLINK("javascript:void(0)","tüskepáncél")</f>
        <v>tüskepáncél</v>
      </c>
    </row>
    <row r="2918" spans="1:4" ht="12.75" customHeight="1" x14ac:dyDescent="0.2">
      <c r="A2918" s="21"/>
      <c r="B2918" s="21"/>
      <c r="C2918" s="4" t="s">
        <v>772</v>
      </c>
      <c r="D2918" s="6" t="str">
        <f>HYPERLINK("javascript:void(0)","cingulum")</f>
        <v>cingulum</v>
      </c>
    </row>
    <row r="2919" spans="1:4" ht="12.75" customHeight="1" x14ac:dyDescent="0.2">
      <c r="A2919" s="21"/>
      <c r="B2919" s="2"/>
      <c r="C2919" s="2"/>
      <c r="D2919" s="2"/>
    </row>
    <row r="2920" spans="1:4" ht="12.75" customHeight="1" x14ac:dyDescent="0.2">
      <c r="A2920" s="21"/>
      <c r="B2920" s="2"/>
      <c r="C2920" s="2"/>
      <c r="D2920" s="2"/>
    </row>
    <row r="2921" spans="1:4" ht="12.75" customHeight="1" x14ac:dyDescent="0.2">
      <c r="A2921" s="21"/>
      <c r="B2921" s="2"/>
      <c r="C2921" s="2"/>
      <c r="D2921" s="2"/>
    </row>
    <row r="2922" spans="1:4" ht="12.75" customHeight="1" x14ac:dyDescent="0.2">
      <c r="A2922" s="21"/>
      <c r="B2922" s="2"/>
      <c r="C2922" s="2"/>
      <c r="D2922" s="2"/>
    </row>
    <row r="2923" spans="1:4" ht="12.75" customHeight="1" x14ac:dyDescent="0.2">
      <c r="A2923" s="5"/>
      <c r="B2923" s="2"/>
      <c r="C2923" s="2"/>
      <c r="D2923" s="2"/>
    </row>
    <row r="2924" spans="1:4" ht="12.75" customHeight="1" x14ac:dyDescent="0.2">
      <c r="A2924" s="22" t="str">
        <f>HYPERLINK("javascript:void(0)","méregpáncél")</f>
        <v>méregpáncél</v>
      </c>
      <c r="B2924" s="21"/>
      <c r="C2924" s="21"/>
      <c r="D2924" s="21"/>
    </row>
    <row r="2925" spans="1:4" ht="12.75" customHeight="1" x14ac:dyDescent="0.2">
      <c r="A2925" s="20"/>
      <c r="B2925" s="2"/>
      <c r="C2925" s="2"/>
      <c r="D2925" s="2"/>
    </row>
    <row r="2926" spans="1:4" ht="12.75" customHeight="1" x14ac:dyDescent="0.2">
      <c r="A2926" s="21"/>
      <c r="B2926" s="3" t="s">
        <v>0</v>
      </c>
      <c r="C2926" s="20" t="s">
        <v>305</v>
      </c>
      <c r="D2926" s="21"/>
    </row>
    <row r="2927" spans="1:4" ht="12.75" customHeight="1" x14ac:dyDescent="0.2">
      <c r="A2927" s="21"/>
      <c r="B2927" s="3" t="s">
        <v>2</v>
      </c>
      <c r="C2927" s="20" t="s">
        <v>2322</v>
      </c>
      <c r="D2927" s="21"/>
    </row>
    <row r="2928" spans="1:4" ht="12.75" customHeight="1" x14ac:dyDescent="0.2">
      <c r="A2928" s="21"/>
      <c r="B2928" s="3" t="s">
        <v>1840</v>
      </c>
      <c r="C2928" s="20" t="s">
        <v>2522</v>
      </c>
      <c r="D2928" s="21"/>
    </row>
    <row r="2929" spans="1:4" ht="12.75" customHeight="1" x14ac:dyDescent="0.2">
      <c r="A2929" s="21"/>
      <c r="B2929" s="3" t="s">
        <v>9</v>
      </c>
      <c r="C2929" s="20" t="s">
        <v>2523</v>
      </c>
      <c r="D2929" s="21"/>
    </row>
    <row r="2930" spans="1:4" ht="12.75" customHeight="1" x14ac:dyDescent="0.2">
      <c r="A2930" s="21"/>
      <c r="B2930" s="3" t="s">
        <v>11</v>
      </c>
      <c r="C2930" s="20" t="s">
        <v>1565</v>
      </c>
      <c r="D2930" s="21"/>
    </row>
    <row r="2931" spans="1:4" ht="12.75" customHeight="1" x14ac:dyDescent="0.2">
      <c r="A2931" s="21"/>
      <c r="B2931" s="3" t="s">
        <v>16</v>
      </c>
      <c r="C2931" s="20"/>
      <c r="D2931" s="21"/>
    </row>
    <row r="2932" spans="1:4" ht="12.75" customHeight="1" x14ac:dyDescent="0.2">
      <c r="A2932" s="21"/>
      <c r="B2932" s="3" t="s">
        <v>17</v>
      </c>
      <c r="C2932" s="20" t="s">
        <v>19</v>
      </c>
      <c r="D2932" s="21"/>
    </row>
    <row r="2933" spans="1:4" ht="12.75" customHeight="1" x14ac:dyDescent="0.2">
      <c r="A2933" s="21"/>
      <c r="B2933" s="20" t="s">
        <v>18</v>
      </c>
      <c r="C2933" s="4" t="s">
        <v>296</v>
      </c>
      <c r="D2933" s="6" t="str">
        <f>HYPERLINK("javascript:void(0)","méregcsepp")</f>
        <v>méregcsepp</v>
      </c>
    </row>
    <row r="2934" spans="1:4" ht="12.75" customHeight="1" x14ac:dyDescent="0.2">
      <c r="A2934" s="21"/>
      <c r="B2934" s="21"/>
      <c r="C2934" s="4" t="s">
        <v>296</v>
      </c>
      <c r="D2934" s="6" t="str">
        <f>HYPERLINK("javascript:void(0)","szikracsóva")</f>
        <v>szikracsóva</v>
      </c>
    </row>
    <row r="2935" spans="1:4" ht="12.75" customHeight="1" x14ac:dyDescent="0.2">
      <c r="A2935" s="21"/>
      <c r="B2935" s="21"/>
      <c r="C2935" s="4" t="s">
        <v>1536</v>
      </c>
      <c r="D2935" s="6" t="str">
        <f>HYPERLINK("javascript:void(0)","pillepikkely")</f>
        <v>pillepikkely</v>
      </c>
    </row>
    <row r="2936" spans="1:4" ht="12.75" customHeight="1" x14ac:dyDescent="0.2">
      <c r="A2936" s="21"/>
      <c r="B2936" s="2"/>
      <c r="C2936" s="2"/>
      <c r="D2936" s="2"/>
    </row>
    <row r="2937" spans="1:4" ht="12.75" customHeight="1" x14ac:dyDescent="0.2">
      <c r="A2937" s="21"/>
      <c r="B2937" s="2"/>
      <c r="C2937" s="2"/>
      <c r="D2937" s="2"/>
    </row>
    <row r="2938" spans="1:4" ht="12.75" customHeight="1" x14ac:dyDescent="0.2">
      <c r="A2938" s="21"/>
      <c r="B2938" s="2"/>
      <c r="C2938" s="2"/>
      <c r="D2938" s="2"/>
    </row>
    <row r="2939" spans="1:4" ht="12.75" customHeight="1" x14ac:dyDescent="0.2">
      <c r="A2939" s="21"/>
      <c r="B2939" s="2"/>
      <c r="C2939" s="2"/>
      <c r="D2939" s="2"/>
    </row>
    <row r="2940" spans="1:4" ht="12.75" customHeight="1" x14ac:dyDescent="0.2">
      <c r="A2940" s="5"/>
      <c r="B2940" s="2"/>
      <c r="C2940" s="2"/>
      <c r="D2940" s="2"/>
    </row>
    <row r="2941" spans="1:4" ht="12.75" customHeight="1" x14ac:dyDescent="0.2">
      <c r="A2941" s="22" t="str">
        <f>HYPERLINK("javascript:void(0)","csontvért")</f>
        <v>csontvért</v>
      </c>
      <c r="B2941" s="21"/>
      <c r="C2941" s="21"/>
      <c r="D2941" s="21"/>
    </row>
    <row r="2942" spans="1:4" ht="12.75" customHeight="1" x14ac:dyDescent="0.2">
      <c r="A2942" s="20"/>
      <c r="B2942" s="2"/>
      <c r="C2942" s="2"/>
      <c r="D2942" s="2"/>
    </row>
    <row r="2943" spans="1:4" ht="12.75" customHeight="1" x14ac:dyDescent="0.2">
      <c r="A2943" s="21"/>
      <c r="B2943" s="3" t="s">
        <v>0</v>
      </c>
      <c r="C2943" s="20" t="s">
        <v>1114</v>
      </c>
      <c r="D2943" s="21"/>
    </row>
    <row r="2944" spans="1:4" ht="12.75" customHeight="1" x14ac:dyDescent="0.2">
      <c r="A2944" s="21"/>
      <c r="B2944" s="3" t="s">
        <v>2</v>
      </c>
      <c r="C2944" s="20" t="s">
        <v>2322</v>
      </c>
      <c r="D2944" s="21"/>
    </row>
    <row r="2945" spans="1:4" ht="12.75" customHeight="1" x14ac:dyDescent="0.2">
      <c r="A2945" s="21"/>
      <c r="B2945" s="3" t="s">
        <v>1840</v>
      </c>
      <c r="C2945" s="20" t="s">
        <v>2524</v>
      </c>
      <c r="D2945" s="21"/>
    </row>
    <row r="2946" spans="1:4" ht="12.75" customHeight="1" x14ac:dyDescent="0.2">
      <c r="A2946" s="21"/>
      <c r="B2946" s="3" t="s">
        <v>9</v>
      </c>
      <c r="C2946" s="20" t="s">
        <v>2354</v>
      </c>
      <c r="D2946" s="21"/>
    </row>
    <row r="2947" spans="1:4" ht="12.75" customHeight="1" x14ac:dyDescent="0.2">
      <c r="A2947" s="21"/>
      <c r="B2947" s="3" t="s">
        <v>11</v>
      </c>
      <c r="C2947" s="20" t="s">
        <v>2190</v>
      </c>
      <c r="D2947" s="21"/>
    </row>
    <row r="2948" spans="1:4" ht="12.75" customHeight="1" x14ac:dyDescent="0.2">
      <c r="A2948" s="21"/>
      <c r="B2948" s="3" t="s">
        <v>16</v>
      </c>
      <c r="C2948" s="20"/>
      <c r="D2948" s="21"/>
    </row>
    <row r="2949" spans="1:4" ht="12.75" customHeight="1" x14ac:dyDescent="0.2">
      <c r="A2949" s="21"/>
      <c r="B2949" s="3" t="s">
        <v>17</v>
      </c>
      <c r="C2949" s="20" t="s">
        <v>19</v>
      </c>
      <c r="D2949" s="21"/>
    </row>
    <row r="2950" spans="1:4" ht="12.75" customHeight="1" x14ac:dyDescent="0.2">
      <c r="A2950" s="21"/>
      <c r="B2950" s="20" t="s">
        <v>18</v>
      </c>
      <c r="C2950" s="4" t="s">
        <v>44</v>
      </c>
      <c r="D2950" s="6" t="str">
        <f>HYPERLINK("javascript:void(0)","gyűrüsvért")</f>
        <v>gyűrüsvért</v>
      </c>
    </row>
    <row r="2951" spans="1:4" ht="12.75" customHeight="1" x14ac:dyDescent="0.2">
      <c r="A2951" s="21"/>
      <c r="B2951" s="21"/>
      <c r="C2951" s="4" t="s">
        <v>44</v>
      </c>
      <c r="D2951" s="6" t="str">
        <f>HYPERLINK("javascript:void(0)","méregpáncél")</f>
        <v>méregpáncél</v>
      </c>
    </row>
    <row r="2952" spans="1:4" ht="12.75" customHeight="1" x14ac:dyDescent="0.2">
      <c r="A2952" s="21"/>
      <c r="B2952" s="21"/>
      <c r="C2952" s="4" t="s">
        <v>44</v>
      </c>
      <c r="D2952" s="6" t="str">
        <f>HYPERLINK("javascript:void(0)","csontmellény")</f>
        <v>csontmellény</v>
      </c>
    </row>
    <row r="2953" spans="1:4" ht="12.75" customHeight="1" x14ac:dyDescent="0.2">
      <c r="A2953" s="21"/>
      <c r="B2953" s="2"/>
      <c r="C2953" s="2"/>
      <c r="D2953" s="2"/>
    </row>
    <row r="2954" spans="1:4" ht="12.75" customHeight="1" x14ac:dyDescent="0.2">
      <c r="A2954" s="21"/>
      <c r="B2954" s="2"/>
      <c r="C2954" s="2"/>
      <c r="D2954" s="2"/>
    </row>
    <row r="2955" spans="1:4" ht="12.75" customHeight="1" x14ac:dyDescent="0.2">
      <c r="A2955" s="21"/>
      <c r="B2955" s="2"/>
      <c r="C2955" s="2"/>
      <c r="D2955" s="2"/>
    </row>
    <row r="2956" spans="1:4" ht="12.75" customHeight="1" x14ac:dyDescent="0.2">
      <c r="A2956" s="21"/>
      <c r="B2956" s="2"/>
      <c r="C2956" s="2"/>
      <c r="D2956" s="2"/>
    </row>
    <row r="2957" spans="1:4" ht="12.75" customHeight="1" x14ac:dyDescent="0.2">
      <c r="A2957" s="5"/>
      <c r="B2957" s="2"/>
      <c r="C2957" s="2"/>
      <c r="D2957" s="2"/>
    </row>
    <row r="2958" spans="1:4" ht="12.75" customHeight="1" x14ac:dyDescent="0.2">
      <c r="A2958" s="22" t="str">
        <f>HYPERLINK("javascript:void(0)","csontmellény")</f>
        <v>csontmellény</v>
      </c>
      <c r="B2958" s="21"/>
      <c r="C2958" s="21"/>
      <c r="D2958" s="21"/>
    </row>
    <row r="2959" spans="1:4" ht="12.75" customHeight="1" x14ac:dyDescent="0.2">
      <c r="A2959" s="20"/>
      <c r="B2959" s="2"/>
      <c r="C2959" s="2"/>
      <c r="D2959" s="2"/>
    </row>
    <row r="2960" spans="1:4" ht="12.75" customHeight="1" x14ac:dyDescent="0.2">
      <c r="A2960" s="21"/>
      <c r="B2960" s="3" t="s">
        <v>0</v>
      </c>
      <c r="C2960" s="20" t="s">
        <v>1114</v>
      </c>
      <c r="D2960" s="21"/>
    </row>
    <row r="2961" spans="1:4" ht="12.75" customHeight="1" x14ac:dyDescent="0.2">
      <c r="A2961" s="21"/>
      <c r="B2961" s="3" t="s">
        <v>2</v>
      </c>
      <c r="C2961" s="20" t="s">
        <v>2322</v>
      </c>
      <c r="D2961" s="21"/>
    </row>
    <row r="2962" spans="1:4" ht="12.75" customHeight="1" x14ac:dyDescent="0.2">
      <c r="A2962" s="21"/>
      <c r="B2962" s="3" t="s">
        <v>1840</v>
      </c>
      <c r="C2962" s="20" t="s">
        <v>671</v>
      </c>
      <c r="D2962" s="21"/>
    </row>
    <row r="2963" spans="1:4" ht="12.75" customHeight="1" x14ac:dyDescent="0.2">
      <c r="A2963" s="21"/>
      <c r="B2963" s="3" t="s">
        <v>9</v>
      </c>
      <c r="C2963" s="20" t="s">
        <v>172</v>
      </c>
      <c r="D2963" s="21"/>
    </row>
    <row r="2964" spans="1:4" ht="12.75" customHeight="1" x14ac:dyDescent="0.2">
      <c r="A2964" s="21"/>
      <c r="B2964" s="3" t="s">
        <v>11</v>
      </c>
      <c r="C2964" s="20" t="s">
        <v>866</v>
      </c>
      <c r="D2964" s="21"/>
    </row>
    <row r="2965" spans="1:4" ht="12.75" customHeight="1" x14ac:dyDescent="0.2">
      <c r="A2965" s="21"/>
      <c r="B2965" s="3" t="s">
        <v>16</v>
      </c>
      <c r="C2965" s="20"/>
      <c r="D2965" s="21"/>
    </row>
    <row r="2966" spans="1:4" ht="12.75" customHeight="1" x14ac:dyDescent="0.2">
      <c r="A2966" s="21"/>
      <c r="B2966" s="3" t="s">
        <v>17</v>
      </c>
      <c r="C2966" s="20" t="s">
        <v>19</v>
      </c>
      <c r="D2966" s="21"/>
    </row>
    <row r="2967" spans="1:4" ht="12.75" customHeight="1" x14ac:dyDescent="0.2">
      <c r="A2967" s="21"/>
      <c r="B2967" s="20" t="s">
        <v>18</v>
      </c>
      <c r="C2967" s="4" t="s">
        <v>228</v>
      </c>
      <c r="D2967" s="6" t="str">
        <f>HYPERLINK("javascript:void(0)","bőrcsont")</f>
        <v>bőrcsont</v>
      </c>
    </row>
    <row r="2968" spans="1:4" ht="12.75" customHeight="1" x14ac:dyDescent="0.2">
      <c r="A2968" s="21"/>
      <c r="B2968" s="21"/>
      <c r="C2968" s="4" t="s">
        <v>894</v>
      </c>
      <c r="D2968" s="6" t="str">
        <f>HYPERLINK("javascript:void(0)","dobverő")</f>
        <v>dobverő</v>
      </c>
    </row>
    <row r="2969" spans="1:4" ht="12.75" customHeight="1" x14ac:dyDescent="0.2">
      <c r="A2969" s="21"/>
      <c r="B2969" s="21"/>
      <c r="C2969" s="4" t="s">
        <v>296</v>
      </c>
      <c r="D2969" s="6" t="str">
        <f>HYPERLINK("javascript:void(0)","fiola")</f>
        <v>fiola</v>
      </c>
    </row>
    <row r="2970" spans="1:4" ht="12.75" customHeight="1" x14ac:dyDescent="0.2">
      <c r="A2970" s="21"/>
      <c r="B2970" s="2"/>
      <c r="C2970" s="2"/>
      <c r="D2970" s="2"/>
    </row>
    <row r="2971" spans="1:4" ht="12.75" customHeight="1" x14ac:dyDescent="0.2">
      <c r="A2971" s="21"/>
      <c r="B2971" s="2"/>
      <c r="C2971" s="2"/>
      <c r="D2971" s="2"/>
    </row>
    <row r="2972" spans="1:4" ht="12.75" customHeight="1" x14ac:dyDescent="0.2">
      <c r="A2972" s="21"/>
      <c r="B2972" s="2"/>
      <c r="C2972" s="2"/>
      <c r="D2972" s="2"/>
    </row>
    <row r="2973" spans="1:4" ht="12.75" customHeight="1" x14ac:dyDescent="0.2">
      <c r="A2973" s="21"/>
      <c r="B2973" s="2"/>
      <c r="C2973" s="2"/>
      <c r="D2973" s="2"/>
    </row>
    <row r="2974" spans="1:4" ht="12.75" customHeight="1" x14ac:dyDescent="0.2">
      <c r="A2974" s="5"/>
      <c r="B2974" s="2"/>
      <c r="C2974" s="2"/>
      <c r="D2974" s="2"/>
    </row>
    <row r="2975" spans="1:4" ht="12.75" customHeight="1" x14ac:dyDescent="0.2">
      <c r="A2975" s="22" t="str">
        <f>HYPERLINK("javascript:void(0)","tövispáncél")</f>
        <v>tövispáncél</v>
      </c>
      <c r="B2975" s="21"/>
      <c r="C2975" s="21"/>
      <c r="D2975" s="21"/>
    </row>
    <row r="2976" spans="1:4" ht="12.75" customHeight="1" x14ac:dyDescent="0.2">
      <c r="A2976" s="20"/>
      <c r="B2976" s="2"/>
      <c r="C2976" s="2"/>
      <c r="D2976" s="2"/>
    </row>
    <row r="2977" spans="1:4" ht="12.75" customHeight="1" x14ac:dyDescent="0.2">
      <c r="A2977" s="21"/>
      <c r="B2977" s="3" t="s">
        <v>0</v>
      </c>
      <c r="C2977" s="20" t="s">
        <v>356</v>
      </c>
      <c r="D2977" s="21"/>
    </row>
    <row r="2978" spans="1:4" ht="12.75" customHeight="1" x14ac:dyDescent="0.2">
      <c r="A2978" s="21"/>
      <c r="B2978" s="3" t="s">
        <v>2</v>
      </c>
      <c r="C2978" s="20" t="s">
        <v>2322</v>
      </c>
      <c r="D2978" s="21"/>
    </row>
    <row r="2979" spans="1:4" ht="12.75" customHeight="1" x14ac:dyDescent="0.2">
      <c r="A2979" s="21"/>
      <c r="B2979" s="3" t="s">
        <v>1840</v>
      </c>
      <c r="C2979" s="20" t="s">
        <v>2525</v>
      </c>
      <c r="D2979" s="21"/>
    </row>
    <row r="2980" spans="1:4" ht="12.75" customHeight="1" x14ac:dyDescent="0.2">
      <c r="A2980" s="21"/>
      <c r="B2980" s="3" t="s">
        <v>9</v>
      </c>
      <c r="C2980" s="20" t="s">
        <v>2526</v>
      </c>
      <c r="D2980" s="21"/>
    </row>
    <row r="2981" spans="1:4" ht="12.75" customHeight="1" x14ac:dyDescent="0.2">
      <c r="A2981" s="21"/>
      <c r="B2981" s="3" t="s">
        <v>11</v>
      </c>
      <c r="C2981" s="20" t="s">
        <v>1577</v>
      </c>
      <c r="D2981" s="21"/>
    </row>
    <row r="2982" spans="1:4" ht="12.75" customHeight="1" x14ac:dyDescent="0.2">
      <c r="A2982" s="21"/>
      <c r="B2982" s="3" t="s">
        <v>16</v>
      </c>
      <c r="C2982" s="20"/>
      <c r="D2982" s="21"/>
    </row>
    <row r="2983" spans="1:4" ht="12.75" customHeight="1" x14ac:dyDescent="0.2">
      <c r="A2983" s="21"/>
      <c r="B2983" s="3" t="s">
        <v>17</v>
      </c>
      <c r="C2983" s="20" t="s">
        <v>19</v>
      </c>
      <c r="D2983" s="21"/>
    </row>
    <row r="2984" spans="1:4" ht="12.75" customHeight="1" x14ac:dyDescent="0.2">
      <c r="A2984" s="21"/>
      <c r="B2984" s="20" t="s">
        <v>18</v>
      </c>
      <c r="C2984" s="4" t="s">
        <v>936</v>
      </c>
      <c r="D2984" s="6" t="str">
        <f>HYPERLINK("javascript:void(0)","fügetövis")</f>
        <v>fügetövis</v>
      </c>
    </row>
    <row r="2985" spans="1:4" ht="12.75" customHeight="1" x14ac:dyDescent="0.2">
      <c r="A2985" s="21"/>
      <c r="B2985" s="21"/>
      <c r="C2985" s="4" t="s">
        <v>44</v>
      </c>
      <c r="D2985" s="6" t="str">
        <f>HYPERLINK("javascript:void(0)","csontvért")</f>
        <v>csontvért</v>
      </c>
    </row>
    <row r="2986" spans="1:4" ht="12.75" customHeight="1" x14ac:dyDescent="0.2">
      <c r="A2986" s="21"/>
      <c r="B2986" s="21"/>
      <c r="C2986" s="4" t="s">
        <v>98</v>
      </c>
      <c r="D2986" s="6" t="str">
        <f>HYPERLINK("javascript:void(0)","lexikon")</f>
        <v>lexikon</v>
      </c>
    </row>
    <row r="2987" spans="1:4" ht="12.75" customHeight="1" x14ac:dyDescent="0.2">
      <c r="A2987" s="21"/>
      <c r="B2987" s="2"/>
      <c r="C2987" s="2"/>
      <c r="D2987" s="2"/>
    </row>
    <row r="2988" spans="1:4" ht="12.75" customHeight="1" x14ac:dyDescent="0.2">
      <c r="A2988" s="21"/>
      <c r="B2988" s="2"/>
      <c r="C2988" s="2"/>
      <c r="D2988" s="2"/>
    </row>
    <row r="2989" spans="1:4" ht="12.75" customHeight="1" x14ac:dyDescent="0.2">
      <c r="A2989" s="21"/>
      <c r="B2989" s="2"/>
      <c r="C2989" s="2"/>
      <c r="D2989" s="2"/>
    </row>
    <row r="2990" spans="1:4" ht="12.75" customHeight="1" x14ac:dyDescent="0.2">
      <c r="A2990" s="21"/>
      <c r="B2990" s="2"/>
      <c r="C2990" s="2"/>
      <c r="D2990" s="2"/>
    </row>
    <row r="2991" spans="1:4" ht="12.75" customHeight="1" x14ac:dyDescent="0.2">
      <c r="A2991" s="5"/>
      <c r="B2991" s="2"/>
      <c r="C2991" s="2"/>
      <c r="D2991" s="2"/>
    </row>
    <row r="2992" spans="1:4" ht="12.75" customHeight="1" x14ac:dyDescent="0.2">
      <c r="A2992" s="22" t="str">
        <f>HYPERLINK("javascript:void(0)","tuskóvért")</f>
        <v>tuskóvért</v>
      </c>
      <c r="B2992" s="21"/>
      <c r="C2992" s="21"/>
      <c r="D2992" s="21"/>
    </row>
    <row r="2993" spans="1:4" ht="12.75" customHeight="1" x14ac:dyDescent="0.2">
      <c r="A2993" s="20"/>
      <c r="B2993" s="2"/>
      <c r="C2993" s="2"/>
      <c r="D2993" s="2"/>
    </row>
    <row r="2994" spans="1:4" ht="12.75" customHeight="1" x14ac:dyDescent="0.2">
      <c r="A2994" s="21"/>
      <c r="B2994" s="3" t="s">
        <v>0</v>
      </c>
      <c r="C2994" s="20" t="s">
        <v>110</v>
      </c>
      <c r="D2994" s="21"/>
    </row>
    <row r="2995" spans="1:4" ht="12.75" customHeight="1" x14ac:dyDescent="0.2">
      <c r="A2995" s="21"/>
      <c r="B2995" s="3" t="s">
        <v>2</v>
      </c>
      <c r="C2995" s="20" t="s">
        <v>2322</v>
      </c>
      <c r="D2995" s="21"/>
    </row>
    <row r="2996" spans="1:4" ht="12.75" customHeight="1" x14ac:dyDescent="0.2">
      <c r="A2996" s="21"/>
      <c r="B2996" s="3" t="s">
        <v>1840</v>
      </c>
      <c r="C2996" s="20" t="s">
        <v>372</v>
      </c>
      <c r="D2996" s="21"/>
    </row>
    <row r="2997" spans="1:4" ht="12.75" customHeight="1" x14ac:dyDescent="0.2">
      <c r="A2997" s="21"/>
      <c r="B2997" s="3" t="s">
        <v>9</v>
      </c>
      <c r="C2997" s="20" t="s">
        <v>2527</v>
      </c>
      <c r="D2997" s="21"/>
    </row>
    <row r="2998" spans="1:4" ht="12.75" customHeight="1" x14ac:dyDescent="0.2">
      <c r="A2998" s="21"/>
      <c r="B2998" s="3" t="s">
        <v>11</v>
      </c>
      <c r="C2998" s="20" t="s">
        <v>2201</v>
      </c>
      <c r="D2998" s="21"/>
    </row>
    <row r="2999" spans="1:4" ht="12.75" customHeight="1" x14ac:dyDescent="0.2">
      <c r="A2999" s="21"/>
      <c r="B2999" s="3" t="s">
        <v>16</v>
      </c>
      <c r="C2999" s="20"/>
      <c r="D2999" s="21"/>
    </row>
    <row r="3000" spans="1:4" ht="12.75" customHeight="1" x14ac:dyDescent="0.2">
      <c r="A3000" s="21"/>
      <c r="B3000" s="3" t="s">
        <v>17</v>
      </c>
      <c r="C3000" s="20" t="s">
        <v>19</v>
      </c>
      <c r="D3000" s="21"/>
    </row>
    <row r="3001" spans="1:4" ht="12.75" customHeight="1" x14ac:dyDescent="0.2">
      <c r="A3001" s="21"/>
      <c r="B3001" s="20" t="s">
        <v>18</v>
      </c>
      <c r="C3001" s="4" t="s">
        <v>240</v>
      </c>
      <c r="D3001" s="6" t="str">
        <f>HYPERLINK("javascript:void(0)","tuskójelvény")</f>
        <v>tuskójelvény</v>
      </c>
    </row>
    <row r="3002" spans="1:4" ht="12.75" customHeight="1" x14ac:dyDescent="0.2">
      <c r="A3002" s="21"/>
      <c r="B3002" s="21"/>
      <c r="C3002" s="4" t="s">
        <v>2528</v>
      </c>
      <c r="D3002" s="6" t="str">
        <f>HYPERLINK("javascript:void(0)","vámpírherbium")</f>
        <v>vámpírherbium</v>
      </c>
    </row>
    <row r="3003" spans="1:4" ht="12.75" customHeight="1" x14ac:dyDescent="0.2">
      <c r="A3003" s="21"/>
      <c r="B3003" s="21"/>
      <c r="C3003" s="4" t="s">
        <v>988</v>
      </c>
      <c r="D3003" s="6" t="str">
        <f>HYPERLINK("javascript:void(0)","fügetövis")</f>
        <v>fügetövis</v>
      </c>
    </row>
    <row r="3004" spans="1:4" ht="12.75" customHeight="1" x14ac:dyDescent="0.2">
      <c r="A3004" s="21"/>
      <c r="B3004" s="2"/>
      <c r="C3004" s="2"/>
      <c r="D3004" s="2"/>
    </row>
    <row r="3005" spans="1:4" ht="12.75" customHeight="1" x14ac:dyDescent="0.2">
      <c r="A3005" s="21"/>
      <c r="B3005" s="2"/>
      <c r="C3005" s="2"/>
      <c r="D3005" s="2"/>
    </row>
    <row r="3006" spans="1:4" ht="12.75" customHeight="1" x14ac:dyDescent="0.2">
      <c r="A3006" s="21"/>
      <c r="B3006" s="2"/>
      <c r="C3006" s="2"/>
      <c r="D3006" s="2"/>
    </row>
    <row r="3007" spans="1:4" ht="12.75" customHeight="1" x14ac:dyDescent="0.2">
      <c r="A3007" s="21"/>
      <c r="B3007" s="2"/>
      <c r="C3007" s="2"/>
      <c r="D3007" s="2"/>
    </row>
    <row r="3008" spans="1:4" ht="12.75" customHeight="1" x14ac:dyDescent="0.2">
      <c r="A3008" s="5"/>
      <c r="B3008" s="2"/>
      <c r="C3008" s="2"/>
      <c r="D3008" s="2"/>
    </row>
    <row r="3009" spans="1:4" ht="12.75" customHeight="1" x14ac:dyDescent="0.2">
      <c r="A3009" s="22" t="str">
        <f>HYPERLINK("javascript:void(0)","csillámló trollpáncél")</f>
        <v>csillámló trollpáncél</v>
      </c>
      <c r="B3009" s="21"/>
      <c r="C3009" s="21"/>
      <c r="D3009" s="21"/>
    </row>
    <row r="3010" spans="1:4" ht="12.75" customHeight="1" x14ac:dyDescent="0.2">
      <c r="A3010" s="20"/>
      <c r="B3010" s="2"/>
      <c r="C3010" s="2"/>
      <c r="D3010" s="2"/>
    </row>
    <row r="3011" spans="1:4" ht="12.75" customHeight="1" x14ac:dyDescent="0.2">
      <c r="A3011" s="21"/>
      <c r="B3011" s="3" t="s">
        <v>0</v>
      </c>
      <c r="C3011" s="20" t="s">
        <v>110</v>
      </c>
      <c r="D3011" s="21"/>
    </row>
    <row r="3012" spans="1:4" ht="12.75" customHeight="1" x14ac:dyDescent="0.2">
      <c r="A3012" s="21"/>
      <c r="B3012" s="3" t="s">
        <v>2</v>
      </c>
      <c r="C3012" s="20" t="s">
        <v>2322</v>
      </c>
      <c r="D3012" s="21"/>
    </row>
    <row r="3013" spans="1:4" ht="12.75" customHeight="1" x14ac:dyDescent="0.2">
      <c r="A3013" s="21"/>
      <c r="B3013" s="3" t="s">
        <v>1840</v>
      </c>
      <c r="C3013" s="20" t="s">
        <v>2529</v>
      </c>
      <c r="D3013" s="21"/>
    </row>
    <row r="3014" spans="1:4" ht="12.75" customHeight="1" x14ac:dyDescent="0.2">
      <c r="A3014" s="21"/>
      <c r="B3014" s="3" t="s">
        <v>9</v>
      </c>
      <c r="C3014" s="20" t="s">
        <v>2530</v>
      </c>
      <c r="D3014" s="21"/>
    </row>
    <row r="3015" spans="1:4" ht="12.75" customHeight="1" x14ac:dyDescent="0.2">
      <c r="A3015" s="21"/>
      <c r="B3015" s="3" t="s">
        <v>11</v>
      </c>
      <c r="C3015" s="20" t="s">
        <v>2201</v>
      </c>
      <c r="D3015" s="21"/>
    </row>
    <row r="3016" spans="1:4" ht="12.75" customHeight="1" x14ac:dyDescent="0.2">
      <c r="A3016" s="21"/>
      <c r="B3016" s="3" t="s">
        <v>16</v>
      </c>
      <c r="C3016" s="20"/>
      <c r="D3016" s="21"/>
    </row>
    <row r="3017" spans="1:4" ht="12.75" customHeight="1" x14ac:dyDescent="0.2">
      <c r="A3017" s="21"/>
      <c r="B3017" s="3" t="s">
        <v>17</v>
      </c>
      <c r="C3017" s="20" t="s">
        <v>19</v>
      </c>
      <c r="D3017" s="21"/>
    </row>
    <row r="3018" spans="1:4" ht="12.75" customHeight="1" x14ac:dyDescent="0.2">
      <c r="A3018" s="21"/>
      <c r="B3018" s="20" t="s">
        <v>18</v>
      </c>
      <c r="C3018" s="4" t="s">
        <v>57</v>
      </c>
      <c r="D3018" s="6" t="str">
        <f>HYPERLINK("javascript:void(0)","csillámgöb")</f>
        <v>csillámgöb</v>
      </c>
    </row>
    <row r="3019" spans="1:4" ht="25.5" customHeight="1" x14ac:dyDescent="0.2">
      <c r="A3019" s="21"/>
      <c r="B3019" s="21"/>
      <c r="C3019" s="4" t="s">
        <v>44</v>
      </c>
      <c r="D3019" s="6" t="str">
        <f>HYPERLINK("javascript:void(0)","csillámló patinapáncél")</f>
        <v>csillámló patinapáncél</v>
      </c>
    </row>
    <row r="3020" spans="1:4" ht="12.75" customHeight="1" x14ac:dyDescent="0.2">
      <c r="A3020" s="21"/>
      <c r="B3020" s="21"/>
      <c r="C3020" s="4" t="s">
        <v>1494</v>
      </c>
      <c r="D3020" s="6" t="str">
        <f>HYPERLINK("javascript:void(0)","vitorla")</f>
        <v>vitorla</v>
      </c>
    </row>
    <row r="3021" spans="1:4" ht="12.75" customHeight="1" x14ac:dyDescent="0.2">
      <c r="A3021" s="21"/>
      <c r="B3021" s="2"/>
      <c r="C3021" s="2"/>
      <c r="D3021" s="2"/>
    </row>
    <row r="3022" spans="1:4" ht="12.75" customHeight="1" x14ac:dyDescent="0.2">
      <c r="A3022" s="21"/>
      <c r="B3022" s="2"/>
      <c r="C3022" s="2"/>
      <c r="D3022" s="2"/>
    </row>
    <row r="3023" spans="1:4" ht="12.75" customHeight="1" x14ac:dyDescent="0.2">
      <c r="A3023" s="21"/>
      <c r="B3023" s="2"/>
      <c r="C3023" s="2"/>
      <c r="D3023" s="2"/>
    </row>
    <row r="3024" spans="1:4" ht="12.75" customHeight="1" x14ac:dyDescent="0.2">
      <c r="A3024" s="21"/>
      <c r="B3024" s="2"/>
      <c r="C3024" s="2"/>
      <c r="D3024" s="2"/>
    </row>
    <row r="3025" spans="1:4" ht="12.75" customHeight="1" x14ac:dyDescent="0.2">
      <c r="A3025" s="5"/>
      <c r="B3025" s="2"/>
      <c r="C3025" s="2"/>
      <c r="D3025" s="2"/>
    </row>
    <row r="3026" spans="1:4" ht="12.75" customHeight="1" x14ac:dyDescent="0.2">
      <c r="A3026" s="22" t="str">
        <f>HYPERLINK("javascript:void(0)","zombipáncél")</f>
        <v>zombipáncél</v>
      </c>
      <c r="B3026" s="21"/>
      <c r="C3026" s="21"/>
      <c r="D3026" s="21"/>
    </row>
    <row r="3027" spans="1:4" ht="12.75" customHeight="1" x14ac:dyDescent="0.2">
      <c r="A3027" s="20"/>
      <c r="B3027" s="2"/>
      <c r="C3027" s="2"/>
      <c r="D3027" s="2"/>
    </row>
    <row r="3028" spans="1:4" ht="12.75" customHeight="1" x14ac:dyDescent="0.2">
      <c r="A3028" s="21"/>
      <c r="B3028" s="3" t="s">
        <v>0</v>
      </c>
      <c r="C3028" s="20" t="s">
        <v>1142</v>
      </c>
      <c r="D3028" s="21"/>
    </row>
    <row r="3029" spans="1:4" ht="12.75" customHeight="1" x14ac:dyDescent="0.2">
      <c r="A3029" s="21"/>
      <c r="B3029" s="3" t="s">
        <v>2</v>
      </c>
      <c r="C3029" s="20" t="s">
        <v>2322</v>
      </c>
      <c r="D3029" s="21"/>
    </row>
    <row r="3030" spans="1:4" ht="12.75" customHeight="1" x14ac:dyDescent="0.2">
      <c r="A3030" s="21"/>
      <c r="B3030" s="3" t="s">
        <v>1840</v>
      </c>
      <c r="C3030" s="20" t="s">
        <v>2531</v>
      </c>
      <c r="D3030" s="21"/>
    </row>
    <row r="3031" spans="1:4" ht="12.75" customHeight="1" x14ac:dyDescent="0.2">
      <c r="A3031" s="21"/>
      <c r="B3031" s="3" t="s">
        <v>9</v>
      </c>
      <c r="C3031" s="20" t="s">
        <v>707</v>
      </c>
      <c r="D3031" s="21"/>
    </row>
    <row r="3032" spans="1:4" ht="12.75" customHeight="1" x14ac:dyDescent="0.2">
      <c r="A3032" s="21"/>
      <c r="B3032" s="3" t="s">
        <v>11</v>
      </c>
      <c r="C3032" s="20" t="s">
        <v>1047</v>
      </c>
      <c r="D3032" s="21"/>
    </row>
    <row r="3033" spans="1:4" ht="12.75" customHeight="1" x14ac:dyDescent="0.2">
      <c r="A3033" s="21"/>
      <c r="B3033" s="3" t="s">
        <v>16</v>
      </c>
      <c r="C3033" s="20"/>
      <c r="D3033" s="21"/>
    </row>
    <row r="3034" spans="1:4" ht="12.75" customHeight="1" x14ac:dyDescent="0.2">
      <c r="A3034" s="21"/>
      <c r="B3034" s="3" t="s">
        <v>17</v>
      </c>
      <c r="C3034" s="20" t="s">
        <v>19</v>
      </c>
      <c r="D3034" s="21"/>
    </row>
    <row r="3035" spans="1:4" ht="12.75" customHeight="1" x14ac:dyDescent="0.2">
      <c r="A3035" s="21"/>
      <c r="B3035" s="20" t="s">
        <v>18</v>
      </c>
      <c r="C3035" s="4" t="s">
        <v>44</v>
      </c>
      <c r="D3035" s="6" t="str">
        <f>HYPERLINK("javascript:void(0)","tuskóvért")</f>
        <v>tuskóvért</v>
      </c>
    </row>
    <row r="3036" spans="1:4" ht="12.75" customHeight="1" x14ac:dyDescent="0.2">
      <c r="A3036" s="21"/>
      <c r="B3036" s="21"/>
      <c r="C3036" s="4" t="s">
        <v>44</v>
      </c>
      <c r="D3036" s="6" t="str">
        <f>HYPERLINK("javascript:void(0)","tövispáncél")</f>
        <v>tövispáncél</v>
      </c>
    </row>
    <row r="3037" spans="1:4" ht="12.75" customHeight="1" x14ac:dyDescent="0.2">
      <c r="A3037" s="21"/>
      <c r="B3037" s="21"/>
      <c r="C3037" s="4" t="s">
        <v>44</v>
      </c>
      <c r="D3037" s="6" t="str">
        <f>HYPERLINK("javascript:void(0)","életmellény")</f>
        <v>életmellény</v>
      </c>
    </row>
    <row r="3038" spans="1:4" ht="12.75" customHeight="1" x14ac:dyDescent="0.2">
      <c r="A3038" s="21"/>
      <c r="B3038" s="2"/>
      <c r="C3038" s="2"/>
      <c r="D3038" s="2"/>
    </row>
    <row r="3039" spans="1:4" ht="12.75" customHeight="1" x14ac:dyDescent="0.2">
      <c r="A3039" s="21"/>
      <c r="B3039" s="2"/>
      <c r="C3039" s="2"/>
      <c r="D3039" s="2"/>
    </row>
    <row r="3040" spans="1:4" ht="12.75" customHeight="1" x14ac:dyDescent="0.2">
      <c r="A3040" s="21"/>
      <c r="B3040" s="2"/>
      <c r="C3040" s="2"/>
      <c r="D3040" s="2"/>
    </row>
    <row r="3041" spans="1:4" ht="12.75" customHeight="1" x14ac:dyDescent="0.2">
      <c r="A3041" s="21"/>
      <c r="B3041" s="2"/>
      <c r="C3041" s="2"/>
      <c r="D3041" s="2"/>
    </row>
    <row r="3042" spans="1:4" ht="12.75" customHeight="1" x14ac:dyDescent="0.2">
      <c r="A3042" s="5"/>
      <c r="B3042" s="2"/>
      <c r="C3042" s="2"/>
      <c r="D3042" s="2"/>
    </row>
    <row r="3043" spans="1:4" ht="12.75" customHeight="1" x14ac:dyDescent="0.2">
      <c r="A3043" s="22" t="str">
        <f>HYPERLINK("javascript:void(0)","életmellény")</f>
        <v>életmellény</v>
      </c>
      <c r="B3043" s="21"/>
      <c r="C3043" s="21"/>
      <c r="D3043" s="21"/>
    </row>
    <row r="3044" spans="1:4" ht="12.75" customHeight="1" x14ac:dyDescent="0.2">
      <c r="A3044" s="20"/>
      <c r="B3044" s="2"/>
      <c r="C3044" s="2"/>
      <c r="D3044" s="2"/>
    </row>
    <row r="3045" spans="1:4" ht="12.75" customHeight="1" x14ac:dyDescent="0.2">
      <c r="A3045" s="21"/>
      <c r="B3045" s="3" t="s">
        <v>0</v>
      </c>
      <c r="C3045" s="20" t="s">
        <v>1142</v>
      </c>
      <c r="D3045" s="21"/>
    </row>
    <row r="3046" spans="1:4" ht="12.75" customHeight="1" x14ac:dyDescent="0.2">
      <c r="A3046" s="21"/>
      <c r="B3046" s="3" t="s">
        <v>2</v>
      </c>
      <c r="C3046" s="20" t="s">
        <v>2322</v>
      </c>
      <c r="D3046" s="21"/>
    </row>
    <row r="3047" spans="1:4" ht="12.75" customHeight="1" x14ac:dyDescent="0.2">
      <c r="A3047" s="21"/>
      <c r="B3047" s="3" t="s">
        <v>1840</v>
      </c>
      <c r="C3047" s="20" t="s">
        <v>690</v>
      </c>
      <c r="D3047" s="21"/>
    </row>
    <row r="3048" spans="1:4" ht="12.75" customHeight="1" x14ac:dyDescent="0.2">
      <c r="A3048" s="21"/>
      <c r="B3048" s="3" t="s">
        <v>9</v>
      </c>
      <c r="C3048" s="20" t="s">
        <v>2464</v>
      </c>
      <c r="D3048" s="21"/>
    </row>
    <row r="3049" spans="1:4" ht="12.75" customHeight="1" x14ac:dyDescent="0.2">
      <c r="A3049" s="21"/>
      <c r="B3049" s="3" t="s">
        <v>11</v>
      </c>
      <c r="C3049" s="20" t="s">
        <v>866</v>
      </c>
      <c r="D3049" s="21"/>
    </row>
    <row r="3050" spans="1:4" ht="12.75" customHeight="1" x14ac:dyDescent="0.2">
      <c r="A3050" s="21"/>
      <c r="B3050" s="3" t="s">
        <v>16</v>
      </c>
      <c r="C3050" s="20"/>
      <c r="D3050" s="21"/>
    </row>
    <row r="3051" spans="1:4" ht="12.75" customHeight="1" x14ac:dyDescent="0.2">
      <c r="A3051" s="21"/>
      <c r="B3051" s="3" t="s">
        <v>17</v>
      </c>
      <c r="C3051" s="20" t="s">
        <v>19</v>
      </c>
      <c r="D3051" s="21"/>
    </row>
    <row r="3052" spans="1:4" ht="12.75" customHeight="1" x14ac:dyDescent="0.2">
      <c r="A3052" s="21"/>
      <c r="B3052" s="20" t="s">
        <v>18</v>
      </c>
      <c r="C3052" s="4" t="s">
        <v>269</v>
      </c>
      <c r="D3052" s="6" t="str">
        <f>HYPERLINK("javascript:void(0)","életkristály")</f>
        <v>életkristály</v>
      </c>
    </row>
    <row r="3053" spans="1:4" ht="12.75" customHeight="1" x14ac:dyDescent="0.2">
      <c r="A3053" s="21"/>
      <c r="B3053" s="21"/>
      <c r="C3053" s="4" t="s">
        <v>894</v>
      </c>
      <c r="D3053" s="6" t="str">
        <f>HYPERLINK("javascript:void(0)","cingulum")</f>
        <v>cingulum</v>
      </c>
    </row>
    <row r="3054" spans="1:4" ht="12.75" customHeight="1" x14ac:dyDescent="0.2">
      <c r="A3054" s="21"/>
      <c r="B3054" s="21"/>
      <c r="C3054" s="4" t="s">
        <v>988</v>
      </c>
      <c r="D3054" s="6" t="str">
        <f>HYPERLINK("javascript:void(0)","rozmáragyar")</f>
        <v>rozmáragyar</v>
      </c>
    </row>
    <row r="3055" spans="1:4" ht="12.75" customHeight="1" x14ac:dyDescent="0.2">
      <c r="A3055" s="21"/>
      <c r="B3055" s="2"/>
      <c r="C3055" s="2"/>
      <c r="D3055" s="2"/>
    </row>
    <row r="3056" spans="1:4" ht="12.75" customHeight="1" x14ac:dyDescent="0.2">
      <c r="A3056" s="21"/>
      <c r="B3056" s="2"/>
      <c r="C3056" s="2"/>
      <c r="D3056" s="2"/>
    </row>
    <row r="3057" spans="1:4" ht="12.75" customHeight="1" x14ac:dyDescent="0.2">
      <c r="A3057" s="21"/>
      <c r="B3057" s="2"/>
      <c r="C3057" s="2"/>
      <c r="D3057" s="2"/>
    </row>
    <row r="3058" spans="1:4" ht="12.75" customHeight="1" x14ac:dyDescent="0.2">
      <c r="A3058" s="21"/>
      <c r="B3058" s="2"/>
      <c r="C3058" s="2"/>
      <c r="D3058" s="2"/>
    </row>
    <row r="3059" spans="1:4" ht="12.75" customHeight="1" x14ac:dyDescent="0.2">
      <c r="A3059" s="5"/>
      <c r="B3059" s="2"/>
      <c r="C3059" s="2"/>
      <c r="D3059" s="2"/>
    </row>
    <row r="3060" spans="1:4" ht="12.75" customHeight="1" x14ac:dyDescent="0.2">
      <c r="A3060" s="22" t="str">
        <f>HYPERLINK("javascript:void(0)","kitinvért")</f>
        <v>kitinvért</v>
      </c>
      <c r="B3060" s="21"/>
      <c r="C3060" s="21"/>
      <c r="D3060" s="21"/>
    </row>
    <row r="3061" spans="1:4" ht="12.75" customHeight="1" x14ac:dyDescent="0.2">
      <c r="A3061" s="20"/>
      <c r="B3061" s="2"/>
      <c r="C3061" s="2"/>
      <c r="D3061" s="2"/>
    </row>
    <row r="3062" spans="1:4" ht="12.75" customHeight="1" x14ac:dyDescent="0.2">
      <c r="A3062" s="21"/>
      <c r="B3062" s="3" t="s">
        <v>0</v>
      </c>
      <c r="C3062" s="20" t="s">
        <v>103</v>
      </c>
      <c r="D3062" s="21"/>
    </row>
    <row r="3063" spans="1:4" ht="12.75" customHeight="1" x14ac:dyDescent="0.2">
      <c r="A3063" s="21"/>
      <c r="B3063" s="3" t="s">
        <v>2</v>
      </c>
      <c r="C3063" s="20" t="s">
        <v>2322</v>
      </c>
      <c r="D3063" s="21"/>
    </row>
    <row r="3064" spans="1:4" ht="12.75" customHeight="1" x14ac:dyDescent="0.2">
      <c r="A3064" s="21"/>
      <c r="B3064" s="3" t="s">
        <v>1840</v>
      </c>
      <c r="C3064" s="20" t="s">
        <v>2532</v>
      </c>
      <c r="D3064" s="21"/>
    </row>
    <row r="3065" spans="1:4" ht="12.75" customHeight="1" x14ac:dyDescent="0.2">
      <c r="A3065" s="21"/>
      <c r="B3065" s="3" t="s">
        <v>9</v>
      </c>
      <c r="C3065" s="20" t="s">
        <v>573</v>
      </c>
      <c r="D3065" s="21"/>
    </row>
    <row r="3066" spans="1:4" ht="12.75" customHeight="1" x14ac:dyDescent="0.2">
      <c r="A3066" s="21"/>
      <c r="B3066" s="3" t="s">
        <v>11</v>
      </c>
      <c r="C3066" s="20" t="s">
        <v>2210</v>
      </c>
      <c r="D3066" s="21"/>
    </row>
    <row r="3067" spans="1:4" ht="12.75" customHeight="1" x14ac:dyDescent="0.2">
      <c r="A3067" s="21"/>
      <c r="B3067" s="3" t="s">
        <v>16</v>
      </c>
      <c r="C3067" s="20"/>
      <c r="D3067" s="21"/>
    </row>
    <row r="3068" spans="1:4" ht="12.75" customHeight="1" x14ac:dyDescent="0.2">
      <c r="A3068" s="21"/>
      <c r="B3068" s="3" t="s">
        <v>17</v>
      </c>
      <c r="C3068" s="20" t="s">
        <v>19</v>
      </c>
      <c r="D3068" s="21"/>
    </row>
    <row r="3069" spans="1:4" ht="12.75" customHeight="1" x14ac:dyDescent="0.2">
      <c r="A3069" s="21"/>
      <c r="B3069" s="20" t="s">
        <v>18</v>
      </c>
      <c r="C3069" s="4" t="s">
        <v>1113</v>
      </c>
      <c r="D3069" s="6" t="str">
        <f>HYPERLINK("javascript:void(0)","kitintüske")</f>
        <v>kitintüske</v>
      </c>
    </row>
    <row r="3070" spans="1:4" ht="12.75" customHeight="1" x14ac:dyDescent="0.2">
      <c r="A3070" s="21"/>
      <c r="B3070" s="21"/>
      <c r="C3070" s="4" t="s">
        <v>988</v>
      </c>
      <c r="D3070" s="6" t="str">
        <f>HYPERLINK("javascript:void(0)","kispárna")</f>
        <v>kispárna</v>
      </c>
    </row>
    <row r="3071" spans="1:4" ht="12.75" customHeight="1" x14ac:dyDescent="0.2">
      <c r="A3071" s="21"/>
      <c r="B3071" s="21"/>
      <c r="C3071" s="4" t="s">
        <v>44</v>
      </c>
      <c r="D3071" s="6" t="str">
        <f>HYPERLINK("javascript:void(0)","zombipáncél")</f>
        <v>zombipáncél</v>
      </c>
    </row>
    <row r="3072" spans="1:4" ht="12.75" customHeight="1" x14ac:dyDescent="0.2">
      <c r="A3072" s="21"/>
      <c r="B3072" s="2"/>
      <c r="C3072" s="2"/>
      <c r="D3072" s="2"/>
    </row>
    <row r="3073" spans="1:4" ht="12.75" customHeight="1" x14ac:dyDescent="0.2">
      <c r="A3073" s="21"/>
      <c r="B3073" s="2"/>
      <c r="C3073" s="2"/>
      <c r="D3073" s="2"/>
    </row>
    <row r="3074" spans="1:4" ht="12.75" customHeight="1" x14ac:dyDescent="0.2">
      <c r="A3074" s="21"/>
      <c r="B3074" s="2"/>
      <c r="C3074" s="2"/>
      <c r="D3074" s="2"/>
    </row>
    <row r="3075" spans="1:4" ht="12.75" customHeight="1" x14ac:dyDescent="0.2">
      <c r="A3075" s="21"/>
      <c r="B3075" s="2"/>
      <c r="C3075" s="2"/>
      <c r="D3075" s="2"/>
    </row>
    <row r="3076" spans="1:4" ht="12.75" customHeight="1" x14ac:dyDescent="0.2">
      <c r="A3076" s="5"/>
      <c r="B3076" s="2"/>
      <c r="C3076" s="2"/>
      <c r="D3076" s="2"/>
    </row>
    <row r="3077" spans="1:4" ht="12.75" customHeight="1" x14ac:dyDescent="0.2">
      <c r="A3077" s="22" t="str">
        <f>HYPERLINK("javascript:void(0)","kalmárpáncél")</f>
        <v>kalmárpáncél</v>
      </c>
      <c r="B3077" s="21"/>
      <c r="C3077" s="21"/>
      <c r="D3077" s="21"/>
    </row>
    <row r="3078" spans="1:4" ht="12.75" customHeight="1" x14ac:dyDescent="0.2">
      <c r="A3078" s="20"/>
      <c r="B3078" s="2"/>
      <c r="C3078" s="2"/>
      <c r="D3078" s="2"/>
    </row>
    <row r="3079" spans="1:4" ht="12.75" customHeight="1" x14ac:dyDescent="0.2">
      <c r="A3079" s="21"/>
      <c r="B3079" s="3" t="s">
        <v>0</v>
      </c>
      <c r="C3079" s="20" t="s">
        <v>112</v>
      </c>
      <c r="D3079" s="21"/>
    </row>
    <row r="3080" spans="1:4" ht="12.75" customHeight="1" x14ac:dyDescent="0.2">
      <c r="A3080" s="21"/>
      <c r="B3080" s="3" t="s">
        <v>2</v>
      </c>
      <c r="C3080" s="20" t="s">
        <v>2322</v>
      </c>
      <c r="D3080" s="21"/>
    </row>
    <row r="3081" spans="1:4" ht="12.75" customHeight="1" x14ac:dyDescent="0.2">
      <c r="A3081" s="21"/>
      <c r="B3081" s="3" t="s">
        <v>1840</v>
      </c>
      <c r="C3081" s="20" t="s">
        <v>2533</v>
      </c>
      <c r="D3081" s="21"/>
    </row>
    <row r="3082" spans="1:4" ht="12.75" customHeight="1" x14ac:dyDescent="0.2">
      <c r="A3082" s="21"/>
      <c r="B3082" s="3" t="s">
        <v>9</v>
      </c>
      <c r="C3082" s="20" t="s">
        <v>36</v>
      </c>
      <c r="D3082" s="21"/>
    </row>
    <row r="3083" spans="1:4" ht="12.75" customHeight="1" x14ac:dyDescent="0.2">
      <c r="A3083" s="21"/>
      <c r="B3083" s="3" t="s">
        <v>11</v>
      </c>
      <c r="C3083" s="20" t="s">
        <v>1607</v>
      </c>
      <c r="D3083" s="21"/>
    </row>
    <row r="3084" spans="1:4" ht="12.75" customHeight="1" x14ac:dyDescent="0.2">
      <c r="A3084" s="21"/>
      <c r="B3084" s="3" t="s">
        <v>16</v>
      </c>
      <c r="C3084" s="20"/>
      <c r="D3084" s="21"/>
    </row>
    <row r="3085" spans="1:4" ht="12.75" customHeight="1" x14ac:dyDescent="0.2">
      <c r="A3085" s="21"/>
      <c r="B3085" s="3" t="s">
        <v>17</v>
      </c>
      <c r="C3085" s="20" t="s">
        <v>19</v>
      </c>
      <c r="D3085" s="21"/>
    </row>
    <row r="3086" spans="1:4" ht="12.75" customHeight="1" x14ac:dyDescent="0.2">
      <c r="A3086" s="21"/>
      <c r="B3086" s="20" t="s">
        <v>18</v>
      </c>
      <c r="C3086" s="4" t="s">
        <v>780</v>
      </c>
      <c r="D3086" s="6" t="str">
        <f>HYPERLINK("javascript:void(0)","merkantid")</f>
        <v>merkantid</v>
      </c>
    </row>
    <row r="3087" spans="1:4" ht="12.75" customHeight="1" x14ac:dyDescent="0.2">
      <c r="A3087" s="21"/>
      <c r="B3087" s="21"/>
      <c r="C3087" s="4" t="s">
        <v>163</v>
      </c>
      <c r="D3087" s="6" t="str">
        <f>HYPERLINK("javascript:void(0)","mágusköpeny")</f>
        <v>mágusköpeny</v>
      </c>
    </row>
    <row r="3088" spans="1:4" ht="12.75" customHeight="1" x14ac:dyDescent="0.2">
      <c r="A3088" s="21"/>
      <c r="B3088" s="21"/>
      <c r="C3088" s="4" t="s">
        <v>780</v>
      </c>
      <c r="D3088" s="6" t="str">
        <f>HYPERLINK("javascript:void(0)","méregcsepp")</f>
        <v>méregcsepp</v>
      </c>
    </row>
    <row r="3089" spans="1:4" ht="12.75" customHeight="1" x14ac:dyDescent="0.2">
      <c r="A3089" s="21"/>
      <c r="B3089" s="2"/>
      <c r="C3089" s="2"/>
      <c r="D3089" s="2"/>
    </row>
    <row r="3090" spans="1:4" ht="12.75" customHeight="1" x14ac:dyDescent="0.2">
      <c r="A3090" s="21"/>
      <c r="B3090" s="2"/>
      <c r="C3090" s="2"/>
      <c r="D3090" s="2"/>
    </row>
    <row r="3091" spans="1:4" ht="12.75" customHeight="1" x14ac:dyDescent="0.2">
      <c r="A3091" s="21"/>
      <c r="B3091" s="2"/>
      <c r="C3091" s="2"/>
      <c r="D3091" s="2"/>
    </row>
    <row r="3092" spans="1:4" ht="12.75" customHeight="1" x14ac:dyDescent="0.2">
      <c r="A3092" s="21"/>
      <c r="B3092" s="2"/>
      <c r="C3092" s="2"/>
      <c r="D3092" s="2"/>
    </row>
    <row r="3093" spans="1:4" ht="12.75" customHeight="1" x14ac:dyDescent="0.2">
      <c r="A3093" s="5"/>
      <c r="B3093" s="2"/>
      <c r="C3093" s="2"/>
      <c r="D3093" s="2"/>
    </row>
    <row r="3094" spans="1:4" ht="12.75" customHeight="1" x14ac:dyDescent="0.2">
      <c r="A3094" s="22" t="str">
        <f>HYPERLINK("javascript:void(0)","légpáncél")</f>
        <v>légpáncél</v>
      </c>
      <c r="B3094" s="21"/>
      <c r="C3094" s="21"/>
      <c r="D3094" s="21"/>
    </row>
    <row r="3095" spans="1:4" ht="12.75" customHeight="1" x14ac:dyDescent="0.2">
      <c r="A3095" s="20"/>
      <c r="B3095" s="2"/>
      <c r="C3095" s="2"/>
      <c r="D3095" s="2"/>
    </row>
    <row r="3096" spans="1:4" ht="12.75" customHeight="1" x14ac:dyDescent="0.2">
      <c r="A3096" s="21"/>
      <c r="B3096" s="3" t="s">
        <v>0</v>
      </c>
      <c r="C3096" s="20" t="s">
        <v>1165</v>
      </c>
      <c r="D3096" s="21"/>
    </row>
    <row r="3097" spans="1:4" ht="12.75" customHeight="1" x14ac:dyDescent="0.2">
      <c r="A3097" s="21"/>
      <c r="B3097" s="3" t="s">
        <v>2</v>
      </c>
      <c r="C3097" s="20" t="s">
        <v>2322</v>
      </c>
      <c r="D3097" s="21"/>
    </row>
    <row r="3098" spans="1:4" ht="12.75" customHeight="1" x14ac:dyDescent="0.2">
      <c r="A3098" s="21"/>
      <c r="B3098" s="3" t="s">
        <v>1840</v>
      </c>
      <c r="C3098" s="20" t="s">
        <v>2534</v>
      </c>
      <c r="D3098" s="21"/>
    </row>
    <row r="3099" spans="1:4" ht="12.75" customHeight="1" x14ac:dyDescent="0.2">
      <c r="A3099" s="21"/>
      <c r="B3099" s="3" t="s">
        <v>9</v>
      </c>
      <c r="C3099" s="20" t="s">
        <v>665</v>
      </c>
      <c r="D3099" s="21"/>
    </row>
    <row r="3100" spans="1:4" ht="12.75" customHeight="1" x14ac:dyDescent="0.2">
      <c r="A3100" s="21"/>
      <c r="B3100" s="3" t="s">
        <v>11</v>
      </c>
      <c r="C3100" s="20" t="s">
        <v>2218</v>
      </c>
      <c r="D3100" s="21"/>
    </row>
    <row r="3101" spans="1:4" ht="12.75" customHeight="1" x14ac:dyDescent="0.2">
      <c r="A3101" s="21"/>
      <c r="B3101" s="3" t="s">
        <v>16</v>
      </c>
      <c r="C3101" s="20"/>
      <c r="D3101" s="21"/>
    </row>
    <row r="3102" spans="1:4" ht="12.75" customHeight="1" x14ac:dyDescent="0.2">
      <c r="A3102" s="21"/>
      <c r="B3102" s="3" t="s">
        <v>17</v>
      </c>
      <c r="C3102" s="20" t="s">
        <v>19</v>
      </c>
      <c r="D3102" s="21"/>
    </row>
    <row r="3103" spans="1:4" ht="12.75" customHeight="1" x14ac:dyDescent="0.2">
      <c r="A3103" s="21"/>
      <c r="B3103" s="20" t="s">
        <v>18</v>
      </c>
      <c r="C3103" s="4" t="s">
        <v>44</v>
      </c>
      <c r="D3103" s="6" t="str">
        <f>HYPERLINK("javascript:void(0)","kitinvért")</f>
        <v>kitinvért</v>
      </c>
    </row>
    <row r="3104" spans="1:4" ht="12.75" customHeight="1" x14ac:dyDescent="0.2">
      <c r="A3104" s="21"/>
      <c r="B3104" s="21"/>
      <c r="C3104" s="4" t="s">
        <v>44</v>
      </c>
      <c r="D3104" s="6" t="str">
        <f>HYPERLINK("javascript:void(0)","légmellény")</f>
        <v>légmellény</v>
      </c>
    </row>
    <row r="3105" spans="1:4" ht="12.75" customHeight="1" x14ac:dyDescent="0.2">
      <c r="A3105" s="21"/>
      <c r="B3105" s="21"/>
      <c r="C3105" s="4" t="s">
        <v>44</v>
      </c>
      <c r="D3105" s="6" t="str">
        <f>HYPERLINK("javascript:void(0)","kalmárpáncél")</f>
        <v>kalmárpáncél</v>
      </c>
    </row>
    <row r="3106" spans="1:4" ht="12.75" customHeight="1" x14ac:dyDescent="0.2">
      <c r="A3106" s="21"/>
      <c r="B3106" s="2"/>
      <c r="C3106" s="2"/>
      <c r="D3106" s="2"/>
    </row>
    <row r="3107" spans="1:4" ht="12.75" customHeight="1" x14ac:dyDescent="0.2">
      <c r="A3107" s="21"/>
      <c r="B3107" s="2"/>
      <c r="C3107" s="2"/>
      <c r="D3107" s="2"/>
    </row>
    <row r="3108" spans="1:4" ht="12.75" customHeight="1" x14ac:dyDescent="0.2">
      <c r="A3108" s="21"/>
      <c r="B3108" s="2"/>
      <c r="C3108" s="2"/>
      <c r="D3108" s="2"/>
    </row>
    <row r="3109" spans="1:4" ht="12.75" customHeight="1" x14ac:dyDescent="0.2">
      <c r="A3109" s="21"/>
      <c r="B3109" s="2"/>
      <c r="C3109" s="2"/>
      <c r="D3109" s="2"/>
    </row>
    <row r="3110" spans="1:4" ht="12.75" customHeight="1" x14ac:dyDescent="0.2">
      <c r="A3110" s="5"/>
      <c r="B3110" s="2"/>
      <c r="C3110" s="2"/>
      <c r="D3110" s="2"/>
    </row>
    <row r="3111" spans="1:4" ht="12.75" customHeight="1" x14ac:dyDescent="0.2">
      <c r="A3111" s="22" t="str">
        <f>HYPERLINK("javascript:void(0)","légmellény")</f>
        <v>légmellény</v>
      </c>
      <c r="B3111" s="21"/>
      <c r="C3111" s="21"/>
      <c r="D3111" s="21"/>
    </row>
    <row r="3112" spans="1:4" ht="12.75" customHeight="1" x14ac:dyDescent="0.2">
      <c r="A3112" s="20"/>
      <c r="B3112" s="2"/>
      <c r="C3112" s="2"/>
      <c r="D3112" s="2"/>
    </row>
    <row r="3113" spans="1:4" ht="12.75" customHeight="1" x14ac:dyDescent="0.2">
      <c r="A3113" s="21"/>
      <c r="B3113" s="3" t="s">
        <v>0</v>
      </c>
      <c r="C3113" s="20" t="s">
        <v>1165</v>
      </c>
      <c r="D3113" s="21"/>
    </row>
    <row r="3114" spans="1:4" ht="12.75" customHeight="1" x14ac:dyDescent="0.2">
      <c r="A3114" s="21"/>
      <c r="B3114" s="3" t="s">
        <v>2</v>
      </c>
      <c r="C3114" s="20" t="s">
        <v>2322</v>
      </c>
      <c r="D3114" s="21"/>
    </row>
    <row r="3115" spans="1:4" ht="12.75" customHeight="1" x14ac:dyDescent="0.2">
      <c r="A3115" s="21"/>
      <c r="B3115" s="3" t="s">
        <v>1840</v>
      </c>
      <c r="C3115" s="20" t="s">
        <v>253</v>
      </c>
      <c r="D3115" s="21"/>
    </row>
    <row r="3116" spans="1:4" ht="12.75" customHeight="1" x14ac:dyDescent="0.2">
      <c r="A3116" s="21"/>
      <c r="B3116" s="3" t="s">
        <v>9</v>
      </c>
      <c r="C3116" s="20" t="s">
        <v>2535</v>
      </c>
      <c r="D3116" s="21"/>
    </row>
    <row r="3117" spans="1:4" ht="12.75" customHeight="1" x14ac:dyDescent="0.2">
      <c r="A3117" s="21"/>
      <c r="B3117" s="3" t="s">
        <v>11</v>
      </c>
      <c r="C3117" s="20" t="s">
        <v>2536</v>
      </c>
      <c r="D3117" s="21"/>
    </row>
    <row r="3118" spans="1:4" ht="12.75" customHeight="1" x14ac:dyDescent="0.2">
      <c r="A3118" s="21"/>
      <c r="B3118" s="3" t="s">
        <v>16</v>
      </c>
      <c r="C3118" s="20"/>
      <c r="D3118" s="21"/>
    </row>
    <row r="3119" spans="1:4" ht="12.75" customHeight="1" x14ac:dyDescent="0.2">
      <c r="A3119" s="21"/>
      <c r="B3119" s="3" t="s">
        <v>17</v>
      </c>
      <c r="C3119" s="20" t="s">
        <v>19</v>
      </c>
      <c r="D3119" s="21"/>
    </row>
    <row r="3120" spans="1:4" ht="12.75" customHeight="1" x14ac:dyDescent="0.2">
      <c r="A3120" s="21"/>
      <c r="B3120" s="20" t="s">
        <v>18</v>
      </c>
      <c r="C3120" s="4" t="s">
        <v>756</v>
      </c>
      <c r="D3120" s="6" t="str">
        <f>HYPERLINK("javascript:void(0)","légpatkó")</f>
        <v>légpatkó</v>
      </c>
    </row>
    <row r="3121" spans="1:4" ht="12.75" customHeight="1" x14ac:dyDescent="0.2">
      <c r="A3121" s="21"/>
      <c r="B3121" s="21"/>
      <c r="C3121" s="4" t="s">
        <v>809</v>
      </c>
      <c r="D3121" s="6" t="str">
        <f>HYPERLINK("javascript:void(0)","patkányfarok")</f>
        <v>patkányfarok</v>
      </c>
    </row>
    <row r="3122" spans="1:4" ht="12.75" customHeight="1" x14ac:dyDescent="0.2">
      <c r="A3122" s="21"/>
      <c r="B3122" s="21"/>
      <c r="C3122" s="4" t="s">
        <v>296</v>
      </c>
      <c r="D3122" s="6" t="str">
        <f>HYPERLINK("javascript:void(0)","hidegige")</f>
        <v>hidegige</v>
      </c>
    </row>
    <row r="3123" spans="1:4" ht="12.75" customHeight="1" x14ac:dyDescent="0.2">
      <c r="A3123" s="21"/>
      <c r="B3123" s="2"/>
      <c r="C3123" s="2"/>
      <c r="D3123" s="2"/>
    </row>
    <row r="3124" spans="1:4" ht="12.75" customHeight="1" x14ac:dyDescent="0.2">
      <c r="A3124" s="21"/>
      <c r="B3124" s="2"/>
      <c r="C3124" s="2"/>
      <c r="D3124" s="2"/>
    </row>
    <row r="3125" spans="1:4" ht="12.75" customHeight="1" x14ac:dyDescent="0.2">
      <c r="A3125" s="21"/>
      <c r="B3125" s="2"/>
      <c r="C3125" s="2"/>
      <c r="D3125" s="2"/>
    </row>
    <row r="3126" spans="1:4" ht="12.75" customHeight="1" x14ac:dyDescent="0.2">
      <c r="A3126" s="21"/>
      <c r="B3126" s="2"/>
      <c r="C3126" s="2"/>
      <c r="D3126" s="2"/>
    </row>
    <row r="3127" spans="1:4" ht="12.75" customHeight="1" x14ac:dyDescent="0.2">
      <c r="A3127" s="5"/>
      <c r="B3127" s="2"/>
      <c r="C3127" s="2"/>
      <c r="D3127" s="2"/>
    </row>
    <row r="3128" spans="1:4" ht="12.75" customHeight="1" x14ac:dyDescent="0.2">
      <c r="A3128" s="22" t="str">
        <f>HYPERLINK("javascript:void(0)","csillámló pengepáncél")</f>
        <v>csillámló pengepáncél</v>
      </c>
      <c r="B3128" s="21"/>
      <c r="C3128" s="21"/>
      <c r="D3128" s="21"/>
    </row>
    <row r="3129" spans="1:4" ht="12.75" customHeight="1" x14ac:dyDescent="0.2">
      <c r="A3129" s="20"/>
      <c r="B3129" s="2"/>
      <c r="C3129" s="2"/>
      <c r="D3129" s="2"/>
    </row>
    <row r="3130" spans="1:4" ht="12.75" customHeight="1" x14ac:dyDescent="0.2">
      <c r="A3130" s="21"/>
      <c r="B3130" s="3" t="s">
        <v>0</v>
      </c>
      <c r="C3130" s="20" t="s">
        <v>1174</v>
      </c>
      <c r="D3130" s="21"/>
    </row>
    <row r="3131" spans="1:4" ht="12.75" customHeight="1" x14ac:dyDescent="0.2">
      <c r="A3131" s="21"/>
      <c r="B3131" s="3" t="s">
        <v>2</v>
      </c>
      <c r="C3131" s="20" t="s">
        <v>2322</v>
      </c>
      <c r="D3131" s="21"/>
    </row>
    <row r="3132" spans="1:4" ht="12.75" customHeight="1" x14ac:dyDescent="0.2">
      <c r="A3132" s="21"/>
      <c r="B3132" s="3" t="s">
        <v>1840</v>
      </c>
      <c r="C3132" s="20" t="s">
        <v>2537</v>
      </c>
      <c r="D3132" s="21"/>
    </row>
    <row r="3133" spans="1:4" ht="12.75" customHeight="1" x14ac:dyDescent="0.2">
      <c r="A3133" s="21"/>
      <c r="B3133" s="3" t="s">
        <v>9</v>
      </c>
      <c r="C3133" s="20" t="s">
        <v>113</v>
      </c>
      <c r="D3133" s="21"/>
    </row>
    <row r="3134" spans="1:4" ht="12.75" customHeight="1" x14ac:dyDescent="0.2">
      <c r="A3134" s="21"/>
      <c r="B3134" s="3" t="s">
        <v>11</v>
      </c>
      <c r="C3134" s="20" t="s">
        <v>2222</v>
      </c>
      <c r="D3134" s="21"/>
    </row>
    <row r="3135" spans="1:4" ht="12.75" customHeight="1" x14ac:dyDescent="0.2">
      <c r="A3135" s="21"/>
      <c r="B3135" s="3" t="s">
        <v>16</v>
      </c>
      <c r="C3135" s="20"/>
      <c r="D3135" s="21"/>
    </row>
    <row r="3136" spans="1:4" ht="12.75" customHeight="1" x14ac:dyDescent="0.2">
      <c r="A3136" s="21"/>
      <c r="B3136" s="3" t="s">
        <v>17</v>
      </c>
      <c r="C3136" s="20" t="s">
        <v>19</v>
      </c>
      <c r="D3136" s="21"/>
    </row>
    <row r="3137" spans="1:4" ht="12.75" customHeight="1" x14ac:dyDescent="0.2">
      <c r="A3137" s="21"/>
      <c r="B3137" s="20" t="s">
        <v>18</v>
      </c>
      <c r="C3137" s="4" t="s">
        <v>57</v>
      </c>
      <c r="D3137" s="6" t="str">
        <f>HYPERLINK("javascript:void(0)","csillámgöb")</f>
        <v>csillámgöb</v>
      </c>
    </row>
    <row r="3138" spans="1:4" ht="12.75" customHeight="1" x14ac:dyDescent="0.2">
      <c r="A3138" s="21"/>
      <c r="B3138" s="21"/>
      <c r="C3138" s="4" t="s">
        <v>44</v>
      </c>
      <c r="D3138" s="6" t="str">
        <f>HYPERLINK("javascript:void(0)","csillámló trollpáncél")</f>
        <v>csillámló trollpáncél</v>
      </c>
    </row>
    <row r="3139" spans="1:4" ht="12.75" customHeight="1" x14ac:dyDescent="0.2">
      <c r="A3139" s="21"/>
      <c r="B3139" s="21"/>
      <c r="C3139" s="4" t="s">
        <v>163</v>
      </c>
      <c r="D3139" s="6" t="str">
        <f>HYPERLINK("javascript:void(0)","hídpenge")</f>
        <v>hídpenge</v>
      </c>
    </row>
    <row r="3140" spans="1:4" ht="12.75" customHeight="1" x14ac:dyDescent="0.2">
      <c r="A3140" s="21"/>
      <c r="B3140" s="2"/>
      <c r="C3140" s="2"/>
      <c r="D3140" s="2"/>
    </row>
    <row r="3141" spans="1:4" ht="12.75" customHeight="1" x14ac:dyDescent="0.2">
      <c r="A3141" s="21"/>
      <c r="B3141" s="2"/>
      <c r="C3141" s="2"/>
      <c r="D3141" s="2"/>
    </row>
    <row r="3142" spans="1:4" ht="12.75" customHeight="1" x14ac:dyDescent="0.2">
      <c r="A3142" s="21"/>
      <c r="B3142" s="2"/>
      <c r="C3142" s="2"/>
      <c r="D3142" s="2"/>
    </row>
    <row r="3143" spans="1:4" ht="12.75" customHeight="1" x14ac:dyDescent="0.2">
      <c r="A3143" s="21"/>
      <c r="B3143" s="2"/>
      <c r="C3143" s="2"/>
      <c r="D3143" s="2"/>
    </row>
    <row r="3144" spans="1:4" ht="12.75" customHeight="1" x14ac:dyDescent="0.2">
      <c r="A3144" s="5"/>
      <c r="B3144" s="2"/>
      <c r="C3144" s="2"/>
      <c r="D3144" s="2"/>
    </row>
    <row r="3145" spans="1:4" ht="12.75" customHeight="1" x14ac:dyDescent="0.2">
      <c r="A3145" s="22" t="str">
        <f>HYPERLINK("javascript:void(0)","légvért")</f>
        <v>légvért</v>
      </c>
      <c r="B3145" s="21"/>
      <c r="C3145" s="21"/>
      <c r="D3145" s="21"/>
    </row>
    <row r="3146" spans="1:4" ht="12.75" customHeight="1" x14ac:dyDescent="0.2">
      <c r="A3146" s="20"/>
      <c r="B3146" s="2"/>
      <c r="C3146" s="2"/>
      <c r="D3146" s="2"/>
    </row>
    <row r="3147" spans="1:4" ht="12.75" customHeight="1" x14ac:dyDescent="0.2">
      <c r="A3147" s="21"/>
      <c r="B3147" s="3" t="s">
        <v>0</v>
      </c>
      <c r="C3147" s="20" t="s">
        <v>1174</v>
      </c>
      <c r="D3147" s="21"/>
    </row>
    <row r="3148" spans="1:4" ht="12.75" customHeight="1" x14ac:dyDescent="0.2">
      <c r="A3148" s="21"/>
      <c r="B3148" s="3" t="s">
        <v>2</v>
      </c>
      <c r="C3148" s="20" t="s">
        <v>2322</v>
      </c>
      <c r="D3148" s="21"/>
    </row>
    <row r="3149" spans="1:4" ht="12.75" customHeight="1" x14ac:dyDescent="0.2">
      <c r="A3149" s="21"/>
      <c r="B3149" s="3" t="s">
        <v>1840</v>
      </c>
      <c r="C3149" s="20" t="s">
        <v>2538</v>
      </c>
      <c r="D3149" s="21"/>
    </row>
    <row r="3150" spans="1:4" ht="12.75" customHeight="1" x14ac:dyDescent="0.2">
      <c r="A3150" s="21"/>
      <c r="B3150" s="3" t="s">
        <v>9</v>
      </c>
      <c r="C3150" s="20" t="s">
        <v>2229</v>
      </c>
      <c r="D3150" s="21"/>
    </row>
    <row r="3151" spans="1:4" ht="12.75" customHeight="1" x14ac:dyDescent="0.2">
      <c r="A3151" s="21"/>
      <c r="B3151" s="3" t="s">
        <v>11</v>
      </c>
      <c r="C3151" s="20" t="s">
        <v>2222</v>
      </c>
      <c r="D3151" s="21"/>
    </row>
    <row r="3152" spans="1:4" ht="12.75" customHeight="1" x14ac:dyDescent="0.2">
      <c r="A3152" s="21"/>
      <c r="B3152" s="3" t="s">
        <v>16</v>
      </c>
      <c r="C3152" s="20"/>
      <c r="D3152" s="21"/>
    </row>
    <row r="3153" spans="1:4" ht="12.75" customHeight="1" x14ac:dyDescent="0.2">
      <c r="A3153" s="21"/>
      <c r="B3153" s="3" t="s">
        <v>17</v>
      </c>
      <c r="C3153" s="20" t="s">
        <v>19</v>
      </c>
      <c r="D3153" s="21"/>
    </row>
    <row r="3154" spans="1:4" ht="12.75" customHeight="1" x14ac:dyDescent="0.2">
      <c r="A3154" s="21"/>
      <c r="B3154" s="20" t="s">
        <v>18</v>
      </c>
      <c r="C3154" s="4" t="s">
        <v>780</v>
      </c>
      <c r="D3154" s="6" t="str">
        <f>HYPERLINK("javascript:void(0)","faunszarv")</f>
        <v>faunszarv</v>
      </c>
    </row>
    <row r="3155" spans="1:4" ht="12.75" customHeight="1" x14ac:dyDescent="0.2">
      <c r="A3155" s="21"/>
      <c r="B3155" s="21"/>
      <c r="C3155" s="4" t="s">
        <v>44</v>
      </c>
      <c r="D3155" s="6" t="str">
        <f>HYPERLINK("javascript:void(0)","légpáncél")</f>
        <v>légpáncél</v>
      </c>
    </row>
    <row r="3156" spans="1:4" ht="12.75" customHeight="1" x14ac:dyDescent="0.2">
      <c r="A3156" s="21"/>
      <c r="B3156" s="21"/>
      <c r="C3156" s="4" t="s">
        <v>809</v>
      </c>
      <c r="D3156" s="6" t="str">
        <f>HYPERLINK("javascript:void(0)","zombiszem")</f>
        <v>zombiszem</v>
      </c>
    </row>
    <row r="3157" spans="1:4" ht="12.75" customHeight="1" x14ac:dyDescent="0.2">
      <c r="A3157" s="21"/>
      <c r="B3157" s="2"/>
      <c r="C3157" s="2"/>
      <c r="D3157" s="2"/>
    </row>
    <row r="3158" spans="1:4" ht="12.75" customHeight="1" x14ac:dyDescent="0.2">
      <c r="A3158" s="21"/>
      <c r="B3158" s="2"/>
      <c r="C3158" s="2"/>
      <c r="D3158" s="2"/>
    </row>
    <row r="3159" spans="1:4" ht="12.75" customHeight="1" x14ac:dyDescent="0.2">
      <c r="A3159" s="21"/>
      <c r="B3159" s="2"/>
      <c r="C3159" s="2"/>
      <c r="D3159" s="2"/>
    </row>
    <row r="3160" spans="1:4" ht="12.75" customHeight="1" x14ac:dyDescent="0.2">
      <c r="A3160" s="21"/>
      <c r="B3160" s="2"/>
      <c r="C3160" s="2"/>
      <c r="D3160" s="2"/>
    </row>
    <row r="3161" spans="1:4" ht="12.75" customHeight="1" x14ac:dyDescent="0.2">
      <c r="A3161" s="5"/>
      <c r="B3161" s="2"/>
      <c r="C3161" s="2"/>
      <c r="D3161" s="2"/>
    </row>
    <row r="3162" spans="1:4" ht="12.75" customHeight="1" x14ac:dyDescent="0.2">
      <c r="A3162" s="22" t="str">
        <f>HYPERLINK("javascript:void(0)","lángvért")</f>
        <v>lángvért</v>
      </c>
      <c r="B3162" s="21"/>
      <c r="C3162" s="21"/>
      <c r="D3162" s="21"/>
    </row>
    <row r="3163" spans="1:4" ht="12.75" customHeight="1" x14ac:dyDescent="0.2">
      <c r="A3163" s="20"/>
      <c r="B3163" s="2"/>
      <c r="C3163" s="2"/>
      <c r="D3163" s="2"/>
    </row>
    <row r="3164" spans="1:4" ht="12.75" customHeight="1" x14ac:dyDescent="0.2">
      <c r="A3164" s="21"/>
      <c r="B3164" s="3" t="s">
        <v>0</v>
      </c>
      <c r="C3164" s="20" t="s">
        <v>119</v>
      </c>
      <c r="D3164" s="21"/>
    </row>
    <row r="3165" spans="1:4" ht="12.75" customHeight="1" x14ac:dyDescent="0.2">
      <c r="A3165" s="21"/>
      <c r="B3165" s="3" t="s">
        <v>2</v>
      </c>
      <c r="C3165" s="20" t="s">
        <v>2322</v>
      </c>
      <c r="D3165" s="21"/>
    </row>
    <row r="3166" spans="1:4" ht="12.75" customHeight="1" x14ac:dyDescent="0.2">
      <c r="A3166" s="21"/>
      <c r="B3166" s="3" t="s">
        <v>1840</v>
      </c>
      <c r="C3166" s="20" t="s">
        <v>2539</v>
      </c>
      <c r="D3166" s="21"/>
    </row>
    <row r="3167" spans="1:4" ht="12.75" customHeight="1" x14ac:dyDescent="0.2">
      <c r="A3167" s="21"/>
      <c r="B3167" s="3" t="s">
        <v>9</v>
      </c>
      <c r="C3167" s="20" t="s">
        <v>42</v>
      </c>
      <c r="D3167" s="21"/>
    </row>
    <row r="3168" spans="1:4" ht="12.75" customHeight="1" x14ac:dyDescent="0.2">
      <c r="A3168" s="21"/>
      <c r="B3168" s="3" t="s">
        <v>11</v>
      </c>
      <c r="C3168" s="20" t="s">
        <v>2540</v>
      </c>
      <c r="D3168" s="21"/>
    </row>
    <row r="3169" spans="1:4" ht="12.75" customHeight="1" x14ac:dyDescent="0.2">
      <c r="A3169" s="21"/>
      <c r="B3169" s="3" t="s">
        <v>16</v>
      </c>
      <c r="C3169" s="20"/>
      <c r="D3169" s="21"/>
    </row>
    <row r="3170" spans="1:4" ht="12.75" customHeight="1" x14ac:dyDescent="0.2">
      <c r="A3170" s="21"/>
      <c r="B3170" s="3" t="s">
        <v>17</v>
      </c>
      <c r="C3170" s="20" t="s">
        <v>19</v>
      </c>
      <c r="D3170" s="21"/>
    </row>
    <row r="3171" spans="1:4" ht="12.75" customHeight="1" x14ac:dyDescent="0.2">
      <c r="A3171" s="21"/>
      <c r="B3171" s="20" t="s">
        <v>18</v>
      </c>
      <c r="C3171" s="4" t="s">
        <v>68</v>
      </c>
      <c r="D3171" s="6" t="str">
        <f>HYPERLINK("javascript:void(0)","szellemláng")</f>
        <v>szellemláng</v>
      </c>
    </row>
    <row r="3172" spans="1:4" ht="12.75" customHeight="1" x14ac:dyDescent="0.2">
      <c r="A3172" s="21"/>
      <c r="B3172" s="21"/>
      <c r="C3172" s="4" t="s">
        <v>44</v>
      </c>
      <c r="D3172" s="6" t="str">
        <f>HYPERLINK("javascript:void(0)","légvért")</f>
        <v>légvért</v>
      </c>
    </row>
    <row r="3173" spans="1:4" ht="12.75" customHeight="1" x14ac:dyDescent="0.2">
      <c r="A3173" s="21"/>
      <c r="B3173" s="21"/>
      <c r="C3173" s="4" t="s">
        <v>57</v>
      </c>
      <c r="D3173" s="6" t="str">
        <f>HYPERLINK("javascript:void(0)","kéreg")</f>
        <v>kéreg</v>
      </c>
    </row>
    <row r="3174" spans="1:4" ht="12.75" customHeight="1" x14ac:dyDescent="0.2">
      <c r="A3174" s="21"/>
      <c r="B3174" s="2"/>
      <c r="C3174" s="2"/>
      <c r="D3174" s="2"/>
    </row>
    <row r="3175" spans="1:4" ht="12.75" customHeight="1" x14ac:dyDescent="0.2">
      <c r="A3175" s="21"/>
      <c r="B3175" s="2"/>
      <c r="C3175" s="2"/>
      <c r="D3175" s="2"/>
    </row>
    <row r="3176" spans="1:4" ht="12.75" customHeight="1" x14ac:dyDescent="0.2">
      <c r="A3176" s="21"/>
      <c r="B3176" s="2"/>
      <c r="C3176" s="2"/>
      <c r="D3176" s="2"/>
    </row>
    <row r="3177" spans="1:4" ht="12.75" customHeight="1" x14ac:dyDescent="0.2">
      <c r="A3177" s="21"/>
      <c r="B3177" s="2"/>
      <c r="C3177" s="2"/>
      <c r="D3177" s="2"/>
    </row>
    <row r="3178" spans="1:4" ht="12.75" customHeight="1" x14ac:dyDescent="0.2">
      <c r="A3178" s="5"/>
      <c r="B3178" s="2"/>
      <c r="C3178" s="2"/>
      <c r="D3178" s="2"/>
    </row>
    <row r="3179" spans="1:4" ht="12.75" customHeight="1" x14ac:dyDescent="0.2">
      <c r="A3179" s="22" t="str">
        <f>HYPERLINK("javascript:void(0)","nehézvért")</f>
        <v>nehézvért</v>
      </c>
      <c r="B3179" s="21"/>
      <c r="C3179" s="21"/>
      <c r="D3179" s="21"/>
    </row>
    <row r="3180" spans="1:4" ht="12.75" customHeight="1" x14ac:dyDescent="0.2">
      <c r="A3180" s="20"/>
      <c r="B3180" s="2"/>
      <c r="C3180" s="2"/>
      <c r="D3180" s="2"/>
    </row>
    <row r="3181" spans="1:4" ht="12.75" customHeight="1" x14ac:dyDescent="0.2">
      <c r="A3181" s="21"/>
      <c r="B3181" s="3" t="s">
        <v>0</v>
      </c>
      <c r="C3181" s="20" t="s">
        <v>1196</v>
      </c>
      <c r="D3181" s="21"/>
    </row>
    <row r="3182" spans="1:4" ht="12.75" customHeight="1" x14ac:dyDescent="0.2">
      <c r="A3182" s="21"/>
      <c r="B3182" s="3" t="s">
        <v>2</v>
      </c>
      <c r="C3182" s="20" t="s">
        <v>2322</v>
      </c>
      <c r="D3182" s="21"/>
    </row>
    <row r="3183" spans="1:4" ht="12.75" customHeight="1" x14ac:dyDescent="0.2">
      <c r="A3183" s="21"/>
      <c r="B3183" s="3" t="s">
        <v>1840</v>
      </c>
      <c r="C3183" s="20" t="s">
        <v>2541</v>
      </c>
      <c r="D3183" s="21"/>
    </row>
    <row r="3184" spans="1:4" ht="12.75" customHeight="1" x14ac:dyDescent="0.2">
      <c r="A3184" s="21"/>
      <c r="B3184" s="3" t="s">
        <v>9</v>
      </c>
      <c r="C3184" s="20" t="s">
        <v>1255</v>
      </c>
      <c r="D3184" s="21"/>
    </row>
    <row r="3185" spans="1:4" ht="12.75" customHeight="1" x14ac:dyDescent="0.2">
      <c r="A3185" s="21"/>
      <c r="B3185" s="3" t="s">
        <v>11</v>
      </c>
      <c r="C3185" s="20" t="s">
        <v>2542</v>
      </c>
      <c r="D3185" s="21"/>
    </row>
    <row r="3186" spans="1:4" ht="12.75" customHeight="1" x14ac:dyDescent="0.2">
      <c r="A3186" s="21"/>
      <c r="B3186" s="3" t="s">
        <v>16</v>
      </c>
      <c r="C3186" s="20"/>
      <c r="D3186" s="21"/>
    </row>
    <row r="3187" spans="1:4" ht="12.75" customHeight="1" x14ac:dyDescent="0.2">
      <c r="A3187" s="21"/>
      <c r="B3187" s="3" t="s">
        <v>17</v>
      </c>
      <c r="C3187" s="20" t="s">
        <v>19</v>
      </c>
      <c r="D3187" s="21"/>
    </row>
    <row r="3188" spans="1:4" ht="12.75" customHeight="1" x14ac:dyDescent="0.2">
      <c r="A3188" s="21"/>
      <c r="B3188" s="20" t="s">
        <v>18</v>
      </c>
      <c r="C3188" s="4" t="s">
        <v>117</v>
      </c>
      <c r="D3188" s="6" t="str">
        <f>HYPERLINK("javascript:void(0)","nehézvíz")</f>
        <v>nehézvíz</v>
      </c>
    </row>
    <row r="3189" spans="1:4" ht="12.75" customHeight="1" x14ac:dyDescent="0.2">
      <c r="A3189" s="21"/>
      <c r="B3189" s="21"/>
      <c r="C3189" s="4" t="s">
        <v>68</v>
      </c>
      <c r="D3189" s="6" t="str">
        <f>HYPERLINK("javascript:void(0)","kígyópikkely")</f>
        <v>kígyópikkely</v>
      </c>
    </row>
    <row r="3190" spans="1:4" ht="12.75" customHeight="1" x14ac:dyDescent="0.2">
      <c r="A3190" s="21"/>
      <c r="B3190" s="21"/>
      <c r="C3190" s="4" t="s">
        <v>67</v>
      </c>
      <c r="D3190" s="6" t="str">
        <f>HYPERLINK("javascript:void(0)","lombik")</f>
        <v>lombik</v>
      </c>
    </row>
    <row r="3191" spans="1:4" ht="12.75" customHeight="1" x14ac:dyDescent="0.2">
      <c r="A3191" s="21"/>
      <c r="B3191" s="2"/>
      <c r="C3191" s="2"/>
      <c r="D3191" s="2"/>
    </row>
    <row r="3192" spans="1:4" ht="12.75" customHeight="1" x14ac:dyDescent="0.2">
      <c r="A3192" s="21"/>
      <c r="B3192" s="2"/>
      <c r="C3192" s="2"/>
      <c r="D3192" s="2"/>
    </row>
    <row r="3193" spans="1:4" ht="12.75" customHeight="1" x14ac:dyDescent="0.2">
      <c r="A3193" s="21"/>
      <c r="B3193" s="2"/>
      <c r="C3193" s="2"/>
      <c r="D3193" s="2"/>
    </row>
    <row r="3194" spans="1:4" ht="12.75" customHeight="1" x14ac:dyDescent="0.2">
      <c r="A3194" s="21"/>
      <c r="B3194" s="2"/>
      <c r="C3194" s="2"/>
      <c r="D3194" s="2"/>
    </row>
    <row r="3195" spans="1:4" ht="12.75" customHeight="1" x14ac:dyDescent="0.2">
      <c r="A3195" s="5"/>
      <c r="B3195" s="2"/>
      <c r="C3195" s="2"/>
      <c r="D3195" s="2"/>
    </row>
    <row r="3196" spans="1:4" ht="12.75" customHeight="1" x14ac:dyDescent="0.2">
      <c r="A3196" s="22" t="str">
        <f>HYPERLINK("javascript:void(0)","idegen előlap")</f>
        <v>idegen előlap</v>
      </c>
      <c r="B3196" s="21"/>
      <c r="C3196" s="21"/>
      <c r="D3196" s="21"/>
    </row>
    <row r="3197" spans="1:4" ht="12.75" customHeight="1" x14ac:dyDescent="0.2">
      <c r="A3197" s="20"/>
      <c r="B3197" s="2"/>
      <c r="C3197" s="2"/>
      <c r="D3197" s="2"/>
    </row>
    <row r="3198" spans="1:4" ht="12.75" customHeight="1" x14ac:dyDescent="0.2">
      <c r="A3198" s="21"/>
      <c r="B3198" s="3" t="s">
        <v>0</v>
      </c>
      <c r="C3198" s="20" t="s">
        <v>1207</v>
      </c>
      <c r="D3198" s="21"/>
    </row>
    <row r="3199" spans="1:4" ht="12.75" customHeight="1" x14ac:dyDescent="0.2">
      <c r="A3199" s="21"/>
      <c r="B3199" s="3" t="s">
        <v>2</v>
      </c>
      <c r="C3199" s="20" t="s">
        <v>2322</v>
      </c>
      <c r="D3199" s="21"/>
    </row>
    <row r="3200" spans="1:4" ht="12.75" customHeight="1" x14ac:dyDescent="0.2">
      <c r="A3200" s="21"/>
      <c r="B3200" s="3" t="s">
        <v>1840</v>
      </c>
      <c r="C3200" s="20" t="s">
        <v>151</v>
      </c>
      <c r="D3200" s="21"/>
    </row>
    <row r="3201" spans="1:4" ht="12.75" customHeight="1" x14ac:dyDescent="0.2">
      <c r="A3201" s="21"/>
      <c r="B3201" s="3" t="s">
        <v>9</v>
      </c>
      <c r="C3201" s="20" t="s">
        <v>53</v>
      </c>
      <c r="D3201" s="21"/>
    </row>
    <row r="3202" spans="1:4" ht="12.75" customHeight="1" x14ac:dyDescent="0.2">
      <c r="A3202" s="21"/>
      <c r="B3202" s="3" t="s">
        <v>11</v>
      </c>
      <c r="C3202" s="20" t="s">
        <v>1075</v>
      </c>
      <c r="D3202" s="21"/>
    </row>
    <row r="3203" spans="1:4" ht="12.75" customHeight="1" x14ac:dyDescent="0.2">
      <c r="A3203" s="21"/>
      <c r="B3203" s="3" t="s">
        <v>16</v>
      </c>
      <c r="C3203" s="20"/>
      <c r="D3203" s="21"/>
    </row>
    <row r="3204" spans="1:4" ht="12.75" customHeight="1" x14ac:dyDescent="0.2">
      <c r="A3204" s="21"/>
      <c r="B3204" s="3" t="s">
        <v>17</v>
      </c>
      <c r="C3204" s="20" t="s">
        <v>19</v>
      </c>
      <c r="D3204" s="21"/>
    </row>
    <row r="3205" spans="1:4" ht="12.75" customHeight="1" x14ac:dyDescent="0.2">
      <c r="A3205" s="21"/>
      <c r="B3205" s="20" t="s">
        <v>18</v>
      </c>
      <c r="C3205" s="4" t="s">
        <v>117</v>
      </c>
      <c r="D3205" s="6" t="str">
        <f>HYPERLINK("javascript:void(0)","idegen herkentyű")</f>
        <v>idegen herkentyű</v>
      </c>
    </row>
    <row r="3206" spans="1:4" ht="12.75" customHeight="1" x14ac:dyDescent="0.2">
      <c r="A3206" s="21"/>
      <c r="B3206" s="21"/>
      <c r="C3206" s="4" t="s">
        <v>132</v>
      </c>
      <c r="D3206" s="6" t="str">
        <f>HYPERLINK("javascript:void(0)","idegen ketyere")</f>
        <v>idegen ketyere</v>
      </c>
    </row>
    <row r="3207" spans="1:4" ht="12.75" customHeight="1" x14ac:dyDescent="0.2">
      <c r="A3207" s="21"/>
      <c r="B3207" s="21"/>
      <c r="C3207" s="4" t="s">
        <v>67</v>
      </c>
      <c r="D3207" s="6" t="str">
        <f>HYPERLINK("javascript:void(0)","méregfog")</f>
        <v>méregfog</v>
      </c>
    </row>
    <row r="3208" spans="1:4" ht="12.75" customHeight="1" x14ac:dyDescent="0.2">
      <c r="A3208" s="21"/>
      <c r="B3208" s="2"/>
      <c r="C3208" s="2"/>
      <c r="D3208" s="2"/>
    </row>
    <row r="3209" spans="1:4" ht="12.75" customHeight="1" x14ac:dyDescent="0.2">
      <c r="A3209" s="21"/>
      <c r="B3209" s="2"/>
      <c r="C3209" s="2"/>
      <c r="D3209" s="2"/>
    </row>
    <row r="3210" spans="1:4" ht="12.75" customHeight="1" x14ac:dyDescent="0.2">
      <c r="A3210" s="21"/>
      <c r="B3210" s="2"/>
      <c r="C3210" s="2"/>
      <c r="D3210" s="2"/>
    </row>
    <row r="3211" spans="1:4" ht="12.75" customHeight="1" x14ac:dyDescent="0.2">
      <c r="A3211" s="21"/>
      <c r="B3211" s="2"/>
      <c r="C3211" s="2"/>
      <c r="D3211" s="2"/>
    </row>
    <row r="3212" spans="1:4" ht="12.75" customHeight="1" x14ac:dyDescent="0.2">
      <c r="A3212" s="5"/>
      <c r="B3212" s="2"/>
      <c r="C3212" s="2"/>
      <c r="D3212" s="2"/>
    </row>
    <row r="3213" spans="1:4" ht="12.75" customHeight="1" x14ac:dyDescent="0.2">
      <c r="A3213" s="22" t="str">
        <f>HYPERLINK("javascript:void(0)","idegen teljes vért")</f>
        <v>idegen teljes vért</v>
      </c>
      <c r="B3213" s="21"/>
      <c r="C3213" s="21"/>
      <c r="D3213" s="21"/>
    </row>
    <row r="3214" spans="1:4" ht="12.75" customHeight="1" x14ac:dyDescent="0.2">
      <c r="A3214" s="20"/>
      <c r="B3214" s="2"/>
      <c r="C3214" s="2"/>
      <c r="D3214" s="2"/>
    </row>
    <row r="3215" spans="1:4" ht="12.75" customHeight="1" x14ac:dyDescent="0.2">
      <c r="A3215" s="21"/>
      <c r="B3215" s="3" t="s">
        <v>0</v>
      </c>
      <c r="C3215" s="20" t="s">
        <v>1207</v>
      </c>
      <c r="D3215" s="21"/>
    </row>
    <row r="3216" spans="1:4" ht="12.75" customHeight="1" x14ac:dyDescent="0.2">
      <c r="A3216" s="21"/>
      <c r="B3216" s="3" t="s">
        <v>2</v>
      </c>
      <c r="C3216" s="20" t="s">
        <v>2322</v>
      </c>
      <c r="D3216" s="21"/>
    </row>
    <row r="3217" spans="1:4" ht="12.75" customHeight="1" x14ac:dyDescent="0.2">
      <c r="A3217" s="21"/>
      <c r="B3217" s="3" t="s">
        <v>1840</v>
      </c>
      <c r="C3217" s="20" t="s">
        <v>2543</v>
      </c>
      <c r="D3217" s="21"/>
    </row>
    <row r="3218" spans="1:4" ht="12.75" customHeight="1" x14ac:dyDescent="0.2">
      <c r="A3218" s="21"/>
      <c r="B3218" s="3" t="s">
        <v>9</v>
      </c>
      <c r="C3218" s="20" t="s">
        <v>93</v>
      </c>
      <c r="D3218" s="21"/>
    </row>
    <row r="3219" spans="1:4" ht="12.75" customHeight="1" x14ac:dyDescent="0.2">
      <c r="A3219" s="21"/>
      <c r="B3219" s="3" t="s">
        <v>11</v>
      </c>
      <c r="C3219" s="20" t="s">
        <v>2544</v>
      </c>
      <c r="D3219" s="21"/>
    </row>
    <row r="3220" spans="1:4" ht="12.75" customHeight="1" x14ac:dyDescent="0.2">
      <c r="A3220" s="21"/>
      <c r="B3220" s="3" t="s">
        <v>16</v>
      </c>
      <c r="C3220" s="20"/>
      <c r="D3220" s="21"/>
    </row>
    <row r="3221" spans="1:4" ht="12.75" customHeight="1" x14ac:dyDescent="0.2">
      <c r="A3221" s="21"/>
      <c r="B3221" s="3" t="s">
        <v>17</v>
      </c>
      <c r="C3221" s="20" t="s">
        <v>19</v>
      </c>
      <c r="D3221" s="21"/>
    </row>
    <row r="3222" spans="1:4" ht="12.75" customHeight="1" x14ac:dyDescent="0.2">
      <c r="A3222" s="21"/>
      <c r="B3222" s="20" t="s">
        <v>18</v>
      </c>
      <c r="C3222" s="4" t="s">
        <v>44</v>
      </c>
      <c r="D3222" s="6" t="str">
        <f>HYPERLINK("javascript:void(0)","idegen előlap")</f>
        <v>idegen előlap</v>
      </c>
    </row>
    <row r="3223" spans="1:4" ht="12.75" customHeight="1" x14ac:dyDescent="0.2">
      <c r="A3223" s="21"/>
      <c r="B3223" s="21"/>
      <c r="C3223" s="4" t="s">
        <v>44</v>
      </c>
      <c r="D3223" s="6" t="str">
        <f>HYPERLINK("javascript:void(0)","nehézvért")</f>
        <v>nehézvért</v>
      </c>
    </row>
    <row r="3224" spans="1:4" ht="12.75" customHeight="1" x14ac:dyDescent="0.2">
      <c r="A3224" s="21"/>
      <c r="B3224" s="21"/>
      <c r="C3224" s="4" t="s">
        <v>232</v>
      </c>
      <c r="D3224" s="6" t="str">
        <f>HYPERLINK("javascript:void(0)","fatális hiba")</f>
        <v>fatális hiba</v>
      </c>
    </row>
    <row r="3225" spans="1:4" ht="12.75" customHeight="1" x14ac:dyDescent="0.2">
      <c r="A3225" s="21"/>
      <c r="B3225" s="2"/>
      <c r="C3225" s="2"/>
      <c r="D3225" s="2"/>
    </row>
    <row r="3226" spans="1:4" ht="12.75" customHeight="1" x14ac:dyDescent="0.2">
      <c r="A3226" s="21"/>
      <c r="B3226" s="2"/>
      <c r="C3226" s="2"/>
      <c r="D3226" s="2"/>
    </row>
    <row r="3227" spans="1:4" ht="12.75" customHeight="1" x14ac:dyDescent="0.2">
      <c r="A3227" s="21"/>
      <c r="B3227" s="2"/>
      <c r="C3227" s="2"/>
      <c r="D3227" s="2"/>
    </row>
    <row r="3228" spans="1:4" ht="12.75" customHeight="1" x14ac:dyDescent="0.2">
      <c r="A3228" s="21"/>
      <c r="B3228" s="2"/>
      <c r="C3228" s="2"/>
      <c r="D3228" s="2"/>
    </row>
    <row r="3229" spans="1:4" ht="12.75" customHeight="1" x14ac:dyDescent="0.2">
      <c r="A3229" s="5"/>
      <c r="B3229" s="2"/>
      <c r="C3229" s="2"/>
      <c r="D3229" s="2"/>
    </row>
    <row r="3230" spans="1:4" ht="12.75" customHeight="1" x14ac:dyDescent="0.2">
      <c r="A3230" s="22" t="str">
        <f>HYPERLINK("javascript:void(0)","elefántvért")</f>
        <v>elefántvért</v>
      </c>
      <c r="B3230" s="21"/>
      <c r="C3230" s="21"/>
      <c r="D3230" s="21"/>
    </row>
    <row r="3231" spans="1:4" ht="12.75" customHeight="1" x14ac:dyDescent="0.2">
      <c r="A3231" s="20"/>
      <c r="B3231" s="2"/>
      <c r="C3231" s="2"/>
      <c r="D3231" s="2"/>
    </row>
    <row r="3232" spans="1:4" ht="12.75" customHeight="1" x14ac:dyDescent="0.2">
      <c r="A3232" s="21"/>
      <c r="B3232" s="3" t="s">
        <v>0</v>
      </c>
      <c r="C3232" s="20" t="s">
        <v>1213</v>
      </c>
      <c r="D3232" s="21"/>
    </row>
    <row r="3233" spans="1:4" ht="12.75" customHeight="1" x14ac:dyDescent="0.2">
      <c r="A3233" s="21"/>
      <c r="B3233" s="3" t="s">
        <v>2</v>
      </c>
      <c r="C3233" s="20" t="s">
        <v>2322</v>
      </c>
      <c r="D3233" s="21"/>
    </row>
    <row r="3234" spans="1:4" ht="12.75" customHeight="1" x14ac:dyDescent="0.2">
      <c r="A3234" s="21"/>
      <c r="B3234" s="3" t="s">
        <v>1840</v>
      </c>
      <c r="C3234" s="20" t="s">
        <v>2543</v>
      </c>
      <c r="D3234" s="21"/>
    </row>
    <row r="3235" spans="1:4" ht="12.75" customHeight="1" x14ac:dyDescent="0.2">
      <c r="A3235" s="21"/>
      <c r="B3235" s="3" t="s">
        <v>9</v>
      </c>
      <c r="C3235" s="20" t="s">
        <v>366</v>
      </c>
      <c r="D3235" s="21"/>
    </row>
    <row r="3236" spans="1:4" ht="12.75" customHeight="1" x14ac:dyDescent="0.2">
      <c r="A3236" s="21"/>
      <c r="B3236" s="3" t="s">
        <v>11</v>
      </c>
      <c r="C3236" s="20" t="s">
        <v>2545</v>
      </c>
      <c r="D3236" s="21"/>
    </row>
    <row r="3237" spans="1:4" ht="12.75" customHeight="1" x14ac:dyDescent="0.2">
      <c r="A3237" s="21"/>
      <c r="B3237" s="3" t="s">
        <v>16</v>
      </c>
      <c r="C3237" s="20"/>
      <c r="D3237" s="21"/>
    </row>
    <row r="3238" spans="1:4" ht="12.75" customHeight="1" x14ac:dyDescent="0.2">
      <c r="A3238" s="21"/>
      <c r="B3238" s="3" t="s">
        <v>17</v>
      </c>
      <c r="C3238" s="20" t="s">
        <v>19</v>
      </c>
      <c r="D3238" s="21"/>
    </row>
    <row r="3239" spans="1:4" ht="12.75" customHeight="1" x14ac:dyDescent="0.2">
      <c r="A3239" s="21"/>
      <c r="B3239" s="20" t="s">
        <v>18</v>
      </c>
      <c r="C3239" s="4" t="s">
        <v>55</v>
      </c>
      <c r="D3239" s="6" t="str">
        <f>HYPERLINK("javascript:void(0)","elefántcsont")</f>
        <v>elefántcsont</v>
      </c>
    </row>
    <row r="3240" spans="1:4" ht="12.75" customHeight="1" x14ac:dyDescent="0.2">
      <c r="A3240" s="21"/>
      <c r="B3240" s="21"/>
      <c r="C3240" s="4" t="s">
        <v>44</v>
      </c>
      <c r="D3240" s="6" t="str">
        <f>HYPERLINK("javascript:void(0)","idegen teljes vért")</f>
        <v>idegen teljes vért</v>
      </c>
    </row>
    <row r="3241" spans="1:4" ht="12.75" customHeight="1" x14ac:dyDescent="0.2">
      <c r="A3241" s="21"/>
      <c r="B3241" s="21"/>
      <c r="C3241" s="4" t="s">
        <v>68</v>
      </c>
      <c r="D3241" s="6" t="str">
        <f>HYPERLINK("javascript:void(0)","píszkereszt")</f>
        <v>píszkereszt</v>
      </c>
    </row>
    <row r="3242" spans="1:4" ht="12.75" customHeight="1" x14ac:dyDescent="0.2">
      <c r="A3242" s="21"/>
      <c r="B3242" s="2"/>
      <c r="C3242" s="2"/>
      <c r="D3242" s="2"/>
    </row>
    <row r="3243" spans="1:4" ht="12.75" customHeight="1" x14ac:dyDescent="0.2">
      <c r="A3243" s="21"/>
      <c r="B3243" s="2"/>
      <c r="C3243" s="2"/>
      <c r="D3243" s="2"/>
    </row>
    <row r="3244" spans="1:4" ht="12.75" customHeight="1" x14ac:dyDescent="0.2">
      <c r="A3244" s="21"/>
      <c r="B3244" s="2"/>
      <c r="C3244" s="2"/>
      <c r="D3244" s="2"/>
    </row>
    <row r="3245" spans="1:4" ht="12.75" customHeight="1" x14ac:dyDescent="0.2">
      <c r="A3245" s="21"/>
      <c r="B3245" s="2"/>
      <c r="C3245" s="2"/>
      <c r="D3245" s="2"/>
    </row>
    <row r="3246" spans="1:4" ht="12.75" customHeight="1" x14ac:dyDescent="0.2">
      <c r="A3246" s="5"/>
      <c r="B3246" s="2"/>
      <c r="C3246" s="2"/>
      <c r="D3246" s="2"/>
    </row>
    <row r="3247" spans="1:4" ht="12.75" customHeight="1" x14ac:dyDescent="0.2">
      <c r="A3247" s="22" t="str">
        <f>HYPERLINK("javascript:void(0)","csillámló manópáncél")</f>
        <v>csillámló manópáncél</v>
      </c>
      <c r="B3247" s="21"/>
      <c r="C3247" s="21"/>
      <c r="D3247" s="21"/>
    </row>
    <row r="3248" spans="1:4" ht="12.75" customHeight="1" x14ac:dyDescent="0.2">
      <c r="A3248" s="20"/>
      <c r="B3248" s="2"/>
      <c r="C3248" s="2"/>
      <c r="D3248" s="2"/>
    </row>
    <row r="3249" spans="1:4" ht="12.75" customHeight="1" x14ac:dyDescent="0.2">
      <c r="A3249" s="21"/>
      <c r="B3249" s="3" t="s">
        <v>0</v>
      </c>
      <c r="C3249" s="20" t="s">
        <v>230</v>
      </c>
      <c r="D3249" s="21"/>
    </row>
    <row r="3250" spans="1:4" ht="12.75" customHeight="1" x14ac:dyDescent="0.2">
      <c r="A3250" s="21"/>
      <c r="B3250" s="3" t="s">
        <v>2</v>
      </c>
      <c r="C3250" s="20" t="s">
        <v>2322</v>
      </c>
      <c r="D3250" s="21"/>
    </row>
    <row r="3251" spans="1:4" ht="12.75" customHeight="1" x14ac:dyDescent="0.2">
      <c r="A3251" s="21"/>
      <c r="B3251" s="3" t="s">
        <v>1840</v>
      </c>
      <c r="C3251" s="20" t="s">
        <v>2546</v>
      </c>
      <c r="D3251" s="21"/>
    </row>
    <row r="3252" spans="1:4" ht="12.75" customHeight="1" x14ac:dyDescent="0.2">
      <c r="A3252" s="21"/>
      <c r="B3252" s="3" t="s">
        <v>9</v>
      </c>
      <c r="C3252" s="20" t="s">
        <v>2547</v>
      </c>
      <c r="D3252" s="21"/>
    </row>
    <row r="3253" spans="1:4" ht="12.75" customHeight="1" x14ac:dyDescent="0.2">
      <c r="A3253" s="21"/>
      <c r="B3253" s="3" t="s">
        <v>11</v>
      </c>
      <c r="C3253" s="20" t="s">
        <v>2542</v>
      </c>
      <c r="D3253" s="21"/>
    </row>
    <row r="3254" spans="1:4" ht="12.75" customHeight="1" x14ac:dyDescent="0.2">
      <c r="A3254" s="21"/>
      <c r="B3254" s="3" t="s">
        <v>16</v>
      </c>
      <c r="C3254" s="20"/>
      <c r="D3254" s="21"/>
    </row>
    <row r="3255" spans="1:4" ht="12.75" customHeight="1" x14ac:dyDescent="0.2">
      <c r="A3255" s="21"/>
      <c r="B3255" s="3" t="s">
        <v>17</v>
      </c>
      <c r="C3255" s="20" t="s">
        <v>19</v>
      </c>
      <c r="D3255" s="21"/>
    </row>
    <row r="3256" spans="1:4" ht="12.75" customHeight="1" x14ac:dyDescent="0.2">
      <c r="A3256" s="21"/>
      <c r="B3256" s="20" t="s">
        <v>18</v>
      </c>
      <c r="C3256" s="4" t="s">
        <v>57</v>
      </c>
      <c r="D3256" s="6" t="str">
        <f>HYPERLINK("javascript:void(0)","csillámgöb")</f>
        <v>csillámgöb</v>
      </c>
    </row>
    <row r="3257" spans="1:4" ht="25.5" customHeight="1" x14ac:dyDescent="0.2">
      <c r="A3257" s="21"/>
      <c r="B3257" s="21"/>
      <c r="C3257" s="4" t="s">
        <v>44</v>
      </c>
      <c r="D3257" s="6" t="str">
        <f>HYPERLINK("javascript:void(0)","csillámló pengepáncél")</f>
        <v>csillámló pengepáncél</v>
      </c>
    </row>
    <row r="3258" spans="1:4" ht="12.75" customHeight="1" x14ac:dyDescent="0.2">
      <c r="A3258" s="21"/>
      <c r="B3258" s="21"/>
      <c r="C3258" s="4" t="s">
        <v>2140</v>
      </c>
      <c r="D3258" s="6" t="str">
        <f>HYPERLINK("javascript:void(0)","uszony")</f>
        <v>uszony</v>
      </c>
    </row>
    <row r="3259" spans="1:4" ht="12.75" customHeight="1" x14ac:dyDescent="0.2">
      <c r="A3259" s="21"/>
      <c r="B3259" s="2"/>
      <c r="C3259" s="2"/>
      <c r="D3259" s="2"/>
    </row>
    <row r="3260" spans="1:4" ht="12.75" customHeight="1" x14ac:dyDescent="0.2">
      <c r="A3260" s="21"/>
      <c r="B3260" s="2"/>
      <c r="C3260" s="2"/>
      <c r="D3260" s="2"/>
    </row>
    <row r="3261" spans="1:4" ht="12.75" customHeight="1" x14ac:dyDescent="0.2">
      <c r="A3261" s="21"/>
      <c r="B3261" s="2"/>
      <c r="C3261" s="2"/>
      <c r="D3261" s="2"/>
    </row>
    <row r="3262" spans="1:4" ht="12.75" customHeight="1" x14ac:dyDescent="0.2">
      <c r="A3262" s="21"/>
      <c r="B3262" s="2"/>
      <c r="C3262" s="2"/>
      <c r="D3262" s="2"/>
    </row>
    <row r="3263" spans="1:4" ht="12.75" customHeight="1" x14ac:dyDescent="0.2">
      <c r="A3263" s="5"/>
      <c r="B3263" s="2"/>
      <c r="C3263" s="2"/>
      <c r="D3263" s="2"/>
    </row>
    <row r="3264" spans="1:4" ht="12.75" customHeight="1" x14ac:dyDescent="0.2">
      <c r="A3264" s="22" t="str">
        <f>HYPERLINK("javascript:void(0)","lombos páncél")</f>
        <v>lombos páncél</v>
      </c>
      <c r="B3264" s="21"/>
      <c r="C3264" s="21"/>
      <c r="D3264" s="21"/>
    </row>
    <row r="3265" spans="1:4" ht="12.75" customHeight="1" x14ac:dyDescent="0.2">
      <c r="A3265" s="20"/>
      <c r="B3265" s="2"/>
      <c r="C3265" s="2"/>
      <c r="D3265" s="2"/>
    </row>
    <row r="3266" spans="1:4" ht="12.75" customHeight="1" x14ac:dyDescent="0.2">
      <c r="A3266" s="21"/>
      <c r="B3266" s="3" t="s">
        <v>0</v>
      </c>
      <c r="C3266" s="20" t="s">
        <v>230</v>
      </c>
      <c r="D3266" s="21"/>
    </row>
    <row r="3267" spans="1:4" ht="12.75" customHeight="1" x14ac:dyDescent="0.2">
      <c r="A3267" s="21"/>
      <c r="B3267" s="3" t="s">
        <v>2</v>
      </c>
      <c r="C3267" s="20" t="s">
        <v>2322</v>
      </c>
      <c r="D3267" s="21"/>
    </row>
    <row r="3268" spans="1:4" ht="12.75" customHeight="1" x14ac:dyDescent="0.2">
      <c r="A3268" s="21"/>
      <c r="B3268" s="3" t="s">
        <v>1840</v>
      </c>
      <c r="C3268" s="20" t="s">
        <v>2548</v>
      </c>
      <c r="D3268" s="21"/>
    </row>
    <row r="3269" spans="1:4" ht="12.75" customHeight="1" x14ac:dyDescent="0.2">
      <c r="A3269" s="21"/>
      <c r="B3269" s="3" t="s">
        <v>9</v>
      </c>
      <c r="C3269" s="20" t="s">
        <v>2549</v>
      </c>
      <c r="D3269" s="21"/>
    </row>
    <row r="3270" spans="1:4" ht="12.75" customHeight="1" x14ac:dyDescent="0.2">
      <c r="A3270" s="21"/>
      <c r="B3270" s="3" t="s">
        <v>11</v>
      </c>
      <c r="C3270" s="20" t="s">
        <v>2252</v>
      </c>
      <c r="D3270" s="21"/>
    </row>
    <row r="3271" spans="1:4" ht="12.75" customHeight="1" x14ac:dyDescent="0.2">
      <c r="A3271" s="21"/>
      <c r="B3271" s="3" t="s">
        <v>16</v>
      </c>
      <c r="C3271" s="20"/>
      <c r="D3271" s="21"/>
    </row>
    <row r="3272" spans="1:4" ht="12.75" customHeight="1" x14ac:dyDescent="0.2">
      <c r="A3272" s="21"/>
      <c r="B3272" s="3" t="s">
        <v>17</v>
      </c>
      <c r="C3272" s="20" t="s">
        <v>19</v>
      </c>
      <c r="D3272" s="21"/>
    </row>
    <row r="3273" spans="1:4" ht="12.75" customHeight="1" x14ac:dyDescent="0.2">
      <c r="A3273" s="21"/>
      <c r="B3273" s="20" t="s">
        <v>18</v>
      </c>
      <c r="C3273" s="4" t="s">
        <v>269</v>
      </c>
      <c r="D3273" s="6" t="str">
        <f>HYPERLINK("javascript:void(0)","lomb")</f>
        <v>lomb</v>
      </c>
    </row>
    <row r="3274" spans="1:4" ht="12.75" customHeight="1" x14ac:dyDescent="0.2">
      <c r="A3274" s="21"/>
      <c r="B3274" s="21"/>
      <c r="C3274" s="4" t="s">
        <v>265</v>
      </c>
      <c r="D3274" s="6" t="str">
        <f>HYPERLINK("javascript:void(0)","patron")</f>
        <v>patron</v>
      </c>
    </row>
    <row r="3275" spans="1:4" ht="12.75" customHeight="1" x14ac:dyDescent="0.2">
      <c r="A3275" s="21"/>
      <c r="B3275" s="21"/>
      <c r="C3275" s="4" t="s">
        <v>44</v>
      </c>
      <c r="D3275" s="6" t="str">
        <f>HYPERLINK("javascript:void(0)","elefántvért")</f>
        <v>elefántvért</v>
      </c>
    </row>
    <row r="3276" spans="1:4" ht="12.75" customHeight="1" x14ac:dyDescent="0.2">
      <c r="A3276" s="21"/>
      <c r="B3276" s="2"/>
      <c r="C3276" s="2"/>
      <c r="D3276" s="2"/>
    </row>
    <row r="3277" spans="1:4" ht="12.75" customHeight="1" x14ac:dyDescent="0.2">
      <c r="A3277" s="21"/>
      <c r="B3277" s="2"/>
      <c r="C3277" s="2"/>
      <c r="D3277" s="2"/>
    </row>
    <row r="3278" spans="1:4" ht="12.75" customHeight="1" x14ac:dyDescent="0.2">
      <c r="A3278" s="21"/>
      <c r="B3278" s="2"/>
      <c r="C3278" s="2"/>
      <c r="D3278" s="2"/>
    </row>
    <row r="3279" spans="1:4" ht="12.75" customHeight="1" x14ac:dyDescent="0.2">
      <c r="A3279" s="21"/>
      <c r="B3279" s="2"/>
      <c r="C3279" s="2"/>
      <c r="D3279" s="2"/>
    </row>
    <row r="3280" spans="1:4" ht="12.75" customHeight="1" x14ac:dyDescent="0.2">
      <c r="A3280" s="5"/>
      <c r="B3280" s="2"/>
      <c r="C3280" s="2"/>
      <c r="D3280" s="2"/>
    </row>
    <row r="3281" spans="1:4" ht="12.75" customHeight="1" x14ac:dyDescent="0.2">
      <c r="A3281" s="22" t="str">
        <f>HYPERLINK("javascript:void(0)","haragmellény")</f>
        <v>haragmellény</v>
      </c>
      <c r="B3281" s="21"/>
      <c r="C3281" s="21"/>
      <c r="D3281" s="21"/>
    </row>
    <row r="3282" spans="1:4" ht="12.75" customHeight="1" x14ac:dyDescent="0.2">
      <c r="A3282" s="20"/>
      <c r="B3282" s="2"/>
      <c r="C3282" s="2"/>
      <c r="D3282" s="2"/>
    </row>
    <row r="3283" spans="1:4" ht="12.75" customHeight="1" x14ac:dyDescent="0.2">
      <c r="A3283" s="21"/>
      <c r="B3283" s="3" t="s">
        <v>0</v>
      </c>
      <c r="C3283" s="20" t="s">
        <v>1230</v>
      </c>
      <c r="D3283" s="21"/>
    </row>
    <row r="3284" spans="1:4" ht="12.75" customHeight="1" x14ac:dyDescent="0.2">
      <c r="A3284" s="21"/>
      <c r="B3284" s="3" t="s">
        <v>2</v>
      </c>
      <c r="C3284" s="20" t="s">
        <v>2322</v>
      </c>
      <c r="D3284" s="21"/>
    </row>
    <row r="3285" spans="1:4" ht="12.75" customHeight="1" x14ac:dyDescent="0.2">
      <c r="A3285" s="21"/>
      <c r="B3285" s="3" t="s">
        <v>1840</v>
      </c>
      <c r="C3285" s="20" t="s">
        <v>697</v>
      </c>
      <c r="D3285" s="21"/>
    </row>
    <row r="3286" spans="1:4" ht="12.75" customHeight="1" x14ac:dyDescent="0.2">
      <c r="A3286" s="21"/>
      <c r="B3286" s="3" t="s">
        <v>9</v>
      </c>
      <c r="C3286" s="20" t="s">
        <v>2549</v>
      </c>
      <c r="D3286" s="21"/>
    </row>
    <row r="3287" spans="1:4" ht="12.75" customHeight="1" x14ac:dyDescent="0.2">
      <c r="A3287" s="21"/>
      <c r="B3287" s="3" t="s">
        <v>11</v>
      </c>
      <c r="C3287" s="20" t="s">
        <v>1075</v>
      </c>
      <c r="D3287" s="21"/>
    </row>
    <row r="3288" spans="1:4" ht="12.75" customHeight="1" x14ac:dyDescent="0.2">
      <c r="A3288" s="21"/>
      <c r="B3288" s="3" t="s">
        <v>16</v>
      </c>
      <c r="C3288" s="20"/>
      <c r="D3288" s="21"/>
    </row>
    <row r="3289" spans="1:4" ht="12.75" customHeight="1" x14ac:dyDescent="0.2">
      <c r="A3289" s="21"/>
      <c r="B3289" s="3" t="s">
        <v>17</v>
      </c>
      <c r="C3289" s="20" t="s">
        <v>19</v>
      </c>
      <c r="D3289" s="21"/>
    </row>
    <row r="3290" spans="1:4" ht="12.75" customHeight="1" x14ac:dyDescent="0.2">
      <c r="A3290" s="21"/>
      <c r="B3290" s="20" t="s">
        <v>18</v>
      </c>
      <c r="C3290" s="4" t="s">
        <v>44</v>
      </c>
      <c r="D3290" s="6" t="str">
        <f>HYPERLINK("javascript:void(0)","lombos páncél")</f>
        <v>lombos páncél</v>
      </c>
    </row>
    <row r="3291" spans="1:4" ht="12.75" customHeight="1" x14ac:dyDescent="0.2">
      <c r="A3291" s="21"/>
      <c r="B3291" s="21"/>
      <c r="C3291" s="4" t="s">
        <v>55</v>
      </c>
      <c r="D3291" s="6" t="str">
        <f>HYPERLINK("javascript:void(0)","roncogás")</f>
        <v>roncogás</v>
      </c>
    </row>
    <row r="3292" spans="1:4" ht="12.75" customHeight="1" x14ac:dyDescent="0.2">
      <c r="A3292" s="21"/>
      <c r="B3292" s="21"/>
      <c r="C3292" s="4" t="s">
        <v>68</v>
      </c>
      <c r="D3292" s="6" t="str">
        <f>HYPERLINK("javascript:void(0)","bőrszárny")</f>
        <v>bőrszárny</v>
      </c>
    </row>
    <row r="3293" spans="1:4" ht="12.75" customHeight="1" x14ac:dyDescent="0.2">
      <c r="A3293" s="21"/>
      <c r="B3293" s="2"/>
      <c r="C3293" s="2"/>
      <c r="D3293" s="2"/>
    </row>
    <row r="3294" spans="1:4" ht="12.75" customHeight="1" x14ac:dyDescent="0.2">
      <c r="A3294" s="21"/>
      <c r="B3294" s="2"/>
      <c r="C3294" s="2"/>
      <c r="D3294" s="2"/>
    </row>
    <row r="3295" spans="1:4" ht="12.75" customHeight="1" x14ac:dyDescent="0.2">
      <c r="A3295" s="21"/>
      <c r="B3295" s="2"/>
      <c r="C3295" s="2"/>
      <c r="D3295" s="2"/>
    </row>
    <row r="3296" spans="1:4" ht="12.75" customHeight="1" x14ac:dyDescent="0.2">
      <c r="A3296" s="21"/>
      <c r="B3296" s="2"/>
      <c r="C3296" s="2"/>
      <c r="D3296" s="2"/>
    </row>
    <row r="3297" spans="1:4" ht="12.75" customHeight="1" x14ac:dyDescent="0.2">
      <c r="A3297" s="5"/>
      <c r="B3297" s="2"/>
      <c r="C3297" s="2"/>
      <c r="D3297" s="2"/>
    </row>
    <row r="3298" spans="1:4" ht="12.75" customHeight="1" x14ac:dyDescent="0.2">
      <c r="A3298" s="22" t="str">
        <f>HYPERLINK("javascript:void(0)","szines prémzeke")</f>
        <v>szines prémzeke</v>
      </c>
      <c r="B3298" s="21"/>
      <c r="C3298" s="21"/>
      <c r="D3298" s="21"/>
    </row>
    <row r="3299" spans="1:4" ht="12.75" customHeight="1" x14ac:dyDescent="0.2">
      <c r="A3299" s="20"/>
      <c r="B3299" s="2"/>
      <c r="C3299" s="2"/>
      <c r="D3299" s="2"/>
    </row>
    <row r="3300" spans="1:4" ht="12.75" customHeight="1" x14ac:dyDescent="0.2">
      <c r="A3300" s="21"/>
      <c r="B3300" s="3" t="s">
        <v>0</v>
      </c>
      <c r="C3300" s="20" t="s">
        <v>330</v>
      </c>
      <c r="D3300" s="21"/>
    </row>
    <row r="3301" spans="1:4" ht="12.75" customHeight="1" x14ac:dyDescent="0.2">
      <c r="A3301" s="21"/>
      <c r="B3301" s="3" t="s">
        <v>2</v>
      </c>
      <c r="C3301" s="20" t="s">
        <v>2322</v>
      </c>
      <c r="D3301" s="21"/>
    </row>
    <row r="3302" spans="1:4" ht="12.75" customHeight="1" x14ac:dyDescent="0.2">
      <c r="A3302" s="21"/>
      <c r="B3302" s="3" t="s">
        <v>1840</v>
      </c>
      <c r="C3302" s="20" t="s">
        <v>2550</v>
      </c>
      <c r="D3302" s="21"/>
    </row>
    <row r="3303" spans="1:4" ht="12.75" customHeight="1" x14ac:dyDescent="0.2">
      <c r="A3303" s="21"/>
      <c r="B3303" s="3" t="s">
        <v>9</v>
      </c>
      <c r="C3303" s="20" t="s">
        <v>2551</v>
      </c>
      <c r="D3303" s="21"/>
    </row>
    <row r="3304" spans="1:4" ht="12.75" customHeight="1" x14ac:dyDescent="0.2">
      <c r="A3304" s="21"/>
      <c r="B3304" s="3" t="s">
        <v>11</v>
      </c>
      <c r="C3304" s="20" t="s">
        <v>1083</v>
      </c>
      <c r="D3304" s="21"/>
    </row>
    <row r="3305" spans="1:4" ht="12.75" customHeight="1" x14ac:dyDescent="0.2">
      <c r="A3305" s="21"/>
      <c r="B3305" s="3" t="s">
        <v>16</v>
      </c>
      <c r="C3305" s="20"/>
      <c r="D3305" s="21"/>
    </row>
    <row r="3306" spans="1:4" ht="12.75" customHeight="1" x14ac:dyDescent="0.2">
      <c r="A3306" s="21"/>
      <c r="B3306" s="3" t="s">
        <v>17</v>
      </c>
      <c r="C3306" s="20" t="s">
        <v>19</v>
      </c>
      <c r="D3306" s="21"/>
    </row>
    <row r="3307" spans="1:4" ht="12.75" customHeight="1" x14ac:dyDescent="0.2">
      <c r="A3307" s="21"/>
      <c r="B3307" s="20" t="s">
        <v>18</v>
      </c>
      <c r="C3307" s="4" t="s">
        <v>67</v>
      </c>
      <c r="D3307" s="6" t="str">
        <f>HYPERLINK("javascript:void(0)","szinapszis")</f>
        <v>szinapszis</v>
      </c>
    </row>
    <row r="3308" spans="1:4" ht="12.75" customHeight="1" x14ac:dyDescent="0.2">
      <c r="A3308" s="21"/>
      <c r="B3308" s="21"/>
      <c r="C3308" s="4" t="s">
        <v>228</v>
      </c>
      <c r="D3308" s="6" t="str">
        <f>HYPERLINK("javascript:void(0)","orrmányprém")</f>
        <v>orrmányprém</v>
      </c>
    </row>
    <row r="3309" spans="1:4" ht="12.75" customHeight="1" x14ac:dyDescent="0.2">
      <c r="A3309" s="21"/>
      <c r="B3309" s="21"/>
      <c r="C3309" s="4" t="s">
        <v>44</v>
      </c>
      <c r="D3309" s="6" t="str">
        <f>HYPERLINK("javascript:void(0)","haragmellény")</f>
        <v>haragmellény</v>
      </c>
    </row>
    <row r="3310" spans="1:4" ht="12.75" customHeight="1" x14ac:dyDescent="0.2">
      <c r="A3310" s="21"/>
      <c r="B3310" s="2"/>
      <c r="C3310" s="2"/>
      <c r="D3310" s="2"/>
    </row>
    <row r="3311" spans="1:4" ht="12.75" customHeight="1" x14ac:dyDescent="0.2">
      <c r="A3311" s="21"/>
      <c r="B3311" s="2"/>
      <c r="C3311" s="2"/>
      <c r="D3311" s="2"/>
    </row>
    <row r="3312" spans="1:4" ht="12.75" customHeight="1" x14ac:dyDescent="0.2">
      <c r="A3312" s="21"/>
      <c r="B3312" s="2"/>
      <c r="C3312" s="2"/>
      <c r="D3312" s="2"/>
    </row>
    <row r="3313" spans="1:4" ht="12.75" customHeight="1" x14ac:dyDescent="0.2">
      <c r="A3313" s="21"/>
      <c r="B3313" s="2"/>
      <c r="C3313" s="2"/>
      <c r="D3313" s="2"/>
    </row>
    <row r="3314" spans="1:4" ht="12.75" customHeight="1" x14ac:dyDescent="0.2">
      <c r="A3314" s="5"/>
      <c r="B3314" s="2"/>
      <c r="C3314" s="2"/>
      <c r="D3314" s="2"/>
    </row>
    <row r="3315" spans="1:4" ht="12.75" customHeight="1" x14ac:dyDescent="0.2">
      <c r="A3315" s="22" t="str">
        <f>HYPERLINK("javascript:void(0)","párnázott mellvért")</f>
        <v>párnázott mellvért</v>
      </c>
      <c r="B3315" s="21"/>
      <c r="C3315" s="21"/>
      <c r="D3315" s="21"/>
    </row>
    <row r="3316" spans="1:4" ht="12.75" customHeight="1" x14ac:dyDescent="0.2">
      <c r="A3316" s="20"/>
      <c r="B3316" s="2"/>
      <c r="C3316" s="2"/>
      <c r="D3316" s="2"/>
    </row>
    <row r="3317" spans="1:4" ht="12.75" customHeight="1" x14ac:dyDescent="0.2">
      <c r="A3317" s="21"/>
      <c r="B3317" s="3" t="s">
        <v>0</v>
      </c>
      <c r="C3317" s="20" t="s">
        <v>345</v>
      </c>
      <c r="D3317" s="21"/>
    </row>
    <row r="3318" spans="1:4" ht="12.75" customHeight="1" x14ac:dyDescent="0.2">
      <c r="A3318" s="21"/>
      <c r="B3318" s="3" t="s">
        <v>2</v>
      </c>
      <c r="C3318" s="20" t="s">
        <v>2322</v>
      </c>
      <c r="D3318" s="21"/>
    </row>
    <row r="3319" spans="1:4" ht="12.75" customHeight="1" x14ac:dyDescent="0.2">
      <c r="A3319" s="21"/>
      <c r="B3319" s="3" t="s">
        <v>1840</v>
      </c>
      <c r="C3319" s="20" t="s">
        <v>703</v>
      </c>
      <c r="D3319" s="21"/>
    </row>
    <row r="3320" spans="1:4" ht="12.75" customHeight="1" x14ac:dyDescent="0.2">
      <c r="A3320" s="21"/>
      <c r="B3320" s="3" t="s">
        <v>9</v>
      </c>
      <c r="C3320" s="20" t="s">
        <v>169</v>
      </c>
      <c r="D3320" s="21"/>
    </row>
    <row r="3321" spans="1:4" ht="12.75" customHeight="1" x14ac:dyDescent="0.2">
      <c r="A3321" s="21"/>
      <c r="B3321" s="3" t="s">
        <v>11</v>
      </c>
      <c r="C3321" s="20" t="s">
        <v>2270</v>
      </c>
      <c r="D3321" s="21"/>
    </row>
    <row r="3322" spans="1:4" ht="12.75" customHeight="1" x14ac:dyDescent="0.2">
      <c r="A3322" s="21"/>
      <c r="B3322" s="3" t="s">
        <v>16</v>
      </c>
      <c r="C3322" s="20"/>
      <c r="D3322" s="21"/>
    </row>
    <row r="3323" spans="1:4" ht="12.75" customHeight="1" x14ac:dyDescent="0.2">
      <c r="A3323" s="21"/>
      <c r="B3323" s="3" t="s">
        <v>17</v>
      </c>
      <c r="C3323" s="20" t="s">
        <v>19</v>
      </c>
      <c r="D3323" s="21"/>
    </row>
    <row r="3324" spans="1:4" ht="12.75" customHeight="1" x14ac:dyDescent="0.2">
      <c r="A3324" s="21"/>
      <c r="B3324" s="20" t="s">
        <v>18</v>
      </c>
      <c r="C3324" s="4" t="s">
        <v>44</v>
      </c>
      <c r="D3324" s="6" t="str">
        <f>HYPERLINK("javascript:void(0)","szines prémzeke")</f>
        <v>szines prémzeke</v>
      </c>
    </row>
    <row r="3325" spans="1:4" ht="12.75" customHeight="1" x14ac:dyDescent="0.2">
      <c r="A3325" s="21"/>
      <c r="B3325" s="21"/>
      <c r="C3325" s="4" t="s">
        <v>894</v>
      </c>
      <c r="D3325" s="6" t="str">
        <f>HYPERLINK("javascript:void(0)","tollcsomó")</f>
        <v>tollcsomó</v>
      </c>
    </row>
    <row r="3326" spans="1:4" ht="12.75" customHeight="1" x14ac:dyDescent="0.2">
      <c r="A3326" s="21"/>
      <c r="B3326" s="21"/>
      <c r="C3326" s="4" t="s">
        <v>196</v>
      </c>
      <c r="D3326" s="6" t="str">
        <f>HYPERLINK("javascript:void(0)","orrmányprém")</f>
        <v>orrmányprém</v>
      </c>
    </row>
    <row r="3327" spans="1:4" ht="12.75" customHeight="1" x14ac:dyDescent="0.2">
      <c r="A3327" s="21"/>
      <c r="B3327" s="2"/>
      <c r="C3327" s="2"/>
      <c r="D3327" s="2"/>
    </row>
    <row r="3328" spans="1:4" ht="12.75" customHeight="1" x14ac:dyDescent="0.2">
      <c r="A3328" s="21"/>
      <c r="B3328" s="2"/>
      <c r="C3328" s="2"/>
      <c r="D3328" s="2"/>
    </row>
    <row r="3329" spans="1:4" ht="12.75" customHeight="1" x14ac:dyDescent="0.2">
      <c r="A3329" s="21"/>
      <c r="B3329" s="2"/>
      <c r="C3329" s="2"/>
      <c r="D3329" s="2"/>
    </row>
    <row r="3330" spans="1:4" ht="12.75" customHeight="1" x14ac:dyDescent="0.2">
      <c r="A3330" s="21"/>
      <c r="B3330" s="2"/>
      <c r="C3330" s="2"/>
      <c r="D3330" s="2"/>
    </row>
    <row r="3331" spans="1:4" ht="12.75" customHeight="1" x14ac:dyDescent="0.2">
      <c r="A3331" s="5"/>
      <c r="B3331" s="2"/>
      <c r="C3331" s="2"/>
      <c r="D3331" s="2"/>
    </row>
    <row r="3332" spans="1:4" ht="12.75" customHeight="1" x14ac:dyDescent="0.2">
      <c r="A3332" s="22" t="str">
        <f>HYPERLINK("javascript:void(0)","bélelt mellvért")</f>
        <v>bélelt mellvért</v>
      </c>
      <c r="B3332" s="21"/>
      <c r="C3332" s="21"/>
      <c r="D3332" s="21"/>
    </row>
    <row r="3333" spans="1:4" ht="12.75" customHeight="1" x14ac:dyDescent="0.2">
      <c r="A3333" s="20"/>
      <c r="B3333" s="2"/>
      <c r="C3333" s="2"/>
      <c r="D3333" s="2"/>
    </row>
    <row r="3334" spans="1:4" ht="12.75" customHeight="1" x14ac:dyDescent="0.2">
      <c r="A3334" s="21"/>
      <c r="B3334" s="3" t="s">
        <v>0</v>
      </c>
      <c r="C3334" s="20" t="s">
        <v>1252</v>
      </c>
      <c r="D3334" s="21"/>
    </row>
    <row r="3335" spans="1:4" ht="12.75" customHeight="1" x14ac:dyDescent="0.2">
      <c r="A3335" s="21"/>
      <c r="B3335" s="3" t="s">
        <v>2</v>
      </c>
      <c r="C3335" s="20" t="s">
        <v>2322</v>
      </c>
      <c r="D3335" s="21"/>
    </row>
    <row r="3336" spans="1:4" ht="12.75" customHeight="1" x14ac:dyDescent="0.2">
      <c r="A3336" s="21"/>
      <c r="B3336" s="3" t="s">
        <v>1840</v>
      </c>
      <c r="C3336" s="20" t="s">
        <v>2552</v>
      </c>
      <c r="D3336" s="21"/>
    </row>
    <row r="3337" spans="1:4" ht="12.75" customHeight="1" x14ac:dyDescent="0.2">
      <c r="A3337" s="21"/>
      <c r="B3337" s="3" t="s">
        <v>9</v>
      </c>
      <c r="C3337" s="20" t="s">
        <v>200</v>
      </c>
      <c r="D3337" s="21"/>
    </row>
    <row r="3338" spans="1:4" ht="12.75" customHeight="1" x14ac:dyDescent="0.2">
      <c r="A3338" s="21"/>
      <c r="B3338" s="3" t="s">
        <v>11</v>
      </c>
      <c r="C3338" s="20" t="s">
        <v>2553</v>
      </c>
      <c r="D3338" s="21"/>
    </row>
    <row r="3339" spans="1:4" ht="12.75" customHeight="1" x14ac:dyDescent="0.2">
      <c r="A3339" s="21"/>
      <c r="B3339" s="3" t="s">
        <v>16</v>
      </c>
      <c r="C3339" s="20"/>
      <c r="D3339" s="21"/>
    </row>
    <row r="3340" spans="1:4" ht="12.75" customHeight="1" x14ac:dyDescent="0.2">
      <c r="A3340" s="21"/>
      <c r="B3340" s="3" t="s">
        <v>17</v>
      </c>
      <c r="C3340" s="20" t="s">
        <v>19</v>
      </c>
      <c r="D3340" s="21"/>
    </row>
    <row r="3341" spans="1:4" ht="12.75" customHeight="1" x14ac:dyDescent="0.2">
      <c r="A3341" s="21"/>
      <c r="B3341" s="20" t="s">
        <v>18</v>
      </c>
      <c r="C3341" s="4" t="s">
        <v>44</v>
      </c>
      <c r="D3341" s="6" t="str">
        <f>HYPERLINK("javascript:void(0)","párnázott mellvért")</f>
        <v>párnázott mellvért</v>
      </c>
    </row>
    <row r="3342" spans="1:4" ht="12.75" customHeight="1" x14ac:dyDescent="0.2">
      <c r="A3342" s="21"/>
      <c r="B3342" s="21"/>
      <c r="C3342" s="4" t="s">
        <v>196</v>
      </c>
      <c r="D3342" s="6" t="str">
        <f>HYPERLINK("javascript:void(0)","szőrpenge")</f>
        <v>szőrpenge</v>
      </c>
    </row>
    <row r="3343" spans="1:4" ht="12.75" customHeight="1" x14ac:dyDescent="0.2">
      <c r="A3343" s="21"/>
      <c r="B3343" s="21"/>
      <c r="C3343" s="4" t="s">
        <v>98</v>
      </c>
      <c r="D3343" s="6" t="str">
        <f>HYPERLINK("javascript:void(0)","raszta")</f>
        <v>raszta</v>
      </c>
    </row>
    <row r="3344" spans="1:4" ht="12.75" customHeight="1" x14ac:dyDescent="0.2">
      <c r="A3344" s="21"/>
      <c r="B3344" s="2"/>
      <c r="C3344" s="2"/>
      <c r="D3344" s="2"/>
    </row>
    <row r="3345" spans="1:4" ht="12.75" customHeight="1" x14ac:dyDescent="0.2">
      <c r="A3345" s="21"/>
      <c r="B3345" s="2"/>
      <c r="C3345" s="2"/>
      <c r="D3345" s="2"/>
    </row>
    <row r="3346" spans="1:4" ht="12.75" customHeight="1" x14ac:dyDescent="0.2">
      <c r="A3346" s="21"/>
      <c r="B3346" s="2"/>
      <c r="C3346" s="2"/>
      <c r="D3346" s="2"/>
    </row>
    <row r="3347" spans="1:4" ht="12.75" customHeight="1" x14ac:dyDescent="0.2">
      <c r="A3347" s="21"/>
      <c r="B3347" s="2"/>
      <c r="C3347" s="2"/>
      <c r="D3347" s="2"/>
    </row>
    <row r="3348" spans="1:4" ht="12.75" customHeight="1" x14ac:dyDescent="0.2">
      <c r="A3348" s="5"/>
      <c r="B3348" s="2"/>
      <c r="C3348" s="2"/>
      <c r="D3348" s="2"/>
    </row>
    <row r="3349" spans="1:4" ht="12.75" customHeight="1" x14ac:dyDescent="0.2">
      <c r="A3349" s="22" t="str">
        <f>HYPERLINK("javascript:void(0)","animált mellvért")</f>
        <v>animált mellvért</v>
      </c>
      <c r="B3349" s="21"/>
      <c r="C3349" s="21"/>
      <c r="D3349" s="21"/>
    </row>
    <row r="3350" spans="1:4" ht="12.75" customHeight="1" x14ac:dyDescent="0.2">
      <c r="A3350" s="20"/>
      <c r="B3350" s="2"/>
      <c r="C3350" s="2"/>
      <c r="D3350" s="2"/>
    </row>
    <row r="3351" spans="1:4" ht="12.75" customHeight="1" x14ac:dyDescent="0.2">
      <c r="A3351" s="21"/>
      <c r="B3351" s="3" t="s">
        <v>0</v>
      </c>
      <c r="C3351" s="20" t="s">
        <v>1263</v>
      </c>
      <c r="D3351" s="21"/>
    </row>
    <row r="3352" spans="1:4" ht="12.75" customHeight="1" x14ac:dyDescent="0.2">
      <c r="A3352" s="21"/>
      <c r="B3352" s="3" t="s">
        <v>2</v>
      </c>
      <c r="C3352" s="20" t="s">
        <v>2322</v>
      </c>
      <c r="D3352" s="21"/>
    </row>
    <row r="3353" spans="1:4" ht="12.75" customHeight="1" x14ac:dyDescent="0.2">
      <c r="A3353" s="21"/>
      <c r="B3353" s="3" t="s">
        <v>1840</v>
      </c>
      <c r="C3353" s="20" t="s">
        <v>2554</v>
      </c>
      <c r="D3353" s="21"/>
    </row>
    <row r="3354" spans="1:4" ht="12.75" customHeight="1" x14ac:dyDescent="0.2">
      <c r="A3354" s="21"/>
      <c r="B3354" s="3" t="s">
        <v>9</v>
      </c>
      <c r="C3354" s="20" t="s">
        <v>75</v>
      </c>
      <c r="D3354" s="21"/>
    </row>
    <row r="3355" spans="1:4" ht="12.75" customHeight="1" x14ac:dyDescent="0.2">
      <c r="A3355" s="21"/>
      <c r="B3355" s="3" t="s">
        <v>11</v>
      </c>
      <c r="C3355" s="20" t="s">
        <v>2278</v>
      </c>
      <c r="D3355" s="21"/>
    </row>
    <row r="3356" spans="1:4" ht="12.75" customHeight="1" x14ac:dyDescent="0.2">
      <c r="A3356" s="21"/>
      <c r="B3356" s="3" t="s">
        <v>16</v>
      </c>
      <c r="C3356" s="20"/>
      <c r="D3356" s="21"/>
    </row>
    <row r="3357" spans="1:4" ht="12.75" customHeight="1" x14ac:dyDescent="0.2">
      <c r="A3357" s="21"/>
      <c r="B3357" s="3" t="s">
        <v>17</v>
      </c>
      <c r="C3357" s="20" t="s">
        <v>19</v>
      </c>
      <c r="D3357" s="21"/>
    </row>
    <row r="3358" spans="1:4" ht="12.75" customHeight="1" x14ac:dyDescent="0.2">
      <c r="A3358" s="21"/>
      <c r="B3358" s="20" t="s">
        <v>18</v>
      </c>
      <c r="C3358" s="4" t="s">
        <v>77</v>
      </c>
      <c r="D3358" s="6" t="str">
        <f>HYPERLINK("javascript:void(0)","animátum")</f>
        <v>animátum</v>
      </c>
    </row>
    <row r="3359" spans="1:4" ht="12.75" customHeight="1" x14ac:dyDescent="0.2">
      <c r="A3359" s="21"/>
      <c r="B3359" s="21"/>
      <c r="C3359" s="4" t="s">
        <v>331</v>
      </c>
      <c r="D3359" s="6" t="str">
        <f>HYPERLINK("javascript:void(0)","ármánylat")</f>
        <v>ármánylat</v>
      </c>
    </row>
    <row r="3360" spans="1:4" ht="12.75" customHeight="1" x14ac:dyDescent="0.2">
      <c r="A3360" s="21"/>
      <c r="B3360" s="21"/>
      <c r="C3360" s="4" t="s">
        <v>296</v>
      </c>
      <c r="D3360" s="6" t="str">
        <f>HYPERLINK("javascript:void(0)","rémkép")</f>
        <v>rémkép</v>
      </c>
    </row>
    <row r="3361" spans="1:4" ht="12.75" customHeight="1" x14ac:dyDescent="0.2">
      <c r="A3361" s="21"/>
      <c r="B3361" s="2"/>
      <c r="C3361" s="2"/>
      <c r="D3361" s="2"/>
    </row>
    <row r="3362" spans="1:4" ht="12.75" customHeight="1" x14ac:dyDescent="0.2">
      <c r="A3362" s="21"/>
      <c r="B3362" s="2"/>
      <c r="C3362" s="2"/>
      <c r="D3362" s="2"/>
    </row>
    <row r="3363" spans="1:4" ht="12.75" customHeight="1" x14ac:dyDescent="0.2">
      <c r="A3363" s="21"/>
      <c r="B3363" s="2"/>
      <c r="C3363" s="2"/>
      <c r="D3363" s="2"/>
    </row>
    <row r="3364" spans="1:4" ht="12.75" customHeight="1" x14ac:dyDescent="0.2">
      <c r="A3364" s="21"/>
      <c r="B3364" s="2"/>
      <c r="C3364" s="2"/>
      <c r="D3364" s="2"/>
    </row>
    <row r="3365" spans="1:4" ht="12.75" customHeight="1" x14ac:dyDescent="0.2">
      <c r="A3365" s="5"/>
      <c r="B3365" s="2"/>
      <c r="C3365" s="2"/>
      <c r="D3365" s="2"/>
    </row>
    <row r="3366" spans="1:4" ht="12.75" customHeight="1" x14ac:dyDescent="0.2">
      <c r="A3366" s="22" t="str">
        <f>HYPERLINK("javascript:void(0)","szellempáncél")</f>
        <v>szellempáncél</v>
      </c>
      <c r="B3366" s="21"/>
      <c r="C3366" s="21"/>
      <c r="D3366" s="21"/>
    </row>
    <row r="3367" spans="1:4" ht="12.75" customHeight="1" x14ac:dyDescent="0.2">
      <c r="A3367" s="20"/>
      <c r="B3367" s="2"/>
      <c r="C3367" s="2"/>
      <c r="D3367" s="2"/>
    </row>
    <row r="3368" spans="1:4" ht="12.75" customHeight="1" x14ac:dyDescent="0.2">
      <c r="A3368" s="21"/>
      <c r="B3368" s="3" t="s">
        <v>0</v>
      </c>
      <c r="C3368" s="20" t="s">
        <v>1270</v>
      </c>
      <c r="D3368" s="21"/>
    </row>
    <row r="3369" spans="1:4" ht="12.75" customHeight="1" x14ac:dyDescent="0.2">
      <c r="A3369" s="21"/>
      <c r="B3369" s="3" t="s">
        <v>2</v>
      </c>
      <c r="C3369" s="20" t="s">
        <v>2322</v>
      </c>
      <c r="D3369" s="21"/>
    </row>
    <row r="3370" spans="1:4" ht="12.75" customHeight="1" x14ac:dyDescent="0.2">
      <c r="A3370" s="21"/>
      <c r="B3370" s="3" t="s">
        <v>1840</v>
      </c>
      <c r="C3370" s="20" t="s">
        <v>2555</v>
      </c>
      <c r="D3370" s="21"/>
    </row>
    <row r="3371" spans="1:4" ht="12.75" customHeight="1" x14ac:dyDescent="0.2">
      <c r="A3371" s="21"/>
      <c r="B3371" s="3" t="s">
        <v>9</v>
      </c>
      <c r="C3371" s="20" t="s">
        <v>135</v>
      </c>
      <c r="D3371" s="21"/>
    </row>
    <row r="3372" spans="1:4" ht="12.75" customHeight="1" x14ac:dyDescent="0.2">
      <c r="A3372" s="21"/>
      <c r="B3372" s="3" t="s">
        <v>11</v>
      </c>
      <c r="C3372" s="20" t="s">
        <v>2556</v>
      </c>
      <c r="D3372" s="21"/>
    </row>
    <row r="3373" spans="1:4" ht="12.75" customHeight="1" x14ac:dyDescent="0.2">
      <c r="A3373" s="21"/>
      <c r="B3373" s="3" t="s">
        <v>16</v>
      </c>
      <c r="C3373" s="20"/>
      <c r="D3373" s="21"/>
    </row>
    <row r="3374" spans="1:4" ht="12.75" customHeight="1" x14ac:dyDescent="0.2">
      <c r="A3374" s="21"/>
      <c r="B3374" s="3" t="s">
        <v>17</v>
      </c>
      <c r="C3374" s="20" t="s">
        <v>19</v>
      </c>
      <c r="D3374" s="21"/>
    </row>
    <row r="3375" spans="1:4" ht="12.75" customHeight="1" x14ac:dyDescent="0.2">
      <c r="A3375" s="21"/>
      <c r="B3375" s="20" t="s">
        <v>18</v>
      </c>
      <c r="C3375" s="4" t="s">
        <v>44</v>
      </c>
      <c r="D3375" s="6" t="str">
        <f>HYPERLINK("javascript:void(0)","bélelt mellvért")</f>
        <v>bélelt mellvért</v>
      </c>
    </row>
    <row r="3376" spans="1:4" ht="12.75" customHeight="1" x14ac:dyDescent="0.2">
      <c r="A3376" s="21"/>
      <c r="B3376" s="21"/>
      <c r="C3376" s="4" t="s">
        <v>44</v>
      </c>
      <c r="D3376" s="6" t="str">
        <f>HYPERLINK("javascript:void(0)","animált mellvért")</f>
        <v>animált mellvért</v>
      </c>
    </row>
    <row r="3377" spans="1:4" ht="12.75" customHeight="1" x14ac:dyDescent="0.2">
      <c r="A3377" s="21"/>
      <c r="B3377" s="21"/>
      <c r="C3377" s="4" t="s">
        <v>269</v>
      </c>
      <c r="D3377" s="6" t="str">
        <f>HYPERLINK("javascript:void(0)","faunszarv")</f>
        <v>faunszarv</v>
      </c>
    </row>
    <row r="3378" spans="1:4" ht="12.75" customHeight="1" x14ac:dyDescent="0.2">
      <c r="A3378" s="21"/>
      <c r="B3378" s="2"/>
      <c r="C3378" s="2"/>
      <c r="D3378" s="2"/>
    </row>
    <row r="3379" spans="1:4" ht="12.75" customHeight="1" x14ac:dyDescent="0.2">
      <c r="A3379" s="21"/>
      <c r="B3379" s="2"/>
      <c r="C3379" s="2"/>
      <c r="D3379" s="2"/>
    </row>
    <row r="3380" spans="1:4" ht="12.75" customHeight="1" x14ac:dyDescent="0.2">
      <c r="A3380" s="21"/>
      <c r="B3380" s="2"/>
      <c r="C3380" s="2"/>
      <c r="D3380" s="2"/>
    </row>
    <row r="3381" spans="1:4" ht="12.75" customHeight="1" x14ac:dyDescent="0.2">
      <c r="A3381" s="21"/>
      <c r="B3381" s="2"/>
      <c r="C3381" s="2"/>
      <c r="D3381" s="2"/>
    </row>
    <row r="3382" spans="1:4" ht="12.75" customHeight="1" x14ac:dyDescent="0.2">
      <c r="A3382" s="5"/>
      <c r="B3382" s="2"/>
      <c r="C3382" s="2"/>
      <c r="D3382" s="2"/>
    </row>
    <row r="3383" spans="1:4" ht="12.75" customHeight="1" x14ac:dyDescent="0.2">
      <c r="A3383" s="22" t="str">
        <f>HYPERLINK("javascript:void(0)","hódaljpánt")</f>
        <v>hódaljpánt</v>
      </c>
      <c r="B3383" s="21"/>
      <c r="C3383" s="21"/>
      <c r="D3383" s="21"/>
    </row>
    <row r="3384" spans="1:4" ht="12.75" customHeight="1" x14ac:dyDescent="0.2">
      <c r="A3384" s="20"/>
      <c r="B3384" s="2"/>
      <c r="C3384" s="2"/>
      <c r="D3384" s="2"/>
    </row>
    <row r="3385" spans="1:4" ht="12.75" customHeight="1" x14ac:dyDescent="0.2">
      <c r="A3385" s="21"/>
      <c r="B3385" s="3" t="s">
        <v>0</v>
      </c>
      <c r="C3385" s="20" t="s">
        <v>143</v>
      </c>
      <c r="D3385" s="21"/>
    </row>
    <row r="3386" spans="1:4" ht="12.75" customHeight="1" x14ac:dyDescent="0.2">
      <c r="A3386" s="21"/>
      <c r="B3386" s="3" t="s">
        <v>2</v>
      </c>
      <c r="C3386" s="20" t="s">
        <v>2322</v>
      </c>
      <c r="D3386" s="21"/>
    </row>
    <row r="3387" spans="1:4" ht="12.75" customHeight="1" x14ac:dyDescent="0.2">
      <c r="A3387" s="21"/>
      <c r="B3387" s="3" t="s">
        <v>1840</v>
      </c>
      <c r="C3387" s="20" t="s">
        <v>2557</v>
      </c>
      <c r="D3387" s="21"/>
    </row>
    <row r="3388" spans="1:4" ht="12.75" customHeight="1" x14ac:dyDescent="0.2">
      <c r="A3388" s="21"/>
      <c r="B3388" s="3" t="s">
        <v>9</v>
      </c>
      <c r="C3388" s="20" t="s">
        <v>1670</v>
      </c>
      <c r="D3388" s="21"/>
    </row>
    <row r="3389" spans="1:4" ht="12.75" customHeight="1" x14ac:dyDescent="0.2">
      <c r="A3389" s="21"/>
      <c r="B3389" s="3" t="s">
        <v>11</v>
      </c>
      <c r="C3389" s="20" t="s">
        <v>1109</v>
      </c>
      <c r="D3389" s="21"/>
    </row>
    <row r="3390" spans="1:4" ht="12.75" customHeight="1" x14ac:dyDescent="0.2">
      <c r="A3390" s="21"/>
      <c r="B3390" s="3" t="s">
        <v>16</v>
      </c>
      <c r="C3390" s="20"/>
      <c r="D3390" s="21"/>
    </row>
    <row r="3391" spans="1:4" ht="12.75" customHeight="1" x14ac:dyDescent="0.2">
      <c r="A3391" s="21"/>
      <c r="B3391" s="3" t="s">
        <v>17</v>
      </c>
      <c r="C3391" s="20" t="s">
        <v>19</v>
      </c>
      <c r="D3391" s="21"/>
    </row>
    <row r="3392" spans="1:4" ht="12.75" customHeight="1" x14ac:dyDescent="0.2">
      <c r="A3392" s="21"/>
      <c r="B3392" s="20" t="s">
        <v>18</v>
      </c>
      <c r="C3392" s="4" t="s">
        <v>44</v>
      </c>
      <c r="D3392" s="6" t="str">
        <f>HYPERLINK("javascript:void(0)","szellempáncél")</f>
        <v>szellempáncél</v>
      </c>
    </row>
    <row r="3393" spans="1:4" ht="12.75" customHeight="1" x14ac:dyDescent="0.2">
      <c r="A3393" s="21"/>
      <c r="B3393" s="21"/>
      <c r="C3393" s="4" t="s">
        <v>331</v>
      </c>
      <c r="D3393" s="6" t="str">
        <f>HYPERLINK("javascript:void(0)","félhód")</f>
        <v>félhód</v>
      </c>
    </row>
    <row r="3394" spans="1:4" ht="12.75" customHeight="1" x14ac:dyDescent="0.2">
      <c r="A3394" s="21"/>
      <c r="B3394" s="21"/>
      <c r="C3394" s="4" t="s">
        <v>68</v>
      </c>
      <c r="D3394" s="6" t="str">
        <f>HYPERLINK("javascript:void(0)","igazolvány")</f>
        <v>igazolvány</v>
      </c>
    </row>
    <row r="3395" spans="1:4" ht="12.75" customHeight="1" x14ac:dyDescent="0.2">
      <c r="A3395" s="21"/>
      <c r="B3395" s="2"/>
      <c r="C3395" s="2"/>
      <c r="D3395" s="2"/>
    </row>
    <row r="3396" spans="1:4" ht="12.75" customHeight="1" x14ac:dyDescent="0.2">
      <c r="A3396" s="21"/>
      <c r="B3396" s="2"/>
      <c r="C3396" s="2"/>
      <c r="D3396" s="2"/>
    </row>
    <row r="3397" spans="1:4" ht="12.75" customHeight="1" x14ac:dyDescent="0.2">
      <c r="A3397" s="21"/>
      <c r="B3397" s="2"/>
      <c r="C3397" s="2"/>
      <c r="D3397" s="2"/>
    </row>
    <row r="3398" spans="1:4" ht="12.75" customHeight="1" x14ac:dyDescent="0.2">
      <c r="A3398" s="21"/>
      <c r="B3398" s="2"/>
      <c r="C3398" s="2"/>
      <c r="D3398" s="2"/>
    </row>
    <row r="3399" spans="1:4" ht="12.75" customHeight="1" x14ac:dyDescent="0.2">
      <c r="A3399" s="5"/>
      <c r="B3399" s="2"/>
      <c r="C3399" s="2"/>
      <c r="D3399" s="2"/>
    </row>
    <row r="3400" spans="1:4" ht="12.75" customHeight="1" x14ac:dyDescent="0.2">
      <c r="A3400" s="22" t="str">
        <f>HYPERLINK("javascript:void(0)","kockás hasfal")</f>
        <v>kockás hasfal</v>
      </c>
      <c r="B3400" s="21"/>
      <c r="C3400" s="21"/>
      <c r="D3400" s="21"/>
    </row>
    <row r="3401" spans="1:4" ht="12.75" customHeight="1" x14ac:dyDescent="0.2">
      <c r="A3401" s="20"/>
      <c r="B3401" s="2"/>
      <c r="C3401" s="2"/>
      <c r="D3401" s="2"/>
    </row>
    <row r="3402" spans="1:4" ht="12.75" customHeight="1" x14ac:dyDescent="0.2">
      <c r="A3402" s="21"/>
      <c r="B3402" s="3" t="s">
        <v>0</v>
      </c>
      <c r="C3402" s="20" t="s">
        <v>1284</v>
      </c>
      <c r="D3402" s="21"/>
    </row>
    <row r="3403" spans="1:4" ht="12.75" customHeight="1" x14ac:dyDescent="0.2">
      <c r="A3403" s="21"/>
      <c r="B3403" s="3" t="s">
        <v>2</v>
      </c>
      <c r="C3403" s="20" t="s">
        <v>2322</v>
      </c>
      <c r="D3403" s="21"/>
    </row>
    <row r="3404" spans="1:4" ht="12.75" customHeight="1" x14ac:dyDescent="0.2">
      <c r="A3404" s="21"/>
      <c r="B3404" s="3" t="s">
        <v>1840</v>
      </c>
      <c r="C3404" s="20" t="s">
        <v>2558</v>
      </c>
      <c r="D3404" s="21"/>
    </row>
    <row r="3405" spans="1:4" ht="12.75" customHeight="1" x14ac:dyDescent="0.2">
      <c r="A3405" s="21"/>
      <c r="B3405" s="3" t="s">
        <v>9</v>
      </c>
      <c r="C3405" s="20" t="s">
        <v>131</v>
      </c>
      <c r="D3405" s="21"/>
    </row>
    <row r="3406" spans="1:4" ht="12.75" customHeight="1" x14ac:dyDescent="0.2">
      <c r="A3406" s="21"/>
      <c r="B3406" s="3" t="s">
        <v>11</v>
      </c>
      <c r="C3406" s="20" t="s">
        <v>2559</v>
      </c>
      <c r="D3406" s="21"/>
    </row>
    <row r="3407" spans="1:4" ht="12.75" customHeight="1" x14ac:dyDescent="0.2">
      <c r="A3407" s="21"/>
      <c r="B3407" s="3" t="s">
        <v>16</v>
      </c>
      <c r="C3407" s="20"/>
      <c r="D3407" s="21"/>
    </row>
    <row r="3408" spans="1:4" ht="12.75" customHeight="1" x14ac:dyDescent="0.2">
      <c r="A3408" s="21"/>
      <c r="B3408" s="3" t="s">
        <v>17</v>
      </c>
      <c r="C3408" s="20" t="s">
        <v>19</v>
      </c>
      <c r="D3408" s="21"/>
    </row>
    <row r="3409" spans="1:4" ht="12.75" customHeight="1" x14ac:dyDescent="0.2">
      <c r="A3409" s="21"/>
      <c r="B3409" s="20" t="s">
        <v>18</v>
      </c>
      <c r="C3409" s="4" t="s">
        <v>67</v>
      </c>
      <c r="D3409" s="6" t="str">
        <f>HYPERLINK("javascript:void(0)","gyomorgörcs")</f>
        <v>gyomorgörcs</v>
      </c>
    </row>
    <row r="3410" spans="1:4" ht="12.75" customHeight="1" x14ac:dyDescent="0.2">
      <c r="A3410" s="21"/>
      <c r="B3410" s="21"/>
      <c r="C3410" s="4" t="s">
        <v>296</v>
      </c>
      <c r="D3410" s="6" t="str">
        <f>HYPERLINK("javascript:void(0)","kocka")</f>
        <v>kocka</v>
      </c>
    </row>
    <row r="3411" spans="1:4" ht="12.75" customHeight="1" x14ac:dyDescent="0.2">
      <c r="A3411" s="21"/>
      <c r="B3411" s="21"/>
      <c r="C3411" s="4" t="s">
        <v>142</v>
      </c>
      <c r="D3411" s="6" t="str">
        <f>HYPERLINK("javascript:void(0)","melegige")</f>
        <v>melegige</v>
      </c>
    </row>
    <row r="3412" spans="1:4" ht="12.75" customHeight="1" x14ac:dyDescent="0.2">
      <c r="A3412" s="21"/>
      <c r="B3412" s="2"/>
      <c r="C3412" s="2"/>
      <c r="D3412" s="2"/>
    </row>
    <row r="3413" spans="1:4" ht="12.75" customHeight="1" x14ac:dyDescent="0.2">
      <c r="A3413" s="21"/>
      <c r="B3413" s="2"/>
      <c r="C3413" s="2"/>
      <c r="D3413" s="2"/>
    </row>
    <row r="3414" spans="1:4" ht="12.75" customHeight="1" x14ac:dyDescent="0.2">
      <c r="A3414" s="21"/>
      <c r="B3414" s="2"/>
      <c r="C3414" s="2"/>
      <c r="D3414" s="2"/>
    </row>
    <row r="3415" spans="1:4" ht="12.75" customHeight="1" x14ac:dyDescent="0.2">
      <c r="A3415" s="21"/>
      <c r="B3415" s="2"/>
      <c r="C3415" s="2"/>
      <c r="D3415" s="2"/>
    </row>
    <row r="3416" spans="1:4" ht="12.75" customHeight="1" x14ac:dyDescent="0.2">
      <c r="A3416" s="5"/>
      <c r="B3416" s="2"/>
      <c r="C3416" s="2"/>
      <c r="D3416" s="2"/>
    </row>
    <row r="3417" spans="1:4" ht="12.75" customHeight="1" x14ac:dyDescent="0.2">
      <c r="A3417" s="22" t="str">
        <f>HYPERLINK("javascript:void(0)","vértmell")</f>
        <v>vértmell</v>
      </c>
      <c r="B3417" s="21"/>
      <c r="C3417" s="21"/>
      <c r="D3417" s="21"/>
    </row>
    <row r="3418" spans="1:4" ht="12.75" customHeight="1" x14ac:dyDescent="0.2">
      <c r="A3418" s="20"/>
      <c r="B3418" s="2"/>
      <c r="C3418" s="2"/>
      <c r="D3418" s="2"/>
    </row>
    <row r="3419" spans="1:4" ht="12.75" customHeight="1" x14ac:dyDescent="0.2">
      <c r="A3419" s="21"/>
      <c r="B3419" s="3" t="s">
        <v>0</v>
      </c>
      <c r="C3419" s="20" t="s">
        <v>1294</v>
      </c>
      <c r="D3419" s="21"/>
    </row>
    <row r="3420" spans="1:4" ht="12.75" customHeight="1" x14ac:dyDescent="0.2">
      <c r="A3420" s="21"/>
      <c r="B3420" s="3" t="s">
        <v>2</v>
      </c>
      <c r="C3420" s="20" t="s">
        <v>2322</v>
      </c>
      <c r="D3420" s="21"/>
    </row>
    <row r="3421" spans="1:4" ht="12.75" customHeight="1" x14ac:dyDescent="0.2">
      <c r="A3421" s="21"/>
      <c r="B3421" s="3" t="s">
        <v>1840</v>
      </c>
      <c r="C3421" s="20" t="s">
        <v>2560</v>
      </c>
      <c r="D3421" s="21"/>
    </row>
    <row r="3422" spans="1:4" ht="12.75" customHeight="1" x14ac:dyDescent="0.2">
      <c r="A3422" s="21"/>
      <c r="B3422" s="3" t="s">
        <v>9</v>
      </c>
      <c r="C3422" s="20" t="s">
        <v>1689</v>
      </c>
      <c r="D3422" s="21"/>
    </row>
    <row r="3423" spans="1:4" ht="12.75" customHeight="1" x14ac:dyDescent="0.2">
      <c r="A3423" s="21"/>
      <c r="B3423" s="3" t="s">
        <v>11</v>
      </c>
      <c r="C3423" s="20" t="s">
        <v>2561</v>
      </c>
      <c r="D3423" s="21"/>
    </row>
    <row r="3424" spans="1:4" ht="12.75" customHeight="1" x14ac:dyDescent="0.2">
      <c r="A3424" s="21"/>
      <c r="B3424" s="3" t="s">
        <v>16</v>
      </c>
      <c r="C3424" s="20"/>
      <c r="D3424" s="21"/>
    </row>
    <row r="3425" spans="1:4" ht="12.75" customHeight="1" x14ac:dyDescent="0.2">
      <c r="A3425" s="21"/>
      <c r="B3425" s="3" t="s">
        <v>17</v>
      </c>
      <c r="C3425" s="20" t="s">
        <v>19</v>
      </c>
      <c r="D3425" s="21"/>
    </row>
    <row r="3426" spans="1:4" ht="12.75" customHeight="1" x14ac:dyDescent="0.2">
      <c r="A3426" s="21"/>
      <c r="B3426" s="20" t="s">
        <v>18</v>
      </c>
      <c r="C3426" s="4" t="s">
        <v>44</v>
      </c>
      <c r="D3426" s="6" t="str">
        <f>HYPERLINK("javascript:void(0)","hódaljpánt")</f>
        <v>hódaljpánt</v>
      </c>
    </row>
    <row r="3427" spans="1:4" ht="12.75" customHeight="1" x14ac:dyDescent="0.2">
      <c r="A3427" s="21"/>
      <c r="B3427" s="21"/>
      <c r="C3427" s="4" t="s">
        <v>44</v>
      </c>
      <c r="D3427" s="6" t="str">
        <f>HYPERLINK("javascript:void(0)","kockás hasfal")</f>
        <v>kockás hasfal</v>
      </c>
    </row>
    <row r="3428" spans="1:4" ht="12.75" customHeight="1" x14ac:dyDescent="0.2">
      <c r="A3428" s="21"/>
      <c r="B3428" s="21"/>
      <c r="C3428" s="4" t="s">
        <v>68</v>
      </c>
      <c r="D3428" s="6" t="str">
        <f>HYPERLINK("javascript:void(0)","lábkarcsont")</f>
        <v>lábkarcsont</v>
      </c>
    </row>
    <row r="3429" spans="1:4" ht="12.75" customHeight="1" x14ac:dyDescent="0.2">
      <c r="A3429" s="21"/>
      <c r="B3429" s="2"/>
      <c r="C3429" s="2"/>
      <c r="D3429" s="2"/>
    </row>
    <row r="3430" spans="1:4" ht="12.75" customHeight="1" x14ac:dyDescent="0.2">
      <c r="A3430" s="21"/>
      <c r="B3430" s="2"/>
      <c r="C3430" s="2"/>
      <c r="D3430" s="2"/>
    </row>
    <row r="3431" spans="1:4" ht="12.75" customHeight="1" x14ac:dyDescent="0.2">
      <c r="A3431" s="21"/>
      <c r="B3431" s="2"/>
      <c r="C3431" s="2"/>
      <c r="D3431" s="2"/>
    </row>
    <row r="3432" spans="1:4" ht="12.75" customHeight="1" x14ac:dyDescent="0.2">
      <c r="A3432" s="21"/>
      <c r="B3432" s="2"/>
      <c r="C3432" s="2"/>
      <c r="D3432" s="2"/>
    </row>
    <row r="3433" spans="1:4" ht="12.75" customHeight="1" x14ac:dyDescent="0.2">
      <c r="A3433" s="5"/>
      <c r="B3433" s="2"/>
      <c r="C3433" s="2"/>
      <c r="D3433" s="2"/>
    </row>
    <row r="3434" spans="1:4" ht="12.75" customHeight="1" x14ac:dyDescent="0.2">
      <c r="A3434" s="22" t="str">
        <f>HYPERLINK("javascript:void(0)","tolvajpáncél")</f>
        <v>tolvajpáncél</v>
      </c>
      <c r="B3434" s="21"/>
      <c r="C3434" s="21"/>
      <c r="D3434" s="21"/>
    </row>
    <row r="3435" spans="1:4" ht="12.75" customHeight="1" x14ac:dyDescent="0.2">
      <c r="A3435" s="20"/>
      <c r="B3435" s="2"/>
      <c r="C3435" s="2"/>
      <c r="D3435" s="2"/>
    </row>
    <row r="3436" spans="1:4" ht="12.75" customHeight="1" x14ac:dyDescent="0.2">
      <c r="A3436" s="21"/>
      <c r="B3436" s="3" t="s">
        <v>0</v>
      </c>
      <c r="C3436" s="20" t="s">
        <v>242</v>
      </c>
      <c r="D3436" s="21"/>
    </row>
    <row r="3437" spans="1:4" ht="12.75" customHeight="1" x14ac:dyDescent="0.2">
      <c r="A3437" s="21"/>
      <c r="B3437" s="3" t="s">
        <v>2</v>
      </c>
      <c r="C3437" s="20" t="s">
        <v>2322</v>
      </c>
      <c r="D3437" s="21"/>
    </row>
    <row r="3438" spans="1:4" ht="12.75" customHeight="1" x14ac:dyDescent="0.2">
      <c r="A3438" s="21"/>
      <c r="B3438" s="3" t="s">
        <v>1840</v>
      </c>
      <c r="C3438" s="20" t="s">
        <v>1870</v>
      </c>
      <c r="D3438" s="21"/>
    </row>
    <row r="3439" spans="1:4" ht="12.75" customHeight="1" x14ac:dyDescent="0.2">
      <c r="A3439" s="21"/>
      <c r="B3439" s="3" t="s">
        <v>9</v>
      </c>
      <c r="C3439" s="20" t="s">
        <v>2562</v>
      </c>
      <c r="D3439" s="21"/>
    </row>
    <row r="3440" spans="1:4" ht="12.75" customHeight="1" x14ac:dyDescent="0.2">
      <c r="A3440" s="21"/>
      <c r="B3440" s="3" t="s">
        <v>11</v>
      </c>
      <c r="C3440" s="20" t="s">
        <v>2563</v>
      </c>
      <c r="D3440" s="21"/>
    </row>
    <row r="3441" spans="1:4" ht="12.75" customHeight="1" x14ac:dyDescent="0.2">
      <c r="A3441" s="21"/>
      <c r="B3441" s="3" t="s">
        <v>16</v>
      </c>
      <c r="C3441" s="20"/>
      <c r="D3441" s="21"/>
    </row>
    <row r="3442" spans="1:4" ht="12.75" customHeight="1" x14ac:dyDescent="0.2">
      <c r="A3442" s="21"/>
      <c r="B3442" s="3" t="s">
        <v>17</v>
      </c>
      <c r="C3442" s="20" t="s">
        <v>19</v>
      </c>
      <c r="D3442" s="21"/>
    </row>
    <row r="3443" spans="1:4" ht="12.75" customHeight="1" x14ac:dyDescent="0.2">
      <c r="A3443" s="21"/>
      <c r="B3443" s="20" t="s">
        <v>18</v>
      </c>
      <c r="C3443" s="4" t="s">
        <v>44</v>
      </c>
      <c r="D3443" s="6" t="str">
        <f>HYPERLINK("javascript:void(0)","vértmell")</f>
        <v>vértmell</v>
      </c>
    </row>
    <row r="3444" spans="1:4" ht="12.75" customHeight="1" x14ac:dyDescent="0.2">
      <c r="A3444" s="21"/>
      <c r="B3444" s="21"/>
      <c r="C3444" s="4" t="s">
        <v>67</v>
      </c>
      <c r="D3444" s="6" t="str">
        <f>HYPERLINK("javascript:void(0)","idegen mütyüge")</f>
        <v>idegen mütyüge</v>
      </c>
    </row>
    <row r="3445" spans="1:4" ht="12.75" customHeight="1" x14ac:dyDescent="0.2">
      <c r="A3445" s="21"/>
      <c r="B3445" s="21"/>
      <c r="C3445" s="4" t="s">
        <v>98</v>
      </c>
      <c r="D3445" s="6" t="str">
        <f>HYPERLINK("javascript:void(0)","ármánylat")</f>
        <v>ármánylat</v>
      </c>
    </row>
    <row r="3446" spans="1:4" ht="12.75" customHeight="1" x14ac:dyDescent="0.2">
      <c r="A3446" s="21"/>
      <c r="B3446" s="2"/>
      <c r="C3446" s="2"/>
      <c r="D3446" s="2"/>
    </row>
    <row r="3447" spans="1:4" ht="12.75" customHeight="1" x14ac:dyDescent="0.2">
      <c r="A3447" s="21"/>
      <c r="B3447" s="2"/>
      <c r="C3447" s="2"/>
      <c r="D3447" s="2"/>
    </row>
    <row r="3448" spans="1:4" ht="12.75" customHeight="1" x14ac:dyDescent="0.2">
      <c r="A3448" s="21"/>
      <c r="B3448" s="2"/>
      <c r="C3448" s="2"/>
      <c r="D3448" s="2"/>
    </row>
    <row r="3449" spans="1:4" ht="12.75" customHeight="1" x14ac:dyDescent="0.2">
      <c r="A3449" s="21"/>
      <c r="B3449" s="2"/>
      <c r="C3449" s="2"/>
      <c r="D3449" s="2"/>
    </row>
    <row r="3450" spans="1:4" ht="12.75" customHeight="1" x14ac:dyDescent="0.2">
      <c r="A3450" s="5"/>
      <c r="B3450" s="2"/>
      <c r="C3450" s="2"/>
      <c r="D3450" s="2"/>
    </row>
    <row r="3451" spans="1:4" ht="12.75" customHeight="1" x14ac:dyDescent="0.2">
      <c r="A3451" s="22" t="str">
        <f>HYPERLINK("javascript:void(0)","teljes hasvért")</f>
        <v>teljes hasvért</v>
      </c>
      <c r="B3451" s="21"/>
      <c r="C3451" s="21"/>
      <c r="D3451" s="21"/>
    </row>
    <row r="3452" spans="1:4" ht="12.75" customHeight="1" x14ac:dyDescent="0.2">
      <c r="A3452" s="20"/>
      <c r="B3452" s="2"/>
      <c r="C3452" s="2"/>
      <c r="D3452" s="2"/>
    </row>
    <row r="3453" spans="1:4" ht="12.75" customHeight="1" x14ac:dyDescent="0.2">
      <c r="A3453" s="21"/>
      <c r="B3453" s="3" t="s">
        <v>0</v>
      </c>
      <c r="C3453" s="20" t="s">
        <v>1308</v>
      </c>
      <c r="D3453" s="21"/>
    </row>
    <row r="3454" spans="1:4" ht="12.75" customHeight="1" x14ac:dyDescent="0.2">
      <c r="A3454" s="21"/>
      <c r="B3454" s="3" t="s">
        <v>2</v>
      </c>
      <c r="C3454" s="20" t="s">
        <v>2322</v>
      </c>
      <c r="D3454" s="21"/>
    </row>
    <row r="3455" spans="1:4" ht="12.75" customHeight="1" x14ac:dyDescent="0.2">
      <c r="A3455" s="21"/>
      <c r="B3455" s="3" t="s">
        <v>1840</v>
      </c>
      <c r="C3455" s="20" t="s">
        <v>2564</v>
      </c>
      <c r="D3455" s="21"/>
    </row>
    <row r="3456" spans="1:4" ht="12.75" customHeight="1" x14ac:dyDescent="0.2">
      <c r="A3456" s="21"/>
      <c r="B3456" s="3" t="s">
        <v>9</v>
      </c>
      <c r="C3456" s="20" t="s">
        <v>1693</v>
      </c>
      <c r="D3456" s="21"/>
    </row>
    <row r="3457" spans="1:4" ht="12.75" customHeight="1" x14ac:dyDescent="0.2">
      <c r="A3457" s="21"/>
      <c r="B3457" s="3" t="s">
        <v>11</v>
      </c>
      <c r="C3457" s="20" t="s">
        <v>2565</v>
      </c>
      <c r="D3457" s="21"/>
    </row>
    <row r="3458" spans="1:4" ht="12.75" customHeight="1" x14ac:dyDescent="0.2">
      <c r="A3458" s="21"/>
      <c r="B3458" s="3" t="s">
        <v>16</v>
      </c>
      <c r="C3458" s="20"/>
      <c r="D3458" s="21"/>
    </row>
    <row r="3459" spans="1:4" ht="12.75" customHeight="1" x14ac:dyDescent="0.2">
      <c r="A3459" s="21"/>
      <c r="B3459" s="3" t="s">
        <v>17</v>
      </c>
      <c r="C3459" s="20" t="s">
        <v>19</v>
      </c>
      <c r="D3459" s="21"/>
    </row>
    <row r="3460" spans="1:4" ht="12.75" customHeight="1" x14ac:dyDescent="0.2">
      <c r="A3460" s="21"/>
      <c r="B3460" s="20" t="s">
        <v>18</v>
      </c>
      <c r="C3460" s="4" t="s">
        <v>117</v>
      </c>
      <c r="D3460" s="6" t="str">
        <f>HYPERLINK("javascript:void(0)","gyomorgörcs")</f>
        <v>gyomorgörcs</v>
      </c>
    </row>
    <row r="3461" spans="1:4" ht="12.75" customHeight="1" x14ac:dyDescent="0.2">
      <c r="A3461" s="21"/>
      <c r="B3461" s="21"/>
      <c r="C3461" s="4" t="s">
        <v>68</v>
      </c>
      <c r="D3461" s="6" t="str">
        <f>HYPERLINK("javascript:void(0)","zsiger")</f>
        <v>zsiger</v>
      </c>
    </row>
    <row r="3462" spans="1:4" ht="12.75" customHeight="1" x14ac:dyDescent="0.2">
      <c r="A3462" s="21"/>
      <c r="B3462" s="21"/>
      <c r="C3462" s="4" t="s">
        <v>132</v>
      </c>
      <c r="D3462" s="6" t="str">
        <f>HYPERLINK("javascript:void(0)","lábkarcsont")</f>
        <v>lábkarcsont</v>
      </c>
    </row>
    <row r="3463" spans="1:4" ht="12.75" customHeight="1" x14ac:dyDescent="0.2">
      <c r="A3463" s="21"/>
      <c r="B3463" s="2"/>
      <c r="C3463" s="2"/>
      <c r="D3463" s="2"/>
    </row>
    <row r="3464" spans="1:4" ht="12.75" customHeight="1" x14ac:dyDescent="0.2">
      <c r="A3464" s="21"/>
      <c r="B3464" s="2"/>
      <c r="C3464" s="2"/>
      <c r="D3464" s="2"/>
    </row>
    <row r="3465" spans="1:4" ht="12.75" customHeight="1" x14ac:dyDescent="0.2">
      <c r="A3465" s="21"/>
      <c r="B3465" s="2"/>
      <c r="C3465" s="2"/>
      <c r="D3465" s="2"/>
    </row>
    <row r="3466" spans="1:4" ht="12.75" customHeight="1" x14ac:dyDescent="0.2">
      <c r="A3466" s="21"/>
      <c r="B3466" s="2"/>
      <c r="C3466" s="2"/>
      <c r="D3466" s="2"/>
    </row>
    <row r="3467" spans="1:4" ht="12.75" customHeight="1" x14ac:dyDescent="0.2">
      <c r="A3467" s="5"/>
      <c r="B3467" s="2"/>
      <c r="C3467" s="2"/>
      <c r="D3467" s="2"/>
    </row>
    <row r="3468" spans="1:4" ht="12.75" customHeight="1" x14ac:dyDescent="0.2">
      <c r="A3468" s="22" t="str">
        <f>HYPERLINK("javascript:void(0)","felfújt hólyagvért")</f>
        <v>felfújt hólyagvért</v>
      </c>
      <c r="B3468" s="21"/>
      <c r="C3468" s="21"/>
      <c r="D3468" s="21"/>
    </row>
    <row r="3469" spans="1:4" ht="12.75" customHeight="1" x14ac:dyDescent="0.2">
      <c r="A3469" s="20"/>
      <c r="B3469" s="2"/>
      <c r="C3469" s="2"/>
      <c r="D3469" s="2"/>
    </row>
    <row r="3470" spans="1:4" ht="12.75" customHeight="1" x14ac:dyDescent="0.2">
      <c r="A3470" s="21"/>
      <c r="B3470" s="3" t="s">
        <v>0</v>
      </c>
      <c r="C3470" s="20" t="s">
        <v>361</v>
      </c>
      <c r="D3470" s="21"/>
    </row>
    <row r="3471" spans="1:4" ht="12.75" customHeight="1" x14ac:dyDescent="0.2">
      <c r="A3471" s="21"/>
      <c r="B3471" s="3" t="s">
        <v>2</v>
      </c>
      <c r="C3471" s="20" t="s">
        <v>2322</v>
      </c>
      <c r="D3471" s="21"/>
    </row>
    <row r="3472" spans="1:4" ht="12.75" customHeight="1" x14ac:dyDescent="0.2">
      <c r="A3472" s="21"/>
      <c r="B3472" s="3" t="s">
        <v>1840</v>
      </c>
      <c r="C3472" s="20" t="s">
        <v>2566</v>
      </c>
      <c r="D3472" s="21"/>
    </row>
    <row r="3473" spans="1:4" ht="12.75" customHeight="1" x14ac:dyDescent="0.2">
      <c r="A3473" s="21"/>
      <c r="B3473" s="3" t="s">
        <v>9</v>
      </c>
      <c r="C3473" s="20" t="s">
        <v>2567</v>
      </c>
      <c r="D3473" s="21"/>
    </row>
    <row r="3474" spans="1:4" ht="12.75" customHeight="1" x14ac:dyDescent="0.2">
      <c r="A3474" s="21"/>
      <c r="B3474" s="3" t="s">
        <v>11</v>
      </c>
      <c r="C3474" s="20" t="s">
        <v>1141</v>
      </c>
      <c r="D3474" s="21"/>
    </row>
    <row r="3475" spans="1:4" ht="12.75" customHeight="1" x14ac:dyDescent="0.2">
      <c r="A3475" s="21"/>
      <c r="B3475" s="3" t="s">
        <v>16</v>
      </c>
      <c r="C3475" s="20"/>
      <c r="D3475" s="21"/>
    </row>
    <row r="3476" spans="1:4" ht="12.75" customHeight="1" x14ac:dyDescent="0.2">
      <c r="A3476" s="21"/>
      <c r="B3476" s="3" t="s">
        <v>17</v>
      </c>
      <c r="C3476" s="20" t="s">
        <v>19</v>
      </c>
      <c r="D3476" s="21"/>
    </row>
    <row r="3477" spans="1:4" ht="12.75" customHeight="1" x14ac:dyDescent="0.2">
      <c r="A3477" s="21"/>
      <c r="B3477" s="20" t="s">
        <v>18</v>
      </c>
      <c r="C3477" s="4" t="s">
        <v>44</v>
      </c>
      <c r="D3477" s="6" t="str">
        <f>HYPERLINK("javascript:void(0)","tolvajpáncél")</f>
        <v>tolvajpáncél</v>
      </c>
    </row>
    <row r="3478" spans="1:4" ht="12.75" customHeight="1" x14ac:dyDescent="0.2">
      <c r="A3478" s="21"/>
      <c r="B3478" s="21"/>
      <c r="C3478" s="4" t="s">
        <v>44</v>
      </c>
      <c r="D3478" s="6" t="str">
        <f>HYPERLINK("javascript:void(0)","teljes hasvért")</f>
        <v>teljes hasvért</v>
      </c>
    </row>
    <row r="3479" spans="1:4" ht="12.75" customHeight="1" x14ac:dyDescent="0.2">
      <c r="A3479" s="21"/>
      <c r="B3479" s="21"/>
      <c r="C3479" s="4" t="s">
        <v>196</v>
      </c>
      <c r="D3479" s="6" t="str">
        <f>HYPERLINK("javascript:void(0)","kokszkeksz")</f>
        <v>kokszkeksz</v>
      </c>
    </row>
    <row r="3480" spans="1:4" ht="12.75" customHeight="1" x14ac:dyDescent="0.2">
      <c r="A3480" s="21"/>
      <c r="B3480" s="2"/>
      <c r="C3480" s="2"/>
      <c r="D3480" s="2"/>
    </row>
    <row r="3481" spans="1:4" ht="12.75" customHeight="1" x14ac:dyDescent="0.2">
      <c r="A3481" s="21"/>
      <c r="B3481" s="2"/>
      <c r="C3481" s="2"/>
      <c r="D3481" s="2"/>
    </row>
    <row r="3482" spans="1:4" ht="12.75" customHeight="1" x14ac:dyDescent="0.2">
      <c r="A3482" s="21"/>
      <c r="B3482" s="2"/>
      <c r="C3482" s="2"/>
      <c r="D3482" s="2"/>
    </row>
    <row r="3483" spans="1:4" ht="12.75" customHeight="1" x14ac:dyDescent="0.2">
      <c r="A3483" s="21"/>
      <c r="B3483" s="2"/>
      <c r="C3483" s="2"/>
      <c r="D3483" s="2"/>
    </row>
    <row r="3484" spans="1:4" ht="12.75" customHeight="1" x14ac:dyDescent="0.2">
      <c r="A3484" s="5"/>
      <c r="B3484" s="2"/>
      <c r="C3484" s="2"/>
      <c r="D3484" s="2"/>
    </row>
    <row r="3485" spans="1:4" ht="12.75" customHeight="1" x14ac:dyDescent="0.2">
      <c r="A3485" s="22" t="str">
        <f>HYPERLINK("javascript:void(0)","kétéltű páncél")</f>
        <v>kétéltű páncél</v>
      </c>
      <c r="B3485" s="21"/>
      <c r="C3485" s="21"/>
      <c r="D3485" s="21"/>
    </row>
    <row r="3486" spans="1:4" ht="12.75" customHeight="1" x14ac:dyDescent="0.2">
      <c r="A3486" s="20"/>
      <c r="B3486" s="2"/>
      <c r="C3486" s="2"/>
      <c r="D3486" s="2"/>
    </row>
    <row r="3487" spans="1:4" ht="12.75" customHeight="1" x14ac:dyDescent="0.2">
      <c r="A3487" s="21"/>
      <c r="B3487" s="3" t="s">
        <v>0</v>
      </c>
      <c r="C3487" s="20" t="s">
        <v>1322</v>
      </c>
      <c r="D3487" s="21"/>
    </row>
    <row r="3488" spans="1:4" ht="12.75" customHeight="1" x14ac:dyDescent="0.2">
      <c r="A3488" s="21"/>
      <c r="B3488" s="3" t="s">
        <v>2</v>
      </c>
      <c r="C3488" s="20" t="s">
        <v>2322</v>
      </c>
      <c r="D3488" s="21"/>
    </row>
    <row r="3489" spans="1:4" ht="12.75" customHeight="1" x14ac:dyDescent="0.2">
      <c r="A3489" s="21"/>
      <c r="B3489" s="3" t="s">
        <v>1840</v>
      </c>
      <c r="C3489" s="20" t="s">
        <v>717</v>
      </c>
      <c r="D3489" s="21"/>
    </row>
    <row r="3490" spans="1:4" ht="12.75" customHeight="1" x14ac:dyDescent="0.2">
      <c r="A3490" s="21"/>
      <c r="B3490" s="3" t="s">
        <v>9</v>
      </c>
      <c r="C3490" s="20" t="s">
        <v>2568</v>
      </c>
      <c r="D3490" s="21"/>
    </row>
    <row r="3491" spans="1:4" ht="12.75" customHeight="1" x14ac:dyDescent="0.2">
      <c r="A3491" s="21"/>
      <c r="B3491" s="3" t="s">
        <v>11</v>
      </c>
      <c r="C3491" s="20" t="s">
        <v>2569</v>
      </c>
      <c r="D3491" s="21"/>
    </row>
    <row r="3492" spans="1:4" ht="12.75" customHeight="1" x14ac:dyDescent="0.2">
      <c r="A3492" s="21"/>
      <c r="B3492" s="3" t="s">
        <v>16</v>
      </c>
      <c r="C3492" s="20"/>
      <c r="D3492" s="21"/>
    </row>
    <row r="3493" spans="1:4" ht="12.75" customHeight="1" x14ac:dyDescent="0.2">
      <c r="A3493" s="21"/>
      <c r="B3493" s="3" t="s">
        <v>17</v>
      </c>
      <c r="C3493" s="20" t="s">
        <v>19</v>
      </c>
      <c r="D3493" s="21"/>
    </row>
    <row r="3494" spans="1:4" ht="12.75" customHeight="1" x14ac:dyDescent="0.2">
      <c r="A3494" s="21"/>
      <c r="B3494" s="20" t="s">
        <v>18</v>
      </c>
      <c r="C3494" s="4" t="s">
        <v>44</v>
      </c>
      <c r="D3494" s="6" t="str">
        <f>HYPERLINK("javascript:void(0)","felfújt hólyagvért")</f>
        <v>felfújt hólyagvért</v>
      </c>
    </row>
    <row r="3495" spans="1:4" ht="12.75" customHeight="1" x14ac:dyDescent="0.2">
      <c r="A3495" s="21"/>
      <c r="B3495" s="21"/>
      <c r="C3495" s="4" t="s">
        <v>102</v>
      </c>
      <c r="D3495" s="6" t="str">
        <f>HYPERLINK("javascript:void(0)","vérüreg")</f>
        <v>vérüreg</v>
      </c>
    </row>
    <row r="3496" spans="1:4" ht="12.75" customHeight="1" x14ac:dyDescent="0.2">
      <c r="A3496" s="21"/>
      <c r="B3496" s="21"/>
      <c r="C3496" s="4" t="s">
        <v>196</v>
      </c>
      <c r="D3496" s="6" t="str">
        <f>HYPERLINK("javascript:void(0)","kopoltyú")</f>
        <v>kopoltyú</v>
      </c>
    </row>
    <row r="3497" spans="1:4" ht="12.75" customHeight="1" x14ac:dyDescent="0.2">
      <c r="A3497" s="21"/>
      <c r="B3497" s="2"/>
      <c r="C3497" s="2"/>
      <c r="D3497" s="2"/>
    </row>
    <row r="3498" spans="1:4" ht="12.75" customHeight="1" x14ac:dyDescent="0.2">
      <c r="A3498" s="21"/>
      <c r="B3498" s="2"/>
      <c r="C3498" s="2"/>
      <c r="D3498" s="2"/>
    </row>
    <row r="3499" spans="1:4" ht="12.75" customHeight="1" x14ac:dyDescent="0.2">
      <c r="A3499" s="21"/>
      <c r="B3499" s="2"/>
      <c r="C3499" s="2"/>
      <c r="D3499" s="2"/>
    </row>
    <row r="3500" spans="1:4" ht="12.75" customHeight="1" x14ac:dyDescent="0.2">
      <c r="A3500" s="21"/>
      <c r="B3500" s="2"/>
      <c r="C3500" s="2"/>
      <c r="D3500" s="2"/>
    </row>
    <row r="3501" spans="1:4" ht="12.75" customHeight="1" x14ac:dyDescent="0.2">
      <c r="A3501" s="5"/>
      <c r="B3501" s="2"/>
      <c r="C3501" s="2"/>
      <c r="D3501" s="2"/>
    </row>
    <row r="3502" spans="1:4" ht="12.75" customHeight="1" x14ac:dyDescent="0.2">
      <c r="A3502" s="22" t="str">
        <f>HYPERLINK("javascript:void(0)","barbárpáncél")</f>
        <v>barbárpáncél</v>
      </c>
      <c r="B3502" s="21"/>
      <c r="C3502" s="21"/>
      <c r="D3502" s="21"/>
    </row>
    <row r="3503" spans="1:4" ht="12.75" customHeight="1" x14ac:dyDescent="0.2">
      <c r="A3503" s="20"/>
      <c r="B3503" s="2"/>
      <c r="C3503" s="2"/>
      <c r="D3503" s="2"/>
    </row>
    <row r="3504" spans="1:4" ht="12.75" customHeight="1" x14ac:dyDescent="0.2">
      <c r="A3504" s="21"/>
      <c r="B3504" s="3" t="s">
        <v>0</v>
      </c>
      <c r="C3504" s="20" t="s">
        <v>371</v>
      </c>
      <c r="D3504" s="21"/>
    </row>
    <row r="3505" spans="1:4" ht="12.75" customHeight="1" x14ac:dyDescent="0.2">
      <c r="A3505" s="21"/>
      <c r="B3505" s="3" t="s">
        <v>2</v>
      </c>
      <c r="C3505" s="20" t="s">
        <v>2322</v>
      </c>
      <c r="D3505" s="21"/>
    </row>
    <row r="3506" spans="1:4" ht="12.75" customHeight="1" x14ac:dyDescent="0.2">
      <c r="A3506" s="21"/>
      <c r="B3506" s="3" t="s">
        <v>1840</v>
      </c>
      <c r="C3506" s="20" t="s">
        <v>2570</v>
      </c>
      <c r="D3506" s="21"/>
    </row>
    <row r="3507" spans="1:4" ht="12.75" customHeight="1" x14ac:dyDescent="0.2">
      <c r="A3507" s="21"/>
      <c r="B3507" s="3" t="s">
        <v>9</v>
      </c>
      <c r="C3507" s="20" t="s">
        <v>1729</v>
      </c>
      <c r="D3507" s="21"/>
    </row>
    <row r="3508" spans="1:4" ht="12.75" customHeight="1" x14ac:dyDescent="0.2">
      <c r="A3508" s="21"/>
      <c r="B3508" s="3" t="s">
        <v>11</v>
      </c>
      <c r="C3508" s="20" t="s">
        <v>2571</v>
      </c>
      <c r="D3508" s="21"/>
    </row>
    <row r="3509" spans="1:4" ht="12.75" customHeight="1" x14ac:dyDescent="0.2">
      <c r="A3509" s="21"/>
      <c r="B3509" s="3" t="s">
        <v>16</v>
      </c>
      <c r="C3509" s="20"/>
      <c r="D3509" s="21"/>
    </row>
    <row r="3510" spans="1:4" ht="12.75" customHeight="1" x14ac:dyDescent="0.2">
      <c r="A3510" s="21"/>
      <c r="B3510" s="3" t="s">
        <v>17</v>
      </c>
      <c r="C3510" s="20" t="s">
        <v>19</v>
      </c>
      <c r="D3510" s="21"/>
    </row>
    <row r="3511" spans="1:4" ht="12.75" customHeight="1" x14ac:dyDescent="0.2">
      <c r="A3511" s="21"/>
      <c r="B3511" s="20" t="s">
        <v>18</v>
      </c>
      <c r="C3511" s="4" t="s">
        <v>68</v>
      </c>
      <c r="D3511" s="6" t="str">
        <f>HYPERLINK("javascript:void(0)","barbár firka")</f>
        <v>barbár firka</v>
      </c>
    </row>
    <row r="3512" spans="1:4" ht="12.75" customHeight="1" x14ac:dyDescent="0.2">
      <c r="A3512" s="21"/>
      <c r="B3512" s="21"/>
      <c r="C3512" s="4" t="s">
        <v>77</v>
      </c>
      <c r="D3512" s="6" t="str">
        <f>HYPERLINK("javascript:void(0)","hőzöngcsörgő")</f>
        <v>hőzöngcsörgő</v>
      </c>
    </row>
    <row r="3513" spans="1:4" ht="12.75" customHeight="1" x14ac:dyDescent="0.2">
      <c r="A3513" s="21"/>
      <c r="B3513" s="21"/>
      <c r="C3513" s="4" t="s">
        <v>102</v>
      </c>
      <c r="D3513" s="6" t="str">
        <f>HYPERLINK("javascript:void(0)","hamvadt tetem")</f>
        <v>hamvadt tetem</v>
      </c>
    </row>
    <row r="3514" spans="1:4" ht="12.75" customHeight="1" x14ac:dyDescent="0.2">
      <c r="A3514" s="21"/>
      <c r="B3514" s="2"/>
      <c r="C3514" s="2"/>
      <c r="D3514" s="2"/>
    </row>
    <row r="3515" spans="1:4" ht="12.75" customHeight="1" x14ac:dyDescent="0.2">
      <c r="A3515" s="21"/>
      <c r="B3515" s="2"/>
      <c r="C3515" s="2"/>
      <c r="D3515" s="2"/>
    </row>
    <row r="3516" spans="1:4" ht="12.75" customHeight="1" x14ac:dyDescent="0.2">
      <c r="A3516" s="21"/>
      <c r="B3516" s="2"/>
      <c r="C3516" s="2"/>
      <c r="D3516" s="2"/>
    </row>
    <row r="3517" spans="1:4" ht="12.75" customHeight="1" x14ac:dyDescent="0.2">
      <c r="A3517" s="21"/>
      <c r="B3517" s="2"/>
      <c r="C3517" s="2"/>
      <c r="D3517" s="2"/>
    </row>
    <row r="3518" spans="1:4" ht="12.75" customHeight="1" x14ac:dyDescent="0.2">
      <c r="A3518" s="5"/>
      <c r="B3518" s="2"/>
      <c r="C3518" s="2"/>
      <c r="D3518" s="2"/>
    </row>
    <row r="3519" spans="1:4" ht="12.75" customHeight="1" x14ac:dyDescent="0.2">
      <c r="A3519" s="22" t="str">
        <f>HYPERLINK("javascript:void(0)","piros mellvért")</f>
        <v>piros mellvért</v>
      </c>
      <c r="B3519" s="21"/>
      <c r="C3519" s="21"/>
      <c r="D3519" s="21"/>
    </row>
    <row r="3520" spans="1:4" ht="12.75" customHeight="1" x14ac:dyDescent="0.2">
      <c r="A3520" s="20"/>
      <c r="B3520" s="2"/>
      <c r="C3520" s="2"/>
      <c r="D3520" s="2"/>
    </row>
    <row r="3521" spans="1:4" ht="12.75" customHeight="1" x14ac:dyDescent="0.2">
      <c r="A3521" s="21"/>
      <c r="B3521" s="3" t="s">
        <v>0</v>
      </c>
      <c r="C3521" s="20" t="s">
        <v>1342</v>
      </c>
      <c r="D3521" s="21"/>
    </row>
    <row r="3522" spans="1:4" ht="12.75" customHeight="1" x14ac:dyDescent="0.2">
      <c r="A3522" s="21"/>
      <c r="B3522" s="3" t="s">
        <v>2</v>
      </c>
      <c r="C3522" s="20" t="s">
        <v>2322</v>
      </c>
      <c r="D3522" s="21"/>
    </row>
    <row r="3523" spans="1:4" ht="12.75" customHeight="1" x14ac:dyDescent="0.2">
      <c r="A3523" s="21"/>
      <c r="B3523" s="3" t="s">
        <v>1840</v>
      </c>
      <c r="C3523" s="20" t="s">
        <v>726</v>
      </c>
      <c r="D3523" s="21"/>
    </row>
    <row r="3524" spans="1:4" ht="12.75" customHeight="1" x14ac:dyDescent="0.2">
      <c r="A3524" s="21"/>
      <c r="B3524" s="3" t="s">
        <v>9</v>
      </c>
      <c r="C3524" s="20" t="s">
        <v>2572</v>
      </c>
      <c r="D3524" s="21"/>
    </row>
    <row r="3525" spans="1:4" ht="12.75" customHeight="1" x14ac:dyDescent="0.2">
      <c r="A3525" s="21"/>
      <c r="B3525" s="3" t="s">
        <v>11</v>
      </c>
      <c r="C3525" s="20" t="s">
        <v>1163</v>
      </c>
      <c r="D3525" s="21"/>
    </row>
    <row r="3526" spans="1:4" ht="12.75" customHeight="1" x14ac:dyDescent="0.2">
      <c r="A3526" s="21"/>
      <c r="B3526" s="3" t="s">
        <v>16</v>
      </c>
      <c r="C3526" s="20"/>
      <c r="D3526" s="21"/>
    </row>
    <row r="3527" spans="1:4" ht="12.75" customHeight="1" x14ac:dyDescent="0.2">
      <c r="A3527" s="21"/>
      <c r="B3527" s="3" t="s">
        <v>17</v>
      </c>
      <c r="C3527" s="20" t="s">
        <v>19</v>
      </c>
      <c r="D3527" s="21"/>
    </row>
    <row r="3528" spans="1:4" ht="12.75" customHeight="1" x14ac:dyDescent="0.2">
      <c r="A3528" s="21"/>
      <c r="B3528" s="20" t="s">
        <v>18</v>
      </c>
      <c r="C3528" s="4" t="s">
        <v>44</v>
      </c>
      <c r="D3528" s="6" t="str">
        <f>HYPERLINK("javascript:void(0)","kétéltű páncél")</f>
        <v>kétéltű páncél</v>
      </c>
    </row>
    <row r="3529" spans="1:4" ht="12.75" customHeight="1" x14ac:dyDescent="0.2">
      <c r="A3529" s="21"/>
      <c r="B3529" s="21"/>
      <c r="C3529" s="4" t="s">
        <v>44</v>
      </c>
      <c r="D3529" s="6" t="str">
        <f>HYPERLINK("javascript:void(0)","barbárpáncél")</f>
        <v>barbárpáncél</v>
      </c>
    </row>
    <row r="3530" spans="1:4" ht="25.5" customHeight="1" x14ac:dyDescent="0.2">
      <c r="A3530" s="21"/>
      <c r="B3530" s="21"/>
      <c r="C3530" s="4" t="s">
        <v>67</v>
      </c>
      <c r="D3530" s="6" t="str">
        <f>HYPERLINK("javascript:void(0)","kommunikációképtelenség")</f>
        <v>kommunikációképtelenség</v>
      </c>
    </row>
    <row r="3531" spans="1:4" ht="12.75" customHeight="1" x14ac:dyDescent="0.2">
      <c r="A3531" s="21"/>
      <c r="B3531" s="2"/>
      <c r="C3531" s="2"/>
      <c r="D3531" s="2"/>
    </row>
    <row r="3532" spans="1:4" ht="12.75" customHeight="1" x14ac:dyDescent="0.2">
      <c r="A3532" s="21"/>
      <c r="B3532" s="2"/>
      <c r="C3532" s="2"/>
      <c r="D3532" s="2"/>
    </row>
    <row r="3533" spans="1:4" ht="12.75" customHeight="1" x14ac:dyDescent="0.2">
      <c r="A3533" s="21"/>
      <c r="B3533" s="2"/>
      <c r="C3533" s="2"/>
      <c r="D3533" s="2"/>
    </row>
    <row r="3534" spans="1:4" ht="12.75" customHeight="1" x14ac:dyDescent="0.2">
      <c r="A3534" s="21"/>
      <c r="B3534" s="2"/>
      <c r="C3534" s="2"/>
      <c r="D3534" s="2"/>
    </row>
    <row r="3535" spans="1:4" ht="12.75" customHeight="1" x14ac:dyDescent="0.2">
      <c r="A3535" s="5"/>
      <c r="B3535" s="2"/>
      <c r="C3535" s="2"/>
      <c r="D3535" s="2"/>
    </row>
    <row r="3536" spans="1:4" ht="12.75" customHeight="1" x14ac:dyDescent="0.2">
      <c r="A3536" s="22" t="str">
        <f>HYPERLINK("javascript:void(0)","savas esőkabát")</f>
        <v>savas esőkabát</v>
      </c>
      <c r="B3536" s="21"/>
      <c r="C3536" s="21"/>
      <c r="D3536" s="21"/>
    </row>
    <row r="3537" spans="1:4" ht="12.75" customHeight="1" x14ac:dyDescent="0.2">
      <c r="A3537" s="20"/>
      <c r="B3537" s="2"/>
      <c r="C3537" s="2"/>
      <c r="D3537" s="2"/>
    </row>
    <row r="3538" spans="1:4" ht="12.75" customHeight="1" x14ac:dyDescent="0.2">
      <c r="A3538" s="21"/>
      <c r="B3538" s="3" t="s">
        <v>0</v>
      </c>
      <c r="C3538" s="20" t="s">
        <v>351</v>
      </c>
      <c r="D3538" s="21"/>
    </row>
    <row r="3539" spans="1:4" ht="12.75" customHeight="1" x14ac:dyDescent="0.2">
      <c r="A3539" s="21"/>
      <c r="B3539" s="3" t="s">
        <v>2</v>
      </c>
      <c r="C3539" s="20" t="s">
        <v>2322</v>
      </c>
      <c r="D3539" s="21"/>
    </row>
    <row r="3540" spans="1:4" ht="12.75" customHeight="1" x14ac:dyDescent="0.2">
      <c r="A3540" s="21"/>
      <c r="B3540" s="3" t="s">
        <v>1840</v>
      </c>
      <c r="C3540" s="20" t="s">
        <v>2573</v>
      </c>
      <c r="D3540" s="21"/>
    </row>
    <row r="3541" spans="1:4" ht="12.75" customHeight="1" x14ac:dyDescent="0.2">
      <c r="A3541" s="21"/>
      <c r="B3541" s="3" t="s">
        <v>9</v>
      </c>
      <c r="C3541" s="20" t="s">
        <v>2568</v>
      </c>
      <c r="D3541" s="21"/>
    </row>
    <row r="3542" spans="1:4" ht="12.75" customHeight="1" x14ac:dyDescent="0.2">
      <c r="A3542" s="21"/>
      <c r="B3542" s="3" t="s">
        <v>11</v>
      </c>
      <c r="C3542" s="20" t="s">
        <v>1180</v>
      </c>
      <c r="D3542" s="21"/>
    </row>
    <row r="3543" spans="1:4" ht="12.75" customHeight="1" x14ac:dyDescent="0.2">
      <c r="A3543" s="21"/>
      <c r="B3543" s="3" t="s">
        <v>16</v>
      </c>
      <c r="C3543" s="20"/>
      <c r="D3543" s="21"/>
    </row>
    <row r="3544" spans="1:4" ht="12.75" customHeight="1" x14ac:dyDescent="0.2">
      <c r="A3544" s="21"/>
      <c r="B3544" s="3" t="s">
        <v>17</v>
      </c>
      <c r="C3544" s="20" t="s">
        <v>19</v>
      </c>
      <c r="D3544" s="21"/>
    </row>
    <row r="3545" spans="1:4" ht="12.75" customHeight="1" x14ac:dyDescent="0.2">
      <c r="A3545" s="21"/>
      <c r="B3545" s="20" t="s">
        <v>18</v>
      </c>
      <c r="C3545" s="4" t="s">
        <v>44</v>
      </c>
      <c r="D3545" s="6" t="str">
        <f>HYPERLINK("javascript:void(0)","piros mellvért")</f>
        <v>piros mellvért</v>
      </c>
    </row>
    <row r="3546" spans="1:4" ht="12.75" customHeight="1" x14ac:dyDescent="0.2">
      <c r="A3546" s="21"/>
      <c r="B3546" s="21"/>
      <c r="C3546" s="4" t="s">
        <v>67</v>
      </c>
      <c r="D3546" s="6" t="str">
        <f>HYPERLINK("javascript:void(0)","savige")</f>
        <v>savige</v>
      </c>
    </row>
    <row r="3547" spans="1:4" ht="12.75" customHeight="1" x14ac:dyDescent="0.2">
      <c r="A3547" s="21"/>
      <c r="B3547" s="21"/>
      <c r="C3547" s="4" t="s">
        <v>77</v>
      </c>
      <c r="D3547" s="6" t="str">
        <f>HYPERLINK("javascript:void(0)","dobogás")</f>
        <v>dobogás</v>
      </c>
    </row>
    <row r="3548" spans="1:4" ht="12.75" customHeight="1" x14ac:dyDescent="0.2">
      <c r="A3548" s="21"/>
      <c r="B3548" s="2"/>
      <c r="C3548" s="2"/>
      <c r="D3548" s="2"/>
    </row>
    <row r="3549" spans="1:4" ht="12.75" customHeight="1" x14ac:dyDescent="0.2">
      <c r="A3549" s="21"/>
      <c r="B3549" s="2"/>
      <c r="C3549" s="2"/>
      <c r="D3549" s="2"/>
    </row>
    <row r="3550" spans="1:4" ht="12.75" customHeight="1" x14ac:dyDescent="0.2">
      <c r="A3550" s="21"/>
      <c r="B3550" s="2"/>
      <c r="C3550" s="2"/>
      <c r="D3550" s="2"/>
    </row>
    <row r="3551" spans="1:4" ht="12.75" customHeight="1" x14ac:dyDescent="0.2">
      <c r="A3551" s="21"/>
      <c r="B3551" s="2"/>
      <c r="C3551" s="2"/>
      <c r="D3551" s="2"/>
    </row>
    <row r="3552" spans="1:4" ht="12.75" customHeight="1" x14ac:dyDescent="0.2">
      <c r="A3552" s="5"/>
      <c r="B3552" s="2"/>
      <c r="C3552" s="2"/>
      <c r="D3552" s="2"/>
    </row>
    <row r="3553" spans="1:4" ht="12.75" customHeight="1" x14ac:dyDescent="0.2">
      <c r="A3553" s="22" t="str">
        <f>HYPERLINK("javascript:void(0)","viharpáncél")</f>
        <v>viharpáncél</v>
      </c>
      <c r="B3553" s="21"/>
      <c r="C3553" s="21"/>
      <c r="D3553" s="21"/>
    </row>
    <row r="3554" spans="1:4" ht="12.75" customHeight="1" x14ac:dyDescent="0.2">
      <c r="A3554" s="20"/>
      <c r="B3554" s="2"/>
      <c r="C3554" s="2"/>
      <c r="D3554" s="2"/>
    </row>
    <row r="3555" spans="1:4" ht="12.75" customHeight="1" x14ac:dyDescent="0.2">
      <c r="A3555" s="21"/>
      <c r="B3555" s="3" t="s">
        <v>0</v>
      </c>
      <c r="C3555" s="20" t="s">
        <v>1355</v>
      </c>
      <c r="D3555" s="21"/>
    </row>
    <row r="3556" spans="1:4" ht="12.75" customHeight="1" x14ac:dyDescent="0.2">
      <c r="A3556" s="21"/>
      <c r="B3556" s="3" t="s">
        <v>2</v>
      </c>
      <c r="C3556" s="20" t="s">
        <v>2322</v>
      </c>
      <c r="D3556" s="21"/>
    </row>
    <row r="3557" spans="1:4" ht="12.75" customHeight="1" x14ac:dyDescent="0.2">
      <c r="A3557" s="21"/>
      <c r="B3557" s="3" t="s">
        <v>1840</v>
      </c>
      <c r="C3557" s="20" t="s">
        <v>2574</v>
      </c>
      <c r="D3557" s="21"/>
    </row>
    <row r="3558" spans="1:4" ht="12.75" customHeight="1" x14ac:dyDescent="0.2">
      <c r="A3558" s="21"/>
      <c r="B3558" s="3" t="s">
        <v>9</v>
      </c>
      <c r="C3558" s="20" t="s">
        <v>2492</v>
      </c>
      <c r="D3558" s="21"/>
    </row>
    <row r="3559" spans="1:4" ht="12.75" customHeight="1" x14ac:dyDescent="0.2">
      <c r="A3559" s="21"/>
      <c r="B3559" s="3" t="s">
        <v>11</v>
      </c>
      <c r="C3559" s="20" t="s">
        <v>1203</v>
      </c>
      <c r="D3559" s="21"/>
    </row>
    <row r="3560" spans="1:4" ht="12.75" customHeight="1" x14ac:dyDescent="0.2">
      <c r="A3560" s="21"/>
      <c r="B3560" s="3" t="s">
        <v>16</v>
      </c>
      <c r="C3560" s="20"/>
      <c r="D3560" s="21"/>
    </row>
    <row r="3561" spans="1:4" ht="12.75" customHeight="1" x14ac:dyDescent="0.2">
      <c r="A3561" s="21"/>
      <c r="B3561" s="3" t="s">
        <v>17</v>
      </c>
      <c r="C3561" s="20" t="s">
        <v>19</v>
      </c>
      <c r="D3561" s="21"/>
    </row>
    <row r="3562" spans="1:4" ht="12.75" customHeight="1" x14ac:dyDescent="0.2">
      <c r="A3562" s="21"/>
      <c r="B3562" s="20" t="s">
        <v>18</v>
      </c>
      <c r="C3562" s="4" t="s">
        <v>232</v>
      </c>
      <c r="D3562" s="6" t="str">
        <f>HYPERLINK("javascript:void(0)","agyvihar")</f>
        <v>agyvihar</v>
      </c>
    </row>
    <row r="3563" spans="1:4" ht="12.75" customHeight="1" x14ac:dyDescent="0.2">
      <c r="A3563" s="21"/>
      <c r="B3563" s="21"/>
      <c r="C3563" s="4" t="s">
        <v>132</v>
      </c>
      <c r="D3563" s="6" t="str">
        <f>HYPERLINK("javascript:void(0)","savige")</f>
        <v>savige</v>
      </c>
    </row>
    <row r="3564" spans="1:4" ht="12.75" customHeight="1" x14ac:dyDescent="0.2">
      <c r="A3564" s="21"/>
      <c r="B3564" s="21"/>
      <c r="C3564" s="4" t="s">
        <v>68</v>
      </c>
      <c r="D3564" s="6" t="str">
        <f>HYPERLINK("javascript:void(0)","kártyalap")</f>
        <v>kártyalap</v>
      </c>
    </row>
    <row r="3565" spans="1:4" ht="12.75" customHeight="1" x14ac:dyDescent="0.2">
      <c r="A3565" s="21"/>
      <c r="B3565" s="2"/>
      <c r="C3565" s="2"/>
      <c r="D3565" s="2"/>
    </row>
    <row r="3566" spans="1:4" ht="12.75" customHeight="1" x14ac:dyDescent="0.2">
      <c r="A3566" s="21"/>
      <c r="B3566" s="2"/>
      <c r="C3566" s="2"/>
      <c r="D3566" s="2"/>
    </row>
    <row r="3567" spans="1:4" ht="12.75" customHeight="1" x14ac:dyDescent="0.2">
      <c r="A3567" s="21"/>
      <c r="B3567" s="2"/>
      <c r="C3567" s="2"/>
      <c r="D3567" s="2"/>
    </row>
    <row r="3568" spans="1:4" ht="12.75" customHeight="1" x14ac:dyDescent="0.2">
      <c r="A3568" s="21"/>
      <c r="B3568" s="2"/>
      <c r="C3568" s="2"/>
      <c r="D3568" s="2"/>
    </row>
    <row r="3569" spans="1:4" ht="12.75" customHeight="1" x14ac:dyDescent="0.2">
      <c r="A3569" s="5"/>
      <c r="B3569" s="2"/>
      <c r="C3569" s="2"/>
      <c r="D3569" s="2"/>
    </row>
    <row r="3570" spans="1:4" ht="12.75" customHeight="1" x14ac:dyDescent="0.2">
      <c r="A3570" s="22" t="str">
        <f>HYPERLINK("javascript:void(0)","felhősuba")</f>
        <v>felhősuba</v>
      </c>
      <c r="B3570" s="21"/>
      <c r="C3570" s="21"/>
      <c r="D3570" s="21"/>
    </row>
    <row r="3571" spans="1:4" ht="12.75" customHeight="1" x14ac:dyDescent="0.2">
      <c r="A3571" s="20"/>
      <c r="B3571" s="2"/>
      <c r="C3571" s="2"/>
      <c r="D3571" s="2"/>
    </row>
    <row r="3572" spans="1:4" ht="12.75" customHeight="1" x14ac:dyDescent="0.2">
      <c r="A3572" s="21"/>
      <c r="B3572" s="3" t="s">
        <v>0</v>
      </c>
      <c r="C3572" s="20" t="s">
        <v>1359</v>
      </c>
      <c r="D3572" s="21"/>
    </row>
    <row r="3573" spans="1:4" ht="12.75" customHeight="1" x14ac:dyDescent="0.2">
      <c r="A3573" s="21"/>
      <c r="B3573" s="3" t="s">
        <v>2</v>
      </c>
      <c r="C3573" s="20" t="s">
        <v>2322</v>
      </c>
      <c r="D3573" s="21"/>
    </row>
    <row r="3574" spans="1:4" ht="12.75" customHeight="1" x14ac:dyDescent="0.2">
      <c r="A3574" s="21"/>
      <c r="B3574" s="3" t="s">
        <v>1840</v>
      </c>
      <c r="C3574" s="20" t="s">
        <v>2575</v>
      </c>
      <c r="D3574" s="21"/>
    </row>
    <row r="3575" spans="1:4" ht="12.75" customHeight="1" x14ac:dyDescent="0.2">
      <c r="A3575" s="21"/>
      <c r="B3575" s="3" t="s">
        <v>9</v>
      </c>
      <c r="C3575" s="20" t="s">
        <v>2576</v>
      </c>
      <c r="D3575" s="21"/>
    </row>
    <row r="3576" spans="1:4" ht="12.75" customHeight="1" x14ac:dyDescent="0.2">
      <c r="A3576" s="21"/>
      <c r="B3576" s="3" t="s">
        <v>11</v>
      </c>
      <c r="C3576" s="20" t="s">
        <v>1235</v>
      </c>
      <c r="D3576" s="21"/>
    </row>
    <row r="3577" spans="1:4" ht="12.75" customHeight="1" x14ac:dyDescent="0.2">
      <c r="A3577" s="21"/>
      <c r="B3577" s="3" t="s">
        <v>16</v>
      </c>
      <c r="C3577" s="20"/>
      <c r="D3577" s="21"/>
    </row>
    <row r="3578" spans="1:4" ht="12.75" customHeight="1" x14ac:dyDescent="0.2">
      <c r="A3578" s="21"/>
      <c r="B3578" s="3" t="s">
        <v>17</v>
      </c>
      <c r="C3578" s="20" t="s">
        <v>19</v>
      </c>
      <c r="D3578" s="21"/>
    </row>
    <row r="3579" spans="1:4" ht="12.75" customHeight="1" x14ac:dyDescent="0.2">
      <c r="A3579" s="21"/>
      <c r="B3579" s="20" t="s">
        <v>18</v>
      </c>
      <c r="C3579" s="4" t="s">
        <v>44</v>
      </c>
      <c r="D3579" s="6" t="str">
        <f>HYPERLINK("javascript:void(0)","savas esőkabát")</f>
        <v>savas esőkabát</v>
      </c>
    </row>
    <row r="3580" spans="1:4" ht="12.75" customHeight="1" x14ac:dyDescent="0.2">
      <c r="A3580" s="21"/>
      <c r="B3580" s="21"/>
      <c r="C3580" s="4" t="s">
        <v>44</v>
      </c>
      <c r="D3580" s="6" t="str">
        <f>HYPERLINK("javascript:void(0)","viharpáncél")</f>
        <v>viharpáncél</v>
      </c>
    </row>
    <row r="3581" spans="1:4" ht="12.75" customHeight="1" x14ac:dyDescent="0.2">
      <c r="A3581" s="21"/>
      <c r="B3581" s="21"/>
      <c r="C3581" s="4" t="s">
        <v>67</v>
      </c>
      <c r="D3581" s="6" t="str">
        <f>HYPERLINK("javascript:void(0)","felhőszelet")</f>
        <v>felhőszelet</v>
      </c>
    </row>
    <row r="3582" spans="1:4" ht="12.75" customHeight="1" x14ac:dyDescent="0.2">
      <c r="A3582" s="21"/>
      <c r="B3582" s="2"/>
      <c r="C3582" s="2"/>
      <c r="D3582" s="2"/>
    </row>
    <row r="3583" spans="1:4" ht="12.75" customHeight="1" x14ac:dyDescent="0.2">
      <c r="A3583" s="21"/>
      <c r="B3583" s="2"/>
      <c r="C3583" s="2"/>
      <c r="D3583" s="2"/>
    </row>
    <row r="3584" spans="1:4" ht="12.75" customHeight="1" x14ac:dyDescent="0.2">
      <c r="A3584" s="21"/>
      <c r="B3584" s="2"/>
      <c r="C3584" s="2"/>
      <c r="D3584" s="2"/>
    </row>
    <row r="3585" spans="1:4" ht="12.75" customHeight="1" x14ac:dyDescent="0.2">
      <c r="A3585" s="21"/>
      <c r="B3585" s="2"/>
      <c r="C3585" s="2"/>
      <c r="D3585" s="2"/>
    </row>
    <row r="3586" spans="1:4" ht="12.75" customHeight="1" x14ac:dyDescent="0.2">
      <c r="A3586" s="5"/>
      <c r="B3586" s="2"/>
      <c r="C3586" s="2"/>
      <c r="D3586" s="2"/>
    </row>
    <row r="3587" spans="1:4" ht="12.75" customHeight="1" x14ac:dyDescent="0.2">
      <c r="A3587" s="22" t="str">
        <f>HYPERLINK("javascript:void(0)","védett mellvéd")</f>
        <v>védett mellvéd</v>
      </c>
      <c r="B3587" s="21"/>
      <c r="C3587" s="21"/>
      <c r="D3587" s="21"/>
    </row>
    <row r="3588" spans="1:4" ht="12.75" customHeight="1" x14ac:dyDescent="0.2">
      <c r="A3588" s="20"/>
      <c r="B3588" s="2"/>
      <c r="C3588" s="2"/>
      <c r="D3588" s="2"/>
    </row>
    <row r="3589" spans="1:4" ht="12.75" customHeight="1" x14ac:dyDescent="0.2">
      <c r="A3589" s="21"/>
      <c r="B3589" s="3" t="s">
        <v>0</v>
      </c>
      <c r="C3589" s="20" t="s">
        <v>1362</v>
      </c>
      <c r="D3589" s="21"/>
    </row>
    <row r="3590" spans="1:4" ht="12.75" customHeight="1" x14ac:dyDescent="0.2">
      <c r="A3590" s="21"/>
      <c r="B3590" s="3" t="s">
        <v>2</v>
      </c>
      <c r="C3590" s="20" t="s">
        <v>2322</v>
      </c>
      <c r="D3590" s="21"/>
    </row>
    <row r="3591" spans="1:4" ht="12.75" customHeight="1" x14ac:dyDescent="0.2">
      <c r="A3591" s="21"/>
      <c r="B3591" s="3" t="s">
        <v>1840</v>
      </c>
      <c r="C3591" s="20" t="s">
        <v>2577</v>
      </c>
      <c r="D3591" s="21"/>
    </row>
    <row r="3592" spans="1:4" ht="12.75" customHeight="1" x14ac:dyDescent="0.2">
      <c r="A3592" s="21"/>
      <c r="B3592" s="3" t="s">
        <v>9</v>
      </c>
      <c r="C3592" s="20" t="s">
        <v>2490</v>
      </c>
      <c r="D3592" s="21"/>
    </row>
    <row r="3593" spans="1:4" ht="12.75" customHeight="1" x14ac:dyDescent="0.2">
      <c r="A3593" s="21"/>
      <c r="B3593" s="3" t="s">
        <v>11</v>
      </c>
      <c r="C3593" s="20" t="s">
        <v>1248</v>
      </c>
      <c r="D3593" s="21"/>
    </row>
    <row r="3594" spans="1:4" ht="12.75" customHeight="1" x14ac:dyDescent="0.2">
      <c r="A3594" s="21"/>
      <c r="B3594" s="3" t="s">
        <v>16</v>
      </c>
      <c r="C3594" s="20"/>
      <c r="D3594" s="21"/>
    </row>
    <row r="3595" spans="1:4" ht="12.75" customHeight="1" x14ac:dyDescent="0.2">
      <c r="A3595" s="21"/>
      <c r="B3595" s="3" t="s">
        <v>17</v>
      </c>
      <c r="C3595" s="20" t="s">
        <v>19</v>
      </c>
      <c r="D3595" s="21"/>
    </row>
    <row r="3596" spans="1:4" ht="12.75" customHeight="1" x14ac:dyDescent="0.2">
      <c r="A3596" s="21"/>
      <c r="B3596" s="20" t="s">
        <v>18</v>
      </c>
      <c r="C3596" s="4" t="s">
        <v>44</v>
      </c>
      <c r="D3596" s="6" t="str">
        <f>HYPERLINK("javascript:void(0)","felhősuba")</f>
        <v>felhősuba</v>
      </c>
    </row>
    <row r="3597" spans="1:4" ht="12.75" customHeight="1" x14ac:dyDescent="0.2">
      <c r="A3597" s="21"/>
      <c r="B3597" s="21"/>
      <c r="C3597" s="4" t="s">
        <v>232</v>
      </c>
      <c r="D3597" s="6" t="str">
        <f>HYPERLINK("javascript:void(0)","védjegy")</f>
        <v>védjegy</v>
      </c>
    </row>
    <row r="3598" spans="1:4" ht="12.75" customHeight="1" x14ac:dyDescent="0.2">
      <c r="A3598" s="21"/>
      <c r="B3598" s="21"/>
      <c r="C3598" s="4" t="s">
        <v>382</v>
      </c>
      <c r="D3598" s="6" t="str">
        <f>HYPERLINK("javascript:void(0)","jégige")</f>
        <v>jégige</v>
      </c>
    </row>
    <row r="3599" spans="1:4" ht="12.75" customHeight="1" x14ac:dyDescent="0.2">
      <c r="A3599" s="21"/>
      <c r="B3599" s="2"/>
      <c r="C3599" s="2"/>
      <c r="D3599" s="2"/>
    </row>
    <row r="3600" spans="1:4" ht="12.75" customHeight="1" x14ac:dyDescent="0.2">
      <c r="A3600" s="21"/>
      <c r="B3600" s="2"/>
      <c r="C3600" s="2"/>
      <c r="D3600" s="2"/>
    </row>
    <row r="3601" spans="1:4" ht="12.75" customHeight="1" x14ac:dyDescent="0.2">
      <c r="A3601" s="21"/>
      <c r="B3601" s="2"/>
      <c r="C3601" s="2"/>
      <c r="D3601" s="2"/>
    </row>
    <row r="3602" spans="1:4" ht="12.75" customHeight="1" x14ac:dyDescent="0.2">
      <c r="A3602" s="21"/>
      <c r="B3602" s="2"/>
      <c r="C3602" s="2"/>
      <c r="D3602" s="2"/>
    </row>
    <row r="3603" spans="1:4" ht="12.75" customHeight="1" x14ac:dyDescent="0.2">
      <c r="A3603" s="5"/>
      <c r="B3603" s="2"/>
      <c r="C3603" s="2"/>
      <c r="D3603" s="2"/>
    </row>
    <row r="3604" spans="1:4" ht="12.75" customHeight="1" x14ac:dyDescent="0.2">
      <c r="A3604" s="22" t="str">
        <f>HYPERLINK("javascript:void(0)","nyálláncing")</f>
        <v>nyálláncing</v>
      </c>
      <c r="B3604" s="21"/>
      <c r="C3604" s="21"/>
      <c r="D3604" s="21"/>
    </row>
    <row r="3605" spans="1:4" ht="12.75" customHeight="1" x14ac:dyDescent="0.2">
      <c r="A3605" s="20"/>
      <c r="B3605" s="2"/>
      <c r="C3605" s="2"/>
      <c r="D3605" s="2"/>
    </row>
    <row r="3606" spans="1:4" ht="12.75" customHeight="1" x14ac:dyDescent="0.2">
      <c r="A3606" s="21"/>
      <c r="B3606" s="3" t="s">
        <v>0</v>
      </c>
      <c r="C3606" s="20" t="s">
        <v>256</v>
      </c>
      <c r="D3606" s="21"/>
    </row>
    <row r="3607" spans="1:4" ht="12.75" customHeight="1" x14ac:dyDescent="0.2">
      <c r="A3607" s="21"/>
      <c r="B3607" s="3" t="s">
        <v>2</v>
      </c>
      <c r="C3607" s="20" t="s">
        <v>2322</v>
      </c>
      <c r="D3607" s="21"/>
    </row>
    <row r="3608" spans="1:4" ht="12.75" customHeight="1" x14ac:dyDescent="0.2">
      <c r="A3608" s="21"/>
      <c r="B3608" s="3" t="s">
        <v>1840</v>
      </c>
      <c r="C3608" s="20" t="s">
        <v>2578</v>
      </c>
      <c r="D3608" s="21"/>
    </row>
    <row r="3609" spans="1:4" ht="12.75" customHeight="1" x14ac:dyDescent="0.2">
      <c r="A3609" s="21"/>
      <c r="B3609" s="3" t="s">
        <v>9</v>
      </c>
      <c r="C3609" s="20" t="s">
        <v>2579</v>
      </c>
      <c r="D3609" s="21"/>
    </row>
    <row r="3610" spans="1:4" ht="12.75" customHeight="1" x14ac:dyDescent="0.2">
      <c r="A3610" s="21"/>
      <c r="B3610" s="3" t="s">
        <v>11</v>
      </c>
      <c r="C3610" s="20" t="s">
        <v>1269</v>
      </c>
      <c r="D3610" s="21"/>
    </row>
    <row r="3611" spans="1:4" ht="12.75" customHeight="1" x14ac:dyDescent="0.2">
      <c r="A3611" s="21"/>
      <c r="B3611" s="3" t="s">
        <v>16</v>
      </c>
      <c r="C3611" s="20"/>
      <c r="D3611" s="21"/>
    </row>
    <row r="3612" spans="1:4" ht="12.75" customHeight="1" x14ac:dyDescent="0.2">
      <c r="A3612" s="21"/>
      <c r="B3612" s="3" t="s">
        <v>17</v>
      </c>
      <c r="C3612" s="20" t="s">
        <v>19</v>
      </c>
      <c r="D3612" s="21"/>
    </row>
    <row r="3613" spans="1:4" ht="12.75" customHeight="1" x14ac:dyDescent="0.2">
      <c r="A3613" s="21"/>
      <c r="B3613" s="20" t="s">
        <v>18</v>
      </c>
      <c r="C3613" s="4" t="s">
        <v>280</v>
      </c>
      <c r="D3613" s="6" t="str">
        <f>HYPERLINK("javascript:void(0)","dadacsiganyál")</f>
        <v>dadacsiganyál</v>
      </c>
    </row>
    <row r="3614" spans="1:4" ht="12.75" customHeight="1" x14ac:dyDescent="0.2">
      <c r="A3614" s="21"/>
      <c r="B3614" s="21"/>
      <c r="C3614" s="4" t="s">
        <v>142</v>
      </c>
      <c r="D3614" s="6" t="str">
        <f>HYPERLINK("javascript:void(0)","gumilepedő")</f>
        <v>gumilepedő</v>
      </c>
    </row>
    <row r="3615" spans="1:4" ht="12.75" customHeight="1" x14ac:dyDescent="0.2">
      <c r="A3615" s="21"/>
      <c r="B3615" s="21"/>
      <c r="C3615" s="4" t="s">
        <v>68</v>
      </c>
      <c r="D3615" s="6" t="str">
        <f>HYPERLINK("javascript:void(0)","fiola")</f>
        <v>fiola</v>
      </c>
    </row>
    <row r="3616" spans="1:4" ht="12.75" customHeight="1" x14ac:dyDescent="0.2">
      <c r="A3616" s="21"/>
      <c r="B3616" s="2"/>
      <c r="C3616" s="2"/>
      <c r="D3616" s="2"/>
    </row>
    <row r="3617" spans="1:4" ht="12.75" customHeight="1" x14ac:dyDescent="0.2">
      <c r="A3617" s="21"/>
      <c r="B3617" s="2"/>
      <c r="C3617" s="2"/>
      <c r="D3617" s="2"/>
    </row>
    <row r="3618" spans="1:4" ht="12.75" customHeight="1" x14ac:dyDescent="0.2">
      <c r="A3618" s="21"/>
      <c r="B3618" s="2"/>
      <c r="C3618" s="2"/>
      <c r="D3618" s="2"/>
    </row>
    <row r="3619" spans="1:4" ht="12.75" customHeight="1" x14ac:dyDescent="0.2">
      <c r="A3619" s="21"/>
      <c r="B3619" s="2"/>
      <c r="C3619" s="2"/>
      <c r="D3619" s="2"/>
    </row>
    <row r="3620" spans="1:4" ht="12.75" customHeight="1" x14ac:dyDescent="0.2">
      <c r="A3620" s="5"/>
      <c r="B3620" s="2"/>
      <c r="C3620" s="2"/>
      <c r="D3620" s="2"/>
    </row>
    <row r="3621" spans="1:4" ht="12.75" customHeight="1" x14ac:dyDescent="0.2">
      <c r="A3621" s="22" t="str">
        <f>HYPERLINK("javascript:void(0)","függő láncing")</f>
        <v>függő láncing</v>
      </c>
      <c r="B3621" s="21"/>
      <c r="C3621" s="21"/>
      <c r="D3621" s="21"/>
    </row>
    <row r="3622" spans="1:4" ht="12.75" customHeight="1" x14ac:dyDescent="0.2">
      <c r="A3622" s="20"/>
      <c r="B3622" s="2"/>
      <c r="C3622" s="2"/>
      <c r="D3622" s="2"/>
    </row>
    <row r="3623" spans="1:4" ht="12.75" customHeight="1" x14ac:dyDescent="0.2">
      <c r="A3623" s="21"/>
      <c r="B3623" s="3" t="s">
        <v>0</v>
      </c>
      <c r="C3623" s="20" t="s">
        <v>146</v>
      </c>
      <c r="D3623" s="21"/>
    </row>
    <row r="3624" spans="1:4" ht="12.75" customHeight="1" x14ac:dyDescent="0.2">
      <c r="A3624" s="21"/>
      <c r="B3624" s="3" t="s">
        <v>2</v>
      </c>
      <c r="C3624" s="20" t="s">
        <v>2322</v>
      </c>
      <c r="D3624" s="21"/>
    </row>
    <row r="3625" spans="1:4" ht="12.75" customHeight="1" x14ac:dyDescent="0.2">
      <c r="A3625" s="21"/>
      <c r="B3625" s="3" t="s">
        <v>1840</v>
      </c>
      <c r="C3625" s="20" t="s">
        <v>2580</v>
      </c>
      <c r="D3625" s="21"/>
    </row>
    <row r="3626" spans="1:4" ht="12.75" customHeight="1" x14ac:dyDescent="0.2">
      <c r="A3626" s="21"/>
      <c r="B3626" s="3" t="s">
        <v>9</v>
      </c>
      <c r="C3626" s="20" t="s">
        <v>343</v>
      </c>
      <c r="D3626" s="21"/>
    </row>
    <row r="3627" spans="1:4" ht="12.75" customHeight="1" x14ac:dyDescent="0.2">
      <c r="A3627" s="21"/>
      <c r="B3627" s="3" t="s">
        <v>11</v>
      </c>
      <c r="C3627" s="20" t="s">
        <v>1283</v>
      </c>
      <c r="D3627" s="21"/>
    </row>
    <row r="3628" spans="1:4" ht="12.75" customHeight="1" x14ac:dyDescent="0.2">
      <c r="A3628" s="21"/>
      <c r="B3628" s="3" t="s">
        <v>16</v>
      </c>
      <c r="C3628" s="20"/>
      <c r="D3628" s="21"/>
    </row>
    <row r="3629" spans="1:4" ht="12.75" customHeight="1" x14ac:dyDescent="0.2">
      <c r="A3629" s="21"/>
      <c r="B3629" s="3" t="s">
        <v>17</v>
      </c>
      <c r="C3629" s="20" t="s">
        <v>19</v>
      </c>
      <c r="D3629" s="21"/>
    </row>
    <row r="3630" spans="1:4" ht="12.75" customHeight="1" x14ac:dyDescent="0.2">
      <c r="A3630" s="21"/>
      <c r="B3630" s="20" t="s">
        <v>18</v>
      </c>
      <c r="C3630" s="4" t="s">
        <v>44</v>
      </c>
      <c r="D3630" s="6" t="str">
        <f>HYPERLINK("javascript:void(0)","védett mellvéd")</f>
        <v>védett mellvéd</v>
      </c>
    </row>
    <row r="3631" spans="1:4" ht="12.75" customHeight="1" x14ac:dyDescent="0.2">
      <c r="A3631" s="21"/>
      <c r="B3631" s="21"/>
      <c r="C3631" s="4" t="s">
        <v>44</v>
      </c>
      <c r="D3631" s="6" t="str">
        <f>HYPERLINK("javascript:void(0)","nyálláncing")</f>
        <v>nyálláncing</v>
      </c>
    </row>
    <row r="3632" spans="1:4" ht="12.75" customHeight="1" x14ac:dyDescent="0.2">
      <c r="A3632" s="21"/>
      <c r="B3632" s="21"/>
      <c r="C3632" s="4" t="s">
        <v>193</v>
      </c>
      <c r="D3632" s="6" t="str">
        <f>HYPERLINK("javascript:void(0)","függérték")</f>
        <v>függérték</v>
      </c>
    </row>
    <row r="3633" spans="1:4" ht="12.75" customHeight="1" x14ac:dyDescent="0.2">
      <c r="A3633" s="21"/>
      <c r="B3633" s="2"/>
      <c r="C3633" s="2"/>
      <c r="D3633" s="2"/>
    </row>
    <row r="3634" spans="1:4" ht="12.75" customHeight="1" x14ac:dyDescent="0.2">
      <c r="A3634" s="21"/>
      <c r="B3634" s="2"/>
      <c r="C3634" s="2"/>
      <c r="D3634" s="2"/>
    </row>
    <row r="3635" spans="1:4" ht="12.75" customHeight="1" x14ac:dyDescent="0.2">
      <c r="A3635" s="21"/>
      <c r="B3635" s="2"/>
      <c r="C3635" s="2"/>
      <c r="D3635" s="2"/>
    </row>
    <row r="3636" spans="1:4" ht="12.75" customHeight="1" x14ac:dyDescent="0.2">
      <c r="A3636" s="21"/>
      <c r="B3636" s="2"/>
      <c r="C3636" s="2"/>
      <c r="D3636" s="2"/>
    </row>
    <row r="3637" spans="1:4" ht="12.75" customHeight="1" x14ac:dyDescent="0.2">
      <c r="A3637" s="5"/>
      <c r="B3637" s="2"/>
      <c r="C3637" s="2"/>
      <c r="D3637" s="2"/>
    </row>
    <row r="3638" spans="1:4" ht="12.75" customHeight="1" x14ac:dyDescent="0.2">
      <c r="A3638" s="22" t="str">
        <f>HYPERLINK("javascript:void(0)","ezüst zeke")</f>
        <v>ezüst zeke</v>
      </c>
      <c r="B3638" s="21"/>
      <c r="C3638" s="21"/>
      <c r="D3638" s="21"/>
    </row>
    <row r="3639" spans="1:4" ht="12.75" customHeight="1" x14ac:dyDescent="0.2">
      <c r="A3639" s="20"/>
      <c r="B3639" s="2"/>
      <c r="C3639" s="2"/>
      <c r="D3639" s="2"/>
    </row>
    <row r="3640" spans="1:4" ht="12.75" customHeight="1" x14ac:dyDescent="0.2">
      <c r="A3640" s="21"/>
      <c r="B3640" s="3" t="s">
        <v>0</v>
      </c>
      <c r="C3640" s="20" t="s">
        <v>1373</v>
      </c>
      <c r="D3640" s="21"/>
    </row>
    <row r="3641" spans="1:4" ht="12.75" customHeight="1" x14ac:dyDescent="0.2">
      <c r="A3641" s="21"/>
      <c r="B3641" s="3" t="s">
        <v>2</v>
      </c>
      <c r="C3641" s="20" t="s">
        <v>2322</v>
      </c>
      <c r="D3641" s="21"/>
    </row>
    <row r="3642" spans="1:4" ht="12.75" customHeight="1" x14ac:dyDescent="0.2">
      <c r="A3642" s="21"/>
      <c r="B3642" s="3" t="s">
        <v>1840</v>
      </c>
      <c r="C3642" s="20" t="s">
        <v>2581</v>
      </c>
      <c r="D3642" s="21"/>
    </row>
    <row r="3643" spans="1:4" ht="12.75" customHeight="1" x14ac:dyDescent="0.2">
      <c r="A3643" s="21"/>
      <c r="B3643" s="3" t="s">
        <v>9</v>
      </c>
      <c r="C3643" s="20" t="s">
        <v>1612</v>
      </c>
      <c r="D3643" s="21"/>
    </row>
    <row r="3644" spans="1:4" ht="12.75" customHeight="1" x14ac:dyDescent="0.2">
      <c r="A3644" s="21"/>
      <c r="B3644" s="3" t="s">
        <v>11</v>
      </c>
      <c r="C3644" s="20" t="s">
        <v>1298</v>
      </c>
      <c r="D3644" s="21"/>
    </row>
    <row r="3645" spans="1:4" ht="12.75" customHeight="1" x14ac:dyDescent="0.2">
      <c r="A3645" s="21"/>
      <c r="B3645" s="3" t="s">
        <v>16</v>
      </c>
      <c r="C3645" s="20"/>
      <c r="D3645" s="21"/>
    </row>
    <row r="3646" spans="1:4" ht="12.75" customHeight="1" x14ac:dyDescent="0.2">
      <c r="A3646" s="21"/>
      <c r="B3646" s="3" t="s">
        <v>17</v>
      </c>
      <c r="C3646" s="20" t="s">
        <v>19</v>
      </c>
      <c r="D3646" s="21"/>
    </row>
    <row r="3647" spans="1:4" ht="12.75" customHeight="1" x14ac:dyDescent="0.2">
      <c r="A3647" s="21"/>
      <c r="B3647" s="20" t="s">
        <v>18</v>
      </c>
      <c r="C3647" s="4" t="s">
        <v>44</v>
      </c>
      <c r="D3647" s="6" t="str">
        <f>HYPERLINK("javascript:void(0)","függő láncing")</f>
        <v>függő láncing</v>
      </c>
    </row>
    <row r="3648" spans="1:4" ht="12.75" customHeight="1" x14ac:dyDescent="0.2">
      <c r="A3648" s="21"/>
      <c r="B3648" s="21"/>
      <c r="C3648" s="4" t="s">
        <v>331</v>
      </c>
      <c r="D3648" s="6" t="str">
        <f>HYPERLINK("javascript:void(0)","állásfoglalás")</f>
        <v>állásfoglalás</v>
      </c>
    </row>
    <row r="3649" spans="1:4" ht="25.5" customHeight="1" x14ac:dyDescent="0.2">
      <c r="A3649" s="21"/>
      <c r="B3649" s="21"/>
      <c r="C3649" s="4" t="s">
        <v>280</v>
      </c>
      <c r="D3649" s="6" t="str">
        <f>HYPERLINK("javascript:void(0)","kommunikációképtelenség")</f>
        <v>kommunikációképtelenség</v>
      </c>
    </row>
    <row r="3650" spans="1:4" ht="12.75" customHeight="1" x14ac:dyDescent="0.2">
      <c r="A3650" s="21"/>
      <c r="B3650" s="2"/>
      <c r="C3650" s="2"/>
      <c r="D3650" s="2"/>
    </row>
    <row r="3651" spans="1:4" ht="12.75" customHeight="1" x14ac:dyDescent="0.2">
      <c r="A3651" s="21"/>
      <c r="B3651" s="2"/>
      <c r="C3651" s="2"/>
      <c r="D3651" s="2"/>
    </row>
    <row r="3652" spans="1:4" ht="12.75" customHeight="1" x14ac:dyDescent="0.2">
      <c r="A3652" s="21"/>
      <c r="B3652" s="2"/>
      <c r="C3652" s="2"/>
      <c r="D3652" s="2"/>
    </row>
    <row r="3653" spans="1:4" ht="12.75" customHeight="1" x14ac:dyDescent="0.2">
      <c r="A3653" s="21"/>
      <c r="B3653" s="2"/>
      <c r="C3653" s="2"/>
      <c r="D3653" s="2"/>
    </row>
    <row r="3654" spans="1:4" ht="12.75" customHeight="1" x14ac:dyDescent="0.2">
      <c r="A3654" s="5"/>
      <c r="B3654" s="2"/>
      <c r="C3654" s="2"/>
      <c r="D3654" s="2"/>
    </row>
    <row r="3655" spans="1:4" ht="12.75" customHeight="1" x14ac:dyDescent="0.2">
      <c r="A3655" s="22" t="str">
        <f>HYPERLINK("javascript:void(0)","arany zeke")</f>
        <v>arany zeke</v>
      </c>
      <c r="B3655" s="21"/>
      <c r="C3655" s="21"/>
      <c r="D3655" s="21"/>
    </row>
    <row r="3656" spans="1:4" ht="12.75" customHeight="1" x14ac:dyDescent="0.2">
      <c r="A3656" s="20"/>
      <c r="B3656" s="2"/>
      <c r="C3656" s="2"/>
      <c r="D3656" s="2"/>
    </row>
    <row r="3657" spans="1:4" ht="12.75" customHeight="1" x14ac:dyDescent="0.2">
      <c r="A3657" s="21"/>
      <c r="B3657" s="3" t="s">
        <v>0</v>
      </c>
      <c r="C3657" s="20" t="s">
        <v>1381</v>
      </c>
      <c r="D3657" s="21"/>
    </row>
    <row r="3658" spans="1:4" ht="12.75" customHeight="1" x14ac:dyDescent="0.2">
      <c r="A3658" s="21"/>
      <c r="B3658" s="3" t="s">
        <v>2</v>
      </c>
      <c r="C3658" s="20" t="s">
        <v>2322</v>
      </c>
      <c r="D3658" s="21"/>
    </row>
    <row r="3659" spans="1:4" ht="12.75" customHeight="1" x14ac:dyDescent="0.2">
      <c r="A3659" s="21"/>
      <c r="B3659" s="3" t="s">
        <v>1840</v>
      </c>
      <c r="C3659" s="20" t="s">
        <v>2582</v>
      </c>
      <c r="D3659" s="21"/>
    </row>
    <row r="3660" spans="1:4" ht="12.75" customHeight="1" x14ac:dyDescent="0.2">
      <c r="A3660" s="21"/>
      <c r="B3660" s="3" t="s">
        <v>9</v>
      </c>
      <c r="C3660" s="20" t="s">
        <v>2583</v>
      </c>
      <c r="D3660" s="21"/>
    </row>
    <row r="3661" spans="1:4" ht="12.75" customHeight="1" x14ac:dyDescent="0.2">
      <c r="A3661" s="21"/>
      <c r="B3661" s="3" t="s">
        <v>11</v>
      </c>
      <c r="C3661" s="20" t="s">
        <v>1312</v>
      </c>
      <c r="D3661" s="21"/>
    </row>
    <row r="3662" spans="1:4" ht="12.75" customHeight="1" x14ac:dyDescent="0.2">
      <c r="A3662" s="21"/>
      <c r="B3662" s="3" t="s">
        <v>16</v>
      </c>
      <c r="C3662" s="20"/>
      <c r="D3662" s="21"/>
    </row>
    <row r="3663" spans="1:4" ht="12.75" customHeight="1" x14ac:dyDescent="0.2">
      <c r="A3663" s="21"/>
      <c r="B3663" s="3" t="s">
        <v>17</v>
      </c>
      <c r="C3663" s="20" t="s">
        <v>19</v>
      </c>
      <c r="D3663" s="21"/>
    </row>
    <row r="3664" spans="1:4" ht="12.75" customHeight="1" x14ac:dyDescent="0.2">
      <c r="A3664" s="21"/>
      <c r="B3664" s="20" t="s">
        <v>18</v>
      </c>
      <c r="C3664" s="4" t="s">
        <v>331</v>
      </c>
      <c r="D3664" s="6" t="str">
        <f>HYPERLINK("javascript:void(0)","átokhordozó")</f>
        <v>átokhordozó</v>
      </c>
    </row>
    <row r="3665" spans="1:4" ht="12.75" customHeight="1" x14ac:dyDescent="0.2">
      <c r="A3665" s="21"/>
      <c r="B3665" s="21"/>
      <c r="C3665" s="4" t="s">
        <v>132</v>
      </c>
      <c r="D3665" s="6" t="str">
        <f>HYPERLINK("javascript:void(0)","dobogás")</f>
        <v>dobogás</v>
      </c>
    </row>
    <row r="3666" spans="1:4" ht="12.75" customHeight="1" x14ac:dyDescent="0.2">
      <c r="A3666" s="21"/>
      <c r="B3666" s="21"/>
      <c r="C3666" s="4" t="s">
        <v>296</v>
      </c>
      <c r="D3666" s="6" t="str">
        <f>HYPERLINK("javascript:void(0)","bajuszkötő")</f>
        <v>bajuszkötő</v>
      </c>
    </row>
    <row r="3667" spans="1:4" ht="12.75" customHeight="1" x14ac:dyDescent="0.2">
      <c r="A3667" s="21"/>
      <c r="B3667" s="2"/>
      <c r="C3667" s="2"/>
      <c r="D3667" s="2"/>
    </row>
    <row r="3668" spans="1:4" ht="12.75" customHeight="1" x14ac:dyDescent="0.2">
      <c r="A3668" s="21"/>
      <c r="B3668" s="2"/>
      <c r="C3668" s="2"/>
      <c r="D3668" s="2"/>
    </row>
    <row r="3669" spans="1:4" ht="12.75" customHeight="1" x14ac:dyDescent="0.2">
      <c r="A3669" s="21"/>
      <c r="B3669" s="2"/>
      <c r="C3669" s="2"/>
      <c r="D3669" s="2"/>
    </row>
    <row r="3670" spans="1:4" ht="12.75" customHeight="1" x14ac:dyDescent="0.2">
      <c r="A3670" s="21"/>
      <c r="B3670" s="2"/>
      <c r="C3670" s="2"/>
      <c r="D3670" s="2"/>
    </row>
    <row r="3671" spans="1:4" ht="12.75" customHeight="1" x14ac:dyDescent="0.2">
      <c r="A3671" s="5"/>
      <c r="B3671" s="2"/>
      <c r="C3671" s="2"/>
      <c r="D3671" s="2"/>
    </row>
    <row r="3672" spans="1:4" ht="12.75" customHeight="1" x14ac:dyDescent="0.2">
      <c r="A3672" s="22" t="str">
        <f>HYPERLINK("javascript:void(0)","opál zeke")</f>
        <v>opál zeke</v>
      </c>
      <c r="B3672" s="21"/>
      <c r="C3672" s="21"/>
      <c r="D3672" s="21"/>
    </row>
    <row r="3673" spans="1:4" ht="12.75" customHeight="1" x14ac:dyDescent="0.2">
      <c r="A3673" s="20"/>
      <c r="B3673" s="2"/>
      <c r="C3673" s="2"/>
      <c r="D3673" s="2"/>
    </row>
    <row r="3674" spans="1:4" ht="12.75" customHeight="1" x14ac:dyDescent="0.2">
      <c r="A3674" s="21"/>
      <c r="B3674" s="3" t="s">
        <v>0</v>
      </c>
      <c r="C3674" s="20" t="s">
        <v>1385</v>
      </c>
      <c r="D3674" s="21"/>
    </row>
    <row r="3675" spans="1:4" ht="12.75" customHeight="1" x14ac:dyDescent="0.2">
      <c r="A3675" s="21"/>
      <c r="B3675" s="3" t="s">
        <v>2</v>
      </c>
      <c r="C3675" s="20" t="s">
        <v>2322</v>
      </c>
      <c r="D3675" s="21"/>
    </row>
    <row r="3676" spans="1:4" ht="12.75" customHeight="1" x14ac:dyDescent="0.2">
      <c r="A3676" s="21"/>
      <c r="B3676" s="3" t="s">
        <v>1840</v>
      </c>
      <c r="C3676" s="20" t="s">
        <v>2584</v>
      </c>
      <c r="D3676" s="21"/>
    </row>
    <row r="3677" spans="1:4" ht="12.75" customHeight="1" x14ac:dyDescent="0.2">
      <c r="A3677" s="21"/>
      <c r="B3677" s="3" t="s">
        <v>9</v>
      </c>
      <c r="C3677" s="20" t="s">
        <v>1454</v>
      </c>
      <c r="D3677" s="21"/>
    </row>
    <row r="3678" spans="1:4" ht="12.75" customHeight="1" x14ac:dyDescent="0.2">
      <c r="A3678" s="21"/>
      <c r="B3678" s="3" t="s">
        <v>11</v>
      </c>
      <c r="C3678" s="20" t="s">
        <v>1329</v>
      </c>
      <c r="D3678" s="21"/>
    </row>
    <row r="3679" spans="1:4" ht="12.75" customHeight="1" x14ac:dyDescent="0.2">
      <c r="A3679" s="21"/>
      <c r="B3679" s="3" t="s">
        <v>16</v>
      </c>
      <c r="C3679" s="20"/>
      <c r="D3679" s="21"/>
    </row>
    <row r="3680" spans="1:4" ht="12.75" customHeight="1" x14ac:dyDescent="0.2">
      <c r="A3680" s="21"/>
      <c r="B3680" s="3" t="s">
        <v>17</v>
      </c>
      <c r="C3680" s="20" t="s">
        <v>19</v>
      </c>
      <c r="D3680" s="21"/>
    </row>
    <row r="3681" spans="1:4" ht="12.75" customHeight="1" x14ac:dyDescent="0.2">
      <c r="A3681" s="21"/>
      <c r="B3681" s="20" t="s">
        <v>18</v>
      </c>
      <c r="C3681" s="4" t="s">
        <v>44</v>
      </c>
      <c r="D3681" s="6" t="str">
        <f>HYPERLINK("javascript:void(0)","ezüst zeke")</f>
        <v>ezüst zeke</v>
      </c>
    </row>
    <row r="3682" spans="1:4" ht="12.75" customHeight="1" x14ac:dyDescent="0.2">
      <c r="A3682" s="21"/>
      <c r="B3682" s="21"/>
      <c r="C3682" s="4" t="s">
        <v>44</v>
      </c>
      <c r="D3682" s="6" t="str">
        <f>HYPERLINK("javascript:void(0)","arany zeke")</f>
        <v>arany zeke</v>
      </c>
    </row>
    <row r="3683" spans="1:4" ht="12.75" customHeight="1" x14ac:dyDescent="0.2">
      <c r="A3683" s="21"/>
      <c r="B3683" s="21"/>
      <c r="C3683" s="4" t="s">
        <v>98</v>
      </c>
      <c r="D3683" s="6" t="str">
        <f>HYPERLINK("javascript:void(0)","ködige")</f>
        <v>ködige</v>
      </c>
    </row>
    <row r="3684" spans="1:4" ht="12.75" customHeight="1" x14ac:dyDescent="0.2">
      <c r="A3684" s="21"/>
      <c r="B3684" s="2"/>
      <c r="C3684" s="2"/>
      <c r="D3684" s="2"/>
    </row>
    <row r="3685" spans="1:4" ht="12.75" customHeight="1" x14ac:dyDescent="0.2">
      <c r="A3685" s="21"/>
      <c r="B3685" s="2"/>
      <c r="C3685" s="2"/>
      <c r="D3685" s="2"/>
    </row>
    <row r="3686" spans="1:4" ht="12.75" customHeight="1" x14ac:dyDescent="0.2">
      <c r="A3686" s="21"/>
      <c r="B3686" s="2"/>
      <c r="C3686" s="2"/>
      <c r="D3686" s="2"/>
    </row>
    <row r="3687" spans="1:4" ht="12.75" customHeight="1" x14ac:dyDescent="0.2">
      <c r="A3687" s="21"/>
      <c r="B3687" s="2"/>
      <c r="C3687" s="2"/>
      <c r="D3687" s="2"/>
    </row>
    <row r="3688" spans="1:4" ht="12.75" customHeight="1" x14ac:dyDescent="0.2">
      <c r="A3688" s="5"/>
      <c r="B3688" s="2"/>
      <c r="C3688" s="2"/>
      <c r="D3688" s="2"/>
    </row>
    <row r="3689" spans="1:4" ht="12.75" customHeight="1" x14ac:dyDescent="0.2">
      <c r="A3689" s="22" t="str">
        <f>HYPERLINK("javascript:void(0)","jáspis zeke")</f>
        <v>jáspis zeke</v>
      </c>
      <c r="B3689" s="21"/>
      <c r="C3689" s="21"/>
      <c r="D3689" s="21"/>
    </row>
    <row r="3690" spans="1:4" ht="12.75" customHeight="1" x14ac:dyDescent="0.2">
      <c r="A3690" s="20"/>
      <c r="B3690" s="2"/>
      <c r="C3690" s="2"/>
      <c r="D3690" s="2"/>
    </row>
    <row r="3691" spans="1:4" ht="12.75" customHeight="1" x14ac:dyDescent="0.2">
      <c r="A3691" s="21"/>
      <c r="B3691" s="3" t="s">
        <v>0</v>
      </c>
      <c r="C3691" s="20" t="s">
        <v>1390</v>
      </c>
      <c r="D3691" s="21"/>
    </row>
    <row r="3692" spans="1:4" ht="12.75" customHeight="1" x14ac:dyDescent="0.2">
      <c r="A3692" s="21"/>
      <c r="B3692" s="3" t="s">
        <v>2</v>
      </c>
      <c r="C3692" s="20" t="s">
        <v>2322</v>
      </c>
      <c r="D3692" s="21"/>
    </row>
    <row r="3693" spans="1:4" ht="12.75" customHeight="1" x14ac:dyDescent="0.2">
      <c r="A3693" s="21"/>
      <c r="B3693" s="3" t="s">
        <v>1840</v>
      </c>
      <c r="C3693" s="20" t="s">
        <v>2585</v>
      </c>
      <c r="D3693" s="21"/>
    </row>
    <row r="3694" spans="1:4" ht="12.75" customHeight="1" x14ac:dyDescent="0.2">
      <c r="A3694" s="21"/>
      <c r="B3694" s="3" t="s">
        <v>9</v>
      </c>
      <c r="C3694" s="20" t="s">
        <v>1324</v>
      </c>
      <c r="D3694" s="21"/>
    </row>
    <row r="3695" spans="1:4" ht="12.75" customHeight="1" x14ac:dyDescent="0.2">
      <c r="A3695" s="21"/>
      <c r="B3695" s="3" t="s">
        <v>11</v>
      </c>
      <c r="C3695" s="20" t="s">
        <v>1347</v>
      </c>
      <c r="D3695" s="21"/>
    </row>
    <row r="3696" spans="1:4" ht="12.75" customHeight="1" x14ac:dyDescent="0.2">
      <c r="A3696" s="21"/>
      <c r="B3696" s="3" t="s">
        <v>16</v>
      </c>
      <c r="C3696" s="20"/>
      <c r="D3696" s="21"/>
    </row>
    <row r="3697" spans="1:4" ht="12.75" customHeight="1" x14ac:dyDescent="0.2">
      <c r="A3697" s="21"/>
      <c r="B3697" s="3" t="s">
        <v>17</v>
      </c>
      <c r="C3697" s="20" t="s">
        <v>19</v>
      </c>
      <c r="D3697" s="21"/>
    </row>
    <row r="3698" spans="1:4" ht="12.75" customHeight="1" x14ac:dyDescent="0.2">
      <c r="A3698" s="21"/>
      <c r="B3698" s="20" t="s">
        <v>18</v>
      </c>
      <c r="C3698" s="4" t="s">
        <v>44</v>
      </c>
      <c r="D3698" s="6" t="str">
        <f>HYPERLINK("javascript:void(0)","opál zeke")</f>
        <v>opál zeke</v>
      </c>
    </row>
    <row r="3699" spans="1:4" ht="12.75" customHeight="1" x14ac:dyDescent="0.2">
      <c r="A3699" s="21"/>
      <c r="B3699" s="21"/>
      <c r="C3699" s="4" t="s">
        <v>98</v>
      </c>
      <c r="D3699" s="6" t="str">
        <f>HYPERLINK("javascript:void(0)","pala")</f>
        <v>pala</v>
      </c>
    </row>
    <row r="3700" spans="1:4" ht="12.75" customHeight="1" x14ac:dyDescent="0.2">
      <c r="A3700" s="21"/>
      <c r="B3700" s="21"/>
      <c r="C3700" s="4" t="s">
        <v>163</v>
      </c>
      <c r="D3700" s="6" t="str">
        <f>HYPERLINK("javascript:void(0)","kocka")</f>
        <v>kocka</v>
      </c>
    </row>
    <row r="3701" spans="1:4" ht="12.75" customHeight="1" x14ac:dyDescent="0.2">
      <c r="A3701" s="21"/>
      <c r="B3701" s="2"/>
      <c r="C3701" s="2"/>
      <c r="D3701" s="2"/>
    </row>
    <row r="3702" spans="1:4" ht="12.75" customHeight="1" x14ac:dyDescent="0.2">
      <c r="A3702" s="21"/>
      <c r="B3702" s="2"/>
      <c r="C3702" s="2"/>
      <c r="D3702" s="2"/>
    </row>
    <row r="3703" spans="1:4" ht="12.75" customHeight="1" x14ac:dyDescent="0.2">
      <c r="A3703" s="21"/>
      <c r="B3703" s="2"/>
      <c r="C3703" s="2"/>
      <c r="D3703" s="2"/>
    </row>
    <row r="3704" spans="1:4" ht="12.75" customHeight="1" x14ac:dyDescent="0.2">
      <c r="A3704" s="21"/>
      <c r="B3704" s="2"/>
      <c r="C3704" s="2"/>
      <c r="D3704" s="2"/>
    </row>
    <row r="3705" spans="1:4" ht="12.75" customHeight="1" x14ac:dyDescent="0.2">
      <c r="A3705" s="5"/>
      <c r="B3705" s="2"/>
      <c r="C3705" s="2"/>
      <c r="D3705" s="2"/>
    </row>
    <row r="3706" spans="1:4" ht="12.75" customHeight="1" x14ac:dyDescent="0.2">
      <c r="A3706" s="22" t="str">
        <f>HYPERLINK("javascript:void(0)","smaragd zeke")</f>
        <v>smaragd zeke</v>
      </c>
      <c r="B3706" s="21"/>
      <c r="C3706" s="21"/>
      <c r="D3706" s="21"/>
    </row>
    <row r="3707" spans="1:4" ht="12.75" customHeight="1" x14ac:dyDescent="0.2">
      <c r="A3707" s="20"/>
      <c r="B3707" s="2"/>
      <c r="C3707" s="2"/>
      <c r="D3707" s="2"/>
    </row>
    <row r="3708" spans="1:4" ht="12.75" customHeight="1" x14ac:dyDescent="0.2">
      <c r="A3708" s="21"/>
      <c r="B3708" s="3" t="s">
        <v>0</v>
      </c>
      <c r="C3708" s="20" t="s">
        <v>411</v>
      </c>
      <c r="D3708" s="21"/>
    </row>
    <row r="3709" spans="1:4" ht="12.75" customHeight="1" x14ac:dyDescent="0.2">
      <c r="A3709" s="21"/>
      <c r="B3709" s="3" t="s">
        <v>2</v>
      </c>
      <c r="C3709" s="20" t="s">
        <v>2322</v>
      </c>
      <c r="D3709" s="21"/>
    </row>
    <row r="3710" spans="1:4" ht="12.75" customHeight="1" x14ac:dyDescent="0.2">
      <c r="A3710" s="21"/>
      <c r="B3710" s="3" t="s">
        <v>1840</v>
      </c>
      <c r="C3710" s="20" t="s">
        <v>1881</v>
      </c>
      <c r="D3710" s="21"/>
    </row>
    <row r="3711" spans="1:4" ht="12.75" customHeight="1" x14ac:dyDescent="0.2">
      <c r="A3711" s="21"/>
      <c r="B3711" s="3" t="s">
        <v>9</v>
      </c>
      <c r="C3711" s="20" t="s">
        <v>1562</v>
      </c>
      <c r="D3711" s="21"/>
    </row>
    <row r="3712" spans="1:4" ht="12.75" customHeight="1" x14ac:dyDescent="0.2">
      <c r="A3712" s="21"/>
      <c r="B3712" s="3" t="s">
        <v>11</v>
      </c>
      <c r="C3712" s="20" t="s">
        <v>1425</v>
      </c>
      <c r="D3712" s="21"/>
    </row>
    <row r="3713" spans="1:4" ht="12.75" customHeight="1" x14ac:dyDescent="0.2">
      <c r="A3713" s="21"/>
      <c r="B3713" s="3" t="s">
        <v>16</v>
      </c>
      <c r="C3713" s="20"/>
      <c r="D3713" s="21"/>
    </row>
    <row r="3714" spans="1:4" ht="12.75" customHeight="1" x14ac:dyDescent="0.2">
      <c r="A3714" s="21"/>
      <c r="B3714" s="3" t="s">
        <v>17</v>
      </c>
      <c r="C3714" s="20" t="s">
        <v>19</v>
      </c>
      <c r="D3714" s="21"/>
    </row>
    <row r="3715" spans="1:4" ht="12.75" customHeight="1" x14ac:dyDescent="0.2">
      <c r="A3715" s="21"/>
      <c r="B3715" s="20" t="s">
        <v>18</v>
      </c>
      <c r="C3715" s="4" t="s">
        <v>67</v>
      </c>
      <c r="D3715" s="6" t="str">
        <f>HYPERLINK("javascript:void(0)","kolomp")</f>
        <v>kolomp</v>
      </c>
    </row>
    <row r="3716" spans="1:4" ht="12.75" customHeight="1" x14ac:dyDescent="0.2">
      <c r="A3716" s="21"/>
      <c r="B3716" s="21"/>
      <c r="C3716" s="4" t="s">
        <v>142</v>
      </c>
      <c r="D3716" s="6" t="str">
        <f>HYPERLINK("javascript:void(0)","pásztorbot")</f>
        <v>pásztorbot</v>
      </c>
    </row>
    <row r="3717" spans="1:4" ht="12.75" customHeight="1" x14ac:dyDescent="0.2">
      <c r="A3717" s="21"/>
      <c r="B3717" s="21"/>
      <c r="C3717" s="4" t="s">
        <v>280</v>
      </c>
      <c r="D3717" s="6" t="str">
        <f>HYPERLINK("javascript:void(0)","jégige")</f>
        <v>jégige</v>
      </c>
    </row>
    <row r="3718" spans="1:4" ht="12.75" customHeight="1" x14ac:dyDescent="0.2">
      <c r="A3718" s="21"/>
      <c r="B3718" s="2"/>
      <c r="C3718" s="2"/>
      <c r="D3718" s="2"/>
    </row>
    <row r="3719" spans="1:4" ht="12.75" customHeight="1" x14ac:dyDescent="0.2">
      <c r="A3719" s="21"/>
      <c r="B3719" s="2"/>
      <c r="C3719" s="2"/>
      <c r="D3719" s="2"/>
    </row>
    <row r="3720" spans="1:4" ht="12.75" customHeight="1" x14ac:dyDescent="0.2">
      <c r="A3720" s="21"/>
      <c r="B3720" s="2"/>
      <c r="C3720" s="2"/>
      <c r="D3720" s="2"/>
    </row>
    <row r="3721" spans="1:4" ht="12.75" customHeight="1" x14ac:dyDescent="0.2">
      <c r="A3721" s="21"/>
      <c r="B3721" s="2"/>
      <c r="C3721" s="2"/>
      <c r="D3721" s="2"/>
    </row>
    <row r="3722" spans="1:4" ht="12.75" customHeight="1" x14ac:dyDescent="0.2">
      <c r="A3722" s="5"/>
      <c r="B3722" s="2"/>
      <c r="C3722" s="2"/>
      <c r="D3722" s="2"/>
    </row>
    <row r="3723" spans="1:4" ht="12.75" customHeight="1" x14ac:dyDescent="0.2">
      <c r="A3723" s="22" t="str">
        <f>HYPERLINK("javascript:void(0)","rubin zeke")</f>
        <v>rubin zeke</v>
      </c>
      <c r="B3723" s="21"/>
      <c r="C3723" s="21"/>
      <c r="D3723" s="21"/>
    </row>
    <row r="3724" spans="1:4" ht="12.75" customHeight="1" x14ac:dyDescent="0.2">
      <c r="A3724" s="20"/>
      <c r="B3724" s="2"/>
      <c r="C3724" s="2"/>
      <c r="D3724" s="2"/>
    </row>
    <row r="3725" spans="1:4" ht="12.75" customHeight="1" x14ac:dyDescent="0.2">
      <c r="A3725" s="21"/>
      <c r="B3725" s="3" t="s">
        <v>0</v>
      </c>
      <c r="C3725" s="20" t="s">
        <v>1400</v>
      </c>
      <c r="D3725" s="21"/>
    </row>
    <row r="3726" spans="1:4" ht="12.75" customHeight="1" x14ac:dyDescent="0.2">
      <c r="A3726" s="21"/>
      <c r="B3726" s="3" t="s">
        <v>2</v>
      </c>
      <c r="C3726" s="20" t="s">
        <v>2322</v>
      </c>
      <c r="D3726" s="21"/>
    </row>
    <row r="3727" spans="1:4" ht="12.75" customHeight="1" x14ac:dyDescent="0.2">
      <c r="A3727" s="21"/>
      <c r="B3727" s="3" t="s">
        <v>1840</v>
      </c>
      <c r="C3727" s="20" t="s">
        <v>2586</v>
      </c>
      <c r="D3727" s="21"/>
    </row>
    <row r="3728" spans="1:4" ht="12.75" customHeight="1" x14ac:dyDescent="0.2">
      <c r="A3728" s="21"/>
      <c r="B3728" s="3" t="s">
        <v>9</v>
      </c>
      <c r="C3728" s="20" t="s">
        <v>2118</v>
      </c>
      <c r="D3728" s="21"/>
    </row>
    <row r="3729" spans="1:4" ht="12.75" customHeight="1" x14ac:dyDescent="0.2">
      <c r="A3729" s="21"/>
      <c r="B3729" s="3" t="s">
        <v>11</v>
      </c>
      <c r="C3729" s="20" t="s">
        <v>2587</v>
      </c>
      <c r="D3729" s="21"/>
    </row>
    <row r="3730" spans="1:4" ht="12.75" customHeight="1" x14ac:dyDescent="0.2">
      <c r="A3730" s="21"/>
      <c r="B3730" s="3" t="s">
        <v>16</v>
      </c>
      <c r="C3730" s="20"/>
      <c r="D3730" s="21"/>
    </row>
    <row r="3731" spans="1:4" ht="12.75" customHeight="1" x14ac:dyDescent="0.2">
      <c r="A3731" s="21"/>
      <c r="B3731" s="3" t="s">
        <v>17</v>
      </c>
      <c r="C3731" s="20" t="s">
        <v>19</v>
      </c>
      <c r="D3731" s="21"/>
    </row>
    <row r="3732" spans="1:4" ht="12.75" customHeight="1" x14ac:dyDescent="0.2">
      <c r="A3732" s="21"/>
      <c r="B3732" s="20" t="s">
        <v>18</v>
      </c>
      <c r="C3732" s="4" t="s">
        <v>44</v>
      </c>
      <c r="D3732" s="6" t="str">
        <f>HYPERLINK("javascript:void(0)","jáspis zeke")</f>
        <v>jáspis zeke</v>
      </c>
    </row>
    <row r="3733" spans="1:4" ht="12.75" customHeight="1" x14ac:dyDescent="0.2">
      <c r="A3733" s="21"/>
      <c r="B3733" s="21"/>
      <c r="C3733" s="4" t="s">
        <v>44</v>
      </c>
      <c r="D3733" s="6" t="str">
        <f>HYPERLINK("javascript:void(0)","smaragd zeke")</f>
        <v>smaragd zeke</v>
      </c>
    </row>
    <row r="3734" spans="1:4" ht="12.75" customHeight="1" x14ac:dyDescent="0.2">
      <c r="A3734" s="21"/>
      <c r="B3734" s="21"/>
      <c r="C3734" s="4" t="s">
        <v>139</v>
      </c>
      <c r="D3734" s="6" t="str">
        <f>HYPERLINK("javascript:void(0)","hangfogó")</f>
        <v>hangfogó</v>
      </c>
    </row>
    <row r="3735" spans="1:4" ht="12.75" customHeight="1" x14ac:dyDescent="0.2">
      <c r="A3735" s="21"/>
      <c r="B3735" s="2"/>
      <c r="C3735" s="2"/>
      <c r="D3735" s="2"/>
    </row>
    <row r="3736" spans="1:4" ht="12.75" customHeight="1" x14ac:dyDescent="0.2">
      <c r="A3736" s="21"/>
      <c r="B3736" s="2"/>
      <c r="C3736" s="2"/>
      <c r="D3736" s="2"/>
    </row>
    <row r="3737" spans="1:4" ht="12.75" customHeight="1" x14ac:dyDescent="0.2">
      <c r="A3737" s="21"/>
      <c r="B3737" s="2"/>
      <c r="C3737" s="2"/>
      <c r="D3737" s="2"/>
    </row>
    <row r="3738" spans="1:4" ht="12.75" customHeight="1" x14ac:dyDescent="0.2">
      <c r="A3738" s="21"/>
      <c r="B3738" s="2"/>
      <c r="C3738" s="2"/>
      <c r="D3738" s="2"/>
    </row>
    <row r="3739" spans="1:4" ht="12.75" customHeight="1" x14ac:dyDescent="0.2">
      <c r="A3739" s="5"/>
      <c r="B3739" s="2"/>
      <c r="C3739" s="2"/>
      <c r="D3739" s="2"/>
    </row>
    <row r="3740" spans="1:4" ht="12.75" customHeight="1" x14ac:dyDescent="0.2">
      <c r="A3740" s="22" t="str">
        <f>HYPERLINK("javascript:void(0)","gyöngy zeke")</f>
        <v>gyöngy zeke</v>
      </c>
      <c r="B3740" s="21"/>
      <c r="C3740" s="21"/>
      <c r="D3740" s="21"/>
    </row>
    <row r="3741" spans="1:4" ht="12.75" customHeight="1" x14ac:dyDescent="0.2">
      <c r="A3741" s="20"/>
      <c r="B3741" s="2"/>
      <c r="C3741" s="2"/>
      <c r="D3741" s="2"/>
    </row>
    <row r="3742" spans="1:4" ht="12.75" customHeight="1" x14ac:dyDescent="0.2">
      <c r="A3742" s="21"/>
      <c r="B3742" s="3" t="s">
        <v>0</v>
      </c>
      <c r="C3742" s="20" t="s">
        <v>1406</v>
      </c>
      <c r="D3742" s="21"/>
    </row>
    <row r="3743" spans="1:4" ht="12.75" customHeight="1" x14ac:dyDescent="0.2">
      <c r="A3743" s="21"/>
      <c r="B3743" s="3" t="s">
        <v>2</v>
      </c>
      <c r="C3743" s="20" t="s">
        <v>2322</v>
      </c>
      <c r="D3743" s="21"/>
    </row>
    <row r="3744" spans="1:4" ht="12.75" customHeight="1" x14ac:dyDescent="0.2">
      <c r="A3744" s="21"/>
      <c r="B3744" s="3" t="s">
        <v>1840</v>
      </c>
      <c r="C3744" s="20" t="s">
        <v>747</v>
      </c>
      <c r="D3744" s="21"/>
    </row>
    <row r="3745" spans="1:4" ht="12.75" customHeight="1" x14ac:dyDescent="0.2">
      <c r="A3745" s="21"/>
      <c r="B3745" s="3" t="s">
        <v>9</v>
      </c>
      <c r="C3745" s="20" t="s">
        <v>913</v>
      </c>
      <c r="D3745" s="21"/>
    </row>
    <row r="3746" spans="1:4" ht="12.75" customHeight="1" x14ac:dyDescent="0.2">
      <c r="A3746" s="21"/>
      <c r="B3746" s="3" t="s">
        <v>11</v>
      </c>
      <c r="C3746" s="20" t="s">
        <v>2588</v>
      </c>
      <c r="D3746" s="21"/>
    </row>
    <row r="3747" spans="1:4" ht="12.75" customHeight="1" x14ac:dyDescent="0.2">
      <c r="A3747" s="21"/>
      <c r="B3747" s="3" t="s">
        <v>16</v>
      </c>
      <c r="C3747" s="20"/>
      <c r="D3747" s="21"/>
    </row>
    <row r="3748" spans="1:4" ht="12.75" customHeight="1" x14ac:dyDescent="0.2">
      <c r="A3748" s="21"/>
      <c r="B3748" s="3" t="s">
        <v>17</v>
      </c>
      <c r="C3748" s="20" t="s">
        <v>19</v>
      </c>
      <c r="D3748" s="21"/>
    </row>
    <row r="3749" spans="1:4" ht="12.75" customHeight="1" x14ac:dyDescent="0.2">
      <c r="A3749" s="21"/>
      <c r="B3749" s="20" t="s">
        <v>18</v>
      </c>
      <c r="C3749" s="4" t="s">
        <v>44</v>
      </c>
      <c r="D3749" s="6" t="str">
        <f>HYPERLINK("javascript:void(0)","rubin zeke")</f>
        <v>rubin zeke</v>
      </c>
    </row>
    <row r="3750" spans="1:4" ht="12.75" customHeight="1" x14ac:dyDescent="0.2">
      <c r="A3750" s="21"/>
      <c r="B3750" s="21"/>
      <c r="C3750" s="4" t="s">
        <v>117</v>
      </c>
      <c r="D3750" s="6" t="str">
        <f>HYPERLINK("javascript:void(0)","animált ige")</f>
        <v>animált ige</v>
      </c>
    </row>
    <row r="3751" spans="1:4" ht="12.75" customHeight="1" x14ac:dyDescent="0.2">
      <c r="A3751" s="21"/>
      <c r="B3751" s="21"/>
      <c r="C3751" s="4" t="s">
        <v>193</v>
      </c>
      <c r="D3751" s="6" t="str">
        <f>HYPERLINK("javascript:void(0)","gumilepedő")</f>
        <v>gumilepedő</v>
      </c>
    </row>
    <row r="3752" spans="1:4" ht="12.75" customHeight="1" x14ac:dyDescent="0.2">
      <c r="A3752" s="21"/>
      <c r="B3752" s="2"/>
      <c r="C3752" s="2"/>
      <c r="D3752" s="2"/>
    </row>
    <row r="3753" spans="1:4" ht="12.75" customHeight="1" x14ac:dyDescent="0.2">
      <c r="A3753" s="21"/>
      <c r="B3753" s="2"/>
      <c r="C3753" s="2"/>
      <c r="D3753" s="2"/>
    </row>
    <row r="3754" spans="1:4" ht="12.75" customHeight="1" x14ac:dyDescent="0.2">
      <c r="A3754" s="21"/>
      <c r="B3754" s="2"/>
      <c r="C3754" s="2"/>
      <c r="D3754" s="2"/>
    </row>
    <row r="3755" spans="1:4" ht="12.75" customHeight="1" x14ac:dyDescent="0.2">
      <c r="A3755" s="21"/>
      <c r="B3755" s="2"/>
      <c r="C3755" s="2"/>
      <c r="D3755" s="2"/>
    </row>
    <row r="3756" spans="1:4" ht="12.75" customHeight="1" x14ac:dyDescent="0.2">
      <c r="A3756" s="5"/>
      <c r="B3756" s="2"/>
      <c r="C3756" s="2"/>
      <c r="D3756" s="2"/>
    </row>
    <row r="3757" spans="1:4" ht="12.75" customHeight="1" x14ac:dyDescent="0.2">
      <c r="A3757" s="22" t="str">
        <f>HYPERLINK("javascript:void(0)","bronz zeke")</f>
        <v>bronz zeke</v>
      </c>
      <c r="B3757" s="21"/>
      <c r="C3757" s="21"/>
      <c r="D3757" s="21"/>
    </row>
    <row r="3758" spans="1:4" ht="12.75" customHeight="1" x14ac:dyDescent="0.2">
      <c r="A3758" s="20"/>
      <c r="B3758" s="2"/>
      <c r="C3758" s="2"/>
      <c r="D3758" s="2"/>
    </row>
    <row r="3759" spans="1:4" ht="12.75" customHeight="1" x14ac:dyDescent="0.2">
      <c r="A3759" s="21"/>
      <c r="B3759" s="3" t="s">
        <v>0</v>
      </c>
      <c r="C3759" s="20" t="s">
        <v>1412</v>
      </c>
      <c r="D3759" s="21"/>
    </row>
    <row r="3760" spans="1:4" ht="12.75" customHeight="1" x14ac:dyDescent="0.2">
      <c r="A3760" s="21"/>
      <c r="B3760" s="3" t="s">
        <v>2</v>
      </c>
      <c r="C3760" s="20" t="s">
        <v>2322</v>
      </c>
      <c r="D3760" s="21"/>
    </row>
    <row r="3761" spans="1:4" ht="12.75" customHeight="1" x14ac:dyDescent="0.2">
      <c r="A3761" s="21"/>
      <c r="B3761" s="3" t="s">
        <v>1840</v>
      </c>
      <c r="C3761" s="20" t="s">
        <v>2589</v>
      </c>
      <c r="D3761" s="21"/>
    </row>
    <row r="3762" spans="1:4" ht="12.75" customHeight="1" x14ac:dyDescent="0.2">
      <c r="A3762" s="21"/>
      <c r="B3762" s="3" t="s">
        <v>9</v>
      </c>
      <c r="C3762" s="20" t="s">
        <v>1279</v>
      </c>
      <c r="D3762" s="21"/>
    </row>
    <row r="3763" spans="1:4" ht="12.75" customHeight="1" x14ac:dyDescent="0.2">
      <c r="A3763" s="21"/>
      <c r="B3763" s="3" t="s">
        <v>11</v>
      </c>
      <c r="C3763" s="20" t="s">
        <v>2590</v>
      </c>
      <c r="D3763" s="21"/>
    </row>
    <row r="3764" spans="1:4" ht="12.75" customHeight="1" x14ac:dyDescent="0.2">
      <c r="A3764" s="21"/>
      <c r="B3764" s="3" t="s">
        <v>16</v>
      </c>
      <c r="C3764" s="20"/>
      <c r="D3764" s="21"/>
    </row>
    <row r="3765" spans="1:4" ht="12.75" customHeight="1" x14ac:dyDescent="0.2">
      <c r="A3765" s="21"/>
      <c r="B3765" s="3" t="s">
        <v>17</v>
      </c>
      <c r="C3765" s="20" t="s">
        <v>19</v>
      </c>
      <c r="D3765" s="21"/>
    </row>
    <row r="3766" spans="1:4" ht="12.75" customHeight="1" x14ac:dyDescent="0.2">
      <c r="A3766" s="21"/>
      <c r="B3766" s="20" t="s">
        <v>18</v>
      </c>
      <c r="C3766" s="4" t="s">
        <v>117</v>
      </c>
      <c r="D3766" s="6" t="str">
        <f>HYPERLINK("javascript:void(0)","torzító")</f>
        <v>torzító</v>
      </c>
    </row>
    <row r="3767" spans="1:4" ht="12.75" customHeight="1" x14ac:dyDescent="0.2">
      <c r="A3767" s="21"/>
      <c r="B3767" s="21"/>
      <c r="C3767" s="4" t="s">
        <v>398</v>
      </c>
      <c r="D3767" s="6" t="str">
        <f>HYPERLINK("javascript:void(0)","pengeszálka")</f>
        <v>pengeszálka</v>
      </c>
    </row>
    <row r="3768" spans="1:4" ht="12.75" customHeight="1" x14ac:dyDescent="0.2">
      <c r="A3768" s="21"/>
      <c r="B3768" s="21"/>
      <c r="C3768" s="4" t="s">
        <v>130</v>
      </c>
      <c r="D3768" s="6" t="str">
        <f>HYPERLINK("javascript:void(0)","függérték")</f>
        <v>függérték</v>
      </c>
    </row>
    <row r="3769" spans="1:4" ht="12.75" customHeight="1" x14ac:dyDescent="0.2">
      <c r="A3769" s="21"/>
      <c r="B3769" s="2"/>
      <c r="C3769" s="2"/>
      <c r="D3769" s="2"/>
    </row>
    <row r="3770" spans="1:4" ht="12.75" customHeight="1" x14ac:dyDescent="0.2">
      <c r="A3770" s="21"/>
      <c r="B3770" s="2"/>
      <c r="C3770" s="2"/>
      <c r="D3770" s="2"/>
    </row>
    <row r="3771" spans="1:4" ht="12.75" customHeight="1" x14ac:dyDescent="0.2">
      <c r="A3771" s="21"/>
      <c r="B3771" s="2"/>
      <c r="C3771" s="2"/>
      <c r="D3771" s="2"/>
    </row>
    <row r="3772" spans="1:4" ht="12.75" customHeight="1" x14ac:dyDescent="0.2">
      <c r="A3772" s="21"/>
      <c r="B3772" s="2"/>
      <c r="C3772" s="2"/>
      <c r="D3772" s="2"/>
    </row>
    <row r="3773" spans="1:4" ht="12.75" customHeight="1" x14ac:dyDescent="0.2">
      <c r="A3773" s="5"/>
      <c r="B3773" s="2"/>
      <c r="C3773" s="2"/>
      <c r="D3773" s="2"/>
    </row>
    <row r="3774" spans="1:4" ht="12.75" customHeight="1" x14ac:dyDescent="0.2">
      <c r="A3774" s="22" t="str">
        <f>HYPERLINK("javascript:void(0)","réz zeke")</f>
        <v>réz zeke</v>
      </c>
      <c r="B3774" s="21"/>
      <c r="C3774" s="21"/>
      <c r="D3774" s="21"/>
    </row>
    <row r="3775" spans="1:4" ht="12.75" customHeight="1" x14ac:dyDescent="0.2">
      <c r="A3775" s="20"/>
      <c r="B3775" s="2"/>
      <c r="C3775" s="2"/>
      <c r="D3775" s="2"/>
    </row>
    <row r="3776" spans="1:4" ht="12.75" customHeight="1" x14ac:dyDescent="0.2">
      <c r="A3776" s="21"/>
      <c r="B3776" s="3" t="s">
        <v>0</v>
      </c>
      <c r="C3776" s="20" t="s">
        <v>267</v>
      </c>
      <c r="D3776" s="21"/>
    </row>
    <row r="3777" spans="1:4" ht="12.75" customHeight="1" x14ac:dyDescent="0.2">
      <c r="A3777" s="21"/>
      <c r="B3777" s="3" t="s">
        <v>2</v>
      </c>
      <c r="C3777" s="20" t="s">
        <v>2322</v>
      </c>
      <c r="D3777" s="21"/>
    </row>
    <row r="3778" spans="1:4" ht="12.75" customHeight="1" x14ac:dyDescent="0.2">
      <c r="A3778" s="21"/>
      <c r="B3778" s="3" t="s">
        <v>1840</v>
      </c>
      <c r="C3778" s="20" t="s">
        <v>1892</v>
      </c>
      <c r="D3778" s="21"/>
    </row>
    <row r="3779" spans="1:4" ht="12.75" customHeight="1" x14ac:dyDescent="0.2">
      <c r="A3779" s="21"/>
      <c r="B3779" s="3" t="s">
        <v>9</v>
      </c>
      <c r="C3779" s="20" t="s">
        <v>985</v>
      </c>
      <c r="D3779" s="21"/>
    </row>
    <row r="3780" spans="1:4" ht="12.75" customHeight="1" x14ac:dyDescent="0.2">
      <c r="A3780" s="21"/>
      <c r="B3780" s="3" t="s">
        <v>11</v>
      </c>
      <c r="C3780" s="20" t="s">
        <v>2591</v>
      </c>
      <c r="D3780" s="21"/>
    </row>
    <row r="3781" spans="1:4" ht="12.75" customHeight="1" x14ac:dyDescent="0.2">
      <c r="A3781" s="21"/>
      <c r="B3781" s="3" t="s">
        <v>16</v>
      </c>
      <c r="C3781" s="20"/>
      <c r="D3781" s="21"/>
    </row>
    <row r="3782" spans="1:4" ht="12.75" customHeight="1" x14ac:dyDescent="0.2">
      <c r="A3782" s="21"/>
      <c r="B3782" s="3" t="s">
        <v>17</v>
      </c>
      <c r="C3782" s="20" t="s">
        <v>19</v>
      </c>
      <c r="D3782" s="21"/>
    </row>
    <row r="3783" spans="1:4" ht="12.75" customHeight="1" x14ac:dyDescent="0.2">
      <c r="A3783" s="21"/>
      <c r="B3783" s="20" t="s">
        <v>18</v>
      </c>
      <c r="C3783" s="4" t="s">
        <v>44</v>
      </c>
      <c r="D3783" s="6" t="str">
        <f>HYPERLINK("javascript:void(0)","gyöngy zeke")</f>
        <v>gyöngy zeke</v>
      </c>
    </row>
    <row r="3784" spans="1:4" ht="12.75" customHeight="1" x14ac:dyDescent="0.2">
      <c r="A3784" s="21"/>
      <c r="B3784" s="21"/>
      <c r="C3784" s="4" t="s">
        <v>44</v>
      </c>
      <c r="D3784" s="6" t="str">
        <f>HYPERLINK("javascript:void(0)","bronz zeke")</f>
        <v>bronz zeke</v>
      </c>
    </row>
    <row r="3785" spans="1:4" ht="12.75" customHeight="1" x14ac:dyDescent="0.2">
      <c r="A3785" s="21"/>
      <c r="B3785" s="21"/>
      <c r="C3785" s="4" t="s">
        <v>196</v>
      </c>
      <c r="D3785" s="6" t="str">
        <f>HYPERLINK("javascript:void(0)","massza")</f>
        <v>massza</v>
      </c>
    </row>
    <row r="3786" spans="1:4" ht="12.75" customHeight="1" x14ac:dyDescent="0.2">
      <c r="A3786" s="21"/>
      <c r="B3786" s="2"/>
      <c r="C3786" s="2"/>
      <c r="D3786" s="2"/>
    </row>
    <row r="3787" spans="1:4" ht="12.75" customHeight="1" x14ac:dyDescent="0.2">
      <c r="A3787" s="21"/>
      <c r="B3787" s="2"/>
      <c r="C3787" s="2"/>
      <c r="D3787" s="2"/>
    </row>
    <row r="3788" spans="1:4" ht="12.75" customHeight="1" x14ac:dyDescent="0.2">
      <c r="A3788" s="21"/>
      <c r="B3788" s="2"/>
      <c r="C3788" s="2"/>
      <c r="D3788" s="2"/>
    </row>
    <row r="3789" spans="1:4" ht="12.75" customHeight="1" x14ac:dyDescent="0.2">
      <c r="A3789" s="21"/>
      <c r="B3789" s="2"/>
      <c r="C3789" s="2"/>
      <c r="D3789" s="2"/>
    </row>
    <row r="3790" spans="1:4" ht="12.75" customHeight="1" x14ac:dyDescent="0.2">
      <c r="A3790" s="5"/>
      <c r="B3790" s="2"/>
      <c r="C3790" s="2"/>
      <c r="D3790" s="2"/>
    </row>
    <row r="3791" spans="1:4" ht="12.75" customHeight="1" x14ac:dyDescent="0.2">
      <c r="A3791" s="22" t="str">
        <f>HYPERLINK("javascript:void(0)","vas zeke")</f>
        <v>vas zeke</v>
      </c>
      <c r="B3791" s="21"/>
      <c r="C3791" s="21"/>
      <c r="D3791" s="21"/>
    </row>
    <row r="3792" spans="1:4" ht="12.75" customHeight="1" x14ac:dyDescent="0.2">
      <c r="A3792" s="20"/>
      <c r="B3792" s="2"/>
      <c r="C3792" s="2"/>
      <c r="D3792" s="2"/>
    </row>
    <row r="3793" spans="1:4" ht="12.75" customHeight="1" x14ac:dyDescent="0.2">
      <c r="A3793" s="21"/>
      <c r="B3793" s="3" t="s">
        <v>0</v>
      </c>
      <c r="C3793" s="20" t="s">
        <v>1422</v>
      </c>
      <c r="D3793" s="21"/>
    </row>
    <row r="3794" spans="1:4" ht="12.75" customHeight="1" x14ac:dyDescent="0.2">
      <c r="A3794" s="21"/>
      <c r="B3794" s="3" t="s">
        <v>2</v>
      </c>
      <c r="C3794" s="20" t="s">
        <v>2322</v>
      </c>
      <c r="D3794" s="21"/>
    </row>
    <row r="3795" spans="1:4" ht="12.75" customHeight="1" x14ac:dyDescent="0.2">
      <c r="A3795" s="21"/>
      <c r="B3795" s="3" t="s">
        <v>1840</v>
      </c>
      <c r="C3795" s="20" t="s">
        <v>2592</v>
      </c>
      <c r="D3795" s="21"/>
    </row>
    <row r="3796" spans="1:4" ht="12.75" customHeight="1" x14ac:dyDescent="0.2">
      <c r="A3796" s="21"/>
      <c r="B3796" s="3" t="s">
        <v>9</v>
      </c>
      <c r="C3796" s="20" t="s">
        <v>2572</v>
      </c>
      <c r="D3796" s="21"/>
    </row>
    <row r="3797" spans="1:4" ht="12.75" customHeight="1" x14ac:dyDescent="0.2">
      <c r="A3797" s="21"/>
      <c r="B3797" s="3" t="s">
        <v>11</v>
      </c>
      <c r="C3797" s="20" t="s">
        <v>2593</v>
      </c>
      <c r="D3797" s="21"/>
    </row>
    <row r="3798" spans="1:4" ht="12.75" customHeight="1" x14ac:dyDescent="0.2">
      <c r="A3798" s="21"/>
      <c r="B3798" s="3" t="s">
        <v>16</v>
      </c>
      <c r="C3798" s="20"/>
      <c r="D3798" s="21"/>
    </row>
    <row r="3799" spans="1:4" ht="12.75" customHeight="1" x14ac:dyDescent="0.2">
      <c r="A3799" s="21"/>
      <c r="B3799" s="3" t="s">
        <v>17</v>
      </c>
      <c r="C3799" s="20" t="s">
        <v>19</v>
      </c>
      <c r="D3799" s="21"/>
    </row>
    <row r="3800" spans="1:4" ht="12.75" customHeight="1" x14ac:dyDescent="0.2">
      <c r="A3800" s="21"/>
      <c r="B3800" s="20" t="s">
        <v>18</v>
      </c>
      <c r="C3800" s="4" t="s">
        <v>44</v>
      </c>
      <c r="D3800" s="6" t="str">
        <f>HYPERLINK("javascript:void(0)","réz zeke")</f>
        <v>réz zeke</v>
      </c>
    </row>
    <row r="3801" spans="1:4" ht="12.75" customHeight="1" x14ac:dyDescent="0.2">
      <c r="A3801" s="21"/>
      <c r="B3801" s="21"/>
      <c r="C3801" s="4" t="s">
        <v>196</v>
      </c>
      <c r="D3801" s="6" t="str">
        <f>HYPERLINK("javascript:void(0)","szívóka")</f>
        <v>szívóka</v>
      </c>
    </row>
    <row r="3802" spans="1:4" ht="12.75" customHeight="1" x14ac:dyDescent="0.2">
      <c r="A3802" s="21"/>
      <c r="B3802" s="21"/>
      <c r="C3802" s="4" t="s">
        <v>398</v>
      </c>
      <c r="D3802" s="6" t="str">
        <f>HYPERLINK("javascript:void(0)","monsztaige")</f>
        <v>monsztaige</v>
      </c>
    </row>
    <row r="3803" spans="1:4" ht="12.75" customHeight="1" x14ac:dyDescent="0.2">
      <c r="A3803" s="21"/>
      <c r="B3803" s="2"/>
      <c r="C3803" s="2"/>
      <c r="D3803" s="2"/>
    </row>
  </sheetData>
  <mergeCells count="2178">
    <mergeCell ref="A2449:A2463"/>
    <mergeCell ref="B2542:B2544"/>
    <mergeCell ref="C2540:D2540"/>
    <mergeCell ref="C2472:D2472"/>
    <mergeCell ref="A2482:D2482"/>
    <mergeCell ref="C2523:D2523"/>
    <mergeCell ref="B2508:B2510"/>
    <mergeCell ref="C2490:D2490"/>
    <mergeCell ref="C2501:D2501"/>
    <mergeCell ref="C2502:D2502"/>
    <mergeCell ref="C2535:D2535"/>
    <mergeCell ref="C2353:D2353"/>
    <mergeCell ref="C2348:D2348"/>
    <mergeCell ref="C2351:D2351"/>
    <mergeCell ref="C2349:D2349"/>
    <mergeCell ref="C2507:D2507"/>
    <mergeCell ref="C2518:D2518"/>
    <mergeCell ref="C2519:D2519"/>
    <mergeCell ref="C2487:D2487"/>
    <mergeCell ref="C2488:D2488"/>
    <mergeCell ref="A2499:D2499"/>
    <mergeCell ref="B2423:B2425"/>
    <mergeCell ref="C2421:D2421"/>
    <mergeCell ref="C2436:D2436"/>
    <mergeCell ref="C2439:D2439"/>
    <mergeCell ref="C2437:D2437"/>
    <mergeCell ref="C2452:D2452"/>
    <mergeCell ref="C2484:D2484"/>
    <mergeCell ref="C2435:D2435"/>
    <mergeCell ref="C2489:D2489"/>
    <mergeCell ref="C2485:D2485"/>
    <mergeCell ref="C2486:D2486"/>
    <mergeCell ref="C2401:D2401"/>
    <mergeCell ref="C2420:D2420"/>
    <mergeCell ref="C2416:D2416"/>
    <mergeCell ref="C2417:D2417"/>
    <mergeCell ref="C2418:D2418"/>
    <mergeCell ref="C2419:D2419"/>
    <mergeCell ref="C2315:D2315"/>
    <mergeCell ref="C2400:D2400"/>
    <mergeCell ref="A2296:A2310"/>
    <mergeCell ref="B2406:B2408"/>
    <mergeCell ref="C2387:D2387"/>
    <mergeCell ref="C2385:D2385"/>
    <mergeCell ref="C2332:D2332"/>
    <mergeCell ref="C2333:D2333"/>
    <mergeCell ref="C2334:D2334"/>
    <mergeCell ref="C2337:D2337"/>
    <mergeCell ref="A2313:A2327"/>
    <mergeCell ref="A2330:A2344"/>
    <mergeCell ref="A2364:A2378"/>
    <mergeCell ref="A2381:A2395"/>
    <mergeCell ref="C2402:D2402"/>
    <mergeCell ref="C2405:D2405"/>
    <mergeCell ref="C2403:D2403"/>
    <mergeCell ref="C2404:D2404"/>
    <mergeCell ref="C2388:D2388"/>
    <mergeCell ref="C2384:D2384"/>
    <mergeCell ref="C2386:D2386"/>
    <mergeCell ref="B2389:B2391"/>
    <mergeCell ref="C2656:D2656"/>
    <mergeCell ref="C2657:D2657"/>
    <mergeCell ref="B2661:B2663"/>
    <mergeCell ref="C2606:D2606"/>
    <mergeCell ref="C2609:D2609"/>
    <mergeCell ref="C2587:D2587"/>
    <mergeCell ref="C2586:D2586"/>
    <mergeCell ref="B2593:B2595"/>
    <mergeCell ref="C2605:D2605"/>
    <mergeCell ref="A2601:D2601"/>
    <mergeCell ref="C2643:D2643"/>
    <mergeCell ref="B2644:B2646"/>
    <mergeCell ref="C2569:D2569"/>
    <mergeCell ref="C2570:D2570"/>
    <mergeCell ref="C2572:D2572"/>
    <mergeCell ref="C2603:D2603"/>
    <mergeCell ref="C2604:D2604"/>
    <mergeCell ref="C2655:D2655"/>
    <mergeCell ref="A2618:D2618"/>
    <mergeCell ref="C2620:D2620"/>
    <mergeCell ref="C2621:D2621"/>
    <mergeCell ref="C2622:D2622"/>
    <mergeCell ref="A2602:A2616"/>
    <mergeCell ref="A2635:D2635"/>
    <mergeCell ref="A2652:D2652"/>
    <mergeCell ref="C2641:D2641"/>
    <mergeCell ref="C2642:D2642"/>
    <mergeCell ref="C2195:D2195"/>
    <mergeCell ref="C2235:D2235"/>
    <mergeCell ref="C2314:D2314"/>
    <mergeCell ref="C2316:D2316"/>
    <mergeCell ref="C2320:D2320"/>
    <mergeCell ref="C2335:D2335"/>
    <mergeCell ref="C2336:D2336"/>
    <mergeCell ref="C2367:D2367"/>
    <mergeCell ref="C2368:D2368"/>
    <mergeCell ref="C2232:D2232"/>
    <mergeCell ref="B2219:B2221"/>
    <mergeCell ref="A2228:A2242"/>
    <mergeCell ref="A2210:D2210"/>
    <mergeCell ref="A2227:D2227"/>
    <mergeCell ref="A2211:A2225"/>
    <mergeCell ref="C2382:D2382"/>
    <mergeCell ref="C2383:D2383"/>
    <mergeCell ref="A2329:D2329"/>
    <mergeCell ref="A2346:D2346"/>
    <mergeCell ref="B2321:B2323"/>
    <mergeCell ref="C2282:D2282"/>
    <mergeCell ref="C2283:D2283"/>
    <mergeCell ref="C2285:D2285"/>
    <mergeCell ref="C2286:D2286"/>
    <mergeCell ref="B2236:B2238"/>
    <mergeCell ref="A2245:A2259"/>
    <mergeCell ref="A2262:A2276"/>
    <mergeCell ref="C1668:D1668"/>
    <mergeCell ref="C1465:D1465"/>
    <mergeCell ref="C1466:D1466"/>
    <mergeCell ref="C1467:D1467"/>
    <mergeCell ref="C1468:D1468"/>
    <mergeCell ref="B1471:B1473"/>
    <mergeCell ref="C2557:D2557"/>
    <mergeCell ref="C2552:D2552"/>
    <mergeCell ref="C2553:D2553"/>
    <mergeCell ref="C2554:D2554"/>
    <mergeCell ref="C2555:D2555"/>
    <mergeCell ref="A1700:D1700"/>
    <mergeCell ref="B1692:B1694"/>
    <mergeCell ref="C1704:D1704"/>
    <mergeCell ref="C1705:D1705"/>
    <mergeCell ref="C1686:D1686"/>
    <mergeCell ref="C1706:D1706"/>
    <mergeCell ref="A1667:A1681"/>
    <mergeCell ref="C2184:D2184"/>
    <mergeCell ref="B2185:B2187"/>
    <mergeCell ref="A2159:D2159"/>
    <mergeCell ref="A2193:D2193"/>
    <mergeCell ref="C2201:D2201"/>
    <mergeCell ref="C2199:D2199"/>
    <mergeCell ref="C2556:D2556"/>
    <mergeCell ref="C2164:D2164"/>
    <mergeCell ref="C2165:D2165"/>
    <mergeCell ref="C2167:D2167"/>
    <mergeCell ref="B2168:B2170"/>
    <mergeCell ref="C2196:D2196"/>
    <mergeCell ref="C2197:D2197"/>
    <mergeCell ref="C2180:D2180"/>
    <mergeCell ref="A1293:A1307"/>
    <mergeCell ref="A1361:A1375"/>
    <mergeCell ref="A1310:A1324"/>
    <mergeCell ref="A1327:A1341"/>
    <mergeCell ref="A1344:A1358"/>
    <mergeCell ref="A1242:A1256"/>
    <mergeCell ref="A1259:A1273"/>
    <mergeCell ref="A1276:A1290"/>
    <mergeCell ref="A1378:A1392"/>
    <mergeCell ref="A1395:A1409"/>
    <mergeCell ref="A1412:A1426"/>
    <mergeCell ref="A1429:A1443"/>
    <mergeCell ref="A1497:A1511"/>
    <mergeCell ref="A1446:A1460"/>
    <mergeCell ref="A1463:A1477"/>
    <mergeCell ref="A1480:A1494"/>
    <mergeCell ref="A1565:A1579"/>
    <mergeCell ref="A1514:A1528"/>
    <mergeCell ref="A1531:A1545"/>
    <mergeCell ref="A1548:A1562"/>
    <mergeCell ref="A1394:D1394"/>
    <mergeCell ref="C1396:D1396"/>
    <mergeCell ref="C1397:D1397"/>
    <mergeCell ref="C1398:D1398"/>
    <mergeCell ref="C1399:D1399"/>
    <mergeCell ref="C1447:D1447"/>
    <mergeCell ref="C1448:D1448"/>
    <mergeCell ref="C1419:D1419"/>
    <mergeCell ref="C1434:D1434"/>
    <mergeCell ref="C1433:D1433"/>
    <mergeCell ref="C1430:D1430"/>
    <mergeCell ref="C1431:D1431"/>
    <mergeCell ref="B1658:B1660"/>
    <mergeCell ref="A1616:A1630"/>
    <mergeCell ref="A1632:D1632"/>
    <mergeCell ref="A1633:A1647"/>
    <mergeCell ref="A1650:A1664"/>
    <mergeCell ref="A1666:D1666"/>
    <mergeCell ref="A1649:D1649"/>
    <mergeCell ref="B2202:B2204"/>
    <mergeCell ref="C2012:D2012"/>
    <mergeCell ref="C2013:D2013"/>
    <mergeCell ref="A2023:D2023"/>
    <mergeCell ref="C1991:D1991"/>
    <mergeCell ref="C1992:D1992"/>
    <mergeCell ref="A1990:A2004"/>
    <mergeCell ref="A2006:D2006"/>
    <mergeCell ref="C2063:D2063"/>
    <mergeCell ref="C2059:D2059"/>
    <mergeCell ref="A2040:D2040"/>
    <mergeCell ref="A2074:D2074"/>
    <mergeCell ref="A2057:D2057"/>
    <mergeCell ref="A2177:A2191"/>
    <mergeCell ref="A2194:A2208"/>
    <mergeCell ref="C2200:D2200"/>
    <mergeCell ref="A2109:A2123"/>
    <mergeCell ref="C2163:D2163"/>
    <mergeCell ref="C2161:D2161"/>
    <mergeCell ref="C2162:D2162"/>
    <mergeCell ref="A2142:D2142"/>
    <mergeCell ref="A2143:A2157"/>
    <mergeCell ref="C1657:D1657"/>
    <mergeCell ref="C2144:D2144"/>
    <mergeCell ref="B2151:B2153"/>
    <mergeCell ref="A2160:A2174"/>
    <mergeCell ref="C2198:D2198"/>
    <mergeCell ref="C2217:D2217"/>
    <mergeCell ref="C2218:D2218"/>
    <mergeCell ref="C2231:D2231"/>
    <mergeCell ref="C2229:D2229"/>
    <mergeCell ref="C2230:D2230"/>
    <mergeCell ref="C2216:D2216"/>
    <mergeCell ref="C2212:D2212"/>
    <mergeCell ref="C2213:D2213"/>
    <mergeCell ref="C2214:D2214"/>
    <mergeCell ref="C2215:D2215"/>
    <mergeCell ref="A2075:A2089"/>
    <mergeCell ref="B2083:B2085"/>
    <mergeCell ref="C2082:D2082"/>
    <mergeCell ref="A2091:D2091"/>
    <mergeCell ref="B2117:B2119"/>
    <mergeCell ref="A2125:D2125"/>
    <mergeCell ref="C2133:D2133"/>
    <mergeCell ref="B2134:B2136"/>
    <mergeCell ref="C2145:D2145"/>
    <mergeCell ref="C2146:D2146"/>
    <mergeCell ref="C2130:D2130"/>
    <mergeCell ref="C2131:D2131"/>
    <mergeCell ref="C2132:D2132"/>
    <mergeCell ref="C2148:D2148"/>
    <mergeCell ref="A2176:D2176"/>
    <mergeCell ref="C2182:D2182"/>
    <mergeCell ref="C2183:D2183"/>
    <mergeCell ref="C2181:D2181"/>
    <mergeCell ref="C2178:D2178"/>
    <mergeCell ref="C2179:D2179"/>
    <mergeCell ref="C2150:D2150"/>
    <mergeCell ref="A2126:A2140"/>
    <mergeCell ref="A2108:D2108"/>
    <mergeCell ref="C1995:D1995"/>
    <mergeCell ref="C1996:D1996"/>
    <mergeCell ref="C1997:D1997"/>
    <mergeCell ref="C2014:D2014"/>
    <mergeCell ref="C2047:D2047"/>
    <mergeCell ref="B2049:B2051"/>
    <mergeCell ref="C2046:D2046"/>
    <mergeCell ref="C2061:D2061"/>
    <mergeCell ref="C2062:D2062"/>
    <mergeCell ref="C2031:D2031"/>
    <mergeCell ref="B2032:B2034"/>
    <mergeCell ref="C2029:D2029"/>
    <mergeCell ref="C2030:D2030"/>
    <mergeCell ref="B2015:B2017"/>
    <mergeCell ref="C2080:D2080"/>
    <mergeCell ref="C2081:D2081"/>
    <mergeCell ref="A2092:A2106"/>
    <mergeCell ref="C2127:D2127"/>
    <mergeCell ref="C2128:D2128"/>
    <mergeCell ref="C2025:D2025"/>
    <mergeCell ref="C2026:D2026"/>
    <mergeCell ref="C2027:D2027"/>
    <mergeCell ref="C2095:D2095"/>
    <mergeCell ref="C2096:D2096"/>
    <mergeCell ref="A2024:A2038"/>
    <mergeCell ref="A2058:A2072"/>
    <mergeCell ref="B1811:B1813"/>
    <mergeCell ref="A1786:A1800"/>
    <mergeCell ref="A1803:A1817"/>
    <mergeCell ref="A1820:A1834"/>
    <mergeCell ref="A1922:A1936"/>
    <mergeCell ref="C1974:D1974"/>
    <mergeCell ref="C1975:D1975"/>
    <mergeCell ref="C1893:D1893"/>
    <mergeCell ref="C1894:D1894"/>
    <mergeCell ref="C1906:D1906"/>
    <mergeCell ref="C1907:D1907"/>
    <mergeCell ref="A1938:D1938"/>
    <mergeCell ref="C1926:D1926"/>
    <mergeCell ref="C1929:D1929"/>
    <mergeCell ref="C1927:D1927"/>
    <mergeCell ref="C1928:D1928"/>
    <mergeCell ref="B1930:B1932"/>
    <mergeCell ref="C1940:D1940"/>
    <mergeCell ref="C1941:D1941"/>
    <mergeCell ref="C1942:D1942"/>
    <mergeCell ref="C1944:D1944"/>
    <mergeCell ref="C1963:D1963"/>
    <mergeCell ref="C1958:D1958"/>
    <mergeCell ref="C1959:D1959"/>
    <mergeCell ref="C1960:D1960"/>
    <mergeCell ref="C1821:D1821"/>
    <mergeCell ref="C1824:D1824"/>
    <mergeCell ref="C1822:D1822"/>
    <mergeCell ref="C1823:D1823"/>
    <mergeCell ref="C1839:D1839"/>
    <mergeCell ref="C1807:D1807"/>
    <mergeCell ref="C1859:D1859"/>
    <mergeCell ref="C1670:D1670"/>
    <mergeCell ref="C1671:D1671"/>
    <mergeCell ref="C1672:D1672"/>
    <mergeCell ref="C1889:D1889"/>
    <mergeCell ref="C1890:D1890"/>
    <mergeCell ref="A1888:A1902"/>
    <mergeCell ref="C1923:D1923"/>
    <mergeCell ref="C1924:D1924"/>
    <mergeCell ref="C1757:D1757"/>
    <mergeCell ref="C1753:D1753"/>
    <mergeCell ref="C1878:D1878"/>
    <mergeCell ref="A1819:D1819"/>
    <mergeCell ref="C1891:D1891"/>
    <mergeCell ref="C1892:D1892"/>
    <mergeCell ref="A1887:D1887"/>
    <mergeCell ref="C1719:D1719"/>
    <mergeCell ref="C1720:D1720"/>
    <mergeCell ref="A1734:D1734"/>
    <mergeCell ref="C1770:D1770"/>
    <mergeCell ref="C1771:D1771"/>
    <mergeCell ref="A1751:D1751"/>
    <mergeCell ref="B1726:B1728"/>
    <mergeCell ref="C1721:D1721"/>
    <mergeCell ref="C1723:D1723"/>
    <mergeCell ref="C1722:D1722"/>
    <mergeCell ref="C1724:D1724"/>
    <mergeCell ref="C1725:D1725"/>
    <mergeCell ref="B1913:B1915"/>
    <mergeCell ref="C1810:D1810"/>
    <mergeCell ref="C1827:D1827"/>
    <mergeCell ref="C1825:D1825"/>
    <mergeCell ref="B1879:B1881"/>
    <mergeCell ref="C1685:D1685"/>
    <mergeCell ref="A1683:D1683"/>
    <mergeCell ref="A1836:D1836"/>
    <mergeCell ref="A1837:A1851"/>
    <mergeCell ref="A1684:A1698"/>
    <mergeCell ref="A1718:A1732"/>
    <mergeCell ref="C1858:D1858"/>
    <mergeCell ref="C1861:D1861"/>
    <mergeCell ref="A1870:D1870"/>
    <mergeCell ref="A1854:A1868"/>
    <mergeCell ref="C1857:D1857"/>
    <mergeCell ref="C1855:D1855"/>
    <mergeCell ref="C1856:D1856"/>
    <mergeCell ref="C1787:D1787"/>
    <mergeCell ref="C1788:D1788"/>
    <mergeCell ref="A1785:D1785"/>
    <mergeCell ref="C1804:D1804"/>
    <mergeCell ref="B1794:B1796"/>
    <mergeCell ref="A1802:D1802"/>
    <mergeCell ref="C1789:D1789"/>
    <mergeCell ref="C1808:D1808"/>
    <mergeCell ref="C1809:D1809"/>
    <mergeCell ref="C1806:D1806"/>
    <mergeCell ref="C1826:D1826"/>
    <mergeCell ref="C1805:D1805"/>
    <mergeCell ref="B1828:B1830"/>
    <mergeCell ref="C1842:D1842"/>
    <mergeCell ref="C1838:D1838"/>
    <mergeCell ref="C1844:D1844"/>
    <mergeCell ref="B1845:B1847"/>
    <mergeCell ref="A1853:D1853"/>
    <mergeCell ref="C1756:D1756"/>
    <mergeCell ref="B1862:B1864"/>
    <mergeCell ref="C1872:D1872"/>
    <mergeCell ref="C1873:D1873"/>
    <mergeCell ref="C1874:D1874"/>
    <mergeCell ref="C2422:D2422"/>
    <mergeCell ref="C1980:D1980"/>
    <mergeCell ref="C2008:D2008"/>
    <mergeCell ref="C2009:D2009"/>
    <mergeCell ref="C2010:D2010"/>
    <mergeCell ref="C1961:D1961"/>
    <mergeCell ref="C1962:D1962"/>
    <mergeCell ref="C1978:D1978"/>
    <mergeCell ref="C1946:D1946"/>
    <mergeCell ref="B1896:B1898"/>
    <mergeCell ref="C2438:D2438"/>
    <mergeCell ref="C2450:D2450"/>
    <mergeCell ref="C2297:D2297"/>
    <mergeCell ref="C2298:D2298"/>
    <mergeCell ref="C2028:D2028"/>
    <mergeCell ref="C2114:D2114"/>
    <mergeCell ref="C2129:D2129"/>
    <mergeCell ref="B2100:B2102"/>
    <mergeCell ref="C2097:D2097"/>
    <mergeCell ref="C2098:D2098"/>
    <mergeCell ref="C1993:D1993"/>
    <mergeCell ref="C1994:D1994"/>
    <mergeCell ref="A1989:D1989"/>
    <mergeCell ref="C1945:D1945"/>
    <mergeCell ref="C1957:D1957"/>
    <mergeCell ref="B1964:B1966"/>
    <mergeCell ref="A1972:D1972"/>
    <mergeCell ref="A1973:A1987"/>
    <mergeCell ref="C2694:D2694"/>
    <mergeCell ref="A2703:D2703"/>
    <mergeCell ref="A2720:D2720"/>
    <mergeCell ref="A2244:D2244"/>
    <mergeCell ref="C2246:D2246"/>
    <mergeCell ref="C2247:D2247"/>
    <mergeCell ref="C2248:D2248"/>
    <mergeCell ref="C2251:D2251"/>
    <mergeCell ref="C1875:D1875"/>
    <mergeCell ref="C2250:D2250"/>
    <mergeCell ref="C2249:D2249"/>
    <mergeCell ref="C2233:D2233"/>
    <mergeCell ref="C2234:D2234"/>
    <mergeCell ref="C1943:D1943"/>
    <mergeCell ref="A1955:D1955"/>
    <mergeCell ref="C1976:D1976"/>
    <mergeCell ref="C1977:D1977"/>
    <mergeCell ref="C1979:D1979"/>
    <mergeCell ref="C2065:D2065"/>
    <mergeCell ref="C2076:D2076"/>
    <mergeCell ref="C2077:D2077"/>
    <mergeCell ref="C2116:D2116"/>
    <mergeCell ref="C2078:D2078"/>
    <mergeCell ref="A1956:A1970"/>
    <mergeCell ref="A1939:A1953"/>
    <mergeCell ref="C2149:D2149"/>
    <mergeCell ref="C2147:D2147"/>
    <mergeCell ref="C2093:D2093"/>
    <mergeCell ref="A1871:A1885"/>
    <mergeCell ref="C1908:D1908"/>
    <mergeCell ref="C1909:D1909"/>
    <mergeCell ref="C2166:D2166"/>
    <mergeCell ref="A1904:D1904"/>
    <mergeCell ref="A1921:D1921"/>
    <mergeCell ref="C1911:D1911"/>
    <mergeCell ref="A1905:A1919"/>
    <mergeCell ref="C1895:D1895"/>
    <mergeCell ref="C1910:D1910"/>
    <mergeCell ref="B1998:B2000"/>
    <mergeCell ref="B1947:B1949"/>
    <mergeCell ref="B1981:B1983"/>
    <mergeCell ref="B2066:B2068"/>
    <mergeCell ref="C2064:D2064"/>
    <mergeCell ref="C2048:D2048"/>
    <mergeCell ref="C2060:D2060"/>
    <mergeCell ref="C2099:D2099"/>
    <mergeCell ref="C2011:D2011"/>
    <mergeCell ref="C2079:D2079"/>
    <mergeCell ref="C2042:D2042"/>
    <mergeCell ref="C2043:D2043"/>
    <mergeCell ref="C2044:D2044"/>
    <mergeCell ref="C2045:D2045"/>
    <mergeCell ref="C2094:D2094"/>
    <mergeCell ref="A2041:A2055"/>
    <mergeCell ref="A2007:A2021"/>
    <mergeCell ref="C2827:D2827"/>
    <mergeCell ref="C2792:D2792"/>
    <mergeCell ref="C2793:D2793"/>
    <mergeCell ref="C2796:D2796"/>
    <mergeCell ref="C2830:D2830"/>
    <mergeCell ref="C2624:D2624"/>
    <mergeCell ref="C2623:D2623"/>
    <mergeCell ref="C2607:D2607"/>
    <mergeCell ref="C2608:D2608"/>
    <mergeCell ref="C2637:D2637"/>
    <mergeCell ref="C2638:D2638"/>
    <mergeCell ref="C2639:D2639"/>
    <mergeCell ref="C2640:D2640"/>
    <mergeCell ref="C2625:D2625"/>
    <mergeCell ref="C2626:D2626"/>
    <mergeCell ref="C2673:D2673"/>
    <mergeCell ref="C2811:D2811"/>
    <mergeCell ref="C2812:D2812"/>
    <mergeCell ref="A2737:D2737"/>
    <mergeCell ref="A2721:A2735"/>
    <mergeCell ref="A2823:A2837"/>
    <mergeCell ref="C2659:D2659"/>
    <mergeCell ref="C2660:D2660"/>
    <mergeCell ref="C2671:D2671"/>
    <mergeCell ref="C2672:D2672"/>
    <mergeCell ref="C2658:D2658"/>
    <mergeCell ref="C2654:D2654"/>
    <mergeCell ref="C2722:D2722"/>
    <mergeCell ref="C2723:D2723"/>
    <mergeCell ref="C2724:D2724"/>
    <mergeCell ref="C2708:D2708"/>
    <mergeCell ref="C2709:D2709"/>
    <mergeCell ref="C3148:D3148"/>
    <mergeCell ref="C3149:D3149"/>
    <mergeCell ref="C3150:D3150"/>
    <mergeCell ref="C3153:D3153"/>
    <mergeCell ref="C3151:D3151"/>
    <mergeCell ref="C3152:D3152"/>
    <mergeCell ref="A3128:D3128"/>
    <mergeCell ref="C3135:D3135"/>
    <mergeCell ref="C3079:D3079"/>
    <mergeCell ref="C3080:D3080"/>
    <mergeCell ref="C3096:D3096"/>
    <mergeCell ref="C3097:D3097"/>
    <mergeCell ref="C3081:D3081"/>
    <mergeCell ref="C3082:D3082"/>
    <mergeCell ref="C3085:D3085"/>
    <mergeCell ref="B3086:B3088"/>
    <mergeCell ref="C3083:D3083"/>
    <mergeCell ref="C3084:D3084"/>
    <mergeCell ref="C3131:D3131"/>
    <mergeCell ref="B3120:B3122"/>
    <mergeCell ref="C3098:D3098"/>
    <mergeCell ref="C3099:D3099"/>
    <mergeCell ref="C3115:D3115"/>
    <mergeCell ref="C3102:D3102"/>
    <mergeCell ref="C3100:D3100"/>
    <mergeCell ref="B3103:B3105"/>
    <mergeCell ref="C3101:D3101"/>
    <mergeCell ref="C2858:D2858"/>
    <mergeCell ref="C2859:D2859"/>
    <mergeCell ref="C2943:D2943"/>
    <mergeCell ref="C2944:D2944"/>
    <mergeCell ref="C2926:D2926"/>
    <mergeCell ref="C2927:D2927"/>
    <mergeCell ref="C2928:D2928"/>
    <mergeCell ref="C3017:D3017"/>
    <mergeCell ref="C3013:D3013"/>
    <mergeCell ref="C3014:D3014"/>
    <mergeCell ref="C3183:D3183"/>
    <mergeCell ref="C3147:D3147"/>
    <mergeCell ref="C3186:D3186"/>
    <mergeCell ref="C3185:D3185"/>
    <mergeCell ref="C3064:D3064"/>
    <mergeCell ref="C3066:D3066"/>
    <mergeCell ref="C3065:D3065"/>
    <mergeCell ref="C3067:D3067"/>
    <mergeCell ref="C3068:D3068"/>
    <mergeCell ref="C3184:D3184"/>
    <mergeCell ref="C2994:D2994"/>
    <mergeCell ref="C2995:D2995"/>
    <mergeCell ref="C2996:D2996"/>
    <mergeCell ref="C2997:D2997"/>
    <mergeCell ref="C2948:D2948"/>
    <mergeCell ref="C2964:D2964"/>
    <mergeCell ref="C2963:D2963"/>
    <mergeCell ref="C2949:D2949"/>
    <mergeCell ref="C2960:D2960"/>
    <mergeCell ref="C2961:D2961"/>
    <mergeCell ref="C2962:D2962"/>
    <mergeCell ref="C2999:D2999"/>
    <mergeCell ref="C2881:D2881"/>
    <mergeCell ref="C2892:D2892"/>
    <mergeCell ref="C2860:D2860"/>
    <mergeCell ref="C2861:D2861"/>
    <mergeCell ref="C2877:D2877"/>
    <mergeCell ref="A2941:D2941"/>
    <mergeCell ref="B2916:B2918"/>
    <mergeCell ref="B2933:B2935"/>
    <mergeCell ref="A2908:A2922"/>
    <mergeCell ref="A2925:A2939"/>
    <mergeCell ref="C2762:D2762"/>
    <mergeCell ref="B2763:B2765"/>
    <mergeCell ref="B2831:B2833"/>
    <mergeCell ref="C2847:D2847"/>
    <mergeCell ref="A3162:D3162"/>
    <mergeCell ref="C3168:D3168"/>
    <mergeCell ref="B3171:B3173"/>
    <mergeCell ref="C3169:D3169"/>
    <mergeCell ref="C3134:D3134"/>
    <mergeCell ref="C3133:D3133"/>
    <mergeCell ref="B3154:B3156"/>
    <mergeCell ref="C3119:D3119"/>
    <mergeCell ref="C3132:D3132"/>
    <mergeCell ref="C3117:D3117"/>
    <mergeCell ref="C3118:D3118"/>
    <mergeCell ref="C3116:D3116"/>
    <mergeCell ref="C3113:D3113"/>
    <mergeCell ref="C3114:D3114"/>
    <mergeCell ref="C2842:D2842"/>
    <mergeCell ref="C2843:D2843"/>
    <mergeCell ref="C2844:D2844"/>
    <mergeCell ref="C2845:D2845"/>
    <mergeCell ref="C2795:D2795"/>
    <mergeCell ref="C2794:D2794"/>
    <mergeCell ref="B2882:B2884"/>
    <mergeCell ref="C2880:D2880"/>
    <mergeCell ref="C2896:D2896"/>
    <mergeCell ref="C2895:D2895"/>
    <mergeCell ref="C2897:D2897"/>
    <mergeCell ref="C2898:D2898"/>
    <mergeCell ref="C2966:D2966"/>
    <mergeCell ref="A2890:D2890"/>
    <mergeCell ref="C2894:D2894"/>
    <mergeCell ref="A2907:D2907"/>
    <mergeCell ref="A2924:D2924"/>
    <mergeCell ref="B2814:B2816"/>
    <mergeCell ref="A2822:D2822"/>
    <mergeCell ref="A2806:A2820"/>
    <mergeCell ref="C2807:D2807"/>
    <mergeCell ref="C2808:D2808"/>
    <mergeCell ref="B2797:B2799"/>
    <mergeCell ref="A2805:D2805"/>
    <mergeCell ref="A2789:A2803"/>
    <mergeCell ref="B2899:B2901"/>
    <mergeCell ref="C2841:D2841"/>
    <mergeCell ref="A2839:D2839"/>
    <mergeCell ref="C2878:D2878"/>
    <mergeCell ref="C2879:D2879"/>
    <mergeCell ref="B2848:B2850"/>
    <mergeCell ref="C2790:D2790"/>
    <mergeCell ref="C2809:D2809"/>
    <mergeCell ref="C2826:D2826"/>
    <mergeCell ref="C2864:D2864"/>
    <mergeCell ref="C2931:D2931"/>
    <mergeCell ref="A3010:A3024"/>
    <mergeCell ref="A2891:A2905"/>
    <mergeCell ref="A2942:A2956"/>
    <mergeCell ref="B2950:B2952"/>
    <mergeCell ref="C2947:D2947"/>
    <mergeCell ref="A2959:A2973"/>
    <mergeCell ref="A2976:A2990"/>
    <mergeCell ref="A2993:A3007"/>
    <mergeCell ref="B3001:B3003"/>
    <mergeCell ref="C3028:D3028"/>
    <mergeCell ref="C3011:D3011"/>
    <mergeCell ref="C2915:D2915"/>
    <mergeCell ref="C2930:D2930"/>
    <mergeCell ref="C2945:D2945"/>
    <mergeCell ref="C2909:D2909"/>
    <mergeCell ref="C2910:D2910"/>
    <mergeCell ref="C2911:D2911"/>
    <mergeCell ref="C2912:D2912"/>
    <mergeCell ref="C2913:D2913"/>
    <mergeCell ref="C2914:D2914"/>
    <mergeCell ref="C2929:D2929"/>
    <mergeCell ref="C2932:D2932"/>
    <mergeCell ref="C3000:D3000"/>
    <mergeCell ref="A3026:D3026"/>
    <mergeCell ref="B3018:B3020"/>
    <mergeCell ref="B893:B895"/>
    <mergeCell ref="C891:D891"/>
    <mergeCell ref="C892:D892"/>
    <mergeCell ref="C873:D873"/>
    <mergeCell ref="C874:D874"/>
    <mergeCell ref="A885:A899"/>
    <mergeCell ref="C756:D756"/>
    <mergeCell ref="B757:B759"/>
    <mergeCell ref="C753:D753"/>
    <mergeCell ref="A749:A763"/>
    <mergeCell ref="C751:D751"/>
    <mergeCell ref="C752:D752"/>
    <mergeCell ref="C769:D769"/>
    <mergeCell ref="C2875:D2875"/>
    <mergeCell ref="C2876:D2876"/>
    <mergeCell ref="C2862:D2862"/>
    <mergeCell ref="C2863:D2863"/>
    <mergeCell ref="B2780:B2782"/>
    <mergeCell ref="C2825:D2825"/>
    <mergeCell ref="A2874:A2888"/>
    <mergeCell ref="A2873:D2873"/>
    <mergeCell ref="B2865:B2867"/>
    <mergeCell ref="A2857:A2871"/>
    <mergeCell ref="C2810:D2810"/>
    <mergeCell ref="A2856:D2856"/>
    <mergeCell ref="C2846:D2846"/>
    <mergeCell ref="A2840:A2854"/>
    <mergeCell ref="C2828:D2828"/>
    <mergeCell ref="C2829:D2829"/>
    <mergeCell ref="C2824:D2824"/>
    <mergeCell ref="A2788:D2788"/>
    <mergeCell ref="A2772:A2786"/>
    <mergeCell ref="C1673:D1673"/>
    <mergeCell ref="B1675:B1677"/>
    <mergeCell ref="C1843:D1843"/>
    <mergeCell ref="C1840:D1840"/>
    <mergeCell ref="C1841:D1841"/>
    <mergeCell ref="C857:D857"/>
    <mergeCell ref="C858:D858"/>
    <mergeCell ref="C754:D754"/>
    <mergeCell ref="C755:D755"/>
    <mergeCell ref="B168:B170"/>
    <mergeCell ref="A194:A206"/>
    <mergeCell ref="A209:A221"/>
    <mergeCell ref="A145:A157"/>
    <mergeCell ref="A128:A142"/>
    <mergeCell ref="A160:A174"/>
    <mergeCell ref="C1792:D1792"/>
    <mergeCell ref="C1790:D1790"/>
    <mergeCell ref="C1793:D1793"/>
    <mergeCell ref="C954:D954"/>
    <mergeCell ref="C955:D955"/>
    <mergeCell ref="C941:D941"/>
    <mergeCell ref="C1773:D1773"/>
    <mergeCell ref="C1776:D1776"/>
    <mergeCell ref="B1777:B1779"/>
    <mergeCell ref="C1774:D1774"/>
    <mergeCell ref="C1775:D1775"/>
    <mergeCell ref="A1769:A1783"/>
    <mergeCell ref="C1754:D1754"/>
    <mergeCell ref="C1755:D1755"/>
    <mergeCell ref="A817:A831"/>
    <mergeCell ref="C818:D818"/>
    <mergeCell ref="C484:D484"/>
    <mergeCell ref="C738:D738"/>
    <mergeCell ref="C450:D450"/>
    <mergeCell ref="C467:D467"/>
    <mergeCell ref="B468:B470"/>
    <mergeCell ref="C478:D478"/>
    <mergeCell ref="A663:D663"/>
    <mergeCell ref="A783:A797"/>
    <mergeCell ref="C701:D701"/>
    <mergeCell ref="B706:B708"/>
    <mergeCell ref="C688:D688"/>
    <mergeCell ref="B689:B691"/>
    <mergeCell ref="C699:D699"/>
    <mergeCell ref="C700:D700"/>
    <mergeCell ref="C671:D671"/>
    <mergeCell ref="C682:D682"/>
    <mergeCell ref="B672:B674"/>
    <mergeCell ref="C683:D683"/>
    <mergeCell ref="C684:D684"/>
    <mergeCell ref="B723:B725"/>
    <mergeCell ref="B740:B742"/>
    <mergeCell ref="C720:D720"/>
    <mergeCell ref="C716:D716"/>
    <mergeCell ref="C717:D717"/>
    <mergeCell ref="C718:D718"/>
    <mergeCell ref="B485:B487"/>
    <mergeCell ref="C721:D721"/>
    <mergeCell ref="C722:D722"/>
    <mergeCell ref="C767:D767"/>
    <mergeCell ref="C768:D768"/>
    <mergeCell ref="A748:D748"/>
    <mergeCell ref="A765:D765"/>
    <mergeCell ref="C482:D482"/>
    <mergeCell ref="A94:A108"/>
    <mergeCell ref="A93:D93"/>
    <mergeCell ref="B102:B104"/>
    <mergeCell ref="C182:D182"/>
    <mergeCell ref="C183:D183"/>
    <mergeCell ref="C179:D179"/>
    <mergeCell ref="C180:D180"/>
    <mergeCell ref="C114:D114"/>
    <mergeCell ref="C115:D115"/>
    <mergeCell ref="C118:D118"/>
    <mergeCell ref="C116:D116"/>
    <mergeCell ref="C117:D117"/>
    <mergeCell ref="B119:B121"/>
    <mergeCell ref="A111:A125"/>
    <mergeCell ref="C135:D135"/>
    <mergeCell ref="B136:B138"/>
    <mergeCell ref="A144:C144"/>
    <mergeCell ref="C131:D131"/>
    <mergeCell ref="C129:D129"/>
    <mergeCell ref="C130:D130"/>
    <mergeCell ref="C132:D132"/>
    <mergeCell ref="C133:D133"/>
    <mergeCell ref="C134:D134"/>
    <mergeCell ref="C112:D112"/>
    <mergeCell ref="C113:D113"/>
    <mergeCell ref="A110:D110"/>
    <mergeCell ref="C178:D178"/>
    <mergeCell ref="A2:A14"/>
    <mergeCell ref="A1:C1"/>
    <mergeCell ref="A16:C16"/>
    <mergeCell ref="C80:D80"/>
    <mergeCell ref="C78:D78"/>
    <mergeCell ref="C79:D79"/>
    <mergeCell ref="C81:D81"/>
    <mergeCell ref="A76:D76"/>
    <mergeCell ref="A31:C31"/>
    <mergeCell ref="A77:A91"/>
    <mergeCell ref="C161:D161"/>
    <mergeCell ref="A159:D159"/>
    <mergeCell ref="C165:D165"/>
    <mergeCell ref="C166:D166"/>
    <mergeCell ref="C167:D167"/>
    <mergeCell ref="C162:D162"/>
    <mergeCell ref="C163:D163"/>
    <mergeCell ref="C164:D164"/>
    <mergeCell ref="A127:D127"/>
    <mergeCell ref="C95:D95"/>
    <mergeCell ref="C96:D96"/>
    <mergeCell ref="C84:D84"/>
    <mergeCell ref="B85:B87"/>
    <mergeCell ref="C97:D97"/>
    <mergeCell ref="C98:D98"/>
    <mergeCell ref="C99:D99"/>
    <mergeCell ref="C100:D100"/>
    <mergeCell ref="C83:D83"/>
    <mergeCell ref="C101:D101"/>
    <mergeCell ref="C82:D82"/>
    <mergeCell ref="A62:A74"/>
    <mergeCell ref="A61:C61"/>
    <mergeCell ref="A3656:A3670"/>
    <mergeCell ref="A17:A29"/>
    <mergeCell ref="A32:A44"/>
    <mergeCell ref="A46:C46"/>
    <mergeCell ref="A47:A59"/>
    <mergeCell ref="C3742:D3742"/>
    <mergeCell ref="C3743:D3743"/>
    <mergeCell ref="B3681:B3683"/>
    <mergeCell ref="A3689:D3689"/>
    <mergeCell ref="C3658:D3658"/>
    <mergeCell ref="C3659:D3659"/>
    <mergeCell ref="A3655:D3655"/>
    <mergeCell ref="B185:B187"/>
    <mergeCell ref="A177:A191"/>
    <mergeCell ref="C227:D227"/>
    <mergeCell ref="A223:D223"/>
    <mergeCell ref="C225:D225"/>
    <mergeCell ref="C226:D226"/>
    <mergeCell ref="A176:D176"/>
    <mergeCell ref="A193:C193"/>
    <mergeCell ref="A208:C208"/>
    <mergeCell ref="C181:D181"/>
    <mergeCell ref="B451:B453"/>
    <mergeCell ref="C462:D462"/>
    <mergeCell ref="C667:D667"/>
    <mergeCell ref="C665:D665"/>
    <mergeCell ref="C666:D666"/>
    <mergeCell ref="C669:D669"/>
    <mergeCell ref="C670:D670"/>
    <mergeCell ref="C411:D411"/>
    <mergeCell ref="C412:D412"/>
    <mergeCell ref="C668:D668"/>
    <mergeCell ref="C3521:D3521"/>
    <mergeCell ref="C3522:D3522"/>
    <mergeCell ref="C3642:D3642"/>
    <mergeCell ref="C3644:D3644"/>
    <mergeCell ref="C3643:D3643"/>
    <mergeCell ref="B3715:B3717"/>
    <mergeCell ref="C3694:D3694"/>
    <mergeCell ref="C3695:D3695"/>
    <mergeCell ref="C3697:D3697"/>
    <mergeCell ref="B3698:B3700"/>
    <mergeCell ref="C3708:D3708"/>
    <mergeCell ref="C3709:D3709"/>
    <mergeCell ref="C3696:D3696"/>
    <mergeCell ref="C3693:D3693"/>
    <mergeCell ref="A3706:D3706"/>
    <mergeCell ref="A3690:A3704"/>
    <mergeCell ref="A3673:A3687"/>
    <mergeCell ref="C3540:D3540"/>
    <mergeCell ref="C3541:D3541"/>
    <mergeCell ref="C3542:D3542"/>
    <mergeCell ref="C3543:D3543"/>
    <mergeCell ref="C3713:D3713"/>
    <mergeCell ref="C3714:D3714"/>
    <mergeCell ref="A3707:A3721"/>
    <mergeCell ref="B3613:B3615"/>
    <mergeCell ref="C3611:D3611"/>
    <mergeCell ref="A3605:A3619"/>
    <mergeCell ref="C3625:D3625"/>
    <mergeCell ref="C3626:D3626"/>
    <mergeCell ref="C3629:D3629"/>
    <mergeCell ref="B3630:B3632"/>
    <mergeCell ref="A3622:A3636"/>
    <mergeCell ref="C3627:D3627"/>
    <mergeCell ref="C3628:D3628"/>
    <mergeCell ref="A3621:D3621"/>
    <mergeCell ref="A3638:D3638"/>
    <mergeCell ref="C3640:D3640"/>
    <mergeCell ref="C3641:D3641"/>
    <mergeCell ref="C3524:D3524"/>
    <mergeCell ref="C3527:D3527"/>
    <mergeCell ref="C3525:D3525"/>
    <mergeCell ref="C3526:D3526"/>
    <mergeCell ref="A3536:D3536"/>
    <mergeCell ref="C3623:D3623"/>
    <mergeCell ref="C3624:D3624"/>
    <mergeCell ref="C3557:D3557"/>
    <mergeCell ref="A3554:A3568"/>
    <mergeCell ref="A3571:A3585"/>
    <mergeCell ref="A3588:A3602"/>
    <mergeCell ref="C3559:D3559"/>
    <mergeCell ref="C3560:D3560"/>
    <mergeCell ref="A3639:A3653"/>
    <mergeCell ref="B3647:B3649"/>
    <mergeCell ref="C3609:D3609"/>
    <mergeCell ref="C3612:D3612"/>
    <mergeCell ref="B3766:B3768"/>
    <mergeCell ref="B3783:B3785"/>
    <mergeCell ref="A3758:A3772"/>
    <mergeCell ref="C3746:D3746"/>
    <mergeCell ref="B3749:B3751"/>
    <mergeCell ref="C3761:D3761"/>
    <mergeCell ref="C3759:D3759"/>
    <mergeCell ref="C3760:D3760"/>
    <mergeCell ref="C3776:D3776"/>
    <mergeCell ref="C3782:D3782"/>
    <mergeCell ref="C3725:D3725"/>
    <mergeCell ref="C3726:D3726"/>
    <mergeCell ref="A3723:D3723"/>
    <mergeCell ref="C3727:D3727"/>
    <mergeCell ref="A3724:A3738"/>
    <mergeCell ref="C3744:D3744"/>
    <mergeCell ref="C3745:D3745"/>
    <mergeCell ref="C3747:D3747"/>
    <mergeCell ref="C3748:D3748"/>
    <mergeCell ref="C3728:D3728"/>
    <mergeCell ref="C3731:D3731"/>
    <mergeCell ref="B3732:B3734"/>
    <mergeCell ref="A3740:D3740"/>
    <mergeCell ref="A3741:A3755"/>
    <mergeCell ref="C3729:D3729"/>
    <mergeCell ref="C3730:D3730"/>
    <mergeCell ref="C3778:D3778"/>
    <mergeCell ref="C3780:D3780"/>
    <mergeCell ref="C3779:D3779"/>
    <mergeCell ref="C3793:D3793"/>
    <mergeCell ref="C3794:D3794"/>
    <mergeCell ref="A3775:A3789"/>
    <mergeCell ref="A3792:A3803"/>
    <mergeCell ref="B3800:B3802"/>
    <mergeCell ref="C3763:D3763"/>
    <mergeCell ref="C3795:D3795"/>
    <mergeCell ref="C3796:D3796"/>
    <mergeCell ref="C3799:D3799"/>
    <mergeCell ref="C3422:D3422"/>
    <mergeCell ref="C3425:D3425"/>
    <mergeCell ref="C3423:D3423"/>
    <mergeCell ref="C3424:D3424"/>
    <mergeCell ref="C3441:D3441"/>
    <mergeCell ref="C3436:D3436"/>
    <mergeCell ref="C3437:D3437"/>
    <mergeCell ref="C3438:D3438"/>
    <mergeCell ref="C3439:D3439"/>
    <mergeCell ref="C3440:D3440"/>
    <mergeCell ref="C3504:D3504"/>
    <mergeCell ref="C3505:D3505"/>
    <mergeCell ref="A3537:A3551"/>
    <mergeCell ref="A3553:D3553"/>
    <mergeCell ref="C3491:D3491"/>
    <mergeCell ref="C3492:D3492"/>
    <mergeCell ref="C3592:D3592"/>
    <mergeCell ref="C3593:D3593"/>
    <mergeCell ref="A3587:D3587"/>
    <mergeCell ref="A3604:D3604"/>
    <mergeCell ref="C3608:D3608"/>
    <mergeCell ref="C3797:D3797"/>
    <mergeCell ref="C3798:D3798"/>
    <mergeCell ref="A3503:A3517"/>
    <mergeCell ref="A3520:A3534"/>
    <mergeCell ref="A3791:D3791"/>
    <mergeCell ref="C3762:D3762"/>
    <mergeCell ref="A3757:D3757"/>
    <mergeCell ref="A3774:D3774"/>
    <mergeCell ref="C3645:D3645"/>
    <mergeCell ref="C3781:D3781"/>
    <mergeCell ref="C3660:D3660"/>
    <mergeCell ref="C3663:D3663"/>
    <mergeCell ref="C3661:D3661"/>
    <mergeCell ref="C3662:D3662"/>
    <mergeCell ref="C3678:D3678"/>
    <mergeCell ref="C3679:D3679"/>
    <mergeCell ref="C3674:D3674"/>
    <mergeCell ref="C3675:D3675"/>
    <mergeCell ref="C3676:D3676"/>
    <mergeCell ref="C3677:D3677"/>
    <mergeCell ref="C3710:D3710"/>
    <mergeCell ref="C3712:D3712"/>
    <mergeCell ref="C3711:D3711"/>
    <mergeCell ref="C3691:D3691"/>
    <mergeCell ref="C3692:D3692"/>
    <mergeCell ref="C3657:D3657"/>
    <mergeCell ref="C3680:D3680"/>
    <mergeCell ref="C3764:D3764"/>
    <mergeCell ref="C3777:D3777"/>
    <mergeCell ref="A3570:D3570"/>
    <mergeCell ref="C3646:D3646"/>
    <mergeCell ref="B3664:B3666"/>
    <mergeCell ref="A3672:D3672"/>
    <mergeCell ref="C3765:D3765"/>
    <mergeCell ref="C3471:D3471"/>
    <mergeCell ref="C3472:D3472"/>
    <mergeCell ref="B3528:B3530"/>
    <mergeCell ref="C3610:D3610"/>
    <mergeCell ref="C3576:D3576"/>
    <mergeCell ref="C3575:D3575"/>
    <mergeCell ref="B3579:B3581"/>
    <mergeCell ref="C3578:D3578"/>
    <mergeCell ref="C3606:D3606"/>
    <mergeCell ref="C3607:D3607"/>
    <mergeCell ref="C3419:D3419"/>
    <mergeCell ref="C3589:D3589"/>
    <mergeCell ref="C3577:D3577"/>
    <mergeCell ref="C3558:D3558"/>
    <mergeCell ref="C3555:D3555"/>
    <mergeCell ref="C3556:D3556"/>
    <mergeCell ref="B3545:B3547"/>
    <mergeCell ref="C3538:D3538"/>
    <mergeCell ref="C3539:D3539"/>
    <mergeCell ref="C3544:D3544"/>
    <mergeCell ref="C3561:D3561"/>
    <mergeCell ref="B3562:B3564"/>
    <mergeCell ref="C3572:D3572"/>
    <mergeCell ref="C3573:D3573"/>
    <mergeCell ref="C3509:D3509"/>
    <mergeCell ref="C3510:D3510"/>
    <mergeCell ref="C3590:D3590"/>
    <mergeCell ref="C3591:D3591"/>
    <mergeCell ref="C3595:D3595"/>
    <mergeCell ref="B3596:B3598"/>
    <mergeCell ref="C3594:D3594"/>
    <mergeCell ref="C3574:D3574"/>
    <mergeCell ref="C3323:D3323"/>
    <mergeCell ref="B3324:B3326"/>
    <mergeCell ref="A3316:A3330"/>
    <mergeCell ref="C3306:D3306"/>
    <mergeCell ref="C3339:D3339"/>
    <mergeCell ref="A3367:A3381"/>
    <mergeCell ref="C3368:D3368"/>
    <mergeCell ref="C3369:D3369"/>
    <mergeCell ref="C3370:D3370"/>
    <mergeCell ref="C3371:D3371"/>
    <mergeCell ref="C3407:D3407"/>
    <mergeCell ref="C3408:D3408"/>
    <mergeCell ref="C3406:D3406"/>
    <mergeCell ref="C3403:D3403"/>
    <mergeCell ref="C3404:D3404"/>
    <mergeCell ref="C3405:D3405"/>
    <mergeCell ref="A3401:A3415"/>
    <mergeCell ref="B3409:B3411"/>
    <mergeCell ref="C3322:D3322"/>
    <mergeCell ref="C3319:D3319"/>
    <mergeCell ref="C3391:D3391"/>
    <mergeCell ref="B3392:B3394"/>
    <mergeCell ref="A3400:D3400"/>
    <mergeCell ref="C3402:D3402"/>
    <mergeCell ref="A3384:A3398"/>
    <mergeCell ref="C3317:D3317"/>
    <mergeCell ref="C3318:D3318"/>
    <mergeCell ref="C3335:D3335"/>
    <mergeCell ref="C3336:D3336"/>
    <mergeCell ref="C3338:D3338"/>
    <mergeCell ref="C3337:D3337"/>
    <mergeCell ref="A3333:A3347"/>
    <mergeCell ref="C3286:D3286"/>
    <mergeCell ref="C3289:D3289"/>
    <mergeCell ref="C3287:D3287"/>
    <mergeCell ref="C3288:D3288"/>
    <mergeCell ref="C3304:D3304"/>
    <mergeCell ref="C3300:D3300"/>
    <mergeCell ref="C3301:D3301"/>
    <mergeCell ref="C3048:D3048"/>
    <mergeCell ref="A3043:D3043"/>
    <mergeCell ref="C3047:D3047"/>
    <mergeCell ref="C3045:D3045"/>
    <mergeCell ref="C3046:D3046"/>
    <mergeCell ref="C3130:D3130"/>
    <mergeCell ref="C3049:D3049"/>
    <mergeCell ref="B3052:B3054"/>
    <mergeCell ref="A3060:D3060"/>
    <mergeCell ref="C3062:D3062"/>
    <mergeCell ref="C3063:D3063"/>
    <mergeCell ref="A3044:A3058"/>
    <mergeCell ref="A3196:D3196"/>
    <mergeCell ref="C3198:D3198"/>
    <mergeCell ref="C3199:D3199"/>
    <mergeCell ref="C3200:D3200"/>
    <mergeCell ref="A3282:A3296"/>
    <mergeCell ref="B3290:B3292"/>
    <mergeCell ref="B3205:B3207"/>
    <mergeCell ref="C3271:D3271"/>
    <mergeCell ref="C3269:D3269"/>
    <mergeCell ref="C3302:D3302"/>
    <mergeCell ref="C3303:D3303"/>
    <mergeCell ref="C3051:D3051"/>
    <mergeCell ref="C3050:D3050"/>
    <mergeCell ref="C1691:D1691"/>
    <mergeCell ref="C1702:D1702"/>
    <mergeCell ref="C1703:D1703"/>
    <mergeCell ref="C1737:D1737"/>
    <mergeCell ref="C1738:D1738"/>
    <mergeCell ref="A1735:A1749"/>
    <mergeCell ref="A1752:A1766"/>
    <mergeCell ref="C3272:D3272"/>
    <mergeCell ref="C3283:D3283"/>
    <mergeCell ref="C3284:D3284"/>
    <mergeCell ref="C2813:D2813"/>
    <mergeCell ref="C2965:D2965"/>
    <mergeCell ref="C2946:D2946"/>
    <mergeCell ref="A2958:D2958"/>
    <mergeCell ref="C3015:D3015"/>
    <mergeCell ref="C3016:D3016"/>
    <mergeCell ref="C3032:D3032"/>
    <mergeCell ref="C2981:D2981"/>
    <mergeCell ref="C2982:D2982"/>
    <mergeCell ref="C2977:D2977"/>
    <mergeCell ref="C3031:D3031"/>
    <mergeCell ref="A2975:D2975"/>
    <mergeCell ref="C2978:D2978"/>
    <mergeCell ref="C2979:D2979"/>
    <mergeCell ref="C2980:D2980"/>
    <mergeCell ref="B2984:B2986"/>
    <mergeCell ref="A2992:D2992"/>
    <mergeCell ref="B2967:B2969"/>
    <mergeCell ref="C3029:D3029"/>
    <mergeCell ref="C3034:D3034"/>
    <mergeCell ref="C2998:D2998"/>
    <mergeCell ref="C2893:D2893"/>
    <mergeCell ref="C3523:D3523"/>
    <mergeCell ref="A3519:D3519"/>
    <mergeCell ref="C3490:D3490"/>
    <mergeCell ref="C3475:D3475"/>
    <mergeCell ref="C3493:D3493"/>
    <mergeCell ref="B3494:B3496"/>
    <mergeCell ref="A3502:D3502"/>
    <mergeCell ref="A3486:A3500"/>
    <mergeCell ref="B3511:B3513"/>
    <mergeCell ref="C3215:D3215"/>
    <mergeCell ref="C3216:D3216"/>
    <mergeCell ref="C3217:D3217"/>
    <mergeCell ref="C3218:D3218"/>
    <mergeCell ref="B3222:B3224"/>
    <mergeCell ref="C3219:D3219"/>
    <mergeCell ref="C3220:D3220"/>
    <mergeCell ref="A3248:A3262"/>
    <mergeCell ref="A3265:A3279"/>
    <mergeCell ref="C3320:D3320"/>
    <mergeCell ref="C3321:D3321"/>
    <mergeCell ref="A3298:D3298"/>
    <mergeCell ref="B3307:B3309"/>
    <mergeCell ref="A3315:D3315"/>
    <mergeCell ref="C3305:D3305"/>
    <mergeCell ref="A3299:A3313"/>
    <mergeCell ref="A3264:D3264"/>
    <mergeCell ref="C3266:D3266"/>
    <mergeCell ref="C3267:D3267"/>
    <mergeCell ref="C3268:D3268"/>
    <mergeCell ref="C3270:D3270"/>
    <mergeCell ref="C3420:D3420"/>
    <mergeCell ref="C3285:D3285"/>
    <mergeCell ref="C3421:D3421"/>
    <mergeCell ref="A3418:A3432"/>
    <mergeCell ref="B3426:B3428"/>
    <mergeCell ref="A3417:D3417"/>
    <mergeCell ref="C3455:D3455"/>
    <mergeCell ref="C3456:D3456"/>
    <mergeCell ref="C3442:D3442"/>
    <mergeCell ref="A3435:A3449"/>
    <mergeCell ref="A3434:D3434"/>
    <mergeCell ref="C3453:D3453"/>
    <mergeCell ref="A3451:D3451"/>
    <mergeCell ref="C3506:D3506"/>
    <mergeCell ref="C3508:D3508"/>
    <mergeCell ref="C3507:D3507"/>
    <mergeCell ref="C3489:D3489"/>
    <mergeCell ref="C3487:D3487"/>
    <mergeCell ref="C3488:D3488"/>
    <mergeCell ref="C3457:D3457"/>
    <mergeCell ref="C3458:D3458"/>
    <mergeCell ref="C3459:D3459"/>
    <mergeCell ref="C3454:D3454"/>
    <mergeCell ref="A3468:D3468"/>
    <mergeCell ref="C3470:D3470"/>
    <mergeCell ref="A3485:D3485"/>
    <mergeCell ref="B3477:B3479"/>
    <mergeCell ref="C3476:D3476"/>
    <mergeCell ref="B3460:B3462"/>
    <mergeCell ref="A3452:A3466"/>
    <mergeCell ref="A3469:A3483"/>
    <mergeCell ref="C3474:D3474"/>
    <mergeCell ref="C3473:D3473"/>
    <mergeCell ref="B3443:B3445"/>
    <mergeCell ref="A3350:A3364"/>
    <mergeCell ref="C3389:D3389"/>
    <mergeCell ref="C3390:D3390"/>
    <mergeCell ref="C3387:D3387"/>
    <mergeCell ref="C3385:D3385"/>
    <mergeCell ref="C3386:D3386"/>
    <mergeCell ref="C3351:D3351"/>
    <mergeCell ref="C3352:D3352"/>
    <mergeCell ref="C3353:D3353"/>
    <mergeCell ref="B3375:B3377"/>
    <mergeCell ref="A3332:D3332"/>
    <mergeCell ref="C3334:D3334"/>
    <mergeCell ref="C3340:D3340"/>
    <mergeCell ref="B3341:B3343"/>
    <mergeCell ref="A3349:D3349"/>
    <mergeCell ref="C3388:D3388"/>
    <mergeCell ref="C3354:D3354"/>
    <mergeCell ref="C3373:D3373"/>
    <mergeCell ref="C3374:D3374"/>
    <mergeCell ref="C3372:D3372"/>
    <mergeCell ref="C3357:D3357"/>
    <mergeCell ref="B3358:B3360"/>
    <mergeCell ref="C3355:D3355"/>
    <mergeCell ref="C3356:D3356"/>
    <mergeCell ref="A3366:D3366"/>
    <mergeCell ref="A3383:D3383"/>
    <mergeCell ref="B3273:B3275"/>
    <mergeCell ref="A3281:D3281"/>
    <mergeCell ref="C3251:D3251"/>
    <mergeCell ref="C3252:D3252"/>
    <mergeCell ref="C3255:D3255"/>
    <mergeCell ref="B3256:B3258"/>
    <mergeCell ref="C3253:D3253"/>
    <mergeCell ref="C3254:D3254"/>
    <mergeCell ref="C3249:D3249"/>
    <mergeCell ref="C3250:D3250"/>
    <mergeCell ref="A3247:D3247"/>
    <mergeCell ref="A3213:D3213"/>
    <mergeCell ref="C3030:D3030"/>
    <mergeCell ref="C3235:D3235"/>
    <mergeCell ref="C3238:D3238"/>
    <mergeCell ref="B3239:B3241"/>
    <mergeCell ref="A3230:D3230"/>
    <mergeCell ref="A3231:A3245"/>
    <mergeCell ref="C3202:D3202"/>
    <mergeCell ref="C3203:D3203"/>
    <mergeCell ref="C3201:D3201"/>
    <mergeCell ref="C3232:D3232"/>
    <mergeCell ref="C3233:D3233"/>
    <mergeCell ref="C3187:D3187"/>
    <mergeCell ref="C3164:D3164"/>
    <mergeCell ref="C3165:D3165"/>
    <mergeCell ref="C3166:D3166"/>
    <mergeCell ref="C3167:D3167"/>
    <mergeCell ref="C3170:D3170"/>
    <mergeCell ref="A3094:D3094"/>
    <mergeCell ref="A3111:D3111"/>
    <mergeCell ref="A3095:A3109"/>
    <mergeCell ref="C3012:D3012"/>
    <mergeCell ref="A3009:D3009"/>
    <mergeCell ref="C2983:D2983"/>
    <mergeCell ref="B2287:B2289"/>
    <mergeCell ref="C2263:D2263"/>
    <mergeCell ref="C2264:D2264"/>
    <mergeCell ref="C2265:D2265"/>
    <mergeCell ref="C2266:D2266"/>
    <mergeCell ref="C2267:D2267"/>
    <mergeCell ref="C2268:D2268"/>
    <mergeCell ref="C2280:D2280"/>
    <mergeCell ref="C2281:D2281"/>
    <mergeCell ref="B2270:B2272"/>
    <mergeCell ref="C2252:D2252"/>
    <mergeCell ref="B2253:B2255"/>
    <mergeCell ref="A2278:D2278"/>
    <mergeCell ref="A2261:D2261"/>
    <mergeCell ref="A2448:D2448"/>
    <mergeCell ref="C2455:D2455"/>
    <mergeCell ref="C2399:D2399"/>
    <mergeCell ref="C2352:D2352"/>
    <mergeCell ref="C2371:D2371"/>
    <mergeCell ref="C2369:D2369"/>
    <mergeCell ref="C2370:D2370"/>
    <mergeCell ref="C2365:D2365"/>
    <mergeCell ref="C2366:D2366"/>
    <mergeCell ref="C2433:D2433"/>
    <mergeCell ref="C2434:D2434"/>
    <mergeCell ref="B2355:B2357"/>
    <mergeCell ref="C2454:D2454"/>
    <mergeCell ref="C2350:D2350"/>
    <mergeCell ref="C2504:D2504"/>
    <mergeCell ref="C3237:D3237"/>
    <mergeCell ref="C3236:D3236"/>
    <mergeCell ref="C3221:D3221"/>
    <mergeCell ref="C3234:D3234"/>
    <mergeCell ref="A2431:D2431"/>
    <mergeCell ref="C2284:D2284"/>
    <mergeCell ref="C2331:D2331"/>
    <mergeCell ref="C2756:D2756"/>
    <mergeCell ref="C2757:D2757"/>
    <mergeCell ref="C2758:D2758"/>
    <mergeCell ref="C2760:D2760"/>
    <mergeCell ref="C2761:D2761"/>
    <mergeCell ref="C2269:D2269"/>
    <mergeCell ref="C2453:D2453"/>
    <mergeCell ref="C2299:D2299"/>
    <mergeCell ref="C2451:D2451"/>
    <mergeCell ref="C2301:D2301"/>
    <mergeCell ref="C2302:D2302"/>
    <mergeCell ref="C2318:D2318"/>
    <mergeCell ref="C2319:D2319"/>
    <mergeCell ref="C2317:D2317"/>
    <mergeCell ref="C2354:D2354"/>
    <mergeCell ref="A2398:A2412"/>
    <mergeCell ref="A2397:D2397"/>
    <mergeCell ref="A2347:A2361"/>
    <mergeCell ref="A2380:D2380"/>
    <mergeCell ref="A2363:D2363"/>
    <mergeCell ref="A2432:A2446"/>
    <mergeCell ref="A2415:A2429"/>
    <mergeCell ref="A2414:D2414"/>
    <mergeCell ref="C2710:D2710"/>
    <mergeCell ref="C2503:D2503"/>
    <mergeCell ref="C2505:D2505"/>
    <mergeCell ref="C2506:D2506"/>
    <mergeCell ref="C2522:D2522"/>
    <mergeCell ref="B2559:B2561"/>
    <mergeCell ref="A2567:D2567"/>
    <mergeCell ref="C2558:D2558"/>
    <mergeCell ref="C2588:D2588"/>
    <mergeCell ref="C2589:D2589"/>
    <mergeCell ref="C2592:D2592"/>
    <mergeCell ref="C2575:D2575"/>
    <mergeCell ref="B2576:B2578"/>
    <mergeCell ref="A2584:D2584"/>
    <mergeCell ref="C2524:D2524"/>
    <mergeCell ref="B2525:B2527"/>
    <mergeCell ref="A2533:D2533"/>
    <mergeCell ref="C2536:D2536"/>
    <mergeCell ref="C2537:D2537"/>
    <mergeCell ref="C2538:D2538"/>
    <mergeCell ref="C2539:D2539"/>
    <mergeCell ref="C2590:D2590"/>
    <mergeCell ref="C1655:D1655"/>
    <mergeCell ref="C1656:D1656"/>
    <mergeCell ref="C1651:D1651"/>
    <mergeCell ref="C1623:D1623"/>
    <mergeCell ref="C1637:D1637"/>
    <mergeCell ref="C1636:D1636"/>
    <mergeCell ref="C1640:D1640"/>
    <mergeCell ref="C1654:D1654"/>
    <mergeCell ref="A2279:A2293"/>
    <mergeCell ref="A2295:D2295"/>
    <mergeCell ref="C1860:D1860"/>
    <mergeCell ref="C1876:D1876"/>
    <mergeCell ref="C1877:D1877"/>
    <mergeCell ref="C2300:D2300"/>
    <mergeCell ref="C2303:D2303"/>
    <mergeCell ref="B2304:B2306"/>
    <mergeCell ref="A2312:D2312"/>
    <mergeCell ref="C1669:D1669"/>
    <mergeCell ref="C1758:D1758"/>
    <mergeCell ref="C1759:D1759"/>
    <mergeCell ref="C1772:D1772"/>
    <mergeCell ref="A1768:D1768"/>
    <mergeCell ref="C1791:D1791"/>
    <mergeCell ref="B1743:B1745"/>
    <mergeCell ref="B1760:B1762"/>
    <mergeCell ref="C1740:D1740"/>
    <mergeCell ref="C1736:D1736"/>
    <mergeCell ref="C1739:D1739"/>
    <mergeCell ref="C1674:D1674"/>
    <mergeCell ref="C1742:D1742"/>
    <mergeCell ref="C1687:D1687"/>
    <mergeCell ref="C1688:D1688"/>
    <mergeCell ref="A3180:A3194"/>
    <mergeCell ref="B3188:B3190"/>
    <mergeCell ref="C3204:D3204"/>
    <mergeCell ref="C2674:D2674"/>
    <mergeCell ref="C2677:D2677"/>
    <mergeCell ref="B2678:B2680"/>
    <mergeCell ref="C2675:D2675"/>
    <mergeCell ref="C2676:D2676"/>
    <mergeCell ref="C2740:D2740"/>
    <mergeCell ref="C2759:D2759"/>
    <mergeCell ref="A3027:A3041"/>
    <mergeCell ref="C3033:D3033"/>
    <mergeCell ref="B3035:B3037"/>
    <mergeCell ref="A3146:A3160"/>
    <mergeCell ref="A3163:A3177"/>
    <mergeCell ref="A3197:A3211"/>
    <mergeCell ref="A3214:A3228"/>
    <mergeCell ref="B3069:B3071"/>
    <mergeCell ref="A3061:A3075"/>
    <mergeCell ref="B3137:B3139"/>
    <mergeCell ref="A2686:D2686"/>
    <mergeCell ref="C2688:D2688"/>
    <mergeCell ref="C2689:D2689"/>
    <mergeCell ref="C2690:D2690"/>
    <mergeCell ref="C2692:D2692"/>
    <mergeCell ref="C2691:D2691"/>
    <mergeCell ref="B2712:B2714"/>
    <mergeCell ref="B2695:B2697"/>
    <mergeCell ref="C2742:D2742"/>
    <mergeCell ref="C2743:D2743"/>
    <mergeCell ref="C2745:D2745"/>
    <mergeCell ref="B2746:B2748"/>
    <mergeCell ref="C3181:D3181"/>
    <mergeCell ref="C3182:D3182"/>
    <mergeCell ref="A3179:D3179"/>
    <mergeCell ref="A3145:D3145"/>
    <mergeCell ref="A3077:D3077"/>
    <mergeCell ref="A3078:A3092"/>
    <mergeCell ref="C3136:D3136"/>
    <mergeCell ref="A867:D867"/>
    <mergeCell ref="A884:D884"/>
    <mergeCell ref="C1124:D1124"/>
    <mergeCell ref="C1125:D1125"/>
    <mergeCell ref="C1261:D1261"/>
    <mergeCell ref="C1262:D1262"/>
    <mergeCell ref="C1263:D1263"/>
    <mergeCell ref="C1264:D1264"/>
    <mergeCell ref="A1258:D1258"/>
    <mergeCell ref="A1241:D1241"/>
    <mergeCell ref="C1689:D1689"/>
    <mergeCell ref="C1690:D1690"/>
    <mergeCell ref="B1709:B1711"/>
    <mergeCell ref="A1701:A1715"/>
    <mergeCell ref="C1707:D1707"/>
    <mergeCell ref="C1708:D1708"/>
    <mergeCell ref="A1717:D1717"/>
    <mergeCell ref="C2470:D2470"/>
    <mergeCell ref="C2471:D2471"/>
    <mergeCell ref="C2456:D2456"/>
    <mergeCell ref="B2457:B2459"/>
    <mergeCell ref="A2465:D2465"/>
    <mergeCell ref="B2474:B2476"/>
    <mergeCell ref="B2491:B2493"/>
    <mergeCell ref="C2541:D2541"/>
    <mergeCell ref="C2791:D2791"/>
    <mergeCell ref="C2591:D2591"/>
    <mergeCell ref="C2520:D2520"/>
    <mergeCell ref="C2571:D2571"/>
    <mergeCell ref="A2669:D2669"/>
    <mergeCell ref="B2610:B2612"/>
    <mergeCell ref="B2627:B2629"/>
    <mergeCell ref="A2754:D2754"/>
    <mergeCell ref="C2744:D2744"/>
    <mergeCell ref="A2550:D2550"/>
    <mergeCell ref="C2774:D2774"/>
    <mergeCell ref="C2773:D2773"/>
    <mergeCell ref="C2777:D2777"/>
    <mergeCell ref="C2778:D2778"/>
    <mergeCell ref="C2775:D2775"/>
    <mergeCell ref="A2755:A2769"/>
    <mergeCell ref="A2670:A2684"/>
    <mergeCell ref="A2653:A2667"/>
    <mergeCell ref="A2687:A2701"/>
    <mergeCell ref="A2704:A2718"/>
    <mergeCell ref="C2521:D2521"/>
    <mergeCell ref="C2741:D2741"/>
    <mergeCell ref="C2739:D2739"/>
    <mergeCell ref="A2771:D2771"/>
    <mergeCell ref="C2727:D2727"/>
    <mergeCell ref="C2728:D2728"/>
    <mergeCell ref="C2776:D2776"/>
    <mergeCell ref="C2779:D2779"/>
    <mergeCell ref="C2725:D2725"/>
    <mergeCell ref="B2729:B2731"/>
    <mergeCell ref="C2726:D2726"/>
    <mergeCell ref="C2705:D2705"/>
    <mergeCell ref="A1479:D1479"/>
    <mergeCell ref="A1496:D1496"/>
    <mergeCell ref="C1483:D1483"/>
    <mergeCell ref="C1484:D1484"/>
    <mergeCell ref="C1487:D1487"/>
    <mergeCell ref="B1488:B1490"/>
    <mergeCell ref="B2372:B2374"/>
    <mergeCell ref="B2338:B2340"/>
    <mergeCell ref="B2440:B2442"/>
    <mergeCell ref="C2467:D2467"/>
    <mergeCell ref="C2468:D2468"/>
    <mergeCell ref="C2469:D2469"/>
    <mergeCell ref="C2473:D2473"/>
    <mergeCell ref="A2466:A2480"/>
    <mergeCell ref="A2516:D2516"/>
    <mergeCell ref="C2573:D2573"/>
    <mergeCell ref="C2574:D2574"/>
    <mergeCell ref="C1925:D1925"/>
    <mergeCell ref="C1912:D1912"/>
    <mergeCell ref="C1741:D1741"/>
    <mergeCell ref="C1634:D1634"/>
    <mergeCell ref="C1635:D1635"/>
    <mergeCell ref="C1622:D1622"/>
    <mergeCell ref="C1621:D1621"/>
    <mergeCell ref="C1620:D1620"/>
    <mergeCell ref="B1624:B1626"/>
    <mergeCell ref="B1641:B1643"/>
    <mergeCell ref="C2115:D2115"/>
    <mergeCell ref="C2110:D2110"/>
    <mergeCell ref="C2111:D2111"/>
    <mergeCell ref="C2112:D2112"/>
    <mergeCell ref="C2113:D2113"/>
    <mergeCell ref="C1617:D1617"/>
    <mergeCell ref="C1600:D1600"/>
    <mergeCell ref="C1601:D1601"/>
    <mergeCell ref="C1602:D1602"/>
    <mergeCell ref="C1604:D1604"/>
    <mergeCell ref="C1603:D1603"/>
    <mergeCell ref="C1605:D1605"/>
    <mergeCell ref="C1606:D1606"/>
    <mergeCell ref="A1599:A1613"/>
    <mergeCell ref="C2706:D2706"/>
    <mergeCell ref="C2707:D2707"/>
    <mergeCell ref="C2711:D2711"/>
    <mergeCell ref="C2693:D2693"/>
    <mergeCell ref="A3112:A3126"/>
    <mergeCell ref="A3129:A3143"/>
    <mergeCell ref="A613:A627"/>
    <mergeCell ref="A630:A644"/>
    <mergeCell ref="A647:A661"/>
    <mergeCell ref="A664:A678"/>
    <mergeCell ref="A681:A695"/>
    <mergeCell ref="A2568:A2582"/>
    <mergeCell ref="A2517:A2531"/>
    <mergeCell ref="A2500:A2514"/>
    <mergeCell ref="A2738:A2752"/>
    <mergeCell ref="A2483:A2497"/>
    <mergeCell ref="A2534:A2548"/>
    <mergeCell ref="A2551:A2565"/>
    <mergeCell ref="A2585:A2599"/>
    <mergeCell ref="A2619:A2633"/>
    <mergeCell ref="A2636:A2650"/>
    <mergeCell ref="A850:D850"/>
    <mergeCell ref="C1619:D1619"/>
    <mergeCell ref="C1501:D1501"/>
    <mergeCell ref="C1502:D1502"/>
    <mergeCell ref="B1505:B1507"/>
    <mergeCell ref="C1503:D1503"/>
    <mergeCell ref="C1504:D1504"/>
    <mergeCell ref="A1513:D1513"/>
    <mergeCell ref="C1515:D1515"/>
    <mergeCell ref="C1517:D1517"/>
    <mergeCell ref="C1519:D1519"/>
    <mergeCell ref="C1638:D1638"/>
    <mergeCell ref="C1639:D1639"/>
    <mergeCell ref="C1652:D1652"/>
    <mergeCell ref="C1653:D1653"/>
    <mergeCell ref="C890:D890"/>
    <mergeCell ref="A918:D918"/>
    <mergeCell ref="A935:D935"/>
    <mergeCell ref="C937:D937"/>
    <mergeCell ref="B910:B912"/>
    <mergeCell ref="B927:B929"/>
    <mergeCell ref="C942:D942"/>
    <mergeCell ref="C920:D920"/>
    <mergeCell ref="C921:D921"/>
    <mergeCell ref="C922:D922"/>
    <mergeCell ref="C923:D923"/>
    <mergeCell ref="C926:D926"/>
    <mergeCell ref="C924:D924"/>
    <mergeCell ref="C925:D925"/>
    <mergeCell ref="B1590:B1592"/>
    <mergeCell ref="A1598:D1598"/>
    <mergeCell ref="B1607:B1609"/>
    <mergeCell ref="A1615:D1615"/>
    <mergeCell ref="C1618:D1618"/>
    <mergeCell ref="C1585:D1585"/>
    <mergeCell ref="C1572:D1572"/>
    <mergeCell ref="C1571:D1571"/>
    <mergeCell ref="C1566:D1566"/>
    <mergeCell ref="C1567:D1567"/>
    <mergeCell ref="C1553:D1553"/>
    <mergeCell ref="C1583:D1583"/>
    <mergeCell ref="C1584:D1584"/>
    <mergeCell ref="C1569:D1569"/>
    <mergeCell ref="C1537:D1537"/>
    <mergeCell ref="C1538:D1538"/>
    <mergeCell ref="C1549:D1549"/>
    <mergeCell ref="C1550:D1550"/>
    <mergeCell ref="A1582:A1596"/>
    <mergeCell ref="C1518:D1518"/>
    <mergeCell ref="C1520:D1520"/>
    <mergeCell ref="C1521:D1521"/>
    <mergeCell ref="C1586:D1586"/>
    <mergeCell ref="C1587:D1587"/>
    <mergeCell ref="C1588:D1588"/>
    <mergeCell ref="C1589:D1589"/>
    <mergeCell ref="A1564:D1564"/>
    <mergeCell ref="B1573:B1575"/>
    <mergeCell ref="A1581:D1581"/>
    <mergeCell ref="B1539:B1541"/>
    <mergeCell ref="B1556:B1558"/>
    <mergeCell ref="C1536:D1536"/>
    <mergeCell ref="C1532:D1532"/>
    <mergeCell ref="C1533:D1533"/>
    <mergeCell ref="C1534:D1534"/>
    <mergeCell ref="C1535:D1535"/>
    <mergeCell ref="C1516:D1516"/>
    <mergeCell ref="A1530:D1530"/>
    <mergeCell ref="A1547:D1547"/>
    <mergeCell ref="B1522:B1524"/>
    <mergeCell ref="C1570:D1570"/>
    <mergeCell ref="C1551:D1551"/>
    <mergeCell ref="C1552:D1552"/>
    <mergeCell ref="C1554:D1554"/>
    <mergeCell ref="C1555:D1555"/>
    <mergeCell ref="C1568:D1568"/>
    <mergeCell ref="C1279:D1279"/>
    <mergeCell ref="C1280:D1280"/>
    <mergeCell ref="C1283:D1283"/>
    <mergeCell ref="B1284:B1286"/>
    <mergeCell ref="C1413:D1413"/>
    <mergeCell ref="C1451:D1451"/>
    <mergeCell ref="C1452:D1452"/>
    <mergeCell ref="A1428:D1428"/>
    <mergeCell ref="C1298:D1298"/>
    <mergeCell ref="A1292:D1292"/>
    <mergeCell ref="C1294:D1294"/>
    <mergeCell ref="C1295:D1295"/>
    <mergeCell ref="C1401:D1401"/>
    <mergeCell ref="C1382:D1382"/>
    <mergeCell ref="C1383:D1383"/>
    <mergeCell ref="C1384:D1384"/>
    <mergeCell ref="C1385:D1385"/>
    <mergeCell ref="A1377:D1377"/>
    <mergeCell ref="B1386:B1388"/>
    <mergeCell ref="C1432:D1432"/>
    <mergeCell ref="C1435:D1435"/>
    <mergeCell ref="C1436:D1436"/>
    <mergeCell ref="C1277:D1277"/>
    <mergeCell ref="C1278:D1278"/>
    <mergeCell ref="C1266:D1266"/>
    <mergeCell ref="B1301:B1303"/>
    <mergeCell ref="C1299:D1299"/>
    <mergeCell ref="C1300:D1300"/>
    <mergeCell ref="A1275:D1275"/>
    <mergeCell ref="B1267:B1269"/>
    <mergeCell ref="C1482:D1482"/>
    <mergeCell ref="C1485:D1485"/>
    <mergeCell ref="C1500:D1500"/>
    <mergeCell ref="C1498:D1498"/>
    <mergeCell ref="C1499:D1499"/>
    <mergeCell ref="C1453:D1453"/>
    <mergeCell ref="B1454:B1456"/>
    <mergeCell ref="C1464:D1464"/>
    <mergeCell ref="C1469:D1469"/>
    <mergeCell ref="C1481:D1481"/>
    <mergeCell ref="C1486:D1486"/>
    <mergeCell ref="C1470:D1470"/>
    <mergeCell ref="A1462:D1462"/>
    <mergeCell ref="A1445:D1445"/>
    <mergeCell ref="C1449:D1449"/>
    <mergeCell ref="C1450:D1450"/>
    <mergeCell ref="C1415:D1415"/>
    <mergeCell ref="C1416:D1416"/>
    <mergeCell ref="B1420:B1422"/>
    <mergeCell ref="B1437:B1439"/>
    <mergeCell ref="C1402:D1402"/>
    <mergeCell ref="B1403:B1405"/>
    <mergeCell ref="A1411:D1411"/>
    <mergeCell ref="C1414:D1414"/>
    <mergeCell ref="C1418:D1418"/>
    <mergeCell ref="C1417:D1417"/>
    <mergeCell ref="A1309:D1309"/>
    <mergeCell ref="C1311:D1311"/>
    <mergeCell ref="C1312:D1312"/>
    <mergeCell ref="C1362:D1362"/>
    <mergeCell ref="C1363:D1363"/>
    <mergeCell ref="A1360:D1360"/>
    <mergeCell ref="B1352:B1354"/>
    <mergeCell ref="C1366:D1366"/>
    <mergeCell ref="C1367:D1367"/>
    <mergeCell ref="C1364:D1364"/>
    <mergeCell ref="C1365:D1365"/>
    <mergeCell ref="C1381:D1381"/>
    <mergeCell ref="C1379:D1379"/>
    <mergeCell ref="C1380:D1380"/>
    <mergeCell ref="C1368:D1368"/>
    <mergeCell ref="B1369:B1371"/>
    <mergeCell ref="C1400:D1400"/>
    <mergeCell ref="C1281:D1281"/>
    <mergeCell ref="C1282:D1282"/>
    <mergeCell ref="C1248:D1248"/>
    <mergeCell ref="C1249:D1249"/>
    <mergeCell ref="B1250:B1252"/>
    <mergeCell ref="C1260:D1260"/>
    <mergeCell ref="C1296:D1296"/>
    <mergeCell ref="C1297:D1297"/>
    <mergeCell ref="C1265:D1265"/>
    <mergeCell ref="A1343:D1343"/>
    <mergeCell ref="C1349:D1349"/>
    <mergeCell ref="C1345:D1345"/>
    <mergeCell ref="C1346:D1346"/>
    <mergeCell ref="C1347:D1347"/>
    <mergeCell ref="C1348:D1348"/>
    <mergeCell ref="C1350:D1350"/>
    <mergeCell ref="C1351:D1351"/>
    <mergeCell ref="A1326:D1326"/>
    <mergeCell ref="C1333:D1333"/>
    <mergeCell ref="C1332:D1332"/>
    <mergeCell ref="C1328:D1328"/>
    <mergeCell ref="C1329:D1329"/>
    <mergeCell ref="C1330:D1330"/>
    <mergeCell ref="C1331:D1331"/>
    <mergeCell ref="C1334:D1334"/>
    <mergeCell ref="B1335:B1337"/>
    <mergeCell ref="C1313:D1313"/>
    <mergeCell ref="B1318:B1320"/>
    <mergeCell ref="C1315:D1315"/>
    <mergeCell ref="C1316:D1316"/>
    <mergeCell ref="C1314:D1314"/>
    <mergeCell ref="C1317:D1317"/>
    <mergeCell ref="C1127:D1127"/>
    <mergeCell ref="C1129:D1129"/>
    <mergeCell ref="C1130:D1130"/>
    <mergeCell ref="B1148:B1150"/>
    <mergeCell ref="C1145:D1145"/>
    <mergeCell ref="C1146:D1146"/>
    <mergeCell ref="C1147:D1147"/>
    <mergeCell ref="C1141:D1141"/>
    <mergeCell ref="C1142:D1142"/>
    <mergeCell ref="C1143:D1143"/>
    <mergeCell ref="C1144:D1144"/>
    <mergeCell ref="C1059:D1059"/>
    <mergeCell ref="A1054:D1054"/>
    <mergeCell ref="A1037:D1037"/>
    <mergeCell ref="B1131:B1133"/>
    <mergeCell ref="C1128:D1128"/>
    <mergeCell ref="A1139:D1139"/>
    <mergeCell ref="B1097:B1099"/>
    <mergeCell ref="C1111:D1111"/>
    <mergeCell ref="C1110:D1110"/>
    <mergeCell ref="C1073:D1073"/>
    <mergeCell ref="C1074:D1074"/>
    <mergeCell ref="C1077:D1077"/>
    <mergeCell ref="C1078:D1078"/>
    <mergeCell ref="A1071:D1071"/>
    <mergeCell ref="A1088:D1088"/>
    <mergeCell ref="C1075:D1075"/>
    <mergeCell ref="C1076:D1076"/>
    <mergeCell ref="C1079:D1079"/>
    <mergeCell ref="B1080:B1082"/>
    <mergeCell ref="B1063:B1065"/>
    <mergeCell ref="C1095:D1095"/>
    <mergeCell ref="C1230:D1230"/>
    <mergeCell ref="C1231:D1231"/>
    <mergeCell ref="B1233:B1235"/>
    <mergeCell ref="A1225:A1239"/>
    <mergeCell ref="C1215:D1215"/>
    <mergeCell ref="C1214:D1214"/>
    <mergeCell ref="B1216:B1218"/>
    <mergeCell ref="A1208:A1222"/>
    <mergeCell ref="A1224:D1224"/>
    <mergeCell ref="C1244:D1244"/>
    <mergeCell ref="C1245:D1245"/>
    <mergeCell ref="C1210:D1210"/>
    <mergeCell ref="C1211:D1211"/>
    <mergeCell ref="C1247:D1247"/>
    <mergeCell ref="C1243:D1243"/>
    <mergeCell ref="C1229:D1229"/>
    <mergeCell ref="C1228:D1228"/>
    <mergeCell ref="C1232:D1232"/>
    <mergeCell ref="C1213:D1213"/>
    <mergeCell ref="C1246:D1246"/>
    <mergeCell ref="C1212:D1212"/>
    <mergeCell ref="C1198:D1198"/>
    <mergeCell ref="B1182:B1184"/>
    <mergeCell ref="A1190:D1190"/>
    <mergeCell ref="C1192:D1192"/>
    <mergeCell ref="C1193:D1193"/>
    <mergeCell ref="C1194:D1194"/>
    <mergeCell ref="C1196:D1196"/>
    <mergeCell ref="C1195:D1195"/>
    <mergeCell ref="C1178:D1178"/>
    <mergeCell ref="C1179:D1179"/>
    <mergeCell ref="C1180:D1180"/>
    <mergeCell ref="B1199:B1201"/>
    <mergeCell ref="A1207:D1207"/>
    <mergeCell ref="C1181:D1181"/>
    <mergeCell ref="C1209:D1209"/>
    <mergeCell ref="C1226:D1226"/>
    <mergeCell ref="C1227:D1227"/>
    <mergeCell ref="A1174:A1188"/>
    <mergeCell ref="A1191:A1205"/>
    <mergeCell ref="C1161:D1161"/>
    <mergeCell ref="C1162:D1162"/>
    <mergeCell ref="C1175:D1175"/>
    <mergeCell ref="A1173:D1173"/>
    <mergeCell ref="C1158:D1158"/>
    <mergeCell ref="C1159:D1159"/>
    <mergeCell ref="C1160:D1160"/>
    <mergeCell ref="C1177:D1177"/>
    <mergeCell ref="C1176:D1176"/>
    <mergeCell ref="A1156:D1156"/>
    <mergeCell ref="C1164:D1164"/>
    <mergeCell ref="B1165:B1167"/>
    <mergeCell ref="C1163:D1163"/>
    <mergeCell ref="C1197:D1197"/>
    <mergeCell ref="A1089:A1103"/>
    <mergeCell ref="A1157:A1171"/>
    <mergeCell ref="A1106:A1120"/>
    <mergeCell ref="A1123:A1137"/>
    <mergeCell ref="A1140:A1154"/>
    <mergeCell ref="C1090:D1090"/>
    <mergeCell ref="C1091:D1091"/>
    <mergeCell ref="C1092:D1092"/>
    <mergeCell ref="C1093:D1093"/>
    <mergeCell ref="C1112:D1112"/>
    <mergeCell ref="C1113:D1113"/>
    <mergeCell ref="A1105:D1105"/>
    <mergeCell ref="C1107:D1107"/>
    <mergeCell ref="C1108:D1108"/>
    <mergeCell ref="C1109:D1109"/>
    <mergeCell ref="A1122:D1122"/>
    <mergeCell ref="B1114:B1116"/>
    <mergeCell ref="C1126:D1126"/>
    <mergeCell ref="C1096:D1096"/>
    <mergeCell ref="C1060:D1060"/>
    <mergeCell ref="C1061:D1061"/>
    <mergeCell ref="C1094:D1094"/>
    <mergeCell ref="C1062:D1062"/>
    <mergeCell ref="A1072:A1086"/>
    <mergeCell ref="A1055:A1069"/>
    <mergeCell ref="C1040:D1040"/>
    <mergeCell ref="C1011:D1011"/>
    <mergeCell ref="C1057:D1057"/>
    <mergeCell ref="C1058:D1058"/>
    <mergeCell ref="C1043:D1043"/>
    <mergeCell ref="C1044:D1044"/>
    <mergeCell ref="C1025:D1025"/>
    <mergeCell ref="C1022:D1022"/>
    <mergeCell ref="C1041:D1041"/>
    <mergeCell ref="C1042:D1042"/>
    <mergeCell ref="C1045:D1045"/>
    <mergeCell ref="B1046:B1048"/>
    <mergeCell ref="C1056:D1056"/>
    <mergeCell ref="A1004:A1018"/>
    <mergeCell ref="A1021:A1035"/>
    <mergeCell ref="A1038:A1052"/>
    <mergeCell ref="A1020:D1020"/>
    <mergeCell ref="C1039:D1039"/>
    <mergeCell ref="C1026:D1026"/>
    <mergeCell ref="C1027:D1027"/>
    <mergeCell ref="C1028:D1028"/>
    <mergeCell ref="C1023:D1023"/>
    <mergeCell ref="C1024:D1024"/>
    <mergeCell ref="C1010:D1010"/>
    <mergeCell ref="C1009:D1009"/>
    <mergeCell ref="B1012:B1014"/>
    <mergeCell ref="B1029:B1031"/>
    <mergeCell ref="B978:B980"/>
    <mergeCell ref="C974:D974"/>
    <mergeCell ref="C975:D975"/>
    <mergeCell ref="C976:D976"/>
    <mergeCell ref="C977:D977"/>
    <mergeCell ref="C993:D993"/>
    <mergeCell ref="C994:D994"/>
    <mergeCell ref="B995:B997"/>
    <mergeCell ref="C1007:D1007"/>
    <mergeCell ref="C1006:D1006"/>
    <mergeCell ref="C1008:D1008"/>
    <mergeCell ref="C992:D992"/>
    <mergeCell ref="A970:A984"/>
    <mergeCell ref="A987:A1001"/>
    <mergeCell ref="A851:A865"/>
    <mergeCell ref="A868:A882"/>
    <mergeCell ref="A902:A916"/>
    <mergeCell ref="A919:A933"/>
    <mergeCell ref="A936:A950"/>
    <mergeCell ref="C907:D907"/>
    <mergeCell ref="C908:D908"/>
    <mergeCell ref="C909:D909"/>
    <mergeCell ref="A901:D901"/>
    <mergeCell ref="C888:D888"/>
    <mergeCell ref="C889:D889"/>
    <mergeCell ref="C869:D869"/>
    <mergeCell ref="C870:D870"/>
    <mergeCell ref="C938:D938"/>
    <mergeCell ref="C852:D852"/>
    <mergeCell ref="C886:D886"/>
    <mergeCell ref="C943:D943"/>
    <mergeCell ref="C956:D956"/>
    <mergeCell ref="C957:D957"/>
    <mergeCell ref="B944:B946"/>
    <mergeCell ref="B859:B861"/>
    <mergeCell ref="C887:D887"/>
    <mergeCell ref="C871:D871"/>
    <mergeCell ref="C872:D872"/>
    <mergeCell ref="C875:D875"/>
    <mergeCell ref="C939:D939"/>
    <mergeCell ref="C940:D940"/>
    <mergeCell ref="C906:D906"/>
    <mergeCell ref="C903:D903"/>
    <mergeCell ref="C739:D739"/>
    <mergeCell ref="C703:D703"/>
    <mergeCell ref="C704:D704"/>
    <mergeCell ref="A680:D680"/>
    <mergeCell ref="A953:A967"/>
    <mergeCell ref="A834:A848"/>
    <mergeCell ref="B876:B878"/>
    <mergeCell ref="C853:D853"/>
    <mergeCell ref="C854:D854"/>
    <mergeCell ref="C855:D855"/>
    <mergeCell ref="C856:D856"/>
    <mergeCell ref="C736:D736"/>
    <mergeCell ref="C789:D789"/>
    <mergeCell ref="C790:D790"/>
    <mergeCell ref="B791:B793"/>
    <mergeCell ref="C750:D750"/>
    <mergeCell ref="C803:D803"/>
    <mergeCell ref="C804:D804"/>
    <mergeCell ref="C719:D719"/>
    <mergeCell ref="C971:D971"/>
    <mergeCell ref="A969:D969"/>
    <mergeCell ref="C973:D973"/>
    <mergeCell ref="C972:D972"/>
    <mergeCell ref="A952:D952"/>
    <mergeCell ref="C960:D960"/>
    <mergeCell ref="B961:B963"/>
    <mergeCell ref="C958:D958"/>
    <mergeCell ref="C959:D959"/>
    <mergeCell ref="C841:D841"/>
    <mergeCell ref="B842:B844"/>
    <mergeCell ref="C904:D904"/>
    <mergeCell ref="C905:D905"/>
    <mergeCell ref="A816:D816"/>
    <mergeCell ref="C819:D819"/>
    <mergeCell ref="C806:D806"/>
    <mergeCell ref="B808:B810"/>
    <mergeCell ref="B825:B827"/>
    <mergeCell ref="A833:D833"/>
    <mergeCell ref="A800:A814"/>
    <mergeCell ref="C823:D823"/>
    <mergeCell ref="C836:D836"/>
    <mergeCell ref="C837:D837"/>
    <mergeCell ref="C839:D839"/>
    <mergeCell ref="C840:D840"/>
    <mergeCell ref="C835:D835"/>
    <mergeCell ref="C807:D807"/>
    <mergeCell ref="C821:D821"/>
    <mergeCell ref="C820:D820"/>
    <mergeCell ref="C824:D824"/>
    <mergeCell ref="C838:D838"/>
    <mergeCell ref="C805:D805"/>
    <mergeCell ref="A986:D986"/>
    <mergeCell ref="C988:D988"/>
    <mergeCell ref="C989:D989"/>
    <mergeCell ref="C990:D990"/>
    <mergeCell ref="C991:D991"/>
    <mergeCell ref="A1003:D1003"/>
    <mergeCell ref="C1005:D1005"/>
    <mergeCell ref="A476:D476"/>
    <mergeCell ref="A698:A712"/>
    <mergeCell ref="A715:A729"/>
    <mergeCell ref="C702:D702"/>
    <mergeCell ref="C705:D705"/>
    <mergeCell ref="A697:D697"/>
    <mergeCell ref="A714:D714"/>
    <mergeCell ref="A782:D782"/>
    <mergeCell ref="C784:D784"/>
    <mergeCell ref="A732:A746"/>
    <mergeCell ref="C770:D770"/>
    <mergeCell ref="C771:D771"/>
    <mergeCell ref="C772:D772"/>
    <mergeCell ref="C773:D773"/>
    <mergeCell ref="B774:B776"/>
    <mergeCell ref="A766:A780"/>
    <mergeCell ref="A731:D731"/>
    <mergeCell ref="C737:D737"/>
    <mergeCell ref="C733:D733"/>
    <mergeCell ref="C734:D734"/>
    <mergeCell ref="C735:D735"/>
    <mergeCell ref="C685:D685"/>
    <mergeCell ref="C686:D686"/>
    <mergeCell ref="C687:D687"/>
    <mergeCell ref="C822:D822"/>
    <mergeCell ref="A799:D799"/>
    <mergeCell ref="C802:D802"/>
    <mergeCell ref="C801:D801"/>
    <mergeCell ref="C785:D785"/>
    <mergeCell ref="C786:D786"/>
    <mergeCell ref="C788:D788"/>
    <mergeCell ref="C787:D787"/>
    <mergeCell ref="C184:D184"/>
    <mergeCell ref="C228:D228"/>
    <mergeCell ref="C599:D599"/>
    <mergeCell ref="A561:D561"/>
    <mergeCell ref="A545:A559"/>
    <mergeCell ref="B570:B572"/>
    <mergeCell ref="A578:D578"/>
    <mergeCell ref="C580:D580"/>
    <mergeCell ref="C581:D581"/>
    <mergeCell ref="C582:D582"/>
    <mergeCell ref="C584:D584"/>
    <mergeCell ref="C583:D583"/>
    <mergeCell ref="C585:D585"/>
    <mergeCell ref="C586:D586"/>
    <mergeCell ref="C567:D567"/>
    <mergeCell ref="C568:D568"/>
    <mergeCell ref="C651:D651"/>
    <mergeCell ref="C342:D342"/>
    <mergeCell ref="C343:D343"/>
    <mergeCell ref="A324:A338"/>
    <mergeCell ref="A341:A355"/>
    <mergeCell ref="B332:B334"/>
    <mergeCell ref="B349:B351"/>
    <mergeCell ref="A323:D323"/>
    <mergeCell ref="C399:D399"/>
    <mergeCell ref="C377:D377"/>
    <mergeCell ref="C378:D378"/>
    <mergeCell ref="C379:D379"/>
    <mergeCell ref="C380:D380"/>
    <mergeCell ref="C362:D362"/>
    <mergeCell ref="C309:D309"/>
    <mergeCell ref="C310:D310"/>
    <mergeCell ref="C652:D652"/>
    <mergeCell ref="A646:D646"/>
    <mergeCell ref="A629:D629"/>
    <mergeCell ref="A612:D612"/>
    <mergeCell ref="B655:B657"/>
    <mergeCell ref="C654:D654"/>
    <mergeCell ref="C653:D653"/>
    <mergeCell ref="A562:A576"/>
    <mergeCell ref="A579:A593"/>
    <mergeCell ref="C416:D416"/>
    <mergeCell ref="C427:D427"/>
    <mergeCell ref="C415:D415"/>
    <mergeCell ref="C414:D414"/>
    <mergeCell ref="B519:B521"/>
    <mergeCell ref="A527:D527"/>
    <mergeCell ref="C516:D516"/>
    <mergeCell ref="C512:D512"/>
    <mergeCell ref="C513:D513"/>
    <mergeCell ref="C514:D514"/>
    <mergeCell ref="C515:D515"/>
    <mergeCell ref="C533:D533"/>
    <mergeCell ref="C529:D529"/>
    <mergeCell ref="C479:D479"/>
    <mergeCell ref="C480:D480"/>
    <mergeCell ref="C466:D466"/>
    <mergeCell ref="C483:D483"/>
    <mergeCell ref="C429:D429"/>
    <mergeCell ref="C430:D430"/>
    <mergeCell ref="A425:D425"/>
    <mergeCell ref="C636:D636"/>
    <mergeCell ref="C631:D631"/>
    <mergeCell ref="C363:D363"/>
    <mergeCell ref="C361:D361"/>
    <mergeCell ref="B232:B234"/>
    <mergeCell ref="C231:D231"/>
    <mergeCell ref="A224:A238"/>
    <mergeCell ref="A340:D340"/>
    <mergeCell ref="A241:A255"/>
    <mergeCell ref="A257:D257"/>
    <mergeCell ref="A290:A304"/>
    <mergeCell ref="C344:D344"/>
    <mergeCell ref="C345:D345"/>
    <mergeCell ref="C348:D348"/>
    <mergeCell ref="C347:D347"/>
    <mergeCell ref="C346:D346"/>
    <mergeCell ref="C292:D292"/>
    <mergeCell ref="C293:D293"/>
    <mergeCell ref="C260:D260"/>
    <mergeCell ref="C265:D265"/>
    <mergeCell ref="C295:D295"/>
    <mergeCell ref="C294:D294"/>
    <mergeCell ref="C296:D296"/>
    <mergeCell ref="C297:D297"/>
    <mergeCell ref="C248:D248"/>
    <mergeCell ref="C247:D247"/>
    <mergeCell ref="A240:D240"/>
    <mergeCell ref="C244:D244"/>
    <mergeCell ref="C242:D242"/>
    <mergeCell ref="C243:D243"/>
    <mergeCell ref="C245:D245"/>
    <mergeCell ref="C246:D246"/>
    <mergeCell ref="C229:D229"/>
    <mergeCell ref="C230:D230"/>
    <mergeCell ref="B249:B251"/>
    <mergeCell ref="B266:B268"/>
    <mergeCell ref="C259:D259"/>
    <mergeCell ref="A274:C274"/>
    <mergeCell ref="C261:D261"/>
    <mergeCell ref="C262:D262"/>
    <mergeCell ref="C263:D263"/>
    <mergeCell ref="C264:D264"/>
    <mergeCell ref="C312:D312"/>
    <mergeCell ref="C313:D313"/>
    <mergeCell ref="C330:D330"/>
    <mergeCell ref="C311:D311"/>
    <mergeCell ref="C314:D314"/>
    <mergeCell ref="C329:D329"/>
    <mergeCell ref="C325:D325"/>
    <mergeCell ref="C326:D326"/>
    <mergeCell ref="C327:D327"/>
    <mergeCell ref="C328:D328"/>
    <mergeCell ref="B315:B317"/>
    <mergeCell ref="C331:D331"/>
    <mergeCell ref="C308:D308"/>
    <mergeCell ref="A307:A321"/>
    <mergeCell ref="A306:D306"/>
    <mergeCell ref="A289:D289"/>
    <mergeCell ref="C291:D291"/>
    <mergeCell ref="A258:A272"/>
    <mergeCell ref="A275:A287"/>
    <mergeCell ref="B298:B300"/>
    <mergeCell ref="C634:D634"/>
    <mergeCell ref="C600:D600"/>
    <mergeCell ref="C566:D566"/>
    <mergeCell ref="B604:B606"/>
    <mergeCell ref="C637:D637"/>
    <mergeCell ref="B638:B640"/>
    <mergeCell ref="C648:D648"/>
    <mergeCell ref="C649:D649"/>
    <mergeCell ref="C376:D376"/>
    <mergeCell ref="C360:D360"/>
    <mergeCell ref="B366:B368"/>
    <mergeCell ref="A358:A372"/>
    <mergeCell ref="A357:D357"/>
    <mergeCell ref="C359:D359"/>
    <mergeCell ref="C365:D365"/>
    <mergeCell ref="A374:D374"/>
    <mergeCell ref="C364:D364"/>
    <mergeCell ref="A528:A542"/>
    <mergeCell ref="C530:D530"/>
    <mergeCell ref="C531:D531"/>
    <mergeCell ref="A596:A610"/>
    <mergeCell ref="C597:D597"/>
    <mergeCell ref="C635:D635"/>
    <mergeCell ref="C632:D632"/>
    <mergeCell ref="B621:B623"/>
    <mergeCell ref="A442:D442"/>
    <mergeCell ref="A493:D493"/>
    <mergeCell ref="A477:A491"/>
    <mergeCell ref="C481:D481"/>
    <mergeCell ref="C650:D650"/>
    <mergeCell ref="B417:B419"/>
    <mergeCell ref="A408:D408"/>
    <mergeCell ref="C410:D410"/>
    <mergeCell ref="C428:D428"/>
    <mergeCell ref="C413:D413"/>
    <mergeCell ref="C569:D569"/>
    <mergeCell ref="C603:D603"/>
    <mergeCell ref="C618:D618"/>
    <mergeCell ref="C617:D617"/>
    <mergeCell ref="C614:D614"/>
    <mergeCell ref="C615:D615"/>
    <mergeCell ref="C616:D616"/>
    <mergeCell ref="C619:D619"/>
    <mergeCell ref="C620:D620"/>
    <mergeCell ref="C602:D602"/>
    <mergeCell ref="C601:D601"/>
    <mergeCell ref="C633:D633"/>
    <mergeCell ref="C461:D461"/>
    <mergeCell ref="A459:D459"/>
    <mergeCell ref="C463:D463"/>
    <mergeCell ref="B587:B589"/>
    <mergeCell ref="A595:D595"/>
    <mergeCell ref="C598:D598"/>
    <mergeCell ref="B502:B504"/>
    <mergeCell ref="C501:D501"/>
    <mergeCell ref="C534:D534"/>
    <mergeCell ref="C535:D535"/>
    <mergeCell ref="C495:D495"/>
    <mergeCell ref="C496:D496"/>
    <mergeCell ref="A510:D510"/>
    <mergeCell ref="A494:A508"/>
    <mergeCell ref="B536:B538"/>
    <mergeCell ref="C517:D517"/>
    <mergeCell ref="C518:D518"/>
    <mergeCell ref="C546:D546"/>
    <mergeCell ref="C547:D547"/>
    <mergeCell ref="C550:D550"/>
    <mergeCell ref="C548:D548"/>
    <mergeCell ref="C549:D549"/>
    <mergeCell ref="C565:D565"/>
    <mergeCell ref="C563:D563"/>
    <mergeCell ref="C564:D564"/>
    <mergeCell ref="C552:D552"/>
    <mergeCell ref="C551:D551"/>
    <mergeCell ref="A544:D544"/>
    <mergeCell ref="B553:B555"/>
    <mergeCell ref="C497:D497"/>
    <mergeCell ref="C498:D498"/>
    <mergeCell ref="A511:A525"/>
    <mergeCell ref="C464:D464"/>
    <mergeCell ref="C447:D447"/>
    <mergeCell ref="C465:D465"/>
    <mergeCell ref="C532:D532"/>
    <mergeCell ref="C499:D499"/>
    <mergeCell ref="C500:D500"/>
    <mergeCell ref="C433:D433"/>
    <mergeCell ref="B434:B436"/>
    <mergeCell ref="C444:D444"/>
    <mergeCell ref="C445:D445"/>
    <mergeCell ref="C446:D446"/>
    <mergeCell ref="C432:D432"/>
    <mergeCell ref="A409:A423"/>
    <mergeCell ref="A426:A440"/>
    <mergeCell ref="A375:A389"/>
    <mergeCell ref="A392:A406"/>
    <mergeCell ref="A443:A457"/>
    <mergeCell ref="A460:A474"/>
    <mergeCell ref="B383:B385"/>
    <mergeCell ref="C381:D381"/>
    <mergeCell ref="C382:D382"/>
    <mergeCell ref="B400:B402"/>
    <mergeCell ref="A391:D391"/>
    <mergeCell ref="C396:D396"/>
    <mergeCell ref="C397:D397"/>
    <mergeCell ref="C393:D393"/>
    <mergeCell ref="C394:D394"/>
    <mergeCell ref="C395:D395"/>
    <mergeCell ref="C398:D398"/>
    <mergeCell ref="C448:D448"/>
    <mergeCell ref="C449:D449"/>
    <mergeCell ref="C431:D4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057"/>
  <sheetViews>
    <sheetView topLeftCell="A23899" workbookViewId="0">
      <selection activeCell="D23924" sqref="D23924"/>
    </sheetView>
  </sheetViews>
  <sheetFormatPr defaultColWidth="14.42578125" defaultRowHeight="15" customHeight="1" x14ac:dyDescent="0.2"/>
  <cols>
    <col min="1" max="1" width="17.85546875" style="12" customWidth="1"/>
    <col min="2" max="2" width="13.28515625" style="12" customWidth="1"/>
    <col min="3" max="3" width="9" style="18" customWidth="1"/>
    <col min="4" max="4" width="11" style="12" customWidth="1"/>
    <col min="5" max="26" width="8" customWidth="1"/>
  </cols>
  <sheetData>
    <row r="1" spans="1:4" ht="12.75" customHeight="1" x14ac:dyDescent="0.2">
      <c r="A1" s="13" t="s">
        <v>2598</v>
      </c>
      <c r="C1" s="12"/>
    </row>
    <row r="2" spans="1:4" ht="12.75" customHeight="1" x14ac:dyDescent="0.2">
      <c r="A2" s="11"/>
      <c r="B2" s="2"/>
      <c r="C2" s="15"/>
      <c r="D2" s="2"/>
    </row>
    <row r="3" spans="1:4" ht="12.75" customHeight="1" x14ac:dyDescent="0.2">
      <c r="B3" s="11" t="s">
        <v>0</v>
      </c>
      <c r="C3" s="11" t="s">
        <v>1</v>
      </c>
    </row>
    <row r="4" spans="1:4" ht="12.75" customHeight="1" x14ac:dyDescent="0.2">
      <c r="B4" s="11" t="s">
        <v>2599</v>
      </c>
      <c r="C4" s="11" t="s">
        <v>5</v>
      </c>
    </row>
    <row r="5" spans="1:4" ht="25.5" customHeight="1" x14ac:dyDescent="0.2">
      <c r="B5" s="11" t="s">
        <v>2600</v>
      </c>
      <c r="C5" s="11" t="s">
        <v>5</v>
      </c>
    </row>
    <row r="6" spans="1:4" ht="25.5" customHeight="1" x14ac:dyDescent="0.2">
      <c r="B6" s="11" t="s">
        <v>2601</v>
      </c>
      <c r="C6" s="11"/>
    </row>
    <row r="7" spans="1:4" ht="12.75" customHeight="1" x14ac:dyDescent="0.2">
      <c r="B7" s="11" t="s">
        <v>16</v>
      </c>
      <c r="C7" s="11"/>
    </row>
    <row r="8" spans="1:4" ht="12.75" customHeight="1" x14ac:dyDescent="0.2">
      <c r="B8" s="11" t="s">
        <v>13</v>
      </c>
      <c r="C8" s="11" t="s">
        <v>2602</v>
      </c>
    </row>
    <row r="9" spans="1:4" ht="12.75" customHeight="1" x14ac:dyDescent="0.2">
      <c r="B9" s="11" t="s">
        <v>2603</v>
      </c>
      <c r="C9" s="11" t="s">
        <v>2604</v>
      </c>
    </row>
    <row r="10" spans="1:4" ht="12.75" customHeight="1" x14ac:dyDescent="0.2">
      <c r="B10" s="11" t="s">
        <v>2605</v>
      </c>
      <c r="C10" s="11" t="s">
        <v>24</v>
      </c>
    </row>
    <row r="11" spans="1:4" ht="12.75" customHeight="1" x14ac:dyDescent="0.2">
      <c r="B11" s="11" t="s">
        <v>2606</v>
      </c>
      <c r="C11" s="16" t="s">
        <v>57</v>
      </c>
      <c r="D11" s="6" t="str">
        <f>HYPERLINK("javascript:void(0)","madártoll")</f>
        <v>madártoll</v>
      </c>
    </row>
    <row r="12" spans="1:4" ht="12.75" customHeight="1" x14ac:dyDescent="0.2">
      <c r="B12" s="2"/>
      <c r="C12" s="15"/>
      <c r="D12" s="2"/>
    </row>
    <row r="13" spans="1:4" ht="12.75" customHeight="1" x14ac:dyDescent="0.2">
      <c r="B13" s="2"/>
      <c r="C13" s="15"/>
      <c r="D13" s="2"/>
    </row>
    <row r="14" spans="1:4" ht="12.75" customHeight="1" x14ac:dyDescent="0.2">
      <c r="A14" s="13" t="s">
        <v>2607</v>
      </c>
      <c r="C14" s="12"/>
    </row>
    <row r="15" spans="1:4" ht="12.75" customHeight="1" x14ac:dyDescent="0.2">
      <c r="A15" s="11"/>
      <c r="B15" s="2"/>
      <c r="C15" s="15"/>
      <c r="D15" s="2"/>
    </row>
    <row r="16" spans="1:4" ht="12.75" customHeight="1" x14ac:dyDescent="0.2">
      <c r="B16" s="11" t="s">
        <v>0</v>
      </c>
      <c r="C16" s="11" t="s">
        <v>1</v>
      </c>
    </row>
    <row r="17" spans="1:4" ht="12.75" customHeight="1" x14ac:dyDescent="0.2">
      <c r="B17" s="11" t="s">
        <v>2599</v>
      </c>
      <c r="C17" s="11" t="s">
        <v>5</v>
      </c>
    </row>
    <row r="18" spans="1:4" ht="25.5" customHeight="1" x14ac:dyDescent="0.2">
      <c r="B18" s="11" t="s">
        <v>2600</v>
      </c>
      <c r="C18" s="11" t="s">
        <v>26</v>
      </c>
    </row>
    <row r="19" spans="1:4" ht="25.5" customHeight="1" x14ac:dyDescent="0.2">
      <c r="B19" s="11" t="s">
        <v>2601</v>
      </c>
      <c r="C19" s="11"/>
    </row>
    <row r="20" spans="1:4" ht="12.75" customHeight="1" x14ac:dyDescent="0.2">
      <c r="B20" s="11" t="s">
        <v>16</v>
      </c>
      <c r="C20" s="11"/>
    </row>
    <row r="21" spans="1:4" ht="12.75" customHeight="1" x14ac:dyDescent="0.2">
      <c r="B21" s="11" t="s">
        <v>13</v>
      </c>
      <c r="C21" s="11" t="s">
        <v>2602</v>
      </c>
    </row>
    <row r="22" spans="1:4" ht="12.75" customHeight="1" x14ac:dyDescent="0.2">
      <c r="B22" s="11" t="s">
        <v>2603</v>
      </c>
      <c r="C22" s="11" t="s">
        <v>2604</v>
      </c>
    </row>
    <row r="23" spans="1:4" ht="12.75" customHeight="1" x14ac:dyDescent="0.2">
      <c r="B23" s="11" t="s">
        <v>2605</v>
      </c>
      <c r="C23" s="11" t="s">
        <v>24</v>
      </c>
    </row>
    <row r="24" spans="1:4" ht="12.75" customHeight="1" x14ac:dyDescent="0.2">
      <c r="B24" s="11" t="s">
        <v>2606</v>
      </c>
      <c r="C24" s="16" t="s">
        <v>55</v>
      </c>
      <c r="D24" s="6" t="str">
        <f>HYPERLINK("javascript:void(0)","kaja")</f>
        <v>kaja</v>
      </c>
    </row>
    <row r="25" spans="1:4" ht="12.75" customHeight="1" x14ac:dyDescent="0.2">
      <c r="C25" s="16" t="s">
        <v>56</v>
      </c>
      <c r="D25" s="6" t="str">
        <f>HYPERLINK("javascript:void(0)","ezüst")</f>
        <v>ezüst</v>
      </c>
    </row>
    <row r="26" spans="1:4" ht="12.75" customHeight="1" x14ac:dyDescent="0.2">
      <c r="B26" s="2"/>
      <c r="C26" s="15"/>
      <c r="D26" s="2"/>
    </row>
    <row r="27" spans="1:4" ht="12.75" customHeight="1" x14ac:dyDescent="0.2">
      <c r="B27" s="2"/>
      <c r="C27" s="15"/>
      <c r="D27" s="2"/>
    </row>
    <row r="28" spans="1:4" ht="12.75" customHeight="1" x14ac:dyDescent="0.2">
      <c r="A28" s="13" t="s">
        <v>2608</v>
      </c>
      <c r="C28" s="12"/>
    </row>
    <row r="29" spans="1:4" ht="12.75" customHeight="1" x14ac:dyDescent="0.2">
      <c r="A29" s="11"/>
      <c r="B29" s="2"/>
      <c r="C29" s="15"/>
      <c r="D29" s="2"/>
    </row>
    <row r="30" spans="1:4" ht="12.75" customHeight="1" x14ac:dyDescent="0.2">
      <c r="B30" s="11" t="s">
        <v>0</v>
      </c>
      <c r="C30" s="11" t="s">
        <v>1</v>
      </c>
    </row>
    <row r="31" spans="1:4" ht="12.75" customHeight="1" x14ac:dyDescent="0.2">
      <c r="B31" s="11" t="s">
        <v>2599</v>
      </c>
      <c r="C31" s="11" t="s">
        <v>51</v>
      </c>
    </row>
    <row r="32" spans="1:4" ht="25.5" customHeight="1" x14ac:dyDescent="0.2">
      <c r="B32" s="11" t="s">
        <v>2600</v>
      </c>
      <c r="C32" s="11" t="s">
        <v>7</v>
      </c>
    </row>
    <row r="33" spans="1:4" ht="25.5" customHeight="1" x14ac:dyDescent="0.2">
      <c r="B33" s="11" t="s">
        <v>2601</v>
      </c>
      <c r="C33" s="11"/>
    </row>
    <row r="34" spans="1:4" ht="12.75" customHeight="1" x14ac:dyDescent="0.2">
      <c r="B34" s="11" t="s">
        <v>16</v>
      </c>
      <c r="C34" s="11"/>
    </row>
    <row r="35" spans="1:4" ht="12.75" customHeight="1" x14ac:dyDescent="0.2">
      <c r="B35" s="11" t="s">
        <v>13</v>
      </c>
      <c r="C35" s="11" t="s">
        <v>2602</v>
      </c>
    </row>
    <row r="36" spans="1:4" ht="12.75" customHeight="1" x14ac:dyDescent="0.2">
      <c r="B36" s="11" t="s">
        <v>2603</v>
      </c>
      <c r="C36" s="11" t="s">
        <v>2604</v>
      </c>
    </row>
    <row r="37" spans="1:4" ht="12.75" customHeight="1" x14ac:dyDescent="0.2">
      <c r="B37" s="11" t="s">
        <v>2605</v>
      </c>
      <c r="C37" s="11" t="s">
        <v>24</v>
      </c>
    </row>
    <row r="38" spans="1:4" ht="12.75" customHeight="1" x14ac:dyDescent="0.2">
      <c r="B38" s="11" t="s">
        <v>2606</v>
      </c>
      <c r="C38" s="16" t="s">
        <v>142</v>
      </c>
      <c r="D38" s="6" t="str">
        <f>HYPERLINK("javascript:void(0)","kaja")</f>
        <v>kaja</v>
      </c>
    </row>
    <row r="39" spans="1:4" ht="12.75" customHeight="1" x14ac:dyDescent="0.2">
      <c r="B39" s="2"/>
      <c r="C39" s="15"/>
      <c r="D39" s="2"/>
    </row>
    <row r="40" spans="1:4" ht="12.75" customHeight="1" x14ac:dyDescent="0.2">
      <c r="B40" s="2"/>
      <c r="C40" s="15"/>
      <c r="D40" s="2"/>
    </row>
    <row r="41" spans="1:4" ht="12.75" customHeight="1" x14ac:dyDescent="0.2">
      <c r="A41" s="13" t="s">
        <v>2609</v>
      </c>
      <c r="C41" s="12"/>
    </row>
    <row r="42" spans="1:4" ht="12.75" customHeight="1" x14ac:dyDescent="0.2">
      <c r="A42" s="11"/>
      <c r="B42" s="2"/>
      <c r="C42" s="15"/>
      <c r="D42" s="2"/>
    </row>
    <row r="43" spans="1:4" ht="12.75" customHeight="1" x14ac:dyDescent="0.2">
      <c r="B43" s="11" t="s">
        <v>0</v>
      </c>
      <c r="C43" s="11" t="s">
        <v>1</v>
      </c>
    </row>
    <row r="44" spans="1:4" ht="12.75" customHeight="1" x14ac:dyDescent="0.2">
      <c r="B44" s="11" t="s">
        <v>2599</v>
      </c>
      <c r="C44" s="11" t="s">
        <v>5</v>
      </c>
    </row>
    <row r="45" spans="1:4" ht="25.5" customHeight="1" x14ac:dyDescent="0.2">
      <c r="B45" s="11" t="s">
        <v>2600</v>
      </c>
      <c r="C45" s="11" t="s">
        <v>123</v>
      </c>
    </row>
    <row r="46" spans="1:4" ht="25.5" customHeight="1" x14ac:dyDescent="0.2">
      <c r="B46" s="11" t="s">
        <v>2601</v>
      </c>
      <c r="C46" s="11"/>
    </row>
    <row r="47" spans="1:4" ht="12.75" customHeight="1" x14ac:dyDescent="0.2">
      <c r="B47" s="11" t="s">
        <v>16</v>
      </c>
      <c r="C47" s="11"/>
    </row>
    <row r="48" spans="1:4" ht="12.75" customHeight="1" x14ac:dyDescent="0.2">
      <c r="B48" s="11" t="s">
        <v>13</v>
      </c>
      <c r="C48" s="11" t="s">
        <v>2602</v>
      </c>
    </row>
    <row r="49" spans="1:4" ht="12.75" customHeight="1" x14ac:dyDescent="0.2">
      <c r="B49" s="11" t="s">
        <v>2603</v>
      </c>
      <c r="C49" s="11" t="s">
        <v>2604</v>
      </c>
    </row>
    <row r="50" spans="1:4" ht="12.75" customHeight="1" x14ac:dyDescent="0.2">
      <c r="B50" s="11" t="s">
        <v>2605</v>
      </c>
      <c r="C50" s="11" t="s">
        <v>24</v>
      </c>
    </row>
    <row r="51" spans="1:4" ht="12.75" customHeight="1" x14ac:dyDescent="0.2">
      <c r="B51" s="11" t="s">
        <v>2606</v>
      </c>
      <c r="C51" s="16" t="s">
        <v>55</v>
      </c>
      <c r="D51" s="6" t="str">
        <f>HYPERLINK("javascript:void(0)","kaja")</f>
        <v>kaja</v>
      </c>
    </row>
    <row r="52" spans="1:4" ht="12.75" customHeight="1" x14ac:dyDescent="0.2">
      <c r="B52" s="2"/>
      <c r="C52" s="15"/>
      <c r="D52" s="2"/>
    </row>
    <row r="53" spans="1:4" ht="12.75" customHeight="1" x14ac:dyDescent="0.2">
      <c r="B53" s="2"/>
      <c r="C53" s="15"/>
      <c r="D53" s="2"/>
    </row>
    <row r="54" spans="1:4" ht="12.75" customHeight="1" x14ac:dyDescent="0.2">
      <c r="A54" s="13" t="s">
        <v>2610</v>
      </c>
      <c r="C54" s="12"/>
    </row>
    <row r="55" spans="1:4" ht="12.75" customHeight="1" x14ac:dyDescent="0.2">
      <c r="A55" s="11"/>
      <c r="B55" s="2"/>
      <c r="C55" s="15"/>
      <c r="D55" s="2"/>
    </row>
    <row r="56" spans="1:4" ht="12.75" customHeight="1" x14ac:dyDescent="0.2">
      <c r="B56" s="11" t="s">
        <v>0</v>
      </c>
      <c r="C56" s="11" t="s">
        <v>1</v>
      </c>
    </row>
    <row r="57" spans="1:4" ht="12.75" customHeight="1" x14ac:dyDescent="0.2">
      <c r="B57" s="11" t="s">
        <v>2599</v>
      </c>
      <c r="C57" s="11" t="s">
        <v>40</v>
      </c>
    </row>
    <row r="58" spans="1:4" ht="25.5" customHeight="1" x14ac:dyDescent="0.2">
      <c r="B58" s="11" t="s">
        <v>2600</v>
      </c>
      <c r="C58" s="11" t="s">
        <v>26</v>
      </c>
    </row>
    <row r="59" spans="1:4" ht="25.5" customHeight="1" x14ac:dyDescent="0.2">
      <c r="B59" s="11" t="s">
        <v>2601</v>
      </c>
      <c r="C59" s="11"/>
    </row>
    <row r="60" spans="1:4" ht="12.75" customHeight="1" x14ac:dyDescent="0.2">
      <c r="B60" s="11" t="s">
        <v>16</v>
      </c>
      <c r="C60" s="11"/>
    </row>
    <row r="61" spans="1:4" ht="12.75" customHeight="1" x14ac:dyDescent="0.2">
      <c r="B61" s="11" t="s">
        <v>13</v>
      </c>
      <c r="C61" s="11" t="s">
        <v>2602</v>
      </c>
    </row>
    <row r="62" spans="1:4" ht="12.75" customHeight="1" x14ac:dyDescent="0.2">
      <c r="B62" s="11" t="s">
        <v>2603</v>
      </c>
      <c r="C62" s="11" t="s">
        <v>2604</v>
      </c>
    </row>
    <row r="63" spans="1:4" ht="12.75" customHeight="1" x14ac:dyDescent="0.2">
      <c r="B63" s="11" t="s">
        <v>2605</v>
      </c>
      <c r="C63" s="11" t="s">
        <v>24</v>
      </c>
    </row>
    <row r="64" spans="1:4" ht="12.75" customHeight="1" x14ac:dyDescent="0.2">
      <c r="B64" s="11" t="s">
        <v>2606</v>
      </c>
      <c r="C64" s="16" t="s">
        <v>56</v>
      </c>
      <c r="D64" s="6" t="str">
        <f>HYPERLINK("javascript:void(0)","kaja")</f>
        <v>kaja</v>
      </c>
    </row>
    <row r="65" spans="1:4" ht="12.75" customHeight="1" x14ac:dyDescent="0.2">
      <c r="C65" s="16" t="s">
        <v>55</v>
      </c>
      <c r="D65" s="6" t="str">
        <f>HYPERLINK("javascript:void(0)","süntüske")</f>
        <v>süntüske</v>
      </c>
    </row>
    <row r="66" spans="1:4" ht="12.75" customHeight="1" x14ac:dyDescent="0.2">
      <c r="B66" s="2"/>
      <c r="C66" s="15"/>
      <c r="D66" s="2"/>
    </row>
    <row r="67" spans="1:4" ht="12.75" customHeight="1" x14ac:dyDescent="0.2">
      <c r="B67" s="2"/>
      <c r="C67" s="15"/>
      <c r="D67" s="2"/>
    </row>
    <row r="68" spans="1:4" ht="12.75" customHeight="1" x14ac:dyDescent="0.2">
      <c r="A68" s="13" t="s">
        <v>2611</v>
      </c>
      <c r="C68" s="12"/>
    </row>
    <row r="69" spans="1:4" ht="12.75" customHeight="1" x14ac:dyDescent="0.2">
      <c r="A69" s="11"/>
      <c r="B69" s="2"/>
      <c r="C69" s="15"/>
      <c r="D69" s="2"/>
    </row>
    <row r="70" spans="1:4" ht="12.75" customHeight="1" x14ac:dyDescent="0.2">
      <c r="B70" s="11" t="s">
        <v>0</v>
      </c>
      <c r="C70" s="11" t="s">
        <v>1</v>
      </c>
    </row>
    <row r="71" spans="1:4" ht="12.75" customHeight="1" x14ac:dyDescent="0.2">
      <c r="B71" s="11" t="s">
        <v>2599</v>
      </c>
      <c r="C71" s="11" t="s">
        <v>26</v>
      </c>
    </row>
    <row r="72" spans="1:4" ht="25.5" customHeight="1" x14ac:dyDescent="0.2">
      <c r="B72" s="11" t="s">
        <v>2600</v>
      </c>
      <c r="C72" s="11" t="s">
        <v>7</v>
      </c>
    </row>
    <row r="73" spans="1:4" ht="25.5" customHeight="1" x14ac:dyDescent="0.2">
      <c r="B73" s="11" t="s">
        <v>2601</v>
      </c>
      <c r="C73" s="11"/>
    </row>
    <row r="74" spans="1:4" ht="12.75" customHeight="1" x14ac:dyDescent="0.2">
      <c r="B74" s="11" t="s">
        <v>16</v>
      </c>
      <c r="C74" s="11"/>
    </row>
    <row r="75" spans="1:4" ht="12.75" customHeight="1" x14ac:dyDescent="0.2">
      <c r="B75" s="11" t="s">
        <v>13</v>
      </c>
      <c r="C75" s="11" t="s">
        <v>2602</v>
      </c>
    </row>
    <row r="76" spans="1:4" ht="12.75" customHeight="1" x14ac:dyDescent="0.2">
      <c r="B76" s="11" t="s">
        <v>2603</v>
      </c>
      <c r="C76" s="11" t="s">
        <v>2604</v>
      </c>
    </row>
    <row r="77" spans="1:4" ht="12.75" customHeight="1" x14ac:dyDescent="0.2">
      <c r="B77" s="11" t="s">
        <v>2605</v>
      </c>
      <c r="C77" s="11" t="s">
        <v>24</v>
      </c>
    </row>
    <row r="78" spans="1:4" ht="25.5" customHeight="1" x14ac:dyDescent="0.2">
      <c r="B78" s="11" t="s">
        <v>2606</v>
      </c>
      <c r="C78" s="16" t="s">
        <v>44</v>
      </c>
      <c r="D78" s="6" t="str">
        <f>HYPERLINK("javascript:void(0)","szúnyogszárny")</f>
        <v>szúnyogszárny</v>
      </c>
    </row>
    <row r="79" spans="1:4" ht="12.75" customHeight="1" x14ac:dyDescent="0.2">
      <c r="B79" s="2"/>
      <c r="C79" s="15"/>
      <c r="D79" s="2"/>
    </row>
    <row r="80" spans="1:4" ht="12.75" customHeight="1" x14ac:dyDescent="0.2">
      <c r="B80" s="2"/>
      <c r="C80" s="15"/>
      <c r="D80" s="2"/>
    </row>
    <row r="81" spans="1:4" ht="12.75" customHeight="1" x14ac:dyDescent="0.2">
      <c r="A81" s="13" t="s">
        <v>2612</v>
      </c>
      <c r="C81" s="12"/>
    </row>
    <row r="82" spans="1:4" ht="12.75" customHeight="1" x14ac:dyDescent="0.2">
      <c r="A82" s="11"/>
      <c r="B82" s="2"/>
      <c r="C82" s="15"/>
      <c r="D82" s="2"/>
    </row>
    <row r="83" spans="1:4" ht="12.75" customHeight="1" x14ac:dyDescent="0.2">
      <c r="B83" s="11" t="s">
        <v>0</v>
      </c>
      <c r="C83" s="11" t="s">
        <v>25</v>
      </c>
    </row>
    <row r="84" spans="1:4" ht="12.75" customHeight="1" x14ac:dyDescent="0.2">
      <c r="B84" s="11" t="s">
        <v>2599</v>
      </c>
      <c r="C84" s="11" t="s">
        <v>74</v>
      </c>
    </row>
    <row r="85" spans="1:4" ht="25.5" customHeight="1" x14ac:dyDescent="0.2">
      <c r="B85" s="11" t="s">
        <v>2600</v>
      </c>
      <c r="C85" s="11" t="s">
        <v>72</v>
      </c>
    </row>
    <row r="86" spans="1:4" ht="25.5" customHeight="1" x14ac:dyDescent="0.2">
      <c r="B86" s="11" t="s">
        <v>2601</v>
      </c>
      <c r="C86" s="11"/>
    </row>
    <row r="87" spans="1:4" ht="12.75" customHeight="1" x14ac:dyDescent="0.2">
      <c r="B87" s="11" t="s">
        <v>16</v>
      </c>
      <c r="C87" s="11"/>
    </row>
    <row r="88" spans="1:4" ht="12.75" customHeight="1" x14ac:dyDescent="0.2">
      <c r="B88" s="11" t="s">
        <v>13</v>
      </c>
      <c r="C88" s="11" t="s">
        <v>2602</v>
      </c>
    </row>
    <row r="89" spans="1:4" ht="12.75" customHeight="1" x14ac:dyDescent="0.2">
      <c r="B89" s="11" t="s">
        <v>2603</v>
      </c>
      <c r="C89" s="11" t="s">
        <v>2604</v>
      </c>
    </row>
    <row r="90" spans="1:4" ht="12.75" customHeight="1" x14ac:dyDescent="0.2">
      <c r="B90" s="11" t="s">
        <v>2605</v>
      </c>
      <c r="C90" s="11" t="s">
        <v>24</v>
      </c>
    </row>
    <row r="91" spans="1:4" ht="12.75" customHeight="1" x14ac:dyDescent="0.2">
      <c r="B91" s="11" t="s">
        <v>2606</v>
      </c>
      <c r="C91" s="16" t="s">
        <v>309</v>
      </c>
      <c r="D91" s="6" t="str">
        <f>HYPERLINK("javascript:void(0)","ezüst")</f>
        <v>ezüst</v>
      </c>
    </row>
    <row r="92" spans="1:4" ht="12.75" customHeight="1" x14ac:dyDescent="0.2">
      <c r="B92" s="2"/>
      <c r="C92" s="15"/>
      <c r="D92" s="2"/>
    </row>
    <row r="93" spans="1:4" ht="12.75" customHeight="1" x14ac:dyDescent="0.2">
      <c r="B93" s="2"/>
      <c r="C93" s="15"/>
      <c r="D93" s="2"/>
    </row>
    <row r="94" spans="1:4" ht="12.75" customHeight="1" x14ac:dyDescent="0.2">
      <c r="A94" s="13" t="s">
        <v>2613</v>
      </c>
      <c r="C94" s="12"/>
    </row>
    <row r="95" spans="1:4" ht="12.75" customHeight="1" x14ac:dyDescent="0.2">
      <c r="A95" s="11"/>
      <c r="B95" s="2"/>
      <c r="C95" s="15"/>
      <c r="D95" s="2"/>
    </row>
    <row r="96" spans="1:4" ht="12.75" customHeight="1" x14ac:dyDescent="0.2">
      <c r="B96" s="11" t="s">
        <v>0</v>
      </c>
      <c r="C96" s="11" t="s">
        <v>25</v>
      </c>
    </row>
    <row r="97" spans="1:4" ht="12.75" customHeight="1" x14ac:dyDescent="0.2">
      <c r="B97" s="11" t="s">
        <v>2599</v>
      </c>
      <c r="C97" s="11" t="s">
        <v>33</v>
      </c>
    </row>
    <row r="98" spans="1:4" ht="25.5" customHeight="1" x14ac:dyDescent="0.2">
      <c r="B98" s="11" t="s">
        <v>2600</v>
      </c>
      <c r="C98" s="11" t="s">
        <v>33</v>
      </c>
    </row>
    <row r="99" spans="1:4" ht="25.5" customHeight="1" x14ac:dyDescent="0.2">
      <c r="B99" s="11" t="s">
        <v>2601</v>
      </c>
      <c r="C99" s="11"/>
    </row>
    <row r="100" spans="1:4" ht="12.75" customHeight="1" x14ac:dyDescent="0.2">
      <c r="B100" s="11" t="s">
        <v>16</v>
      </c>
      <c r="C100" s="11"/>
    </row>
    <row r="101" spans="1:4" ht="12.75" customHeight="1" x14ac:dyDescent="0.2">
      <c r="B101" s="11" t="s">
        <v>13</v>
      </c>
      <c r="C101" s="11" t="s">
        <v>2602</v>
      </c>
    </row>
    <row r="102" spans="1:4" ht="12.75" customHeight="1" x14ac:dyDescent="0.2">
      <c r="B102" s="11" t="s">
        <v>2603</v>
      </c>
      <c r="C102" s="11" t="s">
        <v>2604</v>
      </c>
    </row>
    <row r="103" spans="1:4" ht="12.75" customHeight="1" x14ac:dyDescent="0.2">
      <c r="B103" s="11" t="s">
        <v>2605</v>
      </c>
      <c r="C103" s="11" t="s">
        <v>24</v>
      </c>
    </row>
    <row r="104" spans="1:4" ht="12.75" customHeight="1" x14ac:dyDescent="0.2">
      <c r="B104" s="11" t="s">
        <v>2606</v>
      </c>
      <c r="C104" s="16" t="s">
        <v>232</v>
      </c>
      <c r="D104" s="6" t="str">
        <f>HYPERLINK("javascript:void(0)","kaja")</f>
        <v>kaja</v>
      </c>
    </row>
    <row r="105" spans="1:4" ht="12.75" customHeight="1" x14ac:dyDescent="0.2">
      <c r="B105" s="2"/>
      <c r="C105" s="15"/>
      <c r="D105" s="2"/>
    </row>
    <row r="106" spans="1:4" ht="12.75" customHeight="1" x14ac:dyDescent="0.2">
      <c r="B106" s="2"/>
      <c r="C106" s="15"/>
      <c r="D106" s="2"/>
    </row>
    <row r="107" spans="1:4" ht="12.75" customHeight="1" x14ac:dyDescent="0.2">
      <c r="A107" s="13" t="s">
        <v>2614</v>
      </c>
      <c r="C107" s="12"/>
    </row>
    <row r="108" spans="1:4" ht="12.75" customHeight="1" x14ac:dyDescent="0.2">
      <c r="A108" s="11"/>
      <c r="B108" s="2"/>
      <c r="C108" s="15"/>
      <c r="D108" s="2"/>
    </row>
    <row r="109" spans="1:4" ht="12.75" customHeight="1" x14ac:dyDescent="0.2">
      <c r="B109" s="11" t="s">
        <v>0</v>
      </c>
      <c r="C109" s="11" t="s">
        <v>25</v>
      </c>
    </row>
    <row r="110" spans="1:4" ht="12.75" customHeight="1" x14ac:dyDescent="0.2">
      <c r="B110" s="11" t="s">
        <v>2599</v>
      </c>
      <c r="C110" s="11" t="s">
        <v>5</v>
      </c>
    </row>
    <row r="111" spans="1:4" ht="25.5" customHeight="1" x14ac:dyDescent="0.2">
      <c r="B111" s="11" t="s">
        <v>2600</v>
      </c>
      <c r="C111" s="11" t="s">
        <v>64</v>
      </c>
    </row>
    <row r="112" spans="1:4" ht="25.5" customHeight="1" x14ac:dyDescent="0.2">
      <c r="B112" s="11" t="s">
        <v>2601</v>
      </c>
      <c r="C112" s="11"/>
    </row>
    <row r="113" spans="1:4" ht="12.75" customHeight="1" x14ac:dyDescent="0.2">
      <c r="B113" s="11" t="s">
        <v>16</v>
      </c>
      <c r="C113" s="11"/>
    </row>
    <row r="114" spans="1:4" ht="12.75" customHeight="1" x14ac:dyDescent="0.2">
      <c r="B114" s="11" t="s">
        <v>13</v>
      </c>
      <c r="C114" s="11" t="s">
        <v>2602</v>
      </c>
    </row>
    <row r="115" spans="1:4" ht="12.75" customHeight="1" x14ac:dyDescent="0.2">
      <c r="B115" s="11" t="s">
        <v>2603</v>
      </c>
      <c r="C115" s="11" t="s">
        <v>2604</v>
      </c>
    </row>
    <row r="116" spans="1:4" ht="12.75" customHeight="1" x14ac:dyDescent="0.2">
      <c r="B116" s="11" t="s">
        <v>2605</v>
      </c>
      <c r="C116" s="11" t="s">
        <v>24</v>
      </c>
    </row>
    <row r="117" spans="1:4" ht="12.75" customHeight="1" x14ac:dyDescent="0.2">
      <c r="B117" s="11" t="s">
        <v>2606</v>
      </c>
      <c r="C117" s="16" t="s">
        <v>44</v>
      </c>
      <c r="D117" s="6" t="str">
        <f>HYPERLINK("javascript:void(0)","gyöngy")</f>
        <v>gyöngy</v>
      </c>
    </row>
    <row r="118" spans="1:4" ht="12.75" customHeight="1" x14ac:dyDescent="0.2">
      <c r="C118" s="16" t="s">
        <v>57</v>
      </c>
      <c r="D118" s="6" t="str">
        <f>HYPERLINK("javascript:void(0)","kaja")</f>
        <v>kaja</v>
      </c>
    </row>
    <row r="119" spans="1:4" ht="12.75" customHeight="1" x14ac:dyDescent="0.2">
      <c r="B119" s="2"/>
      <c r="C119" s="15"/>
      <c r="D119" s="2"/>
    </row>
    <row r="120" spans="1:4" ht="12.75" customHeight="1" x14ac:dyDescent="0.2">
      <c r="B120" s="2"/>
      <c r="C120" s="15"/>
      <c r="D120" s="2"/>
    </row>
    <row r="121" spans="1:4" ht="12.75" customHeight="1" x14ac:dyDescent="0.2">
      <c r="A121" s="13" t="s">
        <v>2615</v>
      </c>
      <c r="C121" s="12"/>
    </row>
    <row r="122" spans="1:4" ht="12.75" customHeight="1" x14ac:dyDescent="0.2">
      <c r="A122" s="11"/>
      <c r="B122" s="2"/>
      <c r="C122" s="15"/>
      <c r="D122" s="2"/>
    </row>
    <row r="123" spans="1:4" ht="12.75" customHeight="1" x14ac:dyDescent="0.2">
      <c r="B123" s="11" t="s">
        <v>0</v>
      </c>
      <c r="C123" s="11" t="s">
        <v>25</v>
      </c>
    </row>
    <row r="124" spans="1:4" ht="12.75" customHeight="1" x14ac:dyDescent="0.2">
      <c r="B124" s="11" t="s">
        <v>2599</v>
      </c>
      <c r="C124" s="11" t="s">
        <v>48</v>
      </c>
    </row>
    <row r="125" spans="1:4" ht="25.5" customHeight="1" x14ac:dyDescent="0.2">
      <c r="B125" s="11" t="s">
        <v>2600</v>
      </c>
      <c r="C125" s="11" t="s">
        <v>82</v>
      </c>
    </row>
    <row r="126" spans="1:4" ht="25.5" customHeight="1" x14ac:dyDescent="0.2">
      <c r="B126" s="11" t="s">
        <v>2601</v>
      </c>
      <c r="C126" s="11"/>
    </row>
    <row r="127" spans="1:4" ht="12.75" customHeight="1" x14ac:dyDescent="0.2">
      <c r="B127" s="11" t="s">
        <v>16</v>
      </c>
      <c r="C127" s="11"/>
    </row>
    <row r="128" spans="1:4" ht="12.75" customHeight="1" x14ac:dyDescent="0.2">
      <c r="B128" s="11" t="s">
        <v>13</v>
      </c>
      <c r="C128" s="11" t="s">
        <v>2602</v>
      </c>
    </row>
    <row r="129" spans="1:4" ht="12.75" customHeight="1" x14ac:dyDescent="0.2">
      <c r="B129" s="11" t="s">
        <v>2603</v>
      </c>
      <c r="C129" s="11" t="s">
        <v>2604</v>
      </c>
    </row>
    <row r="130" spans="1:4" ht="12.75" customHeight="1" x14ac:dyDescent="0.2">
      <c r="B130" s="11" t="s">
        <v>2605</v>
      </c>
      <c r="C130" s="11" t="s">
        <v>24</v>
      </c>
    </row>
    <row r="131" spans="1:4" ht="25.5" customHeight="1" x14ac:dyDescent="0.2">
      <c r="B131" s="11" t="s">
        <v>2606</v>
      </c>
      <c r="C131" s="16" t="s">
        <v>56</v>
      </c>
      <c r="D131" s="6" t="str">
        <f>HYPERLINK("javascript:void(0)","lábszárcsont")</f>
        <v>lábszárcsont</v>
      </c>
    </row>
    <row r="132" spans="1:4" ht="12.75" customHeight="1" x14ac:dyDescent="0.2">
      <c r="C132" s="16" t="s">
        <v>55</v>
      </c>
      <c r="D132" s="6" t="str">
        <f>HYPERLINK("javascript:void(0)","ezüst")</f>
        <v>ezüst</v>
      </c>
    </row>
    <row r="133" spans="1:4" ht="12.75" customHeight="1" x14ac:dyDescent="0.2">
      <c r="B133" s="2"/>
      <c r="C133" s="15"/>
      <c r="D133" s="2"/>
    </row>
    <row r="134" spans="1:4" ht="12.75" customHeight="1" x14ac:dyDescent="0.2">
      <c r="B134" s="2"/>
      <c r="C134" s="15"/>
      <c r="D134" s="2"/>
    </row>
    <row r="135" spans="1:4" ht="12.75" customHeight="1" x14ac:dyDescent="0.2">
      <c r="A135" s="13" t="s">
        <v>2616</v>
      </c>
      <c r="C135" s="12"/>
    </row>
    <row r="136" spans="1:4" ht="12.75" customHeight="1" x14ac:dyDescent="0.2">
      <c r="A136" s="11"/>
      <c r="B136" s="2"/>
      <c r="C136" s="15"/>
      <c r="D136" s="2"/>
    </row>
    <row r="137" spans="1:4" ht="12.75" customHeight="1" x14ac:dyDescent="0.2">
      <c r="B137" s="11" t="s">
        <v>0</v>
      </c>
      <c r="C137" s="11" t="s">
        <v>25</v>
      </c>
    </row>
    <row r="138" spans="1:4" ht="12.75" customHeight="1" x14ac:dyDescent="0.2">
      <c r="B138" s="11" t="s">
        <v>2599</v>
      </c>
      <c r="C138" s="11" t="s">
        <v>48</v>
      </c>
    </row>
    <row r="139" spans="1:4" ht="25.5" customHeight="1" x14ac:dyDescent="0.2">
      <c r="B139" s="11" t="s">
        <v>2600</v>
      </c>
      <c r="C139" s="11" t="s">
        <v>33</v>
      </c>
    </row>
    <row r="140" spans="1:4" ht="25.5" customHeight="1" x14ac:dyDescent="0.2">
      <c r="B140" s="11" t="s">
        <v>2601</v>
      </c>
      <c r="C140" s="11"/>
    </row>
    <row r="141" spans="1:4" ht="12.75" customHeight="1" x14ac:dyDescent="0.2">
      <c r="B141" s="11" t="s">
        <v>16</v>
      </c>
      <c r="C141" s="11"/>
    </row>
    <row r="142" spans="1:4" ht="12.75" customHeight="1" x14ac:dyDescent="0.2">
      <c r="B142" s="11" t="s">
        <v>13</v>
      </c>
      <c r="C142" s="11" t="s">
        <v>2602</v>
      </c>
    </row>
    <row r="143" spans="1:4" ht="12.75" customHeight="1" x14ac:dyDescent="0.2">
      <c r="B143" s="11" t="s">
        <v>2603</v>
      </c>
      <c r="C143" s="11" t="s">
        <v>2604</v>
      </c>
    </row>
    <row r="144" spans="1:4" ht="12.75" customHeight="1" x14ac:dyDescent="0.2">
      <c r="B144" s="11" t="s">
        <v>2605</v>
      </c>
      <c r="C144" s="11" t="s">
        <v>24</v>
      </c>
    </row>
    <row r="145" spans="1:4" ht="12.75" customHeight="1" x14ac:dyDescent="0.2">
      <c r="B145" s="11" t="s">
        <v>2606</v>
      </c>
      <c r="C145" s="16" t="s">
        <v>77</v>
      </c>
      <c r="D145" s="6" t="str">
        <f>HYPERLINK("javascript:void(0)","kaja")</f>
        <v>kaja</v>
      </c>
    </row>
    <row r="146" spans="1:4" ht="12.75" customHeight="1" x14ac:dyDescent="0.2">
      <c r="B146" s="2"/>
      <c r="C146" s="15"/>
      <c r="D146" s="2"/>
    </row>
    <row r="147" spans="1:4" ht="12.75" customHeight="1" x14ac:dyDescent="0.2">
      <c r="B147" s="2"/>
      <c r="C147" s="15"/>
      <c r="D147" s="2"/>
    </row>
    <row r="148" spans="1:4" ht="12.75" customHeight="1" x14ac:dyDescent="0.2">
      <c r="A148" s="13" t="s">
        <v>2617</v>
      </c>
      <c r="C148" s="12"/>
    </row>
    <row r="149" spans="1:4" ht="12.75" customHeight="1" x14ac:dyDescent="0.2">
      <c r="A149" s="11"/>
      <c r="B149" s="2"/>
      <c r="C149" s="15"/>
      <c r="D149" s="2"/>
    </row>
    <row r="150" spans="1:4" ht="12.75" customHeight="1" x14ac:dyDescent="0.2">
      <c r="B150" s="11" t="s">
        <v>0</v>
      </c>
      <c r="C150" s="11" t="s">
        <v>25</v>
      </c>
    </row>
    <row r="151" spans="1:4" ht="12.75" customHeight="1" x14ac:dyDescent="0.2">
      <c r="B151" s="11" t="s">
        <v>2599</v>
      </c>
      <c r="C151" s="11" t="s">
        <v>33</v>
      </c>
    </row>
    <row r="152" spans="1:4" ht="25.5" customHeight="1" x14ac:dyDescent="0.2">
      <c r="B152" s="11" t="s">
        <v>2600</v>
      </c>
      <c r="C152" s="11" t="s">
        <v>74</v>
      </c>
    </row>
    <row r="153" spans="1:4" ht="25.5" customHeight="1" x14ac:dyDescent="0.2">
      <c r="B153" s="11" t="s">
        <v>2601</v>
      </c>
      <c r="C153" s="11"/>
    </row>
    <row r="154" spans="1:4" ht="12.75" customHeight="1" x14ac:dyDescent="0.2">
      <c r="B154" s="11" t="s">
        <v>16</v>
      </c>
      <c r="C154" s="11"/>
    </row>
    <row r="155" spans="1:4" ht="12.75" customHeight="1" x14ac:dyDescent="0.2">
      <c r="B155" s="11" t="s">
        <v>13</v>
      </c>
      <c r="C155" s="11" t="s">
        <v>2602</v>
      </c>
    </row>
    <row r="156" spans="1:4" ht="12.75" customHeight="1" x14ac:dyDescent="0.2">
      <c r="B156" s="11" t="s">
        <v>2603</v>
      </c>
      <c r="C156" s="11" t="s">
        <v>2604</v>
      </c>
    </row>
    <row r="157" spans="1:4" ht="12.75" customHeight="1" x14ac:dyDescent="0.2">
      <c r="B157" s="11" t="s">
        <v>2605</v>
      </c>
      <c r="C157" s="11" t="s">
        <v>24</v>
      </c>
    </row>
    <row r="158" spans="1:4" ht="12.75" customHeight="1" x14ac:dyDescent="0.2">
      <c r="B158" s="11" t="s">
        <v>2606</v>
      </c>
      <c r="C158" s="16" t="s">
        <v>44</v>
      </c>
      <c r="D158" s="6" t="str">
        <f>HYPERLINK("javascript:void(0)","bot")</f>
        <v>bot</v>
      </c>
    </row>
    <row r="159" spans="1:4" ht="12.75" customHeight="1" x14ac:dyDescent="0.2">
      <c r="C159" s="16" t="s">
        <v>44</v>
      </c>
      <c r="D159" s="6" t="str">
        <f>HYPERLINK("javascript:void(0)","parittya")</f>
        <v>parittya</v>
      </c>
    </row>
    <row r="160" spans="1:4" ht="12.75" customHeight="1" x14ac:dyDescent="0.2">
      <c r="B160" s="2"/>
      <c r="C160" s="15"/>
      <c r="D160" s="2"/>
    </row>
    <row r="161" spans="1:4" ht="12.75" customHeight="1" x14ac:dyDescent="0.2">
      <c r="B161" s="2"/>
      <c r="C161" s="15"/>
      <c r="D161" s="2"/>
    </row>
    <row r="162" spans="1:4" ht="12.75" customHeight="1" x14ac:dyDescent="0.2">
      <c r="A162" s="13" t="s">
        <v>2618</v>
      </c>
      <c r="C162" s="12"/>
      <c r="D162" s="2"/>
    </row>
    <row r="163" spans="1:4" ht="12.75" customHeight="1" x14ac:dyDescent="0.2">
      <c r="A163" s="11"/>
      <c r="B163" s="2"/>
      <c r="C163" s="15"/>
      <c r="D163" s="2"/>
    </row>
    <row r="164" spans="1:4" ht="12.75" customHeight="1" x14ac:dyDescent="0.2">
      <c r="B164" s="11" t="s">
        <v>0</v>
      </c>
      <c r="C164" s="17" t="s">
        <v>29</v>
      </c>
      <c r="D164" s="2"/>
    </row>
    <row r="165" spans="1:4" ht="12.75" customHeight="1" x14ac:dyDescent="0.2">
      <c r="B165" s="11" t="s">
        <v>2599</v>
      </c>
      <c r="C165" s="17" t="s">
        <v>118</v>
      </c>
      <c r="D165" s="2"/>
    </row>
    <row r="166" spans="1:4" ht="25.5" customHeight="1" x14ac:dyDescent="0.2">
      <c r="B166" s="11" t="s">
        <v>2600</v>
      </c>
      <c r="C166" s="17" t="s">
        <v>107</v>
      </c>
      <c r="D166" s="2"/>
    </row>
    <row r="167" spans="1:4" ht="25.5" customHeight="1" x14ac:dyDescent="0.2">
      <c r="B167" s="11" t="s">
        <v>2601</v>
      </c>
      <c r="C167" s="17"/>
      <c r="D167" s="2"/>
    </row>
    <row r="168" spans="1:4" ht="12.75" customHeight="1" x14ac:dyDescent="0.2">
      <c r="B168" s="11" t="s">
        <v>16</v>
      </c>
      <c r="C168" s="17"/>
      <c r="D168" s="2"/>
    </row>
    <row r="169" spans="1:4" ht="12.75" customHeight="1" x14ac:dyDescent="0.2">
      <c r="B169" s="11" t="s">
        <v>13</v>
      </c>
      <c r="C169" s="17" t="s">
        <v>2602</v>
      </c>
      <c r="D169" s="2"/>
    </row>
    <row r="170" spans="1:4" ht="12.75" customHeight="1" x14ac:dyDescent="0.2">
      <c r="B170" s="11" t="s">
        <v>2603</v>
      </c>
      <c r="C170" s="17" t="s">
        <v>2604</v>
      </c>
      <c r="D170" s="2"/>
    </row>
    <row r="171" spans="1:4" ht="12.75" customHeight="1" x14ac:dyDescent="0.2">
      <c r="B171" s="11" t="s">
        <v>2605</v>
      </c>
      <c r="C171" s="17" t="s">
        <v>24</v>
      </c>
      <c r="D171" s="2"/>
    </row>
    <row r="172" spans="1:4" ht="12.75" customHeight="1" x14ac:dyDescent="0.2">
      <c r="B172" s="11" t="s">
        <v>2606</v>
      </c>
      <c r="C172" s="16" t="s">
        <v>19</v>
      </c>
      <c r="D172" s="2"/>
    </row>
    <row r="173" spans="1:4" ht="12.75" customHeight="1" x14ac:dyDescent="0.2">
      <c r="B173" s="2"/>
      <c r="C173" s="15"/>
      <c r="D173" s="2"/>
    </row>
    <row r="174" spans="1:4" ht="12.75" customHeight="1" x14ac:dyDescent="0.2">
      <c r="B174" s="2"/>
      <c r="C174" s="15"/>
      <c r="D174" s="2"/>
    </row>
    <row r="175" spans="1:4" ht="12.75" customHeight="1" x14ac:dyDescent="0.2">
      <c r="A175" s="13" t="s">
        <v>2619</v>
      </c>
      <c r="C175" s="12"/>
    </row>
    <row r="176" spans="1:4" ht="12.75" customHeight="1" x14ac:dyDescent="0.2">
      <c r="A176" s="11"/>
      <c r="B176" s="2"/>
      <c r="C176" s="15"/>
      <c r="D176" s="2"/>
    </row>
    <row r="177" spans="1:4" ht="12.75" customHeight="1" x14ac:dyDescent="0.2">
      <c r="B177" s="11" t="s">
        <v>0</v>
      </c>
      <c r="C177" s="11" t="s">
        <v>29</v>
      </c>
    </row>
    <row r="178" spans="1:4" ht="12.75" customHeight="1" x14ac:dyDescent="0.2">
      <c r="B178" s="11" t="s">
        <v>2599</v>
      </c>
      <c r="C178" s="11" t="s">
        <v>64</v>
      </c>
    </row>
    <row r="179" spans="1:4" ht="25.5" customHeight="1" x14ac:dyDescent="0.2">
      <c r="B179" s="11" t="s">
        <v>2600</v>
      </c>
      <c r="C179" s="11" t="s">
        <v>298</v>
      </c>
    </row>
    <row r="180" spans="1:4" ht="25.5" customHeight="1" x14ac:dyDescent="0.2">
      <c r="B180" s="11" t="s">
        <v>2601</v>
      </c>
      <c r="C180" s="11"/>
    </row>
    <row r="181" spans="1:4" ht="12.75" customHeight="1" x14ac:dyDescent="0.2">
      <c r="B181" s="11" t="s">
        <v>16</v>
      </c>
      <c r="C181" s="11"/>
    </row>
    <row r="182" spans="1:4" ht="12.75" customHeight="1" x14ac:dyDescent="0.2">
      <c r="B182" s="11" t="s">
        <v>13</v>
      </c>
      <c r="C182" s="11" t="s">
        <v>2602</v>
      </c>
    </row>
    <row r="183" spans="1:4" ht="12.75" customHeight="1" x14ac:dyDescent="0.2">
      <c r="B183" s="11" t="s">
        <v>2603</v>
      </c>
      <c r="C183" s="11" t="s">
        <v>2604</v>
      </c>
    </row>
    <row r="184" spans="1:4" ht="12.75" customHeight="1" x14ac:dyDescent="0.2">
      <c r="B184" s="11" t="s">
        <v>2605</v>
      </c>
      <c r="C184" s="11" t="s">
        <v>24</v>
      </c>
    </row>
    <row r="185" spans="1:4" ht="12.75" customHeight="1" x14ac:dyDescent="0.2">
      <c r="B185" s="11" t="s">
        <v>2606</v>
      </c>
      <c r="C185" s="16" t="s">
        <v>68</v>
      </c>
      <c r="D185" s="6" t="str">
        <f>HYPERLINK("javascript:void(0)","kaja")</f>
        <v>kaja</v>
      </c>
    </row>
    <row r="186" spans="1:4" ht="12.75" customHeight="1" x14ac:dyDescent="0.2">
      <c r="B186" s="2"/>
      <c r="C186" s="15"/>
      <c r="D186" s="2"/>
    </row>
    <row r="187" spans="1:4" ht="12.75" customHeight="1" x14ac:dyDescent="0.2">
      <c r="B187" s="2"/>
      <c r="C187" s="15"/>
      <c r="D187" s="2"/>
    </row>
    <row r="188" spans="1:4" ht="12.75" customHeight="1" x14ac:dyDescent="0.2">
      <c r="A188" s="13" t="s">
        <v>2620</v>
      </c>
      <c r="C188" s="12"/>
    </row>
    <row r="189" spans="1:4" ht="12.75" customHeight="1" x14ac:dyDescent="0.2">
      <c r="A189" s="11"/>
      <c r="B189" s="2"/>
      <c r="C189" s="15"/>
      <c r="D189" s="2"/>
    </row>
    <row r="190" spans="1:4" ht="12.75" customHeight="1" x14ac:dyDescent="0.2">
      <c r="B190" s="11" t="s">
        <v>0</v>
      </c>
      <c r="C190" s="11" t="s">
        <v>29</v>
      </c>
    </row>
    <row r="191" spans="1:4" ht="12.75" customHeight="1" x14ac:dyDescent="0.2">
      <c r="B191" s="11" t="s">
        <v>2599</v>
      </c>
      <c r="C191" s="11" t="s">
        <v>86</v>
      </c>
    </row>
    <row r="192" spans="1:4" ht="25.5" customHeight="1" x14ac:dyDescent="0.2">
      <c r="B192" s="11" t="s">
        <v>2600</v>
      </c>
      <c r="C192" s="11" t="s">
        <v>260</v>
      </c>
    </row>
    <row r="193" spans="1:4" ht="25.5" customHeight="1" x14ac:dyDescent="0.2">
      <c r="B193" s="11" t="s">
        <v>2601</v>
      </c>
      <c r="C193" s="11"/>
    </row>
    <row r="194" spans="1:4" ht="12.75" customHeight="1" x14ac:dyDescent="0.2">
      <c r="B194" s="11" t="s">
        <v>16</v>
      </c>
      <c r="C194" s="11"/>
    </row>
    <row r="195" spans="1:4" ht="12.75" customHeight="1" x14ac:dyDescent="0.2">
      <c r="B195" s="11" t="s">
        <v>13</v>
      </c>
      <c r="C195" s="11" t="s">
        <v>2602</v>
      </c>
    </row>
    <row r="196" spans="1:4" ht="12.75" customHeight="1" x14ac:dyDescent="0.2">
      <c r="B196" s="11" t="s">
        <v>2603</v>
      </c>
      <c r="C196" s="11" t="s">
        <v>2604</v>
      </c>
    </row>
    <row r="197" spans="1:4" ht="12.75" customHeight="1" x14ac:dyDescent="0.2">
      <c r="B197" s="11" t="s">
        <v>2605</v>
      </c>
      <c r="C197" s="11" t="s">
        <v>24</v>
      </c>
    </row>
    <row r="198" spans="1:4" ht="12.75" customHeight="1" x14ac:dyDescent="0.2">
      <c r="B198" s="11" t="s">
        <v>2606</v>
      </c>
      <c r="C198" s="16" t="s">
        <v>139</v>
      </c>
      <c r="D198" s="6" t="str">
        <f>HYPERLINK("javascript:void(0)","ezüst")</f>
        <v>ezüst</v>
      </c>
    </row>
    <row r="199" spans="1:4" ht="12.75" customHeight="1" x14ac:dyDescent="0.2">
      <c r="B199" s="2"/>
      <c r="C199" s="15"/>
      <c r="D199" s="2"/>
    </row>
    <row r="200" spans="1:4" ht="12.75" customHeight="1" x14ac:dyDescent="0.2">
      <c r="B200" s="2"/>
      <c r="C200" s="15"/>
      <c r="D200" s="2"/>
    </row>
    <row r="201" spans="1:4" ht="12.75" customHeight="1" x14ac:dyDescent="0.2">
      <c r="A201" s="13" t="s">
        <v>2621</v>
      </c>
      <c r="C201" s="12"/>
    </row>
    <row r="202" spans="1:4" ht="12.75" customHeight="1" x14ac:dyDescent="0.2">
      <c r="A202" s="11"/>
      <c r="B202" s="2"/>
      <c r="C202" s="15"/>
      <c r="D202" s="2"/>
    </row>
    <row r="203" spans="1:4" ht="12.75" customHeight="1" x14ac:dyDescent="0.2">
      <c r="B203" s="11" t="s">
        <v>0</v>
      </c>
      <c r="C203" s="11" t="s">
        <v>29</v>
      </c>
    </row>
    <row r="204" spans="1:4" ht="12.75" customHeight="1" x14ac:dyDescent="0.2">
      <c r="B204" s="11" t="s">
        <v>2599</v>
      </c>
      <c r="C204" s="11" t="s">
        <v>82</v>
      </c>
    </row>
    <row r="205" spans="1:4" ht="25.5" customHeight="1" x14ac:dyDescent="0.2">
      <c r="B205" s="11" t="s">
        <v>2600</v>
      </c>
      <c r="C205" s="11" t="s">
        <v>157</v>
      </c>
    </row>
    <row r="206" spans="1:4" ht="25.5" customHeight="1" x14ac:dyDescent="0.2">
      <c r="B206" s="11" t="s">
        <v>2601</v>
      </c>
      <c r="C206" s="11"/>
    </row>
    <row r="207" spans="1:4" ht="12.75" customHeight="1" x14ac:dyDescent="0.2">
      <c r="B207" s="11" t="s">
        <v>16</v>
      </c>
      <c r="C207" s="11"/>
    </row>
    <row r="208" spans="1:4" ht="12.75" customHeight="1" x14ac:dyDescent="0.2">
      <c r="B208" s="11" t="s">
        <v>13</v>
      </c>
      <c r="C208" s="11" t="s">
        <v>2602</v>
      </c>
    </row>
    <row r="209" spans="1:4" ht="12.75" customHeight="1" x14ac:dyDescent="0.2">
      <c r="B209" s="11" t="s">
        <v>2603</v>
      </c>
      <c r="C209" s="11" t="s">
        <v>2604</v>
      </c>
    </row>
    <row r="210" spans="1:4" ht="12.75" customHeight="1" x14ac:dyDescent="0.2">
      <c r="B210" s="11" t="s">
        <v>2605</v>
      </c>
      <c r="C210" s="11" t="s">
        <v>24</v>
      </c>
    </row>
    <row r="211" spans="1:4" ht="12.75" customHeight="1" x14ac:dyDescent="0.2">
      <c r="B211" s="11" t="s">
        <v>2606</v>
      </c>
      <c r="C211" s="16" t="s">
        <v>77</v>
      </c>
      <c r="D211" s="6" t="str">
        <f>HYPERLINK("javascript:void(0)","madártoll")</f>
        <v>madártoll</v>
      </c>
    </row>
    <row r="212" spans="1:4" ht="12.75" customHeight="1" x14ac:dyDescent="0.2">
      <c r="B212" s="2"/>
      <c r="C212" s="15"/>
      <c r="D212" s="2"/>
    </row>
    <row r="213" spans="1:4" ht="12.75" customHeight="1" x14ac:dyDescent="0.2">
      <c r="B213" s="2"/>
      <c r="C213" s="15"/>
      <c r="D213" s="2"/>
    </row>
    <row r="214" spans="1:4" ht="12.75" customHeight="1" x14ac:dyDescent="0.2">
      <c r="A214" s="13" t="s">
        <v>2622</v>
      </c>
      <c r="C214" s="12"/>
    </row>
    <row r="215" spans="1:4" ht="12.75" customHeight="1" x14ac:dyDescent="0.2">
      <c r="A215" s="11"/>
      <c r="B215" s="2"/>
      <c r="C215" s="15"/>
      <c r="D215" s="2"/>
    </row>
    <row r="216" spans="1:4" ht="12.75" customHeight="1" x14ac:dyDescent="0.2">
      <c r="B216" s="11" t="s">
        <v>0</v>
      </c>
      <c r="C216" s="11" t="s">
        <v>29</v>
      </c>
    </row>
    <row r="217" spans="1:4" ht="12.75" customHeight="1" x14ac:dyDescent="0.2">
      <c r="B217" s="11" t="s">
        <v>2599</v>
      </c>
      <c r="C217" s="11" t="s">
        <v>74</v>
      </c>
    </row>
    <row r="218" spans="1:4" ht="25.5" customHeight="1" x14ac:dyDescent="0.2">
      <c r="B218" s="11" t="s">
        <v>2600</v>
      </c>
      <c r="C218" s="11" t="s">
        <v>38</v>
      </c>
    </row>
    <row r="219" spans="1:4" ht="25.5" customHeight="1" x14ac:dyDescent="0.2">
      <c r="B219" s="11" t="s">
        <v>2601</v>
      </c>
      <c r="C219" s="11"/>
    </row>
    <row r="220" spans="1:4" ht="12.75" customHeight="1" x14ac:dyDescent="0.2">
      <c r="B220" s="11" t="s">
        <v>16</v>
      </c>
      <c r="C220" s="11"/>
    </row>
    <row r="221" spans="1:4" ht="12.75" customHeight="1" x14ac:dyDescent="0.2">
      <c r="B221" s="11" t="s">
        <v>13</v>
      </c>
      <c r="C221" s="11" t="s">
        <v>2602</v>
      </c>
    </row>
    <row r="222" spans="1:4" ht="12.75" customHeight="1" x14ac:dyDescent="0.2">
      <c r="B222" s="11" t="s">
        <v>2603</v>
      </c>
      <c r="C222" s="11" t="s">
        <v>2604</v>
      </c>
    </row>
    <row r="223" spans="1:4" ht="12.75" customHeight="1" x14ac:dyDescent="0.2">
      <c r="B223" s="11" t="s">
        <v>2605</v>
      </c>
      <c r="C223" s="11" t="s">
        <v>24</v>
      </c>
    </row>
    <row r="224" spans="1:4" ht="12.75" customHeight="1" x14ac:dyDescent="0.2">
      <c r="B224" s="11" t="s">
        <v>2606</v>
      </c>
      <c r="C224" s="16" t="s">
        <v>44</v>
      </c>
      <c r="D224" s="6" t="str">
        <f>HYPERLINK("javascript:void(0)","ezüstfullánk")</f>
        <v>ezüstfullánk</v>
      </c>
    </row>
    <row r="225" spans="1:4" ht="12.75" customHeight="1" x14ac:dyDescent="0.2">
      <c r="B225" s="2"/>
      <c r="C225" s="15"/>
      <c r="D225" s="2"/>
    </row>
    <row r="226" spans="1:4" ht="12.75" customHeight="1" x14ac:dyDescent="0.2">
      <c r="B226" s="2"/>
      <c r="C226" s="15"/>
      <c r="D226" s="2"/>
    </row>
    <row r="227" spans="1:4" ht="12.75" customHeight="1" x14ac:dyDescent="0.2">
      <c r="A227" s="13" t="s">
        <v>2623</v>
      </c>
      <c r="C227" s="12"/>
    </row>
    <row r="228" spans="1:4" ht="12.75" customHeight="1" x14ac:dyDescent="0.2">
      <c r="A228" s="11"/>
      <c r="B228" s="2"/>
      <c r="C228" s="15"/>
      <c r="D228" s="2"/>
    </row>
    <row r="229" spans="1:4" ht="12.75" customHeight="1" x14ac:dyDescent="0.2">
      <c r="B229" s="11" t="s">
        <v>0</v>
      </c>
      <c r="C229" s="11" t="s">
        <v>29</v>
      </c>
    </row>
    <row r="230" spans="1:4" ht="12.75" customHeight="1" x14ac:dyDescent="0.2">
      <c r="B230" s="11" t="s">
        <v>2599</v>
      </c>
      <c r="C230" s="11" t="s">
        <v>82</v>
      </c>
    </row>
    <row r="231" spans="1:4" ht="25.5" customHeight="1" x14ac:dyDescent="0.2">
      <c r="B231" s="11" t="s">
        <v>2600</v>
      </c>
      <c r="C231" s="11" t="s">
        <v>157</v>
      </c>
    </row>
    <row r="232" spans="1:4" ht="25.5" customHeight="1" x14ac:dyDescent="0.2">
      <c r="B232" s="11" t="s">
        <v>2601</v>
      </c>
      <c r="C232" s="11"/>
    </row>
    <row r="233" spans="1:4" ht="12.75" customHeight="1" x14ac:dyDescent="0.2">
      <c r="B233" s="11" t="s">
        <v>16</v>
      </c>
      <c r="C233" s="11"/>
    </row>
    <row r="234" spans="1:4" ht="12.75" customHeight="1" x14ac:dyDescent="0.2">
      <c r="B234" s="11" t="s">
        <v>13</v>
      </c>
      <c r="C234" s="11" t="s">
        <v>2602</v>
      </c>
    </row>
    <row r="235" spans="1:4" ht="12.75" customHeight="1" x14ac:dyDescent="0.2">
      <c r="B235" s="11" t="s">
        <v>2603</v>
      </c>
      <c r="C235" s="11" t="s">
        <v>2604</v>
      </c>
    </row>
    <row r="236" spans="1:4" ht="12.75" customHeight="1" x14ac:dyDescent="0.2">
      <c r="B236" s="11" t="s">
        <v>2605</v>
      </c>
      <c r="C236" s="11" t="s">
        <v>24</v>
      </c>
    </row>
    <row r="237" spans="1:4" ht="12.75" customHeight="1" x14ac:dyDescent="0.2">
      <c r="B237" s="11" t="s">
        <v>2606</v>
      </c>
      <c r="C237" s="16" t="s">
        <v>56</v>
      </c>
      <c r="D237" s="6" t="str">
        <f>HYPERLINK("javascript:void(0)","acélrugó")</f>
        <v>acélrugó</v>
      </c>
    </row>
    <row r="238" spans="1:4" ht="12.75" customHeight="1" x14ac:dyDescent="0.2">
      <c r="B238" s="2"/>
      <c r="C238" s="15"/>
      <c r="D238" s="2"/>
    </row>
    <row r="239" spans="1:4" ht="12.75" customHeight="1" x14ac:dyDescent="0.2">
      <c r="B239" s="2"/>
      <c r="C239" s="15"/>
      <c r="D239" s="2"/>
    </row>
    <row r="240" spans="1:4" ht="12.75" customHeight="1" x14ac:dyDescent="0.2">
      <c r="A240" s="13" t="s">
        <v>2624</v>
      </c>
      <c r="C240" s="12"/>
    </row>
    <row r="241" spans="1:4" ht="12.75" customHeight="1" x14ac:dyDescent="0.2">
      <c r="A241" s="11"/>
      <c r="B241" s="2"/>
      <c r="C241" s="15"/>
      <c r="D241" s="2"/>
    </row>
    <row r="242" spans="1:4" ht="12.75" customHeight="1" x14ac:dyDescent="0.2">
      <c r="B242" s="11" t="s">
        <v>0</v>
      </c>
      <c r="C242" s="11" t="s">
        <v>7</v>
      </c>
    </row>
    <row r="243" spans="1:4" ht="12.75" customHeight="1" x14ac:dyDescent="0.2">
      <c r="B243" s="11" t="s">
        <v>2599</v>
      </c>
      <c r="C243" s="11" t="s">
        <v>100</v>
      </c>
    </row>
    <row r="244" spans="1:4" ht="25.5" customHeight="1" x14ac:dyDescent="0.2">
      <c r="B244" s="11" t="s">
        <v>2600</v>
      </c>
      <c r="C244" s="11" t="s">
        <v>353</v>
      </c>
    </row>
    <row r="245" spans="1:4" ht="25.5" customHeight="1" x14ac:dyDescent="0.2">
      <c r="B245" s="11" t="s">
        <v>2601</v>
      </c>
      <c r="C245" s="11"/>
    </row>
    <row r="246" spans="1:4" ht="12.75" customHeight="1" x14ac:dyDescent="0.2">
      <c r="B246" s="11" t="s">
        <v>16</v>
      </c>
      <c r="C246" s="11"/>
    </row>
    <row r="247" spans="1:4" ht="12.75" customHeight="1" x14ac:dyDescent="0.2">
      <c r="B247" s="11" t="s">
        <v>13</v>
      </c>
      <c r="C247" s="11" t="s">
        <v>2602</v>
      </c>
    </row>
    <row r="248" spans="1:4" ht="12.75" customHeight="1" x14ac:dyDescent="0.2">
      <c r="B248" s="11" t="s">
        <v>2603</v>
      </c>
      <c r="C248" s="11" t="s">
        <v>2604</v>
      </c>
    </row>
    <row r="249" spans="1:4" ht="12.75" customHeight="1" x14ac:dyDescent="0.2">
      <c r="B249" s="11" t="s">
        <v>2605</v>
      </c>
      <c r="C249" s="11" t="s">
        <v>24</v>
      </c>
    </row>
    <row r="250" spans="1:4" ht="12.75" customHeight="1" x14ac:dyDescent="0.2">
      <c r="B250" s="11" t="s">
        <v>2606</v>
      </c>
      <c r="C250" s="16" t="s">
        <v>67</v>
      </c>
      <c r="D250" s="6" t="str">
        <f>HYPERLINK("javascript:void(0)","savkristály")</f>
        <v>savkristály</v>
      </c>
    </row>
    <row r="251" spans="1:4" ht="12.75" customHeight="1" x14ac:dyDescent="0.2">
      <c r="B251" s="2"/>
      <c r="C251" s="15"/>
      <c r="D251" s="2"/>
    </row>
    <row r="252" spans="1:4" ht="12.75" customHeight="1" x14ac:dyDescent="0.2">
      <c r="B252" s="2"/>
      <c r="C252" s="15"/>
      <c r="D252" s="2"/>
    </row>
    <row r="253" spans="1:4" ht="12.75" customHeight="1" x14ac:dyDescent="0.2">
      <c r="A253" s="13" t="s">
        <v>2625</v>
      </c>
      <c r="C253" s="12"/>
    </row>
    <row r="254" spans="1:4" ht="12.75" customHeight="1" x14ac:dyDescent="0.2">
      <c r="A254" s="11"/>
      <c r="B254" s="2"/>
      <c r="C254" s="15"/>
      <c r="D254" s="2"/>
    </row>
    <row r="255" spans="1:4" ht="12.75" customHeight="1" x14ac:dyDescent="0.2">
      <c r="B255" s="11" t="s">
        <v>0</v>
      </c>
      <c r="C255" s="11" t="s">
        <v>7</v>
      </c>
    </row>
    <row r="256" spans="1:4" ht="12.75" customHeight="1" x14ac:dyDescent="0.2">
      <c r="B256" s="11" t="s">
        <v>2599</v>
      </c>
      <c r="C256" s="11" t="s">
        <v>155</v>
      </c>
    </row>
    <row r="257" spans="1:4" ht="25.5" customHeight="1" x14ac:dyDescent="0.2">
      <c r="B257" s="11" t="s">
        <v>2600</v>
      </c>
      <c r="C257" s="11" t="s">
        <v>115</v>
      </c>
    </row>
    <row r="258" spans="1:4" ht="25.5" customHeight="1" x14ac:dyDescent="0.2">
      <c r="B258" s="11" t="s">
        <v>2601</v>
      </c>
      <c r="C258" s="11"/>
    </row>
    <row r="259" spans="1:4" ht="12.75" customHeight="1" x14ac:dyDescent="0.2">
      <c r="B259" s="11" t="s">
        <v>16</v>
      </c>
      <c r="C259" s="11"/>
    </row>
    <row r="260" spans="1:4" ht="12.75" customHeight="1" x14ac:dyDescent="0.2">
      <c r="B260" s="11" t="s">
        <v>13</v>
      </c>
      <c r="C260" s="11" t="s">
        <v>2602</v>
      </c>
    </row>
    <row r="261" spans="1:4" ht="12.75" customHeight="1" x14ac:dyDescent="0.2">
      <c r="B261" s="11" t="s">
        <v>2603</v>
      </c>
      <c r="C261" s="11" t="s">
        <v>2626</v>
      </c>
    </row>
    <row r="262" spans="1:4" ht="12.75" customHeight="1" x14ac:dyDescent="0.2">
      <c r="B262" s="11" t="s">
        <v>2605</v>
      </c>
      <c r="C262" s="11" t="s">
        <v>24</v>
      </c>
    </row>
    <row r="263" spans="1:4" ht="12.75" customHeight="1" x14ac:dyDescent="0.2">
      <c r="B263" s="11" t="s">
        <v>2606</v>
      </c>
      <c r="C263" s="16" t="s">
        <v>44</v>
      </c>
      <c r="D263" s="6" t="str">
        <f>HYPERLINK("javascript:void(0)","térkép")</f>
        <v>térkép</v>
      </c>
    </row>
    <row r="264" spans="1:4" ht="12.75" customHeight="1" x14ac:dyDescent="0.2">
      <c r="B264" s="2"/>
      <c r="C264" s="15"/>
      <c r="D264" s="2"/>
    </row>
    <row r="265" spans="1:4" ht="12.75" customHeight="1" x14ac:dyDescent="0.2">
      <c r="B265" s="2"/>
      <c r="C265" s="15"/>
      <c r="D265" s="2"/>
    </row>
    <row r="266" spans="1:4" ht="12.75" customHeight="1" x14ac:dyDescent="0.2">
      <c r="A266" s="13" t="s">
        <v>2627</v>
      </c>
      <c r="C266" s="12"/>
      <c r="D266" s="2"/>
    </row>
    <row r="267" spans="1:4" ht="12.75" customHeight="1" x14ac:dyDescent="0.2">
      <c r="A267" s="11"/>
      <c r="B267" s="2"/>
      <c r="C267" s="15"/>
      <c r="D267" s="2"/>
    </row>
    <row r="268" spans="1:4" ht="12.75" customHeight="1" x14ac:dyDescent="0.2">
      <c r="B268" s="11" t="s">
        <v>0</v>
      </c>
      <c r="C268" s="17" t="s">
        <v>7</v>
      </c>
      <c r="D268" s="2"/>
    </row>
    <row r="269" spans="1:4" ht="12.75" customHeight="1" x14ac:dyDescent="0.2">
      <c r="B269" s="11" t="s">
        <v>2599</v>
      </c>
      <c r="C269" s="17" t="s">
        <v>118</v>
      </c>
      <c r="D269" s="2"/>
    </row>
    <row r="270" spans="1:4" ht="25.5" customHeight="1" x14ac:dyDescent="0.2">
      <c r="B270" s="11" t="s">
        <v>2600</v>
      </c>
      <c r="C270" s="17" t="s">
        <v>192</v>
      </c>
      <c r="D270" s="2"/>
    </row>
    <row r="271" spans="1:4" ht="25.5" customHeight="1" x14ac:dyDescent="0.2">
      <c r="B271" s="11" t="s">
        <v>2601</v>
      </c>
      <c r="C271" s="17"/>
      <c r="D271" s="2"/>
    </row>
    <row r="272" spans="1:4" ht="12.75" customHeight="1" x14ac:dyDescent="0.2">
      <c r="B272" s="11" t="s">
        <v>16</v>
      </c>
      <c r="C272" s="17"/>
      <c r="D272" s="2"/>
    </row>
    <row r="273" spans="1:4" ht="12.75" customHeight="1" x14ac:dyDescent="0.2">
      <c r="B273" s="11" t="s">
        <v>13</v>
      </c>
      <c r="C273" s="17" t="s">
        <v>2602</v>
      </c>
      <c r="D273" s="2"/>
    </row>
    <row r="274" spans="1:4" ht="12.75" customHeight="1" x14ac:dyDescent="0.2">
      <c r="B274" s="11" t="s">
        <v>2603</v>
      </c>
      <c r="C274" s="17" t="s">
        <v>2604</v>
      </c>
      <c r="D274" s="2"/>
    </row>
    <row r="275" spans="1:4" ht="12.75" customHeight="1" x14ac:dyDescent="0.2">
      <c r="B275" s="11" t="s">
        <v>2605</v>
      </c>
      <c r="C275" s="17" t="s">
        <v>24</v>
      </c>
      <c r="D275" s="2"/>
    </row>
    <row r="276" spans="1:4" ht="12.75" customHeight="1" x14ac:dyDescent="0.2">
      <c r="B276" s="11" t="s">
        <v>2606</v>
      </c>
      <c r="C276" s="16" t="s">
        <v>19</v>
      </c>
      <c r="D276" s="2"/>
    </row>
    <row r="277" spans="1:4" ht="12.75" customHeight="1" x14ac:dyDescent="0.2">
      <c r="B277" s="2"/>
      <c r="C277" s="15"/>
      <c r="D277" s="2"/>
    </row>
    <row r="278" spans="1:4" ht="12.75" customHeight="1" x14ac:dyDescent="0.2">
      <c r="B278" s="2"/>
      <c r="C278" s="15"/>
      <c r="D278" s="2"/>
    </row>
    <row r="279" spans="1:4" ht="12.75" customHeight="1" x14ac:dyDescent="0.2">
      <c r="A279" s="13" t="s">
        <v>2628</v>
      </c>
      <c r="C279" s="12"/>
    </row>
    <row r="280" spans="1:4" ht="12.75" customHeight="1" x14ac:dyDescent="0.2">
      <c r="A280" s="11"/>
      <c r="B280" s="2"/>
      <c r="C280" s="15"/>
      <c r="D280" s="2"/>
    </row>
    <row r="281" spans="1:4" ht="12.75" customHeight="1" x14ac:dyDescent="0.2">
      <c r="B281" s="11" t="s">
        <v>0</v>
      </c>
      <c r="C281" s="11" t="s">
        <v>7</v>
      </c>
    </row>
    <row r="282" spans="1:4" ht="12.75" customHeight="1" x14ac:dyDescent="0.2">
      <c r="B282" s="11" t="s">
        <v>2599</v>
      </c>
      <c r="C282" s="11" t="s">
        <v>90</v>
      </c>
    </row>
    <row r="283" spans="1:4" ht="25.5" customHeight="1" x14ac:dyDescent="0.2">
      <c r="B283" s="11" t="s">
        <v>2600</v>
      </c>
      <c r="C283" s="11" t="s">
        <v>274</v>
      </c>
    </row>
    <row r="284" spans="1:4" ht="25.5" customHeight="1" x14ac:dyDescent="0.2">
      <c r="B284" s="11" t="s">
        <v>2601</v>
      </c>
      <c r="C284" s="11"/>
    </row>
    <row r="285" spans="1:4" ht="12.75" customHeight="1" x14ac:dyDescent="0.2">
      <c r="B285" s="11" t="s">
        <v>16</v>
      </c>
      <c r="C285" s="11"/>
    </row>
    <row r="286" spans="1:4" ht="12.75" customHeight="1" x14ac:dyDescent="0.2">
      <c r="B286" s="11" t="s">
        <v>13</v>
      </c>
      <c r="C286" s="11" t="s">
        <v>2602</v>
      </c>
    </row>
    <row r="287" spans="1:4" ht="12.75" customHeight="1" x14ac:dyDescent="0.2">
      <c r="B287" s="11" t="s">
        <v>2603</v>
      </c>
      <c r="C287" s="11" t="s">
        <v>2626</v>
      </c>
    </row>
    <row r="288" spans="1:4" ht="12.75" customHeight="1" x14ac:dyDescent="0.2">
      <c r="B288" s="11" t="s">
        <v>2605</v>
      </c>
      <c r="C288" s="11" t="s">
        <v>24</v>
      </c>
    </row>
    <row r="289" spans="1:4" ht="12.75" customHeight="1" x14ac:dyDescent="0.2">
      <c r="B289" s="11" t="s">
        <v>2606</v>
      </c>
      <c r="C289" s="16" t="s">
        <v>44</v>
      </c>
      <c r="D289" s="6" t="str">
        <f>HYPERLINK("javascript:void(0)","koponya")</f>
        <v>koponya</v>
      </c>
    </row>
    <row r="290" spans="1:4" ht="12.75" customHeight="1" x14ac:dyDescent="0.2">
      <c r="B290" s="2"/>
      <c r="C290" s="15"/>
      <c r="D290" s="2"/>
    </row>
    <row r="291" spans="1:4" ht="12.75" customHeight="1" x14ac:dyDescent="0.2">
      <c r="B291" s="2"/>
      <c r="C291" s="15"/>
      <c r="D291" s="2"/>
    </row>
    <row r="292" spans="1:4" ht="12.75" customHeight="1" x14ac:dyDescent="0.2">
      <c r="A292" s="13" t="s">
        <v>2629</v>
      </c>
      <c r="C292" s="12"/>
    </row>
    <row r="293" spans="1:4" ht="12.75" customHeight="1" x14ac:dyDescent="0.2">
      <c r="A293" s="11"/>
      <c r="B293" s="2"/>
      <c r="C293" s="15"/>
      <c r="D293" s="2"/>
    </row>
    <row r="294" spans="1:4" ht="12.75" customHeight="1" x14ac:dyDescent="0.2">
      <c r="B294" s="11" t="s">
        <v>0</v>
      </c>
      <c r="C294" s="11" t="s">
        <v>7</v>
      </c>
    </row>
    <row r="295" spans="1:4" ht="12.75" customHeight="1" x14ac:dyDescent="0.2">
      <c r="B295" s="11" t="s">
        <v>2599</v>
      </c>
      <c r="C295" s="11" t="s">
        <v>86</v>
      </c>
    </row>
    <row r="296" spans="1:4" ht="25.5" customHeight="1" x14ac:dyDescent="0.2">
      <c r="B296" s="11" t="s">
        <v>2600</v>
      </c>
      <c r="C296" s="11" t="s">
        <v>385</v>
      </c>
    </row>
    <row r="297" spans="1:4" ht="25.5" customHeight="1" x14ac:dyDescent="0.2">
      <c r="B297" s="11" t="s">
        <v>2601</v>
      </c>
      <c r="C297" s="11"/>
    </row>
    <row r="298" spans="1:4" ht="12.75" customHeight="1" x14ac:dyDescent="0.2">
      <c r="B298" s="11" t="s">
        <v>16</v>
      </c>
      <c r="C298" s="11"/>
    </row>
    <row r="299" spans="1:4" ht="12.75" customHeight="1" x14ac:dyDescent="0.2">
      <c r="B299" s="11" t="s">
        <v>13</v>
      </c>
      <c r="C299" s="11" t="s">
        <v>2602</v>
      </c>
    </row>
    <row r="300" spans="1:4" ht="12.75" customHeight="1" x14ac:dyDescent="0.2">
      <c r="B300" s="11" t="s">
        <v>2603</v>
      </c>
      <c r="C300" s="11" t="s">
        <v>2604</v>
      </c>
    </row>
    <row r="301" spans="1:4" ht="12.75" customHeight="1" x14ac:dyDescent="0.2">
      <c r="B301" s="11" t="s">
        <v>2605</v>
      </c>
      <c r="C301" s="11" t="s">
        <v>24</v>
      </c>
    </row>
    <row r="302" spans="1:4" ht="25.5" customHeight="1" x14ac:dyDescent="0.2">
      <c r="B302" s="11" t="s">
        <v>2606</v>
      </c>
      <c r="C302" s="16" t="s">
        <v>44</v>
      </c>
      <c r="D302" s="6" t="str">
        <f>HYPERLINK("javascript:void(0)","teknőspáncél")</f>
        <v>teknőspáncél</v>
      </c>
    </row>
    <row r="303" spans="1:4" ht="12.75" customHeight="1" x14ac:dyDescent="0.2">
      <c r="C303" s="16" t="s">
        <v>55</v>
      </c>
      <c r="D303" s="6" t="str">
        <f>HYPERLINK("javascript:void(0)","kaja")</f>
        <v>kaja</v>
      </c>
    </row>
    <row r="304" spans="1:4" ht="12.75" customHeight="1" x14ac:dyDescent="0.2">
      <c r="B304" s="2"/>
      <c r="C304" s="15"/>
      <c r="D304" s="2"/>
    </row>
    <row r="305" spans="1:4" ht="12.75" customHeight="1" x14ac:dyDescent="0.2">
      <c r="B305" s="2"/>
      <c r="C305" s="15"/>
      <c r="D305" s="2"/>
    </row>
    <row r="306" spans="1:4" ht="12.75" customHeight="1" x14ac:dyDescent="0.2">
      <c r="A306" s="13" t="s">
        <v>2630</v>
      </c>
      <c r="C306" s="12"/>
    </row>
    <row r="307" spans="1:4" ht="12.75" customHeight="1" x14ac:dyDescent="0.2">
      <c r="A307" s="11"/>
      <c r="B307" s="2"/>
      <c r="C307" s="15"/>
      <c r="D307" s="2"/>
    </row>
    <row r="308" spans="1:4" ht="12.75" customHeight="1" x14ac:dyDescent="0.2">
      <c r="B308" s="11" t="s">
        <v>0</v>
      </c>
      <c r="C308" s="11" t="s">
        <v>7</v>
      </c>
    </row>
    <row r="309" spans="1:4" ht="12.75" customHeight="1" x14ac:dyDescent="0.2">
      <c r="B309" s="11" t="s">
        <v>2599</v>
      </c>
      <c r="C309" s="11" t="s">
        <v>35</v>
      </c>
    </row>
    <row r="310" spans="1:4" ht="25.5" customHeight="1" x14ac:dyDescent="0.2">
      <c r="B310" s="11" t="s">
        <v>2600</v>
      </c>
      <c r="C310" s="11" t="s">
        <v>178</v>
      </c>
    </row>
    <row r="311" spans="1:4" ht="25.5" customHeight="1" x14ac:dyDescent="0.2">
      <c r="B311" s="11" t="s">
        <v>2601</v>
      </c>
      <c r="C311" s="11"/>
    </row>
    <row r="312" spans="1:4" ht="12.75" customHeight="1" x14ac:dyDescent="0.2">
      <c r="B312" s="11" t="s">
        <v>16</v>
      </c>
      <c r="C312" s="11"/>
    </row>
    <row r="313" spans="1:4" ht="12.75" customHeight="1" x14ac:dyDescent="0.2">
      <c r="B313" s="11" t="s">
        <v>13</v>
      </c>
      <c r="C313" s="11" t="s">
        <v>2602</v>
      </c>
    </row>
    <row r="314" spans="1:4" ht="12.75" customHeight="1" x14ac:dyDescent="0.2">
      <c r="B314" s="11" t="s">
        <v>2603</v>
      </c>
      <c r="C314" s="11" t="s">
        <v>2604</v>
      </c>
    </row>
    <row r="315" spans="1:4" ht="12.75" customHeight="1" x14ac:dyDescent="0.2">
      <c r="B315" s="11" t="s">
        <v>2605</v>
      </c>
      <c r="C315" s="11" t="s">
        <v>24</v>
      </c>
    </row>
    <row r="316" spans="1:4" ht="12.75" customHeight="1" x14ac:dyDescent="0.2">
      <c r="B316" s="11" t="s">
        <v>2606</v>
      </c>
      <c r="C316" s="16" t="s">
        <v>98</v>
      </c>
      <c r="D316" s="6" t="str">
        <f>HYPERLINK("javascript:void(0)","kaja")</f>
        <v>kaja</v>
      </c>
    </row>
    <row r="317" spans="1:4" ht="12.75" customHeight="1" x14ac:dyDescent="0.2">
      <c r="B317" s="2"/>
      <c r="C317" s="15"/>
      <c r="D317" s="2"/>
    </row>
    <row r="318" spans="1:4" ht="12.75" customHeight="1" x14ac:dyDescent="0.2">
      <c r="B318" s="2"/>
      <c r="C318" s="15"/>
      <c r="D318" s="2"/>
    </row>
    <row r="319" spans="1:4" ht="12.75" customHeight="1" x14ac:dyDescent="0.2">
      <c r="A319" s="13" t="s">
        <v>2631</v>
      </c>
      <c r="C319" s="12"/>
    </row>
    <row r="320" spans="1:4" ht="12.75" customHeight="1" x14ac:dyDescent="0.2">
      <c r="A320" s="11"/>
      <c r="B320" s="2"/>
      <c r="C320" s="15"/>
      <c r="D320" s="2"/>
    </row>
    <row r="321" spans="1:4" ht="12.75" customHeight="1" x14ac:dyDescent="0.2">
      <c r="B321" s="11" t="s">
        <v>0</v>
      </c>
      <c r="C321" s="11" t="s">
        <v>123</v>
      </c>
    </row>
    <row r="322" spans="1:4" ht="12.75" customHeight="1" x14ac:dyDescent="0.2">
      <c r="B322" s="11" t="s">
        <v>2599</v>
      </c>
      <c r="C322" s="11" t="s">
        <v>38</v>
      </c>
    </row>
    <row r="323" spans="1:4" ht="25.5" customHeight="1" x14ac:dyDescent="0.2">
      <c r="B323" s="11" t="s">
        <v>2600</v>
      </c>
      <c r="C323" s="11" t="s">
        <v>953</v>
      </c>
    </row>
    <row r="324" spans="1:4" ht="25.5" customHeight="1" x14ac:dyDescent="0.2">
      <c r="B324" s="11" t="s">
        <v>2601</v>
      </c>
      <c r="C324" s="11"/>
    </row>
    <row r="325" spans="1:4" ht="12.75" customHeight="1" x14ac:dyDescent="0.2">
      <c r="B325" s="11" t="s">
        <v>16</v>
      </c>
      <c r="C325" s="11"/>
    </row>
    <row r="326" spans="1:4" ht="12.75" customHeight="1" x14ac:dyDescent="0.2">
      <c r="B326" s="11" t="s">
        <v>13</v>
      </c>
      <c r="C326" s="11" t="s">
        <v>2602</v>
      </c>
    </row>
    <row r="327" spans="1:4" ht="12.75" customHeight="1" x14ac:dyDescent="0.2">
      <c r="B327" s="11" t="s">
        <v>2603</v>
      </c>
      <c r="C327" s="11" t="s">
        <v>2604</v>
      </c>
    </row>
    <row r="328" spans="1:4" ht="12.75" customHeight="1" x14ac:dyDescent="0.2">
      <c r="B328" s="11" t="s">
        <v>2605</v>
      </c>
      <c r="C328" s="11" t="s">
        <v>24</v>
      </c>
    </row>
    <row r="329" spans="1:4" ht="12.75" customHeight="1" x14ac:dyDescent="0.2">
      <c r="B329" s="11" t="s">
        <v>2606</v>
      </c>
      <c r="C329" s="16" t="s">
        <v>117</v>
      </c>
      <c r="D329" s="6" t="str">
        <f>HYPERLINK("javascript:void(0)","savkristály")</f>
        <v>savkristály</v>
      </c>
    </row>
    <row r="330" spans="1:4" ht="12.75" customHeight="1" x14ac:dyDescent="0.2">
      <c r="B330" s="2"/>
      <c r="C330" s="15"/>
      <c r="D330" s="2"/>
    </row>
    <row r="331" spans="1:4" ht="12.75" customHeight="1" x14ac:dyDescent="0.2">
      <c r="B331" s="2"/>
      <c r="C331" s="15"/>
      <c r="D331" s="2"/>
    </row>
    <row r="332" spans="1:4" ht="12.75" customHeight="1" x14ac:dyDescent="0.2">
      <c r="A332" s="13" t="s">
        <v>2632</v>
      </c>
      <c r="C332" s="12"/>
    </row>
    <row r="333" spans="1:4" ht="12.75" customHeight="1" x14ac:dyDescent="0.2">
      <c r="A333" s="11"/>
      <c r="B333" s="2"/>
      <c r="C333" s="15"/>
      <c r="D333" s="2"/>
    </row>
    <row r="334" spans="1:4" ht="12.75" customHeight="1" x14ac:dyDescent="0.2">
      <c r="B334" s="11" t="s">
        <v>0</v>
      </c>
      <c r="C334" s="11" t="s">
        <v>123</v>
      </c>
    </row>
    <row r="335" spans="1:4" ht="12.75" customHeight="1" x14ac:dyDescent="0.2">
      <c r="B335" s="11" t="s">
        <v>2599</v>
      </c>
      <c r="C335" s="11" t="s">
        <v>260</v>
      </c>
    </row>
    <row r="336" spans="1:4" ht="25.5" customHeight="1" x14ac:dyDescent="0.2">
      <c r="B336" s="11" t="s">
        <v>2600</v>
      </c>
      <c r="C336" s="11" t="s">
        <v>728</v>
      </c>
    </row>
    <row r="337" spans="1:4" ht="25.5" customHeight="1" x14ac:dyDescent="0.2">
      <c r="B337" s="11" t="s">
        <v>2601</v>
      </c>
      <c r="C337" s="11"/>
    </row>
    <row r="338" spans="1:4" ht="12.75" customHeight="1" x14ac:dyDescent="0.2">
      <c r="B338" s="11" t="s">
        <v>16</v>
      </c>
      <c r="C338" s="11"/>
    </row>
    <row r="339" spans="1:4" ht="12.75" customHeight="1" x14ac:dyDescent="0.2">
      <c r="B339" s="11" t="s">
        <v>13</v>
      </c>
      <c r="C339" s="11" t="s">
        <v>2602</v>
      </c>
    </row>
    <row r="340" spans="1:4" ht="12.75" customHeight="1" x14ac:dyDescent="0.2">
      <c r="B340" s="11" t="s">
        <v>2603</v>
      </c>
      <c r="C340" s="11" t="s">
        <v>2633</v>
      </c>
    </row>
    <row r="341" spans="1:4" ht="12.75" customHeight="1" x14ac:dyDescent="0.2">
      <c r="B341" s="11" t="s">
        <v>2605</v>
      </c>
      <c r="C341" s="11" t="s">
        <v>24</v>
      </c>
    </row>
    <row r="342" spans="1:4" ht="12.75" customHeight="1" x14ac:dyDescent="0.2">
      <c r="B342" s="11" t="s">
        <v>2606</v>
      </c>
      <c r="C342" s="16" t="s">
        <v>44</v>
      </c>
      <c r="D342" s="6" t="str">
        <f>HYPERLINK("javascript:void(0)","opál")</f>
        <v>opál</v>
      </c>
    </row>
    <row r="343" spans="1:4" ht="12.75" customHeight="1" x14ac:dyDescent="0.2">
      <c r="C343" s="16" t="s">
        <v>56</v>
      </c>
      <c r="D343" s="6" t="str">
        <f>HYPERLINK("javascript:void(0)","gyöngy")</f>
        <v>gyöngy</v>
      </c>
    </row>
    <row r="344" spans="1:4" ht="12.75" customHeight="1" x14ac:dyDescent="0.2">
      <c r="B344" s="2"/>
      <c r="C344" s="15"/>
      <c r="D344" s="2"/>
    </row>
    <row r="345" spans="1:4" ht="12.75" customHeight="1" x14ac:dyDescent="0.2">
      <c r="B345" s="2"/>
      <c r="C345" s="15"/>
      <c r="D345" s="2"/>
    </row>
    <row r="346" spans="1:4" ht="12.75" customHeight="1" x14ac:dyDescent="0.2">
      <c r="A346" s="13" t="s">
        <v>2634</v>
      </c>
      <c r="C346" s="12"/>
    </row>
    <row r="347" spans="1:4" ht="12.75" customHeight="1" x14ac:dyDescent="0.2">
      <c r="A347" s="11"/>
      <c r="B347" s="2"/>
      <c r="C347" s="15"/>
      <c r="D347" s="2"/>
    </row>
    <row r="348" spans="1:4" ht="12.75" customHeight="1" x14ac:dyDescent="0.2">
      <c r="B348" s="11" t="s">
        <v>0</v>
      </c>
      <c r="C348" s="11" t="s">
        <v>123</v>
      </c>
    </row>
    <row r="349" spans="1:4" ht="12.75" customHeight="1" x14ac:dyDescent="0.2">
      <c r="B349" s="11" t="s">
        <v>2599</v>
      </c>
      <c r="C349" s="11" t="s">
        <v>291</v>
      </c>
    </row>
    <row r="350" spans="1:4" ht="25.5" customHeight="1" x14ac:dyDescent="0.2">
      <c r="B350" s="11" t="s">
        <v>2600</v>
      </c>
      <c r="C350" s="11" t="s">
        <v>1114</v>
      </c>
    </row>
    <row r="351" spans="1:4" ht="25.5" customHeight="1" x14ac:dyDescent="0.2">
      <c r="B351" s="11" t="s">
        <v>2601</v>
      </c>
      <c r="C351" s="11"/>
    </row>
    <row r="352" spans="1:4" ht="12.75" customHeight="1" x14ac:dyDescent="0.2">
      <c r="B352" s="11" t="s">
        <v>16</v>
      </c>
      <c r="C352" s="11"/>
    </row>
    <row r="353" spans="1:4" ht="12.75" customHeight="1" x14ac:dyDescent="0.2">
      <c r="B353" s="11" t="s">
        <v>13</v>
      </c>
      <c r="C353" s="11" t="s">
        <v>2602</v>
      </c>
    </row>
    <row r="354" spans="1:4" ht="12.75" customHeight="1" x14ac:dyDescent="0.2">
      <c r="B354" s="11" t="s">
        <v>2603</v>
      </c>
      <c r="C354" s="11" t="s">
        <v>2633</v>
      </c>
    </row>
    <row r="355" spans="1:4" ht="12.75" customHeight="1" x14ac:dyDescent="0.2">
      <c r="B355" s="11" t="s">
        <v>2605</v>
      </c>
      <c r="C355" s="11" t="s">
        <v>24</v>
      </c>
    </row>
    <row r="356" spans="1:4" ht="12.75" customHeight="1" x14ac:dyDescent="0.2">
      <c r="B356" s="11" t="s">
        <v>2606</v>
      </c>
      <c r="C356" s="16" t="s">
        <v>44</v>
      </c>
      <c r="D356" s="6" t="str">
        <f>HYPERLINK("javascript:void(0)","vakond bőr")</f>
        <v>vakond bőr</v>
      </c>
    </row>
    <row r="357" spans="1:4" ht="12.75" customHeight="1" x14ac:dyDescent="0.2">
      <c r="B357" s="2"/>
      <c r="C357" s="15"/>
      <c r="D357" s="2"/>
    </row>
    <row r="358" spans="1:4" ht="12.75" customHeight="1" x14ac:dyDescent="0.2">
      <c r="B358" s="2"/>
      <c r="C358" s="15"/>
      <c r="D358" s="2"/>
    </row>
    <row r="359" spans="1:4" ht="12.75" customHeight="1" x14ac:dyDescent="0.2">
      <c r="A359" s="13" t="s">
        <v>2635</v>
      </c>
      <c r="C359" s="12"/>
    </row>
    <row r="360" spans="1:4" ht="12.75" customHeight="1" x14ac:dyDescent="0.2">
      <c r="A360" s="11"/>
      <c r="B360" s="2"/>
      <c r="C360" s="15"/>
      <c r="D360" s="2"/>
    </row>
    <row r="361" spans="1:4" ht="12.75" customHeight="1" x14ac:dyDescent="0.2">
      <c r="B361" s="11" t="s">
        <v>0</v>
      </c>
      <c r="C361" s="11" t="s">
        <v>123</v>
      </c>
    </row>
    <row r="362" spans="1:4" ht="12.75" customHeight="1" x14ac:dyDescent="0.2">
      <c r="B362" s="11" t="s">
        <v>2599</v>
      </c>
      <c r="C362" s="11" t="s">
        <v>206</v>
      </c>
    </row>
    <row r="363" spans="1:4" ht="25.5" customHeight="1" x14ac:dyDescent="0.2">
      <c r="B363" s="11" t="s">
        <v>2600</v>
      </c>
      <c r="C363" s="11" t="s">
        <v>790</v>
      </c>
    </row>
    <row r="364" spans="1:4" ht="25.5" customHeight="1" x14ac:dyDescent="0.2">
      <c r="B364" s="11" t="s">
        <v>2601</v>
      </c>
      <c r="C364" s="11"/>
    </row>
    <row r="365" spans="1:4" ht="12.75" customHeight="1" x14ac:dyDescent="0.2">
      <c r="B365" s="11" t="s">
        <v>16</v>
      </c>
      <c r="C365" s="11"/>
    </row>
    <row r="366" spans="1:4" ht="12.75" customHeight="1" x14ac:dyDescent="0.2">
      <c r="B366" s="11" t="s">
        <v>13</v>
      </c>
      <c r="C366" s="11" t="s">
        <v>2602</v>
      </c>
    </row>
    <row r="367" spans="1:4" ht="12.75" customHeight="1" x14ac:dyDescent="0.2">
      <c r="B367" s="11" t="s">
        <v>2603</v>
      </c>
      <c r="C367" s="11" t="s">
        <v>2604</v>
      </c>
    </row>
    <row r="368" spans="1:4" ht="12.75" customHeight="1" x14ac:dyDescent="0.2">
      <c r="B368" s="11" t="s">
        <v>2605</v>
      </c>
      <c r="C368" s="11" t="s">
        <v>24</v>
      </c>
    </row>
    <row r="369" spans="1:4" ht="12.75" customHeight="1" x14ac:dyDescent="0.2">
      <c r="B369" s="11" t="s">
        <v>2606</v>
      </c>
      <c r="C369" s="16" t="s">
        <v>44</v>
      </c>
      <c r="D369" s="6" t="str">
        <f>HYPERLINK("javascript:void(0)","lándzsa")</f>
        <v>lándzsa</v>
      </c>
    </row>
    <row r="370" spans="1:4" ht="12.75" customHeight="1" x14ac:dyDescent="0.2">
      <c r="B370" s="2"/>
      <c r="C370" s="15"/>
      <c r="D370" s="2"/>
    </row>
    <row r="371" spans="1:4" ht="12.75" customHeight="1" x14ac:dyDescent="0.2">
      <c r="B371" s="2"/>
      <c r="C371" s="15"/>
      <c r="D371" s="2"/>
    </row>
    <row r="372" spans="1:4" ht="12.75" customHeight="1" x14ac:dyDescent="0.2">
      <c r="A372" s="13" t="s">
        <v>2636</v>
      </c>
      <c r="C372" s="12"/>
    </row>
    <row r="373" spans="1:4" ht="12.75" customHeight="1" x14ac:dyDescent="0.2">
      <c r="A373" s="11"/>
      <c r="B373" s="2"/>
      <c r="C373" s="15"/>
      <c r="D373" s="2"/>
    </row>
    <row r="374" spans="1:4" ht="12.75" customHeight="1" x14ac:dyDescent="0.2">
      <c r="B374" s="11" t="s">
        <v>0</v>
      </c>
      <c r="C374" s="11" t="s">
        <v>123</v>
      </c>
    </row>
    <row r="375" spans="1:4" ht="12.75" customHeight="1" x14ac:dyDescent="0.2">
      <c r="B375" s="11" t="s">
        <v>2599</v>
      </c>
      <c r="C375" s="11" t="s">
        <v>291</v>
      </c>
    </row>
    <row r="376" spans="1:4" ht="25.5" customHeight="1" x14ac:dyDescent="0.2">
      <c r="B376" s="11" t="s">
        <v>2600</v>
      </c>
      <c r="C376" s="11" t="s">
        <v>181</v>
      </c>
    </row>
    <row r="377" spans="1:4" ht="25.5" customHeight="1" x14ac:dyDescent="0.2">
      <c r="B377" s="11" t="s">
        <v>2601</v>
      </c>
      <c r="C377" s="11"/>
    </row>
    <row r="378" spans="1:4" ht="12.75" customHeight="1" x14ac:dyDescent="0.2">
      <c r="B378" s="11" t="s">
        <v>16</v>
      </c>
      <c r="C378" s="11"/>
    </row>
    <row r="379" spans="1:4" ht="12.75" customHeight="1" x14ac:dyDescent="0.2">
      <c r="B379" s="11" t="s">
        <v>13</v>
      </c>
      <c r="C379" s="11" t="s">
        <v>2602</v>
      </c>
    </row>
    <row r="380" spans="1:4" ht="12.75" customHeight="1" x14ac:dyDescent="0.2">
      <c r="B380" s="11" t="s">
        <v>2603</v>
      </c>
      <c r="C380" s="11" t="s">
        <v>2604</v>
      </c>
    </row>
    <row r="381" spans="1:4" ht="12.75" customHeight="1" x14ac:dyDescent="0.2">
      <c r="B381" s="11" t="s">
        <v>2605</v>
      </c>
      <c r="C381" s="11" t="s">
        <v>24</v>
      </c>
    </row>
    <row r="382" spans="1:4" ht="25.5" customHeight="1" x14ac:dyDescent="0.2">
      <c r="B382" s="11" t="s">
        <v>2606</v>
      </c>
      <c r="C382" s="16" t="s">
        <v>44</v>
      </c>
      <c r="D382" s="6" t="str">
        <f>HYPERLINK("javascript:void(0)","törpe csákány")</f>
        <v>törpe csákány</v>
      </c>
    </row>
    <row r="383" spans="1:4" ht="12.75" customHeight="1" x14ac:dyDescent="0.2">
      <c r="B383" s="2"/>
      <c r="C383" s="15"/>
      <c r="D383" s="2"/>
    </row>
    <row r="384" spans="1:4" ht="12.75" customHeight="1" x14ac:dyDescent="0.2">
      <c r="B384" s="2"/>
      <c r="C384" s="15"/>
      <c r="D384" s="2"/>
    </row>
    <row r="385" spans="1:4" ht="12.75" customHeight="1" x14ac:dyDescent="0.2">
      <c r="A385" s="13" t="s">
        <v>2637</v>
      </c>
      <c r="C385" s="12"/>
    </row>
    <row r="386" spans="1:4" ht="12.75" customHeight="1" x14ac:dyDescent="0.2">
      <c r="A386" s="11"/>
      <c r="B386" s="2"/>
      <c r="C386" s="15"/>
      <c r="D386" s="2"/>
    </row>
    <row r="387" spans="1:4" ht="12.75" customHeight="1" x14ac:dyDescent="0.2">
      <c r="B387" s="11" t="s">
        <v>0</v>
      </c>
      <c r="C387" s="11" t="s">
        <v>123</v>
      </c>
    </row>
    <row r="388" spans="1:4" ht="12.75" customHeight="1" x14ac:dyDescent="0.2">
      <c r="B388" s="11" t="s">
        <v>2599</v>
      </c>
      <c r="C388" s="11" t="s">
        <v>206</v>
      </c>
    </row>
    <row r="389" spans="1:4" ht="25.5" customHeight="1" x14ac:dyDescent="0.2">
      <c r="B389" s="11" t="s">
        <v>2600</v>
      </c>
      <c r="C389" s="11" t="s">
        <v>245</v>
      </c>
    </row>
    <row r="390" spans="1:4" ht="25.5" customHeight="1" x14ac:dyDescent="0.2">
      <c r="B390" s="11" t="s">
        <v>2601</v>
      </c>
      <c r="C390" s="11"/>
    </row>
    <row r="391" spans="1:4" ht="12.75" customHeight="1" x14ac:dyDescent="0.2">
      <c r="B391" s="11" t="s">
        <v>16</v>
      </c>
      <c r="C391" s="11"/>
    </row>
    <row r="392" spans="1:4" ht="12.75" customHeight="1" x14ac:dyDescent="0.2">
      <c r="B392" s="11" t="s">
        <v>13</v>
      </c>
      <c r="C392" s="11" t="s">
        <v>2602</v>
      </c>
    </row>
    <row r="393" spans="1:4" ht="12.75" customHeight="1" x14ac:dyDescent="0.2">
      <c r="B393" s="11" t="s">
        <v>2603</v>
      </c>
      <c r="C393" s="11" t="s">
        <v>2626</v>
      </c>
    </row>
    <row r="394" spans="1:4" ht="12.75" customHeight="1" x14ac:dyDescent="0.2">
      <c r="B394" s="11" t="s">
        <v>2605</v>
      </c>
      <c r="C394" s="11" t="s">
        <v>24</v>
      </c>
    </row>
    <row r="395" spans="1:4" ht="12.75" customHeight="1" x14ac:dyDescent="0.2">
      <c r="B395" s="11" t="s">
        <v>2606</v>
      </c>
      <c r="C395" s="16" t="s">
        <v>77</v>
      </c>
      <c r="D395" s="6" t="str">
        <f>HYPERLINK("javascript:void(0)","kaja")</f>
        <v>kaja</v>
      </c>
    </row>
    <row r="396" spans="1:4" ht="12.75" customHeight="1" x14ac:dyDescent="0.2">
      <c r="B396" s="2"/>
      <c r="C396" s="15"/>
      <c r="D396" s="2"/>
    </row>
    <row r="397" spans="1:4" ht="12.75" customHeight="1" x14ac:dyDescent="0.2">
      <c r="B397" s="2"/>
      <c r="C397" s="15"/>
      <c r="D397" s="2"/>
    </row>
    <row r="398" spans="1:4" ht="12.75" customHeight="1" x14ac:dyDescent="0.2">
      <c r="A398" s="13" t="s">
        <v>2638</v>
      </c>
      <c r="C398" s="12"/>
    </row>
    <row r="399" spans="1:4" ht="12.75" customHeight="1" x14ac:dyDescent="0.2">
      <c r="A399" s="11"/>
      <c r="B399" s="2"/>
      <c r="C399" s="15"/>
      <c r="D399" s="2"/>
    </row>
    <row r="400" spans="1:4" ht="12.75" customHeight="1" x14ac:dyDescent="0.2">
      <c r="B400" s="11" t="s">
        <v>0</v>
      </c>
      <c r="C400" s="11" t="s">
        <v>26</v>
      </c>
    </row>
    <row r="401" spans="1:4" ht="12.75" customHeight="1" x14ac:dyDescent="0.2">
      <c r="B401" s="11" t="s">
        <v>2599</v>
      </c>
      <c r="C401" s="11" t="s">
        <v>353</v>
      </c>
    </row>
    <row r="402" spans="1:4" ht="25.5" customHeight="1" x14ac:dyDescent="0.2">
      <c r="B402" s="11" t="s">
        <v>2600</v>
      </c>
      <c r="C402" s="11" t="s">
        <v>1740</v>
      </c>
    </row>
    <row r="403" spans="1:4" ht="25.5" customHeight="1" x14ac:dyDescent="0.2">
      <c r="B403" s="11" t="s">
        <v>2601</v>
      </c>
      <c r="C403" s="11"/>
    </row>
    <row r="404" spans="1:4" ht="12.75" customHeight="1" x14ac:dyDescent="0.2">
      <c r="B404" s="11" t="s">
        <v>16</v>
      </c>
      <c r="C404" s="11"/>
    </row>
    <row r="405" spans="1:4" ht="12.75" customHeight="1" x14ac:dyDescent="0.2">
      <c r="B405" s="11" t="s">
        <v>13</v>
      </c>
      <c r="C405" s="11" t="s">
        <v>2602</v>
      </c>
    </row>
    <row r="406" spans="1:4" ht="12.75" customHeight="1" x14ac:dyDescent="0.2">
      <c r="B406" s="11" t="s">
        <v>2603</v>
      </c>
      <c r="C406" s="11" t="s">
        <v>2626</v>
      </c>
    </row>
    <row r="407" spans="1:4" ht="12.75" customHeight="1" x14ac:dyDescent="0.2">
      <c r="B407" s="11" t="s">
        <v>2605</v>
      </c>
      <c r="C407" s="11" t="s">
        <v>24</v>
      </c>
    </row>
    <row r="408" spans="1:4" ht="12.75" customHeight="1" x14ac:dyDescent="0.2">
      <c r="B408" s="11" t="s">
        <v>2606</v>
      </c>
      <c r="C408" s="16" t="s">
        <v>44</v>
      </c>
      <c r="D408" s="6" t="str">
        <f>HYPERLINK("javascript:void(0)","tuskópáncél")</f>
        <v>tuskópáncél</v>
      </c>
    </row>
    <row r="409" spans="1:4" ht="12.75" customHeight="1" x14ac:dyDescent="0.2">
      <c r="B409" s="2"/>
      <c r="C409" s="15"/>
      <c r="D409" s="2"/>
    </row>
    <row r="410" spans="1:4" ht="12.75" customHeight="1" x14ac:dyDescent="0.2">
      <c r="B410" s="2"/>
      <c r="C410" s="15"/>
      <c r="D410" s="2"/>
    </row>
    <row r="411" spans="1:4" ht="12.75" customHeight="1" x14ac:dyDescent="0.2">
      <c r="A411" s="13" t="s">
        <v>2639</v>
      </c>
      <c r="C411" s="12"/>
      <c r="D411" s="2"/>
    </row>
    <row r="412" spans="1:4" ht="12.75" customHeight="1" x14ac:dyDescent="0.2">
      <c r="A412" s="11"/>
      <c r="B412" s="2"/>
      <c r="C412" s="15"/>
      <c r="D412" s="2"/>
    </row>
    <row r="413" spans="1:4" ht="12.75" customHeight="1" x14ac:dyDescent="0.2">
      <c r="B413" s="11" t="s">
        <v>0</v>
      </c>
      <c r="C413" s="17" t="s">
        <v>26</v>
      </c>
      <c r="D413" s="2"/>
    </row>
    <row r="414" spans="1:4" ht="12.75" customHeight="1" x14ac:dyDescent="0.2">
      <c r="B414" s="11" t="s">
        <v>2599</v>
      </c>
      <c r="C414" s="17" t="s">
        <v>115</v>
      </c>
      <c r="D414" s="2"/>
    </row>
    <row r="415" spans="1:4" ht="25.5" customHeight="1" x14ac:dyDescent="0.2">
      <c r="B415" s="11" t="s">
        <v>2600</v>
      </c>
      <c r="C415" s="17" t="s">
        <v>278</v>
      </c>
      <c r="D415" s="2"/>
    </row>
    <row r="416" spans="1:4" ht="25.5" customHeight="1" x14ac:dyDescent="0.2">
      <c r="B416" s="11" t="s">
        <v>2601</v>
      </c>
      <c r="C416" s="17"/>
      <c r="D416" s="2"/>
    </row>
    <row r="417" spans="1:4" ht="12.75" customHeight="1" x14ac:dyDescent="0.2">
      <c r="B417" s="11" t="s">
        <v>16</v>
      </c>
      <c r="C417" s="17"/>
      <c r="D417" s="2"/>
    </row>
    <row r="418" spans="1:4" ht="12.75" customHeight="1" x14ac:dyDescent="0.2">
      <c r="B418" s="11" t="s">
        <v>13</v>
      </c>
      <c r="C418" s="17" t="s">
        <v>2602</v>
      </c>
      <c r="D418" s="2"/>
    </row>
    <row r="419" spans="1:4" ht="12.75" customHeight="1" x14ac:dyDescent="0.2">
      <c r="B419" s="11" t="s">
        <v>2603</v>
      </c>
      <c r="C419" s="17" t="s">
        <v>2640</v>
      </c>
      <c r="D419" s="2"/>
    </row>
    <row r="420" spans="1:4" ht="12.75" customHeight="1" x14ac:dyDescent="0.2">
      <c r="B420" s="11" t="s">
        <v>2605</v>
      </c>
      <c r="C420" s="17" t="s">
        <v>24</v>
      </c>
      <c r="D420" s="2"/>
    </row>
    <row r="421" spans="1:4" ht="12.75" customHeight="1" x14ac:dyDescent="0.2">
      <c r="B421" s="11" t="s">
        <v>2606</v>
      </c>
      <c r="C421" s="16" t="s">
        <v>19</v>
      </c>
      <c r="D421" s="2"/>
    </row>
    <row r="422" spans="1:4" ht="12.75" customHeight="1" x14ac:dyDescent="0.2">
      <c r="B422" s="2"/>
      <c r="C422" s="15"/>
      <c r="D422" s="2"/>
    </row>
    <row r="423" spans="1:4" ht="12.75" customHeight="1" x14ac:dyDescent="0.2">
      <c r="B423" s="2"/>
      <c r="C423" s="15"/>
      <c r="D423" s="2"/>
    </row>
    <row r="424" spans="1:4" ht="12.75" customHeight="1" x14ac:dyDescent="0.2">
      <c r="A424" s="13" t="s">
        <v>2641</v>
      </c>
      <c r="C424" s="12"/>
    </row>
    <row r="425" spans="1:4" ht="12.75" customHeight="1" x14ac:dyDescent="0.2">
      <c r="A425" s="11"/>
      <c r="B425" s="2"/>
      <c r="C425" s="15"/>
      <c r="D425" s="2"/>
    </row>
    <row r="426" spans="1:4" ht="12.75" customHeight="1" x14ac:dyDescent="0.2">
      <c r="B426" s="11" t="s">
        <v>0</v>
      </c>
      <c r="C426" s="11" t="s">
        <v>26</v>
      </c>
    </row>
    <row r="427" spans="1:4" ht="12.75" customHeight="1" x14ac:dyDescent="0.2">
      <c r="B427" s="11" t="s">
        <v>2599</v>
      </c>
      <c r="C427" s="11" t="s">
        <v>392</v>
      </c>
    </row>
    <row r="428" spans="1:4" ht="25.5" customHeight="1" x14ac:dyDescent="0.2">
      <c r="B428" s="11" t="s">
        <v>2600</v>
      </c>
      <c r="C428" s="11" t="s">
        <v>242</v>
      </c>
    </row>
    <row r="429" spans="1:4" ht="25.5" customHeight="1" x14ac:dyDescent="0.2">
      <c r="B429" s="11" t="s">
        <v>2601</v>
      </c>
      <c r="C429" s="11"/>
    </row>
    <row r="430" spans="1:4" ht="12.75" customHeight="1" x14ac:dyDescent="0.2">
      <c r="B430" s="11" t="s">
        <v>16</v>
      </c>
      <c r="C430" s="11"/>
    </row>
    <row r="431" spans="1:4" ht="12.75" customHeight="1" x14ac:dyDescent="0.2">
      <c r="B431" s="11" t="s">
        <v>13</v>
      </c>
      <c r="C431" s="11" t="s">
        <v>2602</v>
      </c>
    </row>
    <row r="432" spans="1:4" ht="12.75" customHeight="1" x14ac:dyDescent="0.2">
      <c r="B432" s="11" t="s">
        <v>2603</v>
      </c>
      <c r="C432" s="11" t="s">
        <v>2642</v>
      </c>
    </row>
    <row r="433" spans="1:4" ht="12.75" customHeight="1" x14ac:dyDescent="0.2">
      <c r="B433" s="11" t="s">
        <v>2605</v>
      </c>
      <c r="C433" s="11" t="s">
        <v>24</v>
      </c>
    </row>
    <row r="434" spans="1:4" ht="12.75" customHeight="1" x14ac:dyDescent="0.2">
      <c r="B434" s="11" t="s">
        <v>2606</v>
      </c>
      <c r="C434" s="16" t="s">
        <v>67</v>
      </c>
      <c r="D434" s="6" t="str">
        <f>HYPERLINK("javascript:void(0)","kaja")</f>
        <v>kaja</v>
      </c>
    </row>
    <row r="435" spans="1:4" ht="12.75" customHeight="1" x14ac:dyDescent="0.2">
      <c r="B435" s="2"/>
      <c r="C435" s="15"/>
      <c r="D435" s="2"/>
    </row>
    <row r="436" spans="1:4" ht="12.75" customHeight="1" x14ac:dyDescent="0.2">
      <c r="B436" s="2"/>
      <c r="C436" s="15"/>
      <c r="D436" s="2"/>
    </row>
    <row r="437" spans="1:4" ht="12.75" customHeight="1" x14ac:dyDescent="0.2">
      <c r="A437" s="13" t="s">
        <v>2643</v>
      </c>
      <c r="C437" s="12"/>
    </row>
    <row r="438" spans="1:4" ht="12.75" customHeight="1" x14ac:dyDescent="0.2">
      <c r="A438" s="11"/>
      <c r="B438" s="2"/>
      <c r="C438" s="15"/>
      <c r="D438" s="2"/>
    </row>
    <row r="439" spans="1:4" ht="12.75" customHeight="1" x14ac:dyDescent="0.2">
      <c r="B439" s="11" t="s">
        <v>0</v>
      </c>
      <c r="C439" s="11" t="s">
        <v>26</v>
      </c>
    </row>
    <row r="440" spans="1:4" ht="12.75" customHeight="1" x14ac:dyDescent="0.2">
      <c r="B440" s="11" t="s">
        <v>2599</v>
      </c>
      <c r="C440" s="11" t="s">
        <v>41</v>
      </c>
    </row>
    <row r="441" spans="1:4" ht="25.5" customHeight="1" x14ac:dyDescent="0.2">
      <c r="B441" s="11" t="s">
        <v>2600</v>
      </c>
      <c r="C441" s="11" t="s">
        <v>175</v>
      </c>
    </row>
    <row r="442" spans="1:4" ht="25.5" customHeight="1" x14ac:dyDescent="0.2">
      <c r="B442" s="11" t="s">
        <v>2601</v>
      </c>
      <c r="C442" s="11"/>
    </row>
    <row r="443" spans="1:4" ht="12.75" customHeight="1" x14ac:dyDescent="0.2">
      <c r="B443" s="11" t="s">
        <v>16</v>
      </c>
      <c r="C443" s="11"/>
    </row>
    <row r="444" spans="1:4" ht="12.75" customHeight="1" x14ac:dyDescent="0.2">
      <c r="B444" s="11" t="s">
        <v>13</v>
      </c>
      <c r="C444" s="11" t="s">
        <v>2644</v>
      </c>
    </row>
    <row r="445" spans="1:4" ht="12.75" customHeight="1" x14ac:dyDescent="0.2">
      <c r="B445" s="11" t="s">
        <v>2603</v>
      </c>
      <c r="C445" s="11" t="s">
        <v>2604</v>
      </c>
    </row>
    <row r="446" spans="1:4" ht="12.75" customHeight="1" x14ac:dyDescent="0.2">
      <c r="B446" s="11" t="s">
        <v>2605</v>
      </c>
      <c r="C446" s="11" t="s">
        <v>24</v>
      </c>
    </row>
    <row r="447" spans="1:4" ht="25.5" customHeight="1" x14ac:dyDescent="0.2">
      <c r="B447" s="11" t="s">
        <v>2606</v>
      </c>
      <c r="C447" s="16" t="s">
        <v>44</v>
      </c>
      <c r="D447" s="6" t="str">
        <f>HYPERLINK("javascript:void(0)","elementál eszencia")</f>
        <v>elementál eszencia</v>
      </c>
    </row>
    <row r="448" spans="1:4" ht="12.75" customHeight="1" x14ac:dyDescent="0.2">
      <c r="B448" s="2"/>
      <c r="C448" s="15"/>
      <c r="D448" s="2"/>
    </row>
    <row r="449" spans="1:4" ht="12.75" customHeight="1" x14ac:dyDescent="0.2">
      <c r="B449" s="2"/>
      <c r="C449" s="15"/>
      <c r="D449" s="2"/>
    </row>
    <row r="450" spans="1:4" ht="12.75" customHeight="1" x14ac:dyDescent="0.2">
      <c r="A450" s="13" t="s">
        <v>2645</v>
      </c>
      <c r="C450" s="12"/>
    </row>
    <row r="451" spans="1:4" ht="12.75" customHeight="1" x14ac:dyDescent="0.2">
      <c r="A451" s="11"/>
      <c r="B451" s="2"/>
      <c r="C451" s="15"/>
      <c r="D451" s="2"/>
    </row>
    <row r="452" spans="1:4" ht="12.75" customHeight="1" x14ac:dyDescent="0.2">
      <c r="B452" s="11" t="s">
        <v>0</v>
      </c>
      <c r="C452" s="11" t="s">
        <v>26</v>
      </c>
    </row>
    <row r="453" spans="1:4" ht="12.75" customHeight="1" x14ac:dyDescent="0.2">
      <c r="B453" s="11" t="s">
        <v>2599</v>
      </c>
      <c r="C453" s="11" t="s">
        <v>272</v>
      </c>
    </row>
    <row r="454" spans="1:4" ht="25.5" customHeight="1" x14ac:dyDescent="0.2">
      <c r="B454" s="11" t="s">
        <v>2600</v>
      </c>
      <c r="C454" s="11" t="s">
        <v>175</v>
      </c>
    </row>
    <row r="455" spans="1:4" ht="25.5" customHeight="1" x14ac:dyDescent="0.2">
      <c r="B455" s="11" t="s">
        <v>2601</v>
      </c>
      <c r="C455" s="11"/>
    </row>
    <row r="456" spans="1:4" ht="12.75" customHeight="1" x14ac:dyDescent="0.2">
      <c r="B456" s="11" t="s">
        <v>16</v>
      </c>
      <c r="C456" s="11"/>
    </row>
    <row r="457" spans="1:4" ht="12.75" customHeight="1" x14ac:dyDescent="0.2">
      <c r="B457" s="11" t="s">
        <v>13</v>
      </c>
      <c r="C457" s="11" t="s">
        <v>2644</v>
      </c>
    </row>
    <row r="458" spans="1:4" ht="12.75" customHeight="1" x14ac:dyDescent="0.2">
      <c r="B458" s="11" t="s">
        <v>2603</v>
      </c>
      <c r="C458" s="11" t="s">
        <v>2604</v>
      </c>
    </row>
    <row r="459" spans="1:4" ht="12.75" customHeight="1" x14ac:dyDescent="0.2">
      <c r="B459" s="11" t="s">
        <v>2605</v>
      </c>
      <c r="C459" s="11" t="s">
        <v>24</v>
      </c>
    </row>
    <row r="460" spans="1:4" ht="25.5" customHeight="1" x14ac:dyDescent="0.2">
      <c r="B460" s="11" t="s">
        <v>2606</v>
      </c>
      <c r="C460" s="16" t="s">
        <v>44</v>
      </c>
      <c r="D460" s="6" t="str">
        <f>HYPERLINK("javascript:void(0)","elementál eszencia")</f>
        <v>elementál eszencia</v>
      </c>
    </row>
    <row r="461" spans="1:4" ht="12.75" customHeight="1" x14ac:dyDescent="0.2">
      <c r="B461" s="2"/>
      <c r="C461" s="15"/>
      <c r="D461" s="2"/>
    </row>
    <row r="462" spans="1:4" ht="12.75" customHeight="1" x14ac:dyDescent="0.2">
      <c r="B462" s="2"/>
      <c r="C462" s="15"/>
      <c r="D462" s="2"/>
    </row>
    <row r="463" spans="1:4" ht="12.75" customHeight="1" x14ac:dyDescent="0.2">
      <c r="A463" s="13" t="s">
        <v>2646</v>
      </c>
      <c r="C463" s="12"/>
    </row>
    <row r="464" spans="1:4" ht="12.75" customHeight="1" x14ac:dyDescent="0.2">
      <c r="A464" s="11"/>
      <c r="B464" s="2"/>
      <c r="C464" s="15"/>
      <c r="D464" s="2"/>
    </row>
    <row r="465" spans="1:4" ht="12.75" customHeight="1" x14ac:dyDescent="0.2">
      <c r="B465" s="11" t="s">
        <v>0</v>
      </c>
      <c r="C465" s="11" t="s">
        <v>26</v>
      </c>
    </row>
    <row r="466" spans="1:4" ht="12.75" customHeight="1" x14ac:dyDescent="0.2">
      <c r="B466" s="11" t="s">
        <v>2599</v>
      </c>
      <c r="C466" s="11" t="s">
        <v>52</v>
      </c>
    </row>
    <row r="467" spans="1:4" ht="25.5" customHeight="1" x14ac:dyDescent="0.2">
      <c r="B467" s="11" t="s">
        <v>2600</v>
      </c>
      <c r="C467" s="11" t="s">
        <v>1342</v>
      </c>
    </row>
    <row r="468" spans="1:4" ht="25.5" customHeight="1" x14ac:dyDescent="0.2">
      <c r="B468" s="11" t="s">
        <v>2601</v>
      </c>
      <c r="C468" s="11"/>
    </row>
    <row r="469" spans="1:4" ht="12.75" customHeight="1" x14ac:dyDescent="0.2">
      <c r="B469" s="11" t="s">
        <v>16</v>
      </c>
      <c r="C469" s="11"/>
    </row>
    <row r="470" spans="1:4" ht="12.75" customHeight="1" x14ac:dyDescent="0.2">
      <c r="B470" s="11" t="s">
        <v>13</v>
      </c>
      <c r="C470" s="11" t="s">
        <v>2602</v>
      </c>
    </row>
    <row r="471" spans="1:4" ht="12.75" customHeight="1" x14ac:dyDescent="0.2">
      <c r="B471" s="11" t="s">
        <v>2603</v>
      </c>
      <c r="C471" s="11" t="s">
        <v>2626</v>
      </c>
    </row>
    <row r="472" spans="1:4" ht="12.75" customHeight="1" x14ac:dyDescent="0.2">
      <c r="B472" s="11" t="s">
        <v>2605</v>
      </c>
      <c r="C472" s="11" t="s">
        <v>24</v>
      </c>
    </row>
    <row r="473" spans="1:4" ht="12.75" customHeight="1" x14ac:dyDescent="0.2">
      <c r="B473" s="11" t="s">
        <v>2606</v>
      </c>
      <c r="C473" s="16" t="s">
        <v>44</v>
      </c>
      <c r="D473" s="6" t="str">
        <f>HYPERLINK("javascript:void(0)","kitinpenge")</f>
        <v>kitinpenge</v>
      </c>
    </row>
    <row r="474" spans="1:4" ht="12.75" customHeight="1" x14ac:dyDescent="0.2">
      <c r="B474" s="2"/>
      <c r="C474" s="15"/>
      <c r="D474" s="2"/>
    </row>
    <row r="475" spans="1:4" ht="12.75" customHeight="1" x14ac:dyDescent="0.2">
      <c r="B475" s="2"/>
      <c r="C475" s="15"/>
      <c r="D475" s="2"/>
    </row>
    <row r="476" spans="1:4" ht="12.75" customHeight="1" x14ac:dyDescent="0.2">
      <c r="A476" s="13" t="s">
        <v>2647</v>
      </c>
      <c r="C476" s="12"/>
    </row>
    <row r="477" spans="1:4" ht="12.75" customHeight="1" x14ac:dyDescent="0.2">
      <c r="A477" s="11"/>
      <c r="B477" s="2"/>
      <c r="C477" s="15"/>
      <c r="D477" s="2"/>
    </row>
    <row r="478" spans="1:4" ht="12.75" customHeight="1" x14ac:dyDescent="0.2">
      <c r="B478" s="11" t="s">
        <v>0</v>
      </c>
      <c r="C478" s="11" t="s">
        <v>5</v>
      </c>
    </row>
    <row r="479" spans="1:4" ht="12.75" customHeight="1" x14ac:dyDescent="0.2">
      <c r="B479" s="11" t="s">
        <v>2599</v>
      </c>
      <c r="C479" s="11" t="s">
        <v>216</v>
      </c>
    </row>
    <row r="480" spans="1:4" ht="25.5" customHeight="1" x14ac:dyDescent="0.2">
      <c r="B480" s="11" t="s">
        <v>2600</v>
      </c>
      <c r="C480" s="11" t="s">
        <v>493</v>
      </c>
    </row>
    <row r="481" spans="1:4" ht="25.5" customHeight="1" x14ac:dyDescent="0.2">
      <c r="B481" s="11" t="s">
        <v>2601</v>
      </c>
      <c r="C481" s="11"/>
    </row>
    <row r="482" spans="1:4" ht="12.75" customHeight="1" x14ac:dyDescent="0.2">
      <c r="B482" s="11" t="s">
        <v>16</v>
      </c>
      <c r="C482" s="11"/>
    </row>
    <row r="483" spans="1:4" ht="12.75" customHeight="1" x14ac:dyDescent="0.2">
      <c r="B483" s="11" t="s">
        <v>13</v>
      </c>
      <c r="C483" s="11" t="s">
        <v>2602</v>
      </c>
    </row>
    <row r="484" spans="1:4" ht="12.75" customHeight="1" x14ac:dyDescent="0.2">
      <c r="B484" s="11" t="s">
        <v>2603</v>
      </c>
      <c r="C484" s="11" t="s">
        <v>2648</v>
      </c>
    </row>
    <row r="485" spans="1:4" ht="12.75" customHeight="1" x14ac:dyDescent="0.2">
      <c r="B485" s="11" t="s">
        <v>2605</v>
      </c>
      <c r="C485" s="11" t="s">
        <v>24</v>
      </c>
    </row>
    <row r="486" spans="1:4" ht="25.5" customHeight="1" x14ac:dyDescent="0.2">
      <c r="B486" s="11" t="s">
        <v>2606</v>
      </c>
      <c r="C486" s="16" t="s">
        <v>44</v>
      </c>
      <c r="D486" s="6" t="str">
        <f>HYPERLINK("javascript:void(0)","varázshusáng")</f>
        <v>varázshusáng</v>
      </c>
    </row>
    <row r="487" spans="1:4" ht="12.75" customHeight="1" x14ac:dyDescent="0.2">
      <c r="B487" s="2"/>
      <c r="C487" s="15"/>
      <c r="D487" s="2"/>
    </row>
    <row r="488" spans="1:4" ht="12.75" customHeight="1" x14ac:dyDescent="0.2">
      <c r="B488" s="2"/>
      <c r="C488" s="15"/>
      <c r="D488" s="2"/>
    </row>
    <row r="489" spans="1:4" ht="12.75" customHeight="1" x14ac:dyDescent="0.2">
      <c r="A489" s="13" t="s">
        <v>2649</v>
      </c>
      <c r="C489" s="12"/>
    </row>
    <row r="490" spans="1:4" ht="12.75" customHeight="1" x14ac:dyDescent="0.2">
      <c r="A490" s="11"/>
      <c r="B490" s="2"/>
      <c r="C490" s="15"/>
      <c r="D490" s="2"/>
    </row>
    <row r="491" spans="1:4" ht="12.75" customHeight="1" x14ac:dyDescent="0.2">
      <c r="B491" s="11" t="s">
        <v>0</v>
      </c>
      <c r="C491" s="11" t="s">
        <v>5</v>
      </c>
    </row>
    <row r="492" spans="1:4" ht="12.75" customHeight="1" x14ac:dyDescent="0.2">
      <c r="B492" s="11" t="s">
        <v>2599</v>
      </c>
      <c r="C492" s="11" t="s">
        <v>213</v>
      </c>
    </row>
    <row r="493" spans="1:4" ht="25.5" customHeight="1" x14ac:dyDescent="0.2">
      <c r="B493" s="11" t="s">
        <v>2600</v>
      </c>
      <c r="C493" s="11" t="s">
        <v>2137</v>
      </c>
    </row>
    <row r="494" spans="1:4" ht="25.5" customHeight="1" x14ac:dyDescent="0.2">
      <c r="B494" s="11" t="s">
        <v>2601</v>
      </c>
      <c r="C494" s="11"/>
    </row>
    <row r="495" spans="1:4" ht="12.75" customHeight="1" x14ac:dyDescent="0.2">
      <c r="B495" s="11" t="s">
        <v>16</v>
      </c>
      <c r="C495" s="11"/>
    </row>
    <row r="496" spans="1:4" ht="12.75" customHeight="1" x14ac:dyDescent="0.2">
      <c r="B496" s="11" t="s">
        <v>13</v>
      </c>
      <c r="C496" s="11" t="s">
        <v>2602</v>
      </c>
    </row>
    <row r="497" spans="1:4" ht="12.75" customHeight="1" x14ac:dyDescent="0.2">
      <c r="B497" s="11" t="s">
        <v>2603</v>
      </c>
      <c r="C497" s="11" t="s">
        <v>2604</v>
      </c>
    </row>
    <row r="498" spans="1:4" ht="12.75" customHeight="1" x14ac:dyDescent="0.2">
      <c r="B498" s="11" t="s">
        <v>2605</v>
      </c>
      <c r="C498" s="11" t="s">
        <v>24</v>
      </c>
    </row>
    <row r="499" spans="1:4" ht="12.75" customHeight="1" x14ac:dyDescent="0.2">
      <c r="B499" s="11" t="s">
        <v>2606</v>
      </c>
      <c r="C499" s="16" t="s">
        <v>44</v>
      </c>
      <c r="D499" s="6" t="str">
        <f>HYPERLINK("javascript:void(0)","rövid kard")</f>
        <v>rövid kard</v>
      </c>
    </row>
    <row r="500" spans="1:4" ht="12.75" customHeight="1" x14ac:dyDescent="0.2">
      <c r="C500" s="16" t="s">
        <v>142</v>
      </c>
      <c r="D500" s="6" t="str">
        <f>HYPERLINK("javascript:void(0)","ezüst")</f>
        <v>ezüst</v>
      </c>
    </row>
    <row r="501" spans="1:4" ht="12.75" customHeight="1" x14ac:dyDescent="0.2">
      <c r="B501" s="2"/>
      <c r="C501" s="15"/>
      <c r="D501" s="2"/>
    </row>
    <row r="502" spans="1:4" ht="12.75" customHeight="1" x14ac:dyDescent="0.2">
      <c r="B502" s="2"/>
      <c r="C502" s="15"/>
      <c r="D502" s="2"/>
    </row>
    <row r="503" spans="1:4" ht="12.75" customHeight="1" x14ac:dyDescent="0.2">
      <c r="A503" s="13" t="s">
        <v>2650</v>
      </c>
      <c r="C503" s="12"/>
    </row>
    <row r="504" spans="1:4" ht="12.75" customHeight="1" x14ac:dyDescent="0.2">
      <c r="A504" s="11"/>
      <c r="B504" s="2"/>
      <c r="C504" s="15"/>
      <c r="D504" s="2"/>
    </row>
    <row r="505" spans="1:4" ht="12.75" customHeight="1" x14ac:dyDescent="0.2">
      <c r="B505" s="11" t="s">
        <v>0</v>
      </c>
      <c r="C505" s="11" t="s">
        <v>5</v>
      </c>
    </row>
    <row r="506" spans="1:4" ht="12.75" customHeight="1" x14ac:dyDescent="0.2">
      <c r="B506" s="11" t="s">
        <v>2599</v>
      </c>
      <c r="C506" s="11" t="s">
        <v>115</v>
      </c>
    </row>
    <row r="507" spans="1:4" ht="25.5" customHeight="1" x14ac:dyDescent="0.2">
      <c r="B507" s="11" t="s">
        <v>2600</v>
      </c>
      <c r="C507" s="11" t="s">
        <v>482</v>
      </c>
    </row>
    <row r="508" spans="1:4" ht="25.5" customHeight="1" x14ac:dyDescent="0.2">
      <c r="B508" s="11" t="s">
        <v>2601</v>
      </c>
      <c r="C508" s="11"/>
    </row>
    <row r="509" spans="1:4" ht="12.75" customHeight="1" x14ac:dyDescent="0.2">
      <c r="B509" s="11" t="s">
        <v>16</v>
      </c>
      <c r="C509" s="11"/>
    </row>
    <row r="510" spans="1:4" ht="12.75" customHeight="1" x14ac:dyDescent="0.2">
      <c r="B510" s="11" t="s">
        <v>13</v>
      </c>
      <c r="C510" s="11" t="s">
        <v>2602</v>
      </c>
    </row>
    <row r="511" spans="1:4" ht="12.75" customHeight="1" x14ac:dyDescent="0.2">
      <c r="B511" s="11" t="s">
        <v>2603</v>
      </c>
      <c r="C511" s="11" t="s">
        <v>2651</v>
      </c>
    </row>
    <row r="512" spans="1:4" ht="12.75" customHeight="1" x14ac:dyDescent="0.2">
      <c r="B512" s="11" t="s">
        <v>2605</v>
      </c>
      <c r="C512" s="11" t="s">
        <v>24</v>
      </c>
    </row>
    <row r="513" spans="1:4" ht="12.75" customHeight="1" x14ac:dyDescent="0.2">
      <c r="B513" s="11" t="s">
        <v>2606</v>
      </c>
      <c r="C513" s="16" t="s">
        <v>2652</v>
      </c>
      <c r="D513" s="6" t="str">
        <f>HYPERLINK("javascript:void(0)","ezüst")</f>
        <v>ezüst</v>
      </c>
    </row>
    <row r="514" spans="1:4" ht="12.75" customHeight="1" x14ac:dyDescent="0.2">
      <c r="B514" s="2"/>
      <c r="C514" s="15"/>
      <c r="D514" s="2"/>
    </row>
    <row r="515" spans="1:4" ht="12.75" customHeight="1" x14ac:dyDescent="0.2">
      <c r="B515" s="2"/>
      <c r="C515" s="15"/>
      <c r="D515" s="2"/>
    </row>
    <row r="516" spans="1:4" ht="12.75" customHeight="1" x14ac:dyDescent="0.2">
      <c r="A516" s="13" t="s">
        <v>2653</v>
      </c>
      <c r="C516" s="12"/>
    </row>
    <row r="517" spans="1:4" ht="12.75" customHeight="1" x14ac:dyDescent="0.2">
      <c r="A517" s="11"/>
      <c r="B517" s="2"/>
      <c r="C517" s="15"/>
      <c r="D517" s="2"/>
    </row>
    <row r="518" spans="1:4" ht="12.75" customHeight="1" x14ac:dyDescent="0.2">
      <c r="B518" s="11" t="s">
        <v>0</v>
      </c>
      <c r="C518" s="11" t="s">
        <v>5</v>
      </c>
    </row>
    <row r="519" spans="1:4" ht="12.75" customHeight="1" x14ac:dyDescent="0.2">
      <c r="B519" s="11" t="s">
        <v>2599</v>
      </c>
      <c r="C519" s="11" t="s">
        <v>127</v>
      </c>
    </row>
    <row r="520" spans="1:4" ht="25.5" customHeight="1" x14ac:dyDescent="0.2">
      <c r="B520" s="11" t="s">
        <v>2600</v>
      </c>
      <c r="C520" s="11" t="s">
        <v>2137</v>
      </c>
    </row>
    <row r="521" spans="1:4" ht="25.5" customHeight="1" x14ac:dyDescent="0.2">
      <c r="B521" s="11" t="s">
        <v>2601</v>
      </c>
      <c r="C521" s="11"/>
    </row>
    <row r="522" spans="1:4" ht="12.75" customHeight="1" x14ac:dyDescent="0.2">
      <c r="B522" s="11" t="s">
        <v>16</v>
      </c>
      <c r="C522" s="11"/>
    </row>
    <row r="523" spans="1:4" ht="12.75" customHeight="1" x14ac:dyDescent="0.2">
      <c r="B523" s="11" t="s">
        <v>13</v>
      </c>
      <c r="C523" s="11" t="s">
        <v>2602</v>
      </c>
    </row>
    <row r="524" spans="1:4" ht="12.75" customHeight="1" x14ac:dyDescent="0.2">
      <c r="B524" s="11" t="s">
        <v>2603</v>
      </c>
      <c r="C524" s="11" t="s">
        <v>2633</v>
      </c>
    </row>
    <row r="525" spans="1:4" ht="12.75" customHeight="1" x14ac:dyDescent="0.2">
      <c r="B525" s="11" t="s">
        <v>2605</v>
      </c>
      <c r="C525" s="11" t="s">
        <v>24</v>
      </c>
    </row>
    <row r="526" spans="1:4" ht="12.75" customHeight="1" x14ac:dyDescent="0.2">
      <c r="B526" s="11" t="s">
        <v>2606</v>
      </c>
      <c r="C526" s="16" t="s">
        <v>44</v>
      </c>
      <c r="D526" s="6" t="str">
        <f>HYPERLINK("javascript:void(0)","jáspis")</f>
        <v>jáspis</v>
      </c>
    </row>
    <row r="527" spans="1:4" ht="12.75" customHeight="1" x14ac:dyDescent="0.2">
      <c r="B527" s="2"/>
      <c r="C527" s="15"/>
      <c r="D527" s="2"/>
    </row>
    <row r="528" spans="1:4" ht="12.75" customHeight="1" x14ac:dyDescent="0.2">
      <c r="B528" s="2"/>
      <c r="C528" s="15"/>
      <c r="D528" s="2"/>
    </row>
    <row r="529" spans="1:4" ht="12.75" customHeight="1" x14ac:dyDescent="0.2">
      <c r="A529" s="13" t="s">
        <v>2654</v>
      </c>
      <c r="C529" s="12"/>
    </row>
    <row r="530" spans="1:4" ht="12.75" customHeight="1" x14ac:dyDescent="0.2">
      <c r="A530" s="11"/>
      <c r="B530" s="2"/>
      <c r="C530" s="15"/>
      <c r="D530" s="2"/>
    </row>
    <row r="531" spans="1:4" ht="12.75" customHeight="1" x14ac:dyDescent="0.2">
      <c r="B531" s="11" t="s">
        <v>0</v>
      </c>
      <c r="C531" s="11" t="s">
        <v>5</v>
      </c>
    </row>
    <row r="532" spans="1:4" ht="12.75" customHeight="1" x14ac:dyDescent="0.2">
      <c r="B532" s="11" t="s">
        <v>2599</v>
      </c>
      <c r="C532" s="11" t="s">
        <v>47</v>
      </c>
    </row>
    <row r="533" spans="1:4" ht="25.5" customHeight="1" x14ac:dyDescent="0.2">
      <c r="B533" s="11" t="s">
        <v>2600</v>
      </c>
      <c r="C533" s="11" t="s">
        <v>482</v>
      </c>
    </row>
    <row r="534" spans="1:4" ht="25.5" customHeight="1" x14ac:dyDescent="0.2">
      <c r="B534" s="11" t="s">
        <v>2601</v>
      </c>
      <c r="C534" s="11"/>
    </row>
    <row r="535" spans="1:4" ht="12.75" customHeight="1" x14ac:dyDescent="0.2">
      <c r="B535" s="11" t="s">
        <v>16</v>
      </c>
      <c r="C535" s="11"/>
    </row>
    <row r="536" spans="1:4" ht="12.75" customHeight="1" x14ac:dyDescent="0.2">
      <c r="B536" s="11" t="s">
        <v>13</v>
      </c>
      <c r="C536" s="11" t="s">
        <v>2602</v>
      </c>
    </row>
    <row r="537" spans="1:4" ht="12.75" customHeight="1" x14ac:dyDescent="0.2">
      <c r="B537" s="11" t="s">
        <v>2603</v>
      </c>
      <c r="C537" s="11" t="s">
        <v>2633</v>
      </c>
    </row>
    <row r="538" spans="1:4" ht="12.75" customHeight="1" x14ac:dyDescent="0.2">
      <c r="B538" s="11" t="s">
        <v>2605</v>
      </c>
      <c r="C538" s="11" t="s">
        <v>24</v>
      </c>
    </row>
    <row r="539" spans="1:4" ht="12.75" customHeight="1" x14ac:dyDescent="0.2">
      <c r="B539" s="11" t="s">
        <v>2606</v>
      </c>
      <c r="C539" s="16" t="s">
        <v>67</v>
      </c>
      <c r="D539" s="6" t="str">
        <f>HYPERLINK("javascript:void(0)","kaja")</f>
        <v>kaja</v>
      </c>
    </row>
    <row r="540" spans="1:4" ht="12.75" customHeight="1" x14ac:dyDescent="0.2">
      <c r="B540" s="2"/>
      <c r="C540" s="15"/>
      <c r="D540" s="2"/>
    </row>
    <row r="541" spans="1:4" ht="12.75" customHeight="1" x14ac:dyDescent="0.2">
      <c r="B541" s="2"/>
      <c r="C541" s="15"/>
      <c r="D541" s="2"/>
    </row>
    <row r="542" spans="1:4" ht="12.75" customHeight="1" x14ac:dyDescent="0.2">
      <c r="A542" s="13" t="s">
        <v>2655</v>
      </c>
      <c r="C542" s="12"/>
    </row>
    <row r="543" spans="1:4" ht="12.75" customHeight="1" x14ac:dyDescent="0.2">
      <c r="A543" s="11"/>
      <c r="B543" s="2"/>
      <c r="C543" s="15"/>
      <c r="D543" s="2"/>
    </row>
    <row r="544" spans="1:4" ht="12.75" customHeight="1" x14ac:dyDescent="0.2">
      <c r="B544" s="11" t="s">
        <v>0</v>
      </c>
      <c r="C544" s="11" t="s">
        <v>5</v>
      </c>
    </row>
    <row r="545" spans="1:4" ht="12.75" customHeight="1" x14ac:dyDescent="0.2">
      <c r="B545" s="11" t="s">
        <v>2599</v>
      </c>
      <c r="C545" s="11" t="s">
        <v>47</v>
      </c>
    </row>
    <row r="546" spans="1:4" ht="25.5" customHeight="1" x14ac:dyDescent="0.2">
      <c r="B546" s="11" t="s">
        <v>2600</v>
      </c>
      <c r="C546" s="11" t="s">
        <v>197</v>
      </c>
    </row>
    <row r="547" spans="1:4" ht="25.5" customHeight="1" x14ac:dyDescent="0.2">
      <c r="B547" s="11" t="s">
        <v>2601</v>
      </c>
      <c r="C547" s="11"/>
    </row>
    <row r="548" spans="1:4" ht="12.75" customHeight="1" x14ac:dyDescent="0.2">
      <c r="B548" s="11" t="s">
        <v>16</v>
      </c>
      <c r="C548" s="11"/>
    </row>
    <row r="549" spans="1:4" ht="12.75" customHeight="1" x14ac:dyDescent="0.2">
      <c r="B549" s="11" t="s">
        <v>13</v>
      </c>
      <c r="C549" s="11" t="s">
        <v>2602</v>
      </c>
    </row>
    <row r="550" spans="1:4" ht="12.75" customHeight="1" x14ac:dyDescent="0.2">
      <c r="B550" s="11" t="s">
        <v>2603</v>
      </c>
      <c r="C550" s="11" t="s">
        <v>2626</v>
      </c>
    </row>
    <row r="551" spans="1:4" ht="12.75" customHeight="1" x14ac:dyDescent="0.2">
      <c r="B551" s="11" t="s">
        <v>2605</v>
      </c>
      <c r="C551" s="11" t="s">
        <v>24</v>
      </c>
    </row>
    <row r="552" spans="1:4" ht="12.75" customHeight="1" x14ac:dyDescent="0.2">
      <c r="B552" s="11" t="s">
        <v>2606</v>
      </c>
      <c r="C552" s="16" t="s">
        <v>67</v>
      </c>
      <c r="D552" s="6" t="str">
        <f>HYPERLINK("javascript:void(0)","kaja")</f>
        <v>kaja</v>
      </c>
    </row>
    <row r="553" spans="1:4" ht="12.75" customHeight="1" x14ac:dyDescent="0.2">
      <c r="B553" s="2"/>
      <c r="C553" s="15"/>
      <c r="D553" s="2"/>
    </row>
    <row r="554" spans="1:4" ht="12.75" customHeight="1" x14ac:dyDescent="0.2">
      <c r="B554" s="2"/>
      <c r="C554" s="15"/>
      <c r="D554" s="2"/>
    </row>
    <row r="555" spans="1:4" ht="12.75" customHeight="1" x14ac:dyDescent="0.2">
      <c r="A555" s="13" t="s">
        <v>2656</v>
      </c>
      <c r="C555" s="12"/>
    </row>
    <row r="556" spans="1:4" ht="12.75" customHeight="1" x14ac:dyDescent="0.2">
      <c r="A556" s="11"/>
      <c r="B556" s="2"/>
      <c r="C556" s="15"/>
      <c r="D556" s="2"/>
    </row>
    <row r="557" spans="1:4" ht="12.75" customHeight="1" x14ac:dyDescent="0.2">
      <c r="B557" s="11" t="s">
        <v>0</v>
      </c>
      <c r="C557" s="11" t="s">
        <v>40</v>
      </c>
    </row>
    <row r="558" spans="1:4" ht="12.75" customHeight="1" x14ac:dyDescent="0.2">
      <c r="B558" s="11" t="s">
        <v>2599</v>
      </c>
      <c r="C558" s="11" t="s">
        <v>167</v>
      </c>
    </row>
    <row r="559" spans="1:4" ht="25.5" customHeight="1" x14ac:dyDescent="0.2">
      <c r="B559" s="11" t="s">
        <v>2600</v>
      </c>
      <c r="C559" s="11" t="s">
        <v>2657</v>
      </c>
    </row>
    <row r="560" spans="1:4" ht="25.5" customHeight="1" x14ac:dyDescent="0.2">
      <c r="B560" s="11" t="s">
        <v>2601</v>
      </c>
      <c r="C560" s="11"/>
    </row>
    <row r="561" spans="1:4" ht="12.75" customHeight="1" x14ac:dyDescent="0.2">
      <c r="B561" s="11" t="s">
        <v>16</v>
      </c>
      <c r="C561" s="11"/>
    </row>
    <row r="562" spans="1:4" ht="12.75" customHeight="1" x14ac:dyDescent="0.2">
      <c r="B562" s="11" t="s">
        <v>13</v>
      </c>
      <c r="C562" s="11" t="s">
        <v>2602</v>
      </c>
    </row>
    <row r="563" spans="1:4" ht="12.75" customHeight="1" x14ac:dyDescent="0.2">
      <c r="B563" s="11" t="s">
        <v>2603</v>
      </c>
      <c r="C563" s="11" t="s">
        <v>2640</v>
      </c>
    </row>
    <row r="564" spans="1:4" ht="12.75" customHeight="1" x14ac:dyDescent="0.2">
      <c r="B564" s="11" t="s">
        <v>2605</v>
      </c>
      <c r="C564" s="11" t="s">
        <v>24</v>
      </c>
    </row>
    <row r="565" spans="1:4" ht="12.75" customHeight="1" x14ac:dyDescent="0.2">
      <c r="B565" s="11" t="s">
        <v>2606</v>
      </c>
      <c r="C565" s="16" t="s">
        <v>44</v>
      </c>
      <c r="D565" s="6" t="str">
        <f>HYPERLINK("javascript:void(0)","hosszúij")</f>
        <v>hosszúij</v>
      </c>
    </row>
    <row r="566" spans="1:4" ht="12.75" customHeight="1" x14ac:dyDescent="0.2">
      <c r="B566" s="2"/>
      <c r="C566" s="15"/>
      <c r="D566" s="2"/>
    </row>
    <row r="567" spans="1:4" ht="12.75" customHeight="1" x14ac:dyDescent="0.2">
      <c r="B567" s="2"/>
      <c r="C567" s="15"/>
      <c r="D567" s="2"/>
    </row>
    <row r="568" spans="1:4" ht="12.75" customHeight="1" x14ac:dyDescent="0.2">
      <c r="A568" s="13" t="s">
        <v>2658</v>
      </c>
      <c r="C568" s="12"/>
    </row>
    <row r="569" spans="1:4" ht="12.75" customHeight="1" x14ac:dyDescent="0.2">
      <c r="A569" s="11"/>
      <c r="B569" s="2"/>
      <c r="C569" s="15"/>
      <c r="D569" s="2"/>
    </row>
    <row r="570" spans="1:4" ht="12.75" customHeight="1" x14ac:dyDescent="0.2">
      <c r="B570" s="11" t="s">
        <v>0</v>
      </c>
      <c r="C570" s="11" t="s">
        <v>40</v>
      </c>
    </row>
    <row r="571" spans="1:4" ht="12.75" customHeight="1" x14ac:dyDescent="0.2">
      <c r="B571" s="11" t="s">
        <v>2599</v>
      </c>
      <c r="C571" s="11" t="s">
        <v>213</v>
      </c>
    </row>
    <row r="572" spans="1:4" ht="25.5" customHeight="1" x14ac:dyDescent="0.2">
      <c r="B572" s="11" t="s">
        <v>2600</v>
      </c>
      <c r="C572" s="11" t="s">
        <v>579</v>
      </c>
    </row>
    <row r="573" spans="1:4" ht="25.5" customHeight="1" x14ac:dyDescent="0.2">
      <c r="B573" s="11" t="s">
        <v>2601</v>
      </c>
      <c r="C573" s="11"/>
    </row>
    <row r="574" spans="1:4" ht="12.75" customHeight="1" x14ac:dyDescent="0.2">
      <c r="B574" s="11" t="s">
        <v>16</v>
      </c>
      <c r="C574" s="11"/>
    </row>
    <row r="575" spans="1:4" ht="12.75" customHeight="1" x14ac:dyDescent="0.2">
      <c r="B575" s="11" t="s">
        <v>13</v>
      </c>
      <c r="C575" s="11" t="s">
        <v>2602</v>
      </c>
    </row>
    <row r="576" spans="1:4" ht="12.75" customHeight="1" x14ac:dyDescent="0.2">
      <c r="B576" s="11" t="s">
        <v>2603</v>
      </c>
      <c r="C576" s="11" t="s">
        <v>2626</v>
      </c>
    </row>
    <row r="577" spans="1:4" ht="12.75" customHeight="1" x14ac:dyDescent="0.2">
      <c r="B577" s="11" t="s">
        <v>2605</v>
      </c>
      <c r="C577" s="11" t="s">
        <v>24</v>
      </c>
    </row>
    <row r="578" spans="1:4" ht="12.75" customHeight="1" x14ac:dyDescent="0.2">
      <c r="B578" s="11" t="s">
        <v>2606</v>
      </c>
      <c r="C578" s="16" t="s">
        <v>56</v>
      </c>
      <c r="D578" s="6" t="str">
        <f>HYPERLINK("javascript:void(0)","íj")</f>
        <v>íj</v>
      </c>
    </row>
    <row r="579" spans="1:4" ht="12.75" customHeight="1" x14ac:dyDescent="0.2">
      <c r="B579" s="2"/>
      <c r="C579" s="15"/>
      <c r="D579" s="2"/>
    </row>
    <row r="580" spans="1:4" ht="12.75" customHeight="1" x14ac:dyDescent="0.2">
      <c r="B580" s="2"/>
      <c r="C580" s="15"/>
      <c r="D580" s="2"/>
    </row>
    <row r="581" spans="1:4" ht="12.75" customHeight="1" x14ac:dyDescent="0.2">
      <c r="A581" s="13" t="s">
        <v>2659</v>
      </c>
      <c r="C581" s="12"/>
    </row>
    <row r="582" spans="1:4" ht="12.75" customHeight="1" x14ac:dyDescent="0.2">
      <c r="A582" s="11"/>
      <c r="B582" s="2"/>
      <c r="C582" s="15"/>
      <c r="D582" s="2"/>
    </row>
    <row r="583" spans="1:4" ht="12.75" customHeight="1" x14ac:dyDescent="0.2">
      <c r="B583" s="11" t="s">
        <v>0</v>
      </c>
      <c r="C583" s="11" t="s">
        <v>40</v>
      </c>
    </row>
    <row r="584" spans="1:4" ht="12.75" customHeight="1" x14ac:dyDescent="0.2">
      <c r="B584" s="11" t="s">
        <v>2599</v>
      </c>
      <c r="C584" s="11" t="s">
        <v>229</v>
      </c>
    </row>
    <row r="585" spans="1:4" ht="25.5" customHeight="1" x14ac:dyDescent="0.2">
      <c r="B585" s="11" t="s">
        <v>2600</v>
      </c>
      <c r="C585" s="11" t="s">
        <v>593</v>
      </c>
    </row>
    <row r="586" spans="1:4" ht="25.5" customHeight="1" x14ac:dyDescent="0.2">
      <c r="B586" s="11" t="s">
        <v>2601</v>
      </c>
      <c r="C586" s="11"/>
    </row>
    <row r="587" spans="1:4" ht="12.75" customHeight="1" x14ac:dyDescent="0.2">
      <c r="B587" s="11" t="s">
        <v>16</v>
      </c>
      <c r="C587" s="11"/>
    </row>
    <row r="588" spans="1:4" ht="12.75" customHeight="1" x14ac:dyDescent="0.2">
      <c r="B588" s="11" t="s">
        <v>13</v>
      </c>
      <c r="C588" s="11" t="s">
        <v>2602</v>
      </c>
    </row>
    <row r="589" spans="1:4" ht="12.75" customHeight="1" x14ac:dyDescent="0.2">
      <c r="B589" s="11" t="s">
        <v>2603</v>
      </c>
      <c r="C589" s="11" t="s">
        <v>2633</v>
      </c>
    </row>
    <row r="590" spans="1:4" ht="12.75" customHeight="1" x14ac:dyDescent="0.2">
      <c r="B590" s="11" t="s">
        <v>2605</v>
      </c>
      <c r="C590" s="11" t="s">
        <v>24</v>
      </c>
    </row>
    <row r="591" spans="1:4" ht="12.75" customHeight="1" x14ac:dyDescent="0.2">
      <c r="B591" s="11" t="s">
        <v>2606</v>
      </c>
      <c r="C591" s="16" t="s">
        <v>44</v>
      </c>
      <c r="D591" s="6" t="str">
        <f>HYPERLINK("javascript:void(0)","smaragd")</f>
        <v>smaragd</v>
      </c>
    </row>
    <row r="592" spans="1:4" ht="12.75" customHeight="1" x14ac:dyDescent="0.2">
      <c r="B592" s="2"/>
      <c r="C592" s="15"/>
      <c r="D592" s="2"/>
    </row>
    <row r="593" spans="1:4" ht="12.75" customHeight="1" x14ac:dyDescent="0.2">
      <c r="B593" s="2"/>
      <c r="C593" s="15"/>
      <c r="D593" s="2"/>
    </row>
    <row r="594" spans="1:4" ht="12.75" customHeight="1" x14ac:dyDescent="0.2">
      <c r="A594" s="13" t="s">
        <v>2660</v>
      </c>
      <c r="C594" s="12"/>
    </row>
    <row r="595" spans="1:4" ht="12.75" customHeight="1" x14ac:dyDescent="0.2">
      <c r="A595" s="11"/>
      <c r="B595" s="2"/>
      <c r="C595" s="15"/>
      <c r="D595" s="2"/>
    </row>
    <row r="596" spans="1:4" ht="12.75" customHeight="1" x14ac:dyDescent="0.2">
      <c r="B596" s="11" t="s">
        <v>0</v>
      </c>
      <c r="C596" s="11" t="s">
        <v>40</v>
      </c>
    </row>
    <row r="597" spans="1:4" ht="12.75" customHeight="1" x14ac:dyDescent="0.2">
      <c r="B597" s="11" t="s">
        <v>2599</v>
      </c>
      <c r="C597" s="11" t="s">
        <v>468</v>
      </c>
    </row>
    <row r="598" spans="1:4" ht="25.5" customHeight="1" x14ac:dyDescent="0.2">
      <c r="B598" s="11" t="s">
        <v>2600</v>
      </c>
      <c r="C598" s="11" t="s">
        <v>2471</v>
      </c>
    </row>
    <row r="599" spans="1:4" ht="25.5" customHeight="1" x14ac:dyDescent="0.2">
      <c r="B599" s="11" t="s">
        <v>2601</v>
      </c>
      <c r="C599" s="11"/>
    </row>
    <row r="600" spans="1:4" ht="12.75" customHeight="1" x14ac:dyDescent="0.2">
      <c r="B600" s="11" t="s">
        <v>16</v>
      </c>
      <c r="C600" s="11"/>
    </row>
    <row r="601" spans="1:4" ht="12.75" customHeight="1" x14ac:dyDescent="0.2">
      <c r="B601" s="11" t="s">
        <v>13</v>
      </c>
      <c r="C601" s="11" t="s">
        <v>2602</v>
      </c>
    </row>
    <row r="602" spans="1:4" ht="12.75" customHeight="1" x14ac:dyDescent="0.2">
      <c r="B602" s="11" t="s">
        <v>2603</v>
      </c>
      <c r="C602" s="11" t="s">
        <v>2626</v>
      </c>
    </row>
    <row r="603" spans="1:4" ht="12.75" customHeight="1" x14ac:dyDescent="0.2">
      <c r="B603" s="11" t="s">
        <v>2605</v>
      </c>
      <c r="C603" s="11" t="s">
        <v>24</v>
      </c>
    </row>
    <row r="604" spans="1:4" ht="12.75" customHeight="1" x14ac:dyDescent="0.2">
      <c r="B604" s="11" t="s">
        <v>2606</v>
      </c>
      <c r="C604" s="16" t="s">
        <v>44</v>
      </c>
      <c r="D604" s="6" t="str">
        <f>HYPERLINK("javascript:void(0)","zombifejsze")</f>
        <v>zombifejsze</v>
      </c>
    </row>
    <row r="605" spans="1:4" ht="12.75" customHeight="1" x14ac:dyDescent="0.2">
      <c r="B605" s="2"/>
      <c r="C605" s="15"/>
      <c r="D605" s="2"/>
    </row>
    <row r="606" spans="1:4" ht="12.75" customHeight="1" x14ac:dyDescent="0.2">
      <c r="B606" s="2"/>
      <c r="C606" s="15"/>
      <c r="D606" s="2"/>
    </row>
    <row r="607" spans="1:4" ht="12.75" customHeight="1" x14ac:dyDescent="0.2">
      <c r="A607" s="13" t="s">
        <v>2661</v>
      </c>
      <c r="C607" s="12"/>
    </row>
    <row r="608" spans="1:4" ht="12.75" customHeight="1" x14ac:dyDescent="0.2">
      <c r="A608" s="11"/>
      <c r="B608" s="2"/>
      <c r="C608" s="15"/>
      <c r="D608" s="2"/>
    </row>
    <row r="609" spans="1:4" ht="12.75" customHeight="1" x14ac:dyDescent="0.2">
      <c r="B609" s="11" t="s">
        <v>0</v>
      </c>
      <c r="C609" s="11" t="s">
        <v>40</v>
      </c>
    </row>
    <row r="610" spans="1:4" ht="12.75" customHeight="1" x14ac:dyDescent="0.2">
      <c r="B610" s="11" t="s">
        <v>2599</v>
      </c>
      <c r="C610" s="11" t="s">
        <v>134</v>
      </c>
    </row>
    <row r="611" spans="1:4" ht="25.5" customHeight="1" x14ac:dyDescent="0.2">
      <c r="B611" s="11" t="s">
        <v>2600</v>
      </c>
      <c r="C611" s="11" t="s">
        <v>579</v>
      </c>
    </row>
    <row r="612" spans="1:4" ht="25.5" customHeight="1" x14ac:dyDescent="0.2">
      <c r="B612" s="11" t="s">
        <v>2601</v>
      </c>
      <c r="C612" s="11"/>
    </row>
    <row r="613" spans="1:4" ht="12.75" customHeight="1" x14ac:dyDescent="0.2">
      <c r="B613" s="11" t="s">
        <v>16</v>
      </c>
      <c r="C613" s="11"/>
    </row>
    <row r="614" spans="1:4" ht="12.75" customHeight="1" x14ac:dyDescent="0.2">
      <c r="B614" s="11" t="s">
        <v>13</v>
      </c>
      <c r="C614" s="11" t="s">
        <v>2602</v>
      </c>
    </row>
    <row r="615" spans="1:4" ht="12.75" customHeight="1" x14ac:dyDescent="0.2">
      <c r="B615" s="11" t="s">
        <v>2603</v>
      </c>
      <c r="C615" s="11" t="s">
        <v>2604</v>
      </c>
    </row>
    <row r="616" spans="1:4" ht="12.75" customHeight="1" x14ac:dyDescent="0.2">
      <c r="B616" s="11" t="s">
        <v>2605</v>
      </c>
      <c r="C616" s="11" t="s">
        <v>24</v>
      </c>
    </row>
    <row r="617" spans="1:4" ht="12.75" customHeight="1" x14ac:dyDescent="0.2">
      <c r="B617" s="11" t="s">
        <v>2606</v>
      </c>
      <c r="C617" s="16" t="s">
        <v>44</v>
      </c>
      <c r="D617" s="6" t="str">
        <f>HYPERLINK("javascript:void(0)","háló")</f>
        <v>háló</v>
      </c>
    </row>
    <row r="618" spans="1:4" ht="12.75" customHeight="1" x14ac:dyDescent="0.2">
      <c r="C618" s="16" t="s">
        <v>44</v>
      </c>
      <c r="D618" s="6" t="str">
        <f>HYPERLINK("javascript:void(0)","ásó")</f>
        <v>ásó</v>
      </c>
    </row>
    <row r="619" spans="1:4" ht="12.75" customHeight="1" x14ac:dyDescent="0.2">
      <c r="B619" s="2"/>
      <c r="C619" s="15"/>
      <c r="D619" s="2"/>
    </row>
    <row r="620" spans="1:4" ht="12.75" customHeight="1" x14ac:dyDescent="0.2">
      <c r="B620" s="2"/>
      <c r="C620" s="15"/>
      <c r="D620" s="2"/>
    </row>
    <row r="621" spans="1:4" ht="12.75" customHeight="1" x14ac:dyDescent="0.2">
      <c r="A621" s="13" t="s">
        <v>2662</v>
      </c>
      <c r="C621" s="12"/>
    </row>
    <row r="622" spans="1:4" ht="12.75" customHeight="1" x14ac:dyDescent="0.2">
      <c r="A622" s="11"/>
      <c r="B622" s="2"/>
      <c r="C622" s="15"/>
      <c r="D622" s="2"/>
    </row>
    <row r="623" spans="1:4" ht="12.75" customHeight="1" x14ac:dyDescent="0.2">
      <c r="B623" s="11" t="s">
        <v>0</v>
      </c>
      <c r="C623" s="11" t="s">
        <v>40</v>
      </c>
    </row>
    <row r="624" spans="1:4" ht="12.75" customHeight="1" x14ac:dyDescent="0.2">
      <c r="B624" s="11" t="s">
        <v>2599</v>
      </c>
      <c r="C624" s="11" t="s">
        <v>223</v>
      </c>
    </row>
    <row r="625" spans="1:4" ht="25.5" customHeight="1" x14ac:dyDescent="0.2">
      <c r="B625" s="11" t="s">
        <v>2600</v>
      </c>
      <c r="C625" s="11" t="s">
        <v>2468</v>
      </c>
    </row>
    <row r="626" spans="1:4" ht="25.5" customHeight="1" x14ac:dyDescent="0.2">
      <c r="B626" s="11" t="s">
        <v>2601</v>
      </c>
      <c r="C626" s="11"/>
    </row>
    <row r="627" spans="1:4" ht="12.75" customHeight="1" x14ac:dyDescent="0.2">
      <c r="B627" s="11" t="s">
        <v>16</v>
      </c>
      <c r="C627" s="11"/>
    </row>
    <row r="628" spans="1:4" ht="12.75" customHeight="1" x14ac:dyDescent="0.2">
      <c r="B628" s="11" t="s">
        <v>13</v>
      </c>
      <c r="C628" s="11" t="s">
        <v>2602</v>
      </c>
    </row>
    <row r="629" spans="1:4" ht="12.75" customHeight="1" x14ac:dyDescent="0.2">
      <c r="B629" s="11" t="s">
        <v>2603</v>
      </c>
      <c r="C629" s="11" t="s">
        <v>2648</v>
      </c>
    </row>
    <row r="630" spans="1:4" ht="12.75" customHeight="1" x14ac:dyDescent="0.2">
      <c r="B630" s="11" t="s">
        <v>2605</v>
      </c>
      <c r="C630" s="11" t="s">
        <v>24</v>
      </c>
    </row>
    <row r="631" spans="1:4" ht="12.75" customHeight="1" x14ac:dyDescent="0.2">
      <c r="B631" s="11" t="s">
        <v>2606</v>
      </c>
      <c r="C631" s="16" t="s">
        <v>44</v>
      </c>
      <c r="D631" s="6" t="str">
        <f>HYPERLINK("javascript:void(0)","gyógyital")</f>
        <v>gyógyital</v>
      </c>
    </row>
    <row r="632" spans="1:4" ht="12.75" customHeight="1" x14ac:dyDescent="0.2">
      <c r="C632" s="16" t="s">
        <v>44</v>
      </c>
      <c r="D632" s="6" t="str">
        <f>HYPERLINK("javascript:void(0)","ellenszérum")</f>
        <v>ellenszérum</v>
      </c>
    </row>
    <row r="633" spans="1:4" ht="12.75" customHeight="1" x14ac:dyDescent="0.2">
      <c r="B633" s="2"/>
      <c r="C633" s="15"/>
      <c r="D633" s="2"/>
    </row>
    <row r="634" spans="1:4" ht="12.75" customHeight="1" x14ac:dyDescent="0.2">
      <c r="B634" s="2"/>
      <c r="C634" s="15"/>
      <c r="D634" s="2"/>
    </row>
    <row r="635" spans="1:4" ht="12.75" customHeight="1" x14ac:dyDescent="0.2">
      <c r="A635" s="13" t="s">
        <v>2663</v>
      </c>
      <c r="C635" s="12"/>
    </row>
    <row r="636" spans="1:4" ht="12.75" customHeight="1" x14ac:dyDescent="0.2">
      <c r="A636" s="11"/>
      <c r="B636" s="2"/>
      <c r="C636" s="15"/>
      <c r="D636" s="2"/>
    </row>
    <row r="637" spans="1:4" ht="12.75" customHeight="1" x14ac:dyDescent="0.2">
      <c r="B637" s="11" t="s">
        <v>0</v>
      </c>
      <c r="C637" s="11" t="s">
        <v>128</v>
      </c>
    </row>
    <row r="638" spans="1:4" ht="12.75" customHeight="1" x14ac:dyDescent="0.2">
      <c r="B638" s="11" t="s">
        <v>2599</v>
      </c>
      <c r="C638" s="11" t="s">
        <v>635</v>
      </c>
    </row>
    <row r="639" spans="1:4" ht="25.5" customHeight="1" x14ac:dyDescent="0.2">
      <c r="B639" s="11" t="s">
        <v>2600</v>
      </c>
      <c r="C639" s="11" t="s">
        <v>2664</v>
      </c>
    </row>
    <row r="640" spans="1:4" ht="25.5" customHeight="1" x14ac:dyDescent="0.2">
      <c r="B640" s="11" t="s">
        <v>2601</v>
      </c>
      <c r="C640" s="11"/>
    </row>
    <row r="641" spans="1:4" ht="12.75" customHeight="1" x14ac:dyDescent="0.2">
      <c r="B641" s="11" t="s">
        <v>16</v>
      </c>
      <c r="C641" s="11"/>
    </row>
    <row r="642" spans="1:4" ht="12.75" customHeight="1" x14ac:dyDescent="0.2">
      <c r="B642" s="11" t="s">
        <v>13</v>
      </c>
      <c r="C642" s="11" t="s">
        <v>2602</v>
      </c>
    </row>
    <row r="643" spans="1:4" ht="12.75" customHeight="1" x14ac:dyDescent="0.2">
      <c r="B643" s="11" t="s">
        <v>2603</v>
      </c>
      <c r="C643" s="11" t="s">
        <v>2604</v>
      </c>
    </row>
    <row r="644" spans="1:4" ht="12.75" customHeight="1" x14ac:dyDescent="0.2">
      <c r="B644" s="11" t="s">
        <v>2605</v>
      </c>
      <c r="C644" s="11" t="s">
        <v>24</v>
      </c>
    </row>
    <row r="645" spans="1:4" ht="12.75" customHeight="1" x14ac:dyDescent="0.2">
      <c r="B645" s="11" t="s">
        <v>2606</v>
      </c>
      <c r="C645" s="16" t="s">
        <v>44</v>
      </c>
      <c r="D645" s="6" t="str">
        <f>HYPERLINK("javascript:void(0)","láncsisak")</f>
        <v>láncsisak</v>
      </c>
    </row>
    <row r="646" spans="1:4" ht="12.75" customHeight="1" x14ac:dyDescent="0.2">
      <c r="C646" s="16" t="s">
        <v>163</v>
      </c>
      <c r="D646" s="6" t="str">
        <f>HYPERLINK("javascript:void(0)","ezüst")</f>
        <v>ezüst</v>
      </c>
    </row>
    <row r="647" spans="1:4" ht="12.75" customHeight="1" x14ac:dyDescent="0.2">
      <c r="B647" s="2"/>
      <c r="C647" s="15"/>
      <c r="D647" s="2"/>
    </row>
    <row r="648" spans="1:4" ht="12.75" customHeight="1" x14ac:dyDescent="0.2">
      <c r="B648" s="2"/>
      <c r="C648" s="15"/>
      <c r="D648" s="2"/>
    </row>
    <row r="649" spans="1:4" ht="12.75" customHeight="1" x14ac:dyDescent="0.2">
      <c r="A649" s="13" t="s">
        <v>2665</v>
      </c>
      <c r="C649" s="12"/>
    </row>
    <row r="650" spans="1:4" ht="12.75" customHeight="1" x14ac:dyDescent="0.2">
      <c r="A650" s="11"/>
      <c r="B650" s="2"/>
      <c r="C650" s="15"/>
      <c r="D650" s="2"/>
    </row>
    <row r="651" spans="1:4" ht="12.75" customHeight="1" x14ac:dyDescent="0.2">
      <c r="B651" s="11" t="s">
        <v>0</v>
      </c>
      <c r="C651" s="11" t="s">
        <v>128</v>
      </c>
    </row>
    <row r="652" spans="1:4" ht="12.75" customHeight="1" x14ac:dyDescent="0.2">
      <c r="B652" s="11" t="s">
        <v>2599</v>
      </c>
      <c r="C652" s="11" t="s">
        <v>575</v>
      </c>
    </row>
    <row r="653" spans="1:4" ht="25.5" customHeight="1" x14ac:dyDescent="0.2">
      <c r="B653" s="11" t="s">
        <v>2600</v>
      </c>
      <c r="C653" s="11" t="s">
        <v>1846</v>
      </c>
    </row>
    <row r="654" spans="1:4" ht="25.5" customHeight="1" x14ac:dyDescent="0.2">
      <c r="B654" s="11" t="s">
        <v>2601</v>
      </c>
      <c r="C654" s="11"/>
    </row>
    <row r="655" spans="1:4" ht="12.75" customHeight="1" x14ac:dyDescent="0.2">
      <c r="B655" s="11" t="s">
        <v>16</v>
      </c>
      <c r="C655" s="11"/>
    </row>
    <row r="656" spans="1:4" ht="12.75" customHeight="1" x14ac:dyDescent="0.2">
      <c r="B656" s="11" t="s">
        <v>13</v>
      </c>
      <c r="C656" s="11" t="s">
        <v>2602</v>
      </c>
    </row>
    <row r="657" spans="1:4" ht="12.75" customHeight="1" x14ac:dyDescent="0.2">
      <c r="B657" s="11" t="s">
        <v>2603</v>
      </c>
      <c r="C657" s="11" t="s">
        <v>2626</v>
      </c>
    </row>
    <row r="658" spans="1:4" ht="12.75" customHeight="1" x14ac:dyDescent="0.2">
      <c r="B658" s="11" t="s">
        <v>2605</v>
      </c>
      <c r="C658" s="11" t="s">
        <v>24</v>
      </c>
    </row>
    <row r="659" spans="1:4" ht="12.75" customHeight="1" x14ac:dyDescent="0.2">
      <c r="B659" s="11" t="s">
        <v>2606</v>
      </c>
      <c r="C659" s="16" t="s">
        <v>98</v>
      </c>
      <c r="D659" s="6" t="str">
        <f>HYPERLINK("javascript:void(0)","kaja")</f>
        <v>kaja</v>
      </c>
    </row>
    <row r="660" spans="1:4" ht="12.75" customHeight="1" x14ac:dyDescent="0.2">
      <c r="C660" s="16" t="s">
        <v>327</v>
      </c>
      <c r="D660" s="6" t="str">
        <f>HYPERLINK("javascript:void(0)","ezüst")</f>
        <v>ezüst</v>
      </c>
    </row>
    <row r="661" spans="1:4" ht="12.75" customHeight="1" x14ac:dyDescent="0.2">
      <c r="C661" s="16" t="s">
        <v>68</v>
      </c>
      <c r="D661" s="6" t="str">
        <f>HYPERLINK("javascript:void(0)","madártoll")</f>
        <v>madártoll</v>
      </c>
    </row>
    <row r="662" spans="1:4" ht="12.75" customHeight="1" x14ac:dyDescent="0.2">
      <c r="B662" s="2"/>
      <c r="C662" s="15"/>
      <c r="D662" s="2"/>
    </row>
    <row r="663" spans="1:4" ht="12.75" customHeight="1" x14ac:dyDescent="0.2">
      <c r="B663" s="2"/>
      <c r="C663" s="15"/>
      <c r="D663" s="2"/>
    </row>
    <row r="664" spans="1:4" ht="12.75" customHeight="1" x14ac:dyDescent="0.2">
      <c r="A664" s="13" t="s">
        <v>2666</v>
      </c>
      <c r="C664" s="12"/>
    </row>
    <row r="665" spans="1:4" ht="12.75" customHeight="1" x14ac:dyDescent="0.2">
      <c r="A665" s="11"/>
      <c r="B665" s="2"/>
      <c r="C665" s="15"/>
      <c r="D665" s="2"/>
    </row>
    <row r="666" spans="1:4" ht="12.75" customHeight="1" x14ac:dyDescent="0.2">
      <c r="B666" s="11" t="s">
        <v>0</v>
      </c>
      <c r="C666" s="11" t="s">
        <v>128</v>
      </c>
    </row>
    <row r="667" spans="1:4" ht="12.75" customHeight="1" x14ac:dyDescent="0.2">
      <c r="B667" s="11" t="s">
        <v>2599</v>
      </c>
      <c r="C667" s="11" t="s">
        <v>223</v>
      </c>
    </row>
    <row r="668" spans="1:4" ht="25.5" customHeight="1" x14ac:dyDescent="0.2">
      <c r="B668" s="11" t="s">
        <v>2600</v>
      </c>
      <c r="C668" s="11" t="s">
        <v>2508</v>
      </c>
    </row>
    <row r="669" spans="1:4" ht="25.5" customHeight="1" x14ac:dyDescent="0.2">
      <c r="B669" s="11" t="s">
        <v>2601</v>
      </c>
      <c r="C669" s="11"/>
    </row>
    <row r="670" spans="1:4" ht="12.75" customHeight="1" x14ac:dyDescent="0.2">
      <c r="B670" s="11" t="s">
        <v>16</v>
      </c>
      <c r="C670" s="11"/>
    </row>
    <row r="671" spans="1:4" ht="12.75" customHeight="1" x14ac:dyDescent="0.2">
      <c r="B671" s="11" t="s">
        <v>13</v>
      </c>
      <c r="C671" s="11" t="s">
        <v>2602</v>
      </c>
    </row>
    <row r="672" spans="1:4" ht="12.75" customHeight="1" x14ac:dyDescent="0.2">
      <c r="B672" s="11" t="s">
        <v>2603</v>
      </c>
      <c r="C672" s="11" t="s">
        <v>2626</v>
      </c>
    </row>
    <row r="673" spans="1:4" ht="12.75" customHeight="1" x14ac:dyDescent="0.2">
      <c r="B673" s="11" t="s">
        <v>2605</v>
      </c>
      <c r="C673" s="11" t="s">
        <v>24</v>
      </c>
    </row>
    <row r="674" spans="1:4" ht="12.75" customHeight="1" x14ac:dyDescent="0.2">
      <c r="B674" s="11" t="s">
        <v>2606</v>
      </c>
      <c r="C674" s="16" t="s">
        <v>44</v>
      </c>
      <c r="D674" s="6" t="str">
        <f>HYPERLINK("javascript:void(0)","háló")</f>
        <v>háló</v>
      </c>
    </row>
    <row r="675" spans="1:4" ht="12.75" customHeight="1" x14ac:dyDescent="0.2">
      <c r="C675" s="16" t="s">
        <v>44</v>
      </c>
      <c r="D675" s="6" t="str">
        <f>HYPERLINK("javascript:void(0)","tuskópáncél")</f>
        <v>tuskópáncél</v>
      </c>
    </row>
    <row r="676" spans="1:4" ht="25.5" customHeight="1" x14ac:dyDescent="0.2">
      <c r="C676" s="16" t="s">
        <v>44</v>
      </c>
      <c r="D676" s="6" t="str">
        <f>HYPERLINK("javascript:void(0)","törpe surranó")</f>
        <v>törpe surranó</v>
      </c>
    </row>
    <row r="677" spans="1:4" ht="12.75" customHeight="1" x14ac:dyDescent="0.2">
      <c r="B677" s="2"/>
      <c r="C677" s="15"/>
      <c r="D677" s="2"/>
    </row>
    <row r="678" spans="1:4" ht="12.75" customHeight="1" x14ac:dyDescent="0.2">
      <c r="B678" s="2"/>
      <c r="C678" s="15"/>
      <c r="D678" s="2"/>
    </row>
    <row r="679" spans="1:4" ht="12.75" customHeight="1" x14ac:dyDescent="0.2">
      <c r="A679" s="13" t="s">
        <v>2667</v>
      </c>
      <c r="C679" s="12"/>
    </row>
    <row r="680" spans="1:4" ht="12.75" customHeight="1" x14ac:dyDescent="0.2">
      <c r="A680" s="11"/>
      <c r="B680" s="2"/>
      <c r="C680" s="15"/>
      <c r="D680" s="2"/>
    </row>
    <row r="681" spans="1:4" ht="12.75" customHeight="1" x14ac:dyDescent="0.2">
      <c r="B681" s="11" t="s">
        <v>0</v>
      </c>
      <c r="C681" s="11" t="s">
        <v>128</v>
      </c>
    </row>
    <row r="682" spans="1:4" ht="12.75" customHeight="1" x14ac:dyDescent="0.2">
      <c r="B682" s="11" t="s">
        <v>2599</v>
      </c>
      <c r="C682" s="11" t="s">
        <v>562</v>
      </c>
    </row>
    <row r="683" spans="1:4" ht="25.5" customHeight="1" x14ac:dyDescent="0.2">
      <c r="B683" s="11" t="s">
        <v>2600</v>
      </c>
      <c r="C683" s="11" t="s">
        <v>2505</v>
      </c>
    </row>
    <row r="684" spans="1:4" ht="25.5" customHeight="1" x14ac:dyDescent="0.2">
      <c r="B684" s="11" t="s">
        <v>2601</v>
      </c>
      <c r="C684" s="11"/>
    </row>
    <row r="685" spans="1:4" ht="12.75" customHeight="1" x14ac:dyDescent="0.2">
      <c r="B685" s="11" t="s">
        <v>16</v>
      </c>
      <c r="C685" s="11"/>
    </row>
    <row r="686" spans="1:4" ht="12.75" customHeight="1" x14ac:dyDescent="0.2">
      <c r="B686" s="11" t="s">
        <v>13</v>
      </c>
      <c r="C686" s="11" t="s">
        <v>2602</v>
      </c>
    </row>
    <row r="687" spans="1:4" ht="12.75" customHeight="1" x14ac:dyDescent="0.2">
      <c r="B687" s="11" t="s">
        <v>2603</v>
      </c>
      <c r="C687" s="11" t="s">
        <v>2640</v>
      </c>
    </row>
    <row r="688" spans="1:4" ht="12.75" customHeight="1" x14ac:dyDescent="0.2">
      <c r="B688" s="11" t="s">
        <v>2605</v>
      </c>
      <c r="C688" s="11" t="s">
        <v>24</v>
      </c>
    </row>
    <row r="689" spans="1:4" ht="12.75" customHeight="1" x14ac:dyDescent="0.2">
      <c r="B689" s="11" t="s">
        <v>2606</v>
      </c>
      <c r="C689" s="16" t="s">
        <v>55</v>
      </c>
      <c r="D689" s="6" t="str">
        <f>HYPERLINK("javascript:void(0)","ezüst patkó")</f>
        <v>ezüst patkó</v>
      </c>
    </row>
    <row r="690" spans="1:4" ht="12.75" customHeight="1" x14ac:dyDescent="0.2">
      <c r="B690" s="2"/>
      <c r="C690" s="15"/>
      <c r="D690" s="2"/>
    </row>
    <row r="691" spans="1:4" ht="12.75" customHeight="1" x14ac:dyDescent="0.2">
      <c r="B691" s="2"/>
      <c r="C691" s="15"/>
      <c r="D691" s="2"/>
    </row>
    <row r="692" spans="1:4" ht="12.75" customHeight="1" x14ac:dyDescent="0.2">
      <c r="A692" s="13" t="s">
        <v>2668</v>
      </c>
      <c r="C692" s="12"/>
    </row>
    <row r="693" spans="1:4" ht="12.75" customHeight="1" x14ac:dyDescent="0.2">
      <c r="A693" s="11"/>
      <c r="B693" s="2"/>
      <c r="C693" s="15"/>
      <c r="D693" s="2"/>
    </row>
    <row r="694" spans="1:4" ht="12.75" customHeight="1" x14ac:dyDescent="0.2">
      <c r="B694" s="11" t="s">
        <v>0</v>
      </c>
      <c r="C694" s="11" t="s">
        <v>128</v>
      </c>
    </row>
    <row r="695" spans="1:4" ht="12.75" customHeight="1" x14ac:dyDescent="0.2">
      <c r="B695" s="11" t="s">
        <v>2599</v>
      </c>
      <c r="C695" s="11" t="s">
        <v>223</v>
      </c>
    </row>
    <row r="696" spans="1:4" ht="25.5" customHeight="1" x14ac:dyDescent="0.2">
      <c r="B696" s="11" t="s">
        <v>2600</v>
      </c>
      <c r="C696" s="11" t="s">
        <v>2669</v>
      </c>
    </row>
    <row r="697" spans="1:4" ht="25.5" customHeight="1" x14ac:dyDescent="0.2">
      <c r="B697" s="11" t="s">
        <v>2601</v>
      </c>
      <c r="C697" s="11"/>
    </row>
    <row r="698" spans="1:4" ht="12.75" customHeight="1" x14ac:dyDescent="0.2">
      <c r="B698" s="11" t="s">
        <v>16</v>
      </c>
      <c r="C698" s="11"/>
    </row>
    <row r="699" spans="1:4" ht="12.75" customHeight="1" x14ac:dyDescent="0.2">
      <c r="B699" s="11" t="s">
        <v>13</v>
      </c>
      <c r="C699" s="11" t="s">
        <v>2644</v>
      </c>
    </row>
    <row r="700" spans="1:4" ht="12.75" customHeight="1" x14ac:dyDescent="0.2">
      <c r="B700" s="11" t="s">
        <v>2603</v>
      </c>
      <c r="C700" s="11" t="s">
        <v>2604</v>
      </c>
    </row>
    <row r="701" spans="1:4" ht="12.75" customHeight="1" x14ac:dyDescent="0.2">
      <c r="B701" s="11" t="s">
        <v>2605</v>
      </c>
      <c r="C701" s="11" t="s">
        <v>24</v>
      </c>
    </row>
    <row r="702" spans="1:4" ht="25.5" customHeight="1" x14ac:dyDescent="0.2">
      <c r="B702" s="11" t="s">
        <v>2606</v>
      </c>
      <c r="C702" s="16" t="s">
        <v>56</v>
      </c>
      <c r="D702" s="6" t="str">
        <f>HYPERLINK("javascript:void(0)","elementál eszencia")</f>
        <v>elementál eszencia</v>
      </c>
    </row>
    <row r="703" spans="1:4" ht="12.75" customHeight="1" x14ac:dyDescent="0.2">
      <c r="B703" s="2"/>
      <c r="C703" s="15"/>
      <c r="D703" s="2"/>
    </row>
    <row r="704" spans="1:4" ht="12.75" customHeight="1" x14ac:dyDescent="0.2">
      <c r="B704" s="2"/>
      <c r="C704" s="15"/>
      <c r="D704" s="2"/>
    </row>
    <row r="705" spans="1:4" ht="12.75" customHeight="1" x14ac:dyDescent="0.2">
      <c r="A705" s="13" t="s">
        <v>2670</v>
      </c>
      <c r="C705" s="12"/>
    </row>
    <row r="706" spans="1:4" ht="12.75" customHeight="1" x14ac:dyDescent="0.2">
      <c r="A706" s="11"/>
      <c r="B706" s="2"/>
      <c r="C706" s="15"/>
      <c r="D706" s="2"/>
    </row>
    <row r="707" spans="1:4" ht="12.75" customHeight="1" x14ac:dyDescent="0.2">
      <c r="B707" s="11" t="s">
        <v>0</v>
      </c>
      <c r="C707" s="11" t="s">
        <v>128</v>
      </c>
    </row>
    <row r="708" spans="1:4" ht="12.75" customHeight="1" x14ac:dyDescent="0.2">
      <c r="B708" s="11" t="s">
        <v>2599</v>
      </c>
      <c r="C708" s="11" t="s">
        <v>223</v>
      </c>
    </row>
    <row r="709" spans="1:4" ht="25.5" customHeight="1" x14ac:dyDescent="0.2">
      <c r="B709" s="11" t="s">
        <v>2600</v>
      </c>
      <c r="C709" s="11" t="s">
        <v>2505</v>
      </c>
    </row>
    <row r="710" spans="1:4" ht="25.5" customHeight="1" x14ac:dyDescent="0.2">
      <c r="B710" s="11" t="s">
        <v>2601</v>
      </c>
      <c r="C710" s="11"/>
    </row>
    <row r="711" spans="1:4" ht="12.75" customHeight="1" x14ac:dyDescent="0.2">
      <c r="B711" s="11" t="s">
        <v>16</v>
      </c>
      <c r="C711" s="11"/>
    </row>
    <row r="712" spans="1:4" ht="12.75" customHeight="1" x14ac:dyDescent="0.2">
      <c r="B712" s="11" t="s">
        <v>13</v>
      </c>
      <c r="C712" s="11" t="s">
        <v>2644</v>
      </c>
    </row>
    <row r="713" spans="1:4" ht="12.75" customHeight="1" x14ac:dyDescent="0.2">
      <c r="B713" s="11" t="s">
        <v>2603</v>
      </c>
      <c r="C713" s="11" t="s">
        <v>2604</v>
      </c>
    </row>
    <row r="714" spans="1:4" ht="12.75" customHeight="1" x14ac:dyDescent="0.2">
      <c r="B714" s="11" t="s">
        <v>2605</v>
      </c>
      <c r="C714" s="11" t="s">
        <v>24</v>
      </c>
    </row>
    <row r="715" spans="1:4" ht="25.5" customHeight="1" x14ac:dyDescent="0.2">
      <c r="B715" s="11" t="s">
        <v>2606</v>
      </c>
      <c r="C715" s="16" t="s">
        <v>56</v>
      </c>
      <c r="D715" s="6" t="str">
        <f>HYPERLINK("javascript:void(0)","elementál eszencia")</f>
        <v>elementál eszencia</v>
      </c>
    </row>
    <row r="716" spans="1:4" ht="12.75" customHeight="1" x14ac:dyDescent="0.2">
      <c r="B716" s="2"/>
      <c r="C716" s="15"/>
      <c r="D716" s="2"/>
    </row>
    <row r="717" spans="1:4" ht="12.75" customHeight="1" x14ac:dyDescent="0.2">
      <c r="B717" s="2"/>
      <c r="C717" s="15"/>
      <c r="D717" s="2"/>
    </row>
    <row r="718" spans="1:4" ht="12.75" customHeight="1" x14ac:dyDescent="0.2">
      <c r="A718" s="13" t="s">
        <v>2671</v>
      </c>
      <c r="C718" s="12"/>
    </row>
    <row r="719" spans="1:4" ht="12.75" customHeight="1" x14ac:dyDescent="0.2">
      <c r="A719" s="11"/>
      <c r="B719" s="2"/>
      <c r="C719" s="15"/>
      <c r="D719" s="2"/>
    </row>
    <row r="720" spans="1:4" ht="12.75" customHeight="1" x14ac:dyDescent="0.2">
      <c r="B720" s="11" t="s">
        <v>0</v>
      </c>
      <c r="C720" s="11" t="s">
        <v>128</v>
      </c>
    </row>
    <row r="721" spans="1:4" ht="12.75" customHeight="1" x14ac:dyDescent="0.2">
      <c r="B721" s="11" t="s">
        <v>2599</v>
      </c>
      <c r="C721" s="11" t="s">
        <v>151</v>
      </c>
    </row>
    <row r="722" spans="1:4" ht="25.5" customHeight="1" x14ac:dyDescent="0.2">
      <c r="B722" s="11" t="s">
        <v>2600</v>
      </c>
      <c r="C722" s="11" t="s">
        <v>2491</v>
      </c>
    </row>
    <row r="723" spans="1:4" ht="25.5" customHeight="1" x14ac:dyDescent="0.2">
      <c r="B723" s="11" t="s">
        <v>2601</v>
      </c>
      <c r="C723" s="11"/>
    </row>
    <row r="724" spans="1:4" ht="12.75" customHeight="1" x14ac:dyDescent="0.2">
      <c r="B724" s="11" t="s">
        <v>16</v>
      </c>
      <c r="C724" s="11"/>
    </row>
    <row r="725" spans="1:4" ht="12.75" customHeight="1" x14ac:dyDescent="0.2">
      <c r="B725" s="11" t="s">
        <v>13</v>
      </c>
      <c r="C725" s="11" t="s">
        <v>2602</v>
      </c>
    </row>
    <row r="726" spans="1:4" ht="12.75" customHeight="1" x14ac:dyDescent="0.2">
      <c r="B726" s="11" t="s">
        <v>2603</v>
      </c>
      <c r="C726" s="11" t="s">
        <v>2648</v>
      </c>
    </row>
    <row r="727" spans="1:4" ht="12.75" customHeight="1" x14ac:dyDescent="0.2">
      <c r="B727" s="11" t="s">
        <v>2605</v>
      </c>
      <c r="C727" s="11" t="s">
        <v>24</v>
      </c>
    </row>
    <row r="728" spans="1:4" ht="12.75" customHeight="1" x14ac:dyDescent="0.2">
      <c r="B728" s="11" t="s">
        <v>2606</v>
      </c>
      <c r="C728" s="16" t="s">
        <v>44</v>
      </c>
      <c r="D728" s="6" t="str">
        <f>HYPERLINK("javascript:void(0)","kristálylap")</f>
        <v>kristálylap</v>
      </c>
    </row>
    <row r="729" spans="1:4" ht="12.75" customHeight="1" x14ac:dyDescent="0.2">
      <c r="B729" s="2"/>
      <c r="C729" s="15"/>
      <c r="D729" s="2"/>
    </row>
    <row r="730" spans="1:4" ht="12.75" customHeight="1" x14ac:dyDescent="0.2">
      <c r="B730" s="2"/>
      <c r="C730" s="15"/>
      <c r="D730" s="2"/>
    </row>
    <row r="731" spans="1:4" ht="12.75" customHeight="1" x14ac:dyDescent="0.2">
      <c r="A731" s="13" t="s">
        <v>2672</v>
      </c>
      <c r="C731" s="12"/>
    </row>
    <row r="732" spans="1:4" ht="12.75" customHeight="1" x14ac:dyDescent="0.2">
      <c r="A732" s="11"/>
      <c r="B732" s="2"/>
      <c r="C732" s="15"/>
      <c r="D732" s="2"/>
    </row>
    <row r="733" spans="1:4" ht="12.75" customHeight="1" x14ac:dyDescent="0.2">
      <c r="B733" s="11" t="s">
        <v>0</v>
      </c>
      <c r="C733" s="11" t="s">
        <v>48</v>
      </c>
    </row>
    <row r="734" spans="1:4" ht="12.75" customHeight="1" x14ac:dyDescent="0.2">
      <c r="B734" s="11" t="s">
        <v>2599</v>
      </c>
      <c r="C734" s="11" t="s">
        <v>73</v>
      </c>
    </row>
    <row r="735" spans="1:4" ht="25.5" customHeight="1" x14ac:dyDescent="0.2">
      <c r="B735" s="11" t="s">
        <v>2600</v>
      </c>
      <c r="C735" s="11" t="s">
        <v>372</v>
      </c>
    </row>
    <row r="736" spans="1:4" ht="25.5" customHeight="1" x14ac:dyDescent="0.2">
      <c r="B736" s="11" t="s">
        <v>2601</v>
      </c>
      <c r="C736" s="11"/>
    </row>
    <row r="737" spans="1:4" ht="12.75" customHeight="1" x14ac:dyDescent="0.2">
      <c r="B737" s="11" t="s">
        <v>16</v>
      </c>
      <c r="C737" s="11"/>
    </row>
    <row r="738" spans="1:4" ht="12.75" customHeight="1" x14ac:dyDescent="0.2">
      <c r="B738" s="11" t="s">
        <v>13</v>
      </c>
      <c r="C738" s="11" t="s">
        <v>2602</v>
      </c>
    </row>
    <row r="739" spans="1:4" ht="12.75" customHeight="1" x14ac:dyDescent="0.2">
      <c r="B739" s="11" t="s">
        <v>2603</v>
      </c>
      <c r="C739" s="11" t="s">
        <v>2633</v>
      </c>
    </row>
    <row r="740" spans="1:4" ht="12.75" customHeight="1" x14ac:dyDescent="0.2">
      <c r="B740" s="11" t="s">
        <v>2605</v>
      </c>
      <c r="C740" s="11" t="s">
        <v>24</v>
      </c>
    </row>
    <row r="741" spans="1:4" ht="12.75" customHeight="1" x14ac:dyDescent="0.2">
      <c r="B741" s="11" t="s">
        <v>2606</v>
      </c>
      <c r="C741" s="16" t="s">
        <v>67</v>
      </c>
      <c r="D741" s="6" t="str">
        <f>HYPERLINK("javascript:void(0)","madártoll")</f>
        <v>madártoll</v>
      </c>
    </row>
    <row r="742" spans="1:4" ht="12.75" customHeight="1" x14ac:dyDescent="0.2">
      <c r="C742" s="16" t="s">
        <v>55</v>
      </c>
      <c r="D742" s="6" t="str">
        <f>HYPERLINK("javascript:void(0)","kaja")</f>
        <v>kaja</v>
      </c>
    </row>
    <row r="743" spans="1:4" ht="12.75" customHeight="1" x14ac:dyDescent="0.2">
      <c r="C743" s="16" t="s">
        <v>44</v>
      </c>
      <c r="D743" s="6" t="str">
        <f>HYPERLINK("javascript:void(0)","jáspis")</f>
        <v>jáspis</v>
      </c>
    </row>
    <row r="744" spans="1:4" ht="12.75" customHeight="1" x14ac:dyDescent="0.2">
      <c r="B744" s="2"/>
      <c r="C744" s="15"/>
      <c r="D744" s="2"/>
    </row>
    <row r="745" spans="1:4" ht="12.75" customHeight="1" x14ac:dyDescent="0.2">
      <c r="B745" s="2"/>
      <c r="C745" s="15"/>
      <c r="D745" s="2"/>
    </row>
    <row r="746" spans="1:4" ht="12.75" customHeight="1" x14ac:dyDescent="0.2">
      <c r="A746" s="13" t="s">
        <v>2673</v>
      </c>
      <c r="C746" s="12"/>
    </row>
    <row r="747" spans="1:4" ht="12.75" customHeight="1" x14ac:dyDescent="0.2">
      <c r="A747" s="11"/>
      <c r="B747" s="2"/>
      <c r="C747" s="15"/>
      <c r="D747" s="2"/>
    </row>
    <row r="748" spans="1:4" ht="12.75" customHeight="1" x14ac:dyDescent="0.2">
      <c r="B748" s="11" t="s">
        <v>0</v>
      </c>
      <c r="C748" s="11" t="s">
        <v>48</v>
      </c>
    </row>
    <row r="749" spans="1:4" ht="12.75" customHeight="1" x14ac:dyDescent="0.2">
      <c r="B749" s="11" t="s">
        <v>2599</v>
      </c>
      <c r="C749" s="11" t="s">
        <v>680</v>
      </c>
    </row>
    <row r="750" spans="1:4" ht="25.5" customHeight="1" x14ac:dyDescent="0.2">
      <c r="B750" s="11" t="s">
        <v>2600</v>
      </c>
      <c r="C750" s="11" t="s">
        <v>2674</v>
      </c>
    </row>
    <row r="751" spans="1:4" ht="25.5" customHeight="1" x14ac:dyDescent="0.2">
      <c r="B751" s="11" t="s">
        <v>2601</v>
      </c>
      <c r="C751" s="11"/>
    </row>
    <row r="752" spans="1:4" ht="12.75" customHeight="1" x14ac:dyDescent="0.2">
      <c r="B752" s="11" t="s">
        <v>16</v>
      </c>
      <c r="C752" s="11"/>
    </row>
    <row r="753" spans="1:4" ht="12.75" customHeight="1" x14ac:dyDescent="0.2">
      <c r="B753" s="11" t="s">
        <v>13</v>
      </c>
      <c r="C753" s="11" t="s">
        <v>2602</v>
      </c>
    </row>
    <row r="754" spans="1:4" ht="12.75" customHeight="1" x14ac:dyDescent="0.2">
      <c r="B754" s="11" t="s">
        <v>2603</v>
      </c>
      <c r="C754" s="11" t="s">
        <v>2633</v>
      </c>
    </row>
    <row r="755" spans="1:4" ht="12.75" customHeight="1" x14ac:dyDescent="0.2">
      <c r="B755" s="11" t="s">
        <v>2605</v>
      </c>
      <c r="C755" s="11" t="s">
        <v>24</v>
      </c>
    </row>
    <row r="756" spans="1:4" ht="25.5" customHeight="1" x14ac:dyDescent="0.2">
      <c r="B756" s="11" t="s">
        <v>2606</v>
      </c>
      <c r="C756" s="16" t="s">
        <v>56</v>
      </c>
      <c r="D756" s="6" t="str">
        <f>HYPERLINK("javascript:void(0)","méregzacskó")</f>
        <v>méregzacskó</v>
      </c>
    </row>
    <row r="757" spans="1:4" ht="12.75" customHeight="1" x14ac:dyDescent="0.2">
      <c r="B757" s="2"/>
      <c r="C757" s="15"/>
      <c r="D757" s="2"/>
    </row>
    <row r="758" spans="1:4" ht="12.75" customHeight="1" x14ac:dyDescent="0.2">
      <c r="B758" s="2"/>
      <c r="C758" s="15"/>
      <c r="D758" s="2"/>
    </row>
    <row r="759" spans="1:4" ht="12.75" customHeight="1" x14ac:dyDescent="0.2">
      <c r="A759" s="13" t="s">
        <v>2675</v>
      </c>
      <c r="C759" s="12"/>
    </row>
    <row r="760" spans="1:4" ht="12.75" customHeight="1" x14ac:dyDescent="0.2">
      <c r="A760" s="11"/>
      <c r="B760" s="2"/>
      <c r="C760" s="15"/>
      <c r="D760" s="2"/>
    </row>
    <row r="761" spans="1:4" ht="12.75" customHeight="1" x14ac:dyDescent="0.2">
      <c r="B761" s="11" t="s">
        <v>0</v>
      </c>
      <c r="C761" s="11" t="s">
        <v>48</v>
      </c>
    </row>
    <row r="762" spans="1:4" ht="12.75" customHeight="1" x14ac:dyDescent="0.2">
      <c r="B762" s="11" t="s">
        <v>2599</v>
      </c>
      <c r="C762" s="11" t="s">
        <v>728</v>
      </c>
    </row>
    <row r="763" spans="1:4" ht="25.5" customHeight="1" x14ac:dyDescent="0.2">
      <c r="B763" s="11" t="s">
        <v>2600</v>
      </c>
      <c r="C763" s="11" t="s">
        <v>2676</v>
      </c>
    </row>
    <row r="764" spans="1:4" ht="25.5" customHeight="1" x14ac:dyDescent="0.2">
      <c r="B764" s="11" t="s">
        <v>2601</v>
      </c>
      <c r="C764" s="11"/>
    </row>
    <row r="765" spans="1:4" ht="12.75" customHeight="1" x14ac:dyDescent="0.2">
      <c r="B765" s="11" t="s">
        <v>16</v>
      </c>
      <c r="C765" s="11"/>
    </row>
    <row r="766" spans="1:4" ht="12.75" customHeight="1" x14ac:dyDescent="0.2">
      <c r="B766" s="11" t="s">
        <v>13</v>
      </c>
      <c r="C766" s="11" t="s">
        <v>2602</v>
      </c>
    </row>
    <row r="767" spans="1:4" ht="12.75" customHeight="1" x14ac:dyDescent="0.2">
      <c r="B767" s="11" t="s">
        <v>2603</v>
      </c>
      <c r="C767" s="11" t="s">
        <v>2604</v>
      </c>
    </row>
    <row r="768" spans="1:4" ht="12.75" customHeight="1" x14ac:dyDescent="0.2">
      <c r="B768" s="11" t="s">
        <v>2605</v>
      </c>
      <c r="C768" s="11" t="s">
        <v>24</v>
      </c>
    </row>
    <row r="769" spans="1:4" ht="12.75" customHeight="1" x14ac:dyDescent="0.2">
      <c r="B769" s="11" t="s">
        <v>2606</v>
      </c>
      <c r="C769" s="16" t="s">
        <v>44</v>
      </c>
      <c r="D769" s="6" t="str">
        <f>HYPERLINK("javascript:void(0)","kitintőr")</f>
        <v>kitintőr</v>
      </c>
    </row>
    <row r="770" spans="1:4" ht="12.75" customHeight="1" x14ac:dyDescent="0.2">
      <c r="B770" s="2"/>
      <c r="C770" s="15"/>
      <c r="D770" s="2"/>
    </row>
    <row r="771" spans="1:4" ht="12.75" customHeight="1" x14ac:dyDescent="0.2">
      <c r="B771" s="2"/>
      <c r="C771" s="15"/>
      <c r="D771" s="2"/>
    </row>
    <row r="772" spans="1:4" ht="12.75" customHeight="1" x14ac:dyDescent="0.2">
      <c r="A772" s="13" t="s">
        <v>2677</v>
      </c>
      <c r="C772" s="12"/>
    </row>
    <row r="773" spans="1:4" ht="12.75" customHeight="1" x14ac:dyDescent="0.2">
      <c r="A773" s="11"/>
      <c r="B773" s="2"/>
      <c r="C773" s="15"/>
      <c r="D773" s="2"/>
    </row>
    <row r="774" spans="1:4" ht="12.75" customHeight="1" x14ac:dyDescent="0.2">
      <c r="B774" s="11" t="s">
        <v>0</v>
      </c>
      <c r="C774" s="11" t="s">
        <v>48</v>
      </c>
    </row>
    <row r="775" spans="1:4" ht="12.75" customHeight="1" x14ac:dyDescent="0.2">
      <c r="B775" s="11" t="s">
        <v>2599</v>
      </c>
      <c r="C775" s="11" t="s">
        <v>239</v>
      </c>
    </row>
    <row r="776" spans="1:4" ht="25.5" customHeight="1" x14ac:dyDescent="0.2">
      <c r="B776" s="11" t="s">
        <v>2600</v>
      </c>
      <c r="C776" s="11" t="s">
        <v>2678</v>
      </c>
    </row>
    <row r="777" spans="1:4" ht="25.5" customHeight="1" x14ac:dyDescent="0.2">
      <c r="B777" s="11" t="s">
        <v>2601</v>
      </c>
      <c r="C777" s="11"/>
    </row>
    <row r="778" spans="1:4" ht="12.75" customHeight="1" x14ac:dyDescent="0.2">
      <c r="B778" s="11" t="s">
        <v>16</v>
      </c>
      <c r="C778" s="11"/>
    </row>
    <row r="779" spans="1:4" ht="12.75" customHeight="1" x14ac:dyDescent="0.2">
      <c r="B779" s="11" t="s">
        <v>13</v>
      </c>
      <c r="C779" s="11" t="s">
        <v>2602</v>
      </c>
    </row>
    <row r="780" spans="1:4" ht="12.75" customHeight="1" x14ac:dyDescent="0.2">
      <c r="B780" s="11" t="s">
        <v>2603</v>
      </c>
      <c r="C780" s="11" t="s">
        <v>2679</v>
      </c>
    </row>
    <row r="781" spans="1:4" ht="12.75" customHeight="1" x14ac:dyDescent="0.2">
      <c r="B781" s="11" t="s">
        <v>2605</v>
      </c>
      <c r="C781" s="11" t="s">
        <v>24</v>
      </c>
    </row>
    <row r="782" spans="1:4" ht="12.75" customHeight="1" x14ac:dyDescent="0.2">
      <c r="B782" s="11" t="s">
        <v>2606</v>
      </c>
      <c r="C782" s="16" t="s">
        <v>67</v>
      </c>
      <c r="D782" s="6" t="str">
        <f>HYPERLINK("javascript:void(0)","kaja")</f>
        <v>kaja</v>
      </c>
    </row>
    <row r="783" spans="1:4" ht="12.75" customHeight="1" x14ac:dyDescent="0.2">
      <c r="C783" s="16" t="s">
        <v>382</v>
      </c>
      <c r="D783" s="6" t="str">
        <f>HYPERLINK("javascript:void(0)","ezüst")</f>
        <v>ezüst</v>
      </c>
    </row>
    <row r="784" spans="1:4" ht="12.75" customHeight="1" x14ac:dyDescent="0.2">
      <c r="B784" s="2"/>
      <c r="C784" s="15"/>
      <c r="D784" s="2"/>
    </row>
    <row r="785" spans="1:4" ht="12.75" customHeight="1" x14ac:dyDescent="0.2">
      <c r="B785" s="2"/>
      <c r="C785" s="15"/>
      <c r="D785" s="2"/>
    </row>
    <row r="786" spans="1:4" ht="12.75" customHeight="1" x14ac:dyDescent="0.2">
      <c r="A786" s="13" t="s">
        <v>2680</v>
      </c>
      <c r="C786" s="12"/>
    </row>
    <row r="787" spans="1:4" ht="12.75" customHeight="1" x14ac:dyDescent="0.2">
      <c r="A787" s="11"/>
      <c r="B787" s="2"/>
      <c r="C787" s="15"/>
      <c r="D787" s="2"/>
    </row>
    <row r="788" spans="1:4" ht="12.75" customHeight="1" x14ac:dyDescent="0.2">
      <c r="B788" s="11" t="s">
        <v>0</v>
      </c>
      <c r="C788" s="11" t="s">
        <v>46</v>
      </c>
    </row>
    <row r="789" spans="1:4" ht="12.75" customHeight="1" x14ac:dyDescent="0.2">
      <c r="B789" s="11" t="s">
        <v>2599</v>
      </c>
      <c r="C789" s="11" t="s">
        <v>83</v>
      </c>
    </row>
    <row r="790" spans="1:4" ht="25.5" customHeight="1" x14ac:dyDescent="0.2">
      <c r="B790" s="11" t="s">
        <v>2600</v>
      </c>
      <c r="C790" s="11" t="s">
        <v>396</v>
      </c>
    </row>
    <row r="791" spans="1:4" ht="25.5" customHeight="1" x14ac:dyDescent="0.2">
      <c r="B791" s="11" t="s">
        <v>2601</v>
      </c>
      <c r="C791" s="11"/>
    </row>
    <row r="792" spans="1:4" ht="12.75" customHeight="1" x14ac:dyDescent="0.2">
      <c r="B792" s="11" t="s">
        <v>16</v>
      </c>
      <c r="C792" s="11"/>
    </row>
    <row r="793" spans="1:4" ht="12.75" customHeight="1" x14ac:dyDescent="0.2">
      <c r="B793" s="11" t="s">
        <v>13</v>
      </c>
      <c r="C793" s="11" t="s">
        <v>2602</v>
      </c>
    </row>
    <row r="794" spans="1:4" ht="12.75" customHeight="1" x14ac:dyDescent="0.2">
      <c r="B794" s="11" t="s">
        <v>2603</v>
      </c>
      <c r="C794" s="11" t="s">
        <v>2604</v>
      </c>
    </row>
    <row r="795" spans="1:4" ht="12.75" customHeight="1" x14ac:dyDescent="0.2">
      <c r="B795" s="11" t="s">
        <v>2605</v>
      </c>
      <c r="C795" s="11" t="s">
        <v>24</v>
      </c>
    </row>
    <row r="796" spans="1:4" ht="12.75" customHeight="1" x14ac:dyDescent="0.2">
      <c r="B796" s="11" t="s">
        <v>2606</v>
      </c>
      <c r="C796" s="16" t="s">
        <v>2652</v>
      </c>
      <c r="D796" s="6" t="str">
        <f>HYPERLINK("javascript:void(0)","ezüst")</f>
        <v>ezüst</v>
      </c>
    </row>
    <row r="797" spans="1:4" ht="12.75" customHeight="1" x14ac:dyDescent="0.2">
      <c r="B797" s="2"/>
      <c r="C797" s="15"/>
      <c r="D797" s="2"/>
    </row>
    <row r="798" spans="1:4" ht="12.75" customHeight="1" x14ac:dyDescent="0.2">
      <c r="B798" s="2"/>
      <c r="C798" s="15"/>
      <c r="D798" s="2"/>
    </row>
    <row r="799" spans="1:4" ht="12.75" customHeight="1" x14ac:dyDescent="0.2">
      <c r="A799" s="13" t="s">
        <v>2681</v>
      </c>
      <c r="C799" s="12"/>
    </row>
    <row r="800" spans="1:4" ht="12.75" customHeight="1" x14ac:dyDescent="0.2">
      <c r="A800" s="11"/>
      <c r="B800" s="2"/>
      <c r="C800" s="15"/>
      <c r="D800" s="2"/>
    </row>
    <row r="801" spans="1:4" ht="12.75" customHeight="1" x14ac:dyDescent="0.2">
      <c r="B801" s="11" t="s">
        <v>0</v>
      </c>
      <c r="C801" s="11" t="s">
        <v>46</v>
      </c>
    </row>
    <row r="802" spans="1:4" ht="12.75" customHeight="1" x14ac:dyDescent="0.2">
      <c r="B802" s="11" t="s">
        <v>2599</v>
      </c>
      <c r="C802" s="11" t="s">
        <v>874</v>
      </c>
    </row>
    <row r="803" spans="1:4" ht="25.5" customHeight="1" x14ac:dyDescent="0.2">
      <c r="B803" s="11" t="s">
        <v>2600</v>
      </c>
      <c r="C803" s="11" t="s">
        <v>2682</v>
      </c>
    </row>
    <row r="804" spans="1:4" ht="25.5" customHeight="1" x14ac:dyDescent="0.2">
      <c r="B804" s="11" t="s">
        <v>2601</v>
      </c>
      <c r="C804" s="11"/>
    </row>
    <row r="805" spans="1:4" ht="12.75" customHeight="1" x14ac:dyDescent="0.2">
      <c r="B805" s="11" t="s">
        <v>16</v>
      </c>
      <c r="C805" s="11"/>
    </row>
    <row r="806" spans="1:4" ht="12.75" customHeight="1" x14ac:dyDescent="0.2">
      <c r="B806" s="11" t="s">
        <v>13</v>
      </c>
      <c r="C806" s="11" t="s">
        <v>2602</v>
      </c>
    </row>
    <row r="807" spans="1:4" ht="12.75" customHeight="1" x14ac:dyDescent="0.2">
      <c r="B807" s="11" t="s">
        <v>2603</v>
      </c>
      <c r="C807" s="11" t="s">
        <v>2626</v>
      </c>
    </row>
    <row r="808" spans="1:4" ht="12.75" customHeight="1" x14ac:dyDescent="0.2">
      <c r="B808" s="11" t="s">
        <v>2605</v>
      </c>
      <c r="C808" s="11" t="s">
        <v>24</v>
      </c>
    </row>
    <row r="809" spans="1:4" ht="12.75" customHeight="1" x14ac:dyDescent="0.2">
      <c r="B809" s="11" t="s">
        <v>2606</v>
      </c>
      <c r="C809" s="16" t="s">
        <v>44</v>
      </c>
      <c r="D809" s="6" t="str">
        <f>HYPERLINK("javascript:void(0)","gorillanyelv")</f>
        <v>gorillanyelv</v>
      </c>
    </row>
    <row r="810" spans="1:4" ht="12.75" customHeight="1" x14ac:dyDescent="0.2">
      <c r="B810" s="2"/>
      <c r="C810" s="15"/>
      <c r="D810" s="2"/>
    </row>
    <row r="811" spans="1:4" ht="12.75" customHeight="1" x14ac:dyDescent="0.2">
      <c r="B811" s="2"/>
      <c r="C811" s="15"/>
      <c r="D811" s="2"/>
    </row>
    <row r="812" spans="1:4" ht="12.75" customHeight="1" x14ac:dyDescent="0.2">
      <c r="A812" s="13" t="s">
        <v>2683</v>
      </c>
      <c r="C812" s="12"/>
    </row>
    <row r="813" spans="1:4" ht="12.75" customHeight="1" x14ac:dyDescent="0.2">
      <c r="A813" s="11"/>
      <c r="B813" s="2"/>
      <c r="C813" s="15"/>
      <c r="D813" s="2"/>
    </row>
    <row r="814" spans="1:4" ht="12.75" customHeight="1" x14ac:dyDescent="0.2">
      <c r="B814" s="11" t="s">
        <v>0</v>
      </c>
      <c r="C814" s="11" t="s">
        <v>46</v>
      </c>
    </row>
    <row r="815" spans="1:4" ht="12.75" customHeight="1" x14ac:dyDescent="0.2">
      <c r="B815" s="11" t="s">
        <v>2599</v>
      </c>
      <c r="C815" s="11" t="s">
        <v>853</v>
      </c>
    </row>
    <row r="816" spans="1:4" ht="25.5" customHeight="1" x14ac:dyDescent="0.2">
      <c r="B816" s="11" t="s">
        <v>2600</v>
      </c>
      <c r="C816" s="11" t="s">
        <v>2684</v>
      </c>
    </row>
    <row r="817" spans="1:4" ht="25.5" customHeight="1" x14ac:dyDescent="0.2">
      <c r="B817" s="11" t="s">
        <v>2601</v>
      </c>
      <c r="C817" s="11"/>
    </row>
    <row r="818" spans="1:4" ht="12.75" customHeight="1" x14ac:dyDescent="0.2">
      <c r="B818" s="11" t="s">
        <v>16</v>
      </c>
      <c r="C818" s="11"/>
    </row>
    <row r="819" spans="1:4" ht="12.75" customHeight="1" x14ac:dyDescent="0.2">
      <c r="B819" s="11" t="s">
        <v>13</v>
      </c>
      <c r="C819" s="11" t="s">
        <v>2602</v>
      </c>
    </row>
    <row r="820" spans="1:4" ht="12.75" customHeight="1" x14ac:dyDescent="0.2">
      <c r="B820" s="11" t="s">
        <v>2603</v>
      </c>
      <c r="C820" s="11" t="s">
        <v>2633</v>
      </c>
    </row>
    <row r="821" spans="1:4" ht="12.75" customHeight="1" x14ac:dyDescent="0.2">
      <c r="B821" s="11" t="s">
        <v>2605</v>
      </c>
      <c r="C821" s="11" t="s">
        <v>24</v>
      </c>
    </row>
    <row r="822" spans="1:4" ht="12.75" customHeight="1" x14ac:dyDescent="0.2">
      <c r="B822" s="11" t="s">
        <v>2606</v>
      </c>
      <c r="C822" s="16" t="s">
        <v>139</v>
      </c>
      <c r="D822" s="6" t="str">
        <f>HYPERLINK("javascript:void(0)","kaja")</f>
        <v>kaja</v>
      </c>
    </row>
    <row r="823" spans="1:4" ht="12.75" customHeight="1" x14ac:dyDescent="0.2">
      <c r="C823" s="16" t="s">
        <v>232</v>
      </c>
      <c r="D823" s="6" t="str">
        <f>HYPERLINK("javascript:void(0)","madártoll")</f>
        <v>madártoll</v>
      </c>
    </row>
    <row r="824" spans="1:4" ht="12.75" customHeight="1" x14ac:dyDescent="0.2">
      <c r="B824" s="2"/>
      <c r="C824" s="15"/>
      <c r="D824" s="2"/>
    </row>
    <row r="825" spans="1:4" ht="12.75" customHeight="1" x14ac:dyDescent="0.2">
      <c r="B825" s="2"/>
      <c r="C825" s="15"/>
      <c r="D825" s="2"/>
    </row>
    <row r="826" spans="1:4" ht="12.75" customHeight="1" x14ac:dyDescent="0.2">
      <c r="A826" s="13" t="s">
        <v>2685</v>
      </c>
      <c r="C826" s="12"/>
    </row>
    <row r="827" spans="1:4" ht="12.75" customHeight="1" x14ac:dyDescent="0.2">
      <c r="A827" s="11"/>
      <c r="B827" s="2"/>
      <c r="C827" s="15"/>
      <c r="D827" s="2"/>
    </row>
    <row r="828" spans="1:4" ht="12.75" customHeight="1" x14ac:dyDescent="0.2">
      <c r="B828" s="11" t="s">
        <v>0</v>
      </c>
      <c r="C828" s="11" t="s">
        <v>46</v>
      </c>
    </row>
    <row r="829" spans="1:4" ht="12.75" customHeight="1" x14ac:dyDescent="0.2">
      <c r="B829" s="11" t="s">
        <v>2599</v>
      </c>
      <c r="C829" s="11" t="s">
        <v>83</v>
      </c>
    </row>
    <row r="830" spans="1:4" ht="25.5" customHeight="1" x14ac:dyDescent="0.2">
      <c r="B830" s="11" t="s">
        <v>2600</v>
      </c>
      <c r="C830" s="11" t="s">
        <v>2575</v>
      </c>
    </row>
    <row r="831" spans="1:4" ht="25.5" customHeight="1" x14ac:dyDescent="0.2">
      <c r="B831" s="11" t="s">
        <v>2601</v>
      </c>
      <c r="C831" s="11"/>
    </row>
    <row r="832" spans="1:4" ht="12.75" customHeight="1" x14ac:dyDescent="0.2">
      <c r="B832" s="11" t="s">
        <v>16</v>
      </c>
      <c r="C832" s="11"/>
    </row>
    <row r="833" spans="1:4" ht="12.75" customHeight="1" x14ac:dyDescent="0.2">
      <c r="B833" s="11" t="s">
        <v>13</v>
      </c>
      <c r="C833" s="11" t="s">
        <v>2602</v>
      </c>
    </row>
    <row r="834" spans="1:4" ht="12.75" customHeight="1" x14ac:dyDescent="0.2">
      <c r="B834" s="11" t="s">
        <v>2603</v>
      </c>
      <c r="C834" s="11" t="s">
        <v>2604</v>
      </c>
    </row>
    <row r="835" spans="1:4" ht="12.75" customHeight="1" x14ac:dyDescent="0.2">
      <c r="B835" s="11" t="s">
        <v>2605</v>
      </c>
      <c r="C835" s="11" t="s">
        <v>24</v>
      </c>
    </row>
    <row r="836" spans="1:4" ht="25.5" customHeight="1" x14ac:dyDescent="0.2">
      <c r="B836" s="11" t="s">
        <v>2606</v>
      </c>
      <c r="C836" s="16" t="s">
        <v>56</v>
      </c>
      <c r="D836" s="6" t="str">
        <f>HYPERLINK("javascript:void(0)","méregzacskó")</f>
        <v>méregzacskó</v>
      </c>
    </row>
    <row r="837" spans="1:4" ht="12.75" customHeight="1" x14ac:dyDescent="0.2">
      <c r="B837" s="2"/>
      <c r="C837" s="15"/>
      <c r="D837" s="2"/>
    </row>
    <row r="838" spans="1:4" ht="12.75" customHeight="1" x14ac:dyDescent="0.2">
      <c r="B838" s="2"/>
      <c r="C838" s="15"/>
      <c r="D838" s="2"/>
    </row>
    <row r="839" spans="1:4" ht="12.75" customHeight="1" x14ac:dyDescent="0.2">
      <c r="A839" s="13" t="s">
        <v>2686</v>
      </c>
      <c r="C839" s="12"/>
    </row>
    <row r="840" spans="1:4" ht="12.75" customHeight="1" x14ac:dyDescent="0.2">
      <c r="A840" s="11"/>
      <c r="B840" s="2"/>
      <c r="C840" s="15"/>
      <c r="D840" s="2"/>
    </row>
    <row r="841" spans="1:4" ht="12.75" customHeight="1" x14ac:dyDescent="0.2">
      <c r="B841" s="11" t="s">
        <v>0</v>
      </c>
      <c r="C841" s="11" t="s">
        <v>51</v>
      </c>
    </row>
    <row r="842" spans="1:4" ht="12.75" customHeight="1" x14ac:dyDescent="0.2">
      <c r="B842" s="11" t="s">
        <v>2599</v>
      </c>
      <c r="C842" s="11" t="s">
        <v>293</v>
      </c>
    </row>
    <row r="843" spans="1:4" ht="25.5" customHeight="1" x14ac:dyDescent="0.2">
      <c r="B843" s="11" t="s">
        <v>2600</v>
      </c>
      <c r="C843" s="11" t="s">
        <v>2687</v>
      </c>
    </row>
    <row r="844" spans="1:4" ht="25.5" customHeight="1" x14ac:dyDescent="0.2">
      <c r="B844" s="11" t="s">
        <v>2601</v>
      </c>
      <c r="C844" s="11"/>
    </row>
    <row r="845" spans="1:4" ht="12.75" customHeight="1" x14ac:dyDescent="0.2">
      <c r="B845" s="11" t="s">
        <v>16</v>
      </c>
      <c r="C845" s="11"/>
    </row>
    <row r="846" spans="1:4" ht="12.75" customHeight="1" x14ac:dyDescent="0.2">
      <c r="B846" s="11" t="s">
        <v>13</v>
      </c>
      <c r="C846" s="11" t="s">
        <v>2602</v>
      </c>
    </row>
    <row r="847" spans="1:4" ht="12.75" customHeight="1" x14ac:dyDescent="0.2">
      <c r="B847" s="11" t="s">
        <v>2603</v>
      </c>
      <c r="C847" s="11" t="s">
        <v>2626</v>
      </c>
    </row>
    <row r="848" spans="1:4" ht="12.75" customHeight="1" x14ac:dyDescent="0.2">
      <c r="B848" s="11" t="s">
        <v>2605</v>
      </c>
      <c r="C848" s="11" t="s">
        <v>24</v>
      </c>
    </row>
    <row r="849" spans="1:4" ht="25.5" customHeight="1" x14ac:dyDescent="0.2">
      <c r="B849" s="11" t="s">
        <v>2606</v>
      </c>
      <c r="C849" s="16" t="s">
        <v>44</v>
      </c>
      <c r="D849" s="6" t="str">
        <f>HYPERLINK("javascript:void(0)","goblin shuriken")</f>
        <v>goblin shuriken</v>
      </c>
    </row>
    <row r="850" spans="1:4" ht="12.75" customHeight="1" x14ac:dyDescent="0.2">
      <c r="B850" s="2"/>
      <c r="C850" s="15"/>
      <c r="D850" s="2"/>
    </row>
    <row r="851" spans="1:4" ht="12.75" customHeight="1" x14ac:dyDescent="0.2">
      <c r="B851" s="2"/>
      <c r="C851" s="15"/>
      <c r="D851" s="2"/>
    </row>
    <row r="852" spans="1:4" ht="12.75" customHeight="1" x14ac:dyDescent="0.2">
      <c r="A852" s="13" t="s">
        <v>2688</v>
      </c>
      <c r="C852" s="12"/>
    </row>
    <row r="853" spans="1:4" ht="12.75" customHeight="1" x14ac:dyDescent="0.2">
      <c r="A853" s="11"/>
      <c r="B853" s="2"/>
      <c r="C853" s="15"/>
      <c r="D853" s="2"/>
    </row>
    <row r="854" spans="1:4" ht="12.75" customHeight="1" x14ac:dyDescent="0.2">
      <c r="B854" s="11" t="s">
        <v>0</v>
      </c>
      <c r="C854" s="11" t="s">
        <v>51</v>
      </c>
    </row>
    <row r="855" spans="1:4" ht="12.75" customHeight="1" x14ac:dyDescent="0.2">
      <c r="B855" s="11" t="s">
        <v>2599</v>
      </c>
      <c r="C855" s="11" t="s">
        <v>883</v>
      </c>
    </row>
    <row r="856" spans="1:4" ht="25.5" customHeight="1" x14ac:dyDescent="0.2">
      <c r="B856" s="11" t="s">
        <v>2600</v>
      </c>
      <c r="C856" s="11" t="s">
        <v>2689</v>
      </c>
    </row>
    <row r="857" spans="1:4" ht="25.5" customHeight="1" x14ac:dyDescent="0.2">
      <c r="B857" s="11" t="s">
        <v>2601</v>
      </c>
      <c r="C857" s="11"/>
    </row>
    <row r="858" spans="1:4" ht="12.75" customHeight="1" x14ac:dyDescent="0.2">
      <c r="B858" s="11" t="s">
        <v>16</v>
      </c>
      <c r="C858" s="11"/>
    </row>
    <row r="859" spans="1:4" ht="12.75" customHeight="1" x14ac:dyDescent="0.2">
      <c r="B859" s="11" t="s">
        <v>13</v>
      </c>
      <c r="C859" s="11" t="s">
        <v>2602</v>
      </c>
    </row>
    <row r="860" spans="1:4" ht="12.75" customHeight="1" x14ac:dyDescent="0.2">
      <c r="B860" s="11" t="s">
        <v>2603</v>
      </c>
      <c r="C860" s="11" t="s">
        <v>2604</v>
      </c>
    </row>
    <row r="861" spans="1:4" ht="12.75" customHeight="1" x14ac:dyDescent="0.2">
      <c r="B861" s="11" t="s">
        <v>2605</v>
      </c>
      <c r="C861" s="11" t="s">
        <v>24</v>
      </c>
    </row>
    <row r="862" spans="1:4" ht="12.75" customHeight="1" x14ac:dyDescent="0.2">
      <c r="B862" s="11" t="s">
        <v>2606</v>
      </c>
      <c r="C862" s="16" t="s">
        <v>56</v>
      </c>
      <c r="D862" s="6" t="str">
        <f>HYPERLINK("javascript:void(0)","lepkeszárny")</f>
        <v>lepkeszárny</v>
      </c>
    </row>
    <row r="863" spans="1:4" ht="12.75" customHeight="1" x14ac:dyDescent="0.2">
      <c r="B863" s="2"/>
      <c r="C863" s="15"/>
      <c r="D863" s="2"/>
    </row>
    <row r="864" spans="1:4" ht="12.75" customHeight="1" x14ac:dyDescent="0.2">
      <c r="B864" s="2"/>
      <c r="C864" s="15"/>
      <c r="D864" s="2"/>
    </row>
    <row r="865" spans="1:4" ht="12.75" customHeight="1" x14ac:dyDescent="0.2">
      <c r="A865" s="13" t="s">
        <v>2690</v>
      </c>
      <c r="C865" s="12"/>
    </row>
    <row r="866" spans="1:4" ht="12.75" customHeight="1" x14ac:dyDescent="0.2">
      <c r="A866" s="11"/>
      <c r="B866" s="2"/>
      <c r="C866" s="15"/>
      <c r="D866" s="2"/>
    </row>
    <row r="867" spans="1:4" ht="12.75" customHeight="1" x14ac:dyDescent="0.2">
      <c r="B867" s="11" t="s">
        <v>0</v>
      </c>
      <c r="C867" s="11" t="s">
        <v>51</v>
      </c>
    </row>
    <row r="868" spans="1:4" ht="12.75" customHeight="1" x14ac:dyDescent="0.2">
      <c r="B868" s="11" t="s">
        <v>2599</v>
      </c>
      <c r="C868" s="11" t="s">
        <v>190</v>
      </c>
    </row>
    <row r="869" spans="1:4" ht="25.5" customHeight="1" x14ac:dyDescent="0.2">
      <c r="B869" s="11" t="s">
        <v>2600</v>
      </c>
      <c r="C869" s="11" t="s">
        <v>2691</v>
      </c>
    </row>
    <row r="870" spans="1:4" ht="25.5" customHeight="1" x14ac:dyDescent="0.2">
      <c r="B870" s="11" t="s">
        <v>2601</v>
      </c>
      <c r="C870" s="11"/>
    </row>
    <row r="871" spans="1:4" ht="12.75" customHeight="1" x14ac:dyDescent="0.2">
      <c r="B871" s="11" t="s">
        <v>16</v>
      </c>
      <c r="C871" s="11"/>
    </row>
    <row r="872" spans="1:4" ht="12.75" customHeight="1" x14ac:dyDescent="0.2">
      <c r="B872" s="11" t="s">
        <v>13</v>
      </c>
      <c r="C872" s="11" t="s">
        <v>2602</v>
      </c>
    </row>
    <row r="873" spans="1:4" ht="12.75" customHeight="1" x14ac:dyDescent="0.2">
      <c r="B873" s="11" t="s">
        <v>2603</v>
      </c>
      <c r="C873" s="11" t="s">
        <v>2642</v>
      </c>
    </row>
    <row r="874" spans="1:4" ht="12.75" customHeight="1" x14ac:dyDescent="0.2">
      <c r="B874" s="11" t="s">
        <v>2605</v>
      </c>
      <c r="C874" s="11" t="s">
        <v>24</v>
      </c>
    </row>
    <row r="875" spans="1:4" ht="12.75" customHeight="1" x14ac:dyDescent="0.2">
      <c r="B875" s="11" t="s">
        <v>2606</v>
      </c>
      <c r="C875" s="16" t="s">
        <v>44</v>
      </c>
      <c r="D875" s="6" t="str">
        <f>HYPERLINK("javascript:void(0)","krokodilbőr")</f>
        <v>krokodilbőr</v>
      </c>
    </row>
    <row r="876" spans="1:4" ht="12.75" customHeight="1" x14ac:dyDescent="0.2">
      <c r="B876" s="2"/>
      <c r="C876" s="15"/>
      <c r="D876" s="2"/>
    </row>
    <row r="877" spans="1:4" ht="12.75" customHeight="1" x14ac:dyDescent="0.2">
      <c r="B877" s="2"/>
      <c r="C877" s="15"/>
      <c r="D877" s="2"/>
    </row>
    <row r="878" spans="1:4" ht="12.75" customHeight="1" x14ac:dyDescent="0.2">
      <c r="A878" s="13" t="s">
        <v>2692</v>
      </c>
      <c r="C878" s="12"/>
    </row>
    <row r="879" spans="1:4" ht="12.75" customHeight="1" x14ac:dyDescent="0.2">
      <c r="A879" s="11"/>
      <c r="B879" s="2"/>
      <c r="C879" s="15"/>
      <c r="D879" s="2"/>
    </row>
    <row r="880" spans="1:4" ht="12.75" customHeight="1" x14ac:dyDescent="0.2">
      <c r="B880" s="11" t="s">
        <v>0</v>
      </c>
      <c r="C880" s="11" t="s">
        <v>51</v>
      </c>
    </row>
    <row r="881" spans="1:4" ht="12.75" customHeight="1" x14ac:dyDescent="0.2">
      <c r="B881" s="11" t="s">
        <v>2599</v>
      </c>
      <c r="C881" s="11" t="s">
        <v>190</v>
      </c>
    </row>
    <row r="882" spans="1:4" ht="25.5" customHeight="1" x14ac:dyDescent="0.2">
      <c r="B882" s="11" t="s">
        <v>2600</v>
      </c>
      <c r="C882" s="11" t="s">
        <v>2693</v>
      </c>
    </row>
    <row r="883" spans="1:4" ht="25.5" customHeight="1" x14ac:dyDescent="0.2">
      <c r="B883" s="11" t="s">
        <v>2601</v>
      </c>
      <c r="C883" s="11"/>
    </row>
    <row r="884" spans="1:4" ht="12.75" customHeight="1" x14ac:dyDescent="0.2">
      <c r="B884" s="11" t="s">
        <v>16</v>
      </c>
      <c r="C884" s="11"/>
    </row>
    <row r="885" spans="1:4" ht="12.75" customHeight="1" x14ac:dyDescent="0.2">
      <c r="B885" s="11" t="s">
        <v>13</v>
      </c>
      <c r="C885" s="11" t="s">
        <v>2602</v>
      </c>
    </row>
    <row r="886" spans="1:4" ht="12.75" customHeight="1" x14ac:dyDescent="0.2">
      <c r="B886" s="11" t="s">
        <v>2603</v>
      </c>
      <c r="C886" s="11" t="s">
        <v>2604</v>
      </c>
    </row>
    <row r="887" spans="1:4" ht="12.75" customHeight="1" x14ac:dyDescent="0.2">
      <c r="B887" s="11" t="s">
        <v>2605</v>
      </c>
      <c r="C887" s="11" t="s">
        <v>24</v>
      </c>
    </row>
    <row r="888" spans="1:4" ht="25.5" customHeight="1" x14ac:dyDescent="0.2">
      <c r="B888" s="11" t="s">
        <v>2606</v>
      </c>
      <c r="C888" s="16" t="s">
        <v>57</v>
      </c>
      <c r="D888" s="6" t="str">
        <f>HYPERLINK("javascript:void(0)","méregzacskó")</f>
        <v>méregzacskó</v>
      </c>
    </row>
    <row r="889" spans="1:4" ht="12.75" customHeight="1" x14ac:dyDescent="0.2">
      <c r="B889" s="2"/>
      <c r="C889" s="15"/>
      <c r="D889" s="2"/>
    </row>
    <row r="890" spans="1:4" ht="12.75" customHeight="1" x14ac:dyDescent="0.2">
      <c r="B890" s="2"/>
      <c r="C890" s="15"/>
      <c r="D890" s="2"/>
    </row>
    <row r="891" spans="1:4" ht="12.75" customHeight="1" x14ac:dyDescent="0.2">
      <c r="A891" s="13" t="s">
        <v>2694</v>
      </c>
      <c r="C891" s="12"/>
    </row>
    <row r="892" spans="1:4" ht="12.75" customHeight="1" x14ac:dyDescent="0.2">
      <c r="A892" s="11"/>
      <c r="B892" s="2"/>
      <c r="C892" s="15"/>
      <c r="D892" s="2"/>
    </row>
    <row r="893" spans="1:4" ht="12.75" customHeight="1" x14ac:dyDescent="0.2">
      <c r="B893" s="11" t="s">
        <v>0</v>
      </c>
      <c r="C893" s="11" t="s">
        <v>33</v>
      </c>
    </row>
    <row r="894" spans="1:4" ht="12.75" customHeight="1" x14ac:dyDescent="0.2">
      <c r="B894" s="11" t="s">
        <v>2599</v>
      </c>
      <c r="C894" s="11" t="s">
        <v>482</v>
      </c>
    </row>
    <row r="895" spans="1:4" ht="25.5" customHeight="1" x14ac:dyDescent="0.2">
      <c r="B895" s="11" t="s">
        <v>2600</v>
      </c>
      <c r="C895" s="11" t="s">
        <v>898</v>
      </c>
    </row>
    <row r="896" spans="1:4" ht="25.5" customHeight="1" x14ac:dyDescent="0.2">
      <c r="B896" s="11" t="s">
        <v>2601</v>
      </c>
      <c r="C896" s="11"/>
    </row>
    <row r="897" spans="1:4" ht="12.75" customHeight="1" x14ac:dyDescent="0.2">
      <c r="B897" s="11" t="s">
        <v>16</v>
      </c>
      <c r="C897" s="11"/>
    </row>
    <row r="898" spans="1:4" ht="12.75" customHeight="1" x14ac:dyDescent="0.2">
      <c r="B898" s="11" t="s">
        <v>13</v>
      </c>
      <c r="C898" s="11" t="s">
        <v>2602</v>
      </c>
    </row>
    <row r="899" spans="1:4" ht="12.75" customHeight="1" x14ac:dyDescent="0.2">
      <c r="B899" s="11" t="s">
        <v>2603</v>
      </c>
      <c r="C899" s="11" t="s">
        <v>2604</v>
      </c>
    </row>
    <row r="900" spans="1:4" ht="12.75" customHeight="1" x14ac:dyDescent="0.2">
      <c r="B900" s="11" t="s">
        <v>2605</v>
      </c>
      <c r="C900" s="11" t="s">
        <v>24</v>
      </c>
    </row>
    <row r="901" spans="1:4" ht="12.75" customHeight="1" x14ac:dyDescent="0.2">
      <c r="B901" s="11" t="s">
        <v>2606</v>
      </c>
      <c r="C901" s="16" t="s">
        <v>44</v>
      </c>
      <c r="D901" s="6" t="str">
        <f>HYPERLINK("javascript:void(0)","bikacsök")</f>
        <v>bikacsök</v>
      </c>
    </row>
    <row r="902" spans="1:4" ht="12.75" customHeight="1" x14ac:dyDescent="0.2">
      <c r="C902" s="16" t="s">
        <v>102</v>
      </c>
      <c r="D902" s="6" t="str">
        <f>HYPERLINK("javascript:void(0)","kaja")</f>
        <v>kaja</v>
      </c>
    </row>
    <row r="903" spans="1:4" ht="12.75" customHeight="1" x14ac:dyDescent="0.2">
      <c r="B903" s="2"/>
      <c r="C903" s="15"/>
      <c r="D903" s="2"/>
    </row>
    <row r="904" spans="1:4" ht="12.75" customHeight="1" x14ac:dyDescent="0.2">
      <c r="B904" s="2"/>
      <c r="C904" s="15"/>
      <c r="D904" s="2"/>
    </row>
    <row r="905" spans="1:4" ht="12.75" customHeight="1" x14ac:dyDescent="0.2">
      <c r="A905" s="13" t="s">
        <v>2695</v>
      </c>
      <c r="C905" s="12"/>
    </row>
    <row r="906" spans="1:4" ht="12.75" customHeight="1" x14ac:dyDescent="0.2">
      <c r="A906" s="11"/>
      <c r="B906" s="2"/>
      <c r="C906" s="15"/>
      <c r="D906" s="2"/>
    </row>
    <row r="907" spans="1:4" ht="12.75" customHeight="1" x14ac:dyDescent="0.2">
      <c r="B907" s="11" t="s">
        <v>0</v>
      </c>
      <c r="C907" s="11" t="s">
        <v>33</v>
      </c>
    </row>
    <row r="908" spans="1:4" ht="12.75" customHeight="1" x14ac:dyDescent="0.2">
      <c r="B908" s="11" t="s">
        <v>2599</v>
      </c>
      <c r="C908" s="11" t="s">
        <v>190</v>
      </c>
    </row>
    <row r="909" spans="1:4" ht="25.5" customHeight="1" x14ac:dyDescent="0.2">
      <c r="B909" s="11" t="s">
        <v>2600</v>
      </c>
      <c r="C909" s="11" t="s">
        <v>2696</v>
      </c>
    </row>
    <row r="910" spans="1:4" ht="25.5" customHeight="1" x14ac:dyDescent="0.2">
      <c r="B910" s="11" t="s">
        <v>2601</v>
      </c>
      <c r="C910" s="11"/>
    </row>
    <row r="911" spans="1:4" ht="12.75" customHeight="1" x14ac:dyDescent="0.2">
      <c r="B911" s="11" t="s">
        <v>16</v>
      </c>
      <c r="C911" s="11"/>
    </row>
    <row r="912" spans="1:4" ht="12.75" customHeight="1" x14ac:dyDescent="0.2">
      <c r="B912" s="11" t="s">
        <v>13</v>
      </c>
      <c r="C912" s="11" t="s">
        <v>2644</v>
      </c>
    </row>
    <row r="913" spans="1:4" ht="12.75" customHeight="1" x14ac:dyDescent="0.2">
      <c r="B913" s="11" t="s">
        <v>2603</v>
      </c>
      <c r="C913" s="11" t="s">
        <v>2604</v>
      </c>
    </row>
    <row r="914" spans="1:4" ht="12.75" customHeight="1" x14ac:dyDescent="0.2">
      <c r="B914" s="11" t="s">
        <v>2605</v>
      </c>
      <c r="C914" s="11" t="s">
        <v>24</v>
      </c>
    </row>
    <row r="915" spans="1:4" ht="12.75" customHeight="1" x14ac:dyDescent="0.2">
      <c r="B915" s="11" t="s">
        <v>2606</v>
      </c>
      <c r="C915" s="16" t="s">
        <v>55</v>
      </c>
      <c r="D915" s="6" t="str">
        <f>HYPERLINK("javascript:void(0)","pegazustoll")</f>
        <v>pegazustoll</v>
      </c>
    </row>
    <row r="916" spans="1:4" ht="12.75" customHeight="1" x14ac:dyDescent="0.2">
      <c r="B916" s="2"/>
      <c r="C916" s="15"/>
      <c r="D916" s="2"/>
    </row>
    <row r="917" spans="1:4" ht="12.75" customHeight="1" x14ac:dyDescent="0.2">
      <c r="B917" s="2"/>
      <c r="C917" s="15"/>
      <c r="D917" s="2"/>
    </row>
    <row r="918" spans="1:4" ht="12.75" customHeight="1" x14ac:dyDescent="0.2">
      <c r="A918" s="13" t="s">
        <v>2697</v>
      </c>
      <c r="C918" s="12"/>
    </row>
    <row r="919" spans="1:4" ht="12.75" customHeight="1" x14ac:dyDescent="0.2">
      <c r="A919" s="11"/>
      <c r="B919" s="2"/>
      <c r="C919" s="15"/>
      <c r="D919" s="2"/>
    </row>
    <row r="920" spans="1:4" ht="12.75" customHeight="1" x14ac:dyDescent="0.2">
      <c r="B920" s="11" t="s">
        <v>0</v>
      </c>
      <c r="C920" s="11" t="s">
        <v>33</v>
      </c>
    </row>
    <row r="921" spans="1:4" ht="12.75" customHeight="1" x14ac:dyDescent="0.2">
      <c r="B921" s="11" t="s">
        <v>2599</v>
      </c>
      <c r="C921" s="11" t="s">
        <v>999</v>
      </c>
    </row>
    <row r="922" spans="1:4" ht="25.5" customHeight="1" x14ac:dyDescent="0.2">
      <c r="B922" s="11" t="s">
        <v>2600</v>
      </c>
      <c r="C922" s="11" t="s">
        <v>2698</v>
      </c>
    </row>
    <row r="923" spans="1:4" ht="25.5" customHeight="1" x14ac:dyDescent="0.2">
      <c r="B923" s="11" t="s">
        <v>2601</v>
      </c>
      <c r="C923" s="11"/>
    </row>
    <row r="924" spans="1:4" ht="12.75" customHeight="1" x14ac:dyDescent="0.2">
      <c r="B924" s="11" t="s">
        <v>16</v>
      </c>
      <c r="C924" s="11"/>
    </row>
    <row r="925" spans="1:4" ht="12.75" customHeight="1" x14ac:dyDescent="0.2">
      <c r="B925" s="11" t="s">
        <v>13</v>
      </c>
      <c r="C925" s="11" t="s">
        <v>2602</v>
      </c>
    </row>
    <row r="926" spans="1:4" ht="12.75" customHeight="1" x14ac:dyDescent="0.2">
      <c r="B926" s="11" t="s">
        <v>2603</v>
      </c>
      <c r="C926" s="11" t="s">
        <v>2642</v>
      </c>
    </row>
    <row r="927" spans="1:4" ht="12.75" customHeight="1" x14ac:dyDescent="0.2">
      <c r="B927" s="11" t="s">
        <v>2605</v>
      </c>
      <c r="C927" s="11" t="s">
        <v>24</v>
      </c>
    </row>
    <row r="928" spans="1:4" ht="12.75" customHeight="1" x14ac:dyDescent="0.2">
      <c r="B928" s="11" t="s">
        <v>2606</v>
      </c>
      <c r="C928" s="16" t="s">
        <v>142</v>
      </c>
      <c r="D928" s="6" t="str">
        <f>HYPERLINK("javascript:void(0)","halcsont")</f>
        <v>halcsont</v>
      </c>
    </row>
    <row r="929" spans="1:4" ht="12.75" customHeight="1" x14ac:dyDescent="0.2">
      <c r="B929" s="2"/>
      <c r="C929" s="15"/>
      <c r="D929" s="2"/>
    </row>
    <row r="930" spans="1:4" ht="12.75" customHeight="1" x14ac:dyDescent="0.2">
      <c r="B930" s="2"/>
      <c r="C930" s="15"/>
      <c r="D930" s="2"/>
    </row>
    <row r="931" spans="1:4" ht="12.75" customHeight="1" x14ac:dyDescent="0.2">
      <c r="A931" s="13" t="s">
        <v>2699</v>
      </c>
      <c r="C931" s="12"/>
    </row>
    <row r="932" spans="1:4" ht="12.75" customHeight="1" x14ac:dyDescent="0.2">
      <c r="A932" s="11"/>
      <c r="B932" s="2"/>
      <c r="C932" s="15"/>
      <c r="D932" s="2"/>
    </row>
    <row r="933" spans="1:4" ht="12.75" customHeight="1" x14ac:dyDescent="0.2">
      <c r="B933" s="11" t="s">
        <v>0</v>
      </c>
      <c r="C933" s="11" t="s">
        <v>33</v>
      </c>
    </row>
    <row r="934" spans="1:4" ht="12.75" customHeight="1" x14ac:dyDescent="0.2">
      <c r="B934" s="11" t="s">
        <v>2599</v>
      </c>
      <c r="C934" s="11" t="s">
        <v>999</v>
      </c>
    </row>
    <row r="935" spans="1:4" ht="25.5" customHeight="1" x14ac:dyDescent="0.2">
      <c r="B935" s="11" t="s">
        <v>2600</v>
      </c>
      <c r="C935" s="11" t="s">
        <v>2700</v>
      </c>
    </row>
    <row r="936" spans="1:4" ht="25.5" customHeight="1" x14ac:dyDescent="0.2">
      <c r="B936" s="11" t="s">
        <v>2601</v>
      </c>
      <c r="C936" s="11"/>
    </row>
    <row r="937" spans="1:4" ht="12.75" customHeight="1" x14ac:dyDescent="0.2">
      <c r="B937" s="11" t="s">
        <v>16</v>
      </c>
      <c r="C937" s="11"/>
    </row>
    <row r="938" spans="1:4" ht="12.75" customHeight="1" x14ac:dyDescent="0.2">
      <c r="B938" s="11" t="s">
        <v>13</v>
      </c>
      <c r="C938" s="11" t="s">
        <v>2602</v>
      </c>
    </row>
    <row r="939" spans="1:4" ht="12.75" customHeight="1" x14ac:dyDescent="0.2">
      <c r="B939" s="11" t="s">
        <v>2603</v>
      </c>
      <c r="C939" s="11" t="s">
        <v>2604</v>
      </c>
    </row>
    <row r="940" spans="1:4" ht="12.75" customHeight="1" x14ac:dyDescent="0.2">
      <c r="B940" s="11" t="s">
        <v>2605</v>
      </c>
      <c r="C940" s="11" t="s">
        <v>24</v>
      </c>
    </row>
    <row r="941" spans="1:4" ht="12.75" customHeight="1" x14ac:dyDescent="0.2">
      <c r="B941" s="11" t="s">
        <v>2606</v>
      </c>
      <c r="C941" s="16" t="s">
        <v>44</v>
      </c>
      <c r="D941" s="6" t="str">
        <f>HYPERLINK("javascript:void(0)","ork aprító")</f>
        <v>ork aprító</v>
      </c>
    </row>
    <row r="942" spans="1:4" ht="12.75" customHeight="1" x14ac:dyDescent="0.2">
      <c r="B942" s="2"/>
      <c r="C942" s="15"/>
      <c r="D942" s="2"/>
    </row>
    <row r="943" spans="1:4" ht="12.75" customHeight="1" x14ac:dyDescent="0.2">
      <c r="B943" s="2"/>
      <c r="C943" s="15"/>
      <c r="D943" s="2"/>
    </row>
    <row r="944" spans="1:4" ht="12.75" customHeight="1" x14ac:dyDescent="0.2">
      <c r="A944" s="13" t="s">
        <v>2701</v>
      </c>
      <c r="C944" s="12"/>
    </row>
    <row r="945" spans="1:4" ht="12.75" customHeight="1" x14ac:dyDescent="0.2">
      <c r="A945" s="11"/>
      <c r="B945" s="2"/>
      <c r="C945" s="15"/>
      <c r="D945" s="2"/>
    </row>
    <row r="946" spans="1:4" ht="12.75" customHeight="1" x14ac:dyDescent="0.2">
      <c r="B946" s="11" t="s">
        <v>0</v>
      </c>
      <c r="C946" s="11" t="s">
        <v>74</v>
      </c>
    </row>
    <row r="947" spans="1:4" ht="12.75" customHeight="1" x14ac:dyDescent="0.2">
      <c r="B947" s="11" t="s">
        <v>2599</v>
      </c>
      <c r="C947" s="11" t="s">
        <v>1174</v>
      </c>
    </row>
    <row r="948" spans="1:4" ht="25.5" customHeight="1" x14ac:dyDescent="0.2">
      <c r="B948" s="11" t="s">
        <v>2600</v>
      </c>
      <c r="C948" s="11" t="s">
        <v>2702</v>
      </c>
    </row>
    <row r="949" spans="1:4" ht="25.5" customHeight="1" x14ac:dyDescent="0.2">
      <c r="B949" s="11" t="s">
        <v>2601</v>
      </c>
      <c r="C949" s="11"/>
    </row>
    <row r="950" spans="1:4" ht="12.75" customHeight="1" x14ac:dyDescent="0.2">
      <c r="B950" s="11" t="s">
        <v>16</v>
      </c>
      <c r="C950" s="11"/>
    </row>
    <row r="951" spans="1:4" ht="12.75" customHeight="1" x14ac:dyDescent="0.2">
      <c r="B951" s="11" t="s">
        <v>13</v>
      </c>
      <c r="C951" s="11" t="s">
        <v>2602</v>
      </c>
    </row>
    <row r="952" spans="1:4" ht="12.75" customHeight="1" x14ac:dyDescent="0.2">
      <c r="B952" s="11" t="s">
        <v>2603</v>
      </c>
      <c r="C952" s="11" t="s">
        <v>2604</v>
      </c>
    </row>
    <row r="953" spans="1:4" ht="12.75" customHeight="1" x14ac:dyDescent="0.2">
      <c r="B953" s="11" t="s">
        <v>2605</v>
      </c>
      <c r="C953" s="11" t="s">
        <v>24</v>
      </c>
    </row>
    <row r="954" spans="1:4" ht="25.5" customHeight="1" x14ac:dyDescent="0.2">
      <c r="B954" s="11" t="s">
        <v>2606</v>
      </c>
      <c r="C954" s="16" t="s">
        <v>44</v>
      </c>
      <c r="D954" s="6" t="str">
        <f>HYPERLINK("javascript:void(0)","elit-őr lándzsa")</f>
        <v>elit-őr lándzsa</v>
      </c>
    </row>
    <row r="955" spans="1:4" ht="12.75" customHeight="1" x14ac:dyDescent="0.2">
      <c r="B955" s="2"/>
      <c r="C955" s="15"/>
      <c r="D955" s="2"/>
    </row>
    <row r="956" spans="1:4" ht="12.75" customHeight="1" x14ac:dyDescent="0.2">
      <c r="B956" s="2"/>
      <c r="C956" s="15"/>
      <c r="D956" s="2"/>
    </row>
    <row r="957" spans="1:4" ht="12.75" customHeight="1" x14ac:dyDescent="0.2">
      <c r="A957" s="13" t="s">
        <v>2703</v>
      </c>
      <c r="C957" s="12"/>
    </row>
    <row r="958" spans="1:4" ht="12.75" customHeight="1" x14ac:dyDescent="0.2">
      <c r="A958" s="11"/>
      <c r="B958" s="2"/>
      <c r="C958" s="15"/>
      <c r="D958" s="2"/>
    </row>
    <row r="959" spans="1:4" ht="12.75" customHeight="1" x14ac:dyDescent="0.2">
      <c r="B959" s="11" t="s">
        <v>0</v>
      </c>
      <c r="C959" s="11" t="s">
        <v>74</v>
      </c>
    </row>
    <row r="960" spans="1:4" ht="12.75" customHeight="1" x14ac:dyDescent="0.2">
      <c r="B960" s="11" t="s">
        <v>2599</v>
      </c>
      <c r="C960" s="11" t="s">
        <v>99</v>
      </c>
    </row>
    <row r="961" spans="1:4" ht="25.5" customHeight="1" x14ac:dyDescent="0.2">
      <c r="B961" s="11" t="s">
        <v>2600</v>
      </c>
      <c r="C961" s="11" t="s">
        <v>2704</v>
      </c>
    </row>
    <row r="962" spans="1:4" ht="25.5" customHeight="1" x14ac:dyDescent="0.2">
      <c r="B962" s="11" t="s">
        <v>2601</v>
      </c>
      <c r="C962" s="11"/>
    </row>
    <row r="963" spans="1:4" ht="12.75" customHeight="1" x14ac:dyDescent="0.2">
      <c r="B963" s="11" t="s">
        <v>16</v>
      </c>
      <c r="C963" s="11"/>
    </row>
    <row r="964" spans="1:4" ht="12.75" customHeight="1" x14ac:dyDescent="0.2">
      <c r="B964" s="11" t="s">
        <v>13</v>
      </c>
      <c r="C964" s="11" t="s">
        <v>2644</v>
      </c>
    </row>
    <row r="965" spans="1:4" ht="12.75" customHeight="1" x14ac:dyDescent="0.2">
      <c r="B965" s="11" t="s">
        <v>2603</v>
      </c>
      <c r="C965" s="11" t="s">
        <v>2604</v>
      </c>
    </row>
    <row r="966" spans="1:4" ht="12.75" customHeight="1" x14ac:dyDescent="0.2">
      <c r="B966" s="11" t="s">
        <v>2605</v>
      </c>
      <c r="C966" s="11" t="s">
        <v>24</v>
      </c>
    </row>
    <row r="967" spans="1:4" ht="25.5" customHeight="1" x14ac:dyDescent="0.2">
      <c r="B967" s="11" t="s">
        <v>2606</v>
      </c>
      <c r="C967" s="16" t="s">
        <v>44</v>
      </c>
      <c r="D967" s="6" t="str">
        <f>HYPERLINK("javascript:void(0)","démongyapjú")</f>
        <v>démongyapjú</v>
      </c>
    </row>
    <row r="968" spans="1:4" ht="12.75" customHeight="1" x14ac:dyDescent="0.2">
      <c r="B968" s="2"/>
      <c r="C968" s="15"/>
      <c r="D968" s="2"/>
    </row>
    <row r="969" spans="1:4" ht="12.75" customHeight="1" x14ac:dyDescent="0.2">
      <c r="B969" s="2"/>
      <c r="C969" s="15"/>
      <c r="D969" s="2"/>
    </row>
    <row r="970" spans="1:4" ht="12.75" customHeight="1" x14ac:dyDescent="0.2">
      <c r="A970" s="13" t="s">
        <v>2705</v>
      </c>
      <c r="C970" s="12"/>
    </row>
    <row r="971" spans="1:4" ht="12.75" customHeight="1" x14ac:dyDescent="0.2">
      <c r="A971" s="11"/>
      <c r="B971" s="2"/>
      <c r="C971" s="15"/>
      <c r="D971" s="2"/>
    </row>
    <row r="972" spans="1:4" ht="12.75" customHeight="1" x14ac:dyDescent="0.2">
      <c r="B972" s="11" t="s">
        <v>0</v>
      </c>
      <c r="C972" s="11" t="s">
        <v>74</v>
      </c>
    </row>
    <row r="973" spans="1:4" ht="12.75" customHeight="1" x14ac:dyDescent="0.2">
      <c r="B973" s="11" t="s">
        <v>2599</v>
      </c>
      <c r="C973" s="11" t="s">
        <v>347</v>
      </c>
    </row>
    <row r="974" spans="1:4" ht="25.5" customHeight="1" x14ac:dyDescent="0.2">
      <c r="B974" s="11" t="s">
        <v>2600</v>
      </c>
      <c r="C974" s="11" t="s">
        <v>2706</v>
      </c>
    </row>
    <row r="975" spans="1:4" ht="25.5" customHeight="1" x14ac:dyDescent="0.2">
      <c r="B975" s="11" t="s">
        <v>2601</v>
      </c>
      <c r="C975" s="11"/>
    </row>
    <row r="976" spans="1:4" ht="12.75" customHeight="1" x14ac:dyDescent="0.2">
      <c r="B976" s="11" t="s">
        <v>16</v>
      </c>
      <c r="C976" s="11"/>
    </row>
    <row r="977" spans="1:4" ht="12.75" customHeight="1" x14ac:dyDescent="0.2">
      <c r="B977" s="11" t="s">
        <v>13</v>
      </c>
      <c r="C977" s="11" t="s">
        <v>2644</v>
      </c>
    </row>
    <row r="978" spans="1:4" ht="12.75" customHeight="1" x14ac:dyDescent="0.2">
      <c r="B978" s="11" t="s">
        <v>2603</v>
      </c>
      <c r="C978" s="11" t="s">
        <v>2604</v>
      </c>
    </row>
    <row r="979" spans="1:4" ht="12.75" customHeight="1" x14ac:dyDescent="0.2">
      <c r="B979" s="11" t="s">
        <v>2605</v>
      </c>
      <c r="C979" s="11" t="s">
        <v>24</v>
      </c>
    </row>
    <row r="980" spans="1:4" ht="25.5" customHeight="1" x14ac:dyDescent="0.2">
      <c r="B980" s="11" t="s">
        <v>2606</v>
      </c>
      <c r="C980" s="16" t="s">
        <v>44</v>
      </c>
      <c r="D980" s="6" t="str">
        <f>HYPERLINK("javascript:void(0)","démonnyúlmáj")</f>
        <v>démonnyúlmáj</v>
      </c>
    </row>
    <row r="981" spans="1:4" ht="12.75" customHeight="1" x14ac:dyDescent="0.2">
      <c r="B981" s="2"/>
      <c r="C981" s="15"/>
      <c r="D981" s="2"/>
    </row>
    <row r="982" spans="1:4" ht="12.75" customHeight="1" x14ac:dyDescent="0.2">
      <c r="B982" s="2"/>
      <c r="C982" s="15"/>
      <c r="D982" s="2"/>
    </row>
    <row r="983" spans="1:4" ht="12.75" customHeight="1" x14ac:dyDescent="0.2">
      <c r="A983" s="13" t="s">
        <v>2707</v>
      </c>
      <c r="C983" s="12"/>
    </row>
    <row r="984" spans="1:4" ht="12.75" customHeight="1" x14ac:dyDescent="0.2">
      <c r="A984" s="11"/>
      <c r="B984" s="2"/>
      <c r="C984" s="15"/>
      <c r="D984" s="2"/>
    </row>
    <row r="985" spans="1:4" ht="12.75" customHeight="1" x14ac:dyDescent="0.2">
      <c r="B985" s="11" t="s">
        <v>0</v>
      </c>
      <c r="C985" s="11" t="s">
        <v>74</v>
      </c>
    </row>
    <row r="986" spans="1:4" ht="12.75" customHeight="1" x14ac:dyDescent="0.2">
      <c r="B986" s="11" t="s">
        <v>2599</v>
      </c>
      <c r="C986" s="11" t="s">
        <v>110</v>
      </c>
    </row>
    <row r="987" spans="1:4" ht="25.5" customHeight="1" x14ac:dyDescent="0.2">
      <c r="B987" s="11" t="s">
        <v>2600</v>
      </c>
      <c r="C987" s="11" t="s">
        <v>898</v>
      </c>
    </row>
    <row r="988" spans="1:4" ht="25.5" customHeight="1" x14ac:dyDescent="0.2">
      <c r="B988" s="11" t="s">
        <v>2601</v>
      </c>
      <c r="C988" s="11"/>
    </row>
    <row r="989" spans="1:4" ht="12.75" customHeight="1" x14ac:dyDescent="0.2">
      <c r="B989" s="11" t="s">
        <v>16</v>
      </c>
      <c r="C989" s="11"/>
    </row>
    <row r="990" spans="1:4" ht="12.75" customHeight="1" x14ac:dyDescent="0.2">
      <c r="B990" s="11" t="s">
        <v>13</v>
      </c>
      <c r="C990" s="11" t="s">
        <v>2602</v>
      </c>
    </row>
    <row r="991" spans="1:4" ht="12.75" customHeight="1" x14ac:dyDescent="0.2">
      <c r="B991" s="11" t="s">
        <v>2603</v>
      </c>
      <c r="C991" s="11" t="s">
        <v>2626</v>
      </c>
    </row>
    <row r="992" spans="1:4" ht="12.75" customHeight="1" x14ac:dyDescent="0.2">
      <c r="B992" s="11" t="s">
        <v>2605</v>
      </c>
      <c r="C992" s="11" t="s">
        <v>24</v>
      </c>
    </row>
    <row r="993" spans="1:4" ht="12.75" customHeight="1" x14ac:dyDescent="0.2">
      <c r="B993" s="11" t="s">
        <v>2606</v>
      </c>
      <c r="C993" s="16" t="s">
        <v>44</v>
      </c>
      <c r="D993" s="6" t="str">
        <f>HYPERLINK("javascript:void(0)","tuskótőr")</f>
        <v>tuskótőr</v>
      </c>
    </row>
    <row r="994" spans="1:4" ht="12.75" customHeight="1" x14ac:dyDescent="0.2">
      <c r="C994" s="16" t="s">
        <v>44</v>
      </c>
      <c r="D994" s="6" t="str">
        <f>HYPERLINK("javascript:void(0)","tuskópáncél")</f>
        <v>tuskópáncél</v>
      </c>
    </row>
    <row r="995" spans="1:4" ht="12.75" customHeight="1" x14ac:dyDescent="0.2">
      <c r="B995" s="2"/>
      <c r="C995" s="15"/>
      <c r="D995" s="2"/>
    </row>
    <row r="996" spans="1:4" ht="12.75" customHeight="1" x14ac:dyDescent="0.2">
      <c r="B996" s="2"/>
      <c r="C996" s="15"/>
      <c r="D996" s="2"/>
    </row>
    <row r="997" spans="1:4" ht="12.75" customHeight="1" x14ac:dyDescent="0.2">
      <c r="A997" s="13" t="s">
        <v>2708</v>
      </c>
      <c r="C997" s="12"/>
    </row>
    <row r="998" spans="1:4" ht="12.75" customHeight="1" x14ac:dyDescent="0.2">
      <c r="A998" s="11"/>
      <c r="B998" s="2"/>
      <c r="C998" s="15"/>
      <c r="D998" s="2"/>
    </row>
    <row r="999" spans="1:4" ht="12.75" customHeight="1" x14ac:dyDescent="0.2">
      <c r="B999" s="11" t="s">
        <v>0</v>
      </c>
      <c r="C999" s="11" t="s">
        <v>64</v>
      </c>
    </row>
    <row r="1000" spans="1:4" ht="12.75" customHeight="1" x14ac:dyDescent="0.2">
      <c r="B1000" s="11" t="s">
        <v>2599</v>
      </c>
      <c r="C1000" s="11" t="s">
        <v>347</v>
      </c>
    </row>
    <row r="1001" spans="1:4" ht="25.5" customHeight="1" x14ac:dyDescent="0.2">
      <c r="B1001" s="11" t="s">
        <v>2600</v>
      </c>
      <c r="C1001" s="11" t="s">
        <v>2709</v>
      </c>
    </row>
    <row r="1002" spans="1:4" ht="25.5" customHeight="1" x14ac:dyDescent="0.2">
      <c r="B1002" s="11" t="s">
        <v>2601</v>
      </c>
      <c r="C1002" s="11"/>
    </row>
    <row r="1003" spans="1:4" ht="12.75" customHeight="1" x14ac:dyDescent="0.2">
      <c r="B1003" s="11" t="s">
        <v>16</v>
      </c>
      <c r="C1003" s="11"/>
    </row>
    <row r="1004" spans="1:4" ht="12.75" customHeight="1" x14ac:dyDescent="0.2">
      <c r="B1004" s="11" t="s">
        <v>13</v>
      </c>
      <c r="C1004" s="11" t="s">
        <v>2602</v>
      </c>
    </row>
    <row r="1005" spans="1:4" ht="12.75" customHeight="1" x14ac:dyDescent="0.2">
      <c r="B1005" s="11" t="s">
        <v>2603</v>
      </c>
      <c r="C1005" s="11" t="s">
        <v>2648</v>
      </c>
    </row>
    <row r="1006" spans="1:4" ht="12.75" customHeight="1" x14ac:dyDescent="0.2">
      <c r="B1006" s="11" t="s">
        <v>2605</v>
      </c>
      <c r="C1006" s="11" t="s">
        <v>24</v>
      </c>
    </row>
    <row r="1007" spans="1:4" ht="25.5" customHeight="1" x14ac:dyDescent="0.2">
      <c r="B1007" s="11" t="s">
        <v>2606</v>
      </c>
      <c r="C1007" s="16" t="s">
        <v>44</v>
      </c>
      <c r="D1007" s="6" t="str">
        <f>HYPERLINK("javascript:void(0)","varázsszálka")</f>
        <v>varázsszálka</v>
      </c>
    </row>
    <row r="1008" spans="1:4" ht="12.75" customHeight="1" x14ac:dyDescent="0.2">
      <c r="C1008" s="16" t="s">
        <v>44</v>
      </c>
      <c r="D1008" s="6" t="str">
        <f>HYPERLINK("javascript:void(0)","kristálylap")</f>
        <v>kristálylap</v>
      </c>
    </row>
    <row r="1009" spans="1:4" ht="12.75" customHeight="1" x14ac:dyDescent="0.2">
      <c r="C1009" s="16" t="s">
        <v>55</v>
      </c>
      <c r="D1009" s="6" t="str">
        <f>HYPERLINK("javascript:void(0)","ezüst")</f>
        <v>ezüst</v>
      </c>
    </row>
    <row r="1010" spans="1:4" ht="12.75" customHeight="1" x14ac:dyDescent="0.2">
      <c r="B1010" s="2"/>
      <c r="C1010" s="15"/>
      <c r="D1010" s="2"/>
    </row>
    <row r="1011" spans="1:4" ht="12.75" customHeight="1" x14ac:dyDescent="0.2">
      <c r="B1011" s="2"/>
      <c r="C1011" s="15"/>
      <c r="D1011" s="2"/>
    </row>
    <row r="1012" spans="1:4" ht="12.75" customHeight="1" x14ac:dyDescent="0.2">
      <c r="A1012" s="13" t="s">
        <v>2710</v>
      </c>
      <c r="C1012" s="12"/>
    </row>
    <row r="1013" spans="1:4" ht="12.75" customHeight="1" x14ac:dyDescent="0.2">
      <c r="A1013" s="11"/>
      <c r="B1013" s="2"/>
      <c r="C1013" s="15"/>
      <c r="D1013" s="2"/>
    </row>
    <row r="1014" spans="1:4" ht="12.75" customHeight="1" x14ac:dyDescent="0.2">
      <c r="B1014" s="11" t="s">
        <v>0</v>
      </c>
      <c r="C1014" s="11" t="s">
        <v>64</v>
      </c>
    </row>
    <row r="1015" spans="1:4" ht="12.75" customHeight="1" x14ac:dyDescent="0.2">
      <c r="B1015" s="11" t="s">
        <v>2599</v>
      </c>
      <c r="C1015" s="11" t="s">
        <v>1213</v>
      </c>
    </row>
    <row r="1016" spans="1:4" ht="25.5" customHeight="1" x14ac:dyDescent="0.2">
      <c r="B1016" s="11" t="s">
        <v>2600</v>
      </c>
      <c r="C1016" s="11" t="s">
        <v>2711</v>
      </c>
    </row>
    <row r="1017" spans="1:4" ht="25.5" customHeight="1" x14ac:dyDescent="0.2">
      <c r="B1017" s="11" t="s">
        <v>2601</v>
      </c>
      <c r="C1017" s="11"/>
    </row>
    <row r="1018" spans="1:4" ht="12.75" customHeight="1" x14ac:dyDescent="0.2">
      <c r="B1018" s="11" t="s">
        <v>16</v>
      </c>
      <c r="C1018" s="11"/>
    </row>
    <row r="1019" spans="1:4" ht="12.75" customHeight="1" x14ac:dyDescent="0.2">
      <c r="B1019" s="11" t="s">
        <v>13</v>
      </c>
      <c r="C1019" s="11" t="s">
        <v>2602</v>
      </c>
    </row>
    <row r="1020" spans="1:4" ht="12.75" customHeight="1" x14ac:dyDescent="0.2">
      <c r="B1020" s="11" t="s">
        <v>2603</v>
      </c>
      <c r="C1020" s="11" t="s">
        <v>2651</v>
      </c>
    </row>
    <row r="1021" spans="1:4" ht="12.75" customHeight="1" x14ac:dyDescent="0.2">
      <c r="B1021" s="11" t="s">
        <v>2605</v>
      </c>
      <c r="C1021" s="11" t="s">
        <v>24</v>
      </c>
    </row>
    <row r="1022" spans="1:4" ht="25.5" customHeight="1" x14ac:dyDescent="0.2">
      <c r="B1022" s="11" t="s">
        <v>2606</v>
      </c>
      <c r="C1022" s="16" t="s">
        <v>44</v>
      </c>
      <c r="D1022" s="6" t="str">
        <f>HYPERLINK("javascript:void(0)","bulldogbendő")</f>
        <v>bulldogbendő</v>
      </c>
    </row>
    <row r="1023" spans="1:4" ht="12.75" customHeight="1" x14ac:dyDescent="0.2">
      <c r="C1023" s="16" t="s">
        <v>163</v>
      </c>
      <c r="D1023" s="6" t="str">
        <f>HYPERLINK("javascript:void(0)","ezüst")</f>
        <v>ezüst</v>
      </c>
    </row>
    <row r="1024" spans="1:4" ht="12.75" customHeight="1" x14ac:dyDescent="0.2">
      <c r="B1024" s="2"/>
      <c r="C1024" s="15"/>
      <c r="D1024" s="2"/>
    </row>
    <row r="1025" spans="1:4" ht="12.75" customHeight="1" x14ac:dyDescent="0.2">
      <c r="B1025" s="2"/>
      <c r="C1025" s="15"/>
      <c r="D1025" s="2"/>
    </row>
    <row r="1026" spans="1:4" ht="12.75" customHeight="1" x14ac:dyDescent="0.2">
      <c r="A1026" s="13" t="s">
        <v>2712</v>
      </c>
      <c r="C1026" s="12"/>
    </row>
    <row r="1027" spans="1:4" ht="12.75" customHeight="1" x14ac:dyDescent="0.2">
      <c r="A1027" s="11"/>
      <c r="B1027" s="2"/>
      <c r="C1027" s="15"/>
      <c r="D1027" s="2"/>
    </row>
    <row r="1028" spans="1:4" ht="12.75" customHeight="1" x14ac:dyDescent="0.2">
      <c r="B1028" s="11" t="s">
        <v>0</v>
      </c>
      <c r="C1028" s="11" t="s">
        <v>64</v>
      </c>
    </row>
    <row r="1029" spans="1:4" ht="12.75" customHeight="1" x14ac:dyDescent="0.2">
      <c r="B1029" s="11" t="s">
        <v>2599</v>
      </c>
      <c r="C1029" s="11" t="s">
        <v>247</v>
      </c>
    </row>
    <row r="1030" spans="1:4" ht="25.5" customHeight="1" x14ac:dyDescent="0.2">
      <c r="B1030" s="11" t="s">
        <v>2600</v>
      </c>
      <c r="C1030" s="11" t="s">
        <v>2713</v>
      </c>
    </row>
    <row r="1031" spans="1:4" ht="25.5" customHeight="1" x14ac:dyDescent="0.2">
      <c r="B1031" s="11" t="s">
        <v>2601</v>
      </c>
      <c r="C1031" s="11"/>
    </row>
    <row r="1032" spans="1:4" ht="12.75" customHeight="1" x14ac:dyDescent="0.2">
      <c r="B1032" s="11" t="s">
        <v>16</v>
      </c>
      <c r="C1032" s="11"/>
    </row>
    <row r="1033" spans="1:4" ht="12.75" customHeight="1" x14ac:dyDescent="0.2">
      <c r="B1033" s="11" t="s">
        <v>13</v>
      </c>
      <c r="C1033" s="11" t="s">
        <v>2602</v>
      </c>
    </row>
    <row r="1034" spans="1:4" ht="12.75" customHeight="1" x14ac:dyDescent="0.2">
      <c r="B1034" s="11" t="s">
        <v>2603</v>
      </c>
      <c r="C1034" s="11" t="s">
        <v>2604</v>
      </c>
    </row>
    <row r="1035" spans="1:4" ht="12.75" customHeight="1" x14ac:dyDescent="0.2">
      <c r="B1035" s="11" t="s">
        <v>2605</v>
      </c>
      <c r="C1035" s="11" t="s">
        <v>24</v>
      </c>
    </row>
    <row r="1036" spans="1:4" ht="12.75" customHeight="1" x14ac:dyDescent="0.2">
      <c r="B1036" s="11" t="s">
        <v>2606</v>
      </c>
      <c r="C1036" s="16" t="s">
        <v>142</v>
      </c>
      <c r="D1036" s="6" t="str">
        <f>HYPERLINK("javascript:void(0)","patkányzsír")</f>
        <v>patkányzsír</v>
      </c>
    </row>
    <row r="1037" spans="1:4" ht="12.75" customHeight="1" x14ac:dyDescent="0.2">
      <c r="B1037" s="2"/>
      <c r="C1037" s="15"/>
      <c r="D1037" s="2"/>
    </row>
    <row r="1038" spans="1:4" ht="12.75" customHeight="1" x14ac:dyDescent="0.2">
      <c r="B1038" s="2"/>
      <c r="C1038" s="15"/>
      <c r="D1038" s="2"/>
    </row>
    <row r="1039" spans="1:4" ht="12.75" customHeight="1" x14ac:dyDescent="0.2">
      <c r="A1039" s="13" t="s">
        <v>2714</v>
      </c>
      <c r="C1039" s="12"/>
    </row>
    <row r="1040" spans="1:4" ht="12.75" customHeight="1" x14ac:dyDescent="0.2">
      <c r="A1040" s="11"/>
      <c r="B1040" s="2"/>
      <c r="C1040" s="15"/>
      <c r="D1040" s="2"/>
    </row>
    <row r="1041" spans="1:4" ht="12.75" customHeight="1" x14ac:dyDescent="0.2">
      <c r="B1041" s="11" t="s">
        <v>0</v>
      </c>
      <c r="C1041" s="11" t="s">
        <v>64</v>
      </c>
    </row>
    <row r="1042" spans="1:4" ht="12.75" customHeight="1" x14ac:dyDescent="0.2">
      <c r="B1042" s="11" t="s">
        <v>2599</v>
      </c>
      <c r="C1042" s="11" t="s">
        <v>1142</v>
      </c>
    </row>
    <row r="1043" spans="1:4" ht="25.5" customHeight="1" x14ac:dyDescent="0.2">
      <c r="B1043" s="11" t="s">
        <v>2600</v>
      </c>
      <c r="C1043" s="11" t="s">
        <v>2715</v>
      </c>
    </row>
    <row r="1044" spans="1:4" ht="25.5" customHeight="1" x14ac:dyDescent="0.2">
      <c r="B1044" s="11" t="s">
        <v>2601</v>
      </c>
      <c r="C1044" s="11"/>
    </row>
    <row r="1045" spans="1:4" ht="12.75" customHeight="1" x14ac:dyDescent="0.2">
      <c r="B1045" s="11" t="s">
        <v>16</v>
      </c>
      <c r="C1045" s="11"/>
    </row>
    <row r="1046" spans="1:4" ht="12.75" customHeight="1" x14ac:dyDescent="0.2">
      <c r="B1046" s="11" t="s">
        <v>13</v>
      </c>
      <c r="C1046" s="11" t="s">
        <v>2644</v>
      </c>
    </row>
    <row r="1047" spans="1:4" ht="12.75" customHeight="1" x14ac:dyDescent="0.2">
      <c r="B1047" s="11" t="s">
        <v>2603</v>
      </c>
      <c r="C1047" s="11" t="s">
        <v>2640</v>
      </c>
    </row>
    <row r="1048" spans="1:4" ht="12.75" customHeight="1" x14ac:dyDescent="0.2">
      <c r="B1048" s="11" t="s">
        <v>2605</v>
      </c>
      <c r="C1048" s="11" t="s">
        <v>24</v>
      </c>
    </row>
    <row r="1049" spans="1:4" ht="12.75" customHeight="1" x14ac:dyDescent="0.2">
      <c r="B1049" s="11" t="s">
        <v>2606</v>
      </c>
      <c r="C1049" s="16" t="s">
        <v>44</v>
      </c>
      <c r="D1049" s="6" t="str">
        <f>HYPERLINK("javascript:void(0)","egoplazma")</f>
        <v>egoplazma</v>
      </c>
    </row>
    <row r="1050" spans="1:4" ht="12.75" customHeight="1" x14ac:dyDescent="0.2">
      <c r="B1050" s="2"/>
      <c r="C1050" s="15"/>
      <c r="D1050" s="2"/>
    </row>
    <row r="1051" spans="1:4" ht="12.75" customHeight="1" x14ac:dyDescent="0.2">
      <c r="B1051" s="2"/>
      <c r="C1051" s="15"/>
      <c r="D1051" s="2"/>
    </row>
    <row r="1052" spans="1:4" ht="12.75" customHeight="1" x14ac:dyDescent="0.2">
      <c r="A1052" s="13" t="s">
        <v>2716</v>
      </c>
      <c r="C1052" s="12"/>
    </row>
    <row r="1053" spans="1:4" ht="12.75" customHeight="1" x14ac:dyDescent="0.2">
      <c r="A1053" s="11"/>
      <c r="B1053" s="2"/>
      <c r="C1053" s="15"/>
      <c r="D1053" s="2"/>
    </row>
    <row r="1054" spans="1:4" ht="12.75" customHeight="1" x14ac:dyDescent="0.2">
      <c r="B1054" s="11" t="s">
        <v>0</v>
      </c>
      <c r="C1054" s="11" t="s">
        <v>72</v>
      </c>
    </row>
    <row r="1055" spans="1:4" ht="12.75" customHeight="1" x14ac:dyDescent="0.2">
      <c r="B1055" s="11" t="s">
        <v>2599</v>
      </c>
      <c r="C1055" s="11" t="s">
        <v>1284</v>
      </c>
    </row>
    <row r="1056" spans="1:4" ht="25.5" customHeight="1" x14ac:dyDescent="0.2">
      <c r="B1056" s="11" t="s">
        <v>2600</v>
      </c>
      <c r="C1056" s="11" t="s">
        <v>1974</v>
      </c>
    </row>
    <row r="1057" spans="1:4" ht="25.5" customHeight="1" x14ac:dyDescent="0.2">
      <c r="B1057" s="11" t="s">
        <v>2601</v>
      </c>
      <c r="C1057" s="11"/>
    </row>
    <row r="1058" spans="1:4" ht="12.75" customHeight="1" x14ac:dyDescent="0.2">
      <c r="B1058" s="11" t="s">
        <v>16</v>
      </c>
      <c r="C1058" s="11"/>
    </row>
    <row r="1059" spans="1:4" ht="12.75" customHeight="1" x14ac:dyDescent="0.2">
      <c r="B1059" s="11" t="s">
        <v>13</v>
      </c>
      <c r="C1059" s="11" t="s">
        <v>2644</v>
      </c>
    </row>
    <row r="1060" spans="1:4" ht="12.75" customHeight="1" x14ac:dyDescent="0.2">
      <c r="B1060" s="11" t="s">
        <v>2603</v>
      </c>
      <c r="C1060" s="11" t="s">
        <v>2604</v>
      </c>
    </row>
    <row r="1061" spans="1:4" ht="12.75" customHeight="1" x14ac:dyDescent="0.2">
      <c r="B1061" s="11" t="s">
        <v>2605</v>
      </c>
      <c r="C1061" s="11" t="s">
        <v>24</v>
      </c>
    </row>
    <row r="1062" spans="1:4" ht="25.5" customHeight="1" x14ac:dyDescent="0.2">
      <c r="B1062" s="11" t="s">
        <v>2606</v>
      </c>
      <c r="C1062" s="16" t="s">
        <v>44</v>
      </c>
      <c r="D1062" s="6" t="str">
        <f>HYPERLINK("javascript:void(0)","unikornisszarv")</f>
        <v>unikornisszarv</v>
      </c>
    </row>
    <row r="1063" spans="1:4" ht="12.75" customHeight="1" x14ac:dyDescent="0.2">
      <c r="B1063" s="2"/>
      <c r="C1063" s="15"/>
      <c r="D1063" s="2"/>
    </row>
    <row r="1064" spans="1:4" ht="12.75" customHeight="1" x14ac:dyDescent="0.2">
      <c r="B1064" s="2"/>
      <c r="C1064" s="15"/>
      <c r="D1064" s="2"/>
    </row>
    <row r="1065" spans="1:4" ht="12.75" customHeight="1" x14ac:dyDescent="0.2">
      <c r="A1065" s="13" t="s">
        <v>2717</v>
      </c>
      <c r="C1065" s="12"/>
    </row>
    <row r="1066" spans="1:4" ht="12.75" customHeight="1" x14ac:dyDescent="0.2">
      <c r="A1066" s="11"/>
      <c r="B1066" s="2"/>
      <c r="C1066" s="15"/>
      <c r="D1066" s="2"/>
    </row>
    <row r="1067" spans="1:4" ht="12.75" customHeight="1" x14ac:dyDescent="0.2">
      <c r="B1067" s="11" t="s">
        <v>0</v>
      </c>
      <c r="C1067" s="11" t="s">
        <v>72</v>
      </c>
    </row>
    <row r="1068" spans="1:4" ht="12.75" customHeight="1" x14ac:dyDescent="0.2">
      <c r="B1068" s="11" t="s">
        <v>2599</v>
      </c>
      <c r="C1068" s="11" t="s">
        <v>1818</v>
      </c>
    </row>
    <row r="1069" spans="1:4" ht="25.5" customHeight="1" x14ac:dyDescent="0.2">
      <c r="B1069" s="11" t="s">
        <v>2600</v>
      </c>
      <c r="C1069" s="11" t="s">
        <v>2718</v>
      </c>
    </row>
    <row r="1070" spans="1:4" ht="25.5" customHeight="1" x14ac:dyDescent="0.2">
      <c r="B1070" s="11" t="s">
        <v>2601</v>
      </c>
      <c r="C1070" s="11"/>
    </row>
    <row r="1071" spans="1:4" ht="12.75" customHeight="1" x14ac:dyDescent="0.2">
      <c r="B1071" s="11" t="s">
        <v>16</v>
      </c>
      <c r="C1071" s="11"/>
    </row>
    <row r="1072" spans="1:4" ht="12.75" customHeight="1" x14ac:dyDescent="0.2">
      <c r="B1072" s="11" t="s">
        <v>13</v>
      </c>
      <c r="C1072" s="11" t="s">
        <v>2602</v>
      </c>
    </row>
    <row r="1073" spans="1:4" ht="12.75" customHeight="1" x14ac:dyDescent="0.2">
      <c r="B1073" s="11" t="s">
        <v>2603</v>
      </c>
      <c r="C1073" s="11" t="s">
        <v>2633</v>
      </c>
    </row>
    <row r="1074" spans="1:4" ht="12.75" customHeight="1" x14ac:dyDescent="0.2">
      <c r="B1074" s="11" t="s">
        <v>2605</v>
      </c>
      <c r="C1074" s="11" t="s">
        <v>24</v>
      </c>
    </row>
    <row r="1075" spans="1:4" ht="25.5" customHeight="1" x14ac:dyDescent="0.2">
      <c r="B1075" s="11" t="s">
        <v>2606</v>
      </c>
      <c r="C1075" s="16" t="s">
        <v>44</v>
      </c>
      <c r="D1075" s="6" t="str">
        <f>HYPERLINK("javascript:void(0)","bölényszakáll")</f>
        <v>bölényszakáll</v>
      </c>
    </row>
    <row r="1076" spans="1:4" ht="12.75" customHeight="1" x14ac:dyDescent="0.2">
      <c r="C1076" s="16" t="s">
        <v>139</v>
      </c>
      <c r="D1076" s="6" t="str">
        <f>HYPERLINK("javascript:void(0)","kaja")</f>
        <v>kaja</v>
      </c>
    </row>
    <row r="1077" spans="1:4" ht="12.75" customHeight="1" x14ac:dyDescent="0.2">
      <c r="B1077" s="2"/>
      <c r="C1077" s="15"/>
      <c r="D1077" s="2"/>
    </row>
    <row r="1078" spans="1:4" ht="12.75" customHeight="1" x14ac:dyDescent="0.2">
      <c r="B1078" s="2"/>
      <c r="C1078" s="15"/>
      <c r="D1078" s="2"/>
    </row>
    <row r="1079" spans="1:4" ht="12.75" customHeight="1" x14ac:dyDescent="0.2">
      <c r="A1079" s="13" t="s">
        <v>2719</v>
      </c>
      <c r="C1079" s="12"/>
    </row>
    <row r="1080" spans="1:4" ht="12.75" customHeight="1" x14ac:dyDescent="0.2">
      <c r="A1080" s="11"/>
      <c r="B1080" s="2"/>
      <c r="C1080" s="15"/>
      <c r="D1080" s="2"/>
    </row>
    <row r="1081" spans="1:4" ht="12.75" customHeight="1" x14ac:dyDescent="0.2">
      <c r="B1081" s="11" t="s">
        <v>0</v>
      </c>
      <c r="C1081" s="11" t="s">
        <v>72</v>
      </c>
    </row>
    <row r="1082" spans="1:4" ht="12.75" customHeight="1" x14ac:dyDescent="0.2">
      <c r="B1082" s="11" t="s">
        <v>2599</v>
      </c>
      <c r="C1082" s="11" t="s">
        <v>1381</v>
      </c>
    </row>
    <row r="1083" spans="1:4" ht="25.5" customHeight="1" x14ac:dyDescent="0.2">
      <c r="B1083" s="11" t="s">
        <v>2600</v>
      </c>
      <c r="C1083" s="11" t="s">
        <v>2720</v>
      </c>
    </row>
    <row r="1084" spans="1:4" ht="25.5" customHeight="1" x14ac:dyDescent="0.2">
      <c r="B1084" s="11" t="s">
        <v>2601</v>
      </c>
      <c r="C1084" s="11"/>
    </row>
    <row r="1085" spans="1:4" ht="12.75" customHeight="1" x14ac:dyDescent="0.2">
      <c r="B1085" s="11" t="s">
        <v>16</v>
      </c>
      <c r="C1085" s="11"/>
    </row>
    <row r="1086" spans="1:4" ht="12.75" customHeight="1" x14ac:dyDescent="0.2">
      <c r="B1086" s="11" t="s">
        <v>13</v>
      </c>
      <c r="C1086" s="11" t="s">
        <v>2602</v>
      </c>
    </row>
    <row r="1087" spans="1:4" ht="12.75" customHeight="1" x14ac:dyDescent="0.2">
      <c r="B1087" s="11" t="s">
        <v>2603</v>
      </c>
      <c r="C1087" s="11" t="s">
        <v>2640</v>
      </c>
    </row>
    <row r="1088" spans="1:4" ht="12.75" customHeight="1" x14ac:dyDescent="0.2">
      <c r="B1088" s="11" t="s">
        <v>2605</v>
      </c>
      <c r="C1088" s="11" t="s">
        <v>24</v>
      </c>
    </row>
    <row r="1089" spans="1:4" ht="25.5" customHeight="1" x14ac:dyDescent="0.2">
      <c r="B1089" s="11" t="s">
        <v>2606</v>
      </c>
      <c r="C1089" s="16" t="s">
        <v>44</v>
      </c>
      <c r="D1089" s="6" t="str">
        <f>HYPERLINK("javascript:void(0)","ezüst láncing")</f>
        <v>ezüst láncing</v>
      </c>
    </row>
    <row r="1090" spans="1:4" ht="12.75" customHeight="1" x14ac:dyDescent="0.2">
      <c r="B1090" s="2"/>
      <c r="C1090" s="15"/>
      <c r="D1090" s="2"/>
    </row>
    <row r="1091" spans="1:4" ht="12.75" customHeight="1" x14ac:dyDescent="0.2">
      <c r="B1091" s="2"/>
      <c r="C1091" s="15"/>
      <c r="D1091" s="2"/>
    </row>
    <row r="1092" spans="1:4" ht="12.75" customHeight="1" x14ac:dyDescent="0.2">
      <c r="A1092" s="13" t="s">
        <v>2721</v>
      </c>
      <c r="C1092" s="12"/>
    </row>
    <row r="1093" spans="1:4" ht="12.75" customHeight="1" x14ac:dyDescent="0.2">
      <c r="A1093" s="11"/>
      <c r="B1093" s="2"/>
      <c r="C1093" s="15"/>
      <c r="D1093" s="2"/>
    </row>
    <row r="1094" spans="1:4" ht="12.75" customHeight="1" x14ac:dyDescent="0.2">
      <c r="B1094" s="11" t="s">
        <v>0</v>
      </c>
      <c r="C1094" s="11" t="s">
        <v>72</v>
      </c>
    </row>
    <row r="1095" spans="1:4" ht="12.75" customHeight="1" x14ac:dyDescent="0.2">
      <c r="B1095" s="11" t="s">
        <v>2599</v>
      </c>
      <c r="C1095" s="11" t="s">
        <v>146</v>
      </c>
    </row>
    <row r="1096" spans="1:4" ht="25.5" customHeight="1" x14ac:dyDescent="0.2">
      <c r="B1096" s="11" t="s">
        <v>2600</v>
      </c>
      <c r="C1096" s="11" t="s">
        <v>2722</v>
      </c>
    </row>
    <row r="1097" spans="1:4" ht="25.5" customHeight="1" x14ac:dyDescent="0.2">
      <c r="B1097" s="11" t="s">
        <v>2601</v>
      </c>
      <c r="C1097" s="11"/>
    </row>
    <row r="1098" spans="1:4" ht="12.75" customHeight="1" x14ac:dyDescent="0.2">
      <c r="B1098" s="11" t="s">
        <v>16</v>
      </c>
      <c r="C1098" s="11"/>
    </row>
    <row r="1099" spans="1:4" ht="12.75" customHeight="1" x14ac:dyDescent="0.2">
      <c r="B1099" s="11" t="s">
        <v>13</v>
      </c>
      <c r="C1099" s="11" t="s">
        <v>2602</v>
      </c>
    </row>
    <row r="1100" spans="1:4" ht="12.75" customHeight="1" x14ac:dyDescent="0.2">
      <c r="B1100" s="11" t="s">
        <v>2603</v>
      </c>
      <c r="C1100" s="11" t="s">
        <v>2604</v>
      </c>
    </row>
    <row r="1101" spans="1:4" ht="12.75" customHeight="1" x14ac:dyDescent="0.2">
      <c r="B1101" s="11" t="s">
        <v>2605</v>
      </c>
      <c r="C1101" s="11" t="s">
        <v>24</v>
      </c>
    </row>
    <row r="1102" spans="1:4" ht="25.5" customHeight="1" x14ac:dyDescent="0.2">
      <c r="B1102" s="11" t="s">
        <v>2606</v>
      </c>
      <c r="C1102" s="16" t="s">
        <v>44</v>
      </c>
      <c r="D1102" s="6" t="str">
        <f>HYPERLINK("javascript:void(0)","törpe csatabalta")</f>
        <v>törpe csatabalta</v>
      </c>
    </row>
    <row r="1103" spans="1:4" ht="12.75" customHeight="1" x14ac:dyDescent="0.2">
      <c r="B1103" s="2"/>
      <c r="C1103" s="15"/>
      <c r="D1103" s="2"/>
    </row>
    <row r="1104" spans="1:4" ht="12.75" customHeight="1" x14ac:dyDescent="0.2">
      <c r="B1104" s="2"/>
      <c r="C1104" s="15"/>
      <c r="D1104" s="2"/>
    </row>
    <row r="1105" spans="1:4" ht="12.75" customHeight="1" x14ac:dyDescent="0.2">
      <c r="A1105" s="13" t="s">
        <v>2723</v>
      </c>
      <c r="C1105" s="12"/>
    </row>
    <row r="1106" spans="1:4" ht="12.75" customHeight="1" x14ac:dyDescent="0.2">
      <c r="A1106" s="11"/>
      <c r="B1106" s="2"/>
      <c r="C1106" s="15"/>
      <c r="D1106" s="2"/>
    </row>
    <row r="1107" spans="1:4" ht="12.75" customHeight="1" x14ac:dyDescent="0.2">
      <c r="B1107" s="11" t="s">
        <v>0</v>
      </c>
      <c r="C1107" s="11" t="s">
        <v>82</v>
      </c>
    </row>
    <row r="1108" spans="1:4" ht="12.75" customHeight="1" x14ac:dyDescent="0.2">
      <c r="B1108" s="11" t="s">
        <v>2599</v>
      </c>
      <c r="C1108" s="11" t="s">
        <v>2041</v>
      </c>
    </row>
    <row r="1109" spans="1:4" ht="25.5" customHeight="1" x14ac:dyDescent="0.2">
      <c r="B1109" s="11" t="s">
        <v>2600</v>
      </c>
      <c r="C1109" s="11" t="s">
        <v>2725</v>
      </c>
    </row>
    <row r="1110" spans="1:4" ht="25.5" customHeight="1" x14ac:dyDescent="0.2">
      <c r="B1110" s="11" t="s">
        <v>2601</v>
      </c>
      <c r="C1110" s="11"/>
    </row>
    <row r="1111" spans="1:4" ht="12.75" customHeight="1" x14ac:dyDescent="0.2">
      <c r="B1111" s="11" t="s">
        <v>16</v>
      </c>
      <c r="C1111" s="11"/>
    </row>
    <row r="1112" spans="1:4" ht="12.75" customHeight="1" x14ac:dyDescent="0.2">
      <c r="B1112" s="11" t="s">
        <v>13</v>
      </c>
      <c r="C1112" s="11" t="s">
        <v>2602</v>
      </c>
    </row>
    <row r="1113" spans="1:4" ht="12.75" customHeight="1" x14ac:dyDescent="0.2">
      <c r="B1113" s="11" t="s">
        <v>2603</v>
      </c>
      <c r="C1113" s="11" t="s">
        <v>2648</v>
      </c>
    </row>
    <row r="1114" spans="1:4" ht="12.75" customHeight="1" x14ac:dyDescent="0.2">
      <c r="B1114" s="11" t="s">
        <v>2605</v>
      </c>
      <c r="C1114" s="11" t="s">
        <v>24</v>
      </c>
    </row>
    <row r="1115" spans="1:4" ht="12.75" customHeight="1" x14ac:dyDescent="0.2">
      <c r="B1115" s="11" t="s">
        <v>2606</v>
      </c>
      <c r="C1115" s="16" t="s">
        <v>44</v>
      </c>
      <c r="D1115" s="6" t="str">
        <f>HYPERLINK("javascript:void(0)","vasvilla")</f>
        <v>vasvilla</v>
      </c>
    </row>
    <row r="1116" spans="1:4" ht="12.75" customHeight="1" x14ac:dyDescent="0.2">
      <c r="C1116" s="16" t="s">
        <v>44</v>
      </c>
      <c r="D1116" s="6" t="str">
        <f>HYPERLINK("javascript:void(0)","kristálylap")</f>
        <v>kristálylap</v>
      </c>
    </row>
    <row r="1117" spans="1:4" ht="12.75" customHeight="1" x14ac:dyDescent="0.2">
      <c r="B1117" s="2"/>
      <c r="C1117" s="15"/>
      <c r="D1117" s="2"/>
    </row>
    <row r="1118" spans="1:4" ht="12.75" customHeight="1" x14ac:dyDescent="0.2">
      <c r="B1118" s="2"/>
      <c r="C1118" s="15"/>
      <c r="D1118" s="2"/>
    </row>
    <row r="1119" spans="1:4" ht="12.75" customHeight="1" x14ac:dyDescent="0.2">
      <c r="A1119" s="13" t="s">
        <v>2726</v>
      </c>
      <c r="C1119" s="12"/>
    </row>
    <row r="1120" spans="1:4" ht="12.75" customHeight="1" x14ac:dyDescent="0.2">
      <c r="A1120" s="11"/>
      <c r="B1120" s="2"/>
      <c r="C1120" s="15"/>
      <c r="D1120" s="2"/>
    </row>
    <row r="1121" spans="1:4" ht="12.75" customHeight="1" x14ac:dyDescent="0.2">
      <c r="B1121" s="11" t="s">
        <v>0</v>
      </c>
      <c r="C1121" s="11" t="s">
        <v>82</v>
      </c>
    </row>
    <row r="1122" spans="1:4" ht="12.75" customHeight="1" x14ac:dyDescent="0.2">
      <c r="B1122" s="11" t="s">
        <v>2599</v>
      </c>
      <c r="C1122" s="11" t="s">
        <v>383</v>
      </c>
    </row>
    <row r="1123" spans="1:4" ht="25.5" customHeight="1" x14ac:dyDescent="0.2">
      <c r="B1123" s="11" t="s">
        <v>2600</v>
      </c>
      <c r="C1123" s="11" t="s">
        <v>2727</v>
      </c>
    </row>
    <row r="1124" spans="1:4" ht="25.5" customHeight="1" x14ac:dyDescent="0.2">
      <c r="B1124" s="11" t="s">
        <v>2601</v>
      </c>
      <c r="C1124" s="11"/>
    </row>
    <row r="1125" spans="1:4" ht="12.75" customHeight="1" x14ac:dyDescent="0.2">
      <c r="B1125" s="11" t="s">
        <v>16</v>
      </c>
      <c r="C1125" s="11"/>
    </row>
    <row r="1126" spans="1:4" ht="12.75" customHeight="1" x14ac:dyDescent="0.2">
      <c r="B1126" s="11" t="s">
        <v>13</v>
      </c>
      <c r="C1126" s="11" t="s">
        <v>2602</v>
      </c>
    </row>
    <row r="1127" spans="1:4" ht="12.75" customHeight="1" x14ac:dyDescent="0.2">
      <c r="B1127" s="11" t="s">
        <v>2603</v>
      </c>
      <c r="C1127" s="11" t="s">
        <v>2604</v>
      </c>
    </row>
    <row r="1128" spans="1:4" ht="12.75" customHeight="1" x14ac:dyDescent="0.2">
      <c r="B1128" s="11" t="s">
        <v>2605</v>
      </c>
      <c r="C1128" s="11" t="s">
        <v>24</v>
      </c>
    </row>
    <row r="1129" spans="1:4" ht="12.75" customHeight="1" x14ac:dyDescent="0.2">
      <c r="B1129" s="11" t="s">
        <v>2606</v>
      </c>
      <c r="C1129" s="16" t="s">
        <v>44</v>
      </c>
      <c r="D1129" s="6" t="str">
        <f>HYPERLINK("javascript:void(0)","ork pallos")</f>
        <v>ork pallos</v>
      </c>
    </row>
    <row r="1130" spans="1:4" ht="12.75" customHeight="1" x14ac:dyDescent="0.2">
      <c r="B1130" s="2"/>
      <c r="C1130" s="15"/>
      <c r="D1130" s="2"/>
    </row>
    <row r="1131" spans="1:4" ht="12.75" customHeight="1" x14ac:dyDescent="0.2">
      <c r="B1131" s="2"/>
      <c r="C1131" s="15"/>
      <c r="D1131" s="2"/>
    </row>
    <row r="1132" spans="1:4" ht="12.75" customHeight="1" x14ac:dyDescent="0.2">
      <c r="A1132" s="13" t="s">
        <v>2728</v>
      </c>
      <c r="C1132" s="12"/>
    </row>
    <row r="1133" spans="1:4" ht="12.75" customHeight="1" x14ac:dyDescent="0.2">
      <c r="A1133" s="11"/>
      <c r="B1133" s="2"/>
      <c r="C1133" s="15"/>
      <c r="D1133" s="2"/>
    </row>
    <row r="1134" spans="1:4" ht="12.75" customHeight="1" x14ac:dyDescent="0.2">
      <c r="B1134" s="11" t="s">
        <v>0</v>
      </c>
      <c r="C1134" s="11" t="s">
        <v>82</v>
      </c>
    </row>
    <row r="1135" spans="1:4" ht="12.75" customHeight="1" x14ac:dyDescent="0.2">
      <c r="B1135" s="11" t="s">
        <v>2599</v>
      </c>
      <c r="C1135" s="11" t="s">
        <v>411</v>
      </c>
    </row>
    <row r="1136" spans="1:4" ht="25.5" customHeight="1" x14ac:dyDescent="0.2">
      <c r="B1136" s="11" t="s">
        <v>2600</v>
      </c>
      <c r="C1136" s="11" t="s">
        <v>586</v>
      </c>
    </row>
    <row r="1137" spans="1:4" ht="25.5" customHeight="1" x14ac:dyDescent="0.2">
      <c r="B1137" s="11" t="s">
        <v>2601</v>
      </c>
      <c r="C1137" s="11"/>
    </row>
    <row r="1138" spans="1:4" ht="12.75" customHeight="1" x14ac:dyDescent="0.2">
      <c r="B1138" s="11" t="s">
        <v>16</v>
      </c>
      <c r="C1138" s="11"/>
    </row>
    <row r="1139" spans="1:4" ht="12.75" customHeight="1" x14ac:dyDescent="0.2">
      <c r="B1139" s="11" t="s">
        <v>13</v>
      </c>
      <c r="C1139" s="11" t="s">
        <v>2644</v>
      </c>
    </row>
    <row r="1140" spans="1:4" ht="12.75" customHeight="1" x14ac:dyDescent="0.2">
      <c r="B1140" s="11" t="s">
        <v>2603</v>
      </c>
      <c r="C1140" s="11" t="s">
        <v>2604</v>
      </c>
    </row>
    <row r="1141" spans="1:4" ht="12.75" customHeight="1" x14ac:dyDescent="0.2">
      <c r="B1141" s="11" t="s">
        <v>2605</v>
      </c>
      <c r="C1141" s="11" t="s">
        <v>24</v>
      </c>
    </row>
    <row r="1142" spans="1:4" ht="12.75" customHeight="1" x14ac:dyDescent="0.2">
      <c r="B1142" s="11" t="s">
        <v>2606</v>
      </c>
      <c r="C1142" s="16" t="s">
        <v>44</v>
      </c>
      <c r="D1142" s="6" t="str">
        <f>HYPERLINK("javascript:void(0)","pánsíp")</f>
        <v>pánsíp</v>
      </c>
    </row>
    <row r="1143" spans="1:4" ht="12.75" customHeight="1" x14ac:dyDescent="0.2">
      <c r="B1143" s="2"/>
      <c r="C1143" s="15"/>
      <c r="D1143" s="2"/>
    </row>
    <row r="1144" spans="1:4" ht="12.75" customHeight="1" x14ac:dyDescent="0.2">
      <c r="B1144" s="2"/>
      <c r="C1144" s="15"/>
      <c r="D1144" s="2"/>
    </row>
    <row r="1145" spans="1:4" ht="12.75" customHeight="1" x14ac:dyDescent="0.2">
      <c r="A1145" s="13" t="s">
        <v>2729</v>
      </c>
      <c r="C1145" s="12"/>
    </row>
    <row r="1146" spans="1:4" ht="12.75" customHeight="1" x14ac:dyDescent="0.2">
      <c r="A1146" s="11"/>
      <c r="B1146" s="2"/>
      <c r="C1146" s="15"/>
      <c r="D1146" s="2"/>
    </row>
    <row r="1147" spans="1:4" ht="12.75" customHeight="1" x14ac:dyDescent="0.2">
      <c r="B1147" s="11" t="s">
        <v>0</v>
      </c>
      <c r="C1147" s="11" t="s">
        <v>82</v>
      </c>
    </row>
    <row r="1148" spans="1:4" ht="12.75" customHeight="1" x14ac:dyDescent="0.2">
      <c r="B1148" s="11" t="s">
        <v>2599</v>
      </c>
      <c r="C1148" s="11" t="s">
        <v>1390</v>
      </c>
    </row>
    <row r="1149" spans="1:4" ht="25.5" customHeight="1" x14ac:dyDescent="0.2">
      <c r="B1149" s="11" t="s">
        <v>2600</v>
      </c>
      <c r="C1149" s="11" t="s">
        <v>2730</v>
      </c>
    </row>
    <row r="1150" spans="1:4" ht="25.5" customHeight="1" x14ac:dyDescent="0.2">
      <c r="B1150" s="11" t="s">
        <v>2601</v>
      </c>
      <c r="C1150" s="11"/>
    </row>
    <row r="1151" spans="1:4" ht="12.75" customHeight="1" x14ac:dyDescent="0.2">
      <c r="B1151" s="11" t="s">
        <v>16</v>
      </c>
      <c r="C1151" s="11"/>
    </row>
    <row r="1152" spans="1:4" ht="12.75" customHeight="1" x14ac:dyDescent="0.2">
      <c r="B1152" s="11" t="s">
        <v>13</v>
      </c>
      <c r="C1152" s="11" t="s">
        <v>2602</v>
      </c>
    </row>
    <row r="1153" spans="1:4" ht="12.75" customHeight="1" x14ac:dyDescent="0.2">
      <c r="B1153" s="11" t="s">
        <v>2603</v>
      </c>
      <c r="C1153" s="11" t="s">
        <v>2640</v>
      </c>
    </row>
    <row r="1154" spans="1:4" ht="12.75" customHeight="1" x14ac:dyDescent="0.2">
      <c r="B1154" s="11" t="s">
        <v>2605</v>
      </c>
      <c r="C1154" s="11" t="s">
        <v>24</v>
      </c>
    </row>
    <row r="1155" spans="1:4" ht="25.5" customHeight="1" x14ac:dyDescent="0.2">
      <c r="B1155" s="11" t="s">
        <v>2606</v>
      </c>
      <c r="C1155" s="16" t="s">
        <v>56</v>
      </c>
      <c r="D1155" s="6" t="str">
        <f>HYPERLINK("javascript:void(0)","szellemszarv")</f>
        <v>szellemszarv</v>
      </c>
    </row>
    <row r="1156" spans="1:4" ht="12.75" customHeight="1" x14ac:dyDescent="0.2">
      <c r="B1156" s="2"/>
      <c r="C1156" s="15"/>
      <c r="D1156" s="2"/>
    </row>
    <row r="1157" spans="1:4" ht="12.75" customHeight="1" x14ac:dyDescent="0.2">
      <c r="B1157" s="2"/>
      <c r="C1157" s="15"/>
      <c r="D1157" s="2"/>
    </row>
    <row r="1158" spans="1:4" ht="12.75" customHeight="1" x14ac:dyDescent="0.2">
      <c r="A1158" s="13" t="s">
        <v>2731</v>
      </c>
      <c r="C1158" s="12"/>
    </row>
    <row r="1159" spans="1:4" ht="12.75" customHeight="1" x14ac:dyDescent="0.2">
      <c r="A1159" s="11"/>
      <c r="B1159" s="2"/>
      <c r="C1159" s="15"/>
      <c r="D1159" s="2"/>
    </row>
    <row r="1160" spans="1:4" ht="12.75" customHeight="1" x14ac:dyDescent="0.2">
      <c r="B1160" s="11" t="s">
        <v>0</v>
      </c>
      <c r="C1160" s="11" t="s">
        <v>86</v>
      </c>
    </row>
    <row r="1161" spans="1:4" ht="12.75" customHeight="1" x14ac:dyDescent="0.2">
      <c r="B1161" s="11" t="s">
        <v>2599</v>
      </c>
      <c r="C1161" s="11" t="s">
        <v>383</v>
      </c>
    </row>
    <row r="1162" spans="1:4" ht="25.5" customHeight="1" x14ac:dyDescent="0.2">
      <c r="B1162" s="11" t="s">
        <v>2600</v>
      </c>
      <c r="C1162" s="11" t="s">
        <v>2732</v>
      </c>
    </row>
    <row r="1163" spans="1:4" ht="25.5" customHeight="1" x14ac:dyDescent="0.2">
      <c r="B1163" s="11" t="s">
        <v>2601</v>
      </c>
      <c r="C1163" s="11"/>
    </row>
    <row r="1164" spans="1:4" ht="12.75" customHeight="1" x14ac:dyDescent="0.2">
      <c r="B1164" s="11" t="s">
        <v>16</v>
      </c>
      <c r="C1164" s="11"/>
    </row>
    <row r="1165" spans="1:4" ht="12.75" customHeight="1" x14ac:dyDescent="0.2">
      <c r="B1165" s="11" t="s">
        <v>13</v>
      </c>
      <c r="C1165" s="11" t="s">
        <v>2602</v>
      </c>
    </row>
    <row r="1166" spans="1:4" ht="12.75" customHeight="1" x14ac:dyDescent="0.2">
      <c r="B1166" s="11" t="s">
        <v>2603</v>
      </c>
      <c r="C1166" s="11" t="s">
        <v>2626</v>
      </c>
    </row>
    <row r="1167" spans="1:4" ht="12.75" customHeight="1" x14ac:dyDescent="0.2">
      <c r="B1167" s="11" t="s">
        <v>2605</v>
      </c>
      <c r="C1167" s="11" t="s">
        <v>24</v>
      </c>
    </row>
    <row r="1168" spans="1:4" ht="12.75" customHeight="1" x14ac:dyDescent="0.2">
      <c r="B1168" s="11" t="s">
        <v>2606</v>
      </c>
      <c r="C1168" s="16" t="s">
        <v>44</v>
      </c>
      <c r="D1168" s="6" t="str">
        <f>HYPERLINK("javascript:void(0)","párducbőr")</f>
        <v>párducbőr</v>
      </c>
    </row>
    <row r="1169" spans="1:4" ht="12.75" customHeight="1" x14ac:dyDescent="0.2">
      <c r="B1169" s="2"/>
      <c r="C1169" s="15"/>
      <c r="D1169" s="2"/>
    </row>
    <row r="1170" spans="1:4" ht="12.75" customHeight="1" x14ac:dyDescent="0.2">
      <c r="B1170" s="2"/>
      <c r="C1170" s="15"/>
      <c r="D1170" s="2"/>
    </row>
    <row r="1171" spans="1:4" ht="12.75" customHeight="1" x14ac:dyDescent="0.2">
      <c r="A1171" s="13" t="s">
        <v>2733</v>
      </c>
      <c r="C1171" s="12"/>
    </row>
    <row r="1172" spans="1:4" ht="12.75" customHeight="1" x14ac:dyDescent="0.2">
      <c r="A1172" s="11"/>
      <c r="B1172" s="2"/>
      <c r="C1172" s="15"/>
      <c r="D1172" s="2"/>
    </row>
    <row r="1173" spans="1:4" ht="12.75" customHeight="1" x14ac:dyDescent="0.2">
      <c r="B1173" s="11" t="s">
        <v>0</v>
      </c>
      <c r="C1173" s="11" t="s">
        <v>86</v>
      </c>
    </row>
    <row r="1174" spans="1:4" ht="12.75" customHeight="1" x14ac:dyDescent="0.2">
      <c r="B1174" s="11" t="s">
        <v>2599</v>
      </c>
      <c r="C1174" s="11" t="s">
        <v>2165</v>
      </c>
    </row>
    <row r="1175" spans="1:4" ht="25.5" customHeight="1" x14ac:dyDescent="0.2">
      <c r="B1175" s="11" t="s">
        <v>2600</v>
      </c>
      <c r="C1175" s="11" t="s">
        <v>2734</v>
      </c>
    </row>
    <row r="1176" spans="1:4" ht="25.5" customHeight="1" x14ac:dyDescent="0.2">
      <c r="B1176" s="11" t="s">
        <v>2601</v>
      </c>
      <c r="C1176" s="11"/>
    </row>
    <row r="1177" spans="1:4" ht="12.75" customHeight="1" x14ac:dyDescent="0.2">
      <c r="B1177" s="11" t="s">
        <v>16</v>
      </c>
      <c r="C1177" s="11"/>
    </row>
    <row r="1178" spans="1:4" ht="12.75" customHeight="1" x14ac:dyDescent="0.2">
      <c r="B1178" s="11" t="s">
        <v>13</v>
      </c>
      <c r="C1178" s="11" t="s">
        <v>2602</v>
      </c>
    </row>
    <row r="1179" spans="1:4" ht="12.75" customHeight="1" x14ac:dyDescent="0.2">
      <c r="B1179" s="11" t="s">
        <v>2603</v>
      </c>
      <c r="C1179" s="11" t="s">
        <v>2626</v>
      </c>
    </row>
    <row r="1180" spans="1:4" ht="12.75" customHeight="1" x14ac:dyDescent="0.2">
      <c r="B1180" s="11" t="s">
        <v>2605</v>
      </c>
      <c r="C1180" s="11" t="s">
        <v>24</v>
      </c>
    </row>
    <row r="1181" spans="1:4" ht="12.75" customHeight="1" x14ac:dyDescent="0.2">
      <c r="B1181" s="11" t="s">
        <v>2606</v>
      </c>
      <c r="C1181" s="16" t="s">
        <v>44</v>
      </c>
      <c r="D1181" s="6" t="str">
        <f>HYPERLINK("javascript:void(0)","tigrisirha")</f>
        <v>tigrisirha</v>
      </c>
    </row>
    <row r="1182" spans="1:4" ht="12.75" customHeight="1" x14ac:dyDescent="0.2">
      <c r="B1182" s="2"/>
      <c r="C1182" s="15"/>
      <c r="D1182" s="2"/>
    </row>
    <row r="1183" spans="1:4" ht="12.75" customHeight="1" x14ac:dyDescent="0.2">
      <c r="B1183" s="2"/>
      <c r="C1183" s="15"/>
      <c r="D1183" s="2"/>
    </row>
    <row r="1184" spans="1:4" ht="12.75" customHeight="1" x14ac:dyDescent="0.2">
      <c r="A1184" s="13" t="s">
        <v>2735</v>
      </c>
      <c r="C1184" s="12"/>
    </row>
    <row r="1185" spans="1:4" ht="12.75" customHeight="1" x14ac:dyDescent="0.2">
      <c r="A1185" s="11"/>
      <c r="B1185" s="2"/>
      <c r="C1185" s="15"/>
      <c r="D1185" s="2"/>
    </row>
    <row r="1186" spans="1:4" ht="12.75" customHeight="1" x14ac:dyDescent="0.2">
      <c r="B1186" s="11" t="s">
        <v>0</v>
      </c>
      <c r="C1186" s="11" t="s">
        <v>86</v>
      </c>
    </row>
    <row r="1187" spans="1:4" ht="12.75" customHeight="1" x14ac:dyDescent="0.2">
      <c r="B1187" s="11" t="s">
        <v>2599</v>
      </c>
      <c r="C1187" s="11" t="s">
        <v>2736</v>
      </c>
    </row>
    <row r="1188" spans="1:4" ht="25.5" customHeight="1" x14ac:dyDescent="0.2">
      <c r="B1188" s="11" t="s">
        <v>2600</v>
      </c>
      <c r="C1188" s="11" t="s">
        <v>2737</v>
      </c>
    </row>
    <row r="1189" spans="1:4" ht="25.5" customHeight="1" x14ac:dyDescent="0.2">
      <c r="B1189" s="11" t="s">
        <v>2601</v>
      </c>
      <c r="C1189" s="11"/>
    </row>
    <row r="1190" spans="1:4" ht="12.75" customHeight="1" x14ac:dyDescent="0.2">
      <c r="B1190" s="11" t="s">
        <v>16</v>
      </c>
      <c r="C1190" s="11"/>
    </row>
    <row r="1191" spans="1:4" ht="12.75" customHeight="1" x14ac:dyDescent="0.2">
      <c r="B1191" s="11" t="s">
        <v>13</v>
      </c>
      <c r="C1191" s="11" t="s">
        <v>2602</v>
      </c>
    </row>
    <row r="1192" spans="1:4" ht="12.75" customHeight="1" x14ac:dyDescent="0.2">
      <c r="B1192" s="11" t="s">
        <v>2603</v>
      </c>
      <c r="C1192" s="11" t="s">
        <v>2633</v>
      </c>
    </row>
    <row r="1193" spans="1:4" ht="12.75" customHeight="1" x14ac:dyDescent="0.2">
      <c r="B1193" s="11" t="s">
        <v>2605</v>
      </c>
      <c r="C1193" s="11" t="s">
        <v>24</v>
      </c>
    </row>
    <row r="1194" spans="1:4" ht="25.5" customHeight="1" x14ac:dyDescent="0.2">
      <c r="B1194" s="11" t="s">
        <v>2606</v>
      </c>
      <c r="C1194" s="16" t="s">
        <v>55</v>
      </c>
      <c r="D1194" s="6" t="str">
        <f>HYPERLINK("javascript:void(0)","oroszlánbajusz")</f>
        <v>oroszlánbajusz</v>
      </c>
    </row>
    <row r="1195" spans="1:4" ht="12.75" customHeight="1" x14ac:dyDescent="0.2">
      <c r="B1195" s="2"/>
      <c r="C1195" s="15"/>
      <c r="D1195" s="2"/>
    </row>
    <row r="1196" spans="1:4" ht="12.75" customHeight="1" x14ac:dyDescent="0.2">
      <c r="B1196" s="2"/>
      <c r="C1196" s="15"/>
      <c r="D1196" s="2"/>
    </row>
    <row r="1197" spans="1:4" ht="12.75" customHeight="1" x14ac:dyDescent="0.2">
      <c r="A1197" s="13" t="s">
        <v>2738</v>
      </c>
      <c r="C1197" s="12"/>
    </row>
    <row r="1198" spans="1:4" ht="12.75" customHeight="1" x14ac:dyDescent="0.2">
      <c r="A1198" s="11"/>
      <c r="B1198" s="2"/>
      <c r="C1198" s="15"/>
      <c r="D1198" s="2"/>
    </row>
    <row r="1199" spans="1:4" ht="12.75" customHeight="1" x14ac:dyDescent="0.2">
      <c r="B1199" s="11" t="s">
        <v>0</v>
      </c>
      <c r="C1199" s="11" t="s">
        <v>86</v>
      </c>
    </row>
    <row r="1200" spans="1:4" ht="12.75" customHeight="1" x14ac:dyDescent="0.2">
      <c r="B1200" s="11" t="s">
        <v>2599</v>
      </c>
      <c r="C1200" s="11" t="s">
        <v>278</v>
      </c>
    </row>
    <row r="1201" spans="1:4" ht="25.5" customHeight="1" x14ac:dyDescent="0.2">
      <c r="B1201" s="11" t="s">
        <v>2600</v>
      </c>
      <c r="C1201" s="11" t="s">
        <v>2739</v>
      </c>
    </row>
    <row r="1202" spans="1:4" ht="25.5" customHeight="1" x14ac:dyDescent="0.2">
      <c r="B1202" s="11" t="s">
        <v>2601</v>
      </c>
      <c r="C1202" s="11"/>
    </row>
    <row r="1203" spans="1:4" ht="12.75" customHeight="1" x14ac:dyDescent="0.2">
      <c r="B1203" s="11" t="s">
        <v>16</v>
      </c>
      <c r="C1203" s="11"/>
    </row>
    <row r="1204" spans="1:4" ht="12.75" customHeight="1" x14ac:dyDescent="0.2">
      <c r="B1204" s="11" t="s">
        <v>13</v>
      </c>
      <c r="C1204" s="11" t="s">
        <v>2602</v>
      </c>
    </row>
    <row r="1205" spans="1:4" ht="12.75" customHeight="1" x14ac:dyDescent="0.2">
      <c r="B1205" s="11" t="s">
        <v>2603</v>
      </c>
      <c r="C1205" s="11" t="s">
        <v>2642</v>
      </c>
    </row>
    <row r="1206" spans="1:4" ht="12.75" customHeight="1" x14ac:dyDescent="0.2">
      <c r="B1206" s="11" t="s">
        <v>2605</v>
      </c>
      <c r="C1206" s="11" t="s">
        <v>24</v>
      </c>
    </row>
    <row r="1207" spans="1:4" ht="12.75" customHeight="1" x14ac:dyDescent="0.2">
      <c r="B1207" s="11" t="s">
        <v>2606</v>
      </c>
      <c r="C1207" s="16" t="s">
        <v>44</v>
      </c>
      <c r="D1207" s="6" t="str">
        <f>HYPERLINK("javascript:void(0)","medvepúp")</f>
        <v>medvepúp</v>
      </c>
    </row>
    <row r="1208" spans="1:4" ht="12.75" customHeight="1" x14ac:dyDescent="0.2">
      <c r="C1208" s="16" t="s">
        <v>77</v>
      </c>
      <c r="D1208" s="6" t="str">
        <f>HYPERLINK("javascript:void(0)","kaja")</f>
        <v>kaja</v>
      </c>
    </row>
    <row r="1209" spans="1:4" ht="12.75" customHeight="1" x14ac:dyDescent="0.2">
      <c r="B1209" s="2"/>
      <c r="C1209" s="15"/>
      <c r="D1209" s="2"/>
    </row>
    <row r="1210" spans="1:4" ht="12.75" customHeight="1" x14ac:dyDescent="0.2">
      <c r="B1210" s="2"/>
      <c r="C1210" s="15"/>
      <c r="D1210" s="2"/>
    </row>
    <row r="1211" spans="1:4" ht="12.75" customHeight="1" x14ac:dyDescent="0.2">
      <c r="A1211" s="13" t="s">
        <v>2740</v>
      </c>
      <c r="C1211" s="12"/>
    </row>
    <row r="1212" spans="1:4" ht="12.75" customHeight="1" x14ac:dyDescent="0.2">
      <c r="A1212" s="11"/>
      <c r="B1212" s="2"/>
      <c r="C1212" s="15"/>
      <c r="D1212" s="2"/>
    </row>
    <row r="1213" spans="1:4" ht="12.75" customHeight="1" x14ac:dyDescent="0.2">
      <c r="B1213" s="11" t="s">
        <v>0</v>
      </c>
      <c r="C1213" s="11" t="s">
        <v>90</v>
      </c>
    </row>
    <row r="1214" spans="1:4" ht="12.75" customHeight="1" x14ac:dyDescent="0.2">
      <c r="B1214" s="11" t="s">
        <v>2599</v>
      </c>
      <c r="C1214" s="11" t="s">
        <v>568</v>
      </c>
    </row>
    <row r="1215" spans="1:4" ht="25.5" customHeight="1" x14ac:dyDescent="0.2">
      <c r="B1215" s="11" t="s">
        <v>2600</v>
      </c>
      <c r="C1215" s="11" t="s">
        <v>2741</v>
      </c>
    </row>
    <row r="1216" spans="1:4" ht="25.5" customHeight="1" x14ac:dyDescent="0.2">
      <c r="B1216" s="11" t="s">
        <v>2601</v>
      </c>
      <c r="C1216" s="11"/>
    </row>
    <row r="1217" spans="1:4" ht="12.75" customHeight="1" x14ac:dyDescent="0.2">
      <c r="B1217" s="11" t="s">
        <v>16</v>
      </c>
      <c r="C1217" s="11"/>
    </row>
    <row r="1218" spans="1:4" ht="12.75" customHeight="1" x14ac:dyDescent="0.2">
      <c r="B1218" s="11" t="s">
        <v>13</v>
      </c>
      <c r="C1218" s="11" t="s">
        <v>2602</v>
      </c>
    </row>
    <row r="1219" spans="1:4" ht="12.75" customHeight="1" x14ac:dyDescent="0.2">
      <c r="B1219" s="11" t="s">
        <v>2603</v>
      </c>
      <c r="C1219" s="11" t="s">
        <v>2633</v>
      </c>
    </row>
    <row r="1220" spans="1:4" ht="12.75" customHeight="1" x14ac:dyDescent="0.2">
      <c r="B1220" s="11" t="s">
        <v>2605</v>
      </c>
      <c r="C1220" s="11" t="s">
        <v>24</v>
      </c>
    </row>
    <row r="1221" spans="1:4" ht="12.75" customHeight="1" x14ac:dyDescent="0.2">
      <c r="B1221" s="11" t="s">
        <v>2606</v>
      </c>
      <c r="C1221" s="16" t="s">
        <v>56</v>
      </c>
      <c r="D1221" s="6" t="str">
        <f>HYPERLINK("javascript:void(0)","agyar")</f>
        <v>agyar</v>
      </c>
    </row>
    <row r="1222" spans="1:4" ht="12.75" customHeight="1" x14ac:dyDescent="0.2">
      <c r="B1222" s="2"/>
      <c r="C1222" s="15"/>
      <c r="D1222" s="2"/>
    </row>
    <row r="1223" spans="1:4" ht="12.75" customHeight="1" x14ac:dyDescent="0.2">
      <c r="B1223" s="2"/>
      <c r="C1223" s="15"/>
      <c r="D1223" s="2"/>
    </row>
    <row r="1224" spans="1:4" ht="12.75" customHeight="1" x14ac:dyDescent="0.2">
      <c r="A1224" s="13" t="s">
        <v>2742</v>
      </c>
      <c r="C1224" s="12"/>
    </row>
    <row r="1225" spans="1:4" ht="12.75" customHeight="1" x14ac:dyDescent="0.2">
      <c r="A1225" s="11"/>
      <c r="B1225" s="2"/>
      <c r="C1225" s="15"/>
      <c r="D1225" s="2"/>
    </row>
    <row r="1226" spans="1:4" ht="12.75" customHeight="1" x14ac:dyDescent="0.2">
      <c r="B1226" s="11" t="s">
        <v>0</v>
      </c>
      <c r="C1226" s="11" t="s">
        <v>90</v>
      </c>
    </row>
    <row r="1227" spans="1:4" ht="12.75" customHeight="1" x14ac:dyDescent="0.2">
      <c r="B1227" s="11" t="s">
        <v>2599</v>
      </c>
      <c r="C1227" s="11" t="s">
        <v>285</v>
      </c>
    </row>
    <row r="1228" spans="1:4" ht="25.5" customHeight="1" x14ac:dyDescent="0.2">
      <c r="B1228" s="11" t="s">
        <v>2600</v>
      </c>
      <c r="C1228" s="11" t="s">
        <v>2743</v>
      </c>
    </row>
    <row r="1229" spans="1:4" ht="25.5" customHeight="1" x14ac:dyDescent="0.2">
      <c r="B1229" s="11" t="s">
        <v>2601</v>
      </c>
      <c r="C1229" s="11"/>
    </row>
    <row r="1230" spans="1:4" ht="12.75" customHeight="1" x14ac:dyDescent="0.2">
      <c r="B1230" s="11" t="s">
        <v>16</v>
      </c>
      <c r="C1230" s="11"/>
    </row>
    <row r="1231" spans="1:4" ht="12.75" customHeight="1" x14ac:dyDescent="0.2">
      <c r="B1231" s="11" t="s">
        <v>13</v>
      </c>
      <c r="C1231" s="11" t="s">
        <v>2602</v>
      </c>
    </row>
    <row r="1232" spans="1:4" ht="12.75" customHeight="1" x14ac:dyDescent="0.2">
      <c r="B1232" s="11" t="s">
        <v>2603</v>
      </c>
      <c r="C1232" s="11" t="s">
        <v>2633</v>
      </c>
    </row>
    <row r="1233" spans="1:4" ht="12.75" customHeight="1" x14ac:dyDescent="0.2">
      <c r="B1233" s="11" t="s">
        <v>2605</v>
      </c>
      <c r="C1233" s="11" t="s">
        <v>24</v>
      </c>
    </row>
    <row r="1234" spans="1:4" ht="12.75" customHeight="1" x14ac:dyDescent="0.2">
      <c r="B1234" s="11" t="s">
        <v>2606</v>
      </c>
      <c r="C1234" s="16" t="s">
        <v>44</v>
      </c>
      <c r="D1234" s="6" t="str">
        <f>HYPERLINK("javascript:void(0)","orrszarv")</f>
        <v>orrszarv</v>
      </c>
    </row>
    <row r="1235" spans="1:4" ht="12.75" customHeight="1" x14ac:dyDescent="0.2">
      <c r="B1235" s="2"/>
      <c r="C1235" s="15"/>
      <c r="D1235" s="2"/>
    </row>
    <row r="1236" spans="1:4" ht="12.75" customHeight="1" x14ac:dyDescent="0.2">
      <c r="B1236" s="2"/>
      <c r="C1236" s="15"/>
      <c r="D1236" s="2"/>
    </row>
    <row r="1237" spans="1:4" ht="12.75" customHeight="1" x14ac:dyDescent="0.2">
      <c r="A1237" s="13" t="s">
        <v>2744</v>
      </c>
      <c r="C1237" s="12"/>
    </row>
    <row r="1238" spans="1:4" ht="12.75" customHeight="1" x14ac:dyDescent="0.2">
      <c r="A1238" s="11"/>
      <c r="B1238" s="2"/>
      <c r="C1238" s="15"/>
      <c r="D1238" s="2"/>
    </row>
    <row r="1239" spans="1:4" ht="12.75" customHeight="1" x14ac:dyDescent="0.2">
      <c r="B1239" s="11" t="s">
        <v>0</v>
      </c>
      <c r="C1239" s="11" t="s">
        <v>90</v>
      </c>
    </row>
    <row r="1240" spans="1:4" ht="12.75" customHeight="1" x14ac:dyDescent="0.2">
      <c r="B1240" s="11" t="s">
        <v>2599</v>
      </c>
      <c r="C1240" s="11" t="s">
        <v>171</v>
      </c>
    </row>
    <row r="1241" spans="1:4" ht="25.5" customHeight="1" x14ac:dyDescent="0.2">
      <c r="B1241" s="11" t="s">
        <v>2600</v>
      </c>
      <c r="C1241" s="11" t="s">
        <v>2745</v>
      </c>
    </row>
    <row r="1242" spans="1:4" ht="25.5" customHeight="1" x14ac:dyDescent="0.2">
      <c r="B1242" s="11" t="s">
        <v>2601</v>
      </c>
      <c r="C1242" s="11"/>
    </row>
    <row r="1243" spans="1:4" ht="12.75" customHeight="1" x14ac:dyDescent="0.2">
      <c r="B1243" s="11" t="s">
        <v>16</v>
      </c>
      <c r="C1243" s="11"/>
    </row>
    <row r="1244" spans="1:4" ht="12.75" customHeight="1" x14ac:dyDescent="0.2">
      <c r="B1244" s="11" t="s">
        <v>13</v>
      </c>
      <c r="C1244" s="11" t="s">
        <v>2602</v>
      </c>
    </row>
    <row r="1245" spans="1:4" ht="12.75" customHeight="1" x14ac:dyDescent="0.2">
      <c r="B1245" s="11" t="s">
        <v>2603</v>
      </c>
      <c r="C1245" s="11" t="s">
        <v>2651</v>
      </c>
    </row>
    <row r="1246" spans="1:4" ht="12.75" customHeight="1" x14ac:dyDescent="0.2">
      <c r="B1246" s="11" t="s">
        <v>2605</v>
      </c>
      <c r="C1246" s="11" t="s">
        <v>24</v>
      </c>
    </row>
    <row r="1247" spans="1:4" ht="25.5" customHeight="1" x14ac:dyDescent="0.2">
      <c r="B1247" s="11" t="s">
        <v>2606</v>
      </c>
      <c r="C1247" s="16" t="s">
        <v>44</v>
      </c>
      <c r="D1247" s="6" t="str">
        <f>HYPERLINK("javascript:void(0)","mérgezett tőr")</f>
        <v>mérgezett tőr</v>
      </c>
    </row>
    <row r="1248" spans="1:4" ht="12.75" customHeight="1" x14ac:dyDescent="0.2">
      <c r="B1248" s="2"/>
      <c r="C1248" s="15"/>
      <c r="D1248" s="2"/>
    </row>
    <row r="1249" spans="1:4" ht="12.75" customHeight="1" x14ac:dyDescent="0.2">
      <c r="B1249" s="2"/>
      <c r="C1249" s="15"/>
      <c r="D1249" s="2"/>
    </row>
    <row r="1250" spans="1:4" ht="12.75" customHeight="1" x14ac:dyDescent="0.2">
      <c r="A1250" s="13" t="s">
        <v>2746</v>
      </c>
      <c r="C1250" s="12"/>
    </row>
    <row r="1251" spans="1:4" ht="12.75" customHeight="1" x14ac:dyDescent="0.2">
      <c r="A1251" s="11"/>
      <c r="B1251" s="2"/>
      <c r="C1251" s="15"/>
      <c r="D1251" s="2"/>
    </row>
    <row r="1252" spans="1:4" ht="12.75" customHeight="1" x14ac:dyDescent="0.2">
      <c r="B1252" s="11" t="s">
        <v>0</v>
      </c>
      <c r="C1252" s="11" t="s">
        <v>90</v>
      </c>
    </row>
    <row r="1253" spans="1:4" ht="12.75" customHeight="1" x14ac:dyDescent="0.2">
      <c r="B1253" s="11" t="s">
        <v>2599</v>
      </c>
      <c r="C1253" s="11" t="s">
        <v>287</v>
      </c>
    </row>
    <row r="1254" spans="1:4" ht="25.5" customHeight="1" x14ac:dyDescent="0.2">
      <c r="B1254" s="11" t="s">
        <v>2600</v>
      </c>
      <c r="C1254" s="11" t="s">
        <v>2747</v>
      </c>
    </row>
    <row r="1255" spans="1:4" ht="25.5" customHeight="1" x14ac:dyDescent="0.2">
      <c r="B1255" s="11" t="s">
        <v>2601</v>
      </c>
      <c r="C1255" s="11"/>
    </row>
    <row r="1256" spans="1:4" ht="12.75" customHeight="1" x14ac:dyDescent="0.2">
      <c r="B1256" s="11" t="s">
        <v>16</v>
      </c>
      <c r="C1256" s="11"/>
    </row>
    <row r="1257" spans="1:4" ht="12.75" customHeight="1" x14ac:dyDescent="0.2">
      <c r="B1257" s="11" t="s">
        <v>13</v>
      </c>
      <c r="C1257" s="11" t="s">
        <v>2602</v>
      </c>
    </row>
    <row r="1258" spans="1:4" ht="12.75" customHeight="1" x14ac:dyDescent="0.2">
      <c r="B1258" s="11" t="s">
        <v>2603</v>
      </c>
      <c r="C1258" s="11" t="s">
        <v>2640</v>
      </c>
    </row>
    <row r="1259" spans="1:4" ht="12.75" customHeight="1" x14ac:dyDescent="0.2">
      <c r="B1259" s="11" t="s">
        <v>2605</v>
      </c>
      <c r="C1259" s="11" t="s">
        <v>24</v>
      </c>
    </row>
    <row r="1260" spans="1:4" ht="12.75" customHeight="1" x14ac:dyDescent="0.2">
      <c r="B1260" s="11" t="s">
        <v>2606</v>
      </c>
      <c r="C1260" s="16" t="s">
        <v>44</v>
      </c>
      <c r="D1260" s="6" t="str">
        <f>HYPERLINK("javascript:void(0)","ezüstgerinc")</f>
        <v>ezüstgerinc</v>
      </c>
    </row>
    <row r="1261" spans="1:4" ht="12.75" customHeight="1" x14ac:dyDescent="0.2">
      <c r="B1261" s="2"/>
      <c r="C1261" s="15"/>
      <c r="D1261" s="2"/>
    </row>
    <row r="1262" spans="1:4" ht="12.75" customHeight="1" x14ac:dyDescent="0.2">
      <c r="B1262" s="2"/>
      <c r="C1262" s="15"/>
      <c r="D1262" s="2"/>
    </row>
    <row r="1263" spans="1:4" ht="12.75" customHeight="1" x14ac:dyDescent="0.2">
      <c r="A1263" s="13" t="s">
        <v>2748</v>
      </c>
      <c r="C1263" s="12"/>
    </row>
    <row r="1264" spans="1:4" ht="12.75" customHeight="1" x14ac:dyDescent="0.2">
      <c r="A1264" s="11"/>
      <c r="B1264" s="2"/>
      <c r="C1264" s="15"/>
      <c r="D1264" s="2"/>
    </row>
    <row r="1265" spans="1:4" ht="12.75" customHeight="1" x14ac:dyDescent="0.2">
      <c r="B1265" s="11" t="s">
        <v>0</v>
      </c>
      <c r="C1265" s="11" t="s">
        <v>92</v>
      </c>
    </row>
    <row r="1266" spans="1:4" ht="12.75" customHeight="1" x14ac:dyDescent="0.2">
      <c r="B1266" s="11" t="s">
        <v>2599</v>
      </c>
      <c r="C1266" s="11" t="s">
        <v>1782</v>
      </c>
    </row>
    <row r="1267" spans="1:4" ht="25.5" customHeight="1" x14ac:dyDescent="0.2">
      <c r="B1267" s="11" t="s">
        <v>2600</v>
      </c>
      <c r="C1267" s="11" t="s">
        <v>2749</v>
      </c>
    </row>
    <row r="1268" spans="1:4" ht="25.5" customHeight="1" x14ac:dyDescent="0.2">
      <c r="B1268" s="11" t="s">
        <v>2601</v>
      </c>
      <c r="C1268" s="11"/>
    </row>
    <row r="1269" spans="1:4" ht="12.75" customHeight="1" x14ac:dyDescent="0.2">
      <c r="B1269" s="11" t="s">
        <v>16</v>
      </c>
      <c r="C1269" s="11"/>
    </row>
    <row r="1270" spans="1:4" ht="12.75" customHeight="1" x14ac:dyDescent="0.2">
      <c r="B1270" s="11" t="s">
        <v>13</v>
      </c>
      <c r="C1270" s="11" t="s">
        <v>2644</v>
      </c>
    </row>
    <row r="1271" spans="1:4" ht="12.75" customHeight="1" x14ac:dyDescent="0.2">
      <c r="B1271" s="11" t="s">
        <v>2603</v>
      </c>
      <c r="C1271" s="11" t="s">
        <v>2642</v>
      </c>
    </row>
    <row r="1272" spans="1:4" ht="12.75" customHeight="1" x14ac:dyDescent="0.2">
      <c r="B1272" s="11" t="s">
        <v>2605</v>
      </c>
      <c r="C1272" s="11" t="s">
        <v>24</v>
      </c>
    </row>
    <row r="1273" spans="1:4" ht="25.5" customHeight="1" x14ac:dyDescent="0.2">
      <c r="B1273" s="11" t="s">
        <v>2606</v>
      </c>
      <c r="C1273" s="16" t="s">
        <v>57</v>
      </c>
      <c r="D1273" s="6" t="str">
        <f>HYPERLINK("javascript:void(0)","szemgyöngy")</f>
        <v>szemgyöngy</v>
      </c>
    </row>
    <row r="1274" spans="1:4" ht="12.75" customHeight="1" x14ac:dyDescent="0.2">
      <c r="B1274" s="2"/>
      <c r="C1274" s="15"/>
      <c r="D1274" s="2"/>
    </row>
    <row r="1275" spans="1:4" ht="12.75" customHeight="1" x14ac:dyDescent="0.2">
      <c r="B1275" s="2"/>
      <c r="C1275" s="15"/>
      <c r="D1275" s="2"/>
    </row>
    <row r="1276" spans="1:4" ht="12.75" customHeight="1" x14ac:dyDescent="0.2">
      <c r="A1276" s="13" t="s">
        <v>2750</v>
      </c>
      <c r="C1276" s="12"/>
    </row>
    <row r="1277" spans="1:4" ht="12.75" customHeight="1" x14ac:dyDescent="0.2">
      <c r="A1277" s="11"/>
      <c r="B1277" s="2"/>
      <c r="C1277" s="15"/>
      <c r="D1277" s="2"/>
    </row>
    <row r="1278" spans="1:4" ht="12.75" customHeight="1" x14ac:dyDescent="0.2">
      <c r="B1278" s="11" t="s">
        <v>0</v>
      </c>
      <c r="C1278" s="11" t="s">
        <v>92</v>
      </c>
    </row>
    <row r="1279" spans="1:4" ht="12.75" customHeight="1" x14ac:dyDescent="0.2">
      <c r="B1279" s="11" t="s">
        <v>2599</v>
      </c>
      <c r="C1279" s="11" t="s">
        <v>1792</v>
      </c>
    </row>
    <row r="1280" spans="1:4" ht="25.5" customHeight="1" x14ac:dyDescent="0.2">
      <c r="B1280" s="11" t="s">
        <v>2600</v>
      </c>
      <c r="C1280" s="11" t="s">
        <v>2751</v>
      </c>
    </row>
    <row r="1281" spans="1:4" ht="25.5" customHeight="1" x14ac:dyDescent="0.2">
      <c r="B1281" s="11" t="s">
        <v>2601</v>
      </c>
      <c r="C1281" s="11"/>
    </row>
    <row r="1282" spans="1:4" ht="12.75" customHeight="1" x14ac:dyDescent="0.2">
      <c r="B1282" s="11" t="s">
        <v>16</v>
      </c>
      <c r="C1282" s="11"/>
    </row>
    <row r="1283" spans="1:4" ht="12.75" customHeight="1" x14ac:dyDescent="0.2">
      <c r="B1283" s="11" t="s">
        <v>13</v>
      </c>
      <c r="C1283" s="11" t="s">
        <v>2644</v>
      </c>
    </row>
    <row r="1284" spans="1:4" ht="12.75" customHeight="1" x14ac:dyDescent="0.2">
      <c r="B1284" s="11" t="s">
        <v>2603</v>
      </c>
      <c r="C1284" s="11" t="s">
        <v>2604</v>
      </c>
    </row>
    <row r="1285" spans="1:4" ht="12.75" customHeight="1" x14ac:dyDescent="0.2">
      <c r="B1285" s="11" t="s">
        <v>2605</v>
      </c>
      <c r="C1285" s="11" t="s">
        <v>24</v>
      </c>
    </row>
    <row r="1286" spans="1:4" ht="12.75" customHeight="1" x14ac:dyDescent="0.2">
      <c r="B1286" s="11" t="s">
        <v>2606</v>
      </c>
      <c r="C1286" s="16" t="s">
        <v>44</v>
      </c>
      <c r="D1286" s="6" t="str">
        <f>HYPERLINK("javascript:void(0)","yorick")</f>
        <v>yorick</v>
      </c>
    </row>
    <row r="1287" spans="1:4" ht="12.75" customHeight="1" x14ac:dyDescent="0.2">
      <c r="B1287" s="2"/>
      <c r="C1287" s="15"/>
      <c r="D1287" s="2"/>
    </row>
    <row r="1288" spans="1:4" ht="12.75" customHeight="1" x14ac:dyDescent="0.2">
      <c r="B1288" s="2"/>
      <c r="C1288" s="15"/>
      <c r="D1288" s="2"/>
    </row>
    <row r="1289" spans="1:4" ht="12.75" customHeight="1" x14ac:dyDescent="0.2">
      <c r="A1289" s="13" t="s">
        <v>2752</v>
      </c>
      <c r="C1289" s="12"/>
    </row>
    <row r="1290" spans="1:4" ht="12.75" customHeight="1" x14ac:dyDescent="0.2">
      <c r="A1290" s="11"/>
      <c r="B1290" s="2"/>
      <c r="C1290" s="15"/>
      <c r="D1290" s="2"/>
    </row>
    <row r="1291" spans="1:4" ht="12.75" customHeight="1" x14ac:dyDescent="0.2">
      <c r="B1291" s="11" t="s">
        <v>0</v>
      </c>
      <c r="C1291" s="11" t="s">
        <v>92</v>
      </c>
    </row>
    <row r="1292" spans="1:4" ht="12.75" customHeight="1" x14ac:dyDescent="0.2">
      <c r="B1292" s="11" t="s">
        <v>2599</v>
      </c>
      <c r="C1292" s="11" t="s">
        <v>2149</v>
      </c>
    </row>
    <row r="1293" spans="1:4" ht="25.5" customHeight="1" x14ac:dyDescent="0.2">
      <c r="B1293" s="11" t="s">
        <v>2600</v>
      </c>
      <c r="C1293" s="11" t="s">
        <v>2753</v>
      </c>
    </row>
    <row r="1294" spans="1:4" ht="25.5" customHeight="1" x14ac:dyDescent="0.2">
      <c r="B1294" s="11" t="s">
        <v>2601</v>
      </c>
      <c r="C1294" s="11"/>
    </row>
    <row r="1295" spans="1:4" ht="12.75" customHeight="1" x14ac:dyDescent="0.2">
      <c r="B1295" s="11" t="s">
        <v>16</v>
      </c>
      <c r="C1295" s="11"/>
    </row>
    <row r="1296" spans="1:4" ht="12.75" customHeight="1" x14ac:dyDescent="0.2">
      <c r="B1296" s="11" t="s">
        <v>13</v>
      </c>
      <c r="C1296" s="11" t="s">
        <v>2602</v>
      </c>
    </row>
    <row r="1297" spans="1:4" ht="12.75" customHeight="1" x14ac:dyDescent="0.2">
      <c r="B1297" s="11" t="s">
        <v>2603</v>
      </c>
      <c r="C1297" s="11" t="s">
        <v>2626</v>
      </c>
    </row>
    <row r="1298" spans="1:4" ht="12.75" customHeight="1" x14ac:dyDescent="0.2">
      <c r="B1298" s="11" t="s">
        <v>2605</v>
      </c>
      <c r="C1298" s="11" t="s">
        <v>24</v>
      </c>
    </row>
    <row r="1299" spans="1:4" ht="25.5" customHeight="1" x14ac:dyDescent="0.2">
      <c r="B1299" s="11" t="s">
        <v>2606</v>
      </c>
      <c r="C1299" s="16" t="s">
        <v>77</v>
      </c>
      <c r="D1299" s="6" t="str">
        <f>HYPERLINK("javascript:void(0)","kristályfolyadék")</f>
        <v>kristályfolyadék</v>
      </c>
    </row>
    <row r="1300" spans="1:4" ht="12.75" customHeight="1" x14ac:dyDescent="0.2">
      <c r="B1300" s="2"/>
      <c r="C1300" s="15"/>
      <c r="D1300" s="2"/>
    </row>
    <row r="1301" spans="1:4" ht="12.75" customHeight="1" x14ac:dyDescent="0.2">
      <c r="B1301" s="2"/>
      <c r="C1301" s="15"/>
      <c r="D1301" s="2"/>
    </row>
    <row r="1302" spans="1:4" ht="12.75" customHeight="1" x14ac:dyDescent="0.2">
      <c r="A1302" s="13" t="s">
        <v>2754</v>
      </c>
      <c r="C1302" s="12"/>
    </row>
    <row r="1303" spans="1:4" ht="12.75" customHeight="1" x14ac:dyDescent="0.2">
      <c r="A1303" s="11"/>
      <c r="B1303" s="2"/>
      <c r="C1303" s="15"/>
      <c r="D1303" s="2"/>
    </row>
    <row r="1304" spans="1:4" ht="12.75" customHeight="1" x14ac:dyDescent="0.2">
      <c r="B1304" s="11" t="s">
        <v>0</v>
      </c>
      <c r="C1304" s="11" t="s">
        <v>92</v>
      </c>
    </row>
    <row r="1305" spans="1:4" ht="12.75" customHeight="1" x14ac:dyDescent="0.2">
      <c r="B1305" s="11" t="s">
        <v>2599</v>
      </c>
      <c r="C1305" s="11" t="s">
        <v>1782</v>
      </c>
    </row>
    <row r="1306" spans="1:4" ht="25.5" customHeight="1" x14ac:dyDescent="0.2">
      <c r="B1306" s="11" t="s">
        <v>2600</v>
      </c>
      <c r="C1306" s="11" t="s">
        <v>2755</v>
      </c>
    </row>
    <row r="1307" spans="1:4" ht="25.5" customHeight="1" x14ac:dyDescent="0.2">
      <c r="B1307" s="11" t="s">
        <v>2601</v>
      </c>
      <c r="C1307" s="11"/>
    </row>
    <row r="1308" spans="1:4" ht="12.75" customHeight="1" x14ac:dyDescent="0.2">
      <c r="B1308" s="11" t="s">
        <v>16</v>
      </c>
      <c r="C1308" s="11"/>
    </row>
    <row r="1309" spans="1:4" ht="12.75" customHeight="1" x14ac:dyDescent="0.2">
      <c r="B1309" s="11" t="s">
        <v>13</v>
      </c>
      <c r="C1309" s="11" t="s">
        <v>2602</v>
      </c>
    </row>
    <row r="1310" spans="1:4" ht="12.75" customHeight="1" x14ac:dyDescent="0.2">
      <c r="B1310" s="11" t="s">
        <v>2603</v>
      </c>
      <c r="C1310" s="11" t="s">
        <v>2648</v>
      </c>
    </row>
    <row r="1311" spans="1:4" ht="12.75" customHeight="1" x14ac:dyDescent="0.2">
      <c r="B1311" s="11" t="s">
        <v>2605</v>
      </c>
      <c r="C1311" s="11" t="s">
        <v>24</v>
      </c>
    </row>
    <row r="1312" spans="1:4" ht="12.75" customHeight="1" x14ac:dyDescent="0.2">
      <c r="B1312" s="11" t="s">
        <v>2606</v>
      </c>
      <c r="C1312" s="16" t="s">
        <v>44</v>
      </c>
      <c r="D1312" s="6" t="str">
        <f>HYPERLINK("javascript:void(0)","platinarugó")</f>
        <v>platinarugó</v>
      </c>
    </row>
    <row r="1313" spans="1:4" ht="12.75" customHeight="1" x14ac:dyDescent="0.2">
      <c r="B1313" s="2"/>
      <c r="C1313" s="15"/>
      <c r="D1313" s="2"/>
    </row>
    <row r="1314" spans="1:4" ht="12.75" customHeight="1" x14ac:dyDescent="0.2">
      <c r="B1314" s="2"/>
      <c r="C1314" s="15"/>
      <c r="D1314" s="2"/>
    </row>
    <row r="1315" spans="1:4" ht="12.75" customHeight="1" x14ac:dyDescent="0.2">
      <c r="A1315" s="13" t="s">
        <v>2756</v>
      </c>
      <c r="C1315" s="12"/>
    </row>
    <row r="1316" spans="1:4" ht="12.75" customHeight="1" x14ac:dyDescent="0.2">
      <c r="A1316" s="11"/>
      <c r="B1316" s="2"/>
      <c r="C1316" s="15"/>
      <c r="D1316" s="2"/>
    </row>
    <row r="1317" spans="1:4" ht="12.75" customHeight="1" x14ac:dyDescent="0.2">
      <c r="B1317" s="11" t="s">
        <v>0</v>
      </c>
      <c r="C1317" s="11" t="s">
        <v>100</v>
      </c>
    </row>
    <row r="1318" spans="1:4" ht="12.75" customHeight="1" x14ac:dyDescent="0.2">
      <c r="B1318" s="11" t="s">
        <v>2599</v>
      </c>
      <c r="C1318" s="11" t="s">
        <v>459</v>
      </c>
    </row>
    <row r="1319" spans="1:4" ht="25.5" customHeight="1" x14ac:dyDescent="0.2">
      <c r="B1319" s="11" t="s">
        <v>2600</v>
      </c>
      <c r="C1319" s="11" t="s">
        <v>2757</v>
      </c>
    </row>
    <row r="1320" spans="1:4" ht="25.5" customHeight="1" x14ac:dyDescent="0.2">
      <c r="B1320" s="11" t="s">
        <v>2601</v>
      </c>
      <c r="C1320" s="11"/>
    </row>
    <row r="1321" spans="1:4" ht="12.75" customHeight="1" x14ac:dyDescent="0.2">
      <c r="B1321" s="11" t="s">
        <v>16</v>
      </c>
      <c r="C1321" s="11"/>
    </row>
    <row r="1322" spans="1:4" ht="12.75" customHeight="1" x14ac:dyDescent="0.2">
      <c r="B1322" s="11" t="s">
        <v>13</v>
      </c>
      <c r="C1322" s="11" t="s">
        <v>2602</v>
      </c>
    </row>
    <row r="1323" spans="1:4" ht="12.75" customHeight="1" x14ac:dyDescent="0.2">
      <c r="B1323" s="11" t="s">
        <v>2603</v>
      </c>
      <c r="C1323" s="11" t="s">
        <v>2642</v>
      </c>
    </row>
    <row r="1324" spans="1:4" ht="12.75" customHeight="1" x14ac:dyDescent="0.2">
      <c r="B1324" s="11" t="s">
        <v>2605</v>
      </c>
      <c r="C1324" s="11" t="s">
        <v>24</v>
      </c>
    </row>
    <row r="1325" spans="1:4" ht="25.5" customHeight="1" x14ac:dyDescent="0.2">
      <c r="B1325" s="11" t="s">
        <v>2606</v>
      </c>
      <c r="C1325" s="16" t="s">
        <v>44</v>
      </c>
      <c r="D1325" s="6" t="str">
        <f>HYPERLINK("javascript:void(0)","nyulványkorbács")</f>
        <v>nyulványkorbács</v>
      </c>
    </row>
    <row r="1326" spans="1:4" ht="12.75" customHeight="1" x14ac:dyDescent="0.2">
      <c r="B1326" s="2"/>
      <c r="C1326" s="15"/>
      <c r="D1326" s="2"/>
    </row>
    <row r="1327" spans="1:4" ht="12.75" customHeight="1" x14ac:dyDescent="0.2">
      <c r="B1327" s="2"/>
      <c r="C1327" s="15"/>
      <c r="D1327" s="2"/>
    </row>
    <row r="1328" spans="1:4" ht="12.75" customHeight="1" x14ac:dyDescent="0.2">
      <c r="A1328" s="13" t="s">
        <v>2758</v>
      </c>
      <c r="C1328" s="12"/>
    </row>
    <row r="1329" spans="1:4" ht="12.75" customHeight="1" x14ac:dyDescent="0.2">
      <c r="A1329" s="11"/>
      <c r="B1329" s="2"/>
      <c r="C1329" s="15"/>
      <c r="D1329" s="2"/>
    </row>
    <row r="1330" spans="1:4" ht="12.75" customHeight="1" x14ac:dyDescent="0.2">
      <c r="B1330" s="11" t="s">
        <v>0</v>
      </c>
      <c r="C1330" s="11" t="s">
        <v>100</v>
      </c>
    </row>
    <row r="1331" spans="1:4" ht="12.75" customHeight="1" x14ac:dyDescent="0.2">
      <c r="B1331" s="11" t="s">
        <v>2599</v>
      </c>
      <c r="C1331" s="11" t="s">
        <v>1802</v>
      </c>
    </row>
    <row r="1332" spans="1:4" ht="25.5" customHeight="1" x14ac:dyDescent="0.2">
      <c r="B1332" s="11" t="s">
        <v>2600</v>
      </c>
      <c r="C1332" s="11" t="s">
        <v>2759</v>
      </c>
    </row>
    <row r="1333" spans="1:4" ht="25.5" customHeight="1" x14ac:dyDescent="0.2">
      <c r="B1333" s="11" t="s">
        <v>2601</v>
      </c>
      <c r="C1333" s="11"/>
    </row>
    <row r="1334" spans="1:4" ht="12.75" customHeight="1" x14ac:dyDescent="0.2">
      <c r="B1334" s="11" t="s">
        <v>16</v>
      </c>
      <c r="C1334" s="11"/>
    </row>
    <row r="1335" spans="1:4" ht="12.75" customHeight="1" x14ac:dyDescent="0.2">
      <c r="B1335" s="11" t="s">
        <v>13</v>
      </c>
      <c r="C1335" s="11" t="s">
        <v>2602</v>
      </c>
    </row>
    <row r="1336" spans="1:4" ht="12.75" customHeight="1" x14ac:dyDescent="0.2">
      <c r="B1336" s="11" t="s">
        <v>2603</v>
      </c>
      <c r="C1336" s="11" t="s">
        <v>2626</v>
      </c>
    </row>
    <row r="1337" spans="1:4" ht="12.75" customHeight="1" x14ac:dyDescent="0.2">
      <c r="B1337" s="11" t="s">
        <v>2605</v>
      </c>
      <c r="C1337" s="11" t="s">
        <v>24</v>
      </c>
    </row>
    <row r="1338" spans="1:4" ht="12.75" customHeight="1" x14ac:dyDescent="0.2">
      <c r="B1338" s="11" t="s">
        <v>2606</v>
      </c>
      <c r="C1338" s="16" t="s">
        <v>44</v>
      </c>
      <c r="D1338" s="6" t="str">
        <f>HYPERLINK("javascript:void(0)","voodoo-bot")</f>
        <v>voodoo-bot</v>
      </c>
    </row>
    <row r="1339" spans="1:4" ht="12.75" customHeight="1" x14ac:dyDescent="0.2">
      <c r="B1339" s="2"/>
      <c r="C1339" s="15"/>
      <c r="D1339" s="2"/>
    </row>
    <row r="1340" spans="1:4" ht="12.75" customHeight="1" x14ac:dyDescent="0.2">
      <c r="B1340" s="2"/>
      <c r="C1340" s="15"/>
      <c r="D1340" s="2"/>
    </row>
    <row r="1341" spans="1:4" ht="12.75" customHeight="1" x14ac:dyDescent="0.2">
      <c r="A1341" s="13" t="s">
        <v>2760</v>
      </c>
      <c r="C1341" s="12"/>
    </row>
    <row r="1342" spans="1:4" ht="12.75" customHeight="1" x14ac:dyDescent="0.2">
      <c r="A1342" s="11"/>
      <c r="B1342" s="2"/>
      <c r="C1342" s="15"/>
      <c r="D1342" s="2"/>
    </row>
    <row r="1343" spans="1:4" ht="12.75" customHeight="1" x14ac:dyDescent="0.2">
      <c r="B1343" s="11" t="s">
        <v>0</v>
      </c>
      <c r="C1343" s="11" t="s">
        <v>100</v>
      </c>
    </row>
    <row r="1344" spans="1:4" ht="12.75" customHeight="1" x14ac:dyDescent="0.2">
      <c r="B1344" s="11" t="s">
        <v>2599</v>
      </c>
      <c r="C1344" s="11" t="s">
        <v>2101</v>
      </c>
    </row>
    <row r="1345" spans="1:4" ht="25.5" customHeight="1" x14ac:dyDescent="0.2">
      <c r="B1345" s="11" t="s">
        <v>2600</v>
      </c>
      <c r="C1345" s="11" t="s">
        <v>691</v>
      </c>
    </row>
    <row r="1346" spans="1:4" ht="25.5" customHeight="1" x14ac:dyDescent="0.2">
      <c r="B1346" s="11" t="s">
        <v>2601</v>
      </c>
      <c r="C1346" s="11"/>
    </row>
    <row r="1347" spans="1:4" ht="12.75" customHeight="1" x14ac:dyDescent="0.2">
      <c r="B1347" s="11" t="s">
        <v>16</v>
      </c>
      <c r="C1347" s="11"/>
    </row>
    <row r="1348" spans="1:4" ht="12.75" customHeight="1" x14ac:dyDescent="0.2">
      <c r="B1348" s="11" t="s">
        <v>13</v>
      </c>
      <c r="C1348" s="11" t="s">
        <v>2602</v>
      </c>
    </row>
    <row r="1349" spans="1:4" ht="12.75" customHeight="1" x14ac:dyDescent="0.2">
      <c r="B1349" s="11" t="s">
        <v>2603</v>
      </c>
      <c r="C1349" s="11" t="s">
        <v>2633</v>
      </c>
    </row>
    <row r="1350" spans="1:4" ht="12.75" customHeight="1" x14ac:dyDescent="0.2">
      <c r="B1350" s="11" t="s">
        <v>2605</v>
      </c>
      <c r="C1350" s="11" t="s">
        <v>24</v>
      </c>
    </row>
    <row r="1351" spans="1:4" ht="25.5" customHeight="1" x14ac:dyDescent="0.2">
      <c r="B1351" s="11" t="s">
        <v>2606</v>
      </c>
      <c r="C1351" s="16" t="s">
        <v>44</v>
      </c>
      <c r="D1351" s="6" t="str">
        <f>HYPERLINK("javascript:void(0)","méregmirigy")</f>
        <v>méregmirigy</v>
      </c>
    </row>
    <row r="1352" spans="1:4" ht="12.75" customHeight="1" x14ac:dyDescent="0.2">
      <c r="B1352" s="2"/>
      <c r="C1352" s="15"/>
      <c r="D1352" s="2"/>
    </row>
    <row r="1353" spans="1:4" ht="12.75" customHeight="1" x14ac:dyDescent="0.2">
      <c r="B1353" s="2"/>
      <c r="C1353" s="15"/>
      <c r="D1353" s="2"/>
    </row>
    <row r="1354" spans="1:4" ht="12.75" customHeight="1" x14ac:dyDescent="0.2">
      <c r="A1354" s="13" t="s">
        <v>2761</v>
      </c>
      <c r="C1354" s="12"/>
    </row>
    <row r="1355" spans="1:4" ht="12.75" customHeight="1" x14ac:dyDescent="0.2">
      <c r="A1355" s="11"/>
      <c r="B1355" s="2"/>
      <c r="C1355" s="15"/>
      <c r="D1355" s="2"/>
    </row>
    <row r="1356" spans="1:4" ht="12.75" customHeight="1" x14ac:dyDescent="0.2">
      <c r="B1356" s="11" t="s">
        <v>0</v>
      </c>
      <c r="C1356" s="11" t="s">
        <v>100</v>
      </c>
    </row>
    <row r="1357" spans="1:4" ht="12.75" customHeight="1" x14ac:dyDescent="0.2">
      <c r="B1357" s="11" t="s">
        <v>2599</v>
      </c>
      <c r="C1357" s="11" t="s">
        <v>2762</v>
      </c>
    </row>
    <row r="1358" spans="1:4" ht="25.5" customHeight="1" x14ac:dyDescent="0.2">
      <c r="B1358" s="11" t="s">
        <v>2600</v>
      </c>
      <c r="C1358" s="11" t="s">
        <v>1184</v>
      </c>
    </row>
    <row r="1359" spans="1:4" ht="25.5" customHeight="1" x14ac:dyDescent="0.2">
      <c r="B1359" s="11" t="s">
        <v>2601</v>
      </c>
      <c r="C1359" s="11"/>
    </row>
    <row r="1360" spans="1:4" ht="12.75" customHeight="1" x14ac:dyDescent="0.2">
      <c r="B1360" s="11" t="s">
        <v>16</v>
      </c>
      <c r="C1360" s="11"/>
    </row>
    <row r="1361" spans="1:4" ht="12.75" customHeight="1" x14ac:dyDescent="0.2">
      <c r="B1361" s="11" t="s">
        <v>13</v>
      </c>
      <c r="C1361" s="11" t="s">
        <v>2602</v>
      </c>
    </row>
    <row r="1362" spans="1:4" ht="12.75" customHeight="1" x14ac:dyDescent="0.2">
      <c r="B1362" s="11" t="s">
        <v>2603</v>
      </c>
      <c r="C1362" s="11" t="s">
        <v>2648</v>
      </c>
    </row>
    <row r="1363" spans="1:4" ht="12.75" customHeight="1" x14ac:dyDescent="0.2">
      <c r="B1363" s="11" t="s">
        <v>2605</v>
      </c>
      <c r="C1363" s="11" t="s">
        <v>24</v>
      </c>
    </row>
    <row r="1364" spans="1:4" ht="12.75" customHeight="1" x14ac:dyDescent="0.2">
      <c r="B1364" s="11" t="s">
        <v>2606</v>
      </c>
      <c r="C1364" s="16" t="s">
        <v>44</v>
      </c>
      <c r="D1364" s="6" t="str">
        <f>HYPERLINK("javascript:void(0)","szekérrúd")</f>
        <v>szekérrúd</v>
      </c>
    </row>
    <row r="1365" spans="1:4" ht="12.75" customHeight="1" x14ac:dyDescent="0.2">
      <c r="B1365" s="2"/>
      <c r="C1365" s="15"/>
      <c r="D1365" s="2"/>
    </row>
    <row r="1366" spans="1:4" ht="12.75" customHeight="1" x14ac:dyDescent="0.2">
      <c r="B1366" s="2"/>
      <c r="C1366" s="15"/>
      <c r="D1366" s="2"/>
    </row>
    <row r="1367" spans="1:4" ht="12.75" customHeight="1" x14ac:dyDescent="0.2">
      <c r="A1367" s="13" t="s">
        <v>2763</v>
      </c>
      <c r="C1367" s="12"/>
    </row>
    <row r="1368" spans="1:4" ht="12.75" customHeight="1" x14ac:dyDescent="0.2">
      <c r="A1368" s="11"/>
      <c r="B1368" s="2"/>
      <c r="C1368" s="15"/>
      <c r="D1368" s="2"/>
    </row>
    <row r="1369" spans="1:4" ht="12.75" customHeight="1" x14ac:dyDescent="0.2">
      <c r="B1369" s="11" t="s">
        <v>0</v>
      </c>
      <c r="C1369" s="11" t="s">
        <v>118</v>
      </c>
    </row>
    <row r="1370" spans="1:4" ht="12.75" customHeight="1" x14ac:dyDescent="0.2">
      <c r="B1370" s="11" t="s">
        <v>2599</v>
      </c>
      <c r="C1370" s="11" t="s">
        <v>375</v>
      </c>
    </row>
    <row r="1371" spans="1:4" ht="25.5" customHeight="1" x14ac:dyDescent="0.2">
      <c r="B1371" s="11" t="s">
        <v>2600</v>
      </c>
      <c r="C1371" s="11" t="s">
        <v>2764</v>
      </c>
    </row>
    <row r="1372" spans="1:4" ht="25.5" customHeight="1" x14ac:dyDescent="0.2">
      <c r="B1372" s="11" t="s">
        <v>2601</v>
      </c>
      <c r="C1372" s="11"/>
    </row>
    <row r="1373" spans="1:4" ht="12.75" customHeight="1" x14ac:dyDescent="0.2">
      <c r="B1373" s="11" t="s">
        <v>16</v>
      </c>
      <c r="C1373" s="11"/>
    </row>
    <row r="1374" spans="1:4" ht="12.75" customHeight="1" x14ac:dyDescent="0.2">
      <c r="B1374" s="11" t="s">
        <v>13</v>
      </c>
      <c r="C1374" s="11" t="s">
        <v>2644</v>
      </c>
    </row>
    <row r="1375" spans="1:4" ht="12.75" customHeight="1" x14ac:dyDescent="0.2">
      <c r="B1375" s="11" t="s">
        <v>2603</v>
      </c>
      <c r="C1375" s="11" t="s">
        <v>2604</v>
      </c>
    </row>
    <row r="1376" spans="1:4" ht="12.75" customHeight="1" x14ac:dyDescent="0.2">
      <c r="B1376" s="11" t="s">
        <v>2605</v>
      </c>
      <c r="C1376" s="11" t="s">
        <v>24</v>
      </c>
    </row>
    <row r="1377" spans="1:4" ht="25.5" customHeight="1" x14ac:dyDescent="0.2">
      <c r="B1377" s="11" t="s">
        <v>2606</v>
      </c>
      <c r="C1377" s="16" t="s">
        <v>232</v>
      </c>
      <c r="D1377" s="6" t="str">
        <f>HYPERLINK("javascript:void(0)","elementál eszencia")</f>
        <v>elementál eszencia</v>
      </c>
    </row>
    <row r="1378" spans="1:4" ht="12.75" customHeight="1" x14ac:dyDescent="0.2">
      <c r="B1378" s="2"/>
      <c r="C1378" s="15"/>
      <c r="D1378" s="2"/>
    </row>
    <row r="1379" spans="1:4" ht="12.75" customHeight="1" x14ac:dyDescent="0.2">
      <c r="B1379" s="2"/>
      <c r="C1379" s="15"/>
      <c r="D1379" s="2"/>
    </row>
    <row r="1380" spans="1:4" ht="12.75" customHeight="1" x14ac:dyDescent="0.2">
      <c r="A1380" s="13" t="s">
        <v>2765</v>
      </c>
      <c r="C1380" s="12"/>
    </row>
    <row r="1381" spans="1:4" ht="12.75" customHeight="1" x14ac:dyDescent="0.2">
      <c r="A1381" s="11"/>
      <c r="B1381" s="2"/>
      <c r="C1381" s="15"/>
      <c r="D1381" s="2"/>
    </row>
    <row r="1382" spans="1:4" ht="12.75" customHeight="1" x14ac:dyDescent="0.2">
      <c r="B1382" s="11" t="s">
        <v>0</v>
      </c>
      <c r="C1382" s="11" t="s">
        <v>118</v>
      </c>
    </row>
    <row r="1383" spans="1:4" ht="12.75" customHeight="1" x14ac:dyDescent="0.2">
      <c r="B1383" s="11" t="s">
        <v>2599</v>
      </c>
      <c r="C1383" s="11" t="s">
        <v>2183</v>
      </c>
    </row>
    <row r="1384" spans="1:4" ht="25.5" customHeight="1" x14ac:dyDescent="0.2">
      <c r="B1384" s="11" t="s">
        <v>2600</v>
      </c>
      <c r="C1384" s="11" t="s">
        <v>2766</v>
      </c>
    </row>
    <row r="1385" spans="1:4" ht="25.5" customHeight="1" x14ac:dyDescent="0.2">
      <c r="B1385" s="11" t="s">
        <v>2601</v>
      </c>
      <c r="C1385" s="11"/>
    </row>
    <row r="1386" spans="1:4" ht="12.75" customHeight="1" x14ac:dyDescent="0.2">
      <c r="B1386" s="11" t="s">
        <v>16</v>
      </c>
      <c r="C1386" s="11"/>
    </row>
    <row r="1387" spans="1:4" ht="12.75" customHeight="1" x14ac:dyDescent="0.2">
      <c r="B1387" s="11" t="s">
        <v>13</v>
      </c>
      <c r="C1387" s="11" t="s">
        <v>2644</v>
      </c>
    </row>
    <row r="1388" spans="1:4" ht="12.75" customHeight="1" x14ac:dyDescent="0.2">
      <c r="B1388" s="11" t="s">
        <v>2603</v>
      </c>
      <c r="C1388" s="11" t="s">
        <v>2604</v>
      </c>
    </row>
    <row r="1389" spans="1:4" ht="12.75" customHeight="1" x14ac:dyDescent="0.2">
      <c r="B1389" s="11" t="s">
        <v>2605</v>
      </c>
      <c r="C1389" s="11" t="s">
        <v>24</v>
      </c>
    </row>
    <row r="1390" spans="1:4" ht="25.5" customHeight="1" x14ac:dyDescent="0.2">
      <c r="B1390" s="11" t="s">
        <v>2606</v>
      </c>
      <c r="C1390" s="16" t="s">
        <v>232</v>
      </c>
      <c r="D1390" s="6" t="str">
        <f>HYPERLINK("javascript:void(0)","elementál eszencia")</f>
        <v>elementál eszencia</v>
      </c>
    </row>
    <row r="1391" spans="1:4" ht="12.75" customHeight="1" x14ac:dyDescent="0.2">
      <c r="B1391" s="2"/>
      <c r="C1391" s="15"/>
      <c r="D1391" s="2"/>
    </row>
    <row r="1392" spans="1:4" ht="12.75" customHeight="1" x14ac:dyDescent="0.2">
      <c r="B1392" s="2"/>
      <c r="C1392" s="15"/>
      <c r="D1392" s="2"/>
    </row>
    <row r="1393" spans="1:4" ht="12.75" customHeight="1" x14ac:dyDescent="0.2">
      <c r="A1393" s="13" t="s">
        <v>2767</v>
      </c>
      <c r="C1393" s="12"/>
    </row>
    <row r="1394" spans="1:4" ht="12.75" customHeight="1" x14ac:dyDescent="0.2">
      <c r="A1394" s="11"/>
      <c r="B1394" s="2"/>
      <c r="C1394" s="15"/>
      <c r="D1394" s="2"/>
    </row>
    <row r="1395" spans="1:4" ht="12.75" customHeight="1" x14ac:dyDescent="0.2">
      <c r="B1395" s="11" t="s">
        <v>0</v>
      </c>
      <c r="C1395" s="11" t="s">
        <v>118</v>
      </c>
    </row>
    <row r="1396" spans="1:4" ht="12.75" customHeight="1" x14ac:dyDescent="0.2">
      <c r="B1396" s="11" t="s">
        <v>2599</v>
      </c>
      <c r="C1396" s="11" t="s">
        <v>482</v>
      </c>
    </row>
    <row r="1397" spans="1:4" ht="25.5" customHeight="1" x14ac:dyDescent="0.2">
      <c r="B1397" s="11" t="s">
        <v>2600</v>
      </c>
      <c r="C1397" s="11" t="s">
        <v>2768</v>
      </c>
    </row>
    <row r="1398" spans="1:4" ht="25.5" customHeight="1" x14ac:dyDescent="0.2">
      <c r="B1398" s="11" t="s">
        <v>2601</v>
      </c>
      <c r="C1398" s="11"/>
    </row>
    <row r="1399" spans="1:4" ht="12.75" customHeight="1" x14ac:dyDescent="0.2">
      <c r="B1399" s="11" t="s">
        <v>16</v>
      </c>
      <c r="C1399" s="11"/>
    </row>
    <row r="1400" spans="1:4" ht="12.75" customHeight="1" x14ac:dyDescent="0.2">
      <c r="B1400" s="11" t="s">
        <v>13</v>
      </c>
      <c r="C1400" s="11" t="s">
        <v>2602</v>
      </c>
    </row>
    <row r="1401" spans="1:4" ht="12.75" customHeight="1" x14ac:dyDescent="0.2">
      <c r="B1401" s="11" t="s">
        <v>2603</v>
      </c>
      <c r="C1401" s="11" t="s">
        <v>2604</v>
      </c>
    </row>
    <row r="1402" spans="1:4" ht="12.75" customHeight="1" x14ac:dyDescent="0.2">
      <c r="B1402" s="11" t="s">
        <v>2605</v>
      </c>
      <c r="C1402" s="11" t="s">
        <v>24</v>
      </c>
    </row>
    <row r="1403" spans="1:4" ht="25.5" customHeight="1" x14ac:dyDescent="0.2">
      <c r="B1403" s="11" t="s">
        <v>2606</v>
      </c>
      <c r="C1403" s="16" t="s">
        <v>56</v>
      </c>
      <c r="D1403" s="6" t="str">
        <f>HYPERLINK("javascript:void(0)","aranyzsanér")</f>
        <v>aranyzsanér</v>
      </c>
    </row>
    <row r="1404" spans="1:4" ht="12.75" customHeight="1" x14ac:dyDescent="0.2">
      <c r="B1404" s="2"/>
      <c r="C1404" s="15"/>
      <c r="D1404" s="2"/>
    </row>
    <row r="1405" spans="1:4" ht="12.75" customHeight="1" x14ac:dyDescent="0.2">
      <c r="B1405" s="2"/>
      <c r="C1405" s="15"/>
      <c r="D1405" s="2"/>
    </row>
    <row r="1406" spans="1:4" ht="12.75" customHeight="1" x14ac:dyDescent="0.2">
      <c r="A1406" s="13" t="s">
        <v>2769</v>
      </c>
      <c r="C1406" s="12"/>
    </row>
    <row r="1407" spans="1:4" ht="12.75" customHeight="1" x14ac:dyDescent="0.2">
      <c r="A1407" s="11"/>
      <c r="B1407" s="2"/>
      <c r="C1407" s="15"/>
      <c r="D1407" s="2"/>
    </row>
    <row r="1408" spans="1:4" ht="12.75" customHeight="1" x14ac:dyDescent="0.2">
      <c r="B1408" s="11" t="s">
        <v>0</v>
      </c>
      <c r="C1408" s="11" t="s">
        <v>118</v>
      </c>
    </row>
    <row r="1409" spans="1:4" ht="12.75" customHeight="1" x14ac:dyDescent="0.2">
      <c r="B1409" s="11" t="s">
        <v>2599</v>
      </c>
      <c r="C1409" s="11" t="s">
        <v>2770</v>
      </c>
    </row>
    <row r="1410" spans="1:4" ht="25.5" customHeight="1" x14ac:dyDescent="0.2">
      <c r="B1410" s="11" t="s">
        <v>2600</v>
      </c>
      <c r="C1410" s="11" t="s">
        <v>2771</v>
      </c>
    </row>
    <row r="1411" spans="1:4" ht="25.5" customHeight="1" x14ac:dyDescent="0.2">
      <c r="B1411" s="11" t="s">
        <v>2601</v>
      </c>
      <c r="C1411" s="11"/>
    </row>
    <row r="1412" spans="1:4" ht="12.75" customHeight="1" x14ac:dyDescent="0.2">
      <c r="B1412" s="11" t="s">
        <v>16</v>
      </c>
      <c r="C1412" s="11"/>
    </row>
    <row r="1413" spans="1:4" ht="12.75" customHeight="1" x14ac:dyDescent="0.2">
      <c r="B1413" s="11" t="s">
        <v>13</v>
      </c>
      <c r="C1413" s="11" t="s">
        <v>2602</v>
      </c>
    </row>
    <row r="1414" spans="1:4" ht="12.75" customHeight="1" x14ac:dyDescent="0.2">
      <c r="B1414" s="11" t="s">
        <v>2603</v>
      </c>
      <c r="C1414" s="11" t="s">
        <v>2604</v>
      </c>
    </row>
    <row r="1415" spans="1:4" ht="12.75" customHeight="1" x14ac:dyDescent="0.2">
      <c r="B1415" s="11" t="s">
        <v>2605</v>
      </c>
      <c r="C1415" s="11" t="s">
        <v>24</v>
      </c>
    </row>
    <row r="1416" spans="1:4" ht="25.5" customHeight="1" x14ac:dyDescent="0.2">
      <c r="B1416" s="11" t="s">
        <v>2606</v>
      </c>
      <c r="C1416" s="16" t="s">
        <v>44</v>
      </c>
      <c r="D1416" s="6" t="str">
        <f>HYPERLINK("javascript:void(0)","gyémántkarika")</f>
        <v>gyémántkarika</v>
      </c>
    </row>
    <row r="1417" spans="1:4" ht="12.75" customHeight="1" x14ac:dyDescent="0.2">
      <c r="B1417" s="2"/>
      <c r="C1417" s="15"/>
      <c r="D1417" s="2"/>
    </row>
    <row r="1418" spans="1:4" ht="12.75" customHeight="1" x14ac:dyDescent="0.2">
      <c r="B1418" s="2"/>
      <c r="C1418" s="15"/>
      <c r="D1418" s="2"/>
    </row>
    <row r="1419" spans="1:4" ht="12.75" customHeight="1" x14ac:dyDescent="0.2">
      <c r="A1419" s="13" t="s">
        <v>2772</v>
      </c>
      <c r="C1419" s="12"/>
    </row>
    <row r="1420" spans="1:4" ht="12.75" customHeight="1" x14ac:dyDescent="0.2">
      <c r="A1420" s="11"/>
      <c r="B1420" s="2"/>
      <c r="C1420" s="15"/>
      <c r="D1420" s="2"/>
    </row>
    <row r="1421" spans="1:4" ht="12.75" customHeight="1" x14ac:dyDescent="0.2">
      <c r="B1421" s="11" t="s">
        <v>0</v>
      </c>
      <c r="C1421" s="11" t="s">
        <v>32</v>
      </c>
    </row>
    <row r="1422" spans="1:4" ht="12.75" customHeight="1" x14ac:dyDescent="0.2">
      <c r="B1422" s="11" t="s">
        <v>2599</v>
      </c>
      <c r="C1422" s="11" t="s">
        <v>2773</v>
      </c>
    </row>
    <row r="1423" spans="1:4" ht="25.5" customHeight="1" x14ac:dyDescent="0.2">
      <c r="B1423" s="11" t="s">
        <v>2600</v>
      </c>
      <c r="C1423" s="11" t="s">
        <v>2774</v>
      </c>
    </row>
    <row r="1424" spans="1:4" ht="25.5" customHeight="1" x14ac:dyDescent="0.2">
      <c r="B1424" s="11" t="s">
        <v>2601</v>
      </c>
      <c r="C1424" s="11"/>
    </row>
    <row r="1425" spans="1:4" ht="12.75" customHeight="1" x14ac:dyDescent="0.2">
      <c r="B1425" s="11" t="s">
        <v>16</v>
      </c>
      <c r="C1425" s="11"/>
    </row>
    <row r="1426" spans="1:4" ht="12.75" customHeight="1" x14ac:dyDescent="0.2">
      <c r="B1426" s="11" t="s">
        <v>13</v>
      </c>
      <c r="C1426" s="11" t="s">
        <v>2602</v>
      </c>
    </row>
    <row r="1427" spans="1:4" ht="12.75" customHeight="1" x14ac:dyDescent="0.2">
      <c r="B1427" s="11" t="s">
        <v>2603</v>
      </c>
      <c r="C1427" s="11" t="s">
        <v>2626</v>
      </c>
    </row>
    <row r="1428" spans="1:4" ht="12.75" customHeight="1" x14ac:dyDescent="0.2">
      <c r="B1428" s="11" t="s">
        <v>2605</v>
      </c>
      <c r="C1428" s="11" t="s">
        <v>24</v>
      </c>
    </row>
    <row r="1429" spans="1:4" ht="12.75" customHeight="1" x14ac:dyDescent="0.2">
      <c r="B1429" s="11" t="s">
        <v>2606</v>
      </c>
      <c r="C1429" s="16" t="s">
        <v>803</v>
      </c>
      <c r="D1429" s="6" t="str">
        <f>HYPERLINK("javascript:void(0)","goblinbatka")</f>
        <v>goblinbatka</v>
      </c>
    </row>
    <row r="1430" spans="1:4" ht="12.75" customHeight="1" x14ac:dyDescent="0.2">
      <c r="B1430" s="2"/>
      <c r="C1430" s="15"/>
      <c r="D1430" s="2"/>
    </row>
    <row r="1431" spans="1:4" ht="12.75" customHeight="1" x14ac:dyDescent="0.2">
      <c r="B1431" s="2"/>
      <c r="C1431" s="15"/>
      <c r="D1431" s="2"/>
    </row>
    <row r="1432" spans="1:4" ht="12.75" customHeight="1" x14ac:dyDescent="0.2">
      <c r="A1432" s="13" t="s">
        <v>2775</v>
      </c>
      <c r="C1432" s="12"/>
    </row>
    <row r="1433" spans="1:4" ht="12.75" customHeight="1" x14ac:dyDescent="0.2">
      <c r="A1433" s="11"/>
      <c r="B1433" s="2"/>
      <c r="C1433" s="15"/>
      <c r="D1433" s="2"/>
    </row>
    <row r="1434" spans="1:4" ht="12.75" customHeight="1" x14ac:dyDescent="0.2">
      <c r="B1434" s="11" t="s">
        <v>0</v>
      </c>
      <c r="C1434" s="11" t="s">
        <v>32</v>
      </c>
    </row>
    <row r="1435" spans="1:4" ht="12.75" customHeight="1" x14ac:dyDescent="0.2">
      <c r="B1435" s="11" t="s">
        <v>2599</v>
      </c>
      <c r="C1435" s="11" t="s">
        <v>539</v>
      </c>
    </row>
    <row r="1436" spans="1:4" ht="25.5" customHeight="1" x14ac:dyDescent="0.2">
      <c r="B1436" s="11" t="s">
        <v>2600</v>
      </c>
      <c r="C1436" s="11" t="s">
        <v>2776</v>
      </c>
    </row>
    <row r="1437" spans="1:4" ht="25.5" customHeight="1" x14ac:dyDescent="0.2">
      <c r="B1437" s="11" t="s">
        <v>2601</v>
      </c>
      <c r="C1437" s="11"/>
    </row>
    <row r="1438" spans="1:4" ht="12.75" customHeight="1" x14ac:dyDescent="0.2">
      <c r="B1438" s="11" t="s">
        <v>16</v>
      </c>
      <c r="C1438" s="11"/>
    </row>
    <row r="1439" spans="1:4" ht="12.75" customHeight="1" x14ac:dyDescent="0.2">
      <c r="B1439" s="11" t="s">
        <v>13</v>
      </c>
      <c r="C1439" s="11" t="s">
        <v>2602</v>
      </c>
    </row>
    <row r="1440" spans="1:4" ht="12.75" customHeight="1" x14ac:dyDescent="0.2">
      <c r="B1440" s="11" t="s">
        <v>2603</v>
      </c>
      <c r="C1440" s="11" t="s">
        <v>2604</v>
      </c>
    </row>
    <row r="1441" spans="1:4" ht="12.75" customHeight="1" x14ac:dyDescent="0.2">
      <c r="B1441" s="11" t="s">
        <v>2605</v>
      </c>
      <c r="C1441" s="11" t="s">
        <v>24</v>
      </c>
    </row>
    <row r="1442" spans="1:4" ht="12.75" customHeight="1" x14ac:dyDescent="0.2">
      <c r="B1442" s="11" t="s">
        <v>2606</v>
      </c>
      <c r="C1442" s="16" t="s">
        <v>2652</v>
      </c>
      <c r="D1442" s="6" t="str">
        <f>HYPERLINK("javascript:void(0)","ezüst")</f>
        <v>ezüst</v>
      </c>
    </row>
    <row r="1443" spans="1:4" ht="12.75" customHeight="1" x14ac:dyDescent="0.2">
      <c r="B1443" s="2"/>
      <c r="C1443" s="15"/>
      <c r="D1443" s="2"/>
    </row>
    <row r="1444" spans="1:4" ht="12.75" customHeight="1" x14ac:dyDescent="0.2">
      <c r="B1444" s="2"/>
      <c r="C1444" s="15"/>
      <c r="D1444" s="2"/>
    </row>
    <row r="1445" spans="1:4" ht="12.75" customHeight="1" x14ac:dyDescent="0.2">
      <c r="A1445" s="13" t="s">
        <v>2777</v>
      </c>
      <c r="C1445" s="12"/>
    </row>
    <row r="1446" spans="1:4" ht="12.75" customHeight="1" x14ac:dyDescent="0.2">
      <c r="A1446" s="11"/>
      <c r="B1446" s="2"/>
      <c r="C1446" s="15"/>
      <c r="D1446" s="2"/>
    </row>
    <row r="1447" spans="1:4" ht="12.75" customHeight="1" x14ac:dyDescent="0.2">
      <c r="B1447" s="11" t="s">
        <v>0</v>
      </c>
      <c r="C1447" s="11" t="s">
        <v>32</v>
      </c>
    </row>
    <row r="1448" spans="1:4" ht="12.75" customHeight="1" x14ac:dyDescent="0.2">
      <c r="B1448" s="11" t="s">
        <v>2599</v>
      </c>
      <c r="C1448" s="11" t="s">
        <v>2778</v>
      </c>
    </row>
    <row r="1449" spans="1:4" ht="25.5" customHeight="1" x14ac:dyDescent="0.2">
      <c r="B1449" s="11" t="s">
        <v>2600</v>
      </c>
      <c r="C1449" s="11" t="s">
        <v>2779</v>
      </c>
    </row>
    <row r="1450" spans="1:4" ht="25.5" customHeight="1" x14ac:dyDescent="0.2">
      <c r="B1450" s="11" t="s">
        <v>2601</v>
      </c>
      <c r="C1450" s="11"/>
    </row>
    <row r="1451" spans="1:4" ht="12.75" customHeight="1" x14ac:dyDescent="0.2">
      <c r="B1451" s="11" t="s">
        <v>16</v>
      </c>
      <c r="C1451" s="11"/>
    </row>
    <row r="1452" spans="1:4" ht="12.75" customHeight="1" x14ac:dyDescent="0.2">
      <c r="B1452" s="11" t="s">
        <v>13</v>
      </c>
      <c r="C1452" s="11" t="s">
        <v>2602</v>
      </c>
    </row>
    <row r="1453" spans="1:4" ht="12.75" customHeight="1" x14ac:dyDescent="0.2">
      <c r="B1453" s="11" t="s">
        <v>2603</v>
      </c>
      <c r="C1453" s="11" t="s">
        <v>2604</v>
      </c>
    </row>
    <row r="1454" spans="1:4" ht="12.75" customHeight="1" x14ac:dyDescent="0.2">
      <c r="B1454" s="11" t="s">
        <v>2605</v>
      </c>
      <c r="C1454" s="11" t="s">
        <v>24</v>
      </c>
    </row>
    <row r="1455" spans="1:4" ht="25.5" customHeight="1" x14ac:dyDescent="0.2">
      <c r="B1455" s="11" t="s">
        <v>2606</v>
      </c>
      <c r="C1455" s="16" t="s">
        <v>56</v>
      </c>
      <c r="D1455" s="6" t="str">
        <f>HYPERLINK("javascript:void(0)","bölényszakáll")</f>
        <v>bölényszakáll</v>
      </c>
    </row>
    <row r="1456" spans="1:4" ht="12.75" customHeight="1" x14ac:dyDescent="0.2">
      <c r="C1456" s="16" t="s">
        <v>44</v>
      </c>
      <c r="D1456" s="6" t="str">
        <f>HYPERLINK("javascript:void(0)","medvepúp")</f>
        <v>medvepúp</v>
      </c>
    </row>
    <row r="1457" spans="1:4" ht="25.5" customHeight="1" x14ac:dyDescent="0.2">
      <c r="C1457" s="16" t="s">
        <v>232</v>
      </c>
      <c r="D1457" s="6" t="str">
        <f>HYPERLINK("javascript:void(0)","szúnyogszárny")</f>
        <v>szúnyogszárny</v>
      </c>
    </row>
    <row r="1458" spans="1:4" ht="12.75" customHeight="1" x14ac:dyDescent="0.2">
      <c r="B1458" s="2"/>
      <c r="C1458" s="15"/>
      <c r="D1458" s="2"/>
    </row>
    <row r="1459" spans="1:4" ht="12.75" customHeight="1" x14ac:dyDescent="0.2">
      <c r="B1459" s="2"/>
      <c r="C1459" s="15"/>
      <c r="D1459" s="2"/>
    </row>
    <row r="1460" spans="1:4" ht="12.75" customHeight="1" x14ac:dyDescent="0.2">
      <c r="A1460" s="13" t="s">
        <v>2780</v>
      </c>
      <c r="C1460" s="12"/>
    </row>
    <row r="1461" spans="1:4" ht="12.75" customHeight="1" x14ac:dyDescent="0.2">
      <c r="A1461" s="11"/>
      <c r="B1461" s="2"/>
      <c r="C1461" s="15"/>
      <c r="D1461" s="2"/>
    </row>
    <row r="1462" spans="1:4" ht="12.75" customHeight="1" x14ac:dyDescent="0.2">
      <c r="B1462" s="11" t="s">
        <v>0</v>
      </c>
      <c r="C1462" s="11" t="s">
        <v>32</v>
      </c>
    </row>
    <row r="1463" spans="1:4" ht="12.75" customHeight="1" x14ac:dyDescent="0.2">
      <c r="B1463" s="11" t="s">
        <v>2599</v>
      </c>
      <c r="C1463" s="11" t="s">
        <v>2409</v>
      </c>
    </row>
    <row r="1464" spans="1:4" ht="25.5" customHeight="1" x14ac:dyDescent="0.2">
      <c r="B1464" s="11" t="s">
        <v>2600</v>
      </c>
      <c r="C1464" s="11" t="s">
        <v>2781</v>
      </c>
    </row>
    <row r="1465" spans="1:4" ht="25.5" customHeight="1" x14ac:dyDescent="0.2">
      <c r="B1465" s="11" t="s">
        <v>2601</v>
      </c>
      <c r="C1465" s="11"/>
    </row>
    <row r="1466" spans="1:4" ht="12.75" customHeight="1" x14ac:dyDescent="0.2">
      <c r="B1466" s="11" t="s">
        <v>16</v>
      </c>
      <c r="C1466" s="11"/>
    </row>
    <row r="1467" spans="1:4" ht="12.75" customHeight="1" x14ac:dyDescent="0.2">
      <c r="B1467" s="11" t="s">
        <v>13</v>
      </c>
      <c r="C1467" s="11" t="s">
        <v>2644</v>
      </c>
    </row>
    <row r="1468" spans="1:4" ht="12.75" customHeight="1" x14ac:dyDescent="0.2">
      <c r="B1468" s="11" t="s">
        <v>2603</v>
      </c>
      <c r="C1468" s="11" t="s">
        <v>2640</v>
      </c>
    </row>
    <row r="1469" spans="1:4" ht="12.75" customHeight="1" x14ac:dyDescent="0.2">
      <c r="B1469" s="11" t="s">
        <v>2605</v>
      </c>
      <c r="C1469" s="11" t="s">
        <v>24</v>
      </c>
    </row>
    <row r="1470" spans="1:4" ht="25.5" customHeight="1" x14ac:dyDescent="0.2">
      <c r="B1470" s="11" t="s">
        <v>2606</v>
      </c>
      <c r="C1470" s="16" t="s">
        <v>232</v>
      </c>
      <c r="D1470" s="6" t="str">
        <f>HYPERLINK("javascript:void(0)","mézbalzsam")</f>
        <v>mézbalzsam</v>
      </c>
    </row>
    <row r="1471" spans="1:4" ht="12.75" customHeight="1" x14ac:dyDescent="0.2">
      <c r="B1471" s="2"/>
      <c r="C1471" s="15"/>
      <c r="D1471" s="2"/>
    </row>
    <row r="1472" spans="1:4" ht="12.75" customHeight="1" x14ac:dyDescent="0.2">
      <c r="B1472" s="2"/>
      <c r="C1472" s="15"/>
      <c r="D1472" s="2"/>
    </row>
    <row r="1473" spans="1:4" ht="12.75" customHeight="1" x14ac:dyDescent="0.2">
      <c r="A1473" s="13" t="s">
        <v>2782</v>
      </c>
      <c r="C1473" s="12"/>
    </row>
    <row r="1474" spans="1:4" ht="12.75" customHeight="1" x14ac:dyDescent="0.2">
      <c r="A1474" s="11"/>
      <c r="B1474" s="2"/>
      <c r="C1474" s="15"/>
      <c r="D1474" s="2"/>
    </row>
    <row r="1475" spans="1:4" ht="12.75" customHeight="1" x14ac:dyDescent="0.2">
      <c r="B1475" s="11" t="s">
        <v>0</v>
      </c>
      <c r="C1475" s="11" t="s">
        <v>88</v>
      </c>
    </row>
    <row r="1476" spans="1:4" ht="12.75" customHeight="1" x14ac:dyDescent="0.2">
      <c r="B1476" s="11" t="s">
        <v>2599</v>
      </c>
      <c r="C1476" s="11" t="s">
        <v>2783</v>
      </c>
    </row>
    <row r="1477" spans="1:4" ht="25.5" customHeight="1" x14ac:dyDescent="0.2">
      <c r="B1477" s="11" t="s">
        <v>2600</v>
      </c>
      <c r="C1477" s="11" t="s">
        <v>2784</v>
      </c>
    </row>
    <row r="1478" spans="1:4" ht="25.5" customHeight="1" x14ac:dyDescent="0.2">
      <c r="B1478" s="11" t="s">
        <v>2601</v>
      </c>
      <c r="C1478" s="11"/>
    </row>
    <row r="1479" spans="1:4" ht="12.75" customHeight="1" x14ac:dyDescent="0.2">
      <c r="B1479" s="11" t="s">
        <v>16</v>
      </c>
      <c r="C1479" s="11"/>
    </row>
    <row r="1480" spans="1:4" ht="12.75" customHeight="1" x14ac:dyDescent="0.2">
      <c r="B1480" s="11" t="s">
        <v>13</v>
      </c>
      <c r="C1480" s="11" t="s">
        <v>2644</v>
      </c>
    </row>
    <row r="1481" spans="1:4" ht="12.75" customHeight="1" x14ac:dyDescent="0.2">
      <c r="B1481" s="11" t="s">
        <v>2603</v>
      </c>
      <c r="C1481" s="11" t="s">
        <v>2604</v>
      </c>
    </row>
    <row r="1482" spans="1:4" ht="12.75" customHeight="1" x14ac:dyDescent="0.2">
      <c r="B1482" s="11" t="s">
        <v>2605</v>
      </c>
      <c r="C1482" s="11" t="s">
        <v>14</v>
      </c>
    </row>
    <row r="1483" spans="1:4" ht="12.75" customHeight="1" x14ac:dyDescent="0.2">
      <c r="B1483" s="11" t="s">
        <v>2606</v>
      </c>
      <c r="C1483" s="16" t="s">
        <v>44</v>
      </c>
      <c r="D1483" s="6" t="str">
        <f>HYPERLINK("javascript:void(0)","alakváltókő")</f>
        <v>alakváltókő</v>
      </c>
    </row>
    <row r="1484" spans="1:4" ht="12.75" customHeight="1" x14ac:dyDescent="0.2">
      <c r="B1484" s="2"/>
      <c r="C1484" s="15"/>
      <c r="D1484" s="2"/>
    </row>
    <row r="1485" spans="1:4" ht="12.75" customHeight="1" x14ac:dyDescent="0.2">
      <c r="B1485" s="2"/>
      <c r="C1485" s="15"/>
      <c r="D1485" s="2"/>
    </row>
    <row r="1486" spans="1:4" ht="12.75" customHeight="1" x14ac:dyDescent="0.2">
      <c r="A1486" s="13" t="s">
        <v>2785</v>
      </c>
      <c r="C1486" s="12"/>
    </row>
    <row r="1487" spans="1:4" ht="12.75" customHeight="1" x14ac:dyDescent="0.2">
      <c r="A1487" s="11"/>
      <c r="B1487" s="2"/>
      <c r="C1487" s="15"/>
      <c r="D1487" s="2"/>
    </row>
    <row r="1488" spans="1:4" ht="12.75" customHeight="1" x14ac:dyDescent="0.2">
      <c r="B1488" s="11" t="s">
        <v>0</v>
      </c>
      <c r="C1488" s="11" t="s">
        <v>88</v>
      </c>
    </row>
    <row r="1489" spans="1:4" ht="12.75" customHeight="1" x14ac:dyDescent="0.2">
      <c r="B1489" s="11" t="s">
        <v>2599</v>
      </c>
      <c r="C1489" s="11" t="s">
        <v>261</v>
      </c>
    </row>
    <row r="1490" spans="1:4" ht="25.5" customHeight="1" x14ac:dyDescent="0.2">
      <c r="B1490" s="11" t="s">
        <v>2600</v>
      </c>
      <c r="C1490" s="11" t="s">
        <v>2786</v>
      </c>
    </row>
    <row r="1491" spans="1:4" ht="25.5" customHeight="1" x14ac:dyDescent="0.2">
      <c r="B1491" s="11" t="s">
        <v>2601</v>
      </c>
      <c r="C1491" s="11"/>
    </row>
    <row r="1492" spans="1:4" ht="12.75" customHeight="1" x14ac:dyDescent="0.2">
      <c r="B1492" s="11" t="s">
        <v>16</v>
      </c>
      <c r="C1492" s="11"/>
    </row>
    <row r="1493" spans="1:4" ht="12.75" customHeight="1" x14ac:dyDescent="0.2">
      <c r="B1493" s="11" t="s">
        <v>13</v>
      </c>
      <c r="C1493" s="11" t="s">
        <v>2602</v>
      </c>
    </row>
    <row r="1494" spans="1:4" ht="12.75" customHeight="1" x14ac:dyDescent="0.2">
      <c r="B1494" s="11" t="s">
        <v>2603</v>
      </c>
      <c r="C1494" s="11" t="s">
        <v>2640</v>
      </c>
    </row>
    <row r="1495" spans="1:4" ht="12.75" customHeight="1" x14ac:dyDescent="0.2">
      <c r="B1495" s="11" t="s">
        <v>2605</v>
      </c>
      <c r="C1495" s="11" t="s">
        <v>24</v>
      </c>
    </row>
    <row r="1496" spans="1:4" ht="25.5" customHeight="1" x14ac:dyDescent="0.2">
      <c r="B1496" s="11" t="s">
        <v>2606</v>
      </c>
      <c r="C1496" s="16" t="s">
        <v>44</v>
      </c>
      <c r="D1496" s="6" t="str">
        <f>HYPERLINK("javascript:void(0)","obszidián tőr")</f>
        <v>obszidián tőr</v>
      </c>
    </row>
    <row r="1497" spans="1:4" ht="12.75" customHeight="1" x14ac:dyDescent="0.2">
      <c r="B1497" s="2"/>
      <c r="C1497" s="15"/>
      <c r="D1497" s="2"/>
    </row>
    <row r="1498" spans="1:4" ht="12.75" customHeight="1" x14ac:dyDescent="0.2">
      <c r="B1498" s="2"/>
      <c r="C1498" s="15"/>
      <c r="D1498" s="2"/>
    </row>
    <row r="1499" spans="1:4" ht="12.75" customHeight="1" x14ac:dyDescent="0.2">
      <c r="A1499" s="13" t="s">
        <v>2787</v>
      </c>
      <c r="C1499" s="12"/>
    </row>
    <row r="1500" spans="1:4" ht="12.75" customHeight="1" x14ac:dyDescent="0.2">
      <c r="A1500" s="11"/>
      <c r="B1500" s="2"/>
      <c r="C1500" s="15"/>
      <c r="D1500" s="2"/>
    </row>
    <row r="1501" spans="1:4" ht="12.75" customHeight="1" x14ac:dyDescent="0.2">
      <c r="B1501" s="11" t="s">
        <v>0</v>
      </c>
      <c r="C1501" s="11" t="s">
        <v>88</v>
      </c>
    </row>
    <row r="1502" spans="1:4" ht="12.75" customHeight="1" x14ac:dyDescent="0.2">
      <c r="B1502" s="11" t="s">
        <v>2599</v>
      </c>
      <c r="C1502" s="11" t="s">
        <v>2783</v>
      </c>
    </row>
    <row r="1503" spans="1:4" ht="25.5" customHeight="1" x14ac:dyDescent="0.2">
      <c r="B1503" s="11" t="s">
        <v>2600</v>
      </c>
      <c r="C1503" s="11" t="s">
        <v>2788</v>
      </c>
    </row>
    <row r="1504" spans="1:4" ht="25.5" customHeight="1" x14ac:dyDescent="0.2">
      <c r="B1504" s="11" t="s">
        <v>2601</v>
      </c>
      <c r="C1504" s="11"/>
    </row>
    <row r="1505" spans="1:4" ht="12.75" customHeight="1" x14ac:dyDescent="0.2">
      <c r="B1505" s="11" t="s">
        <v>16</v>
      </c>
      <c r="C1505" s="11"/>
    </row>
    <row r="1506" spans="1:4" ht="12.75" customHeight="1" x14ac:dyDescent="0.2">
      <c r="B1506" s="11" t="s">
        <v>13</v>
      </c>
      <c r="C1506" s="11" t="s">
        <v>2644</v>
      </c>
    </row>
    <row r="1507" spans="1:4" ht="12.75" customHeight="1" x14ac:dyDescent="0.2">
      <c r="B1507" s="11" t="s">
        <v>2603</v>
      </c>
      <c r="C1507" s="11" t="s">
        <v>2604</v>
      </c>
    </row>
    <row r="1508" spans="1:4" ht="12.75" customHeight="1" x14ac:dyDescent="0.2">
      <c r="B1508" s="11" t="s">
        <v>2605</v>
      </c>
      <c r="C1508" s="11" t="s">
        <v>24</v>
      </c>
    </row>
    <row r="1509" spans="1:4" ht="25.5" customHeight="1" x14ac:dyDescent="0.2">
      <c r="B1509" s="11" t="s">
        <v>2606</v>
      </c>
      <c r="C1509" s="16" t="s">
        <v>44</v>
      </c>
      <c r="D1509" s="6" t="str">
        <f>HYPERLINK("javascript:void(0)","vámpírherbium")</f>
        <v>vámpírherbium</v>
      </c>
    </row>
    <row r="1510" spans="1:4" ht="12.75" customHeight="1" x14ac:dyDescent="0.2">
      <c r="B1510" s="2"/>
      <c r="C1510" s="15"/>
      <c r="D1510" s="2"/>
    </row>
    <row r="1511" spans="1:4" ht="12.75" customHeight="1" x14ac:dyDescent="0.2">
      <c r="B1511" s="2"/>
      <c r="C1511" s="15"/>
      <c r="D1511" s="2"/>
    </row>
    <row r="1512" spans="1:4" ht="12.75" customHeight="1" x14ac:dyDescent="0.2">
      <c r="A1512" s="13" t="s">
        <v>2789</v>
      </c>
      <c r="C1512" s="12"/>
    </row>
    <row r="1513" spans="1:4" ht="12.75" customHeight="1" x14ac:dyDescent="0.2">
      <c r="A1513" s="11"/>
      <c r="B1513" s="2"/>
      <c r="C1513" s="15"/>
      <c r="D1513" s="2"/>
    </row>
    <row r="1514" spans="1:4" ht="12.75" customHeight="1" x14ac:dyDescent="0.2">
      <c r="B1514" s="11" t="s">
        <v>0</v>
      </c>
      <c r="C1514" s="11" t="s">
        <v>88</v>
      </c>
    </row>
    <row r="1515" spans="1:4" ht="12.75" customHeight="1" x14ac:dyDescent="0.2">
      <c r="B1515" s="11" t="s">
        <v>2599</v>
      </c>
      <c r="C1515" s="11" t="s">
        <v>2427</v>
      </c>
    </row>
    <row r="1516" spans="1:4" ht="25.5" customHeight="1" x14ac:dyDescent="0.2">
      <c r="B1516" s="11" t="s">
        <v>2600</v>
      </c>
      <c r="C1516" s="11" t="s">
        <v>2790</v>
      </c>
    </row>
    <row r="1517" spans="1:4" ht="25.5" customHeight="1" x14ac:dyDescent="0.2">
      <c r="B1517" s="11" t="s">
        <v>2601</v>
      </c>
      <c r="C1517" s="11"/>
    </row>
    <row r="1518" spans="1:4" ht="12.75" customHeight="1" x14ac:dyDescent="0.2">
      <c r="B1518" s="11" t="s">
        <v>16</v>
      </c>
      <c r="C1518" s="11"/>
    </row>
    <row r="1519" spans="1:4" ht="12.75" customHeight="1" x14ac:dyDescent="0.2">
      <c r="B1519" s="11" t="s">
        <v>13</v>
      </c>
      <c r="C1519" s="11" t="s">
        <v>2602</v>
      </c>
    </row>
    <row r="1520" spans="1:4" ht="12.75" customHeight="1" x14ac:dyDescent="0.2">
      <c r="B1520" s="11" t="s">
        <v>2603</v>
      </c>
      <c r="C1520" s="11" t="s">
        <v>2604</v>
      </c>
    </row>
    <row r="1521" spans="1:4" ht="12.75" customHeight="1" x14ac:dyDescent="0.2">
      <c r="B1521" s="11" t="s">
        <v>2605</v>
      </c>
      <c r="C1521" s="11" t="s">
        <v>24</v>
      </c>
    </row>
    <row r="1522" spans="1:4" ht="12.75" customHeight="1" x14ac:dyDescent="0.2">
      <c r="B1522" s="11" t="s">
        <v>2606</v>
      </c>
      <c r="C1522" s="16" t="s">
        <v>44</v>
      </c>
      <c r="D1522" s="6" t="str">
        <f>HYPERLINK("javascript:void(0)","láncosgolyó")</f>
        <v>láncosgolyó</v>
      </c>
    </row>
    <row r="1523" spans="1:4" ht="12.75" customHeight="1" x14ac:dyDescent="0.2">
      <c r="B1523" s="2"/>
      <c r="C1523" s="15"/>
      <c r="D1523" s="2"/>
    </row>
    <row r="1524" spans="1:4" ht="12.75" customHeight="1" x14ac:dyDescent="0.2">
      <c r="B1524" s="2"/>
      <c r="C1524" s="15"/>
      <c r="D1524" s="2"/>
    </row>
    <row r="1525" spans="1:4" ht="12.75" customHeight="1" x14ac:dyDescent="0.2">
      <c r="A1525" s="13" t="s">
        <v>2791</v>
      </c>
      <c r="C1525" s="12"/>
    </row>
    <row r="1526" spans="1:4" ht="12.75" customHeight="1" x14ac:dyDescent="0.2">
      <c r="A1526" s="11"/>
      <c r="B1526" s="2"/>
      <c r="C1526" s="15"/>
      <c r="D1526" s="2"/>
    </row>
    <row r="1527" spans="1:4" ht="12.75" customHeight="1" x14ac:dyDescent="0.2">
      <c r="B1527" s="11" t="s">
        <v>0</v>
      </c>
      <c r="C1527" s="11" t="s">
        <v>88</v>
      </c>
    </row>
    <row r="1528" spans="1:4" ht="12.75" customHeight="1" x14ac:dyDescent="0.2">
      <c r="B1528" s="11" t="s">
        <v>2599</v>
      </c>
      <c r="C1528" s="11" t="s">
        <v>2168</v>
      </c>
    </row>
    <row r="1529" spans="1:4" ht="25.5" customHeight="1" x14ac:dyDescent="0.2">
      <c r="B1529" s="11" t="s">
        <v>2600</v>
      </c>
      <c r="C1529" s="11" t="s">
        <v>2792</v>
      </c>
    </row>
    <row r="1530" spans="1:4" ht="25.5" customHeight="1" x14ac:dyDescent="0.2">
      <c r="B1530" s="11" t="s">
        <v>2601</v>
      </c>
      <c r="C1530" s="11"/>
    </row>
    <row r="1531" spans="1:4" ht="12.75" customHeight="1" x14ac:dyDescent="0.2">
      <c r="B1531" s="11" t="s">
        <v>16</v>
      </c>
      <c r="C1531" s="11"/>
    </row>
    <row r="1532" spans="1:4" ht="12.75" customHeight="1" x14ac:dyDescent="0.2">
      <c r="B1532" s="11" t="s">
        <v>13</v>
      </c>
      <c r="C1532" s="11" t="s">
        <v>2602</v>
      </c>
    </row>
    <row r="1533" spans="1:4" ht="12.75" customHeight="1" x14ac:dyDescent="0.2">
      <c r="B1533" s="11" t="s">
        <v>2603</v>
      </c>
      <c r="C1533" s="11" t="s">
        <v>2604</v>
      </c>
    </row>
    <row r="1534" spans="1:4" ht="12.75" customHeight="1" x14ac:dyDescent="0.2">
      <c r="B1534" s="11" t="s">
        <v>2605</v>
      </c>
      <c r="C1534" s="11" t="s">
        <v>24</v>
      </c>
    </row>
    <row r="1535" spans="1:4" ht="12.75" customHeight="1" x14ac:dyDescent="0.2">
      <c r="B1535" s="11" t="s">
        <v>2606</v>
      </c>
      <c r="C1535" s="16" t="s">
        <v>56</v>
      </c>
      <c r="D1535" s="6" t="str">
        <f>HYPERLINK("javascript:void(0)","ezüstagyar")</f>
        <v>ezüstagyar</v>
      </c>
    </row>
    <row r="1536" spans="1:4" ht="12.75" customHeight="1" x14ac:dyDescent="0.2">
      <c r="B1536" s="2"/>
      <c r="C1536" s="15"/>
      <c r="D1536" s="2"/>
    </row>
    <row r="1537" spans="1:4" ht="12.75" customHeight="1" x14ac:dyDescent="0.2">
      <c r="B1537" s="2"/>
      <c r="C1537" s="15"/>
      <c r="D1537" s="2"/>
    </row>
    <row r="1538" spans="1:4" ht="12.75" customHeight="1" x14ac:dyDescent="0.2">
      <c r="A1538" s="13" t="s">
        <v>2793</v>
      </c>
      <c r="C1538" s="12"/>
    </row>
    <row r="1539" spans="1:4" ht="12.75" customHeight="1" x14ac:dyDescent="0.2">
      <c r="A1539" s="11"/>
      <c r="B1539" s="2"/>
      <c r="C1539" s="15"/>
      <c r="D1539" s="2"/>
    </row>
    <row r="1540" spans="1:4" ht="12.75" customHeight="1" x14ac:dyDescent="0.2">
      <c r="B1540" s="11" t="s">
        <v>0</v>
      </c>
      <c r="C1540" s="11" t="s">
        <v>155</v>
      </c>
    </row>
    <row r="1541" spans="1:4" ht="12.75" customHeight="1" x14ac:dyDescent="0.2">
      <c r="B1541" s="11" t="s">
        <v>2599</v>
      </c>
      <c r="C1541" s="11" t="s">
        <v>341</v>
      </c>
    </row>
    <row r="1542" spans="1:4" ht="25.5" customHeight="1" x14ac:dyDescent="0.2">
      <c r="B1542" s="11" t="s">
        <v>2600</v>
      </c>
      <c r="C1542" s="11" t="s">
        <v>2794</v>
      </c>
    </row>
    <row r="1543" spans="1:4" ht="25.5" customHeight="1" x14ac:dyDescent="0.2">
      <c r="B1543" s="11" t="s">
        <v>2601</v>
      </c>
      <c r="C1543" s="11"/>
    </row>
    <row r="1544" spans="1:4" ht="12.75" customHeight="1" x14ac:dyDescent="0.2">
      <c r="B1544" s="11" t="s">
        <v>16</v>
      </c>
      <c r="C1544" s="11"/>
    </row>
    <row r="1545" spans="1:4" ht="12.75" customHeight="1" x14ac:dyDescent="0.2">
      <c r="B1545" s="11" t="s">
        <v>13</v>
      </c>
      <c r="C1545" s="11" t="s">
        <v>2602</v>
      </c>
    </row>
    <row r="1546" spans="1:4" ht="12.75" customHeight="1" x14ac:dyDescent="0.2">
      <c r="B1546" s="11" t="s">
        <v>2603</v>
      </c>
      <c r="C1546" s="11" t="s">
        <v>2604</v>
      </c>
    </row>
    <row r="1547" spans="1:4" ht="12.75" customHeight="1" x14ac:dyDescent="0.2">
      <c r="B1547" s="11" t="s">
        <v>2605</v>
      </c>
      <c r="C1547" s="11" t="s">
        <v>24</v>
      </c>
    </row>
    <row r="1548" spans="1:4" ht="25.5" customHeight="1" x14ac:dyDescent="0.2">
      <c r="B1548" s="11" t="s">
        <v>2606</v>
      </c>
      <c r="C1548" s="16" t="s">
        <v>44</v>
      </c>
      <c r="D1548" s="6" t="str">
        <f>HYPERLINK("javascript:void(0)","aranycsizma")</f>
        <v>aranycsizma</v>
      </c>
    </row>
    <row r="1549" spans="1:4" ht="12.75" customHeight="1" x14ac:dyDescent="0.2">
      <c r="B1549" s="2"/>
      <c r="C1549" s="15"/>
      <c r="D1549" s="2"/>
    </row>
    <row r="1550" spans="1:4" ht="12.75" customHeight="1" x14ac:dyDescent="0.2">
      <c r="B1550" s="2"/>
      <c r="C1550" s="15"/>
      <c r="D1550" s="2"/>
    </row>
    <row r="1551" spans="1:4" ht="12.75" customHeight="1" x14ac:dyDescent="0.2">
      <c r="A1551" s="13" t="s">
        <v>2795</v>
      </c>
      <c r="C1551" s="12"/>
    </row>
    <row r="1552" spans="1:4" ht="12.75" customHeight="1" x14ac:dyDescent="0.2">
      <c r="A1552" s="11"/>
      <c r="B1552" s="2"/>
      <c r="C1552" s="15"/>
      <c r="D1552" s="2"/>
    </row>
    <row r="1553" spans="1:4" ht="12.75" customHeight="1" x14ac:dyDescent="0.2">
      <c r="B1553" s="11" t="s">
        <v>0</v>
      </c>
      <c r="C1553" s="11" t="s">
        <v>155</v>
      </c>
    </row>
    <row r="1554" spans="1:4" ht="12.75" customHeight="1" x14ac:dyDescent="0.2">
      <c r="B1554" s="11" t="s">
        <v>2599</v>
      </c>
      <c r="C1554" s="11" t="s">
        <v>543</v>
      </c>
    </row>
    <row r="1555" spans="1:4" ht="25.5" customHeight="1" x14ac:dyDescent="0.2">
      <c r="B1555" s="11" t="s">
        <v>2600</v>
      </c>
      <c r="C1555" s="11" t="s">
        <v>2796</v>
      </c>
    </row>
    <row r="1556" spans="1:4" ht="25.5" customHeight="1" x14ac:dyDescent="0.2">
      <c r="B1556" s="11" t="s">
        <v>2601</v>
      </c>
      <c r="C1556" s="11"/>
    </row>
    <row r="1557" spans="1:4" ht="12.75" customHeight="1" x14ac:dyDescent="0.2">
      <c r="B1557" s="11" t="s">
        <v>16</v>
      </c>
      <c r="C1557" s="11"/>
    </row>
    <row r="1558" spans="1:4" ht="12.75" customHeight="1" x14ac:dyDescent="0.2">
      <c r="B1558" s="11" t="s">
        <v>13</v>
      </c>
      <c r="C1558" s="11" t="s">
        <v>2644</v>
      </c>
    </row>
    <row r="1559" spans="1:4" ht="12.75" customHeight="1" x14ac:dyDescent="0.2">
      <c r="B1559" s="11" t="s">
        <v>2603</v>
      </c>
      <c r="C1559" s="11" t="s">
        <v>2648</v>
      </c>
    </row>
    <row r="1560" spans="1:4" ht="12.75" customHeight="1" x14ac:dyDescent="0.2">
      <c r="B1560" s="11" t="s">
        <v>2605</v>
      </c>
      <c r="C1560" s="11" t="s">
        <v>24</v>
      </c>
    </row>
    <row r="1561" spans="1:4" ht="12.75" customHeight="1" x14ac:dyDescent="0.2">
      <c r="B1561" s="11" t="s">
        <v>2606</v>
      </c>
      <c r="C1561" s="16" t="s">
        <v>2652</v>
      </c>
      <c r="D1561" s="6" t="str">
        <f>HYPERLINK("javascript:void(0)","ezüst")</f>
        <v>ezüst</v>
      </c>
    </row>
    <row r="1562" spans="1:4" ht="12.75" customHeight="1" x14ac:dyDescent="0.2">
      <c r="B1562" s="2"/>
      <c r="C1562" s="15"/>
      <c r="D1562" s="2"/>
    </row>
    <row r="1563" spans="1:4" ht="12.75" customHeight="1" x14ac:dyDescent="0.2">
      <c r="B1563" s="2"/>
      <c r="C1563" s="15"/>
      <c r="D1563" s="2"/>
    </row>
    <row r="1564" spans="1:4" ht="12.75" customHeight="1" x14ac:dyDescent="0.2">
      <c r="A1564" s="13" t="s">
        <v>2797</v>
      </c>
      <c r="C1564" s="12"/>
    </row>
    <row r="1565" spans="1:4" ht="12.75" customHeight="1" x14ac:dyDescent="0.2">
      <c r="A1565" s="11"/>
      <c r="B1565" s="2"/>
      <c r="C1565" s="15"/>
      <c r="D1565" s="2"/>
    </row>
    <row r="1566" spans="1:4" ht="12.75" customHeight="1" x14ac:dyDescent="0.2">
      <c r="B1566" s="11" t="s">
        <v>0</v>
      </c>
      <c r="C1566" s="11" t="s">
        <v>155</v>
      </c>
    </row>
    <row r="1567" spans="1:4" ht="12.75" customHeight="1" x14ac:dyDescent="0.2">
      <c r="B1567" s="11" t="s">
        <v>2599</v>
      </c>
      <c r="C1567" s="11" t="s">
        <v>2168</v>
      </c>
    </row>
    <row r="1568" spans="1:4" ht="25.5" customHeight="1" x14ac:dyDescent="0.2">
      <c r="B1568" s="11" t="s">
        <v>2600</v>
      </c>
      <c r="C1568" s="11" t="s">
        <v>2798</v>
      </c>
    </row>
    <row r="1569" spans="1:4" ht="25.5" customHeight="1" x14ac:dyDescent="0.2">
      <c r="B1569" s="11" t="s">
        <v>2601</v>
      </c>
      <c r="C1569" s="11"/>
    </row>
    <row r="1570" spans="1:4" ht="12.75" customHeight="1" x14ac:dyDescent="0.2">
      <c r="B1570" s="11" t="s">
        <v>16</v>
      </c>
      <c r="C1570" s="11"/>
    </row>
    <row r="1571" spans="1:4" ht="12.75" customHeight="1" x14ac:dyDescent="0.2">
      <c r="B1571" s="11" t="s">
        <v>13</v>
      </c>
      <c r="C1571" s="11" t="s">
        <v>2602</v>
      </c>
    </row>
    <row r="1572" spans="1:4" ht="12.75" customHeight="1" x14ac:dyDescent="0.2">
      <c r="B1572" s="11" t="s">
        <v>2603</v>
      </c>
      <c r="C1572" s="11" t="s">
        <v>2651</v>
      </c>
    </row>
    <row r="1573" spans="1:4" ht="12.75" customHeight="1" x14ac:dyDescent="0.2">
      <c r="B1573" s="11" t="s">
        <v>2605</v>
      </c>
      <c r="C1573" s="11" t="s">
        <v>24</v>
      </c>
    </row>
    <row r="1574" spans="1:4" ht="12.75" customHeight="1" x14ac:dyDescent="0.2">
      <c r="B1574" s="11" t="s">
        <v>2606</v>
      </c>
      <c r="C1574" s="16" t="s">
        <v>44</v>
      </c>
      <c r="D1574" s="6" t="str">
        <f>HYPERLINK("javascript:void(0)","golyóvető")</f>
        <v>golyóvető</v>
      </c>
    </row>
    <row r="1575" spans="1:4" ht="12.75" customHeight="1" x14ac:dyDescent="0.2">
      <c r="C1575" s="16" t="s">
        <v>322</v>
      </c>
      <c r="D1575" s="6" t="str">
        <f>HYPERLINK("javascript:void(0)","ezüst")</f>
        <v>ezüst</v>
      </c>
    </row>
    <row r="1576" spans="1:4" ht="12.75" customHeight="1" x14ac:dyDescent="0.2">
      <c r="C1576" s="16" t="s">
        <v>44</v>
      </c>
      <c r="D1576" s="6" t="str">
        <f>HYPERLINK("javascript:void(0)","kristálylap")</f>
        <v>kristálylap</v>
      </c>
    </row>
    <row r="1577" spans="1:4" ht="12.75" customHeight="1" x14ac:dyDescent="0.2">
      <c r="B1577" s="2"/>
      <c r="C1577" s="15"/>
      <c r="D1577" s="2"/>
    </row>
    <row r="1578" spans="1:4" ht="12.75" customHeight="1" x14ac:dyDescent="0.2">
      <c r="B1578" s="2"/>
      <c r="C1578" s="15"/>
      <c r="D1578" s="2"/>
    </row>
    <row r="1579" spans="1:4" ht="12.75" customHeight="1" x14ac:dyDescent="0.2">
      <c r="A1579" s="13" t="s">
        <v>2799</v>
      </c>
      <c r="C1579" s="12"/>
    </row>
    <row r="1580" spans="1:4" ht="12.75" customHeight="1" x14ac:dyDescent="0.2">
      <c r="A1580" s="11"/>
      <c r="B1580" s="2"/>
      <c r="C1580" s="15"/>
      <c r="D1580" s="2"/>
    </row>
    <row r="1581" spans="1:4" ht="12.75" customHeight="1" x14ac:dyDescent="0.2">
      <c r="B1581" s="11" t="s">
        <v>0</v>
      </c>
      <c r="C1581" s="11" t="s">
        <v>155</v>
      </c>
    </row>
    <row r="1582" spans="1:4" ht="12.75" customHeight="1" x14ac:dyDescent="0.2">
      <c r="B1582" s="11" t="s">
        <v>2599</v>
      </c>
      <c r="C1582" s="11" t="s">
        <v>543</v>
      </c>
    </row>
    <row r="1583" spans="1:4" ht="25.5" customHeight="1" x14ac:dyDescent="0.2">
      <c r="B1583" s="11" t="s">
        <v>2600</v>
      </c>
      <c r="C1583" s="11" t="s">
        <v>2800</v>
      </c>
    </row>
    <row r="1584" spans="1:4" ht="25.5" customHeight="1" x14ac:dyDescent="0.2">
      <c r="B1584" s="11" t="s">
        <v>2601</v>
      </c>
      <c r="C1584" s="11"/>
    </row>
    <row r="1585" spans="1:4" ht="12.75" customHeight="1" x14ac:dyDescent="0.2">
      <c r="B1585" s="11" t="s">
        <v>16</v>
      </c>
      <c r="C1585" s="11"/>
    </row>
    <row r="1586" spans="1:4" ht="12.75" customHeight="1" x14ac:dyDescent="0.2">
      <c r="B1586" s="11" t="s">
        <v>13</v>
      </c>
      <c r="C1586" s="11" t="s">
        <v>2644</v>
      </c>
    </row>
    <row r="1587" spans="1:4" ht="12.75" customHeight="1" x14ac:dyDescent="0.2">
      <c r="B1587" s="11" t="s">
        <v>2603</v>
      </c>
      <c r="C1587" s="11" t="s">
        <v>2642</v>
      </c>
    </row>
    <row r="1588" spans="1:4" ht="12.75" customHeight="1" x14ac:dyDescent="0.2">
      <c r="B1588" s="11" t="s">
        <v>2605</v>
      </c>
      <c r="C1588" s="11" t="s">
        <v>24</v>
      </c>
    </row>
    <row r="1589" spans="1:4" ht="25.5" customHeight="1" x14ac:dyDescent="0.2">
      <c r="B1589" s="11" t="s">
        <v>2606</v>
      </c>
      <c r="C1589" s="16" t="s">
        <v>44</v>
      </c>
      <c r="D1589" s="6" t="str">
        <f>HYPERLINK("javascript:void(0)","nyukug bajusz")</f>
        <v>nyukug bajusz</v>
      </c>
    </row>
    <row r="1590" spans="1:4" ht="12.75" customHeight="1" x14ac:dyDescent="0.2">
      <c r="C1590" s="16" t="s">
        <v>2801</v>
      </c>
      <c r="D1590" s="6" t="str">
        <f>HYPERLINK("javascript:void(0)","ezüst")</f>
        <v>ezüst</v>
      </c>
    </row>
    <row r="1591" spans="1:4" ht="12.75" customHeight="1" x14ac:dyDescent="0.2">
      <c r="B1591" s="2"/>
      <c r="C1591" s="15"/>
      <c r="D1591" s="2"/>
    </row>
    <row r="1592" spans="1:4" ht="12.75" customHeight="1" x14ac:dyDescent="0.2">
      <c r="B1592" s="2"/>
      <c r="C1592" s="15"/>
      <c r="D1592" s="2"/>
    </row>
    <row r="1593" spans="1:4" ht="12.75" customHeight="1" x14ac:dyDescent="0.2">
      <c r="A1593" s="13" t="s">
        <v>2802</v>
      </c>
      <c r="C1593" s="12"/>
    </row>
    <row r="1594" spans="1:4" ht="12.75" customHeight="1" x14ac:dyDescent="0.2">
      <c r="A1594" s="11"/>
      <c r="B1594" s="2"/>
      <c r="C1594" s="15"/>
      <c r="D1594" s="2"/>
    </row>
    <row r="1595" spans="1:4" ht="12.75" customHeight="1" x14ac:dyDescent="0.2">
      <c r="B1595" s="11" t="s">
        <v>0</v>
      </c>
      <c r="C1595" s="11" t="s">
        <v>155</v>
      </c>
    </row>
    <row r="1596" spans="1:4" ht="12.75" customHeight="1" x14ac:dyDescent="0.2">
      <c r="B1596" s="11" t="s">
        <v>2599</v>
      </c>
      <c r="C1596" s="11" t="s">
        <v>2409</v>
      </c>
    </row>
    <row r="1597" spans="1:4" ht="25.5" customHeight="1" x14ac:dyDescent="0.2">
      <c r="B1597" s="11" t="s">
        <v>2600</v>
      </c>
      <c r="C1597" s="11" t="s">
        <v>2803</v>
      </c>
    </row>
    <row r="1598" spans="1:4" ht="25.5" customHeight="1" x14ac:dyDescent="0.2">
      <c r="B1598" s="11" t="s">
        <v>2601</v>
      </c>
      <c r="C1598" s="11"/>
    </row>
    <row r="1599" spans="1:4" ht="12.75" customHeight="1" x14ac:dyDescent="0.2">
      <c r="B1599" s="11" t="s">
        <v>16</v>
      </c>
      <c r="C1599" s="11"/>
    </row>
    <row r="1600" spans="1:4" ht="12.75" customHeight="1" x14ac:dyDescent="0.2">
      <c r="B1600" s="11" t="s">
        <v>13</v>
      </c>
      <c r="C1600" s="11" t="s">
        <v>2602</v>
      </c>
    </row>
    <row r="1601" spans="1:4" ht="12.75" customHeight="1" x14ac:dyDescent="0.2">
      <c r="B1601" s="11" t="s">
        <v>2603</v>
      </c>
      <c r="C1601" s="11" t="s">
        <v>2651</v>
      </c>
    </row>
    <row r="1602" spans="1:4" ht="12.75" customHeight="1" x14ac:dyDescent="0.2">
      <c r="B1602" s="11" t="s">
        <v>2605</v>
      </c>
      <c r="C1602" s="11" t="s">
        <v>24</v>
      </c>
    </row>
    <row r="1603" spans="1:4" ht="12.75" customHeight="1" x14ac:dyDescent="0.2">
      <c r="B1603" s="11" t="s">
        <v>2606</v>
      </c>
      <c r="C1603" s="16" t="s">
        <v>44</v>
      </c>
      <c r="D1603" s="6" t="str">
        <f>HYPERLINK("javascript:void(0)","csillagvető")</f>
        <v>csillagvető</v>
      </c>
    </row>
    <row r="1604" spans="1:4" ht="12.75" customHeight="1" x14ac:dyDescent="0.2">
      <c r="C1604" s="16" t="s">
        <v>193</v>
      </c>
      <c r="D1604" s="6" t="str">
        <f>HYPERLINK("javascript:void(0)","ezüst")</f>
        <v>ezüst</v>
      </c>
    </row>
    <row r="1605" spans="1:4" ht="12.75" customHeight="1" x14ac:dyDescent="0.2">
      <c r="B1605" s="2"/>
      <c r="C1605" s="15"/>
      <c r="D1605" s="2"/>
    </row>
    <row r="1606" spans="1:4" ht="12.75" customHeight="1" x14ac:dyDescent="0.2">
      <c r="B1606" s="2"/>
      <c r="C1606" s="15"/>
      <c r="D1606" s="2"/>
    </row>
    <row r="1607" spans="1:4" ht="12.75" customHeight="1" x14ac:dyDescent="0.2">
      <c r="A1607" s="13" t="s">
        <v>2804</v>
      </c>
      <c r="C1607" s="12"/>
    </row>
    <row r="1608" spans="1:4" ht="12.75" customHeight="1" x14ac:dyDescent="0.2">
      <c r="A1608" s="11"/>
      <c r="B1608" s="2"/>
      <c r="C1608" s="15"/>
      <c r="D1608" s="2"/>
    </row>
    <row r="1609" spans="1:4" ht="12.75" customHeight="1" x14ac:dyDescent="0.2">
      <c r="B1609" s="11" t="s">
        <v>0</v>
      </c>
      <c r="C1609" s="11" t="s">
        <v>155</v>
      </c>
    </row>
    <row r="1610" spans="1:4" ht="12.75" customHeight="1" x14ac:dyDescent="0.2">
      <c r="B1610" s="11" t="s">
        <v>2599</v>
      </c>
      <c r="C1610" s="11" t="s">
        <v>2430</v>
      </c>
    </row>
    <row r="1611" spans="1:4" ht="25.5" customHeight="1" x14ac:dyDescent="0.2">
      <c r="B1611" s="11" t="s">
        <v>2600</v>
      </c>
      <c r="C1611" s="11" t="s">
        <v>2805</v>
      </c>
    </row>
    <row r="1612" spans="1:4" ht="25.5" customHeight="1" x14ac:dyDescent="0.2">
      <c r="B1612" s="11" t="s">
        <v>2601</v>
      </c>
      <c r="C1612" s="11"/>
    </row>
    <row r="1613" spans="1:4" ht="12.75" customHeight="1" x14ac:dyDescent="0.2">
      <c r="B1613" s="11" t="s">
        <v>16</v>
      </c>
      <c r="C1613" s="11"/>
    </row>
    <row r="1614" spans="1:4" ht="12.75" customHeight="1" x14ac:dyDescent="0.2">
      <c r="B1614" s="11" t="s">
        <v>13</v>
      </c>
      <c r="C1614" s="11" t="s">
        <v>2644</v>
      </c>
    </row>
    <row r="1615" spans="1:4" ht="12.75" customHeight="1" x14ac:dyDescent="0.2">
      <c r="B1615" s="11" t="s">
        <v>2603</v>
      </c>
      <c r="C1615" s="11" t="s">
        <v>2604</v>
      </c>
    </row>
    <row r="1616" spans="1:4" ht="12.75" customHeight="1" x14ac:dyDescent="0.2">
      <c r="B1616" s="11" t="s">
        <v>2605</v>
      </c>
      <c r="C1616" s="11" t="s">
        <v>24</v>
      </c>
    </row>
    <row r="1617" spans="1:4" ht="25.5" customHeight="1" x14ac:dyDescent="0.2">
      <c r="B1617" s="11" t="s">
        <v>2606</v>
      </c>
      <c r="C1617" s="16" t="s">
        <v>55</v>
      </c>
      <c r="D1617" s="6" t="str">
        <f>HYPERLINK("javascript:void(0)","elementál eszencia")</f>
        <v>elementál eszencia</v>
      </c>
    </row>
    <row r="1618" spans="1:4" ht="12.75" customHeight="1" x14ac:dyDescent="0.2">
      <c r="C1618" s="16" t="s">
        <v>44</v>
      </c>
      <c r="D1618" s="6" t="str">
        <f>HYPERLINK("javascript:void(0)","lávakard")</f>
        <v>lávakard</v>
      </c>
    </row>
    <row r="1619" spans="1:4" ht="12.75" customHeight="1" x14ac:dyDescent="0.2">
      <c r="B1619" s="2"/>
      <c r="C1619" s="15"/>
      <c r="D1619" s="2"/>
    </row>
    <row r="1620" spans="1:4" ht="12.75" customHeight="1" x14ac:dyDescent="0.2">
      <c r="B1620" s="2"/>
      <c r="C1620" s="15"/>
      <c r="D1620" s="2"/>
    </row>
    <row r="1621" spans="1:4" ht="12.75" customHeight="1" x14ac:dyDescent="0.2">
      <c r="A1621" s="13" t="s">
        <v>2806</v>
      </c>
      <c r="C1621" s="12"/>
      <c r="D1621" s="2"/>
    </row>
    <row r="1622" spans="1:4" ht="12.75" customHeight="1" x14ac:dyDescent="0.2">
      <c r="A1622" s="11"/>
      <c r="B1622" s="2"/>
      <c r="C1622" s="15"/>
      <c r="D1622" s="2"/>
    </row>
    <row r="1623" spans="1:4" ht="12.75" customHeight="1" x14ac:dyDescent="0.2">
      <c r="B1623" s="11" t="s">
        <v>0</v>
      </c>
      <c r="C1623" s="17" t="s">
        <v>155</v>
      </c>
      <c r="D1623" s="2"/>
    </row>
    <row r="1624" spans="1:4" ht="12.75" customHeight="1" x14ac:dyDescent="0.2">
      <c r="B1624" s="11" t="s">
        <v>2599</v>
      </c>
      <c r="C1624" s="17" t="s">
        <v>1786</v>
      </c>
      <c r="D1624" s="2"/>
    </row>
    <row r="1625" spans="1:4" ht="25.5" customHeight="1" x14ac:dyDescent="0.2">
      <c r="B1625" s="11" t="s">
        <v>2600</v>
      </c>
      <c r="C1625" s="17" t="s">
        <v>2807</v>
      </c>
      <c r="D1625" s="2"/>
    </row>
    <row r="1626" spans="1:4" ht="25.5" customHeight="1" x14ac:dyDescent="0.2">
      <c r="B1626" s="11" t="s">
        <v>2601</v>
      </c>
      <c r="C1626" s="17"/>
      <c r="D1626" s="2"/>
    </row>
    <row r="1627" spans="1:4" ht="12.75" customHeight="1" x14ac:dyDescent="0.2">
      <c r="B1627" s="11" t="s">
        <v>16</v>
      </c>
      <c r="C1627" s="17"/>
      <c r="D1627" s="2"/>
    </row>
    <row r="1628" spans="1:4" ht="12.75" customHeight="1" x14ac:dyDescent="0.2">
      <c r="B1628" s="11" t="s">
        <v>13</v>
      </c>
      <c r="C1628" s="17" t="s">
        <v>2644</v>
      </c>
      <c r="D1628" s="2"/>
    </row>
    <row r="1629" spans="1:4" ht="12.75" customHeight="1" x14ac:dyDescent="0.2">
      <c r="B1629" s="11" t="s">
        <v>2603</v>
      </c>
      <c r="C1629" s="17" t="s">
        <v>128</v>
      </c>
      <c r="D1629" s="2"/>
    </row>
    <row r="1630" spans="1:4" ht="12.75" customHeight="1" x14ac:dyDescent="0.2">
      <c r="B1630" s="11" t="s">
        <v>2605</v>
      </c>
      <c r="C1630" s="17" t="s">
        <v>14</v>
      </c>
      <c r="D1630" s="2"/>
    </row>
    <row r="1631" spans="1:4" ht="12.75" customHeight="1" x14ac:dyDescent="0.2">
      <c r="B1631" s="11" t="s">
        <v>2606</v>
      </c>
      <c r="C1631" s="16" t="s">
        <v>19</v>
      </c>
      <c r="D1631" s="2"/>
    </row>
    <row r="1632" spans="1:4" ht="12.75" customHeight="1" x14ac:dyDescent="0.2">
      <c r="B1632" s="2"/>
      <c r="C1632" s="15"/>
      <c r="D1632" s="2"/>
    </row>
    <row r="1633" spans="1:4" ht="12.75" customHeight="1" x14ac:dyDescent="0.2">
      <c r="B1633" s="2"/>
      <c r="C1633" s="15"/>
      <c r="D1633" s="2"/>
    </row>
    <row r="1634" spans="1:4" ht="12.75" customHeight="1" x14ac:dyDescent="0.2">
      <c r="A1634" s="13" t="s">
        <v>2808</v>
      </c>
      <c r="C1634" s="12"/>
      <c r="D1634" s="2"/>
    </row>
    <row r="1635" spans="1:4" ht="12.75" customHeight="1" x14ac:dyDescent="0.2">
      <c r="A1635" s="11"/>
      <c r="B1635" s="2"/>
      <c r="C1635" s="15"/>
      <c r="D1635" s="2"/>
    </row>
    <row r="1636" spans="1:4" ht="12.75" customHeight="1" x14ac:dyDescent="0.2">
      <c r="B1636" s="11" t="s">
        <v>0</v>
      </c>
      <c r="C1636" s="17" t="s">
        <v>155</v>
      </c>
      <c r="D1636" s="2"/>
    </row>
    <row r="1637" spans="1:4" ht="12.75" customHeight="1" x14ac:dyDescent="0.2">
      <c r="B1637" s="11" t="s">
        <v>2599</v>
      </c>
      <c r="C1637" s="17" t="s">
        <v>175</v>
      </c>
      <c r="D1637" s="2"/>
    </row>
    <row r="1638" spans="1:4" ht="25.5" customHeight="1" x14ac:dyDescent="0.2">
      <c r="B1638" s="11" t="s">
        <v>2600</v>
      </c>
      <c r="C1638" s="17" t="s">
        <v>2809</v>
      </c>
      <c r="D1638" s="2"/>
    </row>
    <row r="1639" spans="1:4" ht="25.5" customHeight="1" x14ac:dyDescent="0.2">
      <c r="B1639" s="11" t="s">
        <v>2601</v>
      </c>
      <c r="C1639" s="17"/>
      <c r="D1639" s="2"/>
    </row>
    <row r="1640" spans="1:4" ht="12.75" customHeight="1" x14ac:dyDescent="0.2">
      <c r="B1640" s="11" t="s">
        <v>16</v>
      </c>
      <c r="C1640" s="17"/>
      <c r="D1640" s="2"/>
    </row>
    <row r="1641" spans="1:4" ht="12.75" customHeight="1" x14ac:dyDescent="0.2">
      <c r="B1641" s="11" t="s">
        <v>13</v>
      </c>
      <c r="C1641" s="17" t="s">
        <v>2644</v>
      </c>
      <c r="D1641" s="2"/>
    </row>
    <row r="1642" spans="1:4" ht="12.75" customHeight="1" x14ac:dyDescent="0.2">
      <c r="B1642" s="11" t="s">
        <v>2603</v>
      </c>
      <c r="C1642" s="17" t="s">
        <v>128</v>
      </c>
      <c r="D1642" s="2"/>
    </row>
    <row r="1643" spans="1:4" ht="12.75" customHeight="1" x14ac:dyDescent="0.2">
      <c r="B1643" s="11" t="s">
        <v>2605</v>
      </c>
      <c r="C1643" s="17" t="s">
        <v>14</v>
      </c>
      <c r="D1643" s="2"/>
    </row>
    <row r="1644" spans="1:4" ht="12.75" customHeight="1" x14ac:dyDescent="0.2">
      <c r="B1644" s="11" t="s">
        <v>2606</v>
      </c>
      <c r="C1644" s="16" t="s">
        <v>19</v>
      </c>
      <c r="D1644" s="2"/>
    </row>
    <row r="1645" spans="1:4" ht="12.75" customHeight="1" x14ac:dyDescent="0.2">
      <c r="B1645" s="2"/>
      <c r="C1645" s="15"/>
      <c r="D1645" s="2"/>
    </row>
    <row r="1646" spans="1:4" ht="12.75" customHeight="1" x14ac:dyDescent="0.2">
      <c r="B1646" s="2"/>
      <c r="C1646" s="15"/>
      <c r="D1646" s="2"/>
    </row>
    <row r="1647" spans="1:4" ht="12.75" customHeight="1" x14ac:dyDescent="0.2">
      <c r="A1647" s="13" t="s">
        <v>2810</v>
      </c>
      <c r="C1647" s="12"/>
      <c r="D1647" s="2"/>
    </row>
    <row r="1648" spans="1:4" ht="12.75" customHeight="1" x14ac:dyDescent="0.2">
      <c r="A1648" s="11"/>
      <c r="B1648" s="2"/>
      <c r="C1648" s="15"/>
      <c r="D1648" s="2"/>
    </row>
    <row r="1649" spans="1:4" ht="12.75" customHeight="1" x14ac:dyDescent="0.2">
      <c r="B1649" s="11" t="s">
        <v>0</v>
      </c>
      <c r="C1649" s="17" t="s">
        <v>155</v>
      </c>
      <c r="D1649" s="2"/>
    </row>
    <row r="1650" spans="1:4" ht="12.75" customHeight="1" x14ac:dyDescent="0.2">
      <c r="B1650" s="11" t="s">
        <v>2599</v>
      </c>
      <c r="C1650" s="17" t="s">
        <v>407</v>
      </c>
      <c r="D1650" s="2"/>
    </row>
    <row r="1651" spans="1:4" ht="25.5" customHeight="1" x14ac:dyDescent="0.2">
      <c r="B1651" s="11" t="s">
        <v>2600</v>
      </c>
      <c r="C1651" s="17" t="s">
        <v>1995</v>
      </c>
      <c r="D1651" s="2"/>
    </row>
    <row r="1652" spans="1:4" ht="25.5" customHeight="1" x14ac:dyDescent="0.2">
      <c r="B1652" s="11" t="s">
        <v>2601</v>
      </c>
      <c r="C1652" s="17"/>
      <c r="D1652" s="2"/>
    </row>
    <row r="1653" spans="1:4" ht="12.75" customHeight="1" x14ac:dyDescent="0.2">
      <c r="B1653" s="11" t="s">
        <v>16</v>
      </c>
      <c r="C1653" s="17"/>
      <c r="D1653" s="2"/>
    </row>
    <row r="1654" spans="1:4" ht="12.75" customHeight="1" x14ac:dyDescent="0.2">
      <c r="B1654" s="11" t="s">
        <v>13</v>
      </c>
      <c r="C1654" s="17" t="s">
        <v>2644</v>
      </c>
      <c r="D1654" s="2"/>
    </row>
    <row r="1655" spans="1:4" ht="12.75" customHeight="1" x14ac:dyDescent="0.2">
      <c r="B1655" s="11" t="s">
        <v>2603</v>
      </c>
      <c r="C1655" s="17" t="s">
        <v>128</v>
      </c>
      <c r="D1655" s="2"/>
    </row>
    <row r="1656" spans="1:4" ht="12.75" customHeight="1" x14ac:dyDescent="0.2">
      <c r="B1656" s="11" t="s">
        <v>2605</v>
      </c>
      <c r="C1656" s="17" t="s">
        <v>14</v>
      </c>
      <c r="D1656" s="2"/>
    </row>
    <row r="1657" spans="1:4" ht="12.75" customHeight="1" x14ac:dyDescent="0.2">
      <c r="B1657" s="11" t="s">
        <v>2606</v>
      </c>
      <c r="C1657" s="16" t="s">
        <v>19</v>
      </c>
      <c r="D1657" s="2"/>
    </row>
    <row r="1658" spans="1:4" ht="12.75" customHeight="1" x14ac:dyDescent="0.2">
      <c r="B1658" s="2"/>
      <c r="C1658" s="15"/>
      <c r="D1658" s="2"/>
    </row>
    <row r="1659" spans="1:4" ht="12.75" customHeight="1" x14ac:dyDescent="0.2">
      <c r="B1659" s="2"/>
      <c r="C1659" s="15"/>
      <c r="D1659" s="2"/>
    </row>
    <row r="1660" spans="1:4" ht="12.75" customHeight="1" x14ac:dyDescent="0.2">
      <c r="A1660" s="13" t="s">
        <v>2811</v>
      </c>
      <c r="C1660" s="12"/>
      <c r="D1660" s="2"/>
    </row>
    <row r="1661" spans="1:4" ht="12.75" customHeight="1" x14ac:dyDescent="0.2">
      <c r="A1661" s="11"/>
      <c r="B1661" s="2"/>
      <c r="C1661" s="15"/>
      <c r="D1661" s="2"/>
    </row>
    <row r="1662" spans="1:4" ht="12.75" customHeight="1" x14ac:dyDescent="0.2">
      <c r="B1662" s="11" t="s">
        <v>0</v>
      </c>
      <c r="C1662" s="17" t="s">
        <v>155</v>
      </c>
      <c r="D1662" s="2"/>
    </row>
    <row r="1663" spans="1:4" ht="12.75" customHeight="1" x14ac:dyDescent="0.2">
      <c r="B1663" s="11" t="s">
        <v>2599</v>
      </c>
      <c r="C1663" s="17" t="s">
        <v>455</v>
      </c>
      <c r="D1663" s="2"/>
    </row>
    <row r="1664" spans="1:4" ht="25.5" customHeight="1" x14ac:dyDescent="0.2">
      <c r="B1664" s="11" t="s">
        <v>2600</v>
      </c>
      <c r="C1664" s="17" t="s">
        <v>2812</v>
      </c>
      <c r="D1664" s="2"/>
    </row>
    <row r="1665" spans="1:4" ht="25.5" customHeight="1" x14ac:dyDescent="0.2">
      <c r="B1665" s="11" t="s">
        <v>2601</v>
      </c>
      <c r="C1665" s="17"/>
      <c r="D1665" s="2"/>
    </row>
    <row r="1666" spans="1:4" ht="12.75" customHeight="1" x14ac:dyDescent="0.2">
      <c r="B1666" s="11" t="s">
        <v>16</v>
      </c>
      <c r="C1666" s="17"/>
      <c r="D1666" s="2"/>
    </row>
    <row r="1667" spans="1:4" ht="12.75" customHeight="1" x14ac:dyDescent="0.2">
      <c r="B1667" s="11" t="s">
        <v>13</v>
      </c>
      <c r="C1667" s="17" t="s">
        <v>2644</v>
      </c>
      <c r="D1667" s="2"/>
    </row>
    <row r="1668" spans="1:4" ht="12.75" customHeight="1" x14ac:dyDescent="0.2">
      <c r="B1668" s="11" t="s">
        <v>2603</v>
      </c>
      <c r="C1668" s="17" t="s">
        <v>128</v>
      </c>
      <c r="D1668" s="2"/>
    </row>
    <row r="1669" spans="1:4" ht="12.75" customHeight="1" x14ac:dyDescent="0.2">
      <c r="B1669" s="11" t="s">
        <v>2605</v>
      </c>
      <c r="C1669" s="17" t="s">
        <v>14</v>
      </c>
      <c r="D1669" s="2"/>
    </row>
    <row r="1670" spans="1:4" ht="12.75" customHeight="1" x14ac:dyDescent="0.2">
      <c r="B1670" s="11" t="s">
        <v>2606</v>
      </c>
      <c r="C1670" s="16" t="s">
        <v>19</v>
      </c>
      <c r="D1670" s="2"/>
    </row>
    <row r="1671" spans="1:4" ht="12.75" customHeight="1" x14ac:dyDescent="0.2">
      <c r="B1671" s="2"/>
      <c r="C1671" s="15"/>
      <c r="D1671" s="2"/>
    </row>
    <row r="1672" spans="1:4" ht="12.75" customHeight="1" x14ac:dyDescent="0.2">
      <c r="B1672" s="2"/>
      <c r="C1672" s="15"/>
      <c r="D1672" s="2"/>
    </row>
    <row r="1673" spans="1:4" ht="12.75" customHeight="1" x14ac:dyDescent="0.2">
      <c r="A1673" s="13" t="s">
        <v>2813</v>
      </c>
      <c r="C1673" s="12"/>
      <c r="D1673" s="2"/>
    </row>
    <row r="1674" spans="1:4" ht="12.75" customHeight="1" x14ac:dyDescent="0.2">
      <c r="A1674" s="11"/>
      <c r="B1674" s="2"/>
      <c r="C1674" s="15"/>
      <c r="D1674" s="2"/>
    </row>
    <row r="1675" spans="1:4" ht="12.75" customHeight="1" x14ac:dyDescent="0.2">
      <c r="B1675" s="11" t="s">
        <v>0</v>
      </c>
      <c r="C1675" s="17" t="s">
        <v>155</v>
      </c>
      <c r="D1675" s="2"/>
    </row>
    <row r="1676" spans="1:4" ht="12.75" customHeight="1" x14ac:dyDescent="0.2">
      <c r="B1676" s="11" t="s">
        <v>2599</v>
      </c>
      <c r="C1676" s="17" t="s">
        <v>1821</v>
      </c>
      <c r="D1676" s="2"/>
    </row>
    <row r="1677" spans="1:4" ht="25.5" customHeight="1" x14ac:dyDescent="0.2">
      <c r="B1677" s="11" t="s">
        <v>2600</v>
      </c>
      <c r="C1677" s="17" t="s">
        <v>2814</v>
      </c>
      <c r="D1677" s="2"/>
    </row>
    <row r="1678" spans="1:4" ht="25.5" customHeight="1" x14ac:dyDescent="0.2">
      <c r="B1678" s="11" t="s">
        <v>2601</v>
      </c>
      <c r="C1678" s="17"/>
      <c r="D1678" s="2"/>
    </row>
    <row r="1679" spans="1:4" ht="12.75" customHeight="1" x14ac:dyDescent="0.2">
      <c r="B1679" s="11" t="s">
        <v>16</v>
      </c>
      <c r="C1679" s="17"/>
      <c r="D1679" s="2"/>
    </row>
    <row r="1680" spans="1:4" ht="12.75" customHeight="1" x14ac:dyDescent="0.2">
      <c r="B1680" s="11" t="s">
        <v>13</v>
      </c>
      <c r="C1680" s="17" t="s">
        <v>2602</v>
      </c>
      <c r="D1680" s="2"/>
    </row>
    <row r="1681" spans="1:4" ht="12.75" customHeight="1" x14ac:dyDescent="0.2">
      <c r="B1681" s="11" t="s">
        <v>2603</v>
      </c>
      <c r="C1681" s="17" t="s">
        <v>128</v>
      </c>
      <c r="D1681" s="2"/>
    </row>
    <row r="1682" spans="1:4" ht="12.75" customHeight="1" x14ac:dyDescent="0.2">
      <c r="B1682" s="11" t="s">
        <v>2605</v>
      </c>
      <c r="C1682" s="17" t="s">
        <v>14</v>
      </c>
      <c r="D1682" s="2"/>
    </row>
    <row r="1683" spans="1:4" ht="12.75" customHeight="1" x14ac:dyDescent="0.2">
      <c r="B1683" s="11" t="s">
        <v>2606</v>
      </c>
      <c r="C1683" s="16" t="s">
        <v>19</v>
      </c>
      <c r="D1683" s="2"/>
    </row>
    <row r="1684" spans="1:4" ht="12.75" customHeight="1" x14ac:dyDescent="0.2">
      <c r="B1684" s="2"/>
      <c r="C1684" s="15"/>
      <c r="D1684" s="2"/>
    </row>
    <row r="1685" spans="1:4" ht="12.75" customHeight="1" x14ac:dyDescent="0.2">
      <c r="B1685" s="2"/>
      <c r="C1685" s="15"/>
      <c r="D1685" s="2"/>
    </row>
    <row r="1686" spans="1:4" ht="12.75" customHeight="1" x14ac:dyDescent="0.2">
      <c r="A1686" s="13" t="s">
        <v>2815</v>
      </c>
      <c r="C1686" s="12"/>
      <c r="D1686" s="2"/>
    </row>
    <row r="1687" spans="1:4" ht="12.75" customHeight="1" x14ac:dyDescent="0.2">
      <c r="A1687" s="11"/>
      <c r="B1687" s="2"/>
      <c r="C1687" s="15"/>
      <c r="D1687" s="2"/>
    </row>
    <row r="1688" spans="1:4" ht="12.75" customHeight="1" x14ac:dyDescent="0.2">
      <c r="B1688" s="11" t="s">
        <v>0</v>
      </c>
      <c r="C1688" s="17" t="s">
        <v>155</v>
      </c>
      <c r="D1688" s="2"/>
    </row>
    <row r="1689" spans="1:4" ht="12.75" customHeight="1" x14ac:dyDescent="0.2">
      <c r="B1689" s="11" t="s">
        <v>2599</v>
      </c>
      <c r="C1689" s="17" t="s">
        <v>1770</v>
      </c>
      <c r="D1689" s="2"/>
    </row>
    <row r="1690" spans="1:4" ht="25.5" customHeight="1" x14ac:dyDescent="0.2">
      <c r="B1690" s="11" t="s">
        <v>2600</v>
      </c>
      <c r="C1690" s="17" t="s">
        <v>2816</v>
      </c>
      <c r="D1690" s="2"/>
    </row>
    <row r="1691" spans="1:4" ht="25.5" customHeight="1" x14ac:dyDescent="0.2">
      <c r="B1691" s="11" t="s">
        <v>2601</v>
      </c>
      <c r="C1691" s="17"/>
      <c r="D1691" s="2"/>
    </row>
    <row r="1692" spans="1:4" ht="12.75" customHeight="1" x14ac:dyDescent="0.2">
      <c r="B1692" s="11" t="s">
        <v>16</v>
      </c>
      <c r="C1692" s="17"/>
      <c r="D1692" s="2"/>
    </row>
    <row r="1693" spans="1:4" ht="12.75" customHeight="1" x14ac:dyDescent="0.2">
      <c r="B1693" s="11" t="s">
        <v>13</v>
      </c>
      <c r="C1693" s="17" t="s">
        <v>2644</v>
      </c>
      <c r="D1693" s="2"/>
    </row>
    <row r="1694" spans="1:4" ht="12.75" customHeight="1" x14ac:dyDescent="0.2">
      <c r="B1694" s="11" t="s">
        <v>2603</v>
      </c>
      <c r="C1694" s="17" t="s">
        <v>128</v>
      </c>
      <c r="D1694" s="2"/>
    </row>
    <row r="1695" spans="1:4" ht="12.75" customHeight="1" x14ac:dyDescent="0.2">
      <c r="B1695" s="11" t="s">
        <v>2605</v>
      </c>
      <c r="C1695" s="17" t="s">
        <v>14</v>
      </c>
      <c r="D1695" s="2"/>
    </row>
    <row r="1696" spans="1:4" ht="12.75" customHeight="1" x14ac:dyDescent="0.2">
      <c r="B1696" s="11" t="s">
        <v>2606</v>
      </c>
      <c r="C1696" s="16" t="s">
        <v>19</v>
      </c>
      <c r="D1696" s="2"/>
    </row>
    <row r="1697" spans="1:4" ht="12.75" customHeight="1" x14ac:dyDescent="0.2">
      <c r="B1697" s="2"/>
      <c r="C1697" s="15"/>
      <c r="D1697" s="2"/>
    </row>
    <row r="1698" spans="1:4" ht="12.75" customHeight="1" x14ac:dyDescent="0.2">
      <c r="B1698" s="2"/>
      <c r="C1698" s="15"/>
      <c r="D1698" s="2"/>
    </row>
    <row r="1699" spans="1:4" ht="12.75" customHeight="1" x14ac:dyDescent="0.2">
      <c r="A1699" s="13" t="s">
        <v>2817</v>
      </c>
      <c r="C1699" s="12"/>
      <c r="D1699" s="2"/>
    </row>
    <row r="1700" spans="1:4" ht="12.75" customHeight="1" x14ac:dyDescent="0.2">
      <c r="A1700" s="11"/>
      <c r="B1700" s="2"/>
      <c r="C1700" s="15"/>
      <c r="D1700" s="2"/>
    </row>
    <row r="1701" spans="1:4" ht="12.75" customHeight="1" x14ac:dyDescent="0.2">
      <c r="B1701" s="11" t="s">
        <v>0</v>
      </c>
      <c r="C1701" s="17" t="s">
        <v>155</v>
      </c>
      <c r="D1701" s="2"/>
    </row>
    <row r="1702" spans="1:4" ht="12.75" customHeight="1" x14ac:dyDescent="0.2">
      <c r="B1702" s="11" t="s">
        <v>2599</v>
      </c>
      <c r="C1702" s="17" t="s">
        <v>371</v>
      </c>
      <c r="D1702" s="2"/>
    </row>
    <row r="1703" spans="1:4" ht="25.5" customHeight="1" x14ac:dyDescent="0.2">
      <c r="B1703" s="11" t="s">
        <v>2600</v>
      </c>
      <c r="C1703" s="17" t="s">
        <v>2739</v>
      </c>
      <c r="D1703" s="2"/>
    </row>
    <row r="1704" spans="1:4" ht="25.5" customHeight="1" x14ac:dyDescent="0.2">
      <c r="B1704" s="11" t="s">
        <v>2601</v>
      </c>
      <c r="C1704" s="17"/>
      <c r="D1704" s="2"/>
    </row>
    <row r="1705" spans="1:4" ht="12.75" customHeight="1" x14ac:dyDescent="0.2">
      <c r="B1705" s="11" t="s">
        <v>16</v>
      </c>
      <c r="C1705" s="17"/>
      <c r="D1705" s="2"/>
    </row>
    <row r="1706" spans="1:4" ht="12.75" customHeight="1" x14ac:dyDescent="0.2">
      <c r="B1706" s="11" t="s">
        <v>13</v>
      </c>
      <c r="C1706" s="17" t="s">
        <v>2644</v>
      </c>
      <c r="D1706" s="2"/>
    </row>
    <row r="1707" spans="1:4" ht="12.75" customHeight="1" x14ac:dyDescent="0.2">
      <c r="B1707" s="11" t="s">
        <v>2603</v>
      </c>
      <c r="C1707" s="17" t="s">
        <v>128</v>
      </c>
      <c r="D1707" s="2"/>
    </row>
    <row r="1708" spans="1:4" ht="12.75" customHeight="1" x14ac:dyDescent="0.2">
      <c r="B1708" s="11" t="s">
        <v>2605</v>
      </c>
      <c r="C1708" s="17" t="s">
        <v>14</v>
      </c>
      <c r="D1708" s="2"/>
    </row>
    <row r="1709" spans="1:4" ht="12.75" customHeight="1" x14ac:dyDescent="0.2">
      <c r="B1709" s="11" t="s">
        <v>2606</v>
      </c>
      <c r="C1709" s="16" t="s">
        <v>19</v>
      </c>
      <c r="D1709" s="2"/>
    </row>
    <row r="1710" spans="1:4" ht="12.75" customHeight="1" x14ac:dyDescent="0.2">
      <c r="B1710" s="2"/>
      <c r="C1710" s="15"/>
      <c r="D1710" s="2"/>
    </row>
    <row r="1711" spans="1:4" ht="12.75" customHeight="1" x14ac:dyDescent="0.2">
      <c r="B1711" s="2"/>
      <c r="C1711" s="15"/>
      <c r="D1711" s="2"/>
    </row>
    <row r="1712" spans="1:4" ht="12.75" customHeight="1" x14ac:dyDescent="0.2">
      <c r="A1712" s="13" t="s">
        <v>2818</v>
      </c>
      <c r="C1712" s="12"/>
      <c r="D1712" s="2"/>
    </row>
    <row r="1713" spans="1:4" ht="12.75" customHeight="1" x14ac:dyDescent="0.2">
      <c r="A1713" s="11"/>
      <c r="B1713" s="2"/>
      <c r="C1713" s="15"/>
      <c r="D1713" s="2"/>
    </row>
    <row r="1714" spans="1:4" ht="12.75" customHeight="1" x14ac:dyDescent="0.2">
      <c r="B1714" s="11" t="s">
        <v>0</v>
      </c>
      <c r="C1714" s="17" t="s">
        <v>155</v>
      </c>
      <c r="D1714" s="2"/>
    </row>
    <row r="1715" spans="1:4" ht="12.75" customHeight="1" x14ac:dyDescent="0.2">
      <c r="B1715" s="11" t="s">
        <v>2599</v>
      </c>
      <c r="C1715" s="17" t="s">
        <v>2819</v>
      </c>
      <c r="D1715" s="2"/>
    </row>
    <row r="1716" spans="1:4" ht="25.5" customHeight="1" x14ac:dyDescent="0.2">
      <c r="B1716" s="11" t="s">
        <v>2600</v>
      </c>
      <c r="C1716" s="17" t="s">
        <v>2820</v>
      </c>
      <c r="D1716" s="2"/>
    </row>
    <row r="1717" spans="1:4" ht="25.5" customHeight="1" x14ac:dyDescent="0.2">
      <c r="B1717" s="11" t="s">
        <v>2601</v>
      </c>
      <c r="C1717" s="17"/>
      <c r="D1717" s="2"/>
    </row>
    <row r="1718" spans="1:4" ht="12.75" customHeight="1" x14ac:dyDescent="0.2">
      <c r="B1718" s="11" t="s">
        <v>16</v>
      </c>
      <c r="C1718" s="17"/>
      <c r="D1718" s="2"/>
    </row>
    <row r="1719" spans="1:4" ht="12.75" customHeight="1" x14ac:dyDescent="0.2">
      <c r="B1719" s="11" t="s">
        <v>13</v>
      </c>
      <c r="C1719" s="17" t="s">
        <v>2602</v>
      </c>
      <c r="D1719" s="2"/>
    </row>
    <row r="1720" spans="1:4" ht="12.75" customHeight="1" x14ac:dyDescent="0.2">
      <c r="B1720" s="11" t="s">
        <v>2603</v>
      </c>
      <c r="C1720" s="17" t="s">
        <v>128</v>
      </c>
      <c r="D1720" s="2"/>
    </row>
    <row r="1721" spans="1:4" ht="12.75" customHeight="1" x14ac:dyDescent="0.2">
      <c r="B1721" s="11" t="s">
        <v>2605</v>
      </c>
      <c r="C1721" s="17" t="s">
        <v>14</v>
      </c>
      <c r="D1721" s="2"/>
    </row>
    <row r="1722" spans="1:4" ht="12.75" customHeight="1" x14ac:dyDescent="0.2">
      <c r="B1722" s="11" t="s">
        <v>2606</v>
      </c>
      <c r="C1722" s="16" t="s">
        <v>19</v>
      </c>
      <c r="D1722" s="2"/>
    </row>
    <row r="1723" spans="1:4" ht="12.75" customHeight="1" x14ac:dyDescent="0.2">
      <c r="B1723" s="2"/>
      <c r="C1723" s="15"/>
      <c r="D1723" s="2"/>
    </row>
    <row r="1724" spans="1:4" ht="12.75" customHeight="1" x14ac:dyDescent="0.2">
      <c r="B1724" s="2"/>
      <c r="C1724" s="15"/>
      <c r="D1724" s="2"/>
    </row>
    <row r="1725" spans="1:4" ht="12.75" customHeight="1" x14ac:dyDescent="0.2">
      <c r="A1725" s="13" t="s">
        <v>2821</v>
      </c>
      <c r="C1725" s="12"/>
      <c r="D1725" s="2"/>
    </row>
    <row r="1726" spans="1:4" ht="12.75" customHeight="1" x14ac:dyDescent="0.2">
      <c r="A1726" s="11"/>
      <c r="B1726" s="2"/>
      <c r="C1726" s="15"/>
      <c r="D1726" s="2"/>
    </row>
    <row r="1727" spans="1:4" ht="12.75" customHeight="1" x14ac:dyDescent="0.2">
      <c r="B1727" s="11" t="s">
        <v>0</v>
      </c>
      <c r="C1727" s="17" t="s">
        <v>155</v>
      </c>
      <c r="D1727" s="2"/>
    </row>
    <row r="1728" spans="1:4" ht="12.75" customHeight="1" x14ac:dyDescent="0.2">
      <c r="B1728" s="11" t="s">
        <v>2599</v>
      </c>
      <c r="C1728" s="17" t="s">
        <v>371</v>
      </c>
      <c r="D1728" s="2"/>
    </row>
    <row r="1729" spans="1:4" ht="25.5" customHeight="1" x14ac:dyDescent="0.2">
      <c r="B1729" s="11" t="s">
        <v>2600</v>
      </c>
      <c r="C1729" s="17" t="s">
        <v>2822</v>
      </c>
      <c r="D1729" s="2"/>
    </row>
    <row r="1730" spans="1:4" ht="25.5" customHeight="1" x14ac:dyDescent="0.2">
      <c r="B1730" s="11" t="s">
        <v>2601</v>
      </c>
      <c r="C1730" s="17"/>
      <c r="D1730" s="2"/>
    </row>
    <row r="1731" spans="1:4" ht="12.75" customHeight="1" x14ac:dyDescent="0.2">
      <c r="B1731" s="11" t="s">
        <v>16</v>
      </c>
      <c r="C1731" s="17"/>
      <c r="D1731" s="2"/>
    </row>
    <row r="1732" spans="1:4" ht="12.75" customHeight="1" x14ac:dyDescent="0.2">
      <c r="B1732" s="11" t="s">
        <v>13</v>
      </c>
      <c r="C1732" s="17" t="s">
        <v>2644</v>
      </c>
      <c r="D1732" s="2"/>
    </row>
    <row r="1733" spans="1:4" ht="12.75" customHeight="1" x14ac:dyDescent="0.2">
      <c r="B1733" s="11" t="s">
        <v>2603</v>
      </c>
      <c r="C1733" s="17" t="s">
        <v>128</v>
      </c>
      <c r="D1733" s="2"/>
    </row>
    <row r="1734" spans="1:4" ht="12.75" customHeight="1" x14ac:dyDescent="0.2">
      <c r="B1734" s="11" t="s">
        <v>2605</v>
      </c>
      <c r="C1734" s="17" t="s">
        <v>14</v>
      </c>
      <c r="D1734" s="2"/>
    </row>
    <row r="1735" spans="1:4" ht="12.75" customHeight="1" x14ac:dyDescent="0.2">
      <c r="B1735" s="11" t="s">
        <v>2606</v>
      </c>
      <c r="C1735" s="16" t="s">
        <v>19</v>
      </c>
      <c r="D1735" s="2"/>
    </row>
    <row r="1736" spans="1:4" ht="12.75" customHeight="1" x14ac:dyDescent="0.2">
      <c r="B1736" s="2"/>
      <c r="C1736" s="15"/>
      <c r="D1736" s="2"/>
    </row>
    <row r="1737" spans="1:4" ht="12.75" customHeight="1" x14ac:dyDescent="0.2">
      <c r="B1737" s="2"/>
      <c r="C1737" s="15"/>
      <c r="D1737" s="2"/>
    </row>
    <row r="1738" spans="1:4" ht="12.75" customHeight="1" x14ac:dyDescent="0.2">
      <c r="A1738" s="13" t="s">
        <v>2823</v>
      </c>
      <c r="C1738" s="12"/>
      <c r="D1738" s="2"/>
    </row>
    <row r="1739" spans="1:4" ht="12.75" customHeight="1" x14ac:dyDescent="0.2">
      <c r="A1739" s="11"/>
      <c r="B1739" s="2"/>
      <c r="C1739" s="15"/>
      <c r="D1739" s="2"/>
    </row>
    <row r="1740" spans="1:4" ht="12.75" customHeight="1" x14ac:dyDescent="0.2">
      <c r="B1740" s="11" t="s">
        <v>0</v>
      </c>
      <c r="C1740" s="17" t="s">
        <v>155</v>
      </c>
      <c r="D1740" s="2"/>
    </row>
    <row r="1741" spans="1:4" ht="12.75" customHeight="1" x14ac:dyDescent="0.2">
      <c r="B1741" s="11" t="s">
        <v>2599</v>
      </c>
      <c r="C1741" s="17" t="s">
        <v>256</v>
      </c>
      <c r="D1741" s="2"/>
    </row>
    <row r="1742" spans="1:4" ht="25.5" customHeight="1" x14ac:dyDescent="0.2">
      <c r="B1742" s="11" t="s">
        <v>2600</v>
      </c>
      <c r="C1742" s="17" t="s">
        <v>2824</v>
      </c>
      <c r="D1742" s="2"/>
    </row>
    <row r="1743" spans="1:4" ht="25.5" customHeight="1" x14ac:dyDescent="0.2">
      <c r="B1743" s="11" t="s">
        <v>2601</v>
      </c>
      <c r="C1743" s="17"/>
      <c r="D1743" s="2"/>
    </row>
    <row r="1744" spans="1:4" ht="12.75" customHeight="1" x14ac:dyDescent="0.2">
      <c r="B1744" s="11" t="s">
        <v>16</v>
      </c>
      <c r="C1744" s="17"/>
      <c r="D1744" s="2"/>
    </row>
    <row r="1745" spans="1:4" ht="12.75" customHeight="1" x14ac:dyDescent="0.2">
      <c r="B1745" s="11" t="s">
        <v>13</v>
      </c>
      <c r="C1745" s="17" t="s">
        <v>2602</v>
      </c>
      <c r="D1745" s="2"/>
    </row>
    <row r="1746" spans="1:4" ht="12.75" customHeight="1" x14ac:dyDescent="0.2">
      <c r="B1746" s="11" t="s">
        <v>2603</v>
      </c>
      <c r="C1746" s="17" t="s">
        <v>128</v>
      </c>
      <c r="D1746" s="2"/>
    </row>
    <row r="1747" spans="1:4" ht="12.75" customHeight="1" x14ac:dyDescent="0.2">
      <c r="B1747" s="11" t="s">
        <v>2605</v>
      </c>
      <c r="C1747" s="17" t="s">
        <v>14</v>
      </c>
      <c r="D1747" s="2"/>
    </row>
    <row r="1748" spans="1:4" ht="12.75" customHeight="1" x14ac:dyDescent="0.2">
      <c r="B1748" s="11" t="s">
        <v>2606</v>
      </c>
      <c r="C1748" s="16" t="s">
        <v>19</v>
      </c>
      <c r="D1748" s="2"/>
    </row>
    <row r="1749" spans="1:4" ht="12.75" customHeight="1" x14ac:dyDescent="0.2">
      <c r="B1749" s="2"/>
      <c r="C1749" s="15"/>
      <c r="D1749" s="2"/>
    </row>
    <row r="1750" spans="1:4" ht="12.75" customHeight="1" x14ac:dyDescent="0.2">
      <c r="B1750" s="2"/>
      <c r="C1750" s="15"/>
      <c r="D1750" s="2"/>
    </row>
    <row r="1751" spans="1:4" ht="12.75" customHeight="1" x14ac:dyDescent="0.2">
      <c r="A1751" s="13" t="s">
        <v>2825</v>
      </c>
      <c r="C1751" s="12"/>
      <c r="D1751" s="2"/>
    </row>
    <row r="1752" spans="1:4" ht="12.75" customHeight="1" x14ac:dyDescent="0.2">
      <c r="A1752" s="11"/>
      <c r="B1752" s="2"/>
      <c r="C1752" s="15"/>
      <c r="D1752" s="2"/>
    </row>
    <row r="1753" spans="1:4" ht="12.75" customHeight="1" x14ac:dyDescent="0.2">
      <c r="B1753" s="11" t="s">
        <v>0</v>
      </c>
      <c r="C1753" s="17" t="s">
        <v>155</v>
      </c>
      <c r="D1753" s="2"/>
    </row>
    <row r="1754" spans="1:4" ht="12.75" customHeight="1" x14ac:dyDescent="0.2">
      <c r="B1754" s="11" t="s">
        <v>2599</v>
      </c>
      <c r="C1754" s="17" t="s">
        <v>1207</v>
      </c>
      <c r="D1754" s="2"/>
    </row>
    <row r="1755" spans="1:4" ht="25.5" customHeight="1" x14ac:dyDescent="0.2">
      <c r="B1755" s="11" t="s">
        <v>2600</v>
      </c>
      <c r="C1755" s="17" t="s">
        <v>2826</v>
      </c>
      <c r="D1755" s="2"/>
    </row>
    <row r="1756" spans="1:4" ht="25.5" customHeight="1" x14ac:dyDescent="0.2">
      <c r="B1756" s="11" t="s">
        <v>2601</v>
      </c>
      <c r="C1756" s="17"/>
      <c r="D1756" s="2"/>
    </row>
    <row r="1757" spans="1:4" ht="12.75" customHeight="1" x14ac:dyDescent="0.2">
      <c r="B1757" s="11" t="s">
        <v>16</v>
      </c>
      <c r="C1757" s="17"/>
      <c r="D1757" s="2"/>
    </row>
    <row r="1758" spans="1:4" ht="12.75" customHeight="1" x14ac:dyDescent="0.2">
      <c r="B1758" s="11" t="s">
        <v>13</v>
      </c>
      <c r="C1758" s="17" t="s">
        <v>2644</v>
      </c>
      <c r="D1758" s="2"/>
    </row>
    <row r="1759" spans="1:4" ht="12.75" customHeight="1" x14ac:dyDescent="0.2">
      <c r="B1759" s="11" t="s">
        <v>2603</v>
      </c>
      <c r="C1759" s="17" t="s">
        <v>128</v>
      </c>
      <c r="D1759" s="2"/>
    </row>
    <row r="1760" spans="1:4" ht="12.75" customHeight="1" x14ac:dyDescent="0.2">
      <c r="B1760" s="11" t="s">
        <v>2605</v>
      </c>
      <c r="C1760" s="17" t="s">
        <v>14</v>
      </c>
      <c r="D1760" s="2"/>
    </row>
    <row r="1761" spans="1:4" ht="12.75" customHeight="1" x14ac:dyDescent="0.2">
      <c r="B1761" s="11" t="s">
        <v>2606</v>
      </c>
      <c r="C1761" s="16" t="s">
        <v>19</v>
      </c>
      <c r="D1761" s="2"/>
    </row>
    <row r="1762" spans="1:4" ht="12.75" customHeight="1" x14ac:dyDescent="0.2">
      <c r="B1762" s="2"/>
      <c r="C1762" s="15"/>
      <c r="D1762" s="2"/>
    </row>
    <row r="1763" spans="1:4" ht="12.75" customHeight="1" x14ac:dyDescent="0.2">
      <c r="B1763" s="2"/>
      <c r="C1763" s="15"/>
      <c r="D1763" s="2"/>
    </row>
    <row r="1764" spans="1:4" ht="12.75" customHeight="1" x14ac:dyDescent="0.2">
      <c r="A1764" s="13" t="s">
        <v>2827</v>
      </c>
      <c r="C1764" s="12"/>
      <c r="D1764" s="2"/>
    </row>
    <row r="1765" spans="1:4" ht="12.75" customHeight="1" x14ac:dyDescent="0.2">
      <c r="A1765" s="11"/>
      <c r="B1765" s="2"/>
      <c r="C1765" s="15"/>
      <c r="D1765" s="2"/>
    </row>
    <row r="1766" spans="1:4" ht="12.75" customHeight="1" x14ac:dyDescent="0.2">
      <c r="B1766" s="11" t="s">
        <v>0</v>
      </c>
      <c r="C1766" s="17" t="s">
        <v>155</v>
      </c>
      <c r="D1766" s="2"/>
    </row>
    <row r="1767" spans="1:4" ht="12.75" customHeight="1" x14ac:dyDescent="0.2">
      <c r="B1767" s="11" t="s">
        <v>2599</v>
      </c>
      <c r="C1767" s="17" t="s">
        <v>2778</v>
      </c>
      <c r="D1767" s="2"/>
    </row>
    <row r="1768" spans="1:4" ht="25.5" customHeight="1" x14ac:dyDescent="0.2">
      <c r="B1768" s="11" t="s">
        <v>2600</v>
      </c>
      <c r="C1768" s="17" t="s">
        <v>2828</v>
      </c>
      <c r="D1768" s="2"/>
    </row>
    <row r="1769" spans="1:4" ht="25.5" customHeight="1" x14ac:dyDescent="0.2">
      <c r="B1769" s="11" t="s">
        <v>2601</v>
      </c>
      <c r="C1769" s="17"/>
      <c r="D1769" s="2"/>
    </row>
    <row r="1770" spans="1:4" ht="12.75" customHeight="1" x14ac:dyDescent="0.2">
      <c r="B1770" s="11" t="s">
        <v>16</v>
      </c>
      <c r="C1770" s="17"/>
      <c r="D1770" s="2"/>
    </row>
    <row r="1771" spans="1:4" ht="12.75" customHeight="1" x14ac:dyDescent="0.2">
      <c r="B1771" s="11" t="s">
        <v>13</v>
      </c>
      <c r="C1771" s="17" t="s">
        <v>2602</v>
      </c>
      <c r="D1771" s="2"/>
    </row>
    <row r="1772" spans="1:4" ht="12.75" customHeight="1" x14ac:dyDescent="0.2">
      <c r="B1772" s="11" t="s">
        <v>2603</v>
      </c>
      <c r="C1772" s="17" t="s">
        <v>128</v>
      </c>
      <c r="D1772" s="2"/>
    </row>
    <row r="1773" spans="1:4" ht="12.75" customHeight="1" x14ac:dyDescent="0.2">
      <c r="B1773" s="11" t="s">
        <v>2605</v>
      </c>
      <c r="C1773" s="17" t="s">
        <v>14</v>
      </c>
      <c r="D1773" s="2"/>
    </row>
    <row r="1774" spans="1:4" ht="12.75" customHeight="1" x14ac:dyDescent="0.2">
      <c r="B1774" s="11" t="s">
        <v>2606</v>
      </c>
      <c r="C1774" s="16" t="s">
        <v>19</v>
      </c>
      <c r="D1774" s="2"/>
    </row>
    <row r="1775" spans="1:4" ht="12.75" customHeight="1" x14ac:dyDescent="0.2">
      <c r="B1775" s="2"/>
      <c r="C1775" s="15"/>
      <c r="D1775" s="2"/>
    </row>
    <row r="1776" spans="1:4" ht="12.75" customHeight="1" x14ac:dyDescent="0.2">
      <c r="B1776" s="2"/>
      <c r="C1776" s="15"/>
      <c r="D1776" s="2"/>
    </row>
    <row r="1777" spans="1:4" ht="12.75" customHeight="1" x14ac:dyDescent="0.2">
      <c r="A1777" s="13" t="s">
        <v>2829</v>
      </c>
      <c r="C1777" s="12"/>
    </row>
    <row r="1778" spans="1:4" ht="12.75" customHeight="1" x14ac:dyDescent="0.2">
      <c r="A1778" s="11"/>
      <c r="B1778" s="2"/>
      <c r="C1778" s="15"/>
      <c r="D1778" s="2"/>
    </row>
    <row r="1779" spans="1:4" ht="12.75" customHeight="1" x14ac:dyDescent="0.2">
      <c r="B1779" s="11" t="s">
        <v>0</v>
      </c>
      <c r="C1779" s="11" t="s">
        <v>155</v>
      </c>
    </row>
    <row r="1780" spans="1:4" ht="12.75" customHeight="1" x14ac:dyDescent="0.2">
      <c r="B1780" s="11" t="s">
        <v>2599</v>
      </c>
      <c r="C1780" s="11" t="s">
        <v>2430</v>
      </c>
    </row>
    <row r="1781" spans="1:4" ht="25.5" customHeight="1" x14ac:dyDescent="0.2">
      <c r="B1781" s="11" t="s">
        <v>2600</v>
      </c>
      <c r="C1781" s="11" t="s">
        <v>1604</v>
      </c>
    </row>
    <row r="1782" spans="1:4" ht="25.5" customHeight="1" x14ac:dyDescent="0.2">
      <c r="B1782" s="11" t="s">
        <v>2601</v>
      </c>
      <c r="C1782" s="11"/>
    </row>
    <row r="1783" spans="1:4" ht="12.75" customHeight="1" x14ac:dyDescent="0.2">
      <c r="B1783" s="11" t="s">
        <v>16</v>
      </c>
      <c r="C1783" s="11"/>
    </row>
    <row r="1784" spans="1:4" ht="12.75" customHeight="1" x14ac:dyDescent="0.2">
      <c r="B1784" s="11" t="s">
        <v>13</v>
      </c>
      <c r="C1784" s="11" t="s">
        <v>2644</v>
      </c>
    </row>
    <row r="1785" spans="1:4" ht="12.75" customHeight="1" x14ac:dyDescent="0.2">
      <c r="B1785" s="11" t="s">
        <v>2603</v>
      </c>
      <c r="C1785" s="11" t="s">
        <v>2604</v>
      </c>
    </row>
    <row r="1786" spans="1:4" ht="12.75" customHeight="1" x14ac:dyDescent="0.2">
      <c r="B1786" s="11" t="s">
        <v>2605</v>
      </c>
      <c r="C1786" s="11" t="s">
        <v>24</v>
      </c>
    </row>
    <row r="1787" spans="1:4" ht="25.5" customHeight="1" x14ac:dyDescent="0.2">
      <c r="B1787" s="11" t="s">
        <v>2606</v>
      </c>
      <c r="C1787" s="16" t="s">
        <v>55</v>
      </c>
      <c r="D1787" s="6" t="str">
        <f>HYPERLINK("javascript:void(0)","elementál eszencia")</f>
        <v>elementál eszencia</v>
      </c>
    </row>
    <row r="1788" spans="1:4" ht="12.75" customHeight="1" x14ac:dyDescent="0.2">
      <c r="B1788" s="2"/>
      <c r="C1788" s="15"/>
      <c r="D1788" s="2"/>
    </row>
    <row r="1789" spans="1:4" ht="12.75" customHeight="1" x14ac:dyDescent="0.2">
      <c r="B1789" s="2"/>
      <c r="C1789" s="15"/>
      <c r="D1789" s="2"/>
    </row>
    <row r="1790" spans="1:4" ht="12.75" customHeight="1" x14ac:dyDescent="0.2">
      <c r="A1790" s="13" t="s">
        <v>2830</v>
      </c>
      <c r="C1790" s="12"/>
    </row>
    <row r="1791" spans="1:4" ht="12.75" customHeight="1" x14ac:dyDescent="0.2">
      <c r="A1791" s="11"/>
      <c r="B1791" s="2"/>
      <c r="C1791" s="15"/>
      <c r="D1791" s="2"/>
    </row>
    <row r="1792" spans="1:4" ht="12.75" customHeight="1" x14ac:dyDescent="0.2">
      <c r="B1792" s="11" t="s">
        <v>0</v>
      </c>
      <c r="C1792" s="11" t="s">
        <v>155</v>
      </c>
    </row>
    <row r="1793" spans="1:4" ht="12.75" customHeight="1" x14ac:dyDescent="0.2">
      <c r="B1793" s="11" t="s">
        <v>2599</v>
      </c>
      <c r="C1793" s="11" t="s">
        <v>2831</v>
      </c>
    </row>
    <row r="1794" spans="1:4" ht="25.5" customHeight="1" x14ac:dyDescent="0.2">
      <c r="B1794" s="11" t="s">
        <v>2600</v>
      </c>
      <c r="C1794" s="11" t="s">
        <v>2832</v>
      </c>
    </row>
    <row r="1795" spans="1:4" ht="25.5" customHeight="1" x14ac:dyDescent="0.2">
      <c r="B1795" s="11" t="s">
        <v>2601</v>
      </c>
      <c r="C1795" s="11"/>
    </row>
    <row r="1796" spans="1:4" ht="12.75" customHeight="1" x14ac:dyDescent="0.2">
      <c r="B1796" s="11" t="s">
        <v>16</v>
      </c>
      <c r="C1796" s="11"/>
    </row>
    <row r="1797" spans="1:4" ht="12.75" customHeight="1" x14ac:dyDescent="0.2">
      <c r="B1797" s="11" t="s">
        <v>13</v>
      </c>
      <c r="C1797" s="11" t="s">
        <v>2644</v>
      </c>
    </row>
    <row r="1798" spans="1:4" ht="12.75" customHeight="1" x14ac:dyDescent="0.2">
      <c r="B1798" s="11" t="s">
        <v>2603</v>
      </c>
      <c r="C1798" s="11" t="s">
        <v>2604</v>
      </c>
    </row>
    <row r="1799" spans="1:4" ht="12.75" customHeight="1" x14ac:dyDescent="0.2">
      <c r="B1799" s="11" t="s">
        <v>2605</v>
      </c>
      <c r="C1799" s="11" t="s">
        <v>24</v>
      </c>
    </row>
    <row r="1800" spans="1:4" ht="12.75" customHeight="1" x14ac:dyDescent="0.2">
      <c r="B1800" s="11" t="s">
        <v>2606</v>
      </c>
      <c r="C1800" s="16" t="s">
        <v>44</v>
      </c>
      <c r="D1800" s="6" t="str">
        <f>HYPERLINK("javascript:void(0)","démoncsőr")</f>
        <v>démoncsőr</v>
      </c>
    </row>
    <row r="1801" spans="1:4" ht="12.75" customHeight="1" x14ac:dyDescent="0.2">
      <c r="B1801" s="2"/>
      <c r="C1801" s="15"/>
      <c r="D1801" s="2"/>
    </row>
    <row r="1802" spans="1:4" ht="12.75" customHeight="1" x14ac:dyDescent="0.2">
      <c r="B1802" s="2"/>
      <c r="C1802" s="15"/>
      <c r="D1802" s="2"/>
    </row>
    <row r="1803" spans="1:4" ht="12.75" customHeight="1" x14ac:dyDescent="0.2">
      <c r="A1803" s="13" t="s">
        <v>2833</v>
      </c>
      <c r="C1803" s="12"/>
    </row>
    <row r="1804" spans="1:4" ht="12.75" customHeight="1" x14ac:dyDescent="0.2">
      <c r="A1804" s="11"/>
      <c r="B1804" s="2"/>
      <c r="C1804" s="15"/>
      <c r="D1804" s="2"/>
    </row>
    <row r="1805" spans="1:4" ht="12.75" customHeight="1" x14ac:dyDescent="0.2">
      <c r="B1805" s="11" t="s">
        <v>0</v>
      </c>
      <c r="C1805" s="11" t="s">
        <v>155</v>
      </c>
    </row>
    <row r="1806" spans="1:4" ht="12.75" customHeight="1" x14ac:dyDescent="0.2">
      <c r="B1806" s="11" t="s">
        <v>2599</v>
      </c>
      <c r="C1806" s="11" t="s">
        <v>2430</v>
      </c>
    </row>
    <row r="1807" spans="1:4" ht="25.5" customHeight="1" x14ac:dyDescent="0.2">
      <c r="B1807" s="11" t="s">
        <v>2600</v>
      </c>
      <c r="C1807" s="11" t="s">
        <v>2832</v>
      </c>
    </row>
    <row r="1808" spans="1:4" ht="25.5" customHeight="1" x14ac:dyDescent="0.2">
      <c r="B1808" s="11" t="s">
        <v>2601</v>
      </c>
      <c r="C1808" s="11"/>
    </row>
    <row r="1809" spans="1:4" ht="12.75" customHeight="1" x14ac:dyDescent="0.2">
      <c r="B1809" s="11" t="s">
        <v>16</v>
      </c>
      <c r="C1809" s="11"/>
    </row>
    <row r="1810" spans="1:4" ht="12.75" customHeight="1" x14ac:dyDescent="0.2">
      <c r="B1810" s="11" t="s">
        <v>13</v>
      </c>
      <c r="C1810" s="11" t="s">
        <v>2602</v>
      </c>
    </row>
    <row r="1811" spans="1:4" ht="12.75" customHeight="1" x14ac:dyDescent="0.2">
      <c r="B1811" s="11" t="s">
        <v>2603</v>
      </c>
      <c r="C1811" s="11" t="s">
        <v>2651</v>
      </c>
    </row>
    <row r="1812" spans="1:4" ht="12.75" customHeight="1" x14ac:dyDescent="0.2">
      <c r="B1812" s="11" t="s">
        <v>2605</v>
      </c>
      <c r="C1812" s="11" t="s">
        <v>24</v>
      </c>
    </row>
    <row r="1813" spans="1:4" ht="25.5" customHeight="1" x14ac:dyDescent="0.2">
      <c r="B1813" s="11" t="s">
        <v>2606</v>
      </c>
      <c r="C1813" s="16" t="s">
        <v>44</v>
      </c>
      <c r="D1813" s="6" t="str">
        <f>HYPERLINK("javascript:void(0)","csillagbunkó")</f>
        <v>csillagbunkó</v>
      </c>
    </row>
    <row r="1814" spans="1:4" ht="12.75" customHeight="1" x14ac:dyDescent="0.2">
      <c r="B1814" s="2"/>
      <c r="C1814" s="15"/>
      <c r="D1814" s="2"/>
    </row>
    <row r="1815" spans="1:4" ht="12.75" customHeight="1" x14ac:dyDescent="0.2">
      <c r="B1815" s="2"/>
      <c r="C1815" s="15"/>
      <c r="D1815" s="2"/>
    </row>
    <row r="1816" spans="1:4" ht="12.75" customHeight="1" x14ac:dyDescent="0.2">
      <c r="A1816" s="13" t="s">
        <v>2834</v>
      </c>
      <c r="C1816" s="12"/>
    </row>
    <row r="1817" spans="1:4" ht="12.75" customHeight="1" x14ac:dyDescent="0.2">
      <c r="A1817" s="11"/>
      <c r="B1817" s="2"/>
      <c r="C1817" s="15"/>
      <c r="D1817" s="2"/>
    </row>
    <row r="1818" spans="1:4" ht="12.75" customHeight="1" x14ac:dyDescent="0.2">
      <c r="B1818" s="11" t="s">
        <v>0</v>
      </c>
      <c r="C1818" s="11" t="s">
        <v>155</v>
      </c>
    </row>
    <row r="1819" spans="1:4" ht="12.75" customHeight="1" x14ac:dyDescent="0.2">
      <c r="B1819" s="11" t="s">
        <v>2599</v>
      </c>
      <c r="C1819" s="11" t="s">
        <v>2171</v>
      </c>
    </row>
    <row r="1820" spans="1:4" ht="25.5" customHeight="1" x14ac:dyDescent="0.2">
      <c r="B1820" s="11" t="s">
        <v>2600</v>
      </c>
      <c r="C1820" s="11" t="s">
        <v>2835</v>
      </c>
    </row>
    <row r="1821" spans="1:4" ht="25.5" customHeight="1" x14ac:dyDescent="0.2">
      <c r="B1821" s="11" t="s">
        <v>2601</v>
      </c>
      <c r="C1821" s="11"/>
    </row>
    <row r="1822" spans="1:4" ht="12.75" customHeight="1" x14ac:dyDescent="0.2">
      <c r="B1822" s="11" t="s">
        <v>16</v>
      </c>
      <c r="C1822" s="11"/>
    </row>
    <row r="1823" spans="1:4" ht="12.75" customHeight="1" x14ac:dyDescent="0.2">
      <c r="B1823" s="11" t="s">
        <v>13</v>
      </c>
      <c r="C1823" s="11" t="s">
        <v>2602</v>
      </c>
    </row>
    <row r="1824" spans="1:4" ht="12.75" customHeight="1" x14ac:dyDescent="0.2">
      <c r="B1824" s="11" t="s">
        <v>2603</v>
      </c>
      <c r="C1824" s="11" t="s">
        <v>2604</v>
      </c>
    </row>
    <row r="1825" spans="1:4" ht="12.75" customHeight="1" x14ac:dyDescent="0.2">
      <c r="B1825" s="11" t="s">
        <v>2605</v>
      </c>
      <c r="C1825" s="11" t="s">
        <v>24</v>
      </c>
    </row>
    <row r="1826" spans="1:4" ht="12.75" customHeight="1" x14ac:dyDescent="0.2">
      <c r="B1826" s="11" t="s">
        <v>2606</v>
      </c>
      <c r="C1826" s="16" t="s">
        <v>44</v>
      </c>
      <c r="D1826" s="6" t="str">
        <f>HYPERLINK("javascript:void(0)","mágusbot")</f>
        <v>mágusbot</v>
      </c>
    </row>
    <row r="1827" spans="1:4" ht="12.75" customHeight="1" x14ac:dyDescent="0.2">
      <c r="B1827" s="2"/>
      <c r="C1827" s="15"/>
      <c r="D1827" s="2"/>
    </row>
    <row r="1828" spans="1:4" ht="12.75" customHeight="1" x14ac:dyDescent="0.2">
      <c r="B1828" s="2"/>
      <c r="C1828" s="15"/>
      <c r="D1828" s="2"/>
    </row>
    <row r="1829" spans="1:4" ht="12.75" customHeight="1" x14ac:dyDescent="0.2">
      <c r="A1829" s="13" t="s">
        <v>2836</v>
      </c>
      <c r="C1829" s="12"/>
    </row>
    <row r="1830" spans="1:4" ht="12.75" customHeight="1" x14ac:dyDescent="0.2">
      <c r="A1830" s="11"/>
      <c r="B1830" s="2"/>
      <c r="C1830" s="15"/>
      <c r="D1830" s="2"/>
    </row>
    <row r="1831" spans="1:4" ht="12.75" customHeight="1" x14ac:dyDescent="0.2">
      <c r="B1831" s="11" t="s">
        <v>0</v>
      </c>
      <c r="C1831" s="11" t="s">
        <v>155</v>
      </c>
    </row>
    <row r="1832" spans="1:4" ht="12.75" customHeight="1" x14ac:dyDescent="0.2">
      <c r="B1832" s="11" t="s">
        <v>2599</v>
      </c>
      <c r="C1832" s="11" t="s">
        <v>2168</v>
      </c>
    </row>
    <row r="1833" spans="1:4" ht="25.5" customHeight="1" x14ac:dyDescent="0.2">
      <c r="B1833" s="11" t="s">
        <v>2600</v>
      </c>
      <c r="C1833" s="11" t="s">
        <v>2837</v>
      </c>
    </row>
    <row r="1834" spans="1:4" ht="25.5" customHeight="1" x14ac:dyDescent="0.2">
      <c r="B1834" s="11" t="s">
        <v>2601</v>
      </c>
      <c r="C1834" s="11"/>
    </row>
    <row r="1835" spans="1:4" ht="12.75" customHeight="1" x14ac:dyDescent="0.2">
      <c r="B1835" s="11" t="s">
        <v>16</v>
      </c>
      <c r="C1835" s="11"/>
    </row>
    <row r="1836" spans="1:4" ht="12.75" customHeight="1" x14ac:dyDescent="0.2">
      <c r="B1836" s="11" t="s">
        <v>13</v>
      </c>
      <c r="C1836" s="11" t="s">
        <v>2602</v>
      </c>
    </row>
    <row r="1837" spans="1:4" ht="12.75" customHeight="1" x14ac:dyDescent="0.2">
      <c r="B1837" s="11" t="s">
        <v>2603</v>
      </c>
      <c r="C1837" s="11" t="s">
        <v>2604</v>
      </c>
    </row>
    <row r="1838" spans="1:4" ht="12.75" customHeight="1" x14ac:dyDescent="0.2">
      <c r="B1838" s="11" t="s">
        <v>2605</v>
      </c>
      <c r="C1838" s="11" t="s">
        <v>24</v>
      </c>
    </row>
    <row r="1839" spans="1:4" ht="12.75" customHeight="1" x14ac:dyDescent="0.2">
      <c r="B1839" s="11" t="s">
        <v>2606</v>
      </c>
      <c r="C1839" s="16" t="s">
        <v>44</v>
      </c>
      <c r="D1839" s="6" t="str">
        <f>HYPERLINK("javascript:void(0)","mágusbot")</f>
        <v>mágusbot</v>
      </c>
    </row>
    <row r="1840" spans="1:4" ht="12.75" customHeight="1" x14ac:dyDescent="0.2">
      <c r="B1840" s="2"/>
      <c r="C1840" s="15"/>
      <c r="D1840" s="2"/>
    </row>
    <row r="1841" spans="1:4" ht="12.75" customHeight="1" x14ac:dyDescent="0.2">
      <c r="B1841" s="2"/>
      <c r="C1841" s="15"/>
      <c r="D1841" s="2"/>
    </row>
    <row r="1842" spans="1:4" ht="12.75" customHeight="1" x14ac:dyDescent="0.2">
      <c r="A1842" s="13" t="s">
        <v>2838</v>
      </c>
      <c r="C1842" s="12"/>
    </row>
    <row r="1843" spans="1:4" ht="12.75" customHeight="1" x14ac:dyDescent="0.2">
      <c r="A1843" s="11"/>
      <c r="B1843" s="2"/>
      <c r="C1843" s="15"/>
      <c r="D1843" s="2"/>
    </row>
    <row r="1844" spans="1:4" ht="12.75" customHeight="1" x14ac:dyDescent="0.2">
      <c r="B1844" s="11" t="s">
        <v>0</v>
      </c>
      <c r="C1844" s="11" t="s">
        <v>155</v>
      </c>
    </row>
    <row r="1845" spans="1:4" ht="12.75" customHeight="1" x14ac:dyDescent="0.2">
      <c r="B1845" s="11" t="s">
        <v>2599</v>
      </c>
      <c r="C1845" s="11" t="s">
        <v>2174</v>
      </c>
    </row>
    <row r="1846" spans="1:4" ht="25.5" customHeight="1" x14ac:dyDescent="0.2">
      <c r="B1846" s="11" t="s">
        <v>2600</v>
      </c>
      <c r="C1846" s="11" t="s">
        <v>2839</v>
      </c>
    </row>
    <row r="1847" spans="1:4" ht="25.5" customHeight="1" x14ac:dyDescent="0.2">
      <c r="B1847" s="11" t="s">
        <v>2601</v>
      </c>
      <c r="C1847" s="11"/>
    </row>
    <row r="1848" spans="1:4" ht="12.75" customHeight="1" x14ac:dyDescent="0.2">
      <c r="B1848" s="11" t="s">
        <v>16</v>
      </c>
      <c r="C1848" s="11"/>
    </row>
    <row r="1849" spans="1:4" ht="12.75" customHeight="1" x14ac:dyDescent="0.2">
      <c r="B1849" s="11" t="s">
        <v>13</v>
      </c>
      <c r="C1849" s="11" t="s">
        <v>2644</v>
      </c>
    </row>
    <row r="1850" spans="1:4" ht="12.75" customHeight="1" x14ac:dyDescent="0.2">
      <c r="B1850" s="11" t="s">
        <v>2603</v>
      </c>
      <c r="C1850" s="11" t="s">
        <v>2604</v>
      </c>
    </row>
    <row r="1851" spans="1:4" ht="12.75" customHeight="1" x14ac:dyDescent="0.2">
      <c r="B1851" s="11" t="s">
        <v>2605</v>
      </c>
      <c r="C1851" s="11" t="s">
        <v>24</v>
      </c>
    </row>
    <row r="1852" spans="1:4" ht="12.75" customHeight="1" x14ac:dyDescent="0.2">
      <c r="B1852" s="11" t="s">
        <v>2606</v>
      </c>
      <c r="C1852" s="16" t="s">
        <v>57</v>
      </c>
      <c r="D1852" s="6" t="str">
        <f>HYPERLINK("javascript:void(0)","grifftoll")</f>
        <v>grifftoll</v>
      </c>
    </row>
    <row r="1853" spans="1:4" ht="12.75" customHeight="1" x14ac:dyDescent="0.2">
      <c r="B1853" s="2"/>
      <c r="C1853" s="15"/>
      <c r="D1853" s="2"/>
    </row>
    <row r="1854" spans="1:4" ht="12.75" customHeight="1" x14ac:dyDescent="0.2">
      <c r="B1854" s="2"/>
      <c r="C1854" s="15"/>
      <c r="D1854" s="2"/>
    </row>
    <row r="1855" spans="1:4" ht="12.75" customHeight="1" x14ac:dyDescent="0.2">
      <c r="A1855" s="13" t="s">
        <v>2840</v>
      </c>
      <c r="C1855" s="12"/>
    </row>
    <row r="1856" spans="1:4" ht="12.75" customHeight="1" x14ac:dyDescent="0.2">
      <c r="A1856" s="11"/>
      <c r="B1856" s="2"/>
      <c r="C1856" s="15"/>
      <c r="D1856" s="2"/>
    </row>
    <row r="1857" spans="1:4" ht="12.75" customHeight="1" x14ac:dyDescent="0.2">
      <c r="B1857" s="11" t="s">
        <v>0</v>
      </c>
      <c r="C1857" s="11" t="s">
        <v>155</v>
      </c>
    </row>
    <row r="1858" spans="1:4" ht="12.75" customHeight="1" x14ac:dyDescent="0.2">
      <c r="B1858" s="11" t="s">
        <v>2599</v>
      </c>
      <c r="C1858" s="11" t="s">
        <v>2841</v>
      </c>
    </row>
    <row r="1859" spans="1:4" ht="25.5" customHeight="1" x14ac:dyDescent="0.2">
      <c r="B1859" s="11" t="s">
        <v>2600</v>
      </c>
      <c r="C1859" s="11" t="s">
        <v>2842</v>
      </c>
    </row>
    <row r="1860" spans="1:4" ht="25.5" customHeight="1" x14ac:dyDescent="0.2">
      <c r="B1860" s="11" t="s">
        <v>2601</v>
      </c>
      <c r="C1860" s="11"/>
    </row>
    <row r="1861" spans="1:4" ht="12.75" customHeight="1" x14ac:dyDescent="0.2">
      <c r="B1861" s="11" t="s">
        <v>16</v>
      </c>
      <c r="C1861" s="11"/>
    </row>
    <row r="1862" spans="1:4" ht="12.75" customHeight="1" x14ac:dyDescent="0.2">
      <c r="B1862" s="11" t="s">
        <v>13</v>
      </c>
      <c r="C1862" s="11" t="s">
        <v>2602</v>
      </c>
    </row>
    <row r="1863" spans="1:4" ht="12.75" customHeight="1" x14ac:dyDescent="0.2">
      <c r="B1863" s="11" t="s">
        <v>2603</v>
      </c>
      <c r="C1863" s="11" t="s">
        <v>2648</v>
      </c>
    </row>
    <row r="1864" spans="1:4" ht="12.75" customHeight="1" x14ac:dyDescent="0.2">
      <c r="B1864" s="11" t="s">
        <v>2605</v>
      </c>
      <c r="C1864" s="11" t="s">
        <v>24</v>
      </c>
    </row>
    <row r="1865" spans="1:4" ht="12.75" customHeight="1" x14ac:dyDescent="0.2">
      <c r="B1865" s="11" t="s">
        <v>2606</v>
      </c>
      <c r="C1865" s="16" t="s">
        <v>44</v>
      </c>
      <c r="D1865" s="6" t="str">
        <f>HYPERLINK("javascript:void(0)","gillpenge")</f>
        <v>gillpenge</v>
      </c>
    </row>
    <row r="1866" spans="1:4" ht="12.75" customHeight="1" x14ac:dyDescent="0.2">
      <c r="B1866" s="2"/>
      <c r="C1866" s="15"/>
      <c r="D1866" s="2"/>
    </row>
    <row r="1867" spans="1:4" ht="12.75" customHeight="1" x14ac:dyDescent="0.2">
      <c r="B1867" s="2"/>
      <c r="C1867" s="15"/>
      <c r="D1867" s="2"/>
    </row>
    <row r="1868" spans="1:4" ht="12.75" customHeight="1" x14ac:dyDescent="0.2">
      <c r="A1868" s="13" t="s">
        <v>2843</v>
      </c>
      <c r="C1868" s="12"/>
      <c r="D1868" s="2"/>
    </row>
    <row r="1869" spans="1:4" ht="12.75" customHeight="1" x14ac:dyDescent="0.2">
      <c r="A1869" s="11"/>
      <c r="B1869" s="2"/>
      <c r="C1869" s="15"/>
      <c r="D1869" s="2"/>
    </row>
    <row r="1870" spans="1:4" ht="12.75" customHeight="1" x14ac:dyDescent="0.2">
      <c r="B1870" s="11" t="s">
        <v>0</v>
      </c>
      <c r="C1870" s="17" t="s">
        <v>159</v>
      </c>
      <c r="D1870" s="2"/>
    </row>
    <row r="1871" spans="1:4" ht="12.75" customHeight="1" x14ac:dyDescent="0.2">
      <c r="B1871" s="11" t="s">
        <v>2599</v>
      </c>
      <c r="C1871" s="17" t="s">
        <v>558</v>
      </c>
      <c r="D1871" s="2"/>
    </row>
    <row r="1872" spans="1:4" ht="25.5" customHeight="1" x14ac:dyDescent="0.2">
      <c r="B1872" s="11" t="s">
        <v>2600</v>
      </c>
      <c r="C1872" s="17" t="s">
        <v>2844</v>
      </c>
      <c r="D1872" s="2"/>
    </row>
    <row r="1873" spans="1:4" ht="25.5" customHeight="1" x14ac:dyDescent="0.2">
      <c r="B1873" s="11" t="s">
        <v>2601</v>
      </c>
      <c r="C1873" s="17"/>
      <c r="D1873" s="2"/>
    </row>
    <row r="1874" spans="1:4" ht="12.75" customHeight="1" x14ac:dyDescent="0.2">
      <c r="B1874" s="11" t="s">
        <v>16</v>
      </c>
      <c r="C1874" s="17"/>
      <c r="D1874" s="2"/>
    </row>
    <row r="1875" spans="1:4" ht="12.75" customHeight="1" x14ac:dyDescent="0.2">
      <c r="B1875" s="11" t="s">
        <v>13</v>
      </c>
      <c r="C1875" s="17" t="s">
        <v>2644</v>
      </c>
      <c r="D1875" s="2"/>
    </row>
    <row r="1876" spans="1:4" ht="12.75" customHeight="1" x14ac:dyDescent="0.2">
      <c r="B1876" s="11" t="s">
        <v>2603</v>
      </c>
      <c r="C1876" s="17" t="s">
        <v>128</v>
      </c>
      <c r="D1876" s="2"/>
    </row>
    <row r="1877" spans="1:4" ht="12.75" customHeight="1" x14ac:dyDescent="0.2">
      <c r="B1877" s="11" t="s">
        <v>2605</v>
      </c>
      <c r="C1877" s="17" t="s">
        <v>14</v>
      </c>
      <c r="D1877" s="2"/>
    </row>
    <row r="1878" spans="1:4" ht="12.75" customHeight="1" x14ac:dyDescent="0.2">
      <c r="B1878" s="11" t="s">
        <v>2606</v>
      </c>
      <c r="C1878" s="16" t="s">
        <v>19</v>
      </c>
      <c r="D1878" s="2"/>
    </row>
    <row r="1879" spans="1:4" ht="12.75" customHeight="1" x14ac:dyDescent="0.2">
      <c r="B1879" s="2"/>
      <c r="C1879" s="15"/>
      <c r="D1879" s="2"/>
    </row>
    <row r="1880" spans="1:4" ht="12.75" customHeight="1" x14ac:dyDescent="0.2">
      <c r="B1880" s="2"/>
      <c r="C1880" s="15"/>
      <c r="D1880" s="2"/>
    </row>
    <row r="1881" spans="1:4" ht="12.75" customHeight="1" x14ac:dyDescent="0.2">
      <c r="A1881" s="13" t="s">
        <v>2845</v>
      </c>
      <c r="C1881" s="12"/>
    </row>
    <row r="1882" spans="1:4" ht="12.75" customHeight="1" x14ac:dyDescent="0.2">
      <c r="A1882" s="11"/>
      <c r="B1882" s="2"/>
      <c r="C1882" s="15"/>
      <c r="D1882" s="2"/>
    </row>
    <row r="1883" spans="1:4" ht="12.75" customHeight="1" x14ac:dyDescent="0.2">
      <c r="B1883" s="11" t="s">
        <v>0</v>
      </c>
      <c r="C1883" s="11" t="s">
        <v>159</v>
      </c>
    </row>
    <row r="1884" spans="1:4" ht="12.75" customHeight="1" x14ac:dyDescent="0.2">
      <c r="B1884" s="11" t="s">
        <v>2599</v>
      </c>
      <c r="C1884" s="11" t="s">
        <v>1478</v>
      </c>
    </row>
    <row r="1885" spans="1:4" ht="25.5" customHeight="1" x14ac:dyDescent="0.2">
      <c r="B1885" s="11" t="s">
        <v>2600</v>
      </c>
      <c r="C1885" s="11" t="s">
        <v>2846</v>
      </c>
    </row>
    <row r="1886" spans="1:4" ht="25.5" customHeight="1" x14ac:dyDescent="0.2">
      <c r="B1886" s="11" t="s">
        <v>2601</v>
      </c>
      <c r="C1886" s="11"/>
    </row>
    <row r="1887" spans="1:4" ht="12.75" customHeight="1" x14ac:dyDescent="0.2">
      <c r="B1887" s="11" t="s">
        <v>16</v>
      </c>
      <c r="C1887" s="11"/>
    </row>
    <row r="1888" spans="1:4" ht="12.75" customHeight="1" x14ac:dyDescent="0.2">
      <c r="B1888" s="11" t="s">
        <v>13</v>
      </c>
      <c r="C1888" s="11" t="s">
        <v>2602</v>
      </c>
    </row>
    <row r="1889" spans="1:4" ht="12.75" customHeight="1" x14ac:dyDescent="0.2">
      <c r="B1889" s="11" t="s">
        <v>2603</v>
      </c>
      <c r="C1889" s="11" t="s">
        <v>2651</v>
      </c>
    </row>
    <row r="1890" spans="1:4" ht="12.75" customHeight="1" x14ac:dyDescent="0.2">
      <c r="B1890" s="11" t="s">
        <v>2605</v>
      </c>
      <c r="C1890" s="11" t="s">
        <v>24</v>
      </c>
    </row>
    <row r="1891" spans="1:4" ht="25.5" customHeight="1" x14ac:dyDescent="0.2">
      <c r="B1891" s="11" t="s">
        <v>2606</v>
      </c>
      <c r="C1891" s="16" t="s">
        <v>44</v>
      </c>
      <c r="D1891" s="6" t="str">
        <f>HYPERLINK("javascript:void(0)","ezüstcsizma")</f>
        <v>ezüstcsizma</v>
      </c>
    </row>
    <row r="1892" spans="1:4" ht="12.75" customHeight="1" x14ac:dyDescent="0.2">
      <c r="B1892" s="2"/>
      <c r="C1892" s="15"/>
      <c r="D1892" s="2"/>
    </row>
    <row r="1893" spans="1:4" ht="12.75" customHeight="1" x14ac:dyDescent="0.2">
      <c r="B1893" s="2"/>
      <c r="C1893" s="15"/>
      <c r="D1893" s="2"/>
    </row>
    <row r="1894" spans="1:4" ht="12.75" customHeight="1" x14ac:dyDescent="0.2">
      <c r="A1894" s="13" t="s">
        <v>2847</v>
      </c>
      <c r="C1894" s="12"/>
    </row>
    <row r="1895" spans="1:4" ht="12.75" customHeight="1" x14ac:dyDescent="0.2">
      <c r="A1895" s="11"/>
      <c r="B1895" s="2"/>
      <c r="C1895" s="15"/>
      <c r="D1895" s="2"/>
    </row>
    <row r="1896" spans="1:4" ht="12.75" customHeight="1" x14ac:dyDescent="0.2">
      <c r="B1896" s="11" t="s">
        <v>0</v>
      </c>
      <c r="C1896" s="11" t="s">
        <v>159</v>
      </c>
    </row>
    <row r="1897" spans="1:4" ht="12.75" customHeight="1" x14ac:dyDescent="0.2">
      <c r="B1897" s="11" t="s">
        <v>2599</v>
      </c>
      <c r="C1897" s="11" t="s">
        <v>2848</v>
      </c>
    </row>
    <row r="1898" spans="1:4" ht="25.5" customHeight="1" x14ac:dyDescent="0.2">
      <c r="B1898" s="11" t="s">
        <v>2600</v>
      </c>
      <c r="C1898" s="11" t="s">
        <v>2849</v>
      </c>
    </row>
    <row r="1899" spans="1:4" ht="25.5" customHeight="1" x14ac:dyDescent="0.2">
      <c r="B1899" s="11" t="s">
        <v>2601</v>
      </c>
      <c r="C1899" s="11"/>
    </row>
    <row r="1900" spans="1:4" ht="12.75" customHeight="1" x14ac:dyDescent="0.2">
      <c r="B1900" s="11" t="s">
        <v>16</v>
      </c>
      <c r="C1900" s="11"/>
    </row>
    <row r="1901" spans="1:4" ht="12.75" customHeight="1" x14ac:dyDescent="0.2">
      <c r="B1901" s="11" t="s">
        <v>13</v>
      </c>
      <c r="C1901" s="11" t="s">
        <v>2644</v>
      </c>
    </row>
    <row r="1902" spans="1:4" ht="12.75" customHeight="1" x14ac:dyDescent="0.2">
      <c r="B1902" s="11" t="s">
        <v>2603</v>
      </c>
      <c r="C1902" s="11" t="s">
        <v>2604</v>
      </c>
    </row>
    <row r="1903" spans="1:4" ht="12.75" customHeight="1" x14ac:dyDescent="0.2">
      <c r="B1903" s="11" t="s">
        <v>2605</v>
      </c>
      <c r="C1903" s="11" t="s">
        <v>24</v>
      </c>
    </row>
    <row r="1904" spans="1:4" ht="12.75" customHeight="1" x14ac:dyDescent="0.2">
      <c r="B1904" s="11" t="s">
        <v>2606</v>
      </c>
      <c r="C1904" s="16" t="s">
        <v>44</v>
      </c>
      <c r="D1904" s="6" t="str">
        <f>HYPERLINK("javascript:void(0)","nyeglenyelv")</f>
        <v>nyeglenyelv</v>
      </c>
    </row>
    <row r="1905" spans="1:4" ht="12.75" customHeight="1" x14ac:dyDescent="0.2">
      <c r="C1905" s="16" t="s">
        <v>2850</v>
      </c>
      <c r="D1905" s="6" t="str">
        <f>HYPERLINK("javascript:void(0)","ezüst")</f>
        <v>ezüst</v>
      </c>
    </row>
    <row r="1906" spans="1:4" ht="12.75" customHeight="1" x14ac:dyDescent="0.2">
      <c r="B1906" s="2"/>
      <c r="C1906" s="15"/>
      <c r="D1906" s="2"/>
    </row>
    <row r="1907" spans="1:4" ht="12.75" customHeight="1" x14ac:dyDescent="0.2">
      <c r="B1907" s="2"/>
      <c r="C1907" s="15"/>
      <c r="D1907" s="2"/>
    </row>
    <row r="1908" spans="1:4" ht="12.75" customHeight="1" x14ac:dyDescent="0.2">
      <c r="A1908" s="13" t="s">
        <v>2851</v>
      </c>
      <c r="C1908" s="12"/>
    </row>
    <row r="1909" spans="1:4" ht="12.75" customHeight="1" x14ac:dyDescent="0.2">
      <c r="A1909" s="11"/>
      <c r="B1909" s="2"/>
      <c r="C1909" s="15"/>
      <c r="D1909" s="2"/>
    </row>
    <row r="1910" spans="1:4" ht="12.75" customHeight="1" x14ac:dyDescent="0.2">
      <c r="B1910" s="11" t="s">
        <v>0</v>
      </c>
      <c r="C1910" s="11" t="s">
        <v>159</v>
      </c>
    </row>
    <row r="1911" spans="1:4" ht="12.75" customHeight="1" x14ac:dyDescent="0.2">
      <c r="B1911" s="11" t="s">
        <v>2599</v>
      </c>
      <c r="C1911" s="11" t="s">
        <v>2852</v>
      </c>
    </row>
    <row r="1912" spans="1:4" ht="25.5" customHeight="1" x14ac:dyDescent="0.2">
      <c r="B1912" s="11" t="s">
        <v>2600</v>
      </c>
      <c r="C1912" s="11" t="s">
        <v>2853</v>
      </c>
    </row>
    <row r="1913" spans="1:4" ht="25.5" customHeight="1" x14ac:dyDescent="0.2">
      <c r="B1913" s="11" t="s">
        <v>2601</v>
      </c>
      <c r="C1913" s="11"/>
    </row>
    <row r="1914" spans="1:4" ht="12.75" customHeight="1" x14ac:dyDescent="0.2">
      <c r="B1914" s="11" t="s">
        <v>16</v>
      </c>
      <c r="C1914" s="11"/>
    </row>
    <row r="1915" spans="1:4" ht="12.75" customHeight="1" x14ac:dyDescent="0.2">
      <c r="B1915" s="11" t="s">
        <v>13</v>
      </c>
      <c r="C1915" s="11" t="s">
        <v>2644</v>
      </c>
    </row>
    <row r="1916" spans="1:4" ht="12.75" customHeight="1" x14ac:dyDescent="0.2">
      <c r="B1916" s="11" t="s">
        <v>2603</v>
      </c>
      <c r="C1916" s="11" t="s">
        <v>2604</v>
      </c>
    </row>
    <row r="1917" spans="1:4" ht="12.75" customHeight="1" x14ac:dyDescent="0.2">
      <c r="B1917" s="11" t="s">
        <v>2605</v>
      </c>
      <c r="C1917" s="11" t="s">
        <v>24</v>
      </c>
    </row>
    <row r="1918" spans="1:4" ht="25.5" customHeight="1" x14ac:dyDescent="0.2">
      <c r="B1918" s="11" t="s">
        <v>2606</v>
      </c>
      <c r="C1918" s="16" t="s">
        <v>44</v>
      </c>
      <c r="D1918" s="6" t="str">
        <f>HYPERLINK("javascript:void(0)","nyenyere nyak")</f>
        <v>nyenyere nyak</v>
      </c>
    </row>
    <row r="1919" spans="1:4" ht="12.75" customHeight="1" x14ac:dyDescent="0.2">
      <c r="C1919" s="16" t="s">
        <v>322</v>
      </c>
      <c r="D1919" s="6" t="str">
        <f>HYPERLINK("javascript:void(0)","ezüst")</f>
        <v>ezüst</v>
      </c>
    </row>
    <row r="1920" spans="1:4" ht="12.75" customHeight="1" x14ac:dyDescent="0.2">
      <c r="B1920" s="2"/>
      <c r="C1920" s="15"/>
      <c r="D1920" s="2"/>
    </row>
    <row r="1921" spans="1:4" ht="12.75" customHeight="1" x14ac:dyDescent="0.2">
      <c r="B1921" s="2"/>
      <c r="C1921" s="15"/>
      <c r="D1921" s="2"/>
    </row>
    <row r="1922" spans="1:4" ht="12.75" customHeight="1" x14ac:dyDescent="0.2">
      <c r="A1922" s="13" t="s">
        <v>2854</v>
      </c>
      <c r="C1922" s="12"/>
    </row>
    <row r="1923" spans="1:4" ht="12.75" customHeight="1" x14ac:dyDescent="0.2">
      <c r="A1923" s="11"/>
      <c r="B1923" s="2"/>
      <c r="C1923" s="15"/>
      <c r="D1923" s="2"/>
    </row>
    <row r="1924" spans="1:4" ht="12.75" customHeight="1" x14ac:dyDescent="0.2">
      <c r="B1924" s="11" t="s">
        <v>0</v>
      </c>
      <c r="C1924" s="11" t="s">
        <v>159</v>
      </c>
    </row>
    <row r="1925" spans="1:4" ht="12.75" customHeight="1" x14ac:dyDescent="0.2">
      <c r="B1925" s="11" t="s">
        <v>2599</v>
      </c>
      <c r="C1925" s="11" t="s">
        <v>2453</v>
      </c>
    </row>
    <row r="1926" spans="1:4" ht="25.5" customHeight="1" x14ac:dyDescent="0.2">
      <c r="B1926" s="11" t="s">
        <v>2600</v>
      </c>
      <c r="C1926" s="11" t="s">
        <v>2855</v>
      </c>
    </row>
    <row r="1927" spans="1:4" ht="25.5" customHeight="1" x14ac:dyDescent="0.2">
      <c r="B1927" s="11" t="s">
        <v>2601</v>
      </c>
      <c r="C1927" s="11"/>
    </row>
    <row r="1928" spans="1:4" ht="12.75" customHeight="1" x14ac:dyDescent="0.2">
      <c r="B1928" s="11" t="s">
        <v>16</v>
      </c>
      <c r="C1928" s="11"/>
    </row>
    <row r="1929" spans="1:4" ht="12.75" customHeight="1" x14ac:dyDescent="0.2">
      <c r="B1929" s="11" t="s">
        <v>13</v>
      </c>
      <c r="C1929" s="11" t="s">
        <v>2602</v>
      </c>
    </row>
    <row r="1930" spans="1:4" ht="12.75" customHeight="1" x14ac:dyDescent="0.2">
      <c r="B1930" s="11" t="s">
        <v>2603</v>
      </c>
      <c r="C1930" s="11" t="s">
        <v>2604</v>
      </c>
    </row>
    <row r="1931" spans="1:4" ht="12.75" customHeight="1" x14ac:dyDescent="0.2">
      <c r="B1931" s="11" t="s">
        <v>2605</v>
      </c>
      <c r="C1931" s="11" t="s">
        <v>24</v>
      </c>
    </row>
    <row r="1932" spans="1:4" ht="12.75" customHeight="1" x14ac:dyDescent="0.2">
      <c r="B1932" s="11" t="s">
        <v>2606</v>
      </c>
      <c r="C1932" s="16" t="s">
        <v>44</v>
      </c>
      <c r="D1932" s="6" t="str">
        <f>HYPERLINK("javascript:void(0)","mágusbot")</f>
        <v>mágusbot</v>
      </c>
    </row>
    <row r="1933" spans="1:4" ht="12.75" customHeight="1" x14ac:dyDescent="0.2">
      <c r="C1933" s="16" t="s">
        <v>280</v>
      </c>
      <c r="D1933" s="6" t="str">
        <f>HYPERLINK("javascript:void(0)","ezüst")</f>
        <v>ezüst</v>
      </c>
    </row>
    <row r="1934" spans="1:4" ht="12.75" customHeight="1" x14ac:dyDescent="0.2">
      <c r="B1934" s="2"/>
      <c r="C1934" s="15"/>
      <c r="D1934" s="2"/>
    </row>
    <row r="1935" spans="1:4" ht="12.75" customHeight="1" x14ac:dyDescent="0.2">
      <c r="B1935" s="2"/>
      <c r="C1935" s="15"/>
      <c r="D1935" s="2"/>
    </row>
    <row r="1936" spans="1:4" ht="12.75" customHeight="1" x14ac:dyDescent="0.2">
      <c r="A1936" s="13" t="s">
        <v>2856</v>
      </c>
      <c r="C1936" s="12"/>
    </row>
    <row r="1937" spans="1:4" ht="12.75" customHeight="1" x14ac:dyDescent="0.2">
      <c r="A1937" s="11"/>
      <c r="B1937" s="2"/>
      <c r="C1937" s="15"/>
      <c r="D1937" s="2"/>
    </row>
    <row r="1938" spans="1:4" ht="12.75" customHeight="1" x14ac:dyDescent="0.2">
      <c r="B1938" s="11" t="s">
        <v>0</v>
      </c>
      <c r="C1938" s="11" t="s">
        <v>159</v>
      </c>
    </row>
    <row r="1939" spans="1:4" ht="12.75" customHeight="1" x14ac:dyDescent="0.2">
      <c r="B1939" s="11" t="s">
        <v>2599</v>
      </c>
      <c r="C1939" s="11" t="s">
        <v>548</v>
      </c>
    </row>
    <row r="1940" spans="1:4" ht="25.5" customHeight="1" x14ac:dyDescent="0.2">
      <c r="B1940" s="11" t="s">
        <v>2600</v>
      </c>
      <c r="C1940" s="11" t="s">
        <v>2857</v>
      </c>
    </row>
    <row r="1941" spans="1:4" ht="25.5" customHeight="1" x14ac:dyDescent="0.2">
      <c r="B1941" s="11" t="s">
        <v>2601</v>
      </c>
      <c r="C1941" s="11"/>
    </row>
    <row r="1942" spans="1:4" ht="12.75" customHeight="1" x14ac:dyDescent="0.2">
      <c r="B1942" s="11" t="s">
        <v>16</v>
      </c>
      <c r="C1942" s="11"/>
    </row>
    <row r="1943" spans="1:4" ht="12.75" customHeight="1" x14ac:dyDescent="0.2">
      <c r="B1943" s="11" t="s">
        <v>13</v>
      </c>
      <c r="C1943" s="11" t="s">
        <v>2602</v>
      </c>
    </row>
    <row r="1944" spans="1:4" ht="12.75" customHeight="1" x14ac:dyDescent="0.2">
      <c r="B1944" s="11" t="s">
        <v>2603</v>
      </c>
      <c r="C1944" s="11" t="s">
        <v>2604</v>
      </c>
    </row>
    <row r="1945" spans="1:4" ht="12.75" customHeight="1" x14ac:dyDescent="0.2">
      <c r="B1945" s="11" t="s">
        <v>2605</v>
      </c>
      <c r="C1945" s="11" t="s">
        <v>24</v>
      </c>
    </row>
    <row r="1946" spans="1:4" ht="12.75" customHeight="1" x14ac:dyDescent="0.2">
      <c r="B1946" s="11" t="s">
        <v>2606</v>
      </c>
      <c r="C1946" s="16" t="s">
        <v>44</v>
      </c>
      <c r="D1946" s="6" t="str">
        <f>HYPERLINK("javascript:void(0)","mágusbot")</f>
        <v>mágusbot</v>
      </c>
    </row>
    <row r="1947" spans="1:4" ht="12.75" customHeight="1" x14ac:dyDescent="0.2">
      <c r="C1947" s="16" t="s">
        <v>280</v>
      </c>
      <c r="D1947" s="6" t="str">
        <f>HYPERLINK("javascript:void(0)","ezüst")</f>
        <v>ezüst</v>
      </c>
    </row>
    <row r="1948" spans="1:4" ht="12.75" customHeight="1" x14ac:dyDescent="0.2">
      <c r="B1948" s="2"/>
      <c r="C1948" s="15"/>
      <c r="D1948" s="2"/>
    </row>
    <row r="1949" spans="1:4" ht="12.75" customHeight="1" x14ac:dyDescent="0.2">
      <c r="B1949" s="2"/>
      <c r="C1949" s="15"/>
      <c r="D1949" s="2"/>
    </row>
    <row r="1950" spans="1:4" ht="12.75" customHeight="1" x14ac:dyDescent="0.2">
      <c r="A1950" s="13" t="s">
        <v>2858</v>
      </c>
      <c r="C1950" s="12"/>
    </row>
    <row r="1951" spans="1:4" ht="12.75" customHeight="1" x14ac:dyDescent="0.2">
      <c r="A1951" s="11"/>
      <c r="B1951" s="2"/>
      <c r="C1951" s="15"/>
      <c r="D1951" s="2"/>
    </row>
    <row r="1952" spans="1:4" ht="12.75" customHeight="1" x14ac:dyDescent="0.2">
      <c r="B1952" s="11" t="s">
        <v>0</v>
      </c>
      <c r="C1952" s="11" t="s">
        <v>159</v>
      </c>
    </row>
    <row r="1953" spans="1:4" ht="12.75" customHeight="1" x14ac:dyDescent="0.2">
      <c r="B1953" s="11" t="s">
        <v>2599</v>
      </c>
      <c r="C1953" s="11" t="s">
        <v>548</v>
      </c>
    </row>
    <row r="1954" spans="1:4" ht="25.5" customHeight="1" x14ac:dyDescent="0.2">
      <c r="B1954" s="11" t="s">
        <v>2600</v>
      </c>
      <c r="C1954" s="11" t="s">
        <v>2859</v>
      </c>
    </row>
    <row r="1955" spans="1:4" ht="25.5" customHeight="1" x14ac:dyDescent="0.2">
      <c r="B1955" s="11" t="s">
        <v>2601</v>
      </c>
      <c r="C1955" s="11"/>
    </row>
    <row r="1956" spans="1:4" ht="12.75" customHeight="1" x14ac:dyDescent="0.2">
      <c r="B1956" s="11" t="s">
        <v>16</v>
      </c>
      <c r="C1956" s="11"/>
    </row>
    <row r="1957" spans="1:4" ht="12.75" customHeight="1" x14ac:dyDescent="0.2">
      <c r="B1957" s="11" t="s">
        <v>13</v>
      </c>
      <c r="C1957" s="11" t="s">
        <v>2602</v>
      </c>
    </row>
    <row r="1958" spans="1:4" ht="12.75" customHeight="1" x14ac:dyDescent="0.2">
      <c r="B1958" s="11" t="s">
        <v>2603</v>
      </c>
      <c r="C1958" s="11" t="s">
        <v>2640</v>
      </c>
    </row>
    <row r="1959" spans="1:4" ht="12.75" customHeight="1" x14ac:dyDescent="0.2">
      <c r="B1959" s="11" t="s">
        <v>2605</v>
      </c>
      <c r="C1959" s="11" t="s">
        <v>24</v>
      </c>
    </row>
    <row r="1960" spans="1:4" ht="12.75" customHeight="1" x14ac:dyDescent="0.2">
      <c r="B1960" s="11" t="s">
        <v>2606</v>
      </c>
      <c r="C1960" s="16" t="s">
        <v>44</v>
      </c>
      <c r="D1960" s="6" t="str">
        <f>HYPERLINK("javascript:void(0)","mágusbot")</f>
        <v>mágusbot</v>
      </c>
    </row>
    <row r="1961" spans="1:4" ht="25.5" customHeight="1" x14ac:dyDescent="0.2">
      <c r="C1961" s="16" t="s">
        <v>44</v>
      </c>
      <c r="D1961" s="6" t="str">
        <f>HYPERLINK("javascript:void(0)","vámpírherbium")</f>
        <v>vámpírherbium</v>
      </c>
    </row>
    <row r="1962" spans="1:4" ht="25.5" customHeight="1" x14ac:dyDescent="0.2">
      <c r="C1962" s="16" t="s">
        <v>56</v>
      </c>
      <c r="D1962" s="6" t="str">
        <f>HYPERLINK("javascript:void(0)","lábszárcsont")</f>
        <v>lábszárcsont</v>
      </c>
    </row>
    <row r="1963" spans="1:4" ht="12.75" customHeight="1" x14ac:dyDescent="0.2">
      <c r="B1963" s="2"/>
      <c r="C1963" s="15"/>
      <c r="D1963" s="2"/>
    </row>
    <row r="1964" spans="1:4" ht="12.75" customHeight="1" x14ac:dyDescent="0.2">
      <c r="B1964" s="2"/>
      <c r="C1964" s="15"/>
      <c r="D1964" s="2"/>
    </row>
    <row r="1965" spans="1:4" ht="12.75" customHeight="1" x14ac:dyDescent="0.2">
      <c r="A1965" s="13" t="s">
        <v>2860</v>
      </c>
      <c r="C1965" s="12"/>
    </row>
    <row r="1966" spans="1:4" ht="12.75" customHeight="1" x14ac:dyDescent="0.2">
      <c r="A1966" s="11"/>
      <c r="B1966" s="2"/>
      <c r="C1966" s="15"/>
      <c r="D1966" s="2"/>
    </row>
    <row r="1967" spans="1:4" ht="12.75" customHeight="1" x14ac:dyDescent="0.2">
      <c r="B1967" s="11" t="s">
        <v>0</v>
      </c>
      <c r="C1967" s="11" t="s">
        <v>159</v>
      </c>
    </row>
    <row r="1968" spans="1:4" ht="12.75" customHeight="1" x14ac:dyDescent="0.2">
      <c r="B1968" s="11" t="s">
        <v>2599</v>
      </c>
      <c r="C1968" s="11" t="s">
        <v>1821</v>
      </c>
    </row>
    <row r="1969" spans="1:4" ht="25.5" customHeight="1" x14ac:dyDescent="0.2">
      <c r="B1969" s="11" t="s">
        <v>2600</v>
      </c>
      <c r="C1969" s="11" t="s">
        <v>2359</v>
      </c>
    </row>
    <row r="1970" spans="1:4" ht="25.5" customHeight="1" x14ac:dyDescent="0.2">
      <c r="B1970" s="11" t="s">
        <v>2601</v>
      </c>
      <c r="C1970" s="11"/>
    </row>
    <row r="1971" spans="1:4" ht="12.75" customHeight="1" x14ac:dyDescent="0.2">
      <c r="B1971" s="11" t="s">
        <v>16</v>
      </c>
      <c r="C1971" s="11"/>
    </row>
    <row r="1972" spans="1:4" ht="12.75" customHeight="1" x14ac:dyDescent="0.2">
      <c r="B1972" s="11" t="s">
        <v>13</v>
      </c>
      <c r="C1972" s="11" t="s">
        <v>2602</v>
      </c>
    </row>
    <row r="1973" spans="1:4" ht="12.75" customHeight="1" x14ac:dyDescent="0.2">
      <c r="B1973" s="11" t="s">
        <v>2603</v>
      </c>
      <c r="C1973" s="11" t="s">
        <v>2604</v>
      </c>
    </row>
    <row r="1974" spans="1:4" ht="12.75" customHeight="1" x14ac:dyDescent="0.2">
      <c r="B1974" s="11" t="s">
        <v>2605</v>
      </c>
      <c r="C1974" s="11" t="s">
        <v>24</v>
      </c>
    </row>
    <row r="1975" spans="1:4" ht="12.75" customHeight="1" x14ac:dyDescent="0.2">
      <c r="B1975" s="11" t="s">
        <v>2606</v>
      </c>
      <c r="C1975" s="16" t="s">
        <v>44</v>
      </c>
      <c r="D1975" s="6" t="str">
        <f>HYPERLINK("javascript:void(0)","mágusbot")</f>
        <v>mágusbot</v>
      </c>
    </row>
    <row r="1976" spans="1:4" ht="12.75" customHeight="1" x14ac:dyDescent="0.2">
      <c r="C1976" s="16" t="s">
        <v>280</v>
      </c>
      <c r="D1976" s="6" t="str">
        <f>HYPERLINK("javascript:void(0)","ezüst")</f>
        <v>ezüst</v>
      </c>
    </row>
    <row r="1977" spans="1:4" ht="12.75" customHeight="1" x14ac:dyDescent="0.2">
      <c r="B1977" s="2"/>
      <c r="C1977" s="15"/>
      <c r="D1977" s="2"/>
    </row>
    <row r="1978" spans="1:4" ht="12.75" customHeight="1" x14ac:dyDescent="0.2">
      <c r="B1978" s="2"/>
      <c r="C1978" s="15"/>
      <c r="D1978" s="2"/>
    </row>
    <row r="1979" spans="1:4" ht="12.75" customHeight="1" x14ac:dyDescent="0.2">
      <c r="A1979" s="13" t="s">
        <v>2861</v>
      </c>
      <c r="C1979" s="12"/>
    </row>
    <row r="1980" spans="1:4" ht="12.75" customHeight="1" x14ac:dyDescent="0.2">
      <c r="A1980" s="11"/>
      <c r="B1980" s="2"/>
      <c r="C1980" s="15"/>
      <c r="D1980" s="2"/>
    </row>
    <row r="1981" spans="1:4" ht="12.75" customHeight="1" x14ac:dyDescent="0.2">
      <c r="B1981" s="11" t="s">
        <v>0</v>
      </c>
      <c r="C1981" s="11" t="s">
        <v>159</v>
      </c>
    </row>
    <row r="1982" spans="1:4" ht="12.75" customHeight="1" x14ac:dyDescent="0.2">
      <c r="B1982" s="11" t="s">
        <v>2599</v>
      </c>
      <c r="C1982" s="11" t="s">
        <v>2217</v>
      </c>
    </row>
    <row r="1983" spans="1:4" ht="25.5" customHeight="1" x14ac:dyDescent="0.2">
      <c r="B1983" s="11" t="s">
        <v>2600</v>
      </c>
      <c r="C1983" s="11" t="s">
        <v>2862</v>
      </c>
    </row>
    <row r="1984" spans="1:4" ht="25.5" customHeight="1" x14ac:dyDescent="0.2">
      <c r="B1984" s="11" t="s">
        <v>2601</v>
      </c>
      <c r="C1984" s="11"/>
    </row>
    <row r="1985" spans="1:4" ht="12.75" customHeight="1" x14ac:dyDescent="0.2">
      <c r="B1985" s="11" t="s">
        <v>16</v>
      </c>
      <c r="C1985" s="11"/>
    </row>
    <row r="1986" spans="1:4" ht="12.75" customHeight="1" x14ac:dyDescent="0.2">
      <c r="B1986" s="11" t="s">
        <v>13</v>
      </c>
      <c r="C1986" s="11" t="s">
        <v>2602</v>
      </c>
    </row>
    <row r="1987" spans="1:4" ht="12.75" customHeight="1" x14ac:dyDescent="0.2">
      <c r="B1987" s="11" t="s">
        <v>2603</v>
      </c>
      <c r="C1987" s="11" t="s">
        <v>2604</v>
      </c>
    </row>
    <row r="1988" spans="1:4" ht="12.75" customHeight="1" x14ac:dyDescent="0.2">
      <c r="B1988" s="11" t="s">
        <v>2605</v>
      </c>
      <c r="C1988" s="11" t="s">
        <v>24</v>
      </c>
    </row>
    <row r="1989" spans="1:4" ht="12.75" customHeight="1" x14ac:dyDescent="0.2">
      <c r="B1989" s="11" t="s">
        <v>2606</v>
      </c>
      <c r="C1989" s="16" t="s">
        <v>44</v>
      </c>
      <c r="D1989" s="6" t="str">
        <f>HYPERLINK("javascript:void(0)","mágusbot")</f>
        <v>mágusbot</v>
      </c>
    </row>
    <row r="1990" spans="1:4" ht="12.75" customHeight="1" x14ac:dyDescent="0.2">
      <c r="C1990" s="16" t="s">
        <v>280</v>
      </c>
      <c r="D1990" s="6" t="str">
        <f>HYPERLINK("javascript:void(0)","ezüst")</f>
        <v>ezüst</v>
      </c>
    </row>
    <row r="1991" spans="1:4" ht="12.75" customHeight="1" x14ac:dyDescent="0.2">
      <c r="B1991" s="2"/>
      <c r="C1991" s="15"/>
      <c r="D1991" s="2"/>
    </row>
    <row r="1992" spans="1:4" ht="12.75" customHeight="1" x14ac:dyDescent="0.2">
      <c r="B1992" s="2"/>
      <c r="C1992" s="15"/>
      <c r="D1992" s="2"/>
    </row>
    <row r="1993" spans="1:4" ht="12.75" customHeight="1" x14ac:dyDescent="0.2">
      <c r="A1993" s="13" t="s">
        <v>2863</v>
      </c>
      <c r="C1993" s="12"/>
    </row>
    <row r="1994" spans="1:4" ht="12.75" customHeight="1" x14ac:dyDescent="0.2">
      <c r="A1994" s="11"/>
      <c r="B1994" s="2"/>
      <c r="C1994" s="15"/>
      <c r="D1994" s="2"/>
    </row>
    <row r="1995" spans="1:4" ht="12.75" customHeight="1" x14ac:dyDescent="0.2">
      <c r="B1995" s="11" t="s">
        <v>0</v>
      </c>
      <c r="C1995" s="11" t="s">
        <v>159</v>
      </c>
    </row>
    <row r="1996" spans="1:4" ht="12.75" customHeight="1" x14ac:dyDescent="0.2">
      <c r="B1996" s="11" t="s">
        <v>2599</v>
      </c>
      <c r="C1996" s="11" t="s">
        <v>2453</v>
      </c>
    </row>
    <row r="1997" spans="1:4" ht="25.5" customHeight="1" x14ac:dyDescent="0.2">
      <c r="B1997" s="11" t="s">
        <v>2600</v>
      </c>
      <c r="C1997" s="11" t="s">
        <v>2864</v>
      </c>
    </row>
    <row r="1998" spans="1:4" ht="25.5" customHeight="1" x14ac:dyDescent="0.2">
      <c r="B1998" s="11" t="s">
        <v>2601</v>
      </c>
      <c r="C1998" s="11"/>
    </row>
    <row r="1999" spans="1:4" ht="12.75" customHeight="1" x14ac:dyDescent="0.2">
      <c r="B1999" s="11" t="s">
        <v>16</v>
      </c>
      <c r="C1999" s="11"/>
    </row>
    <row r="2000" spans="1:4" ht="12.75" customHeight="1" x14ac:dyDescent="0.2">
      <c r="B2000" s="11" t="s">
        <v>13</v>
      </c>
      <c r="C2000" s="11" t="s">
        <v>2602</v>
      </c>
    </row>
    <row r="2001" spans="1:4" ht="12.75" customHeight="1" x14ac:dyDescent="0.2">
      <c r="B2001" s="11" t="s">
        <v>2603</v>
      </c>
      <c r="C2001" s="11" t="s">
        <v>2865</v>
      </c>
    </row>
    <row r="2002" spans="1:4" ht="12.75" customHeight="1" x14ac:dyDescent="0.2">
      <c r="B2002" s="11" t="s">
        <v>2605</v>
      </c>
      <c r="C2002" s="11" t="s">
        <v>24</v>
      </c>
    </row>
    <row r="2003" spans="1:4" ht="25.5" customHeight="1" x14ac:dyDescent="0.2">
      <c r="B2003" s="11" t="s">
        <v>2606</v>
      </c>
      <c r="C2003" s="16" t="s">
        <v>44</v>
      </c>
      <c r="D2003" s="6" t="str">
        <f>HYPERLINK("javascript:void(0)","szöges bunkó")</f>
        <v>szöges bunkó</v>
      </c>
    </row>
    <row r="2004" spans="1:4" ht="12.75" customHeight="1" x14ac:dyDescent="0.2">
      <c r="C2004" s="16" t="s">
        <v>56</v>
      </c>
      <c r="D2004" s="6" t="str">
        <f>HYPERLINK("javascript:void(0)","kaja")</f>
        <v>kaja</v>
      </c>
    </row>
    <row r="2005" spans="1:4" ht="12.75" customHeight="1" x14ac:dyDescent="0.2">
      <c r="B2005" s="2"/>
      <c r="C2005" s="15"/>
      <c r="D2005" s="2"/>
    </row>
    <row r="2006" spans="1:4" ht="12.75" customHeight="1" x14ac:dyDescent="0.2">
      <c r="B2006" s="2"/>
      <c r="C2006" s="15"/>
      <c r="D2006" s="2"/>
    </row>
    <row r="2007" spans="1:4" ht="12.75" customHeight="1" x14ac:dyDescent="0.2">
      <c r="A2007" s="13" t="s">
        <v>2866</v>
      </c>
      <c r="C2007" s="12"/>
    </row>
    <row r="2008" spans="1:4" ht="12.75" customHeight="1" x14ac:dyDescent="0.2">
      <c r="A2008" s="11"/>
      <c r="B2008" s="2"/>
      <c r="C2008" s="15"/>
      <c r="D2008" s="2"/>
    </row>
    <row r="2009" spans="1:4" ht="12.75" customHeight="1" x14ac:dyDescent="0.2">
      <c r="B2009" s="11" t="s">
        <v>0</v>
      </c>
      <c r="C2009" s="11" t="s">
        <v>159</v>
      </c>
    </row>
    <row r="2010" spans="1:4" ht="12.75" customHeight="1" x14ac:dyDescent="0.2">
      <c r="B2010" s="11" t="s">
        <v>2599</v>
      </c>
      <c r="C2010" s="11" t="s">
        <v>2428</v>
      </c>
    </row>
    <row r="2011" spans="1:4" ht="25.5" customHeight="1" x14ac:dyDescent="0.2">
      <c r="B2011" s="11" t="s">
        <v>2600</v>
      </c>
      <c r="C2011" s="11" t="s">
        <v>2867</v>
      </c>
    </row>
    <row r="2012" spans="1:4" ht="25.5" customHeight="1" x14ac:dyDescent="0.2">
      <c r="B2012" s="11" t="s">
        <v>2601</v>
      </c>
      <c r="C2012" s="11"/>
    </row>
    <row r="2013" spans="1:4" ht="12.75" customHeight="1" x14ac:dyDescent="0.2">
      <c r="B2013" s="11" t="s">
        <v>16</v>
      </c>
      <c r="C2013" s="11"/>
    </row>
    <row r="2014" spans="1:4" ht="12.75" customHeight="1" x14ac:dyDescent="0.2">
      <c r="B2014" s="11" t="s">
        <v>13</v>
      </c>
      <c r="C2014" s="11" t="s">
        <v>2644</v>
      </c>
    </row>
    <row r="2015" spans="1:4" ht="12.75" customHeight="1" x14ac:dyDescent="0.2">
      <c r="B2015" s="11" t="s">
        <v>2603</v>
      </c>
      <c r="C2015" s="11" t="s">
        <v>2604</v>
      </c>
    </row>
    <row r="2016" spans="1:4" ht="12.75" customHeight="1" x14ac:dyDescent="0.2">
      <c r="B2016" s="11" t="s">
        <v>2605</v>
      </c>
      <c r="C2016" s="11" t="s">
        <v>24</v>
      </c>
    </row>
    <row r="2017" spans="1:4" ht="12.75" customHeight="1" x14ac:dyDescent="0.2">
      <c r="B2017" s="11" t="s">
        <v>2606</v>
      </c>
      <c r="C2017" s="16" t="s">
        <v>56</v>
      </c>
      <c r="D2017" s="6" t="str">
        <f>HYPERLINK("javascript:void(0)","nyonyóc fog")</f>
        <v>nyonyóc fog</v>
      </c>
    </row>
    <row r="2018" spans="1:4" ht="12.75" customHeight="1" x14ac:dyDescent="0.2">
      <c r="C2018" s="16" t="s">
        <v>130</v>
      </c>
      <c r="D2018" s="6" t="str">
        <f>HYPERLINK("javascript:void(0)","ezüst")</f>
        <v>ezüst</v>
      </c>
    </row>
    <row r="2019" spans="1:4" ht="12.75" customHeight="1" x14ac:dyDescent="0.2">
      <c r="B2019" s="2"/>
      <c r="C2019" s="15"/>
      <c r="D2019" s="2"/>
    </row>
    <row r="2020" spans="1:4" ht="12.75" customHeight="1" x14ac:dyDescent="0.2">
      <c r="B2020" s="2"/>
      <c r="C2020" s="15"/>
      <c r="D2020" s="2"/>
    </row>
    <row r="2021" spans="1:4" ht="12.75" customHeight="1" x14ac:dyDescent="0.2">
      <c r="A2021" s="13" t="s">
        <v>2868</v>
      </c>
      <c r="C2021" s="12"/>
      <c r="D2021" s="2"/>
    </row>
    <row r="2022" spans="1:4" ht="12.75" customHeight="1" x14ac:dyDescent="0.2">
      <c r="A2022" s="11"/>
      <c r="B2022" s="2"/>
      <c r="C2022" s="15"/>
      <c r="D2022" s="2"/>
    </row>
    <row r="2023" spans="1:4" ht="12.75" customHeight="1" x14ac:dyDescent="0.2">
      <c r="B2023" s="11" t="s">
        <v>0</v>
      </c>
      <c r="C2023" s="17" t="s">
        <v>153</v>
      </c>
      <c r="D2023" s="2"/>
    </row>
    <row r="2024" spans="1:4" ht="12.75" customHeight="1" x14ac:dyDescent="0.2">
      <c r="B2024" s="11" t="s">
        <v>2599</v>
      </c>
      <c r="C2024" s="17" t="s">
        <v>2869</v>
      </c>
      <c r="D2024" s="2"/>
    </row>
    <row r="2025" spans="1:4" ht="25.5" customHeight="1" x14ac:dyDescent="0.2">
      <c r="B2025" s="11" t="s">
        <v>2600</v>
      </c>
      <c r="C2025" s="17" t="s">
        <v>2870</v>
      </c>
      <c r="D2025" s="2"/>
    </row>
    <row r="2026" spans="1:4" ht="25.5" customHeight="1" x14ac:dyDescent="0.2">
      <c r="B2026" s="11" t="s">
        <v>2601</v>
      </c>
      <c r="C2026" s="17"/>
      <c r="D2026" s="2"/>
    </row>
    <row r="2027" spans="1:4" ht="12.75" customHeight="1" x14ac:dyDescent="0.2">
      <c r="B2027" s="11" t="s">
        <v>16</v>
      </c>
      <c r="C2027" s="17"/>
      <c r="D2027" s="2"/>
    </row>
    <row r="2028" spans="1:4" ht="12.75" customHeight="1" x14ac:dyDescent="0.2">
      <c r="B2028" s="11" t="s">
        <v>13</v>
      </c>
      <c r="C2028" s="17" t="s">
        <v>2602</v>
      </c>
      <c r="D2028" s="2"/>
    </row>
    <row r="2029" spans="1:4" ht="12.75" customHeight="1" x14ac:dyDescent="0.2">
      <c r="B2029" s="11" t="s">
        <v>2603</v>
      </c>
      <c r="C2029" s="17" t="s">
        <v>128</v>
      </c>
      <c r="D2029" s="2"/>
    </row>
    <row r="2030" spans="1:4" ht="12.75" customHeight="1" x14ac:dyDescent="0.2">
      <c r="B2030" s="11" t="s">
        <v>2605</v>
      </c>
      <c r="C2030" s="17" t="s">
        <v>14</v>
      </c>
      <c r="D2030" s="2"/>
    </row>
    <row r="2031" spans="1:4" ht="12.75" customHeight="1" x14ac:dyDescent="0.2">
      <c r="B2031" s="11" t="s">
        <v>2606</v>
      </c>
      <c r="C2031" s="16" t="s">
        <v>19</v>
      </c>
      <c r="D2031" s="2"/>
    </row>
    <row r="2032" spans="1:4" ht="12.75" customHeight="1" x14ac:dyDescent="0.2">
      <c r="B2032" s="2"/>
      <c r="C2032" s="15"/>
      <c r="D2032" s="2"/>
    </row>
    <row r="2033" spans="1:4" ht="12.75" customHeight="1" x14ac:dyDescent="0.2">
      <c r="B2033" s="2"/>
      <c r="C2033" s="15"/>
      <c r="D2033" s="2"/>
    </row>
    <row r="2034" spans="1:4" ht="12.75" customHeight="1" x14ac:dyDescent="0.2">
      <c r="A2034" s="13" t="s">
        <v>2871</v>
      </c>
      <c r="C2034" s="12"/>
      <c r="D2034" s="2"/>
    </row>
    <row r="2035" spans="1:4" ht="12.75" customHeight="1" x14ac:dyDescent="0.2">
      <c r="A2035" s="11"/>
      <c r="B2035" s="2"/>
      <c r="C2035" s="15"/>
      <c r="D2035" s="2"/>
    </row>
    <row r="2036" spans="1:4" ht="12.75" customHeight="1" x14ac:dyDescent="0.2">
      <c r="B2036" s="11" t="s">
        <v>0</v>
      </c>
      <c r="C2036" s="17" t="s">
        <v>153</v>
      </c>
      <c r="D2036" s="2"/>
    </row>
    <row r="2037" spans="1:4" ht="12.75" customHeight="1" x14ac:dyDescent="0.2">
      <c r="B2037" s="11" t="s">
        <v>2599</v>
      </c>
      <c r="C2037" s="17" t="s">
        <v>2468</v>
      </c>
      <c r="D2037" s="2"/>
    </row>
    <row r="2038" spans="1:4" ht="25.5" customHeight="1" x14ac:dyDescent="0.2">
      <c r="B2038" s="11" t="s">
        <v>2600</v>
      </c>
      <c r="C2038" s="17" t="s">
        <v>2872</v>
      </c>
      <c r="D2038" s="2"/>
    </row>
    <row r="2039" spans="1:4" ht="25.5" customHeight="1" x14ac:dyDescent="0.2">
      <c r="B2039" s="11" t="s">
        <v>2601</v>
      </c>
      <c r="C2039" s="17"/>
      <c r="D2039" s="2"/>
    </row>
    <row r="2040" spans="1:4" ht="12.75" customHeight="1" x14ac:dyDescent="0.2">
      <c r="B2040" s="11" t="s">
        <v>16</v>
      </c>
      <c r="C2040" s="17"/>
      <c r="D2040" s="2"/>
    </row>
    <row r="2041" spans="1:4" ht="12.75" customHeight="1" x14ac:dyDescent="0.2">
      <c r="B2041" s="11" t="s">
        <v>13</v>
      </c>
      <c r="C2041" s="17" t="s">
        <v>2602</v>
      </c>
      <c r="D2041" s="2"/>
    </row>
    <row r="2042" spans="1:4" ht="12.75" customHeight="1" x14ac:dyDescent="0.2">
      <c r="B2042" s="11" t="s">
        <v>2603</v>
      </c>
      <c r="C2042" s="17" t="s">
        <v>128</v>
      </c>
      <c r="D2042" s="2"/>
    </row>
    <row r="2043" spans="1:4" ht="12.75" customHeight="1" x14ac:dyDescent="0.2">
      <c r="B2043" s="11" t="s">
        <v>2605</v>
      </c>
      <c r="C2043" s="17" t="s">
        <v>14</v>
      </c>
      <c r="D2043" s="2"/>
    </row>
    <row r="2044" spans="1:4" ht="12.75" customHeight="1" x14ac:dyDescent="0.2">
      <c r="B2044" s="11" t="s">
        <v>2606</v>
      </c>
      <c r="C2044" s="16" t="s">
        <v>19</v>
      </c>
      <c r="D2044" s="2"/>
    </row>
    <row r="2045" spans="1:4" ht="12.75" customHeight="1" x14ac:dyDescent="0.2">
      <c r="B2045" s="2"/>
      <c r="C2045" s="15"/>
      <c r="D2045" s="2"/>
    </row>
    <row r="2046" spans="1:4" ht="12.75" customHeight="1" x14ac:dyDescent="0.2">
      <c r="B2046" s="2"/>
      <c r="C2046" s="15"/>
      <c r="D2046" s="2"/>
    </row>
    <row r="2047" spans="1:4" ht="12.75" customHeight="1" x14ac:dyDescent="0.2">
      <c r="A2047" s="13" t="s">
        <v>2873</v>
      </c>
      <c r="C2047" s="12"/>
    </row>
    <row r="2048" spans="1:4" ht="12.75" customHeight="1" x14ac:dyDescent="0.2">
      <c r="A2048" s="11"/>
      <c r="B2048" s="2"/>
      <c r="C2048" s="15"/>
      <c r="D2048" s="2"/>
    </row>
    <row r="2049" spans="1:4" ht="12.75" customHeight="1" x14ac:dyDescent="0.2">
      <c r="B2049" s="11" t="s">
        <v>0</v>
      </c>
      <c r="C2049" s="11" t="s">
        <v>153</v>
      </c>
    </row>
    <row r="2050" spans="1:4" ht="12.75" customHeight="1" x14ac:dyDescent="0.2">
      <c r="B2050" s="11" t="s">
        <v>2599</v>
      </c>
      <c r="C2050" s="11" t="s">
        <v>1823</v>
      </c>
    </row>
    <row r="2051" spans="1:4" ht="25.5" customHeight="1" x14ac:dyDescent="0.2">
      <c r="B2051" s="11" t="s">
        <v>2600</v>
      </c>
      <c r="C2051" s="11" t="s">
        <v>2874</v>
      </c>
    </row>
    <row r="2052" spans="1:4" ht="25.5" customHeight="1" x14ac:dyDescent="0.2">
      <c r="B2052" s="11" t="s">
        <v>2601</v>
      </c>
      <c r="C2052" s="11"/>
    </row>
    <row r="2053" spans="1:4" ht="12.75" customHeight="1" x14ac:dyDescent="0.2">
      <c r="B2053" s="11" t="s">
        <v>16</v>
      </c>
      <c r="C2053" s="11"/>
    </row>
    <row r="2054" spans="1:4" ht="12.75" customHeight="1" x14ac:dyDescent="0.2">
      <c r="B2054" s="11" t="s">
        <v>13</v>
      </c>
      <c r="C2054" s="11" t="s">
        <v>2644</v>
      </c>
    </row>
    <row r="2055" spans="1:4" ht="12.75" customHeight="1" x14ac:dyDescent="0.2">
      <c r="B2055" s="11" t="s">
        <v>2603</v>
      </c>
      <c r="C2055" s="11" t="s">
        <v>2633</v>
      </c>
    </row>
    <row r="2056" spans="1:4" ht="12.75" customHeight="1" x14ac:dyDescent="0.2">
      <c r="B2056" s="11" t="s">
        <v>2605</v>
      </c>
      <c r="C2056" s="11" t="s">
        <v>24</v>
      </c>
    </row>
    <row r="2057" spans="1:4" ht="25.5" customHeight="1" x14ac:dyDescent="0.2">
      <c r="B2057" s="11" t="s">
        <v>2606</v>
      </c>
      <c r="C2057" s="16" t="s">
        <v>56</v>
      </c>
      <c r="D2057" s="6" t="str">
        <f>HYPERLINK("javascript:void(0)","szén-hidragén")</f>
        <v>szén-hidragén</v>
      </c>
    </row>
    <row r="2058" spans="1:4" ht="12.75" customHeight="1" x14ac:dyDescent="0.2">
      <c r="B2058" s="2"/>
      <c r="C2058" s="15"/>
      <c r="D2058" s="2"/>
    </row>
    <row r="2059" spans="1:4" ht="12.75" customHeight="1" x14ac:dyDescent="0.2">
      <c r="B2059" s="2"/>
      <c r="C2059" s="15"/>
      <c r="D2059" s="2"/>
    </row>
    <row r="2060" spans="1:4" ht="12.75" customHeight="1" x14ac:dyDescent="0.2">
      <c r="A2060" s="13" t="s">
        <v>2875</v>
      </c>
      <c r="C2060" s="12"/>
    </row>
    <row r="2061" spans="1:4" ht="12.75" customHeight="1" x14ac:dyDescent="0.2">
      <c r="A2061" s="11"/>
      <c r="B2061" s="2"/>
      <c r="C2061" s="15"/>
      <c r="D2061" s="2"/>
    </row>
    <row r="2062" spans="1:4" ht="12.75" customHeight="1" x14ac:dyDescent="0.2">
      <c r="B2062" s="11" t="s">
        <v>0</v>
      </c>
      <c r="C2062" s="11" t="s">
        <v>153</v>
      </c>
    </row>
    <row r="2063" spans="1:4" ht="12.75" customHeight="1" x14ac:dyDescent="0.2">
      <c r="B2063" s="11" t="s">
        <v>2599</v>
      </c>
      <c r="C2063" s="11" t="s">
        <v>572</v>
      </c>
    </row>
    <row r="2064" spans="1:4" ht="25.5" customHeight="1" x14ac:dyDescent="0.2">
      <c r="B2064" s="11" t="s">
        <v>2600</v>
      </c>
      <c r="C2064" s="11" t="s">
        <v>2876</v>
      </c>
    </row>
    <row r="2065" spans="1:4" ht="25.5" customHeight="1" x14ac:dyDescent="0.2">
      <c r="B2065" s="11" t="s">
        <v>2601</v>
      </c>
      <c r="C2065" s="11"/>
    </row>
    <row r="2066" spans="1:4" ht="12.75" customHeight="1" x14ac:dyDescent="0.2">
      <c r="B2066" s="11" t="s">
        <v>16</v>
      </c>
      <c r="C2066" s="11"/>
    </row>
    <row r="2067" spans="1:4" ht="12.75" customHeight="1" x14ac:dyDescent="0.2">
      <c r="B2067" s="11" t="s">
        <v>13</v>
      </c>
      <c r="C2067" s="11" t="s">
        <v>2644</v>
      </c>
    </row>
    <row r="2068" spans="1:4" ht="12.75" customHeight="1" x14ac:dyDescent="0.2">
      <c r="B2068" s="11" t="s">
        <v>2603</v>
      </c>
      <c r="C2068" s="11" t="s">
        <v>2604</v>
      </c>
    </row>
    <row r="2069" spans="1:4" ht="12.75" customHeight="1" x14ac:dyDescent="0.2">
      <c r="B2069" s="11" t="s">
        <v>2605</v>
      </c>
      <c r="C2069" s="11" t="s">
        <v>24</v>
      </c>
    </row>
    <row r="2070" spans="1:4" ht="25.5" customHeight="1" x14ac:dyDescent="0.2">
      <c r="B2070" s="11" t="s">
        <v>2606</v>
      </c>
      <c r="C2070" s="16" t="s">
        <v>56</v>
      </c>
      <c r="D2070" s="6" t="str">
        <f>HYPERLINK("javascript:void(0)","vámpírherbium")</f>
        <v>vámpírherbium</v>
      </c>
    </row>
    <row r="2071" spans="1:4" ht="12.75" customHeight="1" x14ac:dyDescent="0.2">
      <c r="B2071" s="2"/>
      <c r="C2071" s="15"/>
      <c r="D2071" s="2"/>
    </row>
    <row r="2072" spans="1:4" ht="12.75" customHeight="1" x14ac:dyDescent="0.2">
      <c r="B2072" s="2"/>
      <c r="C2072" s="15"/>
      <c r="D2072" s="2"/>
    </row>
    <row r="2073" spans="1:4" ht="12.75" customHeight="1" x14ac:dyDescent="0.2">
      <c r="A2073" s="13" t="s">
        <v>2877</v>
      </c>
      <c r="C2073" s="12"/>
    </row>
    <row r="2074" spans="1:4" ht="12.75" customHeight="1" x14ac:dyDescent="0.2">
      <c r="A2074" s="11"/>
      <c r="B2074" s="2"/>
      <c r="C2074" s="15"/>
      <c r="D2074" s="2"/>
    </row>
    <row r="2075" spans="1:4" ht="12.75" customHeight="1" x14ac:dyDescent="0.2">
      <c r="B2075" s="11" t="s">
        <v>0</v>
      </c>
      <c r="C2075" s="11" t="s">
        <v>153</v>
      </c>
    </row>
    <row r="2076" spans="1:4" ht="12.75" customHeight="1" x14ac:dyDescent="0.2">
      <c r="B2076" s="11" t="s">
        <v>2599</v>
      </c>
      <c r="C2076" s="11" t="s">
        <v>2260</v>
      </c>
    </row>
    <row r="2077" spans="1:4" ht="25.5" customHeight="1" x14ac:dyDescent="0.2">
      <c r="B2077" s="11" t="s">
        <v>2600</v>
      </c>
      <c r="C2077" s="11" t="s">
        <v>2878</v>
      </c>
    </row>
    <row r="2078" spans="1:4" ht="25.5" customHeight="1" x14ac:dyDescent="0.2">
      <c r="B2078" s="11" t="s">
        <v>2601</v>
      </c>
      <c r="C2078" s="11"/>
    </row>
    <row r="2079" spans="1:4" ht="12.75" customHeight="1" x14ac:dyDescent="0.2">
      <c r="B2079" s="11" t="s">
        <v>16</v>
      </c>
      <c r="C2079" s="11"/>
    </row>
    <row r="2080" spans="1:4" ht="12.75" customHeight="1" x14ac:dyDescent="0.2">
      <c r="B2080" s="11" t="s">
        <v>13</v>
      </c>
      <c r="C2080" s="11" t="s">
        <v>2602</v>
      </c>
    </row>
    <row r="2081" spans="1:4" ht="12.75" customHeight="1" x14ac:dyDescent="0.2">
      <c r="B2081" s="11" t="s">
        <v>2603</v>
      </c>
      <c r="C2081" s="11" t="s">
        <v>2604</v>
      </c>
    </row>
    <row r="2082" spans="1:4" ht="12.75" customHeight="1" x14ac:dyDescent="0.2">
      <c r="B2082" s="11" t="s">
        <v>2605</v>
      </c>
      <c r="C2082" s="11" t="s">
        <v>24</v>
      </c>
    </row>
    <row r="2083" spans="1:4" ht="12.75" customHeight="1" x14ac:dyDescent="0.2">
      <c r="B2083" s="11" t="s">
        <v>2606</v>
      </c>
      <c r="C2083" s="16" t="s">
        <v>44</v>
      </c>
      <c r="D2083" s="6" t="str">
        <f>HYPERLINK("javascript:void(0)","smaragdtőr")</f>
        <v>smaragdtőr</v>
      </c>
    </row>
    <row r="2084" spans="1:4" ht="12.75" customHeight="1" x14ac:dyDescent="0.2">
      <c r="B2084" s="2"/>
      <c r="C2084" s="15"/>
      <c r="D2084" s="2"/>
    </row>
    <row r="2085" spans="1:4" ht="12.75" customHeight="1" x14ac:dyDescent="0.2">
      <c r="B2085" s="2"/>
      <c r="C2085" s="15"/>
      <c r="D2085" s="2"/>
    </row>
    <row r="2086" spans="1:4" ht="12.75" customHeight="1" x14ac:dyDescent="0.2">
      <c r="A2086" s="13" t="s">
        <v>2879</v>
      </c>
      <c r="C2086" s="12"/>
    </row>
    <row r="2087" spans="1:4" ht="12.75" customHeight="1" x14ac:dyDescent="0.2">
      <c r="A2087" s="11"/>
      <c r="B2087" s="2"/>
      <c r="C2087" s="15"/>
      <c r="D2087" s="2"/>
    </row>
    <row r="2088" spans="1:4" ht="12.75" customHeight="1" x14ac:dyDescent="0.2">
      <c r="B2088" s="11" t="s">
        <v>0</v>
      </c>
      <c r="C2088" s="11" t="s">
        <v>153</v>
      </c>
    </row>
    <row r="2089" spans="1:4" ht="12.75" customHeight="1" x14ac:dyDescent="0.2">
      <c r="B2089" s="11" t="s">
        <v>2599</v>
      </c>
      <c r="C2089" s="11" t="s">
        <v>2880</v>
      </c>
    </row>
    <row r="2090" spans="1:4" ht="25.5" customHeight="1" x14ac:dyDescent="0.2">
      <c r="B2090" s="11" t="s">
        <v>2600</v>
      </c>
      <c r="C2090" s="11" t="s">
        <v>2881</v>
      </c>
    </row>
    <row r="2091" spans="1:4" ht="25.5" customHeight="1" x14ac:dyDescent="0.2">
      <c r="B2091" s="11" t="s">
        <v>2601</v>
      </c>
      <c r="C2091" s="11"/>
    </row>
    <row r="2092" spans="1:4" ht="12.75" customHeight="1" x14ac:dyDescent="0.2">
      <c r="B2092" s="11" t="s">
        <v>16</v>
      </c>
      <c r="C2092" s="11"/>
    </row>
    <row r="2093" spans="1:4" ht="12.75" customHeight="1" x14ac:dyDescent="0.2">
      <c r="B2093" s="11" t="s">
        <v>13</v>
      </c>
      <c r="C2093" s="11" t="s">
        <v>2602</v>
      </c>
    </row>
    <row r="2094" spans="1:4" ht="12.75" customHeight="1" x14ac:dyDescent="0.2">
      <c r="B2094" s="11" t="s">
        <v>2603</v>
      </c>
      <c r="C2094" s="11" t="s">
        <v>2882</v>
      </c>
    </row>
    <row r="2095" spans="1:4" ht="12.75" customHeight="1" x14ac:dyDescent="0.2">
      <c r="B2095" s="11" t="s">
        <v>2605</v>
      </c>
      <c r="C2095" s="11" t="s">
        <v>24</v>
      </c>
    </row>
    <row r="2096" spans="1:4" ht="25.5" customHeight="1" x14ac:dyDescent="0.2">
      <c r="B2096" s="11" t="s">
        <v>2606</v>
      </c>
      <c r="C2096" s="16" t="s">
        <v>44</v>
      </c>
      <c r="D2096" s="6" t="str">
        <f>HYPERLINK("javascript:void(0)","mágikus fejsze")</f>
        <v>mágikus fejsze</v>
      </c>
    </row>
    <row r="2097" spans="1:4" ht="12.75" customHeight="1" x14ac:dyDescent="0.2">
      <c r="C2097" s="16" t="s">
        <v>44</v>
      </c>
      <c r="D2097" s="6" t="str">
        <f>HYPERLINK("javascript:void(0)","kristálylap")</f>
        <v>kristálylap</v>
      </c>
    </row>
    <row r="2098" spans="1:4" ht="12.75" customHeight="1" x14ac:dyDescent="0.2">
      <c r="C2098" s="16" t="s">
        <v>232</v>
      </c>
      <c r="D2098" s="6" t="str">
        <f>HYPERLINK("javascript:void(0)","ezüst")</f>
        <v>ezüst</v>
      </c>
    </row>
    <row r="2099" spans="1:4" ht="12.75" customHeight="1" x14ac:dyDescent="0.2">
      <c r="B2099" s="2"/>
      <c r="C2099" s="15"/>
      <c r="D2099" s="2"/>
    </row>
    <row r="2100" spans="1:4" ht="12.75" customHeight="1" x14ac:dyDescent="0.2">
      <c r="B2100" s="2"/>
      <c r="C2100" s="15"/>
      <c r="D2100" s="2"/>
    </row>
    <row r="2101" spans="1:4" ht="12.75" customHeight="1" x14ac:dyDescent="0.2">
      <c r="A2101" s="13" t="s">
        <v>2883</v>
      </c>
      <c r="C2101" s="12"/>
    </row>
    <row r="2102" spans="1:4" ht="12.75" customHeight="1" x14ac:dyDescent="0.2">
      <c r="A2102" s="11"/>
      <c r="B2102" s="2"/>
      <c r="C2102" s="15"/>
      <c r="D2102" s="2"/>
    </row>
    <row r="2103" spans="1:4" ht="12.75" customHeight="1" x14ac:dyDescent="0.2">
      <c r="B2103" s="11" t="s">
        <v>0</v>
      </c>
      <c r="C2103" s="11" t="s">
        <v>153</v>
      </c>
    </row>
    <row r="2104" spans="1:4" ht="12.75" customHeight="1" x14ac:dyDescent="0.2">
      <c r="B2104" s="11" t="s">
        <v>2599</v>
      </c>
      <c r="C2104" s="11" t="s">
        <v>2231</v>
      </c>
    </row>
    <row r="2105" spans="1:4" ht="25.5" customHeight="1" x14ac:dyDescent="0.2">
      <c r="B2105" s="11" t="s">
        <v>2600</v>
      </c>
      <c r="C2105" s="11" t="s">
        <v>2884</v>
      </c>
    </row>
    <row r="2106" spans="1:4" ht="25.5" customHeight="1" x14ac:dyDescent="0.2">
      <c r="B2106" s="11" t="s">
        <v>2601</v>
      </c>
      <c r="C2106" s="11"/>
    </row>
    <row r="2107" spans="1:4" ht="12.75" customHeight="1" x14ac:dyDescent="0.2">
      <c r="B2107" s="11" t="s">
        <v>16</v>
      </c>
      <c r="C2107" s="11"/>
    </row>
    <row r="2108" spans="1:4" ht="12.75" customHeight="1" x14ac:dyDescent="0.2">
      <c r="B2108" s="11" t="s">
        <v>13</v>
      </c>
      <c r="C2108" s="11" t="s">
        <v>2602</v>
      </c>
    </row>
    <row r="2109" spans="1:4" ht="12.75" customHeight="1" x14ac:dyDescent="0.2">
      <c r="B2109" s="11" t="s">
        <v>2603</v>
      </c>
      <c r="C2109" s="11" t="s">
        <v>2604</v>
      </c>
    </row>
    <row r="2110" spans="1:4" ht="12.75" customHeight="1" x14ac:dyDescent="0.2">
      <c r="B2110" s="11" t="s">
        <v>2605</v>
      </c>
      <c r="C2110" s="11" t="s">
        <v>24</v>
      </c>
    </row>
    <row r="2111" spans="1:4" ht="12.75" customHeight="1" x14ac:dyDescent="0.2">
      <c r="B2111" s="11" t="s">
        <v>2606</v>
      </c>
      <c r="C2111" s="16" t="s">
        <v>44</v>
      </c>
      <c r="D2111" s="6" t="str">
        <f>HYPERLINK("javascript:void(0)","chang-kard")</f>
        <v>chang-kard</v>
      </c>
    </row>
    <row r="2112" spans="1:4" ht="12.75" customHeight="1" x14ac:dyDescent="0.2">
      <c r="C2112" s="16" t="s">
        <v>102</v>
      </c>
      <c r="D2112" s="6" t="str">
        <f>HYPERLINK("javascript:void(0)","ezüst")</f>
        <v>ezüst</v>
      </c>
    </row>
    <row r="2113" spans="1:4" ht="12.75" customHeight="1" x14ac:dyDescent="0.2">
      <c r="B2113" s="2"/>
      <c r="C2113" s="15"/>
      <c r="D2113" s="2"/>
    </row>
    <row r="2114" spans="1:4" ht="12.75" customHeight="1" x14ac:dyDescent="0.2">
      <c r="B2114" s="2"/>
      <c r="C2114" s="15"/>
      <c r="D2114" s="2"/>
    </row>
    <row r="2115" spans="1:4" ht="12.75" customHeight="1" x14ac:dyDescent="0.2">
      <c r="A2115" s="13" t="s">
        <v>2885</v>
      </c>
      <c r="C2115" s="12"/>
    </row>
    <row r="2116" spans="1:4" ht="12.75" customHeight="1" x14ac:dyDescent="0.2">
      <c r="A2116" s="11"/>
      <c r="B2116" s="2"/>
      <c r="C2116" s="15"/>
      <c r="D2116" s="2"/>
    </row>
    <row r="2117" spans="1:4" ht="12.75" customHeight="1" x14ac:dyDescent="0.2">
      <c r="B2117" s="11" t="s">
        <v>0</v>
      </c>
      <c r="C2117" s="11" t="s">
        <v>153</v>
      </c>
    </row>
    <row r="2118" spans="1:4" ht="12.75" customHeight="1" x14ac:dyDescent="0.2">
      <c r="B2118" s="11" t="s">
        <v>2599</v>
      </c>
      <c r="C2118" s="11" t="s">
        <v>285</v>
      </c>
    </row>
    <row r="2119" spans="1:4" ht="25.5" customHeight="1" x14ac:dyDescent="0.2">
      <c r="B2119" s="11" t="s">
        <v>2600</v>
      </c>
      <c r="C2119" s="11" t="s">
        <v>2886</v>
      </c>
    </row>
    <row r="2120" spans="1:4" ht="25.5" customHeight="1" x14ac:dyDescent="0.2">
      <c r="B2120" s="11" t="s">
        <v>2601</v>
      </c>
      <c r="C2120" s="11"/>
    </row>
    <row r="2121" spans="1:4" ht="12.75" customHeight="1" x14ac:dyDescent="0.2">
      <c r="B2121" s="11" t="s">
        <v>16</v>
      </c>
      <c r="C2121" s="11"/>
    </row>
    <row r="2122" spans="1:4" ht="12.75" customHeight="1" x14ac:dyDescent="0.2">
      <c r="B2122" s="11" t="s">
        <v>13</v>
      </c>
      <c r="C2122" s="11" t="s">
        <v>2644</v>
      </c>
    </row>
    <row r="2123" spans="1:4" ht="12.75" customHeight="1" x14ac:dyDescent="0.2">
      <c r="B2123" s="11" t="s">
        <v>2603</v>
      </c>
      <c r="C2123" s="11" t="s">
        <v>2604</v>
      </c>
    </row>
    <row r="2124" spans="1:4" ht="12.75" customHeight="1" x14ac:dyDescent="0.2">
      <c r="B2124" s="11" t="s">
        <v>2605</v>
      </c>
      <c r="C2124" s="11" t="s">
        <v>24</v>
      </c>
    </row>
    <row r="2125" spans="1:4" ht="25.5" customHeight="1" x14ac:dyDescent="0.2">
      <c r="B2125" s="11" t="s">
        <v>2606</v>
      </c>
      <c r="C2125" s="16" t="s">
        <v>77</v>
      </c>
      <c r="D2125" s="6" t="str">
        <f>HYPERLINK("javascript:void(0)","méregmirigy")</f>
        <v>méregmirigy</v>
      </c>
    </row>
    <row r="2126" spans="1:4" ht="12.75" customHeight="1" x14ac:dyDescent="0.2">
      <c r="B2126" s="2"/>
      <c r="C2126" s="15"/>
      <c r="D2126" s="2"/>
    </row>
    <row r="2127" spans="1:4" ht="12.75" customHeight="1" x14ac:dyDescent="0.2">
      <c r="B2127" s="2"/>
      <c r="C2127" s="15"/>
      <c r="D2127" s="2"/>
    </row>
    <row r="2128" spans="1:4" ht="12.75" customHeight="1" x14ac:dyDescent="0.2">
      <c r="A2128" s="13" t="s">
        <v>2887</v>
      </c>
      <c r="C2128" s="12"/>
    </row>
    <row r="2129" spans="1:4" ht="12.75" customHeight="1" x14ac:dyDescent="0.2">
      <c r="A2129" s="11"/>
      <c r="B2129" s="2"/>
      <c r="C2129" s="15"/>
      <c r="D2129" s="2"/>
    </row>
    <row r="2130" spans="1:4" ht="12.75" customHeight="1" x14ac:dyDescent="0.2">
      <c r="B2130" s="11" t="s">
        <v>0</v>
      </c>
      <c r="C2130" s="11" t="s">
        <v>153</v>
      </c>
    </row>
    <row r="2131" spans="1:4" ht="12.75" customHeight="1" x14ac:dyDescent="0.2">
      <c r="B2131" s="11" t="s">
        <v>2599</v>
      </c>
      <c r="C2131" s="11" t="s">
        <v>2888</v>
      </c>
    </row>
    <row r="2132" spans="1:4" ht="25.5" customHeight="1" x14ac:dyDescent="0.2">
      <c r="B2132" s="11" t="s">
        <v>2600</v>
      </c>
      <c r="C2132" s="11" t="s">
        <v>2889</v>
      </c>
    </row>
    <row r="2133" spans="1:4" ht="25.5" customHeight="1" x14ac:dyDescent="0.2">
      <c r="B2133" s="11" t="s">
        <v>2601</v>
      </c>
      <c r="C2133" s="11"/>
    </row>
    <row r="2134" spans="1:4" ht="12.75" customHeight="1" x14ac:dyDescent="0.2">
      <c r="B2134" s="11" t="s">
        <v>16</v>
      </c>
      <c r="C2134" s="11"/>
    </row>
    <row r="2135" spans="1:4" ht="12.75" customHeight="1" x14ac:dyDescent="0.2">
      <c r="B2135" s="11" t="s">
        <v>13</v>
      </c>
      <c r="C2135" s="11" t="s">
        <v>2602</v>
      </c>
    </row>
    <row r="2136" spans="1:4" ht="12.75" customHeight="1" x14ac:dyDescent="0.2">
      <c r="B2136" s="11" t="s">
        <v>2603</v>
      </c>
      <c r="C2136" s="11" t="s">
        <v>2679</v>
      </c>
    </row>
    <row r="2137" spans="1:4" ht="12.75" customHeight="1" x14ac:dyDescent="0.2">
      <c r="B2137" s="11" t="s">
        <v>2605</v>
      </c>
      <c r="C2137" s="11" t="s">
        <v>24</v>
      </c>
    </row>
    <row r="2138" spans="1:4" ht="12.75" customHeight="1" x14ac:dyDescent="0.2">
      <c r="B2138" s="11" t="s">
        <v>2606</v>
      </c>
      <c r="C2138" s="16" t="s">
        <v>44</v>
      </c>
      <c r="D2138" s="6" t="str">
        <f>HYPERLINK("javascript:void(0)","nyilvető")</f>
        <v>nyilvető</v>
      </c>
    </row>
    <row r="2139" spans="1:4" ht="12.75" customHeight="1" x14ac:dyDescent="0.2">
      <c r="C2139" s="16" t="s">
        <v>1494</v>
      </c>
      <c r="D2139" s="6" t="str">
        <f>HYPERLINK("javascript:void(0)","ezüst")</f>
        <v>ezüst</v>
      </c>
    </row>
    <row r="2140" spans="1:4" ht="12.75" customHeight="1" x14ac:dyDescent="0.2">
      <c r="B2140" s="2"/>
      <c r="C2140" s="15"/>
      <c r="D2140" s="2"/>
    </row>
    <row r="2141" spans="1:4" ht="12.75" customHeight="1" x14ac:dyDescent="0.2">
      <c r="B2141" s="2"/>
      <c r="C2141" s="15"/>
      <c r="D2141" s="2"/>
    </row>
    <row r="2142" spans="1:4" ht="12.75" customHeight="1" x14ac:dyDescent="0.2">
      <c r="A2142" s="13" t="s">
        <v>2890</v>
      </c>
      <c r="C2142" s="12"/>
    </row>
    <row r="2143" spans="1:4" ht="12.75" customHeight="1" x14ac:dyDescent="0.2">
      <c r="A2143" s="11"/>
      <c r="B2143" s="2"/>
      <c r="C2143" s="15"/>
      <c r="D2143" s="2"/>
    </row>
    <row r="2144" spans="1:4" ht="12.75" customHeight="1" x14ac:dyDescent="0.2">
      <c r="B2144" s="11" t="s">
        <v>0</v>
      </c>
      <c r="C2144" s="11" t="s">
        <v>153</v>
      </c>
    </row>
    <row r="2145" spans="1:4" ht="12.75" customHeight="1" x14ac:dyDescent="0.2">
      <c r="B2145" s="11" t="s">
        <v>2599</v>
      </c>
      <c r="C2145" s="11" t="s">
        <v>2880</v>
      </c>
    </row>
    <row r="2146" spans="1:4" ht="25.5" customHeight="1" x14ac:dyDescent="0.2">
      <c r="B2146" s="11" t="s">
        <v>2600</v>
      </c>
      <c r="C2146" s="11" t="s">
        <v>2891</v>
      </c>
    </row>
    <row r="2147" spans="1:4" ht="25.5" customHeight="1" x14ac:dyDescent="0.2">
      <c r="B2147" s="11" t="s">
        <v>2601</v>
      </c>
      <c r="C2147" s="11"/>
    </row>
    <row r="2148" spans="1:4" ht="12.75" customHeight="1" x14ac:dyDescent="0.2">
      <c r="B2148" s="11" t="s">
        <v>16</v>
      </c>
      <c r="C2148" s="11"/>
    </row>
    <row r="2149" spans="1:4" ht="12.75" customHeight="1" x14ac:dyDescent="0.2">
      <c r="B2149" s="11" t="s">
        <v>13</v>
      </c>
      <c r="C2149" s="11" t="s">
        <v>2644</v>
      </c>
    </row>
    <row r="2150" spans="1:4" ht="12.75" customHeight="1" x14ac:dyDescent="0.2">
      <c r="B2150" s="11" t="s">
        <v>2603</v>
      </c>
      <c r="C2150" s="11" t="s">
        <v>2642</v>
      </c>
    </row>
    <row r="2151" spans="1:4" ht="12.75" customHeight="1" x14ac:dyDescent="0.2">
      <c r="B2151" s="11" t="s">
        <v>2605</v>
      </c>
      <c r="C2151" s="11" t="s">
        <v>24</v>
      </c>
    </row>
    <row r="2152" spans="1:4" ht="25.5" customHeight="1" x14ac:dyDescent="0.2">
      <c r="B2152" s="11" t="s">
        <v>2606</v>
      </c>
      <c r="C2152" s="16" t="s">
        <v>56</v>
      </c>
      <c r="D2152" s="6" t="str">
        <f>HYPERLINK("javascript:void(0)","dadacsiganyál")</f>
        <v>dadacsiganyál</v>
      </c>
    </row>
    <row r="2153" spans="1:4" ht="12.75" customHeight="1" x14ac:dyDescent="0.2">
      <c r="B2153" s="2"/>
      <c r="C2153" s="15"/>
      <c r="D2153" s="2"/>
    </row>
    <row r="2154" spans="1:4" ht="12.75" customHeight="1" x14ac:dyDescent="0.2">
      <c r="B2154" s="2"/>
      <c r="C2154" s="15"/>
      <c r="D2154" s="2"/>
    </row>
    <row r="2155" spans="1:4" ht="12.75" customHeight="1" x14ac:dyDescent="0.2">
      <c r="A2155" s="13" t="s">
        <v>2892</v>
      </c>
      <c r="C2155" s="12"/>
    </row>
    <row r="2156" spans="1:4" ht="12.75" customHeight="1" x14ac:dyDescent="0.2">
      <c r="A2156" s="11"/>
      <c r="B2156" s="2"/>
      <c r="C2156" s="15"/>
      <c r="D2156" s="2"/>
    </row>
    <row r="2157" spans="1:4" ht="12.75" customHeight="1" x14ac:dyDescent="0.2">
      <c r="B2157" s="11" t="s">
        <v>0</v>
      </c>
      <c r="C2157" s="11" t="s">
        <v>153</v>
      </c>
    </row>
    <row r="2158" spans="1:4" ht="12.75" customHeight="1" x14ac:dyDescent="0.2">
      <c r="B2158" s="11" t="s">
        <v>2599</v>
      </c>
      <c r="C2158" s="11" t="s">
        <v>2260</v>
      </c>
    </row>
    <row r="2159" spans="1:4" ht="25.5" customHeight="1" x14ac:dyDescent="0.2">
      <c r="B2159" s="11" t="s">
        <v>2600</v>
      </c>
      <c r="C2159" s="11" t="s">
        <v>2893</v>
      </c>
    </row>
    <row r="2160" spans="1:4" ht="25.5" customHeight="1" x14ac:dyDescent="0.2">
      <c r="B2160" s="11" t="s">
        <v>2601</v>
      </c>
      <c r="C2160" s="11"/>
    </row>
    <row r="2161" spans="1:4" ht="12.75" customHeight="1" x14ac:dyDescent="0.2">
      <c r="B2161" s="11" t="s">
        <v>16</v>
      </c>
      <c r="C2161" s="11"/>
    </row>
    <row r="2162" spans="1:4" ht="12.75" customHeight="1" x14ac:dyDescent="0.2">
      <c r="B2162" s="11" t="s">
        <v>13</v>
      </c>
      <c r="C2162" s="11" t="s">
        <v>2602</v>
      </c>
    </row>
    <row r="2163" spans="1:4" ht="12.75" customHeight="1" x14ac:dyDescent="0.2">
      <c r="B2163" s="11" t="s">
        <v>2603</v>
      </c>
      <c r="C2163" s="11" t="s">
        <v>2865</v>
      </c>
    </row>
    <row r="2164" spans="1:4" ht="12.75" customHeight="1" x14ac:dyDescent="0.2">
      <c r="B2164" s="11" t="s">
        <v>2605</v>
      </c>
      <c r="C2164" s="11" t="s">
        <v>24</v>
      </c>
    </row>
    <row r="2165" spans="1:4" ht="12.75" customHeight="1" x14ac:dyDescent="0.2">
      <c r="B2165" s="11" t="s">
        <v>2606</v>
      </c>
      <c r="C2165" s="16" t="s">
        <v>44</v>
      </c>
      <c r="D2165" s="6" t="str">
        <f>HYPERLINK("javascript:void(0)","ork pallos")</f>
        <v>ork pallos</v>
      </c>
    </row>
    <row r="2166" spans="1:4" ht="12.75" customHeight="1" x14ac:dyDescent="0.2">
      <c r="C2166" s="16" t="s">
        <v>56</v>
      </c>
      <c r="D2166" s="6" t="str">
        <f>HYPERLINK("javascript:void(0)","kaja")</f>
        <v>kaja</v>
      </c>
    </row>
    <row r="2167" spans="1:4" ht="12.75" customHeight="1" x14ac:dyDescent="0.2">
      <c r="C2167" s="16" t="s">
        <v>142</v>
      </c>
      <c r="D2167" s="6" t="str">
        <f>HYPERLINK("javascript:void(0)","ezüst")</f>
        <v>ezüst</v>
      </c>
    </row>
    <row r="2168" spans="1:4" ht="12.75" customHeight="1" x14ac:dyDescent="0.2">
      <c r="B2168" s="2"/>
      <c r="C2168" s="15"/>
      <c r="D2168" s="2"/>
    </row>
    <row r="2169" spans="1:4" ht="12.75" customHeight="1" x14ac:dyDescent="0.2">
      <c r="B2169" s="2"/>
      <c r="C2169" s="15"/>
      <c r="D2169" s="2"/>
    </row>
    <row r="2170" spans="1:4" ht="12.75" customHeight="1" x14ac:dyDescent="0.2">
      <c r="A2170" s="13" t="s">
        <v>2894</v>
      </c>
      <c r="C2170" s="12"/>
    </row>
    <row r="2171" spans="1:4" ht="12.75" customHeight="1" x14ac:dyDescent="0.2">
      <c r="A2171" s="11"/>
      <c r="B2171" s="2"/>
      <c r="C2171" s="15"/>
      <c r="D2171" s="2"/>
    </row>
    <row r="2172" spans="1:4" ht="12.75" customHeight="1" x14ac:dyDescent="0.2">
      <c r="B2172" s="11" t="s">
        <v>0</v>
      </c>
      <c r="C2172" s="11" t="s">
        <v>153</v>
      </c>
    </row>
    <row r="2173" spans="1:4" ht="12.75" customHeight="1" x14ac:dyDescent="0.2">
      <c r="B2173" s="11" t="s">
        <v>2599</v>
      </c>
      <c r="C2173" s="11" t="s">
        <v>2895</v>
      </c>
    </row>
    <row r="2174" spans="1:4" ht="25.5" customHeight="1" x14ac:dyDescent="0.2">
      <c r="B2174" s="11" t="s">
        <v>2600</v>
      </c>
      <c r="C2174" s="11" t="s">
        <v>2896</v>
      </c>
    </row>
    <row r="2175" spans="1:4" ht="25.5" customHeight="1" x14ac:dyDescent="0.2">
      <c r="B2175" s="11" t="s">
        <v>2601</v>
      </c>
      <c r="C2175" s="11"/>
    </row>
    <row r="2176" spans="1:4" ht="12.75" customHeight="1" x14ac:dyDescent="0.2">
      <c r="B2176" s="11" t="s">
        <v>16</v>
      </c>
      <c r="C2176" s="11"/>
    </row>
    <row r="2177" spans="1:4" ht="12.75" customHeight="1" x14ac:dyDescent="0.2">
      <c r="B2177" s="11" t="s">
        <v>13</v>
      </c>
      <c r="C2177" s="11" t="s">
        <v>2602</v>
      </c>
    </row>
    <row r="2178" spans="1:4" ht="12.75" customHeight="1" x14ac:dyDescent="0.2">
      <c r="B2178" s="11" t="s">
        <v>2603</v>
      </c>
      <c r="C2178" s="11" t="s">
        <v>2604</v>
      </c>
    </row>
    <row r="2179" spans="1:4" ht="12.75" customHeight="1" x14ac:dyDescent="0.2">
      <c r="B2179" s="11" t="s">
        <v>2605</v>
      </c>
      <c r="C2179" s="11" t="s">
        <v>24</v>
      </c>
    </row>
    <row r="2180" spans="1:4" ht="12.75" customHeight="1" x14ac:dyDescent="0.2">
      <c r="B2180" s="11" t="s">
        <v>2606</v>
      </c>
      <c r="C2180" s="16" t="s">
        <v>56</v>
      </c>
      <c r="D2180" s="6" t="str">
        <f>HYPERLINK("javascript:void(0)","csonttőr")</f>
        <v>csonttőr</v>
      </c>
    </row>
    <row r="2181" spans="1:4" ht="12.75" customHeight="1" x14ac:dyDescent="0.2">
      <c r="C2181" s="16" t="s">
        <v>44</v>
      </c>
      <c r="D2181" s="6" t="str">
        <f>HYPERLINK("javascript:void(0)","kitintőr")</f>
        <v>kitintőr</v>
      </c>
    </row>
    <row r="2182" spans="1:4" ht="12.75" customHeight="1" x14ac:dyDescent="0.2">
      <c r="C2182" s="16" t="s">
        <v>44</v>
      </c>
      <c r="D2182" s="6" t="str">
        <f>HYPERLINK("javascript:void(0)","tuskótőr")</f>
        <v>tuskótőr</v>
      </c>
    </row>
    <row r="2183" spans="1:4" ht="12.75" customHeight="1" x14ac:dyDescent="0.2">
      <c r="B2183" s="2"/>
      <c r="C2183" s="15"/>
      <c r="D2183" s="2"/>
    </row>
    <row r="2184" spans="1:4" ht="12.75" customHeight="1" x14ac:dyDescent="0.2">
      <c r="B2184" s="2"/>
      <c r="C2184" s="15"/>
      <c r="D2184" s="2"/>
    </row>
    <row r="2185" spans="1:4" ht="12.75" customHeight="1" x14ac:dyDescent="0.2">
      <c r="A2185" s="13" t="s">
        <v>2897</v>
      </c>
      <c r="C2185" s="12"/>
    </row>
    <row r="2186" spans="1:4" ht="12.75" customHeight="1" x14ac:dyDescent="0.2">
      <c r="A2186" s="11"/>
      <c r="B2186" s="2"/>
      <c r="C2186" s="15"/>
      <c r="D2186" s="2"/>
    </row>
    <row r="2187" spans="1:4" ht="12.75" customHeight="1" x14ac:dyDescent="0.2">
      <c r="B2187" s="11" t="s">
        <v>0</v>
      </c>
      <c r="C2187" s="11" t="s">
        <v>153</v>
      </c>
    </row>
    <row r="2188" spans="1:4" ht="12.75" customHeight="1" x14ac:dyDescent="0.2">
      <c r="B2188" s="11" t="s">
        <v>2599</v>
      </c>
      <c r="C2188" s="11" t="s">
        <v>2898</v>
      </c>
    </row>
    <row r="2189" spans="1:4" ht="25.5" customHeight="1" x14ac:dyDescent="0.2">
      <c r="B2189" s="11" t="s">
        <v>2600</v>
      </c>
      <c r="C2189" s="11" t="s">
        <v>2899</v>
      </c>
    </row>
    <row r="2190" spans="1:4" ht="25.5" customHeight="1" x14ac:dyDescent="0.2">
      <c r="B2190" s="11" t="s">
        <v>2601</v>
      </c>
      <c r="C2190" s="11"/>
    </row>
    <row r="2191" spans="1:4" ht="12.75" customHeight="1" x14ac:dyDescent="0.2">
      <c r="B2191" s="11" t="s">
        <v>16</v>
      </c>
      <c r="C2191" s="11"/>
    </row>
    <row r="2192" spans="1:4" ht="12.75" customHeight="1" x14ac:dyDescent="0.2">
      <c r="B2192" s="11" t="s">
        <v>13</v>
      </c>
      <c r="C2192" s="11" t="s">
        <v>2602</v>
      </c>
    </row>
    <row r="2193" spans="1:4" ht="12.75" customHeight="1" x14ac:dyDescent="0.2">
      <c r="B2193" s="11" t="s">
        <v>2603</v>
      </c>
      <c r="C2193" s="11" t="s">
        <v>2604</v>
      </c>
    </row>
    <row r="2194" spans="1:4" ht="12.75" customHeight="1" x14ac:dyDescent="0.2">
      <c r="B2194" s="11" t="s">
        <v>2605</v>
      </c>
      <c r="C2194" s="11" t="s">
        <v>24</v>
      </c>
    </row>
    <row r="2195" spans="1:4" ht="25.5" customHeight="1" x14ac:dyDescent="0.2">
      <c r="B2195" s="11" t="s">
        <v>2606</v>
      </c>
      <c r="C2195" s="16" t="s">
        <v>44</v>
      </c>
      <c r="D2195" s="6" t="str">
        <f>HYPERLINK("javascript:void(0)","obszidián tőr")</f>
        <v>obszidián tőr</v>
      </c>
    </row>
    <row r="2196" spans="1:4" ht="12.75" customHeight="1" x14ac:dyDescent="0.2">
      <c r="C2196" s="16" t="s">
        <v>322</v>
      </c>
      <c r="D2196" s="6" t="str">
        <f>HYPERLINK("javascript:void(0)","ezüst")</f>
        <v>ezüst</v>
      </c>
    </row>
    <row r="2197" spans="1:4" ht="12.75" customHeight="1" x14ac:dyDescent="0.2">
      <c r="B2197" s="2"/>
      <c r="C2197" s="15"/>
      <c r="D2197" s="2"/>
    </row>
    <row r="2198" spans="1:4" ht="12.75" customHeight="1" x14ac:dyDescent="0.2">
      <c r="B2198" s="2"/>
      <c r="C2198" s="15"/>
      <c r="D2198" s="2"/>
    </row>
    <row r="2199" spans="1:4" ht="12.75" customHeight="1" x14ac:dyDescent="0.2">
      <c r="A2199" s="13" t="s">
        <v>2900</v>
      </c>
      <c r="C2199" s="12"/>
    </row>
    <row r="2200" spans="1:4" ht="12.75" customHeight="1" x14ac:dyDescent="0.2">
      <c r="A2200" s="11"/>
      <c r="B2200" s="2"/>
      <c r="C2200" s="15"/>
      <c r="D2200" s="2"/>
    </row>
    <row r="2201" spans="1:4" ht="12.75" customHeight="1" x14ac:dyDescent="0.2">
      <c r="B2201" s="11" t="s">
        <v>0</v>
      </c>
      <c r="C2201" s="11" t="s">
        <v>153</v>
      </c>
    </row>
    <row r="2202" spans="1:4" ht="12.75" customHeight="1" x14ac:dyDescent="0.2">
      <c r="B2202" s="11" t="s">
        <v>2599</v>
      </c>
      <c r="C2202" s="11" t="s">
        <v>2901</v>
      </c>
    </row>
    <row r="2203" spans="1:4" ht="25.5" customHeight="1" x14ac:dyDescent="0.2">
      <c r="B2203" s="11" t="s">
        <v>2600</v>
      </c>
      <c r="C2203" s="11" t="s">
        <v>2902</v>
      </c>
    </row>
    <row r="2204" spans="1:4" ht="25.5" customHeight="1" x14ac:dyDescent="0.2">
      <c r="B2204" s="11" t="s">
        <v>2601</v>
      </c>
      <c r="C2204" s="11"/>
    </row>
    <row r="2205" spans="1:4" ht="12.75" customHeight="1" x14ac:dyDescent="0.2">
      <c r="B2205" s="11" t="s">
        <v>16</v>
      </c>
      <c r="C2205" s="11"/>
    </row>
    <row r="2206" spans="1:4" ht="12.75" customHeight="1" x14ac:dyDescent="0.2">
      <c r="B2206" s="11" t="s">
        <v>13</v>
      </c>
      <c r="C2206" s="11" t="s">
        <v>2602</v>
      </c>
    </row>
    <row r="2207" spans="1:4" ht="12.75" customHeight="1" x14ac:dyDescent="0.2">
      <c r="B2207" s="11" t="s">
        <v>2603</v>
      </c>
      <c r="C2207" s="11" t="s">
        <v>2651</v>
      </c>
    </row>
    <row r="2208" spans="1:4" ht="12.75" customHeight="1" x14ac:dyDescent="0.2">
      <c r="B2208" s="11" t="s">
        <v>2605</v>
      </c>
      <c r="C2208" s="11" t="s">
        <v>24</v>
      </c>
    </row>
    <row r="2209" spans="1:4" ht="25.5" customHeight="1" x14ac:dyDescent="0.2">
      <c r="B2209" s="11" t="s">
        <v>2606</v>
      </c>
      <c r="C2209" s="16" t="s">
        <v>44</v>
      </c>
      <c r="D2209" s="6" t="str">
        <f>HYPERLINK("javascript:void(0)","ezüstcsizma")</f>
        <v>ezüstcsizma</v>
      </c>
    </row>
    <row r="2210" spans="1:4" ht="12.75" customHeight="1" x14ac:dyDescent="0.2">
      <c r="C2210" s="16" t="s">
        <v>57</v>
      </c>
      <c r="D2210" s="6" t="str">
        <f>HYPERLINK("javascript:void(0)","kaja")</f>
        <v>kaja</v>
      </c>
    </row>
    <row r="2211" spans="1:4" ht="12.75" customHeight="1" x14ac:dyDescent="0.2">
      <c r="B2211" s="2"/>
      <c r="C2211" s="15"/>
      <c r="D2211" s="2"/>
    </row>
    <row r="2212" spans="1:4" ht="12.75" customHeight="1" x14ac:dyDescent="0.2">
      <c r="B2212" s="2"/>
      <c r="C2212" s="15"/>
      <c r="D2212" s="2"/>
    </row>
    <row r="2213" spans="1:4" ht="12.75" customHeight="1" x14ac:dyDescent="0.2">
      <c r="A2213" s="13" t="s">
        <v>2903</v>
      </c>
      <c r="C2213" s="12"/>
      <c r="D2213" s="2"/>
    </row>
    <row r="2214" spans="1:4" ht="12.75" customHeight="1" x14ac:dyDescent="0.2">
      <c r="A2214" s="11"/>
      <c r="B2214" s="2"/>
      <c r="C2214" s="15"/>
      <c r="D2214" s="2"/>
    </row>
    <row r="2215" spans="1:4" ht="12.75" customHeight="1" x14ac:dyDescent="0.2">
      <c r="B2215" s="11" t="s">
        <v>0</v>
      </c>
      <c r="C2215" s="17" t="s">
        <v>35</v>
      </c>
      <c r="D2215" s="2"/>
    </row>
    <row r="2216" spans="1:4" ht="12.75" customHeight="1" x14ac:dyDescent="0.2">
      <c r="B2216" s="11" t="s">
        <v>2599</v>
      </c>
      <c r="C2216" s="17" t="s">
        <v>2161</v>
      </c>
      <c r="D2216" s="2"/>
    </row>
    <row r="2217" spans="1:4" ht="25.5" customHeight="1" x14ac:dyDescent="0.2">
      <c r="B2217" s="11" t="s">
        <v>2600</v>
      </c>
      <c r="C2217" s="17" t="s">
        <v>2904</v>
      </c>
      <c r="D2217" s="2"/>
    </row>
    <row r="2218" spans="1:4" ht="25.5" customHeight="1" x14ac:dyDescent="0.2">
      <c r="B2218" s="11" t="s">
        <v>2601</v>
      </c>
      <c r="C2218" s="17"/>
      <c r="D2218" s="2"/>
    </row>
    <row r="2219" spans="1:4" ht="12.75" customHeight="1" x14ac:dyDescent="0.2">
      <c r="B2219" s="11" t="s">
        <v>16</v>
      </c>
      <c r="C2219" s="17"/>
      <c r="D2219" s="2"/>
    </row>
    <row r="2220" spans="1:4" ht="12.75" customHeight="1" x14ac:dyDescent="0.2">
      <c r="B2220" s="11" t="s">
        <v>13</v>
      </c>
      <c r="C2220" s="17" t="s">
        <v>2644</v>
      </c>
      <c r="D2220" s="2"/>
    </row>
    <row r="2221" spans="1:4" ht="12.75" customHeight="1" x14ac:dyDescent="0.2">
      <c r="B2221" s="11" t="s">
        <v>2603</v>
      </c>
      <c r="C2221" s="17" t="s">
        <v>128</v>
      </c>
      <c r="D2221" s="2"/>
    </row>
    <row r="2222" spans="1:4" ht="12.75" customHeight="1" x14ac:dyDescent="0.2">
      <c r="B2222" s="11" t="s">
        <v>2605</v>
      </c>
      <c r="C2222" s="17" t="s">
        <v>14</v>
      </c>
      <c r="D2222" s="2"/>
    </row>
    <row r="2223" spans="1:4" ht="12.75" customHeight="1" x14ac:dyDescent="0.2">
      <c r="B2223" s="11" t="s">
        <v>2606</v>
      </c>
      <c r="C2223" s="16" t="s">
        <v>19</v>
      </c>
      <c r="D2223" s="2"/>
    </row>
    <row r="2224" spans="1:4" ht="12.75" customHeight="1" x14ac:dyDescent="0.2">
      <c r="B2224" s="2"/>
      <c r="C2224" s="15"/>
      <c r="D2224" s="2"/>
    </row>
    <row r="2225" spans="1:4" ht="12.75" customHeight="1" x14ac:dyDescent="0.2">
      <c r="B2225" s="2"/>
      <c r="C2225" s="15"/>
      <c r="D2225" s="2"/>
    </row>
    <row r="2226" spans="1:4" ht="12.75" customHeight="1" x14ac:dyDescent="0.2">
      <c r="A2226" s="13" t="s">
        <v>2905</v>
      </c>
      <c r="C2226" s="12"/>
      <c r="D2226" s="2"/>
    </row>
    <row r="2227" spans="1:4" ht="12.75" customHeight="1" x14ac:dyDescent="0.2">
      <c r="A2227" s="11"/>
      <c r="B2227" s="2"/>
      <c r="C2227" s="15"/>
      <c r="D2227" s="2"/>
    </row>
    <row r="2228" spans="1:4" ht="12.75" customHeight="1" x14ac:dyDescent="0.2">
      <c r="B2228" s="11" t="s">
        <v>0</v>
      </c>
      <c r="C2228" s="17" t="s">
        <v>35</v>
      </c>
      <c r="D2228" s="2"/>
    </row>
    <row r="2229" spans="1:4" ht="12.75" customHeight="1" x14ac:dyDescent="0.2">
      <c r="B2229" s="11" t="s">
        <v>2599</v>
      </c>
      <c r="C2229" s="17" t="s">
        <v>2906</v>
      </c>
      <c r="D2229" s="2"/>
    </row>
    <row r="2230" spans="1:4" ht="25.5" customHeight="1" x14ac:dyDescent="0.2">
      <c r="B2230" s="11" t="s">
        <v>2600</v>
      </c>
      <c r="C2230" s="17" t="s">
        <v>2907</v>
      </c>
      <c r="D2230" s="2"/>
    </row>
    <row r="2231" spans="1:4" ht="25.5" customHeight="1" x14ac:dyDescent="0.2">
      <c r="B2231" s="11" t="s">
        <v>2601</v>
      </c>
      <c r="C2231" s="17"/>
      <c r="D2231" s="2"/>
    </row>
    <row r="2232" spans="1:4" ht="12.75" customHeight="1" x14ac:dyDescent="0.2">
      <c r="B2232" s="11" t="s">
        <v>16</v>
      </c>
      <c r="C2232" s="17"/>
      <c r="D2232" s="2"/>
    </row>
    <row r="2233" spans="1:4" ht="12.75" customHeight="1" x14ac:dyDescent="0.2">
      <c r="B2233" s="11" t="s">
        <v>13</v>
      </c>
      <c r="C2233" s="17" t="s">
        <v>2602</v>
      </c>
      <c r="D2233" s="2"/>
    </row>
    <row r="2234" spans="1:4" ht="12.75" customHeight="1" x14ac:dyDescent="0.2">
      <c r="B2234" s="11" t="s">
        <v>2603</v>
      </c>
      <c r="C2234" s="17" t="s">
        <v>128</v>
      </c>
      <c r="D2234" s="2"/>
    </row>
    <row r="2235" spans="1:4" ht="12.75" customHeight="1" x14ac:dyDescent="0.2">
      <c r="B2235" s="11" t="s">
        <v>2605</v>
      </c>
      <c r="C2235" s="17" t="s">
        <v>14</v>
      </c>
      <c r="D2235" s="2"/>
    </row>
    <row r="2236" spans="1:4" ht="12.75" customHeight="1" x14ac:dyDescent="0.2">
      <c r="B2236" s="11" t="s">
        <v>2606</v>
      </c>
      <c r="C2236" s="16" t="s">
        <v>19</v>
      </c>
      <c r="D2236" s="2"/>
    </row>
    <row r="2237" spans="1:4" ht="12.75" customHeight="1" x14ac:dyDescent="0.2">
      <c r="B2237" s="2"/>
      <c r="C2237" s="15"/>
      <c r="D2237" s="2"/>
    </row>
    <row r="2238" spans="1:4" ht="12.75" customHeight="1" x14ac:dyDescent="0.2">
      <c r="B2238" s="2"/>
      <c r="C2238" s="15"/>
      <c r="D2238" s="2"/>
    </row>
    <row r="2239" spans="1:4" ht="12.75" customHeight="1" x14ac:dyDescent="0.2">
      <c r="A2239" s="13" t="s">
        <v>2908</v>
      </c>
      <c r="C2239" s="12"/>
    </row>
    <row r="2240" spans="1:4" ht="12.75" customHeight="1" x14ac:dyDescent="0.2">
      <c r="A2240" s="11"/>
      <c r="B2240" s="2"/>
      <c r="C2240" s="15"/>
      <c r="D2240" s="2"/>
    </row>
    <row r="2241" spans="1:4" ht="12.75" customHeight="1" x14ac:dyDescent="0.2">
      <c r="B2241" s="11" t="s">
        <v>0</v>
      </c>
      <c r="C2241" s="11" t="s">
        <v>35</v>
      </c>
    </row>
    <row r="2242" spans="1:4" ht="12.75" customHeight="1" x14ac:dyDescent="0.2">
      <c r="B2242" s="11" t="s">
        <v>2599</v>
      </c>
      <c r="C2242" s="11" t="s">
        <v>2909</v>
      </c>
    </row>
    <row r="2243" spans="1:4" ht="25.5" customHeight="1" x14ac:dyDescent="0.2">
      <c r="B2243" s="11" t="s">
        <v>2600</v>
      </c>
      <c r="C2243" s="11" t="s">
        <v>2910</v>
      </c>
    </row>
    <row r="2244" spans="1:4" ht="25.5" customHeight="1" x14ac:dyDescent="0.2">
      <c r="B2244" s="11" t="s">
        <v>2601</v>
      </c>
      <c r="C2244" s="11"/>
    </row>
    <row r="2245" spans="1:4" ht="12.75" customHeight="1" x14ac:dyDescent="0.2">
      <c r="B2245" s="11" t="s">
        <v>16</v>
      </c>
      <c r="C2245" s="11"/>
    </row>
    <row r="2246" spans="1:4" ht="12.75" customHeight="1" x14ac:dyDescent="0.2">
      <c r="B2246" s="11" t="s">
        <v>13</v>
      </c>
      <c r="C2246" s="11" t="s">
        <v>2644</v>
      </c>
    </row>
    <row r="2247" spans="1:4" ht="12.75" customHeight="1" x14ac:dyDescent="0.2">
      <c r="B2247" s="11" t="s">
        <v>2603</v>
      </c>
      <c r="C2247" s="11" t="s">
        <v>2604</v>
      </c>
    </row>
    <row r="2248" spans="1:4" ht="12.75" customHeight="1" x14ac:dyDescent="0.2">
      <c r="B2248" s="11" t="s">
        <v>2605</v>
      </c>
      <c r="C2248" s="11" t="s">
        <v>24</v>
      </c>
    </row>
    <row r="2249" spans="1:4" ht="25.5" customHeight="1" x14ac:dyDescent="0.2">
      <c r="B2249" s="11" t="s">
        <v>2606</v>
      </c>
      <c r="C2249" s="16" t="s">
        <v>232</v>
      </c>
      <c r="D2249" s="6" t="str">
        <f>HYPERLINK("javascript:void(0)","elementál eszencia")</f>
        <v>elementál eszencia</v>
      </c>
    </row>
    <row r="2250" spans="1:4" ht="12.75" customHeight="1" x14ac:dyDescent="0.2">
      <c r="B2250" s="2"/>
      <c r="C2250" s="15"/>
      <c r="D2250" s="2"/>
    </row>
    <row r="2251" spans="1:4" ht="12.75" customHeight="1" x14ac:dyDescent="0.2">
      <c r="B2251" s="2"/>
      <c r="C2251" s="15"/>
      <c r="D2251" s="2"/>
    </row>
    <row r="2252" spans="1:4" ht="12.75" customHeight="1" x14ac:dyDescent="0.2">
      <c r="A2252" s="13" t="s">
        <v>2911</v>
      </c>
      <c r="C2252" s="12"/>
    </row>
    <row r="2253" spans="1:4" ht="12.75" customHeight="1" x14ac:dyDescent="0.2">
      <c r="A2253" s="11"/>
      <c r="B2253" s="2"/>
      <c r="C2253" s="15"/>
      <c r="D2253" s="2"/>
    </row>
    <row r="2254" spans="1:4" ht="12.75" customHeight="1" x14ac:dyDescent="0.2">
      <c r="B2254" s="11" t="s">
        <v>0</v>
      </c>
      <c r="C2254" s="11" t="s">
        <v>35</v>
      </c>
    </row>
    <row r="2255" spans="1:4" ht="12.75" customHeight="1" x14ac:dyDescent="0.2">
      <c r="B2255" s="11" t="s">
        <v>2599</v>
      </c>
      <c r="C2255" s="11" t="s">
        <v>2463</v>
      </c>
    </row>
    <row r="2256" spans="1:4" ht="25.5" customHeight="1" x14ac:dyDescent="0.2">
      <c r="B2256" s="11" t="s">
        <v>2600</v>
      </c>
      <c r="C2256" s="11" t="s">
        <v>2912</v>
      </c>
    </row>
    <row r="2257" spans="1:4" ht="25.5" customHeight="1" x14ac:dyDescent="0.2">
      <c r="B2257" s="11" t="s">
        <v>2601</v>
      </c>
      <c r="C2257" s="11"/>
    </row>
    <row r="2258" spans="1:4" ht="12.75" customHeight="1" x14ac:dyDescent="0.2">
      <c r="B2258" s="11" t="s">
        <v>16</v>
      </c>
      <c r="C2258" s="11"/>
    </row>
    <row r="2259" spans="1:4" ht="12.75" customHeight="1" x14ac:dyDescent="0.2">
      <c r="B2259" s="11" t="s">
        <v>13</v>
      </c>
      <c r="C2259" s="11" t="s">
        <v>2644</v>
      </c>
    </row>
    <row r="2260" spans="1:4" ht="12.75" customHeight="1" x14ac:dyDescent="0.2">
      <c r="B2260" s="11" t="s">
        <v>2603</v>
      </c>
      <c r="C2260" s="11" t="s">
        <v>2640</v>
      </c>
    </row>
    <row r="2261" spans="1:4" ht="12.75" customHeight="1" x14ac:dyDescent="0.2">
      <c r="B2261" s="11" t="s">
        <v>2605</v>
      </c>
      <c r="C2261" s="11" t="s">
        <v>24</v>
      </c>
    </row>
    <row r="2262" spans="1:4" ht="12.75" customHeight="1" x14ac:dyDescent="0.2">
      <c r="B2262" s="11" t="s">
        <v>2606</v>
      </c>
      <c r="C2262" s="16" t="s">
        <v>57</v>
      </c>
      <c r="D2262" s="6" t="str">
        <f>HYPERLINK("javascript:void(0)","yorick")</f>
        <v>yorick</v>
      </c>
    </row>
    <row r="2263" spans="1:4" ht="12.75" customHeight="1" x14ac:dyDescent="0.2">
      <c r="B2263" s="2"/>
      <c r="C2263" s="15"/>
      <c r="D2263" s="2"/>
    </row>
    <row r="2264" spans="1:4" ht="12.75" customHeight="1" x14ac:dyDescent="0.2">
      <c r="B2264" s="2"/>
      <c r="C2264" s="15"/>
      <c r="D2264" s="2"/>
    </row>
    <row r="2265" spans="1:4" ht="12.75" customHeight="1" x14ac:dyDescent="0.2">
      <c r="A2265" s="13" t="s">
        <v>2913</v>
      </c>
      <c r="C2265" s="12"/>
    </row>
    <row r="2266" spans="1:4" ht="12.75" customHeight="1" x14ac:dyDescent="0.2">
      <c r="A2266" s="11"/>
      <c r="B2266" s="2"/>
      <c r="C2266" s="15"/>
      <c r="D2266" s="2"/>
    </row>
    <row r="2267" spans="1:4" ht="12.75" customHeight="1" x14ac:dyDescent="0.2">
      <c r="B2267" s="11" t="s">
        <v>0</v>
      </c>
      <c r="C2267" s="11" t="s">
        <v>35</v>
      </c>
    </row>
    <row r="2268" spans="1:4" ht="12.75" customHeight="1" x14ac:dyDescent="0.2">
      <c r="B2268" s="11" t="s">
        <v>2599</v>
      </c>
      <c r="C2268" s="11" t="s">
        <v>2468</v>
      </c>
    </row>
    <row r="2269" spans="1:4" ht="25.5" customHeight="1" x14ac:dyDescent="0.2">
      <c r="B2269" s="11" t="s">
        <v>2600</v>
      </c>
      <c r="C2269" s="11" t="s">
        <v>2914</v>
      </c>
    </row>
    <row r="2270" spans="1:4" ht="25.5" customHeight="1" x14ac:dyDescent="0.2">
      <c r="B2270" s="11" t="s">
        <v>2601</v>
      </c>
      <c r="C2270" s="11"/>
    </row>
    <row r="2271" spans="1:4" ht="12.75" customHeight="1" x14ac:dyDescent="0.2">
      <c r="B2271" s="11" t="s">
        <v>16</v>
      </c>
      <c r="C2271" s="11"/>
    </row>
    <row r="2272" spans="1:4" ht="12.75" customHeight="1" x14ac:dyDescent="0.2">
      <c r="B2272" s="11" t="s">
        <v>13</v>
      </c>
      <c r="C2272" s="11" t="s">
        <v>2602</v>
      </c>
    </row>
    <row r="2273" spans="1:4" ht="12.75" customHeight="1" x14ac:dyDescent="0.2">
      <c r="B2273" s="11" t="s">
        <v>2603</v>
      </c>
      <c r="C2273" s="11" t="s">
        <v>2648</v>
      </c>
    </row>
    <row r="2274" spans="1:4" ht="12.75" customHeight="1" x14ac:dyDescent="0.2">
      <c r="B2274" s="11" t="s">
        <v>2605</v>
      </c>
      <c r="C2274" s="11" t="s">
        <v>24</v>
      </c>
    </row>
    <row r="2275" spans="1:4" ht="12.75" customHeight="1" x14ac:dyDescent="0.2">
      <c r="B2275" s="11" t="s">
        <v>2606</v>
      </c>
      <c r="C2275" s="16" t="s">
        <v>44</v>
      </c>
      <c r="D2275" s="6" t="str">
        <f>HYPERLINK("javascript:void(0)","bot")</f>
        <v>bot</v>
      </c>
    </row>
    <row r="2276" spans="1:4" ht="25.5" customHeight="1" x14ac:dyDescent="0.2">
      <c r="C2276" s="16" t="s">
        <v>56</v>
      </c>
      <c r="D2276" s="6" t="str">
        <f>HYPERLINK("javascript:void(0)","elementál eszencia")</f>
        <v>elementál eszencia</v>
      </c>
    </row>
    <row r="2277" spans="1:4" ht="12.75" customHeight="1" x14ac:dyDescent="0.2">
      <c r="C2277" s="16" t="s">
        <v>44</v>
      </c>
      <c r="D2277" s="6" t="str">
        <f>HYPERLINK("javascript:void(0)","kristálylap")</f>
        <v>kristálylap</v>
      </c>
    </row>
    <row r="2278" spans="1:4" ht="12.75" customHeight="1" x14ac:dyDescent="0.2">
      <c r="C2278" s="16" t="s">
        <v>44</v>
      </c>
      <c r="D2278" s="6" t="str">
        <f>HYPERLINK("javascript:void(0)","ezüstgerinc")</f>
        <v>ezüstgerinc</v>
      </c>
    </row>
    <row r="2279" spans="1:4" ht="12.75" customHeight="1" x14ac:dyDescent="0.2">
      <c r="B2279" s="2"/>
      <c r="C2279" s="15"/>
      <c r="D2279" s="2"/>
    </row>
    <row r="2280" spans="1:4" ht="12.75" customHeight="1" x14ac:dyDescent="0.2">
      <c r="B2280" s="2"/>
      <c r="C2280" s="15"/>
      <c r="D2280" s="2"/>
    </row>
    <row r="2281" spans="1:4" ht="12.75" customHeight="1" x14ac:dyDescent="0.2">
      <c r="A2281" s="13" t="s">
        <v>2915</v>
      </c>
      <c r="C2281" s="12"/>
    </row>
    <row r="2282" spans="1:4" ht="12.75" customHeight="1" x14ac:dyDescent="0.2">
      <c r="A2282" s="11"/>
      <c r="B2282" s="2"/>
      <c r="C2282" s="15"/>
      <c r="D2282" s="2"/>
    </row>
    <row r="2283" spans="1:4" ht="12.75" customHeight="1" x14ac:dyDescent="0.2">
      <c r="B2283" s="11" t="s">
        <v>0</v>
      </c>
      <c r="C2283" s="11" t="s">
        <v>35</v>
      </c>
    </row>
    <row r="2284" spans="1:4" ht="12.75" customHeight="1" x14ac:dyDescent="0.2">
      <c r="B2284" s="11" t="s">
        <v>2599</v>
      </c>
      <c r="C2284" s="11" t="s">
        <v>2413</v>
      </c>
    </row>
    <row r="2285" spans="1:4" ht="25.5" customHeight="1" x14ac:dyDescent="0.2">
      <c r="B2285" s="11" t="s">
        <v>2600</v>
      </c>
      <c r="C2285" s="11" t="s">
        <v>2916</v>
      </c>
    </row>
    <row r="2286" spans="1:4" ht="25.5" customHeight="1" x14ac:dyDescent="0.2">
      <c r="B2286" s="11" t="s">
        <v>2601</v>
      </c>
      <c r="C2286" s="11"/>
    </row>
    <row r="2287" spans="1:4" ht="12.75" customHeight="1" x14ac:dyDescent="0.2">
      <c r="B2287" s="11" t="s">
        <v>16</v>
      </c>
      <c r="C2287" s="11"/>
    </row>
    <row r="2288" spans="1:4" ht="12.75" customHeight="1" x14ac:dyDescent="0.2">
      <c r="B2288" s="11" t="s">
        <v>13</v>
      </c>
      <c r="C2288" s="11" t="s">
        <v>2644</v>
      </c>
    </row>
    <row r="2289" spans="1:4" ht="12.75" customHeight="1" x14ac:dyDescent="0.2">
      <c r="B2289" s="11" t="s">
        <v>2603</v>
      </c>
      <c r="C2289" s="11" t="s">
        <v>2604</v>
      </c>
    </row>
    <row r="2290" spans="1:4" ht="12.75" customHeight="1" x14ac:dyDescent="0.2">
      <c r="B2290" s="11" t="s">
        <v>2605</v>
      </c>
      <c r="C2290" s="11" t="s">
        <v>24</v>
      </c>
    </row>
    <row r="2291" spans="1:4" ht="12.75" customHeight="1" x14ac:dyDescent="0.2">
      <c r="B2291" s="11" t="s">
        <v>2606</v>
      </c>
      <c r="C2291" s="16" t="s">
        <v>44</v>
      </c>
      <c r="D2291" s="6" t="str">
        <f>HYPERLINK("javascript:void(0)","lari szigony")</f>
        <v>lari szigony</v>
      </c>
    </row>
    <row r="2292" spans="1:4" ht="12.75" customHeight="1" x14ac:dyDescent="0.2">
      <c r="B2292" s="2"/>
      <c r="C2292" s="15"/>
      <c r="D2292" s="2"/>
    </row>
    <row r="2293" spans="1:4" ht="12.75" customHeight="1" x14ac:dyDescent="0.2">
      <c r="B2293" s="2"/>
      <c r="C2293" s="15"/>
      <c r="D2293" s="2"/>
    </row>
    <row r="2294" spans="1:4" ht="12.75" customHeight="1" x14ac:dyDescent="0.2">
      <c r="A2294" s="13" t="s">
        <v>2917</v>
      </c>
      <c r="C2294" s="12"/>
    </row>
    <row r="2295" spans="1:4" ht="12.75" customHeight="1" x14ac:dyDescent="0.2">
      <c r="A2295" s="11"/>
      <c r="B2295" s="2"/>
      <c r="C2295" s="15"/>
      <c r="D2295" s="2"/>
    </row>
    <row r="2296" spans="1:4" ht="12.75" customHeight="1" x14ac:dyDescent="0.2">
      <c r="B2296" s="11" t="s">
        <v>0</v>
      </c>
      <c r="C2296" s="11" t="s">
        <v>35</v>
      </c>
    </row>
    <row r="2297" spans="1:4" ht="12.75" customHeight="1" x14ac:dyDescent="0.2">
      <c r="B2297" s="11" t="s">
        <v>2599</v>
      </c>
      <c r="C2297" s="11" t="s">
        <v>2918</v>
      </c>
    </row>
    <row r="2298" spans="1:4" ht="25.5" customHeight="1" x14ac:dyDescent="0.2">
      <c r="B2298" s="11" t="s">
        <v>2600</v>
      </c>
      <c r="C2298" s="11" t="s">
        <v>2919</v>
      </c>
    </row>
    <row r="2299" spans="1:4" ht="25.5" customHeight="1" x14ac:dyDescent="0.2">
      <c r="B2299" s="11" t="s">
        <v>2601</v>
      </c>
      <c r="C2299" s="11"/>
    </row>
    <row r="2300" spans="1:4" ht="12.75" customHeight="1" x14ac:dyDescent="0.2">
      <c r="B2300" s="11" t="s">
        <v>16</v>
      </c>
      <c r="C2300" s="11"/>
    </row>
    <row r="2301" spans="1:4" ht="12.75" customHeight="1" x14ac:dyDescent="0.2">
      <c r="B2301" s="11" t="s">
        <v>13</v>
      </c>
      <c r="C2301" s="11" t="s">
        <v>2602</v>
      </c>
    </row>
    <row r="2302" spans="1:4" ht="12.75" customHeight="1" x14ac:dyDescent="0.2">
      <c r="B2302" s="11" t="s">
        <v>2603</v>
      </c>
      <c r="C2302" s="11" t="s">
        <v>2604</v>
      </c>
    </row>
    <row r="2303" spans="1:4" ht="12.75" customHeight="1" x14ac:dyDescent="0.2">
      <c r="B2303" s="11" t="s">
        <v>2605</v>
      </c>
      <c r="C2303" s="11" t="s">
        <v>24</v>
      </c>
    </row>
    <row r="2304" spans="1:4" ht="12.75" customHeight="1" x14ac:dyDescent="0.2">
      <c r="B2304" s="11" t="s">
        <v>2606</v>
      </c>
      <c r="C2304" s="16" t="s">
        <v>44</v>
      </c>
      <c r="D2304" s="6" t="str">
        <f>HYPERLINK("javascript:void(0)","holdszigony")</f>
        <v>holdszigony</v>
      </c>
    </row>
    <row r="2305" spans="1:4" ht="12.75" customHeight="1" x14ac:dyDescent="0.2">
      <c r="B2305" s="2"/>
      <c r="C2305" s="15"/>
      <c r="D2305" s="2"/>
    </row>
    <row r="2306" spans="1:4" ht="12.75" customHeight="1" x14ac:dyDescent="0.2">
      <c r="B2306" s="2"/>
      <c r="C2306" s="15"/>
      <c r="D2306" s="2"/>
    </row>
    <row r="2307" spans="1:4" ht="12.75" customHeight="1" x14ac:dyDescent="0.2">
      <c r="A2307" s="13" t="s">
        <v>2920</v>
      </c>
      <c r="C2307" s="12"/>
    </row>
    <row r="2308" spans="1:4" ht="12.75" customHeight="1" x14ac:dyDescent="0.2">
      <c r="A2308" s="11"/>
      <c r="B2308" s="2"/>
      <c r="C2308" s="15"/>
      <c r="D2308" s="2"/>
    </row>
    <row r="2309" spans="1:4" ht="12.75" customHeight="1" x14ac:dyDescent="0.2">
      <c r="B2309" s="11" t="s">
        <v>0</v>
      </c>
      <c r="C2309" s="11" t="s">
        <v>35</v>
      </c>
    </row>
    <row r="2310" spans="1:4" ht="12.75" customHeight="1" x14ac:dyDescent="0.2">
      <c r="B2310" s="11" t="s">
        <v>2599</v>
      </c>
      <c r="C2310" s="11" t="s">
        <v>1823</v>
      </c>
    </row>
    <row r="2311" spans="1:4" ht="25.5" customHeight="1" x14ac:dyDescent="0.2">
      <c r="B2311" s="11" t="s">
        <v>2600</v>
      </c>
      <c r="C2311" s="11" t="s">
        <v>2921</v>
      </c>
    </row>
    <row r="2312" spans="1:4" ht="25.5" customHeight="1" x14ac:dyDescent="0.2">
      <c r="B2312" s="11" t="s">
        <v>2601</v>
      </c>
      <c r="C2312" s="11"/>
    </row>
    <row r="2313" spans="1:4" ht="12.75" customHeight="1" x14ac:dyDescent="0.2">
      <c r="B2313" s="11" t="s">
        <v>16</v>
      </c>
      <c r="C2313" s="11"/>
    </row>
    <row r="2314" spans="1:4" ht="12.75" customHeight="1" x14ac:dyDescent="0.2">
      <c r="B2314" s="11" t="s">
        <v>13</v>
      </c>
      <c r="C2314" s="11" t="s">
        <v>2602</v>
      </c>
    </row>
    <row r="2315" spans="1:4" ht="12.75" customHeight="1" x14ac:dyDescent="0.2">
      <c r="B2315" s="11" t="s">
        <v>2603</v>
      </c>
      <c r="C2315" s="11" t="s">
        <v>2604</v>
      </c>
    </row>
    <row r="2316" spans="1:4" ht="12.75" customHeight="1" x14ac:dyDescent="0.2">
      <c r="B2316" s="11" t="s">
        <v>2605</v>
      </c>
      <c r="C2316" s="11" t="s">
        <v>24</v>
      </c>
    </row>
    <row r="2317" spans="1:4" ht="12.75" customHeight="1" x14ac:dyDescent="0.2">
      <c r="B2317" s="11" t="s">
        <v>2606</v>
      </c>
      <c r="C2317" s="16" t="s">
        <v>44</v>
      </c>
      <c r="D2317" s="6" t="str">
        <f>HYPERLINK("javascript:void(0)","mágusbot")</f>
        <v>mágusbot</v>
      </c>
    </row>
    <row r="2318" spans="1:4" ht="25.5" customHeight="1" x14ac:dyDescent="0.2">
      <c r="C2318" s="16" t="s">
        <v>57</v>
      </c>
      <c r="D2318" s="6" t="str">
        <f>HYPERLINK("javascript:void(0)","vámpírherbium")</f>
        <v>vámpírherbium</v>
      </c>
    </row>
    <row r="2319" spans="1:4" ht="25.5" customHeight="1" x14ac:dyDescent="0.2">
      <c r="C2319" s="16" t="s">
        <v>56</v>
      </c>
      <c r="D2319" s="6" t="str">
        <f>HYPERLINK("javascript:void(0)","lábszárcsont")</f>
        <v>lábszárcsont</v>
      </c>
    </row>
    <row r="2320" spans="1:4" ht="12.75" customHeight="1" x14ac:dyDescent="0.2">
      <c r="B2320" s="2"/>
      <c r="C2320" s="15"/>
      <c r="D2320" s="2"/>
    </row>
    <row r="2321" spans="1:4" ht="12.75" customHeight="1" x14ac:dyDescent="0.2">
      <c r="B2321" s="2"/>
      <c r="C2321" s="15"/>
      <c r="D2321" s="2"/>
    </row>
    <row r="2322" spans="1:4" ht="12.75" customHeight="1" x14ac:dyDescent="0.2">
      <c r="A2322" s="13" t="s">
        <v>2922</v>
      </c>
      <c r="C2322" s="12"/>
    </row>
    <row r="2323" spans="1:4" ht="12.75" customHeight="1" x14ac:dyDescent="0.2">
      <c r="A2323" s="11"/>
      <c r="B2323" s="2"/>
      <c r="C2323" s="15"/>
      <c r="D2323" s="2"/>
    </row>
    <row r="2324" spans="1:4" ht="12.75" customHeight="1" x14ac:dyDescent="0.2">
      <c r="B2324" s="11" t="s">
        <v>0</v>
      </c>
      <c r="C2324" s="11" t="s">
        <v>35</v>
      </c>
    </row>
    <row r="2325" spans="1:4" ht="12.75" customHeight="1" x14ac:dyDescent="0.2">
      <c r="B2325" s="11" t="s">
        <v>2599</v>
      </c>
      <c r="C2325" s="11" t="s">
        <v>2923</v>
      </c>
    </row>
    <row r="2326" spans="1:4" ht="25.5" customHeight="1" x14ac:dyDescent="0.2">
      <c r="B2326" s="11" t="s">
        <v>2600</v>
      </c>
      <c r="C2326" s="11" t="s">
        <v>2924</v>
      </c>
    </row>
    <row r="2327" spans="1:4" ht="25.5" customHeight="1" x14ac:dyDescent="0.2">
      <c r="B2327" s="11" t="s">
        <v>2601</v>
      </c>
      <c r="C2327" s="11"/>
    </row>
    <row r="2328" spans="1:4" ht="12.75" customHeight="1" x14ac:dyDescent="0.2">
      <c r="B2328" s="11" t="s">
        <v>16</v>
      </c>
      <c r="C2328" s="11"/>
    </row>
    <row r="2329" spans="1:4" ht="12.75" customHeight="1" x14ac:dyDescent="0.2">
      <c r="B2329" s="11" t="s">
        <v>13</v>
      </c>
      <c r="C2329" s="11" t="s">
        <v>2644</v>
      </c>
    </row>
    <row r="2330" spans="1:4" ht="12.75" customHeight="1" x14ac:dyDescent="0.2">
      <c r="B2330" s="11" t="s">
        <v>2603</v>
      </c>
      <c r="C2330" s="11" t="s">
        <v>2626</v>
      </c>
    </row>
    <row r="2331" spans="1:4" ht="12.75" customHeight="1" x14ac:dyDescent="0.2">
      <c r="B2331" s="11" t="s">
        <v>2605</v>
      </c>
      <c r="C2331" s="11" t="s">
        <v>24</v>
      </c>
    </row>
    <row r="2332" spans="1:4" ht="25.5" customHeight="1" x14ac:dyDescent="0.2">
      <c r="B2332" s="11" t="s">
        <v>2606</v>
      </c>
      <c r="C2332" s="16" t="s">
        <v>57</v>
      </c>
      <c r="D2332" s="6" t="str">
        <f>HYPERLINK("javascript:void(0)","aranyzsanér")</f>
        <v>aranyzsanér</v>
      </c>
    </row>
    <row r="2333" spans="1:4" ht="12.75" customHeight="1" x14ac:dyDescent="0.2">
      <c r="B2333" s="2"/>
      <c r="C2333" s="15"/>
      <c r="D2333" s="2"/>
    </row>
    <row r="2334" spans="1:4" ht="12.75" customHeight="1" x14ac:dyDescent="0.2">
      <c r="B2334" s="2"/>
      <c r="C2334" s="15"/>
      <c r="D2334" s="2"/>
    </row>
    <row r="2335" spans="1:4" ht="12.75" customHeight="1" x14ac:dyDescent="0.2">
      <c r="A2335" s="13" t="s">
        <v>2925</v>
      </c>
      <c r="C2335" s="12"/>
    </row>
    <row r="2336" spans="1:4" ht="12.75" customHeight="1" x14ac:dyDescent="0.2">
      <c r="A2336" s="11"/>
      <c r="B2336" s="2"/>
      <c r="C2336" s="15"/>
      <c r="D2336" s="2"/>
    </row>
    <row r="2337" spans="1:4" ht="12.75" customHeight="1" x14ac:dyDescent="0.2">
      <c r="B2337" s="11" t="s">
        <v>0</v>
      </c>
      <c r="C2337" s="11" t="s">
        <v>35</v>
      </c>
    </row>
    <row r="2338" spans="1:4" ht="12.75" customHeight="1" x14ac:dyDescent="0.2">
      <c r="B2338" s="11" t="s">
        <v>2599</v>
      </c>
      <c r="C2338" s="11" t="s">
        <v>2926</v>
      </c>
    </row>
    <row r="2339" spans="1:4" ht="25.5" customHeight="1" x14ac:dyDescent="0.2">
      <c r="B2339" s="11" t="s">
        <v>2600</v>
      </c>
      <c r="C2339" s="11" t="s">
        <v>2927</v>
      </c>
    </row>
    <row r="2340" spans="1:4" ht="25.5" customHeight="1" x14ac:dyDescent="0.2">
      <c r="B2340" s="11" t="s">
        <v>2601</v>
      </c>
      <c r="C2340" s="11"/>
    </row>
    <row r="2341" spans="1:4" ht="12.75" customHeight="1" x14ac:dyDescent="0.2">
      <c r="B2341" s="11" t="s">
        <v>16</v>
      </c>
      <c r="C2341" s="11"/>
    </row>
    <row r="2342" spans="1:4" ht="12.75" customHeight="1" x14ac:dyDescent="0.2">
      <c r="B2342" s="11" t="s">
        <v>13</v>
      </c>
      <c r="C2342" s="11" t="s">
        <v>2602</v>
      </c>
    </row>
    <row r="2343" spans="1:4" ht="12.75" customHeight="1" x14ac:dyDescent="0.2">
      <c r="B2343" s="11" t="s">
        <v>2603</v>
      </c>
      <c r="C2343" s="11" t="s">
        <v>2604</v>
      </c>
    </row>
    <row r="2344" spans="1:4" ht="12.75" customHeight="1" x14ac:dyDescent="0.2">
      <c r="B2344" s="11" t="s">
        <v>2605</v>
      </c>
      <c r="C2344" s="11" t="s">
        <v>24</v>
      </c>
    </row>
    <row r="2345" spans="1:4" ht="12.75" customHeight="1" x14ac:dyDescent="0.2">
      <c r="B2345" s="11" t="s">
        <v>2606</v>
      </c>
      <c r="C2345" s="16" t="s">
        <v>44</v>
      </c>
      <c r="D2345" s="6" t="str">
        <f>HYPERLINK("javascript:void(0)","mágusbot")</f>
        <v>mágusbot</v>
      </c>
    </row>
    <row r="2346" spans="1:4" ht="12.75" customHeight="1" x14ac:dyDescent="0.2">
      <c r="C2346" s="16" t="s">
        <v>280</v>
      </c>
      <c r="D2346" s="6" t="str">
        <f>HYPERLINK("javascript:void(0)","ezüst")</f>
        <v>ezüst</v>
      </c>
    </row>
    <row r="2347" spans="1:4" ht="12.75" customHeight="1" x14ac:dyDescent="0.2">
      <c r="B2347" s="2"/>
      <c r="C2347" s="15"/>
      <c r="D2347" s="2"/>
    </row>
    <row r="2348" spans="1:4" ht="12.75" customHeight="1" x14ac:dyDescent="0.2">
      <c r="B2348" s="2"/>
      <c r="C2348" s="15"/>
      <c r="D2348" s="2"/>
    </row>
    <row r="2349" spans="1:4" ht="12.75" customHeight="1" x14ac:dyDescent="0.2">
      <c r="A2349" s="13" t="s">
        <v>2928</v>
      </c>
      <c r="C2349" s="12"/>
    </row>
    <row r="2350" spans="1:4" ht="12.75" customHeight="1" x14ac:dyDescent="0.2">
      <c r="A2350" s="11"/>
      <c r="B2350" s="2"/>
      <c r="C2350" s="15"/>
      <c r="D2350" s="2"/>
    </row>
    <row r="2351" spans="1:4" ht="12.75" customHeight="1" x14ac:dyDescent="0.2">
      <c r="B2351" s="11" t="s">
        <v>0</v>
      </c>
      <c r="C2351" s="11" t="s">
        <v>35</v>
      </c>
    </row>
    <row r="2352" spans="1:4" ht="12.75" customHeight="1" x14ac:dyDescent="0.2">
      <c r="B2352" s="11" t="s">
        <v>2599</v>
      </c>
      <c r="C2352" s="11" t="s">
        <v>593</v>
      </c>
    </row>
    <row r="2353" spans="1:4" ht="25.5" customHeight="1" x14ac:dyDescent="0.2">
      <c r="B2353" s="11" t="s">
        <v>2600</v>
      </c>
      <c r="C2353" s="11" t="s">
        <v>2929</v>
      </c>
    </row>
    <row r="2354" spans="1:4" ht="25.5" customHeight="1" x14ac:dyDescent="0.2">
      <c r="B2354" s="11" t="s">
        <v>2601</v>
      </c>
      <c r="C2354" s="11"/>
    </row>
    <row r="2355" spans="1:4" ht="12.75" customHeight="1" x14ac:dyDescent="0.2">
      <c r="B2355" s="11" t="s">
        <v>16</v>
      </c>
      <c r="C2355" s="11"/>
    </row>
    <row r="2356" spans="1:4" ht="12.75" customHeight="1" x14ac:dyDescent="0.2">
      <c r="B2356" s="11" t="s">
        <v>13</v>
      </c>
      <c r="C2356" s="11" t="s">
        <v>2602</v>
      </c>
    </row>
    <row r="2357" spans="1:4" ht="12.75" customHeight="1" x14ac:dyDescent="0.2">
      <c r="B2357" s="11" t="s">
        <v>2603</v>
      </c>
      <c r="C2357" s="11" t="s">
        <v>2604</v>
      </c>
    </row>
    <row r="2358" spans="1:4" ht="12.75" customHeight="1" x14ac:dyDescent="0.2">
      <c r="B2358" s="11" t="s">
        <v>2605</v>
      </c>
      <c r="C2358" s="11" t="s">
        <v>24</v>
      </c>
    </row>
    <row r="2359" spans="1:4" ht="12.75" customHeight="1" x14ac:dyDescent="0.2">
      <c r="B2359" s="11" t="s">
        <v>2606</v>
      </c>
      <c r="C2359" s="16" t="s">
        <v>44</v>
      </c>
      <c r="D2359" s="6" t="str">
        <f>HYPERLINK("javascript:void(0)","mágusbot")</f>
        <v>mágusbot</v>
      </c>
    </row>
    <row r="2360" spans="1:4" ht="12.75" customHeight="1" x14ac:dyDescent="0.2">
      <c r="C2360" s="16" t="s">
        <v>280</v>
      </c>
      <c r="D2360" s="6" t="str">
        <f>HYPERLINK("javascript:void(0)","ezüst")</f>
        <v>ezüst</v>
      </c>
    </row>
    <row r="2361" spans="1:4" ht="12.75" customHeight="1" x14ac:dyDescent="0.2">
      <c r="B2361" s="2"/>
      <c r="C2361" s="15"/>
      <c r="D2361" s="2"/>
    </row>
    <row r="2362" spans="1:4" ht="12.75" customHeight="1" x14ac:dyDescent="0.2">
      <c r="B2362" s="2"/>
      <c r="C2362" s="15"/>
      <c r="D2362" s="2"/>
    </row>
    <row r="2363" spans="1:4" ht="12.75" customHeight="1" x14ac:dyDescent="0.2">
      <c r="A2363" s="13" t="s">
        <v>2930</v>
      </c>
      <c r="C2363" s="12"/>
    </row>
    <row r="2364" spans="1:4" ht="12.75" customHeight="1" x14ac:dyDescent="0.2">
      <c r="A2364" s="11"/>
      <c r="B2364" s="2"/>
      <c r="C2364" s="15"/>
      <c r="D2364" s="2"/>
    </row>
    <row r="2365" spans="1:4" ht="12.75" customHeight="1" x14ac:dyDescent="0.2">
      <c r="B2365" s="11" t="s">
        <v>0</v>
      </c>
      <c r="C2365" s="11" t="s">
        <v>35</v>
      </c>
    </row>
    <row r="2366" spans="1:4" ht="12.75" customHeight="1" x14ac:dyDescent="0.2">
      <c r="B2366" s="11" t="s">
        <v>2599</v>
      </c>
      <c r="C2366" s="11" t="s">
        <v>558</v>
      </c>
    </row>
    <row r="2367" spans="1:4" ht="25.5" customHeight="1" x14ac:dyDescent="0.2">
      <c r="B2367" s="11" t="s">
        <v>2600</v>
      </c>
      <c r="C2367" s="11" t="s">
        <v>2931</v>
      </c>
    </row>
    <row r="2368" spans="1:4" ht="25.5" customHeight="1" x14ac:dyDescent="0.2">
      <c r="B2368" s="11" t="s">
        <v>2601</v>
      </c>
      <c r="C2368" s="11"/>
    </row>
    <row r="2369" spans="1:4" ht="12.75" customHeight="1" x14ac:dyDescent="0.2">
      <c r="B2369" s="11" t="s">
        <v>16</v>
      </c>
      <c r="C2369" s="11"/>
    </row>
    <row r="2370" spans="1:4" ht="12.75" customHeight="1" x14ac:dyDescent="0.2">
      <c r="B2370" s="11" t="s">
        <v>13</v>
      </c>
      <c r="C2370" s="11" t="s">
        <v>2644</v>
      </c>
    </row>
    <row r="2371" spans="1:4" ht="12.75" customHeight="1" x14ac:dyDescent="0.2">
      <c r="B2371" s="11" t="s">
        <v>2603</v>
      </c>
      <c r="C2371" s="11" t="s">
        <v>2604</v>
      </c>
    </row>
    <row r="2372" spans="1:4" ht="12.75" customHeight="1" x14ac:dyDescent="0.2">
      <c r="B2372" s="11" t="s">
        <v>2605</v>
      </c>
      <c r="C2372" s="11" t="s">
        <v>24</v>
      </c>
    </row>
    <row r="2373" spans="1:4" ht="25.5" customHeight="1" x14ac:dyDescent="0.2">
      <c r="B2373" s="11" t="s">
        <v>2606</v>
      </c>
      <c r="C2373" s="16" t="s">
        <v>68</v>
      </c>
      <c r="D2373" s="6" t="str">
        <f>HYPERLINK("javascript:void(0)","mézbalzsam")</f>
        <v>mézbalzsam</v>
      </c>
    </row>
    <row r="2374" spans="1:4" ht="12.75" customHeight="1" x14ac:dyDescent="0.2">
      <c r="B2374" s="2"/>
      <c r="C2374" s="15"/>
      <c r="D2374" s="2"/>
    </row>
    <row r="2375" spans="1:4" ht="12.75" customHeight="1" x14ac:dyDescent="0.2">
      <c r="B2375" s="2"/>
      <c r="C2375" s="15"/>
      <c r="D2375" s="2"/>
    </row>
    <row r="2376" spans="1:4" ht="12.75" customHeight="1" x14ac:dyDescent="0.2">
      <c r="A2376" s="13" t="s">
        <v>2932</v>
      </c>
      <c r="C2376" s="12"/>
      <c r="D2376" s="2"/>
    </row>
    <row r="2377" spans="1:4" ht="12.75" customHeight="1" x14ac:dyDescent="0.2">
      <c r="A2377" s="11"/>
      <c r="B2377" s="2"/>
      <c r="C2377" s="15"/>
      <c r="D2377" s="2"/>
    </row>
    <row r="2378" spans="1:4" ht="12.75" customHeight="1" x14ac:dyDescent="0.2">
      <c r="B2378" s="11" t="s">
        <v>0</v>
      </c>
      <c r="C2378" s="17" t="s">
        <v>38</v>
      </c>
      <c r="D2378" s="2"/>
    </row>
    <row r="2379" spans="1:4" ht="12.75" customHeight="1" x14ac:dyDescent="0.2">
      <c r="B2379" s="11" t="s">
        <v>2599</v>
      </c>
      <c r="C2379" s="17" t="s">
        <v>2933</v>
      </c>
      <c r="D2379" s="2"/>
    </row>
    <row r="2380" spans="1:4" ht="25.5" customHeight="1" x14ac:dyDescent="0.2">
      <c r="B2380" s="11" t="s">
        <v>2600</v>
      </c>
      <c r="C2380" s="17" t="s">
        <v>2934</v>
      </c>
      <c r="D2380" s="2"/>
    </row>
    <row r="2381" spans="1:4" ht="25.5" customHeight="1" x14ac:dyDescent="0.2">
      <c r="B2381" s="11" t="s">
        <v>2601</v>
      </c>
      <c r="C2381" s="17"/>
      <c r="D2381" s="2"/>
    </row>
    <row r="2382" spans="1:4" ht="12.75" customHeight="1" x14ac:dyDescent="0.2">
      <c r="B2382" s="11" t="s">
        <v>16</v>
      </c>
      <c r="C2382" s="17"/>
      <c r="D2382" s="2"/>
    </row>
    <row r="2383" spans="1:4" ht="12.75" customHeight="1" x14ac:dyDescent="0.2">
      <c r="B2383" s="11" t="s">
        <v>13</v>
      </c>
      <c r="C2383" s="17" t="s">
        <v>2602</v>
      </c>
      <c r="D2383" s="2"/>
    </row>
    <row r="2384" spans="1:4" ht="12.75" customHeight="1" x14ac:dyDescent="0.2">
      <c r="B2384" s="11" t="s">
        <v>2603</v>
      </c>
      <c r="C2384" s="17" t="s">
        <v>128</v>
      </c>
      <c r="D2384" s="2"/>
    </row>
    <row r="2385" spans="1:4" ht="12.75" customHeight="1" x14ac:dyDescent="0.2">
      <c r="B2385" s="11" t="s">
        <v>2605</v>
      </c>
      <c r="C2385" s="17" t="s">
        <v>14</v>
      </c>
      <c r="D2385" s="2"/>
    </row>
    <row r="2386" spans="1:4" ht="12.75" customHeight="1" x14ac:dyDescent="0.2">
      <c r="B2386" s="11" t="s">
        <v>2606</v>
      </c>
      <c r="C2386" s="16" t="s">
        <v>19</v>
      </c>
      <c r="D2386" s="2"/>
    </row>
    <row r="2387" spans="1:4" ht="12.75" customHeight="1" x14ac:dyDescent="0.2">
      <c r="B2387" s="2"/>
      <c r="C2387" s="15"/>
      <c r="D2387" s="2"/>
    </row>
    <row r="2388" spans="1:4" ht="12.75" customHeight="1" x14ac:dyDescent="0.2">
      <c r="B2388" s="2"/>
      <c r="C2388" s="15"/>
      <c r="D2388" s="2"/>
    </row>
    <row r="2389" spans="1:4" ht="12.75" customHeight="1" x14ac:dyDescent="0.2">
      <c r="A2389" s="13" t="s">
        <v>2935</v>
      </c>
      <c r="C2389" s="12"/>
    </row>
    <row r="2390" spans="1:4" ht="12.75" customHeight="1" x14ac:dyDescent="0.2">
      <c r="A2390" s="11"/>
      <c r="B2390" s="2"/>
      <c r="C2390" s="15"/>
      <c r="D2390" s="2"/>
    </row>
    <row r="2391" spans="1:4" ht="12.75" customHeight="1" x14ac:dyDescent="0.2">
      <c r="B2391" s="11" t="s">
        <v>0</v>
      </c>
      <c r="C2391" s="11" t="s">
        <v>38</v>
      </c>
    </row>
    <row r="2392" spans="1:4" ht="12.75" customHeight="1" x14ac:dyDescent="0.2">
      <c r="B2392" s="11" t="s">
        <v>2599</v>
      </c>
      <c r="C2392" s="11" t="s">
        <v>2575</v>
      </c>
    </row>
    <row r="2393" spans="1:4" ht="25.5" customHeight="1" x14ac:dyDescent="0.2">
      <c r="B2393" s="11" t="s">
        <v>2600</v>
      </c>
      <c r="C2393" s="11" t="s">
        <v>2936</v>
      </c>
    </row>
    <row r="2394" spans="1:4" ht="25.5" customHeight="1" x14ac:dyDescent="0.2">
      <c r="B2394" s="11" t="s">
        <v>2601</v>
      </c>
      <c r="C2394" s="11"/>
    </row>
    <row r="2395" spans="1:4" ht="12.75" customHeight="1" x14ac:dyDescent="0.2">
      <c r="B2395" s="11" t="s">
        <v>16</v>
      </c>
      <c r="C2395" s="11"/>
    </row>
    <row r="2396" spans="1:4" ht="12.75" customHeight="1" x14ac:dyDescent="0.2">
      <c r="B2396" s="11" t="s">
        <v>13</v>
      </c>
      <c r="C2396" s="11" t="s">
        <v>2602</v>
      </c>
    </row>
    <row r="2397" spans="1:4" ht="12.75" customHeight="1" x14ac:dyDescent="0.2">
      <c r="B2397" s="11" t="s">
        <v>2603</v>
      </c>
      <c r="C2397" s="11" t="s">
        <v>2604</v>
      </c>
    </row>
    <row r="2398" spans="1:4" ht="12.75" customHeight="1" x14ac:dyDescent="0.2">
      <c r="B2398" s="11" t="s">
        <v>2605</v>
      </c>
      <c r="C2398" s="11" t="s">
        <v>24</v>
      </c>
    </row>
    <row r="2399" spans="1:4" ht="12.75" customHeight="1" x14ac:dyDescent="0.2">
      <c r="B2399" s="11" t="s">
        <v>2606</v>
      </c>
      <c r="C2399" s="16" t="s">
        <v>44</v>
      </c>
      <c r="D2399" s="6" t="str">
        <f>HYPERLINK("javascript:void(0)","bronzbunkó")</f>
        <v>bronzbunkó</v>
      </c>
    </row>
    <row r="2400" spans="1:4" ht="12.75" customHeight="1" x14ac:dyDescent="0.2">
      <c r="B2400" s="2"/>
      <c r="C2400" s="15"/>
      <c r="D2400" s="2"/>
    </row>
    <row r="2401" spans="1:4" ht="12.75" customHeight="1" x14ac:dyDescent="0.2">
      <c r="B2401" s="2"/>
      <c r="C2401" s="15"/>
      <c r="D2401" s="2"/>
    </row>
    <row r="2402" spans="1:4" ht="12.75" customHeight="1" x14ac:dyDescent="0.2">
      <c r="A2402" s="13" t="s">
        <v>2937</v>
      </c>
      <c r="C2402" s="12"/>
    </row>
    <row r="2403" spans="1:4" ht="12.75" customHeight="1" x14ac:dyDescent="0.2">
      <c r="A2403" s="11"/>
      <c r="B2403" s="2"/>
      <c r="C2403" s="15"/>
      <c r="D2403" s="2"/>
    </row>
    <row r="2404" spans="1:4" ht="12.75" customHeight="1" x14ac:dyDescent="0.2">
      <c r="B2404" s="11" t="s">
        <v>0</v>
      </c>
      <c r="C2404" s="11" t="s">
        <v>38</v>
      </c>
    </row>
    <row r="2405" spans="1:4" ht="12.75" customHeight="1" x14ac:dyDescent="0.2">
      <c r="B2405" s="11" t="s">
        <v>2599</v>
      </c>
      <c r="C2405" s="11" t="s">
        <v>2906</v>
      </c>
    </row>
    <row r="2406" spans="1:4" ht="25.5" customHeight="1" x14ac:dyDescent="0.2">
      <c r="B2406" s="11" t="s">
        <v>2600</v>
      </c>
      <c r="C2406" s="11" t="s">
        <v>2938</v>
      </c>
    </row>
    <row r="2407" spans="1:4" ht="25.5" customHeight="1" x14ac:dyDescent="0.2">
      <c r="B2407" s="11" t="s">
        <v>2601</v>
      </c>
      <c r="C2407" s="11"/>
    </row>
    <row r="2408" spans="1:4" ht="12.75" customHeight="1" x14ac:dyDescent="0.2">
      <c r="B2408" s="11" t="s">
        <v>16</v>
      </c>
      <c r="C2408" s="11"/>
    </row>
    <row r="2409" spans="1:4" ht="12.75" customHeight="1" x14ac:dyDescent="0.2">
      <c r="B2409" s="11" t="s">
        <v>13</v>
      </c>
      <c r="C2409" s="11" t="s">
        <v>2644</v>
      </c>
    </row>
    <row r="2410" spans="1:4" ht="12.75" customHeight="1" x14ac:dyDescent="0.2">
      <c r="B2410" s="11" t="s">
        <v>2603</v>
      </c>
      <c r="C2410" s="11" t="s">
        <v>2604</v>
      </c>
    </row>
    <row r="2411" spans="1:4" ht="12.75" customHeight="1" x14ac:dyDescent="0.2">
      <c r="B2411" s="11" t="s">
        <v>2605</v>
      </c>
      <c r="C2411" s="11" t="s">
        <v>24</v>
      </c>
    </row>
    <row r="2412" spans="1:4" ht="25.5" customHeight="1" x14ac:dyDescent="0.2">
      <c r="B2412" s="11" t="s">
        <v>2606</v>
      </c>
      <c r="C2412" s="16" t="s">
        <v>57</v>
      </c>
      <c r="D2412" s="6" t="str">
        <f>HYPERLINK("javascript:void(0)","vámpírherbium")</f>
        <v>vámpírherbium</v>
      </c>
    </row>
    <row r="2413" spans="1:4" ht="12.75" customHeight="1" x14ac:dyDescent="0.2">
      <c r="B2413" s="2"/>
      <c r="C2413" s="15"/>
      <c r="D2413" s="2"/>
    </row>
    <row r="2414" spans="1:4" ht="12.75" customHeight="1" x14ac:dyDescent="0.2">
      <c r="B2414" s="2"/>
      <c r="C2414" s="15"/>
      <c r="D2414" s="2"/>
    </row>
    <row r="2415" spans="1:4" ht="12.75" customHeight="1" x14ac:dyDescent="0.2">
      <c r="A2415" s="13" t="s">
        <v>2939</v>
      </c>
      <c r="C2415" s="12"/>
    </row>
    <row r="2416" spans="1:4" ht="12.75" customHeight="1" x14ac:dyDescent="0.2">
      <c r="A2416" s="11"/>
      <c r="B2416" s="2"/>
      <c r="C2416" s="15"/>
      <c r="D2416" s="2"/>
    </row>
    <row r="2417" spans="1:4" ht="12.75" customHeight="1" x14ac:dyDescent="0.2">
      <c r="B2417" s="11" t="s">
        <v>0</v>
      </c>
      <c r="C2417" s="11" t="s">
        <v>38</v>
      </c>
    </row>
    <row r="2418" spans="1:4" ht="12.75" customHeight="1" x14ac:dyDescent="0.2">
      <c r="B2418" s="11" t="s">
        <v>2599</v>
      </c>
      <c r="C2418" s="11" t="s">
        <v>2940</v>
      </c>
    </row>
    <row r="2419" spans="1:4" ht="25.5" customHeight="1" x14ac:dyDescent="0.2">
      <c r="B2419" s="11" t="s">
        <v>2600</v>
      </c>
      <c r="C2419" s="11" t="s">
        <v>2941</v>
      </c>
    </row>
    <row r="2420" spans="1:4" ht="25.5" customHeight="1" x14ac:dyDescent="0.2">
      <c r="B2420" s="11" t="s">
        <v>2601</v>
      </c>
      <c r="C2420" s="11"/>
    </row>
    <row r="2421" spans="1:4" ht="12.75" customHeight="1" x14ac:dyDescent="0.2">
      <c r="B2421" s="11" t="s">
        <v>16</v>
      </c>
      <c r="C2421" s="11"/>
    </row>
    <row r="2422" spans="1:4" ht="12.75" customHeight="1" x14ac:dyDescent="0.2">
      <c r="B2422" s="11" t="s">
        <v>13</v>
      </c>
      <c r="C2422" s="11" t="s">
        <v>2644</v>
      </c>
    </row>
    <row r="2423" spans="1:4" ht="12.75" customHeight="1" x14ac:dyDescent="0.2">
      <c r="B2423" s="11" t="s">
        <v>2603</v>
      </c>
      <c r="C2423" s="11" t="s">
        <v>2604</v>
      </c>
    </row>
    <row r="2424" spans="1:4" ht="12.75" customHeight="1" x14ac:dyDescent="0.2">
      <c r="B2424" s="11" t="s">
        <v>2605</v>
      </c>
      <c r="C2424" s="11" t="s">
        <v>24</v>
      </c>
    </row>
    <row r="2425" spans="1:4" ht="25.5" customHeight="1" x14ac:dyDescent="0.2">
      <c r="B2425" s="11" t="s">
        <v>2606</v>
      </c>
      <c r="C2425" s="16" t="s">
        <v>44</v>
      </c>
      <c r="D2425" s="6" t="str">
        <f>HYPERLINK("javascript:void(0)","sárkánypikkely")</f>
        <v>sárkánypikkely</v>
      </c>
    </row>
    <row r="2426" spans="1:4" ht="12.75" customHeight="1" x14ac:dyDescent="0.2">
      <c r="C2426" s="16" t="s">
        <v>44</v>
      </c>
      <c r="D2426" s="6" t="str">
        <f>HYPERLINK("javascript:void(0)","sárkányfog")</f>
        <v>sárkányfog</v>
      </c>
    </row>
    <row r="2427" spans="1:4" ht="12.75" customHeight="1" x14ac:dyDescent="0.2">
      <c r="B2427" s="2"/>
      <c r="C2427" s="15"/>
      <c r="D2427" s="2"/>
    </row>
    <row r="2428" spans="1:4" ht="12.75" customHeight="1" x14ac:dyDescent="0.2">
      <c r="B2428" s="2"/>
      <c r="C2428" s="15"/>
      <c r="D2428" s="2"/>
    </row>
    <row r="2429" spans="1:4" ht="12.75" customHeight="1" x14ac:dyDescent="0.2">
      <c r="A2429" s="13" t="s">
        <v>2942</v>
      </c>
      <c r="C2429" s="12"/>
    </row>
    <row r="2430" spans="1:4" ht="12.75" customHeight="1" x14ac:dyDescent="0.2">
      <c r="A2430" s="11"/>
      <c r="B2430" s="2"/>
      <c r="C2430" s="15"/>
      <c r="D2430" s="2"/>
    </row>
    <row r="2431" spans="1:4" ht="12.75" customHeight="1" x14ac:dyDescent="0.2">
      <c r="B2431" s="11" t="s">
        <v>0</v>
      </c>
      <c r="C2431" s="11" t="s">
        <v>38</v>
      </c>
    </row>
    <row r="2432" spans="1:4" ht="12.75" customHeight="1" x14ac:dyDescent="0.2">
      <c r="B2432" s="11" t="s">
        <v>2599</v>
      </c>
      <c r="C2432" s="11" t="s">
        <v>1796</v>
      </c>
    </row>
    <row r="2433" spans="1:4" ht="25.5" customHeight="1" x14ac:dyDescent="0.2">
      <c r="B2433" s="11" t="s">
        <v>2600</v>
      </c>
      <c r="C2433" s="11" t="s">
        <v>2943</v>
      </c>
    </row>
    <row r="2434" spans="1:4" ht="25.5" customHeight="1" x14ac:dyDescent="0.2">
      <c r="B2434" s="11" t="s">
        <v>2601</v>
      </c>
      <c r="C2434" s="11"/>
    </row>
    <row r="2435" spans="1:4" ht="12.75" customHeight="1" x14ac:dyDescent="0.2">
      <c r="B2435" s="11" t="s">
        <v>16</v>
      </c>
      <c r="C2435" s="11"/>
    </row>
    <row r="2436" spans="1:4" ht="12.75" customHeight="1" x14ac:dyDescent="0.2">
      <c r="B2436" s="11" t="s">
        <v>13</v>
      </c>
      <c r="C2436" s="11" t="s">
        <v>2644</v>
      </c>
    </row>
    <row r="2437" spans="1:4" ht="12.75" customHeight="1" x14ac:dyDescent="0.2">
      <c r="B2437" s="11" t="s">
        <v>2603</v>
      </c>
      <c r="C2437" s="11" t="s">
        <v>2604</v>
      </c>
    </row>
    <row r="2438" spans="1:4" ht="12.75" customHeight="1" x14ac:dyDescent="0.2">
      <c r="B2438" s="11" t="s">
        <v>2605</v>
      </c>
      <c r="C2438" s="11" t="s">
        <v>24</v>
      </c>
    </row>
    <row r="2439" spans="1:4" ht="12.75" customHeight="1" x14ac:dyDescent="0.2">
      <c r="B2439" s="11" t="s">
        <v>2606</v>
      </c>
      <c r="C2439" s="16" t="s">
        <v>56</v>
      </c>
      <c r="D2439" s="6" t="str">
        <f>HYPERLINK("javascript:void(0)","démonvádli")</f>
        <v>démonvádli</v>
      </c>
    </row>
    <row r="2440" spans="1:4" ht="12.75" customHeight="1" x14ac:dyDescent="0.2">
      <c r="B2440" s="2"/>
      <c r="C2440" s="15"/>
      <c r="D2440" s="2"/>
    </row>
    <row r="2441" spans="1:4" ht="12.75" customHeight="1" x14ac:dyDescent="0.2">
      <c r="B2441" s="2"/>
      <c r="C2441" s="15"/>
      <c r="D2441" s="2"/>
    </row>
    <row r="2442" spans="1:4" ht="12.75" customHeight="1" x14ac:dyDescent="0.2">
      <c r="A2442" s="13" t="s">
        <v>2944</v>
      </c>
      <c r="C2442" s="12"/>
    </row>
    <row r="2443" spans="1:4" ht="12.75" customHeight="1" x14ac:dyDescent="0.2">
      <c r="A2443" s="11"/>
      <c r="B2443" s="2"/>
      <c r="C2443" s="15"/>
      <c r="D2443" s="2"/>
    </row>
    <row r="2444" spans="1:4" ht="12.75" customHeight="1" x14ac:dyDescent="0.2">
      <c r="B2444" s="11" t="s">
        <v>0</v>
      </c>
      <c r="C2444" s="11" t="s">
        <v>38</v>
      </c>
    </row>
    <row r="2445" spans="1:4" ht="12.75" customHeight="1" x14ac:dyDescent="0.2">
      <c r="B2445" s="11" t="s">
        <v>2599</v>
      </c>
      <c r="C2445" s="11" t="s">
        <v>2906</v>
      </c>
    </row>
    <row r="2446" spans="1:4" ht="25.5" customHeight="1" x14ac:dyDescent="0.2">
      <c r="B2446" s="11" t="s">
        <v>2600</v>
      </c>
      <c r="C2446" s="11" t="s">
        <v>2945</v>
      </c>
    </row>
    <row r="2447" spans="1:4" ht="25.5" customHeight="1" x14ac:dyDescent="0.2">
      <c r="B2447" s="11" t="s">
        <v>2601</v>
      </c>
      <c r="C2447" s="11"/>
    </row>
    <row r="2448" spans="1:4" ht="12.75" customHeight="1" x14ac:dyDescent="0.2">
      <c r="B2448" s="11" t="s">
        <v>16</v>
      </c>
      <c r="C2448" s="11"/>
    </row>
    <row r="2449" spans="1:4" ht="12.75" customHeight="1" x14ac:dyDescent="0.2">
      <c r="B2449" s="11" t="s">
        <v>13</v>
      </c>
      <c r="C2449" s="11" t="s">
        <v>2602</v>
      </c>
    </row>
    <row r="2450" spans="1:4" ht="12.75" customHeight="1" x14ac:dyDescent="0.2">
      <c r="B2450" s="11" t="s">
        <v>2603</v>
      </c>
      <c r="C2450" s="11" t="s">
        <v>2604</v>
      </c>
    </row>
    <row r="2451" spans="1:4" ht="12.75" customHeight="1" x14ac:dyDescent="0.2">
      <c r="B2451" s="11" t="s">
        <v>2605</v>
      </c>
      <c r="C2451" s="11" t="s">
        <v>24</v>
      </c>
    </row>
    <row r="2452" spans="1:4" ht="25.5" customHeight="1" x14ac:dyDescent="0.2">
      <c r="B2452" s="11" t="s">
        <v>2606</v>
      </c>
      <c r="C2452" s="16" t="s">
        <v>44</v>
      </c>
      <c r="D2452" s="6" t="str">
        <f>HYPERLINK("javascript:void(0)","dzsinka sarló")</f>
        <v>dzsinka sarló</v>
      </c>
    </row>
    <row r="2453" spans="1:4" ht="12.75" customHeight="1" x14ac:dyDescent="0.2">
      <c r="C2453" s="16" t="s">
        <v>228</v>
      </c>
      <c r="D2453" s="6" t="str">
        <f>HYPERLINK("javascript:void(0)","ezüst")</f>
        <v>ezüst</v>
      </c>
    </row>
    <row r="2454" spans="1:4" ht="12.75" customHeight="1" x14ac:dyDescent="0.2">
      <c r="B2454" s="2"/>
      <c r="C2454" s="15"/>
      <c r="D2454" s="2"/>
    </row>
    <row r="2455" spans="1:4" ht="12.75" customHeight="1" x14ac:dyDescent="0.2">
      <c r="B2455" s="2"/>
      <c r="C2455" s="15"/>
      <c r="D2455" s="2"/>
    </row>
    <row r="2456" spans="1:4" ht="12.75" customHeight="1" x14ac:dyDescent="0.2">
      <c r="A2456" s="13" t="s">
        <v>2946</v>
      </c>
      <c r="C2456" s="12"/>
    </row>
    <row r="2457" spans="1:4" ht="12.75" customHeight="1" x14ac:dyDescent="0.2">
      <c r="A2457" s="11"/>
      <c r="B2457" s="2"/>
      <c r="C2457" s="15"/>
      <c r="D2457" s="2"/>
    </row>
    <row r="2458" spans="1:4" ht="12.75" customHeight="1" x14ac:dyDescent="0.2">
      <c r="B2458" s="11" t="s">
        <v>0</v>
      </c>
      <c r="C2458" s="11" t="s">
        <v>38</v>
      </c>
    </row>
    <row r="2459" spans="1:4" ht="12.75" customHeight="1" x14ac:dyDescent="0.2">
      <c r="B2459" s="11" t="s">
        <v>2599</v>
      </c>
      <c r="C2459" s="11" t="s">
        <v>2947</v>
      </c>
    </row>
    <row r="2460" spans="1:4" ht="25.5" customHeight="1" x14ac:dyDescent="0.2">
      <c r="B2460" s="11" t="s">
        <v>2600</v>
      </c>
      <c r="C2460" s="11" t="s">
        <v>2948</v>
      </c>
    </row>
    <row r="2461" spans="1:4" ht="25.5" customHeight="1" x14ac:dyDescent="0.2">
      <c r="B2461" s="11" t="s">
        <v>2601</v>
      </c>
      <c r="C2461" s="11"/>
    </row>
    <row r="2462" spans="1:4" ht="12.75" customHeight="1" x14ac:dyDescent="0.2">
      <c r="B2462" s="11" t="s">
        <v>16</v>
      </c>
      <c r="C2462" s="11"/>
    </row>
    <row r="2463" spans="1:4" ht="12.75" customHeight="1" x14ac:dyDescent="0.2">
      <c r="B2463" s="11" t="s">
        <v>13</v>
      </c>
      <c r="C2463" s="11" t="s">
        <v>2602</v>
      </c>
    </row>
    <row r="2464" spans="1:4" ht="12.75" customHeight="1" x14ac:dyDescent="0.2">
      <c r="B2464" s="11" t="s">
        <v>2603</v>
      </c>
      <c r="C2464" s="11" t="s">
        <v>2865</v>
      </c>
    </row>
    <row r="2465" spans="1:4" ht="12.75" customHeight="1" x14ac:dyDescent="0.2">
      <c r="B2465" s="11" t="s">
        <v>2605</v>
      </c>
      <c r="C2465" s="11" t="s">
        <v>24</v>
      </c>
    </row>
    <row r="2466" spans="1:4" ht="12.75" customHeight="1" x14ac:dyDescent="0.2">
      <c r="B2466" s="11" t="s">
        <v>2606</v>
      </c>
      <c r="C2466" s="16" t="s">
        <v>44</v>
      </c>
      <c r="D2466" s="6" t="str">
        <f>HYPERLINK("javascript:void(0)","chang-kard")</f>
        <v>chang-kard</v>
      </c>
    </row>
    <row r="2467" spans="1:4" ht="12.75" customHeight="1" x14ac:dyDescent="0.2">
      <c r="C2467" s="16" t="s">
        <v>2949</v>
      </c>
      <c r="D2467" s="6" t="str">
        <f>HYPERLINK("javascript:void(0)","ezüst")</f>
        <v>ezüst</v>
      </c>
    </row>
    <row r="2468" spans="1:4" ht="12.75" customHeight="1" x14ac:dyDescent="0.2">
      <c r="B2468" s="2"/>
      <c r="C2468" s="15"/>
      <c r="D2468" s="2"/>
    </row>
    <row r="2469" spans="1:4" ht="12.75" customHeight="1" x14ac:dyDescent="0.2">
      <c r="B2469" s="2"/>
      <c r="C2469" s="15"/>
      <c r="D2469" s="2"/>
    </row>
    <row r="2470" spans="1:4" ht="12.75" customHeight="1" x14ac:dyDescent="0.2">
      <c r="A2470" s="13" t="s">
        <v>2950</v>
      </c>
      <c r="C2470" s="12"/>
    </row>
    <row r="2471" spans="1:4" ht="12.75" customHeight="1" x14ac:dyDescent="0.2">
      <c r="A2471" s="11"/>
      <c r="B2471" s="2"/>
      <c r="C2471" s="15"/>
      <c r="D2471" s="2"/>
    </row>
    <row r="2472" spans="1:4" ht="12.75" customHeight="1" x14ac:dyDescent="0.2">
      <c r="B2472" s="11" t="s">
        <v>0</v>
      </c>
      <c r="C2472" s="11" t="s">
        <v>38</v>
      </c>
    </row>
    <row r="2473" spans="1:4" ht="12.75" customHeight="1" x14ac:dyDescent="0.2">
      <c r="B2473" s="11" t="s">
        <v>2599</v>
      </c>
      <c r="C2473" s="11" t="s">
        <v>2468</v>
      </c>
    </row>
    <row r="2474" spans="1:4" ht="25.5" customHeight="1" x14ac:dyDescent="0.2">
      <c r="B2474" s="11" t="s">
        <v>2600</v>
      </c>
      <c r="C2474" s="11" t="s">
        <v>2951</v>
      </c>
    </row>
    <row r="2475" spans="1:4" ht="25.5" customHeight="1" x14ac:dyDescent="0.2">
      <c r="B2475" s="11" t="s">
        <v>2601</v>
      </c>
      <c r="C2475" s="11"/>
    </row>
    <row r="2476" spans="1:4" ht="12.75" customHeight="1" x14ac:dyDescent="0.2">
      <c r="B2476" s="11" t="s">
        <v>16</v>
      </c>
      <c r="C2476" s="11"/>
    </row>
    <row r="2477" spans="1:4" ht="12.75" customHeight="1" x14ac:dyDescent="0.2">
      <c r="B2477" s="11" t="s">
        <v>13</v>
      </c>
      <c r="C2477" s="11" t="s">
        <v>2602</v>
      </c>
    </row>
    <row r="2478" spans="1:4" ht="12.75" customHeight="1" x14ac:dyDescent="0.2">
      <c r="B2478" s="11" t="s">
        <v>2603</v>
      </c>
      <c r="C2478" s="11" t="s">
        <v>2604</v>
      </c>
    </row>
    <row r="2479" spans="1:4" ht="12.75" customHeight="1" x14ac:dyDescent="0.2">
      <c r="B2479" s="11" t="s">
        <v>2605</v>
      </c>
      <c r="C2479" s="11" t="s">
        <v>24</v>
      </c>
    </row>
    <row r="2480" spans="1:4" ht="12.75" customHeight="1" x14ac:dyDescent="0.2">
      <c r="B2480" s="11" t="s">
        <v>2606</v>
      </c>
      <c r="C2480" s="16" t="s">
        <v>56</v>
      </c>
      <c r="D2480" s="6" t="str">
        <f>HYPERLINK("javascript:void(0)","szemhéj")</f>
        <v>szemhéj</v>
      </c>
    </row>
    <row r="2481" spans="1:4" ht="12.75" customHeight="1" x14ac:dyDescent="0.2">
      <c r="B2481" s="2"/>
      <c r="C2481" s="15"/>
      <c r="D2481" s="2"/>
    </row>
    <row r="2482" spans="1:4" ht="12.75" customHeight="1" x14ac:dyDescent="0.2">
      <c r="B2482" s="2"/>
      <c r="C2482" s="15"/>
      <c r="D2482" s="2"/>
    </row>
    <row r="2483" spans="1:4" ht="12.75" customHeight="1" x14ac:dyDescent="0.2">
      <c r="A2483" s="13" t="s">
        <v>2952</v>
      </c>
      <c r="C2483" s="12"/>
    </row>
    <row r="2484" spans="1:4" ht="12.75" customHeight="1" x14ac:dyDescent="0.2">
      <c r="A2484" s="11"/>
      <c r="B2484" s="2"/>
      <c r="C2484" s="15"/>
      <c r="D2484" s="2"/>
    </row>
    <row r="2485" spans="1:4" ht="12.75" customHeight="1" x14ac:dyDescent="0.2">
      <c r="B2485" s="11" t="s">
        <v>0</v>
      </c>
      <c r="C2485" s="11" t="s">
        <v>38</v>
      </c>
    </row>
    <row r="2486" spans="1:4" ht="12.75" customHeight="1" x14ac:dyDescent="0.2">
      <c r="B2486" s="11" t="s">
        <v>2599</v>
      </c>
      <c r="C2486" s="11" t="s">
        <v>2953</v>
      </c>
    </row>
    <row r="2487" spans="1:4" ht="25.5" customHeight="1" x14ac:dyDescent="0.2">
      <c r="B2487" s="11" t="s">
        <v>2600</v>
      </c>
      <c r="C2487" s="11" t="s">
        <v>2954</v>
      </c>
    </row>
    <row r="2488" spans="1:4" ht="25.5" customHeight="1" x14ac:dyDescent="0.2">
      <c r="B2488" s="11" t="s">
        <v>2601</v>
      </c>
      <c r="C2488" s="11"/>
    </row>
    <row r="2489" spans="1:4" ht="12.75" customHeight="1" x14ac:dyDescent="0.2">
      <c r="B2489" s="11" t="s">
        <v>16</v>
      </c>
      <c r="C2489" s="11"/>
    </row>
    <row r="2490" spans="1:4" ht="12.75" customHeight="1" x14ac:dyDescent="0.2">
      <c r="B2490" s="11" t="s">
        <v>13</v>
      </c>
      <c r="C2490" s="11" t="s">
        <v>2644</v>
      </c>
    </row>
    <row r="2491" spans="1:4" ht="12.75" customHeight="1" x14ac:dyDescent="0.2">
      <c r="B2491" s="11" t="s">
        <v>2603</v>
      </c>
      <c r="C2491" s="11" t="s">
        <v>2642</v>
      </c>
    </row>
    <row r="2492" spans="1:4" ht="12.75" customHeight="1" x14ac:dyDescent="0.2">
      <c r="B2492" s="11" t="s">
        <v>2605</v>
      </c>
      <c r="C2492" s="11" t="s">
        <v>24</v>
      </c>
    </row>
    <row r="2493" spans="1:4" ht="25.5" customHeight="1" x14ac:dyDescent="0.2">
      <c r="B2493" s="11" t="s">
        <v>2606</v>
      </c>
      <c r="C2493" s="16" t="s">
        <v>44</v>
      </c>
      <c r="D2493" s="6" t="str">
        <f>HYPERLINK("javascript:void(0)","sárkánypikkely")</f>
        <v>sárkánypikkely</v>
      </c>
    </row>
    <row r="2494" spans="1:4" ht="12.75" customHeight="1" x14ac:dyDescent="0.2">
      <c r="C2494" s="16" t="s">
        <v>44</v>
      </c>
      <c r="D2494" s="6" t="str">
        <f>HYPERLINK("javascript:void(0)","sárkányfog")</f>
        <v>sárkányfog</v>
      </c>
    </row>
    <row r="2495" spans="1:4" ht="25.5" customHeight="1" x14ac:dyDescent="0.2">
      <c r="C2495" s="16" t="s">
        <v>44</v>
      </c>
      <c r="D2495" s="6" t="str">
        <f>HYPERLINK("javascript:void(0)","sárkánykarom")</f>
        <v>sárkánykarom</v>
      </c>
    </row>
    <row r="2496" spans="1:4" ht="12.75" customHeight="1" x14ac:dyDescent="0.2">
      <c r="B2496" s="2"/>
      <c r="C2496" s="15"/>
      <c r="D2496" s="2"/>
    </row>
    <row r="2497" spans="1:4" ht="12.75" customHeight="1" x14ac:dyDescent="0.2">
      <c r="B2497" s="2"/>
      <c r="C2497" s="15"/>
      <c r="D2497" s="2"/>
    </row>
    <row r="2498" spans="1:4" ht="12.75" customHeight="1" x14ac:dyDescent="0.2">
      <c r="A2498" s="14" t="s">
        <v>2955</v>
      </c>
      <c r="C2498" s="12"/>
    </row>
    <row r="2499" spans="1:4" ht="12.75" customHeight="1" x14ac:dyDescent="0.2">
      <c r="A2499" s="11"/>
      <c r="B2499" s="2"/>
      <c r="C2499" s="15"/>
      <c r="D2499" s="2"/>
    </row>
    <row r="2500" spans="1:4" ht="12.75" customHeight="1" x14ac:dyDescent="0.2">
      <c r="B2500" s="11" t="s">
        <v>0</v>
      </c>
      <c r="C2500" s="11" t="s">
        <v>38</v>
      </c>
    </row>
    <row r="2501" spans="1:4" ht="12.75" customHeight="1" x14ac:dyDescent="0.2">
      <c r="B2501" s="11" t="s">
        <v>2599</v>
      </c>
      <c r="C2501" s="11" t="s">
        <v>611</v>
      </c>
    </row>
    <row r="2502" spans="1:4" ht="25.5" customHeight="1" x14ac:dyDescent="0.2">
      <c r="B2502" s="11" t="s">
        <v>2600</v>
      </c>
      <c r="C2502" s="11" t="s">
        <v>2956</v>
      </c>
    </row>
    <row r="2503" spans="1:4" ht="25.5" customHeight="1" x14ac:dyDescent="0.2">
      <c r="B2503" s="11" t="s">
        <v>2601</v>
      </c>
      <c r="C2503" s="11"/>
    </row>
    <row r="2504" spans="1:4" ht="12.75" customHeight="1" x14ac:dyDescent="0.2">
      <c r="B2504" s="11" t="s">
        <v>16</v>
      </c>
      <c r="C2504" s="11"/>
    </row>
    <row r="2505" spans="1:4" ht="12.75" customHeight="1" x14ac:dyDescent="0.2">
      <c r="B2505" s="11" t="s">
        <v>13</v>
      </c>
      <c r="C2505" s="11" t="s">
        <v>2644</v>
      </c>
    </row>
    <row r="2506" spans="1:4" ht="12.75" customHeight="1" x14ac:dyDescent="0.2">
      <c r="B2506" s="11" t="s">
        <v>2603</v>
      </c>
      <c r="C2506" s="11" t="s">
        <v>2640</v>
      </c>
    </row>
    <row r="2507" spans="1:4" ht="12.75" customHeight="1" x14ac:dyDescent="0.2">
      <c r="B2507" s="11" t="s">
        <v>2605</v>
      </c>
      <c r="C2507" s="11" t="s">
        <v>24</v>
      </c>
    </row>
    <row r="2508" spans="1:4" ht="12.75" customHeight="1" x14ac:dyDescent="0.2">
      <c r="B2508" s="11" t="s">
        <v>2606</v>
      </c>
      <c r="C2508" s="16" t="s">
        <v>44</v>
      </c>
      <c r="D2508" s="6" t="str">
        <f>HYPERLINK("javascript:void(0)","lovagi kard")</f>
        <v>lovagi kard</v>
      </c>
    </row>
    <row r="2509" spans="1:4" ht="25.5" customHeight="1" x14ac:dyDescent="0.2">
      <c r="C2509" s="16" t="s">
        <v>56</v>
      </c>
      <c r="D2509" s="6" t="str">
        <f>HYPERLINK("javascript:void(0)","lábszárcsont")</f>
        <v>lábszárcsont</v>
      </c>
    </row>
    <row r="2510" spans="1:4" ht="12.75" customHeight="1" x14ac:dyDescent="0.2">
      <c r="C2510" s="16" t="s">
        <v>44</v>
      </c>
      <c r="D2510" s="6" t="str">
        <f>HYPERLINK("javascript:void(0)","koponya")</f>
        <v>koponya</v>
      </c>
    </row>
    <row r="2511" spans="1:4" ht="12.75" customHeight="1" x14ac:dyDescent="0.2">
      <c r="B2511" s="2"/>
      <c r="C2511" s="15"/>
      <c r="D2511" s="2"/>
    </row>
    <row r="2512" spans="1:4" ht="12.75" customHeight="1" x14ac:dyDescent="0.2">
      <c r="B2512" s="2"/>
      <c r="C2512" s="15"/>
      <c r="D2512" s="2"/>
    </row>
    <row r="2513" spans="1:4" ht="12.75" customHeight="1" x14ac:dyDescent="0.2">
      <c r="A2513" s="13" t="s">
        <v>2957</v>
      </c>
      <c r="C2513" s="12"/>
    </row>
    <row r="2514" spans="1:4" ht="12.75" customHeight="1" x14ac:dyDescent="0.2">
      <c r="A2514" s="11"/>
      <c r="B2514" s="2"/>
      <c r="C2514" s="15"/>
      <c r="D2514" s="2"/>
    </row>
    <row r="2515" spans="1:4" ht="12.75" customHeight="1" x14ac:dyDescent="0.2">
      <c r="B2515" s="11" t="s">
        <v>0</v>
      </c>
      <c r="C2515" s="11" t="s">
        <v>38</v>
      </c>
    </row>
    <row r="2516" spans="1:4" ht="12.75" customHeight="1" x14ac:dyDescent="0.2">
      <c r="B2516" s="11" t="s">
        <v>2599</v>
      </c>
      <c r="C2516" s="11" t="s">
        <v>1859</v>
      </c>
    </row>
    <row r="2517" spans="1:4" ht="25.5" customHeight="1" x14ac:dyDescent="0.2">
      <c r="B2517" s="11" t="s">
        <v>2600</v>
      </c>
      <c r="C2517" s="11" t="s">
        <v>2958</v>
      </c>
    </row>
    <row r="2518" spans="1:4" ht="25.5" customHeight="1" x14ac:dyDescent="0.2">
      <c r="B2518" s="11" t="s">
        <v>2601</v>
      </c>
      <c r="C2518" s="11"/>
    </row>
    <row r="2519" spans="1:4" ht="12.75" customHeight="1" x14ac:dyDescent="0.2">
      <c r="B2519" s="11" t="s">
        <v>16</v>
      </c>
      <c r="C2519" s="11"/>
    </row>
    <row r="2520" spans="1:4" ht="12.75" customHeight="1" x14ac:dyDescent="0.2">
      <c r="B2520" s="11" t="s">
        <v>13</v>
      </c>
      <c r="C2520" s="11" t="s">
        <v>2644</v>
      </c>
    </row>
    <row r="2521" spans="1:4" ht="12.75" customHeight="1" x14ac:dyDescent="0.2">
      <c r="B2521" s="11" t="s">
        <v>2603</v>
      </c>
      <c r="C2521" s="11" t="s">
        <v>2604</v>
      </c>
    </row>
    <row r="2522" spans="1:4" ht="12.75" customHeight="1" x14ac:dyDescent="0.2">
      <c r="B2522" s="11" t="s">
        <v>2605</v>
      </c>
      <c r="C2522" s="11" t="s">
        <v>24</v>
      </c>
    </row>
    <row r="2523" spans="1:4" ht="25.5" customHeight="1" x14ac:dyDescent="0.2">
      <c r="B2523" s="11" t="s">
        <v>2606</v>
      </c>
      <c r="C2523" s="16" t="s">
        <v>232</v>
      </c>
      <c r="D2523" s="6" t="str">
        <f>HYPERLINK("javascript:void(0)","elementál eszencia")</f>
        <v>elementál eszencia</v>
      </c>
    </row>
    <row r="2524" spans="1:4" ht="12.75" customHeight="1" x14ac:dyDescent="0.2">
      <c r="B2524" s="2"/>
      <c r="C2524" s="15"/>
      <c r="D2524" s="2"/>
    </row>
    <row r="2525" spans="1:4" ht="12.75" customHeight="1" x14ac:dyDescent="0.2">
      <c r="B2525" s="2"/>
      <c r="C2525" s="15"/>
      <c r="D2525" s="2"/>
    </row>
    <row r="2526" spans="1:4" ht="12.75" customHeight="1" x14ac:dyDescent="0.2">
      <c r="A2526" s="13" t="s">
        <v>2959</v>
      </c>
      <c r="C2526" s="12"/>
    </row>
    <row r="2527" spans="1:4" ht="12.75" customHeight="1" x14ac:dyDescent="0.2">
      <c r="A2527" s="11"/>
      <c r="B2527" s="2"/>
      <c r="C2527" s="15"/>
      <c r="D2527" s="2"/>
    </row>
    <row r="2528" spans="1:4" ht="12.75" customHeight="1" x14ac:dyDescent="0.2">
      <c r="B2528" s="11" t="s">
        <v>0</v>
      </c>
      <c r="C2528" s="11" t="s">
        <v>38</v>
      </c>
    </row>
    <row r="2529" spans="1:4" ht="12.75" customHeight="1" x14ac:dyDescent="0.2">
      <c r="B2529" s="11" t="s">
        <v>2599</v>
      </c>
      <c r="C2529" s="11" t="s">
        <v>2960</v>
      </c>
    </row>
    <row r="2530" spans="1:4" ht="25.5" customHeight="1" x14ac:dyDescent="0.2">
      <c r="B2530" s="11" t="s">
        <v>2600</v>
      </c>
      <c r="C2530" s="11" t="s">
        <v>2961</v>
      </c>
    </row>
    <row r="2531" spans="1:4" ht="25.5" customHeight="1" x14ac:dyDescent="0.2">
      <c r="B2531" s="11" t="s">
        <v>2601</v>
      </c>
      <c r="C2531" s="11"/>
    </row>
    <row r="2532" spans="1:4" ht="12.75" customHeight="1" x14ac:dyDescent="0.2">
      <c r="B2532" s="11" t="s">
        <v>16</v>
      </c>
      <c r="C2532" s="11"/>
    </row>
    <row r="2533" spans="1:4" ht="12.75" customHeight="1" x14ac:dyDescent="0.2">
      <c r="B2533" s="11" t="s">
        <v>13</v>
      </c>
      <c r="C2533" s="11" t="s">
        <v>2644</v>
      </c>
    </row>
    <row r="2534" spans="1:4" ht="12.75" customHeight="1" x14ac:dyDescent="0.2">
      <c r="B2534" s="11" t="s">
        <v>2603</v>
      </c>
      <c r="C2534" s="11" t="s">
        <v>2604</v>
      </c>
    </row>
    <row r="2535" spans="1:4" ht="12.75" customHeight="1" x14ac:dyDescent="0.2">
      <c r="B2535" s="11" t="s">
        <v>2605</v>
      </c>
      <c r="C2535" s="11" t="s">
        <v>24</v>
      </c>
    </row>
    <row r="2536" spans="1:4" ht="25.5" customHeight="1" x14ac:dyDescent="0.2">
      <c r="B2536" s="11" t="s">
        <v>2606</v>
      </c>
      <c r="C2536" s="16" t="s">
        <v>232</v>
      </c>
      <c r="D2536" s="6" t="str">
        <f>HYPERLINK("javascript:void(0)","elementál eszencia")</f>
        <v>elementál eszencia</v>
      </c>
    </row>
    <row r="2537" spans="1:4" ht="12.75" customHeight="1" x14ac:dyDescent="0.2">
      <c r="B2537" s="2"/>
      <c r="C2537" s="15"/>
      <c r="D2537" s="2"/>
    </row>
    <row r="2538" spans="1:4" ht="12.75" customHeight="1" x14ac:dyDescent="0.2">
      <c r="B2538" s="2"/>
      <c r="C2538" s="15"/>
      <c r="D2538" s="2"/>
    </row>
    <row r="2539" spans="1:4" ht="12.75" customHeight="1" x14ac:dyDescent="0.2">
      <c r="A2539" s="13" t="s">
        <v>2962</v>
      </c>
      <c r="C2539" s="12"/>
    </row>
    <row r="2540" spans="1:4" ht="12.75" customHeight="1" x14ac:dyDescent="0.2">
      <c r="A2540" s="11"/>
      <c r="B2540" s="2"/>
      <c r="C2540" s="15"/>
      <c r="D2540" s="2"/>
    </row>
    <row r="2541" spans="1:4" ht="12.75" customHeight="1" x14ac:dyDescent="0.2">
      <c r="B2541" s="11" t="s">
        <v>0</v>
      </c>
      <c r="C2541" s="11" t="s">
        <v>206</v>
      </c>
    </row>
    <row r="2542" spans="1:4" ht="12.75" customHeight="1" x14ac:dyDescent="0.2">
      <c r="B2542" s="11" t="s">
        <v>2599</v>
      </c>
      <c r="C2542" s="11" t="s">
        <v>2963</v>
      </c>
    </row>
    <row r="2543" spans="1:4" ht="25.5" customHeight="1" x14ac:dyDescent="0.2">
      <c r="B2543" s="11" t="s">
        <v>2600</v>
      </c>
      <c r="C2543" s="11" t="s">
        <v>2964</v>
      </c>
    </row>
    <row r="2544" spans="1:4" ht="25.5" customHeight="1" x14ac:dyDescent="0.2">
      <c r="B2544" s="11" t="s">
        <v>2601</v>
      </c>
      <c r="C2544" s="11"/>
    </row>
    <row r="2545" spans="1:4" ht="12.75" customHeight="1" x14ac:dyDescent="0.2">
      <c r="B2545" s="11" t="s">
        <v>16</v>
      </c>
      <c r="C2545" s="11"/>
    </row>
    <row r="2546" spans="1:4" ht="12.75" customHeight="1" x14ac:dyDescent="0.2">
      <c r="B2546" s="11" t="s">
        <v>13</v>
      </c>
      <c r="C2546" s="11" t="s">
        <v>2644</v>
      </c>
    </row>
    <row r="2547" spans="1:4" ht="12.75" customHeight="1" x14ac:dyDescent="0.2">
      <c r="B2547" s="11" t="s">
        <v>2603</v>
      </c>
      <c r="C2547" s="11" t="s">
        <v>2965</v>
      </c>
    </row>
    <row r="2548" spans="1:4" ht="12.75" customHeight="1" x14ac:dyDescent="0.2">
      <c r="B2548" s="11" t="s">
        <v>2605</v>
      </c>
      <c r="C2548" s="11" t="s">
        <v>14</v>
      </c>
    </row>
    <row r="2549" spans="1:4" ht="12.75" customHeight="1" x14ac:dyDescent="0.2">
      <c r="B2549" s="11" t="s">
        <v>2606</v>
      </c>
      <c r="C2549" s="16" t="s">
        <v>44</v>
      </c>
      <c r="D2549" s="6" t="str">
        <f>HYPERLINK("javascript:void(0)","hínárgyöngy")</f>
        <v>hínárgyöngy</v>
      </c>
    </row>
    <row r="2550" spans="1:4" ht="25.5" customHeight="1" x14ac:dyDescent="0.2">
      <c r="C2550" s="16" t="s">
        <v>57</v>
      </c>
      <c r="D2550" s="6" t="str">
        <f>HYPERLINK("javascript:void(0)","harmatcsepp")</f>
        <v>harmatcsepp</v>
      </c>
    </row>
    <row r="2551" spans="1:4" ht="12.75" customHeight="1" x14ac:dyDescent="0.2">
      <c r="B2551" s="2"/>
      <c r="C2551" s="15"/>
      <c r="D2551" s="2"/>
    </row>
    <row r="2552" spans="1:4" ht="12.75" customHeight="1" x14ac:dyDescent="0.2">
      <c r="B2552" s="2"/>
      <c r="C2552" s="15"/>
      <c r="D2552" s="2"/>
    </row>
    <row r="2553" spans="1:4" ht="12.75" customHeight="1" x14ac:dyDescent="0.2">
      <c r="A2553" s="13" t="s">
        <v>2966</v>
      </c>
      <c r="C2553" s="12"/>
      <c r="D2553" s="2"/>
    </row>
    <row r="2554" spans="1:4" ht="12.75" customHeight="1" x14ac:dyDescent="0.2">
      <c r="A2554" s="11"/>
      <c r="B2554" s="2"/>
      <c r="C2554" s="15"/>
      <c r="D2554" s="2"/>
    </row>
    <row r="2555" spans="1:4" ht="12.75" customHeight="1" x14ac:dyDescent="0.2">
      <c r="B2555" s="11" t="s">
        <v>0</v>
      </c>
      <c r="C2555" s="17" t="s">
        <v>206</v>
      </c>
      <c r="D2555" s="2"/>
    </row>
    <row r="2556" spans="1:4" ht="12.75" customHeight="1" x14ac:dyDescent="0.2">
      <c r="B2556" s="11" t="s">
        <v>2599</v>
      </c>
      <c r="C2556" s="17" t="s">
        <v>2689</v>
      </c>
      <c r="D2556" s="2"/>
    </row>
    <row r="2557" spans="1:4" ht="25.5" customHeight="1" x14ac:dyDescent="0.2">
      <c r="B2557" s="11" t="s">
        <v>2600</v>
      </c>
      <c r="C2557" s="17" t="s">
        <v>2967</v>
      </c>
      <c r="D2557" s="2"/>
    </row>
    <row r="2558" spans="1:4" ht="25.5" customHeight="1" x14ac:dyDescent="0.2">
      <c r="B2558" s="11" t="s">
        <v>2601</v>
      </c>
      <c r="C2558" s="17"/>
      <c r="D2558" s="2"/>
    </row>
    <row r="2559" spans="1:4" ht="12.75" customHeight="1" x14ac:dyDescent="0.2">
      <c r="B2559" s="11" t="s">
        <v>16</v>
      </c>
      <c r="C2559" s="17"/>
      <c r="D2559" s="2"/>
    </row>
    <row r="2560" spans="1:4" ht="12.75" customHeight="1" x14ac:dyDescent="0.2">
      <c r="B2560" s="11" t="s">
        <v>13</v>
      </c>
      <c r="C2560" s="17" t="s">
        <v>2644</v>
      </c>
      <c r="D2560" s="2"/>
    </row>
    <row r="2561" spans="1:4" ht="12.75" customHeight="1" x14ac:dyDescent="0.2">
      <c r="B2561" s="11" t="s">
        <v>2603</v>
      </c>
      <c r="C2561" s="17" t="s">
        <v>128</v>
      </c>
      <c r="D2561" s="2"/>
    </row>
    <row r="2562" spans="1:4" ht="12.75" customHeight="1" x14ac:dyDescent="0.2">
      <c r="B2562" s="11" t="s">
        <v>2605</v>
      </c>
      <c r="C2562" s="17" t="s">
        <v>14</v>
      </c>
      <c r="D2562" s="2"/>
    </row>
    <row r="2563" spans="1:4" ht="12.75" customHeight="1" x14ac:dyDescent="0.2">
      <c r="B2563" s="11" t="s">
        <v>2606</v>
      </c>
      <c r="C2563" s="16" t="s">
        <v>19</v>
      </c>
      <c r="D2563" s="2"/>
    </row>
    <row r="2564" spans="1:4" ht="12.75" customHeight="1" x14ac:dyDescent="0.2">
      <c r="B2564" s="2"/>
      <c r="C2564" s="15"/>
      <c r="D2564" s="2"/>
    </row>
    <row r="2565" spans="1:4" ht="12.75" customHeight="1" x14ac:dyDescent="0.2">
      <c r="B2565" s="2"/>
      <c r="C2565" s="15"/>
      <c r="D2565" s="2"/>
    </row>
    <row r="2566" spans="1:4" ht="12.75" customHeight="1" x14ac:dyDescent="0.2">
      <c r="A2566" s="13" t="s">
        <v>2968</v>
      </c>
      <c r="C2566" s="12"/>
      <c r="D2566" s="2"/>
    </row>
    <row r="2567" spans="1:4" ht="12.75" customHeight="1" x14ac:dyDescent="0.2">
      <c r="A2567" s="11"/>
      <c r="B2567" s="2"/>
      <c r="C2567" s="15"/>
      <c r="D2567" s="2"/>
    </row>
    <row r="2568" spans="1:4" ht="12.75" customHeight="1" x14ac:dyDescent="0.2">
      <c r="B2568" s="11" t="s">
        <v>0</v>
      </c>
      <c r="C2568" s="17" t="s">
        <v>206</v>
      </c>
      <c r="D2568" s="2"/>
    </row>
    <row r="2569" spans="1:4" ht="12.75" customHeight="1" x14ac:dyDescent="0.2">
      <c r="B2569" s="11" t="s">
        <v>2599</v>
      </c>
      <c r="C2569" s="17" t="s">
        <v>2969</v>
      </c>
      <c r="D2569" s="2"/>
    </row>
    <row r="2570" spans="1:4" ht="25.5" customHeight="1" x14ac:dyDescent="0.2">
      <c r="B2570" s="11" t="s">
        <v>2600</v>
      </c>
      <c r="C2570" s="17" t="s">
        <v>2970</v>
      </c>
      <c r="D2570" s="2"/>
    </row>
    <row r="2571" spans="1:4" ht="25.5" customHeight="1" x14ac:dyDescent="0.2">
      <c r="B2571" s="11" t="s">
        <v>2601</v>
      </c>
      <c r="C2571" s="17"/>
      <c r="D2571" s="2"/>
    </row>
    <row r="2572" spans="1:4" ht="12.75" customHeight="1" x14ac:dyDescent="0.2">
      <c r="B2572" s="11" t="s">
        <v>16</v>
      </c>
      <c r="C2572" s="17"/>
      <c r="D2572" s="2"/>
    </row>
    <row r="2573" spans="1:4" ht="12.75" customHeight="1" x14ac:dyDescent="0.2">
      <c r="B2573" s="11" t="s">
        <v>13</v>
      </c>
      <c r="C2573" s="17" t="s">
        <v>2644</v>
      </c>
      <c r="D2573" s="2"/>
    </row>
    <row r="2574" spans="1:4" ht="25.5" customHeight="1" x14ac:dyDescent="0.2">
      <c r="B2574" s="11" t="s">
        <v>2603</v>
      </c>
      <c r="C2574" s="17" t="s">
        <v>2971</v>
      </c>
      <c r="D2574" s="2"/>
    </row>
    <row r="2575" spans="1:4" ht="12.75" customHeight="1" x14ac:dyDescent="0.2">
      <c r="B2575" s="11" t="s">
        <v>2605</v>
      </c>
      <c r="C2575" s="17" t="s">
        <v>14</v>
      </c>
      <c r="D2575" s="2"/>
    </row>
    <row r="2576" spans="1:4" ht="12.75" customHeight="1" x14ac:dyDescent="0.2">
      <c r="B2576" s="11" t="s">
        <v>2606</v>
      </c>
      <c r="C2576" s="16" t="s">
        <v>19</v>
      </c>
      <c r="D2576" s="2"/>
    </row>
    <row r="2577" spans="1:4" ht="12.75" customHeight="1" x14ac:dyDescent="0.2">
      <c r="B2577" s="2"/>
      <c r="C2577" s="15"/>
      <c r="D2577" s="2"/>
    </row>
    <row r="2578" spans="1:4" ht="12.75" customHeight="1" x14ac:dyDescent="0.2">
      <c r="B2578" s="2"/>
      <c r="C2578" s="15"/>
      <c r="D2578" s="2"/>
    </row>
    <row r="2579" spans="1:4" ht="12.75" customHeight="1" x14ac:dyDescent="0.2">
      <c r="A2579" s="13" t="s">
        <v>2972</v>
      </c>
      <c r="C2579" s="12"/>
      <c r="D2579" s="2"/>
    </row>
    <row r="2580" spans="1:4" ht="12.75" customHeight="1" x14ac:dyDescent="0.2">
      <c r="A2580" s="11"/>
      <c r="B2580" s="2"/>
      <c r="C2580" s="15"/>
      <c r="D2580" s="2"/>
    </row>
    <row r="2581" spans="1:4" ht="12.75" customHeight="1" x14ac:dyDescent="0.2">
      <c r="B2581" s="11" t="s">
        <v>0</v>
      </c>
      <c r="C2581" s="17" t="s">
        <v>206</v>
      </c>
      <c r="D2581" s="2"/>
    </row>
    <row r="2582" spans="1:4" ht="12.75" customHeight="1" x14ac:dyDescent="0.2">
      <c r="B2582" s="11" t="s">
        <v>2599</v>
      </c>
      <c r="C2582" s="17" t="s">
        <v>2500</v>
      </c>
      <c r="D2582" s="2"/>
    </row>
    <row r="2583" spans="1:4" ht="25.5" customHeight="1" x14ac:dyDescent="0.2">
      <c r="B2583" s="11" t="s">
        <v>2600</v>
      </c>
      <c r="C2583" s="17" t="s">
        <v>2973</v>
      </c>
      <c r="D2583" s="2"/>
    </row>
    <row r="2584" spans="1:4" ht="25.5" customHeight="1" x14ac:dyDescent="0.2">
      <c r="B2584" s="11" t="s">
        <v>2601</v>
      </c>
      <c r="C2584" s="17"/>
      <c r="D2584" s="2"/>
    </row>
    <row r="2585" spans="1:4" ht="12.75" customHeight="1" x14ac:dyDescent="0.2">
      <c r="B2585" s="11" t="s">
        <v>16</v>
      </c>
      <c r="C2585" s="17"/>
      <c r="D2585" s="2"/>
    </row>
    <row r="2586" spans="1:4" ht="12.75" customHeight="1" x14ac:dyDescent="0.2">
      <c r="B2586" s="11" t="s">
        <v>13</v>
      </c>
      <c r="C2586" s="17" t="s">
        <v>2644</v>
      </c>
      <c r="D2586" s="2"/>
    </row>
    <row r="2587" spans="1:4" ht="12.75" customHeight="1" x14ac:dyDescent="0.2">
      <c r="B2587" s="11" t="s">
        <v>2603</v>
      </c>
      <c r="C2587" s="17" t="s">
        <v>128</v>
      </c>
      <c r="D2587" s="2"/>
    </row>
    <row r="2588" spans="1:4" ht="12.75" customHeight="1" x14ac:dyDescent="0.2">
      <c r="B2588" s="11" t="s">
        <v>2605</v>
      </c>
      <c r="C2588" s="17" t="s">
        <v>14</v>
      </c>
      <c r="D2588" s="2"/>
    </row>
    <row r="2589" spans="1:4" ht="12.75" customHeight="1" x14ac:dyDescent="0.2">
      <c r="B2589" s="11" t="s">
        <v>2606</v>
      </c>
      <c r="C2589" s="16" t="s">
        <v>19</v>
      </c>
      <c r="D2589" s="2"/>
    </row>
    <row r="2590" spans="1:4" ht="12.75" customHeight="1" x14ac:dyDescent="0.2">
      <c r="B2590" s="2"/>
      <c r="C2590" s="15"/>
      <c r="D2590" s="2"/>
    </row>
    <row r="2591" spans="1:4" ht="12.75" customHeight="1" x14ac:dyDescent="0.2">
      <c r="B2591" s="2"/>
      <c r="C2591" s="15"/>
      <c r="D2591" s="2"/>
    </row>
    <row r="2592" spans="1:4" ht="12.75" customHeight="1" x14ac:dyDescent="0.2">
      <c r="A2592" s="13" t="s">
        <v>2974</v>
      </c>
      <c r="C2592" s="12"/>
    </row>
    <row r="2593" spans="1:4" ht="12.75" customHeight="1" x14ac:dyDescent="0.2">
      <c r="A2593" s="11"/>
      <c r="B2593" s="2"/>
      <c r="C2593" s="15"/>
      <c r="D2593" s="2"/>
    </row>
    <row r="2594" spans="1:4" ht="12.75" customHeight="1" x14ac:dyDescent="0.2">
      <c r="B2594" s="11" t="s">
        <v>0</v>
      </c>
      <c r="C2594" s="11" t="s">
        <v>206</v>
      </c>
    </row>
    <row r="2595" spans="1:4" ht="12.75" customHeight="1" x14ac:dyDescent="0.2">
      <c r="B2595" s="11" t="s">
        <v>2599</v>
      </c>
      <c r="C2595" s="11" t="s">
        <v>2975</v>
      </c>
    </row>
    <row r="2596" spans="1:4" ht="25.5" customHeight="1" x14ac:dyDescent="0.2">
      <c r="B2596" s="11" t="s">
        <v>2600</v>
      </c>
      <c r="C2596" s="11" t="s">
        <v>2976</v>
      </c>
    </row>
    <row r="2597" spans="1:4" ht="25.5" customHeight="1" x14ac:dyDescent="0.2">
      <c r="B2597" s="11" t="s">
        <v>2601</v>
      </c>
      <c r="C2597" s="11"/>
    </row>
    <row r="2598" spans="1:4" ht="12.75" customHeight="1" x14ac:dyDescent="0.2">
      <c r="B2598" s="11" t="s">
        <v>16</v>
      </c>
      <c r="C2598" s="11"/>
    </row>
    <row r="2599" spans="1:4" ht="12.75" customHeight="1" x14ac:dyDescent="0.2">
      <c r="B2599" s="11" t="s">
        <v>13</v>
      </c>
      <c r="C2599" s="11" t="s">
        <v>2602</v>
      </c>
    </row>
    <row r="2600" spans="1:4" ht="12.75" customHeight="1" x14ac:dyDescent="0.2">
      <c r="B2600" s="11" t="s">
        <v>2603</v>
      </c>
      <c r="C2600" s="11" t="s">
        <v>2651</v>
      </c>
    </row>
    <row r="2601" spans="1:4" ht="12.75" customHeight="1" x14ac:dyDescent="0.2">
      <c r="B2601" s="11" t="s">
        <v>2605</v>
      </c>
      <c r="C2601" s="11" t="s">
        <v>24</v>
      </c>
    </row>
    <row r="2602" spans="1:4" ht="12.75" customHeight="1" x14ac:dyDescent="0.2">
      <c r="B2602" s="11" t="s">
        <v>2606</v>
      </c>
      <c r="C2602" s="16" t="s">
        <v>44</v>
      </c>
      <c r="D2602" s="6" t="str">
        <f>HYPERLINK("javascript:void(0)","golyóvető")</f>
        <v>golyóvető</v>
      </c>
    </row>
    <row r="2603" spans="1:4" ht="12.75" customHeight="1" x14ac:dyDescent="0.2">
      <c r="B2603" s="2"/>
      <c r="C2603" s="15"/>
      <c r="D2603" s="2"/>
    </row>
    <row r="2604" spans="1:4" ht="12.75" customHeight="1" x14ac:dyDescent="0.2">
      <c r="B2604" s="2"/>
      <c r="C2604" s="15"/>
      <c r="D2604" s="2"/>
    </row>
    <row r="2605" spans="1:4" ht="12.75" customHeight="1" x14ac:dyDescent="0.2">
      <c r="A2605" s="13" t="s">
        <v>2977</v>
      </c>
      <c r="C2605" s="12"/>
    </row>
    <row r="2606" spans="1:4" ht="12.75" customHeight="1" x14ac:dyDescent="0.2">
      <c r="A2606" s="11"/>
      <c r="B2606" s="2"/>
      <c r="C2606" s="15"/>
      <c r="D2606" s="2"/>
    </row>
    <row r="2607" spans="1:4" ht="12.75" customHeight="1" x14ac:dyDescent="0.2">
      <c r="B2607" s="11" t="s">
        <v>0</v>
      </c>
      <c r="C2607" s="11" t="s">
        <v>206</v>
      </c>
    </row>
    <row r="2608" spans="1:4" ht="12.75" customHeight="1" x14ac:dyDescent="0.2">
      <c r="B2608" s="11" t="s">
        <v>2599</v>
      </c>
      <c r="C2608" s="11" t="s">
        <v>2963</v>
      </c>
    </row>
    <row r="2609" spans="1:4" ht="25.5" customHeight="1" x14ac:dyDescent="0.2">
      <c r="B2609" s="11" t="s">
        <v>2600</v>
      </c>
      <c r="C2609" s="11" t="s">
        <v>2978</v>
      </c>
    </row>
    <row r="2610" spans="1:4" ht="25.5" customHeight="1" x14ac:dyDescent="0.2">
      <c r="B2610" s="11" t="s">
        <v>2601</v>
      </c>
      <c r="C2610" s="11"/>
    </row>
    <row r="2611" spans="1:4" ht="12.75" customHeight="1" x14ac:dyDescent="0.2">
      <c r="B2611" s="11" t="s">
        <v>16</v>
      </c>
      <c r="C2611" s="11"/>
    </row>
    <row r="2612" spans="1:4" ht="12.75" customHeight="1" x14ac:dyDescent="0.2">
      <c r="B2612" s="11" t="s">
        <v>13</v>
      </c>
      <c r="C2612" s="11" t="s">
        <v>2644</v>
      </c>
    </row>
    <row r="2613" spans="1:4" ht="12.75" customHeight="1" x14ac:dyDescent="0.2">
      <c r="B2613" s="11" t="s">
        <v>2603</v>
      </c>
      <c r="C2613" s="11" t="s">
        <v>2604</v>
      </c>
    </row>
    <row r="2614" spans="1:4" ht="12.75" customHeight="1" x14ac:dyDescent="0.2">
      <c r="B2614" s="11" t="s">
        <v>2605</v>
      </c>
      <c r="C2614" s="11" t="s">
        <v>24</v>
      </c>
    </row>
    <row r="2615" spans="1:4" ht="25.5" customHeight="1" x14ac:dyDescent="0.2">
      <c r="B2615" s="11" t="s">
        <v>2606</v>
      </c>
      <c r="C2615" s="16" t="s">
        <v>44</v>
      </c>
      <c r="D2615" s="6" t="str">
        <f>HYPERLINK("javascript:void(0)","sárkánypikkely")</f>
        <v>sárkánypikkely</v>
      </c>
    </row>
    <row r="2616" spans="1:4" ht="12.75" customHeight="1" x14ac:dyDescent="0.2">
      <c r="C2616" s="16" t="s">
        <v>44</v>
      </c>
      <c r="D2616" s="6" t="str">
        <f>HYPERLINK("javascript:void(0)","sárkányfog")</f>
        <v>sárkányfog</v>
      </c>
    </row>
    <row r="2617" spans="1:4" ht="25.5" customHeight="1" x14ac:dyDescent="0.2">
      <c r="C2617" s="16" t="s">
        <v>44</v>
      </c>
      <c r="D2617" s="6" t="str">
        <f>HYPERLINK("javascript:void(0)","sárkánykarom")</f>
        <v>sárkánykarom</v>
      </c>
    </row>
    <row r="2618" spans="1:4" ht="12.75" customHeight="1" x14ac:dyDescent="0.2">
      <c r="B2618" s="2"/>
      <c r="C2618" s="15"/>
      <c r="D2618" s="2"/>
    </row>
    <row r="2619" spans="1:4" ht="12.75" customHeight="1" x14ac:dyDescent="0.2">
      <c r="B2619" s="2"/>
      <c r="C2619" s="15"/>
      <c r="D2619" s="2"/>
    </row>
    <row r="2620" spans="1:4" ht="12.75" customHeight="1" x14ac:dyDescent="0.2">
      <c r="A2620" s="13" t="s">
        <v>2979</v>
      </c>
      <c r="C2620" s="12"/>
    </row>
    <row r="2621" spans="1:4" ht="12.75" customHeight="1" x14ac:dyDescent="0.2">
      <c r="A2621" s="11"/>
      <c r="B2621" s="2"/>
      <c r="C2621" s="15"/>
      <c r="D2621" s="2"/>
    </row>
    <row r="2622" spans="1:4" ht="12.75" customHeight="1" x14ac:dyDescent="0.2">
      <c r="B2622" s="11" t="s">
        <v>0</v>
      </c>
      <c r="C2622" s="11" t="s">
        <v>206</v>
      </c>
    </row>
    <row r="2623" spans="1:4" ht="12.75" customHeight="1" x14ac:dyDescent="0.2">
      <c r="B2623" s="11" t="s">
        <v>2599</v>
      </c>
      <c r="C2623" s="11" t="s">
        <v>2980</v>
      </c>
    </row>
    <row r="2624" spans="1:4" ht="25.5" customHeight="1" x14ac:dyDescent="0.2">
      <c r="B2624" s="11" t="s">
        <v>2600</v>
      </c>
      <c r="C2624" s="11" t="s">
        <v>2981</v>
      </c>
    </row>
    <row r="2625" spans="1:4" ht="25.5" customHeight="1" x14ac:dyDescent="0.2">
      <c r="B2625" s="11" t="s">
        <v>2601</v>
      </c>
      <c r="C2625" s="11"/>
    </row>
    <row r="2626" spans="1:4" ht="12.75" customHeight="1" x14ac:dyDescent="0.2">
      <c r="B2626" s="11" t="s">
        <v>16</v>
      </c>
      <c r="C2626" s="11"/>
    </row>
    <row r="2627" spans="1:4" ht="12.75" customHeight="1" x14ac:dyDescent="0.2">
      <c r="B2627" s="11" t="s">
        <v>13</v>
      </c>
      <c r="C2627" s="11" t="s">
        <v>2644</v>
      </c>
    </row>
    <row r="2628" spans="1:4" ht="12.75" customHeight="1" x14ac:dyDescent="0.2">
      <c r="B2628" s="11" t="s">
        <v>2603</v>
      </c>
      <c r="C2628" s="11" t="s">
        <v>2604</v>
      </c>
    </row>
    <row r="2629" spans="1:4" ht="12.75" customHeight="1" x14ac:dyDescent="0.2">
      <c r="B2629" s="11" t="s">
        <v>2605</v>
      </c>
      <c r="C2629" s="11" t="s">
        <v>24</v>
      </c>
    </row>
    <row r="2630" spans="1:4" ht="25.5" customHeight="1" x14ac:dyDescent="0.2">
      <c r="B2630" s="11" t="s">
        <v>2606</v>
      </c>
      <c r="C2630" s="16" t="s">
        <v>44</v>
      </c>
      <c r="D2630" s="6" t="str">
        <f>HYPERLINK("javascript:void(0)","voodoo-kalapács")</f>
        <v>voodoo-kalapács</v>
      </c>
    </row>
    <row r="2631" spans="1:4" ht="12.75" customHeight="1" x14ac:dyDescent="0.2">
      <c r="B2631" s="2"/>
      <c r="C2631" s="15"/>
      <c r="D2631" s="2"/>
    </row>
    <row r="2632" spans="1:4" ht="12.75" customHeight="1" x14ac:dyDescent="0.2">
      <c r="B2632" s="2"/>
      <c r="C2632" s="15"/>
      <c r="D2632" s="2"/>
    </row>
    <row r="2633" spans="1:4" ht="12.75" customHeight="1" x14ac:dyDescent="0.2">
      <c r="A2633" s="13" t="s">
        <v>2982</v>
      </c>
      <c r="C2633" s="12"/>
    </row>
    <row r="2634" spans="1:4" ht="12.75" customHeight="1" x14ac:dyDescent="0.2">
      <c r="A2634" s="11"/>
      <c r="B2634" s="2"/>
      <c r="C2634" s="15"/>
      <c r="D2634" s="2"/>
    </row>
    <row r="2635" spans="1:4" ht="12.75" customHeight="1" x14ac:dyDescent="0.2">
      <c r="B2635" s="11" t="s">
        <v>0</v>
      </c>
      <c r="C2635" s="11" t="s">
        <v>206</v>
      </c>
    </row>
    <row r="2636" spans="1:4" ht="12.75" customHeight="1" x14ac:dyDescent="0.2">
      <c r="B2636" s="11" t="s">
        <v>2599</v>
      </c>
      <c r="C2636" s="11" t="s">
        <v>2983</v>
      </c>
    </row>
    <row r="2637" spans="1:4" ht="25.5" customHeight="1" x14ac:dyDescent="0.2">
      <c r="B2637" s="11" t="s">
        <v>2600</v>
      </c>
      <c r="C2637" s="11" t="s">
        <v>2984</v>
      </c>
    </row>
    <row r="2638" spans="1:4" ht="25.5" customHeight="1" x14ac:dyDescent="0.2">
      <c r="B2638" s="11" t="s">
        <v>2601</v>
      </c>
      <c r="C2638" s="11"/>
    </row>
    <row r="2639" spans="1:4" ht="12.75" customHeight="1" x14ac:dyDescent="0.2">
      <c r="B2639" s="11" t="s">
        <v>16</v>
      </c>
      <c r="C2639" s="11"/>
    </row>
    <row r="2640" spans="1:4" ht="12.75" customHeight="1" x14ac:dyDescent="0.2">
      <c r="B2640" s="11" t="s">
        <v>13</v>
      </c>
      <c r="C2640" s="11" t="s">
        <v>2644</v>
      </c>
    </row>
    <row r="2641" spans="1:4" ht="12.75" customHeight="1" x14ac:dyDescent="0.2">
      <c r="B2641" s="11" t="s">
        <v>2603</v>
      </c>
      <c r="C2641" s="11" t="s">
        <v>2604</v>
      </c>
    </row>
    <row r="2642" spans="1:4" ht="12.75" customHeight="1" x14ac:dyDescent="0.2">
      <c r="B2642" s="11" t="s">
        <v>2605</v>
      </c>
      <c r="C2642" s="11" t="s">
        <v>24</v>
      </c>
    </row>
    <row r="2643" spans="1:4" ht="25.5" customHeight="1" x14ac:dyDescent="0.2">
      <c r="B2643" s="11" t="s">
        <v>2606</v>
      </c>
      <c r="C2643" s="16" t="s">
        <v>55</v>
      </c>
      <c r="D2643" s="6" t="str">
        <f>HYPERLINK("javascript:void(0)","vámpírherbium")</f>
        <v>vámpírherbium</v>
      </c>
    </row>
    <row r="2644" spans="1:4" ht="12.75" customHeight="1" x14ac:dyDescent="0.2">
      <c r="B2644" s="2"/>
      <c r="C2644" s="15"/>
      <c r="D2644" s="2"/>
    </row>
    <row r="2645" spans="1:4" ht="12.75" customHeight="1" x14ac:dyDescent="0.2">
      <c r="B2645" s="2"/>
      <c r="C2645" s="15"/>
      <c r="D2645" s="2"/>
    </row>
    <row r="2646" spans="1:4" ht="12.75" customHeight="1" x14ac:dyDescent="0.2">
      <c r="A2646" s="13" t="s">
        <v>2986</v>
      </c>
      <c r="C2646" s="12"/>
    </row>
    <row r="2647" spans="1:4" ht="12.75" customHeight="1" x14ac:dyDescent="0.2">
      <c r="A2647" s="11"/>
      <c r="B2647" s="2"/>
      <c r="C2647" s="15"/>
      <c r="D2647" s="2"/>
    </row>
    <row r="2648" spans="1:4" ht="12.75" customHeight="1" x14ac:dyDescent="0.2">
      <c r="B2648" s="11" t="s">
        <v>0</v>
      </c>
      <c r="C2648" s="11" t="s">
        <v>206</v>
      </c>
    </row>
    <row r="2649" spans="1:4" ht="12.75" customHeight="1" x14ac:dyDescent="0.2">
      <c r="B2649" s="11" t="s">
        <v>2599</v>
      </c>
      <c r="C2649" s="11" t="s">
        <v>2987</v>
      </c>
    </row>
    <row r="2650" spans="1:4" ht="25.5" customHeight="1" x14ac:dyDescent="0.2">
      <c r="B2650" s="11" t="s">
        <v>2600</v>
      </c>
      <c r="C2650" s="11" t="s">
        <v>2988</v>
      </c>
    </row>
    <row r="2651" spans="1:4" ht="25.5" customHeight="1" x14ac:dyDescent="0.2">
      <c r="B2651" s="11" t="s">
        <v>2601</v>
      </c>
      <c r="C2651" s="11"/>
    </row>
    <row r="2652" spans="1:4" ht="12.75" customHeight="1" x14ac:dyDescent="0.2">
      <c r="B2652" s="11" t="s">
        <v>16</v>
      </c>
      <c r="C2652" s="11"/>
    </row>
    <row r="2653" spans="1:4" ht="12.75" customHeight="1" x14ac:dyDescent="0.2">
      <c r="B2653" s="11" t="s">
        <v>13</v>
      </c>
      <c r="C2653" s="11" t="s">
        <v>2644</v>
      </c>
    </row>
    <row r="2654" spans="1:4" ht="12.75" customHeight="1" x14ac:dyDescent="0.2">
      <c r="B2654" s="11" t="s">
        <v>2603</v>
      </c>
      <c r="C2654" s="11" t="s">
        <v>2604</v>
      </c>
    </row>
    <row r="2655" spans="1:4" ht="12.75" customHeight="1" x14ac:dyDescent="0.2">
      <c r="B2655" s="11" t="s">
        <v>2605</v>
      </c>
      <c r="C2655" s="11" t="s">
        <v>24</v>
      </c>
    </row>
    <row r="2656" spans="1:4" ht="25.5" customHeight="1" x14ac:dyDescent="0.2">
      <c r="B2656" s="11" t="s">
        <v>2606</v>
      </c>
      <c r="C2656" s="16" t="s">
        <v>142</v>
      </c>
      <c r="D2656" s="6" t="str">
        <f>HYPERLINK("javascript:void(0)","elementál eszencia")</f>
        <v>elementál eszencia</v>
      </c>
    </row>
    <row r="2657" spans="1:4" ht="12.75" customHeight="1" x14ac:dyDescent="0.2">
      <c r="B2657" s="2"/>
      <c r="C2657" s="15"/>
      <c r="D2657" s="2"/>
    </row>
    <row r="2658" spans="1:4" ht="12.75" customHeight="1" x14ac:dyDescent="0.2">
      <c r="B2658" s="2"/>
      <c r="C2658" s="15"/>
      <c r="D2658" s="2"/>
    </row>
    <row r="2659" spans="1:4" ht="12.75" customHeight="1" x14ac:dyDescent="0.2">
      <c r="A2659" s="13" t="s">
        <v>2989</v>
      </c>
      <c r="C2659" s="12"/>
    </row>
    <row r="2660" spans="1:4" ht="12.75" customHeight="1" x14ac:dyDescent="0.2">
      <c r="A2660" s="11"/>
      <c r="B2660" s="2"/>
      <c r="C2660" s="15"/>
      <c r="D2660" s="2"/>
    </row>
    <row r="2661" spans="1:4" ht="12.75" customHeight="1" x14ac:dyDescent="0.2">
      <c r="B2661" s="11" t="s">
        <v>0</v>
      </c>
      <c r="C2661" s="11" t="s">
        <v>206</v>
      </c>
    </row>
    <row r="2662" spans="1:4" ht="12.75" customHeight="1" x14ac:dyDescent="0.2">
      <c r="B2662" s="11" t="s">
        <v>2599</v>
      </c>
      <c r="C2662" s="11" t="s">
        <v>2990</v>
      </c>
    </row>
    <row r="2663" spans="1:4" ht="25.5" customHeight="1" x14ac:dyDescent="0.2">
      <c r="B2663" s="11" t="s">
        <v>2600</v>
      </c>
      <c r="C2663" s="11" t="s">
        <v>2991</v>
      </c>
    </row>
    <row r="2664" spans="1:4" ht="25.5" customHeight="1" x14ac:dyDescent="0.2">
      <c r="B2664" s="11" t="s">
        <v>2601</v>
      </c>
      <c r="C2664" s="11"/>
    </row>
    <row r="2665" spans="1:4" ht="12.75" customHeight="1" x14ac:dyDescent="0.2">
      <c r="B2665" s="11" t="s">
        <v>16</v>
      </c>
      <c r="C2665" s="11"/>
    </row>
    <row r="2666" spans="1:4" ht="12.75" customHeight="1" x14ac:dyDescent="0.2">
      <c r="B2666" s="11" t="s">
        <v>13</v>
      </c>
      <c r="C2666" s="11" t="s">
        <v>2644</v>
      </c>
    </row>
    <row r="2667" spans="1:4" ht="12.75" customHeight="1" x14ac:dyDescent="0.2">
      <c r="B2667" s="11" t="s">
        <v>2603</v>
      </c>
      <c r="C2667" s="11" t="s">
        <v>2604</v>
      </c>
    </row>
    <row r="2668" spans="1:4" ht="12.75" customHeight="1" x14ac:dyDescent="0.2">
      <c r="B2668" s="11" t="s">
        <v>2605</v>
      </c>
      <c r="C2668" s="11" t="s">
        <v>24</v>
      </c>
    </row>
    <row r="2669" spans="1:4" ht="25.5" customHeight="1" x14ac:dyDescent="0.2">
      <c r="B2669" s="11" t="s">
        <v>2606</v>
      </c>
      <c r="C2669" s="16" t="s">
        <v>44</v>
      </c>
      <c r="D2669" s="6" t="str">
        <f>HYPERLINK("javascript:void(0)","sárkánypikkely")</f>
        <v>sárkánypikkely</v>
      </c>
    </row>
    <row r="2670" spans="1:4" ht="12.75" customHeight="1" x14ac:dyDescent="0.2">
      <c r="C2670" s="16" t="s">
        <v>44</v>
      </c>
      <c r="D2670" s="6" t="str">
        <f>HYPERLINK("javascript:void(0)","sárkányfog")</f>
        <v>sárkányfog</v>
      </c>
    </row>
    <row r="2671" spans="1:4" ht="25.5" customHeight="1" x14ac:dyDescent="0.2">
      <c r="C2671" s="16" t="s">
        <v>44</v>
      </c>
      <c r="D2671" s="6" t="str">
        <f>HYPERLINK("javascript:void(0)","sárkánykarom")</f>
        <v>sárkánykarom</v>
      </c>
    </row>
    <row r="2672" spans="1:4" ht="12.75" customHeight="1" x14ac:dyDescent="0.2">
      <c r="B2672" s="2"/>
      <c r="C2672" s="15"/>
      <c r="D2672" s="2"/>
    </row>
    <row r="2673" spans="1:4" ht="12.75" customHeight="1" x14ac:dyDescent="0.2">
      <c r="B2673" s="2"/>
      <c r="C2673" s="15"/>
      <c r="D2673" s="2"/>
    </row>
    <row r="2674" spans="1:4" ht="12.75" customHeight="1" x14ac:dyDescent="0.2">
      <c r="A2674" s="13" t="s">
        <v>2992</v>
      </c>
      <c r="C2674" s="12"/>
    </row>
    <row r="2675" spans="1:4" ht="12.75" customHeight="1" x14ac:dyDescent="0.2">
      <c r="A2675" s="11"/>
      <c r="B2675" s="2"/>
      <c r="C2675" s="15"/>
      <c r="D2675" s="2"/>
    </row>
    <row r="2676" spans="1:4" ht="12.75" customHeight="1" x14ac:dyDescent="0.2">
      <c r="B2676" s="11" t="s">
        <v>0</v>
      </c>
      <c r="C2676" s="11" t="s">
        <v>206</v>
      </c>
    </row>
    <row r="2677" spans="1:4" ht="12.75" customHeight="1" x14ac:dyDescent="0.2">
      <c r="B2677" s="11" t="s">
        <v>2599</v>
      </c>
      <c r="C2677" s="11" t="s">
        <v>2963</v>
      </c>
    </row>
    <row r="2678" spans="1:4" ht="25.5" customHeight="1" x14ac:dyDescent="0.2">
      <c r="B2678" s="11" t="s">
        <v>2600</v>
      </c>
      <c r="C2678" s="11" t="s">
        <v>2993</v>
      </c>
    </row>
    <row r="2679" spans="1:4" ht="25.5" customHeight="1" x14ac:dyDescent="0.2">
      <c r="B2679" s="11" t="s">
        <v>2601</v>
      </c>
      <c r="C2679" s="11"/>
    </row>
    <row r="2680" spans="1:4" ht="12.75" customHeight="1" x14ac:dyDescent="0.2">
      <c r="B2680" s="11" t="s">
        <v>16</v>
      </c>
      <c r="C2680" s="11"/>
    </row>
    <row r="2681" spans="1:4" ht="12.75" customHeight="1" x14ac:dyDescent="0.2">
      <c r="B2681" s="11" t="s">
        <v>13</v>
      </c>
      <c r="C2681" s="11" t="s">
        <v>2644</v>
      </c>
    </row>
    <row r="2682" spans="1:4" ht="12.75" customHeight="1" x14ac:dyDescent="0.2">
      <c r="B2682" s="11" t="s">
        <v>2603</v>
      </c>
      <c r="C2682" s="11" t="s">
        <v>2604</v>
      </c>
    </row>
    <row r="2683" spans="1:4" ht="12.75" customHeight="1" x14ac:dyDescent="0.2">
      <c r="B2683" s="11" t="s">
        <v>2605</v>
      </c>
      <c r="C2683" s="11" t="s">
        <v>24</v>
      </c>
    </row>
    <row r="2684" spans="1:4" ht="25.5" customHeight="1" x14ac:dyDescent="0.2">
      <c r="B2684" s="11" t="s">
        <v>2606</v>
      </c>
      <c r="C2684" s="16" t="s">
        <v>44</v>
      </c>
      <c r="D2684" s="6" t="str">
        <f>HYPERLINK("javascript:void(0)","rubinszablya")</f>
        <v>rubinszablya</v>
      </c>
    </row>
    <row r="2685" spans="1:4" ht="12.75" customHeight="1" x14ac:dyDescent="0.2">
      <c r="B2685" s="2"/>
      <c r="C2685" s="15"/>
      <c r="D2685" s="2"/>
    </row>
    <row r="2686" spans="1:4" ht="12.75" customHeight="1" x14ac:dyDescent="0.2">
      <c r="B2686" s="2"/>
      <c r="C2686" s="15"/>
      <c r="D2686" s="2"/>
    </row>
    <row r="2687" spans="1:4" ht="12.75" customHeight="1" x14ac:dyDescent="0.2">
      <c r="A2687" s="13" t="s">
        <v>2994</v>
      </c>
      <c r="C2687" s="12"/>
    </row>
    <row r="2688" spans="1:4" ht="12.75" customHeight="1" x14ac:dyDescent="0.2">
      <c r="A2688" s="11"/>
      <c r="B2688" s="2"/>
      <c r="C2688" s="15"/>
      <c r="D2688" s="2"/>
    </row>
    <row r="2689" spans="1:4" ht="12.75" customHeight="1" x14ac:dyDescent="0.2">
      <c r="B2689" s="11" t="s">
        <v>0</v>
      </c>
      <c r="C2689" s="11" t="s">
        <v>206</v>
      </c>
    </row>
    <row r="2690" spans="1:4" ht="12.75" customHeight="1" x14ac:dyDescent="0.2">
      <c r="B2690" s="11" t="s">
        <v>2599</v>
      </c>
      <c r="C2690" s="11" t="s">
        <v>2990</v>
      </c>
    </row>
    <row r="2691" spans="1:4" ht="25.5" customHeight="1" x14ac:dyDescent="0.2">
      <c r="B2691" s="11" t="s">
        <v>2600</v>
      </c>
      <c r="C2691" s="11" t="s">
        <v>2995</v>
      </c>
    </row>
    <row r="2692" spans="1:4" ht="25.5" customHeight="1" x14ac:dyDescent="0.2">
      <c r="B2692" s="11" t="s">
        <v>2601</v>
      </c>
      <c r="C2692" s="11"/>
    </row>
    <row r="2693" spans="1:4" ht="12.75" customHeight="1" x14ac:dyDescent="0.2">
      <c r="B2693" s="11" t="s">
        <v>16</v>
      </c>
      <c r="C2693" s="11"/>
    </row>
    <row r="2694" spans="1:4" ht="12.75" customHeight="1" x14ac:dyDescent="0.2">
      <c r="B2694" s="11" t="s">
        <v>13</v>
      </c>
      <c r="C2694" s="11" t="s">
        <v>2644</v>
      </c>
    </row>
    <row r="2695" spans="1:4" ht="12.75" customHeight="1" x14ac:dyDescent="0.2">
      <c r="B2695" s="11" t="s">
        <v>2603</v>
      </c>
      <c r="C2695" s="11" t="s">
        <v>2604</v>
      </c>
    </row>
    <row r="2696" spans="1:4" ht="12.75" customHeight="1" x14ac:dyDescent="0.2">
      <c r="B2696" s="11" t="s">
        <v>2605</v>
      </c>
      <c r="C2696" s="11" t="s">
        <v>24</v>
      </c>
    </row>
    <row r="2697" spans="1:4" ht="25.5" customHeight="1" x14ac:dyDescent="0.2">
      <c r="B2697" s="11" t="s">
        <v>2606</v>
      </c>
      <c r="C2697" s="16" t="s">
        <v>44</v>
      </c>
      <c r="D2697" s="6" t="str">
        <f>HYPERLINK("javascript:void(0)","sárkánypikkely")</f>
        <v>sárkánypikkely</v>
      </c>
    </row>
    <row r="2698" spans="1:4" ht="12.75" customHeight="1" x14ac:dyDescent="0.2">
      <c r="C2698" s="16" t="s">
        <v>44</v>
      </c>
      <c r="D2698" s="6" t="str">
        <f>HYPERLINK("javascript:void(0)","sárkányfog")</f>
        <v>sárkányfog</v>
      </c>
    </row>
    <row r="2699" spans="1:4" ht="25.5" customHeight="1" x14ac:dyDescent="0.2">
      <c r="C2699" s="16" t="s">
        <v>44</v>
      </c>
      <c r="D2699" s="6" t="str">
        <f>HYPERLINK("javascript:void(0)","sárkánykarom")</f>
        <v>sárkánykarom</v>
      </c>
    </row>
    <row r="2700" spans="1:4" ht="12.75" customHeight="1" x14ac:dyDescent="0.2">
      <c r="B2700" s="2"/>
      <c r="C2700" s="15"/>
      <c r="D2700" s="2"/>
    </row>
    <row r="2701" spans="1:4" ht="12.75" customHeight="1" x14ac:dyDescent="0.2">
      <c r="B2701" s="2"/>
      <c r="C2701" s="15"/>
      <c r="D2701" s="2"/>
    </row>
    <row r="2702" spans="1:4" ht="12.75" customHeight="1" x14ac:dyDescent="0.2">
      <c r="A2702" s="13" t="s">
        <v>2996</v>
      </c>
      <c r="C2702" s="12"/>
    </row>
    <row r="2703" spans="1:4" ht="12.75" customHeight="1" x14ac:dyDescent="0.2">
      <c r="A2703" s="11"/>
      <c r="B2703" s="2"/>
      <c r="C2703" s="15"/>
      <c r="D2703" s="2"/>
    </row>
    <row r="2704" spans="1:4" ht="12.75" customHeight="1" x14ac:dyDescent="0.2">
      <c r="B2704" s="11" t="s">
        <v>0</v>
      </c>
      <c r="C2704" s="11" t="s">
        <v>206</v>
      </c>
    </row>
    <row r="2705" spans="1:4" ht="12.75" customHeight="1" x14ac:dyDescent="0.2">
      <c r="B2705" s="11" t="s">
        <v>2599</v>
      </c>
      <c r="C2705" s="11" t="s">
        <v>627</v>
      </c>
    </row>
    <row r="2706" spans="1:4" ht="25.5" customHeight="1" x14ac:dyDescent="0.2">
      <c r="B2706" s="11" t="s">
        <v>2600</v>
      </c>
      <c r="C2706" s="11" t="s">
        <v>2997</v>
      </c>
    </row>
    <row r="2707" spans="1:4" ht="25.5" customHeight="1" x14ac:dyDescent="0.2">
      <c r="B2707" s="11" t="s">
        <v>2601</v>
      </c>
      <c r="C2707" s="11"/>
    </row>
    <row r="2708" spans="1:4" ht="12.75" customHeight="1" x14ac:dyDescent="0.2">
      <c r="B2708" s="11" t="s">
        <v>16</v>
      </c>
      <c r="C2708" s="11"/>
    </row>
    <row r="2709" spans="1:4" ht="12.75" customHeight="1" x14ac:dyDescent="0.2">
      <c r="B2709" s="11" t="s">
        <v>13</v>
      </c>
      <c r="C2709" s="11" t="s">
        <v>2644</v>
      </c>
    </row>
    <row r="2710" spans="1:4" ht="12.75" customHeight="1" x14ac:dyDescent="0.2">
      <c r="B2710" s="11" t="s">
        <v>2603</v>
      </c>
      <c r="C2710" s="11" t="s">
        <v>2640</v>
      </c>
    </row>
    <row r="2711" spans="1:4" ht="12.75" customHeight="1" x14ac:dyDescent="0.2">
      <c r="B2711" s="11" t="s">
        <v>2605</v>
      </c>
      <c r="C2711" s="11" t="s">
        <v>24</v>
      </c>
    </row>
    <row r="2712" spans="1:4" ht="25.5" customHeight="1" x14ac:dyDescent="0.2">
      <c r="B2712" s="11" t="s">
        <v>2606</v>
      </c>
      <c r="C2712" s="16" t="s">
        <v>56</v>
      </c>
      <c r="D2712" s="6" t="str">
        <f>HYPERLINK("javascript:void(0)","lábszárcsont")</f>
        <v>lábszárcsont</v>
      </c>
    </row>
    <row r="2713" spans="1:4" ht="12.75" customHeight="1" x14ac:dyDescent="0.2">
      <c r="C2713" s="16" t="s">
        <v>44</v>
      </c>
      <c r="D2713" s="6" t="str">
        <f>HYPERLINK("javascript:void(0)","sárkányfog")</f>
        <v>sárkányfog</v>
      </c>
    </row>
    <row r="2714" spans="1:4" ht="25.5" customHeight="1" x14ac:dyDescent="0.2">
      <c r="C2714" s="16" t="s">
        <v>44</v>
      </c>
      <c r="D2714" s="6" t="str">
        <f>HYPERLINK("javascript:void(0)","sárkánykarom")</f>
        <v>sárkánykarom</v>
      </c>
    </row>
    <row r="2715" spans="1:4" ht="12.75" customHeight="1" x14ac:dyDescent="0.2">
      <c r="B2715" s="2"/>
      <c r="C2715" s="15"/>
      <c r="D2715" s="2"/>
    </row>
    <row r="2716" spans="1:4" ht="12.75" customHeight="1" x14ac:dyDescent="0.2">
      <c r="B2716" s="2"/>
      <c r="C2716" s="15"/>
      <c r="D2716" s="2"/>
    </row>
    <row r="2717" spans="1:4" ht="12.75" customHeight="1" x14ac:dyDescent="0.2">
      <c r="A2717" s="13" t="s">
        <v>2998</v>
      </c>
      <c r="C2717" s="12"/>
    </row>
    <row r="2718" spans="1:4" ht="12.75" customHeight="1" x14ac:dyDescent="0.2">
      <c r="A2718" s="11"/>
      <c r="B2718" s="2"/>
      <c r="C2718" s="15"/>
      <c r="D2718" s="2"/>
    </row>
    <row r="2719" spans="1:4" ht="12.75" customHeight="1" x14ac:dyDescent="0.2">
      <c r="B2719" s="11" t="s">
        <v>0</v>
      </c>
      <c r="C2719" s="11" t="s">
        <v>206</v>
      </c>
    </row>
    <row r="2720" spans="1:4" ht="12.75" customHeight="1" x14ac:dyDescent="0.2">
      <c r="B2720" s="11" t="s">
        <v>2599</v>
      </c>
      <c r="C2720" s="11" t="s">
        <v>2980</v>
      </c>
    </row>
    <row r="2721" spans="1:4" ht="25.5" customHeight="1" x14ac:dyDescent="0.2">
      <c r="B2721" s="11" t="s">
        <v>2600</v>
      </c>
      <c r="C2721" s="11" t="s">
        <v>2999</v>
      </c>
    </row>
    <row r="2722" spans="1:4" ht="25.5" customHeight="1" x14ac:dyDescent="0.2">
      <c r="B2722" s="11" t="s">
        <v>2601</v>
      </c>
      <c r="C2722" s="11"/>
    </row>
    <row r="2723" spans="1:4" ht="12.75" customHeight="1" x14ac:dyDescent="0.2">
      <c r="B2723" s="11" t="s">
        <v>16</v>
      </c>
      <c r="C2723" s="11"/>
    </row>
    <row r="2724" spans="1:4" ht="12.75" customHeight="1" x14ac:dyDescent="0.2">
      <c r="B2724" s="11" t="s">
        <v>13</v>
      </c>
      <c r="C2724" s="11" t="s">
        <v>2644</v>
      </c>
    </row>
    <row r="2725" spans="1:4" ht="12.75" customHeight="1" x14ac:dyDescent="0.2">
      <c r="B2725" s="11" t="s">
        <v>2603</v>
      </c>
      <c r="C2725" s="11" t="s">
        <v>2604</v>
      </c>
    </row>
    <row r="2726" spans="1:4" ht="12.75" customHeight="1" x14ac:dyDescent="0.2">
      <c r="B2726" s="11" t="s">
        <v>2605</v>
      </c>
      <c r="C2726" s="11" t="s">
        <v>24</v>
      </c>
    </row>
    <row r="2727" spans="1:4" ht="25.5" customHeight="1" x14ac:dyDescent="0.2">
      <c r="B2727" s="11" t="s">
        <v>2606</v>
      </c>
      <c r="C2727" s="16" t="s">
        <v>44</v>
      </c>
      <c r="D2727" s="6" t="str">
        <f>HYPERLINK("javascript:void(0)","sárkánypikkely")</f>
        <v>sárkánypikkely</v>
      </c>
    </row>
    <row r="2728" spans="1:4" ht="12.75" customHeight="1" x14ac:dyDescent="0.2">
      <c r="C2728" s="16" t="s">
        <v>44</v>
      </c>
      <c r="D2728" s="6" t="str">
        <f>HYPERLINK("javascript:void(0)","sárkányfog")</f>
        <v>sárkányfog</v>
      </c>
    </row>
    <row r="2729" spans="1:4" ht="25.5" customHeight="1" x14ac:dyDescent="0.2">
      <c r="C2729" s="16" t="s">
        <v>44</v>
      </c>
      <c r="D2729" s="6" t="str">
        <f>HYPERLINK("javascript:void(0)","sárkánykarom")</f>
        <v>sárkánykarom</v>
      </c>
    </row>
    <row r="2730" spans="1:4" ht="12.75" customHeight="1" x14ac:dyDescent="0.2">
      <c r="B2730" s="2"/>
      <c r="C2730" s="15"/>
      <c r="D2730" s="2"/>
    </row>
    <row r="2731" spans="1:4" ht="12.75" customHeight="1" x14ac:dyDescent="0.2">
      <c r="B2731" s="2"/>
      <c r="C2731" s="15"/>
      <c r="D2731" s="2"/>
    </row>
    <row r="2732" spans="1:4" ht="12.75" customHeight="1" x14ac:dyDescent="0.2">
      <c r="A2732" s="13" t="s">
        <v>2968</v>
      </c>
      <c r="C2732" s="12"/>
      <c r="D2732" s="2"/>
    </row>
    <row r="2733" spans="1:4" ht="12.75" customHeight="1" x14ac:dyDescent="0.2">
      <c r="A2733" s="11"/>
      <c r="B2733" s="2"/>
      <c r="C2733" s="15"/>
      <c r="D2733" s="2"/>
    </row>
    <row r="2734" spans="1:4" ht="12.75" customHeight="1" x14ac:dyDescent="0.2">
      <c r="B2734" s="11" t="s">
        <v>0</v>
      </c>
      <c r="C2734" s="17" t="s">
        <v>221</v>
      </c>
      <c r="D2734" s="2"/>
    </row>
    <row r="2735" spans="1:4" ht="12.75" customHeight="1" x14ac:dyDescent="0.2">
      <c r="B2735" s="11" t="s">
        <v>2599</v>
      </c>
      <c r="C2735" s="17" t="s">
        <v>2969</v>
      </c>
      <c r="D2735" s="2"/>
    </row>
    <row r="2736" spans="1:4" ht="25.5" customHeight="1" x14ac:dyDescent="0.2">
      <c r="B2736" s="11" t="s">
        <v>2600</v>
      </c>
      <c r="C2736" s="17" t="s">
        <v>3000</v>
      </c>
      <c r="D2736" s="2"/>
    </row>
    <row r="2737" spans="1:4" ht="25.5" customHeight="1" x14ac:dyDescent="0.2">
      <c r="B2737" s="11" t="s">
        <v>2601</v>
      </c>
      <c r="C2737" s="17"/>
      <c r="D2737" s="2"/>
    </row>
    <row r="2738" spans="1:4" ht="12.75" customHeight="1" x14ac:dyDescent="0.2">
      <c r="B2738" s="11" t="s">
        <v>16</v>
      </c>
      <c r="C2738" s="17"/>
      <c r="D2738" s="2"/>
    </row>
    <row r="2739" spans="1:4" ht="12.75" customHeight="1" x14ac:dyDescent="0.2">
      <c r="B2739" s="11" t="s">
        <v>13</v>
      </c>
      <c r="C2739" s="17" t="s">
        <v>2644</v>
      </c>
      <c r="D2739" s="2"/>
    </row>
    <row r="2740" spans="1:4" ht="25.5" customHeight="1" x14ac:dyDescent="0.2">
      <c r="B2740" s="11" t="s">
        <v>2603</v>
      </c>
      <c r="C2740" s="17" t="s">
        <v>2971</v>
      </c>
      <c r="D2740" s="2"/>
    </row>
    <row r="2741" spans="1:4" ht="12.75" customHeight="1" x14ac:dyDescent="0.2">
      <c r="B2741" s="11" t="s">
        <v>2605</v>
      </c>
      <c r="C2741" s="17" t="s">
        <v>14</v>
      </c>
      <c r="D2741" s="2"/>
    </row>
    <row r="2742" spans="1:4" ht="12.75" customHeight="1" x14ac:dyDescent="0.2">
      <c r="B2742" s="11" t="s">
        <v>2606</v>
      </c>
      <c r="C2742" s="16" t="s">
        <v>19</v>
      </c>
      <c r="D2742" s="2"/>
    </row>
    <row r="2743" spans="1:4" ht="12.75" customHeight="1" x14ac:dyDescent="0.2">
      <c r="B2743" s="2"/>
      <c r="C2743" s="15"/>
      <c r="D2743" s="2"/>
    </row>
    <row r="2744" spans="1:4" ht="12.75" customHeight="1" x14ac:dyDescent="0.2">
      <c r="B2744" s="2"/>
      <c r="C2744" s="15"/>
      <c r="D2744" s="2"/>
    </row>
    <row r="2745" spans="1:4" ht="12.75" customHeight="1" x14ac:dyDescent="0.2">
      <c r="A2745" s="13" t="s">
        <v>3001</v>
      </c>
      <c r="C2745" s="12"/>
      <c r="D2745" s="2"/>
    </row>
    <row r="2746" spans="1:4" ht="12.75" customHeight="1" x14ac:dyDescent="0.2">
      <c r="A2746" s="11"/>
      <c r="B2746" s="2"/>
      <c r="C2746" s="15"/>
      <c r="D2746" s="2"/>
    </row>
    <row r="2747" spans="1:4" ht="12.75" customHeight="1" x14ac:dyDescent="0.2">
      <c r="B2747" s="11" t="s">
        <v>0</v>
      </c>
      <c r="C2747" s="17" t="s">
        <v>221</v>
      </c>
      <c r="D2747" s="2"/>
    </row>
    <row r="2748" spans="1:4" ht="12.75" customHeight="1" x14ac:dyDescent="0.2">
      <c r="B2748" s="11" t="s">
        <v>2599</v>
      </c>
      <c r="C2748" s="17" t="s">
        <v>2669</v>
      </c>
      <c r="D2748" s="2"/>
    </row>
    <row r="2749" spans="1:4" ht="25.5" customHeight="1" x14ac:dyDescent="0.2">
      <c r="B2749" s="11" t="s">
        <v>2600</v>
      </c>
      <c r="C2749" s="17" t="s">
        <v>3002</v>
      </c>
      <c r="D2749" s="2"/>
    </row>
    <row r="2750" spans="1:4" ht="25.5" customHeight="1" x14ac:dyDescent="0.2">
      <c r="B2750" s="11" t="s">
        <v>2601</v>
      </c>
      <c r="C2750" s="17"/>
      <c r="D2750" s="2"/>
    </row>
    <row r="2751" spans="1:4" ht="12.75" customHeight="1" x14ac:dyDescent="0.2">
      <c r="B2751" s="11" t="s">
        <v>16</v>
      </c>
      <c r="C2751" s="17"/>
      <c r="D2751" s="2"/>
    </row>
    <row r="2752" spans="1:4" ht="12.75" customHeight="1" x14ac:dyDescent="0.2">
      <c r="B2752" s="11" t="s">
        <v>13</v>
      </c>
      <c r="C2752" s="17" t="s">
        <v>2644</v>
      </c>
      <c r="D2752" s="2"/>
    </row>
    <row r="2753" spans="1:4" ht="12.75" customHeight="1" x14ac:dyDescent="0.2">
      <c r="B2753" s="11" t="s">
        <v>2603</v>
      </c>
      <c r="C2753" s="17" t="s">
        <v>128</v>
      </c>
      <c r="D2753" s="2"/>
    </row>
    <row r="2754" spans="1:4" ht="12.75" customHeight="1" x14ac:dyDescent="0.2">
      <c r="B2754" s="11" t="s">
        <v>2605</v>
      </c>
      <c r="C2754" s="17" t="s">
        <v>14</v>
      </c>
      <c r="D2754" s="2"/>
    </row>
    <row r="2755" spans="1:4" ht="12.75" customHeight="1" x14ac:dyDescent="0.2">
      <c r="B2755" s="11" t="s">
        <v>2606</v>
      </c>
      <c r="C2755" s="16" t="s">
        <v>19</v>
      </c>
      <c r="D2755" s="2"/>
    </row>
    <row r="2756" spans="1:4" ht="12.75" customHeight="1" x14ac:dyDescent="0.2">
      <c r="B2756" s="2"/>
      <c r="C2756" s="15"/>
      <c r="D2756" s="2"/>
    </row>
    <row r="2757" spans="1:4" ht="12.75" customHeight="1" x14ac:dyDescent="0.2">
      <c r="B2757" s="2"/>
      <c r="C2757" s="15"/>
      <c r="D2757" s="2"/>
    </row>
    <row r="2758" spans="1:4" ht="12.75" customHeight="1" x14ac:dyDescent="0.2">
      <c r="A2758" s="13" t="s">
        <v>3003</v>
      </c>
      <c r="C2758" s="12"/>
      <c r="D2758" s="2"/>
    </row>
    <row r="2759" spans="1:4" ht="12.75" customHeight="1" x14ac:dyDescent="0.2">
      <c r="A2759" s="11"/>
      <c r="B2759" s="2"/>
      <c r="C2759" s="15"/>
      <c r="D2759" s="2"/>
    </row>
    <row r="2760" spans="1:4" ht="12.75" customHeight="1" x14ac:dyDescent="0.2">
      <c r="B2760" s="11" t="s">
        <v>0</v>
      </c>
      <c r="C2760" s="17" t="s">
        <v>221</v>
      </c>
      <c r="D2760" s="2"/>
    </row>
    <row r="2761" spans="1:4" ht="12.75" customHeight="1" x14ac:dyDescent="0.2">
      <c r="B2761" s="11" t="s">
        <v>2599</v>
      </c>
      <c r="C2761" s="17" t="s">
        <v>2269</v>
      </c>
      <c r="D2761" s="2"/>
    </row>
    <row r="2762" spans="1:4" ht="25.5" customHeight="1" x14ac:dyDescent="0.2">
      <c r="B2762" s="11" t="s">
        <v>2600</v>
      </c>
      <c r="C2762" s="17" t="s">
        <v>3004</v>
      </c>
      <c r="D2762" s="2"/>
    </row>
    <row r="2763" spans="1:4" ht="25.5" customHeight="1" x14ac:dyDescent="0.2">
      <c r="B2763" s="11" t="s">
        <v>2601</v>
      </c>
      <c r="C2763" s="17"/>
      <c r="D2763" s="2"/>
    </row>
    <row r="2764" spans="1:4" ht="12.75" customHeight="1" x14ac:dyDescent="0.2">
      <c r="B2764" s="11" t="s">
        <v>16</v>
      </c>
      <c r="C2764" s="17"/>
      <c r="D2764" s="2"/>
    </row>
    <row r="2765" spans="1:4" ht="12.75" customHeight="1" x14ac:dyDescent="0.2">
      <c r="B2765" s="11" t="s">
        <v>13</v>
      </c>
      <c r="C2765" s="17" t="s">
        <v>2644</v>
      </c>
      <c r="D2765" s="2"/>
    </row>
    <row r="2766" spans="1:4" ht="12.75" customHeight="1" x14ac:dyDescent="0.2">
      <c r="B2766" s="11" t="s">
        <v>2603</v>
      </c>
      <c r="C2766" s="17" t="s">
        <v>128</v>
      </c>
      <c r="D2766" s="2"/>
    </row>
    <row r="2767" spans="1:4" ht="12.75" customHeight="1" x14ac:dyDescent="0.2">
      <c r="B2767" s="11" t="s">
        <v>2605</v>
      </c>
      <c r="C2767" s="17" t="s">
        <v>14</v>
      </c>
      <c r="D2767" s="2"/>
    </row>
    <row r="2768" spans="1:4" ht="12.75" customHeight="1" x14ac:dyDescent="0.2">
      <c r="B2768" s="11" t="s">
        <v>2606</v>
      </c>
      <c r="C2768" s="16" t="s">
        <v>19</v>
      </c>
      <c r="D2768" s="2"/>
    </row>
    <row r="2769" spans="1:4" ht="12.75" customHeight="1" x14ac:dyDescent="0.2">
      <c r="B2769" s="2"/>
      <c r="C2769" s="15"/>
      <c r="D2769" s="2"/>
    </row>
    <row r="2770" spans="1:4" ht="12.75" customHeight="1" x14ac:dyDescent="0.2">
      <c r="B2770" s="2"/>
      <c r="C2770" s="15"/>
      <c r="D2770" s="2"/>
    </row>
    <row r="2771" spans="1:4" ht="12.75" customHeight="1" x14ac:dyDescent="0.2">
      <c r="A2771" s="13" t="s">
        <v>3005</v>
      </c>
      <c r="C2771" s="12"/>
      <c r="D2771" s="2"/>
    </row>
    <row r="2772" spans="1:4" ht="12.75" customHeight="1" x14ac:dyDescent="0.2">
      <c r="A2772" s="11"/>
      <c r="B2772" s="2"/>
      <c r="C2772" s="15"/>
      <c r="D2772" s="2"/>
    </row>
    <row r="2773" spans="1:4" ht="12.75" customHeight="1" x14ac:dyDescent="0.2">
      <c r="B2773" s="11" t="s">
        <v>0</v>
      </c>
      <c r="C2773" s="17" t="s">
        <v>221</v>
      </c>
      <c r="D2773" s="2"/>
    </row>
    <row r="2774" spans="1:4" ht="12.75" customHeight="1" x14ac:dyDescent="0.2">
      <c r="B2774" s="11" t="s">
        <v>2599</v>
      </c>
      <c r="C2774" s="17" t="s">
        <v>579</v>
      </c>
      <c r="D2774" s="2"/>
    </row>
    <row r="2775" spans="1:4" ht="25.5" customHeight="1" x14ac:dyDescent="0.2">
      <c r="B2775" s="11" t="s">
        <v>2600</v>
      </c>
      <c r="C2775" s="17" t="s">
        <v>1492</v>
      </c>
      <c r="D2775" s="2"/>
    </row>
    <row r="2776" spans="1:4" ht="25.5" customHeight="1" x14ac:dyDescent="0.2">
      <c r="B2776" s="11" t="s">
        <v>2601</v>
      </c>
      <c r="C2776" s="17"/>
      <c r="D2776" s="2"/>
    </row>
    <row r="2777" spans="1:4" ht="12.75" customHeight="1" x14ac:dyDescent="0.2">
      <c r="B2777" s="11" t="s">
        <v>16</v>
      </c>
      <c r="C2777" s="17"/>
      <c r="D2777" s="2"/>
    </row>
    <row r="2778" spans="1:4" ht="12.75" customHeight="1" x14ac:dyDescent="0.2">
      <c r="B2778" s="11" t="s">
        <v>13</v>
      </c>
      <c r="C2778" s="17" t="s">
        <v>2602</v>
      </c>
      <c r="D2778" s="2"/>
    </row>
    <row r="2779" spans="1:4" ht="12.75" customHeight="1" x14ac:dyDescent="0.2">
      <c r="B2779" s="11" t="s">
        <v>2603</v>
      </c>
      <c r="C2779" s="17" t="s">
        <v>128</v>
      </c>
      <c r="D2779" s="2"/>
    </row>
    <row r="2780" spans="1:4" ht="12.75" customHeight="1" x14ac:dyDescent="0.2">
      <c r="B2780" s="11" t="s">
        <v>2605</v>
      </c>
      <c r="C2780" s="17" t="s">
        <v>14</v>
      </c>
      <c r="D2780" s="2"/>
    </row>
    <row r="2781" spans="1:4" ht="12.75" customHeight="1" x14ac:dyDescent="0.2">
      <c r="B2781" s="11" t="s">
        <v>2606</v>
      </c>
      <c r="C2781" s="16" t="s">
        <v>19</v>
      </c>
      <c r="D2781" s="2"/>
    </row>
    <row r="2782" spans="1:4" ht="12.75" customHeight="1" x14ac:dyDescent="0.2">
      <c r="B2782" s="2"/>
      <c r="C2782" s="15"/>
      <c r="D2782" s="2"/>
    </row>
    <row r="2783" spans="1:4" ht="12.75" customHeight="1" x14ac:dyDescent="0.2">
      <c r="B2783" s="2"/>
      <c r="C2783" s="15"/>
      <c r="D2783" s="2"/>
    </row>
    <row r="2784" spans="1:4" ht="12.75" customHeight="1" x14ac:dyDescent="0.2">
      <c r="A2784" s="13" t="s">
        <v>3006</v>
      </c>
      <c r="C2784" s="12"/>
      <c r="D2784" s="2"/>
    </row>
    <row r="2785" spans="1:4" ht="12.75" customHeight="1" x14ac:dyDescent="0.2">
      <c r="A2785" s="11"/>
      <c r="B2785" s="2"/>
      <c r="C2785" s="15"/>
      <c r="D2785" s="2"/>
    </row>
    <row r="2786" spans="1:4" ht="12.75" customHeight="1" x14ac:dyDescent="0.2">
      <c r="B2786" s="11" t="s">
        <v>0</v>
      </c>
      <c r="C2786" s="17" t="s">
        <v>221</v>
      </c>
      <c r="D2786" s="2"/>
    </row>
    <row r="2787" spans="1:4" ht="12.75" customHeight="1" x14ac:dyDescent="0.2">
      <c r="B2787" s="11" t="s">
        <v>2599</v>
      </c>
      <c r="C2787" s="17" t="s">
        <v>2154</v>
      </c>
      <c r="D2787" s="2"/>
    </row>
    <row r="2788" spans="1:4" ht="25.5" customHeight="1" x14ac:dyDescent="0.2">
      <c r="B2788" s="11" t="s">
        <v>2600</v>
      </c>
      <c r="C2788" s="17" t="s">
        <v>3007</v>
      </c>
      <c r="D2788" s="2"/>
    </row>
    <row r="2789" spans="1:4" ht="25.5" customHeight="1" x14ac:dyDescent="0.2">
      <c r="B2789" s="11" t="s">
        <v>2601</v>
      </c>
      <c r="C2789" s="17"/>
      <c r="D2789" s="2"/>
    </row>
    <row r="2790" spans="1:4" ht="12.75" customHeight="1" x14ac:dyDescent="0.2">
      <c r="B2790" s="11" t="s">
        <v>16</v>
      </c>
      <c r="C2790" s="17"/>
      <c r="D2790" s="2"/>
    </row>
    <row r="2791" spans="1:4" ht="12.75" customHeight="1" x14ac:dyDescent="0.2">
      <c r="B2791" s="11" t="s">
        <v>13</v>
      </c>
      <c r="C2791" s="17" t="s">
        <v>2644</v>
      </c>
      <c r="D2791" s="2"/>
    </row>
    <row r="2792" spans="1:4" ht="12.75" customHeight="1" x14ac:dyDescent="0.2">
      <c r="B2792" s="11" t="s">
        <v>2603</v>
      </c>
      <c r="C2792" s="17" t="s">
        <v>128</v>
      </c>
      <c r="D2792" s="2"/>
    </row>
    <row r="2793" spans="1:4" ht="12.75" customHeight="1" x14ac:dyDescent="0.2">
      <c r="B2793" s="11" t="s">
        <v>2605</v>
      </c>
      <c r="C2793" s="17" t="s">
        <v>14</v>
      </c>
      <c r="D2793" s="2"/>
    </row>
    <row r="2794" spans="1:4" ht="12.75" customHeight="1" x14ac:dyDescent="0.2">
      <c r="B2794" s="11" t="s">
        <v>2606</v>
      </c>
      <c r="C2794" s="16" t="s">
        <v>19</v>
      </c>
      <c r="D2794" s="2"/>
    </row>
    <row r="2795" spans="1:4" ht="12.75" customHeight="1" x14ac:dyDescent="0.2">
      <c r="B2795" s="2"/>
      <c r="C2795" s="15"/>
      <c r="D2795" s="2"/>
    </row>
    <row r="2796" spans="1:4" ht="12.75" customHeight="1" x14ac:dyDescent="0.2">
      <c r="B2796" s="2"/>
      <c r="C2796" s="15"/>
      <c r="D2796" s="2"/>
    </row>
    <row r="2797" spans="1:4" ht="12.75" customHeight="1" x14ac:dyDescent="0.2">
      <c r="A2797" s="13" t="s">
        <v>3008</v>
      </c>
      <c r="C2797" s="12"/>
      <c r="D2797" s="2"/>
    </row>
    <row r="2798" spans="1:4" ht="12.75" customHeight="1" x14ac:dyDescent="0.2">
      <c r="A2798" s="11"/>
      <c r="B2798" s="2"/>
      <c r="C2798" s="15"/>
      <c r="D2798" s="2"/>
    </row>
    <row r="2799" spans="1:4" ht="12.75" customHeight="1" x14ac:dyDescent="0.2">
      <c r="B2799" s="11" t="s">
        <v>0</v>
      </c>
      <c r="C2799" s="17" t="s">
        <v>221</v>
      </c>
      <c r="D2799" s="2"/>
    </row>
    <row r="2800" spans="1:4" ht="12.75" customHeight="1" x14ac:dyDescent="0.2">
      <c r="B2800" s="11" t="s">
        <v>2599</v>
      </c>
      <c r="C2800" s="17" t="s">
        <v>392</v>
      </c>
      <c r="D2800" s="2"/>
    </row>
    <row r="2801" spans="1:4" ht="25.5" customHeight="1" x14ac:dyDescent="0.2">
      <c r="B2801" s="11" t="s">
        <v>2600</v>
      </c>
      <c r="C2801" s="17" t="s">
        <v>3009</v>
      </c>
      <c r="D2801" s="2"/>
    </row>
    <row r="2802" spans="1:4" ht="25.5" customHeight="1" x14ac:dyDescent="0.2">
      <c r="B2802" s="11" t="s">
        <v>2601</v>
      </c>
      <c r="C2802" s="17"/>
      <c r="D2802" s="2"/>
    </row>
    <row r="2803" spans="1:4" ht="12.75" customHeight="1" x14ac:dyDescent="0.2">
      <c r="B2803" s="11" t="s">
        <v>16</v>
      </c>
      <c r="C2803" s="17"/>
      <c r="D2803" s="2"/>
    </row>
    <row r="2804" spans="1:4" ht="12.75" customHeight="1" x14ac:dyDescent="0.2">
      <c r="B2804" s="11" t="s">
        <v>13</v>
      </c>
      <c r="C2804" s="17" t="s">
        <v>2644</v>
      </c>
      <c r="D2804" s="2"/>
    </row>
    <row r="2805" spans="1:4" ht="12.75" customHeight="1" x14ac:dyDescent="0.2">
      <c r="B2805" s="11" t="s">
        <v>2603</v>
      </c>
      <c r="C2805" s="17" t="s">
        <v>128</v>
      </c>
      <c r="D2805" s="2"/>
    </row>
    <row r="2806" spans="1:4" ht="12.75" customHeight="1" x14ac:dyDescent="0.2">
      <c r="B2806" s="11" t="s">
        <v>2605</v>
      </c>
      <c r="C2806" s="17" t="s">
        <v>14</v>
      </c>
      <c r="D2806" s="2"/>
    </row>
    <row r="2807" spans="1:4" ht="12.75" customHeight="1" x14ac:dyDescent="0.2">
      <c r="B2807" s="11" t="s">
        <v>2606</v>
      </c>
      <c r="C2807" s="16" t="s">
        <v>19</v>
      </c>
      <c r="D2807" s="2"/>
    </row>
    <row r="2808" spans="1:4" ht="12.75" customHeight="1" x14ac:dyDescent="0.2">
      <c r="B2808" s="2"/>
      <c r="C2808" s="15"/>
      <c r="D2808" s="2"/>
    </row>
    <row r="2809" spans="1:4" ht="12.75" customHeight="1" x14ac:dyDescent="0.2">
      <c r="B2809" s="2"/>
      <c r="C2809" s="15"/>
      <c r="D2809" s="2"/>
    </row>
    <row r="2810" spans="1:4" ht="12.75" customHeight="1" x14ac:dyDescent="0.2">
      <c r="A2810" s="13" t="s">
        <v>3010</v>
      </c>
      <c r="C2810" s="12"/>
      <c r="D2810" s="2"/>
    </row>
    <row r="2811" spans="1:4" ht="12.75" customHeight="1" x14ac:dyDescent="0.2">
      <c r="A2811" s="11"/>
      <c r="B2811" s="2"/>
      <c r="C2811" s="15"/>
      <c r="D2811" s="2"/>
    </row>
    <row r="2812" spans="1:4" ht="12.75" customHeight="1" x14ac:dyDescent="0.2">
      <c r="B2812" s="11" t="s">
        <v>0</v>
      </c>
      <c r="C2812" s="17" t="s">
        <v>221</v>
      </c>
      <c r="D2812" s="2"/>
    </row>
    <row r="2813" spans="1:4" ht="12.75" customHeight="1" x14ac:dyDescent="0.2">
      <c r="B2813" s="11" t="s">
        <v>2599</v>
      </c>
      <c r="C2813" s="17" t="s">
        <v>2420</v>
      </c>
      <c r="D2813" s="2"/>
    </row>
    <row r="2814" spans="1:4" ht="25.5" customHeight="1" x14ac:dyDescent="0.2">
      <c r="B2814" s="11" t="s">
        <v>2600</v>
      </c>
      <c r="C2814" s="17" t="s">
        <v>3011</v>
      </c>
      <c r="D2814" s="2"/>
    </row>
    <row r="2815" spans="1:4" ht="25.5" customHeight="1" x14ac:dyDescent="0.2">
      <c r="B2815" s="11" t="s">
        <v>2601</v>
      </c>
      <c r="C2815" s="17"/>
      <c r="D2815" s="2"/>
    </row>
    <row r="2816" spans="1:4" ht="12.75" customHeight="1" x14ac:dyDescent="0.2">
      <c r="B2816" s="11" t="s">
        <v>16</v>
      </c>
      <c r="C2816" s="17"/>
      <c r="D2816" s="2"/>
    </row>
    <row r="2817" spans="1:4" ht="12.75" customHeight="1" x14ac:dyDescent="0.2">
      <c r="B2817" s="11" t="s">
        <v>13</v>
      </c>
      <c r="C2817" s="17" t="s">
        <v>2644</v>
      </c>
      <c r="D2817" s="2"/>
    </row>
    <row r="2818" spans="1:4" ht="12.75" customHeight="1" x14ac:dyDescent="0.2">
      <c r="B2818" s="11" t="s">
        <v>2603</v>
      </c>
      <c r="C2818" s="17" t="s">
        <v>128</v>
      </c>
      <c r="D2818" s="2"/>
    </row>
    <row r="2819" spans="1:4" ht="12.75" customHeight="1" x14ac:dyDescent="0.2">
      <c r="B2819" s="11" t="s">
        <v>2605</v>
      </c>
      <c r="C2819" s="17" t="s">
        <v>14</v>
      </c>
      <c r="D2819" s="2"/>
    </row>
    <row r="2820" spans="1:4" ht="12.75" customHeight="1" x14ac:dyDescent="0.2">
      <c r="B2820" s="11" t="s">
        <v>2606</v>
      </c>
      <c r="C2820" s="16" t="s">
        <v>19</v>
      </c>
      <c r="D2820" s="2"/>
    </row>
    <row r="2821" spans="1:4" ht="12.75" customHeight="1" x14ac:dyDescent="0.2">
      <c r="B2821" s="2"/>
      <c r="C2821" s="15"/>
      <c r="D2821" s="2"/>
    </row>
    <row r="2822" spans="1:4" ht="12.75" customHeight="1" x14ac:dyDescent="0.2">
      <c r="B2822" s="2"/>
      <c r="C2822" s="15"/>
      <c r="D2822" s="2"/>
    </row>
    <row r="2823" spans="1:4" ht="12.75" customHeight="1" x14ac:dyDescent="0.2">
      <c r="A2823" s="13" t="s">
        <v>3012</v>
      </c>
      <c r="C2823" s="12"/>
      <c r="D2823" s="2"/>
    </row>
    <row r="2824" spans="1:4" ht="12.75" customHeight="1" x14ac:dyDescent="0.2">
      <c r="A2824" s="11"/>
      <c r="B2824" s="2"/>
      <c r="C2824" s="15"/>
      <c r="D2824" s="2"/>
    </row>
    <row r="2825" spans="1:4" ht="12.75" customHeight="1" x14ac:dyDescent="0.2">
      <c r="B2825" s="11" t="s">
        <v>0</v>
      </c>
      <c r="C2825" s="17" t="s">
        <v>221</v>
      </c>
      <c r="D2825" s="2"/>
    </row>
    <row r="2826" spans="1:4" ht="12.75" customHeight="1" x14ac:dyDescent="0.2">
      <c r="B2826" s="11" t="s">
        <v>2599</v>
      </c>
      <c r="C2826" s="17" t="s">
        <v>221</v>
      </c>
      <c r="D2826" s="2"/>
    </row>
    <row r="2827" spans="1:4" ht="25.5" customHeight="1" x14ac:dyDescent="0.2">
      <c r="B2827" s="11" t="s">
        <v>2600</v>
      </c>
      <c r="C2827" s="17" t="s">
        <v>3013</v>
      </c>
      <c r="D2827" s="2"/>
    </row>
    <row r="2828" spans="1:4" ht="25.5" customHeight="1" x14ac:dyDescent="0.2">
      <c r="B2828" s="11" t="s">
        <v>2601</v>
      </c>
      <c r="C2828" s="17"/>
      <c r="D2828" s="2"/>
    </row>
    <row r="2829" spans="1:4" ht="12.75" customHeight="1" x14ac:dyDescent="0.2">
      <c r="B2829" s="11" t="s">
        <v>16</v>
      </c>
      <c r="C2829" s="17"/>
      <c r="D2829" s="2"/>
    </row>
    <row r="2830" spans="1:4" ht="12.75" customHeight="1" x14ac:dyDescent="0.2">
      <c r="B2830" s="11" t="s">
        <v>13</v>
      </c>
      <c r="C2830" s="17" t="s">
        <v>2644</v>
      </c>
      <c r="D2830" s="2"/>
    </row>
    <row r="2831" spans="1:4" ht="12.75" customHeight="1" x14ac:dyDescent="0.2">
      <c r="B2831" s="11" t="s">
        <v>2603</v>
      </c>
      <c r="C2831" s="17" t="s">
        <v>128</v>
      </c>
      <c r="D2831" s="2"/>
    </row>
    <row r="2832" spans="1:4" ht="12.75" customHeight="1" x14ac:dyDescent="0.2">
      <c r="B2832" s="11" t="s">
        <v>2605</v>
      </c>
      <c r="C2832" s="17" t="s">
        <v>14</v>
      </c>
      <c r="D2832" s="2"/>
    </row>
    <row r="2833" spans="1:4" ht="12.75" customHeight="1" x14ac:dyDescent="0.2">
      <c r="B2833" s="11" t="s">
        <v>2606</v>
      </c>
      <c r="C2833" s="16" t="s">
        <v>19</v>
      </c>
      <c r="D2833" s="2"/>
    </row>
    <row r="2834" spans="1:4" ht="12.75" customHeight="1" x14ac:dyDescent="0.2">
      <c r="B2834" s="2"/>
      <c r="C2834" s="15"/>
      <c r="D2834" s="2"/>
    </row>
    <row r="2835" spans="1:4" ht="12.75" customHeight="1" x14ac:dyDescent="0.2">
      <c r="B2835" s="2"/>
      <c r="C2835" s="15"/>
      <c r="D2835" s="2"/>
    </row>
    <row r="2836" spans="1:4" ht="12.75" customHeight="1" x14ac:dyDescent="0.2">
      <c r="A2836" s="13" t="s">
        <v>3014</v>
      </c>
      <c r="C2836" s="12"/>
      <c r="D2836" s="2"/>
    </row>
    <row r="2837" spans="1:4" ht="12.75" customHeight="1" x14ac:dyDescent="0.2">
      <c r="A2837" s="11"/>
      <c r="B2837" s="2"/>
      <c r="C2837" s="15"/>
      <c r="D2837" s="2"/>
    </row>
    <row r="2838" spans="1:4" ht="12.75" customHeight="1" x14ac:dyDescent="0.2">
      <c r="B2838" s="11" t="s">
        <v>0</v>
      </c>
      <c r="C2838" s="17" t="s">
        <v>221</v>
      </c>
      <c r="D2838" s="2"/>
    </row>
    <row r="2839" spans="1:4" ht="12.75" customHeight="1" x14ac:dyDescent="0.2">
      <c r="B2839" s="11" t="s">
        <v>2599</v>
      </c>
      <c r="C2839" s="17" t="s">
        <v>175</v>
      </c>
      <c r="D2839" s="2"/>
    </row>
    <row r="2840" spans="1:4" ht="25.5" customHeight="1" x14ac:dyDescent="0.2">
      <c r="B2840" s="11" t="s">
        <v>2600</v>
      </c>
      <c r="C2840" s="17" t="s">
        <v>3015</v>
      </c>
      <c r="D2840" s="2"/>
    </row>
    <row r="2841" spans="1:4" ht="25.5" customHeight="1" x14ac:dyDescent="0.2">
      <c r="B2841" s="11" t="s">
        <v>2601</v>
      </c>
      <c r="C2841" s="17"/>
      <c r="D2841" s="2"/>
    </row>
    <row r="2842" spans="1:4" ht="12.75" customHeight="1" x14ac:dyDescent="0.2">
      <c r="B2842" s="11" t="s">
        <v>16</v>
      </c>
      <c r="C2842" s="17"/>
      <c r="D2842" s="2"/>
    </row>
    <row r="2843" spans="1:4" ht="12.75" customHeight="1" x14ac:dyDescent="0.2">
      <c r="B2843" s="11" t="s">
        <v>13</v>
      </c>
      <c r="C2843" s="17" t="s">
        <v>2602</v>
      </c>
      <c r="D2843" s="2"/>
    </row>
    <row r="2844" spans="1:4" ht="12.75" customHeight="1" x14ac:dyDescent="0.2">
      <c r="B2844" s="11" t="s">
        <v>2603</v>
      </c>
      <c r="C2844" s="17" t="s">
        <v>128</v>
      </c>
      <c r="D2844" s="2"/>
    </row>
    <row r="2845" spans="1:4" ht="12.75" customHeight="1" x14ac:dyDescent="0.2">
      <c r="B2845" s="11" t="s">
        <v>2605</v>
      </c>
      <c r="C2845" s="17" t="s">
        <v>14</v>
      </c>
      <c r="D2845" s="2"/>
    </row>
    <row r="2846" spans="1:4" ht="12.75" customHeight="1" x14ac:dyDescent="0.2">
      <c r="B2846" s="11" t="s">
        <v>2606</v>
      </c>
      <c r="C2846" s="16" t="s">
        <v>19</v>
      </c>
      <c r="D2846" s="2"/>
    </row>
    <row r="2847" spans="1:4" ht="12.75" customHeight="1" x14ac:dyDescent="0.2">
      <c r="B2847" s="2"/>
      <c r="C2847" s="15"/>
      <c r="D2847" s="2"/>
    </row>
    <row r="2848" spans="1:4" ht="12.75" customHeight="1" x14ac:dyDescent="0.2">
      <c r="B2848" s="2"/>
      <c r="C2848" s="15"/>
      <c r="D2848" s="2"/>
    </row>
    <row r="2849" spans="1:4" ht="12.75" customHeight="1" x14ac:dyDescent="0.2">
      <c r="A2849" s="13" t="s">
        <v>3016</v>
      </c>
      <c r="C2849" s="12"/>
      <c r="D2849" s="2"/>
    </row>
    <row r="2850" spans="1:4" ht="12.75" customHeight="1" x14ac:dyDescent="0.2">
      <c r="A2850" s="11"/>
      <c r="B2850" s="2"/>
      <c r="C2850" s="15"/>
      <c r="D2850" s="2"/>
    </row>
    <row r="2851" spans="1:4" ht="12.75" customHeight="1" x14ac:dyDescent="0.2">
      <c r="B2851" s="11" t="s">
        <v>0</v>
      </c>
      <c r="C2851" s="17" t="s">
        <v>221</v>
      </c>
      <c r="D2851" s="2"/>
    </row>
    <row r="2852" spans="1:4" ht="12.75" customHeight="1" x14ac:dyDescent="0.2">
      <c r="B2852" s="11" t="s">
        <v>2599</v>
      </c>
      <c r="C2852" s="17" t="s">
        <v>2389</v>
      </c>
      <c r="D2852" s="2"/>
    </row>
    <row r="2853" spans="1:4" ht="25.5" customHeight="1" x14ac:dyDescent="0.2">
      <c r="B2853" s="11" t="s">
        <v>2600</v>
      </c>
      <c r="C2853" s="17" t="s">
        <v>2807</v>
      </c>
      <c r="D2853" s="2"/>
    </row>
    <row r="2854" spans="1:4" ht="25.5" customHeight="1" x14ac:dyDescent="0.2">
      <c r="B2854" s="11" t="s">
        <v>2601</v>
      </c>
      <c r="C2854" s="17"/>
      <c r="D2854" s="2"/>
    </row>
    <row r="2855" spans="1:4" ht="12.75" customHeight="1" x14ac:dyDescent="0.2">
      <c r="B2855" s="11" t="s">
        <v>16</v>
      </c>
      <c r="C2855" s="17"/>
      <c r="D2855" s="2"/>
    </row>
    <row r="2856" spans="1:4" ht="12.75" customHeight="1" x14ac:dyDescent="0.2">
      <c r="B2856" s="11" t="s">
        <v>13</v>
      </c>
      <c r="C2856" s="17" t="s">
        <v>2602</v>
      </c>
      <c r="D2856" s="2"/>
    </row>
    <row r="2857" spans="1:4" ht="12.75" customHeight="1" x14ac:dyDescent="0.2">
      <c r="B2857" s="11" t="s">
        <v>2603</v>
      </c>
      <c r="C2857" s="17" t="s">
        <v>128</v>
      </c>
      <c r="D2857" s="2"/>
    </row>
    <row r="2858" spans="1:4" ht="12.75" customHeight="1" x14ac:dyDescent="0.2">
      <c r="B2858" s="11" t="s">
        <v>2605</v>
      </c>
      <c r="C2858" s="17" t="s">
        <v>14</v>
      </c>
      <c r="D2858" s="2"/>
    </row>
    <row r="2859" spans="1:4" ht="12.75" customHeight="1" x14ac:dyDescent="0.2">
      <c r="B2859" s="11" t="s">
        <v>2606</v>
      </c>
      <c r="C2859" s="16" t="s">
        <v>19</v>
      </c>
      <c r="D2859" s="2"/>
    </row>
    <row r="2860" spans="1:4" ht="12.75" customHeight="1" x14ac:dyDescent="0.2">
      <c r="B2860" s="2"/>
      <c r="C2860" s="15"/>
      <c r="D2860" s="2"/>
    </row>
    <row r="2861" spans="1:4" ht="12.75" customHeight="1" x14ac:dyDescent="0.2">
      <c r="B2861" s="2"/>
      <c r="C2861" s="15"/>
      <c r="D2861" s="2"/>
    </row>
    <row r="2862" spans="1:4" ht="12.75" customHeight="1" x14ac:dyDescent="0.2">
      <c r="A2862" s="13" t="s">
        <v>3017</v>
      </c>
      <c r="C2862" s="12"/>
    </row>
    <row r="2863" spans="1:4" ht="12.75" customHeight="1" x14ac:dyDescent="0.2">
      <c r="A2863" s="11"/>
      <c r="B2863" s="2"/>
      <c r="C2863" s="15"/>
      <c r="D2863" s="2"/>
    </row>
    <row r="2864" spans="1:4" ht="12.75" customHeight="1" x14ac:dyDescent="0.2">
      <c r="B2864" s="11" t="s">
        <v>0</v>
      </c>
      <c r="C2864" s="11" t="s">
        <v>221</v>
      </c>
    </row>
    <row r="2865" spans="1:4" ht="12.75" customHeight="1" x14ac:dyDescent="0.2">
      <c r="B2865" s="11" t="s">
        <v>2599</v>
      </c>
      <c r="C2865" s="11" t="s">
        <v>338</v>
      </c>
    </row>
    <row r="2866" spans="1:4" ht="25.5" customHeight="1" x14ac:dyDescent="0.2">
      <c r="B2866" s="11" t="s">
        <v>2600</v>
      </c>
      <c r="C2866" s="11" t="s">
        <v>3018</v>
      </c>
    </row>
    <row r="2867" spans="1:4" ht="25.5" customHeight="1" x14ac:dyDescent="0.2">
      <c r="B2867" s="11" t="s">
        <v>2601</v>
      </c>
      <c r="C2867" s="11"/>
    </row>
    <row r="2868" spans="1:4" ht="12.75" customHeight="1" x14ac:dyDescent="0.2">
      <c r="B2868" s="11" t="s">
        <v>16</v>
      </c>
      <c r="C2868" s="11"/>
    </row>
    <row r="2869" spans="1:4" ht="12.75" customHeight="1" x14ac:dyDescent="0.2">
      <c r="B2869" s="11" t="s">
        <v>13</v>
      </c>
      <c r="C2869" s="11" t="s">
        <v>2644</v>
      </c>
    </row>
    <row r="2870" spans="1:4" ht="12.75" customHeight="1" x14ac:dyDescent="0.2">
      <c r="B2870" s="11" t="s">
        <v>2603</v>
      </c>
      <c r="C2870" s="11" t="s">
        <v>2604</v>
      </c>
    </row>
    <row r="2871" spans="1:4" ht="12.75" customHeight="1" x14ac:dyDescent="0.2">
      <c r="B2871" s="11" t="s">
        <v>2605</v>
      </c>
      <c r="C2871" s="11" t="s">
        <v>24</v>
      </c>
    </row>
    <row r="2872" spans="1:4" ht="25.5" customHeight="1" x14ac:dyDescent="0.2">
      <c r="B2872" s="11" t="s">
        <v>2606</v>
      </c>
      <c r="C2872" s="16" t="s">
        <v>44</v>
      </c>
      <c r="D2872" s="6" t="str">
        <f>HYPERLINK("javascript:void(0)","sárkánypikkely")</f>
        <v>sárkánypikkely</v>
      </c>
    </row>
    <row r="2873" spans="1:4" ht="12.75" customHeight="1" x14ac:dyDescent="0.2">
      <c r="C2873" s="16" t="s">
        <v>44</v>
      </c>
      <c r="D2873" s="6" t="str">
        <f>HYPERLINK("javascript:void(0)","sárkányfog")</f>
        <v>sárkányfog</v>
      </c>
    </row>
    <row r="2874" spans="1:4" ht="25.5" customHeight="1" x14ac:dyDescent="0.2">
      <c r="C2874" s="16" t="s">
        <v>44</v>
      </c>
      <c r="D2874" s="6" t="str">
        <f>HYPERLINK("javascript:void(0)","sárkánykarom")</f>
        <v>sárkánykarom</v>
      </c>
    </row>
    <row r="2875" spans="1:4" ht="12.75" customHeight="1" x14ac:dyDescent="0.2">
      <c r="B2875" s="2"/>
      <c r="C2875" s="15"/>
      <c r="D2875" s="2"/>
    </row>
    <row r="2876" spans="1:4" ht="12.75" customHeight="1" x14ac:dyDescent="0.2">
      <c r="B2876" s="2"/>
      <c r="C2876" s="15"/>
      <c r="D2876" s="2"/>
    </row>
    <row r="2877" spans="1:4" ht="12.75" customHeight="1" x14ac:dyDescent="0.2">
      <c r="A2877" s="13" t="s">
        <v>3019</v>
      </c>
      <c r="C2877" s="12"/>
    </row>
    <row r="2878" spans="1:4" ht="12.75" customHeight="1" x14ac:dyDescent="0.2">
      <c r="A2878" s="11"/>
      <c r="B2878" s="2"/>
      <c r="C2878" s="15"/>
      <c r="D2878" s="2"/>
    </row>
    <row r="2879" spans="1:4" ht="12.75" customHeight="1" x14ac:dyDescent="0.2">
      <c r="B2879" s="11" t="s">
        <v>0</v>
      </c>
      <c r="C2879" s="11" t="s">
        <v>221</v>
      </c>
    </row>
    <row r="2880" spans="1:4" ht="12.75" customHeight="1" x14ac:dyDescent="0.2">
      <c r="B2880" s="11" t="s">
        <v>2599</v>
      </c>
      <c r="C2880" s="11" t="s">
        <v>2502</v>
      </c>
    </row>
    <row r="2881" spans="1:4" ht="25.5" customHeight="1" x14ac:dyDescent="0.2">
      <c r="B2881" s="11" t="s">
        <v>2600</v>
      </c>
      <c r="C2881" s="11" t="s">
        <v>3020</v>
      </c>
    </row>
    <row r="2882" spans="1:4" ht="25.5" customHeight="1" x14ac:dyDescent="0.2">
      <c r="B2882" s="11" t="s">
        <v>2601</v>
      </c>
      <c r="C2882" s="11"/>
    </row>
    <row r="2883" spans="1:4" ht="12.75" customHeight="1" x14ac:dyDescent="0.2">
      <c r="B2883" s="11" t="s">
        <v>16</v>
      </c>
      <c r="C2883" s="11"/>
    </row>
    <row r="2884" spans="1:4" ht="12.75" customHeight="1" x14ac:dyDescent="0.2">
      <c r="B2884" s="11" t="s">
        <v>13</v>
      </c>
      <c r="C2884" s="11" t="s">
        <v>2644</v>
      </c>
    </row>
    <row r="2885" spans="1:4" ht="12.75" customHeight="1" x14ac:dyDescent="0.2">
      <c r="B2885" s="11" t="s">
        <v>2603</v>
      </c>
      <c r="C2885" s="11" t="s">
        <v>2604</v>
      </c>
    </row>
    <row r="2886" spans="1:4" ht="12.75" customHeight="1" x14ac:dyDescent="0.2">
      <c r="B2886" s="11" t="s">
        <v>2605</v>
      </c>
      <c r="C2886" s="11" t="s">
        <v>24</v>
      </c>
    </row>
    <row r="2887" spans="1:4" ht="25.5" customHeight="1" x14ac:dyDescent="0.2">
      <c r="B2887" s="11" t="s">
        <v>2606</v>
      </c>
      <c r="C2887" s="16" t="s">
        <v>44</v>
      </c>
      <c r="D2887" s="6" t="str">
        <f>HYPERLINK("javascript:void(0)","sárkánypikkely")</f>
        <v>sárkánypikkely</v>
      </c>
    </row>
    <row r="2888" spans="1:4" ht="12.75" customHeight="1" x14ac:dyDescent="0.2">
      <c r="C2888" s="16" t="s">
        <v>44</v>
      </c>
      <c r="D2888" s="6" t="str">
        <f>HYPERLINK("javascript:void(0)","sárkányfog")</f>
        <v>sárkányfog</v>
      </c>
    </row>
    <row r="2889" spans="1:4" ht="25.5" customHeight="1" x14ac:dyDescent="0.2">
      <c r="C2889" s="16" t="s">
        <v>44</v>
      </c>
      <c r="D2889" s="6" t="str">
        <f>HYPERLINK("javascript:void(0)","sárkánykarom")</f>
        <v>sárkánykarom</v>
      </c>
    </row>
    <row r="2890" spans="1:4" ht="12.75" customHeight="1" x14ac:dyDescent="0.2">
      <c r="B2890" s="2"/>
      <c r="C2890" s="15"/>
      <c r="D2890" s="2"/>
    </row>
    <row r="2891" spans="1:4" ht="12.75" customHeight="1" x14ac:dyDescent="0.2">
      <c r="B2891" s="2"/>
      <c r="C2891" s="15"/>
      <c r="D2891" s="2"/>
    </row>
    <row r="2892" spans="1:4" ht="12.75" customHeight="1" x14ac:dyDescent="0.2">
      <c r="A2892" s="13" t="s">
        <v>3021</v>
      </c>
      <c r="C2892" s="12"/>
    </row>
    <row r="2893" spans="1:4" ht="12.75" customHeight="1" x14ac:dyDescent="0.2">
      <c r="A2893" s="11"/>
      <c r="B2893" s="2"/>
      <c r="C2893" s="15"/>
      <c r="D2893" s="2"/>
    </row>
    <row r="2894" spans="1:4" ht="12.75" customHeight="1" x14ac:dyDescent="0.2">
      <c r="B2894" s="11" t="s">
        <v>0</v>
      </c>
      <c r="C2894" s="11" t="s">
        <v>221</v>
      </c>
    </row>
    <row r="2895" spans="1:4" ht="12.75" customHeight="1" x14ac:dyDescent="0.2">
      <c r="B2895" s="11" t="s">
        <v>2599</v>
      </c>
      <c r="C2895" s="11" t="s">
        <v>3022</v>
      </c>
    </row>
    <row r="2896" spans="1:4" ht="25.5" customHeight="1" x14ac:dyDescent="0.2">
      <c r="B2896" s="11" t="s">
        <v>2600</v>
      </c>
      <c r="C2896" s="11" t="s">
        <v>3023</v>
      </c>
    </row>
    <row r="2897" spans="1:4" ht="25.5" customHeight="1" x14ac:dyDescent="0.2">
      <c r="B2897" s="11" t="s">
        <v>2601</v>
      </c>
      <c r="C2897" s="11"/>
    </row>
    <row r="2898" spans="1:4" ht="12.75" customHeight="1" x14ac:dyDescent="0.2">
      <c r="B2898" s="11" t="s">
        <v>16</v>
      </c>
      <c r="C2898" s="11"/>
    </row>
    <row r="2899" spans="1:4" ht="12.75" customHeight="1" x14ac:dyDescent="0.2">
      <c r="B2899" s="11" t="s">
        <v>13</v>
      </c>
      <c r="C2899" s="11" t="s">
        <v>2602</v>
      </c>
    </row>
    <row r="2900" spans="1:4" ht="12.75" customHeight="1" x14ac:dyDescent="0.2">
      <c r="B2900" s="11" t="s">
        <v>2603</v>
      </c>
      <c r="C2900" s="11" t="s">
        <v>2604</v>
      </c>
    </row>
    <row r="2901" spans="1:4" ht="12.75" customHeight="1" x14ac:dyDescent="0.2">
      <c r="B2901" s="11" t="s">
        <v>2605</v>
      </c>
      <c r="C2901" s="11" t="s">
        <v>24</v>
      </c>
    </row>
    <row r="2902" spans="1:4" ht="25.5" customHeight="1" x14ac:dyDescent="0.2">
      <c r="B2902" s="11" t="s">
        <v>2606</v>
      </c>
      <c r="C2902" s="16" t="s">
        <v>44</v>
      </c>
      <c r="D2902" s="6" t="str">
        <f>HYPERLINK("javascript:void(0)","rubin láncing")</f>
        <v>rubin láncing</v>
      </c>
    </row>
    <row r="2903" spans="1:4" ht="12.75" customHeight="1" x14ac:dyDescent="0.2">
      <c r="B2903" s="2"/>
      <c r="C2903" s="15"/>
      <c r="D2903" s="2"/>
    </row>
    <row r="2904" spans="1:4" ht="12.75" customHeight="1" x14ac:dyDescent="0.2">
      <c r="B2904" s="2"/>
      <c r="C2904" s="15"/>
      <c r="D2904" s="2"/>
    </row>
    <row r="2905" spans="1:4" ht="12.75" customHeight="1" x14ac:dyDescent="0.2">
      <c r="A2905" s="13" t="s">
        <v>3024</v>
      </c>
      <c r="C2905" s="12"/>
    </row>
    <row r="2906" spans="1:4" ht="12.75" customHeight="1" x14ac:dyDescent="0.2">
      <c r="A2906" s="11"/>
      <c r="B2906" s="2"/>
      <c r="C2906" s="15"/>
      <c r="D2906" s="2"/>
    </row>
    <row r="2907" spans="1:4" ht="12.75" customHeight="1" x14ac:dyDescent="0.2">
      <c r="B2907" s="11" t="s">
        <v>0</v>
      </c>
      <c r="C2907" s="11" t="s">
        <v>221</v>
      </c>
    </row>
    <row r="2908" spans="1:4" ht="12.75" customHeight="1" x14ac:dyDescent="0.2">
      <c r="B2908" s="11" t="s">
        <v>2599</v>
      </c>
      <c r="C2908" s="11" t="s">
        <v>618</v>
      </c>
    </row>
    <row r="2909" spans="1:4" ht="25.5" customHeight="1" x14ac:dyDescent="0.2">
      <c r="B2909" s="11" t="s">
        <v>2600</v>
      </c>
      <c r="C2909" s="11" t="s">
        <v>3025</v>
      </c>
    </row>
    <row r="2910" spans="1:4" ht="25.5" customHeight="1" x14ac:dyDescent="0.2">
      <c r="B2910" s="11" t="s">
        <v>2601</v>
      </c>
      <c r="C2910" s="11"/>
    </row>
    <row r="2911" spans="1:4" ht="12.75" customHeight="1" x14ac:dyDescent="0.2">
      <c r="B2911" s="11" t="s">
        <v>16</v>
      </c>
      <c r="C2911" s="11"/>
    </row>
    <row r="2912" spans="1:4" ht="12.75" customHeight="1" x14ac:dyDescent="0.2">
      <c r="B2912" s="11" t="s">
        <v>13</v>
      </c>
      <c r="C2912" s="11" t="s">
        <v>2602</v>
      </c>
    </row>
    <row r="2913" spans="1:4" ht="12.75" customHeight="1" x14ac:dyDescent="0.2">
      <c r="B2913" s="11" t="s">
        <v>2603</v>
      </c>
      <c r="C2913" s="11" t="s">
        <v>2626</v>
      </c>
    </row>
    <row r="2914" spans="1:4" ht="12.75" customHeight="1" x14ac:dyDescent="0.2">
      <c r="B2914" s="11" t="s">
        <v>2605</v>
      </c>
      <c r="C2914" s="11" t="s">
        <v>24</v>
      </c>
    </row>
    <row r="2915" spans="1:4" ht="25.5" customHeight="1" x14ac:dyDescent="0.2">
      <c r="B2915" s="11" t="s">
        <v>2606</v>
      </c>
      <c r="C2915" s="16" t="s">
        <v>44</v>
      </c>
      <c r="D2915" s="6" t="str">
        <f>HYPERLINK("javascript:void(0)","voodoo-kalapács")</f>
        <v>voodoo-kalapács</v>
      </c>
    </row>
    <row r="2916" spans="1:4" ht="12.75" customHeight="1" x14ac:dyDescent="0.2">
      <c r="C2916" s="16" t="s">
        <v>44</v>
      </c>
      <c r="D2916" s="6" t="str">
        <f>HYPERLINK("javascript:void(0)","smaragdtőr")</f>
        <v>smaragdtőr</v>
      </c>
    </row>
    <row r="2917" spans="1:4" ht="12.75" customHeight="1" x14ac:dyDescent="0.2">
      <c r="C2917" s="16" t="s">
        <v>44</v>
      </c>
      <c r="D2917" s="6" t="str">
        <f>HYPERLINK("javascript:void(0)","kristálylap")</f>
        <v>kristálylap</v>
      </c>
    </row>
    <row r="2918" spans="1:4" ht="12.75" customHeight="1" x14ac:dyDescent="0.2">
      <c r="B2918" s="2"/>
      <c r="C2918" s="15"/>
      <c r="D2918" s="2"/>
    </row>
    <row r="2919" spans="1:4" ht="12.75" customHeight="1" x14ac:dyDescent="0.2">
      <c r="B2919" s="2"/>
      <c r="C2919" s="15"/>
      <c r="D2919" s="2"/>
    </row>
    <row r="2920" spans="1:4" ht="12.75" customHeight="1" x14ac:dyDescent="0.2">
      <c r="A2920" s="13" t="s">
        <v>3026</v>
      </c>
      <c r="C2920" s="12"/>
    </row>
    <row r="2921" spans="1:4" ht="12.75" customHeight="1" x14ac:dyDescent="0.2">
      <c r="A2921" s="11"/>
      <c r="B2921" s="2"/>
      <c r="C2921" s="15"/>
      <c r="D2921" s="2"/>
    </row>
    <row r="2922" spans="1:4" ht="12.75" customHeight="1" x14ac:dyDescent="0.2">
      <c r="B2922" s="11" t="s">
        <v>0</v>
      </c>
      <c r="C2922" s="11" t="s">
        <v>221</v>
      </c>
    </row>
    <row r="2923" spans="1:4" ht="12.75" customHeight="1" x14ac:dyDescent="0.2">
      <c r="B2923" s="11" t="s">
        <v>2599</v>
      </c>
      <c r="C2923" s="11" t="s">
        <v>3027</v>
      </c>
    </row>
    <row r="2924" spans="1:4" ht="25.5" customHeight="1" x14ac:dyDescent="0.2">
      <c r="B2924" s="11" t="s">
        <v>2600</v>
      </c>
      <c r="C2924" s="11" t="s">
        <v>3028</v>
      </c>
    </row>
    <row r="2925" spans="1:4" ht="25.5" customHeight="1" x14ac:dyDescent="0.2">
      <c r="B2925" s="11" t="s">
        <v>2601</v>
      </c>
      <c r="C2925" s="11"/>
    </row>
    <row r="2926" spans="1:4" ht="12.75" customHeight="1" x14ac:dyDescent="0.2">
      <c r="B2926" s="11" t="s">
        <v>16</v>
      </c>
      <c r="C2926" s="11"/>
    </row>
    <row r="2927" spans="1:4" ht="12.75" customHeight="1" x14ac:dyDescent="0.2">
      <c r="B2927" s="11" t="s">
        <v>13</v>
      </c>
      <c r="C2927" s="11" t="s">
        <v>2644</v>
      </c>
    </row>
    <row r="2928" spans="1:4" ht="12.75" customHeight="1" x14ac:dyDescent="0.2">
      <c r="B2928" s="11" t="s">
        <v>2603</v>
      </c>
      <c r="C2928" s="11" t="s">
        <v>2604</v>
      </c>
    </row>
    <row r="2929" spans="1:4" ht="12.75" customHeight="1" x14ac:dyDescent="0.2">
      <c r="B2929" s="11" t="s">
        <v>2605</v>
      </c>
      <c r="C2929" s="11" t="s">
        <v>24</v>
      </c>
    </row>
    <row r="2930" spans="1:4" ht="25.5" customHeight="1" x14ac:dyDescent="0.2">
      <c r="B2930" s="11" t="s">
        <v>2606</v>
      </c>
      <c r="C2930" s="16" t="s">
        <v>44</v>
      </c>
      <c r="D2930" s="6" t="str">
        <f>HYPERLINK("javascript:void(0)","sárkánypikkely")</f>
        <v>sárkánypikkely</v>
      </c>
    </row>
    <row r="2931" spans="1:4" ht="12.75" customHeight="1" x14ac:dyDescent="0.2">
      <c r="C2931" s="16" t="s">
        <v>44</v>
      </c>
      <c r="D2931" s="6" t="str">
        <f>HYPERLINK("javascript:void(0)","sárkányfog")</f>
        <v>sárkányfog</v>
      </c>
    </row>
    <row r="2932" spans="1:4" ht="25.5" customHeight="1" x14ac:dyDescent="0.2">
      <c r="C2932" s="16" t="s">
        <v>44</v>
      </c>
      <c r="D2932" s="6" t="str">
        <f>HYPERLINK("javascript:void(0)","sárkánykarom")</f>
        <v>sárkánykarom</v>
      </c>
    </row>
    <row r="2933" spans="1:4" ht="12.75" customHeight="1" x14ac:dyDescent="0.2">
      <c r="B2933" s="2"/>
      <c r="C2933" s="15"/>
      <c r="D2933" s="2"/>
    </row>
    <row r="2934" spans="1:4" ht="12.75" customHeight="1" x14ac:dyDescent="0.2">
      <c r="B2934" s="2"/>
      <c r="C2934" s="15"/>
      <c r="D2934" s="2"/>
    </row>
    <row r="2935" spans="1:4" ht="12.75" customHeight="1" x14ac:dyDescent="0.2">
      <c r="A2935" s="13" t="s">
        <v>3029</v>
      </c>
      <c r="C2935" s="12"/>
    </row>
    <row r="2936" spans="1:4" ht="12.75" customHeight="1" x14ac:dyDescent="0.2">
      <c r="A2936" s="11"/>
      <c r="B2936" s="2"/>
      <c r="C2936" s="15"/>
      <c r="D2936" s="2"/>
    </row>
    <row r="2937" spans="1:4" ht="12.75" customHeight="1" x14ac:dyDescent="0.2">
      <c r="B2937" s="11" t="s">
        <v>0</v>
      </c>
      <c r="C2937" s="11" t="s">
        <v>221</v>
      </c>
    </row>
    <row r="2938" spans="1:4" ht="12.75" customHeight="1" x14ac:dyDescent="0.2">
      <c r="B2938" s="11" t="s">
        <v>2599</v>
      </c>
      <c r="C2938" s="11" t="s">
        <v>2990</v>
      </c>
    </row>
    <row r="2939" spans="1:4" ht="25.5" customHeight="1" x14ac:dyDescent="0.2">
      <c r="B2939" s="11" t="s">
        <v>2600</v>
      </c>
      <c r="C2939" s="11" t="s">
        <v>3030</v>
      </c>
    </row>
    <row r="2940" spans="1:4" ht="25.5" customHeight="1" x14ac:dyDescent="0.2">
      <c r="B2940" s="11" t="s">
        <v>2601</v>
      </c>
      <c r="C2940" s="11"/>
    </row>
    <row r="2941" spans="1:4" ht="12.75" customHeight="1" x14ac:dyDescent="0.2">
      <c r="B2941" s="11" t="s">
        <v>16</v>
      </c>
      <c r="C2941" s="11"/>
    </row>
    <row r="2942" spans="1:4" ht="12.75" customHeight="1" x14ac:dyDescent="0.2">
      <c r="B2942" s="11" t="s">
        <v>13</v>
      </c>
      <c r="C2942" s="11" t="s">
        <v>2602</v>
      </c>
    </row>
    <row r="2943" spans="1:4" ht="12.75" customHeight="1" x14ac:dyDescent="0.2">
      <c r="B2943" s="11" t="s">
        <v>2603</v>
      </c>
      <c r="C2943" s="11" t="s">
        <v>2633</v>
      </c>
    </row>
    <row r="2944" spans="1:4" ht="12.75" customHeight="1" x14ac:dyDescent="0.2">
      <c r="B2944" s="11" t="s">
        <v>2605</v>
      </c>
      <c r="C2944" s="11" t="s">
        <v>24</v>
      </c>
    </row>
    <row r="2945" spans="1:4" ht="25.5" customHeight="1" x14ac:dyDescent="0.2">
      <c r="B2945" s="11" t="s">
        <v>2606</v>
      </c>
      <c r="C2945" s="16" t="s">
        <v>44</v>
      </c>
      <c r="D2945" s="6" t="str">
        <f>HYPERLINK("javascript:void(0)","csillagszurony")</f>
        <v>csillagszurony</v>
      </c>
    </row>
    <row r="2946" spans="1:4" ht="12.75" customHeight="1" x14ac:dyDescent="0.2">
      <c r="B2946" s="2"/>
      <c r="C2946" s="15"/>
      <c r="D2946" s="2"/>
    </row>
    <row r="2947" spans="1:4" ht="12.75" customHeight="1" x14ac:dyDescent="0.2">
      <c r="B2947" s="2"/>
      <c r="C2947" s="15"/>
      <c r="D2947" s="2"/>
    </row>
    <row r="2948" spans="1:4" ht="12.75" customHeight="1" x14ac:dyDescent="0.2">
      <c r="A2948" s="13" t="s">
        <v>3031</v>
      </c>
      <c r="C2948" s="12"/>
    </row>
    <row r="2949" spans="1:4" ht="12.75" customHeight="1" x14ac:dyDescent="0.2">
      <c r="A2949" s="11"/>
      <c r="B2949" s="2"/>
      <c r="C2949" s="15"/>
      <c r="D2949" s="2"/>
    </row>
    <row r="2950" spans="1:4" ht="12.75" customHeight="1" x14ac:dyDescent="0.2">
      <c r="B2950" s="11" t="s">
        <v>0</v>
      </c>
      <c r="C2950" s="11" t="s">
        <v>221</v>
      </c>
    </row>
    <row r="2951" spans="1:4" ht="12.75" customHeight="1" x14ac:dyDescent="0.2">
      <c r="B2951" s="11" t="s">
        <v>2599</v>
      </c>
      <c r="C2951" s="11" t="s">
        <v>3032</v>
      </c>
    </row>
    <row r="2952" spans="1:4" ht="25.5" customHeight="1" x14ac:dyDescent="0.2">
      <c r="B2952" s="11" t="s">
        <v>2600</v>
      </c>
      <c r="C2952" s="11" t="s">
        <v>3033</v>
      </c>
    </row>
    <row r="2953" spans="1:4" ht="25.5" customHeight="1" x14ac:dyDescent="0.2">
      <c r="B2953" s="11" t="s">
        <v>2601</v>
      </c>
      <c r="C2953" s="11"/>
    </row>
    <row r="2954" spans="1:4" ht="12.75" customHeight="1" x14ac:dyDescent="0.2">
      <c r="B2954" s="11" t="s">
        <v>16</v>
      </c>
      <c r="C2954" s="11"/>
    </row>
    <row r="2955" spans="1:4" ht="12.75" customHeight="1" x14ac:dyDescent="0.2">
      <c r="B2955" s="11" t="s">
        <v>13</v>
      </c>
      <c r="C2955" s="11" t="s">
        <v>2644</v>
      </c>
    </row>
    <row r="2956" spans="1:4" ht="12.75" customHeight="1" x14ac:dyDescent="0.2">
      <c r="B2956" s="11" t="s">
        <v>2603</v>
      </c>
      <c r="C2956" s="11" t="s">
        <v>2604</v>
      </c>
    </row>
    <row r="2957" spans="1:4" ht="12.75" customHeight="1" x14ac:dyDescent="0.2">
      <c r="B2957" s="11" t="s">
        <v>2605</v>
      </c>
      <c r="C2957" s="11" t="s">
        <v>24</v>
      </c>
    </row>
    <row r="2958" spans="1:4" ht="12.75" customHeight="1" x14ac:dyDescent="0.2">
      <c r="B2958" s="11" t="s">
        <v>2606</v>
      </c>
      <c r="C2958" s="16" t="s">
        <v>77</v>
      </c>
      <c r="D2958" s="6" t="str">
        <f>HYPERLINK("javascript:void(0)","gyíkbőr")</f>
        <v>gyíkbőr</v>
      </c>
    </row>
    <row r="2959" spans="1:4" ht="12.75" customHeight="1" x14ac:dyDescent="0.2">
      <c r="B2959" s="2"/>
      <c r="C2959" s="15"/>
      <c r="D2959" s="2"/>
    </row>
    <row r="2960" spans="1:4" ht="12.75" customHeight="1" x14ac:dyDescent="0.2">
      <c r="B2960" s="2"/>
      <c r="C2960" s="15"/>
      <c r="D2960" s="2"/>
    </row>
    <row r="2961" spans="1:4" ht="12.75" customHeight="1" x14ac:dyDescent="0.2">
      <c r="A2961" s="13" t="s">
        <v>3034</v>
      </c>
      <c r="C2961" s="12"/>
    </row>
    <row r="2962" spans="1:4" ht="12.75" customHeight="1" x14ac:dyDescent="0.2">
      <c r="A2962" s="11"/>
      <c r="B2962" s="2"/>
      <c r="C2962" s="15"/>
      <c r="D2962" s="2"/>
    </row>
    <row r="2963" spans="1:4" ht="12.75" customHeight="1" x14ac:dyDescent="0.2">
      <c r="B2963" s="11" t="s">
        <v>0</v>
      </c>
      <c r="C2963" s="11" t="s">
        <v>221</v>
      </c>
    </row>
    <row r="2964" spans="1:4" ht="12.75" customHeight="1" x14ac:dyDescent="0.2">
      <c r="B2964" s="11" t="s">
        <v>2599</v>
      </c>
      <c r="C2964" s="11" t="s">
        <v>338</v>
      </c>
    </row>
    <row r="2965" spans="1:4" ht="25.5" customHeight="1" x14ac:dyDescent="0.2">
      <c r="B2965" s="11" t="s">
        <v>2600</v>
      </c>
      <c r="C2965" s="11" t="s">
        <v>3035</v>
      </c>
    </row>
    <row r="2966" spans="1:4" ht="25.5" customHeight="1" x14ac:dyDescent="0.2">
      <c r="B2966" s="11" t="s">
        <v>2601</v>
      </c>
      <c r="C2966" s="11"/>
    </row>
    <row r="2967" spans="1:4" ht="12.75" customHeight="1" x14ac:dyDescent="0.2">
      <c r="B2967" s="11" t="s">
        <v>16</v>
      </c>
      <c r="C2967" s="11"/>
    </row>
    <row r="2968" spans="1:4" ht="12.75" customHeight="1" x14ac:dyDescent="0.2">
      <c r="B2968" s="11" t="s">
        <v>13</v>
      </c>
      <c r="C2968" s="11" t="s">
        <v>2644</v>
      </c>
    </row>
    <row r="2969" spans="1:4" ht="12.75" customHeight="1" x14ac:dyDescent="0.2">
      <c r="B2969" s="11" t="s">
        <v>2603</v>
      </c>
      <c r="C2969" s="11" t="s">
        <v>2604</v>
      </c>
    </row>
    <row r="2970" spans="1:4" ht="12.75" customHeight="1" x14ac:dyDescent="0.2">
      <c r="B2970" s="11" t="s">
        <v>2605</v>
      </c>
      <c r="C2970" s="11" t="s">
        <v>24</v>
      </c>
    </row>
    <row r="2971" spans="1:4" ht="25.5" customHeight="1" x14ac:dyDescent="0.2">
      <c r="B2971" s="11" t="s">
        <v>2606</v>
      </c>
      <c r="C2971" s="16" t="s">
        <v>44</v>
      </c>
      <c r="D2971" s="6" t="str">
        <f>HYPERLINK("javascript:void(0)","sárkánypikkely")</f>
        <v>sárkánypikkely</v>
      </c>
    </row>
    <row r="2972" spans="1:4" ht="12.75" customHeight="1" x14ac:dyDescent="0.2">
      <c r="C2972" s="16" t="s">
        <v>44</v>
      </c>
      <c r="D2972" s="6" t="str">
        <f>HYPERLINK("javascript:void(0)","sárkányfog")</f>
        <v>sárkányfog</v>
      </c>
    </row>
    <row r="2973" spans="1:4" ht="25.5" customHeight="1" x14ac:dyDescent="0.2">
      <c r="C2973" s="16" t="s">
        <v>44</v>
      </c>
      <c r="D2973" s="6" t="str">
        <f>HYPERLINK("javascript:void(0)","sárkánykarom")</f>
        <v>sárkánykarom</v>
      </c>
    </row>
    <row r="2974" spans="1:4" ht="12.75" customHeight="1" x14ac:dyDescent="0.2">
      <c r="B2974" s="2"/>
      <c r="C2974" s="15"/>
      <c r="D2974" s="2"/>
    </row>
    <row r="2975" spans="1:4" ht="12.75" customHeight="1" x14ac:dyDescent="0.2">
      <c r="B2975" s="2"/>
      <c r="C2975" s="15"/>
      <c r="D2975" s="2"/>
    </row>
    <row r="2976" spans="1:4" ht="12.75" customHeight="1" x14ac:dyDescent="0.2">
      <c r="A2976" s="13" t="s">
        <v>2968</v>
      </c>
      <c r="C2976" s="12"/>
      <c r="D2976" s="2"/>
    </row>
    <row r="2977" spans="1:4" ht="12.75" customHeight="1" x14ac:dyDescent="0.2">
      <c r="A2977" s="11"/>
      <c r="B2977" s="2"/>
      <c r="C2977" s="15"/>
      <c r="D2977" s="2"/>
    </row>
    <row r="2978" spans="1:4" ht="12.75" customHeight="1" x14ac:dyDescent="0.2">
      <c r="B2978" s="11" t="s">
        <v>0</v>
      </c>
      <c r="C2978" s="17" t="s">
        <v>157</v>
      </c>
      <c r="D2978" s="2"/>
    </row>
    <row r="2979" spans="1:4" ht="12.75" customHeight="1" x14ac:dyDescent="0.2">
      <c r="B2979" s="11" t="s">
        <v>2599</v>
      </c>
      <c r="C2979" s="17" t="s">
        <v>2969</v>
      </c>
      <c r="D2979" s="2"/>
    </row>
    <row r="2980" spans="1:4" ht="25.5" customHeight="1" x14ac:dyDescent="0.2">
      <c r="B2980" s="11" t="s">
        <v>2600</v>
      </c>
      <c r="C2980" s="17" t="s">
        <v>3036</v>
      </c>
      <c r="D2980" s="2"/>
    </row>
    <row r="2981" spans="1:4" ht="25.5" customHeight="1" x14ac:dyDescent="0.2">
      <c r="B2981" s="11" t="s">
        <v>2601</v>
      </c>
      <c r="C2981" s="17"/>
      <c r="D2981" s="2"/>
    </row>
    <row r="2982" spans="1:4" ht="12.75" customHeight="1" x14ac:dyDescent="0.2">
      <c r="B2982" s="11" t="s">
        <v>16</v>
      </c>
      <c r="C2982" s="17"/>
      <c r="D2982" s="2"/>
    </row>
    <row r="2983" spans="1:4" ht="12.75" customHeight="1" x14ac:dyDescent="0.2">
      <c r="B2983" s="11" t="s">
        <v>13</v>
      </c>
      <c r="C2983" s="17" t="s">
        <v>2644</v>
      </c>
      <c r="D2983" s="2"/>
    </row>
    <row r="2984" spans="1:4" ht="25.5" customHeight="1" x14ac:dyDescent="0.2">
      <c r="B2984" s="11" t="s">
        <v>2603</v>
      </c>
      <c r="C2984" s="17" t="s">
        <v>2971</v>
      </c>
      <c r="D2984" s="2"/>
    </row>
    <row r="2985" spans="1:4" ht="12.75" customHeight="1" x14ac:dyDescent="0.2">
      <c r="B2985" s="11" t="s">
        <v>2605</v>
      </c>
      <c r="C2985" s="17" t="s">
        <v>14</v>
      </c>
      <c r="D2985" s="2"/>
    </row>
    <row r="2986" spans="1:4" ht="12.75" customHeight="1" x14ac:dyDescent="0.2">
      <c r="B2986" s="11" t="s">
        <v>2606</v>
      </c>
      <c r="C2986" s="16" t="s">
        <v>19</v>
      </c>
      <c r="D2986" s="2"/>
    </row>
    <row r="2987" spans="1:4" ht="12.75" customHeight="1" x14ac:dyDescent="0.2">
      <c r="B2987" s="2"/>
      <c r="C2987" s="15"/>
      <c r="D2987" s="2"/>
    </row>
    <row r="2988" spans="1:4" ht="12.75" customHeight="1" x14ac:dyDescent="0.2">
      <c r="B2988" s="2"/>
      <c r="C2988" s="15"/>
      <c r="D2988" s="2"/>
    </row>
    <row r="2989" spans="1:4" ht="12.75" customHeight="1" x14ac:dyDescent="0.2">
      <c r="A2989" s="13" t="s">
        <v>3037</v>
      </c>
      <c r="C2989" s="12"/>
      <c r="D2989" s="2"/>
    </row>
    <row r="2990" spans="1:4" ht="12.75" customHeight="1" x14ac:dyDescent="0.2">
      <c r="A2990" s="11"/>
      <c r="B2990" s="2"/>
      <c r="C2990" s="15"/>
      <c r="D2990" s="2"/>
    </row>
    <row r="2991" spans="1:4" ht="12.75" customHeight="1" x14ac:dyDescent="0.2">
      <c r="B2991" s="11" t="s">
        <v>0</v>
      </c>
      <c r="C2991" s="17" t="s">
        <v>157</v>
      </c>
      <c r="D2991" s="2"/>
    </row>
    <row r="2992" spans="1:4" ht="12.75" customHeight="1" x14ac:dyDescent="0.2">
      <c r="B2992" s="11" t="s">
        <v>2599</v>
      </c>
      <c r="C2992" s="17" t="s">
        <v>3038</v>
      </c>
      <c r="D2992" s="2"/>
    </row>
    <row r="2993" spans="1:4" ht="25.5" customHeight="1" x14ac:dyDescent="0.2">
      <c r="B2993" s="11" t="s">
        <v>2600</v>
      </c>
      <c r="C2993" s="17" t="s">
        <v>3039</v>
      </c>
      <c r="D2993" s="2"/>
    </row>
    <row r="2994" spans="1:4" ht="25.5" customHeight="1" x14ac:dyDescent="0.2">
      <c r="B2994" s="11" t="s">
        <v>2601</v>
      </c>
      <c r="C2994" s="17"/>
      <c r="D2994" s="2"/>
    </row>
    <row r="2995" spans="1:4" ht="12.75" customHeight="1" x14ac:dyDescent="0.2">
      <c r="B2995" s="11" t="s">
        <v>16</v>
      </c>
      <c r="C2995" s="17"/>
      <c r="D2995" s="2"/>
    </row>
    <row r="2996" spans="1:4" ht="12.75" customHeight="1" x14ac:dyDescent="0.2">
      <c r="B2996" s="11" t="s">
        <v>13</v>
      </c>
      <c r="C2996" s="17" t="s">
        <v>2644</v>
      </c>
      <c r="D2996" s="2"/>
    </row>
    <row r="2997" spans="1:4" ht="12.75" customHeight="1" x14ac:dyDescent="0.2">
      <c r="B2997" s="11" t="s">
        <v>2603</v>
      </c>
      <c r="C2997" s="17" t="s">
        <v>128</v>
      </c>
      <c r="D2997" s="2"/>
    </row>
    <row r="2998" spans="1:4" ht="12.75" customHeight="1" x14ac:dyDescent="0.2">
      <c r="B2998" s="11" t="s">
        <v>2605</v>
      </c>
      <c r="C2998" s="17" t="s">
        <v>14</v>
      </c>
      <c r="D2998" s="2"/>
    </row>
    <row r="2999" spans="1:4" ht="12.75" customHeight="1" x14ac:dyDescent="0.2">
      <c r="B2999" s="11" t="s">
        <v>2606</v>
      </c>
      <c r="C2999" s="16" t="s">
        <v>19</v>
      </c>
      <c r="D2999" s="2"/>
    </row>
    <row r="3000" spans="1:4" ht="12.75" customHeight="1" x14ac:dyDescent="0.2">
      <c r="B3000" s="2"/>
      <c r="C3000" s="15"/>
      <c r="D3000" s="2"/>
    </row>
    <row r="3001" spans="1:4" ht="12.75" customHeight="1" x14ac:dyDescent="0.2">
      <c r="B3001" s="2"/>
      <c r="C3001" s="15"/>
      <c r="D3001" s="2"/>
    </row>
    <row r="3002" spans="1:4" ht="12.75" customHeight="1" x14ac:dyDescent="0.2">
      <c r="A3002" s="13" t="s">
        <v>3040</v>
      </c>
      <c r="C3002" s="12"/>
    </row>
    <row r="3003" spans="1:4" ht="12.75" customHeight="1" x14ac:dyDescent="0.2">
      <c r="A3003" s="11"/>
      <c r="B3003" s="2"/>
      <c r="C3003" s="15"/>
      <c r="D3003" s="2"/>
    </row>
    <row r="3004" spans="1:4" ht="12.75" customHeight="1" x14ac:dyDescent="0.2">
      <c r="B3004" s="11" t="s">
        <v>0</v>
      </c>
      <c r="C3004" s="11" t="s">
        <v>157</v>
      </c>
    </row>
    <row r="3005" spans="1:4" ht="12.75" customHeight="1" x14ac:dyDescent="0.2">
      <c r="B3005" s="11" t="s">
        <v>2599</v>
      </c>
      <c r="C3005" s="11" t="s">
        <v>3041</v>
      </c>
    </row>
    <row r="3006" spans="1:4" ht="25.5" customHeight="1" x14ac:dyDescent="0.2">
      <c r="B3006" s="11" t="s">
        <v>2600</v>
      </c>
      <c r="C3006" s="11" t="s">
        <v>3042</v>
      </c>
    </row>
    <row r="3007" spans="1:4" ht="25.5" customHeight="1" x14ac:dyDescent="0.2">
      <c r="B3007" s="11" t="s">
        <v>2601</v>
      </c>
      <c r="C3007" s="11"/>
    </row>
    <row r="3008" spans="1:4" ht="12.75" customHeight="1" x14ac:dyDescent="0.2">
      <c r="B3008" s="11" t="s">
        <v>16</v>
      </c>
      <c r="C3008" s="11"/>
    </row>
    <row r="3009" spans="1:4" ht="12.75" customHeight="1" x14ac:dyDescent="0.2">
      <c r="B3009" s="11" t="s">
        <v>13</v>
      </c>
      <c r="C3009" s="11" t="s">
        <v>2644</v>
      </c>
    </row>
    <row r="3010" spans="1:4" ht="12.75" customHeight="1" x14ac:dyDescent="0.2">
      <c r="B3010" s="11" t="s">
        <v>2603</v>
      </c>
      <c r="C3010" s="11" t="s">
        <v>2604</v>
      </c>
    </row>
    <row r="3011" spans="1:4" ht="12.75" customHeight="1" x14ac:dyDescent="0.2">
      <c r="B3011" s="11" t="s">
        <v>2605</v>
      </c>
      <c r="C3011" s="11" t="s">
        <v>24</v>
      </c>
    </row>
    <row r="3012" spans="1:4" ht="12.75" customHeight="1" x14ac:dyDescent="0.2">
      <c r="B3012" s="11" t="s">
        <v>2606</v>
      </c>
      <c r="C3012" s="16" t="s">
        <v>67</v>
      </c>
      <c r="D3012" s="6" t="str">
        <f>HYPERLINK("javascript:void(0)","süntüske")</f>
        <v>süntüske</v>
      </c>
    </row>
    <row r="3013" spans="1:4" ht="12.75" customHeight="1" x14ac:dyDescent="0.2">
      <c r="C3013" s="16" t="s">
        <v>44</v>
      </c>
      <c r="D3013" s="6" t="str">
        <f>HYPERLINK("javascript:void(0)","diszprózium")</f>
        <v>diszprózium</v>
      </c>
    </row>
    <row r="3014" spans="1:4" ht="12.75" customHeight="1" x14ac:dyDescent="0.2">
      <c r="B3014" s="2"/>
      <c r="C3014" s="15"/>
      <c r="D3014" s="2"/>
    </row>
    <row r="3015" spans="1:4" ht="12.75" customHeight="1" x14ac:dyDescent="0.2">
      <c r="B3015" s="2"/>
      <c r="C3015" s="15"/>
      <c r="D3015" s="2"/>
    </row>
    <row r="3016" spans="1:4" ht="12.75" customHeight="1" x14ac:dyDescent="0.2">
      <c r="A3016" s="13" t="s">
        <v>3043</v>
      </c>
      <c r="C3016" s="12"/>
    </row>
    <row r="3017" spans="1:4" ht="12.75" customHeight="1" x14ac:dyDescent="0.2">
      <c r="A3017" s="11"/>
      <c r="B3017" s="2"/>
      <c r="C3017" s="15"/>
      <c r="D3017" s="2"/>
    </row>
    <row r="3018" spans="1:4" ht="12.75" customHeight="1" x14ac:dyDescent="0.2">
      <c r="B3018" s="11" t="s">
        <v>0</v>
      </c>
      <c r="C3018" s="11" t="s">
        <v>157</v>
      </c>
    </row>
    <row r="3019" spans="1:4" ht="12.75" customHeight="1" x14ac:dyDescent="0.2">
      <c r="B3019" s="11" t="s">
        <v>2599</v>
      </c>
      <c r="C3019" s="11" t="s">
        <v>3044</v>
      </c>
    </row>
    <row r="3020" spans="1:4" ht="25.5" customHeight="1" x14ac:dyDescent="0.2">
      <c r="B3020" s="11" t="s">
        <v>2600</v>
      </c>
      <c r="C3020" s="11" t="s">
        <v>3045</v>
      </c>
    </row>
    <row r="3021" spans="1:4" ht="25.5" customHeight="1" x14ac:dyDescent="0.2">
      <c r="B3021" s="11" t="s">
        <v>2601</v>
      </c>
      <c r="C3021" s="11"/>
    </row>
    <row r="3022" spans="1:4" ht="12.75" customHeight="1" x14ac:dyDescent="0.2">
      <c r="B3022" s="11" t="s">
        <v>16</v>
      </c>
      <c r="C3022" s="11"/>
    </row>
    <row r="3023" spans="1:4" ht="12.75" customHeight="1" x14ac:dyDescent="0.2">
      <c r="B3023" s="11" t="s">
        <v>13</v>
      </c>
      <c r="C3023" s="11" t="s">
        <v>2644</v>
      </c>
    </row>
    <row r="3024" spans="1:4" ht="12.75" customHeight="1" x14ac:dyDescent="0.2">
      <c r="B3024" s="11" t="s">
        <v>2603</v>
      </c>
      <c r="C3024" s="11" t="s">
        <v>2642</v>
      </c>
    </row>
    <row r="3025" spans="1:4" ht="12.75" customHeight="1" x14ac:dyDescent="0.2">
      <c r="B3025" s="11" t="s">
        <v>2605</v>
      </c>
      <c r="C3025" s="11" t="s">
        <v>24</v>
      </c>
    </row>
    <row r="3026" spans="1:4" ht="25.5" customHeight="1" x14ac:dyDescent="0.2">
      <c r="B3026" s="11" t="s">
        <v>2606</v>
      </c>
      <c r="C3026" s="16" t="s">
        <v>232</v>
      </c>
      <c r="D3026" s="6" t="str">
        <f>HYPERLINK("javascript:void(0)","szemgyöngy")</f>
        <v>szemgyöngy</v>
      </c>
    </row>
    <row r="3027" spans="1:4" ht="12.75" customHeight="1" x14ac:dyDescent="0.2">
      <c r="B3027" s="2"/>
      <c r="C3027" s="15"/>
      <c r="D3027" s="2"/>
    </row>
    <row r="3028" spans="1:4" ht="12.75" customHeight="1" x14ac:dyDescent="0.2">
      <c r="B3028" s="2"/>
      <c r="C3028" s="15"/>
      <c r="D3028" s="2"/>
    </row>
    <row r="3029" spans="1:4" ht="12.75" customHeight="1" x14ac:dyDescent="0.2">
      <c r="A3029" s="13" t="s">
        <v>3046</v>
      </c>
      <c r="C3029" s="12"/>
    </row>
    <row r="3030" spans="1:4" ht="12.75" customHeight="1" x14ac:dyDescent="0.2">
      <c r="A3030" s="11"/>
      <c r="B3030" s="2"/>
      <c r="C3030" s="15"/>
      <c r="D3030" s="2"/>
    </row>
    <row r="3031" spans="1:4" ht="12.75" customHeight="1" x14ac:dyDescent="0.2">
      <c r="B3031" s="11" t="s">
        <v>0</v>
      </c>
      <c r="C3031" s="11" t="s">
        <v>157</v>
      </c>
    </row>
    <row r="3032" spans="1:4" ht="12.75" customHeight="1" x14ac:dyDescent="0.2">
      <c r="B3032" s="11" t="s">
        <v>2599</v>
      </c>
      <c r="C3032" s="11" t="s">
        <v>558</v>
      </c>
    </row>
    <row r="3033" spans="1:4" ht="25.5" customHeight="1" x14ac:dyDescent="0.2">
      <c r="B3033" s="11" t="s">
        <v>2600</v>
      </c>
      <c r="C3033" s="11" t="s">
        <v>3047</v>
      </c>
    </row>
    <row r="3034" spans="1:4" ht="25.5" customHeight="1" x14ac:dyDescent="0.2">
      <c r="B3034" s="11" t="s">
        <v>2601</v>
      </c>
      <c r="C3034" s="11"/>
    </row>
    <row r="3035" spans="1:4" ht="12.75" customHeight="1" x14ac:dyDescent="0.2">
      <c r="B3035" s="11" t="s">
        <v>16</v>
      </c>
      <c r="C3035" s="11"/>
    </row>
    <row r="3036" spans="1:4" ht="12.75" customHeight="1" x14ac:dyDescent="0.2">
      <c r="B3036" s="11" t="s">
        <v>13</v>
      </c>
      <c r="C3036" s="11" t="s">
        <v>2644</v>
      </c>
    </row>
    <row r="3037" spans="1:4" ht="12.75" customHeight="1" x14ac:dyDescent="0.2">
      <c r="B3037" s="11" t="s">
        <v>2603</v>
      </c>
      <c r="C3037" s="11" t="s">
        <v>2604</v>
      </c>
    </row>
    <row r="3038" spans="1:4" ht="12.75" customHeight="1" x14ac:dyDescent="0.2">
      <c r="B3038" s="11" t="s">
        <v>2605</v>
      </c>
      <c r="C3038" s="11" t="s">
        <v>24</v>
      </c>
    </row>
    <row r="3039" spans="1:4" ht="25.5" customHeight="1" x14ac:dyDescent="0.2">
      <c r="B3039" s="11" t="s">
        <v>2606</v>
      </c>
      <c r="C3039" s="16" t="s">
        <v>44</v>
      </c>
      <c r="D3039" s="6" t="str">
        <f>HYPERLINK("javascript:void(0)","szemgyöngy")</f>
        <v>szemgyöngy</v>
      </c>
    </row>
    <row r="3040" spans="1:4" ht="12.75" customHeight="1" x14ac:dyDescent="0.2">
      <c r="B3040" s="2"/>
      <c r="C3040" s="15"/>
      <c r="D3040" s="2"/>
    </row>
    <row r="3041" spans="1:4" ht="12.75" customHeight="1" x14ac:dyDescent="0.2">
      <c r="B3041" s="2"/>
      <c r="C3041" s="15"/>
      <c r="D3041" s="2"/>
    </row>
    <row r="3042" spans="1:4" ht="12.75" customHeight="1" x14ac:dyDescent="0.2">
      <c r="A3042" s="13" t="s">
        <v>3048</v>
      </c>
      <c r="C3042" s="12"/>
    </row>
    <row r="3043" spans="1:4" ht="12.75" customHeight="1" x14ac:dyDescent="0.2">
      <c r="A3043" s="11"/>
      <c r="B3043" s="2"/>
      <c r="C3043" s="15"/>
      <c r="D3043" s="2"/>
    </row>
    <row r="3044" spans="1:4" ht="12.75" customHeight="1" x14ac:dyDescent="0.2">
      <c r="B3044" s="11" t="s">
        <v>0</v>
      </c>
      <c r="C3044" s="11" t="s">
        <v>157</v>
      </c>
    </row>
    <row r="3045" spans="1:4" ht="12.75" customHeight="1" x14ac:dyDescent="0.2">
      <c r="B3045" s="11" t="s">
        <v>2599</v>
      </c>
      <c r="C3045" s="11" t="s">
        <v>3049</v>
      </c>
    </row>
    <row r="3046" spans="1:4" ht="25.5" customHeight="1" x14ac:dyDescent="0.2">
      <c r="B3046" s="11" t="s">
        <v>2600</v>
      </c>
      <c r="C3046" s="11" t="s">
        <v>3050</v>
      </c>
    </row>
    <row r="3047" spans="1:4" ht="25.5" customHeight="1" x14ac:dyDescent="0.2">
      <c r="B3047" s="11" t="s">
        <v>2601</v>
      </c>
      <c r="C3047" s="11"/>
    </row>
    <row r="3048" spans="1:4" ht="12.75" customHeight="1" x14ac:dyDescent="0.2">
      <c r="B3048" s="11" t="s">
        <v>16</v>
      </c>
      <c r="C3048" s="11"/>
    </row>
    <row r="3049" spans="1:4" ht="12.75" customHeight="1" x14ac:dyDescent="0.2">
      <c r="B3049" s="11" t="s">
        <v>13</v>
      </c>
      <c r="C3049" s="11" t="s">
        <v>2602</v>
      </c>
    </row>
    <row r="3050" spans="1:4" ht="12.75" customHeight="1" x14ac:dyDescent="0.2">
      <c r="B3050" s="11" t="s">
        <v>2603</v>
      </c>
      <c r="C3050" s="11" t="s">
        <v>2642</v>
      </c>
    </row>
    <row r="3051" spans="1:4" ht="12.75" customHeight="1" x14ac:dyDescent="0.2">
      <c r="B3051" s="11" t="s">
        <v>2605</v>
      </c>
      <c r="C3051" s="11" t="s">
        <v>24</v>
      </c>
    </row>
    <row r="3052" spans="1:4" ht="12.75" customHeight="1" x14ac:dyDescent="0.2">
      <c r="B3052" s="11" t="s">
        <v>2606</v>
      </c>
      <c r="C3052" s="16" t="s">
        <v>232</v>
      </c>
      <c r="D3052" s="6" t="str">
        <f>HYPERLINK("javascript:void(0)","halcsont")</f>
        <v>halcsont</v>
      </c>
    </row>
    <row r="3053" spans="1:4" ht="12.75" customHeight="1" x14ac:dyDescent="0.2">
      <c r="B3053" s="2"/>
      <c r="C3053" s="15"/>
      <c r="D3053" s="2"/>
    </row>
    <row r="3054" spans="1:4" ht="12.75" customHeight="1" x14ac:dyDescent="0.2">
      <c r="B3054" s="2"/>
      <c r="C3054" s="15"/>
      <c r="D3054" s="2"/>
    </row>
    <row r="3055" spans="1:4" ht="12.75" customHeight="1" x14ac:dyDescent="0.2">
      <c r="A3055" s="13" t="s">
        <v>3051</v>
      </c>
      <c r="C3055" s="12"/>
    </row>
    <row r="3056" spans="1:4" ht="12.75" customHeight="1" x14ac:dyDescent="0.2">
      <c r="A3056" s="11"/>
      <c r="B3056" s="2"/>
      <c r="C3056" s="15"/>
      <c r="D3056" s="2"/>
    </row>
    <row r="3057" spans="1:4" ht="12.75" customHeight="1" x14ac:dyDescent="0.2">
      <c r="B3057" s="11" t="s">
        <v>0</v>
      </c>
      <c r="C3057" s="11" t="s">
        <v>157</v>
      </c>
    </row>
    <row r="3058" spans="1:4" ht="12.75" customHeight="1" x14ac:dyDescent="0.2">
      <c r="B3058" s="11" t="s">
        <v>2599</v>
      </c>
      <c r="C3058" s="11" t="s">
        <v>1850</v>
      </c>
    </row>
    <row r="3059" spans="1:4" ht="25.5" customHeight="1" x14ac:dyDescent="0.2">
      <c r="B3059" s="11" t="s">
        <v>2600</v>
      </c>
      <c r="C3059" s="11" t="s">
        <v>3052</v>
      </c>
    </row>
    <row r="3060" spans="1:4" ht="25.5" customHeight="1" x14ac:dyDescent="0.2">
      <c r="B3060" s="11" t="s">
        <v>2601</v>
      </c>
      <c r="C3060" s="11"/>
    </row>
    <row r="3061" spans="1:4" ht="12.75" customHeight="1" x14ac:dyDescent="0.2">
      <c r="B3061" s="11" t="s">
        <v>16</v>
      </c>
      <c r="C3061" s="11"/>
    </row>
    <row r="3062" spans="1:4" ht="12.75" customHeight="1" x14ac:dyDescent="0.2">
      <c r="B3062" s="11" t="s">
        <v>13</v>
      </c>
      <c r="C3062" s="11" t="s">
        <v>2602</v>
      </c>
    </row>
    <row r="3063" spans="1:4" ht="12.75" customHeight="1" x14ac:dyDescent="0.2">
      <c r="B3063" s="11" t="s">
        <v>2603</v>
      </c>
      <c r="C3063" s="11" t="s">
        <v>2604</v>
      </c>
    </row>
    <row r="3064" spans="1:4" ht="12.75" customHeight="1" x14ac:dyDescent="0.2">
      <c r="B3064" s="11" t="s">
        <v>2605</v>
      </c>
      <c r="C3064" s="11" t="s">
        <v>24</v>
      </c>
    </row>
    <row r="3065" spans="1:4" ht="12.75" customHeight="1" x14ac:dyDescent="0.2">
      <c r="B3065" s="11" t="s">
        <v>2606</v>
      </c>
      <c r="C3065" s="16" t="s">
        <v>55</v>
      </c>
      <c r="D3065" s="6" t="str">
        <f>HYPERLINK("javascript:void(0)","ezüst patkó")</f>
        <v>ezüst patkó</v>
      </c>
    </row>
    <row r="3066" spans="1:4" ht="25.5" customHeight="1" x14ac:dyDescent="0.2">
      <c r="C3066" s="16" t="s">
        <v>44</v>
      </c>
      <c r="D3066" s="6" t="str">
        <f>HYPERLINK("javascript:void(0)","hidracél kard")</f>
        <v>hidracél kard</v>
      </c>
    </row>
    <row r="3067" spans="1:4" ht="12.75" customHeight="1" x14ac:dyDescent="0.2">
      <c r="B3067" s="2"/>
      <c r="C3067" s="15"/>
      <c r="D3067" s="2"/>
    </row>
    <row r="3068" spans="1:4" ht="12.75" customHeight="1" x14ac:dyDescent="0.2">
      <c r="B3068" s="2"/>
      <c r="C3068" s="15"/>
      <c r="D3068" s="2"/>
    </row>
    <row r="3069" spans="1:4" ht="12.75" customHeight="1" x14ac:dyDescent="0.2">
      <c r="A3069" s="13" t="s">
        <v>3053</v>
      </c>
      <c r="C3069" s="12"/>
    </row>
    <row r="3070" spans="1:4" ht="12.75" customHeight="1" x14ac:dyDescent="0.2">
      <c r="A3070" s="11"/>
      <c r="B3070" s="2"/>
      <c r="C3070" s="15"/>
      <c r="D3070" s="2"/>
    </row>
    <row r="3071" spans="1:4" ht="12.75" customHeight="1" x14ac:dyDescent="0.2">
      <c r="B3071" s="11" t="s">
        <v>0</v>
      </c>
      <c r="C3071" s="11" t="s">
        <v>157</v>
      </c>
    </row>
    <row r="3072" spans="1:4" ht="12.75" customHeight="1" x14ac:dyDescent="0.2">
      <c r="B3072" s="11" t="s">
        <v>2599</v>
      </c>
      <c r="C3072" s="11" t="s">
        <v>3054</v>
      </c>
    </row>
    <row r="3073" spans="1:4" ht="25.5" customHeight="1" x14ac:dyDescent="0.2">
      <c r="B3073" s="11" t="s">
        <v>2600</v>
      </c>
      <c r="C3073" s="11" t="s">
        <v>3055</v>
      </c>
    </row>
    <row r="3074" spans="1:4" ht="25.5" customHeight="1" x14ac:dyDescent="0.2">
      <c r="B3074" s="11" t="s">
        <v>2601</v>
      </c>
      <c r="C3074" s="11"/>
    </row>
    <row r="3075" spans="1:4" ht="12.75" customHeight="1" x14ac:dyDescent="0.2">
      <c r="B3075" s="11" t="s">
        <v>16</v>
      </c>
      <c r="C3075" s="11"/>
    </row>
    <row r="3076" spans="1:4" ht="12.75" customHeight="1" x14ac:dyDescent="0.2">
      <c r="B3076" s="11" t="s">
        <v>13</v>
      </c>
      <c r="C3076" s="11" t="s">
        <v>2602</v>
      </c>
    </row>
    <row r="3077" spans="1:4" ht="12.75" customHeight="1" x14ac:dyDescent="0.2">
      <c r="B3077" s="11" t="s">
        <v>2603</v>
      </c>
      <c r="C3077" s="11" t="s">
        <v>2642</v>
      </c>
    </row>
    <row r="3078" spans="1:4" ht="12.75" customHeight="1" x14ac:dyDescent="0.2">
      <c r="B3078" s="11" t="s">
        <v>2605</v>
      </c>
      <c r="C3078" s="11" t="s">
        <v>24</v>
      </c>
    </row>
    <row r="3079" spans="1:4" ht="12.75" customHeight="1" x14ac:dyDescent="0.2">
      <c r="B3079" s="11" t="s">
        <v>2606</v>
      </c>
      <c r="C3079" s="16" t="s">
        <v>232</v>
      </c>
      <c r="D3079" s="6" t="str">
        <f>HYPERLINK("javascript:void(0)","halcsont")</f>
        <v>halcsont</v>
      </c>
    </row>
    <row r="3080" spans="1:4" ht="12.75" customHeight="1" x14ac:dyDescent="0.2">
      <c r="B3080" s="2"/>
      <c r="C3080" s="15"/>
      <c r="D3080" s="2"/>
    </row>
    <row r="3081" spans="1:4" ht="12.75" customHeight="1" x14ac:dyDescent="0.2">
      <c r="B3081" s="2"/>
      <c r="C3081" s="15"/>
      <c r="D3081" s="2"/>
    </row>
    <row r="3082" spans="1:4" ht="12.75" customHeight="1" x14ac:dyDescent="0.2">
      <c r="A3082" s="13" t="s">
        <v>3056</v>
      </c>
      <c r="C3082" s="12"/>
    </row>
    <row r="3083" spans="1:4" ht="12.75" customHeight="1" x14ac:dyDescent="0.2">
      <c r="A3083" s="11"/>
      <c r="B3083" s="2"/>
      <c r="C3083" s="15"/>
      <c r="D3083" s="2"/>
    </row>
    <row r="3084" spans="1:4" ht="12.75" customHeight="1" x14ac:dyDescent="0.2">
      <c r="B3084" s="11" t="s">
        <v>0</v>
      </c>
      <c r="C3084" s="11" t="s">
        <v>157</v>
      </c>
    </row>
    <row r="3085" spans="1:4" ht="12.75" customHeight="1" x14ac:dyDescent="0.2">
      <c r="B3085" s="11" t="s">
        <v>2599</v>
      </c>
      <c r="C3085" s="11" t="s">
        <v>2493</v>
      </c>
    </row>
    <row r="3086" spans="1:4" ht="25.5" customHeight="1" x14ac:dyDescent="0.2">
      <c r="B3086" s="11" t="s">
        <v>2600</v>
      </c>
      <c r="C3086" s="11" t="s">
        <v>3057</v>
      </c>
    </row>
    <row r="3087" spans="1:4" ht="25.5" customHeight="1" x14ac:dyDescent="0.2">
      <c r="B3087" s="11" t="s">
        <v>2601</v>
      </c>
      <c r="C3087" s="11"/>
    </row>
    <row r="3088" spans="1:4" ht="12.75" customHeight="1" x14ac:dyDescent="0.2">
      <c r="B3088" s="11" t="s">
        <v>16</v>
      </c>
      <c r="C3088" s="11"/>
    </row>
    <row r="3089" spans="1:4" ht="12.75" customHeight="1" x14ac:dyDescent="0.2">
      <c r="B3089" s="11" t="s">
        <v>13</v>
      </c>
      <c r="C3089" s="11" t="s">
        <v>2644</v>
      </c>
    </row>
    <row r="3090" spans="1:4" ht="12.75" customHeight="1" x14ac:dyDescent="0.2">
      <c r="B3090" s="11" t="s">
        <v>2603</v>
      </c>
      <c r="C3090" s="11" t="s">
        <v>2633</v>
      </c>
    </row>
    <row r="3091" spans="1:4" ht="12.75" customHeight="1" x14ac:dyDescent="0.2">
      <c r="B3091" s="11" t="s">
        <v>2605</v>
      </c>
      <c r="C3091" s="11" t="s">
        <v>24</v>
      </c>
    </row>
    <row r="3092" spans="1:4" ht="12.75" customHeight="1" x14ac:dyDescent="0.2">
      <c r="B3092" s="11" t="s">
        <v>2606</v>
      </c>
      <c r="C3092" s="16" t="s">
        <v>44</v>
      </c>
      <c r="D3092" s="6" t="str">
        <f>HYPERLINK("javascript:void(0)","szemhéj")</f>
        <v>szemhéj</v>
      </c>
    </row>
    <row r="3093" spans="1:4" ht="25.5" customHeight="1" x14ac:dyDescent="0.2">
      <c r="C3093" s="16" t="s">
        <v>44</v>
      </c>
      <c r="D3093" s="6" t="str">
        <f>HYPERLINK("javascript:void(0)","smaragd láncing")</f>
        <v>smaragd láncing</v>
      </c>
    </row>
    <row r="3094" spans="1:4" ht="12.75" customHeight="1" x14ac:dyDescent="0.2">
      <c r="B3094" s="2"/>
      <c r="C3094" s="15"/>
      <c r="D3094" s="2"/>
    </row>
    <row r="3095" spans="1:4" ht="12.75" customHeight="1" x14ac:dyDescent="0.2">
      <c r="B3095" s="2"/>
      <c r="C3095" s="15"/>
      <c r="D3095" s="2"/>
    </row>
    <row r="3096" spans="1:4" ht="12.75" customHeight="1" x14ac:dyDescent="0.2">
      <c r="A3096" s="13" t="s">
        <v>3058</v>
      </c>
      <c r="C3096" s="12"/>
    </row>
    <row r="3097" spans="1:4" ht="12.75" customHeight="1" x14ac:dyDescent="0.2">
      <c r="A3097" s="11"/>
      <c r="B3097" s="2"/>
      <c r="C3097" s="15"/>
      <c r="D3097" s="2"/>
    </row>
    <row r="3098" spans="1:4" ht="12.75" customHeight="1" x14ac:dyDescent="0.2">
      <c r="B3098" s="11" t="s">
        <v>0</v>
      </c>
      <c r="C3098" s="11" t="s">
        <v>157</v>
      </c>
    </row>
    <row r="3099" spans="1:4" ht="12.75" customHeight="1" x14ac:dyDescent="0.2">
      <c r="B3099" s="11" t="s">
        <v>2599</v>
      </c>
      <c r="C3099" s="11" t="s">
        <v>568</v>
      </c>
    </row>
    <row r="3100" spans="1:4" ht="25.5" customHeight="1" x14ac:dyDescent="0.2">
      <c r="B3100" s="11" t="s">
        <v>2600</v>
      </c>
      <c r="C3100" s="11" t="s">
        <v>3002</v>
      </c>
    </row>
    <row r="3101" spans="1:4" ht="25.5" customHeight="1" x14ac:dyDescent="0.2">
      <c r="B3101" s="11" t="s">
        <v>2601</v>
      </c>
      <c r="C3101" s="11"/>
    </row>
    <row r="3102" spans="1:4" ht="12.75" customHeight="1" x14ac:dyDescent="0.2">
      <c r="B3102" s="11" t="s">
        <v>16</v>
      </c>
      <c r="C3102" s="11"/>
    </row>
    <row r="3103" spans="1:4" ht="12.75" customHeight="1" x14ac:dyDescent="0.2">
      <c r="B3103" s="11" t="s">
        <v>13</v>
      </c>
      <c r="C3103" s="11" t="s">
        <v>2602</v>
      </c>
    </row>
    <row r="3104" spans="1:4" ht="12.75" customHeight="1" x14ac:dyDescent="0.2">
      <c r="B3104" s="11" t="s">
        <v>2603</v>
      </c>
      <c r="C3104" s="11" t="s">
        <v>2604</v>
      </c>
    </row>
    <row r="3105" spans="1:4" ht="12.75" customHeight="1" x14ac:dyDescent="0.2">
      <c r="B3105" s="11" t="s">
        <v>2605</v>
      </c>
      <c r="C3105" s="11" t="s">
        <v>24</v>
      </c>
    </row>
    <row r="3106" spans="1:4" ht="12.75" customHeight="1" x14ac:dyDescent="0.2">
      <c r="B3106" s="11" t="s">
        <v>2606</v>
      </c>
      <c r="C3106" s="16" t="s">
        <v>44</v>
      </c>
      <c r="D3106" s="6" t="str">
        <f>HYPERLINK("javascript:void(0)","skivei bot")</f>
        <v>skivei bot</v>
      </c>
    </row>
    <row r="3107" spans="1:4" ht="12.75" customHeight="1" x14ac:dyDescent="0.2">
      <c r="C3107" s="16" t="s">
        <v>56</v>
      </c>
      <c r="D3107" s="6" t="str">
        <f>HYPERLINK("javascript:void(0)","rubin")</f>
        <v>rubin</v>
      </c>
    </row>
    <row r="3108" spans="1:4" ht="12.75" customHeight="1" x14ac:dyDescent="0.2">
      <c r="B3108" s="2"/>
      <c r="C3108" s="15"/>
      <c r="D3108" s="2"/>
    </row>
    <row r="3109" spans="1:4" ht="12.75" customHeight="1" x14ac:dyDescent="0.2">
      <c r="B3109" s="2"/>
      <c r="C3109" s="15"/>
      <c r="D3109" s="2"/>
    </row>
    <row r="3110" spans="1:4" ht="12.75" customHeight="1" x14ac:dyDescent="0.2">
      <c r="A3110" s="13" t="s">
        <v>3059</v>
      </c>
      <c r="C3110" s="12"/>
      <c r="D3110" s="2"/>
    </row>
    <row r="3111" spans="1:4" ht="12.75" customHeight="1" x14ac:dyDescent="0.2">
      <c r="A3111" s="11"/>
      <c r="B3111" s="2"/>
      <c r="C3111" s="15"/>
      <c r="D3111" s="2"/>
    </row>
    <row r="3112" spans="1:4" ht="12.75" customHeight="1" x14ac:dyDescent="0.2">
      <c r="B3112" s="11" t="s">
        <v>0</v>
      </c>
      <c r="C3112" s="17" t="s">
        <v>41</v>
      </c>
      <c r="D3112" s="2"/>
    </row>
    <row r="3113" spans="1:4" ht="12.75" customHeight="1" x14ac:dyDescent="0.2">
      <c r="B3113" s="11" t="s">
        <v>2599</v>
      </c>
      <c r="C3113" s="17" t="s">
        <v>3060</v>
      </c>
      <c r="D3113" s="2"/>
    </row>
    <row r="3114" spans="1:4" ht="25.5" customHeight="1" x14ac:dyDescent="0.2">
      <c r="B3114" s="11" t="s">
        <v>2600</v>
      </c>
      <c r="C3114" s="17" t="s">
        <v>3061</v>
      </c>
      <c r="D3114" s="2"/>
    </row>
    <row r="3115" spans="1:4" ht="25.5" customHeight="1" x14ac:dyDescent="0.2">
      <c r="B3115" s="11" t="s">
        <v>2601</v>
      </c>
      <c r="C3115" s="17"/>
      <c r="D3115" s="2"/>
    </row>
    <row r="3116" spans="1:4" ht="12.75" customHeight="1" x14ac:dyDescent="0.2">
      <c r="B3116" s="11" t="s">
        <v>16</v>
      </c>
      <c r="C3116" s="17"/>
      <c r="D3116" s="2"/>
    </row>
    <row r="3117" spans="1:4" ht="12.75" customHeight="1" x14ac:dyDescent="0.2">
      <c r="B3117" s="11" t="s">
        <v>13</v>
      </c>
      <c r="C3117" s="17" t="s">
        <v>2644</v>
      </c>
      <c r="D3117" s="2"/>
    </row>
    <row r="3118" spans="1:4" ht="12.75" customHeight="1" x14ac:dyDescent="0.2">
      <c r="B3118" s="11" t="s">
        <v>2603</v>
      </c>
      <c r="C3118" s="17" t="s">
        <v>128</v>
      </c>
      <c r="D3118" s="2"/>
    </row>
    <row r="3119" spans="1:4" ht="12.75" customHeight="1" x14ac:dyDescent="0.2">
      <c r="B3119" s="11" t="s">
        <v>2605</v>
      </c>
      <c r="C3119" s="17" t="s">
        <v>14</v>
      </c>
      <c r="D3119" s="2"/>
    </row>
    <row r="3120" spans="1:4" ht="12.75" customHeight="1" x14ac:dyDescent="0.2">
      <c r="B3120" s="11" t="s">
        <v>2606</v>
      </c>
      <c r="C3120" s="16" t="s">
        <v>19</v>
      </c>
      <c r="D3120" s="2"/>
    </row>
    <row r="3121" spans="1:4" ht="12.75" customHeight="1" x14ac:dyDescent="0.2">
      <c r="B3121" s="2"/>
      <c r="C3121" s="15"/>
      <c r="D3121" s="2"/>
    </row>
    <row r="3122" spans="1:4" ht="12.75" customHeight="1" x14ac:dyDescent="0.2">
      <c r="B3122" s="2"/>
      <c r="C3122" s="15"/>
      <c r="D3122" s="2"/>
    </row>
    <row r="3123" spans="1:4" ht="12.75" customHeight="1" x14ac:dyDescent="0.2">
      <c r="A3123" s="13" t="s">
        <v>2968</v>
      </c>
      <c r="C3123" s="12"/>
      <c r="D3123" s="2"/>
    </row>
    <row r="3124" spans="1:4" ht="12.75" customHeight="1" x14ac:dyDescent="0.2">
      <c r="A3124" s="11"/>
      <c r="B3124" s="2"/>
      <c r="C3124" s="15"/>
      <c r="D3124" s="2"/>
    </row>
    <row r="3125" spans="1:4" ht="12.75" customHeight="1" x14ac:dyDescent="0.2">
      <c r="B3125" s="11" t="s">
        <v>0</v>
      </c>
      <c r="C3125" s="17" t="s">
        <v>41</v>
      </c>
      <c r="D3125" s="2"/>
    </row>
    <row r="3126" spans="1:4" ht="12.75" customHeight="1" x14ac:dyDescent="0.2">
      <c r="B3126" s="11" t="s">
        <v>2599</v>
      </c>
      <c r="C3126" s="17" t="s">
        <v>2969</v>
      </c>
      <c r="D3126" s="2"/>
    </row>
    <row r="3127" spans="1:4" ht="25.5" customHeight="1" x14ac:dyDescent="0.2">
      <c r="B3127" s="11" t="s">
        <v>2600</v>
      </c>
      <c r="C3127" s="17" t="s">
        <v>3063</v>
      </c>
      <c r="D3127" s="2"/>
    </row>
    <row r="3128" spans="1:4" ht="25.5" customHeight="1" x14ac:dyDescent="0.2">
      <c r="B3128" s="11" t="s">
        <v>2601</v>
      </c>
      <c r="C3128" s="17"/>
      <c r="D3128" s="2"/>
    </row>
    <row r="3129" spans="1:4" ht="12.75" customHeight="1" x14ac:dyDescent="0.2">
      <c r="B3129" s="11" t="s">
        <v>16</v>
      </c>
      <c r="C3129" s="17"/>
      <c r="D3129" s="2"/>
    </row>
    <row r="3130" spans="1:4" ht="12.75" customHeight="1" x14ac:dyDescent="0.2">
      <c r="B3130" s="11" t="s">
        <v>13</v>
      </c>
      <c r="C3130" s="17" t="s">
        <v>2644</v>
      </c>
      <c r="D3130" s="2"/>
    </row>
    <row r="3131" spans="1:4" ht="25.5" customHeight="1" x14ac:dyDescent="0.2">
      <c r="B3131" s="11" t="s">
        <v>2603</v>
      </c>
      <c r="C3131" s="17" t="s">
        <v>2971</v>
      </c>
      <c r="D3131" s="2"/>
    </row>
    <row r="3132" spans="1:4" ht="12.75" customHeight="1" x14ac:dyDescent="0.2">
      <c r="B3132" s="11" t="s">
        <v>2605</v>
      </c>
      <c r="C3132" s="17" t="s">
        <v>14</v>
      </c>
      <c r="D3132" s="2"/>
    </row>
    <row r="3133" spans="1:4" ht="12.75" customHeight="1" x14ac:dyDescent="0.2">
      <c r="B3133" s="11" t="s">
        <v>2606</v>
      </c>
      <c r="C3133" s="16" t="s">
        <v>19</v>
      </c>
      <c r="D3133" s="2"/>
    </row>
    <row r="3134" spans="1:4" ht="12.75" customHeight="1" x14ac:dyDescent="0.2">
      <c r="B3134" s="2"/>
      <c r="C3134" s="15"/>
      <c r="D3134" s="2"/>
    </row>
    <row r="3135" spans="1:4" ht="12.75" customHeight="1" x14ac:dyDescent="0.2">
      <c r="B3135" s="2"/>
      <c r="C3135" s="15"/>
      <c r="D3135" s="2"/>
    </row>
    <row r="3136" spans="1:4" ht="25.5" customHeight="1" x14ac:dyDescent="0.2">
      <c r="A3136" s="13" t="s">
        <v>3064</v>
      </c>
      <c r="C3136" s="12"/>
      <c r="D3136" s="2"/>
    </row>
    <row r="3137" spans="1:4" ht="12.75" customHeight="1" x14ac:dyDescent="0.2">
      <c r="A3137" s="11"/>
      <c r="B3137" s="2"/>
      <c r="C3137" s="15"/>
      <c r="D3137" s="2"/>
    </row>
    <row r="3138" spans="1:4" ht="12.75" customHeight="1" x14ac:dyDescent="0.2">
      <c r="B3138" s="11" t="s">
        <v>0</v>
      </c>
      <c r="C3138" s="17" t="s">
        <v>41</v>
      </c>
      <c r="D3138" s="2"/>
    </row>
    <row r="3139" spans="1:4" ht="12.75" customHeight="1" x14ac:dyDescent="0.2">
      <c r="B3139" s="11" t="s">
        <v>2599</v>
      </c>
      <c r="C3139" s="17" t="s">
        <v>3065</v>
      </c>
      <c r="D3139" s="2"/>
    </row>
    <row r="3140" spans="1:4" ht="25.5" customHeight="1" x14ac:dyDescent="0.2">
      <c r="B3140" s="11" t="s">
        <v>2600</v>
      </c>
      <c r="C3140" s="17" t="s">
        <v>3066</v>
      </c>
      <c r="D3140" s="2"/>
    </row>
    <row r="3141" spans="1:4" ht="25.5" customHeight="1" x14ac:dyDescent="0.2">
      <c r="B3141" s="11" t="s">
        <v>2601</v>
      </c>
      <c r="C3141" s="17"/>
      <c r="D3141" s="2"/>
    </row>
    <row r="3142" spans="1:4" ht="12.75" customHeight="1" x14ac:dyDescent="0.2">
      <c r="B3142" s="11" t="s">
        <v>16</v>
      </c>
      <c r="C3142" s="17"/>
      <c r="D3142" s="2"/>
    </row>
    <row r="3143" spans="1:4" ht="12.75" customHeight="1" x14ac:dyDescent="0.2">
      <c r="B3143" s="11" t="s">
        <v>13</v>
      </c>
      <c r="C3143" s="17" t="s">
        <v>2644</v>
      </c>
      <c r="D3143" s="2"/>
    </row>
    <row r="3144" spans="1:4" ht="12.75" customHeight="1" x14ac:dyDescent="0.2">
      <c r="B3144" s="11" t="s">
        <v>2603</v>
      </c>
      <c r="C3144" s="17" t="s">
        <v>128</v>
      </c>
      <c r="D3144" s="2"/>
    </row>
    <row r="3145" spans="1:4" ht="12.75" customHeight="1" x14ac:dyDescent="0.2">
      <c r="B3145" s="11" t="s">
        <v>2605</v>
      </c>
      <c r="C3145" s="17" t="s">
        <v>14</v>
      </c>
      <c r="D3145" s="2"/>
    </row>
    <row r="3146" spans="1:4" ht="12.75" customHeight="1" x14ac:dyDescent="0.2">
      <c r="B3146" s="11" t="s">
        <v>2606</v>
      </c>
      <c r="C3146" s="16" t="s">
        <v>19</v>
      </c>
      <c r="D3146" s="2"/>
    </row>
    <row r="3147" spans="1:4" ht="12.75" customHeight="1" x14ac:dyDescent="0.2">
      <c r="B3147" s="2"/>
      <c r="C3147" s="15"/>
      <c r="D3147" s="2"/>
    </row>
    <row r="3148" spans="1:4" ht="12.75" customHeight="1" x14ac:dyDescent="0.2">
      <c r="B3148" s="2"/>
      <c r="C3148" s="15"/>
      <c r="D3148" s="2"/>
    </row>
    <row r="3149" spans="1:4" ht="12.75" customHeight="1" x14ac:dyDescent="0.2">
      <c r="A3149" s="13" t="s">
        <v>3067</v>
      </c>
      <c r="C3149" s="12"/>
    </row>
    <row r="3150" spans="1:4" ht="12.75" customHeight="1" x14ac:dyDescent="0.2">
      <c r="A3150" s="11"/>
      <c r="B3150" s="2"/>
      <c r="C3150" s="15"/>
      <c r="D3150" s="2"/>
    </row>
    <row r="3151" spans="1:4" ht="12.75" customHeight="1" x14ac:dyDescent="0.2">
      <c r="B3151" s="11" t="s">
        <v>0</v>
      </c>
      <c r="C3151" s="11" t="s">
        <v>41</v>
      </c>
    </row>
    <row r="3152" spans="1:4" ht="12.75" customHeight="1" x14ac:dyDescent="0.2">
      <c r="B3152" s="11" t="s">
        <v>2599</v>
      </c>
      <c r="C3152" s="11" t="s">
        <v>3068</v>
      </c>
    </row>
    <row r="3153" spans="1:4" ht="25.5" customHeight="1" x14ac:dyDescent="0.2">
      <c r="B3153" s="11" t="s">
        <v>2600</v>
      </c>
      <c r="C3153" s="11" t="s">
        <v>3069</v>
      </c>
    </row>
    <row r="3154" spans="1:4" ht="25.5" customHeight="1" x14ac:dyDescent="0.2">
      <c r="B3154" s="11" t="s">
        <v>2601</v>
      </c>
      <c r="C3154" s="11"/>
    </row>
    <row r="3155" spans="1:4" ht="12.75" customHeight="1" x14ac:dyDescent="0.2">
      <c r="B3155" s="11" t="s">
        <v>16</v>
      </c>
      <c r="C3155" s="11"/>
    </row>
    <row r="3156" spans="1:4" ht="12.75" customHeight="1" x14ac:dyDescent="0.2">
      <c r="B3156" s="11" t="s">
        <v>13</v>
      </c>
      <c r="C3156" s="11" t="s">
        <v>2602</v>
      </c>
    </row>
    <row r="3157" spans="1:4" ht="12.75" customHeight="1" x14ac:dyDescent="0.2">
      <c r="B3157" s="11" t="s">
        <v>2603</v>
      </c>
      <c r="C3157" s="11" t="s">
        <v>2604</v>
      </c>
    </row>
    <row r="3158" spans="1:4" ht="12.75" customHeight="1" x14ac:dyDescent="0.2">
      <c r="B3158" s="11" t="s">
        <v>2605</v>
      </c>
      <c r="C3158" s="11" t="s">
        <v>24</v>
      </c>
    </row>
    <row r="3159" spans="1:4" ht="12.75" customHeight="1" x14ac:dyDescent="0.2">
      <c r="B3159" s="11" t="s">
        <v>2606</v>
      </c>
      <c r="C3159" s="16" t="s">
        <v>55</v>
      </c>
      <c r="D3159" s="6" t="str">
        <f>HYPERLINK("javascript:void(0)","ezüstfullánk")</f>
        <v>ezüstfullánk</v>
      </c>
    </row>
    <row r="3160" spans="1:4" ht="12.75" customHeight="1" x14ac:dyDescent="0.2">
      <c r="C3160" s="16" t="s">
        <v>130</v>
      </c>
      <c r="D3160" s="6" t="str">
        <f>HYPERLINK("javascript:void(0)","ezüst")</f>
        <v>ezüst</v>
      </c>
    </row>
    <row r="3161" spans="1:4" ht="12.75" customHeight="1" x14ac:dyDescent="0.2">
      <c r="B3161" s="2"/>
      <c r="C3161" s="15"/>
      <c r="D3161" s="2"/>
    </row>
    <row r="3162" spans="1:4" ht="12.75" customHeight="1" x14ac:dyDescent="0.2">
      <c r="B3162" s="2"/>
      <c r="C3162" s="15"/>
      <c r="D3162" s="2"/>
    </row>
    <row r="3163" spans="1:4" ht="12.75" customHeight="1" x14ac:dyDescent="0.2">
      <c r="A3163" s="13" t="s">
        <v>3070</v>
      </c>
      <c r="C3163" s="12"/>
    </row>
    <row r="3164" spans="1:4" ht="12.75" customHeight="1" x14ac:dyDescent="0.2">
      <c r="A3164" s="11"/>
      <c r="B3164" s="2"/>
      <c r="C3164" s="15"/>
      <c r="D3164" s="2"/>
    </row>
    <row r="3165" spans="1:4" ht="12.75" customHeight="1" x14ac:dyDescent="0.2">
      <c r="B3165" s="11" t="s">
        <v>0</v>
      </c>
      <c r="C3165" s="11" t="s">
        <v>41</v>
      </c>
    </row>
    <row r="3166" spans="1:4" ht="12.75" customHeight="1" x14ac:dyDescent="0.2">
      <c r="B3166" s="11" t="s">
        <v>2599</v>
      </c>
      <c r="C3166" s="11" t="s">
        <v>338</v>
      </c>
    </row>
    <row r="3167" spans="1:4" ht="25.5" customHeight="1" x14ac:dyDescent="0.2">
      <c r="B3167" s="11" t="s">
        <v>2600</v>
      </c>
      <c r="C3167" s="11" t="s">
        <v>3071</v>
      </c>
    </row>
    <row r="3168" spans="1:4" ht="25.5" customHeight="1" x14ac:dyDescent="0.2">
      <c r="B3168" s="11" t="s">
        <v>2601</v>
      </c>
      <c r="C3168" s="11"/>
    </row>
    <row r="3169" spans="1:4" ht="12.75" customHeight="1" x14ac:dyDescent="0.2">
      <c r="B3169" s="11" t="s">
        <v>16</v>
      </c>
      <c r="C3169" s="11"/>
    </row>
    <row r="3170" spans="1:4" ht="12.75" customHeight="1" x14ac:dyDescent="0.2">
      <c r="B3170" s="11" t="s">
        <v>13</v>
      </c>
      <c r="C3170" s="11" t="s">
        <v>2602</v>
      </c>
    </row>
    <row r="3171" spans="1:4" ht="12.75" customHeight="1" x14ac:dyDescent="0.2">
      <c r="B3171" s="11" t="s">
        <v>2603</v>
      </c>
      <c r="C3171" s="11" t="s">
        <v>2604</v>
      </c>
    </row>
    <row r="3172" spans="1:4" ht="12.75" customHeight="1" x14ac:dyDescent="0.2">
      <c r="B3172" s="11" t="s">
        <v>2605</v>
      </c>
      <c r="C3172" s="11" t="s">
        <v>24</v>
      </c>
    </row>
    <row r="3173" spans="1:4" ht="12.75" customHeight="1" x14ac:dyDescent="0.2">
      <c r="B3173" s="11" t="s">
        <v>2606</v>
      </c>
      <c r="C3173" s="16" t="s">
        <v>44</v>
      </c>
      <c r="D3173" s="6" t="str">
        <f>HYPERLINK("javascript:void(0)","mágusbot")</f>
        <v>mágusbot</v>
      </c>
    </row>
    <row r="3174" spans="1:4" ht="12.75" customHeight="1" x14ac:dyDescent="0.2">
      <c r="C3174" s="16" t="s">
        <v>3072</v>
      </c>
      <c r="D3174" s="6" t="str">
        <f>HYPERLINK("javascript:void(0)","ezüst")</f>
        <v>ezüst</v>
      </c>
    </row>
    <row r="3175" spans="1:4" ht="12.75" customHeight="1" x14ac:dyDescent="0.2">
      <c r="B3175" s="2"/>
      <c r="C3175" s="15"/>
      <c r="D3175" s="2"/>
    </row>
    <row r="3176" spans="1:4" ht="12.75" customHeight="1" x14ac:dyDescent="0.2">
      <c r="B3176" s="2"/>
      <c r="C3176" s="15"/>
      <c r="D3176" s="2"/>
    </row>
    <row r="3177" spans="1:4" ht="12.75" customHeight="1" x14ac:dyDescent="0.2">
      <c r="A3177" s="13" t="s">
        <v>3073</v>
      </c>
      <c r="C3177" s="12"/>
    </row>
    <row r="3178" spans="1:4" ht="12.75" customHeight="1" x14ac:dyDescent="0.2">
      <c r="A3178" s="11"/>
      <c r="B3178" s="2"/>
      <c r="C3178" s="15"/>
      <c r="D3178" s="2"/>
    </row>
    <row r="3179" spans="1:4" ht="12.75" customHeight="1" x14ac:dyDescent="0.2">
      <c r="B3179" s="11" t="s">
        <v>0</v>
      </c>
      <c r="C3179" s="11" t="s">
        <v>41</v>
      </c>
    </row>
    <row r="3180" spans="1:4" ht="12.75" customHeight="1" x14ac:dyDescent="0.2">
      <c r="B3180" s="11" t="s">
        <v>2599</v>
      </c>
      <c r="C3180" s="11" t="s">
        <v>3074</v>
      </c>
    </row>
    <row r="3181" spans="1:4" ht="25.5" customHeight="1" x14ac:dyDescent="0.2">
      <c r="B3181" s="11" t="s">
        <v>2600</v>
      </c>
      <c r="C3181" s="11" t="s">
        <v>3075</v>
      </c>
    </row>
    <row r="3182" spans="1:4" ht="25.5" customHeight="1" x14ac:dyDescent="0.2">
      <c r="B3182" s="11" t="s">
        <v>2601</v>
      </c>
      <c r="C3182" s="11"/>
    </row>
    <row r="3183" spans="1:4" ht="12.75" customHeight="1" x14ac:dyDescent="0.2">
      <c r="B3183" s="11" t="s">
        <v>16</v>
      </c>
      <c r="C3183" s="11"/>
    </row>
    <row r="3184" spans="1:4" ht="12.75" customHeight="1" x14ac:dyDescent="0.2">
      <c r="B3184" s="11" t="s">
        <v>13</v>
      </c>
      <c r="C3184" s="11" t="s">
        <v>2644</v>
      </c>
    </row>
    <row r="3185" spans="1:4" ht="12.75" customHeight="1" x14ac:dyDescent="0.2">
      <c r="B3185" s="11" t="s">
        <v>2603</v>
      </c>
      <c r="C3185" s="11" t="s">
        <v>2604</v>
      </c>
    </row>
    <row r="3186" spans="1:4" ht="12.75" customHeight="1" x14ac:dyDescent="0.2">
      <c r="B3186" s="11" t="s">
        <v>2605</v>
      </c>
      <c r="C3186" s="11" t="s">
        <v>24</v>
      </c>
    </row>
    <row r="3187" spans="1:4" ht="12.75" customHeight="1" x14ac:dyDescent="0.2">
      <c r="B3187" s="11" t="s">
        <v>2606</v>
      </c>
      <c r="C3187" s="16" t="s">
        <v>44</v>
      </c>
      <c r="D3187" s="6" t="str">
        <f>HYPERLINK("javascript:void(0)","gyémánt")</f>
        <v>gyémánt</v>
      </c>
    </row>
    <row r="3188" spans="1:4" ht="12.75" customHeight="1" x14ac:dyDescent="0.2">
      <c r="C3188" s="16" t="s">
        <v>44</v>
      </c>
      <c r="D3188" s="6" t="str">
        <f>HYPERLINK("javascript:void(0)","acélrugó")</f>
        <v>acélrugó</v>
      </c>
    </row>
    <row r="3189" spans="1:4" ht="12.75" customHeight="1" x14ac:dyDescent="0.2">
      <c r="C3189" s="16" t="s">
        <v>56</v>
      </c>
      <c r="D3189" s="6" t="str">
        <f>HYPERLINK("javascript:void(0)","arany")</f>
        <v>arany</v>
      </c>
    </row>
    <row r="3190" spans="1:4" ht="12.75" customHeight="1" x14ac:dyDescent="0.2">
      <c r="B3190" s="2"/>
      <c r="C3190" s="15"/>
      <c r="D3190" s="2"/>
    </row>
    <row r="3191" spans="1:4" ht="12.75" customHeight="1" x14ac:dyDescent="0.2">
      <c r="B3191" s="2"/>
      <c r="C3191" s="15"/>
      <c r="D3191" s="2"/>
    </row>
    <row r="3192" spans="1:4" ht="12.75" customHeight="1" x14ac:dyDescent="0.2">
      <c r="A3192" s="13" t="s">
        <v>3076</v>
      </c>
      <c r="C3192" s="12"/>
    </row>
    <row r="3193" spans="1:4" ht="12.75" customHeight="1" x14ac:dyDescent="0.2">
      <c r="A3193" s="11"/>
      <c r="B3193" s="2"/>
      <c r="C3193" s="15"/>
      <c r="D3193" s="2"/>
    </row>
    <row r="3194" spans="1:4" ht="12.75" customHeight="1" x14ac:dyDescent="0.2">
      <c r="B3194" s="11" t="s">
        <v>0</v>
      </c>
      <c r="C3194" s="11" t="s">
        <v>41</v>
      </c>
    </row>
    <row r="3195" spans="1:4" ht="12.75" customHeight="1" x14ac:dyDescent="0.2">
      <c r="B3195" s="11" t="s">
        <v>2599</v>
      </c>
      <c r="C3195" s="11" t="s">
        <v>1859</v>
      </c>
    </row>
    <row r="3196" spans="1:4" ht="25.5" customHeight="1" x14ac:dyDescent="0.2">
      <c r="B3196" s="11" t="s">
        <v>2600</v>
      </c>
      <c r="C3196" s="11" t="s">
        <v>3077</v>
      </c>
    </row>
    <row r="3197" spans="1:4" ht="25.5" customHeight="1" x14ac:dyDescent="0.2">
      <c r="B3197" s="11" t="s">
        <v>2601</v>
      </c>
      <c r="C3197" s="11"/>
    </row>
    <row r="3198" spans="1:4" ht="12.75" customHeight="1" x14ac:dyDescent="0.2">
      <c r="B3198" s="11" t="s">
        <v>16</v>
      </c>
      <c r="C3198" s="11"/>
    </row>
    <row r="3199" spans="1:4" ht="12.75" customHeight="1" x14ac:dyDescent="0.2">
      <c r="B3199" s="11" t="s">
        <v>13</v>
      </c>
      <c r="C3199" s="11" t="s">
        <v>2644</v>
      </c>
    </row>
    <row r="3200" spans="1:4" ht="12.75" customHeight="1" x14ac:dyDescent="0.2">
      <c r="B3200" s="11" t="s">
        <v>2603</v>
      </c>
      <c r="C3200" s="11" t="s">
        <v>2642</v>
      </c>
    </row>
    <row r="3201" spans="1:4" ht="12.75" customHeight="1" x14ac:dyDescent="0.2">
      <c r="B3201" s="11" t="s">
        <v>2605</v>
      </c>
      <c r="C3201" s="11" t="s">
        <v>24</v>
      </c>
    </row>
    <row r="3202" spans="1:4" ht="25.5" customHeight="1" x14ac:dyDescent="0.2">
      <c r="B3202" s="11" t="s">
        <v>2606</v>
      </c>
      <c r="C3202" s="16" t="s">
        <v>56</v>
      </c>
      <c r="D3202" s="6" t="str">
        <f>HYPERLINK("javascript:void(0)","sárkánypikkely")</f>
        <v>sárkánypikkely</v>
      </c>
    </row>
    <row r="3203" spans="1:4" ht="12.75" customHeight="1" x14ac:dyDescent="0.2">
      <c r="C3203" s="16" t="s">
        <v>56</v>
      </c>
      <c r="D3203" s="6" t="str">
        <f>HYPERLINK("javascript:void(0)","sárkányfog")</f>
        <v>sárkányfog</v>
      </c>
    </row>
    <row r="3204" spans="1:4" ht="25.5" customHeight="1" x14ac:dyDescent="0.2">
      <c r="C3204" s="16" t="s">
        <v>56</v>
      </c>
      <c r="D3204" s="6" t="str">
        <f>HYPERLINK("javascript:void(0)","sárkánykarom")</f>
        <v>sárkánykarom</v>
      </c>
    </row>
    <row r="3205" spans="1:4" ht="12.75" customHeight="1" x14ac:dyDescent="0.2">
      <c r="B3205" s="2"/>
      <c r="C3205" s="15"/>
      <c r="D3205" s="2"/>
    </row>
    <row r="3206" spans="1:4" ht="12.75" customHeight="1" x14ac:dyDescent="0.2">
      <c r="B3206" s="2"/>
      <c r="C3206" s="15"/>
      <c r="D3206" s="2"/>
    </row>
    <row r="3207" spans="1:4" ht="12.75" customHeight="1" x14ac:dyDescent="0.2">
      <c r="A3207" s="13" t="s">
        <v>3078</v>
      </c>
      <c r="C3207" s="12"/>
    </row>
    <row r="3208" spans="1:4" ht="12.75" customHeight="1" x14ac:dyDescent="0.2">
      <c r="A3208" s="11"/>
      <c r="B3208" s="2"/>
      <c r="C3208" s="15"/>
      <c r="D3208" s="2"/>
    </row>
    <row r="3209" spans="1:4" ht="12.75" customHeight="1" x14ac:dyDescent="0.2">
      <c r="B3209" s="11" t="s">
        <v>0</v>
      </c>
      <c r="C3209" s="11" t="s">
        <v>41</v>
      </c>
    </row>
    <row r="3210" spans="1:4" ht="12.75" customHeight="1" x14ac:dyDescent="0.2">
      <c r="B3210" s="11" t="s">
        <v>2599</v>
      </c>
      <c r="C3210" s="11" t="s">
        <v>533</v>
      </c>
    </row>
    <row r="3211" spans="1:4" ht="25.5" customHeight="1" x14ac:dyDescent="0.2">
      <c r="B3211" s="11" t="s">
        <v>2600</v>
      </c>
      <c r="C3211" s="11" t="s">
        <v>3079</v>
      </c>
    </row>
    <row r="3212" spans="1:4" ht="25.5" customHeight="1" x14ac:dyDescent="0.2">
      <c r="B3212" s="11" t="s">
        <v>2601</v>
      </c>
      <c r="C3212" s="11"/>
    </row>
    <row r="3213" spans="1:4" ht="12.75" customHeight="1" x14ac:dyDescent="0.2">
      <c r="B3213" s="11" t="s">
        <v>16</v>
      </c>
      <c r="C3213" s="11"/>
    </row>
    <row r="3214" spans="1:4" ht="12.75" customHeight="1" x14ac:dyDescent="0.2">
      <c r="B3214" s="11" t="s">
        <v>13</v>
      </c>
      <c r="C3214" s="11" t="s">
        <v>2644</v>
      </c>
    </row>
    <row r="3215" spans="1:4" ht="12.75" customHeight="1" x14ac:dyDescent="0.2">
      <c r="B3215" s="11" t="s">
        <v>2603</v>
      </c>
      <c r="C3215" s="11" t="s">
        <v>2604</v>
      </c>
    </row>
    <row r="3216" spans="1:4" ht="12.75" customHeight="1" x14ac:dyDescent="0.2">
      <c r="B3216" s="11" t="s">
        <v>2605</v>
      </c>
      <c r="C3216" s="11" t="s">
        <v>24</v>
      </c>
    </row>
    <row r="3217" spans="1:4" ht="25.5" customHeight="1" x14ac:dyDescent="0.2">
      <c r="B3217" s="11" t="s">
        <v>2606</v>
      </c>
      <c r="C3217" s="16" t="s">
        <v>44</v>
      </c>
      <c r="D3217" s="6" t="str">
        <f>HYPERLINK("javascript:void(0)","sárkánypikkely")</f>
        <v>sárkánypikkely</v>
      </c>
    </row>
    <row r="3218" spans="1:4" ht="12.75" customHeight="1" x14ac:dyDescent="0.2">
      <c r="C3218" s="16" t="s">
        <v>44</v>
      </c>
      <c r="D3218" s="6" t="str">
        <f>HYPERLINK("javascript:void(0)","sárkányfog")</f>
        <v>sárkányfog</v>
      </c>
    </row>
    <row r="3219" spans="1:4" ht="12.75" customHeight="1" x14ac:dyDescent="0.2">
      <c r="B3219" s="2"/>
      <c r="C3219" s="15"/>
      <c r="D3219" s="2"/>
    </row>
    <row r="3220" spans="1:4" ht="12.75" customHeight="1" x14ac:dyDescent="0.2">
      <c r="B3220" s="2"/>
      <c r="C3220" s="15"/>
      <c r="D3220" s="2"/>
    </row>
    <row r="3221" spans="1:4" ht="12.75" customHeight="1" x14ac:dyDescent="0.2">
      <c r="A3221" s="13" t="s">
        <v>3080</v>
      </c>
      <c r="C3221" s="12"/>
    </row>
    <row r="3222" spans="1:4" ht="12.75" customHeight="1" x14ac:dyDescent="0.2">
      <c r="A3222" s="11"/>
      <c r="B3222" s="2"/>
      <c r="C3222" s="15"/>
      <c r="D3222" s="2"/>
    </row>
    <row r="3223" spans="1:4" ht="12.75" customHeight="1" x14ac:dyDescent="0.2">
      <c r="B3223" s="11" t="s">
        <v>0</v>
      </c>
      <c r="C3223" s="11" t="s">
        <v>41</v>
      </c>
    </row>
    <row r="3224" spans="1:4" ht="12.75" customHeight="1" x14ac:dyDescent="0.2">
      <c r="B3224" s="11" t="s">
        <v>2599</v>
      </c>
      <c r="C3224" s="11" t="s">
        <v>3081</v>
      </c>
    </row>
    <row r="3225" spans="1:4" ht="25.5" customHeight="1" x14ac:dyDescent="0.2">
      <c r="B3225" s="11" t="s">
        <v>2600</v>
      </c>
      <c r="C3225" s="11" t="s">
        <v>3082</v>
      </c>
    </row>
    <row r="3226" spans="1:4" ht="25.5" customHeight="1" x14ac:dyDescent="0.2">
      <c r="B3226" s="11" t="s">
        <v>2601</v>
      </c>
      <c r="C3226" s="11"/>
    </row>
    <row r="3227" spans="1:4" ht="12.75" customHeight="1" x14ac:dyDescent="0.2">
      <c r="B3227" s="11" t="s">
        <v>16</v>
      </c>
      <c r="C3227" s="11"/>
    </row>
    <row r="3228" spans="1:4" ht="12.75" customHeight="1" x14ac:dyDescent="0.2">
      <c r="B3228" s="11" t="s">
        <v>13</v>
      </c>
      <c r="C3228" s="11" t="s">
        <v>2644</v>
      </c>
    </row>
    <row r="3229" spans="1:4" ht="12.75" customHeight="1" x14ac:dyDescent="0.2">
      <c r="B3229" s="11" t="s">
        <v>2603</v>
      </c>
      <c r="C3229" s="11" t="s">
        <v>2604</v>
      </c>
    </row>
    <row r="3230" spans="1:4" ht="12.75" customHeight="1" x14ac:dyDescent="0.2">
      <c r="B3230" s="11" t="s">
        <v>2605</v>
      </c>
      <c r="C3230" s="11" t="s">
        <v>24</v>
      </c>
    </row>
    <row r="3231" spans="1:4" ht="25.5" customHeight="1" x14ac:dyDescent="0.2">
      <c r="B3231" s="11" t="s">
        <v>2606</v>
      </c>
      <c r="C3231" s="16" t="s">
        <v>56</v>
      </c>
      <c r="D3231" s="6" t="str">
        <f>HYPERLINK("javascript:void(0)","sárkánypikkely")</f>
        <v>sárkánypikkely</v>
      </c>
    </row>
    <row r="3232" spans="1:4" ht="12.75" customHeight="1" x14ac:dyDescent="0.2">
      <c r="C3232" s="16" t="s">
        <v>56</v>
      </c>
      <c r="D3232" s="6" t="str">
        <f>HYPERLINK("javascript:void(0)","sárkányfog")</f>
        <v>sárkányfog</v>
      </c>
    </row>
    <row r="3233" spans="1:4" ht="25.5" customHeight="1" x14ac:dyDescent="0.2">
      <c r="C3233" s="16" t="s">
        <v>56</v>
      </c>
      <c r="D3233" s="6" t="str">
        <f>HYPERLINK("javascript:void(0)","sárkánykarom")</f>
        <v>sárkánykarom</v>
      </c>
    </row>
    <row r="3234" spans="1:4" ht="12.75" customHeight="1" x14ac:dyDescent="0.2">
      <c r="B3234" s="2"/>
      <c r="C3234" s="15"/>
      <c r="D3234" s="2"/>
    </row>
    <row r="3235" spans="1:4" ht="12.75" customHeight="1" x14ac:dyDescent="0.2">
      <c r="B3235" s="2"/>
      <c r="C3235" s="15"/>
      <c r="D3235" s="2"/>
    </row>
    <row r="3236" spans="1:4" ht="12.75" customHeight="1" x14ac:dyDescent="0.2">
      <c r="A3236" s="13" t="s">
        <v>3083</v>
      </c>
      <c r="C3236" s="12"/>
    </row>
    <row r="3237" spans="1:4" ht="12.75" customHeight="1" x14ac:dyDescent="0.2">
      <c r="A3237" s="11"/>
      <c r="B3237" s="2"/>
      <c r="C3237" s="15"/>
      <c r="D3237" s="2"/>
    </row>
    <row r="3238" spans="1:4" ht="12.75" customHeight="1" x14ac:dyDescent="0.2">
      <c r="B3238" s="11" t="s">
        <v>0</v>
      </c>
      <c r="C3238" s="11" t="s">
        <v>41</v>
      </c>
    </row>
    <row r="3239" spans="1:4" ht="12.75" customHeight="1" x14ac:dyDescent="0.2">
      <c r="B3239" s="11" t="s">
        <v>2599</v>
      </c>
      <c r="C3239" s="11" t="s">
        <v>2980</v>
      </c>
    </row>
    <row r="3240" spans="1:4" ht="25.5" customHeight="1" x14ac:dyDescent="0.2">
      <c r="B3240" s="11" t="s">
        <v>2600</v>
      </c>
      <c r="C3240" s="11" t="s">
        <v>3084</v>
      </c>
    </row>
    <row r="3241" spans="1:4" ht="25.5" customHeight="1" x14ac:dyDescent="0.2">
      <c r="B3241" s="11" t="s">
        <v>2601</v>
      </c>
      <c r="C3241" s="11"/>
    </row>
    <row r="3242" spans="1:4" ht="12.75" customHeight="1" x14ac:dyDescent="0.2">
      <c r="B3242" s="11" t="s">
        <v>16</v>
      </c>
      <c r="C3242" s="11"/>
    </row>
    <row r="3243" spans="1:4" ht="12.75" customHeight="1" x14ac:dyDescent="0.2">
      <c r="B3243" s="11" t="s">
        <v>13</v>
      </c>
      <c r="C3243" s="11" t="s">
        <v>2602</v>
      </c>
    </row>
    <row r="3244" spans="1:4" ht="12.75" customHeight="1" x14ac:dyDescent="0.2">
      <c r="B3244" s="11" t="s">
        <v>2603</v>
      </c>
      <c r="C3244" s="11" t="s">
        <v>2604</v>
      </c>
    </row>
    <row r="3245" spans="1:4" ht="12.75" customHeight="1" x14ac:dyDescent="0.2">
      <c r="B3245" s="11" t="s">
        <v>2605</v>
      </c>
      <c r="C3245" s="11" t="s">
        <v>24</v>
      </c>
    </row>
    <row r="3246" spans="1:4" ht="12.75" customHeight="1" x14ac:dyDescent="0.2">
      <c r="B3246" s="11" t="s">
        <v>2606</v>
      </c>
      <c r="C3246" s="16" t="s">
        <v>44</v>
      </c>
      <c r="D3246" s="6" t="str">
        <f>HYPERLINK("javascript:void(0)","mágusbot")</f>
        <v>mágusbot</v>
      </c>
    </row>
    <row r="3247" spans="1:4" ht="12.75" customHeight="1" x14ac:dyDescent="0.2">
      <c r="C3247" s="16" t="s">
        <v>3072</v>
      </c>
      <c r="D3247" s="6" t="str">
        <f>HYPERLINK("javascript:void(0)","ezüst")</f>
        <v>ezüst</v>
      </c>
    </row>
    <row r="3248" spans="1:4" ht="12.75" customHeight="1" x14ac:dyDescent="0.2">
      <c r="B3248" s="2"/>
      <c r="C3248" s="15"/>
      <c r="D3248" s="2"/>
    </row>
    <row r="3249" spans="1:4" ht="12.75" customHeight="1" x14ac:dyDescent="0.2">
      <c r="B3249" s="2"/>
      <c r="C3249" s="15"/>
      <c r="D3249" s="2"/>
    </row>
    <row r="3250" spans="1:4" ht="12.75" customHeight="1" x14ac:dyDescent="0.2">
      <c r="A3250" s="13" t="s">
        <v>3085</v>
      </c>
      <c r="C3250" s="12"/>
    </row>
    <row r="3251" spans="1:4" ht="12.75" customHeight="1" x14ac:dyDescent="0.2">
      <c r="A3251" s="11"/>
      <c r="B3251" s="2"/>
      <c r="C3251" s="15"/>
      <c r="D3251" s="2"/>
    </row>
    <row r="3252" spans="1:4" ht="12.75" customHeight="1" x14ac:dyDescent="0.2">
      <c r="B3252" s="11" t="s">
        <v>0</v>
      </c>
      <c r="C3252" s="11" t="s">
        <v>41</v>
      </c>
    </row>
    <row r="3253" spans="1:4" ht="12.75" customHeight="1" x14ac:dyDescent="0.2">
      <c r="B3253" s="11" t="s">
        <v>2599</v>
      </c>
      <c r="C3253" s="11" t="s">
        <v>3086</v>
      </c>
    </row>
    <row r="3254" spans="1:4" ht="25.5" customHeight="1" x14ac:dyDescent="0.2">
      <c r="B3254" s="11" t="s">
        <v>2600</v>
      </c>
      <c r="C3254" s="11" t="s">
        <v>3087</v>
      </c>
    </row>
    <row r="3255" spans="1:4" ht="25.5" customHeight="1" x14ac:dyDescent="0.2">
      <c r="B3255" s="11" t="s">
        <v>2601</v>
      </c>
      <c r="C3255" s="11"/>
    </row>
    <row r="3256" spans="1:4" ht="12.75" customHeight="1" x14ac:dyDescent="0.2">
      <c r="B3256" s="11" t="s">
        <v>16</v>
      </c>
      <c r="C3256" s="11"/>
    </row>
    <row r="3257" spans="1:4" ht="12.75" customHeight="1" x14ac:dyDescent="0.2">
      <c r="B3257" s="11" t="s">
        <v>13</v>
      </c>
      <c r="C3257" s="11" t="s">
        <v>2644</v>
      </c>
    </row>
    <row r="3258" spans="1:4" ht="12.75" customHeight="1" x14ac:dyDescent="0.2">
      <c r="B3258" s="11" t="s">
        <v>2603</v>
      </c>
      <c r="C3258" s="11" t="s">
        <v>2640</v>
      </c>
    </row>
    <row r="3259" spans="1:4" ht="12.75" customHeight="1" x14ac:dyDescent="0.2">
      <c r="B3259" s="11" t="s">
        <v>2605</v>
      </c>
      <c r="C3259" s="11" t="s">
        <v>24</v>
      </c>
    </row>
    <row r="3260" spans="1:4" ht="12.75" customHeight="1" x14ac:dyDescent="0.2">
      <c r="B3260" s="11" t="s">
        <v>2606</v>
      </c>
      <c r="C3260" s="16" t="s">
        <v>57</v>
      </c>
      <c r="D3260" s="6" t="str">
        <f>HYPERLINK("javascript:void(0)","koponya")</f>
        <v>koponya</v>
      </c>
    </row>
    <row r="3261" spans="1:4" ht="25.5" customHeight="1" x14ac:dyDescent="0.2">
      <c r="C3261" s="16" t="s">
        <v>142</v>
      </c>
      <c r="D3261" s="6" t="str">
        <f>HYPERLINK("javascript:void(0)","lábszárcsont")</f>
        <v>lábszárcsont</v>
      </c>
    </row>
    <row r="3262" spans="1:4" ht="12.75" customHeight="1" x14ac:dyDescent="0.2">
      <c r="B3262" s="2"/>
      <c r="C3262" s="15"/>
      <c r="D3262" s="2"/>
    </row>
    <row r="3263" spans="1:4" ht="12.75" customHeight="1" x14ac:dyDescent="0.2">
      <c r="B3263" s="2"/>
      <c r="C3263" s="15"/>
      <c r="D3263" s="2"/>
    </row>
    <row r="3264" spans="1:4" ht="12.75" customHeight="1" x14ac:dyDescent="0.2">
      <c r="A3264" s="13" t="s">
        <v>3088</v>
      </c>
      <c r="C3264" s="12"/>
    </row>
    <row r="3265" spans="1:4" ht="12.75" customHeight="1" x14ac:dyDescent="0.2">
      <c r="A3265" s="11"/>
      <c r="B3265" s="2"/>
      <c r="C3265" s="15"/>
      <c r="D3265" s="2"/>
    </row>
    <row r="3266" spans="1:4" ht="12.75" customHeight="1" x14ac:dyDescent="0.2">
      <c r="B3266" s="11" t="s">
        <v>0</v>
      </c>
      <c r="C3266" s="11" t="s">
        <v>41</v>
      </c>
    </row>
    <row r="3267" spans="1:4" ht="12.75" customHeight="1" x14ac:dyDescent="0.2">
      <c r="B3267" s="11" t="s">
        <v>2599</v>
      </c>
      <c r="C3267" s="11" t="s">
        <v>2500</v>
      </c>
    </row>
    <row r="3268" spans="1:4" ht="25.5" customHeight="1" x14ac:dyDescent="0.2">
      <c r="B3268" s="11" t="s">
        <v>2600</v>
      </c>
      <c r="C3268" s="11" t="s">
        <v>3089</v>
      </c>
    </row>
    <row r="3269" spans="1:4" ht="25.5" customHeight="1" x14ac:dyDescent="0.2">
      <c r="B3269" s="11" t="s">
        <v>2601</v>
      </c>
      <c r="C3269" s="11"/>
    </row>
    <row r="3270" spans="1:4" ht="12.75" customHeight="1" x14ac:dyDescent="0.2">
      <c r="B3270" s="11" t="s">
        <v>16</v>
      </c>
      <c r="C3270" s="11"/>
    </row>
    <row r="3271" spans="1:4" ht="12.75" customHeight="1" x14ac:dyDescent="0.2">
      <c r="B3271" s="11" t="s">
        <v>13</v>
      </c>
      <c r="C3271" s="11" t="s">
        <v>2602</v>
      </c>
    </row>
    <row r="3272" spans="1:4" ht="12.75" customHeight="1" x14ac:dyDescent="0.2">
      <c r="B3272" s="11" t="s">
        <v>2603</v>
      </c>
      <c r="C3272" s="11" t="s">
        <v>2604</v>
      </c>
    </row>
    <row r="3273" spans="1:4" ht="12.75" customHeight="1" x14ac:dyDescent="0.2">
      <c r="B3273" s="11" t="s">
        <v>2605</v>
      </c>
      <c r="C3273" s="11" t="s">
        <v>24</v>
      </c>
    </row>
    <row r="3274" spans="1:4" ht="12.75" customHeight="1" x14ac:dyDescent="0.2">
      <c r="B3274" s="11" t="s">
        <v>2606</v>
      </c>
      <c r="C3274" s="16" t="s">
        <v>56</v>
      </c>
      <c r="D3274" s="6" t="str">
        <f>HYPERLINK("javascript:void(0)","koponya")</f>
        <v>koponya</v>
      </c>
    </row>
    <row r="3275" spans="1:4" ht="12.75" customHeight="1" x14ac:dyDescent="0.2">
      <c r="B3275" s="2"/>
      <c r="C3275" s="15"/>
      <c r="D3275" s="2"/>
    </row>
    <row r="3276" spans="1:4" ht="12.75" customHeight="1" x14ac:dyDescent="0.2">
      <c r="B3276" s="2"/>
      <c r="C3276" s="15"/>
      <c r="D3276" s="2"/>
    </row>
    <row r="3277" spans="1:4" ht="12.75" customHeight="1" x14ac:dyDescent="0.2">
      <c r="A3277" s="13" t="s">
        <v>2782</v>
      </c>
      <c r="C3277" s="12"/>
    </row>
    <row r="3278" spans="1:4" ht="12.75" customHeight="1" x14ac:dyDescent="0.2">
      <c r="A3278" s="11"/>
      <c r="B3278" s="2"/>
      <c r="C3278" s="15"/>
      <c r="D3278" s="2"/>
    </row>
    <row r="3279" spans="1:4" ht="12.75" customHeight="1" x14ac:dyDescent="0.2">
      <c r="B3279" s="11" t="s">
        <v>0</v>
      </c>
      <c r="C3279" s="11" t="s">
        <v>260</v>
      </c>
    </row>
    <row r="3280" spans="1:4" ht="12.75" customHeight="1" x14ac:dyDescent="0.2">
      <c r="B3280" s="11" t="s">
        <v>2599</v>
      </c>
      <c r="C3280" s="11" t="s">
        <v>3044</v>
      </c>
    </row>
    <row r="3281" spans="1:4" ht="25.5" customHeight="1" x14ac:dyDescent="0.2">
      <c r="B3281" s="11" t="s">
        <v>2600</v>
      </c>
      <c r="C3281" s="11" t="s">
        <v>3090</v>
      </c>
    </row>
    <row r="3282" spans="1:4" ht="25.5" customHeight="1" x14ac:dyDescent="0.2">
      <c r="B3282" s="11" t="s">
        <v>2601</v>
      </c>
      <c r="C3282" s="11"/>
    </row>
    <row r="3283" spans="1:4" ht="12.75" customHeight="1" x14ac:dyDescent="0.2">
      <c r="B3283" s="11" t="s">
        <v>16</v>
      </c>
      <c r="C3283" s="11"/>
    </row>
    <row r="3284" spans="1:4" ht="12.75" customHeight="1" x14ac:dyDescent="0.2">
      <c r="B3284" s="11" t="s">
        <v>13</v>
      </c>
      <c r="C3284" s="11" t="s">
        <v>2602</v>
      </c>
    </row>
    <row r="3285" spans="1:4" ht="12.75" customHeight="1" x14ac:dyDescent="0.2">
      <c r="B3285" s="11" t="s">
        <v>2603</v>
      </c>
      <c r="C3285" s="11" t="s">
        <v>2604</v>
      </c>
    </row>
    <row r="3286" spans="1:4" ht="12.75" customHeight="1" x14ac:dyDescent="0.2">
      <c r="B3286" s="11" t="s">
        <v>2605</v>
      </c>
      <c r="C3286" s="11" t="s">
        <v>14</v>
      </c>
    </row>
    <row r="3287" spans="1:4" ht="12.75" customHeight="1" x14ac:dyDescent="0.2">
      <c r="B3287" s="11" t="s">
        <v>2606</v>
      </c>
      <c r="C3287" s="16" t="s">
        <v>44</v>
      </c>
      <c r="D3287" s="6" t="str">
        <f>HYPERLINK("javascript:void(0)","alakváltókő")</f>
        <v>alakváltókő</v>
      </c>
    </row>
    <row r="3288" spans="1:4" ht="12.75" customHeight="1" x14ac:dyDescent="0.2">
      <c r="B3288" s="2"/>
      <c r="C3288" s="15"/>
      <c r="D3288" s="2"/>
    </row>
    <row r="3289" spans="1:4" ht="12.75" customHeight="1" x14ac:dyDescent="0.2">
      <c r="B3289" s="2"/>
      <c r="C3289" s="15"/>
      <c r="D3289" s="2"/>
    </row>
    <row r="3290" spans="1:4" ht="12.75" customHeight="1" x14ac:dyDescent="0.2">
      <c r="A3290" s="13" t="s">
        <v>2968</v>
      </c>
      <c r="C3290" s="12"/>
      <c r="D3290" s="2"/>
    </row>
    <row r="3291" spans="1:4" ht="12.75" customHeight="1" x14ac:dyDescent="0.2">
      <c r="A3291" s="11"/>
      <c r="B3291" s="2"/>
      <c r="C3291" s="15"/>
      <c r="D3291" s="2"/>
    </row>
    <row r="3292" spans="1:4" ht="12.75" customHeight="1" x14ac:dyDescent="0.2">
      <c r="B3292" s="11" t="s">
        <v>0</v>
      </c>
      <c r="C3292" s="17" t="s">
        <v>260</v>
      </c>
      <c r="D3292" s="2"/>
    </row>
    <row r="3293" spans="1:4" ht="12.75" customHeight="1" x14ac:dyDescent="0.2">
      <c r="B3293" s="11" t="s">
        <v>2599</v>
      </c>
      <c r="C3293" s="17" t="s">
        <v>2969</v>
      </c>
      <c r="D3293" s="2"/>
    </row>
    <row r="3294" spans="1:4" ht="25.5" customHeight="1" x14ac:dyDescent="0.2">
      <c r="B3294" s="11" t="s">
        <v>2600</v>
      </c>
      <c r="C3294" s="17" t="s">
        <v>3091</v>
      </c>
      <c r="D3294" s="2"/>
    </row>
    <row r="3295" spans="1:4" ht="25.5" customHeight="1" x14ac:dyDescent="0.2">
      <c r="B3295" s="11" t="s">
        <v>2601</v>
      </c>
      <c r="C3295" s="17"/>
      <c r="D3295" s="2"/>
    </row>
    <row r="3296" spans="1:4" ht="12.75" customHeight="1" x14ac:dyDescent="0.2">
      <c r="B3296" s="11" t="s">
        <v>16</v>
      </c>
      <c r="C3296" s="17"/>
      <c r="D3296" s="2"/>
    </row>
    <row r="3297" spans="1:4" ht="12.75" customHeight="1" x14ac:dyDescent="0.2">
      <c r="B3297" s="11" t="s">
        <v>13</v>
      </c>
      <c r="C3297" s="17" t="s">
        <v>2644</v>
      </c>
      <c r="D3297" s="2"/>
    </row>
    <row r="3298" spans="1:4" ht="25.5" customHeight="1" x14ac:dyDescent="0.2">
      <c r="B3298" s="11" t="s">
        <v>2603</v>
      </c>
      <c r="C3298" s="17" t="s">
        <v>2971</v>
      </c>
      <c r="D3298" s="2"/>
    </row>
    <row r="3299" spans="1:4" ht="12.75" customHeight="1" x14ac:dyDescent="0.2">
      <c r="B3299" s="11" t="s">
        <v>2605</v>
      </c>
      <c r="C3299" s="17" t="s">
        <v>14</v>
      </c>
      <c r="D3299" s="2"/>
    </row>
    <row r="3300" spans="1:4" ht="12.75" customHeight="1" x14ac:dyDescent="0.2">
      <c r="B3300" s="11" t="s">
        <v>2606</v>
      </c>
      <c r="C3300" s="16" t="s">
        <v>19</v>
      </c>
      <c r="D3300" s="2"/>
    </row>
    <row r="3301" spans="1:4" ht="12.75" customHeight="1" x14ac:dyDescent="0.2">
      <c r="B3301" s="2"/>
      <c r="C3301" s="15"/>
      <c r="D3301" s="2"/>
    </row>
    <row r="3302" spans="1:4" ht="12.75" customHeight="1" x14ac:dyDescent="0.2">
      <c r="B3302" s="2"/>
      <c r="C3302" s="15"/>
      <c r="D3302" s="2"/>
    </row>
    <row r="3303" spans="1:4" ht="12.75" customHeight="1" x14ac:dyDescent="0.2">
      <c r="A3303" s="13" t="s">
        <v>3092</v>
      </c>
      <c r="C3303" s="12"/>
      <c r="D3303" s="2"/>
    </row>
    <row r="3304" spans="1:4" ht="12.75" customHeight="1" x14ac:dyDescent="0.2">
      <c r="A3304" s="11"/>
      <c r="B3304" s="2"/>
      <c r="C3304" s="15"/>
      <c r="D3304" s="2"/>
    </row>
    <row r="3305" spans="1:4" ht="12.75" customHeight="1" x14ac:dyDescent="0.2">
      <c r="B3305" s="11" t="s">
        <v>0</v>
      </c>
      <c r="C3305" s="17" t="s">
        <v>260</v>
      </c>
      <c r="D3305" s="2"/>
    </row>
    <row r="3306" spans="1:4" ht="12.75" customHeight="1" x14ac:dyDescent="0.2">
      <c r="B3306" s="11" t="s">
        <v>2599</v>
      </c>
      <c r="C3306" s="17" t="s">
        <v>2413</v>
      </c>
      <c r="D3306" s="2"/>
    </row>
    <row r="3307" spans="1:4" ht="25.5" customHeight="1" x14ac:dyDescent="0.2">
      <c r="B3307" s="11" t="s">
        <v>2600</v>
      </c>
      <c r="C3307" s="17" t="s">
        <v>3093</v>
      </c>
      <c r="D3307" s="2"/>
    </row>
    <row r="3308" spans="1:4" ht="25.5" customHeight="1" x14ac:dyDescent="0.2">
      <c r="B3308" s="11" t="s">
        <v>2601</v>
      </c>
      <c r="C3308" s="17"/>
      <c r="D3308" s="2"/>
    </row>
    <row r="3309" spans="1:4" ht="12.75" customHeight="1" x14ac:dyDescent="0.2">
      <c r="B3309" s="11" t="s">
        <v>16</v>
      </c>
      <c r="C3309" s="17"/>
      <c r="D3309" s="2"/>
    </row>
    <row r="3310" spans="1:4" ht="12.75" customHeight="1" x14ac:dyDescent="0.2">
      <c r="B3310" s="11" t="s">
        <v>13</v>
      </c>
      <c r="C3310" s="17" t="s">
        <v>2644</v>
      </c>
      <c r="D3310" s="2"/>
    </row>
    <row r="3311" spans="1:4" ht="12.75" customHeight="1" x14ac:dyDescent="0.2">
      <c r="B3311" s="11" t="s">
        <v>2603</v>
      </c>
      <c r="C3311" s="17" t="s">
        <v>128</v>
      </c>
      <c r="D3311" s="2"/>
    </row>
    <row r="3312" spans="1:4" ht="12.75" customHeight="1" x14ac:dyDescent="0.2">
      <c r="B3312" s="11" t="s">
        <v>2605</v>
      </c>
      <c r="C3312" s="17" t="s">
        <v>14</v>
      </c>
      <c r="D3312" s="2"/>
    </row>
    <row r="3313" spans="1:4" ht="12.75" customHeight="1" x14ac:dyDescent="0.2">
      <c r="B3313" s="11" t="s">
        <v>2606</v>
      </c>
      <c r="C3313" s="16" t="s">
        <v>19</v>
      </c>
      <c r="D3313" s="2"/>
    </row>
    <row r="3314" spans="1:4" ht="12.75" customHeight="1" x14ac:dyDescent="0.2">
      <c r="B3314" s="2"/>
      <c r="C3314" s="15"/>
      <c r="D3314" s="2"/>
    </row>
    <row r="3315" spans="1:4" ht="12.75" customHeight="1" x14ac:dyDescent="0.2">
      <c r="B3315" s="2"/>
      <c r="C3315" s="15"/>
      <c r="D3315" s="2"/>
    </row>
    <row r="3316" spans="1:4" ht="12.75" customHeight="1" x14ac:dyDescent="0.2">
      <c r="A3316" s="13" t="s">
        <v>3094</v>
      </c>
      <c r="C3316" s="12"/>
    </row>
    <row r="3317" spans="1:4" ht="12.75" customHeight="1" x14ac:dyDescent="0.2">
      <c r="A3317" s="11"/>
      <c r="B3317" s="2"/>
      <c r="C3317" s="15"/>
      <c r="D3317" s="2"/>
    </row>
    <row r="3318" spans="1:4" ht="12.75" customHeight="1" x14ac:dyDescent="0.2">
      <c r="B3318" s="11" t="s">
        <v>0</v>
      </c>
      <c r="C3318" s="11" t="s">
        <v>260</v>
      </c>
    </row>
    <row r="3319" spans="1:4" ht="12.75" customHeight="1" x14ac:dyDescent="0.2">
      <c r="B3319" s="11" t="s">
        <v>2599</v>
      </c>
      <c r="C3319" s="11" t="s">
        <v>2087</v>
      </c>
    </row>
    <row r="3320" spans="1:4" ht="25.5" customHeight="1" x14ac:dyDescent="0.2">
      <c r="B3320" s="11" t="s">
        <v>2600</v>
      </c>
      <c r="C3320" s="11" t="s">
        <v>3095</v>
      </c>
    </row>
    <row r="3321" spans="1:4" ht="25.5" customHeight="1" x14ac:dyDescent="0.2">
      <c r="B3321" s="11" t="s">
        <v>2601</v>
      </c>
      <c r="C3321" s="11"/>
    </row>
    <row r="3322" spans="1:4" ht="12.75" customHeight="1" x14ac:dyDescent="0.2">
      <c r="B3322" s="11" t="s">
        <v>16</v>
      </c>
      <c r="C3322" s="11"/>
    </row>
    <row r="3323" spans="1:4" ht="12.75" customHeight="1" x14ac:dyDescent="0.2">
      <c r="B3323" s="11" t="s">
        <v>13</v>
      </c>
      <c r="C3323" s="11" t="s">
        <v>2644</v>
      </c>
    </row>
    <row r="3324" spans="1:4" ht="12.75" customHeight="1" x14ac:dyDescent="0.2">
      <c r="B3324" s="11" t="s">
        <v>2603</v>
      </c>
      <c r="C3324" s="11" t="s">
        <v>2604</v>
      </c>
    </row>
    <row r="3325" spans="1:4" ht="12.75" customHeight="1" x14ac:dyDescent="0.2">
      <c r="B3325" s="11" t="s">
        <v>2605</v>
      </c>
      <c r="C3325" s="11" t="s">
        <v>24</v>
      </c>
    </row>
    <row r="3326" spans="1:4" ht="12.75" customHeight="1" x14ac:dyDescent="0.2">
      <c r="B3326" s="11" t="s">
        <v>2606</v>
      </c>
      <c r="C3326" s="16" t="s">
        <v>56</v>
      </c>
      <c r="D3326" s="6" t="str">
        <f>HYPERLINK("javascript:void(0)","bűzmirigy")</f>
        <v>bűzmirigy</v>
      </c>
    </row>
    <row r="3327" spans="1:4" ht="12.75" customHeight="1" x14ac:dyDescent="0.2">
      <c r="B3327" s="2"/>
      <c r="C3327" s="15"/>
      <c r="D3327" s="2"/>
    </row>
    <row r="3328" spans="1:4" ht="12.75" customHeight="1" x14ac:dyDescent="0.2">
      <c r="B3328" s="2"/>
      <c r="C3328" s="15"/>
      <c r="D3328" s="2"/>
    </row>
    <row r="3329" spans="1:4" ht="12.75" customHeight="1" x14ac:dyDescent="0.2">
      <c r="A3329" s="13" t="s">
        <v>3096</v>
      </c>
      <c r="C3329" s="12"/>
    </row>
    <row r="3330" spans="1:4" ht="12.75" customHeight="1" x14ac:dyDescent="0.2">
      <c r="A3330" s="11"/>
      <c r="B3330" s="2"/>
      <c r="C3330" s="15"/>
      <c r="D3330" s="2"/>
    </row>
    <row r="3331" spans="1:4" ht="12.75" customHeight="1" x14ac:dyDescent="0.2">
      <c r="B3331" s="11" t="s">
        <v>0</v>
      </c>
      <c r="C3331" s="11" t="s">
        <v>260</v>
      </c>
    </row>
    <row r="3332" spans="1:4" ht="12.75" customHeight="1" x14ac:dyDescent="0.2">
      <c r="B3332" s="11" t="s">
        <v>2599</v>
      </c>
      <c r="C3332" s="11" t="s">
        <v>3044</v>
      </c>
    </row>
    <row r="3333" spans="1:4" ht="25.5" customHeight="1" x14ac:dyDescent="0.2">
      <c r="B3333" s="11" t="s">
        <v>2600</v>
      </c>
      <c r="C3333" s="11" t="s">
        <v>3097</v>
      </c>
    </row>
    <row r="3334" spans="1:4" ht="25.5" customHeight="1" x14ac:dyDescent="0.2">
      <c r="B3334" s="11" t="s">
        <v>2601</v>
      </c>
      <c r="C3334" s="11"/>
    </row>
    <row r="3335" spans="1:4" ht="12.75" customHeight="1" x14ac:dyDescent="0.2">
      <c r="B3335" s="11" t="s">
        <v>16</v>
      </c>
      <c r="C3335" s="11"/>
    </row>
    <row r="3336" spans="1:4" ht="12.75" customHeight="1" x14ac:dyDescent="0.2">
      <c r="B3336" s="11" t="s">
        <v>13</v>
      </c>
      <c r="C3336" s="11" t="s">
        <v>2602</v>
      </c>
    </row>
    <row r="3337" spans="1:4" ht="12.75" customHeight="1" x14ac:dyDescent="0.2">
      <c r="B3337" s="11" t="s">
        <v>2603</v>
      </c>
      <c r="C3337" s="11" t="s">
        <v>2604</v>
      </c>
    </row>
    <row r="3338" spans="1:4" ht="12.75" customHeight="1" x14ac:dyDescent="0.2">
      <c r="B3338" s="11" t="s">
        <v>2605</v>
      </c>
      <c r="C3338" s="11" t="s">
        <v>24</v>
      </c>
    </row>
    <row r="3339" spans="1:4" ht="12.75" customHeight="1" x14ac:dyDescent="0.2">
      <c r="B3339" s="11" t="s">
        <v>2606</v>
      </c>
      <c r="C3339" s="16" t="s">
        <v>44</v>
      </c>
      <c r="D3339" s="6" t="str">
        <f>HYPERLINK("javascript:void(0)","mágusbot")</f>
        <v>mágusbot</v>
      </c>
    </row>
    <row r="3340" spans="1:4" ht="12.75" customHeight="1" x14ac:dyDescent="0.2">
      <c r="C3340" s="16" t="s">
        <v>45</v>
      </c>
      <c r="D3340" s="6" t="str">
        <f>HYPERLINK("javascript:void(0)","ezüst")</f>
        <v>ezüst</v>
      </c>
    </row>
    <row r="3341" spans="1:4" ht="12.75" customHeight="1" x14ac:dyDescent="0.2">
      <c r="B3341" s="2"/>
      <c r="C3341" s="15"/>
      <c r="D3341" s="2"/>
    </row>
    <row r="3342" spans="1:4" ht="12.75" customHeight="1" x14ac:dyDescent="0.2">
      <c r="B3342" s="2"/>
      <c r="C3342" s="15"/>
      <c r="D3342" s="2"/>
    </row>
    <row r="3343" spans="1:4" ht="12.75" customHeight="1" x14ac:dyDescent="0.2">
      <c r="A3343" s="13" t="s">
        <v>3098</v>
      </c>
      <c r="C3343" s="12"/>
    </row>
    <row r="3344" spans="1:4" ht="12.75" customHeight="1" x14ac:dyDescent="0.2">
      <c r="A3344" s="11"/>
      <c r="B3344" s="2"/>
      <c r="C3344" s="15"/>
      <c r="D3344" s="2"/>
    </row>
    <row r="3345" spans="1:4" ht="12.75" customHeight="1" x14ac:dyDescent="0.2">
      <c r="B3345" s="11" t="s">
        <v>0</v>
      </c>
      <c r="C3345" s="11" t="s">
        <v>260</v>
      </c>
    </row>
    <row r="3346" spans="1:4" ht="12.75" customHeight="1" x14ac:dyDescent="0.2">
      <c r="B3346" s="11" t="s">
        <v>2599</v>
      </c>
      <c r="C3346" s="11" t="s">
        <v>2505</v>
      </c>
    </row>
    <row r="3347" spans="1:4" ht="25.5" customHeight="1" x14ac:dyDescent="0.2">
      <c r="B3347" s="11" t="s">
        <v>2600</v>
      </c>
      <c r="C3347" s="11" t="s">
        <v>3097</v>
      </c>
    </row>
    <row r="3348" spans="1:4" ht="25.5" customHeight="1" x14ac:dyDescent="0.2">
      <c r="B3348" s="11" t="s">
        <v>2601</v>
      </c>
      <c r="C3348" s="11"/>
    </row>
    <row r="3349" spans="1:4" ht="12.75" customHeight="1" x14ac:dyDescent="0.2">
      <c r="B3349" s="11" t="s">
        <v>16</v>
      </c>
      <c r="C3349" s="11"/>
    </row>
    <row r="3350" spans="1:4" ht="12.75" customHeight="1" x14ac:dyDescent="0.2">
      <c r="B3350" s="11" t="s">
        <v>13</v>
      </c>
      <c r="C3350" s="11" t="s">
        <v>2602</v>
      </c>
    </row>
    <row r="3351" spans="1:4" ht="12.75" customHeight="1" x14ac:dyDescent="0.2">
      <c r="B3351" s="11" t="s">
        <v>2603</v>
      </c>
      <c r="C3351" s="11" t="s">
        <v>2604</v>
      </c>
    </row>
    <row r="3352" spans="1:4" ht="12.75" customHeight="1" x14ac:dyDescent="0.2">
      <c r="B3352" s="11" t="s">
        <v>2605</v>
      </c>
      <c r="C3352" s="11" t="s">
        <v>24</v>
      </c>
    </row>
    <row r="3353" spans="1:4" ht="12.75" customHeight="1" x14ac:dyDescent="0.2">
      <c r="B3353" s="11" t="s">
        <v>2606</v>
      </c>
      <c r="C3353" s="16" t="s">
        <v>44</v>
      </c>
      <c r="D3353" s="6" t="str">
        <f>HYPERLINK("javascript:void(0)","bot")</f>
        <v>bot</v>
      </c>
    </row>
    <row r="3354" spans="1:4" ht="12.75" customHeight="1" x14ac:dyDescent="0.2">
      <c r="C3354" s="16" t="s">
        <v>44</v>
      </c>
      <c r="D3354" s="6" t="str">
        <f>HYPERLINK("javascript:void(0)","manaital")</f>
        <v>manaital</v>
      </c>
    </row>
    <row r="3355" spans="1:4" ht="12.75" customHeight="1" x14ac:dyDescent="0.2">
      <c r="C3355" s="16" t="s">
        <v>44</v>
      </c>
      <c r="D3355" s="6" t="str">
        <f>HYPERLINK("javascript:void(0)","madártoll")</f>
        <v>madártoll</v>
      </c>
    </row>
    <row r="3356" spans="1:4" ht="12.75" customHeight="1" x14ac:dyDescent="0.2">
      <c r="C3356" s="16" t="s">
        <v>44</v>
      </c>
      <c r="D3356" s="6" t="str">
        <f>HYPERLINK("javascript:void(0)","savkristály")</f>
        <v>savkristály</v>
      </c>
    </row>
    <row r="3357" spans="1:4" ht="25.5" customHeight="1" x14ac:dyDescent="0.2">
      <c r="C3357" s="16" t="s">
        <v>44</v>
      </c>
      <c r="D3357" s="6" t="str">
        <f>HYPERLINK("javascript:void(0)","démonnyúlmáj")</f>
        <v>démonnyúlmáj</v>
      </c>
    </row>
    <row r="3358" spans="1:4" ht="12.75" customHeight="1" x14ac:dyDescent="0.2">
      <c r="B3358" s="2"/>
      <c r="C3358" s="15"/>
      <c r="D3358" s="2"/>
    </row>
    <row r="3359" spans="1:4" ht="12.75" customHeight="1" x14ac:dyDescent="0.2">
      <c r="B3359" s="2"/>
      <c r="C3359" s="15"/>
      <c r="D3359" s="2"/>
    </row>
    <row r="3360" spans="1:4" ht="12.75" customHeight="1" x14ac:dyDescent="0.2">
      <c r="A3360" s="13" t="s">
        <v>3099</v>
      </c>
      <c r="C3360" s="12"/>
    </row>
    <row r="3361" spans="1:4" ht="12.75" customHeight="1" x14ac:dyDescent="0.2">
      <c r="A3361" s="11"/>
      <c r="B3361" s="2"/>
      <c r="C3361" s="15"/>
      <c r="D3361" s="2"/>
    </row>
    <row r="3362" spans="1:4" ht="12.75" customHeight="1" x14ac:dyDescent="0.2">
      <c r="B3362" s="11" t="s">
        <v>0</v>
      </c>
      <c r="C3362" s="11" t="s">
        <v>260</v>
      </c>
    </row>
    <row r="3363" spans="1:4" ht="12.75" customHeight="1" x14ac:dyDescent="0.2">
      <c r="B3363" s="11" t="s">
        <v>2599</v>
      </c>
      <c r="C3363" s="11" t="s">
        <v>3100</v>
      </c>
    </row>
    <row r="3364" spans="1:4" ht="25.5" customHeight="1" x14ac:dyDescent="0.2">
      <c r="B3364" s="11" t="s">
        <v>2600</v>
      </c>
      <c r="C3364" s="11" t="s">
        <v>3101</v>
      </c>
    </row>
    <row r="3365" spans="1:4" ht="25.5" customHeight="1" x14ac:dyDescent="0.2">
      <c r="B3365" s="11" t="s">
        <v>2601</v>
      </c>
      <c r="C3365" s="11"/>
    </row>
    <row r="3366" spans="1:4" ht="12.75" customHeight="1" x14ac:dyDescent="0.2">
      <c r="B3366" s="11" t="s">
        <v>16</v>
      </c>
      <c r="C3366" s="11"/>
    </row>
    <row r="3367" spans="1:4" ht="12.75" customHeight="1" x14ac:dyDescent="0.2">
      <c r="B3367" s="11" t="s">
        <v>13</v>
      </c>
      <c r="C3367" s="11" t="s">
        <v>2602</v>
      </c>
    </row>
    <row r="3368" spans="1:4" ht="12.75" customHeight="1" x14ac:dyDescent="0.2">
      <c r="B3368" s="11" t="s">
        <v>2603</v>
      </c>
      <c r="C3368" s="11" t="s">
        <v>2604</v>
      </c>
    </row>
    <row r="3369" spans="1:4" ht="12.75" customHeight="1" x14ac:dyDescent="0.2">
      <c r="B3369" s="11" t="s">
        <v>2605</v>
      </c>
      <c r="C3369" s="11" t="s">
        <v>24</v>
      </c>
    </row>
    <row r="3370" spans="1:4" ht="12.75" customHeight="1" x14ac:dyDescent="0.2">
      <c r="B3370" s="11" t="s">
        <v>2606</v>
      </c>
      <c r="C3370" s="16" t="s">
        <v>44</v>
      </c>
      <c r="D3370" s="6" t="str">
        <f>HYPERLINK("javascript:void(0)","mágusbot")</f>
        <v>mágusbot</v>
      </c>
    </row>
    <row r="3371" spans="1:4" ht="12.75" customHeight="1" x14ac:dyDescent="0.2">
      <c r="C3371" s="16" t="s">
        <v>45</v>
      </c>
      <c r="D3371" s="6" t="str">
        <f>HYPERLINK("javascript:void(0)","ezüst")</f>
        <v>ezüst</v>
      </c>
    </row>
    <row r="3372" spans="1:4" ht="12.75" customHeight="1" x14ac:dyDescent="0.2">
      <c r="B3372" s="2"/>
      <c r="C3372" s="15"/>
      <c r="D3372" s="2"/>
    </row>
    <row r="3373" spans="1:4" ht="12.75" customHeight="1" x14ac:dyDescent="0.2">
      <c r="B3373" s="2"/>
      <c r="C3373" s="15"/>
      <c r="D3373" s="2"/>
    </row>
    <row r="3374" spans="1:4" ht="12.75" customHeight="1" x14ac:dyDescent="0.2">
      <c r="A3374" s="13" t="s">
        <v>3102</v>
      </c>
      <c r="C3374" s="12"/>
    </row>
    <row r="3375" spans="1:4" ht="12.75" customHeight="1" x14ac:dyDescent="0.2">
      <c r="A3375" s="11"/>
      <c r="B3375" s="2"/>
      <c r="C3375" s="15"/>
      <c r="D3375" s="2"/>
    </row>
    <row r="3376" spans="1:4" ht="12.75" customHeight="1" x14ac:dyDescent="0.2">
      <c r="B3376" s="11" t="s">
        <v>0</v>
      </c>
      <c r="C3376" s="11" t="s">
        <v>260</v>
      </c>
    </row>
    <row r="3377" spans="1:4" ht="12.75" customHeight="1" x14ac:dyDescent="0.2">
      <c r="B3377" s="11" t="s">
        <v>2599</v>
      </c>
      <c r="C3377" s="11" t="s">
        <v>3103</v>
      </c>
    </row>
    <row r="3378" spans="1:4" ht="25.5" customHeight="1" x14ac:dyDescent="0.2">
      <c r="B3378" s="11" t="s">
        <v>2600</v>
      </c>
      <c r="C3378" s="11" t="s">
        <v>3104</v>
      </c>
    </row>
    <row r="3379" spans="1:4" ht="25.5" customHeight="1" x14ac:dyDescent="0.2">
      <c r="B3379" s="11" t="s">
        <v>2601</v>
      </c>
      <c r="C3379" s="11"/>
    </row>
    <row r="3380" spans="1:4" ht="12.75" customHeight="1" x14ac:dyDescent="0.2">
      <c r="B3380" s="11" t="s">
        <v>16</v>
      </c>
      <c r="C3380" s="11"/>
    </row>
    <row r="3381" spans="1:4" ht="12.75" customHeight="1" x14ac:dyDescent="0.2">
      <c r="B3381" s="11" t="s">
        <v>13</v>
      </c>
      <c r="C3381" s="11" t="s">
        <v>2644</v>
      </c>
    </row>
    <row r="3382" spans="1:4" ht="12.75" customHeight="1" x14ac:dyDescent="0.2">
      <c r="B3382" s="11" t="s">
        <v>2603</v>
      </c>
      <c r="C3382" s="11" t="s">
        <v>2604</v>
      </c>
    </row>
    <row r="3383" spans="1:4" ht="12.75" customHeight="1" x14ac:dyDescent="0.2">
      <c r="B3383" s="11" t="s">
        <v>2605</v>
      </c>
      <c r="C3383" s="11" t="s">
        <v>24</v>
      </c>
    </row>
    <row r="3384" spans="1:4" ht="25.5" customHeight="1" x14ac:dyDescent="0.2">
      <c r="B3384" s="11" t="s">
        <v>2606</v>
      </c>
      <c r="C3384" s="16" t="s">
        <v>56</v>
      </c>
      <c r="D3384" s="6" t="str">
        <f>HYPERLINK("javascript:void(0)","sárkánypikkely")</f>
        <v>sárkánypikkely</v>
      </c>
    </row>
    <row r="3385" spans="1:4" ht="12.75" customHeight="1" x14ac:dyDescent="0.2">
      <c r="C3385" s="16" t="s">
        <v>56</v>
      </c>
      <c r="D3385" s="6" t="str">
        <f>HYPERLINK("javascript:void(0)","sárkányfog")</f>
        <v>sárkányfog</v>
      </c>
    </row>
    <row r="3386" spans="1:4" ht="25.5" customHeight="1" x14ac:dyDescent="0.2">
      <c r="C3386" s="16" t="s">
        <v>56</v>
      </c>
      <c r="D3386" s="6" t="str">
        <f>HYPERLINK("javascript:void(0)","sárkánykarom")</f>
        <v>sárkánykarom</v>
      </c>
    </row>
    <row r="3387" spans="1:4" ht="12.75" customHeight="1" x14ac:dyDescent="0.2">
      <c r="B3387" s="2"/>
      <c r="C3387" s="15"/>
      <c r="D3387" s="2"/>
    </row>
    <row r="3388" spans="1:4" ht="12.75" customHeight="1" x14ac:dyDescent="0.2">
      <c r="B3388" s="2"/>
      <c r="C3388" s="15"/>
      <c r="D3388" s="2"/>
    </row>
    <row r="3389" spans="1:4" ht="12.75" customHeight="1" x14ac:dyDescent="0.2">
      <c r="A3389" s="13" t="s">
        <v>3105</v>
      </c>
      <c r="C3389" s="12"/>
    </row>
    <row r="3390" spans="1:4" ht="12.75" customHeight="1" x14ac:dyDescent="0.2">
      <c r="A3390" s="11"/>
      <c r="B3390" s="2"/>
      <c r="C3390" s="15"/>
      <c r="D3390" s="2"/>
    </row>
    <row r="3391" spans="1:4" ht="12.75" customHeight="1" x14ac:dyDescent="0.2">
      <c r="B3391" s="11" t="s">
        <v>0</v>
      </c>
      <c r="C3391" s="11" t="s">
        <v>260</v>
      </c>
    </row>
    <row r="3392" spans="1:4" ht="12.75" customHeight="1" x14ac:dyDescent="0.2">
      <c r="B3392" s="11" t="s">
        <v>2599</v>
      </c>
      <c r="C3392" s="11" t="s">
        <v>3106</v>
      </c>
    </row>
    <row r="3393" spans="1:4" ht="25.5" customHeight="1" x14ac:dyDescent="0.2">
      <c r="B3393" s="11" t="s">
        <v>2600</v>
      </c>
      <c r="C3393" s="11" t="s">
        <v>3107</v>
      </c>
    </row>
    <row r="3394" spans="1:4" ht="25.5" customHeight="1" x14ac:dyDescent="0.2">
      <c r="B3394" s="11" t="s">
        <v>2601</v>
      </c>
      <c r="C3394" s="11"/>
    </row>
    <row r="3395" spans="1:4" ht="12.75" customHeight="1" x14ac:dyDescent="0.2">
      <c r="B3395" s="11" t="s">
        <v>16</v>
      </c>
      <c r="C3395" s="11"/>
    </row>
    <row r="3396" spans="1:4" ht="12.75" customHeight="1" x14ac:dyDescent="0.2">
      <c r="B3396" s="11" t="s">
        <v>13</v>
      </c>
      <c r="C3396" s="11" t="s">
        <v>2644</v>
      </c>
    </row>
    <row r="3397" spans="1:4" ht="12.75" customHeight="1" x14ac:dyDescent="0.2">
      <c r="B3397" s="11" t="s">
        <v>2603</v>
      </c>
      <c r="C3397" s="11" t="s">
        <v>2604</v>
      </c>
    </row>
    <row r="3398" spans="1:4" ht="12.75" customHeight="1" x14ac:dyDescent="0.2">
      <c r="B3398" s="11" t="s">
        <v>2605</v>
      </c>
      <c r="C3398" s="11" t="s">
        <v>24</v>
      </c>
    </row>
    <row r="3399" spans="1:4" ht="25.5" customHeight="1" x14ac:dyDescent="0.2">
      <c r="B3399" s="11" t="s">
        <v>2606</v>
      </c>
      <c r="C3399" s="16" t="s">
        <v>56</v>
      </c>
      <c r="D3399" s="6" t="str">
        <f>HYPERLINK("javascript:void(0)","sárkánypikkely")</f>
        <v>sárkánypikkely</v>
      </c>
    </row>
    <row r="3400" spans="1:4" ht="12.75" customHeight="1" x14ac:dyDescent="0.2">
      <c r="C3400" s="16" t="s">
        <v>56</v>
      </c>
      <c r="D3400" s="6" t="str">
        <f>HYPERLINK("javascript:void(0)","sárkányfog")</f>
        <v>sárkányfog</v>
      </c>
    </row>
    <row r="3401" spans="1:4" ht="25.5" customHeight="1" x14ac:dyDescent="0.2">
      <c r="C3401" s="16" t="s">
        <v>56</v>
      </c>
      <c r="D3401" s="6" t="str">
        <f>HYPERLINK("javascript:void(0)","sárkánykarom")</f>
        <v>sárkánykarom</v>
      </c>
    </row>
    <row r="3402" spans="1:4" ht="12.75" customHeight="1" x14ac:dyDescent="0.2">
      <c r="B3402" s="2"/>
      <c r="C3402" s="15"/>
      <c r="D3402" s="2"/>
    </row>
    <row r="3403" spans="1:4" ht="12.75" customHeight="1" x14ac:dyDescent="0.2">
      <c r="B3403" s="2"/>
      <c r="C3403" s="15"/>
      <c r="D3403" s="2"/>
    </row>
    <row r="3404" spans="1:4" ht="12.75" customHeight="1" x14ac:dyDescent="0.2">
      <c r="A3404" s="13" t="s">
        <v>3108</v>
      </c>
      <c r="C3404" s="12"/>
    </row>
    <row r="3405" spans="1:4" ht="12.75" customHeight="1" x14ac:dyDescent="0.2">
      <c r="A3405" s="11"/>
      <c r="B3405" s="2"/>
      <c r="C3405" s="15"/>
      <c r="D3405" s="2"/>
    </row>
    <row r="3406" spans="1:4" ht="12.75" customHeight="1" x14ac:dyDescent="0.2">
      <c r="B3406" s="11" t="s">
        <v>0</v>
      </c>
      <c r="C3406" s="11" t="s">
        <v>260</v>
      </c>
    </row>
    <row r="3407" spans="1:4" ht="12.75" customHeight="1" x14ac:dyDescent="0.2">
      <c r="B3407" s="11" t="s">
        <v>2599</v>
      </c>
      <c r="C3407" s="11" t="s">
        <v>682</v>
      </c>
    </row>
    <row r="3408" spans="1:4" ht="25.5" customHeight="1" x14ac:dyDescent="0.2">
      <c r="B3408" s="11" t="s">
        <v>2600</v>
      </c>
      <c r="C3408" s="11" t="s">
        <v>3109</v>
      </c>
    </row>
    <row r="3409" spans="1:4" ht="25.5" customHeight="1" x14ac:dyDescent="0.2">
      <c r="B3409" s="11" t="s">
        <v>2601</v>
      </c>
      <c r="C3409" s="11"/>
    </row>
    <row r="3410" spans="1:4" ht="12.75" customHeight="1" x14ac:dyDescent="0.2">
      <c r="B3410" s="11" t="s">
        <v>16</v>
      </c>
      <c r="C3410" s="11"/>
    </row>
    <row r="3411" spans="1:4" ht="12.75" customHeight="1" x14ac:dyDescent="0.2">
      <c r="B3411" s="11" t="s">
        <v>13</v>
      </c>
      <c r="C3411" s="11" t="s">
        <v>2644</v>
      </c>
    </row>
    <row r="3412" spans="1:4" ht="12.75" customHeight="1" x14ac:dyDescent="0.2">
      <c r="B3412" s="11" t="s">
        <v>2603</v>
      </c>
      <c r="C3412" s="11" t="s">
        <v>2604</v>
      </c>
    </row>
    <row r="3413" spans="1:4" ht="12.75" customHeight="1" x14ac:dyDescent="0.2">
      <c r="B3413" s="11" t="s">
        <v>2605</v>
      </c>
      <c r="C3413" s="11" t="s">
        <v>24</v>
      </c>
    </row>
    <row r="3414" spans="1:4" ht="25.5" customHeight="1" x14ac:dyDescent="0.2">
      <c r="B3414" s="11" t="s">
        <v>2606</v>
      </c>
      <c r="C3414" s="16" t="s">
        <v>56</v>
      </c>
      <c r="D3414" s="6" t="str">
        <f>HYPERLINK("javascript:void(0)","sárkánypikkely")</f>
        <v>sárkánypikkely</v>
      </c>
    </row>
    <row r="3415" spans="1:4" ht="12.75" customHeight="1" x14ac:dyDescent="0.2">
      <c r="C3415" s="16" t="s">
        <v>56</v>
      </c>
      <c r="D3415" s="6" t="str">
        <f>HYPERLINK("javascript:void(0)","sárkányfog")</f>
        <v>sárkányfog</v>
      </c>
    </row>
    <row r="3416" spans="1:4" ht="25.5" customHeight="1" x14ac:dyDescent="0.2">
      <c r="C3416" s="16" t="s">
        <v>56</v>
      </c>
      <c r="D3416" s="6" t="str">
        <f>HYPERLINK("javascript:void(0)","sárkánykarom")</f>
        <v>sárkánykarom</v>
      </c>
    </row>
    <row r="3417" spans="1:4" ht="12.75" customHeight="1" x14ac:dyDescent="0.2">
      <c r="B3417" s="2"/>
      <c r="C3417" s="15"/>
      <c r="D3417" s="2"/>
    </row>
    <row r="3418" spans="1:4" ht="12.75" customHeight="1" x14ac:dyDescent="0.2">
      <c r="B3418" s="2"/>
      <c r="C3418" s="15"/>
      <c r="D3418" s="2"/>
    </row>
    <row r="3419" spans="1:4" ht="12.75" customHeight="1" x14ac:dyDescent="0.2">
      <c r="A3419" s="13" t="s">
        <v>3110</v>
      </c>
      <c r="C3419" s="12"/>
    </row>
    <row r="3420" spans="1:4" ht="12.75" customHeight="1" x14ac:dyDescent="0.2">
      <c r="A3420" s="11"/>
      <c r="B3420" s="2"/>
      <c r="C3420" s="15"/>
      <c r="D3420" s="2"/>
    </row>
    <row r="3421" spans="1:4" ht="12.75" customHeight="1" x14ac:dyDescent="0.2">
      <c r="B3421" s="11" t="s">
        <v>0</v>
      </c>
      <c r="C3421" s="11" t="s">
        <v>260</v>
      </c>
    </row>
    <row r="3422" spans="1:4" ht="12.75" customHeight="1" x14ac:dyDescent="0.2">
      <c r="B3422" s="11" t="s">
        <v>2599</v>
      </c>
      <c r="C3422" s="11" t="s">
        <v>3111</v>
      </c>
    </row>
    <row r="3423" spans="1:4" ht="25.5" customHeight="1" x14ac:dyDescent="0.2">
      <c r="B3423" s="11" t="s">
        <v>2600</v>
      </c>
      <c r="C3423" s="11" t="s">
        <v>3112</v>
      </c>
    </row>
    <row r="3424" spans="1:4" ht="25.5" customHeight="1" x14ac:dyDescent="0.2">
      <c r="B3424" s="11" t="s">
        <v>2601</v>
      </c>
      <c r="C3424" s="11"/>
    </row>
    <row r="3425" spans="1:4" ht="12.75" customHeight="1" x14ac:dyDescent="0.2">
      <c r="B3425" s="11" t="s">
        <v>16</v>
      </c>
      <c r="C3425" s="11"/>
    </row>
    <row r="3426" spans="1:4" ht="12.75" customHeight="1" x14ac:dyDescent="0.2">
      <c r="B3426" s="11" t="s">
        <v>13</v>
      </c>
      <c r="C3426" s="11" t="s">
        <v>2602</v>
      </c>
    </row>
    <row r="3427" spans="1:4" ht="12.75" customHeight="1" x14ac:dyDescent="0.2">
      <c r="B3427" s="11" t="s">
        <v>2603</v>
      </c>
      <c r="C3427" s="11" t="s">
        <v>2604</v>
      </c>
    </row>
    <row r="3428" spans="1:4" ht="12.75" customHeight="1" x14ac:dyDescent="0.2">
      <c r="B3428" s="11" t="s">
        <v>2605</v>
      </c>
      <c r="C3428" s="11" t="s">
        <v>24</v>
      </c>
    </row>
    <row r="3429" spans="1:4" ht="25.5" customHeight="1" x14ac:dyDescent="0.2">
      <c r="B3429" s="11" t="s">
        <v>2606</v>
      </c>
      <c r="C3429" s="16" t="s">
        <v>44</v>
      </c>
      <c r="D3429" s="6" t="str">
        <f>HYPERLINK("javascript:void(0)","mengorni kard")</f>
        <v>mengorni kard</v>
      </c>
    </row>
    <row r="3430" spans="1:4" ht="12.75" customHeight="1" x14ac:dyDescent="0.2">
      <c r="C3430" s="16" t="s">
        <v>56</v>
      </c>
      <c r="D3430" s="6" t="str">
        <f>HYPERLINK("javascript:void(0)","arany")</f>
        <v>arany</v>
      </c>
    </row>
    <row r="3431" spans="1:4" ht="12.75" customHeight="1" x14ac:dyDescent="0.2">
      <c r="B3431" s="2"/>
      <c r="C3431" s="15"/>
      <c r="D3431" s="2"/>
    </row>
    <row r="3432" spans="1:4" ht="12.75" customHeight="1" x14ac:dyDescent="0.2">
      <c r="B3432" s="2"/>
      <c r="C3432" s="15"/>
      <c r="D3432" s="2"/>
    </row>
    <row r="3433" spans="1:4" ht="12.75" customHeight="1" x14ac:dyDescent="0.2">
      <c r="A3433" s="13" t="s">
        <v>3113</v>
      </c>
      <c r="C3433" s="12"/>
      <c r="D3433" s="2"/>
    </row>
    <row r="3434" spans="1:4" ht="12.75" customHeight="1" x14ac:dyDescent="0.2">
      <c r="A3434" s="11"/>
      <c r="B3434" s="2"/>
      <c r="C3434" s="15"/>
      <c r="D3434" s="2"/>
    </row>
    <row r="3435" spans="1:4" ht="12.75" customHeight="1" x14ac:dyDescent="0.2">
      <c r="B3435" s="11" t="s">
        <v>0</v>
      </c>
      <c r="C3435" s="17" t="s">
        <v>272</v>
      </c>
      <c r="D3435" s="2"/>
    </row>
    <row r="3436" spans="1:4" ht="12.75" customHeight="1" x14ac:dyDescent="0.2">
      <c r="B3436" s="11" t="s">
        <v>2599</v>
      </c>
      <c r="C3436" s="17" t="s">
        <v>2558</v>
      </c>
      <c r="D3436" s="2"/>
    </row>
    <row r="3437" spans="1:4" ht="25.5" customHeight="1" x14ac:dyDescent="0.2">
      <c r="B3437" s="11" t="s">
        <v>2600</v>
      </c>
      <c r="C3437" s="17" t="s">
        <v>3114</v>
      </c>
      <c r="D3437" s="2"/>
    </row>
    <row r="3438" spans="1:4" ht="25.5" customHeight="1" x14ac:dyDescent="0.2">
      <c r="B3438" s="11" t="s">
        <v>2601</v>
      </c>
      <c r="C3438" s="17"/>
      <c r="D3438" s="2"/>
    </row>
    <row r="3439" spans="1:4" ht="12.75" customHeight="1" x14ac:dyDescent="0.2">
      <c r="B3439" s="11" t="s">
        <v>16</v>
      </c>
      <c r="C3439" s="17"/>
      <c r="D3439" s="2"/>
    </row>
    <row r="3440" spans="1:4" ht="12.75" customHeight="1" x14ac:dyDescent="0.2">
      <c r="B3440" s="11" t="s">
        <v>13</v>
      </c>
      <c r="C3440" s="17" t="s">
        <v>2602</v>
      </c>
      <c r="D3440" s="2"/>
    </row>
    <row r="3441" spans="1:4" ht="25.5" customHeight="1" x14ac:dyDescent="0.2">
      <c r="B3441" s="11" t="s">
        <v>2603</v>
      </c>
      <c r="C3441" s="17" t="s">
        <v>2971</v>
      </c>
      <c r="D3441" s="2"/>
    </row>
    <row r="3442" spans="1:4" ht="12.75" customHeight="1" x14ac:dyDescent="0.2">
      <c r="B3442" s="11" t="s">
        <v>2605</v>
      </c>
      <c r="C3442" s="17" t="s">
        <v>14</v>
      </c>
      <c r="D3442" s="2"/>
    </row>
    <row r="3443" spans="1:4" ht="12.75" customHeight="1" x14ac:dyDescent="0.2">
      <c r="B3443" s="11" t="s">
        <v>2606</v>
      </c>
      <c r="C3443" s="16" t="s">
        <v>19</v>
      </c>
      <c r="D3443" s="2"/>
    </row>
    <row r="3444" spans="1:4" ht="12.75" customHeight="1" x14ac:dyDescent="0.2">
      <c r="B3444" s="2"/>
      <c r="C3444" s="15"/>
      <c r="D3444" s="2"/>
    </row>
    <row r="3445" spans="1:4" ht="12.75" customHeight="1" x14ac:dyDescent="0.2">
      <c r="B3445" s="2"/>
      <c r="C3445" s="15"/>
      <c r="D3445" s="2"/>
    </row>
    <row r="3446" spans="1:4" ht="12.75" customHeight="1" x14ac:dyDescent="0.2">
      <c r="A3446" s="13" t="s">
        <v>3115</v>
      </c>
      <c r="C3446" s="12"/>
      <c r="D3446" s="2"/>
    </row>
    <row r="3447" spans="1:4" ht="12.75" customHeight="1" x14ac:dyDescent="0.2">
      <c r="A3447" s="11"/>
      <c r="B3447" s="2"/>
      <c r="C3447" s="15"/>
      <c r="D3447" s="2"/>
    </row>
    <row r="3448" spans="1:4" ht="12.75" customHeight="1" x14ac:dyDescent="0.2">
      <c r="B3448" s="11" t="s">
        <v>0</v>
      </c>
      <c r="C3448" s="17" t="s">
        <v>272</v>
      </c>
      <c r="D3448" s="2"/>
    </row>
    <row r="3449" spans="1:4" ht="12.75" customHeight="1" x14ac:dyDescent="0.2">
      <c r="B3449" s="11" t="s">
        <v>2599</v>
      </c>
      <c r="C3449" s="17" t="s">
        <v>2508</v>
      </c>
      <c r="D3449" s="2"/>
    </row>
    <row r="3450" spans="1:4" ht="25.5" customHeight="1" x14ac:dyDescent="0.2">
      <c r="B3450" s="11" t="s">
        <v>2600</v>
      </c>
      <c r="C3450" s="17" t="s">
        <v>3116</v>
      </c>
      <c r="D3450" s="2"/>
    </row>
    <row r="3451" spans="1:4" ht="25.5" customHeight="1" x14ac:dyDescent="0.2">
      <c r="B3451" s="11" t="s">
        <v>2601</v>
      </c>
      <c r="C3451" s="17"/>
      <c r="D3451" s="2"/>
    </row>
    <row r="3452" spans="1:4" ht="12.75" customHeight="1" x14ac:dyDescent="0.2">
      <c r="B3452" s="11" t="s">
        <v>16</v>
      </c>
      <c r="C3452" s="17"/>
      <c r="D3452" s="2"/>
    </row>
    <row r="3453" spans="1:4" ht="12.75" customHeight="1" x14ac:dyDescent="0.2">
      <c r="B3453" s="11" t="s">
        <v>13</v>
      </c>
      <c r="C3453" s="17" t="s">
        <v>2644</v>
      </c>
      <c r="D3453" s="2"/>
    </row>
    <row r="3454" spans="1:4" ht="25.5" customHeight="1" x14ac:dyDescent="0.2">
      <c r="B3454" s="11" t="s">
        <v>2603</v>
      </c>
      <c r="C3454" s="17" t="s">
        <v>2971</v>
      </c>
      <c r="D3454" s="2"/>
    </row>
    <row r="3455" spans="1:4" ht="12.75" customHeight="1" x14ac:dyDescent="0.2">
      <c r="B3455" s="11" t="s">
        <v>2605</v>
      </c>
      <c r="C3455" s="17" t="s">
        <v>14</v>
      </c>
      <c r="D3455" s="2"/>
    </row>
    <row r="3456" spans="1:4" ht="12.75" customHeight="1" x14ac:dyDescent="0.2">
      <c r="B3456" s="11" t="s">
        <v>2606</v>
      </c>
      <c r="C3456" s="16" t="s">
        <v>19</v>
      </c>
      <c r="D3456" s="2"/>
    </row>
    <row r="3457" spans="1:4" ht="12.75" customHeight="1" x14ac:dyDescent="0.2">
      <c r="B3457" s="2"/>
      <c r="C3457" s="15"/>
      <c r="D3457" s="2"/>
    </row>
    <row r="3458" spans="1:4" ht="12.75" customHeight="1" x14ac:dyDescent="0.2">
      <c r="B3458" s="2"/>
      <c r="C3458" s="15"/>
      <c r="D3458" s="2"/>
    </row>
    <row r="3459" spans="1:4" ht="12.75" customHeight="1" x14ac:dyDescent="0.2">
      <c r="A3459" s="13" t="s">
        <v>3117</v>
      </c>
      <c r="C3459" s="12"/>
      <c r="D3459" s="2"/>
    </row>
    <row r="3460" spans="1:4" ht="12.75" customHeight="1" x14ac:dyDescent="0.2">
      <c r="A3460" s="11"/>
      <c r="B3460" s="2"/>
      <c r="C3460" s="15"/>
      <c r="D3460" s="2"/>
    </row>
    <row r="3461" spans="1:4" ht="12.75" customHeight="1" x14ac:dyDescent="0.2">
      <c r="B3461" s="11" t="s">
        <v>0</v>
      </c>
      <c r="C3461" s="17" t="s">
        <v>272</v>
      </c>
      <c r="D3461" s="2"/>
    </row>
    <row r="3462" spans="1:4" ht="12.75" customHeight="1" x14ac:dyDescent="0.2">
      <c r="B3462" s="11" t="s">
        <v>2599</v>
      </c>
      <c r="C3462" s="17" t="s">
        <v>1862</v>
      </c>
      <c r="D3462" s="2"/>
    </row>
    <row r="3463" spans="1:4" ht="25.5" customHeight="1" x14ac:dyDescent="0.2">
      <c r="B3463" s="11" t="s">
        <v>2600</v>
      </c>
      <c r="C3463" s="17" t="s">
        <v>3118</v>
      </c>
      <c r="D3463" s="2"/>
    </row>
    <row r="3464" spans="1:4" ht="25.5" customHeight="1" x14ac:dyDescent="0.2">
      <c r="B3464" s="11" t="s">
        <v>2601</v>
      </c>
      <c r="C3464" s="17"/>
      <c r="D3464" s="2"/>
    </row>
    <row r="3465" spans="1:4" ht="12.75" customHeight="1" x14ac:dyDescent="0.2">
      <c r="B3465" s="11" t="s">
        <v>16</v>
      </c>
      <c r="C3465" s="17"/>
      <c r="D3465" s="2"/>
    </row>
    <row r="3466" spans="1:4" ht="12.75" customHeight="1" x14ac:dyDescent="0.2">
      <c r="B3466" s="11" t="s">
        <v>13</v>
      </c>
      <c r="C3466" s="17" t="s">
        <v>2602</v>
      </c>
      <c r="D3466" s="2"/>
    </row>
    <row r="3467" spans="1:4" ht="12.75" customHeight="1" x14ac:dyDescent="0.2">
      <c r="B3467" s="11" t="s">
        <v>2603</v>
      </c>
      <c r="C3467" s="17" t="s">
        <v>128</v>
      </c>
      <c r="D3467" s="2"/>
    </row>
    <row r="3468" spans="1:4" ht="12.75" customHeight="1" x14ac:dyDescent="0.2">
      <c r="B3468" s="11" t="s">
        <v>2605</v>
      </c>
      <c r="C3468" s="17" t="s">
        <v>14</v>
      </c>
      <c r="D3468" s="2"/>
    </row>
    <row r="3469" spans="1:4" ht="12.75" customHeight="1" x14ac:dyDescent="0.2">
      <c r="B3469" s="11" t="s">
        <v>2606</v>
      </c>
      <c r="C3469" s="16" t="s">
        <v>19</v>
      </c>
      <c r="D3469" s="2"/>
    </row>
    <row r="3470" spans="1:4" ht="12.75" customHeight="1" x14ac:dyDescent="0.2">
      <c r="B3470" s="2"/>
      <c r="C3470" s="15"/>
      <c r="D3470" s="2"/>
    </row>
    <row r="3471" spans="1:4" ht="12.75" customHeight="1" x14ac:dyDescent="0.2">
      <c r="B3471" s="2"/>
      <c r="C3471" s="15"/>
      <c r="D3471" s="2"/>
    </row>
    <row r="3472" spans="1:4" ht="12.75" customHeight="1" x14ac:dyDescent="0.2">
      <c r="A3472" s="13" t="s">
        <v>3119</v>
      </c>
      <c r="C3472" s="12"/>
    </row>
    <row r="3473" spans="1:4" ht="12.75" customHeight="1" x14ac:dyDescent="0.2">
      <c r="A3473" s="11"/>
      <c r="B3473" s="2"/>
      <c r="C3473" s="15"/>
      <c r="D3473" s="2"/>
    </row>
    <row r="3474" spans="1:4" ht="12.75" customHeight="1" x14ac:dyDescent="0.2">
      <c r="B3474" s="11" t="s">
        <v>0</v>
      </c>
      <c r="C3474" s="11" t="s">
        <v>272</v>
      </c>
    </row>
    <row r="3475" spans="1:4" ht="12.75" customHeight="1" x14ac:dyDescent="0.2">
      <c r="B3475" s="11" t="s">
        <v>2599</v>
      </c>
      <c r="C3475" s="11" t="s">
        <v>3120</v>
      </c>
    </row>
    <row r="3476" spans="1:4" ht="25.5" customHeight="1" x14ac:dyDescent="0.2">
      <c r="B3476" s="11" t="s">
        <v>2600</v>
      </c>
      <c r="C3476" s="11" t="s">
        <v>3121</v>
      </c>
    </row>
    <row r="3477" spans="1:4" ht="25.5" customHeight="1" x14ac:dyDescent="0.2">
      <c r="B3477" s="11" t="s">
        <v>2601</v>
      </c>
      <c r="C3477" s="11"/>
    </row>
    <row r="3478" spans="1:4" ht="12.75" customHeight="1" x14ac:dyDescent="0.2">
      <c r="B3478" s="11" t="s">
        <v>16</v>
      </c>
      <c r="C3478" s="11"/>
    </row>
    <row r="3479" spans="1:4" ht="12.75" customHeight="1" x14ac:dyDescent="0.2">
      <c r="B3479" s="11" t="s">
        <v>13</v>
      </c>
      <c r="C3479" s="11" t="s">
        <v>2602</v>
      </c>
    </row>
    <row r="3480" spans="1:4" ht="12.75" customHeight="1" x14ac:dyDescent="0.2">
      <c r="B3480" s="11" t="s">
        <v>2603</v>
      </c>
      <c r="C3480" s="11" t="s">
        <v>2604</v>
      </c>
    </row>
    <row r="3481" spans="1:4" ht="12.75" customHeight="1" x14ac:dyDescent="0.2">
      <c r="B3481" s="11" t="s">
        <v>2605</v>
      </c>
      <c r="C3481" s="11" t="s">
        <v>24</v>
      </c>
    </row>
    <row r="3482" spans="1:4" ht="25.5" customHeight="1" x14ac:dyDescent="0.2">
      <c r="B3482" s="11" t="s">
        <v>2606</v>
      </c>
      <c r="C3482" s="16" t="s">
        <v>44</v>
      </c>
      <c r="D3482" s="6" t="str">
        <f>HYPERLINK("javascript:void(0)","sárkánypikkely")</f>
        <v>sárkánypikkely</v>
      </c>
    </row>
    <row r="3483" spans="1:4" ht="12.75" customHeight="1" x14ac:dyDescent="0.2">
      <c r="C3483" s="16" t="s">
        <v>44</v>
      </c>
      <c r="D3483" s="6" t="str">
        <f>HYPERLINK("javascript:void(0)","démonvádli")</f>
        <v>démonvádli</v>
      </c>
    </row>
    <row r="3484" spans="1:4" ht="25.5" customHeight="1" x14ac:dyDescent="0.2">
      <c r="C3484" s="16" t="s">
        <v>44</v>
      </c>
      <c r="D3484" s="6" t="str">
        <f>HYPERLINK("javascript:void(0)","nyukug bajusz")</f>
        <v>nyukug bajusz</v>
      </c>
    </row>
    <row r="3485" spans="1:4" ht="12.75" customHeight="1" x14ac:dyDescent="0.2">
      <c r="B3485" s="2"/>
      <c r="C3485" s="15"/>
      <c r="D3485" s="2"/>
    </row>
    <row r="3486" spans="1:4" ht="12.75" customHeight="1" x14ac:dyDescent="0.2">
      <c r="B3486" s="2"/>
      <c r="C3486" s="15"/>
      <c r="D3486" s="2"/>
    </row>
    <row r="3487" spans="1:4" ht="12.75" customHeight="1" x14ac:dyDescent="0.2">
      <c r="A3487" s="13" t="s">
        <v>3122</v>
      </c>
      <c r="C3487" s="12"/>
    </row>
    <row r="3488" spans="1:4" ht="12.75" customHeight="1" x14ac:dyDescent="0.2">
      <c r="A3488" s="11"/>
      <c r="B3488" s="2"/>
      <c r="C3488" s="15"/>
      <c r="D3488" s="2"/>
    </row>
    <row r="3489" spans="1:4" ht="12.75" customHeight="1" x14ac:dyDescent="0.2">
      <c r="B3489" s="11" t="s">
        <v>0</v>
      </c>
      <c r="C3489" s="11" t="s">
        <v>272</v>
      </c>
    </row>
    <row r="3490" spans="1:4" ht="12.75" customHeight="1" x14ac:dyDescent="0.2">
      <c r="B3490" s="11" t="s">
        <v>2599</v>
      </c>
      <c r="C3490" s="11" t="s">
        <v>3123</v>
      </c>
    </row>
    <row r="3491" spans="1:4" ht="25.5" customHeight="1" x14ac:dyDescent="0.2">
      <c r="B3491" s="11" t="s">
        <v>2600</v>
      </c>
      <c r="C3491" s="11" t="s">
        <v>3124</v>
      </c>
    </row>
    <row r="3492" spans="1:4" ht="25.5" customHeight="1" x14ac:dyDescent="0.2">
      <c r="B3492" s="11" t="s">
        <v>2601</v>
      </c>
      <c r="C3492" s="11"/>
    </row>
    <row r="3493" spans="1:4" ht="12.75" customHeight="1" x14ac:dyDescent="0.2">
      <c r="B3493" s="11" t="s">
        <v>16</v>
      </c>
      <c r="C3493" s="11"/>
    </row>
    <row r="3494" spans="1:4" ht="12.75" customHeight="1" x14ac:dyDescent="0.2">
      <c r="B3494" s="11" t="s">
        <v>13</v>
      </c>
      <c r="C3494" s="11" t="s">
        <v>2602</v>
      </c>
    </row>
    <row r="3495" spans="1:4" ht="12.75" customHeight="1" x14ac:dyDescent="0.2">
      <c r="B3495" s="11" t="s">
        <v>2603</v>
      </c>
      <c r="C3495" s="11" t="s">
        <v>2604</v>
      </c>
    </row>
    <row r="3496" spans="1:4" ht="12.75" customHeight="1" x14ac:dyDescent="0.2">
      <c r="B3496" s="11" t="s">
        <v>2605</v>
      </c>
      <c r="C3496" s="11" t="s">
        <v>24</v>
      </c>
    </row>
    <row r="3497" spans="1:4" ht="25.5" customHeight="1" x14ac:dyDescent="0.2">
      <c r="B3497" s="11" t="s">
        <v>2606</v>
      </c>
      <c r="C3497" s="16" t="s">
        <v>44</v>
      </c>
      <c r="D3497" s="6" t="str">
        <f>HYPERLINK("javascript:void(0)","sodrony boxeralsó")</f>
        <v>sodrony boxeralsó</v>
      </c>
    </row>
    <row r="3498" spans="1:4" ht="12.75" customHeight="1" x14ac:dyDescent="0.2">
      <c r="B3498" s="2"/>
      <c r="C3498" s="15"/>
      <c r="D3498" s="2"/>
    </row>
    <row r="3499" spans="1:4" ht="12.75" customHeight="1" x14ac:dyDescent="0.2">
      <c r="B3499" s="2"/>
      <c r="C3499" s="15"/>
      <c r="D3499" s="2"/>
    </row>
    <row r="3500" spans="1:4" ht="12.75" customHeight="1" x14ac:dyDescent="0.2">
      <c r="A3500" s="13" t="s">
        <v>3125</v>
      </c>
      <c r="C3500" s="12"/>
    </row>
    <row r="3501" spans="1:4" ht="12.75" customHeight="1" x14ac:dyDescent="0.2">
      <c r="A3501" s="11"/>
      <c r="B3501" s="2"/>
      <c r="C3501" s="15"/>
      <c r="D3501" s="2"/>
    </row>
    <row r="3502" spans="1:4" ht="12.75" customHeight="1" x14ac:dyDescent="0.2">
      <c r="B3502" s="11" t="s">
        <v>0</v>
      </c>
      <c r="C3502" s="11" t="s">
        <v>272</v>
      </c>
    </row>
    <row r="3503" spans="1:4" ht="12.75" customHeight="1" x14ac:dyDescent="0.2">
      <c r="B3503" s="11" t="s">
        <v>2599</v>
      </c>
      <c r="C3503" s="11" t="s">
        <v>3126</v>
      </c>
    </row>
    <row r="3504" spans="1:4" ht="25.5" customHeight="1" x14ac:dyDescent="0.2">
      <c r="B3504" s="11" t="s">
        <v>2600</v>
      </c>
      <c r="C3504" s="11" t="s">
        <v>3127</v>
      </c>
    </row>
    <row r="3505" spans="1:4" ht="25.5" customHeight="1" x14ac:dyDescent="0.2">
      <c r="B3505" s="11" t="s">
        <v>2601</v>
      </c>
      <c r="C3505" s="11"/>
    </row>
    <row r="3506" spans="1:4" ht="12.75" customHeight="1" x14ac:dyDescent="0.2">
      <c r="B3506" s="11" t="s">
        <v>16</v>
      </c>
      <c r="C3506" s="11"/>
    </row>
    <row r="3507" spans="1:4" ht="12.75" customHeight="1" x14ac:dyDescent="0.2">
      <c r="B3507" s="11" t="s">
        <v>13</v>
      </c>
      <c r="C3507" s="11" t="s">
        <v>2602</v>
      </c>
    </row>
    <row r="3508" spans="1:4" ht="12.75" customHeight="1" x14ac:dyDescent="0.2">
      <c r="B3508" s="11" t="s">
        <v>2603</v>
      </c>
      <c r="C3508" s="11" t="s">
        <v>2604</v>
      </c>
    </row>
    <row r="3509" spans="1:4" ht="12.75" customHeight="1" x14ac:dyDescent="0.2">
      <c r="B3509" s="11" t="s">
        <v>2605</v>
      </c>
      <c r="C3509" s="11" t="s">
        <v>24</v>
      </c>
    </row>
    <row r="3510" spans="1:4" ht="12.75" customHeight="1" x14ac:dyDescent="0.2">
      <c r="B3510" s="11" t="s">
        <v>2606</v>
      </c>
      <c r="C3510" s="16" t="s">
        <v>44</v>
      </c>
      <c r="D3510" s="6" t="str">
        <f>HYPERLINK("javascript:void(0)","mágusbot")</f>
        <v>mágusbot</v>
      </c>
    </row>
    <row r="3511" spans="1:4" ht="25.5" customHeight="1" x14ac:dyDescent="0.2">
      <c r="C3511" s="16" t="s">
        <v>57</v>
      </c>
      <c r="D3511" s="6" t="str">
        <f>HYPERLINK("javascript:void(0)","vámpírherbium")</f>
        <v>vámpírherbium</v>
      </c>
    </row>
    <row r="3512" spans="1:4" ht="25.5" customHeight="1" x14ac:dyDescent="0.2">
      <c r="C3512" s="16" t="s">
        <v>56</v>
      </c>
      <c r="D3512" s="6" t="str">
        <f>HYPERLINK("javascript:void(0)","lábszárcsont")</f>
        <v>lábszárcsont</v>
      </c>
    </row>
    <row r="3513" spans="1:4" ht="12.75" customHeight="1" x14ac:dyDescent="0.2">
      <c r="B3513" s="2"/>
      <c r="C3513" s="15"/>
      <c r="D3513" s="2"/>
    </row>
    <row r="3514" spans="1:4" ht="12.75" customHeight="1" x14ac:dyDescent="0.2">
      <c r="B3514" s="2"/>
      <c r="C3514" s="15"/>
      <c r="D3514" s="2"/>
    </row>
    <row r="3515" spans="1:4" ht="12.75" customHeight="1" x14ac:dyDescent="0.2">
      <c r="A3515" s="13" t="s">
        <v>3128</v>
      </c>
      <c r="C3515" s="12"/>
    </row>
    <row r="3516" spans="1:4" ht="12.75" customHeight="1" x14ac:dyDescent="0.2">
      <c r="A3516" s="11"/>
      <c r="B3516" s="2"/>
      <c r="C3516" s="15"/>
      <c r="D3516" s="2"/>
    </row>
    <row r="3517" spans="1:4" ht="12.75" customHeight="1" x14ac:dyDescent="0.2">
      <c r="B3517" s="11" t="s">
        <v>0</v>
      </c>
      <c r="C3517" s="11" t="s">
        <v>272</v>
      </c>
    </row>
    <row r="3518" spans="1:4" ht="12.75" customHeight="1" x14ac:dyDescent="0.2">
      <c r="B3518" s="11" t="s">
        <v>2599</v>
      </c>
      <c r="C3518" s="11" t="s">
        <v>675</v>
      </c>
    </row>
    <row r="3519" spans="1:4" ht="25.5" customHeight="1" x14ac:dyDescent="0.2">
      <c r="B3519" s="11" t="s">
        <v>2600</v>
      </c>
      <c r="C3519" s="11" t="s">
        <v>3129</v>
      </c>
    </row>
    <row r="3520" spans="1:4" ht="25.5" customHeight="1" x14ac:dyDescent="0.2">
      <c r="B3520" s="11" t="s">
        <v>2601</v>
      </c>
      <c r="C3520" s="11"/>
    </row>
    <row r="3521" spans="1:4" ht="12.75" customHeight="1" x14ac:dyDescent="0.2">
      <c r="B3521" s="11" t="s">
        <v>16</v>
      </c>
      <c r="C3521" s="11"/>
    </row>
    <row r="3522" spans="1:4" ht="12.75" customHeight="1" x14ac:dyDescent="0.2">
      <c r="B3522" s="11" t="s">
        <v>13</v>
      </c>
      <c r="C3522" s="11" t="s">
        <v>2644</v>
      </c>
    </row>
    <row r="3523" spans="1:4" ht="12.75" customHeight="1" x14ac:dyDescent="0.2">
      <c r="B3523" s="11" t="s">
        <v>2603</v>
      </c>
      <c r="C3523" s="11" t="s">
        <v>2604</v>
      </c>
    </row>
    <row r="3524" spans="1:4" ht="12.75" customHeight="1" x14ac:dyDescent="0.2">
      <c r="B3524" s="11" t="s">
        <v>2605</v>
      </c>
      <c r="C3524" s="11" t="s">
        <v>24</v>
      </c>
    </row>
    <row r="3525" spans="1:4" ht="25.5" customHeight="1" x14ac:dyDescent="0.2">
      <c r="B3525" s="11" t="s">
        <v>2606</v>
      </c>
      <c r="C3525" s="16" t="s">
        <v>56</v>
      </c>
      <c r="D3525" s="6" t="str">
        <f>HYPERLINK("javascript:void(0)","sárkánypikkely")</f>
        <v>sárkánypikkely</v>
      </c>
    </row>
    <row r="3526" spans="1:4" ht="12.75" customHeight="1" x14ac:dyDescent="0.2">
      <c r="C3526" s="16" t="s">
        <v>56</v>
      </c>
      <c r="D3526" s="6" t="str">
        <f>HYPERLINK("javascript:void(0)","sárkányfog")</f>
        <v>sárkányfog</v>
      </c>
    </row>
    <row r="3527" spans="1:4" ht="25.5" customHeight="1" x14ac:dyDescent="0.2">
      <c r="C3527" s="16" t="s">
        <v>56</v>
      </c>
      <c r="D3527" s="6" t="str">
        <f>HYPERLINK("javascript:void(0)","sárkánykarom")</f>
        <v>sárkánykarom</v>
      </c>
    </row>
    <row r="3528" spans="1:4" ht="12.75" customHeight="1" x14ac:dyDescent="0.2">
      <c r="B3528" s="2"/>
      <c r="C3528" s="15"/>
      <c r="D3528" s="2"/>
    </row>
    <row r="3529" spans="1:4" ht="12.75" customHeight="1" x14ac:dyDescent="0.2">
      <c r="B3529" s="2"/>
      <c r="C3529" s="15"/>
      <c r="D3529" s="2"/>
    </row>
    <row r="3530" spans="1:4" ht="12.75" customHeight="1" x14ac:dyDescent="0.2">
      <c r="A3530" s="13" t="s">
        <v>3130</v>
      </c>
      <c r="C3530" s="12"/>
    </row>
    <row r="3531" spans="1:4" ht="12.75" customHeight="1" x14ac:dyDescent="0.2">
      <c r="A3531" s="11"/>
      <c r="B3531" s="2"/>
      <c r="C3531" s="15"/>
      <c r="D3531" s="2"/>
    </row>
    <row r="3532" spans="1:4" ht="12.75" customHeight="1" x14ac:dyDescent="0.2">
      <c r="B3532" s="11" t="s">
        <v>0</v>
      </c>
      <c r="C3532" s="11" t="s">
        <v>272</v>
      </c>
    </row>
    <row r="3533" spans="1:4" ht="12.75" customHeight="1" x14ac:dyDescent="0.2">
      <c r="B3533" s="11" t="s">
        <v>2599</v>
      </c>
      <c r="C3533" s="11" t="s">
        <v>3131</v>
      </c>
    </row>
    <row r="3534" spans="1:4" ht="25.5" customHeight="1" x14ac:dyDescent="0.2">
      <c r="B3534" s="11" t="s">
        <v>2600</v>
      </c>
      <c r="C3534" s="11" t="s">
        <v>3132</v>
      </c>
    </row>
    <row r="3535" spans="1:4" ht="25.5" customHeight="1" x14ac:dyDescent="0.2">
      <c r="B3535" s="11" t="s">
        <v>2601</v>
      </c>
      <c r="C3535" s="11"/>
    </row>
    <row r="3536" spans="1:4" ht="12.75" customHeight="1" x14ac:dyDescent="0.2">
      <c r="B3536" s="11" t="s">
        <v>16</v>
      </c>
      <c r="C3536" s="11"/>
    </row>
    <row r="3537" spans="1:4" ht="12.75" customHeight="1" x14ac:dyDescent="0.2">
      <c r="B3537" s="11" t="s">
        <v>13</v>
      </c>
      <c r="C3537" s="11" t="s">
        <v>2644</v>
      </c>
    </row>
    <row r="3538" spans="1:4" ht="12.75" customHeight="1" x14ac:dyDescent="0.2">
      <c r="B3538" s="11" t="s">
        <v>2603</v>
      </c>
      <c r="C3538" s="11" t="s">
        <v>2604</v>
      </c>
    </row>
    <row r="3539" spans="1:4" ht="12.75" customHeight="1" x14ac:dyDescent="0.2">
      <c r="B3539" s="11" t="s">
        <v>2605</v>
      </c>
      <c r="C3539" s="11" t="s">
        <v>24</v>
      </c>
    </row>
    <row r="3540" spans="1:4" ht="25.5" customHeight="1" x14ac:dyDescent="0.2">
      <c r="B3540" s="11" t="s">
        <v>2606</v>
      </c>
      <c r="C3540" s="16" t="s">
        <v>56</v>
      </c>
      <c r="D3540" s="6" t="str">
        <f>HYPERLINK("javascript:void(0)","sárkánypikkely")</f>
        <v>sárkánypikkely</v>
      </c>
    </row>
    <row r="3541" spans="1:4" ht="12.75" customHeight="1" x14ac:dyDescent="0.2">
      <c r="C3541" s="16" t="s">
        <v>56</v>
      </c>
      <c r="D3541" s="6" t="str">
        <f>HYPERLINK("javascript:void(0)","sárkányfog")</f>
        <v>sárkányfog</v>
      </c>
    </row>
    <row r="3542" spans="1:4" ht="25.5" customHeight="1" x14ac:dyDescent="0.2">
      <c r="C3542" s="16" t="s">
        <v>56</v>
      </c>
      <c r="D3542" s="6" t="str">
        <f>HYPERLINK("javascript:void(0)","sárkánykarom")</f>
        <v>sárkánykarom</v>
      </c>
    </row>
    <row r="3543" spans="1:4" ht="12.75" customHeight="1" x14ac:dyDescent="0.2">
      <c r="B3543" s="2"/>
      <c r="C3543" s="15"/>
      <c r="D3543" s="2"/>
    </row>
    <row r="3544" spans="1:4" ht="12.75" customHeight="1" x14ac:dyDescent="0.2">
      <c r="B3544" s="2"/>
      <c r="C3544" s="15"/>
      <c r="D3544" s="2"/>
    </row>
    <row r="3545" spans="1:4" ht="12.75" customHeight="1" x14ac:dyDescent="0.2">
      <c r="A3545" s="13" t="s">
        <v>3133</v>
      </c>
      <c r="C3545" s="12"/>
    </row>
    <row r="3546" spans="1:4" ht="12.75" customHeight="1" x14ac:dyDescent="0.2">
      <c r="A3546" s="11"/>
      <c r="B3546" s="2"/>
      <c r="C3546" s="15"/>
      <c r="D3546" s="2"/>
    </row>
    <row r="3547" spans="1:4" ht="12.75" customHeight="1" x14ac:dyDescent="0.2">
      <c r="B3547" s="11" t="s">
        <v>0</v>
      </c>
      <c r="C3547" s="11" t="s">
        <v>272</v>
      </c>
    </row>
    <row r="3548" spans="1:4" ht="12.75" customHeight="1" x14ac:dyDescent="0.2">
      <c r="B3548" s="11" t="s">
        <v>2599</v>
      </c>
      <c r="C3548" s="11" t="s">
        <v>2674</v>
      </c>
    </row>
    <row r="3549" spans="1:4" ht="25.5" customHeight="1" x14ac:dyDescent="0.2">
      <c r="B3549" s="11" t="s">
        <v>2600</v>
      </c>
      <c r="C3549" s="11" t="s">
        <v>3134</v>
      </c>
    </row>
    <row r="3550" spans="1:4" ht="25.5" customHeight="1" x14ac:dyDescent="0.2">
      <c r="B3550" s="11" t="s">
        <v>2601</v>
      </c>
      <c r="C3550" s="11"/>
    </row>
    <row r="3551" spans="1:4" ht="12.75" customHeight="1" x14ac:dyDescent="0.2">
      <c r="B3551" s="11" t="s">
        <v>16</v>
      </c>
      <c r="C3551" s="11"/>
    </row>
    <row r="3552" spans="1:4" ht="12.75" customHeight="1" x14ac:dyDescent="0.2">
      <c r="B3552" s="11" t="s">
        <v>13</v>
      </c>
      <c r="C3552" s="11" t="s">
        <v>2644</v>
      </c>
    </row>
    <row r="3553" spans="1:4" ht="12.75" customHeight="1" x14ac:dyDescent="0.2">
      <c r="B3553" s="11" t="s">
        <v>2603</v>
      </c>
      <c r="C3553" s="11" t="s">
        <v>2604</v>
      </c>
    </row>
    <row r="3554" spans="1:4" ht="12.75" customHeight="1" x14ac:dyDescent="0.2">
      <c r="B3554" s="11" t="s">
        <v>2605</v>
      </c>
      <c r="C3554" s="11" t="s">
        <v>24</v>
      </c>
    </row>
    <row r="3555" spans="1:4" ht="25.5" customHeight="1" x14ac:dyDescent="0.2">
      <c r="B3555" s="11" t="s">
        <v>2606</v>
      </c>
      <c r="C3555" s="16" t="s">
        <v>56</v>
      </c>
      <c r="D3555" s="6" t="str">
        <f>HYPERLINK("javascript:void(0)","sárkánypikkely")</f>
        <v>sárkánypikkely</v>
      </c>
    </row>
    <row r="3556" spans="1:4" ht="12.75" customHeight="1" x14ac:dyDescent="0.2">
      <c r="C3556" s="16" t="s">
        <v>56</v>
      </c>
      <c r="D3556" s="6" t="str">
        <f>HYPERLINK("javascript:void(0)","sárkányfog")</f>
        <v>sárkányfog</v>
      </c>
    </row>
    <row r="3557" spans="1:4" ht="25.5" customHeight="1" x14ac:dyDescent="0.2">
      <c r="C3557" s="16" t="s">
        <v>56</v>
      </c>
      <c r="D3557" s="6" t="str">
        <f>HYPERLINK("javascript:void(0)","sárkánykarom")</f>
        <v>sárkánykarom</v>
      </c>
    </row>
    <row r="3558" spans="1:4" ht="12.75" customHeight="1" x14ac:dyDescent="0.2">
      <c r="B3558" s="2"/>
      <c r="C3558" s="15"/>
      <c r="D3558" s="2"/>
    </row>
    <row r="3559" spans="1:4" ht="12.75" customHeight="1" x14ac:dyDescent="0.2">
      <c r="B3559" s="2"/>
      <c r="C3559" s="15"/>
      <c r="D3559" s="2"/>
    </row>
    <row r="3560" spans="1:4" ht="12.75" customHeight="1" x14ac:dyDescent="0.2">
      <c r="A3560" s="13" t="s">
        <v>3135</v>
      </c>
      <c r="C3560" s="12"/>
    </row>
    <row r="3561" spans="1:4" ht="12.75" customHeight="1" x14ac:dyDescent="0.2">
      <c r="A3561" s="11"/>
      <c r="B3561" s="2"/>
      <c r="C3561" s="15"/>
      <c r="D3561" s="2"/>
    </row>
    <row r="3562" spans="1:4" ht="12.75" customHeight="1" x14ac:dyDescent="0.2">
      <c r="B3562" s="11" t="s">
        <v>0</v>
      </c>
      <c r="C3562" s="11" t="s">
        <v>272</v>
      </c>
    </row>
    <row r="3563" spans="1:4" ht="12.75" customHeight="1" x14ac:dyDescent="0.2">
      <c r="B3563" s="11" t="s">
        <v>2599</v>
      </c>
      <c r="C3563" s="11" t="s">
        <v>362</v>
      </c>
    </row>
    <row r="3564" spans="1:4" ht="25.5" customHeight="1" x14ac:dyDescent="0.2">
      <c r="B3564" s="11" t="s">
        <v>2600</v>
      </c>
      <c r="C3564" s="11" t="s">
        <v>3136</v>
      </c>
    </row>
    <row r="3565" spans="1:4" ht="25.5" customHeight="1" x14ac:dyDescent="0.2">
      <c r="B3565" s="11" t="s">
        <v>2601</v>
      </c>
      <c r="C3565" s="11"/>
    </row>
    <row r="3566" spans="1:4" ht="12.75" customHeight="1" x14ac:dyDescent="0.2">
      <c r="B3566" s="11" t="s">
        <v>16</v>
      </c>
      <c r="C3566" s="11"/>
    </row>
    <row r="3567" spans="1:4" ht="12.75" customHeight="1" x14ac:dyDescent="0.2">
      <c r="B3567" s="11" t="s">
        <v>13</v>
      </c>
      <c r="C3567" s="11" t="s">
        <v>2644</v>
      </c>
    </row>
    <row r="3568" spans="1:4" ht="12.75" customHeight="1" x14ac:dyDescent="0.2">
      <c r="B3568" s="11" t="s">
        <v>2603</v>
      </c>
      <c r="C3568" s="11" t="s">
        <v>2604</v>
      </c>
    </row>
    <row r="3569" spans="1:4" ht="12.75" customHeight="1" x14ac:dyDescent="0.2">
      <c r="B3569" s="11" t="s">
        <v>2605</v>
      </c>
      <c r="C3569" s="11" t="s">
        <v>24</v>
      </c>
    </row>
    <row r="3570" spans="1:4" ht="25.5" customHeight="1" x14ac:dyDescent="0.2">
      <c r="B3570" s="11" t="s">
        <v>2606</v>
      </c>
      <c r="C3570" s="16" t="s">
        <v>56</v>
      </c>
      <c r="D3570" s="6" t="str">
        <f>HYPERLINK("javascript:void(0)","sárkánypikkely")</f>
        <v>sárkánypikkely</v>
      </c>
    </row>
    <row r="3571" spans="1:4" ht="12.75" customHeight="1" x14ac:dyDescent="0.2">
      <c r="C3571" s="16" t="s">
        <v>56</v>
      </c>
      <c r="D3571" s="6" t="str">
        <f>HYPERLINK("javascript:void(0)","sárkányfog")</f>
        <v>sárkányfog</v>
      </c>
    </row>
    <row r="3572" spans="1:4" ht="25.5" customHeight="1" x14ac:dyDescent="0.2">
      <c r="C3572" s="16" t="s">
        <v>56</v>
      </c>
      <c r="D3572" s="6" t="str">
        <f>HYPERLINK("javascript:void(0)","sárkánykarom")</f>
        <v>sárkánykarom</v>
      </c>
    </row>
    <row r="3573" spans="1:4" ht="12.75" customHeight="1" x14ac:dyDescent="0.2">
      <c r="B3573" s="2"/>
      <c r="C3573" s="15"/>
      <c r="D3573" s="2"/>
    </row>
    <row r="3574" spans="1:4" ht="12.75" customHeight="1" x14ac:dyDescent="0.2">
      <c r="B3574" s="2"/>
      <c r="C3574" s="15"/>
      <c r="D3574" s="2"/>
    </row>
    <row r="3575" spans="1:4" ht="12.75" customHeight="1" x14ac:dyDescent="0.2">
      <c r="A3575" s="13" t="s">
        <v>3137</v>
      </c>
      <c r="C3575" s="12"/>
    </row>
    <row r="3576" spans="1:4" ht="12.75" customHeight="1" x14ac:dyDescent="0.2">
      <c r="A3576" s="11"/>
      <c r="B3576" s="2"/>
      <c r="C3576" s="15"/>
      <c r="D3576" s="2"/>
    </row>
    <row r="3577" spans="1:4" ht="12.75" customHeight="1" x14ac:dyDescent="0.2">
      <c r="B3577" s="11" t="s">
        <v>0</v>
      </c>
      <c r="C3577" s="11" t="s">
        <v>272</v>
      </c>
    </row>
    <row r="3578" spans="1:4" ht="12.75" customHeight="1" x14ac:dyDescent="0.2">
      <c r="B3578" s="11" t="s">
        <v>2599</v>
      </c>
      <c r="C3578" s="11" t="s">
        <v>3138</v>
      </c>
    </row>
    <row r="3579" spans="1:4" ht="25.5" customHeight="1" x14ac:dyDescent="0.2">
      <c r="B3579" s="11" t="s">
        <v>2600</v>
      </c>
      <c r="C3579" s="11" t="s">
        <v>3139</v>
      </c>
    </row>
    <row r="3580" spans="1:4" ht="25.5" customHeight="1" x14ac:dyDescent="0.2">
      <c r="B3580" s="11" t="s">
        <v>2601</v>
      </c>
      <c r="C3580" s="11"/>
    </row>
    <row r="3581" spans="1:4" ht="12.75" customHeight="1" x14ac:dyDescent="0.2">
      <c r="B3581" s="11" t="s">
        <v>16</v>
      </c>
      <c r="C3581" s="11"/>
    </row>
    <row r="3582" spans="1:4" ht="12.75" customHeight="1" x14ac:dyDescent="0.2">
      <c r="B3582" s="11" t="s">
        <v>13</v>
      </c>
      <c r="C3582" s="11" t="s">
        <v>2602</v>
      </c>
    </row>
    <row r="3583" spans="1:4" ht="12.75" customHeight="1" x14ac:dyDescent="0.2">
      <c r="B3583" s="11" t="s">
        <v>2603</v>
      </c>
      <c r="C3583" s="11" t="s">
        <v>2604</v>
      </c>
    </row>
    <row r="3584" spans="1:4" ht="12.75" customHeight="1" x14ac:dyDescent="0.2">
      <c r="B3584" s="11" t="s">
        <v>2605</v>
      </c>
      <c r="C3584" s="11" t="s">
        <v>24</v>
      </c>
    </row>
    <row r="3585" spans="1:4" ht="12.75" customHeight="1" x14ac:dyDescent="0.2">
      <c r="B3585" s="11" t="s">
        <v>2606</v>
      </c>
      <c r="C3585" s="16" t="s">
        <v>44</v>
      </c>
      <c r="D3585" s="6" t="str">
        <f>HYPERLINK("javascript:void(0)","óriás fejsze")</f>
        <v>óriás fejsze</v>
      </c>
    </row>
    <row r="3586" spans="1:4" ht="12.75" customHeight="1" x14ac:dyDescent="0.2">
      <c r="B3586" s="2"/>
      <c r="C3586" s="15"/>
      <c r="D3586" s="2"/>
    </row>
    <row r="3587" spans="1:4" ht="12.75" customHeight="1" x14ac:dyDescent="0.2">
      <c r="B3587" s="2"/>
      <c r="C3587" s="15"/>
      <c r="D3587" s="2"/>
    </row>
    <row r="3588" spans="1:4" ht="12.75" customHeight="1" x14ac:dyDescent="0.2">
      <c r="A3588" s="13" t="s">
        <v>3140</v>
      </c>
      <c r="C3588" s="12"/>
      <c r="D3588" s="2"/>
    </row>
    <row r="3589" spans="1:4" ht="12.75" customHeight="1" x14ac:dyDescent="0.2">
      <c r="A3589" s="11"/>
      <c r="B3589" s="2"/>
      <c r="C3589" s="15"/>
      <c r="D3589" s="2"/>
    </row>
    <row r="3590" spans="1:4" ht="12.75" customHeight="1" x14ac:dyDescent="0.2">
      <c r="B3590" s="11" t="s">
        <v>0</v>
      </c>
      <c r="C3590" s="17" t="s">
        <v>284</v>
      </c>
      <c r="D3590" s="2"/>
    </row>
    <row r="3591" spans="1:4" ht="12.75" customHeight="1" x14ac:dyDescent="0.2">
      <c r="B3591" s="11" t="s">
        <v>2599</v>
      </c>
      <c r="C3591" s="17" t="s">
        <v>2533</v>
      </c>
      <c r="D3591" s="2"/>
    </row>
    <row r="3592" spans="1:4" ht="25.5" customHeight="1" x14ac:dyDescent="0.2">
      <c r="B3592" s="11" t="s">
        <v>2600</v>
      </c>
      <c r="C3592" s="17" t="s">
        <v>3141</v>
      </c>
      <c r="D3592" s="2"/>
    </row>
    <row r="3593" spans="1:4" ht="25.5" customHeight="1" x14ac:dyDescent="0.2">
      <c r="B3593" s="11" t="s">
        <v>2601</v>
      </c>
      <c r="C3593" s="17"/>
      <c r="D3593" s="2"/>
    </row>
    <row r="3594" spans="1:4" ht="12.75" customHeight="1" x14ac:dyDescent="0.2">
      <c r="B3594" s="11" t="s">
        <v>16</v>
      </c>
      <c r="C3594" s="17"/>
      <c r="D3594" s="2"/>
    </row>
    <row r="3595" spans="1:4" ht="12.75" customHeight="1" x14ac:dyDescent="0.2">
      <c r="B3595" s="11" t="s">
        <v>13</v>
      </c>
      <c r="C3595" s="17" t="s">
        <v>2644</v>
      </c>
      <c r="D3595" s="2"/>
    </row>
    <row r="3596" spans="1:4" ht="12.75" customHeight="1" x14ac:dyDescent="0.2">
      <c r="B3596" s="11" t="s">
        <v>2603</v>
      </c>
      <c r="C3596" s="17" t="s">
        <v>128</v>
      </c>
      <c r="D3596" s="2"/>
    </row>
    <row r="3597" spans="1:4" ht="12.75" customHeight="1" x14ac:dyDescent="0.2">
      <c r="B3597" s="11" t="s">
        <v>2605</v>
      </c>
      <c r="C3597" s="17" t="s">
        <v>14</v>
      </c>
      <c r="D3597" s="2"/>
    </row>
    <row r="3598" spans="1:4" ht="12.75" customHeight="1" x14ac:dyDescent="0.2">
      <c r="B3598" s="11" t="s">
        <v>2606</v>
      </c>
      <c r="C3598" s="16" t="s">
        <v>19</v>
      </c>
      <c r="D3598" s="2"/>
    </row>
    <row r="3599" spans="1:4" ht="12.75" customHeight="1" x14ac:dyDescent="0.2">
      <c r="B3599" s="2"/>
      <c r="C3599" s="15"/>
      <c r="D3599" s="2"/>
    </row>
    <row r="3600" spans="1:4" ht="12.75" customHeight="1" x14ac:dyDescent="0.2">
      <c r="B3600" s="2"/>
      <c r="C3600" s="15"/>
      <c r="D3600" s="2"/>
    </row>
    <row r="3601" spans="1:4" ht="12.75" customHeight="1" x14ac:dyDescent="0.2">
      <c r="A3601" s="13" t="s">
        <v>3113</v>
      </c>
      <c r="C3601" s="12"/>
      <c r="D3601" s="2"/>
    </row>
    <row r="3602" spans="1:4" ht="12.75" customHeight="1" x14ac:dyDescent="0.2">
      <c r="A3602" s="11"/>
      <c r="B3602" s="2"/>
      <c r="C3602" s="15"/>
      <c r="D3602" s="2"/>
    </row>
    <row r="3603" spans="1:4" ht="12.75" customHeight="1" x14ac:dyDescent="0.2">
      <c r="B3603" s="11" t="s">
        <v>0</v>
      </c>
      <c r="C3603" s="17" t="s">
        <v>284</v>
      </c>
      <c r="D3603" s="2"/>
    </row>
    <row r="3604" spans="1:4" ht="12.75" customHeight="1" x14ac:dyDescent="0.2">
      <c r="B3604" s="11" t="s">
        <v>2599</v>
      </c>
      <c r="C3604" s="17" t="s">
        <v>2558</v>
      </c>
      <c r="D3604" s="2"/>
    </row>
    <row r="3605" spans="1:4" ht="25.5" customHeight="1" x14ac:dyDescent="0.2">
      <c r="B3605" s="11" t="s">
        <v>2600</v>
      </c>
      <c r="C3605" s="17" t="s">
        <v>3142</v>
      </c>
      <c r="D3605" s="2"/>
    </row>
    <row r="3606" spans="1:4" ht="25.5" customHeight="1" x14ac:dyDescent="0.2">
      <c r="B3606" s="11" t="s">
        <v>2601</v>
      </c>
      <c r="C3606" s="17"/>
      <c r="D3606" s="2"/>
    </row>
    <row r="3607" spans="1:4" ht="12.75" customHeight="1" x14ac:dyDescent="0.2">
      <c r="B3607" s="11" t="s">
        <v>16</v>
      </c>
      <c r="C3607" s="17"/>
      <c r="D3607" s="2"/>
    </row>
    <row r="3608" spans="1:4" ht="12.75" customHeight="1" x14ac:dyDescent="0.2">
      <c r="B3608" s="11" t="s">
        <v>13</v>
      </c>
      <c r="C3608" s="17" t="s">
        <v>2602</v>
      </c>
      <c r="D3608" s="2"/>
    </row>
    <row r="3609" spans="1:4" ht="25.5" customHeight="1" x14ac:dyDescent="0.2">
      <c r="B3609" s="11" t="s">
        <v>2603</v>
      </c>
      <c r="C3609" s="17" t="s">
        <v>2971</v>
      </c>
      <c r="D3609" s="2"/>
    </row>
    <row r="3610" spans="1:4" ht="12.75" customHeight="1" x14ac:dyDescent="0.2">
      <c r="B3610" s="11" t="s">
        <v>2605</v>
      </c>
      <c r="C3610" s="17" t="s">
        <v>14</v>
      </c>
      <c r="D3610" s="2"/>
    </row>
    <row r="3611" spans="1:4" ht="12.75" customHeight="1" x14ac:dyDescent="0.2">
      <c r="B3611" s="11" t="s">
        <v>2606</v>
      </c>
      <c r="C3611" s="16" t="s">
        <v>19</v>
      </c>
      <c r="D3611" s="2"/>
    </row>
    <row r="3612" spans="1:4" ht="12.75" customHeight="1" x14ac:dyDescent="0.2">
      <c r="B3612" s="2"/>
      <c r="C3612" s="15"/>
      <c r="D3612" s="2"/>
    </row>
    <row r="3613" spans="1:4" ht="12.75" customHeight="1" x14ac:dyDescent="0.2">
      <c r="B3613" s="2"/>
      <c r="C3613" s="15"/>
      <c r="D3613" s="2"/>
    </row>
    <row r="3614" spans="1:4" ht="12.75" customHeight="1" x14ac:dyDescent="0.2">
      <c r="A3614" s="13" t="s">
        <v>3115</v>
      </c>
      <c r="C3614" s="12"/>
      <c r="D3614" s="2"/>
    </row>
    <row r="3615" spans="1:4" ht="12.75" customHeight="1" x14ac:dyDescent="0.2">
      <c r="A3615" s="11"/>
      <c r="B3615" s="2"/>
      <c r="C3615" s="15"/>
      <c r="D3615" s="2"/>
    </row>
    <row r="3616" spans="1:4" ht="12.75" customHeight="1" x14ac:dyDescent="0.2">
      <c r="B3616" s="11" t="s">
        <v>0</v>
      </c>
      <c r="C3616" s="17" t="s">
        <v>284</v>
      </c>
      <c r="D3616" s="2"/>
    </row>
    <row r="3617" spans="1:4" ht="12.75" customHeight="1" x14ac:dyDescent="0.2">
      <c r="B3617" s="11" t="s">
        <v>2599</v>
      </c>
      <c r="C3617" s="17" t="s">
        <v>2508</v>
      </c>
      <c r="D3617" s="2"/>
    </row>
    <row r="3618" spans="1:4" ht="25.5" customHeight="1" x14ac:dyDescent="0.2">
      <c r="B3618" s="11" t="s">
        <v>2600</v>
      </c>
      <c r="C3618" s="17" t="s">
        <v>3143</v>
      </c>
      <c r="D3618" s="2"/>
    </row>
    <row r="3619" spans="1:4" ht="25.5" customHeight="1" x14ac:dyDescent="0.2">
      <c r="B3619" s="11" t="s">
        <v>2601</v>
      </c>
      <c r="C3619" s="17"/>
      <c r="D3619" s="2"/>
    </row>
    <row r="3620" spans="1:4" ht="12.75" customHeight="1" x14ac:dyDescent="0.2">
      <c r="B3620" s="11" t="s">
        <v>16</v>
      </c>
      <c r="C3620" s="17"/>
      <c r="D3620" s="2"/>
    </row>
    <row r="3621" spans="1:4" ht="12.75" customHeight="1" x14ac:dyDescent="0.2">
      <c r="B3621" s="11" t="s">
        <v>13</v>
      </c>
      <c r="C3621" s="17" t="s">
        <v>2644</v>
      </c>
      <c r="D3621" s="2"/>
    </row>
    <row r="3622" spans="1:4" ht="25.5" customHeight="1" x14ac:dyDescent="0.2">
      <c r="B3622" s="11" t="s">
        <v>2603</v>
      </c>
      <c r="C3622" s="17" t="s">
        <v>2971</v>
      </c>
      <c r="D3622" s="2"/>
    </row>
    <row r="3623" spans="1:4" ht="12.75" customHeight="1" x14ac:dyDescent="0.2">
      <c r="B3623" s="11" t="s">
        <v>2605</v>
      </c>
      <c r="C3623" s="17" t="s">
        <v>14</v>
      </c>
      <c r="D3623" s="2"/>
    </row>
    <row r="3624" spans="1:4" ht="12.75" customHeight="1" x14ac:dyDescent="0.2">
      <c r="B3624" s="11" t="s">
        <v>2606</v>
      </c>
      <c r="C3624" s="16" t="s">
        <v>19</v>
      </c>
      <c r="D3624" s="2"/>
    </row>
    <row r="3625" spans="1:4" ht="12.75" customHeight="1" x14ac:dyDescent="0.2">
      <c r="B3625" s="2"/>
      <c r="C3625" s="15"/>
      <c r="D3625" s="2"/>
    </row>
    <row r="3626" spans="1:4" ht="12.75" customHeight="1" x14ac:dyDescent="0.2">
      <c r="B3626" s="2"/>
      <c r="C3626" s="15"/>
      <c r="D3626" s="2"/>
    </row>
    <row r="3627" spans="1:4" ht="12.75" customHeight="1" x14ac:dyDescent="0.2">
      <c r="A3627" s="13" t="s">
        <v>3144</v>
      </c>
      <c r="C3627" s="12"/>
    </row>
    <row r="3628" spans="1:4" ht="12.75" customHeight="1" x14ac:dyDescent="0.2">
      <c r="A3628" s="11"/>
      <c r="B3628" s="2"/>
      <c r="C3628" s="15"/>
      <c r="D3628" s="2"/>
    </row>
    <row r="3629" spans="1:4" ht="12.75" customHeight="1" x14ac:dyDescent="0.2">
      <c r="B3629" s="11" t="s">
        <v>0</v>
      </c>
      <c r="C3629" s="11" t="s">
        <v>284</v>
      </c>
    </row>
    <row r="3630" spans="1:4" ht="12.75" customHeight="1" x14ac:dyDescent="0.2">
      <c r="B3630" s="11" t="s">
        <v>2599</v>
      </c>
      <c r="C3630" s="11" t="s">
        <v>284</v>
      </c>
    </row>
    <row r="3631" spans="1:4" ht="25.5" customHeight="1" x14ac:dyDescent="0.2">
      <c r="B3631" s="11" t="s">
        <v>2600</v>
      </c>
      <c r="C3631" s="11" t="s">
        <v>3145</v>
      </c>
    </row>
    <row r="3632" spans="1:4" ht="25.5" customHeight="1" x14ac:dyDescent="0.2">
      <c r="B3632" s="11" t="s">
        <v>2601</v>
      </c>
      <c r="C3632" s="11"/>
    </row>
    <row r="3633" spans="1:4" ht="12.75" customHeight="1" x14ac:dyDescent="0.2">
      <c r="B3633" s="11" t="s">
        <v>16</v>
      </c>
      <c r="C3633" s="11"/>
    </row>
    <row r="3634" spans="1:4" ht="12.75" customHeight="1" x14ac:dyDescent="0.2">
      <c r="B3634" s="11" t="s">
        <v>13</v>
      </c>
      <c r="C3634" s="11" t="s">
        <v>2644</v>
      </c>
    </row>
    <row r="3635" spans="1:4" ht="12.75" customHeight="1" x14ac:dyDescent="0.2">
      <c r="B3635" s="11" t="s">
        <v>2603</v>
      </c>
      <c r="C3635" s="11" t="s">
        <v>2604</v>
      </c>
    </row>
    <row r="3636" spans="1:4" ht="12.75" customHeight="1" x14ac:dyDescent="0.2">
      <c r="B3636" s="11" t="s">
        <v>2605</v>
      </c>
      <c r="C3636" s="11" t="s">
        <v>24</v>
      </c>
    </row>
    <row r="3637" spans="1:4" ht="25.5" customHeight="1" x14ac:dyDescent="0.2">
      <c r="B3637" s="11" t="s">
        <v>2606</v>
      </c>
      <c r="C3637" s="16" t="s">
        <v>232</v>
      </c>
      <c r="D3637" s="6" t="str">
        <f>HYPERLINK("javascript:void(0)","kristályfolyadék")</f>
        <v>kristályfolyadék</v>
      </c>
    </row>
    <row r="3638" spans="1:4" ht="12.75" customHeight="1" x14ac:dyDescent="0.2">
      <c r="B3638" s="2"/>
      <c r="C3638" s="15"/>
      <c r="D3638" s="2"/>
    </row>
    <row r="3639" spans="1:4" ht="12.75" customHeight="1" x14ac:dyDescent="0.2">
      <c r="B3639" s="2"/>
      <c r="C3639" s="15"/>
      <c r="D3639" s="2"/>
    </row>
    <row r="3640" spans="1:4" ht="12.75" customHeight="1" x14ac:dyDescent="0.2">
      <c r="A3640" s="13" t="s">
        <v>3146</v>
      </c>
      <c r="C3640" s="12"/>
    </row>
    <row r="3641" spans="1:4" ht="12.75" customHeight="1" x14ac:dyDescent="0.2">
      <c r="A3641" s="11"/>
      <c r="B3641" s="2"/>
      <c r="C3641" s="15"/>
      <c r="D3641" s="2"/>
    </row>
    <row r="3642" spans="1:4" ht="12.75" customHeight="1" x14ac:dyDescent="0.2">
      <c r="B3642" s="11" t="s">
        <v>0</v>
      </c>
      <c r="C3642" s="11" t="s">
        <v>284</v>
      </c>
    </row>
    <row r="3643" spans="1:4" ht="12.75" customHeight="1" x14ac:dyDescent="0.2">
      <c r="B3643" s="11" t="s">
        <v>2599</v>
      </c>
      <c r="C3643" s="11" t="s">
        <v>3147</v>
      </c>
    </row>
    <row r="3644" spans="1:4" ht="25.5" customHeight="1" x14ac:dyDescent="0.2">
      <c r="B3644" s="11" t="s">
        <v>2600</v>
      </c>
      <c r="C3644" s="11" t="s">
        <v>3148</v>
      </c>
    </row>
    <row r="3645" spans="1:4" ht="25.5" customHeight="1" x14ac:dyDescent="0.2">
      <c r="B3645" s="11" t="s">
        <v>2601</v>
      </c>
      <c r="C3645" s="11"/>
    </row>
    <row r="3646" spans="1:4" ht="12.75" customHeight="1" x14ac:dyDescent="0.2">
      <c r="B3646" s="11" t="s">
        <v>16</v>
      </c>
      <c r="C3646" s="11"/>
    </row>
    <row r="3647" spans="1:4" ht="12.75" customHeight="1" x14ac:dyDescent="0.2">
      <c r="B3647" s="11" t="s">
        <v>13</v>
      </c>
      <c r="C3647" s="11" t="s">
        <v>2644</v>
      </c>
    </row>
    <row r="3648" spans="1:4" ht="12.75" customHeight="1" x14ac:dyDescent="0.2">
      <c r="B3648" s="11" t="s">
        <v>2603</v>
      </c>
      <c r="C3648" s="11" t="s">
        <v>2604</v>
      </c>
    </row>
    <row r="3649" spans="1:4" ht="12.75" customHeight="1" x14ac:dyDescent="0.2">
      <c r="B3649" s="11" t="s">
        <v>2605</v>
      </c>
      <c r="C3649" s="11" t="s">
        <v>24</v>
      </c>
    </row>
    <row r="3650" spans="1:4" ht="12.75" customHeight="1" x14ac:dyDescent="0.2">
      <c r="B3650" s="11" t="s">
        <v>2606</v>
      </c>
      <c r="C3650" s="16" t="s">
        <v>232</v>
      </c>
      <c r="D3650" s="6" t="str">
        <f>HYPERLINK("javascript:void(0)","vászoning")</f>
        <v>vászoning</v>
      </c>
    </row>
    <row r="3651" spans="1:4" ht="12.75" customHeight="1" x14ac:dyDescent="0.2">
      <c r="B3651" s="2"/>
      <c r="C3651" s="15"/>
      <c r="D3651" s="2"/>
    </row>
    <row r="3652" spans="1:4" ht="12.75" customHeight="1" x14ac:dyDescent="0.2">
      <c r="B3652" s="2"/>
      <c r="C3652" s="15"/>
      <c r="D3652" s="2"/>
    </row>
    <row r="3653" spans="1:4" ht="12.75" customHeight="1" x14ac:dyDescent="0.2">
      <c r="A3653" s="13" t="s">
        <v>3149</v>
      </c>
      <c r="C3653" s="12"/>
    </row>
    <row r="3654" spans="1:4" ht="12.75" customHeight="1" x14ac:dyDescent="0.2">
      <c r="A3654" s="11"/>
      <c r="B3654" s="2"/>
      <c r="C3654" s="15"/>
      <c r="D3654" s="2"/>
    </row>
    <row r="3655" spans="1:4" ht="12.75" customHeight="1" x14ac:dyDescent="0.2">
      <c r="B3655" s="11" t="s">
        <v>0</v>
      </c>
      <c r="C3655" s="11" t="s">
        <v>284</v>
      </c>
    </row>
    <row r="3656" spans="1:4" ht="12.75" customHeight="1" x14ac:dyDescent="0.2">
      <c r="B3656" s="11" t="s">
        <v>2599</v>
      </c>
      <c r="C3656" s="11" t="s">
        <v>3150</v>
      </c>
    </row>
    <row r="3657" spans="1:4" ht="25.5" customHeight="1" x14ac:dyDescent="0.2">
      <c r="B3657" s="11" t="s">
        <v>2600</v>
      </c>
      <c r="C3657" s="11" t="s">
        <v>3151</v>
      </c>
    </row>
    <row r="3658" spans="1:4" ht="25.5" customHeight="1" x14ac:dyDescent="0.2">
      <c r="B3658" s="11" t="s">
        <v>2601</v>
      </c>
      <c r="C3658" s="11"/>
    </row>
    <row r="3659" spans="1:4" ht="12.75" customHeight="1" x14ac:dyDescent="0.2">
      <c r="B3659" s="11" t="s">
        <v>16</v>
      </c>
      <c r="C3659" s="11"/>
    </row>
    <row r="3660" spans="1:4" ht="12.75" customHeight="1" x14ac:dyDescent="0.2">
      <c r="B3660" s="11" t="s">
        <v>13</v>
      </c>
      <c r="C3660" s="11" t="s">
        <v>2644</v>
      </c>
    </row>
    <row r="3661" spans="1:4" ht="12.75" customHeight="1" x14ac:dyDescent="0.2">
      <c r="B3661" s="11" t="s">
        <v>2603</v>
      </c>
      <c r="C3661" s="11" t="s">
        <v>2604</v>
      </c>
    </row>
    <row r="3662" spans="1:4" ht="12.75" customHeight="1" x14ac:dyDescent="0.2">
      <c r="B3662" s="11" t="s">
        <v>2605</v>
      </c>
      <c r="C3662" s="11" t="s">
        <v>24</v>
      </c>
    </row>
    <row r="3663" spans="1:4" ht="25.5" customHeight="1" x14ac:dyDescent="0.2">
      <c r="B3663" s="11" t="s">
        <v>2606</v>
      </c>
      <c r="C3663" s="16" t="s">
        <v>44</v>
      </c>
      <c r="D3663" s="6" t="str">
        <f>HYPERLINK("javascript:void(0)","lélegző sarokkő")</f>
        <v>lélegző sarokkő</v>
      </c>
    </row>
    <row r="3664" spans="1:4" ht="12.75" customHeight="1" x14ac:dyDescent="0.2">
      <c r="B3664" s="2"/>
      <c r="C3664" s="15"/>
      <c r="D3664" s="2"/>
    </row>
    <row r="3665" spans="1:4" ht="12.75" customHeight="1" x14ac:dyDescent="0.2">
      <c r="B3665" s="2"/>
      <c r="C3665" s="15"/>
      <c r="D3665" s="2"/>
    </row>
    <row r="3666" spans="1:4" ht="12.75" customHeight="1" x14ac:dyDescent="0.2">
      <c r="A3666" s="13" t="s">
        <v>3152</v>
      </c>
      <c r="C3666" s="12"/>
    </row>
    <row r="3667" spans="1:4" ht="12.75" customHeight="1" x14ac:dyDescent="0.2">
      <c r="A3667" s="11"/>
      <c r="B3667" s="2"/>
      <c r="C3667" s="15"/>
      <c r="D3667" s="2"/>
    </row>
    <row r="3668" spans="1:4" ht="12.75" customHeight="1" x14ac:dyDescent="0.2">
      <c r="B3668" s="11" t="s">
        <v>0</v>
      </c>
      <c r="C3668" s="11" t="s">
        <v>284</v>
      </c>
    </row>
    <row r="3669" spans="1:4" ht="12.75" customHeight="1" x14ac:dyDescent="0.2">
      <c r="B3669" s="11" t="s">
        <v>2599</v>
      </c>
      <c r="C3669" s="11" t="s">
        <v>1196</v>
      </c>
    </row>
    <row r="3670" spans="1:4" ht="25.5" customHeight="1" x14ac:dyDescent="0.2">
      <c r="B3670" s="11" t="s">
        <v>2600</v>
      </c>
      <c r="C3670" s="11" t="s">
        <v>3153</v>
      </c>
    </row>
    <row r="3671" spans="1:4" ht="25.5" customHeight="1" x14ac:dyDescent="0.2">
      <c r="B3671" s="11" t="s">
        <v>2601</v>
      </c>
      <c r="C3671" s="11"/>
    </row>
    <row r="3672" spans="1:4" ht="12.75" customHeight="1" x14ac:dyDescent="0.2">
      <c r="B3672" s="11" t="s">
        <v>16</v>
      </c>
      <c r="C3672" s="11"/>
    </row>
    <row r="3673" spans="1:4" ht="12.75" customHeight="1" x14ac:dyDescent="0.2">
      <c r="B3673" s="11" t="s">
        <v>13</v>
      </c>
      <c r="C3673" s="11" t="s">
        <v>2644</v>
      </c>
    </row>
    <row r="3674" spans="1:4" ht="12.75" customHeight="1" x14ac:dyDescent="0.2">
      <c r="B3674" s="11" t="s">
        <v>2603</v>
      </c>
      <c r="C3674" s="11" t="s">
        <v>2604</v>
      </c>
    </row>
    <row r="3675" spans="1:4" ht="12.75" customHeight="1" x14ac:dyDescent="0.2">
      <c r="B3675" s="11" t="s">
        <v>2605</v>
      </c>
      <c r="C3675" s="11" t="s">
        <v>24</v>
      </c>
    </row>
    <row r="3676" spans="1:4" ht="25.5" customHeight="1" x14ac:dyDescent="0.2">
      <c r="B3676" s="11" t="s">
        <v>2606</v>
      </c>
      <c r="C3676" s="16" t="s">
        <v>44</v>
      </c>
      <c r="D3676" s="6" t="str">
        <f>HYPERLINK("javascript:void(0)","idegen szerkentyű")</f>
        <v>idegen szerkentyű</v>
      </c>
    </row>
    <row r="3677" spans="1:4" ht="12.75" customHeight="1" x14ac:dyDescent="0.2">
      <c r="B3677" s="2"/>
      <c r="C3677" s="15"/>
      <c r="D3677" s="2"/>
    </row>
    <row r="3678" spans="1:4" ht="12.75" customHeight="1" x14ac:dyDescent="0.2">
      <c r="B3678" s="2"/>
      <c r="C3678" s="15"/>
      <c r="D3678" s="2"/>
    </row>
    <row r="3679" spans="1:4" ht="12.75" customHeight="1" x14ac:dyDescent="0.2">
      <c r="A3679" s="13" t="s">
        <v>3154</v>
      </c>
      <c r="C3679" s="12"/>
    </row>
    <row r="3680" spans="1:4" ht="12.75" customHeight="1" x14ac:dyDescent="0.2">
      <c r="A3680" s="11"/>
      <c r="B3680" s="2"/>
      <c r="C3680" s="15"/>
      <c r="D3680" s="2"/>
    </row>
    <row r="3681" spans="1:4" ht="12.75" customHeight="1" x14ac:dyDescent="0.2">
      <c r="B3681" s="11" t="s">
        <v>0</v>
      </c>
      <c r="C3681" s="11" t="s">
        <v>284</v>
      </c>
    </row>
    <row r="3682" spans="1:4" ht="12.75" customHeight="1" x14ac:dyDescent="0.2">
      <c r="B3682" s="11" t="s">
        <v>2599</v>
      </c>
      <c r="C3682" s="11" t="s">
        <v>3155</v>
      </c>
    </row>
    <row r="3683" spans="1:4" ht="25.5" customHeight="1" x14ac:dyDescent="0.2">
      <c r="B3683" s="11" t="s">
        <v>2600</v>
      </c>
      <c r="C3683" s="11" t="s">
        <v>3156</v>
      </c>
    </row>
    <row r="3684" spans="1:4" ht="25.5" customHeight="1" x14ac:dyDescent="0.2">
      <c r="B3684" s="11" t="s">
        <v>2601</v>
      </c>
      <c r="C3684" s="11"/>
    </row>
    <row r="3685" spans="1:4" ht="12.75" customHeight="1" x14ac:dyDescent="0.2">
      <c r="B3685" s="11" t="s">
        <v>16</v>
      </c>
      <c r="C3685" s="11"/>
    </row>
    <row r="3686" spans="1:4" ht="12.75" customHeight="1" x14ac:dyDescent="0.2">
      <c r="B3686" s="11" t="s">
        <v>13</v>
      </c>
      <c r="C3686" s="11" t="s">
        <v>2644</v>
      </c>
    </row>
    <row r="3687" spans="1:4" ht="12.75" customHeight="1" x14ac:dyDescent="0.2">
      <c r="B3687" s="11" t="s">
        <v>2603</v>
      </c>
      <c r="C3687" s="11" t="s">
        <v>2604</v>
      </c>
    </row>
    <row r="3688" spans="1:4" ht="12.75" customHeight="1" x14ac:dyDescent="0.2">
      <c r="B3688" s="11" t="s">
        <v>2605</v>
      </c>
      <c r="C3688" s="11" t="s">
        <v>24</v>
      </c>
    </row>
    <row r="3689" spans="1:4" ht="12.75" customHeight="1" x14ac:dyDescent="0.2">
      <c r="B3689" s="11" t="s">
        <v>2606</v>
      </c>
      <c r="C3689" s="16" t="s">
        <v>57</v>
      </c>
      <c r="D3689" s="6" t="str">
        <f>HYPERLINK("javascript:void(0)","kaja")</f>
        <v>kaja</v>
      </c>
    </row>
    <row r="3690" spans="1:4" ht="12.75" customHeight="1" x14ac:dyDescent="0.2">
      <c r="B3690" s="2"/>
      <c r="C3690" s="15"/>
      <c r="D3690" s="2"/>
    </row>
    <row r="3691" spans="1:4" ht="12.75" customHeight="1" x14ac:dyDescent="0.2">
      <c r="B3691" s="2"/>
      <c r="C3691" s="15"/>
      <c r="D3691" s="2"/>
    </row>
    <row r="3692" spans="1:4" ht="12.75" customHeight="1" x14ac:dyDescent="0.2">
      <c r="A3692" s="13" t="s">
        <v>3157</v>
      </c>
      <c r="C3692" s="12"/>
    </row>
    <row r="3693" spans="1:4" ht="12.75" customHeight="1" x14ac:dyDescent="0.2">
      <c r="A3693" s="11"/>
      <c r="B3693" s="2"/>
      <c r="C3693" s="15"/>
      <c r="D3693" s="2"/>
    </row>
    <row r="3694" spans="1:4" ht="12.75" customHeight="1" x14ac:dyDescent="0.2">
      <c r="B3694" s="11" t="s">
        <v>0</v>
      </c>
      <c r="C3694" s="11" t="s">
        <v>284</v>
      </c>
    </row>
    <row r="3695" spans="1:4" ht="12.75" customHeight="1" x14ac:dyDescent="0.2">
      <c r="B3695" s="11" t="s">
        <v>2599</v>
      </c>
      <c r="C3695" s="11" t="s">
        <v>3158</v>
      </c>
    </row>
    <row r="3696" spans="1:4" ht="25.5" customHeight="1" x14ac:dyDescent="0.2">
      <c r="B3696" s="11" t="s">
        <v>2600</v>
      </c>
      <c r="C3696" s="11" t="s">
        <v>3159</v>
      </c>
    </row>
    <row r="3697" spans="1:4" ht="25.5" customHeight="1" x14ac:dyDescent="0.2">
      <c r="B3697" s="11" t="s">
        <v>2601</v>
      </c>
      <c r="C3697" s="11"/>
    </row>
    <row r="3698" spans="1:4" ht="12.75" customHeight="1" x14ac:dyDescent="0.2">
      <c r="B3698" s="11" t="s">
        <v>16</v>
      </c>
      <c r="C3698" s="11"/>
    </row>
    <row r="3699" spans="1:4" ht="12.75" customHeight="1" x14ac:dyDescent="0.2">
      <c r="B3699" s="11" t="s">
        <v>13</v>
      </c>
      <c r="C3699" s="11" t="s">
        <v>2644</v>
      </c>
    </row>
    <row r="3700" spans="1:4" ht="12.75" customHeight="1" x14ac:dyDescent="0.2">
      <c r="B3700" s="11" t="s">
        <v>2603</v>
      </c>
      <c r="C3700" s="11" t="s">
        <v>2604</v>
      </c>
    </row>
    <row r="3701" spans="1:4" ht="12.75" customHeight="1" x14ac:dyDescent="0.2">
      <c r="B3701" s="11" t="s">
        <v>2605</v>
      </c>
      <c r="C3701" s="11" t="s">
        <v>24</v>
      </c>
    </row>
    <row r="3702" spans="1:4" ht="12.75" customHeight="1" x14ac:dyDescent="0.2">
      <c r="B3702" s="11" t="s">
        <v>2606</v>
      </c>
      <c r="C3702" s="16" t="s">
        <v>67</v>
      </c>
      <c r="D3702" s="6" t="str">
        <f>HYPERLINK("javascript:void(0)","pegazustoll")</f>
        <v>pegazustoll</v>
      </c>
    </row>
    <row r="3703" spans="1:4" ht="12.75" customHeight="1" x14ac:dyDescent="0.2">
      <c r="B3703" s="2"/>
      <c r="C3703" s="15"/>
      <c r="D3703" s="2"/>
    </row>
    <row r="3704" spans="1:4" ht="12.75" customHeight="1" x14ac:dyDescent="0.2">
      <c r="B3704" s="2"/>
      <c r="C3704" s="15"/>
      <c r="D3704" s="2"/>
    </row>
    <row r="3705" spans="1:4" ht="12.75" customHeight="1" x14ac:dyDescent="0.2">
      <c r="A3705" s="13" t="s">
        <v>3160</v>
      </c>
      <c r="C3705" s="12"/>
    </row>
    <row r="3706" spans="1:4" ht="12.75" customHeight="1" x14ac:dyDescent="0.2">
      <c r="A3706" s="11"/>
      <c r="B3706" s="2"/>
      <c r="C3706" s="15"/>
      <c r="D3706" s="2"/>
    </row>
    <row r="3707" spans="1:4" ht="12.75" customHeight="1" x14ac:dyDescent="0.2">
      <c r="B3707" s="11" t="s">
        <v>0</v>
      </c>
      <c r="C3707" s="11" t="s">
        <v>284</v>
      </c>
    </row>
    <row r="3708" spans="1:4" ht="12.75" customHeight="1" x14ac:dyDescent="0.2">
      <c r="B3708" s="11" t="s">
        <v>2599</v>
      </c>
      <c r="C3708" s="11" t="s">
        <v>1867</v>
      </c>
    </row>
    <row r="3709" spans="1:4" ht="25.5" customHeight="1" x14ac:dyDescent="0.2">
      <c r="B3709" s="11" t="s">
        <v>2600</v>
      </c>
      <c r="C3709" s="11" t="s">
        <v>3161</v>
      </c>
    </row>
    <row r="3710" spans="1:4" ht="25.5" customHeight="1" x14ac:dyDescent="0.2">
      <c r="B3710" s="11" t="s">
        <v>2601</v>
      </c>
      <c r="C3710" s="11"/>
    </row>
    <row r="3711" spans="1:4" ht="12.75" customHeight="1" x14ac:dyDescent="0.2">
      <c r="B3711" s="11" t="s">
        <v>16</v>
      </c>
      <c r="C3711" s="11"/>
    </row>
    <row r="3712" spans="1:4" ht="12.75" customHeight="1" x14ac:dyDescent="0.2">
      <c r="B3712" s="11" t="s">
        <v>13</v>
      </c>
      <c r="C3712" s="11" t="s">
        <v>2644</v>
      </c>
    </row>
    <row r="3713" spans="1:4" ht="12.75" customHeight="1" x14ac:dyDescent="0.2">
      <c r="B3713" s="11" t="s">
        <v>2603</v>
      </c>
      <c r="C3713" s="11" t="s">
        <v>2604</v>
      </c>
    </row>
    <row r="3714" spans="1:4" ht="12.75" customHeight="1" x14ac:dyDescent="0.2">
      <c r="B3714" s="11" t="s">
        <v>2605</v>
      </c>
      <c r="C3714" s="11" t="s">
        <v>24</v>
      </c>
    </row>
    <row r="3715" spans="1:4" ht="12.75" customHeight="1" x14ac:dyDescent="0.2">
      <c r="B3715" s="11" t="s">
        <v>2606</v>
      </c>
      <c r="C3715" s="16" t="s">
        <v>142</v>
      </c>
      <c r="D3715" s="6" t="str">
        <f>HYPERLINK("javascript:void(0)","gyíkbőr")</f>
        <v>gyíkbőr</v>
      </c>
    </row>
    <row r="3716" spans="1:4" ht="12.75" customHeight="1" x14ac:dyDescent="0.2">
      <c r="B3716" s="2"/>
      <c r="C3716" s="15"/>
      <c r="D3716" s="2"/>
    </row>
    <row r="3717" spans="1:4" ht="12.75" customHeight="1" x14ac:dyDescent="0.2">
      <c r="B3717" s="2"/>
      <c r="C3717" s="15"/>
      <c r="D3717" s="2"/>
    </row>
    <row r="3718" spans="1:4" ht="12.75" customHeight="1" x14ac:dyDescent="0.2">
      <c r="A3718" s="13" t="s">
        <v>3162</v>
      </c>
      <c r="C3718" s="12"/>
    </row>
    <row r="3719" spans="1:4" ht="12.75" customHeight="1" x14ac:dyDescent="0.2">
      <c r="A3719" s="11"/>
      <c r="B3719" s="2"/>
      <c r="C3719" s="15"/>
      <c r="D3719" s="2"/>
    </row>
    <row r="3720" spans="1:4" ht="12.75" customHeight="1" x14ac:dyDescent="0.2">
      <c r="B3720" s="11" t="s">
        <v>0</v>
      </c>
      <c r="C3720" s="11" t="s">
        <v>284</v>
      </c>
    </row>
    <row r="3721" spans="1:4" ht="12.75" customHeight="1" x14ac:dyDescent="0.2">
      <c r="B3721" s="11" t="s">
        <v>2599</v>
      </c>
      <c r="C3721" s="11" t="s">
        <v>247</v>
      </c>
    </row>
    <row r="3722" spans="1:4" ht="25.5" customHeight="1" x14ac:dyDescent="0.2">
      <c r="B3722" s="11" t="s">
        <v>2600</v>
      </c>
      <c r="C3722" s="11" t="s">
        <v>3163</v>
      </c>
    </row>
    <row r="3723" spans="1:4" ht="25.5" customHeight="1" x14ac:dyDescent="0.2">
      <c r="B3723" s="11" t="s">
        <v>2601</v>
      </c>
      <c r="C3723" s="11"/>
    </row>
    <row r="3724" spans="1:4" ht="12.75" customHeight="1" x14ac:dyDescent="0.2">
      <c r="B3724" s="11" t="s">
        <v>16</v>
      </c>
      <c r="C3724" s="11"/>
    </row>
    <row r="3725" spans="1:4" ht="12.75" customHeight="1" x14ac:dyDescent="0.2">
      <c r="B3725" s="11" t="s">
        <v>13</v>
      </c>
      <c r="C3725" s="11" t="s">
        <v>2602</v>
      </c>
    </row>
    <row r="3726" spans="1:4" ht="12.75" customHeight="1" x14ac:dyDescent="0.2">
      <c r="B3726" s="11" t="s">
        <v>2603</v>
      </c>
      <c r="C3726" s="11" t="s">
        <v>2604</v>
      </c>
    </row>
    <row r="3727" spans="1:4" ht="12.75" customHeight="1" x14ac:dyDescent="0.2">
      <c r="B3727" s="11" t="s">
        <v>2605</v>
      </c>
      <c r="C3727" s="11" t="s">
        <v>24</v>
      </c>
    </row>
    <row r="3728" spans="1:4" ht="12.75" customHeight="1" x14ac:dyDescent="0.2">
      <c r="B3728" s="11" t="s">
        <v>2606</v>
      </c>
      <c r="C3728" s="16" t="s">
        <v>44</v>
      </c>
      <c r="D3728" s="6" t="str">
        <f>HYPERLINK("javascript:void(0)","szemhéj")</f>
        <v>szemhéj</v>
      </c>
    </row>
    <row r="3729" spans="1:4" ht="12.75" customHeight="1" x14ac:dyDescent="0.2">
      <c r="C3729" s="16" t="s">
        <v>44</v>
      </c>
      <c r="D3729" s="6" t="str">
        <f>HYPERLINK("javascript:void(0)","grifftoll")</f>
        <v>grifftoll</v>
      </c>
    </row>
    <row r="3730" spans="1:4" ht="12.75" customHeight="1" x14ac:dyDescent="0.2">
      <c r="C3730" s="16" t="s">
        <v>44</v>
      </c>
      <c r="D3730" s="6" t="str">
        <f>HYPERLINK("javascript:void(0)","vakond bőr")</f>
        <v>vakond bőr</v>
      </c>
    </row>
    <row r="3731" spans="1:4" ht="12.75" customHeight="1" x14ac:dyDescent="0.2">
      <c r="C3731" s="16" t="s">
        <v>44</v>
      </c>
      <c r="D3731" s="6" t="str">
        <f>HYPERLINK("javascript:void(0)","süntüske")</f>
        <v>süntüske</v>
      </c>
    </row>
    <row r="3732" spans="1:4" ht="12.75" customHeight="1" x14ac:dyDescent="0.2">
      <c r="B3732" s="2"/>
      <c r="C3732" s="15"/>
      <c r="D3732" s="2"/>
    </row>
    <row r="3733" spans="1:4" ht="12.75" customHeight="1" x14ac:dyDescent="0.2">
      <c r="B3733" s="2"/>
      <c r="C3733" s="15"/>
      <c r="D3733" s="2"/>
    </row>
    <row r="3734" spans="1:4" ht="12.75" customHeight="1" x14ac:dyDescent="0.2">
      <c r="A3734" s="13" t="s">
        <v>3164</v>
      </c>
      <c r="C3734" s="12"/>
      <c r="D3734" s="2"/>
    </row>
    <row r="3735" spans="1:4" ht="12.75" customHeight="1" x14ac:dyDescent="0.2">
      <c r="A3735" s="11"/>
      <c r="B3735" s="2"/>
      <c r="C3735" s="15"/>
      <c r="D3735" s="2"/>
    </row>
    <row r="3736" spans="1:4" ht="12.75" customHeight="1" x14ac:dyDescent="0.2">
      <c r="B3736" s="11" t="s">
        <v>0</v>
      </c>
      <c r="C3736" s="17" t="s">
        <v>291</v>
      </c>
      <c r="D3736" s="2"/>
    </row>
    <row r="3737" spans="1:4" ht="12.75" customHeight="1" x14ac:dyDescent="0.2">
      <c r="B3737" s="11" t="s">
        <v>2599</v>
      </c>
      <c r="C3737" s="17" t="s">
        <v>3165</v>
      </c>
      <c r="D3737" s="2"/>
    </row>
    <row r="3738" spans="1:4" ht="25.5" customHeight="1" x14ac:dyDescent="0.2">
      <c r="B3738" s="11" t="s">
        <v>2600</v>
      </c>
      <c r="C3738" s="17" t="s">
        <v>3166</v>
      </c>
      <c r="D3738" s="2"/>
    </row>
    <row r="3739" spans="1:4" ht="25.5" customHeight="1" x14ac:dyDescent="0.2">
      <c r="B3739" s="11" t="s">
        <v>2601</v>
      </c>
      <c r="C3739" s="17"/>
      <c r="D3739" s="2"/>
    </row>
    <row r="3740" spans="1:4" ht="12.75" customHeight="1" x14ac:dyDescent="0.2">
      <c r="B3740" s="11" t="s">
        <v>16</v>
      </c>
      <c r="C3740" s="17"/>
      <c r="D3740" s="2"/>
    </row>
    <row r="3741" spans="1:4" ht="12.75" customHeight="1" x14ac:dyDescent="0.2">
      <c r="B3741" s="11" t="s">
        <v>13</v>
      </c>
      <c r="C3741" s="17" t="s">
        <v>2644</v>
      </c>
      <c r="D3741" s="2"/>
    </row>
    <row r="3742" spans="1:4" ht="12.75" customHeight="1" x14ac:dyDescent="0.2">
      <c r="B3742" s="11" t="s">
        <v>2603</v>
      </c>
      <c r="C3742" s="17" t="s">
        <v>128</v>
      </c>
      <c r="D3742" s="2"/>
    </row>
    <row r="3743" spans="1:4" ht="12.75" customHeight="1" x14ac:dyDescent="0.2">
      <c r="B3743" s="11" t="s">
        <v>2605</v>
      </c>
      <c r="C3743" s="17" t="s">
        <v>14</v>
      </c>
      <c r="D3743" s="2"/>
    </row>
    <row r="3744" spans="1:4" ht="12.75" customHeight="1" x14ac:dyDescent="0.2">
      <c r="B3744" s="11" t="s">
        <v>2606</v>
      </c>
      <c r="C3744" s="16" t="s">
        <v>19</v>
      </c>
      <c r="D3744" s="2"/>
    </row>
    <row r="3745" spans="1:4" ht="12.75" customHeight="1" x14ac:dyDescent="0.2">
      <c r="B3745" s="2"/>
      <c r="C3745" s="15"/>
      <c r="D3745" s="2"/>
    </row>
    <row r="3746" spans="1:4" ht="12.75" customHeight="1" x14ac:dyDescent="0.2">
      <c r="B3746" s="2"/>
      <c r="C3746" s="15"/>
      <c r="D3746" s="2"/>
    </row>
    <row r="3747" spans="1:4" ht="12.75" customHeight="1" x14ac:dyDescent="0.2">
      <c r="A3747" s="13" t="s">
        <v>3167</v>
      </c>
      <c r="C3747" s="12"/>
      <c r="D3747" s="2"/>
    </row>
    <row r="3748" spans="1:4" ht="12.75" customHeight="1" x14ac:dyDescent="0.2">
      <c r="A3748" s="11"/>
      <c r="B3748" s="2"/>
      <c r="C3748" s="15"/>
      <c r="D3748" s="2"/>
    </row>
    <row r="3749" spans="1:4" ht="12.75" customHeight="1" x14ac:dyDescent="0.2">
      <c r="B3749" s="11" t="s">
        <v>0</v>
      </c>
      <c r="C3749" s="17" t="s">
        <v>291</v>
      </c>
      <c r="D3749" s="2"/>
    </row>
    <row r="3750" spans="1:4" ht="12.75" customHeight="1" x14ac:dyDescent="0.2">
      <c r="B3750" s="11" t="s">
        <v>2599</v>
      </c>
      <c r="C3750" s="17" t="s">
        <v>714</v>
      </c>
      <c r="D3750" s="2"/>
    </row>
    <row r="3751" spans="1:4" ht="25.5" customHeight="1" x14ac:dyDescent="0.2">
      <c r="B3751" s="11" t="s">
        <v>2600</v>
      </c>
      <c r="C3751" s="17" t="s">
        <v>3168</v>
      </c>
      <c r="D3751" s="2"/>
    </row>
    <row r="3752" spans="1:4" ht="25.5" customHeight="1" x14ac:dyDescent="0.2">
      <c r="B3752" s="11" t="s">
        <v>2601</v>
      </c>
      <c r="C3752" s="17"/>
      <c r="D3752" s="2"/>
    </row>
    <row r="3753" spans="1:4" ht="12.75" customHeight="1" x14ac:dyDescent="0.2">
      <c r="B3753" s="11" t="s">
        <v>16</v>
      </c>
      <c r="C3753" s="17"/>
      <c r="D3753" s="2"/>
    </row>
    <row r="3754" spans="1:4" ht="12.75" customHeight="1" x14ac:dyDescent="0.2">
      <c r="B3754" s="11" t="s">
        <v>13</v>
      </c>
      <c r="C3754" s="17" t="s">
        <v>2602</v>
      </c>
      <c r="D3754" s="2"/>
    </row>
    <row r="3755" spans="1:4" ht="12.75" customHeight="1" x14ac:dyDescent="0.2">
      <c r="B3755" s="11" t="s">
        <v>2603</v>
      </c>
      <c r="C3755" s="17" t="s">
        <v>128</v>
      </c>
      <c r="D3755" s="2"/>
    </row>
    <row r="3756" spans="1:4" ht="12.75" customHeight="1" x14ac:dyDescent="0.2">
      <c r="B3756" s="11" t="s">
        <v>2605</v>
      </c>
      <c r="C3756" s="17" t="s">
        <v>14</v>
      </c>
      <c r="D3756" s="2"/>
    </row>
    <row r="3757" spans="1:4" ht="12.75" customHeight="1" x14ac:dyDescent="0.2">
      <c r="B3757" s="11" t="s">
        <v>2606</v>
      </c>
      <c r="C3757" s="16" t="s">
        <v>19</v>
      </c>
      <c r="D3757" s="2"/>
    </row>
    <row r="3758" spans="1:4" ht="12.75" customHeight="1" x14ac:dyDescent="0.2">
      <c r="B3758" s="2"/>
      <c r="C3758" s="15"/>
      <c r="D3758" s="2"/>
    </row>
    <row r="3759" spans="1:4" ht="12.75" customHeight="1" x14ac:dyDescent="0.2">
      <c r="B3759" s="2"/>
      <c r="C3759" s="15"/>
      <c r="D3759" s="2"/>
    </row>
    <row r="3760" spans="1:4" ht="12.75" customHeight="1" x14ac:dyDescent="0.2">
      <c r="A3760" s="13" t="s">
        <v>3169</v>
      </c>
      <c r="C3760" s="12"/>
      <c r="D3760" s="2"/>
    </row>
    <row r="3761" spans="1:4" ht="12.75" customHeight="1" x14ac:dyDescent="0.2">
      <c r="A3761" s="11"/>
      <c r="B3761" s="2"/>
      <c r="C3761" s="15"/>
      <c r="D3761" s="2"/>
    </row>
    <row r="3762" spans="1:4" ht="12.75" customHeight="1" x14ac:dyDescent="0.2">
      <c r="B3762" s="11" t="s">
        <v>0</v>
      </c>
      <c r="C3762" s="17" t="s">
        <v>291</v>
      </c>
      <c r="D3762" s="2"/>
    </row>
    <row r="3763" spans="1:4" ht="12.75" customHeight="1" x14ac:dyDescent="0.2">
      <c r="B3763" s="11" t="s">
        <v>2599</v>
      </c>
      <c r="C3763" s="17" t="s">
        <v>242</v>
      </c>
      <c r="D3763" s="2"/>
    </row>
    <row r="3764" spans="1:4" ht="25.5" customHeight="1" x14ac:dyDescent="0.2">
      <c r="B3764" s="11" t="s">
        <v>2600</v>
      </c>
      <c r="C3764" s="17" t="s">
        <v>3170</v>
      </c>
      <c r="D3764" s="2"/>
    </row>
    <row r="3765" spans="1:4" ht="25.5" customHeight="1" x14ac:dyDescent="0.2">
      <c r="B3765" s="11" t="s">
        <v>2601</v>
      </c>
      <c r="C3765" s="17"/>
      <c r="D3765" s="2"/>
    </row>
    <row r="3766" spans="1:4" ht="12.75" customHeight="1" x14ac:dyDescent="0.2">
      <c r="B3766" s="11" t="s">
        <v>16</v>
      </c>
      <c r="C3766" s="17"/>
      <c r="D3766" s="2"/>
    </row>
    <row r="3767" spans="1:4" ht="12.75" customHeight="1" x14ac:dyDescent="0.2">
      <c r="B3767" s="11" t="s">
        <v>13</v>
      </c>
      <c r="C3767" s="17" t="s">
        <v>2644</v>
      </c>
      <c r="D3767" s="2"/>
    </row>
    <row r="3768" spans="1:4" ht="12.75" customHeight="1" x14ac:dyDescent="0.2">
      <c r="B3768" s="11" t="s">
        <v>2603</v>
      </c>
      <c r="C3768" s="17" t="s">
        <v>128</v>
      </c>
      <c r="D3768" s="2"/>
    </row>
    <row r="3769" spans="1:4" ht="12.75" customHeight="1" x14ac:dyDescent="0.2">
      <c r="B3769" s="11" t="s">
        <v>2605</v>
      </c>
      <c r="C3769" s="17" t="s">
        <v>14</v>
      </c>
      <c r="D3769" s="2"/>
    </row>
    <row r="3770" spans="1:4" ht="12.75" customHeight="1" x14ac:dyDescent="0.2">
      <c r="B3770" s="11" t="s">
        <v>2606</v>
      </c>
      <c r="C3770" s="16" t="s">
        <v>19</v>
      </c>
      <c r="D3770" s="2"/>
    </row>
    <row r="3771" spans="1:4" ht="12.75" customHeight="1" x14ac:dyDescent="0.2">
      <c r="B3771" s="2"/>
      <c r="C3771" s="15"/>
      <c r="D3771" s="2"/>
    </row>
    <row r="3772" spans="1:4" ht="12.75" customHeight="1" x14ac:dyDescent="0.2">
      <c r="B3772" s="2"/>
      <c r="C3772" s="15"/>
      <c r="D3772" s="2"/>
    </row>
    <row r="3773" spans="1:4" ht="12.75" customHeight="1" x14ac:dyDescent="0.2">
      <c r="A3773" s="13" t="s">
        <v>3171</v>
      </c>
      <c r="C3773" s="12"/>
      <c r="D3773" s="2"/>
    </row>
    <row r="3774" spans="1:4" ht="12.75" customHeight="1" x14ac:dyDescent="0.2">
      <c r="A3774" s="11"/>
      <c r="B3774" s="2"/>
      <c r="C3774" s="15"/>
      <c r="D3774" s="2"/>
    </row>
    <row r="3775" spans="1:4" ht="12.75" customHeight="1" x14ac:dyDescent="0.2">
      <c r="B3775" s="11" t="s">
        <v>0</v>
      </c>
      <c r="C3775" s="17" t="s">
        <v>291</v>
      </c>
      <c r="D3775" s="2"/>
    </row>
    <row r="3776" spans="1:4" ht="12.75" customHeight="1" x14ac:dyDescent="0.2">
      <c r="B3776" s="11" t="s">
        <v>2599</v>
      </c>
      <c r="C3776" s="17" t="s">
        <v>3172</v>
      </c>
      <c r="D3776" s="2"/>
    </row>
    <row r="3777" spans="1:4" ht="25.5" customHeight="1" x14ac:dyDescent="0.2">
      <c r="B3777" s="11" t="s">
        <v>2600</v>
      </c>
      <c r="C3777" s="17" t="s">
        <v>3173</v>
      </c>
      <c r="D3777" s="2"/>
    </row>
    <row r="3778" spans="1:4" ht="25.5" customHeight="1" x14ac:dyDescent="0.2">
      <c r="B3778" s="11" t="s">
        <v>2601</v>
      </c>
      <c r="C3778" s="17"/>
      <c r="D3778" s="2"/>
    </row>
    <row r="3779" spans="1:4" ht="12.75" customHeight="1" x14ac:dyDescent="0.2">
      <c r="B3779" s="11" t="s">
        <v>16</v>
      </c>
      <c r="C3779" s="17"/>
      <c r="D3779" s="2"/>
    </row>
    <row r="3780" spans="1:4" ht="12.75" customHeight="1" x14ac:dyDescent="0.2">
      <c r="B3780" s="11" t="s">
        <v>13</v>
      </c>
      <c r="C3780" s="17" t="s">
        <v>2602</v>
      </c>
      <c r="D3780" s="2"/>
    </row>
    <row r="3781" spans="1:4" ht="12.75" customHeight="1" x14ac:dyDescent="0.2">
      <c r="B3781" s="11" t="s">
        <v>2603</v>
      </c>
      <c r="C3781" s="17" t="s">
        <v>128</v>
      </c>
      <c r="D3781" s="2"/>
    </row>
    <row r="3782" spans="1:4" ht="12.75" customHeight="1" x14ac:dyDescent="0.2">
      <c r="B3782" s="11" t="s">
        <v>2605</v>
      </c>
      <c r="C3782" s="17" t="s">
        <v>14</v>
      </c>
      <c r="D3782" s="2"/>
    </row>
    <row r="3783" spans="1:4" ht="12.75" customHeight="1" x14ac:dyDescent="0.2">
      <c r="B3783" s="11" t="s">
        <v>2606</v>
      </c>
      <c r="C3783" s="16" t="s">
        <v>19</v>
      </c>
      <c r="D3783" s="2"/>
    </row>
    <row r="3784" spans="1:4" ht="12.75" customHeight="1" x14ac:dyDescent="0.2">
      <c r="B3784" s="2"/>
      <c r="C3784" s="15"/>
      <c r="D3784" s="2"/>
    </row>
    <row r="3785" spans="1:4" ht="12.75" customHeight="1" x14ac:dyDescent="0.2">
      <c r="B3785" s="2"/>
      <c r="C3785" s="15"/>
      <c r="D3785" s="2"/>
    </row>
    <row r="3786" spans="1:4" ht="12.75" customHeight="1" x14ac:dyDescent="0.2">
      <c r="A3786" s="13" t="s">
        <v>3174</v>
      </c>
      <c r="C3786" s="12"/>
      <c r="D3786" s="2"/>
    </row>
    <row r="3787" spans="1:4" ht="12.75" customHeight="1" x14ac:dyDescent="0.2">
      <c r="A3787" s="11"/>
      <c r="B3787" s="2"/>
      <c r="C3787" s="15"/>
      <c r="D3787" s="2"/>
    </row>
    <row r="3788" spans="1:4" ht="12.75" customHeight="1" x14ac:dyDescent="0.2">
      <c r="B3788" s="11" t="s">
        <v>0</v>
      </c>
      <c r="C3788" s="17" t="s">
        <v>291</v>
      </c>
      <c r="D3788" s="2"/>
    </row>
    <row r="3789" spans="1:4" ht="12.75" customHeight="1" x14ac:dyDescent="0.2">
      <c r="B3789" s="11" t="s">
        <v>2599</v>
      </c>
      <c r="C3789" s="17" t="s">
        <v>3175</v>
      </c>
      <c r="D3789" s="2"/>
    </row>
    <row r="3790" spans="1:4" ht="25.5" customHeight="1" x14ac:dyDescent="0.2">
      <c r="B3790" s="11" t="s">
        <v>2600</v>
      </c>
      <c r="C3790" s="17" t="s">
        <v>3176</v>
      </c>
      <c r="D3790" s="2"/>
    </row>
    <row r="3791" spans="1:4" ht="25.5" customHeight="1" x14ac:dyDescent="0.2">
      <c r="B3791" s="11" t="s">
        <v>2601</v>
      </c>
      <c r="C3791" s="17"/>
      <c r="D3791" s="2"/>
    </row>
    <row r="3792" spans="1:4" ht="12.75" customHeight="1" x14ac:dyDescent="0.2">
      <c r="B3792" s="11" t="s">
        <v>16</v>
      </c>
      <c r="C3792" s="17"/>
      <c r="D3792" s="2"/>
    </row>
    <row r="3793" spans="1:4" ht="12.75" customHeight="1" x14ac:dyDescent="0.2">
      <c r="B3793" s="11" t="s">
        <v>13</v>
      </c>
      <c r="C3793" s="17" t="s">
        <v>2602</v>
      </c>
      <c r="D3793" s="2"/>
    </row>
    <row r="3794" spans="1:4" ht="25.5" customHeight="1" x14ac:dyDescent="0.2">
      <c r="B3794" s="11" t="s">
        <v>2603</v>
      </c>
      <c r="C3794" s="17" t="s">
        <v>2971</v>
      </c>
      <c r="D3794" s="2"/>
    </row>
    <row r="3795" spans="1:4" ht="12.75" customHeight="1" x14ac:dyDescent="0.2">
      <c r="B3795" s="11" t="s">
        <v>2605</v>
      </c>
      <c r="C3795" s="17" t="s">
        <v>14</v>
      </c>
      <c r="D3795" s="2"/>
    </row>
    <row r="3796" spans="1:4" ht="12.75" customHeight="1" x14ac:dyDescent="0.2">
      <c r="B3796" s="11" t="s">
        <v>2606</v>
      </c>
      <c r="C3796" s="16" t="s">
        <v>19</v>
      </c>
      <c r="D3796" s="2"/>
    </row>
    <row r="3797" spans="1:4" ht="12.75" customHeight="1" x14ac:dyDescent="0.2">
      <c r="B3797" s="2"/>
      <c r="C3797" s="15"/>
      <c r="D3797" s="2"/>
    </row>
    <row r="3798" spans="1:4" ht="12.75" customHeight="1" x14ac:dyDescent="0.2">
      <c r="B3798" s="2"/>
      <c r="C3798" s="15"/>
      <c r="D3798" s="2"/>
    </row>
    <row r="3799" spans="1:4" ht="12.75" customHeight="1" x14ac:dyDescent="0.2">
      <c r="A3799" s="13" t="s">
        <v>3113</v>
      </c>
      <c r="C3799" s="12"/>
      <c r="D3799" s="2"/>
    </row>
    <row r="3800" spans="1:4" ht="12.75" customHeight="1" x14ac:dyDescent="0.2">
      <c r="A3800" s="11"/>
      <c r="B3800" s="2"/>
      <c r="C3800" s="15"/>
      <c r="D3800" s="2"/>
    </row>
    <row r="3801" spans="1:4" ht="12.75" customHeight="1" x14ac:dyDescent="0.2">
      <c r="B3801" s="11" t="s">
        <v>0</v>
      </c>
      <c r="C3801" s="17" t="s">
        <v>291</v>
      </c>
      <c r="D3801" s="2"/>
    </row>
    <row r="3802" spans="1:4" ht="12.75" customHeight="1" x14ac:dyDescent="0.2">
      <c r="B3802" s="11" t="s">
        <v>2599</v>
      </c>
      <c r="C3802" s="17" t="s">
        <v>2558</v>
      </c>
      <c r="D3802" s="2"/>
    </row>
    <row r="3803" spans="1:4" ht="25.5" customHeight="1" x14ac:dyDescent="0.2">
      <c r="B3803" s="11" t="s">
        <v>2600</v>
      </c>
      <c r="C3803" s="17" t="s">
        <v>3177</v>
      </c>
      <c r="D3803" s="2"/>
    </row>
    <row r="3804" spans="1:4" ht="25.5" customHeight="1" x14ac:dyDescent="0.2">
      <c r="B3804" s="11" t="s">
        <v>2601</v>
      </c>
      <c r="C3804" s="17"/>
      <c r="D3804" s="2"/>
    </row>
    <row r="3805" spans="1:4" ht="12.75" customHeight="1" x14ac:dyDescent="0.2">
      <c r="B3805" s="11" t="s">
        <v>16</v>
      </c>
      <c r="C3805" s="17"/>
      <c r="D3805" s="2"/>
    </row>
    <row r="3806" spans="1:4" ht="12.75" customHeight="1" x14ac:dyDescent="0.2">
      <c r="B3806" s="11" t="s">
        <v>13</v>
      </c>
      <c r="C3806" s="17" t="s">
        <v>2602</v>
      </c>
      <c r="D3806" s="2"/>
    </row>
    <row r="3807" spans="1:4" ht="25.5" customHeight="1" x14ac:dyDescent="0.2">
      <c r="B3807" s="11" t="s">
        <v>2603</v>
      </c>
      <c r="C3807" s="17" t="s">
        <v>2971</v>
      </c>
      <c r="D3807" s="2"/>
    </row>
    <row r="3808" spans="1:4" ht="12.75" customHeight="1" x14ac:dyDescent="0.2">
      <c r="B3808" s="11" t="s">
        <v>2605</v>
      </c>
      <c r="C3808" s="17" t="s">
        <v>14</v>
      </c>
      <c r="D3808" s="2"/>
    </row>
    <row r="3809" spans="1:4" ht="12.75" customHeight="1" x14ac:dyDescent="0.2">
      <c r="B3809" s="11" t="s">
        <v>2606</v>
      </c>
      <c r="C3809" s="16" t="s">
        <v>19</v>
      </c>
      <c r="D3809" s="2"/>
    </row>
    <row r="3810" spans="1:4" ht="12.75" customHeight="1" x14ac:dyDescent="0.2">
      <c r="B3810" s="2"/>
      <c r="C3810" s="15"/>
      <c r="D3810" s="2"/>
    </row>
    <row r="3811" spans="1:4" ht="12.75" customHeight="1" x14ac:dyDescent="0.2">
      <c r="B3811" s="2"/>
      <c r="C3811" s="15"/>
      <c r="D3811" s="2"/>
    </row>
    <row r="3812" spans="1:4" ht="12.75" customHeight="1" x14ac:dyDescent="0.2">
      <c r="A3812" s="13" t="s">
        <v>3115</v>
      </c>
      <c r="C3812" s="12"/>
      <c r="D3812" s="2"/>
    </row>
    <row r="3813" spans="1:4" ht="12.75" customHeight="1" x14ac:dyDescent="0.2">
      <c r="A3813" s="11"/>
      <c r="B3813" s="2"/>
      <c r="C3813" s="15"/>
      <c r="D3813" s="2"/>
    </row>
    <row r="3814" spans="1:4" ht="12.75" customHeight="1" x14ac:dyDescent="0.2">
      <c r="B3814" s="11" t="s">
        <v>0</v>
      </c>
      <c r="C3814" s="17" t="s">
        <v>291</v>
      </c>
      <c r="D3814" s="2"/>
    </row>
    <row r="3815" spans="1:4" ht="12.75" customHeight="1" x14ac:dyDescent="0.2">
      <c r="B3815" s="11" t="s">
        <v>2599</v>
      </c>
      <c r="C3815" s="17" t="s">
        <v>2508</v>
      </c>
      <c r="D3815" s="2"/>
    </row>
    <row r="3816" spans="1:4" ht="25.5" customHeight="1" x14ac:dyDescent="0.2">
      <c r="B3816" s="11" t="s">
        <v>2600</v>
      </c>
      <c r="C3816" s="17" t="s">
        <v>3178</v>
      </c>
      <c r="D3816" s="2"/>
    </row>
    <row r="3817" spans="1:4" ht="25.5" customHeight="1" x14ac:dyDescent="0.2">
      <c r="B3817" s="11" t="s">
        <v>2601</v>
      </c>
      <c r="C3817" s="17"/>
      <c r="D3817" s="2"/>
    </row>
    <row r="3818" spans="1:4" ht="12.75" customHeight="1" x14ac:dyDescent="0.2">
      <c r="B3818" s="11" t="s">
        <v>16</v>
      </c>
      <c r="C3818" s="17"/>
      <c r="D3818" s="2"/>
    </row>
    <row r="3819" spans="1:4" ht="12.75" customHeight="1" x14ac:dyDescent="0.2">
      <c r="B3819" s="11" t="s">
        <v>13</v>
      </c>
      <c r="C3819" s="17" t="s">
        <v>2644</v>
      </c>
      <c r="D3819" s="2"/>
    </row>
    <row r="3820" spans="1:4" ht="25.5" customHeight="1" x14ac:dyDescent="0.2">
      <c r="B3820" s="11" t="s">
        <v>2603</v>
      </c>
      <c r="C3820" s="17" t="s">
        <v>2971</v>
      </c>
      <c r="D3820" s="2"/>
    </row>
    <row r="3821" spans="1:4" ht="12.75" customHeight="1" x14ac:dyDescent="0.2">
      <c r="B3821" s="11" t="s">
        <v>2605</v>
      </c>
      <c r="C3821" s="17" t="s">
        <v>14</v>
      </c>
      <c r="D3821" s="2"/>
    </row>
    <row r="3822" spans="1:4" ht="12.75" customHeight="1" x14ac:dyDescent="0.2">
      <c r="B3822" s="11" t="s">
        <v>2606</v>
      </c>
      <c r="C3822" s="16" t="s">
        <v>19</v>
      </c>
      <c r="D3822" s="2"/>
    </row>
    <row r="3823" spans="1:4" ht="12.75" customHeight="1" x14ac:dyDescent="0.2">
      <c r="B3823" s="2"/>
      <c r="C3823" s="15"/>
      <c r="D3823" s="2"/>
    </row>
    <row r="3824" spans="1:4" ht="12.75" customHeight="1" x14ac:dyDescent="0.2">
      <c r="B3824" s="2"/>
      <c r="C3824" s="15"/>
      <c r="D3824" s="2"/>
    </row>
    <row r="3825" spans="1:4" ht="12.75" customHeight="1" x14ac:dyDescent="0.2">
      <c r="A3825" s="13" t="s">
        <v>3179</v>
      </c>
      <c r="C3825" s="12"/>
    </row>
    <row r="3826" spans="1:4" ht="12.75" customHeight="1" x14ac:dyDescent="0.2">
      <c r="A3826" s="11"/>
      <c r="B3826" s="2"/>
      <c r="C3826" s="15"/>
      <c r="D3826" s="2"/>
    </row>
    <row r="3827" spans="1:4" ht="12.75" customHeight="1" x14ac:dyDescent="0.2">
      <c r="B3827" s="11" t="s">
        <v>0</v>
      </c>
      <c r="C3827" s="11" t="s">
        <v>291</v>
      </c>
    </row>
    <row r="3828" spans="1:4" ht="12.75" customHeight="1" x14ac:dyDescent="0.2">
      <c r="B3828" s="11" t="s">
        <v>2599</v>
      </c>
      <c r="C3828" s="11" t="s">
        <v>3180</v>
      </c>
    </row>
    <row r="3829" spans="1:4" ht="25.5" customHeight="1" x14ac:dyDescent="0.2">
      <c r="B3829" s="11" t="s">
        <v>2600</v>
      </c>
      <c r="C3829" s="11" t="s">
        <v>3181</v>
      </c>
    </row>
    <row r="3830" spans="1:4" ht="25.5" customHeight="1" x14ac:dyDescent="0.2">
      <c r="B3830" s="11" t="s">
        <v>2601</v>
      </c>
      <c r="C3830" s="11"/>
    </row>
    <row r="3831" spans="1:4" ht="12.75" customHeight="1" x14ac:dyDescent="0.2">
      <c r="B3831" s="11" t="s">
        <v>16</v>
      </c>
      <c r="C3831" s="11"/>
    </row>
    <row r="3832" spans="1:4" ht="12.75" customHeight="1" x14ac:dyDescent="0.2">
      <c r="B3832" s="11" t="s">
        <v>13</v>
      </c>
      <c r="C3832" s="11" t="s">
        <v>2602</v>
      </c>
    </row>
    <row r="3833" spans="1:4" ht="12.75" customHeight="1" x14ac:dyDescent="0.2">
      <c r="B3833" s="11" t="s">
        <v>2603</v>
      </c>
      <c r="C3833" s="11" t="s">
        <v>2604</v>
      </c>
    </row>
    <row r="3834" spans="1:4" ht="12.75" customHeight="1" x14ac:dyDescent="0.2">
      <c r="B3834" s="11" t="s">
        <v>2605</v>
      </c>
      <c r="C3834" s="11" t="s">
        <v>24</v>
      </c>
    </row>
    <row r="3835" spans="1:4" ht="12.75" customHeight="1" x14ac:dyDescent="0.2">
      <c r="B3835" s="11" t="s">
        <v>2606</v>
      </c>
      <c r="C3835" s="16" t="s">
        <v>184</v>
      </c>
      <c r="D3835" s="6" t="str">
        <f>HYPERLINK("javascript:void(0)","arany")</f>
        <v>arany</v>
      </c>
    </row>
    <row r="3836" spans="1:4" ht="25.5" customHeight="1" x14ac:dyDescent="0.2">
      <c r="C3836" s="16" t="s">
        <v>56</v>
      </c>
      <c r="D3836" s="6" t="str">
        <f>HYPERLINK("javascript:void(0)","aranyzsanér")</f>
        <v>aranyzsanér</v>
      </c>
    </row>
    <row r="3837" spans="1:4" ht="12.75" customHeight="1" x14ac:dyDescent="0.2">
      <c r="B3837" s="2"/>
      <c r="C3837" s="15"/>
      <c r="D3837" s="2"/>
    </row>
    <row r="3838" spans="1:4" ht="12.75" customHeight="1" x14ac:dyDescent="0.2">
      <c r="B3838" s="2"/>
      <c r="C3838" s="15"/>
      <c r="D3838" s="2"/>
    </row>
    <row r="3839" spans="1:4" ht="12.75" customHeight="1" x14ac:dyDescent="0.2">
      <c r="A3839" s="13" t="s">
        <v>3182</v>
      </c>
      <c r="C3839" s="12"/>
    </row>
    <row r="3840" spans="1:4" ht="12.75" customHeight="1" x14ac:dyDescent="0.2">
      <c r="A3840" s="11"/>
      <c r="B3840" s="2"/>
      <c r="C3840" s="15"/>
      <c r="D3840" s="2"/>
    </row>
    <row r="3841" spans="1:4" ht="12.75" customHeight="1" x14ac:dyDescent="0.2">
      <c r="B3841" s="11" t="s">
        <v>0</v>
      </c>
      <c r="C3841" s="11" t="s">
        <v>291</v>
      </c>
    </row>
    <row r="3842" spans="1:4" ht="12.75" customHeight="1" x14ac:dyDescent="0.2">
      <c r="B3842" s="11" t="s">
        <v>2599</v>
      </c>
      <c r="C3842" s="11" t="s">
        <v>3183</v>
      </c>
    </row>
    <row r="3843" spans="1:4" ht="25.5" customHeight="1" x14ac:dyDescent="0.2">
      <c r="B3843" s="11" t="s">
        <v>2600</v>
      </c>
      <c r="C3843" s="11" t="s">
        <v>3184</v>
      </c>
    </row>
    <row r="3844" spans="1:4" ht="25.5" customHeight="1" x14ac:dyDescent="0.2">
      <c r="B3844" s="11" t="s">
        <v>2601</v>
      </c>
      <c r="C3844" s="11"/>
    </row>
    <row r="3845" spans="1:4" ht="12.75" customHeight="1" x14ac:dyDescent="0.2">
      <c r="B3845" s="11" t="s">
        <v>16</v>
      </c>
      <c r="C3845" s="11"/>
    </row>
    <row r="3846" spans="1:4" ht="12.75" customHeight="1" x14ac:dyDescent="0.2">
      <c r="B3846" s="11" t="s">
        <v>13</v>
      </c>
      <c r="C3846" s="11" t="s">
        <v>2602</v>
      </c>
    </row>
    <row r="3847" spans="1:4" ht="12.75" customHeight="1" x14ac:dyDescent="0.2">
      <c r="B3847" s="11" t="s">
        <v>2603</v>
      </c>
      <c r="C3847" s="11" t="s">
        <v>2604</v>
      </c>
    </row>
    <row r="3848" spans="1:4" ht="12.75" customHeight="1" x14ac:dyDescent="0.2">
      <c r="B3848" s="11" t="s">
        <v>2605</v>
      </c>
      <c r="C3848" s="11" t="s">
        <v>24</v>
      </c>
    </row>
    <row r="3849" spans="1:4" ht="25.5" customHeight="1" x14ac:dyDescent="0.2">
      <c r="B3849" s="11" t="s">
        <v>2606</v>
      </c>
      <c r="C3849" s="16" t="s">
        <v>44</v>
      </c>
      <c r="D3849" s="6" t="str">
        <f>HYPERLINK("javascript:void(0)","klopfoló henger")</f>
        <v>klopfoló henger</v>
      </c>
    </row>
    <row r="3850" spans="1:4" ht="12.75" customHeight="1" x14ac:dyDescent="0.2">
      <c r="B3850" s="2"/>
      <c r="C3850" s="15"/>
      <c r="D3850" s="2"/>
    </row>
    <row r="3851" spans="1:4" ht="12.75" customHeight="1" x14ac:dyDescent="0.2">
      <c r="B3851" s="2"/>
      <c r="C3851" s="15"/>
      <c r="D3851" s="2"/>
    </row>
    <row r="3852" spans="1:4" ht="12.75" customHeight="1" x14ac:dyDescent="0.2">
      <c r="A3852" s="13" t="s">
        <v>3185</v>
      </c>
      <c r="C3852" s="12"/>
    </row>
    <row r="3853" spans="1:4" ht="12.75" customHeight="1" x14ac:dyDescent="0.2">
      <c r="A3853" s="11"/>
      <c r="B3853" s="2"/>
      <c r="C3853" s="15"/>
      <c r="D3853" s="2"/>
    </row>
    <row r="3854" spans="1:4" ht="12.75" customHeight="1" x14ac:dyDescent="0.2">
      <c r="B3854" s="11" t="s">
        <v>0</v>
      </c>
      <c r="C3854" s="11" t="s">
        <v>291</v>
      </c>
    </row>
    <row r="3855" spans="1:4" ht="12.75" customHeight="1" x14ac:dyDescent="0.2">
      <c r="B3855" s="11" t="s">
        <v>2599</v>
      </c>
      <c r="C3855" s="11" t="s">
        <v>3186</v>
      </c>
    </row>
    <row r="3856" spans="1:4" ht="25.5" customHeight="1" x14ac:dyDescent="0.2">
      <c r="B3856" s="11" t="s">
        <v>2600</v>
      </c>
      <c r="C3856" s="11" t="s">
        <v>3187</v>
      </c>
    </row>
    <row r="3857" spans="1:4" ht="25.5" customHeight="1" x14ac:dyDescent="0.2">
      <c r="B3857" s="11" t="s">
        <v>2601</v>
      </c>
      <c r="C3857" s="11"/>
    </row>
    <row r="3858" spans="1:4" ht="12.75" customHeight="1" x14ac:dyDescent="0.2">
      <c r="B3858" s="11" t="s">
        <v>16</v>
      </c>
      <c r="C3858" s="11"/>
    </row>
    <row r="3859" spans="1:4" ht="12.75" customHeight="1" x14ac:dyDescent="0.2">
      <c r="B3859" s="11" t="s">
        <v>13</v>
      </c>
      <c r="C3859" s="11" t="s">
        <v>2644</v>
      </c>
    </row>
    <row r="3860" spans="1:4" ht="12.75" customHeight="1" x14ac:dyDescent="0.2">
      <c r="B3860" s="11" t="s">
        <v>2603</v>
      </c>
      <c r="C3860" s="11" t="s">
        <v>2604</v>
      </c>
    </row>
    <row r="3861" spans="1:4" ht="12.75" customHeight="1" x14ac:dyDescent="0.2">
      <c r="B3861" s="11" t="s">
        <v>2605</v>
      </c>
      <c r="C3861" s="11" t="s">
        <v>24</v>
      </c>
    </row>
    <row r="3862" spans="1:4" ht="12.75" customHeight="1" x14ac:dyDescent="0.2">
      <c r="B3862" s="11" t="s">
        <v>2606</v>
      </c>
      <c r="C3862" s="16" t="s">
        <v>44</v>
      </c>
      <c r="D3862" s="6" t="str">
        <f>HYPERLINK("javascript:void(0)","mágusbot")</f>
        <v>mágusbot</v>
      </c>
    </row>
    <row r="3863" spans="1:4" ht="25.5" customHeight="1" x14ac:dyDescent="0.2">
      <c r="C3863" s="16" t="s">
        <v>44</v>
      </c>
      <c r="D3863" s="6" t="str">
        <f>HYPERLINK("javascript:void(0)","manamaszk")</f>
        <v>manamaszk</v>
      </c>
    </row>
    <row r="3864" spans="1:4" ht="12.75" customHeight="1" x14ac:dyDescent="0.2">
      <c r="B3864" s="2"/>
      <c r="C3864" s="15"/>
      <c r="D3864" s="2"/>
    </row>
    <row r="3865" spans="1:4" ht="12.75" customHeight="1" x14ac:dyDescent="0.2">
      <c r="B3865" s="2"/>
      <c r="C3865" s="15"/>
      <c r="D3865" s="2"/>
    </row>
    <row r="3866" spans="1:4" ht="12.75" customHeight="1" x14ac:dyDescent="0.2">
      <c r="A3866" s="13" t="s">
        <v>3188</v>
      </c>
      <c r="C3866" s="12"/>
    </row>
    <row r="3867" spans="1:4" ht="12.75" customHeight="1" x14ac:dyDescent="0.2">
      <c r="A3867" s="11"/>
      <c r="B3867" s="2"/>
      <c r="C3867" s="15"/>
      <c r="D3867" s="2"/>
    </row>
    <row r="3868" spans="1:4" ht="12.75" customHeight="1" x14ac:dyDescent="0.2">
      <c r="B3868" s="11" t="s">
        <v>0</v>
      </c>
      <c r="C3868" s="11" t="s">
        <v>291</v>
      </c>
    </row>
    <row r="3869" spans="1:4" ht="12.75" customHeight="1" x14ac:dyDescent="0.2">
      <c r="B3869" s="11" t="s">
        <v>2599</v>
      </c>
      <c r="C3869" s="11" t="s">
        <v>1342</v>
      </c>
    </row>
    <row r="3870" spans="1:4" ht="25.5" customHeight="1" x14ac:dyDescent="0.2">
      <c r="B3870" s="11" t="s">
        <v>2600</v>
      </c>
      <c r="C3870" s="11" t="s">
        <v>3189</v>
      </c>
    </row>
    <row r="3871" spans="1:4" ht="25.5" customHeight="1" x14ac:dyDescent="0.2">
      <c r="B3871" s="11" t="s">
        <v>2601</v>
      </c>
      <c r="C3871" s="11"/>
    </row>
    <row r="3872" spans="1:4" ht="12.75" customHeight="1" x14ac:dyDescent="0.2">
      <c r="B3872" s="11" t="s">
        <v>16</v>
      </c>
      <c r="C3872" s="11"/>
    </row>
    <row r="3873" spans="1:4" ht="12.75" customHeight="1" x14ac:dyDescent="0.2">
      <c r="B3873" s="11" t="s">
        <v>13</v>
      </c>
      <c r="C3873" s="11" t="s">
        <v>2644</v>
      </c>
    </row>
    <row r="3874" spans="1:4" ht="12.75" customHeight="1" x14ac:dyDescent="0.2">
      <c r="B3874" s="11" t="s">
        <v>2603</v>
      </c>
      <c r="C3874" s="11" t="s">
        <v>2604</v>
      </c>
    </row>
    <row r="3875" spans="1:4" ht="12.75" customHeight="1" x14ac:dyDescent="0.2">
      <c r="B3875" s="11" t="s">
        <v>2605</v>
      </c>
      <c r="C3875" s="11" t="s">
        <v>24</v>
      </c>
    </row>
    <row r="3876" spans="1:4" ht="25.5" customHeight="1" x14ac:dyDescent="0.2">
      <c r="B3876" s="11" t="s">
        <v>2606</v>
      </c>
      <c r="C3876" s="16" t="s">
        <v>44</v>
      </c>
      <c r="D3876" s="6" t="str">
        <f>HYPERLINK("javascript:void(0)","idegen bizgentyű")</f>
        <v>idegen bizgentyű</v>
      </c>
    </row>
    <row r="3877" spans="1:4" ht="12.75" customHeight="1" x14ac:dyDescent="0.2">
      <c r="B3877" s="2"/>
      <c r="C3877" s="15"/>
      <c r="D3877" s="2"/>
    </row>
    <row r="3878" spans="1:4" ht="12.75" customHeight="1" x14ac:dyDescent="0.2">
      <c r="B3878" s="2"/>
      <c r="C3878" s="15"/>
      <c r="D3878" s="2"/>
    </row>
    <row r="3879" spans="1:4" ht="12.75" customHeight="1" x14ac:dyDescent="0.2">
      <c r="A3879" s="13" t="s">
        <v>3190</v>
      </c>
      <c r="C3879" s="12"/>
    </row>
    <row r="3880" spans="1:4" ht="12.75" customHeight="1" x14ac:dyDescent="0.2">
      <c r="A3880" s="11"/>
      <c r="B3880" s="2"/>
      <c r="C3880" s="15"/>
      <c r="D3880" s="2"/>
    </row>
    <row r="3881" spans="1:4" ht="12.75" customHeight="1" x14ac:dyDescent="0.2">
      <c r="B3881" s="11" t="s">
        <v>0</v>
      </c>
      <c r="C3881" s="11" t="s">
        <v>291</v>
      </c>
    </row>
    <row r="3882" spans="1:4" ht="12.75" customHeight="1" x14ac:dyDescent="0.2">
      <c r="B3882" s="11" t="s">
        <v>2599</v>
      </c>
      <c r="C3882" s="11" t="s">
        <v>3191</v>
      </c>
    </row>
    <row r="3883" spans="1:4" ht="25.5" customHeight="1" x14ac:dyDescent="0.2">
      <c r="B3883" s="11" t="s">
        <v>2600</v>
      </c>
      <c r="C3883" s="11" t="s">
        <v>3192</v>
      </c>
    </row>
    <row r="3884" spans="1:4" ht="25.5" customHeight="1" x14ac:dyDescent="0.2">
      <c r="B3884" s="11" t="s">
        <v>2601</v>
      </c>
      <c r="C3884" s="11"/>
    </row>
    <row r="3885" spans="1:4" ht="12.75" customHeight="1" x14ac:dyDescent="0.2">
      <c r="B3885" s="11" t="s">
        <v>16</v>
      </c>
      <c r="C3885" s="11"/>
    </row>
    <row r="3886" spans="1:4" ht="12.75" customHeight="1" x14ac:dyDescent="0.2">
      <c r="B3886" s="11" t="s">
        <v>13</v>
      </c>
      <c r="C3886" s="11" t="s">
        <v>2602</v>
      </c>
    </row>
    <row r="3887" spans="1:4" ht="12.75" customHeight="1" x14ac:dyDescent="0.2">
      <c r="B3887" s="11" t="s">
        <v>2603</v>
      </c>
      <c r="C3887" s="11" t="s">
        <v>2604</v>
      </c>
    </row>
    <row r="3888" spans="1:4" ht="12.75" customHeight="1" x14ac:dyDescent="0.2">
      <c r="B3888" s="11" t="s">
        <v>2605</v>
      </c>
      <c r="C3888" s="11" t="s">
        <v>24</v>
      </c>
    </row>
    <row r="3889" spans="1:4" ht="12.75" customHeight="1" x14ac:dyDescent="0.2">
      <c r="B3889" s="11" t="s">
        <v>2606</v>
      </c>
      <c r="C3889" s="16" t="s">
        <v>55</v>
      </c>
      <c r="D3889" s="6" t="str">
        <f>HYPERLINK("javascript:void(0)","ezüst patkó")</f>
        <v>ezüst patkó</v>
      </c>
    </row>
    <row r="3890" spans="1:4" ht="25.5" customHeight="1" x14ac:dyDescent="0.2">
      <c r="C3890" s="16" t="s">
        <v>44</v>
      </c>
      <c r="D3890" s="6" t="str">
        <f>HYPERLINK("javascript:void(0)","hidracél lándzsa")</f>
        <v>hidracél lándzsa</v>
      </c>
    </row>
    <row r="3891" spans="1:4" ht="25.5" customHeight="1" x14ac:dyDescent="0.2">
      <c r="C3891" s="16" t="s">
        <v>44</v>
      </c>
      <c r="D3891" s="6" t="str">
        <f>HYPERLINK("javascript:void(0)","hidracél kard")</f>
        <v>hidracél kard</v>
      </c>
    </row>
    <row r="3892" spans="1:4" ht="12.75" customHeight="1" x14ac:dyDescent="0.2">
      <c r="B3892" s="2"/>
      <c r="C3892" s="15"/>
      <c r="D3892" s="2"/>
    </row>
    <row r="3893" spans="1:4" ht="12.75" customHeight="1" x14ac:dyDescent="0.2">
      <c r="B3893" s="2"/>
      <c r="C3893" s="15"/>
      <c r="D3893" s="2"/>
    </row>
    <row r="3894" spans="1:4" ht="12.75" customHeight="1" x14ac:dyDescent="0.2">
      <c r="A3894" s="13" t="s">
        <v>3193</v>
      </c>
      <c r="C3894" s="12"/>
    </row>
    <row r="3895" spans="1:4" ht="12.75" customHeight="1" x14ac:dyDescent="0.2">
      <c r="A3895" s="11"/>
      <c r="B3895" s="2"/>
      <c r="C3895" s="15"/>
      <c r="D3895" s="2"/>
    </row>
    <row r="3896" spans="1:4" ht="12.75" customHeight="1" x14ac:dyDescent="0.2">
      <c r="B3896" s="11" t="s">
        <v>0</v>
      </c>
      <c r="C3896" s="11" t="s">
        <v>291</v>
      </c>
    </row>
    <row r="3897" spans="1:4" ht="12.75" customHeight="1" x14ac:dyDescent="0.2">
      <c r="B3897" s="11" t="s">
        <v>2599</v>
      </c>
      <c r="C3897" s="11" t="s">
        <v>3194</v>
      </c>
    </row>
    <row r="3898" spans="1:4" ht="25.5" customHeight="1" x14ac:dyDescent="0.2">
      <c r="B3898" s="11" t="s">
        <v>2600</v>
      </c>
      <c r="C3898" s="11" t="s">
        <v>3195</v>
      </c>
    </row>
    <row r="3899" spans="1:4" ht="25.5" customHeight="1" x14ac:dyDescent="0.2">
      <c r="B3899" s="11" t="s">
        <v>2601</v>
      </c>
      <c r="C3899" s="11"/>
    </row>
    <row r="3900" spans="1:4" ht="12.75" customHeight="1" x14ac:dyDescent="0.2">
      <c r="B3900" s="11" t="s">
        <v>16</v>
      </c>
      <c r="C3900" s="11"/>
    </row>
    <row r="3901" spans="1:4" ht="12.75" customHeight="1" x14ac:dyDescent="0.2">
      <c r="B3901" s="11" t="s">
        <v>13</v>
      </c>
      <c r="C3901" s="11" t="s">
        <v>2602</v>
      </c>
    </row>
    <row r="3902" spans="1:4" ht="12.75" customHeight="1" x14ac:dyDescent="0.2">
      <c r="B3902" s="11" t="s">
        <v>2603</v>
      </c>
      <c r="C3902" s="11" t="s">
        <v>2604</v>
      </c>
    </row>
    <row r="3903" spans="1:4" ht="12.75" customHeight="1" x14ac:dyDescent="0.2">
      <c r="B3903" s="11" t="s">
        <v>2605</v>
      </c>
      <c r="C3903" s="11" t="s">
        <v>24</v>
      </c>
    </row>
    <row r="3904" spans="1:4" ht="25.5" customHeight="1" x14ac:dyDescent="0.2">
      <c r="B3904" s="11" t="s">
        <v>2606</v>
      </c>
      <c r="C3904" s="16" t="s">
        <v>56</v>
      </c>
      <c r="D3904" s="6" t="str">
        <f>HYPERLINK("javascript:void(0)","hidracél szablya")</f>
        <v>hidracél szablya</v>
      </c>
    </row>
    <row r="3905" spans="1:4" ht="12.75" customHeight="1" x14ac:dyDescent="0.2">
      <c r="B3905" s="2"/>
      <c r="C3905" s="15"/>
      <c r="D3905" s="2"/>
    </row>
    <row r="3906" spans="1:4" ht="12.75" customHeight="1" x14ac:dyDescent="0.2">
      <c r="B3906" s="2"/>
      <c r="C3906" s="15"/>
      <c r="D3906" s="2"/>
    </row>
    <row r="3907" spans="1:4" ht="12.75" customHeight="1" x14ac:dyDescent="0.2">
      <c r="A3907" s="13" t="s">
        <v>3196</v>
      </c>
      <c r="C3907" s="12"/>
    </row>
    <row r="3908" spans="1:4" ht="12.75" customHeight="1" x14ac:dyDescent="0.2">
      <c r="A3908" s="11"/>
      <c r="B3908" s="2"/>
      <c r="C3908" s="15"/>
      <c r="D3908" s="2"/>
    </row>
    <row r="3909" spans="1:4" ht="12.75" customHeight="1" x14ac:dyDescent="0.2">
      <c r="B3909" s="11" t="s">
        <v>0</v>
      </c>
      <c r="C3909" s="11" t="s">
        <v>291</v>
      </c>
    </row>
    <row r="3910" spans="1:4" ht="12.75" customHeight="1" x14ac:dyDescent="0.2">
      <c r="B3910" s="11" t="s">
        <v>2599</v>
      </c>
      <c r="C3910" s="11" t="s">
        <v>178</v>
      </c>
    </row>
    <row r="3911" spans="1:4" ht="25.5" customHeight="1" x14ac:dyDescent="0.2">
      <c r="B3911" s="11" t="s">
        <v>2600</v>
      </c>
      <c r="C3911" s="11" t="s">
        <v>3197</v>
      </c>
    </row>
    <row r="3912" spans="1:4" ht="25.5" customHeight="1" x14ac:dyDescent="0.2">
      <c r="B3912" s="11" t="s">
        <v>2601</v>
      </c>
      <c r="C3912" s="11"/>
    </row>
    <row r="3913" spans="1:4" ht="12.75" customHeight="1" x14ac:dyDescent="0.2">
      <c r="B3913" s="11" t="s">
        <v>16</v>
      </c>
      <c r="C3913" s="11"/>
    </row>
    <row r="3914" spans="1:4" ht="12.75" customHeight="1" x14ac:dyDescent="0.2">
      <c r="B3914" s="11" t="s">
        <v>13</v>
      </c>
      <c r="C3914" s="11" t="s">
        <v>2644</v>
      </c>
    </row>
    <row r="3915" spans="1:4" ht="12.75" customHeight="1" x14ac:dyDescent="0.2">
      <c r="B3915" s="11" t="s">
        <v>2603</v>
      </c>
      <c r="C3915" s="11" t="s">
        <v>2604</v>
      </c>
    </row>
    <row r="3916" spans="1:4" ht="12.75" customHeight="1" x14ac:dyDescent="0.2">
      <c r="B3916" s="11" t="s">
        <v>2605</v>
      </c>
      <c r="C3916" s="11" t="s">
        <v>24</v>
      </c>
    </row>
    <row r="3917" spans="1:4" ht="25.5" customHeight="1" x14ac:dyDescent="0.2">
      <c r="B3917" s="11" t="s">
        <v>2606</v>
      </c>
      <c r="C3917" s="16" t="s">
        <v>56</v>
      </c>
      <c r="D3917" s="6" t="str">
        <f>HYPERLINK("javascript:void(0)","kallandra fog")</f>
        <v>kallandra fog</v>
      </c>
    </row>
    <row r="3918" spans="1:4" ht="12.75" customHeight="1" x14ac:dyDescent="0.2">
      <c r="B3918" s="2"/>
      <c r="C3918" s="15"/>
      <c r="D3918" s="2"/>
    </row>
    <row r="3919" spans="1:4" ht="12.75" customHeight="1" x14ac:dyDescent="0.2">
      <c r="B3919" s="2"/>
      <c r="C3919" s="15"/>
      <c r="D3919" s="2"/>
    </row>
    <row r="3920" spans="1:4" ht="12.75" customHeight="1" x14ac:dyDescent="0.2">
      <c r="A3920" s="13" t="s">
        <v>3198</v>
      </c>
      <c r="C3920" s="12"/>
    </row>
    <row r="3921" spans="1:4" ht="12.75" customHeight="1" x14ac:dyDescent="0.2">
      <c r="A3921" s="11"/>
      <c r="B3921" s="2"/>
      <c r="C3921" s="15"/>
      <c r="D3921" s="2"/>
    </row>
    <row r="3922" spans="1:4" ht="12.75" customHeight="1" x14ac:dyDescent="0.2">
      <c r="B3922" s="11" t="s">
        <v>0</v>
      </c>
      <c r="C3922" s="11" t="s">
        <v>291</v>
      </c>
    </row>
    <row r="3923" spans="1:4" ht="12.75" customHeight="1" x14ac:dyDescent="0.2">
      <c r="B3923" s="11" t="s">
        <v>2599</v>
      </c>
      <c r="C3923" s="11" t="s">
        <v>703</v>
      </c>
    </row>
    <row r="3924" spans="1:4" ht="25.5" customHeight="1" x14ac:dyDescent="0.2">
      <c r="B3924" s="11" t="s">
        <v>2600</v>
      </c>
      <c r="C3924" s="11" t="s">
        <v>3199</v>
      </c>
    </row>
    <row r="3925" spans="1:4" ht="25.5" customHeight="1" x14ac:dyDescent="0.2">
      <c r="B3925" s="11" t="s">
        <v>2601</v>
      </c>
      <c r="C3925" s="11"/>
    </row>
    <row r="3926" spans="1:4" ht="12.75" customHeight="1" x14ac:dyDescent="0.2">
      <c r="B3926" s="11" t="s">
        <v>16</v>
      </c>
      <c r="C3926" s="11"/>
    </row>
    <row r="3927" spans="1:4" ht="12.75" customHeight="1" x14ac:dyDescent="0.2">
      <c r="B3927" s="11" t="s">
        <v>13</v>
      </c>
      <c r="C3927" s="11" t="s">
        <v>2602</v>
      </c>
    </row>
    <row r="3928" spans="1:4" ht="12.75" customHeight="1" x14ac:dyDescent="0.2">
      <c r="B3928" s="11" t="s">
        <v>2603</v>
      </c>
      <c r="C3928" s="11" t="s">
        <v>2604</v>
      </c>
    </row>
    <row r="3929" spans="1:4" ht="12.75" customHeight="1" x14ac:dyDescent="0.2">
      <c r="B3929" s="11" t="s">
        <v>2605</v>
      </c>
      <c r="C3929" s="11" t="s">
        <v>24</v>
      </c>
    </row>
    <row r="3930" spans="1:4" ht="12.75" customHeight="1" x14ac:dyDescent="0.2">
      <c r="B3930" s="11" t="s">
        <v>2606</v>
      </c>
      <c r="C3930" s="16" t="s">
        <v>44</v>
      </c>
      <c r="D3930" s="6" t="str">
        <f>HYPERLINK("javascript:void(0)","arany fejsze")</f>
        <v>arany fejsze</v>
      </c>
    </row>
    <row r="3931" spans="1:4" ht="12.75" customHeight="1" x14ac:dyDescent="0.2">
      <c r="B3931" s="2"/>
      <c r="C3931" s="15"/>
      <c r="D3931" s="2"/>
    </row>
    <row r="3932" spans="1:4" ht="12.75" customHeight="1" x14ac:dyDescent="0.2">
      <c r="B3932" s="2"/>
      <c r="C3932" s="15"/>
      <c r="D3932" s="2"/>
    </row>
    <row r="3933" spans="1:4" ht="12.75" customHeight="1" x14ac:dyDescent="0.2">
      <c r="A3933" s="13" t="s">
        <v>3200</v>
      </c>
      <c r="C3933" s="12"/>
    </row>
    <row r="3934" spans="1:4" ht="12.75" customHeight="1" x14ac:dyDescent="0.2">
      <c r="A3934" s="11"/>
      <c r="B3934" s="2"/>
      <c r="C3934" s="15"/>
      <c r="D3934" s="2"/>
    </row>
    <row r="3935" spans="1:4" ht="12.75" customHeight="1" x14ac:dyDescent="0.2">
      <c r="B3935" s="11" t="s">
        <v>0</v>
      </c>
      <c r="C3935" s="11" t="s">
        <v>291</v>
      </c>
    </row>
    <row r="3936" spans="1:4" ht="12.75" customHeight="1" x14ac:dyDescent="0.2">
      <c r="B3936" s="11" t="s">
        <v>2599</v>
      </c>
      <c r="C3936" s="11" t="s">
        <v>3201</v>
      </c>
    </row>
    <row r="3937" spans="1:4" ht="25.5" customHeight="1" x14ac:dyDescent="0.2">
      <c r="B3937" s="11" t="s">
        <v>2600</v>
      </c>
      <c r="C3937" s="11" t="s">
        <v>3202</v>
      </c>
    </row>
    <row r="3938" spans="1:4" ht="25.5" customHeight="1" x14ac:dyDescent="0.2">
      <c r="B3938" s="11" t="s">
        <v>2601</v>
      </c>
      <c r="C3938" s="11"/>
    </row>
    <row r="3939" spans="1:4" ht="12.75" customHeight="1" x14ac:dyDescent="0.2">
      <c r="B3939" s="11" t="s">
        <v>16</v>
      </c>
      <c r="C3939" s="11"/>
    </row>
    <row r="3940" spans="1:4" ht="12.75" customHeight="1" x14ac:dyDescent="0.2">
      <c r="B3940" s="11" t="s">
        <v>13</v>
      </c>
      <c r="C3940" s="11" t="s">
        <v>2644</v>
      </c>
    </row>
    <row r="3941" spans="1:4" ht="12.75" customHeight="1" x14ac:dyDescent="0.2">
      <c r="B3941" s="11" t="s">
        <v>2603</v>
      </c>
      <c r="C3941" s="11" t="s">
        <v>2633</v>
      </c>
    </row>
    <row r="3942" spans="1:4" ht="12.75" customHeight="1" x14ac:dyDescent="0.2">
      <c r="B3942" s="11" t="s">
        <v>2605</v>
      </c>
      <c r="C3942" s="11" t="s">
        <v>24</v>
      </c>
    </row>
    <row r="3943" spans="1:4" ht="12.75" customHeight="1" x14ac:dyDescent="0.2">
      <c r="B3943" s="11" t="s">
        <v>2606</v>
      </c>
      <c r="C3943" s="16" t="s">
        <v>56</v>
      </c>
      <c r="D3943" s="6" t="str">
        <f>HYPERLINK("javascript:void(0)","szemhéj")</f>
        <v>szemhéj</v>
      </c>
    </row>
    <row r="3944" spans="1:4" ht="12.75" customHeight="1" x14ac:dyDescent="0.2">
      <c r="C3944" s="16" t="s">
        <v>56</v>
      </c>
      <c r="D3944" s="6" t="str">
        <f>HYPERLINK("javascript:void(0)","ezüstpajzs")</f>
        <v>ezüstpajzs</v>
      </c>
    </row>
    <row r="3945" spans="1:4" ht="12.75" customHeight="1" x14ac:dyDescent="0.2">
      <c r="B3945" s="2"/>
      <c r="C3945" s="15"/>
      <c r="D3945" s="2"/>
    </row>
    <row r="3946" spans="1:4" ht="12.75" customHeight="1" x14ac:dyDescent="0.2">
      <c r="B3946" s="2"/>
      <c r="C3946" s="15"/>
      <c r="D3946" s="2"/>
    </row>
    <row r="3947" spans="1:4" ht="12.75" customHeight="1" x14ac:dyDescent="0.2">
      <c r="A3947" s="13" t="s">
        <v>2962</v>
      </c>
      <c r="C3947" s="12"/>
    </row>
    <row r="3948" spans="1:4" ht="12.75" customHeight="1" x14ac:dyDescent="0.2">
      <c r="A3948" s="11"/>
      <c r="B3948" s="2"/>
      <c r="C3948" s="15"/>
      <c r="D3948" s="2"/>
    </row>
    <row r="3949" spans="1:4" ht="12.75" customHeight="1" x14ac:dyDescent="0.2">
      <c r="B3949" s="11" t="s">
        <v>0</v>
      </c>
      <c r="C3949" s="11" t="s">
        <v>298</v>
      </c>
    </row>
    <row r="3950" spans="1:4" ht="12.75" customHeight="1" x14ac:dyDescent="0.2">
      <c r="B3950" s="11" t="s">
        <v>2599</v>
      </c>
      <c r="C3950" s="11" t="s">
        <v>2560</v>
      </c>
    </row>
    <row r="3951" spans="1:4" ht="25.5" customHeight="1" x14ac:dyDescent="0.2">
      <c r="B3951" s="11" t="s">
        <v>2600</v>
      </c>
      <c r="C3951" s="11" t="s">
        <v>3203</v>
      </c>
    </row>
    <row r="3952" spans="1:4" ht="25.5" customHeight="1" x14ac:dyDescent="0.2">
      <c r="B3952" s="11" t="s">
        <v>2601</v>
      </c>
      <c r="C3952" s="11"/>
    </row>
    <row r="3953" spans="1:4" ht="12.75" customHeight="1" x14ac:dyDescent="0.2">
      <c r="B3953" s="11" t="s">
        <v>16</v>
      </c>
      <c r="C3953" s="11"/>
    </row>
    <row r="3954" spans="1:4" ht="12.75" customHeight="1" x14ac:dyDescent="0.2">
      <c r="B3954" s="11" t="s">
        <v>13</v>
      </c>
      <c r="C3954" s="11" t="s">
        <v>2644</v>
      </c>
    </row>
    <row r="3955" spans="1:4" ht="12.75" customHeight="1" x14ac:dyDescent="0.2">
      <c r="B3955" s="11" t="s">
        <v>2603</v>
      </c>
      <c r="C3955" s="11" t="s">
        <v>2965</v>
      </c>
    </row>
    <row r="3956" spans="1:4" ht="12.75" customHeight="1" x14ac:dyDescent="0.2">
      <c r="B3956" s="11" t="s">
        <v>2605</v>
      </c>
      <c r="C3956" s="11" t="s">
        <v>14</v>
      </c>
    </row>
    <row r="3957" spans="1:4" ht="12.75" customHeight="1" x14ac:dyDescent="0.2">
      <c r="B3957" s="11" t="s">
        <v>2606</v>
      </c>
      <c r="C3957" s="16" t="s">
        <v>44</v>
      </c>
      <c r="D3957" s="6" t="str">
        <f>HYPERLINK("javascript:void(0)","hínárgyöngy")</f>
        <v>hínárgyöngy</v>
      </c>
    </row>
    <row r="3958" spans="1:4" ht="25.5" customHeight="1" x14ac:dyDescent="0.2">
      <c r="C3958" s="16" t="s">
        <v>57</v>
      </c>
      <c r="D3958" s="6" t="str">
        <f>HYPERLINK("javascript:void(0)","harmatcsepp")</f>
        <v>harmatcsepp</v>
      </c>
    </row>
    <row r="3959" spans="1:4" ht="12.75" customHeight="1" x14ac:dyDescent="0.2">
      <c r="B3959" s="2"/>
      <c r="C3959" s="15"/>
      <c r="D3959" s="2"/>
    </row>
    <row r="3960" spans="1:4" ht="12.75" customHeight="1" x14ac:dyDescent="0.2">
      <c r="B3960" s="2"/>
      <c r="C3960" s="15"/>
      <c r="D3960" s="2"/>
    </row>
    <row r="3961" spans="1:4" ht="12.75" customHeight="1" x14ac:dyDescent="0.2">
      <c r="A3961" s="13" t="s">
        <v>3174</v>
      </c>
      <c r="C3961" s="12"/>
      <c r="D3961" s="2"/>
    </row>
    <row r="3962" spans="1:4" ht="12.75" customHeight="1" x14ac:dyDescent="0.2">
      <c r="A3962" s="11"/>
      <c r="B3962" s="2"/>
      <c r="C3962" s="15"/>
      <c r="D3962" s="2"/>
    </row>
    <row r="3963" spans="1:4" ht="12.75" customHeight="1" x14ac:dyDescent="0.2">
      <c r="B3963" s="11" t="s">
        <v>0</v>
      </c>
      <c r="C3963" s="17" t="s">
        <v>298</v>
      </c>
      <c r="D3963" s="2"/>
    </row>
    <row r="3964" spans="1:4" ht="12.75" customHeight="1" x14ac:dyDescent="0.2">
      <c r="B3964" s="11" t="s">
        <v>2599</v>
      </c>
      <c r="C3964" s="17" t="s">
        <v>3175</v>
      </c>
      <c r="D3964" s="2"/>
    </row>
    <row r="3965" spans="1:4" ht="25.5" customHeight="1" x14ac:dyDescent="0.2">
      <c r="B3965" s="11" t="s">
        <v>2600</v>
      </c>
      <c r="C3965" s="17" t="s">
        <v>3204</v>
      </c>
      <c r="D3965" s="2"/>
    </row>
    <row r="3966" spans="1:4" ht="25.5" customHeight="1" x14ac:dyDescent="0.2">
      <c r="B3966" s="11" t="s">
        <v>2601</v>
      </c>
      <c r="C3966" s="17"/>
      <c r="D3966" s="2"/>
    </row>
    <row r="3967" spans="1:4" ht="12.75" customHeight="1" x14ac:dyDescent="0.2">
      <c r="B3967" s="11" t="s">
        <v>16</v>
      </c>
      <c r="C3967" s="17"/>
      <c r="D3967" s="2"/>
    </row>
    <row r="3968" spans="1:4" ht="12.75" customHeight="1" x14ac:dyDescent="0.2">
      <c r="B3968" s="11" t="s">
        <v>13</v>
      </c>
      <c r="C3968" s="17" t="s">
        <v>2602</v>
      </c>
      <c r="D3968" s="2"/>
    </row>
    <row r="3969" spans="1:4" ht="25.5" customHeight="1" x14ac:dyDescent="0.2">
      <c r="B3969" s="11" t="s">
        <v>2603</v>
      </c>
      <c r="C3969" s="17" t="s">
        <v>2971</v>
      </c>
      <c r="D3969" s="2"/>
    </row>
    <row r="3970" spans="1:4" ht="12.75" customHeight="1" x14ac:dyDescent="0.2">
      <c r="B3970" s="11" t="s">
        <v>2605</v>
      </c>
      <c r="C3970" s="17" t="s">
        <v>14</v>
      </c>
      <c r="D3970" s="2"/>
    </row>
    <row r="3971" spans="1:4" ht="12.75" customHeight="1" x14ac:dyDescent="0.2">
      <c r="B3971" s="11" t="s">
        <v>2606</v>
      </c>
      <c r="C3971" s="16" t="s">
        <v>19</v>
      </c>
      <c r="D3971" s="2"/>
    </row>
    <row r="3972" spans="1:4" ht="12.75" customHeight="1" x14ac:dyDescent="0.2">
      <c r="B3972" s="2"/>
      <c r="C3972" s="15"/>
      <c r="D3972" s="2"/>
    </row>
    <row r="3973" spans="1:4" ht="12.75" customHeight="1" x14ac:dyDescent="0.2">
      <c r="B3973" s="2"/>
      <c r="C3973" s="15"/>
      <c r="D3973" s="2"/>
    </row>
    <row r="3974" spans="1:4" ht="12.75" customHeight="1" x14ac:dyDescent="0.2">
      <c r="A3974" s="13" t="s">
        <v>3113</v>
      </c>
      <c r="C3974" s="12"/>
      <c r="D3974" s="2"/>
    </row>
    <row r="3975" spans="1:4" ht="12.75" customHeight="1" x14ac:dyDescent="0.2">
      <c r="A3975" s="11"/>
      <c r="B3975" s="2"/>
      <c r="C3975" s="15"/>
      <c r="D3975" s="2"/>
    </row>
    <row r="3976" spans="1:4" ht="12.75" customHeight="1" x14ac:dyDescent="0.2">
      <c r="B3976" s="11" t="s">
        <v>0</v>
      </c>
      <c r="C3976" s="17" t="s">
        <v>298</v>
      </c>
      <c r="D3976" s="2"/>
    </row>
    <row r="3977" spans="1:4" ht="12.75" customHeight="1" x14ac:dyDescent="0.2">
      <c r="B3977" s="11" t="s">
        <v>2599</v>
      </c>
      <c r="C3977" s="17" t="s">
        <v>2558</v>
      </c>
      <c r="D3977" s="2"/>
    </row>
    <row r="3978" spans="1:4" ht="25.5" customHeight="1" x14ac:dyDescent="0.2">
      <c r="B3978" s="11" t="s">
        <v>2600</v>
      </c>
      <c r="C3978" s="17" t="s">
        <v>3205</v>
      </c>
      <c r="D3978" s="2"/>
    </row>
    <row r="3979" spans="1:4" ht="25.5" customHeight="1" x14ac:dyDescent="0.2">
      <c r="B3979" s="11" t="s">
        <v>2601</v>
      </c>
      <c r="C3979" s="17"/>
      <c r="D3979" s="2"/>
    </row>
    <row r="3980" spans="1:4" ht="12.75" customHeight="1" x14ac:dyDescent="0.2">
      <c r="B3980" s="11" t="s">
        <v>16</v>
      </c>
      <c r="C3980" s="17"/>
      <c r="D3980" s="2"/>
    </row>
    <row r="3981" spans="1:4" ht="12.75" customHeight="1" x14ac:dyDescent="0.2">
      <c r="B3981" s="11" t="s">
        <v>13</v>
      </c>
      <c r="C3981" s="17" t="s">
        <v>2602</v>
      </c>
      <c r="D3981" s="2"/>
    </row>
    <row r="3982" spans="1:4" ht="25.5" customHeight="1" x14ac:dyDescent="0.2">
      <c r="B3982" s="11" t="s">
        <v>2603</v>
      </c>
      <c r="C3982" s="17" t="s">
        <v>2971</v>
      </c>
      <c r="D3982" s="2"/>
    </row>
    <row r="3983" spans="1:4" ht="12.75" customHeight="1" x14ac:dyDescent="0.2">
      <c r="B3983" s="11" t="s">
        <v>2605</v>
      </c>
      <c r="C3983" s="17" t="s">
        <v>14</v>
      </c>
      <c r="D3983" s="2"/>
    </row>
    <row r="3984" spans="1:4" ht="12.75" customHeight="1" x14ac:dyDescent="0.2">
      <c r="B3984" s="11" t="s">
        <v>2606</v>
      </c>
      <c r="C3984" s="16" t="s">
        <v>19</v>
      </c>
      <c r="D3984" s="2"/>
    </row>
    <row r="3985" spans="1:4" ht="12.75" customHeight="1" x14ac:dyDescent="0.2">
      <c r="B3985" s="2"/>
      <c r="C3985" s="15"/>
      <c r="D3985" s="2"/>
    </row>
    <row r="3986" spans="1:4" ht="12.75" customHeight="1" x14ac:dyDescent="0.2">
      <c r="B3986" s="2"/>
      <c r="C3986" s="15"/>
      <c r="D3986" s="2"/>
    </row>
    <row r="3987" spans="1:4" ht="12.75" customHeight="1" x14ac:dyDescent="0.2">
      <c r="A3987" s="13" t="s">
        <v>3115</v>
      </c>
      <c r="C3987" s="12"/>
      <c r="D3987" s="2"/>
    </row>
    <row r="3988" spans="1:4" ht="12.75" customHeight="1" x14ac:dyDescent="0.2">
      <c r="A3988" s="11"/>
      <c r="B3988" s="2"/>
      <c r="C3988" s="15"/>
      <c r="D3988" s="2"/>
    </row>
    <row r="3989" spans="1:4" ht="12.75" customHeight="1" x14ac:dyDescent="0.2">
      <c r="B3989" s="11" t="s">
        <v>0</v>
      </c>
      <c r="C3989" s="17" t="s">
        <v>298</v>
      </c>
      <c r="D3989" s="2"/>
    </row>
    <row r="3990" spans="1:4" ht="12.75" customHeight="1" x14ac:dyDescent="0.2">
      <c r="B3990" s="11" t="s">
        <v>2599</v>
      </c>
      <c r="C3990" s="17" t="s">
        <v>2508</v>
      </c>
      <c r="D3990" s="2"/>
    </row>
    <row r="3991" spans="1:4" ht="25.5" customHeight="1" x14ac:dyDescent="0.2">
      <c r="B3991" s="11" t="s">
        <v>2600</v>
      </c>
      <c r="C3991" s="17" t="s">
        <v>3206</v>
      </c>
      <c r="D3991" s="2"/>
    </row>
    <row r="3992" spans="1:4" ht="25.5" customHeight="1" x14ac:dyDescent="0.2">
      <c r="B3992" s="11" t="s">
        <v>2601</v>
      </c>
      <c r="C3992" s="17"/>
      <c r="D3992" s="2"/>
    </row>
    <row r="3993" spans="1:4" ht="12.75" customHeight="1" x14ac:dyDescent="0.2">
      <c r="B3993" s="11" t="s">
        <v>16</v>
      </c>
      <c r="C3993" s="17"/>
      <c r="D3993" s="2"/>
    </row>
    <row r="3994" spans="1:4" ht="12.75" customHeight="1" x14ac:dyDescent="0.2">
      <c r="B3994" s="11" t="s">
        <v>13</v>
      </c>
      <c r="C3994" s="17" t="s">
        <v>2644</v>
      </c>
      <c r="D3994" s="2"/>
    </row>
    <row r="3995" spans="1:4" ht="25.5" customHeight="1" x14ac:dyDescent="0.2">
      <c r="B3995" s="11" t="s">
        <v>2603</v>
      </c>
      <c r="C3995" s="17" t="s">
        <v>2971</v>
      </c>
      <c r="D3995" s="2"/>
    </row>
    <row r="3996" spans="1:4" ht="12.75" customHeight="1" x14ac:dyDescent="0.2">
      <c r="B3996" s="11" t="s">
        <v>2605</v>
      </c>
      <c r="C3996" s="17" t="s">
        <v>14</v>
      </c>
      <c r="D3996" s="2"/>
    </row>
    <row r="3997" spans="1:4" ht="12.75" customHeight="1" x14ac:dyDescent="0.2">
      <c r="B3997" s="11" t="s">
        <v>2606</v>
      </c>
      <c r="C3997" s="16" t="s">
        <v>19</v>
      </c>
      <c r="D3997" s="2"/>
    </row>
    <row r="3998" spans="1:4" ht="12.75" customHeight="1" x14ac:dyDescent="0.2">
      <c r="B3998" s="2"/>
      <c r="C3998" s="15"/>
      <c r="D3998" s="2"/>
    </row>
    <row r="3999" spans="1:4" ht="12.75" customHeight="1" x14ac:dyDescent="0.2">
      <c r="B3999" s="2"/>
      <c r="C3999" s="15"/>
      <c r="D3999" s="2"/>
    </row>
    <row r="4000" spans="1:4" ht="12.75" customHeight="1" x14ac:dyDescent="0.2">
      <c r="A4000" s="13" t="s">
        <v>3207</v>
      </c>
      <c r="C4000" s="12"/>
    </row>
    <row r="4001" spans="1:4" ht="12.75" customHeight="1" x14ac:dyDescent="0.2">
      <c r="A4001" s="11"/>
      <c r="B4001" s="2"/>
      <c r="C4001" s="15"/>
      <c r="D4001" s="2"/>
    </row>
    <row r="4002" spans="1:4" ht="12.75" customHeight="1" x14ac:dyDescent="0.2">
      <c r="B4002" s="11" t="s">
        <v>0</v>
      </c>
      <c r="C4002" s="11" t="s">
        <v>298</v>
      </c>
    </row>
    <row r="4003" spans="1:4" ht="12.75" customHeight="1" x14ac:dyDescent="0.2">
      <c r="B4003" s="11" t="s">
        <v>2599</v>
      </c>
      <c r="C4003" s="11" t="s">
        <v>2081</v>
      </c>
    </row>
    <row r="4004" spans="1:4" ht="25.5" customHeight="1" x14ac:dyDescent="0.2">
      <c r="B4004" s="11" t="s">
        <v>2600</v>
      </c>
      <c r="C4004" s="11" t="s">
        <v>3168</v>
      </c>
    </row>
    <row r="4005" spans="1:4" ht="25.5" customHeight="1" x14ac:dyDescent="0.2">
      <c r="B4005" s="11" t="s">
        <v>2601</v>
      </c>
      <c r="C4005" s="11"/>
    </row>
    <row r="4006" spans="1:4" ht="12.75" customHeight="1" x14ac:dyDescent="0.2">
      <c r="B4006" s="11" t="s">
        <v>16</v>
      </c>
      <c r="C4006" s="11"/>
    </row>
    <row r="4007" spans="1:4" ht="12.75" customHeight="1" x14ac:dyDescent="0.2">
      <c r="B4007" s="11" t="s">
        <v>13</v>
      </c>
      <c r="C4007" s="11" t="s">
        <v>2602</v>
      </c>
    </row>
    <row r="4008" spans="1:4" ht="12.75" customHeight="1" x14ac:dyDescent="0.2">
      <c r="B4008" s="11" t="s">
        <v>2603</v>
      </c>
      <c r="C4008" s="11" t="s">
        <v>2604</v>
      </c>
    </row>
    <row r="4009" spans="1:4" ht="12.75" customHeight="1" x14ac:dyDescent="0.2">
      <c r="B4009" s="11" t="s">
        <v>2605</v>
      </c>
      <c r="C4009" s="11" t="s">
        <v>24</v>
      </c>
    </row>
    <row r="4010" spans="1:4" ht="25.5" customHeight="1" x14ac:dyDescent="0.2">
      <c r="B4010" s="11" t="s">
        <v>2606</v>
      </c>
      <c r="C4010" s="16" t="s">
        <v>44</v>
      </c>
      <c r="D4010" s="6" t="str">
        <f>HYPERLINK("javascript:void(0)","óriás korona")</f>
        <v>óriás korona</v>
      </c>
    </row>
    <row r="4011" spans="1:4" ht="12.75" customHeight="1" x14ac:dyDescent="0.2">
      <c r="B4011" s="2"/>
      <c r="C4011" s="15"/>
      <c r="D4011" s="2"/>
    </row>
    <row r="4012" spans="1:4" ht="12.75" customHeight="1" x14ac:dyDescent="0.2">
      <c r="B4012" s="2"/>
      <c r="C4012" s="15"/>
      <c r="D4012" s="2"/>
    </row>
    <row r="4013" spans="1:4" ht="12.75" customHeight="1" x14ac:dyDescent="0.2">
      <c r="A4013" s="13" t="s">
        <v>3208</v>
      </c>
      <c r="C4013" s="12"/>
    </row>
    <row r="4014" spans="1:4" ht="12.75" customHeight="1" x14ac:dyDescent="0.2">
      <c r="A4014" s="11"/>
      <c r="B4014" s="2"/>
      <c r="C4014" s="15"/>
      <c r="D4014" s="2"/>
    </row>
    <row r="4015" spans="1:4" ht="12.75" customHeight="1" x14ac:dyDescent="0.2">
      <c r="B4015" s="11" t="s">
        <v>0</v>
      </c>
      <c r="C4015" s="11" t="s">
        <v>298</v>
      </c>
    </row>
    <row r="4016" spans="1:4" ht="12.75" customHeight="1" x14ac:dyDescent="0.2">
      <c r="B4016" s="11" t="s">
        <v>2599</v>
      </c>
      <c r="C4016" s="11" t="s">
        <v>2560</v>
      </c>
    </row>
    <row r="4017" spans="1:4" ht="25.5" customHeight="1" x14ac:dyDescent="0.2">
      <c r="B4017" s="11" t="s">
        <v>2600</v>
      </c>
      <c r="C4017" s="11" t="s">
        <v>3209</v>
      </c>
    </row>
    <row r="4018" spans="1:4" ht="25.5" customHeight="1" x14ac:dyDescent="0.2">
      <c r="B4018" s="11" t="s">
        <v>2601</v>
      </c>
      <c r="C4018" s="11"/>
    </row>
    <row r="4019" spans="1:4" ht="12.75" customHeight="1" x14ac:dyDescent="0.2">
      <c r="B4019" s="11" t="s">
        <v>16</v>
      </c>
      <c r="C4019" s="11"/>
    </row>
    <row r="4020" spans="1:4" ht="12.75" customHeight="1" x14ac:dyDescent="0.2">
      <c r="B4020" s="11" t="s">
        <v>13</v>
      </c>
      <c r="C4020" s="11" t="s">
        <v>2644</v>
      </c>
    </row>
    <row r="4021" spans="1:4" ht="12.75" customHeight="1" x14ac:dyDescent="0.2">
      <c r="B4021" s="11" t="s">
        <v>2603</v>
      </c>
      <c r="C4021" s="11" t="s">
        <v>2604</v>
      </c>
    </row>
    <row r="4022" spans="1:4" ht="12.75" customHeight="1" x14ac:dyDescent="0.2">
      <c r="B4022" s="11" t="s">
        <v>2605</v>
      </c>
      <c r="C4022" s="11" t="s">
        <v>24</v>
      </c>
    </row>
    <row r="4023" spans="1:4" ht="25.5" customHeight="1" x14ac:dyDescent="0.2">
      <c r="B4023" s="11" t="s">
        <v>2606</v>
      </c>
      <c r="C4023" s="16" t="s">
        <v>67</v>
      </c>
      <c r="D4023" s="6" t="str">
        <f>HYPERLINK("javascript:void(0)","szemgyöngy")</f>
        <v>szemgyöngy</v>
      </c>
    </row>
    <row r="4024" spans="1:4" ht="12.75" customHeight="1" x14ac:dyDescent="0.2">
      <c r="B4024" s="2"/>
      <c r="C4024" s="15"/>
      <c r="D4024" s="2"/>
    </row>
    <row r="4025" spans="1:4" ht="12.75" customHeight="1" x14ac:dyDescent="0.2">
      <c r="B4025" s="2"/>
      <c r="C4025" s="15"/>
      <c r="D4025" s="2"/>
    </row>
    <row r="4026" spans="1:4" ht="12.75" customHeight="1" x14ac:dyDescent="0.2">
      <c r="A4026" s="13" t="s">
        <v>3210</v>
      </c>
      <c r="C4026" s="12"/>
    </row>
    <row r="4027" spans="1:4" ht="12.75" customHeight="1" x14ac:dyDescent="0.2">
      <c r="A4027" s="11"/>
      <c r="B4027" s="2"/>
      <c r="C4027" s="15"/>
      <c r="D4027" s="2"/>
    </row>
    <row r="4028" spans="1:4" ht="12.75" customHeight="1" x14ac:dyDescent="0.2">
      <c r="B4028" s="11" t="s">
        <v>0</v>
      </c>
      <c r="C4028" s="11" t="s">
        <v>298</v>
      </c>
    </row>
    <row r="4029" spans="1:4" ht="12.75" customHeight="1" x14ac:dyDescent="0.2">
      <c r="B4029" s="11" t="s">
        <v>2599</v>
      </c>
      <c r="C4029" s="11" t="s">
        <v>3211</v>
      </c>
    </row>
    <row r="4030" spans="1:4" ht="25.5" customHeight="1" x14ac:dyDescent="0.2">
      <c r="B4030" s="11" t="s">
        <v>2600</v>
      </c>
      <c r="C4030" s="11" t="s">
        <v>3212</v>
      </c>
    </row>
    <row r="4031" spans="1:4" ht="25.5" customHeight="1" x14ac:dyDescent="0.2">
      <c r="B4031" s="11" t="s">
        <v>2601</v>
      </c>
      <c r="C4031" s="11"/>
    </row>
    <row r="4032" spans="1:4" ht="12.75" customHeight="1" x14ac:dyDescent="0.2">
      <c r="B4032" s="11" t="s">
        <v>16</v>
      </c>
      <c r="C4032" s="11"/>
    </row>
    <row r="4033" spans="1:4" ht="12.75" customHeight="1" x14ac:dyDescent="0.2">
      <c r="B4033" s="11" t="s">
        <v>13</v>
      </c>
      <c r="C4033" s="11" t="s">
        <v>2644</v>
      </c>
    </row>
    <row r="4034" spans="1:4" ht="12.75" customHeight="1" x14ac:dyDescent="0.2">
      <c r="B4034" s="11" t="s">
        <v>2603</v>
      </c>
      <c r="C4034" s="11" t="s">
        <v>2604</v>
      </c>
    </row>
    <row r="4035" spans="1:4" ht="12.75" customHeight="1" x14ac:dyDescent="0.2">
      <c r="B4035" s="11" t="s">
        <v>2605</v>
      </c>
      <c r="C4035" s="11" t="s">
        <v>24</v>
      </c>
    </row>
    <row r="4036" spans="1:4" ht="12.75" customHeight="1" x14ac:dyDescent="0.2">
      <c r="B4036" s="11" t="s">
        <v>2606</v>
      </c>
      <c r="C4036" s="16" t="s">
        <v>44</v>
      </c>
      <c r="D4036" s="6" t="str">
        <f>HYPERLINK("javascript:void(0)","mágusbot")</f>
        <v>mágusbot</v>
      </c>
    </row>
    <row r="4037" spans="1:4" ht="12.75" customHeight="1" x14ac:dyDescent="0.2">
      <c r="C4037" s="16" t="s">
        <v>56</v>
      </c>
      <c r="D4037" s="6" t="str">
        <f>HYPERLINK("javascript:void(0)","sárkányfű")</f>
        <v>sárkányfű</v>
      </c>
    </row>
    <row r="4038" spans="1:4" ht="12.75" customHeight="1" x14ac:dyDescent="0.2">
      <c r="B4038" s="2"/>
      <c r="C4038" s="15"/>
      <c r="D4038" s="2"/>
    </row>
    <row r="4039" spans="1:4" ht="12.75" customHeight="1" x14ac:dyDescent="0.2">
      <c r="B4039" s="2"/>
      <c r="C4039" s="15"/>
      <c r="D4039" s="2"/>
    </row>
    <row r="4040" spans="1:4" ht="12.75" customHeight="1" x14ac:dyDescent="0.2">
      <c r="A4040" s="13" t="s">
        <v>3213</v>
      </c>
      <c r="C4040" s="12"/>
    </row>
    <row r="4041" spans="1:4" ht="12.75" customHeight="1" x14ac:dyDescent="0.2">
      <c r="A4041" s="11"/>
      <c r="B4041" s="2"/>
      <c r="C4041" s="15"/>
      <c r="D4041" s="2"/>
    </row>
    <row r="4042" spans="1:4" ht="12.75" customHeight="1" x14ac:dyDescent="0.2">
      <c r="B4042" s="11" t="s">
        <v>0</v>
      </c>
      <c r="C4042" s="11" t="s">
        <v>298</v>
      </c>
    </row>
    <row r="4043" spans="1:4" ht="12.75" customHeight="1" x14ac:dyDescent="0.2">
      <c r="B4043" s="11" t="s">
        <v>2599</v>
      </c>
      <c r="C4043" s="11" t="s">
        <v>2564</v>
      </c>
    </row>
    <row r="4044" spans="1:4" ht="25.5" customHeight="1" x14ac:dyDescent="0.2">
      <c r="B4044" s="11" t="s">
        <v>2600</v>
      </c>
      <c r="C4044" s="11" t="s">
        <v>3214</v>
      </c>
    </row>
    <row r="4045" spans="1:4" ht="25.5" customHeight="1" x14ac:dyDescent="0.2">
      <c r="B4045" s="11" t="s">
        <v>2601</v>
      </c>
      <c r="C4045" s="11"/>
    </row>
    <row r="4046" spans="1:4" ht="12.75" customHeight="1" x14ac:dyDescent="0.2">
      <c r="B4046" s="11" t="s">
        <v>16</v>
      </c>
      <c r="C4046" s="11"/>
    </row>
    <row r="4047" spans="1:4" ht="12.75" customHeight="1" x14ac:dyDescent="0.2">
      <c r="B4047" s="11" t="s">
        <v>13</v>
      </c>
      <c r="C4047" s="11" t="s">
        <v>2644</v>
      </c>
    </row>
    <row r="4048" spans="1:4" ht="12.75" customHeight="1" x14ac:dyDescent="0.2">
      <c r="B4048" s="11" t="s">
        <v>2603</v>
      </c>
      <c r="C4048" s="11" t="s">
        <v>2604</v>
      </c>
    </row>
    <row r="4049" spans="1:4" ht="12.75" customHeight="1" x14ac:dyDescent="0.2">
      <c r="B4049" s="11" t="s">
        <v>2605</v>
      </c>
      <c r="C4049" s="11" t="s">
        <v>24</v>
      </c>
    </row>
    <row r="4050" spans="1:4" ht="25.5" customHeight="1" x14ac:dyDescent="0.2">
      <c r="B4050" s="11" t="s">
        <v>2606</v>
      </c>
      <c r="C4050" s="16" t="s">
        <v>44</v>
      </c>
      <c r="D4050" s="6" t="str">
        <f>HYPERLINK("javascript:void(0)","sárkány szem")</f>
        <v>sárkány szem</v>
      </c>
    </row>
    <row r="4051" spans="1:4" ht="12.75" customHeight="1" x14ac:dyDescent="0.2">
      <c r="B4051" s="2"/>
      <c r="C4051" s="15"/>
      <c r="D4051" s="2"/>
    </row>
    <row r="4052" spans="1:4" ht="12.75" customHeight="1" x14ac:dyDescent="0.2">
      <c r="B4052" s="2"/>
      <c r="C4052" s="15"/>
      <c r="D4052" s="2"/>
    </row>
    <row r="4053" spans="1:4" ht="12.75" customHeight="1" x14ac:dyDescent="0.2">
      <c r="A4053" s="13" t="s">
        <v>3215</v>
      </c>
      <c r="C4053" s="12"/>
    </row>
    <row r="4054" spans="1:4" ht="12.75" customHeight="1" x14ac:dyDescent="0.2">
      <c r="A4054" s="11"/>
      <c r="B4054" s="2"/>
      <c r="C4054" s="15"/>
      <c r="D4054" s="2"/>
    </row>
    <row r="4055" spans="1:4" ht="12.75" customHeight="1" x14ac:dyDescent="0.2">
      <c r="B4055" s="11" t="s">
        <v>0</v>
      </c>
      <c r="C4055" s="11" t="s">
        <v>298</v>
      </c>
    </row>
    <row r="4056" spans="1:4" ht="12.75" customHeight="1" x14ac:dyDescent="0.2">
      <c r="B4056" s="11" t="s">
        <v>2599</v>
      </c>
      <c r="C4056" s="11" t="s">
        <v>3194</v>
      </c>
    </row>
    <row r="4057" spans="1:4" ht="25.5" customHeight="1" x14ac:dyDescent="0.2">
      <c r="B4057" s="11" t="s">
        <v>2600</v>
      </c>
      <c r="C4057" s="11" t="s">
        <v>3216</v>
      </c>
    </row>
    <row r="4058" spans="1:4" ht="25.5" customHeight="1" x14ac:dyDescent="0.2">
      <c r="B4058" s="11" t="s">
        <v>2601</v>
      </c>
      <c r="C4058" s="11"/>
    </row>
    <row r="4059" spans="1:4" ht="12.75" customHeight="1" x14ac:dyDescent="0.2">
      <c r="B4059" s="11" t="s">
        <v>16</v>
      </c>
      <c r="C4059" s="11"/>
    </row>
    <row r="4060" spans="1:4" ht="12.75" customHeight="1" x14ac:dyDescent="0.2">
      <c r="B4060" s="11" t="s">
        <v>13</v>
      </c>
      <c r="C4060" s="11" t="s">
        <v>2644</v>
      </c>
    </row>
    <row r="4061" spans="1:4" ht="12.75" customHeight="1" x14ac:dyDescent="0.2">
      <c r="B4061" s="11" t="s">
        <v>2603</v>
      </c>
      <c r="C4061" s="11" t="s">
        <v>2604</v>
      </c>
    </row>
    <row r="4062" spans="1:4" ht="12.75" customHeight="1" x14ac:dyDescent="0.2">
      <c r="B4062" s="11" t="s">
        <v>2605</v>
      </c>
      <c r="C4062" s="11" t="s">
        <v>24</v>
      </c>
    </row>
    <row r="4063" spans="1:4" ht="25.5" customHeight="1" x14ac:dyDescent="0.2">
      <c r="B4063" s="11" t="s">
        <v>2606</v>
      </c>
      <c r="C4063" s="16" t="s">
        <v>44</v>
      </c>
      <c r="D4063" s="6" t="str">
        <f>HYPERLINK("javascript:void(0)","sárkány izom")</f>
        <v>sárkány izom</v>
      </c>
    </row>
    <row r="4064" spans="1:4" ht="12.75" customHeight="1" x14ac:dyDescent="0.2">
      <c r="B4064" s="2"/>
      <c r="C4064" s="15"/>
      <c r="D4064" s="2"/>
    </row>
    <row r="4065" spans="1:4" ht="12.75" customHeight="1" x14ac:dyDescent="0.2">
      <c r="B4065" s="2"/>
      <c r="C4065" s="15"/>
      <c r="D4065" s="2"/>
    </row>
    <row r="4066" spans="1:4" ht="12.75" customHeight="1" x14ac:dyDescent="0.2">
      <c r="A4066" s="13" t="s">
        <v>3217</v>
      </c>
      <c r="C4066" s="12"/>
    </row>
    <row r="4067" spans="1:4" ht="12.75" customHeight="1" x14ac:dyDescent="0.2">
      <c r="A4067" s="11"/>
      <c r="B4067" s="2"/>
      <c r="C4067" s="15"/>
      <c r="D4067" s="2"/>
    </row>
    <row r="4068" spans="1:4" ht="12.75" customHeight="1" x14ac:dyDescent="0.2">
      <c r="B4068" s="11" t="s">
        <v>0</v>
      </c>
      <c r="C4068" s="11" t="s">
        <v>298</v>
      </c>
    </row>
    <row r="4069" spans="1:4" ht="12.75" customHeight="1" x14ac:dyDescent="0.2">
      <c r="B4069" s="11" t="s">
        <v>2599</v>
      </c>
      <c r="C4069" s="11" t="s">
        <v>2548</v>
      </c>
    </row>
    <row r="4070" spans="1:4" ht="25.5" customHeight="1" x14ac:dyDescent="0.2">
      <c r="B4070" s="11" t="s">
        <v>2600</v>
      </c>
      <c r="C4070" s="11" t="s">
        <v>3218</v>
      </c>
    </row>
    <row r="4071" spans="1:4" ht="25.5" customHeight="1" x14ac:dyDescent="0.2">
      <c r="B4071" s="11" t="s">
        <v>2601</v>
      </c>
      <c r="C4071" s="11"/>
    </row>
    <row r="4072" spans="1:4" ht="12.75" customHeight="1" x14ac:dyDescent="0.2">
      <c r="B4072" s="11" t="s">
        <v>16</v>
      </c>
      <c r="C4072" s="11"/>
    </row>
    <row r="4073" spans="1:4" ht="12.75" customHeight="1" x14ac:dyDescent="0.2">
      <c r="B4073" s="11" t="s">
        <v>13</v>
      </c>
      <c r="C4073" s="11" t="s">
        <v>2644</v>
      </c>
    </row>
    <row r="4074" spans="1:4" ht="12.75" customHeight="1" x14ac:dyDescent="0.2">
      <c r="B4074" s="11" t="s">
        <v>2603</v>
      </c>
      <c r="C4074" s="11" t="s">
        <v>2604</v>
      </c>
    </row>
    <row r="4075" spans="1:4" ht="12.75" customHeight="1" x14ac:dyDescent="0.2">
      <c r="B4075" s="11" t="s">
        <v>2605</v>
      </c>
      <c r="C4075" s="11" t="s">
        <v>24</v>
      </c>
    </row>
    <row r="4076" spans="1:4" ht="25.5" customHeight="1" x14ac:dyDescent="0.2">
      <c r="B4076" s="11" t="s">
        <v>2606</v>
      </c>
      <c r="C4076" s="16" t="s">
        <v>44</v>
      </c>
      <c r="D4076" s="6" t="str">
        <f>HYPERLINK("javascript:void(0)","sárkány szem")</f>
        <v>sárkány szem</v>
      </c>
    </row>
    <row r="4077" spans="1:4" ht="12.75" customHeight="1" x14ac:dyDescent="0.2">
      <c r="B4077" s="2"/>
      <c r="C4077" s="15"/>
      <c r="D4077" s="2"/>
    </row>
    <row r="4078" spans="1:4" ht="12.75" customHeight="1" x14ac:dyDescent="0.2">
      <c r="B4078" s="2"/>
      <c r="C4078" s="15"/>
      <c r="D4078" s="2"/>
    </row>
    <row r="4079" spans="1:4" ht="12.75" customHeight="1" x14ac:dyDescent="0.2">
      <c r="A4079" s="13" t="s">
        <v>3219</v>
      </c>
      <c r="C4079" s="12"/>
    </row>
    <row r="4080" spans="1:4" ht="12.75" customHeight="1" x14ac:dyDescent="0.2">
      <c r="A4080" s="11"/>
      <c r="B4080" s="2"/>
      <c r="C4080" s="15"/>
      <c r="D4080" s="2"/>
    </row>
    <row r="4081" spans="1:4" ht="12.75" customHeight="1" x14ac:dyDescent="0.2">
      <c r="B4081" s="11" t="s">
        <v>0</v>
      </c>
      <c r="C4081" s="11" t="s">
        <v>298</v>
      </c>
    </row>
    <row r="4082" spans="1:4" ht="12.75" customHeight="1" x14ac:dyDescent="0.2">
      <c r="B4082" s="11" t="s">
        <v>2599</v>
      </c>
      <c r="C4082" s="11" t="s">
        <v>3220</v>
      </c>
    </row>
    <row r="4083" spans="1:4" ht="25.5" customHeight="1" x14ac:dyDescent="0.2">
      <c r="B4083" s="11" t="s">
        <v>2600</v>
      </c>
      <c r="C4083" s="11" t="s">
        <v>3221</v>
      </c>
    </row>
    <row r="4084" spans="1:4" ht="25.5" customHeight="1" x14ac:dyDescent="0.2">
      <c r="B4084" s="11" t="s">
        <v>2601</v>
      </c>
      <c r="C4084" s="11"/>
    </row>
    <row r="4085" spans="1:4" ht="12.75" customHeight="1" x14ac:dyDescent="0.2">
      <c r="B4085" s="11" t="s">
        <v>16</v>
      </c>
      <c r="C4085" s="11"/>
    </row>
    <row r="4086" spans="1:4" ht="12.75" customHeight="1" x14ac:dyDescent="0.2">
      <c r="B4086" s="11" t="s">
        <v>13</v>
      </c>
      <c r="C4086" s="11" t="s">
        <v>2644</v>
      </c>
    </row>
    <row r="4087" spans="1:4" ht="12.75" customHeight="1" x14ac:dyDescent="0.2">
      <c r="B4087" s="11" t="s">
        <v>2603</v>
      </c>
      <c r="C4087" s="11" t="s">
        <v>2604</v>
      </c>
    </row>
    <row r="4088" spans="1:4" ht="12.75" customHeight="1" x14ac:dyDescent="0.2">
      <c r="B4088" s="11" t="s">
        <v>2605</v>
      </c>
      <c r="C4088" s="11" t="s">
        <v>24</v>
      </c>
    </row>
    <row r="4089" spans="1:4" ht="25.5" customHeight="1" x14ac:dyDescent="0.2">
      <c r="B4089" s="11" t="s">
        <v>2606</v>
      </c>
      <c r="C4089" s="16" t="s">
        <v>44</v>
      </c>
      <c r="D4089" s="6" t="str">
        <f>HYPERLINK("javascript:void(0)","sárkány szem")</f>
        <v>sárkány szem</v>
      </c>
    </row>
    <row r="4090" spans="1:4" ht="12.75" customHeight="1" x14ac:dyDescent="0.2">
      <c r="B4090" s="2"/>
      <c r="C4090" s="15"/>
      <c r="D4090" s="2"/>
    </row>
    <row r="4091" spans="1:4" ht="12.75" customHeight="1" x14ac:dyDescent="0.2">
      <c r="B4091" s="2"/>
      <c r="C4091" s="15"/>
      <c r="D4091" s="2"/>
    </row>
    <row r="4092" spans="1:4" ht="12.75" customHeight="1" x14ac:dyDescent="0.2">
      <c r="A4092" s="13" t="s">
        <v>3222</v>
      </c>
      <c r="C4092" s="12"/>
    </row>
    <row r="4093" spans="1:4" ht="12.75" customHeight="1" x14ac:dyDescent="0.2">
      <c r="A4093" s="11"/>
      <c r="B4093" s="2"/>
      <c r="C4093" s="15"/>
      <c r="D4093" s="2"/>
    </row>
    <row r="4094" spans="1:4" ht="12.75" customHeight="1" x14ac:dyDescent="0.2">
      <c r="B4094" s="11" t="s">
        <v>0</v>
      </c>
      <c r="C4094" s="11" t="s">
        <v>298</v>
      </c>
    </row>
    <row r="4095" spans="1:4" ht="12.75" customHeight="1" x14ac:dyDescent="0.2">
      <c r="B4095" s="11" t="s">
        <v>2599</v>
      </c>
      <c r="C4095" s="11" t="s">
        <v>2906</v>
      </c>
    </row>
    <row r="4096" spans="1:4" ht="25.5" customHeight="1" x14ac:dyDescent="0.2">
      <c r="B4096" s="11" t="s">
        <v>2600</v>
      </c>
      <c r="C4096" s="11" t="s">
        <v>3223</v>
      </c>
    </row>
    <row r="4097" spans="1:4" ht="25.5" customHeight="1" x14ac:dyDescent="0.2">
      <c r="B4097" s="11" t="s">
        <v>2601</v>
      </c>
      <c r="C4097" s="11"/>
    </row>
    <row r="4098" spans="1:4" ht="12.75" customHeight="1" x14ac:dyDescent="0.2">
      <c r="B4098" s="11" t="s">
        <v>16</v>
      </c>
      <c r="C4098" s="11"/>
    </row>
    <row r="4099" spans="1:4" ht="12.75" customHeight="1" x14ac:dyDescent="0.2">
      <c r="B4099" s="11" t="s">
        <v>13</v>
      </c>
      <c r="C4099" s="11" t="s">
        <v>2644</v>
      </c>
    </row>
    <row r="4100" spans="1:4" ht="12.75" customHeight="1" x14ac:dyDescent="0.2">
      <c r="B4100" s="11" t="s">
        <v>2603</v>
      </c>
      <c r="C4100" s="11" t="s">
        <v>2604</v>
      </c>
    </row>
    <row r="4101" spans="1:4" ht="12.75" customHeight="1" x14ac:dyDescent="0.2">
      <c r="B4101" s="11" t="s">
        <v>2605</v>
      </c>
      <c r="C4101" s="11" t="s">
        <v>24</v>
      </c>
    </row>
    <row r="4102" spans="1:4" ht="25.5" customHeight="1" x14ac:dyDescent="0.2">
      <c r="B4102" s="11" t="s">
        <v>2606</v>
      </c>
      <c r="C4102" s="16" t="s">
        <v>44</v>
      </c>
      <c r="D4102" s="6" t="str">
        <f>HYPERLINK("javascript:void(0)","sárkány izom")</f>
        <v>sárkány izom</v>
      </c>
    </row>
    <row r="4103" spans="1:4" ht="12.75" customHeight="1" x14ac:dyDescent="0.2">
      <c r="B4103" s="2"/>
      <c r="C4103" s="15"/>
      <c r="D4103" s="2"/>
    </row>
    <row r="4104" spans="1:4" ht="12.75" customHeight="1" x14ac:dyDescent="0.2">
      <c r="B4104" s="2"/>
      <c r="C4104" s="15"/>
      <c r="D4104" s="2"/>
    </row>
    <row r="4105" spans="1:4" ht="12.75" customHeight="1" x14ac:dyDescent="0.2">
      <c r="A4105" s="13" t="s">
        <v>3224</v>
      </c>
      <c r="C4105" s="12"/>
      <c r="D4105" s="2"/>
    </row>
    <row r="4106" spans="1:4" ht="12.75" customHeight="1" x14ac:dyDescent="0.2">
      <c r="A4106" s="11"/>
      <c r="B4106" s="2"/>
      <c r="C4106" s="15"/>
      <c r="D4106" s="2"/>
    </row>
    <row r="4107" spans="1:4" ht="12.75" customHeight="1" x14ac:dyDescent="0.2">
      <c r="B4107" s="11" t="s">
        <v>0</v>
      </c>
      <c r="C4107" s="17" t="s">
        <v>187</v>
      </c>
      <c r="D4107" s="2"/>
    </row>
    <row r="4108" spans="1:4" ht="12.75" customHeight="1" x14ac:dyDescent="0.2">
      <c r="B4108" s="11" t="s">
        <v>2599</v>
      </c>
      <c r="C4108" s="17" t="s">
        <v>3225</v>
      </c>
      <c r="D4108" s="2"/>
    </row>
    <row r="4109" spans="1:4" ht="25.5" customHeight="1" x14ac:dyDescent="0.2">
      <c r="B4109" s="11" t="s">
        <v>2600</v>
      </c>
      <c r="C4109" s="17" t="s">
        <v>3226</v>
      </c>
      <c r="D4109" s="2"/>
    </row>
    <row r="4110" spans="1:4" ht="25.5" customHeight="1" x14ac:dyDescent="0.2">
      <c r="B4110" s="11" t="s">
        <v>2601</v>
      </c>
      <c r="C4110" s="17"/>
      <c r="D4110" s="2"/>
    </row>
    <row r="4111" spans="1:4" ht="12.75" customHeight="1" x14ac:dyDescent="0.2">
      <c r="B4111" s="11" t="s">
        <v>16</v>
      </c>
      <c r="C4111" s="17"/>
      <c r="D4111" s="2"/>
    </row>
    <row r="4112" spans="1:4" ht="12.75" customHeight="1" x14ac:dyDescent="0.2">
      <c r="B4112" s="11" t="s">
        <v>13</v>
      </c>
      <c r="C4112" s="17" t="s">
        <v>2644</v>
      </c>
      <c r="D4112" s="2"/>
    </row>
    <row r="4113" spans="1:4" ht="12.75" customHeight="1" x14ac:dyDescent="0.2">
      <c r="B4113" s="11" t="s">
        <v>2603</v>
      </c>
      <c r="C4113" s="17" t="s">
        <v>128</v>
      </c>
      <c r="D4113" s="2"/>
    </row>
    <row r="4114" spans="1:4" ht="12.75" customHeight="1" x14ac:dyDescent="0.2">
      <c r="B4114" s="11" t="s">
        <v>2605</v>
      </c>
      <c r="C4114" s="17" t="s">
        <v>14</v>
      </c>
      <c r="D4114" s="2"/>
    </row>
    <row r="4115" spans="1:4" ht="12.75" customHeight="1" x14ac:dyDescent="0.2">
      <c r="B4115" s="11" t="s">
        <v>2606</v>
      </c>
      <c r="C4115" s="16" t="s">
        <v>19</v>
      </c>
      <c r="D4115" s="2"/>
    </row>
    <row r="4116" spans="1:4" ht="12.75" customHeight="1" x14ac:dyDescent="0.2">
      <c r="B4116" s="2"/>
      <c r="C4116" s="15"/>
      <c r="D4116" s="2"/>
    </row>
    <row r="4117" spans="1:4" ht="12.75" customHeight="1" x14ac:dyDescent="0.2">
      <c r="B4117" s="2"/>
      <c r="C4117" s="15"/>
      <c r="D4117" s="2"/>
    </row>
    <row r="4118" spans="1:4" ht="12.75" customHeight="1" x14ac:dyDescent="0.2">
      <c r="A4118" s="13" t="s">
        <v>3227</v>
      </c>
      <c r="C4118" s="12"/>
    </row>
    <row r="4119" spans="1:4" ht="12.75" customHeight="1" x14ac:dyDescent="0.2">
      <c r="A4119" s="11"/>
      <c r="B4119" s="2"/>
      <c r="C4119" s="15"/>
      <c r="D4119" s="2"/>
    </row>
    <row r="4120" spans="1:4" ht="12.75" customHeight="1" x14ac:dyDescent="0.2">
      <c r="B4120" s="11" t="s">
        <v>0</v>
      </c>
      <c r="C4120" s="11" t="s">
        <v>187</v>
      </c>
    </row>
    <row r="4121" spans="1:4" ht="12.75" customHeight="1" x14ac:dyDescent="0.2">
      <c r="B4121" s="11" t="s">
        <v>2599</v>
      </c>
      <c r="C4121" s="11" t="s">
        <v>3228</v>
      </c>
    </row>
    <row r="4122" spans="1:4" ht="25.5" customHeight="1" x14ac:dyDescent="0.2">
      <c r="B4122" s="11" t="s">
        <v>2600</v>
      </c>
      <c r="C4122" s="11" t="s">
        <v>3166</v>
      </c>
    </row>
    <row r="4123" spans="1:4" ht="25.5" customHeight="1" x14ac:dyDescent="0.2">
      <c r="B4123" s="11" t="s">
        <v>2601</v>
      </c>
      <c r="C4123" s="11"/>
    </row>
    <row r="4124" spans="1:4" ht="12.75" customHeight="1" x14ac:dyDescent="0.2">
      <c r="B4124" s="11" t="s">
        <v>16</v>
      </c>
      <c r="C4124" s="11"/>
    </row>
    <row r="4125" spans="1:4" ht="12.75" customHeight="1" x14ac:dyDescent="0.2">
      <c r="B4125" s="11" t="s">
        <v>13</v>
      </c>
      <c r="C4125" s="11" t="s">
        <v>2602</v>
      </c>
    </row>
    <row r="4126" spans="1:4" ht="12.75" customHeight="1" x14ac:dyDescent="0.2">
      <c r="B4126" s="11" t="s">
        <v>2603</v>
      </c>
      <c r="C4126" s="11" t="s">
        <v>128</v>
      </c>
    </row>
    <row r="4127" spans="1:4" ht="12.75" customHeight="1" x14ac:dyDescent="0.2">
      <c r="B4127" s="11" t="s">
        <v>2605</v>
      </c>
      <c r="C4127" s="11" t="s">
        <v>14</v>
      </c>
    </row>
    <row r="4128" spans="1:4" ht="25.5" customHeight="1" x14ac:dyDescent="0.2">
      <c r="B4128" s="11" t="s">
        <v>2606</v>
      </c>
      <c r="C4128" s="16" t="s">
        <v>44</v>
      </c>
      <c r="D4128" s="6" t="str">
        <f>HYPERLINK("javascript:void(0)","sárkány szarv")</f>
        <v>sárkány szarv</v>
      </c>
    </row>
    <row r="4129" spans="1:4" ht="12.75" customHeight="1" x14ac:dyDescent="0.2">
      <c r="B4129" s="2"/>
      <c r="C4129" s="15"/>
      <c r="D4129" s="2"/>
    </row>
    <row r="4130" spans="1:4" ht="12.75" customHeight="1" x14ac:dyDescent="0.2">
      <c r="B4130" s="2"/>
      <c r="C4130" s="15"/>
      <c r="D4130" s="2"/>
    </row>
    <row r="4131" spans="1:4" ht="12.75" customHeight="1" x14ac:dyDescent="0.2">
      <c r="A4131" s="13" t="s">
        <v>3174</v>
      </c>
      <c r="C4131" s="12"/>
      <c r="D4131" s="2"/>
    </row>
    <row r="4132" spans="1:4" ht="12.75" customHeight="1" x14ac:dyDescent="0.2">
      <c r="A4132" s="11"/>
      <c r="B4132" s="2"/>
      <c r="C4132" s="15"/>
      <c r="D4132" s="2"/>
    </row>
    <row r="4133" spans="1:4" ht="12.75" customHeight="1" x14ac:dyDescent="0.2">
      <c r="B4133" s="11" t="s">
        <v>0</v>
      </c>
      <c r="C4133" s="17" t="s">
        <v>187</v>
      </c>
      <c r="D4133" s="2"/>
    </row>
    <row r="4134" spans="1:4" ht="12.75" customHeight="1" x14ac:dyDescent="0.2">
      <c r="B4134" s="11" t="s">
        <v>2599</v>
      </c>
      <c r="C4134" s="17" t="s">
        <v>3175</v>
      </c>
      <c r="D4134" s="2"/>
    </row>
    <row r="4135" spans="1:4" ht="25.5" customHeight="1" x14ac:dyDescent="0.2">
      <c r="B4135" s="11" t="s">
        <v>2600</v>
      </c>
      <c r="C4135" s="17" t="s">
        <v>3229</v>
      </c>
      <c r="D4135" s="2"/>
    </row>
    <row r="4136" spans="1:4" ht="25.5" customHeight="1" x14ac:dyDescent="0.2">
      <c r="B4136" s="11" t="s">
        <v>2601</v>
      </c>
      <c r="C4136" s="17"/>
      <c r="D4136" s="2"/>
    </row>
    <row r="4137" spans="1:4" ht="12.75" customHeight="1" x14ac:dyDescent="0.2">
      <c r="B4137" s="11" t="s">
        <v>16</v>
      </c>
      <c r="C4137" s="17"/>
      <c r="D4137" s="2"/>
    </row>
    <row r="4138" spans="1:4" ht="12.75" customHeight="1" x14ac:dyDescent="0.2">
      <c r="B4138" s="11" t="s">
        <v>13</v>
      </c>
      <c r="C4138" s="17" t="s">
        <v>2602</v>
      </c>
      <c r="D4138" s="2"/>
    </row>
    <row r="4139" spans="1:4" ht="25.5" customHeight="1" x14ac:dyDescent="0.2">
      <c r="B4139" s="11" t="s">
        <v>2603</v>
      </c>
      <c r="C4139" s="17" t="s">
        <v>2971</v>
      </c>
      <c r="D4139" s="2"/>
    </row>
    <row r="4140" spans="1:4" ht="12.75" customHeight="1" x14ac:dyDescent="0.2">
      <c r="B4140" s="11" t="s">
        <v>2605</v>
      </c>
      <c r="C4140" s="17" t="s">
        <v>14</v>
      </c>
      <c r="D4140" s="2"/>
    </row>
    <row r="4141" spans="1:4" ht="12.75" customHeight="1" x14ac:dyDescent="0.2">
      <c r="B4141" s="11" t="s">
        <v>2606</v>
      </c>
      <c r="C4141" s="16" t="s">
        <v>19</v>
      </c>
      <c r="D4141" s="2"/>
    </row>
    <row r="4142" spans="1:4" ht="12.75" customHeight="1" x14ac:dyDescent="0.2">
      <c r="B4142" s="2"/>
      <c r="C4142" s="15"/>
      <c r="D4142" s="2"/>
    </row>
    <row r="4143" spans="1:4" ht="12.75" customHeight="1" x14ac:dyDescent="0.2">
      <c r="B4143" s="2"/>
      <c r="C4143" s="15"/>
      <c r="D4143" s="2"/>
    </row>
    <row r="4144" spans="1:4" ht="12.75" customHeight="1" x14ac:dyDescent="0.2">
      <c r="A4144" s="13" t="s">
        <v>3113</v>
      </c>
      <c r="C4144" s="12"/>
      <c r="D4144" s="2"/>
    </row>
    <row r="4145" spans="1:4" ht="12.75" customHeight="1" x14ac:dyDescent="0.2">
      <c r="A4145" s="11"/>
      <c r="B4145" s="2"/>
      <c r="C4145" s="15"/>
      <c r="D4145" s="2"/>
    </row>
    <row r="4146" spans="1:4" ht="12.75" customHeight="1" x14ac:dyDescent="0.2">
      <c r="B4146" s="11" t="s">
        <v>0</v>
      </c>
      <c r="C4146" s="17" t="s">
        <v>187</v>
      </c>
      <c r="D4146" s="2"/>
    </row>
    <row r="4147" spans="1:4" ht="12.75" customHeight="1" x14ac:dyDescent="0.2">
      <c r="B4147" s="11" t="s">
        <v>2599</v>
      </c>
      <c r="C4147" s="17" t="s">
        <v>2558</v>
      </c>
      <c r="D4147" s="2"/>
    </row>
    <row r="4148" spans="1:4" ht="25.5" customHeight="1" x14ac:dyDescent="0.2">
      <c r="B4148" s="11" t="s">
        <v>2600</v>
      </c>
      <c r="C4148" s="17" t="s">
        <v>3230</v>
      </c>
      <c r="D4148" s="2"/>
    </row>
    <row r="4149" spans="1:4" ht="25.5" customHeight="1" x14ac:dyDescent="0.2">
      <c r="B4149" s="11" t="s">
        <v>2601</v>
      </c>
      <c r="C4149" s="17"/>
      <c r="D4149" s="2"/>
    </row>
    <row r="4150" spans="1:4" ht="12.75" customHeight="1" x14ac:dyDescent="0.2">
      <c r="B4150" s="11" t="s">
        <v>16</v>
      </c>
      <c r="C4150" s="17"/>
      <c r="D4150" s="2"/>
    </row>
    <row r="4151" spans="1:4" ht="12.75" customHeight="1" x14ac:dyDescent="0.2">
      <c r="B4151" s="11" t="s">
        <v>13</v>
      </c>
      <c r="C4151" s="17" t="s">
        <v>2602</v>
      </c>
      <c r="D4151" s="2"/>
    </row>
    <row r="4152" spans="1:4" ht="25.5" customHeight="1" x14ac:dyDescent="0.2">
      <c r="B4152" s="11" t="s">
        <v>2603</v>
      </c>
      <c r="C4152" s="17" t="s">
        <v>2971</v>
      </c>
      <c r="D4152" s="2"/>
    </row>
    <row r="4153" spans="1:4" ht="12.75" customHeight="1" x14ac:dyDescent="0.2">
      <c r="B4153" s="11" t="s">
        <v>2605</v>
      </c>
      <c r="C4153" s="17" t="s">
        <v>14</v>
      </c>
      <c r="D4153" s="2"/>
    </row>
    <row r="4154" spans="1:4" ht="12.75" customHeight="1" x14ac:dyDescent="0.2">
      <c r="B4154" s="11" t="s">
        <v>2606</v>
      </c>
      <c r="C4154" s="16" t="s">
        <v>19</v>
      </c>
      <c r="D4154" s="2"/>
    </row>
    <row r="4155" spans="1:4" ht="12.75" customHeight="1" x14ac:dyDescent="0.2">
      <c r="B4155" s="2"/>
      <c r="C4155" s="15"/>
      <c r="D4155" s="2"/>
    </row>
    <row r="4156" spans="1:4" ht="12.75" customHeight="1" x14ac:dyDescent="0.2">
      <c r="B4156" s="2"/>
      <c r="C4156" s="15"/>
      <c r="D4156" s="2"/>
    </row>
    <row r="4157" spans="1:4" ht="12.75" customHeight="1" x14ac:dyDescent="0.2">
      <c r="A4157" s="13" t="s">
        <v>3115</v>
      </c>
      <c r="C4157" s="12"/>
      <c r="D4157" s="2"/>
    </row>
    <row r="4158" spans="1:4" ht="12.75" customHeight="1" x14ac:dyDescent="0.2">
      <c r="A4158" s="11"/>
      <c r="B4158" s="2"/>
      <c r="C4158" s="15"/>
      <c r="D4158" s="2"/>
    </row>
    <row r="4159" spans="1:4" ht="12.75" customHeight="1" x14ac:dyDescent="0.2">
      <c r="B4159" s="11" t="s">
        <v>0</v>
      </c>
      <c r="C4159" s="17" t="s">
        <v>187</v>
      </c>
      <c r="D4159" s="2"/>
    </row>
    <row r="4160" spans="1:4" ht="12.75" customHeight="1" x14ac:dyDescent="0.2">
      <c r="B4160" s="11" t="s">
        <v>2599</v>
      </c>
      <c r="C4160" s="17" t="s">
        <v>2508</v>
      </c>
      <c r="D4160" s="2"/>
    </row>
    <row r="4161" spans="1:4" ht="25.5" customHeight="1" x14ac:dyDescent="0.2">
      <c r="B4161" s="11" t="s">
        <v>2600</v>
      </c>
      <c r="C4161" s="17" t="s">
        <v>3231</v>
      </c>
      <c r="D4161" s="2"/>
    </row>
    <row r="4162" spans="1:4" ht="25.5" customHeight="1" x14ac:dyDescent="0.2">
      <c r="B4162" s="11" t="s">
        <v>2601</v>
      </c>
      <c r="C4162" s="17"/>
      <c r="D4162" s="2"/>
    </row>
    <row r="4163" spans="1:4" ht="12.75" customHeight="1" x14ac:dyDescent="0.2">
      <c r="B4163" s="11" t="s">
        <v>16</v>
      </c>
      <c r="C4163" s="17"/>
      <c r="D4163" s="2"/>
    </row>
    <row r="4164" spans="1:4" ht="12.75" customHeight="1" x14ac:dyDescent="0.2">
      <c r="B4164" s="11" t="s">
        <v>13</v>
      </c>
      <c r="C4164" s="17" t="s">
        <v>2644</v>
      </c>
      <c r="D4164" s="2"/>
    </row>
    <row r="4165" spans="1:4" ht="25.5" customHeight="1" x14ac:dyDescent="0.2">
      <c r="B4165" s="11" t="s">
        <v>2603</v>
      </c>
      <c r="C4165" s="17" t="s">
        <v>2971</v>
      </c>
      <c r="D4165" s="2"/>
    </row>
    <row r="4166" spans="1:4" ht="12.75" customHeight="1" x14ac:dyDescent="0.2">
      <c r="B4166" s="11" t="s">
        <v>2605</v>
      </c>
      <c r="C4166" s="17" t="s">
        <v>14</v>
      </c>
      <c r="D4166" s="2"/>
    </row>
    <row r="4167" spans="1:4" ht="12.75" customHeight="1" x14ac:dyDescent="0.2">
      <c r="B4167" s="11" t="s">
        <v>2606</v>
      </c>
      <c r="C4167" s="16" t="s">
        <v>19</v>
      </c>
      <c r="D4167" s="2"/>
    </row>
    <row r="4168" spans="1:4" ht="12.75" customHeight="1" x14ac:dyDescent="0.2">
      <c r="B4168" s="2"/>
      <c r="C4168" s="15"/>
      <c r="D4168" s="2"/>
    </row>
    <row r="4169" spans="1:4" ht="12.75" customHeight="1" x14ac:dyDescent="0.2">
      <c r="B4169" s="2"/>
      <c r="C4169" s="15"/>
      <c r="D4169" s="2"/>
    </row>
    <row r="4170" spans="1:4" ht="12.75" customHeight="1" x14ac:dyDescent="0.2">
      <c r="A4170" s="13" t="s">
        <v>3232</v>
      </c>
      <c r="C4170" s="12"/>
    </row>
    <row r="4171" spans="1:4" ht="12.75" customHeight="1" x14ac:dyDescent="0.2">
      <c r="A4171" s="11"/>
      <c r="B4171" s="2"/>
      <c r="C4171" s="15"/>
      <c r="D4171" s="2"/>
    </row>
    <row r="4172" spans="1:4" ht="12.75" customHeight="1" x14ac:dyDescent="0.2">
      <c r="B4172" s="11" t="s">
        <v>0</v>
      </c>
      <c r="C4172" s="11" t="s">
        <v>187</v>
      </c>
    </row>
    <row r="4173" spans="1:4" ht="12.75" customHeight="1" x14ac:dyDescent="0.2">
      <c r="B4173" s="11" t="s">
        <v>2599</v>
      </c>
      <c r="C4173" s="11" t="s">
        <v>3233</v>
      </c>
    </row>
    <row r="4174" spans="1:4" ht="25.5" customHeight="1" x14ac:dyDescent="0.2">
      <c r="B4174" s="11" t="s">
        <v>2600</v>
      </c>
      <c r="C4174" s="11" t="s">
        <v>3234</v>
      </c>
    </row>
    <row r="4175" spans="1:4" ht="25.5" customHeight="1" x14ac:dyDescent="0.2">
      <c r="B4175" s="11" t="s">
        <v>2601</v>
      </c>
      <c r="C4175" s="11"/>
    </row>
    <row r="4176" spans="1:4" ht="12.75" customHeight="1" x14ac:dyDescent="0.2">
      <c r="B4176" s="11" t="s">
        <v>16</v>
      </c>
      <c r="C4176" s="11"/>
    </row>
    <row r="4177" spans="1:4" ht="12.75" customHeight="1" x14ac:dyDescent="0.2">
      <c r="B4177" s="11" t="s">
        <v>13</v>
      </c>
      <c r="C4177" s="11" t="s">
        <v>2644</v>
      </c>
    </row>
    <row r="4178" spans="1:4" ht="12.75" customHeight="1" x14ac:dyDescent="0.2">
      <c r="B4178" s="11" t="s">
        <v>2603</v>
      </c>
      <c r="C4178" s="11" t="s">
        <v>2604</v>
      </c>
    </row>
    <row r="4179" spans="1:4" ht="12.75" customHeight="1" x14ac:dyDescent="0.2">
      <c r="B4179" s="11" t="s">
        <v>2605</v>
      </c>
      <c r="C4179" s="11" t="s">
        <v>24</v>
      </c>
    </row>
    <row r="4180" spans="1:4" ht="25.5" customHeight="1" x14ac:dyDescent="0.2">
      <c r="B4180" s="11" t="s">
        <v>2606</v>
      </c>
      <c r="C4180" s="16" t="s">
        <v>44</v>
      </c>
      <c r="D4180" s="6" t="str">
        <f>HYPERLINK("javascript:void(0)","sárkányálló suba")</f>
        <v>sárkányálló suba</v>
      </c>
    </row>
    <row r="4181" spans="1:4" ht="12.75" customHeight="1" x14ac:dyDescent="0.2">
      <c r="B4181" s="2"/>
      <c r="C4181" s="15"/>
      <c r="D4181" s="2"/>
    </row>
    <row r="4182" spans="1:4" ht="12.75" customHeight="1" x14ac:dyDescent="0.2">
      <c r="B4182" s="2"/>
      <c r="C4182" s="15"/>
      <c r="D4182" s="2"/>
    </row>
    <row r="4183" spans="1:4" ht="12.75" customHeight="1" x14ac:dyDescent="0.2">
      <c r="A4183" s="13" t="s">
        <v>3235</v>
      </c>
      <c r="C4183" s="12"/>
    </row>
    <row r="4184" spans="1:4" ht="12.75" customHeight="1" x14ac:dyDescent="0.2">
      <c r="A4184" s="11"/>
      <c r="B4184" s="2"/>
      <c r="C4184" s="15"/>
      <c r="D4184" s="2"/>
    </row>
    <row r="4185" spans="1:4" ht="12.75" customHeight="1" x14ac:dyDescent="0.2">
      <c r="B4185" s="11" t="s">
        <v>0</v>
      </c>
      <c r="C4185" s="11" t="s">
        <v>187</v>
      </c>
    </row>
    <row r="4186" spans="1:4" ht="12.75" customHeight="1" x14ac:dyDescent="0.2">
      <c r="B4186" s="11" t="s">
        <v>2599</v>
      </c>
      <c r="C4186" s="11" t="s">
        <v>411</v>
      </c>
    </row>
    <row r="4187" spans="1:4" ht="25.5" customHeight="1" x14ac:dyDescent="0.2">
      <c r="B4187" s="11" t="s">
        <v>2600</v>
      </c>
      <c r="C4187" s="11" t="s">
        <v>3236</v>
      </c>
    </row>
    <row r="4188" spans="1:4" ht="25.5" customHeight="1" x14ac:dyDescent="0.2">
      <c r="B4188" s="11" t="s">
        <v>2601</v>
      </c>
      <c r="C4188" s="11"/>
    </row>
    <row r="4189" spans="1:4" ht="12.75" customHeight="1" x14ac:dyDescent="0.2">
      <c r="B4189" s="11" t="s">
        <v>16</v>
      </c>
      <c r="C4189" s="11"/>
    </row>
    <row r="4190" spans="1:4" ht="12.75" customHeight="1" x14ac:dyDescent="0.2">
      <c r="B4190" s="11" t="s">
        <v>13</v>
      </c>
      <c r="C4190" s="11" t="s">
        <v>2644</v>
      </c>
    </row>
    <row r="4191" spans="1:4" ht="12.75" customHeight="1" x14ac:dyDescent="0.2">
      <c r="B4191" s="11" t="s">
        <v>2603</v>
      </c>
      <c r="C4191" s="11" t="s">
        <v>2604</v>
      </c>
    </row>
    <row r="4192" spans="1:4" ht="12.75" customHeight="1" x14ac:dyDescent="0.2">
      <c r="B4192" s="11" t="s">
        <v>2605</v>
      </c>
      <c r="C4192" s="11" t="s">
        <v>24</v>
      </c>
    </row>
    <row r="4193" spans="1:4" ht="25.5" customHeight="1" x14ac:dyDescent="0.2">
      <c r="B4193" s="11" t="s">
        <v>2606</v>
      </c>
      <c r="C4193" s="16" t="s">
        <v>44</v>
      </c>
      <c r="D4193" s="6" t="str">
        <f>HYPERLINK("javascript:void(0)","kihunyt glória")</f>
        <v>kihunyt glória</v>
      </c>
    </row>
    <row r="4194" spans="1:4" ht="12.75" customHeight="1" x14ac:dyDescent="0.2">
      <c r="B4194" s="2"/>
      <c r="C4194" s="15"/>
      <c r="D4194" s="2"/>
    </row>
    <row r="4195" spans="1:4" ht="12.75" customHeight="1" x14ac:dyDescent="0.2">
      <c r="B4195" s="2"/>
      <c r="C4195" s="15"/>
      <c r="D4195" s="2"/>
    </row>
    <row r="4196" spans="1:4" ht="12.75" customHeight="1" x14ac:dyDescent="0.2">
      <c r="A4196" s="13" t="s">
        <v>3237</v>
      </c>
      <c r="C4196" s="12"/>
    </row>
    <row r="4197" spans="1:4" ht="12.75" customHeight="1" x14ac:dyDescent="0.2">
      <c r="A4197" s="11"/>
      <c r="B4197" s="2"/>
      <c r="C4197" s="15"/>
      <c r="D4197" s="2"/>
    </row>
    <row r="4198" spans="1:4" ht="12.75" customHeight="1" x14ac:dyDescent="0.2">
      <c r="B4198" s="11" t="s">
        <v>0</v>
      </c>
      <c r="C4198" s="11" t="s">
        <v>187</v>
      </c>
    </row>
    <row r="4199" spans="1:4" ht="12.75" customHeight="1" x14ac:dyDescent="0.2">
      <c r="B4199" s="11" t="s">
        <v>2599</v>
      </c>
      <c r="C4199" s="11" t="s">
        <v>3238</v>
      </c>
    </row>
    <row r="4200" spans="1:4" ht="25.5" customHeight="1" x14ac:dyDescent="0.2">
      <c r="B4200" s="11" t="s">
        <v>2600</v>
      </c>
      <c r="C4200" s="11" t="s">
        <v>3239</v>
      </c>
    </row>
    <row r="4201" spans="1:4" ht="25.5" customHeight="1" x14ac:dyDescent="0.2">
      <c r="B4201" s="11" t="s">
        <v>2601</v>
      </c>
      <c r="C4201" s="11"/>
    </row>
    <row r="4202" spans="1:4" ht="12.75" customHeight="1" x14ac:dyDescent="0.2">
      <c r="B4202" s="11" t="s">
        <v>16</v>
      </c>
      <c r="C4202" s="11"/>
    </row>
    <row r="4203" spans="1:4" ht="12.75" customHeight="1" x14ac:dyDescent="0.2">
      <c r="B4203" s="11" t="s">
        <v>13</v>
      </c>
      <c r="C4203" s="11" t="s">
        <v>2644</v>
      </c>
    </row>
    <row r="4204" spans="1:4" ht="12.75" customHeight="1" x14ac:dyDescent="0.2">
      <c r="B4204" s="11" t="s">
        <v>2603</v>
      </c>
      <c r="C4204" s="11" t="s">
        <v>2642</v>
      </c>
    </row>
    <row r="4205" spans="1:4" ht="12.75" customHeight="1" x14ac:dyDescent="0.2">
      <c r="B4205" s="11" t="s">
        <v>2605</v>
      </c>
      <c r="C4205" s="11" t="s">
        <v>24</v>
      </c>
    </row>
    <row r="4206" spans="1:4" ht="12.75" customHeight="1" x14ac:dyDescent="0.2">
      <c r="B4206" s="11" t="s">
        <v>2606</v>
      </c>
      <c r="C4206" s="16" t="s">
        <v>44</v>
      </c>
      <c r="D4206" s="6" t="str">
        <f>HYPERLINK("javascript:void(0)","szépia")</f>
        <v>szépia</v>
      </c>
    </row>
    <row r="4207" spans="1:4" ht="12.75" customHeight="1" x14ac:dyDescent="0.2">
      <c r="B4207" s="2"/>
      <c r="C4207" s="15"/>
      <c r="D4207" s="2"/>
    </row>
    <row r="4208" spans="1:4" ht="12.75" customHeight="1" x14ac:dyDescent="0.2">
      <c r="B4208" s="2"/>
      <c r="C4208" s="15"/>
      <c r="D4208" s="2"/>
    </row>
    <row r="4209" spans="1:4" ht="12.75" customHeight="1" x14ac:dyDescent="0.2">
      <c r="A4209" s="13" t="s">
        <v>3240</v>
      </c>
      <c r="C4209" s="12"/>
    </row>
    <row r="4210" spans="1:4" ht="12.75" customHeight="1" x14ac:dyDescent="0.2">
      <c r="A4210" s="11"/>
      <c r="B4210" s="2"/>
      <c r="C4210" s="15"/>
      <c r="D4210" s="2"/>
    </row>
    <row r="4211" spans="1:4" ht="12.75" customHeight="1" x14ac:dyDescent="0.2">
      <c r="B4211" s="11" t="s">
        <v>0</v>
      </c>
      <c r="C4211" s="11" t="s">
        <v>187</v>
      </c>
    </row>
    <row r="4212" spans="1:4" ht="12.75" customHeight="1" x14ac:dyDescent="0.2">
      <c r="B4212" s="11" t="s">
        <v>2599</v>
      </c>
      <c r="C4212" s="11" t="s">
        <v>393</v>
      </c>
    </row>
    <row r="4213" spans="1:4" ht="25.5" customHeight="1" x14ac:dyDescent="0.2">
      <c r="B4213" s="11" t="s">
        <v>2600</v>
      </c>
      <c r="C4213" s="11" t="s">
        <v>3241</v>
      </c>
    </row>
    <row r="4214" spans="1:4" ht="25.5" customHeight="1" x14ac:dyDescent="0.2">
      <c r="B4214" s="11" t="s">
        <v>2601</v>
      </c>
      <c r="C4214" s="11"/>
    </row>
    <row r="4215" spans="1:4" ht="12.75" customHeight="1" x14ac:dyDescent="0.2">
      <c r="B4215" s="11" t="s">
        <v>16</v>
      </c>
      <c r="C4215" s="11"/>
    </row>
    <row r="4216" spans="1:4" ht="12.75" customHeight="1" x14ac:dyDescent="0.2">
      <c r="B4216" s="11" t="s">
        <v>13</v>
      </c>
      <c r="C4216" s="11" t="s">
        <v>2644</v>
      </c>
    </row>
    <row r="4217" spans="1:4" ht="12.75" customHeight="1" x14ac:dyDescent="0.2">
      <c r="B4217" s="11" t="s">
        <v>2603</v>
      </c>
      <c r="C4217" s="11" t="s">
        <v>2604</v>
      </c>
    </row>
    <row r="4218" spans="1:4" ht="12.75" customHeight="1" x14ac:dyDescent="0.2">
      <c r="B4218" s="11" t="s">
        <v>2605</v>
      </c>
      <c r="C4218" s="11" t="s">
        <v>24</v>
      </c>
    </row>
    <row r="4219" spans="1:4" ht="25.5" customHeight="1" x14ac:dyDescent="0.2">
      <c r="B4219" s="11" t="s">
        <v>2606</v>
      </c>
      <c r="C4219" s="16" t="s">
        <v>44</v>
      </c>
      <c r="D4219" s="6" t="str">
        <f>HYPERLINK("javascript:void(0)","sárkány taréj")</f>
        <v>sárkány taréj</v>
      </c>
    </row>
    <row r="4220" spans="1:4" ht="12.75" customHeight="1" x14ac:dyDescent="0.2">
      <c r="B4220" s="2"/>
      <c r="C4220" s="15"/>
      <c r="D4220" s="2"/>
    </row>
    <row r="4221" spans="1:4" ht="12.75" customHeight="1" x14ac:dyDescent="0.2">
      <c r="B4221" s="2"/>
      <c r="C4221" s="15"/>
      <c r="D4221" s="2"/>
    </row>
    <row r="4222" spans="1:4" ht="12.75" customHeight="1" x14ac:dyDescent="0.2">
      <c r="A4222" s="13" t="s">
        <v>3242</v>
      </c>
      <c r="C4222" s="12"/>
    </row>
    <row r="4223" spans="1:4" ht="12.75" customHeight="1" x14ac:dyDescent="0.2">
      <c r="A4223" s="11"/>
      <c r="B4223" s="2"/>
      <c r="C4223" s="15"/>
      <c r="D4223" s="2"/>
    </row>
    <row r="4224" spans="1:4" ht="12.75" customHeight="1" x14ac:dyDescent="0.2">
      <c r="B4224" s="11" t="s">
        <v>0</v>
      </c>
      <c r="C4224" s="11" t="s">
        <v>187</v>
      </c>
    </row>
    <row r="4225" spans="1:4" ht="12.75" customHeight="1" x14ac:dyDescent="0.2">
      <c r="B4225" s="11" t="s">
        <v>2599</v>
      </c>
      <c r="C4225" s="11" t="s">
        <v>3243</v>
      </c>
    </row>
    <row r="4226" spans="1:4" ht="25.5" customHeight="1" x14ac:dyDescent="0.2">
      <c r="B4226" s="11" t="s">
        <v>2600</v>
      </c>
      <c r="C4226" s="11" t="s">
        <v>3241</v>
      </c>
    </row>
    <row r="4227" spans="1:4" ht="25.5" customHeight="1" x14ac:dyDescent="0.2">
      <c r="B4227" s="11" t="s">
        <v>2601</v>
      </c>
      <c r="C4227" s="11"/>
    </row>
    <row r="4228" spans="1:4" ht="12.75" customHeight="1" x14ac:dyDescent="0.2">
      <c r="B4228" s="11" t="s">
        <v>16</v>
      </c>
      <c r="C4228" s="11"/>
    </row>
    <row r="4229" spans="1:4" ht="12.75" customHeight="1" x14ac:dyDescent="0.2">
      <c r="B4229" s="11" t="s">
        <v>13</v>
      </c>
      <c r="C4229" s="11" t="s">
        <v>2644</v>
      </c>
    </row>
    <row r="4230" spans="1:4" ht="12.75" customHeight="1" x14ac:dyDescent="0.2">
      <c r="B4230" s="11" t="s">
        <v>2603</v>
      </c>
      <c r="C4230" s="11" t="s">
        <v>2604</v>
      </c>
    </row>
    <row r="4231" spans="1:4" ht="12.75" customHeight="1" x14ac:dyDescent="0.2">
      <c r="B4231" s="11" t="s">
        <v>2605</v>
      </c>
      <c r="C4231" s="11" t="s">
        <v>24</v>
      </c>
    </row>
    <row r="4232" spans="1:4" ht="25.5" customHeight="1" x14ac:dyDescent="0.2">
      <c r="B4232" s="11" t="s">
        <v>2606</v>
      </c>
      <c r="C4232" s="16" t="s">
        <v>44</v>
      </c>
      <c r="D4232" s="6" t="str">
        <f>HYPERLINK("javascript:void(0)","sárkány szarv")</f>
        <v>sárkány szarv</v>
      </c>
    </row>
    <row r="4233" spans="1:4" ht="12.75" customHeight="1" x14ac:dyDescent="0.2">
      <c r="B4233" s="2"/>
      <c r="C4233" s="15"/>
      <c r="D4233" s="2"/>
    </row>
    <row r="4234" spans="1:4" ht="12.75" customHeight="1" x14ac:dyDescent="0.2">
      <c r="B4234" s="2"/>
      <c r="C4234" s="15"/>
      <c r="D4234" s="2"/>
    </row>
    <row r="4235" spans="1:4" ht="12.75" customHeight="1" x14ac:dyDescent="0.2">
      <c r="A4235" s="13" t="s">
        <v>3244</v>
      </c>
      <c r="C4235" s="12"/>
    </row>
    <row r="4236" spans="1:4" ht="12.75" customHeight="1" x14ac:dyDescent="0.2">
      <c r="A4236" s="11"/>
      <c r="B4236" s="2"/>
      <c r="C4236" s="15"/>
      <c r="D4236" s="2"/>
    </row>
    <row r="4237" spans="1:4" ht="12.75" customHeight="1" x14ac:dyDescent="0.2">
      <c r="B4237" s="11" t="s">
        <v>0</v>
      </c>
      <c r="C4237" s="11" t="s">
        <v>187</v>
      </c>
    </row>
    <row r="4238" spans="1:4" ht="12.75" customHeight="1" x14ac:dyDescent="0.2">
      <c r="B4238" s="11" t="s">
        <v>2599</v>
      </c>
      <c r="C4238" s="11" t="s">
        <v>3245</v>
      </c>
    </row>
    <row r="4239" spans="1:4" ht="25.5" customHeight="1" x14ac:dyDescent="0.2">
      <c r="B4239" s="11" t="s">
        <v>2600</v>
      </c>
      <c r="C4239" s="11" t="s">
        <v>3246</v>
      </c>
    </row>
    <row r="4240" spans="1:4" ht="25.5" customHeight="1" x14ac:dyDescent="0.2">
      <c r="B4240" s="11" t="s">
        <v>2601</v>
      </c>
      <c r="C4240" s="11"/>
    </row>
    <row r="4241" spans="1:4" ht="12.75" customHeight="1" x14ac:dyDescent="0.2">
      <c r="B4241" s="11" t="s">
        <v>16</v>
      </c>
      <c r="C4241" s="11"/>
    </row>
    <row r="4242" spans="1:4" ht="12.75" customHeight="1" x14ac:dyDescent="0.2">
      <c r="B4242" s="11" t="s">
        <v>13</v>
      </c>
      <c r="C4242" s="11" t="s">
        <v>2644</v>
      </c>
    </row>
    <row r="4243" spans="1:4" ht="12.75" customHeight="1" x14ac:dyDescent="0.2">
      <c r="B4243" s="11" t="s">
        <v>2603</v>
      </c>
      <c r="C4243" s="11" t="s">
        <v>2604</v>
      </c>
    </row>
    <row r="4244" spans="1:4" ht="12.75" customHeight="1" x14ac:dyDescent="0.2">
      <c r="B4244" s="11" t="s">
        <v>2605</v>
      </c>
      <c r="C4244" s="11" t="s">
        <v>24</v>
      </c>
    </row>
    <row r="4245" spans="1:4" ht="25.5" customHeight="1" x14ac:dyDescent="0.2">
      <c r="B4245" s="11" t="s">
        <v>2606</v>
      </c>
      <c r="C4245" s="16" t="s">
        <v>44</v>
      </c>
      <c r="D4245" s="6" t="str">
        <f>HYPERLINK("javascript:void(0)","sárkány szarv")</f>
        <v>sárkány szarv</v>
      </c>
    </row>
    <row r="4246" spans="1:4" ht="12.75" customHeight="1" x14ac:dyDescent="0.2">
      <c r="B4246" s="2"/>
      <c r="C4246" s="15"/>
      <c r="D4246" s="2"/>
    </row>
    <row r="4247" spans="1:4" ht="12.75" customHeight="1" x14ac:dyDescent="0.2">
      <c r="B4247" s="2"/>
      <c r="C4247" s="15"/>
      <c r="D4247" s="2"/>
    </row>
    <row r="4248" spans="1:4" ht="12.75" customHeight="1" x14ac:dyDescent="0.2">
      <c r="A4248" s="13" t="s">
        <v>3247</v>
      </c>
      <c r="C4248" s="12"/>
    </row>
    <row r="4249" spans="1:4" ht="12.75" customHeight="1" x14ac:dyDescent="0.2">
      <c r="A4249" s="11"/>
      <c r="B4249" s="2"/>
      <c r="C4249" s="15"/>
      <c r="D4249" s="2"/>
    </row>
    <row r="4250" spans="1:4" ht="12.75" customHeight="1" x14ac:dyDescent="0.2">
      <c r="B4250" s="11" t="s">
        <v>0</v>
      </c>
      <c r="C4250" s="11" t="s">
        <v>187</v>
      </c>
    </row>
    <row r="4251" spans="1:4" ht="12.75" customHeight="1" x14ac:dyDescent="0.2">
      <c r="B4251" s="11" t="s">
        <v>2599</v>
      </c>
      <c r="C4251" s="11" t="s">
        <v>3248</v>
      </c>
    </row>
    <row r="4252" spans="1:4" ht="25.5" customHeight="1" x14ac:dyDescent="0.2">
      <c r="B4252" s="11" t="s">
        <v>2600</v>
      </c>
      <c r="C4252" s="11" t="s">
        <v>3249</v>
      </c>
    </row>
    <row r="4253" spans="1:4" ht="25.5" customHeight="1" x14ac:dyDescent="0.2">
      <c r="B4253" s="11" t="s">
        <v>2601</v>
      </c>
      <c r="C4253" s="11"/>
    </row>
    <row r="4254" spans="1:4" ht="12.75" customHeight="1" x14ac:dyDescent="0.2">
      <c r="B4254" s="11" t="s">
        <v>16</v>
      </c>
      <c r="C4254" s="11"/>
    </row>
    <row r="4255" spans="1:4" ht="12.75" customHeight="1" x14ac:dyDescent="0.2">
      <c r="B4255" s="11" t="s">
        <v>13</v>
      </c>
      <c r="C4255" s="11" t="s">
        <v>2644</v>
      </c>
    </row>
    <row r="4256" spans="1:4" ht="12.75" customHeight="1" x14ac:dyDescent="0.2">
      <c r="B4256" s="11" t="s">
        <v>2603</v>
      </c>
      <c r="C4256" s="11" t="s">
        <v>2604</v>
      </c>
    </row>
    <row r="4257" spans="1:4" ht="12.75" customHeight="1" x14ac:dyDescent="0.2">
      <c r="B4257" s="11" t="s">
        <v>2605</v>
      </c>
      <c r="C4257" s="11" t="s">
        <v>24</v>
      </c>
    </row>
    <row r="4258" spans="1:4" ht="25.5" customHeight="1" x14ac:dyDescent="0.2">
      <c r="B4258" s="11" t="s">
        <v>2606</v>
      </c>
      <c r="C4258" s="16" t="s">
        <v>44</v>
      </c>
      <c r="D4258" s="6" t="str">
        <f>HYPERLINK("javascript:void(0)","sárkány szív")</f>
        <v>sárkány szív</v>
      </c>
    </row>
    <row r="4259" spans="1:4" ht="12.75" customHeight="1" x14ac:dyDescent="0.2">
      <c r="B4259" s="2"/>
      <c r="C4259" s="15"/>
      <c r="D4259" s="2"/>
    </row>
    <row r="4260" spans="1:4" ht="12.75" customHeight="1" x14ac:dyDescent="0.2">
      <c r="B4260" s="2"/>
      <c r="C4260" s="15"/>
      <c r="D4260" s="2"/>
    </row>
    <row r="4261" spans="1:4" ht="12.75" customHeight="1" x14ac:dyDescent="0.2">
      <c r="A4261" s="13" t="s">
        <v>3250</v>
      </c>
      <c r="C4261" s="12"/>
    </row>
    <row r="4262" spans="1:4" ht="12.75" customHeight="1" x14ac:dyDescent="0.2">
      <c r="A4262" s="11"/>
      <c r="B4262" s="2"/>
      <c r="C4262" s="15"/>
      <c r="D4262" s="2"/>
    </row>
    <row r="4263" spans="1:4" ht="12.75" customHeight="1" x14ac:dyDescent="0.2">
      <c r="B4263" s="11" t="s">
        <v>0</v>
      </c>
      <c r="C4263" s="11" t="s">
        <v>187</v>
      </c>
    </row>
    <row r="4264" spans="1:4" ht="12.75" customHeight="1" x14ac:dyDescent="0.2">
      <c r="B4264" s="11" t="s">
        <v>2599</v>
      </c>
      <c r="C4264" s="11" t="s">
        <v>3251</v>
      </c>
    </row>
    <row r="4265" spans="1:4" ht="25.5" customHeight="1" x14ac:dyDescent="0.2">
      <c r="B4265" s="11" t="s">
        <v>2600</v>
      </c>
      <c r="C4265" s="11" t="s">
        <v>3252</v>
      </c>
    </row>
    <row r="4266" spans="1:4" ht="25.5" customHeight="1" x14ac:dyDescent="0.2">
      <c r="B4266" s="11" t="s">
        <v>2601</v>
      </c>
      <c r="C4266" s="11"/>
    </row>
    <row r="4267" spans="1:4" ht="12.75" customHeight="1" x14ac:dyDescent="0.2">
      <c r="B4267" s="11" t="s">
        <v>16</v>
      </c>
      <c r="C4267" s="11"/>
    </row>
    <row r="4268" spans="1:4" ht="12.75" customHeight="1" x14ac:dyDescent="0.2">
      <c r="B4268" s="11" t="s">
        <v>13</v>
      </c>
      <c r="C4268" s="11" t="s">
        <v>2644</v>
      </c>
    </row>
    <row r="4269" spans="1:4" ht="12.75" customHeight="1" x14ac:dyDescent="0.2">
      <c r="B4269" s="11" t="s">
        <v>2603</v>
      </c>
      <c r="C4269" s="11" t="s">
        <v>2604</v>
      </c>
    </row>
    <row r="4270" spans="1:4" ht="12.75" customHeight="1" x14ac:dyDescent="0.2">
      <c r="B4270" s="11" t="s">
        <v>2605</v>
      </c>
      <c r="C4270" s="11" t="s">
        <v>24</v>
      </c>
    </row>
    <row r="4271" spans="1:4" ht="25.5" customHeight="1" x14ac:dyDescent="0.2">
      <c r="B4271" s="11" t="s">
        <v>2606</v>
      </c>
      <c r="C4271" s="16" t="s">
        <v>44</v>
      </c>
      <c r="D4271" s="6" t="str">
        <f>HYPERLINK("javascript:void(0)","lélegző sarokkő")</f>
        <v>lélegző sarokkő</v>
      </c>
    </row>
    <row r="4272" spans="1:4" ht="12.75" customHeight="1" x14ac:dyDescent="0.2">
      <c r="B4272" s="2"/>
      <c r="C4272" s="15"/>
      <c r="D4272" s="2"/>
    </row>
    <row r="4273" spans="1:4" ht="12.75" customHeight="1" x14ac:dyDescent="0.2">
      <c r="B4273" s="2"/>
      <c r="C4273" s="15"/>
      <c r="D4273" s="2"/>
    </row>
    <row r="4274" spans="1:4" ht="12.75" customHeight="1" x14ac:dyDescent="0.2">
      <c r="A4274" s="13" t="s">
        <v>3253</v>
      </c>
      <c r="C4274" s="12"/>
      <c r="D4274" s="2"/>
    </row>
    <row r="4275" spans="1:4" ht="12.75" customHeight="1" x14ac:dyDescent="0.2">
      <c r="A4275" s="11"/>
      <c r="B4275" s="2"/>
      <c r="C4275" s="15"/>
      <c r="D4275" s="2"/>
    </row>
    <row r="4276" spans="1:4" ht="12.75" customHeight="1" x14ac:dyDescent="0.2">
      <c r="B4276" s="11" t="s">
        <v>0</v>
      </c>
      <c r="C4276" s="17" t="s">
        <v>107</v>
      </c>
      <c r="D4276" s="2"/>
    </row>
    <row r="4277" spans="1:4" ht="12.75" customHeight="1" x14ac:dyDescent="0.2">
      <c r="B4277" s="11" t="s">
        <v>2599</v>
      </c>
      <c r="C4277" s="17" t="s">
        <v>1127</v>
      </c>
      <c r="D4277" s="2"/>
    </row>
    <row r="4278" spans="1:4" ht="25.5" customHeight="1" x14ac:dyDescent="0.2">
      <c r="B4278" s="11" t="s">
        <v>2600</v>
      </c>
      <c r="C4278" s="17" t="s">
        <v>2967</v>
      </c>
      <c r="D4278" s="2"/>
    </row>
    <row r="4279" spans="1:4" ht="25.5" customHeight="1" x14ac:dyDescent="0.2">
      <c r="B4279" s="11" t="s">
        <v>2601</v>
      </c>
      <c r="C4279" s="17"/>
      <c r="D4279" s="2"/>
    </row>
    <row r="4280" spans="1:4" ht="12.75" customHeight="1" x14ac:dyDescent="0.2">
      <c r="B4280" s="11" t="s">
        <v>16</v>
      </c>
      <c r="C4280" s="17"/>
      <c r="D4280" s="2"/>
    </row>
    <row r="4281" spans="1:4" ht="12.75" customHeight="1" x14ac:dyDescent="0.2">
      <c r="B4281" s="11" t="s">
        <v>13</v>
      </c>
      <c r="C4281" s="17" t="s">
        <v>2602</v>
      </c>
      <c r="D4281" s="2"/>
    </row>
    <row r="4282" spans="1:4" ht="12.75" customHeight="1" x14ac:dyDescent="0.2">
      <c r="B4282" s="11" t="s">
        <v>2603</v>
      </c>
      <c r="C4282" s="17" t="s">
        <v>128</v>
      </c>
      <c r="D4282" s="2"/>
    </row>
    <row r="4283" spans="1:4" ht="12.75" customHeight="1" x14ac:dyDescent="0.2">
      <c r="B4283" s="11" t="s">
        <v>2605</v>
      </c>
      <c r="C4283" s="17" t="s">
        <v>14</v>
      </c>
      <c r="D4283" s="2"/>
    </row>
    <row r="4284" spans="1:4" ht="12.75" customHeight="1" x14ac:dyDescent="0.2">
      <c r="B4284" s="11" t="s">
        <v>2606</v>
      </c>
      <c r="C4284" s="16" t="s">
        <v>19</v>
      </c>
      <c r="D4284" s="2"/>
    </row>
    <row r="4285" spans="1:4" ht="12.75" customHeight="1" x14ac:dyDescent="0.2">
      <c r="B4285" s="2"/>
      <c r="C4285" s="15"/>
      <c r="D4285" s="2"/>
    </row>
    <row r="4286" spans="1:4" ht="12.75" customHeight="1" x14ac:dyDescent="0.2">
      <c r="B4286" s="2"/>
      <c r="C4286" s="15"/>
      <c r="D4286" s="2"/>
    </row>
    <row r="4287" spans="1:4" ht="12.75" customHeight="1" x14ac:dyDescent="0.2">
      <c r="A4287" s="13" t="s">
        <v>3254</v>
      </c>
      <c r="C4287" s="12"/>
      <c r="D4287" s="2"/>
    </row>
    <row r="4288" spans="1:4" ht="12.75" customHeight="1" x14ac:dyDescent="0.2">
      <c r="A4288" s="11"/>
      <c r="B4288" s="2"/>
      <c r="C4288" s="15"/>
      <c r="D4288" s="2"/>
    </row>
    <row r="4289" spans="1:4" ht="12.75" customHeight="1" x14ac:dyDescent="0.2">
      <c r="B4289" s="11" t="s">
        <v>0</v>
      </c>
      <c r="C4289" s="17" t="s">
        <v>107</v>
      </c>
      <c r="D4289" s="2"/>
    </row>
    <row r="4290" spans="1:4" ht="12.75" customHeight="1" x14ac:dyDescent="0.2">
      <c r="B4290" s="11" t="s">
        <v>2599</v>
      </c>
      <c r="C4290" s="17" t="s">
        <v>2454</v>
      </c>
      <c r="D4290" s="2"/>
    </row>
    <row r="4291" spans="1:4" ht="25.5" customHeight="1" x14ac:dyDescent="0.2">
      <c r="B4291" s="11" t="s">
        <v>2600</v>
      </c>
      <c r="C4291" s="17" t="s">
        <v>3255</v>
      </c>
      <c r="D4291" s="2"/>
    </row>
    <row r="4292" spans="1:4" ht="25.5" customHeight="1" x14ac:dyDescent="0.2">
      <c r="B4292" s="11" t="s">
        <v>2601</v>
      </c>
      <c r="C4292" s="17"/>
      <c r="D4292" s="2"/>
    </row>
    <row r="4293" spans="1:4" ht="12.75" customHeight="1" x14ac:dyDescent="0.2">
      <c r="B4293" s="11" t="s">
        <v>16</v>
      </c>
      <c r="C4293" s="17"/>
      <c r="D4293" s="2"/>
    </row>
    <row r="4294" spans="1:4" ht="12.75" customHeight="1" x14ac:dyDescent="0.2">
      <c r="B4294" s="11" t="s">
        <v>13</v>
      </c>
      <c r="C4294" s="17" t="s">
        <v>2644</v>
      </c>
      <c r="D4294" s="2"/>
    </row>
    <row r="4295" spans="1:4" ht="25.5" customHeight="1" x14ac:dyDescent="0.2">
      <c r="B4295" s="11" t="s">
        <v>2603</v>
      </c>
      <c r="C4295" s="17" t="s">
        <v>2971</v>
      </c>
      <c r="D4295" s="2"/>
    </row>
    <row r="4296" spans="1:4" ht="12.75" customHeight="1" x14ac:dyDescent="0.2">
      <c r="B4296" s="11" t="s">
        <v>2605</v>
      </c>
      <c r="C4296" s="17" t="s">
        <v>14</v>
      </c>
      <c r="D4296" s="2"/>
    </row>
    <row r="4297" spans="1:4" ht="12.75" customHeight="1" x14ac:dyDescent="0.2">
      <c r="B4297" s="11" t="s">
        <v>2606</v>
      </c>
      <c r="C4297" s="16" t="s">
        <v>19</v>
      </c>
      <c r="D4297" s="2"/>
    </row>
    <row r="4298" spans="1:4" ht="12.75" customHeight="1" x14ac:dyDescent="0.2">
      <c r="B4298" s="2"/>
      <c r="C4298" s="15"/>
      <c r="D4298" s="2"/>
    </row>
    <row r="4299" spans="1:4" ht="12.75" customHeight="1" x14ac:dyDescent="0.2">
      <c r="B4299" s="2"/>
      <c r="C4299" s="15"/>
      <c r="D4299" s="2"/>
    </row>
    <row r="4300" spans="1:4" ht="12.75" customHeight="1" x14ac:dyDescent="0.2">
      <c r="A4300" s="13" t="s">
        <v>3174</v>
      </c>
      <c r="C4300" s="12"/>
      <c r="D4300" s="2"/>
    </row>
    <row r="4301" spans="1:4" ht="12.75" customHeight="1" x14ac:dyDescent="0.2">
      <c r="A4301" s="11"/>
      <c r="B4301" s="2"/>
      <c r="C4301" s="15"/>
      <c r="D4301" s="2"/>
    </row>
    <row r="4302" spans="1:4" ht="12.75" customHeight="1" x14ac:dyDescent="0.2">
      <c r="B4302" s="11" t="s">
        <v>0</v>
      </c>
      <c r="C4302" s="17" t="s">
        <v>107</v>
      </c>
      <c r="D4302" s="2"/>
    </row>
    <row r="4303" spans="1:4" ht="12.75" customHeight="1" x14ac:dyDescent="0.2">
      <c r="B4303" s="11" t="s">
        <v>2599</v>
      </c>
      <c r="C4303" s="17" t="s">
        <v>3175</v>
      </c>
      <c r="D4303" s="2"/>
    </row>
    <row r="4304" spans="1:4" ht="25.5" customHeight="1" x14ac:dyDescent="0.2">
      <c r="B4304" s="11" t="s">
        <v>2600</v>
      </c>
      <c r="C4304" s="17" t="s">
        <v>3256</v>
      </c>
      <c r="D4304" s="2"/>
    </row>
    <row r="4305" spans="1:4" ht="25.5" customHeight="1" x14ac:dyDescent="0.2">
      <c r="B4305" s="11" t="s">
        <v>2601</v>
      </c>
      <c r="C4305" s="17"/>
      <c r="D4305" s="2"/>
    </row>
    <row r="4306" spans="1:4" ht="12.75" customHeight="1" x14ac:dyDescent="0.2">
      <c r="B4306" s="11" t="s">
        <v>16</v>
      </c>
      <c r="C4306" s="17"/>
      <c r="D4306" s="2"/>
    </row>
    <row r="4307" spans="1:4" ht="12.75" customHeight="1" x14ac:dyDescent="0.2">
      <c r="B4307" s="11" t="s">
        <v>13</v>
      </c>
      <c r="C4307" s="17" t="s">
        <v>2602</v>
      </c>
      <c r="D4307" s="2"/>
    </row>
    <row r="4308" spans="1:4" ht="25.5" customHeight="1" x14ac:dyDescent="0.2">
      <c r="B4308" s="11" t="s">
        <v>2603</v>
      </c>
      <c r="C4308" s="17" t="s">
        <v>2971</v>
      </c>
      <c r="D4308" s="2"/>
    </row>
    <row r="4309" spans="1:4" ht="12.75" customHeight="1" x14ac:dyDescent="0.2">
      <c r="B4309" s="11" t="s">
        <v>2605</v>
      </c>
      <c r="C4309" s="17" t="s">
        <v>14</v>
      </c>
      <c r="D4309" s="2"/>
    </row>
    <row r="4310" spans="1:4" ht="12.75" customHeight="1" x14ac:dyDescent="0.2">
      <c r="B4310" s="11" t="s">
        <v>2606</v>
      </c>
      <c r="C4310" s="16" t="s">
        <v>19</v>
      </c>
      <c r="D4310" s="2"/>
    </row>
    <row r="4311" spans="1:4" ht="12.75" customHeight="1" x14ac:dyDescent="0.2">
      <c r="B4311" s="2"/>
      <c r="C4311" s="15"/>
      <c r="D4311" s="2"/>
    </row>
    <row r="4312" spans="1:4" ht="12.75" customHeight="1" x14ac:dyDescent="0.2">
      <c r="B4312" s="2"/>
      <c r="C4312" s="15"/>
      <c r="D4312" s="2"/>
    </row>
    <row r="4313" spans="1:4" ht="12.75" customHeight="1" x14ac:dyDescent="0.2">
      <c r="A4313" s="13" t="s">
        <v>3257</v>
      </c>
      <c r="C4313" s="12"/>
      <c r="D4313" s="2"/>
    </row>
    <row r="4314" spans="1:4" ht="12.75" customHeight="1" x14ac:dyDescent="0.2">
      <c r="A4314" s="11"/>
      <c r="B4314" s="2"/>
      <c r="C4314" s="15"/>
      <c r="D4314" s="2"/>
    </row>
    <row r="4315" spans="1:4" ht="12.75" customHeight="1" x14ac:dyDescent="0.2">
      <c r="B4315" s="11" t="s">
        <v>0</v>
      </c>
      <c r="C4315" s="17" t="s">
        <v>107</v>
      </c>
      <c r="D4315" s="2"/>
    </row>
    <row r="4316" spans="1:4" ht="12.75" customHeight="1" x14ac:dyDescent="0.2">
      <c r="B4316" s="11" t="s">
        <v>2599</v>
      </c>
      <c r="C4316" s="17" t="s">
        <v>3258</v>
      </c>
      <c r="D4316" s="2"/>
    </row>
    <row r="4317" spans="1:4" ht="25.5" customHeight="1" x14ac:dyDescent="0.2">
      <c r="B4317" s="11" t="s">
        <v>2600</v>
      </c>
      <c r="C4317" s="17" t="s">
        <v>3259</v>
      </c>
      <c r="D4317" s="2"/>
    </row>
    <row r="4318" spans="1:4" ht="25.5" customHeight="1" x14ac:dyDescent="0.2">
      <c r="B4318" s="11" t="s">
        <v>2601</v>
      </c>
      <c r="C4318" s="17"/>
      <c r="D4318" s="2"/>
    </row>
    <row r="4319" spans="1:4" ht="12.75" customHeight="1" x14ac:dyDescent="0.2">
      <c r="B4319" s="11" t="s">
        <v>16</v>
      </c>
      <c r="C4319" s="17"/>
      <c r="D4319" s="2"/>
    </row>
    <row r="4320" spans="1:4" ht="12.75" customHeight="1" x14ac:dyDescent="0.2">
      <c r="B4320" s="11" t="s">
        <v>13</v>
      </c>
      <c r="C4320" s="17" t="s">
        <v>2602</v>
      </c>
      <c r="D4320" s="2"/>
    </row>
    <row r="4321" spans="1:4" ht="25.5" customHeight="1" x14ac:dyDescent="0.2">
      <c r="B4321" s="11" t="s">
        <v>2603</v>
      </c>
      <c r="C4321" s="17" t="s">
        <v>2971</v>
      </c>
      <c r="D4321" s="2"/>
    </row>
    <row r="4322" spans="1:4" ht="12.75" customHeight="1" x14ac:dyDescent="0.2">
      <c r="B4322" s="11" t="s">
        <v>2605</v>
      </c>
      <c r="C4322" s="17" t="s">
        <v>14</v>
      </c>
      <c r="D4322" s="2"/>
    </row>
    <row r="4323" spans="1:4" ht="12.75" customHeight="1" x14ac:dyDescent="0.2">
      <c r="B4323" s="11" t="s">
        <v>2606</v>
      </c>
      <c r="C4323" s="16" t="s">
        <v>19</v>
      </c>
      <c r="D4323" s="2"/>
    </row>
    <row r="4324" spans="1:4" ht="12.75" customHeight="1" x14ac:dyDescent="0.2">
      <c r="B4324" s="2"/>
      <c r="C4324" s="15"/>
      <c r="D4324" s="2"/>
    </row>
    <row r="4325" spans="1:4" ht="12.75" customHeight="1" x14ac:dyDescent="0.2">
      <c r="B4325" s="2"/>
      <c r="C4325" s="15"/>
      <c r="D4325" s="2"/>
    </row>
    <row r="4326" spans="1:4" ht="12.75" customHeight="1" x14ac:dyDescent="0.2">
      <c r="A4326" s="13" t="s">
        <v>3260</v>
      </c>
      <c r="C4326" s="12"/>
      <c r="D4326" s="2"/>
    </row>
    <row r="4327" spans="1:4" ht="12.75" customHeight="1" x14ac:dyDescent="0.2">
      <c r="A4327" s="11"/>
      <c r="B4327" s="2"/>
      <c r="C4327" s="15"/>
      <c r="D4327" s="2"/>
    </row>
    <row r="4328" spans="1:4" ht="12.75" customHeight="1" x14ac:dyDescent="0.2">
      <c r="B4328" s="11" t="s">
        <v>0</v>
      </c>
      <c r="C4328" s="17" t="s">
        <v>107</v>
      </c>
      <c r="D4328" s="2"/>
    </row>
    <row r="4329" spans="1:4" ht="12.75" customHeight="1" x14ac:dyDescent="0.2">
      <c r="B4329" s="11" t="s">
        <v>2599</v>
      </c>
      <c r="C4329" s="17" t="s">
        <v>3261</v>
      </c>
      <c r="D4329" s="2"/>
    </row>
    <row r="4330" spans="1:4" ht="25.5" customHeight="1" x14ac:dyDescent="0.2">
      <c r="B4330" s="11" t="s">
        <v>2600</v>
      </c>
      <c r="C4330" s="17" t="s">
        <v>3262</v>
      </c>
      <c r="D4330" s="2"/>
    </row>
    <row r="4331" spans="1:4" ht="25.5" customHeight="1" x14ac:dyDescent="0.2">
      <c r="B4331" s="11" t="s">
        <v>2601</v>
      </c>
      <c r="C4331" s="17"/>
      <c r="D4331" s="2"/>
    </row>
    <row r="4332" spans="1:4" ht="12.75" customHeight="1" x14ac:dyDescent="0.2">
      <c r="B4332" s="11" t="s">
        <v>16</v>
      </c>
      <c r="C4332" s="17"/>
      <c r="D4332" s="2"/>
    </row>
    <row r="4333" spans="1:4" ht="12.75" customHeight="1" x14ac:dyDescent="0.2">
      <c r="B4333" s="11" t="s">
        <v>13</v>
      </c>
      <c r="C4333" s="17" t="s">
        <v>2644</v>
      </c>
      <c r="D4333" s="2"/>
    </row>
    <row r="4334" spans="1:4" ht="25.5" customHeight="1" x14ac:dyDescent="0.2">
      <c r="B4334" s="11" t="s">
        <v>2603</v>
      </c>
      <c r="C4334" s="17" t="s">
        <v>2971</v>
      </c>
      <c r="D4334" s="2"/>
    </row>
    <row r="4335" spans="1:4" ht="12.75" customHeight="1" x14ac:dyDescent="0.2">
      <c r="B4335" s="11" t="s">
        <v>2605</v>
      </c>
      <c r="C4335" s="17" t="s">
        <v>14</v>
      </c>
      <c r="D4335" s="2"/>
    </row>
    <row r="4336" spans="1:4" ht="12.75" customHeight="1" x14ac:dyDescent="0.2">
      <c r="B4336" s="11" t="s">
        <v>2606</v>
      </c>
      <c r="C4336" s="16" t="s">
        <v>19</v>
      </c>
      <c r="D4336" s="2"/>
    </row>
    <row r="4337" spans="1:4" ht="12.75" customHeight="1" x14ac:dyDescent="0.2">
      <c r="B4337" s="2"/>
      <c r="C4337" s="15"/>
      <c r="D4337" s="2"/>
    </row>
    <row r="4338" spans="1:4" ht="12.75" customHeight="1" x14ac:dyDescent="0.2">
      <c r="B4338" s="2"/>
      <c r="C4338" s="15"/>
      <c r="D4338" s="2"/>
    </row>
    <row r="4339" spans="1:4" ht="12.75" customHeight="1" x14ac:dyDescent="0.2">
      <c r="A4339" s="13" t="s">
        <v>3263</v>
      </c>
      <c r="C4339" s="12"/>
    </row>
    <row r="4340" spans="1:4" ht="12.75" customHeight="1" x14ac:dyDescent="0.2">
      <c r="A4340" s="11"/>
      <c r="B4340" s="2"/>
      <c r="C4340" s="15"/>
      <c r="D4340" s="2"/>
    </row>
    <row r="4341" spans="1:4" ht="12.75" customHeight="1" x14ac:dyDescent="0.2">
      <c r="B4341" s="11" t="s">
        <v>0</v>
      </c>
      <c r="C4341" s="11" t="s">
        <v>107</v>
      </c>
    </row>
    <row r="4342" spans="1:4" ht="12.75" customHeight="1" x14ac:dyDescent="0.2">
      <c r="B4342" s="11" t="s">
        <v>2599</v>
      </c>
      <c r="C4342" s="11" t="s">
        <v>3264</v>
      </c>
    </row>
    <row r="4343" spans="1:4" ht="25.5" customHeight="1" x14ac:dyDescent="0.2">
      <c r="B4343" s="11" t="s">
        <v>2600</v>
      </c>
      <c r="C4343" s="11" t="s">
        <v>3265</v>
      </c>
    </row>
    <row r="4344" spans="1:4" ht="25.5" customHeight="1" x14ac:dyDescent="0.2">
      <c r="B4344" s="11" t="s">
        <v>2601</v>
      </c>
      <c r="C4344" s="11"/>
    </row>
    <row r="4345" spans="1:4" ht="12.75" customHeight="1" x14ac:dyDescent="0.2">
      <c r="B4345" s="11" t="s">
        <v>16</v>
      </c>
      <c r="C4345" s="11"/>
    </row>
    <row r="4346" spans="1:4" ht="12.75" customHeight="1" x14ac:dyDescent="0.2">
      <c r="B4346" s="11" t="s">
        <v>13</v>
      </c>
      <c r="C4346" s="11" t="s">
        <v>2644</v>
      </c>
    </row>
    <row r="4347" spans="1:4" ht="12.75" customHeight="1" x14ac:dyDescent="0.2">
      <c r="B4347" s="11" t="s">
        <v>2603</v>
      </c>
      <c r="C4347" s="11" t="s">
        <v>2604</v>
      </c>
    </row>
    <row r="4348" spans="1:4" ht="12.75" customHeight="1" x14ac:dyDescent="0.2">
      <c r="B4348" s="11" t="s">
        <v>2605</v>
      </c>
      <c r="C4348" s="11" t="s">
        <v>24</v>
      </c>
    </row>
    <row r="4349" spans="1:4" ht="12.75" customHeight="1" x14ac:dyDescent="0.2">
      <c r="B4349" s="11" t="s">
        <v>2606</v>
      </c>
      <c r="C4349" s="16" t="s">
        <v>44</v>
      </c>
      <c r="D4349" s="6" t="str">
        <f>HYPERLINK("javascript:void(0)","légzsák")</f>
        <v>légzsák</v>
      </c>
    </row>
    <row r="4350" spans="1:4" ht="12.75" customHeight="1" x14ac:dyDescent="0.2">
      <c r="B4350" s="2"/>
      <c r="C4350" s="15"/>
      <c r="D4350" s="2"/>
    </row>
    <row r="4351" spans="1:4" ht="12.75" customHeight="1" x14ac:dyDescent="0.2">
      <c r="B4351" s="2"/>
      <c r="C4351" s="15"/>
      <c r="D4351" s="2"/>
    </row>
    <row r="4352" spans="1:4" ht="12.75" customHeight="1" x14ac:dyDescent="0.2">
      <c r="A4352" s="13" t="s">
        <v>3266</v>
      </c>
      <c r="C4352" s="12"/>
    </row>
    <row r="4353" spans="1:4" ht="12.75" customHeight="1" x14ac:dyDescent="0.2">
      <c r="A4353" s="11"/>
      <c r="B4353" s="2"/>
      <c r="C4353" s="15"/>
      <c r="D4353" s="2"/>
    </row>
    <row r="4354" spans="1:4" ht="12.75" customHeight="1" x14ac:dyDescent="0.2">
      <c r="B4354" s="11" t="s">
        <v>0</v>
      </c>
      <c r="C4354" s="11" t="s">
        <v>107</v>
      </c>
    </row>
    <row r="4355" spans="1:4" ht="12.75" customHeight="1" x14ac:dyDescent="0.2">
      <c r="B4355" s="11" t="s">
        <v>2599</v>
      </c>
      <c r="C4355" s="11" t="s">
        <v>3267</v>
      </c>
    </row>
    <row r="4356" spans="1:4" ht="25.5" customHeight="1" x14ac:dyDescent="0.2">
      <c r="B4356" s="11" t="s">
        <v>2600</v>
      </c>
      <c r="C4356" s="11" t="s">
        <v>3268</v>
      </c>
    </row>
    <row r="4357" spans="1:4" ht="25.5" customHeight="1" x14ac:dyDescent="0.2">
      <c r="B4357" s="11" t="s">
        <v>2601</v>
      </c>
      <c r="C4357" s="11"/>
    </row>
    <row r="4358" spans="1:4" ht="12.75" customHeight="1" x14ac:dyDescent="0.2">
      <c r="B4358" s="11" t="s">
        <v>16</v>
      </c>
      <c r="C4358" s="11"/>
    </row>
    <row r="4359" spans="1:4" ht="12.75" customHeight="1" x14ac:dyDescent="0.2">
      <c r="B4359" s="11" t="s">
        <v>13</v>
      </c>
      <c r="C4359" s="11" t="s">
        <v>2602</v>
      </c>
    </row>
    <row r="4360" spans="1:4" ht="12.75" customHeight="1" x14ac:dyDescent="0.2">
      <c r="B4360" s="11" t="s">
        <v>2603</v>
      </c>
      <c r="C4360" s="11" t="s">
        <v>2604</v>
      </c>
    </row>
    <row r="4361" spans="1:4" ht="12.75" customHeight="1" x14ac:dyDescent="0.2">
      <c r="B4361" s="11" t="s">
        <v>2605</v>
      </c>
      <c r="C4361" s="11" t="s">
        <v>24</v>
      </c>
    </row>
    <row r="4362" spans="1:4" ht="12.75" customHeight="1" x14ac:dyDescent="0.2">
      <c r="B4362" s="11" t="s">
        <v>2606</v>
      </c>
      <c r="C4362" s="16" t="s">
        <v>130</v>
      </c>
      <c r="D4362" s="6" t="str">
        <f>HYPERLINK("javascript:void(0)","madártoll")</f>
        <v>madártoll</v>
      </c>
    </row>
    <row r="4363" spans="1:4" ht="12.75" customHeight="1" x14ac:dyDescent="0.2">
      <c r="C4363" s="16" t="s">
        <v>106</v>
      </c>
      <c r="D4363" s="6" t="str">
        <f>HYPERLINK("javascript:void(0)","ezüst")</f>
        <v>ezüst</v>
      </c>
    </row>
    <row r="4364" spans="1:4" ht="12.75" customHeight="1" x14ac:dyDescent="0.2">
      <c r="B4364" s="2"/>
      <c r="C4364" s="15"/>
      <c r="D4364" s="2"/>
    </row>
    <row r="4365" spans="1:4" ht="12.75" customHeight="1" x14ac:dyDescent="0.2">
      <c r="B4365" s="2"/>
      <c r="C4365" s="15"/>
      <c r="D4365" s="2"/>
    </row>
    <row r="4366" spans="1:4" ht="12.75" customHeight="1" x14ac:dyDescent="0.2">
      <c r="A4366" s="13" t="s">
        <v>3269</v>
      </c>
      <c r="C4366" s="12"/>
    </row>
    <row r="4367" spans="1:4" ht="12.75" customHeight="1" x14ac:dyDescent="0.2">
      <c r="A4367" s="11"/>
      <c r="B4367" s="2"/>
      <c r="C4367" s="15"/>
      <c r="D4367" s="2"/>
    </row>
    <row r="4368" spans="1:4" ht="12.75" customHeight="1" x14ac:dyDescent="0.2">
      <c r="B4368" s="11" t="s">
        <v>0</v>
      </c>
      <c r="C4368" s="11" t="s">
        <v>107</v>
      </c>
    </row>
    <row r="4369" spans="1:4" ht="12.75" customHeight="1" x14ac:dyDescent="0.2">
      <c r="B4369" s="11" t="s">
        <v>2599</v>
      </c>
      <c r="C4369" s="11" t="s">
        <v>3270</v>
      </c>
    </row>
    <row r="4370" spans="1:4" ht="25.5" customHeight="1" x14ac:dyDescent="0.2">
      <c r="B4370" s="11" t="s">
        <v>2600</v>
      </c>
      <c r="C4370" s="11" t="s">
        <v>3271</v>
      </c>
    </row>
    <row r="4371" spans="1:4" ht="25.5" customHeight="1" x14ac:dyDescent="0.2">
      <c r="B4371" s="11" t="s">
        <v>2601</v>
      </c>
      <c r="C4371" s="11"/>
    </row>
    <row r="4372" spans="1:4" ht="12.75" customHeight="1" x14ac:dyDescent="0.2">
      <c r="B4372" s="11" t="s">
        <v>16</v>
      </c>
      <c r="C4372" s="11"/>
    </row>
    <row r="4373" spans="1:4" ht="12.75" customHeight="1" x14ac:dyDescent="0.2">
      <c r="B4373" s="11" t="s">
        <v>13</v>
      </c>
      <c r="C4373" s="11" t="s">
        <v>2602</v>
      </c>
    </row>
    <row r="4374" spans="1:4" ht="12.75" customHeight="1" x14ac:dyDescent="0.2">
      <c r="B4374" s="11" t="s">
        <v>2603</v>
      </c>
      <c r="C4374" s="11" t="s">
        <v>2604</v>
      </c>
    </row>
    <row r="4375" spans="1:4" ht="12.75" customHeight="1" x14ac:dyDescent="0.2">
      <c r="B4375" s="11" t="s">
        <v>2605</v>
      </c>
      <c r="C4375" s="11" t="s">
        <v>24</v>
      </c>
    </row>
    <row r="4376" spans="1:4" ht="25.5" customHeight="1" x14ac:dyDescent="0.2">
      <c r="B4376" s="11" t="s">
        <v>2606</v>
      </c>
      <c r="C4376" s="16" t="s">
        <v>44</v>
      </c>
      <c r="D4376" s="6" t="str">
        <f>HYPERLINK("javascript:void(0)","teknőspáncél")</f>
        <v>teknőspáncél</v>
      </c>
    </row>
    <row r="4377" spans="1:4" ht="12.75" customHeight="1" x14ac:dyDescent="0.2">
      <c r="C4377" s="16" t="s">
        <v>106</v>
      </c>
      <c r="D4377" s="6" t="str">
        <f>HYPERLINK("javascript:void(0)","ezüst")</f>
        <v>ezüst</v>
      </c>
    </row>
    <row r="4378" spans="1:4" ht="12.75" customHeight="1" x14ac:dyDescent="0.2">
      <c r="B4378" s="2"/>
      <c r="C4378" s="15"/>
      <c r="D4378" s="2"/>
    </row>
    <row r="4379" spans="1:4" ht="12.75" customHeight="1" x14ac:dyDescent="0.2">
      <c r="B4379" s="2"/>
      <c r="C4379" s="15"/>
      <c r="D4379" s="2"/>
    </row>
    <row r="4380" spans="1:4" ht="12.75" customHeight="1" x14ac:dyDescent="0.2">
      <c r="A4380" s="13" t="s">
        <v>3272</v>
      </c>
      <c r="C4380" s="12"/>
    </row>
    <row r="4381" spans="1:4" ht="12.75" customHeight="1" x14ac:dyDescent="0.2">
      <c r="A4381" s="11"/>
      <c r="B4381" s="2"/>
      <c r="C4381" s="15"/>
      <c r="D4381" s="2"/>
    </row>
    <row r="4382" spans="1:4" ht="12.75" customHeight="1" x14ac:dyDescent="0.2">
      <c r="B4382" s="11" t="s">
        <v>0</v>
      </c>
      <c r="C4382" s="11" t="s">
        <v>107</v>
      </c>
    </row>
    <row r="4383" spans="1:4" ht="12.75" customHeight="1" x14ac:dyDescent="0.2">
      <c r="B4383" s="11" t="s">
        <v>2599</v>
      </c>
      <c r="C4383" s="11" t="s">
        <v>3245</v>
      </c>
    </row>
    <row r="4384" spans="1:4" ht="25.5" customHeight="1" x14ac:dyDescent="0.2">
      <c r="B4384" s="11" t="s">
        <v>2600</v>
      </c>
      <c r="C4384" s="11" t="s">
        <v>3273</v>
      </c>
    </row>
    <row r="4385" spans="1:4" ht="25.5" customHeight="1" x14ac:dyDescent="0.2">
      <c r="B4385" s="11" t="s">
        <v>2601</v>
      </c>
      <c r="C4385" s="11"/>
    </row>
    <row r="4386" spans="1:4" ht="12.75" customHeight="1" x14ac:dyDescent="0.2">
      <c r="B4386" s="11" t="s">
        <v>16</v>
      </c>
      <c r="C4386" s="11"/>
    </row>
    <row r="4387" spans="1:4" ht="12.75" customHeight="1" x14ac:dyDescent="0.2">
      <c r="B4387" s="11" t="s">
        <v>13</v>
      </c>
      <c r="C4387" s="11" t="s">
        <v>2644</v>
      </c>
    </row>
    <row r="4388" spans="1:4" ht="12.75" customHeight="1" x14ac:dyDescent="0.2">
      <c r="B4388" s="11" t="s">
        <v>2603</v>
      </c>
      <c r="C4388" s="11" t="s">
        <v>2604</v>
      </c>
    </row>
    <row r="4389" spans="1:4" ht="12.75" customHeight="1" x14ac:dyDescent="0.2">
      <c r="B4389" s="11" t="s">
        <v>2605</v>
      </c>
      <c r="C4389" s="11" t="s">
        <v>24</v>
      </c>
    </row>
    <row r="4390" spans="1:4" ht="25.5" customHeight="1" x14ac:dyDescent="0.2">
      <c r="B4390" s="11" t="s">
        <v>2606</v>
      </c>
      <c r="C4390" s="16" t="s">
        <v>44</v>
      </c>
      <c r="D4390" s="6" t="str">
        <f>HYPERLINK("javascript:void(0)","sárkány szív")</f>
        <v>sárkány szív</v>
      </c>
    </row>
    <row r="4391" spans="1:4" ht="12.75" customHeight="1" x14ac:dyDescent="0.2">
      <c r="B4391" s="2"/>
      <c r="C4391" s="15"/>
      <c r="D4391" s="2"/>
    </row>
    <row r="4392" spans="1:4" ht="12.75" customHeight="1" x14ac:dyDescent="0.2">
      <c r="B4392" s="2"/>
      <c r="C4392" s="15"/>
      <c r="D4392" s="2"/>
    </row>
    <row r="4393" spans="1:4" ht="12.75" customHeight="1" x14ac:dyDescent="0.2">
      <c r="A4393" s="13" t="s">
        <v>3274</v>
      </c>
      <c r="C4393" s="12"/>
    </row>
    <row r="4394" spans="1:4" ht="12.75" customHeight="1" x14ac:dyDescent="0.2">
      <c r="A4394" s="11"/>
      <c r="B4394" s="2"/>
      <c r="C4394" s="15"/>
      <c r="D4394" s="2"/>
    </row>
    <row r="4395" spans="1:4" ht="12.75" customHeight="1" x14ac:dyDescent="0.2">
      <c r="B4395" s="11" t="s">
        <v>0</v>
      </c>
      <c r="C4395" s="11" t="s">
        <v>107</v>
      </c>
    </row>
    <row r="4396" spans="1:4" ht="12.75" customHeight="1" x14ac:dyDescent="0.2">
      <c r="B4396" s="11" t="s">
        <v>2599</v>
      </c>
      <c r="C4396" s="11" t="s">
        <v>2664</v>
      </c>
    </row>
    <row r="4397" spans="1:4" ht="25.5" customHeight="1" x14ac:dyDescent="0.2">
      <c r="B4397" s="11" t="s">
        <v>2600</v>
      </c>
      <c r="C4397" s="11" t="s">
        <v>3275</v>
      </c>
    </row>
    <row r="4398" spans="1:4" ht="25.5" customHeight="1" x14ac:dyDescent="0.2">
      <c r="B4398" s="11" t="s">
        <v>2601</v>
      </c>
      <c r="C4398" s="11"/>
    </row>
    <row r="4399" spans="1:4" ht="12.75" customHeight="1" x14ac:dyDescent="0.2">
      <c r="B4399" s="11" t="s">
        <v>16</v>
      </c>
      <c r="C4399" s="11"/>
    </row>
    <row r="4400" spans="1:4" ht="12.75" customHeight="1" x14ac:dyDescent="0.2">
      <c r="B4400" s="11" t="s">
        <v>13</v>
      </c>
      <c r="C4400" s="11" t="s">
        <v>2644</v>
      </c>
    </row>
    <row r="4401" spans="1:4" ht="12.75" customHeight="1" x14ac:dyDescent="0.2">
      <c r="B4401" s="11" t="s">
        <v>2603</v>
      </c>
      <c r="C4401" s="11" t="s">
        <v>2604</v>
      </c>
    </row>
    <row r="4402" spans="1:4" ht="12.75" customHeight="1" x14ac:dyDescent="0.2">
      <c r="B4402" s="11" t="s">
        <v>2605</v>
      </c>
      <c r="C4402" s="11" t="s">
        <v>24</v>
      </c>
    </row>
    <row r="4403" spans="1:4" ht="25.5" customHeight="1" x14ac:dyDescent="0.2">
      <c r="B4403" s="11" t="s">
        <v>2606</v>
      </c>
      <c r="C4403" s="16" t="s">
        <v>44</v>
      </c>
      <c r="D4403" s="6" t="str">
        <f>HYPERLINK("javascript:void(0)","rubin mágusölő")</f>
        <v>rubin mágusölő</v>
      </c>
    </row>
    <row r="4404" spans="1:4" ht="12.75" customHeight="1" x14ac:dyDescent="0.2">
      <c r="C4404" s="16" t="s">
        <v>56</v>
      </c>
      <c r="D4404" s="6" t="str">
        <f>HYPERLINK("javascript:void(0)","sárkányfű")</f>
        <v>sárkányfű</v>
      </c>
    </row>
    <row r="4405" spans="1:4" ht="12.75" customHeight="1" x14ac:dyDescent="0.2">
      <c r="B4405" s="2"/>
      <c r="C4405" s="15"/>
      <c r="D4405" s="2"/>
    </row>
    <row r="4406" spans="1:4" ht="12.75" customHeight="1" x14ac:dyDescent="0.2">
      <c r="B4406" s="2"/>
      <c r="C4406" s="15"/>
      <c r="D4406" s="2"/>
    </row>
    <row r="4407" spans="1:4" ht="12.75" customHeight="1" x14ac:dyDescent="0.2">
      <c r="A4407" s="13" t="s">
        <v>3276</v>
      </c>
      <c r="C4407" s="12"/>
    </row>
    <row r="4408" spans="1:4" ht="12.75" customHeight="1" x14ac:dyDescent="0.2">
      <c r="A4408" s="11"/>
      <c r="B4408" s="2"/>
      <c r="C4408" s="15"/>
      <c r="D4408" s="2"/>
    </row>
    <row r="4409" spans="1:4" ht="12.75" customHeight="1" x14ac:dyDescent="0.2">
      <c r="B4409" s="11" t="s">
        <v>0</v>
      </c>
      <c r="C4409" s="11" t="s">
        <v>107</v>
      </c>
    </row>
    <row r="4410" spans="1:4" ht="12.75" customHeight="1" x14ac:dyDescent="0.2">
      <c r="B4410" s="11" t="s">
        <v>2599</v>
      </c>
      <c r="C4410" s="11" t="s">
        <v>2969</v>
      </c>
    </row>
    <row r="4411" spans="1:4" ht="25.5" customHeight="1" x14ac:dyDescent="0.2">
      <c r="B4411" s="11" t="s">
        <v>2600</v>
      </c>
      <c r="C4411" s="11" t="s">
        <v>3277</v>
      </c>
    </row>
    <row r="4412" spans="1:4" ht="25.5" customHeight="1" x14ac:dyDescent="0.2">
      <c r="B4412" s="11" t="s">
        <v>2601</v>
      </c>
      <c r="C4412" s="11"/>
    </row>
    <row r="4413" spans="1:4" ht="12.75" customHeight="1" x14ac:dyDescent="0.2">
      <c r="B4413" s="11" t="s">
        <v>16</v>
      </c>
      <c r="C4413" s="11"/>
    </row>
    <row r="4414" spans="1:4" ht="12.75" customHeight="1" x14ac:dyDescent="0.2">
      <c r="B4414" s="11" t="s">
        <v>13</v>
      </c>
      <c r="C4414" s="11" t="s">
        <v>2644</v>
      </c>
    </row>
    <row r="4415" spans="1:4" ht="12.75" customHeight="1" x14ac:dyDescent="0.2">
      <c r="B4415" s="11" t="s">
        <v>2603</v>
      </c>
      <c r="C4415" s="11" t="s">
        <v>2604</v>
      </c>
    </row>
    <row r="4416" spans="1:4" ht="12.75" customHeight="1" x14ac:dyDescent="0.2">
      <c r="B4416" s="11" t="s">
        <v>2605</v>
      </c>
      <c r="C4416" s="11" t="s">
        <v>24</v>
      </c>
    </row>
    <row r="4417" spans="1:4" ht="25.5" customHeight="1" x14ac:dyDescent="0.2">
      <c r="B4417" s="11" t="s">
        <v>2606</v>
      </c>
      <c r="C4417" s="16" t="s">
        <v>44</v>
      </c>
      <c r="D4417" s="6" t="str">
        <f>HYPERLINK("javascript:void(0)","szent szimbólum")</f>
        <v>szent szimbólum</v>
      </c>
    </row>
    <row r="4418" spans="1:4" ht="12.75" customHeight="1" x14ac:dyDescent="0.2">
      <c r="B4418" s="2"/>
      <c r="C4418" s="15"/>
      <c r="D4418" s="2"/>
    </row>
    <row r="4419" spans="1:4" ht="12.75" customHeight="1" x14ac:dyDescent="0.2">
      <c r="B4419" s="2"/>
      <c r="C4419" s="15"/>
      <c r="D4419" s="2"/>
    </row>
    <row r="4420" spans="1:4" ht="12.75" customHeight="1" x14ac:dyDescent="0.2">
      <c r="A4420" s="13" t="s">
        <v>3278</v>
      </c>
      <c r="C4420" s="12"/>
    </row>
    <row r="4421" spans="1:4" ht="12.75" customHeight="1" x14ac:dyDescent="0.2">
      <c r="A4421" s="11"/>
      <c r="B4421" s="2"/>
      <c r="C4421" s="15"/>
      <c r="D4421" s="2"/>
    </row>
    <row r="4422" spans="1:4" ht="12.75" customHeight="1" x14ac:dyDescent="0.2">
      <c r="B4422" s="11" t="s">
        <v>0</v>
      </c>
      <c r="C4422" s="11" t="s">
        <v>107</v>
      </c>
    </row>
    <row r="4423" spans="1:4" ht="12.75" customHeight="1" x14ac:dyDescent="0.2">
      <c r="B4423" s="11" t="s">
        <v>2599</v>
      </c>
      <c r="C4423" s="11" t="s">
        <v>2420</v>
      </c>
    </row>
    <row r="4424" spans="1:4" ht="25.5" customHeight="1" x14ac:dyDescent="0.2">
      <c r="B4424" s="11" t="s">
        <v>2600</v>
      </c>
      <c r="C4424" s="11" t="s">
        <v>3279</v>
      </c>
    </row>
    <row r="4425" spans="1:4" ht="25.5" customHeight="1" x14ac:dyDescent="0.2">
      <c r="B4425" s="11" t="s">
        <v>2601</v>
      </c>
      <c r="C4425" s="11"/>
    </row>
    <row r="4426" spans="1:4" ht="12.75" customHeight="1" x14ac:dyDescent="0.2">
      <c r="B4426" s="11" t="s">
        <v>16</v>
      </c>
      <c r="C4426" s="11"/>
    </row>
    <row r="4427" spans="1:4" ht="12.75" customHeight="1" x14ac:dyDescent="0.2">
      <c r="B4427" s="11" t="s">
        <v>13</v>
      </c>
      <c r="C4427" s="11" t="s">
        <v>2644</v>
      </c>
    </row>
    <row r="4428" spans="1:4" ht="12.75" customHeight="1" x14ac:dyDescent="0.2">
      <c r="B4428" s="11" t="s">
        <v>2603</v>
      </c>
      <c r="C4428" s="11" t="s">
        <v>2604</v>
      </c>
    </row>
    <row r="4429" spans="1:4" ht="12.75" customHeight="1" x14ac:dyDescent="0.2">
      <c r="B4429" s="11" t="s">
        <v>2605</v>
      </c>
      <c r="C4429" s="11" t="s">
        <v>24</v>
      </c>
    </row>
    <row r="4430" spans="1:4" ht="25.5" customHeight="1" x14ac:dyDescent="0.2">
      <c r="B4430" s="11" t="s">
        <v>2606</v>
      </c>
      <c r="C4430" s="16" t="s">
        <v>44</v>
      </c>
      <c r="D4430" s="6" t="str">
        <f>HYPERLINK("javascript:void(0)","szent szimbólum")</f>
        <v>szent szimbólum</v>
      </c>
    </row>
    <row r="4431" spans="1:4" ht="12.75" customHeight="1" x14ac:dyDescent="0.2">
      <c r="B4431" s="2"/>
      <c r="C4431" s="15"/>
      <c r="D4431" s="2"/>
    </row>
    <row r="4432" spans="1:4" ht="12.75" customHeight="1" x14ac:dyDescent="0.2">
      <c r="B4432" s="2"/>
      <c r="C4432" s="15"/>
      <c r="D4432" s="2"/>
    </row>
    <row r="4433" spans="1:4" ht="12.75" customHeight="1" x14ac:dyDescent="0.2">
      <c r="A4433" s="13" t="s">
        <v>3280</v>
      </c>
      <c r="C4433" s="12"/>
    </row>
    <row r="4434" spans="1:4" ht="12.75" customHeight="1" x14ac:dyDescent="0.2">
      <c r="A4434" s="11"/>
      <c r="B4434" s="2"/>
      <c r="C4434" s="15"/>
      <c r="D4434" s="2"/>
    </row>
    <row r="4435" spans="1:4" ht="12.75" customHeight="1" x14ac:dyDescent="0.2">
      <c r="B4435" s="11" t="s">
        <v>0</v>
      </c>
      <c r="C4435" s="11" t="s">
        <v>107</v>
      </c>
    </row>
    <row r="4436" spans="1:4" ht="12.75" customHeight="1" x14ac:dyDescent="0.2">
      <c r="B4436" s="11" t="s">
        <v>2599</v>
      </c>
      <c r="C4436" s="11" t="s">
        <v>253</v>
      </c>
    </row>
    <row r="4437" spans="1:4" ht="25.5" customHeight="1" x14ac:dyDescent="0.2">
      <c r="B4437" s="11" t="s">
        <v>2600</v>
      </c>
      <c r="C4437" s="11" t="s">
        <v>3281</v>
      </c>
    </row>
    <row r="4438" spans="1:4" ht="25.5" customHeight="1" x14ac:dyDescent="0.2">
      <c r="B4438" s="11" t="s">
        <v>2601</v>
      </c>
      <c r="C4438" s="11"/>
    </row>
    <row r="4439" spans="1:4" ht="12.75" customHeight="1" x14ac:dyDescent="0.2">
      <c r="B4439" s="11" t="s">
        <v>16</v>
      </c>
      <c r="C4439" s="11"/>
    </row>
    <row r="4440" spans="1:4" ht="12.75" customHeight="1" x14ac:dyDescent="0.2">
      <c r="B4440" s="11" t="s">
        <v>13</v>
      </c>
      <c r="C4440" s="11" t="s">
        <v>2644</v>
      </c>
    </row>
    <row r="4441" spans="1:4" ht="12.75" customHeight="1" x14ac:dyDescent="0.2">
      <c r="B4441" s="11" t="s">
        <v>2603</v>
      </c>
      <c r="C4441" s="11" t="s">
        <v>2604</v>
      </c>
    </row>
    <row r="4442" spans="1:4" ht="12.75" customHeight="1" x14ac:dyDescent="0.2">
      <c r="B4442" s="11" t="s">
        <v>2605</v>
      </c>
      <c r="C4442" s="11" t="s">
        <v>24</v>
      </c>
    </row>
    <row r="4443" spans="1:4" ht="12.75" customHeight="1" x14ac:dyDescent="0.2">
      <c r="B4443" s="11" t="s">
        <v>2606</v>
      </c>
      <c r="C4443" s="16" t="s">
        <v>44</v>
      </c>
      <c r="D4443" s="6" t="str">
        <f>HYPERLINK("javascript:void(0)","undormány")</f>
        <v>undormány</v>
      </c>
    </row>
    <row r="4444" spans="1:4" ht="12.75" customHeight="1" x14ac:dyDescent="0.2">
      <c r="B4444" s="2"/>
      <c r="C4444" s="15"/>
      <c r="D4444" s="2"/>
    </row>
    <row r="4445" spans="1:4" ht="12.75" customHeight="1" x14ac:dyDescent="0.2">
      <c r="B4445" s="2"/>
      <c r="C4445" s="15"/>
      <c r="D4445" s="2"/>
    </row>
    <row r="4446" spans="1:4" ht="12.75" customHeight="1" x14ac:dyDescent="0.2">
      <c r="A4446" s="13" t="s">
        <v>3254</v>
      </c>
      <c r="C4446" s="12"/>
      <c r="D4446" s="2"/>
    </row>
    <row r="4447" spans="1:4" ht="12.75" customHeight="1" x14ac:dyDescent="0.2">
      <c r="A4447" s="11"/>
      <c r="B4447" s="2"/>
      <c r="C4447" s="15"/>
      <c r="D4447" s="2"/>
    </row>
    <row r="4448" spans="1:4" ht="12.75" customHeight="1" x14ac:dyDescent="0.2">
      <c r="B4448" s="11" t="s">
        <v>0</v>
      </c>
      <c r="C4448" s="17" t="s">
        <v>324</v>
      </c>
      <c r="D4448" s="2"/>
    </row>
    <row r="4449" spans="1:4" ht="12.75" customHeight="1" x14ac:dyDescent="0.2">
      <c r="B4449" s="11" t="s">
        <v>2599</v>
      </c>
      <c r="C4449" s="17" t="s">
        <v>2454</v>
      </c>
      <c r="D4449" s="2"/>
    </row>
    <row r="4450" spans="1:4" ht="25.5" customHeight="1" x14ac:dyDescent="0.2">
      <c r="B4450" s="11" t="s">
        <v>2600</v>
      </c>
      <c r="C4450" s="17" t="s">
        <v>3282</v>
      </c>
      <c r="D4450" s="2"/>
    </row>
    <row r="4451" spans="1:4" ht="25.5" customHeight="1" x14ac:dyDescent="0.2">
      <c r="B4451" s="11" t="s">
        <v>2601</v>
      </c>
      <c r="C4451" s="17"/>
      <c r="D4451" s="2"/>
    </row>
    <row r="4452" spans="1:4" ht="12.75" customHeight="1" x14ac:dyDescent="0.2">
      <c r="B4452" s="11" t="s">
        <v>16</v>
      </c>
      <c r="C4452" s="17"/>
      <c r="D4452" s="2"/>
    </row>
    <row r="4453" spans="1:4" ht="12.75" customHeight="1" x14ac:dyDescent="0.2">
      <c r="B4453" s="11" t="s">
        <v>13</v>
      </c>
      <c r="C4453" s="17" t="s">
        <v>2644</v>
      </c>
      <c r="D4453" s="2"/>
    </row>
    <row r="4454" spans="1:4" ht="25.5" customHeight="1" x14ac:dyDescent="0.2">
      <c r="B4454" s="11" t="s">
        <v>2603</v>
      </c>
      <c r="C4454" s="17" t="s">
        <v>2971</v>
      </c>
      <c r="D4454" s="2"/>
    </row>
    <row r="4455" spans="1:4" ht="12.75" customHeight="1" x14ac:dyDescent="0.2">
      <c r="B4455" s="11" t="s">
        <v>2605</v>
      </c>
      <c r="C4455" s="17" t="s">
        <v>14</v>
      </c>
      <c r="D4455" s="2"/>
    </row>
    <row r="4456" spans="1:4" ht="12.75" customHeight="1" x14ac:dyDescent="0.2">
      <c r="B4456" s="11" t="s">
        <v>2606</v>
      </c>
      <c r="C4456" s="16" t="s">
        <v>19</v>
      </c>
      <c r="D4456" s="2"/>
    </row>
    <row r="4457" spans="1:4" ht="12.75" customHeight="1" x14ac:dyDescent="0.2">
      <c r="B4457" s="2"/>
      <c r="C4457" s="15"/>
      <c r="D4457" s="2"/>
    </row>
    <row r="4458" spans="1:4" ht="12.75" customHeight="1" x14ac:dyDescent="0.2">
      <c r="B4458" s="2"/>
      <c r="C4458" s="15"/>
      <c r="D4458" s="2"/>
    </row>
    <row r="4459" spans="1:4" ht="12.75" customHeight="1" x14ac:dyDescent="0.2">
      <c r="A4459" s="13" t="s">
        <v>3174</v>
      </c>
      <c r="C4459" s="12"/>
      <c r="D4459" s="2"/>
    </row>
    <row r="4460" spans="1:4" ht="12.75" customHeight="1" x14ac:dyDescent="0.2">
      <c r="A4460" s="11"/>
      <c r="B4460" s="2"/>
      <c r="C4460" s="15"/>
      <c r="D4460" s="2"/>
    </row>
    <row r="4461" spans="1:4" ht="12.75" customHeight="1" x14ac:dyDescent="0.2">
      <c r="B4461" s="11" t="s">
        <v>0</v>
      </c>
      <c r="C4461" s="17" t="s">
        <v>324</v>
      </c>
      <c r="D4461" s="2"/>
    </row>
    <row r="4462" spans="1:4" ht="12.75" customHeight="1" x14ac:dyDescent="0.2">
      <c r="B4462" s="11" t="s">
        <v>2599</v>
      </c>
      <c r="C4462" s="17" t="s">
        <v>3175</v>
      </c>
      <c r="D4462" s="2"/>
    </row>
    <row r="4463" spans="1:4" ht="25.5" customHeight="1" x14ac:dyDescent="0.2">
      <c r="B4463" s="11" t="s">
        <v>2600</v>
      </c>
      <c r="C4463" s="17" t="s">
        <v>3283</v>
      </c>
      <c r="D4463" s="2"/>
    </row>
    <row r="4464" spans="1:4" ht="25.5" customHeight="1" x14ac:dyDescent="0.2">
      <c r="B4464" s="11" t="s">
        <v>2601</v>
      </c>
      <c r="C4464" s="17"/>
      <c r="D4464" s="2"/>
    </row>
    <row r="4465" spans="1:4" ht="12.75" customHeight="1" x14ac:dyDescent="0.2">
      <c r="B4465" s="11" t="s">
        <v>16</v>
      </c>
      <c r="C4465" s="17"/>
      <c r="D4465" s="2"/>
    </row>
    <row r="4466" spans="1:4" ht="12.75" customHeight="1" x14ac:dyDescent="0.2">
      <c r="B4466" s="11" t="s">
        <v>13</v>
      </c>
      <c r="C4466" s="17" t="s">
        <v>2602</v>
      </c>
      <c r="D4466" s="2"/>
    </row>
    <row r="4467" spans="1:4" ht="25.5" customHeight="1" x14ac:dyDescent="0.2">
      <c r="B4467" s="11" t="s">
        <v>2603</v>
      </c>
      <c r="C4467" s="17" t="s">
        <v>2971</v>
      </c>
      <c r="D4467" s="2"/>
    </row>
    <row r="4468" spans="1:4" ht="12.75" customHeight="1" x14ac:dyDescent="0.2">
      <c r="B4468" s="11" t="s">
        <v>2605</v>
      </c>
      <c r="C4468" s="17" t="s">
        <v>14</v>
      </c>
      <c r="D4468" s="2"/>
    </row>
    <row r="4469" spans="1:4" ht="12.75" customHeight="1" x14ac:dyDescent="0.2">
      <c r="B4469" s="11" t="s">
        <v>2606</v>
      </c>
      <c r="C4469" s="16" t="s">
        <v>19</v>
      </c>
      <c r="D4469" s="2"/>
    </row>
    <row r="4470" spans="1:4" ht="12.75" customHeight="1" x14ac:dyDescent="0.2">
      <c r="B4470" s="2"/>
      <c r="C4470" s="15"/>
      <c r="D4470" s="2"/>
    </row>
    <row r="4471" spans="1:4" ht="12.75" customHeight="1" x14ac:dyDescent="0.2">
      <c r="B4471" s="2"/>
      <c r="C4471" s="15"/>
      <c r="D4471" s="2"/>
    </row>
    <row r="4472" spans="1:4" ht="12.75" customHeight="1" x14ac:dyDescent="0.2">
      <c r="A4472" s="13" t="s">
        <v>3257</v>
      </c>
      <c r="C4472" s="12"/>
      <c r="D4472" s="2"/>
    </row>
    <row r="4473" spans="1:4" ht="12.75" customHeight="1" x14ac:dyDescent="0.2">
      <c r="A4473" s="11"/>
      <c r="B4473" s="2"/>
      <c r="C4473" s="15"/>
      <c r="D4473" s="2"/>
    </row>
    <row r="4474" spans="1:4" ht="12.75" customHeight="1" x14ac:dyDescent="0.2">
      <c r="B4474" s="11" t="s">
        <v>0</v>
      </c>
      <c r="C4474" s="17" t="s">
        <v>324</v>
      </c>
      <c r="D4474" s="2"/>
    </row>
    <row r="4475" spans="1:4" ht="12.75" customHeight="1" x14ac:dyDescent="0.2">
      <c r="B4475" s="11" t="s">
        <v>2599</v>
      </c>
      <c r="C4475" s="17" t="s">
        <v>3258</v>
      </c>
      <c r="D4475" s="2"/>
    </row>
    <row r="4476" spans="1:4" ht="25.5" customHeight="1" x14ac:dyDescent="0.2">
      <c r="B4476" s="11" t="s">
        <v>2600</v>
      </c>
      <c r="C4476" s="17" t="s">
        <v>3284</v>
      </c>
      <c r="D4476" s="2"/>
    </row>
    <row r="4477" spans="1:4" ht="25.5" customHeight="1" x14ac:dyDescent="0.2">
      <c r="B4477" s="11" t="s">
        <v>2601</v>
      </c>
      <c r="C4477" s="17"/>
      <c r="D4477" s="2"/>
    </row>
    <row r="4478" spans="1:4" ht="12.75" customHeight="1" x14ac:dyDescent="0.2">
      <c r="B4478" s="11" t="s">
        <v>16</v>
      </c>
      <c r="C4478" s="17"/>
      <c r="D4478" s="2"/>
    </row>
    <row r="4479" spans="1:4" ht="12.75" customHeight="1" x14ac:dyDescent="0.2">
      <c r="B4479" s="11" t="s">
        <v>13</v>
      </c>
      <c r="C4479" s="17" t="s">
        <v>2602</v>
      </c>
      <c r="D4479" s="2"/>
    </row>
    <row r="4480" spans="1:4" ht="25.5" customHeight="1" x14ac:dyDescent="0.2">
      <c r="B4480" s="11" t="s">
        <v>2603</v>
      </c>
      <c r="C4480" s="17" t="s">
        <v>2971</v>
      </c>
      <c r="D4480" s="2"/>
    </row>
    <row r="4481" spans="1:4" ht="12.75" customHeight="1" x14ac:dyDescent="0.2">
      <c r="B4481" s="11" t="s">
        <v>2605</v>
      </c>
      <c r="C4481" s="17" t="s">
        <v>14</v>
      </c>
      <c r="D4481" s="2"/>
    </row>
    <row r="4482" spans="1:4" ht="12.75" customHeight="1" x14ac:dyDescent="0.2">
      <c r="B4482" s="11" t="s">
        <v>2606</v>
      </c>
      <c r="C4482" s="16" t="s">
        <v>19</v>
      </c>
      <c r="D4482" s="2"/>
    </row>
    <row r="4483" spans="1:4" ht="12.75" customHeight="1" x14ac:dyDescent="0.2">
      <c r="B4483" s="2"/>
      <c r="C4483" s="15"/>
      <c r="D4483" s="2"/>
    </row>
    <row r="4484" spans="1:4" ht="12.75" customHeight="1" x14ac:dyDescent="0.2">
      <c r="B4484" s="2"/>
      <c r="C4484" s="15"/>
      <c r="D4484" s="2"/>
    </row>
    <row r="4485" spans="1:4" ht="12.75" customHeight="1" x14ac:dyDescent="0.2">
      <c r="A4485" s="13" t="s">
        <v>3260</v>
      </c>
      <c r="C4485" s="12"/>
      <c r="D4485" s="2"/>
    </row>
    <row r="4486" spans="1:4" ht="12.75" customHeight="1" x14ac:dyDescent="0.2">
      <c r="A4486" s="11"/>
      <c r="B4486" s="2"/>
      <c r="C4486" s="15"/>
      <c r="D4486" s="2"/>
    </row>
    <row r="4487" spans="1:4" ht="12.75" customHeight="1" x14ac:dyDescent="0.2">
      <c r="B4487" s="11" t="s">
        <v>0</v>
      </c>
      <c r="C4487" s="17" t="s">
        <v>324</v>
      </c>
      <c r="D4487" s="2"/>
    </row>
    <row r="4488" spans="1:4" ht="12.75" customHeight="1" x14ac:dyDescent="0.2">
      <c r="B4488" s="11" t="s">
        <v>2599</v>
      </c>
      <c r="C4488" s="17" t="s">
        <v>3261</v>
      </c>
      <c r="D4488" s="2"/>
    </row>
    <row r="4489" spans="1:4" ht="25.5" customHeight="1" x14ac:dyDescent="0.2">
      <c r="B4489" s="11" t="s">
        <v>2600</v>
      </c>
      <c r="C4489" s="17" t="s">
        <v>3285</v>
      </c>
      <c r="D4489" s="2"/>
    </row>
    <row r="4490" spans="1:4" ht="25.5" customHeight="1" x14ac:dyDescent="0.2">
      <c r="B4490" s="11" t="s">
        <v>2601</v>
      </c>
      <c r="C4490" s="17"/>
      <c r="D4490" s="2"/>
    </row>
    <row r="4491" spans="1:4" ht="12.75" customHeight="1" x14ac:dyDescent="0.2">
      <c r="B4491" s="11" t="s">
        <v>16</v>
      </c>
      <c r="C4491" s="17"/>
      <c r="D4491" s="2"/>
    </row>
    <row r="4492" spans="1:4" ht="12.75" customHeight="1" x14ac:dyDescent="0.2">
      <c r="B4492" s="11" t="s">
        <v>13</v>
      </c>
      <c r="C4492" s="17" t="s">
        <v>2644</v>
      </c>
      <c r="D4492" s="2"/>
    </row>
    <row r="4493" spans="1:4" ht="25.5" customHeight="1" x14ac:dyDescent="0.2">
      <c r="B4493" s="11" t="s">
        <v>2603</v>
      </c>
      <c r="C4493" s="17" t="s">
        <v>2971</v>
      </c>
      <c r="D4493" s="2"/>
    </row>
    <row r="4494" spans="1:4" ht="12.75" customHeight="1" x14ac:dyDescent="0.2">
      <c r="B4494" s="11" t="s">
        <v>2605</v>
      </c>
      <c r="C4494" s="17" t="s">
        <v>14</v>
      </c>
      <c r="D4494" s="2"/>
    </row>
    <row r="4495" spans="1:4" ht="12.75" customHeight="1" x14ac:dyDescent="0.2">
      <c r="B4495" s="11" t="s">
        <v>2606</v>
      </c>
      <c r="C4495" s="16" t="s">
        <v>19</v>
      </c>
      <c r="D4495" s="2"/>
    </row>
    <row r="4496" spans="1:4" ht="12.75" customHeight="1" x14ac:dyDescent="0.2">
      <c r="B4496" s="2"/>
      <c r="C4496" s="15"/>
      <c r="D4496" s="2"/>
    </row>
    <row r="4497" spans="1:4" ht="12.75" customHeight="1" x14ac:dyDescent="0.2">
      <c r="B4497" s="2"/>
      <c r="C4497" s="15"/>
      <c r="D4497" s="2"/>
    </row>
    <row r="4498" spans="1:4" ht="12.75" customHeight="1" x14ac:dyDescent="0.2">
      <c r="A4498" s="13" t="s">
        <v>3286</v>
      </c>
      <c r="C4498" s="12"/>
    </row>
    <row r="4499" spans="1:4" ht="12.75" customHeight="1" x14ac:dyDescent="0.2">
      <c r="A4499" s="11"/>
      <c r="B4499" s="2"/>
      <c r="C4499" s="15"/>
      <c r="D4499" s="2"/>
    </row>
    <row r="4500" spans="1:4" ht="12.75" customHeight="1" x14ac:dyDescent="0.2">
      <c r="B4500" s="11" t="s">
        <v>0</v>
      </c>
      <c r="C4500" s="11" t="s">
        <v>324</v>
      </c>
    </row>
    <row r="4501" spans="1:4" ht="12.75" customHeight="1" x14ac:dyDescent="0.2">
      <c r="B4501" s="11" t="s">
        <v>2599</v>
      </c>
      <c r="C4501" s="11" t="s">
        <v>3287</v>
      </c>
    </row>
    <row r="4502" spans="1:4" ht="25.5" customHeight="1" x14ac:dyDescent="0.2">
      <c r="B4502" s="11" t="s">
        <v>2600</v>
      </c>
      <c r="C4502" s="11" t="s">
        <v>3288</v>
      </c>
    </row>
    <row r="4503" spans="1:4" ht="25.5" customHeight="1" x14ac:dyDescent="0.2">
      <c r="B4503" s="11" t="s">
        <v>2601</v>
      </c>
      <c r="C4503" s="11"/>
    </row>
    <row r="4504" spans="1:4" ht="12.75" customHeight="1" x14ac:dyDescent="0.2">
      <c r="B4504" s="11" t="s">
        <v>16</v>
      </c>
      <c r="C4504" s="11"/>
    </row>
    <row r="4505" spans="1:4" ht="12.75" customHeight="1" x14ac:dyDescent="0.2">
      <c r="B4505" s="11" t="s">
        <v>13</v>
      </c>
      <c r="C4505" s="11" t="s">
        <v>2644</v>
      </c>
    </row>
    <row r="4506" spans="1:4" ht="12.75" customHeight="1" x14ac:dyDescent="0.2">
      <c r="B4506" s="11" t="s">
        <v>2603</v>
      </c>
      <c r="C4506" s="11" t="s">
        <v>2604</v>
      </c>
    </row>
    <row r="4507" spans="1:4" ht="12.75" customHeight="1" x14ac:dyDescent="0.2">
      <c r="B4507" s="11" t="s">
        <v>2605</v>
      </c>
      <c r="C4507" s="11" t="s">
        <v>24</v>
      </c>
    </row>
    <row r="4508" spans="1:4" ht="12.75" customHeight="1" x14ac:dyDescent="0.2">
      <c r="B4508" s="11" t="s">
        <v>2606</v>
      </c>
      <c r="C4508" s="16" t="s">
        <v>44</v>
      </c>
      <c r="D4508" s="6" t="str">
        <f>HYPERLINK("javascript:void(0)","szemhéj")</f>
        <v>szemhéj</v>
      </c>
    </row>
    <row r="4509" spans="1:4" ht="25.5" customHeight="1" x14ac:dyDescent="0.2">
      <c r="C4509" s="16" t="s">
        <v>44</v>
      </c>
      <c r="D4509" s="6" t="str">
        <f>HYPERLINK("javascript:void(0)","szemgyöngy")</f>
        <v>szemgyöngy</v>
      </c>
    </row>
    <row r="4510" spans="1:4" ht="12.75" customHeight="1" x14ac:dyDescent="0.2">
      <c r="B4510" s="2"/>
      <c r="C4510" s="15"/>
      <c r="D4510" s="2"/>
    </row>
    <row r="4511" spans="1:4" ht="12.75" customHeight="1" x14ac:dyDescent="0.2">
      <c r="B4511" s="2"/>
      <c r="C4511" s="15"/>
      <c r="D4511" s="2"/>
    </row>
    <row r="4512" spans="1:4" ht="12.75" customHeight="1" x14ac:dyDescent="0.2">
      <c r="A4512" s="13" t="s">
        <v>3289</v>
      </c>
      <c r="C4512" s="12"/>
    </row>
    <row r="4513" spans="1:4" ht="12.75" customHeight="1" x14ac:dyDescent="0.2">
      <c r="A4513" s="11"/>
      <c r="B4513" s="2"/>
      <c r="C4513" s="15"/>
      <c r="D4513" s="2"/>
    </row>
    <row r="4514" spans="1:4" ht="12.75" customHeight="1" x14ac:dyDescent="0.2">
      <c r="B4514" s="11" t="s">
        <v>0</v>
      </c>
      <c r="C4514" s="11" t="s">
        <v>324</v>
      </c>
    </row>
    <row r="4515" spans="1:4" ht="12.75" customHeight="1" x14ac:dyDescent="0.2">
      <c r="B4515" s="11" t="s">
        <v>2599</v>
      </c>
      <c r="C4515" s="11" t="s">
        <v>3290</v>
      </c>
    </row>
    <row r="4516" spans="1:4" ht="25.5" customHeight="1" x14ac:dyDescent="0.2">
      <c r="B4516" s="11" t="s">
        <v>2600</v>
      </c>
      <c r="C4516" s="11" t="s">
        <v>3291</v>
      </c>
    </row>
    <row r="4517" spans="1:4" ht="25.5" customHeight="1" x14ac:dyDescent="0.2">
      <c r="B4517" s="11" t="s">
        <v>2601</v>
      </c>
      <c r="C4517" s="11"/>
    </row>
    <row r="4518" spans="1:4" ht="12.75" customHeight="1" x14ac:dyDescent="0.2">
      <c r="B4518" s="11" t="s">
        <v>16</v>
      </c>
      <c r="C4518" s="11"/>
    </row>
    <row r="4519" spans="1:4" ht="12.75" customHeight="1" x14ac:dyDescent="0.2">
      <c r="B4519" s="11" t="s">
        <v>13</v>
      </c>
      <c r="C4519" s="11" t="s">
        <v>2644</v>
      </c>
    </row>
    <row r="4520" spans="1:4" ht="12.75" customHeight="1" x14ac:dyDescent="0.2">
      <c r="B4520" s="11" t="s">
        <v>2603</v>
      </c>
      <c r="C4520" s="11" t="s">
        <v>2604</v>
      </c>
    </row>
    <row r="4521" spans="1:4" ht="12.75" customHeight="1" x14ac:dyDescent="0.2">
      <c r="B4521" s="11" t="s">
        <v>2605</v>
      </c>
      <c r="C4521" s="11" t="s">
        <v>24</v>
      </c>
    </row>
    <row r="4522" spans="1:4" ht="12.75" customHeight="1" x14ac:dyDescent="0.2">
      <c r="B4522" s="11" t="s">
        <v>2606</v>
      </c>
      <c r="C4522" s="16" t="s">
        <v>44</v>
      </c>
      <c r="D4522" s="6" t="str">
        <f>HYPERLINK("javascript:void(0)","aqua dei")</f>
        <v>aqua dei</v>
      </c>
    </row>
    <row r="4523" spans="1:4" ht="12.75" customHeight="1" x14ac:dyDescent="0.2">
      <c r="B4523" s="2"/>
      <c r="C4523" s="15"/>
      <c r="D4523" s="2"/>
    </row>
    <row r="4524" spans="1:4" ht="12.75" customHeight="1" x14ac:dyDescent="0.2">
      <c r="B4524" s="2"/>
      <c r="C4524" s="15"/>
      <c r="D4524" s="2"/>
    </row>
    <row r="4525" spans="1:4" ht="12.75" customHeight="1" x14ac:dyDescent="0.2">
      <c r="A4525" s="13" t="s">
        <v>3292</v>
      </c>
      <c r="C4525" s="12"/>
    </row>
    <row r="4526" spans="1:4" ht="12.75" customHeight="1" x14ac:dyDescent="0.2">
      <c r="A4526" s="11"/>
      <c r="B4526" s="2"/>
      <c r="C4526" s="15"/>
      <c r="D4526" s="2"/>
    </row>
    <row r="4527" spans="1:4" ht="12.75" customHeight="1" x14ac:dyDescent="0.2">
      <c r="B4527" s="11" t="s">
        <v>0</v>
      </c>
      <c r="C4527" s="11" t="s">
        <v>324</v>
      </c>
    </row>
    <row r="4528" spans="1:4" ht="12.75" customHeight="1" x14ac:dyDescent="0.2">
      <c r="B4528" s="11" t="s">
        <v>2599</v>
      </c>
      <c r="C4528" s="11" t="s">
        <v>3293</v>
      </c>
    </row>
    <row r="4529" spans="1:4" ht="25.5" customHeight="1" x14ac:dyDescent="0.2">
      <c r="B4529" s="11" t="s">
        <v>2600</v>
      </c>
      <c r="C4529" s="11" t="s">
        <v>3294</v>
      </c>
    </row>
    <row r="4530" spans="1:4" ht="25.5" customHeight="1" x14ac:dyDescent="0.2">
      <c r="B4530" s="11" t="s">
        <v>2601</v>
      </c>
      <c r="C4530" s="11"/>
    </row>
    <row r="4531" spans="1:4" ht="12.75" customHeight="1" x14ac:dyDescent="0.2">
      <c r="B4531" s="11" t="s">
        <v>16</v>
      </c>
      <c r="C4531" s="11"/>
    </row>
    <row r="4532" spans="1:4" ht="12.75" customHeight="1" x14ac:dyDescent="0.2">
      <c r="B4532" s="11" t="s">
        <v>13</v>
      </c>
      <c r="C4532" s="11" t="s">
        <v>2644</v>
      </c>
    </row>
    <row r="4533" spans="1:4" ht="12.75" customHeight="1" x14ac:dyDescent="0.2">
      <c r="B4533" s="11" t="s">
        <v>2603</v>
      </c>
      <c r="C4533" s="11" t="s">
        <v>2604</v>
      </c>
    </row>
    <row r="4534" spans="1:4" ht="12.75" customHeight="1" x14ac:dyDescent="0.2">
      <c r="B4534" s="11" t="s">
        <v>2605</v>
      </c>
      <c r="C4534" s="11" t="s">
        <v>24</v>
      </c>
    </row>
    <row r="4535" spans="1:4" ht="12.75" customHeight="1" x14ac:dyDescent="0.2">
      <c r="B4535" s="11" t="s">
        <v>2606</v>
      </c>
      <c r="C4535" s="16" t="s">
        <v>56</v>
      </c>
      <c r="D4535" s="6" t="str">
        <f>HYPERLINK("javascript:void(0)","bűzmirigy")</f>
        <v>bűzmirigy</v>
      </c>
    </row>
    <row r="4536" spans="1:4" ht="12.75" customHeight="1" x14ac:dyDescent="0.2">
      <c r="B4536" s="2"/>
      <c r="C4536" s="15"/>
      <c r="D4536" s="2"/>
    </row>
    <row r="4537" spans="1:4" ht="12.75" customHeight="1" x14ac:dyDescent="0.2">
      <c r="B4537" s="2"/>
      <c r="C4537" s="15"/>
      <c r="D4537" s="2"/>
    </row>
    <row r="4538" spans="1:4" ht="12.75" customHeight="1" x14ac:dyDescent="0.2">
      <c r="A4538" s="13" t="s">
        <v>3295</v>
      </c>
      <c r="C4538" s="12"/>
    </row>
    <row r="4539" spans="1:4" ht="12.75" customHeight="1" x14ac:dyDescent="0.2">
      <c r="A4539" s="11"/>
      <c r="B4539" s="2"/>
      <c r="C4539" s="15"/>
      <c r="D4539" s="2"/>
    </row>
    <row r="4540" spans="1:4" ht="12.75" customHeight="1" x14ac:dyDescent="0.2">
      <c r="B4540" s="11" t="s">
        <v>0</v>
      </c>
      <c r="C4540" s="11" t="s">
        <v>324</v>
      </c>
    </row>
    <row r="4541" spans="1:4" ht="12.75" customHeight="1" x14ac:dyDescent="0.2">
      <c r="B4541" s="11" t="s">
        <v>2599</v>
      </c>
      <c r="C4541" s="11" t="s">
        <v>3296</v>
      </c>
    </row>
    <row r="4542" spans="1:4" ht="25.5" customHeight="1" x14ac:dyDescent="0.2">
      <c r="B4542" s="11" t="s">
        <v>2600</v>
      </c>
      <c r="C4542" s="11" t="s">
        <v>3297</v>
      </c>
    </row>
    <row r="4543" spans="1:4" ht="25.5" customHeight="1" x14ac:dyDescent="0.2">
      <c r="B4543" s="11" t="s">
        <v>2601</v>
      </c>
      <c r="C4543" s="11"/>
    </row>
    <row r="4544" spans="1:4" ht="12.75" customHeight="1" x14ac:dyDescent="0.2">
      <c r="B4544" s="11" t="s">
        <v>16</v>
      </c>
      <c r="C4544" s="11"/>
    </row>
    <row r="4545" spans="1:4" ht="12.75" customHeight="1" x14ac:dyDescent="0.2">
      <c r="B4545" s="11" t="s">
        <v>13</v>
      </c>
      <c r="C4545" s="11" t="s">
        <v>2602</v>
      </c>
    </row>
    <row r="4546" spans="1:4" ht="12.75" customHeight="1" x14ac:dyDescent="0.2">
      <c r="B4546" s="11" t="s">
        <v>2603</v>
      </c>
      <c r="C4546" s="11" t="s">
        <v>2604</v>
      </c>
    </row>
    <row r="4547" spans="1:4" ht="12.75" customHeight="1" x14ac:dyDescent="0.2">
      <c r="B4547" s="11" t="s">
        <v>2605</v>
      </c>
      <c r="C4547" s="11" t="s">
        <v>24</v>
      </c>
    </row>
    <row r="4548" spans="1:4" ht="25.5" customHeight="1" x14ac:dyDescent="0.2">
      <c r="B4548" s="11" t="s">
        <v>2606</v>
      </c>
      <c r="C4548" s="16" t="s">
        <v>44</v>
      </c>
      <c r="D4548" s="6" t="str">
        <f>HYPERLINK("javascript:void(0)","nagy pillepajzs")</f>
        <v>nagy pillepajzs</v>
      </c>
    </row>
    <row r="4549" spans="1:4" ht="25.5" customHeight="1" x14ac:dyDescent="0.2">
      <c r="C4549" s="16" t="s">
        <v>44</v>
      </c>
      <c r="D4549" s="6" t="str">
        <f>HYPERLINK("javascript:void(0)","ezüst mágusölő")</f>
        <v>ezüst mágusölő</v>
      </c>
    </row>
    <row r="4550" spans="1:4" ht="12.75" customHeight="1" x14ac:dyDescent="0.2">
      <c r="B4550" s="2"/>
      <c r="C4550" s="15"/>
      <c r="D4550" s="2"/>
    </row>
    <row r="4551" spans="1:4" ht="12.75" customHeight="1" x14ac:dyDescent="0.2">
      <c r="B4551" s="2"/>
      <c r="C4551" s="15"/>
      <c r="D4551" s="2"/>
    </row>
    <row r="4552" spans="1:4" ht="12.75" customHeight="1" x14ac:dyDescent="0.2">
      <c r="A4552" s="13" t="s">
        <v>3298</v>
      </c>
      <c r="C4552" s="12"/>
    </row>
    <row r="4553" spans="1:4" ht="12.75" customHeight="1" x14ac:dyDescent="0.2">
      <c r="A4553" s="11"/>
      <c r="B4553" s="2"/>
      <c r="C4553" s="15"/>
      <c r="D4553" s="2"/>
    </row>
    <row r="4554" spans="1:4" ht="12.75" customHeight="1" x14ac:dyDescent="0.2">
      <c r="B4554" s="11" t="s">
        <v>0</v>
      </c>
      <c r="C4554" s="11" t="s">
        <v>324</v>
      </c>
    </row>
    <row r="4555" spans="1:4" ht="12.75" customHeight="1" x14ac:dyDescent="0.2">
      <c r="B4555" s="11" t="s">
        <v>2599</v>
      </c>
      <c r="C4555" s="11" t="s">
        <v>3299</v>
      </c>
    </row>
    <row r="4556" spans="1:4" ht="25.5" customHeight="1" x14ac:dyDescent="0.2">
      <c r="B4556" s="11" t="s">
        <v>2600</v>
      </c>
      <c r="C4556" s="11" t="s">
        <v>3300</v>
      </c>
    </row>
    <row r="4557" spans="1:4" ht="25.5" customHeight="1" x14ac:dyDescent="0.2">
      <c r="B4557" s="11" t="s">
        <v>2601</v>
      </c>
      <c r="C4557" s="11"/>
    </row>
    <row r="4558" spans="1:4" ht="12.75" customHeight="1" x14ac:dyDescent="0.2">
      <c r="B4558" s="11" t="s">
        <v>16</v>
      </c>
      <c r="C4558" s="11"/>
    </row>
    <row r="4559" spans="1:4" ht="12.75" customHeight="1" x14ac:dyDescent="0.2">
      <c r="B4559" s="11" t="s">
        <v>13</v>
      </c>
      <c r="C4559" s="11" t="s">
        <v>2644</v>
      </c>
    </row>
    <row r="4560" spans="1:4" ht="12.75" customHeight="1" x14ac:dyDescent="0.2">
      <c r="B4560" s="11" t="s">
        <v>2603</v>
      </c>
      <c r="C4560" s="11" t="s">
        <v>2604</v>
      </c>
    </row>
    <row r="4561" spans="1:4" ht="12.75" customHeight="1" x14ac:dyDescent="0.2">
      <c r="B4561" s="11" t="s">
        <v>2605</v>
      </c>
      <c r="C4561" s="11" t="s">
        <v>24</v>
      </c>
    </row>
    <row r="4562" spans="1:4" ht="12.75" customHeight="1" x14ac:dyDescent="0.2">
      <c r="B4562" s="11" t="s">
        <v>2606</v>
      </c>
      <c r="C4562" s="16" t="s">
        <v>280</v>
      </c>
      <c r="D4562" s="6" t="str">
        <f>HYPERLINK("javascript:void(0)","ezüst")</f>
        <v>ezüst</v>
      </c>
    </row>
    <row r="4563" spans="1:4" ht="12.75" customHeight="1" x14ac:dyDescent="0.2">
      <c r="B4563" s="2"/>
      <c r="C4563" s="15"/>
      <c r="D4563" s="2"/>
    </row>
    <row r="4564" spans="1:4" ht="12.75" customHeight="1" x14ac:dyDescent="0.2">
      <c r="B4564" s="2"/>
      <c r="C4564" s="15"/>
      <c r="D4564" s="2"/>
    </row>
    <row r="4565" spans="1:4" ht="12.75" customHeight="1" x14ac:dyDescent="0.2">
      <c r="A4565" s="13" t="s">
        <v>3301</v>
      </c>
      <c r="C4565" s="12"/>
    </row>
    <row r="4566" spans="1:4" ht="12.75" customHeight="1" x14ac:dyDescent="0.2">
      <c r="A4566" s="11"/>
      <c r="B4566" s="2"/>
      <c r="C4566" s="15"/>
      <c r="D4566" s="2"/>
    </row>
    <row r="4567" spans="1:4" ht="12.75" customHeight="1" x14ac:dyDescent="0.2">
      <c r="B4567" s="11" t="s">
        <v>0</v>
      </c>
      <c r="C4567" s="11" t="s">
        <v>324</v>
      </c>
    </row>
    <row r="4568" spans="1:4" ht="12.75" customHeight="1" x14ac:dyDescent="0.2">
      <c r="B4568" s="11" t="s">
        <v>2599</v>
      </c>
      <c r="C4568" s="11" t="s">
        <v>3302</v>
      </c>
    </row>
    <row r="4569" spans="1:4" ht="25.5" customHeight="1" x14ac:dyDescent="0.2">
      <c r="B4569" s="11" t="s">
        <v>2600</v>
      </c>
      <c r="C4569" s="11" t="s">
        <v>3303</v>
      </c>
    </row>
    <row r="4570" spans="1:4" ht="25.5" customHeight="1" x14ac:dyDescent="0.2">
      <c r="B4570" s="11" t="s">
        <v>2601</v>
      </c>
      <c r="C4570" s="11"/>
    </row>
    <row r="4571" spans="1:4" ht="12.75" customHeight="1" x14ac:dyDescent="0.2">
      <c r="B4571" s="11" t="s">
        <v>16</v>
      </c>
      <c r="C4571" s="11"/>
    </row>
    <row r="4572" spans="1:4" ht="12.75" customHeight="1" x14ac:dyDescent="0.2">
      <c r="B4572" s="11" t="s">
        <v>13</v>
      </c>
      <c r="C4572" s="11" t="s">
        <v>2644</v>
      </c>
    </row>
    <row r="4573" spans="1:4" ht="12.75" customHeight="1" x14ac:dyDescent="0.2">
      <c r="B4573" s="11" t="s">
        <v>2603</v>
      </c>
      <c r="C4573" s="11" t="s">
        <v>2604</v>
      </c>
    </row>
    <row r="4574" spans="1:4" ht="12.75" customHeight="1" x14ac:dyDescent="0.2">
      <c r="B4574" s="11" t="s">
        <v>2605</v>
      </c>
      <c r="C4574" s="11" t="s">
        <v>24</v>
      </c>
    </row>
    <row r="4575" spans="1:4" ht="12.75" customHeight="1" x14ac:dyDescent="0.2">
      <c r="B4575" s="11" t="s">
        <v>2606</v>
      </c>
      <c r="C4575" s="16" t="s">
        <v>44</v>
      </c>
      <c r="D4575" s="6" t="str">
        <f>HYPERLINK("javascript:void(0)","sejtmag")</f>
        <v>sejtmag</v>
      </c>
    </row>
    <row r="4576" spans="1:4" ht="12.75" customHeight="1" x14ac:dyDescent="0.2">
      <c r="B4576" s="2"/>
      <c r="C4576" s="15"/>
      <c r="D4576" s="2"/>
    </row>
    <row r="4577" spans="1:4" ht="12.75" customHeight="1" x14ac:dyDescent="0.2">
      <c r="B4577" s="2"/>
      <c r="C4577" s="15"/>
      <c r="D4577" s="2"/>
    </row>
    <row r="4578" spans="1:4" ht="12.75" customHeight="1" x14ac:dyDescent="0.2">
      <c r="A4578" s="13" t="s">
        <v>3304</v>
      </c>
      <c r="C4578" s="12"/>
    </row>
    <row r="4579" spans="1:4" ht="12.75" customHeight="1" x14ac:dyDescent="0.2">
      <c r="A4579" s="11"/>
      <c r="B4579" s="2"/>
      <c r="C4579" s="15"/>
      <c r="D4579" s="2"/>
    </row>
    <row r="4580" spans="1:4" ht="12.75" customHeight="1" x14ac:dyDescent="0.2">
      <c r="B4580" s="11" t="s">
        <v>0</v>
      </c>
      <c r="C4580" s="11" t="s">
        <v>324</v>
      </c>
    </row>
    <row r="4581" spans="1:4" ht="12.75" customHeight="1" x14ac:dyDescent="0.2">
      <c r="B4581" s="11" t="s">
        <v>2599</v>
      </c>
      <c r="C4581" s="11" t="s">
        <v>2059</v>
      </c>
    </row>
    <row r="4582" spans="1:4" ht="25.5" customHeight="1" x14ac:dyDescent="0.2">
      <c r="B4582" s="11" t="s">
        <v>2600</v>
      </c>
      <c r="C4582" s="11" t="s">
        <v>3305</v>
      </c>
    </row>
    <row r="4583" spans="1:4" ht="25.5" customHeight="1" x14ac:dyDescent="0.2">
      <c r="B4583" s="11" t="s">
        <v>2601</v>
      </c>
      <c r="C4583" s="11"/>
    </row>
    <row r="4584" spans="1:4" ht="12.75" customHeight="1" x14ac:dyDescent="0.2">
      <c r="B4584" s="11" t="s">
        <v>16</v>
      </c>
      <c r="C4584" s="11"/>
    </row>
    <row r="4585" spans="1:4" ht="12.75" customHeight="1" x14ac:dyDescent="0.2">
      <c r="B4585" s="11" t="s">
        <v>13</v>
      </c>
      <c r="C4585" s="11" t="s">
        <v>2644</v>
      </c>
    </row>
    <row r="4586" spans="1:4" ht="12.75" customHeight="1" x14ac:dyDescent="0.2">
      <c r="B4586" s="11" t="s">
        <v>2603</v>
      </c>
      <c r="C4586" s="11" t="s">
        <v>2604</v>
      </c>
    </row>
    <row r="4587" spans="1:4" ht="12.75" customHeight="1" x14ac:dyDescent="0.2">
      <c r="B4587" s="11" t="s">
        <v>2605</v>
      </c>
      <c r="C4587" s="11" t="s">
        <v>24</v>
      </c>
    </row>
    <row r="4588" spans="1:4" ht="12.75" customHeight="1" x14ac:dyDescent="0.2">
      <c r="B4588" s="11" t="s">
        <v>2606</v>
      </c>
      <c r="C4588" s="16" t="s">
        <v>44</v>
      </c>
      <c r="D4588" s="6" t="str">
        <f>HYPERLINK("javascript:void(0)","dobhártya")</f>
        <v>dobhártya</v>
      </c>
    </row>
    <row r="4589" spans="1:4" ht="12.75" customHeight="1" x14ac:dyDescent="0.2">
      <c r="B4589" s="2"/>
      <c r="C4589" s="15"/>
      <c r="D4589" s="2"/>
    </row>
    <row r="4590" spans="1:4" ht="12.75" customHeight="1" x14ac:dyDescent="0.2">
      <c r="B4590" s="2"/>
      <c r="C4590" s="15"/>
      <c r="D4590" s="2"/>
    </row>
    <row r="4591" spans="1:4" ht="12.75" customHeight="1" x14ac:dyDescent="0.2">
      <c r="A4591" s="13" t="s">
        <v>3306</v>
      </c>
      <c r="C4591" s="12"/>
    </row>
    <row r="4592" spans="1:4" ht="12.75" customHeight="1" x14ac:dyDescent="0.2">
      <c r="A4592" s="11"/>
      <c r="B4592" s="2"/>
      <c r="C4592" s="15"/>
      <c r="D4592" s="2"/>
    </row>
    <row r="4593" spans="1:4" ht="12.75" customHeight="1" x14ac:dyDescent="0.2">
      <c r="B4593" s="11" t="s">
        <v>0</v>
      </c>
      <c r="C4593" s="11" t="s">
        <v>324</v>
      </c>
    </row>
    <row r="4594" spans="1:4" ht="12.75" customHeight="1" x14ac:dyDescent="0.2">
      <c r="B4594" s="11" t="s">
        <v>2599</v>
      </c>
      <c r="C4594" s="11" t="s">
        <v>213</v>
      </c>
    </row>
    <row r="4595" spans="1:4" ht="25.5" customHeight="1" x14ac:dyDescent="0.2">
      <c r="B4595" s="11" t="s">
        <v>2600</v>
      </c>
      <c r="C4595" s="11" t="s">
        <v>3307</v>
      </c>
    </row>
    <row r="4596" spans="1:4" ht="25.5" customHeight="1" x14ac:dyDescent="0.2">
      <c r="B4596" s="11" t="s">
        <v>2601</v>
      </c>
      <c r="C4596" s="11"/>
    </row>
    <row r="4597" spans="1:4" ht="12.75" customHeight="1" x14ac:dyDescent="0.2">
      <c r="B4597" s="11" t="s">
        <v>16</v>
      </c>
      <c r="C4597" s="11"/>
    </row>
    <row r="4598" spans="1:4" ht="12.75" customHeight="1" x14ac:dyDescent="0.2">
      <c r="B4598" s="11" t="s">
        <v>13</v>
      </c>
      <c r="C4598" s="11" t="s">
        <v>2644</v>
      </c>
    </row>
    <row r="4599" spans="1:4" ht="12.75" customHeight="1" x14ac:dyDescent="0.2">
      <c r="B4599" s="11" t="s">
        <v>2603</v>
      </c>
      <c r="C4599" s="11" t="s">
        <v>2604</v>
      </c>
    </row>
    <row r="4600" spans="1:4" ht="12.75" customHeight="1" x14ac:dyDescent="0.2">
      <c r="B4600" s="11" t="s">
        <v>2605</v>
      </c>
      <c r="C4600" s="11" t="s">
        <v>24</v>
      </c>
    </row>
    <row r="4601" spans="1:4" ht="25.5" customHeight="1" x14ac:dyDescent="0.2">
      <c r="B4601" s="11" t="s">
        <v>2606</v>
      </c>
      <c r="C4601" s="16" t="s">
        <v>44</v>
      </c>
      <c r="D4601" s="6" t="str">
        <f>HYPERLINK("javascript:void(0)","membránplazma")</f>
        <v>membránplazma</v>
      </c>
    </row>
    <row r="4602" spans="1:4" ht="12.75" customHeight="1" x14ac:dyDescent="0.2">
      <c r="B4602" s="2"/>
      <c r="C4602" s="15"/>
      <c r="D4602" s="2"/>
    </row>
    <row r="4603" spans="1:4" ht="12.75" customHeight="1" x14ac:dyDescent="0.2">
      <c r="B4603" s="2"/>
      <c r="C4603" s="15"/>
      <c r="D4603" s="2"/>
    </row>
    <row r="4604" spans="1:4" ht="12.75" customHeight="1" x14ac:dyDescent="0.2">
      <c r="A4604" s="13" t="s">
        <v>3308</v>
      </c>
      <c r="C4604" s="12"/>
      <c r="D4604" s="2"/>
    </row>
    <row r="4605" spans="1:4" ht="12.75" customHeight="1" x14ac:dyDescent="0.2">
      <c r="A4605" s="11"/>
      <c r="B4605" s="2"/>
      <c r="C4605" s="15"/>
      <c r="D4605" s="2"/>
    </row>
    <row r="4606" spans="1:4" ht="12.75" customHeight="1" x14ac:dyDescent="0.2">
      <c r="B4606" s="11" t="s">
        <v>0</v>
      </c>
      <c r="C4606" s="17" t="s">
        <v>178</v>
      </c>
      <c r="D4606" s="2"/>
    </row>
    <row r="4607" spans="1:4" ht="12.75" customHeight="1" x14ac:dyDescent="0.2">
      <c r="B4607" s="11" t="s">
        <v>2599</v>
      </c>
      <c r="C4607" s="17" t="s">
        <v>3309</v>
      </c>
      <c r="D4607" s="2"/>
    </row>
    <row r="4608" spans="1:4" ht="25.5" customHeight="1" x14ac:dyDescent="0.2">
      <c r="B4608" s="11" t="s">
        <v>2600</v>
      </c>
      <c r="C4608" s="17" t="s">
        <v>3310</v>
      </c>
      <c r="D4608" s="2"/>
    </row>
    <row r="4609" spans="1:4" ht="25.5" customHeight="1" x14ac:dyDescent="0.2">
      <c r="B4609" s="11" t="s">
        <v>2601</v>
      </c>
      <c r="C4609" s="17"/>
      <c r="D4609" s="2"/>
    </row>
    <row r="4610" spans="1:4" ht="12.75" customHeight="1" x14ac:dyDescent="0.2">
      <c r="B4610" s="11" t="s">
        <v>16</v>
      </c>
      <c r="C4610" s="17"/>
      <c r="D4610" s="2"/>
    </row>
    <row r="4611" spans="1:4" ht="12.75" customHeight="1" x14ac:dyDescent="0.2">
      <c r="B4611" s="11" t="s">
        <v>13</v>
      </c>
      <c r="C4611" s="17" t="s">
        <v>2644</v>
      </c>
      <c r="D4611" s="2"/>
    </row>
    <row r="4612" spans="1:4" ht="12.75" customHeight="1" x14ac:dyDescent="0.2">
      <c r="B4612" s="11" t="s">
        <v>2603</v>
      </c>
      <c r="C4612" s="17" t="s">
        <v>128</v>
      </c>
      <c r="D4612" s="2"/>
    </row>
    <row r="4613" spans="1:4" ht="12.75" customHeight="1" x14ac:dyDescent="0.2">
      <c r="B4613" s="11" t="s">
        <v>2605</v>
      </c>
      <c r="C4613" s="17" t="s">
        <v>14</v>
      </c>
      <c r="D4613" s="2"/>
    </row>
    <row r="4614" spans="1:4" ht="12.75" customHeight="1" x14ac:dyDescent="0.2">
      <c r="B4614" s="11" t="s">
        <v>2606</v>
      </c>
      <c r="C4614" s="16" t="s">
        <v>19</v>
      </c>
      <c r="D4614" s="2"/>
    </row>
    <row r="4615" spans="1:4" ht="12.75" customHeight="1" x14ac:dyDescent="0.2">
      <c r="B4615" s="2"/>
      <c r="C4615" s="15"/>
      <c r="D4615" s="2"/>
    </row>
    <row r="4616" spans="1:4" ht="12.75" customHeight="1" x14ac:dyDescent="0.2">
      <c r="B4616" s="2"/>
      <c r="C4616" s="15"/>
      <c r="D4616" s="2"/>
    </row>
    <row r="4617" spans="1:4" ht="12.75" customHeight="1" x14ac:dyDescent="0.2">
      <c r="A4617" s="13" t="s">
        <v>3254</v>
      </c>
      <c r="C4617" s="12"/>
      <c r="D4617" s="2"/>
    </row>
    <row r="4618" spans="1:4" ht="12.75" customHeight="1" x14ac:dyDescent="0.2">
      <c r="A4618" s="11"/>
      <c r="B4618" s="2"/>
      <c r="C4618" s="15"/>
      <c r="D4618" s="2"/>
    </row>
    <row r="4619" spans="1:4" ht="12.75" customHeight="1" x14ac:dyDescent="0.2">
      <c r="B4619" s="11" t="s">
        <v>0</v>
      </c>
      <c r="C4619" s="17" t="s">
        <v>178</v>
      </c>
      <c r="D4619" s="2"/>
    </row>
    <row r="4620" spans="1:4" ht="12.75" customHeight="1" x14ac:dyDescent="0.2">
      <c r="B4620" s="11" t="s">
        <v>2599</v>
      </c>
      <c r="C4620" s="17" t="s">
        <v>2454</v>
      </c>
      <c r="D4620" s="2"/>
    </row>
    <row r="4621" spans="1:4" ht="25.5" customHeight="1" x14ac:dyDescent="0.2">
      <c r="B4621" s="11" t="s">
        <v>2600</v>
      </c>
      <c r="C4621" s="17" t="s">
        <v>3311</v>
      </c>
      <c r="D4621" s="2"/>
    </row>
    <row r="4622" spans="1:4" ht="25.5" customHeight="1" x14ac:dyDescent="0.2">
      <c r="B4622" s="11" t="s">
        <v>2601</v>
      </c>
      <c r="C4622" s="17"/>
      <c r="D4622" s="2"/>
    </row>
    <row r="4623" spans="1:4" ht="12.75" customHeight="1" x14ac:dyDescent="0.2">
      <c r="B4623" s="11" t="s">
        <v>16</v>
      </c>
      <c r="C4623" s="17"/>
      <c r="D4623" s="2"/>
    </row>
    <row r="4624" spans="1:4" ht="12.75" customHeight="1" x14ac:dyDescent="0.2">
      <c r="B4624" s="11" t="s">
        <v>13</v>
      </c>
      <c r="C4624" s="17" t="s">
        <v>2644</v>
      </c>
      <c r="D4624" s="2"/>
    </row>
    <row r="4625" spans="1:4" ht="25.5" customHeight="1" x14ac:dyDescent="0.2">
      <c r="B4625" s="11" t="s">
        <v>2603</v>
      </c>
      <c r="C4625" s="17" t="s">
        <v>2971</v>
      </c>
      <c r="D4625" s="2"/>
    </row>
    <row r="4626" spans="1:4" ht="12.75" customHeight="1" x14ac:dyDescent="0.2">
      <c r="B4626" s="11" t="s">
        <v>2605</v>
      </c>
      <c r="C4626" s="17" t="s">
        <v>14</v>
      </c>
      <c r="D4626" s="2"/>
    </row>
    <row r="4627" spans="1:4" ht="12.75" customHeight="1" x14ac:dyDescent="0.2">
      <c r="B4627" s="11" t="s">
        <v>2606</v>
      </c>
      <c r="C4627" s="16" t="s">
        <v>19</v>
      </c>
      <c r="D4627" s="2"/>
    </row>
    <row r="4628" spans="1:4" ht="12.75" customHeight="1" x14ac:dyDescent="0.2">
      <c r="B4628" s="2"/>
      <c r="C4628" s="15"/>
      <c r="D4628" s="2"/>
    </row>
    <row r="4629" spans="1:4" ht="12.75" customHeight="1" x14ac:dyDescent="0.2">
      <c r="B4629" s="2"/>
      <c r="C4629" s="15"/>
      <c r="D4629" s="2"/>
    </row>
    <row r="4630" spans="1:4" ht="12.75" customHeight="1" x14ac:dyDescent="0.2">
      <c r="A4630" s="13" t="s">
        <v>3312</v>
      </c>
      <c r="C4630" s="12"/>
      <c r="D4630" s="2"/>
    </row>
    <row r="4631" spans="1:4" ht="12.75" customHeight="1" x14ac:dyDescent="0.2">
      <c r="A4631" s="11"/>
      <c r="B4631" s="2"/>
      <c r="C4631" s="15"/>
      <c r="D4631" s="2"/>
    </row>
    <row r="4632" spans="1:4" ht="12.75" customHeight="1" x14ac:dyDescent="0.2">
      <c r="B4632" s="11" t="s">
        <v>0</v>
      </c>
      <c r="C4632" s="17" t="s">
        <v>178</v>
      </c>
      <c r="D4632" s="2"/>
    </row>
    <row r="4633" spans="1:4" ht="12.75" customHeight="1" x14ac:dyDescent="0.2">
      <c r="B4633" s="11" t="s">
        <v>2599</v>
      </c>
      <c r="C4633" s="17" t="s">
        <v>3313</v>
      </c>
      <c r="D4633" s="2"/>
    </row>
    <row r="4634" spans="1:4" ht="25.5" customHeight="1" x14ac:dyDescent="0.2">
      <c r="B4634" s="11" t="s">
        <v>2600</v>
      </c>
      <c r="C4634" s="17" t="s">
        <v>3314</v>
      </c>
      <c r="D4634" s="2"/>
    </row>
    <row r="4635" spans="1:4" ht="25.5" customHeight="1" x14ac:dyDescent="0.2">
      <c r="B4635" s="11" t="s">
        <v>2601</v>
      </c>
      <c r="C4635" s="17"/>
      <c r="D4635" s="2"/>
    </row>
    <row r="4636" spans="1:4" ht="12.75" customHeight="1" x14ac:dyDescent="0.2">
      <c r="B4636" s="11" t="s">
        <v>16</v>
      </c>
      <c r="C4636" s="17"/>
      <c r="D4636" s="2"/>
    </row>
    <row r="4637" spans="1:4" ht="12.75" customHeight="1" x14ac:dyDescent="0.2">
      <c r="B4637" s="11" t="s">
        <v>13</v>
      </c>
      <c r="C4637" s="17" t="s">
        <v>2602</v>
      </c>
      <c r="D4637" s="2"/>
    </row>
    <row r="4638" spans="1:4" ht="25.5" customHeight="1" x14ac:dyDescent="0.2">
      <c r="B4638" s="11" t="s">
        <v>2603</v>
      </c>
      <c r="C4638" s="17" t="s">
        <v>2971</v>
      </c>
      <c r="D4638" s="2"/>
    </row>
    <row r="4639" spans="1:4" ht="12.75" customHeight="1" x14ac:dyDescent="0.2">
      <c r="B4639" s="11" t="s">
        <v>2605</v>
      </c>
      <c r="C4639" s="17" t="s">
        <v>14</v>
      </c>
      <c r="D4639" s="2"/>
    </row>
    <row r="4640" spans="1:4" ht="12.75" customHeight="1" x14ac:dyDescent="0.2">
      <c r="B4640" s="11" t="s">
        <v>2606</v>
      </c>
      <c r="C4640" s="16" t="s">
        <v>19</v>
      </c>
      <c r="D4640" s="2"/>
    </row>
    <row r="4641" spans="1:4" ht="12.75" customHeight="1" x14ac:dyDescent="0.2">
      <c r="B4641" s="2"/>
      <c r="C4641" s="15"/>
      <c r="D4641" s="2"/>
    </row>
    <row r="4642" spans="1:4" ht="12.75" customHeight="1" x14ac:dyDescent="0.2">
      <c r="B4642" s="2"/>
      <c r="C4642" s="15"/>
      <c r="D4642" s="2"/>
    </row>
    <row r="4643" spans="1:4" ht="12.75" customHeight="1" x14ac:dyDescent="0.2">
      <c r="A4643" s="13" t="s">
        <v>3257</v>
      </c>
      <c r="C4643" s="12"/>
      <c r="D4643" s="2"/>
    </row>
    <row r="4644" spans="1:4" ht="12.75" customHeight="1" x14ac:dyDescent="0.2">
      <c r="A4644" s="11"/>
      <c r="B4644" s="2"/>
      <c r="C4644" s="15"/>
      <c r="D4644" s="2"/>
    </row>
    <row r="4645" spans="1:4" ht="12.75" customHeight="1" x14ac:dyDescent="0.2">
      <c r="B4645" s="11" t="s">
        <v>0</v>
      </c>
      <c r="C4645" s="17" t="s">
        <v>178</v>
      </c>
      <c r="D4645" s="2"/>
    </row>
    <row r="4646" spans="1:4" ht="12.75" customHeight="1" x14ac:dyDescent="0.2">
      <c r="B4646" s="11" t="s">
        <v>2599</v>
      </c>
      <c r="C4646" s="17" t="s">
        <v>3258</v>
      </c>
      <c r="D4646" s="2"/>
    </row>
    <row r="4647" spans="1:4" ht="25.5" customHeight="1" x14ac:dyDescent="0.2">
      <c r="B4647" s="11" t="s">
        <v>2600</v>
      </c>
      <c r="C4647" s="17" t="s">
        <v>3315</v>
      </c>
      <c r="D4647" s="2"/>
    </row>
    <row r="4648" spans="1:4" ht="25.5" customHeight="1" x14ac:dyDescent="0.2">
      <c r="B4648" s="11" t="s">
        <v>2601</v>
      </c>
      <c r="C4648" s="17"/>
      <c r="D4648" s="2"/>
    </row>
    <row r="4649" spans="1:4" ht="12.75" customHeight="1" x14ac:dyDescent="0.2">
      <c r="B4649" s="11" t="s">
        <v>16</v>
      </c>
      <c r="C4649" s="17"/>
      <c r="D4649" s="2"/>
    </row>
    <row r="4650" spans="1:4" ht="12.75" customHeight="1" x14ac:dyDescent="0.2">
      <c r="B4650" s="11" t="s">
        <v>13</v>
      </c>
      <c r="C4650" s="17" t="s">
        <v>2602</v>
      </c>
      <c r="D4650" s="2"/>
    </row>
    <row r="4651" spans="1:4" ht="25.5" customHeight="1" x14ac:dyDescent="0.2">
      <c r="B4651" s="11" t="s">
        <v>2603</v>
      </c>
      <c r="C4651" s="17" t="s">
        <v>2971</v>
      </c>
      <c r="D4651" s="2"/>
    </row>
    <row r="4652" spans="1:4" ht="12.75" customHeight="1" x14ac:dyDescent="0.2">
      <c r="B4652" s="11" t="s">
        <v>2605</v>
      </c>
      <c r="C4652" s="17" t="s">
        <v>14</v>
      </c>
      <c r="D4652" s="2"/>
    </row>
    <row r="4653" spans="1:4" ht="12.75" customHeight="1" x14ac:dyDescent="0.2">
      <c r="B4653" s="11" t="s">
        <v>2606</v>
      </c>
      <c r="C4653" s="16" t="s">
        <v>19</v>
      </c>
      <c r="D4653" s="2"/>
    </row>
    <row r="4654" spans="1:4" ht="12.75" customHeight="1" x14ac:dyDescent="0.2">
      <c r="B4654" s="2"/>
      <c r="C4654" s="15"/>
      <c r="D4654" s="2"/>
    </row>
    <row r="4655" spans="1:4" ht="12.75" customHeight="1" x14ac:dyDescent="0.2">
      <c r="B4655" s="2"/>
      <c r="C4655" s="15"/>
      <c r="D4655" s="2"/>
    </row>
    <row r="4656" spans="1:4" ht="12.75" customHeight="1" x14ac:dyDescent="0.2">
      <c r="A4656" s="13" t="s">
        <v>3260</v>
      </c>
      <c r="C4656" s="12"/>
      <c r="D4656" s="2"/>
    </row>
    <row r="4657" spans="1:4" ht="12.75" customHeight="1" x14ac:dyDescent="0.2">
      <c r="A4657" s="11"/>
      <c r="B4657" s="2"/>
      <c r="C4657" s="15"/>
      <c r="D4657" s="2"/>
    </row>
    <row r="4658" spans="1:4" ht="12.75" customHeight="1" x14ac:dyDescent="0.2">
      <c r="B4658" s="11" t="s">
        <v>0</v>
      </c>
      <c r="C4658" s="17" t="s">
        <v>178</v>
      </c>
      <c r="D4658" s="2"/>
    </row>
    <row r="4659" spans="1:4" ht="12.75" customHeight="1" x14ac:dyDescent="0.2">
      <c r="B4659" s="11" t="s">
        <v>2599</v>
      </c>
      <c r="C4659" s="17" t="s">
        <v>3261</v>
      </c>
      <c r="D4659" s="2"/>
    </row>
    <row r="4660" spans="1:4" ht="25.5" customHeight="1" x14ac:dyDescent="0.2">
      <c r="B4660" s="11" t="s">
        <v>2600</v>
      </c>
      <c r="C4660" s="17" t="s">
        <v>3316</v>
      </c>
      <c r="D4660" s="2"/>
    </row>
    <row r="4661" spans="1:4" ht="25.5" customHeight="1" x14ac:dyDescent="0.2">
      <c r="B4661" s="11" t="s">
        <v>2601</v>
      </c>
      <c r="C4661" s="17"/>
      <c r="D4661" s="2"/>
    </row>
    <row r="4662" spans="1:4" ht="12.75" customHeight="1" x14ac:dyDescent="0.2">
      <c r="B4662" s="11" t="s">
        <v>16</v>
      </c>
      <c r="C4662" s="17"/>
      <c r="D4662" s="2"/>
    </row>
    <row r="4663" spans="1:4" ht="12.75" customHeight="1" x14ac:dyDescent="0.2">
      <c r="B4663" s="11" t="s">
        <v>13</v>
      </c>
      <c r="C4663" s="17" t="s">
        <v>2644</v>
      </c>
      <c r="D4663" s="2"/>
    </row>
    <row r="4664" spans="1:4" ht="25.5" customHeight="1" x14ac:dyDescent="0.2">
      <c r="B4664" s="11" t="s">
        <v>2603</v>
      </c>
      <c r="C4664" s="17" t="s">
        <v>2971</v>
      </c>
      <c r="D4664" s="2"/>
    </row>
    <row r="4665" spans="1:4" ht="12.75" customHeight="1" x14ac:dyDescent="0.2">
      <c r="B4665" s="11" t="s">
        <v>2605</v>
      </c>
      <c r="C4665" s="17" t="s">
        <v>14</v>
      </c>
      <c r="D4665" s="2"/>
    </row>
    <row r="4666" spans="1:4" ht="12.75" customHeight="1" x14ac:dyDescent="0.2">
      <c r="B4666" s="11" t="s">
        <v>2606</v>
      </c>
      <c r="C4666" s="16" t="s">
        <v>19</v>
      </c>
      <c r="D4666" s="2"/>
    </row>
    <row r="4667" spans="1:4" ht="12.75" customHeight="1" x14ac:dyDescent="0.2">
      <c r="B4667" s="2"/>
      <c r="C4667" s="15"/>
      <c r="D4667" s="2"/>
    </row>
    <row r="4668" spans="1:4" ht="12.75" customHeight="1" x14ac:dyDescent="0.2">
      <c r="B4668" s="2"/>
      <c r="C4668" s="15"/>
      <c r="D4668" s="2"/>
    </row>
    <row r="4669" spans="1:4" ht="12.75" customHeight="1" x14ac:dyDescent="0.2">
      <c r="A4669" s="13" t="s">
        <v>3317</v>
      </c>
      <c r="C4669" s="12"/>
    </row>
    <row r="4670" spans="1:4" ht="12.75" customHeight="1" x14ac:dyDescent="0.2">
      <c r="A4670" s="11"/>
      <c r="B4670" s="2"/>
      <c r="C4670" s="15"/>
      <c r="D4670" s="2"/>
    </row>
    <row r="4671" spans="1:4" ht="12.75" customHeight="1" x14ac:dyDescent="0.2">
      <c r="B4671" s="11" t="s">
        <v>0</v>
      </c>
      <c r="C4671" s="11" t="s">
        <v>178</v>
      </c>
    </row>
    <row r="4672" spans="1:4" ht="12.75" customHeight="1" x14ac:dyDescent="0.2">
      <c r="B4672" s="11" t="s">
        <v>2599</v>
      </c>
      <c r="C4672" s="11" t="s">
        <v>1156</v>
      </c>
    </row>
    <row r="4673" spans="1:4" ht="25.5" customHeight="1" x14ac:dyDescent="0.2">
      <c r="B4673" s="11" t="s">
        <v>2600</v>
      </c>
      <c r="C4673" s="11" t="s">
        <v>3318</v>
      </c>
    </row>
    <row r="4674" spans="1:4" ht="25.5" customHeight="1" x14ac:dyDescent="0.2">
      <c r="B4674" s="11" t="s">
        <v>2601</v>
      </c>
      <c r="C4674" s="11"/>
    </row>
    <row r="4675" spans="1:4" ht="12.75" customHeight="1" x14ac:dyDescent="0.2">
      <c r="B4675" s="11" t="s">
        <v>16</v>
      </c>
      <c r="C4675" s="11"/>
    </row>
    <row r="4676" spans="1:4" ht="12.75" customHeight="1" x14ac:dyDescent="0.2">
      <c r="B4676" s="11" t="s">
        <v>13</v>
      </c>
      <c r="C4676" s="11" t="s">
        <v>2602</v>
      </c>
    </row>
    <row r="4677" spans="1:4" ht="12.75" customHeight="1" x14ac:dyDescent="0.2">
      <c r="B4677" s="11" t="s">
        <v>2603</v>
      </c>
      <c r="C4677" s="11" t="s">
        <v>2604</v>
      </c>
    </row>
    <row r="4678" spans="1:4" ht="12.75" customHeight="1" x14ac:dyDescent="0.2">
      <c r="B4678" s="11" t="s">
        <v>2605</v>
      </c>
      <c r="C4678" s="11" t="s">
        <v>24</v>
      </c>
    </row>
    <row r="4679" spans="1:4" ht="12.75" customHeight="1" x14ac:dyDescent="0.2">
      <c r="B4679" s="11" t="s">
        <v>2606</v>
      </c>
      <c r="C4679" s="16" t="s">
        <v>57</v>
      </c>
      <c r="D4679" s="6" t="str">
        <f>HYPERLINK("javascript:void(0)","kaja")</f>
        <v>kaja</v>
      </c>
    </row>
    <row r="4680" spans="1:4" ht="12.75" customHeight="1" x14ac:dyDescent="0.2">
      <c r="B4680" s="2"/>
      <c r="C4680" s="15"/>
      <c r="D4680" s="2"/>
    </row>
    <row r="4681" spans="1:4" ht="12.75" customHeight="1" x14ac:dyDescent="0.2">
      <c r="B4681" s="2"/>
      <c r="C4681" s="15"/>
      <c r="D4681" s="2"/>
    </row>
    <row r="4682" spans="1:4" ht="12.75" customHeight="1" x14ac:dyDescent="0.2">
      <c r="A4682" s="13" t="s">
        <v>3319</v>
      </c>
      <c r="C4682" s="12"/>
    </row>
    <row r="4683" spans="1:4" ht="12.75" customHeight="1" x14ac:dyDescent="0.2">
      <c r="A4683" s="11"/>
      <c r="B4683" s="2"/>
      <c r="C4683" s="15"/>
      <c r="D4683" s="2"/>
    </row>
    <row r="4684" spans="1:4" ht="12.75" customHeight="1" x14ac:dyDescent="0.2">
      <c r="B4684" s="11" t="s">
        <v>0</v>
      </c>
      <c r="C4684" s="11" t="s">
        <v>178</v>
      </c>
    </row>
    <row r="4685" spans="1:4" ht="12.75" customHeight="1" x14ac:dyDescent="0.2">
      <c r="B4685" s="11" t="s">
        <v>2599</v>
      </c>
      <c r="C4685" s="11" t="s">
        <v>864</v>
      </c>
    </row>
    <row r="4686" spans="1:4" ht="25.5" customHeight="1" x14ac:dyDescent="0.2">
      <c r="B4686" s="11" t="s">
        <v>2600</v>
      </c>
      <c r="C4686" s="11" t="s">
        <v>3320</v>
      </c>
    </row>
    <row r="4687" spans="1:4" ht="25.5" customHeight="1" x14ac:dyDescent="0.2">
      <c r="B4687" s="11" t="s">
        <v>2601</v>
      </c>
      <c r="C4687" s="11"/>
    </row>
    <row r="4688" spans="1:4" ht="12.75" customHeight="1" x14ac:dyDescent="0.2">
      <c r="B4688" s="11" t="s">
        <v>16</v>
      </c>
      <c r="C4688" s="11"/>
    </row>
    <row r="4689" spans="1:4" ht="12.75" customHeight="1" x14ac:dyDescent="0.2">
      <c r="B4689" s="11" t="s">
        <v>13</v>
      </c>
      <c r="C4689" s="11" t="s">
        <v>2644</v>
      </c>
    </row>
    <row r="4690" spans="1:4" ht="12.75" customHeight="1" x14ac:dyDescent="0.2">
      <c r="B4690" s="11" t="s">
        <v>2603</v>
      </c>
      <c r="C4690" s="11" t="s">
        <v>2604</v>
      </c>
    </row>
    <row r="4691" spans="1:4" ht="12.75" customHeight="1" x14ac:dyDescent="0.2">
      <c r="B4691" s="11" t="s">
        <v>2605</v>
      </c>
      <c r="C4691" s="11" t="s">
        <v>24</v>
      </c>
    </row>
    <row r="4692" spans="1:4" ht="25.5" customHeight="1" x14ac:dyDescent="0.2">
      <c r="B4692" s="11" t="s">
        <v>2606</v>
      </c>
      <c r="C4692" s="16" t="s">
        <v>55</v>
      </c>
      <c r="D4692" s="6" t="str">
        <f>HYPERLINK("javascript:void(0)","kristályfolyadék")</f>
        <v>kristályfolyadék</v>
      </c>
    </row>
    <row r="4693" spans="1:4" ht="12.75" customHeight="1" x14ac:dyDescent="0.2">
      <c r="B4693" s="2"/>
      <c r="C4693" s="15"/>
      <c r="D4693" s="2"/>
    </row>
    <row r="4694" spans="1:4" ht="12.75" customHeight="1" x14ac:dyDescent="0.2">
      <c r="B4694" s="2"/>
      <c r="C4694" s="15"/>
      <c r="D4694" s="2"/>
    </row>
    <row r="4695" spans="1:4" ht="12.75" customHeight="1" x14ac:dyDescent="0.2">
      <c r="A4695" s="13" t="s">
        <v>3321</v>
      </c>
      <c r="C4695" s="12"/>
    </row>
    <row r="4696" spans="1:4" ht="12.75" customHeight="1" x14ac:dyDescent="0.2">
      <c r="A4696" s="11"/>
      <c r="B4696" s="2"/>
      <c r="C4696" s="15"/>
      <c r="D4696" s="2"/>
    </row>
    <row r="4697" spans="1:4" ht="12.75" customHeight="1" x14ac:dyDescent="0.2">
      <c r="B4697" s="11" t="s">
        <v>0</v>
      </c>
      <c r="C4697" s="11" t="s">
        <v>178</v>
      </c>
    </row>
    <row r="4698" spans="1:4" ht="12.75" customHeight="1" x14ac:dyDescent="0.2">
      <c r="B4698" s="11" t="s">
        <v>2599</v>
      </c>
      <c r="C4698" s="11" t="s">
        <v>3322</v>
      </c>
    </row>
    <row r="4699" spans="1:4" ht="25.5" customHeight="1" x14ac:dyDescent="0.2">
      <c r="B4699" s="11" t="s">
        <v>2600</v>
      </c>
      <c r="C4699" s="11" t="s">
        <v>3323</v>
      </c>
    </row>
    <row r="4700" spans="1:4" ht="25.5" customHeight="1" x14ac:dyDescent="0.2">
      <c r="B4700" s="11" t="s">
        <v>2601</v>
      </c>
      <c r="C4700" s="11"/>
    </row>
    <row r="4701" spans="1:4" ht="12.75" customHeight="1" x14ac:dyDescent="0.2">
      <c r="B4701" s="11" t="s">
        <v>16</v>
      </c>
      <c r="C4701" s="11"/>
    </row>
    <row r="4702" spans="1:4" ht="12.75" customHeight="1" x14ac:dyDescent="0.2">
      <c r="B4702" s="11" t="s">
        <v>13</v>
      </c>
      <c r="C4702" s="11" t="s">
        <v>2644</v>
      </c>
    </row>
    <row r="4703" spans="1:4" ht="12.75" customHeight="1" x14ac:dyDescent="0.2">
      <c r="B4703" s="11" t="s">
        <v>2603</v>
      </c>
      <c r="C4703" s="11" t="s">
        <v>2604</v>
      </c>
    </row>
    <row r="4704" spans="1:4" ht="12.75" customHeight="1" x14ac:dyDescent="0.2">
      <c r="B4704" s="11" t="s">
        <v>2605</v>
      </c>
      <c r="C4704" s="11" t="s">
        <v>24</v>
      </c>
    </row>
    <row r="4705" spans="1:4" ht="12.75" customHeight="1" x14ac:dyDescent="0.2">
      <c r="B4705" s="11" t="s">
        <v>2606</v>
      </c>
      <c r="C4705" s="16" t="s">
        <v>44</v>
      </c>
      <c r="D4705" s="6" t="str">
        <f>HYPERLINK("javascript:void(0)","fénynyaláb")</f>
        <v>fénynyaláb</v>
      </c>
    </row>
    <row r="4706" spans="1:4" ht="12.75" customHeight="1" x14ac:dyDescent="0.2">
      <c r="B4706" s="2"/>
      <c r="C4706" s="15"/>
      <c r="D4706" s="2"/>
    </row>
    <row r="4707" spans="1:4" ht="12.75" customHeight="1" x14ac:dyDescent="0.2">
      <c r="B4707" s="2"/>
      <c r="C4707" s="15"/>
      <c r="D4707" s="2"/>
    </row>
    <row r="4708" spans="1:4" ht="12.75" customHeight="1" x14ac:dyDescent="0.2">
      <c r="A4708" s="13" t="s">
        <v>3324</v>
      </c>
      <c r="C4708" s="12"/>
    </row>
    <row r="4709" spans="1:4" ht="12.75" customHeight="1" x14ac:dyDescent="0.2">
      <c r="A4709" s="11"/>
      <c r="B4709" s="2"/>
      <c r="C4709" s="15"/>
      <c r="D4709" s="2"/>
    </row>
    <row r="4710" spans="1:4" ht="12.75" customHeight="1" x14ac:dyDescent="0.2">
      <c r="B4710" s="11" t="s">
        <v>0</v>
      </c>
      <c r="C4710" s="11" t="s">
        <v>178</v>
      </c>
    </row>
    <row r="4711" spans="1:4" ht="12.75" customHeight="1" x14ac:dyDescent="0.2">
      <c r="B4711" s="11" t="s">
        <v>2599</v>
      </c>
      <c r="C4711" s="11" t="s">
        <v>3325</v>
      </c>
    </row>
    <row r="4712" spans="1:4" ht="25.5" customHeight="1" x14ac:dyDescent="0.2">
      <c r="B4712" s="11" t="s">
        <v>2600</v>
      </c>
      <c r="C4712" s="11" t="s">
        <v>3326</v>
      </c>
    </row>
    <row r="4713" spans="1:4" ht="25.5" customHeight="1" x14ac:dyDescent="0.2">
      <c r="B4713" s="11" t="s">
        <v>2601</v>
      </c>
      <c r="C4713" s="11"/>
    </row>
    <row r="4714" spans="1:4" ht="12.75" customHeight="1" x14ac:dyDescent="0.2">
      <c r="B4714" s="11" t="s">
        <v>16</v>
      </c>
      <c r="C4714" s="11"/>
    </row>
    <row r="4715" spans="1:4" ht="12.75" customHeight="1" x14ac:dyDescent="0.2">
      <c r="B4715" s="11" t="s">
        <v>13</v>
      </c>
      <c r="C4715" s="11" t="s">
        <v>2644</v>
      </c>
    </row>
    <row r="4716" spans="1:4" ht="12.75" customHeight="1" x14ac:dyDescent="0.2">
      <c r="B4716" s="11" t="s">
        <v>2603</v>
      </c>
      <c r="C4716" s="11" t="s">
        <v>2604</v>
      </c>
    </row>
    <row r="4717" spans="1:4" ht="12.75" customHeight="1" x14ac:dyDescent="0.2">
      <c r="B4717" s="11" t="s">
        <v>2605</v>
      </c>
      <c r="C4717" s="11" t="s">
        <v>24</v>
      </c>
    </row>
    <row r="4718" spans="1:4" ht="12.75" customHeight="1" x14ac:dyDescent="0.2">
      <c r="B4718" s="11" t="s">
        <v>2606</v>
      </c>
      <c r="C4718" s="16" t="s">
        <v>323</v>
      </c>
      <c r="D4718" s="6" t="str">
        <f>HYPERLINK("javascript:void(0)","ezüst")</f>
        <v>ezüst</v>
      </c>
    </row>
    <row r="4719" spans="1:4" ht="12.75" customHeight="1" x14ac:dyDescent="0.2">
      <c r="C4719" s="16" t="s">
        <v>44</v>
      </c>
      <c r="D4719" s="6" t="str">
        <f>HYPERLINK("javascript:void(0)","vászoning")</f>
        <v>vászoning</v>
      </c>
    </row>
    <row r="4720" spans="1:4" ht="12.75" customHeight="1" x14ac:dyDescent="0.2">
      <c r="B4720" s="2"/>
      <c r="C4720" s="15"/>
      <c r="D4720" s="2"/>
    </row>
    <row r="4721" spans="1:4" ht="12.75" customHeight="1" x14ac:dyDescent="0.2">
      <c r="B4721" s="2"/>
      <c r="C4721" s="15"/>
      <c r="D4721" s="2"/>
    </row>
    <row r="4722" spans="1:4" ht="12.75" customHeight="1" x14ac:dyDescent="0.2">
      <c r="A4722" s="13" t="s">
        <v>3327</v>
      </c>
      <c r="C4722" s="12"/>
    </row>
    <row r="4723" spans="1:4" ht="12.75" customHeight="1" x14ac:dyDescent="0.2">
      <c r="A4723" s="11"/>
      <c r="B4723" s="2"/>
      <c r="C4723" s="15"/>
      <c r="D4723" s="2"/>
    </row>
    <row r="4724" spans="1:4" ht="12.75" customHeight="1" x14ac:dyDescent="0.2">
      <c r="B4724" s="11" t="s">
        <v>0</v>
      </c>
      <c r="C4724" s="11" t="s">
        <v>178</v>
      </c>
    </row>
    <row r="4725" spans="1:4" ht="12.75" customHeight="1" x14ac:dyDescent="0.2">
      <c r="B4725" s="11" t="s">
        <v>2599</v>
      </c>
      <c r="C4725" s="11" t="s">
        <v>2512</v>
      </c>
    </row>
    <row r="4726" spans="1:4" ht="25.5" customHeight="1" x14ac:dyDescent="0.2">
      <c r="B4726" s="11" t="s">
        <v>2600</v>
      </c>
      <c r="C4726" s="11" t="s">
        <v>3328</v>
      </c>
    </row>
    <row r="4727" spans="1:4" ht="25.5" customHeight="1" x14ac:dyDescent="0.2">
      <c r="B4727" s="11" t="s">
        <v>2601</v>
      </c>
      <c r="C4727" s="11"/>
    </row>
    <row r="4728" spans="1:4" ht="12.75" customHeight="1" x14ac:dyDescent="0.2">
      <c r="B4728" s="11" t="s">
        <v>16</v>
      </c>
      <c r="C4728" s="11"/>
    </row>
    <row r="4729" spans="1:4" ht="12.75" customHeight="1" x14ac:dyDescent="0.2">
      <c r="B4729" s="11" t="s">
        <v>13</v>
      </c>
      <c r="C4729" s="11" t="s">
        <v>2644</v>
      </c>
    </row>
    <row r="4730" spans="1:4" ht="12.75" customHeight="1" x14ac:dyDescent="0.2">
      <c r="B4730" s="11" t="s">
        <v>2603</v>
      </c>
      <c r="C4730" s="11" t="s">
        <v>2604</v>
      </c>
    </row>
    <row r="4731" spans="1:4" ht="12.75" customHeight="1" x14ac:dyDescent="0.2">
      <c r="B4731" s="11" t="s">
        <v>2605</v>
      </c>
      <c r="C4731" s="11" t="s">
        <v>24</v>
      </c>
    </row>
    <row r="4732" spans="1:4" ht="12.75" customHeight="1" x14ac:dyDescent="0.2">
      <c r="B4732" s="11" t="s">
        <v>2606</v>
      </c>
      <c r="C4732" s="16" t="s">
        <v>56</v>
      </c>
      <c r="D4732" s="6" t="str">
        <f>HYPERLINK("javascript:void(0)","fülpenge")</f>
        <v>fülpenge</v>
      </c>
    </row>
    <row r="4733" spans="1:4" ht="12.75" customHeight="1" x14ac:dyDescent="0.2">
      <c r="B4733" s="2"/>
      <c r="C4733" s="15"/>
      <c r="D4733" s="2"/>
    </row>
    <row r="4734" spans="1:4" ht="12.75" customHeight="1" x14ac:dyDescent="0.2">
      <c r="B4734" s="2"/>
      <c r="C4734" s="15"/>
      <c r="D4734" s="2"/>
    </row>
    <row r="4735" spans="1:4" ht="12.75" customHeight="1" x14ac:dyDescent="0.2">
      <c r="A4735" s="13" t="s">
        <v>3329</v>
      </c>
      <c r="C4735" s="12"/>
    </row>
    <row r="4736" spans="1:4" ht="12.75" customHeight="1" x14ac:dyDescent="0.2">
      <c r="A4736" s="11"/>
      <c r="B4736" s="2"/>
      <c r="C4736" s="15"/>
      <c r="D4736" s="2"/>
    </row>
    <row r="4737" spans="1:4" ht="12.75" customHeight="1" x14ac:dyDescent="0.2">
      <c r="B4737" s="11" t="s">
        <v>0</v>
      </c>
      <c r="C4737" s="11" t="s">
        <v>178</v>
      </c>
    </row>
    <row r="4738" spans="1:4" ht="12.75" customHeight="1" x14ac:dyDescent="0.2">
      <c r="B4738" s="11" t="s">
        <v>2599</v>
      </c>
      <c r="C4738" s="11" t="s">
        <v>3330</v>
      </c>
    </row>
    <row r="4739" spans="1:4" ht="25.5" customHeight="1" x14ac:dyDescent="0.2">
      <c r="B4739" s="11" t="s">
        <v>2600</v>
      </c>
      <c r="C4739" s="11" t="s">
        <v>3331</v>
      </c>
    </row>
    <row r="4740" spans="1:4" ht="25.5" customHeight="1" x14ac:dyDescent="0.2">
      <c r="B4740" s="11" t="s">
        <v>2601</v>
      </c>
      <c r="C4740" s="11"/>
    </row>
    <row r="4741" spans="1:4" ht="12.75" customHeight="1" x14ac:dyDescent="0.2">
      <c r="B4741" s="11" t="s">
        <v>16</v>
      </c>
      <c r="C4741" s="11"/>
    </row>
    <row r="4742" spans="1:4" ht="12.75" customHeight="1" x14ac:dyDescent="0.2">
      <c r="B4742" s="11" t="s">
        <v>13</v>
      </c>
      <c r="C4742" s="11" t="s">
        <v>2644</v>
      </c>
    </row>
    <row r="4743" spans="1:4" ht="12.75" customHeight="1" x14ac:dyDescent="0.2">
      <c r="B4743" s="11" t="s">
        <v>2603</v>
      </c>
      <c r="C4743" s="11" t="s">
        <v>2604</v>
      </c>
    </row>
    <row r="4744" spans="1:4" ht="12.75" customHeight="1" x14ac:dyDescent="0.2">
      <c r="B4744" s="11" t="s">
        <v>2605</v>
      </c>
      <c r="C4744" s="11" t="s">
        <v>24</v>
      </c>
    </row>
    <row r="4745" spans="1:4" ht="12.75" customHeight="1" x14ac:dyDescent="0.2">
      <c r="B4745" s="11" t="s">
        <v>2606</v>
      </c>
      <c r="C4745" s="16" t="s">
        <v>56</v>
      </c>
      <c r="D4745" s="6" t="str">
        <f>HYPERLINK("javascript:void(0)","acélrugó")</f>
        <v>acélrugó</v>
      </c>
    </row>
    <row r="4746" spans="1:4" ht="12.75" customHeight="1" x14ac:dyDescent="0.2">
      <c r="C4746" s="16" t="s">
        <v>44</v>
      </c>
      <c r="D4746" s="6" t="str">
        <f>HYPERLINK("javascript:void(0)","platinarugó")</f>
        <v>platinarugó</v>
      </c>
    </row>
    <row r="4747" spans="1:4" ht="12.75" customHeight="1" x14ac:dyDescent="0.2">
      <c r="B4747" s="2"/>
      <c r="C4747" s="15"/>
      <c r="D4747" s="2"/>
    </row>
    <row r="4748" spans="1:4" ht="12.75" customHeight="1" x14ac:dyDescent="0.2">
      <c r="B4748" s="2"/>
      <c r="C4748" s="15"/>
      <c r="D4748" s="2"/>
    </row>
    <row r="4749" spans="1:4" ht="12.75" customHeight="1" x14ac:dyDescent="0.2">
      <c r="A4749" s="13" t="s">
        <v>3332</v>
      </c>
      <c r="C4749" s="12"/>
    </row>
    <row r="4750" spans="1:4" ht="12.75" customHeight="1" x14ac:dyDescent="0.2">
      <c r="A4750" s="11"/>
      <c r="B4750" s="2"/>
      <c r="C4750" s="15"/>
      <c r="D4750" s="2"/>
    </row>
    <row r="4751" spans="1:4" ht="12.75" customHeight="1" x14ac:dyDescent="0.2">
      <c r="B4751" s="11" t="s">
        <v>0</v>
      </c>
      <c r="C4751" s="11" t="s">
        <v>178</v>
      </c>
    </row>
    <row r="4752" spans="1:4" ht="12.75" customHeight="1" x14ac:dyDescent="0.2">
      <c r="B4752" s="11" t="s">
        <v>2599</v>
      </c>
      <c r="C4752" s="11" t="s">
        <v>2087</v>
      </c>
    </row>
    <row r="4753" spans="1:4" ht="25.5" customHeight="1" x14ac:dyDescent="0.2">
      <c r="B4753" s="11" t="s">
        <v>2600</v>
      </c>
      <c r="C4753" s="11" t="s">
        <v>3333</v>
      </c>
    </row>
    <row r="4754" spans="1:4" ht="25.5" customHeight="1" x14ac:dyDescent="0.2">
      <c r="B4754" s="11" t="s">
        <v>2601</v>
      </c>
      <c r="C4754" s="11"/>
    </row>
    <row r="4755" spans="1:4" ht="12.75" customHeight="1" x14ac:dyDescent="0.2">
      <c r="B4755" s="11" t="s">
        <v>16</v>
      </c>
      <c r="C4755" s="11"/>
    </row>
    <row r="4756" spans="1:4" ht="12.75" customHeight="1" x14ac:dyDescent="0.2">
      <c r="B4756" s="11" t="s">
        <v>13</v>
      </c>
      <c r="C4756" s="11" t="s">
        <v>2602</v>
      </c>
    </row>
    <row r="4757" spans="1:4" ht="12.75" customHeight="1" x14ac:dyDescent="0.2">
      <c r="B4757" s="11" t="s">
        <v>2603</v>
      </c>
      <c r="C4757" s="11" t="s">
        <v>2604</v>
      </c>
    </row>
    <row r="4758" spans="1:4" ht="12.75" customHeight="1" x14ac:dyDescent="0.2">
      <c r="B4758" s="11" t="s">
        <v>2605</v>
      </c>
      <c r="C4758" s="11" t="s">
        <v>24</v>
      </c>
    </row>
    <row r="4759" spans="1:4" ht="12.75" customHeight="1" x14ac:dyDescent="0.2">
      <c r="B4759" s="11" t="s">
        <v>2606</v>
      </c>
      <c r="C4759" s="16" t="s">
        <v>57</v>
      </c>
      <c r="D4759" s="6" t="str">
        <f>HYPERLINK("javascript:void(0)","gyémánt")</f>
        <v>gyémánt</v>
      </c>
    </row>
    <row r="4760" spans="1:4" ht="12.75" customHeight="1" x14ac:dyDescent="0.2">
      <c r="B4760" s="2"/>
      <c r="C4760" s="15"/>
      <c r="D4760" s="2"/>
    </row>
    <row r="4761" spans="1:4" ht="12.75" customHeight="1" x14ac:dyDescent="0.2">
      <c r="B4761" s="2"/>
      <c r="C4761" s="15"/>
      <c r="D4761" s="2"/>
    </row>
    <row r="4762" spans="1:4" ht="12.75" customHeight="1" x14ac:dyDescent="0.2">
      <c r="A4762" s="13" t="s">
        <v>3334</v>
      </c>
      <c r="C4762" s="12"/>
    </row>
    <row r="4763" spans="1:4" ht="12.75" customHeight="1" x14ac:dyDescent="0.2">
      <c r="A4763" s="11"/>
      <c r="B4763" s="2"/>
      <c r="C4763" s="15"/>
      <c r="D4763" s="2"/>
    </row>
    <row r="4764" spans="1:4" ht="12.75" customHeight="1" x14ac:dyDescent="0.2">
      <c r="B4764" s="11" t="s">
        <v>0</v>
      </c>
      <c r="C4764" s="11" t="s">
        <v>178</v>
      </c>
    </row>
    <row r="4765" spans="1:4" ht="12.75" customHeight="1" x14ac:dyDescent="0.2">
      <c r="B4765" s="11" t="s">
        <v>2599</v>
      </c>
      <c r="C4765" s="11" t="s">
        <v>411</v>
      </c>
    </row>
    <row r="4766" spans="1:4" ht="25.5" customHeight="1" x14ac:dyDescent="0.2">
      <c r="B4766" s="11" t="s">
        <v>2600</v>
      </c>
      <c r="C4766" s="11" t="s">
        <v>3335</v>
      </c>
    </row>
    <row r="4767" spans="1:4" ht="25.5" customHeight="1" x14ac:dyDescent="0.2">
      <c r="B4767" s="11" t="s">
        <v>2601</v>
      </c>
      <c r="C4767" s="11"/>
    </row>
    <row r="4768" spans="1:4" ht="12.75" customHeight="1" x14ac:dyDescent="0.2">
      <c r="B4768" s="11" t="s">
        <v>16</v>
      </c>
      <c r="C4768" s="11"/>
    </row>
    <row r="4769" spans="1:4" ht="12.75" customHeight="1" x14ac:dyDescent="0.2">
      <c r="B4769" s="11" t="s">
        <v>13</v>
      </c>
      <c r="C4769" s="11" t="s">
        <v>2644</v>
      </c>
    </row>
    <row r="4770" spans="1:4" ht="12.75" customHeight="1" x14ac:dyDescent="0.2">
      <c r="B4770" s="11" t="s">
        <v>2603</v>
      </c>
      <c r="C4770" s="11" t="s">
        <v>2604</v>
      </c>
    </row>
    <row r="4771" spans="1:4" ht="12.75" customHeight="1" x14ac:dyDescent="0.2">
      <c r="B4771" s="11" t="s">
        <v>2605</v>
      </c>
      <c r="C4771" s="11" t="s">
        <v>24</v>
      </c>
    </row>
    <row r="4772" spans="1:4" ht="25.5" customHeight="1" x14ac:dyDescent="0.2">
      <c r="B4772" s="11" t="s">
        <v>2606</v>
      </c>
      <c r="C4772" s="16" t="s">
        <v>44</v>
      </c>
      <c r="D4772" s="6" t="str">
        <f>HYPERLINK("javascript:void(0)","idegen kütyü")</f>
        <v>idegen kütyü</v>
      </c>
    </row>
    <row r="4773" spans="1:4" ht="12.75" customHeight="1" x14ac:dyDescent="0.2">
      <c r="B4773" s="2"/>
      <c r="C4773" s="15"/>
      <c r="D4773" s="2"/>
    </row>
    <row r="4774" spans="1:4" ht="12.75" customHeight="1" x14ac:dyDescent="0.2">
      <c r="B4774" s="2"/>
      <c r="C4774" s="15"/>
      <c r="D4774" s="2"/>
    </row>
    <row r="4775" spans="1:4" ht="12.75" customHeight="1" x14ac:dyDescent="0.2">
      <c r="A4775" s="13" t="s">
        <v>3336</v>
      </c>
      <c r="C4775" s="12"/>
    </row>
    <row r="4776" spans="1:4" ht="12.75" customHeight="1" x14ac:dyDescent="0.2">
      <c r="A4776" s="11"/>
      <c r="B4776" s="2"/>
      <c r="C4776" s="15"/>
      <c r="D4776" s="2"/>
    </row>
    <row r="4777" spans="1:4" ht="12.75" customHeight="1" x14ac:dyDescent="0.2">
      <c r="B4777" s="11" t="s">
        <v>0</v>
      </c>
      <c r="C4777" s="11" t="s">
        <v>340</v>
      </c>
    </row>
    <row r="4778" spans="1:4" ht="12.75" customHeight="1" x14ac:dyDescent="0.2">
      <c r="B4778" s="11" t="s">
        <v>2599</v>
      </c>
      <c r="C4778" s="11" t="s">
        <v>3337</v>
      </c>
    </row>
    <row r="4779" spans="1:4" ht="25.5" customHeight="1" x14ac:dyDescent="0.2">
      <c r="B4779" s="11" t="s">
        <v>2600</v>
      </c>
      <c r="C4779" s="11" t="s">
        <v>3338</v>
      </c>
    </row>
    <row r="4780" spans="1:4" ht="25.5" customHeight="1" x14ac:dyDescent="0.2">
      <c r="B4780" s="11" t="s">
        <v>2601</v>
      </c>
      <c r="C4780" s="11"/>
    </row>
    <row r="4781" spans="1:4" ht="12.75" customHeight="1" x14ac:dyDescent="0.2">
      <c r="B4781" s="11" t="s">
        <v>16</v>
      </c>
      <c r="C4781" s="11"/>
    </row>
    <row r="4782" spans="1:4" ht="12.75" customHeight="1" x14ac:dyDescent="0.2">
      <c r="B4782" s="11" t="s">
        <v>13</v>
      </c>
      <c r="C4782" s="11" t="s">
        <v>2644</v>
      </c>
    </row>
    <row r="4783" spans="1:4" ht="12.75" customHeight="1" x14ac:dyDescent="0.2">
      <c r="B4783" s="11" t="s">
        <v>2603</v>
      </c>
      <c r="C4783" s="11" t="s">
        <v>128</v>
      </c>
    </row>
    <row r="4784" spans="1:4" ht="12.75" customHeight="1" x14ac:dyDescent="0.2">
      <c r="B4784" s="11" t="s">
        <v>2605</v>
      </c>
      <c r="C4784" s="11" t="s">
        <v>14</v>
      </c>
    </row>
    <row r="4785" spans="1:4" ht="25.5" customHeight="1" x14ac:dyDescent="0.2">
      <c r="B4785" s="11" t="s">
        <v>2606</v>
      </c>
      <c r="C4785" s="16" t="s">
        <v>44</v>
      </c>
      <c r="D4785" s="6" t="str">
        <f>HYPERLINK("javascript:void(0)","mágusköpeny")</f>
        <v>mágusköpeny</v>
      </c>
    </row>
    <row r="4786" spans="1:4" ht="12.75" customHeight="1" x14ac:dyDescent="0.2">
      <c r="B4786" s="2"/>
      <c r="C4786" s="15"/>
      <c r="D4786" s="2"/>
    </row>
    <row r="4787" spans="1:4" ht="12.75" customHeight="1" x14ac:dyDescent="0.2">
      <c r="B4787" s="2"/>
      <c r="C4787" s="15"/>
      <c r="D4787" s="2"/>
    </row>
    <row r="4788" spans="1:4" ht="12.75" customHeight="1" x14ac:dyDescent="0.2">
      <c r="A4788" s="13" t="s">
        <v>3339</v>
      </c>
      <c r="C4788" s="12"/>
      <c r="D4788" s="2"/>
    </row>
    <row r="4789" spans="1:4" ht="12.75" customHeight="1" x14ac:dyDescent="0.2">
      <c r="A4789" s="11"/>
      <c r="B4789" s="2"/>
      <c r="C4789" s="15"/>
      <c r="D4789" s="2"/>
    </row>
    <row r="4790" spans="1:4" ht="12.75" customHeight="1" x14ac:dyDescent="0.2">
      <c r="B4790" s="11" t="s">
        <v>0</v>
      </c>
      <c r="C4790" s="17" t="s">
        <v>340</v>
      </c>
      <c r="D4790" s="2"/>
    </row>
    <row r="4791" spans="1:4" ht="12.75" customHeight="1" x14ac:dyDescent="0.2">
      <c r="B4791" s="11" t="s">
        <v>2599</v>
      </c>
      <c r="C4791" s="17" t="s">
        <v>3340</v>
      </c>
      <c r="D4791" s="2"/>
    </row>
    <row r="4792" spans="1:4" ht="25.5" customHeight="1" x14ac:dyDescent="0.2">
      <c r="B4792" s="11" t="s">
        <v>2600</v>
      </c>
      <c r="C4792" s="17" t="s">
        <v>3341</v>
      </c>
      <c r="D4792" s="2"/>
    </row>
    <row r="4793" spans="1:4" ht="25.5" customHeight="1" x14ac:dyDescent="0.2">
      <c r="B4793" s="11" t="s">
        <v>2601</v>
      </c>
      <c r="C4793" s="17"/>
      <c r="D4793" s="2"/>
    </row>
    <row r="4794" spans="1:4" ht="12.75" customHeight="1" x14ac:dyDescent="0.2">
      <c r="B4794" s="11" t="s">
        <v>16</v>
      </c>
      <c r="C4794" s="17"/>
      <c r="D4794" s="2"/>
    </row>
    <row r="4795" spans="1:4" ht="12.75" customHeight="1" x14ac:dyDescent="0.2">
      <c r="B4795" s="11" t="s">
        <v>13</v>
      </c>
      <c r="C4795" s="17" t="s">
        <v>2644</v>
      </c>
      <c r="D4795" s="2"/>
    </row>
    <row r="4796" spans="1:4" ht="12.75" customHeight="1" x14ac:dyDescent="0.2">
      <c r="B4796" s="11" t="s">
        <v>2603</v>
      </c>
      <c r="C4796" s="17" t="s">
        <v>128</v>
      </c>
      <c r="D4796" s="2"/>
    </row>
    <row r="4797" spans="1:4" ht="12.75" customHeight="1" x14ac:dyDescent="0.2">
      <c r="B4797" s="11" t="s">
        <v>2605</v>
      </c>
      <c r="C4797" s="17" t="s">
        <v>14</v>
      </c>
      <c r="D4797" s="2"/>
    </row>
    <row r="4798" spans="1:4" ht="12.75" customHeight="1" x14ac:dyDescent="0.2">
      <c r="B4798" s="11" t="s">
        <v>2606</v>
      </c>
      <c r="C4798" s="16" t="s">
        <v>19</v>
      </c>
      <c r="D4798" s="2"/>
    </row>
    <row r="4799" spans="1:4" ht="12.75" customHeight="1" x14ac:dyDescent="0.2">
      <c r="B4799" s="2"/>
      <c r="C4799" s="15"/>
      <c r="D4799" s="2"/>
    </row>
    <row r="4800" spans="1:4" ht="12.75" customHeight="1" x14ac:dyDescent="0.2">
      <c r="B4800" s="2"/>
      <c r="C4800" s="15"/>
      <c r="D4800" s="2"/>
    </row>
    <row r="4801" spans="1:4" ht="12.75" customHeight="1" x14ac:dyDescent="0.2">
      <c r="A4801" s="13" t="s">
        <v>3342</v>
      </c>
      <c r="C4801" s="12"/>
      <c r="D4801" s="2"/>
    </row>
    <row r="4802" spans="1:4" ht="12.75" customHeight="1" x14ac:dyDescent="0.2">
      <c r="A4802" s="11"/>
      <c r="B4802" s="2"/>
      <c r="C4802" s="15"/>
      <c r="D4802" s="2"/>
    </row>
    <row r="4803" spans="1:4" ht="12.75" customHeight="1" x14ac:dyDescent="0.2">
      <c r="B4803" s="11" t="s">
        <v>0</v>
      </c>
      <c r="C4803" s="17" t="s">
        <v>340</v>
      </c>
      <c r="D4803" s="2"/>
    </row>
    <row r="4804" spans="1:4" ht="12.75" customHeight="1" x14ac:dyDescent="0.2">
      <c r="B4804" s="11" t="s">
        <v>2599</v>
      </c>
      <c r="C4804" s="17" t="s">
        <v>2165</v>
      </c>
      <c r="D4804" s="2"/>
    </row>
    <row r="4805" spans="1:4" ht="25.5" customHeight="1" x14ac:dyDescent="0.2">
      <c r="B4805" s="11" t="s">
        <v>2600</v>
      </c>
      <c r="C4805" s="17" t="s">
        <v>3338</v>
      </c>
      <c r="D4805" s="2"/>
    </row>
    <row r="4806" spans="1:4" ht="25.5" customHeight="1" x14ac:dyDescent="0.2">
      <c r="B4806" s="11" t="s">
        <v>2601</v>
      </c>
      <c r="C4806" s="17"/>
      <c r="D4806" s="2"/>
    </row>
    <row r="4807" spans="1:4" ht="12.75" customHeight="1" x14ac:dyDescent="0.2">
      <c r="B4807" s="11" t="s">
        <v>16</v>
      </c>
      <c r="C4807" s="17"/>
      <c r="D4807" s="2"/>
    </row>
    <row r="4808" spans="1:4" ht="12.75" customHeight="1" x14ac:dyDescent="0.2">
      <c r="B4808" s="11" t="s">
        <v>13</v>
      </c>
      <c r="C4808" s="17" t="s">
        <v>2644</v>
      </c>
      <c r="D4808" s="2"/>
    </row>
    <row r="4809" spans="1:4" ht="12.75" customHeight="1" x14ac:dyDescent="0.2">
      <c r="B4809" s="11" t="s">
        <v>2603</v>
      </c>
      <c r="C4809" s="17" t="s">
        <v>128</v>
      </c>
      <c r="D4809" s="2"/>
    </row>
    <row r="4810" spans="1:4" ht="12.75" customHeight="1" x14ac:dyDescent="0.2">
      <c r="B4810" s="11" t="s">
        <v>2605</v>
      </c>
      <c r="C4810" s="17" t="s">
        <v>14</v>
      </c>
      <c r="D4810" s="2"/>
    </row>
    <row r="4811" spans="1:4" ht="12.75" customHeight="1" x14ac:dyDescent="0.2">
      <c r="B4811" s="11" t="s">
        <v>2606</v>
      </c>
      <c r="C4811" s="16" t="s">
        <v>19</v>
      </c>
      <c r="D4811" s="2"/>
    </row>
    <row r="4812" spans="1:4" ht="12.75" customHeight="1" x14ac:dyDescent="0.2">
      <c r="B4812" s="2"/>
      <c r="C4812" s="15"/>
      <c r="D4812" s="2"/>
    </row>
    <row r="4813" spans="1:4" ht="12.75" customHeight="1" x14ac:dyDescent="0.2">
      <c r="B4813" s="2"/>
      <c r="C4813" s="15"/>
      <c r="D4813" s="2"/>
    </row>
    <row r="4814" spans="1:4" ht="12.75" customHeight="1" x14ac:dyDescent="0.2">
      <c r="A4814" s="13" t="s">
        <v>3343</v>
      </c>
      <c r="C4814" s="12"/>
      <c r="D4814" s="2"/>
    </row>
    <row r="4815" spans="1:4" ht="12.75" customHeight="1" x14ac:dyDescent="0.2">
      <c r="A4815" s="11"/>
      <c r="B4815" s="2"/>
      <c r="C4815" s="15"/>
      <c r="D4815" s="2"/>
    </row>
    <row r="4816" spans="1:4" ht="12.75" customHeight="1" x14ac:dyDescent="0.2">
      <c r="B4816" s="11" t="s">
        <v>0</v>
      </c>
      <c r="C4816" s="17" t="s">
        <v>340</v>
      </c>
      <c r="D4816" s="2"/>
    </row>
    <row r="4817" spans="1:4" ht="12.75" customHeight="1" x14ac:dyDescent="0.2">
      <c r="B4817" s="11" t="s">
        <v>2599</v>
      </c>
      <c r="C4817" s="17" t="s">
        <v>3344</v>
      </c>
      <c r="D4817" s="2"/>
    </row>
    <row r="4818" spans="1:4" ht="25.5" customHeight="1" x14ac:dyDescent="0.2">
      <c r="B4818" s="11" t="s">
        <v>2600</v>
      </c>
      <c r="C4818" s="17" t="s">
        <v>3345</v>
      </c>
      <c r="D4818" s="2"/>
    </row>
    <row r="4819" spans="1:4" ht="25.5" customHeight="1" x14ac:dyDescent="0.2">
      <c r="B4819" s="11" t="s">
        <v>2601</v>
      </c>
      <c r="C4819" s="17"/>
      <c r="D4819" s="2"/>
    </row>
    <row r="4820" spans="1:4" ht="12.75" customHeight="1" x14ac:dyDescent="0.2">
      <c r="B4820" s="11" t="s">
        <v>16</v>
      </c>
      <c r="C4820" s="17"/>
      <c r="D4820" s="2"/>
    </row>
    <row r="4821" spans="1:4" ht="12.75" customHeight="1" x14ac:dyDescent="0.2">
      <c r="B4821" s="11" t="s">
        <v>13</v>
      </c>
      <c r="C4821" s="17" t="s">
        <v>2602</v>
      </c>
      <c r="D4821" s="2"/>
    </row>
    <row r="4822" spans="1:4" ht="25.5" customHeight="1" x14ac:dyDescent="0.2">
      <c r="B4822" s="11" t="s">
        <v>2603</v>
      </c>
      <c r="C4822" s="17" t="s">
        <v>2971</v>
      </c>
      <c r="D4822" s="2"/>
    </row>
    <row r="4823" spans="1:4" ht="12.75" customHeight="1" x14ac:dyDescent="0.2">
      <c r="B4823" s="11" t="s">
        <v>2605</v>
      </c>
      <c r="C4823" s="17" t="s">
        <v>14</v>
      </c>
      <c r="D4823" s="2"/>
    </row>
    <row r="4824" spans="1:4" ht="12.75" customHeight="1" x14ac:dyDescent="0.2">
      <c r="B4824" s="11" t="s">
        <v>2606</v>
      </c>
      <c r="C4824" s="16" t="s">
        <v>19</v>
      </c>
      <c r="D4824" s="2"/>
    </row>
    <row r="4825" spans="1:4" ht="12.75" customHeight="1" x14ac:dyDescent="0.2">
      <c r="B4825" s="2"/>
      <c r="C4825" s="15"/>
      <c r="D4825" s="2"/>
    </row>
    <row r="4826" spans="1:4" ht="12.75" customHeight="1" x14ac:dyDescent="0.2">
      <c r="B4826" s="2"/>
      <c r="C4826" s="15"/>
      <c r="D4826" s="2"/>
    </row>
    <row r="4827" spans="1:4" ht="12.75" customHeight="1" x14ac:dyDescent="0.2">
      <c r="A4827" s="13" t="s">
        <v>3254</v>
      </c>
      <c r="C4827" s="12"/>
      <c r="D4827" s="2"/>
    </row>
    <row r="4828" spans="1:4" ht="12.75" customHeight="1" x14ac:dyDescent="0.2">
      <c r="A4828" s="11"/>
      <c r="B4828" s="2"/>
      <c r="C4828" s="15"/>
      <c r="D4828" s="2"/>
    </row>
    <row r="4829" spans="1:4" ht="12.75" customHeight="1" x14ac:dyDescent="0.2">
      <c r="B4829" s="11" t="s">
        <v>0</v>
      </c>
      <c r="C4829" s="17" t="s">
        <v>340</v>
      </c>
      <c r="D4829" s="2"/>
    </row>
    <row r="4830" spans="1:4" ht="12.75" customHeight="1" x14ac:dyDescent="0.2">
      <c r="B4830" s="11" t="s">
        <v>2599</v>
      </c>
      <c r="C4830" s="17" t="s">
        <v>2454</v>
      </c>
      <c r="D4830" s="2"/>
    </row>
    <row r="4831" spans="1:4" ht="25.5" customHeight="1" x14ac:dyDescent="0.2">
      <c r="B4831" s="11" t="s">
        <v>2600</v>
      </c>
      <c r="C4831" s="17" t="s">
        <v>3346</v>
      </c>
      <c r="D4831" s="2"/>
    </row>
    <row r="4832" spans="1:4" ht="25.5" customHeight="1" x14ac:dyDescent="0.2">
      <c r="B4832" s="11" t="s">
        <v>2601</v>
      </c>
      <c r="C4832" s="17"/>
      <c r="D4832" s="2"/>
    </row>
    <row r="4833" spans="1:4" ht="12.75" customHeight="1" x14ac:dyDescent="0.2">
      <c r="B4833" s="11" t="s">
        <v>16</v>
      </c>
      <c r="C4833" s="17"/>
      <c r="D4833" s="2"/>
    </row>
    <row r="4834" spans="1:4" ht="12.75" customHeight="1" x14ac:dyDescent="0.2">
      <c r="B4834" s="11" t="s">
        <v>13</v>
      </c>
      <c r="C4834" s="17" t="s">
        <v>2644</v>
      </c>
      <c r="D4834" s="2"/>
    </row>
    <row r="4835" spans="1:4" ht="25.5" customHeight="1" x14ac:dyDescent="0.2">
      <c r="B4835" s="11" t="s">
        <v>2603</v>
      </c>
      <c r="C4835" s="17" t="s">
        <v>2971</v>
      </c>
      <c r="D4835" s="2"/>
    </row>
    <row r="4836" spans="1:4" ht="12.75" customHeight="1" x14ac:dyDescent="0.2">
      <c r="B4836" s="11" t="s">
        <v>2605</v>
      </c>
      <c r="C4836" s="17" t="s">
        <v>14</v>
      </c>
      <c r="D4836" s="2"/>
    </row>
    <row r="4837" spans="1:4" ht="12.75" customHeight="1" x14ac:dyDescent="0.2">
      <c r="B4837" s="11" t="s">
        <v>2606</v>
      </c>
      <c r="C4837" s="16" t="s">
        <v>19</v>
      </c>
      <c r="D4837" s="2"/>
    </row>
    <row r="4838" spans="1:4" ht="12.75" customHeight="1" x14ac:dyDescent="0.2">
      <c r="B4838" s="2"/>
      <c r="C4838" s="15"/>
      <c r="D4838" s="2"/>
    </row>
    <row r="4839" spans="1:4" ht="12.75" customHeight="1" x14ac:dyDescent="0.2">
      <c r="B4839" s="2"/>
      <c r="C4839" s="15"/>
      <c r="D4839" s="2"/>
    </row>
    <row r="4840" spans="1:4" ht="12.75" customHeight="1" x14ac:dyDescent="0.2">
      <c r="A4840" s="13" t="s">
        <v>3312</v>
      </c>
      <c r="C4840" s="12"/>
      <c r="D4840" s="2"/>
    </row>
    <row r="4841" spans="1:4" ht="12.75" customHeight="1" x14ac:dyDescent="0.2">
      <c r="A4841" s="11"/>
      <c r="B4841" s="2"/>
      <c r="C4841" s="15"/>
      <c r="D4841" s="2"/>
    </row>
    <row r="4842" spans="1:4" ht="12.75" customHeight="1" x14ac:dyDescent="0.2">
      <c r="B4842" s="11" t="s">
        <v>0</v>
      </c>
      <c r="C4842" s="17" t="s">
        <v>340</v>
      </c>
      <c r="D4842" s="2"/>
    </row>
    <row r="4843" spans="1:4" ht="12.75" customHeight="1" x14ac:dyDescent="0.2">
      <c r="B4843" s="11" t="s">
        <v>2599</v>
      </c>
      <c r="C4843" s="17" t="s">
        <v>3313</v>
      </c>
      <c r="D4843" s="2"/>
    </row>
    <row r="4844" spans="1:4" ht="25.5" customHeight="1" x14ac:dyDescent="0.2">
      <c r="B4844" s="11" t="s">
        <v>2600</v>
      </c>
      <c r="C4844" s="17" t="s">
        <v>3347</v>
      </c>
      <c r="D4844" s="2"/>
    </row>
    <row r="4845" spans="1:4" ht="25.5" customHeight="1" x14ac:dyDescent="0.2">
      <c r="B4845" s="11" t="s">
        <v>2601</v>
      </c>
      <c r="C4845" s="17"/>
      <c r="D4845" s="2"/>
    </row>
    <row r="4846" spans="1:4" ht="12.75" customHeight="1" x14ac:dyDescent="0.2">
      <c r="B4846" s="11" t="s">
        <v>16</v>
      </c>
      <c r="C4846" s="17"/>
      <c r="D4846" s="2"/>
    </row>
    <row r="4847" spans="1:4" ht="12.75" customHeight="1" x14ac:dyDescent="0.2">
      <c r="B4847" s="11" t="s">
        <v>13</v>
      </c>
      <c r="C4847" s="17" t="s">
        <v>2602</v>
      </c>
      <c r="D4847" s="2"/>
    </row>
    <row r="4848" spans="1:4" ht="25.5" customHeight="1" x14ac:dyDescent="0.2">
      <c r="B4848" s="11" t="s">
        <v>2603</v>
      </c>
      <c r="C4848" s="17" t="s">
        <v>2971</v>
      </c>
      <c r="D4848" s="2"/>
    </row>
    <row r="4849" spans="1:4" ht="12.75" customHeight="1" x14ac:dyDescent="0.2">
      <c r="B4849" s="11" t="s">
        <v>2605</v>
      </c>
      <c r="C4849" s="17" t="s">
        <v>14</v>
      </c>
      <c r="D4849" s="2"/>
    </row>
    <row r="4850" spans="1:4" ht="12.75" customHeight="1" x14ac:dyDescent="0.2">
      <c r="B4850" s="11" t="s">
        <v>2606</v>
      </c>
      <c r="C4850" s="16" t="s">
        <v>19</v>
      </c>
      <c r="D4850" s="2"/>
    </row>
    <row r="4851" spans="1:4" ht="12.75" customHeight="1" x14ac:dyDescent="0.2">
      <c r="B4851" s="2"/>
      <c r="C4851" s="15"/>
      <c r="D4851" s="2"/>
    </row>
    <row r="4852" spans="1:4" ht="12.75" customHeight="1" x14ac:dyDescent="0.2">
      <c r="B4852" s="2"/>
      <c r="C4852" s="15"/>
      <c r="D4852" s="2"/>
    </row>
    <row r="4853" spans="1:4" ht="12.75" customHeight="1" x14ac:dyDescent="0.2">
      <c r="A4853" s="13" t="s">
        <v>3257</v>
      </c>
      <c r="C4853" s="12"/>
      <c r="D4853" s="2"/>
    </row>
    <row r="4854" spans="1:4" ht="12.75" customHeight="1" x14ac:dyDescent="0.2">
      <c r="A4854" s="11"/>
      <c r="B4854" s="2"/>
      <c r="C4854" s="15"/>
      <c r="D4854" s="2"/>
    </row>
    <row r="4855" spans="1:4" ht="12.75" customHeight="1" x14ac:dyDescent="0.2">
      <c r="B4855" s="11" t="s">
        <v>0</v>
      </c>
      <c r="C4855" s="17" t="s">
        <v>340</v>
      </c>
      <c r="D4855" s="2"/>
    </row>
    <row r="4856" spans="1:4" ht="12.75" customHeight="1" x14ac:dyDescent="0.2">
      <c r="B4856" s="11" t="s">
        <v>2599</v>
      </c>
      <c r="C4856" s="17" t="s">
        <v>3258</v>
      </c>
      <c r="D4856" s="2"/>
    </row>
    <row r="4857" spans="1:4" ht="25.5" customHeight="1" x14ac:dyDescent="0.2">
      <c r="B4857" s="11" t="s">
        <v>2600</v>
      </c>
      <c r="C4857" s="17" t="s">
        <v>3348</v>
      </c>
      <c r="D4857" s="2"/>
    </row>
    <row r="4858" spans="1:4" ht="25.5" customHeight="1" x14ac:dyDescent="0.2">
      <c r="B4858" s="11" t="s">
        <v>2601</v>
      </c>
      <c r="C4858" s="17"/>
      <c r="D4858" s="2"/>
    </row>
    <row r="4859" spans="1:4" ht="12.75" customHeight="1" x14ac:dyDescent="0.2">
      <c r="B4859" s="11" t="s">
        <v>16</v>
      </c>
      <c r="C4859" s="17"/>
      <c r="D4859" s="2"/>
    </row>
    <row r="4860" spans="1:4" ht="12.75" customHeight="1" x14ac:dyDescent="0.2">
      <c r="B4860" s="11" t="s">
        <v>13</v>
      </c>
      <c r="C4860" s="17" t="s">
        <v>2602</v>
      </c>
      <c r="D4860" s="2"/>
    </row>
    <row r="4861" spans="1:4" ht="25.5" customHeight="1" x14ac:dyDescent="0.2">
      <c r="B4861" s="11" t="s">
        <v>2603</v>
      </c>
      <c r="C4861" s="17" t="s">
        <v>2971</v>
      </c>
      <c r="D4861" s="2"/>
    </row>
    <row r="4862" spans="1:4" ht="12.75" customHeight="1" x14ac:dyDescent="0.2">
      <c r="B4862" s="11" t="s">
        <v>2605</v>
      </c>
      <c r="C4862" s="17" t="s">
        <v>14</v>
      </c>
      <c r="D4862" s="2"/>
    </row>
    <row r="4863" spans="1:4" ht="12.75" customHeight="1" x14ac:dyDescent="0.2">
      <c r="B4863" s="11" t="s">
        <v>2606</v>
      </c>
      <c r="C4863" s="16" t="s">
        <v>19</v>
      </c>
      <c r="D4863" s="2"/>
    </row>
    <row r="4864" spans="1:4" ht="12.75" customHeight="1" x14ac:dyDescent="0.2">
      <c r="B4864" s="2"/>
      <c r="C4864" s="15"/>
      <c r="D4864" s="2"/>
    </row>
    <row r="4865" spans="1:4" ht="12.75" customHeight="1" x14ac:dyDescent="0.2">
      <c r="B4865" s="2"/>
      <c r="C4865" s="15"/>
      <c r="D4865" s="2"/>
    </row>
    <row r="4866" spans="1:4" ht="12.75" customHeight="1" x14ac:dyDescent="0.2">
      <c r="A4866" s="13" t="s">
        <v>3260</v>
      </c>
      <c r="C4866" s="12"/>
      <c r="D4866" s="2"/>
    </row>
    <row r="4867" spans="1:4" ht="12.75" customHeight="1" x14ac:dyDescent="0.2">
      <c r="A4867" s="11"/>
      <c r="B4867" s="2"/>
      <c r="C4867" s="15"/>
      <c r="D4867" s="2"/>
    </row>
    <row r="4868" spans="1:4" ht="12.75" customHeight="1" x14ac:dyDescent="0.2">
      <c r="B4868" s="11" t="s">
        <v>0</v>
      </c>
      <c r="C4868" s="17" t="s">
        <v>340</v>
      </c>
      <c r="D4868" s="2"/>
    </row>
    <row r="4869" spans="1:4" ht="12.75" customHeight="1" x14ac:dyDescent="0.2">
      <c r="B4869" s="11" t="s">
        <v>2599</v>
      </c>
      <c r="C4869" s="17" t="s">
        <v>3261</v>
      </c>
      <c r="D4869" s="2"/>
    </row>
    <row r="4870" spans="1:4" ht="25.5" customHeight="1" x14ac:dyDescent="0.2">
      <c r="B4870" s="11" t="s">
        <v>2600</v>
      </c>
      <c r="C4870" s="17" t="s">
        <v>3349</v>
      </c>
      <c r="D4870" s="2"/>
    </row>
    <row r="4871" spans="1:4" ht="25.5" customHeight="1" x14ac:dyDescent="0.2">
      <c r="B4871" s="11" t="s">
        <v>2601</v>
      </c>
      <c r="C4871" s="17"/>
      <c r="D4871" s="2"/>
    </row>
    <row r="4872" spans="1:4" ht="12.75" customHeight="1" x14ac:dyDescent="0.2">
      <c r="B4872" s="11" t="s">
        <v>16</v>
      </c>
      <c r="C4872" s="17"/>
      <c r="D4872" s="2"/>
    </row>
    <row r="4873" spans="1:4" ht="12.75" customHeight="1" x14ac:dyDescent="0.2">
      <c r="B4873" s="11" t="s">
        <v>13</v>
      </c>
      <c r="C4873" s="17" t="s">
        <v>2644</v>
      </c>
      <c r="D4873" s="2"/>
    </row>
    <row r="4874" spans="1:4" ht="25.5" customHeight="1" x14ac:dyDescent="0.2">
      <c r="B4874" s="11" t="s">
        <v>2603</v>
      </c>
      <c r="C4874" s="17" t="s">
        <v>2971</v>
      </c>
      <c r="D4874" s="2"/>
    </row>
    <row r="4875" spans="1:4" ht="12.75" customHeight="1" x14ac:dyDescent="0.2">
      <c r="B4875" s="11" t="s">
        <v>2605</v>
      </c>
      <c r="C4875" s="17" t="s">
        <v>14</v>
      </c>
      <c r="D4875" s="2"/>
    </row>
    <row r="4876" spans="1:4" ht="12.75" customHeight="1" x14ac:dyDescent="0.2">
      <c r="B4876" s="11" t="s">
        <v>2606</v>
      </c>
      <c r="C4876" s="16" t="s">
        <v>19</v>
      </c>
      <c r="D4876" s="2"/>
    </row>
    <row r="4877" spans="1:4" ht="12.75" customHeight="1" x14ac:dyDescent="0.2">
      <c r="B4877" s="2"/>
      <c r="C4877" s="15"/>
      <c r="D4877" s="2"/>
    </row>
    <row r="4878" spans="1:4" ht="12.75" customHeight="1" x14ac:dyDescent="0.2">
      <c r="B4878" s="2"/>
      <c r="C4878" s="15"/>
      <c r="D4878" s="2"/>
    </row>
    <row r="4879" spans="1:4" ht="12.75" customHeight="1" x14ac:dyDescent="0.2">
      <c r="A4879" s="13" t="s">
        <v>3350</v>
      </c>
      <c r="C4879" s="12"/>
    </row>
    <row r="4880" spans="1:4" ht="12.75" customHeight="1" x14ac:dyDescent="0.2">
      <c r="A4880" s="11"/>
      <c r="B4880" s="2"/>
      <c r="C4880" s="15"/>
      <c r="D4880" s="2"/>
    </row>
    <row r="4881" spans="1:4" ht="12.75" customHeight="1" x14ac:dyDescent="0.2">
      <c r="B4881" s="11" t="s">
        <v>0</v>
      </c>
      <c r="C4881" s="11" t="s">
        <v>340</v>
      </c>
    </row>
    <row r="4882" spans="1:4" ht="12.75" customHeight="1" x14ac:dyDescent="0.2">
      <c r="B4882" s="11" t="s">
        <v>2599</v>
      </c>
      <c r="C4882" s="11" t="s">
        <v>656</v>
      </c>
    </row>
    <row r="4883" spans="1:4" ht="25.5" customHeight="1" x14ac:dyDescent="0.2">
      <c r="B4883" s="11" t="s">
        <v>2600</v>
      </c>
      <c r="C4883" s="11" t="s">
        <v>3351</v>
      </c>
    </row>
    <row r="4884" spans="1:4" ht="25.5" customHeight="1" x14ac:dyDescent="0.2">
      <c r="B4884" s="11" t="s">
        <v>2601</v>
      </c>
      <c r="C4884" s="11"/>
    </row>
    <row r="4885" spans="1:4" ht="12.75" customHeight="1" x14ac:dyDescent="0.2">
      <c r="B4885" s="11" t="s">
        <v>16</v>
      </c>
      <c r="C4885" s="11"/>
    </row>
    <row r="4886" spans="1:4" ht="12.75" customHeight="1" x14ac:dyDescent="0.2">
      <c r="B4886" s="11" t="s">
        <v>13</v>
      </c>
      <c r="C4886" s="11" t="s">
        <v>2644</v>
      </c>
    </row>
    <row r="4887" spans="1:4" ht="12.75" customHeight="1" x14ac:dyDescent="0.2">
      <c r="B4887" s="11" t="s">
        <v>2603</v>
      </c>
      <c r="C4887" s="11" t="s">
        <v>2604</v>
      </c>
    </row>
    <row r="4888" spans="1:4" ht="12.75" customHeight="1" x14ac:dyDescent="0.2">
      <c r="B4888" s="11" t="s">
        <v>2605</v>
      </c>
      <c r="C4888" s="11" t="s">
        <v>24</v>
      </c>
    </row>
    <row r="4889" spans="1:4" ht="25.5" customHeight="1" x14ac:dyDescent="0.2">
      <c r="B4889" s="11" t="s">
        <v>2606</v>
      </c>
      <c r="C4889" s="16" t="s">
        <v>44</v>
      </c>
      <c r="D4889" s="6" t="str">
        <f>HYPERLINK("javascript:void(0)","mágusköpeny")</f>
        <v>mágusköpeny</v>
      </c>
    </row>
    <row r="4890" spans="1:4" ht="12.75" customHeight="1" x14ac:dyDescent="0.2">
      <c r="B4890" s="2"/>
      <c r="C4890" s="15"/>
      <c r="D4890" s="2"/>
    </row>
    <row r="4891" spans="1:4" ht="12.75" customHeight="1" x14ac:dyDescent="0.2">
      <c r="B4891" s="2"/>
      <c r="C4891" s="15"/>
      <c r="D4891" s="2"/>
    </row>
    <row r="4892" spans="1:4" ht="12.75" customHeight="1" x14ac:dyDescent="0.2">
      <c r="A4892" s="13" t="s">
        <v>3352</v>
      </c>
      <c r="C4892" s="12"/>
    </row>
    <row r="4893" spans="1:4" ht="12.75" customHeight="1" x14ac:dyDescent="0.2">
      <c r="A4893" s="11"/>
      <c r="B4893" s="2"/>
      <c r="C4893" s="15"/>
      <c r="D4893" s="2"/>
    </row>
    <row r="4894" spans="1:4" ht="12.75" customHeight="1" x14ac:dyDescent="0.2">
      <c r="B4894" s="11" t="s">
        <v>0</v>
      </c>
      <c r="C4894" s="11" t="s">
        <v>340</v>
      </c>
    </row>
    <row r="4895" spans="1:4" ht="12.75" customHeight="1" x14ac:dyDescent="0.2">
      <c r="B4895" s="11" t="s">
        <v>2599</v>
      </c>
      <c r="C4895" s="11" t="s">
        <v>3353</v>
      </c>
    </row>
    <row r="4896" spans="1:4" ht="25.5" customHeight="1" x14ac:dyDescent="0.2">
      <c r="B4896" s="11" t="s">
        <v>2600</v>
      </c>
      <c r="C4896" s="11" t="s">
        <v>3354</v>
      </c>
    </row>
    <row r="4897" spans="1:4" ht="25.5" customHeight="1" x14ac:dyDescent="0.2">
      <c r="B4897" s="11" t="s">
        <v>2601</v>
      </c>
      <c r="C4897" s="11"/>
    </row>
    <row r="4898" spans="1:4" ht="12.75" customHeight="1" x14ac:dyDescent="0.2">
      <c r="B4898" s="11" t="s">
        <v>16</v>
      </c>
      <c r="C4898" s="11"/>
    </row>
    <row r="4899" spans="1:4" ht="12.75" customHeight="1" x14ac:dyDescent="0.2">
      <c r="B4899" s="11" t="s">
        <v>13</v>
      </c>
      <c r="C4899" s="11" t="s">
        <v>2644</v>
      </c>
    </row>
    <row r="4900" spans="1:4" ht="12.75" customHeight="1" x14ac:dyDescent="0.2">
      <c r="B4900" s="11" t="s">
        <v>2603</v>
      </c>
      <c r="C4900" s="11" t="s">
        <v>2604</v>
      </c>
    </row>
    <row r="4901" spans="1:4" ht="12.75" customHeight="1" x14ac:dyDescent="0.2">
      <c r="B4901" s="11" t="s">
        <v>2605</v>
      </c>
      <c r="C4901" s="11" t="s">
        <v>24</v>
      </c>
    </row>
    <row r="4902" spans="1:4" ht="12.75" customHeight="1" x14ac:dyDescent="0.2">
      <c r="B4902" s="11" t="s">
        <v>2606</v>
      </c>
      <c r="C4902" s="16" t="s">
        <v>2652</v>
      </c>
      <c r="D4902" s="6" t="str">
        <f>HYPERLINK("javascript:void(0)","ezüst")</f>
        <v>ezüst</v>
      </c>
    </row>
    <row r="4903" spans="1:4" ht="12.75" customHeight="1" x14ac:dyDescent="0.2">
      <c r="B4903" s="2"/>
      <c r="C4903" s="15"/>
      <c r="D4903" s="2"/>
    </row>
    <row r="4904" spans="1:4" ht="12.75" customHeight="1" x14ac:dyDescent="0.2">
      <c r="B4904" s="2"/>
      <c r="C4904" s="15"/>
      <c r="D4904" s="2"/>
    </row>
    <row r="4905" spans="1:4" ht="12.75" customHeight="1" x14ac:dyDescent="0.2">
      <c r="A4905" s="13" t="s">
        <v>3355</v>
      </c>
      <c r="C4905" s="12"/>
    </row>
    <row r="4906" spans="1:4" ht="12.75" customHeight="1" x14ac:dyDescent="0.2">
      <c r="A4906" s="11"/>
      <c r="B4906" s="2"/>
      <c r="C4906" s="15"/>
      <c r="D4906" s="2"/>
    </row>
    <row r="4907" spans="1:4" ht="12.75" customHeight="1" x14ac:dyDescent="0.2">
      <c r="B4907" s="11" t="s">
        <v>0</v>
      </c>
      <c r="C4907" s="11" t="s">
        <v>340</v>
      </c>
    </row>
    <row r="4908" spans="1:4" ht="12.75" customHeight="1" x14ac:dyDescent="0.2">
      <c r="B4908" s="11" t="s">
        <v>2599</v>
      </c>
      <c r="C4908" s="11" t="s">
        <v>747</v>
      </c>
    </row>
    <row r="4909" spans="1:4" ht="25.5" customHeight="1" x14ac:dyDescent="0.2">
      <c r="B4909" s="11" t="s">
        <v>2600</v>
      </c>
      <c r="C4909" s="11" t="s">
        <v>3356</v>
      </c>
    </row>
    <row r="4910" spans="1:4" ht="25.5" customHeight="1" x14ac:dyDescent="0.2">
      <c r="B4910" s="11" t="s">
        <v>2601</v>
      </c>
      <c r="C4910" s="11"/>
    </row>
    <row r="4911" spans="1:4" ht="12.75" customHeight="1" x14ac:dyDescent="0.2">
      <c r="B4911" s="11" t="s">
        <v>16</v>
      </c>
      <c r="C4911" s="11"/>
    </row>
    <row r="4912" spans="1:4" ht="12.75" customHeight="1" x14ac:dyDescent="0.2">
      <c r="B4912" s="11" t="s">
        <v>13</v>
      </c>
      <c r="C4912" s="11" t="s">
        <v>2602</v>
      </c>
    </row>
    <row r="4913" spans="1:4" ht="12.75" customHeight="1" x14ac:dyDescent="0.2">
      <c r="B4913" s="11" t="s">
        <v>2603</v>
      </c>
      <c r="C4913" s="11" t="s">
        <v>2604</v>
      </c>
    </row>
    <row r="4914" spans="1:4" ht="12.75" customHeight="1" x14ac:dyDescent="0.2">
      <c r="B4914" s="11" t="s">
        <v>2605</v>
      </c>
      <c r="C4914" s="11" t="s">
        <v>24</v>
      </c>
    </row>
    <row r="4915" spans="1:4" ht="12.75" customHeight="1" x14ac:dyDescent="0.2">
      <c r="B4915" s="11" t="s">
        <v>2606</v>
      </c>
      <c r="C4915" s="16" t="s">
        <v>77</v>
      </c>
      <c r="D4915" s="6" t="str">
        <f>HYPERLINK("javascript:void(0)","gigaköröm")</f>
        <v>gigaköröm</v>
      </c>
    </row>
    <row r="4916" spans="1:4" ht="12.75" customHeight="1" x14ac:dyDescent="0.2">
      <c r="B4916" s="2"/>
      <c r="C4916" s="15"/>
      <c r="D4916" s="2"/>
    </row>
    <row r="4917" spans="1:4" ht="12.75" customHeight="1" x14ac:dyDescent="0.2">
      <c r="B4917" s="2"/>
      <c r="C4917" s="15"/>
      <c r="D4917" s="2"/>
    </row>
    <row r="4918" spans="1:4" ht="12.75" customHeight="1" x14ac:dyDescent="0.2">
      <c r="A4918" s="13" t="s">
        <v>3357</v>
      </c>
      <c r="C4918" s="12"/>
    </row>
    <row r="4919" spans="1:4" ht="12.75" customHeight="1" x14ac:dyDescent="0.2">
      <c r="A4919" s="11"/>
      <c r="B4919" s="2"/>
      <c r="C4919" s="15"/>
      <c r="D4919" s="2"/>
    </row>
    <row r="4920" spans="1:4" ht="12.75" customHeight="1" x14ac:dyDescent="0.2">
      <c r="B4920" s="11" t="s">
        <v>0</v>
      </c>
      <c r="C4920" s="11" t="s">
        <v>340</v>
      </c>
    </row>
    <row r="4921" spans="1:4" ht="12.75" customHeight="1" x14ac:dyDescent="0.2">
      <c r="B4921" s="11" t="s">
        <v>2599</v>
      </c>
      <c r="C4921" s="11" t="s">
        <v>3358</v>
      </c>
    </row>
    <row r="4922" spans="1:4" ht="25.5" customHeight="1" x14ac:dyDescent="0.2">
      <c r="B4922" s="11" t="s">
        <v>2600</v>
      </c>
      <c r="C4922" s="11" t="s">
        <v>3359</v>
      </c>
    </row>
    <row r="4923" spans="1:4" ht="25.5" customHeight="1" x14ac:dyDescent="0.2">
      <c r="B4923" s="11" t="s">
        <v>2601</v>
      </c>
      <c r="C4923" s="11"/>
    </row>
    <row r="4924" spans="1:4" ht="12.75" customHeight="1" x14ac:dyDescent="0.2">
      <c r="B4924" s="11" t="s">
        <v>16</v>
      </c>
      <c r="C4924" s="11"/>
    </row>
    <row r="4925" spans="1:4" ht="12.75" customHeight="1" x14ac:dyDescent="0.2">
      <c r="B4925" s="11" t="s">
        <v>13</v>
      </c>
      <c r="C4925" s="11" t="s">
        <v>2644</v>
      </c>
    </row>
    <row r="4926" spans="1:4" ht="12.75" customHeight="1" x14ac:dyDescent="0.2">
      <c r="B4926" s="11" t="s">
        <v>2603</v>
      </c>
      <c r="C4926" s="11" t="s">
        <v>2604</v>
      </c>
    </row>
    <row r="4927" spans="1:4" ht="12.75" customHeight="1" x14ac:dyDescent="0.2">
      <c r="B4927" s="11" t="s">
        <v>2605</v>
      </c>
      <c r="C4927" s="11" t="s">
        <v>24</v>
      </c>
    </row>
    <row r="4928" spans="1:4" ht="25.5" customHeight="1" x14ac:dyDescent="0.2">
      <c r="B4928" s="11" t="s">
        <v>2606</v>
      </c>
      <c r="C4928" s="16" t="s">
        <v>77</v>
      </c>
      <c r="D4928" s="6" t="str">
        <f>HYPERLINK("javascript:void(0)","vámpírherbium")</f>
        <v>vámpírherbium</v>
      </c>
    </row>
    <row r="4929" spans="1:4" ht="12.75" customHeight="1" x14ac:dyDescent="0.2">
      <c r="B4929" s="2"/>
      <c r="C4929" s="15"/>
      <c r="D4929" s="2"/>
    </row>
    <row r="4930" spans="1:4" ht="12.75" customHeight="1" x14ac:dyDescent="0.2">
      <c r="B4930" s="2"/>
      <c r="C4930" s="15"/>
      <c r="D4930" s="2"/>
    </row>
    <row r="4931" spans="1:4" ht="12.75" customHeight="1" x14ac:dyDescent="0.2">
      <c r="A4931" s="13" t="s">
        <v>3360</v>
      </c>
      <c r="C4931" s="12"/>
    </row>
    <row r="4932" spans="1:4" ht="12.75" customHeight="1" x14ac:dyDescent="0.2">
      <c r="A4932" s="11"/>
      <c r="B4932" s="2"/>
      <c r="C4932" s="15"/>
      <c r="D4932" s="2"/>
    </row>
    <row r="4933" spans="1:4" ht="12.75" customHeight="1" x14ac:dyDescent="0.2">
      <c r="B4933" s="11" t="s">
        <v>0</v>
      </c>
      <c r="C4933" s="11" t="s">
        <v>340</v>
      </c>
    </row>
    <row r="4934" spans="1:4" ht="12.75" customHeight="1" x14ac:dyDescent="0.2">
      <c r="B4934" s="11" t="s">
        <v>2599</v>
      </c>
      <c r="C4934" s="11" t="s">
        <v>3361</v>
      </c>
    </row>
    <row r="4935" spans="1:4" ht="25.5" customHeight="1" x14ac:dyDescent="0.2">
      <c r="B4935" s="11" t="s">
        <v>2600</v>
      </c>
      <c r="C4935" s="11" t="s">
        <v>3362</v>
      </c>
    </row>
    <row r="4936" spans="1:4" ht="25.5" customHeight="1" x14ac:dyDescent="0.2">
      <c r="B4936" s="11" t="s">
        <v>2601</v>
      </c>
      <c r="C4936" s="11"/>
    </row>
    <row r="4937" spans="1:4" ht="12.75" customHeight="1" x14ac:dyDescent="0.2">
      <c r="B4937" s="11" t="s">
        <v>16</v>
      </c>
      <c r="C4937" s="11"/>
    </row>
    <row r="4938" spans="1:4" ht="12.75" customHeight="1" x14ac:dyDescent="0.2">
      <c r="B4938" s="11" t="s">
        <v>13</v>
      </c>
      <c r="C4938" s="11" t="s">
        <v>2602</v>
      </c>
    </row>
    <row r="4939" spans="1:4" ht="12.75" customHeight="1" x14ac:dyDescent="0.2">
      <c r="B4939" s="11" t="s">
        <v>2603</v>
      </c>
      <c r="C4939" s="11" t="s">
        <v>2604</v>
      </c>
    </row>
    <row r="4940" spans="1:4" ht="12.75" customHeight="1" x14ac:dyDescent="0.2">
      <c r="B4940" s="11" t="s">
        <v>2605</v>
      </c>
      <c r="C4940" s="11" t="s">
        <v>24</v>
      </c>
    </row>
    <row r="4941" spans="1:4" ht="12.75" customHeight="1" x14ac:dyDescent="0.2">
      <c r="B4941" s="11" t="s">
        <v>2606</v>
      </c>
      <c r="C4941" s="16" t="s">
        <v>77</v>
      </c>
      <c r="D4941" s="6" t="str">
        <f>HYPERLINK("javascript:void(0)","gigaköröm")</f>
        <v>gigaköröm</v>
      </c>
    </row>
    <row r="4942" spans="1:4" ht="12.75" customHeight="1" x14ac:dyDescent="0.2">
      <c r="B4942" s="2"/>
      <c r="C4942" s="15"/>
      <c r="D4942" s="2"/>
    </row>
    <row r="4943" spans="1:4" ht="12.75" customHeight="1" x14ac:dyDescent="0.2">
      <c r="B4943" s="2"/>
      <c r="C4943" s="15"/>
      <c r="D4943" s="2"/>
    </row>
    <row r="4944" spans="1:4" ht="12.75" customHeight="1" x14ac:dyDescent="0.2">
      <c r="A4944" s="13" t="s">
        <v>3363</v>
      </c>
      <c r="C4944" s="12"/>
    </row>
    <row r="4945" spans="1:4" ht="12.75" customHeight="1" x14ac:dyDescent="0.2">
      <c r="A4945" s="11"/>
      <c r="B4945" s="2"/>
      <c r="C4945" s="15"/>
      <c r="D4945" s="2"/>
    </row>
    <row r="4946" spans="1:4" ht="12.75" customHeight="1" x14ac:dyDescent="0.2">
      <c r="B4946" s="11" t="s">
        <v>0</v>
      </c>
      <c r="C4946" s="11" t="s">
        <v>340</v>
      </c>
    </row>
    <row r="4947" spans="1:4" ht="12.75" customHeight="1" x14ac:dyDescent="0.2">
      <c r="B4947" s="11" t="s">
        <v>2599</v>
      </c>
      <c r="C4947" s="11" t="s">
        <v>3172</v>
      </c>
    </row>
    <row r="4948" spans="1:4" ht="25.5" customHeight="1" x14ac:dyDescent="0.2">
      <c r="B4948" s="11" t="s">
        <v>2600</v>
      </c>
      <c r="C4948" s="11" t="s">
        <v>3364</v>
      </c>
    </row>
    <row r="4949" spans="1:4" ht="25.5" customHeight="1" x14ac:dyDescent="0.2">
      <c r="B4949" s="11" t="s">
        <v>2601</v>
      </c>
      <c r="C4949" s="11"/>
    </row>
    <row r="4950" spans="1:4" ht="12.75" customHeight="1" x14ac:dyDescent="0.2">
      <c r="B4950" s="11" t="s">
        <v>16</v>
      </c>
      <c r="C4950" s="11"/>
    </row>
    <row r="4951" spans="1:4" ht="12.75" customHeight="1" x14ac:dyDescent="0.2">
      <c r="B4951" s="11" t="s">
        <v>13</v>
      </c>
      <c r="C4951" s="11" t="s">
        <v>2602</v>
      </c>
    </row>
    <row r="4952" spans="1:4" ht="12.75" customHeight="1" x14ac:dyDescent="0.2">
      <c r="B4952" s="11" t="s">
        <v>2603</v>
      </c>
      <c r="C4952" s="11" t="s">
        <v>2604</v>
      </c>
    </row>
    <row r="4953" spans="1:4" ht="12.75" customHeight="1" x14ac:dyDescent="0.2">
      <c r="B4953" s="11" t="s">
        <v>2605</v>
      </c>
      <c r="C4953" s="11" t="s">
        <v>24</v>
      </c>
    </row>
    <row r="4954" spans="1:4" ht="25.5" customHeight="1" x14ac:dyDescent="0.2">
      <c r="B4954" s="11" t="s">
        <v>2606</v>
      </c>
      <c r="C4954" s="16" t="s">
        <v>44</v>
      </c>
      <c r="D4954" s="6" t="str">
        <f>HYPERLINK("javascript:void(0)","hidracél szablya")</f>
        <v>hidracél szablya</v>
      </c>
    </row>
    <row r="4955" spans="1:4" ht="12.75" customHeight="1" x14ac:dyDescent="0.2">
      <c r="B4955" s="2"/>
      <c r="C4955" s="15"/>
      <c r="D4955" s="2"/>
    </row>
    <row r="4956" spans="1:4" ht="12.75" customHeight="1" x14ac:dyDescent="0.2">
      <c r="B4956" s="2"/>
      <c r="C4956" s="15"/>
      <c r="D4956" s="2"/>
    </row>
    <row r="4957" spans="1:4" ht="12.75" customHeight="1" x14ac:dyDescent="0.2">
      <c r="A4957" s="13" t="s">
        <v>3365</v>
      </c>
      <c r="C4957" s="12"/>
    </row>
    <row r="4958" spans="1:4" ht="12.75" customHeight="1" x14ac:dyDescent="0.2">
      <c r="A4958" s="11"/>
      <c r="B4958" s="2"/>
      <c r="C4958" s="15"/>
      <c r="D4958" s="2"/>
    </row>
    <row r="4959" spans="1:4" ht="12.75" customHeight="1" x14ac:dyDescent="0.2">
      <c r="B4959" s="11" t="s">
        <v>0</v>
      </c>
      <c r="C4959" s="11" t="s">
        <v>340</v>
      </c>
    </row>
    <row r="4960" spans="1:4" ht="12.75" customHeight="1" x14ac:dyDescent="0.2">
      <c r="B4960" s="11" t="s">
        <v>2599</v>
      </c>
      <c r="C4960" s="11" t="s">
        <v>2869</v>
      </c>
    </row>
    <row r="4961" spans="1:4" ht="25.5" customHeight="1" x14ac:dyDescent="0.2">
      <c r="B4961" s="11" t="s">
        <v>2600</v>
      </c>
      <c r="C4961" s="11" t="s">
        <v>3366</v>
      </c>
    </row>
    <row r="4962" spans="1:4" ht="25.5" customHeight="1" x14ac:dyDescent="0.2">
      <c r="B4962" s="11" t="s">
        <v>2601</v>
      </c>
      <c r="C4962" s="11"/>
    </row>
    <row r="4963" spans="1:4" ht="12.75" customHeight="1" x14ac:dyDescent="0.2">
      <c r="B4963" s="11" t="s">
        <v>16</v>
      </c>
      <c r="C4963" s="11"/>
    </row>
    <row r="4964" spans="1:4" ht="12.75" customHeight="1" x14ac:dyDescent="0.2">
      <c r="B4964" s="11" t="s">
        <v>13</v>
      </c>
      <c r="C4964" s="11" t="s">
        <v>2644</v>
      </c>
    </row>
    <row r="4965" spans="1:4" ht="12.75" customHeight="1" x14ac:dyDescent="0.2">
      <c r="B4965" s="11" t="s">
        <v>2603</v>
      </c>
      <c r="C4965" s="11" t="s">
        <v>2604</v>
      </c>
    </row>
    <row r="4966" spans="1:4" ht="12.75" customHeight="1" x14ac:dyDescent="0.2">
      <c r="B4966" s="11" t="s">
        <v>2605</v>
      </c>
      <c r="C4966" s="11" t="s">
        <v>24</v>
      </c>
    </row>
    <row r="4967" spans="1:4" ht="12.75" customHeight="1" x14ac:dyDescent="0.2">
      <c r="B4967" s="11" t="s">
        <v>2606</v>
      </c>
      <c r="C4967" s="16" t="s">
        <v>57</v>
      </c>
      <c r="D4967" s="6" t="str">
        <f>HYPERLINK("javascript:void(0)","varázsige")</f>
        <v>varázsige</v>
      </c>
    </row>
    <row r="4968" spans="1:4" ht="12.75" customHeight="1" x14ac:dyDescent="0.2">
      <c r="B4968" s="2"/>
      <c r="C4968" s="15"/>
      <c r="D4968" s="2"/>
    </row>
    <row r="4969" spans="1:4" ht="12.75" customHeight="1" x14ac:dyDescent="0.2">
      <c r="B4969" s="2"/>
      <c r="C4969" s="15"/>
      <c r="D4969" s="2"/>
    </row>
    <row r="4970" spans="1:4" ht="12.75" customHeight="1" x14ac:dyDescent="0.2">
      <c r="A4970" s="13" t="s">
        <v>3367</v>
      </c>
      <c r="C4970" s="12"/>
    </row>
    <row r="4971" spans="1:4" ht="12.75" customHeight="1" x14ac:dyDescent="0.2">
      <c r="A4971" s="11"/>
      <c r="B4971" s="2"/>
      <c r="C4971" s="15"/>
      <c r="D4971" s="2"/>
    </row>
    <row r="4972" spans="1:4" ht="12.75" customHeight="1" x14ac:dyDescent="0.2">
      <c r="B4972" s="11" t="s">
        <v>0</v>
      </c>
      <c r="C4972" s="11" t="s">
        <v>340</v>
      </c>
    </row>
    <row r="4973" spans="1:4" ht="12.75" customHeight="1" x14ac:dyDescent="0.2">
      <c r="B4973" s="11" t="s">
        <v>2599</v>
      </c>
      <c r="C4973" s="11" t="s">
        <v>1770</v>
      </c>
    </row>
    <row r="4974" spans="1:4" ht="25.5" customHeight="1" x14ac:dyDescent="0.2">
      <c r="B4974" s="11" t="s">
        <v>2600</v>
      </c>
      <c r="C4974" s="11" t="s">
        <v>3368</v>
      </c>
    </row>
    <row r="4975" spans="1:4" ht="25.5" customHeight="1" x14ac:dyDescent="0.2">
      <c r="B4975" s="11" t="s">
        <v>2601</v>
      </c>
      <c r="C4975" s="11"/>
    </row>
    <row r="4976" spans="1:4" ht="12.75" customHeight="1" x14ac:dyDescent="0.2">
      <c r="B4976" s="11" t="s">
        <v>16</v>
      </c>
      <c r="C4976" s="11"/>
    </row>
    <row r="4977" spans="1:4" ht="12.75" customHeight="1" x14ac:dyDescent="0.2">
      <c r="B4977" s="11" t="s">
        <v>13</v>
      </c>
      <c r="C4977" s="11" t="s">
        <v>2644</v>
      </c>
    </row>
    <row r="4978" spans="1:4" ht="12.75" customHeight="1" x14ac:dyDescent="0.2">
      <c r="B4978" s="11" t="s">
        <v>2603</v>
      </c>
      <c r="C4978" s="11" t="s">
        <v>2604</v>
      </c>
    </row>
    <row r="4979" spans="1:4" ht="12.75" customHeight="1" x14ac:dyDescent="0.2">
      <c r="B4979" s="11" t="s">
        <v>2605</v>
      </c>
      <c r="C4979" s="11" t="s">
        <v>24</v>
      </c>
    </row>
    <row r="4980" spans="1:4" ht="12.75" customHeight="1" x14ac:dyDescent="0.2">
      <c r="B4980" s="11" t="s">
        <v>2606</v>
      </c>
      <c r="C4980" s="16" t="s">
        <v>44</v>
      </c>
      <c r="D4980" s="6" t="str">
        <f>HYPERLINK("javascript:void(0)","varázsige")</f>
        <v>varázsige</v>
      </c>
    </row>
    <row r="4981" spans="1:4" ht="12.75" customHeight="1" x14ac:dyDescent="0.2">
      <c r="B4981" s="2"/>
      <c r="C4981" s="15"/>
      <c r="D4981" s="2"/>
    </row>
    <row r="4982" spans="1:4" ht="12.75" customHeight="1" x14ac:dyDescent="0.2">
      <c r="B4982" s="2"/>
      <c r="C4982" s="15"/>
      <c r="D4982" s="2"/>
    </row>
    <row r="4983" spans="1:4" ht="12.75" customHeight="1" x14ac:dyDescent="0.2">
      <c r="A4983" s="13" t="s">
        <v>2782</v>
      </c>
      <c r="C4983" s="12"/>
    </row>
    <row r="4984" spans="1:4" ht="12.75" customHeight="1" x14ac:dyDescent="0.2">
      <c r="A4984" s="11"/>
      <c r="B4984" s="2"/>
      <c r="C4984" s="15"/>
      <c r="D4984" s="2"/>
    </row>
    <row r="4985" spans="1:4" ht="12.75" customHeight="1" x14ac:dyDescent="0.2">
      <c r="B4985" s="11" t="s">
        <v>0</v>
      </c>
      <c r="C4985" s="11" t="s">
        <v>353</v>
      </c>
    </row>
    <row r="4986" spans="1:4" ht="12.75" customHeight="1" x14ac:dyDescent="0.2">
      <c r="B4986" s="11" t="s">
        <v>2599</v>
      </c>
      <c r="C4986" s="11" t="s">
        <v>2512</v>
      </c>
    </row>
    <row r="4987" spans="1:4" ht="25.5" customHeight="1" x14ac:dyDescent="0.2">
      <c r="B4987" s="11" t="s">
        <v>2600</v>
      </c>
      <c r="C4987" s="11" t="s">
        <v>3369</v>
      </c>
    </row>
    <row r="4988" spans="1:4" ht="25.5" customHeight="1" x14ac:dyDescent="0.2">
      <c r="B4988" s="11" t="s">
        <v>2601</v>
      </c>
      <c r="C4988" s="11"/>
    </row>
    <row r="4989" spans="1:4" ht="12.75" customHeight="1" x14ac:dyDescent="0.2">
      <c r="B4989" s="11" t="s">
        <v>16</v>
      </c>
      <c r="C4989" s="11"/>
    </row>
    <row r="4990" spans="1:4" ht="12.75" customHeight="1" x14ac:dyDescent="0.2">
      <c r="B4990" s="11" t="s">
        <v>13</v>
      </c>
      <c r="C4990" s="11" t="s">
        <v>2644</v>
      </c>
    </row>
    <row r="4991" spans="1:4" ht="12.75" customHeight="1" x14ac:dyDescent="0.2">
      <c r="B4991" s="11" t="s">
        <v>2603</v>
      </c>
      <c r="C4991" s="11" t="s">
        <v>2604</v>
      </c>
    </row>
    <row r="4992" spans="1:4" ht="12.75" customHeight="1" x14ac:dyDescent="0.2">
      <c r="B4992" s="11" t="s">
        <v>2605</v>
      </c>
      <c r="C4992" s="11" t="s">
        <v>14</v>
      </c>
    </row>
    <row r="4993" spans="1:4" ht="12.75" customHeight="1" x14ac:dyDescent="0.2">
      <c r="B4993" s="11" t="s">
        <v>2606</v>
      </c>
      <c r="C4993" s="16" t="s">
        <v>44</v>
      </c>
      <c r="D4993" s="6" t="str">
        <f>HYPERLINK("javascript:void(0)","alakváltókő")</f>
        <v>alakváltókő</v>
      </c>
    </row>
    <row r="4994" spans="1:4" ht="12.75" customHeight="1" x14ac:dyDescent="0.2">
      <c r="B4994" s="2"/>
      <c r="C4994" s="15"/>
      <c r="D4994" s="2"/>
    </row>
    <row r="4995" spans="1:4" ht="12.75" customHeight="1" x14ac:dyDescent="0.2">
      <c r="B4995" s="2"/>
      <c r="C4995" s="15"/>
      <c r="D4995" s="2"/>
    </row>
    <row r="4996" spans="1:4" ht="12.75" customHeight="1" x14ac:dyDescent="0.2">
      <c r="A4996" s="13" t="s">
        <v>3343</v>
      </c>
      <c r="C4996" s="12"/>
      <c r="D4996" s="2"/>
    </row>
    <row r="4997" spans="1:4" ht="12.75" customHeight="1" x14ac:dyDescent="0.2">
      <c r="A4997" s="11"/>
      <c r="B4997" s="2"/>
      <c r="C4997" s="15"/>
      <c r="D4997" s="2"/>
    </row>
    <row r="4998" spans="1:4" ht="12.75" customHeight="1" x14ac:dyDescent="0.2">
      <c r="B4998" s="11" t="s">
        <v>0</v>
      </c>
      <c r="C4998" s="17" t="s">
        <v>353</v>
      </c>
      <c r="D4998" s="2"/>
    </row>
    <row r="4999" spans="1:4" ht="12.75" customHeight="1" x14ac:dyDescent="0.2">
      <c r="B4999" s="11" t="s">
        <v>2599</v>
      </c>
      <c r="C4999" s="17" t="s">
        <v>3344</v>
      </c>
      <c r="D4999" s="2"/>
    </row>
    <row r="5000" spans="1:4" ht="25.5" customHeight="1" x14ac:dyDescent="0.2">
      <c r="B5000" s="11" t="s">
        <v>2600</v>
      </c>
      <c r="C5000" s="17" t="s">
        <v>3370</v>
      </c>
      <c r="D5000" s="2"/>
    </row>
    <row r="5001" spans="1:4" ht="25.5" customHeight="1" x14ac:dyDescent="0.2">
      <c r="B5001" s="11" t="s">
        <v>2601</v>
      </c>
      <c r="C5001" s="17"/>
      <c r="D5001" s="2"/>
    </row>
    <row r="5002" spans="1:4" ht="12.75" customHeight="1" x14ac:dyDescent="0.2">
      <c r="B5002" s="11" t="s">
        <v>16</v>
      </c>
      <c r="C5002" s="17"/>
      <c r="D5002" s="2"/>
    </row>
    <row r="5003" spans="1:4" ht="12.75" customHeight="1" x14ac:dyDescent="0.2">
      <c r="B5003" s="11" t="s">
        <v>13</v>
      </c>
      <c r="C5003" s="17" t="s">
        <v>2602</v>
      </c>
      <c r="D5003" s="2"/>
    </row>
    <row r="5004" spans="1:4" ht="25.5" customHeight="1" x14ac:dyDescent="0.2">
      <c r="B5004" s="11" t="s">
        <v>2603</v>
      </c>
      <c r="C5004" s="17" t="s">
        <v>2971</v>
      </c>
      <c r="D5004" s="2"/>
    </row>
    <row r="5005" spans="1:4" ht="12.75" customHeight="1" x14ac:dyDescent="0.2">
      <c r="B5005" s="11" t="s">
        <v>2605</v>
      </c>
      <c r="C5005" s="17" t="s">
        <v>14</v>
      </c>
      <c r="D5005" s="2"/>
    </row>
    <row r="5006" spans="1:4" ht="12.75" customHeight="1" x14ac:dyDescent="0.2">
      <c r="B5006" s="11" t="s">
        <v>2606</v>
      </c>
      <c r="C5006" s="16" t="s">
        <v>19</v>
      </c>
      <c r="D5006" s="2"/>
    </row>
    <row r="5007" spans="1:4" ht="12.75" customHeight="1" x14ac:dyDescent="0.2">
      <c r="B5007" s="2"/>
      <c r="C5007" s="15"/>
      <c r="D5007" s="2"/>
    </row>
    <row r="5008" spans="1:4" ht="12.75" customHeight="1" x14ac:dyDescent="0.2">
      <c r="B5008" s="2"/>
      <c r="C5008" s="15"/>
      <c r="D5008" s="2"/>
    </row>
    <row r="5009" spans="1:4" ht="12.75" customHeight="1" x14ac:dyDescent="0.2">
      <c r="A5009" s="13" t="s">
        <v>3254</v>
      </c>
      <c r="C5009" s="12"/>
      <c r="D5009" s="2"/>
    </row>
    <row r="5010" spans="1:4" ht="12.75" customHeight="1" x14ac:dyDescent="0.2">
      <c r="A5010" s="11"/>
      <c r="B5010" s="2"/>
      <c r="C5010" s="15"/>
      <c r="D5010" s="2"/>
    </row>
    <row r="5011" spans="1:4" ht="12.75" customHeight="1" x14ac:dyDescent="0.2">
      <c r="B5011" s="11" t="s">
        <v>0</v>
      </c>
      <c r="C5011" s="17" t="s">
        <v>353</v>
      </c>
      <c r="D5011" s="2"/>
    </row>
    <row r="5012" spans="1:4" ht="12.75" customHeight="1" x14ac:dyDescent="0.2">
      <c r="B5012" s="11" t="s">
        <v>2599</v>
      </c>
      <c r="C5012" s="17" t="s">
        <v>2454</v>
      </c>
      <c r="D5012" s="2"/>
    </row>
    <row r="5013" spans="1:4" ht="25.5" customHeight="1" x14ac:dyDescent="0.2">
      <c r="B5013" s="11" t="s">
        <v>2600</v>
      </c>
      <c r="C5013" s="17" t="s">
        <v>3371</v>
      </c>
      <c r="D5013" s="2"/>
    </row>
    <row r="5014" spans="1:4" ht="25.5" customHeight="1" x14ac:dyDescent="0.2">
      <c r="B5014" s="11" t="s">
        <v>2601</v>
      </c>
      <c r="C5014" s="17"/>
      <c r="D5014" s="2"/>
    </row>
    <row r="5015" spans="1:4" ht="12.75" customHeight="1" x14ac:dyDescent="0.2">
      <c r="B5015" s="11" t="s">
        <v>16</v>
      </c>
      <c r="C5015" s="17"/>
      <c r="D5015" s="2"/>
    </row>
    <row r="5016" spans="1:4" ht="12.75" customHeight="1" x14ac:dyDescent="0.2">
      <c r="B5016" s="11" t="s">
        <v>13</v>
      </c>
      <c r="C5016" s="17" t="s">
        <v>2644</v>
      </c>
      <c r="D5016" s="2"/>
    </row>
    <row r="5017" spans="1:4" ht="25.5" customHeight="1" x14ac:dyDescent="0.2">
      <c r="B5017" s="11" t="s">
        <v>2603</v>
      </c>
      <c r="C5017" s="17" t="s">
        <v>2971</v>
      </c>
      <c r="D5017" s="2"/>
    </row>
    <row r="5018" spans="1:4" ht="12.75" customHeight="1" x14ac:dyDescent="0.2">
      <c r="B5018" s="11" t="s">
        <v>2605</v>
      </c>
      <c r="C5018" s="17" t="s">
        <v>14</v>
      </c>
      <c r="D5018" s="2"/>
    </row>
    <row r="5019" spans="1:4" ht="12.75" customHeight="1" x14ac:dyDescent="0.2">
      <c r="B5019" s="11" t="s">
        <v>2606</v>
      </c>
      <c r="C5019" s="16" t="s">
        <v>19</v>
      </c>
      <c r="D5019" s="2"/>
    </row>
    <row r="5020" spans="1:4" ht="12.75" customHeight="1" x14ac:dyDescent="0.2">
      <c r="B5020" s="2"/>
      <c r="C5020" s="15"/>
      <c r="D5020" s="2"/>
    </row>
    <row r="5021" spans="1:4" ht="12.75" customHeight="1" x14ac:dyDescent="0.2">
      <c r="B5021" s="2"/>
      <c r="C5021" s="15"/>
      <c r="D5021" s="2"/>
    </row>
    <row r="5022" spans="1:4" ht="12.75" customHeight="1" x14ac:dyDescent="0.2">
      <c r="A5022" s="13" t="s">
        <v>3312</v>
      </c>
      <c r="C5022" s="12"/>
      <c r="D5022" s="2"/>
    </row>
    <row r="5023" spans="1:4" ht="12.75" customHeight="1" x14ac:dyDescent="0.2">
      <c r="A5023" s="11"/>
      <c r="B5023" s="2"/>
      <c r="C5023" s="15"/>
      <c r="D5023" s="2"/>
    </row>
    <row r="5024" spans="1:4" ht="12.75" customHeight="1" x14ac:dyDescent="0.2">
      <c r="B5024" s="11" t="s">
        <v>0</v>
      </c>
      <c r="C5024" s="17" t="s">
        <v>353</v>
      </c>
      <c r="D5024" s="2"/>
    </row>
    <row r="5025" spans="1:4" ht="12.75" customHeight="1" x14ac:dyDescent="0.2">
      <c r="B5025" s="11" t="s">
        <v>2599</v>
      </c>
      <c r="C5025" s="17" t="s">
        <v>3313</v>
      </c>
      <c r="D5025" s="2"/>
    </row>
    <row r="5026" spans="1:4" ht="25.5" customHeight="1" x14ac:dyDescent="0.2">
      <c r="B5026" s="11" t="s">
        <v>2600</v>
      </c>
      <c r="C5026" s="17" t="s">
        <v>3372</v>
      </c>
      <c r="D5026" s="2"/>
    </row>
    <row r="5027" spans="1:4" ht="25.5" customHeight="1" x14ac:dyDescent="0.2">
      <c r="B5027" s="11" t="s">
        <v>2601</v>
      </c>
      <c r="C5027" s="17"/>
      <c r="D5027" s="2"/>
    </row>
    <row r="5028" spans="1:4" ht="12.75" customHeight="1" x14ac:dyDescent="0.2">
      <c r="B5028" s="11" t="s">
        <v>16</v>
      </c>
      <c r="C5028" s="17"/>
      <c r="D5028" s="2"/>
    </row>
    <row r="5029" spans="1:4" ht="12.75" customHeight="1" x14ac:dyDescent="0.2">
      <c r="B5029" s="11" t="s">
        <v>13</v>
      </c>
      <c r="C5029" s="17" t="s">
        <v>2602</v>
      </c>
      <c r="D5029" s="2"/>
    </row>
    <row r="5030" spans="1:4" ht="25.5" customHeight="1" x14ac:dyDescent="0.2">
      <c r="B5030" s="11" t="s">
        <v>2603</v>
      </c>
      <c r="C5030" s="17" t="s">
        <v>2971</v>
      </c>
      <c r="D5030" s="2"/>
    </row>
    <row r="5031" spans="1:4" ht="12.75" customHeight="1" x14ac:dyDescent="0.2">
      <c r="B5031" s="11" t="s">
        <v>2605</v>
      </c>
      <c r="C5031" s="17" t="s">
        <v>14</v>
      </c>
      <c r="D5031" s="2"/>
    </row>
    <row r="5032" spans="1:4" ht="12.75" customHeight="1" x14ac:dyDescent="0.2">
      <c r="B5032" s="11" t="s">
        <v>2606</v>
      </c>
      <c r="C5032" s="16" t="s">
        <v>19</v>
      </c>
      <c r="D5032" s="2"/>
    </row>
    <row r="5033" spans="1:4" ht="12.75" customHeight="1" x14ac:dyDescent="0.2">
      <c r="B5033" s="2"/>
      <c r="C5033" s="15"/>
      <c r="D5033" s="2"/>
    </row>
    <row r="5034" spans="1:4" ht="12.75" customHeight="1" x14ac:dyDescent="0.2">
      <c r="B5034" s="2"/>
      <c r="C5034" s="15"/>
      <c r="D5034" s="2"/>
    </row>
    <row r="5035" spans="1:4" ht="12.75" customHeight="1" x14ac:dyDescent="0.2">
      <c r="A5035" s="13" t="s">
        <v>3257</v>
      </c>
      <c r="C5035" s="12"/>
      <c r="D5035" s="2"/>
    </row>
    <row r="5036" spans="1:4" ht="12.75" customHeight="1" x14ac:dyDescent="0.2">
      <c r="A5036" s="11"/>
      <c r="B5036" s="2"/>
      <c r="C5036" s="15"/>
      <c r="D5036" s="2"/>
    </row>
    <row r="5037" spans="1:4" ht="12.75" customHeight="1" x14ac:dyDescent="0.2">
      <c r="B5037" s="11" t="s">
        <v>0</v>
      </c>
      <c r="C5037" s="17" t="s">
        <v>353</v>
      </c>
      <c r="D5037" s="2"/>
    </row>
    <row r="5038" spans="1:4" ht="12.75" customHeight="1" x14ac:dyDescent="0.2">
      <c r="B5038" s="11" t="s">
        <v>2599</v>
      </c>
      <c r="C5038" s="17" t="s">
        <v>3258</v>
      </c>
      <c r="D5038" s="2"/>
    </row>
    <row r="5039" spans="1:4" ht="25.5" customHeight="1" x14ac:dyDescent="0.2">
      <c r="B5039" s="11" t="s">
        <v>2600</v>
      </c>
      <c r="C5039" s="17" t="s">
        <v>3373</v>
      </c>
      <c r="D5039" s="2"/>
    </row>
    <row r="5040" spans="1:4" ht="25.5" customHeight="1" x14ac:dyDescent="0.2">
      <c r="B5040" s="11" t="s">
        <v>2601</v>
      </c>
      <c r="C5040" s="17"/>
      <c r="D5040" s="2"/>
    </row>
    <row r="5041" spans="1:4" ht="12.75" customHeight="1" x14ac:dyDescent="0.2">
      <c r="B5041" s="11" t="s">
        <v>16</v>
      </c>
      <c r="C5041" s="17"/>
      <c r="D5041" s="2"/>
    </row>
    <row r="5042" spans="1:4" ht="12.75" customHeight="1" x14ac:dyDescent="0.2">
      <c r="B5042" s="11" t="s">
        <v>13</v>
      </c>
      <c r="C5042" s="17" t="s">
        <v>2602</v>
      </c>
      <c r="D5042" s="2"/>
    </row>
    <row r="5043" spans="1:4" ht="25.5" customHeight="1" x14ac:dyDescent="0.2">
      <c r="B5043" s="11" t="s">
        <v>2603</v>
      </c>
      <c r="C5043" s="17" t="s">
        <v>2971</v>
      </c>
      <c r="D5043" s="2"/>
    </row>
    <row r="5044" spans="1:4" ht="12.75" customHeight="1" x14ac:dyDescent="0.2">
      <c r="B5044" s="11" t="s">
        <v>2605</v>
      </c>
      <c r="C5044" s="17" t="s">
        <v>14</v>
      </c>
      <c r="D5044" s="2"/>
    </row>
    <row r="5045" spans="1:4" ht="12.75" customHeight="1" x14ac:dyDescent="0.2">
      <c r="B5045" s="11" t="s">
        <v>2606</v>
      </c>
      <c r="C5045" s="16" t="s">
        <v>19</v>
      </c>
      <c r="D5045" s="2"/>
    </row>
    <row r="5046" spans="1:4" ht="12.75" customHeight="1" x14ac:dyDescent="0.2">
      <c r="B5046" s="2"/>
      <c r="C5046" s="15"/>
      <c r="D5046" s="2"/>
    </row>
    <row r="5047" spans="1:4" ht="12.75" customHeight="1" x14ac:dyDescent="0.2">
      <c r="B5047" s="2"/>
      <c r="C5047" s="15"/>
      <c r="D5047" s="2"/>
    </row>
    <row r="5048" spans="1:4" ht="12.75" customHeight="1" x14ac:dyDescent="0.2">
      <c r="A5048" s="13" t="s">
        <v>3260</v>
      </c>
      <c r="C5048" s="12"/>
      <c r="D5048" s="2"/>
    </row>
    <row r="5049" spans="1:4" ht="12.75" customHeight="1" x14ac:dyDescent="0.2">
      <c r="A5049" s="11"/>
      <c r="B5049" s="2"/>
      <c r="C5049" s="15"/>
      <c r="D5049" s="2"/>
    </row>
    <row r="5050" spans="1:4" ht="12.75" customHeight="1" x14ac:dyDescent="0.2">
      <c r="B5050" s="11" t="s">
        <v>0</v>
      </c>
      <c r="C5050" s="17" t="s">
        <v>353</v>
      </c>
      <c r="D5050" s="2"/>
    </row>
    <row r="5051" spans="1:4" ht="12.75" customHeight="1" x14ac:dyDescent="0.2">
      <c r="B5051" s="11" t="s">
        <v>2599</v>
      </c>
      <c r="C5051" s="17" t="s">
        <v>3261</v>
      </c>
      <c r="D5051" s="2"/>
    </row>
    <row r="5052" spans="1:4" ht="25.5" customHeight="1" x14ac:dyDescent="0.2">
      <c r="B5052" s="11" t="s">
        <v>2600</v>
      </c>
      <c r="C5052" s="17" t="s">
        <v>3374</v>
      </c>
      <c r="D5052" s="2"/>
    </row>
    <row r="5053" spans="1:4" ht="25.5" customHeight="1" x14ac:dyDescent="0.2">
      <c r="B5053" s="11" t="s">
        <v>2601</v>
      </c>
      <c r="C5053" s="17"/>
      <c r="D5053" s="2"/>
    </row>
    <row r="5054" spans="1:4" ht="12.75" customHeight="1" x14ac:dyDescent="0.2">
      <c r="B5054" s="11" t="s">
        <v>16</v>
      </c>
      <c r="C5054" s="17"/>
      <c r="D5054" s="2"/>
    </row>
    <row r="5055" spans="1:4" ht="12.75" customHeight="1" x14ac:dyDescent="0.2">
      <c r="B5055" s="11" t="s">
        <v>13</v>
      </c>
      <c r="C5055" s="17" t="s">
        <v>2644</v>
      </c>
      <c r="D5055" s="2"/>
    </row>
    <row r="5056" spans="1:4" ht="25.5" customHeight="1" x14ac:dyDescent="0.2">
      <c r="B5056" s="11" t="s">
        <v>2603</v>
      </c>
      <c r="C5056" s="17" t="s">
        <v>2971</v>
      </c>
      <c r="D5056" s="2"/>
    </row>
    <row r="5057" spans="1:4" ht="12.75" customHeight="1" x14ac:dyDescent="0.2">
      <c r="B5057" s="11" t="s">
        <v>2605</v>
      </c>
      <c r="C5057" s="17" t="s">
        <v>14</v>
      </c>
      <c r="D5057" s="2"/>
    </row>
    <row r="5058" spans="1:4" ht="12.75" customHeight="1" x14ac:dyDescent="0.2">
      <c r="B5058" s="11" t="s">
        <v>2606</v>
      </c>
      <c r="C5058" s="16" t="s">
        <v>19</v>
      </c>
      <c r="D5058" s="2"/>
    </row>
    <row r="5059" spans="1:4" ht="12.75" customHeight="1" x14ac:dyDescent="0.2">
      <c r="B5059" s="2"/>
      <c r="C5059" s="15"/>
      <c r="D5059" s="2"/>
    </row>
    <row r="5060" spans="1:4" ht="12.75" customHeight="1" x14ac:dyDescent="0.2">
      <c r="B5060" s="2"/>
      <c r="C5060" s="15"/>
      <c r="D5060" s="2"/>
    </row>
    <row r="5061" spans="1:4" ht="12.75" customHeight="1" x14ac:dyDescent="0.2">
      <c r="A5061" s="13" t="s">
        <v>3375</v>
      </c>
      <c r="C5061" s="12"/>
    </row>
    <row r="5062" spans="1:4" ht="12.75" customHeight="1" x14ac:dyDescent="0.2">
      <c r="A5062" s="11"/>
      <c r="B5062" s="2"/>
      <c r="C5062" s="15"/>
      <c r="D5062" s="2"/>
    </row>
    <row r="5063" spans="1:4" ht="12.75" customHeight="1" x14ac:dyDescent="0.2">
      <c r="B5063" s="11" t="s">
        <v>0</v>
      </c>
      <c r="C5063" s="11" t="s">
        <v>353</v>
      </c>
    </row>
    <row r="5064" spans="1:4" ht="12.75" customHeight="1" x14ac:dyDescent="0.2">
      <c r="B5064" s="11" t="s">
        <v>2599</v>
      </c>
      <c r="C5064" s="11" t="s">
        <v>3376</v>
      </c>
    </row>
    <row r="5065" spans="1:4" ht="25.5" customHeight="1" x14ac:dyDescent="0.2">
      <c r="B5065" s="11" t="s">
        <v>2600</v>
      </c>
      <c r="C5065" s="11" t="s">
        <v>3377</v>
      </c>
    </row>
    <row r="5066" spans="1:4" ht="25.5" customHeight="1" x14ac:dyDescent="0.2">
      <c r="B5066" s="11" t="s">
        <v>2601</v>
      </c>
      <c r="C5066" s="11"/>
    </row>
    <row r="5067" spans="1:4" ht="12.75" customHeight="1" x14ac:dyDescent="0.2">
      <c r="B5067" s="11" t="s">
        <v>16</v>
      </c>
      <c r="C5067" s="11"/>
    </row>
    <row r="5068" spans="1:4" ht="12.75" customHeight="1" x14ac:dyDescent="0.2">
      <c r="B5068" s="11" t="s">
        <v>13</v>
      </c>
      <c r="C5068" s="11" t="s">
        <v>2644</v>
      </c>
    </row>
    <row r="5069" spans="1:4" ht="12.75" customHeight="1" x14ac:dyDescent="0.2">
      <c r="B5069" s="11" t="s">
        <v>2603</v>
      </c>
      <c r="C5069" s="11" t="s">
        <v>2604</v>
      </c>
    </row>
    <row r="5070" spans="1:4" ht="12.75" customHeight="1" x14ac:dyDescent="0.2">
      <c r="B5070" s="11" t="s">
        <v>2605</v>
      </c>
      <c r="C5070" s="11" t="s">
        <v>24</v>
      </c>
    </row>
    <row r="5071" spans="1:4" ht="12.75" customHeight="1" x14ac:dyDescent="0.2">
      <c r="B5071" s="11" t="s">
        <v>2606</v>
      </c>
      <c r="C5071" s="16" t="s">
        <v>57</v>
      </c>
      <c r="D5071" s="6" t="str">
        <f>HYPERLINK("javascript:void(0)","földige")</f>
        <v>földige</v>
      </c>
    </row>
    <row r="5072" spans="1:4" ht="12.75" customHeight="1" x14ac:dyDescent="0.2">
      <c r="B5072" s="2"/>
      <c r="C5072" s="15"/>
      <c r="D5072" s="2"/>
    </row>
    <row r="5073" spans="1:4" ht="12.75" customHeight="1" x14ac:dyDescent="0.2">
      <c r="B5073" s="2"/>
      <c r="C5073" s="15"/>
      <c r="D5073" s="2"/>
    </row>
    <row r="5074" spans="1:4" ht="12.75" customHeight="1" x14ac:dyDescent="0.2">
      <c r="A5074" s="13" t="s">
        <v>3378</v>
      </c>
      <c r="C5074" s="12"/>
    </row>
    <row r="5075" spans="1:4" ht="12.75" customHeight="1" x14ac:dyDescent="0.2">
      <c r="A5075" s="11"/>
      <c r="B5075" s="2"/>
      <c r="C5075" s="15"/>
      <c r="D5075" s="2"/>
    </row>
    <row r="5076" spans="1:4" ht="12.75" customHeight="1" x14ac:dyDescent="0.2">
      <c r="B5076" s="11" t="s">
        <v>0</v>
      </c>
      <c r="C5076" s="11" t="s">
        <v>353</v>
      </c>
    </row>
    <row r="5077" spans="1:4" ht="12.75" customHeight="1" x14ac:dyDescent="0.2">
      <c r="B5077" s="11" t="s">
        <v>2599</v>
      </c>
      <c r="C5077" s="11" t="s">
        <v>3379</v>
      </c>
    </row>
    <row r="5078" spans="1:4" ht="25.5" customHeight="1" x14ac:dyDescent="0.2">
      <c r="B5078" s="11" t="s">
        <v>2600</v>
      </c>
      <c r="C5078" s="11" t="s">
        <v>3380</v>
      </c>
    </row>
    <row r="5079" spans="1:4" ht="25.5" customHeight="1" x14ac:dyDescent="0.2">
      <c r="B5079" s="11" t="s">
        <v>2601</v>
      </c>
      <c r="C5079" s="11"/>
    </row>
    <row r="5080" spans="1:4" ht="12.75" customHeight="1" x14ac:dyDescent="0.2">
      <c r="B5080" s="11" t="s">
        <v>16</v>
      </c>
      <c r="C5080" s="11"/>
    </row>
    <row r="5081" spans="1:4" ht="12.75" customHeight="1" x14ac:dyDescent="0.2">
      <c r="B5081" s="11" t="s">
        <v>13</v>
      </c>
      <c r="C5081" s="11" t="s">
        <v>2644</v>
      </c>
    </row>
    <row r="5082" spans="1:4" ht="12.75" customHeight="1" x14ac:dyDescent="0.2">
      <c r="B5082" s="11" t="s">
        <v>2603</v>
      </c>
      <c r="C5082" s="11" t="s">
        <v>2604</v>
      </c>
    </row>
    <row r="5083" spans="1:4" ht="12.75" customHeight="1" x14ac:dyDescent="0.2">
      <c r="B5083" s="11" t="s">
        <v>2605</v>
      </c>
      <c r="C5083" s="11" t="s">
        <v>24</v>
      </c>
    </row>
    <row r="5084" spans="1:4" ht="12.75" customHeight="1" x14ac:dyDescent="0.2">
      <c r="B5084" s="11" t="s">
        <v>2606</v>
      </c>
      <c r="C5084" s="16" t="s">
        <v>57</v>
      </c>
      <c r="D5084" s="6" t="str">
        <f>HYPERLINK("javascript:void(0)","vízige")</f>
        <v>vízige</v>
      </c>
    </row>
    <row r="5085" spans="1:4" ht="12.75" customHeight="1" x14ac:dyDescent="0.2">
      <c r="B5085" s="2"/>
      <c r="C5085" s="15"/>
      <c r="D5085" s="2"/>
    </row>
    <row r="5086" spans="1:4" ht="12.75" customHeight="1" x14ac:dyDescent="0.2">
      <c r="B5086" s="2"/>
      <c r="C5086" s="15"/>
      <c r="D5086" s="2"/>
    </row>
    <row r="5087" spans="1:4" ht="12.75" customHeight="1" x14ac:dyDescent="0.2">
      <c r="A5087" s="13" t="s">
        <v>3381</v>
      </c>
      <c r="C5087" s="12"/>
    </row>
    <row r="5088" spans="1:4" ht="12.75" customHeight="1" x14ac:dyDescent="0.2">
      <c r="A5088" s="11"/>
      <c r="B5088" s="2"/>
      <c r="C5088" s="15"/>
      <c r="D5088" s="2"/>
    </row>
    <row r="5089" spans="1:4" ht="12.75" customHeight="1" x14ac:dyDescent="0.2">
      <c r="B5089" s="11" t="s">
        <v>0</v>
      </c>
      <c r="C5089" s="11" t="s">
        <v>353</v>
      </c>
    </row>
    <row r="5090" spans="1:4" ht="12.75" customHeight="1" x14ac:dyDescent="0.2">
      <c r="B5090" s="11" t="s">
        <v>2599</v>
      </c>
      <c r="C5090" s="11" t="s">
        <v>3382</v>
      </c>
    </row>
    <row r="5091" spans="1:4" ht="25.5" customHeight="1" x14ac:dyDescent="0.2">
      <c r="B5091" s="11" t="s">
        <v>2600</v>
      </c>
      <c r="C5091" s="11" t="s">
        <v>3383</v>
      </c>
    </row>
    <row r="5092" spans="1:4" ht="25.5" customHeight="1" x14ac:dyDescent="0.2">
      <c r="B5092" s="11" t="s">
        <v>2601</v>
      </c>
      <c r="C5092" s="11"/>
    </row>
    <row r="5093" spans="1:4" ht="12.75" customHeight="1" x14ac:dyDescent="0.2">
      <c r="B5093" s="11" t="s">
        <v>16</v>
      </c>
      <c r="C5093" s="11"/>
    </row>
    <row r="5094" spans="1:4" ht="12.75" customHeight="1" x14ac:dyDescent="0.2">
      <c r="B5094" s="11" t="s">
        <v>13</v>
      </c>
      <c r="C5094" s="11" t="s">
        <v>2644</v>
      </c>
    </row>
    <row r="5095" spans="1:4" ht="12.75" customHeight="1" x14ac:dyDescent="0.2">
      <c r="B5095" s="11" t="s">
        <v>2603</v>
      </c>
      <c r="C5095" s="11" t="s">
        <v>2604</v>
      </c>
    </row>
    <row r="5096" spans="1:4" ht="12.75" customHeight="1" x14ac:dyDescent="0.2">
      <c r="B5096" s="11" t="s">
        <v>2605</v>
      </c>
      <c r="C5096" s="11" t="s">
        <v>24</v>
      </c>
    </row>
    <row r="5097" spans="1:4" ht="12.75" customHeight="1" x14ac:dyDescent="0.2">
      <c r="B5097" s="11" t="s">
        <v>2606</v>
      </c>
      <c r="C5097" s="16" t="s">
        <v>57</v>
      </c>
      <c r="D5097" s="6" t="str">
        <f>HYPERLINK("javascript:void(0)","tűzige")</f>
        <v>tűzige</v>
      </c>
    </row>
    <row r="5098" spans="1:4" ht="12.75" customHeight="1" x14ac:dyDescent="0.2">
      <c r="B5098" s="2"/>
      <c r="C5098" s="15"/>
      <c r="D5098" s="2"/>
    </row>
    <row r="5099" spans="1:4" ht="12.75" customHeight="1" x14ac:dyDescent="0.2">
      <c r="B5099" s="2"/>
      <c r="C5099" s="15"/>
      <c r="D5099" s="2"/>
    </row>
    <row r="5100" spans="1:4" ht="12.75" customHeight="1" x14ac:dyDescent="0.2">
      <c r="A5100" s="13" t="s">
        <v>3384</v>
      </c>
      <c r="C5100" s="12"/>
    </row>
    <row r="5101" spans="1:4" ht="12.75" customHeight="1" x14ac:dyDescent="0.2">
      <c r="A5101" s="11"/>
      <c r="B5101" s="2"/>
      <c r="C5101" s="15"/>
      <c r="D5101" s="2"/>
    </row>
    <row r="5102" spans="1:4" ht="12.75" customHeight="1" x14ac:dyDescent="0.2">
      <c r="B5102" s="11" t="s">
        <v>0</v>
      </c>
      <c r="C5102" s="11" t="s">
        <v>353</v>
      </c>
    </row>
    <row r="5103" spans="1:4" ht="12.75" customHeight="1" x14ac:dyDescent="0.2">
      <c r="B5103" s="11" t="s">
        <v>2599</v>
      </c>
      <c r="C5103" s="11" t="s">
        <v>3385</v>
      </c>
    </row>
    <row r="5104" spans="1:4" ht="25.5" customHeight="1" x14ac:dyDescent="0.2">
      <c r="B5104" s="11" t="s">
        <v>2600</v>
      </c>
      <c r="C5104" s="11" t="s">
        <v>3386</v>
      </c>
    </row>
    <row r="5105" spans="1:4" ht="25.5" customHeight="1" x14ac:dyDescent="0.2">
      <c r="B5105" s="11" t="s">
        <v>2601</v>
      </c>
      <c r="C5105" s="11"/>
    </row>
    <row r="5106" spans="1:4" ht="12.75" customHeight="1" x14ac:dyDescent="0.2">
      <c r="B5106" s="11" t="s">
        <v>16</v>
      </c>
      <c r="C5106" s="11"/>
    </row>
    <row r="5107" spans="1:4" ht="12.75" customHeight="1" x14ac:dyDescent="0.2">
      <c r="B5107" s="11" t="s">
        <v>13</v>
      </c>
      <c r="C5107" s="11" t="s">
        <v>2644</v>
      </c>
    </row>
    <row r="5108" spans="1:4" ht="12.75" customHeight="1" x14ac:dyDescent="0.2">
      <c r="B5108" s="11" t="s">
        <v>2603</v>
      </c>
      <c r="C5108" s="11" t="s">
        <v>2604</v>
      </c>
    </row>
    <row r="5109" spans="1:4" ht="12.75" customHeight="1" x14ac:dyDescent="0.2">
      <c r="B5109" s="11" t="s">
        <v>2605</v>
      </c>
      <c r="C5109" s="11" t="s">
        <v>24</v>
      </c>
    </row>
    <row r="5110" spans="1:4" ht="12.75" customHeight="1" x14ac:dyDescent="0.2">
      <c r="B5110" s="11" t="s">
        <v>2606</v>
      </c>
      <c r="C5110" s="16" t="s">
        <v>57</v>
      </c>
      <c r="D5110" s="6" t="str">
        <f>HYPERLINK("javascript:void(0)","légige")</f>
        <v>légige</v>
      </c>
    </row>
    <row r="5111" spans="1:4" ht="12.75" customHeight="1" x14ac:dyDescent="0.2">
      <c r="B5111" s="2"/>
      <c r="C5111" s="15"/>
      <c r="D5111" s="2"/>
    </row>
    <row r="5112" spans="1:4" ht="12.75" customHeight="1" x14ac:dyDescent="0.2">
      <c r="B5112" s="2"/>
      <c r="C5112" s="15"/>
      <c r="D5112" s="2"/>
    </row>
    <row r="5113" spans="1:4" ht="12.75" customHeight="1" x14ac:dyDescent="0.2">
      <c r="A5113" s="13" t="s">
        <v>3387</v>
      </c>
      <c r="C5113" s="12"/>
    </row>
    <row r="5114" spans="1:4" ht="12.75" customHeight="1" x14ac:dyDescent="0.2">
      <c r="A5114" s="11"/>
      <c r="B5114" s="2"/>
      <c r="C5114" s="15"/>
      <c r="D5114" s="2"/>
    </row>
    <row r="5115" spans="1:4" ht="12.75" customHeight="1" x14ac:dyDescent="0.2">
      <c r="B5115" s="11" t="s">
        <v>0</v>
      </c>
      <c r="C5115" s="11" t="s">
        <v>353</v>
      </c>
    </row>
    <row r="5116" spans="1:4" ht="12.75" customHeight="1" x14ac:dyDescent="0.2">
      <c r="B5116" s="11" t="s">
        <v>2599</v>
      </c>
      <c r="C5116" s="11" t="s">
        <v>1863</v>
      </c>
    </row>
    <row r="5117" spans="1:4" ht="25.5" customHeight="1" x14ac:dyDescent="0.2">
      <c r="B5117" s="11" t="s">
        <v>2600</v>
      </c>
      <c r="C5117" s="11" t="s">
        <v>3388</v>
      </c>
    </row>
    <row r="5118" spans="1:4" ht="25.5" customHeight="1" x14ac:dyDescent="0.2">
      <c r="B5118" s="11" t="s">
        <v>2601</v>
      </c>
      <c r="C5118" s="11"/>
    </row>
    <row r="5119" spans="1:4" ht="12.75" customHeight="1" x14ac:dyDescent="0.2">
      <c r="B5119" s="11" t="s">
        <v>16</v>
      </c>
      <c r="C5119" s="11"/>
    </row>
    <row r="5120" spans="1:4" ht="12.75" customHeight="1" x14ac:dyDescent="0.2">
      <c r="B5120" s="11" t="s">
        <v>13</v>
      </c>
      <c r="C5120" s="11" t="s">
        <v>2644</v>
      </c>
    </row>
    <row r="5121" spans="1:4" ht="12.75" customHeight="1" x14ac:dyDescent="0.2">
      <c r="B5121" s="11" t="s">
        <v>2603</v>
      </c>
      <c r="C5121" s="11" t="s">
        <v>2604</v>
      </c>
    </row>
    <row r="5122" spans="1:4" ht="12.75" customHeight="1" x14ac:dyDescent="0.2">
      <c r="B5122" s="11" t="s">
        <v>2605</v>
      </c>
      <c r="C5122" s="11" t="s">
        <v>24</v>
      </c>
    </row>
    <row r="5123" spans="1:4" ht="12.75" customHeight="1" x14ac:dyDescent="0.2">
      <c r="B5123" s="11" t="s">
        <v>2606</v>
      </c>
      <c r="C5123" s="16" t="s">
        <v>44</v>
      </c>
      <c r="D5123" s="6" t="str">
        <f>HYPERLINK("javascript:void(0)","földige")</f>
        <v>földige</v>
      </c>
    </row>
    <row r="5124" spans="1:4" ht="12.75" customHeight="1" x14ac:dyDescent="0.2">
      <c r="B5124" s="2"/>
      <c r="C5124" s="15"/>
      <c r="D5124" s="2"/>
    </row>
    <row r="5125" spans="1:4" ht="12.75" customHeight="1" x14ac:dyDescent="0.2">
      <c r="B5125" s="2"/>
      <c r="C5125" s="15"/>
      <c r="D5125" s="2"/>
    </row>
    <row r="5126" spans="1:4" ht="12.75" customHeight="1" x14ac:dyDescent="0.2">
      <c r="A5126" s="13" t="s">
        <v>3389</v>
      </c>
      <c r="C5126" s="12"/>
    </row>
    <row r="5127" spans="1:4" ht="12.75" customHeight="1" x14ac:dyDescent="0.2">
      <c r="A5127" s="11"/>
      <c r="B5127" s="2"/>
      <c r="C5127" s="15"/>
      <c r="D5127" s="2"/>
    </row>
    <row r="5128" spans="1:4" ht="12.75" customHeight="1" x14ac:dyDescent="0.2">
      <c r="B5128" s="11" t="s">
        <v>0</v>
      </c>
      <c r="C5128" s="11" t="s">
        <v>353</v>
      </c>
    </row>
    <row r="5129" spans="1:4" ht="12.75" customHeight="1" x14ac:dyDescent="0.2">
      <c r="B5129" s="11" t="s">
        <v>2599</v>
      </c>
      <c r="C5129" s="11" t="s">
        <v>2512</v>
      </c>
    </row>
    <row r="5130" spans="1:4" ht="25.5" customHeight="1" x14ac:dyDescent="0.2">
      <c r="B5130" s="11" t="s">
        <v>2600</v>
      </c>
      <c r="C5130" s="11" t="s">
        <v>3390</v>
      </c>
    </row>
    <row r="5131" spans="1:4" ht="25.5" customHeight="1" x14ac:dyDescent="0.2">
      <c r="B5131" s="11" t="s">
        <v>2601</v>
      </c>
      <c r="C5131" s="11"/>
    </row>
    <row r="5132" spans="1:4" ht="12.75" customHeight="1" x14ac:dyDescent="0.2">
      <c r="B5132" s="11" t="s">
        <v>16</v>
      </c>
      <c r="C5132" s="11"/>
    </row>
    <row r="5133" spans="1:4" ht="12.75" customHeight="1" x14ac:dyDescent="0.2">
      <c r="B5133" s="11" t="s">
        <v>13</v>
      </c>
      <c r="C5133" s="11" t="s">
        <v>2644</v>
      </c>
    </row>
    <row r="5134" spans="1:4" ht="12.75" customHeight="1" x14ac:dyDescent="0.2">
      <c r="B5134" s="11" t="s">
        <v>2603</v>
      </c>
      <c r="C5134" s="11" t="s">
        <v>2604</v>
      </c>
    </row>
    <row r="5135" spans="1:4" ht="12.75" customHeight="1" x14ac:dyDescent="0.2">
      <c r="B5135" s="11" t="s">
        <v>2605</v>
      </c>
      <c r="C5135" s="11" t="s">
        <v>24</v>
      </c>
    </row>
    <row r="5136" spans="1:4" ht="12.75" customHeight="1" x14ac:dyDescent="0.2">
      <c r="B5136" s="11" t="s">
        <v>2606</v>
      </c>
      <c r="C5136" s="16" t="s">
        <v>44</v>
      </c>
      <c r="D5136" s="6" t="str">
        <f>HYPERLINK("javascript:void(0)","vízige")</f>
        <v>vízige</v>
      </c>
    </row>
    <row r="5137" spans="1:4" ht="12.75" customHeight="1" x14ac:dyDescent="0.2">
      <c r="B5137" s="2"/>
      <c r="C5137" s="15"/>
      <c r="D5137" s="2"/>
    </row>
    <row r="5138" spans="1:4" ht="12.75" customHeight="1" x14ac:dyDescent="0.2">
      <c r="B5138" s="2"/>
      <c r="C5138" s="15"/>
      <c r="D5138" s="2"/>
    </row>
    <row r="5139" spans="1:4" ht="12.75" customHeight="1" x14ac:dyDescent="0.2">
      <c r="A5139" s="13" t="s">
        <v>3391</v>
      </c>
      <c r="C5139" s="12"/>
    </row>
    <row r="5140" spans="1:4" ht="12.75" customHeight="1" x14ac:dyDescent="0.2">
      <c r="A5140" s="11"/>
      <c r="B5140" s="2"/>
      <c r="C5140" s="15"/>
      <c r="D5140" s="2"/>
    </row>
    <row r="5141" spans="1:4" ht="12.75" customHeight="1" x14ac:dyDescent="0.2">
      <c r="B5141" s="11" t="s">
        <v>0</v>
      </c>
      <c r="C5141" s="11" t="s">
        <v>353</v>
      </c>
    </row>
    <row r="5142" spans="1:4" ht="12.75" customHeight="1" x14ac:dyDescent="0.2">
      <c r="B5142" s="11" t="s">
        <v>2599</v>
      </c>
      <c r="C5142" s="11" t="s">
        <v>2289</v>
      </c>
    </row>
    <row r="5143" spans="1:4" ht="25.5" customHeight="1" x14ac:dyDescent="0.2">
      <c r="B5143" s="11" t="s">
        <v>2600</v>
      </c>
      <c r="C5143" s="11" t="s">
        <v>3392</v>
      </c>
    </row>
    <row r="5144" spans="1:4" ht="25.5" customHeight="1" x14ac:dyDescent="0.2">
      <c r="B5144" s="11" t="s">
        <v>2601</v>
      </c>
      <c r="C5144" s="11"/>
    </row>
    <row r="5145" spans="1:4" ht="12.75" customHeight="1" x14ac:dyDescent="0.2">
      <c r="B5145" s="11" t="s">
        <v>16</v>
      </c>
      <c r="C5145" s="11"/>
    </row>
    <row r="5146" spans="1:4" ht="12.75" customHeight="1" x14ac:dyDescent="0.2">
      <c r="B5146" s="11" t="s">
        <v>13</v>
      </c>
      <c r="C5146" s="11" t="s">
        <v>2644</v>
      </c>
    </row>
    <row r="5147" spans="1:4" ht="12.75" customHeight="1" x14ac:dyDescent="0.2">
      <c r="B5147" s="11" t="s">
        <v>2603</v>
      </c>
      <c r="C5147" s="11" t="s">
        <v>2604</v>
      </c>
    </row>
    <row r="5148" spans="1:4" ht="12.75" customHeight="1" x14ac:dyDescent="0.2">
      <c r="B5148" s="11" t="s">
        <v>2605</v>
      </c>
      <c r="C5148" s="11" t="s">
        <v>24</v>
      </c>
    </row>
    <row r="5149" spans="1:4" ht="12.75" customHeight="1" x14ac:dyDescent="0.2">
      <c r="B5149" s="11" t="s">
        <v>2606</v>
      </c>
      <c r="C5149" s="16" t="s">
        <v>44</v>
      </c>
      <c r="D5149" s="6" t="str">
        <f>HYPERLINK("javascript:void(0)","tűzige")</f>
        <v>tűzige</v>
      </c>
    </row>
    <row r="5150" spans="1:4" ht="12.75" customHeight="1" x14ac:dyDescent="0.2">
      <c r="B5150" s="2"/>
      <c r="C5150" s="15"/>
      <c r="D5150" s="2"/>
    </row>
    <row r="5151" spans="1:4" ht="12.75" customHeight="1" x14ac:dyDescent="0.2">
      <c r="B5151" s="2"/>
      <c r="C5151" s="15"/>
      <c r="D5151" s="2"/>
    </row>
    <row r="5152" spans="1:4" ht="12.75" customHeight="1" x14ac:dyDescent="0.2">
      <c r="A5152" s="13" t="s">
        <v>3393</v>
      </c>
      <c r="C5152" s="12"/>
    </row>
    <row r="5153" spans="1:4" ht="12.75" customHeight="1" x14ac:dyDescent="0.2">
      <c r="A5153" s="11"/>
      <c r="B5153" s="2"/>
      <c r="C5153" s="15"/>
      <c r="D5153" s="2"/>
    </row>
    <row r="5154" spans="1:4" ht="12.75" customHeight="1" x14ac:dyDescent="0.2">
      <c r="B5154" s="11" t="s">
        <v>0</v>
      </c>
      <c r="C5154" s="11" t="s">
        <v>353</v>
      </c>
    </row>
    <row r="5155" spans="1:4" ht="12.75" customHeight="1" x14ac:dyDescent="0.2">
      <c r="B5155" s="11" t="s">
        <v>2599</v>
      </c>
      <c r="C5155" s="11" t="s">
        <v>2101</v>
      </c>
    </row>
    <row r="5156" spans="1:4" ht="25.5" customHeight="1" x14ac:dyDescent="0.2">
      <c r="B5156" s="11" t="s">
        <v>2600</v>
      </c>
      <c r="C5156" s="11" t="s">
        <v>3394</v>
      </c>
    </row>
    <row r="5157" spans="1:4" ht="25.5" customHeight="1" x14ac:dyDescent="0.2">
      <c r="B5157" s="11" t="s">
        <v>2601</v>
      </c>
      <c r="C5157" s="11"/>
    </row>
    <row r="5158" spans="1:4" ht="12.75" customHeight="1" x14ac:dyDescent="0.2">
      <c r="B5158" s="11" t="s">
        <v>16</v>
      </c>
      <c r="C5158" s="11"/>
    </row>
    <row r="5159" spans="1:4" ht="12.75" customHeight="1" x14ac:dyDescent="0.2">
      <c r="B5159" s="11" t="s">
        <v>13</v>
      </c>
      <c r="C5159" s="11" t="s">
        <v>2644</v>
      </c>
    </row>
    <row r="5160" spans="1:4" ht="12.75" customHeight="1" x14ac:dyDescent="0.2">
      <c r="B5160" s="11" t="s">
        <v>2603</v>
      </c>
      <c r="C5160" s="11" t="s">
        <v>2604</v>
      </c>
    </row>
    <row r="5161" spans="1:4" ht="12.75" customHeight="1" x14ac:dyDescent="0.2">
      <c r="B5161" s="11" t="s">
        <v>2605</v>
      </c>
      <c r="C5161" s="11" t="s">
        <v>24</v>
      </c>
    </row>
    <row r="5162" spans="1:4" ht="12.75" customHeight="1" x14ac:dyDescent="0.2">
      <c r="B5162" s="11" t="s">
        <v>2606</v>
      </c>
      <c r="C5162" s="16" t="s">
        <v>44</v>
      </c>
      <c r="D5162" s="6" t="str">
        <f>HYPERLINK("javascript:void(0)","légige")</f>
        <v>légige</v>
      </c>
    </row>
    <row r="5163" spans="1:4" ht="12.75" customHeight="1" x14ac:dyDescent="0.2">
      <c r="B5163" s="2"/>
      <c r="C5163" s="15"/>
      <c r="D5163" s="2"/>
    </row>
    <row r="5164" spans="1:4" ht="12.75" customHeight="1" x14ac:dyDescent="0.2">
      <c r="B5164" s="2"/>
      <c r="C5164" s="15"/>
      <c r="D5164" s="2"/>
    </row>
    <row r="5165" spans="1:4" ht="12.75" customHeight="1" x14ac:dyDescent="0.2">
      <c r="A5165" s="13" t="s">
        <v>3395</v>
      </c>
      <c r="C5165" s="12"/>
      <c r="D5165" s="2"/>
    </row>
    <row r="5166" spans="1:4" ht="12.75" customHeight="1" x14ac:dyDescent="0.2">
      <c r="A5166" s="11"/>
      <c r="B5166" s="2"/>
      <c r="C5166" s="15"/>
      <c r="D5166" s="2"/>
    </row>
    <row r="5167" spans="1:4" ht="12.75" customHeight="1" x14ac:dyDescent="0.2">
      <c r="B5167" s="11" t="s">
        <v>0</v>
      </c>
      <c r="C5167" s="17" t="s">
        <v>274</v>
      </c>
      <c r="D5167" s="2"/>
    </row>
    <row r="5168" spans="1:4" ht="12.75" customHeight="1" x14ac:dyDescent="0.2">
      <c r="B5168" s="11" t="s">
        <v>2599</v>
      </c>
      <c r="C5168" s="17" t="s">
        <v>747</v>
      </c>
      <c r="D5168" s="2"/>
    </row>
    <row r="5169" spans="1:4" ht="25.5" customHeight="1" x14ac:dyDescent="0.2">
      <c r="B5169" s="11" t="s">
        <v>2600</v>
      </c>
      <c r="C5169" s="17" t="s">
        <v>3396</v>
      </c>
      <c r="D5169" s="2"/>
    </row>
    <row r="5170" spans="1:4" ht="25.5" customHeight="1" x14ac:dyDescent="0.2">
      <c r="B5170" s="11" t="s">
        <v>2601</v>
      </c>
      <c r="C5170" s="17"/>
      <c r="D5170" s="2"/>
    </row>
    <row r="5171" spans="1:4" ht="12.75" customHeight="1" x14ac:dyDescent="0.2">
      <c r="B5171" s="11" t="s">
        <v>16</v>
      </c>
      <c r="C5171" s="17"/>
      <c r="D5171" s="2"/>
    </row>
    <row r="5172" spans="1:4" ht="12.75" customHeight="1" x14ac:dyDescent="0.2">
      <c r="B5172" s="11" t="s">
        <v>13</v>
      </c>
      <c r="C5172" s="17" t="s">
        <v>2644</v>
      </c>
      <c r="D5172" s="2"/>
    </row>
    <row r="5173" spans="1:4" ht="25.5" customHeight="1" x14ac:dyDescent="0.2">
      <c r="B5173" s="11" t="s">
        <v>2603</v>
      </c>
      <c r="C5173" s="17" t="s">
        <v>2971</v>
      </c>
      <c r="D5173" s="2"/>
    </row>
    <row r="5174" spans="1:4" ht="12.75" customHeight="1" x14ac:dyDescent="0.2">
      <c r="B5174" s="11" t="s">
        <v>2605</v>
      </c>
      <c r="C5174" s="17" t="s">
        <v>14</v>
      </c>
      <c r="D5174" s="2"/>
    </row>
    <row r="5175" spans="1:4" ht="12.75" customHeight="1" x14ac:dyDescent="0.2">
      <c r="B5175" s="11" t="s">
        <v>2606</v>
      </c>
      <c r="C5175" s="16" t="s">
        <v>19</v>
      </c>
      <c r="D5175" s="2"/>
    </row>
    <row r="5176" spans="1:4" ht="12.75" customHeight="1" x14ac:dyDescent="0.2">
      <c r="B5176" s="2"/>
      <c r="C5176" s="15"/>
      <c r="D5176" s="2"/>
    </row>
    <row r="5177" spans="1:4" ht="12.75" customHeight="1" x14ac:dyDescent="0.2">
      <c r="B5177" s="2"/>
      <c r="C5177" s="15"/>
      <c r="D5177" s="2"/>
    </row>
    <row r="5178" spans="1:4" ht="12.75" customHeight="1" x14ac:dyDescent="0.2">
      <c r="A5178" s="13" t="s">
        <v>3343</v>
      </c>
      <c r="C5178" s="12"/>
      <c r="D5178" s="2"/>
    </row>
    <row r="5179" spans="1:4" ht="12.75" customHeight="1" x14ac:dyDescent="0.2">
      <c r="A5179" s="11"/>
      <c r="B5179" s="2"/>
      <c r="C5179" s="15"/>
      <c r="D5179" s="2"/>
    </row>
    <row r="5180" spans="1:4" ht="12.75" customHeight="1" x14ac:dyDescent="0.2">
      <c r="B5180" s="11" t="s">
        <v>0</v>
      </c>
      <c r="C5180" s="17" t="s">
        <v>274</v>
      </c>
      <c r="D5180" s="2"/>
    </row>
    <row r="5181" spans="1:4" ht="12.75" customHeight="1" x14ac:dyDescent="0.2">
      <c r="B5181" s="11" t="s">
        <v>2599</v>
      </c>
      <c r="C5181" s="17" t="s">
        <v>3344</v>
      </c>
      <c r="D5181" s="2"/>
    </row>
    <row r="5182" spans="1:4" ht="25.5" customHeight="1" x14ac:dyDescent="0.2">
      <c r="B5182" s="11" t="s">
        <v>2600</v>
      </c>
      <c r="C5182" s="17" t="s">
        <v>3397</v>
      </c>
      <c r="D5182" s="2"/>
    </row>
    <row r="5183" spans="1:4" ht="25.5" customHeight="1" x14ac:dyDescent="0.2">
      <c r="B5183" s="11" t="s">
        <v>2601</v>
      </c>
      <c r="C5183" s="17"/>
      <c r="D5183" s="2"/>
    </row>
    <row r="5184" spans="1:4" ht="12.75" customHeight="1" x14ac:dyDescent="0.2">
      <c r="B5184" s="11" t="s">
        <v>16</v>
      </c>
      <c r="C5184" s="17"/>
      <c r="D5184" s="2"/>
    </row>
    <row r="5185" spans="1:4" ht="12.75" customHeight="1" x14ac:dyDescent="0.2">
      <c r="B5185" s="11" t="s">
        <v>13</v>
      </c>
      <c r="C5185" s="17" t="s">
        <v>2602</v>
      </c>
      <c r="D5185" s="2"/>
    </row>
    <row r="5186" spans="1:4" ht="25.5" customHeight="1" x14ac:dyDescent="0.2">
      <c r="B5186" s="11" t="s">
        <v>2603</v>
      </c>
      <c r="C5186" s="17" t="s">
        <v>2971</v>
      </c>
      <c r="D5186" s="2"/>
    </row>
    <row r="5187" spans="1:4" ht="12.75" customHeight="1" x14ac:dyDescent="0.2">
      <c r="B5187" s="11" t="s">
        <v>2605</v>
      </c>
      <c r="C5187" s="17" t="s">
        <v>14</v>
      </c>
      <c r="D5187" s="2"/>
    </row>
    <row r="5188" spans="1:4" ht="12.75" customHeight="1" x14ac:dyDescent="0.2">
      <c r="B5188" s="11" t="s">
        <v>2606</v>
      </c>
      <c r="C5188" s="16" t="s">
        <v>19</v>
      </c>
      <c r="D5188" s="2"/>
    </row>
    <row r="5189" spans="1:4" ht="12.75" customHeight="1" x14ac:dyDescent="0.2">
      <c r="B5189" s="2"/>
      <c r="C5189" s="15"/>
      <c r="D5189" s="2"/>
    </row>
    <row r="5190" spans="1:4" ht="12.75" customHeight="1" x14ac:dyDescent="0.2">
      <c r="B5190" s="2"/>
      <c r="C5190" s="15"/>
      <c r="D5190" s="2"/>
    </row>
    <row r="5191" spans="1:4" ht="12.75" customHeight="1" x14ac:dyDescent="0.2">
      <c r="A5191" s="13" t="s">
        <v>3398</v>
      </c>
      <c r="C5191" s="12"/>
      <c r="D5191" s="2"/>
    </row>
    <row r="5192" spans="1:4" ht="12.75" customHeight="1" x14ac:dyDescent="0.2">
      <c r="A5192" s="11"/>
      <c r="B5192" s="2"/>
      <c r="C5192" s="15"/>
      <c r="D5192" s="2"/>
    </row>
    <row r="5193" spans="1:4" ht="12.75" customHeight="1" x14ac:dyDescent="0.2">
      <c r="B5193" s="11" t="s">
        <v>0</v>
      </c>
      <c r="C5193" s="17" t="s">
        <v>274</v>
      </c>
      <c r="D5193" s="2"/>
    </row>
    <row r="5194" spans="1:4" ht="12.75" customHeight="1" x14ac:dyDescent="0.2">
      <c r="B5194" s="11" t="s">
        <v>2599</v>
      </c>
      <c r="C5194" s="17" t="s">
        <v>3399</v>
      </c>
      <c r="D5194" s="2"/>
    </row>
    <row r="5195" spans="1:4" ht="25.5" customHeight="1" x14ac:dyDescent="0.2">
      <c r="B5195" s="11" t="s">
        <v>2600</v>
      </c>
      <c r="C5195" s="17" t="s">
        <v>3400</v>
      </c>
      <c r="D5195" s="2"/>
    </row>
    <row r="5196" spans="1:4" ht="25.5" customHeight="1" x14ac:dyDescent="0.2">
      <c r="B5196" s="11" t="s">
        <v>2601</v>
      </c>
      <c r="C5196" s="17"/>
      <c r="D5196" s="2"/>
    </row>
    <row r="5197" spans="1:4" ht="12.75" customHeight="1" x14ac:dyDescent="0.2">
      <c r="B5197" s="11" t="s">
        <v>16</v>
      </c>
      <c r="C5197" s="17"/>
      <c r="D5197" s="2"/>
    </row>
    <row r="5198" spans="1:4" ht="12.75" customHeight="1" x14ac:dyDescent="0.2">
      <c r="B5198" s="11" t="s">
        <v>13</v>
      </c>
      <c r="C5198" s="17" t="s">
        <v>2644</v>
      </c>
      <c r="D5198" s="2"/>
    </row>
    <row r="5199" spans="1:4" ht="25.5" customHeight="1" x14ac:dyDescent="0.2">
      <c r="B5199" s="11" t="s">
        <v>2603</v>
      </c>
      <c r="C5199" s="17" t="s">
        <v>2971</v>
      </c>
      <c r="D5199" s="2"/>
    </row>
    <row r="5200" spans="1:4" ht="12.75" customHeight="1" x14ac:dyDescent="0.2">
      <c r="B5200" s="11" t="s">
        <v>2605</v>
      </c>
      <c r="C5200" s="17" t="s">
        <v>14</v>
      </c>
      <c r="D5200" s="2"/>
    </row>
    <row r="5201" spans="1:4" ht="12.75" customHeight="1" x14ac:dyDescent="0.2">
      <c r="B5201" s="11" t="s">
        <v>2606</v>
      </c>
      <c r="C5201" s="16" t="s">
        <v>19</v>
      </c>
      <c r="D5201" s="2"/>
    </row>
    <row r="5202" spans="1:4" ht="12.75" customHeight="1" x14ac:dyDescent="0.2">
      <c r="B5202" s="2"/>
      <c r="C5202" s="15"/>
      <c r="D5202" s="2"/>
    </row>
    <row r="5203" spans="1:4" ht="12.75" customHeight="1" x14ac:dyDescent="0.2">
      <c r="B5203" s="2"/>
      <c r="C5203" s="15"/>
      <c r="D5203" s="2"/>
    </row>
    <row r="5204" spans="1:4" ht="12.75" customHeight="1" x14ac:dyDescent="0.2">
      <c r="A5204" s="13" t="s">
        <v>3312</v>
      </c>
      <c r="C5204" s="12"/>
      <c r="D5204" s="2"/>
    </row>
    <row r="5205" spans="1:4" ht="12.75" customHeight="1" x14ac:dyDescent="0.2">
      <c r="A5205" s="11"/>
      <c r="B5205" s="2"/>
      <c r="C5205" s="15"/>
      <c r="D5205" s="2"/>
    </row>
    <row r="5206" spans="1:4" ht="12.75" customHeight="1" x14ac:dyDescent="0.2">
      <c r="B5206" s="11" t="s">
        <v>0</v>
      </c>
      <c r="C5206" s="17" t="s">
        <v>274</v>
      </c>
      <c r="D5206" s="2"/>
    </row>
    <row r="5207" spans="1:4" ht="12.75" customHeight="1" x14ac:dyDescent="0.2">
      <c r="B5207" s="11" t="s">
        <v>2599</v>
      </c>
      <c r="C5207" s="17" t="s">
        <v>3313</v>
      </c>
      <c r="D5207" s="2"/>
    </row>
    <row r="5208" spans="1:4" ht="25.5" customHeight="1" x14ac:dyDescent="0.2">
      <c r="B5208" s="11" t="s">
        <v>2600</v>
      </c>
      <c r="C5208" s="17" t="s">
        <v>3401</v>
      </c>
      <c r="D5208" s="2"/>
    </row>
    <row r="5209" spans="1:4" ht="25.5" customHeight="1" x14ac:dyDescent="0.2">
      <c r="B5209" s="11" t="s">
        <v>2601</v>
      </c>
      <c r="C5209" s="17"/>
      <c r="D5209" s="2"/>
    </row>
    <row r="5210" spans="1:4" ht="12.75" customHeight="1" x14ac:dyDescent="0.2">
      <c r="B5210" s="11" t="s">
        <v>16</v>
      </c>
      <c r="C5210" s="17"/>
      <c r="D5210" s="2"/>
    </row>
    <row r="5211" spans="1:4" ht="12.75" customHeight="1" x14ac:dyDescent="0.2">
      <c r="B5211" s="11" t="s">
        <v>13</v>
      </c>
      <c r="C5211" s="17" t="s">
        <v>2602</v>
      </c>
      <c r="D5211" s="2"/>
    </row>
    <row r="5212" spans="1:4" ht="25.5" customHeight="1" x14ac:dyDescent="0.2">
      <c r="B5212" s="11" t="s">
        <v>2603</v>
      </c>
      <c r="C5212" s="17" t="s">
        <v>2971</v>
      </c>
      <c r="D5212" s="2"/>
    </row>
    <row r="5213" spans="1:4" ht="12.75" customHeight="1" x14ac:dyDescent="0.2">
      <c r="B5213" s="11" t="s">
        <v>2605</v>
      </c>
      <c r="C5213" s="17" t="s">
        <v>14</v>
      </c>
      <c r="D5213" s="2"/>
    </row>
    <row r="5214" spans="1:4" ht="12.75" customHeight="1" x14ac:dyDescent="0.2">
      <c r="B5214" s="11" t="s">
        <v>2606</v>
      </c>
      <c r="C5214" s="16" t="s">
        <v>19</v>
      </c>
      <c r="D5214" s="2"/>
    </row>
    <row r="5215" spans="1:4" ht="12.75" customHeight="1" x14ac:dyDescent="0.2">
      <c r="B5215" s="2"/>
      <c r="C5215" s="15"/>
      <c r="D5215" s="2"/>
    </row>
    <row r="5216" spans="1:4" ht="12.75" customHeight="1" x14ac:dyDescent="0.2">
      <c r="B5216" s="2"/>
      <c r="C5216" s="15"/>
      <c r="D5216" s="2"/>
    </row>
    <row r="5217" spans="1:4" ht="12.75" customHeight="1" x14ac:dyDescent="0.2">
      <c r="A5217" s="13" t="s">
        <v>3402</v>
      </c>
      <c r="C5217" s="12"/>
      <c r="D5217" s="2"/>
    </row>
    <row r="5218" spans="1:4" ht="12.75" customHeight="1" x14ac:dyDescent="0.2">
      <c r="A5218" s="11"/>
      <c r="B5218" s="2"/>
      <c r="C5218" s="15"/>
      <c r="D5218" s="2"/>
    </row>
    <row r="5219" spans="1:4" ht="12.75" customHeight="1" x14ac:dyDescent="0.2">
      <c r="B5219" s="11" t="s">
        <v>0</v>
      </c>
      <c r="C5219" s="17" t="s">
        <v>274</v>
      </c>
      <c r="D5219" s="2"/>
    </row>
    <row r="5220" spans="1:4" ht="12.75" customHeight="1" x14ac:dyDescent="0.2">
      <c r="B5220" s="11" t="s">
        <v>2599</v>
      </c>
      <c r="C5220" s="17" t="s">
        <v>3403</v>
      </c>
      <c r="D5220" s="2"/>
    </row>
    <row r="5221" spans="1:4" ht="25.5" customHeight="1" x14ac:dyDescent="0.2">
      <c r="B5221" s="11" t="s">
        <v>2600</v>
      </c>
      <c r="C5221" s="17" t="s">
        <v>3404</v>
      </c>
      <c r="D5221" s="2"/>
    </row>
    <row r="5222" spans="1:4" ht="25.5" customHeight="1" x14ac:dyDescent="0.2">
      <c r="B5222" s="11" t="s">
        <v>2601</v>
      </c>
      <c r="C5222" s="17"/>
      <c r="D5222" s="2"/>
    </row>
    <row r="5223" spans="1:4" ht="12.75" customHeight="1" x14ac:dyDescent="0.2">
      <c r="B5223" s="11" t="s">
        <v>16</v>
      </c>
      <c r="C5223" s="17"/>
      <c r="D5223" s="2"/>
    </row>
    <row r="5224" spans="1:4" ht="12.75" customHeight="1" x14ac:dyDescent="0.2">
      <c r="B5224" s="11" t="s">
        <v>13</v>
      </c>
      <c r="C5224" s="17" t="s">
        <v>2602</v>
      </c>
      <c r="D5224" s="2"/>
    </row>
    <row r="5225" spans="1:4" ht="25.5" customHeight="1" x14ac:dyDescent="0.2">
      <c r="B5225" s="11" t="s">
        <v>2603</v>
      </c>
      <c r="C5225" s="17" t="s">
        <v>2971</v>
      </c>
      <c r="D5225" s="2"/>
    </row>
    <row r="5226" spans="1:4" ht="12.75" customHeight="1" x14ac:dyDescent="0.2">
      <c r="B5226" s="11" t="s">
        <v>2605</v>
      </c>
      <c r="C5226" s="17" t="s">
        <v>14</v>
      </c>
      <c r="D5226" s="2"/>
    </row>
    <row r="5227" spans="1:4" ht="12.75" customHeight="1" x14ac:dyDescent="0.2">
      <c r="B5227" s="11" t="s">
        <v>2606</v>
      </c>
      <c r="C5227" s="16" t="s">
        <v>19</v>
      </c>
      <c r="D5227" s="2"/>
    </row>
    <row r="5228" spans="1:4" ht="12.75" customHeight="1" x14ac:dyDescent="0.2">
      <c r="B5228" s="2"/>
      <c r="C5228" s="15"/>
      <c r="D5228" s="2"/>
    </row>
    <row r="5229" spans="1:4" ht="12.75" customHeight="1" x14ac:dyDescent="0.2">
      <c r="B5229" s="2"/>
      <c r="C5229" s="15"/>
      <c r="D5229" s="2"/>
    </row>
    <row r="5230" spans="1:4" ht="12.75" customHeight="1" x14ac:dyDescent="0.2">
      <c r="A5230" s="13" t="s">
        <v>3405</v>
      </c>
      <c r="C5230" s="12"/>
      <c r="D5230" s="2"/>
    </row>
    <row r="5231" spans="1:4" ht="12.75" customHeight="1" x14ac:dyDescent="0.2">
      <c r="A5231" s="11"/>
      <c r="B5231" s="2"/>
      <c r="C5231" s="15"/>
      <c r="D5231" s="2"/>
    </row>
    <row r="5232" spans="1:4" ht="12.75" customHeight="1" x14ac:dyDescent="0.2">
      <c r="B5232" s="11" t="s">
        <v>0</v>
      </c>
      <c r="C5232" s="17" t="s">
        <v>274</v>
      </c>
      <c r="D5232" s="2"/>
    </row>
    <row r="5233" spans="1:4" ht="12.75" customHeight="1" x14ac:dyDescent="0.2">
      <c r="B5233" s="11" t="s">
        <v>2599</v>
      </c>
      <c r="C5233" s="17" t="s">
        <v>747</v>
      </c>
      <c r="D5233" s="2"/>
    </row>
    <row r="5234" spans="1:4" ht="25.5" customHeight="1" x14ac:dyDescent="0.2">
      <c r="B5234" s="11" t="s">
        <v>2600</v>
      </c>
      <c r="C5234" s="17" t="s">
        <v>3406</v>
      </c>
      <c r="D5234" s="2"/>
    </row>
    <row r="5235" spans="1:4" ht="25.5" customHeight="1" x14ac:dyDescent="0.2">
      <c r="B5235" s="11" t="s">
        <v>2601</v>
      </c>
      <c r="C5235" s="17"/>
      <c r="D5235" s="2"/>
    </row>
    <row r="5236" spans="1:4" ht="12.75" customHeight="1" x14ac:dyDescent="0.2">
      <c r="B5236" s="11" t="s">
        <v>16</v>
      </c>
      <c r="C5236" s="17"/>
      <c r="D5236" s="2"/>
    </row>
    <row r="5237" spans="1:4" ht="12.75" customHeight="1" x14ac:dyDescent="0.2">
      <c r="B5237" s="11" t="s">
        <v>13</v>
      </c>
      <c r="C5237" s="17" t="s">
        <v>2644</v>
      </c>
      <c r="D5237" s="2"/>
    </row>
    <row r="5238" spans="1:4" ht="25.5" customHeight="1" x14ac:dyDescent="0.2">
      <c r="B5238" s="11" t="s">
        <v>2603</v>
      </c>
      <c r="C5238" s="17" t="s">
        <v>2971</v>
      </c>
      <c r="D5238" s="2"/>
    </row>
    <row r="5239" spans="1:4" ht="12.75" customHeight="1" x14ac:dyDescent="0.2">
      <c r="B5239" s="11" t="s">
        <v>2605</v>
      </c>
      <c r="C5239" s="17" t="s">
        <v>14</v>
      </c>
      <c r="D5239" s="2"/>
    </row>
    <row r="5240" spans="1:4" ht="12.75" customHeight="1" x14ac:dyDescent="0.2">
      <c r="B5240" s="11" t="s">
        <v>2606</v>
      </c>
      <c r="C5240" s="16" t="s">
        <v>19</v>
      </c>
      <c r="D5240" s="2"/>
    </row>
    <row r="5241" spans="1:4" ht="12.75" customHeight="1" x14ac:dyDescent="0.2">
      <c r="B5241" s="2"/>
      <c r="C5241" s="15"/>
      <c r="D5241" s="2"/>
    </row>
    <row r="5242" spans="1:4" ht="12.75" customHeight="1" x14ac:dyDescent="0.2">
      <c r="B5242" s="2"/>
      <c r="C5242" s="15"/>
      <c r="D5242" s="2"/>
    </row>
    <row r="5243" spans="1:4" ht="12.75" customHeight="1" x14ac:dyDescent="0.2">
      <c r="A5243" s="13" t="s">
        <v>3407</v>
      </c>
      <c r="C5243" s="12"/>
    </row>
    <row r="5244" spans="1:4" ht="12.75" customHeight="1" x14ac:dyDescent="0.2">
      <c r="A5244" s="11"/>
      <c r="B5244" s="2"/>
      <c r="C5244" s="15"/>
      <c r="D5244" s="2"/>
    </row>
    <row r="5245" spans="1:4" ht="12.75" customHeight="1" x14ac:dyDescent="0.2">
      <c r="B5245" s="11" t="s">
        <v>0</v>
      </c>
      <c r="C5245" s="11" t="s">
        <v>274</v>
      </c>
    </row>
    <row r="5246" spans="1:4" ht="12.75" customHeight="1" x14ac:dyDescent="0.2">
      <c r="B5246" s="11" t="s">
        <v>2599</v>
      </c>
      <c r="C5246" s="11" t="s">
        <v>1852</v>
      </c>
    </row>
    <row r="5247" spans="1:4" ht="25.5" customHeight="1" x14ac:dyDescent="0.2">
      <c r="B5247" s="11" t="s">
        <v>2600</v>
      </c>
      <c r="C5247" s="11" t="s">
        <v>3408</v>
      </c>
    </row>
    <row r="5248" spans="1:4" ht="25.5" customHeight="1" x14ac:dyDescent="0.2">
      <c r="B5248" s="11" t="s">
        <v>2601</v>
      </c>
      <c r="C5248" s="11"/>
    </row>
    <row r="5249" spans="1:4" ht="12.75" customHeight="1" x14ac:dyDescent="0.2">
      <c r="B5249" s="11" t="s">
        <v>16</v>
      </c>
      <c r="C5249" s="11"/>
    </row>
    <row r="5250" spans="1:4" ht="12.75" customHeight="1" x14ac:dyDescent="0.2">
      <c r="B5250" s="11" t="s">
        <v>13</v>
      </c>
      <c r="C5250" s="11" t="s">
        <v>2644</v>
      </c>
    </row>
    <row r="5251" spans="1:4" ht="12.75" customHeight="1" x14ac:dyDescent="0.2">
      <c r="B5251" s="11" t="s">
        <v>2603</v>
      </c>
      <c r="C5251" s="11" t="s">
        <v>2604</v>
      </c>
    </row>
    <row r="5252" spans="1:4" ht="12.75" customHeight="1" x14ac:dyDescent="0.2">
      <c r="B5252" s="11" t="s">
        <v>2605</v>
      </c>
      <c r="C5252" s="11" t="s">
        <v>24</v>
      </c>
    </row>
    <row r="5253" spans="1:4" ht="12.75" customHeight="1" x14ac:dyDescent="0.2">
      <c r="B5253" s="11" t="s">
        <v>2606</v>
      </c>
      <c r="C5253" s="16" t="s">
        <v>44</v>
      </c>
      <c r="D5253" s="6" t="str">
        <f>HYPERLINK("javascript:void(0)","hiperzsír")</f>
        <v>hiperzsír</v>
      </c>
    </row>
    <row r="5254" spans="1:4" ht="12.75" customHeight="1" x14ac:dyDescent="0.2">
      <c r="B5254" s="2"/>
      <c r="C5254" s="15"/>
      <c r="D5254" s="2"/>
    </row>
    <row r="5255" spans="1:4" ht="12.75" customHeight="1" x14ac:dyDescent="0.2">
      <c r="B5255" s="2"/>
      <c r="C5255" s="15"/>
      <c r="D5255" s="2"/>
    </row>
    <row r="5256" spans="1:4" ht="12.75" customHeight="1" x14ac:dyDescent="0.2">
      <c r="A5256" s="13" t="s">
        <v>3409</v>
      </c>
      <c r="C5256" s="12"/>
    </row>
    <row r="5257" spans="1:4" ht="12.75" customHeight="1" x14ac:dyDescent="0.2">
      <c r="A5257" s="11"/>
      <c r="B5257" s="2"/>
      <c r="C5257" s="15"/>
      <c r="D5257" s="2"/>
    </row>
    <row r="5258" spans="1:4" ht="12.75" customHeight="1" x14ac:dyDescent="0.2">
      <c r="B5258" s="11" t="s">
        <v>0</v>
      </c>
      <c r="C5258" s="11" t="s">
        <v>274</v>
      </c>
    </row>
    <row r="5259" spans="1:4" ht="12.75" customHeight="1" x14ac:dyDescent="0.2">
      <c r="B5259" s="11" t="s">
        <v>2599</v>
      </c>
      <c r="C5259" s="11" t="s">
        <v>3410</v>
      </c>
    </row>
    <row r="5260" spans="1:4" ht="25.5" customHeight="1" x14ac:dyDescent="0.2">
      <c r="B5260" s="11" t="s">
        <v>2600</v>
      </c>
      <c r="C5260" s="11" t="s">
        <v>3411</v>
      </c>
    </row>
    <row r="5261" spans="1:4" ht="25.5" customHeight="1" x14ac:dyDescent="0.2">
      <c r="B5261" s="11" t="s">
        <v>2601</v>
      </c>
      <c r="C5261" s="11"/>
    </row>
    <row r="5262" spans="1:4" ht="12.75" customHeight="1" x14ac:dyDescent="0.2">
      <c r="B5262" s="11" t="s">
        <v>16</v>
      </c>
      <c r="C5262" s="11"/>
    </row>
    <row r="5263" spans="1:4" ht="12.75" customHeight="1" x14ac:dyDescent="0.2">
      <c r="B5263" s="11" t="s">
        <v>13</v>
      </c>
      <c r="C5263" s="11" t="s">
        <v>2602</v>
      </c>
    </row>
    <row r="5264" spans="1:4" ht="12.75" customHeight="1" x14ac:dyDescent="0.2">
      <c r="B5264" s="11" t="s">
        <v>2603</v>
      </c>
      <c r="C5264" s="11" t="s">
        <v>2604</v>
      </c>
    </row>
    <row r="5265" spans="1:4" ht="12.75" customHeight="1" x14ac:dyDescent="0.2">
      <c r="B5265" s="11" t="s">
        <v>2605</v>
      </c>
      <c r="C5265" s="11" t="s">
        <v>24</v>
      </c>
    </row>
    <row r="5266" spans="1:4" ht="25.5" customHeight="1" x14ac:dyDescent="0.2">
      <c r="B5266" s="11" t="s">
        <v>2606</v>
      </c>
      <c r="C5266" s="16" t="s">
        <v>232</v>
      </c>
      <c r="D5266" s="6" t="str">
        <f>HYPERLINK("javascript:void(0)","szemgyöngy")</f>
        <v>szemgyöngy</v>
      </c>
    </row>
    <row r="5267" spans="1:4" ht="12.75" customHeight="1" x14ac:dyDescent="0.2">
      <c r="C5267" s="16" t="s">
        <v>44</v>
      </c>
      <c r="D5267" s="6" t="str">
        <f>HYPERLINK("javascript:void(0)","kincs")</f>
        <v>kincs</v>
      </c>
    </row>
    <row r="5268" spans="1:4" ht="12.75" customHeight="1" x14ac:dyDescent="0.2">
      <c r="B5268" s="2"/>
      <c r="C5268" s="15"/>
      <c r="D5268" s="2"/>
    </row>
    <row r="5269" spans="1:4" ht="12.75" customHeight="1" x14ac:dyDescent="0.2">
      <c r="B5269" s="2"/>
      <c r="C5269" s="15"/>
      <c r="D5269" s="2"/>
    </row>
    <row r="5270" spans="1:4" ht="12.75" customHeight="1" x14ac:dyDescent="0.2">
      <c r="A5270" s="13" t="s">
        <v>3412</v>
      </c>
      <c r="C5270" s="12"/>
    </row>
    <row r="5271" spans="1:4" ht="12.75" customHeight="1" x14ac:dyDescent="0.2">
      <c r="A5271" s="11"/>
      <c r="B5271" s="2"/>
      <c r="C5271" s="15"/>
      <c r="D5271" s="2"/>
    </row>
    <row r="5272" spans="1:4" ht="12.75" customHeight="1" x14ac:dyDescent="0.2">
      <c r="B5272" s="11" t="s">
        <v>0</v>
      </c>
      <c r="C5272" s="11" t="s">
        <v>274</v>
      </c>
    </row>
    <row r="5273" spans="1:4" ht="12.75" customHeight="1" x14ac:dyDescent="0.2">
      <c r="B5273" s="11" t="s">
        <v>2599</v>
      </c>
      <c r="C5273" s="11" t="s">
        <v>3413</v>
      </c>
    </row>
    <row r="5274" spans="1:4" ht="25.5" customHeight="1" x14ac:dyDescent="0.2">
      <c r="B5274" s="11" t="s">
        <v>2600</v>
      </c>
      <c r="C5274" s="11" t="s">
        <v>3414</v>
      </c>
    </row>
    <row r="5275" spans="1:4" ht="25.5" customHeight="1" x14ac:dyDescent="0.2">
      <c r="B5275" s="11" t="s">
        <v>2601</v>
      </c>
      <c r="C5275" s="11"/>
    </row>
    <row r="5276" spans="1:4" ht="12.75" customHeight="1" x14ac:dyDescent="0.2">
      <c r="B5276" s="11" t="s">
        <v>16</v>
      </c>
      <c r="C5276" s="11"/>
    </row>
    <row r="5277" spans="1:4" ht="12.75" customHeight="1" x14ac:dyDescent="0.2">
      <c r="B5277" s="11" t="s">
        <v>13</v>
      </c>
      <c r="C5277" s="11" t="s">
        <v>2644</v>
      </c>
    </row>
    <row r="5278" spans="1:4" ht="12.75" customHeight="1" x14ac:dyDescent="0.2">
      <c r="B5278" s="11" t="s">
        <v>2603</v>
      </c>
      <c r="C5278" s="11" t="s">
        <v>2604</v>
      </c>
    </row>
    <row r="5279" spans="1:4" ht="12.75" customHeight="1" x14ac:dyDescent="0.2">
      <c r="B5279" s="11" t="s">
        <v>2605</v>
      </c>
      <c r="C5279" s="11" t="s">
        <v>24</v>
      </c>
    </row>
    <row r="5280" spans="1:4" ht="12.75" customHeight="1" x14ac:dyDescent="0.2">
      <c r="B5280" s="11" t="s">
        <v>2606</v>
      </c>
      <c r="C5280" s="16" t="s">
        <v>55</v>
      </c>
      <c r="D5280" s="6" t="str">
        <f>HYPERLINK("javascript:void(0)","kincs")</f>
        <v>kincs</v>
      </c>
    </row>
    <row r="5281" spans="1:4" ht="12.75" customHeight="1" x14ac:dyDescent="0.2">
      <c r="B5281" s="2"/>
      <c r="C5281" s="15"/>
      <c r="D5281" s="2"/>
    </row>
    <row r="5282" spans="1:4" ht="12.75" customHeight="1" x14ac:dyDescent="0.2">
      <c r="B5282" s="2"/>
      <c r="C5282" s="15"/>
      <c r="D5282" s="2"/>
    </row>
    <row r="5283" spans="1:4" ht="12.75" customHeight="1" x14ac:dyDescent="0.2">
      <c r="A5283" s="13" t="s">
        <v>3415</v>
      </c>
      <c r="C5283" s="12"/>
    </row>
    <row r="5284" spans="1:4" ht="12.75" customHeight="1" x14ac:dyDescent="0.2">
      <c r="A5284" s="11"/>
      <c r="B5284" s="2"/>
      <c r="C5284" s="15"/>
      <c r="D5284" s="2"/>
    </row>
    <row r="5285" spans="1:4" ht="12.75" customHeight="1" x14ac:dyDescent="0.2">
      <c r="B5285" s="11" t="s">
        <v>0</v>
      </c>
      <c r="C5285" s="11" t="s">
        <v>274</v>
      </c>
    </row>
    <row r="5286" spans="1:4" ht="12.75" customHeight="1" x14ac:dyDescent="0.2">
      <c r="B5286" s="11" t="s">
        <v>2599</v>
      </c>
      <c r="C5286" s="11" t="s">
        <v>3416</v>
      </c>
    </row>
    <row r="5287" spans="1:4" ht="25.5" customHeight="1" x14ac:dyDescent="0.2">
      <c r="B5287" s="11" t="s">
        <v>2600</v>
      </c>
      <c r="C5287" s="11" t="s">
        <v>3417</v>
      </c>
    </row>
    <row r="5288" spans="1:4" ht="25.5" customHeight="1" x14ac:dyDescent="0.2">
      <c r="B5288" s="11" t="s">
        <v>2601</v>
      </c>
      <c r="C5288" s="11"/>
    </row>
    <row r="5289" spans="1:4" ht="12.75" customHeight="1" x14ac:dyDescent="0.2">
      <c r="B5289" s="11" t="s">
        <v>16</v>
      </c>
      <c r="C5289" s="11"/>
    </row>
    <row r="5290" spans="1:4" ht="12.75" customHeight="1" x14ac:dyDescent="0.2">
      <c r="B5290" s="11" t="s">
        <v>13</v>
      </c>
      <c r="C5290" s="11" t="s">
        <v>2602</v>
      </c>
    </row>
    <row r="5291" spans="1:4" ht="12.75" customHeight="1" x14ac:dyDescent="0.2">
      <c r="B5291" s="11" t="s">
        <v>2603</v>
      </c>
      <c r="C5291" s="11" t="s">
        <v>2604</v>
      </c>
    </row>
    <row r="5292" spans="1:4" ht="12.75" customHeight="1" x14ac:dyDescent="0.2">
      <c r="B5292" s="11" t="s">
        <v>2605</v>
      </c>
      <c r="C5292" s="11" t="s">
        <v>24</v>
      </c>
    </row>
    <row r="5293" spans="1:4" ht="12.75" customHeight="1" x14ac:dyDescent="0.2">
      <c r="B5293" s="11" t="s">
        <v>2606</v>
      </c>
      <c r="C5293" s="16" t="s">
        <v>44</v>
      </c>
      <c r="D5293" s="6" t="str">
        <f>HYPERLINK("javascript:void(0)","kincs")</f>
        <v>kincs</v>
      </c>
    </row>
    <row r="5294" spans="1:4" ht="12.75" customHeight="1" x14ac:dyDescent="0.2">
      <c r="C5294" s="16" t="s">
        <v>44</v>
      </c>
      <c r="D5294" s="6" t="str">
        <f>HYPERLINK("javascript:void(0)","lovagi kard")</f>
        <v>lovagi kard</v>
      </c>
    </row>
    <row r="5295" spans="1:4" ht="12.75" customHeight="1" x14ac:dyDescent="0.2">
      <c r="B5295" s="2"/>
      <c r="C5295" s="15"/>
      <c r="D5295" s="2"/>
    </row>
    <row r="5296" spans="1:4" ht="12.75" customHeight="1" x14ac:dyDescent="0.2">
      <c r="B5296" s="2"/>
      <c r="C5296" s="15"/>
      <c r="D5296" s="2"/>
    </row>
    <row r="5297" spans="1:4" ht="12.75" customHeight="1" x14ac:dyDescent="0.2">
      <c r="A5297" s="13" t="s">
        <v>3418</v>
      </c>
      <c r="C5297" s="12"/>
    </row>
    <row r="5298" spans="1:4" ht="12.75" customHeight="1" x14ac:dyDescent="0.2">
      <c r="A5298" s="11"/>
      <c r="B5298" s="2"/>
      <c r="C5298" s="15"/>
      <c r="D5298" s="2"/>
    </row>
    <row r="5299" spans="1:4" ht="12.75" customHeight="1" x14ac:dyDescent="0.2">
      <c r="B5299" s="11" t="s">
        <v>0</v>
      </c>
      <c r="C5299" s="11" t="s">
        <v>274</v>
      </c>
    </row>
    <row r="5300" spans="1:4" ht="12.75" customHeight="1" x14ac:dyDescent="0.2">
      <c r="B5300" s="11" t="s">
        <v>2599</v>
      </c>
      <c r="C5300" s="11" t="s">
        <v>3419</v>
      </c>
    </row>
    <row r="5301" spans="1:4" ht="25.5" customHeight="1" x14ac:dyDescent="0.2">
      <c r="B5301" s="11" t="s">
        <v>2600</v>
      </c>
      <c r="C5301" s="11" t="s">
        <v>3420</v>
      </c>
    </row>
    <row r="5302" spans="1:4" ht="25.5" customHeight="1" x14ac:dyDescent="0.2">
      <c r="B5302" s="11" t="s">
        <v>2601</v>
      </c>
      <c r="C5302" s="11"/>
    </row>
    <row r="5303" spans="1:4" ht="12.75" customHeight="1" x14ac:dyDescent="0.2">
      <c r="B5303" s="11" t="s">
        <v>16</v>
      </c>
      <c r="C5303" s="11"/>
    </row>
    <row r="5304" spans="1:4" ht="12.75" customHeight="1" x14ac:dyDescent="0.2">
      <c r="B5304" s="11" t="s">
        <v>13</v>
      </c>
      <c r="C5304" s="11" t="s">
        <v>2644</v>
      </c>
    </row>
    <row r="5305" spans="1:4" ht="12.75" customHeight="1" x14ac:dyDescent="0.2">
      <c r="B5305" s="11" t="s">
        <v>2603</v>
      </c>
      <c r="C5305" s="11" t="s">
        <v>2604</v>
      </c>
    </row>
    <row r="5306" spans="1:4" ht="12.75" customHeight="1" x14ac:dyDescent="0.2">
      <c r="B5306" s="11" t="s">
        <v>2605</v>
      </c>
      <c r="C5306" s="11" t="s">
        <v>24</v>
      </c>
    </row>
    <row r="5307" spans="1:4" ht="12.75" customHeight="1" x14ac:dyDescent="0.2">
      <c r="B5307" s="11" t="s">
        <v>2606</v>
      </c>
      <c r="C5307" s="16" t="s">
        <v>44</v>
      </c>
      <c r="D5307" s="6" t="str">
        <f>HYPERLINK("javascript:void(0)","képcső")</f>
        <v>képcső</v>
      </c>
    </row>
    <row r="5308" spans="1:4" ht="12.75" customHeight="1" x14ac:dyDescent="0.2">
      <c r="B5308" s="2"/>
      <c r="C5308" s="15"/>
      <c r="D5308" s="2"/>
    </row>
    <row r="5309" spans="1:4" ht="12.75" customHeight="1" x14ac:dyDescent="0.2">
      <c r="B5309" s="2"/>
      <c r="C5309" s="15"/>
      <c r="D5309" s="2"/>
    </row>
    <row r="5310" spans="1:4" ht="12.75" customHeight="1" x14ac:dyDescent="0.2">
      <c r="A5310" s="13" t="s">
        <v>3421</v>
      </c>
      <c r="C5310" s="12"/>
    </row>
    <row r="5311" spans="1:4" ht="12.75" customHeight="1" x14ac:dyDescent="0.2">
      <c r="A5311" s="11"/>
      <c r="B5311" s="2"/>
      <c r="C5311" s="15"/>
      <c r="D5311" s="2"/>
    </row>
    <row r="5312" spans="1:4" ht="12.75" customHeight="1" x14ac:dyDescent="0.2">
      <c r="B5312" s="11" t="s">
        <v>0</v>
      </c>
      <c r="C5312" s="11" t="s">
        <v>274</v>
      </c>
    </row>
    <row r="5313" spans="1:4" ht="12.75" customHeight="1" x14ac:dyDescent="0.2">
      <c r="B5313" s="11" t="s">
        <v>2599</v>
      </c>
      <c r="C5313" s="11" t="s">
        <v>3422</v>
      </c>
    </row>
    <row r="5314" spans="1:4" ht="25.5" customHeight="1" x14ac:dyDescent="0.2">
      <c r="B5314" s="11" t="s">
        <v>2600</v>
      </c>
      <c r="C5314" s="11" t="s">
        <v>3423</v>
      </c>
    </row>
    <row r="5315" spans="1:4" ht="25.5" customHeight="1" x14ac:dyDescent="0.2">
      <c r="B5315" s="11" t="s">
        <v>2601</v>
      </c>
      <c r="C5315" s="11"/>
    </row>
    <row r="5316" spans="1:4" ht="12.75" customHeight="1" x14ac:dyDescent="0.2">
      <c r="B5316" s="11" t="s">
        <v>16</v>
      </c>
      <c r="C5316" s="11"/>
    </row>
    <row r="5317" spans="1:4" ht="12.75" customHeight="1" x14ac:dyDescent="0.2">
      <c r="B5317" s="11" t="s">
        <v>13</v>
      </c>
      <c r="C5317" s="11" t="s">
        <v>2602</v>
      </c>
    </row>
    <row r="5318" spans="1:4" ht="12.75" customHeight="1" x14ac:dyDescent="0.2">
      <c r="B5318" s="11" t="s">
        <v>2603</v>
      </c>
      <c r="C5318" s="11" t="s">
        <v>2604</v>
      </c>
    </row>
    <row r="5319" spans="1:4" ht="12.75" customHeight="1" x14ac:dyDescent="0.2">
      <c r="B5319" s="11" t="s">
        <v>2605</v>
      </c>
      <c r="C5319" s="11" t="s">
        <v>24</v>
      </c>
    </row>
    <row r="5320" spans="1:4" ht="12.75" customHeight="1" x14ac:dyDescent="0.2">
      <c r="B5320" s="11" t="s">
        <v>2606</v>
      </c>
      <c r="C5320" s="16" t="s">
        <v>56</v>
      </c>
      <c r="D5320" s="6" t="str">
        <f>HYPERLINK("javascript:void(0)","kincs")</f>
        <v>kincs</v>
      </c>
    </row>
    <row r="5321" spans="1:4" ht="12.75" customHeight="1" x14ac:dyDescent="0.2">
      <c r="C5321" s="16" t="s">
        <v>44</v>
      </c>
      <c r="D5321" s="6" t="str">
        <f>HYPERLINK("javascript:void(0)","lovagi kard")</f>
        <v>lovagi kard</v>
      </c>
    </row>
    <row r="5322" spans="1:4" ht="12.75" customHeight="1" x14ac:dyDescent="0.2">
      <c r="B5322" s="2"/>
      <c r="C5322" s="15"/>
      <c r="D5322" s="2"/>
    </row>
    <row r="5323" spans="1:4" ht="12.75" customHeight="1" x14ac:dyDescent="0.2">
      <c r="B5323" s="2"/>
      <c r="C5323" s="15"/>
      <c r="D5323" s="2"/>
    </row>
    <row r="5324" spans="1:4" ht="12.75" customHeight="1" x14ac:dyDescent="0.2">
      <c r="A5324" s="13" t="s">
        <v>3424</v>
      </c>
      <c r="C5324" s="12"/>
    </row>
    <row r="5325" spans="1:4" ht="12.75" customHeight="1" x14ac:dyDescent="0.2">
      <c r="A5325" s="11"/>
      <c r="B5325" s="2"/>
      <c r="C5325" s="15"/>
      <c r="D5325" s="2"/>
    </row>
    <row r="5326" spans="1:4" ht="12.75" customHeight="1" x14ac:dyDescent="0.2">
      <c r="B5326" s="11" t="s">
        <v>0</v>
      </c>
      <c r="C5326" s="11" t="s">
        <v>274</v>
      </c>
    </row>
    <row r="5327" spans="1:4" ht="12.75" customHeight="1" x14ac:dyDescent="0.2">
      <c r="B5327" s="11" t="s">
        <v>2599</v>
      </c>
      <c r="C5327" s="11" t="s">
        <v>3425</v>
      </c>
    </row>
    <row r="5328" spans="1:4" ht="25.5" customHeight="1" x14ac:dyDescent="0.2">
      <c r="B5328" s="11" t="s">
        <v>2600</v>
      </c>
      <c r="C5328" s="11" t="s">
        <v>3426</v>
      </c>
    </row>
    <row r="5329" spans="1:4" ht="25.5" customHeight="1" x14ac:dyDescent="0.2">
      <c r="B5329" s="11" t="s">
        <v>2601</v>
      </c>
      <c r="C5329" s="11"/>
    </row>
    <row r="5330" spans="1:4" ht="12.75" customHeight="1" x14ac:dyDescent="0.2">
      <c r="B5330" s="11" t="s">
        <v>16</v>
      </c>
      <c r="C5330" s="11"/>
    </row>
    <row r="5331" spans="1:4" ht="12.75" customHeight="1" x14ac:dyDescent="0.2">
      <c r="B5331" s="11" t="s">
        <v>13</v>
      </c>
      <c r="C5331" s="11" t="s">
        <v>2644</v>
      </c>
    </row>
    <row r="5332" spans="1:4" ht="12.75" customHeight="1" x14ac:dyDescent="0.2">
      <c r="B5332" s="11" t="s">
        <v>2603</v>
      </c>
      <c r="C5332" s="11" t="s">
        <v>2604</v>
      </c>
    </row>
    <row r="5333" spans="1:4" ht="12.75" customHeight="1" x14ac:dyDescent="0.2">
      <c r="B5333" s="11" t="s">
        <v>2605</v>
      </c>
      <c r="C5333" s="11" t="s">
        <v>24</v>
      </c>
    </row>
    <row r="5334" spans="1:4" ht="12.75" customHeight="1" x14ac:dyDescent="0.2">
      <c r="B5334" s="11" t="s">
        <v>2606</v>
      </c>
      <c r="C5334" s="16" t="s">
        <v>56</v>
      </c>
      <c r="D5334" s="6" t="str">
        <f>HYPERLINK("javascript:void(0)","ínszalag")</f>
        <v>ínszalag</v>
      </c>
    </row>
    <row r="5335" spans="1:4" ht="12.75" customHeight="1" x14ac:dyDescent="0.2">
      <c r="B5335" s="2"/>
      <c r="C5335" s="15"/>
      <c r="D5335" s="2"/>
    </row>
    <row r="5336" spans="1:4" ht="12.75" customHeight="1" x14ac:dyDescent="0.2">
      <c r="B5336" s="2"/>
      <c r="C5336" s="15"/>
      <c r="D5336" s="2"/>
    </row>
    <row r="5337" spans="1:4" ht="12.75" customHeight="1" x14ac:dyDescent="0.2">
      <c r="A5337" s="13" t="s">
        <v>3427</v>
      </c>
      <c r="C5337" s="12"/>
    </row>
    <row r="5338" spans="1:4" ht="12.75" customHeight="1" x14ac:dyDescent="0.2">
      <c r="A5338" s="11"/>
      <c r="B5338" s="2"/>
      <c r="C5338" s="15"/>
      <c r="D5338" s="2"/>
    </row>
    <row r="5339" spans="1:4" ht="12.75" customHeight="1" x14ac:dyDescent="0.2">
      <c r="B5339" s="11" t="s">
        <v>0</v>
      </c>
      <c r="C5339" s="11" t="s">
        <v>274</v>
      </c>
    </row>
    <row r="5340" spans="1:4" ht="12.75" customHeight="1" x14ac:dyDescent="0.2">
      <c r="B5340" s="11" t="s">
        <v>2599</v>
      </c>
      <c r="C5340" s="11" t="s">
        <v>3428</v>
      </c>
    </row>
    <row r="5341" spans="1:4" ht="25.5" customHeight="1" x14ac:dyDescent="0.2">
      <c r="B5341" s="11" t="s">
        <v>2600</v>
      </c>
      <c r="C5341" s="11" t="s">
        <v>3338</v>
      </c>
    </row>
    <row r="5342" spans="1:4" ht="25.5" customHeight="1" x14ac:dyDescent="0.2">
      <c r="B5342" s="11" t="s">
        <v>2601</v>
      </c>
      <c r="C5342" s="11"/>
    </row>
    <row r="5343" spans="1:4" ht="12.75" customHeight="1" x14ac:dyDescent="0.2">
      <c r="B5343" s="11" t="s">
        <v>16</v>
      </c>
      <c r="C5343" s="11"/>
    </row>
    <row r="5344" spans="1:4" ht="12.75" customHeight="1" x14ac:dyDescent="0.2">
      <c r="B5344" s="11" t="s">
        <v>13</v>
      </c>
      <c r="C5344" s="11" t="s">
        <v>2602</v>
      </c>
    </row>
    <row r="5345" spans="1:4" ht="12.75" customHeight="1" x14ac:dyDescent="0.2">
      <c r="B5345" s="11" t="s">
        <v>2603</v>
      </c>
      <c r="C5345" s="11" t="s">
        <v>2604</v>
      </c>
    </row>
    <row r="5346" spans="1:4" ht="12.75" customHeight="1" x14ac:dyDescent="0.2">
      <c r="B5346" s="11" t="s">
        <v>2605</v>
      </c>
      <c r="C5346" s="11" t="s">
        <v>24</v>
      </c>
    </row>
    <row r="5347" spans="1:4" ht="12.75" customHeight="1" x14ac:dyDescent="0.2">
      <c r="B5347" s="11" t="s">
        <v>2606</v>
      </c>
      <c r="C5347" s="16" t="s">
        <v>56</v>
      </c>
      <c r="D5347" s="6" t="str">
        <f>HYPERLINK("javascript:void(0)","gyémánt")</f>
        <v>gyémánt</v>
      </c>
    </row>
    <row r="5348" spans="1:4" ht="12.75" customHeight="1" x14ac:dyDescent="0.2">
      <c r="B5348" s="2"/>
      <c r="C5348" s="15"/>
      <c r="D5348" s="2"/>
    </row>
    <row r="5349" spans="1:4" ht="12.75" customHeight="1" x14ac:dyDescent="0.2">
      <c r="B5349" s="2"/>
      <c r="C5349" s="15"/>
      <c r="D5349" s="2"/>
    </row>
    <row r="5350" spans="1:4" ht="12.75" customHeight="1" x14ac:dyDescent="0.2">
      <c r="A5350" s="13" t="s">
        <v>2962</v>
      </c>
      <c r="C5350" s="12"/>
    </row>
    <row r="5351" spans="1:4" ht="12.75" customHeight="1" x14ac:dyDescent="0.2">
      <c r="A5351" s="11"/>
      <c r="B5351" s="2"/>
      <c r="C5351" s="15"/>
      <c r="D5351" s="2"/>
    </row>
    <row r="5352" spans="1:4" ht="12.75" customHeight="1" x14ac:dyDescent="0.2">
      <c r="B5352" s="11" t="s">
        <v>0</v>
      </c>
      <c r="C5352" s="11" t="s">
        <v>52</v>
      </c>
    </row>
    <row r="5353" spans="1:4" ht="12.75" customHeight="1" x14ac:dyDescent="0.2">
      <c r="B5353" s="11" t="s">
        <v>2599</v>
      </c>
      <c r="C5353" s="11" t="s">
        <v>2081</v>
      </c>
    </row>
    <row r="5354" spans="1:4" ht="25.5" customHeight="1" x14ac:dyDescent="0.2">
      <c r="B5354" s="11" t="s">
        <v>2600</v>
      </c>
      <c r="C5354" s="11" t="s">
        <v>3429</v>
      </c>
    </row>
    <row r="5355" spans="1:4" ht="25.5" customHeight="1" x14ac:dyDescent="0.2">
      <c r="B5355" s="11" t="s">
        <v>2601</v>
      </c>
      <c r="C5355" s="11"/>
    </row>
    <row r="5356" spans="1:4" ht="12.75" customHeight="1" x14ac:dyDescent="0.2">
      <c r="B5356" s="11" t="s">
        <v>16</v>
      </c>
      <c r="C5356" s="11"/>
    </row>
    <row r="5357" spans="1:4" ht="12.75" customHeight="1" x14ac:dyDescent="0.2">
      <c r="B5357" s="11" t="s">
        <v>13</v>
      </c>
      <c r="C5357" s="11" t="s">
        <v>2644</v>
      </c>
    </row>
    <row r="5358" spans="1:4" ht="12.75" customHeight="1" x14ac:dyDescent="0.2">
      <c r="B5358" s="11" t="s">
        <v>2603</v>
      </c>
      <c r="C5358" s="11" t="s">
        <v>2965</v>
      </c>
    </row>
    <row r="5359" spans="1:4" ht="12.75" customHeight="1" x14ac:dyDescent="0.2">
      <c r="B5359" s="11" t="s">
        <v>2605</v>
      </c>
      <c r="C5359" s="11" t="s">
        <v>14</v>
      </c>
    </row>
    <row r="5360" spans="1:4" ht="12.75" customHeight="1" x14ac:dyDescent="0.2">
      <c r="B5360" s="11" t="s">
        <v>2606</v>
      </c>
      <c r="C5360" s="16" t="s">
        <v>44</v>
      </c>
      <c r="D5360" s="6" t="str">
        <f>HYPERLINK("javascript:void(0)","hínárgyöngy")</f>
        <v>hínárgyöngy</v>
      </c>
    </row>
    <row r="5361" spans="1:4" ht="25.5" customHeight="1" x14ac:dyDescent="0.2">
      <c r="C5361" s="16" t="s">
        <v>57</v>
      </c>
      <c r="D5361" s="6" t="str">
        <f>HYPERLINK("javascript:void(0)","harmatcsepp")</f>
        <v>harmatcsepp</v>
      </c>
    </row>
    <row r="5362" spans="1:4" ht="12.75" customHeight="1" x14ac:dyDescent="0.2">
      <c r="B5362" s="2"/>
      <c r="C5362" s="15"/>
      <c r="D5362" s="2"/>
    </row>
    <row r="5363" spans="1:4" ht="12.75" customHeight="1" x14ac:dyDescent="0.2">
      <c r="B5363" s="2"/>
      <c r="C5363" s="15"/>
      <c r="D5363" s="2"/>
    </row>
    <row r="5364" spans="1:4" ht="12.75" customHeight="1" x14ac:dyDescent="0.2">
      <c r="A5364" s="13" t="s">
        <v>3395</v>
      </c>
      <c r="C5364" s="12"/>
      <c r="D5364" s="2"/>
    </row>
    <row r="5365" spans="1:4" ht="12.75" customHeight="1" x14ac:dyDescent="0.2">
      <c r="A5365" s="11"/>
      <c r="B5365" s="2"/>
      <c r="C5365" s="15"/>
      <c r="D5365" s="2"/>
    </row>
    <row r="5366" spans="1:4" ht="12.75" customHeight="1" x14ac:dyDescent="0.2">
      <c r="B5366" s="11" t="s">
        <v>0</v>
      </c>
      <c r="C5366" s="17" t="s">
        <v>52</v>
      </c>
      <c r="D5366" s="2"/>
    </row>
    <row r="5367" spans="1:4" ht="12.75" customHeight="1" x14ac:dyDescent="0.2">
      <c r="B5367" s="11" t="s">
        <v>2599</v>
      </c>
      <c r="C5367" s="17" t="s">
        <v>747</v>
      </c>
      <c r="D5367" s="2"/>
    </row>
    <row r="5368" spans="1:4" ht="25.5" customHeight="1" x14ac:dyDescent="0.2">
      <c r="B5368" s="11" t="s">
        <v>2600</v>
      </c>
      <c r="C5368" s="17" t="s">
        <v>3430</v>
      </c>
      <c r="D5368" s="2"/>
    </row>
    <row r="5369" spans="1:4" ht="25.5" customHeight="1" x14ac:dyDescent="0.2">
      <c r="B5369" s="11" t="s">
        <v>2601</v>
      </c>
      <c r="C5369" s="17"/>
      <c r="D5369" s="2"/>
    </row>
    <row r="5370" spans="1:4" ht="12.75" customHeight="1" x14ac:dyDescent="0.2">
      <c r="B5370" s="11" t="s">
        <v>16</v>
      </c>
      <c r="C5370" s="17"/>
      <c r="D5370" s="2"/>
    </row>
    <row r="5371" spans="1:4" ht="12.75" customHeight="1" x14ac:dyDescent="0.2">
      <c r="B5371" s="11" t="s">
        <v>13</v>
      </c>
      <c r="C5371" s="17" t="s">
        <v>2644</v>
      </c>
      <c r="D5371" s="2"/>
    </row>
    <row r="5372" spans="1:4" ht="25.5" customHeight="1" x14ac:dyDescent="0.2">
      <c r="B5372" s="11" t="s">
        <v>2603</v>
      </c>
      <c r="C5372" s="17" t="s">
        <v>2971</v>
      </c>
      <c r="D5372" s="2"/>
    </row>
    <row r="5373" spans="1:4" ht="12.75" customHeight="1" x14ac:dyDescent="0.2">
      <c r="B5373" s="11" t="s">
        <v>2605</v>
      </c>
      <c r="C5373" s="17" t="s">
        <v>14</v>
      </c>
      <c r="D5373" s="2"/>
    </row>
    <row r="5374" spans="1:4" ht="12.75" customHeight="1" x14ac:dyDescent="0.2">
      <c r="B5374" s="11" t="s">
        <v>2606</v>
      </c>
      <c r="C5374" s="16" t="s">
        <v>19</v>
      </c>
      <c r="D5374" s="2"/>
    </row>
    <row r="5375" spans="1:4" ht="12.75" customHeight="1" x14ac:dyDescent="0.2">
      <c r="B5375" s="2"/>
      <c r="C5375" s="15"/>
      <c r="D5375" s="2"/>
    </row>
    <row r="5376" spans="1:4" ht="12.75" customHeight="1" x14ac:dyDescent="0.2">
      <c r="B5376" s="2"/>
      <c r="C5376" s="15"/>
      <c r="D5376" s="2"/>
    </row>
    <row r="5377" spans="1:4" ht="12.75" customHeight="1" x14ac:dyDescent="0.2">
      <c r="A5377" s="13" t="s">
        <v>3343</v>
      </c>
      <c r="C5377" s="12"/>
      <c r="D5377" s="2"/>
    </row>
    <row r="5378" spans="1:4" ht="12.75" customHeight="1" x14ac:dyDescent="0.2">
      <c r="A5378" s="11"/>
      <c r="B5378" s="2"/>
      <c r="C5378" s="15"/>
      <c r="D5378" s="2"/>
    </row>
    <row r="5379" spans="1:4" ht="12.75" customHeight="1" x14ac:dyDescent="0.2">
      <c r="B5379" s="11" t="s">
        <v>0</v>
      </c>
      <c r="C5379" s="17" t="s">
        <v>52</v>
      </c>
      <c r="D5379" s="2"/>
    </row>
    <row r="5380" spans="1:4" ht="12.75" customHeight="1" x14ac:dyDescent="0.2">
      <c r="B5380" s="11" t="s">
        <v>2599</v>
      </c>
      <c r="C5380" s="17" t="s">
        <v>3344</v>
      </c>
      <c r="D5380" s="2"/>
    </row>
    <row r="5381" spans="1:4" ht="25.5" customHeight="1" x14ac:dyDescent="0.2">
      <c r="B5381" s="11" t="s">
        <v>2600</v>
      </c>
      <c r="C5381" s="17" t="s">
        <v>3431</v>
      </c>
      <c r="D5381" s="2"/>
    </row>
    <row r="5382" spans="1:4" ht="25.5" customHeight="1" x14ac:dyDescent="0.2">
      <c r="B5382" s="11" t="s">
        <v>2601</v>
      </c>
      <c r="C5382" s="17"/>
      <c r="D5382" s="2"/>
    </row>
    <row r="5383" spans="1:4" ht="12.75" customHeight="1" x14ac:dyDescent="0.2">
      <c r="B5383" s="11" t="s">
        <v>16</v>
      </c>
      <c r="C5383" s="17"/>
      <c r="D5383" s="2"/>
    </row>
    <row r="5384" spans="1:4" ht="12.75" customHeight="1" x14ac:dyDescent="0.2">
      <c r="B5384" s="11" t="s">
        <v>13</v>
      </c>
      <c r="C5384" s="17" t="s">
        <v>2602</v>
      </c>
      <c r="D5384" s="2"/>
    </row>
    <row r="5385" spans="1:4" ht="25.5" customHeight="1" x14ac:dyDescent="0.2">
      <c r="B5385" s="11" t="s">
        <v>2603</v>
      </c>
      <c r="C5385" s="17" t="s">
        <v>2971</v>
      </c>
      <c r="D5385" s="2"/>
    </row>
    <row r="5386" spans="1:4" ht="12.75" customHeight="1" x14ac:dyDescent="0.2">
      <c r="B5386" s="11" t="s">
        <v>2605</v>
      </c>
      <c r="C5386" s="17" t="s">
        <v>14</v>
      </c>
      <c r="D5386" s="2"/>
    </row>
    <row r="5387" spans="1:4" ht="12.75" customHeight="1" x14ac:dyDescent="0.2">
      <c r="B5387" s="11" t="s">
        <v>2606</v>
      </c>
      <c r="C5387" s="16" t="s">
        <v>19</v>
      </c>
      <c r="D5387" s="2"/>
    </row>
    <row r="5388" spans="1:4" ht="12.75" customHeight="1" x14ac:dyDescent="0.2">
      <c r="B5388" s="2"/>
      <c r="C5388" s="15"/>
      <c r="D5388" s="2"/>
    </row>
    <row r="5389" spans="1:4" ht="12.75" customHeight="1" x14ac:dyDescent="0.2">
      <c r="B5389" s="2"/>
      <c r="C5389" s="15"/>
      <c r="D5389" s="2"/>
    </row>
    <row r="5390" spans="1:4" ht="12.75" customHeight="1" x14ac:dyDescent="0.2">
      <c r="A5390" s="13" t="s">
        <v>3398</v>
      </c>
      <c r="C5390" s="12"/>
      <c r="D5390" s="2"/>
    </row>
    <row r="5391" spans="1:4" ht="12.75" customHeight="1" x14ac:dyDescent="0.2">
      <c r="A5391" s="11"/>
      <c r="B5391" s="2"/>
      <c r="C5391" s="15"/>
      <c r="D5391" s="2"/>
    </row>
    <row r="5392" spans="1:4" ht="12.75" customHeight="1" x14ac:dyDescent="0.2">
      <c r="B5392" s="11" t="s">
        <v>0</v>
      </c>
      <c r="C5392" s="17" t="s">
        <v>52</v>
      </c>
      <c r="D5392" s="2"/>
    </row>
    <row r="5393" spans="1:4" ht="12.75" customHeight="1" x14ac:dyDescent="0.2">
      <c r="B5393" s="11" t="s">
        <v>2599</v>
      </c>
      <c r="C5393" s="17" t="s">
        <v>3399</v>
      </c>
      <c r="D5393" s="2"/>
    </row>
    <row r="5394" spans="1:4" ht="25.5" customHeight="1" x14ac:dyDescent="0.2">
      <c r="B5394" s="11" t="s">
        <v>2600</v>
      </c>
      <c r="C5394" s="17" t="s">
        <v>3432</v>
      </c>
      <c r="D5394" s="2"/>
    </row>
    <row r="5395" spans="1:4" ht="25.5" customHeight="1" x14ac:dyDescent="0.2">
      <c r="B5395" s="11" t="s">
        <v>2601</v>
      </c>
      <c r="C5395" s="17"/>
      <c r="D5395" s="2"/>
    </row>
    <row r="5396" spans="1:4" ht="12.75" customHeight="1" x14ac:dyDescent="0.2">
      <c r="B5396" s="11" t="s">
        <v>16</v>
      </c>
      <c r="C5396" s="17"/>
      <c r="D5396" s="2"/>
    </row>
    <row r="5397" spans="1:4" ht="12.75" customHeight="1" x14ac:dyDescent="0.2">
      <c r="B5397" s="11" t="s">
        <v>13</v>
      </c>
      <c r="C5397" s="17" t="s">
        <v>2644</v>
      </c>
      <c r="D5397" s="2"/>
    </row>
    <row r="5398" spans="1:4" ht="25.5" customHeight="1" x14ac:dyDescent="0.2">
      <c r="B5398" s="11" t="s">
        <v>2603</v>
      </c>
      <c r="C5398" s="17" t="s">
        <v>2971</v>
      </c>
      <c r="D5398" s="2"/>
    </row>
    <row r="5399" spans="1:4" ht="12.75" customHeight="1" x14ac:dyDescent="0.2">
      <c r="B5399" s="11" t="s">
        <v>2605</v>
      </c>
      <c r="C5399" s="17" t="s">
        <v>14</v>
      </c>
      <c r="D5399" s="2"/>
    </row>
    <row r="5400" spans="1:4" ht="12.75" customHeight="1" x14ac:dyDescent="0.2">
      <c r="B5400" s="11" t="s">
        <v>2606</v>
      </c>
      <c r="C5400" s="16" t="s">
        <v>19</v>
      </c>
      <c r="D5400" s="2"/>
    </row>
    <row r="5401" spans="1:4" ht="12.75" customHeight="1" x14ac:dyDescent="0.2">
      <c r="B5401" s="2"/>
      <c r="C5401" s="15"/>
      <c r="D5401" s="2"/>
    </row>
    <row r="5402" spans="1:4" ht="12.75" customHeight="1" x14ac:dyDescent="0.2">
      <c r="B5402" s="2"/>
      <c r="C5402" s="15"/>
      <c r="D5402" s="2"/>
    </row>
    <row r="5403" spans="1:4" ht="12.75" customHeight="1" x14ac:dyDescent="0.2">
      <c r="A5403" s="13" t="s">
        <v>3312</v>
      </c>
      <c r="C5403" s="12"/>
      <c r="D5403" s="2"/>
    </row>
    <row r="5404" spans="1:4" ht="12.75" customHeight="1" x14ac:dyDescent="0.2">
      <c r="A5404" s="11"/>
      <c r="B5404" s="2"/>
      <c r="C5404" s="15"/>
      <c r="D5404" s="2"/>
    </row>
    <row r="5405" spans="1:4" ht="12.75" customHeight="1" x14ac:dyDescent="0.2">
      <c r="B5405" s="11" t="s">
        <v>0</v>
      </c>
      <c r="C5405" s="17" t="s">
        <v>52</v>
      </c>
      <c r="D5405" s="2"/>
    </row>
    <row r="5406" spans="1:4" ht="12.75" customHeight="1" x14ac:dyDescent="0.2">
      <c r="B5406" s="11" t="s">
        <v>2599</v>
      </c>
      <c r="C5406" s="17" t="s">
        <v>3313</v>
      </c>
      <c r="D5406" s="2"/>
    </row>
    <row r="5407" spans="1:4" ht="25.5" customHeight="1" x14ac:dyDescent="0.2">
      <c r="B5407" s="11" t="s">
        <v>2600</v>
      </c>
      <c r="C5407" s="17" t="s">
        <v>3433</v>
      </c>
      <c r="D5407" s="2"/>
    </row>
    <row r="5408" spans="1:4" ht="25.5" customHeight="1" x14ac:dyDescent="0.2">
      <c r="B5408" s="11" t="s">
        <v>2601</v>
      </c>
      <c r="C5408" s="17"/>
      <c r="D5408" s="2"/>
    </row>
    <row r="5409" spans="1:4" ht="12.75" customHeight="1" x14ac:dyDescent="0.2">
      <c r="B5409" s="11" t="s">
        <v>16</v>
      </c>
      <c r="C5409" s="17"/>
      <c r="D5409" s="2"/>
    </row>
    <row r="5410" spans="1:4" ht="12.75" customHeight="1" x14ac:dyDescent="0.2">
      <c r="B5410" s="11" t="s">
        <v>13</v>
      </c>
      <c r="C5410" s="17" t="s">
        <v>2602</v>
      </c>
      <c r="D5410" s="2"/>
    </row>
    <row r="5411" spans="1:4" ht="25.5" customHeight="1" x14ac:dyDescent="0.2">
      <c r="B5411" s="11" t="s">
        <v>2603</v>
      </c>
      <c r="C5411" s="17" t="s">
        <v>2971</v>
      </c>
      <c r="D5411" s="2"/>
    </row>
    <row r="5412" spans="1:4" ht="12.75" customHeight="1" x14ac:dyDescent="0.2">
      <c r="B5412" s="11" t="s">
        <v>2605</v>
      </c>
      <c r="C5412" s="17" t="s">
        <v>14</v>
      </c>
      <c r="D5412" s="2"/>
    </row>
    <row r="5413" spans="1:4" ht="12.75" customHeight="1" x14ac:dyDescent="0.2">
      <c r="B5413" s="11" t="s">
        <v>2606</v>
      </c>
      <c r="C5413" s="16" t="s">
        <v>19</v>
      </c>
      <c r="D5413" s="2"/>
    </row>
    <row r="5414" spans="1:4" ht="12.75" customHeight="1" x14ac:dyDescent="0.2">
      <c r="B5414" s="2"/>
      <c r="C5414" s="15"/>
      <c r="D5414" s="2"/>
    </row>
    <row r="5415" spans="1:4" ht="12.75" customHeight="1" x14ac:dyDescent="0.2">
      <c r="B5415" s="2"/>
      <c r="C5415" s="15"/>
      <c r="D5415" s="2"/>
    </row>
    <row r="5416" spans="1:4" ht="12.75" customHeight="1" x14ac:dyDescent="0.2">
      <c r="A5416" s="13" t="s">
        <v>3402</v>
      </c>
      <c r="C5416" s="12"/>
      <c r="D5416" s="2"/>
    </row>
    <row r="5417" spans="1:4" ht="12.75" customHeight="1" x14ac:dyDescent="0.2">
      <c r="A5417" s="11"/>
      <c r="B5417" s="2"/>
      <c r="C5417" s="15"/>
      <c r="D5417" s="2"/>
    </row>
    <row r="5418" spans="1:4" ht="12.75" customHeight="1" x14ac:dyDescent="0.2">
      <c r="B5418" s="11" t="s">
        <v>0</v>
      </c>
      <c r="C5418" s="17" t="s">
        <v>52</v>
      </c>
      <c r="D5418" s="2"/>
    </row>
    <row r="5419" spans="1:4" ht="12.75" customHeight="1" x14ac:dyDescent="0.2">
      <c r="B5419" s="11" t="s">
        <v>2599</v>
      </c>
      <c r="C5419" s="17" t="s">
        <v>3403</v>
      </c>
      <c r="D5419" s="2"/>
    </row>
    <row r="5420" spans="1:4" ht="25.5" customHeight="1" x14ac:dyDescent="0.2">
      <c r="B5420" s="11" t="s">
        <v>2600</v>
      </c>
      <c r="C5420" s="17" t="s">
        <v>3434</v>
      </c>
      <c r="D5420" s="2"/>
    </row>
    <row r="5421" spans="1:4" ht="25.5" customHeight="1" x14ac:dyDescent="0.2">
      <c r="B5421" s="11" t="s">
        <v>2601</v>
      </c>
      <c r="C5421" s="17"/>
      <c r="D5421" s="2"/>
    </row>
    <row r="5422" spans="1:4" ht="12.75" customHeight="1" x14ac:dyDescent="0.2">
      <c r="B5422" s="11" t="s">
        <v>16</v>
      </c>
      <c r="C5422" s="17"/>
      <c r="D5422" s="2"/>
    </row>
    <row r="5423" spans="1:4" ht="12.75" customHeight="1" x14ac:dyDescent="0.2">
      <c r="B5423" s="11" t="s">
        <v>13</v>
      </c>
      <c r="C5423" s="17" t="s">
        <v>2602</v>
      </c>
      <c r="D5423" s="2"/>
    </row>
    <row r="5424" spans="1:4" ht="25.5" customHeight="1" x14ac:dyDescent="0.2">
      <c r="B5424" s="11" t="s">
        <v>2603</v>
      </c>
      <c r="C5424" s="17" t="s">
        <v>2971</v>
      </c>
      <c r="D5424" s="2"/>
    </row>
    <row r="5425" spans="1:4" ht="12.75" customHeight="1" x14ac:dyDescent="0.2">
      <c r="B5425" s="11" t="s">
        <v>2605</v>
      </c>
      <c r="C5425" s="17" t="s">
        <v>14</v>
      </c>
      <c r="D5425" s="2"/>
    </row>
    <row r="5426" spans="1:4" ht="12.75" customHeight="1" x14ac:dyDescent="0.2">
      <c r="B5426" s="11" t="s">
        <v>2606</v>
      </c>
      <c r="C5426" s="16" t="s">
        <v>19</v>
      </c>
      <c r="D5426" s="2"/>
    </row>
    <row r="5427" spans="1:4" ht="12.75" customHeight="1" x14ac:dyDescent="0.2">
      <c r="B5427" s="2"/>
      <c r="C5427" s="15"/>
      <c r="D5427" s="2"/>
    </row>
    <row r="5428" spans="1:4" ht="12.75" customHeight="1" x14ac:dyDescent="0.2">
      <c r="B5428" s="2"/>
      <c r="C5428" s="15"/>
      <c r="D5428" s="2"/>
    </row>
    <row r="5429" spans="1:4" ht="12.75" customHeight="1" x14ac:dyDescent="0.2">
      <c r="A5429" s="13" t="s">
        <v>3405</v>
      </c>
      <c r="C5429" s="12"/>
      <c r="D5429" s="2"/>
    </row>
    <row r="5430" spans="1:4" ht="12.75" customHeight="1" x14ac:dyDescent="0.2">
      <c r="A5430" s="11"/>
      <c r="B5430" s="2"/>
      <c r="C5430" s="15"/>
      <c r="D5430" s="2"/>
    </row>
    <row r="5431" spans="1:4" ht="12.75" customHeight="1" x14ac:dyDescent="0.2">
      <c r="B5431" s="11" t="s">
        <v>0</v>
      </c>
      <c r="C5431" s="17" t="s">
        <v>52</v>
      </c>
      <c r="D5431" s="2"/>
    </row>
    <row r="5432" spans="1:4" ht="12.75" customHeight="1" x14ac:dyDescent="0.2">
      <c r="B5432" s="11" t="s">
        <v>2599</v>
      </c>
      <c r="C5432" s="17" t="s">
        <v>747</v>
      </c>
      <c r="D5432" s="2"/>
    </row>
    <row r="5433" spans="1:4" ht="25.5" customHeight="1" x14ac:dyDescent="0.2">
      <c r="B5433" s="11" t="s">
        <v>2600</v>
      </c>
      <c r="C5433" s="17" t="s">
        <v>3435</v>
      </c>
      <c r="D5433" s="2"/>
    </row>
    <row r="5434" spans="1:4" ht="25.5" customHeight="1" x14ac:dyDescent="0.2">
      <c r="B5434" s="11" t="s">
        <v>2601</v>
      </c>
      <c r="C5434" s="17"/>
      <c r="D5434" s="2"/>
    </row>
    <row r="5435" spans="1:4" ht="12.75" customHeight="1" x14ac:dyDescent="0.2">
      <c r="B5435" s="11" t="s">
        <v>16</v>
      </c>
      <c r="C5435" s="17"/>
      <c r="D5435" s="2"/>
    </row>
    <row r="5436" spans="1:4" ht="12.75" customHeight="1" x14ac:dyDescent="0.2">
      <c r="B5436" s="11" t="s">
        <v>13</v>
      </c>
      <c r="C5436" s="17" t="s">
        <v>2644</v>
      </c>
      <c r="D5436" s="2"/>
    </row>
    <row r="5437" spans="1:4" ht="25.5" customHeight="1" x14ac:dyDescent="0.2">
      <c r="B5437" s="11" t="s">
        <v>2603</v>
      </c>
      <c r="C5437" s="17" t="s">
        <v>2971</v>
      </c>
      <c r="D5437" s="2"/>
    </row>
    <row r="5438" spans="1:4" ht="12.75" customHeight="1" x14ac:dyDescent="0.2">
      <c r="B5438" s="11" t="s">
        <v>2605</v>
      </c>
      <c r="C5438" s="17" t="s">
        <v>14</v>
      </c>
      <c r="D5438" s="2"/>
    </row>
    <row r="5439" spans="1:4" ht="12.75" customHeight="1" x14ac:dyDescent="0.2">
      <c r="B5439" s="11" t="s">
        <v>2606</v>
      </c>
      <c r="C5439" s="16" t="s">
        <v>19</v>
      </c>
      <c r="D5439" s="2"/>
    </row>
    <row r="5440" spans="1:4" ht="12.75" customHeight="1" x14ac:dyDescent="0.2">
      <c r="B5440" s="2"/>
      <c r="C5440" s="15"/>
      <c r="D5440" s="2"/>
    </row>
    <row r="5441" spans="1:4" ht="12.75" customHeight="1" x14ac:dyDescent="0.2">
      <c r="B5441" s="2"/>
      <c r="C5441" s="15"/>
      <c r="D5441" s="2"/>
    </row>
    <row r="5442" spans="1:4" ht="12.75" customHeight="1" x14ac:dyDescent="0.2">
      <c r="A5442" s="13" t="s">
        <v>3436</v>
      </c>
      <c r="C5442" s="12"/>
    </row>
    <row r="5443" spans="1:4" ht="12.75" customHeight="1" x14ac:dyDescent="0.2">
      <c r="A5443" s="11"/>
      <c r="B5443" s="2"/>
      <c r="C5443" s="15"/>
      <c r="D5443" s="2"/>
    </row>
    <row r="5444" spans="1:4" ht="12.75" customHeight="1" x14ac:dyDescent="0.2">
      <c r="B5444" s="11" t="s">
        <v>0</v>
      </c>
      <c r="C5444" s="11" t="s">
        <v>52</v>
      </c>
    </row>
    <row r="5445" spans="1:4" ht="12.75" customHeight="1" x14ac:dyDescent="0.2">
      <c r="B5445" s="11" t="s">
        <v>2599</v>
      </c>
      <c r="C5445" s="11" t="s">
        <v>3437</v>
      </c>
    </row>
    <row r="5446" spans="1:4" ht="25.5" customHeight="1" x14ac:dyDescent="0.2">
      <c r="B5446" s="11" t="s">
        <v>2600</v>
      </c>
      <c r="C5446" s="11" t="s">
        <v>3438</v>
      </c>
    </row>
    <row r="5447" spans="1:4" ht="25.5" customHeight="1" x14ac:dyDescent="0.2">
      <c r="B5447" s="11" t="s">
        <v>2601</v>
      </c>
      <c r="C5447" s="11"/>
    </row>
    <row r="5448" spans="1:4" ht="12.75" customHeight="1" x14ac:dyDescent="0.2">
      <c r="B5448" s="11" t="s">
        <v>16</v>
      </c>
      <c r="C5448" s="11"/>
    </row>
    <row r="5449" spans="1:4" ht="12.75" customHeight="1" x14ac:dyDescent="0.2">
      <c r="B5449" s="11" t="s">
        <v>13</v>
      </c>
      <c r="C5449" s="11" t="s">
        <v>2644</v>
      </c>
    </row>
    <row r="5450" spans="1:4" ht="12.75" customHeight="1" x14ac:dyDescent="0.2">
      <c r="B5450" s="11" t="s">
        <v>2603</v>
      </c>
      <c r="C5450" s="11" t="s">
        <v>2604</v>
      </c>
    </row>
    <row r="5451" spans="1:4" ht="12.75" customHeight="1" x14ac:dyDescent="0.2">
      <c r="B5451" s="11" t="s">
        <v>2605</v>
      </c>
      <c r="C5451" s="11" t="s">
        <v>24</v>
      </c>
    </row>
    <row r="5452" spans="1:4" ht="12.75" customHeight="1" x14ac:dyDescent="0.2">
      <c r="B5452" s="11" t="s">
        <v>2606</v>
      </c>
      <c r="C5452" s="16" t="s">
        <v>44</v>
      </c>
      <c r="D5452" s="6" t="str">
        <f>HYPERLINK("javascript:void(0)","hiperzsír")</f>
        <v>hiperzsír</v>
      </c>
    </row>
    <row r="5453" spans="1:4" ht="12.75" customHeight="1" x14ac:dyDescent="0.2">
      <c r="B5453" s="2"/>
      <c r="C5453" s="15"/>
      <c r="D5453" s="2"/>
    </row>
    <row r="5454" spans="1:4" ht="12.75" customHeight="1" x14ac:dyDescent="0.2">
      <c r="B5454" s="2"/>
      <c r="C5454" s="15"/>
      <c r="D5454" s="2"/>
    </row>
    <row r="5455" spans="1:4" ht="12.75" customHeight="1" x14ac:dyDescent="0.2">
      <c r="A5455" s="13" t="s">
        <v>3439</v>
      </c>
      <c r="C5455" s="12"/>
    </row>
    <row r="5456" spans="1:4" ht="12.75" customHeight="1" x14ac:dyDescent="0.2">
      <c r="A5456" s="11"/>
      <c r="B5456" s="2"/>
      <c r="C5456" s="15"/>
      <c r="D5456" s="2"/>
    </row>
    <row r="5457" spans="1:4" ht="12.75" customHeight="1" x14ac:dyDescent="0.2">
      <c r="B5457" s="11" t="s">
        <v>0</v>
      </c>
      <c r="C5457" s="11" t="s">
        <v>52</v>
      </c>
    </row>
    <row r="5458" spans="1:4" ht="12.75" customHeight="1" x14ac:dyDescent="0.2">
      <c r="B5458" s="11" t="s">
        <v>2599</v>
      </c>
      <c r="C5458" s="11" t="s">
        <v>2081</v>
      </c>
    </row>
    <row r="5459" spans="1:4" ht="25.5" customHeight="1" x14ac:dyDescent="0.2">
      <c r="B5459" s="11" t="s">
        <v>2600</v>
      </c>
      <c r="C5459" s="11" t="s">
        <v>3440</v>
      </c>
    </row>
    <row r="5460" spans="1:4" ht="25.5" customHeight="1" x14ac:dyDescent="0.2">
      <c r="B5460" s="11" t="s">
        <v>2601</v>
      </c>
      <c r="C5460" s="11"/>
    </row>
    <row r="5461" spans="1:4" ht="12.75" customHeight="1" x14ac:dyDescent="0.2">
      <c r="B5461" s="11" t="s">
        <v>16</v>
      </c>
      <c r="C5461" s="11"/>
    </row>
    <row r="5462" spans="1:4" ht="12.75" customHeight="1" x14ac:dyDescent="0.2">
      <c r="B5462" s="11" t="s">
        <v>13</v>
      </c>
      <c r="C5462" s="11" t="s">
        <v>2644</v>
      </c>
    </row>
    <row r="5463" spans="1:4" ht="12.75" customHeight="1" x14ac:dyDescent="0.2">
      <c r="B5463" s="11" t="s">
        <v>2603</v>
      </c>
      <c r="C5463" s="11" t="s">
        <v>2604</v>
      </c>
    </row>
    <row r="5464" spans="1:4" ht="12.75" customHeight="1" x14ac:dyDescent="0.2">
      <c r="B5464" s="11" t="s">
        <v>2605</v>
      </c>
      <c r="C5464" s="11" t="s">
        <v>24</v>
      </c>
    </row>
    <row r="5465" spans="1:4" ht="12.75" customHeight="1" x14ac:dyDescent="0.2">
      <c r="B5465" s="11" t="s">
        <v>2606</v>
      </c>
      <c r="C5465" s="16" t="s">
        <v>44</v>
      </c>
      <c r="D5465" s="6" t="str">
        <f>HYPERLINK("javascript:void(0)","hiperzsír")</f>
        <v>hiperzsír</v>
      </c>
    </row>
    <row r="5466" spans="1:4" ht="12.75" customHeight="1" x14ac:dyDescent="0.2">
      <c r="B5466" s="2"/>
      <c r="C5466" s="15"/>
      <c r="D5466" s="2"/>
    </row>
    <row r="5467" spans="1:4" ht="12.75" customHeight="1" x14ac:dyDescent="0.2">
      <c r="B5467" s="2"/>
      <c r="C5467" s="15"/>
      <c r="D5467" s="2"/>
    </row>
    <row r="5468" spans="1:4" ht="12.75" customHeight="1" x14ac:dyDescent="0.2">
      <c r="A5468" s="13" t="s">
        <v>3441</v>
      </c>
      <c r="C5468" s="12"/>
    </row>
    <row r="5469" spans="1:4" ht="12.75" customHeight="1" x14ac:dyDescent="0.2">
      <c r="A5469" s="11"/>
      <c r="B5469" s="2"/>
      <c r="C5469" s="15"/>
      <c r="D5469" s="2"/>
    </row>
    <row r="5470" spans="1:4" ht="12.75" customHeight="1" x14ac:dyDescent="0.2">
      <c r="B5470" s="11" t="s">
        <v>0</v>
      </c>
      <c r="C5470" s="11" t="s">
        <v>52</v>
      </c>
    </row>
    <row r="5471" spans="1:4" ht="12.75" customHeight="1" x14ac:dyDescent="0.2">
      <c r="B5471" s="11" t="s">
        <v>2599</v>
      </c>
      <c r="C5471" s="11" t="s">
        <v>2693</v>
      </c>
    </row>
    <row r="5472" spans="1:4" ht="25.5" customHeight="1" x14ac:dyDescent="0.2">
      <c r="B5472" s="11" t="s">
        <v>2600</v>
      </c>
      <c r="C5472" s="11" t="s">
        <v>3442</v>
      </c>
    </row>
    <row r="5473" spans="1:4" ht="25.5" customHeight="1" x14ac:dyDescent="0.2">
      <c r="B5473" s="11" t="s">
        <v>2601</v>
      </c>
      <c r="C5473" s="11"/>
    </row>
    <row r="5474" spans="1:4" ht="12.75" customHeight="1" x14ac:dyDescent="0.2">
      <c r="B5474" s="11" t="s">
        <v>16</v>
      </c>
      <c r="C5474" s="11"/>
    </row>
    <row r="5475" spans="1:4" ht="12.75" customHeight="1" x14ac:dyDescent="0.2">
      <c r="B5475" s="11" t="s">
        <v>13</v>
      </c>
      <c r="C5475" s="11" t="s">
        <v>2602</v>
      </c>
    </row>
    <row r="5476" spans="1:4" ht="12.75" customHeight="1" x14ac:dyDescent="0.2">
      <c r="B5476" s="11" t="s">
        <v>2603</v>
      </c>
      <c r="C5476" s="11" t="s">
        <v>2604</v>
      </c>
    </row>
    <row r="5477" spans="1:4" ht="12.75" customHeight="1" x14ac:dyDescent="0.2">
      <c r="B5477" s="11" t="s">
        <v>2605</v>
      </c>
      <c r="C5477" s="11" t="s">
        <v>24</v>
      </c>
    </row>
    <row r="5478" spans="1:4" ht="12.75" customHeight="1" x14ac:dyDescent="0.2">
      <c r="B5478" s="11" t="s">
        <v>2606</v>
      </c>
      <c r="C5478" s="16" t="s">
        <v>44</v>
      </c>
      <c r="D5478" s="6" t="str">
        <f>HYPERLINK("javascript:void(0)","kincs")</f>
        <v>kincs</v>
      </c>
    </row>
    <row r="5479" spans="1:4" ht="12.75" customHeight="1" x14ac:dyDescent="0.2">
      <c r="C5479" s="16" t="s">
        <v>44</v>
      </c>
      <c r="D5479" s="6" t="str">
        <f>HYPERLINK("javascript:void(0)","lovagi kard")</f>
        <v>lovagi kard</v>
      </c>
    </row>
    <row r="5480" spans="1:4" ht="12.75" customHeight="1" x14ac:dyDescent="0.2">
      <c r="B5480" s="2"/>
      <c r="C5480" s="15"/>
      <c r="D5480" s="2"/>
    </row>
    <row r="5481" spans="1:4" ht="12.75" customHeight="1" x14ac:dyDescent="0.2">
      <c r="B5481" s="2"/>
      <c r="C5481" s="15"/>
      <c r="D5481" s="2"/>
    </row>
    <row r="5482" spans="1:4" ht="12.75" customHeight="1" x14ac:dyDescent="0.2">
      <c r="A5482" s="13" t="s">
        <v>3443</v>
      </c>
      <c r="C5482" s="12"/>
    </row>
    <row r="5483" spans="1:4" ht="12.75" customHeight="1" x14ac:dyDescent="0.2">
      <c r="A5483" s="11"/>
      <c r="B5483" s="2"/>
      <c r="C5483" s="15"/>
      <c r="D5483" s="2"/>
    </row>
    <row r="5484" spans="1:4" ht="12.75" customHeight="1" x14ac:dyDescent="0.2">
      <c r="B5484" s="11" t="s">
        <v>0</v>
      </c>
      <c r="C5484" s="11" t="s">
        <v>52</v>
      </c>
    </row>
    <row r="5485" spans="1:4" ht="12.75" customHeight="1" x14ac:dyDescent="0.2">
      <c r="B5485" s="11" t="s">
        <v>2599</v>
      </c>
      <c r="C5485" s="11" t="s">
        <v>3444</v>
      </c>
    </row>
    <row r="5486" spans="1:4" ht="25.5" customHeight="1" x14ac:dyDescent="0.2">
      <c r="B5486" s="11" t="s">
        <v>2600</v>
      </c>
      <c r="C5486" s="11" t="s">
        <v>3445</v>
      </c>
    </row>
    <row r="5487" spans="1:4" ht="25.5" customHeight="1" x14ac:dyDescent="0.2">
      <c r="B5487" s="11" t="s">
        <v>2601</v>
      </c>
      <c r="C5487" s="11"/>
    </row>
    <row r="5488" spans="1:4" ht="12.75" customHeight="1" x14ac:dyDescent="0.2">
      <c r="B5488" s="11" t="s">
        <v>16</v>
      </c>
      <c r="C5488" s="11"/>
    </row>
    <row r="5489" spans="1:4" ht="12.75" customHeight="1" x14ac:dyDescent="0.2">
      <c r="B5489" s="11" t="s">
        <v>13</v>
      </c>
      <c r="C5489" s="11" t="s">
        <v>2602</v>
      </c>
    </row>
    <row r="5490" spans="1:4" ht="12.75" customHeight="1" x14ac:dyDescent="0.2">
      <c r="B5490" s="11" t="s">
        <v>2603</v>
      </c>
      <c r="C5490" s="11" t="s">
        <v>2604</v>
      </c>
    </row>
    <row r="5491" spans="1:4" ht="12.75" customHeight="1" x14ac:dyDescent="0.2">
      <c r="B5491" s="11" t="s">
        <v>2605</v>
      </c>
      <c r="C5491" s="11" t="s">
        <v>24</v>
      </c>
    </row>
    <row r="5492" spans="1:4" ht="25.5" customHeight="1" x14ac:dyDescent="0.2">
      <c r="B5492" s="11" t="s">
        <v>2606</v>
      </c>
      <c r="C5492" s="16" t="s">
        <v>44</v>
      </c>
      <c r="D5492" s="6" t="str">
        <f>HYPERLINK("javascript:void(0)","mágusköpeny")</f>
        <v>mágusköpeny</v>
      </c>
    </row>
    <row r="5493" spans="1:4" ht="12.75" customHeight="1" x14ac:dyDescent="0.2">
      <c r="B5493" s="2"/>
      <c r="C5493" s="15"/>
      <c r="D5493" s="2"/>
    </row>
    <row r="5494" spans="1:4" ht="12.75" customHeight="1" x14ac:dyDescent="0.2">
      <c r="B5494" s="2"/>
      <c r="C5494" s="15"/>
      <c r="D5494" s="2"/>
    </row>
    <row r="5495" spans="1:4" ht="12.75" customHeight="1" x14ac:dyDescent="0.2">
      <c r="A5495" s="13" t="s">
        <v>3446</v>
      </c>
      <c r="C5495" s="12"/>
    </row>
    <row r="5496" spans="1:4" ht="12.75" customHeight="1" x14ac:dyDescent="0.2">
      <c r="A5496" s="11"/>
      <c r="B5496" s="2"/>
      <c r="C5496" s="15"/>
      <c r="D5496" s="2"/>
    </row>
    <row r="5497" spans="1:4" ht="12.75" customHeight="1" x14ac:dyDescent="0.2">
      <c r="B5497" s="11" t="s">
        <v>0</v>
      </c>
      <c r="C5497" s="11" t="s">
        <v>52</v>
      </c>
    </row>
    <row r="5498" spans="1:4" ht="12.75" customHeight="1" x14ac:dyDescent="0.2">
      <c r="B5498" s="11" t="s">
        <v>2599</v>
      </c>
      <c r="C5498" s="11" t="s">
        <v>3340</v>
      </c>
    </row>
    <row r="5499" spans="1:4" ht="25.5" customHeight="1" x14ac:dyDescent="0.2">
      <c r="B5499" s="11" t="s">
        <v>2600</v>
      </c>
      <c r="C5499" s="11" t="s">
        <v>3447</v>
      </c>
    </row>
    <row r="5500" spans="1:4" ht="25.5" customHeight="1" x14ac:dyDescent="0.2">
      <c r="B5500" s="11" t="s">
        <v>2601</v>
      </c>
      <c r="C5500" s="11"/>
    </row>
    <row r="5501" spans="1:4" ht="12.75" customHeight="1" x14ac:dyDescent="0.2">
      <c r="B5501" s="11" t="s">
        <v>16</v>
      </c>
      <c r="C5501" s="11"/>
    </row>
    <row r="5502" spans="1:4" ht="12.75" customHeight="1" x14ac:dyDescent="0.2">
      <c r="B5502" s="11" t="s">
        <v>13</v>
      </c>
      <c r="C5502" s="11" t="s">
        <v>2644</v>
      </c>
    </row>
    <row r="5503" spans="1:4" ht="12.75" customHeight="1" x14ac:dyDescent="0.2">
      <c r="B5503" s="11" t="s">
        <v>2603</v>
      </c>
      <c r="C5503" s="11" t="s">
        <v>2604</v>
      </c>
    </row>
    <row r="5504" spans="1:4" ht="12.75" customHeight="1" x14ac:dyDescent="0.2">
      <c r="B5504" s="11" t="s">
        <v>2605</v>
      </c>
      <c r="C5504" s="11" t="s">
        <v>24</v>
      </c>
    </row>
    <row r="5505" spans="1:4" ht="12.75" customHeight="1" x14ac:dyDescent="0.2">
      <c r="B5505" s="11" t="s">
        <v>2606</v>
      </c>
      <c r="C5505" s="16" t="s">
        <v>57</v>
      </c>
      <c r="D5505" s="6" t="str">
        <f>HYPERLINK("javascript:void(0)","kincs")</f>
        <v>kincs</v>
      </c>
    </row>
    <row r="5506" spans="1:4" ht="12.75" customHeight="1" x14ac:dyDescent="0.2">
      <c r="C5506" s="16" t="s">
        <v>44</v>
      </c>
      <c r="D5506" s="6" t="str">
        <f>HYPERLINK("javascript:void(0)","koponya")</f>
        <v>koponya</v>
      </c>
    </row>
    <row r="5507" spans="1:4" ht="12.75" customHeight="1" x14ac:dyDescent="0.2">
      <c r="B5507" s="2"/>
      <c r="C5507" s="15"/>
      <c r="D5507" s="2"/>
    </row>
    <row r="5508" spans="1:4" ht="12.75" customHeight="1" x14ac:dyDescent="0.2">
      <c r="B5508" s="2"/>
      <c r="C5508" s="15"/>
      <c r="D5508" s="2"/>
    </row>
    <row r="5509" spans="1:4" ht="12.75" customHeight="1" x14ac:dyDescent="0.2">
      <c r="A5509" s="13" t="s">
        <v>3448</v>
      </c>
      <c r="C5509" s="12"/>
    </row>
    <row r="5510" spans="1:4" ht="12.75" customHeight="1" x14ac:dyDescent="0.2">
      <c r="A5510" s="11"/>
      <c r="B5510" s="2"/>
      <c r="C5510" s="15"/>
      <c r="D5510" s="2"/>
    </row>
    <row r="5511" spans="1:4" ht="12.75" customHeight="1" x14ac:dyDescent="0.2">
      <c r="B5511" s="11" t="s">
        <v>0</v>
      </c>
      <c r="C5511" s="11" t="s">
        <v>52</v>
      </c>
    </row>
    <row r="5512" spans="1:4" ht="12.75" customHeight="1" x14ac:dyDescent="0.2">
      <c r="B5512" s="11" t="s">
        <v>2599</v>
      </c>
      <c r="C5512" s="11" t="s">
        <v>3449</v>
      </c>
    </row>
    <row r="5513" spans="1:4" ht="25.5" customHeight="1" x14ac:dyDescent="0.2">
      <c r="B5513" s="11" t="s">
        <v>2600</v>
      </c>
      <c r="C5513" s="11" t="s">
        <v>3450</v>
      </c>
    </row>
    <row r="5514" spans="1:4" ht="25.5" customHeight="1" x14ac:dyDescent="0.2">
      <c r="B5514" s="11" t="s">
        <v>2601</v>
      </c>
      <c r="C5514" s="11"/>
    </row>
    <row r="5515" spans="1:4" ht="12.75" customHeight="1" x14ac:dyDescent="0.2">
      <c r="B5515" s="11" t="s">
        <v>16</v>
      </c>
      <c r="C5515" s="11"/>
    </row>
    <row r="5516" spans="1:4" ht="12.75" customHeight="1" x14ac:dyDescent="0.2">
      <c r="B5516" s="11" t="s">
        <v>13</v>
      </c>
      <c r="C5516" s="11" t="s">
        <v>2602</v>
      </c>
    </row>
    <row r="5517" spans="1:4" ht="12.75" customHeight="1" x14ac:dyDescent="0.2">
      <c r="B5517" s="11" t="s">
        <v>2603</v>
      </c>
      <c r="C5517" s="11" t="s">
        <v>2604</v>
      </c>
    </row>
    <row r="5518" spans="1:4" ht="12.75" customHeight="1" x14ac:dyDescent="0.2">
      <c r="B5518" s="11" t="s">
        <v>2605</v>
      </c>
      <c r="C5518" s="11" t="s">
        <v>24</v>
      </c>
    </row>
    <row r="5519" spans="1:4" ht="12.75" customHeight="1" x14ac:dyDescent="0.2">
      <c r="B5519" s="11" t="s">
        <v>2606</v>
      </c>
      <c r="C5519" s="16" t="s">
        <v>56</v>
      </c>
      <c r="D5519" s="6" t="str">
        <f>HYPERLINK("javascript:void(0)","kincs")</f>
        <v>kincs</v>
      </c>
    </row>
    <row r="5520" spans="1:4" ht="12.75" customHeight="1" x14ac:dyDescent="0.2">
      <c r="C5520" s="16" t="s">
        <v>44</v>
      </c>
      <c r="D5520" s="6" t="str">
        <f>HYPERLINK("javascript:void(0)","lovagi kard")</f>
        <v>lovagi kard</v>
      </c>
    </row>
    <row r="5521" spans="1:4" ht="12.75" customHeight="1" x14ac:dyDescent="0.2">
      <c r="B5521" s="2"/>
      <c r="C5521" s="15"/>
      <c r="D5521" s="2"/>
    </row>
    <row r="5522" spans="1:4" ht="12.75" customHeight="1" x14ac:dyDescent="0.2">
      <c r="B5522" s="2"/>
      <c r="C5522" s="15"/>
      <c r="D5522" s="2"/>
    </row>
    <row r="5523" spans="1:4" ht="12.75" customHeight="1" x14ac:dyDescent="0.2">
      <c r="A5523" s="13" t="s">
        <v>3451</v>
      </c>
      <c r="C5523" s="12"/>
    </row>
    <row r="5524" spans="1:4" ht="12.75" customHeight="1" x14ac:dyDescent="0.2">
      <c r="A5524" s="11"/>
      <c r="B5524" s="2"/>
      <c r="C5524" s="15"/>
      <c r="D5524" s="2"/>
    </row>
    <row r="5525" spans="1:4" ht="12.75" customHeight="1" x14ac:dyDescent="0.2">
      <c r="B5525" s="11" t="s">
        <v>0</v>
      </c>
      <c r="C5525" s="11" t="s">
        <v>52</v>
      </c>
    </row>
    <row r="5526" spans="1:4" ht="12.75" customHeight="1" x14ac:dyDescent="0.2">
      <c r="B5526" s="11" t="s">
        <v>2599</v>
      </c>
      <c r="C5526" s="11" t="s">
        <v>3452</v>
      </c>
    </row>
    <row r="5527" spans="1:4" ht="25.5" customHeight="1" x14ac:dyDescent="0.2">
      <c r="B5527" s="11" t="s">
        <v>2600</v>
      </c>
      <c r="C5527" s="11" t="s">
        <v>3453</v>
      </c>
    </row>
    <row r="5528" spans="1:4" ht="25.5" customHeight="1" x14ac:dyDescent="0.2">
      <c r="B5528" s="11" t="s">
        <v>2601</v>
      </c>
      <c r="C5528" s="11"/>
    </row>
    <row r="5529" spans="1:4" ht="12.75" customHeight="1" x14ac:dyDescent="0.2">
      <c r="B5529" s="11" t="s">
        <v>16</v>
      </c>
      <c r="C5529" s="11"/>
    </row>
    <row r="5530" spans="1:4" ht="12.75" customHeight="1" x14ac:dyDescent="0.2">
      <c r="B5530" s="11" t="s">
        <v>13</v>
      </c>
      <c r="C5530" s="11" t="s">
        <v>2602</v>
      </c>
    </row>
    <row r="5531" spans="1:4" ht="12.75" customHeight="1" x14ac:dyDescent="0.2">
      <c r="B5531" s="11" t="s">
        <v>2603</v>
      </c>
      <c r="C5531" s="11" t="s">
        <v>2604</v>
      </c>
    </row>
    <row r="5532" spans="1:4" ht="12.75" customHeight="1" x14ac:dyDescent="0.2">
      <c r="B5532" s="11" t="s">
        <v>2605</v>
      </c>
      <c r="C5532" s="11" t="s">
        <v>24</v>
      </c>
    </row>
    <row r="5533" spans="1:4" ht="12.75" customHeight="1" x14ac:dyDescent="0.2">
      <c r="B5533" s="11" t="s">
        <v>2606</v>
      </c>
      <c r="C5533" s="16" t="s">
        <v>55</v>
      </c>
      <c r="D5533" s="6" t="str">
        <f>HYPERLINK("javascript:void(0)","kincs")</f>
        <v>kincs</v>
      </c>
    </row>
    <row r="5534" spans="1:4" ht="12.75" customHeight="1" x14ac:dyDescent="0.2">
      <c r="B5534" s="2"/>
      <c r="C5534" s="15"/>
      <c r="D5534" s="2"/>
    </row>
    <row r="5535" spans="1:4" ht="12.75" customHeight="1" x14ac:dyDescent="0.2">
      <c r="B5535" s="2"/>
      <c r="C5535" s="15"/>
      <c r="D5535" s="2"/>
    </row>
    <row r="5536" spans="1:4" ht="12.75" customHeight="1" x14ac:dyDescent="0.2">
      <c r="A5536" s="13" t="s">
        <v>3454</v>
      </c>
      <c r="C5536" s="12"/>
    </row>
    <row r="5537" spans="1:4" ht="12.75" customHeight="1" x14ac:dyDescent="0.2">
      <c r="A5537" s="11"/>
      <c r="B5537" s="2"/>
      <c r="C5537" s="15"/>
      <c r="D5537" s="2"/>
    </row>
    <row r="5538" spans="1:4" ht="12.75" customHeight="1" x14ac:dyDescent="0.2">
      <c r="B5538" s="11" t="s">
        <v>0</v>
      </c>
      <c r="C5538" s="11" t="s">
        <v>52</v>
      </c>
    </row>
    <row r="5539" spans="1:4" ht="12.75" customHeight="1" x14ac:dyDescent="0.2">
      <c r="B5539" s="11" t="s">
        <v>2599</v>
      </c>
      <c r="C5539" s="11" t="s">
        <v>166</v>
      </c>
    </row>
    <row r="5540" spans="1:4" ht="25.5" customHeight="1" x14ac:dyDescent="0.2">
      <c r="B5540" s="11" t="s">
        <v>2600</v>
      </c>
      <c r="C5540" s="11" t="s">
        <v>3455</v>
      </c>
    </row>
    <row r="5541" spans="1:4" ht="25.5" customHeight="1" x14ac:dyDescent="0.2">
      <c r="B5541" s="11" t="s">
        <v>2601</v>
      </c>
      <c r="C5541" s="11"/>
    </row>
    <row r="5542" spans="1:4" ht="12.75" customHeight="1" x14ac:dyDescent="0.2">
      <c r="B5542" s="11" t="s">
        <v>16</v>
      </c>
      <c r="C5542" s="11"/>
    </row>
    <row r="5543" spans="1:4" ht="12.75" customHeight="1" x14ac:dyDescent="0.2">
      <c r="B5543" s="11" t="s">
        <v>13</v>
      </c>
      <c r="C5543" s="11" t="s">
        <v>2644</v>
      </c>
    </row>
    <row r="5544" spans="1:4" ht="12.75" customHeight="1" x14ac:dyDescent="0.2">
      <c r="B5544" s="11" t="s">
        <v>2603</v>
      </c>
      <c r="C5544" s="11" t="s">
        <v>2604</v>
      </c>
    </row>
    <row r="5545" spans="1:4" ht="12.75" customHeight="1" x14ac:dyDescent="0.2">
      <c r="B5545" s="11" t="s">
        <v>2605</v>
      </c>
      <c r="C5545" s="11" t="s">
        <v>24</v>
      </c>
    </row>
    <row r="5546" spans="1:4" ht="12.75" customHeight="1" x14ac:dyDescent="0.2">
      <c r="B5546" s="11" t="s">
        <v>2606</v>
      </c>
      <c r="C5546" s="16" t="s">
        <v>44</v>
      </c>
      <c r="D5546" s="6" t="str">
        <f>HYPERLINK("javascript:void(0)","spiritusz")</f>
        <v>spiritusz</v>
      </c>
    </row>
    <row r="5547" spans="1:4" ht="12.75" customHeight="1" x14ac:dyDescent="0.2">
      <c r="B5547" s="2"/>
      <c r="C5547" s="15"/>
      <c r="D5547" s="2"/>
    </row>
    <row r="5548" spans="1:4" ht="12.75" customHeight="1" x14ac:dyDescent="0.2">
      <c r="B5548" s="2"/>
      <c r="C5548" s="15"/>
      <c r="D5548" s="2"/>
    </row>
    <row r="5549" spans="1:4" ht="12.75" customHeight="1" x14ac:dyDescent="0.2">
      <c r="A5549" s="13" t="s">
        <v>3164</v>
      </c>
      <c r="C5549" s="12"/>
      <c r="D5549" s="2"/>
    </row>
    <row r="5550" spans="1:4" ht="12.75" customHeight="1" x14ac:dyDescent="0.2">
      <c r="A5550" s="11"/>
      <c r="B5550" s="2"/>
      <c r="C5550" s="15"/>
      <c r="D5550" s="2"/>
    </row>
    <row r="5551" spans="1:4" ht="12.75" customHeight="1" x14ac:dyDescent="0.2">
      <c r="B5551" s="11" t="s">
        <v>0</v>
      </c>
      <c r="C5551" s="17" t="s">
        <v>385</v>
      </c>
      <c r="D5551" s="2"/>
    </row>
    <row r="5552" spans="1:4" ht="12.75" customHeight="1" x14ac:dyDescent="0.2">
      <c r="B5552" s="11" t="s">
        <v>2599</v>
      </c>
      <c r="C5552" s="17" t="s">
        <v>3165</v>
      </c>
      <c r="D5552" s="2"/>
    </row>
    <row r="5553" spans="1:4" ht="25.5" customHeight="1" x14ac:dyDescent="0.2">
      <c r="B5553" s="11" t="s">
        <v>2600</v>
      </c>
      <c r="C5553" s="17" t="s">
        <v>3341</v>
      </c>
      <c r="D5553" s="2"/>
    </row>
    <row r="5554" spans="1:4" ht="25.5" customHeight="1" x14ac:dyDescent="0.2">
      <c r="B5554" s="11" t="s">
        <v>2601</v>
      </c>
      <c r="C5554" s="17"/>
      <c r="D5554" s="2"/>
    </row>
    <row r="5555" spans="1:4" ht="12.75" customHeight="1" x14ac:dyDescent="0.2">
      <c r="B5555" s="11" t="s">
        <v>16</v>
      </c>
      <c r="C5555" s="17"/>
      <c r="D5555" s="2"/>
    </row>
    <row r="5556" spans="1:4" ht="12.75" customHeight="1" x14ac:dyDescent="0.2">
      <c r="B5556" s="11" t="s">
        <v>13</v>
      </c>
      <c r="C5556" s="17" t="s">
        <v>2644</v>
      </c>
      <c r="D5556" s="2"/>
    </row>
    <row r="5557" spans="1:4" ht="12.75" customHeight="1" x14ac:dyDescent="0.2">
      <c r="B5557" s="11" t="s">
        <v>2603</v>
      </c>
      <c r="C5557" s="17" t="s">
        <v>128</v>
      </c>
      <c r="D5557" s="2"/>
    </row>
    <row r="5558" spans="1:4" ht="12.75" customHeight="1" x14ac:dyDescent="0.2">
      <c r="B5558" s="11" t="s">
        <v>2605</v>
      </c>
      <c r="C5558" s="17" t="s">
        <v>14</v>
      </c>
      <c r="D5558" s="2"/>
    </row>
    <row r="5559" spans="1:4" ht="12.75" customHeight="1" x14ac:dyDescent="0.2">
      <c r="B5559" s="11" t="s">
        <v>2606</v>
      </c>
      <c r="C5559" s="16" t="s">
        <v>19</v>
      </c>
      <c r="D5559" s="2"/>
    </row>
    <row r="5560" spans="1:4" ht="12.75" customHeight="1" x14ac:dyDescent="0.2">
      <c r="B5560" s="2"/>
      <c r="C5560" s="15"/>
      <c r="D5560" s="2"/>
    </row>
    <row r="5561" spans="1:4" ht="12.75" customHeight="1" x14ac:dyDescent="0.2">
      <c r="B5561" s="2"/>
      <c r="C5561" s="15"/>
      <c r="D5561" s="2"/>
    </row>
    <row r="5562" spans="1:4" ht="12.75" customHeight="1" x14ac:dyDescent="0.2">
      <c r="A5562" s="13" t="s">
        <v>3395</v>
      </c>
      <c r="C5562" s="12"/>
      <c r="D5562" s="2"/>
    </row>
    <row r="5563" spans="1:4" ht="12.75" customHeight="1" x14ac:dyDescent="0.2">
      <c r="A5563" s="11"/>
      <c r="B5563" s="2"/>
      <c r="C5563" s="15"/>
      <c r="D5563" s="2"/>
    </row>
    <row r="5564" spans="1:4" ht="12.75" customHeight="1" x14ac:dyDescent="0.2">
      <c r="B5564" s="11" t="s">
        <v>0</v>
      </c>
      <c r="C5564" s="17" t="s">
        <v>385</v>
      </c>
      <c r="D5564" s="2"/>
    </row>
    <row r="5565" spans="1:4" ht="12.75" customHeight="1" x14ac:dyDescent="0.2">
      <c r="B5565" s="11" t="s">
        <v>2599</v>
      </c>
      <c r="C5565" s="17" t="s">
        <v>747</v>
      </c>
      <c r="D5565" s="2"/>
    </row>
    <row r="5566" spans="1:4" ht="25.5" customHeight="1" x14ac:dyDescent="0.2">
      <c r="B5566" s="11" t="s">
        <v>2600</v>
      </c>
      <c r="C5566" s="17" t="s">
        <v>3456</v>
      </c>
      <c r="D5566" s="2"/>
    </row>
    <row r="5567" spans="1:4" ht="25.5" customHeight="1" x14ac:dyDescent="0.2">
      <c r="B5567" s="11" t="s">
        <v>2601</v>
      </c>
      <c r="C5567" s="17"/>
      <c r="D5567" s="2"/>
    </row>
    <row r="5568" spans="1:4" ht="12.75" customHeight="1" x14ac:dyDescent="0.2">
      <c r="B5568" s="11" t="s">
        <v>16</v>
      </c>
      <c r="C5568" s="17"/>
      <c r="D5568" s="2"/>
    </row>
    <row r="5569" spans="1:4" ht="12.75" customHeight="1" x14ac:dyDescent="0.2">
      <c r="B5569" s="11" t="s">
        <v>13</v>
      </c>
      <c r="C5569" s="17" t="s">
        <v>2644</v>
      </c>
      <c r="D5569" s="2"/>
    </row>
    <row r="5570" spans="1:4" ht="25.5" customHeight="1" x14ac:dyDescent="0.2">
      <c r="B5570" s="11" t="s">
        <v>2603</v>
      </c>
      <c r="C5570" s="17" t="s">
        <v>2971</v>
      </c>
      <c r="D5570" s="2"/>
    </row>
    <row r="5571" spans="1:4" ht="12.75" customHeight="1" x14ac:dyDescent="0.2">
      <c r="B5571" s="11" t="s">
        <v>2605</v>
      </c>
      <c r="C5571" s="17" t="s">
        <v>14</v>
      </c>
      <c r="D5571" s="2"/>
    </row>
    <row r="5572" spans="1:4" ht="12.75" customHeight="1" x14ac:dyDescent="0.2">
      <c r="B5572" s="11" t="s">
        <v>2606</v>
      </c>
      <c r="C5572" s="16" t="s">
        <v>19</v>
      </c>
      <c r="D5572" s="2"/>
    </row>
    <row r="5573" spans="1:4" ht="12.75" customHeight="1" x14ac:dyDescent="0.2">
      <c r="B5573" s="2"/>
      <c r="C5573" s="15"/>
      <c r="D5573" s="2"/>
    </row>
    <row r="5574" spans="1:4" ht="12.75" customHeight="1" x14ac:dyDescent="0.2">
      <c r="B5574" s="2"/>
      <c r="C5574" s="15"/>
      <c r="D5574" s="2"/>
    </row>
    <row r="5575" spans="1:4" ht="12.75" customHeight="1" x14ac:dyDescent="0.2">
      <c r="A5575" s="13" t="s">
        <v>3343</v>
      </c>
      <c r="C5575" s="12"/>
      <c r="D5575" s="2"/>
    </row>
    <row r="5576" spans="1:4" ht="12.75" customHeight="1" x14ac:dyDescent="0.2">
      <c r="A5576" s="11"/>
      <c r="B5576" s="2"/>
      <c r="C5576" s="15"/>
      <c r="D5576" s="2"/>
    </row>
    <row r="5577" spans="1:4" ht="12.75" customHeight="1" x14ac:dyDescent="0.2">
      <c r="B5577" s="11" t="s">
        <v>0</v>
      </c>
      <c r="C5577" s="17" t="s">
        <v>385</v>
      </c>
      <c r="D5577" s="2"/>
    </row>
    <row r="5578" spans="1:4" ht="12.75" customHeight="1" x14ac:dyDescent="0.2">
      <c r="B5578" s="11" t="s">
        <v>2599</v>
      </c>
      <c r="C5578" s="17" t="s">
        <v>3344</v>
      </c>
      <c r="D5578" s="2"/>
    </row>
    <row r="5579" spans="1:4" ht="25.5" customHeight="1" x14ac:dyDescent="0.2">
      <c r="B5579" s="11" t="s">
        <v>2600</v>
      </c>
      <c r="C5579" s="17" t="s">
        <v>3457</v>
      </c>
      <c r="D5579" s="2"/>
    </row>
    <row r="5580" spans="1:4" ht="25.5" customHeight="1" x14ac:dyDescent="0.2">
      <c r="B5580" s="11" t="s">
        <v>2601</v>
      </c>
      <c r="C5580" s="17"/>
      <c r="D5580" s="2"/>
    </row>
    <row r="5581" spans="1:4" ht="12.75" customHeight="1" x14ac:dyDescent="0.2">
      <c r="B5581" s="11" t="s">
        <v>16</v>
      </c>
      <c r="C5581" s="17"/>
      <c r="D5581" s="2"/>
    </row>
    <row r="5582" spans="1:4" ht="12.75" customHeight="1" x14ac:dyDescent="0.2">
      <c r="B5582" s="11" t="s">
        <v>13</v>
      </c>
      <c r="C5582" s="17" t="s">
        <v>2602</v>
      </c>
      <c r="D5582" s="2"/>
    </row>
    <row r="5583" spans="1:4" ht="25.5" customHeight="1" x14ac:dyDescent="0.2">
      <c r="B5583" s="11" t="s">
        <v>2603</v>
      </c>
      <c r="C5583" s="17" t="s">
        <v>2971</v>
      </c>
      <c r="D5583" s="2"/>
    </row>
    <row r="5584" spans="1:4" ht="12.75" customHeight="1" x14ac:dyDescent="0.2">
      <c r="B5584" s="11" t="s">
        <v>2605</v>
      </c>
      <c r="C5584" s="17" t="s">
        <v>14</v>
      </c>
      <c r="D5584" s="2"/>
    </row>
    <row r="5585" spans="1:4" ht="12.75" customHeight="1" x14ac:dyDescent="0.2">
      <c r="B5585" s="11" t="s">
        <v>2606</v>
      </c>
      <c r="C5585" s="16" t="s">
        <v>19</v>
      </c>
      <c r="D5585" s="2"/>
    </row>
    <row r="5586" spans="1:4" ht="12.75" customHeight="1" x14ac:dyDescent="0.2">
      <c r="B5586" s="2"/>
      <c r="C5586" s="15"/>
      <c r="D5586" s="2"/>
    </row>
    <row r="5587" spans="1:4" ht="12.75" customHeight="1" x14ac:dyDescent="0.2">
      <c r="B5587" s="2"/>
      <c r="C5587" s="15"/>
      <c r="D5587" s="2"/>
    </row>
    <row r="5588" spans="1:4" ht="12.75" customHeight="1" x14ac:dyDescent="0.2">
      <c r="A5588" s="13" t="s">
        <v>3398</v>
      </c>
      <c r="C5588" s="12"/>
      <c r="D5588" s="2"/>
    </row>
    <row r="5589" spans="1:4" ht="12.75" customHeight="1" x14ac:dyDescent="0.2">
      <c r="A5589" s="11"/>
      <c r="B5589" s="2"/>
      <c r="C5589" s="15"/>
      <c r="D5589" s="2"/>
    </row>
    <row r="5590" spans="1:4" ht="12.75" customHeight="1" x14ac:dyDescent="0.2">
      <c r="B5590" s="11" t="s">
        <v>0</v>
      </c>
      <c r="C5590" s="17" t="s">
        <v>385</v>
      </c>
      <c r="D5590" s="2"/>
    </row>
    <row r="5591" spans="1:4" ht="12.75" customHeight="1" x14ac:dyDescent="0.2">
      <c r="B5591" s="11" t="s">
        <v>2599</v>
      </c>
      <c r="C5591" s="17" t="s">
        <v>3399</v>
      </c>
      <c r="D5591" s="2"/>
    </row>
    <row r="5592" spans="1:4" ht="25.5" customHeight="1" x14ac:dyDescent="0.2">
      <c r="B5592" s="11" t="s">
        <v>2600</v>
      </c>
      <c r="C5592" s="17" t="s">
        <v>3458</v>
      </c>
      <c r="D5592" s="2"/>
    </row>
    <row r="5593" spans="1:4" ht="25.5" customHeight="1" x14ac:dyDescent="0.2">
      <c r="B5593" s="11" t="s">
        <v>2601</v>
      </c>
      <c r="C5593" s="17"/>
      <c r="D5593" s="2"/>
    </row>
    <row r="5594" spans="1:4" ht="12.75" customHeight="1" x14ac:dyDescent="0.2">
      <c r="B5594" s="11" t="s">
        <v>16</v>
      </c>
      <c r="C5594" s="17"/>
      <c r="D5594" s="2"/>
    </row>
    <row r="5595" spans="1:4" ht="12.75" customHeight="1" x14ac:dyDescent="0.2">
      <c r="B5595" s="11" t="s">
        <v>13</v>
      </c>
      <c r="C5595" s="17" t="s">
        <v>2644</v>
      </c>
      <c r="D5595" s="2"/>
    </row>
    <row r="5596" spans="1:4" ht="25.5" customHeight="1" x14ac:dyDescent="0.2">
      <c r="B5596" s="11" t="s">
        <v>2603</v>
      </c>
      <c r="C5596" s="17" t="s">
        <v>2971</v>
      </c>
      <c r="D5596" s="2"/>
    </row>
    <row r="5597" spans="1:4" ht="12.75" customHeight="1" x14ac:dyDescent="0.2">
      <c r="B5597" s="11" t="s">
        <v>2605</v>
      </c>
      <c r="C5597" s="17" t="s">
        <v>14</v>
      </c>
      <c r="D5597" s="2"/>
    </row>
    <row r="5598" spans="1:4" ht="12.75" customHeight="1" x14ac:dyDescent="0.2">
      <c r="B5598" s="11" t="s">
        <v>2606</v>
      </c>
      <c r="C5598" s="16" t="s">
        <v>19</v>
      </c>
      <c r="D5598" s="2"/>
    </row>
    <row r="5599" spans="1:4" ht="12.75" customHeight="1" x14ac:dyDescent="0.2">
      <c r="B5599" s="2"/>
      <c r="C5599" s="15"/>
      <c r="D5599" s="2"/>
    </row>
    <row r="5600" spans="1:4" ht="12.75" customHeight="1" x14ac:dyDescent="0.2">
      <c r="B5600" s="2"/>
      <c r="C5600" s="15"/>
      <c r="D5600" s="2"/>
    </row>
    <row r="5601" spans="1:4" ht="12.75" customHeight="1" x14ac:dyDescent="0.2">
      <c r="A5601" s="13" t="s">
        <v>3459</v>
      </c>
      <c r="C5601" s="12"/>
      <c r="D5601" s="2"/>
    </row>
    <row r="5602" spans="1:4" ht="12.75" customHeight="1" x14ac:dyDescent="0.2">
      <c r="A5602" s="11"/>
      <c r="B5602" s="2"/>
      <c r="C5602" s="15"/>
      <c r="D5602" s="2"/>
    </row>
    <row r="5603" spans="1:4" ht="12.75" customHeight="1" x14ac:dyDescent="0.2">
      <c r="B5603" s="11" t="s">
        <v>0</v>
      </c>
      <c r="C5603" s="17" t="s">
        <v>385</v>
      </c>
      <c r="D5603" s="2"/>
    </row>
    <row r="5604" spans="1:4" ht="12.75" customHeight="1" x14ac:dyDescent="0.2">
      <c r="B5604" s="11" t="s">
        <v>2599</v>
      </c>
      <c r="C5604" s="17" t="s">
        <v>3460</v>
      </c>
      <c r="D5604" s="2"/>
    </row>
    <row r="5605" spans="1:4" ht="25.5" customHeight="1" x14ac:dyDescent="0.2">
      <c r="B5605" s="11" t="s">
        <v>2600</v>
      </c>
      <c r="C5605" s="17" t="s">
        <v>3461</v>
      </c>
      <c r="D5605" s="2"/>
    </row>
    <row r="5606" spans="1:4" ht="25.5" customHeight="1" x14ac:dyDescent="0.2">
      <c r="B5606" s="11" t="s">
        <v>2601</v>
      </c>
      <c r="C5606" s="17"/>
      <c r="D5606" s="2"/>
    </row>
    <row r="5607" spans="1:4" ht="12.75" customHeight="1" x14ac:dyDescent="0.2">
      <c r="B5607" s="11" t="s">
        <v>16</v>
      </c>
      <c r="C5607" s="17"/>
      <c r="D5607" s="2"/>
    </row>
    <row r="5608" spans="1:4" ht="12.75" customHeight="1" x14ac:dyDescent="0.2">
      <c r="B5608" s="11" t="s">
        <v>13</v>
      </c>
      <c r="C5608" s="17" t="s">
        <v>2602</v>
      </c>
      <c r="D5608" s="2"/>
    </row>
    <row r="5609" spans="1:4" ht="25.5" customHeight="1" x14ac:dyDescent="0.2">
      <c r="B5609" s="11" t="s">
        <v>2603</v>
      </c>
      <c r="C5609" s="17" t="s">
        <v>2971</v>
      </c>
      <c r="D5609" s="2"/>
    </row>
    <row r="5610" spans="1:4" ht="12.75" customHeight="1" x14ac:dyDescent="0.2">
      <c r="B5610" s="11" t="s">
        <v>2605</v>
      </c>
      <c r="C5610" s="17" t="s">
        <v>14</v>
      </c>
      <c r="D5610" s="2"/>
    </row>
    <row r="5611" spans="1:4" ht="12.75" customHeight="1" x14ac:dyDescent="0.2">
      <c r="B5611" s="11" t="s">
        <v>2606</v>
      </c>
      <c r="C5611" s="16" t="s">
        <v>19</v>
      </c>
      <c r="D5611" s="2"/>
    </row>
    <row r="5612" spans="1:4" ht="12.75" customHeight="1" x14ac:dyDescent="0.2">
      <c r="B5612" s="2"/>
      <c r="C5612" s="15"/>
      <c r="D5612" s="2"/>
    </row>
    <row r="5613" spans="1:4" ht="12.75" customHeight="1" x14ac:dyDescent="0.2">
      <c r="B5613" s="2"/>
      <c r="C5613" s="15"/>
      <c r="D5613" s="2"/>
    </row>
    <row r="5614" spans="1:4" ht="12.75" customHeight="1" x14ac:dyDescent="0.2">
      <c r="A5614" s="13" t="s">
        <v>3402</v>
      </c>
      <c r="C5614" s="12"/>
      <c r="D5614" s="2"/>
    </row>
    <row r="5615" spans="1:4" ht="12.75" customHeight="1" x14ac:dyDescent="0.2">
      <c r="A5615" s="11"/>
      <c r="B5615" s="2"/>
      <c r="C5615" s="15"/>
      <c r="D5615" s="2"/>
    </row>
    <row r="5616" spans="1:4" ht="12.75" customHeight="1" x14ac:dyDescent="0.2">
      <c r="B5616" s="11" t="s">
        <v>0</v>
      </c>
      <c r="C5616" s="17" t="s">
        <v>385</v>
      </c>
      <c r="D5616" s="2"/>
    </row>
    <row r="5617" spans="1:4" ht="12.75" customHeight="1" x14ac:dyDescent="0.2">
      <c r="B5617" s="11" t="s">
        <v>2599</v>
      </c>
      <c r="C5617" s="17" t="s">
        <v>3403</v>
      </c>
      <c r="D5617" s="2"/>
    </row>
    <row r="5618" spans="1:4" ht="25.5" customHeight="1" x14ac:dyDescent="0.2">
      <c r="B5618" s="11" t="s">
        <v>2600</v>
      </c>
      <c r="C5618" s="17" t="s">
        <v>3462</v>
      </c>
      <c r="D5618" s="2"/>
    </row>
    <row r="5619" spans="1:4" ht="25.5" customHeight="1" x14ac:dyDescent="0.2">
      <c r="B5619" s="11" t="s">
        <v>2601</v>
      </c>
      <c r="C5619" s="17"/>
      <c r="D5619" s="2"/>
    </row>
    <row r="5620" spans="1:4" ht="12.75" customHeight="1" x14ac:dyDescent="0.2">
      <c r="B5620" s="11" t="s">
        <v>16</v>
      </c>
      <c r="C5620" s="17"/>
      <c r="D5620" s="2"/>
    </row>
    <row r="5621" spans="1:4" ht="12.75" customHeight="1" x14ac:dyDescent="0.2">
      <c r="B5621" s="11" t="s">
        <v>13</v>
      </c>
      <c r="C5621" s="17" t="s">
        <v>2602</v>
      </c>
      <c r="D5621" s="2"/>
    </row>
    <row r="5622" spans="1:4" ht="25.5" customHeight="1" x14ac:dyDescent="0.2">
      <c r="B5622" s="11" t="s">
        <v>2603</v>
      </c>
      <c r="C5622" s="17" t="s">
        <v>2971</v>
      </c>
      <c r="D5622" s="2"/>
    </row>
    <row r="5623" spans="1:4" ht="12.75" customHeight="1" x14ac:dyDescent="0.2">
      <c r="B5623" s="11" t="s">
        <v>2605</v>
      </c>
      <c r="C5623" s="17" t="s">
        <v>14</v>
      </c>
      <c r="D5623" s="2"/>
    </row>
    <row r="5624" spans="1:4" ht="12.75" customHeight="1" x14ac:dyDescent="0.2">
      <c r="B5624" s="11" t="s">
        <v>2606</v>
      </c>
      <c r="C5624" s="16" t="s">
        <v>19</v>
      </c>
      <c r="D5624" s="2"/>
    </row>
    <row r="5625" spans="1:4" ht="12.75" customHeight="1" x14ac:dyDescent="0.2">
      <c r="B5625" s="2"/>
      <c r="C5625" s="15"/>
      <c r="D5625" s="2"/>
    </row>
    <row r="5626" spans="1:4" ht="12.75" customHeight="1" x14ac:dyDescent="0.2">
      <c r="B5626" s="2"/>
      <c r="C5626" s="15"/>
      <c r="D5626" s="2"/>
    </row>
    <row r="5627" spans="1:4" ht="12.75" customHeight="1" x14ac:dyDescent="0.2">
      <c r="A5627" s="13" t="s">
        <v>3405</v>
      </c>
      <c r="C5627" s="12"/>
      <c r="D5627" s="2"/>
    </row>
    <row r="5628" spans="1:4" ht="12.75" customHeight="1" x14ac:dyDescent="0.2">
      <c r="A5628" s="11"/>
      <c r="B5628" s="2"/>
      <c r="C5628" s="15"/>
      <c r="D5628" s="2"/>
    </row>
    <row r="5629" spans="1:4" ht="12.75" customHeight="1" x14ac:dyDescent="0.2">
      <c r="B5629" s="11" t="s">
        <v>0</v>
      </c>
      <c r="C5629" s="17" t="s">
        <v>385</v>
      </c>
      <c r="D5629" s="2"/>
    </row>
    <row r="5630" spans="1:4" ht="12.75" customHeight="1" x14ac:dyDescent="0.2">
      <c r="B5630" s="11" t="s">
        <v>2599</v>
      </c>
      <c r="C5630" s="17" t="s">
        <v>747</v>
      </c>
      <c r="D5630" s="2"/>
    </row>
    <row r="5631" spans="1:4" ht="25.5" customHeight="1" x14ac:dyDescent="0.2">
      <c r="B5631" s="11" t="s">
        <v>2600</v>
      </c>
      <c r="C5631" s="17" t="s">
        <v>3463</v>
      </c>
      <c r="D5631" s="2"/>
    </row>
    <row r="5632" spans="1:4" ht="25.5" customHeight="1" x14ac:dyDescent="0.2">
      <c r="B5632" s="11" t="s">
        <v>2601</v>
      </c>
      <c r="C5632" s="17"/>
      <c r="D5632" s="2"/>
    </row>
    <row r="5633" spans="1:4" ht="12.75" customHeight="1" x14ac:dyDescent="0.2">
      <c r="B5633" s="11" t="s">
        <v>16</v>
      </c>
      <c r="C5633" s="17"/>
      <c r="D5633" s="2"/>
    </row>
    <row r="5634" spans="1:4" ht="12.75" customHeight="1" x14ac:dyDescent="0.2">
      <c r="B5634" s="11" t="s">
        <v>13</v>
      </c>
      <c r="C5634" s="17" t="s">
        <v>2644</v>
      </c>
      <c r="D5634" s="2"/>
    </row>
    <row r="5635" spans="1:4" ht="25.5" customHeight="1" x14ac:dyDescent="0.2">
      <c r="B5635" s="11" t="s">
        <v>2603</v>
      </c>
      <c r="C5635" s="17" t="s">
        <v>2971</v>
      </c>
      <c r="D5635" s="2"/>
    </row>
    <row r="5636" spans="1:4" ht="12.75" customHeight="1" x14ac:dyDescent="0.2">
      <c r="B5636" s="11" t="s">
        <v>2605</v>
      </c>
      <c r="C5636" s="17" t="s">
        <v>14</v>
      </c>
      <c r="D5636" s="2"/>
    </row>
    <row r="5637" spans="1:4" ht="12.75" customHeight="1" x14ac:dyDescent="0.2">
      <c r="B5637" s="11" t="s">
        <v>2606</v>
      </c>
      <c r="C5637" s="16" t="s">
        <v>19</v>
      </c>
      <c r="D5637" s="2"/>
    </row>
    <row r="5638" spans="1:4" ht="12.75" customHeight="1" x14ac:dyDescent="0.2">
      <c r="B5638" s="2"/>
      <c r="C5638" s="15"/>
      <c r="D5638" s="2"/>
    </row>
    <row r="5639" spans="1:4" ht="12.75" customHeight="1" x14ac:dyDescent="0.2">
      <c r="B5639" s="2"/>
      <c r="C5639" s="15"/>
      <c r="D5639" s="2"/>
    </row>
    <row r="5640" spans="1:4" ht="12.75" customHeight="1" x14ac:dyDescent="0.2">
      <c r="A5640" s="13" t="s">
        <v>3464</v>
      </c>
      <c r="C5640" s="12"/>
    </row>
    <row r="5641" spans="1:4" ht="12.75" customHeight="1" x14ac:dyDescent="0.2">
      <c r="A5641" s="11"/>
      <c r="B5641" s="2"/>
      <c r="C5641" s="15"/>
      <c r="D5641" s="2"/>
    </row>
    <row r="5642" spans="1:4" ht="12.75" customHeight="1" x14ac:dyDescent="0.2">
      <c r="B5642" s="11" t="s">
        <v>0</v>
      </c>
      <c r="C5642" s="11" t="s">
        <v>385</v>
      </c>
    </row>
    <row r="5643" spans="1:4" ht="12.75" customHeight="1" x14ac:dyDescent="0.2">
      <c r="B5643" s="11" t="s">
        <v>2599</v>
      </c>
      <c r="C5643" s="11" t="s">
        <v>1127</v>
      </c>
    </row>
    <row r="5644" spans="1:4" ht="25.5" customHeight="1" x14ac:dyDescent="0.2">
      <c r="B5644" s="11" t="s">
        <v>2600</v>
      </c>
      <c r="C5644" s="11" t="s">
        <v>3465</v>
      </c>
    </row>
    <row r="5645" spans="1:4" ht="25.5" customHeight="1" x14ac:dyDescent="0.2">
      <c r="B5645" s="11" t="s">
        <v>2601</v>
      </c>
      <c r="C5645" s="11"/>
    </row>
    <row r="5646" spans="1:4" ht="12.75" customHeight="1" x14ac:dyDescent="0.2">
      <c r="B5646" s="11" t="s">
        <v>16</v>
      </c>
      <c r="C5646" s="11"/>
    </row>
    <row r="5647" spans="1:4" ht="12.75" customHeight="1" x14ac:dyDescent="0.2">
      <c r="B5647" s="11" t="s">
        <v>13</v>
      </c>
      <c r="C5647" s="11" t="s">
        <v>2644</v>
      </c>
    </row>
    <row r="5648" spans="1:4" ht="12.75" customHeight="1" x14ac:dyDescent="0.2">
      <c r="B5648" s="11" t="s">
        <v>2603</v>
      </c>
      <c r="C5648" s="11" t="s">
        <v>2604</v>
      </c>
    </row>
    <row r="5649" spans="1:4" ht="12.75" customHeight="1" x14ac:dyDescent="0.2">
      <c r="B5649" s="11" t="s">
        <v>2605</v>
      </c>
      <c r="C5649" s="11" t="s">
        <v>24</v>
      </c>
    </row>
    <row r="5650" spans="1:4" ht="12.75" customHeight="1" x14ac:dyDescent="0.2">
      <c r="B5650" s="11" t="s">
        <v>2606</v>
      </c>
      <c r="C5650" s="16" t="s">
        <v>44</v>
      </c>
      <c r="D5650" s="6" t="str">
        <f>HYPERLINK("javascript:void(0)","aqua dei")</f>
        <v>aqua dei</v>
      </c>
    </row>
    <row r="5651" spans="1:4" ht="12.75" customHeight="1" x14ac:dyDescent="0.2">
      <c r="C5651" s="16" t="s">
        <v>56</v>
      </c>
      <c r="D5651" s="6" t="str">
        <f>HYPERLINK("javascript:void(0)","kincs")</f>
        <v>kincs</v>
      </c>
    </row>
    <row r="5652" spans="1:4" ht="12.75" customHeight="1" x14ac:dyDescent="0.2">
      <c r="B5652" s="2"/>
      <c r="C5652" s="15"/>
      <c r="D5652" s="2"/>
    </row>
    <row r="5653" spans="1:4" ht="12.75" customHeight="1" x14ac:dyDescent="0.2">
      <c r="B5653" s="2"/>
      <c r="C5653" s="15"/>
      <c r="D5653" s="2"/>
    </row>
    <row r="5654" spans="1:4" ht="12.75" customHeight="1" x14ac:dyDescent="0.2">
      <c r="A5654" s="13" t="s">
        <v>3466</v>
      </c>
      <c r="C5654" s="12"/>
    </row>
    <row r="5655" spans="1:4" ht="12.75" customHeight="1" x14ac:dyDescent="0.2">
      <c r="A5655" s="11"/>
      <c r="B5655" s="2"/>
      <c r="C5655" s="15"/>
      <c r="D5655" s="2"/>
    </row>
    <row r="5656" spans="1:4" ht="12.75" customHeight="1" x14ac:dyDescent="0.2">
      <c r="B5656" s="11" t="s">
        <v>0</v>
      </c>
      <c r="C5656" s="11" t="s">
        <v>385</v>
      </c>
    </row>
    <row r="5657" spans="1:4" ht="12.75" customHeight="1" x14ac:dyDescent="0.2">
      <c r="B5657" s="11" t="s">
        <v>2599</v>
      </c>
      <c r="C5657" s="11" t="s">
        <v>3467</v>
      </c>
    </row>
    <row r="5658" spans="1:4" ht="25.5" customHeight="1" x14ac:dyDescent="0.2">
      <c r="B5658" s="11" t="s">
        <v>2600</v>
      </c>
      <c r="C5658" s="11" t="s">
        <v>3468</v>
      </c>
    </row>
    <row r="5659" spans="1:4" ht="25.5" customHeight="1" x14ac:dyDescent="0.2">
      <c r="B5659" s="11" t="s">
        <v>2601</v>
      </c>
      <c r="C5659" s="11"/>
    </row>
    <row r="5660" spans="1:4" ht="12.75" customHeight="1" x14ac:dyDescent="0.2">
      <c r="B5660" s="11" t="s">
        <v>16</v>
      </c>
      <c r="C5660" s="11"/>
    </row>
    <row r="5661" spans="1:4" ht="12.75" customHeight="1" x14ac:dyDescent="0.2">
      <c r="B5661" s="11" t="s">
        <v>13</v>
      </c>
      <c r="C5661" s="11" t="s">
        <v>2602</v>
      </c>
    </row>
    <row r="5662" spans="1:4" ht="12.75" customHeight="1" x14ac:dyDescent="0.2">
      <c r="B5662" s="11" t="s">
        <v>2603</v>
      </c>
      <c r="C5662" s="11" t="s">
        <v>2604</v>
      </c>
    </row>
    <row r="5663" spans="1:4" ht="12.75" customHeight="1" x14ac:dyDescent="0.2">
      <c r="B5663" s="11" t="s">
        <v>2605</v>
      </c>
      <c r="C5663" s="11" t="s">
        <v>24</v>
      </c>
    </row>
    <row r="5664" spans="1:4" ht="25.5" customHeight="1" x14ac:dyDescent="0.2">
      <c r="B5664" s="11" t="s">
        <v>2606</v>
      </c>
      <c r="C5664" s="16" t="s">
        <v>44</v>
      </c>
      <c r="D5664" s="6" t="str">
        <f>HYPERLINK("javascript:void(0)","ágyúmozsár")</f>
        <v>ágyúmozsár</v>
      </c>
    </row>
    <row r="5665" spans="1:4" ht="12.75" customHeight="1" x14ac:dyDescent="0.2">
      <c r="B5665" s="2"/>
      <c r="C5665" s="15"/>
      <c r="D5665" s="2"/>
    </row>
    <row r="5666" spans="1:4" ht="12.75" customHeight="1" x14ac:dyDescent="0.2">
      <c r="B5666" s="2"/>
      <c r="C5666" s="15"/>
      <c r="D5666" s="2"/>
    </row>
    <row r="5667" spans="1:4" ht="12.75" customHeight="1" x14ac:dyDescent="0.2">
      <c r="A5667" s="13" t="s">
        <v>3469</v>
      </c>
      <c r="C5667" s="12"/>
    </row>
    <row r="5668" spans="1:4" ht="12.75" customHeight="1" x14ac:dyDescent="0.2">
      <c r="A5668" s="11"/>
      <c r="B5668" s="2"/>
      <c r="C5668" s="15"/>
      <c r="D5668" s="2"/>
    </row>
    <row r="5669" spans="1:4" ht="12.75" customHeight="1" x14ac:dyDescent="0.2">
      <c r="B5669" s="11" t="s">
        <v>0</v>
      </c>
      <c r="C5669" s="11" t="s">
        <v>385</v>
      </c>
    </row>
    <row r="5670" spans="1:4" ht="12.75" customHeight="1" x14ac:dyDescent="0.2">
      <c r="B5670" s="11" t="s">
        <v>2599</v>
      </c>
      <c r="C5670" s="11" t="s">
        <v>3470</v>
      </c>
    </row>
    <row r="5671" spans="1:4" ht="25.5" customHeight="1" x14ac:dyDescent="0.2">
      <c r="B5671" s="11" t="s">
        <v>2600</v>
      </c>
      <c r="C5671" s="11" t="s">
        <v>3471</v>
      </c>
    </row>
    <row r="5672" spans="1:4" ht="25.5" customHeight="1" x14ac:dyDescent="0.2">
      <c r="B5672" s="11" t="s">
        <v>2601</v>
      </c>
      <c r="C5672" s="11"/>
    </row>
    <row r="5673" spans="1:4" ht="12.75" customHeight="1" x14ac:dyDescent="0.2">
      <c r="B5673" s="11" t="s">
        <v>16</v>
      </c>
      <c r="C5673" s="11"/>
    </row>
    <row r="5674" spans="1:4" ht="12.75" customHeight="1" x14ac:dyDescent="0.2">
      <c r="B5674" s="11" t="s">
        <v>13</v>
      </c>
      <c r="C5674" s="11" t="s">
        <v>2602</v>
      </c>
    </row>
    <row r="5675" spans="1:4" ht="12.75" customHeight="1" x14ac:dyDescent="0.2">
      <c r="B5675" s="11" t="s">
        <v>2603</v>
      </c>
      <c r="C5675" s="11" t="s">
        <v>2604</v>
      </c>
    </row>
    <row r="5676" spans="1:4" ht="12.75" customHeight="1" x14ac:dyDescent="0.2">
      <c r="B5676" s="11" t="s">
        <v>2605</v>
      </c>
      <c r="C5676" s="11" t="s">
        <v>24</v>
      </c>
    </row>
    <row r="5677" spans="1:4" ht="12.75" customHeight="1" x14ac:dyDescent="0.2">
      <c r="B5677" s="11" t="s">
        <v>2606</v>
      </c>
      <c r="C5677" s="16" t="s">
        <v>44</v>
      </c>
      <c r="D5677" s="6" t="str">
        <f>HYPERLINK("javascript:void(0)","csodaflaska")</f>
        <v>csodaflaska</v>
      </c>
    </row>
    <row r="5678" spans="1:4" ht="12.75" customHeight="1" x14ac:dyDescent="0.2">
      <c r="B5678" s="2"/>
      <c r="C5678" s="15"/>
      <c r="D5678" s="2"/>
    </row>
    <row r="5679" spans="1:4" ht="12.75" customHeight="1" x14ac:dyDescent="0.2">
      <c r="B5679" s="2"/>
      <c r="C5679" s="15"/>
      <c r="D5679" s="2"/>
    </row>
    <row r="5680" spans="1:4" ht="12.75" customHeight="1" x14ac:dyDescent="0.2">
      <c r="A5680" s="13" t="s">
        <v>3472</v>
      </c>
      <c r="C5680" s="12"/>
    </row>
    <row r="5681" spans="1:4" ht="12.75" customHeight="1" x14ac:dyDescent="0.2">
      <c r="A5681" s="11"/>
      <c r="B5681" s="2"/>
      <c r="C5681" s="15"/>
      <c r="D5681" s="2"/>
    </row>
    <row r="5682" spans="1:4" ht="12.75" customHeight="1" x14ac:dyDescent="0.2">
      <c r="B5682" s="11" t="s">
        <v>0</v>
      </c>
      <c r="C5682" s="11" t="s">
        <v>385</v>
      </c>
    </row>
    <row r="5683" spans="1:4" ht="12.75" customHeight="1" x14ac:dyDescent="0.2">
      <c r="B5683" s="11" t="s">
        <v>2599</v>
      </c>
      <c r="C5683" s="11" t="s">
        <v>2689</v>
      </c>
    </row>
    <row r="5684" spans="1:4" ht="25.5" customHeight="1" x14ac:dyDescent="0.2">
      <c r="B5684" s="11" t="s">
        <v>2600</v>
      </c>
      <c r="C5684" s="11" t="s">
        <v>3473</v>
      </c>
    </row>
    <row r="5685" spans="1:4" ht="25.5" customHeight="1" x14ac:dyDescent="0.2">
      <c r="B5685" s="11" t="s">
        <v>2601</v>
      </c>
      <c r="C5685" s="11"/>
    </row>
    <row r="5686" spans="1:4" ht="12.75" customHeight="1" x14ac:dyDescent="0.2">
      <c r="B5686" s="11" t="s">
        <v>16</v>
      </c>
      <c r="C5686" s="11"/>
    </row>
    <row r="5687" spans="1:4" ht="12.75" customHeight="1" x14ac:dyDescent="0.2">
      <c r="B5687" s="11" t="s">
        <v>13</v>
      </c>
      <c r="C5687" s="11" t="s">
        <v>2644</v>
      </c>
    </row>
    <row r="5688" spans="1:4" ht="12.75" customHeight="1" x14ac:dyDescent="0.2">
      <c r="B5688" s="11" t="s">
        <v>2603</v>
      </c>
      <c r="C5688" s="11" t="s">
        <v>2604</v>
      </c>
    </row>
    <row r="5689" spans="1:4" ht="12.75" customHeight="1" x14ac:dyDescent="0.2">
      <c r="B5689" s="11" t="s">
        <v>2605</v>
      </c>
      <c r="C5689" s="11" t="s">
        <v>24</v>
      </c>
    </row>
    <row r="5690" spans="1:4" ht="12.75" customHeight="1" x14ac:dyDescent="0.2">
      <c r="B5690" s="11" t="s">
        <v>2606</v>
      </c>
      <c r="C5690" s="16" t="s">
        <v>57</v>
      </c>
      <c r="D5690" s="6" t="str">
        <f>HYPERLINK("javascript:void(0)","kincs")</f>
        <v>kincs</v>
      </c>
    </row>
    <row r="5691" spans="1:4" ht="12.75" customHeight="1" x14ac:dyDescent="0.2">
      <c r="B5691" s="2"/>
      <c r="C5691" s="15"/>
      <c r="D5691" s="2"/>
    </row>
    <row r="5692" spans="1:4" ht="12.75" customHeight="1" x14ac:dyDescent="0.2">
      <c r="B5692" s="2"/>
      <c r="C5692" s="15"/>
      <c r="D5692" s="2"/>
    </row>
    <row r="5693" spans="1:4" ht="12.75" customHeight="1" x14ac:dyDescent="0.2">
      <c r="A5693" s="13" t="s">
        <v>3474</v>
      </c>
      <c r="C5693" s="12"/>
    </row>
    <row r="5694" spans="1:4" ht="12.75" customHeight="1" x14ac:dyDescent="0.2">
      <c r="A5694" s="11"/>
      <c r="B5694" s="2"/>
      <c r="C5694" s="15"/>
      <c r="D5694" s="2"/>
    </row>
    <row r="5695" spans="1:4" ht="12.75" customHeight="1" x14ac:dyDescent="0.2">
      <c r="B5695" s="11" t="s">
        <v>0</v>
      </c>
      <c r="C5695" s="11" t="s">
        <v>385</v>
      </c>
    </row>
    <row r="5696" spans="1:4" ht="12.75" customHeight="1" x14ac:dyDescent="0.2">
      <c r="B5696" s="11" t="s">
        <v>2599</v>
      </c>
      <c r="C5696" s="11" t="s">
        <v>3165</v>
      </c>
    </row>
    <row r="5697" spans="1:4" ht="25.5" customHeight="1" x14ac:dyDescent="0.2">
      <c r="B5697" s="11" t="s">
        <v>2600</v>
      </c>
      <c r="C5697" s="11" t="s">
        <v>3475</v>
      </c>
    </row>
    <row r="5698" spans="1:4" ht="25.5" customHeight="1" x14ac:dyDescent="0.2">
      <c r="B5698" s="11" t="s">
        <v>2601</v>
      </c>
      <c r="C5698" s="11"/>
    </row>
    <row r="5699" spans="1:4" ht="12.75" customHeight="1" x14ac:dyDescent="0.2">
      <c r="B5699" s="11" t="s">
        <v>16</v>
      </c>
      <c r="C5699" s="11"/>
    </row>
    <row r="5700" spans="1:4" ht="12.75" customHeight="1" x14ac:dyDescent="0.2">
      <c r="B5700" s="11" t="s">
        <v>13</v>
      </c>
      <c r="C5700" s="11" t="s">
        <v>2602</v>
      </c>
    </row>
    <row r="5701" spans="1:4" ht="12.75" customHeight="1" x14ac:dyDescent="0.2">
      <c r="B5701" s="11" t="s">
        <v>2603</v>
      </c>
      <c r="C5701" s="11" t="s">
        <v>2604</v>
      </c>
    </row>
    <row r="5702" spans="1:4" ht="12.75" customHeight="1" x14ac:dyDescent="0.2">
      <c r="B5702" s="11" t="s">
        <v>2605</v>
      </c>
      <c r="C5702" s="11" t="s">
        <v>24</v>
      </c>
    </row>
    <row r="5703" spans="1:4" ht="12.75" customHeight="1" x14ac:dyDescent="0.2">
      <c r="B5703" s="11" t="s">
        <v>2606</v>
      </c>
      <c r="C5703" s="16" t="s">
        <v>77</v>
      </c>
      <c r="D5703" s="6" t="str">
        <f>HYPERLINK("javascript:void(0)","kincs")</f>
        <v>kincs</v>
      </c>
    </row>
    <row r="5704" spans="1:4" ht="25.5" customHeight="1" x14ac:dyDescent="0.2">
      <c r="C5704" s="16" t="s">
        <v>44</v>
      </c>
      <c r="D5704" s="6" t="str">
        <f>HYPERLINK("javascript:void(0)","manakorona")</f>
        <v>manakorona</v>
      </c>
    </row>
    <row r="5705" spans="1:4" ht="12.75" customHeight="1" x14ac:dyDescent="0.2">
      <c r="B5705" s="2"/>
      <c r="C5705" s="15"/>
      <c r="D5705" s="2"/>
    </row>
    <row r="5706" spans="1:4" ht="12.75" customHeight="1" x14ac:dyDescent="0.2">
      <c r="B5706" s="2"/>
      <c r="C5706" s="15"/>
      <c r="D5706" s="2"/>
    </row>
    <row r="5707" spans="1:4" ht="12.75" customHeight="1" x14ac:dyDescent="0.2">
      <c r="A5707" s="13" t="s">
        <v>3476</v>
      </c>
      <c r="C5707" s="12"/>
    </row>
    <row r="5708" spans="1:4" ht="12.75" customHeight="1" x14ac:dyDescent="0.2">
      <c r="A5708" s="11"/>
      <c r="B5708" s="2"/>
      <c r="C5708" s="15"/>
      <c r="D5708" s="2"/>
    </row>
    <row r="5709" spans="1:4" ht="12.75" customHeight="1" x14ac:dyDescent="0.2">
      <c r="B5709" s="11" t="s">
        <v>0</v>
      </c>
      <c r="C5709" s="11" t="s">
        <v>385</v>
      </c>
    </row>
    <row r="5710" spans="1:4" ht="12.75" customHeight="1" x14ac:dyDescent="0.2">
      <c r="B5710" s="11" t="s">
        <v>2599</v>
      </c>
      <c r="C5710" s="11" t="s">
        <v>3270</v>
      </c>
    </row>
    <row r="5711" spans="1:4" ht="25.5" customHeight="1" x14ac:dyDescent="0.2">
      <c r="B5711" s="11" t="s">
        <v>2600</v>
      </c>
      <c r="C5711" s="11" t="s">
        <v>3477</v>
      </c>
    </row>
    <row r="5712" spans="1:4" ht="25.5" customHeight="1" x14ac:dyDescent="0.2">
      <c r="B5712" s="11" t="s">
        <v>2601</v>
      </c>
      <c r="C5712" s="11"/>
    </row>
    <row r="5713" spans="1:4" ht="12.75" customHeight="1" x14ac:dyDescent="0.2">
      <c r="B5713" s="11" t="s">
        <v>16</v>
      </c>
      <c r="C5713" s="11"/>
    </row>
    <row r="5714" spans="1:4" ht="12.75" customHeight="1" x14ac:dyDescent="0.2">
      <c r="B5714" s="11" t="s">
        <v>13</v>
      </c>
      <c r="C5714" s="11" t="s">
        <v>2644</v>
      </c>
    </row>
    <row r="5715" spans="1:4" ht="12.75" customHeight="1" x14ac:dyDescent="0.2">
      <c r="B5715" s="11" t="s">
        <v>2603</v>
      </c>
      <c r="C5715" s="11" t="s">
        <v>2604</v>
      </c>
    </row>
    <row r="5716" spans="1:4" ht="12.75" customHeight="1" x14ac:dyDescent="0.2">
      <c r="B5716" s="11" t="s">
        <v>2605</v>
      </c>
      <c r="C5716" s="11" t="s">
        <v>24</v>
      </c>
    </row>
    <row r="5717" spans="1:4" ht="12.75" customHeight="1" x14ac:dyDescent="0.2">
      <c r="B5717" s="11" t="s">
        <v>2606</v>
      </c>
      <c r="C5717" s="16" t="s">
        <v>57</v>
      </c>
      <c r="D5717" s="6" t="str">
        <f>HYPERLINK("javascript:void(0)","kincs")</f>
        <v>kincs</v>
      </c>
    </row>
    <row r="5718" spans="1:4" ht="12.75" customHeight="1" x14ac:dyDescent="0.2">
      <c r="B5718" s="2"/>
      <c r="C5718" s="15"/>
      <c r="D5718" s="2"/>
    </row>
    <row r="5719" spans="1:4" ht="12.75" customHeight="1" x14ac:dyDescent="0.2">
      <c r="B5719" s="2"/>
      <c r="C5719" s="15"/>
      <c r="D5719" s="2"/>
    </row>
    <row r="5720" spans="1:4" ht="12.75" customHeight="1" x14ac:dyDescent="0.2">
      <c r="A5720" s="13" t="s">
        <v>3478</v>
      </c>
      <c r="C5720" s="12"/>
    </row>
    <row r="5721" spans="1:4" ht="12.75" customHeight="1" x14ac:dyDescent="0.2">
      <c r="A5721" s="11"/>
      <c r="B5721" s="2"/>
      <c r="C5721" s="15"/>
      <c r="D5721" s="2"/>
    </row>
    <row r="5722" spans="1:4" ht="12.75" customHeight="1" x14ac:dyDescent="0.2">
      <c r="B5722" s="11" t="s">
        <v>0</v>
      </c>
      <c r="C5722" s="11" t="s">
        <v>385</v>
      </c>
    </row>
    <row r="5723" spans="1:4" ht="12.75" customHeight="1" x14ac:dyDescent="0.2">
      <c r="B5723" s="11" t="s">
        <v>2599</v>
      </c>
      <c r="C5723" s="11" t="s">
        <v>3479</v>
      </c>
    </row>
    <row r="5724" spans="1:4" ht="25.5" customHeight="1" x14ac:dyDescent="0.2">
      <c r="B5724" s="11" t="s">
        <v>2600</v>
      </c>
      <c r="C5724" s="11" t="s">
        <v>3480</v>
      </c>
    </row>
    <row r="5725" spans="1:4" ht="25.5" customHeight="1" x14ac:dyDescent="0.2">
      <c r="B5725" s="11" t="s">
        <v>2601</v>
      </c>
      <c r="C5725" s="11"/>
    </row>
    <row r="5726" spans="1:4" ht="12.75" customHeight="1" x14ac:dyDescent="0.2">
      <c r="B5726" s="11" t="s">
        <v>16</v>
      </c>
      <c r="C5726" s="11"/>
    </row>
    <row r="5727" spans="1:4" ht="12.75" customHeight="1" x14ac:dyDescent="0.2">
      <c r="B5727" s="11" t="s">
        <v>13</v>
      </c>
      <c r="C5727" s="11" t="s">
        <v>2644</v>
      </c>
    </row>
    <row r="5728" spans="1:4" ht="12.75" customHeight="1" x14ac:dyDescent="0.2">
      <c r="B5728" s="11" t="s">
        <v>2603</v>
      </c>
      <c r="C5728" s="11" t="s">
        <v>2604</v>
      </c>
    </row>
    <row r="5729" spans="1:4" ht="12.75" customHeight="1" x14ac:dyDescent="0.2">
      <c r="B5729" s="11" t="s">
        <v>2605</v>
      </c>
      <c r="C5729" s="11" t="s">
        <v>24</v>
      </c>
    </row>
    <row r="5730" spans="1:4" ht="12.75" customHeight="1" x14ac:dyDescent="0.2">
      <c r="B5730" s="11" t="s">
        <v>2606</v>
      </c>
      <c r="C5730" s="16" t="s">
        <v>55</v>
      </c>
      <c r="D5730" s="6" t="str">
        <f>HYPERLINK("javascript:void(0)","kincs")</f>
        <v>kincs</v>
      </c>
    </row>
    <row r="5731" spans="1:4" ht="12.75" customHeight="1" x14ac:dyDescent="0.2">
      <c r="C5731" s="16" t="s">
        <v>44</v>
      </c>
      <c r="D5731" s="6" t="str">
        <f>HYPERLINK("javascript:void(0)","koponya")</f>
        <v>koponya</v>
      </c>
    </row>
    <row r="5732" spans="1:4" ht="12.75" customHeight="1" x14ac:dyDescent="0.2">
      <c r="B5732" s="2"/>
      <c r="C5732" s="15"/>
      <c r="D5732" s="2"/>
    </row>
    <row r="5733" spans="1:4" ht="12.75" customHeight="1" x14ac:dyDescent="0.2">
      <c r="B5733" s="2"/>
      <c r="C5733" s="15"/>
      <c r="D5733" s="2"/>
    </row>
    <row r="5734" spans="1:4" ht="12.75" customHeight="1" x14ac:dyDescent="0.2">
      <c r="A5734" s="13" t="s">
        <v>3481</v>
      </c>
      <c r="C5734" s="12"/>
    </row>
    <row r="5735" spans="1:4" ht="12.75" customHeight="1" x14ac:dyDescent="0.2">
      <c r="A5735" s="11"/>
      <c r="B5735" s="2"/>
      <c r="C5735" s="15"/>
      <c r="D5735" s="2"/>
    </row>
    <row r="5736" spans="1:4" ht="12.75" customHeight="1" x14ac:dyDescent="0.2">
      <c r="B5736" s="11" t="s">
        <v>0</v>
      </c>
      <c r="C5736" s="11" t="s">
        <v>385</v>
      </c>
    </row>
    <row r="5737" spans="1:4" ht="12.75" customHeight="1" x14ac:dyDescent="0.2">
      <c r="B5737" s="11" t="s">
        <v>2599</v>
      </c>
      <c r="C5737" s="11" t="s">
        <v>493</v>
      </c>
    </row>
    <row r="5738" spans="1:4" ht="25.5" customHeight="1" x14ac:dyDescent="0.2">
      <c r="B5738" s="11" t="s">
        <v>2600</v>
      </c>
      <c r="C5738" s="11" t="s">
        <v>3482</v>
      </c>
    </row>
    <row r="5739" spans="1:4" ht="25.5" customHeight="1" x14ac:dyDescent="0.2">
      <c r="B5739" s="11" t="s">
        <v>2601</v>
      </c>
      <c r="C5739" s="11"/>
    </row>
    <row r="5740" spans="1:4" ht="12.75" customHeight="1" x14ac:dyDescent="0.2">
      <c r="B5740" s="11" t="s">
        <v>16</v>
      </c>
      <c r="C5740" s="11"/>
    </row>
    <row r="5741" spans="1:4" ht="12.75" customHeight="1" x14ac:dyDescent="0.2">
      <c r="B5741" s="11" t="s">
        <v>13</v>
      </c>
      <c r="C5741" s="11" t="s">
        <v>2602</v>
      </c>
    </row>
    <row r="5742" spans="1:4" ht="12.75" customHeight="1" x14ac:dyDescent="0.2">
      <c r="B5742" s="11" t="s">
        <v>2603</v>
      </c>
      <c r="C5742" s="11" t="s">
        <v>2604</v>
      </c>
    </row>
    <row r="5743" spans="1:4" ht="12.75" customHeight="1" x14ac:dyDescent="0.2">
      <c r="B5743" s="11" t="s">
        <v>2605</v>
      </c>
      <c r="C5743" s="11" t="s">
        <v>24</v>
      </c>
    </row>
    <row r="5744" spans="1:4" ht="12.75" customHeight="1" x14ac:dyDescent="0.2">
      <c r="B5744" s="11" t="s">
        <v>2606</v>
      </c>
      <c r="C5744" s="16" t="s">
        <v>56</v>
      </c>
      <c r="D5744" s="6" t="str">
        <f>HYPERLINK("javascript:void(0)","rémszem")</f>
        <v>rémszem</v>
      </c>
    </row>
    <row r="5745" spans="1:4" ht="12.75" customHeight="1" x14ac:dyDescent="0.2">
      <c r="B5745" s="2"/>
      <c r="C5745" s="15"/>
      <c r="D5745" s="2"/>
    </row>
    <row r="5746" spans="1:4" ht="12.75" customHeight="1" x14ac:dyDescent="0.2">
      <c r="B5746" s="2"/>
      <c r="C5746" s="15"/>
      <c r="D5746" s="2"/>
    </row>
    <row r="5747" spans="1:4" ht="12.75" customHeight="1" x14ac:dyDescent="0.2">
      <c r="A5747" s="13" t="s">
        <v>3395</v>
      </c>
      <c r="C5747" s="12"/>
      <c r="D5747" s="2"/>
    </row>
    <row r="5748" spans="1:4" ht="12.75" customHeight="1" x14ac:dyDescent="0.2">
      <c r="A5748" s="11"/>
      <c r="B5748" s="2"/>
      <c r="C5748" s="15"/>
      <c r="D5748" s="2"/>
    </row>
    <row r="5749" spans="1:4" ht="12.75" customHeight="1" x14ac:dyDescent="0.2">
      <c r="B5749" s="11" t="s">
        <v>0</v>
      </c>
      <c r="C5749" s="17" t="s">
        <v>392</v>
      </c>
      <c r="D5749" s="2"/>
    </row>
    <row r="5750" spans="1:4" ht="12.75" customHeight="1" x14ac:dyDescent="0.2">
      <c r="B5750" s="11" t="s">
        <v>2599</v>
      </c>
      <c r="C5750" s="17" t="s">
        <v>747</v>
      </c>
      <c r="D5750" s="2"/>
    </row>
    <row r="5751" spans="1:4" ht="25.5" customHeight="1" x14ac:dyDescent="0.2">
      <c r="B5751" s="11" t="s">
        <v>2600</v>
      </c>
      <c r="C5751" s="17" t="s">
        <v>3483</v>
      </c>
      <c r="D5751" s="2"/>
    </row>
    <row r="5752" spans="1:4" ht="25.5" customHeight="1" x14ac:dyDescent="0.2">
      <c r="B5752" s="11" t="s">
        <v>2601</v>
      </c>
      <c r="C5752" s="17"/>
      <c r="D5752" s="2"/>
    </row>
    <row r="5753" spans="1:4" ht="12.75" customHeight="1" x14ac:dyDescent="0.2">
      <c r="B5753" s="11" t="s">
        <v>16</v>
      </c>
      <c r="C5753" s="17"/>
      <c r="D5753" s="2"/>
    </row>
    <row r="5754" spans="1:4" ht="12.75" customHeight="1" x14ac:dyDescent="0.2">
      <c r="B5754" s="11" t="s">
        <v>13</v>
      </c>
      <c r="C5754" s="17" t="s">
        <v>2644</v>
      </c>
      <c r="D5754" s="2"/>
    </row>
    <row r="5755" spans="1:4" ht="25.5" customHeight="1" x14ac:dyDescent="0.2">
      <c r="B5755" s="11" t="s">
        <v>2603</v>
      </c>
      <c r="C5755" s="17" t="s">
        <v>2971</v>
      </c>
      <c r="D5755" s="2"/>
    </row>
    <row r="5756" spans="1:4" ht="12.75" customHeight="1" x14ac:dyDescent="0.2">
      <c r="B5756" s="11" t="s">
        <v>2605</v>
      </c>
      <c r="C5756" s="17" t="s">
        <v>14</v>
      </c>
      <c r="D5756" s="2"/>
    </row>
    <row r="5757" spans="1:4" ht="12.75" customHeight="1" x14ac:dyDescent="0.2">
      <c r="B5757" s="11" t="s">
        <v>2606</v>
      </c>
      <c r="C5757" s="16" t="s">
        <v>19</v>
      </c>
      <c r="D5757" s="2"/>
    </row>
    <row r="5758" spans="1:4" ht="12.75" customHeight="1" x14ac:dyDescent="0.2">
      <c r="B5758" s="2"/>
      <c r="C5758" s="15"/>
      <c r="D5758" s="2"/>
    </row>
    <row r="5759" spans="1:4" ht="12.75" customHeight="1" x14ac:dyDescent="0.2">
      <c r="B5759" s="2"/>
      <c r="C5759" s="15"/>
      <c r="D5759" s="2"/>
    </row>
    <row r="5760" spans="1:4" ht="12.75" customHeight="1" x14ac:dyDescent="0.2">
      <c r="A5760" s="13" t="s">
        <v>3484</v>
      </c>
      <c r="C5760" s="12"/>
      <c r="D5760" s="2"/>
    </row>
    <row r="5761" spans="1:4" ht="12.75" customHeight="1" x14ac:dyDescent="0.2">
      <c r="A5761" s="11"/>
      <c r="B5761" s="2"/>
      <c r="C5761" s="15"/>
      <c r="D5761" s="2"/>
    </row>
    <row r="5762" spans="1:4" ht="12.75" customHeight="1" x14ac:dyDescent="0.2">
      <c r="B5762" s="11" t="s">
        <v>0</v>
      </c>
      <c r="C5762" s="17" t="s">
        <v>392</v>
      </c>
      <c r="D5762" s="2"/>
    </row>
    <row r="5763" spans="1:4" ht="12.75" customHeight="1" x14ac:dyDescent="0.2">
      <c r="B5763" s="11" t="s">
        <v>2599</v>
      </c>
      <c r="C5763" s="17" t="s">
        <v>3485</v>
      </c>
      <c r="D5763" s="2"/>
    </row>
    <row r="5764" spans="1:4" ht="25.5" customHeight="1" x14ac:dyDescent="0.2">
      <c r="B5764" s="11" t="s">
        <v>2600</v>
      </c>
      <c r="C5764" s="17" t="s">
        <v>3486</v>
      </c>
      <c r="D5764" s="2"/>
    </row>
    <row r="5765" spans="1:4" ht="25.5" customHeight="1" x14ac:dyDescent="0.2">
      <c r="B5765" s="11" t="s">
        <v>2601</v>
      </c>
      <c r="C5765" s="17"/>
      <c r="D5765" s="2"/>
    </row>
    <row r="5766" spans="1:4" ht="12.75" customHeight="1" x14ac:dyDescent="0.2">
      <c r="B5766" s="11" t="s">
        <v>16</v>
      </c>
      <c r="C5766" s="17"/>
      <c r="D5766" s="2"/>
    </row>
    <row r="5767" spans="1:4" ht="12.75" customHeight="1" x14ac:dyDescent="0.2">
      <c r="B5767" s="11" t="s">
        <v>13</v>
      </c>
      <c r="C5767" s="17" t="s">
        <v>2602</v>
      </c>
      <c r="D5767" s="2"/>
    </row>
    <row r="5768" spans="1:4" ht="25.5" customHeight="1" x14ac:dyDescent="0.2">
      <c r="B5768" s="11" t="s">
        <v>2603</v>
      </c>
      <c r="C5768" s="17" t="s">
        <v>2971</v>
      </c>
      <c r="D5768" s="2"/>
    </row>
    <row r="5769" spans="1:4" ht="12.75" customHeight="1" x14ac:dyDescent="0.2">
      <c r="B5769" s="11" t="s">
        <v>2605</v>
      </c>
      <c r="C5769" s="17" t="s">
        <v>14</v>
      </c>
      <c r="D5769" s="2"/>
    </row>
    <row r="5770" spans="1:4" ht="12.75" customHeight="1" x14ac:dyDescent="0.2">
      <c r="B5770" s="11" t="s">
        <v>2606</v>
      </c>
      <c r="C5770" s="16" t="s">
        <v>19</v>
      </c>
      <c r="D5770" s="2"/>
    </row>
    <row r="5771" spans="1:4" ht="12.75" customHeight="1" x14ac:dyDescent="0.2">
      <c r="B5771" s="2"/>
      <c r="C5771" s="15"/>
      <c r="D5771" s="2"/>
    </row>
    <row r="5772" spans="1:4" ht="12.75" customHeight="1" x14ac:dyDescent="0.2">
      <c r="B5772" s="2"/>
      <c r="C5772" s="15"/>
      <c r="D5772" s="2"/>
    </row>
    <row r="5773" spans="1:4" ht="12.75" customHeight="1" x14ac:dyDescent="0.2">
      <c r="A5773" s="13" t="s">
        <v>3398</v>
      </c>
      <c r="C5773" s="12"/>
      <c r="D5773" s="2"/>
    </row>
    <row r="5774" spans="1:4" ht="12.75" customHeight="1" x14ac:dyDescent="0.2">
      <c r="A5774" s="11"/>
      <c r="B5774" s="2"/>
      <c r="C5774" s="15"/>
      <c r="D5774" s="2"/>
    </row>
    <row r="5775" spans="1:4" ht="12.75" customHeight="1" x14ac:dyDescent="0.2">
      <c r="B5775" s="11" t="s">
        <v>0</v>
      </c>
      <c r="C5775" s="17" t="s">
        <v>392</v>
      </c>
      <c r="D5775" s="2"/>
    </row>
    <row r="5776" spans="1:4" ht="12.75" customHeight="1" x14ac:dyDescent="0.2">
      <c r="B5776" s="11" t="s">
        <v>2599</v>
      </c>
      <c r="C5776" s="17" t="s">
        <v>3399</v>
      </c>
      <c r="D5776" s="2"/>
    </row>
    <row r="5777" spans="1:4" ht="25.5" customHeight="1" x14ac:dyDescent="0.2">
      <c r="B5777" s="11" t="s">
        <v>2600</v>
      </c>
      <c r="C5777" s="17" t="s">
        <v>3487</v>
      </c>
      <c r="D5777" s="2"/>
    </row>
    <row r="5778" spans="1:4" ht="25.5" customHeight="1" x14ac:dyDescent="0.2">
      <c r="B5778" s="11" t="s">
        <v>2601</v>
      </c>
      <c r="C5778" s="17"/>
      <c r="D5778" s="2"/>
    </row>
    <row r="5779" spans="1:4" ht="12.75" customHeight="1" x14ac:dyDescent="0.2">
      <c r="B5779" s="11" t="s">
        <v>16</v>
      </c>
      <c r="C5779" s="17"/>
      <c r="D5779" s="2"/>
    </row>
    <row r="5780" spans="1:4" ht="12.75" customHeight="1" x14ac:dyDescent="0.2">
      <c r="B5780" s="11" t="s">
        <v>13</v>
      </c>
      <c r="C5780" s="17" t="s">
        <v>2644</v>
      </c>
      <c r="D5780" s="2"/>
    </row>
    <row r="5781" spans="1:4" ht="25.5" customHeight="1" x14ac:dyDescent="0.2">
      <c r="B5781" s="11" t="s">
        <v>2603</v>
      </c>
      <c r="C5781" s="17" t="s">
        <v>2971</v>
      </c>
      <c r="D5781" s="2"/>
    </row>
    <row r="5782" spans="1:4" ht="12.75" customHeight="1" x14ac:dyDescent="0.2">
      <c r="B5782" s="11" t="s">
        <v>2605</v>
      </c>
      <c r="C5782" s="17" t="s">
        <v>14</v>
      </c>
      <c r="D5782" s="2"/>
    </row>
    <row r="5783" spans="1:4" ht="12.75" customHeight="1" x14ac:dyDescent="0.2">
      <c r="B5783" s="11" t="s">
        <v>2606</v>
      </c>
      <c r="C5783" s="16" t="s">
        <v>19</v>
      </c>
      <c r="D5783" s="2"/>
    </row>
    <row r="5784" spans="1:4" ht="12.75" customHeight="1" x14ac:dyDescent="0.2">
      <c r="B5784" s="2"/>
      <c r="C5784" s="15"/>
      <c r="D5784" s="2"/>
    </row>
    <row r="5785" spans="1:4" ht="12.75" customHeight="1" x14ac:dyDescent="0.2">
      <c r="B5785" s="2"/>
      <c r="C5785" s="15"/>
      <c r="D5785" s="2"/>
    </row>
    <row r="5786" spans="1:4" ht="12.75" customHeight="1" x14ac:dyDescent="0.2">
      <c r="A5786" s="13" t="s">
        <v>3459</v>
      </c>
      <c r="C5786" s="12"/>
      <c r="D5786" s="2"/>
    </row>
    <row r="5787" spans="1:4" ht="12.75" customHeight="1" x14ac:dyDescent="0.2">
      <c r="A5787" s="11"/>
      <c r="B5787" s="2"/>
      <c r="C5787" s="15"/>
      <c r="D5787" s="2"/>
    </row>
    <row r="5788" spans="1:4" ht="12.75" customHeight="1" x14ac:dyDescent="0.2">
      <c r="B5788" s="11" t="s">
        <v>0</v>
      </c>
      <c r="C5788" s="17" t="s">
        <v>392</v>
      </c>
      <c r="D5788" s="2"/>
    </row>
    <row r="5789" spans="1:4" ht="12.75" customHeight="1" x14ac:dyDescent="0.2">
      <c r="B5789" s="11" t="s">
        <v>2599</v>
      </c>
      <c r="C5789" s="17" t="s">
        <v>3460</v>
      </c>
      <c r="D5789" s="2"/>
    </row>
    <row r="5790" spans="1:4" ht="25.5" customHeight="1" x14ac:dyDescent="0.2">
      <c r="B5790" s="11" t="s">
        <v>2600</v>
      </c>
      <c r="C5790" s="17" t="s">
        <v>3488</v>
      </c>
      <c r="D5790" s="2"/>
    </row>
    <row r="5791" spans="1:4" ht="25.5" customHeight="1" x14ac:dyDescent="0.2">
      <c r="B5791" s="11" t="s">
        <v>2601</v>
      </c>
      <c r="C5791" s="17"/>
      <c r="D5791" s="2"/>
    </row>
    <row r="5792" spans="1:4" ht="12.75" customHeight="1" x14ac:dyDescent="0.2">
      <c r="B5792" s="11" t="s">
        <v>16</v>
      </c>
      <c r="C5792" s="17"/>
      <c r="D5792" s="2"/>
    </row>
    <row r="5793" spans="1:4" ht="12.75" customHeight="1" x14ac:dyDescent="0.2">
      <c r="B5793" s="11" t="s">
        <v>13</v>
      </c>
      <c r="C5793" s="17" t="s">
        <v>2602</v>
      </c>
      <c r="D5793" s="2"/>
    </row>
    <row r="5794" spans="1:4" ht="25.5" customHeight="1" x14ac:dyDescent="0.2">
      <c r="B5794" s="11" t="s">
        <v>2603</v>
      </c>
      <c r="C5794" s="17" t="s">
        <v>2971</v>
      </c>
      <c r="D5794" s="2"/>
    </row>
    <row r="5795" spans="1:4" ht="12.75" customHeight="1" x14ac:dyDescent="0.2">
      <c r="B5795" s="11" t="s">
        <v>2605</v>
      </c>
      <c r="C5795" s="17" t="s">
        <v>14</v>
      </c>
      <c r="D5795" s="2"/>
    </row>
    <row r="5796" spans="1:4" ht="12.75" customHeight="1" x14ac:dyDescent="0.2">
      <c r="B5796" s="11" t="s">
        <v>2606</v>
      </c>
      <c r="C5796" s="16" t="s">
        <v>19</v>
      </c>
      <c r="D5796" s="2"/>
    </row>
    <row r="5797" spans="1:4" ht="12.75" customHeight="1" x14ac:dyDescent="0.2">
      <c r="B5797" s="2"/>
      <c r="C5797" s="15"/>
      <c r="D5797" s="2"/>
    </row>
    <row r="5798" spans="1:4" ht="12.75" customHeight="1" x14ac:dyDescent="0.2">
      <c r="B5798" s="2"/>
      <c r="C5798" s="15"/>
      <c r="D5798" s="2"/>
    </row>
    <row r="5799" spans="1:4" ht="12.75" customHeight="1" x14ac:dyDescent="0.2">
      <c r="A5799" s="13" t="s">
        <v>3402</v>
      </c>
      <c r="C5799" s="12"/>
      <c r="D5799" s="2"/>
    </row>
    <row r="5800" spans="1:4" ht="12.75" customHeight="1" x14ac:dyDescent="0.2">
      <c r="A5800" s="11"/>
      <c r="B5800" s="2"/>
      <c r="C5800" s="15"/>
      <c r="D5800" s="2"/>
    </row>
    <row r="5801" spans="1:4" ht="12.75" customHeight="1" x14ac:dyDescent="0.2">
      <c r="B5801" s="11" t="s">
        <v>0</v>
      </c>
      <c r="C5801" s="17" t="s">
        <v>392</v>
      </c>
      <c r="D5801" s="2"/>
    </row>
    <row r="5802" spans="1:4" ht="12.75" customHeight="1" x14ac:dyDescent="0.2">
      <c r="B5802" s="11" t="s">
        <v>2599</v>
      </c>
      <c r="C5802" s="17" t="s">
        <v>3403</v>
      </c>
      <c r="D5802" s="2"/>
    </row>
    <row r="5803" spans="1:4" ht="25.5" customHeight="1" x14ac:dyDescent="0.2">
      <c r="B5803" s="11" t="s">
        <v>2600</v>
      </c>
      <c r="C5803" s="17" t="s">
        <v>3489</v>
      </c>
      <c r="D5803" s="2"/>
    </row>
    <row r="5804" spans="1:4" ht="25.5" customHeight="1" x14ac:dyDescent="0.2">
      <c r="B5804" s="11" t="s">
        <v>2601</v>
      </c>
      <c r="C5804" s="17"/>
      <c r="D5804" s="2"/>
    </row>
    <row r="5805" spans="1:4" ht="12.75" customHeight="1" x14ac:dyDescent="0.2">
      <c r="B5805" s="11" t="s">
        <v>16</v>
      </c>
      <c r="C5805" s="17"/>
      <c r="D5805" s="2"/>
    </row>
    <row r="5806" spans="1:4" ht="12.75" customHeight="1" x14ac:dyDescent="0.2">
      <c r="B5806" s="11" t="s">
        <v>13</v>
      </c>
      <c r="C5806" s="17" t="s">
        <v>2602</v>
      </c>
      <c r="D5806" s="2"/>
    </row>
    <row r="5807" spans="1:4" ht="25.5" customHeight="1" x14ac:dyDescent="0.2">
      <c r="B5807" s="11" t="s">
        <v>2603</v>
      </c>
      <c r="C5807" s="17" t="s">
        <v>2971</v>
      </c>
      <c r="D5807" s="2"/>
    </row>
    <row r="5808" spans="1:4" ht="12.75" customHeight="1" x14ac:dyDescent="0.2">
      <c r="B5808" s="11" t="s">
        <v>2605</v>
      </c>
      <c r="C5808" s="17" t="s">
        <v>14</v>
      </c>
      <c r="D5808" s="2"/>
    </row>
    <row r="5809" spans="1:4" ht="12.75" customHeight="1" x14ac:dyDescent="0.2">
      <c r="B5809" s="11" t="s">
        <v>2606</v>
      </c>
      <c r="C5809" s="16" t="s">
        <v>19</v>
      </c>
      <c r="D5809" s="2"/>
    </row>
    <row r="5810" spans="1:4" ht="12.75" customHeight="1" x14ac:dyDescent="0.2">
      <c r="B5810" s="2"/>
      <c r="C5810" s="15"/>
      <c r="D5810" s="2"/>
    </row>
    <row r="5811" spans="1:4" ht="12.75" customHeight="1" x14ac:dyDescent="0.2">
      <c r="B5811" s="2"/>
      <c r="C5811" s="15"/>
      <c r="D5811" s="2"/>
    </row>
    <row r="5812" spans="1:4" ht="12.75" customHeight="1" x14ac:dyDescent="0.2">
      <c r="A5812" s="13" t="s">
        <v>3405</v>
      </c>
      <c r="C5812" s="12"/>
      <c r="D5812" s="2"/>
    </row>
    <row r="5813" spans="1:4" ht="12.75" customHeight="1" x14ac:dyDescent="0.2">
      <c r="A5813" s="11"/>
      <c r="B5813" s="2"/>
      <c r="C5813" s="15"/>
      <c r="D5813" s="2"/>
    </row>
    <row r="5814" spans="1:4" ht="12.75" customHeight="1" x14ac:dyDescent="0.2">
      <c r="B5814" s="11" t="s">
        <v>0</v>
      </c>
      <c r="C5814" s="17" t="s">
        <v>392</v>
      </c>
      <c r="D5814" s="2"/>
    </row>
    <row r="5815" spans="1:4" ht="12.75" customHeight="1" x14ac:dyDescent="0.2">
      <c r="B5815" s="11" t="s">
        <v>2599</v>
      </c>
      <c r="C5815" s="17" t="s">
        <v>747</v>
      </c>
      <c r="D5815" s="2"/>
    </row>
    <row r="5816" spans="1:4" ht="25.5" customHeight="1" x14ac:dyDescent="0.2">
      <c r="B5816" s="11" t="s">
        <v>2600</v>
      </c>
      <c r="C5816" s="17" t="s">
        <v>3490</v>
      </c>
      <c r="D5816" s="2"/>
    </row>
    <row r="5817" spans="1:4" ht="25.5" customHeight="1" x14ac:dyDescent="0.2">
      <c r="B5817" s="11" t="s">
        <v>2601</v>
      </c>
      <c r="C5817" s="17"/>
      <c r="D5817" s="2"/>
    </row>
    <row r="5818" spans="1:4" ht="12.75" customHeight="1" x14ac:dyDescent="0.2">
      <c r="B5818" s="11" t="s">
        <v>16</v>
      </c>
      <c r="C5818" s="17"/>
      <c r="D5818" s="2"/>
    </row>
    <row r="5819" spans="1:4" ht="12.75" customHeight="1" x14ac:dyDescent="0.2">
      <c r="B5819" s="11" t="s">
        <v>13</v>
      </c>
      <c r="C5819" s="17" t="s">
        <v>2644</v>
      </c>
      <c r="D5819" s="2"/>
    </row>
    <row r="5820" spans="1:4" ht="25.5" customHeight="1" x14ac:dyDescent="0.2">
      <c r="B5820" s="11" t="s">
        <v>2603</v>
      </c>
      <c r="C5820" s="17" t="s">
        <v>2971</v>
      </c>
      <c r="D5820" s="2"/>
    </row>
    <row r="5821" spans="1:4" ht="12.75" customHeight="1" x14ac:dyDescent="0.2">
      <c r="B5821" s="11" t="s">
        <v>2605</v>
      </c>
      <c r="C5821" s="17" t="s">
        <v>14</v>
      </c>
      <c r="D5821" s="2"/>
    </row>
    <row r="5822" spans="1:4" ht="12.75" customHeight="1" x14ac:dyDescent="0.2">
      <c r="B5822" s="11" t="s">
        <v>2606</v>
      </c>
      <c r="C5822" s="16" t="s">
        <v>19</v>
      </c>
      <c r="D5822" s="2"/>
    </row>
    <row r="5823" spans="1:4" ht="12.75" customHeight="1" x14ac:dyDescent="0.2">
      <c r="B5823" s="2"/>
      <c r="C5823" s="15"/>
      <c r="D5823" s="2"/>
    </row>
    <row r="5824" spans="1:4" ht="12.75" customHeight="1" x14ac:dyDescent="0.2">
      <c r="B5824" s="2"/>
      <c r="C5824" s="15"/>
      <c r="D5824" s="2"/>
    </row>
    <row r="5825" spans="1:4" ht="12.75" customHeight="1" x14ac:dyDescent="0.2">
      <c r="A5825" s="13" t="s">
        <v>3491</v>
      </c>
      <c r="C5825" s="12"/>
    </row>
    <row r="5826" spans="1:4" ht="12.75" customHeight="1" x14ac:dyDescent="0.2">
      <c r="A5826" s="11"/>
      <c r="B5826" s="2"/>
      <c r="C5826" s="15"/>
      <c r="D5826" s="2"/>
    </row>
    <row r="5827" spans="1:4" ht="12.75" customHeight="1" x14ac:dyDescent="0.2">
      <c r="B5827" s="11" t="s">
        <v>0</v>
      </c>
      <c r="C5827" s="11" t="s">
        <v>392</v>
      </c>
    </row>
    <row r="5828" spans="1:4" ht="12.75" customHeight="1" x14ac:dyDescent="0.2">
      <c r="B5828" s="11" t="s">
        <v>2599</v>
      </c>
      <c r="C5828" s="11" t="s">
        <v>3492</v>
      </c>
    </row>
    <row r="5829" spans="1:4" ht="25.5" customHeight="1" x14ac:dyDescent="0.2">
      <c r="B5829" s="11" t="s">
        <v>2600</v>
      </c>
      <c r="C5829" s="11" t="s">
        <v>3493</v>
      </c>
    </row>
    <row r="5830" spans="1:4" ht="25.5" customHeight="1" x14ac:dyDescent="0.2">
      <c r="B5830" s="11" t="s">
        <v>2601</v>
      </c>
      <c r="C5830" s="11"/>
    </row>
    <row r="5831" spans="1:4" ht="12.75" customHeight="1" x14ac:dyDescent="0.2">
      <c r="B5831" s="11" t="s">
        <v>16</v>
      </c>
      <c r="C5831" s="11"/>
    </row>
    <row r="5832" spans="1:4" ht="12.75" customHeight="1" x14ac:dyDescent="0.2">
      <c r="B5832" s="11" t="s">
        <v>13</v>
      </c>
      <c r="C5832" s="11" t="s">
        <v>2644</v>
      </c>
    </row>
    <row r="5833" spans="1:4" ht="12.75" customHeight="1" x14ac:dyDescent="0.2">
      <c r="B5833" s="11" t="s">
        <v>2603</v>
      </c>
      <c r="C5833" s="11" t="s">
        <v>2604</v>
      </c>
    </row>
    <row r="5834" spans="1:4" ht="12.75" customHeight="1" x14ac:dyDescent="0.2">
      <c r="B5834" s="11" t="s">
        <v>2605</v>
      </c>
      <c r="C5834" s="11" t="s">
        <v>24</v>
      </c>
    </row>
    <row r="5835" spans="1:4" ht="12.75" customHeight="1" x14ac:dyDescent="0.2">
      <c r="B5835" s="11" t="s">
        <v>2606</v>
      </c>
      <c r="C5835" s="16" t="s">
        <v>142</v>
      </c>
      <c r="D5835" s="6" t="str">
        <f>HYPERLINK("javascript:void(0)","kincs")</f>
        <v>kincs</v>
      </c>
    </row>
    <row r="5836" spans="1:4" ht="12.75" customHeight="1" x14ac:dyDescent="0.2">
      <c r="B5836" s="2"/>
      <c r="C5836" s="15"/>
      <c r="D5836" s="2"/>
    </row>
    <row r="5837" spans="1:4" ht="12.75" customHeight="1" x14ac:dyDescent="0.2">
      <c r="B5837" s="2"/>
      <c r="C5837" s="15"/>
      <c r="D5837" s="2"/>
    </row>
    <row r="5838" spans="1:4" ht="12.75" customHeight="1" x14ac:dyDescent="0.2">
      <c r="A5838" s="13" t="s">
        <v>3494</v>
      </c>
      <c r="C5838" s="12"/>
    </row>
    <row r="5839" spans="1:4" ht="12.75" customHeight="1" x14ac:dyDescent="0.2">
      <c r="A5839" s="11"/>
      <c r="B5839" s="2"/>
      <c r="C5839" s="15"/>
      <c r="D5839" s="2"/>
    </row>
    <row r="5840" spans="1:4" ht="12.75" customHeight="1" x14ac:dyDescent="0.2">
      <c r="B5840" s="11" t="s">
        <v>0</v>
      </c>
      <c r="C5840" s="11" t="s">
        <v>392</v>
      </c>
    </row>
    <row r="5841" spans="1:4" ht="12.75" customHeight="1" x14ac:dyDescent="0.2">
      <c r="B5841" s="11" t="s">
        <v>2599</v>
      </c>
      <c r="C5841" s="11" t="s">
        <v>2807</v>
      </c>
    </row>
    <row r="5842" spans="1:4" ht="25.5" customHeight="1" x14ac:dyDescent="0.2">
      <c r="B5842" s="11" t="s">
        <v>2600</v>
      </c>
      <c r="C5842" s="11" t="s">
        <v>3495</v>
      </c>
    </row>
    <row r="5843" spans="1:4" ht="25.5" customHeight="1" x14ac:dyDescent="0.2">
      <c r="B5843" s="11" t="s">
        <v>2601</v>
      </c>
      <c r="C5843" s="11"/>
    </row>
    <row r="5844" spans="1:4" ht="12.75" customHeight="1" x14ac:dyDescent="0.2">
      <c r="B5844" s="11" t="s">
        <v>16</v>
      </c>
      <c r="C5844" s="11"/>
    </row>
    <row r="5845" spans="1:4" ht="12.75" customHeight="1" x14ac:dyDescent="0.2">
      <c r="B5845" s="11" t="s">
        <v>13</v>
      </c>
      <c r="C5845" s="11" t="s">
        <v>2602</v>
      </c>
    </row>
    <row r="5846" spans="1:4" ht="12.75" customHeight="1" x14ac:dyDescent="0.2">
      <c r="B5846" s="11" t="s">
        <v>2603</v>
      </c>
      <c r="C5846" s="11" t="s">
        <v>2604</v>
      </c>
    </row>
    <row r="5847" spans="1:4" ht="12.75" customHeight="1" x14ac:dyDescent="0.2">
      <c r="B5847" s="11" t="s">
        <v>2605</v>
      </c>
      <c r="C5847" s="11" t="s">
        <v>24</v>
      </c>
    </row>
    <row r="5848" spans="1:4" ht="12.75" customHeight="1" x14ac:dyDescent="0.2">
      <c r="B5848" s="11" t="s">
        <v>2606</v>
      </c>
      <c r="C5848" s="16" t="s">
        <v>56</v>
      </c>
      <c r="D5848" s="6" t="str">
        <f>HYPERLINK("javascript:void(0)","kincs")</f>
        <v>kincs</v>
      </c>
    </row>
    <row r="5849" spans="1:4" ht="25.5" customHeight="1" x14ac:dyDescent="0.2">
      <c r="C5849" s="16" t="s">
        <v>44</v>
      </c>
      <c r="D5849" s="6" t="str">
        <f>HYPERLINK("javascript:void(0)","lélegző sarokkő")</f>
        <v>lélegző sarokkő</v>
      </c>
    </row>
    <row r="5850" spans="1:4" ht="12.75" customHeight="1" x14ac:dyDescent="0.2">
      <c r="B5850" s="2"/>
      <c r="C5850" s="15"/>
      <c r="D5850" s="2"/>
    </row>
    <row r="5851" spans="1:4" ht="12.75" customHeight="1" x14ac:dyDescent="0.2">
      <c r="B5851" s="2"/>
      <c r="C5851" s="15"/>
      <c r="D5851" s="2"/>
    </row>
    <row r="5852" spans="1:4" ht="12.75" customHeight="1" x14ac:dyDescent="0.2">
      <c r="A5852" s="13" t="s">
        <v>3496</v>
      </c>
      <c r="C5852" s="12"/>
    </row>
    <row r="5853" spans="1:4" ht="12.75" customHeight="1" x14ac:dyDescent="0.2">
      <c r="A5853" s="11"/>
      <c r="B5853" s="2"/>
      <c r="C5853" s="15"/>
      <c r="D5853" s="2"/>
    </row>
    <row r="5854" spans="1:4" ht="12.75" customHeight="1" x14ac:dyDescent="0.2">
      <c r="B5854" s="11" t="s">
        <v>0</v>
      </c>
      <c r="C5854" s="11" t="s">
        <v>392</v>
      </c>
    </row>
    <row r="5855" spans="1:4" ht="12.75" customHeight="1" x14ac:dyDescent="0.2">
      <c r="B5855" s="11" t="s">
        <v>2599</v>
      </c>
      <c r="C5855" s="11" t="s">
        <v>3497</v>
      </c>
    </row>
    <row r="5856" spans="1:4" ht="25.5" customHeight="1" x14ac:dyDescent="0.2">
      <c r="B5856" s="11" t="s">
        <v>2600</v>
      </c>
      <c r="C5856" s="11" t="s">
        <v>3498</v>
      </c>
    </row>
    <row r="5857" spans="1:4" ht="25.5" customHeight="1" x14ac:dyDescent="0.2">
      <c r="B5857" s="11" t="s">
        <v>2601</v>
      </c>
      <c r="C5857" s="11"/>
    </row>
    <row r="5858" spans="1:4" ht="12.75" customHeight="1" x14ac:dyDescent="0.2">
      <c r="B5858" s="11" t="s">
        <v>16</v>
      </c>
      <c r="C5858" s="11"/>
    </row>
    <row r="5859" spans="1:4" ht="12.75" customHeight="1" x14ac:dyDescent="0.2">
      <c r="B5859" s="11" t="s">
        <v>13</v>
      </c>
      <c r="C5859" s="11" t="s">
        <v>2602</v>
      </c>
    </row>
    <row r="5860" spans="1:4" ht="12.75" customHeight="1" x14ac:dyDescent="0.2">
      <c r="B5860" s="11" t="s">
        <v>2603</v>
      </c>
      <c r="C5860" s="11" t="s">
        <v>2604</v>
      </c>
    </row>
    <row r="5861" spans="1:4" ht="12.75" customHeight="1" x14ac:dyDescent="0.2">
      <c r="B5861" s="11" t="s">
        <v>2605</v>
      </c>
      <c r="C5861" s="11" t="s">
        <v>24</v>
      </c>
    </row>
    <row r="5862" spans="1:4" ht="12.75" customHeight="1" x14ac:dyDescent="0.2">
      <c r="B5862" s="11" t="s">
        <v>2606</v>
      </c>
      <c r="C5862" s="16" t="s">
        <v>57</v>
      </c>
      <c r="D5862" s="6" t="str">
        <f>HYPERLINK("javascript:void(0)","kincs")</f>
        <v>kincs</v>
      </c>
    </row>
    <row r="5863" spans="1:4" ht="12.75" customHeight="1" x14ac:dyDescent="0.2">
      <c r="C5863" s="16" t="s">
        <v>55</v>
      </c>
      <c r="D5863" s="6" t="str">
        <f>HYPERLINK("javascript:void(0)","kaja")</f>
        <v>kaja</v>
      </c>
    </row>
    <row r="5864" spans="1:4" ht="12.75" customHeight="1" x14ac:dyDescent="0.2">
      <c r="B5864" s="2"/>
      <c r="C5864" s="15"/>
      <c r="D5864" s="2"/>
    </row>
    <row r="5865" spans="1:4" ht="12.75" customHeight="1" x14ac:dyDescent="0.2">
      <c r="B5865" s="2"/>
      <c r="C5865" s="15"/>
      <c r="D5865" s="2"/>
    </row>
    <row r="5866" spans="1:4" ht="12.75" customHeight="1" x14ac:dyDescent="0.2">
      <c r="A5866" s="13" t="s">
        <v>3499</v>
      </c>
      <c r="C5866" s="12"/>
    </row>
    <row r="5867" spans="1:4" ht="12.75" customHeight="1" x14ac:dyDescent="0.2">
      <c r="A5867" s="11"/>
      <c r="B5867" s="2"/>
      <c r="C5867" s="15"/>
      <c r="D5867" s="2"/>
    </row>
    <row r="5868" spans="1:4" ht="12.75" customHeight="1" x14ac:dyDescent="0.2">
      <c r="B5868" s="11" t="s">
        <v>0</v>
      </c>
      <c r="C5868" s="11" t="s">
        <v>392</v>
      </c>
    </row>
    <row r="5869" spans="1:4" ht="12.75" customHeight="1" x14ac:dyDescent="0.2">
      <c r="B5869" s="11" t="s">
        <v>2599</v>
      </c>
      <c r="C5869" s="11" t="s">
        <v>3500</v>
      </c>
    </row>
    <row r="5870" spans="1:4" ht="25.5" customHeight="1" x14ac:dyDescent="0.2">
      <c r="B5870" s="11" t="s">
        <v>2600</v>
      </c>
      <c r="C5870" s="11" t="s">
        <v>3501</v>
      </c>
    </row>
    <row r="5871" spans="1:4" ht="25.5" customHeight="1" x14ac:dyDescent="0.2">
      <c r="B5871" s="11" t="s">
        <v>2601</v>
      </c>
      <c r="C5871" s="11"/>
    </row>
    <row r="5872" spans="1:4" ht="12.75" customHeight="1" x14ac:dyDescent="0.2">
      <c r="B5872" s="11" t="s">
        <v>16</v>
      </c>
      <c r="C5872" s="11"/>
    </row>
    <row r="5873" spans="1:4" ht="12.75" customHeight="1" x14ac:dyDescent="0.2">
      <c r="B5873" s="11" t="s">
        <v>13</v>
      </c>
      <c r="C5873" s="11" t="s">
        <v>2602</v>
      </c>
    </row>
    <row r="5874" spans="1:4" ht="12.75" customHeight="1" x14ac:dyDescent="0.2">
      <c r="B5874" s="11" t="s">
        <v>2603</v>
      </c>
      <c r="C5874" s="11" t="s">
        <v>2604</v>
      </c>
    </row>
    <row r="5875" spans="1:4" ht="12.75" customHeight="1" x14ac:dyDescent="0.2">
      <c r="B5875" s="11" t="s">
        <v>2605</v>
      </c>
      <c r="C5875" s="11" t="s">
        <v>24</v>
      </c>
    </row>
    <row r="5876" spans="1:4" ht="12.75" customHeight="1" x14ac:dyDescent="0.2">
      <c r="B5876" s="11" t="s">
        <v>2606</v>
      </c>
      <c r="C5876" s="16" t="s">
        <v>56</v>
      </c>
      <c r="D5876" s="6" t="str">
        <f>HYPERLINK("javascript:void(0)","kincs")</f>
        <v>kincs</v>
      </c>
    </row>
    <row r="5877" spans="1:4" ht="25.5" customHeight="1" x14ac:dyDescent="0.2">
      <c r="C5877" s="16" t="s">
        <v>44</v>
      </c>
      <c r="D5877" s="6" t="str">
        <f>HYPERLINK("javascript:void(0)","hidracél gigapallo")</f>
        <v>hidracél gigapallo</v>
      </c>
    </row>
    <row r="5878" spans="1:4" ht="12.75" customHeight="1" x14ac:dyDescent="0.2">
      <c r="B5878" s="2"/>
      <c r="C5878" s="15"/>
      <c r="D5878" s="2"/>
    </row>
    <row r="5879" spans="1:4" ht="12.75" customHeight="1" x14ac:dyDescent="0.2">
      <c r="B5879" s="2"/>
      <c r="C5879" s="15"/>
      <c r="D5879" s="2"/>
    </row>
    <row r="5880" spans="1:4" ht="12.75" customHeight="1" x14ac:dyDescent="0.2">
      <c r="A5880" s="13" t="s">
        <v>3502</v>
      </c>
      <c r="C5880" s="12"/>
    </row>
    <row r="5881" spans="1:4" ht="12.75" customHeight="1" x14ac:dyDescent="0.2">
      <c r="A5881" s="11"/>
      <c r="B5881" s="2"/>
      <c r="C5881" s="15"/>
      <c r="D5881" s="2"/>
    </row>
    <row r="5882" spans="1:4" ht="12.75" customHeight="1" x14ac:dyDescent="0.2">
      <c r="B5882" s="11" t="s">
        <v>0</v>
      </c>
      <c r="C5882" s="11" t="s">
        <v>392</v>
      </c>
    </row>
    <row r="5883" spans="1:4" ht="12.75" customHeight="1" x14ac:dyDescent="0.2">
      <c r="B5883" s="11" t="s">
        <v>2599</v>
      </c>
      <c r="C5883" s="11" t="s">
        <v>3503</v>
      </c>
    </row>
    <row r="5884" spans="1:4" ht="25.5" customHeight="1" x14ac:dyDescent="0.2">
      <c r="B5884" s="11" t="s">
        <v>2600</v>
      </c>
      <c r="C5884" s="11" t="s">
        <v>3504</v>
      </c>
    </row>
    <row r="5885" spans="1:4" ht="25.5" customHeight="1" x14ac:dyDescent="0.2">
      <c r="B5885" s="11" t="s">
        <v>2601</v>
      </c>
      <c r="C5885" s="11"/>
    </row>
    <row r="5886" spans="1:4" ht="12.75" customHeight="1" x14ac:dyDescent="0.2">
      <c r="B5886" s="11" t="s">
        <v>16</v>
      </c>
      <c r="C5886" s="11"/>
    </row>
    <row r="5887" spans="1:4" ht="12.75" customHeight="1" x14ac:dyDescent="0.2">
      <c r="B5887" s="11" t="s">
        <v>13</v>
      </c>
      <c r="C5887" s="11" t="s">
        <v>2644</v>
      </c>
    </row>
    <row r="5888" spans="1:4" ht="12.75" customHeight="1" x14ac:dyDescent="0.2">
      <c r="B5888" s="11" t="s">
        <v>2603</v>
      </c>
      <c r="C5888" s="11" t="s">
        <v>2604</v>
      </c>
    </row>
    <row r="5889" spans="1:4" ht="12.75" customHeight="1" x14ac:dyDescent="0.2">
      <c r="B5889" s="11" t="s">
        <v>2605</v>
      </c>
      <c r="C5889" s="11" t="s">
        <v>24</v>
      </c>
    </row>
    <row r="5890" spans="1:4" ht="12.75" customHeight="1" x14ac:dyDescent="0.2">
      <c r="B5890" s="11" t="s">
        <v>2606</v>
      </c>
      <c r="C5890" s="16" t="s">
        <v>55</v>
      </c>
      <c r="D5890" s="6" t="str">
        <f>HYPERLINK("javascript:void(0)","kincs")</f>
        <v>kincs</v>
      </c>
    </row>
    <row r="5891" spans="1:4" ht="12.75" customHeight="1" x14ac:dyDescent="0.2">
      <c r="B5891" s="2"/>
      <c r="C5891" s="15"/>
      <c r="D5891" s="2"/>
    </row>
    <row r="5892" spans="1:4" ht="12.75" customHeight="1" x14ac:dyDescent="0.2">
      <c r="B5892" s="2"/>
      <c r="C5892" s="15"/>
      <c r="D5892" s="2"/>
    </row>
    <row r="5893" spans="1:4" ht="12.75" customHeight="1" x14ac:dyDescent="0.2">
      <c r="A5893" s="13" t="s">
        <v>3505</v>
      </c>
      <c r="C5893" s="12"/>
    </row>
    <row r="5894" spans="1:4" ht="12.75" customHeight="1" x14ac:dyDescent="0.2">
      <c r="A5894" s="11"/>
      <c r="B5894" s="2"/>
      <c r="C5894" s="15"/>
      <c r="D5894" s="2"/>
    </row>
    <row r="5895" spans="1:4" ht="12.75" customHeight="1" x14ac:dyDescent="0.2">
      <c r="B5895" s="11" t="s">
        <v>0</v>
      </c>
      <c r="C5895" s="11" t="s">
        <v>392</v>
      </c>
    </row>
    <row r="5896" spans="1:4" ht="12.75" customHeight="1" x14ac:dyDescent="0.2">
      <c r="B5896" s="11" t="s">
        <v>2599</v>
      </c>
      <c r="C5896" s="11" t="s">
        <v>422</v>
      </c>
    </row>
    <row r="5897" spans="1:4" ht="25.5" customHeight="1" x14ac:dyDescent="0.2">
      <c r="B5897" s="11" t="s">
        <v>2600</v>
      </c>
      <c r="C5897" s="11" t="s">
        <v>3506</v>
      </c>
    </row>
    <row r="5898" spans="1:4" ht="25.5" customHeight="1" x14ac:dyDescent="0.2">
      <c r="B5898" s="11" t="s">
        <v>2601</v>
      </c>
      <c r="C5898" s="11"/>
    </row>
    <row r="5899" spans="1:4" ht="12.75" customHeight="1" x14ac:dyDescent="0.2">
      <c r="B5899" s="11" t="s">
        <v>16</v>
      </c>
      <c r="C5899" s="11"/>
    </row>
    <row r="5900" spans="1:4" ht="12.75" customHeight="1" x14ac:dyDescent="0.2">
      <c r="B5900" s="11" t="s">
        <v>13</v>
      </c>
      <c r="C5900" s="11" t="s">
        <v>2644</v>
      </c>
    </row>
    <row r="5901" spans="1:4" ht="12.75" customHeight="1" x14ac:dyDescent="0.2">
      <c r="B5901" s="11" t="s">
        <v>2603</v>
      </c>
      <c r="C5901" s="11" t="s">
        <v>2604</v>
      </c>
    </row>
    <row r="5902" spans="1:4" ht="12.75" customHeight="1" x14ac:dyDescent="0.2">
      <c r="B5902" s="11" t="s">
        <v>2605</v>
      </c>
      <c r="C5902" s="11" t="s">
        <v>24</v>
      </c>
    </row>
    <row r="5903" spans="1:4" ht="12.75" customHeight="1" x14ac:dyDescent="0.2">
      <c r="B5903" s="11" t="s">
        <v>2606</v>
      </c>
      <c r="C5903" s="16" t="s">
        <v>232</v>
      </c>
      <c r="D5903" s="6" t="str">
        <f>HYPERLINK("javascript:void(0)","kincs")</f>
        <v>kincs</v>
      </c>
    </row>
    <row r="5904" spans="1:4" ht="12.75" customHeight="1" x14ac:dyDescent="0.2">
      <c r="B5904" s="2"/>
      <c r="C5904" s="15"/>
      <c r="D5904" s="2"/>
    </row>
    <row r="5905" spans="1:4" ht="12.75" customHeight="1" x14ac:dyDescent="0.2">
      <c r="B5905" s="2"/>
      <c r="C5905" s="15"/>
      <c r="D5905" s="2"/>
    </row>
    <row r="5906" spans="1:4" ht="12.75" customHeight="1" x14ac:dyDescent="0.2">
      <c r="A5906" s="13" t="s">
        <v>3507</v>
      </c>
      <c r="C5906" s="12"/>
    </row>
    <row r="5907" spans="1:4" ht="12.75" customHeight="1" x14ac:dyDescent="0.2">
      <c r="A5907" s="11"/>
      <c r="B5907" s="2"/>
      <c r="C5907" s="15"/>
      <c r="D5907" s="2"/>
    </row>
    <row r="5908" spans="1:4" ht="12.75" customHeight="1" x14ac:dyDescent="0.2">
      <c r="B5908" s="11" t="s">
        <v>0</v>
      </c>
      <c r="C5908" s="11" t="s">
        <v>392</v>
      </c>
    </row>
    <row r="5909" spans="1:4" ht="12.75" customHeight="1" x14ac:dyDescent="0.2">
      <c r="B5909" s="11" t="s">
        <v>2599</v>
      </c>
      <c r="C5909" s="11" t="s">
        <v>3508</v>
      </c>
    </row>
    <row r="5910" spans="1:4" ht="25.5" customHeight="1" x14ac:dyDescent="0.2">
      <c r="B5910" s="11" t="s">
        <v>2600</v>
      </c>
      <c r="C5910" s="11" t="s">
        <v>3509</v>
      </c>
    </row>
    <row r="5911" spans="1:4" ht="25.5" customHeight="1" x14ac:dyDescent="0.2">
      <c r="B5911" s="11" t="s">
        <v>2601</v>
      </c>
      <c r="C5911" s="11"/>
    </row>
    <row r="5912" spans="1:4" ht="12.75" customHeight="1" x14ac:dyDescent="0.2">
      <c r="B5912" s="11" t="s">
        <v>16</v>
      </c>
      <c r="C5912" s="11"/>
    </row>
    <row r="5913" spans="1:4" ht="12.75" customHeight="1" x14ac:dyDescent="0.2">
      <c r="B5913" s="11" t="s">
        <v>13</v>
      </c>
      <c r="C5913" s="11" t="s">
        <v>2644</v>
      </c>
    </row>
    <row r="5914" spans="1:4" ht="12.75" customHeight="1" x14ac:dyDescent="0.2">
      <c r="B5914" s="11" t="s">
        <v>2603</v>
      </c>
      <c r="C5914" s="11" t="s">
        <v>2604</v>
      </c>
    </row>
    <row r="5915" spans="1:4" ht="12.75" customHeight="1" x14ac:dyDescent="0.2">
      <c r="B5915" s="11" t="s">
        <v>2605</v>
      </c>
      <c r="C5915" s="11" t="s">
        <v>24</v>
      </c>
    </row>
    <row r="5916" spans="1:4" ht="12.75" customHeight="1" x14ac:dyDescent="0.2">
      <c r="B5916" s="11" t="s">
        <v>2606</v>
      </c>
      <c r="C5916" s="16" t="s">
        <v>44</v>
      </c>
      <c r="D5916" s="6" t="str">
        <f>HYPERLINK("javascript:void(0)","nekroige")</f>
        <v>nekroige</v>
      </c>
    </row>
    <row r="5917" spans="1:4" ht="12.75" customHeight="1" x14ac:dyDescent="0.2">
      <c r="B5917" s="2"/>
      <c r="C5917" s="15"/>
      <c r="D5917" s="2"/>
    </row>
    <row r="5918" spans="1:4" ht="12.75" customHeight="1" x14ac:dyDescent="0.2">
      <c r="B5918" s="2"/>
      <c r="C5918" s="15"/>
      <c r="D5918" s="2"/>
    </row>
    <row r="5919" spans="1:4" ht="12.75" customHeight="1" x14ac:dyDescent="0.2">
      <c r="A5919" s="13" t="s">
        <v>3510</v>
      </c>
      <c r="C5919" s="12"/>
    </row>
    <row r="5920" spans="1:4" ht="12.75" customHeight="1" x14ac:dyDescent="0.2">
      <c r="A5920" s="11"/>
      <c r="B5920" s="2"/>
      <c r="C5920" s="15"/>
      <c r="D5920" s="2"/>
    </row>
    <row r="5921" spans="1:4" ht="12.75" customHeight="1" x14ac:dyDescent="0.2">
      <c r="B5921" s="11" t="s">
        <v>0</v>
      </c>
      <c r="C5921" s="11" t="s">
        <v>392</v>
      </c>
    </row>
    <row r="5922" spans="1:4" ht="12.75" customHeight="1" x14ac:dyDescent="0.2">
      <c r="B5922" s="11" t="s">
        <v>2599</v>
      </c>
      <c r="C5922" s="11" t="s">
        <v>222</v>
      </c>
    </row>
    <row r="5923" spans="1:4" ht="25.5" customHeight="1" x14ac:dyDescent="0.2">
      <c r="B5923" s="11" t="s">
        <v>2600</v>
      </c>
      <c r="C5923" s="11" t="s">
        <v>3511</v>
      </c>
    </row>
    <row r="5924" spans="1:4" ht="25.5" customHeight="1" x14ac:dyDescent="0.2">
      <c r="B5924" s="11" t="s">
        <v>2601</v>
      </c>
      <c r="C5924" s="11"/>
    </row>
    <row r="5925" spans="1:4" ht="12.75" customHeight="1" x14ac:dyDescent="0.2">
      <c r="B5925" s="11" t="s">
        <v>16</v>
      </c>
      <c r="C5925" s="11"/>
    </row>
    <row r="5926" spans="1:4" ht="12.75" customHeight="1" x14ac:dyDescent="0.2">
      <c r="B5926" s="11" t="s">
        <v>13</v>
      </c>
      <c r="C5926" s="11" t="s">
        <v>2602</v>
      </c>
    </row>
    <row r="5927" spans="1:4" ht="12.75" customHeight="1" x14ac:dyDescent="0.2">
      <c r="B5927" s="11" t="s">
        <v>2603</v>
      </c>
      <c r="C5927" s="11" t="s">
        <v>2604</v>
      </c>
    </row>
    <row r="5928" spans="1:4" ht="12.75" customHeight="1" x14ac:dyDescent="0.2">
      <c r="B5928" s="11" t="s">
        <v>2605</v>
      </c>
      <c r="C5928" s="11" t="s">
        <v>24</v>
      </c>
    </row>
    <row r="5929" spans="1:4" ht="12.75" customHeight="1" x14ac:dyDescent="0.2">
      <c r="B5929" s="11" t="s">
        <v>2606</v>
      </c>
      <c r="C5929" s="16" t="s">
        <v>44</v>
      </c>
      <c r="D5929" s="6" t="str">
        <f>HYPERLINK("javascript:void(0)","robbanófej")</f>
        <v>robbanófej</v>
      </c>
    </row>
    <row r="5930" spans="1:4" ht="12.75" customHeight="1" x14ac:dyDescent="0.2">
      <c r="B5930" s="2"/>
      <c r="C5930" s="15"/>
      <c r="D5930" s="2"/>
    </row>
    <row r="5931" spans="1:4" ht="12.75" customHeight="1" x14ac:dyDescent="0.2">
      <c r="B5931" s="2"/>
      <c r="C5931" s="15"/>
      <c r="D5931" s="2"/>
    </row>
    <row r="5932" spans="1:4" ht="12.75" customHeight="1" x14ac:dyDescent="0.2">
      <c r="A5932" s="13" t="s">
        <v>3395</v>
      </c>
      <c r="C5932" s="12"/>
      <c r="D5932" s="2"/>
    </row>
    <row r="5933" spans="1:4" ht="12.75" customHeight="1" x14ac:dyDescent="0.2">
      <c r="A5933" s="11"/>
      <c r="B5933" s="2"/>
      <c r="C5933" s="15"/>
      <c r="D5933" s="2"/>
    </row>
    <row r="5934" spans="1:4" ht="12.75" customHeight="1" x14ac:dyDescent="0.2">
      <c r="B5934" s="11" t="s">
        <v>0</v>
      </c>
      <c r="C5934" s="17" t="s">
        <v>192</v>
      </c>
      <c r="D5934" s="2"/>
    </row>
    <row r="5935" spans="1:4" ht="12.75" customHeight="1" x14ac:dyDescent="0.2">
      <c r="B5935" s="11" t="s">
        <v>2599</v>
      </c>
      <c r="C5935" s="17" t="s">
        <v>747</v>
      </c>
      <c r="D5935" s="2"/>
    </row>
    <row r="5936" spans="1:4" ht="25.5" customHeight="1" x14ac:dyDescent="0.2">
      <c r="B5936" s="11" t="s">
        <v>2600</v>
      </c>
      <c r="C5936" s="17" t="s">
        <v>3512</v>
      </c>
      <c r="D5936" s="2"/>
    </row>
    <row r="5937" spans="1:4" ht="25.5" customHeight="1" x14ac:dyDescent="0.2">
      <c r="B5937" s="11" t="s">
        <v>2601</v>
      </c>
      <c r="C5937" s="17"/>
      <c r="D5937" s="2"/>
    </row>
    <row r="5938" spans="1:4" ht="12.75" customHeight="1" x14ac:dyDescent="0.2">
      <c r="B5938" s="11" t="s">
        <v>16</v>
      </c>
      <c r="C5938" s="17"/>
      <c r="D5938" s="2"/>
    </row>
    <row r="5939" spans="1:4" ht="12.75" customHeight="1" x14ac:dyDescent="0.2">
      <c r="B5939" s="11" t="s">
        <v>13</v>
      </c>
      <c r="C5939" s="17" t="s">
        <v>2644</v>
      </c>
      <c r="D5939" s="2"/>
    </row>
    <row r="5940" spans="1:4" ht="25.5" customHeight="1" x14ac:dyDescent="0.2">
      <c r="B5940" s="11" t="s">
        <v>2603</v>
      </c>
      <c r="C5940" s="17" t="s">
        <v>2971</v>
      </c>
      <c r="D5940" s="2"/>
    </row>
    <row r="5941" spans="1:4" ht="12.75" customHeight="1" x14ac:dyDescent="0.2">
      <c r="B5941" s="11" t="s">
        <v>2605</v>
      </c>
      <c r="C5941" s="17" t="s">
        <v>14</v>
      </c>
      <c r="D5941" s="2"/>
    </row>
    <row r="5942" spans="1:4" ht="12.75" customHeight="1" x14ac:dyDescent="0.2">
      <c r="B5942" s="11" t="s">
        <v>2606</v>
      </c>
      <c r="C5942" s="16" t="s">
        <v>19</v>
      </c>
      <c r="D5942" s="2"/>
    </row>
    <row r="5943" spans="1:4" ht="12.75" customHeight="1" x14ac:dyDescent="0.2">
      <c r="B5943" s="2"/>
      <c r="C5943" s="15"/>
      <c r="D5943" s="2"/>
    </row>
    <row r="5944" spans="1:4" ht="12.75" customHeight="1" x14ac:dyDescent="0.2">
      <c r="B5944" s="2"/>
      <c r="C5944" s="15"/>
      <c r="D5944" s="2"/>
    </row>
    <row r="5945" spans="1:4" ht="12.75" customHeight="1" x14ac:dyDescent="0.2">
      <c r="A5945" s="13" t="s">
        <v>3484</v>
      </c>
      <c r="C5945" s="12"/>
      <c r="D5945" s="2"/>
    </row>
    <row r="5946" spans="1:4" ht="12.75" customHeight="1" x14ac:dyDescent="0.2">
      <c r="A5946" s="11"/>
      <c r="B5946" s="2"/>
      <c r="C5946" s="15"/>
      <c r="D5946" s="2"/>
    </row>
    <row r="5947" spans="1:4" ht="12.75" customHeight="1" x14ac:dyDescent="0.2">
      <c r="B5947" s="11" t="s">
        <v>0</v>
      </c>
      <c r="C5947" s="17" t="s">
        <v>192</v>
      </c>
      <c r="D5947" s="2"/>
    </row>
    <row r="5948" spans="1:4" ht="12.75" customHeight="1" x14ac:dyDescent="0.2">
      <c r="B5948" s="11" t="s">
        <v>2599</v>
      </c>
      <c r="C5948" s="17" t="s">
        <v>3485</v>
      </c>
      <c r="D5948" s="2"/>
    </row>
    <row r="5949" spans="1:4" ht="25.5" customHeight="1" x14ac:dyDescent="0.2">
      <c r="B5949" s="11" t="s">
        <v>2600</v>
      </c>
      <c r="C5949" s="17" t="s">
        <v>3513</v>
      </c>
      <c r="D5949" s="2"/>
    </row>
    <row r="5950" spans="1:4" ht="25.5" customHeight="1" x14ac:dyDescent="0.2">
      <c r="B5950" s="11" t="s">
        <v>2601</v>
      </c>
      <c r="C5950" s="17"/>
      <c r="D5950" s="2"/>
    </row>
    <row r="5951" spans="1:4" ht="12.75" customHeight="1" x14ac:dyDescent="0.2">
      <c r="B5951" s="11" t="s">
        <v>16</v>
      </c>
      <c r="C5951" s="17"/>
      <c r="D5951" s="2"/>
    </row>
    <row r="5952" spans="1:4" ht="12.75" customHeight="1" x14ac:dyDescent="0.2">
      <c r="B5952" s="11" t="s">
        <v>13</v>
      </c>
      <c r="C5952" s="17" t="s">
        <v>2602</v>
      </c>
      <c r="D5952" s="2"/>
    </row>
    <row r="5953" spans="1:4" ht="25.5" customHeight="1" x14ac:dyDescent="0.2">
      <c r="B5953" s="11" t="s">
        <v>2603</v>
      </c>
      <c r="C5953" s="17" t="s">
        <v>2971</v>
      </c>
      <c r="D5953" s="2"/>
    </row>
    <row r="5954" spans="1:4" ht="12.75" customHeight="1" x14ac:dyDescent="0.2">
      <c r="B5954" s="11" t="s">
        <v>2605</v>
      </c>
      <c r="C5954" s="17" t="s">
        <v>14</v>
      </c>
      <c r="D5954" s="2"/>
    </row>
    <row r="5955" spans="1:4" ht="12.75" customHeight="1" x14ac:dyDescent="0.2">
      <c r="B5955" s="11" t="s">
        <v>2606</v>
      </c>
      <c r="C5955" s="16" t="s">
        <v>19</v>
      </c>
      <c r="D5955" s="2"/>
    </row>
    <row r="5956" spans="1:4" ht="12.75" customHeight="1" x14ac:dyDescent="0.2">
      <c r="B5956" s="2"/>
      <c r="C5956" s="15"/>
      <c r="D5956" s="2"/>
    </row>
    <row r="5957" spans="1:4" ht="12.75" customHeight="1" x14ac:dyDescent="0.2">
      <c r="B5957" s="2"/>
      <c r="C5957" s="15"/>
      <c r="D5957" s="2"/>
    </row>
    <row r="5958" spans="1:4" ht="12.75" customHeight="1" x14ac:dyDescent="0.2">
      <c r="A5958" s="13" t="s">
        <v>3398</v>
      </c>
      <c r="C5958" s="12"/>
      <c r="D5958" s="2"/>
    </row>
    <row r="5959" spans="1:4" ht="12.75" customHeight="1" x14ac:dyDescent="0.2">
      <c r="A5959" s="11"/>
      <c r="B5959" s="2"/>
      <c r="C5959" s="15"/>
      <c r="D5959" s="2"/>
    </row>
    <row r="5960" spans="1:4" ht="12.75" customHeight="1" x14ac:dyDescent="0.2">
      <c r="B5960" s="11" t="s">
        <v>0</v>
      </c>
      <c r="C5960" s="17" t="s">
        <v>192</v>
      </c>
      <c r="D5960" s="2"/>
    </row>
    <row r="5961" spans="1:4" ht="12.75" customHeight="1" x14ac:dyDescent="0.2">
      <c r="B5961" s="11" t="s">
        <v>2599</v>
      </c>
      <c r="C5961" s="17" t="s">
        <v>3399</v>
      </c>
      <c r="D5961" s="2"/>
    </row>
    <row r="5962" spans="1:4" ht="25.5" customHeight="1" x14ac:dyDescent="0.2">
      <c r="B5962" s="11" t="s">
        <v>2600</v>
      </c>
      <c r="C5962" s="17" t="s">
        <v>3514</v>
      </c>
      <c r="D5962" s="2"/>
    </row>
    <row r="5963" spans="1:4" ht="25.5" customHeight="1" x14ac:dyDescent="0.2">
      <c r="B5963" s="11" t="s">
        <v>2601</v>
      </c>
      <c r="C5963" s="17"/>
      <c r="D5963" s="2"/>
    </row>
    <row r="5964" spans="1:4" ht="12.75" customHeight="1" x14ac:dyDescent="0.2">
      <c r="B5964" s="11" t="s">
        <v>16</v>
      </c>
      <c r="C5964" s="17"/>
      <c r="D5964" s="2"/>
    </row>
    <row r="5965" spans="1:4" ht="12.75" customHeight="1" x14ac:dyDescent="0.2">
      <c r="B5965" s="11" t="s">
        <v>13</v>
      </c>
      <c r="C5965" s="17" t="s">
        <v>2644</v>
      </c>
      <c r="D5965" s="2"/>
    </row>
    <row r="5966" spans="1:4" ht="25.5" customHeight="1" x14ac:dyDescent="0.2">
      <c r="B5966" s="11" t="s">
        <v>2603</v>
      </c>
      <c r="C5966" s="17" t="s">
        <v>2971</v>
      </c>
      <c r="D5966" s="2"/>
    </row>
    <row r="5967" spans="1:4" ht="12.75" customHeight="1" x14ac:dyDescent="0.2">
      <c r="B5967" s="11" t="s">
        <v>2605</v>
      </c>
      <c r="C5967" s="17" t="s">
        <v>14</v>
      </c>
      <c r="D5967" s="2"/>
    </row>
    <row r="5968" spans="1:4" ht="12.75" customHeight="1" x14ac:dyDescent="0.2">
      <c r="B5968" s="11" t="s">
        <v>2606</v>
      </c>
      <c r="C5968" s="16" t="s">
        <v>19</v>
      </c>
      <c r="D5968" s="2"/>
    </row>
    <row r="5969" spans="1:4" ht="12.75" customHeight="1" x14ac:dyDescent="0.2">
      <c r="B5969" s="2"/>
      <c r="C5969" s="15"/>
      <c r="D5969" s="2"/>
    </row>
    <row r="5970" spans="1:4" ht="12.75" customHeight="1" x14ac:dyDescent="0.2">
      <c r="B5970" s="2"/>
      <c r="C5970" s="15"/>
      <c r="D5970" s="2"/>
    </row>
    <row r="5971" spans="1:4" ht="12.75" customHeight="1" x14ac:dyDescent="0.2">
      <c r="A5971" s="13" t="s">
        <v>3459</v>
      </c>
      <c r="C5971" s="12"/>
      <c r="D5971" s="2"/>
    </row>
    <row r="5972" spans="1:4" ht="12.75" customHeight="1" x14ac:dyDescent="0.2">
      <c r="A5972" s="11"/>
      <c r="B5972" s="2"/>
      <c r="C5972" s="15"/>
      <c r="D5972" s="2"/>
    </row>
    <row r="5973" spans="1:4" ht="12.75" customHeight="1" x14ac:dyDescent="0.2">
      <c r="B5973" s="11" t="s">
        <v>0</v>
      </c>
      <c r="C5973" s="17" t="s">
        <v>192</v>
      </c>
      <c r="D5973" s="2"/>
    </row>
    <row r="5974" spans="1:4" ht="12.75" customHeight="1" x14ac:dyDescent="0.2">
      <c r="B5974" s="11" t="s">
        <v>2599</v>
      </c>
      <c r="C5974" s="17" t="s">
        <v>3460</v>
      </c>
      <c r="D5974" s="2"/>
    </row>
    <row r="5975" spans="1:4" ht="25.5" customHeight="1" x14ac:dyDescent="0.2">
      <c r="B5975" s="11" t="s">
        <v>2600</v>
      </c>
      <c r="C5975" s="17" t="s">
        <v>3515</v>
      </c>
      <c r="D5975" s="2"/>
    </row>
    <row r="5976" spans="1:4" ht="25.5" customHeight="1" x14ac:dyDescent="0.2">
      <c r="B5976" s="11" t="s">
        <v>2601</v>
      </c>
      <c r="C5976" s="17"/>
      <c r="D5976" s="2"/>
    </row>
    <row r="5977" spans="1:4" ht="12.75" customHeight="1" x14ac:dyDescent="0.2">
      <c r="B5977" s="11" t="s">
        <v>16</v>
      </c>
      <c r="C5977" s="17"/>
      <c r="D5977" s="2"/>
    </row>
    <row r="5978" spans="1:4" ht="12.75" customHeight="1" x14ac:dyDescent="0.2">
      <c r="B5978" s="11" t="s">
        <v>13</v>
      </c>
      <c r="C5978" s="17" t="s">
        <v>2602</v>
      </c>
      <c r="D5978" s="2"/>
    </row>
    <row r="5979" spans="1:4" ht="25.5" customHeight="1" x14ac:dyDescent="0.2">
      <c r="B5979" s="11" t="s">
        <v>2603</v>
      </c>
      <c r="C5979" s="17" t="s">
        <v>2971</v>
      </c>
      <c r="D5979" s="2"/>
    </row>
    <row r="5980" spans="1:4" ht="12.75" customHeight="1" x14ac:dyDescent="0.2">
      <c r="B5980" s="11" t="s">
        <v>2605</v>
      </c>
      <c r="C5980" s="17" t="s">
        <v>14</v>
      </c>
      <c r="D5980" s="2"/>
    </row>
    <row r="5981" spans="1:4" ht="12.75" customHeight="1" x14ac:dyDescent="0.2">
      <c r="B5981" s="11" t="s">
        <v>2606</v>
      </c>
      <c r="C5981" s="16" t="s">
        <v>19</v>
      </c>
      <c r="D5981" s="2"/>
    </row>
    <row r="5982" spans="1:4" ht="12.75" customHeight="1" x14ac:dyDescent="0.2">
      <c r="B5982" s="2"/>
      <c r="C5982" s="15"/>
      <c r="D5982" s="2"/>
    </row>
    <row r="5983" spans="1:4" ht="12.75" customHeight="1" x14ac:dyDescent="0.2">
      <c r="B5983" s="2"/>
      <c r="C5983" s="15"/>
      <c r="D5983" s="2"/>
    </row>
    <row r="5984" spans="1:4" ht="12.75" customHeight="1" x14ac:dyDescent="0.2">
      <c r="A5984" s="13" t="s">
        <v>3402</v>
      </c>
      <c r="C5984" s="12"/>
      <c r="D5984" s="2"/>
    </row>
    <row r="5985" spans="1:4" ht="12.75" customHeight="1" x14ac:dyDescent="0.2">
      <c r="A5985" s="11"/>
      <c r="B5985" s="2"/>
      <c r="C5985" s="15"/>
      <c r="D5985" s="2"/>
    </row>
    <row r="5986" spans="1:4" ht="12.75" customHeight="1" x14ac:dyDescent="0.2">
      <c r="B5986" s="11" t="s">
        <v>0</v>
      </c>
      <c r="C5986" s="17" t="s">
        <v>192</v>
      </c>
      <c r="D5986" s="2"/>
    </row>
    <row r="5987" spans="1:4" ht="12.75" customHeight="1" x14ac:dyDescent="0.2">
      <c r="B5987" s="11" t="s">
        <v>2599</v>
      </c>
      <c r="C5987" s="17" t="s">
        <v>3403</v>
      </c>
      <c r="D5987" s="2"/>
    </row>
    <row r="5988" spans="1:4" ht="25.5" customHeight="1" x14ac:dyDescent="0.2">
      <c r="B5988" s="11" t="s">
        <v>2600</v>
      </c>
      <c r="C5988" s="17" t="s">
        <v>3516</v>
      </c>
      <c r="D5988" s="2"/>
    </row>
    <row r="5989" spans="1:4" ht="25.5" customHeight="1" x14ac:dyDescent="0.2">
      <c r="B5989" s="11" t="s">
        <v>2601</v>
      </c>
      <c r="C5989" s="17"/>
      <c r="D5989" s="2"/>
    </row>
    <row r="5990" spans="1:4" ht="12.75" customHeight="1" x14ac:dyDescent="0.2">
      <c r="B5990" s="11" t="s">
        <v>16</v>
      </c>
      <c r="C5990" s="17"/>
      <c r="D5990" s="2"/>
    </row>
    <row r="5991" spans="1:4" ht="12.75" customHeight="1" x14ac:dyDescent="0.2">
      <c r="B5991" s="11" t="s">
        <v>13</v>
      </c>
      <c r="C5991" s="17" t="s">
        <v>2602</v>
      </c>
      <c r="D5991" s="2"/>
    </row>
    <row r="5992" spans="1:4" ht="25.5" customHeight="1" x14ac:dyDescent="0.2">
      <c r="B5992" s="11" t="s">
        <v>2603</v>
      </c>
      <c r="C5992" s="17" t="s">
        <v>2971</v>
      </c>
      <c r="D5992" s="2"/>
    </row>
    <row r="5993" spans="1:4" ht="12.75" customHeight="1" x14ac:dyDescent="0.2">
      <c r="B5993" s="11" t="s">
        <v>2605</v>
      </c>
      <c r="C5993" s="17" t="s">
        <v>14</v>
      </c>
      <c r="D5993" s="2"/>
    </row>
    <row r="5994" spans="1:4" ht="12.75" customHeight="1" x14ac:dyDescent="0.2">
      <c r="B5994" s="11" t="s">
        <v>2606</v>
      </c>
      <c r="C5994" s="16" t="s">
        <v>19</v>
      </c>
      <c r="D5994" s="2"/>
    </row>
    <row r="5995" spans="1:4" ht="12.75" customHeight="1" x14ac:dyDescent="0.2">
      <c r="B5995" s="2"/>
      <c r="C5995" s="15"/>
      <c r="D5995" s="2"/>
    </row>
    <row r="5996" spans="1:4" ht="12.75" customHeight="1" x14ac:dyDescent="0.2">
      <c r="B5996" s="2"/>
      <c r="C5996" s="15"/>
      <c r="D5996" s="2"/>
    </row>
    <row r="5997" spans="1:4" ht="12.75" customHeight="1" x14ac:dyDescent="0.2">
      <c r="A5997" s="13" t="s">
        <v>3405</v>
      </c>
      <c r="C5997" s="12"/>
      <c r="D5997" s="2"/>
    </row>
    <row r="5998" spans="1:4" ht="12.75" customHeight="1" x14ac:dyDescent="0.2">
      <c r="A5998" s="11"/>
      <c r="B5998" s="2"/>
      <c r="C5998" s="15"/>
      <c r="D5998" s="2"/>
    </row>
    <row r="5999" spans="1:4" ht="12.75" customHeight="1" x14ac:dyDescent="0.2">
      <c r="B5999" s="11" t="s">
        <v>0</v>
      </c>
      <c r="C5999" s="17" t="s">
        <v>192</v>
      </c>
      <c r="D5999" s="2"/>
    </row>
    <row r="6000" spans="1:4" ht="12.75" customHeight="1" x14ac:dyDescent="0.2">
      <c r="B6000" s="11" t="s">
        <v>2599</v>
      </c>
      <c r="C6000" s="17" t="s">
        <v>747</v>
      </c>
      <c r="D6000" s="2"/>
    </row>
    <row r="6001" spans="1:4" ht="25.5" customHeight="1" x14ac:dyDescent="0.2">
      <c r="B6001" s="11" t="s">
        <v>2600</v>
      </c>
      <c r="C6001" s="17" t="s">
        <v>3517</v>
      </c>
      <c r="D6001" s="2"/>
    </row>
    <row r="6002" spans="1:4" ht="25.5" customHeight="1" x14ac:dyDescent="0.2">
      <c r="B6002" s="11" t="s">
        <v>2601</v>
      </c>
      <c r="C6002" s="17"/>
      <c r="D6002" s="2"/>
    </row>
    <row r="6003" spans="1:4" ht="12.75" customHeight="1" x14ac:dyDescent="0.2">
      <c r="B6003" s="11" t="s">
        <v>16</v>
      </c>
      <c r="C6003" s="17"/>
      <c r="D6003" s="2"/>
    </row>
    <row r="6004" spans="1:4" ht="12.75" customHeight="1" x14ac:dyDescent="0.2">
      <c r="B6004" s="11" t="s">
        <v>13</v>
      </c>
      <c r="C6004" s="17" t="s">
        <v>2644</v>
      </c>
      <c r="D6004" s="2"/>
    </row>
    <row r="6005" spans="1:4" ht="25.5" customHeight="1" x14ac:dyDescent="0.2">
      <c r="B6005" s="11" t="s">
        <v>2603</v>
      </c>
      <c r="C6005" s="17" t="s">
        <v>2971</v>
      </c>
      <c r="D6005" s="2"/>
    </row>
    <row r="6006" spans="1:4" ht="12.75" customHeight="1" x14ac:dyDescent="0.2">
      <c r="B6006" s="11" t="s">
        <v>2605</v>
      </c>
      <c r="C6006" s="17" t="s">
        <v>14</v>
      </c>
      <c r="D6006" s="2"/>
    </row>
    <row r="6007" spans="1:4" ht="12.75" customHeight="1" x14ac:dyDescent="0.2">
      <c r="B6007" s="11" t="s">
        <v>2606</v>
      </c>
      <c r="C6007" s="16" t="s">
        <v>19</v>
      </c>
      <c r="D6007" s="2"/>
    </row>
    <row r="6008" spans="1:4" ht="12.75" customHeight="1" x14ac:dyDescent="0.2">
      <c r="B6008" s="2"/>
      <c r="C6008" s="15"/>
      <c r="D6008" s="2"/>
    </row>
    <row r="6009" spans="1:4" ht="12.75" customHeight="1" x14ac:dyDescent="0.2">
      <c r="B6009" s="2"/>
      <c r="C6009" s="15"/>
      <c r="D6009" s="2"/>
    </row>
    <row r="6010" spans="1:4" ht="12.75" customHeight="1" x14ac:dyDescent="0.2">
      <c r="A6010" s="13" t="s">
        <v>3518</v>
      </c>
      <c r="C6010" s="12"/>
    </row>
    <row r="6011" spans="1:4" ht="12.75" customHeight="1" x14ac:dyDescent="0.2">
      <c r="A6011" s="11"/>
      <c r="B6011" s="2"/>
      <c r="C6011" s="15"/>
      <c r="D6011" s="2"/>
    </row>
    <row r="6012" spans="1:4" ht="12.75" customHeight="1" x14ac:dyDescent="0.2">
      <c r="B6012" s="11" t="s">
        <v>0</v>
      </c>
      <c r="C6012" s="11" t="s">
        <v>192</v>
      </c>
    </row>
    <row r="6013" spans="1:4" ht="12.75" customHeight="1" x14ac:dyDescent="0.2">
      <c r="B6013" s="11" t="s">
        <v>2599</v>
      </c>
      <c r="C6013" s="11" t="s">
        <v>3519</v>
      </c>
    </row>
    <row r="6014" spans="1:4" ht="25.5" customHeight="1" x14ac:dyDescent="0.2">
      <c r="B6014" s="11" t="s">
        <v>2600</v>
      </c>
      <c r="C6014" s="11" t="s">
        <v>3520</v>
      </c>
    </row>
    <row r="6015" spans="1:4" ht="25.5" customHeight="1" x14ac:dyDescent="0.2">
      <c r="B6015" s="11" t="s">
        <v>2601</v>
      </c>
      <c r="C6015" s="11"/>
    </row>
    <row r="6016" spans="1:4" ht="12.75" customHeight="1" x14ac:dyDescent="0.2">
      <c r="B6016" s="11" t="s">
        <v>16</v>
      </c>
      <c r="C6016" s="11"/>
    </row>
    <row r="6017" spans="1:4" ht="12.75" customHeight="1" x14ac:dyDescent="0.2">
      <c r="B6017" s="11" t="s">
        <v>13</v>
      </c>
      <c r="C6017" s="11" t="s">
        <v>2644</v>
      </c>
    </row>
    <row r="6018" spans="1:4" ht="12.75" customHeight="1" x14ac:dyDescent="0.2">
      <c r="B6018" s="11" t="s">
        <v>2603</v>
      </c>
      <c r="C6018" s="11" t="s">
        <v>2604</v>
      </c>
    </row>
    <row r="6019" spans="1:4" ht="12.75" customHeight="1" x14ac:dyDescent="0.2">
      <c r="B6019" s="11" t="s">
        <v>2605</v>
      </c>
      <c r="C6019" s="11" t="s">
        <v>24</v>
      </c>
    </row>
    <row r="6020" spans="1:4" ht="12.75" customHeight="1" x14ac:dyDescent="0.2">
      <c r="B6020" s="11" t="s">
        <v>2606</v>
      </c>
      <c r="C6020" s="16" t="s">
        <v>55</v>
      </c>
      <c r="D6020" s="6" t="str">
        <f>HYPERLINK("javascript:void(0)","kincs")</f>
        <v>kincs</v>
      </c>
    </row>
    <row r="6021" spans="1:4" ht="25.5" customHeight="1" x14ac:dyDescent="0.2">
      <c r="C6021" s="16" t="s">
        <v>56</v>
      </c>
      <c r="D6021" s="6" t="str">
        <f>HYPERLINK("javascript:void(0)","sárkány szem")</f>
        <v>sárkány szem</v>
      </c>
    </row>
    <row r="6022" spans="1:4" ht="12.75" customHeight="1" x14ac:dyDescent="0.2">
      <c r="B6022" s="2"/>
      <c r="C6022" s="15"/>
      <c r="D6022" s="2"/>
    </row>
    <row r="6023" spans="1:4" ht="12.75" customHeight="1" x14ac:dyDescent="0.2">
      <c r="B6023" s="2"/>
      <c r="C6023" s="15"/>
      <c r="D6023" s="2"/>
    </row>
    <row r="6024" spans="1:4" ht="12.75" customHeight="1" x14ac:dyDescent="0.2">
      <c r="A6024" s="13" t="s">
        <v>3521</v>
      </c>
      <c r="C6024" s="12"/>
    </row>
    <row r="6025" spans="1:4" ht="12.75" customHeight="1" x14ac:dyDescent="0.2">
      <c r="A6025" s="11"/>
      <c r="B6025" s="2"/>
      <c r="C6025" s="15"/>
      <c r="D6025" s="2"/>
    </row>
    <row r="6026" spans="1:4" ht="12.75" customHeight="1" x14ac:dyDescent="0.2">
      <c r="B6026" s="11" t="s">
        <v>0</v>
      </c>
      <c r="C6026" s="11" t="s">
        <v>192</v>
      </c>
    </row>
    <row r="6027" spans="1:4" ht="12.75" customHeight="1" x14ac:dyDescent="0.2">
      <c r="B6027" s="11" t="s">
        <v>2599</v>
      </c>
      <c r="C6027" s="11" t="s">
        <v>1127</v>
      </c>
    </row>
    <row r="6028" spans="1:4" ht="25.5" customHeight="1" x14ac:dyDescent="0.2">
      <c r="B6028" s="11" t="s">
        <v>2600</v>
      </c>
      <c r="C6028" s="11" t="s">
        <v>3522</v>
      </c>
    </row>
    <row r="6029" spans="1:4" ht="25.5" customHeight="1" x14ac:dyDescent="0.2">
      <c r="B6029" s="11" t="s">
        <v>2601</v>
      </c>
      <c r="C6029" s="11"/>
    </row>
    <row r="6030" spans="1:4" ht="12.75" customHeight="1" x14ac:dyDescent="0.2">
      <c r="B6030" s="11" t="s">
        <v>16</v>
      </c>
      <c r="C6030" s="11"/>
    </row>
    <row r="6031" spans="1:4" ht="12.75" customHeight="1" x14ac:dyDescent="0.2">
      <c r="B6031" s="11" t="s">
        <v>13</v>
      </c>
      <c r="C6031" s="11" t="s">
        <v>2602</v>
      </c>
    </row>
    <row r="6032" spans="1:4" ht="12.75" customHeight="1" x14ac:dyDescent="0.2">
      <c r="B6032" s="11" t="s">
        <v>2603</v>
      </c>
      <c r="C6032" s="11" t="s">
        <v>2604</v>
      </c>
    </row>
    <row r="6033" spans="1:4" ht="12.75" customHeight="1" x14ac:dyDescent="0.2">
      <c r="B6033" s="11" t="s">
        <v>2605</v>
      </c>
      <c r="C6033" s="11" t="s">
        <v>24</v>
      </c>
    </row>
    <row r="6034" spans="1:4" ht="12.75" customHeight="1" x14ac:dyDescent="0.2">
      <c r="B6034" s="11" t="s">
        <v>2606</v>
      </c>
      <c r="C6034" s="16" t="s">
        <v>77</v>
      </c>
      <c r="D6034" s="6" t="str">
        <f>HYPERLINK("javascript:void(0)","kincs")</f>
        <v>kincs</v>
      </c>
    </row>
    <row r="6035" spans="1:4" ht="25.5" customHeight="1" x14ac:dyDescent="0.2">
      <c r="C6035" s="16" t="s">
        <v>44</v>
      </c>
      <c r="D6035" s="6" t="str">
        <f>HYPERLINK("javascript:void(0)","lélegző sarokkő")</f>
        <v>lélegző sarokkő</v>
      </c>
    </row>
    <row r="6036" spans="1:4" ht="12.75" customHeight="1" x14ac:dyDescent="0.2">
      <c r="B6036" s="2"/>
      <c r="C6036" s="15"/>
      <c r="D6036" s="2"/>
    </row>
    <row r="6037" spans="1:4" ht="12.75" customHeight="1" x14ac:dyDescent="0.2">
      <c r="B6037" s="2"/>
      <c r="C6037" s="15"/>
      <c r="D6037" s="2"/>
    </row>
    <row r="6038" spans="1:4" ht="12.75" customHeight="1" x14ac:dyDescent="0.2">
      <c r="A6038" s="13" t="s">
        <v>3523</v>
      </c>
      <c r="C6038" s="12"/>
    </row>
    <row r="6039" spans="1:4" ht="12.75" customHeight="1" x14ac:dyDescent="0.2">
      <c r="A6039" s="11"/>
      <c r="B6039" s="2"/>
      <c r="C6039" s="15"/>
      <c r="D6039" s="2"/>
    </row>
    <row r="6040" spans="1:4" ht="12.75" customHeight="1" x14ac:dyDescent="0.2">
      <c r="B6040" s="11" t="s">
        <v>0</v>
      </c>
      <c r="C6040" s="11" t="s">
        <v>192</v>
      </c>
    </row>
    <row r="6041" spans="1:4" ht="12.75" customHeight="1" x14ac:dyDescent="0.2">
      <c r="B6041" s="11" t="s">
        <v>2599</v>
      </c>
      <c r="C6041" s="11" t="s">
        <v>2687</v>
      </c>
    </row>
    <row r="6042" spans="1:4" ht="25.5" customHeight="1" x14ac:dyDescent="0.2">
      <c r="B6042" s="11" t="s">
        <v>2600</v>
      </c>
      <c r="C6042" s="11" t="s">
        <v>3524</v>
      </c>
    </row>
    <row r="6043" spans="1:4" ht="25.5" customHeight="1" x14ac:dyDescent="0.2">
      <c r="B6043" s="11" t="s">
        <v>2601</v>
      </c>
      <c r="C6043" s="11"/>
    </row>
    <row r="6044" spans="1:4" ht="12.75" customHeight="1" x14ac:dyDescent="0.2">
      <c r="B6044" s="11" t="s">
        <v>16</v>
      </c>
      <c r="C6044" s="11"/>
    </row>
    <row r="6045" spans="1:4" ht="12.75" customHeight="1" x14ac:dyDescent="0.2">
      <c r="B6045" s="11" t="s">
        <v>13</v>
      </c>
      <c r="C6045" s="11" t="s">
        <v>2602</v>
      </c>
    </row>
    <row r="6046" spans="1:4" ht="12.75" customHeight="1" x14ac:dyDescent="0.2">
      <c r="B6046" s="11" t="s">
        <v>2603</v>
      </c>
      <c r="C6046" s="11" t="s">
        <v>2604</v>
      </c>
    </row>
    <row r="6047" spans="1:4" ht="12.75" customHeight="1" x14ac:dyDescent="0.2">
      <c r="B6047" s="11" t="s">
        <v>2605</v>
      </c>
      <c r="C6047" s="11" t="s">
        <v>24</v>
      </c>
    </row>
    <row r="6048" spans="1:4" ht="12.75" customHeight="1" x14ac:dyDescent="0.2">
      <c r="B6048" s="11" t="s">
        <v>2606</v>
      </c>
      <c r="C6048" s="16" t="s">
        <v>57</v>
      </c>
      <c r="D6048" s="6" t="str">
        <f>HYPERLINK("javascript:void(0)","kincs")</f>
        <v>kincs</v>
      </c>
    </row>
    <row r="6049" spans="1:4" ht="25.5" customHeight="1" x14ac:dyDescent="0.2">
      <c r="C6049" s="16" t="s">
        <v>44</v>
      </c>
      <c r="D6049" s="6" t="str">
        <f>HYPERLINK("javascript:void(0)","lélegző sarokkő")</f>
        <v>lélegző sarokkő</v>
      </c>
    </row>
    <row r="6050" spans="1:4" ht="12.75" customHeight="1" x14ac:dyDescent="0.2">
      <c r="C6050" s="16" t="s">
        <v>44</v>
      </c>
      <c r="D6050" s="6" t="str">
        <f>HYPERLINK("javascript:void(0)","aqua dei")</f>
        <v>aqua dei</v>
      </c>
    </row>
    <row r="6051" spans="1:4" ht="12.75" customHeight="1" x14ac:dyDescent="0.2">
      <c r="B6051" s="2"/>
      <c r="C6051" s="15"/>
      <c r="D6051" s="2"/>
    </row>
    <row r="6052" spans="1:4" ht="12.75" customHeight="1" x14ac:dyDescent="0.2">
      <c r="B6052" s="2"/>
      <c r="C6052" s="15"/>
      <c r="D6052" s="2"/>
    </row>
    <row r="6053" spans="1:4" ht="12.75" customHeight="1" x14ac:dyDescent="0.2">
      <c r="A6053" s="13" t="s">
        <v>3525</v>
      </c>
      <c r="C6053" s="12"/>
    </row>
    <row r="6054" spans="1:4" ht="12.75" customHeight="1" x14ac:dyDescent="0.2">
      <c r="A6054" s="11"/>
      <c r="B6054" s="2"/>
      <c r="C6054" s="15"/>
      <c r="D6054" s="2"/>
    </row>
    <row r="6055" spans="1:4" ht="12.75" customHeight="1" x14ac:dyDescent="0.2">
      <c r="B6055" s="11" t="s">
        <v>0</v>
      </c>
      <c r="C6055" s="11" t="s">
        <v>192</v>
      </c>
    </row>
    <row r="6056" spans="1:4" ht="12.75" customHeight="1" x14ac:dyDescent="0.2">
      <c r="B6056" s="11" t="s">
        <v>2599</v>
      </c>
      <c r="C6056" s="11" t="s">
        <v>3526</v>
      </c>
    </row>
    <row r="6057" spans="1:4" ht="25.5" customHeight="1" x14ac:dyDescent="0.2">
      <c r="B6057" s="11" t="s">
        <v>2600</v>
      </c>
      <c r="C6057" s="11" t="s">
        <v>3527</v>
      </c>
    </row>
    <row r="6058" spans="1:4" ht="25.5" customHeight="1" x14ac:dyDescent="0.2">
      <c r="B6058" s="11" t="s">
        <v>2601</v>
      </c>
      <c r="C6058" s="11"/>
    </row>
    <row r="6059" spans="1:4" ht="12.75" customHeight="1" x14ac:dyDescent="0.2">
      <c r="B6059" s="11" t="s">
        <v>16</v>
      </c>
      <c r="C6059" s="11"/>
    </row>
    <row r="6060" spans="1:4" ht="12.75" customHeight="1" x14ac:dyDescent="0.2">
      <c r="B6060" s="11" t="s">
        <v>13</v>
      </c>
      <c r="C6060" s="11" t="s">
        <v>2602</v>
      </c>
    </row>
    <row r="6061" spans="1:4" ht="12.75" customHeight="1" x14ac:dyDescent="0.2">
      <c r="B6061" s="11" t="s">
        <v>2603</v>
      </c>
      <c r="C6061" s="11" t="s">
        <v>2604</v>
      </c>
    </row>
    <row r="6062" spans="1:4" ht="12.75" customHeight="1" x14ac:dyDescent="0.2">
      <c r="B6062" s="11" t="s">
        <v>2605</v>
      </c>
      <c r="C6062" s="11" t="s">
        <v>24</v>
      </c>
    </row>
    <row r="6063" spans="1:4" ht="12.75" customHeight="1" x14ac:dyDescent="0.2">
      <c r="B6063" s="11" t="s">
        <v>2606</v>
      </c>
      <c r="C6063" s="16" t="s">
        <v>57</v>
      </c>
      <c r="D6063" s="6" t="str">
        <f>HYPERLINK("javascript:void(0)","kincs")</f>
        <v>kincs</v>
      </c>
    </row>
    <row r="6064" spans="1:4" ht="25.5" customHeight="1" x14ac:dyDescent="0.2">
      <c r="C6064" s="16" t="s">
        <v>44</v>
      </c>
      <c r="D6064" s="6" t="str">
        <f>HYPERLINK("javascript:void(0)","lélegző sarokkő")</f>
        <v>lélegző sarokkő</v>
      </c>
    </row>
    <row r="6065" spans="1:4" ht="12.75" customHeight="1" x14ac:dyDescent="0.2">
      <c r="C6065" s="16" t="s">
        <v>44</v>
      </c>
      <c r="D6065" s="6" t="str">
        <f>HYPERLINK("javascript:void(0)","manaital")</f>
        <v>manaital</v>
      </c>
    </row>
    <row r="6066" spans="1:4" ht="12.75" customHeight="1" x14ac:dyDescent="0.2">
      <c r="B6066" s="2"/>
      <c r="C6066" s="15"/>
      <c r="D6066" s="2"/>
    </row>
    <row r="6067" spans="1:4" ht="12.75" customHeight="1" x14ac:dyDescent="0.2">
      <c r="B6067" s="2"/>
      <c r="C6067" s="15"/>
      <c r="D6067" s="2"/>
    </row>
    <row r="6068" spans="1:4" ht="12.75" customHeight="1" x14ac:dyDescent="0.2">
      <c r="A6068" s="13" t="s">
        <v>3528</v>
      </c>
      <c r="C6068" s="12"/>
    </row>
    <row r="6069" spans="1:4" ht="12.75" customHeight="1" x14ac:dyDescent="0.2">
      <c r="A6069" s="11"/>
      <c r="B6069" s="2"/>
      <c r="C6069" s="15"/>
      <c r="D6069" s="2"/>
    </row>
    <row r="6070" spans="1:4" ht="12.75" customHeight="1" x14ac:dyDescent="0.2">
      <c r="B6070" s="11" t="s">
        <v>0</v>
      </c>
      <c r="C6070" s="11" t="s">
        <v>192</v>
      </c>
    </row>
    <row r="6071" spans="1:4" ht="12.75" customHeight="1" x14ac:dyDescent="0.2">
      <c r="B6071" s="11" t="s">
        <v>2599</v>
      </c>
      <c r="C6071" s="11" t="s">
        <v>3529</v>
      </c>
    </row>
    <row r="6072" spans="1:4" ht="25.5" customHeight="1" x14ac:dyDescent="0.2">
      <c r="B6072" s="11" t="s">
        <v>2600</v>
      </c>
      <c r="C6072" s="11" t="s">
        <v>3530</v>
      </c>
    </row>
    <row r="6073" spans="1:4" ht="25.5" customHeight="1" x14ac:dyDescent="0.2">
      <c r="B6073" s="11" t="s">
        <v>2601</v>
      </c>
      <c r="C6073" s="11"/>
    </row>
    <row r="6074" spans="1:4" ht="12.75" customHeight="1" x14ac:dyDescent="0.2">
      <c r="B6074" s="11" t="s">
        <v>16</v>
      </c>
      <c r="C6074" s="11"/>
    </row>
    <row r="6075" spans="1:4" ht="12.75" customHeight="1" x14ac:dyDescent="0.2">
      <c r="B6075" s="11" t="s">
        <v>13</v>
      </c>
      <c r="C6075" s="11" t="s">
        <v>2602</v>
      </c>
    </row>
    <row r="6076" spans="1:4" ht="12.75" customHeight="1" x14ac:dyDescent="0.2">
      <c r="B6076" s="11" t="s">
        <v>2603</v>
      </c>
      <c r="C6076" s="11" t="s">
        <v>2604</v>
      </c>
    </row>
    <row r="6077" spans="1:4" ht="12.75" customHeight="1" x14ac:dyDescent="0.2">
      <c r="B6077" s="11" t="s">
        <v>2605</v>
      </c>
      <c r="C6077" s="11" t="s">
        <v>24</v>
      </c>
    </row>
    <row r="6078" spans="1:4" ht="12.75" customHeight="1" x14ac:dyDescent="0.2">
      <c r="B6078" s="11" t="s">
        <v>2606</v>
      </c>
      <c r="C6078" s="16" t="s">
        <v>44</v>
      </c>
      <c r="D6078" s="6" t="str">
        <f>HYPERLINK("javascript:void(0)","kígyócsörgő")</f>
        <v>kígyócsörgő</v>
      </c>
    </row>
    <row r="6079" spans="1:4" ht="12.75" customHeight="1" x14ac:dyDescent="0.2">
      <c r="B6079" s="2"/>
      <c r="C6079" s="15"/>
      <c r="D6079" s="2"/>
    </row>
    <row r="6080" spans="1:4" ht="12.75" customHeight="1" x14ac:dyDescent="0.2">
      <c r="B6080" s="2"/>
      <c r="C6080" s="15"/>
      <c r="D6080" s="2"/>
    </row>
    <row r="6081" spans="1:4" ht="12.75" customHeight="1" x14ac:dyDescent="0.2">
      <c r="A6081" s="13" t="s">
        <v>3531</v>
      </c>
      <c r="C6081" s="12"/>
    </row>
    <row r="6082" spans="1:4" ht="12.75" customHeight="1" x14ac:dyDescent="0.2">
      <c r="A6082" s="11"/>
      <c r="B6082" s="2"/>
      <c r="C6082" s="15"/>
      <c r="D6082" s="2"/>
    </row>
    <row r="6083" spans="1:4" ht="12.75" customHeight="1" x14ac:dyDescent="0.2">
      <c r="B6083" s="11" t="s">
        <v>0</v>
      </c>
      <c r="C6083" s="11" t="s">
        <v>192</v>
      </c>
    </row>
    <row r="6084" spans="1:4" ht="12.75" customHeight="1" x14ac:dyDescent="0.2">
      <c r="B6084" s="11" t="s">
        <v>2599</v>
      </c>
      <c r="C6084" s="11" t="s">
        <v>425</v>
      </c>
    </row>
    <row r="6085" spans="1:4" ht="25.5" customHeight="1" x14ac:dyDescent="0.2">
      <c r="B6085" s="11" t="s">
        <v>2600</v>
      </c>
      <c r="C6085" s="11" t="s">
        <v>3532</v>
      </c>
    </row>
    <row r="6086" spans="1:4" ht="25.5" customHeight="1" x14ac:dyDescent="0.2">
      <c r="B6086" s="11" t="s">
        <v>2601</v>
      </c>
      <c r="C6086" s="11"/>
    </row>
    <row r="6087" spans="1:4" ht="12.75" customHeight="1" x14ac:dyDescent="0.2">
      <c r="B6087" s="11" t="s">
        <v>16</v>
      </c>
      <c r="C6087" s="11"/>
    </row>
    <row r="6088" spans="1:4" ht="12.75" customHeight="1" x14ac:dyDescent="0.2">
      <c r="B6088" s="11" t="s">
        <v>13</v>
      </c>
      <c r="C6088" s="11" t="s">
        <v>2644</v>
      </c>
    </row>
    <row r="6089" spans="1:4" ht="12.75" customHeight="1" x14ac:dyDescent="0.2">
      <c r="B6089" s="11" t="s">
        <v>2603</v>
      </c>
      <c r="C6089" s="11" t="s">
        <v>2604</v>
      </c>
    </row>
    <row r="6090" spans="1:4" ht="12.75" customHeight="1" x14ac:dyDescent="0.2">
      <c r="B6090" s="11" t="s">
        <v>2605</v>
      </c>
      <c r="C6090" s="11" t="s">
        <v>24</v>
      </c>
    </row>
    <row r="6091" spans="1:4" ht="12.75" customHeight="1" x14ac:dyDescent="0.2">
      <c r="B6091" s="11" t="s">
        <v>2606</v>
      </c>
      <c r="C6091" s="16" t="s">
        <v>68</v>
      </c>
      <c r="D6091" s="6" t="str">
        <f>HYPERLINK("javascript:void(0)","kincs")</f>
        <v>kincs</v>
      </c>
    </row>
    <row r="6092" spans="1:4" ht="12.75" customHeight="1" x14ac:dyDescent="0.2">
      <c r="B6092" s="2"/>
      <c r="C6092" s="15"/>
      <c r="D6092" s="2"/>
    </row>
    <row r="6093" spans="1:4" ht="12.75" customHeight="1" x14ac:dyDescent="0.2">
      <c r="B6093" s="2"/>
      <c r="C6093" s="15"/>
      <c r="D6093" s="2"/>
    </row>
    <row r="6094" spans="1:4" ht="12.75" customHeight="1" x14ac:dyDescent="0.2">
      <c r="A6094" s="13" t="s">
        <v>3533</v>
      </c>
      <c r="C6094" s="12"/>
    </row>
    <row r="6095" spans="1:4" ht="12.75" customHeight="1" x14ac:dyDescent="0.2">
      <c r="A6095" s="11"/>
      <c r="B6095" s="2"/>
      <c r="C6095" s="15"/>
      <c r="D6095" s="2"/>
    </row>
    <row r="6096" spans="1:4" ht="12.75" customHeight="1" x14ac:dyDescent="0.2">
      <c r="B6096" s="11" t="s">
        <v>0</v>
      </c>
      <c r="C6096" s="11" t="s">
        <v>192</v>
      </c>
    </row>
    <row r="6097" spans="1:4" ht="12.75" customHeight="1" x14ac:dyDescent="0.2">
      <c r="B6097" s="11" t="s">
        <v>2599</v>
      </c>
      <c r="C6097" s="11" t="s">
        <v>1837</v>
      </c>
    </row>
    <row r="6098" spans="1:4" ht="25.5" customHeight="1" x14ac:dyDescent="0.2">
      <c r="B6098" s="11" t="s">
        <v>2600</v>
      </c>
      <c r="C6098" s="11" t="s">
        <v>3534</v>
      </c>
    </row>
    <row r="6099" spans="1:4" ht="25.5" customHeight="1" x14ac:dyDescent="0.2">
      <c r="B6099" s="11" t="s">
        <v>2601</v>
      </c>
      <c r="C6099" s="11"/>
    </row>
    <row r="6100" spans="1:4" ht="12.75" customHeight="1" x14ac:dyDescent="0.2">
      <c r="B6100" s="11" t="s">
        <v>16</v>
      </c>
      <c r="C6100" s="11"/>
    </row>
    <row r="6101" spans="1:4" ht="12.75" customHeight="1" x14ac:dyDescent="0.2">
      <c r="B6101" s="11" t="s">
        <v>13</v>
      </c>
      <c r="C6101" s="11" t="s">
        <v>2644</v>
      </c>
    </row>
    <row r="6102" spans="1:4" ht="12.75" customHeight="1" x14ac:dyDescent="0.2">
      <c r="B6102" s="11" t="s">
        <v>2603</v>
      </c>
      <c r="C6102" s="11" t="s">
        <v>2604</v>
      </c>
    </row>
    <row r="6103" spans="1:4" ht="12.75" customHeight="1" x14ac:dyDescent="0.2">
      <c r="B6103" s="11" t="s">
        <v>2605</v>
      </c>
      <c r="C6103" s="11" t="s">
        <v>24</v>
      </c>
    </row>
    <row r="6104" spans="1:4" ht="25.5" customHeight="1" x14ac:dyDescent="0.2">
      <c r="B6104" s="11" t="s">
        <v>2606</v>
      </c>
      <c r="C6104" s="16" t="s">
        <v>44</v>
      </c>
      <c r="D6104" s="6" t="str">
        <f>HYPERLINK("javascript:void(0)","sárkány szív")</f>
        <v>sárkány szív</v>
      </c>
    </row>
    <row r="6105" spans="1:4" ht="12.75" customHeight="1" x14ac:dyDescent="0.2">
      <c r="C6105" s="16" t="s">
        <v>57</v>
      </c>
      <c r="D6105" s="6" t="str">
        <f>HYPERLINK("javascript:void(0)","kincs")</f>
        <v>kincs</v>
      </c>
    </row>
    <row r="6106" spans="1:4" ht="12.75" customHeight="1" x14ac:dyDescent="0.2">
      <c r="B6106" s="2"/>
      <c r="C6106" s="15"/>
      <c r="D6106" s="2"/>
    </row>
    <row r="6107" spans="1:4" ht="12.75" customHeight="1" x14ac:dyDescent="0.2">
      <c r="B6107" s="2"/>
      <c r="C6107" s="15"/>
      <c r="D6107" s="2"/>
    </row>
    <row r="6108" spans="1:4" ht="12.75" customHeight="1" x14ac:dyDescent="0.2">
      <c r="A6108" s="13" t="s">
        <v>3535</v>
      </c>
      <c r="C6108" s="12"/>
    </row>
    <row r="6109" spans="1:4" ht="12.75" customHeight="1" x14ac:dyDescent="0.2">
      <c r="A6109" s="11"/>
      <c r="B6109" s="2"/>
      <c r="C6109" s="15"/>
      <c r="D6109" s="2"/>
    </row>
    <row r="6110" spans="1:4" ht="12.75" customHeight="1" x14ac:dyDescent="0.2">
      <c r="B6110" s="11" t="s">
        <v>0</v>
      </c>
      <c r="C6110" s="11" t="s">
        <v>192</v>
      </c>
    </row>
    <row r="6111" spans="1:4" ht="12.75" customHeight="1" x14ac:dyDescent="0.2">
      <c r="B6111" s="11" t="s">
        <v>2599</v>
      </c>
      <c r="C6111" s="11" t="s">
        <v>554</v>
      </c>
    </row>
    <row r="6112" spans="1:4" ht="25.5" customHeight="1" x14ac:dyDescent="0.2">
      <c r="B6112" s="11" t="s">
        <v>2600</v>
      </c>
      <c r="C6112" s="11" t="s">
        <v>3536</v>
      </c>
    </row>
    <row r="6113" spans="1:4" ht="25.5" customHeight="1" x14ac:dyDescent="0.2">
      <c r="B6113" s="11" t="s">
        <v>2601</v>
      </c>
      <c r="C6113" s="11"/>
    </row>
    <row r="6114" spans="1:4" ht="12.75" customHeight="1" x14ac:dyDescent="0.2">
      <c r="B6114" s="11" t="s">
        <v>16</v>
      </c>
      <c r="C6114" s="11"/>
    </row>
    <row r="6115" spans="1:4" ht="12.75" customHeight="1" x14ac:dyDescent="0.2">
      <c r="B6115" s="11" t="s">
        <v>13</v>
      </c>
      <c r="C6115" s="11" t="s">
        <v>2644</v>
      </c>
    </row>
    <row r="6116" spans="1:4" ht="12.75" customHeight="1" x14ac:dyDescent="0.2">
      <c r="B6116" s="11" t="s">
        <v>2603</v>
      </c>
      <c r="C6116" s="11" t="s">
        <v>2604</v>
      </c>
    </row>
    <row r="6117" spans="1:4" ht="12.75" customHeight="1" x14ac:dyDescent="0.2">
      <c r="B6117" s="11" t="s">
        <v>2605</v>
      </c>
      <c r="C6117" s="11" t="s">
        <v>24</v>
      </c>
    </row>
    <row r="6118" spans="1:4" ht="12.75" customHeight="1" x14ac:dyDescent="0.2">
      <c r="B6118" s="11" t="s">
        <v>2606</v>
      </c>
      <c r="C6118" s="16" t="s">
        <v>44</v>
      </c>
      <c r="D6118" s="6" t="str">
        <f>HYPERLINK("javascript:void(0)","lámpás")</f>
        <v>lámpás</v>
      </c>
    </row>
    <row r="6119" spans="1:4" ht="12.75" customHeight="1" x14ac:dyDescent="0.2">
      <c r="B6119" s="2"/>
      <c r="C6119" s="15"/>
      <c r="D6119" s="2"/>
    </row>
    <row r="6120" spans="1:4" ht="12.75" customHeight="1" x14ac:dyDescent="0.2">
      <c r="B6120" s="2"/>
      <c r="C6120" s="15"/>
      <c r="D6120" s="2"/>
    </row>
    <row r="6121" spans="1:4" ht="12.75" customHeight="1" x14ac:dyDescent="0.2">
      <c r="A6121" s="13" t="s">
        <v>3537</v>
      </c>
      <c r="C6121" s="12"/>
      <c r="D6121" s="2"/>
    </row>
    <row r="6122" spans="1:4" ht="12.75" customHeight="1" x14ac:dyDescent="0.2">
      <c r="A6122" s="11"/>
      <c r="B6122" s="2"/>
      <c r="C6122" s="15"/>
      <c r="D6122" s="2"/>
    </row>
    <row r="6123" spans="1:4" ht="12.75" customHeight="1" x14ac:dyDescent="0.2">
      <c r="B6123" s="11" t="s">
        <v>0</v>
      </c>
      <c r="C6123" s="17" t="s">
        <v>115</v>
      </c>
      <c r="D6123" s="2"/>
    </row>
    <row r="6124" spans="1:4" ht="12.75" customHeight="1" x14ac:dyDescent="0.2">
      <c r="B6124" s="11" t="s">
        <v>2599</v>
      </c>
      <c r="C6124" s="17" t="s">
        <v>822</v>
      </c>
      <c r="D6124" s="2"/>
    </row>
    <row r="6125" spans="1:4" ht="25.5" customHeight="1" x14ac:dyDescent="0.2">
      <c r="B6125" s="11" t="s">
        <v>2600</v>
      </c>
      <c r="C6125" s="17" t="s">
        <v>3538</v>
      </c>
      <c r="D6125" s="2"/>
    </row>
    <row r="6126" spans="1:4" ht="25.5" customHeight="1" x14ac:dyDescent="0.2">
      <c r="B6126" s="11" t="s">
        <v>2601</v>
      </c>
      <c r="C6126" s="17"/>
      <c r="D6126" s="2"/>
    </row>
    <row r="6127" spans="1:4" ht="12.75" customHeight="1" x14ac:dyDescent="0.2">
      <c r="B6127" s="11" t="s">
        <v>16</v>
      </c>
      <c r="C6127" s="17"/>
      <c r="D6127" s="2"/>
    </row>
    <row r="6128" spans="1:4" ht="12.75" customHeight="1" x14ac:dyDescent="0.2">
      <c r="B6128" s="11" t="s">
        <v>13</v>
      </c>
      <c r="C6128" s="17" t="s">
        <v>2644</v>
      </c>
      <c r="D6128" s="2"/>
    </row>
    <row r="6129" spans="1:4" ht="12.75" customHeight="1" x14ac:dyDescent="0.2">
      <c r="B6129" s="11" t="s">
        <v>2603</v>
      </c>
      <c r="C6129" s="17" t="s">
        <v>128</v>
      </c>
      <c r="D6129" s="2"/>
    </row>
    <row r="6130" spans="1:4" ht="12.75" customHeight="1" x14ac:dyDescent="0.2">
      <c r="B6130" s="11" t="s">
        <v>2605</v>
      </c>
      <c r="C6130" s="17" t="s">
        <v>14</v>
      </c>
      <c r="D6130" s="2"/>
    </row>
    <row r="6131" spans="1:4" ht="12.75" customHeight="1" x14ac:dyDescent="0.2">
      <c r="B6131" s="11" t="s">
        <v>2606</v>
      </c>
      <c r="C6131" s="16" t="s">
        <v>19</v>
      </c>
      <c r="D6131" s="2"/>
    </row>
    <row r="6132" spans="1:4" ht="12.75" customHeight="1" x14ac:dyDescent="0.2">
      <c r="B6132" s="2"/>
      <c r="C6132" s="15"/>
      <c r="D6132" s="2"/>
    </row>
    <row r="6133" spans="1:4" ht="12.75" customHeight="1" x14ac:dyDescent="0.2">
      <c r="B6133" s="2"/>
      <c r="C6133" s="15"/>
      <c r="D6133" s="2"/>
    </row>
    <row r="6134" spans="1:4" ht="12.75" customHeight="1" x14ac:dyDescent="0.2">
      <c r="A6134" s="13" t="s">
        <v>3539</v>
      </c>
      <c r="C6134" s="12"/>
      <c r="D6134" s="2"/>
    </row>
    <row r="6135" spans="1:4" ht="12.75" customHeight="1" x14ac:dyDescent="0.2">
      <c r="A6135" s="11"/>
      <c r="B6135" s="2"/>
      <c r="C6135" s="15"/>
      <c r="D6135" s="2"/>
    </row>
    <row r="6136" spans="1:4" ht="12.75" customHeight="1" x14ac:dyDescent="0.2">
      <c r="B6136" s="11" t="s">
        <v>0</v>
      </c>
      <c r="C6136" s="17" t="s">
        <v>115</v>
      </c>
      <c r="D6136" s="2"/>
    </row>
    <row r="6137" spans="1:4" ht="12.75" customHeight="1" x14ac:dyDescent="0.2">
      <c r="B6137" s="11" t="s">
        <v>2599</v>
      </c>
      <c r="C6137" s="17" t="s">
        <v>747</v>
      </c>
      <c r="D6137" s="2"/>
    </row>
    <row r="6138" spans="1:4" ht="25.5" customHeight="1" x14ac:dyDescent="0.2">
      <c r="B6138" s="11" t="s">
        <v>2600</v>
      </c>
      <c r="C6138" s="17" t="s">
        <v>3538</v>
      </c>
      <c r="D6138" s="2"/>
    </row>
    <row r="6139" spans="1:4" ht="25.5" customHeight="1" x14ac:dyDescent="0.2">
      <c r="B6139" s="11" t="s">
        <v>2601</v>
      </c>
      <c r="C6139" s="17"/>
      <c r="D6139" s="2"/>
    </row>
    <row r="6140" spans="1:4" ht="12.75" customHeight="1" x14ac:dyDescent="0.2">
      <c r="B6140" s="11" t="s">
        <v>16</v>
      </c>
      <c r="C6140" s="17"/>
      <c r="D6140" s="2"/>
    </row>
    <row r="6141" spans="1:4" ht="12.75" customHeight="1" x14ac:dyDescent="0.2">
      <c r="B6141" s="11" t="s">
        <v>13</v>
      </c>
      <c r="C6141" s="17" t="s">
        <v>2644</v>
      </c>
      <c r="D6141" s="2"/>
    </row>
    <row r="6142" spans="1:4" ht="12.75" customHeight="1" x14ac:dyDescent="0.2">
      <c r="B6142" s="11" t="s">
        <v>2603</v>
      </c>
      <c r="C6142" s="17" t="s">
        <v>128</v>
      </c>
      <c r="D6142" s="2"/>
    </row>
    <row r="6143" spans="1:4" ht="12.75" customHeight="1" x14ac:dyDescent="0.2">
      <c r="B6143" s="11" t="s">
        <v>2605</v>
      </c>
      <c r="C6143" s="17" t="s">
        <v>14</v>
      </c>
      <c r="D6143" s="2"/>
    </row>
    <row r="6144" spans="1:4" ht="12.75" customHeight="1" x14ac:dyDescent="0.2">
      <c r="B6144" s="11" t="s">
        <v>2606</v>
      </c>
      <c r="C6144" s="16" t="s">
        <v>19</v>
      </c>
      <c r="D6144" s="2"/>
    </row>
    <row r="6145" spans="1:4" ht="12.75" customHeight="1" x14ac:dyDescent="0.2">
      <c r="B6145" s="2"/>
      <c r="C6145" s="15"/>
      <c r="D6145" s="2"/>
    </row>
    <row r="6146" spans="1:4" ht="12.75" customHeight="1" x14ac:dyDescent="0.2">
      <c r="B6146" s="2"/>
      <c r="C6146" s="15"/>
      <c r="D6146" s="2"/>
    </row>
    <row r="6147" spans="1:4" ht="12.75" customHeight="1" x14ac:dyDescent="0.2">
      <c r="A6147" s="13" t="s">
        <v>3540</v>
      </c>
      <c r="C6147" s="12"/>
      <c r="D6147" s="2"/>
    </row>
    <row r="6148" spans="1:4" ht="12.75" customHeight="1" x14ac:dyDescent="0.2">
      <c r="A6148" s="11"/>
      <c r="B6148" s="2"/>
      <c r="C6148" s="15"/>
      <c r="D6148" s="2"/>
    </row>
    <row r="6149" spans="1:4" ht="12.75" customHeight="1" x14ac:dyDescent="0.2">
      <c r="B6149" s="11" t="s">
        <v>0</v>
      </c>
      <c r="C6149" s="17" t="s">
        <v>115</v>
      </c>
      <c r="D6149" s="2"/>
    </row>
    <row r="6150" spans="1:4" ht="12.75" customHeight="1" x14ac:dyDescent="0.2">
      <c r="B6150" s="11" t="s">
        <v>2599</v>
      </c>
      <c r="C6150" s="17" t="s">
        <v>3541</v>
      </c>
      <c r="D6150" s="2"/>
    </row>
    <row r="6151" spans="1:4" ht="25.5" customHeight="1" x14ac:dyDescent="0.2">
      <c r="B6151" s="11" t="s">
        <v>2600</v>
      </c>
      <c r="C6151" s="17" t="s">
        <v>3542</v>
      </c>
      <c r="D6151" s="2"/>
    </row>
    <row r="6152" spans="1:4" ht="25.5" customHeight="1" x14ac:dyDescent="0.2">
      <c r="B6152" s="11" t="s">
        <v>2601</v>
      </c>
      <c r="C6152" s="17"/>
      <c r="D6152" s="2"/>
    </row>
    <row r="6153" spans="1:4" ht="12.75" customHeight="1" x14ac:dyDescent="0.2">
      <c r="B6153" s="11" t="s">
        <v>16</v>
      </c>
      <c r="C6153" s="17"/>
      <c r="D6153" s="2"/>
    </row>
    <row r="6154" spans="1:4" ht="12.75" customHeight="1" x14ac:dyDescent="0.2">
      <c r="B6154" s="11" t="s">
        <v>13</v>
      </c>
      <c r="C6154" s="17" t="s">
        <v>2644</v>
      </c>
      <c r="D6154" s="2"/>
    </row>
    <row r="6155" spans="1:4" ht="25.5" customHeight="1" x14ac:dyDescent="0.2">
      <c r="B6155" s="11" t="s">
        <v>2603</v>
      </c>
      <c r="C6155" s="17" t="s">
        <v>2971</v>
      </c>
      <c r="D6155" s="2"/>
    </row>
    <row r="6156" spans="1:4" ht="12.75" customHeight="1" x14ac:dyDescent="0.2">
      <c r="B6156" s="11" t="s">
        <v>2605</v>
      </c>
      <c r="C6156" s="17" t="s">
        <v>14</v>
      </c>
      <c r="D6156" s="2"/>
    </row>
    <row r="6157" spans="1:4" ht="12.75" customHeight="1" x14ac:dyDescent="0.2">
      <c r="B6157" s="11" t="s">
        <v>2606</v>
      </c>
      <c r="C6157" s="16" t="s">
        <v>19</v>
      </c>
      <c r="D6157" s="2"/>
    </row>
    <row r="6158" spans="1:4" ht="12.75" customHeight="1" x14ac:dyDescent="0.2">
      <c r="B6158" s="2"/>
      <c r="C6158" s="15"/>
      <c r="D6158" s="2"/>
    </row>
    <row r="6159" spans="1:4" ht="12.75" customHeight="1" x14ac:dyDescent="0.2">
      <c r="B6159" s="2"/>
      <c r="C6159" s="15"/>
      <c r="D6159" s="2"/>
    </row>
    <row r="6160" spans="1:4" ht="12.75" customHeight="1" x14ac:dyDescent="0.2">
      <c r="A6160" s="13" t="s">
        <v>3484</v>
      </c>
      <c r="C6160" s="12"/>
      <c r="D6160" s="2"/>
    </row>
    <row r="6161" spans="1:4" ht="12.75" customHeight="1" x14ac:dyDescent="0.2">
      <c r="A6161" s="11"/>
      <c r="B6161" s="2"/>
      <c r="C6161" s="15"/>
      <c r="D6161" s="2"/>
    </row>
    <row r="6162" spans="1:4" ht="12.75" customHeight="1" x14ac:dyDescent="0.2">
      <c r="B6162" s="11" t="s">
        <v>0</v>
      </c>
      <c r="C6162" s="17" t="s">
        <v>115</v>
      </c>
      <c r="D6162" s="2"/>
    </row>
    <row r="6163" spans="1:4" ht="12.75" customHeight="1" x14ac:dyDescent="0.2">
      <c r="B6163" s="11" t="s">
        <v>2599</v>
      </c>
      <c r="C6163" s="17" t="s">
        <v>3485</v>
      </c>
      <c r="D6163" s="2"/>
    </row>
    <row r="6164" spans="1:4" ht="25.5" customHeight="1" x14ac:dyDescent="0.2">
      <c r="B6164" s="11" t="s">
        <v>2600</v>
      </c>
      <c r="C6164" s="17" t="s">
        <v>3543</v>
      </c>
      <c r="D6164" s="2"/>
    </row>
    <row r="6165" spans="1:4" ht="25.5" customHeight="1" x14ac:dyDescent="0.2">
      <c r="B6165" s="11" t="s">
        <v>2601</v>
      </c>
      <c r="C6165" s="17"/>
      <c r="D6165" s="2"/>
    </row>
    <row r="6166" spans="1:4" ht="12.75" customHeight="1" x14ac:dyDescent="0.2">
      <c r="B6166" s="11" t="s">
        <v>16</v>
      </c>
      <c r="C6166" s="17"/>
      <c r="D6166" s="2"/>
    </row>
    <row r="6167" spans="1:4" ht="12.75" customHeight="1" x14ac:dyDescent="0.2">
      <c r="B6167" s="11" t="s">
        <v>13</v>
      </c>
      <c r="C6167" s="17" t="s">
        <v>2602</v>
      </c>
      <c r="D6167" s="2"/>
    </row>
    <row r="6168" spans="1:4" ht="25.5" customHeight="1" x14ac:dyDescent="0.2">
      <c r="B6168" s="11" t="s">
        <v>2603</v>
      </c>
      <c r="C6168" s="17" t="s">
        <v>2971</v>
      </c>
      <c r="D6168" s="2"/>
    </row>
    <row r="6169" spans="1:4" ht="12.75" customHeight="1" x14ac:dyDescent="0.2">
      <c r="B6169" s="11" t="s">
        <v>2605</v>
      </c>
      <c r="C6169" s="17" t="s">
        <v>14</v>
      </c>
      <c r="D6169" s="2"/>
    </row>
    <row r="6170" spans="1:4" ht="12.75" customHeight="1" x14ac:dyDescent="0.2">
      <c r="B6170" s="11" t="s">
        <v>2606</v>
      </c>
      <c r="C6170" s="16" t="s">
        <v>19</v>
      </c>
      <c r="D6170" s="2"/>
    </row>
    <row r="6171" spans="1:4" ht="12.75" customHeight="1" x14ac:dyDescent="0.2">
      <c r="B6171" s="2"/>
      <c r="C6171" s="15"/>
      <c r="D6171" s="2"/>
    </row>
    <row r="6172" spans="1:4" ht="12.75" customHeight="1" x14ac:dyDescent="0.2">
      <c r="B6172" s="2"/>
      <c r="C6172" s="15"/>
      <c r="D6172" s="2"/>
    </row>
    <row r="6173" spans="1:4" ht="12.75" customHeight="1" x14ac:dyDescent="0.2">
      <c r="A6173" s="13" t="s">
        <v>3544</v>
      </c>
      <c r="C6173" s="12"/>
      <c r="D6173" s="2"/>
    </row>
    <row r="6174" spans="1:4" ht="12.75" customHeight="1" x14ac:dyDescent="0.2">
      <c r="A6174" s="11"/>
      <c r="B6174" s="2"/>
      <c r="C6174" s="15"/>
      <c r="D6174" s="2"/>
    </row>
    <row r="6175" spans="1:4" ht="12.75" customHeight="1" x14ac:dyDescent="0.2">
      <c r="B6175" s="11" t="s">
        <v>0</v>
      </c>
      <c r="C6175" s="17" t="s">
        <v>115</v>
      </c>
      <c r="D6175" s="2"/>
    </row>
    <row r="6176" spans="1:4" ht="12.75" customHeight="1" x14ac:dyDescent="0.2">
      <c r="B6176" s="11" t="s">
        <v>2599</v>
      </c>
      <c r="C6176" s="17" t="s">
        <v>3545</v>
      </c>
      <c r="D6176" s="2"/>
    </row>
    <row r="6177" spans="1:4" ht="25.5" customHeight="1" x14ac:dyDescent="0.2">
      <c r="B6177" s="11" t="s">
        <v>2600</v>
      </c>
      <c r="C6177" s="17" t="s">
        <v>3546</v>
      </c>
      <c r="D6177" s="2"/>
    </row>
    <row r="6178" spans="1:4" ht="25.5" customHeight="1" x14ac:dyDescent="0.2">
      <c r="B6178" s="11" t="s">
        <v>2601</v>
      </c>
      <c r="C6178" s="17"/>
      <c r="D6178" s="2"/>
    </row>
    <row r="6179" spans="1:4" ht="12.75" customHeight="1" x14ac:dyDescent="0.2">
      <c r="B6179" s="11" t="s">
        <v>16</v>
      </c>
      <c r="C6179" s="17"/>
      <c r="D6179" s="2"/>
    </row>
    <row r="6180" spans="1:4" ht="12.75" customHeight="1" x14ac:dyDescent="0.2">
      <c r="B6180" s="11" t="s">
        <v>13</v>
      </c>
      <c r="C6180" s="17" t="s">
        <v>2644</v>
      </c>
      <c r="D6180" s="2"/>
    </row>
    <row r="6181" spans="1:4" ht="25.5" customHeight="1" x14ac:dyDescent="0.2">
      <c r="B6181" s="11" t="s">
        <v>2603</v>
      </c>
      <c r="C6181" s="17" t="s">
        <v>2971</v>
      </c>
      <c r="D6181" s="2"/>
    </row>
    <row r="6182" spans="1:4" ht="12.75" customHeight="1" x14ac:dyDescent="0.2">
      <c r="B6182" s="11" t="s">
        <v>2605</v>
      </c>
      <c r="C6182" s="17" t="s">
        <v>14</v>
      </c>
      <c r="D6182" s="2"/>
    </row>
    <row r="6183" spans="1:4" ht="12.75" customHeight="1" x14ac:dyDescent="0.2">
      <c r="B6183" s="11" t="s">
        <v>2606</v>
      </c>
      <c r="C6183" s="16" t="s">
        <v>19</v>
      </c>
      <c r="D6183" s="2"/>
    </row>
    <row r="6184" spans="1:4" ht="12.75" customHeight="1" x14ac:dyDescent="0.2">
      <c r="B6184" s="2"/>
      <c r="C6184" s="15"/>
      <c r="D6184" s="2"/>
    </row>
    <row r="6185" spans="1:4" ht="12.75" customHeight="1" x14ac:dyDescent="0.2">
      <c r="B6185" s="2"/>
      <c r="C6185" s="15"/>
      <c r="D6185" s="2"/>
    </row>
    <row r="6186" spans="1:4" ht="12.75" customHeight="1" x14ac:dyDescent="0.2">
      <c r="A6186" s="13" t="s">
        <v>3459</v>
      </c>
      <c r="C6186" s="12"/>
      <c r="D6186" s="2"/>
    </row>
    <row r="6187" spans="1:4" ht="12.75" customHeight="1" x14ac:dyDescent="0.2">
      <c r="A6187" s="11"/>
      <c r="B6187" s="2"/>
      <c r="C6187" s="15"/>
      <c r="D6187" s="2"/>
    </row>
    <row r="6188" spans="1:4" ht="12.75" customHeight="1" x14ac:dyDescent="0.2">
      <c r="B6188" s="11" t="s">
        <v>0</v>
      </c>
      <c r="C6188" s="17" t="s">
        <v>115</v>
      </c>
      <c r="D6188" s="2"/>
    </row>
    <row r="6189" spans="1:4" ht="12.75" customHeight="1" x14ac:dyDescent="0.2">
      <c r="B6189" s="11" t="s">
        <v>2599</v>
      </c>
      <c r="C6189" s="17" t="s">
        <v>3460</v>
      </c>
      <c r="D6189" s="2"/>
    </row>
    <row r="6190" spans="1:4" ht="25.5" customHeight="1" x14ac:dyDescent="0.2">
      <c r="B6190" s="11" t="s">
        <v>2600</v>
      </c>
      <c r="C6190" s="17" t="s">
        <v>3547</v>
      </c>
      <c r="D6190" s="2"/>
    </row>
    <row r="6191" spans="1:4" ht="25.5" customHeight="1" x14ac:dyDescent="0.2">
      <c r="B6191" s="11" t="s">
        <v>2601</v>
      </c>
      <c r="C6191" s="17"/>
      <c r="D6191" s="2"/>
    </row>
    <row r="6192" spans="1:4" ht="12.75" customHeight="1" x14ac:dyDescent="0.2">
      <c r="B6192" s="11" t="s">
        <v>16</v>
      </c>
      <c r="C6192" s="17"/>
      <c r="D6192" s="2"/>
    </row>
    <row r="6193" spans="1:4" ht="12.75" customHeight="1" x14ac:dyDescent="0.2">
      <c r="B6193" s="11" t="s">
        <v>13</v>
      </c>
      <c r="C6193" s="17" t="s">
        <v>2602</v>
      </c>
      <c r="D6193" s="2"/>
    </row>
    <row r="6194" spans="1:4" ht="25.5" customHeight="1" x14ac:dyDescent="0.2">
      <c r="B6194" s="11" t="s">
        <v>2603</v>
      </c>
      <c r="C6194" s="17" t="s">
        <v>2971</v>
      </c>
      <c r="D6194" s="2"/>
    </row>
    <row r="6195" spans="1:4" ht="12.75" customHeight="1" x14ac:dyDescent="0.2">
      <c r="B6195" s="11" t="s">
        <v>2605</v>
      </c>
      <c r="C6195" s="17" t="s">
        <v>14</v>
      </c>
      <c r="D6195" s="2"/>
    </row>
    <row r="6196" spans="1:4" ht="12.75" customHeight="1" x14ac:dyDescent="0.2">
      <c r="B6196" s="11" t="s">
        <v>2606</v>
      </c>
      <c r="C6196" s="16" t="s">
        <v>19</v>
      </c>
      <c r="D6196" s="2"/>
    </row>
    <row r="6197" spans="1:4" ht="12.75" customHeight="1" x14ac:dyDescent="0.2">
      <c r="B6197" s="2"/>
      <c r="C6197" s="15"/>
      <c r="D6197" s="2"/>
    </row>
    <row r="6198" spans="1:4" ht="12.75" customHeight="1" x14ac:dyDescent="0.2">
      <c r="B6198" s="2"/>
      <c r="C6198" s="15"/>
      <c r="D6198" s="2"/>
    </row>
    <row r="6199" spans="1:4" ht="12.75" customHeight="1" x14ac:dyDescent="0.2">
      <c r="A6199" s="13" t="s">
        <v>3548</v>
      </c>
      <c r="C6199" s="12"/>
      <c r="D6199" s="2"/>
    </row>
    <row r="6200" spans="1:4" ht="12.75" customHeight="1" x14ac:dyDescent="0.2">
      <c r="A6200" s="11"/>
      <c r="B6200" s="2"/>
      <c r="C6200" s="15"/>
      <c r="D6200" s="2"/>
    </row>
    <row r="6201" spans="1:4" ht="12.75" customHeight="1" x14ac:dyDescent="0.2">
      <c r="B6201" s="11" t="s">
        <v>0</v>
      </c>
      <c r="C6201" s="17" t="s">
        <v>115</v>
      </c>
      <c r="D6201" s="2"/>
    </row>
    <row r="6202" spans="1:4" ht="12.75" customHeight="1" x14ac:dyDescent="0.2">
      <c r="B6202" s="11" t="s">
        <v>2599</v>
      </c>
      <c r="C6202" s="17" t="s">
        <v>3549</v>
      </c>
      <c r="D6202" s="2"/>
    </row>
    <row r="6203" spans="1:4" ht="25.5" customHeight="1" x14ac:dyDescent="0.2">
      <c r="B6203" s="11" t="s">
        <v>2600</v>
      </c>
      <c r="C6203" s="17" t="s">
        <v>3550</v>
      </c>
      <c r="D6203" s="2"/>
    </row>
    <row r="6204" spans="1:4" ht="25.5" customHeight="1" x14ac:dyDescent="0.2">
      <c r="B6204" s="11" t="s">
        <v>2601</v>
      </c>
      <c r="C6204" s="17"/>
      <c r="D6204" s="2"/>
    </row>
    <row r="6205" spans="1:4" ht="12.75" customHeight="1" x14ac:dyDescent="0.2">
      <c r="B6205" s="11" t="s">
        <v>16</v>
      </c>
      <c r="C6205" s="17"/>
      <c r="D6205" s="2"/>
    </row>
    <row r="6206" spans="1:4" ht="12.75" customHeight="1" x14ac:dyDescent="0.2">
      <c r="B6206" s="11" t="s">
        <v>13</v>
      </c>
      <c r="C6206" s="17" t="s">
        <v>2602</v>
      </c>
      <c r="D6206" s="2"/>
    </row>
    <row r="6207" spans="1:4" ht="25.5" customHeight="1" x14ac:dyDescent="0.2">
      <c r="B6207" s="11" t="s">
        <v>2603</v>
      </c>
      <c r="C6207" s="17" t="s">
        <v>2971</v>
      </c>
      <c r="D6207" s="2"/>
    </row>
    <row r="6208" spans="1:4" ht="12.75" customHeight="1" x14ac:dyDescent="0.2">
      <c r="B6208" s="11" t="s">
        <v>2605</v>
      </c>
      <c r="C6208" s="17" t="s">
        <v>14</v>
      </c>
      <c r="D6208" s="2"/>
    </row>
    <row r="6209" spans="1:4" ht="12.75" customHeight="1" x14ac:dyDescent="0.2">
      <c r="B6209" s="11" t="s">
        <v>2606</v>
      </c>
      <c r="C6209" s="16" t="s">
        <v>19</v>
      </c>
      <c r="D6209" s="2"/>
    </row>
    <row r="6210" spans="1:4" ht="12.75" customHeight="1" x14ac:dyDescent="0.2">
      <c r="B6210" s="2"/>
      <c r="C6210" s="15"/>
      <c r="D6210" s="2"/>
    </row>
    <row r="6211" spans="1:4" ht="12.75" customHeight="1" x14ac:dyDescent="0.2">
      <c r="B6211" s="2"/>
      <c r="C6211" s="15"/>
      <c r="D6211" s="2"/>
    </row>
    <row r="6212" spans="1:4" ht="12.75" customHeight="1" x14ac:dyDescent="0.2">
      <c r="A6212" s="13" t="s">
        <v>3551</v>
      </c>
      <c r="C6212" s="12"/>
      <c r="D6212" s="2"/>
    </row>
    <row r="6213" spans="1:4" ht="12.75" customHeight="1" x14ac:dyDescent="0.2">
      <c r="A6213" s="11"/>
      <c r="B6213" s="2"/>
      <c r="C6213" s="15"/>
      <c r="D6213" s="2"/>
    </row>
    <row r="6214" spans="1:4" ht="12.75" customHeight="1" x14ac:dyDescent="0.2">
      <c r="B6214" s="11" t="s">
        <v>0</v>
      </c>
      <c r="C6214" s="17" t="s">
        <v>115</v>
      </c>
      <c r="D6214" s="2"/>
    </row>
    <row r="6215" spans="1:4" ht="12.75" customHeight="1" x14ac:dyDescent="0.2">
      <c r="B6215" s="11" t="s">
        <v>2599</v>
      </c>
      <c r="C6215" s="17" t="s">
        <v>3541</v>
      </c>
      <c r="D6215" s="2"/>
    </row>
    <row r="6216" spans="1:4" ht="25.5" customHeight="1" x14ac:dyDescent="0.2">
      <c r="B6216" s="11" t="s">
        <v>2600</v>
      </c>
      <c r="C6216" s="17" t="s">
        <v>3552</v>
      </c>
      <c r="D6216" s="2"/>
    </row>
    <row r="6217" spans="1:4" ht="25.5" customHeight="1" x14ac:dyDescent="0.2">
      <c r="B6217" s="11" t="s">
        <v>2601</v>
      </c>
      <c r="C6217" s="17"/>
      <c r="D6217" s="2"/>
    </row>
    <row r="6218" spans="1:4" ht="12.75" customHeight="1" x14ac:dyDescent="0.2">
      <c r="B6218" s="11" t="s">
        <v>16</v>
      </c>
      <c r="C6218" s="17"/>
      <c r="D6218" s="2"/>
    </row>
    <row r="6219" spans="1:4" ht="12.75" customHeight="1" x14ac:dyDescent="0.2">
      <c r="B6219" s="11" t="s">
        <v>13</v>
      </c>
      <c r="C6219" s="17" t="s">
        <v>2644</v>
      </c>
      <c r="D6219" s="2"/>
    </row>
    <row r="6220" spans="1:4" ht="25.5" customHeight="1" x14ac:dyDescent="0.2">
      <c r="B6220" s="11" t="s">
        <v>2603</v>
      </c>
      <c r="C6220" s="17" t="s">
        <v>2971</v>
      </c>
      <c r="D6220" s="2"/>
    </row>
    <row r="6221" spans="1:4" ht="12.75" customHeight="1" x14ac:dyDescent="0.2">
      <c r="B6221" s="11" t="s">
        <v>2605</v>
      </c>
      <c r="C6221" s="17" t="s">
        <v>14</v>
      </c>
      <c r="D6221" s="2"/>
    </row>
    <row r="6222" spans="1:4" ht="12.75" customHeight="1" x14ac:dyDescent="0.2">
      <c r="B6222" s="11" t="s">
        <v>2606</v>
      </c>
      <c r="C6222" s="16" t="s">
        <v>19</v>
      </c>
      <c r="D6222" s="2"/>
    </row>
    <row r="6223" spans="1:4" ht="12.75" customHeight="1" x14ac:dyDescent="0.2">
      <c r="B6223" s="2"/>
      <c r="C6223" s="15"/>
      <c r="D6223" s="2"/>
    </row>
    <row r="6224" spans="1:4" ht="12.75" customHeight="1" x14ac:dyDescent="0.2">
      <c r="B6224" s="2"/>
      <c r="C6224" s="15"/>
      <c r="D6224" s="2"/>
    </row>
    <row r="6225" spans="1:4" ht="12.75" customHeight="1" x14ac:dyDescent="0.2">
      <c r="A6225" s="13" t="s">
        <v>3553</v>
      </c>
      <c r="C6225" s="12"/>
    </row>
    <row r="6226" spans="1:4" ht="12.75" customHeight="1" x14ac:dyDescent="0.2">
      <c r="A6226" s="11"/>
      <c r="B6226" s="2"/>
      <c r="C6226" s="15"/>
      <c r="D6226" s="2"/>
    </row>
    <row r="6227" spans="1:4" ht="12.75" customHeight="1" x14ac:dyDescent="0.2">
      <c r="B6227" s="11" t="s">
        <v>0</v>
      </c>
      <c r="C6227" s="11" t="s">
        <v>115</v>
      </c>
    </row>
    <row r="6228" spans="1:4" ht="12.75" customHeight="1" x14ac:dyDescent="0.2">
      <c r="B6228" s="11" t="s">
        <v>2599</v>
      </c>
      <c r="C6228" s="11" t="s">
        <v>1162</v>
      </c>
    </row>
    <row r="6229" spans="1:4" ht="25.5" customHeight="1" x14ac:dyDescent="0.2">
      <c r="B6229" s="11" t="s">
        <v>2600</v>
      </c>
      <c r="C6229" s="11" t="s">
        <v>3554</v>
      </c>
    </row>
    <row r="6230" spans="1:4" ht="25.5" customHeight="1" x14ac:dyDescent="0.2">
      <c r="B6230" s="11" t="s">
        <v>2601</v>
      </c>
      <c r="C6230" s="11"/>
    </row>
    <row r="6231" spans="1:4" ht="12.75" customHeight="1" x14ac:dyDescent="0.2">
      <c r="B6231" s="11" t="s">
        <v>16</v>
      </c>
      <c r="C6231" s="11"/>
    </row>
    <row r="6232" spans="1:4" ht="12.75" customHeight="1" x14ac:dyDescent="0.2">
      <c r="B6232" s="11" t="s">
        <v>13</v>
      </c>
      <c r="C6232" s="11" t="s">
        <v>2602</v>
      </c>
    </row>
    <row r="6233" spans="1:4" ht="12.75" customHeight="1" x14ac:dyDescent="0.2">
      <c r="B6233" s="11" t="s">
        <v>2603</v>
      </c>
      <c r="C6233" s="11" t="s">
        <v>2604</v>
      </c>
    </row>
    <row r="6234" spans="1:4" ht="12.75" customHeight="1" x14ac:dyDescent="0.2">
      <c r="B6234" s="11" t="s">
        <v>2605</v>
      </c>
      <c r="C6234" s="11" t="s">
        <v>24</v>
      </c>
    </row>
    <row r="6235" spans="1:4" ht="12.75" customHeight="1" x14ac:dyDescent="0.2">
      <c r="B6235" s="11" t="s">
        <v>2606</v>
      </c>
      <c r="C6235" s="16" t="s">
        <v>142</v>
      </c>
      <c r="D6235" s="6" t="str">
        <f>HYPERLINK("javascript:void(0)","kincs")</f>
        <v>kincs</v>
      </c>
    </row>
    <row r="6236" spans="1:4" ht="25.5" customHeight="1" x14ac:dyDescent="0.2">
      <c r="C6236" s="16" t="s">
        <v>44</v>
      </c>
      <c r="D6236" s="6" t="str">
        <f>HYPERLINK("javascript:void(0)","lélegző sarokkő")</f>
        <v>lélegző sarokkő</v>
      </c>
    </row>
    <row r="6237" spans="1:4" ht="12.75" customHeight="1" x14ac:dyDescent="0.2">
      <c r="B6237" s="2"/>
      <c r="C6237" s="15"/>
      <c r="D6237" s="2"/>
    </row>
    <row r="6238" spans="1:4" ht="12.75" customHeight="1" x14ac:dyDescent="0.2">
      <c r="B6238" s="2"/>
      <c r="C6238" s="15"/>
      <c r="D6238" s="2"/>
    </row>
    <row r="6239" spans="1:4" ht="12.75" customHeight="1" x14ac:dyDescent="0.2">
      <c r="A6239" s="13" t="s">
        <v>3555</v>
      </c>
      <c r="C6239" s="12"/>
    </row>
    <row r="6240" spans="1:4" ht="12.75" customHeight="1" x14ac:dyDescent="0.2">
      <c r="A6240" s="11"/>
      <c r="B6240" s="2"/>
      <c r="C6240" s="15"/>
      <c r="D6240" s="2"/>
    </row>
    <row r="6241" spans="1:4" ht="12.75" customHeight="1" x14ac:dyDescent="0.2">
      <c r="B6241" s="11" t="s">
        <v>0</v>
      </c>
      <c r="C6241" s="11" t="s">
        <v>115</v>
      </c>
    </row>
    <row r="6242" spans="1:4" ht="12.75" customHeight="1" x14ac:dyDescent="0.2">
      <c r="B6242" s="11" t="s">
        <v>2599</v>
      </c>
      <c r="C6242" s="11" t="s">
        <v>1998</v>
      </c>
    </row>
    <row r="6243" spans="1:4" ht="25.5" customHeight="1" x14ac:dyDescent="0.2">
      <c r="B6243" s="11" t="s">
        <v>2600</v>
      </c>
      <c r="C6243" s="11" t="s">
        <v>3556</v>
      </c>
    </row>
    <row r="6244" spans="1:4" ht="25.5" customHeight="1" x14ac:dyDescent="0.2">
      <c r="B6244" s="11" t="s">
        <v>2601</v>
      </c>
      <c r="C6244" s="11"/>
    </row>
    <row r="6245" spans="1:4" ht="12.75" customHeight="1" x14ac:dyDescent="0.2">
      <c r="B6245" s="11" t="s">
        <v>16</v>
      </c>
      <c r="C6245" s="11"/>
    </row>
    <row r="6246" spans="1:4" ht="12.75" customHeight="1" x14ac:dyDescent="0.2">
      <c r="B6246" s="11" t="s">
        <v>13</v>
      </c>
      <c r="C6246" s="11" t="s">
        <v>2602</v>
      </c>
    </row>
    <row r="6247" spans="1:4" ht="12.75" customHeight="1" x14ac:dyDescent="0.2">
      <c r="B6247" s="11" t="s">
        <v>2603</v>
      </c>
      <c r="C6247" s="11" t="s">
        <v>2604</v>
      </c>
    </row>
    <row r="6248" spans="1:4" ht="12.75" customHeight="1" x14ac:dyDescent="0.2">
      <c r="B6248" s="11" t="s">
        <v>2605</v>
      </c>
      <c r="C6248" s="11" t="s">
        <v>24</v>
      </c>
    </row>
    <row r="6249" spans="1:4" ht="12.75" customHeight="1" x14ac:dyDescent="0.2">
      <c r="B6249" s="11" t="s">
        <v>2606</v>
      </c>
      <c r="C6249" s="16" t="s">
        <v>55</v>
      </c>
      <c r="D6249" s="6" t="str">
        <f>HYPERLINK("javascript:void(0)","kincs")</f>
        <v>kincs</v>
      </c>
    </row>
    <row r="6250" spans="1:4" ht="25.5" customHeight="1" x14ac:dyDescent="0.2">
      <c r="C6250" s="16" t="s">
        <v>44</v>
      </c>
      <c r="D6250" s="6" t="str">
        <f>HYPERLINK("javascript:void(0)","lélegző sarokkő")</f>
        <v>lélegző sarokkő</v>
      </c>
    </row>
    <row r="6251" spans="1:4" ht="12.75" customHeight="1" x14ac:dyDescent="0.2">
      <c r="C6251" s="16" t="s">
        <v>44</v>
      </c>
      <c r="D6251" s="6" t="str">
        <f>HYPERLINK("javascript:void(0)","manaital")</f>
        <v>manaital</v>
      </c>
    </row>
    <row r="6252" spans="1:4" ht="12.75" customHeight="1" x14ac:dyDescent="0.2">
      <c r="B6252" s="2"/>
      <c r="C6252" s="15"/>
      <c r="D6252" s="2"/>
    </row>
    <row r="6253" spans="1:4" ht="12.75" customHeight="1" x14ac:dyDescent="0.2">
      <c r="B6253" s="2"/>
      <c r="C6253" s="15"/>
      <c r="D6253" s="2"/>
    </row>
    <row r="6254" spans="1:4" ht="12.75" customHeight="1" x14ac:dyDescent="0.2">
      <c r="A6254" s="13" t="s">
        <v>3557</v>
      </c>
      <c r="C6254" s="12"/>
    </row>
    <row r="6255" spans="1:4" ht="12.75" customHeight="1" x14ac:dyDescent="0.2">
      <c r="A6255" s="11"/>
      <c r="B6255" s="2"/>
      <c r="C6255" s="15"/>
      <c r="D6255" s="2"/>
    </row>
    <row r="6256" spans="1:4" ht="12.75" customHeight="1" x14ac:dyDescent="0.2">
      <c r="B6256" s="11" t="s">
        <v>0</v>
      </c>
      <c r="C6256" s="11" t="s">
        <v>115</v>
      </c>
    </row>
    <row r="6257" spans="1:4" ht="12.75" customHeight="1" x14ac:dyDescent="0.2">
      <c r="B6257" s="11" t="s">
        <v>2599</v>
      </c>
      <c r="C6257" s="11" t="s">
        <v>2691</v>
      </c>
    </row>
    <row r="6258" spans="1:4" ht="25.5" customHeight="1" x14ac:dyDescent="0.2">
      <c r="B6258" s="11" t="s">
        <v>2600</v>
      </c>
      <c r="C6258" s="11" t="s">
        <v>3558</v>
      </c>
    </row>
    <row r="6259" spans="1:4" ht="25.5" customHeight="1" x14ac:dyDescent="0.2">
      <c r="B6259" s="11" t="s">
        <v>2601</v>
      </c>
      <c r="C6259" s="11"/>
    </row>
    <row r="6260" spans="1:4" ht="12.75" customHeight="1" x14ac:dyDescent="0.2">
      <c r="B6260" s="11" t="s">
        <v>16</v>
      </c>
      <c r="C6260" s="11"/>
    </row>
    <row r="6261" spans="1:4" ht="12.75" customHeight="1" x14ac:dyDescent="0.2">
      <c r="B6261" s="11" t="s">
        <v>13</v>
      </c>
      <c r="C6261" s="11" t="s">
        <v>2602</v>
      </c>
    </row>
    <row r="6262" spans="1:4" ht="12.75" customHeight="1" x14ac:dyDescent="0.2">
      <c r="B6262" s="11" t="s">
        <v>2603</v>
      </c>
      <c r="C6262" s="11" t="s">
        <v>2604</v>
      </c>
    </row>
    <row r="6263" spans="1:4" ht="12.75" customHeight="1" x14ac:dyDescent="0.2">
      <c r="B6263" s="11" t="s">
        <v>2605</v>
      </c>
      <c r="C6263" s="11" t="s">
        <v>24</v>
      </c>
    </row>
    <row r="6264" spans="1:4" ht="12.75" customHeight="1" x14ac:dyDescent="0.2">
      <c r="B6264" s="11" t="s">
        <v>2606</v>
      </c>
      <c r="C6264" s="16" t="s">
        <v>44</v>
      </c>
      <c r="D6264" s="6" t="str">
        <f>HYPERLINK("javascript:void(0)","démonfog")</f>
        <v>démonfog</v>
      </c>
    </row>
    <row r="6265" spans="1:4" ht="12.75" customHeight="1" x14ac:dyDescent="0.2">
      <c r="B6265" s="2"/>
      <c r="C6265" s="15"/>
      <c r="D6265" s="2"/>
    </row>
    <row r="6266" spans="1:4" ht="12.75" customHeight="1" x14ac:dyDescent="0.2">
      <c r="B6266" s="2"/>
      <c r="C6266" s="15"/>
      <c r="D6266" s="2"/>
    </row>
    <row r="6267" spans="1:4" ht="12.75" customHeight="1" x14ac:dyDescent="0.2">
      <c r="A6267" s="13" t="s">
        <v>3559</v>
      </c>
      <c r="C6267" s="12"/>
    </row>
    <row r="6268" spans="1:4" ht="12.75" customHeight="1" x14ac:dyDescent="0.2">
      <c r="A6268" s="11"/>
      <c r="B6268" s="2"/>
      <c r="C6268" s="15"/>
      <c r="D6268" s="2"/>
    </row>
    <row r="6269" spans="1:4" ht="12.75" customHeight="1" x14ac:dyDescent="0.2">
      <c r="B6269" s="11" t="s">
        <v>0</v>
      </c>
      <c r="C6269" s="11" t="s">
        <v>115</v>
      </c>
    </row>
    <row r="6270" spans="1:4" ht="12.75" customHeight="1" x14ac:dyDescent="0.2">
      <c r="B6270" s="11" t="s">
        <v>2599</v>
      </c>
      <c r="C6270" s="11" t="s">
        <v>3560</v>
      </c>
    </row>
    <row r="6271" spans="1:4" ht="25.5" customHeight="1" x14ac:dyDescent="0.2">
      <c r="B6271" s="11" t="s">
        <v>2600</v>
      </c>
      <c r="C6271" s="11" t="s">
        <v>3561</v>
      </c>
    </row>
    <row r="6272" spans="1:4" ht="25.5" customHeight="1" x14ac:dyDescent="0.2">
      <c r="B6272" s="11" t="s">
        <v>2601</v>
      </c>
      <c r="C6272" s="11"/>
    </row>
    <row r="6273" spans="1:4" ht="12.75" customHeight="1" x14ac:dyDescent="0.2">
      <c r="B6273" s="11" t="s">
        <v>16</v>
      </c>
      <c r="C6273" s="11"/>
    </row>
    <row r="6274" spans="1:4" ht="12.75" customHeight="1" x14ac:dyDescent="0.2">
      <c r="B6274" s="11" t="s">
        <v>13</v>
      </c>
      <c r="C6274" s="11" t="s">
        <v>2602</v>
      </c>
    </row>
    <row r="6275" spans="1:4" ht="12.75" customHeight="1" x14ac:dyDescent="0.2">
      <c r="B6275" s="11" t="s">
        <v>2603</v>
      </c>
      <c r="C6275" s="11" t="s">
        <v>2604</v>
      </c>
    </row>
    <row r="6276" spans="1:4" ht="12.75" customHeight="1" x14ac:dyDescent="0.2">
      <c r="B6276" s="11" t="s">
        <v>2605</v>
      </c>
      <c r="C6276" s="11" t="s">
        <v>24</v>
      </c>
    </row>
    <row r="6277" spans="1:4" ht="12.75" customHeight="1" x14ac:dyDescent="0.2">
      <c r="B6277" s="11" t="s">
        <v>2606</v>
      </c>
      <c r="C6277" s="16" t="s">
        <v>55</v>
      </c>
      <c r="D6277" s="6" t="str">
        <f>HYPERLINK("javascript:void(0)","kincs")</f>
        <v>kincs</v>
      </c>
    </row>
    <row r="6278" spans="1:4" ht="25.5" customHeight="1" x14ac:dyDescent="0.2">
      <c r="C6278" s="16" t="s">
        <v>44</v>
      </c>
      <c r="D6278" s="6" t="str">
        <f>HYPERLINK("javascript:void(0)","sárkány taréj")</f>
        <v>sárkány taréj</v>
      </c>
    </row>
    <row r="6279" spans="1:4" ht="12.75" customHeight="1" x14ac:dyDescent="0.2">
      <c r="B6279" s="2"/>
      <c r="C6279" s="15"/>
      <c r="D6279" s="2"/>
    </row>
    <row r="6280" spans="1:4" ht="12.75" customHeight="1" x14ac:dyDescent="0.2">
      <c r="B6280" s="2"/>
      <c r="C6280" s="15"/>
      <c r="D6280" s="2"/>
    </row>
    <row r="6281" spans="1:4" ht="12.75" customHeight="1" x14ac:dyDescent="0.2">
      <c r="A6281" s="13" t="s">
        <v>3562</v>
      </c>
      <c r="C6281" s="12"/>
    </row>
    <row r="6282" spans="1:4" ht="12.75" customHeight="1" x14ac:dyDescent="0.2">
      <c r="A6282" s="11"/>
      <c r="B6282" s="2"/>
      <c r="C6282" s="15"/>
      <c r="D6282" s="2"/>
    </row>
    <row r="6283" spans="1:4" ht="12.75" customHeight="1" x14ac:dyDescent="0.2">
      <c r="B6283" s="11" t="s">
        <v>0</v>
      </c>
      <c r="C6283" s="11" t="s">
        <v>115</v>
      </c>
    </row>
    <row r="6284" spans="1:4" ht="12.75" customHeight="1" x14ac:dyDescent="0.2">
      <c r="B6284" s="11" t="s">
        <v>2599</v>
      </c>
      <c r="C6284" s="11" t="s">
        <v>3563</v>
      </c>
    </row>
    <row r="6285" spans="1:4" ht="25.5" customHeight="1" x14ac:dyDescent="0.2">
      <c r="B6285" s="11" t="s">
        <v>2600</v>
      </c>
      <c r="C6285" s="11" t="s">
        <v>3564</v>
      </c>
    </row>
    <row r="6286" spans="1:4" ht="25.5" customHeight="1" x14ac:dyDescent="0.2">
      <c r="B6286" s="11" t="s">
        <v>2601</v>
      </c>
      <c r="C6286" s="11"/>
    </row>
    <row r="6287" spans="1:4" ht="12.75" customHeight="1" x14ac:dyDescent="0.2">
      <c r="B6287" s="11" t="s">
        <v>16</v>
      </c>
      <c r="C6287" s="11"/>
    </row>
    <row r="6288" spans="1:4" ht="12.75" customHeight="1" x14ac:dyDescent="0.2">
      <c r="B6288" s="11" t="s">
        <v>13</v>
      </c>
      <c r="C6288" s="11" t="s">
        <v>2644</v>
      </c>
    </row>
    <row r="6289" spans="1:4" ht="12.75" customHeight="1" x14ac:dyDescent="0.2">
      <c r="B6289" s="11" t="s">
        <v>2603</v>
      </c>
      <c r="C6289" s="11" t="s">
        <v>2604</v>
      </c>
    </row>
    <row r="6290" spans="1:4" ht="12.75" customHeight="1" x14ac:dyDescent="0.2">
      <c r="B6290" s="11" t="s">
        <v>2605</v>
      </c>
      <c r="C6290" s="11" t="s">
        <v>24</v>
      </c>
    </row>
    <row r="6291" spans="1:4" ht="12.75" customHeight="1" x14ac:dyDescent="0.2">
      <c r="B6291" s="11" t="s">
        <v>2606</v>
      </c>
      <c r="C6291" s="16" t="s">
        <v>55</v>
      </c>
      <c r="D6291" s="6" t="str">
        <f>HYPERLINK("javascript:void(0)","kincs")</f>
        <v>kincs</v>
      </c>
    </row>
    <row r="6292" spans="1:4" ht="25.5" customHeight="1" x14ac:dyDescent="0.2">
      <c r="C6292" s="16" t="s">
        <v>56</v>
      </c>
      <c r="D6292" s="6" t="str">
        <f>HYPERLINK("javascript:void(0)","sárkány szív")</f>
        <v>sárkány szív</v>
      </c>
    </row>
    <row r="6293" spans="1:4" ht="12.75" customHeight="1" x14ac:dyDescent="0.2">
      <c r="B6293" s="2"/>
      <c r="C6293" s="15"/>
      <c r="D6293" s="2"/>
    </row>
    <row r="6294" spans="1:4" ht="12.75" customHeight="1" x14ac:dyDescent="0.2">
      <c r="B6294" s="2"/>
      <c r="C6294" s="15"/>
      <c r="D6294" s="2"/>
    </row>
    <row r="6295" spans="1:4" ht="12.75" customHeight="1" x14ac:dyDescent="0.2">
      <c r="A6295" s="13" t="s">
        <v>3565</v>
      </c>
      <c r="C6295" s="12"/>
    </row>
    <row r="6296" spans="1:4" ht="12.75" customHeight="1" x14ac:dyDescent="0.2">
      <c r="A6296" s="11"/>
      <c r="B6296" s="2"/>
      <c r="C6296" s="15"/>
      <c r="D6296" s="2"/>
    </row>
    <row r="6297" spans="1:4" ht="12.75" customHeight="1" x14ac:dyDescent="0.2">
      <c r="B6297" s="11" t="s">
        <v>0</v>
      </c>
      <c r="C6297" s="11" t="s">
        <v>115</v>
      </c>
    </row>
    <row r="6298" spans="1:4" ht="12.75" customHeight="1" x14ac:dyDescent="0.2">
      <c r="B6298" s="11" t="s">
        <v>2599</v>
      </c>
      <c r="C6298" s="11" t="s">
        <v>3566</v>
      </c>
    </row>
    <row r="6299" spans="1:4" ht="25.5" customHeight="1" x14ac:dyDescent="0.2">
      <c r="B6299" s="11" t="s">
        <v>2600</v>
      </c>
      <c r="C6299" s="11" t="s">
        <v>3567</v>
      </c>
    </row>
    <row r="6300" spans="1:4" ht="25.5" customHeight="1" x14ac:dyDescent="0.2">
      <c r="B6300" s="11" t="s">
        <v>2601</v>
      </c>
      <c r="C6300" s="11"/>
    </row>
    <row r="6301" spans="1:4" ht="12.75" customHeight="1" x14ac:dyDescent="0.2">
      <c r="B6301" s="11" t="s">
        <v>16</v>
      </c>
      <c r="C6301" s="11"/>
    </row>
    <row r="6302" spans="1:4" ht="12.75" customHeight="1" x14ac:dyDescent="0.2">
      <c r="B6302" s="11" t="s">
        <v>13</v>
      </c>
      <c r="C6302" s="11" t="s">
        <v>2644</v>
      </c>
    </row>
    <row r="6303" spans="1:4" ht="12.75" customHeight="1" x14ac:dyDescent="0.2">
      <c r="B6303" s="11" t="s">
        <v>2603</v>
      </c>
      <c r="C6303" s="11" t="s">
        <v>2604</v>
      </c>
    </row>
    <row r="6304" spans="1:4" ht="12.75" customHeight="1" x14ac:dyDescent="0.2">
      <c r="B6304" s="11" t="s">
        <v>2605</v>
      </c>
      <c r="C6304" s="11" t="s">
        <v>24</v>
      </c>
    </row>
    <row r="6305" spans="1:4" ht="12.75" customHeight="1" x14ac:dyDescent="0.2">
      <c r="B6305" s="11" t="s">
        <v>2606</v>
      </c>
      <c r="C6305" s="16" t="s">
        <v>67</v>
      </c>
      <c r="D6305" s="6" t="str">
        <f>HYPERLINK("javascript:void(0)","kincs")</f>
        <v>kincs</v>
      </c>
    </row>
    <row r="6306" spans="1:4" ht="12.75" customHeight="1" x14ac:dyDescent="0.2">
      <c r="B6306" s="2"/>
      <c r="C6306" s="15"/>
      <c r="D6306" s="2"/>
    </row>
    <row r="6307" spans="1:4" ht="12.75" customHeight="1" x14ac:dyDescent="0.2">
      <c r="B6307" s="2"/>
      <c r="C6307" s="15"/>
      <c r="D6307" s="2"/>
    </row>
    <row r="6308" spans="1:4" ht="12.75" customHeight="1" x14ac:dyDescent="0.2">
      <c r="A6308" s="13" t="s">
        <v>3568</v>
      </c>
      <c r="C6308" s="12"/>
    </row>
    <row r="6309" spans="1:4" ht="12.75" customHeight="1" x14ac:dyDescent="0.2">
      <c r="A6309" s="11"/>
      <c r="B6309" s="2"/>
      <c r="C6309" s="15"/>
      <c r="D6309" s="2"/>
    </row>
    <row r="6310" spans="1:4" ht="12.75" customHeight="1" x14ac:dyDescent="0.2">
      <c r="B6310" s="11" t="s">
        <v>0</v>
      </c>
      <c r="C6310" s="11" t="s">
        <v>115</v>
      </c>
    </row>
    <row r="6311" spans="1:4" ht="12.75" customHeight="1" x14ac:dyDescent="0.2">
      <c r="B6311" s="11" t="s">
        <v>2599</v>
      </c>
      <c r="C6311" s="11" t="s">
        <v>3508</v>
      </c>
    </row>
    <row r="6312" spans="1:4" ht="25.5" customHeight="1" x14ac:dyDescent="0.2">
      <c r="B6312" s="11" t="s">
        <v>2600</v>
      </c>
      <c r="C6312" s="11" t="s">
        <v>3569</v>
      </c>
    </row>
    <row r="6313" spans="1:4" ht="25.5" customHeight="1" x14ac:dyDescent="0.2">
      <c r="B6313" s="11" t="s">
        <v>2601</v>
      </c>
      <c r="C6313" s="11"/>
    </row>
    <row r="6314" spans="1:4" ht="12.75" customHeight="1" x14ac:dyDescent="0.2">
      <c r="B6314" s="11" t="s">
        <v>16</v>
      </c>
      <c r="C6314" s="11"/>
    </row>
    <row r="6315" spans="1:4" ht="12.75" customHeight="1" x14ac:dyDescent="0.2">
      <c r="B6315" s="11" t="s">
        <v>13</v>
      </c>
      <c r="C6315" s="11" t="s">
        <v>2644</v>
      </c>
    </row>
    <row r="6316" spans="1:4" ht="12.75" customHeight="1" x14ac:dyDescent="0.2">
      <c r="B6316" s="11" t="s">
        <v>2603</v>
      </c>
      <c r="C6316" s="11" t="s">
        <v>2604</v>
      </c>
    </row>
    <row r="6317" spans="1:4" ht="12.75" customHeight="1" x14ac:dyDescent="0.2">
      <c r="B6317" s="11" t="s">
        <v>2605</v>
      </c>
      <c r="C6317" s="11" t="s">
        <v>24</v>
      </c>
    </row>
    <row r="6318" spans="1:4" ht="12.75" customHeight="1" x14ac:dyDescent="0.2">
      <c r="B6318" s="11" t="s">
        <v>2606</v>
      </c>
      <c r="C6318" s="16" t="s">
        <v>44</v>
      </c>
      <c r="D6318" s="6" t="str">
        <f>HYPERLINK("javascript:void(0)","lámpás")</f>
        <v>lámpás</v>
      </c>
    </row>
    <row r="6319" spans="1:4" ht="12.75" customHeight="1" x14ac:dyDescent="0.2">
      <c r="B6319" s="2"/>
      <c r="C6319" s="15"/>
      <c r="D6319" s="2"/>
    </row>
    <row r="6320" spans="1:4" ht="12.75" customHeight="1" x14ac:dyDescent="0.2">
      <c r="B6320" s="2"/>
      <c r="C6320" s="15"/>
      <c r="D6320" s="2"/>
    </row>
    <row r="6321" spans="1:4" ht="12.75" customHeight="1" x14ac:dyDescent="0.2">
      <c r="A6321" s="13" t="s">
        <v>3570</v>
      </c>
      <c r="C6321" s="12"/>
    </row>
    <row r="6322" spans="1:4" ht="12.75" customHeight="1" x14ac:dyDescent="0.2">
      <c r="A6322" s="11"/>
      <c r="B6322" s="2"/>
      <c r="C6322" s="15"/>
      <c r="D6322" s="2"/>
    </row>
    <row r="6323" spans="1:4" ht="12.75" customHeight="1" x14ac:dyDescent="0.2">
      <c r="B6323" s="11" t="s">
        <v>0</v>
      </c>
      <c r="C6323" s="11" t="s">
        <v>115</v>
      </c>
    </row>
    <row r="6324" spans="1:4" ht="12.75" customHeight="1" x14ac:dyDescent="0.2">
      <c r="B6324" s="11" t="s">
        <v>2599</v>
      </c>
      <c r="C6324" s="11" t="s">
        <v>2153</v>
      </c>
    </row>
    <row r="6325" spans="1:4" ht="25.5" customHeight="1" x14ac:dyDescent="0.2">
      <c r="B6325" s="11" t="s">
        <v>2600</v>
      </c>
      <c r="C6325" s="11" t="s">
        <v>3571</v>
      </c>
    </row>
    <row r="6326" spans="1:4" ht="25.5" customHeight="1" x14ac:dyDescent="0.2">
      <c r="B6326" s="11" t="s">
        <v>2601</v>
      </c>
      <c r="C6326" s="11"/>
    </row>
    <row r="6327" spans="1:4" ht="12.75" customHeight="1" x14ac:dyDescent="0.2">
      <c r="B6327" s="11" t="s">
        <v>16</v>
      </c>
      <c r="C6327" s="11"/>
    </row>
    <row r="6328" spans="1:4" ht="12.75" customHeight="1" x14ac:dyDescent="0.2">
      <c r="B6328" s="11" t="s">
        <v>13</v>
      </c>
      <c r="C6328" s="11" t="s">
        <v>2644</v>
      </c>
    </row>
    <row r="6329" spans="1:4" ht="12.75" customHeight="1" x14ac:dyDescent="0.2">
      <c r="B6329" s="11" t="s">
        <v>2603</v>
      </c>
      <c r="C6329" s="11" t="s">
        <v>2604</v>
      </c>
    </row>
    <row r="6330" spans="1:4" ht="12.75" customHeight="1" x14ac:dyDescent="0.2">
      <c r="B6330" s="11" t="s">
        <v>2605</v>
      </c>
      <c r="C6330" s="11" t="s">
        <v>24</v>
      </c>
    </row>
    <row r="6331" spans="1:4" ht="12.75" customHeight="1" x14ac:dyDescent="0.2">
      <c r="B6331" s="11" t="s">
        <v>2606</v>
      </c>
      <c r="C6331" s="16" t="s">
        <v>44</v>
      </c>
      <c r="D6331" s="6" t="str">
        <f>HYPERLINK("javascript:void(0)","csáphárító")</f>
        <v>csáphárító</v>
      </c>
    </row>
    <row r="6332" spans="1:4" ht="12.75" customHeight="1" x14ac:dyDescent="0.2">
      <c r="B6332" s="2"/>
      <c r="C6332" s="15"/>
      <c r="D6332" s="2"/>
    </row>
    <row r="6333" spans="1:4" ht="12.75" customHeight="1" x14ac:dyDescent="0.2">
      <c r="B6333" s="2"/>
      <c r="C6333" s="15"/>
      <c r="D6333" s="2"/>
    </row>
    <row r="6334" spans="1:4" ht="12.75" customHeight="1" x14ac:dyDescent="0.2">
      <c r="A6334" s="13" t="s">
        <v>3540</v>
      </c>
      <c r="C6334" s="12"/>
      <c r="D6334" s="2"/>
    </row>
    <row r="6335" spans="1:4" ht="12.75" customHeight="1" x14ac:dyDescent="0.2">
      <c r="A6335" s="11"/>
      <c r="B6335" s="2"/>
      <c r="C6335" s="15"/>
      <c r="D6335" s="2"/>
    </row>
    <row r="6336" spans="1:4" ht="12.75" customHeight="1" x14ac:dyDescent="0.2">
      <c r="B6336" s="11" t="s">
        <v>0</v>
      </c>
      <c r="C6336" s="17" t="s">
        <v>417</v>
      </c>
      <c r="D6336" s="2"/>
    </row>
    <row r="6337" spans="1:4" ht="12.75" customHeight="1" x14ac:dyDescent="0.2">
      <c r="B6337" s="11" t="s">
        <v>2599</v>
      </c>
      <c r="C6337" s="17" t="s">
        <v>3541</v>
      </c>
      <c r="D6337" s="2"/>
    </row>
    <row r="6338" spans="1:4" ht="25.5" customHeight="1" x14ac:dyDescent="0.2">
      <c r="B6338" s="11" t="s">
        <v>2600</v>
      </c>
      <c r="C6338" s="17" t="s">
        <v>3572</v>
      </c>
      <c r="D6338" s="2"/>
    </row>
    <row r="6339" spans="1:4" ht="25.5" customHeight="1" x14ac:dyDescent="0.2">
      <c r="B6339" s="11" t="s">
        <v>2601</v>
      </c>
      <c r="C6339" s="17"/>
      <c r="D6339" s="2"/>
    </row>
    <row r="6340" spans="1:4" ht="12.75" customHeight="1" x14ac:dyDescent="0.2">
      <c r="B6340" s="11" t="s">
        <v>16</v>
      </c>
      <c r="C6340" s="17"/>
      <c r="D6340" s="2"/>
    </row>
    <row r="6341" spans="1:4" ht="12.75" customHeight="1" x14ac:dyDescent="0.2">
      <c r="B6341" s="11" t="s">
        <v>13</v>
      </c>
      <c r="C6341" s="17" t="s">
        <v>2644</v>
      </c>
      <c r="D6341" s="2"/>
    </row>
    <row r="6342" spans="1:4" ht="25.5" customHeight="1" x14ac:dyDescent="0.2">
      <c r="B6342" s="11" t="s">
        <v>2603</v>
      </c>
      <c r="C6342" s="17" t="s">
        <v>2971</v>
      </c>
      <c r="D6342" s="2"/>
    </row>
    <row r="6343" spans="1:4" ht="12.75" customHeight="1" x14ac:dyDescent="0.2">
      <c r="B6343" s="11" t="s">
        <v>2605</v>
      </c>
      <c r="C6343" s="17" t="s">
        <v>14</v>
      </c>
      <c r="D6343" s="2"/>
    </row>
    <row r="6344" spans="1:4" ht="12.75" customHeight="1" x14ac:dyDescent="0.2">
      <c r="B6344" s="11" t="s">
        <v>2606</v>
      </c>
      <c r="C6344" s="16" t="s">
        <v>19</v>
      </c>
      <c r="D6344" s="2"/>
    </row>
    <row r="6345" spans="1:4" ht="12.75" customHeight="1" x14ac:dyDescent="0.2">
      <c r="B6345" s="2"/>
      <c r="C6345" s="15"/>
      <c r="D6345" s="2"/>
    </row>
    <row r="6346" spans="1:4" ht="12.75" customHeight="1" x14ac:dyDescent="0.2">
      <c r="B6346" s="2"/>
      <c r="C6346" s="15"/>
      <c r="D6346" s="2"/>
    </row>
    <row r="6347" spans="1:4" ht="12.75" customHeight="1" x14ac:dyDescent="0.2">
      <c r="A6347" s="13" t="s">
        <v>3484</v>
      </c>
      <c r="C6347" s="12"/>
      <c r="D6347" s="2"/>
    </row>
    <row r="6348" spans="1:4" ht="12.75" customHeight="1" x14ac:dyDescent="0.2">
      <c r="A6348" s="11"/>
      <c r="B6348" s="2"/>
      <c r="C6348" s="15"/>
      <c r="D6348" s="2"/>
    </row>
    <row r="6349" spans="1:4" ht="12.75" customHeight="1" x14ac:dyDescent="0.2">
      <c r="B6349" s="11" t="s">
        <v>0</v>
      </c>
      <c r="C6349" s="17" t="s">
        <v>417</v>
      </c>
      <c r="D6349" s="2"/>
    </row>
    <row r="6350" spans="1:4" ht="12.75" customHeight="1" x14ac:dyDescent="0.2">
      <c r="B6350" s="11" t="s">
        <v>2599</v>
      </c>
      <c r="C6350" s="17" t="s">
        <v>3485</v>
      </c>
      <c r="D6350" s="2"/>
    </row>
    <row r="6351" spans="1:4" ht="25.5" customHeight="1" x14ac:dyDescent="0.2">
      <c r="B6351" s="11" t="s">
        <v>2600</v>
      </c>
      <c r="C6351" s="17" t="s">
        <v>3573</v>
      </c>
      <c r="D6351" s="2"/>
    </row>
    <row r="6352" spans="1:4" ht="25.5" customHeight="1" x14ac:dyDescent="0.2">
      <c r="B6352" s="11" t="s">
        <v>2601</v>
      </c>
      <c r="C6352" s="17"/>
      <c r="D6352" s="2"/>
    </row>
    <row r="6353" spans="1:4" ht="12.75" customHeight="1" x14ac:dyDescent="0.2">
      <c r="B6353" s="11" t="s">
        <v>16</v>
      </c>
      <c r="C6353" s="17"/>
      <c r="D6353" s="2"/>
    </row>
    <row r="6354" spans="1:4" ht="12.75" customHeight="1" x14ac:dyDescent="0.2">
      <c r="B6354" s="11" t="s">
        <v>13</v>
      </c>
      <c r="C6354" s="17" t="s">
        <v>2602</v>
      </c>
      <c r="D6354" s="2"/>
    </row>
    <row r="6355" spans="1:4" ht="25.5" customHeight="1" x14ac:dyDescent="0.2">
      <c r="B6355" s="11" t="s">
        <v>2603</v>
      </c>
      <c r="C6355" s="17" t="s">
        <v>2971</v>
      </c>
      <c r="D6355" s="2"/>
    </row>
    <row r="6356" spans="1:4" ht="12.75" customHeight="1" x14ac:dyDescent="0.2">
      <c r="B6356" s="11" t="s">
        <v>2605</v>
      </c>
      <c r="C6356" s="17" t="s">
        <v>14</v>
      </c>
      <c r="D6356" s="2"/>
    </row>
    <row r="6357" spans="1:4" ht="12.75" customHeight="1" x14ac:dyDescent="0.2">
      <c r="B6357" s="11" t="s">
        <v>2606</v>
      </c>
      <c r="C6357" s="16" t="s">
        <v>19</v>
      </c>
      <c r="D6357" s="2"/>
    </row>
    <row r="6358" spans="1:4" ht="12.75" customHeight="1" x14ac:dyDescent="0.2">
      <c r="B6358" s="2"/>
      <c r="C6358" s="15"/>
      <c r="D6358" s="2"/>
    </row>
    <row r="6359" spans="1:4" ht="12.75" customHeight="1" x14ac:dyDescent="0.2">
      <c r="B6359" s="2"/>
      <c r="C6359" s="15"/>
      <c r="D6359" s="2"/>
    </row>
    <row r="6360" spans="1:4" ht="12.75" customHeight="1" x14ac:dyDescent="0.2">
      <c r="A6360" s="13" t="s">
        <v>3544</v>
      </c>
      <c r="C6360" s="12"/>
      <c r="D6360" s="2"/>
    </row>
    <row r="6361" spans="1:4" ht="12.75" customHeight="1" x14ac:dyDescent="0.2">
      <c r="A6361" s="11"/>
      <c r="B6361" s="2"/>
      <c r="C6361" s="15"/>
      <c r="D6361" s="2"/>
    </row>
    <row r="6362" spans="1:4" ht="12.75" customHeight="1" x14ac:dyDescent="0.2">
      <c r="B6362" s="11" t="s">
        <v>0</v>
      </c>
      <c r="C6362" s="17" t="s">
        <v>417</v>
      </c>
      <c r="D6362" s="2"/>
    </row>
    <row r="6363" spans="1:4" ht="12.75" customHeight="1" x14ac:dyDescent="0.2">
      <c r="B6363" s="11" t="s">
        <v>2599</v>
      </c>
      <c r="C6363" s="17" t="s">
        <v>3545</v>
      </c>
      <c r="D6363" s="2"/>
    </row>
    <row r="6364" spans="1:4" ht="25.5" customHeight="1" x14ac:dyDescent="0.2">
      <c r="B6364" s="11" t="s">
        <v>2600</v>
      </c>
      <c r="C6364" s="17" t="s">
        <v>3574</v>
      </c>
      <c r="D6364" s="2"/>
    </row>
    <row r="6365" spans="1:4" ht="25.5" customHeight="1" x14ac:dyDescent="0.2">
      <c r="B6365" s="11" t="s">
        <v>2601</v>
      </c>
      <c r="C6365" s="17"/>
      <c r="D6365" s="2"/>
    </row>
    <row r="6366" spans="1:4" ht="12.75" customHeight="1" x14ac:dyDescent="0.2">
      <c r="B6366" s="11" t="s">
        <v>16</v>
      </c>
      <c r="C6366" s="17"/>
      <c r="D6366" s="2"/>
    </row>
    <row r="6367" spans="1:4" ht="12.75" customHeight="1" x14ac:dyDescent="0.2">
      <c r="B6367" s="11" t="s">
        <v>13</v>
      </c>
      <c r="C6367" s="17" t="s">
        <v>2644</v>
      </c>
      <c r="D6367" s="2"/>
    </row>
    <row r="6368" spans="1:4" ht="25.5" customHeight="1" x14ac:dyDescent="0.2">
      <c r="B6368" s="11" t="s">
        <v>2603</v>
      </c>
      <c r="C6368" s="17" t="s">
        <v>2971</v>
      </c>
      <c r="D6368" s="2"/>
    </row>
    <row r="6369" spans="1:4" ht="12.75" customHeight="1" x14ac:dyDescent="0.2">
      <c r="B6369" s="11" t="s">
        <v>2605</v>
      </c>
      <c r="C6369" s="17" t="s">
        <v>14</v>
      </c>
      <c r="D6369" s="2"/>
    </row>
    <row r="6370" spans="1:4" ht="12.75" customHeight="1" x14ac:dyDescent="0.2">
      <c r="B6370" s="11" t="s">
        <v>2606</v>
      </c>
      <c r="C6370" s="16" t="s">
        <v>19</v>
      </c>
      <c r="D6370" s="2"/>
    </row>
    <row r="6371" spans="1:4" ht="12.75" customHeight="1" x14ac:dyDescent="0.2">
      <c r="B6371" s="2"/>
      <c r="C6371" s="15"/>
      <c r="D6371" s="2"/>
    </row>
    <row r="6372" spans="1:4" ht="12.75" customHeight="1" x14ac:dyDescent="0.2">
      <c r="B6372" s="2"/>
      <c r="C6372" s="15"/>
      <c r="D6372" s="2"/>
    </row>
    <row r="6373" spans="1:4" ht="12.75" customHeight="1" x14ac:dyDescent="0.2">
      <c r="A6373" s="13" t="s">
        <v>3459</v>
      </c>
      <c r="C6373" s="12"/>
      <c r="D6373" s="2"/>
    </row>
    <row r="6374" spans="1:4" ht="12.75" customHeight="1" x14ac:dyDescent="0.2">
      <c r="A6374" s="11"/>
      <c r="B6374" s="2"/>
      <c r="C6374" s="15"/>
      <c r="D6374" s="2"/>
    </row>
    <row r="6375" spans="1:4" ht="12.75" customHeight="1" x14ac:dyDescent="0.2">
      <c r="B6375" s="11" t="s">
        <v>0</v>
      </c>
      <c r="C6375" s="17" t="s">
        <v>417</v>
      </c>
      <c r="D6375" s="2"/>
    </row>
    <row r="6376" spans="1:4" ht="12.75" customHeight="1" x14ac:dyDescent="0.2">
      <c r="B6376" s="11" t="s">
        <v>2599</v>
      </c>
      <c r="C6376" s="17" t="s">
        <v>3460</v>
      </c>
      <c r="D6376" s="2"/>
    </row>
    <row r="6377" spans="1:4" ht="25.5" customHeight="1" x14ac:dyDescent="0.2">
      <c r="B6377" s="11" t="s">
        <v>2600</v>
      </c>
      <c r="C6377" s="17" t="s">
        <v>3575</v>
      </c>
      <c r="D6377" s="2"/>
    </row>
    <row r="6378" spans="1:4" ht="25.5" customHeight="1" x14ac:dyDescent="0.2">
      <c r="B6378" s="11" t="s">
        <v>2601</v>
      </c>
      <c r="C6378" s="17"/>
      <c r="D6378" s="2"/>
    </row>
    <row r="6379" spans="1:4" ht="12.75" customHeight="1" x14ac:dyDescent="0.2">
      <c r="B6379" s="11" t="s">
        <v>16</v>
      </c>
      <c r="C6379" s="17"/>
      <c r="D6379" s="2"/>
    </row>
    <row r="6380" spans="1:4" ht="12.75" customHeight="1" x14ac:dyDescent="0.2">
      <c r="B6380" s="11" t="s">
        <v>13</v>
      </c>
      <c r="C6380" s="17" t="s">
        <v>2602</v>
      </c>
      <c r="D6380" s="2"/>
    </row>
    <row r="6381" spans="1:4" ht="25.5" customHeight="1" x14ac:dyDescent="0.2">
      <c r="B6381" s="11" t="s">
        <v>2603</v>
      </c>
      <c r="C6381" s="17" t="s">
        <v>2971</v>
      </c>
      <c r="D6381" s="2"/>
    </row>
    <row r="6382" spans="1:4" ht="12.75" customHeight="1" x14ac:dyDescent="0.2">
      <c r="B6382" s="11" t="s">
        <v>2605</v>
      </c>
      <c r="C6382" s="17" t="s">
        <v>14</v>
      </c>
      <c r="D6382" s="2"/>
    </row>
    <row r="6383" spans="1:4" ht="12.75" customHeight="1" x14ac:dyDescent="0.2">
      <c r="B6383" s="11" t="s">
        <v>2606</v>
      </c>
      <c r="C6383" s="16" t="s">
        <v>19</v>
      </c>
      <c r="D6383" s="2"/>
    </row>
    <row r="6384" spans="1:4" ht="12.75" customHeight="1" x14ac:dyDescent="0.2">
      <c r="B6384" s="2"/>
      <c r="C6384" s="15"/>
      <c r="D6384" s="2"/>
    </row>
    <row r="6385" spans="1:4" ht="12.75" customHeight="1" x14ac:dyDescent="0.2">
      <c r="B6385" s="2"/>
      <c r="C6385" s="15"/>
      <c r="D6385" s="2"/>
    </row>
    <row r="6386" spans="1:4" ht="12.75" customHeight="1" x14ac:dyDescent="0.2">
      <c r="A6386" s="13" t="s">
        <v>3548</v>
      </c>
      <c r="C6386" s="12"/>
      <c r="D6386" s="2"/>
    </row>
    <row r="6387" spans="1:4" ht="12.75" customHeight="1" x14ac:dyDescent="0.2">
      <c r="A6387" s="11"/>
      <c r="B6387" s="2"/>
      <c r="C6387" s="15"/>
      <c r="D6387" s="2"/>
    </row>
    <row r="6388" spans="1:4" ht="12.75" customHeight="1" x14ac:dyDescent="0.2">
      <c r="B6388" s="11" t="s">
        <v>0</v>
      </c>
      <c r="C6388" s="17" t="s">
        <v>417</v>
      </c>
      <c r="D6388" s="2"/>
    </row>
    <row r="6389" spans="1:4" ht="12.75" customHeight="1" x14ac:dyDescent="0.2">
      <c r="B6389" s="11" t="s">
        <v>2599</v>
      </c>
      <c r="C6389" s="17" t="s">
        <v>3549</v>
      </c>
      <c r="D6389" s="2"/>
    </row>
    <row r="6390" spans="1:4" ht="25.5" customHeight="1" x14ac:dyDescent="0.2">
      <c r="B6390" s="11" t="s">
        <v>2600</v>
      </c>
      <c r="C6390" s="17" t="s">
        <v>3576</v>
      </c>
      <c r="D6390" s="2"/>
    </row>
    <row r="6391" spans="1:4" ht="25.5" customHeight="1" x14ac:dyDescent="0.2">
      <c r="B6391" s="11" t="s">
        <v>2601</v>
      </c>
      <c r="C6391" s="17"/>
      <c r="D6391" s="2"/>
    </row>
    <row r="6392" spans="1:4" ht="12.75" customHeight="1" x14ac:dyDescent="0.2">
      <c r="B6392" s="11" t="s">
        <v>16</v>
      </c>
      <c r="C6392" s="17"/>
      <c r="D6392" s="2"/>
    </row>
    <row r="6393" spans="1:4" ht="12.75" customHeight="1" x14ac:dyDescent="0.2">
      <c r="B6393" s="11" t="s">
        <v>13</v>
      </c>
      <c r="C6393" s="17" t="s">
        <v>2602</v>
      </c>
      <c r="D6393" s="2"/>
    </row>
    <row r="6394" spans="1:4" ht="25.5" customHeight="1" x14ac:dyDescent="0.2">
      <c r="B6394" s="11" t="s">
        <v>2603</v>
      </c>
      <c r="C6394" s="17" t="s">
        <v>2971</v>
      </c>
      <c r="D6394" s="2"/>
    </row>
    <row r="6395" spans="1:4" ht="12.75" customHeight="1" x14ac:dyDescent="0.2">
      <c r="B6395" s="11" t="s">
        <v>2605</v>
      </c>
      <c r="C6395" s="17" t="s">
        <v>14</v>
      </c>
      <c r="D6395" s="2"/>
    </row>
    <row r="6396" spans="1:4" ht="12.75" customHeight="1" x14ac:dyDescent="0.2">
      <c r="B6396" s="11" t="s">
        <v>2606</v>
      </c>
      <c r="C6396" s="16" t="s">
        <v>19</v>
      </c>
      <c r="D6396" s="2"/>
    </row>
    <row r="6397" spans="1:4" ht="12.75" customHeight="1" x14ac:dyDescent="0.2">
      <c r="B6397" s="2"/>
      <c r="C6397" s="15"/>
      <c r="D6397" s="2"/>
    </row>
    <row r="6398" spans="1:4" ht="12.75" customHeight="1" x14ac:dyDescent="0.2">
      <c r="B6398" s="2"/>
      <c r="C6398" s="15"/>
      <c r="D6398" s="2"/>
    </row>
    <row r="6399" spans="1:4" ht="12.75" customHeight="1" x14ac:dyDescent="0.2">
      <c r="A6399" s="13" t="s">
        <v>3551</v>
      </c>
      <c r="C6399" s="12"/>
      <c r="D6399" s="2"/>
    </row>
    <row r="6400" spans="1:4" ht="12.75" customHeight="1" x14ac:dyDescent="0.2">
      <c r="A6400" s="11"/>
      <c r="B6400" s="2"/>
      <c r="C6400" s="15"/>
      <c r="D6400" s="2"/>
    </row>
    <row r="6401" spans="1:4" ht="12.75" customHeight="1" x14ac:dyDescent="0.2">
      <c r="B6401" s="11" t="s">
        <v>0</v>
      </c>
      <c r="C6401" s="17" t="s">
        <v>417</v>
      </c>
      <c r="D6401" s="2"/>
    </row>
    <row r="6402" spans="1:4" ht="12.75" customHeight="1" x14ac:dyDescent="0.2">
      <c r="B6402" s="11" t="s">
        <v>2599</v>
      </c>
      <c r="C6402" s="17" t="s">
        <v>3541</v>
      </c>
      <c r="D6402" s="2"/>
    </row>
    <row r="6403" spans="1:4" ht="25.5" customHeight="1" x14ac:dyDescent="0.2">
      <c r="B6403" s="11" t="s">
        <v>2600</v>
      </c>
      <c r="C6403" s="17" t="s">
        <v>3577</v>
      </c>
      <c r="D6403" s="2"/>
    </row>
    <row r="6404" spans="1:4" ht="25.5" customHeight="1" x14ac:dyDescent="0.2">
      <c r="B6404" s="11" t="s">
        <v>2601</v>
      </c>
      <c r="C6404" s="17"/>
      <c r="D6404" s="2"/>
    </row>
    <row r="6405" spans="1:4" ht="12.75" customHeight="1" x14ac:dyDescent="0.2">
      <c r="B6405" s="11" t="s">
        <v>16</v>
      </c>
      <c r="C6405" s="17"/>
      <c r="D6405" s="2"/>
    </row>
    <row r="6406" spans="1:4" ht="12.75" customHeight="1" x14ac:dyDescent="0.2">
      <c r="B6406" s="11" t="s">
        <v>13</v>
      </c>
      <c r="C6406" s="17" t="s">
        <v>2644</v>
      </c>
      <c r="D6406" s="2"/>
    </row>
    <row r="6407" spans="1:4" ht="25.5" customHeight="1" x14ac:dyDescent="0.2">
      <c r="B6407" s="11" t="s">
        <v>2603</v>
      </c>
      <c r="C6407" s="17" t="s">
        <v>2971</v>
      </c>
      <c r="D6407" s="2"/>
    </row>
    <row r="6408" spans="1:4" ht="12.75" customHeight="1" x14ac:dyDescent="0.2">
      <c r="B6408" s="11" t="s">
        <v>2605</v>
      </c>
      <c r="C6408" s="17" t="s">
        <v>14</v>
      </c>
      <c r="D6408" s="2"/>
    </row>
    <row r="6409" spans="1:4" ht="12.75" customHeight="1" x14ac:dyDescent="0.2">
      <c r="B6409" s="11" t="s">
        <v>2606</v>
      </c>
      <c r="C6409" s="16" t="s">
        <v>19</v>
      </c>
      <c r="D6409" s="2"/>
    </row>
    <row r="6410" spans="1:4" ht="12.75" customHeight="1" x14ac:dyDescent="0.2">
      <c r="B6410" s="2"/>
      <c r="C6410" s="15"/>
      <c r="D6410" s="2"/>
    </row>
    <row r="6411" spans="1:4" ht="12.75" customHeight="1" x14ac:dyDescent="0.2">
      <c r="B6411" s="2"/>
      <c r="C6411" s="15"/>
      <c r="D6411" s="2"/>
    </row>
    <row r="6412" spans="1:4" ht="12.75" customHeight="1" x14ac:dyDescent="0.2">
      <c r="A6412" s="13" t="s">
        <v>3578</v>
      </c>
      <c r="C6412" s="12"/>
    </row>
    <row r="6413" spans="1:4" ht="12.75" customHeight="1" x14ac:dyDescent="0.2">
      <c r="A6413" s="11"/>
      <c r="B6413" s="2"/>
      <c r="C6413" s="15"/>
      <c r="D6413" s="2"/>
    </row>
    <row r="6414" spans="1:4" ht="12.75" customHeight="1" x14ac:dyDescent="0.2">
      <c r="B6414" s="11" t="s">
        <v>0</v>
      </c>
      <c r="C6414" s="11" t="s">
        <v>417</v>
      </c>
    </row>
    <row r="6415" spans="1:4" ht="12.75" customHeight="1" x14ac:dyDescent="0.2">
      <c r="B6415" s="11" t="s">
        <v>2599</v>
      </c>
      <c r="C6415" s="11" t="s">
        <v>3579</v>
      </c>
    </row>
    <row r="6416" spans="1:4" ht="25.5" customHeight="1" x14ac:dyDescent="0.2">
      <c r="B6416" s="11" t="s">
        <v>2600</v>
      </c>
      <c r="C6416" s="11" t="s">
        <v>3580</v>
      </c>
    </row>
    <row r="6417" spans="1:4" ht="25.5" customHeight="1" x14ac:dyDescent="0.2">
      <c r="B6417" s="11" t="s">
        <v>2601</v>
      </c>
      <c r="C6417" s="11"/>
    </row>
    <row r="6418" spans="1:4" ht="12.75" customHeight="1" x14ac:dyDescent="0.2">
      <c r="B6418" s="11" t="s">
        <v>16</v>
      </c>
      <c r="C6418" s="11"/>
    </row>
    <row r="6419" spans="1:4" ht="12.75" customHeight="1" x14ac:dyDescent="0.2">
      <c r="B6419" s="11" t="s">
        <v>13</v>
      </c>
      <c r="C6419" s="11" t="s">
        <v>2644</v>
      </c>
    </row>
    <row r="6420" spans="1:4" ht="12.75" customHeight="1" x14ac:dyDescent="0.2">
      <c r="B6420" s="11" t="s">
        <v>2603</v>
      </c>
      <c r="C6420" s="11" t="s">
        <v>2604</v>
      </c>
    </row>
    <row r="6421" spans="1:4" ht="12.75" customHeight="1" x14ac:dyDescent="0.2">
      <c r="B6421" s="11" t="s">
        <v>2605</v>
      </c>
      <c r="C6421" s="11" t="s">
        <v>24</v>
      </c>
    </row>
    <row r="6422" spans="1:4" ht="12.75" customHeight="1" x14ac:dyDescent="0.2">
      <c r="B6422" s="11" t="s">
        <v>2606</v>
      </c>
      <c r="C6422" s="16" t="s">
        <v>232</v>
      </c>
      <c r="D6422" s="6" t="str">
        <f>HYPERLINK("javascript:void(0)","kincs")</f>
        <v>kincs</v>
      </c>
    </row>
    <row r="6423" spans="1:4" ht="25.5" customHeight="1" x14ac:dyDescent="0.2">
      <c r="C6423" s="16" t="s">
        <v>56</v>
      </c>
      <c r="D6423" s="6" t="str">
        <f>HYPERLINK("javascript:void(0)","sárkány szem")</f>
        <v>sárkány szem</v>
      </c>
    </row>
    <row r="6424" spans="1:4" ht="12.75" customHeight="1" x14ac:dyDescent="0.2">
      <c r="B6424" s="2"/>
      <c r="C6424" s="15"/>
      <c r="D6424" s="2"/>
    </row>
    <row r="6425" spans="1:4" ht="12.75" customHeight="1" x14ac:dyDescent="0.2">
      <c r="B6425" s="2"/>
      <c r="C6425" s="15"/>
      <c r="D6425" s="2"/>
    </row>
    <row r="6426" spans="1:4" ht="12.75" customHeight="1" x14ac:dyDescent="0.2">
      <c r="A6426" s="13" t="s">
        <v>3581</v>
      </c>
      <c r="C6426" s="12"/>
    </row>
    <row r="6427" spans="1:4" ht="12.75" customHeight="1" x14ac:dyDescent="0.2">
      <c r="A6427" s="11"/>
      <c r="B6427" s="2"/>
      <c r="C6427" s="15"/>
      <c r="D6427" s="2"/>
    </row>
    <row r="6428" spans="1:4" ht="12.75" customHeight="1" x14ac:dyDescent="0.2">
      <c r="B6428" s="11" t="s">
        <v>0</v>
      </c>
      <c r="C6428" s="11" t="s">
        <v>417</v>
      </c>
    </row>
    <row r="6429" spans="1:4" ht="12.75" customHeight="1" x14ac:dyDescent="0.2">
      <c r="B6429" s="11" t="s">
        <v>2599</v>
      </c>
      <c r="C6429" s="11" t="s">
        <v>3410</v>
      </c>
    </row>
    <row r="6430" spans="1:4" ht="25.5" customHeight="1" x14ac:dyDescent="0.2">
      <c r="B6430" s="11" t="s">
        <v>2600</v>
      </c>
      <c r="C6430" s="11" t="s">
        <v>3582</v>
      </c>
    </row>
    <row r="6431" spans="1:4" ht="25.5" customHeight="1" x14ac:dyDescent="0.2">
      <c r="B6431" s="11" t="s">
        <v>2601</v>
      </c>
      <c r="C6431" s="11"/>
    </row>
    <row r="6432" spans="1:4" ht="12.75" customHeight="1" x14ac:dyDescent="0.2">
      <c r="B6432" s="11" t="s">
        <v>16</v>
      </c>
      <c r="C6432" s="11"/>
    </row>
    <row r="6433" spans="1:4" ht="12.75" customHeight="1" x14ac:dyDescent="0.2">
      <c r="B6433" s="11" t="s">
        <v>13</v>
      </c>
      <c r="C6433" s="11" t="s">
        <v>2602</v>
      </c>
    </row>
    <row r="6434" spans="1:4" ht="12.75" customHeight="1" x14ac:dyDescent="0.2">
      <c r="B6434" s="11" t="s">
        <v>2603</v>
      </c>
      <c r="C6434" s="11" t="s">
        <v>2604</v>
      </c>
    </row>
    <row r="6435" spans="1:4" ht="12.75" customHeight="1" x14ac:dyDescent="0.2">
      <c r="B6435" s="11" t="s">
        <v>2605</v>
      </c>
      <c r="C6435" s="11" t="s">
        <v>24</v>
      </c>
    </row>
    <row r="6436" spans="1:4" ht="12.75" customHeight="1" x14ac:dyDescent="0.2">
      <c r="B6436" s="11" t="s">
        <v>2606</v>
      </c>
      <c r="C6436" s="16" t="s">
        <v>77</v>
      </c>
      <c r="D6436" s="6" t="str">
        <f>HYPERLINK("javascript:void(0)","kincs")</f>
        <v>kincs</v>
      </c>
    </row>
    <row r="6437" spans="1:4" ht="12.75" customHeight="1" x14ac:dyDescent="0.2">
      <c r="C6437" s="16" t="s">
        <v>232</v>
      </c>
      <c r="D6437" s="6" t="str">
        <f>HYPERLINK("javascript:void(0)","kaja")</f>
        <v>kaja</v>
      </c>
    </row>
    <row r="6438" spans="1:4" ht="12.75" customHeight="1" x14ac:dyDescent="0.2">
      <c r="B6438" s="2"/>
      <c r="C6438" s="15"/>
      <c r="D6438" s="2"/>
    </row>
    <row r="6439" spans="1:4" ht="12.75" customHeight="1" x14ac:dyDescent="0.2">
      <c r="B6439" s="2"/>
      <c r="C6439" s="15"/>
      <c r="D6439" s="2"/>
    </row>
    <row r="6440" spans="1:4" ht="12.75" customHeight="1" x14ac:dyDescent="0.2">
      <c r="A6440" s="13" t="s">
        <v>3583</v>
      </c>
      <c r="C6440" s="12"/>
    </row>
    <row r="6441" spans="1:4" ht="12.75" customHeight="1" x14ac:dyDescent="0.2">
      <c r="A6441" s="11"/>
      <c r="B6441" s="2"/>
      <c r="C6441" s="15"/>
      <c r="D6441" s="2"/>
    </row>
    <row r="6442" spans="1:4" ht="12.75" customHeight="1" x14ac:dyDescent="0.2">
      <c r="B6442" s="11" t="s">
        <v>0</v>
      </c>
      <c r="C6442" s="11" t="s">
        <v>417</v>
      </c>
    </row>
    <row r="6443" spans="1:4" ht="12.75" customHeight="1" x14ac:dyDescent="0.2">
      <c r="B6443" s="11" t="s">
        <v>2599</v>
      </c>
      <c r="C6443" s="11" t="s">
        <v>3584</v>
      </c>
    </row>
    <row r="6444" spans="1:4" ht="25.5" customHeight="1" x14ac:dyDescent="0.2">
      <c r="B6444" s="11" t="s">
        <v>2600</v>
      </c>
      <c r="C6444" s="11" t="s">
        <v>3585</v>
      </c>
    </row>
    <row r="6445" spans="1:4" ht="25.5" customHeight="1" x14ac:dyDescent="0.2">
      <c r="B6445" s="11" t="s">
        <v>2601</v>
      </c>
      <c r="C6445" s="11"/>
    </row>
    <row r="6446" spans="1:4" ht="12.75" customHeight="1" x14ac:dyDescent="0.2">
      <c r="B6446" s="11" t="s">
        <v>16</v>
      </c>
      <c r="C6446" s="11"/>
    </row>
    <row r="6447" spans="1:4" ht="12.75" customHeight="1" x14ac:dyDescent="0.2">
      <c r="B6447" s="11" t="s">
        <v>13</v>
      </c>
      <c r="C6447" s="11" t="s">
        <v>2602</v>
      </c>
    </row>
    <row r="6448" spans="1:4" ht="12.75" customHeight="1" x14ac:dyDescent="0.2">
      <c r="B6448" s="11" t="s">
        <v>2603</v>
      </c>
      <c r="C6448" s="11" t="s">
        <v>2604</v>
      </c>
    </row>
    <row r="6449" spans="1:4" ht="12.75" customHeight="1" x14ac:dyDescent="0.2">
      <c r="B6449" s="11" t="s">
        <v>2605</v>
      </c>
      <c r="C6449" s="11" t="s">
        <v>24</v>
      </c>
    </row>
    <row r="6450" spans="1:4" ht="12.75" customHeight="1" x14ac:dyDescent="0.2">
      <c r="B6450" s="11" t="s">
        <v>2606</v>
      </c>
      <c r="C6450" s="16" t="s">
        <v>232</v>
      </c>
      <c r="D6450" s="6" t="str">
        <f>HYPERLINK("javascript:void(0)","kincs")</f>
        <v>kincs</v>
      </c>
    </row>
    <row r="6451" spans="1:4" ht="25.5" customHeight="1" x14ac:dyDescent="0.2">
      <c r="C6451" s="16" t="s">
        <v>44</v>
      </c>
      <c r="D6451" s="6" t="str">
        <f>HYPERLINK("javascript:void(0)","lélegző sarokkő")</f>
        <v>lélegző sarokkő</v>
      </c>
    </row>
    <row r="6452" spans="1:4" ht="12.75" customHeight="1" x14ac:dyDescent="0.2">
      <c r="C6452" s="16" t="s">
        <v>44</v>
      </c>
      <c r="D6452" s="6" t="str">
        <f>HYPERLINK("javascript:void(0)","manaital")</f>
        <v>manaital</v>
      </c>
    </row>
    <row r="6453" spans="1:4" ht="12.75" customHeight="1" x14ac:dyDescent="0.2">
      <c r="B6453" s="2"/>
      <c r="C6453" s="15"/>
      <c r="D6453" s="2"/>
    </row>
    <row r="6454" spans="1:4" ht="12.75" customHeight="1" x14ac:dyDescent="0.2">
      <c r="B6454" s="2"/>
      <c r="C6454" s="15"/>
      <c r="D6454" s="2"/>
    </row>
    <row r="6455" spans="1:4" ht="12.75" customHeight="1" x14ac:dyDescent="0.2">
      <c r="A6455" s="13" t="s">
        <v>3586</v>
      </c>
      <c r="C6455" s="12"/>
    </row>
    <row r="6456" spans="1:4" ht="12.75" customHeight="1" x14ac:dyDescent="0.2">
      <c r="A6456" s="11"/>
      <c r="B6456" s="2"/>
      <c r="C6456" s="15"/>
      <c r="D6456" s="2"/>
    </row>
    <row r="6457" spans="1:4" ht="12.75" customHeight="1" x14ac:dyDescent="0.2">
      <c r="B6457" s="11" t="s">
        <v>0</v>
      </c>
      <c r="C6457" s="11" t="s">
        <v>417</v>
      </c>
    </row>
    <row r="6458" spans="1:4" ht="12.75" customHeight="1" x14ac:dyDescent="0.2">
      <c r="B6458" s="11" t="s">
        <v>2599</v>
      </c>
      <c r="C6458" s="11" t="s">
        <v>1912</v>
      </c>
    </row>
    <row r="6459" spans="1:4" ht="25.5" customHeight="1" x14ac:dyDescent="0.2">
      <c r="B6459" s="11" t="s">
        <v>2600</v>
      </c>
      <c r="C6459" s="11" t="s">
        <v>3587</v>
      </c>
    </row>
    <row r="6460" spans="1:4" ht="25.5" customHeight="1" x14ac:dyDescent="0.2">
      <c r="B6460" s="11" t="s">
        <v>2601</v>
      </c>
      <c r="C6460" s="11"/>
    </row>
    <row r="6461" spans="1:4" ht="12.75" customHeight="1" x14ac:dyDescent="0.2">
      <c r="B6461" s="11" t="s">
        <v>16</v>
      </c>
      <c r="C6461" s="11"/>
    </row>
    <row r="6462" spans="1:4" ht="12.75" customHeight="1" x14ac:dyDescent="0.2">
      <c r="B6462" s="11" t="s">
        <v>13</v>
      </c>
      <c r="C6462" s="11" t="s">
        <v>2602</v>
      </c>
    </row>
    <row r="6463" spans="1:4" ht="12.75" customHeight="1" x14ac:dyDescent="0.2">
      <c r="B6463" s="11" t="s">
        <v>2603</v>
      </c>
      <c r="C6463" s="11" t="s">
        <v>2604</v>
      </c>
    </row>
    <row r="6464" spans="1:4" ht="12.75" customHeight="1" x14ac:dyDescent="0.2">
      <c r="B6464" s="11" t="s">
        <v>2605</v>
      </c>
      <c r="C6464" s="11" t="s">
        <v>24</v>
      </c>
    </row>
    <row r="6465" spans="1:4" ht="12.75" customHeight="1" x14ac:dyDescent="0.2">
      <c r="B6465" s="11" t="s">
        <v>2606</v>
      </c>
      <c r="C6465" s="16" t="s">
        <v>55</v>
      </c>
      <c r="D6465" s="6" t="str">
        <f>HYPERLINK("javascript:void(0)","kincs")</f>
        <v>kincs</v>
      </c>
    </row>
    <row r="6466" spans="1:4" ht="25.5" customHeight="1" x14ac:dyDescent="0.2">
      <c r="C6466" s="16" t="s">
        <v>44</v>
      </c>
      <c r="D6466" s="6" t="str">
        <f>HYPERLINK("javascript:void(0)","lélegző sarokkő")</f>
        <v>lélegző sarokkő</v>
      </c>
    </row>
    <row r="6467" spans="1:4" ht="12.75" customHeight="1" x14ac:dyDescent="0.2">
      <c r="C6467" s="16" t="s">
        <v>44</v>
      </c>
      <c r="D6467" s="6" t="str">
        <f>HYPERLINK("javascript:void(0)","aqua dei")</f>
        <v>aqua dei</v>
      </c>
    </row>
    <row r="6468" spans="1:4" ht="12.75" customHeight="1" x14ac:dyDescent="0.2">
      <c r="B6468" s="2"/>
      <c r="C6468" s="15"/>
      <c r="D6468" s="2"/>
    </row>
    <row r="6469" spans="1:4" ht="12.75" customHeight="1" x14ac:dyDescent="0.2">
      <c r="B6469" s="2"/>
      <c r="C6469" s="15"/>
      <c r="D6469" s="2"/>
    </row>
    <row r="6470" spans="1:4" ht="12.75" customHeight="1" x14ac:dyDescent="0.2">
      <c r="A6470" s="13" t="s">
        <v>3588</v>
      </c>
      <c r="C6470" s="12"/>
    </row>
    <row r="6471" spans="1:4" ht="12.75" customHeight="1" x14ac:dyDescent="0.2">
      <c r="A6471" s="11"/>
      <c r="B6471" s="2"/>
      <c r="C6471" s="15"/>
      <c r="D6471" s="2"/>
    </row>
    <row r="6472" spans="1:4" ht="12.75" customHeight="1" x14ac:dyDescent="0.2">
      <c r="B6472" s="11" t="s">
        <v>0</v>
      </c>
      <c r="C6472" s="11" t="s">
        <v>417</v>
      </c>
    </row>
    <row r="6473" spans="1:4" ht="12.75" customHeight="1" x14ac:dyDescent="0.2">
      <c r="B6473" s="11" t="s">
        <v>2599</v>
      </c>
      <c r="C6473" s="11" t="s">
        <v>3589</v>
      </c>
    </row>
    <row r="6474" spans="1:4" ht="25.5" customHeight="1" x14ac:dyDescent="0.2">
      <c r="B6474" s="11" t="s">
        <v>2600</v>
      </c>
      <c r="C6474" s="11" t="s">
        <v>3590</v>
      </c>
    </row>
    <row r="6475" spans="1:4" ht="25.5" customHeight="1" x14ac:dyDescent="0.2">
      <c r="B6475" s="11" t="s">
        <v>2601</v>
      </c>
      <c r="C6475" s="11"/>
    </row>
    <row r="6476" spans="1:4" ht="12.75" customHeight="1" x14ac:dyDescent="0.2">
      <c r="B6476" s="11" t="s">
        <v>16</v>
      </c>
      <c r="C6476" s="11"/>
    </row>
    <row r="6477" spans="1:4" ht="12.75" customHeight="1" x14ac:dyDescent="0.2">
      <c r="B6477" s="11" t="s">
        <v>13</v>
      </c>
      <c r="C6477" s="11" t="s">
        <v>2644</v>
      </c>
    </row>
    <row r="6478" spans="1:4" ht="12.75" customHeight="1" x14ac:dyDescent="0.2">
      <c r="B6478" s="11" t="s">
        <v>2603</v>
      </c>
      <c r="C6478" s="11" t="s">
        <v>2604</v>
      </c>
    </row>
    <row r="6479" spans="1:4" ht="12.75" customHeight="1" x14ac:dyDescent="0.2">
      <c r="B6479" s="11" t="s">
        <v>2605</v>
      </c>
      <c r="C6479" s="11" t="s">
        <v>24</v>
      </c>
    </row>
    <row r="6480" spans="1:4" ht="12.75" customHeight="1" x14ac:dyDescent="0.2">
      <c r="B6480" s="11" t="s">
        <v>2606</v>
      </c>
      <c r="C6480" s="16" t="s">
        <v>44</v>
      </c>
      <c r="D6480" s="6" t="str">
        <f>HYPERLINK("javascript:void(0)","kocka")</f>
        <v>kocka</v>
      </c>
    </row>
    <row r="6481" spans="1:4" ht="12.75" customHeight="1" x14ac:dyDescent="0.2">
      <c r="B6481" s="2"/>
      <c r="C6481" s="15"/>
      <c r="D6481" s="2"/>
    </row>
    <row r="6482" spans="1:4" ht="12.75" customHeight="1" x14ac:dyDescent="0.2">
      <c r="B6482" s="2"/>
      <c r="C6482" s="15"/>
      <c r="D6482" s="2"/>
    </row>
    <row r="6483" spans="1:4" ht="12.75" customHeight="1" x14ac:dyDescent="0.2">
      <c r="A6483" s="13" t="s">
        <v>3591</v>
      </c>
      <c r="C6483" s="12"/>
    </row>
    <row r="6484" spans="1:4" ht="12.75" customHeight="1" x14ac:dyDescent="0.2">
      <c r="A6484" s="11"/>
      <c r="B6484" s="2"/>
      <c r="C6484" s="15"/>
      <c r="D6484" s="2"/>
    </row>
    <row r="6485" spans="1:4" ht="12.75" customHeight="1" x14ac:dyDescent="0.2">
      <c r="B6485" s="11" t="s">
        <v>0</v>
      </c>
      <c r="C6485" s="11" t="s">
        <v>417</v>
      </c>
    </row>
    <row r="6486" spans="1:4" ht="12.75" customHeight="1" x14ac:dyDescent="0.2">
      <c r="B6486" s="11" t="s">
        <v>2599</v>
      </c>
      <c r="C6486" s="11" t="s">
        <v>3060</v>
      </c>
    </row>
    <row r="6487" spans="1:4" ht="25.5" customHeight="1" x14ac:dyDescent="0.2">
      <c r="B6487" s="11" t="s">
        <v>2600</v>
      </c>
      <c r="C6487" s="11" t="s">
        <v>3592</v>
      </c>
    </row>
    <row r="6488" spans="1:4" ht="25.5" customHeight="1" x14ac:dyDescent="0.2">
      <c r="B6488" s="11" t="s">
        <v>2601</v>
      </c>
      <c r="C6488" s="11"/>
    </row>
    <row r="6489" spans="1:4" ht="12.75" customHeight="1" x14ac:dyDescent="0.2">
      <c r="B6489" s="11" t="s">
        <v>16</v>
      </c>
      <c r="C6489" s="11"/>
    </row>
    <row r="6490" spans="1:4" ht="12.75" customHeight="1" x14ac:dyDescent="0.2">
      <c r="B6490" s="11" t="s">
        <v>13</v>
      </c>
      <c r="C6490" s="11" t="s">
        <v>2602</v>
      </c>
    </row>
    <row r="6491" spans="1:4" ht="12.75" customHeight="1" x14ac:dyDescent="0.2">
      <c r="B6491" s="11" t="s">
        <v>2603</v>
      </c>
      <c r="C6491" s="11" t="s">
        <v>2604</v>
      </c>
    </row>
    <row r="6492" spans="1:4" ht="12.75" customHeight="1" x14ac:dyDescent="0.2">
      <c r="B6492" s="11" t="s">
        <v>2605</v>
      </c>
      <c r="C6492" s="11" t="s">
        <v>24</v>
      </c>
    </row>
    <row r="6493" spans="1:4" ht="12.75" customHeight="1" x14ac:dyDescent="0.2">
      <c r="B6493" s="11" t="s">
        <v>2606</v>
      </c>
      <c r="C6493" s="16" t="s">
        <v>55</v>
      </c>
      <c r="D6493" s="6" t="str">
        <f>HYPERLINK("javascript:void(0)","kincs")</f>
        <v>kincs</v>
      </c>
    </row>
    <row r="6494" spans="1:4" ht="25.5" customHeight="1" x14ac:dyDescent="0.2">
      <c r="C6494" s="16" t="s">
        <v>56</v>
      </c>
      <c r="D6494" s="6" t="str">
        <f>HYPERLINK("javascript:void(0)","sárkány taréj")</f>
        <v>sárkány taréj</v>
      </c>
    </row>
    <row r="6495" spans="1:4" ht="12.75" customHeight="1" x14ac:dyDescent="0.2">
      <c r="B6495" s="2"/>
      <c r="C6495" s="15"/>
      <c r="D6495" s="2"/>
    </row>
    <row r="6496" spans="1:4" ht="12.75" customHeight="1" x14ac:dyDescent="0.2">
      <c r="B6496" s="2"/>
      <c r="C6496" s="15"/>
      <c r="D6496" s="2"/>
    </row>
    <row r="6497" spans="1:4" ht="12.75" customHeight="1" x14ac:dyDescent="0.2">
      <c r="A6497" s="13" t="s">
        <v>3593</v>
      </c>
      <c r="C6497" s="12"/>
    </row>
    <row r="6498" spans="1:4" ht="12.75" customHeight="1" x14ac:dyDescent="0.2">
      <c r="A6498" s="11"/>
      <c r="B6498" s="2"/>
      <c r="C6498" s="15"/>
      <c r="D6498" s="2"/>
    </row>
    <row r="6499" spans="1:4" ht="12.75" customHeight="1" x14ac:dyDescent="0.2">
      <c r="B6499" s="11" t="s">
        <v>0</v>
      </c>
      <c r="C6499" s="11" t="s">
        <v>417</v>
      </c>
    </row>
    <row r="6500" spans="1:4" ht="12.75" customHeight="1" x14ac:dyDescent="0.2">
      <c r="B6500" s="11" t="s">
        <v>2599</v>
      </c>
      <c r="C6500" s="11" t="s">
        <v>3594</v>
      </c>
    </row>
    <row r="6501" spans="1:4" ht="25.5" customHeight="1" x14ac:dyDescent="0.2">
      <c r="B6501" s="11" t="s">
        <v>2600</v>
      </c>
      <c r="C6501" s="11" t="s">
        <v>3595</v>
      </c>
    </row>
    <row r="6502" spans="1:4" ht="25.5" customHeight="1" x14ac:dyDescent="0.2">
      <c r="B6502" s="11" t="s">
        <v>2601</v>
      </c>
      <c r="C6502" s="11"/>
    </row>
    <row r="6503" spans="1:4" ht="12.75" customHeight="1" x14ac:dyDescent="0.2">
      <c r="B6503" s="11" t="s">
        <v>16</v>
      </c>
      <c r="C6503" s="11"/>
    </row>
    <row r="6504" spans="1:4" ht="12.75" customHeight="1" x14ac:dyDescent="0.2">
      <c r="B6504" s="11" t="s">
        <v>13</v>
      </c>
      <c r="C6504" s="11" t="s">
        <v>2644</v>
      </c>
    </row>
    <row r="6505" spans="1:4" ht="12.75" customHeight="1" x14ac:dyDescent="0.2">
      <c r="B6505" s="11" t="s">
        <v>2603</v>
      </c>
      <c r="C6505" s="11" t="s">
        <v>2604</v>
      </c>
    </row>
    <row r="6506" spans="1:4" ht="12.75" customHeight="1" x14ac:dyDescent="0.2">
      <c r="B6506" s="11" t="s">
        <v>2605</v>
      </c>
      <c r="C6506" s="11" t="s">
        <v>24</v>
      </c>
    </row>
    <row r="6507" spans="1:4" ht="12.75" customHeight="1" x14ac:dyDescent="0.2">
      <c r="B6507" s="11" t="s">
        <v>2606</v>
      </c>
      <c r="C6507" s="16" t="s">
        <v>57</v>
      </c>
      <c r="D6507" s="6" t="str">
        <f>HYPERLINK("javascript:void(0)","nekroige")</f>
        <v>nekroige</v>
      </c>
    </row>
    <row r="6508" spans="1:4" ht="12.75" customHeight="1" x14ac:dyDescent="0.2">
      <c r="B6508" s="2"/>
      <c r="C6508" s="15"/>
      <c r="D6508" s="2"/>
    </row>
    <row r="6509" spans="1:4" ht="12.75" customHeight="1" x14ac:dyDescent="0.2">
      <c r="B6509" s="2"/>
      <c r="C6509" s="15"/>
      <c r="D6509" s="2"/>
    </row>
    <row r="6510" spans="1:4" ht="12.75" customHeight="1" x14ac:dyDescent="0.2">
      <c r="A6510" s="13" t="s">
        <v>3596</v>
      </c>
      <c r="C6510" s="12"/>
    </row>
    <row r="6511" spans="1:4" ht="12.75" customHeight="1" x14ac:dyDescent="0.2">
      <c r="A6511" s="11"/>
      <c r="B6511" s="2"/>
      <c r="C6511" s="15"/>
      <c r="D6511" s="2"/>
    </row>
    <row r="6512" spans="1:4" ht="12.75" customHeight="1" x14ac:dyDescent="0.2">
      <c r="B6512" s="11" t="s">
        <v>0</v>
      </c>
      <c r="C6512" s="11" t="s">
        <v>417</v>
      </c>
    </row>
    <row r="6513" spans="1:4" ht="12.75" customHeight="1" x14ac:dyDescent="0.2">
      <c r="B6513" s="11" t="s">
        <v>2599</v>
      </c>
      <c r="C6513" s="11" t="s">
        <v>2161</v>
      </c>
    </row>
    <row r="6514" spans="1:4" ht="25.5" customHeight="1" x14ac:dyDescent="0.2">
      <c r="B6514" s="11" t="s">
        <v>2600</v>
      </c>
      <c r="C6514" s="11" t="s">
        <v>3597</v>
      </c>
    </row>
    <row r="6515" spans="1:4" ht="25.5" customHeight="1" x14ac:dyDescent="0.2">
      <c r="B6515" s="11" t="s">
        <v>2601</v>
      </c>
      <c r="C6515" s="11"/>
    </row>
    <row r="6516" spans="1:4" ht="12.75" customHeight="1" x14ac:dyDescent="0.2">
      <c r="B6516" s="11" t="s">
        <v>16</v>
      </c>
      <c r="C6516" s="11"/>
    </row>
    <row r="6517" spans="1:4" ht="12.75" customHeight="1" x14ac:dyDescent="0.2">
      <c r="B6517" s="11" t="s">
        <v>13</v>
      </c>
      <c r="C6517" s="11" t="s">
        <v>2644</v>
      </c>
    </row>
    <row r="6518" spans="1:4" ht="12.75" customHeight="1" x14ac:dyDescent="0.2">
      <c r="B6518" s="11" t="s">
        <v>2603</v>
      </c>
      <c r="C6518" s="11" t="s">
        <v>2604</v>
      </c>
    </row>
    <row r="6519" spans="1:4" ht="12.75" customHeight="1" x14ac:dyDescent="0.2">
      <c r="B6519" s="11" t="s">
        <v>2605</v>
      </c>
      <c r="C6519" s="11" t="s">
        <v>24</v>
      </c>
    </row>
    <row r="6520" spans="1:4" ht="12.75" customHeight="1" x14ac:dyDescent="0.2">
      <c r="B6520" s="11" t="s">
        <v>2606</v>
      </c>
      <c r="C6520" s="16" t="s">
        <v>44</v>
      </c>
      <c r="D6520" s="6" t="str">
        <f>HYPERLINK("javascript:void(0)","haspók")</f>
        <v>haspók</v>
      </c>
    </row>
    <row r="6521" spans="1:4" ht="12.75" customHeight="1" x14ac:dyDescent="0.2">
      <c r="B6521" s="2"/>
      <c r="C6521" s="15"/>
      <c r="D6521" s="2"/>
    </row>
    <row r="6522" spans="1:4" ht="12.75" customHeight="1" x14ac:dyDescent="0.2">
      <c r="B6522" s="2"/>
      <c r="C6522" s="15"/>
      <c r="D6522" s="2"/>
    </row>
    <row r="6523" spans="1:4" ht="12.75" customHeight="1" x14ac:dyDescent="0.2">
      <c r="A6523" s="13" t="s">
        <v>3540</v>
      </c>
      <c r="C6523" s="12"/>
      <c r="D6523" s="2"/>
    </row>
    <row r="6524" spans="1:4" ht="12.75" customHeight="1" x14ac:dyDescent="0.2">
      <c r="A6524" s="11"/>
      <c r="B6524" s="2"/>
      <c r="C6524" s="15"/>
      <c r="D6524" s="2"/>
    </row>
    <row r="6525" spans="1:4" ht="12.75" customHeight="1" x14ac:dyDescent="0.2">
      <c r="B6525" s="11" t="s">
        <v>0</v>
      </c>
      <c r="C6525" s="17" t="s">
        <v>216</v>
      </c>
      <c r="D6525" s="2"/>
    </row>
    <row r="6526" spans="1:4" ht="12.75" customHeight="1" x14ac:dyDescent="0.2">
      <c r="B6526" s="11" t="s">
        <v>2599</v>
      </c>
      <c r="C6526" s="17" t="s">
        <v>3541</v>
      </c>
      <c r="D6526" s="2"/>
    </row>
    <row r="6527" spans="1:4" ht="25.5" customHeight="1" x14ac:dyDescent="0.2">
      <c r="B6527" s="11" t="s">
        <v>2600</v>
      </c>
      <c r="C6527" s="17" t="s">
        <v>3598</v>
      </c>
      <c r="D6527" s="2"/>
    </row>
    <row r="6528" spans="1:4" ht="25.5" customHeight="1" x14ac:dyDescent="0.2">
      <c r="B6528" s="11" t="s">
        <v>2601</v>
      </c>
      <c r="C6528" s="17"/>
      <c r="D6528" s="2"/>
    </row>
    <row r="6529" spans="1:4" ht="12.75" customHeight="1" x14ac:dyDescent="0.2">
      <c r="B6529" s="11" t="s">
        <v>16</v>
      </c>
      <c r="C6529" s="17"/>
      <c r="D6529" s="2"/>
    </row>
    <row r="6530" spans="1:4" ht="12.75" customHeight="1" x14ac:dyDescent="0.2">
      <c r="B6530" s="11" t="s">
        <v>13</v>
      </c>
      <c r="C6530" s="17" t="s">
        <v>2644</v>
      </c>
      <c r="D6530" s="2"/>
    </row>
    <row r="6531" spans="1:4" ht="25.5" customHeight="1" x14ac:dyDescent="0.2">
      <c r="B6531" s="11" t="s">
        <v>2603</v>
      </c>
      <c r="C6531" s="17" t="s">
        <v>2971</v>
      </c>
      <c r="D6531" s="2"/>
    </row>
    <row r="6532" spans="1:4" ht="12.75" customHeight="1" x14ac:dyDescent="0.2">
      <c r="B6532" s="11" t="s">
        <v>2605</v>
      </c>
      <c r="C6532" s="17" t="s">
        <v>14</v>
      </c>
      <c r="D6532" s="2"/>
    </row>
    <row r="6533" spans="1:4" ht="12.75" customHeight="1" x14ac:dyDescent="0.2">
      <c r="B6533" s="11" t="s">
        <v>2606</v>
      </c>
      <c r="C6533" s="16" t="s">
        <v>19</v>
      </c>
      <c r="D6533" s="2"/>
    </row>
    <row r="6534" spans="1:4" ht="12.75" customHeight="1" x14ac:dyDescent="0.2">
      <c r="B6534" s="2"/>
      <c r="C6534" s="15"/>
      <c r="D6534" s="2"/>
    </row>
    <row r="6535" spans="1:4" ht="12.75" customHeight="1" x14ac:dyDescent="0.2">
      <c r="B6535" s="2"/>
      <c r="C6535" s="15"/>
      <c r="D6535" s="2"/>
    </row>
    <row r="6536" spans="1:4" ht="12.75" customHeight="1" x14ac:dyDescent="0.2">
      <c r="A6536" s="13" t="s">
        <v>3484</v>
      </c>
      <c r="C6536" s="12"/>
      <c r="D6536" s="2"/>
    </row>
    <row r="6537" spans="1:4" ht="12.75" customHeight="1" x14ac:dyDescent="0.2">
      <c r="A6537" s="11"/>
      <c r="B6537" s="2"/>
      <c r="C6537" s="15"/>
      <c r="D6537" s="2"/>
    </row>
    <row r="6538" spans="1:4" ht="12.75" customHeight="1" x14ac:dyDescent="0.2">
      <c r="B6538" s="11" t="s">
        <v>0</v>
      </c>
      <c r="C6538" s="17" t="s">
        <v>216</v>
      </c>
      <c r="D6538" s="2"/>
    </row>
    <row r="6539" spans="1:4" ht="12.75" customHeight="1" x14ac:dyDescent="0.2">
      <c r="B6539" s="11" t="s">
        <v>2599</v>
      </c>
      <c r="C6539" s="17" t="s">
        <v>3485</v>
      </c>
      <c r="D6539" s="2"/>
    </row>
    <row r="6540" spans="1:4" ht="25.5" customHeight="1" x14ac:dyDescent="0.2">
      <c r="B6540" s="11" t="s">
        <v>2600</v>
      </c>
      <c r="C6540" s="17" t="s">
        <v>3599</v>
      </c>
      <c r="D6540" s="2"/>
    </row>
    <row r="6541" spans="1:4" ht="25.5" customHeight="1" x14ac:dyDescent="0.2">
      <c r="B6541" s="11" t="s">
        <v>2601</v>
      </c>
      <c r="C6541" s="17"/>
      <c r="D6541" s="2"/>
    </row>
    <row r="6542" spans="1:4" ht="12.75" customHeight="1" x14ac:dyDescent="0.2">
      <c r="B6542" s="11" t="s">
        <v>16</v>
      </c>
      <c r="C6542" s="17"/>
      <c r="D6542" s="2"/>
    </row>
    <row r="6543" spans="1:4" ht="12.75" customHeight="1" x14ac:dyDescent="0.2">
      <c r="B6543" s="11" t="s">
        <v>13</v>
      </c>
      <c r="C6543" s="17" t="s">
        <v>2602</v>
      </c>
      <c r="D6543" s="2"/>
    </row>
    <row r="6544" spans="1:4" ht="25.5" customHeight="1" x14ac:dyDescent="0.2">
      <c r="B6544" s="11" t="s">
        <v>2603</v>
      </c>
      <c r="C6544" s="17" t="s">
        <v>2971</v>
      </c>
      <c r="D6544" s="2"/>
    </row>
    <row r="6545" spans="1:4" ht="12.75" customHeight="1" x14ac:dyDescent="0.2">
      <c r="B6545" s="11" t="s">
        <v>2605</v>
      </c>
      <c r="C6545" s="17" t="s">
        <v>14</v>
      </c>
      <c r="D6545" s="2"/>
    </row>
    <row r="6546" spans="1:4" ht="12.75" customHeight="1" x14ac:dyDescent="0.2">
      <c r="B6546" s="11" t="s">
        <v>2606</v>
      </c>
      <c r="C6546" s="16" t="s">
        <v>19</v>
      </c>
      <c r="D6546" s="2"/>
    </row>
    <row r="6547" spans="1:4" ht="12.75" customHeight="1" x14ac:dyDescent="0.2">
      <c r="B6547" s="2"/>
      <c r="C6547" s="15"/>
      <c r="D6547" s="2"/>
    </row>
    <row r="6548" spans="1:4" ht="12.75" customHeight="1" x14ac:dyDescent="0.2">
      <c r="B6548" s="2"/>
      <c r="C6548" s="15"/>
      <c r="D6548" s="2"/>
    </row>
    <row r="6549" spans="1:4" ht="12.75" customHeight="1" x14ac:dyDescent="0.2">
      <c r="A6549" s="13" t="s">
        <v>3544</v>
      </c>
      <c r="C6549" s="12"/>
      <c r="D6549" s="2"/>
    </row>
    <row r="6550" spans="1:4" ht="12.75" customHeight="1" x14ac:dyDescent="0.2">
      <c r="A6550" s="11"/>
      <c r="B6550" s="2"/>
      <c r="C6550" s="15"/>
      <c r="D6550" s="2"/>
    </row>
    <row r="6551" spans="1:4" ht="12.75" customHeight="1" x14ac:dyDescent="0.2">
      <c r="B6551" s="11" t="s">
        <v>0</v>
      </c>
      <c r="C6551" s="17" t="s">
        <v>216</v>
      </c>
      <c r="D6551" s="2"/>
    </row>
    <row r="6552" spans="1:4" ht="12.75" customHeight="1" x14ac:dyDescent="0.2">
      <c r="B6552" s="11" t="s">
        <v>2599</v>
      </c>
      <c r="C6552" s="17" t="s">
        <v>3545</v>
      </c>
      <c r="D6552" s="2"/>
    </row>
    <row r="6553" spans="1:4" ht="25.5" customHeight="1" x14ac:dyDescent="0.2">
      <c r="B6553" s="11" t="s">
        <v>2600</v>
      </c>
      <c r="C6553" s="17" t="s">
        <v>3600</v>
      </c>
      <c r="D6553" s="2"/>
    </row>
    <row r="6554" spans="1:4" ht="25.5" customHeight="1" x14ac:dyDescent="0.2">
      <c r="B6554" s="11" t="s">
        <v>2601</v>
      </c>
      <c r="C6554" s="17"/>
      <c r="D6554" s="2"/>
    </row>
    <row r="6555" spans="1:4" ht="12.75" customHeight="1" x14ac:dyDescent="0.2">
      <c r="B6555" s="11" t="s">
        <v>16</v>
      </c>
      <c r="C6555" s="17"/>
      <c r="D6555" s="2"/>
    </row>
    <row r="6556" spans="1:4" ht="12.75" customHeight="1" x14ac:dyDescent="0.2">
      <c r="B6556" s="11" t="s">
        <v>13</v>
      </c>
      <c r="C6556" s="17" t="s">
        <v>2644</v>
      </c>
      <c r="D6556" s="2"/>
    </row>
    <row r="6557" spans="1:4" ht="25.5" customHeight="1" x14ac:dyDescent="0.2">
      <c r="B6557" s="11" t="s">
        <v>2603</v>
      </c>
      <c r="C6557" s="17" t="s">
        <v>2971</v>
      </c>
      <c r="D6557" s="2"/>
    </row>
    <row r="6558" spans="1:4" ht="12.75" customHeight="1" x14ac:dyDescent="0.2">
      <c r="B6558" s="11" t="s">
        <v>2605</v>
      </c>
      <c r="C6558" s="17" t="s">
        <v>14</v>
      </c>
      <c r="D6558" s="2"/>
    </row>
    <row r="6559" spans="1:4" ht="12.75" customHeight="1" x14ac:dyDescent="0.2">
      <c r="B6559" s="11" t="s">
        <v>2606</v>
      </c>
      <c r="C6559" s="16" t="s">
        <v>19</v>
      </c>
      <c r="D6559" s="2"/>
    </row>
    <row r="6560" spans="1:4" ht="12.75" customHeight="1" x14ac:dyDescent="0.2">
      <c r="B6560" s="2"/>
      <c r="C6560" s="15"/>
      <c r="D6560" s="2"/>
    </row>
    <row r="6561" spans="1:4" ht="12.75" customHeight="1" x14ac:dyDescent="0.2">
      <c r="B6561" s="2"/>
      <c r="C6561" s="15"/>
      <c r="D6561" s="2"/>
    </row>
    <row r="6562" spans="1:4" ht="12.75" customHeight="1" x14ac:dyDescent="0.2">
      <c r="A6562" s="13" t="s">
        <v>3601</v>
      </c>
      <c r="C6562" s="12"/>
      <c r="D6562" s="2"/>
    </row>
    <row r="6563" spans="1:4" ht="12.75" customHeight="1" x14ac:dyDescent="0.2">
      <c r="A6563" s="11"/>
      <c r="B6563" s="2"/>
      <c r="C6563" s="15"/>
      <c r="D6563" s="2"/>
    </row>
    <row r="6564" spans="1:4" ht="12.75" customHeight="1" x14ac:dyDescent="0.2">
      <c r="B6564" s="11" t="s">
        <v>0</v>
      </c>
      <c r="C6564" s="17" t="s">
        <v>216</v>
      </c>
      <c r="D6564" s="2"/>
    </row>
    <row r="6565" spans="1:4" ht="12.75" customHeight="1" x14ac:dyDescent="0.2">
      <c r="B6565" s="11" t="s">
        <v>2599</v>
      </c>
      <c r="C6565" s="17" t="s">
        <v>3602</v>
      </c>
      <c r="D6565" s="2"/>
    </row>
    <row r="6566" spans="1:4" ht="25.5" customHeight="1" x14ac:dyDescent="0.2">
      <c r="B6566" s="11" t="s">
        <v>2600</v>
      </c>
      <c r="C6566" s="17" t="s">
        <v>3603</v>
      </c>
      <c r="D6566" s="2"/>
    </row>
    <row r="6567" spans="1:4" ht="25.5" customHeight="1" x14ac:dyDescent="0.2">
      <c r="B6567" s="11" t="s">
        <v>2601</v>
      </c>
      <c r="C6567" s="17"/>
      <c r="D6567" s="2"/>
    </row>
    <row r="6568" spans="1:4" ht="12.75" customHeight="1" x14ac:dyDescent="0.2">
      <c r="B6568" s="11" t="s">
        <v>16</v>
      </c>
      <c r="C6568" s="17"/>
      <c r="D6568" s="2"/>
    </row>
    <row r="6569" spans="1:4" ht="12.75" customHeight="1" x14ac:dyDescent="0.2">
      <c r="B6569" s="11" t="s">
        <v>13</v>
      </c>
      <c r="C6569" s="17" t="s">
        <v>2602</v>
      </c>
      <c r="D6569" s="2"/>
    </row>
    <row r="6570" spans="1:4" ht="25.5" customHeight="1" x14ac:dyDescent="0.2">
      <c r="B6570" s="11" t="s">
        <v>2603</v>
      </c>
      <c r="C6570" s="17" t="s">
        <v>2971</v>
      </c>
      <c r="D6570" s="2"/>
    </row>
    <row r="6571" spans="1:4" ht="12.75" customHeight="1" x14ac:dyDescent="0.2">
      <c r="B6571" s="11" t="s">
        <v>2605</v>
      </c>
      <c r="C6571" s="17" t="s">
        <v>14</v>
      </c>
      <c r="D6571" s="2"/>
    </row>
    <row r="6572" spans="1:4" ht="12.75" customHeight="1" x14ac:dyDescent="0.2">
      <c r="B6572" s="11" t="s">
        <v>2606</v>
      </c>
      <c r="C6572" s="16" t="s">
        <v>19</v>
      </c>
      <c r="D6572" s="2"/>
    </row>
    <row r="6573" spans="1:4" ht="12.75" customHeight="1" x14ac:dyDescent="0.2">
      <c r="B6573" s="2"/>
      <c r="C6573" s="15"/>
      <c r="D6573" s="2"/>
    </row>
    <row r="6574" spans="1:4" ht="12.75" customHeight="1" x14ac:dyDescent="0.2">
      <c r="B6574" s="2"/>
      <c r="C6574" s="15"/>
      <c r="D6574" s="2"/>
    </row>
    <row r="6575" spans="1:4" ht="12.75" customHeight="1" x14ac:dyDescent="0.2">
      <c r="A6575" s="13" t="s">
        <v>3548</v>
      </c>
      <c r="C6575" s="12"/>
      <c r="D6575" s="2"/>
    </row>
    <row r="6576" spans="1:4" ht="12.75" customHeight="1" x14ac:dyDescent="0.2">
      <c r="A6576" s="11"/>
      <c r="B6576" s="2"/>
      <c r="C6576" s="15"/>
      <c r="D6576" s="2"/>
    </row>
    <row r="6577" spans="1:4" ht="12.75" customHeight="1" x14ac:dyDescent="0.2">
      <c r="B6577" s="11" t="s">
        <v>0</v>
      </c>
      <c r="C6577" s="17" t="s">
        <v>216</v>
      </c>
      <c r="D6577" s="2"/>
    </row>
    <row r="6578" spans="1:4" ht="12.75" customHeight="1" x14ac:dyDescent="0.2">
      <c r="B6578" s="11" t="s">
        <v>2599</v>
      </c>
      <c r="C6578" s="17" t="s">
        <v>3549</v>
      </c>
      <c r="D6578" s="2"/>
    </row>
    <row r="6579" spans="1:4" ht="25.5" customHeight="1" x14ac:dyDescent="0.2">
      <c r="B6579" s="11" t="s">
        <v>2600</v>
      </c>
      <c r="C6579" s="17" t="s">
        <v>3604</v>
      </c>
      <c r="D6579" s="2"/>
    </row>
    <row r="6580" spans="1:4" ht="25.5" customHeight="1" x14ac:dyDescent="0.2">
      <c r="B6580" s="11" t="s">
        <v>2601</v>
      </c>
      <c r="C6580" s="17"/>
      <c r="D6580" s="2"/>
    </row>
    <row r="6581" spans="1:4" ht="12.75" customHeight="1" x14ac:dyDescent="0.2">
      <c r="B6581" s="11" t="s">
        <v>16</v>
      </c>
      <c r="C6581" s="17"/>
      <c r="D6581" s="2"/>
    </row>
    <row r="6582" spans="1:4" ht="12.75" customHeight="1" x14ac:dyDescent="0.2">
      <c r="B6582" s="11" t="s">
        <v>13</v>
      </c>
      <c r="C6582" s="17" t="s">
        <v>2602</v>
      </c>
      <c r="D6582" s="2"/>
    </row>
    <row r="6583" spans="1:4" ht="25.5" customHeight="1" x14ac:dyDescent="0.2">
      <c r="B6583" s="11" t="s">
        <v>2603</v>
      </c>
      <c r="C6583" s="17" t="s">
        <v>2971</v>
      </c>
      <c r="D6583" s="2"/>
    </row>
    <row r="6584" spans="1:4" ht="12.75" customHeight="1" x14ac:dyDescent="0.2">
      <c r="B6584" s="11" t="s">
        <v>2605</v>
      </c>
      <c r="C6584" s="17" t="s">
        <v>14</v>
      </c>
      <c r="D6584" s="2"/>
    </row>
    <row r="6585" spans="1:4" ht="12.75" customHeight="1" x14ac:dyDescent="0.2">
      <c r="B6585" s="11" t="s">
        <v>2606</v>
      </c>
      <c r="C6585" s="16" t="s">
        <v>19</v>
      </c>
      <c r="D6585" s="2"/>
    </row>
    <row r="6586" spans="1:4" ht="12.75" customHeight="1" x14ac:dyDescent="0.2">
      <c r="B6586" s="2"/>
      <c r="C6586" s="15"/>
      <c r="D6586" s="2"/>
    </row>
    <row r="6587" spans="1:4" ht="12.75" customHeight="1" x14ac:dyDescent="0.2">
      <c r="B6587" s="2"/>
      <c r="C6587" s="15"/>
      <c r="D6587" s="2"/>
    </row>
    <row r="6588" spans="1:4" ht="12.75" customHeight="1" x14ac:dyDescent="0.2">
      <c r="A6588" s="13" t="s">
        <v>3551</v>
      </c>
      <c r="C6588" s="12"/>
      <c r="D6588" s="2"/>
    </row>
    <row r="6589" spans="1:4" ht="12.75" customHeight="1" x14ac:dyDescent="0.2">
      <c r="A6589" s="11"/>
      <c r="B6589" s="2"/>
      <c r="C6589" s="15"/>
      <c r="D6589" s="2"/>
    </row>
    <row r="6590" spans="1:4" ht="12.75" customHeight="1" x14ac:dyDescent="0.2">
      <c r="B6590" s="11" t="s">
        <v>0</v>
      </c>
      <c r="C6590" s="17" t="s">
        <v>216</v>
      </c>
      <c r="D6590" s="2"/>
    </row>
    <row r="6591" spans="1:4" ht="12.75" customHeight="1" x14ac:dyDescent="0.2">
      <c r="B6591" s="11" t="s">
        <v>2599</v>
      </c>
      <c r="C6591" s="17" t="s">
        <v>3541</v>
      </c>
      <c r="D6591" s="2"/>
    </row>
    <row r="6592" spans="1:4" ht="25.5" customHeight="1" x14ac:dyDescent="0.2">
      <c r="B6592" s="11" t="s">
        <v>2600</v>
      </c>
      <c r="C6592" s="17" t="s">
        <v>3605</v>
      </c>
      <c r="D6592" s="2"/>
    </row>
    <row r="6593" spans="1:4" ht="25.5" customHeight="1" x14ac:dyDescent="0.2">
      <c r="B6593" s="11" t="s">
        <v>2601</v>
      </c>
      <c r="C6593" s="17"/>
      <c r="D6593" s="2"/>
    </row>
    <row r="6594" spans="1:4" ht="12.75" customHeight="1" x14ac:dyDescent="0.2">
      <c r="B6594" s="11" t="s">
        <v>16</v>
      </c>
      <c r="C6594" s="17"/>
      <c r="D6594" s="2"/>
    </row>
    <row r="6595" spans="1:4" ht="12.75" customHeight="1" x14ac:dyDescent="0.2">
      <c r="B6595" s="11" t="s">
        <v>13</v>
      </c>
      <c r="C6595" s="17" t="s">
        <v>2644</v>
      </c>
      <c r="D6595" s="2"/>
    </row>
    <row r="6596" spans="1:4" ht="25.5" customHeight="1" x14ac:dyDescent="0.2">
      <c r="B6596" s="11" t="s">
        <v>2603</v>
      </c>
      <c r="C6596" s="17" t="s">
        <v>2971</v>
      </c>
      <c r="D6596" s="2"/>
    </row>
    <row r="6597" spans="1:4" ht="12.75" customHeight="1" x14ac:dyDescent="0.2">
      <c r="B6597" s="11" t="s">
        <v>2605</v>
      </c>
      <c r="C6597" s="17" t="s">
        <v>14</v>
      </c>
      <c r="D6597" s="2"/>
    </row>
    <row r="6598" spans="1:4" ht="12.75" customHeight="1" x14ac:dyDescent="0.2">
      <c r="B6598" s="11" t="s">
        <v>2606</v>
      </c>
      <c r="C6598" s="16" t="s">
        <v>19</v>
      </c>
      <c r="D6598" s="2"/>
    </row>
    <row r="6599" spans="1:4" ht="12.75" customHeight="1" x14ac:dyDescent="0.2">
      <c r="B6599" s="2"/>
      <c r="C6599" s="15"/>
      <c r="D6599" s="2"/>
    </row>
    <row r="6600" spans="1:4" ht="12.75" customHeight="1" x14ac:dyDescent="0.2">
      <c r="B6600" s="2"/>
      <c r="C6600" s="15"/>
      <c r="D6600" s="2"/>
    </row>
    <row r="6601" spans="1:4" ht="12.75" customHeight="1" x14ac:dyDescent="0.2">
      <c r="A6601" s="13" t="s">
        <v>3606</v>
      </c>
      <c r="C6601" s="12"/>
    </row>
    <row r="6602" spans="1:4" ht="12.75" customHeight="1" x14ac:dyDescent="0.2">
      <c r="A6602" s="11"/>
      <c r="B6602" s="2"/>
      <c r="C6602" s="15"/>
      <c r="D6602" s="2"/>
    </row>
    <row r="6603" spans="1:4" ht="12.75" customHeight="1" x14ac:dyDescent="0.2">
      <c r="B6603" s="11" t="s">
        <v>0</v>
      </c>
      <c r="C6603" s="11" t="s">
        <v>216</v>
      </c>
    </row>
    <row r="6604" spans="1:4" ht="12.75" customHeight="1" x14ac:dyDescent="0.2">
      <c r="B6604" s="11" t="s">
        <v>2599</v>
      </c>
      <c r="C6604" s="11" t="s">
        <v>3607</v>
      </c>
    </row>
    <row r="6605" spans="1:4" ht="25.5" customHeight="1" x14ac:dyDescent="0.2">
      <c r="B6605" s="11" t="s">
        <v>2600</v>
      </c>
      <c r="C6605" s="11" t="s">
        <v>3608</v>
      </c>
    </row>
    <row r="6606" spans="1:4" ht="25.5" customHeight="1" x14ac:dyDescent="0.2">
      <c r="B6606" s="11" t="s">
        <v>2601</v>
      </c>
      <c r="C6606" s="11"/>
    </row>
    <row r="6607" spans="1:4" ht="12.75" customHeight="1" x14ac:dyDescent="0.2">
      <c r="B6607" s="11" t="s">
        <v>16</v>
      </c>
      <c r="C6607" s="11"/>
    </row>
    <row r="6608" spans="1:4" ht="12.75" customHeight="1" x14ac:dyDescent="0.2">
      <c r="B6608" s="11" t="s">
        <v>13</v>
      </c>
      <c r="C6608" s="11" t="s">
        <v>2644</v>
      </c>
    </row>
    <row r="6609" spans="1:4" ht="12.75" customHeight="1" x14ac:dyDescent="0.2">
      <c r="B6609" s="11" t="s">
        <v>2603</v>
      </c>
      <c r="C6609" s="11" t="s">
        <v>2604</v>
      </c>
    </row>
    <row r="6610" spans="1:4" ht="12.75" customHeight="1" x14ac:dyDescent="0.2">
      <c r="B6610" s="11" t="s">
        <v>2605</v>
      </c>
      <c r="C6610" s="11" t="s">
        <v>24</v>
      </c>
    </row>
    <row r="6611" spans="1:4" ht="12.75" customHeight="1" x14ac:dyDescent="0.2">
      <c r="B6611" s="11" t="s">
        <v>2606</v>
      </c>
      <c r="C6611" s="16" t="s">
        <v>68</v>
      </c>
      <c r="D6611" s="6" t="str">
        <f>HYPERLINK("javascript:void(0)","kincs")</f>
        <v>kincs</v>
      </c>
    </row>
    <row r="6612" spans="1:4" ht="25.5" customHeight="1" x14ac:dyDescent="0.2">
      <c r="C6612" s="16" t="s">
        <v>56</v>
      </c>
      <c r="D6612" s="6" t="str">
        <f>HYPERLINK("javascript:void(0)","sárkány szem")</f>
        <v>sárkány szem</v>
      </c>
    </row>
    <row r="6613" spans="1:4" ht="12.75" customHeight="1" x14ac:dyDescent="0.2">
      <c r="B6613" s="2"/>
      <c r="C6613" s="15"/>
      <c r="D6613" s="2"/>
    </row>
    <row r="6614" spans="1:4" ht="12.75" customHeight="1" x14ac:dyDescent="0.2">
      <c r="B6614" s="2"/>
      <c r="C6614" s="15"/>
      <c r="D6614" s="2"/>
    </row>
    <row r="6615" spans="1:4" ht="12.75" customHeight="1" x14ac:dyDescent="0.2">
      <c r="A6615" s="13" t="s">
        <v>3609</v>
      </c>
      <c r="C6615" s="12"/>
    </row>
    <row r="6616" spans="1:4" ht="12.75" customHeight="1" x14ac:dyDescent="0.2">
      <c r="A6616" s="11"/>
      <c r="B6616" s="2"/>
      <c r="C6616" s="15"/>
      <c r="D6616" s="2"/>
    </row>
    <row r="6617" spans="1:4" ht="12.75" customHeight="1" x14ac:dyDescent="0.2">
      <c r="B6617" s="11" t="s">
        <v>0</v>
      </c>
      <c r="C6617" s="11" t="s">
        <v>216</v>
      </c>
    </row>
    <row r="6618" spans="1:4" ht="12.75" customHeight="1" x14ac:dyDescent="0.2">
      <c r="B6618" s="11" t="s">
        <v>2599</v>
      </c>
      <c r="C6618" s="11" t="s">
        <v>2081</v>
      </c>
    </row>
    <row r="6619" spans="1:4" ht="25.5" customHeight="1" x14ac:dyDescent="0.2">
      <c r="B6619" s="11" t="s">
        <v>2600</v>
      </c>
      <c r="C6619" s="11" t="s">
        <v>3610</v>
      </c>
    </row>
    <row r="6620" spans="1:4" ht="25.5" customHeight="1" x14ac:dyDescent="0.2">
      <c r="B6620" s="11" t="s">
        <v>2601</v>
      </c>
      <c r="C6620" s="11"/>
    </row>
    <row r="6621" spans="1:4" ht="12.75" customHeight="1" x14ac:dyDescent="0.2">
      <c r="B6621" s="11" t="s">
        <v>16</v>
      </c>
      <c r="C6621" s="11"/>
    </row>
    <row r="6622" spans="1:4" ht="12.75" customHeight="1" x14ac:dyDescent="0.2">
      <c r="B6622" s="11" t="s">
        <v>13</v>
      </c>
      <c r="C6622" s="11" t="s">
        <v>2602</v>
      </c>
    </row>
    <row r="6623" spans="1:4" ht="12.75" customHeight="1" x14ac:dyDescent="0.2">
      <c r="B6623" s="11" t="s">
        <v>2603</v>
      </c>
      <c r="C6623" s="11" t="s">
        <v>2604</v>
      </c>
    </row>
    <row r="6624" spans="1:4" ht="12.75" customHeight="1" x14ac:dyDescent="0.2">
      <c r="B6624" s="11" t="s">
        <v>2605</v>
      </c>
      <c r="C6624" s="11" t="s">
        <v>24</v>
      </c>
    </row>
    <row r="6625" spans="1:4" ht="12.75" customHeight="1" x14ac:dyDescent="0.2">
      <c r="B6625" s="11" t="s">
        <v>2606</v>
      </c>
      <c r="C6625" s="16" t="s">
        <v>68</v>
      </c>
      <c r="D6625" s="6" t="str">
        <f>HYPERLINK("javascript:void(0)","kincs")</f>
        <v>kincs</v>
      </c>
    </row>
    <row r="6626" spans="1:4" ht="12.75" customHeight="1" x14ac:dyDescent="0.2">
      <c r="C6626" s="16" t="s">
        <v>68</v>
      </c>
      <c r="D6626" s="6" t="str">
        <f>HYPERLINK("javascript:void(0)","kaja")</f>
        <v>kaja</v>
      </c>
    </row>
    <row r="6627" spans="1:4" ht="12.75" customHeight="1" x14ac:dyDescent="0.2">
      <c r="B6627" s="2"/>
      <c r="C6627" s="15"/>
      <c r="D6627" s="2"/>
    </row>
    <row r="6628" spans="1:4" ht="12.75" customHeight="1" x14ac:dyDescent="0.2">
      <c r="B6628" s="2"/>
      <c r="C6628" s="15"/>
      <c r="D6628" s="2"/>
    </row>
    <row r="6629" spans="1:4" ht="12.75" customHeight="1" x14ac:dyDescent="0.2">
      <c r="A6629" s="13" t="s">
        <v>3612</v>
      </c>
      <c r="C6629" s="12"/>
    </row>
    <row r="6630" spans="1:4" ht="12.75" customHeight="1" x14ac:dyDescent="0.2">
      <c r="A6630" s="11"/>
      <c r="B6630" s="2"/>
      <c r="C6630" s="15"/>
      <c r="D6630" s="2"/>
    </row>
    <row r="6631" spans="1:4" ht="12.75" customHeight="1" x14ac:dyDescent="0.2">
      <c r="B6631" s="11" t="s">
        <v>0</v>
      </c>
      <c r="C6631" s="11" t="s">
        <v>216</v>
      </c>
    </row>
    <row r="6632" spans="1:4" ht="12.75" customHeight="1" x14ac:dyDescent="0.2">
      <c r="B6632" s="11" t="s">
        <v>2599</v>
      </c>
      <c r="C6632" s="11" t="s">
        <v>3613</v>
      </c>
    </row>
    <row r="6633" spans="1:4" ht="25.5" customHeight="1" x14ac:dyDescent="0.2">
      <c r="B6633" s="11" t="s">
        <v>2600</v>
      </c>
      <c r="C6633" s="11" t="s">
        <v>3614</v>
      </c>
    </row>
    <row r="6634" spans="1:4" ht="25.5" customHeight="1" x14ac:dyDescent="0.2">
      <c r="B6634" s="11" t="s">
        <v>2601</v>
      </c>
      <c r="C6634" s="11"/>
    </row>
    <row r="6635" spans="1:4" ht="12.75" customHeight="1" x14ac:dyDescent="0.2">
      <c r="B6635" s="11" t="s">
        <v>16</v>
      </c>
      <c r="C6635" s="11"/>
    </row>
    <row r="6636" spans="1:4" ht="12.75" customHeight="1" x14ac:dyDescent="0.2">
      <c r="B6636" s="11" t="s">
        <v>13</v>
      </c>
      <c r="C6636" s="11" t="s">
        <v>2602</v>
      </c>
    </row>
    <row r="6637" spans="1:4" ht="12.75" customHeight="1" x14ac:dyDescent="0.2">
      <c r="B6637" s="11" t="s">
        <v>2603</v>
      </c>
      <c r="C6637" s="11" t="s">
        <v>2604</v>
      </c>
    </row>
    <row r="6638" spans="1:4" ht="12.75" customHeight="1" x14ac:dyDescent="0.2">
      <c r="B6638" s="11" t="s">
        <v>2605</v>
      </c>
      <c r="C6638" s="11" t="s">
        <v>24</v>
      </c>
    </row>
    <row r="6639" spans="1:4" ht="12.75" customHeight="1" x14ac:dyDescent="0.2">
      <c r="B6639" s="11" t="s">
        <v>2606</v>
      </c>
      <c r="C6639" s="16" t="s">
        <v>117</v>
      </c>
      <c r="D6639" s="6" t="str">
        <f>HYPERLINK("javascript:void(0)","kincs")</f>
        <v>kincs</v>
      </c>
    </row>
    <row r="6640" spans="1:4" ht="25.5" customHeight="1" x14ac:dyDescent="0.2">
      <c r="C6640" s="16" t="s">
        <v>44</v>
      </c>
      <c r="D6640" s="6" t="str">
        <f>HYPERLINK("javascript:void(0)","lélegző sarokkő")</f>
        <v>lélegző sarokkő</v>
      </c>
    </row>
    <row r="6641" spans="1:4" ht="12.75" customHeight="1" x14ac:dyDescent="0.2">
      <c r="B6641" s="2"/>
      <c r="C6641" s="15"/>
      <c r="D6641" s="2"/>
    </row>
    <row r="6642" spans="1:4" ht="12.75" customHeight="1" x14ac:dyDescent="0.2">
      <c r="B6642" s="2"/>
      <c r="C6642" s="15"/>
      <c r="D6642" s="2"/>
    </row>
    <row r="6643" spans="1:4" ht="12.75" customHeight="1" x14ac:dyDescent="0.2">
      <c r="A6643" s="13" t="s">
        <v>3615</v>
      </c>
      <c r="C6643" s="12"/>
    </row>
    <row r="6644" spans="1:4" ht="12.75" customHeight="1" x14ac:dyDescent="0.2">
      <c r="A6644" s="11"/>
      <c r="B6644" s="2"/>
      <c r="C6644" s="15"/>
      <c r="D6644" s="2"/>
    </row>
    <row r="6645" spans="1:4" ht="12.75" customHeight="1" x14ac:dyDescent="0.2">
      <c r="B6645" s="11" t="s">
        <v>0</v>
      </c>
      <c r="C6645" s="11" t="s">
        <v>216</v>
      </c>
    </row>
    <row r="6646" spans="1:4" ht="12.75" customHeight="1" x14ac:dyDescent="0.2">
      <c r="B6646" s="11" t="s">
        <v>2599</v>
      </c>
      <c r="C6646" s="11" t="s">
        <v>3616</v>
      </c>
    </row>
    <row r="6647" spans="1:4" ht="25.5" customHeight="1" x14ac:dyDescent="0.2">
      <c r="B6647" s="11" t="s">
        <v>2600</v>
      </c>
      <c r="C6647" s="11" t="s">
        <v>3617</v>
      </c>
    </row>
    <row r="6648" spans="1:4" ht="25.5" customHeight="1" x14ac:dyDescent="0.2">
      <c r="B6648" s="11" t="s">
        <v>2601</v>
      </c>
      <c r="C6648" s="11"/>
    </row>
    <row r="6649" spans="1:4" ht="12.75" customHeight="1" x14ac:dyDescent="0.2">
      <c r="B6649" s="11" t="s">
        <v>16</v>
      </c>
      <c r="C6649" s="11"/>
    </row>
    <row r="6650" spans="1:4" ht="12.75" customHeight="1" x14ac:dyDescent="0.2">
      <c r="B6650" s="11" t="s">
        <v>13</v>
      </c>
      <c r="C6650" s="11" t="s">
        <v>2602</v>
      </c>
    </row>
    <row r="6651" spans="1:4" ht="12.75" customHeight="1" x14ac:dyDescent="0.2">
      <c r="B6651" s="11" t="s">
        <v>2603</v>
      </c>
      <c r="C6651" s="11" t="s">
        <v>2604</v>
      </c>
    </row>
    <row r="6652" spans="1:4" ht="12.75" customHeight="1" x14ac:dyDescent="0.2">
      <c r="B6652" s="11" t="s">
        <v>2605</v>
      </c>
      <c r="C6652" s="11" t="s">
        <v>24</v>
      </c>
    </row>
    <row r="6653" spans="1:4" ht="12.75" customHeight="1" x14ac:dyDescent="0.2">
      <c r="B6653" s="11" t="s">
        <v>2606</v>
      </c>
      <c r="C6653" s="16" t="s">
        <v>232</v>
      </c>
      <c r="D6653" s="6" t="str">
        <f>HYPERLINK("javascript:void(0)","kincs")</f>
        <v>kincs</v>
      </c>
    </row>
    <row r="6654" spans="1:4" ht="25.5" customHeight="1" x14ac:dyDescent="0.2">
      <c r="C6654" s="16" t="s">
        <v>44</v>
      </c>
      <c r="D6654" s="6" t="str">
        <f>HYPERLINK("javascript:void(0)","lélegző sarokkő")</f>
        <v>lélegző sarokkő</v>
      </c>
    </row>
    <row r="6655" spans="1:4" ht="12.75" customHeight="1" x14ac:dyDescent="0.2">
      <c r="C6655" s="16" t="s">
        <v>44</v>
      </c>
      <c r="D6655" s="6" t="str">
        <f>HYPERLINK("javascript:void(0)","aqua dei")</f>
        <v>aqua dei</v>
      </c>
    </row>
    <row r="6656" spans="1:4" ht="12.75" customHeight="1" x14ac:dyDescent="0.2">
      <c r="B6656" s="2"/>
      <c r="C6656" s="15"/>
      <c r="D6656" s="2"/>
    </row>
    <row r="6657" spans="1:4" ht="12.75" customHeight="1" x14ac:dyDescent="0.2">
      <c r="B6657" s="2"/>
      <c r="C6657" s="15"/>
      <c r="D6657" s="2"/>
    </row>
    <row r="6658" spans="1:4" ht="12.75" customHeight="1" x14ac:dyDescent="0.2">
      <c r="A6658" s="13" t="s">
        <v>3618</v>
      </c>
      <c r="C6658" s="12"/>
    </row>
    <row r="6659" spans="1:4" ht="12.75" customHeight="1" x14ac:dyDescent="0.2">
      <c r="A6659" s="11"/>
      <c r="B6659" s="2"/>
      <c r="C6659" s="15"/>
      <c r="D6659" s="2"/>
    </row>
    <row r="6660" spans="1:4" ht="12.75" customHeight="1" x14ac:dyDescent="0.2">
      <c r="B6660" s="11" t="s">
        <v>0</v>
      </c>
      <c r="C6660" s="11" t="s">
        <v>216</v>
      </c>
    </row>
    <row r="6661" spans="1:4" ht="12.75" customHeight="1" x14ac:dyDescent="0.2">
      <c r="B6661" s="11" t="s">
        <v>2599</v>
      </c>
      <c r="C6661" s="11" t="s">
        <v>3563</v>
      </c>
    </row>
    <row r="6662" spans="1:4" ht="25.5" customHeight="1" x14ac:dyDescent="0.2">
      <c r="B6662" s="11" t="s">
        <v>2600</v>
      </c>
      <c r="C6662" s="11" t="s">
        <v>3619</v>
      </c>
    </row>
    <row r="6663" spans="1:4" ht="25.5" customHeight="1" x14ac:dyDescent="0.2">
      <c r="B6663" s="11" t="s">
        <v>2601</v>
      </c>
      <c r="C6663" s="11"/>
    </row>
    <row r="6664" spans="1:4" ht="12.75" customHeight="1" x14ac:dyDescent="0.2">
      <c r="B6664" s="11" t="s">
        <v>16</v>
      </c>
      <c r="C6664" s="11"/>
    </row>
    <row r="6665" spans="1:4" ht="12.75" customHeight="1" x14ac:dyDescent="0.2">
      <c r="B6665" s="11" t="s">
        <v>13</v>
      </c>
      <c r="C6665" s="11" t="s">
        <v>2644</v>
      </c>
    </row>
    <row r="6666" spans="1:4" ht="12.75" customHeight="1" x14ac:dyDescent="0.2">
      <c r="B6666" s="11" t="s">
        <v>2603</v>
      </c>
      <c r="C6666" s="11" t="s">
        <v>2604</v>
      </c>
    </row>
    <row r="6667" spans="1:4" ht="12.75" customHeight="1" x14ac:dyDescent="0.2">
      <c r="B6667" s="11" t="s">
        <v>2605</v>
      </c>
      <c r="C6667" s="11" t="s">
        <v>24</v>
      </c>
    </row>
    <row r="6668" spans="1:4" ht="12.75" customHeight="1" x14ac:dyDescent="0.2">
      <c r="B6668" s="11" t="s">
        <v>2606</v>
      </c>
      <c r="C6668" s="16" t="s">
        <v>67</v>
      </c>
      <c r="D6668" s="6" t="str">
        <f>HYPERLINK("javascript:void(0)","mantüske")</f>
        <v>mantüske</v>
      </c>
    </row>
    <row r="6669" spans="1:4" ht="12.75" customHeight="1" x14ac:dyDescent="0.2">
      <c r="B6669" s="2"/>
      <c r="C6669" s="15"/>
      <c r="D6669" s="2"/>
    </row>
    <row r="6670" spans="1:4" ht="12.75" customHeight="1" x14ac:dyDescent="0.2">
      <c r="B6670" s="2"/>
      <c r="C6670" s="15"/>
      <c r="D6670" s="2"/>
    </row>
    <row r="6671" spans="1:4" ht="12.75" customHeight="1" x14ac:dyDescent="0.2">
      <c r="A6671" s="13" t="s">
        <v>3620</v>
      </c>
      <c r="C6671" s="12"/>
    </row>
    <row r="6672" spans="1:4" ht="12.75" customHeight="1" x14ac:dyDescent="0.2">
      <c r="A6672" s="11"/>
      <c r="B6672" s="2"/>
      <c r="C6672" s="15"/>
      <c r="D6672" s="2"/>
    </row>
    <row r="6673" spans="1:4" ht="12.75" customHeight="1" x14ac:dyDescent="0.2">
      <c r="B6673" s="11" t="s">
        <v>0</v>
      </c>
      <c r="C6673" s="11" t="s">
        <v>216</v>
      </c>
    </row>
    <row r="6674" spans="1:4" ht="12.75" customHeight="1" x14ac:dyDescent="0.2">
      <c r="B6674" s="11" t="s">
        <v>2599</v>
      </c>
      <c r="C6674" s="11" t="s">
        <v>2575</v>
      </c>
    </row>
    <row r="6675" spans="1:4" ht="25.5" customHeight="1" x14ac:dyDescent="0.2">
      <c r="B6675" s="11" t="s">
        <v>2600</v>
      </c>
      <c r="C6675" s="11" t="s">
        <v>3621</v>
      </c>
    </row>
    <row r="6676" spans="1:4" ht="25.5" customHeight="1" x14ac:dyDescent="0.2">
      <c r="B6676" s="11" t="s">
        <v>2601</v>
      </c>
      <c r="C6676" s="11"/>
    </row>
    <row r="6677" spans="1:4" ht="12.75" customHeight="1" x14ac:dyDescent="0.2">
      <c r="B6677" s="11" t="s">
        <v>16</v>
      </c>
      <c r="C6677" s="11"/>
    </row>
    <row r="6678" spans="1:4" ht="12.75" customHeight="1" x14ac:dyDescent="0.2">
      <c r="B6678" s="11" t="s">
        <v>13</v>
      </c>
      <c r="C6678" s="11" t="s">
        <v>2602</v>
      </c>
    </row>
    <row r="6679" spans="1:4" ht="12.75" customHeight="1" x14ac:dyDescent="0.2">
      <c r="B6679" s="11" t="s">
        <v>2603</v>
      </c>
      <c r="C6679" s="11" t="s">
        <v>2604</v>
      </c>
    </row>
    <row r="6680" spans="1:4" ht="12.75" customHeight="1" x14ac:dyDescent="0.2">
      <c r="B6680" s="11" t="s">
        <v>2605</v>
      </c>
      <c r="C6680" s="11" t="s">
        <v>24</v>
      </c>
    </row>
    <row r="6681" spans="1:4" ht="12.75" customHeight="1" x14ac:dyDescent="0.2">
      <c r="B6681" s="11" t="s">
        <v>2606</v>
      </c>
      <c r="C6681" s="16" t="s">
        <v>232</v>
      </c>
      <c r="D6681" s="6" t="str">
        <f>HYPERLINK("javascript:void(0)","kincs")</f>
        <v>kincs</v>
      </c>
    </row>
    <row r="6682" spans="1:4" ht="25.5" customHeight="1" x14ac:dyDescent="0.2">
      <c r="C6682" s="16" t="s">
        <v>56</v>
      </c>
      <c r="D6682" s="6" t="str">
        <f>HYPERLINK("javascript:void(0)","sárkány taréj")</f>
        <v>sárkány taréj</v>
      </c>
    </row>
    <row r="6683" spans="1:4" ht="12.75" customHeight="1" x14ac:dyDescent="0.2">
      <c r="B6683" s="2"/>
      <c r="C6683" s="15"/>
      <c r="D6683" s="2"/>
    </row>
    <row r="6684" spans="1:4" ht="12.75" customHeight="1" x14ac:dyDescent="0.2">
      <c r="B6684" s="2"/>
      <c r="C6684" s="15"/>
      <c r="D6684" s="2"/>
    </row>
    <row r="6685" spans="1:4" ht="12.75" customHeight="1" x14ac:dyDescent="0.2">
      <c r="A6685" s="13" t="s">
        <v>3622</v>
      </c>
      <c r="C6685" s="12"/>
    </row>
    <row r="6686" spans="1:4" ht="12.75" customHeight="1" x14ac:dyDescent="0.2">
      <c r="A6686" s="11"/>
      <c r="B6686" s="2"/>
      <c r="C6686" s="15"/>
      <c r="D6686" s="2"/>
    </row>
    <row r="6687" spans="1:4" ht="12.75" customHeight="1" x14ac:dyDescent="0.2">
      <c r="B6687" s="11" t="s">
        <v>0</v>
      </c>
      <c r="C6687" s="11" t="s">
        <v>216</v>
      </c>
    </row>
    <row r="6688" spans="1:4" ht="12.75" customHeight="1" x14ac:dyDescent="0.2">
      <c r="B6688" s="11" t="s">
        <v>2599</v>
      </c>
      <c r="C6688" s="11" t="s">
        <v>2500</v>
      </c>
    </row>
    <row r="6689" spans="1:4" ht="25.5" customHeight="1" x14ac:dyDescent="0.2">
      <c r="B6689" s="11" t="s">
        <v>2600</v>
      </c>
      <c r="C6689" s="11" t="s">
        <v>3623</v>
      </c>
    </row>
    <row r="6690" spans="1:4" ht="25.5" customHeight="1" x14ac:dyDescent="0.2">
      <c r="B6690" s="11" t="s">
        <v>2601</v>
      </c>
      <c r="C6690" s="11"/>
    </row>
    <row r="6691" spans="1:4" ht="12.75" customHeight="1" x14ac:dyDescent="0.2">
      <c r="B6691" s="11" t="s">
        <v>16</v>
      </c>
      <c r="C6691" s="11"/>
    </row>
    <row r="6692" spans="1:4" ht="12.75" customHeight="1" x14ac:dyDescent="0.2">
      <c r="B6692" s="11" t="s">
        <v>13</v>
      </c>
      <c r="C6692" s="11" t="s">
        <v>2644</v>
      </c>
    </row>
    <row r="6693" spans="1:4" ht="12.75" customHeight="1" x14ac:dyDescent="0.2">
      <c r="B6693" s="11" t="s">
        <v>2603</v>
      </c>
      <c r="C6693" s="11" t="s">
        <v>2604</v>
      </c>
    </row>
    <row r="6694" spans="1:4" ht="12.75" customHeight="1" x14ac:dyDescent="0.2">
      <c r="B6694" s="11" t="s">
        <v>2605</v>
      </c>
      <c r="C6694" s="11" t="s">
        <v>24</v>
      </c>
    </row>
    <row r="6695" spans="1:4" ht="12.75" customHeight="1" x14ac:dyDescent="0.2">
      <c r="B6695" s="11" t="s">
        <v>2606</v>
      </c>
      <c r="C6695" s="16" t="s">
        <v>232</v>
      </c>
      <c r="D6695" s="6" t="str">
        <f>HYPERLINK("javascript:void(0)","kincs")</f>
        <v>kincs</v>
      </c>
    </row>
    <row r="6696" spans="1:4" ht="25.5" customHeight="1" x14ac:dyDescent="0.2">
      <c r="C6696" s="16" t="s">
        <v>56</v>
      </c>
      <c r="D6696" s="6" t="str">
        <f>HYPERLINK("javascript:void(0)","sárkány szív")</f>
        <v>sárkány szív</v>
      </c>
    </row>
    <row r="6697" spans="1:4" ht="12.75" customHeight="1" x14ac:dyDescent="0.2">
      <c r="B6697" s="2"/>
      <c r="C6697" s="15"/>
      <c r="D6697" s="2"/>
    </row>
    <row r="6698" spans="1:4" ht="12.75" customHeight="1" x14ac:dyDescent="0.2">
      <c r="B6698" s="2"/>
      <c r="C6698" s="15"/>
      <c r="D6698" s="2"/>
    </row>
    <row r="6699" spans="1:4" ht="12.75" customHeight="1" x14ac:dyDescent="0.2">
      <c r="A6699" s="13" t="s">
        <v>3624</v>
      </c>
      <c r="C6699" s="12"/>
    </row>
    <row r="6700" spans="1:4" ht="12.75" customHeight="1" x14ac:dyDescent="0.2">
      <c r="A6700" s="11"/>
      <c r="B6700" s="2"/>
      <c r="C6700" s="15"/>
      <c r="D6700" s="2"/>
    </row>
    <row r="6701" spans="1:4" ht="12.75" customHeight="1" x14ac:dyDescent="0.2">
      <c r="B6701" s="11" t="s">
        <v>0</v>
      </c>
      <c r="C6701" s="11" t="s">
        <v>216</v>
      </c>
    </row>
    <row r="6702" spans="1:4" ht="12.75" customHeight="1" x14ac:dyDescent="0.2">
      <c r="B6702" s="11" t="s">
        <v>2599</v>
      </c>
      <c r="C6702" s="11" t="s">
        <v>533</v>
      </c>
    </row>
    <row r="6703" spans="1:4" ht="25.5" customHeight="1" x14ac:dyDescent="0.2">
      <c r="B6703" s="11" t="s">
        <v>2600</v>
      </c>
      <c r="C6703" s="11" t="s">
        <v>3625</v>
      </c>
    </row>
    <row r="6704" spans="1:4" ht="25.5" customHeight="1" x14ac:dyDescent="0.2">
      <c r="B6704" s="11" t="s">
        <v>2601</v>
      </c>
      <c r="C6704" s="11"/>
    </row>
    <row r="6705" spans="1:4" ht="12.75" customHeight="1" x14ac:dyDescent="0.2">
      <c r="B6705" s="11" t="s">
        <v>16</v>
      </c>
      <c r="C6705" s="11"/>
    </row>
    <row r="6706" spans="1:4" ht="12.75" customHeight="1" x14ac:dyDescent="0.2">
      <c r="B6706" s="11" t="s">
        <v>13</v>
      </c>
      <c r="C6706" s="11" t="s">
        <v>2644</v>
      </c>
    </row>
    <row r="6707" spans="1:4" ht="12.75" customHeight="1" x14ac:dyDescent="0.2">
      <c r="B6707" s="11" t="s">
        <v>2603</v>
      </c>
      <c r="C6707" s="11" t="s">
        <v>2604</v>
      </c>
    </row>
    <row r="6708" spans="1:4" ht="12.75" customHeight="1" x14ac:dyDescent="0.2">
      <c r="B6708" s="11" t="s">
        <v>2605</v>
      </c>
      <c r="C6708" s="11" t="s">
        <v>24</v>
      </c>
    </row>
    <row r="6709" spans="1:4" ht="12.75" customHeight="1" x14ac:dyDescent="0.2">
      <c r="B6709" s="11" t="s">
        <v>2606</v>
      </c>
      <c r="C6709" s="16" t="s">
        <v>44</v>
      </c>
      <c r="D6709" s="6" t="str">
        <f>HYPERLINK("javascript:void(0)","lámpás")</f>
        <v>lámpás</v>
      </c>
    </row>
    <row r="6710" spans="1:4" ht="12.75" customHeight="1" x14ac:dyDescent="0.2">
      <c r="B6710" s="2"/>
      <c r="C6710" s="15"/>
      <c r="D6710" s="2"/>
    </row>
    <row r="6711" spans="1:4" ht="12.75" customHeight="1" x14ac:dyDescent="0.2">
      <c r="B6711" s="2"/>
      <c r="C6711" s="15"/>
      <c r="D6711" s="2"/>
    </row>
    <row r="6712" spans="1:4" ht="12.75" customHeight="1" x14ac:dyDescent="0.2">
      <c r="A6712" s="13" t="s">
        <v>3540</v>
      </c>
      <c r="C6712" s="12"/>
      <c r="D6712" s="2"/>
    </row>
    <row r="6713" spans="1:4" ht="12.75" customHeight="1" x14ac:dyDescent="0.2">
      <c r="A6713" s="11"/>
      <c r="B6713" s="2"/>
      <c r="C6713" s="15"/>
      <c r="D6713" s="2"/>
    </row>
    <row r="6714" spans="1:4" ht="12.75" customHeight="1" x14ac:dyDescent="0.2">
      <c r="B6714" s="11" t="s">
        <v>0</v>
      </c>
      <c r="C6714" s="17" t="s">
        <v>435</v>
      </c>
      <c r="D6714" s="2"/>
    </row>
    <row r="6715" spans="1:4" ht="12.75" customHeight="1" x14ac:dyDescent="0.2">
      <c r="B6715" s="11" t="s">
        <v>2599</v>
      </c>
      <c r="C6715" s="17" t="s">
        <v>3541</v>
      </c>
      <c r="D6715" s="2"/>
    </row>
    <row r="6716" spans="1:4" ht="25.5" customHeight="1" x14ac:dyDescent="0.2">
      <c r="B6716" s="11" t="s">
        <v>2600</v>
      </c>
      <c r="C6716" s="17" t="s">
        <v>3626</v>
      </c>
      <c r="D6716" s="2"/>
    </row>
    <row r="6717" spans="1:4" ht="25.5" customHeight="1" x14ac:dyDescent="0.2">
      <c r="B6717" s="11" t="s">
        <v>2601</v>
      </c>
      <c r="C6717" s="17"/>
      <c r="D6717" s="2"/>
    </row>
    <row r="6718" spans="1:4" ht="12.75" customHeight="1" x14ac:dyDescent="0.2">
      <c r="B6718" s="11" t="s">
        <v>16</v>
      </c>
      <c r="C6718" s="17"/>
      <c r="D6718" s="2"/>
    </row>
    <row r="6719" spans="1:4" ht="12.75" customHeight="1" x14ac:dyDescent="0.2">
      <c r="B6719" s="11" t="s">
        <v>13</v>
      </c>
      <c r="C6719" s="17" t="s">
        <v>2644</v>
      </c>
      <c r="D6719" s="2"/>
    </row>
    <row r="6720" spans="1:4" ht="25.5" customHeight="1" x14ac:dyDescent="0.2">
      <c r="B6720" s="11" t="s">
        <v>2603</v>
      </c>
      <c r="C6720" s="17" t="s">
        <v>2971</v>
      </c>
      <c r="D6720" s="2"/>
    </row>
    <row r="6721" spans="1:4" ht="12.75" customHeight="1" x14ac:dyDescent="0.2">
      <c r="B6721" s="11" t="s">
        <v>2605</v>
      </c>
      <c r="C6721" s="17" t="s">
        <v>14</v>
      </c>
      <c r="D6721" s="2"/>
    </row>
    <row r="6722" spans="1:4" ht="12.75" customHeight="1" x14ac:dyDescent="0.2">
      <c r="B6722" s="11" t="s">
        <v>2606</v>
      </c>
      <c r="C6722" s="16" t="s">
        <v>19</v>
      </c>
      <c r="D6722" s="2"/>
    </row>
    <row r="6723" spans="1:4" ht="12.75" customHeight="1" x14ac:dyDescent="0.2">
      <c r="B6723" s="2"/>
      <c r="C6723" s="15"/>
      <c r="D6723" s="2"/>
    </row>
    <row r="6724" spans="1:4" ht="12.75" customHeight="1" x14ac:dyDescent="0.2">
      <c r="B6724" s="2"/>
      <c r="C6724" s="15"/>
      <c r="D6724" s="2"/>
    </row>
    <row r="6725" spans="1:4" ht="12.75" customHeight="1" x14ac:dyDescent="0.2">
      <c r="A6725" s="13" t="s">
        <v>3627</v>
      </c>
      <c r="C6725" s="12"/>
      <c r="D6725" s="2"/>
    </row>
    <row r="6726" spans="1:4" ht="12.75" customHeight="1" x14ac:dyDescent="0.2">
      <c r="A6726" s="11"/>
      <c r="B6726" s="2"/>
      <c r="C6726" s="15"/>
      <c r="D6726" s="2"/>
    </row>
    <row r="6727" spans="1:4" ht="12.75" customHeight="1" x14ac:dyDescent="0.2">
      <c r="B6727" s="11" t="s">
        <v>0</v>
      </c>
      <c r="C6727" s="17" t="s">
        <v>435</v>
      </c>
      <c r="D6727" s="2"/>
    </row>
    <row r="6728" spans="1:4" ht="12.75" customHeight="1" x14ac:dyDescent="0.2">
      <c r="B6728" s="11" t="s">
        <v>2599</v>
      </c>
      <c r="C6728" s="17" t="s">
        <v>1120</v>
      </c>
      <c r="D6728" s="2"/>
    </row>
    <row r="6729" spans="1:4" ht="25.5" customHeight="1" x14ac:dyDescent="0.2">
      <c r="B6729" s="11" t="s">
        <v>2600</v>
      </c>
      <c r="C6729" s="17" t="s">
        <v>3628</v>
      </c>
      <c r="D6729" s="2"/>
    </row>
    <row r="6730" spans="1:4" ht="25.5" customHeight="1" x14ac:dyDescent="0.2">
      <c r="B6730" s="11" t="s">
        <v>2601</v>
      </c>
      <c r="C6730" s="17"/>
      <c r="D6730" s="2"/>
    </row>
    <row r="6731" spans="1:4" ht="12.75" customHeight="1" x14ac:dyDescent="0.2">
      <c r="B6731" s="11" t="s">
        <v>16</v>
      </c>
      <c r="C6731" s="17"/>
      <c r="D6731" s="2"/>
    </row>
    <row r="6732" spans="1:4" ht="12.75" customHeight="1" x14ac:dyDescent="0.2">
      <c r="B6732" s="11" t="s">
        <v>13</v>
      </c>
      <c r="C6732" s="17" t="s">
        <v>2602</v>
      </c>
      <c r="D6732" s="2"/>
    </row>
    <row r="6733" spans="1:4" ht="25.5" customHeight="1" x14ac:dyDescent="0.2">
      <c r="B6733" s="11" t="s">
        <v>2603</v>
      </c>
      <c r="C6733" s="17" t="s">
        <v>2971</v>
      </c>
      <c r="D6733" s="2"/>
    </row>
    <row r="6734" spans="1:4" ht="12.75" customHeight="1" x14ac:dyDescent="0.2">
      <c r="B6734" s="11" t="s">
        <v>2605</v>
      </c>
      <c r="C6734" s="17" t="s">
        <v>14</v>
      </c>
      <c r="D6734" s="2"/>
    </row>
    <row r="6735" spans="1:4" ht="12.75" customHeight="1" x14ac:dyDescent="0.2">
      <c r="B6735" s="11" t="s">
        <v>2606</v>
      </c>
      <c r="C6735" s="16" t="s">
        <v>19</v>
      </c>
      <c r="D6735" s="2"/>
    </row>
    <row r="6736" spans="1:4" ht="12.75" customHeight="1" x14ac:dyDescent="0.2">
      <c r="B6736" s="2"/>
      <c r="C6736" s="15"/>
      <c r="D6736" s="2"/>
    </row>
    <row r="6737" spans="1:4" ht="12.75" customHeight="1" x14ac:dyDescent="0.2">
      <c r="B6737" s="2"/>
      <c r="C6737" s="15"/>
      <c r="D6737" s="2"/>
    </row>
    <row r="6738" spans="1:4" ht="12.75" customHeight="1" x14ac:dyDescent="0.2">
      <c r="A6738" s="13" t="s">
        <v>3544</v>
      </c>
      <c r="C6738" s="12"/>
      <c r="D6738" s="2"/>
    </row>
    <row r="6739" spans="1:4" ht="12.75" customHeight="1" x14ac:dyDescent="0.2">
      <c r="A6739" s="11"/>
      <c r="B6739" s="2"/>
      <c r="C6739" s="15"/>
      <c r="D6739" s="2"/>
    </row>
    <row r="6740" spans="1:4" ht="12.75" customHeight="1" x14ac:dyDescent="0.2">
      <c r="B6740" s="11" t="s">
        <v>0</v>
      </c>
      <c r="C6740" s="17" t="s">
        <v>435</v>
      </c>
      <c r="D6740" s="2"/>
    </row>
    <row r="6741" spans="1:4" ht="12.75" customHeight="1" x14ac:dyDescent="0.2">
      <c r="B6741" s="11" t="s">
        <v>2599</v>
      </c>
      <c r="C6741" s="17" t="s">
        <v>3545</v>
      </c>
      <c r="D6741" s="2"/>
    </row>
    <row r="6742" spans="1:4" ht="25.5" customHeight="1" x14ac:dyDescent="0.2">
      <c r="B6742" s="11" t="s">
        <v>2600</v>
      </c>
      <c r="C6742" s="17" t="s">
        <v>3629</v>
      </c>
      <c r="D6742" s="2"/>
    </row>
    <row r="6743" spans="1:4" ht="25.5" customHeight="1" x14ac:dyDescent="0.2">
      <c r="B6743" s="11" t="s">
        <v>2601</v>
      </c>
      <c r="C6743" s="17"/>
      <c r="D6743" s="2"/>
    </row>
    <row r="6744" spans="1:4" ht="12.75" customHeight="1" x14ac:dyDescent="0.2">
      <c r="B6744" s="11" t="s">
        <v>16</v>
      </c>
      <c r="C6744" s="17"/>
      <c r="D6744" s="2"/>
    </row>
    <row r="6745" spans="1:4" ht="12.75" customHeight="1" x14ac:dyDescent="0.2">
      <c r="B6745" s="11" t="s">
        <v>13</v>
      </c>
      <c r="C6745" s="17" t="s">
        <v>2644</v>
      </c>
      <c r="D6745" s="2"/>
    </row>
    <row r="6746" spans="1:4" ht="25.5" customHeight="1" x14ac:dyDescent="0.2">
      <c r="B6746" s="11" t="s">
        <v>2603</v>
      </c>
      <c r="C6746" s="17" t="s">
        <v>2971</v>
      </c>
      <c r="D6746" s="2"/>
    </row>
    <row r="6747" spans="1:4" ht="12.75" customHeight="1" x14ac:dyDescent="0.2">
      <c r="B6747" s="11" t="s">
        <v>2605</v>
      </c>
      <c r="C6747" s="17" t="s">
        <v>14</v>
      </c>
      <c r="D6747" s="2"/>
    </row>
    <row r="6748" spans="1:4" ht="12.75" customHeight="1" x14ac:dyDescent="0.2">
      <c r="B6748" s="11" t="s">
        <v>2606</v>
      </c>
      <c r="C6748" s="16" t="s">
        <v>19</v>
      </c>
      <c r="D6748" s="2"/>
    </row>
    <row r="6749" spans="1:4" ht="12.75" customHeight="1" x14ac:dyDescent="0.2">
      <c r="B6749" s="2"/>
      <c r="C6749" s="15"/>
      <c r="D6749" s="2"/>
    </row>
    <row r="6750" spans="1:4" ht="12.75" customHeight="1" x14ac:dyDescent="0.2">
      <c r="B6750" s="2"/>
      <c r="C6750" s="15"/>
      <c r="D6750" s="2"/>
    </row>
    <row r="6751" spans="1:4" ht="12.75" customHeight="1" x14ac:dyDescent="0.2">
      <c r="A6751" s="13" t="s">
        <v>3601</v>
      </c>
      <c r="C6751" s="12"/>
      <c r="D6751" s="2"/>
    </row>
    <row r="6752" spans="1:4" ht="12.75" customHeight="1" x14ac:dyDescent="0.2">
      <c r="A6752" s="11"/>
      <c r="B6752" s="2"/>
      <c r="C6752" s="15"/>
      <c r="D6752" s="2"/>
    </row>
    <row r="6753" spans="1:4" ht="12.75" customHeight="1" x14ac:dyDescent="0.2">
      <c r="B6753" s="11" t="s">
        <v>0</v>
      </c>
      <c r="C6753" s="17" t="s">
        <v>435</v>
      </c>
      <c r="D6753" s="2"/>
    </row>
    <row r="6754" spans="1:4" ht="12.75" customHeight="1" x14ac:dyDescent="0.2">
      <c r="B6754" s="11" t="s">
        <v>2599</v>
      </c>
      <c r="C6754" s="17" t="s">
        <v>3602</v>
      </c>
      <c r="D6754" s="2"/>
    </row>
    <row r="6755" spans="1:4" ht="25.5" customHeight="1" x14ac:dyDescent="0.2">
      <c r="B6755" s="11" t="s">
        <v>2600</v>
      </c>
      <c r="C6755" s="17" t="s">
        <v>3630</v>
      </c>
      <c r="D6755" s="2"/>
    </row>
    <row r="6756" spans="1:4" ht="25.5" customHeight="1" x14ac:dyDescent="0.2">
      <c r="B6756" s="11" t="s">
        <v>2601</v>
      </c>
      <c r="C6756" s="17"/>
      <c r="D6756" s="2"/>
    </row>
    <row r="6757" spans="1:4" ht="12.75" customHeight="1" x14ac:dyDescent="0.2">
      <c r="B6757" s="11" t="s">
        <v>16</v>
      </c>
      <c r="C6757" s="17"/>
      <c r="D6757" s="2"/>
    </row>
    <row r="6758" spans="1:4" ht="12.75" customHeight="1" x14ac:dyDescent="0.2">
      <c r="B6758" s="11" t="s">
        <v>13</v>
      </c>
      <c r="C6758" s="17" t="s">
        <v>2602</v>
      </c>
      <c r="D6758" s="2"/>
    </row>
    <row r="6759" spans="1:4" ht="25.5" customHeight="1" x14ac:dyDescent="0.2">
      <c r="B6759" s="11" t="s">
        <v>2603</v>
      </c>
      <c r="C6759" s="17" t="s">
        <v>2971</v>
      </c>
      <c r="D6759" s="2"/>
    </row>
    <row r="6760" spans="1:4" ht="12.75" customHeight="1" x14ac:dyDescent="0.2">
      <c r="B6760" s="11" t="s">
        <v>2605</v>
      </c>
      <c r="C6760" s="17" t="s">
        <v>14</v>
      </c>
      <c r="D6760" s="2"/>
    </row>
    <row r="6761" spans="1:4" ht="12.75" customHeight="1" x14ac:dyDescent="0.2">
      <c r="B6761" s="11" t="s">
        <v>2606</v>
      </c>
      <c r="C6761" s="16" t="s">
        <v>19</v>
      </c>
      <c r="D6761" s="2"/>
    </row>
    <row r="6762" spans="1:4" ht="12.75" customHeight="1" x14ac:dyDescent="0.2">
      <c r="B6762" s="2"/>
      <c r="C6762" s="15"/>
      <c r="D6762" s="2"/>
    </row>
    <row r="6763" spans="1:4" ht="12.75" customHeight="1" x14ac:dyDescent="0.2">
      <c r="B6763" s="2"/>
      <c r="C6763" s="15"/>
      <c r="D6763" s="2"/>
    </row>
    <row r="6764" spans="1:4" ht="12.75" customHeight="1" x14ac:dyDescent="0.2">
      <c r="A6764" s="13" t="s">
        <v>3548</v>
      </c>
      <c r="C6764" s="12"/>
      <c r="D6764" s="2"/>
    </row>
    <row r="6765" spans="1:4" ht="12.75" customHeight="1" x14ac:dyDescent="0.2">
      <c r="A6765" s="11"/>
      <c r="B6765" s="2"/>
      <c r="C6765" s="15"/>
      <c r="D6765" s="2"/>
    </row>
    <row r="6766" spans="1:4" ht="12.75" customHeight="1" x14ac:dyDescent="0.2">
      <c r="B6766" s="11" t="s">
        <v>0</v>
      </c>
      <c r="C6766" s="17" t="s">
        <v>435</v>
      </c>
      <c r="D6766" s="2"/>
    </row>
    <row r="6767" spans="1:4" ht="12.75" customHeight="1" x14ac:dyDescent="0.2">
      <c r="B6767" s="11" t="s">
        <v>2599</v>
      </c>
      <c r="C6767" s="17" t="s">
        <v>3549</v>
      </c>
      <c r="D6767" s="2"/>
    </row>
    <row r="6768" spans="1:4" ht="25.5" customHeight="1" x14ac:dyDescent="0.2">
      <c r="B6768" s="11" t="s">
        <v>2600</v>
      </c>
      <c r="C6768" s="17" t="s">
        <v>3631</v>
      </c>
      <c r="D6768" s="2"/>
    </row>
    <row r="6769" spans="1:4" ht="25.5" customHeight="1" x14ac:dyDescent="0.2">
      <c r="B6769" s="11" t="s">
        <v>2601</v>
      </c>
      <c r="C6769" s="17"/>
      <c r="D6769" s="2"/>
    </row>
    <row r="6770" spans="1:4" ht="12.75" customHeight="1" x14ac:dyDescent="0.2">
      <c r="B6770" s="11" t="s">
        <v>16</v>
      </c>
      <c r="C6770" s="17"/>
      <c r="D6770" s="2"/>
    </row>
    <row r="6771" spans="1:4" ht="12.75" customHeight="1" x14ac:dyDescent="0.2">
      <c r="B6771" s="11" t="s">
        <v>13</v>
      </c>
      <c r="C6771" s="17" t="s">
        <v>2602</v>
      </c>
      <c r="D6771" s="2"/>
    </row>
    <row r="6772" spans="1:4" ht="25.5" customHeight="1" x14ac:dyDescent="0.2">
      <c r="B6772" s="11" t="s">
        <v>2603</v>
      </c>
      <c r="C6772" s="17" t="s">
        <v>2971</v>
      </c>
      <c r="D6772" s="2"/>
    </row>
    <row r="6773" spans="1:4" ht="12.75" customHeight="1" x14ac:dyDescent="0.2">
      <c r="B6773" s="11" t="s">
        <v>2605</v>
      </c>
      <c r="C6773" s="17" t="s">
        <v>14</v>
      </c>
      <c r="D6773" s="2"/>
    </row>
    <row r="6774" spans="1:4" ht="12.75" customHeight="1" x14ac:dyDescent="0.2">
      <c r="B6774" s="11" t="s">
        <v>2606</v>
      </c>
      <c r="C6774" s="16" t="s">
        <v>19</v>
      </c>
      <c r="D6774" s="2"/>
    </row>
    <row r="6775" spans="1:4" ht="12.75" customHeight="1" x14ac:dyDescent="0.2">
      <c r="B6775" s="2"/>
      <c r="C6775" s="15"/>
      <c r="D6775" s="2"/>
    </row>
    <row r="6776" spans="1:4" ht="12.75" customHeight="1" x14ac:dyDescent="0.2">
      <c r="B6776" s="2"/>
      <c r="C6776" s="15"/>
      <c r="D6776" s="2"/>
    </row>
    <row r="6777" spans="1:4" ht="12.75" customHeight="1" x14ac:dyDescent="0.2">
      <c r="A6777" s="13" t="s">
        <v>3551</v>
      </c>
      <c r="C6777" s="12"/>
      <c r="D6777" s="2"/>
    </row>
    <row r="6778" spans="1:4" ht="12.75" customHeight="1" x14ac:dyDescent="0.2">
      <c r="A6778" s="11"/>
      <c r="B6778" s="2"/>
      <c r="C6778" s="15"/>
      <c r="D6778" s="2"/>
    </row>
    <row r="6779" spans="1:4" ht="12.75" customHeight="1" x14ac:dyDescent="0.2">
      <c r="B6779" s="11" t="s">
        <v>0</v>
      </c>
      <c r="C6779" s="17" t="s">
        <v>435</v>
      </c>
      <c r="D6779" s="2"/>
    </row>
    <row r="6780" spans="1:4" ht="12.75" customHeight="1" x14ac:dyDescent="0.2">
      <c r="B6780" s="11" t="s">
        <v>2599</v>
      </c>
      <c r="C6780" s="17" t="s">
        <v>3541</v>
      </c>
      <c r="D6780" s="2"/>
    </row>
    <row r="6781" spans="1:4" ht="25.5" customHeight="1" x14ac:dyDescent="0.2">
      <c r="B6781" s="11" t="s">
        <v>2600</v>
      </c>
      <c r="C6781" s="17" t="s">
        <v>3632</v>
      </c>
      <c r="D6781" s="2"/>
    </row>
    <row r="6782" spans="1:4" ht="25.5" customHeight="1" x14ac:dyDescent="0.2">
      <c r="B6782" s="11" t="s">
        <v>2601</v>
      </c>
      <c r="C6782" s="17"/>
      <c r="D6782" s="2"/>
    </row>
    <row r="6783" spans="1:4" ht="12.75" customHeight="1" x14ac:dyDescent="0.2">
      <c r="B6783" s="11" t="s">
        <v>16</v>
      </c>
      <c r="C6783" s="17"/>
      <c r="D6783" s="2"/>
    </row>
    <row r="6784" spans="1:4" ht="12.75" customHeight="1" x14ac:dyDescent="0.2">
      <c r="B6784" s="11" t="s">
        <v>13</v>
      </c>
      <c r="C6784" s="17" t="s">
        <v>2644</v>
      </c>
      <c r="D6784" s="2"/>
    </row>
    <row r="6785" spans="1:4" ht="25.5" customHeight="1" x14ac:dyDescent="0.2">
      <c r="B6785" s="11" t="s">
        <v>2603</v>
      </c>
      <c r="C6785" s="17" t="s">
        <v>2971</v>
      </c>
      <c r="D6785" s="2"/>
    </row>
    <row r="6786" spans="1:4" ht="12.75" customHeight="1" x14ac:dyDescent="0.2">
      <c r="B6786" s="11" t="s">
        <v>2605</v>
      </c>
      <c r="C6786" s="17" t="s">
        <v>14</v>
      </c>
      <c r="D6786" s="2"/>
    </row>
    <row r="6787" spans="1:4" ht="12.75" customHeight="1" x14ac:dyDescent="0.2">
      <c r="B6787" s="11" t="s">
        <v>2606</v>
      </c>
      <c r="C6787" s="16" t="s">
        <v>19</v>
      </c>
      <c r="D6787" s="2"/>
    </row>
    <row r="6788" spans="1:4" ht="12.75" customHeight="1" x14ac:dyDescent="0.2">
      <c r="B6788" s="2"/>
      <c r="C6788" s="15"/>
      <c r="D6788" s="2"/>
    </row>
    <row r="6789" spans="1:4" ht="12.75" customHeight="1" x14ac:dyDescent="0.2">
      <c r="B6789" s="2"/>
      <c r="C6789" s="15"/>
      <c r="D6789" s="2"/>
    </row>
    <row r="6790" spans="1:4" ht="12.75" customHeight="1" x14ac:dyDescent="0.2">
      <c r="A6790" s="13" t="s">
        <v>3633</v>
      </c>
      <c r="C6790" s="12"/>
    </row>
    <row r="6791" spans="1:4" ht="12.75" customHeight="1" x14ac:dyDescent="0.2">
      <c r="A6791" s="11"/>
      <c r="B6791" s="2"/>
      <c r="C6791" s="15"/>
      <c r="D6791" s="2"/>
    </row>
    <row r="6792" spans="1:4" ht="12.75" customHeight="1" x14ac:dyDescent="0.2">
      <c r="B6792" s="11" t="s">
        <v>0</v>
      </c>
      <c r="C6792" s="11" t="s">
        <v>435</v>
      </c>
    </row>
    <row r="6793" spans="1:4" ht="12.75" customHeight="1" x14ac:dyDescent="0.2">
      <c r="B6793" s="11" t="s">
        <v>2599</v>
      </c>
      <c r="C6793" s="11" t="s">
        <v>3634</v>
      </c>
    </row>
    <row r="6794" spans="1:4" ht="25.5" customHeight="1" x14ac:dyDescent="0.2">
      <c r="B6794" s="11" t="s">
        <v>2600</v>
      </c>
      <c r="C6794" s="11" t="s">
        <v>3635</v>
      </c>
    </row>
    <row r="6795" spans="1:4" ht="25.5" customHeight="1" x14ac:dyDescent="0.2">
      <c r="B6795" s="11" t="s">
        <v>2601</v>
      </c>
      <c r="C6795" s="11"/>
    </row>
    <row r="6796" spans="1:4" ht="12.75" customHeight="1" x14ac:dyDescent="0.2">
      <c r="B6796" s="11" t="s">
        <v>16</v>
      </c>
      <c r="C6796" s="11"/>
    </row>
    <row r="6797" spans="1:4" ht="12.75" customHeight="1" x14ac:dyDescent="0.2">
      <c r="B6797" s="11" t="s">
        <v>13</v>
      </c>
      <c r="C6797" s="11" t="s">
        <v>2644</v>
      </c>
    </row>
    <row r="6798" spans="1:4" ht="12.75" customHeight="1" x14ac:dyDescent="0.2">
      <c r="B6798" s="11" t="s">
        <v>2603</v>
      </c>
      <c r="C6798" s="11" t="s">
        <v>2604</v>
      </c>
    </row>
    <row r="6799" spans="1:4" ht="12.75" customHeight="1" x14ac:dyDescent="0.2">
      <c r="B6799" s="11" t="s">
        <v>2605</v>
      </c>
      <c r="C6799" s="11" t="s">
        <v>24</v>
      </c>
    </row>
    <row r="6800" spans="1:4" ht="12.75" customHeight="1" x14ac:dyDescent="0.2">
      <c r="B6800" s="11" t="s">
        <v>2606</v>
      </c>
      <c r="C6800" s="16" t="s">
        <v>232</v>
      </c>
      <c r="D6800" s="6" t="str">
        <f>HYPERLINK("javascript:void(0)","kincs")</f>
        <v>kincs</v>
      </c>
    </row>
    <row r="6801" spans="1:4" ht="25.5" customHeight="1" x14ac:dyDescent="0.2">
      <c r="C6801" s="16" t="s">
        <v>56</v>
      </c>
      <c r="D6801" s="6" t="str">
        <f>HYPERLINK("javascript:void(0)","elementál eszencia")</f>
        <v>elementál eszencia</v>
      </c>
    </row>
    <row r="6802" spans="1:4" ht="12.75" customHeight="1" x14ac:dyDescent="0.2">
      <c r="B6802" s="2"/>
      <c r="C6802" s="15"/>
      <c r="D6802" s="2"/>
    </row>
    <row r="6803" spans="1:4" ht="12.75" customHeight="1" x14ac:dyDescent="0.2">
      <c r="B6803" s="2"/>
      <c r="C6803" s="15"/>
      <c r="D6803" s="2"/>
    </row>
    <row r="6804" spans="1:4" ht="12.75" customHeight="1" x14ac:dyDescent="0.2">
      <c r="A6804" s="13" t="s">
        <v>3636</v>
      </c>
      <c r="C6804" s="12"/>
    </row>
    <row r="6805" spans="1:4" ht="12.75" customHeight="1" x14ac:dyDescent="0.2">
      <c r="A6805" s="11"/>
      <c r="B6805" s="2"/>
      <c r="C6805" s="15"/>
      <c r="D6805" s="2"/>
    </row>
    <row r="6806" spans="1:4" ht="12.75" customHeight="1" x14ac:dyDescent="0.2">
      <c r="B6806" s="11" t="s">
        <v>0</v>
      </c>
      <c r="C6806" s="11" t="s">
        <v>435</v>
      </c>
    </row>
    <row r="6807" spans="1:4" ht="12.75" customHeight="1" x14ac:dyDescent="0.2">
      <c r="B6807" s="11" t="s">
        <v>2599</v>
      </c>
      <c r="C6807" s="11" t="s">
        <v>3637</v>
      </c>
    </row>
    <row r="6808" spans="1:4" ht="25.5" customHeight="1" x14ac:dyDescent="0.2">
      <c r="B6808" s="11" t="s">
        <v>2600</v>
      </c>
      <c r="C6808" s="11" t="s">
        <v>3638</v>
      </c>
    </row>
    <row r="6809" spans="1:4" ht="25.5" customHeight="1" x14ac:dyDescent="0.2">
      <c r="B6809" s="11" t="s">
        <v>2601</v>
      </c>
      <c r="C6809" s="11"/>
    </row>
    <row r="6810" spans="1:4" ht="12.75" customHeight="1" x14ac:dyDescent="0.2">
      <c r="B6810" s="11" t="s">
        <v>16</v>
      </c>
      <c r="C6810" s="11"/>
    </row>
    <row r="6811" spans="1:4" ht="12.75" customHeight="1" x14ac:dyDescent="0.2">
      <c r="B6811" s="11" t="s">
        <v>13</v>
      </c>
      <c r="C6811" s="11" t="s">
        <v>2602</v>
      </c>
    </row>
    <row r="6812" spans="1:4" ht="12.75" customHeight="1" x14ac:dyDescent="0.2">
      <c r="B6812" s="11" t="s">
        <v>2603</v>
      </c>
      <c r="C6812" s="11" t="s">
        <v>2604</v>
      </c>
    </row>
    <row r="6813" spans="1:4" ht="12.75" customHeight="1" x14ac:dyDescent="0.2">
      <c r="B6813" s="11" t="s">
        <v>2605</v>
      </c>
      <c r="C6813" s="11" t="s">
        <v>24</v>
      </c>
    </row>
    <row r="6814" spans="1:4" ht="12.75" customHeight="1" x14ac:dyDescent="0.2">
      <c r="B6814" s="11" t="s">
        <v>2606</v>
      </c>
      <c r="C6814" s="16" t="s">
        <v>68</v>
      </c>
      <c r="D6814" s="6" t="str">
        <f>HYPERLINK("javascript:void(0)","kincs")</f>
        <v>kincs</v>
      </c>
    </row>
    <row r="6815" spans="1:4" ht="12.75" customHeight="1" x14ac:dyDescent="0.2">
      <c r="B6815" s="2"/>
      <c r="C6815" s="15"/>
      <c r="D6815" s="2"/>
    </row>
    <row r="6816" spans="1:4" ht="12.75" customHeight="1" x14ac:dyDescent="0.2">
      <c r="B6816" s="2"/>
      <c r="C6816" s="15"/>
      <c r="D6816" s="2"/>
    </row>
    <row r="6817" spans="1:4" ht="12.75" customHeight="1" x14ac:dyDescent="0.2">
      <c r="A6817" s="13" t="s">
        <v>3639</v>
      </c>
      <c r="C6817" s="12"/>
    </row>
    <row r="6818" spans="1:4" ht="12.75" customHeight="1" x14ac:dyDescent="0.2">
      <c r="A6818" s="11"/>
      <c r="B6818" s="2"/>
      <c r="C6818" s="15"/>
      <c r="D6818" s="2"/>
    </row>
    <row r="6819" spans="1:4" ht="12.75" customHeight="1" x14ac:dyDescent="0.2">
      <c r="B6819" s="11" t="s">
        <v>0</v>
      </c>
      <c r="C6819" s="11" t="s">
        <v>435</v>
      </c>
    </row>
    <row r="6820" spans="1:4" ht="12.75" customHeight="1" x14ac:dyDescent="0.2">
      <c r="B6820" s="11" t="s">
        <v>2599</v>
      </c>
      <c r="C6820" s="11" t="s">
        <v>3640</v>
      </c>
    </row>
    <row r="6821" spans="1:4" ht="25.5" customHeight="1" x14ac:dyDescent="0.2">
      <c r="B6821" s="11" t="s">
        <v>2600</v>
      </c>
      <c r="C6821" s="11" t="s">
        <v>3641</v>
      </c>
    </row>
    <row r="6822" spans="1:4" ht="25.5" customHeight="1" x14ac:dyDescent="0.2">
      <c r="B6822" s="11" t="s">
        <v>2601</v>
      </c>
      <c r="C6822" s="11"/>
    </row>
    <row r="6823" spans="1:4" ht="12.75" customHeight="1" x14ac:dyDescent="0.2">
      <c r="B6823" s="11" t="s">
        <v>16</v>
      </c>
      <c r="C6823" s="11"/>
    </row>
    <row r="6824" spans="1:4" ht="12.75" customHeight="1" x14ac:dyDescent="0.2">
      <c r="B6824" s="11" t="s">
        <v>13</v>
      </c>
      <c r="C6824" s="11" t="s">
        <v>2602</v>
      </c>
    </row>
    <row r="6825" spans="1:4" ht="12.75" customHeight="1" x14ac:dyDescent="0.2">
      <c r="B6825" s="11" t="s">
        <v>2603</v>
      </c>
      <c r="C6825" s="11" t="s">
        <v>2604</v>
      </c>
    </row>
    <row r="6826" spans="1:4" ht="12.75" customHeight="1" x14ac:dyDescent="0.2">
      <c r="B6826" s="11" t="s">
        <v>2605</v>
      </c>
      <c r="C6826" s="11" t="s">
        <v>24</v>
      </c>
    </row>
    <row r="6827" spans="1:4" ht="12.75" customHeight="1" x14ac:dyDescent="0.2">
      <c r="B6827" s="11" t="s">
        <v>2606</v>
      </c>
      <c r="C6827" s="16" t="s">
        <v>44</v>
      </c>
      <c r="D6827" s="6" t="str">
        <f>HYPERLINK("javascript:void(0)","yetiláb")</f>
        <v>yetiláb</v>
      </c>
    </row>
    <row r="6828" spans="1:4" ht="12.75" customHeight="1" x14ac:dyDescent="0.2">
      <c r="B6828" s="2"/>
      <c r="C6828" s="15"/>
      <c r="D6828" s="2"/>
    </row>
    <row r="6829" spans="1:4" ht="12.75" customHeight="1" x14ac:dyDescent="0.2">
      <c r="B6829" s="2"/>
      <c r="C6829" s="15"/>
      <c r="D6829" s="2"/>
    </row>
    <row r="6830" spans="1:4" ht="12.75" customHeight="1" x14ac:dyDescent="0.2">
      <c r="A6830" s="13" t="s">
        <v>3642</v>
      </c>
      <c r="C6830" s="12"/>
    </row>
    <row r="6831" spans="1:4" ht="12.75" customHeight="1" x14ac:dyDescent="0.2">
      <c r="A6831" s="11"/>
      <c r="B6831" s="2"/>
      <c r="C6831" s="15"/>
      <c r="D6831" s="2"/>
    </row>
    <row r="6832" spans="1:4" ht="12.75" customHeight="1" x14ac:dyDescent="0.2">
      <c r="B6832" s="11" t="s">
        <v>0</v>
      </c>
      <c r="C6832" s="11" t="s">
        <v>435</v>
      </c>
    </row>
    <row r="6833" spans="1:4" ht="12.75" customHeight="1" x14ac:dyDescent="0.2">
      <c r="B6833" s="11" t="s">
        <v>2599</v>
      </c>
      <c r="C6833" s="11" t="s">
        <v>3643</v>
      </c>
    </row>
    <row r="6834" spans="1:4" ht="25.5" customHeight="1" x14ac:dyDescent="0.2">
      <c r="B6834" s="11" t="s">
        <v>2600</v>
      </c>
      <c r="C6834" s="11" t="s">
        <v>3644</v>
      </c>
    </row>
    <row r="6835" spans="1:4" ht="25.5" customHeight="1" x14ac:dyDescent="0.2">
      <c r="B6835" s="11" t="s">
        <v>2601</v>
      </c>
      <c r="C6835" s="11"/>
    </row>
    <row r="6836" spans="1:4" ht="12.75" customHeight="1" x14ac:dyDescent="0.2">
      <c r="B6836" s="11" t="s">
        <v>16</v>
      </c>
      <c r="C6836" s="11"/>
    </row>
    <row r="6837" spans="1:4" ht="12.75" customHeight="1" x14ac:dyDescent="0.2">
      <c r="B6837" s="11" t="s">
        <v>13</v>
      </c>
      <c r="C6837" s="11" t="s">
        <v>2602</v>
      </c>
    </row>
    <row r="6838" spans="1:4" ht="12.75" customHeight="1" x14ac:dyDescent="0.2">
      <c r="B6838" s="11" t="s">
        <v>2603</v>
      </c>
      <c r="C6838" s="11" t="s">
        <v>2604</v>
      </c>
    </row>
    <row r="6839" spans="1:4" ht="12.75" customHeight="1" x14ac:dyDescent="0.2">
      <c r="B6839" s="11" t="s">
        <v>2605</v>
      </c>
      <c r="C6839" s="11" t="s">
        <v>24</v>
      </c>
    </row>
    <row r="6840" spans="1:4" ht="25.5" customHeight="1" x14ac:dyDescent="0.2">
      <c r="B6840" s="11" t="s">
        <v>2606</v>
      </c>
      <c r="C6840" s="16" t="s">
        <v>44</v>
      </c>
      <c r="D6840" s="6" t="str">
        <f>HYPERLINK("javascript:void(0)","démonzanza")</f>
        <v>démonzanza</v>
      </c>
    </row>
    <row r="6841" spans="1:4" ht="12.75" customHeight="1" x14ac:dyDescent="0.2">
      <c r="B6841" s="2"/>
      <c r="C6841" s="15"/>
      <c r="D6841" s="2"/>
    </row>
    <row r="6842" spans="1:4" ht="12.75" customHeight="1" x14ac:dyDescent="0.2">
      <c r="B6842" s="2"/>
      <c r="C6842" s="15"/>
      <c r="D6842" s="2"/>
    </row>
    <row r="6843" spans="1:4" ht="12.75" customHeight="1" x14ac:dyDescent="0.2">
      <c r="A6843" s="13" t="s">
        <v>3645</v>
      </c>
      <c r="C6843" s="12"/>
    </row>
    <row r="6844" spans="1:4" ht="12.75" customHeight="1" x14ac:dyDescent="0.2">
      <c r="A6844" s="11"/>
      <c r="B6844" s="2"/>
      <c r="C6844" s="15"/>
      <c r="D6844" s="2"/>
    </row>
    <row r="6845" spans="1:4" ht="12.75" customHeight="1" x14ac:dyDescent="0.2">
      <c r="B6845" s="11" t="s">
        <v>0</v>
      </c>
      <c r="C6845" s="11" t="s">
        <v>435</v>
      </c>
    </row>
    <row r="6846" spans="1:4" ht="12.75" customHeight="1" x14ac:dyDescent="0.2">
      <c r="B6846" s="11" t="s">
        <v>2599</v>
      </c>
      <c r="C6846" s="11" t="s">
        <v>3646</v>
      </c>
    </row>
    <row r="6847" spans="1:4" ht="25.5" customHeight="1" x14ac:dyDescent="0.2">
      <c r="B6847" s="11" t="s">
        <v>2600</v>
      </c>
      <c r="C6847" s="11" t="s">
        <v>3647</v>
      </c>
    </row>
    <row r="6848" spans="1:4" ht="25.5" customHeight="1" x14ac:dyDescent="0.2">
      <c r="B6848" s="11" t="s">
        <v>2601</v>
      </c>
      <c r="C6848" s="11"/>
    </row>
    <row r="6849" spans="1:4" ht="12.75" customHeight="1" x14ac:dyDescent="0.2">
      <c r="B6849" s="11" t="s">
        <v>16</v>
      </c>
      <c r="C6849" s="11"/>
    </row>
    <row r="6850" spans="1:4" ht="12.75" customHeight="1" x14ac:dyDescent="0.2">
      <c r="B6850" s="11" t="s">
        <v>13</v>
      </c>
      <c r="C6850" s="11" t="s">
        <v>2602</v>
      </c>
    </row>
    <row r="6851" spans="1:4" ht="12.75" customHeight="1" x14ac:dyDescent="0.2">
      <c r="B6851" s="11" t="s">
        <v>2603</v>
      </c>
      <c r="C6851" s="11" t="s">
        <v>2604</v>
      </c>
    </row>
    <row r="6852" spans="1:4" ht="12.75" customHeight="1" x14ac:dyDescent="0.2">
      <c r="B6852" s="11" t="s">
        <v>2605</v>
      </c>
      <c r="C6852" s="11" t="s">
        <v>24</v>
      </c>
    </row>
    <row r="6853" spans="1:4" ht="12.75" customHeight="1" x14ac:dyDescent="0.2">
      <c r="B6853" s="11" t="s">
        <v>2606</v>
      </c>
      <c r="C6853" s="16" t="s">
        <v>232</v>
      </c>
      <c r="D6853" s="6" t="str">
        <f>HYPERLINK("javascript:void(0)","kincs")</f>
        <v>kincs</v>
      </c>
    </row>
    <row r="6854" spans="1:4" ht="25.5" customHeight="1" x14ac:dyDescent="0.2">
      <c r="C6854" s="16" t="s">
        <v>55</v>
      </c>
      <c r="D6854" s="6" t="str">
        <f>HYPERLINK("javascript:void(0)","szemgyöngy")</f>
        <v>szemgyöngy</v>
      </c>
    </row>
    <row r="6855" spans="1:4" ht="12.75" customHeight="1" x14ac:dyDescent="0.2">
      <c r="B6855" s="2"/>
      <c r="C6855" s="15"/>
      <c r="D6855" s="2"/>
    </row>
    <row r="6856" spans="1:4" ht="12.75" customHeight="1" x14ac:dyDescent="0.2">
      <c r="B6856" s="2"/>
      <c r="C6856" s="15"/>
      <c r="D6856" s="2"/>
    </row>
    <row r="6857" spans="1:4" ht="12.75" customHeight="1" x14ac:dyDescent="0.2">
      <c r="A6857" s="13" t="s">
        <v>3648</v>
      </c>
      <c r="C6857" s="12"/>
    </row>
    <row r="6858" spans="1:4" ht="12.75" customHeight="1" x14ac:dyDescent="0.2">
      <c r="A6858" s="11"/>
      <c r="B6858" s="2"/>
      <c r="C6858" s="15"/>
      <c r="D6858" s="2"/>
    </row>
    <row r="6859" spans="1:4" ht="12.75" customHeight="1" x14ac:dyDescent="0.2">
      <c r="B6859" s="11" t="s">
        <v>0</v>
      </c>
      <c r="C6859" s="11" t="s">
        <v>435</v>
      </c>
    </row>
    <row r="6860" spans="1:4" ht="12.75" customHeight="1" x14ac:dyDescent="0.2">
      <c r="B6860" s="11" t="s">
        <v>2599</v>
      </c>
      <c r="C6860" s="11" t="s">
        <v>3340</v>
      </c>
    </row>
    <row r="6861" spans="1:4" ht="25.5" customHeight="1" x14ac:dyDescent="0.2">
      <c r="B6861" s="11" t="s">
        <v>2600</v>
      </c>
      <c r="C6861" s="11" t="s">
        <v>3649</v>
      </c>
    </row>
    <row r="6862" spans="1:4" ht="25.5" customHeight="1" x14ac:dyDescent="0.2">
      <c r="B6862" s="11" t="s">
        <v>2601</v>
      </c>
      <c r="C6862" s="11"/>
    </row>
    <row r="6863" spans="1:4" ht="12.75" customHeight="1" x14ac:dyDescent="0.2">
      <c r="B6863" s="11" t="s">
        <v>16</v>
      </c>
      <c r="C6863" s="11"/>
    </row>
    <row r="6864" spans="1:4" ht="12.75" customHeight="1" x14ac:dyDescent="0.2">
      <c r="B6864" s="11" t="s">
        <v>13</v>
      </c>
      <c r="C6864" s="11" t="s">
        <v>2644</v>
      </c>
    </row>
    <row r="6865" spans="1:4" ht="12.75" customHeight="1" x14ac:dyDescent="0.2">
      <c r="B6865" s="11" t="s">
        <v>2603</v>
      </c>
      <c r="C6865" s="11" t="s">
        <v>2604</v>
      </c>
    </row>
    <row r="6866" spans="1:4" ht="12.75" customHeight="1" x14ac:dyDescent="0.2">
      <c r="B6866" s="11" t="s">
        <v>2605</v>
      </c>
      <c r="C6866" s="11" t="s">
        <v>24</v>
      </c>
    </row>
    <row r="6867" spans="1:4" ht="12.75" customHeight="1" x14ac:dyDescent="0.2">
      <c r="B6867" s="11" t="s">
        <v>2606</v>
      </c>
      <c r="C6867" s="16" t="s">
        <v>68</v>
      </c>
      <c r="D6867" s="6" t="str">
        <f>HYPERLINK("javascript:void(0)","kincs")</f>
        <v>kincs</v>
      </c>
    </row>
    <row r="6868" spans="1:4" ht="12.75" customHeight="1" x14ac:dyDescent="0.2">
      <c r="B6868" s="2"/>
      <c r="C6868" s="15"/>
      <c r="D6868" s="2"/>
    </row>
    <row r="6869" spans="1:4" ht="12.75" customHeight="1" x14ac:dyDescent="0.2">
      <c r="B6869" s="2"/>
      <c r="C6869" s="15"/>
      <c r="D6869" s="2"/>
    </row>
    <row r="6870" spans="1:4" ht="12.75" customHeight="1" x14ac:dyDescent="0.2">
      <c r="A6870" s="13" t="s">
        <v>3650</v>
      </c>
      <c r="C6870" s="12"/>
    </row>
    <row r="6871" spans="1:4" ht="12.75" customHeight="1" x14ac:dyDescent="0.2">
      <c r="A6871" s="11"/>
      <c r="B6871" s="2"/>
      <c r="C6871" s="15"/>
      <c r="D6871" s="2"/>
    </row>
    <row r="6872" spans="1:4" ht="12.75" customHeight="1" x14ac:dyDescent="0.2">
      <c r="B6872" s="11" t="s">
        <v>0</v>
      </c>
      <c r="C6872" s="11" t="s">
        <v>435</v>
      </c>
    </row>
    <row r="6873" spans="1:4" ht="12.75" customHeight="1" x14ac:dyDescent="0.2">
      <c r="B6873" s="11" t="s">
        <v>2599</v>
      </c>
      <c r="C6873" s="11" t="s">
        <v>3651</v>
      </c>
    </row>
    <row r="6874" spans="1:4" ht="25.5" customHeight="1" x14ac:dyDescent="0.2">
      <c r="B6874" s="11" t="s">
        <v>2600</v>
      </c>
      <c r="C6874" s="11" t="s">
        <v>3652</v>
      </c>
    </row>
    <row r="6875" spans="1:4" ht="25.5" customHeight="1" x14ac:dyDescent="0.2">
      <c r="B6875" s="11" t="s">
        <v>2601</v>
      </c>
      <c r="C6875" s="11"/>
    </row>
    <row r="6876" spans="1:4" ht="12.75" customHeight="1" x14ac:dyDescent="0.2">
      <c r="B6876" s="11" t="s">
        <v>16</v>
      </c>
      <c r="C6876" s="11"/>
    </row>
    <row r="6877" spans="1:4" ht="12.75" customHeight="1" x14ac:dyDescent="0.2">
      <c r="B6877" s="11" t="s">
        <v>13</v>
      </c>
      <c r="C6877" s="11" t="s">
        <v>2644</v>
      </c>
    </row>
    <row r="6878" spans="1:4" ht="12.75" customHeight="1" x14ac:dyDescent="0.2">
      <c r="B6878" s="11" t="s">
        <v>2603</v>
      </c>
      <c r="C6878" s="11" t="s">
        <v>2604</v>
      </c>
    </row>
    <row r="6879" spans="1:4" ht="12.75" customHeight="1" x14ac:dyDescent="0.2">
      <c r="B6879" s="11" t="s">
        <v>2605</v>
      </c>
      <c r="C6879" s="11" t="s">
        <v>24</v>
      </c>
    </row>
    <row r="6880" spans="1:4" ht="12.75" customHeight="1" x14ac:dyDescent="0.2">
      <c r="B6880" s="11" t="s">
        <v>2606</v>
      </c>
      <c r="C6880" s="16" t="s">
        <v>142</v>
      </c>
      <c r="D6880" s="6" t="str">
        <f>HYPERLINK("javascript:void(0)","kincs")</f>
        <v>kincs</v>
      </c>
    </row>
    <row r="6881" spans="1:4" ht="12.75" customHeight="1" x14ac:dyDescent="0.2">
      <c r="B6881" s="2"/>
      <c r="C6881" s="15"/>
      <c r="D6881" s="2"/>
    </row>
    <row r="6882" spans="1:4" ht="12.75" customHeight="1" x14ac:dyDescent="0.2">
      <c r="B6882" s="2"/>
      <c r="C6882" s="15"/>
      <c r="D6882" s="2"/>
    </row>
    <row r="6883" spans="1:4" ht="12.75" customHeight="1" x14ac:dyDescent="0.2">
      <c r="A6883" s="13" t="s">
        <v>3653</v>
      </c>
      <c r="C6883" s="12"/>
    </row>
    <row r="6884" spans="1:4" ht="12.75" customHeight="1" x14ac:dyDescent="0.2">
      <c r="A6884" s="11"/>
      <c r="B6884" s="2"/>
      <c r="C6884" s="15"/>
      <c r="D6884" s="2"/>
    </row>
    <row r="6885" spans="1:4" ht="12.75" customHeight="1" x14ac:dyDescent="0.2">
      <c r="B6885" s="11" t="s">
        <v>0</v>
      </c>
      <c r="C6885" s="11" t="s">
        <v>435</v>
      </c>
    </row>
    <row r="6886" spans="1:4" ht="12.75" customHeight="1" x14ac:dyDescent="0.2">
      <c r="B6886" s="11" t="s">
        <v>2599</v>
      </c>
      <c r="C6886" s="11" t="s">
        <v>2423</v>
      </c>
    </row>
    <row r="6887" spans="1:4" ht="25.5" customHeight="1" x14ac:dyDescent="0.2">
      <c r="B6887" s="11" t="s">
        <v>2600</v>
      </c>
      <c r="C6887" s="11" t="s">
        <v>3654</v>
      </c>
    </row>
    <row r="6888" spans="1:4" ht="25.5" customHeight="1" x14ac:dyDescent="0.2">
      <c r="B6888" s="11" t="s">
        <v>2601</v>
      </c>
      <c r="C6888" s="11"/>
    </row>
    <row r="6889" spans="1:4" ht="12.75" customHeight="1" x14ac:dyDescent="0.2">
      <c r="B6889" s="11" t="s">
        <v>16</v>
      </c>
      <c r="C6889" s="11"/>
    </row>
    <row r="6890" spans="1:4" ht="12.75" customHeight="1" x14ac:dyDescent="0.2">
      <c r="B6890" s="11" t="s">
        <v>13</v>
      </c>
      <c r="C6890" s="11" t="s">
        <v>2644</v>
      </c>
    </row>
    <row r="6891" spans="1:4" ht="12.75" customHeight="1" x14ac:dyDescent="0.2">
      <c r="B6891" s="11" t="s">
        <v>2603</v>
      </c>
      <c r="C6891" s="11" t="s">
        <v>2604</v>
      </c>
    </row>
    <row r="6892" spans="1:4" ht="12.75" customHeight="1" x14ac:dyDescent="0.2">
      <c r="B6892" s="11" t="s">
        <v>2605</v>
      </c>
      <c r="C6892" s="11" t="s">
        <v>24</v>
      </c>
    </row>
    <row r="6893" spans="1:4" ht="12.75" customHeight="1" x14ac:dyDescent="0.2">
      <c r="B6893" s="11" t="s">
        <v>2606</v>
      </c>
      <c r="C6893" s="16" t="s">
        <v>77</v>
      </c>
      <c r="D6893" s="6" t="str">
        <f>HYPERLINK("javascript:void(0)","kincs")</f>
        <v>kincs</v>
      </c>
    </row>
    <row r="6894" spans="1:4" ht="12.75" customHeight="1" x14ac:dyDescent="0.2">
      <c r="C6894" s="16" t="s">
        <v>44</v>
      </c>
      <c r="D6894" s="6" t="str">
        <f>HYPERLINK("javascript:void(0)","tűzige")</f>
        <v>tűzige</v>
      </c>
    </row>
    <row r="6895" spans="1:4" ht="12.75" customHeight="1" x14ac:dyDescent="0.2">
      <c r="B6895" s="2"/>
      <c r="C6895" s="15"/>
      <c r="D6895" s="2"/>
    </row>
    <row r="6896" spans="1:4" ht="12.75" customHeight="1" x14ac:dyDescent="0.2">
      <c r="B6896" s="2"/>
      <c r="C6896" s="15"/>
      <c r="D6896" s="2"/>
    </row>
    <row r="6897" spans="1:4" ht="12.75" customHeight="1" x14ac:dyDescent="0.2">
      <c r="A6897" s="13" t="s">
        <v>2962</v>
      </c>
      <c r="C6897" s="12"/>
    </row>
    <row r="6898" spans="1:4" ht="12.75" customHeight="1" x14ac:dyDescent="0.2">
      <c r="A6898" s="11"/>
      <c r="B6898" s="2"/>
      <c r="C6898" s="15"/>
      <c r="D6898" s="2"/>
    </row>
    <row r="6899" spans="1:4" ht="12.75" customHeight="1" x14ac:dyDescent="0.2">
      <c r="B6899" s="11" t="s">
        <v>0</v>
      </c>
      <c r="C6899" s="11" t="s">
        <v>47</v>
      </c>
    </row>
    <row r="6900" spans="1:4" ht="12.75" customHeight="1" x14ac:dyDescent="0.2">
      <c r="B6900" s="11" t="s">
        <v>2599</v>
      </c>
      <c r="C6900" s="11" t="s">
        <v>3655</v>
      </c>
    </row>
    <row r="6901" spans="1:4" ht="25.5" customHeight="1" x14ac:dyDescent="0.2">
      <c r="B6901" s="11" t="s">
        <v>2600</v>
      </c>
      <c r="C6901" s="11" t="s">
        <v>3656</v>
      </c>
    </row>
    <row r="6902" spans="1:4" ht="25.5" customHeight="1" x14ac:dyDescent="0.2">
      <c r="B6902" s="11" t="s">
        <v>2601</v>
      </c>
      <c r="C6902" s="11"/>
    </row>
    <row r="6903" spans="1:4" ht="12.75" customHeight="1" x14ac:dyDescent="0.2">
      <c r="B6903" s="11" t="s">
        <v>16</v>
      </c>
      <c r="C6903" s="11"/>
    </row>
    <row r="6904" spans="1:4" ht="12.75" customHeight="1" x14ac:dyDescent="0.2">
      <c r="B6904" s="11" t="s">
        <v>13</v>
      </c>
      <c r="C6904" s="11" t="s">
        <v>2644</v>
      </c>
    </row>
    <row r="6905" spans="1:4" ht="12.75" customHeight="1" x14ac:dyDescent="0.2">
      <c r="B6905" s="11" t="s">
        <v>2603</v>
      </c>
      <c r="C6905" s="11" t="s">
        <v>2965</v>
      </c>
    </row>
    <row r="6906" spans="1:4" ht="12.75" customHeight="1" x14ac:dyDescent="0.2">
      <c r="B6906" s="11" t="s">
        <v>2605</v>
      </c>
      <c r="C6906" s="11" t="s">
        <v>14</v>
      </c>
    </row>
    <row r="6907" spans="1:4" ht="12.75" customHeight="1" x14ac:dyDescent="0.2">
      <c r="B6907" s="11" t="s">
        <v>2606</v>
      </c>
      <c r="C6907" s="16" t="s">
        <v>44</v>
      </c>
      <c r="D6907" s="6" t="str">
        <f>HYPERLINK("javascript:void(0)","hínárgyöngy")</f>
        <v>hínárgyöngy</v>
      </c>
    </row>
    <row r="6908" spans="1:4" ht="25.5" customHeight="1" x14ac:dyDescent="0.2">
      <c r="C6908" s="16" t="s">
        <v>57</v>
      </c>
      <c r="D6908" s="6" t="str">
        <f>HYPERLINK("javascript:void(0)","harmatcsepp")</f>
        <v>harmatcsepp</v>
      </c>
    </row>
    <row r="6909" spans="1:4" ht="12.75" customHeight="1" x14ac:dyDescent="0.2">
      <c r="B6909" s="2"/>
      <c r="C6909" s="15"/>
      <c r="D6909" s="2"/>
    </row>
    <row r="6910" spans="1:4" ht="12.75" customHeight="1" x14ac:dyDescent="0.2">
      <c r="B6910" s="2"/>
      <c r="C6910" s="15"/>
      <c r="D6910" s="2"/>
    </row>
    <row r="6911" spans="1:4" ht="12.75" customHeight="1" x14ac:dyDescent="0.2">
      <c r="A6911" s="13" t="s">
        <v>2782</v>
      </c>
      <c r="C6911" s="12"/>
    </row>
    <row r="6912" spans="1:4" ht="12.75" customHeight="1" x14ac:dyDescent="0.2">
      <c r="A6912" s="11"/>
      <c r="B6912" s="2"/>
      <c r="C6912" s="15"/>
      <c r="D6912" s="2"/>
    </row>
    <row r="6913" spans="1:4" ht="12.75" customHeight="1" x14ac:dyDescent="0.2">
      <c r="B6913" s="11" t="s">
        <v>0</v>
      </c>
      <c r="C6913" s="11" t="s">
        <v>47</v>
      </c>
    </row>
    <row r="6914" spans="1:4" ht="12.75" customHeight="1" x14ac:dyDescent="0.2">
      <c r="B6914" s="11" t="s">
        <v>2599</v>
      </c>
      <c r="C6914" s="11" t="s">
        <v>3657</v>
      </c>
    </row>
    <row r="6915" spans="1:4" ht="25.5" customHeight="1" x14ac:dyDescent="0.2">
      <c r="B6915" s="11" t="s">
        <v>2600</v>
      </c>
      <c r="C6915" s="11" t="s">
        <v>3658</v>
      </c>
    </row>
    <row r="6916" spans="1:4" ht="25.5" customHeight="1" x14ac:dyDescent="0.2">
      <c r="B6916" s="11" t="s">
        <v>2601</v>
      </c>
      <c r="C6916" s="11"/>
    </row>
    <row r="6917" spans="1:4" ht="12.75" customHeight="1" x14ac:dyDescent="0.2">
      <c r="B6917" s="11" t="s">
        <v>16</v>
      </c>
      <c r="C6917" s="11"/>
    </row>
    <row r="6918" spans="1:4" ht="12.75" customHeight="1" x14ac:dyDescent="0.2">
      <c r="B6918" s="11" t="s">
        <v>13</v>
      </c>
      <c r="C6918" s="11" t="s">
        <v>2644</v>
      </c>
    </row>
    <row r="6919" spans="1:4" ht="12.75" customHeight="1" x14ac:dyDescent="0.2">
      <c r="B6919" s="11" t="s">
        <v>2603</v>
      </c>
      <c r="C6919" s="11" t="s">
        <v>2604</v>
      </c>
    </row>
    <row r="6920" spans="1:4" ht="12.75" customHeight="1" x14ac:dyDescent="0.2">
      <c r="B6920" s="11" t="s">
        <v>2605</v>
      </c>
      <c r="C6920" s="11" t="s">
        <v>14</v>
      </c>
    </row>
    <row r="6921" spans="1:4" ht="12.75" customHeight="1" x14ac:dyDescent="0.2">
      <c r="B6921" s="11" t="s">
        <v>2606</v>
      </c>
      <c r="C6921" s="16" t="s">
        <v>44</v>
      </c>
      <c r="D6921" s="6" t="str">
        <f>HYPERLINK("javascript:void(0)","alakváltókő")</f>
        <v>alakváltókő</v>
      </c>
    </row>
    <row r="6922" spans="1:4" ht="12.75" customHeight="1" x14ac:dyDescent="0.2">
      <c r="B6922" s="2"/>
      <c r="C6922" s="15"/>
      <c r="D6922" s="2"/>
    </row>
    <row r="6923" spans="1:4" ht="12.75" customHeight="1" x14ac:dyDescent="0.2">
      <c r="B6923" s="2"/>
      <c r="C6923" s="15"/>
      <c r="D6923" s="2"/>
    </row>
    <row r="6924" spans="1:4" ht="12.75" customHeight="1" x14ac:dyDescent="0.2">
      <c r="A6924" s="13" t="s">
        <v>3540</v>
      </c>
      <c r="C6924" s="12"/>
      <c r="D6924" s="2"/>
    </row>
    <row r="6925" spans="1:4" ht="12.75" customHeight="1" x14ac:dyDescent="0.2">
      <c r="A6925" s="11"/>
      <c r="B6925" s="2"/>
      <c r="C6925" s="15"/>
      <c r="D6925" s="2"/>
    </row>
    <row r="6926" spans="1:4" ht="12.75" customHeight="1" x14ac:dyDescent="0.2">
      <c r="B6926" s="11" t="s">
        <v>0</v>
      </c>
      <c r="C6926" s="17" t="s">
        <v>47</v>
      </c>
      <c r="D6926" s="2"/>
    </row>
    <row r="6927" spans="1:4" ht="12.75" customHeight="1" x14ac:dyDescent="0.2">
      <c r="B6927" s="11" t="s">
        <v>2599</v>
      </c>
      <c r="C6927" s="17" t="s">
        <v>3541</v>
      </c>
      <c r="D6927" s="2"/>
    </row>
    <row r="6928" spans="1:4" ht="25.5" customHeight="1" x14ac:dyDescent="0.2">
      <c r="B6928" s="11" t="s">
        <v>2600</v>
      </c>
      <c r="C6928" s="17" t="s">
        <v>3659</v>
      </c>
      <c r="D6928" s="2"/>
    </row>
    <row r="6929" spans="1:4" ht="25.5" customHeight="1" x14ac:dyDescent="0.2">
      <c r="B6929" s="11" t="s">
        <v>2601</v>
      </c>
      <c r="C6929" s="17"/>
      <c r="D6929" s="2"/>
    </row>
    <row r="6930" spans="1:4" ht="12.75" customHeight="1" x14ac:dyDescent="0.2">
      <c r="B6930" s="11" t="s">
        <v>16</v>
      </c>
      <c r="C6930" s="17"/>
      <c r="D6930" s="2"/>
    </row>
    <row r="6931" spans="1:4" ht="12.75" customHeight="1" x14ac:dyDescent="0.2">
      <c r="B6931" s="11" t="s">
        <v>13</v>
      </c>
      <c r="C6931" s="17" t="s">
        <v>2644</v>
      </c>
      <c r="D6931" s="2"/>
    </row>
    <row r="6932" spans="1:4" ht="25.5" customHeight="1" x14ac:dyDescent="0.2">
      <c r="B6932" s="11" t="s">
        <v>2603</v>
      </c>
      <c r="C6932" s="17" t="s">
        <v>2971</v>
      </c>
      <c r="D6932" s="2"/>
    </row>
    <row r="6933" spans="1:4" ht="12.75" customHeight="1" x14ac:dyDescent="0.2">
      <c r="B6933" s="11" t="s">
        <v>2605</v>
      </c>
      <c r="C6933" s="17" t="s">
        <v>14</v>
      </c>
      <c r="D6933" s="2"/>
    </row>
    <row r="6934" spans="1:4" ht="12.75" customHeight="1" x14ac:dyDescent="0.2">
      <c r="B6934" s="11" t="s">
        <v>2606</v>
      </c>
      <c r="C6934" s="16" t="s">
        <v>19</v>
      </c>
      <c r="D6934" s="2"/>
    </row>
    <row r="6935" spans="1:4" ht="12.75" customHeight="1" x14ac:dyDescent="0.2">
      <c r="B6935" s="2"/>
      <c r="C6935" s="15"/>
      <c r="D6935" s="2"/>
    </row>
    <row r="6936" spans="1:4" ht="12.75" customHeight="1" x14ac:dyDescent="0.2">
      <c r="B6936" s="2"/>
      <c r="C6936" s="15"/>
      <c r="D6936" s="2"/>
    </row>
    <row r="6937" spans="1:4" ht="12.75" customHeight="1" x14ac:dyDescent="0.2">
      <c r="A6937" s="13" t="s">
        <v>3627</v>
      </c>
      <c r="C6937" s="12"/>
      <c r="D6937" s="2"/>
    </row>
    <row r="6938" spans="1:4" ht="12.75" customHeight="1" x14ac:dyDescent="0.2">
      <c r="A6938" s="11"/>
      <c r="B6938" s="2"/>
      <c r="C6938" s="15"/>
      <c r="D6938" s="2"/>
    </row>
    <row r="6939" spans="1:4" ht="12.75" customHeight="1" x14ac:dyDescent="0.2">
      <c r="B6939" s="11" t="s">
        <v>0</v>
      </c>
      <c r="C6939" s="17" t="s">
        <v>47</v>
      </c>
      <c r="D6939" s="2"/>
    </row>
    <row r="6940" spans="1:4" ht="12.75" customHeight="1" x14ac:dyDescent="0.2">
      <c r="B6940" s="11" t="s">
        <v>2599</v>
      </c>
      <c r="C6940" s="17" t="s">
        <v>1120</v>
      </c>
      <c r="D6940" s="2"/>
    </row>
    <row r="6941" spans="1:4" ht="25.5" customHeight="1" x14ac:dyDescent="0.2">
      <c r="B6941" s="11" t="s">
        <v>2600</v>
      </c>
      <c r="C6941" s="17" t="s">
        <v>3660</v>
      </c>
      <c r="D6941" s="2"/>
    </row>
    <row r="6942" spans="1:4" ht="25.5" customHeight="1" x14ac:dyDescent="0.2">
      <c r="B6942" s="11" t="s">
        <v>2601</v>
      </c>
      <c r="C6942" s="17"/>
      <c r="D6942" s="2"/>
    </row>
    <row r="6943" spans="1:4" ht="12.75" customHeight="1" x14ac:dyDescent="0.2">
      <c r="B6943" s="11" t="s">
        <v>16</v>
      </c>
      <c r="C6943" s="17"/>
      <c r="D6943" s="2"/>
    </row>
    <row r="6944" spans="1:4" ht="12.75" customHeight="1" x14ac:dyDescent="0.2">
      <c r="B6944" s="11" t="s">
        <v>13</v>
      </c>
      <c r="C6944" s="17" t="s">
        <v>2602</v>
      </c>
      <c r="D6944" s="2"/>
    </row>
    <row r="6945" spans="1:4" ht="25.5" customHeight="1" x14ac:dyDescent="0.2">
      <c r="B6945" s="11" t="s">
        <v>2603</v>
      </c>
      <c r="C6945" s="17" t="s">
        <v>2971</v>
      </c>
      <c r="D6945" s="2"/>
    </row>
    <row r="6946" spans="1:4" ht="12.75" customHeight="1" x14ac:dyDescent="0.2">
      <c r="B6946" s="11" t="s">
        <v>2605</v>
      </c>
      <c r="C6946" s="17" t="s">
        <v>14</v>
      </c>
      <c r="D6946" s="2"/>
    </row>
    <row r="6947" spans="1:4" ht="12.75" customHeight="1" x14ac:dyDescent="0.2">
      <c r="B6947" s="11" t="s">
        <v>2606</v>
      </c>
      <c r="C6947" s="16" t="s">
        <v>19</v>
      </c>
      <c r="D6947" s="2"/>
    </row>
    <row r="6948" spans="1:4" ht="12.75" customHeight="1" x14ac:dyDescent="0.2">
      <c r="B6948" s="2"/>
      <c r="C6948" s="15"/>
      <c r="D6948" s="2"/>
    </row>
    <row r="6949" spans="1:4" ht="12.75" customHeight="1" x14ac:dyDescent="0.2">
      <c r="B6949" s="2"/>
      <c r="C6949" s="15"/>
      <c r="D6949" s="2"/>
    </row>
    <row r="6950" spans="1:4" ht="12.75" customHeight="1" x14ac:dyDescent="0.2">
      <c r="A6950" s="13" t="s">
        <v>3544</v>
      </c>
      <c r="C6950" s="12"/>
      <c r="D6950" s="2"/>
    </row>
    <row r="6951" spans="1:4" ht="12.75" customHeight="1" x14ac:dyDescent="0.2">
      <c r="A6951" s="11"/>
      <c r="B6951" s="2"/>
      <c r="C6951" s="15"/>
      <c r="D6951" s="2"/>
    </row>
    <row r="6952" spans="1:4" ht="12.75" customHeight="1" x14ac:dyDescent="0.2">
      <c r="B6952" s="11" t="s">
        <v>0</v>
      </c>
      <c r="C6952" s="17" t="s">
        <v>47</v>
      </c>
      <c r="D6952" s="2"/>
    </row>
    <row r="6953" spans="1:4" ht="12.75" customHeight="1" x14ac:dyDescent="0.2">
      <c r="B6953" s="11" t="s">
        <v>2599</v>
      </c>
      <c r="C6953" s="17" t="s">
        <v>3545</v>
      </c>
      <c r="D6953" s="2"/>
    </row>
    <row r="6954" spans="1:4" ht="25.5" customHeight="1" x14ac:dyDescent="0.2">
      <c r="B6954" s="11" t="s">
        <v>2600</v>
      </c>
      <c r="C6954" s="17" t="s">
        <v>3661</v>
      </c>
      <c r="D6954" s="2"/>
    </row>
    <row r="6955" spans="1:4" ht="25.5" customHeight="1" x14ac:dyDescent="0.2">
      <c r="B6955" s="11" t="s">
        <v>2601</v>
      </c>
      <c r="C6955" s="17"/>
      <c r="D6955" s="2"/>
    </row>
    <row r="6956" spans="1:4" ht="12.75" customHeight="1" x14ac:dyDescent="0.2">
      <c r="B6956" s="11" t="s">
        <v>16</v>
      </c>
      <c r="C6956" s="17"/>
      <c r="D6956" s="2"/>
    </row>
    <row r="6957" spans="1:4" ht="12.75" customHeight="1" x14ac:dyDescent="0.2">
      <c r="B6957" s="11" t="s">
        <v>13</v>
      </c>
      <c r="C6957" s="17" t="s">
        <v>2644</v>
      </c>
      <c r="D6957" s="2"/>
    </row>
    <row r="6958" spans="1:4" ht="25.5" customHeight="1" x14ac:dyDescent="0.2">
      <c r="B6958" s="11" t="s">
        <v>2603</v>
      </c>
      <c r="C6958" s="17" t="s">
        <v>2971</v>
      </c>
      <c r="D6958" s="2"/>
    </row>
    <row r="6959" spans="1:4" ht="12.75" customHeight="1" x14ac:dyDescent="0.2">
      <c r="B6959" s="11" t="s">
        <v>2605</v>
      </c>
      <c r="C6959" s="17" t="s">
        <v>14</v>
      </c>
      <c r="D6959" s="2"/>
    </row>
    <row r="6960" spans="1:4" ht="12.75" customHeight="1" x14ac:dyDescent="0.2">
      <c r="B6960" s="11" t="s">
        <v>2606</v>
      </c>
      <c r="C6960" s="16" t="s">
        <v>19</v>
      </c>
      <c r="D6960" s="2"/>
    </row>
    <row r="6961" spans="1:4" ht="12.75" customHeight="1" x14ac:dyDescent="0.2">
      <c r="B6961" s="2"/>
      <c r="C6961" s="15"/>
      <c r="D6961" s="2"/>
    </row>
    <row r="6962" spans="1:4" ht="12.75" customHeight="1" x14ac:dyDescent="0.2">
      <c r="B6962" s="2"/>
      <c r="C6962" s="15"/>
      <c r="D6962" s="2"/>
    </row>
    <row r="6963" spans="1:4" ht="12.75" customHeight="1" x14ac:dyDescent="0.2">
      <c r="A6963" s="13" t="s">
        <v>3601</v>
      </c>
      <c r="C6963" s="12"/>
      <c r="D6963" s="2"/>
    </row>
    <row r="6964" spans="1:4" ht="12.75" customHeight="1" x14ac:dyDescent="0.2">
      <c r="A6964" s="11"/>
      <c r="B6964" s="2"/>
      <c r="C6964" s="15"/>
      <c r="D6964" s="2"/>
    </row>
    <row r="6965" spans="1:4" ht="12.75" customHeight="1" x14ac:dyDescent="0.2">
      <c r="B6965" s="11" t="s">
        <v>0</v>
      </c>
      <c r="C6965" s="17" t="s">
        <v>47</v>
      </c>
      <c r="D6965" s="2"/>
    </row>
    <row r="6966" spans="1:4" ht="12.75" customHeight="1" x14ac:dyDescent="0.2">
      <c r="B6966" s="11" t="s">
        <v>2599</v>
      </c>
      <c r="C6966" s="17" t="s">
        <v>3602</v>
      </c>
      <c r="D6966" s="2"/>
    </row>
    <row r="6967" spans="1:4" ht="25.5" customHeight="1" x14ac:dyDescent="0.2">
      <c r="B6967" s="11" t="s">
        <v>2600</v>
      </c>
      <c r="C6967" s="17" t="s">
        <v>3662</v>
      </c>
      <c r="D6967" s="2"/>
    </row>
    <row r="6968" spans="1:4" ht="25.5" customHeight="1" x14ac:dyDescent="0.2">
      <c r="B6968" s="11" t="s">
        <v>2601</v>
      </c>
      <c r="C6968" s="17"/>
      <c r="D6968" s="2"/>
    </row>
    <row r="6969" spans="1:4" ht="12.75" customHeight="1" x14ac:dyDescent="0.2">
      <c r="B6969" s="11" t="s">
        <v>16</v>
      </c>
      <c r="C6969" s="17"/>
      <c r="D6969" s="2"/>
    </row>
    <row r="6970" spans="1:4" ht="12.75" customHeight="1" x14ac:dyDescent="0.2">
      <c r="B6970" s="11" t="s">
        <v>13</v>
      </c>
      <c r="C6970" s="17" t="s">
        <v>2602</v>
      </c>
      <c r="D6970" s="2"/>
    </row>
    <row r="6971" spans="1:4" ht="25.5" customHeight="1" x14ac:dyDescent="0.2">
      <c r="B6971" s="11" t="s">
        <v>2603</v>
      </c>
      <c r="C6971" s="17" t="s">
        <v>2971</v>
      </c>
      <c r="D6971" s="2"/>
    </row>
    <row r="6972" spans="1:4" ht="12.75" customHeight="1" x14ac:dyDescent="0.2">
      <c r="B6972" s="11" t="s">
        <v>2605</v>
      </c>
      <c r="C6972" s="17" t="s">
        <v>14</v>
      </c>
      <c r="D6972" s="2"/>
    </row>
    <row r="6973" spans="1:4" ht="12.75" customHeight="1" x14ac:dyDescent="0.2">
      <c r="B6973" s="11" t="s">
        <v>2606</v>
      </c>
      <c r="C6973" s="16" t="s">
        <v>19</v>
      </c>
      <c r="D6973" s="2"/>
    </row>
    <row r="6974" spans="1:4" ht="12.75" customHeight="1" x14ac:dyDescent="0.2">
      <c r="B6974" s="2"/>
      <c r="C6974" s="15"/>
      <c r="D6974" s="2"/>
    </row>
    <row r="6975" spans="1:4" ht="12.75" customHeight="1" x14ac:dyDescent="0.2">
      <c r="B6975" s="2"/>
      <c r="C6975" s="15"/>
      <c r="D6975" s="2"/>
    </row>
    <row r="6976" spans="1:4" ht="12.75" customHeight="1" x14ac:dyDescent="0.2">
      <c r="A6976" s="13" t="s">
        <v>3548</v>
      </c>
      <c r="C6976" s="12"/>
      <c r="D6976" s="2"/>
    </row>
    <row r="6977" spans="1:4" ht="12.75" customHeight="1" x14ac:dyDescent="0.2">
      <c r="A6977" s="11"/>
      <c r="B6977" s="2"/>
      <c r="C6977" s="15"/>
      <c r="D6977" s="2"/>
    </row>
    <row r="6978" spans="1:4" ht="12.75" customHeight="1" x14ac:dyDescent="0.2">
      <c r="B6978" s="11" t="s">
        <v>0</v>
      </c>
      <c r="C6978" s="17" t="s">
        <v>47</v>
      </c>
      <c r="D6978" s="2"/>
    </row>
    <row r="6979" spans="1:4" ht="12.75" customHeight="1" x14ac:dyDescent="0.2">
      <c r="B6979" s="11" t="s">
        <v>2599</v>
      </c>
      <c r="C6979" s="17" t="s">
        <v>3549</v>
      </c>
      <c r="D6979" s="2"/>
    </row>
    <row r="6980" spans="1:4" ht="25.5" customHeight="1" x14ac:dyDescent="0.2">
      <c r="B6980" s="11" t="s">
        <v>2600</v>
      </c>
      <c r="C6980" s="17" t="s">
        <v>3663</v>
      </c>
      <c r="D6980" s="2"/>
    </row>
    <row r="6981" spans="1:4" ht="25.5" customHeight="1" x14ac:dyDescent="0.2">
      <c r="B6981" s="11" t="s">
        <v>2601</v>
      </c>
      <c r="C6981" s="17"/>
      <c r="D6981" s="2"/>
    </row>
    <row r="6982" spans="1:4" ht="12.75" customHeight="1" x14ac:dyDescent="0.2">
      <c r="B6982" s="11" t="s">
        <v>16</v>
      </c>
      <c r="C6982" s="17"/>
      <c r="D6982" s="2"/>
    </row>
    <row r="6983" spans="1:4" ht="12.75" customHeight="1" x14ac:dyDescent="0.2">
      <c r="B6983" s="11" t="s">
        <v>13</v>
      </c>
      <c r="C6983" s="17" t="s">
        <v>2602</v>
      </c>
      <c r="D6983" s="2"/>
    </row>
    <row r="6984" spans="1:4" ht="25.5" customHeight="1" x14ac:dyDescent="0.2">
      <c r="B6984" s="11" t="s">
        <v>2603</v>
      </c>
      <c r="C6984" s="17" t="s">
        <v>2971</v>
      </c>
      <c r="D6984" s="2"/>
    </row>
    <row r="6985" spans="1:4" ht="12.75" customHeight="1" x14ac:dyDescent="0.2">
      <c r="B6985" s="11" t="s">
        <v>2605</v>
      </c>
      <c r="C6985" s="17" t="s">
        <v>14</v>
      </c>
      <c r="D6985" s="2"/>
    </row>
    <row r="6986" spans="1:4" ht="12.75" customHeight="1" x14ac:dyDescent="0.2">
      <c r="B6986" s="11" t="s">
        <v>2606</v>
      </c>
      <c r="C6986" s="16" t="s">
        <v>19</v>
      </c>
      <c r="D6986" s="2"/>
    </row>
    <row r="6987" spans="1:4" ht="12.75" customHeight="1" x14ac:dyDescent="0.2">
      <c r="B6987" s="2"/>
      <c r="C6987" s="15"/>
      <c r="D6987" s="2"/>
    </row>
    <row r="6988" spans="1:4" ht="12.75" customHeight="1" x14ac:dyDescent="0.2">
      <c r="B6988" s="2"/>
      <c r="C6988" s="15"/>
      <c r="D6988" s="2"/>
    </row>
    <row r="6989" spans="1:4" ht="12.75" customHeight="1" x14ac:dyDescent="0.2">
      <c r="A6989" s="13" t="s">
        <v>3551</v>
      </c>
      <c r="C6989" s="12"/>
      <c r="D6989" s="2"/>
    </row>
    <row r="6990" spans="1:4" ht="12.75" customHeight="1" x14ac:dyDescent="0.2">
      <c r="A6990" s="11"/>
      <c r="B6990" s="2"/>
      <c r="C6990" s="15"/>
      <c r="D6990" s="2"/>
    </row>
    <row r="6991" spans="1:4" ht="12.75" customHeight="1" x14ac:dyDescent="0.2">
      <c r="B6991" s="11" t="s">
        <v>0</v>
      </c>
      <c r="C6991" s="17" t="s">
        <v>47</v>
      </c>
      <c r="D6991" s="2"/>
    </row>
    <row r="6992" spans="1:4" ht="12.75" customHeight="1" x14ac:dyDescent="0.2">
      <c r="B6992" s="11" t="s">
        <v>2599</v>
      </c>
      <c r="C6992" s="17" t="s">
        <v>3541</v>
      </c>
      <c r="D6992" s="2"/>
    </row>
    <row r="6993" spans="1:4" ht="25.5" customHeight="1" x14ac:dyDescent="0.2">
      <c r="B6993" s="11" t="s">
        <v>2600</v>
      </c>
      <c r="C6993" s="17" t="s">
        <v>3664</v>
      </c>
      <c r="D6993" s="2"/>
    </row>
    <row r="6994" spans="1:4" ht="25.5" customHeight="1" x14ac:dyDescent="0.2">
      <c r="B6994" s="11" t="s">
        <v>2601</v>
      </c>
      <c r="C6994" s="17"/>
      <c r="D6994" s="2"/>
    </row>
    <row r="6995" spans="1:4" ht="12.75" customHeight="1" x14ac:dyDescent="0.2">
      <c r="B6995" s="11" t="s">
        <v>16</v>
      </c>
      <c r="C6995" s="17"/>
      <c r="D6995" s="2"/>
    </row>
    <row r="6996" spans="1:4" ht="12.75" customHeight="1" x14ac:dyDescent="0.2">
      <c r="B6996" s="11" t="s">
        <v>13</v>
      </c>
      <c r="C6996" s="17" t="s">
        <v>2644</v>
      </c>
      <c r="D6996" s="2"/>
    </row>
    <row r="6997" spans="1:4" ht="25.5" customHeight="1" x14ac:dyDescent="0.2">
      <c r="B6997" s="11" t="s">
        <v>2603</v>
      </c>
      <c r="C6997" s="17" t="s">
        <v>2971</v>
      </c>
      <c r="D6997" s="2"/>
    </row>
    <row r="6998" spans="1:4" ht="12.75" customHeight="1" x14ac:dyDescent="0.2">
      <c r="B6998" s="11" t="s">
        <v>2605</v>
      </c>
      <c r="C6998" s="17" t="s">
        <v>14</v>
      </c>
      <c r="D6998" s="2"/>
    </row>
    <row r="6999" spans="1:4" ht="12.75" customHeight="1" x14ac:dyDescent="0.2">
      <c r="B6999" s="11" t="s">
        <v>2606</v>
      </c>
      <c r="C6999" s="16" t="s">
        <v>19</v>
      </c>
      <c r="D6999" s="2"/>
    </row>
    <row r="7000" spans="1:4" ht="12.75" customHeight="1" x14ac:dyDescent="0.2">
      <c r="B7000" s="2"/>
      <c r="C7000" s="15"/>
      <c r="D7000" s="2"/>
    </row>
    <row r="7001" spans="1:4" ht="12.75" customHeight="1" x14ac:dyDescent="0.2">
      <c r="B7001" s="2"/>
      <c r="C7001" s="15"/>
      <c r="D7001" s="2"/>
    </row>
    <row r="7002" spans="1:4" ht="12.75" customHeight="1" x14ac:dyDescent="0.2">
      <c r="A7002" s="13" t="s">
        <v>3665</v>
      </c>
      <c r="C7002" s="12"/>
    </row>
    <row r="7003" spans="1:4" ht="12.75" customHeight="1" x14ac:dyDescent="0.2">
      <c r="A7003" s="11"/>
      <c r="B7003" s="2"/>
      <c r="C7003" s="15"/>
      <c r="D7003" s="2"/>
    </row>
    <row r="7004" spans="1:4" ht="12.75" customHeight="1" x14ac:dyDescent="0.2">
      <c r="B7004" s="11" t="s">
        <v>0</v>
      </c>
      <c r="C7004" s="11" t="s">
        <v>47</v>
      </c>
    </row>
    <row r="7005" spans="1:4" ht="12.75" customHeight="1" x14ac:dyDescent="0.2">
      <c r="B7005" s="11" t="s">
        <v>2599</v>
      </c>
      <c r="C7005" s="11" t="s">
        <v>3666</v>
      </c>
    </row>
    <row r="7006" spans="1:4" ht="25.5" customHeight="1" x14ac:dyDescent="0.2">
      <c r="B7006" s="11" t="s">
        <v>2600</v>
      </c>
      <c r="C7006" s="11" t="s">
        <v>3667</v>
      </c>
    </row>
    <row r="7007" spans="1:4" ht="25.5" customHeight="1" x14ac:dyDescent="0.2">
      <c r="B7007" s="11" t="s">
        <v>2601</v>
      </c>
      <c r="C7007" s="11"/>
    </row>
    <row r="7008" spans="1:4" ht="12.75" customHeight="1" x14ac:dyDescent="0.2">
      <c r="B7008" s="11" t="s">
        <v>16</v>
      </c>
      <c r="C7008" s="11"/>
    </row>
    <row r="7009" spans="1:4" ht="12.75" customHeight="1" x14ac:dyDescent="0.2">
      <c r="B7009" s="11" t="s">
        <v>13</v>
      </c>
      <c r="C7009" s="11" t="s">
        <v>2644</v>
      </c>
    </row>
    <row r="7010" spans="1:4" ht="12.75" customHeight="1" x14ac:dyDescent="0.2">
      <c r="B7010" s="11" t="s">
        <v>2603</v>
      </c>
      <c r="C7010" s="11" t="s">
        <v>2604</v>
      </c>
    </row>
    <row r="7011" spans="1:4" ht="12.75" customHeight="1" x14ac:dyDescent="0.2">
      <c r="B7011" s="11" t="s">
        <v>2605</v>
      </c>
      <c r="C7011" s="11" t="s">
        <v>24</v>
      </c>
    </row>
    <row r="7012" spans="1:4" ht="12.75" customHeight="1" x14ac:dyDescent="0.2">
      <c r="B7012" s="11" t="s">
        <v>2606</v>
      </c>
      <c r="C7012" s="16" t="s">
        <v>67</v>
      </c>
      <c r="D7012" s="6" t="str">
        <f>HYPERLINK("javascript:void(0)","kincs")</f>
        <v>kincs</v>
      </c>
    </row>
    <row r="7013" spans="1:4" ht="12.75" customHeight="1" x14ac:dyDescent="0.2">
      <c r="B7013" s="2"/>
      <c r="C7013" s="15"/>
      <c r="D7013" s="2"/>
    </row>
    <row r="7014" spans="1:4" ht="12.75" customHeight="1" x14ac:dyDescent="0.2">
      <c r="B7014" s="2"/>
      <c r="C7014" s="15"/>
      <c r="D7014" s="2"/>
    </row>
    <row r="7015" spans="1:4" ht="12.75" customHeight="1" x14ac:dyDescent="0.2">
      <c r="A7015" s="13" t="s">
        <v>3668</v>
      </c>
      <c r="C7015" s="12"/>
    </row>
    <row r="7016" spans="1:4" ht="12.75" customHeight="1" x14ac:dyDescent="0.2">
      <c r="A7016" s="11"/>
      <c r="B7016" s="2"/>
      <c r="C7016" s="15"/>
      <c r="D7016" s="2"/>
    </row>
    <row r="7017" spans="1:4" ht="12.75" customHeight="1" x14ac:dyDescent="0.2">
      <c r="B7017" s="11" t="s">
        <v>0</v>
      </c>
      <c r="C7017" s="11" t="s">
        <v>47</v>
      </c>
    </row>
    <row r="7018" spans="1:4" ht="12.75" customHeight="1" x14ac:dyDescent="0.2">
      <c r="B7018" s="11" t="s">
        <v>2599</v>
      </c>
      <c r="C7018" s="11" t="s">
        <v>3655</v>
      </c>
    </row>
    <row r="7019" spans="1:4" ht="25.5" customHeight="1" x14ac:dyDescent="0.2">
      <c r="B7019" s="11" t="s">
        <v>2600</v>
      </c>
      <c r="C7019" s="11" t="s">
        <v>3669</v>
      </c>
    </row>
    <row r="7020" spans="1:4" ht="25.5" customHeight="1" x14ac:dyDescent="0.2">
      <c r="B7020" s="11" t="s">
        <v>2601</v>
      </c>
      <c r="C7020" s="11"/>
    </row>
    <row r="7021" spans="1:4" ht="12.75" customHeight="1" x14ac:dyDescent="0.2">
      <c r="B7021" s="11" t="s">
        <v>16</v>
      </c>
      <c r="C7021" s="11"/>
    </row>
    <row r="7022" spans="1:4" ht="12.75" customHeight="1" x14ac:dyDescent="0.2">
      <c r="B7022" s="11" t="s">
        <v>13</v>
      </c>
      <c r="C7022" s="11" t="s">
        <v>2602</v>
      </c>
    </row>
    <row r="7023" spans="1:4" ht="12.75" customHeight="1" x14ac:dyDescent="0.2">
      <c r="B7023" s="11" t="s">
        <v>2603</v>
      </c>
      <c r="C7023" s="11" t="s">
        <v>2604</v>
      </c>
    </row>
    <row r="7024" spans="1:4" ht="12.75" customHeight="1" x14ac:dyDescent="0.2">
      <c r="B7024" s="11" t="s">
        <v>2605</v>
      </c>
      <c r="C7024" s="11" t="s">
        <v>24</v>
      </c>
    </row>
    <row r="7025" spans="1:4" ht="12.75" customHeight="1" x14ac:dyDescent="0.2">
      <c r="B7025" s="11" t="s">
        <v>2606</v>
      </c>
      <c r="C7025" s="16" t="s">
        <v>44</v>
      </c>
      <c r="D7025" s="6" t="str">
        <f>HYPERLINK("javascript:void(0)","yetiláb")</f>
        <v>yetiláb</v>
      </c>
    </row>
    <row r="7026" spans="1:4" ht="12.75" customHeight="1" x14ac:dyDescent="0.2">
      <c r="C7026" s="16" t="s">
        <v>44</v>
      </c>
      <c r="D7026" s="6" t="str">
        <f>HYPERLINK("javascript:void(0)","mágusbot")</f>
        <v>mágusbot</v>
      </c>
    </row>
    <row r="7027" spans="1:4" ht="12.75" customHeight="1" x14ac:dyDescent="0.2">
      <c r="B7027" s="2"/>
      <c r="C7027" s="15"/>
      <c r="D7027" s="2"/>
    </row>
    <row r="7028" spans="1:4" ht="12.75" customHeight="1" x14ac:dyDescent="0.2">
      <c r="B7028" s="2"/>
      <c r="C7028" s="15"/>
      <c r="D7028" s="2"/>
    </row>
    <row r="7029" spans="1:4" ht="12.75" customHeight="1" x14ac:dyDescent="0.2">
      <c r="A7029" s="13" t="s">
        <v>3670</v>
      </c>
      <c r="C7029" s="12"/>
    </row>
    <row r="7030" spans="1:4" ht="12.75" customHeight="1" x14ac:dyDescent="0.2">
      <c r="A7030" s="11"/>
      <c r="B7030" s="2"/>
      <c r="C7030" s="15"/>
      <c r="D7030" s="2"/>
    </row>
    <row r="7031" spans="1:4" ht="12.75" customHeight="1" x14ac:dyDescent="0.2">
      <c r="B7031" s="11" t="s">
        <v>0</v>
      </c>
      <c r="C7031" s="11" t="s">
        <v>47</v>
      </c>
    </row>
    <row r="7032" spans="1:4" ht="12.75" customHeight="1" x14ac:dyDescent="0.2">
      <c r="B7032" s="11" t="s">
        <v>2599</v>
      </c>
      <c r="C7032" s="11" t="s">
        <v>3671</v>
      </c>
    </row>
    <row r="7033" spans="1:4" ht="25.5" customHeight="1" x14ac:dyDescent="0.2">
      <c r="B7033" s="11" t="s">
        <v>2600</v>
      </c>
      <c r="C7033" s="11" t="s">
        <v>3672</v>
      </c>
    </row>
    <row r="7034" spans="1:4" ht="25.5" customHeight="1" x14ac:dyDescent="0.2">
      <c r="B7034" s="11" t="s">
        <v>2601</v>
      </c>
      <c r="C7034" s="11"/>
    </row>
    <row r="7035" spans="1:4" ht="12.75" customHeight="1" x14ac:dyDescent="0.2">
      <c r="B7035" s="11" t="s">
        <v>16</v>
      </c>
      <c r="C7035" s="11"/>
    </row>
    <row r="7036" spans="1:4" ht="12.75" customHeight="1" x14ac:dyDescent="0.2">
      <c r="B7036" s="11" t="s">
        <v>13</v>
      </c>
      <c r="C7036" s="11" t="s">
        <v>2602</v>
      </c>
    </row>
    <row r="7037" spans="1:4" ht="12.75" customHeight="1" x14ac:dyDescent="0.2">
      <c r="B7037" s="11" t="s">
        <v>2603</v>
      </c>
      <c r="C7037" s="11" t="s">
        <v>2604</v>
      </c>
    </row>
    <row r="7038" spans="1:4" ht="12.75" customHeight="1" x14ac:dyDescent="0.2">
      <c r="B7038" s="11" t="s">
        <v>2605</v>
      </c>
      <c r="C7038" s="11" t="s">
        <v>24</v>
      </c>
    </row>
    <row r="7039" spans="1:4" ht="12.75" customHeight="1" x14ac:dyDescent="0.2">
      <c r="B7039" s="11" t="s">
        <v>2606</v>
      </c>
      <c r="C7039" s="16" t="s">
        <v>142</v>
      </c>
      <c r="D7039" s="6" t="str">
        <f>HYPERLINK("javascript:void(0)","kincs")</f>
        <v>kincs</v>
      </c>
    </row>
    <row r="7040" spans="1:4" ht="25.5" customHeight="1" x14ac:dyDescent="0.2">
      <c r="C7040" s="16" t="s">
        <v>55</v>
      </c>
      <c r="D7040" s="6" t="str">
        <f>HYPERLINK("javascript:void(0)","aranyzsanér")</f>
        <v>aranyzsanér</v>
      </c>
    </row>
    <row r="7041" spans="1:4" ht="12.75" customHeight="1" x14ac:dyDescent="0.2">
      <c r="B7041" s="2"/>
      <c r="C7041" s="15"/>
      <c r="D7041" s="2"/>
    </row>
    <row r="7042" spans="1:4" ht="12.75" customHeight="1" x14ac:dyDescent="0.2">
      <c r="B7042" s="2"/>
      <c r="C7042" s="15"/>
      <c r="D7042" s="2"/>
    </row>
    <row r="7043" spans="1:4" ht="12.75" customHeight="1" x14ac:dyDescent="0.2">
      <c r="A7043" s="13" t="s">
        <v>3673</v>
      </c>
      <c r="C7043" s="12"/>
    </row>
    <row r="7044" spans="1:4" ht="12.75" customHeight="1" x14ac:dyDescent="0.2">
      <c r="A7044" s="11"/>
      <c r="B7044" s="2"/>
      <c r="C7044" s="15"/>
      <c r="D7044" s="2"/>
    </row>
    <row r="7045" spans="1:4" ht="12.75" customHeight="1" x14ac:dyDescent="0.2">
      <c r="B7045" s="11" t="s">
        <v>0</v>
      </c>
      <c r="C7045" s="11" t="s">
        <v>47</v>
      </c>
    </row>
    <row r="7046" spans="1:4" ht="12.75" customHeight="1" x14ac:dyDescent="0.2">
      <c r="B7046" s="11" t="s">
        <v>2599</v>
      </c>
      <c r="C7046" s="11" t="s">
        <v>3674</v>
      </c>
    </row>
    <row r="7047" spans="1:4" ht="25.5" customHeight="1" x14ac:dyDescent="0.2">
      <c r="B7047" s="11" t="s">
        <v>2600</v>
      </c>
      <c r="C7047" s="11" t="s">
        <v>3675</v>
      </c>
    </row>
    <row r="7048" spans="1:4" ht="25.5" customHeight="1" x14ac:dyDescent="0.2">
      <c r="B7048" s="11" t="s">
        <v>2601</v>
      </c>
      <c r="C7048" s="11"/>
    </row>
    <row r="7049" spans="1:4" ht="12.75" customHeight="1" x14ac:dyDescent="0.2">
      <c r="B7049" s="11" t="s">
        <v>16</v>
      </c>
      <c r="C7049" s="11"/>
    </row>
    <row r="7050" spans="1:4" ht="12.75" customHeight="1" x14ac:dyDescent="0.2">
      <c r="B7050" s="11" t="s">
        <v>13</v>
      </c>
      <c r="C7050" s="11" t="s">
        <v>2602</v>
      </c>
    </row>
    <row r="7051" spans="1:4" ht="12.75" customHeight="1" x14ac:dyDescent="0.2">
      <c r="B7051" s="11" t="s">
        <v>2603</v>
      </c>
      <c r="C7051" s="11" t="s">
        <v>2604</v>
      </c>
    </row>
    <row r="7052" spans="1:4" ht="12.75" customHeight="1" x14ac:dyDescent="0.2">
      <c r="B7052" s="11" t="s">
        <v>2605</v>
      </c>
      <c r="C7052" s="11" t="s">
        <v>24</v>
      </c>
    </row>
    <row r="7053" spans="1:4" ht="12.75" customHeight="1" x14ac:dyDescent="0.2">
      <c r="B7053" s="11" t="s">
        <v>2606</v>
      </c>
      <c r="C7053" s="16" t="s">
        <v>68</v>
      </c>
      <c r="D7053" s="6" t="str">
        <f>HYPERLINK("javascript:void(0)","kincs")</f>
        <v>kincs</v>
      </c>
    </row>
    <row r="7054" spans="1:4" ht="12.75" customHeight="1" x14ac:dyDescent="0.2">
      <c r="B7054" s="2"/>
      <c r="C7054" s="15"/>
      <c r="D7054" s="2"/>
    </row>
    <row r="7055" spans="1:4" ht="12.75" customHeight="1" x14ac:dyDescent="0.2">
      <c r="B7055" s="2"/>
      <c r="C7055" s="15"/>
      <c r="D7055" s="2"/>
    </row>
    <row r="7056" spans="1:4" ht="12.75" customHeight="1" x14ac:dyDescent="0.2">
      <c r="A7056" s="13" t="s">
        <v>3676</v>
      </c>
      <c r="C7056" s="12"/>
    </row>
    <row r="7057" spans="1:4" ht="12.75" customHeight="1" x14ac:dyDescent="0.2">
      <c r="A7057" s="11"/>
      <c r="B7057" s="2"/>
      <c r="C7057" s="15"/>
      <c r="D7057" s="2"/>
    </row>
    <row r="7058" spans="1:4" ht="12.75" customHeight="1" x14ac:dyDescent="0.2">
      <c r="B7058" s="11" t="s">
        <v>0</v>
      </c>
      <c r="C7058" s="11" t="s">
        <v>47</v>
      </c>
    </row>
    <row r="7059" spans="1:4" ht="12.75" customHeight="1" x14ac:dyDescent="0.2">
      <c r="B7059" s="11" t="s">
        <v>2599</v>
      </c>
      <c r="C7059" s="11" t="s">
        <v>2689</v>
      </c>
    </row>
    <row r="7060" spans="1:4" ht="25.5" customHeight="1" x14ac:dyDescent="0.2">
      <c r="B7060" s="11" t="s">
        <v>2600</v>
      </c>
      <c r="C7060" s="11" t="s">
        <v>3677</v>
      </c>
    </row>
    <row r="7061" spans="1:4" ht="25.5" customHeight="1" x14ac:dyDescent="0.2">
      <c r="B7061" s="11" t="s">
        <v>2601</v>
      </c>
      <c r="C7061" s="11"/>
    </row>
    <row r="7062" spans="1:4" ht="12.75" customHeight="1" x14ac:dyDescent="0.2">
      <c r="B7062" s="11" t="s">
        <v>16</v>
      </c>
      <c r="C7062" s="11"/>
    </row>
    <row r="7063" spans="1:4" ht="12.75" customHeight="1" x14ac:dyDescent="0.2">
      <c r="B7063" s="11" t="s">
        <v>13</v>
      </c>
      <c r="C7063" s="11" t="s">
        <v>2644</v>
      </c>
    </row>
    <row r="7064" spans="1:4" ht="12.75" customHeight="1" x14ac:dyDescent="0.2">
      <c r="B7064" s="11" t="s">
        <v>2603</v>
      </c>
      <c r="C7064" s="11" t="s">
        <v>2604</v>
      </c>
    </row>
    <row r="7065" spans="1:4" ht="12.75" customHeight="1" x14ac:dyDescent="0.2">
      <c r="B7065" s="11" t="s">
        <v>2605</v>
      </c>
      <c r="C7065" s="11" t="s">
        <v>24</v>
      </c>
    </row>
    <row r="7066" spans="1:4" ht="12.75" customHeight="1" x14ac:dyDescent="0.2">
      <c r="B7066" s="11" t="s">
        <v>2606</v>
      </c>
      <c r="C7066" s="16" t="s">
        <v>232</v>
      </c>
      <c r="D7066" s="6" t="str">
        <f>HYPERLINK("javascript:void(0)","kincs")</f>
        <v>kincs</v>
      </c>
    </row>
    <row r="7067" spans="1:4" ht="25.5" customHeight="1" x14ac:dyDescent="0.2">
      <c r="C7067" s="16" t="s">
        <v>44</v>
      </c>
      <c r="D7067" s="6" t="str">
        <f>HYPERLINK("javascript:void(0)","bulldogbendő")</f>
        <v>bulldogbendő</v>
      </c>
    </row>
    <row r="7068" spans="1:4" ht="12.75" customHeight="1" x14ac:dyDescent="0.2">
      <c r="B7068" s="2"/>
      <c r="C7068" s="15"/>
      <c r="D7068" s="2"/>
    </row>
    <row r="7069" spans="1:4" ht="12.75" customHeight="1" x14ac:dyDescent="0.2">
      <c r="B7069" s="2"/>
      <c r="C7069" s="15"/>
      <c r="D7069" s="2"/>
    </row>
    <row r="7070" spans="1:4" ht="12.75" customHeight="1" x14ac:dyDescent="0.2">
      <c r="A7070" s="13" t="s">
        <v>3678</v>
      </c>
      <c r="C7070" s="12"/>
    </row>
    <row r="7071" spans="1:4" ht="12.75" customHeight="1" x14ac:dyDescent="0.2">
      <c r="A7071" s="11"/>
      <c r="B7071" s="2"/>
      <c r="C7071" s="15"/>
      <c r="D7071" s="2"/>
    </row>
    <row r="7072" spans="1:4" ht="12.75" customHeight="1" x14ac:dyDescent="0.2">
      <c r="B7072" s="11" t="s">
        <v>0</v>
      </c>
      <c r="C7072" s="11" t="s">
        <v>47</v>
      </c>
    </row>
    <row r="7073" spans="1:4" ht="12.75" customHeight="1" x14ac:dyDescent="0.2">
      <c r="B7073" s="11" t="s">
        <v>2599</v>
      </c>
      <c r="C7073" s="11" t="s">
        <v>3679</v>
      </c>
    </row>
    <row r="7074" spans="1:4" ht="25.5" customHeight="1" x14ac:dyDescent="0.2">
      <c r="B7074" s="11" t="s">
        <v>2600</v>
      </c>
      <c r="C7074" s="11" t="s">
        <v>3680</v>
      </c>
    </row>
    <row r="7075" spans="1:4" ht="25.5" customHeight="1" x14ac:dyDescent="0.2">
      <c r="B7075" s="11" t="s">
        <v>2601</v>
      </c>
      <c r="C7075" s="11"/>
    </row>
    <row r="7076" spans="1:4" ht="12.75" customHeight="1" x14ac:dyDescent="0.2">
      <c r="B7076" s="11" t="s">
        <v>16</v>
      </c>
      <c r="C7076" s="11"/>
    </row>
    <row r="7077" spans="1:4" ht="12.75" customHeight="1" x14ac:dyDescent="0.2">
      <c r="B7077" s="11" t="s">
        <v>13</v>
      </c>
      <c r="C7077" s="11" t="s">
        <v>2644</v>
      </c>
    </row>
    <row r="7078" spans="1:4" ht="12.75" customHeight="1" x14ac:dyDescent="0.2">
      <c r="B7078" s="11" t="s">
        <v>2603</v>
      </c>
      <c r="C7078" s="11" t="s">
        <v>2604</v>
      </c>
    </row>
    <row r="7079" spans="1:4" ht="12.75" customHeight="1" x14ac:dyDescent="0.2">
      <c r="B7079" s="11" t="s">
        <v>2605</v>
      </c>
      <c r="C7079" s="11" t="s">
        <v>24</v>
      </c>
    </row>
    <row r="7080" spans="1:4" ht="12.75" customHeight="1" x14ac:dyDescent="0.2">
      <c r="B7080" s="11" t="s">
        <v>2606</v>
      </c>
      <c r="C7080" s="16" t="s">
        <v>57</v>
      </c>
      <c r="D7080" s="6" t="str">
        <f>HYPERLINK("javascript:void(0)","főnixtoll")</f>
        <v>főnixtoll</v>
      </c>
    </row>
    <row r="7081" spans="1:4" ht="12.75" customHeight="1" x14ac:dyDescent="0.2">
      <c r="B7081" s="2"/>
      <c r="C7081" s="15"/>
      <c r="D7081" s="2"/>
    </row>
    <row r="7082" spans="1:4" ht="12.75" customHeight="1" x14ac:dyDescent="0.2">
      <c r="B7082" s="2"/>
      <c r="C7082" s="15"/>
      <c r="D7082" s="2"/>
    </row>
    <row r="7083" spans="1:4" ht="12.75" customHeight="1" x14ac:dyDescent="0.2">
      <c r="A7083" s="13" t="s">
        <v>3681</v>
      </c>
      <c r="C7083" s="12"/>
      <c r="D7083" s="2"/>
    </row>
    <row r="7084" spans="1:4" ht="12.75" customHeight="1" x14ac:dyDescent="0.2">
      <c r="A7084" s="11"/>
      <c r="B7084" s="2"/>
      <c r="C7084" s="15"/>
      <c r="D7084" s="2"/>
    </row>
    <row r="7085" spans="1:4" ht="12.75" customHeight="1" x14ac:dyDescent="0.2">
      <c r="B7085" s="11" t="s">
        <v>0</v>
      </c>
      <c r="C7085" s="17" t="s">
        <v>47</v>
      </c>
      <c r="D7085" s="2"/>
    </row>
    <row r="7086" spans="1:4" ht="12.75" customHeight="1" x14ac:dyDescent="0.2">
      <c r="B7086" s="11" t="s">
        <v>2599</v>
      </c>
      <c r="C7086" s="17" t="s">
        <v>3657</v>
      </c>
      <c r="D7086" s="2"/>
    </row>
    <row r="7087" spans="1:4" ht="25.5" customHeight="1" x14ac:dyDescent="0.2">
      <c r="B7087" s="11" t="s">
        <v>2600</v>
      </c>
      <c r="C7087" s="17" t="s">
        <v>3682</v>
      </c>
      <c r="D7087" s="2"/>
    </row>
    <row r="7088" spans="1:4" ht="25.5" customHeight="1" x14ac:dyDescent="0.2">
      <c r="B7088" s="11" t="s">
        <v>2601</v>
      </c>
      <c r="C7088" s="17"/>
      <c r="D7088" s="2"/>
    </row>
    <row r="7089" spans="1:4" ht="12.75" customHeight="1" x14ac:dyDescent="0.2">
      <c r="B7089" s="11" t="s">
        <v>16</v>
      </c>
      <c r="C7089" s="17"/>
      <c r="D7089" s="2"/>
    </row>
    <row r="7090" spans="1:4" ht="12.75" customHeight="1" x14ac:dyDescent="0.2">
      <c r="B7090" s="11" t="s">
        <v>13</v>
      </c>
      <c r="C7090" s="17" t="s">
        <v>2644</v>
      </c>
      <c r="D7090" s="2"/>
    </row>
    <row r="7091" spans="1:4" ht="12.75" customHeight="1" x14ac:dyDescent="0.2">
      <c r="B7091" s="11" t="s">
        <v>2603</v>
      </c>
      <c r="C7091" s="17" t="s">
        <v>2604</v>
      </c>
      <c r="D7091" s="2"/>
    </row>
    <row r="7092" spans="1:4" ht="12.75" customHeight="1" x14ac:dyDescent="0.2">
      <c r="B7092" s="11" t="s">
        <v>2605</v>
      </c>
      <c r="C7092" s="17" t="s">
        <v>24</v>
      </c>
      <c r="D7092" s="2"/>
    </row>
    <row r="7093" spans="1:4" ht="12.75" customHeight="1" x14ac:dyDescent="0.2">
      <c r="B7093" s="11" t="s">
        <v>2606</v>
      </c>
      <c r="C7093" s="16" t="s">
        <v>19</v>
      </c>
      <c r="D7093" s="2"/>
    </row>
    <row r="7094" spans="1:4" ht="12.75" customHeight="1" x14ac:dyDescent="0.2">
      <c r="B7094" s="2"/>
      <c r="C7094" s="15"/>
      <c r="D7094" s="2"/>
    </row>
    <row r="7095" spans="1:4" ht="12.75" customHeight="1" x14ac:dyDescent="0.2">
      <c r="B7095" s="2"/>
      <c r="C7095" s="15"/>
      <c r="D7095" s="2"/>
    </row>
    <row r="7096" spans="1:4" ht="12.75" customHeight="1" x14ac:dyDescent="0.2">
      <c r="A7096" s="13" t="s">
        <v>3683</v>
      </c>
      <c r="C7096" s="12"/>
    </row>
    <row r="7097" spans="1:4" ht="12.75" customHeight="1" x14ac:dyDescent="0.2">
      <c r="A7097" s="11"/>
      <c r="B7097" s="2"/>
      <c r="C7097" s="15"/>
      <c r="D7097" s="2"/>
    </row>
    <row r="7098" spans="1:4" ht="12.75" customHeight="1" x14ac:dyDescent="0.2">
      <c r="B7098" s="11" t="s">
        <v>0</v>
      </c>
      <c r="C7098" s="11" t="s">
        <v>47</v>
      </c>
    </row>
    <row r="7099" spans="1:4" ht="12.75" customHeight="1" x14ac:dyDescent="0.2">
      <c r="B7099" s="11" t="s">
        <v>2599</v>
      </c>
      <c r="C7099" s="11" t="s">
        <v>3684</v>
      </c>
    </row>
    <row r="7100" spans="1:4" ht="25.5" customHeight="1" x14ac:dyDescent="0.2">
      <c r="B7100" s="11" t="s">
        <v>2600</v>
      </c>
      <c r="C7100" s="11" t="s">
        <v>3685</v>
      </c>
    </row>
    <row r="7101" spans="1:4" ht="25.5" customHeight="1" x14ac:dyDescent="0.2">
      <c r="B7101" s="11" t="s">
        <v>2601</v>
      </c>
      <c r="C7101" s="11"/>
    </row>
    <row r="7102" spans="1:4" ht="12.75" customHeight="1" x14ac:dyDescent="0.2">
      <c r="B7102" s="11" t="s">
        <v>16</v>
      </c>
      <c r="C7102" s="11"/>
    </row>
    <row r="7103" spans="1:4" ht="12.75" customHeight="1" x14ac:dyDescent="0.2">
      <c r="B7103" s="11" t="s">
        <v>13</v>
      </c>
      <c r="C7103" s="11" t="s">
        <v>2602</v>
      </c>
    </row>
    <row r="7104" spans="1:4" ht="12.75" customHeight="1" x14ac:dyDescent="0.2">
      <c r="B7104" s="11" t="s">
        <v>2603</v>
      </c>
      <c r="C7104" s="11" t="s">
        <v>2604</v>
      </c>
    </row>
    <row r="7105" spans="1:4" ht="12.75" customHeight="1" x14ac:dyDescent="0.2">
      <c r="B7105" s="11" t="s">
        <v>2605</v>
      </c>
      <c r="C7105" s="11" t="s">
        <v>24</v>
      </c>
    </row>
    <row r="7106" spans="1:4" ht="12.75" customHeight="1" x14ac:dyDescent="0.2">
      <c r="B7106" s="11" t="s">
        <v>2606</v>
      </c>
      <c r="C7106" s="16" t="s">
        <v>44</v>
      </c>
      <c r="D7106" s="6" t="str">
        <f>HYPERLINK("javascript:void(0)","hárpia copf")</f>
        <v>hárpia copf</v>
      </c>
    </row>
    <row r="7107" spans="1:4" ht="12.75" customHeight="1" x14ac:dyDescent="0.2">
      <c r="B7107" s="2"/>
      <c r="C7107" s="15"/>
      <c r="D7107" s="2"/>
    </row>
    <row r="7108" spans="1:4" ht="12.75" customHeight="1" x14ac:dyDescent="0.2">
      <c r="B7108" s="2"/>
      <c r="C7108" s="15"/>
      <c r="D7108" s="2"/>
    </row>
    <row r="7109" spans="1:4" ht="12.75" customHeight="1" x14ac:dyDescent="0.2">
      <c r="A7109" s="13" t="s">
        <v>3686</v>
      </c>
      <c r="C7109" s="12"/>
      <c r="D7109" s="2"/>
    </row>
    <row r="7110" spans="1:4" ht="12.75" customHeight="1" x14ac:dyDescent="0.2">
      <c r="A7110" s="11"/>
      <c r="B7110" s="2"/>
      <c r="C7110" s="15"/>
      <c r="D7110" s="2"/>
    </row>
    <row r="7111" spans="1:4" ht="12.75" customHeight="1" x14ac:dyDescent="0.2">
      <c r="B7111" s="11" t="s">
        <v>0</v>
      </c>
      <c r="C7111" s="17" t="s">
        <v>127</v>
      </c>
      <c r="D7111" s="2"/>
    </row>
    <row r="7112" spans="1:4" ht="12.75" customHeight="1" x14ac:dyDescent="0.2">
      <c r="B7112" s="11" t="s">
        <v>2599</v>
      </c>
      <c r="C7112" s="17" t="s">
        <v>3687</v>
      </c>
      <c r="D7112" s="2"/>
    </row>
    <row r="7113" spans="1:4" ht="25.5" customHeight="1" x14ac:dyDescent="0.2">
      <c r="B7113" s="11" t="s">
        <v>2600</v>
      </c>
      <c r="C7113" s="17" t="s">
        <v>3688</v>
      </c>
      <c r="D7113" s="2"/>
    </row>
    <row r="7114" spans="1:4" ht="25.5" customHeight="1" x14ac:dyDescent="0.2">
      <c r="B7114" s="11" t="s">
        <v>2601</v>
      </c>
      <c r="C7114" s="17"/>
      <c r="D7114" s="2"/>
    </row>
    <row r="7115" spans="1:4" ht="12.75" customHeight="1" x14ac:dyDescent="0.2">
      <c r="B7115" s="11" t="s">
        <v>16</v>
      </c>
      <c r="C7115" s="17"/>
      <c r="D7115" s="2"/>
    </row>
    <row r="7116" spans="1:4" ht="12.75" customHeight="1" x14ac:dyDescent="0.2">
      <c r="B7116" s="11" t="s">
        <v>13</v>
      </c>
      <c r="C7116" s="17" t="s">
        <v>2644</v>
      </c>
      <c r="D7116" s="2"/>
    </row>
    <row r="7117" spans="1:4" ht="12.75" customHeight="1" x14ac:dyDescent="0.2">
      <c r="B7117" s="11" t="s">
        <v>2603</v>
      </c>
      <c r="C7117" s="17" t="s">
        <v>128</v>
      </c>
      <c r="D7117" s="2"/>
    </row>
    <row r="7118" spans="1:4" ht="12.75" customHeight="1" x14ac:dyDescent="0.2">
      <c r="B7118" s="11" t="s">
        <v>2605</v>
      </c>
      <c r="C7118" s="17" t="s">
        <v>14</v>
      </c>
      <c r="D7118" s="2"/>
    </row>
    <row r="7119" spans="1:4" ht="12.75" customHeight="1" x14ac:dyDescent="0.2">
      <c r="B7119" s="11" t="s">
        <v>2606</v>
      </c>
      <c r="C7119" s="16" t="s">
        <v>19</v>
      </c>
      <c r="D7119" s="2"/>
    </row>
    <row r="7120" spans="1:4" ht="12.75" customHeight="1" x14ac:dyDescent="0.2">
      <c r="B7120" s="2"/>
      <c r="C7120" s="15"/>
      <c r="D7120" s="2"/>
    </row>
    <row r="7121" spans="1:4" ht="12.75" customHeight="1" x14ac:dyDescent="0.2">
      <c r="B7121" s="2"/>
      <c r="C7121" s="15"/>
      <c r="D7121" s="2"/>
    </row>
    <row r="7122" spans="1:4" ht="12.75" customHeight="1" x14ac:dyDescent="0.2">
      <c r="A7122" s="13" t="s">
        <v>3689</v>
      </c>
      <c r="C7122" s="12"/>
      <c r="D7122" s="2"/>
    </row>
    <row r="7123" spans="1:4" ht="12.75" customHeight="1" x14ac:dyDescent="0.2">
      <c r="A7123" s="11"/>
      <c r="B7123" s="2"/>
      <c r="C7123" s="15"/>
      <c r="D7123" s="2"/>
    </row>
    <row r="7124" spans="1:4" ht="12.75" customHeight="1" x14ac:dyDescent="0.2">
      <c r="B7124" s="11" t="s">
        <v>0</v>
      </c>
      <c r="C7124" s="17" t="s">
        <v>127</v>
      </c>
      <c r="D7124" s="2"/>
    </row>
    <row r="7125" spans="1:4" ht="12.75" customHeight="1" x14ac:dyDescent="0.2">
      <c r="B7125" s="11" t="s">
        <v>2599</v>
      </c>
      <c r="C7125" s="17" t="s">
        <v>3690</v>
      </c>
      <c r="D7125" s="2"/>
    </row>
    <row r="7126" spans="1:4" ht="25.5" customHeight="1" x14ac:dyDescent="0.2">
      <c r="B7126" s="11" t="s">
        <v>2600</v>
      </c>
      <c r="C7126" s="17" t="s">
        <v>3691</v>
      </c>
      <c r="D7126" s="2"/>
    </row>
    <row r="7127" spans="1:4" ht="25.5" customHeight="1" x14ac:dyDescent="0.2">
      <c r="B7127" s="11" t="s">
        <v>2601</v>
      </c>
      <c r="C7127" s="17"/>
      <c r="D7127" s="2"/>
    </row>
    <row r="7128" spans="1:4" ht="12.75" customHeight="1" x14ac:dyDescent="0.2">
      <c r="B7128" s="11" t="s">
        <v>16</v>
      </c>
      <c r="C7128" s="17"/>
      <c r="D7128" s="2"/>
    </row>
    <row r="7129" spans="1:4" ht="12.75" customHeight="1" x14ac:dyDescent="0.2">
      <c r="B7129" s="11" t="s">
        <v>13</v>
      </c>
      <c r="C7129" s="17" t="s">
        <v>2644</v>
      </c>
      <c r="D7129" s="2"/>
    </row>
    <row r="7130" spans="1:4" ht="25.5" customHeight="1" x14ac:dyDescent="0.2">
      <c r="B7130" s="11" t="s">
        <v>2603</v>
      </c>
      <c r="C7130" s="17" t="s">
        <v>2971</v>
      </c>
      <c r="D7130" s="2"/>
    </row>
    <row r="7131" spans="1:4" ht="12.75" customHeight="1" x14ac:dyDescent="0.2">
      <c r="B7131" s="11" t="s">
        <v>2605</v>
      </c>
      <c r="C7131" s="17" t="s">
        <v>14</v>
      </c>
      <c r="D7131" s="2"/>
    </row>
    <row r="7132" spans="1:4" ht="12.75" customHeight="1" x14ac:dyDescent="0.2">
      <c r="B7132" s="11" t="s">
        <v>2606</v>
      </c>
      <c r="C7132" s="16" t="s">
        <v>19</v>
      </c>
      <c r="D7132" s="2"/>
    </row>
    <row r="7133" spans="1:4" ht="12.75" customHeight="1" x14ac:dyDescent="0.2">
      <c r="B7133" s="2"/>
      <c r="C7133" s="15"/>
      <c r="D7133" s="2"/>
    </row>
    <row r="7134" spans="1:4" ht="12.75" customHeight="1" x14ac:dyDescent="0.2">
      <c r="B7134" s="2"/>
      <c r="C7134" s="15"/>
      <c r="D7134" s="2"/>
    </row>
    <row r="7135" spans="1:4" ht="12.75" customHeight="1" x14ac:dyDescent="0.2">
      <c r="A7135" s="13" t="s">
        <v>3627</v>
      </c>
      <c r="C7135" s="12"/>
      <c r="D7135" s="2"/>
    </row>
    <row r="7136" spans="1:4" ht="12.75" customHeight="1" x14ac:dyDescent="0.2">
      <c r="A7136" s="11"/>
      <c r="B7136" s="2"/>
      <c r="C7136" s="15"/>
      <c r="D7136" s="2"/>
    </row>
    <row r="7137" spans="1:4" ht="12.75" customHeight="1" x14ac:dyDescent="0.2">
      <c r="B7137" s="11" t="s">
        <v>0</v>
      </c>
      <c r="C7137" s="17" t="s">
        <v>127</v>
      </c>
      <c r="D7137" s="2"/>
    </row>
    <row r="7138" spans="1:4" ht="12.75" customHeight="1" x14ac:dyDescent="0.2">
      <c r="B7138" s="11" t="s">
        <v>2599</v>
      </c>
      <c r="C7138" s="17" t="s">
        <v>1120</v>
      </c>
      <c r="D7138" s="2"/>
    </row>
    <row r="7139" spans="1:4" ht="25.5" customHeight="1" x14ac:dyDescent="0.2">
      <c r="B7139" s="11" t="s">
        <v>2600</v>
      </c>
      <c r="C7139" s="17" t="s">
        <v>3692</v>
      </c>
      <c r="D7139" s="2"/>
    </row>
    <row r="7140" spans="1:4" ht="25.5" customHeight="1" x14ac:dyDescent="0.2">
      <c r="B7140" s="11" t="s">
        <v>2601</v>
      </c>
      <c r="C7140" s="17"/>
      <c r="D7140" s="2"/>
    </row>
    <row r="7141" spans="1:4" ht="12.75" customHeight="1" x14ac:dyDescent="0.2">
      <c r="B7141" s="11" t="s">
        <v>16</v>
      </c>
      <c r="C7141" s="17"/>
      <c r="D7141" s="2"/>
    </row>
    <row r="7142" spans="1:4" ht="12.75" customHeight="1" x14ac:dyDescent="0.2">
      <c r="B7142" s="11" t="s">
        <v>13</v>
      </c>
      <c r="C7142" s="17" t="s">
        <v>2602</v>
      </c>
      <c r="D7142" s="2"/>
    </row>
    <row r="7143" spans="1:4" ht="25.5" customHeight="1" x14ac:dyDescent="0.2">
      <c r="B7143" s="11" t="s">
        <v>2603</v>
      </c>
      <c r="C7143" s="17" t="s">
        <v>2971</v>
      </c>
      <c r="D7143" s="2"/>
    </row>
    <row r="7144" spans="1:4" ht="12.75" customHeight="1" x14ac:dyDescent="0.2">
      <c r="B7144" s="11" t="s">
        <v>2605</v>
      </c>
      <c r="C7144" s="17" t="s">
        <v>14</v>
      </c>
      <c r="D7144" s="2"/>
    </row>
    <row r="7145" spans="1:4" ht="12.75" customHeight="1" x14ac:dyDescent="0.2">
      <c r="B7145" s="11" t="s">
        <v>2606</v>
      </c>
      <c r="C7145" s="16" t="s">
        <v>19</v>
      </c>
      <c r="D7145" s="2"/>
    </row>
    <row r="7146" spans="1:4" ht="12.75" customHeight="1" x14ac:dyDescent="0.2">
      <c r="B7146" s="2"/>
      <c r="C7146" s="15"/>
      <c r="D7146" s="2"/>
    </row>
    <row r="7147" spans="1:4" ht="12.75" customHeight="1" x14ac:dyDescent="0.2">
      <c r="B7147" s="2"/>
      <c r="C7147" s="15"/>
      <c r="D7147" s="2"/>
    </row>
    <row r="7148" spans="1:4" ht="12.75" customHeight="1" x14ac:dyDescent="0.2">
      <c r="A7148" s="13" t="s">
        <v>3693</v>
      </c>
      <c r="C7148" s="12"/>
      <c r="D7148" s="2"/>
    </row>
    <row r="7149" spans="1:4" ht="12.75" customHeight="1" x14ac:dyDescent="0.2">
      <c r="A7149" s="11"/>
      <c r="B7149" s="2"/>
      <c r="C7149" s="15"/>
      <c r="D7149" s="2"/>
    </row>
    <row r="7150" spans="1:4" ht="12.75" customHeight="1" x14ac:dyDescent="0.2">
      <c r="B7150" s="11" t="s">
        <v>0</v>
      </c>
      <c r="C7150" s="17" t="s">
        <v>127</v>
      </c>
      <c r="D7150" s="2"/>
    </row>
    <row r="7151" spans="1:4" ht="12.75" customHeight="1" x14ac:dyDescent="0.2">
      <c r="B7151" s="11" t="s">
        <v>2599</v>
      </c>
      <c r="C7151" s="17" t="s">
        <v>2514</v>
      </c>
      <c r="D7151" s="2"/>
    </row>
    <row r="7152" spans="1:4" ht="25.5" customHeight="1" x14ac:dyDescent="0.2">
      <c r="B7152" s="11" t="s">
        <v>2600</v>
      </c>
      <c r="C7152" s="17" t="s">
        <v>3694</v>
      </c>
      <c r="D7152" s="2"/>
    </row>
    <row r="7153" spans="1:4" ht="25.5" customHeight="1" x14ac:dyDescent="0.2">
      <c r="B7153" s="11" t="s">
        <v>2601</v>
      </c>
      <c r="C7153" s="17"/>
      <c r="D7153" s="2"/>
    </row>
    <row r="7154" spans="1:4" ht="12.75" customHeight="1" x14ac:dyDescent="0.2">
      <c r="B7154" s="11" t="s">
        <v>16</v>
      </c>
      <c r="C7154" s="17"/>
      <c r="D7154" s="2"/>
    </row>
    <row r="7155" spans="1:4" ht="12.75" customHeight="1" x14ac:dyDescent="0.2">
      <c r="B7155" s="11" t="s">
        <v>13</v>
      </c>
      <c r="C7155" s="17" t="s">
        <v>2644</v>
      </c>
      <c r="D7155" s="2"/>
    </row>
    <row r="7156" spans="1:4" ht="25.5" customHeight="1" x14ac:dyDescent="0.2">
      <c r="B7156" s="11" t="s">
        <v>2603</v>
      </c>
      <c r="C7156" s="17" t="s">
        <v>2971</v>
      </c>
      <c r="D7156" s="2"/>
    </row>
    <row r="7157" spans="1:4" ht="12.75" customHeight="1" x14ac:dyDescent="0.2">
      <c r="B7157" s="11" t="s">
        <v>2605</v>
      </c>
      <c r="C7157" s="17" t="s">
        <v>14</v>
      </c>
      <c r="D7157" s="2"/>
    </row>
    <row r="7158" spans="1:4" ht="12.75" customHeight="1" x14ac:dyDescent="0.2">
      <c r="B7158" s="11" t="s">
        <v>2606</v>
      </c>
      <c r="C7158" s="16" t="s">
        <v>19</v>
      </c>
      <c r="D7158" s="2"/>
    </row>
    <row r="7159" spans="1:4" ht="12.75" customHeight="1" x14ac:dyDescent="0.2">
      <c r="B7159" s="2"/>
      <c r="C7159" s="15"/>
      <c r="D7159" s="2"/>
    </row>
    <row r="7160" spans="1:4" ht="12.75" customHeight="1" x14ac:dyDescent="0.2">
      <c r="B7160" s="2"/>
      <c r="C7160" s="15"/>
      <c r="D7160" s="2"/>
    </row>
    <row r="7161" spans="1:4" ht="12.75" customHeight="1" x14ac:dyDescent="0.2">
      <c r="A7161" s="13" t="s">
        <v>3601</v>
      </c>
      <c r="C7161" s="12"/>
      <c r="D7161" s="2"/>
    </row>
    <row r="7162" spans="1:4" ht="12.75" customHeight="1" x14ac:dyDescent="0.2">
      <c r="A7162" s="11"/>
      <c r="B7162" s="2"/>
      <c r="C7162" s="15"/>
      <c r="D7162" s="2"/>
    </row>
    <row r="7163" spans="1:4" ht="12.75" customHeight="1" x14ac:dyDescent="0.2">
      <c r="B7163" s="11" t="s">
        <v>0</v>
      </c>
      <c r="C7163" s="17" t="s">
        <v>127</v>
      </c>
      <c r="D7163" s="2"/>
    </row>
    <row r="7164" spans="1:4" ht="12.75" customHeight="1" x14ac:dyDescent="0.2">
      <c r="B7164" s="11" t="s">
        <v>2599</v>
      </c>
      <c r="C7164" s="17" t="s">
        <v>3602</v>
      </c>
      <c r="D7164" s="2"/>
    </row>
    <row r="7165" spans="1:4" ht="25.5" customHeight="1" x14ac:dyDescent="0.2">
      <c r="B7165" s="11" t="s">
        <v>2600</v>
      </c>
      <c r="C7165" s="17" t="s">
        <v>3695</v>
      </c>
      <c r="D7165" s="2"/>
    </row>
    <row r="7166" spans="1:4" ht="25.5" customHeight="1" x14ac:dyDescent="0.2">
      <c r="B7166" s="11" t="s">
        <v>2601</v>
      </c>
      <c r="C7166" s="17"/>
      <c r="D7166" s="2"/>
    </row>
    <row r="7167" spans="1:4" ht="12.75" customHeight="1" x14ac:dyDescent="0.2">
      <c r="B7167" s="11" t="s">
        <v>16</v>
      </c>
      <c r="C7167" s="17"/>
      <c r="D7167" s="2"/>
    </row>
    <row r="7168" spans="1:4" ht="12.75" customHeight="1" x14ac:dyDescent="0.2">
      <c r="B7168" s="11" t="s">
        <v>13</v>
      </c>
      <c r="C7168" s="17" t="s">
        <v>2602</v>
      </c>
      <c r="D7168" s="2"/>
    </row>
    <row r="7169" spans="1:4" ht="25.5" customHeight="1" x14ac:dyDescent="0.2">
      <c r="B7169" s="11" t="s">
        <v>2603</v>
      </c>
      <c r="C7169" s="17" t="s">
        <v>2971</v>
      </c>
      <c r="D7169" s="2"/>
    </row>
    <row r="7170" spans="1:4" ht="12.75" customHeight="1" x14ac:dyDescent="0.2">
      <c r="B7170" s="11" t="s">
        <v>2605</v>
      </c>
      <c r="C7170" s="17" t="s">
        <v>14</v>
      </c>
      <c r="D7170" s="2"/>
    </row>
    <row r="7171" spans="1:4" ht="12.75" customHeight="1" x14ac:dyDescent="0.2">
      <c r="B7171" s="11" t="s">
        <v>2606</v>
      </c>
      <c r="C7171" s="16" t="s">
        <v>19</v>
      </c>
      <c r="D7171" s="2"/>
    </row>
    <row r="7172" spans="1:4" ht="12.75" customHeight="1" x14ac:dyDescent="0.2">
      <c r="B7172" s="2"/>
      <c r="C7172" s="15"/>
      <c r="D7172" s="2"/>
    </row>
    <row r="7173" spans="1:4" ht="12.75" customHeight="1" x14ac:dyDescent="0.2">
      <c r="B7173" s="2"/>
      <c r="C7173" s="15"/>
      <c r="D7173" s="2"/>
    </row>
    <row r="7174" spans="1:4" ht="12.75" customHeight="1" x14ac:dyDescent="0.2">
      <c r="A7174" s="13" t="s">
        <v>3696</v>
      </c>
      <c r="C7174" s="12"/>
      <c r="D7174" s="2"/>
    </row>
    <row r="7175" spans="1:4" ht="12.75" customHeight="1" x14ac:dyDescent="0.2">
      <c r="A7175" s="11"/>
      <c r="B7175" s="2"/>
      <c r="C7175" s="15"/>
      <c r="D7175" s="2"/>
    </row>
    <row r="7176" spans="1:4" ht="12.75" customHeight="1" x14ac:dyDescent="0.2">
      <c r="B7176" s="11" t="s">
        <v>0</v>
      </c>
      <c r="C7176" s="17" t="s">
        <v>127</v>
      </c>
      <c r="D7176" s="2"/>
    </row>
    <row r="7177" spans="1:4" ht="12.75" customHeight="1" x14ac:dyDescent="0.2">
      <c r="B7177" s="11" t="s">
        <v>2599</v>
      </c>
      <c r="C7177" s="17" t="s">
        <v>3697</v>
      </c>
      <c r="D7177" s="2"/>
    </row>
    <row r="7178" spans="1:4" ht="25.5" customHeight="1" x14ac:dyDescent="0.2">
      <c r="B7178" s="11" t="s">
        <v>2600</v>
      </c>
      <c r="C7178" s="17" t="s">
        <v>3698</v>
      </c>
      <c r="D7178" s="2"/>
    </row>
    <row r="7179" spans="1:4" ht="25.5" customHeight="1" x14ac:dyDescent="0.2">
      <c r="B7179" s="11" t="s">
        <v>2601</v>
      </c>
      <c r="C7179" s="17"/>
      <c r="D7179" s="2"/>
    </row>
    <row r="7180" spans="1:4" ht="12.75" customHeight="1" x14ac:dyDescent="0.2">
      <c r="B7180" s="11" t="s">
        <v>16</v>
      </c>
      <c r="C7180" s="17"/>
      <c r="D7180" s="2"/>
    </row>
    <row r="7181" spans="1:4" ht="12.75" customHeight="1" x14ac:dyDescent="0.2">
      <c r="B7181" s="11" t="s">
        <v>13</v>
      </c>
      <c r="C7181" s="17" t="s">
        <v>2602</v>
      </c>
      <c r="D7181" s="2"/>
    </row>
    <row r="7182" spans="1:4" ht="25.5" customHeight="1" x14ac:dyDescent="0.2">
      <c r="B7182" s="11" t="s">
        <v>2603</v>
      </c>
      <c r="C7182" s="17" t="s">
        <v>2971</v>
      </c>
      <c r="D7182" s="2"/>
    </row>
    <row r="7183" spans="1:4" ht="12.75" customHeight="1" x14ac:dyDescent="0.2">
      <c r="B7183" s="11" t="s">
        <v>2605</v>
      </c>
      <c r="C7183" s="17" t="s">
        <v>14</v>
      </c>
      <c r="D7183" s="2"/>
    </row>
    <row r="7184" spans="1:4" ht="12.75" customHeight="1" x14ac:dyDescent="0.2">
      <c r="B7184" s="11" t="s">
        <v>2606</v>
      </c>
      <c r="C7184" s="16" t="s">
        <v>19</v>
      </c>
      <c r="D7184" s="2"/>
    </row>
    <row r="7185" spans="1:4" ht="12.75" customHeight="1" x14ac:dyDescent="0.2">
      <c r="B7185" s="2"/>
      <c r="C7185" s="15"/>
      <c r="D7185" s="2"/>
    </row>
    <row r="7186" spans="1:4" ht="12.75" customHeight="1" x14ac:dyDescent="0.2">
      <c r="B7186" s="2"/>
      <c r="C7186" s="15"/>
      <c r="D7186" s="2"/>
    </row>
    <row r="7187" spans="1:4" ht="12.75" customHeight="1" x14ac:dyDescent="0.2">
      <c r="A7187" s="13" t="s">
        <v>3699</v>
      </c>
      <c r="C7187" s="12"/>
      <c r="D7187" s="2"/>
    </row>
    <row r="7188" spans="1:4" ht="12.75" customHeight="1" x14ac:dyDescent="0.2">
      <c r="A7188" s="11"/>
      <c r="B7188" s="2"/>
      <c r="C7188" s="15"/>
      <c r="D7188" s="2"/>
    </row>
    <row r="7189" spans="1:4" ht="12.75" customHeight="1" x14ac:dyDescent="0.2">
      <c r="B7189" s="11" t="s">
        <v>0</v>
      </c>
      <c r="C7189" s="17" t="s">
        <v>127</v>
      </c>
      <c r="D7189" s="2"/>
    </row>
    <row r="7190" spans="1:4" ht="12.75" customHeight="1" x14ac:dyDescent="0.2">
      <c r="B7190" s="11" t="s">
        <v>2599</v>
      </c>
      <c r="C7190" s="17" t="s">
        <v>3690</v>
      </c>
      <c r="D7190" s="2"/>
    </row>
    <row r="7191" spans="1:4" ht="25.5" customHeight="1" x14ac:dyDescent="0.2">
      <c r="B7191" s="11" t="s">
        <v>2600</v>
      </c>
      <c r="C7191" s="17" t="s">
        <v>3700</v>
      </c>
      <c r="D7191" s="2"/>
    </row>
    <row r="7192" spans="1:4" ht="25.5" customHeight="1" x14ac:dyDescent="0.2">
      <c r="B7192" s="11" t="s">
        <v>2601</v>
      </c>
      <c r="C7192" s="17"/>
      <c r="D7192" s="2"/>
    </row>
    <row r="7193" spans="1:4" ht="12.75" customHeight="1" x14ac:dyDescent="0.2">
      <c r="B7193" s="11" t="s">
        <v>16</v>
      </c>
      <c r="C7193" s="17"/>
      <c r="D7193" s="2"/>
    </row>
    <row r="7194" spans="1:4" ht="12.75" customHeight="1" x14ac:dyDescent="0.2">
      <c r="B7194" s="11" t="s">
        <v>13</v>
      </c>
      <c r="C7194" s="17" t="s">
        <v>2644</v>
      </c>
      <c r="D7194" s="2"/>
    </row>
    <row r="7195" spans="1:4" ht="25.5" customHeight="1" x14ac:dyDescent="0.2">
      <c r="B7195" s="11" t="s">
        <v>2603</v>
      </c>
      <c r="C7195" s="17" t="s">
        <v>2971</v>
      </c>
      <c r="D7195" s="2"/>
    </row>
    <row r="7196" spans="1:4" ht="12.75" customHeight="1" x14ac:dyDescent="0.2">
      <c r="B7196" s="11" t="s">
        <v>2605</v>
      </c>
      <c r="C7196" s="17" t="s">
        <v>14</v>
      </c>
      <c r="D7196" s="2"/>
    </row>
    <row r="7197" spans="1:4" ht="12.75" customHeight="1" x14ac:dyDescent="0.2">
      <c r="B7197" s="11" t="s">
        <v>2606</v>
      </c>
      <c r="C7197" s="16" t="s">
        <v>19</v>
      </c>
      <c r="D7197" s="2"/>
    </row>
    <row r="7198" spans="1:4" ht="12.75" customHeight="1" x14ac:dyDescent="0.2">
      <c r="B7198" s="2"/>
      <c r="C7198" s="15"/>
      <c r="D7198" s="2"/>
    </row>
    <row r="7199" spans="1:4" ht="12.75" customHeight="1" x14ac:dyDescent="0.2">
      <c r="B7199" s="2"/>
      <c r="C7199" s="15"/>
      <c r="D7199" s="2"/>
    </row>
    <row r="7200" spans="1:4" ht="12.75" customHeight="1" x14ac:dyDescent="0.2">
      <c r="A7200" s="13" t="s">
        <v>3701</v>
      </c>
      <c r="C7200" s="12"/>
    </row>
    <row r="7201" spans="1:4" ht="12.75" customHeight="1" x14ac:dyDescent="0.2">
      <c r="A7201" s="11"/>
      <c r="B7201" s="2"/>
      <c r="C7201" s="15"/>
      <c r="D7201" s="2"/>
    </row>
    <row r="7202" spans="1:4" ht="12.75" customHeight="1" x14ac:dyDescent="0.2">
      <c r="B7202" s="11" t="s">
        <v>0</v>
      </c>
      <c r="C7202" s="11" t="s">
        <v>127</v>
      </c>
    </row>
    <row r="7203" spans="1:4" ht="12.75" customHeight="1" x14ac:dyDescent="0.2">
      <c r="B7203" s="11" t="s">
        <v>2599</v>
      </c>
      <c r="C7203" s="11" t="s">
        <v>3702</v>
      </c>
    </row>
    <row r="7204" spans="1:4" ht="25.5" customHeight="1" x14ac:dyDescent="0.2">
      <c r="B7204" s="11" t="s">
        <v>2600</v>
      </c>
      <c r="C7204" s="11" t="s">
        <v>3703</v>
      </c>
    </row>
    <row r="7205" spans="1:4" ht="25.5" customHeight="1" x14ac:dyDescent="0.2">
      <c r="B7205" s="11" t="s">
        <v>2601</v>
      </c>
      <c r="C7205" s="11"/>
    </row>
    <row r="7206" spans="1:4" ht="12.75" customHeight="1" x14ac:dyDescent="0.2">
      <c r="B7206" s="11" t="s">
        <v>16</v>
      </c>
      <c r="C7206" s="11"/>
    </row>
    <row r="7207" spans="1:4" ht="12.75" customHeight="1" x14ac:dyDescent="0.2">
      <c r="B7207" s="11" t="s">
        <v>13</v>
      </c>
      <c r="C7207" s="11" t="s">
        <v>2602</v>
      </c>
    </row>
    <row r="7208" spans="1:4" ht="12.75" customHeight="1" x14ac:dyDescent="0.2">
      <c r="B7208" s="11" t="s">
        <v>2603</v>
      </c>
      <c r="C7208" s="11" t="s">
        <v>2604</v>
      </c>
    </row>
    <row r="7209" spans="1:4" ht="12.75" customHeight="1" x14ac:dyDescent="0.2">
      <c r="B7209" s="11" t="s">
        <v>2605</v>
      </c>
      <c r="C7209" s="11" t="s">
        <v>24</v>
      </c>
    </row>
    <row r="7210" spans="1:4" ht="12.75" customHeight="1" x14ac:dyDescent="0.2">
      <c r="B7210" s="11" t="s">
        <v>2606</v>
      </c>
      <c r="C7210" s="16" t="s">
        <v>44</v>
      </c>
      <c r="D7210" s="6" t="str">
        <f>HYPERLINK("javascript:void(0)","varázskulcs")</f>
        <v>varázskulcs</v>
      </c>
    </row>
    <row r="7211" spans="1:4" ht="12.75" customHeight="1" x14ac:dyDescent="0.2">
      <c r="B7211" s="2"/>
      <c r="C7211" s="15"/>
      <c r="D7211" s="2"/>
    </row>
    <row r="7212" spans="1:4" ht="12.75" customHeight="1" x14ac:dyDescent="0.2">
      <c r="B7212" s="2"/>
      <c r="C7212" s="15"/>
      <c r="D7212" s="2"/>
    </row>
    <row r="7213" spans="1:4" ht="12.75" customHeight="1" x14ac:dyDescent="0.2">
      <c r="A7213" s="13" t="s">
        <v>3704</v>
      </c>
      <c r="C7213" s="12"/>
    </row>
    <row r="7214" spans="1:4" ht="12.75" customHeight="1" x14ac:dyDescent="0.2">
      <c r="A7214" s="11"/>
      <c r="B7214" s="2"/>
      <c r="C7214" s="15"/>
      <c r="D7214" s="2"/>
    </row>
    <row r="7215" spans="1:4" ht="12.75" customHeight="1" x14ac:dyDescent="0.2">
      <c r="B7215" s="11" t="s">
        <v>0</v>
      </c>
      <c r="C7215" s="11" t="s">
        <v>127</v>
      </c>
    </row>
    <row r="7216" spans="1:4" ht="12.75" customHeight="1" x14ac:dyDescent="0.2">
      <c r="B7216" s="11" t="s">
        <v>2599</v>
      </c>
      <c r="C7216" s="11" t="s">
        <v>3705</v>
      </c>
    </row>
    <row r="7217" spans="1:4" ht="25.5" customHeight="1" x14ac:dyDescent="0.2">
      <c r="B7217" s="11" t="s">
        <v>2600</v>
      </c>
      <c r="C7217" s="11" t="s">
        <v>3706</v>
      </c>
    </row>
    <row r="7218" spans="1:4" ht="25.5" customHeight="1" x14ac:dyDescent="0.2">
      <c r="B7218" s="11" t="s">
        <v>2601</v>
      </c>
      <c r="C7218" s="11"/>
    </row>
    <row r="7219" spans="1:4" ht="12.75" customHeight="1" x14ac:dyDescent="0.2">
      <c r="B7219" s="11" t="s">
        <v>16</v>
      </c>
      <c r="C7219" s="11"/>
    </row>
    <row r="7220" spans="1:4" ht="12.75" customHeight="1" x14ac:dyDescent="0.2">
      <c r="B7220" s="11" t="s">
        <v>13</v>
      </c>
      <c r="C7220" s="11" t="s">
        <v>2602</v>
      </c>
    </row>
    <row r="7221" spans="1:4" ht="12.75" customHeight="1" x14ac:dyDescent="0.2">
      <c r="B7221" s="11" t="s">
        <v>2603</v>
      </c>
      <c r="C7221" s="11" t="s">
        <v>2604</v>
      </c>
    </row>
    <row r="7222" spans="1:4" ht="12.75" customHeight="1" x14ac:dyDescent="0.2">
      <c r="B7222" s="11" t="s">
        <v>2605</v>
      </c>
      <c r="C7222" s="11" t="s">
        <v>24</v>
      </c>
    </row>
    <row r="7223" spans="1:4" ht="12.75" customHeight="1" x14ac:dyDescent="0.2">
      <c r="B7223" s="11" t="s">
        <v>2606</v>
      </c>
      <c r="C7223" s="16" t="s">
        <v>2652</v>
      </c>
      <c r="D7223" s="6" t="str">
        <f>HYPERLINK("javascript:void(0)","ezüst")</f>
        <v>ezüst</v>
      </c>
    </row>
    <row r="7224" spans="1:4" ht="12.75" customHeight="1" x14ac:dyDescent="0.2">
      <c r="B7224" s="2"/>
      <c r="C7224" s="15"/>
      <c r="D7224" s="2"/>
    </row>
    <row r="7225" spans="1:4" ht="12.75" customHeight="1" x14ac:dyDescent="0.2">
      <c r="B7225" s="2"/>
      <c r="C7225" s="15"/>
      <c r="D7225" s="2"/>
    </row>
    <row r="7226" spans="1:4" ht="12.75" customHeight="1" x14ac:dyDescent="0.2">
      <c r="A7226" s="13" t="s">
        <v>3707</v>
      </c>
      <c r="C7226" s="12"/>
    </row>
    <row r="7227" spans="1:4" ht="12.75" customHeight="1" x14ac:dyDescent="0.2">
      <c r="A7227" s="11"/>
      <c r="B7227" s="2"/>
      <c r="C7227" s="15"/>
      <c r="D7227" s="2"/>
    </row>
    <row r="7228" spans="1:4" ht="12.75" customHeight="1" x14ac:dyDescent="0.2">
      <c r="B7228" s="11" t="s">
        <v>0</v>
      </c>
      <c r="C7228" s="11" t="s">
        <v>127</v>
      </c>
    </row>
    <row r="7229" spans="1:4" ht="12.75" customHeight="1" x14ac:dyDescent="0.2">
      <c r="B7229" s="11" t="s">
        <v>2599</v>
      </c>
      <c r="C7229" s="11" t="s">
        <v>3708</v>
      </c>
    </row>
    <row r="7230" spans="1:4" ht="25.5" customHeight="1" x14ac:dyDescent="0.2">
      <c r="B7230" s="11" t="s">
        <v>2600</v>
      </c>
      <c r="C7230" s="11" t="s">
        <v>3709</v>
      </c>
    </row>
    <row r="7231" spans="1:4" ht="25.5" customHeight="1" x14ac:dyDescent="0.2">
      <c r="B7231" s="11" t="s">
        <v>2601</v>
      </c>
      <c r="C7231" s="11"/>
    </row>
    <row r="7232" spans="1:4" ht="12.75" customHeight="1" x14ac:dyDescent="0.2">
      <c r="B7232" s="11" t="s">
        <v>16</v>
      </c>
      <c r="C7232" s="11"/>
    </row>
    <row r="7233" spans="1:4" ht="12.75" customHeight="1" x14ac:dyDescent="0.2">
      <c r="B7233" s="11" t="s">
        <v>13</v>
      </c>
      <c r="C7233" s="11" t="s">
        <v>2602</v>
      </c>
    </row>
    <row r="7234" spans="1:4" ht="12.75" customHeight="1" x14ac:dyDescent="0.2">
      <c r="B7234" s="11" t="s">
        <v>2603</v>
      </c>
      <c r="C7234" s="11" t="s">
        <v>2604</v>
      </c>
    </row>
    <row r="7235" spans="1:4" ht="12.75" customHeight="1" x14ac:dyDescent="0.2">
      <c r="B7235" s="11" t="s">
        <v>2605</v>
      </c>
      <c r="C7235" s="11" t="s">
        <v>24</v>
      </c>
    </row>
    <row r="7236" spans="1:4" ht="12.75" customHeight="1" x14ac:dyDescent="0.2">
      <c r="B7236" s="11" t="s">
        <v>2606</v>
      </c>
      <c r="C7236" s="16" t="s">
        <v>44</v>
      </c>
      <c r="D7236" s="6" t="str">
        <f>HYPERLINK("javascript:void(0)","esztétikum")</f>
        <v>esztétikum</v>
      </c>
    </row>
    <row r="7237" spans="1:4" ht="12.75" customHeight="1" x14ac:dyDescent="0.2">
      <c r="B7237" s="2"/>
      <c r="C7237" s="15"/>
      <c r="D7237" s="2"/>
    </row>
    <row r="7238" spans="1:4" ht="12.75" customHeight="1" x14ac:dyDescent="0.2">
      <c r="B7238" s="2"/>
      <c r="C7238" s="15"/>
      <c r="D7238" s="2"/>
    </row>
    <row r="7239" spans="1:4" ht="12.75" customHeight="1" x14ac:dyDescent="0.2">
      <c r="A7239" s="13" t="s">
        <v>3710</v>
      </c>
      <c r="C7239" s="12"/>
    </row>
    <row r="7240" spans="1:4" ht="12.75" customHeight="1" x14ac:dyDescent="0.2">
      <c r="A7240" s="11"/>
      <c r="B7240" s="2"/>
      <c r="C7240" s="15"/>
      <c r="D7240" s="2"/>
    </row>
    <row r="7241" spans="1:4" ht="12.75" customHeight="1" x14ac:dyDescent="0.2">
      <c r="B7241" s="11" t="s">
        <v>0</v>
      </c>
      <c r="C7241" s="11" t="s">
        <v>127</v>
      </c>
    </row>
    <row r="7242" spans="1:4" ht="12.75" customHeight="1" x14ac:dyDescent="0.2">
      <c r="B7242" s="11" t="s">
        <v>2599</v>
      </c>
      <c r="C7242" s="11" t="s">
        <v>3711</v>
      </c>
    </row>
    <row r="7243" spans="1:4" ht="25.5" customHeight="1" x14ac:dyDescent="0.2">
      <c r="B7243" s="11" t="s">
        <v>2600</v>
      </c>
      <c r="C7243" s="11" t="s">
        <v>3712</v>
      </c>
    </row>
    <row r="7244" spans="1:4" ht="25.5" customHeight="1" x14ac:dyDescent="0.2">
      <c r="B7244" s="11" t="s">
        <v>2601</v>
      </c>
      <c r="C7244" s="11"/>
    </row>
    <row r="7245" spans="1:4" ht="12.75" customHeight="1" x14ac:dyDescent="0.2">
      <c r="B7245" s="11" t="s">
        <v>16</v>
      </c>
      <c r="C7245" s="11"/>
    </row>
    <row r="7246" spans="1:4" ht="12.75" customHeight="1" x14ac:dyDescent="0.2">
      <c r="B7246" s="11" t="s">
        <v>13</v>
      </c>
      <c r="C7246" s="11" t="s">
        <v>2644</v>
      </c>
    </row>
    <row r="7247" spans="1:4" ht="12.75" customHeight="1" x14ac:dyDescent="0.2">
      <c r="B7247" s="11" t="s">
        <v>2603</v>
      </c>
      <c r="C7247" s="11" t="s">
        <v>2604</v>
      </c>
    </row>
    <row r="7248" spans="1:4" ht="12.75" customHeight="1" x14ac:dyDescent="0.2">
      <c r="B7248" s="11" t="s">
        <v>2605</v>
      </c>
      <c r="C7248" s="11" t="s">
        <v>24</v>
      </c>
    </row>
    <row r="7249" spans="1:4" ht="12.75" customHeight="1" x14ac:dyDescent="0.2">
      <c r="B7249" s="11" t="s">
        <v>2606</v>
      </c>
      <c r="C7249" s="16" t="s">
        <v>331</v>
      </c>
      <c r="D7249" s="6" t="str">
        <f>HYPERLINK("javascript:void(0)","kincs")</f>
        <v>kincs</v>
      </c>
    </row>
    <row r="7250" spans="1:4" ht="12.75" customHeight="1" x14ac:dyDescent="0.2">
      <c r="B7250" s="2"/>
      <c r="C7250" s="15"/>
      <c r="D7250" s="2"/>
    </row>
    <row r="7251" spans="1:4" ht="12.75" customHeight="1" x14ac:dyDescent="0.2">
      <c r="B7251" s="2"/>
      <c r="C7251" s="15"/>
      <c r="D7251" s="2"/>
    </row>
    <row r="7252" spans="1:4" ht="12.75" customHeight="1" x14ac:dyDescent="0.2">
      <c r="A7252" s="13" t="s">
        <v>3713</v>
      </c>
      <c r="C7252" s="12"/>
    </row>
    <row r="7253" spans="1:4" ht="12.75" customHeight="1" x14ac:dyDescent="0.2">
      <c r="A7253" s="11"/>
      <c r="B7253" s="2"/>
      <c r="C7253" s="15"/>
      <c r="D7253" s="2"/>
    </row>
    <row r="7254" spans="1:4" ht="12.75" customHeight="1" x14ac:dyDescent="0.2">
      <c r="B7254" s="11" t="s">
        <v>0</v>
      </c>
      <c r="C7254" s="11" t="s">
        <v>127</v>
      </c>
    </row>
    <row r="7255" spans="1:4" ht="12.75" customHeight="1" x14ac:dyDescent="0.2">
      <c r="B7255" s="11" t="s">
        <v>2599</v>
      </c>
      <c r="C7255" s="11" t="s">
        <v>3714</v>
      </c>
    </row>
    <row r="7256" spans="1:4" ht="25.5" customHeight="1" x14ac:dyDescent="0.2">
      <c r="B7256" s="11" t="s">
        <v>2600</v>
      </c>
      <c r="C7256" s="11" t="s">
        <v>3715</v>
      </c>
    </row>
    <row r="7257" spans="1:4" ht="25.5" customHeight="1" x14ac:dyDescent="0.2">
      <c r="B7257" s="11" t="s">
        <v>2601</v>
      </c>
      <c r="C7257" s="11"/>
    </row>
    <row r="7258" spans="1:4" ht="12.75" customHeight="1" x14ac:dyDescent="0.2">
      <c r="B7258" s="11" t="s">
        <v>16</v>
      </c>
      <c r="C7258" s="11"/>
    </row>
    <row r="7259" spans="1:4" ht="12.75" customHeight="1" x14ac:dyDescent="0.2">
      <c r="B7259" s="11" t="s">
        <v>13</v>
      </c>
      <c r="C7259" s="11" t="s">
        <v>2644</v>
      </c>
    </row>
    <row r="7260" spans="1:4" ht="12.75" customHeight="1" x14ac:dyDescent="0.2">
      <c r="B7260" s="11" t="s">
        <v>2603</v>
      </c>
      <c r="C7260" s="11" t="s">
        <v>2604</v>
      </c>
    </row>
    <row r="7261" spans="1:4" ht="12.75" customHeight="1" x14ac:dyDescent="0.2">
      <c r="B7261" s="11" t="s">
        <v>2605</v>
      </c>
      <c r="C7261" s="11" t="s">
        <v>24</v>
      </c>
    </row>
    <row r="7262" spans="1:4" ht="25.5" customHeight="1" x14ac:dyDescent="0.2">
      <c r="B7262" s="11" t="s">
        <v>2606</v>
      </c>
      <c r="C7262" s="16" t="s">
        <v>44</v>
      </c>
      <c r="D7262" s="6" t="str">
        <f>HYPERLINK("javascript:void(0)","démonzanza")</f>
        <v>démonzanza</v>
      </c>
    </row>
    <row r="7263" spans="1:4" ht="12.75" customHeight="1" x14ac:dyDescent="0.2">
      <c r="B7263" s="2"/>
      <c r="C7263" s="15"/>
      <c r="D7263" s="2"/>
    </row>
    <row r="7264" spans="1:4" ht="12.75" customHeight="1" x14ac:dyDescent="0.2">
      <c r="B7264" s="2"/>
      <c r="C7264" s="15"/>
      <c r="D7264" s="2"/>
    </row>
    <row r="7265" spans="1:4" ht="12.75" customHeight="1" x14ac:dyDescent="0.2">
      <c r="A7265" s="13" t="s">
        <v>3716</v>
      </c>
      <c r="C7265" s="12"/>
    </row>
    <row r="7266" spans="1:4" ht="12.75" customHeight="1" x14ac:dyDescent="0.2">
      <c r="A7266" s="11"/>
      <c r="B7266" s="2"/>
      <c r="C7266" s="15"/>
      <c r="D7266" s="2"/>
    </row>
    <row r="7267" spans="1:4" ht="12.75" customHeight="1" x14ac:dyDescent="0.2">
      <c r="B7267" s="11" t="s">
        <v>0</v>
      </c>
      <c r="C7267" s="11" t="s">
        <v>127</v>
      </c>
    </row>
    <row r="7268" spans="1:4" ht="12.75" customHeight="1" x14ac:dyDescent="0.2">
      <c r="B7268" s="11" t="s">
        <v>2599</v>
      </c>
      <c r="C7268" s="11" t="s">
        <v>3717</v>
      </c>
    </row>
    <row r="7269" spans="1:4" ht="25.5" customHeight="1" x14ac:dyDescent="0.2">
      <c r="B7269" s="11" t="s">
        <v>2600</v>
      </c>
      <c r="C7269" s="11" t="s">
        <v>3718</v>
      </c>
    </row>
    <row r="7270" spans="1:4" ht="25.5" customHeight="1" x14ac:dyDescent="0.2">
      <c r="B7270" s="11" t="s">
        <v>2601</v>
      </c>
      <c r="C7270" s="11"/>
    </row>
    <row r="7271" spans="1:4" ht="12.75" customHeight="1" x14ac:dyDescent="0.2">
      <c r="B7271" s="11" t="s">
        <v>16</v>
      </c>
      <c r="C7271" s="11"/>
    </row>
    <row r="7272" spans="1:4" ht="12.75" customHeight="1" x14ac:dyDescent="0.2">
      <c r="B7272" s="11" t="s">
        <v>13</v>
      </c>
      <c r="C7272" s="11" t="s">
        <v>2602</v>
      </c>
    </row>
    <row r="7273" spans="1:4" ht="12.75" customHeight="1" x14ac:dyDescent="0.2">
      <c r="B7273" s="11" t="s">
        <v>2603</v>
      </c>
      <c r="C7273" s="11" t="s">
        <v>2604</v>
      </c>
    </row>
    <row r="7274" spans="1:4" ht="12.75" customHeight="1" x14ac:dyDescent="0.2">
      <c r="B7274" s="11" t="s">
        <v>2605</v>
      </c>
      <c r="C7274" s="11" t="s">
        <v>24</v>
      </c>
    </row>
    <row r="7275" spans="1:4" ht="12.75" customHeight="1" x14ac:dyDescent="0.2">
      <c r="B7275" s="11" t="s">
        <v>2606</v>
      </c>
      <c r="C7275" s="16" t="s">
        <v>44</v>
      </c>
      <c r="D7275" s="6" t="str">
        <f>HYPERLINK("javascript:void(0)","portgyűrű")</f>
        <v>portgyűrű</v>
      </c>
    </row>
    <row r="7276" spans="1:4" ht="12.75" customHeight="1" x14ac:dyDescent="0.2">
      <c r="B7276" s="2"/>
      <c r="C7276" s="15"/>
      <c r="D7276" s="2"/>
    </row>
    <row r="7277" spans="1:4" ht="12.75" customHeight="1" x14ac:dyDescent="0.2">
      <c r="B7277" s="2"/>
      <c r="C7277" s="15"/>
      <c r="D7277" s="2"/>
    </row>
    <row r="7278" spans="1:4" ht="12.75" customHeight="1" x14ac:dyDescent="0.2">
      <c r="A7278" s="13" t="s">
        <v>3719</v>
      </c>
      <c r="C7278" s="12"/>
    </row>
    <row r="7279" spans="1:4" ht="12.75" customHeight="1" x14ac:dyDescent="0.2">
      <c r="A7279" s="11"/>
      <c r="B7279" s="2"/>
      <c r="C7279" s="15"/>
      <c r="D7279" s="2"/>
    </row>
    <row r="7280" spans="1:4" ht="12.75" customHeight="1" x14ac:dyDescent="0.2">
      <c r="B7280" s="11" t="s">
        <v>0</v>
      </c>
      <c r="C7280" s="11" t="s">
        <v>127</v>
      </c>
    </row>
    <row r="7281" spans="1:4" ht="12.75" customHeight="1" x14ac:dyDescent="0.2">
      <c r="B7281" s="11" t="s">
        <v>2599</v>
      </c>
      <c r="C7281" s="11" t="s">
        <v>2496</v>
      </c>
    </row>
    <row r="7282" spans="1:4" ht="25.5" customHeight="1" x14ac:dyDescent="0.2">
      <c r="B7282" s="11" t="s">
        <v>2600</v>
      </c>
      <c r="C7282" s="11" t="s">
        <v>3720</v>
      </c>
    </row>
    <row r="7283" spans="1:4" ht="25.5" customHeight="1" x14ac:dyDescent="0.2">
      <c r="B7283" s="11" t="s">
        <v>2601</v>
      </c>
      <c r="C7283" s="11"/>
    </row>
    <row r="7284" spans="1:4" ht="12.75" customHeight="1" x14ac:dyDescent="0.2">
      <c r="B7284" s="11" t="s">
        <v>16</v>
      </c>
      <c r="C7284" s="11"/>
    </row>
    <row r="7285" spans="1:4" ht="12.75" customHeight="1" x14ac:dyDescent="0.2">
      <c r="B7285" s="11" t="s">
        <v>13</v>
      </c>
      <c r="C7285" s="11" t="s">
        <v>2644</v>
      </c>
    </row>
    <row r="7286" spans="1:4" ht="12.75" customHeight="1" x14ac:dyDescent="0.2">
      <c r="B7286" s="11" t="s">
        <v>2603</v>
      </c>
      <c r="C7286" s="11" t="s">
        <v>2604</v>
      </c>
    </row>
    <row r="7287" spans="1:4" ht="12.75" customHeight="1" x14ac:dyDescent="0.2">
      <c r="B7287" s="11" t="s">
        <v>2605</v>
      </c>
      <c r="C7287" s="11" t="s">
        <v>24</v>
      </c>
    </row>
    <row r="7288" spans="1:4" ht="25.5" customHeight="1" x14ac:dyDescent="0.2">
      <c r="B7288" s="11" t="s">
        <v>2606</v>
      </c>
      <c r="C7288" s="16" t="s">
        <v>44</v>
      </c>
      <c r="D7288" s="6" t="str">
        <f>HYPERLINK("javascript:void(0)","démonzanza")</f>
        <v>démonzanza</v>
      </c>
    </row>
    <row r="7289" spans="1:4" ht="12.75" customHeight="1" x14ac:dyDescent="0.2">
      <c r="B7289" s="2"/>
      <c r="C7289" s="15"/>
      <c r="D7289" s="2"/>
    </row>
    <row r="7290" spans="1:4" ht="12.75" customHeight="1" x14ac:dyDescent="0.2">
      <c r="B7290" s="2"/>
      <c r="C7290" s="15"/>
      <c r="D7290" s="2"/>
    </row>
    <row r="7291" spans="1:4" ht="12.75" customHeight="1" x14ac:dyDescent="0.2">
      <c r="A7291" s="13" t="s">
        <v>3721</v>
      </c>
      <c r="C7291" s="12"/>
    </row>
    <row r="7292" spans="1:4" ht="12.75" customHeight="1" x14ac:dyDescent="0.2">
      <c r="A7292" s="11"/>
      <c r="B7292" s="2"/>
      <c r="C7292" s="15"/>
      <c r="D7292" s="2"/>
    </row>
    <row r="7293" spans="1:4" ht="12.75" customHeight="1" x14ac:dyDescent="0.2">
      <c r="B7293" s="11" t="s">
        <v>0</v>
      </c>
      <c r="C7293" s="11" t="s">
        <v>127</v>
      </c>
    </row>
    <row r="7294" spans="1:4" ht="12.75" customHeight="1" x14ac:dyDescent="0.2">
      <c r="B7294" s="11" t="s">
        <v>2599</v>
      </c>
      <c r="C7294" s="11" t="s">
        <v>1812</v>
      </c>
    </row>
    <row r="7295" spans="1:4" ht="25.5" customHeight="1" x14ac:dyDescent="0.2">
      <c r="B7295" s="11" t="s">
        <v>2600</v>
      </c>
      <c r="C7295" s="11" t="s">
        <v>3722</v>
      </c>
    </row>
    <row r="7296" spans="1:4" ht="25.5" customHeight="1" x14ac:dyDescent="0.2">
      <c r="B7296" s="11" t="s">
        <v>2601</v>
      </c>
      <c r="C7296" s="11"/>
    </row>
    <row r="7297" spans="1:4" ht="12.75" customHeight="1" x14ac:dyDescent="0.2">
      <c r="B7297" s="11" t="s">
        <v>16</v>
      </c>
      <c r="C7297" s="11"/>
    </row>
    <row r="7298" spans="1:4" ht="12.75" customHeight="1" x14ac:dyDescent="0.2">
      <c r="B7298" s="11" t="s">
        <v>13</v>
      </c>
      <c r="C7298" s="11" t="s">
        <v>2644</v>
      </c>
    </row>
    <row r="7299" spans="1:4" ht="12.75" customHeight="1" x14ac:dyDescent="0.2">
      <c r="B7299" s="11" t="s">
        <v>2603</v>
      </c>
      <c r="C7299" s="11" t="s">
        <v>2604</v>
      </c>
    </row>
    <row r="7300" spans="1:4" ht="12.75" customHeight="1" x14ac:dyDescent="0.2">
      <c r="B7300" s="11" t="s">
        <v>2605</v>
      </c>
      <c r="C7300" s="11" t="s">
        <v>24</v>
      </c>
    </row>
    <row r="7301" spans="1:4" ht="12.75" customHeight="1" x14ac:dyDescent="0.2">
      <c r="B7301" s="11" t="s">
        <v>2606</v>
      </c>
      <c r="C7301" s="16" t="s">
        <v>44</v>
      </c>
      <c r="D7301" s="6" t="str">
        <f>HYPERLINK("javascript:void(0)","démonfog")</f>
        <v>démonfog</v>
      </c>
    </row>
    <row r="7302" spans="1:4" ht="12.75" customHeight="1" x14ac:dyDescent="0.2">
      <c r="B7302" s="2"/>
      <c r="C7302" s="15"/>
      <c r="D7302" s="2"/>
    </row>
    <row r="7303" spans="1:4" ht="12.75" customHeight="1" x14ac:dyDescent="0.2">
      <c r="B7303" s="2"/>
      <c r="C7303" s="15"/>
      <c r="D7303" s="2"/>
    </row>
    <row r="7304" spans="1:4" ht="12.75" customHeight="1" x14ac:dyDescent="0.2">
      <c r="A7304" s="13" t="s">
        <v>3689</v>
      </c>
      <c r="C7304" s="12"/>
      <c r="D7304" s="2"/>
    </row>
    <row r="7305" spans="1:4" ht="12.75" customHeight="1" x14ac:dyDescent="0.2">
      <c r="A7305" s="11"/>
      <c r="B7305" s="2"/>
      <c r="C7305" s="15"/>
      <c r="D7305" s="2"/>
    </row>
    <row r="7306" spans="1:4" ht="12.75" customHeight="1" x14ac:dyDescent="0.2">
      <c r="B7306" s="11" t="s">
        <v>0</v>
      </c>
      <c r="C7306" s="17" t="s">
        <v>204</v>
      </c>
      <c r="D7306" s="2"/>
    </row>
    <row r="7307" spans="1:4" ht="12.75" customHeight="1" x14ac:dyDescent="0.2">
      <c r="B7307" s="11" t="s">
        <v>2599</v>
      </c>
      <c r="C7307" s="17" t="s">
        <v>3690</v>
      </c>
      <c r="D7307" s="2"/>
    </row>
    <row r="7308" spans="1:4" ht="25.5" customHeight="1" x14ac:dyDescent="0.2">
      <c r="B7308" s="11" t="s">
        <v>2600</v>
      </c>
      <c r="C7308" s="17" t="s">
        <v>3723</v>
      </c>
      <c r="D7308" s="2"/>
    </row>
    <row r="7309" spans="1:4" ht="25.5" customHeight="1" x14ac:dyDescent="0.2">
      <c r="B7309" s="11" t="s">
        <v>2601</v>
      </c>
      <c r="C7309" s="17"/>
      <c r="D7309" s="2"/>
    </row>
    <row r="7310" spans="1:4" ht="12.75" customHeight="1" x14ac:dyDescent="0.2">
      <c r="B7310" s="11" t="s">
        <v>16</v>
      </c>
      <c r="C7310" s="17"/>
      <c r="D7310" s="2"/>
    </row>
    <row r="7311" spans="1:4" ht="12.75" customHeight="1" x14ac:dyDescent="0.2">
      <c r="B7311" s="11" t="s">
        <v>13</v>
      </c>
      <c r="C7311" s="17" t="s">
        <v>2644</v>
      </c>
      <c r="D7311" s="2"/>
    </row>
    <row r="7312" spans="1:4" ht="25.5" customHeight="1" x14ac:dyDescent="0.2">
      <c r="B7312" s="11" t="s">
        <v>2603</v>
      </c>
      <c r="C7312" s="17" t="s">
        <v>2971</v>
      </c>
      <c r="D7312" s="2"/>
    </row>
    <row r="7313" spans="1:4" ht="12.75" customHeight="1" x14ac:dyDescent="0.2">
      <c r="B7313" s="11" t="s">
        <v>2605</v>
      </c>
      <c r="C7313" s="17" t="s">
        <v>14</v>
      </c>
      <c r="D7313" s="2"/>
    </row>
    <row r="7314" spans="1:4" ht="12.75" customHeight="1" x14ac:dyDescent="0.2">
      <c r="B7314" s="11" t="s">
        <v>2606</v>
      </c>
      <c r="C7314" s="16" t="s">
        <v>19</v>
      </c>
      <c r="D7314" s="2"/>
    </row>
    <row r="7315" spans="1:4" ht="12.75" customHeight="1" x14ac:dyDescent="0.2">
      <c r="B7315" s="2"/>
      <c r="C7315" s="15"/>
      <c r="D7315" s="2"/>
    </row>
    <row r="7316" spans="1:4" ht="12.75" customHeight="1" x14ac:dyDescent="0.2">
      <c r="B7316" s="2"/>
      <c r="C7316" s="15"/>
      <c r="D7316" s="2"/>
    </row>
    <row r="7317" spans="1:4" ht="12.75" customHeight="1" x14ac:dyDescent="0.2">
      <c r="A7317" s="13" t="s">
        <v>3627</v>
      </c>
      <c r="C7317" s="12"/>
      <c r="D7317" s="2"/>
    </row>
    <row r="7318" spans="1:4" ht="12.75" customHeight="1" x14ac:dyDescent="0.2">
      <c r="A7318" s="11"/>
      <c r="B7318" s="2"/>
      <c r="C7318" s="15"/>
      <c r="D7318" s="2"/>
    </row>
    <row r="7319" spans="1:4" ht="12.75" customHeight="1" x14ac:dyDescent="0.2">
      <c r="B7319" s="11" t="s">
        <v>0</v>
      </c>
      <c r="C7319" s="17" t="s">
        <v>204</v>
      </c>
      <c r="D7319" s="2"/>
    </row>
    <row r="7320" spans="1:4" ht="12.75" customHeight="1" x14ac:dyDescent="0.2">
      <c r="B7320" s="11" t="s">
        <v>2599</v>
      </c>
      <c r="C7320" s="17" t="s">
        <v>1120</v>
      </c>
      <c r="D7320" s="2"/>
    </row>
    <row r="7321" spans="1:4" ht="25.5" customHeight="1" x14ac:dyDescent="0.2">
      <c r="B7321" s="11" t="s">
        <v>2600</v>
      </c>
      <c r="C7321" s="17" t="s">
        <v>3724</v>
      </c>
      <c r="D7321" s="2"/>
    </row>
    <row r="7322" spans="1:4" ht="25.5" customHeight="1" x14ac:dyDescent="0.2">
      <c r="B7322" s="11" t="s">
        <v>2601</v>
      </c>
      <c r="C7322" s="17"/>
      <c r="D7322" s="2"/>
    </row>
    <row r="7323" spans="1:4" ht="12.75" customHeight="1" x14ac:dyDescent="0.2">
      <c r="B7323" s="11" t="s">
        <v>16</v>
      </c>
      <c r="C7323" s="17"/>
      <c r="D7323" s="2"/>
    </row>
    <row r="7324" spans="1:4" ht="12.75" customHeight="1" x14ac:dyDescent="0.2">
      <c r="B7324" s="11" t="s">
        <v>13</v>
      </c>
      <c r="C7324" s="17" t="s">
        <v>2602</v>
      </c>
      <c r="D7324" s="2"/>
    </row>
    <row r="7325" spans="1:4" ht="25.5" customHeight="1" x14ac:dyDescent="0.2">
      <c r="B7325" s="11" t="s">
        <v>2603</v>
      </c>
      <c r="C7325" s="17" t="s">
        <v>2971</v>
      </c>
      <c r="D7325" s="2"/>
    </row>
    <row r="7326" spans="1:4" ht="12.75" customHeight="1" x14ac:dyDescent="0.2">
      <c r="B7326" s="11" t="s">
        <v>2605</v>
      </c>
      <c r="C7326" s="17" t="s">
        <v>14</v>
      </c>
      <c r="D7326" s="2"/>
    </row>
    <row r="7327" spans="1:4" ht="12.75" customHeight="1" x14ac:dyDescent="0.2">
      <c r="B7327" s="11" t="s">
        <v>2606</v>
      </c>
      <c r="C7327" s="16" t="s">
        <v>19</v>
      </c>
      <c r="D7327" s="2"/>
    </row>
    <row r="7328" spans="1:4" ht="12.75" customHeight="1" x14ac:dyDescent="0.2">
      <c r="B7328" s="2"/>
      <c r="C7328" s="15"/>
      <c r="D7328" s="2"/>
    </row>
    <row r="7329" spans="1:4" ht="12.75" customHeight="1" x14ac:dyDescent="0.2">
      <c r="B7329" s="2"/>
      <c r="C7329" s="15"/>
      <c r="D7329" s="2"/>
    </row>
    <row r="7330" spans="1:4" ht="12.75" customHeight="1" x14ac:dyDescent="0.2">
      <c r="A7330" s="13" t="s">
        <v>3693</v>
      </c>
      <c r="C7330" s="12"/>
      <c r="D7330" s="2"/>
    </row>
    <row r="7331" spans="1:4" ht="12.75" customHeight="1" x14ac:dyDescent="0.2">
      <c r="A7331" s="11"/>
      <c r="B7331" s="2"/>
      <c r="C7331" s="15"/>
      <c r="D7331" s="2"/>
    </row>
    <row r="7332" spans="1:4" ht="12.75" customHeight="1" x14ac:dyDescent="0.2">
      <c r="B7332" s="11" t="s">
        <v>0</v>
      </c>
      <c r="C7332" s="17" t="s">
        <v>204</v>
      </c>
      <c r="D7332" s="2"/>
    </row>
    <row r="7333" spans="1:4" ht="12.75" customHeight="1" x14ac:dyDescent="0.2">
      <c r="B7333" s="11" t="s">
        <v>2599</v>
      </c>
      <c r="C7333" s="17" t="s">
        <v>2514</v>
      </c>
      <c r="D7333" s="2"/>
    </row>
    <row r="7334" spans="1:4" ht="25.5" customHeight="1" x14ac:dyDescent="0.2">
      <c r="B7334" s="11" t="s">
        <v>2600</v>
      </c>
      <c r="C7334" s="17" t="s">
        <v>3725</v>
      </c>
      <c r="D7334" s="2"/>
    </row>
    <row r="7335" spans="1:4" ht="25.5" customHeight="1" x14ac:dyDescent="0.2">
      <c r="B7335" s="11" t="s">
        <v>2601</v>
      </c>
      <c r="C7335" s="17"/>
      <c r="D7335" s="2"/>
    </row>
    <row r="7336" spans="1:4" ht="12.75" customHeight="1" x14ac:dyDescent="0.2">
      <c r="B7336" s="11" t="s">
        <v>16</v>
      </c>
      <c r="C7336" s="17"/>
      <c r="D7336" s="2"/>
    </row>
    <row r="7337" spans="1:4" ht="12.75" customHeight="1" x14ac:dyDescent="0.2">
      <c r="B7337" s="11" t="s">
        <v>13</v>
      </c>
      <c r="C7337" s="17" t="s">
        <v>2644</v>
      </c>
      <c r="D7337" s="2"/>
    </row>
    <row r="7338" spans="1:4" ht="25.5" customHeight="1" x14ac:dyDescent="0.2">
      <c r="B7338" s="11" t="s">
        <v>2603</v>
      </c>
      <c r="C7338" s="17" t="s">
        <v>2971</v>
      </c>
      <c r="D7338" s="2"/>
    </row>
    <row r="7339" spans="1:4" ht="12.75" customHeight="1" x14ac:dyDescent="0.2">
      <c r="B7339" s="11" t="s">
        <v>2605</v>
      </c>
      <c r="C7339" s="17" t="s">
        <v>14</v>
      </c>
      <c r="D7339" s="2"/>
    </row>
    <row r="7340" spans="1:4" ht="12.75" customHeight="1" x14ac:dyDescent="0.2">
      <c r="B7340" s="11" t="s">
        <v>2606</v>
      </c>
      <c r="C7340" s="16" t="s">
        <v>19</v>
      </c>
      <c r="D7340" s="2"/>
    </row>
    <row r="7341" spans="1:4" ht="12.75" customHeight="1" x14ac:dyDescent="0.2">
      <c r="B7341" s="2"/>
      <c r="C7341" s="15"/>
      <c r="D7341" s="2"/>
    </row>
    <row r="7342" spans="1:4" ht="12.75" customHeight="1" x14ac:dyDescent="0.2">
      <c r="B7342" s="2"/>
      <c r="C7342" s="15"/>
      <c r="D7342" s="2"/>
    </row>
    <row r="7343" spans="1:4" ht="12.75" customHeight="1" x14ac:dyDescent="0.2">
      <c r="A7343" s="13" t="s">
        <v>3601</v>
      </c>
      <c r="C7343" s="12"/>
      <c r="D7343" s="2"/>
    </row>
    <row r="7344" spans="1:4" ht="12.75" customHeight="1" x14ac:dyDescent="0.2">
      <c r="A7344" s="11"/>
      <c r="B7344" s="2"/>
      <c r="C7344" s="15"/>
      <c r="D7344" s="2"/>
    </row>
    <row r="7345" spans="1:4" ht="12.75" customHeight="1" x14ac:dyDescent="0.2">
      <c r="B7345" s="11" t="s">
        <v>0</v>
      </c>
      <c r="C7345" s="17" t="s">
        <v>204</v>
      </c>
      <c r="D7345" s="2"/>
    </row>
    <row r="7346" spans="1:4" ht="12.75" customHeight="1" x14ac:dyDescent="0.2">
      <c r="B7346" s="11" t="s">
        <v>2599</v>
      </c>
      <c r="C7346" s="17" t="s">
        <v>3602</v>
      </c>
      <c r="D7346" s="2"/>
    </row>
    <row r="7347" spans="1:4" ht="25.5" customHeight="1" x14ac:dyDescent="0.2">
      <c r="B7347" s="11" t="s">
        <v>2600</v>
      </c>
      <c r="C7347" s="17" t="s">
        <v>3726</v>
      </c>
      <c r="D7347" s="2"/>
    </row>
    <row r="7348" spans="1:4" ht="25.5" customHeight="1" x14ac:dyDescent="0.2">
      <c r="B7348" s="11" t="s">
        <v>2601</v>
      </c>
      <c r="C7348" s="17"/>
      <c r="D7348" s="2"/>
    </row>
    <row r="7349" spans="1:4" ht="12.75" customHeight="1" x14ac:dyDescent="0.2">
      <c r="B7349" s="11" t="s">
        <v>16</v>
      </c>
      <c r="C7349" s="17"/>
      <c r="D7349" s="2"/>
    </row>
    <row r="7350" spans="1:4" ht="12.75" customHeight="1" x14ac:dyDescent="0.2">
      <c r="B7350" s="11" t="s">
        <v>13</v>
      </c>
      <c r="C7350" s="17" t="s">
        <v>2602</v>
      </c>
      <c r="D7350" s="2"/>
    </row>
    <row r="7351" spans="1:4" ht="25.5" customHeight="1" x14ac:dyDescent="0.2">
      <c r="B7351" s="11" t="s">
        <v>2603</v>
      </c>
      <c r="C7351" s="17" t="s">
        <v>2971</v>
      </c>
      <c r="D7351" s="2"/>
    </row>
    <row r="7352" spans="1:4" ht="12.75" customHeight="1" x14ac:dyDescent="0.2">
      <c r="B7352" s="11" t="s">
        <v>2605</v>
      </c>
      <c r="C7352" s="17" t="s">
        <v>14</v>
      </c>
      <c r="D7352" s="2"/>
    </row>
    <row r="7353" spans="1:4" ht="12.75" customHeight="1" x14ac:dyDescent="0.2">
      <c r="B7353" s="11" t="s">
        <v>2606</v>
      </c>
      <c r="C7353" s="16" t="s">
        <v>19</v>
      </c>
      <c r="D7353" s="2"/>
    </row>
    <row r="7354" spans="1:4" ht="12.75" customHeight="1" x14ac:dyDescent="0.2">
      <c r="B7354" s="2"/>
      <c r="C7354" s="15"/>
      <c r="D7354" s="2"/>
    </row>
    <row r="7355" spans="1:4" ht="12.75" customHeight="1" x14ac:dyDescent="0.2">
      <c r="B7355" s="2"/>
      <c r="C7355" s="15"/>
      <c r="D7355" s="2"/>
    </row>
    <row r="7356" spans="1:4" ht="12.75" customHeight="1" x14ac:dyDescent="0.2">
      <c r="A7356" s="13" t="s">
        <v>3696</v>
      </c>
      <c r="C7356" s="12"/>
      <c r="D7356" s="2"/>
    </row>
    <row r="7357" spans="1:4" ht="12.75" customHeight="1" x14ac:dyDescent="0.2">
      <c r="A7357" s="11"/>
      <c r="B7357" s="2"/>
      <c r="C7357" s="15"/>
      <c r="D7357" s="2"/>
    </row>
    <row r="7358" spans="1:4" ht="12.75" customHeight="1" x14ac:dyDescent="0.2">
      <c r="B7358" s="11" t="s">
        <v>0</v>
      </c>
      <c r="C7358" s="17" t="s">
        <v>204</v>
      </c>
      <c r="D7358" s="2"/>
    </row>
    <row r="7359" spans="1:4" ht="12.75" customHeight="1" x14ac:dyDescent="0.2">
      <c r="B7359" s="11" t="s">
        <v>2599</v>
      </c>
      <c r="C7359" s="17" t="s">
        <v>3697</v>
      </c>
      <c r="D7359" s="2"/>
    </row>
    <row r="7360" spans="1:4" ht="25.5" customHeight="1" x14ac:dyDescent="0.2">
      <c r="B7360" s="11" t="s">
        <v>2600</v>
      </c>
      <c r="C7360" s="17" t="s">
        <v>3727</v>
      </c>
      <c r="D7360" s="2"/>
    </row>
    <row r="7361" spans="1:4" ht="25.5" customHeight="1" x14ac:dyDescent="0.2">
      <c r="B7361" s="11" t="s">
        <v>2601</v>
      </c>
      <c r="C7361" s="17"/>
      <c r="D7361" s="2"/>
    </row>
    <row r="7362" spans="1:4" ht="12.75" customHeight="1" x14ac:dyDescent="0.2">
      <c r="B7362" s="11" t="s">
        <v>16</v>
      </c>
      <c r="C7362" s="17"/>
      <c r="D7362" s="2"/>
    </row>
    <row r="7363" spans="1:4" ht="12.75" customHeight="1" x14ac:dyDescent="0.2">
      <c r="B7363" s="11" t="s">
        <v>13</v>
      </c>
      <c r="C7363" s="17" t="s">
        <v>2602</v>
      </c>
      <c r="D7363" s="2"/>
    </row>
    <row r="7364" spans="1:4" ht="25.5" customHeight="1" x14ac:dyDescent="0.2">
      <c r="B7364" s="11" t="s">
        <v>2603</v>
      </c>
      <c r="C7364" s="17" t="s">
        <v>2971</v>
      </c>
      <c r="D7364" s="2"/>
    </row>
    <row r="7365" spans="1:4" ht="12.75" customHeight="1" x14ac:dyDescent="0.2">
      <c r="B7365" s="11" t="s">
        <v>2605</v>
      </c>
      <c r="C7365" s="17" t="s">
        <v>14</v>
      </c>
      <c r="D7365" s="2"/>
    </row>
    <row r="7366" spans="1:4" ht="12.75" customHeight="1" x14ac:dyDescent="0.2">
      <c r="B7366" s="11" t="s">
        <v>2606</v>
      </c>
      <c r="C7366" s="16" t="s">
        <v>19</v>
      </c>
      <c r="D7366" s="2"/>
    </row>
    <row r="7367" spans="1:4" ht="12.75" customHeight="1" x14ac:dyDescent="0.2">
      <c r="B7367" s="2"/>
      <c r="C7367" s="15"/>
      <c r="D7367" s="2"/>
    </row>
    <row r="7368" spans="1:4" ht="12.75" customHeight="1" x14ac:dyDescent="0.2">
      <c r="B7368" s="2"/>
      <c r="C7368" s="15"/>
      <c r="D7368" s="2"/>
    </row>
    <row r="7369" spans="1:4" ht="12.75" customHeight="1" x14ac:dyDescent="0.2">
      <c r="A7369" s="13" t="s">
        <v>3699</v>
      </c>
      <c r="C7369" s="12"/>
      <c r="D7369" s="2"/>
    </row>
    <row r="7370" spans="1:4" ht="12.75" customHeight="1" x14ac:dyDescent="0.2">
      <c r="A7370" s="11"/>
      <c r="B7370" s="2"/>
      <c r="C7370" s="15"/>
      <c r="D7370" s="2"/>
    </row>
    <row r="7371" spans="1:4" ht="12.75" customHeight="1" x14ac:dyDescent="0.2">
      <c r="B7371" s="11" t="s">
        <v>0</v>
      </c>
      <c r="C7371" s="17" t="s">
        <v>204</v>
      </c>
      <c r="D7371" s="2"/>
    </row>
    <row r="7372" spans="1:4" ht="12.75" customHeight="1" x14ac:dyDescent="0.2">
      <c r="B7372" s="11" t="s">
        <v>2599</v>
      </c>
      <c r="C7372" s="17" t="s">
        <v>3690</v>
      </c>
      <c r="D7372" s="2"/>
    </row>
    <row r="7373" spans="1:4" ht="25.5" customHeight="1" x14ac:dyDescent="0.2">
      <c r="B7373" s="11" t="s">
        <v>2600</v>
      </c>
      <c r="C7373" s="17" t="s">
        <v>3728</v>
      </c>
      <c r="D7373" s="2"/>
    </row>
    <row r="7374" spans="1:4" ht="25.5" customHeight="1" x14ac:dyDescent="0.2">
      <c r="B7374" s="11" t="s">
        <v>2601</v>
      </c>
      <c r="C7374" s="17"/>
      <c r="D7374" s="2"/>
    </row>
    <row r="7375" spans="1:4" ht="12.75" customHeight="1" x14ac:dyDescent="0.2">
      <c r="B7375" s="11" t="s">
        <v>16</v>
      </c>
      <c r="C7375" s="17"/>
      <c r="D7375" s="2"/>
    </row>
    <row r="7376" spans="1:4" ht="12.75" customHeight="1" x14ac:dyDescent="0.2">
      <c r="B7376" s="11" t="s">
        <v>13</v>
      </c>
      <c r="C7376" s="17" t="s">
        <v>2644</v>
      </c>
      <c r="D7376" s="2"/>
    </row>
    <row r="7377" spans="1:4" ht="25.5" customHeight="1" x14ac:dyDescent="0.2">
      <c r="B7377" s="11" t="s">
        <v>2603</v>
      </c>
      <c r="C7377" s="17" t="s">
        <v>2971</v>
      </c>
      <c r="D7377" s="2"/>
    </row>
    <row r="7378" spans="1:4" ht="12.75" customHeight="1" x14ac:dyDescent="0.2">
      <c r="B7378" s="11" t="s">
        <v>2605</v>
      </c>
      <c r="C7378" s="17" t="s">
        <v>14</v>
      </c>
      <c r="D7378" s="2"/>
    </row>
    <row r="7379" spans="1:4" ht="12.75" customHeight="1" x14ac:dyDescent="0.2">
      <c r="B7379" s="11" t="s">
        <v>2606</v>
      </c>
      <c r="C7379" s="16" t="s">
        <v>19</v>
      </c>
      <c r="D7379" s="2"/>
    </row>
    <row r="7380" spans="1:4" ht="12.75" customHeight="1" x14ac:dyDescent="0.2">
      <c r="B7380" s="2"/>
      <c r="C7380" s="15"/>
      <c r="D7380" s="2"/>
    </row>
    <row r="7381" spans="1:4" ht="12.75" customHeight="1" x14ac:dyDescent="0.2">
      <c r="B7381" s="2"/>
      <c r="C7381" s="15"/>
      <c r="D7381" s="2"/>
    </row>
    <row r="7382" spans="1:4" ht="12.75" customHeight="1" x14ac:dyDescent="0.2">
      <c r="A7382" s="13" t="s">
        <v>3729</v>
      </c>
      <c r="C7382" s="12"/>
    </row>
    <row r="7383" spans="1:4" ht="12.75" customHeight="1" x14ac:dyDescent="0.2">
      <c r="A7383" s="11"/>
      <c r="B7383" s="2"/>
      <c r="C7383" s="15"/>
      <c r="D7383" s="2"/>
    </row>
    <row r="7384" spans="1:4" ht="12.75" customHeight="1" x14ac:dyDescent="0.2">
      <c r="B7384" s="11" t="s">
        <v>0</v>
      </c>
      <c r="C7384" s="11" t="s">
        <v>204</v>
      </c>
    </row>
    <row r="7385" spans="1:4" ht="12.75" customHeight="1" x14ac:dyDescent="0.2">
      <c r="B7385" s="11" t="s">
        <v>2599</v>
      </c>
      <c r="C7385" s="11" t="s">
        <v>3730</v>
      </c>
    </row>
    <row r="7386" spans="1:4" ht="25.5" customHeight="1" x14ac:dyDescent="0.2">
      <c r="B7386" s="11" t="s">
        <v>2600</v>
      </c>
      <c r="C7386" s="11" t="s">
        <v>3731</v>
      </c>
    </row>
    <row r="7387" spans="1:4" ht="25.5" customHeight="1" x14ac:dyDescent="0.2">
      <c r="B7387" s="11" t="s">
        <v>2601</v>
      </c>
      <c r="C7387" s="11"/>
    </row>
    <row r="7388" spans="1:4" ht="12.75" customHeight="1" x14ac:dyDescent="0.2">
      <c r="B7388" s="11" t="s">
        <v>16</v>
      </c>
      <c r="C7388" s="11"/>
    </row>
    <row r="7389" spans="1:4" ht="12.75" customHeight="1" x14ac:dyDescent="0.2">
      <c r="B7389" s="11" t="s">
        <v>13</v>
      </c>
      <c r="C7389" s="11" t="s">
        <v>2644</v>
      </c>
    </row>
    <row r="7390" spans="1:4" ht="12.75" customHeight="1" x14ac:dyDescent="0.2">
      <c r="B7390" s="11" t="s">
        <v>2603</v>
      </c>
      <c r="C7390" s="11" t="s">
        <v>2604</v>
      </c>
    </row>
    <row r="7391" spans="1:4" ht="12.75" customHeight="1" x14ac:dyDescent="0.2">
      <c r="B7391" s="11" t="s">
        <v>2605</v>
      </c>
      <c r="C7391" s="11" t="s">
        <v>24</v>
      </c>
    </row>
    <row r="7392" spans="1:4" ht="12.75" customHeight="1" x14ac:dyDescent="0.2">
      <c r="B7392" s="11" t="s">
        <v>2606</v>
      </c>
      <c r="C7392" s="16" t="s">
        <v>44</v>
      </c>
      <c r="D7392" s="6" t="str">
        <f>HYPERLINK("javascript:void(0)","hordócsap")</f>
        <v>hordócsap</v>
      </c>
    </row>
    <row r="7393" spans="1:4" ht="12.75" customHeight="1" x14ac:dyDescent="0.2">
      <c r="B7393" s="2"/>
      <c r="C7393" s="15"/>
      <c r="D7393" s="2"/>
    </row>
    <row r="7394" spans="1:4" ht="12.75" customHeight="1" x14ac:dyDescent="0.2">
      <c r="B7394" s="2"/>
      <c r="C7394" s="15"/>
      <c r="D7394" s="2"/>
    </row>
    <row r="7395" spans="1:4" ht="12.75" customHeight="1" x14ac:dyDescent="0.2">
      <c r="A7395" s="13" t="s">
        <v>3732</v>
      </c>
      <c r="C7395" s="12"/>
    </row>
    <row r="7396" spans="1:4" ht="12.75" customHeight="1" x14ac:dyDescent="0.2">
      <c r="A7396" s="11"/>
      <c r="B7396" s="2"/>
      <c r="C7396" s="15"/>
      <c r="D7396" s="2"/>
    </row>
    <row r="7397" spans="1:4" ht="12.75" customHeight="1" x14ac:dyDescent="0.2">
      <c r="B7397" s="11" t="s">
        <v>0</v>
      </c>
      <c r="C7397" s="11" t="s">
        <v>204</v>
      </c>
    </row>
    <row r="7398" spans="1:4" ht="12.75" customHeight="1" x14ac:dyDescent="0.2">
      <c r="B7398" s="11" t="s">
        <v>2599</v>
      </c>
      <c r="C7398" s="11" t="s">
        <v>3733</v>
      </c>
    </row>
    <row r="7399" spans="1:4" ht="25.5" customHeight="1" x14ac:dyDescent="0.2">
      <c r="B7399" s="11" t="s">
        <v>2600</v>
      </c>
      <c r="C7399" s="11" t="s">
        <v>3734</v>
      </c>
    </row>
    <row r="7400" spans="1:4" ht="25.5" customHeight="1" x14ac:dyDescent="0.2">
      <c r="B7400" s="11" t="s">
        <v>2601</v>
      </c>
      <c r="C7400" s="11"/>
    </row>
    <row r="7401" spans="1:4" ht="12.75" customHeight="1" x14ac:dyDescent="0.2">
      <c r="B7401" s="11" t="s">
        <v>16</v>
      </c>
      <c r="C7401" s="11"/>
    </row>
    <row r="7402" spans="1:4" ht="12.75" customHeight="1" x14ac:dyDescent="0.2">
      <c r="B7402" s="11" t="s">
        <v>13</v>
      </c>
      <c r="C7402" s="11" t="s">
        <v>2644</v>
      </c>
    </row>
    <row r="7403" spans="1:4" ht="12.75" customHeight="1" x14ac:dyDescent="0.2">
      <c r="B7403" s="11" t="s">
        <v>2603</v>
      </c>
      <c r="C7403" s="11" t="s">
        <v>2604</v>
      </c>
    </row>
    <row r="7404" spans="1:4" ht="12.75" customHeight="1" x14ac:dyDescent="0.2">
      <c r="B7404" s="11" t="s">
        <v>2605</v>
      </c>
      <c r="C7404" s="11" t="s">
        <v>24</v>
      </c>
    </row>
    <row r="7405" spans="1:4" ht="12.75" customHeight="1" x14ac:dyDescent="0.2">
      <c r="B7405" s="11" t="s">
        <v>2606</v>
      </c>
      <c r="C7405" s="16" t="s">
        <v>789</v>
      </c>
      <c r="D7405" s="6" t="str">
        <f>HYPERLINK("javascript:void(0)","ezüst")</f>
        <v>ezüst</v>
      </c>
    </row>
    <row r="7406" spans="1:4" ht="25.5" customHeight="1" x14ac:dyDescent="0.2">
      <c r="C7406" s="16" t="s">
        <v>56</v>
      </c>
      <c r="D7406" s="6" t="str">
        <f>HYPERLINK("javascript:void(0)","elementál eszencia")</f>
        <v>elementál eszencia</v>
      </c>
    </row>
    <row r="7407" spans="1:4" ht="12.75" customHeight="1" x14ac:dyDescent="0.2">
      <c r="B7407" s="2"/>
      <c r="C7407" s="15"/>
      <c r="D7407" s="2"/>
    </row>
    <row r="7408" spans="1:4" ht="12.75" customHeight="1" x14ac:dyDescent="0.2">
      <c r="B7408" s="2"/>
      <c r="C7408" s="15"/>
      <c r="D7408" s="2"/>
    </row>
    <row r="7409" spans="1:4" ht="12.75" customHeight="1" x14ac:dyDescent="0.2">
      <c r="A7409" s="13" t="s">
        <v>3735</v>
      </c>
      <c r="C7409" s="12"/>
    </row>
    <row r="7410" spans="1:4" ht="12.75" customHeight="1" x14ac:dyDescent="0.2">
      <c r="A7410" s="11"/>
      <c r="B7410" s="2"/>
      <c r="C7410" s="15"/>
      <c r="D7410" s="2"/>
    </row>
    <row r="7411" spans="1:4" ht="12.75" customHeight="1" x14ac:dyDescent="0.2">
      <c r="B7411" s="11" t="s">
        <v>0</v>
      </c>
      <c r="C7411" s="11" t="s">
        <v>204</v>
      </c>
    </row>
    <row r="7412" spans="1:4" ht="12.75" customHeight="1" x14ac:dyDescent="0.2">
      <c r="B7412" s="11" t="s">
        <v>2599</v>
      </c>
      <c r="C7412" s="11" t="s">
        <v>3736</v>
      </c>
    </row>
    <row r="7413" spans="1:4" ht="25.5" customHeight="1" x14ac:dyDescent="0.2">
      <c r="B7413" s="11" t="s">
        <v>2600</v>
      </c>
      <c r="C7413" s="11" t="s">
        <v>3737</v>
      </c>
    </row>
    <row r="7414" spans="1:4" ht="25.5" customHeight="1" x14ac:dyDescent="0.2">
      <c r="B7414" s="11" t="s">
        <v>2601</v>
      </c>
      <c r="C7414" s="11"/>
    </row>
    <row r="7415" spans="1:4" ht="12.75" customHeight="1" x14ac:dyDescent="0.2">
      <c r="B7415" s="11" t="s">
        <v>16</v>
      </c>
      <c r="C7415" s="11"/>
    </row>
    <row r="7416" spans="1:4" ht="12.75" customHeight="1" x14ac:dyDescent="0.2">
      <c r="B7416" s="11" t="s">
        <v>13</v>
      </c>
      <c r="C7416" s="11" t="s">
        <v>2644</v>
      </c>
    </row>
    <row r="7417" spans="1:4" ht="12.75" customHeight="1" x14ac:dyDescent="0.2">
      <c r="B7417" s="11" t="s">
        <v>2603</v>
      </c>
      <c r="C7417" s="11" t="s">
        <v>2604</v>
      </c>
    </row>
    <row r="7418" spans="1:4" ht="12.75" customHeight="1" x14ac:dyDescent="0.2">
      <c r="B7418" s="11" t="s">
        <v>2605</v>
      </c>
      <c r="C7418" s="11" t="s">
        <v>24</v>
      </c>
    </row>
    <row r="7419" spans="1:4" ht="25.5" customHeight="1" x14ac:dyDescent="0.2">
      <c r="B7419" s="11" t="s">
        <v>2606</v>
      </c>
      <c r="C7419" s="16" t="s">
        <v>56</v>
      </c>
      <c r="D7419" s="6" t="str">
        <f>HYPERLINK("javascript:void(0)","démonzanza")</f>
        <v>démonzanza</v>
      </c>
    </row>
    <row r="7420" spans="1:4" ht="12.75" customHeight="1" x14ac:dyDescent="0.2">
      <c r="B7420" s="2"/>
      <c r="C7420" s="15"/>
      <c r="D7420" s="2"/>
    </row>
    <row r="7421" spans="1:4" ht="12.75" customHeight="1" x14ac:dyDescent="0.2">
      <c r="B7421" s="2"/>
      <c r="C7421" s="15"/>
      <c r="D7421" s="2"/>
    </row>
    <row r="7422" spans="1:4" ht="12.75" customHeight="1" x14ac:dyDescent="0.2">
      <c r="A7422" s="13" t="s">
        <v>3738</v>
      </c>
      <c r="C7422" s="12"/>
    </row>
    <row r="7423" spans="1:4" ht="12.75" customHeight="1" x14ac:dyDescent="0.2">
      <c r="A7423" s="11"/>
      <c r="B7423" s="2"/>
      <c r="C7423" s="15"/>
      <c r="D7423" s="2"/>
    </row>
    <row r="7424" spans="1:4" ht="12.75" customHeight="1" x14ac:dyDescent="0.2">
      <c r="B7424" s="11" t="s">
        <v>0</v>
      </c>
      <c r="C7424" s="11" t="s">
        <v>204</v>
      </c>
    </row>
    <row r="7425" spans="1:4" ht="12.75" customHeight="1" x14ac:dyDescent="0.2">
      <c r="B7425" s="11" t="s">
        <v>2599</v>
      </c>
      <c r="C7425" s="11" t="s">
        <v>3739</v>
      </c>
    </row>
    <row r="7426" spans="1:4" ht="25.5" customHeight="1" x14ac:dyDescent="0.2">
      <c r="B7426" s="11" t="s">
        <v>2600</v>
      </c>
      <c r="C7426" s="11" t="s">
        <v>3740</v>
      </c>
    </row>
    <row r="7427" spans="1:4" ht="25.5" customHeight="1" x14ac:dyDescent="0.2">
      <c r="B7427" s="11" t="s">
        <v>2601</v>
      </c>
      <c r="C7427" s="11"/>
    </row>
    <row r="7428" spans="1:4" ht="12.75" customHeight="1" x14ac:dyDescent="0.2">
      <c r="B7428" s="11" t="s">
        <v>16</v>
      </c>
      <c r="C7428" s="11"/>
    </row>
    <row r="7429" spans="1:4" ht="12.75" customHeight="1" x14ac:dyDescent="0.2">
      <c r="B7429" s="11" t="s">
        <v>13</v>
      </c>
      <c r="C7429" s="11" t="s">
        <v>2602</v>
      </c>
    </row>
    <row r="7430" spans="1:4" ht="12.75" customHeight="1" x14ac:dyDescent="0.2">
      <c r="B7430" s="11" t="s">
        <v>2603</v>
      </c>
      <c r="C7430" s="11" t="s">
        <v>2604</v>
      </c>
    </row>
    <row r="7431" spans="1:4" ht="12.75" customHeight="1" x14ac:dyDescent="0.2">
      <c r="B7431" s="11" t="s">
        <v>2605</v>
      </c>
      <c r="C7431" s="11" t="s">
        <v>24</v>
      </c>
    </row>
    <row r="7432" spans="1:4" ht="12.75" customHeight="1" x14ac:dyDescent="0.2">
      <c r="B7432" s="11" t="s">
        <v>2606</v>
      </c>
      <c r="C7432" s="16" t="s">
        <v>44</v>
      </c>
      <c r="D7432" s="6" t="str">
        <f>HYPERLINK("javascript:void(0)","portgyűrű")</f>
        <v>portgyűrű</v>
      </c>
    </row>
    <row r="7433" spans="1:4" ht="12.75" customHeight="1" x14ac:dyDescent="0.2">
      <c r="B7433" s="2"/>
      <c r="C7433" s="15"/>
      <c r="D7433" s="2"/>
    </row>
    <row r="7434" spans="1:4" ht="12.75" customHeight="1" x14ac:dyDescent="0.2">
      <c r="B7434" s="2"/>
      <c r="C7434" s="15"/>
      <c r="D7434" s="2"/>
    </row>
    <row r="7435" spans="1:4" ht="12.75" customHeight="1" x14ac:dyDescent="0.2">
      <c r="A7435" s="13" t="s">
        <v>3741</v>
      </c>
      <c r="C7435" s="12"/>
    </row>
    <row r="7436" spans="1:4" ht="12.75" customHeight="1" x14ac:dyDescent="0.2">
      <c r="A7436" s="11"/>
      <c r="B7436" s="2"/>
      <c r="C7436" s="15"/>
      <c r="D7436" s="2"/>
    </row>
    <row r="7437" spans="1:4" ht="12.75" customHeight="1" x14ac:dyDescent="0.2">
      <c r="B7437" s="11" t="s">
        <v>0</v>
      </c>
      <c r="C7437" s="11" t="s">
        <v>204</v>
      </c>
    </row>
    <row r="7438" spans="1:4" ht="12.75" customHeight="1" x14ac:dyDescent="0.2">
      <c r="B7438" s="11" t="s">
        <v>2599</v>
      </c>
      <c r="C7438" s="11" t="s">
        <v>3742</v>
      </c>
    </row>
    <row r="7439" spans="1:4" ht="25.5" customHeight="1" x14ac:dyDescent="0.2">
      <c r="B7439" s="11" t="s">
        <v>2600</v>
      </c>
      <c r="C7439" s="11" t="s">
        <v>3743</v>
      </c>
    </row>
    <row r="7440" spans="1:4" ht="25.5" customHeight="1" x14ac:dyDescent="0.2">
      <c r="B7440" s="11" t="s">
        <v>2601</v>
      </c>
      <c r="C7440" s="11"/>
    </row>
    <row r="7441" spans="1:4" ht="12.75" customHeight="1" x14ac:dyDescent="0.2">
      <c r="B7441" s="11" t="s">
        <v>16</v>
      </c>
      <c r="C7441" s="11"/>
    </row>
    <row r="7442" spans="1:4" ht="12.75" customHeight="1" x14ac:dyDescent="0.2">
      <c r="B7442" s="11" t="s">
        <v>13</v>
      </c>
      <c r="C7442" s="11" t="s">
        <v>2644</v>
      </c>
    </row>
    <row r="7443" spans="1:4" ht="12.75" customHeight="1" x14ac:dyDescent="0.2">
      <c r="B7443" s="11" t="s">
        <v>2603</v>
      </c>
      <c r="C7443" s="11" t="s">
        <v>2604</v>
      </c>
    </row>
    <row r="7444" spans="1:4" ht="12.75" customHeight="1" x14ac:dyDescent="0.2">
      <c r="B7444" s="11" t="s">
        <v>2605</v>
      </c>
      <c r="C7444" s="11" t="s">
        <v>24</v>
      </c>
    </row>
    <row r="7445" spans="1:4" ht="25.5" customHeight="1" x14ac:dyDescent="0.2">
      <c r="B7445" s="11" t="s">
        <v>2606</v>
      </c>
      <c r="C7445" s="16" t="s">
        <v>44</v>
      </c>
      <c r="D7445" s="6" t="str">
        <f>HYPERLINK("javascript:void(0)","démonzanza")</f>
        <v>démonzanza</v>
      </c>
    </row>
    <row r="7446" spans="1:4" ht="12.75" customHeight="1" x14ac:dyDescent="0.2">
      <c r="C7446" s="16" t="s">
        <v>44</v>
      </c>
      <c r="D7446" s="6" t="str">
        <f>HYPERLINK("javascript:void(0)","csodaflaska")</f>
        <v>csodaflaska</v>
      </c>
    </row>
    <row r="7447" spans="1:4" ht="12.75" customHeight="1" x14ac:dyDescent="0.2">
      <c r="B7447" s="2"/>
      <c r="C7447" s="15"/>
      <c r="D7447" s="2"/>
    </row>
    <row r="7448" spans="1:4" ht="12.75" customHeight="1" x14ac:dyDescent="0.2">
      <c r="B7448" s="2"/>
      <c r="C7448" s="15"/>
      <c r="D7448" s="2"/>
    </row>
    <row r="7449" spans="1:4" ht="12.75" customHeight="1" x14ac:dyDescent="0.2">
      <c r="A7449" s="13" t="s">
        <v>3744</v>
      </c>
      <c r="C7449" s="12"/>
    </row>
    <row r="7450" spans="1:4" ht="12.75" customHeight="1" x14ac:dyDescent="0.2">
      <c r="A7450" s="11"/>
      <c r="B7450" s="2"/>
      <c r="C7450" s="15"/>
      <c r="D7450" s="2"/>
    </row>
    <row r="7451" spans="1:4" ht="12.75" customHeight="1" x14ac:dyDescent="0.2">
      <c r="B7451" s="11" t="s">
        <v>0</v>
      </c>
      <c r="C7451" s="11" t="s">
        <v>204</v>
      </c>
    </row>
    <row r="7452" spans="1:4" ht="12.75" customHeight="1" x14ac:dyDescent="0.2">
      <c r="B7452" s="11" t="s">
        <v>2599</v>
      </c>
      <c r="C7452" s="11" t="s">
        <v>3194</v>
      </c>
    </row>
    <row r="7453" spans="1:4" ht="25.5" customHeight="1" x14ac:dyDescent="0.2">
      <c r="B7453" s="11" t="s">
        <v>2600</v>
      </c>
      <c r="C7453" s="11" t="s">
        <v>3745</v>
      </c>
    </row>
    <row r="7454" spans="1:4" ht="25.5" customHeight="1" x14ac:dyDescent="0.2">
      <c r="B7454" s="11" t="s">
        <v>2601</v>
      </c>
      <c r="C7454" s="11"/>
    </row>
    <row r="7455" spans="1:4" ht="12.75" customHeight="1" x14ac:dyDescent="0.2">
      <c r="B7455" s="11" t="s">
        <v>16</v>
      </c>
      <c r="C7455" s="11"/>
    </row>
    <row r="7456" spans="1:4" ht="12.75" customHeight="1" x14ac:dyDescent="0.2">
      <c r="B7456" s="11" t="s">
        <v>13</v>
      </c>
      <c r="C7456" s="11" t="s">
        <v>2602</v>
      </c>
    </row>
    <row r="7457" spans="1:4" ht="12.75" customHeight="1" x14ac:dyDescent="0.2">
      <c r="B7457" s="11" t="s">
        <v>2603</v>
      </c>
      <c r="C7457" s="11" t="s">
        <v>2604</v>
      </c>
    </row>
    <row r="7458" spans="1:4" ht="12.75" customHeight="1" x14ac:dyDescent="0.2">
      <c r="B7458" s="11" t="s">
        <v>2605</v>
      </c>
      <c r="C7458" s="11" t="s">
        <v>24</v>
      </c>
    </row>
    <row r="7459" spans="1:4" ht="12.75" customHeight="1" x14ac:dyDescent="0.2">
      <c r="B7459" s="11" t="s">
        <v>2606</v>
      </c>
      <c r="C7459" s="16" t="s">
        <v>44</v>
      </c>
      <c r="D7459" s="6" t="str">
        <f>HYPERLINK("javascript:void(0)","hemoglobin")</f>
        <v>hemoglobin</v>
      </c>
    </row>
    <row r="7460" spans="1:4" ht="12.75" customHeight="1" x14ac:dyDescent="0.2">
      <c r="B7460" s="2"/>
      <c r="C7460" s="15"/>
      <c r="D7460" s="2"/>
    </row>
    <row r="7461" spans="1:4" ht="12.75" customHeight="1" x14ac:dyDescent="0.2">
      <c r="B7461" s="2"/>
      <c r="C7461" s="15"/>
      <c r="D7461" s="2"/>
    </row>
    <row r="7462" spans="1:4" ht="12.75" customHeight="1" x14ac:dyDescent="0.2">
      <c r="A7462" s="13" t="s">
        <v>3746</v>
      </c>
      <c r="C7462" s="12"/>
    </row>
    <row r="7463" spans="1:4" ht="12.75" customHeight="1" x14ac:dyDescent="0.2">
      <c r="A7463" s="11"/>
      <c r="B7463" s="2"/>
      <c r="C7463" s="15"/>
      <c r="D7463" s="2"/>
    </row>
    <row r="7464" spans="1:4" ht="12.75" customHeight="1" x14ac:dyDescent="0.2">
      <c r="B7464" s="11" t="s">
        <v>0</v>
      </c>
      <c r="C7464" s="11" t="s">
        <v>204</v>
      </c>
    </row>
    <row r="7465" spans="1:4" ht="12.75" customHeight="1" x14ac:dyDescent="0.2">
      <c r="B7465" s="11" t="s">
        <v>2599</v>
      </c>
      <c r="C7465" s="11" t="s">
        <v>3545</v>
      </c>
    </row>
    <row r="7466" spans="1:4" ht="25.5" customHeight="1" x14ac:dyDescent="0.2">
      <c r="B7466" s="11" t="s">
        <v>2600</v>
      </c>
      <c r="C7466" s="11" t="s">
        <v>3747</v>
      </c>
    </row>
    <row r="7467" spans="1:4" ht="25.5" customHeight="1" x14ac:dyDescent="0.2">
      <c r="B7467" s="11" t="s">
        <v>2601</v>
      </c>
      <c r="C7467" s="11"/>
    </row>
    <row r="7468" spans="1:4" ht="12.75" customHeight="1" x14ac:dyDescent="0.2">
      <c r="B7468" s="11" t="s">
        <v>16</v>
      </c>
      <c r="C7468" s="11"/>
    </row>
    <row r="7469" spans="1:4" ht="12.75" customHeight="1" x14ac:dyDescent="0.2">
      <c r="B7469" s="11" t="s">
        <v>13</v>
      </c>
      <c r="C7469" s="11" t="s">
        <v>2602</v>
      </c>
    </row>
    <row r="7470" spans="1:4" ht="12.75" customHeight="1" x14ac:dyDescent="0.2">
      <c r="B7470" s="11" t="s">
        <v>2603</v>
      </c>
      <c r="C7470" s="11" t="s">
        <v>2604</v>
      </c>
    </row>
    <row r="7471" spans="1:4" ht="12.75" customHeight="1" x14ac:dyDescent="0.2">
      <c r="B7471" s="11" t="s">
        <v>2605</v>
      </c>
      <c r="C7471" s="11" t="s">
        <v>24</v>
      </c>
    </row>
    <row r="7472" spans="1:4" ht="25.5" customHeight="1" x14ac:dyDescent="0.2">
      <c r="B7472" s="11" t="s">
        <v>2606</v>
      </c>
      <c r="C7472" s="16" t="s">
        <v>44</v>
      </c>
      <c r="D7472" s="6" t="str">
        <f>HYPERLINK("javascript:void(0)","démonzanza")</f>
        <v>démonzanza</v>
      </c>
    </row>
    <row r="7473" spans="1:4" ht="12.75" customHeight="1" x14ac:dyDescent="0.2">
      <c r="B7473" s="2"/>
      <c r="C7473" s="15"/>
      <c r="D7473" s="2"/>
    </row>
    <row r="7474" spans="1:4" ht="12.75" customHeight="1" x14ac:dyDescent="0.2">
      <c r="B7474" s="2"/>
      <c r="C7474" s="15"/>
      <c r="D7474" s="2"/>
    </row>
    <row r="7475" spans="1:4" ht="12.75" customHeight="1" x14ac:dyDescent="0.2">
      <c r="A7475" s="13" t="s">
        <v>3748</v>
      </c>
      <c r="C7475" s="12"/>
    </row>
    <row r="7476" spans="1:4" ht="12.75" customHeight="1" x14ac:dyDescent="0.2">
      <c r="A7476" s="11"/>
      <c r="B7476" s="2"/>
      <c r="C7476" s="15"/>
      <c r="D7476" s="2"/>
    </row>
    <row r="7477" spans="1:4" ht="12.75" customHeight="1" x14ac:dyDescent="0.2">
      <c r="B7477" s="11" t="s">
        <v>0</v>
      </c>
      <c r="C7477" s="11" t="s">
        <v>204</v>
      </c>
    </row>
    <row r="7478" spans="1:4" ht="12.75" customHeight="1" x14ac:dyDescent="0.2">
      <c r="B7478" s="11" t="s">
        <v>2599</v>
      </c>
      <c r="C7478" s="11" t="s">
        <v>2154</v>
      </c>
    </row>
    <row r="7479" spans="1:4" ht="25.5" customHeight="1" x14ac:dyDescent="0.2">
      <c r="B7479" s="11" t="s">
        <v>2600</v>
      </c>
      <c r="C7479" s="11" t="s">
        <v>3749</v>
      </c>
    </row>
    <row r="7480" spans="1:4" ht="25.5" customHeight="1" x14ac:dyDescent="0.2">
      <c r="B7480" s="11" t="s">
        <v>2601</v>
      </c>
      <c r="C7480" s="11"/>
    </row>
    <row r="7481" spans="1:4" ht="12.75" customHeight="1" x14ac:dyDescent="0.2">
      <c r="B7481" s="11" t="s">
        <v>16</v>
      </c>
      <c r="C7481" s="11"/>
    </row>
    <row r="7482" spans="1:4" ht="12.75" customHeight="1" x14ac:dyDescent="0.2">
      <c r="B7482" s="11" t="s">
        <v>13</v>
      </c>
      <c r="C7482" s="11" t="s">
        <v>2602</v>
      </c>
    </row>
    <row r="7483" spans="1:4" ht="12.75" customHeight="1" x14ac:dyDescent="0.2">
      <c r="B7483" s="11" t="s">
        <v>2603</v>
      </c>
      <c r="C7483" s="11" t="s">
        <v>2604</v>
      </c>
    </row>
    <row r="7484" spans="1:4" ht="12.75" customHeight="1" x14ac:dyDescent="0.2">
      <c r="B7484" s="11" t="s">
        <v>2605</v>
      </c>
      <c r="C7484" s="11" t="s">
        <v>24</v>
      </c>
    </row>
    <row r="7485" spans="1:4" ht="25.5" customHeight="1" x14ac:dyDescent="0.2">
      <c r="B7485" s="11" t="s">
        <v>2606</v>
      </c>
      <c r="C7485" s="16" t="s">
        <v>44</v>
      </c>
      <c r="D7485" s="6" t="str">
        <f>HYPERLINK("javascript:void(0)","démonzanza")</f>
        <v>démonzanza</v>
      </c>
    </row>
    <row r="7486" spans="1:4" ht="12.75" customHeight="1" x14ac:dyDescent="0.2">
      <c r="B7486" s="2"/>
      <c r="C7486" s="15"/>
      <c r="D7486" s="2"/>
    </row>
    <row r="7487" spans="1:4" ht="12.75" customHeight="1" x14ac:dyDescent="0.2">
      <c r="B7487" s="2"/>
      <c r="C7487" s="15"/>
      <c r="D7487" s="2"/>
    </row>
    <row r="7488" spans="1:4" ht="12.75" customHeight="1" x14ac:dyDescent="0.2">
      <c r="A7488" s="13" t="s">
        <v>3689</v>
      </c>
      <c r="C7488" s="12"/>
      <c r="D7488" s="2"/>
    </row>
    <row r="7489" spans="1:4" ht="12.75" customHeight="1" x14ac:dyDescent="0.2">
      <c r="A7489" s="11"/>
      <c r="B7489" s="2"/>
      <c r="C7489" s="15"/>
      <c r="D7489" s="2"/>
    </row>
    <row r="7490" spans="1:4" ht="12.75" customHeight="1" x14ac:dyDescent="0.2">
      <c r="B7490" s="11" t="s">
        <v>0</v>
      </c>
      <c r="C7490" s="17" t="s">
        <v>468</v>
      </c>
      <c r="D7490" s="2"/>
    </row>
    <row r="7491" spans="1:4" ht="12.75" customHeight="1" x14ac:dyDescent="0.2">
      <c r="B7491" s="11" t="s">
        <v>2599</v>
      </c>
      <c r="C7491" s="17" t="s">
        <v>3690</v>
      </c>
      <c r="D7491" s="2"/>
    </row>
    <row r="7492" spans="1:4" ht="25.5" customHeight="1" x14ac:dyDescent="0.2">
      <c r="B7492" s="11" t="s">
        <v>2600</v>
      </c>
      <c r="C7492" s="17" t="s">
        <v>3750</v>
      </c>
      <c r="D7492" s="2"/>
    </row>
    <row r="7493" spans="1:4" ht="25.5" customHeight="1" x14ac:dyDescent="0.2">
      <c r="B7493" s="11" t="s">
        <v>2601</v>
      </c>
      <c r="C7493" s="17"/>
      <c r="D7493" s="2"/>
    </row>
    <row r="7494" spans="1:4" ht="12.75" customHeight="1" x14ac:dyDescent="0.2">
      <c r="B7494" s="11" t="s">
        <v>16</v>
      </c>
      <c r="C7494" s="17"/>
      <c r="D7494" s="2"/>
    </row>
    <row r="7495" spans="1:4" ht="12.75" customHeight="1" x14ac:dyDescent="0.2">
      <c r="B7495" s="11" t="s">
        <v>13</v>
      </c>
      <c r="C7495" s="17" t="s">
        <v>2644</v>
      </c>
      <c r="D7495" s="2"/>
    </row>
    <row r="7496" spans="1:4" ht="25.5" customHeight="1" x14ac:dyDescent="0.2">
      <c r="B7496" s="11" t="s">
        <v>2603</v>
      </c>
      <c r="C7496" s="17" t="s">
        <v>2971</v>
      </c>
      <c r="D7496" s="2"/>
    </row>
    <row r="7497" spans="1:4" ht="12.75" customHeight="1" x14ac:dyDescent="0.2">
      <c r="B7497" s="11" t="s">
        <v>2605</v>
      </c>
      <c r="C7497" s="17" t="s">
        <v>14</v>
      </c>
      <c r="D7497" s="2"/>
    </row>
    <row r="7498" spans="1:4" ht="12.75" customHeight="1" x14ac:dyDescent="0.2">
      <c r="B7498" s="11" t="s">
        <v>2606</v>
      </c>
      <c r="C7498" s="16" t="s">
        <v>19</v>
      </c>
      <c r="D7498" s="2"/>
    </row>
    <row r="7499" spans="1:4" ht="12.75" customHeight="1" x14ac:dyDescent="0.2">
      <c r="B7499" s="2"/>
      <c r="C7499" s="15"/>
      <c r="D7499" s="2"/>
    </row>
    <row r="7500" spans="1:4" ht="12.75" customHeight="1" x14ac:dyDescent="0.2">
      <c r="B7500" s="2"/>
      <c r="C7500" s="15"/>
      <c r="D7500" s="2"/>
    </row>
    <row r="7501" spans="1:4" ht="12.75" customHeight="1" x14ac:dyDescent="0.2">
      <c r="A7501" s="13" t="s">
        <v>3627</v>
      </c>
      <c r="C7501" s="12"/>
      <c r="D7501" s="2"/>
    </row>
    <row r="7502" spans="1:4" ht="12.75" customHeight="1" x14ac:dyDescent="0.2">
      <c r="A7502" s="11"/>
      <c r="B7502" s="2"/>
      <c r="C7502" s="15"/>
      <c r="D7502" s="2"/>
    </row>
    <row r="7503" spans="1:4" ht="12.75" customHeight="1" x14ac:dyDescent="0.2">
      <c r="B7503" s="11" t="s">
        <v>0</v>
      </c>
      <c r="C7503" s="17" t="s">
        <v>468</v>
      </c>
      <c r="D7503" s="2"/>
    </row>
    <row r="7504" spans="1:4" ht="12.75" customHeight="1" x14ac:dyDescent="0.2">
      <c r="B7504" s="11" t="s">
        <v>2599</v>
      </c>
      <c r="C7504" s="17" t="s">
        <v>1120</v>
      </c>
      <c r="D7504" s="2"/>
    </row>
    <row r="7505" spans="1:4" ht="25.5" customHeight="1" x14ac:dyDescent="0.2">
      <c r="B7505" s="11" t="s">
        <v>2600</v>
      </c>
      <c r="C7505" s="17" t="s">
        <v>3751</v>
      </c>
      <c r="D7505" s="2"/>
    </row>
    <row r="7506" spans="1:4" ht="25.5" customHeight="1" x14ac:dyDescent="0.2">
      <c r="B7506" s="11" t="s">
        <v>2601</v>
      </c>
      <c r="C7506" s="17"/>
      <c r="D7506" s="2"/>
    </row>
    <row r="7507" spans="1:4" ht="12.75" customHeight="1" x14ac:dyDescent="0.2">
      <c r="B7507" s="11" t="s">
        <v>16</v>
      </c>
      <c r="C7507" s="17"/>
      <c r="D7507" s="2"/>
    </row>
    <row r="7508" spans="1:4" ht="12.75" customHeight="1" x14ac:dyDescent="0.2">
      <c r="B7508" s="11" t="s">
        <v>13</v>
      </c>
      <c r="C7508" s="17" t="s">
        <v>2602</v>
      </c>
      <c r="D7508" s="2"/>
    </row>
    <row r="7509" spans="1:4" ht="25.5" customHeight="1" x14ac:dyDescent="0.2">
      <c r="B7509" s="11" t="s">
        <v>2603</v>
      </c>
      <c r="C7509" s="17" t="s">
        <v>2971</v>
      </c>
      <c r="D7509" s="2"/>
    </row>
    <row r="7510" spans="1:4" ht="12.75" customHeight="1" x14ac:dyDescent="0.2">
      <c r="B7510" s="11" t="s">
        <v>2605</v>
      </c>
      <c r="C7510" s="17" t="s">
        <v>14</v>
      </c>
      <c r="D7510" s="2"/>
    </row>
    <row r="7511" spans="1:4" ht="12.75" customHeight="1" x14ac:dyDescent="0.2">
      <c r="B7511" s="11" t="s">
        <v>2606</v>
      </c>
      <c r="C7511" s="16" t="s">
        <v>19</v>
      </c>
      <c r="D7511" s="2"/>
    </row>
    <row r="7512" spans="1:4" ht="12.75" customHeight="1" x14ac:dyDescent="0.2">
      <c r="B7512" s="2"/>
      <c r="C7512" s="15"/>
      <c r="D7512" s="2"/>
    </row>
    <row r="7513" spans="1:4" ht="12.75" customHeight="1" x14ac:dyDescent="0.2">
      <c r="B7513" s="2"/>
      <c r="C7513" s="15"/>
      <c r="D7513" s="2"/>
    </row>
    <row r="7514" spans="1:4" ht="12.75" customHeight="1" x14ac:dyDescent="0.2">
      <c r="A7514" s="13" t="s">
        <v>3693</v>
      </c>
      <c r="C7514" s="12"/>
      <c r="D7514" s="2"/>
    </row>
    <row r="7515" spans="1:4" ht="12.75" customHeight="1" x14ac:dyDescent="0.2">
      <c r="A7515" s="11"/>
      <c r="B7515" s="2"/>
      <c r="C7515" s="15"/>
      <c r="D7515" s="2"/>
    </row>
    <row r="7516" spans="1:4" ht="12.75" customHeight="1" x14ac:dyDescent="0.2">
      <c r="B7516" s="11" t="s">
        <v>0</v>
      </c>
      <c r="C7516" s="17" t="s">
        <v>468</v>
      </c>
      <c r="D7516" s="2"/>
    </row>
    <row r="7517" spans="1:4" ht="12.75" customHeight="1" x14ac:dyDescent="0.2">
      <c r="B7517" s="11" t="s">
        <v>2599</v>
      </c>
      <c r="C7517" s="17" t="s">
        <v>2514</v>
      </c>
      <c r="D7517" s="2"/>
    </row>
    <row r="7518" spans="1:4" ht="25.5" customHeight="1" x14ac:dyDescent="0.2">
      <c r="B7518" s="11" t="s">
        <v>2600</v>
      </c>
      <c r="C7518" s="17" t="s">
        <v>3752</v>
      </c>
      <c r="D7518" s="2"/>
    </row>
    <row r="7519" spans="1:4" ht="25.5" customHeight="1" x14ac:dyDescent="0.2">
      <c r="B7519" s="11" t="s">
        <v>2601</v>
      </c>
      <c r="C7519" s="17"/>
      <c r="D7519" s="2"/>
    </row>
    <row r="7520" spans="1:4" ht="12.75" customHeight="1" x14ac:dyDescent="0.2">
      <c r="B7520" s="11" t="s">
        <v>16</v>
      </c>
      <c r="C7520" s="17"/>
      <c r="D7520" s="2"/>
    </row>
    <row r="7521" spans="1:4" ht="12.75" customHeight="1" x14ac:dyDescent="0.2">
      <c r="B7521" s="11" t="s">
        <v>13</v>
      </c>
      <c r="C7521" s="17" t="s">
        <v>2644</v>
      </c>
      <c r="D7521" s="2"/>
    </row>
    <row r="7522" spans="1:4" ht="25.5" customHeight="1" x14ac:dyDescent="0.2">
      <c r="B7522" s="11" t="s">
        <v>2603</v>
      </c>
      <c r="C7522" s="17" t="s">
        <v>2971</v>
      </c>
      <c r="D7522" s="2"/>
    </row>
    <row r="7523" spans="1:4" ht="12.75" customHeight="1" x14ac:dyDescent="0.2">
      <c r="B7523" s="11" t="s">
        <v>2605</v>
      </c>
      <c r="C7523" s="17" t="s">
        <v>14</v>
      </c>
      <c r="D7523" s="2"/>
    </row>
    <row r="7524" spans="1:4" ht="12.75" customHeight="1" x14ac:dyDescent="0.2">
      <c r="B7524" s="11" t="s">
        <v>2606</v>
      </c>
      <c r="C7524" s="16" t="s">
        <v>19</v>
      </c>
      <c r="D7524" s="2"/>
    </row>
    <row r="7525" spans="1:4" ht="12.75" customHeight="1" x14ac:dyDescent="0.2">
      <c r="B7525" s="2"/>
      <c r="C7525" s="15"/>
      <c r="D7525" s="2"/>
    </row>
    <row r="7526" spans="1:4" ht="12.75" customHeight="1" x14ac:dyDescent="0.2">
      <c r="B7526" s="2"/>
      <c r="C7526" s="15"/>
      <c r="D7526" s="2"/>
    </row>
    <row r="7527" spans="1:4" ht="12.75" customHeight="1" x14ac:dyDescent="0.2">
      <c r="A7527" s="13" t="s">
        <v>3753</v>
      </c>
      <c r="C7527" s="12"/>
      <c r="D7527" s="2"/>
    </row>
    <row r="7528" spans="1:4" ht="12.75" customHeight="1" x14ac:dyDescent="0.2">
      <c r="A7528" s="11"/>
      <c r="B7528" s="2"/>
      <c r="C7528" s="15"/>
      <c r="D7528" s="2"/>
    </row>
    <row r="7529" spans="1:4" ht="12.75" customHeight="1" x14ac:dyDescent="0.2">
      <c r="B7529" s="11" t="s">
        <v>0</v>
      </c>
      <c r="C7529" s="17" t="s">
        <v>468</v>
      </c>
      <c r="D7529" s="2"/>
    </row>
    <row r="7530" spans="1:4" ht="12.75" customHeight="1" x14ac:dyDescent="0.2">
      <c r="B7530" s="11" t="s">
        <v>2599</v>
      </c>
      <c r="C7530" s="17" t="s">
        <v>3754</v>
      </c>
      <c r="D7530" s="2"/>
    </row>
    <row r="7531" spans="1:4" ht="25.5" customHeight="1" x14ac:dyDescent="0.2">
      <c r="B7531" s="11" t="s">
        <v>2600</v>
      </c>
      <c r="C7531" s="17" t="s">
        <v>3755</v>
      </c>
      <c r="D7531" s="2"/>
    </row>
    <row r="7532" spans="1:4" ht="25.5" customHeight="1" x14ac:dyDescent="0.2">
      <c r="B7532" s="11" t="s">
        <v>2601</v>
      </c>
      <c r="C7532" s="17"/>
      <c r="D7532" s="2"/>
    </row>
    <row r="7533" spans="1:4" ht="12.75" customHeight="1" x14ac:dyDescent="0.2">
      <c r="B7533" s="11" t="s">
        <v>16</v>
      </c>
      <c r="C7533" s="17"/>
      <c r="D7533" s="2"/>
    </row>
    <row r="7534" spans="1:4" ht="12.75" customHeight="1" x14ac:dyDescent="0.2">
      <c r="B7534" s="11" t="s">
        <v>13</v>
      </c>
      <c r="C7534" s="17" t="s">
        <v>2602</v>
      </c>
      <c r="D7534" s="2"/>
    </row>
    <row r="7535" spans="1:4" ht="25.5" customHeight="1" x14ac:dyDescent="0.2">
      <c r="B7535" s="11" t="s">
        <v>2603</v>
      </c>
      <c r="C7535" s="17" t="s">
        <v>2971</v>
      </c>
      <c r="D7535" s="2"/>
    </row>
    <row r="7536" spans="1:4" ht="12.75" customHeight="1" x14ac:dyDescent="0.2">
      <c r="B7536" s="11" t="s">
        <v>2605</v>
      </c>
      <c r="C7536" s="17" t="s">
        <v>14</v>
      </c>
      <c r="D7536" s="2"/>
    </row>
    <row r="7537" spans="1:4" ht="12.75" customHeight="1" x14ac:dyDescent="0.2">
      <c r="B7537" s="11" t="s">
        <v>2606</v>
      </c>
      <c r="C7537" s="16" t="s">
        <v>19</v>
      </c>
      <c r="D7537" s="2"/>
    </row>
    <row r="7538" spans="1:4" ht="12.75" customHeight="1" x14ac:dyDescent="0.2">
      <c r="B7538" s="2"/>
      <c r="C7538" s="15"/>
      <c r="D7538" s="2"/>
    </row>
    <row r="7539" spans="1:4" ht="12.75" customHeight="1" x14ac:dyDescent="0.2">
      <c r="B7539" s="2"/>
      <c r="C7539" s="15"/>
      <c r="D7539" s="2"/>
    </row>
    <row r="7540" spans="1:4" ht="12.75" customHeight="1" x14ac:dyDescent="0.2">
      <c r="A7540" s="13" t="s">
        <v>3696</v>
      </c>
      <c r="C7540" s="12"/>
      <c r="D7540" s="2"/>
    </row>
    <row r="7541" spans="1:4" ht="12.75" customHeight="1" x14ac:dyDescent="0.2">
      <c r="A7541" s="11"/>
      <c r="B7541" s="2"/>
      <c r="C7541" s="15"/>
      <c r="D7541" s="2"/>
    </row>
    <row r="7542" spans="1:4" ht="12.75" customHeight="1" x14ac:dyDescent="0.2">
      <c r="B7542" s="11" t="s">
        <v>0</v>
      </c>
      <c r="C7542" s="17" t="s">
        <v>468</v>
      </c>
      <c r="D7542" s="2"/>
    </row>
    <row r="7543" spans="1:4" ht="12.75" customHeight="1" x14ac:dyDescent="0.2">
      <c r="B7543" s="11" t="s">
        <v>2599</v>
      </c>
      <c r="C7543" s="17" t="s">
        <v>3697</v>
      </c>
      <c r="D7543" s="2"/>
    </row>
    <row r="7544" spans="1:4" ht="25.5" customHeight="1" x14ac:dyDescent="0.2">
      <c r="B7544" s="11" t="s">
        <v>2600</v>
      </c>
      <c r="C7544" s="17" t="s">
        <v>3756</v>
      </c>
      <c r="D7544" s="2"/>
    </row>
    <row r="7545" spans="1:4" ht="25.5" customHeight="1" x14ac:dyDescent="0.2">
      <c r="B7545" s="11" t="s">
        <v>2601</v>
      </c>
      <c r="C7545" s="17"/>
      <c r="D7545" s="2"/>
    </row>
    <row r="7546" spans="1:4" ht="12.75" customHeight="1" x14ac:dyDescent="0.2">
      <c r="B7546" s="11" t="s">
        <v>16</v>
      </c>
      <c r="C7546" s="17"/>
      <c r="D7546" s="2"/>
    </row>
    <row r="7547" spans="1:4" ht="12.75" customHeight="1" x14ac:dyDescent="0.2">
      <c r="B7547" s="11" t="s">
        <v>13</v>
      </c>
      <c r="C7547" s="17" t="s">
        <v>2602</v>
      </c>
      <c r="D7547" s="2"/>
    </row>
    <row r="7548" spans="1:4" ht="25.5" customHeight="1" x14ac:dyDescent="0.2">
      <c r="B7548" s="11" t="s">
        <v>2603</v>
      </c>
      <c r="C7548" s="17" t="s">
        <v>2971</v>
      </c>
      <c r="D7548" s="2"/>
    </row>
    <row r="7549" spans="1:4" ht="12.75" customHeight="1" x14ac:dyDescent="0.2">
      <c r="B7549" s="11" t="s">
        <v>2605</v>
      </c>
      <c r="C7549" s="17" t="s">
        <v>14</v>
      </c>
      <c r="D7549" s="2"/>
    </row>
    <row r="7550" spans="1:4" ht="12.75" customHeight="1" x14ac:dyDescent="0.2">
      <c r="B7550" s="11" t="s">
        <v>2606</v>
      </c>
      <c r="C7550" s="16" t="s">
        <v>19</v>
      </c>
      <c r="D7550" s="2"/>
    </row>
    <row r="7551" spans="1:4" ht="12.75" customHeight="1" x14ac:dyDescent="0.2">
      <c r="B7551" s="2"/>
      <c r="C7551" s="15"/>
      <c r="D7551" s="2"/>
    </row>
    <row r="7552" spans="1:4" ht="12.75" customHeight="1" x14ac:dyDescent="0.2">
      <c r="B7552" s="2"/>
      <c r="C7552" s="15"/>
      <c r="D7552" s="2"/>
    </row>
    <row r="7553" spans="1:4" ht="12.75" customHeight="1" x14ac:dyDescent="0.2">
      <c r="A7553" s="13" t="s">
        <v>3699</v>
      </c>
      <c r="C7553" s="12"/>
      <c r="D7553" s="2"/>
    </row>
    <row r="7554" spans="1:4" ht="12.75" customHeight="1" x14ac:dyDescent="0.2">
      <c r="A7554" s="11"/>
      <c r="B7554" s="2"/>
      <c r="C7554" s="15"/>
      <c r="D7554" s="2"/>
    </row>
    <row r="7555" spans="1:4" ht="12.75" customHeight="1" x14ac:dyDescent="0.2">
      <c r="B7555" s="11" t="s">
        <v>0</v>
      </c>
      <c r="C7555" s="17" t="s">
        <v>468</v>
      </c>
      <c r="D7555" s="2"/>
    </row>
    <row r="7556" spans="1:4" ht="12.75" customHeight="1" x14ac:dyDescent="0.2">
      <c r="B7556" s="11" t="s">
        <v>2599</v>
      </c>
      <c r="C7556" s="17" t="s">
        <v>3690</v>
      </c>
      <c r="D7556" s="2"/>
    </row>
    <row r="7557" spans="1:4" ht="25.5" customHeight="1" x14ac:dyDescent="0.2">
      <c r="B7557" s="11" t="s">
        <v>2600</v>
      </c>
      <c r="C7557" s="17" t="s">
        <v>3757</v>
      </c>
      <c r="D7557" s="2"/>
    </row>
    <row r="7558" spans="1:4" ht="25.5" customHeight="1" x14ac:dyDescent="0.2">
      <c r="B7558" s="11" t="s">
        <v>2601</v>
      </c>
      <c r="C7558" s="17"/>
      <c r="D7558" s="2"/>
    </row>
    <row r="7559" spans="1:4" ht="12.75" customHeight="1" x14ac:dyDescent="0.2">
      <c r="B7559" s="11" t="s">
        <v>16</v>
      </c>
      <c r="C7559" s="17"/>
      <c r="D7559" s="2"/>
    </row>
    <row r="7560" spans="1:4" ht="12.75" customHeight="1" x14ac:dyDescent="0.2">
      <c r="B7560" s="11" t="s">
        <v>13</v>
      </c>
      <c r="C7560" s="17" t="s">
        <v>2644</v>
      </c>
      <c r="D7560" s="2"/>
    </row>
    <row r="7561" spans="1:4" ht="25.5" customHeight="1" x14ac:dyDescent="0.2">
      <c r="B7561" s="11" t="s">
        <v>2603</v>
      </c>
      <c r="C7561" s="17" t="s">
        <v>2971</v>
      </c>
      <c r="D7561" s="2"/>
    </row>
    <row r="7562" spans="1:4" ht="12.75" customHeight="1" x14ac:dyDescent="0.2">
      <c r="B7562" s="11" t="s">
        <v>2605</v>
      </c>
      <c r="C7562" s="17" t="s">
        <v>14</v>
      </c>
      <c r="D7562" s="2"/>
    </row>
    <row r="7563" spans="1:4" ht="12.75" customHeight="1" x14ac:dyDescent="0.2">
      <c r="B7563" s="11" t="s">
        <v>2606</v>
      </c>
      <c r="C7563" s="16" t="s">
        <v>19</v>
      </c>
      <c r="D7563" s="2"/>
    </row>
    <row r="7564" spans="1:4" ht="12.75" customHeight="1" x14ac:dyDescent="0.2">
      <c r="B7564" s="2"/>
      <c r="C7564" s="15"/>
      <c r="D7564" s="2"/>
    </row>
    <row r="7565" spans="1:4" ht="12.75" customHeight="1" x14ac:dyDescent="0.2">
      <c r="B7565" s="2"/>
      <c r="C7565" s="15"/>
      <c r="D7565" s="2"/>
    </row>
    <row r="7566" spans="1:4" ht="12.75" customHeight="1" x14ac:dyDescent="0.2">
      <c r="A7566" s="13" t="s">
        <v>3758</v>
      </c>
      <c r="C7566" s="12"/>
    </row>
    <row r="7567" spans="1:4" ht="12.75" customHeight="1" x14ac:dyDescent="0.2">
      <c r="A7567" s="11"/>
      <c r="B7567" s="2"/>
      <c r="C7567" s="15"/>
      <c r="D7567" s="2"/>
    </row>
    <row r="7568" spans="1:4" ht="12.75" customHeight="1" x14ac:dyDescent="0.2">
      <c r="B7568" s="11" t="s">
        <v>0</v>
      </c>
      <c r="C7568" s="11" t="s">
        <v>468</v>
      </c>
    </row>
    <row r="7569" spans="1:4" ht="12.75" customHeight="1" x14ac:dyDescent="0.2">
      <c r="B7569" s="11" t="s">
        <v>2599</v>
      </c>
      <c r="C7569" s="11" t="s">
        <v>3759</v>
      </c>
    </row>
    <row r="7570" spans="1:4" ht="25.5" customHeight="1" x14ac:dyDescent="0.2">
      <c r="B7570" s="11" t="s">
        <v>2600</v>
      </c>
      <c r="C7570" s="11" t="s">
        <v>3760</v>
      </c>
    </row>
    <row r="7571" spans="1:4" ht="25.5" customHeight="1" x14ac:dyDescent="0.2">
      <c r="B7571" s="11" t="s">
        <v>2601</v>
      </c>
      <c r="C7571" s="11"/>
    </row>
    <row r="7572" spans="1:4" ht="12.75" customHeight="1" x14ac:dyDescent="0.2">
      <c r="B7572" s="11" t="s">
        <v>16</v>
      </c>
      <c r="C7572" s="11"/>
    </row>
    <row r="7573" spans="1:4" ht="12.75" customHeight="1" x14ac:dyDescent="0.2">
      <c r="B7573" s="11" t="s">
        <v>13</v>
      </c>
      <c r="C7573" s="11" t="s">
        <v>2644</v>
      </c>
    </row>
    <row r="7574" spans="1:4" ht="12.75" customHeight="1" x14ac:dyDescent="0.2">
      <c r="B7574" s="11" t="s">
        <v>2603</v>
      </c>
      <c r="C7574" s="11" t="s">
        <v>2604</v>
      </c>
    </row>
    <row r="7575" spans="1:4" ht="12.75" customHeight="1" x14ac:dyDescent="0.2">
      <c r="B7575" s="11" t="s">
        <v>2605</v>
      </c>
      <c r="C7575" s="11" t="s">
        <v>24</v>
      </c>
    </row>
    <row r="7576" spans="1:4" ht="12.75" customHeight="1" x14ac:dyDescent="0.2">
      <c r="B7576" s="11" t="s">
        <v>2606</v>
      </c>
      <c r="C7576" s="16" t="s">
        <v>2652</v>
      </c>
      <c r="D7576" s="6" t="str">
        <f>HYPERLINK("javascript:void(0)","ezüst")</f>
        <v>ezüst</v>
      </c>
    </row>
    <row r="7577" spans="1:4" ht="12.75" customHeight="1" x14ac:dyDescent="0.2">
      <c r="B7577" s="2"/>
      <c r="C7577" s="15"/>
      <c r="D7577" s="2"/>
    </row>
    <row r="7578" spans="1:4" ht="12.75" customHeight="1" x14ac:dyDescent="0.2">
      <c r="B7578" s="2"/>
      <c r="C7578" s="15"/>
      <c r="D7578" s="2"/>
    </row>
    <row r="7579" spans="1:4" ht="12.75" customHeight="1" x14ac:dyDescent="0.2">
      <c r="A7579" s="13" t="s">
        <v>3761</v>
      </c>
      <c r="C7579" s="12"/>
    </row>
    <row r="7580" spans="1:4" ht="12.75" customHeight="1" x14ac:dyDescent="0.2">
      <c r="A7580" s="11"/>
      <c r="B7580" s="2"/>
      <c r="C7580" s="15"/>
      <c r="D7580" s="2"/>
    </row>
    <row r="7581" spans="1:4" ht="12.75" customHeight="1" x14ac:dyDescent="0.2">
      <c r="B7581" s="11" t="s">
        <v>0</v>
      </c>
      <c r="C7581" s="11" t="s">
        <v>468</v>
      </c>
    </row>
    <row r="7582" spans="1:4" ht="12.75" customHeight="1" x14ac:dyDescent="0.2">
      <c r="B7582" s="11" t="s">
        <v>2599</v>
      </c>
      <c r="C7582" s="11" t="s">
        <v>3762</v>
      </c>
    </row>
    <row r="7583" spans="1:4" ht="25.5" customHeight="1" x14ac:dyDescent="0.2">
      <c r="B7583" s="11" t="s">
        <v>2600</v>
      </c>
      <c r="C7583" s="11" t="s">
        <v>3763</v>
      </c>
    </row>
    <row r="7584" spans="1:4" ht="25.5" customHeight="1" x14ac:dyDescent="0.2">
      <c r="B7584" s="11" t="s">
        <v>2601</v>
      </c>
      <c r="C7584" s="11"/>
    </row>
    <row r="7585" spans="1:4" ht="12.75" customHeight="1" x14ac:dyDescent="0.2">
      <c r="B7585" s="11" t="s">
        <v>16</v>
      </c>
      <c r="C7585" s="11"/>
    </row>
    <row r="7586" spans="1:4" ht="12.75" customHeight="1" x14ac:dyDescent="0.2">
      <c r="B7586" s="11" t="s">
        <v>13</v>
      </c>
      <c r="C7586" s="11" t="s">
        <v>2644</v>
      </c>
    </row>
    <row r="7587" spans="1:4" ht="12.75" customHeight="1" x14ac:dyDescent="0.2">
      <c r="B7587" s="11" t="s">
        <v>2603</v>
      </c>
      <c r="C7587" s="11" t="s">
        <v>2604</v>
      </c>
    </row>
    <row r="7588" spans="1:4" ht="12.75" customHeight="1" x14ac:dyDescent="0.2">
      <c r="B7588" s="11" t="s">
        <v>2605</v>
      </c>
      <c r="C7588" s="11" t="s">
        <v>24</v>
      </c>
    </row>
    <row r="7589" spans="1:4" ht="12.75" customHeight="1" x14ac:dyDescent="0.2">
      <c r="B7589" s="11" t="s">
        <v>2606</v>
      </c>
      <c r="C7589" s="16" t="s">
        <v>44</v>
      </c>
      <c r="D7589" s="6" t="str">
        <f>HYPERLINK("javascript:void(0)","spóra")</f>
        <v>spóra</v>
      </c>
    </row>
    <row r="7590" spans="1:4" ht="12.75" customHeight="1" x14ac:dyDescent="0.2">
      <c r="B7590" s="2"/>
      <c r="C7590" s="15"/>
      <c r="D7590" s="2"/>
    </row>
    <row r="7591" spans="1:4" ht="12.75" customHeight="1" x14ac:dyDescent="0.2">
      <c r="B7591" s="2"/>
      <c r="C7591" s="15"/>
      <c r="D7591" s="2"/>
    </row>
    <row r="7592" spans="1:4" ht="12.75" customHeight="1" x14ac:dyDescent="0.2">
      <c r="A7592" s="13" t="s">
        <v>3764</v>
      </c>
      <c r="C7592" s="12"/>
    </row>
    <row r="7593" spans="1:4" ht="12.75" customHeight="1" x14ac:dyDescent="0.2">
      <c r="A7593" s="11"/>
      <c r="B7593" s="2"/>
      <c r="C7593" s="15"/>
      <c r="D7593" s="2"/>
    </row>
    <row r="7594" spans="1:4" ht="12.75" customHeight="1" x14ac:dyDescent="0.2">
      <c r="B7594" s="11" t="s">
        <v>0</v>
      </c>
      <c r="C7594" s="11" t="s">
        <v>468</v>
      </c>
    </row>
    <row r="7595" spans="1:4" ht="12.75" customHeight="1" x14ac:dyDescent="0.2">
      <c r="B7595" s="11" t="s">
        <v>2599</v>
      </c>
      <c r="C7595" s="11" t="s">
        <v>3765</v>
      </c>
    </row>
    <row r="7596" spans="1:4" ht="25.5" customHeight="1" x14ac:dyDescent="0.2">
      <c r="B7596" s="11" t="s">
        <v>2600</v>
      </c>
      <c r="C7596" s="11" t="s">
        <v>3766</v>
      </c>
    </row>
    <row r="7597" spans="1:4" ht="25.5" customHeight="1" x14ac:dyDescent="0.2">
      <c r="B7597" s="11" t="s">
        <v>2601</v>
      </c>
      <c r="C7597" s="11"/>
    </row>
    <row r="7598" spans="1:4" ht="12.75" customHeight="1" x14ac:dyDescent="0.2">
      <c r="B7598" s="11" t="s">
        <v>16</v>
      </c>
      <c r="C7598" s="11"/>
    </row>
    <row r="7599" spans="1:4" ht="12.75" customHeight="1" x14ac:dyDescent="0.2">
      <c r="B7599" s="11" t="s">
        <v>13</v>
      </c>
      <c r="C7599" s="11" t="s">
        <v>2602</v>
      </c>
    </row>
    <row r="7600" spans="1:4" ht="12.75" customHeight="1" x14ac:dyDescent="0.2">
      <c r="B7600" s="11" t="s">
        <v>2603</v>
      </c>
      <c r="C7600" s="11" t="s">
        <v>2604</v>
      </c>
    </row>
    <row r="7601" spans="1:4" ht="12.75" customHeight="1" x14ac:dyDescent="0.2">
      <c r="B7601" s="11" t="s">
        <v>2605</v>
      </c>
      <c r="C7601" s="11" t="s">
        <v>24</v>
      </c>
    </row>
    <row r="7602" spans="1:4" ht="12.75" customHeight="1" x14ac:dyDescent="0.2">
      <c r="B7602" s="11" t="s">
        <v>2606</v>
      </c>
      <c r="C7602" s="16" t="s">
        <v>67</v>
      </c>
      <c r="D7602" s="6" t="str">
        <f>HYPERLINK("javascript:void(0)","kincs")</f>
        <v>kincs</v>
      </c>
    </row>
    <row r="7603" spans="1:4" ht="12.75" customHeight="1" x14ac:dyDescent="0.2">
      <c r="B7603" s="2"/>
      <c r="C7603" s="15"/>
      <c r="D7603" s="2"/>
    </row>
    <row r="7604" spans="1:4" ht="12.75" customHeight="1" x14ac:dyDescent="0.2">
      <c r="B7604" s="2"/>
      <c r="C7604" s="15"/>
      <c r="D7604" s="2"/>
    </row>
    <row r="7605" spans="1:4" ht="12.75" customHeight="1" x14ac:dyDescent="0.2">
      <c r="A7605" s="13" t="s">
        <v>3767</v>
      </c>
      <c r="C7605" s="12"/>
    </row>
    <row r="7606" spans="1:4" ht="12.75" customHeight="1" x14ac:dyDescent="0.2">
      <c r="A7606" s="11"/>
      <c r="B7606" s="2"/>
      <c r="C7606" s="15"/>
      <c r="D7606" s="2"/>
    </row>
    <row r="7607" spans="1:4" ht="12.75" customHeight="1" x14ac:dyDescent="0.2">
      <c r="B7607" s="11" t="s">
        <v>0</v>
      </c>
      <c r="C7607" s="11" t="s">
        <v>468</v>
      </c>
    </row>
    <row r="7608" spans="1:4" ht="12.75" customHeight="1" x14ac:dyDescent="0.2">
      <c r="B7608" s="11" t="s">
        <v>2599</v>
      </c>
      <c r="C7608" s="11" t="s">
        <v>3768</v>
      </c>
    </row>
    <row r="7609" spans="1:4" ht="25.5" customHeight="1" x14ac:dyDescent="0.2">
      <c r="B7609" s="11" t="s">
        <v>2600</v>
      </c>
      <c r="C7609" s="11" t="s">
        <v>3769</v>
      </c>
    </row>
    <row r="7610" spans="1:4" ht="25.5" customHeight="1" x14ac:dyDescent="0.2">
      <c r="B7610" s="11" t="s">
        <v>2601</v>
      </c>
      <c r="C7610" s="11"/>
    </row>
    <row r="7611" spans="1:4" ht="12.75" customHeight="1" x14ac:dyDescent="0.2">
      <c r="B7611" s="11" t="s">
        <v>16</v>
      </c>
      <c r="C7611" s="11"/>
    </row>
    <row r="7612" spans="1:4" ht="12.75" customHeight="1" x14ac:dyDescent="0.2">
      <c r="B7612" s="11" t="s">
        <v>13</v>
      </c>
      <c r="C7612" s="11" t="s">
        <v>2602</v>
      </c>
    </row>
    <row r="7613" spans="1:4" ht="12.75" customHeight="1" x14ac:dyDescent="0.2">
      <c r="B7613" s="11" t="s">
        <v>2603</v>
      </c>
      <c r="C7613" s="11" t="s">
        <v>2604</v>
      </c>
    </row>
    <row r="7614" spans="1:4" ht="12.75" customHeight="1" x14ac:dyDescent="0.2">
      <c r="B7614" s="11" t="s">
        <v>2605</v>
      </c>
      <c r="C7614" s="11" t="s">
        <v>24</v>
      </c>
    </row>
    <row r="7615" spans="1:4" ht="12.75" customHeight="1" x14ac:dyDescent="0.2">
      <c r="B7615" s="11" t="s">
        <v>2606</v>
      </c>
      <c r="C7615" s="16" t="s">
        <v>67</v>
      </c>
      <c r="D7615" s="6" t="str">
        <f>HYPERLINK("javascript:void(0)","kincs")</f>
        <v>kincs</v>
      </c>
    </row>
    <row r="7616" spans="1:4" ht="12.75" customHeight="1" x14ac:dyDescent="0.2">
      <c r="B7616" s="2"/>
      <c r="C7616" s="15"/>
      <c r="D7616" s="2"/>
    </row>
    <row r="7617" spans="1:4" ht="12.75" customHeight="1" x14ac:dyDescent="0.2">
      <c r="B7617" s="2"/>
      <c r="C7617" s="15"/>
      <c r="D7617" s="2"/>
    </row>
    <row r="7618" spans="1:4" ht="12.75" customHeight="1" x14ac:dyDescent="0.2">
      <c r="A7618" s="13" t="s">
        <v>3770</v>
      </c>
      <c r="C7618" s="12"/>
    </row>
    <row r="7619" spans="1:4" ht="12.75" customHeight="1" x14ac:dyDescent="0.2">
      <c r="A7619" s="11"/>
      <c r="B7619" s="2"/>
      <c r="C7619" s="15"/>
      <c r="D7619" s="2"/>
    </row>
    <row r="7620" spans="1:4" ht="12.75" customHeight="1" x14ac:dyDescent="0.2">
      <c r="B7620" s="11" t="s">
        <v>0</v>
      </c>
      <c r="C7620" s="11" t="s">
        <v>468</v>
      </c>
    </row>
    <row r="7621" spans="1:4" ht="12.75" customHeight="1" x14ac:dyDescent="0.2">
      <c r="B7621" s="11" t="s">
        <v>2599</v>
      </c>
      <c r="C7621" s="11" t="s">
        <v>3497</v>
      </c>
    </row>
    <row r="7622" spans="1:4" ht="25.5" customHeight="1" x14ac:dyDescent="0.2">
      <c r="B7622" s="11" t="s">
        <v>2600</v>
      </c>
      <c r="C7622" s="11" t="s">
        <v>3771</v>
      </c>
    </row>
    <row r="7623" spans="1:4" ht="25.5" customHeight="1" x14ac:dyDescent="0.2">
      <c r="B7623" s="11" t="s">
        <v>2601</v>
      </c>
      <c r="C7623" s="11"/>
    </row>
    <row r="7624" spans="1:4" ht="12.75" customHeight="1" x14ac:dyDescent="0.2">
      <c r="B7624" s="11" t="s">
        <v>16</v>
      </c>
      <c r="C7624" s="11"/>
    </row>
    <row r="7625" spans="1:4" ht="12.75" customHeight="1" x14ac:dyDescent="0.2">
      <c r="B7625" s="11" t="s">
        <v>13</v>
      </c>
      <c r="C7625" s="11" t="s">
        <v>2644</v>
      </c>
    </row>
    <row r="7626" spans="1:4" ht="12.75" customHeight="1" x14ac:dyDescent="0.2">
      <c r="B7626" s="11" t="s">
        <v>2603</v>
      </c>
      <c r="C7626" s="11" t="s">
        <v>2604</v>
      </c>
    </row>
    <row r="7627" spans="1:4" ht="12.75" customHeight="1" x14ac:dyDescent="0.2">
      <c r="B7627" s="11" t="s">
        <v>2605</v>
      </c>
      <c r="C7627" s="11" t="s">
        <v>24</v>
      </c>
    </row>
    <row r="7628" spans="1:4" ht="12.75" customHeight="1" x14ac:dyDescent="0.2">
      <c r="B7628" s="11" t="s">
        <v>2606</v>
      </c>
      <c r="C7628" s="16" t="s">
        <v>44</v>
      </c>
      <c r="D7628" s="6" t="str">
        <f>HYPERLINK("javascript:void(0)","göb")</f>
        <v>göb</v>
      </c>
    </row>
    <row r="7629" spans="1:4" ht="12.75" customHeight="1" x14ac:dyDescent="0.2">
      <c r="B7629" s="2"/>
      <c r="C7629" s="15"/>
      <c r="D7629" s="2"/>
    </row>
    <row r="7630" spans="1:4" ht="12.75" customHeight="1" x14ac:dyDescent="0.2">
      <c r="B7630" s="2"/>
      <c r="C7630" s="15"/>
      <c r="D7630" s="2"/>
    </row>
    <row r="7631" spans="1:4" ht="12.75" customHeight="1" x14ac:dyDescent="0.2">
      <c r="A7631" s="13" t="s">
        <v>3772</v>
      </c>
      <c r="C7631" s="12"/>
    </row>
    <row r="7632" spans="1:4" ht="12.75" customHeight="1" x14ac:dyDescent="0.2">
      <c r="A7632" s="11"/>
      <c r="B7632" s="2"/>
      <c r="C7632" s="15"/>
      <c r="D7632" s="2"/>
    </row>
    <row r="7633" spans="1:4" ht="12.75" customHeight="1" x14ac:dyDescent="0.2">
      <c r="B7633" s="11" t="s">
        <v>0</v>
      </c>
      <c r="C7633" s="11" t="s">
        <v>468</v>
      </c>
    </row>
    <row r="7634" spans="1:4" ht="12.75" customHeight="1" x14ac:dyDescent="0.2">
      <c r="B7634" s="11" t="s">
        <v>2599</v>
      </c>
      <c r="C7634" s="11" t="s">
        <v>3228</v>
      </c>
    </row>
    <row r="7635" spans="1:4" ht="25.5" customHeight="1" x14ac:dyDescent="0.2">
      <c r="B7635" s="11" t="s">
        <v>2600</v>
      </c>
      <c r="C7635" s="11" t="s">
        <v>3773</v>
      </c>
    </row>
    <row r="7636" spans="1:4" ht="25.5" customHeight="1" x14ac:dyDescent="0.2">
      <c r="B7636" s="11" t="s">
        <v>2601</v>
      </c>
      <c r="C7636" s="11"/>
    </row>
    <row r="7637" spans="1:4" ht="12.75" customHeight="1" x14ac:dyDescent="0.2">
      <c r="B7637" s="11" t="s">
        <v>16</v>
      </c>
      <c r="C7637" s="11"/>
    </row>
    <row r="7638" spans="1:4" ht="12.75" customHeight="1" x14ac:dyDescent="0.2">
      <c r="B7638" s="11" t="s">
        <v>13</v>
      </c>
      <c r="C7638" s="11" t="s">
        <v>2602</v>
      </c>
    </row>
    <row r="7639" spans="1:4" ht="12.75" customHeight="1" x14ac:dyDescent="0.2">
      <c r="B7639" s="11" t="s">
        <v>2603</v>
      </c>
      <c r="C7639" s="11" t="s">
        <v>2604</v>
      </c>
    </row>
    <row r="7640" spans="1:4" ht="12.75" customHeight="1" x14ac:dyDescent="0.2">
      <c r="B7640" s="11" t="s">
        <v>2605</v>
      </c>
      <c r="C7640" s="11" t="s">
        <v>24</v>
      </c>
    </row>
    <row r="7641" spans="1:4" ht="12.75" customHeight="1" x14ac:dyDescent="0.2">
      <c r="B7641" s="11" t="s">
        <v>2606</v>
      </c>
      <c r="C7641" s="16" t="s">
        <v>142</v>
      </c>
      <c r="D7641" s="6" t="str">
        <f>HYPERLINK("javascript:void(0)","kincs")</f>
        <v>kincs</v>
      </c>
    </row>
    <row r="7642" spans="1:4" ht="12.75" customHeight="1" x14ac:dyDescent="0.2">
      <c r="B7642" s="2"/>
      <c r="C7642" s="15"/>
      <c r="D7642" s="2"/>
    </row>
    <row r="7643" spans="1:4" ht="12.75" customHeight="1" x14ac:dyDescent="0.2">
      <c r="B7643" s="2"/>
      <c r="C7643" s="15"/>
      <c r="D7643" s="2"/>
    </row>
    <row r="7644" spans="1:4" ht="12.75" customHeight="1" x14ac:dyDescent="0.2">
      <c r="A7644" s="13" t="s">
        <v>3774</v>
      </c>
      <c r="C7644" s="12"/>
    </row>
    <row r="7645" spans="1:4" ht="12.75" customHeight="1" x14ac:dyDescent="0.2">
      <c r="A7645" s="11"/>
      <c r="B7645" s="2"/>
      <c r="C7645" s="15"/>
      <c r="D7645" s="2"/>
    </row>
    <row r="7646" spans="1:4" ht="12.75" customHeight="1" x14ac:dyDescent="0.2">
      <c r="B7646" s="11" t="s">
        <v>0</v>
      </c>
      <c r="C7646" s="11" t="s">
        <v>468</v>
      </c>
    </row>
    <row r="7647" spans="1:4" ht="12.75" customHeight="1" x14ac:dyDescent="0.2">
      <c r="B7647" s="11" t="s">
        <v>2599</v>
      </c>
      <c r="C7647" s="11" t="s">
        <v>3775</v>
      </c>
    </row>
    <row r="7648" spans="1:4" ht="25.5" customHeight="1" x14ac:dyDescent="0.2">
      <c r="B7648" s="11" t="s">
        <v>2600</v>
      </c>
      <c r="C7648" s="11" t="s">
        <v>3776</v>
      </c>
    </row>
    <row r="7649" spans="1:4" ht="25.5" customHeight="1" x14ac:dyDescent="0.2">
      <c r="B7649" s="11" t="s">
        <v>2601</v>
      </c>
      <c r="C7649" s="11"/>
    </row>
    <row r="7650" spans="1:4" ht="12.75" customHeight="1" x14ac:dyDescent="0.2">
      <c r="B7650" s="11" t="s">
        <v>16</v>
      </c>
      <c r="C7650" s="11"/>
    </row>
    <row r="7651" spans="1:4" ht="12.75" customHeight="1" x14ac:dyDescent="0.2">
      <c r="B7651" s="11" t="s">
        <v>13</v>
      </c>
      <c r="C7651" s="11" t="s">
        <v>2644</v>
      </c>
    </row>
    <row r="7652" spans="1:4" ht="12.75" customHeight="1" x14ac:dyDescent="0.2">
      <c r="B7652" s="11" t="s">
        <v>2603</v>
      </c>
      <c r="C7652" s="11" t="s">
        <v>2604</v>
      </c>
    </row>
    <row r="7653" spans="1:4" ht="12.75" customHeight="1" x14ac:dyDescent="0.2">
      <c r="B7653" s="11" t="s">
        <v>2605</v>
      </c>
      <c r="C7653" s="11" t="s">
        <v>24</v>
      </c>
    </row>
    <row r="7654" spans="1:4" ht="12.75" customHeight="1" x14ac:dyDescent="0.2">
      <c r="B7654" s="11" t="s">
        <v>2606</v>
      </c>
      <c r="C7654" s="16" t="s">
        <v>68</v>
      </c>
      <c r="D7654" s="6" t="str">
        <f>HYPERLINK("javascript:void(0)","kincs")</f>
        <v>kincs</v>
      </c>
    </row>
    <row r="7655" spans="1:4" ht="25.5" customHeight="1" x14ac:dyDescent="0.2">
      <c r="C7655" s="16" t="s">
        <v>55</v>
      </c>
      <c r="D7655" s="6" t="str">
        <f>HYPERLINK("javascript:void(0)","varázsszálka")</f>
        <v>varázsszálka</v>
      </c>
    </row>
    <row r="7656" spans="1:4" ht="12.75" customHeight="1" x14ac:dyDescent="0.2">
      <c r="B7656" s="2"/>
      <c r="C7656" s="15"/>
      <c r="D7656" s="2"/>
    </row>
    <row r="7657" spans="1:4" ht="12.75" customHeight="1" x14ac:dyDescent="0.2">
      <c r="B7657" s="2"/>
      <c r="C7657" s="15"/>
      <c r="D7657" s="2"/>
    </row>
    <row r="7658" spans="1:4" ht="12.75" customHeight="1" x14ac:dyDescent="0.2">
      <c r="A7658" s="13" t="s">
        <v>3777</v>
      </c>
      <c r="C7658" s="12"/>
    </row>
    <row r="7659" spans="1:4" ht="12.75" customHeight="1" x14ac:dyDescent="0.2">
      <c r="A7659" s="11"/>
      <c r="B7659" s="2"/>
      <c r="C7659" s="15"/>
      <c r="D7659" s="2"/>
    </row>
    <row r="7660" spans="1:4" ht="12.75" customHeight="1" x14ac:dyDescent="0.2">
      <c r="B7660" s="11" t="s">
        <v>0</v>
      </c>
      <c r="C7660" s="11" t="s">
        <v>468</v>
      </c>
    </row>
    <row r="7661" spans="1:4" ht="12.75" customHeight="1" x14ac:dyDescent="0.2">
      <c r="B7661" s="11" t="s">
        <v>2599</v>
      </c>
      <c r="C7661" s="11" t="s">
        <v>2426</v>
      </c>
    </row>
    <row r="7662" spans="1:4" ht="25.5" customHeight="1" x14ac:dyDescent="0.2">
      <c r="B7662" s="11" t="s">
        <v>2600</v>
      </c>
      <c r="C7662" s="11" t="s">
        <v>3778</v>
      </c>
    </row>
    <row r="7663" spans="1:4" ht="25.5" customHeight="1" x14ac:dyDescent="0.2">
      <c r="B7663" s="11" t="s">
        <v>2601</v>
      </c>
      <c r="C7663" s="11"/>
    </row>
    <row r="7664" spans="1:4" ht="12.75" customHeight="1" x14ac:dyDescent="0.2">
      <c r="B7664" s="11" t="s">
        <v>16</v>
      </c>
      <c r="C7664" s="11"/>
    </row>
    <row r="7665" spans="1:4" ht="12.75" customHeight="1" x14ac:dyDescent="0.2">
      <c r="B7665" s="11" t="s">
        <v>13</v>
      </c>
      <c r="C7665" s="11" t="s">
        <v>2602</v>
      </c>
    </row>
    <row r="7666" spans="1:4" ht="12.75" customHeight="1" x14ac:dyDescent="0.2">
      <c r="B7666" s="11" t="s">
        <v>2603</v>
      </c>
      <c r="C7666" s="11" t="s">
        <v>2604</v>
      </c>
    </row>
    <row r="7667" spans="1:4" ht="12.75" customHeight="1" x14ac:dyDescent="0.2">
      <c r="B7667" s="11" t="s">
        <v>2605</v>
      </c>
      <c r="C7667" s="11" t="s">
        <v>24</v>
      </c>
    </row>
    <row r="7668" spans="1:4" ht="12.75" customHeight="1" x14ac:dyDescent="0.2">
      <c r="B7668" s="11" t="s">
        <v>2606</v>
      </c>
      <c r="C7668" s="16" t="s">
        <v>44</v>
      </c>
      <c r="D7668" s="6" t="str">
        <f>HYPERLINK("javascript:void(0)","manaital")</f>
        <v>manaital</v>
      </c>
    </row>
    <row r="7669" spans="1:4" ht="12.75" customHeight="1" x14ac:dyDescent="0.2">
      <c r="C7669" s="16" t="s">
        <v>44</v>
      </c>
      <c r="D7669" s="6" t="str">
        <f>HYPERLINK("javascript:void(0)","aqua dei")</f>
        <v>aqua dei</v>
      </c>
    </row>
    <row r="7670" spans="1:4" ht="12.75" customHeight="1" x14ac:dyDescent="0.2">
      <c r="B7670" s="2"/>
      <c r="C7670" s="15"/>
      <c r="D7670" s="2"/>
    </row>
    <row r="7671" spans="1:4" ht="12.75" customHeight="1" x14ac:dyDescent="0.2">
      <c r="B7671" s="2"/>
      <c r="C7671" s="15"/>
      <c r="D7671" s="2"/>
    </row>
    <row r="7672" spans="1:4" ht="12.75" customHeight="1" x14ac:dyDescent="0.2">
      <c r="A7672" s="13" t="s">
        <v>3779</v>
      </c>
      <c r="C7672" s="12"/>
      <c r="D7672" s="2"/>
    </row>
    <row r="7673" spans="1:4" ht="12.75" customHeight="1" x14ac:dyDescent="0.2">
      <c r="A7673" s="11"/>
      <c r="B7673" s="2"/>
      <c r="C7673" s="15"/>
      <c r="D7673" s="2"/>
    </row>
    <row r="7674" spans="1:4" ht="12.75" customHeight="1" x14ac:dyDescent="0.2">
      <c r="B7674" s="11" t="s">
        <v>0</v>
      </c>
      <c r="C7674" s="17" t="s">
        <v>213</v>
      </c>
      <c r="D7674" s="2"/>
    </row>
    <row r="7675" spans="1:4" ht="12.75" customHeight="1" x14ac:dyDescent="0.2">
      <c r="B7675" s="11" t="s">
        <v>2599</v>
      </c>
      <c r="C7675" s="17" t="s">
        <v>3780</v>
      </c>
      <c r="D7675" s="2"/>
    </row>
    <row r="7676" spans="1:4" ht="25.5" customHeight="1" x14ac:dyDescent="0.2">
      <c r="B7676" s="11" t="s">
        <v>2600</v>
      </c>
      <c r="C7676" s="17" t="s">
        <v>3781</v>
      </c>
      <c r="D7676" s="2"/>
    </row>
    <row r="7677" spans="1:4" ht="25.5" customHeight="1" x14ac:dyDescent="0.2">
      <c r="B7677" s="11" t="s">
        <v>2601</v>
      </c>
      <c r="C7677" s="17"/>
      <c r="D7677" s="2"/>
    </row>
    <row r="7678" spans="1:4" ht="12.75" customHeight="1" x14ac:dyDescent="0.2">
      <c r="B7678" s="11" t="s">
        <v>16</v>
      </c>
      <c r="C7678" s="17"/>
      <c r="D7678" s="2"/>
    </row>
    <row r="7679" spans="1:4" ht="12.75" customHeight="1" x14ac:dyDescent="0.2">
      <c r="B7679" s="11" t="s">
        <v>13</v>
      </c>
      <c r="C7679" s="17" t="s">
        <v>2644</v>
      </c>
      <c r="D7679" s="2"/>
    </row>
    <row r="7680" spans="1:4" ht="12.75" customHeight="1" x14ac:dyDescent="0.2">
      <c r="B7680" s="11" t="s">
        <v>2603</v>
      </c>
      <c r="C7680" s="17" t="s">
        <v>128</v>
      </c>
      <c r="D7680" s="2"/>
    </row>
    <row r="7681" spans="1:4" ht="12.75" customHeight="1" x14ac:dyDescent="0.2">
      <c r="B7681" s="11" t="s">
        <v>2605</v>
      </c>
      <c r="C7681" s="17" t="s">
        <v>14</v>
      </c>
      <c r="D7681" s="2"/>
    </row>
    <row r="7682" spans="1:4" ht="12.75" customHeight="1" x14ac:dyDescent="0.2">
      <c r="B7682" s="11" t="s">
        <v>2606</v>
      </c>
      <c r="C7682" s="16" t="s">
        <v>19</v>
      </c>
      <c r="D7682" s="2"/>
    </row>
    <row r="7683" spans="1:4" ht="12.75" customHeight="1" x14ac:dyDescent="0.2">
      <c r="B7683" s="2"/>
      <c r="C7683" s="15"/>
      <c r="D7683" s="2"/>
    </row>
    <row r="7684" spans="1:4" ht="12.75" customHeight="1" x14ac:dyDescent="0.2">
      <c r="B7684" s="2"/>
      <c r="C7684" s="15"/>
      <c r="D7684" s="2"/>
    </row>
    <row r="7685" spans="1:4" ht="12.75" customHeight="1" x14ac:dyDescent="0.2">
      <c r="A7685" s="13" t="s">
        <v>3689</v>
      </c>
      <c r="C7685" s="12"/>
      <c r="D7685" s="2"/>
    </row>
    <row r="7686" spans="1:4" ht="12.75" customHeight="1" x14ac:dyDescent="0.2">
      <c r="A7686" s="11"/>
      <c r="B7686" s="2"/>
      <c r="C7686" s="15"/>
      <c r="D7686" s="2"/>
    </row>
    <row r="7687" spans="1:4" ht="12.75" customHeight="1" x14ac:dyDescent="0.2">
      <c r="B7687" s="11" t="s">
        <v>0</v>
      </c>
      <c r="C7687" s="17" t="s">
        <v>213</v>
      </c>
      <c r="D7687" s="2"/>
    </row>
    <row r="7688" spans="1:4" ht="12.75" customHeight="1" x14ac:dyDescent="0.2">
      <c r="B7688" s="11" t="s">
        <v>2599</v>
      </c>
      <c r="C7688" s="17" t="s">
        <v>3690</v>
      </c>
      <c r="D7688" s="2"/>
    </row>
    <row r="7689" spans="1:4" ht="25.5" customHeight="1" x14ac:dyDescent="0.2">
      <c r="B7689" s="11" t="s">
        <v>2600</v>
      </c>
      <c r="C7689" s="17" t="s">
        <v>3782</v>
      </c>
      <c r="D7689" s="2"/>
    </row>
    <row r="7690" spans="1:4" ht="25.5" customHeight="1" x14ac:dyDescent="0.2">
      <c r="B7690" s="11" t="s">
        <v>2601</v>
      </c>
      <c r="C7690" s="17"/>
      <c r="D7690" s="2"/>
    </row>
    <row r="7691" spans="1:4" ht="12.75" customHeight="1" x14ac:dyDescent="0.2">
      <c r="B7691" s="11" t="s">
        <v>16</v>
      </c>
      <c r="C7691" s="17"/>
      <c r="D7691" s="2"/>
    </row>
    <row r="7692" spans="1:4" ht="12.75" customHeight="1" x14ac:dyDescent="0.2">
      <c r="B7692" s="11" t="s">
        <v>13</v>
      </c>
      <c r="C7692" s="17" t="s">
        <v>2644</v>
      </c>
      <c r="D7692" s="2"/>
    </row>
    <row r="7693" spans="1:4" ht="25.5" customHeight="1" x14ac:dyDescent="0.2">
      <c r="B7693" s="11" t="s">
        <v>2603</v>
      </c>
      <c r="C7693" s="17" t="s">
        <v>2971</v>
      </c>
      <c r="D7693" s="2"/>
    </row>
    <row r="7694" spans="1:4" ht="12.75" customHeight="1" x14ac:dyDescent="0.2">
      <c r="B7694" s="11" t="s">
        <v>2605</v>
      </c>
      <c r="C7694" s="17" t="s">
        <v>14</v>
      </c>
      <c r="D7694" s="2"/>
    </row>
    <row r="7695" spans="1:4" ht="12.75" customHeight="1" x14ac:dyDescent="0.2">
      <c r="B7695" s="11" t="s">
        <v>2606</v>
      </c>
      <c r="C7695" s="16" t="s">
        <v>19</v>
      </c>
      <c r="D7695" s="2"/>
    </row>
    <row r="7696" spans="1:4" ht="12.75" customHeight="1" x14ac:dyDescent="0.2">
      <c r="B7696" s="2"/>
      <c r="C7696" s="15"/>
      <c r="D7696" s="2"/>
    </row>
    <row r="7697" spans="1:4" ht="12.75" customHeight="1" x14ac:dyDescent="0.2">
      <c r="B7697" s="2"/>
      <c r="C7697" s="15"/>
      <c r="D7697" s="2"/>
    </row>
    <row r="7698" spans="1:4" ht="12.75" customHeight="1" x14ac:dyDescent="0.2">
      <c r="A7698" s="13" t="s">
        <v>3783</v>
      </c>
      <c r="C7698" s="12"/>
      <c r="D7698" s="2"/>
    </row>
    <row r="7699" spans="1:4" ht="12.75" customHeight="1" x14ac:dyDescent="0.2">
      <c r="A7699" s="11"/>
      <c r="B7699" s="2"/>
      <c r="C7699" s="15"/>
      <c r="D7699" s="2"/>
    </row>
    <row r="7700" spans="1:4" ht="12.75" customHeight="1" x14ac:dyDescent="0.2">
      <c r="B7700" s="11" t="s">
        <v>0</v>
      </c>
      <c r="C7700" s="17" t="s">
        <v>213</v>
      </c>
      <c r="D7700" s="2"/>
    </row>
    <row r="7701" spans="1:4" ht="12.75" customHeight="1" x14ac:dyDescent="0.2">
      <c r="B7701" s="11" t="s">
        <v>2599</v>
      </c>
      <c r="C7701" s="17" t="s">
        <v>3784</v>
      </c>
      <c r="D7701" s="2"/>
    </row>
    <row r="7702" spans="1:4" ht="25.5" customHeight="1" x14ac:dyDescent="0.2">
      <c r="B7702" s="11" t="s">
        <v>2600</v>
      </c>
      <c r="C7702" s="17" t="s">
        <v>3785</v>
      </c>
      <c r="D7702" s="2"/>
    </row>
    <row r="7703" spans="1:4" ht="25.5" customHeight="1" x14ac:dyDescent="0.2">
      <c r="B7703" s="11" t="s">
        <v>2601</v>
      </c>
      <c r="C7703" s="17"/>
      <c r="D7703" s="2"/>
    </row>
    <row r="7704" spans="1:4" ht="12.75" customHeight="1" x14ac:dyDescent="0.2">
      <c r="B7704" s="11" t="s">
        <v>16</v>
      </c>
      <c r="C7704" s="17"/>
      <c r="D7704" s="2"/>
    </row>
    <row r="7705" spans="1:4" ht="12.75" customHeight="1" x14ac:dyDescent="0.2">
      <c r="B7705" s="11" t="s">
        <v>13</v>
      </c>
      <c r="C7705" s="17" t="s">
        <v>2602</v>
      </c>
      <c r="D7705" s="2"/>
    </row>
    <row r="7706" spans="1:4" ht="25.5" customHeight="1" x14ac:dyDescent="0.2">
      <c r="B7706" s="11" t="s">
        <v>2603</v>
      </c>
      <c r="C7706" s="17" t="s">
        <v>2971</v>
      </c>
      <c r="D7706" s="2"/>
    </row>
    <row r="7707" spans="1:4" ht="12.75" customHeight="1" x14ac:dyDescent="0.2">
      <c r="B7707" s="11" t="s">
        <v>2605</v>
      </c>
      <c r="C7707" s="17" t="s">
        <v>14</v>
      </c>
      <c r="D7707" s="2"/>
    </row>
    <row r="7708" spans="1:4" ht="12.75" customHeight="1" x14ac:dyDescent="0.2">
      <c r="B7708" s="11" t="s">
        <v>2606</v>
      </c>
      <c r="C7708" s="16" t="s">
        <v>19</v>
      </c>
      <c r="D7708" s="2"/>
    </row>
    <row r="7709" spans="1:4" ht="12.75" customHeight="1" x14ac:dyDescent="0.2">
      <c r="B7709" s="2"/>
      <c r="C7709" s="15"/>
      <c r="D7709" s="2"/>
    </row>
    <row r="7710" spans="1:4" ht="12.75" customHeight="1" x14ac:dyDescent="0.2">
      <c r="B7710" s="2"/>
      <c r="C7710" s="15"/>
      <c r="D7710" s="2"/>
    </row>
    <row r="7711" spans="1:4" ht="12.75" customHeight="1" x14ac:dyDescent="0.2">
      <c r="A7711" s="13" t="s">
        <v>3693</v>
      </c>
      <c r="C7711" s="12"/>
      <c r="D7711" s="2"/>
    </row>
    <row r="7712" spans="1:4" ht="12.75" customHeight="1" x14ac:dyDescent="0.2">
      <c r="A7712" s="11"/>
      <c r="B7712" s="2"/>
      <c r="C7712" s="15"/>
      <c r="D7712" s="2"/>
    </row>
    <row r="7713" spans="1:4" ht="12.75" customHeight="1" x14ac:dyDescent="0.2">
      <c r="B7713" s="11" t="s">
        <v>0</v>
      </c>
      <c r="C7713" s="17" t="s">
        <v>213</v>
      </c>
      <c r="D7713" s="2"/>
    </row>
    <row r="7714" spans="1:4" ht="12.75" customHeight="1" x14ac:dyDescent="0.2">
      <c r="B7714" s="11" t="s">
        <v>2599</v>
      </c>
      <c r="C7714" s="17" t="s">
        <v>2514</v>
      </c>
      <c r="D7714" s="2"/>
    </row>
    <row r="7715" spans="1:4" ht="25.5" customHeight="1" x14ac:dyDescent="0.2">
      <c r="B7715" s="11" t="s">
        <v>2600</v>
      </c>
      <c r="C7715" s="17" t="s">
        <v>3786</v>
      </c>
      <c r="D7715" s="2"/>
    </row>
    <row r="7716" spans="1:4" ht="25.5" customHeight="1" x14ac:dyDescent="0.2">
      <c r="B7716" s="11" t="s">
        <v>2601</v>
      </c>
      <c r="C7716" s="17"/>
      <c r="D7716" s="2"/>
    </row>
    <row r="7717" spans="1:4" ht="12.75" customHeight="1" x14ac:dyDescent="0.2">
      <c r="B7717" s="11" t="s">
        <v>16</v>
      </c>
      <c r="C7717" s="17"/>
      <c r="D7717" s="2"/>
    </row>
    <row r="7718" spans="1:4" ht="12.75" customHeight="1" x14ac:dyDescent="0.2">
      <c r="B7718" s="11" t="s">
        <v>13</v>
      </c>
      <c r="C7718" s="17" t="s">
        <v>2644</v>
      </c>
      <c r="D7718" s="2"/>
    </row>
    <row r="7719" spans="1:4" ht="25.5" customHeight="1" x14ac:dyDescent="0.2">
      <c r="B7719" s="11" t="s">
        <v>2603</v>
      </c>
      <c r="C7719" s="17" t="s">
        <v>2971</v>
      </c>
      <c r="D7719" s="2"/>
    </row>
    <row r="7720" spans="1:4" ht="12.75" customHeight="1" x14ac:dyDescent="0.2">
      <c r="B7720" s="11" t="s">
        <v>2605</v>
      </c>
      <c r="C7720" s="17" t="s">
        <v>14</v>
      </c>
      <c r="D7720" s="2"/>
    </row>
    <row r="7721" spans="1:4" ht="12.75" customHeight="1" x14ac:dyDescent="0.2">
      <c r="B7721" s="11" t="s">
        <v>2606</v>
      </c>
      <c r="C7721" s="16" t="s">
        <v>19</v>
      </c>
      <c r="D7721" s="2"/>
    </row>
    <row r="7722" spans="1:4" ht="12.75" customHeight="1" x14ac:dyDescent="0.2">
      <c r="B7722" s="2"/>
      <c r="C7722" s="15"/>
      <c r="D7722" s="2"/>
    </row>
    <row r="7723" spans="1:4" ht="12.75" customHeight="1" x14ac:dyDescent="0.2">
      <c r="B7723" s="2"/>
      <c r="C7723" s="15"/>
      <c r="D7723" s="2"/>
    </row>
    <row r="7724" spans="1:4" ht="12.75" customHeight="1" x14ac:dyDescent="0.2">
      <c r="A7724" s="13" t="s">
        <v>3753</v>
      </c>
      <c r="C7724" s="12"/>
      <c r="D7724" s="2"/>
    </row>
    <row r="7725" spans="1:4" ht="12.75" customHeight="1" x14ac:dyDescent="0.2">
      <c r="A7725" s="11"/>
      <c r="B7725" s="2"/>
      <c r="C7725" s="15"/>
      <c r="D7725" s="2"/>
    </row>
    <row r="7726" spans="1:4" ht="12.75" customHeight="1" x14ac:dyDescent="0.2">
      <c r="B7726" s="11" t="s">
        <v>0</v>
      </c>
      <c r="C7726" s="17" t="s">
        <v>213</v>
      </c>
      <c r="D7726" s="2"/>
    </row>
    <row r="7727" spans="1:4" ht="12.75" customHeight="1" x14ac:dyDescent="0.2">
      <c r="B7727" s="11" t="s">
        <v>2599</v>
      </c>
      <c r="C7727" s="17" t="s">
        <v>3754</v>
      </c>
      <c r="D7727" s="2"/>
    </row>
    <row r="7728" spans="1:4" ht="25.5" customHeight="1" x14ac:dyDescent="0.2">
      <c r="B7728" s="11" t="s">
        <v>2600</v>
      </c>
      <c r="C7728" s="17" t="s">
        <v>3787</v>
      </c>
      <c r="D7728" s="2"/>
    </row>
    <row r="7729" spans="1:4" ht="25.5" customHeight="1" x14ac:dyDescent="0.2">
      <c r="B7729" s="11" t="s">
        <v>2601</v>
      </c>
      <c r="C7729" s="17"/>
      <c r="D7729" s="2"/>
    </row>
    <row r="7730" spans="1:4" ht="12.75" customHeight="1" x14ac:dyDescent="0.2">
      <c r="B7730" s="11" t="s">
        <v>16</v>
      </c>
      <c r="C7730" s="17"/>
      <c r="D7730" s="2"/>
    </row>
    <row r="7731" spans="1:4" ht="12.75" customHeight="1" x14ac:dyDescent="0.2">
      <c r="B7731" s="11" t="s">
        <v>13</v>
      </c>
      <c r="C7731" s="17" t="s">
        <v>2602</v>
      </c>
      <c r="D7731" s="2"/>
    </row>
    <row r="7732" spans="1:4" ht="25.5" customHeight="1" x14ac:dyDescent="0.2">
      <c r="B7732" s="11" t="s">
        <v>2603</v>
      </c>
      <c r="C7732" s="17" t="s">
        <v>2971</v>
      </c>
      <c r="D7732" s="2"/>
    </row>
    <row r="7733" spans="1:4" ht="12.75" customHeight="1" x14ac:dyDescent="0.2">
      <c r="B7733" s="11" t="s">
        <v>2605</v>
      </c>
      <c r="C7733" s="17" t="s">
        <v>14</v>
      </c>
      <c r="D7733" s="2"/>
    </row>
    <row r="7734" spans="1:4" ht="12.75" customHeight="1" x14ac:dyDescent="0.2">
      <c r="B7734" s="11" t="s">
        <v>2606</v>
      </c>
      <c r="C7734" s="16" t="s">
        <v>19</v>
      </c>
      <c r="D7734" s="2"/>
    </row>
    <row r="7735" spans="1:4" ht="12.75" customHeight="1" x14ac:dyDescent="0.2">
      <c r="B7735" s="2"/>
      <c r="C7735" s="15"/>
      <c r="D7735" s="2"/>
    </row>
    <row r="7736" spans="1:4" ht="12.75" customHeight="1" x14ac:dyDescent="0.2">
      <c r="B7736" s="2"/>
      <c r="C7736" s="15"/>
      <c r="D7736" s="2"/>
    </row>
    <row r="7737" spans="1:4" ht="12.75" customHeight="1" x14ac:dyDescent="0.2">
      <c r="A7737" s="13" t="s">
        <v>3696</v>
      </c>
      <c r="C7737" s="12"/>
      <c r="D7737" s="2"/>
    </row>
    <row r="7738" spans="1:4" ht="12.75" customHeight="1" x14ac:dyDescent="0.2">
      <c r="A7738" s="11"/>
      <c r="B7738" s="2"/>
      <c r="C7738" s="15"/>
      <c r="D7738" s="2"/>
    </row>
    <row r="7739" spans="1:4" ht="12.75" customHeight="1" x14ac:dyDescent="0.2">
      <c r="B7739" s="11" t="s">
        <v>0</v>
      </c>
      <c r="C7739" s="17" t="s">
        <v>213</v>
      </c>
      <c r="D7739" s="2"/>
    </row>
    <row r="7740" spans="1:4" ht="12.75" customHeight="1" x14ac:dyDescent="0.2">
      <c r="B7740" s="11" t="s">
        <v>2599</v>
      </c>
      <c r="C7740" s="17" t="s">
        <v>3697</v>
      </c>
      <c r="D7740" s="2"/>
    </row>
    <row r="7741" spans="1:4" ht="25.5" customHeight="1" x14ac:dyDescent="0.2">
      <c r="B7741" s="11" t="s">
        <v>2600</v>
      </c>
      <c r="C7741" s="17" t="s">
        <v>3788</v>
      </c>
      <c r="D7741" s="2"/>
    </row>
    <row r="7742" spans="1:4" ht="25.5" customHeight="1" x14ac:dyDescent="0.2">
      <c r="B7742" s="11" t="s">
        <v>2601</v>
      </c>
      <c r="C7742" s="17"/>
      <c r="D7742" s="2"/>
    </row>
    <row r="7743" spans="1:4" ht="12.75" customHeight="1" x14ac:dyDescent="0.2">
      <c r="B7743" s="11" t="s">
        <v>16</v>
      </c>
      <c r="C7743" s="17"/>
      <c r="D7743" s="2"/>
    </row>
    <row r="7744" spans="1:4" ht="12.75" customHeight="1" x14ac:dyDescent="0.2">
      <c r="B7744" s="11" t="s">
        <v>13</v>
      </c>
      <c r="C7744" s="17" t="s">
        <v>2602</v>
      </c>
      <c r="D7744" s="2"/>
    </row>
    <row r="7745" spans="1:4" ht="25.5" customHeight="1" x14ac:dyDescent="0.2">
      <c r="B7745" s="11" t="s">
        <v>2603</v>
      </c>
      <c r="C7745" s="17" t="s">
        <v>2971</v>
      </c>
      <c r="D7745" s="2"/>
    </row>
    <row r="7746" spans="1:4" ht="12.75" customHeight="1" x14ac:dyDescent="0.2">
      <c r="B7746" s="11" t="s">
        <v>2605</v>
      </c>
      <c r="C7746" s="17" t="s">
        <v>14</v>
      </c>
      <c r="D7746" s="2"/>
    </row>
    <row r="7747" spans="1:4" ht="12.75" customHeight="1" x14ac:dyDescent="0.2">
      <c r="B7747" s="11" t="s">
        <v>2606</v>
      </c>
      <c r="C7747" s="16" t="s">
        <v>19</v>
      </c>
      <c r="D7747" s="2"/>
    </row>
    <row r="7748" spans="1:4" ht="12.75" customHeight="1" x14ac:dyDescent="0.2">
      <c r="B7748" s="2"/>
      <c r="C7748" s="15"/>
      <c r="D7748" s="2"/>
    </row>
    <row r="7749" spans="1:4" ht="12.75" customHeight="1" x14ac:dyDescent="0.2">
      <c r="B7749" s="2"/>
      <c r="C7749" s="15"/>
      <c r="D7749" s="2"/>
    </row>
    <row r="7750" spans="1:4" ht="12.75" customHeight="1" x14ac:dyDescent="0.2">
      <c r="A7750" s="13" t="s">
        <v>3699</v>
      </c>
      <c r="C7750" s="12"/>
      <c r="D7750" s="2"/>
    </row>
    <row r="7751" spans="1:4" ht="12.75" customHeight="1" x14ac:dyDescent="0.2">
      <c r="A7751" s="11"/>
      <c r="B7751" s="2"/>
      <c r="C7751" s="15"/>
      <c r="D7751" s="2"/>
    </row>
    <row r="7752" spans="1:4" ht="12.75" customHeight="1" x14ac:dyDescent="0.2">
      <c r="B7752" s="11" t="s">
        <v>0</v>
      </c>
      <c r="C7752" s="17" t="s">
        <v>213</v>
      </c>
      <c r="D7752" s="2"/>
    </row>
    <row r="7753" spans="1:4" ht="12.75" customHeight="1" x14ac:dyDescent="0.2">
      <c r="B7753" s="11" t="s">
        <v>2599</v>
      </c>
      <c r="C7753" s="17" t="s">
        <v>3690</v>
      </c>
      <c r="D7753" s="2"/>
    </row>
    <row r="7754" spans="1:4" ht="25.5" customHeight="1" x14ac:dyDescent="0.2">
      <c r="B7754" s="11" t="s">
        <v>2600</v>
      </c>
      <c r="C7754" s="17" t="s">
        <v>3789</v>
      </c>
      <c r="D7754" s="2"/>
    </row>
    <row r="7755" spans="1:4" ht="25.5" customHeight="1" x14ac:dyDescent="0.2">
      <c r="B7755" s="11" t="s">
        <v>2601</v>
      </c>
      <c r="C7755" s="17"/>
      <c r="D7755" s="2"/>
    </row>
    <row r="7756" spans="1:4" ht="12.75" customHeight="1" x14ac:dyDescent="0.2">
      <c r="B7756" s="11" t="s">
        <v>16</v>
      </c>
      <c r="C7756" s="17"/>
      <c r="D7756" s="2"/>
    </row>
    <row r="7757" spans="1:4" ht="12.75" customHeight="1" x14ac:dyDescent="0.2">
      <c r="B7757" s="11" t="s">
        <v>13</v>
      </c>
      <c r="C7757" s="17" t="s">
        <v>2644</v>
      </c>
      <c r="D7757" s="2"/>
    </row>
    <row r="7758" spans="1:4" ht="25.5" customHeight="1" x14ac:dyDescent="0.2">
      <c r="B7758" s="11" t="s">
        <v>2603</v>
      </c>
      <c r="C7758" s="17" t="s">
        <v>2971</v>
      </c>
      <c r="D7758" s="2"/>
    </row>
    <row r="7759" spans="1:4" ht="12.75" customHeight="1" x14ac:dyDescent="0.2">
      <c r="B7759" s="11" t="s">
        <v>2605</v>
      </c>
      <c r="C7759" s="17" t="s">
        <v>14</v>
      </c>
      <c r="D7759" s="2"/>
    </row>
    <row r="7760" spans="1:4" ht="12.75" customHeight="1" x14ac:dyDescent="0.2">
      <c r="B7760" s="11" t="s">
        <v>2606</v>
      </c>
      <c r="C7760" s="16" t="s">
        <v>19</v>
      </c>
      <c r="D7760" s="2"/>
    </row>
    <row r="7761" spans="1:4" ht="12.75" customHeight="1" x14ac:dyDescent="0.2">
      <c r="B7761" s="2"/>
      <c r="C7761" s="15"/>
      <c r="D7761" s="2"/>
    </row>
    <row r="7762" spans="1:4" ht="12.75" customHeight="1" x14ac:dyDescent="0.2">
      <c r="B7762" s="2"/>
      <c r="C7762" s="15"/>
      <c r="D7762" s="2"/>
    </row>
    <row r="7763" spans="1:4" ht="12.75" customHeight="1" x14ac:dyDescent="0.2">
      <c r="A7763" s="13" t="s">
        <v>3790</v>
      </c>
      <c r="C7763" s="12"/>
    </row>
    <row r="7764" spans="1:4" ht="12.75" customHeight="1" x14ac:dyDescent="0.2">
      <c r="A7764" s="11"/>
      <c r="B7764" s="2"/>
      <c r="C7764" s="15"/>
      <c r="D7764" s="2"/>
    </row>
    <row r="7765" spans="1:4" ht="12.75" customHeight="1" x14ac:dyDescent="0.2">
      <c r="B7765" s="11" t="s">
        <v>0</v>
      </c>
      <c r="C7765" s="11" t="s">
        <v>213</v>
      </c>
    </row>
    <row r="7766" spans="1:4" ht="12.75" customHeight="1" x14ac:dyDescent="0.2">
      <c r="B7766" s="11" t="s">
        <v>2599</v>
      </c>
      <c r="C7766" s="11" t="s">
        <v>3791</v>
      </c>
    </row>
    <row r="7767" spans="1:4" ht="25.5" customHeight="1" x14ac:dyDescent="0.2">
      <c r="B7767" s="11" t="s">
        <v>2600</v>
      </c>
      <c r="C7767" s="11" t="s">
        <v>3792</v>
      </c>
    </row>
    <row r="7768" spans="1:4" ht="25.5" customHeight="1" x14ac:dyDescent="0.2">
      <c r="B7768" s="11" t="s">
        <v>2601</v>
      </c>
      <c r="C7768" s="11"/>
    </row>
    <row r="7769" spans="1:4" ht="12.75" customHeight="1" x14ac:dyDescent="0.2">
      <c r="B7769" s="11" t="s">
        <v>16</v>
      </c>
      <c r="C7769" s="11"/>
    </row>
    <row r="7770" spans="1:4" ht="12.75" customHeight="1" x14ac:dyDescent="0.2">
      <c r="B7770" s="11" t="s">
        <v>13</v>
      </c>
      <c r="C7770" s="11" t="s">
        <v>2644</v>
      </c>
    </row>
    <row r="7771" spans="1:4" ht="12.75" customHeight="1" x14ac:dyDescent="0.2">
      <c r="B7771" s="11" t="s">
        <v>2603</v>
      </c>
      <c r="C7771" s="11" t="s">
        <v>2604</v>
      </c>
    </row>
    <row r="7772" spans="1:4" ht="12.75" customHeight="1" x14ac:dyDescent="0.2">
      <c r="B7772" s="11" t="s">
        <v>2605</v>
      </c>
      <c r="C7772" s="11" t="s">
        <v>24</v>
      </c>
    </row>
    <row r="7773" spans="1:4" ht="12.75" customHeight="1" x14ac:dyDescent="0.2">
      <c r="B7773" s="11" t="s">
        <v>2606</v>
      </c>
      <c r="C7773" s="16" t="s">
        <v>44</v>
      </c>
      <c r="D7773" s="6" t="str">
        <f>HYPERLINK("javascript:void(0)","malacorr")</f>
        <v>malacorr</v>
      </c>
    </row>
    <row r="7774" spans="1:4" ht="12.75" customHeight="1" x14ac:dyDescent="0.2">
      <c r="B7774" s="2"/>
      <c r="C7774" s="15"/>
      <c r="D7774" s="2"/>
    </row>
    <row r="7775" spans="1:4" ht="12.75" customHeight="1" x14ac:dyDescent="0.2">
      <c r="B7775" s="2"/>
      <c r="C7775" s="15"/>
      <c r="D7775" s="2"/>
    </row>
    <row r="7776" spans="1:4" ht="12.75" customHeight="1" x14ac:dyDescent="0.2">
      <c r="A7776" s="13" t="s">
        <v>3793</v>
      </c>
      <c r="C7776" s="12"/>
    </row>
    <row r="7777" spans="1:4" ht="12.75" customHeight="1" x14ac:dyDescent="0.2">
      <c r="A7777" s="11"/>
      <c r="B7777" s="2"/>
      <c r="C7777" s="15"/>
      <c r="D7777" s="2"/>
    </row>
    <row r="7778" spans="1:4" ht="12.75" customHeight="1" x14ac:dyDescent="0.2">
      <c r="B7778" s="11" t="s">
        <v>0</v>
      </c>
      <c r="C7778" s="11" t="s">
        <v>213</v>
      </c>
    </row>
    <row r="7779" spans="1:4" ht="12.75" customHeight="1" x14ac:dyDescent="0.2">
      <c r="B7779" s="11" t="s">
        <v>2599</v>
      </c>
      <c r="C7779" s="11" t="s">
        <v>3794</v>
      </c>
    </row>
    <row r="7780" spans="1:4" ht="25.5" customHeight="1" x14ac:dyDescent="0.2">
      <c r="B7780" s="11" t="s">
        <v>2600</v>
      </c>
      <c r="C7780" s="11" t="s">
        <v>3795</v>
      </c>
    </row>
    <row r="7781" spans="1:4" ht="25.5" customHeight="1" x14ac:dyDescent="0.2">
      <c r="B7781" s="11" t="s">
        <v>2601</v>
      </c>
      <c r="C7781" s="11"/>
    </row>
    <row r="7782" spans="1:4" ht="12.75" customHeight="1" x14ac:dyDescent="0.2">
      <c r="B7782" s="11" t="s">
        <v>16</v>
      </c>
      <c r="C7782" s="11"/>
    </row>
    <row r="7783" spans="1:4" ht="12.75" customHeight="1" x14ac:dyDescent="0.2">
      <c r="B7783" s="11" t="s">
        <v>13</v>
      </c>
      <c r="C7783" s="11" t="s">
        <v>2644</v>
      </c>
    </row>
    <row r="7784" spans="1:4" ht="12.75" customHeight="1" x14ac:dyDescent="0.2">
      <c r="B7784" s="11" t="s">
        <v>2603</v>
      </c>
      <c r="C7784" s="11" t="s">
        <v>2604</v>
      </c>
    </row>
    <row r="7785" spans="1:4" ht="12.75" customHeight="1" x14ac:dyDescent="0.2">
      <c r="B7785" s="11" t="s">
        <v>2605</v>
      </c>
      <c r="C7785" s="11" t="s">
        <v>24</v>
      </c>
    </row>
    <row r="7786" spans="1:4" ht="12.75" customHeight="1" x14ac:dyDescent="0.2">
      <c r="B7786" s="11" t="s">
        <v>2606</v>
      </c>
      <c r="C7786" s="16" t="s">
        <v>44</v>
      </c>
      <c r="D7786" s="6" t="str">
        <f>HYPERLINK("javascript:void(0)","medvepúp")</f>
        <v>medvepúp</v>
      </c>
    </row>
    <row r="7787" spans="1:4" ht="12.75" customHeight="1" x14ac:dyDescent="0.2">
      <c r="C7787" s="16" t="s">
        <v>142</v>
      </c>
      <c r="D7787" s="6" t="str">
        <f>HYPERLINK("javascript:void(0)","kincs")</f>
        <v>kincs</v>
      </c>
    </row>
    <row r="7788" spans="1:4" ht="12.75" customHeight="1" x14ac:dyDescent="0.2">
      <c r="B7788" s="2"/>
      <c r="C7788" s="15"/>
      <c r="D7788" s="2"/>
    </row>
    <row r="7789" spans="1:4" ht="12.75" customHeight="1" x14ac:dyDescent="0.2">
      <c r="B7789" s="2"/>
      <c r="C7789" s="15"/>
      <c r="D7789" s="2"/>
    </row>
    <row r="7790" spans="1:4" ht="12.75" customHeight="1" x14ac:dyDescent="0.2">
      <c r="A7790" s="13" t="s">
        <v>3796</v>
      </c>
      <c r="C7790" s="12"/>
    </row>
    <row r="7791" spans="1:4" ht="12.75" customHeight="1" x14ac:dyDescent="0.2">
      <c r="A7791" s="11"/>
      <c r="B7791" s="2"/>
      <c r="C7791" s="15"/>
      <c r="D7791" s="2"/>
    </row>
    <row r="7792" spans="1:4" ht="12.75" customHeight="1" x14ac:dyDescent="0.2">
      <c r="B7792" s="11" t="s">
        <v>0</v>
      </c>
      <c r="C7792" s="11" t="s">
        <v>213</v>
      </c>
    </row>
    <row r="7793" spans="1:4" ht="12.75" customHeight="1" x14ac:dyDescent="0.2">
      <c r="B7793" s="11" t="s">
        <v>2599</v>
      </c>
      <c r="C7793" s="11" t="s">
        <v>1940</v>
      </c>
    </row>
    <row r="7794" spans="1:4" ht="25.5" customHeight="1" x14ac:dyDescent="0.2">
      <c r="B7794" s="11" t="s">
        <v>2600</v>
      </c>
      <c r="C7794" s="11" t="s">
        <v>3797</v>
      </c>
    </row>
    <row r="7795" spans="1:4" ht="25.5" customHeight="1" x14ac:dyDescent="0.2">
      <c r="B7795" s="11" t="s">
        <v>2601</v>
      </c>
      <c r="C7795" s="11"/>
    </row>
    <row r="7796" spans="1:4" ht="12.75" customHeight="1" x14ac:dyDescent="0.2">
      <c r="B7796" s="11" t="s">
        <v>16</v>
      </c>
      <c r="C7796" s="11"/>
    </row>
    <row r="7797" spans="1:4" ht="12.75" customHeight="1" x14ac:dyDescent="0.2">
      <c r="B7797" s="11" t="s">
        <v>13</v>
      </c>
      <c r="C7797" s="11" t="s">
        <v>2602</v>
      </c>
    </row>
    <row r="7798" spans="1:4" ht="12.75" customHeight="1" x14ac:dyDescent="0.2">
      <c r="B7798" s="11" t="s">
        <v>2603</v>
      </c>
      <c r="C7798" s="11" t="s">
        <v>2604</v>
      </c>
    </row>
    <row r="7799" spans="1:4" ht="12.75" customHeight="1" x14ac:dyDescent="0.2">
      <c r="B7799" s="11" t="s">
        <v>2605</v>
      </c>
      <c r="C7799" s="11" t="s">
        <v>24</v>
      </c>
    </row>
    <row r="7800" spans="1:4" ht="12.75" customHeight="1" x14ac:dyDescent="0.2">
      <c r="B7800" s="11" t="s">
        <v>2606</v>
      </c>
      <c r="C7800" s="16" t="s">
        <v>44</v>
      </c>
      <c r="D7800" s="6" t="str">
        <f>HYPERLINK("javascript:void(0)","portgyűrű")</f>
        <v>portgyűrű</v>
      </c>
    </row>
    <row r="7801" spans="1:4" ht="12.75" customHeight="1" x14ac:dyDescent="0.2">
      <c r="B7801" s="2"/>
      <c r="C7801" s="15"/>
      <c r="D7801" s="2"/>
    </row>
    <row r="7802" spans="1:4" ht="12.75" customHeight="1" x14ac:dyDescent="0.2">
      <c r="B7802" s="2"/>
      <c r="C7802" s="15"/>
      <c r="D7802" s="2"/>
    </row>
    <row r="7803" spans="1:4" ht="12.75" customHeight="1" x14ac:dyDescent="0.2">
      <c r="A7803" s="13" t="s">
        <v>3798</v>
      </c>
      <c r="C7803" s="12"/>
    </row>
    <row r="7804" spans="1:4" ht="12.75" customHeight="1" x14ac:dyDescent="0.2">
      <c r="A7804" s="11"/>
      <c r="B7804" s="2"/>
      <c r="C7804" s="15"/>
      <c r="D7804" s="2"/>
    </row>
    <row r="7805" spans="1:4" ht="12.75" customHeight="1" x14ac:dyDescent="0.2">
      <c r="B7805" s="11" t="s">
        <v>0</v>
      </c>
      <c r="C7805" s="11" t="s">
        <v>213</v>
      </c>
    </row>
    <row r="7806" spans="1:4" ht="12.75" customHeight="1" x14ac:dyDescent="0.2">
      <c r="B7806" s="11" t="s">
        <v>2599</v>
      </c>
      <c r="C7806" s="11" t="s">
        <v>3799</v>
      </c>
    </row>
    <row r="7807" spans="1:4" ht="25.5" customHeight="1" x14ac:dyDescent="0.2">
      <c r="B7807" s="11" t="s">
        <v>2600</v>
      </c>
      <c r="C7807" s="11" t="s">
        <v>3800</v>
      </c>
    </row>
    <row r="7808" spans="1:4" ht="25.5" customHeight="1" x14ac:dyDescent="0.2">
      <c r="B7808" s="11" t="s">
        <v>2601</v>
      </c>
      <c r="C7808" s="11"/>
    </row>
    <row r="7809" spans="1:4" ht="12.75" customHeight="1" x14ac:dyDescent="0.2">
      <c r="B7809" s="11" t="s">
        <v>16</v>
      </c>
      <c r="C7809" s="11"/>
    </row>
    <row r="7810" spans="1:4" ht="12.75" customHeight="1" x14ac:dyDescent="0.2">
      <c r="B7810" s="11" t="s">
        <v>13</v>
      </c>
      <c r="C7810" s="11" t="s">
        <v>2602</v>
      </c>
    </row>
    <row r="7811" spans="1:4" ht="12.75" customHeight="1" x14ac:dyDescent="0.2">
      <c r="B7811" s="11" t="s">
        <v>2603</v>
      </c>
      <c r="C7811" s="11" t="s">
        <v>2604</v>
      </c>
    </row>
    <row r="7812" spans="1:4" ht="12.75" customHeight="1" x14ac:dyDescent="0.2">
      <c r="B7812" s="11" t="s">
        <v>2605</v>
      </c>
      <c r="C7812" s="11" t="s">
        <v>24</v>
      </c>
    </row>
    <row r="7813" spans="1:4" ht="12.75" customHeight="1" x14ac:dyDescent="0.2">
      <c r="B7813" s="11" t="s">
        <v>2606</v>
      </c>
      <c r="C7813" s="16" t="s">
        <v>55</v>
      </c>
      <c r="D7813" s="6" t="str">
        <f>HYPERLINK("javascript:void(0)","kincs")</f>
        <v>kincs</v>
      </c>
    </row>
    <row r="7814" spans="1:4" ht="12.75" customHeight="1" x14ac:dyDescent="0.2">
      <c r="C7814" s="16" t="s">
        <v>44</v>
      </c>
      <c r="D7814" s="6" t="str">
        <f>HYPERLINK("javascript:void(0)","vari amulett")</f>
        <v>vari amulett</v>
      </c>
    </row>
    <row r="7815" spans="1:4" ht="12.75" customHeight="1" x14ac:dyDescent="0.2">
      <c r="B7815" s="2"/>
      <c r="C7815" s="15"/>
      <c r="D7815" s="2"/>
    </row>
    <row r="7816" spans="1:4" ht="12.75" customHeight="1" x14ac:dyDescent="0.2">
      <c r="B7816" s="2"/>
      <c r="C7816" s="15"/>
      <c r="D7816" s="2"/>
    </row>
    <row r="7817" spans="1:4" ht="12.75" customHeight="1" x14ac:dyDescent="0.2">
      <c r="A7817" s="13" t="s">
        <v>3801</v>
      </c>
      <c r="C7817" s="12"/>
    </row>
    <row r="7818" spans="1:4" ht="12.75" customHeight="1" x14ac:dyDescent="0.2">
      <c r="A7818" s="11"/>
      <c r="B7818" s="2"/>
      <c r="C7818" s="15"/>
      <c r="D7818" s="2"/>
    </row>
    <row r="7819" spans="1:4" ht="12.75" customHeight="1" x14ac:dyDescent="0.2">
      <c r="B7819" s="11" t="s">
        <v>0</v>
      </c>
      <c r="C7819" s="11" t="s">
        <v>213</v>
      </c>
    </row>
    <row r="7820" spans="1:4" ht="12.75" customHeight="1" x14ac:dyDescent="0.2">
      <c r="B7820" s="11" t="s">
        <v>2599</v>
      </c>
      <c r="C7820" s="11" t="s">
        <v>3802</v>
      </c>
    </row>
    <row r="7821" spans="1:4" ht="25.5" customHeight="1" x14ac:dyDescent="0.2">
      <c r="B7821" s="11" t="s">
        <v>2600</v>
      </c>
      <c r="C7821" s="11" t="s">
        <v>3803</v>
      </c>
    </row>
    <row r="7822" spans="1:4" ht="25.5" customHeight="1" x14ac:dyDescent="0.2">
      <c r="B7822" s="11" t="s">
        <v>2601</v>
      </c>
      <c r="C7822" s="11"/>
    </row>
    <row r="7823" spans="1:4" ht="12.75" customHeight="1" x14ac:dyDescent="0.2">
      <c r="B7823" s="11" t="s">
        <v>16</v>
      </c>
      <c r="C7823" s="11"/>
    </row>
    <row r="7824" spans="1:4" ht="12.75" customHeight="1" x14ac:dyDescent="0.2">
      <c r="B7824" s="11" t="s">
        <v>13</v>
      </c>
      <c r="C7824" s="11" t="s">
        <v>2602</v>
      </c>
    </row>
    <row r="7825" spans="1:4" ht="12.75" customHeight="1" x14ac:dyDescent="0.2">
      <c r="B7825" s="11" t="s">
        <v>2603</v>
      </c>
      <c r="C7825" s="11" t="s">
        <v>2604</v>
      </c>
    </row>
    <row r="7826" spans="1:4" ht="12.75" customHeight="1" x14ac:dyDescent="0.2">
      <c r="B7826" s="11" t="s">
        <v>2605</v>
      </c>
      <c r="C7826" s="11" t="s">
        <v>24</v>
      </c>
    </row>
    <row r="7827" spans="1:4" ht="12.75" customHeight="1" x14ac:dyDescent="0.2">
      <c r="B7827" s="11" t="s">
        <v>2606</v>
      </c>
      <c r="C7827" s="16" t="s">
        <v>55</v>
      </c>
      <c r="D7827" s="6" t="str">
        <f>HYPERLINK("javascript:void(0)","kincs")</f>
        <v>kincs</v>
      </c>
    </row>
    <row r="7828" spans="1:4" ht="12.75" customHeight="1" x14ac:dyDescent="0.2">
      <c r="C7828" s="16" t="s">
        <v>44</v>
      </c>
      <c r="D7828" s="6" t="str">
        <f>HYPERLINK("javascript:void(0)","vari amulett")</f>
        <v>vari amulett</v>
      </c>
    </row>
    <row r="7829" spans="1:4" ht="12.75" customHeight="1" x14ac:dyDescent="0.2">
      <c r="B7829" s="2"/>
      <c r="C7829" s="15"/>
      <c r="D7829" s="2"/>
    </row>
    <row r="7830" spans="1:4" ht="12.75" customHeight="1" x14ac:dyDescent="0.2">
      <c r="B7830" s="2"/>
      <c r="C7830" s="15"/>
      <c r="D7830" s="2"/>
    </row>
    <row r="7831" spans="1:4" ht="12.75" customHeight="1" x14ac:dyDescent="0.2">
      <c r="A7831" s="13" t="s">
        <v>3804</v>
      </c>
      <c r="C7831" s="12"/>
    </row>
    <row r="7832" spans="1:4" ht="12.75" customHeight="1" x14ac:dyDescent="0.2">
      <c r="A7832" s="11"/>
      <c r="B7832" s="2"/>
      <c r="C7832" s="15"/>
      <c r="D7832" s="2"/>
    </row>
    <row r="7833" spans="1:4" ht="12.75" customHeight="1" x14ac:dyDescent="0.2">
      <c r="B7833" s="11" t="s">
        <v>0</v>
      </c>
      <c r="C7833" s="11" t="s">
        <v>213</v>
      </c>
    </row>
    <row r="7834" spans="1:4" ht="12.75" customHeight="1" x14ac:dyDescent="0.2">
      <c r="B7834" s="11" t="s">
        <v>2599</v>
      </c>
      <c r="C7834" s="11" t="s">
        <v>2578</v>
      </c>
    </row>
    <row r="7835" spans="1:4" ht="25.5" customHeight="1" x14ac:dyDescent="0.2">
      <c r="B7835" s="11" t="s">
        <v>2600</v>
      </c>
      <c r="C7835" s="11" t="s">
        <v>3805</v>
      </c>
    </row>
    <row r="7836" spans="1:4" ht="25.5" customHeight="1" x14ac:dyDescent="0.2">
      <c r="B7836" s="11" t="s">
        <v>2601</v>
      </c>
      <c r="C7836" s="11"/>
    </row>
    <row r="7837" spans="1:4" ht="12.75" customHeight="1" x14ac:dyDescent="0.2">
      <c r="B7837" s="11" t="s">
        <v>16</v>
      </c>
      <c r="C7837" s="11"/>
    </row>
    <row r="7838" spans="1:4" ht="12.75" customHeight="1" x14ac:dyDescent="0.2">
      <c r="B7838" s="11" t="s">
        <v>13</v>
      </c>
      <c r="C7838" s="11" t="s">
        <v>2644</v>
      </c>
    </row>
    <row r="7839" spans="1:4" ht="12.75" customHeight="1" x14ac:dyDescent="0.2">
      <c r="B7839" s="11" t="s">
        <v>2603</v>
      </c>
      <c r="C7839" s="11" t="s">
        <v>2604</v>
      </c>
    </row>
    <row r="7840" spans="1:4" ht="12.75" customHeight="1" x14ac:dyDescent="0.2">
      <c r="B7840" s="11" t="s">
        <v>2605</v>
      </c>
      <c r="C7840" s="11" t="s">
        <v>24</v>
      </c>
    </row>
    <row r="7841" spans="1:4" ht="12.75" customHeight="1" x14ac:dyDescent="0.2">
      <c r="B7841" s="11" t="s">
        <v>2606</v>
      </c>
      <c r="C7841" s="16" t="s">
        <v>98</v>
      </c>
      <c r="D7841" s="6" t="str">
        <f>HYPERLINK("javascript:void(0)","kincs")</f>
        <v>kincs</v>
      </c>
    </row>
    <row r="7842" spans="1:4" ht="12.75" customHeight="1" x14ac:dyDescent="0.2">
      <c r="B7842" s="2"/>
      <c r="C7842" s="15"/>
      <c r="D7842" s="2"/>
    </row>
    <row r="7843" spans="1:4" ht="12.75" customHeight="1" x14ac:dyDescent="0.2">
      <c r="B7843" s="2"/>
      <c r="C7843" s="15"/>
      <c r="D7843" s="2"/>
    </row>
    <row r="7844" spans="1:4" ht="12.75" customHeight="1" x14ac:dyDescent="0.2">
      <c r="A7844" s="13" t="s">
        <v>3806</v>
      </c>
      <c r="C7844" s="12"/>
    </row>
    <row r="7845" spans="1:4" ht="12.75" customHeight="1" x14ac:dyDescent="0.2">
      <c r="A7845" s="11"/>
      <c r="B7845" s="2"/>
      <c r="C7845" s="15"/>
      <c r="D7845" s="2"/>
    </row>
    <row r="7846" spans="1:4" ht="12.75" customHeight="1" x14ac:dyDescent="0.2">
      <c r="B7846" s="11" t="s">
        <v>0</v>
      </c>
      <c r="C7846" s="11" t="s">
        <v>213</v>
      </c>
    </row>
    <row r="7847" spans="1:4" ht="12.75" customHeight="1" x14ac:dyDescent="0.2">
      <c r="B7847" s="11" t="s">
        <v>2599</v>
      </c>
      <c r="C7847" s="11" t="s">
        <v>3739</v>
      </c>
    </row>
    <row r="7848" spans="1:4" ht="25.5" customHeight="1" x14ac:dyDescent="0.2">
      <c r="B7848" s="11" t="s">
        <v>2600</v>
      </c>
      <c r="C7848" s="11" t="s">
        <v>3807</v>
      </c>
    </row>
    <row r="7849" spans="1:4" ht="25.5" customHeight="1" x14ac:dyDescent="0.2">
      <c r="B7849" s="11" t="s">
        <v>2601</v>
      </c>
      <c r="C7849" s="11"/>
    </row>
    <row r="7850" spans="1:4" ht="12.75" customHeight="1" x14ac:dyDescent="0.2">
      <c r="B7850" s="11" t="s">
        <v>16</v>
      </c>
      <c r="C7850" s="11"/>
    </row>
    <row r="7851" spans="1:4" ht="12.75" customHeight="1" x14ac:dyDescent="0.2">
      <c r="B7851" s="11" t="s">
        <v>13</v>
      </c>
      <c r="C7851" s="11" t="s">
        <v>2602</v>
      </c>
    </row>
    <row r="7852" spans="1:4" ht="12.75" customHeight="1" x14ac:dyDescent="0.2">
      <c r="B7852" s="11" t="s">
        <v>2603</v>
      </c>
      <c r="C7852" s="11" t="s">
        <v>2604</v>
      </c>
    </row>
    <row r="7853" spans="1:4" ht="12.75" customHeight="1" x14ac:dyDescent="0.2">
      <c r="B7853" s="11" t="s">
        <v>2605</v>
      </c>
      <c r="C7853" s="11" t="s">
        <v>24</v>
      </c>
    </row>
    <row r="7854" spans="1:4" ht="12.75" customHeight="1" x14ac:dyDescent="0.2">
      <c r="B7854" s="11" t="s">
        <v>2606</v>
      </c>
      <c r="C7854" s="16" t="s">
        <v>44</v>
      </c>
      <c r="D7854" s="6" t="str">
        <f>HYPERLINK("javascript:void(0)","manaital")</f>
        <v>manaital</v>
      </c>
    </row>
    <row r="7855" spans="1:4" ht="12.75" customHeight="1" x14ac:dyDescent="0.2">
      <c r="C7855" s="16" t="s">
        <v>44</v>
      </c>
      <c r="D7855" s="6" t="str">
        <f>HYPERLINK("javascript:void(0)","aqua dei")</f>
        <v>aqua dei</v>
      </c>
    </row>
    <row r="7856" spans="1:4" ht="12.75" customHeight="1" x14ac:dyDescent="0.2">
      <c r="B7856" s="2"/>
      <c r="C7856" s="15"/>
      <c r="D7856" s="2"/>
    </row>
    <row r="7857" spans="1:4" ht="12.75" customHeight="1" x14ac:dyDescent="0.2">
      <c r="B7857" s="2"/>
      <c r="C7857" s="15"/>
      <c r="D7857" s="2"/>
    </row>
    <row r="7858" spans="1:4" ht="12.75" customHeight="1" x14ac:dyDescent="0.2">
      <c r="A7858" s="13" t="s">
        <v>3808</v>
      </c>
      <c r="C7858" s="12"/>
    </row>
    <row r="7859" spans="1:4" ht="12.75" customHeight="1" x14ac:dyDescent="0.2">
      <c r="A7859" s="11"/>
      <c r="B7859" s="2"/>
      <c r="C7859" s="15"/>
      <c r="D7859" s="2"/>
    </row>
    <row r="7860" spans="1:4" ht="12.75" customHeight="1" x14ac:dyDescent="0.2">
      <c r="B7860" s="11" t="s">
        <v>0</v>
      </c>
      <c r="C7860" s="11" t="s">
        <v>213</v>
      </c>
    </row>
    <row r="7861" spans="1:4" ht="12.75" customHeight="1" x14ac:dyDescent="0.2">
      <c r="B7861" s="11" t="s">
        <v>2599</v>
      </c>
      <c r="C7861" s="11" t="s">
        <v>333</v>
      </c>
    </row>
    <row r="7862" spans="1:4" ht="25.5" customHeight="1" x14ac:dyDescent="0.2">
      <c r="B7862" s="11" t="s">
        <v>2600</v>
      </c>
      <c r="C7862" s="11" t="s">
        <v>3809</v>
      </c>
    </row>
    <row r="7863" spans="1:4" ht="25.5" customHeight="1" x14ac:dyDescent="0.2">
      <c r="B7863" s="11" t="s">
        <v>2601</v>
      </c>
      <c r="C7863" s="11"/>
    </row>
    <row r="7864" spans="1:4" ht="12.75" customHeight="1" x14ac:dyDescent="0.2">
      <c r="B7864" s="11" t="s">
        <v>16</v>
      </c>
      <c r="C7864" s="11"/>
    </row>
    <row r="7865" spans="1:4" ht="12.75" customHeight="1" x14ac:dyDescent="0.2">
      <c r="B7865" s="11" t="s">
        <v>13</v>
      </c>
      <c r="C7865" s="11" t="s">
        <v>2602</v>
      </c>
    </row>
    <row r="7866" spans="1:4" ht="12.75" customHeight="1" x14ac:dyDescent="0.2">
      <c r="B7866" s="11" t="s">
        <v>2603</v>
      </c>
      <c r="C7866" s="11" t="s">
        <v>2604</v>
      </c>
    </row>
    <row r="7867" spans="1:4" ht="12.75" customHeight="1" x14ac:dyDescent="0.2">
      <c r="B7867" s="11" t="s">
        <v>2605</v>
      </c>
      <c r="C7867" s="11" t="s">
        <v>24</v>
      </c>
    </row>
    <row r="7868" spans="1:4" ht="12.75" customHeight="1" x14ac:dyDescent="0.2">
      <c r="B7868" s="11" t="s">
        <v>2606</v>
      </c>
      <c r="C7868" s="16" t="s">
        <v>44</v>
      </c>
      <c r="D7868" s="6" t="str">
        <f>HYPERLINK("javascript:void(0)","manaital")</f>
        <v>manaital</v>
      </c>
    </row>
    <row r="7869" spans="1:4" ht="12.75" customHeight="1" x14ac:dyDescent="0.2">
      <c r="C7869" s="16" t="s">
        <v>44</v>
      </c>
      <c r="D7869" s="6" t="str">
        <f>HYPERLINK("javascript:void(0)","aqua dei")</f>
        <v>aqua dei</v>
      </c>
    </row>
    <row r="7870" spans="1:4" ht="12.75" customHeight="1" x14ac:dyDescent="0.2">
      <c r="B7870" s="2"/>
      <c r="C7870" s="15"/>
      <c r="D7870" s="2"/>
    </row>
    <row r="7871" spans="1:4" ht="12.75" customHeight="1" x14ac:dyDescent="0.2">
      <c r="B7871" s="2"/>
      <c r="C7871" s="15"/>
      <c r="D7871" s="2"/>
    </row>
    <row r="7872" spans="1:4" ht="12.75" customHeight="1" x14ac:dyDescent="0.2">
      <c r="A7872" s="13" t="s">
        <v>3810</v>
      </c>
      <c r="C7872" s="12"/>
      <c r="D7872" s="2"/>
    </row>
    <row r="7873" spans="1:4" ht="12.75" customHeight="1" x14ac:dyDescent="0.2">
      <c r="A7873" s="11"/>
      <c r="B7873" s="2"/>
      <c r="C7873" s="15"/>
      <c r="D7873" s="2"/>
    </row>
    <row r="7874" spans="1:4" ht="12.75" customHeight="1" x14ac:dyDescent="0.2">
      <c r="B7874" s="11" t="s">
        <v>0</v>
      </c>
      <c r="C7874" s="17" t="s">
        <v>213</v>
      </c>
      <c r="D7874" s="2"/>
    </row>
    <row r="7875" spans="1:4" ht="12.75" customHeight="1" x14ac:dyDescent="0.2">
      <c r="B7875" s="11" t="s">
        <v>2599</v>
      </c>
      <c r="C7875" s="17" t="s">
        <v>3811</v>
      </c>
      <c r="D7875" s="2"/>
    </row>
    <row r="7876" spans="1:4" ht="25.5" customHeight="1" x14ac:dyDescent="0.2">
      <c r="B7876" s="11" t="s">
        <v>2600</v>
      </c>
      <c r="C7876" s="17" t="s">
        <v>3812</v>
      </c>
      <c r="D7876" s="2"/>
    </row>
    <row r="7877" spans="1:4" ht="25.5" customHeight="1" x14ac:dyDescent="0.2">
      <c r="B7877" s="11" t="s">
        <v>2601</v>
      </c>
      <c r="C7877" s="17"/>
      <c r="D7877" s="2"/>
    </row>
    <row r="7878" spans="1:4" ht="12.75" customHeight="1" x14ac:dyDescent="0.2">
      <c r="B7878" s="11" t="s">
        <v>16</v>
      </c>
      <c r="C7878" s="17"/>
      <c r="D7878" s="2"/>
    </row>
    <row r="7879" spans="1:4" ht="12.75" customHeight="1" x14ac:dyDescent="0.2">
      <c r="B7879" s="11" t="s">
        <v>13</v>
      </c>
      <c r="C7879" s="17" t="s">
        <v>2644</v>
      </c>
      <c r="D7879" s="2"/>
    </row>
    <row r="7880" spans="1:4" ht="12.75" customHeight="1" x14ac:dyDescent="0.2">
      <c r="B7880" s="11" t="s">
        <v>2603</v>
      </c>
      <c r="C7880" s="17" t="s">
        <v>2604</v>
      </c>
      <c r="D7880" s="2"/>
    </row>
    <row r="7881" spans="1:4" ht="12.75" customHeight="1" x14ac:dyDescent="0.2">
      <c r="B7881" s="11" t="s">
        <v>2605</v>
      </c>
      <c r="C7881" s="17" t="s">
        <v>24</v>
      </c>
      <c r="D7881" s="2"/>
    </row>
    <row r="7882" spans="1:4" ht="12.75" customHeight="1" x14ac:dyDescent="0.2">
      <c r="B7882" s="11" t="s">
        <v>2606</v>
      </c>
      <c r="C7882" s="16" t="s">
        <v>19</v>
      </c>
      <c r="D7882" s="2"/>
    </row>
    <row r="7883" spans="1:4" ht="12.75" customHeight="1" x14ac:dyDescent="0.2">
      <c r="B7883" s="2"/>
      <c r="C7883" s="15"/>
      <c r="D7883" s="2"/>
    </row>
    <row r="7884" spans="1:4" ht="12.75" customHeight="1" x14ac:dyDescent="0.2">
      <c r="B7884" s="2"/>
      <c r="C7884" s="15"/>
      <c r="D7884" s="2"/>
    </row>
    <row r="7885" spans="1:4" ht="12.75" customHeight="1" x14ac:dyDescent="0.2">
      <c r="A7885" s="13" t="s">
        <v>3689</v>
      </c>
      <c r="C7885" s="12"/>
      <c r="D7885" s="2"/>
    </row>
    <row r="7886" spans="1:4" ht="12.75" customHeight="1" x14ac:dyDescent="0.2">
      <c r="A7886" s="11"/>
      <c r="B7886" s="2"/>
      <c r="C7886" s="15"/>
      <c r="D7886" s="2"/>
    </row>
    <row r="7887" spans="1:4" ht="12.75" customHeight="1" x14ac:dyDescent="0.2">
      <c r="B7887" s="11" t="s">
        <v>0</v>
      </c>
      <c r="C7887" s="17" t="s">
        <v>58</v>
      </c>
      <c r="D7887" s="2"/>
    </row>
    <row r="7888" spans="1:4" ht="12.75" customHeight="1" x14ac:dyDescent="0.2">
      <c r="B7888" s="11" t="s">
        <v>2599</v>
      </c>
      <c r="C7888" s="17" t="s">
        <v>3690</v>
      </c>
      <c r="D7888" s="2"/>
    </row>
    <row r="7889" spans="1:4" ht="25.5" customHeight="1" x14ac:dyDescent="0.2">
      <c r="B7889" s="11" t="s">
        <v>2600</v>
      </c>
      <c r="C7889" s="17" t="s">
        <v>3813</v>
      </c>
      <c r="D7889" s="2"/>
    </row>
    <row r="7890" spans="1:4" ht="25.5" customHeight="1" x14ac:dyDescent="0.2">
      <c r="B7890" s="11" t="s">
        <v>2601</v>
      </c>
      <c r="C7890" s="17"/>
      <c r="D7890" s="2"/>
    </row>
    <row r="7891" spans="1:4" ht="12.75" customHeight="1" x14ac:dyDescent="0.2">
      <c r="B7891" s="11" t="s">
        <v>16</v>
      </c>
      <c r="C7891" s="17"/>
      <c r="D7891" s="2"/>
    </row>
    <row r="7892" spans="1:4" ht="12.75" customHeight="1" x14ac:dyDescent="0.2">
      <c r="B7892" s="11" t="s">
        <v>13</v>
      </c>
      <c r="C7892" s="17" t="s">
        <v>2644</v>
      </c>
      <c r="D7892" s="2"/>
    </row>
    <row r="7893" spans="1:4" ht="25.5" customHeight="1" x14ac:dyDescent="0.2">
      <c r="B7893" s="11" t="s">
        <v>2603</v>
      </c>
      <c r="C7893" s="17" t="s">
        <v>2971</v>
      </c>
      <c r="D7893" s="2"/>
    </row>
    <row r="7894" spans="1:4" ht="12.75" customHeight="1" x14ac:dyDescent="0.2">
      <c r="B7894" s="11" t="s">
        <v>2605</v>
      </c>
      <c r="C7894" s="17" t="s">
        <v>14</v>
      </c>
      <c r="D7894" s="2"/>
    </row>
    <row r="7895" spans="1:4" ht="12.75" customHeight="1" x14ac:dyDescent="0.2">
      <c r="B7895" s="11" t="s">
        <v>2606</v>
      </c>
      <c r="C7895" s="16" t="s">
        <v>19</v>
      </c>
      <c r="D7895" s="2"/>
    </row>
    <row r="7896" spans="1:4" ht="12.75" customHeight="1" x14ac:dyDescent="0.2">
      <c r="B7896" s="2"/>
      <c r="C7896" s="15"/>
      <c r="D7896" s="2"/>
    </row>
    <row r="7897" spans="1:4" ht="12.75" customHeight="1" x14ac:dyDescent="0.2">
      <c r="B7897" s="2"/>
      <c r="C7897" s="15"/>
      <c r="D7897" s="2"/>
    </row>
    <row r="7898" spans="1:4" ht="12.75" customHeight="1" x14ac:dyDescent="0.2">
      <c r="A7898" s="13" t="s">
        <v>3783</v>
      </c>
      <c r="C7898" s="12"/>
      <c r="D7898" s="2"/>
    </row>
    <row r="7899" spans="1:4" ht="12.75" customHeight="1" x14ac:dyDescent="0.2">
      <c r="A7899" s="11"/>
      <c r="B7899" s="2"/>
      <c r="C7899" s="15"/>
      <c r="D7899" s="2"/>
    </row>
    <row r="7900" spans="1:4" ht="12.75" customHeight="1" x14ac:dyDescent="0.2">
      <c r="B7900" s="11" t="s">
        <v>0</v>
      </c>
      <c r="C7900" s="17" t="s">
        <v>58</v>
      </c>
      <c r="D7900" s="2"/>
    </row>
    <row r="7901" spans="1:4" ht="12.75" customHeight="1" x14ac:dyDescent="0.2">
      <c r="B7901" s="11" t="s">
        <v>2599</v>
      </c>
      <c r="C7901" s="17" t="s">
        <v>3784</v>
      </c>
      <c r="D7901" s="2"/>
    </row>
    <row r="7902" spans="1:4" ht="25.5" customHeight="1" x14ac:dyDescent="0.2">
      <c r="B7902" s="11" t="s">
        <v>2600</v>
      </c>
      <c r="C7902" s="17" t="s">
        <v>3814</v>
      </c>
      <c r="D7902" s="2"/>
    </row>
    <row r="7903" spans="1:4" ht="25.5" customHeight="1" x14ac:dyDescent="0.2">
      <c r="B7903" s="11" t="s">
        <v>2601</v>
      </c>
      <c r="C7903" s="17"/>
      <c r="D7903" s="2"/>
    </row>
    <row r="7904" spans="1:4" ht="12.75" customHeight="1" x14ac:dyDescent="0.2">
      <c r="B7904" s="11" t="s">
        <v>16</v>
      </c>
      <c r="C7904" s="17"/>
      <c r="D7904" s="2"/>
    </row>
    <row r="7905" spans="1:4" ht="12.75" customHeight="1" x14ac:dyDescent="0.2">
      <c r="B7905" s="11" t="s">
        <v>13</v>
      </c>
      <c r="C7905" s="17" t="s">
        <v>2602</v>
      </c>
      <c r="D7905" s="2"/>
    </row>
    <row r="7906" spans="1:4" ht="25.5" customHeight="1" x14ac:dyDescent="0.2">
      <c r="B7906" s="11" t="s">
        <v>2603</v>
      </c>
      <c r="C7906" s="17" t="s">
        <v>2971</v>
      </c>
      <c r="D7906" s="2"/>
    </row>
    <row r="7907" spans="1:4" ht="12.75" customHeight="1" x14ac:dyDescent="0.2">
      <c r="B7907" s="11" t="s">
        <v>2605</v>
      </c>
      <c r="C7907" s="17" t="s">
        <v>14</v>
      </c>
      <c r="D7907" s="2"/>
    </row>
    <row r="7908" spans="1:4" ht="12.75" customHeight="1" x14ac:dyDescent="0.2">
      <c r="B7908" s="11" t="s">
        <v>2606</v>
      </c>
      <c r="C7908" s="16" t="s">
        <v>19</v>
      </c>
      <c r="D7908" s="2"/>
    </row>
    <row r="7909" spans="1:4" ht="12.75" customHeight="1" x14ac:dyDescent="0.2">
      <c r="B7909" s="2"/>
      <c r="C7909" s="15"/>
      <c r="D7909" s="2"/>
    </row>
    <row r="7910" spans="1:4" ht="12.75" customHeight="1" x14ac:dyDescent="0.2">
      <c r="B7910" s="2"/>
      <c r="C7910" s="15"/>
      <c r="D7910" s="2"/>
    </row>
    <row r="7911" spans="1:4" ht="12.75" customHeight="1" x14ac:dyDescent="0.2">
      <c r="A7911" s="13" t="s">
        <v>3693</v>
      </c>
      <c r="C7911" s="12"/>
      <c r="D7911" s="2"/>
    </row>
    <row r="7912" spans="1:4" ht="12.75" customHeight="1" x14ac:dyDescent="0.2">
      <c r="A7912" s="11"/>
      <c r="B7912" s="2"/>
      <c r="C7912" s="15"/>
      <c r="D7912" s="2"/>
    </row>
    <row r="7913" spans="1:4" ht="12.75" customHeight="1" x14ac:dyDescent="0.2">
      <c r="B7913" s="11" t="s">
        <v>0</v>
      </c>
      <c r="C7913" s="17" t="s">
        <v>58</v>
      </c>
      <c r="D7913" s="2"/>
    </row>
    <row r="7914" spans="1:4" ht="12.75" customHeight="1" x14ac:dyDescent="0.2">
      <c r="B7914" s="11" t="s">
        <v>2599</v>
      </c>
      <c r="C7914" s="17" t="s">
        <v>2514</v>
      </c>
      <c r="D7914" s="2"/>
    </row>
    <row r="7915" spans="1:4" ht="25.5" customHeight="1" x14ac:dyDescent="0.2">
      <c r="B7915" s="11" t="s">
        <v>2600</v>
      </c>
      <c r="C7915" s="17" t="s">
        <v>3815</v>
      </c>
      <c r="D7915" s="2"/>
    </row>
    <row r="7916" spans="1:4" ht="25.5" customHeight="1" x14ac:dyDescent="0.2">
      <c r="B7916" s="11" t="s">
        <v>2601</v>
      </c>
      <c r="C7916" s="17"/>
      <c r="D7916" s="2"/>
    </row>
    <row r="7917" spans="1:4" ht="12.75" customHeight="1" x14ac:dyDescent="0.2">
      <c r="B7917" s="11" t="s">
        <v>16</v>
      </c>
      <c r="C7917" s="17"/>
      <c r="D7917" s="2"/>
    </row>
    <row r="7918" spans="1:4" ht="12.75" customHeight="1" x14ac:dyDescent="0.2">
      <c r="B7918" s="11" t="s">
        <v>13</v>
      </c>
      <c r="C7918" s="17" t="s">
        <v>2644</v>
      </c>
      <c r="D7918" s="2"/>
    </row>
    <row r="7919" spans="1:4" ht="25.5" customHeight="1" x14ac:dyDescent="0.2">
      <c r="B7919" s="11" t="s">
        <v>2603</v>
      </c>
      <c r="C7919" s="17" t="s">
        <v>2971</v>
      </c>
      <c r="D7919" s="2"/>
    </row>
    <row r="7920" spans="1:4" ht="12.75" customHeight="1" x14ac:dyDescent="0.2">
      <c r="B7920" s="11" t="s">
        <v>2605</v>
      </c>
      <c r="C7920" s="17" t="s">
        <v>14</v>
      </c>
      <c r="D7920" s="2"/>
    </row>
    <row r="7921" spans="1:4" ht="12.75" customHeight="1" x14ac:dyDescent="0.2">
      <c r="B7921" s="11" t="s">
        <v>2606</v>
      </c>
      <c r="C7921" s="16" t="s">
        <v>19</v>
      </c>
      <c r="D7921" s="2"/>
    </row>
    <row r="7922" spans="1:4" ht="12.75" customHeight="1" x14ac:dyDescent="0.2">
      <c r="B7922" s="2"/>
      <c r="C7922" s="15"/>
      <c r="D7922" s="2"/>
    </row>
    <row r="7923" spans="1:4" ht="12.75" customHeight="1" x14ac:dyDescent="0.2">
      <c r="B7923" s="2"/>
      <c r="C7923" s="15"/>
      <c r="D7923" s="2"/>
    </row>
    <row r="7924" spans="1:4" ht="12.75" customHeight="1" x14ac:dyDescent="0.2">
      <c r="A7924" s="13" t="s">
        <v>3753</v>
      </c>
      <c r="C7924" s="12"/>
      <c r="D7924" s="2"/>
    </row>
    <row r="7925" spans="1:4" ht="12.75" customHeight="1" x14ac:dyDescent="0.2">
      <c r="A7925" s="11"/>
      <c r="B7925" s="2"/>
      <c r="C7925" s="15"/>
      <c r="D7925" s="2"/>
    </row>
    <row r="7926" spans="1:4" ht="12.75" customHeight="1" x14ac:dyDescent="0.2">
      <c r="B7926" s="11" t="s">
        <v>0</v>
      </c>
      <c r="C7926" s="17" t="s">
        <v>58</v>
      </c>
      <c r="D7926" s="2"/>
    </row>
    <row r="7927" spans="1:4" ht="12.75" customHeight="1" x14ac:dyDescent="0.2">
      <c r="B7927" s="11" t="s">
        <v>2599</v>
      </c>
      <c r="C7927" s="17" t="s">
        <v>3754</v>
      </c>
      <c r="D7927" s="2"/>
    </row>
    <row r="7928" spans="1:4" ht="25.5" customHeight="1" x14ac:dyDescent="0.2">
      <c r="B7928" s="11" t="s">
        <v>2600</v>
      </c>
      <c r="C7928" s="17" t="s">
        <v>3816</v>
      </c>
      <c r="D7928" s="2"/>
    </row>
    <row r="7929" spans="1:4" ht="25.5" customHeight="1" x14ac:dyDescent="0.2">
      <c r="B7929" s="11" t="s">
        <v>2601</v>
      </c>
      <c r="C7929" s="17"/>
      <c r="D7929" s="2"/>
    </row>
    <row r="7930" spans="1:4" ht="12.75" customHeight="1" x14ac:dyDescent="0.2">
      <c r="B7930" s="11" t="s">
        <v>16</v>
      </c>
      <c r="C7930" s="17"/>
      <c r="D7930" s="2"/>
    </row>
    <row r="7931" spans="1:4" ht="12.75" customHeight="1" x14ac:dyDescent="0.2">
      <c r="B7931" s="11" t="s">
        <v>13</v>
      </c>
      <c r="C7931" s="17" t="s">
        <v>2602</v>
      </c>
      <c r="D7931" s="2"/>
    </row>
    <row r="7932" spans="1:4" ht="25.5" customHeight="1" x14ac:dyDescent="0.2">
      <c r="B7932" s="11" t="s">
        <v>2603</v>
      </c>
      <c r="C7932" s="17" t="s">
        <v>2971</v>
      </c>
      <c r="D7932" s="2"/>
    </row>
    <row r="7933" spans="1:4" ht="12.75" customHeight="1" x14ac:dyDescent="0.2">
      <c r="B7933" s="11" t="s">
        <v>2605</v>
      </c>
      <c r="C7933" s="17" t="s">
        <v>14</v>
      </c>
      <c r="D7933" s="2"/>
    </row>
    <row r="7934" spans="1:4" ht="12.75" customHeight="1" x14ac:dyDescent="0.2">
      <c r="B7934" s="11" t="s">
        <v>2606</v>
      </c>
      <c r="C7934" s="16" t="s">
        <v>19</v>
      </c>
      <c r="D7934" s="2"/>
    </row>
    <row r="7935" spans="1:4" ht="12.75" customHeight="1" x14ac:dyDescent="0.2">
      <c r="B7935" s="2"/>
      <c r="C7935" s="15"/>
      <c r="D7935" s="2"/>
    </row>
    <row r="7936" spans="1:4" ht="12.75" customHeight="1" x14ac:dyDescent="0.2">
      <c r="B7936" s="2"/>
      <c r="C7936" s="15"/>
      <c r="D7936" s="2"/>
    </row>
    <row r="7937" spans="1:4" ht="12.75" customHeight="1" x14ac:dyDescent="0.2">
      <c r="A7937" s="13" t="s">
        <v>3696</v>
      </c>
      <c r="C7937" s="12"/>
      <c r="D7937" s="2"/>
    </row>
    <row r="7938" spans="1:4" ht="12.75" customHeight="1" x14ac:dyDescent="0.2">
      <c r="A7938" s="11"/>
      <c r="B7938" s="2"/>
      <c r="C7938" s="15"/>
      <c r="D7938" s="2"/>
    </row>
    <row r="7939" spans="1:4" ht="12.75" customHeight="1" x14ac:dyDescent="0.2">
      <c r="B7939" s="11" t="s">
        <v>0</v>
      </c>
      <c r="C7939" s="17" t="s">
        <v>58</v>
      </c>
      <c r="D7939" s="2"/>
    </row>
    <row r="7940" spans="1:4" ht="12.75" customHeight="1" x14ac:dyDescent="0.2">
      <c r="B7940" s="11" t="s">
        <v>2599</v>
      </c>
      <c r="C7940" s="17" t="s">
        <v>3697</v>
      </c>
      <c r="D7940" s="2"/>
    </row>
    <row r="7941" spans="1:4" ht="25.5" customHeight="1" x14ac:dyDescent="0.2">
      <c r="B7941" s="11" t="s">
        <v>2600</v>
      </c>
      <c r="C7941" s="17" t="s">
        <v>3817</v>
      </c>
      <c r="D7941" s="2"/>
    </row>
    <row r="7942" spans="1:4" ht="25.5" customHeight="1" x14ac:dyDescent="0.2">
      <c r="B7942" s="11" t="s">
        <v>2601</v>
      </c>
      <c r="C7942" s="17"/>
      <c r="D7942" s="2"/>
    </row>
    <row r="7943" spans="1:4" ht="12.75" customHeight="1" x14ac:dyDescent="0.2">
      <c r="B7943" s="11" t="s">
        <v>16</v>
      </c>
      <c r="C7943" s="17"/>
      <c r="D7943" s="2"/>
    </row>
    <row r="7944" spans="1:4" ht="12.75" customHeight="1" x14ac:dyDescent="0.2">
      <c r="B7944" s="11" t="s">
        <v>13</v>
      </c>
      <c r="C7944" s="17" t="s">
        <v>2602</v>
      </c>
      <c r="D7944" s="2"/>
    </row>
    <row r="7945" spans="1:4" ht="25.5" customHeight="1" x14ac:dyDescent="0.2">
      <c r="B7945" s="11" t="s">
        <v>2603</v>
      </c>
      <c r="C7945" s="17" t="s">
        <v>2971</v>
      </c>
      <c r="D7945" s="2"/>
    </row>
    <row r="7946" spans="1:4" ht="12.75" customHeight="1" x14ac:dyDescent="0.2">
      <c r="B7946" s="11" t="s">
        <v>2605</v>
      </c>
      <c r="C7946" s="17" t="s">
        <v>14</v>
      </c>
      <c r="D7946" s="2"/>
    </row>
    <row r="7947" spans="1:4" ht="12.75" customHeight="1" x14ac:dyDescent="0.2">
      <c r="B7947" s="11" t="s">
        <v>2606</v>
      </c>
      <c r="C7947" s="16" t="s">
        <v>19</v>
      </c>
      <c r="D7947" s="2"/>
    </row>
    <row r="7948" spans="1:4" ht="12.75" customHeight="1" x14ac:dyDescent="0.2">
      <c r="B7948" s="2"/>
      <c r="C7948" s="15"/>
      <c r="D7948" s="2"/>
    </row>
    <row r="7949" spans="1:4" ht="12.75" customHeight="1" x14ac:dyDescent="0.2">
      <c r="B7949" s="2"/>
      <c r="C7949" s="15"/>
      <c r="D7949" s="2"/>
    </row>
    <row r="7950" spans="1:4" ht="12.75" customHeight="1" x14ac:dyDescent="0.2">
      <c r="A7950" s="13" t="s">
        <v>3699</v>
      </c>
      <c r="C7950" s="12"/>
      <c r="D7950" s="2"/>
    </row>
    <row r="7951" spans="1:4" ht="12.75" customHeight="1" x14ac:dyDescent="0.2">
      <c r="A7951" s="11"/>
      <c r="B7951" s="2"/>
      <c r="C7951" s="15"/>
      <c r="D7951" s="2"/>
    </row>
    <row r="7952" spans="1:4" ht="12.75" customHeight="1" x14ac:dyDescent="0.2">
      <c r="B7952" s="11" t="s">
        <v>0</v>
      </c>
      <c r="C7952" s="17" t="s">
        <v>58</v>
      </c>
      <c r="D7952" s="2"/>
    </row>
    <row r="7953" spans="1:4" ht="12.75" customHeight="1" x14ac:dyDescent="0.2">
      <c r="B7953" s="11" t="s">
        <v>2599</v>
      </c>
      <c r="C7953" s="17" t="s">
        <v>3690</v>
      </c>
      <c r="D7953" s="2"/>
    </row>
    <row r="7954" spans="1:4" ht="25.5" customHeight="1" x14ac:dyDescent="0.2">
      <c r="B7954" s="11" t="s">
        <v>2600</v>
      </c>
      <c r="C7954" s="17" t="s">
        <v>3818</v>
      </c>
      <c r="D7954" s="2"/>
    </row>
    <row r="7955" spans="1:4" ht="25.5" customHeight="1" x14ac:dyDescent="0.2">
      <c r="B7955" s="11" t="s">
        <v>2601</v>
      </c>
      <c r="C7955" s="17"/>
      <c r="D7955" s="2"/>
    </row>
    <row r="7956" spans="1:4" ht="12.75" customHeight="1" x14ac:dyDescent="0.2">
      <c r="B7956" s="11" t="s">
        <v>16</v>
      </c>
      <c r="C7956" s="17"/>
      <c r="D7956" s="2"/>
    </row>
    <row r="7957" spans="1:4" ht="12.75" customHeight="1" x14ac:dyDescent="0.2">
      <c r="B7957" s="11" t="s">
        <v>13</v>
      </c>
      <c r="C7957" s="17" t="s">
        <v>2644</v>
      </c>
      <c r="D7957" s="2"/>
    </row>
    <row r="7958" spans="1:4" ht="25.5" customHeight="1" x14ac:dyDescent="0.2">
      <c r="B7958" s="11" t="s">
        <v>2603</v>
      </c>
      <c r="C7958" s="17" t="s">
        <v>2971</v>
      </c>
      <c r="D7958" s="2"/>
    </row>
    <row r="7959" spans="1:4" ht="12.75" customHeight="1" x14ac:dyDescent="0.2">
      <c r="B7959" s="11" t="s">
        <v>2605</v>
      </c>
      <c r="C7959" s="17" t="s">
        <v>14</v>
      </c>
      <c r="D7959" s="2"/>
    </row>
    <row r="7960" spans="1:4" ht="12.75" customHeight="1" x14ac:dyDescent="0.2">
      <c r="B7960" s="11" t="s">
        <v>2606</v>
      </c>
      <c r="C7960" s="16" t="s">
        <v>19</v>
      </c>
      <c r="D7960" s="2"/>
    </row>
    <row r="7961" spans="1:4" ht="12.75" customHeight="1" x14ac:dyDescent="0.2">
      <c r="B7961" s="2"/>
      <c r="C7961" s="15"/>
      <c r="D7961" s="2"/>
    </row>
    <row r="7962" spans="1:4" ht="12.75" customHeight="1" x14ac:dyDescent="0.2">
      <c r="B7962" s="2"/>
      <c r="C7962" s="15"/>
      <c r="D7962" s="2"/>
    </row>
    <row r="7963" spans="1:4" ht="12.75" customHeight="1" x14ac:dyDescent="0.2">
      <c r="A7963" s="13" t="s">
        <v>3819</v>
      </c>
      <c r="C7963" s="12"/>
    </row>
    <row r="7964" spans="1:4" ht="12.75" customHeight="1" x14ac:dyDescent="0.2">
      <c r="A7964" s="11"/>
      <c r="B7964" s="2"/>
      <c r="C7964" s="15"/>
      <c r="D7964" s="2"/>
    </row>
    <row r="7965" spans="1:4" ht="12.75" customHeight="1" x14ac:dyDescent="0.2">
      <c r="B7965" s="11" t="s">
        <v>0</v>
      </c>
      <c r="C7965" s="11" t="s">
        <v>58</v>
      </c>
    </row>
    <row r="7966" spans="1:4" ht="12.75" customHeight="1" x14ac:dyDescent="0.2">
      <c r="B7966" s="11" t="s">
        <v>2599</v>
      </c>
      <c r="C7966" s="11" t="s">
        <v>3820</v>
      </c>
    </row>
    <row r="7967" spans="1:4" ht="25.5" customHeight="1" x14ac:dyDescent="0.2">
      <c r="B7967" s="11" t="s">
        <v>2600</v>
      </c>
      <c r="C7967" s="11" t="s">
        <v>3821</v>
      </c>
    </row>
    <row r="7968" spans="1:4" ht="25.5" customHeight="1" x14ac:dyDescent="0.2">
      <c r="B7968" s="11" t="s">
        <v>2601</v>
      </c>
      <c r="C7968" s="11"/>
    </row>
    <row r="7969" spans="1:4" ht="12.75" customHeight="1" x14ac:dyDescent="0.2">
      <c r="B7969" s="11" t="s">
        <v>16</v>
      </c>
      <c r="C7969" s="11"/>
    </row>
    <row r="7970" spans="1:4" ht="12.75" customHeight="1" x14ac:dyDescent="0.2">
      <c r="B7970" s="11" t="s">
        <v>13</v>
      </c>
      <c r="C7970" s="11" t="s">
        <v>2602</v>
      </c>
    </row>
    <row r="7971" spans="1:4" ht="12.75" customHeight="1" x14ac:dyDescent="0.2">
      <c r="B7971" s="11" t="s">
        <v>2603</v>
      </c>
      <c r="C7971" s="11" t="s">
        <v>2604</v>
      </c>
    </row>
    <row r="7972" spans="1:4" ht="12.75" customHeight="1" x14ac:dyDescent="0.2">
      <c r="B7972" s="11" t="s">
        <v>2605</v>
      </c>
      <c r="C7972" s="11" t="s">
        <v>24</v>
      </c>
    </row>
    <row r="7973" spans="1:4" ht="12.75" customHeight="1" x14ac:dyDescent="0.2">
      <c r="B7973" s="11" t="s">
        <v>2606</v>
      </c>
      <c r="C7973" s="16" t="s">
        <v>67</v>
      </c>
      <c r="D7973" s="6" t="str">
        <f>HYPERLINK("javascript:void(0)","kincs")</f>
        <v>kincs</v>
      </c>
    </row>
    <row r="7974" spans="1:4" ht="12.75" customHeight="1" x14ac:dyDescent="0.2">
      <c r="B7974" s="2"/>
      <c r="C7974" s="15"/>
      <c r="D7974" s="2"/>
    </row>
    <row r="7975" spans="1:4" ht="12.75" customHeight="1" x14ac:dyDescent="0.2">
      <c r="B7975" s="2"/>
      <c r="C7975" s="15"/>
      <c r="D7975" s="2"/>
    </row>
    <row r="7976" spans="1:4" ht="12.75" customHeight="1" x14ac:dyDescent="0.2">
      <c r="A7976" s="13" t="s">
        <v>3822</v>
      </c>
      <c r="C7976" s="12"/>
    </row>
    <row r="7977" spans="1:4" ht="12.75" customHeight="1" x14ac:dyDescent="0.2">
      <c r="A7977" s="11"/>
      <c r="B7977" s="2"/>
      <c r="C7977" s="15"/>
      <c r="D7977" s="2"/>
    </row>
    <row r="7978" spans="1:4" ht="12.75" customHeight="1" x14ac:dyDescent="0.2">
      <c r="B7978" s="11" t="s">
        <v>0</v>
      </c>
      <c r="C7978" s="11" t="s">
        <v>58</v>
      </c>
    </row>
    <row r="7979" spans="1:4" ht="12.75" customHeight="1" x14ac:dyDescent="0.2">
      <c r="B7979" s="11" t="s">
        <v>2599</v>
      </c>
      <c r="C7979" s="11" t="s">
        <v>3823</v>
      </c>
    </row>
    <row r="7980" spans="1:4" ht="25.5" customHeight="1" x14ac:dyDescent="0.2">
      <c r="B7980" s="11" t="s">
        <v>2600</v>
      </c>
      <c r="C7980" s="11" t="s">
        <v>3824</v>
      </c>
    </row>
    <row r="7981" spans="1:4" ht="25.5" customHeight="1" x14ac:dyDescent="0.2">
      <c r="B7981" s="11" t="s">
        <v>2601</v>
      </c>
      <c r="C7981" s="11"/>
    </row>
    <row r="7982" spans="1:4" ht="12.75" customHeight="1" x14ac:dyDescent="0.2">
      <c r="B7982" s="11" t="s">
        <v>16</v>
      </c>
      <c r="C7982" s="11"/>
    </row>
    <row r="7983" spans="1:4" ht="12.75" customHeight="1" x14ac:dyDescent="0.2">
      <c r="B7983" s="11" t="s">
        <v>13</v>
      </c>
      <c r="C7983" s="11" t="s">
        <v>2602</v>
      </c>
    </row>
    <row r="7984" spans="1:4" ht="12.75" customHeight="1" x14ac:dyDescent="0.2">
      <c r="B7984" s="11" t="s">
        <v>2603</v>
      </c>
      <c r="C7984" s="11" t="s">
        <v>2604</v>
      </c>
    </row>
    <row r="7985" spans="1:4" ht="12.75" customHeight="1" x14ac:dyDescent="0.2">
      <c r="B7985" s="11" t="s">
        <v>2605</v>
      </c>
      <c r="C7985" s="11" t="s">
        <v>24</v>
      </c>
    </row>
    <row r="7986" spans="1:4" ht="12.75" customHeight="1" x14ac:dyDescent="0.2">
      <c r="B7986" s="11" t="s">
        <v>2606</v>
      </c>
      <c r="C7986" s="16" t="s">
        <v>196</v>
      </c>
      <c r="D7986" s="6" t="str">
        <f>HYPERLINK("javascript:void(0)","kincs")</f>
        <v>kincs</v>
      </c>
    </row>
    <row r="7987" spans="1:4" ht="12.75" customHeight="1" x14ac:dyDescent="0.2">
      <c r="C7987" s="16" t="s">
        <v>77</v>
      </c>
      <c r="D7987" s="6" t="str">
        <f>HYPERLINK("javascript:void(0)","kaja")</f>
        <v>kaja</v>
      </c>
    </row>
    <row r="7988" spans="1:4" ht="12.75" customHeight="1" x14ac:dyDescent="0.2">
      <c r="B7988" s="2"/>
      <c r="C7988" s="15"/>
      <c r="D7988" s="2"/>
    </row>
    <row r="7989" spans="1:4" ht="12.75" customHeight="1" x14ac:dyDescent="0.2">
      <c r="B7989" s="2"/>
      <c r="C7989" s="15"/>
      <c r="D7989" s="2"/>
    </row>
    <row r="7990" spans="1:4" ht="12.75" customHeight="1" x14ac:dyDescent="0.2">
      <c r="A7990" s="13" t="s">
        <v>3825</v>
      </c>
      <c r="C7990" s="12"/>
    </row>
    <row r="7991" spans="1:4" ht="12.75" customHeight="1" x14ac:dyDescent="0.2">
      <c r="A7991" s="11"/>
      <c r="B7991" s="2"/>
      <c r="C7991" s="15"/>
      <c r="D7991" s="2"/>
    </row>
    <row r="7992" spans="1:4" ht="12.75" customHeight="1" x14ac:dyDescent="0.2">
      <c r="B7992" s="11" t="s">
        <v>0</v>
      </c>
      <c r="C7992" s="11" t="s">
        <v>58</v>
      </c>
    </row>
    <row r="7993" spans="1:4" ht="12.75" customHeight="1" x14ac:dyDescent="0.2">
      <c r="B7993" s="11" t="s">
        <v>2599</v>
      </c>
      <c r="C7993" s="11" t="s">
        <v>3826</v>
      </c>
    </row>
    <row r="7994" spans="1:4" ht="25.5" customHeight="1" x14ac:dyDescent="0.2">
      <c r="B7994" s="11" t="s">
        <v>2600</v>
      </c>
      <c r="C7994" s="11" t="s">
        <v>3827</v>
      </c>
    </row>
    <row r="7995" spans="1:4" ht="25.5" customHeight="1" x14ac:dyDescent="0.2">
      <c r="B7995" s="11" t="s">
        <v>2601</v>
      </c>
      <c r="C7995" s="11"/>
    </row>
    <row r="7996" spans="1:4" ht="12.75" customHeight="1" x14ac:dyDescent="0.2">
      <c r="B7996" s="11" t="s">
        <v>16</v>
      </c>
      <c r="C7996" s="11"/>
    </row>
    <row r="7997" spans="1:4" ht="12.75" customHeight="1" x14ac:dyDescent="0.2">
      <c r="B7997" s="11" t="s">
        <v>13</v>
      </c>
      <c r="C7997" s="11" t="s">
        <v>2644</v>
      </c>
    </row>
    <row r="7998" spans="1:4" ht="12.75" customHeight="1" x14ac:dyDescent="0.2">
      <c r="B7998" s="11" t="s">
        <v>2603</v>
      </c>
      <c r="C7998" s="11" t="s">
        <v>2604</v>
      </c>
    </row>
    <row r="7999" spans="1:4" ht="12.75" customHeight="1" x14ac:dyDescent="0.2">
      <c r="B7999" s="11" t="s">
        <v>2605</v>
      </c>
      <c r="C7999" s="11" t="s">
        <v>24</v>
      </c>
    </row>
    <row r="8000" spans="1:4" ht="12.75" customHeight="1" x14ac:dyDescent="0.2">
      <c r="B8000" s="11" t="s">
        <v>2606</v>
      </c>
      <c r="C8000" s="16" t="s">
        <v>331</v>
      </c>
      <c r="D8000" s="6" t="str">
        <f>HYPERLINK("javascript:void(0)","kincs")</f>
        <v>kincs</v>
      </c>
    </row>
    <row r="8001" spans="1:4" ht="25.5" customHeight="1" x14ac:dyDescent="0.2">
      <c r="C8001" s="16" t="s">
        <v>56</v>
      </c>
      <c r="D8001" s="6" t="str">
        <f>HYPERLINK("javascript:void(0)","sárkány szem")</f>
        <v>sárkány szem</v>
      </c>
    </row>
    <row r="8002" spans="1:4" ht="12.75" customHeight="1" x14ac:dyDescent="0.2">
      <c r="B8002" s="2"/>
      <c r="C8002" s="15"/>
      <c r="D8002" s="2"/>
    </row>
    <row r="8003" spans="1:4" ht="12.75" customHeight="1" x14ac:dyDescent="0.2">
      <c r="B8003" s="2"/>
      <c r="C8003" s="15"/>
      <c r="D8003" s="2"/>
    </row>
    <row r="8004" spans="1:4" ht="12.75" customHeight="1" x14ac:dyDescent="0.2">
      <c r="A8004" s="13" t="s">
        <v>3828</v>
      </c>
      <c r="C8004" s="12"/>
    </row>
    <row r="8005" spans="1:4" ht="12.75" customHeight="1" x14ac:dyDescent="0.2">
      <c r="A8005" s="11"/>
      <c r="B8005" s="2"/>
      <c r="C8005" s="15"/>
      <c r="D8005" s="2"/>
    </row>
    <row r="8006" spans="1:4" ht="12.75" customHeight="1" x14ac:dyDescent="0.2">
      <c r="B8006" s="11" t="s">
        <v>0</v>
      </c>
      <c r="C8006" s="11" t="s">
        <v>58</v>
      </c>
    </row>
    <row r="8007" spans="1:4" ht="12.75" customHeight="1" x14ac:dyDescent="0.2">
      <c r="B8007" s="11" t="s">
        <v>2599</v>
      </c>
      <c r="C8007" s="11" t="s">
        <v>3829</v>
      </c>
    </row>
    <row r="8008" spans="1:4" ht="25.5" customHeight="1" x14ac:dyDescent="0.2">
      <c r="B8008" s="11" t="s">
        <v>2600</v>
      </c>
      <c r="C8008" s="11" t="s">
        <v>3830</v>
      </c>
    </row>
    <row r="8009" spans="1:4" ht="25.5" customHeight="1" x14ac:dyDescent="0.2">
      <c r="B8009" s="11" t="s">
        <v>2601</v>
      </c>
      <c r="C8009" s="11"/>
    </row>
    <row r="8010" spans="1:4" ht="12.75" customHeight="1" x14ac:dyDescent="0.2">
      <c r="B8010" s="11" t="s">
        <v>16</v>
      </c>
      <c r="C8010" s="11"/>
    </row>
    <row r="8011" spans="1:4" ht="12.75" customHeight="1" x14ac:dyDescent="0.2">
      <c r="B8011" s="11" t="s">
        <v>13</v>
      </c>
      <c r="C8011" s="11" t="s">
        <v>2602</v>
      </c>
    </row>
    <row r="8012" spans="1:4" ht="12.75" customHeight="1" x14ac:dyDescent="0.2">
      <c r="B8012" s="11" t="s">
        <v>2603</v>
      </c>
      <c r="C8012" s="11" t="s">
        <v>2604</v>
      </c>
    </row>
    <row r="8013" spans="1:4" ht="12.75" customHeight="1" x14ac:dyDescent="0.2">
      <c r="B8013" s="11" t="s">
        <v>2605</v>
      </c>
      <c r="C8013" s="11" t="s">
        <v>24</v>
      </c>
    </row>
    <row r="8014" spans="1:4" ht="12.75" customHeight="1" x14ac:dyDescent="0.2">
      <c r="B8014" s="11" t="s">
        <v>2606</v>
      </c>
      <c r="C8014" s="16" t="s">
        <v>68</v>
      </c>
      <c r="D8014" s="6" t="str">
        <f>HYPERLINK("javascript:void(0)","kincs")</f>
        <v>kincs</v>
      </c>
    </row>
    <row r="8015" spans="1:4" ht="12.75" customHeight="1" x14ac:dyDescent="0.2">
      <c r="C8015" s="16" t="s">
        <v>44</v>
      </c>
      <c r="D8015" s="6" t="str">
        <f>HYPERLINK("javascript:void(0)","mágusbot")</f>
        <v>mágusbot</v>
      </c>
    </row>
    <row r="8016" spans="1:4" ht="12.75" customHeight="1" x14ac:dyDescent="0.2">
      <c r="B8016" s="2"/>
      <c r="C8016" s="15"/>
      <c r="D8016" s="2"/>
    </row>
    <row r="8017" spans="1:4" ht="12.75" customHeight="1" x14ac:dyDescent="0.2">
      <c r="B8017" s="2"/>
      <c r="C8017" s="15"/>
      <c r="D8017" s="2"/>
    </row>
    <row r="8018" spans="1:4" ht="12.75" customHeight="1" x14ac:dyDescent="0.2">
      <c r="A8018" s="13" t="s">
        <v>3831</v>
      </c>
      <c r="C8018" s="12"/>
    </row>
    <row r="8019" spans="1:4" ht="12.75" customHeight="1" x14ac:dyDescent="0.2">
      <c r="A8019" s="11"/>
      <c r="B8019" s="2"/>
      <c r="C8019" s="15"/>
      <c r="D8019" s="2"/>
    </row>
    <row r="8020" spans="1:4" ht="12.75" customHeight="1" x14ac:dyDescent="0.2">
      <c r="B8020" s="11" t="s">
        <v>0</v>
      </c>
      <c r="C8020" s="11" t="s">
        <v>58</v>
      </c>
    </row>
    <row r="8021" spans="1:4" ht="12.75" customHeight="1" x14ac:dyDescent="0.2">
      <c r="B8021" s="11" t="s">
        <v>2599</v>
      </c>
      <c r="C8021" s="11" t="s">
        <v>3832</v>
      </c>
    </row>
    <row r="8022" spans="1:4" ht="25.5" customHeight="1" x14ac:dyDescent="0.2">
      <c r="B8022" s="11" t="s">
        <v>2600</v>
      </c>
      <c r="C8022" s="11" t="s">
        <v>3833</v>
      </c>
    </row>
    <row r="8023" spans="1:4" ht="25.5" customHeight="1" x14ac:dyDescent="0.2">
      <c r="B8023" s="11" t="s">
        <v>2601</v>
      </c>
      <c r="C8023" s="11"/>
    </row>
    <row r="8024" spans="1:4" ht="12.75" customHeight="1" x14ac:dyDescent="0.2">
      <c r="B8024" s="11" t="s">
        <v>16</v>
      </c>
      <c r="C8024" s="11"/>
    </row>
    <row r="8025" spans="1:4" ht="12.75" customHeight="1" x14ac:dyDescent="0.2">
      <c r="B8025" s="11" t="s">
        <v>13</v>
      </c>
      <c r="C8025" s="11" t="s">
        <v>2644</v>
      </c>
    </row>
    <row r="8026" spans="1:4" ht="12.75" customHeight="1" x14ac:dyDescent="0.2">
      <c r="B8026" s="11" t="s">
        <v>2603</v>
      </c>
      <c r="C8026" s="11" t="s">
        <v>2604</v>
      </c>
    </row>
    <row r="8027" spans="1:4" ht="12.75" customHeight="1" x14ac:dyDescent="0.2">
      <c r="B8027" s="11" t="s">
        <v>2605</v>
      </c>
      <c r="C8027" s="11" t="s">
        <v>24</v>
      </c>
    </row>
    <row r="8028" spans="1:4" ht="12.75" customHeight="1" x14ac:dyDescent="0.2">
      <c r="B8028" s="11" t="s">
        <v>2606</v>
      </c>
      <c r="C8028" s="16" t="s">
        <v>44</v>
      </c>
      <c r="D8028" s="6" t="str">
        <f>HYPERLINK("javascript:void(0)","kincs")</f>
        <v>kincs</v>
      </c>
    </row>
    <row r="8029" spans="1:4" ht="12.75" customHeight="1" x14ac:dyDescent="0.2">
      <c r="B8029" s="2"/>
      <c r="C8029" s="15"/>
      <c r="D8029" s="2"/>
    </row>
    <row r="8030" spans="1:4" ht="12.75" customHeight="1" x14ac:dyDescent="0.2">
      <c r="B8030" s="2"/>
      <c r="C8030" s="15"/>
      <c r="D8030" s="2"/>
    </row>
    <row r="8031" spans="1:4" ht="12.75" customHeight="1" x14ac:dyDescent="0.2">
      <c r="A8031" s="13" t="s">
        <v>3834</v>
      </c>
      <c r="C8031" s="12"/>
    </row>
    <row r="8032" spans="1:4" ht="12.75" customHeight="1" x14ac:dyDescent="0.2">
      <c r="A8032" s="11"/>
      <c r="B8032" s="2"/>
      <c r="C8032" s="15"/>
      <c r="D8032" s="2"/>
    </row>
    <row r="8033" spans="1:4" ht="12.75" customHeight="1" x14ac:dyDescent="0.2">
      <c r="B8033" s="11" t="s">
        <v>0</v>
      </c>
      <c r="C8033" s="11" t="s">
        <v>58</v>
      </c>
    </row>
    <row r="8034" spans="1:4" ht="12.75" customHeight="1" x14ac:dyDescent="0.2">
      <c r="B8034" s="11" t="s">
        <v>2599</v>
      </c>
      <c r="C8034" s="11" t="s">
        <v>3835</v>
      </c>
    </row>
    <row r="8035" spans="1:4" ht="25.5" customHeight="1" x14ac:dyDescent="0.2">
      <c r="B8035" s="11" t="s">
        <v>2600</v>
      </c>
      <c r="C8035" s="11" t="s">
        <v>3836</v>
      </c>
    </row>
    <row r="8036" spans="1:4" ht="25.5" customHeight="1" x14ac:dyDescent="0.2">
      <c r="B8036" s="11" t="s">
        <v>2601</v>
      </c>
      <c r="C8036" s="11"/>
    </row>
    <row r="8037" spans="1:4" ht="12.75" customHeight="1" x14ac:dyDescent="0.2">
      <c r="B8037" s="11" t="s">
        <v>16</v>
      </c>
      <c r="C8037" s="11"/>
    </row>
    <row r="8038" spans="1:4" ht="12.75" customHeight="1" x14ac:dyDescent="0.2">
      <c r="B8038" s="11" t="s">
        <v>13</v>
      </c>
      <c r="C8038" s="11" t="s">
        <v>2602</v>
      </c>
    </row>
    <row r="8039" spans="1:4" ht="12.75" customHeight="1" x14ac:dyDescent="0.2">
      <c r="B8039" s="11" t="s">
        <v>2603</v>
      </c>
      <c r="C8039" s="11" t="s">
        <v>2604</v>
      </c>
    </row>
    <row r="8040" spans="1:4" ht="12.75" customHeight="1" x14ac:dyDescent="0.2">
      <c r="B8040" s="11" t="s">
        <v>2605</v>
      </c>
      <c r="C8040" s="11" t="s">
        <v>24</v>
      </c>
    </row>
    <row r="8041" spans="1:4" ht="12.75" customHeight="1" x14ac:dyDescent="0.2">
      <c r="B8041" s="11" t="s">
        <v>2606</v>
      </c>
      <c r="C8041" s="16" t="s">
        <v>44</v>
      </c>
      <c r="D8041" s="6" t="str">
        <f>HYPERLINK("javascript:void(0)","manaital")</f>
        <v>manaital</v>
      </c>
    </row>
    <row r="8042" spans="1:4" ht="12.75" customHeight="1" x14ac:dyDescent="0.2">
      <c r="C8042" s="16" t="s">
        <v>44</v>
      </c>
      <c r="D8042" s="6" t="str">
        <f>HYPERLINK("javascript:void(0)","aqua dei")</f>
        <v>aqua dei</v>
      </c>
    </row>
    <row r="8043" spans="1:4" ht="12.75" customHeight="1" x14ac:dyDescent="0.2">
      <c r="B8043" s="2"/>
      <c r="C8043" s="15"/>
      <c r="D8043" s="2"/>
    </row>
    <row r="8044" spans="1:4" ht="12.75" customHeight="1" x14ac:dyDescent="0.2">
      <c r="B8044" s="2"/>
      <c r="C8044" s="15"/>
      <c r="D8044" s="2"/>
    </row>
    <row r="8045" spans="1:4" ht="12.75" customHeight="1" x14ac:dyDescent="0.2">
      <c r="A8045" s="13" t="s">
        <v>3837</v>
      </c>
      <c r="C8045" s="12"/>
    </row>
    <row r="8046" spans="1:4" ht="12.75" customHeight="1" x14ac:dyDescent="0.2">
      <c r="A8046" s="11"/>
      <c r="B8046" s="2"/>
      <c r="C8046" s="15"/>
      <c r="D8046" s="2"/>
    </row>
    <row r="8047" spans="1:4" ht="12.75" customHeight="1" x14ac:dyDescent="0.2">
      <c r="B8047" s="11" t="s">
        <v>0</v>
      </c>
      <c r="C8047" s="11" t="s">
        <v>58</v>
      </c>
    </row>
    <row r="8048" spans="1:4" ht="12.75" customHeight="1" x14ac:dyDescent="0.2">
      <c r="B8048" s="11" t="s">
        <v>2599</v>
      </c>
      <c r="C8048" s="11" t="s">
        <v>2582</v>
      </c>
    </row>
    <row r="8049" spans="1:4" ht="25.5" customHeight="1" x14ac:dyDescent="0.2">
      <c r="B8049" s="11" t="s">
        <v>2600</v>
      </c>
      <c r="C8049" s="11" t="s">
        <v>3838</v>
      </c>
    </row>
    <row r="8050" spans="1:4" ht="25.5" customHeight="1" x14ac:dyDescent="0.2">
      <c r="B8050" s="11" t="s">
        <v>2601</v>
      </c>
      <c r="C8050" s="11"/>
    </row>
    <row r="8051" spans="1:4" ht="12.75" customHeight="1" x14ac:dyDescent="0.2">
      <c r="B8051" s="11" t="s">
        <v>16</v>
      </c>
      <c r="C8051" s="11"/>
    </row>
    <row r="8052" spans="1:4" ht="12.75" customHeight="1" x14ac:dyDescent="0.2">
      <c r="B8052" s="11" t="s">
        <v>13</v>
      </c>
      <c r="C8052" s="11" t="s">
        <v>2602</v>
      </c>
    </row>
    <row r="8053" spans="1:4" ht="12.75" customHeight="1" x14ac:dyDescent="0.2">
      <c r="B8053" s="11" t="s">
        <v>2603</v>
      </c>
      <c r="C8053" s="11" t="s">
        <v>2604</v>
      </c>
    </row>
    <row r="8054" spans="1:4" ht="12.75" customHeight="1" x14ac:dyDescent="0.2">
      <c r="B8054" s="11" t="s">
        <v>2605</v>
      </c>
      <c r="C8054" s="11" t="s">
        <v>24</v>
      </c>
    </row>
    <row r="8055" spans="1:4" ht="12.75" customHeight="1" x14ac:dyDescent="0.2">
      <c r="B8055" s="11" t="s">
        <v>2606</v>
      </c>
      <c r="C8055" s="16" t="s">
        <v>57</v>
      </c>
      <c r="D8055" s="6" t="str">
        <f>HYPERLINK("javascript:void(0)","sudár")</f>
        <v>sudár</v>
      </c>
    </row>
    <row r="8056" spans="1:4" ht="12.75" customHeight="1" x14ac:dyDescent="0.2">
      <c r="B8056" s="2"/>
      <c r="C8056" s="15"/>
      <c r="D8056" s="2"/>
    </row>
    <row r="8057" spans="1:4" ht="12.75" customHeight="1" x14ac:dyDescent="0.2">
      <c r="B8057" s="2"/>
      <c r="C8057" s="15"/>
      <c r="D8057" s="2"/>
    </row>
    <row r="8058" spans="1:4" ht="12.75" customHeight="1" x14ac:dyDescent="0.2">
      <c r="A8058" s="13" t="s">
        <v>3839</v>
      </c>
      <c r="C8058" s="12"/>
    </row>
    <row r="8059" spans="1:4" ht="12.75" customHeight="1" x14ac:dyDescent="0.2">
      <c r="A8059" s="11"/>
      <c r="B8059" s="2"/>
      <c r="C8059" s="15"/>
      <c r="D8059" s="2"/>
    </row>
    <row r="8060" spans="1:4" ht="12.75" customHeight="1" x14ac:dyDescent="0.2">
      <c r="B8060" s="11" t="s">
        <v>0</v>
      </c>
      <c r="C8060" s="11" t="s">
        <v>58</v>
      </c>
    </row>
    <row r="8061" spans="1:4" ht="12.75" customHeight="1" x14ac:dyDescent="0.2">
      <c r="B8061" s="11" t="s">
        <v>2599</v>
      </c>
      <c r="C8061" s="11" t="s">
        <v>3100</v>
      </c>
    </row>
    <row r="8062" spans="1:4" ht="25.5" customHeight="1" x14ac:dyDescent="0.2">
      <c r="B8062" s="11" t="s">
        <v>2600</v>
      </c>
      <c r="C8062" s="11" t="s">
        <v>3840</v>
      </c>
    </row>
    <row r="8063" spans="1:4" ht="25.5" customHeight="1" x14ac:dyDescent="0.2">
      <c r="B8063" s="11" t="s">
        <v>2601</v>
      </c>
      <c r="C8063" s="11"/>
    </row>
    <row r="8064" spans="1:4" ht="12.75" customHeight="1" x14ac:dyDescent="0.2">
      <c r="B8064" s="11" t="s">
        <v>16</v>
      </c>
      <c r="C8064" s="11"/>
    </row>
    <row r="8065" spans="1:4" ht="12.75" customHeight="1" x14ac:dyDescent="0.2">
      <c r="B8065" s="11" t="s">
        <v>13</v>
      </c>
      <c r="C8065" s="11" t="s">
        <v>2644</v>
      </c>
    </row>
    <row r="8066" spans="1:4" ht="12.75" customHeight="1" x14ac:dyDescent="0.2">
      <c r="B8066" s="11" t="s">
        <v>2603</v>
      </c>
      <c r="C8066" s="11" t="s">
        <v>2604</v>
      </c>
    </row>
    <row r="8067" spans="1:4" ht="12.75" customHeight="1" x14ac:dyDescent="0.2">
      <c r="B8067" s="11" t="s">
        <v>2605</v>
      </c>
      <c r="C8067" s="11" t="s">
        <v>24</v>
      </c>
    </row>
    <row r="8068" spans="1:4" ht="12.75" customHeight="1" x14ac:dyDescent="0.2">
      <c r="B8068" s="11" t="s">
        <v>2606</v>
      </c>
      <c r="C8068" s="16" t="s">
        <v>44</v>
      </c>
      <c r="D8068" s="6" t="str">
        <f>HYPERLINK("javascript:void(0)","öbleny")</f>
        <v>öbleny</v>
      </c>
    </row>
    <row r="8069" spans="1:4" ht="12.75" customHeight="1" x14ac:dyDescent="0.2">
      <c r="B8069" s="2"/>
      <c r="C8069" s="15"/>
      <c r="D8069" s="2"/>
    </row>
    <row r="8070" spans="1:4" ht="12.75" customHeight="1" x14ac:dyDescent="0.2">
      <c r="B8070" s="2"/>
      <c r="C8070" s="15"/>
      <c r="D8070" s="2"/>
    </row>
    <row r="8071" spans="1:4" ht="12.75" customHeight="1" x14ac:dyDescent="0.2">
      <c r="A8071" s="13" t="s">
        <v>3841</v>
      </c>
      <c r="C8071" s="12"/>
    </row>
    <row r="8072" spans="1:4" ht="12.75" customHeight="1" x14ac:dyDescent="0.2">
      <c r="A8072" s="11"/>
      <c r="B8072" s="2"/>
      <c r="C8072" s="15"/>
      <c r="D8072" s="2"/>
    </row>
    <row r="8073" spans="1:4" ht="12.75" customHeight="1" x14ac:dyDescent="0.2">
      <c r="B8073" s="11" t="s">
        <v>0</v>
      </c>
      <c r="C8073" s="11" t="s">
        <v>58</v>
      </c>
    </row>
    <row r="8074" spans="1:4" ht="12.75" customHeight="1" x14ac:dyDescent="0.2">
      <c r="B8074" s="11" t="s">
        <v>2599</v>
      </c>
      <c r="C8074" s="11" t="s">
        <v>2186</v>
      </c>
    </row>
    <row r="8075" spans="1:4" ht="25.5" customHeight="1" x14ac:dyDescent="0.2">
      <c r="B8075" s="11" t="s">
        <v>2600</v>
      </c>
      <c r="C8075" s="11" t="s">
        <v>3842</v>
      </c>
    </row>
    <row r="8076" spans="1:4" ht="25.5" customHeight="1" x14ac:dyDescent="0.2">
      <c r="B8076" s="11" t="s">
        <v>2601</v>
      </c>
      <c r="C8076" s="11"/>
    </row>
    <row r="8077" spans="1:4" ht="12.75" customHeight="1" x14ac:dyDescent="0.2">
      <c r="B8077" s="11" t="s">
        <v>16</v>
      </c>
      <c r="C8077" s="11"/>
    </row>
    <row r="8078" spans="1:4" ht="12.75" customHeight="1" x14ac:dyDescent="0.2">
      <c r="B8078" s="11" t="s">
        <v>13</v>
      </c>
      <c r="C8078" s="11" t="s">
        <v>2644</v>
      </c>
    </row>
    <row r="8079" spans="1:4" ht="12.75" customHeight="1" x14ac:dyDescent="0.2">
      <c r="B8079" s="11" t="s">
        <v>2603</v>
      </c>
      <c r="C8079" s="11" t="s">
        <v>2604</v>
      </c>
    </row>
    <row r="8080" spans="1:4" ht="12.75" customHeight="1" x14ac:dyDescent="0.2">
      <c r="B8080" s="11" t="s">
        <v>2605</v>
      </c>
      <c r="C8080" s="11" t="s">
        <v>24</v>
      </c>
    </row>
    <row r="8081" spans="1:4" ht="12.75" customHeight="1" x14ac:dyDescent="0.2">
      <c r="B8081" s="11" t="s">
        <v>2606</v>
      </c>
      <c r="C8081" s="16" t="s">
        <v>67</v>
      </c>
      <c r="D8081" s="6" t="str">
        <f>HYPERLINK("javascript:void(0)","kincs")</f>
        <v>kincs</v>
      </c>
    </row>
    <row r="8082" spans="1:4" ht="12.75" customHeight="1" x14ac:dyDescent="0.2">
      <c r="B8082" s="2"/>
      <c r="C8082" s="15"/>
      <c r="D8082" s="2"/>
    </row>
    <row r="8083" spans="1:4" ht="12.75" customHeight="1" x14ac:dyDescent="0.2">
      <c r="B8083" s="2"/>
      <c r="C8083" s="15"/>
      <c r="D8083" s="2"/>
    </row>
    <row r="8084" spans="1:4" ht="12.75" customHeight="1" x14ac:dyDescent="0.2">
      <c r="A8084" s="13" t="s">
        <v>3843</v>
      </c>
      <c r="C8084" s="12"/>
    </row>
    <row r="8085" spans="1:4" ht="12.75" customHeight="1" x14ac:dyDescent="0.2">
      <c r="A8085" s="11"/>
      <c r="B8085" s="2"/>
      <c r="C8085" s="15"/>
      <c r="D8085" s="2"/>
    </row>
    <row r="8086" spans="1:4" ht="12.75" customHeight="1" x14ac:dyDescent="0.2">
      <c r="B8086" s="11" t="s">
        <v>0</v>
      </c>
      <c r="C8086" s="11" t="s">
        <v>134</v>
      </c>
    </row>
    <row r="8087" spans="1:4" ht="12.75" customHeight="1" x14ac:dyDescent="0.2">
      <c r="B8087" s="11" t="s">
        <v>2599</v>
      </c>
      <c r="C8087" s="11" t="s">
        <v>3844</v>
      </c>
    </row>
    <row r="8088" spans="1:4" ht="25.5" customHeight="1" x14ac:dyDescent="0.2">
      <c r="B8088" s="11" t="s">
        <v>2600</v>
      </c>
      <c r="C8088" s="11" t="s">
        <v>3845</v>
      </c>
    </row>
    <row r="8089" spans="1:4" ht="25.5" customHeight="1" x14ac:dyDescent="0.2">
      <c r="B8089" s="11" t="s">
        <v>2601</v>
      </c>
      <c r="C8089" s="11"/>
    </row>
    <row r="8090" spans="1:4" ht="12.75" customHeight="1" x14ac:dyDescent="0.2">
      <c r="B8090" s="11" t="s">
        <v>16</v>
      </c>
      <c r="C8090" s="11"/>
    </row>
    <row r="8091" spans="1:4" ht="12.75" customHeight="1" x14ac:dyDescent="0.2">
      <c r="B8091" s="11" t="s">
        <v>13</v>
      </c>
      <c r="C8091" s="11" t="s">
        <v>2602</v>
      </c>
    </row>
    <row r="8092" spans="1:4" ht="12.75" customHeight="1" x14ac:dyDescent="0.2">
      <c r="B8092" s="11" t="s">
        <v>2603</v>
      </c>
      <c r="C8092" s="11" t="s">
        <v>128</v>
      </c>
    </row>
    <row r="8093" spans="1:4" ht="12.75" customHeight="1" x14ac:dyDescent="0.2">
      <c r="B8093" s="11" t="s">
        <v>2605</v>
      </c>
      <c r="C8093" s="11" t="s">
        <v>14</v>
      </c>
    </row>
    <row r="8094" spans="1:4" ht="25.5" customHeight="1" x14ac:dyDescent="0.2">
      <c r="B8094" s="11" t="s">
        <v>2606</v>
      </c>
      <c r="C8094" s="16" t="s">
        <v>44</v>
      </c>
      <c r="D8094" s="6" t="str">
        <f>HYPERLINK("javascript:void(0)","ipari méretű sörösk")</f>
        <v>ipari méretű sörösk</v>
      </c>
    </row>
    <row r="8095" spans="1:4" ht="12.75" customHeight="1" x14ac:dyDescent="0.2">
      <c r="B8095" s="2"/>
      <c r="C8095" s="15"/>
      <c r="D8095" s="2"/>
    </row>
    <row r="8096" spans="1:4" ht="12.75" customHeight="1" x14ac:dyDescent="0.2">
      <c r="B8096" s="2"/>
      <c r="C8096" s="15"/>
      <c r="D8096" s="2"/>
    </row>
    <row r="8097" spans="1:4" ht="12.75" customHeight="1" x14ac:dyDescent="0.2">
      <c r="A8097" s="13" t="s">
        <v>3846</v>
      </c>
      <c r="C8097" s="12"/>
      <c r="D8097" s="2"/>
    </row>
    <row r="8098" spans="1:4" ht="12.75" customHeight="1" x14ac:dyDescent="0.2">
      <c r="A8098" s="11"/>
      <c r="B8098" s="2"/>
      <c r="C8098" s="15"/>
      <c r="D8098" s="2"/>
    </row>
    <row r="8099" spans="1:4" ht="12.75" customHeight="1" x14ac:dyDescent="0.2">
      <c r="B8099" s="11" t="s">
        <v>0</v>
      </c>
      <c r="C8099" s="17" t="s">
        <v>134</v>
      </c>
      <c r="D8099" s="2"/>
    </row>
    <row r="8100" spans="1:4" ht="12.75" customHeight="1" x14ac:dyDescent="0.2">
      <c r="B8100" s="11" t="s">
        <v>2599</v>
      </c>
      <c r="C8100" s="17" t="s">
        <v>3847</v>
      </c>
      <c r="D8100" s="2"/>
    </row>
    <row r="8101" spans="1:4" ht="25.5" customHeight="1" x14ac:dyDescent="0.2">
      <c r="B8101" s="11" t="s">
        <v>2600</v>
      </c>
      <c r="C8101" s="17" t="s">
        <v>3848</v>
      </c>
      <c r="D8101" s="2"/>
    </row>
    <row r="8102" spans="1:4" ht="25.5" customHeight="1" x14ac:dyDescent="0.2">
      <c r="B8102" s="11" t="s">
        <v>2601</v>
      </c>
      <c r="C8102" s="17"/>
      <c r="D8102" s="2"/>
    </row>
    <row r="8103" spans="1:4" ht="12.75" customHeight="1" x14ac:dyDescent="0.2">
      <c r="B8103" s="11" t="s">
        <v>16</v>
      </c>
      <c r="C8103" s="17"/>
      <c r="D8103" s="2"/>
    </row>
    <row r="8104" spans="1:4" ht="12.75" customHeight="1" x14ac:dyDescent="0.2">
      <c r="B8104" s="11" t="s">
        <v>13</v>
      </c>
      <c r="C8104" s="17" t="s">
        <v>2602</v>
      </c>
      <c r="D8104" s="2"/>
    </row>
    <row r="8105" spans="1:4" ht="25.5" customHeight="1" x14ac:dyDescent="0.2">
      <c r="B8105" s="11" t="s">
        <v>2603</v>
      </c>
      <c r="C8105" s="17" t="s">
        <v>2971</v>
      </c>
      <c r="D8105" s="2"/>
    </row>
    <row r="8106" spans="1:4" ht="12.75" customHeight="1" x14ac:dyDescent="0.2">
      <c r="B8106" s="11" t="s">
        <v>2605</v>
      </c>
      <c r="C8106" s="17" t="s">
        <v>14</v>
      </c>
      <c r="D8106" s="2"/>
    </row>
    <row r="8107" spans="1:4" ht="12.75" customHeight="1" x14ac:dyDescent="0.2">
      <c r="B8107" s="11" t="s">
        <v>2606</v>
      </c>
      <c r="C8107" s="16" t="s">
        <v>19</v>
      </c>
      <c r="D8107" s="2"/>
    </row>
    <row r="8108" spans="1:4" ht="12.75" customHeight="1" x14ac:dyDescent="0.2">
      <c r="B8108" s="2"/>
      <c r="C8108" s="15"/>
      <c r="D8108" s="2"/>
    </row>
    <row r="8109" spans="1:4" ht="12.75" customHeight="1" x14ac:dyDescent="0.2">
      <c r="B8109" s="2"/>
      <c r="C8109" s="15"/>
      <c r="D8109" s="2"/>
    </row>
    <row r="8110" spans="1:4" ht="12.75" customHeight="1" x14ac:dyDescent="0.2">
      <c r="A8110" s="13" t="s">
        <v>3849</v>
      </c>
      <c r="C8110" s="12"/>
      <c r="D8110" s="2"/>
    </row>
    <row r="8111" spans="1:4" ht="12.75" customHeight="1" x14ac:dyDescent="0.2">
      <c r="A8111" s="11"/>
      <c r="B8111" s="2"/>
      <c r="C8111" s="15"/>
      <c r="D8111" s="2"/>
    </row>
    <row r="8112" spans="1:4" ht="12.75" customHeight="1" x14ac:dyDescent="0.2">
      <c r="B8112" s="11" t="s">
        <v>0</v>
      </c>
      <c r="C8112" s="17" t="s">
        <v>134</v>
      </c>
      <c r="D8112" s="2"/>
    </row>
    <row r="8113" spans="1:4" ht="12.75" customHeight="1" x14ac:dyDescent="0.2">
      <c r="B8113" s="11" t="s">
        <v>2599</v>
      </c>
      <c r="C8113" s="17" t="s">
        <v>3850</v>
      </c>
      <c r="D8113" s="2"/>
    </row>
    <row r="8114" spans="1:4" ht="25.5" customHeight="1" x14ac:dyDescent="0.2">
      <c r="B8114" s="11" t="s">
        <v>2600</v>
      </c>
      <c r="C8114" s="17" t="s">
        <v>3851</v>
      </c>
      <c r="D8114" s="2"/>
    </row>
    <row r="8115" spans="1:4" ht="25.5" customHeight="1" x14ac:dyDescent="0.2">
      <c r="B8115" s="11" t="s">
        <v>2601</v>
      </c>
      <c r="C8115" s="17"/>
      <c r="D8115" s="2"/>
    </row>
    <row r="8116" spans="1:4" ht="12.75" customHeight="1" x14ac:dyDescent="0.2">
      <c r="B8116" s="11" t="s">
        <v>16</v>
      </c>
      <c r="C8116" s="17"/>
      <c r="D8116" s="2"/>
    </row>
    <row r="8117" spans="1:4" ht="12.75" customHeight="1" x14ac:dyDescent="0.2">
      <c r="B8117" s="11" t="s">
        <v>13</v>
      </c>
      <c r="C8117" s="17" t="s">
        <v>2644</v>
      </c>
      <c r="D8117" s="2"/>
    </row>
    <row r="8118" spans="1:4" ht="25.5" customHeight="1" x14ac:dyDescent="0.2">
      <c r="B8118" s="11" t="s">
        <v>2603</v>
      </c>
      <c r="C8118" s="17" t="s">
        <v>2971</v>
      </c>
      <c r="D8118" s="2"/>
    </row>
    <row r="8119" spans="1:4" ht="12.75" customHeight="1" x14ac:dyDescent="0.2">
      <c r="B8119" s="11" t="s">
        <v>2605</v>
      </c>
      <c r="C8119" s="17" t="s">
        <v>14</v>
      </c>
      <c r="D8119" s="2"/>
    </row>
    <row r="8120" spans="1:4" ht="12.75" customHeight="1" x14ac:dyDescent="0.2">
      <c r="B8120" s="11" t="s">
        <v>2606</v>
      </c>
      <c r="C8120" s="16" t="s">
        <v>19</v>
      </c>
      <c r="D8120" s="2"/>
    </row>
    <row r="8121" spans="1:4" ht="12.75" customHeight="1" x14ac:dyDescent="0.2">
      <c r="B8121" s="2"/>
      <c r="C8121" s="15"/>
      <c r="D8121" s="2"/>
    </row>
    <row r="8122" spans="1:4" ht="12.75" customHeight="1" x14ac:dyDescent="0.2">
      <c r="B8122" s="2"/>
      <c r="C8122" s="15"/>
      <c r="D8122" s="2"/>
    </row>
    <row r="8123" spans="1:4" ht="12.75" customHeight="1" x14ac:dyDescent="0.2">
      <c r="A8123" s="13" t="s">
        <v>3783</v>
      </c>
      <c r="C8123" s="12"/>
      <c r="D8123" s="2"/>
    </row>
    <row r="8124" spans="1:4" ht="12.75" customHeight="1" x14ac:dyDescent="0.2">
      <c r="A8124" s="11"/>
      <c r="B8124" s="2"/>
      <c r="C8124" s="15"/>
      <c r="D8124" s="2"/>
    </row>
    <row r="8125" spans="1:4" ht="12.75" customHeight="1" x14ac:dyDescent="0.2">
      <c r="B8125" s="11" t="s">
        <v>0</v>
      </c>
      <c r="C8125" s="17" t="s">
        <v>134</v>
      </c>
      <c r="D8125" s="2"/>
    </row>
    <row r="8126" spans="1:4" ht="12.75" customHeight="1" x14ac:dyDescent="0.2">
      <c r="B8126" s="11" t="s">
        <v>2599</v>
      </c>
      <c r="C8126" s="17" t="s">
        <v>3784</v>
      </c>
      <c r="D8126" s="2"/>
    </row>
    <row r="8127" spans="1:4" ht="25.5" customHeight="1" x14ac:dyDescent="0.2">
      <c r="B8127" s="11" t="s">
        <v>2600</v>
      </c>
      <c r="C8127" s="17" t="s">
        <v>3852</v>
      </c>
      <c r="D8127" s="2"/>
    </row>
    <row r="8128" spans="1:4" ht="25.5" customHeight="1" x14ac:dyDescent="0.2">
      <c r="B8128" s="11" t="s">
        <v>2601</v>
      </c>
      <c r="C8128" s="17"/>
      <c r="D8128" s="2"/>
    </row>
    <row r="8129" spans="1:4" ht="12.75" customHeight="1" x14ac:dyDescent="0.2">
      <c r="B8129" s="11" t="s">
        <v>16</v>
      </c>
      <c r="C8129" s="17"/>
      <c r="D8129" s="2"/>
    </row>
    <row r="8130" spans="1:4" ht="12.75" customHeight="1" x14ac:dyDescent="0.2">
      <c r="B8130" s="11" t="s">
        <v>13</v>
      </c>
      <c r="C8130" s="17" t="s">
        <v>2602</v>
      </c>
      <c r="D8130" s="2"/>
    </row>
    <row r="8131" spans="1:4" ht="25.5" customHeight="1" x14ac:dyDescent="0.2">
      <c r="B8131" s="11" t="s">
        <v>2603</v>
      </c>
      <c r="C8131" s="17" t="s">
        <v>2971</v>
      </c>
      <c r="D8131" s="2"/>
    </row>
    <row r="8132" spans="1:4" ht="12.75" customHeight="1" x14ac:dyDescent="0.2">
      <c r="B8132" s="11" t="s">
        <v>2605</v>
      </c>
      <c r="C8132" s="17" t="s">
        <v>14</v>
      </c>
      <c r="D8132" s="2"/>
    </row>
    <row r="8133" spans="1:4" ht="12.75" customHeight="1" x14ac:dyDescent="0.2">
      <c r="B8133" s="11" t="s">
        <v>2606</v>
      </c>
      <c r="C8133" s="16" t="s">
        <v>19</v>
      </c>
      <c r="D8133" s="2"/>
    </row>
    <row r="8134" spans="1:4" ht="12.75" customHeight="1" x14ac:dyDescent="0.2">
      <c r="B8134" s="2"/>
      <c r="C8134" s="15"/>
      <c r="D8134" s="2"/>
    </row>
    <row r="8135" spans="1:4" ht="12.75" customHeight="1" x14ac:dyDescent="0.2">
      <c r="B8135" s="2"/>
      <c r="C8135" s="15"/>
      <c r="D8135" s="2"/>
    </row>
    <row r="8136" spans="1:4" ht="12.75" customHeight="1" x14ac:dyDescent="0.2">
      <c r="A8136" s="13" t="s">
        <v>3853</v>
      </c>
      <c r="C8136" s="12"/>
      <c r="D8136" s="2"/>
    </row>
    <row r="8137" spans="1:4" ht="12.75" customHeight="1" x14ac:dyDescent="0.2">
      <c r="A8137" s="11"/>
      <c r="B8137" s="2"/>
      <c r="C8137" s="15"/>
      <c r="D8137" s="2"/>
    </row>
    <row r="8138" spans="1:4" ht="12.75" customHeight="1" x14ac:dyDescent="0.2">
      <c r="B8138" s="11" t="s">
        <v>0</v>
      </c>
      <c r="C8138" s="17" t="s">
        <v>134</v>
      </c>
      <c r="D8138" s="2"/>
    </row>
    <row r="8139" spans="1:4" ht="12.75" customHeight="1" x14ac:dyDescent="0.2">
      <c r="B8139" s="11" t="s">
        <v>2599</v>
      </c>
      <c r="C8139" s="17" t="s">
        <v>3854</v>
      </c>
      <c r="D8139" s="2"/>
    </row>
    <row r="8140" spans="1:4" ht="25.5" customHeight="1" x14ac:dyDescent="0.2">
      <c r="B8140" s="11" t="s">
        <v>2600</v>
      </c>
      <c r="C8140" s="17" t="s">
        <v>3855</v>
      </c>
      <c r="D8140" s="2"/>
    </row>
    <row r="8141" spans="1:4" ht="25.5" customHeight="1" x14ac:dyDescent="0.2">
      <c r="B8141" s="11" t="s">
        <v>2601</v>
      </c>
      <c r="C8141" s="17"/>
      <c r="D8141" s="2"/>
    </row>
    <row r="8142" spans="1:4" ht="12.75" customHeight="1" x14ac:dyDescent="0.2">
      <c r="B8142" s="11" t="s">
        <v>16</v>
      </c>
      <c r="C8142" s="17"/>
      <c r="D8142" s="2"/>
    </row>
    <row r="8143" spans="1:4" ht="12.75" customHeight="1" x14ac:dyDescent="0.2">
      <c r="B8143" s="11" t="s">
        <v>13</v>
      </c>
      <c r="C8143" s="17" t="s">
        <v>2644</v>
      </c>
      <c r="D8143" s="2"/>
    </row>
    <row r="8144" spans="1:4" ht="25.5" customHeight="1" x14ac:dyDescent="0.2">
      <c r="B8144" s="11" t="s">
        <v>2603</v>
      </c>
      <c r="C8144" s="17" t="s">
        <v>2971</v>
      </c>
      <c r="D8144" s="2"/>
    </row>
    <row r="8145" spans="1:4" ht="12.75" customHeight="1" x14ac:dyDescent="0.2">
      <c r="B8145" s="11" t="s">
        <v>2605</v>
      </c>
      <c r="C8145" s="17" t="s">
        <v>14</v>
      </c>
      <c r="D8145" s="2"/>
    </row>
    <row r="8146" spans="1:4" ht="12.75" customHeight="1" x14ac:dyDescent="0.2">
      <c r="B8146" s="11" t="s">
        <v>2606</v>
      </c>
      <c r="C8146" s="16" t="s">
        <v>19</v>
      </c>
      <c r="D8146" s="2"/>
    </row>
    <row r="8147" spans="1:4" ht="12.75" customHeight="1" x14ac:dyDescent="0.2">
      <c r="B8147" s="2"/>
      <c r="C8147" s="15"/>
      <c r="D8147" s="2"/>
    </row>
    <row r="8148" spans="1:4" ht="12.75" customHeight="1" x14ac:dyDescent="0.2">
      <c r="B8148" s="2"/>
      <c r="C8148" s="15"/>
      <c r="D8148" s="2"/>
    </row>
    <row r="8149" spans="1:4" ht="12.75" customHeight="1" x14ac:dyDescent="0.2">
      <c r="A8149" s="13" t="s">
        <v>3753</v>
      </c>
      <c r="C8149" s="12"/>
      <c r="D8149" s="2"/>
    </row>
    <row r="8150" spans="1:4" ht="12.75" customHeight="1" x14ac:dyDescent="0.2">
      <c r="A8150" s="11"/>
      <c r="B8150" s="2"/>
      <c r="C8150" s="15"/>
      <c r="D8150" s="2"/>
    </row>
    <row r="8151" spans="1:4" ht="12.75" customHeight="1" x14ac:dyDescent="0.2">
      <c r="B8151" s="11" t="s">
        <v>0</v>
      </c>
      <c r="C8151" s="17" t="s">
        <v>134</v>
      </c>
      <c r="D8151" s="2"/>
    </row>
    <row r="8152" spans="1:4" ht="12.75" customHeight="1" x14ac:dyDescent="0.2">
      <c r="B8152" s="11" t="s">
        <v>2599</v>
      </c>
      <c r="C8152" s="17" t="s">
        <v>3754</v>
      </c>
      <c r="D8152" s="2"/>
    </row>
    <row r="8153" spans="1:4" ht="25.5" customHeight="1" x14ac:dyDescent="0.2">
      <c r="B8153" s="11" t="s">
        <v>2600</v>
      </c>
      <c r="C8153" s="17" t="s">
        <v>3856</v>
      </c>
      <c r="D8153" s="2"/>
    </row>
    <row r="8154" spans="1:4" ht="25.5" customHeight="1" x14ac:dyDescent="0.2">
      <c r="B8154" s="11" t="s">
        <v>2601</v>
      </c>
      <c r="C8154" s="17"/>
      <c r="D8154" s="2"/>
    </row>
    <row r="8155" spans="1:4" ht="12.75" customHeight="1" x14ac:dyDescent="0.2">
      <c r="B8155" s="11" t="s">
        <v>16</v>
      </c>
      <c r="C8155" s="17"/>
      <c r="D8155" s="2"/>
    </row>
    <row r="8156" spans="1:4" ht="12.75" customHeight="1" x14ac:dyDescent="0.2">
      <c r="B8156" s="11" t="s">
        <v>13</v>
      </c>
      <c r="C8156" s="17" t="s">
        <v>2602</v>
      </c>
      <c r="D8156" s="2"/>
    </row>
    <row r="8157" spans="1:4" ht="25.5" customHeight="1" x14ac:dyDescent="0.2">
      <c r="B8157" s="11" t="s">
        <v>2603</v>
      </c>
      <c r="C8157" s="17" t="s">
        <v>2971</v>
      </c>
      <c r="D8157" s="2"/>
    </row>
    <row r="8158" spans="1:4" ht="12.75" customHeight="1" x14ac:dyDescent="0.2">
      <c r="B8158" s="11" t="s">
        <v>2605</v>
      </c>
      <c r="C8158" s="17" t="s">
        <v>14</v>
      </c>
      <c r="D8158" s="2"/>
    </row>
    <row r="8159" spans="1:4" ht="12.75" customHeight="1" x14ac:dyDescent="0.2">
      <c r="B8159" s="11" t="s">
        <v>2606</v>
      </c>
      <c r="C8159" s="16" t="s">
        <v>19</v>
      </c>
      <c r="D8159" s="2"/>
    </row>
    <row r="8160" spans="1:4" ht="12.75" customHeight="1" x14ac:dyDescent="0.2">
      <c r="B8160" s="2"/>
      <c r="C8160" s="15"/>
      <c r="D8160" s="2"/>
    </row>
    <row r="8161" spans="1:4" ht="12.75" customHeight="1" x14ac:dyDescent="0.2">
      <c r="B8161" s="2"/>
      <c r="C8161" s="15"/>
      <c r="D8161" s="2"/>
    </row>
    <row r="8162" spans="1:4" ht="12.75" customHeight="1" x14ac:dyDescent="0.2">
      <c r="A8162" s="13" t="s">
        <v>3857</v>
      </c>
      <c r="C8162" s="12"/>
      <c r="D8162" s="2"/>
    </row>
    <row r="8163" spans="1:4" ht="12.75" customHeight="1" x14ac:dyDescent="0.2">
      <c r="A8163" s="11"/>
      <c r="B8163" s="2"/>
      <c r="C8163" s="15"/>
      <c r="D8163" s="2"/>
    </row>
    <row r="8164" spans="1:4" ht="12.75" customHeight="1" x14ac:dyDescent="0.2">
      <c r="B8164" s="11" t="s">
        <v>0</v>
      </c>
      <c r="C8164" s="17" t="s">
        <v>134</v>
      </c>
      <c r="D8164" s="2"/>
    </row>
    <row r="8165" spans="1:4" ht="12.75" customHeight="1" x14ac:dyDescent="0.2">
      <c r="B8165" s="11" t="s">
        <v>2599</v>
      </c>
      <c r="C8165" s="17" t="s">
        <v>3858</v>
      </c>
      <c r="D8165" s="2"/>
    </row>
    <row r="8166" spans="1:4" ht="25.5" customHeight="1" x14ac:dyDescent="0.2">
      <c r="B8166" s="11" t="s">
        <v>2600</v>
      </c>
      <c r="C8166" s="17" t="s">
        <v>3859</v>
      </c>
      <c r="D8166" s="2"/>
    </row>
    <row r="8167" spans="1:4" ht="25.5" customHeight="1" x14ac:dyDescent="0.2">
      <c r="B8167" s="11" t="s">
        <v>2601</v>
      </c>
      <c r="C8167" s="17"/>
      <c r="D8167" s="2"/>
    </row>
    <row r="8168" spans="1:4" ht="12.75" customHeight="1" x14ac:dyDescent="0.2">
      <c r="B8168" s="11" t="s">
        <v>16</v>
      </c>
      <c r="C8168" s="17"/>
      <c r="D8168" s="2"/>
    </row>
    <row r="8169" spans="1:4" ht="12.75" customHeight="1" x14ac:dyDescent="0.2">
      <c r="B8169" s="11" t="s">
        <v>13</v>
      </c>
      <c r="C8169" s="17" t="s">
        <v>2602</v>
      </c>
      <c r="D8169" s="2"/>
    </row>
    <row r="8170" spans="1:4" ht="25.5" customHeight="1" x14ac:dyDescent="0.2">
      <c r="B8170" s="11" t="s">
        <v>2603</v>
      </c>
      <c r="C8170" s="17" t="s">
        <v>2971</v>
      </c>
      <c r="D8170" s="2"/>
    </row>
    <row r="8171" spans="1:4" ht="12.75" customHeight="1" x14ac:dyDescent="0.2">
      <c r="B8171" s="11" t="s">
        <v>2605</v>
      </c>
      <c r="C8171" s="17" t="s">
        <v>14</v>
      </c>
      <c r="D8171" s="2"/>
    </row>
    <row r="8172" spans="1:4" ht="12.75" customHeight="1" x14ac:dyDescent="0.2">
      <c r="B8172" s="11" t="s">
        <v>2606</v>
      </c>
      <c r="C8172" s="16" t="s">
        <v>19</v>
      </c>
      <c r="D8172" s="2"/>
    </row>
    <row r="8173" spans="1:4" ht="12.75" customHeight="1" x14ac:dyDescent="0.2">
      <c r="B8173" s="2"/>
      <c r="C8173" s="15"/>
      <c r="D8173" s="2"/>
    </row>
    <row r="8174" spans="1:4" ht="12.75" customHeight="1" x14ac:dyDescent="0.2">
      <c r="B8174" s="2"/>
      <c r="C8174" s="15"/>
      <c r="D8174" s="2"/>
    </row>
    <row r="8175" spans="1:4" ht="12.75" customHeight="1" x14ac:dyDescent="0.2">
      <c r="A8175" s="13" t="s">
        <v>3860</v>
      </c>
      <c r="C8175" s="12"/>
    </row>
    <row r="8176" spans="1:4" ht="12.75" customHeight="1" x14ac:dyDescent="0.2">
      <c r="A8176" s="11"/>
      <c r="B8176" s="2"/>
      <c r="C8176" s="15"/>
      <c r="D8176" s="2"/>
    </row>
    <row r="8177" spans="1:4" ht="12.75" customHeight="1" x14ac:dyDescent="0.2">
      <c r="B8177" s="11" t="s">
        <v>0</v>
      </c>
      <c r="C8177" s="11" t="s">
        <v>134</v>
      </c>
    </row>
    <row r="8178" spans="1:4" ht="12.75" customHeight="1" x14ac:dyDescent="0.2">
      <c r="B8178" s="11" t="s">
        <v>2599</v>
      </c>
      <c r="C8178" s="11" t="s">
        <v>3861</v>
      </c>
    </row>
    <row r="8179" spans="1:4" ht="25.5" customHeight="1" x14ac:dyDescent="0.2">
      <c r="B8179" s="11" t="s">
        <v>2600</v>
      </c>
      <c r="C8179" s="11" t="s">
        <v>3862</v>
      </c>
    </row>
    <row r="8180" spans="1:4" ht="25.5" customHeight="1" x14ac:dyDescent="0.2">
      <c r="B8180" s="11" t="s">
        <v>2601</v>
      </c>
      <c r="C8180" s="11"/>
    </row>
    <row r="8181" spans="1:4" ht="12.75" customHeight="1" x14ac:dyDescent="0.2">
      <c r="B8181" s="11" t="s">
        <v>16</v>
      </c>
      <c r="C8181" s="11"/>
    </row>
    <row r="8182" spans="1:4" ht="12.75" customHeight="1" x14ac:dyDescent="0.2">
      <c r="B8182" s="11" t="s">
        <v>13</v>
      </c>
      <c r="C8182" s="11" t="s">
        <v>2602</v>
      </c>
    </row>
    <row r="8183" spans="1:4" ht="12.75" customHeight="1" x14ac:dyDescent="0.2">
      <c r="B8183" s="11" t="s">
        <v>2603</v>
      </c>
      <c r="C8183" s="11" t="s">
        <v>2604</v>
      </c>
    </row>
    <row r="8184" spans="1:4" ht="12.75" customHeight="1" x14ac:dyDescent="0.2">
      <c r="B8184" s="11" t="s">
        <v>2605</v>
      </c>
      <c r="C8184" s="11" t="s">
        <v>24</v>
      </c>
    </row>
    <row r="8185" spans="1:4" ht="12.75" customHeight="1" x14ac:dyDescent="0.2">
      <c r="B8185" s="11" t="s">
        <v>2606</v>
      </c>
      <c r="C8185" s="16" t="s">
        <v>117</v>
      </c>
      <c r="D8185" s="6" t="str">
        <f>HYPERLINK("javascript:void(0)","kincs")</f>
        <v>kincs</v>
      </c>
    </row>
    <row r="8186" spans="1:4" ht="12.75" customHeight="1" x14ac:dyDescent="0.2">
      <c r="C8186" s="16" t="s">
        <v>67</v>
      </c>
      <c r="D8186" s="6" t="str">
        <f>HYPERLINK("javascript:void(0)","légzsák")</f>
        <v>légzsák</v>
      </c>
    </row>
    <row r="8187" spans="1:4" ht="12.75" customHeight="1" x14ac:dyDescent="0.2">
      <c r="B8187" s="2"/>
      <c r="C8187" s="15"/>
      <c r="D8187" s="2"/>
    </row>
    <row r="8188" spans="1:4" ht="12.75" customHeight="1" x14ac:dyDescent="0.2">
      <c r="B8188" s="2"/>
      <c r="C8188" s="15"/>
      <c r="D8188" s="2"/>
    </row>
    <row r="8189" spans="1:4" ht="12.75" customHeight="1" x14ac:dyDescent="0.2">
      <c r="A8189" s="13" t="s">
        <v>3863</v>
      </c>
      <c r="C8189" s="12"/>
    </row>
    <row r="8190" spans="1:4" ht="12.75" customHeight="1" x14ac:dyDescent="0.2">
      <c r="A8190" s="11"/>
      <c r="B8190" s="2"/>
      <c r="C8190" s="15"/>
      <c r="D8190" s="2"/>
    </row>
    <row r="8191" spans="1:4" ht="12.75" customHeight="1" x14ac:dyDescent="0.2">
      <c r="B8191" s="11" t="s">
        <v>0</v>
      </c>
      <c r="C8191" s="11" t="s">
        <v>134</v>
      </c>
    </row>
    <row r="8192" spans="1:4" ht="12.75" customHeight="1" x14ac:dyDescent="0.2">
      <c r="B8192" s="11" t="s">
        <v>2599</v>
      </c>
      <c r="C8192" s="11" t="s">
        <v>3864</v>
      </c>
    </row>
    <row r="8193" spans="1:4" ht="25.5" customHeight="1" x14ac:dyDescent="0.2">
      <c r="B8193" s="11" t="s">
        <v>2600</v>
      </c>
      <c r="C8193" s="11" t="s">
        <v>3865</v>
      </c>
    </row>
    <row r="8194" spans="1:4" ht="25.5" customHeight="1" x14ac:dyDescent="0.2">
      <c r="B8194" s="11" t="s">
        <v>2601</v>
      </c>
      <c r="C8194" s="11"/>
    </row>
    <row r="8195" spans="1:4" ht="12.75" customHeight="1" x14ac:dyDescent="0.2">
      <c r="B8195" s="11" t="s">
        <v>16</v>
      </c>
      <c r="C8195" s="11"/>
    </row>
    <row r="8196" spans="1:4" ht="12.75" customHeight="1" x14ac:dyDescent="0.2">
      <c r="B8196" s="11" t="s">
        <v>13</v>
      </c>
      <c r="C8196" s="11" t="s">
        <v>2644</v>
      </c>
    </row>
    <row r="8197" spans="1:4" ht="12.75" customHeight="1" x14ac:dyDescent="0.2">
      <c r="B8197" s="11" t="s">
        <v>2603</v>
      </c>
      <c r="C8197" s="11" t="s">
        <v>2604</v>
      </c>
    </row>
    <row r="8198" spans="1:4" ht="12.75" customHeight="1" x14ac:dyDescent="0.2">
      <c r="B8198" s="11" t="s">
        <v>2605</v>
      </c>
      <c r="C8198" s="11" t="s">
        <v>24</v>
      </c>
    </row>
    <row r="8199" spans="1:4" ht="12.75" customHeight="1" x14ac:dyDescent="0.2">
      <c r="B8199" s="11" t="s">
        <v>2606</v>
      </c>
      <c r="C8199" s="16" t="s">
        <v>44</v>
      </c>
      <c r="D8199" s="6" t="str">
        <f>HYPERLINK("javascript:void(0)","csigaház")</f>
        <v>csigaház</v>
      </c>
    </row>
    <row r="8200" spans="1:4" ht="12.75" customHeight="1" x14ac:dyDescent="0.2">
      <c r="B8200" s="2"/>
      <c r="C8200" s="15"/>
      <c r="D8200" s="2"/>
    </row>
    <row r="8201" spans="1:4" ht="12.75" customHeight="1" x14ac:dyDescent="0.2">
      <c r="B8201" s="2"/>
      <c r="C8201" s="15"/>
      <c r="D8201" s="2"/>
    </row>
    <row r="8202" spans="1:4" ht="12.75" customHeight="1" x14ac:dyDescent="0.2">
      <c r="A8202" s="13" t="s">
        <v>3866</v>
      </c>
      <c r="C8202" s="12"/>
      <c r="D8202" s="2"/>
    </row>
    <row r="8203" spans="1:4" ht="12.75" customHeight="1" x14ac:dyDescent="0.2">
      <c r="A8203" s="11"/>
      <c r="B8203" s="2"/>
      <c r="C8203" s="15"/>
      <c r="D8203" s="2"/>
    </row>
    <row r="8204" spans="1:4" ht="12.75" customHeight="1" x14ac:dyDescent="0.2">
      <c r="B8204" s="11" t="s">
        <v>0</v>
      </c>
      <c r="C8204" s="17" t="s">
        <v>134</v>
      </c>
      <c r="D8204" s="2"/>
    </row>
    <row r="8205" spans="1:4" ht="12.75" customHeight="1" x14ac:dyDescent="0.2">
      <c r="B8205" s="11" t="s">
        <v>2599</v>
      </c>
      <c r="C8205" s="17" t="s">
        <v>3867</v>
      </c>
      <c r="D8205" s="2"/>
    </row>
    <row r="8206" spans="1:4" ht="25.5" customHeight="1" x14ac:dyDescent="0.2">
      <c r="B8206" s="11" t="s">
        <v>2600</v>
      </c>
      <c r="C8206" s="17" t="s">
        <v>3868</v>
      </c>
      <c r="D8206" s="2"/>
    </row>
    <row r="8207" spans="1:4" ht="25.5" customHeight="1" x14ac:dyDescent="0.2">
      <c r="B8207" s="11" t="s">
        <v>2601</v>
      </c>
      <c r="C8207" s="17"/>
      <c r="D8207" s="2"/>
    </row>
    <row r="8208" spans="1:4" ht="12.75" customHeight="1" x14ac:dyDescent="0.2">
      <c r="B8208" s="11" t="s">
        <v>16</v>
      </c>
      <c r="C8208" s="17"/>
      <c r="D8208" s="2"/>
    </row>
    <row r="8209" spans="1:4" ht="12.75" customHeight="1" x14ac:dyDescent="0.2">
      <c r="B8209" s="11" t="s">
        <v>13</v>
      </c>
      <c r="C8209" s="17" t="s">
        <v>2644</v>
      </c>
      <c r="D8209" s="2"/>
    </row>
    <row r="8210" spans="1:4" ht="12.75" customHeight="1" x14ac:dyDescent="0.2">
      <c r="B8210" s="11" t="s">
        <v>2603</v>
      </c>
      <c r="C8210" s="17" t="s">
        <v>2604</v>
      </c>
      <c r="D8210" s="2"/>
    </row>
    <row r="8211" spans="1:4" ht="12.75" customHeight="1" x14ac:dyDescent="0.2">
      <c r="B8211" s="11" t="s">
        <v>2605</v>
      </c>
      <c r="C8211" s="17" t="s">
        <v>24</v>
      </c>
      <c r="D8211" s="2"/>
    </row>
    <row r="8212" spans="1:4" ht="12.75" customHeight="1" x14ac:dyDescent="0.2">
      <c r="B8212" s="11" t="s">
        <v>2606</v>
      </c>
      <c r="C8212" s="16" t="s">
        <v>19</v>
      </c>
      <c r="D8212" s="2"/>
    </row>
    <row r="8213" spans="1:4" ht="12.75" customHeight="1" x14ac:dyDescent="0.2">
      <c r="B8213" s="2"/>
      <c r="C8213" s="15"/>
      <c r="D8213" s="2"/>
    </row>
    <row r="8214" spans="1:4" ht="12.75" customHeight="1" x14ac:dyDescent="0.2">
      <c r="B8214" s="2"/>
      <c r="C8214" s="15"/>
      <c r="D8214" s="2"/>
    </row>
    <row r="8215" spans="1:4" ht="12.75" customHeight="1" x14ac:dyDescent="0.2">
      <c r="A8215" s="13" t="s">
        <v>3869</v>
      </c>
      <c r="C8215" s="12"/>
    </row>
    <row r="8216" spans="1:4" ht="12.75" customHeight="1" x14ac:dyDescent="0.2">
      <c r="A8216" s="11"/>
      <c r="B8216" s="2"/>
      <c r="C8216" s="15"/>
      <c r="D8216" s="2"/>
    </row>
    <row r="8217" spans="1:4" ht="12.75" customHeight="1" x14ac:dyDescent="0.2">
      <c r="B8217" s="11" t="s">
        <v>0</v>
      </c>
      <c r="C8217" s="11" t="s">
        <v>134</v>
      </c>
    </row>
    <row r="8218" spans="1:4" ht="12.75" customHeight="1" x14ac:dyDescent="0.2">
      <c r="B8218" s="11" t="s">
        <v>2599</v>
      </c>
      <c r="C8218" s="11" t="s">
        <v>3870</v>
      </c>
    </row>
    <row r="8219" spans="1:4" ht="25.5" customHeight="1" x14ac:dyDescent="0.2">
      <c r="B8219" s="11" t="s">
        <v>2600</v>
      </c>
      <c r="C8219" s="11" t="s">
        <v>3871</v>
      </c>
    </row>
    <row r="8220" spans="1:4" ht="25.5" customHeight="1" x14ac:dyDescent="0.2">
      <c r="B8220" s="11" t="s">
        <v>2601</v>
      </c>
      <c r="C8220" s="11"/>
    </row>
    <row r="8221" spans="1:4" ht="12.75" customHeight="1" x14ac:dyDescent="0.2">
      <c r="B8221" s="11" t="s">
        <v>16</v>
      </c>
      <c r="C8221" s="11"/>
    </row>
    <row r="8222" spans="1:4" ht="12.75" customHeight="1" x14ac:dyDescent="0.2">
      <c r="B8222" s="11" t="s">
        <v>13</v>
      </c>
      <c r="C8222" s="11" t="s">
        <v>2644</v>
      </c>
    </row>
    <row r="8223" spans="1:4" ht="12.75" customHeight="1" x14ac:dyDescent="0.2">
      <c r="B8223" s="11" t="s">
        <v>2603</v>
      </c>
      <c r="C8223" s="11" t="s">
        <v>2604</v>
      </c>
    </row>
    <row r="8224" spans="1:4" ht="12.75" customHeight="1" x14ac:dyDescent="0.2">
      <c r="B8224" s="11" t="s">
        <v>2605</v>
      </c>
      <c r="C8224" s="11" t="s">
        <v>24</v>
      </c>
    </row>
    <row r="8225" spans="1:4" ht="12.75" customHeight="1" x14ac:dyDescent="0.2">
      <c r="B8225" s="11" t="s">
        <v>2606</v>
      </c>
      <c r="C8225" s="16" t="s">
        <v>55</v>
      </c>
      <c r="D8225" s="6" t="str">
        <f>HYPERLINK("javascript:void(0)","szemgödör")</f>
        <v>szemgödör</v>
      </c>
    </row>
    <row r="8226" spans="1:4" ht="12.75" customHeight="1" x14ac:dyDescent="0.2">
      <c r="B8226" s="2"/>
      <c r="C8226" s="15"/>
      <c r="D8226" s="2"/>
    </row>
    <row r="8227" spans="1:4" ht="12.75" customHeight="1" x14ac:dyDescent="0.2">
      <c r="B8227" s="2"/>
      <c r="C8227" s="15"/>
      <c r="D8227" s="2"/>
    </row>
    <row r="8228" spans="1:4" ht="12.75" customHeight="1" x14ac:dyDescent="0.2">
      <c r="A8228" s="13" t="s">
        <v>3872</v>
      </c>
      <c r="C8228" s="12"/>
    </row>
    <row r="8229" spans="1:4" ht="12.75" customHeight="1" x14ac:dyDescent="0.2">
      <c r="A8229" s="11"/>
      <c r="B8229" s="2"/>
      <c r="C8229" s="15"/>
      <c r="D8229" s="2"/>
    </row>
    <row r="8230" spans="1:4" ht="12.75" customHeight="1" x14ac:dyDescent="0.2">
      <c r="B8230" s="11" t="s">
        <v>0</v>
      </c>
      <c r="C8230" s="11" t="s">
        <v>134</v>
      </c>
    </row>
    <row r="8231" spans="1:4" ht="12.75" customHeight="1" x14ac:dyDescent="0.2">
      <c r="B8231" s="11" t="s">
        <v>2599</v>
      </c>
      <c r="C8231" s="11" t="s">
        <v>2687</v>
      </c>
    </row>
    <row r="8232" spans="1:4" ht="25.5" customHeight="1" x14ac:dyDescent="0.2">
      <c r="B8232" s="11" t="s">
        <v>2600</v>
      </c>
      <c r="C8232" s="11" t="s">
        <v>3873</v>
      </c>
    </row>
    <row r="8233" spans="1:4" ht="25.5" customHeight="1" x14ac:dyDescent="0.2">
      <c r="B8233" s="11" t="s">
        <v>2601</v>
      </c>
      <c r="C8233" s="11"/>
    </row>
    <row r="8234" spans="1:4" ht="12.75" customHeight="1" x14ac:dyDescent="0.2">
      <c r="B8234" s="11" t="s">
        <v>16</v>
      </c>
      <c r="C8234" s="11"/>
    </row>
    <row r="8235" spans="1:4" ht="12.75" customHeight="1" x14ac:dyDescent="0.2">
      <c r="B8235" s="11" t="s">
        <v>13</v>
      </c>
      <c r="C8235" s="11" t="s">
        <v>2602</v>
      </c>
    </row>
    <row r="8236" spans="1:4" ht="12.75" customHeight="1" x14ac:dyDescent="0.2">
      <c r="B8236" s="11" t="s">
        <v>2603</v>
      </c>
      <c r="C8236" s="11" t="s">
        <v>2604</v>
      </c>
    </row>
    <row r="8237" spans="1:4" ht="12.75" customHeight="1" x14ac:dyDescent="0.2">
      <c r="B8237" s="11" t="s">
        <v>2605</v>
      </c>
      <c r="C8237" s="11" t="s">
        <v>24</v>
      </c>
    </row>
    <row r="8238" spans="1:4" ht="12.75" customHeight="1" x14ac:dyDescent="0.2">
      <c r="B8238" s="11" t="s">
        <v>2606</v>
      </c>
      <c r="C8238" s="16" t="s">
        <v>44</v>
      </c>
      <c r="D8238" s="6" t="str">
        <f>HYPERLINK("javascript:void(0)","kígyócsörgő")</f>
        <v>kígyócsörgő</v>
      </c>
    </row>
    <row r="8239" spans="1:4" ht="12.75" customHeight="1" x14ac:dyDescent="0.2">
      <c r="B8239" s="2"/>
      <c r="C8239" s="15"/>
      <c r="D8239" s="2"/>
    </row>
    <row r="8240" spans="1:4" ht="12.75" customHeight="1" x14ac:dyDescent="0.2">
      <c r="B8240" s="2"/>
      <c r="C8240" s="15"/>
      <c r="D8240" s="2"/>
    </row>
    <row r="8241" spans="1:4" ht="12.75" customHeight="1" x14ac:dyDescent="0.2">
      <c r="A8241" s="13" t="s">
        <v>3874</v>
      </c>
      <c r="C8241" s="12"/>
    </row>
    <row r="8242" spans="1:4" ht="12.75" customHeight="1" x14ac:dyDescent="0.2">
      <c r="A8242" s="11"/>
      <c r="B8242" s="2"/>
      <c r="C8242" s="15"/>
      <c r="D8242" s="2"/>
    </row>
    <row r="8243" spans="1:4" ht="12.75" customHeight="1" x14ac:dyDescent="0.2">
      <c r="B8243" s="11" t="s">
        <v>0</v>
      </c>
      <c r="C8243" s="11" t="s">
        <v>134</v>
      </c>
    </row>
    <row r="8244" spans="1:4" ht="12.75" customHeight="1" x14ac:dyDescent="0.2">
      <c r="B8244" s="11" t="s">
        <v>2599</v>
      </c>
      <c r="C8244" s="11" t="s">
        <v>3875</v>
      </c>
    </row>
    <row r="8245" spans="1:4" ht="25.5" customHeight="1" x14ac:dyDescent="0.2">
      <c r="B8245" s="11" t="s">
        <v>2600</v>
      </c>
      <c r="C8245" s="11" t="s">
        <v>3876</v>
      </c>
    </row>
    <row r="8246" spans="1:4" ht="25.5" customHeight="1" x14ac:dyDescent="0.2">
      <c r="B8246" s="11" t="s">
        <v>2601</v>
      </c>
      <c r="C8246" s="11"/>
    </row>
    <row r="8247" spans="1:4" ht="12.75" customHeight="1" x14ac:dyDescent="0.2">
      <c r="B8247" s="11" t="s">
        <v>16</v>
      </c>
      <c r="C8247" s="11"/>
    </row>
    <row r="8248" spans="1:4" ht="12.75" customHeight="1" x14ac:dyDescent="0.2">
      <c r="B8248" s="11" t="s">
        <v>13</v>
      </c>
      <c r="C8248" s="11" t="s">
        <v>2602</v>
      </c>
    </row>
    <row r="8249" spans="1:4" ht="12.75" customHeight="1" x14ac:dyDescent="0.2">
      <c r="B8249" s="11" t="s">
        <v>2603</v>
      </c>
      <c r="C8249" s="11" t="s">
        <v>2604</v>
      </c>
    </row>
    <row r="8250" spans="1:4" ht="12.75" customHeight="1" x14ac:dyDescent="0.2">
      <c r="B8250" s="11" t="s">
        <v>2605</v>
      </c>
      <c r="C8250" s="11" t="s">
        <v>24</v>
      </c>
    </row>
    <row r="8251" spans="1:4" ht="12.75" customHeight="1" x14ac:dyDescent="0.2">
      <c r="B8251" s="11" t="s">
        <v>2606</v>
      </c>
      <c r="C8251" s="16" t="s">
        <v>67</v>
      </c>
      <c r="D8251" s="6" t="str">
        <f>HYPERLINK("javascript:void(0)","kincs")</f>
        <v>kincs</v>
      </c>
    </row>
    <row r="8252" spans="1:4" ht="12.75" customHeight="1" x14ac:dyDescent="0.2">
      <c r="B8252" s="2"/>
      <c r="C8252" s="15"/>
      <c r="D8252" s="2"/>
    </row>
    <row r="8253" spans="1:4" ht="12.75" customHeight="1" x14ac:dyDescent="0.2">
      <c r="B8253" s="2"/>
      <c r="C8253" s="15"/>
      <c r="D8253" s="2"/>
    </row>
    <row r="8254" spans="1:4" ht="12.75" customHeight="1" x14ac:dyDescent="0.2">
      <c r="A8254" s="13" t="s">
        <v>3877</v>
      </c>
      <c r="C8254" s="12"/>
    </row>
    <row r="8255" spans="1:4" ht="12.75" customHeight="1" x14ac:dyDescent="0.2">
      <c r="A8255" s="11"/>
      <c r="B8255" s="2"/>
      <c r="C8255" s="15"/>
      <c r="D8255" s="2"/>
    </row>
    <row r="8256" spans="1:4" ht="12.75" customHeight="1" x14ac:dyDescent="0.2">
      <c r="B8256" s="11" t="s">
        <v>0</v>
      </c>
      <c r="C8256" s="11" t="s">
        <v>134</v>
      </c>
    </row>
    <row r="8257" spans="1:4" ht="12.75" customHeight="1" x14ac:dyDescent="0.2">
      <c r="B8257" s="11" t="s">
        <v>2599</v>
      </c>
      <c r="C8257" s="11" t="s">
        <v>3878</v>
      </c>
    </row>
    <row r="8258" spans="1:4" ht="25.5" customHeight="1" x14ac:dyDescent="0.2">
      <c r="B8258" s="11" t="s">
        <v>2600</v>
      </c>
      <c r="C8258" s="11" t="s">
        <v>3879</v>
      </c>
    </row>
    <row r="8259" spans="1:4" ht="25.5" customHeight="1" x14ac:dyDescent="0.2">
      <c r="B8259" s="11" t="s">
        <v>2601</v>
      </c>
      <c r="C8259" s="11"/>
    </row>
    <row r="8260" spans="1:4" ht="12.75" customHeight="1" x14ac:dyDescent="0.2">
      <c r="B8260" s="11" t="s">
        <v>16</v>
      </c>
      <c r="C8260" s="11"/>
    </row>
    <row r="8261" spans="1:4" ht="12.75" customHeight="1" x14ac:dyDescent="0.2">
      <c r="B8261" s="11" t="s">
        <v>13</v>
      </c>
      <c r="C8261" s="11" t="s">
        <v>2602</v>
      </c>
    </row>
    <row r="8262" spans="1:4" ht="12.75" customHeight="1" x14ac:dyDescent="0.2">
      <c r="B8262" s="11" t="s">
        <v>2603</v>
      </c>
      <c r="C8262" s="11" t="s">
        <v>2604</v>
      </c>
    </row>
    <row r="8263" spans="1:4" ht="12.75" customHeight="1" x14ac:dyDescent="0.2">
      <c r="B8263" s="11" t="s">
        <v>2605</v>
      </c>
      <c r="C8263" s="11" t="s">
        <v>24</v>
      </c>
    </row>
    <row r="8264" spans="1:4" ht="12.75" customHeight="1" x14ac:dyDescent="0.2">
      <c r="B8264" s="11" t="s">
        <v>2606</v>
      </c>
      <c r="C8264" s="16" t="s">
        <v>67</v>
      </c>
      <c r="D8264" s="6" t="str">
        <f>HYPERLINK("javascript:void(0)","kincs")</f>
        <v>kincs</v>
      </c>
    </row>
    <row r="8265" spans="1:4" ht="12.75" customHeight="1" x14ac:dyDescent="0.2">
      <c r="B8265" s="2"/>
      <c r="C8265" s="15"/>
      <c r="D8265" s="2"/>
    </row>
    <row r="8266" spans="1:4" ht="12.75" customHeight="1" x14ac:dyDescent="0.2">
      <c r="B8266" s="2"/>
      <c r="C8266" s="15"/>
      <c r="D8266" s="2"/>
    </row>
    <row r="8267" spans="1:4" ht="12.75" customHeight="1" x14ac:dyDescent="0.2">
      <c r="A8267" s="13" t="s">
        <v>3880</v>
      </c>
      <c r="C8267" s="12"/>
    </row>
    <row r="8268" spans="1:4" ht="12.75" customHeight="1" x14ac:dyDescent="0.2">
      <c r="A8268" s="11"/>
      <c r="B8268" s="2"/>
      <c r="C8268" s="15"/>
      <c r="D8268" s="2"/>
    </row>
    <row r="8269" spans="1:4" ht="12.75" customHeight="1" x14ac:dyDescent="0.2">
      <c r="B8269" s="11" t="s">
        <v>0</v>
      </c>
      <c r="C8269" s="11" t="s">
        <v>134</v>
      </c>
    </row>
    <row r="8270" spans="1:4" ht="12.75" customHeight="1" x14ac:dyDescent="0.2">
      <c r="B8270" s="11" t="s">
        <v>2599</v>
      </c>
      <c r="C8270" s="11" t="s">
        <v>2214</v>
      </c>
    </row>
    <row r="8271" spans="1:4" ht="25.5" customHeight="1" x14ac:dyDescent="0.2">
      <c r="B8271" s="11" t="s">
        <v>2600</v>
      </c>
      <c r="C8271" s="11" t="s">
        <v>3881</v>
      </c>
    </row>
    <row r="8272" spans="1:4" ht="25.5" customHeight="1" x14ac:dyDescent="0.2">
      <c r="B8272" s="11" t="s">
        <v>2601</v>
      </c>
      <c r="C8272" s="11"/>
    </row>
    <row r="8273" spans="1:4" ht="12.75" customHeight="1" x14ac:dyDescent="0.2">
      <c r="B8273" s="11" t="s">
        <v>16</v>
      </c>
      <c r="C8273" s="11"/>
    </row>
    <row r="8274" spans="1:4" ht="12.75" customHeight="1" x14ac:dyDescent="0.2">
      <c r="B8274" s="11" t="s">
        <v>13</v>
      </c>
      <c r="C8274" s="11" t="s">
        <v>2644</v>
      </c>
    </row>
    <row r="8275" spans="1:4" ht="12.75" customHeight="1" x14ac:dyDescent="0.2">
      <c r="B8275" s="11" t="s">
        <v>2603</v>
      </c>
      <c r="C8275" s="11" t="s">
        <v>2604</v>
      </c>
    </row>
    <row r="8276" spans="1:4" ht="12.75" customHeight="1" x14ac:dyDescent="0.2">
      <c r="B8276" s="11" t="s">
        <v>2605</v>
      </c>
      <c r="C8276" s="11" t="s">
        <v>24</v>
      </c>
    </row>
    <row r="8277" spans="1:4" ht="12.75" customHeight="1" x14ac:dyDescent="0.2">
      <c r="B8277" s="11" t="s">
        <v>2606</v>
      </c>
      <c r="C8277" s="16" t="s">
        <v>67</v>
      </c>
      <c r="D8277" s="6" t="str">
        <f>HYPERLINK("javascript:void(0)","kincs")</f>
        <v>kincs</v>
      </c>
    </row>
    <row r="8278" spans="1:4" ht="12.75" customHeight="1" x14ac:dyDescent="0.2">
      <c r="B8278" s="2"/>
      <c r="C8278" s="15"/>
      <c r="D8278" s="2"/>
    </row>
    <row r="8279" spans="1:4" ht="12.75" customHeight="1" x14ac:dyDescent="0.2">
      <c r="B8279" s="2"/>
      <c r="C8279" s="15"/>
      <c r="D8279" s="2"/>
    </row>
    <row r="8280" spans="1:4" ht="12.75" customHeight="1" x14ac:dyDescent="0.2">
      <c r="A8280" s="13" t="s">
        <v>3846</v>
      </c>
      <c r="C8280" s="12"/>
      <c r="D8280" s="2"/>
    </row>
    <row r="8281" spans="1:4" ht="12.75" customHeight="1" x14ac:dyDescent="0.2">
      <c r="A8281" s="11"/>
      <c r="B8281" s="2"/>
      <c r="C8281" s="15"/>
      <c r="D8281" s="2"/>
    </row>
    <row r="8282" spans="1:4" ht="12.75" customHeight="1" x14ac:dyDescent="0.2">
      <c r="B8282" s="11" t="s">
        <v>0</v>
      </c>
      <c r="C8282" s="17" t="s">
        <v>376</v>
      </c>
      <c r="D8282" s="2"/>
    </row>
    <row r="8283" spans="1:4" ht="12.75" customHeight="1" x14ac:dyDescent="0.2">
      <c r="B8283" s="11" t="s">
        <v>2599</v>
      </c>
      <c r="C8283" s="17" t="s">
        <v>3847</v>
      </c>
      <c r="D8283" s="2"/>
    </row>
    <row r="8284" spans="1:4" ht="25.5" customHeight="1" x14ac:dyDescent="0.2">
      <c r="B8284" s="11" t="s">
        <v>2600</v>
      </c>
      <c r="C8284" s="17" t="s">
        <v>3882</v>
      </c>
      <c r="D8284" s="2"/>
    </row>
    <row r="8285" spans="1:4" ht="25.5" customHeight="1" x14ac:dyDescent="0.2">
      <c r="B8285" s="11" t="s">
        <v>2601</v>
      </c>
      <c r="C8285" s="17"/>
      <c r="D8285" s="2"/>
    </row>
    <row r="8286" spans="1:4" ht="12.75" customHeight="1" x14ac:dyDescent="0.2">
      <c r="B8286" s="11" t="s">
        <v>16</v>
      </c>
      <c r="C8286" s="17"/>
      <c r="D8286" s="2"/>
    </row>
    <row r="8287" spans="1:4" ht="12.75" customHeight="1" x14ac:dyDescent="0.2">
      <c r="B8287" s="11" t="s">
        <v>13</v>
      </c>
      <c r="C8287" s="17" t="s">
        <v>2602</v>
      </c>
      <c r="D8287" s="2"/>
    </row>
    <row r="8288" spans="1:4" ht="25.5" customHeight="1" x14ac:dyDescent="0.2">
      <c r="B8288" s="11" t="s">
        <v>2603</v>
      </c>
      <c r="C8288" s="17" t="s">
        <v>2971</v>
      </c>
      <c r="D8288" s="2"/>
    </row>
    <row r="8289" spans="1:4" ht="12.75" customHeight="1" x14ac:dyDescent="0.2">
      <c r="B8289" s="11" t="s">
        <v>2605</v>
      </c>
      <c r="C8289" s="17" t="s">
        <v>14</v>
      </c>
      <c r="D8289" s="2"/>
    </row>
    <row r="8290" spans="1:4" ht="12.75" customHeight="1" x14ac:dyDescent="0.2">
      <c r="B8290" s="11" t="s">
        <v>2606</v>
      </c>
      <c r="C8290" s="16" t="s">
        <v>19</v>
      </c>
      <c r="D8290" s="2"/>
    </row>
    <row r="8291" spans="1:4" ht="12.75" customHeight="1" x14ac:dyDescent="0.2">
      <c r="B8291" s="2"/>
      <c r="C8291" s="15"/>
      <c r="D8291" s="2"/>
    </row>
    <row r="8292" spans="1:4" ht="12.75" customHeight="1" x14ac:dyDescent="0.2">
      <c r="B8292" s="2"/>
      <c r="C8292" s="15"/>
      <c r="D8292" s="2"/>
    </row>
    <row r="8293" spans="1:4" ht="12.75" customHeight="1" x14ac:dyDescent="0.2">
      <c r="A8293" s="13" t="s">
        <v>3849</v>
      </c>
      <c r="C8293" s="12"/>
      <c r="D8293" s="2"/>
    </row>
    <row r="8294" spans="1:4" ht="12.75" customHeight="1" x14ac:dyDescent="0.2">
      <c r="A8294" s="11"/>
      <c r="B8294" s="2"/>
      <c r="C8294" s="15"/>
      <c r="D8294" s="2"/>
    </row>
    <row r="8295" spans="1:4" ht="12.75" customHeight="1" x14ac:dyDescent="0.2">
      <c r="B8295" s="11" t="s">
        <v>0</v>
      </c>
      <c r="C8295" s="17" t="s">
        <v>376</v>
      </c>
      <c r="D8295" s="2"/>
    </row>
    <row r="8296" spans="1:4" ht="12.75" customHeight="1" x14ac:dyDescent="0.2">
      <c r="B8296" s="11" t="s">
        <v>2599</v>
      </c>
      <c r="C8296" s="17" t="s">
        <v>3850</v>
      </c>
      <c r="D8296" s="2"/>
    </row>
    <row r="8297" spans="1:4" ht="25.5" customHeight="1" x14ac:dyDescent="0.2">
      <c r="B8297" s="11" t="s">
        <v>2600</v>
      </c>
      <c r="C8297" s="17" t="s">
        <v>3883</v>
      </c>
      <c r="D8297" s="2"/>
    </row>
    <row r="8298" spans="1:4" ht="25.5" customHeight="1" x14ac:dyDescent="0.2">
      <c r="B8298" s="11" t="s">
        <v>2601</v>
      </c>
      <c r="C8298" s="17"/>
      <c r="D8298" s="2"/>
    </row>
    <row r="8299" spans="1:4" ht="12.75" customHeight="1" x14ac:dyDescent="0.2">
      <c r="B8299" s="11" t="s">
        <v>16</v>
      </c>
      <c r="C8299" s="17"/>
      <c r="D8299" s="2"/>
    </row>
    <row r="8300" spans="1:4" ht="12.75" customHeight="1" x14ac:dyDescent="0.2">
      <c r="B8300" s="11" t="s">
        <v>13</v>
      </c>
      <c r="C8300" s="17" t="s">
        <v>2644</v>
      </c>
      <c r="D8300" s="2"/>
    </row>
    <row r="8301" spans="1:4" ht="25.5" customHeight="1" x14ac:dyDescent="0.2">
      <c r="B8301" s="11" t="s">
        <v>2603</v>
      </c>
      <c r="C8301" s="17" t="s">
        <v>2971</v>
      </c>
      <c r="D8301" s="2"/>
    </row>
    <row r="8302" spans="1:4" ht="12.75" customHeight="1" x14ac:dyDescent="0.2">
      <c r="B8302" s="11" t="s">
        <v>2605</v>
      </c>
      <c r="C8302" s="17" t="s">
        <v>14</v>
      </c>
      <c r="D8302" s="2"/>
    </row>
    <row r="8303" spans="1:4" ht="12.75" customHeight="1" x14ac:dyDescent="0.2">
      <c r="B8303" s="11" t="s">
        <v>2606</v>
      </c>
      <c r="C8303" s="16" t="s">
        <v>19</v>
      </c>
      <c r="D8303" s="2"/>
    </row>
    <row r="8304" spans="1:4" ht="12.75" customHeight="1" x14ac:dyDescent="0.2">
      <c r="B8304" s="2"/>
      <c r="C8304" s="15"/>
      <c r="D8304" s="2"/>
    </row>
    <row r="8305" spans="1:4" ht="12.75" customHeight="1" x14ac:dyDescent="0.2">
      <c r="B8305" s="2"/>
      <c r="C8305" s="15"/>
      <c r="D8305" s="2"/>
    </row>
    <row r="8306" spans="1:4" ht="12.75" customHeight="1" x14ac:dyDescent="0.2">
      <c r="A8306" s="13" t="s">
        <v>3884</v>
      </c>
      <c r="C8306" s="12"/>
    </row>
    <row r="8307" spans="1:4" ht="12.75" customHeight="1" x14ac:dyDescent="0.2">
      <c r="A8307" s="11"/>
      <c r="B8307" s="2"/>
      <c r="C8307" s="15"/>
      <c r="D8307" s="2"/>
    </row>
    <row r="8308" spans="1:4" ht="12.75" customHeight="1" x14ac:dyDescent="0.2">
      <c r="B8308" s="11" t="s">
        <v>0</v>
      </c>
      <c r="C8308" s="11" t="s">
        <v>376</v>
      </c>
    </row>
    <row r="8309" spans="1:4" ht="12.75" customHeight="1" x14ac:dyDescent="0.2">
      <c r="B8309" s="11" t="s">
        <v>2599</v>
      </c>
      <c r="C8309" s="11" t="s">
        <v>3885</v>
      </c>
    </row>
    <row r="8310" spans="1:4" ht="25.5" customHeight="1" x14ac:dyDescent="0.2">
      <c r="B8310" s="11" t="s">
        <v>2600</v>
      </c>
      <c r="C8310" s="11" t="s">
        <v>3824</v>
      </c>
    </row>
    <row r="8311" spans="1:4" ht="25.5" customHeight="1" x14ac:dyDescent="0.2">
      <c r="B8311" s="11" t="s">
        <v>2601</v>
      </c>
      <c r="C8311" s="11"/>
    </row>
    <row r="8312" spans="1:4" ht="12.75" customHeight="1" x14ac:dyDescent="0.2">
      <c r="B8312" s="11" t="s">
        <v>16</v>
      </c>
      <c r="C8312" s="11"/>
    </row>
    <row r="8313" spans="1:4" ht="12.75" customHeight="1" x14ac:dyDescent="0.2">
      <c r="B8313" s="11" t="s">
        <v>13</v>
      </c>
      <c r="C8313" s="11" t="s">
        <v>2644</v>
      </c>
    </row>
    <row r="8314" spans="1:4" ht="12.75" customHeight="1" x14ac:dyDescent="0.2">
      <c r="B8314" s="11" t="s">
        <v>2603</v>
      </c>
      <c r="C8314" s="11" t="s">
        <v>2604</v>
      </c>
    </row>
    <row r="8315" spans="1:4" ht="12.75" customHeight="1" x14ac:dyDescent="0.2">
      <c r="B8315" s="11" t="s">
        <v>2605</v>
      </c>
      <c r="C8315" s="11" t="s">
        <v>24</v>
      </c>
    </row>
    <row r="8316" spans="1:4" ht="12.75" customHeight="1" x14ac:dyDescent="0.2">
      <c r="B8316" s="11" t="s">
        <v>2606</v>
      </c>
      <c r="C8316" s="16" t="s">
        <v>67</v>
      </c>
      <c r="D8316" s="6" t="str">
        <f>HYPERLINK("javascript:void(0)","kincs")</f>
        <v>kincs</v>
      </c>
    </row>
    <row r="8317" spans="1:4" ht="12.75" customHeight="1" x14ac:dyDescent="0.2">
      <c r="B8317" s="2"/>
      <c r="C8317" s="15"/>
      <c r="D8317" s="2"/>
    </row>
    <row r="8318" spans="1:4" ht="12.75" customHeight="1" x14ac:dyDescent="0.2">
      <c r="B8318" s="2"/>
      <c r="C8318" s="15"/>
      <c r="D8318" s="2"/>
    </row>
    <row r="8319" spans="1:4" ht="12.75" customHeight="1" x14ac:dyDescent="0.2">
      <c r="A8319" s="13" t="s">
        <v>3886</v>
      </c>
      <c r="C8319" s="12"/>
    </row>
    <row r="8320" spans="1:4" ht="12.75" customHeight="1" x14ac:dyDescent="0.2">
      <c r="A8320" s="11"/>
      <c r="B8320" s="2"/>
      <c r="C8320" s="15"/>
      <c r="D8320" s="2"/>
    </row>
    <row r="8321" spans="1:4" ht="12.75" customHeight="1" x14ac:dyDescent="0.2">
      <c r="B8321" s="11" t="s">
        <v>0</v>
      </c>
      <c r="C8321" s="11" t="s">
        <v>376</v>
      </c>
    </row>
    <row r="8322" spans="1:4" ht="12.75" customHeight="1" x14ac:dyDescent="0.2">
      <c r="B8322" s="11" t="s">
        <v>2599</v>
      </c>
      <c r="C8322" s="11" t="s">
        <v>3823</v>
      </c>
    </row>
    <row r="8323" spans="1:4" ht="25.5" customHeight="1" x14ac:dyDescent="0.2">
      <c r="B8323" s="11" t="s">
        <v>2600</v>
      </c>
      <c r="C8323" s="11" t="s">
        <v>3887</v>
      </c>
    </row>
    <row r="8324" spans="1:4" ht="25.5" customHeight="1" x14ac:dyDescent="0.2">
      <c r="B8324" s="11" t="s">
        <v>2601</v>
      </c>
      <c r="C8324" s="11"/>
    </row>
    <row r="8325" spans="1:4" ht="12.75" customHeight="1" x14ac:dyDescent="0.2">
      <c r="B8325" s="11" t="s">
        <v>16</v>
      </c>
      <c r="C8325" s="11"/>
    </row>
    <row r="8326" spans="1:4" ht="12.75" customHeight="1" x14ac:dyDescent="0.2">
      <c r="B8326" s="11" t="s">
        <v>13</v>
      </c>
      <c r="C8326" s="11" t="s">
        <v>2602</v>
      </c>
    </row>
    <row r="8327" spans="1:4" ht="12.75" customHeight="1" x14ac:dyDescent="0.2">
      <c r="B8327" s="11" t="s">
        <v>2603</v>
      </c>
      <c r="C8327" s="11" t="s">
        <v>2604</v>
      </c>
    </row>
    <row r="8328" spans="1:4" ht="12.75" customHeight="1" x14ac:dyDescent="0.2">
      <c r="B8328" s="11" t="s">
        <v>2605</v>
      </c>
      <c r="C8328" s="11" t="s">
        <v>24</v>
      </c>
    </row>
    <row r="8329" spans="1:4" ht="12.75" customHeight="1" x14ac:dyDescent="0.2">
      <c r="B8329" s="11" t="s">
        <v>2606</v>
      </c>
      <c r="C8329" s="16" t="s">
        <v>67</v>
      </c>
      <c r="D8329" s="6" t="str">
        <f>HYPERLINK("javascript:void(0)","kincs")</f>
        <v>kincs</v>
      </c>
    </row>
    <row r="8330" spans="1:4" ht="12.75" customHeight="1" x14ac:dyDescent="0.2">
      <c r="B8330" s="2"/>
      <c r="C8330" s="15"/>
      <c r="D8330" s="2"/>
    </row>
    <row r="8331" spans="1:4" ht="12.75" customHeight="1" x14ac:dyDescent="0.2">
      <c r="B8331" s="2"/>
      <c r="C8331" s="15"/>
      <c r="D8331" s="2"/>
    </row>
    <row r="8332" spans="1:4" ht="12.75" customHeight="1" x14ac:dyDescent="0.2">
      <c r="A8332" s="13" t="s">
        <v>3888</v>
      </c>
      <c r="C8332" s="12"/>
    </row>
    <row r="8333" spans="1:4" ht="12.75" customHeight="1" x14ac:dyDescent="0.2">
      <c r="A8333" s="11"/>
      <c r="B8333" s="2"/>
      <c r="C8333" s="15"/>
      <c r="D8333" s="2"/>
    </row>
    <row r="8334" spans="1:4" ht="12.75" customHeight="1" x14ac:dyDescent="0.2">
      <c r="B8334" s="11" t="s">
        <v>0</v>
      </c>
      <c r="C8334" s="11" t="s">
        <v>376</v>
      </c>
    </row>
    <row r="8335" spans="1:4" ht="12.75" customHeight="1" x14ac:dyDescent="0.2">
      <c r="B8335" s="11" t="s">
        <v>2599</v>
      </c>
      <c r="C8335" s="11" t="s">
        <v>3410</v>
      </c>
    </row>
    <row r="8336" spans="1:4" ht="25.5" customHeight="1" x14ac:dyDescent="0.2">
      <c r="B8336" s="11" t="s">
        <v>2600</v>
      </c>
      <c r="C8336" s="11" t="s">
        <v>3889</v>
      </c>
    </row>
    <row r="8337" spans="1:4" ht="25.5" customHeight="1" x14ac:dyDescent="0.2">
      <c r="B8337" s="11" t="s">
        <v>2601</v>
      </c>
      <c r="C8337" s="11"/>
    </row>
    <row r="8338" spans="1:4" ht="12.75" customHeight="1" x14ac:dyDescent="0.2">
      <c r="B8338" s="11" t="s">
        <v>16</v>
      </c>
      <c r="C8338" s="11"/>
    </row>
    <row r="8339" spans="1:4" ht="12.75" customHeight="1" x14ac:dyDescent="0.2">
      <c r="B8339" s="11" t="s">
        <v>13</v>
      </c>
      <c r="C8339" s="11" t="s">
        <v>2602</v>
      </c>
    </row>
    <row r="8340" spans="1:4" ht="12.75" customHeight="1" x14ac:dyDescent="0.2">
      <c r="B8340" s="11" t="s">
        <v>2603</v>
      </c>
      <c r="C8340" s="11" t="s">
        <v>2604</v>
      </c>
    </row>
    <row r="8341" spans="1:4" ht="12.75" customHeight="1" x14ac:dyDescent="0.2">
      <c r="B8341" s="11" t="s">
        <v>2605</v>
      </c>
      <c r="C8341" s="11" t="s">
        <v>24</v>
      </c>
    </row>
    <row r="8342" spans="1:4" ht="12.75" customHeight="1" x14ac:dyDescent="0.2">
      <c r="B8342" s="11" t="s">
        <v>2606</v>
      </c>
      <c r="C8342" s="16" t="s">
        <v>67</v>
      </c>
      <c r="D8342" s="6" t="str">
        <f>HYPERLINK("javascript:void(0)","kincs")</f>
        <v>kincs</v>
      </c>
    </row>
    <row r="8343" spans="1:4" ht="12.75" customHeight="1" x14ac:dyDescent="0.2">
      <c r="B8343" s="2"/>
      <c r="C8343" s="15"/>
      <c r="D8343" s="2"/>
    </row>
    <row r="8344" spans="1:4" ht="12.75" customHeight="1" x14ac:dyDescent="0.2">
      <c r="B8344" s="2"/>
      <c r="C8344" s="15"/>
      <c r="D8344" s="2"/>
    </row>
    <row r="8345" spans="1:4" ht="12.75" customHeight="1" x14ac:dyDescent="0.2">
      <c r="A8345" s="13" t="s">
        <v>3890</v>
      </c>
      <c r="C8345" s="12"/>
    </row>
    <row r="8346" spans="1:4" ht="12.75" customHeight="1" x14ac:dyDescent="0.2">
      <c r="A8346" s="11"/>
      <c r="B8346" s="2"/>
      <c r="C8346" s="15"/>
      <c r="D8346" s="2"/>
    </row>
    <row r="8347" spans="1:4" ht="12.75" customHeight="1" x14ac:dyDescent="0.2">
      <c r="B8347" s="11" t="s">
        <v>0</v>
      </c>
      <c r="C8347" s="11" t="s">
        <v>376</v>
      </c>
    </row>
    <row r="8348" spans="1:4" ht="12.75" customHeight="1" x14ac:dyDescent="0.2">
      <c r="B8348" s="11" t="s">
        <v>2599</v>
      </c>
      <c r="C8348" s="11" t="s">
        <v>3891</v>
      </c>
    </row>
    <row r="8349" spans="1:4" ht="25.5" customHeight="1" x14ac:dyDescent="0.2">
      <c r="B8349" s="11" t="s">
        <v>2600</v>
      </c>
      <c r="C8349" s="11" t="s">
        <v>3892</v>
      </c>
    </row>
    <row r="8350" spans="1:4" ht="25.5" customHeight="1" x14ac:dyDescent="0.2">
      <c r="B8350" s="11" t="s">
        <v>2601</v>
      </c>
      <c r="C8350" s="11"/>
    </row>
    <row r="8351" spans="1:4" ht="12.75" customHeight="1" x14ac:dyDescent="0.2">
      <c r="B8351" s="11" t="s">
        <v>16</v>
      </c>
      <c r="C8351" s="11"/>
    </row>
    <row r="8352" spans="1:4" ht="12.75" customHeight="1" x14ac:dyDescent="0.2">
      <c r="B8352" s="11" t="s">
        <v>13</v>
      </c>
      <c r="C8352" s="11" t="s">
        <v>2644</v>
      </c>
    </row>
    <row r="8353" spans="1:4" ht="12.75" customHeight="1" x14ac:dyDescent="0.2">
      <c r="B8353" s="11" t="s">
        <v>2603</v>
      </c>
      <c r="C8353" s="11" t="s">
        <v>2604</v>
      </c>
    </row>
    <row r="8354" spans="1:4" ht="12.75" customHeight="1" x14ac:dyDescent="0.2">
      <c r="B8354" s="11" t="s">
        <v>2605</v>
      </c>
      <c r="C8354" s="11" t="s">
        <v>24</v>
      </c>
    </row>
    <row r="8355" spans="1:4" ht="12.75" customHeight="1" x14ac:dyDescent="0.2">
      <c r="B8355" s="11" t="s">
        <v>2606</v>
      </c>
      <c r="C8355" s="16" t="s">
        <v>44</v>
      </c>
      <c r="D8355" s="6" t="str">
        <f>HYPERLINK("javascript:void(0)","istenköröm")</f>
        <v>istenköröm</v>
      </c>
    </row>
    <row r="8356" spans="1:4" ht="12.75" customHeight="1" x14ac:dyDescent="0.2">
      <c r="B8356" s="2"/>
      <c r="C8356" s="15"/>
      <c r="D8356" s="2"/>
    </row>
    <row r="8357" spans="1:4" ht="12.75" customHeight="1" x14ac:dyDescent="0.2">
      <c r="B8357" s="2"/>
      <c r="C8357" s="15"/>
      <c r="D8357" s="2"/>
    </row>
    <row r="8358" spans="1:4" ht="12.75" customHeight="1" x14ac:dyDescent="0.2">
      <c r="A8358" s="13" t="s">
        <v>3893</v>
      </c>
      <c r="C8358" s="12"/>
    </row>
    <row r="8359" spans="1:4" ht="12.75" customHeight="1" x14ac:dyDescent="0.2">
      <c r="A8359" s="11"/>
      <c r="B8359" s="2"/>
      <c r="C8359" s="15"/>
      <c r="D8359" s="2"/>
    </row>
    <row r="8360" spans="1:4" ht="12.75" customHeight="1" x14ac:dyDescent="0.2">
      <c r="B8360" s="11" t="s">
        <v>0</v>
      </c>
      <c r="C8360" s="11" t="s">
        <v>376</v>
      </c>
    </row>
    <row r="8361" spans="1:4" ht="12.75" customHeight="1" x14ac:dyDescent="0.2">
      <c r="B8361" s="11" t="s">
        <v>2599</v>
      </c>
      <c r="C8361" s="11" t="s">
        <v>3894</v>
      </c>
    </row>
    <row r="8362" spans="1:4" ht="25.5" customHeight="1" x14ac:dyDescent="0.2">
      <c r="B8362" s="11" t="s">
        <v>2600</v>
      </c>
      <c r="C8362" s="11" t="s">
        <v>3895</v>
      </c>
    </row>
    <row r="8363" spans="1:4" ht="25.5" customHeight="1" x14ac:dyDescent="0.2">
      <c r="B8363" s="11" t="s">
        <v>2601</v>
      </c>
      <c r="C8363" s="11"/>
    </row>
    <row r="8364" spans="1:4" ht="12.75" customHeight="1" x14ac:dyDescent="0.2">
      <c r="B8364" s="11" t="s">
        <v>16</v>
      </c>
      <c r="C8364" s="11"/>
    </row>
    <row r="8365" spans="1:4" ht="12.75" customHeight="1" x14ac:dyDescent="0.2">
      <c r="B8365" s="11" t="s">
        <v>13</v>
      </c>
      <c r="C8365" s="11" t="s">
        <v>2644</v>
      </c>
    </row>
    <row r="8366" spans="1:4" ht="12.75" customHeight="1" x14ac:dyDescent="0.2">
      <c r="B8366" s="11" t="s">
        <v>2603</v>
      </c>
      <c r="C8366" s="11" t="s">
        <v>2604</v>
      </c>
    </row>
    <row r="8367" spans="1:4" ht="12.75" customHeight="1" x14ac:dyDescent="0.2">
      <c r="B8367" s="11" t="s">
        <v>2605</v>
      </c>
      <c r="C8367" s="11" t="s">
        <v>24</v>
      </c>
    </row>
    <row r="8368" spans="1:4" ht="12.75" customHeight="1" x14ac:dyDescent="0.2">
      <c r="B8368" s="11" t="s">
        <v>2606</v>
      </c>
      <c r="C8368" s="16" t="s">
        <v>67</v>
      </c>
      <c r="D8368" s="6" t="str">
        <f>HYPERLINK("javascript:void(0)","kincs")</f>
        <v>kincs</v>
      </c>
    </row>
    <row r="8369" spans="1:4" ht="12.75" customHeight="1" x14ac:dyDescent="0.2">
      <c r="B8369" s="2"/>
      <c r="C8369" s="15"/>
      <c r="D8369" s="2"/>
    </row>
    <row r="8370" spans="1:4" ht="12.75" customHeight="1" x14ac:dyDescent="0.2">
      <c r="B8370" s="2"/>
      <c r="C8370" s="15"/>
      <c r="D8370" s="2"/>
    </row>
    <row r="8371" spans="1:4" ht="12.75" customHeight="1" x14ac:dyDescent="0.2">
      <c r="A8371" s="13" t="s">
        <v>3896</v>
      </c>
      <c r="C8371" s="12"/>
    </row>
    <row r="8372" spans="1:4" ht="12.75" customHeight="1" x14ac:dyDescent="0.2">
      <c r="A8372" s="11"/>
      <c r="B8372" s="2"/>
      <c r="C8372" s="15"/>
      <c r="D8372" s="2"/>
    </row>
    <row r="8373" spans="1:4" ht="12.75" customHeight="1" x14ac:dyDescent="0.2">
      <c r="B8373" s="11" t="s">
        <v>0</v>
      </c>
      <c r="C8373" s="11" t="s">
        <v>376</v>
      </c>
    </row>
    <row r="8374" spans="1:4" ht="12.75" customHeight="1" x14ac:dyDescent="0.2">
      <c r="B8374" s="11" t="s">
        <v>2599</v>
      </c>
      <c r="C8374" s="11" t="s">
        <v>3897</v>
      </c>
    </row>
    <row r="8375" spans="1:4" ht="25.5" customHeight="1" x14ac:dyDescent="0.2">
      <c r="B8375" s="11" t="s">
        <v>2600</v>
      </c>
      <c r="C8375" s="11" t="s">
        <v>3898</v>
      </c>
    </row>
    <row r="8376" spans="1:4" ht="25.5" customHeight="1" x14ac:dyDescent="0.2">
      <c r="B8376" s="11" t="s">
        <v>2601</v>
      </c>
      <c r="C8376" s="11"/>
    </row>
    <row r="8377" spans="1:4" ht="12.75" customHeight="1" x14ac:dyDescent="0.2">
      <c r="B8377" s="11" t="s">
        <v>16</v>
      </c>
      <c r="C8377" s="11"/>
    </row>
    <row r="8378" spans="1:4" ht="12.75" customHeight="1" x14ac:dyDescent="0.2">
      <c r="B8378" s="11" t="s">
        <v>13</v>
      </c>
      <c r="C8378" s="11" t="s">
        <v>2644</v>
      </c>
    </row>
    <row r="8379" spans="1:4" ht="12.75" customHeight="1" x14ac:dyDescent="0.2">
      <c r="B8379" s="11" t="s">
        <v>2603</v>
      </c>
      <c r="C8379" s="11" t="s">
        <v>2604</v>
      </c>
    </row>
    <row r="8380" spans="1:4" ht="12.75" customHeight="1" x14ac:dyDescent="0.2">
      <c r="B8380" s="11" t="s">
        <v>2605</v>
      </c>
      <c r="C8380" s="11" t="s">
        <v>24</v>
      </c>
    </row>
    <row r="8381" spans="1:4" ht="12.75" customHeight="1" x14ac:dyDescent="0.2">
      <c r="B8381" s="11" t="s">
        <v>2606</v>
      </c>
      <c r="C8381" s="16" t="s">
        <v>44</v>
      </c>
      <c r="D8381" s="6" t="str">
        <f>HYPERLINK("javascript:void(0)","hidegige")</f>
        <v>hidegige</v>
      </c>
    </row>
    <row r="8382" spans="1:4" ht="25.5" customHeight="1" x14ac:dyDescent="0.2">
      <c r="C8382" s="16" t="s">
        <v>56</v>
      </c>
      <c r="D8382" s="6" t="str">
        <f>HYPERLINK("javascript:void(0)","elementál eszencia")</f>
        <v>elementál eszencia</v>
      </c>
    </row>
    <row r="8383" spans="1:4" ht="12.75" customHeight="1" x14ac:dyDescent="0.2">
      <c r="B8383" s="2"/>
      <c r="C8383" s="15"/>
      <c r="D8383" s="2"/>
    </row>
    <row r="8384" spans="1:4" ht="12.75" customHeight="1" x14ac:dyDescent="0.2">
      <c r="B8384" s="2"/>
      <c r="C8384" s="15"/>
      <c r="D8384" s="2"/>
    </row>
    <row r="8385" spans="1:4" ht="12.75" customHeight="1" x14ac:dyDescent="0.2">
      <c r="A8385" s="13" t="s">
        <v>3899</v>
      </c>
      <c r="C8385" s="12"/>
    </row>
    <row r="8386" spans="1:4" ht="12.75" customHeight="1" x14ac:dyDescent="0.2">
      <c r="A8386" s="11"/>
      <c r="B8386" s="2"/>
      <c r="C8386" s="15"/>
      <c r="D8386" s="2"/>
    </row>
    <row r="8387" spans="1:4" ht="12.75" customHeight="1" x14ac:dyDescent="0.2">
      <c r="B8387" s="11" t="s">
        <v>0</v>
      </c>
      <c r="C8387" s="11" t="s">
        <v>376</v>
      </c>
    </row>
    <row r="8388" spans="1:4" ht="12.75" customHeight="1" x14ac:dyDescent="0.2">
      <c r="B8388" s="11" t="s">
        <v>2599</v>
      </c>
      <c r="C8388" s="11" t="s">
        <v>3900</v>
      </c>
    </row>
    <row r="8389" spans="1:4" ht="25.5" customHeight="1" x14ac:dyDescent="0.2">
      <c r="B8389" s="11" t="s">
        <v>2600</v>
      </c>
      <c r="C8389" s="11" t="s">
        <v>3901</v>
      </c>
    </row>
    <row r="8390" spans="1:4" ht="25.5" customHeight="1" x14ac:dyDescent="0.2">
      <c r="B8390" s="11" t="s">
        <v>2601</v>
      </c>
      <c r="C8390" s="11"/>
    </row>
    <row r="8391" spans="1:4" ht="12.75" customHeight="1" x14ac:dyDescent="0.2">
      <c r="B8391" s="11" t="s">
        <v>16</v>
      </c>
      <c r="C8391" s="11"/>
    </row>
    <row r="8392" spans="1:4" ht="12.75" customHeight="1" x14ac:dyDescent="0.2">
      <c r="B8392" s="11" t="s">
        <v>13</v>
      </c>
      <c r="C8392" s="11" t="s">
        <v>2644</v>
      </c>
    </row>
    <row r="8393" spans="1:4" ht="12.75" customHeight="1" x14ac:dyDescent="0.2">
      <c r="B8393" s="11" t="s">
        <v>2603</v>
      </c>
      <c r="C8393" s="11" t="s">
        <v>2604</v>
      </c>
    </row>
    <row r="8394" spans="1:4" ht="12.75" customHeight="1" x14ac:dyDescent="0.2">
      <c r="B8394" s="11" t="s">
        <v>2605</v>
      </c>
      <c r="C8394" s="11" t="s">
        <v>24</v>
      </c>
    </row>
    <row r="8395" spans="1:4" ht="12.75" customHeight="1" x14ac:dyDescent="0.2">
      <c r="B8395" s="11" t="s">
        <v>2606</v>
      </c>
      <c r="C8395" s="16" t="s">
        <v>67</v>
      </c>
      <c r="D8395" s="6" t="str">
        <f>HYPERLINK("javascript:void(0)","kincs")</f>
        <v>kincs</v>
      </c>
    </row>
    <row r="8396" spans="1:4" ht="12.75" customHeight="1" x14ac:dyDescent="0.2">
      <c r="B8396" s="2"/>
      <c r="C8396" s="15"/>
      <c r="D8396" s="2"/>
    </row>
    <row r="8397" spans="1:4" ht="12.75" customHeight="1" x14ac:dyDescent="0.2">
      <c r="B8397" s="2"/>
      <c r="C8397" s="15"/>
      <c r="D8397" s="2"/>
    </row>
    <row r="8398" spans="1:4" ht="12.75" customHeight="1" x14ac:dyDescent="0.2">
      <c r="A8398" s="13" t="s">
        <v>3902</v>
      </c>
      <c r="C8398" s="12"/>
    </row>
    <row r="8399" spans="1:4" ht="12.75" customHeight="1" x14ac:dyDescent="0.2">
      <c r="A8399" s="11"/>
      <c r="B8399" s="2"/>
      <c r="C8399" s="15"/>
      <c r="D8399" s="2"/>
    </row>
    <row r="8400" spans="1:4" ht="12.75" customHeight="1" x14ac:dyDescent="0.2">
      <c r="B8400" s="11" t="s">
        <v>0</v>
      </c>
      <c r="C8400" s="11" t="s">
        <v>376</v>
      </c>
    </row>
    <row r="8401" spans="1:4" ht="12.75" customHeight="1" x14ac:dyDescent="0.2">
      <c r="B8401" s="11" t="s">
        <v>2599</v>
      </c>
      <c r="C8401" s="11" t="s">
        <v>2510</v>
      </c>
    </row>
    <row r="8402" spans="1:4" ht="25.5" customHeight="1" x14ac:dyDescent="0.2">
      <c r="B8402" s="11" t="s">
        <v>2600</v>
      </c>
      <c r="C8402" s="11" t="s">
        <v>3903</v>
      </c>
    </row>
    <row r="8403" spans="1:4" ht="25.5" customHeight="1" x14ac:dyDescent="0.2">
      <c r="B8403" s="11" t="s">
        <v>2601</v>
      </c>
      <c r="C8403" s="11"/>
    </row>
    <row r="8404" spans="1:4" ht="12.75" customHeight="1" x14ac:dyDescent="0.2">
      <c r="B8404" s="11" t="s">
        <v>16</v>
      </c>
      <c r="C8404" s="11"/>
    </row>
    <row r="8405" spans="1:4" ht="12.75" customHeight="1" x14ac:dyDescent="0.2">
      <c r="B8405" s="11" t="s">
        <v>13</v>
      </c>
      <c r="C8405" s="11" t="s">
        <v>2602</v>
      </c>
    </row>
    <row r="8406" spans="1:4" ht="12.75" customHeight="1" x14ac:dyDescent="0.2">
      <c r="B8406" s="11" t="s">
        <v>2603</v>
      </c>
      <c r="C8406" s="11" t="s">
        <v>2604</v>
      </c>
    </row>
    <row r="8407" spans="1:4" ht="12.75" customHeight="1" x14ac:dyDescent="0.2">
      <c r="B8407" s="11" t="s">
        <v>2605</v>
      </c>
      <c r="C8407" s="11" t="s">
        <v>24</v>
      </c>
    </row>
    <row r="8408" spans="1:4" ht="25.5" customHeight="1" x14ac:dyDescent="0.2">
      <c r="B8408" s="11" t="s">
        <v>2606</v>
      </c>
      <c r="C8408" s="16" t="s">
        <v>44</v>
      </c>
      <c r="D8408" s="6" t="str">
        <f>HYPERLINK("javascript:void(0)","manókoponya")</f>
        <v>manókoponya</v>
      </c>
    </row>
    <row r="8409" spans="1:4" ht="12.75" customHeight="1" x14ac:dyDescent="0.2">
      <c r="B8409" s="2"/>
      <c r="C8409" s="15"/>
      <c r="D8409" s="2"/>
    </row>
    <row r="8410" spans="1:4" ht="12.75" customHeight="1" x14ac:dyDescent="0.2">
      <c r="B8410" s="2"/>
      <c r="C8410" s="15"/>
      <c r="D8410" s="2"/>
    </row>
    <row r="8411" spans="1:4" ht="12.75" customHeight="1" x14ac:dyDescent="0.2">
      <c r="A8411" s="13" t="s">
        <v>3904</v>
      </c>
      <c r="C8411" s="12"/>
    </row>
    <row r="8412" spans="1:4" ht="12.75" customHeight="1" x14ac:dyDescent="0.2">
      <c r="A8412" s="11"/>
      <c r="B8412" s="2"/>
      <c r="C8412" s="15"/>
      <c r="D8412" s="2"/>
    </row>
    <row r="8413" spans="1:4" ht="12.75" customHeight="1" x14ac:dyDescent="0.2">
      <c r="B8413" s="11" t="s">
        <v>0</v>
      </c>
      <c r="C8413" s="11" t="s">
        <v>376</v>
      </c>
    </row>
    <row r="8414" spans="1:4" ht="12.75" customHeight="1" x14ac:dyDescent="0.2">
      <c r="B8414" s="11" t="s">
        <v>2599</v>
      </c>
      <c r="C8414" s="11" t="s">
        <v>1452</v>
      </c>
    </row>
    <row r="8415" spans="1:4" ht="25.5" customHeight="1" x14ac:dyDescent="0.2">
      <c r="B8415" s="11" t="s">
        <v>2600</v>
      </c>
      <c r="C8415" s="11" t="s">
        <v>3905</v>
      </c>
    </row>
    <row r="8416" spans="1:4" ht="25.5" customHeight="1" x14ac:dyDescent="0.2">
      <c r="B8416" s="11" t="s">
        <v>2601</v>
      </c>
      <c r="C8416" s="11"/>
    </row>
    <row r="8417" spans="1:4" ht="12.75" customHeight="1" x14ac:dyDescent="0.2">
      <c r="B8417" s="11" t="s">
        <v>16</v>
      </c>
      <c r="C8417" s="11"/>
    </row>
    <row r="8418" spans="1:4" ht="12.75" customHeight="1" x14ac:dyDescent="0.2">
      <c r="B8418" s="11" t="s">
        <v>13</v>
      </c>
      <c r="C8418" s="11" t="s">
        <v>2602</v>
      </c>
    </row>
    <row r="8419" spans="1:4" ht="12.75" customHeight="1" x14ac:dyDescent="0.2">
      <c r="B8419" s="11" t="s">
        <v>2603</v>
      </c>
      <c r="C8419" s="11" t="s">
        <v>2604</v>
      </c>
    </row>
    <row r="8420" spans="1:4" ht="12.75" customHeight="1" x14ac:dyDescent="0.2">
      <c r="B8420" s="11" t="s">
        <v>2605</v>
      </c>
      <c r="C8420" s="11" t="s">
        <v>24</v>
      </c>
    </row>
    <row r="8421" spans="1:4" ht="12.75" customHeight="1" x14ac:dyDescent="0.2">
      <c r="B8421" s="11" t="s">
        <v>2606</v>
      </c>
      <c r="C8421" s="16" t="s">
        <v>67</v>
      </c>
      <c r="D8421" s="6" t="str">
        <f>HYPERLINK("javascript:void(0)","kincs")</f>
        <v>kincs</v>
      </c>
    </row>
    <row r="8422" spans="1:4" ht="12.75" customHeight="1" x14ac:dyDescent="0.2">
      <c r="B8422" s="2"/>
      <c r="C8422" s="15"/>
      <c r="D8422" s="2"/>
    </row>
    <row r="8423" spans="1:4" ht="12.75" customHeight="1" x14ac:dyDescent="0.2">
      <c r="B8423" s="2"/>
      <c r="C8423" s="15"/>
      <c r="D8423" s="2"/>
    </row>
    <row r="8424" spans="1:4" ht="12.75" customHeight="1" x14ac:dyDescent="0.2">
      <c r="A8424" s="13" t="s">
        <v>3783</v>
      </c>
      <c r="C8424" s="12"/>
      <c r="D8424" s="2"/>
    </row>
    <row r="8425" spans="1:4" ht="12.75" customHeight="1" x14ac:dyDescent="0.2">
      <c r="A8425" s="11"/>
      <c r="B8425" s="2"/>
      <c r="C8425" s="15"/>
      <c r="D8425" s="2"/>
    </row>
    <row r="8426" spans="1:4" ht="12.75" customHeight="1" x14ac:dyDescent="0.2">
      <c r="B8426" s="11" t="s">
        <v>0</v>
      </c>
      <c r="C8426" s="17" t="s">
        <v>376</v>
      </c>
      <c r="D8426" s="2"/>
    </row>
    <row r="8427" spans="1:4" ht="12.75" customHeight="1" x14ac:dyDescent="0.2">
      <c r="B8427" s="11" t="s">
        <v>2599</v>
      </c>
      <c r="C8427" s="17" t="s">
        <v>3784</v>
      </c>
      <c r="D8427" s="2"/>
    </row>
    <row r="8428" spans="1:4" ht="25.5" customHeight="1" x14ac:dyDescent="0.2">
      <c r="B8428" s="11" t="s">
        <v>2600</v>
      </c>
      <c r="C8428" s="17" t="s">
        <v>3906</v>
      </c>
      <c r="D8428" s="2"/>
    </row>
    <row r="8429" spans="1:4" ht="25.5" customHeight="1" x14ac:dyDescent="0.2">
      <c r="B8429" s="11" t="s">
        <v>2601</v>
      </c>
      <c r="C8429" s="17"/>
      <c r="D8429" s="2"/>
    </row>
    <row r="8430" spans="1:4" ht="12.75" customHeight="1" x14ac:dyDescent="0.2">
      <c r="B8430" s="11" t="s">
        <v>16</v>
      </c>
      <c r="C8430" s="17"/>
      <c r="D8430" s="2"/>
    </row>
    <row r="8431" spans="1:4" ht="12.75" customHeight="1" x14ac:dyDescent="0.2">
      <c r="B8431" s="11" t="s">
        <v>13</v>
      </c>
      <c r="C8431" s="17" t="s">
        <v>2602</v>
      </c>
      <c r="D8431" s="2"/>
    </row>
    <row r="8432" spans="1:4" ht="25.5" customHeight="1" x14ac:dyDescent="0.2">
      <c r="B8432" s="11" t="s">
        <v>2603</v>
      </c>
      <c r="C8432" s="17" t="s">
        <v>2971</v>
      </c>
      <c r="D8432" s="2"/>
    </row>
    <row r="8433" spans="1:4" ht="12.75" customHeight="1" x14ac:dyDescent="0.2">
      <c r="B8433" s="11" t="s">
        <v>2605</v>
      </c>
      <c r="C8433" s="17" t="s">
        <v>14</v>
      </c>
      <c r="D8433" s="2"/>
    </row>
    <row r="8434" spans="1:4" ht="12.75" customHeight="1" x14ac:dyDescent="0.2">
      <c r="B8434" s="11" t="s">
        <v>2606</v>
      </c>
      <c r="C8434" s="16" t="s">
        <v>19</v>
      </c>
      <c r="D8434" s="2"/>
    </row>
    <row r="8435" spans="1:4" ht="12.75" customHeight="1" x14ac:dyDescent="0.2">
      <c r="B8435" s="2"/>
      <c r="C8435" s="15"/>
      <c r="D8435" s="2"/>
    </row>
    <row r="8436" spans="1:4" ht="12.75" customHeight="1" x14ac:dyDescent="0.2">
      <c r="B8436" s="2"/>
      <c r="C8436" s="15"/>
      <c r="D8436" s="2"/>
    </row>
    <row r="8437" spans="1:4" ht="12.75" customHeight="1" x14ac:dyDescent="0.2">
      <c r="A8437" s="13" t="s">
        <v>3853</v>
      </c>
      <c r="C8437" s="12"/>
      <c r="D8437" s="2"/>
    </row>
    <row r="8438" spans="1:4" ht="12.75" customHeight="1" x14ac:dyDescent="0.2">
      <c r="A8438" s="11"/>
      <c r="B8438" s="2"/>
      <c r="C8438" s="15"/>
      <c r="D8438" s="2"/>
    </row>
    <row r="8439" spans="1:4" ht="12.75" customHeight="1" x14ac:dyDescent="0.2">
      <c r="B8439" s="11" t="s">
        <v>0</v>
      </c>
      <c r="C8439" s="17" t="s">
        <v>376</v>
      </c>
      <c r="D8439" s="2"/>
    </row>
    <row r="8440" spans="1:4" ht="12.75" customHeight="1" x14ac:dyDescent="0.2">
      <c r="B8440" s="11" t="s">
        <v>2599</v>
      </c>
      <c r="C8440" s="17" t="s">
        <v>3854</v>
      </c>
      <c r="D8440" s="2"/>
    </row>
    <row r="8441" spans="1:4" ht="25.5" customHeight="1" x14ac:dyDescent="0.2">
      <c r="B8441" s="11" t="s">
        <v>2600</v>
      </c>
      <c r="C8441" s="17" t="s">
        <v>3907</v>
      </c>
      <c r="D8441" s="2"/>
    </row>
    <row r="8442" spans="1:4" ht="25.5" customHeight="1" x14ac:dyDescent="0.2">
      <c r="B8442" s="11" t="s">
        <v>2601</v>
      </c>
      <c r="C8442" s="17"/>
      <c r="D8442" s="2"/>
    </row>
    <row r="8443" spans="1:4" ht="12.75" customHeight="1" x14ac:dyDescent="0.2">
      <c r="B8443" s="11" t="s">
        <v>16</v>
      </c>
      <c r="C8443" s="17"/>
      <c r="D8443" s="2"/>
    </row>
    <row r="8444" spans="1:4" ht="12.75" customHeight="1" x14ac:dyDescent="0.2">
      <c r="B8444" s="11" t="s">
        <v>13</v>
      </c>
      <c r="C8444" s="17" t="s">
        <v>2644</v>
      </c>
      <c r="D8444" s="2"/>
    </row>
    <row r="8445" spans="1:4" ht="25.5" customHeight="1" x14ac:dyDescent="0.2">
      <c r="B8445" s="11" t="s">
        <v>2603</v>
      </c>
      <c r="C8445" s="17" t="s">
        <v>2971</v>
      </c>
      <c r="D8445" s="2"/>
    </row>
    <row r="8446" spans="1:4" ht="12.75" customHeight="1" x14ac:dyDescent="0.2">
      <c r="B8446" s="11" t="s">
        <v>2605</v>
      </c>
      <c r="C8446" s="17" t="s">
        <v>14</v>
      </c>
      <c r="D8446" s="2"/>
    </row>
    <row r="8447" spans="1:4" ht="12.75" customHeight="1" x14ac:dyDescent="0.2">
      <c r="B8447" s="11" t="s">
        <v>2606</v>
      </c>
      <c r="C8447" s="16" t="s">
        <v>19</v>
      </c>
      <c r="D8447" s="2"/>
    </row>
    <row r="8448" spans="1:4" ht="12.75" customHeight="1" x14ac:dyDescent="0.2">
      <c r="B8448" s="2"/>
      <c r="C8448" s="15"/>
      <c r="D8448" s="2"/>
    </row>
    <row r="8449" spans="1:4" ht="12.75" customHeight="1" x14ac:dyDescent="0.2">
      <c r="B8449" s="2"/>
      <c r="C8449" s="15"/>
      <c r="D8449" s="2"/>
    </row>
    <row r="8450" spans="1:4" ht="12.75" customHeight="1" x14ac:dyDescent="0.2">
      <c r="A8450" s="13" t="s">
        <v>3753</v>
      </c>
      <c r="C8450" s="12"/>
      <c r="D8450" s="2"/>
    </row>
    <row r="8451" spans="1:4" ht="12.75" customHeight="1" x14ac:dyDescent="0.2">
      <c r="A8451" s="11"/>
      <c r="B8451" s="2"/>
      <c r="C8451" s="15"/>
      <c r="D8451" s="2"/>
    </row>
    <row r="8452" spans="1:4" ht="12.75" customHeight="1" x14ac:dyDescent="0.2">
      <c r="B8452" s="11" t="s">
        <v>0</v>
      </c>
      <c r="C8452" s="17" t="s">
        <v>376</v>
      </c>
      <c r="D8452" s="2"/>
    </row>
    <row r="8453" spans="1:4" ht="12.75" customHeight="1" x14ac:dyDescent="0.2">
      <c r="B8453" s="11" t="s">
        <v>2599</v>
      </c>
      <c r="C8453" s="17" t="s">
        <v>3754</v>
      </c>
      <c r="D8453" s="2"/>
    </row>
    <row r="8454" spans="1:4" ht="25.5" customHeight="1" x14ac:dyDescent="0.2">
      <c r="B8454" s="11" t="s">
        <v>2600</v>
      </c>
      <c r="C8454" s="17" t="s">
        <v>3908</v>
      </c>
      <c r="D8454" s="2"/>
    </row>
    <row r="8455" spans="1:4" ht="25.5" customHeight="1" x14ac:dyDescent="0.2">
      <c r="B8455" s="11" t="s">
        <v>2601</v>
      </c>
      <c r="C8455" s="17"/>
      <c r="D8455" s="2"/>
    </row>
    <row r="8456" spans="1:4" ht="12.75" customHeight="1" x14ac:dyDescent="0.2">
      <c r="B8456" s="11" t="s">
        <v>16</v>
      </c>
      <c r="C8456" s="17"/>
      <c r="D8456" s="2"/>
    </row>
    <row r="8457" spans="1:4" ht="12.75" customHeight="1" x14ac:dyDescent="0.2">
      <c r="B8457" s="11" t="s">
        <v>13</v>
      </c>
      <c r="C8457" s="17" t="s">
        <v>2602</v>
      </c>
      <c r="D8457" s="2"/>
    </row>
    <row r="8458" spans="1:4" ht="25.5" customHeight="1" x14ac:dyDescent="0.2">
      <c r="B8458" s="11" t="s">
        <v>2603</v>
      </c>
      <c r="C8458" s="17" t="s">
        <v>2971</v>
      </c>
      <c r="D8458" s="2"/>
    </row>
    <row r="8459" spans="1:4" ht="12.75" customHeight="1" x14ac:dyDescent="0.2">
      <c r="B8459" s="11" t="s">
        <v>2605</v>
      </c>
      <c r="C8459" s="17" t="s">
        <v>14</v>
      </c>
      <c r="D8459" s="2"/>
    </row>
    <row r="8460" spans="1:4" ht="12.75" customHeight="1" x14ac:dyDescent="0.2">
      <c r="B8460" s="11" t="s">
        <v>2606</v>
      </c>
      <c r="C8460" s="16" t="s">
        <v>19</v>
      </c>
      <c r="D8460" s="2"/>
    </row>
    <row r="8461" spans="1:4" ht="12.75" customHeight="1" x14ac:dyDescent="0.2">
      <c r="B8461" s="2"/>
      <c r="C8461" s="15"/>
      <c r="D8461" s="2"/>
    </row>
    <row r="8462" spans="1:4" ht="12.75" customHeight="1" x14ac:dyDescent="0.2">
      <c r="B8462" s="2"/>
      <c r="C8462" s="15"/>
      <c r="D8462" s="2"/>
    </row>
    <row r="8463" spans="1:4" ht="12.75" customHeight="1" x14ac:dyDescent="0.2">
      <c r="A8463" s="13" t="s">
        <v>3857</v>
      </c>
      <c r="C8463" s="12"/>
      <c r="D8463" s="2"/>
    </row>
    <row r="8464" spans="1:4" ht="12.75" customHeight="1" x14ac:dyDescent="0.2">
      <c r="A8464" s="11"/>
      <c r="B8464" s="2"/>
      <c r="C8464" s="15"/>
      <c r="D8464" s="2"/>
    </row>
    <row r="8465" spans="1:4" ht="12.75" customHeight="1" x14ac:dyDescent="0.2">
      <c r="B8465" s="11" t="s">
        <v>0</v>
      </c>
      <c r="C8465" s="17" t="s">
        <v>376</v>
      </c>
      <c r="D8465" s="2"/>
    </row>
    <row r="8466" spans="1:4" ht="12.75" customHeight="1" x14ac:dyDescent="0.2">
      <c r="B8466" s="11" t="s">
        <v>2599</v>
      </c>
      <c r="C8466" s="17" t="s">
        <v>3858</v>
      </c>
      <c r="D8466" s="2"/>
    </row>
    <row r="8467" spans="1:4" ht="25.5" customHeight="1" x14ac:dyDescent="0.2">
      <c r="B8467" s="11" t="s">
        <v>2600</v>
      </c>
      <c r="C8467" s="17" t="s">
        <v>3909</v>
      </c>
      <c r="D8467" s="2"/>
    </row>
    <row r="8468" spans="1:4" ht="25.5" customHeight="1" x14ac:dyDescent="0.2">
      <c r="B8468" s="11" t="s">
        <v>2601</v>
      </c>
      <c r="C8468" s="17"/>
      <c r="D8468" s="2"/>
    </row>
    <row r="8469" spans="1:4" ht="12.75" customHeight="1" x14ac:dyDescent="0.2">
      <c r="B8469" s="11" t="s">
        <v>16</v>
      </c>
      <c r="C8469" s="17"/>
      <c r="D8469" s="2"/>
    </row>
    <row r="8470" spans="1:4" ht="12.75" customHeight="1" x14ac:dyDescent="0.2">
      <c r="B8470" s="11" t="s">
        <v>13</v>
      </c>
      <c r="C8470" s="17" t="s">
        <v>2602</v>
      </c>
      <c r="D8470" s="2"/>
    </row>
    <row r="8471" spans="1:4" ht="25.5" customHeight="1" x14ac:dyDescent="0.2">
      <c r="B8471" s="11" t="s">
        <v>2603</v>
      </c>
      <c r="C8471" s="17" t="s">
        <v>2971</v>
      </c>
      <c r="D8471" s="2"/>
    </row>
    <row r="8472" spans="1:4" ht="12.75" customHeight="1" x14ac:dyDescent="0.2">
      <c r="B8472" s="11" t="s">
        <v>2605</v>
      </c>
      <c r="C8472" s="17" t="s">
        <v>14</v>
      </c>
      <c r="D8472" s="2"/>
    </row>
    <row r="8473" spans="1:4" ht="12.75" customHeight="1" x14ac:dyDescent="0.2">
      <c r="B8473" s="11" t="s">
        <v>2606</v>
      </c>
      <c r="C8473" s="16" t="s">
        <v>19</v>
      </c>
      <c r="D8473" s="2"/>
    </row>
    <row r="8474" spans="1:4" ht="12.75" customHeight="1" x14ac:dyDescent="0.2">
      <c r="B8474" s="2"/>
      <c r="C8474" s="15"/>
      <c r="D8474" s="2"/>
    </row>
    <row r="8475" spans="1:4" ht="12.75" customHeight="1" x14ac:dyDescent="0.2">
      <c r="B8475" s="2"/>
      <c r="C8475" s="15"/>
      <c r="D8475" s="2"/>
    </row>
    <row r="8476" spans="1:4" ht="12.75" customHeight="1" x14ac:dyDescent="0.2">
      <c r="A8476" s="13" t="s">
        <v>3910</v>
      </c>
      <c r="C8476" s="12"/>
    </row>
    <row r="8477" spans="1:4" ht="12.75" customHeight="1" x14ac:dyDescent="0.2">
      <c r="A8477" s="11"/>
      <c r="B8477" s="2"/>
      <c r="C8477" s="15"/>
      <c r="D8477" s="2"/>
    </row>
    <row r="8478" spans="1:4" ht="12.75" customHeight="1" x14ac:dyDescent="0.2">
      <c r="B8478" s="11" t="s">
        <v>0</v>
      </c>
      <c r="C8478" s="11" t="s">
        <v>60</v>
      </c>
    </row>
    <row r="8479" spans="1:4" ht="12.75" customHeight="1" x14ac:dyDescent="0.2">
      <c r="B8479" s="11" t="s">
        <v>2599</v>
      </c>
      <c r="C8479" s="11" t="s">
        <v>3911</v>
      </c>
    </row>
    <row r="8480" spans="1:4" ht="25.5" customHeight="1" x14ac:dyDescent="0.2">
      <c r="B8480" s="11" t="s">
        <v>2600</v>
      </c>
      <c r="C8480" s="11" t="s">
        <v>3912</v>
      </c>
    </row>
    <row r="8481" spans="1:4" ht="25.5" customHeight="1" x14ac:dyDescent="0.2">
      <c r="B8481" s="11" t="s">
        <v>2601</v>
      </c>
      <c r="C8481" s="11"/>
    </row>
    <row r="8482" spans="1:4" ht="12.75" customHeight="1" x14ac:dyDescent="0.2">
      <c r="B8482" s="11" t="s">
        <v>16</v>
      </c>
      <c r="C8482" s="11"/>
    </row>
    <row r="8483" spans="1:4" ht="12.75" customHeight="1" x14ac:dyDescent="0.2">
      <c r="B8483" s="11" t="s">
        <v>13</v>
      </c>
      <c r="C8483" s="11" t="s">
        <v>2644</v>
      </c>
    </row>
    <row r="8484" spans="1:4" ht="12.75" customHeight="1" x14ac:dyDescent="0.2">
      <c r="B8484" s="11" t="s">
        <v>2603</v>
      </c>
      <c r="C8484" s="11" t="s">
        <v>128</v>
      </c>
    </row>
    <row r="8485" spans="1:4" ht="12.75" customHeight="1" x14ac:dyDescent="0.2">
      <c r="B8485" s="11" t="s">
        <v>2605</v>
      </c>
      <c r="C8485" s="11" t="s">
        <v>14</v>
      </c>
    </row>
    <row r="8486" spans="1:4" ht="12.75" customHeight="1" x14ac:dyDescent="0.2">
      <c r="B8486" s="11" t="s">
        <v>2606</v>
      </c>
      <c r="C8486" s="16" t="s">
        <v>77</v>
      </c>
      <c r="D8486" s="6" t="str">
        <f>HYPERLINK("javascript:void(0)","tűzige")</f>
        <v>tűzige</v>
      </c>
    </row>
    <row r="8487" spans="1:4" ht="12.75" customHeight="1" x14ac:dyDescent="0.2">
      <c r="B8487" s="2"/>
      <c r="C8487" s="15"/>
      <c r="D8487" s="2"/>
    </row>
    <row r="8488" spans="1:4" ht="12.75" customHeight="1" x14ac:dyDescent="0.2">
      <c r="B8488" s="2"/>
      <c r="C8488" s="15"/>
      <c r="D8488" s="2"/>
    </row>
    <row r="8489" spans="1:4" ht="12.75" customHeight="1" x14ac:dyDescent="0.2">
      <c r="A8489" s="13" t="s">
        <v>2962</v>
      </c>
      <c r="C8489" s="12"/>
    </row>
    <row r="8490" spans="1:4" ht="12.75" customHeight="1" x14ac:dyDescent="0.2">
      <c r="A8490" s="11"/>
      <c r="B8490" s="2"/>
      <c r="C8490" s="15"/>
      <c r="D8490" s="2"/>
    </row>
    <row r="8491" spans="1:4" ht="12.75" customHeight="1" x14ac:dyDescent="0.2">
      <c r="B8491" s="11" t="s">
        <v>0</v>
      </c>
      <c r="C8491" s="11" t="s">
        <v>60</v>
      </c>
    </row>
    <row r="8492" spans="1:4" ht="12.75" customHeight="1" x14ac:dyDescent="0.2">
      <c r="B8492" s="11" t="s">
        <v>2599</v>
      </c>
      <c r="C8492" s="11" t="s">
        <v>3913</v>
      </c>
    </row>
    <row r="8493" spans="1:4" ht="25.5" customHeight="1" x14ac:dyDescent="0.2">
      <c r="B8493" s="11" t="s">
        <v>2600</v>
      </c>
      <c r="C8493" s="11" t="s">
        <v>3914</v>
      </c>
    </row>
    <row r="8494" spans="1:4" ht="25.5" customHeight="1" x14ac:dyDescent="0.2">
      <c r="B8494" s="11" t="s">
        <v>2601</v>
      </c>
      <c r="C8494" s="11"/>
    </row>
    <row r="8495" spans="1:4" ht="12.75" customHeight="1" x14ac:dyDescent="0.2">
      <c r="B8495" s="11" t="s">
        <v>16</v>
      </c>
      <c r="C8495" s="11"/>
    </row>
    <row r="8496" spans="1:4" ht="12.75" customHeight="1" x14ac:dyDescent="0.2">
      <c r="B8496" s="11" t="s">
        <v>13</v>
      </c>
      <c r="C8496" s="11" t="s">
        <v>2644</v>
      </c>
    </row>
    <row r="8497" spans="1:4" ht="12.75" customHeight="1" x14ac:dyDescent="0.2">
      <c r="B8497" s="11" t="s">
        <v>2603</v>
      </c>
      <c r="C8497" s="11" t="s">
        <v>2965</v>
      </c>
    </row>
    <row r="8498" spans="1:4" ht="12.75" customHeight="1" x14ac:dyDescent="0.2">
      <c r="B8498" s="11" t="s">
        <v>2605</v>
      </c>
      <c r="C8498" s="11" t="s">
        <v>14</v>
      </c>
    </row>
    <row r="8499" spans="1:4" ht="12.75" customHeight="1" x14ac:dyDescent="0.2">
      <c r="B8499" s="11" t="s">
        <v>2606</v>
      </c>
      <c r="C8499" s="16" t="s">
        <v>44</v>
      </c>
      <c r="D8499" s="6" t="str">
        <f>HYPERLINK("javascript:void(0)","hínárgyöngy")</f>
        <v>hínárgyöngy</v>
      </c>
    </row>
    <row r="8500" spans="1:4" ht="25.5" customHeight="1" x14ac:dyDescent="0.2">
      <c r="C8500" s="16" t="s">
        <v>57</v>
      </c>
      <c r="D8500" s="6" t="str">
        <f>HYPERLINK("javascript:void(0)","harmatcsepp")</f>
        <v>harmatcsepp</v>
      </c>
    </row>
    <row r="8501" spans="1:4" ht="12.75" customHeight="1" x14ac:dyDescent="0.2">
      <c r="B8501" s="2"/>
      <c r="C8501" s="15"/>
      <c r="D8501" s="2"/>
    </row>
    <row r="8502" spans="1:4" ht="12.75" customHeight="1" x14ac:dyDescent="0.2">
      <c r="B8502" s="2"/>
      <c r="C8502" s="15"/>
      <c r="D8502" s="2"/>
    </row>
    <row r="8503" spans="1:4" ht="12.75" customHeight="1" x14ac:dyDescent="0.2">
      <c r="A8503" s="13" t="s">
        <v>3846</v>
      </c>
      <c r="C8503" s="12"/>
      <c r="D8503" s="2"/>
    </row>
    <row r="8504" spans="1:4" ht="12.75" customHeight="1" x14ac:dyDescent="0.2">
      <c r="A8504" s="11"/>
      <c r="B8504" s="2"/>
      <c r="C8504" s="15"/>
      <c r="D8504" s="2"/>
    </row>
    <row r="8505" spans="1:4" ht="12.75" customHeight="1" x14ac:dyDescent="0.2">
      <c r="B8505" s="11" t="s">
        <v>0</v>
      </c>
      <c r="C8505" s="17" t="s">
        <v>60</v>
      </c>
      <c r="D8505" s="2"/>
    </row>
    <row r="8506" spans="1:4" ht="12.75" customHeight="1" x14ac:dyDescent="0.2">
      <c r="B8506" s="11" t="s">
        <v>2599</v>
      </c>
      <c r="C8506" s="17" t="s">
        <v>3847</v>
      </c>
      <c r="D8506" s="2"/>
    </row>
    <row r="8507" spans="1:4" ht="25.5" customHeight="1" x14ac:dyDescent="0.2">
      <c r="B8507" s="11" t="s">
        <v>2600</v>
      </c>
      <c r="C8507" s="17" t="s">
        <v>3915</v>
      </c>
      <c r="D8507" s="2"/>
    </row>
    <row r="8508" spans="1:4" ht="25.5" customHeight="1" x14ac:dyDescent="0.2">
      <c r="B8508" s="11" t="s">
        <v>2601</v>
      </c>
      <c r="C8508" s="17"/>
      <c r="D8508" s="2"/>
    </row>
    <row r="8509" spans="1:4" ht="12.75" customHeight="1" x14ac:dyDescent="0.2">
      <c r="B8509" s="11" t="s">
        <v>16</v>
      </c>
      <c r="C8509" s="17"/>
      <c r="D8509" s="2"/>
    </row>
    <row r="8510" spans="1:4" ht="12.75" customHeight="1" x14ac:dyDescent="0.2">
      <c r="B8510" s="11" t="s">
        <v>13</v>
      </c>
      <c r="C8510" s="17" t="s">
        <v>2602</v>
      </c>
      <c r="D8510" s="2"/>
    </row>
    <row r="8511" spans="1:4" ht="25.5" customHeight="1" x14ac:dyDescent="0.2">
      <c r="B8511" s="11" t="s">
        <v>2603</v>
      </c>
      <c r="C8511" s="17" t="s">
        <v>2971</v>
      </c>
      <c r="D8511" s="2"/>
    </row>
    <row r="8512" spans="1:4" ht="12.75" customHeight="1" x14ac:dyDescent="0.2">
      <c r="B8512" s="11" t="s">
        <v>2605</v>
      </c>
      <c r="C8512" s="17" t="s">
        <v>14</v>
      </c>
      <c r="D8512" s="2"/>
    </row>
    <row r="8513" spans="1:4" ht="12.75" customHeight="1" x14ac:dyDescent="0.2">
      <c r="B8513" s="11" t="s">
        <v>2606</v>
      </c>
      <c r="C8513" s="16" t="s">
        <v>19</v>
      </c>
      <c r="D8513" s="2"/>
    </row>
    <row r="8514" spans="1:4" ht="12.75" customHeight="1" x14ac:dyDescent="0.2">
      <c r="B8514" s="2"/>
      <c r="C8514" s="15"/>
      <c r="D8514" s="2"/>
    </row>
    <row r="8515" spans="1:4" ht="12.75" customHeight="1" x14ac:dyDescent="0.2">
      <c r="B8515" s="2"/>
      <c r="C8515" s="15"/>
      <c r="D8515" s="2"/>
    </row>
    <row r="8516" spans="1:4" ht="12.75" customHeight="1" x14ac:dyDescent="0.2">
      <c r="A8516" s="13" t="s">
        <v>3849</v>
      </c>
      <c r="C8516" s="12"/>
      <c r="D8516" s="2"/>
    </row>
    <row r="8517" spans="1:4" ht="12.75" customHeight="1" x14ac:dyDescent="0.2">
      <c r="A8517" s="11"/>
      <c r="B8517" s="2"/>
      <c r="C8517" s="15"/>
      <c r="D8517" s="2"/>
    </row>
    <row r="8518" spans="1:4" ht="12.75" customHeight="1" x14ac:dyDescent="0.2">
      <c r="B8518" s="11" t="s">
        <v>0</v>
      </c>
      <c r="C8518" s="17" t="s">
        <v>60</v>
      </c>
      <c r="D8518" s="2"/>
    </row>
    <row r="8519" spans="1:4" ht="12.75" customHeight="1" x14ac:dyDescent="0.2">
      <c r="B8519" s="11" t="s">
        <v>2599</v>
      </c>
      <c r="C8519" s="17" t="s">
        <v>3850</v>
      </c>
      <c r="D8519" s="2"/>
    </row>
    <row r="8520" spans="1:4" ht="25.5" customHeight="1" x14ac:dyDescent="0.2">
      <c r="B8520" s="11" t="s">
        <v>2600</v>
      </c>
      <c r="C8520" s="17" t="s">
        <v>3916</v>
      </c>
      <c r="D8520" s="2"/>
    </row>
    <row r="8521" spans="1:4" ht="25.5" customHeight="1" x14ac:dyDescent="0.2">
      <c r="B8521" s="11" t="s">
        <v>2601</v>
      </c>
      <c r="C8521" s="17"/>
      <c r="D8521" s="2"/>
    </row>
    <row r="8522" spans="1:4" ht="12.75" customHeight="1" x14ac:dyDescent="0.2">
      <c r="B8522" s="11" t="s">
        <v>16</v>
      </c>
      <c r="C8522" s="17"/>
      <c r="D8522" s="2"/>
    </row>
    <row r="8523" spans="1:4" ht="12.75" customHeight="1" x14ac:dyDescent="0.2">
      <c r="B8523" s="11" t="s">
        <v>13</v>
      </c>
      <c r="C8523" s="17" t="s">
        <v>2644</v>
      </c>
      <c r="D8523" s="2"/>
    </row>
    <row r="8524" spans="1:4" ht="25.5" customHeight="1" x14ac:dyDescent="0.2">
      <c r="B8524" s="11" t="s">
        <v>2603</v>
      </c>
      <c r="C8524" s="17" t="s">
        <v>2971</v>
      </c>
      <c r="D8524" s="2"/>
    </row>
    <row r="8525" spans="1:4" ht="12.75" customHeight="1" x14ac:dyDescent="0.2">
      <c r="B8525" s="11" t="s">
        <v>2605</v>
      </c>
      <c r="C8525" s="17" t="s">
        <v>14</v>
      </c>
      <c r="D8525" s="2"/>
    </row>
    <row r="8526" spans="1:4" ht="12.75" customHeight="1" x14ac:dyDescent="0.2">
      <c r="B8526" s="11" t="s">
        <v>2606</v>
      </c>
      <c r="C8526" s="16" t="s">
        <v>19</v>
      </c>
      <c r="D8526" s="2"/>
    </row>
    <row r="8527" spans="1:4" ht="12.75" customHeight="1" x14ac:dyDescent="0.2">
      <c r="B8527" s="2"/>
      <c r="C8527" s="15"/>
      <c r="D8527" s="2"/>
    </row>
    <row r="8528" spans="1:4" ht="12.75" customHeight="1" x14ac:dyDescent="0.2">
      <c r="B8528" s="2"/>
      <c r="C8528" s="15"/>
      <c r="D8528" s="2"/>
    </row>
    <row r="8529" spans="1:4" ht="12.75" customHeight="1" x14ac:dyDescent="0.2">
      <c r="A8529" s="13" t="s">
        <v>3917</v>
      </c>
      <c r="C8529" s="12"/>
    </row>
    <row r="8530" spans="1:4" ht="12.75" customHeight="1" x14ac:dyDescent="0.2">
      <c r="A8530" s="11"/>
      <c r="B8530" s="2"/>
      <c r="C8530" s="15"/>
      <c r="D8530" s="2"/>
    </row>
    <row r="8531" spans="1:4" ht="12.75" customHeight="1" x14ac:dyDescent="0.2">
      <c r="B8531" s="11" t="s">
        <v>0</v>
      </c>
      <c r="C8531" s="11" t="s">
        <v>60</v>
      </c>
    </row>
    <row r="8532" spans="1:4" ht="12.75" customHeight="1" x14ac:dyDescent="0.2">
      <c r="B8532" s="11" t="s">
        <v>2599</v>
      </c>
      <c r="C8532" s="11" t="s">
        <v>2700</v>
      </c>
    </row>
    <row r="8533" spans="1:4" ht="25.5" customHeight="1" x14ac:dyDescent="0.2">
      <c r="B8533" s="11" t="s">
        <v>2600</v>
      </c>
      <c r="C8533" s="11" t="s">
        <v>3918</v>
      </c>
    </row>
    <row r="8534" spans="1:4" ht="25.5" customHeight="1" x14ac:dyDescent="0.2">
      <c r="B8534" s="11" t="s">
        <v>2601</v>
      </c>
      <c r="C8534" s="11"/>
    </row>
    <row r="8535" spans="1:4" ht="12.75" customHeight="1" x14ac:dyDescent="0.2">
      <c r="B8535" s="11" t="s">
        <v>16</v>
      </c>
      <c r="C8535" s="11"/>
    </row>
    <row r="8536" spans="1:4" ht="12.75" customHeight="1" x14ac:dyDescent="0.2">
      <c r="B8536" s="11" t="s">
        <v>13</v>
      </c>
      <c r="C8536" s="11" t="s">
        <v>2644</v>
      </c>
    </row>
    <row r="8537" spans="1:4" ht="12.75" customHeight="1" x14ac:dyDescent="0.2">
      <c r="B8537" s="11" t="s">
        <v>2603</v>
      </c>
      <c r="C8537" s="11" t="s">
        <v>2604</v>
      </c>
    </row>
    <row r="8538" spans="1:4" ht="12.75" customHeight="1" x14ac:dyDescent="0.2">
      <c r="B8538" s="11" t="s">
        <v>2605</v>
      </c>
      <c r="C8538" s="11" t="s">
        <v>24</v>
      </c>
    </row>
    <row r="8539" spans="1:4" ht="12.75" customHeight="1" x14ac:dyDescent="0.2">
      <c r="B8539" s="11" t="s">
        <v>2606</v>
      </c>
      <c r="C8539" s="16" t="s">
        <v>67</v>
      </c>
      <c r="D8539" s="6" t="str">
        <f>HYPERLINK("javascript:void(0)","kincs")</f>
        <v>kincs</v>
      </c>
    </row>
    <row r="8540" spans="1:4" ht="12.75" customHeight="1" x14ac:dyDescent="0.2">
      <c r="B8540" s="2"/>
      <c r="C8540" s="15"/>
      <c r="D8540" s="2"/>
    </row>
    <row r="8541" spans="1:4" ht="12.75" customHeight="1" x14ac:dyDescent="0.2">
      <c r="B8541" s="2"/>
      <c r="C8541" s="15"/>
      <c r="D8541" s="2"/>
    </row>
    <row r="8542" spans="1:4" ht="12.75" customHeight="1" x14ac:dyDescent="0.2">
      <c r="A8542" s="13" t="s">
        <v>3919</v>
      </c>
      <c r="C8542" s="12"/>
    </row>
    <row r="8543" spans="1:4" ht="12.75" customHeight="1" x14ac:dyDescent="0.2">
      <c r="A8543" s="11"/>
      <c r="B8543" s="2"/>
      <c r="C8543" s="15"/>
      <c r="D8543" s="2"/>
    </row>
    <row r="8544" spans="1:4" ht="12.75" customHeight="1" x14ac:dyDescent="0.2">
      <c r="B8544" s="11" t="s">
        <v>0</v>
      </c>
      <c r="C8544" s="11" t="s">
        <v>60</v>
      </c>
    </row>
    <row r="8545" spans="1:4" ht="12.75" customHeight="1" x14ac:dyDescent="0.2">
      <c r="B8545" s="11" t="s">
        <v>2599</v>
      </c>
      <c r="C8545" s="11" t="s">
        <v>3913</v>
      </c>
    </row>
    <row r="8546" spans="1:4" ht="25.5" customHeight="1" x14ac:dyDescent="0.2">
      <c r="B8546" s="11" t="s">
        <v>2600</v>
      </c>
      <c r="C8546" s="11" t="s">
        <v>3920</v>
      </c>
    </row>
    <row r="8547" spans="1:4" ht="25.5" customHeight="1" x14ac:dyDescent="0.2">
      <c r="B8547" s="11" t="s">
        <v>2601</v>
      </c>
      <c r="C8547" s="11"/>
    </row>
    <row r="8548" spans="1:4" ht="12.75" customHeight="1" x14ac:dyDescent="0.2">
      <c r="B8548" s="11" t="s">
        <v>16</v>
      </c>
      <c r="C8548" s="11"/>
    </row>
    <row r="8549" spans="1:4" ht="12.75" customHeight="1" x14ac:dyDescent="0.2">
      <c r="B8549" s="11" t="s">
        <v>13</v>
      </c>
      <c r="C8549" s="11" t="s">
        <v>2602</v>
      </c>
    </row>
    <row r="8550" spans="1:4" ht="12.75" customHeight="1" x14ac:dyDescent="0.2">
      <c r="B8550" s="11" t="s">
        <v>2603</v>
      </c>
      <c r="C8550" s="11" t="s">
        <v>2604</v>
      </c>
    </row>
    <row r="8551" spans="1:4" ht="12.75" customHeight="1" x14ac:dyDescent="0.2">
      <c r="B8551" s="11" t="s">
        <v>2605</v>
      </c>
      <c r="C8551" s="11" t="s">
        <v>24</v>
      </c>
    </row>
    <row r="8552" spans="1:4" ht="12.75" customHeight="1" x14ac:dyDescent="0.2">
      <c r="B8552" s="11" t="s">
        <v>2606</v>
      </c>
      <c r="C8552" s="16" t="s">
        <v>44</v>
      </c>
      <c r="D8552" s="6" t="str">
        <f>HYPERLINK("javascript:void(0)","vérrög")</f>
        <v>vérrög</v>
      </c>
    </row>
    <row r="8553" spans="1:4" ht="12.75" customHeight="1" x14ac:dyDescent="0.2">
      <c r="B8553" s="2"/>
      <c r="C8553" s="15"/>
      <c r="D8553" s="2"/>
    </row>
    <row r="8554" spans="1:4" ht="12.75" customHeight="1" x14ac:dyDescent="0.2">
      <c r="B8554" s="2"/>
      <c r="C8554" s="15"/>
      <c r="D8554" s="2"/>
    </row>
    <row r="8555" spans="1:4" ht="12.75" customHeight="1" x14ac:dyDescent="0.2">
      <c r="A8555" s="13" t="s">
        <v>3921</v>
      </c>
      <c r="C8555" s="12"/>
    </row>
    <row r="8556" spans="1:4" ht="12.75" customHeight="1" x14ac:dyDescent="0.2">
      <c r="A8556" s="11"/>
      <c r="B8556" s="2"/>
      <c r="C8556" s="15"/>
      <c r="D8556" s="2"/>
    </row>
    <row r="8557" spans="1:4" ht="12.75" customHeight="1" x14ac:dyDescent="0.2">
      <c r="B8557" s="11" t="s">
        <v>0</v>
      </c>
      <c r="C8557" s="11" t="s">
        <v>60</v>
      </c>
    </row>
    <row r="8558" spans="1:4" ht="12.75" customHeight="1" x14ac:dyDescent="0.2">
      <c r="B8558" s="11" t="s">
        <v>2599</v>
      </c>
      <c r="C8558" s="11" t="s">
        <v>2003</v>
      </c>
    </row>
    <row r="8559" spans="1:4" ht="25.5" customHeight="1" x14ac:dyDescent="0.2">
      <c r="B8559" s="11" t="s">
        <v>2600</v>
      </c>
      <c r="C8559" s="11" t="s">
        <v>3922</v>
      </c>
    </row>
    <row r="8560" spans="1:4" ht="25.5" customHeight="1" x14ac:dyDescent="0.2">
      <c r="B8560" s="11" t="s">
        <v>2601</v>
      </c>
      <c r="C8560" s="11"/>
    </row>
    <row r="8561" spans="1:4" ht="12.75" customHeight="1" x14ac:dyDescent="0.2">
      <c r="B8561" s="11" t="s">
        <v>16</v>
      </c>
      <c r="C8561" s="11"/>
    </row>
    <row r="8562" spans="1:4" ht="12.75" customHeight="1" x14ac:dyDescent="0.2">
      <c r="B8562" s="11" t="s">
        <v>13</v>
      </c>
      <c r="C8562" s="11" t="s">
        <v>2602</v>
      </c>
    </row>
    <row r="8563" spans="1:4" ht="12.75" customHeight="1" x14ac:dyDescent="0.2">
      <c r="B8563" s="11" t="s">
        <v>2603</v>
      </c>
      <c r="C8563" s="11" t="s">
        <v>2604</v>
      </c>
    </row>
    <row r="8564" spans="1:4" ht="12.75" customHeight="1" x14ac:dyDescent="0.2">
      <c r="B8564" s="11" t="s">
        <v>2605</v>
      </c>
      <c r="C8564" s="11" t="s">
        <v>24</v>
      </c>
    </row>
    <row r="8565" spans="1:4" ht="12.75" customHeight="1" x14ac:dyDescent="0.2">
      <c r="B8565" s="11" t="s">
        <v>2606</v>
      </c>
      <c r="C8565" s="16" t="s">
        <v>67</v>
      </c>
      <c r="D8565" s="6" t="str">
        <f>HYPERLINK("javascript:void(0)","kincs")</f>
        <v>kincs</v>
      </c>
    </row>
    <row r="8566" spans="1:4" ht="12.75" customHeight="1" x14ac:dyDescent="0.2">
      <c r="B8566" s="2"/>
      <c r="C8566" s="15"/>
      <c r="D8566" s="2"/>
    </row>
    <row r="8567" spans="1:4" ht="12.75" customHeight="1" x14ac:dyDescent="0.2">
      <c r="B8567" s="2"/>
      <c r="C8567" s="15"/>
      <c r="D8567" s="2"/>
    </row>
    <row r="8568" spans="1:4" ht="12.75" customHeight="1" x14ac:dyDescent="0.2">
      <c r="A8568" s="13" t="s">
        <v>3923</v>
      </c>
      <c r="C8568" s="12"/>
    </row>
    <row r="8569" spans="1:4" ht="12.75" customHeight="1" x14ac:dyDescent="0.2">
      <c r="A8569" s="11"/>
      <c r="B8569" s="2"/>
      <c r="C8569" s="15"/>
      <c r="D8569" s="2"/>
    </row>
    <row r="8570" spans="1:4" ht="12.75" customHeight="1" x14ac:dyDescent="0.2">
      <c r="B8570" s="11" t="s">
        <v>0</v>
      </c>
      <c r="C8570" s="11" t="s">
        <v>60</v>
      </c>
    </row>
    <row r="8571" spans="1:4" ht="12.75" customHeight="1" x14ac:dyDescent="0.2">
      <c r="B8571" s="11" t="s">
        <v>2599</v>
      </c>
      <c r="C8571" s="11" t="s">
        <v>3924</v>
      </c>
    </row>
    <row r="8572" spans="1:4" ht="25.5" customHeight="1" x14ac:dyDescent="0.2">
      <c r="B8572" s="11" t="s">
        <v>2600</v>
      </c>
      <c r="C8572" s="11" t="s">
        <v>3925</v>
      </c>
    </row>
    <row r="8573" spans="1:4" ht="25.5" customHeight="1" x14ac:dyDescent="0.2">
      <c r="B8573" s="11" t="s">
        <v>2601</v>
      </c>
      <c r="C8573" s="11"/>
    </row>
    <row r="8574" spans="1:4" ht="12.75" customHeight="1" x14ac:dyDescent="0.2">
      <c r="B8574" s="11" t="s">
        <v>16</v>
      </c>
      <c r="C8574" s="11"/>
    </row>
    <row r="8575" spans="1:4" ht="12.75" customHeight="1" x14ac:dyDescent="0.2">
      <c r="B8575" s="11" t="s">
        <v>13</v>
      </c>
      <c r="C8575" s="11" t="s">
        <v>2644</v>
      </c>
    </row>
    <row r="8576" spans="1:4" ht="12.75" customHeight="1" x14ac:dyDescent="0.2">
      <c r="B8576" s="11" t="s">
        <v>2603</v>
      </c>
      <c r="C8576" s="11" t="s">
        <v>2604</v>
      </c>
    </row>
    <row r="8577" spans="1:4" ht="12.75" customHeight="1" x14ac:dyDescent="0.2">
      <c r="B8577" s="11" t="s">
        <v>2605</v>
      </c>
      <c r="C8577" s="11" t="s">
        <v>24</v>
      </c>
    </row>
    <row r="8578" spans="1:4" ht="12.75" customHeight="1" x14ac:dyDescent="0.2">
      <c r="B8578" s="11" t="s">
        <v>2606</v>
      </c>
      <c r="C8578" s="16" t="s">
        <v>44</v>
      </c>
      <c r="D8578" s="6" t="str">
        <f>HYPERLINK("javascript:void(0)","rozsdalap")</f>
        <v>rozsdalap</v>
      </c>
    </row>
    <row r="8579" spans="1:4" ht="12.75" customHeight="1" x14ac:dyDescent="0.2">
      <c r="B8579" s="2"/>
      <c r="C8579" s="15"/>
      <c r="D8579" s="2"/>
    </row>
    <row r="8580" spans="1:4" ht="12.75" customHeight="1" x14ac:dyDescent="0.2">
      <c r="B8580" s="2"/>
      <c r="C8580" s="15"/>
      <c r="D8580" s="2"/>
    </row>
    <row r="8581" spans="1:4" ht="12.75" customHeight="1" x14ac:dyDescent="0.2">
      <c r="A8581" s="13" t="s">
        <v>3926</v>
      </c>
      <c r="C8581" s="12"/>
    </row>
    <row r="8582" spans="1:4" ht="12.75" customHeight="1" x14ac:dyDescent="0.2">
      <c r="A8582" s="11"/>
      <c r="B8582" s="2"/>
      <c r="C8582" s="15"/>
      <c r="D8582" s="2"/>
    </row>
    <row r="8583" spans="1:4" ht="12.75" customHeight="1" x14ac:dyDescent="0.2">
      <c r="B8583" s="11" t="s">
        <v>0</v>
      </c>
      <c r="C8583" s="11" t="s">
        <v>60</v>
      </c>
    </row>
    <row r="8584" spans="1:4" ht="12.75" customHeight="1" x14ac:dyDescent="0.2">
      <c r="B8584" s="11" t="s">
        <v>2599</v>
      </c>
      <c r="C8584" s="11" t="s">
        <v>3927</v>
      </c>
    </row>
    <row r="8585" spans="1:4" ht="25.5" customHeight="1" x14ac:dyDescent="0.2">
      <c r="B8585" s="11" t="s">
        <v>2600</v>
      </c>
      <c r="C8585" s="11" t="s">
        <v>3928</v>
      </c>
    </row>
    <row r="8586" spans="1:4" ht="25.5" customHeight="1" x14ac:dyDescent="0.2">
      <c r="B8586" s="11" t="s">
        <v>2601</v>
      </c>
      <c r="C8586" s="11"/>
    </row>
    <row r="8587" spans="1:4" ht="12.75" customHeight="1" x14ac:dyDescent="0.2">
      <c r="B8587" s="11" t="s">
        <v>16</v>
      </c>
      <c r="C8587" s="11"/>
    </row>
    <row r="8588" spans="1:4" ht="12.75" customHeight="1" x14ac:dyDescent="0.2">
      <c r="B8588" s="11" t="s">
        <v>13</v>
      </c>
      <c r="C8588" s="11" t="s">
        <v>2644</v>
      </c>
    </row>
    <row r="8589" spans="1:4" ht="12.75" customHeight="1" x14ac:dyDescent="0.2">
      <c r="B8589" s="11" t="s">
        <v>2603</v>
      </c>
      <c r="C8589" s="11" t="s">
        <v>2604</v>
      </c>
    </row>
    <row r="8590" spans="1:4" ht="12.75" customHeight="1" x14ac:dyDescent="0.2">
      <c r="B8590" s="11" t="s">
        <v>2605</v>
      </c>
      <c r="C8590" s="11" t="s">
        <v>24</v>
      </c>
    </row>
    <row r="8591" spans="1:4" ht="12.75" customHeight="1" x14ac:dyDescent="0.2">
      <c r="B8591" s="11" t="s">
        <v>2606</v>
      </c>
      <c r="C8591" s="16" t="s">
        <v>68</v>
      </c>
      <c r="D8591" s="6" t="str">
        <f>HYPERLINK("javascript:void(0)","kincs")</f>
        <v>kincs</v>
      </c>
    </row>
    <row r="8592" spans="1:4" ht="12.75" customHeight="1" x14ac:dyDescent="0.2">
      <c r="C8592" s="16" t="s">
        <v>44</v>
      </c>
      <c r="D8592" s="6" t="str">
        <f>HYPERLINK("javascript:void(0)","mágusbot")</f>
        <v>mágusbot</v>
      </c>
    </row>
    <row r="8593" spans="1:4" ht="12.75" customHeight="1" x14ac:dyDescent="0.2">
      <c r="B8593" s="2"/>
      <c r="C8593" s="15"/>
      <c r="D8593" s="2"/>
    </row>
    <row r="8594" spans="1:4" ht="12.75" customHeight="1" x14ac:dyDescent="0.2">
      <c r="B8594" s="2"/>
      <c r="C8594" s="15"/>
      <c r="D8594" s="2"/>
    </row>
    <row r="8595" spans="1:4" ht="12.75" customHeight="1" x14ac:dyDescent="0.2">
      <c r="A8595" s="13" t="s">
        <v>3929</v>
      </c>
      <c r="C8595" s="12"/>
    </row>
    <row r="8596" spans="1:4" ht="12.75" customHeight="1" x14ac:dyDescent="0.2">
      <c r="A8596" s="11"/>
      <c r="B8596" s="2"/>
      <c r="C8596" s="15"/>
      <c r="D8596" s="2"/>
    </row>
    <row r="8597" spans="1:4" ht="12.75" customHeight="1" x14ac:dyDescent="0.2">
      <c r="B8597" s="11" t="s">
        <v>0</v>
      </c>
      <c r="C8597" s="11" t="s">
        <v>60</v>
      </c>
    </row>
    <row r="8598" spans="1:4" ht="12.75" customHeight="1" x14ac:dyDescent="0.2">
      <c r="B8598" s="11" t="s">
        <v>2599</v>
      </c>
      <c r="C8598" s="11" t="s">
        <v>3820</v>
      </c>
    </row>
    <row r="8599" spans="1:4" ht="25.5" customHeight="1" x14ac:dyDescent="0.2">
      <c r="B8599" s="11" t="s">
        <v>2600</v>
      </c>
      <c r="C8599" s="11" t="s">
        <v>3930</v>
      </c>
    </row>
    <row r="8600" spans="1:4" ht="25.5" customHeight="1" x14ac:dyDescent="0.2">
      <c r="B8600" s="11" t="s">
        <v>2601</v>
      </c>
      <c r="C8600" s="11"/>
    </row>
    <row r="8601" spans="1:4" ht="12.75" customHeight="1" x14ac:dyDescent="0.2">
      <c r="B8601" s="11" t="s">
        <v>16</v>
      </c>
      <c r="C8601" s="11"/>
    </row>
    <row r="8602" spans="1:4" ht="12.75" customHeight="1" x14ac:dyDescent="0.2">
      <c r="B8602" s="11" t="s">
        <v>13</v>
      </c>
      <c r="C8602" s="11" t="s">
        <v>2644</v>
      </c>
    </row>
    <row r="8603" spans="1:4" ht="12.75" customHeight="1" x14ac:dyDescent="0.2">
      <c r="B8603" s="11" t="s">
        <v>2603</v>
      </c>
      <c r="C8603" s="11" t="s">
        <v>2604</v>
      </c>
    </row>
    <row r="8604" spans="1:4" ht="12.75" customHeight="1" x14ac:dyDescent="0.2">
      <c r="B8604" s="11" t="s">
        <v>2605</v>
      </c>
      <c r="C8604" s="11" t="s">
        <v>24</v>
      </c>
    </row>
    <row r="8605" spans="1:4" ht="12.75" customHeight="1" x14ac:dyDescent="0.2">
      <c r="B8605" s="11" t="s">
        <v>2606</v>
      </c>
      <c r="C8605" s="16" t="s">
        <v>44</v>
      </c>
      <c r="D8605" s="6" t="str">
        <f>HYPERLINK("javascript:void(0)","hidegige")</f>
        <v>hidegige</v>
      </c>
    </row>
    <row r="8606" spans="1:4" ht="25.5" customHeight="1" x14ac:dyDescent="0.2">
      <c r="C8606" s="16" t="s">
        <v>56</v>
      </c>
      <c r="D8606" s="6" t="str">
        <f>HYPERLINK("javascript:void(0)","elementál eszencia")</f>
        <v>elementál eszencia</v>
      </c>
    </row>
    <row r="8607" spans="1:4" ht="12.75" customHeight="1" x14ac:dyDescent="0.2">
      <c r="B8607" s="2"/>
      <c r="C8607" s="15"/>
      <c r="D8607" s="2"/>
    </row>
    <row r="8608" spans="1:4" ht="12.75" customHeight="1" x14ac:dyDescent="0.2">
      <c r="B8608" s="2"/>
      <c r="C8608" s="15"/>
      <c r="D8608" s="2"/>
    </row>
    <row r="8609" spans="1:4" ht="12.75" customHeight="1" x14ac:dyDescent="0.2">
      <c r="A8609" s="13" t="s">
        <v>3931</v>
      </c>
      <c r="C8609" s="12"/>
    </row>
    <row r="8610" spans="1:4" ht="12.75" customHeight="1" x14ac:dyDescent="0.2">
      <c r="A8610" s="11"/>
      <c r="B8610" s="2"/>
      <c r="C8610" s="15"/>
      <c r="D8610" s="2"/>
    </row>
    <row r="8611" spans="1:4" ht="12.75" customHeight="1" x14ac:dyDescent="0.2">
      <c r="B8611" s="11" t="s">
        <v>0</v>
      </c>
      <c r="C8611" s="11" t="s">
        <v>60</v>
      </c>
    </row>
    <row r="8612" spans="1:4" ht="12.75" customHeight="1" x14ac:dyDescent="0.2">
      <c r="B8612" s="11" t="s">
        <v>2599</v>
      </c>
      <c r="C8612" s="11" t="s">
        <v>3340</v>
      </c>
    </row>
    <row r="8613" spans="1:4" ht="25.5" customHeight="1" x14ac:dyDescent="0.2">
      <c r="B8613" s="11" t="s">
        <v>2600</v>
      </c>
      <c r="C8613" s="11" t="s">
        <v>3932</v>
      </c>
    </row>
    <row r="8614" spans="1:4" ht="25.5" customHeight="1" x14ac:dyDescent="0.2">
      <c r="B8614" s="11" t="s">
        <v>2601</v>
      </c>
      <c r="C8614" s="11"/>
    </row>
    <row r="8615" spans="1:4" ht="12.75" customHeight="1" x14ac:dyDescent="0.2">
      <c r="B8615" s="11" t="s">
        <v>16</v>
      </c>
      <c r="C8615" s="11"/>
    </row>
    <row r="8616" spans="1:4" ht="12.75" customHeight="1" x14ac:dyDescent="0.2">
      <c r="B8616" s="11" t="s">
        <v>13</v>
      </c>
      <c r="C8616" s="11" t="s">
        <v>2644</v>
      </c>
    </row>
    <row r="8617" spans="1:4" ht="12.75" customHeight="1" x14ac:dyDescent="0.2">
      <c r="B8617" s="11" t="s">
        <v>2603</v>
      </c>
      <c r="C8617" s="11" t="s">
        <v>2604</v>
      </c>
    </row>
    <row r="8618" spans="1:4" ht="12.75" customHeight="1" x14ac:dyDescent="0.2">
      <c r="B8618" s="11" t="s">
        <v>2605</v>
      </c>
      <c r="C8618" s="11" t="s">
        <v>24</v>
      </c>
    </row>
    <row r="8619" spans="1:4" ht="12.75" customHeight="1" x14ac:dyDescent="0.2">
      <c r="B8619" s="11" t="s">
        <v>2606</v>
      </c>
      <c r="C8619" s="16" t="s">
        <v>44</v>
      </c>
      <c r="D8619" s="6" t="str">
        <f>HYPERLINK("javascript:void(0)","manaital")</f>
        <v>manaital</v>
      </c>
    </row>
    <row r="8620" spans="1:4" ht="12.75" customHeight="1" x14ac:dyDescent="0.2">
      <c r="C8620" s="16" t="s">
        <v>44</v>
      </c>
      <c r="D8620" s="6" t="str">
        <f>HYPERLINK("javascript:void(0)","aqua dei")</f>
        <v>aqua dei</v>
      </c>
    </row>
    <row r="8621" spans="1:4" ht="12.75" customHeight="1" x14ac:dyDescent="0.2">
      <c r="B8621" s="2"/>
      <c r="C8621" s="15"/>
      <c r="D8621" s="2"/>
    </row>
    <row r="8622" spans="1:4" ht="12.75" customHeight="1" x14ac:dyDescent="0.2">
      <c r="B8622" s="2"/>
      <c r="C8622" s="15"/>
      <c r="D8622" s="2"/>
    </row>
    <row r="8623" spans="1:4" ht="12.75" customHeight="1" x14ac:dyDescent="0.2">
      <c r="A8623" s="13" t="s">
        <v>3933</v>
      </c>
      <c r="C8623" s="12"/>
    </row>
    <row r="8624" spans="1:4" ht="12.75" customHeight="1" x14ac:dyDescent="0.2">
      <c r="A8624" s="11"/>
      <c r="B8624" s="2"/>
      <c r="C8624" s="15"/>
      <c r="D8624" s="2"/>
    </row>
    <row r="8625" spans="1:4" ht="12.75" customHeight="1" x14ac:dyDescent="0.2">
      <c r="B8625" s="11" t="s">
        <v>0</v>
      </c>
      <c r="C8625" s="11" t="s">
        <v>60</v>
      </c>
    </row>
    <row r="8626" spans="1:4" ht="12.75" customHeight="1" x14ac:dyDescent="0.2">
      <c r="B8626" s="11" t="s">
        <v>2599</v>
      </c>
      <c r="C8626" s="11" t="s">
        <v>3934</v>
      </c>
    </row>
    <row r="8627" spans="1:4" ht="25.5" customHeight="1" x14ac:dyDescent="0.2">
      <c r="B8627" s="11" t="s">
        <v>2600</v>
      </c>
      <c r="C8627" s="11" t="s">
        <v>3935</v>
      </c>
    </row>
    <row r="8628" spans="1:4" ht="25.5" customHeight="1" x14ac:dyDescent="0.2">
      <c r="B8628" s="11" t="s">
        <v>2601</v>
      </c>
      <c r="C8628" s="11"/>
    </row>
    <row r="8629" spans="1:4" ht="12.75" customHeight="1" x14ac:dyDescent="0.2">
      <c r="B8629" s="11" t="s">
        <v>16</v>
      </c>
      <c r="C8629" s="11"/>
    </row>
    <row r="8630" spans="1:4" ht="12.75" customHeight="1" x14ac:dyDescent="0.2">
      <c r="B8630" s="11" t="s">
        <v>13</v>
      </c>
      <c r="C8630" s="11" t="s">
        <v>2602</v>
      </c>
    </row>
    <row r="8631" spans="1:4" ht="12.75" customHeight="1" x14ac:dyDescent="0.2">
      <c r="B8631" s="11" t="s">
        <v>2603</v>
      </c>
      <c r="C8631" s="11" t="s">
        <v>2604</v>
      </c>
    </row>
    <row r="8632" spans="1:4" ht="12.75" customHeight="1" x14ac:dyDescent="0.2">
      <c r="B8632" s="11" t="s">
        <v>2605</v>
      </c>
      <c r="C8632" s="11" t="s">
        <v>24</v>
      </c>
    </row>
    <row r="8633" spans="1:4" ht="12.75" customHeight="1" x14ac:dyDescent="0.2">
      <c r="B8633" s="11" t="s">
        <v>2606</v>
      </c>
      <c r="C8633" s="16" t="s">
        <v>67</v>
      </c>
      <c r="D8633" s="6" t="str">
        <f>HYPERLINK("javascript:void(0)","kincs")</f>
        <v>kincs</v>
      </c>
    </row>
    <row r="8634" spans="1:4" ht="12.75" customHeight="1" x14ac:dyDescent="0.2">
      <c r="B8634" s="2"/>
      <c r="C8634" s="15"/>
      <c r="D8634" s="2"/>
    </row>
    <row r="8635" spans="1:4" ht="12.75" customHeight="1" x14ac:dyDescent="0.2">
      <c r="B8635" s="2"/>
      <c r="C8635" s="15"/>
      <c r="D8635" s="2"/>
    </row>
    <row r="8636" spans="1:4" ht="12.75" customHeight="1" x14ac:dyDescent="0.2">
      <c r="A8636" s="13" t="s">
        <v>3936</v>
      </c>
      <c r="C8636" s="12"/>
    </row>
    <row r="8637" spans="1:4" ht="12.75" customHeight="1" x14ac:dyDescent="0.2">
      <c r="A8637" s="11"/>
      <c r="B8637" s="2"/>
      <c r="C8637" s="15"/>
      <c r="D8637" s="2"/>
    </row>
    <row r="8638" spans="1:4" ht="12.75" customHeight="1" x14ac:dyDescent="0.2">
      <c r="B8638" s="11" t="s">
        <v>0</v>
      </c>
      <c r="C8638" s="11" t="s">
        <v>60</v>
      </c>
    </row>
    <row r="8639" spans="1:4" ht="12.75" customHeight="1" x14ac:dyDescent="0.2">
      <c r="B8639" s="11" t="s">
        <v>2599</v>
      </c>
      <c r="C8639" s="11" t="s">
        <v>2901</v>
      </c>
    </row>
    <row r="8640" spans="1:4" ht="25.5" customHeight="1" x14ac:dyDescent="0.2">
      <c r="B8640" s="11" t="s">
        <v>2600</v>
      </c>
      <c r="C8640" s="11" t="s">
        <v>3937</v>
      </c>
    </row>
    <row r="8641" spans="1:4" ht="25.5" customHeight="1" x14ac:dyDescent="0.2">
      <c r="B8641" s="11" t="s">
        <v>2601</v>
      </c>
      <c r="C8641" s="11"/>
    </row>
    <row r="8642" spans="1:4" ht="12.75" customHeight="1" x14ac:dyDescent="0.2">
      <c r="B8642" s="11" t="s">
        <v>16</v>
      </c>
      <c r="C8642" s="11"/>
    </row>
    <row r="8643" spans="1:4" ht="12.75" customHeight="1" x14ac:dyDescent="0.2">
      <c r="B8643" s="11" t="s">
        <v>13</v>
      </c>
      <c r="C8643" s="11" t="s">
        <v>2602</v>
      </c>
    </row>
    <row r="8644" spans="1:4" ht="12.75" customHeight="1" x14ac:dyDescent="0.2">
      <c r="B8644" s="11" t="s">
        <v>2603</v>
      </c>
      <c r="C8644" s="11" t="s">
        <v>2604</v>
      </c>
    </row>
    <row r="8645" spans="1:4" ht="12.75" customHeight="1" x14ac:dyDescent="0.2">
      <c r="B8645" s="11" t="s">
        <v>2605</v>
      </c>
      <c r="C8645" s="11" t="s">
        <v>24</v>
      </c>
    </row>
    <row r="8646" spans="1:4" ht="12.75" customHeight="1" x14ac:dyDescent="0.2">
      <c r="B8646" s="11" t="s">
        <v>2606</v>
      </c>
      <c r="C8646" s="16" t="s">
        <v>67</v>
      </c>
      <c r="D8646" s="6" t="str">
        <f>HYPERLINK("javascript:void(0)","kincs")</f>
        <v>kincs</v>
      </c>
    </row>
    <row r="8647" spans="1:4" ht="12.75" customHeight="1" x14ac:dyDescent="0.2">
      <c r="B8647" s="2"/>
      <c r="C8647" s="15"/>
      <c r="D8647" s="2"/>
    </row>
    <row r="8648" spans="1:4" ht="12.75" customHeight="1" x14ac:dyDescent="0.2">
      <c r="B8648" s="2"/>
      <c r="C8648" s="15"/>
      <c r="D8648" s="2"/>
    </row>
    <row r="8649" spans="1:4" ht="12.75" customHeight="1" x14ac:dyDescent="0.2">
      <c r="A8649" s="13" t="s">
        <v>3783</v>
      </c>
      <c r="C8649" s="12"/>
      <c r="D8649" s="2"/>
    </row>
    <row r="8650" spans="1:4" ht="12.75" customHeight="1" x14ac:dyDescent="0.2">
      <c r="A8650" s="11"/>
      <c r="B8650" s="2"/>
      <c r="C8650" s="15"/>
      <c r="D8650" s="2"/>
    </row>
    <row r="8651" spans="1:4" ht="12.75" customHeight="1" x14ac:dyDescent="0.2">
      <c r="B8651" s="11" t="s">
        <v>0</v>
      </c>
      <c r="C8651" s="17" t="s">
        <v>60</v>
      </c>
      <c r="D8651" s="2"/>
    </row>
    <row r="8652" spans="1:4" ht="12.75" customHeight="1" x14ac:dyDescent="0.2">
      <c r="B8652" s="11" t="s">
        <v>2599</v>
      </c>
      <c r="C8652" s="17" t="s">
        <v>3784</v>
      </c>
      <c r="D8652" s="2"/>
    </row>
    <row r="8653" spans="1:4" ht="25.5" customHeight="1" x14ac:dyDescent="0.2">
      <c r="B8653" s="11" t="s">
        <v>2600</v>
      </c>
      <c r="C8653" s="17" t="s">
        <v>3938</v>
      </c>
      <c r="D8653" s="2"/>
    </row>
    <row r="8654" spans="1:4" ht="25.5" customHeight="1" x14ac:dyDescent="0.2">
      <c r="B8654" s="11" t="s">
        <v>2601</v>
      </c>
      <c r="C8654" s="17"/>
      <c r="D8654" s="2"/>
    </row>
    <row r="8655" spans="1:4" ht="12.75" customHeight="1" x14ac:dyDescent="0.2">
      <c r="B8655" s="11" t="s">
        <v>16</v>
      </c>
      <c r="C8655" s="17"/>
      <c r="D8655" s="2"/>
    </row>
    <row r="8656" spans="1:4" ht="12.75" customHeight="1" x14ac:dyDescent="0.2">
      <c r="B8656" s="11" t="s">
        <v>13</v>
      </c>
      <c r="C8656" s="17" t="s">
        <v>2602</v>
      </c>
      <c r="D8656" s="2"/>
    </row>
    <row r="8657" spans="1:4" ht="25.5" customHeight="1" x14ac:dyDescent="0.2">
      <c r="B8657" s="11" t="s">
        <v>2603</v>
      </c>
      <c r="C8657" s="17" t="s">
        <v>2971</v>
      </c>
      <c r="D8657" s="2"/>
    </row>
    <row r="8658" spans="1:4" ht="12.75" customHeight="1" x14ac:dyDescent="0.2">
      <c r="B8658" s="11" t="s">
        <v>2605</v>
      </c>
      <c r="C8658" s="17" t="s">
        <v>14</v>
      </c>
      <c r="D8658" s="2"/>
    </row>
    <row r="8659" spans="1:4" ht="12.75" customHeight="1" x14ac:dyDescent="0.2">
      <c r="B8659" s="11" t="s">
        <v>2606</v>
      </c>
      <c r="C8659" s="16" t="s">
        <v>19</v>
      </c>
      <c r="D8659" s="2"/>
    </row>
    <row r="8660" spans="1:4" ht="12.75" customHeight="1" x14ac:dyDescent="0.2">
      <c r="B8660" s="2"/>
      <c r="C8660" s="15"/>
      <c r="D8660" s="2"/>
    </row>
    <row r="8661" spans="1:4" ht="12.75" customHeight="1" x14ac:dyDescent="0.2">
      <c r="B8661" s="2"/>
      <c r="C8661" s="15"/>
      <c r="D8661" s="2"/>
    </row>
    <row r="8662" spans="1:4" ht="12.75" customHeight="1" x14ac:dyDescent="0.2">
      <c r="A8662" s="13" t="s">
        <v>3853</v>
      </c>
      <c r="C8662" s="12"/>
      <c r="D8662" s="2"/>
    </row>
    <row r="8663" spans="1:4" ht="12.75" customHeight="1" x14ac:dyDescent="0.2">
      <c r="A8663" s="11"/>
      <c r="B8663" s="2"/>
      <c r="C8663" s="15"/>
      <c r="D8663" s="2"/>
    </row>
    <row r="8664" spans="1:4" ht="12.75" customHeight="1" x14ac:dyDescent="0.2">
      <c r="B8664" s="11" t="s">
        <v>0</v>
      </c>
      <c r="C8664" s="17" t="s">
        <v>60</v>
      </c>
      <c r="D8664" s="2"/>
    </row>
    <row r="8665" spans="1:4" ht="12.75" customHeight="1" x14ac:dyDescent="0.2">
      <c r="B8665" s="11" t="s">
        <v>2599</v>
      </c>
      <c r="C8665" s="17" t="s">
        <v>3854</v>
      </c>
      <c r="D8665" s="2"/>
    </row>
    <row r="8666" spans="1:4" ht="25.5" customHeight="1" x14ac:dyDescent="0.2">
      <c r="B8666" s="11" t="s">
        <v>2600</v>
      </c>
      <c r="C8666" s="17" t="s">
        <v>3939</v>
      </c>
      <c r="D8666" s="2"/>
    </row>
    <row r="8667" spans="1:4" ht="25.5" customHeight="1" x14ac:dyDescent="0.2">
      <c r="B8667" s="11" t="s">
        <v>2601</v>
      </c>
      <c r="C8667" s="17"/>
      <c r="D8667" s="2"/>
    </row>
    <row r="8668" spans="1:4" ht="12.75" customHeight="1" x14ac:dyDescent="0.2">
      <c r="B8668" s="11" t="s">
        <v>16</v>
      </c>
      <c r="C8668" s="17"/>
      <c r="D8668" s="2"/>
    </row>
    <row r="8669" spans="1:4" ht="12.75" customHeight="1" x14ac:dyDescent="0.2">
      <c r="B8669" s="11" t="s">
        <v>13</v>
      </c>
      <c r="C8669" s="17" t="s">
        <v>2644</v>
      </c>
      <c r="D8669" s="2"/>
    </row>
    <row r="8670" spans="1:4" ht="25.5" customHeight="1" x14ac:dyDescent="0.2">
      <c r="B8670" s="11" t="s">
        <v>2603</v>
      </c>
      <c r="C8670" s="17" t="s">
        <v>2971</v>
      </c>
      <c r="D8670" s="2"/>
    </row>
    <row r="8671" spans="1:4" ht="12.75" customHeight="1" x14ac:dyDescent="0.2">
      <c r="B8671" s="11" t="s">
        <v>2605</v>
      </c>
      <c r="C8671" s="17" t="s">
        <v>14</v>
      </c>
      <c r="D8671" s="2"/>
    </row>
    <row r="8672" spans="1:4" ht="12.75" customHeight="1" x14ac:dyDescent="0.2">
      <c r="B8672" s="11" t="s">
        <v>2606</v>
      </c>
      <c r="C8672" s="16" t="s">
        <v>19</v>
      </c>
      <c r="D8672" s="2"/>
    </row>
    <row r="8673" spans="1:4" ht="12.75" customHeight="1" x14ac:dyDescent="0.2">
      <c r="B8673" s="2"/>
      <c r="C8673" s="15"/>
      <c r="D8673" s="2"/>
    </row>
    <row r="8674" spans="1:4" ht="12.75" customHeight="1" x14ac:dyDescent="0.2">
      <c r="B8674" s="2"/>
      <c r="C8674" s="15"/>
      <c r="D8674" s="2"/>
    </row>
    <row r="8675" spans="1:4" ht="12.75" customHeight="1" x14ac:dyDescent="0.2">
      <c r="A8675" s="13" t="s">
        <v>3940</v>
      </c>
      <c r="C8675" s="12"/>
      <c r="D8675" s="2"/>
    </row>
    <row r="8676" spans="1:4" ht="12.75" customHeight="1" x14ac:dyDescent="0.2">
      <c r="A8676" s="11"/>
      <c r="B8676" s="2"/>
      <c r="C8676" s="15"/>
      <c r="D8676" s="2"/>
    </row>
    <row r="8677" spans="1:4" ht="12.75" customHeight="1" x14ac:dyDescent="0.2">
      <c r="B8677" s="11" t="s">
        <v>0</v>
      </c>
      <c r="C8677" s="17" t="s">
        <v>60</v>
      </c>
      <c r="D8677" s="2"/>
    </row>
    <row r="8678" spans="1:4" ht="12.75" customHeight="1" x14ac:dyDescent="0.2">
      <c r="B8678" s="11" t="s">
        <v>2599</v>
      </c>
      <c r="C8678" s="17" t="s">
        <v>3941</v>
      </c>
      <c r="D8678" s="2"/>
    </row>
    <row r="8679" spans="1:4" ht="25.5" customHeight="1" x14ac:dyDescent="0.2">
      <c r="B8679" s="11" t="s">
        <v>2600</v>
      </c>
      <c r="C8679" s="17" t="s">
        <v>3942</v>
      </c>
      <c r="D8679" s="2"/>
    </row>
    <row r="8680" spans="1:4" ht="25.5" customHeight="1" x14ac:dyDescent="0.2">
      <c r="B8680" s="11" t="s">
        <v>2601</v>
      </c>
      <c r="C8680" s="17"/>
      <c r="D8680" s="2"/>
    </row>
    <row r="8681" spans="1:4" ht="12.75" customHeight="1" x14ac:dyDescent="0.2">
      <c r="B8681" s="11" t="s">
        <v>16</v>
      </c>
      <c r="C8681" s="17"/>
      <c r="D8681" s="2"/>
    </row>
    <row r="8682" spans="1:4" ht="12.75" customHeight="1" x14ac:dyDescent="0.2">
      <c r="B8682" s="11" t="s">
        <v>13</v>
      </c>
      <c r="C8682" s="17" t="s">
        <v>2602</v>
      </c>
      <c r="D8682" s="2"/>
    </row>
    <row r="8683" spans="1:4" ht="25.5" customHeight="1" x14ac:dyDescent="0.2">
      <c r="B8683" s="11" t="s">
        <v>2603</v>
      </c>
      <c r="C8683" s="17" t="s">
        <v>2971</v>
      </c>
      <c r="D8683" s="2"/>
    </row>
    <row r="8684" spans="1:4" ht="12.75" customHeight="1" x14ac:dyDescent="0.2">
      <c r="B8684" s="11" t="s">
        <v>2605</v>
      </c>
      <c r="C8684" s="17" t="s">
        <v>14</v>
      </c>
      <c r="D8684" s="2"/>
    </row>
    <row r="8685" spans="1:4" ht="12.75" customHeight="1" x14ac:dyDescent="0.2">
      <c r="B8685" s="11" t="s">
        <v>2606</v>
      </c>
      <c r="C8685" s="16" t="s">
        <v>19</v>
      </c>
      <c r="D8685" s="2"/>
    </row>
    <row r="8686" spans="1:4" ht="12.75" customHeight="1" x14ac:dyDescent="0.2">
      <c r="B8686" s="2"/>
      <c r="C8686" s="15"/>
      <c r="D8686" s="2"/>
    </row>
    <row r="8687" spans="1:4" ht="12.75" customHeight="1" x14ac:dyDescent="0.2">
      <c r="B8687" s="2"/>
      <c r="C8687" s="15"/>
      <c r="D8687" s="2"/>
    </row>
    <row r="8688" spans="1:4" ht="12.75" customHeight="1" x14ac:dyDescent="0.2">
      <c r="A8688" s="13" t="s">
        <v>3857</v>
      </c>
      <c r="C8688" s="12"/>
      <c r="D8688" s="2"/>
    </row>
    <row r="8689" spans="1:4" ht="12.75" customHeight="1" x14ac:dyDescent="0.2">
      <c r="A8689" s="11"/>
      <c r="B8689" s="2"/>
      <c r="C8689" s="15"/>
      <c r="D8689" s="2"/>
    </row>
    <row r="8690" spans="1:4" ht="12.75" customHeight="1" x14ac:dyDescent="0.2">
      <c r="B8690" s="11" t="s">
        <v>0</v>
      </c>
      <c r="C8690" s="17" t="s">
        <v>60</v>
      </c>
      <c r="D8690" s="2"/>
    </row>
    <row r="8691" spans="1:4" ht="12.75" customHeight="1" x14ac:dyDescent="0.2">
      <c r="B8691" s="11" t="s">
        <v>2599</v>
      </c>
      <c r="C8691" s="17" t="s">
        <v>3858</v>
      </c>
      <c r="D8691" s="2"/>
    </row>
    <row r="8692" spans="1:4" ht="25.5" customHeight="1" x14ac:dyDescent="0.2">
      <c r="B8692" s="11" t="s">
        <v>2600</v>
      </c>
      <c r="C8692" s="17" t="s">
        <v>3943</v>
      </c>
      <c r="D8692" s="2"/>
    </row>
    <row r="8693" spans="1:4" ht="25.5" customHeight="1" x14ac:dyDescent="0.2">
      <c r="B8693" s="11" t="s">
        <v>2601</v>
      </c>
      <c r="C8693" s="17"/>
      <c r="D8693" s="2"/>
    </row>
    <row r="8694" spans="1:4" ht="12.75" customHeight="1" x14ac:dyDescent="0.2">
      <c r="B8694" s="11" t="s">
        <v>16</v>
      </c>
      <c r="C8694" s="17"/>
      <c r="D8694" s="2"/>
    </row>
    <row r="8695" spans="1:4" ht="12.75" customHeight="1" x14ac:dyDescent="0.2">
      <c r="B8695" s="11" t="s">
        <v>13</v>
      </c>
      <c r="C8695" s="17" t="s">
        <v>2602</v>
      </c>
      <c r="D8695" s="2"/>
    </row>
    <row r="8696" spans="1:4" ht="25.5" customHeight="1" x14ac:dyDescent="0.2">
      <c r="B8696" s="11" t="s">
        <v>2603</v>
      </c>
      <c r="C8696" s="17" t="s">
        <v>2971</v>
      </c>
      <c r="D8696" s="2"/>
    </row>
    <row r="8697" spans="1:4" ht="12.75" customHeight="1" x14ac:dyDescent="0.2">
      <c r="B8697" s="11" t="s">
        <v>2605</v>
      </c>
      <c r="C8697" s="17" t="s">
        <v>14</v>
      </c>
      <c r="D8697" s="2"/>
    </row>
    <row r="8698" spans="1:4" ht="12.75" customHeight="1" x14ac:dyDescent="0.2">
      <c r="B8698" s="11" t="s">
        <v>2606</v>
      </c>
      <c r="C8698" s="16" t="s">
        <v>19</v>
      </c>
      <c r="D8698" s="2"/>
    </row>
    <row r="8699" spans="1:4" ht="12.75" customHeight="1" x14ac:dyDescent="0.2">
      <c r="B8699" s="2"/>
      <c r="C8699" s="15"/>
      <c r="D8699" s="2"/>
    </row>
    <row r="8700" spans="1:4" ht="12.75" customHeight="1" x14ac:dyDescent="0.2">
      <c r="B8700" s="2"/>
      <c r="C8700" s="15"/>
      <c r="D8700" s="2"/>
    </row>
    <row r="8701" spans="1:4" ht="12.75" customHeight="1" x14ac:dyDescent="0.2">
      <c r="A8701" s="13" t="s">
        <v>3846</v>
      </c>
      <c r="C8701" s="12"/>
      <c r="D8701" s="2"/>
    </row>
    <row r="8702" spans="1:4" ht="12.75" customHeight="1" x14ac:dyDescent="0.2">
      <c r="A8702" s="11"/>
      <c r="B8702" s="2"/>
      <c r="C8702" s="15"/>
      <c r="D8702" s="2"/>
    </row>
    <row r="8703" spans="1:4" ht="12.75" customHeight="1" x14ac:dyDescent="0.2">
      <c r="B8703" s="11" t="s">
        <v>0</v>
      </c>
      <c r="C8703" s="17" t="s">
        <v>167</v>
      </c>
      <c r="D8703" s="2"/>
    </row>
    <row r="8704" spans="1:4" ht="12.75" customHeight="1" x14ac:dyDescent="0.2">
      <c r="B8704" s="11" t="s">
        <v>2599</v>
      </c>
      <c r="C8704" s="17" t="s">
        <v>3847</v>
      </c>
      <c r="D8704" s="2"/>
    </row>
    <row r="8705" spans="1:4" ht="25.5" customHeight="1" x14ac:dyDescent="0.2">
      <c r="B8705" s="11" t="s">
        <v>2600</v>
      </c>
      <c r="C8705" s="17" t="s">
        <v>3944</v>
      </c>
      <c r="D8705" s="2"/>
    </row>
    <row r="8706" spans="1:4" ht="25.5" customHeight="1" x14ac:dyDescent="0.2">
      <c r="B8706" s="11" t="s">
        <v>2601</v>
      </c>
      <c r="C8706" s="17"/>
      <c r="D8706" s="2"/>
    </row>
    <row r="8707" spans="1:4" ht="12.75" customHeight="1" x14ac:dyDescent="0.2">
      <c r="B8707" s="11" t="s">
        <v>16</v>
      </c>
      <c r="C8707" s="17"/>
      <c r="D8707" s="2"/>
    </row>
    <row r="8708" spans="1:4" ht="12.75" customHeight="1" x14ac:dyDescent="0.2">
      <c r="B8708" s="11" t="s">
        <v>13</v>
      </c>
      <c r="C8708" s="17" t="s">
        <v>2602</v>
      </c>
      <c r="D8708" s="2"/>
    </row>
    <row r="8709" spans="1:4" ht="25.5" customHeight="1" x14ac:dyDescent="0.2">
      <c r="B8709" s="11" t="s">
        <v>2603</v>
      </c>
      <c r="C8709" s="17" t="s">
        <v>2971</v>
      </c>
      <c r="D8709" s="2"/>
    </row>
    <row r="8710" spans="1:4" ht="12.75" customHeight="1" x14ac:dyDescent="0.2">
      <c r="B8710" s="11" t="s">
        <v>2605</v>
      </c>
      <c r="C8710" s="17" t="s">
        <v>14</v>
      </c>
      <c r="D8710" s="2"/>
    </row>
    <row r="8711" spans="1:4" ht="12.75" customHeight="1" x14ac:dyDescent="0.2">
      <c r="B8711" s="11" t="s">
        <v>2606</v>
      </c>
      <c r="C8711" s="16" t="s">
        <v>19</v>
      </c>
      <c r="D8711" s="2"/>
    </row>
    <row r="8712" spans="1:4" ht="12.75" customHeight="1" x14ac:dyDescent="0.2">
      <c r="B8712" s="2"/>
      <c r="C8712" s="15"/>
      <c r="D8712" s="2"/>
    </row>
    <row r="8713" spans="1:4" ht="12.75" customHeight="1" x14ac:dyDescent="0.2">
      <c r="B8713" s="2"/>
      <c r="C8713" s="15"/>
      <c r="D8713" s="2"/>
    </row>
    <row r="8714" spans="1:4" ht="12.75" customHeight="1" x14ac:dyDescent="0.2">
      <c r="A8714" s="13" t="s">
        <v>3849</v>
      </c>
      <c r="C8714" s="12"/>
      <c r="D8714" s="2"/>
    </row>
    <row r="8715" spans="1:4" ht="12.75" customHeight="1" x14ac:dyDescent="0.2">
      <c r="A8715" s="11"/>
      <c r="B8715" s="2"/>
      <c r="C8715" s="15"/>
      <c r="D8715" s="2"/>
    </row>
    <row r="8716" spans="1:4" ht="12.75" customHeight="1" x14ac:dyDescent="0.2">
      <c r="B8716" s="11" t="s">
        <v>0</v>
      </c>
      <c r="C8716" s="17" t="s">
        <v>167</v>
      </c>
      <c r="D8716" s="2"/>
    </row>
    <row r="8717" spans="1:4" ht="12.75" customHeight="1" x14ac:dyDescent="0.2">
      <c r="B8717" s="11" t="s">
        <v>2599</v>
      </c>
      <c r="C8717" s="17" t="s">
        <v>3850</v>
      </c>
      <c r="D8717" s="2"/>
    </row>
    <row r="8718" spans="1:4" ht="25.5" customHeight="1" x14ac:dyDescent="0.2">
      <c r="B8718" s="11" t="s">
        <v>2600</v>
      </c>
      <c r="C8718" s="17" t="s">
        <v>3945</v>
      </c>
      <c r="D8718" s="2"/>
    </row>
    <row r="8719" spans="1:4" ht="25.5" customHeight="1" x14ac:dyDescent="0.2">
      <c r="B8719" s="11" t="s">
        <v>2601</v>
      </c>
      <c r="C8719" s="17"/>
      <c r="D8719" s="2"/>
    </row>
    <row r="8720" spans="1:4" ht="12.75" customHeight="1" x14ac:dyDescent="0.2">
      <c r="B8720" s="11" t="s">
        <v>16</v>
      </c>
      <c r="C8720" s="17"/>
      <c r="D8720" s="2"/>
    </row>
    <row r="8721" spans="1:4" ht="12.75" customHeight="1" x14ac:dyDescent="0.2">
      <c r="B8721" s="11" t="s">
        <v>13</v>
      </c>
      <c r="C8721" s="17" t="s">
        <v>2644</v>
      </c>
      <c r="D8721" s="2"/>
    </row>
    <row r="8722" spans="1:4" ht="25.5" customHeight="1" x14ac:dyDescent="0.2">
      <c r="B8722" s="11" t="s">
        <v>2603</v>
      </c>
      <c r="C8722" s="17" t="s">
        <v>2971</v>
      </c>
      <c r="D8722" s="2"/>
    </row>
    <row r="8723" spans="1:4" ht="12.75" customHeight="1" x14ac:dyDescent="0.2">
      <c r="B8723" s="11" t="s">
        <v>2605</v>
      </c>
      <c r="C8723" s="17" t="s">
        <v>14</v>
      </c>
      <c r="D8723" s="2"/>
    </row>
    <row r="8724" spans="1:4" ht="12.75" customHeight="1" x14ac:dyDescent="0.2">
      <c r="B8724" s="11" t="s">
        <v>2606</v>
      </c>
      <c r="C8724" s="16" t="s">
        <v>19</v>
      </c>
      <c r="D8724" s="2"/>
    </row>
    <row r="8725" spans="1:4" ht="12.75" customHeight="1" x14ac:dyDescent="0.2">
      <c r="B8725" s="2"/>
      <c r="C8725" s="15"/>
      <c r="D8725" s="2"/>
    </row>
    <row r="8726" spans="1:4" ht="12.75" customHeight="1" x14ac:dyDescent="0.2">
      <c r="B8726" s="2"/>
      <c r="C8726" s="15"/>
      <c r="D8726" s="2"/>
    </row>
    <row r="8727" spans="1:4" ht="12.75" customHeight="1" x14ac:dyDescent="0.2">
      <c r="A8727" s="13" t="s">
        <v>3946</v>
      </c>
      <c r="C8727" s="12"/>
    </row>
    <row r="8728" spans="1:4" ht="12.75" customHeight="1" x14ac:dyDescent="0.2">
      <c r="A8728" s="11"/>
      <c r="B8728" s="2"/>
      <c r="C8728" s="15"/>
      <c r="D8728" s="2"/>
    </row>
    <row r="8729" spans="1:4" ht="12.75" customHeight="1" x14ac:dyDescent="0.2">
      <c r="B8729" s="11" t="s">
        <v>0</v>
      </c>
      <c r="C8729" s="11" t="s">
        <v>167</v>
      </c>
    </row>
    <row r="8730" spans="1:4" ht="12.75" customHeight="1" x14ac:dyDescent="0.2">
      <c r="B8730" s="11" t="s">
        <v>2599</v>
      </c>
      <c r="C8730" s="11" t="s">
        <v>3437</v>
      </c>
    </row>
    <row r="8731" spans="1:4" ht="25.5" customHeight="1" x14ac:dyDescent="0.2">
      <c r="B8731" s="11" t="s">
        <v>2600</v>
      </c>
      <c r="C8731" s="11" t="s">
        <v>3947</v>
      </c>
    </row>
    <row r="8732" spans="1:4" ht="25.5" customHeight="1" x14ac:dyDescent="0.2">
      <c r="B8732" s="11" t="s">
        <v>2601</v>
      </c>
      <c r="C8732" s="11"/>
    </row>
    <row r="8733" spans="1:4" ht="12.75" customHeight="1" x14ac:dyDescent="0.2">
      <c r="B8733" s="11" t="s">
        <v>16</v>
      </c>
      <c r="C8733" s="11"/>
    </row>
    <row r="8734" spans="1:4" ht="12.75" customHeight="1" x14ac:dyDescent="0.2">
      <c r="B8734" s="11" t="s">
        <v>13</v>
      </c>
      <c r="C8734" s="11" t="s">
        <v>2602</v>
      </c>
    </row>
    <row r="8735" spans="1:4" ht="12.75" customHeight="1" x14ac:dyDescent="0.2">
      <c r="B8735" s="11" t="s">
        <v>2603</v>
      </c>
      <c r="C8735" s="11" t="s">
        <v>2604</v>
      </c>
    </row>
    <row r="8736" spans="1:4" ht="12.75" customHeight="1" x14ac:dyDescent="0.2">
      <c r="B8736" s="11" t="s">
        <v>2605</v>
      </c>
      <c r="C8736" s="11" t="s">
        <v>24</v>
      </c>
    </row>
    <row r="8737" spans="1:4" ht="12.75" customHeight="1" x14ac:dyDescent="0.2">
      <c r="B8737" s="11" t="s">
        <v>2606</v>
      </c>
      <c r="C8737" s="16" t="s">
        <v>117</v>
      </c>
      <c r="D8737" s="6" t="str">
        <f>HYPERLINK("javascript:void(0)","kincs")</f>
        <v>kincs</v>
      </c>
    </row>
    <row r="8738" spans="1:4" ht="12.75" customHeight="1" x14ac:dyDescent="0.2">
      <c r="B8738" s="2"/>
      <c r="C8738" s="15"/>
      <c r="D8738" s="2"/>
    </row>
    <row r="8739" spans="1:4" ht="12.75" customHeight="1" x14ac:dyDescent="0.2">
      <c r="B8739" s="2"/>
      <c r="C8739" s="15"/>
      <c r="D8739" s="2"/>
    </row>
    <row r="8740" spans="1:4" ht="12.75" customHeight="1" x14ac:dyDescent="0.2">
      <c r="A8740" s="13" t="s">
        <v>3948</v>
      </c>
      <c r="C8740" s="12"/>
    </row>
    <row r="8741" spans="1:4" ht="12.75" customHeight="1" x14ac:dyDescent="0.2">
      <c r="A8741" s="11"/>
      <c r="B8741" s="2"/>
      <c r="C8741" s="15"/>
      <c r="D8741" s="2"/>
    </row>
    <row r="8742" spans="1:4" ht="12.75" customHeight="1" x14ac:dyDescent="0.2">
      <c r="B8742" s="11" t="s">
        <v>0</v>
      </c>
      <c r="C8742" s="11" t="s">
        <v>167</v>
      </c>
    </row>
    <row r="8743" spans="1:4" ht="12.75" customHeight="1" x14ac:dyDescent="0.2">
      <c r="B8743" s="11" t="s">
        <v>2599</v>
      </c>
      <c r="C8743" s="11" t="s">
        <v>3949</v>
      </c>
    </row>
    <row r="8744" spans="1:4" ht="25.5" customHeight="1" x14ac:dyDescent="0.2">
      <c r="B8744" s="11" t="s">
        <v>2600</v>
      </c>
      <c r="C8744" s="11" t="s">
        <v>3950</v>
      </c>
    </row>
    <row r="8745" spans="1:4" ht="25.5" customHeight="1" x14ac:dyDescent="0.2">
      <c r="B8745" s="11" t="s">
        <v>2601</v>
      </c>
      <c r="C8745" s="11"/>
    </row>
    <row r="8746" spans="1:4" ht="12.75" customHeight="1" x14ac:dyDescent="0.2">
      <c r="B8746" s="11" t="s">
        <v>16</v>
      </c>
      <c r="C8746" s="11"/>
    </row>
    <row r="8747" spans="1:4" ht="12.75" customHeight="1" x14ac:dyDescent="0.2">
      <c r="B8747" s="11" t="s">
        <v>13</v>
      </c>
      <c r="C8747" s="11" t="s">
        <v>2644</v>
      </c>
    </row>
    <row r="8748" spans="1:4" ht="12.75" customHeight="1" x14ac:dyDescent="0.2">
      <c r="B8748" s="11" t="s">
        <v>2603</v>
      </c>
      <c r="C8748" s="11" t="s">
        <v>2604</v>
      </c>
    </row>
    <row r="8749" spans="1:4" ht="12.75" customHeight="1" x14ac:dyDescent="0.2">
      <c r="B8749" s="11" t="s">
        <v>2605</v>
      </c>
      <c r="C8749" s="11" t="s">
        <v>24</v>
      </c>
    </row>
    <row r="8750" spans="1:4" ht="12.75" customHeight="1" x14ac:dyDescent="0.2">
      <c r="B8750" s="11" t="s">
        <v>2606</v>
      </c>
      <c r="C8750" s="16" t="s">
        <v>44</v>
      </c>
      <c r="D8750" s="6" t="str">
        <f>HYPERLINK("javascript:void(0)","melegige")</f>
        <v>melegige</v>
      </c>
    </row>
    <row r="8751" spans="1:4" ht="25.5" customHeight="1" x14ac:dyDescent="0.2">
      <c r="C8751" s="16" t="s">
        <v>56</v>
      </c>
      <c r="D8751" s="6" t="str">
        <f>HYPERLINK("javascript:void(0)","elementál eszencia")</f>
        <v>elementál eszencia</v>
      </c>
    </row>
    <row r="8752" spans="1:4" ht="12.75" customHeight="1" x14ac:dyDescent="0.2">
      <c r="B8752" s="2"/>
      <c r="C8752" s="15"/>
      <c r="D8752" s="2"/>
    </row>
    <row r="8753" spans="1:4" ht="12.75" customHeight="1" x14ac:dyDescent="0.2">
      <c r="B8753" s="2"/>
      <c r="C8753" s="15"/>
      <c r="D8753" s="2"/>
    </row>
    <row r="8754" spans="1:4" ht="12.75" customHeight="1" x14ac:dyDescent="0.2">
      <c r="A8754" s="13" t="s">
        <v>3951</v>
      </c>
      <c r="C8754" s="12"/>
    </row>
    <row r="8755" spans="1:4" ht="12.75" customHeight="1" x14ac:dyDescent="0.2">
      <c r="A8755" s="11"/>
      <c r="B8755" s="2"/>
      <c r="C8755" s="15"/>
      <c r="D8755" s="2"/>
    </row>
    <row r="8756" spans="1:4" ht="12.75" customHeight="1" x14ac:dyDescent="0.2">
      <c r="B8756" s="11" t="s">
        <v>0</v>
      </c>
      <c r="C8756" s="11" t="s">
        <v>167</v>
      </c>
    </row>
    <row r="8757" spans="1:4" ht="12.75" customHeight="1" x14ac:dyDescent="0.2">
      <c r="B8757" s="11" t="s">
        <v>2599</v>
      </c>
      <c r="C8757" s="11" t="s">
        <v>3952</v>
      </c>
    </row>
    <row r="8758" spans="1:4" ht="25.5" customHeight="1" x14ac:dyDescent="0.2">
      <c r="B8758" s="11" t="s">
        <v>2600</v>
      </c>
      <c r="C8758" s="11" t="s">
        <v>3953</v>
      </c>
    </row>
    <row r="8759" spans="1:4" ht="25.5" customHeight="1" x14ac:dyDescent="0.2">
      <c r="B8759" s="11" t="s">
        <v>2601</v>
      </c>
      <c r="C8759" s="11"/>
    </row>
    <row r="8760" spans="1:4" ht="12.75" customHeight="1" x14ac:dyDescent="0.2">
      <c r="B8760" s="11" t="s">
        <v>16</v>
      </c>
      <c r="C8760" s="11"/>
    </row>
    <row r="8761" spans="1:4" ht="12.75" customHeight="1" x14ac:dyDescent="0.2">
      <c r="B8761" s="11" t="s">
        <v>13</v>
      </c>
      <c r="C8761" s="11" t="s">
        <v>2602</v>
      </c>
    </row>
    <row r="8762" spans="1:4" ht="12.75" customHeight="1" x14ac:dyDescent="0.2">
      <c r="B8762" s="11" t="s">
        <v>2603</v>
      </c>
      <c r="C8762" s="11" t="s">
        <v>2604</v>
      </c>
    </row>
    <row r="8763" spans="1:4" ht="12.75" customHeight="1" x14ac:dyDescent="0.2">
      <c r="B8763" s="11" t="s">
        <v>2605</v>
      </c>
      <c r="C8763" s="11" t="s">
        <v>24</v>
      </c>
    </row>
    <row r="8764" spans="1:4" ht="12.75" customHeight="1" x14ac:dyDescent="0.2">
      <c r="B8764" s="11" t="s">
        <v>2606</v>
      </c>
      <c r="C8764" s="16" t="s">
        <v>44</v>
      </c>
      <c r="D8764" s="6" t="str">
        <f>HYPERLINK("javascript:void(0)","lovagi kard")</f>
        <v>lovagi kard</v>
      </c>
    </row>
    <row r="8765" spans="1:4" ht="12.75" customHeight="1" x14ac:dyDescent="0.2">
      <c r="C8765" s="16" t="s">
        <v>232</v>
      </c>
      <c r="D8765" s="6" t="str">
        <f>HYPERLINK("javascript:void(0)","kincs")</f>
        <v>kincs</v>
      </c>
    </row>
    <row r="8766" spans="1:4" ht="12.75" customHeight="1" x14ac:dyDescent="0.2">
      <c r="B8766" s="2"/>
      <c r="C8766" s="15"/>
      <c r="D8766" s="2"/>
    </row>
    <row r="8767" spans="1:4" ht="12.75" customHeight="1" x14ac:dyDescent="0.2">
      <c r="B8767" s="2"/>
      <c r="C8767" s="15"/>
      <c r="D8767" s="2"/>
    </row>
    <row r="8768" spans="1:4" ht="12.75" customHeight="1" x14ac:dyDescent="0.2">
      <c r="A8768" s="13" t="s">
        <v>3954</v>
      </c>
      <c r="C8768" s="12"/>
    </row>
    <row r="8769" spans="1:4" ht="12.75" customHeight="1" x14ac:dyDescent="0.2">
      <c r="A8769" s="11"/>
      <c r="B8769" s="2"/>
      <c r="C8769" s="15"/>
      <c r="D8769" s="2"/>
    </row>
    <row r="8770" spans="1:4" ht="12.75" customHeight="1" x14ac:dyDescent="0.2">
      <c r="B8770" s="11" t="s">
        <v>0</v>
      </c>
      <c r="C8770" s="11" t="s">
        <v>167</v>
      </c>
    </row>
    <row r="8771" spans="1:4" ht="12.75" customHeight="1" x14ac:dyDescent="0.2">
      <c r="B8771" s="11" t="s">
        <v>2599</v>
      </c>
      <c r="C8771" s="11" t="s">
        <v>3955</v>
      </c>
    </row>
    <row r="8772" spans="1:4" ht="25.5" customHeight="1" x14ac:dyDescent="0.2">
      <c r="B8772" s="11" t="s">
        <v>2600</v>
      </c>
      <c r="C8772" s="11" t="s">
        <v>3956</v>
      </c>
    </row>
    <row r="8773" spans="1:4" ht="25.5" customHeight="1" x14ac:dyDescent="0.2">
      <c r="B8773" s="11" t="s">
        <v>2601</v>
      </c>
      <c r="C8773" s="11"/>
    </row>
    <row r="8774" spans="1:4" ht="12.75" customHeight="1" x14ac:dyDescent="0.2">
      <c r="B8774" s="11" t="s">
        <v>16</v>
      </c>
      <c r="C8774" s="11"/>
    </row>
    <row r="8775" spans="1:4" ht="12.75" customHeight="1" x14ac:dyDescent="0.2">
      <c r="B8775" s="11" t="s">
        <v>13</v>
      </c>
      <c r="C8775" s="11" t="s">
        <v>2602</v>
      </c>
    </row>
    <row r="8776" spans="1:4" ht="12.75" customHeight="1" x14ac:dyDescent="0.2">
      <c r="B8776" s="11" t="s">
        <v>2603</v>
      </c>
      <c r="C8776" s="11" t="s">
        <v>2604</v>
      </c>
    </row>
    <row r="8777" spans="1:4" ht="12.75" customHeight="1" x14ac:dyDescent="0.2">
      <c r="B8777" s="11" t="s">
        <v>2605</v>
      </c>
      <c r="C8777" s="11" t="s">
        <v>24</v>
      </c>
    </row>
    <row r="8778" spans="1:4" ht="12.75" customHeight="1" x14ac:dyDescent="0.2">
      <c r="B8778" s="11" t="s">
        <v>2606</v>
      </c>
      <c r="C8778" s="16" t="s">
        <v>44</v>
      </c>
      <c r="D8778" s="6" t="str">
        <f>HYPERLINK("javascript:void(0)","űrlap")</f>
        <v>űrlap</v>
      </c>
    </row>
    <row r="8779" spans="1:4" ht="12.75" customHeight="1" x14ac:dyDescent="0.2">
      <c r="C8779" s="16" t="s">
        <v>68</v>
      </c>
      <c r="D8779" s="6" t="str">
        <f>HYPERLINK("javascript:void(0)","kincs")</f>
        <v>kincs</v>
      </c>
    </row>
    <row r="8780" spans="1:4" ht="12.75" customHeight="1" x14ac:dyDescent="0.2">
      <c r="B8780" s="2"/>
      <c r="C8780" s="15"/>
      <c r="D8780" s="2"/>
    </row>
    <row r="8781" spans="1:4" ht="12.75" customHeight="1" x14ac:dyDescent="0.2">
      <c r="B8781" s="2"/>
      <c r="C8781" s="15"/>
      <c r="D8781" s="2"/>
    </row>
    <row r="8782" spans="1:4" ht="12.75" customHeight="1" x14ac:dyDescent="0.2">
      <c r="A8782" s="13" t="s">
        <v>3957</v>
      </c>
      <c r="C8782" s="12"/>
    </row>
    <row r="8783" spans="1:4" ht="12.75" customHeight="1" x14ac:dyDescent="0.2">
      <c r="A8783" s="11"/>
      <c r="B8783" s="2"/>
      <c r="C8783" s="15"/>
      <c r="D8783" s="2"/>
    </row>
    <row r="8784" spans="1:4" ht="12.75" customHeight="1" x14ac:dyDescent="0.2">
      <c r="B8784" s="11" t="s">
        <v>0</v>
      </c>
      <c r="C8784" s="11" t="s">
        <v>167</v>
      </c>
    </row>
    <row r="8785" spans="1:4" ht="12.75" customHeight="1" x14ac:dyDescent="0.2">
      <c r="B8785" s="11" t="s">
        <v>2599</v>
      </c>
      <c r="C8785" s="11" t="s">
        <v>3958</v>
      </c>
    </row>
    <row r="8786" spans="1:4" ht="25.5" customHeight="1" x14ac:dyDescent="0.2">
      <c r="B8786" s="11" t="s">
        <v>2600</v>
      </c>
      <c r="C8786" s="11" t="s">
        <v>3959</v>
      </c>
    </row>
    <row r="8787" spans="1:4" ht="25.5" customHeight="1" x14ac:dyDescent="0.2">
      <c r="B8787" s="11" t="s">
        <v>2601</v>
      </c>
      <c r="C8787" s="11"/>
    </row>
    <row r="8788" spans="1:4" ht="12.75" customHeight="1" x14ac:dyDescent="0.2">
      <c r="B8788" s="11" t="s">
        <v>16</v>
      </c>
      <c r="C8788" s="11"/>
    </row>
    <row r="8789" spans="1:4" ht="12.75" customHeight="1" x14ac:dyDescent="0.2">
      <c r="B8789" s="11" t="s">
        <v>13</v>
      </c>
      <c r="C8789" s="11" t="s">
        <v>2602</v>
      </c>
    </row>
    <row r="8790" spans="1:4" ht="12.75" customHeight="1" x14ac:dyDescent="0.2">
      <c r="B8790" s="11" t="s">
        <v>2603</v>
      </c>
      <c r="C8790" s="11" t="s">
        <v>2604</v>
      </c>
    </row>
    <row r="8791" spans="1:4" ht="12.75" customHeight="1" x14ac:dyDescent="0.2">
      <c r="B8791" s="11" t="s">
        <v>2605</v>
      </c>
      <c r="C8791" s="11" t="s">
        <v>24</v>
      </c>
    </row>
    <row r="8792" spans="1:4" ht="12.75" customHeight="1" x14ac:dyDescent="0.2">
      <c r="B8792" s="11" t="s">
        <v>2606</v>
      </c>
      <c r="C8792" s="16" t="s">
        <v>56</v>
      </c>
      <c r="D8792" s="6" t="str">
        <f>HYPERLINK("javascript:void(0)","rotorlapát")</f>
        <v>rotorlapát</v>
      </c>
    </row>
    <row r="8793" spans="1:4" ht="12.75" customHeight="1" x14ac:dyDescent="0.2">
      <c r="C8793" s="16" t="s">
        <v>44</v>
      </c>
      <c r="D8793" s="6" t="str">
        <f>HYPERLINK("javascript:void(0)","mágusbot")</f>
        <v>mágusbot</v>
      </c>
    </row>
    <row r="8794" spans="1:4" ht="12.75" customHeight="1" x14ac:dyDescent="0.2">
      <c r="B8794" s="2"/>
      <c r="C8794" s="15"/>
      <c r="D8794" s="2"/>
    </row>
    <row r="8795" spans="1:4" ht="12.75" customHeight="1" x14ac:dyDescent="0.2">
      <c r="B8795" s="2"/>
      <c r="C8795" s="15"/>
      <c r="D8795" s="2"/>
    </row>
    <row r="8796" spans="1:4" ht="12.75" customHeight="1" x14ac:dyDescent="0.2">
      <c r="A8796" s="13" t="s">
        <v>3960</v>
      </c>
      <c r="C8796" s="12"/>
      <c r="D8796" s="2"/>
    </row>
    <row r="8797" spans="1:4" ht="12.75" customHeight="1" x14ac:dyDescent="0.2">
      <c r="A8797" s="11"/>
      <c r="B8797" s="2"/>
      <c r="C8797" s="15"/>
      <c r="D8797" s="2"/>
    </row>
    <row r="8798" spans="1:4" ht="12.75" customHeight="1" x14ac:dyDescent="0.2">
      <c r="B8798" s="11" t="s">
        <v>0</v>
      </c>
      <c r="C8798" s="17" t="s">
        <v>167</v>
      </c>
      <c r="D8798" s="2"/>
    </row>
    <row r="8799" spans="1:4" ht="12.75" customHeight="1" x14ac:dyDescent="0.2">
      <c r="B8799" s="11" t="s">
        <v>2599</v>
      </c>
      <c r="C8799" s="17" t="s">
        <v>3754</v>
      </c>
      <c r="D8799" s="2"/>
    </row>
    <row r="8800" spans="1:4" ht="25.5" customHeight="1" x14ac:dyDescent="0.2">
      <c r="B8800" s="11" t="s">
        <v>2600</v>
      </c>
      <c r="C8800" s="17" t="s">
        <v>3961</v>
      </c>
      <c r="D8800" s="2"/>
    </row>
    <row r="8801" spans="1:4" ht="25.5" customHeight="1" x14ac:dyDescent="0.2">
      <c r="B8801" s="11" t="s">
        <v>2601</v>
      </c>
      <c r="C8801" s="17"/>
      <c r="D8801" s="2"/>
    </row>
    <row r="8802" spans="1:4" ht="12.75" customHeight="1" x14ac:dyDescent="0.2">
      <c r="B8802" s="11" t="s">
        <v>16</v>
      </c>
      <c r="C8802" s="17"/>
      <c r="D8802" s="2"/>
    </row>
    <row r="8803" spans="1:4" ht="12.75" customHeight="1" x14ac:dyDescent="0.2">
      <c r="B8803" s="11" t="s">
        <v>13</v>
      </c>
      <c r="C8803" s="17" t="s">
        <v>2644</v>
      </c>
      <c r="D8803" s="2"/>
    </row>
    <row r="8804" spans="1:4" ht="12.75" customHeight="1" x14ac:dyDescent="0.2">
      <c r="B8804" s="11" t="s">
        <v>2603</v>
      </c>
      <c r="C8804" s="17" t="s">
        <v>2604</v>
      </c>
      <c r="D8804" s="2"/>
    </row>
    <row r="8805" spans="1:4" ht="12.75" customHeight="1" x14ac:dyDescent="0.2">
      <c r="B8805" s="11" t="s">
        <v>2605</v>
      </c>
      <c r="C8805" s="17" t="s">
        <v>24</v>
      </c>
      <c r="D8805" s="2"/>
    </row>
    <row r="8806" spans="1:4" ht="12.75" customHeight="1" x14ac:dyDescent="0.2">
      <c r="B8806" s="11" t="s">
        <v>2606</v>
      </c>
      <c r="C8806" s="16" t="s">
        <v>19</v>
      </c>
      <c r="D8806" s="2"/>
    </row>
    <row r="8807" spans="1:4" ht="12.75" customHeight="1" x14ac:dyDescent="0.2">
      <c r="B8807" s="2"/>
      <c r="C8807" s="15"/>
      <c r="D8807" s="2"/>
    </row>
    <row r="8808" spans="1:4" ht="12.75" customHeight="1" x14ac:dyDescent="0.2">
      <c r="B8808" s="2"/>
      <c r="C8808" s="15"/>
      <c r="D8808" s="2"/>
    </row>
    <row r="8809" spans="1:4" ht="12.75" customHeight="1" x14ac:dyDescent="0.2">
      <c r="A8809" s="13" t="s">
        <v>3962</v>
      </c>
      <c r="C8809" s="12"/>
    </row>
    <row r="8810" spans="1:4" ht="12.75" customHeight="1" x14ac:dyDescent="0.2">
      <c r="A8810" s="11"/>
      <c r="B8810" s="2"/>
      <c r="C8810" s="15"/>
      <c r="D8810" s="2"/>
    </row>
    <row r="8811" spans="1:4" ht="12.75" customHeight="1" x14ac:dyDescent="0.2">
      <c r="B8811" s="11" t="s">
        <v>0</v>
      </c>
      <c r="C8811" s="11" t="s">
        <v>167</v>
      </c>
    </row>
    <row r="8812" spans="1:4" ht="12.75" customHeight="1" x14ac:dyDescent="0.2">
      <c r="B8812" s="11" t="s">
        <v>2599</v>
      </c>
      <c r="C8812" s="11" t="s">
        <v>3963</v>
      </c>
    </row>
    <row r="8813" spans="1:4" ht="25.5" customHeight="1" x14ac:dyDescent="0.2">
      <c r="B8813" s="11" t="s">
        <v>2600</v>
      </c>
      <c r="C8813" s="11" t="s">
        <v>3964</v>
      </c>
    </row>
    <row r="8814" spans="1:4" ht="25.5" customHeight="1" x14ac:dyDescent="0.2">
      <c r="B8814" s="11" t="s">
        <v>2601</v>
      </c>
      <c r="C8814" s="11"/>
    </row>
    <row r="8815" spans="1:4" ht="12.75" customHeight="1" x14ac:dyDescent="0.2">
      <c r="B8815" s="11" t="s">
        <v>16</v>
      </c>
      <c r="C8815" s="11"/>
    </row>
    <row r="8816" spans="1:4" ht="12.75" customHeight="1" x14ac:dyDescent="0.2">
      <c r="B8816" s="11" t="s">
        <v>13</v>
      </c>
      <c r="C8816" s="11" t="s">
        <v>2644</v>
      </c>
    </row>
    <row r="8817" spans="1:4" ht="12.75" customHeight="1" x14ac:dyDescent="0.2">
      <c r="B8817" s="11" t="s">
        <v>2603</v>
      </c>
      <c r="C8817" s="11" t="s">
        <v>2604</v>
      </c>
    </row>
    <row r="8818" spans="1:4" ht="12.75" customHeight="1" x14ac:dyDescent="0.2">
      <c r="B8818" s="11" t="s">
        <v>2605</v>
      </c>
      <c r="C8818" s="11" t="s">
        <v>24</v>
      </c>
    </row>
    <row r="8819" spans="1:4" ht="12.75" customHeight="1" x14ac:dyDescent="0.2">
      <c r="B8819" s="11" t="s">
        <v>2606</v>
      </c>
      <c r="C8819" s="16" t="s">
        <v>67</v>
      </c>
      <c r="D8819" s="6" t="str">
        <f>HYPERLINK("javascript:void(0)","kincs")</f>
        <v>kincs</v>
      </c>
    </row>
    <row r="8820" spans="1:4" ht="12.75" customHeight="1" x14ac:dyDescent="0.2">
      <c r="B8820" s="2"/>
      <c r="C8820" s="15"/>
      <c r="D8820" s="2"/>
    </row>
    <row r="8821" spans="1:4" ht="12.75" customHeight="1" x14ac:dyDescent="0.2">
      <c r="B8821" s="2"/>
      <c r="C8821" s="15"/>
      <c r="D8821" s="2"/>
    </row>
    <row r="8822" spans="1:4" ht="12.75" customHeight="1" x14ac:dyDescent="0.2">
      <c r="A8822" s="13" t="s">
        <v>3965</v>
      </c>
      <c r="C8822" s="12"/>
    </row>
    <row r="8823" spans="1:4" ht="12.75" customHeight="1" x14ac:dyDescent="0.2">
      <c r="A8823" s="11"/>
      <c r="B8823" s="2"/>
      <c r="C8823" s="15"/>
      <c r="D8823" s="2"/>
    </row>
    <row r="8824" spans="1:4" ht="12.75" customHeight="1" x14ac:dyDescent="0.2">
      <c r="B8824" s="11" t="s">
        <v>0</v>
      </c>
      <c r="C8824" s="11" t="s">
        <v>167</v>
      </c>
    </row>
    <row r="8825" spans="1:4" ht="12.75" customHeight="1" x14ac:dyDescent="0.2">
      <c r="B8825" s="11" t="s">
        <v>2599</v>
      </c>
      <c r="C8825" s="11" t="s">
        <v>572</v>
      </c>
    </row>
    <row r="8826" spans="1:4" ht="25.5" customHeight="1" x14ac:dyDescent="0.2">
      <c r="B8826" s="11" t="s">
        <v>2600</v>
      </c>
      <c r="C8826" s="11" t="s">
        <v>3912</v>
      </c>
    </row>
    <row r="8827" spans="1:4" ht="25.5" customHeight="1" x14ac:dyDescent="0.2">
      <c r="B8827" s="11" t="s">
        <v>2601</v>
      </c>
      <c r="C8827" s="11"/>
    </row>
    <row r="8828" spans="1:4" ht="12.75" customHeight="1" x14ac:dyDescent="0.2">
      <c r="B8828" s="11" t="s">
        <v>16</v>
      </c>
      <c r="C8828" s="11"/>
    </row>
    <row r="8829" spans="1:4" ht="12.75" customHeight="1" x14ac:dyDescent="0.2">
      <c r="B8829" s="11" t="s">
        <v>13</v>
      </c>
      <c r="C8829" s="11" t="s">
        <v>2644</v>
      </c>
    </row>
    <row r="8830" spans="1:4" ht="12.75" customHeight="1" x14ac:dyDescent="0.2">
      <c r="B8830" s="11" t="s">
        <v>2603</v>
      </c>
      <c r="C8830" s="11" t="s">
        <v>2604</v>
      </c>
    </row>
    <row r="8831" spans="1:4" ht="12.75" customHeight="1" x14ac:dyDescent="0.2">
      <c r="B8831" s="11" t="s">
        <v>2605</v>
      </c>
      <c r="C8831" s="11" t="s">
        <v>24</v>
      </c>
    </row>
    <row r="8832" spans="1:4" ht="12.75" customHeight="1" x14ac:dyDescent="0.2">
      <c r="B8832" s="11" t="s">
        <v>2606</v>
      </c>
      <c r="C8832" s="16" t="s">
        <v>44</v>
      </c>
      <c r="D8832" s="6" t="str">
        <f>HYPERLINK("javascript:void(0)","sejtmag")</f>
        <v>sejtmag</v>
      </c>
    </row>
    <row r="8833" spans="1:4" ht="12.75" customHeight="1" x14ac:dyDescent="0.2">
      <c r="B8833" s="2"/>
      <c r="C8833" s="15"/>
      <c r="D8833" s="2"/>
    </row>
    <row r="8834" spans="1:4" ht="12.75" customHeight="1" x14ac:dyDescent="0.2">
      <c r="B8834" s="2"/>
      <c r="C8834" s="15"/>
      <c r="D8834" s="2"/>
    </row>
    <row r="8835" spans="1:4" ht="12.75" customHeight="1" x14ac:dyDescent="0.2">
      <c r="A8835" s="13" t="s">
        <v>3966</v>
      </c>
      <c r="C8835" s="12"/>
      <c r="D8835" s="2"/>
    </row>
    <row r="8836" spans="1:4" ht="12.75" customHeight="1" x14ac:dyDescent="0.2">
      <c r="A8836" s="11"/>
      <c r="B8836" s="2"/>
      <c r="C8836" s="15"/>
      <c r="D8836" s="2"/>
    </row>
    <row r="8837" spans="1:4" ht="12.75" customHeight="1" x14ac:dyDescent="0.2">
      <c r="B8837" s="11" t="s">
        <v>0</v>
      </c>
      <c r="C8837" s="17" t="s">
        <v>167</v>
      </c>
      <c r="D8837" s="2"/>
    </row>
    <row r="8838" spans="1:4" ht="12.75" customHeight="1" x14ac:dyDescent="0.2">
      <c r="B8838" s="11" t="s">
        <v>2599</v>
      </c>
      <c r="C8838" s="17" t="s">
        <v>3967</v>
      </c>
      <c r="D8838" s="2"/>
    </row>
    <row r="8839" spans="1:4" ht="25.5" customHeight="1" x14ac:dyDescent="0.2">
      <c r="B8839" s="11" t="s">
        <v>2600</v>
      </c>
      <c r="C8839" s="17" t="s">
        <v>3968</v>
      </c>
      <c r="D8839" s="2"/>
    </row>
    <row r="8840" spans="1:4" ht="25.5" customHeight="1" x14ac:dyDescent="0.2">
      <c r="B8840" s="11" t="s">
        <v>2601</v>
      </c>
      <c r="C8840" s="17"/>
      <c r="D8840" s="2"/>
    </row>
    <row r="8841" spans="1:4" ht="12.75" customHeight="1" x14ac:dyDescent="0.2">
      <c r="B8841" s="11" t="s">
        <v>16</v>
      </c>
      <c r="C8841" s="17"/>
      <c r="D8841" s="2"/>
    </row>
    <row r="8842" spans="1:4" ht="12.75" customHeight="1" x14ac:dyDescent="0.2">
      <c r="B8842" s="11" t="s">
        <v>13</v>
      </c>
      <c r="C8842" s="17" t="s">
        <v>2602</v>
      </c>
      <c r="D8842" s="2"/>
    </row>
    <row r="8843" spans="1:4" ht="25.5" customHeight="1" x14ac:dyDescent="0.2">
      <c r="B8843" s="11" t="s">
        <v>2603</v>
      </c>
      <c r="C8843" s="17" t="s">
        <v>2971</v>
      </c>
      <c r="D8843" s="2"/>
    </row>
    <row r="8844" spans="1:4" ht="12.75" customHeight="1" x14ac:dyDescent="0.2">
      <c r="B8844" s="11" t="s">
        <v>2605</v>
      </c>
      <c r="C8844" s="17" t="s">
        <v>14</v>
      </c>
      <c r="D8844" s="2"/>
    </row>
    <row r="8845" spans="1:4" ht="12.75" customHeight="1" x14ac:dyDescent="0.2">
      <c r="B8845" s="11" t="s">
        <v>2606</v>
      </c>
      <c r="C8845" s="16" t="s">
        <v>19</v>
      </c>
      <c r="D8845" s="2"/>
    </row>
    <row r="8846" spans="1:4" ht="12.75" customHeight="1" x14ac:dyDescent="0.2">
      <c r="B8846" s="2"/>
      <c r="C8846" s="15"/>
      <c r="D8846" s="2"/>
    </row>
    <row r="8847" spans="1:4" ht="12.75" customHeight="1" x14ac:dyDescent="0.2">
      <c r="B8847" s="2"/>
      <c r="C8847" s="15"/>
      <c r="D8847" s="2"/>
    </row>
    <row r="8848" spans="1:4" ht="12.75" customHeight="1" x14ac:dyDescent="0.2">
      <c r="A8848" s="13" t="s">
        <v>3853</v>
      </c>
      <c r="C8848" s="12"/>
      <c r="D8848" s="2"/>
    </row>
    <row r="8849" spans="1:4" ht="12.75" customHeight="1" x14ac:dyDescent="0.2">
      <c r="A8849" s="11"/>
      <c r="B8849" s="2"/>
      <c r="C8849" s="15"/>
      <c r="D8849" s="2"/>
    </row>
    <row r="8850" spans="1:4" ht="12.75" customHeight="1" x14ac:dyDescent="0.2">
      <c r="B8850" s="11" t="s">
        <v>0</v>
      </c>
      <c r="C8850" s="17" t="s">
        <v>167</v>
      </c>
      <c r="D8850" s="2"/>
    </row>
    <row r="8851" spans="1:4" ht="12.75" customHeight="1" x14ac:dyDescent="0.2">
      <c r="B8851" s="11" t="s">
        <v>2599</v>
      </c>
      <c r="C8851" s="17" t="s">
        <v>3854</v>
      </c>
      <c r="D8851" s="2"/>
    </row>
    <row r="8852" spans="1:4" ht="25.5" customHeight="1" x14ac:dyDescent="0.2">
      <c r="B8852" s="11" t="s">
        <v>2600</v>
      </c>
      <c r="C8852" s="17" t="s">
        <v>3969</v>
      </c>
      <c r="D8852" s="2"/>
    </row>
    <row r="8853" spans="1:4" ht="25.5" customHeight="1" x14ac:dyDescent="0.2">
      <c r="B8853" s="11" t="s">
        <v>2601</v>
      </c>
      <c r="C8853" s="17"/>
      <c r="D8853" s="2"/>
    </row>
    <row r="8854" spans="1:4" ht="12.75" customHeight="1" x14ac:dyDescent="0.2">
      <c r="B8854" s="11" t="s">
        <v>16</v>
      </c>
      <c r="C8854" s="17"/>
      <c r="D8854" s="2"/>
    </row>
    <row r="8855" spans="1:4" ht="12.75" customHeight="1" x14ac:dyDescent="0.2">
      <c r="B8855" s="11" t="s">
        <v>13</v>
      </c>
      <c r="C8855" s="17" t="s">
        <v>2644</v>
      </c>
      <c r="D8855" s="2"/>
    </row>
    <row r="8856" spans="1:4" ht="25.5" customHeight="1" x14ac:dyDescent="0.2">
      <c r="B8856" s="11" t="s">
        <v>2603</v>
      </c>
      <c r="C8856" s="17" t="s">
        <v>2971</v>
      </c>
      <c r="D8856" s="2"/>
    </row>
    <row r="8857" spans="1:4" ht="12.75" customHeight="1" x14ac:dyDescent="0.2">
      <c r="B8857" s="11" t="s">
        <v>2605</v>
      </c>
      <c r="C8857" s="17" t="s">
        <v>14</v>
      </c>
      <c r="D8857" s="2"/>
    </row>
    <row r="8858" spans="1:4" ht="12.75" customHeight="1" x14ac:dyDescent="0.2">
      <c r="B8858" s="11" t="s">
        <v>2606</v>
      </c>
      <c r="C8858" s="16" t="s">
        <v>19</v>
      </c>
      <c r="D8858" s="2"/>
    </row>
    <row r="8859" spans="1:4" ht="12.75" customHeight="1" x14ac:dyDescent="0.2">
      <c r="B8859" s="2"/>
      <c r="C8859" s="15"/>
      <c r="D8859" s="2"/>
    </row>
    <row r="8860" spans="1:4" ht="12.75" customHeight="1" x14ac:dyDescent="0.2">
      <c r="B8860" s="2"/>
      <c r="C8860" s="15"/>
      <c r="D8860" s="2"/>
    </row>
    <row r="8861" spans="1:4" ht="12.75" customHeight="1" x14ac:dyDescent="0.2">
      <c r="A8861" s="13" t="s">
        <v>3940</v>
      </c>
      <c r="C8861" s="12"/>
      <c r="D8861" s="2"/>
    </row>
    <row r="8862" spans="1:4" ht="12.75" customHeight="1" x14ac:dyDescent="0.2">
      <c r="A8862" s="11"/>
      <c r="B8862" s="2"/>
      <c r="C8862" s="15"/>
      <c r="D8862" s="2"/>
    </row>
    <row r="8863" spans="1:4" ht="12.75" customHeight="1" x14ac:dyDescent="0.2">
      <c r="B8863" s="11" t="s">
        <v>0</v>
      </c>
      <c r="C8863" s="17" t="s">
        <v>167</v>
      </c>
      <c r="D8863" s="2"/>
    </row>
    <row r="8864" spans="1:4" ht="12.75" customHeight="1" x14ac:dyDescent="0.2">
      <c r="B8864" s="11" t="s">
        <v>2599</v>
      </c>
      <c r="C8864" s="17" t="s">
        <v>3941</v>
      </c>
      <c r="D8864" s="2"/>
    </row>
    <row r="8865" spans="1:4" ht="25.5" customHeight="1" x14ac:dyDescent="0.2">
      <c r="B8865" s="11" t="s">
        <v>2600</v>
      </c>
      <c r="C8865" s="17" t="s">
        <v>3970</v>
      </c>
      <c r="D8865" s="2"/>
    </row>
    <row r="8866" spans="1:4" ht="25.5" customHeight="1" x14ac:dyDescent="0.2">
      <c r="B8866" s="11" t="s">
        <v>2601</v>
      </c>
      <c r="C8866" s="17"/>
      <c r="D8866" s="2"/>
    </row>
    <row r="8867" spans="1:4" ht="12.75" customHeight="1" x14ac:dyDescent="0.2">
      <c r="B8867" s="11" t="s">
        <v>16</v>
      </c>
      <c r="C8867" s="17"/>
      <c r="D8867" s="2"/>
    </row>
    <row r="8868" spans="1:4" ht="12.75" customHeight="1" x14ac:dyDescent="0.2">
      <c r="B8868" s="11" t="s">
        <v>13</v>
      </c>
      <c r="C8868" s="17" t="s">
        <v>2602</v>
      </c>
      <c r="D8868" s="2"/>
    </row>
    <row r="8869" spans="1:4" ht="25.5" customHeight="1" x14ac:dyDescent="0.2">
      <c r="B8869" s="11" t="s">
        <v>2603</v>
      </c>
      <c r="C8869" s="17" t="s">
        <v>2971</v>
      </c>
      <c r="D8869" s="2"/>
    </row>
    <row r="8870" spans="1:4" ht="12.75" customHeight="1" x14ac:dyDescent="0.2">
      <c r="B8870" s="11" t="s">
        <v>2605</v>
      </c>
      <c r="C8870" s="17" t="s">
        <v>14</v>
      </c>
      <c r="D8870" s="2"/>
    </row>
    <row r="8871" spans="1:4" ht="12.75" customHeight="1" x14ac:dyDescent="0.2">
      <c r="B8871" s="11" t="s">
        <v>2606</v>
      </c>
      <c r="C8871" s="16" t="s">
        <v>19</v>
      </c>
      <c r="D8871" s="2"/>
    </row>
    <row r="8872" spans="1:4" ht="12.75" customHeight="1" x14ac:dyDescent="0.2">
      <c r="B8872" s="2"/>
      <c r="C8872" s="15"/>
      <c r="D8872" s="2"/>
    </row>
    <row r="8873" spans="1:4" ht="12.75" customHeight="1" x14ac:dyDescent="0.2">
      <c r="B8873" s="2"/>
      <c r="C8873" s="15"/>
      <c r="D8873" s="2"/>
    </row>
    <row r="8874" spans="1:4" ht="12.75" customHeight="1" x14ac:dyDescent="0.2">
      <c r="A8874" s="13" t="s">
        <v>3857</v>
      </c>
      <c r="C8874" s="12"/>
      <c r="D8874" s="2"/>
    </row>
    <row r="8875" spans="1:4" ht="12.75" customHeight="1" x14ac:dyDescent="0.2">
      <c r="A8875" s="11"/>
      <c r="B8875" s="2"/>
      <c r="C8875" s="15"/>
      <c r="D8875" s="2"/>
    </row>
    <row r="8876" spans="1:4" ht="12.75" customHeight="1" x14ac:dyDescent="0.2">
      <c r="B8876" s="11" t="s">
        <v>0</v>
      </c>
      <c r="C8876" s="17" t="s">
        <v>167</v>
      </c>
      <c r="D8876" s="2"/>
    </row>
    <row r="8877" spans="1:4" ht="12.75" customHeight="1" x14ac:dyDescent="0.2">
      <c r="B8877" s="11" t="s">
        <v>2599</v>
      </c>
      <c r="C8877" s="17" t="s">
        <v>3858</v>
      </c>
      <c r="D8877" s="2"/>
    </row>
    <row r="8878" spans="1:4" ht="25.5" customHeight="1" x14ac:dyDescent="0.2">
      <c r="B8878" s="11" t="s">
        <v>2600</v>
      </c>
      <c r="C8878" s="17" t="s">
        <v>3971</v>
      </c>
      <c r="D8878" s="2"/>
    </row>
    <row r="8879" spans="1:4" ht="25.5" customHeight="1" x14ac:dyDescent="0.2">
      <c r="B8879" s="11" t="s">
        <v>2601</v>
      </c>
      <c r="C8879" s="17"/>
      <c r="D8879" s="2"/>
    </row>
    <row r="8880" spans="1:4" ht="12.75" customHeight="1" x14ac:dyDescent="0.2">
      <c r="B8880" s="11" t="s">
        <v>16</v>
      </c>
      <c r="C8880" s="17"/>
      <c r="D8880" s="2"/>
    </row>
    <row r="8881" spans="1:4" ht="12.75" customHeight="1" x14ac:dyDescent="0.2">
      <c r="B8881" s="11" t="s">
        <v>13</v>
      </c>
      <c r="C8881" s="17" t="s">
        <v>2602</v>
      </c>
      <c r="D8881" s="2"/>
    </row>
    <row r="8882" spans="1:4" ht="25.5" customHeight="1" x14ac:dyDescent="0.2">
      <c r="B8882" s="11" t="s">
        <v>2603</v>
      </c>
      <c r="C8882" s="17" t="s">
        <v>2971</v>
      </c>
      <c r="D8882" s="2"/>
    </row>
    <row r="8883" spans="1:4" ht="12.75" customHeight="1" x14ac:dyDescent="0.2">
      <c r="B8883" s="11" t="s">
        <v>2605</v>
      </c>
      <c r="C8883" s="17" t="s">
        <v>14</v>
      </c>
      <c r="D8883" s="2"/>
    </row>
    <row r="8884" spans="1:4" ht="12.75" customHeight="1" x14ac:dyDescent="0.2">
      <c r="B8884" s="11" t="s">
        <v>2606</v>
      </c>
      <c r="C8884" s="16" t="s">
        <v>19</v>
      </c>
      <c r="D8884" s="2"/>
    </row>
    <row r="8885" spans="1:4" ht="12.75" customHeight="1" x14ac:dyDescent="0.2">
      <c r="B8885" s="2"/>
      <c r="C8885" s="15"/>
      <c r="D8885" s="2"/>
    </row>
    <row r="8886" spans="1:4" ht="12.75" customHeight="1" x14ac:dyDescent="0.2">
      <c r="B8886" s="2"/>
      <c r="C8886" s="15"/>
      <c r="D8886" s="2"/>
    </row>
    <row r="8887" spans="1:4" ht="12.75" customHeight="1" x14ac:dyDescent="0.2">
      <c r="A8887" s="13" t="s">
        <v>2782</v>
      </c>
      <c r="C8887" s="12"/>
    </row>
    <row r="8888" spans="1:4" ht="12.75" customHeight="1" x14ac:dyDescent="0.2">
      <c r="A8888" s="11"/>
      <c r="B8888" s="2"/>
      <c r="C8888" s="15"/>
      <c r="D8888" s="2"/>
    </row>
    <row r="8889" spans="1:4" ht="12.75" customHeight="1" x14ac:dyDescent="0.2">
      <c r="B8889" s="11" t="s">
        <v>0</v>
      </c>
      <c r="C8889" s="11" t="s">
        <v>532</v>
      </c>
    </row>
    <row r="8890" spans="1:4" ht="12.75" customHeight="1" x14ac:dyDescent="0.2">
      <c r="B8890" s="11" t="s">
        <v>2599</v>
      </c>
      <c r="C8890" s="11" t="s">
        <v>3972</v>
      </c>
    </row>
    <row r="8891" spans="1:4" ht="25.5" customHeight="1" x14ac:dyDescent="0.2">
      <c r="B8891" s="11" t="s">
        <v>2600</v>
      </c>
      <c r="C8891" s="11" t="s">
        <v>3973</v>
      </c>
    </row>
    <row r="8892" spans="1:4" ht="25.5" customHeight="1" x14ac:dyDescent="0.2">
      <c r="B8892" s="11" t="s">
        <v>2601</v>
      </c>
      <c r="C8892" s="11"/>
    </row>
    <row r="8893" spans="1:4" ht="12.75" customHeight="1" x14ac:dyDescent="0.2">
      <c r="B8893" s="11" t="s">
        <v>16</v>
      </c>
      <c r="C8893" s="11"/>
    </row>
    <row r="8894" spans="1:4" ht="12.75" customHeight="1" x14ac:dyDescent="0.2">
      <c r="B8894" s="11" t="s">
        <v>13</v>
      </c>
      <c r="C8894" s="11" t="s">
        <v>2602</v>
      </c>
    </row>
    <row r="8895" spans="1:4" ht="12.75" customHeight="1" x14ac:dyDescent="0.2">
      <c r="B8895" s="11" t="s">
        <v>2603</v>
      </c>
      <c r="C8895" s="11" t="s">
        <v>2604</v>
      </c>
    </row>
    <row r="8896" spans="1:4" ht="12.75" customHeight="1" x14ac:dyDescent="0.2">
      <c r="B8896" s="11" t="s">
        <v>2605</v>
      </c>
      <c r="C8896" s="11" t="s">
        <v>14</v>
      </c>
    </row>
    <row r="8897" spans="1:4" ht="12.75" customHeight="1" x14ac:dyDescent="0.2">
      <c r="B8897" s="11" t="s">
        <v>2606</v>
      </c>
      <c r="C8897" s="16" t="s">
        <v>44</v>
      </c>
      <c r="D8897" s="6" t="str">
        <f>HYPERLINK("javascript:void(0)","alakváltókő")</f>
        <v>alakváltókő</v>
      </c>
    </row>
    <row r="8898" spans="1:4" ht="12.75" customHeight="1" x14ac:dyDescent="0.2">
      <c r="B8898" s="2"/>
      <c r="C8898" s="15"/>
      <c r="D8898" s="2"/>
    </row>
    <row r="8899" spans="1:4" ht="12.75" customHeight="1" x14ac:dyDescent="0.2">
      <c r="B8899" s="2"/>
      <c r="C8899" s="15"/>
      <c r="D8899" s="2"/>
    </row>
    <row r="8900" spans="1:4" ht="12.75" customHeight="1" x14ac:dyDescent="0.2">
      <c r="A8900" s="13" t="s">
        <v>3846</v>
      </c>
      <c r="C8900" s="12"/>
      <c r="D8900" s="2"/>
    </row>
    <row r="8901" spans="1:4" ht="12.75" customHeight="1" x14ac:dyDescent="0.2">
      <c r="A8901" s="11"/>
      <c r="B8901" s="2"/>
      <c r="C8901" s="15"/>
      <c r="D8901" s="2"/>
    </row>
    <row r="8902" spans="1:4" ht="12.75" customHeight="1" x14ac:dyDescent="0.2">
      <c r="B8902" s="11" t="s">
        <v>0</v>
      </c>
      <c r="C8902" s="17" t="s">
        <v>532</v>
      </c>
      <c r="D8902" s="2"/>
    </row>
    <row r="8903" spans="1:4" ht="12.75" customHeight="1" x14ac:dyDescent="0.2">
      <c r="B8903" s="11" t="s">
        <v>2599</v>
      </c>
      <c r="C8903" s="17" t="s">
        <v>3847</v>
      </c>
      <c r="D8903" s="2"/>
    </row>
    <row r="8904" spans="1:4" ht="25.5" customHeight="1" x14ac:dyDescent="0.2">
      <c r="B8904" s="11" t="s">
        <v>2600</v>
      </c>
      <c r="C8904" s="17" t="s">
        <v>3974</v>
      </c>
      <c r="D8904" s="2"/>
    </row>
    <row r="8905" spans="1:4" ht="25.5" customHeight="1" x14ac:dyDescent="0.2">
      <c r="B8905" s="11" t="s">
        <v>2601</v>
      </c>
      <c r="C8905" s="17"/>
      <c r="D8905" s="2"/>
    </row>
    <row r="8906" spans="1:4" ht="12.75" customHeight="1" x14ac:dyDescent="0.2">
      <c r="B8906" s="11" t="s">
        <v>16</v>
      </c>
      <c r="C8906" s="17"/>
      <c r="D8906" s="2"/>
    </row>
    <row r="8907" spans="1:4" ht="12.75" customHeight="1" x14ac:dyDescent="0.2">
      <c r="B8907" s="11" t="s">
        <v>13</v>
      </c>
      <c r="C8907" s="17" t="s">
        <v>2602</v>
      </c>
      <c r="D8907" s="2"/>
    </row>
    <row r="8908" spans="1:4" ht="25.5" customHeight="1" x14ac:dyDescent="0.2">
      <c r="B8908" s="11" t="s">
        <v>2603</v>
      </c>
      <c r="C8908" s="17" t="s">
        <v>2971</v>
      </c>
      <c r="D8908" s="2"/>
    </row>
    <row r="8909" spans="1:4" ht="12.75" customHeight="1" x14ac:dyDescent="0.2">
      <c r="B8909" s="11" t="s">
        <v>2605</v>
      </c>
      <c r="C8909" s="17" t="s">
        <v>14</v>
      </c>
      <c r="D8909" s="2"/>
    </row>
    <row r="8910" spans="1:4" ht="12.75" customHeight="1" x14ac:dyDescent="0.2">
      <c r="B8910" s="11" t="s">
        <v>2606</v>
      </c>
      <c r="C8910" s="16" t="s">
        <v>19</v>
      </c>
      <c r="D8910" s="2"/>
    </row>
    <row r="8911" spans="1:4" ht="12.75" customHeight="1" x14ac:dyDescent="0.2">
      <c r="B8911" s="2"/>
      <c r="C8911" s="15"/>
      <c r="D8911" s="2"/>
    </row>
    <row r="8912" spans="1:4" ht="12.75" customHeight="1" x14ac:dyDescent="0.2">
      <c r="B8912" s="2"/>
      <c r="C8912" s="15"/>
      <c r="D8912" s="2"/>
    </row>
    <row r="8913" spans="1:4" ht="12.75" customHeight="1" x14ac:dyDescent="0.2">
      <c r="A8913" s="13" t="s">
        <v>3849</v>
      </c>
      <c r="C8913" s="12"/>
      <c r="D8913" s="2"/>
    </row>
    <row r="8914" spans="1:4" ht="12.75" customHeight="1" x14ac:dyDescent="0.2">
      <c r="A8914" s="11"/>
      <c r="B8914" s="2"/>
      <c r="C8914" s="15"/>
      <c r="D8914" s="2"/>
    </row>
    <row r="8915" spans="1:4" ht="12.75" customHeight="1" x14ac:dyDescent="0.2">
      <c r="B8915" s="11" t="s">
        <v>0</v>
      </c>
      <c r="C8915" s="17" t="s">
        <v>532</v>
      </c>
      <c r="D8915" s="2"/>
    </row>
    <row r="8916" spans="1:4" ht="12.75" customHeight="1" x14ac:dyDescent="0.2">
      <c r="B8916" s="11" t="s">
        <v>2599</v>
      </c>
      <c r="C8916" s="17" t="s">
        <v>3850</v>
      </c>
      <c r="D8916" s="2"/>
    </row>
    <row r="8917" spans="1:4" ht="25.5" customHeight="1" x14ac:dyDescent="0.2">
      <c r="B8917" s="11" t="s">
        <v>2600</v>
      </c>
      <c r="C8917" s="17" t="s">
        <v>3975</v>
      </c>
      <c r="D8917" s="2"/>
    </row>
    <row r="8918" spans="1:4" ht="25.5" customHeight="1" x14ac:dyDescent="0.2">
      <c r="B8918" s="11" t="s">
        <v>2601</v>
      </c>
      <c r="C8918" s="17"/>
      <c r="D8918" s="2"/>
    </row>
    <row r="8919" spans="1:4" ht="12.75" customHeight="1" x14ac:dyDescent="0.2">
      <c r="B8919" s="11" t="s">
        <v>16</v>
      </c>
      <c r="C8919" s="17"/>
      <c r="D8919" s="2"/>
    </row>
    <row r="8920" spans="1:4" ht="12.75" customHeight="1" x14ac:dyDescent="0.2">
      <c r="B8920" s="11" t="s">
        <v>13</v>
      </c>
      <c r="C8920" s="17" t="s">
        <v>2644</v>
      </c>
      <c r="D8920" s="2"/>
    </row>
    <row r="8921" spans="1:4" ht="25.5" customHeight="1" x14ac:dyDescent="0.2">
      <c r="B8921" s="11" t="s">
        <v>2603</v>
      </c>
      <c r="C8921" s="17" t="s">
        <v>2971</v>
      </c>
      <c r="D8921" s="2"/>
    </row>
    <row r="8922" spans="1:4" ht="12.75" customHeight="1" x14ac:dyDescent="0.2">
      <c r="B8922" s="11" t="s">
        <v>2605</v>
      </c>
      <c r="C8922" s="17" t="s">
        <v>14</v>
      </c>
      <c r="D8922" s="2"/>
    </row>
    <row r="8923" spans="1:4" ht="12.75" customHeight="1" x14ac:dyDescent="0.2">
      <c r="B8923" s="11" t="s">
        <v>2606</v>
      </c>
      <c r="C8923" s="16" t="s">
        <v>19</v>
      </c>
      <c r="D8923" s="2"/>
    </row>
    <row r="8924" spans="1:4" ht="12.75" customHeight="1" x14ac:dyDescent="0.2">
      <c r="B8924" s="2"/>
      <c r="C8924" s="15"/>
      <c r="D8924" s="2"/>
    </row>
    <row r="8925" spans="1:4" ht="12.75" customHeight="1" x14ac:dyDescent="0.2">
      <c r="B8925" s="2"/>
      <c r="C8925" s="15"/>
      <c r="D8925" s="2"/>
    </row>
    <row r="8926" spans="1:4" ht="12.75" customHeight="1" x14ac:dyDescent="0.2">
      <c r="A8926" s="13" t="s">
        <v>3976</v>
      </c>
      <c r="C8926" s="12"/>
    </row>
    <row r="8927" spans="1:4" ht="12.75" customHeight="1" x14ac:dyDescent="0.2">
      <c r="A8927" s="11"/>
      <c r="B8927" s="2"/>
      <c r="C8927" s="15"/>
      <c r="D8927" s="2"/>
    </row>
    <row r="8928" spans="1:4" ht="12.75" customHeight="1" x14ac:dyDescent="0.2">
      <c r="B8928" s="11" t="s">
        <v>0</v>
      </c>
      <c r="C8928" s="11" t="s">
        <v>532</v>
      </c>
    </row>
    <row r="8929" spans="1:4" ht="12.75" customHeight="1" x14ac:dyDescent="0.2">
      <c r="B8929" s="11" t="s">
        <v>2599</v>
      </c>
      <c r="C8929" s="11" t="s">
        <v>3977</v>
      </c>
    </row>
    <row r="8930" spans="1:4" ht="25.5" customHeight="1" x14ac:dyDescent="0.2">
      <c r="B8930" s="11" t="s">
        <v>2600</v>
      </c>
      <c r="C8930" s="11" t="s">
        <v>3978</v>
      </c>
    </row>
    <row r="8931" spans="1:4" ht="25.5" customHeight="1" x14ac:dyDescent="0.2">
      <c r="B8931" s="11" t="s">
        <v>2601</v>
      </c>
      <c r="C8931" s="11"/>
    </row>
    <row r="8932" spans="1:4" ht="12.75" customHeight="1" x14ac:dyDescent="0.2">
      <c r="B8932" s="11" t="s">
        <v>16</v>
      </c>
      <c r="C8932" s="11"/>
    </row>
    <row r="8933" spans="1:4" ht="12.75" customHeight="1" x14ac:dyDescent="0.2">
      <c r="B8933" s="11" t="s">
        <v>13</v>
      </c>
      <c r="C8933" s="11" t="s">
        <v>2602</v>
      </c>
    </row>
    <row r="8934" spans="1:4" ht="12.75" customHeight="1" x14ac:dyDescent="0.2">
      <c r="B8934" s="11" t="s">
        <v>2603</v>
      </c>
      <c r="C8934" s="11" t="s">
        <v>2604</v>
      </c>
    </row>
    <row r="8935" spans="1:4" ht="12.75" customHeight="1" x14ac:dyDescent="0.2">
      <c r="B8935" s="11" t="s">
        <v>2605</v>
      </c>
      <c r="C8935" s="11" t="s">
        <v>24</v>
      </c>
    </row>
    <row r="8936" spans="1:4" ht="25.5" customHeight="1" x14ac:dyDescent="0.2">
      <c r="B8936" s="11" t="s">
        <v>2606</v>
      </c>
      <c r="C8936" s="16" t="s">
        <v>44</v>
      </c>
      <c r="D8936" s="6" t="str">
        <f>HYPERLINK("javascript:void(0)","gyíkacél kalapács")</f>
        <v>gyíkacél kalapács</v>
      </c>
    </row>
    <row r="8937" spans="1:4" ht="25.5" customHeight="1" x14ac:dyDescent="0.2">
      <c r="C8937" s="16" t="s">
        <v>77</v>
      </c>
      <c r="D8937" s="6" t="str">
        <f>HYPERLINK("javascript:void(0)","csontszilánk")</f>
        <v>csontszilánk</v>
      </c>
    </row>
    <row r="8938" spans="1:4" ht="12.75" customHeight="1" x14ac:dyDescent="0.2">
      <c r="B8938" s="2"/>
      <c r="C8938" s="15"/>
      <c r="D8938" s="2"/>
    </row>
    <row r="8939" spans="1:4" ht="12.75" customHeight="1" x14ac:dyDescent="0.2">
      <c r="B8939" s="2"/>
      <c r="C8939" s="15"/>
      <c r="D8939" s="2"/>
    </row>
    <row r="8940" spans="1:4" ht="12.75" customHeight="1" x14ac:dyDescent="0.2">
      <c r="A8940" s="13" t="s">
        <v>3979</v>
      </c>
      <c r="C8940" s="12"/>
    </row>
    <row r="8941" spans="1:4" ht="12.75" customHeight="1" x14ac:dyDescent="0.2">
      <c r="A8941" s="11"/>
      <c r="B8941" s="2"/>
      <c r="C8941" s="15"/>
      <c r="D8941" s="2"/>
    </row>
    <row r="8942" spans="1:4" ht="12.75" customHeight="1" x14ac:dyDescent="0.2">
      <c r="B8942" s="11" t="s">
        <v>0</v>
      </c>
      <c r="C8942" s="11" t="s">
        <v>532</v>
      </c>
    </row>
    <row r="8943" spans="1:4" ht="12.75" customHeight="1" x14ac:dyDescent="0.2">
      <c r="B8943" s="11" t="s">
        <v>2599</v>
      </c>
      <c r="C8943" s="11" t="s">
        <v>3980</v>
      </c>
    </row>
    <row r="8944" spans="1:4" ht="25.5" customHeight="1" x14ac:dyDescent="0.2">
      <c r="B8944" s="11" t="s">
        <v>2600</v>
      </c>
      <c r="C8944" s="11" t="s">
        <v>3981</v>
      </c>
    </row>
    <row r="8945" spans="1:4" ht="25.5" customHeight="1" x14ac:dyDescent="0.2">
      <c r="B8945" s="11" t="s">
        <v>2601</v>
      </c>
      <c r="C8945" s="11"/>
    </row>
    <row r="8946" spans="1:4" ht="12.75" customHeight="1" x14ac:dyDescent="0.2">
      <c r="B8946" s="11" t="s">
        <v>16</v>
      </c>
      <c r="C8946" s="11"/>
    </row>
    <row r="8947" spans="1:4" ht="12.75" customHeight="1" x14ac:dyDescent="0.2">
      <c r="B8947" s="11" t="s">
        <v>13</v>
      </c>
      <c r="C8947" s="11" t="s">
        <v>2644</v>
      </c>
    </row>
    <row r="8948" spans="1:4" ht="12.75" customHeight="1" x14ac:dyDescent="0.2">
      <c r="B8948" s="11" t="s">
        <v>2603</v>
      </c>
      <c r="C8948" s="11" t="s">
        <v>2604</v>
      </c>
    </row>
    <row r="8949" spans="1:4" ht="12.75" customHeight="1" x14ac:dyDescent="0.2">
      <c r="B8949" s="11" t="s">
        <v>2605</v>
      </c>
      <c r="C8949" s="11" t="s">
        <v>24</v>
      </c>
    </row>
    <row r="8950" spans="1:4" ht="12.75" customHeight="1" x14ac:dyDescent="0.2">
      <c r="B8950" s="11" t="s">
        <v>2606</v>
      </c>
      <c r="C8950" s="16" t="s">
        <v>67</v>
      </c>
      <c r="D8950" s="6" t="str">
        <f>HYPERLINK("javascript:void(0)","kincs")</f>
        <v>kincs</v>
      </c>
    </row>
    <row r="8951" spans="1:4" ht="12.75" customHeight="1" x14ac:dyDescent="0.2">
      <c r="B8951" s="2"/>
      <c r="C8951" s="15"/>
      <c r="D8951" s="2"/>
    </row>
    <row r="8952" spans="1:4" ht="12.75" customHeight="1" x14ac:dyDescent="0.2">
      <c r="B8952" s="2"/>
      <c r="C8952" s="15"/>
      <c r="D8952" s="2"/>
    </row>
    <row r="8953" spans="1:4" ht="12.75" customHeight="1" x14ac:dyDescent="0.2">
      <c r="A8953" s="13" t="s">
        <v>3982</v>
      </c>
      <c r="C8953" s="12"/>
    </row>
    <row r="8954" spans="1:4" ht="12.75" customHeight="1" x14ac:dyDescent="0.2">
      <c r="A8954" s="11"/>
      <c r="B8954" s="2"/>
      <c r="C8954" s="15"/>
      <c r="D8954" s="2"/>
    </row>
    <row r="8955" spans="1:4" ht="12.75" customHeight="1" x14ac:dyDescent="0.2">
      <c r="B8955" s="11" t="s">
        <v>0</v>
      </c>
      <c r="C8955" s="11" t="s">
        <v>532</v>
      </c>
    </row>
    <row r="8956" spans="1:4" ht="12.75" customHeight="1" x14ac:dyDescent="0.2">
      <c r="B8956" s="11" t="s">
        <v>2599</v>
      </c>
      <c r="C8956" s="11" t="s">
        <v>3972</v>
      </c>
    </row>
    <row r="8957" spans="1:4" ht="25.5" customHeight="1" x14ac:dyDescent="0.2">
      <c r="B8957" s="11" t="s">
        <v>2600</v>
      </c>
      <c r="C8957" s="11" t="s">
        <v>3983</v>
      </c>
    </row>
    <row r="8958" spans="1:4" ht="25.5" customHeight="1" x14ac:dyDescent="0.2">
      <c r="B8958" s="11" t="s">
        <v>2601</v>
      </c>
      <c r="C8958" s="11"/>
    </row>
    <row r="8959" spans="1:4" ht="12.75" customHeight="1" x14ac:dyDescent="0.2">
      <c r="B8959" s="11" t="s">
        <v>16</v>
      </c>
      <c r="C8959" s="11"/>
    </row>
    <row r="8960" spans="1:4" ht="12.75" customHeight="1" x14ac:dyDescent="0.2">
      <c r="B8960" s="11" t="s">
        <v>13</v>
      </c>
      <c r="C8960" s="11" t="s">
        <v>2602</v>
      </c>
    </row>
    <row r="8961" spans="1:4" ht="12.75" customHeight="1" x14ac:dyDescent="0.2">
      <c r="B8961" s="11" t="s">
        <v>2603</v>
      </c>
      <c r="C8961" s="11" t="s">
        <v>2604</v>
      </c>
    </row>
    <row r="8962" spans="1:4" ht="12.75" customHeight="1" x14ac:dyDescent="0.2">
      <c r="B8962" s="11" t="s">
        <v>2605</v>
      </c>
      <c r="C8962" s="11" t="s">
        <v>24</v>
      </c>
    </row>
    <row r="8963" spans="1:4" ht="12.75" customHeight="1" x14ac:dyDescent="0.2">
      <c r="B8963" s="11" t="s">
        <v>2606</v>
      </c>
      <c r="C8963" s="16" t="s">
        <v>44</v>
      </c>
      <c r="D8963" s="6" t="str">
        <f>HYPERLINK("javascript:void(0)","mágusbot")</f>
        <v>mágusbot</v>
      </c>
    </row>
    <row r="8964" spans="1:4" ht="25.5" customHeight="1" x14ac:dyDescent="0.2">
      <c r="C8964" s="16" t="s">
        <v>44</v>
      </c>
      <c r="D8964" s="6" t="str">
        <f>HYPERLINK("javascript:void(0)","mágusköpeny")</f>
        <v>mágusköpeny</v>
      </c>
    </row>
    <row r="8965" spans="1:4" ht="12.75" customHeight="1" x14ac:dyDescent="0.2">
      <c r="B8965" s="2"/>
      <c r="C8965" s="15"/>
      <c r="D8965" s="2"/>
    </row>
    <row r="8966" spans="1:4" ht="12.75" customHeight="1" x14ac:dyDescent="0.2">
      <c r="B8966" s="2"/>
      <c r="C8966" s="15"/>
      <c r="D8966" s="2"/>
    </row>
    <row r="8967" spans="1:4" ht="12.75" customHeight="1" x14ac:dyDescent="0.2">
      <c r="A8967" s="13" t="s">
        <v>3984</v>
      </c>
      <c r="C8967" s="12"/>
    </row>
    <row r="8968" spans="1:4" ht="12.75" customHeight="1" x14ac:dyDescent="0.2">
      <c r="A8968" s="11"/>
      <c r="B8968" s="2"/>
      <c r="C8968" s="15"/>
      <c r="D8968" s="2"/>
    </row>
    <row r="8969" spans="1:4" ht="12.75" customHeight="1" x14ac:dyDescent="0.2">
      <c r="B8969" s="11" t="s">
        <v>0</v>
      </c>
      <c r="C8969" s="11" t="s">
        <v>532</v>
      </c>
    </row>
    <row r="8970" spans="1:4" ht="12.75" customHeight="1" x14ac:dyDescent="0.2">
      <c r="B8970" s="11" t="s">
        <v>2599</v>
      </c>
      <c r="C8970" s="11" t="s">
        <v>3985</v>
      </c>
    </row>
    <row r="8971" spans="1:4" ht="25.5" customHeight="1" x14ac:dyDescent="0.2">
      <c r="B8971" s="11" t="s">
        <v>2600</v>
      </c>
      <c r="C8971" s="11" t="s">
        <v>3986</v>
      </c>
    </row>
    <row r="8972" spans="1:4" ht="25.5" customHeight="1" x14ac:dyDescent="0.2">
      <c r="B8972" s="11" t="s">
        <v>2601</v>
      </c>
      <c r="C8972" s="11"/>
    </row>
    <row r="8973" spans="1:4" ht="12.75" customHeight="1" x14ac:dyDescent="0.2">
      <c r="B8973" s="11" t="s">
        <v>16</v>
      </c>
      <c r="C8973" s="11"/>
    </row>
    <row r="8974" spans="1:4" ht="12.75" customHeight="1" x14ac:dyDescent="0.2">
      <c r="B8974" s="11" t="s">
        <v>13</v>
      </c>
      <c r="C8974" s="11" t="s">
        <v>2602</v>
      </c>
    </row>
    <row r="8975" spans="1:4" ht="12.75" customHeight="1" x14ac:dyDescent="0.2">
      <c r="B8975" s="11" t="s">
        <v>2603</v>
      </c>
      <c r="C8975" s="11" t="s">
        <v>2604</v>
      </c>
    </row>
    <row r="8976" spans="1:4" ht="12.75" customHeight="1" x14ac:dyDescent="0.2">
      <c r="B8976" s="11" t="s">
        <v>2605</v>
      </c>
      <c r="C8976" s="11" t="s">
        <v>24</v>
      </c>
    </row>
    <row r="8977" spans="1:4" ht="12.75" customHeight="1" x14ac:dyDescent="0.2">
      <c r="B8977" s="11" t="s">
        <v>2606</v>
      </c>
      <c r="C8977" s="16" t="s">
        <v>67</v>
      </c>
      <c r="D8977" s="6" t="str">
        <f>HYPERLINK("javascript:void(0)","kincs")</f>
        <v>kincs</v>
      </c>
    </row>
    <row r="8978" spans="1:4" ht="12.75" customHeight="1" x14ac:dyDescent="0.2">
      <c r="B8978" s="2"/>
      <c r="C8978" s="15"/>
      <c r="D8978" s="2"/>
    </row>
    <row r="8979" spans="1:4" ht="12.75" customHeight="1" x14ac:dyDescent="0.2">
      <c r="B8979" s="2"/>
      <c r="C8979" s="15"/>
      <c r="D8979" s="2"/>
    </row>
    <row r="8980" spans="1:4" ht="12.75" customHeight="1" x14ac:dyDescent="0.2">
      <c r="A8980" s="13" t="s">
        <v>3987</v>
      </c>
      <c r="C8980" s="12"/>
    </row>
    <row r="8981" spans="1:4" ht="12.75" customHeight="1" x14ac:dyDescent="0.2">
      <c r="A8981" s="11"/>
      <c r="B8981" s="2"/>
      <c r="C8981" s="15"/>
      <c r="D8981" s="2"/>
    </row>
    <row r="8982" spans="1:4" ht="12.75" customHeight="1" x14ac:dyDescent="0.2">
      <c r="B8982" s="11" t="s">
        <v>0</v>
      </c>
      <c r="C8982" s="11" t="s">
        <v>532</v>
      </c>
    </row>
    <row r="8983" spans="1:4" ht="12.75" customHeight="1" x14ac:dyDescent="0.2">
      <c r="B8983" s="11" t="s">
        <v>2599</v>
      </c>
      <c r="C8983" s="11" t="s">
        <v>3988</v>
      </c>
    </row>
    <row r="8984" spans="1:4" ht="25.5" customHeight="1" x14ac:dyDescent="0.2">
      <c r="B8984" s="11" t="s">
        <v>2600</v>
      </c>
      <c r="C8984" s="11" t="s">
        <v>3989</v>
      </c>
    </row>
    <row r="8985" spans="1:4" ht="25.5" customHeight="1" x14ac:dyDescent="0.2">
      <c r="B8985" s="11" t="s">
        <v>2601</v>
      </c>
      <c r="C8985" s="11"/>
    </row>
    <row r="8986" spans="1:4" ht="12.75" customHeight="1" x14ac:dyDescent="0.2">
      <c r="B8986" s="11" t="s">
        <v>16</v>
      </c>
      <c r="C8986" s="11"/>
    </row>
    <row r="8987" spans="1:4" ht="12.75" customHeight="1" x14ac:dyDescent="0.2">
      <c r="B8987" s="11" t="s">
        <v>13</v>
      </c>
      <c r="C8987" s="11" t="s">
        <v>2644</v>
      </c>
    </row>
    <row r="8988" spans="1:4" ht="12.75" customHeight="1" x14ac:dyDescent="0.2">
      <c r="B8988" s="11" t="s">
        <v>2603</v>
      </c>
      <c r="C8988" s="11" t="s">
        <v>2604</v>
      </c>
    </row>
    <row r="8989" spans="1:4" ht="12.75" customHeight="1" x14ac:dyDescent="0.2">
      <c r="B8989" s="11" t="s">
        <v>2605</v>
      </c>
      <c r="C8989" s="11" t="s">
        <v>24</v>
      </c>
    </row>
    <row r="8990" spans="1:4" ht="12.75" customHeight="1" x14ac:dyDescent="0.2">
      <c r="B8990" s="11" t="s">
        <v>2606</v>
      </c>
      <c r="C8990" s="16" t="s">
        <v>67</v>
      </c>
      <c r="D8990" s="6" t="str">
        <f>HYPERLINK("javascript:void(0)","kincs")</f>
        <v>kincs</v>
      </c>
    </row>
    <row r="8991" spans="1:4" ht="12.75" customHeight="1" x14ac:dyDescent="0.2">
      <c r="B8991" s="2"/>
      <c r="C8991" s="15"/>
      <c r="D8991" s="2"/>
    </row>
    <row r="8992" spans="1:4" ht="12.75" customHeight="1" x14ac:dyDescent="0.2">
      <c r="B8992" s="2"/>
      <c r="C8992" s="15"/>
      <c r="D8992" s="2"/>
    </row>
    <row r="8993" spans="1:4" ht="12.75" customHeight="1" x14ac:dyDescent="0.2">
      <c r="A8993" s="13" t="s">
        <v>3990</v>
      </c>
      <c r="C8993" s="12"/>
    </row>
    <row r="8994" spans="1:4" ht="12.75" customHeight="1" x14ac:dyDescent="0.2">
      <c r="A8994" s="11"/>
      <c r="B8994" s="2"/>
      <c r="C8994" s="15"/>
      <c r="D8994" s="2"/>
    </row>
    <row r="8995" spans="1:4" ht="12.75" customHeight="1" x14ac:dyDescent="0.2">
      <c r="B8995" s="11" t="s">
        <v>0</v>
      </c>
      <c r="C8995" s="11" t="s">
        <v>532</v>
      </c>
    </row>
    <row r="8996" spans="1:4" ht="12.75" customHeight="1" x14ac:dyDescent="0.2">
      <c r="B8996" s="11" t="s">
        <v>2599</v>
      </c>
      <c r="C8996" s="11" t="s">
        <v>3991</v>
      </c>
    </row>
    <row r="8997" spans="1:4" ht="25.5" customHeight="1" x14ac:dyDescent="0.2">
      <c r="B8997" s="11" t="s">
        <v>2600</v>
      </c>
      <c r="C8997" s="11" t="s">
        <v>3992</v>
      </c>
    </row>
    <row r="8998" spans="1:4" ht="25.5" customHeight="1" x14ac:dyDescent="0.2">
      <c r="B8998" s="11" t="s">
        <v>2601</v>
      </c>
      <c r="C8998" s="11"/>
    </row>
    <row r="8999" spans="1:4" ht="12.75" customHeight="1" x14ac:dyDescent="0.2">
      <c r="B8999" s="11" t="s">
        <v>16</v>
      </c>
      <c r="C8999" s="11"/>
    </row>
    <row r="9000" spans="1:4" ht="12.75" customHeight="1" x14ac:dyDescent="0.2">
      <c r="B9000" s="11" t="s">
        <v>13</v>
      </c>
      <c r="C9000" s="11" t="s">
        <v>2602</v>
      </c>
    </row>
    <row r="9001" spans="1:4" ht="12.75" customHeight="1" x14ac:dyDescent="0.2">
      <c r="B9001" s="11" t="s">
        <v>2603</v>
      </c>
      <c r="C9001" s="11" t="s">
        <v>2604</v>
      </c>
    </row>
    <row r="9002" spans="1:4" ht="12.75" customHeight="1" x14ac:dyDescent="0.2">
      <c r="B9002" s="11" t="s">
        <v>2605</v>
      </c>
      <c r="C9002" s="11" t="s">
        <v>24</v>
      </c>
    </row>
    <row r="9003" spans="1:4" ht="12.75" customHeight="1" x14ac:dyDescent="0.2">
      <c r="B9003" s="11" t="s">
        <v>2606</v>
      </c>
      <c r="C9003" s="16" t="s">
        <v>44</v>
      </c>
      <c r="D9003" s="6" t="str">
        <f>HYPERLINK("javascript:void(0)","homokóra")</f>
        <v>homokóra</v>
      </c>
    </row>
    <row r="9004" spans="1:4" ht="12.75" customHeight="1" x14ac:dyDescent="0.2">
      <c r="C9004" s="16" t="s">
        <v>44</v>
      </c>
      <c r="D9004" s="6" t="str">
        <f>HYPERLINK("javascript:void(0)","mágusbot")</f>
        <v>mágusbot</v>
      </c>
    </row>
    <row r="9005" spans="1:4" ht="12.75" customHeight="1" x14ac:dyDescent="0.2">
      <c r="B9005" s="2"/>
      <c r="C9005" s="15"/>
      <c r="D9005" s="2"/>
    </row>
    <row r="9006" spans="1:4" ht="12.75" customHeight="1" x14ac:dyDescent="0.2">
      <c r="B9006" s="2"/>
      <c r="C9006" s="15"/>
      <c r="D9006" s="2"/>
    </row>
    <row r="9007" spans="1:4" ht="12.75" customHeight="1" x14ac:dyDescent="0.2">
      <c r="A9007" s="13" t="s">
        <v>3993</v>
      </c>
      <c r="C9007" s="12"/>
    </row>
    <row r="9008" spans="1:4" ht="12.75" customHeight="1" x14ac:dyDescent="0.2">
      <c r="A9008" s="11"/>
      <c r="B9008" s="2"/>
      <c r="C9008" s="15"/>
      <c r="D9008" s="2"/>
    </row>
    <row r="9009" spans="1:4" ht="12.75" customHeight="1" x14ac:dyDescent="0.2">
      <c r="B9009" s="11" t="s">
        <v>0</v>
      </c>
      <c r="C9009" s="11" t="s">
        <v>532</v>
      </c>
    </row>
    <row r="9010" spans="1:4" ht="12.75" customHeight="1" x14ac:dyDescent="0.2">
      <c r="B9010" s="11" t="s">
        <v>2599</v>
      </c>
      <c r="C9010" s="11" t="s">
        <v>1857</v>
      </c>
    </row>
    <row r="9011" spans="1:4" ht="25.5" customHeight="1" x14ac:dyDescent="0.2">
      <c r="B9011" s="11" t="s">
        <v>2600</v>
      </c>
      <c r="C9011" s="11" t="s">
        <v>3994</v>
      </c>
    </row>
    <row r="9012" spans="1:4" ht="25.5" customHeight="1" x14ac:dyDescent="0.2">
      <c r="B9012" s="11" t="s">
        <v>2601</v>
      </c>
      <c r="C9012" s="11"/>
    </row>
    <row r="9013" spans="1:4" ht="12.75" customHeight="1" x14ac:dyDescent="0.2">
      <c r="B9013" s="11" t="s">
        <v>16</v>
      </c>
      <c r="C9013" s="11"/>
    </row>
    <row r="9014" spans="1:4" ht="12.75" customHeight="1" x14ac:dyDescent="0.2">
      <c r="B9014" s="11" t="s">
        <v>13</v>
      </c>
      <c r="C9014" s="11" t="s">
        <v>2644</v>
      </c>
    </row>
    <row r="9015" spans="1:4" ht="12.75" customHeight="1" x14ac:dyDescent="0.2">
      <c r="B9015" s="11" t="s">
        <v>2603</v>
      </c>
      <c r="C9015" s="11" t="s">
        <v>2604</v>
      </c>
    </row>
    <row r="9016" spans="1:4" ht="12.75" customHeight="1" x14ac:dyDescent="0.2">
      <c r="B9016" s="11" t="s">
        <v>2605</v>
      </c>
      <c r="C9016" s="11" t="s">
        <v>24</v>
      </c>
    </row>
    <row r="9017" spans="1:4" ht="12.75" customHeight="1" x14ac:dyDescent="0.2">
      <c r="B9017" s="11" t="s">
        <v>2606</v>
      </c>
      <c r="C9017" s="16" t="s">
        <v>44</v>
      </c>
      <c r="D9017" s="6" t="str">
        <f>HYPERLINK("javascript:void(0)","manaital")</f>
        <v>manaital</v>
      </c>
    </row>
    <row r="9018" spans="1:4" ht="12.75" customHeight="1" x14ac:dyDescent="0.2">
      <c r="C9018" s="16" t="s">
        <v>44</v>
      </c>
      <c r="D9018" s="6" t="str">
        <f>HYPERLINK("javascript:void(0)","aqua dei")</f>
        <v>aqua dei</v>
      </c>
    </row>
    <row r="9019" spans="1:4" ht="12.75" customHeight="1" x14ac:dyDescent="0.2">
      <c r="B9019" s="2"/>
      <c r="C9019" s="15"/>
      <c r="D9019" s="2"/>
    </row>
    <row r="9020" spans="1:4" ht="12.75" customHeight="1" x14ac:dyDescent="0.2">
      <c r="B9020" s="2"/>
      <c r="C9020" s="15"/>
      <c r="D9020" s="2"/>
    </row>
    <row r="9021" spans="1:4" ht="12.75" customHeight="1" x14ac:dyDescent="0.2">
      <c r="A9021" s="13" t="s">
        <v>3995</v>
      </c>
      <c r="C9021" s="12"/>
    </row>
    <row r="9022" spans="1:4" ht="12.75" customHeight="1" x14ac:dyDescent="0.2">
      <c r="A9022" s="11"/>
      <c r="B9022" s="2"/>
      <c r="C9022" s="15"/>
      <c r="D9022" s="2"/>
    </row>
    <row r="9023" spans="1:4" ht="12.75" customHeight="1" x14ac:dyDescent="0.2">
      <c r="B9023" s="11" t="s">
        <v>0</v>
      </c>
      <c r="C9023" s="11" t="s">
        <v>532</v>
      </c>
    </row>
    <row r="9024" spans="1:4" ht="12.75" customHeight="1" x14ac:dyDescent="0.2">
      <c r="B9024" s="11" t="s">
        <v>2599</v>
      </c>
      <c r="C9024" s="11" t="s">
        <v>2466</v>
      </c>
    </row>
    <row r="9025" spans="1:4" ht="25.5" customHeight="1" x14ac:dyDescent="0.2">
      <c r="B9025" s="11" t="s">
        <v>2600</v>
      </c>
      <c r="C9025" s="11" t="s">
        <v>3996</v>
      </c>
    </row>
    <row r="9026" spans="1:4" ht="25.5" customHeight="1" x14ac:dyDescent="0.2">
      <c r="B9026" s="11" t="s">
        <v>2601</v>
      </c>
      <c r="C9026" s="11"/>
    </row>
    <row r="9027" spans="1:4" ht="12.75" customHeight="1" x14ac:dyDescent="0.2">
      <c r="B9027" s="11" t="s">
        <v>16</v>
      </c>
      <c r="C9027" s="11"/>
    </row>
    <row r="9028" spans="1:4" ht="12.75" customHeight="1" x14ac:dyDescent="0.2">
      <c r="B9028" s="11" t="s">
        <v>13</v>
      </c>
      <c r="C9028" s="11" t="s">
        <v>2644</v>
      </c>
    </row>
    <row r="9029" spans="1:4" ht="12.75" customHeight="1" x14ac:dyDescent="0.2">
      <c r="B9029" s="11" t="s">
        <v>2603</v>
      </c>
      <c r="C9029" s="11" t="s">
        <v>2604</v>
      </c>
    </row>
    <row r="9030" spans="1:4" ht="12.75" customHeight="1" x14ac:dyDescent="0.2">
      <c r="B9030" s="11" t="s">
        <v>2605</v>
      </c>
      <c r="C9030" s="11" t="s">
        <v>24</v>
      </c>
    </row>
    <row r="9031" spans="1:4" ht="12.75" customHeight="1" x14ac:dyDescent="0.2">
      <c r="B9031" s="11" t="s">
        <v>2606</v>
      </c>
      <c r="C9031" s="16" t="s">
        <v>67</v>
      </c>
      <c r="D9031" s="6" t="str">
        <f>HYPERLINK("javascript:void(0)","kincs")</f>
        <v>kincs</v>
      </c>
    </row>
    <row r="9032" spans="1:4" ht="12.75" customHeight="1" x14ac:dyDescent="0.2">
      <c r="B9032" s="2"/>
      <c r="C9032" s="15"/>
      <c r="D9032" s="2"/>
    </row>
    <row r="9033" spans="1:4" ht="12.75" customHeight="1" x14ac:dyDescent="0.2">
      <c r="B9033" s="2"/>
      <c r="C9033" s="15"/>
      <c r="D9033" s="2"/>
    </row>
    <row r="9034" spans="1:4" ht="12.75" customHeight="1" x14ac:dyDescent="0.2">
      <c r="A9034" s="13" t="s">
        <v>3966</v>
      </c>
      <c r="C9034" s="12"/>
      <c r="D9034" s="2"/>
    </row>
    <row r="9035" spans="1:4" ht="12.75" customHeight="1" x14ac:dyDescent="0.2">
      <c r="A9035" s="11"/>
      <c r="B9035" s="2"/>
      <c r="C9035" s="15"/>
      <c r="D9035" s="2"/>
    </row>
    <row r="9036" spans="1:4" ht="12.75" customHeight="1" x14ac:dyDescent="0.2">
      <c r="B9036" s="11" t="s">
        <v>0</v>
      </c>
      <c r="C9036" s="17" t="s">
        <v>532</v>
      </c>
      <c r="D9036" s="2"/>
    </row>
    <row r="9037" spans="1:4" ht="12.75" customHeight="1" x14ac:dyDescent="0.2">
      <c r="B9037" s="11" t="s">
        <v>2599</v>
      </c>
      <c r="C9037" s="17" t="s">
        <v>3967</v>
      </c>
      <c r="D9037" s="2"/>
    </row>
    <row r="9038" spans="1:4" ht="25.5" customHeight="1" x14ac:dyDescent="0.2">
      <c r="B9038" s="11" t="s">
        <v>2600</v>
      </c>
      <c r="C9038" s="17" t="s">
        <v>3997</v>
      </c>
      <c r="D9038" s="2"/>
    </row>
    <row r="9039" spans="1:4" ht="25.5" customHeight="1" x14ac:dyDescent="0.2">
      <c r="B9039" s="11" t="s">
        <v>2601</v>
      </c>
      <c r="C9039" s="17"/>
      <c r="D9039" s="2"/>
    </row>
    <row r="9040" spans="1:4" ht="12.75" customHeight="1" x14ac:dyDescent="0.2">
      <c r="B9040" s="11" t="s">
        <v>16</v>
      </c>
      <c r="C9040" s="17"/>
      <c r="D9040" s="2"/>
    </row>
    <row r="9041" spans="1:4" ht="12.75" customHeight="1" x14ac:dyDescent="0.2">
      <c r="B9041" s="11" t="s">
        <v>13</v>
      </c>
      <c r="C9041" s="17" t="s">
        <v>2602</v>
      </c>
      <c r="D9041" s="2"/>
    </row>
    <row r="9042" spans="1:4" ht="25.5" customHeight="1" x14ac:dyDescent="0.2">
      <c r="B9042" s="11" t="s">
        <v>2603</v>
      </c>
      <c r="C9042" s="17" t="s">
        <v>2971</v>
      </c>
      <c r="D9042" s="2"/>
    </row>
    <row r="9043" spans="1:4" ht="12.75" customHeight="1" x14ac:dyDescent="0.2">
      <c r="B9043" s="11" t="s">
        <v>2605</v>
      </c>
      <c r="C9043" s="17" t="s">
        <v>14</v>
      </c>
      <c r="D9043" s="2"/>
    </row>
    <row r="9044" spans="1:4" ht="12.75" customHeight="1" x14ac:dyDescent="0.2">
      <c r="B9044" s="11" t="s">
        <v>2606</v>
      </c>
      <c r="C9044" s="16" t="s">
        <v>19</v>
      </c>
      <c r="D9044" s="2"/>
    </row>
    <row r="9045" spans="1:4" ht="12.75" customHeight="1" x14ac:dyDescent="0.2">
      <c r="B9045" s="2"/>
      <c r="C9045" s="15"/>
      <c r="D9045" s="2"/>
    </row>
    <row r="9046" spans="1:4" ht="12.75" customHeight="1" x14ac:dyDescent="0.2">
      <c r="B9046" s="2"/>
      <c r="C9046" s="15"/>
      <c r="D9046" s="2"/>
    </row>
    <row r="9047" spans="1:4" ht="12.75" customHeight="1" x14ac:dyDescent="0.2">
      <c r="A9047" s="13" t="s">
        <v>3853</v>
      </c>
      <c r="C9047" s="12"/>
      <c r="D9047" s="2"/>
    </row>
    <row r="9048" spans="1:4" ht="12.75" customHeight="1" x14ac:dyDescent="0.2">
      <c r="A9048" s="11"/>
      <c r="B9048" s="2"/>
      <c r="C9048" s="15"/>
      <c r="D9048" s="2"/>
    </row>
    <row r="9049" spans="1:4" ht="12.75" customHeight="1" x14ac:dyDescent="0.2">
      <c r="B9049" s="11" t="s">
        <v>0</v>
      </c>
      <c r="C9049" s="17" t="s">
        <v>532</v>
      </c>
      <c r="D9049" s="2"/>
    </row>
    <row r="9050" spans="1:4" ht="12.75" customHeight="1" x14ac:dyDescent="0.2">
      <c r="B9050" s="11" t="s">
        <v>2599</v>
      </c>
      <c r="C9050" s="17" t="s">
        <v>3854</v>
      </c>
      <c r="D9050" s="2"/>
    </row>
    <row r="9051" spans="1:4" ht="25.5" customHeight="1" x14ac:dyDescent="0.2">
      <c r="B9051" s="11" t="s">
        <v>2600</v>
      </c>
      <c r="C9051" s="17" t="s">
        <v>3998</v>
      </c>
      <c r="D9051" s="2"/>
    </row>
    <row r="9052" spans="1:4" ht="25.5" customHeight="1" x14ac:dyDescent="0.2">
      <c r="B9052" s="11" t="s">
        <v>2601</v>
      </c>
      <c r="C9052" s="17"/>
      <c r="D9052" s="2"/>
    </row>
    <row r="9053" spans="1:4" ht="12.75" customHeight="1" x14ac:dyDescent="0.2">
      <c r="B9053" s="11" t="s">
        <v>16</v>
      </c>
      <c r="C9053" s="17"/>
      <c r="D9053" s="2"/>
    </row>
    <row r="9054" spans="1:4" ht="12.75" customHeight="1" x14ac:dyDescent="0.2">
      <c r="B9054" s="11" t="s">
        <v>13</v>
      </c>
      <c r="C9054" s="17" t="s">
        <v>2644</v>
      </c>
      <c r="D9054" s="2"/>
    </row>
    <row r="9055" spans="1:4" ht="25.5" customHeight="1" x14ac:dyDescent="0.2">
      <c r="B9055" s="11" t="s">
        <v>2603</v>
      </c>
      <c r="C9055" s="17" t="s">
        <v>2971</v>
      </c>
      <c r="D9055" s="2"/>
    </row>
    <row r="9056" spans="1:4" ht="12.75" customHeight="1" x14ac:dyDescent="0.2">
      <c r="B9056" s="11" t="s">
        <v>2605</v>
      </c>
      <c r="C9056" s="17" t="s">
        <v>14</v>
      </c>
      <c r="D9056" s="2"/>
    </row>
    <row r="9057" spans="1:4" ht="12.75" customHeight="1" x14ac:dyDescent="0.2">
      <c r="B9057" s="11" t="s">
        <v>2606</v>
      </c>
      <c r="C9057" s="16" t="s">
        <v>19</v>
      </c>
      <c r="D9057" s="2"/>
    </row>
    <row r="9058" spans="1:4" ht="12.75" customHeight="1" x14ac:dyDescent="0.2">
      <c r="B9058" s="2"/>
      <c r="C9058" s="15"/>
      <c r="D9058" s="2"/>
    </row>
    <row r="9059" spans="1:4" ht="12.75" customHeight="1" x14ac:dyDescent="0.2">
      <c r="B9059" s="2"/>
      <c r="C9059" s="15"/>
      <c r="D9059" s="2"/>
    </row>
    <row r="9060" spans="1:4" ht="12.75" customHeight="1" x14ac:dyDescent="0.2">
      <c r="A9060" s="13" t="s">
        <v>3940</v>
      </c>
      <c r="C9060" s="12"/>
      <c r="D9060" s="2"/>
    </row>
    <row r="9061" spans="1:4" ht="12.75" customHeight="1" x14ac:dyDescent="0.2">
      <c r="A9061" s="11"/>
      <c r="B9061" s="2"/>
      <c r="C9061" s="15"/>
      <c r="D9061" s="2"/>
    </row>
    <row r="9062" spans="1:4" ht="12.75" customHeight="1" x14ac:dyDescent="0.2">
      <c r="B9062" s="11" t="s">
        <v>0</v>
      </c>
      <c r="C9062" s="17" t="s">
        <v>532</v>
      </c>
      <c r="D9062" s="2"/>
    </row>
    <row r="9063" spans="1:4" ht="12.75" customHeight="1" x14ac:dyDescent="0.2">
      <c r="B9063" s="11" t="s">
        <v>2599</v>
      </c>
      <c r="C9063" s="17" t="s">
        <v>3941</v>
      </c>
      <c r="D9063" s="2"/>
    </row>
    <row r="9064" spans="1:4" ht="25.5" customHeight="1" x14ac:dyDescent="0.2">
      <c r="B9064" s="11" t="s">
        <v>2600</v>
      </c>
      <c r="C9064" s="17" t="s">
        <v>3999</v>
      </c>
      <c r="D9064" s="2"/>
    </row>
    <row r="9065" spans="1:4" ht="25.5" customHeight="1" x14ac:dyDescent="0.2">
      <c r="B9065" s="11" t="s">
        <v>2601</v>
      </c>
      <c r="C9065" s="17"/>
      <c r="D9065" s="2"/>
    </row>
    <row r="9066" spans="1:4" ht="12.75" customHeight="1" x14ac:dyDescent="0.2">
      <c r="B9066" s="11" t="s">
        <v>16</v>
      </c>
      <c r="C9066" s="17"/>
      <c r="D9066" s="2"/>
    </row>
    <row r="9067" spans="1:4" ht="12.75" customHeight="1" x14ac:dyDescent="0.2">
      <c r="B9067" s="11" t="s">
        <v>13</v>
      </c>
      <c r="C9067" s="17" t="s">
        <v>2602</v>
      </c>
      <c r="D9067" s="2"/>
    </row>
    <row r="9068" spans="1:4" ht="25.5" customHeight="1" x14ac:dyDescent="0.2">
      <c r="B9068" s="11" t="s">
        <v>2603</v>
      </c>
      <c r="C9068" s="17" t="s">
        <v>2971</v>
      </c>
      <c r="D9068" s="2"/>
    </row>
    <row r="9069" spans="1:4" ht="12.75" customHeight="1" x14ac:dyDescent="0.2">
      <c r="B9069" s="11" t="s">
        <v>2605</v>
      </c>
      <c r="C9069" s="17" t="s">
        <v>14</v>
      </c>
      <c r="D9069" s="2"/>
    </row>
    <row r="9070" spans="1:4" ht="12.75" customHeight="1" x14ac:dyDescent="0.2">
      <c r="B9070" s="11" t="s">
        <v>2606</v>
      </c>
      <c r="C9070" s="16" t="s">
        <v>19</v>
      </c>
      <c r="D9070" s="2"/>
    </row>
    <row r="9071" spans="1:4" ht="12.75" customHeight="1" x14ac:dyDescent="0.2">
      <c r="B9071" s="2"/>
      <c r="C9071" s="15"/>
      <c r="D9071" s="2"/>
    </row>
    <row r="9072" spans="1:4" ht="12.75" customHeight="1" x14ac:dyDescent="0.2">
      <c r="B9072" s="2"/>
      <c r="C9072" s="15"/>
      <c r="D9072" s="2"/>
    </row>
    <row r="9073" spans="1:4" ht="12.75" customHeight="1" x14ac:dyDescent="0.2">
      <c r="A9073" s="13" t="s">
        <v>3857</v>
      </c>
      <c r="C9073" s="12"/>
      <c r="D9073" s="2"/>
    </row>
    <row r="9074" spans="1:4" ht="12.75" customHeight="1" x14ac:dyDescent="0.2">
      <c r="A9074" s="11"/>
      <c r="B9074" s="2"/>
      <c r="C9074" s="15"/>
      <c r="D9074" s="2"/>
    </row>
    <row r="9075" spans="1:4" ht="12.75" customHeight="1" x14ac:dyDescent="0.2">
      <c r="B9075" s="11" t="s">
        <v>0</v>
      </c>
      <c r="C9075" s="17" t="s">
        <v>532</v>
      </c>
      <c r="D9075" s="2"/>
    </row>
    <row r="9076" spans="1:4" ht="12.75" customHeight="1" x14ac:dyDescent="0.2">
      <c r="B9076" s="11" t="s">
        <v>2599</v>
      </c>
      <c r="C9076" s="17" t="s">
        <v>3858</v>
      </c>
      <c r="D9076" s="2"/>
    </row>
    <row r="9077" spans="1:4" ht="25.5" customHeight="1" x14ac:dyDescent="0.2">
      <c r="B9077" s="11" t="s">
        <v>2600</v>
      </c>
      <c r="C9077" s="17" t="s">
        <v>4000</v>
      </c>
      <c r="D9077" s="2"/>
    </row>
    <row r="9078" spans="1:4" ht="25.5" customHeight="1" x14ac:dyDescent="0.2">
      <c r="B9078" s="11" t="s">
        <v>2601</v>
      </c>
      <c r="C9078" s="17"/>
      <c r="D9078" s="2"/>
    </row>
    <row r="9079" spans="1:4" ht="12.75" customHeight="1" x14ac:dyDescent="0.2">
      <c r="B9079" s="11" t="s">
        <v>16</v>
      </c>
      <c r="C9079" s="17"/>
      <c r="D9079" s="2"/>
    </row>
    <row r="9080" spans="1:4" ht="12.75" customHeight="1" x14ac:dyDescent="0.2">
      <c r="B9080" s="11" t="s">
        <v>13</v>
      </c>
      <c r="C9080" s="17" t="s">
        <v>2602</v>
      </c>
      <c r="D9080" s="2"/>
    </row>
    <row r="9081" spans="1:4" ht="25.5" customHeight="1" x14ac:dyDescent="0.2">
      <c r="B9081" s="11" t="s">
        <v>2603</v>
      </c>
      <c r="C9081" s="17" t="s">
        <v>2971</v>
      </c>
      <c r="D9081" s="2"/>
    </row>
    <row r="9082" spans="1:4" ht="12.75" customHeight="1" x14ac:dyDescent="0.2">
      <c r="B9082" s="11" t="s">
        <v>2605</v>
      </c>
      <c r="C9082" s="17" t="s">
        <v>14</v>
      </c>
      <c r="D9082" s="2"/>
    </row>
    <row r="9083" spans="1:4" ht="12.75" customHeight="1" x14ac:dyDescent="0.2">
      <c r="B9083" s="11" t="s">
        <v>2606</v>
      </c>
      <c r="C9083" s="16" t="s">
        <v>19</v>
      </c>
      <c r="D9083" s="2"/>
    </row>
    <row r="9084" spans="1:4" ht="12.75" customHeight="1" x14ac:dyDescent="0.2">
      <c r="B9084" s="2"/>
      <c r="C9084" s="15"/>
      <c r="D9084" s="2"/>
    </row>
    <row r="9085" spans="1:4" ht="12.75" customHeight="1" x14ac:dyDescent="0.2">
      <c r="B9085" s="2"/>
      <c r="C9085" s="15"/>
      <c r="D9085" s="2"/>
    </row>
    <row r="9086" spans="1:4" ht="12.75" customHeight="1" x14ac:dyDescent="0.2">
      <c r="A9086" s="13" t="s">
        <v>4001</v>
      </c>
      <c r="C9086" s="12"/>
      <c r="D9086" s="2"/>
    </row>
    <row r="9087" spans="1:4" ht="12.75" customHeight="1" x14ac:dyDescent="0.2">
      <c r="A9087" s="11"/>
      <c r="B9087" s="2"/>
      <c r="C9087" s="15"/>
      <c r="D9087" s="2"/>
    </row>
    <row r="9088" spans="1:4" ht="12.75" customHeight="1" x14ac:dyDescent="0.2">
      <c r="B9088" s="11" t="s">
        <v>0</v>
      </c>
      <c r="C9088" s="17" t="s">
        <v>223</v>
      </c>
      <c r="D9088" s="2"/>
    </row>
    <row r="9089" spans="1:4" ht="12.75" customHeight="1" x14ac:dyDescent="0.2">
      <c r="B9089" s="11" t="s">
        <v>2599</v>
      </c>
      <c r="C9089" s="17" t="s">
        <v>1120</v>
      </c>
      <c r="D9089" s="2"/>
    </row>
    <row r="9090" spans="1:4" ht="25.5" customHeight="1" x14ac:dyDescent="0.2">
      <c r="B9090" s="11" t="s">
        <v>2600</v>
      </c>
      <c r="C9090" s="17" t="s">
        <v>4002</v>
      </c>
      <c r="D9090" s="2"/>
    </row>
    <row r="9091" spans="1:4" ht="25.5" customHeight="1" x14ac:dyDescent="0.2">
      <c r="B9091" s="11" t="s">
        <v>2601</v>
      </c>
      <c r="C9091" s="17"/>
      <c r="D9091" s="2"/>
    </row>
    <row r="9092" spans="1:4" ht="12.75" customHeight="1" x14ac:dyDescent="0.2">
      <c r="B9092" s="11" t="s">
        <v>16</v>
      </c>
      <c r="C9092" s="17"/>
      <c r="D9092" s="2"/>
    </row>
    <row r="9093" spans="1:4" ht="12.75" customHeight="1" x14ac:dyDescent="0.2">
      <c r="B9093" s="11" t="s">
        <v>13</v>
      </c>
      <c r="C9093" s="17" t="s">
        <v>2644</v>
      </c>
      <c r="D9093" s="2"/>
    </row>
    <row r="9094" spans="1:4" ht="25.5" customHeight="1" x14ac:dyDescent="0.2">
      <c r="B9094" s="11" t="s">
        <v>2603</v>
      </c>
      <c r="C9094" s="17" t="s">
        <v>2971</v>
      </c>
      <c r="D9094" s="2"/>
    </row>
    <row r="9095" spans="1:4" ht="12.75" customHeight="1" x14ac:dyDescent="0.2">
      <c r="B9095" s="11" t="s">
        <v>2605</v>
      </c>
      <c r="C9095" s="17" t="s">
        <v>14</v>
      </c>
      <c r="D9095" s="2"/>
    </row>
    <row r="9096" spans="1:4" ht="12.75" customHeight="1" x14ac:dyDescent="0.2">
      <c r="B9096" s="11" t="s">
        <v>2606</v>
      </c>
      <c r="C9096" s="16" t="s">
        <v>19</v>
      </c>
      <c r="D9096" s="2"/>
    </row>
    <row r="9097" spans="1:4" ht="12.75" customHeight="1" x14ac:dyDescent="0.2">
      <c r="B9097" s="2"/>
      <c r="C9097" s="15"/>
      <c r="D9097" s="2"/>
    </row>
    <row r="9098" spans="1:4" ht="12.75" customHeight="1" x14ac:dyDescent="0.2">
      <c r="B9098" s="2"/>
      <c r="C9098" s="15"/>
      <c r="D9098" s="2"/>
    </row>
    <row r="9099" spans="1:4" ht="12.75" customHeight="1" x14ac:dyDescent="0.2">
      <c r="A9099" s="13" t="s">
        <v>4003</v>
      </c>
      <c r="C9099" s="12"/>
      <c r="D9099" s="2"/>
    </row>
    <row r="9100" spans="1:4" ht="12.75" customHeight="1" x14ac:dyDescent="0.2">
      <c r="A9100" s="11"/>
      <c r="B9100" s="2"/>
      <c r="C9100" s="15"/>
      <c r="D9100" s="2"/>
    </row>
    <row r="9101" spans="1:4" ht="12.75" customHeight="1" x14ac:dyDescent="0.2">
      <c r="B9101" s="11" t="s">
        <v>0</v>
      </c>
      <c r="C9101" s="17" t="s">
        <v>223</v>
      </c>
      <c r="D9101" s="2"/>
    </row>
    <row r="9102" spans="1:4" ht="12.75" customHeight="1" x14ac:dyDescent="0.2">
      <c r="B9102" s="11" t="s">
        <v>2599</v>
      </c>
      <c r="C9102" s="17" t="s">
        <v>3674</v>
      </c>
      <c r="D9102" s="2"/>
    </row>
    <row r="9103" spans="1:4" ht="25.5" customHeight="1" x14ac:dyDescent="0.2">
      <c r="B9103" s="11" t="s">
        <v>2600</v>
      </c>
      <c r="C9103" s="17" t="s">
        <v>4004</v>
      </c>
      <c r="D9103" s="2"/>
    </row>
    <row r="9104" spans="1:4" ht="25.5" customHeight="1" x14ac:dyDescent="0.2">
      <c r="B9104" s="11" t="s">
        <v>2601</v>
      </c>
      <c r="C9104" s="17"/>
      <c r="D9104" s="2"/>
    </row>
    <row r="9105" spans="1:4" ht="12.75" customHeight="1" x14ac:dyDescent="0.2">
      <c r="B9105" s="11" t="s">
        <v>16</v>
      </c>
      <c r="C9105" s="17"/>
      <c r="D9105" s="2"/>
    </row>
    <row r="9106" spans="1:4" ht="12.75" customHeight="1" x14ac:dyDescent="0.2">
      <c r="B9106" s="11" t="s">
        <v>13</v>
      </c>
      <c r="C9106" s="17" t="s">
        <v>2602</v>
      </c>
      <c r="D9106" s="2"/>
    </row>
    <row r="9107" spans="1:4" ht="25.5" customHeight="1" x14ac:dyDescent="0.2">
      <c r="B9107" s="11" t="s">
        <v>2603</v>
      </c>
      <c r="C9107" s="17" t="s">
        <v>2971</v>
      </c>
      <c r="D9107" s="2"/>
    </row>
    <row r="9108" spans="1:4" ht="12.75" customHeight="1" x14ac:dyDescent="0.2">
      <c r="B9108" s="11" t="s">
        <v>2605</v>
      </c>
      <c r="C9108" s="17" t="s">
        <v>14</v>
      </c>
      <c r="D9108" s="2"/>
    </row>
    <row r="9109" spans="1:4" ht="12.75" customHeight="1" x14ac:dyDescent="0.2">
      <c r="B9109" s="11" t="s">
        <v>2606</v>
      </c>
      <c r="C9109" s="16" t="s">
        <v>19</v>
      </c>
      <c r="D9109" s="2"/>
    </row>
    <row r="9110" spans="1:4" ht="12.75" customHeight="1" x14ac:dyDescent="0.2">
      <c r="B9110" s="2"/>
      <c r="C9110" s="15"/>
      <c r="D9110" s="2"/>
    </row>
    <row r="9111" spans="1:4" ht="12.75" customHeight="1" x14ac:dyDescent="0.2">
      <c r="B9111" s="2"/>
      <c r="C9111" s="15"/>
      <c r="D9111" s="2"/>
    </row>
    <row r="9112" spans="1:4" ht="12.75" customHeight="1" x14ac:dyDescent="0.2">
      <c r="A9112" s="13" t="s">
        <v>4005</v>
      </c>
      <c r="C9112" s="12"/>
      <c r="D9112" s="2"/>
    </row>
    <row r="9113" spans="1:4" ht="12.75" customHeight="1" x14ac:dyDescent="0.2">
      <c r="A9113" s="11"/>
      <c r="B9113" s="2"/>
      <c r="C9113" s="15"/>
      <c r="D9113" s="2"/>
    </row>
    <row r="9114" spans="1:4" ht="12.75" customHeight="1" x14ac:dyDescent="0.2">
      <c r="B9114" s="11" t="s">
        <v>0</v>
      </c>
      <c r="C9114" s="17" t="s">
        <v>223</v>
      </c>
      <c r="D9114" s="2"/>
    </row>
    <row r="9115" spans="1:4" ht="12.75" customHeight="1" x14ac:dyDescent="0.2">
      <c r="B9115" s="11" t="s">
        <v>2599</v>
      </c>
      <c r="C9115" s="17" t="s">
        <v>4006</v>
      </c>
      <c r="D9115" s="2"/>
    </row>
    <row r="9116" spans="1:4" ht="25.5" customHeight="1" x14ac:dyDescent="0.2">
      <c r="B9116" s="11" t="s">
        <v>2600</v>
      </c>
      <c r="C9116" s="17" t="s">
        <v>4007</v>
      </c>
      <c r="D9116" s="2"/>
    </row>
    <row r="9117" spans="1:4" ht="25.5" customHeight="1" x14ac:dyDescent="0.2">
      <c r="B9117" s="11" t="s">
        <v>2601</v>
      </c>
      <c r="C9117" s="17"/>
      <c r="D9117" s="2"/>
    </row>
    <row r="9118" spans="1:4" ht="12.75" customHeight="1" x14ac:dyDescent="0.2">
      <c r="B9118" s="11" t="s">
        <v>16</v>
      </c>
      <c r="C9118" s="17"/>
      <c r="D9118" s="2"/>
    </row>
    <row r="9119" spans="1:4" ht="12.75" customHeight="1" x14ac:dyDescent="0.2">
      <c r="B9119" s="11" t="s">
        <v>13</v>
      </c>
      <c r="C9119" s="17" t="s">
        <v>2644</v>
      </c>
      <c r="D9119" s="2"/>
    </row>
    <row r="9120" spans="1:4" ht="25.5" customHeight="1" x14ac:dyDescent="0.2">
      <c r="B9120" s="11" t="s">
        <v>2603</v>
      </c>
      <c r="C9120" s="17" t="s">
        <v>2971</v>
      </c>
      <c r="D9120" s="2"/>
    </row>
    <row r="9121" spans="1:4" ht="12.75" customHeight="1" x14ac:dyDescent="0.2">
      <c r="B9121" s="11" t="s">
        <v>2605</v>
      </c>
      <c r="C9121" s="17" t="s">
        <v>14</v>
      </c>
      <c r="D9121" s="2"/>
    </row>
    <row r="9122" spans="1:4" ht="12.75" customHeight="1" x14ac:dyDescent="0.2">
      <c r="B9122" s="11" t="s">
        <v>2606</v>
      </c>
      <c r="C9122" s="16" t="s">
        <v>19</v>
      </c>
      <c r="D9122" s="2"/>
    </row>
    <row r="9123" spans="1:4" ht="12.75" customHeight="1" x14ac:dyDescent="0.2">
      <c r="B9123" s="2"/>
      <c r="C9123" s="15"/>
      <c r="D9123" s="2"/>
    </row>
    <row r="9124" spans="1:4" ht="12.75" customHeight="1" x14ac:dyDescent="0.2">
      <c r="B9124" s="2"/>
      <c r="C9124" s="15"/>
      <c r="D9124" s="2"/>
    </row>
    <row r="9125" spans="1:4" ht="12.75" customHeight="1" x14ac:dyDescent="0.2">
      <c r="A9125" s="13" t="s">
        <v>4008</v>
      </c>
      <c r="C9125" s="12"/>
    </row>
    <row r="9126" spans="1:4" ht="12.75" customHeight="1" x14ac:dyDescent="0.2">
      <c r="A9126" s="11"/>
      <c r="B9126" s="2"/>
      <c r="C9126" s="15"/>
      <c r="D9126" s="2"/>
    </row>
    <row r="9127" spans="1:4" ht="12.75" customHeight="1" x14ac:dyDescent="0.2">
      <c r="B9127" s="11" t="s">
        <v>0</v>
      </c>
      <c r="C9127" s="11" t="s">
        <v>223</v>
      </c>
    </row>
    <row r="9128" spans="1:4" ht="12.75" customHeight="1" x14ac:dyDescent="0.2">
      <c r="B9128" s="11" t="s">
        <v>2599</v>
      </c>
      <c r="C9128" s="11" t="s">
        <v>4009</v>
      </c>
    </row>
    <row r="9129" spans="1:4" ht="25.5" customHeight="1" x14ac:dyDescent="0.2">
      <c r="B9129" s="11" t="s">
        <v>2600</v>
      </c>
      <c r="C9129" s="11" t="s">
        <v>4010</v>
      </c>
    </row>
    <row r="9130" spans="1:4" ht="25.5" customHeight="1" x14ac:dyDescent="0.2">
      <c r="B9130" s="11" t="s">
        <v>2601</v>
      </c>
      <c r="C9130" s="11"/>
    </row>
    <row r="9131" spans="1:4" ht="12.75" customHeight="1" x14ac:dyDescent="0.2">
      <c r="B9131" s="11" t="s">
        <v>16</v>
      </c>
      <c r="C9131" s="11"/>
    </row>
    <row r="9132" spans="1:4" ht="12.75" customHeight="1" x14ac:dyDescent="0.2">
      <c r="B9132" s="11" t="s">
        <v>13</v>
      </c>
      <c r="C9132" s="11" t="s">
        <v>2602</v>
      </c>
    </row>
    <row r="9133" spans="1:4" ht="12.75" customHeight="1" x14ac:dyDescent="0.2">
      <c r="B9133" s="11" t="s">
        <v>2603</v>
      </c>
      <c r="C9133" s="11" t="s">
        <v>2604</v>
      </c>
    </row>
    <row r="9134" spans="1:4" ht="12.75" customHeight="1" x14ac:dyDescent="0.2">
      <c r="B9134" s="11" t="s">
        <v>2605</v>
      </c>
      <c r="C9134" s="11" t="s">
        <v>24</v>
      </c>
    </row>
    <row r="9135" spans="1:4" ht="12.75" customHeight="1" x14ac:dyDescent="0.2">
      <c r="B9135" s="11" t="s">
        <v>2606</v>
      </c>
      <c r="C9135" s="16" t="s">
        <v>132</v>
      </c>
      <c r="D9135" s="6" t="str">
        <f>HYPERLINK("javascript:void(0)","kincs")</f>
        <v>kincs</v>
      </c>
    </row>
    <row r="9136" spans="1:4" ht="12.75" customHeight="1" x14ac:dyDescent="0.2">
      <c r="B9136" s="2"/>
      <c r="C9136" s="15"/>
      <c r="D9136" s="2"/>
    </row>
    <row r="9137" spans="1:4" ht="12.75" customHeight="1" x14ac:dyDescent="0.2">
      <c r="B9137" s="2"/>
      <c r="C9137" s="15"/>
      <c r="D9137" s="2"/>
    </row>
    <row r="9138" spans="1:4" ht="12.75" customHeight="1" x14ac:dyDescent="0.2">
      <c r="A9138" s="13" t="s">
        <v>4011</v>
      </c>
      <c r="C9138" s="12"/>
    </row>
    <row r="9139" spans="1:4" ht="12.75" customHeight="1" x14ac:dyDescent="0.2">
      <c r="A9139" s="11"/>
      <c r="B9139" s="2"/>
      <c r="C9139" s="15"/>
      <c r="D9139" s="2"/>
    </row>
    <row r="9140" spans="1:4" ht="12.75" customHeight="1" x14ac:dyDescent="0.2">
      <c r="B9140" s="11" t="s">
        <v>0</v>
      </c>
      <c r="C9140" s="11" t="s">
        <v>223</v>
      </c>
    </row>
    <row r="9141" spans="1:4" ht="12.75" customHeight="1" x14ac:dyDescent="0.2">
      <c r="B9141" s="11" t="s">
        <v>2599</v>
      </c>
      <c r="C9141" s="11" t="s">
        <v>4012</v>
      </c>
    </row>
    <row r="9142" spans="1:4" ht="25.5" customHeight="1" x14ac:dyDescent="0.2">
      <c r="B9142" s="11" t="s">
        <v>2600</v>
      </c>
      <c r="C9142" s="11" t="s">
        <v>3947</v>
      </c>
    </row>
    <row r="9143" spans="1:4" ht="25.5" customHeight="1" x14ac:dyDescent="0.2">
      <c r="B9143" s="11" t="s">
        <v>2601</v>
      </c>
      <c r="C9143" s="11"/>
    </row>
    <row r="9144" spans="1:4" ht="12.75" customHeight="1" x14ac:dyDescent="0.2">
      <c r="B9144" s="11" t="s">
        <v>16</v>
      </c>
      <c r="C9144" s="11"/>
    </row>
    <row r="9145" spans="1:4" ht="12.75" customHeight="1" x14ac:dyDescent="0.2">
      <c r="B9145" s="11" t="s">
        <v>13</v>
      </c>
      <c r="C9145" s="11" t="s">
        <v>2602</v>
      </c>
    </row>
    <row r="9146" spans="1:4" ht="12.75" customHeight="1" x14ac:dyDescent="0.2">
      <c r="B9146" s="11" t="s">
        <v>2603</v>
      </c>
      <c r="C9146" s="11" t="s">
        <v>2604</v>
      </c>
    </row>
    <row r="9147" spans="1:4" ht="12.75" customHeight="1" x14ac:dyDescent="0.2">
      <c r="B9147" s="11" t="s">
        <v>2605</v>
      </c>
      <c r="C9147" s="11" t="s">
        <v>24</v>
      </c>
    </row>
    <row r="9148" spans="1:4" ht="12.75" customHeight="1" x14ac:dyDescent="0.2">
      <c r="B9148" s="11" t="s">
        <v>2606</v>
      </c>
      <c r="C9148" s="16" t="s">
        <v>67</v>
      </c>
      <c r="D9148" s="6" t="str">
        <f>HYPERLINK("javascript:void(0)","kincs")</f>
        <v>kincs</v>
      </c>
    </row>
    <row r="9149" spans="1:4" ht="12.75" customHeight="1" x14ac:dyDescent="0.2">
      <c r="B9149" s="2"/>
      <c r="C9149" s="15"/>
      <c r="D9149" s="2"/>
    </row>
    <row r="9150" spans="1:4" ht="12.75" customHeight="1" x14ac:dyDescent="0.2">
      <c r="B9150" s="2"/>
      <c r="C9150" s="15"/>
      <c r="D9150" s="2"/>
    </row>
    <row r="9151" spans="1:4" ht="12.75" customHeight="1" x14ac:dyDescent="0.2">
      <c r="A9151" s="13" t="s">
        <v>4013</v>
      </c>
      <c r="C9151" s="12"/>
    </row>
    <row r="9152" spans="1:4" ht="12.75" customHeight="1" x14ac:dyDescent="0.2">
      <c r="A9152" s="11"/>
      <c r="B9152" s="2"/>
      <c r="C9152" s="15"/>
      <c r="D9152" s="2"/>
    </row>
    <row r="9153" spans="1:4" ht="12.75" customHeight="1" x14ac:dyDescent="0.2">
      <c r="B9153" s="11" t="s">
        <v>0</v>
      </c>
      <c r="C9153" s="11" t="s">
        <v>223</v>
      </c>
    </row>
    <row r="9154" spans="1:4" ht="12.75" customHeight="1" x14ac:dyDescent="0.2">
      <c r="B9154" s="11" t="s">
        <v>2599</v>
      </c>
      <c r="C9154" s="11" t="s">
        <v>4014</v>
      </c>
    </row>
    <row r="9155" spans="1:4" ht="25.5" customHeight="1" x14ac:dyDescent="0.2">
      <c r="B9155" s="11" t="s">
        <v>2600</v>
      </c>
      <c r="C9155" s="11" t="s">
        <v>4015</v>
      </c>
    </row>
    <row r="9156" spans="1:4" ht="25.5" customHeight="1" x14ac:dyDescent="0.2">
      <c r="B9156" s="11" t="s">
        <v>2601</v>
      </c>
      <c r="C9156" s="11"/>
    </row>
    <row r="9157" spans="1:4" ht="12.75" customHeight="1" x14ac:dyDescent="0.2">
      <c r="B9157" s="11" t="s">
        <v>16</v>
      </c>
      <c r="C9157" s="11"/>
    </row>
    <row r="9158" spans="1:4" ht="12.75" customHeight="1" x14ac:dyDescent="0.2">
      <c r="B9158" s="11" t="s">
        <v>13</v>
      </c>
      <c r="C9158" s="11" t="s">
        <v>2602</v>
      </c>
    </row>
    <row r="9159" spans="1:4" ht="12.75" customHeight="1" x14ac:dyDescent="0.2">
      <c r="B9159" s="11" t="s">
        <v>2603</v>
      </c>
      <c r="C9159" s="11" t="s">
        <v>2604</v>
      </c>
    </row>
    <row r="9160" spans="1:4" ht="12.75" customHeight="1" x14ac:dyDescent="0.2">
      <c r="B9160" s="11" t="s">
        <v>2605</v>
      </c>
      <c r="C9160" s="11" t="s">
        <v>24</v>
      </c>
    </row>
    <row r="9161" spans="1:4" ht="12.75" customHeight="1" x14ac:dyDescent="0.2">
      <c r="B9161" s="11" t="s">
        <v>2606</v>
      </c>
      <c r="C9161" s="16" t="s">
        <v>44</v>
      </c>
      <c r="D9161" s="6" t="str">
        <f>HYPERLINK("javascript:void(0)","aqua dei")</f>
        <v>aqua dei</v>
      </c>
    </row>
    <row r="9162" spans="1:4" ht="12.75" customHeight="1" x14ac:dyDescent="0.2">
      <c r="B9162" s="2"/>
      <c r="C9162" s="15"/>
      <c r="D9162" s="2"/>
    </row>
    <row r="9163" spans="1:4" ht="12.75" customHeight="1" x14ac:dyDescent="0.2">
      <c r="B9163" s="2"/>
      <c r="C9163" s="15"/>
      <c r="D9163" s="2"/>
    </row>
    <row r="9164" spans="1:4" ht="12.75" customHeight="1" x14ac:dyDescent="0.2">
      <c r="A9164" s="13" t="s">
        <v>4017</v>
      </c>
      <c r="C9164" s="12"/>
    </row>
    <row r="9165" spans="1:4" ht="12.75" customHeight="1" x14ac:dyDescent="0.2">
      <c r="A9165" s="11"/>
      <c r="B9165" s="2"/>
      <c r="C9165" s="15"/>
      <c r="D9165" s="2"/>
    </row>
    <row r="9166" spans="1:4" ht="12.75" customHeight="1" x14ac:dyDescent="0.2">
      <c r="B9166" s="11" t="s">
        <v>0</v>
      </c>
      <c r="C9166" s="11" t="s">
        <v>223</v>
      </c>
    </row>
    <row r="9167" spans="1:4" ht="12.75" customHeight="1" x14ac:dyDescent="0.2">
      <c r="B9167" s="11" t="s">
        <v>2599</v>
      </c>
      <c r="C9167" s="11" t="s">
        <v>4018</v>
      </c>
    </row>
    <row r="9168" spans="1:4" ht="25.5" customHeight="1" x14ac:dyDescent="0.2">
      <c r="B9168" s="11" t="s">
        <v>2600</v>
      </c>
      <c r="C9168" s="11" t="s">
        <v>4019</v>
      </c>
    </row>
    <row r="9169" spans="1:4" ht="25.5" customHeight="1" x14ac:dyDescent="0.2">
      <c r="B9169" s="11" t="s">
        <v>2601</v>
      </c>
      <c r="C9169" s="11"/>
    </row>
    <row r="9170" spans="1:4" ht="12.75" customHeight="1" x14ac:dyDescent="0.2">
      <c r="B9170" s="11" t="s">
        <v>16</v>
      </c>
      <c r="C9170" s="11"/>
    </row>
    <row r="9171" spans="1:4" ht="12.75" customHeight="1" x14ac:dyDescent="0.2">
      <c r="B9171" s="11" t="s">
        <v>13</v>
      </c>
      <c r="C9171" s="11" t="s">
        <v>2644</v>
      </c>
    </row>
    <row r="9172" spans="1:4" ht="12.75" customHeight="1" x14ac:dyDescent="0.2">
      <c r="B9172" s="11" t="s">
        <v>2603</v>
      </c>
      <c r="C9172" s="11" t="s">
        <v>2604</v>
      </c>
    </row>
    <row r="9173" spans="1:4" ht="12.75" customHeight="1" x14ac:dyDescent="0.2">
      <c r="B9173" s="11" t="s">
        <v>2605</v>
      </c>
      <c r="C9173" s="11" t="s">
        <v>24</v>
      </c>
    </row>
    <row r="9174" spans="1:4" ht="12.75" customHeight="1" x14ac:dyDescent="0.2">
      <c r="B9174" s="11" t="s">
        <v>2606</v>
      </c>
      <c r="C9174" s="16" t="s">
        <v>67</v>
      </c>
      <c r="D9174" s="6" t="str">
        <f>HYPERLINK("javascript:void(0)","kincs")</f>
        <v>kincs</v>
      </c>
    </row>
    <row r="9175" spans="1:4" ht="12.75" customHeight="1" x14ac:dyDescent="0.2">
      <c r="B9175" s="2"/>
      <c r="C9175" s="15"/>
      <c r="D9175" s="2"/>
    </row>
    <row r="9176" spans="1:4" ht="12.75" customHeight="1" x14ac:dyDescent="0.2">
      <c r="B9176" s="2"/>
      <c r="C9176" s="15"/>
      <c r="D9176" s="2"/>
    </row>
    <row r="9177" spans="1:4" ht="12.75" customHeight="1" x14ac:dyDescent="0.2">
      <c r="A9177" s="13" t="s">
        <v>4020</v>
      </c>
      <c r="C9177" s="12"/>
    </row>
    <row r="9178" spans="1:4" ht="12.75" customHeight="1" x14ac:dyDescent="0.2">
      <c r="A9178" s="11"/>
      <c r="B9178" s="2"/>
      <c r="C9178" s="15"/>
      <c r="D9178" s="2"/>
    </row>
    <row r="9179" spans="1:4" ht="12.75" customHeight="1" x14ac:dyDescent="0.2">
      <c r="B9179" s="11" t="s">
        <v>0</v>
      </c>
      <c r="C9179" s="11" t="s">
        <v>223</v>
      </c>
    </row>
    <row r="9180" spans="1:4" ht="12.75" customHeight="1" x14ac:dyDescent="0.2">
      <c r="B9180" s="11" t="s">
        <v>2599</v>
      </c>
      <c r="C9180" s="11" t="s">
        <v>4021</v>
      </c>
    </row>
    <row r="9181" spans="1:4" ht="25.5" customHeight="1" x14ac:dyDescent="0.2">
      <c r="B9181" s="11" t="s">
        <v>2600</v>
      </c>
      <c r="C9181" s="11" t="s">
        <v>4022</v>
      </c>
    </row>
    <row r="9182" spans="1:4" ht="25.5" customHeight="1" x14ac:dyDescent="0.2">
      <c r="B9182" s="11" t="s">
        <v>2601</v>
      </c>
      <c r="C9182" s="11"/>
    </row>
    <row r="9183" spans="1:4" ht="12.75" customHeight="1" x14ac:dyDescent="0.2">
      <c r="B9183" s="11" t="s">
        <v>16</v>
      </c>
      <c r="C9183" s="11"/>
    </row>
    <row r="9184" spans="1:4" ht="12.75" customHeight="1" x14ac:dyDescent="0.2">
      <c r="B9184" s="11" t="s">
        <v>13</v>
      </c>
      <c r="C9184" s="11" t="s">
        <v>2644</v>
      </c>
    </row>
    <row r="9185" spans="1:4" ht="12.75" customHeight="1" x14ac:dyDescent="0.2">
      <c r="B9185" s="11" t="s">
        <v>2603</v>
      </c>
      <c r="C9185" s="11" t="s">
        <v>2604</v>
      </c>
    </row>
    <row r="9186" spans="1:4" ht="12.75" customHeight="1" x14ac:dyDescent="0.2">
      <c r="B9186" s="11" t="s">
        <v>2605</v>
      </c>
      <c r="C9186" s="11" t="s">
        <v>24</v>
      </c>
    </row>
    <row r="9187" spans="1:4" ht="12.75" customHeight="1" x14ac:dyDescent="0.2">
      <c r="B9187" s="11" t="s">
        <v>2606</v>
      </c>
      <c r="C9187" s="16" t="s">
        <v>67</v>
      </c>
      <c r="D9187" s="6" t="str">
        <f>HYPERLINK("javascript:void(0)","kincs")</f>
        <v>kincs</v>
      </c>
    </row>
    <row r="9188" spans="1:4" ht="12.75" customHeight="1" x14ac:dyDescent="0.2">
      <c r="B9188" s="2"/>
      <c r="C9188" s="15"/>
      <c r="D9188" s="2"/>
    </row>
    <row r="9189" spans="1:4" ht="12.75" customHeight="1" x14ac:dyDescent="0.2">
      <c r="B9189" s="2"/>
      <c r="C9189" s="15"/>
      <c r="D9189" s="2"/>
    </row>
    <row r="9190" spans="1:4" ht="12.75" customHeight="1" x14ac:dyDescent="0.2">
      <c r="A9190" s="13" t="s">
        <v>4023</v>
      </c>
      <c r="C9190" s="12"/>
    </row>
    <row r="9191" spans="1:4" ht="12.75" customHeight="1" x14ac:dyDescent="0.2">
      <c r="A9191" s="11"/>
      <c r="B9191" s="2"/>
      <c r="C9191" s="15"/>
      <c r="D9191" s="2"/>
    </row>
    <row r="9192" spans="1:4" ht="12.75" customHeight="1" x14ac:dyDescent="0.2">
      <c r="B9192" s="11" t="s">
        <v>0</v>
      </c>
      <c r="C9192" s="11" t="s">
        <v>223</v>
      </c>
    </row>
    <row r="9193" spans="1:4" ht="12.75" customHeight="1" x14ac:dyDescent="0.2">
      <c r="B9193" s="11" t="s">
        <v>2599</v>
      </c>
      <c r="C9193" s="11" t="s">
        <v>3322</v>
      </c>
    </row>
    <row r="9194" spans="1:4" ht="25.5" customHeight="1" x14ac:dyDescent="0.2">
      <c r="B9194" s="11" t="s">
        <v>2600</v>
      </c>
      <c r="C9194" s="11" t="s">
        <v>4024</v>
      </c>
    </row>
    <row r="9195" spans="1:4" ht="25.5" customHeight="1" x14ac:dyDescent="0.2">
      <c r="B9195" s="11" t="s">
        <v>2601</v>
      </c>
      <c r="C9195" s="11"/>
    </row>
    <row r="9196" spans="1:4" ht="12.75" customHeight="1" x14ac:dyDescent="0.2">
      <c r="B9196" s="11" t="s">
        <v>16</v>
      </c>
      <c r="C9196" s="11"/>
    </row>
    <row r="9197" spans="1:4" ht="12.75" customHeight="1" x14ac:dyDescent="0.2">
      <c r="B9197" s="11" t="s">
        <v>13</v>
      </c>
      <c r="C9197" s="11" t="s">
        <v>2644</v>
      </c>
    </row>
    <row r="9198" spans="1:4" ht="12.75" customHeight="1" x14ac:dyDescent="0.2">
      <c r="B9198" s="11" t="s">
        <v>2603</v>
      </c>
      <c r="C9198" s="11" t="s">
        <v>2604</v>
      </c>
    </row>
    <row r="9199" spans="1:4" ht="12.75" customHeight="1" x14ac:dyDescent="0.2">
      <c r="B9199" s="11" t="s">
        <v>2605</v>
      </c>
      <c r="C9199" s="11" t="s">
        <v>24</v>
      </c>
    </row>
    <row r="9200" spans="1:4" ht="12.75" customHeight="1" x14ac:dyDescent="0.2">
      <c r="B9200" s="11" t="s">
        <v>2606</v>
      </c>
      <c r="C9200" s="16" t="s">
        <v>44</v>
      </c>
      <c r="D9200" s="6" t="str">
        <f>HYPERLINK("javascript:void(0)","horog")</f>
        <v>horog</v>
      </c>
    </row>
    <row r="9201" spans="1:4" ht="12.75" customHeight="1" x14ac:dyDescent="0.2">
      <c r="B9201" s="2"/>
      <c r="C9201" s="15"/>
      <c r="D9201" s="2"/>
    </row>
    <row r="9202" spans="1:4" ht="12.75" customHeight="1" x14ac:dyDescent="0.2">
      <c r="B9202" s="2"/>
      <c r="C9202" s="15"/>
      <c r="D9202" s="2"/>
    </row>
    <row r="9203" spans="1:4" ht="12.75" customHeight="1" x14ac:dyDescent="0.2">
      <c r="A9203" s="13" t="s">
        <v>4025</v>
      </c>
      <c r="C9203" s="12"/>
    </row>
    <row r="9204" spans="1:4" ht="12.75" customHeight="1" x14ac:dyDescent="0.2">
      <c r="A9204" s="11"/>
      <c r="B9204" s="2"/>
      <c r="C9204" s="15"/>
      <c r="D9204" s="2"/>
    </row>
    <row r="9205" spans="1:4" ht="12.75" customHeight="1" x14ac:dyDescent="0.2">
      <c r="B9205" s="11" t="s">
        <v>0</v>
      </c>
      <c r="C9205" s="11" t="s">
        <v>223</v>
      </c>
    </row>
    <row r="9206" spans="1:4" ht="12.75" customHeight="1" x14ac:dyDescent="0.2">
      <c r="B9206" s="11" t="s">
        <v>2599</v>
      </c>
      <c r="C9206" s="11" t="s">
        <v>4026</v>
      </c>
    </row>
    <row r="9207" spans="1:4" ht="25.5" customHeight="1" x14ac:dyDescent="0.2">
      <c r="B9207" s="11" t="s">
        <v>2600</v>
      </c>
      <c r="C9207" s="11" t="s">
        <v>4027</v>
      </c>
    </row>
    <row r="9208" spans="1:4" ht="25.5" customHeight="1" x14ac:dyDescent="0.2">
      <c r="B9208" s="11" t="s">
        <v>2601</v>
      </c>
      <c r="C9208" s="11"/>
    </row>
    <row r="9209" spans="1:4" ht="12.75" customHeight="1" x14ac:dyDescent="0.2">
      <c r="B9209" s="11" t="s">
        <v>16</v>
      </c>
      <c r="C9209" s="11"/>
    </row>
    <row r="9210" spans="1:4" ht="12.75" customHeight="1" x14ac:dyDescent="0.2">
      <c r="B9210" s="11" t="s">
        <v>13</v>
      </c>
      <c r="C9210" s="11" t="s">
        <v>2602</v>
      </c>
    </row>
    <row r="9211" spans="1:4" ht="12.75" customHeight="1" x14ac:dyDescent="0.2">
      <c r="B9211" s="11" t="s">
        <v>2603</v>
      </c>
      <c r="C9211" s="11" t="s">
        <v>2604</v>
      </c>
    </row>
    <row r="9212" spans="1:4" ht="12.75" customHeight="1" x14ac:dyDescent="0.2">
      <c r="B9212" s="11" t="s">
        <v>2605</v>
      </c>
      <c r="C9212" s="11" t="s">
        <v>24</v>
      </c>
    </row>
    <row r="9213" spans="1:4" ht="12.75" customHeight="1" x14ac:dyDescent="0.2">
      <c r="B9213" s="11" t="s">
        <v>2606</v>
      </c>
      <c r="C9213" s="16" t="s">
        <v>44</v>
      </c>
      <c r="D9213" s="6" t="str">
        <f>HYPERLINK("javascript:void(0)","hiperzsír")</f>
        <v>hiperzsír</v>
      </c>
    </row>
    <row r="9214" spans="1:4" ht="12.75" customHeight="1" x14ac:dyDescent="0.2">
      <c r="C9214" s="16" t="s">
        <v>142</v>
      </c>
      <c r="D9214" s="6" t="str">
        <f>HYPERLINK("javascript:void(0)","kincs")</f>
        <v>kincs</v>
      </c>
    </row>
    <row r="9215" spans="1:4" ht="12.75" customHeight="1" x14ac:dyDescent="0.2">
      <c r="B9215" s="2"/>
      <c r="C9215" s="15"/>
      <c r="D9215" s="2"/>
    </row>
    <row r="9216" spans="1:4" ht="12.75" customHeight="1" x14ac:dyDescent="0.2">
      <c r="B9216" s="2"/>
      <c r="C9216" s="15"/>
      <c r="D9216" s="2"/>
    </row>
    <row r="9217" spans="1:4" ht="12.75" customHeight="1" x14ac:dyDescent="0.2">
      <c r="A9217" s="13" t="s">
        <v>4028</v>
      </c>
      <c r="C9217" s="12"/>
    </row>
    <row r="9218" spans="1:4" ht="12.75" customHeight="1" x14ac:dyDescent="0.2">
      <c r="A9218" s="11"/>
      <c r="B9218" s="2"/>
      <c r="C9218" s="15"/>
      <c r="D9218" s="2"/>
    </row>
    <row r="9219" spans="1:4" ht="12.75" customHeight="1" x14ac:dyDescent="0.2">
      <c r="B9219" s="11" t="s">
        <v>0</v>
      </c>
      <c r="C9219" s="11" t="s">
        <v>223</v>
      </c>
    </row>
    <row r="9220" spans="1:4" ht="12.75" customHeight="1" x14ac:dyDescent="0.2">
      <c r="B9220" s="11" t="s">
        <v>2599</v>
      </c>
      <c r="C9220" s="11" t="s">
        <v>2869</v>
      </c>
    </row>
    <row r="9221" spans="1:4" ht="25.5" customHeight="1" x14ac:dyDescent="0.2">
      <c r="B9221" s="11" t="s">
        <v>2600</v>
      </c>
      <c r="C9221" s="11" t="s">
        <v>4029</v>
      </c>
    </row>
    <row r="9222" spans="1:4" ht="25.5" customHeight="1" x14ac:dyDescent="0.2">
      <c r="B9222" s="11" t="s">
        <v>2601</v>
      </c>
      <c r="C9222" s="11"/>
    </row>
    <row r="9223" spans="1:4" ht="12.75" customHeight="1" x14ac:dyDescent="0.2">
      <c r="B9223" s="11" t="s">
        <v>16</v>
      </c>
      <c r="C9223" s="11"/>
    </row>
    <row r="9224" spans="1:4" ht="12.75" customHeight="1" x14ac:dyDescent="0.2">
      <c r="B9224" s="11" t="s">
        <v>13</v>
      </c>
      <c r="C9224" s="11" t="s">
        <v>2644</v>
      </c>
    </row>
    <row r="9225" spans="1:4" ht="12.75" customHeight="1" x14ac:dyDescent="0.2">
      <c r="B9225" s="11" t="s">
        <v>2603</v>
      </c>
      <c r="C9225" s="11" t="s">
        <v>2604</v>
      </c>
    </row>
    <row r="9226" spans="1:4" ht="12.75" customHeight="1" x14ac:dyDescent="0.2">
      <c r="B9226" s="11" t="s">
        <v>2605</v>
      </c>
      <c r="C9226" s="11" t="s">
        <v>24</v>
      </c>
    </row>
    <row r="9227" spans="1:4" ht="12.75" customHeight="1" x14ac:dyDescent="0.2">
      <c r="B9227" s="11" t="s">
        <v>2606</v>
      </c>
      <c r="C9227" s="16" t="s">
        <v>44</v>
      </c>
      <c r="D9227" s="6" t="str">
        <f>HYPERLINK("javascript:void(0)","igeidő")</f>
        <v>igeidő</v>
      </c>
    </row>
    <row r="9228" spans="1:4" ht="12.75" customHeight="1" x14ac:dyDescent="0.2">
      <c r="B9228" s="2"/>
      <c r="C9228" s="15"/>
      <c r="D9228" s="2"/>
    </row>
    <row r="9229" spans="1:4" ht="12.75" customHeight="1" x14ac:dyDescent="0.2">
      <c r="B9229" s="2"/>
      <c r="C9229" s="15"/>
      <c r="D9229" s="2"/>
    </row>
    <row r="9230" spans="1:4" ht="12.75" customHeight="1" x14ac:dyDescent="0.2">
      <c r="A9230" s="13" t="s">
        <v>3966</v>
      </c>
      <c r="C9230" s="12"/>
      <c r="D9230" s="2"/>
    </row>
    <row r="9231" spans="1:4" ht="12.75" customHeight="1" x14ac:dyDescent="0.2">
      <c r="A9231" s="11"/>
      <c r="B9231" s="2"/>
      <c r="C9231" s="15"/>
      <c r="D9231" s="2"/>
    </row>
    <row r="9232" spans="1:4" ht="12.75" customHeight="1" x14ac:dyDescent="0.2">
      <c r="B9232" s="11" t="s">
        <v>0</v>
      </c>
      <c r="C9232" s="17" t="s">
        <v>223</v>
      </c>
      <c r="D9232" s="2"/>
    </row>
    <row r="9233" spans="1:4" ht="12.75" customHeight="1" x14ac:dyDescent="0.2">
      <c r="B9233" s="11" t="s">
        <v>2599</v>
      </c>
      <c r="C9233" s="17" t="s">
        <v>3967</v>
      </c>
      <c r="D9233" s="2"/>
    </row>
    <row r="9234" spans="1:4" ht="25.5" customHeight="1" x14ac:dyDescent="0.2">
      <c r="B9234" s="11" t="s">
        <v>2600</v>
      </c>
      <c r="C9234" s="17" t="s">
        <v>4030</v>
      </c>
      <c r="D9234" s="2"/>
    </row>
    <row r="9235" spans="1:4" ht="25.5" customHeight="1" x14ac:dyDescent="0.2">
      <c r="B9235" s="11" t="s">
        <v>2601</v>
      </c>
      <c r="C9235" s="17"/>
      <c r="D9235" s="2"/>
    </row>
    <row r="9236" spans="1:4" ht="12.75" customHeight="1" x14ac:dyDescent="0.2">
      <c r="B9236" s="11" t="s">
        <v>16</v>
      </c>
      <c r="C9236" s="17"/>
      <c r="D9236" s="2"/>
    </row>
    <row r="9237" spans="1:4" ht="12.75" customHeight="1" x14ac:dyDescent="0.2">
      <c r="B9237" s="11" t="s">
        <v>13</v>
      </c>
      <c r="C9237" s="17" t="s">
        <v>2602</v>
      </c>
      <c r="D9237" s="2"/>
    </row>
    <row r="9238" spans="1:4" ht="25.5" customHeight="1" x14ac:dyDescent="0.2">
      <c r="B9238" s="11" t="s">
        <v>2603</v>
      </c>
      <c r="C9238" s="17" t="s">
        <v>2971</v>
      </c>
      <c r="D9238" s="2"/>
    </row>
    <row r="9239" spans="1:4" ht="12.75" customHeight="1" x14ac:dyDescent="0.2">
      <c r="B9239" s="11" t="s">
        <v>2605</v>
      </c>
      <c r="C9239" s="17" t="s">
        <v>14</v>
      </c>
      <c r="D9239" s="2"/>
    </row>
    <row r="9240" spans="1:4" ht="12.75" customHeight="1" x14ac:dyDescent="0.2">
      <c r="B9240" s="11" t="s">
        <v>2606</v>
      </c>
      <c r="C9240" s="16" t="s">
        <v>19</v>
      </c>
      <c r="D9240" s="2"/>
    </row>
    <row r="9241" spans="1:4" ht="12.75" customHeight="1" x14ac:dyDescent="0.2">
      <c r="B9241" s="2"/>
      <c r="C9241" s="15"/>
      <c r="D9241" s="2"/>
    </row>
    <row r="9242" spans="1:4" ht="12.75" customHeight="1" x14ac:dyDescent="0.2">
      <c r="B9242" s="2"/>
      <c r="C9242" s="15"/>
      <c r="D9242" s="2"/>
    </row>
    <row r="9243" spans="1:4" ht="12.75" customHeight="1" x14ac:dyDescent="0.2">
      <c r="A9243" s="13" t="s">
        <v>4031</v>
      </c>
      <c r="C9243" s="12"/>
      <c r="D9243" s="2"/>
    </row>
    <row r="9244" spans="1:4" ht="12.75" customHeight="1" x14ac:dyDescent="0.2">
      <c r="A9244" s="11"/>
      <c r="B9244" s="2"/>
      <c r="C9244" s="15"/>
      <c r="D9244" s="2"/>
    </row>
    <row r="9245" spans="1:4" ht="12.75" customHeight="1" x14ac:dyDescent="0.2">
      <c r="B9245" s="11" t="s">
        <v>0</v>
      </c>
      <c r="C9245" s="17" t="s">
        <v>223</v>
      </c>
      <c r="D9245" s="2"/>
    </row>
    <row r="9246" spans="1:4" ht="12.75" customHeight="1" x14ac:dyDescent="0.2">
      <c r="B9246" s="11" t="s">
        <v>2599</v>
      </c>
      <c r="C9246" s="17" t="s">
        <v>697</v>
      </c>
      <c r="D9246" s="2"/>
    </row>
    <row r="9247" spans="1:4" ht="25.5" customHeight="1" x14ac:dyDescent="0.2">
      <c r="B9247" s="11" t="s">
        <v>2600</v>
      </c>
      <c r="C9247" s="17" t="s">
        <v>4032</v>
      </c>
      <c r="D9247" s="2"/>
    </row>
    <row r="9248" spans="1:4" ht="25.5" customHeight="1" x14ac:dyDescent="0.2">
      <c r="B9248" s="11" t="s">
        <v>2601</v>
      </c>
      <c r="C9248" s="17"/>
      <c r="D9248" s="2"/>
    </row>
    <row r="9249" spans="1:4" ht="12.75" customHeight="1" x14ac:dyDescent="0.2">
      <c r="B9249" s="11" t="s">
        <v>16</v>
      </c>
      <c r="C9249" s="17"/>
      <c r="D9249" s="2"/>
    </row>
    <row r="9250" spans="1:4" ht="12.75" customHeight="1" x14ac:dyDescent="0.2">
      <c r="B9250" s="11" t="s">
        <v>13</v>
      </c>
      <c r="C9250" s="17" t="s">
        <v>2644</v>
      </c>
      <c r="D9250" s="2"/>
    </row>
    <row r="9251" spans="1:4" ht="25.5" customHeight="1" x14ac:dyDescent="0.2">
      <c r="B9251" s="11" t="s">
        <v>2603</v>
      </c>
      <c r="C9251" s="17" t="s">
        <v>2971</v>
      </c>
      <c r="D9251" s="2"/>
    </row>
    <row r="9252" spans="1:4" ht="12.75" customHeight="1" x14ac:dyDescent="0.2">
      <c r="B9252" s="11" t="s">
        <v>2605</v>
      </c>
      <c r="C9252" s="17" t="s">
        <v>14</v>
      </c>
      <c r="D9252" s="2"/>
    </row>
    <row r="9253" spans="1:4" ht="12.75" customHeight="1" x14ac:dyDescent="0.2">
      <c r="B9253" s="11" t="s">
        <v>2606</v>
      </c>
      <c r="C9253" s="16" t="s">
        <v>19</v>
      </c>
      <c r="D9253" s="2"/>
    </row>
    <row r="9254" spans="1:4" ht="12.75" customHeight="1" x14ac:dyDescent="0.2">
      <c r="B9254" s="2"/>
      <c r="C9254" s="15"/>
      <c r="D9254" s="2"/>
    </row>
    <row r="9255" spans="1:4" ht="12.75" customHeight="1" x14ac:dyDescent="0.2">
      <c r="B9255" s="2"/>
      <c r="C9255" s="15"/>
      <c r="D9255" s="2"/>
    </row>
    <row r="9256" spans="1:4" ht="12.75" customHeight="1" x14ac:dyDescent="0.2">
      <c r="A9256" s="13" t="s">
        <v>3940</v>
      </c>
      <c r="C9256" s="12"/>
      <c r="D9256" s="2"/>
    </row>
    <row r="9257" spans="1:4" ht="12.75" customHeight="1" x14ac:dyDescent="0.2">
      <c r="A9257" s="11"/>
      <c r="B9257" s="2"/>
      <c r="C9257" s="15"/>
      <c r="D9257" s="2"/>
    </row>
    <row r="9258" spans="1:4" ht="12.75" customHeight="1" x14ac:dyDescent="0.2">
      <c r="B9258" s="11" t="s">
        <v>0</v>
      </c>
      <c r="C9258" s="17" t="s">
        <v>223</v>
      </c>
      <c r="D9258" s="2"/>
    </row>
    <row r="9259" spans="1:4" ht="12.75" customHeight="1" x14ac:dyDescent="0.2">
      <c r="B9259" s="11" t="s">
        <v>2599</v>
      </c>
      <c r="C9259" s="17" t="s">
        <v>3941</v>
      </c>
      <c r="D9259" s="2"/>
    </row>
    <row r="9260" spans="1:4" ht="25.5" customHeight="1" x14ac:dyDescent="0.2">
      <c r="B9260" s="11" t="s">
        <v>2600</v>
      </c>
      <c r="C9260" s="17" t="s">
        <v>4033</v>
      </c>
      <c r="D9260" s="2"/>
    </row>
    <row r="9261" spans="1:4" ht="25.5" customHeight="1" x14ac:dyDescent="0.2">
      <c r="B9261" s="11" t="s">
        <v>2601</v>
      </c>
      <c r="C9261" s="17"/>
      <c r="D9261" s="2"/>
    </row>
    <row r="9262" spans="1:4" ht="12.75" customHeight="1" x14ac:dyDescent="0.2">
      <c r="B9262" s="11" t="s">
        <v>16</v>
      </c>
      <c r="C9262" s="17"/>
      <c r="D9262" s="2"/>
    </row>
    <row r="9263" spans="1:4" ht="12.75" customHeight="1" x14ac:dyDescent="0.2">
      <c r="B9263" s="11" t="s">
        <v>13</v>
      </c>
      <c r="C9263" s="17" t="s">
        <v>2602</v>
      </c>
      <c r="D9263" s="2"/>
    </row>
    <row r="9264" spans="1:4" ht="25.5" customHeight="1" x14ac:dyDescent="0.2">
      <c r="B9264" s="11" t="s">
        <v>2603</v>
      </c>
      <c r="C9264" s="17" t="s">
        <v>2971</v>
      </c>
      <c r="D9264" s="2"/>
    </row>
    <row r="9265" spans="1:4" ht="12.75" customHeight="1" x14ac:dyDescent="0.2">
      <c r="B9265" s="11" t="s">
        <v>2605</v>
      </c>
      <c r="C9265" s="17" t="s">
        <v>14</v>
      </c>
      <c r="D9265" s="2"/>
    </row>
    <row r="9266" spans="1:4" ht="12.75" customHeight="1" x14ac:dyDescent="0.2">
      <c r="B9266" s="11" t="s">
        <v>2606</v>
      </c>
      <c r="C9266" s="16" t="s">
        <v>19</v>
      </c>
      <c r="D9266" s="2"/>
    </row>
    <row r="9267" spans="1:4" ht="12.75" customHeight="1" x14ac:dyDescent="0.2">
      <c r="B9267" s="2"/>
      <c r="C9267" s="15"/>
      <c r="D9267" s="2"/>
    </row>
    <row r="9268" spans="1:4" ht="12.75" customHeight="1" x14ac:dyDescent="0.2">
      <c r="B9268" s="2"/>
      <c r="C9268" s="15"/>
      <c r="D9268" s="2"/>
    </row>
    <row r="9269" spans="1:4" ht="12.75" customHeight="1" x14ac:dyDescent="0.2">
      <c r="A9269" s="13" t="s">
        <v>4001</v>
      </c>
      <c r="C9269" s="12"/>
      <c r="D9269" s="2"/>
    </row>
    <row r="9270" spans="1:4" ht="12.75" customHeight="1" x14ac:dyDescent="0.2">
      <c r="A9270" s="11"/>
      <c r="B9270" s="2"/>
      <c r="C9270" s="15"/>
      <c r="D9270" s="2"/>
    </row>
    <row r="9271" spans="1:4" ht="12.75" customHeight="1" x14ac:dyDescent="0.2">
      <c r="B9271" s="11" t="s">
        <v>0</v>
      </c>
      <c r="C9271" s="17" t="s">
        <v>229</v>
      </c>
      <c r="D9271" s="2"/>
    </row>
    <row r="9272" spans="1:4" ht="12.75" customHeight="1" x14ac:dyDescent="0.2">
      <c r="B9272" s="11" t="s">
        <v>2599</v>
      </c>
      <c r="C9272" s="17" t="s">
        <v>1120</v>
      </c>
      <c r="D9272" s="2"/>
    </row>
    <row r="9273" spans="1:4" ht="25.5" customHeight="1" x14ac:dyDescent="0.2">
      <c r="B9273" s="11" t="s">
        <v>2600</v>
      </c>
      <c r="C9273" s="17" t="s">
        <v>4034</v>
      </c>
      <c r="D9273" s="2"/>
    </row>
    <row r="9274" spans="1:4" ht="25.5" customHeight="1" x14ac:dyDescent="0.2">
      <c r="B9274" s="11" t="s">
        <v>2601</v>
      </c>
      <c r="C9274" s="17"/>
      <c r="D9274" s="2"/>
    </row>
    <row r="9275" spans="1:4" ht="12.75" customHeight="1" x14ac:dyDescent="0.2">
      <c r="B9275" s="11" t="s">
        <v>16</v>
      </c>
      <c r="C9275" s="17"/>
      <c r="D9275" s="2"/>
    </row>
    <row r="9276" spans="1:4" ht="12.75" customHeight="1" x14ac:dyDescent="0.2">
      <c r="B9276" s="11" t="s">
        <v>13</v>
      </c>
      <c r="C9276" s="17" t="s">
        <v>2644</v>
      </c>
      <c r="D9276" s="2"/>
    </row>
    <row r="9277" spans="1:4" ht="25.5" customHeight="1" x14ac:dyDescent="0.2">
      <c r="B9277" s="11" t="s">
        <v>2603</v>
      </c>
      <c r="C9277" s="17" t="s">
        <v>2971</v>
      </c>
      <c r="D9277" s="2"/>
    </row>
    <row r="9278" spans="1:4" ht="12.75" customHeight="1" x14ac:dyDescent="0.2">
      <c r="B9278" s="11" t="s">
        <v>2605</v>
      </c>
      <c r="C9278" s="17" t="s">
        <v>14</v>
      </c>
      <c r="D9278" s="2"/>
    </row>
    <row r="9279" spans="1:4" ht="12.75" customHeight="1" x14ac:dyDescent="0.2">
      <c r="B9279" s="11" t="s">
        <v>2606</v>
      </c>
      <c r="C9279" s="16" t="s">
        <v>19</v>
      </c>
      <c r="D9279" s="2"/>
    </row>
    <row r="9280" spans="1:4" ht="12.75" customHeight="1" x14ac:dyDescent="0.2">
      <c r="B9280" s="2"/>
      <c r="C9280" s="15"/>
      <c r="D9280" s="2"/>
    </row>
    <row r="9281" spans="1:4" ht="12.75" customHeight="1" x14ac:dyDescent="0.2">
      <c r="B9281" s="2"/>
      <c r="C9281" s="15"/>
      <c r="D9281" s="2"/>
    </row>
    <row r="9282" spans="1:4" ht="12.75" customHeight="1" x14ac:dyDescent="0.2">
      <c r="A9282" s="13" t="s">
        <v>4003</v>
      </c>
      <c r="C9282" s="12"/>
      <c r="D9282" s="2"/>
    </row>
    <row r="9283" spans="1:4" ht="12.75" customHeight="1" x14ac:dyDescent="0.2">
      <c r="A9283" s="11"/>
      <c r="B9283" s="2"/>
      <c r="C9283" s="15"/>
      <c r="D9283" s="2"/>
    </row>
    <row r="9284" spans="1:4" ht="12.75" customHeight="1" x14ac:dyDescent="0.2">
      <c r="B9284" s="11" t="s">
        <v>0</v>
      </c>
      <c r="C9284" s="17" t="s">
        <v>229</v>
      </c>
      <c r="D9284" s="2"/>
    </row>
    <row r="9285" spans="1:4" ht="12.75" customHeight="1" x14ac:dyDescent="0.2">
      <c r="B9285" s="11" t="s">
        <v>2599</v>
      </c>
      <c r="C9285" s="17" t="s">
        <v>3674</v>
      </c>
      <c r="D9285" s="2"/>
    </row>
    <row r="9286" spans="1:4" ht="25.5" customHeight="1" x14ac:dyDescent="0.2">
      <c r="B9286" s="11" t="s">
        <v>2600</v>
      </c>
      <c r="C9286" s="17" t="s">
        <v>4035</v>
      </c>
      <c r="D9286" s="2"/>
    </row>
    <row r="9287" spans="1:4" ht="25.5" customHeight="1" x14ac:dyDescent="0.2">
      <c r="B9287" s="11" t="s">
        <v>2601</v>
      </c>
      <c r="C9287" s="17"/>
      <c r="D9287" s="2"/>
    </row>
    <row r="9288" spans="1:4" ht="12.75" customHeight="1" x14ac:dyDescent="0.2">
      <c r="B9288" s="11" t="s">
        <v>16</v>
      </c>
      <c r="C9288" s="17"/>
      <c r="D9288" s="2"/>
    </row>
    <row r="9289" spans="1:4" ht="12.75" customHeight="1" x14ac:dyDescent="0.2">
      <c r="B9289" s="11" t="s">
        <v>13</v>
      </c>
      <c r="C9289" s="17" t="s">
        <v>2602</v>
      </c>
      <c r="D9289" s="2"/>
    </row>
    <row r="9290" spans="1:4" ht="25.5" customHeight="1" x14ac:dyDescent="0.2">
      <c r="B9290" s="11" t="s">
        <v>2603</v>
      </c>
      <c r="C9290" s="17" t="s">
        <v>2971</v>
      </c>
      <c r="D9290" s="2"/>
    </row>
    <row r="9291" spans="1:4" ht="12.75" customHeight="1" x14ac:dyDescent="0.2">
      <c r="B9291" s="11" t="s">
        <v>2605</v>
      </c>
      <c r="C9291" s="17" t="s">
        <v>14</v>
      </c>
      <c r="D9291" s="2"/>
    </row>
    <row r="9292" spans="1:4" ht="12.75" customHeight="1" x14ac:dyDescent="0.2">
      <c r="B9292" s="11" t="s">
        <v>2606</v>
      </c>
      <c r="C9292" s="16" t="s">
        <v>19</v>
      </c>
      <c r="D9292" s="2"/>
    </row>
    <row r="9293" spans="1:4" ht="12.75" customHeight="1" x14ac:dyDescent="0.2">
      <c r="B9293" s="2"/>
      <c r="C9293" s="15"/>
      <c r="D9293" s="2"/>
    </row>
    <row r="9294" spans="1:4" ht="12.75" customHeight="1" x14ac:dyDescent="0.2">
      <c r="B9294" s="2"/>
      <c r="C9294" s="15"/>
      <c r="D9294" s="2"/>
    </row>
    <row r="9295" spans="1:4" ht="12.75" customHeight="1" x14ac:dyDescent="0.2">
      <c r="A9295" s="13" t="s">
        <v>4005</v>
      </c>
      <c r="C9295" s="12"/>
      <c r="D9295" s="2"/>
    </row>
    <row r="9296" spans="1:4" ht="12.75" customHeight="1" x14ac:dyDescent="0.2">
      <c r="A9296" s="11"/>
      <c r="B9296" s="2"/>
      <c r="C9296" s="15"/>
      <c r="D9296" s="2"/>
    </row>
    <row r="9297" spans="1:4" ht="12.75" customHeight="1" x14ac:dyDescent="0.2">
      <c r="B9297" s="11" t="s">
        <v>0</v>
      </c>
      <c r="C9297" s="17" t="s">
        <v>229</v>
      </c>
      <c r="D9297" s="2"/>
    </row>
    <row r="9298" spans="1:4" ht="12.75" customHeight="1" x14ac:dyDescent="0.2">
      <c r="B9298" s="11" t="s">
        <v>2599</v>
      </c>
      <c r="C9298" s="17" t="s">
        <v>4006</v>
      </c>
      <c r="D9298" s="2"/>
    </row>
    <row r="9299" spans="1:4" ht="25.5" customHeight="1" x14ac:dyDescent="0.2">
      <c r="B9299" s="11" t="s">
        <v>2600</v>
      </c>
      <c r="C9299" s="17" t="s">
        <v>4036</v>
      </c>
      <c r="D9299" s="2"/>
    </row>
    <row r="9300" spans="1:4" ht="25.5" customHeight="1" x14ac:dyDescent="0.2">
      <c r="B9300" s="11" t="s">
        <v>2601</v>
      </c>
      <c r="C9300" s="17"/>
      <c r="D9300" s="2"/>
    </row>
    <row r="9301" spans="1:4" ht="12.75" customHeight="1" x14ac:dyDescent="0.2">
      <c r="B9301" s="11" t="s">
        <v>16</v>
      </c>
      <c r="C9301" s="17"/>
      <c r="D9301" s="2"/>
    </row>
    <row r="9302" spans="1:4" ht="12.75" customHeight="1" x14ac:dyDescent="0.2">
      <c r="B9302" s="11" t="s">
        <v>13</v>
      </c>
      <c r="C9302" s="17" t="s">
        <v>2644</v>
      </c>
      <c r="D9302" s="2"/>
    </row>
    <row r="9303" spans="1:4" ht="25.5" customHeight="1" x14ac:dyDescent="0.2">
      <c r="B9303" s="11" t="s">
        <v>2603</v>
      </c>
      <c r="C9303" s="17" t="s">
        <v>2971</v>
      </c>
      <c r="D9303" s="2"/>
    </row>
    <row r="9304" spans="1:4" ht="12.75" customHeight="1" x14ac:dyDescent="0.2">
      <c r="B9304" s="11" t="s">
        <v>2605</v>
      </c>
      <c r="C9304" s="17" t="s">
        <v>14</v>
      </c>
      <c r="D9304" s="2"/>
    </row>
    <row r="9305" spans="1:4" ht="12.75" customHeight="1" x14ac:dyDescent="0.2">
      <c r="B9305" s="11" t="s">
        <v>2606</v>
      </c>
      <c r="C9305" s="16" t="s">
        <v>19</v>
      </c>
      <c r="D9305" s="2"/>
    </row>
    <row r="9306" spans="1:4" ht="12.75" customHeight="1" x14ac:dyDescent="0.2">
      <c r="B9306" s="2"/>
      <c r="C9306" s="15"/>
      <c r="D9306" s="2"/>
    </row>
    <row r="9307" spans="1:4" ht="12.75" customHeight="1" x14ac:dyDescent="0.2">
      <c r="B9307" s="2"/>
      <c r="C9307" s="15"/>
      <c r="D9307" s="2"/>
    </row>
    <row r="9308" spans="1:4" ht="12.75" customHeight="1" x14ac:dyDescent="0.2">
      <c r="A9308" s="13" t="s">
        <v>4037</v>
      </c>
      <c r="C9308" s="12"/>
    </row>
    <row r="9309" spans="1:4" ht="12.75" customHeight="1" x14ac:dyDescent="0.2">
      <c r="A9309" s="11"/>
      <c r="B9309" s="2"/>
      <c r="C9309" s="15"/>
      <c r="D9309" s="2"/>
    </row>
    <row r="9310" spans="1:4" ht="12.75" customHeight="1" x14ac:dyDescent="0.2">
      <c r="B9310" s="11" t="s">
        <v>0</v>
      </c>
      <c r="C9310" s="11" t="s">
        <v>229</v>
      </c>
    </row>
    <row r="9311" spans="1:4" ht="12.75" customHeight="1" x14ac:dyDescent="0.2">
      <c r="B9311" s="11" t="s">
        <v>2599</v>
      </c>
      <c r="C9311" s="11" t="s">
        <v>4038</v>
      </c>
    </row>
    <row r="9312" spans="1:4" ht="25.5" customHeight="1" x14ac:dyDescent="0.2">
      <c r="B9312" s="11" t="s">
        <v>2600</v>
      </c>
      <c r="C9312" s="11" t="s">
        <v>4039</v>
      </c>
    </row>
    <row r="9313" spans="1:4" ht="25.5" customHeight="1" x14ac:dyDescent="0.2">
      <c r="B9313" s="11" t="s">
        <v>2601</v>
      </c>
      <c r="C9313" s="11"/>
    </row>
    <row r="9314" spans="1:4" ht="12.75" customHeight="1" x14ac:dyDescent="0.2">
      <c r="B9314" s="11" t="s">
        <v>16</v>
      </c>
      <c r="C9314" s="11"/>
    </row>
    <row r="9315" spans="1:4" ht="12.75" customHeight="1" x14ac:dyDescent="0.2">
      <c r="B9315" s="11" t="s">
        <v>13</v>
      </c>
      <c r="C9315" s="11" t="s">
        <v>2644</v>
      </c>
    </row>
    <row r="9316" spans="1:4" ht="12.75" customHeight="1" x14ac:dyDescent="0.2">
      <c r="B9316" s="11" t="s">
        <v>2603</v>
      </c>
      <c r="C9316" s="11" t="s">
        <v>2604</v>
      </c>
    </row>
    <row r="9317" spans="1:4" ht="12.75" customHeight="1" x14ac:dyDescent="0.2">
      <c r="B9317" s="11" t="s">
        <v>2605</v>
      </c>
      <c r="C9317" s="11" t="s">
        <v>24</v>
      </c>
    </row>
    <row r="9318" spans="1:4" ht="12.75" customHeight="1" x14ac:dyDescent="0.2">
      <c r="B9318" s="11" t="s">
        <v>2606</v>
      </c>
      <c r="C9318" s="16" t="s">
        <v>44</v>
      </c>
      <c r="D9318" s="6" t="str">
        <f>HYPERLINK("javascript:void(0)","yetiláb")</f>
        <v>yetiláb</v>
      </c>
    </row>
    <row r="9319" spans="1:4" ht="12.75" customHeight="1" x14ac:dyDescent="0.2">
      <c r="B9319" s="2"/>
      <c r="C9319" s="15"/>
      <c r="D9319" s="2"/>
    </row>
    <row r="9320" spans="1:4" ht="12.75" customHeight="1" x14ac:dyDescent="0.2">
      <c r="B9320" s="2"/>
      <c r="C9320" s="15"/>
      <c r="D9320" s="2"/>
    </row>
    <row r="9321" spans="1:4" ht="12.75" customHeight="1" x14ac:dyDescent="0.2">
      <c r="A9321" s="13" t="s">
        <v>4040</v>
      </c>
      <c r="C9321" s="12"/>
    </row>
    <row r="9322" spans="1:4" ht="12.75" customHeight="1" x14ac:dyDescent="0.2">
      <c r="A9322" s="11"/>
      <c r="B9322" s="2"/>
      <c r="C9322" s="15"/>
      <c r="D9322" s="2"/>
    </row>
    <row r="9323" spans="1:4" ht="12.75" customHeight="1" x14ac:dyDescent="0.2">
      <c r="B9323" s="11" t="s">
        <v>0</v>
      </c>
      <c r="C9323" s="11" t="s">
        <v>229</v>
      </c>
    </row>
    <row r="9324" spans="1:4" ht="12.75" customHeight="1" x14ac:dyDescent="0.2">
      <c r="B9324" s="11" t="s">
        <v>2599</v>
      </c>
      <c r="C9324" s="11" t="s">
        <v>3949</v>
      </c>
    </row>
    <row r="9325" spans="1:4" ht="25.5" customHeight="1" x14ac:dyDescent="0.2">
      <c r="B9325" s="11" t="s">
        <v>2600</v>
      </c>
      <c r="C9325" s="11" t="s">
        <v>3862</v>
      </c>
    </row>
    <row r="9326" spans="1:4" ht="25.5" customHeight="1" x14ac:dyDescent="0.2">
      <c r="B9326" s="11" t="s">
        <v>2601</v>
      </c>
      <c r="C9326" s="11"/>
    </row>
    <row r="9327" spans="1:4" ht="12.75" customHeight="1" x14ac:dyDescent="0.2">
      <c r="B9327" s="11" t="s">
        <v>16</v>
      </c>
      <c r="C9327" s="11"/>
    </row>
    <row r="9328" spans="1:4" ht="12.75" customHeight="1" x14ac:dyDescent="0.2">
      <c r="B9328" s="11" t="s">
        <v>13</v>
      </c>
      <c r="C9328" s="11" t="s">
        <v>2602</v>
      </c>
    </row>
    <row r="9329" spans="1:4" ht="12.75" customHeight="1" x14ac:dyDescent="0.2">
      <c r="B9329" s="11" t="s">
        <v>2603</v>
      </c>
      <c r="C9329" s="11" t="s">
        <v>2604</v>
      </c>
    </row>
    <row r="9330" spans="1:4" ht="12.75" customHeight="1" x14ac:dyDescent="0.2">
      <c r="B9330" s="11" t="s">
        <v>2605</v>
      </c>
      <c r="C9330" s="11" t="s">
        <v>24</v>
      </c>
    </row>
    <row r="9331" spans="1:4" ht="12.75" customHeight="1" x14ac:dyDescent="0.2">
      <c r="B9331" s="11" t="s">
        <v>2606</v>
      </c>
      <c r="C9331" s="16" t="s">
        <v>67</v>
      </c>
      <c r="D9331" s="6" t="str">
        <f>HYPERLINK("javascript:void(0)","kincs")</f>
        <v>kincs</v>
      </c>
    </row>
    <row r="9332" spans="1:4" ht="12.75" customHeight="1" x14ac:dyDescent="0.2">
      <c r="B9332" s="2"/>
      <c r="C9332" s="15"/>
      <c r="D9332" s="2"/>
    </row>
    <row r="9333" spans="1:4" ht="12.75" customHeight="1" x14ac:dyDescent="0.2">
      <c r="B9333" s="2"/>
      <c r="C9333" s="15"/>
      <c r="D9333" s="2"/>
    </row>
    <row r="9334" spans="1:4" ht="12.75" customHeight="1" x14ac:dyDescent="0.2">
      <c r="A9334" s="13" t="s">
        <v>4041</v>
      </c>
      <c r="C9334" s="12"/>
    </row>
    <row r="9335" spans="1:4" ht="12.75" customHeight="1" x14ac:dyDescent="0.2">
      <c r="A9335" s="11"/>
      <c r="B9335" s="2"/>
      <c r="C9335" s="15"/>
      <c r="D9335" s="2"/>
    </row>
    <row r="9336" spans="1:4" ht="12.75" customHeight="1" x14ac:dyDescent="0.2">
      <c r="B9336" s="11" t="s">
        <v>0</v>
      </c>
      <c r="C9336" s="11" t="s">
        <v>229</v>
      </c>
    </row>
    <row r="9337" spans="1:4" ht="12.75" customHeight="1" x14ac:dyDescent="0.2">
      <c r="B9337" s="11" t="s">
        <v>2599</v>
      </c>
      <c r="C9337" s="11" t="s">
        <v>4042</v>
      </c>
    </row>
    <row r="9338" spans="1:4" ht="25.5" customHeight="1" x14ac:dyDescent="0.2">
      <c r="B9338" s="11" t="s">
        <v>2600</v>
      </c>
      <c r="C9338" s="11" t="s">
        <v>4043</v>
      </c>
    </row>
    <row r="9339" spans="1:4" ht="25.5" customHeight="1" x14ac:dyDescent="0.2">
      <c r="B9339" s="11" t="s">
        <v>2601</v>
      </c>
      <c r="C9339" s="11"/>
    </row>
    <row r="9340" spans="1:4" ht="12.75" customHeight="1" x14ac:dyDescent="0.2">
      <c r="B9340" s="11" t="s">
        <v>16</v>
      </c>
      <c r="C9340" s="11"/>
    </row>
    <row r="9341" spans="1:4" ht="12.75" customHeight="1" x14ac:dyDescent="0.2">
      <c r="B9341" s="11" t="s">
        <v>13</v>
      </c>
      <c r="C9341" s="11" t="s">
        <v>2644</v>
      </c>
    </row>
    <row r="9342" spans="1:4" ht="12.75" customHeight="1" x14ac:dyDescent="0.2">
      <c r="B9342" s="11" t="s">
        <v>2603</v>
      </c>
      <c r="C9342" s="11" t="s">
        <v>2604</v>
      </c>
    </row>
    <row r="9343" spans="1:4" ht="12.75" customHeight="1" x14ac:dyDescent="0.2">
      <c r="B9343" s="11" t="s">
        <v>2605</v>
      </c>
      <c r="C9343" s="11" t="s">
        <v>24</v>
      </c>
    </row>
    <row r="9344" spans="1:4" ht="25.5" customHeight="1" x14ac:dyDescent="0.2">
      <c r="B9344" s="11" t="s">
        <v>2606</v>
      </c>
      <c r="C9344" s="16" t="s">
        <v>44</v>
      </c>
      <c r="D9344" s="6" t="str">
        <f>HYPERLINK("javascript:void(0)","szent szimbólum")</f>
        <v>szent szimbólum</v>
      </c>
    </row>
    <row r="9345" spans="1:4" ht="12.75" customHeight="1" x14ac:dyDescent="0.2">
      <c r="B9345" s="2"/>
      <c r="C9345" s="15"/>
      <c r="D9345" s="2"/>
    </row>
    <row r="9346" spans="1:4" ht="12.75" customHeight="1" x14ac:dyDescent="0.2">
      <c r="B9346" s="2"/>
      <c r="C9346" s="15"/>
      <c r="D9346" s="2"/>
    </row>
    <row r="9347" spans="1:4" ht="12.75" customHeight="1" x14ac:dyDescent="0.2">
      <c r="A9347" s="13" t="s">
        <v>4044</v>
      </c>
      <c r="C9347" s="12"/>
    </row>
    <row r="9348" spans="1:4" ht="12.75" customHeight="1" x14ac:dyDescent="0.2">
      <c r="A9348" s="11"/>
      <c r="B9348" s="2"/>
      <c r="C9348" s="15"/>
      <c r="D9348" s="2"/>
    </row>
    <row r="9349" spans="1:4" ht="12.75" customHeight="1" x14ac:dyDescent="0.2">
      <c r="B9349" s="11" t="s">
        <v>0</v>
      </c>
      <c r="C9349" s="11" t="s">
        <v>229</v>
      </c>
    </row>
    <row r="9350" spans="1:4" ht="12.75" customHeight="1" x14ac:dyDescent="0.2">
      <c r="B9350" s="11" t="s">
        <v>2599</v>
      </c>
      <c r="C9350" s="11" t="s">
        <v>499</v>
      </c>
    </row>
    <row r="9351" spans="1:4" ht="25.5" customHeight="1" x14ac:dyDescent="0.2">
      <c r="B9351" s="11" t="s">
        <v>2600</v>
      </c>
      <c r="C9351" s="11" t="s">
        <v>4045</v>
      </c>
    </row>
    <row r="9352" spans="1:4" ht="25.5" customHeight="1" x14ac:dyDescent="0.2">
      <c r="B9352" s="11" t="s">
        <v>2601</v>
      </c>
      <c r="C9352" s="11"/>
    </row>
    <row r="9353" spans="1:4" ht="12.75" customHeight="1" x14ac:dyDescent="0.2">
      <c r="B9353" s="11" t="s">
        <v>16</v>
      </c>
      <c r="C9353" s="11"/>
    </row>
    <row r="9354" spans="1:4" ht="12.75" customHeight="1" x14ac:dyDescent="0.2">
      <c r="B9354" s="11" t="s">
        <v>13</v>
      </c>
      <c r="C9354" s="11" t="s">
        <v>2602</v>
      </c>
    </row>
    <row r="9355" spans="1:4" ht="12.75" customHeight="1" x14ac:dyDescent="0.2">
      <c r="B9355" s="11" t="s">
        <v>2603</v>
      </c>
      <c r="C9355" s="11" t="s">
        <v>2604</v>
      </c>
    </row>
    <row r="9356" spans="1:4" ht="12.75" customHeight="1" x14ac:dyDescent="0.2">
      <c r="B9356" s="11" t="s">
        <v>2605</v>
      </c>
      <c r="C9356" s="11" t="s">
        <v>24</v>
      </c>
    </row>
    <row r="9357" spans="1:4" ht="12.75" customHeight="1" x14ac:dyDescent="0.2">
      <c r="B9357" s="11" t="s">
        <v>2606</v>
      </c>
      <c r="C9357" s="16" t="s">
        <v>44</v>
      </c>
      <c r="D9357" s="6" t="str">
        <f>HYPERLINK("javascript:void(0)","mágusbot")</f>
        <v>mágusbot</v>
      </c>
    </row>
    <row r="9358" spans="1:4" ht="25.5" customHeight="1" x14ac:dyDescent="0.2">
      <c r="C9358" s="16" t="s">
        <v>44</v>
      </c>
      <c r="D9358" s="6" t="str">
        <f>HYPERLINK("javascript:void(0)","mágusköpeny")</f>
        <v>mágusköpeny</v>
      </c>
    </row>
    <row r="9359" spans="1:4" ht="12.75" customHeight="1" x14ac:dyDescent="0.2">
      <c r="B9359" s="2"/>
      <c r="C9359" s="15"/>
      <c r="D9359" s="2"/>
    </row>
    <row r="9360" spans="1:4" ht="12.75" customHeight="1" x14ac:dyDescent="0.2">
      <c r="B9360" s="2"/>
      <c r="C9360" s="15"/>
      <c r="D9360" s="2"/>
    </row>
    <row r="9361" spans="1:4" ht="12.75" customHeight="1" x14ac:dyDescent="0.2">
      <c r="A9361" s="13" t="s">
        <v>4046</v>
      </c>
      <c r="C9361" s="12"/>
    </row>
    <row r="9362" spans="1:4" ht="12.75" customHeight="1" x14ac:dyDescent="0.2">
      <c r="A9362" s="11"/>
      <c r="B9362" s="2"/>
      <c r="C9362" s="15"/>
      <c r="D9362" s="2"/>
    </row>
    <row r="9363" spans="1:4" ht="12.75" customHeight="1" x14ac:dyDescent="0.2">
      <c r="B9363" s="11" t="s">
        <v>0</v>
      </c>
      <c r="C9363" s="11" t="s">
        <v>229</v>
      </c>
    </row>
    <row r="9364" spans="1:4" ht="12.75" customHeight="1" x14ac:dyDescent="0.2">
      <c r="B9364" s="11" t="s">
        <v>2599</v>
      </c>
      <c r="C9364" s="11" t="s">
        <v>4047</v>
      </c>
    </row>
    <row r="9365" spans="1:4" ht="25.5" customHeight="1" x14ac:dyDescent="0.2">
      <c r="B9365" s="11" t="s">
        <v>2600</v>
      </c>
      <c r="C9365" s="11" t="s">
        <v>4048</v>
      </c>
    </row>
    <row r="9366" spans="1:4" ht="25.5" customHeight="1" x14ac:dyDescent="0.2">
      <c r="B9366" s="11" t="s">
        <v>2601</v>
      </c>
      <c r="C9366" s="11"/>
    </row>
    <row r="9367" spans="1:4" ht="12.75" customHeight="1" x14ac:dyDescent="0.2">
      <c r="B9367" s="11" t="s">
        <v>16</v>
      </c>
      <c r="C9367" s="11"/>
    </row>
    <row r="9368" spans="1:4" ht="12.75" customHeight="1" x14ac:dyDescent="0.2">
      <c r="B9368" s="11" t="s">
        <v>13</v>
      </c>
      <c r="C9368" s="11" t="s">
        <v>2644</v>
      </c>
    </row>
    <row r="9369" spans="1:4" ht="12.75" customHeight="1" x14ac:dyDescent="0.2">
      <c r="B9369" s="11" t="s">
        <v>2603</v>
      </c>
      <c r="C9369" s="11" t="s">
        <v>2604</v>
      </c>
    </row>
    <row r="9370" spans="1:4" ht="12.75" customHeight="1" x14ac:dyDescent="0.2">
      <c r="B9370" s="11" t="s">
        <v>2605</v>
      </c>
      <c r="C9370" s="11" t="s">
        <v>24</v>
      </c>
    </row>
    <row r="9371" spans="1:4" ht="25.5" customHeight="1" x14ac:dyDescent="0.2">
      <c r="B9371" s="11" t="s">
        <v>2606</v>
      </c>
      <c r="C9371" s="16" t="s">
        <v>56</v>
      </c>
      <c r="D9371" s="6" t="str">
        <f>HYPERLINK("javascript:void(0)","hörcsögagyar")</f>
        <v>hörcsögagyar</v>
      </c>
    </row>
    <row r="9372" spans="1:4" ht="12.75" customHeight="1" x14ac:dyDescent="0.2">
      <c r="B9372" s="2"/>
      <c r="C9372" s="15"/>
      <c r="D9372" s="2"/>
    </row>
    <row r="9373" spans="1:4" ht="12.75" customHeight="1" x14ac:dyDescent="0.2">
      <c r="B9373" s="2"/>
      <c r="C9373" s="15"/>
      <c r="D9373" s="2"/>
    </row>
    <row r="9374" spans="1:4" ht="12.75" customHeight="1" x14ac:dyDescent="0.2">
      <c r="A9374" s="13" t="s">
        <v>4049</v>
      </c>
      <c r="C9374" s="12"/>
    </row>
    <row r="9375" spans="1:4" ht="12.75" customHeight="1" x14ac:dyDescent="0.2">
      <c r="A9375" s="11"/>
      <c r="B9375" s="2"/>
      <c r="C9375" s="15"/>
      <c r="D9375" s="2"/>
    </row>
    <row r="9376" spans="1:4" ht="12.75" customHeight="1" x14ac:dyDescent="0.2">
      <c r="B9376" s="11" t="s">
        <v>0</v>
      </c>
      <c r="C9376" s="11" t="s">
        <v>229</v>
      </c>
    </row>
    <row r="9377" spans="1:4" ht="12.75" customHeight="1" x14ac:dyDescent="0.2">
      <c r="B9377" s="11" t="s">
        <v>2599</v>
      </c>
      <c r="C9377" s="11" t="s">
        <v>3416</v>
      </c>
    </row>
    <row r="9378" spans="1:4" ht="25.5" customHeight="1" x14ac:dyDescent="0.2">
      <c r="B9378" s="11" t="s">
        <v>2600</v>
      </c>
      <c r="C9378" s="11" t="s">
        <v>4050</v>
      </c>
    </row>
    <row r="9379" spans="1:4" ht="25.5" customHeight="1" x14ac:dyDescent="0.2">
      <c r="B9379" s="11" t="s">
        <v>2601</v>
      </c>
      <c r="C9379" s="11"/>
    </row>
    <row r="9380" spans="1:4" ht="12.75" customHeight="1" x14ac:dyDescent="0.2">
      <c r="B9380" s="11" t="s">
        <v>16</v>
      </c>
      <c r="C9380" s="11"/>
    </row>
    <row r="9381" spans="1:4" ht="12.75" customHeight="1" x14ac:dyDescent="0.2">
      <c r="B9381" s="11" t="s">
        <v>13</v>
      </c>
      <c r="C9381" s="11" t="s">
        <v>2602</v>
      </c>
    </row>
    <row r="9382" spans="1:4" ht="12.75" customHeight="1" x14ac:dyDescent="0.2">
      <c r="B9382" s="11" t="s">
        <v>2603</v>
      </c>
      <c r="C9382" s="11" t="s">
        <v>2604</v>
      </c>
    </row>
    <row r="9383" spans="1:4" ht="12.75" customHeight="1" x14ac:dyDescent="0.2">
      <c r="B9383" s="11" t="s">
        <v>2605</v>
      </c>
      <c r="C9383" s="11" t="s">
        <v>24</v>
      </c>
    </row>
    <row r="9384" spans="1:4" ht="12.75" customHeight="1" x14ac:dyDescent="0.2">
      <c r="B9384" s="11" t="s">
        <v>2606</v>
      </c>
      <c r="C9384" s="16" t="s">
        <v>44</v>
      </c>
      <c r="D9384" s="6" t="str">
        <f>HYPERLINK("javascript:void(0)","homokóra")</f>
        <v>homokóra</v>
      </c>
    </row>
    <row r="9385" spans="1:4" ht="12.75" customHeight="1" x14ac:dyDescent="0.2">
      <c r="B9385" s="2"/>
      <c r="C9385" s="15"/>
      <c r="D9385" s="2"/>
    </row>
    <row r="9386" spans="1:4" ht="12.75" customHeight="1" x14ac:dyDescent="0.2">
      <c r="B9386" s="2"/>
      <c r="C9386" s="15"/>
      <c r="D9386" s="2"/>
    </row>
    <row r="9387" spans="1:4" ht="12.75" customHeight="1" x14ac:dyDescent="0.2">
      <c r="A9387" s="13" t="s">
        <v>4051</v>
      </c>
      <c r="C9387" s="12"/>
    </row>
    <row r="9388" spans="1:4" ht="12.75" customHeight="1" x14ac:dyDescent="0.2">
      <c r="A9388" s="11"/>
      <c r="B9388" s="2"/>
      <c r="C9388" s="15"/>
      <c r="D9388" s="2"/>
    </row>
    <row r="9389" spans="1:4" ht="12.75" customHeight="1" x14ac:dyDescent="0.2">
      <c r="B9389" s="11" t="s">
        <v>0</v>
      </c>
      <c r="C9389" s="11" t="s">
        <v>229</v>
      </c>
    </row>
    <row r="9390" spans="1:4" ht="12.75" customHeight="1" x14ac:dyDescent="0.2">
      <c r="B9390" s="11" t="s">
        <v>2599</v>
      </c>
      <c r="C9390" s="11" t="s">
        <v>4052</v>
      </c>
    </row>
    <row r="9391" spans="1:4" ht="25.5" customHeight="1" x14ac:dyDescent="0.2">
      <c r="B9391" s="11" t="s">
        <v>2600</v>
      </c>
      <c r="C9391" s="11" t="s">
        <v>4053</v>
      </c>
    </row>
    <row r="9392" spans="1:4" ht="25.5" customHeight="1" x14ac:dyDescent="0.2">
      <c r="B9392" s="11" t="s">
        <v>2601</v>
      </c>
      <c r="C9392" s="11"/>
    </row>
    <row r="9393" spans="1:4" ht="12.75" customHeight="1" x14ac:dyDescent="0.2">
      <c r="B9393" s="11" t="s">
        <v>16</v>
      </c>
      <c r="C9393" s="11"/>
    </row>
    <row r="9394" spans="1:4" ht="12.75" customHeight="1" x14ac:dyDescent="0.2">
      <c r="B9394" s="11" t="s">
        <v>13</v>
      </c>
      <c r="C9394" s="11" t="s">
        <v>2602</v>
      </c>
    </row>
    <row r="9395" spans="1:4" ht="12.75" customHeight="1" x14ac:dyDescent="0.2">
      <c r="B9395" s="11" t="s">
        <v>2603</v>
      </c>
      <c r="C9395" s="11" t="s">
        <v>2604</v>
      </c>
    </row>
    <row r="9396" spans="1:4" ht="12.75" customHeight="1" x14ac:dyDescent="0.2">
      <c r="B9396" s="11" t="s">
        <v>2605</v>
      </c>
      <c r="C9396" s="11" t="s">
        <v>24</v>
      </c>
    </row>
    <row r="9397" spans="1:4" ht="12.75" customHeight="1" x14ac:dyDescent="0.2">
      <c r="B9397" s="11" t="s">
        <v>2606</v>
      </c>
      <c r="C9397" s="16" t="s">
        <v>44</v>
      </c>
      <c r="D9397" s="6" t="str">
        <f>HYPERLINK("javascript:void(0)","vasrög")</f>
        <v>vasrög</v>
      </c>
    </row>
    <row r="9398" spans="1:4" ht="12.75" customHeight="1" x14ac:dyDescent="0.2">
      <c r="C9398" s="16" t="s">
        <v>196</v>
      </c>
      <c r="D9398" s="6" t="str">
        <f>HYPERLINK("javascript:void(0)","kincs")</f>
        <v>kincs</v>
      </c>
    </row>
    <row r="9399" spans="1:4" ht="12.75" customHeight="1" x14ac:dyDescent="0.2">
      <c r="B9399" s="2"/>
      <c r="C9399" s="15"/>
      <c r="D9399" s="2"/>
    </row>
    <row r="9400" spans="1:4" ht="12.75" customHeight="1" x14ac:dyDescent="0.2">
      <c r="B9400" s="2"/>
      <c r="C9400" s="15"/>
      <c r="D9400" s="2"/>
    </row>
    <row r="9401" spans="1:4" ht="12.75" customHeight="1" x14ac:dyDescent="0.2">
      <c r="A9401" s="13" t="s">
        <v>4054</v>
      </c>
      <c r="C9401" s="12"/>
    </row>
    <row r="9402" spans="1:4" ht="12.75" customHeight="1" x14ac:dyDescent="0.2">
      <c r="A9402" s="11"/>
      <c r="B9402" s="2"/>
      <c r="C9402" s="15"/>
      <c r="D9402" s="2"/>
    </row>
    <row r="9403" spans="1:4" ht="12.75" customHeight="1" x14ac:dyDescent="0.2">
      <c r="B9403" s="11" t="s">
        <v>0</v>
      </c>
      <c r="C9403" s="11" t="s">
        <v>229</v>
      </c>
    </row>
    <row r="9404" spans="1:4" ht="12.75" customHeight="1" x14ac:dyDescent="0.2">
      <c r="B9404" s="11" t="s">
        <v>2599</v>
      </c>
      <c r="C9404" s="11" t="s">
        <v>2289</v>
      </c>
    </row>
    <row r="9405" spans="1:4" ht="25.5" customHeight="1" x14ac:dyDescent="0.2">
      <c r="B9405" s="11" t="s">
        <v>2600</v>
      </c>
      <c r="C9405" s="11" t="s">
        <v>4055</v>
      </c>
    </row>
    <row r="9406" spans="1:4" ht="25.5" customHeight="1" x14ac:dyDescent="0.2">
      <c r="B9406" s="11" t="s">
        <v>2601</v>
      </c>
      <c r="C9406" s="11"/>
    </row>
    <row r="9407" spans="1:4" ht="12.75" customHeight="1" x14ac:dyDescent="0.2">
      <c r="B9407" s="11" t="s">
        <v>16</v>
      </c>
      <c r="C9407" s="11"/>
    </row>
    <row r="9408" spans="1:4" ht="12.75" customHeight="1" x14ac:dyDescent="0.2">
      <c r="B9408" s="11" t="s">
        <v>13</v>
      </c>
      <c r="C9408" s="11" t="s">
        <v>2644</v>
      </c>
    </row>
    <row r="9409" spans="1:4" ht="12.75" customHeight="1" x14ac:dyDescent="0.2">
      <c r="B9409" s="11" t="s">
        <v>2603</v>
      </c>
      <c r="C9409" s="11" t="s">
        <v>2604</v>
      </c>
    </row>
    <row r="9410" spans="1:4" ht="12.75" customHeight="1" x14ac:dyDescent="0.2">
      <c r="B9410" s="11" t="s">
        <v>2605</v>
      </c>
      <c r="C9410" s="11" t="s">
        <v>24</v>
      </c>
    </row>
    <row r="9411" spans="1:4" ht="12.75" customHeight="1" x14ac:dyDescent="0.2">
      <c r="B9411" s="11" t="s">
        <v>2606</v>
      </c>
      <c r="C9411" s="16" t="s">
        <v>44</v>
      </c>
      <c r="D9411" s="6" t="str">
        <f>HYPERLINK("javascript:void(0)","morfige")</f>
        <v>morfige</v>
      </c>
    </row>
    <row r="9412" spans="1:4" ht="12.75" customHeight="1" x14ac:dyDescent="0.2">
      <c r="B9412" s="2"/>
      <c r="C9412" s="15"/>
      <c r="D9412" s="2"/>
    </row>
    <row r="9413" spans="1:4" ht="12.75" customHeight="1" x14ac:dyDescent="0.2">
      <c r="B9413" s="2"/>
      <c r="C9413" s="15"/>
      <c r="D9413" s="2"/>
    </row>
    <row r="9414" spans="1:4" ht="12.75" customHeight="1" x14ac:dyDescent="0.2">
      <c r="A9414" s="13" t="s">
        <v>3966</v>
      </c>
      <c r="C9414" s="12"/>
      <c r="D9414" s="2"/>
    </row>
    <row r="9415" spans="1:4" ht="12.75" customHeight="1" x14ac:dyDescent="0.2">
      <c r="A9415" s="11"/>
      <c r="B9415" s="2"/>
      <c r="C9415" s="15"/>
      <c r="D9415" s="2"/>
    </row>
    <row r="9416" spans="1:4" ht="12.75" customHeight="1" x14ac:dyDescent="0.2">
      <c r="B9416" s="11" t="s">
        <v>0</v>
      </c>
      <c r="C9416" s="17" t="s">
        <v>229</v>
      </c>
      <c r="D9416" s="2"/>
    </row>
    <row r="9417" spans="1:4" ht="12.75" customHeight="1" x14ac:dyDescent="0.2">
      <c r="B9417" s="11" t="s">
        <v>2599</v>
      </c>
      <c r="C9417" s="17" t="s">
        <v>3967</v>
      </c>
      <c r="D9417" s="2"/>
    </row>
    <row r="9418" spans="1:4" ht="25.5" customHeight="1" x14ac:dyDescent="0.2">
      <c r="B9418" s="11" t="s">
        <v>2600</v>
      </c>
      <c r="C9418" s="17" t="s">
        <v>4056</v>
      </c>
      <c r="D9418" s="2"/>
    </row>
    <row r="9419" spans="1:4" ht="25.5" customHeight="1" x14ac:dyDescent="0.2">
      <c r="B9419" s="11" t="s">
        <v>2601</v>
      </c>
      <c r="C9419" s="17"/>
      <c r="D9419" s="2"/>
    </row>
    <row r="9420" spans="1:4" ht="12.75" customHeight="1" x14ac:dyDescent="0.2">
      <c r="B9420" s="11" t="s">
        <v>16</v>
      </c>
      <c r="C9420" s="17"/>
      <c r="D9420" s="2"/>
    </row>
    <row r="9421" spans="1:4" ht="12.75" customHeight="1" x14ac:dyDescent="0.2">
      <c r="B9421" s="11" t="s">
        <v>13</v>
      </c>
      <c r="C9421" s="17" t="s">
        <v>2602</v>
      </c>
      <c r="D9421" s="2"/>
    </row>
    <row r="9422" spans="1:4" ht="25.5" customHeight="1" x14ac:dyDescent="0.2">
      <c r="B9422" s="11" t="s">
        <v>2603</v>
      </c>
      <c r="C9422" s="17" t="s">
        <v>2971</v>
      </c>
      <c r="D9422" s="2"/>
    </row>
    <row r="9423" spans="1:4" ht="12.75" customHeight="1" x14ac:dyDescent="0.2">
      <c r="B9423" s="11" t="s">
        <v>2605</v>
      </c>
      <c r="C9423" s="17" t="s">
        <v>14</v>
      </c>
      <c r="D9423" s="2"/>
    </row>
    <row r="9424" spans="1:4" ht="12.75" customHeight="1" x14ac:dyDescent="0.2">
      <c r="B9424" s="11" t="s">
        <v>2606</v>
      </c>
      <c r="C9424" s="16" t="s">
        <v>19</v>
      </c>
      <c r="D9424" s="2"/>
    </row>
    <row r="9425" spans="1:4" ht="12.75" customHeight="1" x14ac:dyDescent="0.2">
      <c r="B9425" s="2"/>
      <c r="C9425" s="15"/>
      <c r="D9425" s="2"/>
    </row>
    <row r="9426" spans="1:4" ht="12.75" customHeight="1" x14ac:dyDescent="0.2">
      <c r="B9426" s="2"/>
      <c r="C9426" s="15"/>
      <c r="D9426" s="2"/>
    </row>
    <row r="9427" spans="1:4" ht="12.75" customHeight="1" x14ac:dyDescent="0.2">
      <c r="A9427" s="13" t="s">
        <v>4031</v>
      </c>
      <c r="C9427" s="12"/>
      <c r="D9427" s="2"/>
    </row>
    <row r="9428" spans="1:4" ht="12.75" customHeight="1" x14ac:dyDescent="0.2">
      <c r="A9428" s="11"/>
      <c r="B9428" s="2"/>
      <c r="C9428" s="15"/>
      <c r="D9428" s="2"/>
    </row>
    <row r="9429" spans="1:4" ht="12.75" customHeight="1" x14ac:dyDescent="0.2">
      <c r="B9429" s="11" t="s">
        <v>0</v>
      </c>
      <c r="C9429" s="17" t="s">
        <v>229</v>
      </c>
      <c r="D9429" s="2"/>
    </row>
    <row r="9430" spans="1:4" ht="12.75" customHeight="1" x14ac:dyDescent="0.2">
      <c r="B9430" s="11" t="s">
        <v>2599</v>
      </c>
      <c r="C9430" s="17" t="s">
        <v>697</v>
      </c>
      <c r="D9430" s="2"/>
    </row>
    <row r="9431" spans="1:4" ht="25.5" customHeight="1" x14ac:dyDescent="0.2">
      <c r="B9431" s="11" t="s">
        <v>2600</v>
      </c>
      <c r="C9431" s="17" t="s">
        <v>4057</v>
      </c>
      <c r="D9431" s="2"/>
    </row>
    <row r="9432" spans="1:4" ht="25.5" customHeight="1" x14ac:dyDescent="0.2">
      <c r="B9432" s="11" t="s">
        <v>2601</v>
      </c>
      <c r="C9432" s="17"/>
      <c r="D9432" s="2"/>
    </row>
    <row r="9433" spans="1:4" ht="12.75" customHeight="1" x14ac:dyDescent="0.2">
      <c r="B9433" s="11" t="s">
        <v>16</v>
      </c>
      <c r="C9433" s="17"/>
      <c r="D9433" s="2"/>
    </row>
    <row r="9434" spans="1:4" ht="12.75" customHeight="1" x14ac:dyDescent="0.2">
      <c r="B9434" s="11" t="s">
        <v>13</v>
      </c>
      <c r="C9434" s="17" t="s">
        <v>2644</v>
      </c>
      <c r="D9434" s="2"/>
    </row>
    <row r="9435" spans="1:4" ht="25.5" customHeight="1" x14ac:dyDescent="0.2">
      <c r="B9435" s="11" t="s">
        <v>2603</v>
      </c>
      <c r="C9435" s="17" t="s">
        <v>2971</v>
      </c>
      <c r="D9435" s="2"/>
    </row>
    <row r="9436" spans="1:4" ht="12.75" customHeight="1" x14ac:dyDescent="0.2">
      <c r="B9436" s="11" t="s">
        <v>2605</v>
      </c>
      <c r="C9436" s="17" t="s">
        <v>14</v>
      </c>
      <c r="D9436" s="2"/>
    </row>
    <row r="9437" spans="1:4" ht="12.75" customHeight="1" x14ac:dyDescent="0.2">
      <c r="B9437" s="11" t="s">
        <v>2606</v>
      </c>
      <c r="C9437" s="16" t="s">
        <v>19</v>
      </c>
      <c r="D9437" s="2"/>
    </row>
    <row r="9438" spans="1:4" ht="12.75" customHeight="1" x14ac:dyDescent="0.2">
      <c r="B9438" s="2"/>
      <c r="C9438" s="15"/>
      <c r="D9438" s="2"/>
    </row>
    <row r="9439" spans="1:4" ht="12.75" customHeight="1" x14ac:dyDescent="0.2">
      <c r="B9439" s="2"/>
      <c r="C9439" s="15"/>
      <c r="D9439" s="2"/>
    </row>
    <row r="9440" spans="1:4" ht="12.75" customHeight="1" x14ac:dyDescent="0.2">
      <c r="A9440" s="13" t="s">
        <v>3940</v>
      </c>
      <c r="C9440" s="12"/>
      <c r="D9440" s="2"/>
    </row>
    <row r="9441" spans="1:4" ht="12.75" customHeight="1" x14ac:dyDescent="0.2">
      <c r="A9441" s="11"/>
      <c r="B9441" s="2"/>
      <c r="C9441" s="15"/>
      <c r="D9441" s="2"/>
    </row>
    <row r="9442" spans="1:4" ht="12.75" customHeight="1" x14ac:dyDescent="0.2">
      <c r="B9442" s="11" t="s">
        <v>0</v>
      </c>
      <c r="C9442" s="17" t="s">
        <v>229</v>
      </c>
      <c r="D9442" s="2"/>
    </row>
    <row r="9443" spans="1:4" ht="12.75" customHeight="1" x14ac:dyDescent="0.2">
      <c r="B9443" s="11" t="s">
        <v>2599</v>
      </c>
      <c r="C9443" s="17" t="s">
        <v>3941</v>
      </c>
      <c r="D9443" s="2"/>
    </row>
    <row r="9444" spans="1:4" ht="25.5" customHeight="1" x14ac:dyDescent="0.2">
      <c r="B9444" s="11" t="s">
        <v>2600</v>
      </c>
      <c r="C9444" s="17" t="s">
        <v>4058</v>
      </c>
      <c r="D9444" s="2"/>
    </row>
    <row r="9445" spans="1:4" ht="25.5" customHeight="1" x14ac:dyDescent="0.2">
      <c r="B9445" s="11" t="s">
        <v>2601</v>
      </c>
      <c r="C9445" s="17"/>
      <c r="D9445" s="2"/>
    </row>
    <row r="9446" spans="1:4" ht="12.75" customHeight="1" x14ac:dyDescent="0.2">
      <c r="B9446" s="11" t="s">
        <v>16</v>
      </c>
      <c r="C9446" s="17"/>
      <c r="D9446" s="2"/>
    </row>
    <row r="9447" spans="1:4" ht="12.75" customHeight="1" x14ac:dyDescent="0.2">
      <c r="B9447" s="11" t="s">
        <v>13</v>
      </c>
      <c r="C9447" s="17" t="s">
        <v>2602</v>
      </c>
      <c r="D9447" s="2"/>
    </row>
    <row r="9448" spans="1:4" ht="25.5" customHeight="1" x14ac:dyDescent="0.2">
      <c r="B9448" s="11" t="s">
        <v>2603</v>
      </c>
      <c r="C9448" s="17" t="s">
        <v>2971</v>
      </c>
      <c r="D9448" s="2"/>
    </row>
    <row r="9449" spans="1:4" ht="12.75" customHeight="1" x14ac:dyDescent="0.2">
      <c r="B9449" s="11" t="s">
        <v>2605</v>
      </c>
      <c r="C9449" s="17" t="s">
        <v>14</v>
      </c>
      <c r="D9449" s="2"/>
    </row>
    <row r="9450" spans="1:4" ht="12.75" customHeight="1" x14ac:dyDescent="0.2">
      <c r="B9450" s="11" t="s">
        <v>2606</v>
      </c>
      <c r="C9450" s="16" t="s">
        <v>19</v>
      </c>
      <c r="D9450" s="2"/>
    </row>
    <row r="9451" spans="1:4" ht="12.75" customHeight="1" x14ac:dyDescent="0.2">
      <c r="B9451" s="2"/>
      <c r="C9451" s="15"/>
      <c r="D9451" s="2"/>
    </row>
    <row r="9452" spans="1:4" ht="12.75" customHeight="1" x14ac:dyDescent="0.2">
      <c r="B9452" s="2"/>
      <c r="C9452" s="15"/>
      <c r="D9452" s="2"/>
    </row>
    <row r="9453" spans="1:4" ht="12.75" customHeight="1" x14ac:dyDescent="0.2">
      <c r="A9453" s="13" t="s">
        <v>4001</v>
      </c>
      <c r="C9453" s="12"/>
      <c r="D9453" s="2"/>
    </row>
    <row r="9454" spans="1:4" ht="12.75" customHeight="1" x14ac:dyDescent="0.2">
      <c r="A9454" s="11"/>
      <c r="B9454" s="2"/>
      <c r="C9454" s="15"/>
      <c r="D9454" s="2"/>
    </row>
    <row r="9455" spans="1:4" ht="12.75" customHeight="1" x14ac:dyDescent="0.2">
      <c r="B9455" s="11" t="s">
        <v>0</v>
      </c>
      <c r="C9455" s="17" t="s">
        <v>562</v>
      </c>
      <c r="D9455" s="2"/>
    </row>
    <row r="9456" spans="1:4" ht="12.75" customHeight="1" x14ac:dyDescent="0.2">
      <c r="B9456" s="11" t="s">
        <v>2599</v>
      </c>
      <c r="C9456" s="17" t="s">
        <v>1120</v>
      </c>
      <c r="D9456" s="2"/>
    </row>
    <row r="9457" spans="1:4" ht="25.5" customHeight="1" x14ac:dyDescent="0.2">
      <c r="B9457" s="11" t="s">
        <v>2600</v>
      </c>
      <c r="C9457" s="17" t="s">
        <v>4059</v>
      </c>
      <c r="D9457" s="2"/>
    </row>
    <row r="9458" spans="1:4" ht="25.5" customHeight="1" x14ac:dyDescent="0.2">
      <c r="B9458" s="11" t="s">
        <v>2601</v>
      </c>
      <c r="C9458" s="17"/>
      <c r="D9458" s="2"/>
    </row>
    <row r="9459" spans="1:4" ht="12.75" customHeight="1" x14ac:dyDescent="0.2">
      <c r="B9459" s="11" t="s">
        <v>16</v>
      </c>
      <c r="C9459" s="17"/>
      <c r="D9459" s="2"/>
    </row>
    <row r="9460" spans="1:4" ht="12.75" customHeight="1" x14ac:dyDescent="0.2">
      <c r="B9460" s="11" t="s">
        <v>13</v>
      </c>
      <c r="C9460" s="17" t="s">
        <v>2644</v>
      </c>
      <c r="D9460" s="2"/>
    </row>
    <row r="9461" spans="1:4" ht="25.5" customHeight="1" x14ac:dyDescent="0.2">
      <c r="B9461" s="11" t="s">
        <v>2603</v>
      </c>
      <c r="C9461" s="17" t="s">
        <v>2971</v>
      </c>
      <c r="D9461" s="2"/>
    </row>
    <row r="9462" spans="1:4" ht="12.75" customHeight="1" x14ac:dyDescent="0.2">
      <c r="B9462" s="11" t="s">
        <v>2605</v>
      </c>
      <c r="C9462" s="17" t="s">
        <v>14</v>
      </c>
      <c r="D9462" s="2"/>
    </row>
    <row r="9463" spans="1:4" ht="12.75" customHeight="1" x14ac:dyDescent="0.2">
      <c r="B9463" s="11" t="s">
        <v>2606</v>
      </c>
      <c r="C9463" s="16" t="s">
        <v>19</v>
      </c>
      <c r="D9463" s="2"/>
    </row>
    <row r="9464" spans="1:4" ht="12.75" customHeight="1" x14ac:dyDescent="0.2">
      <c r="B9464" s="2"/>
      <c r="C9464" s="15"/>
      <c r="D9464" s="2"/>
    </row>
    <row r="9465" spans="1:4" ht="12.75" customHeight="1" x14ac:dyDescent="0.2">
      <c r="B9465" s="2"/>
      <c r="C9465" s="15"/>
      <c r="D9465" s="2"/>
    </row>
    <row r="9466" spans="1:4" ht="12.75" customHeight="1" x14ac:dyDescent="0.2">
      <c r="A9466" s="13" t="s">
        <v>4003</v>
      </c>
      <c r="C9466" s="12"/>
      <c r="D9466" s="2"/>
    </row>
    <row r="9467" spans="1:4" ht="12.75" customHeight="1" x14ac:dyDescent="0.2">
      <c r="A9467" s="11"/>
      <c r="B9467" s="2"/>
      <c r="C9467" s="15"/>
      <c r="D9467" s="2"/>
    </row>
    <row r="9468" spans="1:4" ht="12.75" customHeight="1" x14ac:dyDescent="0.2">
      <c r="B9468" s="11" t="s">
        <v>0</v>
      </c>
      <c r="C9468" s="17" t="s">
        <v>562</v>
      </c>
      <c r="D9468" s="2"/>
    </row>
    <row r="9469" spans="1:4" ht="12.75" customHeight="1" x14ac:dyDescent="0.2">
      <c r="B9469" s="11" t="s">
        <v>2599</v>
      </c>
      <c r="C9469" s="17" t="s">
        <v>3674</v>
      </c>
      <c r="D9469" s="2"/>
    </row>
    <row r="9470" spans="1:4" ht="25.5" customHeight="1" x14ac:dyDescent="0.2">
      <c r="B9470" s="11" t="s">
        <v>2600</v>
      </c>
      <c r="C9470" s="17" t="s">
        <v>4060</v>
      </c>
      <c r="D9470" s="2"/>
    </row>
    <row r="9471" spans="1:4" ht="25.5" customHeight="1" x14ac:dyDescent="0.2">
      <c r="B9471" s="11" t="s">
        <v>2601</v>
      </c>
      <c r="C9471" s="17"/>
      <c r="D9471" s="2"/>
    </row>
    <row r="9472" spans="1:4" ht="12.75" customHeight="1" x14ac:dyDescent="0.2">
      <c r="B9472" s="11" t="s">
        <v>16</v>
      </c>
      <c r="C9472" s="17"/>
      <c r="D9472" s="2"/>
    </row>
    <row r="9473" spans="1:4" ht="12.75" customHeight="1" x14ac:dyDescent="0.2">
      <c r="B9473" s="11" t="s">
        <v>13</v>
      </c>
      <c r="C9473" s="17" t="s">
        <v>2602</v>
      </c>
      <c r="D9473" s="2"/>
    </row>
    <row r="9474" spans="1:4" ht="25.5" customHeight="1" x14ac:dyDescent="0.2">
      <c r="B9474" s="11" t="s">
        <v>2603</v>
      </c>
      <c r="C9474" s="17" t="s">
        <v>2971</v>
      </c>
      <c r="D9474" s="2"/>
    </row>
    <row r="9475" spans="1:4" ht="12.75" customHeight="1" x14ac:dyDescent="0.2">
      <c r="B9475" s="11" t="s">
        <v>2605</v>
      </c>
      <c r="C9475" s="17" t="s">
        <v>14</v>
      </c>
      <c r="D9475" s="2"/>
    </row>
    <row r="9476" spans="1:4" ht="12.75" customHeight="1" x14ac:dyDescent="0.2">
      <c r="B9476" s="11" t="s">
        <v>2606</v>
      </c>
      <c r="C9476" s="16" t="s">
        <v>19</v>
      </c>
      <c r="D9476" s="2"/>
    </row>
    <row r="9477" spans="1:4" ht="12.75" customHeight="1" x14ac:dyDescent="0.2">
      <c r="B9477" s="2"/>
      <c r="C9477" s="15"/>
      <c r="D9477" s="2"/>
    </row>
    <row r="9478" spans="1:4" ht="12.75" customHeight="1" x14ac:dyDescent="0.2">
      <c r="B9478" s="2"/>
      <c r="C9478" s="15"/>
      <c r="D9478" s="2"/>
    </row>
    <row r="9479" spans="1:4" ht="12.75" customHeight="1" x14ac:dyDescent="0.2">
      <c r="A9479" s="13" t="s">
        <v>4005</v>
      </c>
      <c r="C9479" s="12"/>
      <c r="D9479" s="2"/>
    </row>
    <row r="9480" spans="1:4" ht="12.75" customHeight="1" x14ac:dyDescent="0.2">
      <c r="A9480" s="11"/>
      <c r="B9480" s="2"/>
      <c r="C9480" s="15"/>
      <c r="D9480" s="2"/>
    </row>
    <row r="9481" spans="1:4" ht="12.75" customHeight="1" x14ac:dyDescent="0.2">
      <c r="B9481" s="11" t="s">
        <v>0</v>
      </c>
      <c r="C9481" s="17" t="s">
        <v>562</v>
      </c>
      <c r="D9481" s="2"/>
    </row>
    <row r="9482" spans="1:4" ht="12.75" customHeight="1" x14ac:dyDescent="0.2">
      <c r="B9482" s="11" t="s">
        <v>2599</v>
      </c>
      <c r="C9482" s="17" t="s">
        <v>4006</v>
      </c>
      <c r="D9482" s="2"/>
    </row>
    <row r="9483" spans="1:4" ht="25.5" customHeight="1" x14ac:dyDescent="0.2">
      <c r="B9483" s="11" t="s">
        <v>2600</v>
      </c>
      <c r="C9483" s="17" t="s">
        <v>4061</v>
      </c>
      <c r="D9483" s="2"/>
    </row>
    <row r="9484" spans="1:4" ht="25.5" customHeight="1" x14ac:dyDescent="0.2">
      <c r="B9484" s="11" t="s">
        <v>2601</v>
      </c>
      <c r="C9484" s="17"/>
      <c r="D9484" s="2"/>
    </row>
    <row r="9485" spans="1:4" ht="12.75" customHeight="1" x14ac:dyDescent="0.2">
      <c r="B9485" s="11" t="s">
        <v>16</v>
      </c>
      <c r="C9485" s="17"/>
      <c r="D9485" s="2"/>
    </row>
    <row r="9486" spans="1:4" ht="12.75" customHeight="1" x14ac:dyDescent="0.2">
      <c r="B9486" s="11" t="s">
        <v>13</v>
      </c>
      <c r="C9486" s="17" t="s">
        <v>2644</v>
      </c>
      <c r="D9486" s="2"/>
    </row>
    <row r="9487" spans="1:4" ht="25.5" customHeight="1" x14ac:dyDescent="0.2">
      <c r="B9487" s="11" t="s">
        <v>2603</v>
      </c>
      <c r="C9487" s="17" t="s">
        <v>2971</v>
      </c>
      <c r="D9487" s="2"/>
    </row>
    <row r="9488" spans="1:4" ht="12.75" customHeight="1" x14ac:dyDescent="0.2">
      <c r="B9488" s="11" t="s">
        <v>2605</v>
      </c>
      <c r="C9488" s="17" t="s">
        <v>14</v>
      </c>
      <c r="D9488" s="2"/>
    </row>
    <row r="9489" spans="1:4" ht="12.75" customHeight="1" x14ac:dyDescent="0.2">
      <c r="B9489" s="11" t="s">
        <v>2606</v>
      </c>
      <c r="C9489" s="16" t="s">
        <v>19</v>
      </c>
      <c r="D9489" s="2"/>
    </row>
    <row r="9490" spans="1:4" ht="12.75" customHeight="1" x14ac:dyDescent="0.2">
      <c r="B9490" s="2"/>
      <c r="C9490" s="15"/>
      <c r="D9490" s="2"/>
    </row>
    <row r="9491" spans="1:4" ht="12.75" customHeight="1" x14ac:dyDescent="0.2">
      <c r="B9491" s="2"/>
      <c r="C9491" s="15"/>
      <c r="D9491" s="2"/>
    </row>
    <row r="9492" spans="1:4" ht="12.75" customHeight="1" x14ac:dyDescent="0.2">
      <c r="A9492" s="13" t="s">
        <v>4062</v>
      </c>
      <c r="C9492" s="12"/>
    </row>
    <row r="9493" spans="1:4" ht="12.75" customHeight="1" x14ac:dyDescent="0.2">
      <c r="A9493" s="11"/>
      <c r="B9493" s="2"/>
      <c r="C9493" s="15"/>
      <c r="D9493" s="2"/>
    </row>
    <row r="9494" spans="1:4" ht="12.75" customHeight="1" x14ac:dyDescent="0.2">
      <c r="B9494" s="11" t="s">
        <v>0</v>
      </c>
      <c r="C9494" s="11" t="s">
        <v>562</v>
      </c>
    </row>
    <row r="9495" spans="1:4" ht="12.75" customHeight="1" x14ac:dyDescent="0.2">
      <c r="B9495" s="11" t="s">
        <v>2599</v>
      </c>
      <c r="C9495" s="11" t="s">
        <v>1024</v>
      </c>
    </row>
    <row r="9496" spans="1:4" ht="25.5" customHeight="1" x14ac:dyDescent="0.2">
      <c r="B9496" s="11" t="s">
        <v>2600</v>
      </c>
      <c r="C9496" s="11" t="s">
        <v>4063</v>
      </c>
    </row>
    <row r="9497" spans="1:4" ht="25.5" customHeight="1" x14ac:dyDescent="0.2">
      <c r="B9497" s="11" t="s">
        <v>2601</v>
      </c>
      <c r="C9497" s="11"/>
    </row>
    <row r="9498" spans="1:4" ht="12.75" customHeight="1" x14ac:dyDescent="0.2">
      <c r="B9498" s="11" t="s">
        <v>16</v>
      </c>
      <c r="C9498" s="11"/>
    </row>
    <row r="9499" spans="1:4" ht="12.75" customHeight="1" x14ac:dyDescent="0.2">
      <c r="B9499" s="11" t="s">
        <v>13</v>
      </c>
      <c r="C9499" s="11" t="s">
        <v>2602</v>
      </c>
    </row>
    <row r="9500" spans="1:4" ht="12.75" customHeight="1" x14ac:dyDescent="0.2">
      <c r="B9500" s="11" t="s">
        <v>2603</v>
      </c>
      <c r="C9500" s="11" t="s">
        <v>2604</v>
      </c>
    </row>
    <row r="9501" spans="1:4" ht="12.75" customHeight="1" x14ac:dyDescent="0.2">
      <c r="B9501" s="11" t="s">
        <v>2605</v>
      </c>
      <c r="C9501" s="11" t="s">
        <v>24</v>
      </c>
    </row>
    <row r="9502" spans="1:4" ht="12.75" customHeight="1" x14ac:dyDescent="0.2">
      <c r="B9502" s="11" t="s">
        <v>2606</v>
      </c>
      <c r="C9502" s="16" t="s">
        <v>67</v>
      </c>
      <c r="D9502" s="6" t="str">
        <f>HYPERLINK("javascript:void(0)","kincs")</f>
        <v>kincs</v>
      </c>
    </row>
    <row r="9503" spans="1:4" ht="12.75" customHeight="1" x14ac:dyDescent="0.2">
      <c r="B9503" s="2"/>
      <c r="C9503" s="15"/>
      <c r="D9503" s="2"/>
    </row>
    <row r="9504" spans="1:4" ht="12.75" customHeight="1" x14ac:dyDescent="0.2">
      <c r="B9504" s="2"/>
      <c r="C9504" s="15"/>
      <c r="D9504" s="2"/>
    </row>
    <row r="9505" spans="1:4" ht="12.75" customHeight="1" x14ac:dyDescent="0.2">
      <c r="A9505" s="13" t="s">
        <v>4064</v>
      </c>
      <c r="C9505" s="12"/>
    </row>
    <row r="9506" spans="1:4" ht="12.75" customHeight="1" x14ac:dyDescent="0.2">
      <c r="A9506" s="11"/>
      <c r="B9506" s="2"/>
      <c r="C9506" s="15"/>
      <c r="D9506" s="2"/>
    </row>
    <row r="9507" spans="1:4" ht="12.75" customHeight="1" x14ac:dyDescent="0.2">
      <c r="B9507" s="11" t="s">
        <v>0</v>
      </c>
      <c r="C9507" s="11" t="s">
        <v>562</v>
      </c>
    </row>
    <row r="9508" spans="1:4" ht="12.75" customHeight="1" x14ac:dyDescent="0.2">
      <c r="B9508" s="11" t="s">
        <v>2599</v>
      </c>
      <c r="C9508" s="11" t="s">
        <v>4065</v>
      </c>
    </row>
    <row r="9509" spans="1:4" ht="25.5" customHeight="1" x14ac:dyDescent="0.2">
      <c r="B9509" s="11" t="s">
        <v>2600</v>
      </c>
      <c r="C9509" s="11" t="s">
        <v>4010</v>
      </c>
    </row>
    <row r="9510" spans="1:4" ht="25.5" customHeight="1" x14ac:dyDescent="0.2">
      <c r="B9510" s="11" t="s">
        <v>2601</v>
      </c>
      <c r="C9510" s="11"/>
    </row>
    <row r="9511" spans="1:4" ht="12.75" customHeight="1" x14ac:dyDescent="0.2">
      <c r="B9511" s="11" t="s">
        <v>16</v>
      </c>
      <c r="C9511" s="11"/>
    </row>
    <row r="9512" spans="1:4" ht="12.75" customHeight="1" x14ac:dyDescent="0.2">
      <c r="B9512" s="11" t="s">
        <v>13</v>
      </c>
      <c r="C9512" s="11" t="s">
        <v>2644</v>
      </c>
    </row>
    <row r="9513" spans="1:4" ht="12.75" customHeight="1" x14ac:dyDescent="0.2">
      <c r="B9513" s="11" t="s">
        <v>2603</v>
      </c>
      <c r="C9513" s="11" t="s">
        <v>2604</v>
      </c>
    </row>
    <row r="9514" spans="1:4" ht="12.75" customHeight="1" x14ac:dyDescent="0.2">
      <c r="B9514" s="11" t="s">
        <v>2605</v>
      </c>
      <c r="C9514" s="11" t="s">
        <v>24</v>
      </c>
    </row>
    <row r="9515" spans="1:4" ht="12.75" customHeight="1" x14ac:dyDescent="0.2">
      <c r="B9515" s="11" t="s">
        <v>2606</v>
      </c>
      <c r="C9515" s="16" t="s">
        <v>55</v>
      </c>
      <c r="D9515" s="6" t="str">
        <f>HYPERLINK("javascript:void(0)","kacat")</f>
        <v>kacat</v>
      </c>
    </row>
    <row r="9516" spans="1:4" ht="12.75" customHeight="1" x14ac:dyDescent="0.2">
      <c r="C9516" s="16" t="s">
        <v>117</v>
      </c>
      <c r="D9516" s="6" t="str">
        <f>HYPERLINK("javascript:void(0)","kincs")</f>
        <v>kincs</v>
      </c>
    </row>
    <row r="9517" spans="1:4" ht="12.75" customHeight="1" x14ac:dyDescent="0.2">
      <c r="B9517" s="2"/>
      <c r="C9517" s="15"/>
      <c r="D9517" s="2"/>
    </row>
    <row r="9518" spans="1:4" ht="12.75" customHeight="1" x14ac:dyDescent="0.2">
      <c r="B9518" s="2"/>
      <c r="C9518" s="15"/>
      <c r="D9518" s="2"/>
    </row>
    <row r="9519" spans="1:4" ht="12.75" customHeight="1" x14ac:dyDescent="0.2">
      <c r="A9519" s="13" t="s">
        <v>4066</v>
      </c>
      <c r="C9519" s="12"/>
    </row>
    <row r="9520" spans="1:4" ht="12.75" customHeight="1" x14ac:dyDescent="0.2">
      <c r="A9520" s="11"/>
      <c r="B9520" s="2"/>
      <c r="C9520" s="15"/>
      <c r="D9520" s="2"/>
    </row>
    <row r="9521" spans="1:4" ht="12.75" customHeight="1" x14ac:dyDescent="0.2">
      <c r="B9521" s="11" t="s">
        <v>0</v>
      </c>
      <c r="C9521" s="11" t="s">
        <v>562</v>
      </c>
    </row>
    <row r="9522" spans="1:4" ht="12.75" customHeight="1" x14ac:dyDescent="0.2">
      <c r="B9522" s="11" t="s">
        <v>2599</v>
      </c>
      <c r="C9522" s="11" t="s">
        <v>4067</v>
      </c>
    </row>
    <row r="9523" spans="1:4" ht="25.5" customHeight="1" x14ac:dyDescent="0.2">
      <c r="B9523" s="11" t="s">
        <v>2600</v>
      </c>
      <c r="C9523" s="11" t="s">
        <v>4068</v>
      </c>
    </row>
    <row r="9524" spans="1:4" ht="25.5" customHeight="1" x14ac:dyDescent="0.2">
      <c r="B9524" s="11" t="s">
        <v>2601</v>
      </c>
      <c r="C9524" s="11"/>
    </row>
    <row r="9525" spans="1:4" ht="12.75" customHeight="1" x14ac:dyDescent="0.2">
      <c r="B9525" s="11" t="s">
        <v>16</v>
      </c>
      <c r="C9525" s="11"/>
    </row>
    <row r="9526" spans="1:4" ht="12.75" customHeight="1" x14ac:dyDescent="0.2">
      <c r="B9526" s="11" t="s">
        <v>13</v>
      </c>
      <c r="C9526" s="11" t="s">
        <v>2644</v>
      </c>
    </row>
    <row r="9527" spans="1:4" ht="12.75" customHeight="1" x14ac:dyDescent="0.2">
      <c r="B9527" s="11" t="s">
        <v>2603</v>
      </c>
      <c r="C9527" s="11" t="s">
        <v>2604</v>
      </c>
    </row>
    <row r="9528" spans="1:4" ht="12.75" customHeight="1" x14ac:dyDescent="0.2">
      <c r="B9528" s="11" t="s">
        <v>2605</v>
      </c>
      <c r="C9528" s="11" t="s">
        <v>24</v>
      </c>
    </row>
    <row r="9529" spans="1:4" ht="12.75" customHeight="1" x14ac:dyDescent="0.2">
      <c r="B9529" s="11" t="s">
        <v>2606</v>
      </c>
      <c r="C9529" s="16" t="s">
        <v>57</v>
      </c>
      <c r="D9529" s="6" t="str">
        <f>HYPERLINK("javascript:void(0)","horog")</f>
        <v>horog</v>
      </c>
    </row>
    <row r="9530" spans="1:4" ht="12.75" customHeight="1" x14ac:dyDescent="0.2">
      <c r="B9530" s="2"/>
      <c r="C9530" s="15"/>
      <c r="D9530" s="2"/>
    </row>
    <row r="9531" spans="1:4" ht="12.75" customHeight="1" x14ac:dyDescent="0.2">
      <c r="B9531" s="2"/>
      <c r="C9531" s="15"/>
      <c r="D9531" s="2"/>
    </row>
    <row r="9532" spans="1:4" ht="12.75" customHeight="1" x14ac:dyDescent="0.2">
      <c r="A9532" s="13" t="s">
        <v>4069</v>
      </c>
      <c r="C9532" s="12"/>
    </row>
    <row r="9533" spans="1:4" ht="12.75" customHeight="1" x14ac:dyDescent="0.2">
      <c r="A9533" s="11"/>
      <c r="B9533" s="2"/>
      <c r="C9533" s="15"/>
      <c r="D9533" s="2"/>
    </row>
    <row r="9534" spans="1:4" ht="12.75" customHeight="1" x14ac:dyDescent="0.2">
      <c r="B9534" s="11" t="s">
        <v>0</v>
      </c>
      <c r="C9534" s="11" t="s">
        <v>562</v>
      </c>
    </row>
    <row r="9535" spans="1:4" ht="12.75" customHeight="1" x14ac:dyDescent="0.2">
      <c r="B9535" s="11" t="s">
        <v>2599</v>
      </c>
      <c r="C9535" s="11" t="s">
        <v>4070</v>
      </c>
    </row>
    <row r="9536" spans="1:4" ht="25.5" customHeight="1" x14ac:dyDescent="0.2">
      <c r="B9536" s="11" t="s">
        <v>2600</v>
      </c>
      <c r="C9536" s="11" t="s">
        <v>4071</v>
      </c>
    </row>
    <row r="9537" spans="1:4" ht="25.5" customHeight="1" x14ac:dyDescent="0.2">
      <c r="B9537" s="11" t="s">
        <v>2601</v>
      </c>
      <c r="C9537" s="11"/>
    </row>
    <row r="9538" spans="1:4" ht="12.75" customHeight="1" x14ac:dyDescent="0.2">
      <c r="B9538" s="11" t="s">
        <v>16</v>
      </c>
      <c r="C9538" s="11"/>
    </row>
    <row r="9539" spans="1:4" ht="12.75" customHeight="1" x14ac:dyDescent="0.2">
      <c r="B9539" s="11" t="s">
        <v>13</v>
      </c>
      <c r="C9539" s="11" t="s">
        <v>2602</v>
      </c>
    </row>
    <row r="9540" spans="1:4" ht="12.75" customHeight="1" x14ac:dyDescent="0.2">
      <c r="B9540" s="11" t="s">
        <v>2603</v>
      </c>
      <c r="C9540" s="11" t="s">
        <v>2604</v>
      </c>
    </row>
    <row r="9541" spans="1:4" ht="12.75" customHeight="1" x14ac:dyDescent="0.2">
      <c r="B9541" s="11" t="s">
        <v>2605</v>
      </c>
      <c r="C9541" s="11" t="s">
        <v>24</v>
      </c>
    </row>
    <row r="9542" spans="1:4" ht="12.75" customHeight="1" x14ac:dyDescent="0.2">
      <c r="B9542" s="11" t="s">
        <v>2606</v>
      </c>
      <c r="C9542" s="16" t="s">
        <v>67</v>
      </c>
      <c r="D9542" s="6" t="str">
        <f>HYPERLINK("javascript:void(0)","kincs")</f>
        <v>kincs</v>
      </c>
    </row>
    <row r="9543" spans="1:4" ht="12.75" customHeight="1" x14ac:dyDescent="0.2">
      <c r="B9543" s="2"/>
      <c r="C9543" s="15"/>
      <c r="D9543" s="2"/>
    </row>
    <row r="9544" spans="1:4" ht="12.75" customHeight="1" x14ac:dyDescent="0.2">
      <c r="B9544" s="2"/>
      <c r="C9544" s="15"/>
      <c r="D9544" s="2"/>
    </row>
    <row r="9545" spans="1:4" ht="12.75" customHeight="1" x14ac:dyDescent="0.2">
      <c r="A9545" s="13" t="s">
        <v>4072</v>
      </c>
      <c r="C9545" s="12"/>
    </row>
    <row r="9546" spans="1:4" ht="12.75" customHeight="1" x14ac:dyDescent="0.2">
      <c r="A9546" s="11"/>
      <c r="B9546" s="2"/>
      <c r="C9546" s="15"/>
      <c r="D9546" s="2"/>
    </row>
    <row r="9547" spans="1:4" ht="12.75" customHeight="1" x14ac:dyDescent="0.2">
      <c r="B9547" s="11" t="s">
        <v>0</v>
      </c>
      <c r="C9547" s="11" t="s">
        <v>562</v>
      </c>
    </row>
    <row r="9548" spans="1:4" ht="12.75" customHeight="1" x14ac:dyDescent="0.2">
      <c r="B9548" s="11" t="s">
        <v>2599</v>
      </c>
      <c r="C9548" s="11" t="s">
        <v>864</v>
      </c>
    </row>
    <row r="9549" spans="1:4" ht="25.5" customHeight="1" x14ac:dyDescent="0.2">
      <c r="B9549" s="11" t="s">
        <v>2600</v>
      </c>
      <c r="C9549" s="11" t="s">
        <v>4073</v>
      </c>
    </row>
    <row r="9550" spans="1:4" ht="25.5" customHeight="1" x14ac:dyDescent="0.2">
      <c r="B9550" s="11" t="s">
        <v>2601</v>
      </c>
      <c r="C9550" s="11"/>
    </row>
    <row r="9551" spans="1:4" ht="12.75" customHeight="1" x14ac:dyDescent="0.2">
      <c r="B9551" s="11" t="s">
        <v>16</v>
      </c>
      <c r="C9551" s="11"/>
    </row>
    <row r="9552" spans="1:4" ht="12.75" customHeight="1" x14ac:dyDescent="0.2">
      <c r="B9552" s="11" t="s">
        <v>13</v>
      </c>
      <c r="C9552" s="11" t="s">
        <v>2644</v>
      </c>
    </row>
    <row r="9553" spans="1:4" ht="12.75" customHeight="1" x14ac:dyDescent="0.2">
      <c r="B9553" s="11" t="s">
        <v>2603</v>
      </c>
      <c r="C9553" s="11" t="s">
        <v>2604</v>
      </c>
    </row>
    <row r="9554" spans="1:4" ht="12.75" customHeight="1" x14ac:dyDescent="0.2">
      <c r="B9554" s="11" t="s">
        <v>2605</v>
      </c>
      <c r="C9554" s="11" t="s">
        <v>24</v>
      </c>
    </row>
    <row r="9555" spans="1:4" ht="25.5" customHeight="1" x14ac:dyDescent="0.2">
      <c r="B9555" s="11" t="s">
        <v>2606</v>
      </c>
      <c r="C9555" s="16" t="s">
        <v>44</v>
      </c>
      <c r="D9555" s="6" t="str">
        <f>HYPERLINK("javascript:void(0)","gyíkacél kasza")</f>
        <v>gyíkacél kasza</v>
      </c>
    </row>
    <row r="9556" spans="1:4" ht="12.75" customHeight="1" x14ac:dyDescent="0.2">
      <c r="B9556" s="2"/>
      <c r="C9556" s="15"/>
      <c r="D9556" s="2"/>
    </row>
    <row r="9557" spans="1:4" ht="12.75" customHeight="1" x14ac:dyDescent="0.2">
      <c r="B9557" s="2"/>
      <c r="C9557" s="15"/>
      <c r="D9557" s="2"/>
    </row>
    <row r="9558" spans="1:4" ht="12.75" customHeight="1" x14ac:dyDescent="0.2">
      <c r="A9558" s="13" t="s">
        <v>4074</v>
      </c>
      <c r="C9558" s="12"/>
    </row>
    <row r="9559" spans="1:4" ht="12.75" customHeight="1" x14ac:dyDescent="0.2">
      <c r="A9559" s="11"/>
      <c r="B9559" s="2"/>
      <c r="C9559" s="15"/>
      <c r="D9559" s="2"/>
    </row>
    <row r="9560" spans="1:4" ht="12.75" customHeight="1" x14ac:dyDescent="0.2">
      <c r="B9560" s="11" t="s">
        <v>0</v>
      </c>
      <c r="C9560" s="11" t="s">
        <v>562</v>
      </c>
    </row>
    <row r="9561" spans="1:4" ht="12.75" customHeight="1" x14ac:dyDescent="0.2">
      <c r="B9561" s="11" t="s">
        <v>2599</v>
      </c>
      <c r="C9561" s="11" t="s">
        <v>1898</v>
      </c>
    </row>
    <row r="9562" spans="1:4" ht="25.5" customHeight="1" x14ac:dyDescent="0.2">
      <c r="B9562" s="11" t="s">
        <v>2600</v>
      </c>
      <c r="C9562" s="11" t="s">
        <v>4075</v>
      </c>
    </row>
    <row r="9563" spans="1:4" ht="25.5" customHeight="1" x14ac:dyDescent="0.2">
      <c r="B9563" s="11" t="s">
        <v>2601</v>
      </c>
      <c r="C9563" s="11"/>
    </row>
    <row r="9564" spans="1:4" ht="12.75" customHeight="1" x14ac:dyDescent="0.2">
      <c r="B9564" s="11" t="s">
        <v>16</v>
      </c>
      <c r="C9564" s="11"/>
    </row>
    <row r="9565" spans="1:4" ht="12.75" customHeight="1" x14ac:dyDescent="0.2">
      <c r="B9565" s="11" t="s">
        <v>13</v>
      </c>
      <c r="C9565" s="11" t="s">
        <v>2602</v>
      </c>
    </row>
    <row r="9566" spans="1:4" ht="12.75" customHeight="1" x14ac:dyDescent="0.2">
      <c r="B9566" s="11" t="s">
        <v>2603</v>
      </c>
      <c r="C9566" s="11" t="s">
        <v>2604</v>
      </c>
    </row>
    <row r="9567" spans="1:4" ht="12.75" customHeight="1" x14ac:dyDescent="0.2">
      <c r="B9567" s="11" t="s">
        <v>2605</v>
      </c>
      <c r="C9567" s="11" t="s">
        <v>24</v>
      </c>
    </row>
    <row r="9568" spans="1:4" ht="12.75" customHeight="1" x14ac:dyDescent="0.2">
      <c r="B9568" s="11" t="s">
        <v>2606</v>
      </c>
      <c r="C9568" s="16" t="s">
        <v>44</v>
      </c>
      <c r="D9568" s="6" t="str">
        <f>HYPERLINK("javascript:void(0)","imázs")</f>
        <v>imázs</v>
      </c>
    </row>
    <row r="9569" spans="1:4" ht="12.75" customHeight="1" x14ac:dyDescent="0.2">
      <c r="B9569" s="2"/>
      <c r="C9569" s="15"/>
      <c r="D9569" s="2"/>
    </row>
    <row r="9570" spans="1:4" ht="12.75" customHeight="1" x14ac:dyDescent="0.2">
      <c r="B9570" s="2"/>
      <c r="C9570" s="15"/>
      <c r="D9570" s="2"/>
    </row>
    <row r="9571" spans="1:4" ht="12.75" customHeight="1" x14ac:dyDescent="0.2">
      <c r="A9571" s="13" t="s">
        <v>4076</v>
      </c>
      <c r="C9571" s="12"/>
    </row>
    <row r="9572" spans="1:4" ht="12.75" customHeight="1" x14ac:dyDescent="0.2">
      <c r="A9572" s="11"/>
      <c r="B9572" s="2"/>
      <c r="C9572" s="15"/>
      <c r="D9572" s="2"/>
    </row>
    <row r="9573" spans="1:4" ht="12.75" customHeight="1" x14ac:dyDescent="0.2">
      <c r="B9573" s="11" t="s">
        <v>0</v>
      </c>
      <c r="C9573" s="11" t="s">
        <v>562</v>
      </c>
    </row>
    <row r="9574" spans="1:4" ht="12.75" customHeight="1" x14ac:dyDescent="0.2">
      <c r="B9574" s="11" t="s">
        <v>2599</v>
      </c>
      <c r="C9574" s="11" t="s">
        <v>4077</v>
      </c>
    </row>
    <row r="9575" spans="1:4" ht="25.5" customHeight="1" x14ac:dyDescent="0.2">
      <c r="B9575" s="11" t="s">
        <v>2600</v>
      </c>
      <c r="C9575" s="11" t="s">
        <v>4078</v>
      </c>
    </row>
    <row r="9576" spans="1:4" ht="25.5" customHeight="1" x14ac:dyDescent="0.2">
      <c r="B9576" s="11" t="s">
        <v>2601</v>
      </c>
      <c r="C9576" s="11"/>
    </row>
    <row r="9577" spans="1:4" ht="12.75" customHeight="1" x14ac:dyDescent="0.2">
      <c r="B9577" s="11" t="s">
        <v>16</v>
      </c>
      <c r="C9577" s="11"/>
    </row>
    <row r="9578" spans="1:4" ht="12.75" customHeight="1" x14ac:dyDescent="0.2">
      <c r="B9578" s="11" t="s">
        <v>13</v>
      </c>
      <c r="C9578" s="11" t="s">
        <v>2644</v>
      </c>
    </row>
    <row r="9579" spans="1:4" ht="12.75" customHeight="1" x14ac:dyDescent="0.2">
      <c r="B9579" s="11" t="s">
        <v>2603</v>
      </c>
      <c r="C9579" s="11" t="s">
        <v>2604</v>
      </c>
    </row>
    <row r="9580" spans="1:4" ht="12.75" customHeight="1" x14ac:dyDescent="0.2">
      <c r="B9580" s="11" t="s">
        <v>2605</v>
      </c>
      <c r="C9580" s="11" t="s">
        <v>24</v>
      </c>
    </row>
    <row r="9581" spans="1:4" ht="12.75" customHeight="1" x14ac:dyDescent="0.2">
      <c r="B9581" s="11" t="s">
        <v>2606</v>
      </c>
      <c r="C9581" s="16" t="s">
        <v>57</v>
      </c>
      <c r="D9581" s="6" t="str">
        <f>HYPERLINK("javascript:void(0)","igeidő")</f>
        <v>igeidő</v>
      </c>
    </row>
    <row r="9582" spans="1:4" ht="12.75" customHeight="1" x14ac:dyDescent="0.2">
      <c r="B9582" s="2"/>
      <c r="C9582" s="15"/>
      <c r="D9582" s="2"/>
    </row>
    <row r="9583" spans="1:4" ht="12.75" customHeight="1" x14ac:dyDescent="0.2">
      <c r="B9583" s="2"/>
      <c r="C9583" s="15"/>
      <c r="D9583" s="2"/>
    </row>
    <row r="9584" spans="1:4" ht="12.75" customHeight="1" x14ac:dyDescent="0.2">
      <c r="A9584" s="13" t="s">
        <v>4079</v>
      </c>
      <c r="C9584" s="12"/>
    </row>
    <row r="9585" spans="1:4" ht="12.75" customHeight="1" x14ac:dyDescent="0.2">
      <c r="A9585" s="11"/>
      <c r="B9585" s="2"/>
      <c r="C9585" s="15"/>
      <c r="D9585" s="2"/>
    </row>
    <row r="9586" spans="1:4" ht="12.75" customHeight="1" x14ac:dyDescent="0.2">
      <c r="B9586" s="11" t="s">
        <v>0</v>
      </c>
      <c r="C9586" s="11" t="s">
        <v>562</v>
      </c>
    </row>
    <row r="9587" spans="1:4" ht="12.75" customHeight="1" x14ac:dyDescent="0.2">
      <c r="B9587" s="11" t="s">
        <v>2599</v>
      </c>
      <c r="C9587" s="11" t="s">
        <v>4080</v>
      </c>
    </row>
    <row r="9588" spans="1:4" ht="25.5" customHeight="1" x14ac:dyDescent="0.2">
      <c r="B9588" s="11" t="s">
        <v>2600</v>
      </c>
      <c r="C9588" s="11" t="s">
        <v>4081</v>
      </c>
    </row>
    <row r="9589" spans="1:4" ht="25.5" customHeight="1" x14ac:dyDescent="0.2">
      <c r="B9589" s="11" t="s">
        <v>2601</v>
      </c>
      <c r="C9589" s="11"/>
    </row>
    <row r="9590" spans="1:4" ht="12.75" customHeight="1" x14ac:dyDescent="0.2">
      <c r="B9590" s="11" t="s">
        <v>16</v>
      </c>
      <c r="C9590" s="11"/>
    </row>
    <row r="9591" spans="1:4" ht="12.75" customHeight="1" x14ac:dyDescent="0.2">
      <c r="B9591" s="11" t="s">
        <v>13</v>
      </c>
      <c r="C9591" s="11" t="s">
        <v>2602</v>
      </c>
    </row>
    <row r="9592" spans="1:4" ht="12.75" customHeight="1" x14ac:dyDescent="0.2">
      <c r="B9592" s="11" t="s">
        <v>2603</v>
      </c>
      <c r="C9592" s="11" t="s">
        <v>2604</v>
      </c>
    </row>
    <row r="9593" spans="1:4" ht="12.75" customHeight="1" x14ac:dyDescent="0.2">
      <c r="B9593" s="11" t="s">
        <v>2605</v>
      </c>
      <c r="C9593" s="11" t="s">
        <v>24</v>
      </c>
    </row>
    <row r="9594" spans="1:4" ht="12.75" customHeight="1" x14ac:dyDescent="0.2">
      <c r="B9594" s="11" t="s">
        <v>2606</v>
      </c>
      <c r="C9594" s="16" t="s">
        <v>68</v>
      </c>
      <c r="D9594" s="6" t="str">
        <f>HYPERLINK("javascript:void(0)","kincs")</f>
        <v>kincs</v>
      </c>
    </row>
    <row r="9595" spans="1:4" ht="12.75" customHeight="1" x14ac:dyDescent="0.2">
      <c r="B9595" s="2"/>
      <c r="C9595" s="15"/>
      <c r="D9595" s="2"/>
    </row>
    <row r="9596" spans="1:4" ht="12.75" customHeight="1" x14ac:dyDescent="0.2">
      <c r="B9596" s="2"/>
      <c r="C9596" s="15"/>
      <c r="D9596" s="2"/>
    </row>
    <row r="9597" spans="1:4" ht="12.75" customHeight="1" x14ac:dyDescent="0.2">
      <c r="A9597" s="13" t="s">
        <v>3966</v>
      </c>
      <c r="C9597" s="12"/>
      <c r="D9597" s="2"/>
    </row>
    <row r="9598" spans="1:4" ht="12.75" customHeight="1" x14ac:dyDescent="0.2">
      <c r="A9598" s="11"/>
      <c r="B9598" s="2"/>
      <c r="C9598" s="15"/>
      <c r="D9598" s="2"/>
    </row>
    <row r="9599" spans="1:4" ht="12.75" customHeight="1" x14ac:dyDescent="0.2">
      <c r="B9599" s="11" t="s">
        <v>0</v>
      </c>
      <c r="C9599" s="17" t="s">
        <v>562</v>
      </c>
      <c r="D9599" s="2"/>
    </row>
    <row r="9600" spans="1:4" ht="12.75" customHeight="1" x14ac:dyDescent="0.2">
      <c r="B9600" s="11" t="s">
        <v>2599</v>
      </c>
      <c r="C9600" s="17" t="s">
        <v>3967</v>
      </c>
      <c r="D9600" s="2"/>
    </row>
    <row r="9601" spans="1:4" ht="25.5" customHeight="1" x14ac:dyDescent="0.2">
      <c r="B9601" s="11" t="s">
        <v>2600</v>
      </c>
      <c r="C9601" s="17" t="s">
        <v>4082</v>
      </c>
      <c r="D9601" s="2"/>
    </row>
    <row r="9602" spans="1:4" ht="25.5" customHeight="1" x14ac:dyDescent="0.2">
      <c r="B9602" s="11" t="s">
        <v>2601</v>
      </c>
      <c r="C9602" s="17"/>
      <c r="D9602" s="2"/>
    </row>
    <row r="9603" spans="1:4" ht="12.75" customHeight="1" x14ac:dyDescent="0.2">
      <c r="B9603" s="11" t="s">
        <v>16</v>
      </c>
      <c r="C9603" s="17"/>
      <c r="D9603" s="2"/>
    </row>
    <row r="9604" spans="1:4" ht="12.75" customHeight="1" x14ac:dyDescent="0.2">
      <c r="B9604" s="11" t="s">
        <v>13</v>
      </c>
      <c r="C9604" s="17" t="s">
        <v>2602</v>
      </c>
      <c r="D9604" s="2"/>
    </row>
    <row r="9605" spans="1:4" ht="25.5" customHeight="1" x14ac:dyDescent="0.2">
      <c r="B9605" s="11" t="s">
        <v>2603</v>
      </c>
      <c r="C9605" s="17" t="s">
        <v>2971</v>
      </c>
      <c r="D9605" s="2"/>
    </row>
    <row r="9606" spans="1:4" ht="12.75" customHeight="1" x14ac:dyDescent="0.2">
      <c r="B9606" s="11" t="s">
        <v>2605</v>
      </c>
      <c r="C9606" s="17" t="s">
        <v>14</v>
      </c>
      <c r="D9606" s="2"/>
    </row>
    <row r="9607" spans="1:4" ht="12.75" customHeight="1" x14ac:dyDescent="0.2">
      <c r="B9607" s="11" t="s">
        <v>2606</v>
      </c>
      <c r="C9607" s="16" t="s">
        <v>19</v>
      </c>
      <c r="D9607" s="2"/>
    </row>
    <row r="9608" spans="1:4" ht="12.75" customHeight="1" x14ac:dyDescent="0.2">
      <c r="B9608" s="2"/>
      <c r="C9608" s="15"/>
      <c r="D9608" s="2"/>
    </row>
    <row r="9609" spans="1:4" ht="12.75" customHeight="1" x14ac:dyDescent="0.2">
      <c r="B9609" s="2"/>
      <c r="C9609" s="15"/>
      <c r="D9609" s="2"/>
    </row>
    <row r="9610" spans="1:4" ht="12.75" customHeight="1" x14ac:dyDescent="0.2">
      <c r="A9610" s="13" t="s">
        <v>4031</v>
      </c>
      <c r="C9610" s="12"/>
      <c r="D9610" s="2"/>
    </row>
    <row r="9611" spans="1:4" ht="12.75" customHeight="1" x14ac:dyDescent="0.2">
      <c r="A9611" s="11"/>
      <c r="B9611" s="2"/>
      <c r="C9611" s="15"/>
      <c r="D9611" s="2"/>
    </row>
    <row r="9612" spans="1:4" ht="12.75" customHeight="1" x14ac:dyDescent="0.2">
      <c r="B9612" s="11" t="s">
        <v>0</v>
      </c>
      <c r="C9612" s="17" t="s">
        <v>562</v>
      </c>
      <c r="D9612" s="2"/>
    </row>
    <row r="9613" spans="1:4" ht="12.75" customHeight="1" x14ac:dyDescent="0.2">
      <c r="B9613" s="11" t="s">
        <v>2599</v>
      </c>
      <c r="C9613" s="17" t="s">
        <v>697</v>
      </c>
      <c r="D9613" s="2"/>
    </row>
    <row r="9614" spans="1:4" ht="25.5" customHeight="1" x14ac:dyDescent="0.2">
      <c r="B9614" s="11" t="s">
        <v>2600</v>
      </c>
      <c r="C9614" s="17" t="s">
        <v>4083</v>
      </c>
      <c r="D9614" s="2"/>
    </row>
    <row r="9615" spans="1:4" ht="25.5" customHeight="1" x14ac:dyDescent="0.2">
      <c r="B9615" s="11" t="s">
        <v>2601</v>
      </c>
      <c r="C9615" s="17"/>
      <c r="D9615" s="2"/>
    </row>
    <row r="9616" spans="1:4" ht="12.75" customHeight="1" x14ac:dyDescent="0.2">
      <c r="B9616" s="11" t="s">
        <v>16</v>
      </c>
      <c r="C9616" s="17"/>
      <c r="D9616" s="2"/>
    </row>
    <row r="9617" spans="1:4" ht="12.75" customHeight="1" x14ac:dyDescent="0.2">
      <c r="B9617" s="11" t="s">
        <v>13</v>
      </c>
      <c r="C9617" s="17" t="s">
        <v>2644</v>
      </c>
      <c r="D9617" s="2"/>
    </row>
    <row r="9618" spans="1:4" ht="25.5" customHeight="1" x14ac:dyDescent="0.2">
      <c r="B9618" s="11" t="s">
        <v>2603</v>
      </c>
      <c r="C9618" s="17" t="s">
        <v>2971</v>
      </c>
      <c r="D9618" s="2"/>
    </row>
    <row r="9619" spans="1:4" ht="12.75" customHeight="1" x14ac:dyDescent="0.2">
      <c r="B9619" s="11" t="s">
        <v>2605</v>
      </c>
      <c r="C9619" s="17" t="s">
        <v>14</v>
      </c>
      <c r="D9619" s="2"/>
    </row>
    <row r="9620" spans="1:4" ht="12.75" customHeight="1" x14ac:dyDescent="0.2">
      <c r="B9620" s="11" t="s">
        <v>2606</v>
      </c>
      <c r="C9620" s="16" t="s">
        <v>19</v>
      </c>
      <c r="D9620" s="2"/>
    </row>
    <row r="9621" spans="1:4" ht="12.75" customHeight="1" x14ac:dyDescent="0.2">
      <c r="B9621" s="2"/>
      <c r="C9621" s="15"/>
      <c r="D9621" s="2"/>
    </row>
    <row r="9622" spans="1:4" ht="12.75" customHeight="1" x14ac:dyDescent="0.2">
      <c r="B9622" s="2"/>
      <c r="C9622" s="15"/>
      <c r="D9622" s="2"/>
    </row>
    <row r="9623" spans="1:4" ht="12.75" customHeight="1" x14ac:dyDescent="0.2">
      <c r="A9623" s="13" t="s">
        <v>4001</v>
      </c>
      <c r="C9623" s="12"/>
      <c r="D9623" s="2"/>
    </row>
    <row r="9624" spans="1:4" ht="12.75" customHeight="1" x14ac:dyDescent="0.2">
      <c r="A9624" s="11"/>
      <c r="B9624" s="2"/>
      <c r="C9624" s="15"/>
      <c r="D9624" s="2"/>
    </row>
    <row r="9625" spans="1:4" ht="12.75" customHeight="1" x14ac:dyDescent="0.2">
      <c r="B9625" s="11" t="s">
        <v>0</v>
      </c>
      <c r="C9625" s="17" t="s">
        <v>575</v>
      </c>
      <c r="D9625" s="2"/>
    </row>
    <row r="9626" spans="1:4" ht="12.75" customHeight="1" x14ac:dyDescent="0.2">
      <c r="B9626" s="11" t="s">
        <v>2599</v>
      </c>
      <c r="C9626" s="17" t="s">
        <v>1120</v>
      </c>
      <c r="D9626" s="2"/>
    </row>
    <row r="9627" spans="1:4" ht="25.5" customHeight="1" x14ac:dyDescent="0.2">
      <c r="B9627" s="11" t="s">
        <v>2600</v>
      </c>
      <c r="C9627" s="17" t="s">
        <v>4084</v>
      </c>
      <c r="D9627" s="2"/>
    </row>
    <row r="9628" spans="1:4" ht="25.5" customHeight="1" x14ac:dyDescent="0.2">
      <c r="B9628" s="11" t="s">
        <v>2601</v>
      </c>
      <c r="C9628" s="17"/>
      <c r="D9628" s="2"/>
    </row>
    <row r="9629" spans="1:4" ht="12.75" customHeight="1" x14ac:dyDescent="0.2">
      <c r="B9629" s="11" t="s">
        <v>16</v>
      </c>
      <c r="C9629" s="17"/>
      <c r="D9629" s="2"/>
    </row>
    <row r="9630" spans="1:4" ht="12.75" customHeight="1" x14ac:dyDescent="0.2">
      <c r="B9630" s="11" t="s">
        <v>13</v>
      </c>
      <c r="C9630" s="17" t="s">
        <v>2644</v>
      </c>
      <c r="D9630" s="2"/>
    </row>
    <row r="9631" spans="1:4" ht="25.5" customHeight="1" x14ac:dyDescent="0.2">
      <c r="B9631" s="11" t="s">
        <v>2603</v>
      </c>
      <c r="C9631" s="17" t="s">
        <v>2971</v>
      </c>
      <c r="D9631" s="2"/>
    </row>
    <row r="9632" spans="1:4" ht="12.75" customHeight="1" x14ac:dyDescent="0.2">
      <c r="B9632" s="11" t="s">
        <v>2605</v>
      </c>
      <c r="C9632" s="17" t="s">
        <v>14</v>
      </c>
      <c r="D9632" s="2"/>
    </row>
    <row r="9633" spans="1:4" ht="12.75" customHeight="1" x14ac:dyDescent="0.2">
      <c r="B9633" s="11" t="s">
        <v>2606</v>
      </c>
      <c r="C9633" s="16" t="s">
        <v>19</v>
      </c>
      <c r="D9633" s="2"/>
    </row>
    <row r="9634" spans="1:4" ht="12.75" customHeight="1" x14ac:dyDescent="0.2">
      <c r="B9634" s="2"/>
      <c r="C9634" s="15"/>
      <c r="D9634" s="2"/>
    </row>
    <row r="9635" spans="1:4" ht="12.75" customHeight="1" x14ac:dyDescent="0.2">
      <c r="B9635" s="2"/>
      <c r="C9635" s="15"/>
      <c r="D9635" s="2"/>
    </row>
    <row r="9636" spans="1:4" ht="12.75" customHeight="1" x14ac:dyDescent="0.2">
      <c r="A9636" s="13" t="s">
        <v>4003</v>
      </c>
      <c r="C9636" s="12"/>
      <c r="D9636" s="2"/>
    </row>
    <row r="9637" spans="1:4" ht="12.75" customHeight="1" x14ac:dyDescent="0.2">
      <c r="A9637" s="11"/>
      <c r="B9637" s="2"/>
      <c r="C9637" s="15"/>
      <c r="D9637" s="2"/>
    </row>
    <row r="9638" spans="1:4" ht="12.75" customHeight="1" x14ac:dyDescent="0.2">
      <c r="B9638" s="11" t="s">
        <v>0</v>
      </c>
      <c r="C9638" s="17" t="s">
        <v>575</v>
      </c>
      <c r="D9638" s="2"/>
    </row>
    <row r="9639" spans="1:4" ht="12.75" customHeight="1" x14ac:dyDescent="0.2">
      <c r="B9639" s="11" t="s">
        <v>2599</v>
      </c>
      <c r="C9639" s="17" t="s">
        <v>3674</v>
      </c>
      <c r="D9639" s="2"/>
    </row>
    <row r="9640" spans="1:4" ht="25.5" customHeight="1" x14ac:dyDescent="0.2">
      <c r="B9640" s="11" t="s">
        <v>2600</v>
      </c>
      <c r="C9640" s="17" t="s">
        <v>4085</v>
      </c>
      <c r="D9640" s="2"/>
    </row>
    <row r="9641" spans="1:4" ht="25.5" customHeight="1" x14ac:dyDescent="0.2">
      <c r="B9641" s="11" t="s">
        <v>2601</v>
      </c>
      <c r="C9641" s="17"/>
      <c r="D9641" s="2"/>
    </row>
    <row r="9642" spans="1:4" ht="12.75" customHeight="1" x14ac:dyDescent="0.2">
      <c r="B9642" s="11" t="s">
        <v>16</v>
      </c>
      <c r="C9642" s="17"/>
      <c r="D9642" s="2"/>
    </row>
    <row r="9643" spans="1:4" ht="12.75" customHeight="1" x14ac:dyDescent="0.2">
      <c r="B9643" s="11" t="s">
        <v>13</v>
      </c>
      <c r="C9643" s="17" t="s">
        <v>2602</v>
      </c>
      <c r="D9643" s="2"/>
    </row>
    <row r="9644" spans="1:4" ht="25.5" customHeight="1" x14ac:dyDescent="0.2">
      <c r="B9644" s="11" t="s">
        <v>2603</v>
      </c>
      <c r="C9644" s="17" t="s">
        <v>2971</v>
      </c>
      <c r="D9644" s="2"/>
    </row>
    <row r="9645" spans="1:4" ht="12.75" customHeight="1" x14ac:dyDescent="0.2">
      <c r="B9645" s="11" t="s">
        <v>2605</v>
      </c>
      <c r="C9645" s="17" t="s">
        <v>14</v>
      </c>
      <c r="D9645" s="2"/>
    </row>
    <row r="9646" spans="1:4" ht="12.75" customHeight="1" x14ac:dyDescent="0.2">
      <c r="B9646" s="11" t="s">
        <v>2606</v>
      </c>
      <c r="C9646" s="16" t="s">
        <v>19</v>
      </c>
      <c r="D9646" s="2"/>
    </row>
    <row r="9647" spans="1:4" ht="12.75" customHeight="1" x14ac:dyDescent="0.2">
      <c r="B9647" s="2"/>
      <c r="C9647" s="15"/>
      <c r="D9647" s="2"/>
    </row>
    <row r="9648" spans="1:4" ht="12.75" customHeight="1" x14ac:dyDescent="0.2">
      <c r="B9648" s="2"/>
      <c r="C9648" s="15"/>
      <c r="D9648" s="2"/>
    </row>
    <row r="9649" spans="1:4" ht="12.75" customHeight="1" x14ac:dyDescent="0.2">
      <c r="A9649" s="13" t="s">
        <v>4005</v>
      </c>
      <c r="C9649" s="12"/>
      <c r="D9649" s="2"/>
    </row>
    <row r="9650" spans="1:4" ht="12.75" customHeight="1" x14ac:dyDescent="0.2">
      <c r="A9650" s="11"/>
      <c r="B9650" s="2"/>
      <c r="C9650" s="15"/>
      <c r="D9650" s="2"/>
    </row>
    <row r="9651" spans="1:4" ht="12.75" customHeight="1" x14ac:dyDescent="0.2">
      <c r="B9651" s="11" t="s">
        <v>0</v>
      </c>
      <c r="C9651" s="17" t="s">
        <v>575</v>
      </c>
      <c r="D9651" s="2"/>
    </row>
    <row r="9652" spans="1:4" ht="12.75" customHeight="1" x14ac:dyDescent="0.2">
      <c r="B9652" s="11" t="s">
        <v>2599</v>
      </c>
      <c r="C9652" s="17" t="s">
        <v>4006</v>
      </c>
      <c r="D9652" s="2"/>
    </row>
    <row r="9653" spans="1:4" ht="25.5" customHeight="1" x14ac:dyDescent="0.2">
      <c r="B9653" s="11" t="s">
        <v>2600</v>
      </c>
      <c r="C9653" s="17" t="s">
        <v>4086</v>
      </c>
      <c r="D9653" s="2"/>
    </row>
    <row r="9654" spans="1:4" ht="25.5" customHeight="1" x14ac:dyDescent="0.2">
      <c r="B9654" s="11" t="s">
        <v>2601</v>
      </c>
      <c r="C9654" s="17"/>
      <c r="D9654" s="2"/>
    </row>
    <row r="9655" spans="1:4" ht="12.75" customHeight="1" x14ac:dyDescent="0.2">
      <c r="B9655" s="11" t="s">
        <v>16</v>
      </c>
      <c r="C9655" s="17"/>
      <c r="D9655" s="2"/>
    </row>
    <row r="9656" spans="1:4" ht="12.75" customHeight="1" x14ac:dyDescent="0.2">
      <c r="B9656" s="11" t="s">
        <v>13</v>
      </c>
      <c r="C9656" s="17" t="s">
        <v>2644</v>
      </c>
      <c r="D9656" s="2"/>
    </row>
    <row r="9657" spans="1:4" ht="25.5" customHeight="1" x14ac:dyDescent="0.2">
      <c r="B9657" s="11" t="s">
        <v>2603</v>
      </c>
      <c r="C9657" s="17" t="s">
        <v>2971</v>
      </c>
      <c r="D9657" s="2"/>
    </row>
    <row r="9658" spans="1:4" ht="12.75" customHeight="1" x14ac:dyDescent="0.2">
      <c r="B9658" s="11" t="s">
        <v>2605</v>
      </c>
      <c r="C9658" s="17" t="s">
        <v>14</v>
      </c>
      <c r="D9658" s="2"/>
    </row>
    <row r="9659" spans="1:4" ht="12.75" customHeight="1" x14ac:dyDescent="0.2">
      <c r="B9659" s="11" t="s">
        <v>2606</v>
      </c>
      <c r="C9659" s="16" t="s">
        <v>19</v>
      </c>
      <c r="D9659" s="2"/>
    </row>
    <row r="9660" spans="1:4" ht="12.75" customHeight="1" x14ac:dyDescent="0.2">
      <c r="B9660" s="2"/>
      <c r="C9660" s="15"/>
      <c r="D9660" s="2"/>
    </row>
    <row r="9661" spans="1:4" ht="12.75" customHeight="1" x14ac:dyDescent="0.2">
      <c r="B9661" s="2"/>
      <c r="C9661" s="15"/>
      <c r="D9661" s="2"/>
    </row>
    <row r="9662" spans="1:4" ht="12.75" customHeight="1" x14ac:dyDescent="0.2">
      <c r="A9662" s="13" t="s">
        <v>4087</v>
      </c>
      <c r="C9662" s="12"/>
    </row>
    <row r="9663" spans="1:4" ht="12.75" customHeight="1" x14ac:dyDescent="0.2">
      <c r="A9663" s="11"/>
      <c r="B9663" s="2"/>
      <c r="C9663" s="15"/>
      <c r="D9663" s="2"/>
    </row>
    <row r="9664" spans="1:4" ht="12.75" customHeight="1" x14ac:dyDescent="0.2">
      <c r="B9664" s="11" t="s">
        <v>0</v>
      </c>
      <c r="C9664" s="11" t="s">
        <v>575</v>
      </c>
    </row>
    <row r="9665" spans="1:4" ht="12.75" customHeight="1" x14ac:dyDescent="0.2">
      <c r="B9665" s="11" t="s">
        <v>2599</v>
      </c>
      <c r="C9665" s="11" t="s">
        <v>4088</v>
      </c>
    </row>
    <row r="9666" spans="1:4" ht="25.5" customHeight="1" x14ac:dyDescent="0.2">
      <c r="B9666" s="11" t="s">
        <v>2600</v>
      </c>
      <c r="C9666" s="11" t="s">
        <v>4089</v>
      </c>
    </row>
    <row r="9667" spans="1:4" ht="25.5" customHeight="1" x14ac:dyDescent="0.2">
      <c r="B9667" s="11" t="s">
        <v>2601</v>
      </c>
      <c r="C9667" s="11"/>
    </row>
    <row r="9668" spans="1:4" ht="12.75" customHeight="1" x14ac:dyDescent="0.2">
      <c r="B9668" s="11" t="s">
        <v>16</v>
      </c>
      <c r="C9668" s="11"/>
    </row>
    <row r="9669" spans="1:4" ht="12.75" customHeight="1" x14ac:dyDescent="0.2">
      <c r="B9669" s="11" t="s">
        <v>13</v>
      </c>
      <c r="C9669" s="11" t="s">
        <v>2602</v>
      </c>
    </row>
    <row r="9670" spans="1:4" ht="12.75" customHeight="1" x14ac:dyDescent="0.2">
      <c r="B9670" s="11" t="s">
        <v>2603</v>
      </c>
      <c r="C9670" s="11" t="s">
        <v>2604</v>
      </c>
    </row>
    <row r="9671" spans="1:4" ht="12.75" customHeight="1" x14ac:dyDescent="0.2">
      <c r="B9671" s="11" t="s">
        <v>2605</v>
      </c>
      <c r="C9671" s="11" t="s">
        <v>24</v>
      </c>
    </row>
    <row r="9672" spans="1:4" ht="12.75" customHeight="1" x14ac:dyDescent="0.2">
      <c r="B9672" s="11" t="s">
        <v>2606</v>
      </c>
      <c r="C9672" s="16" t="s">
        <v>139</v>
      </c>
      <c r="D9672" s="6" t="str">
        <f>HYPERLINK("javascript:void(0)","kincs")</f>
        <v>kincs</v>
      </c>
    </row>
    <row r="9673" spans="1:4" ht="12.75" customHeight="1" x14ac:dyDescent="0.2">
      <c r="B9673" s="2"/>
      <c r="C9673" s="15"/>
      <c r="D9673" s="2"/>
    </row>
    <row r="9674" spans="1:4" ht="12.75" customHeight="1" x14ac:dyDescent="0.2">
      <c r="B9674" s="2"/>
      <c r="C9674" s="15"/>
      <c r="D9674" s="2"/>
    </row>
    <row r="9675" spans="1:4" ht="12.75" customHeight="1" x14ac:dyDescent="0.2">
      <c r="A9675" s="13" t="s">
        <v>4090</v>
      </c>
      <c r="C9675" s="12"/>
    </row>
    <row r="9676" spans="1:4" ht="12.75" customHeight="1" x14ac:dyDescent="0.2">
      <c r="A9676" s="11"/>
      <c r="B9676" s="2"/>
      <c r="C9676" s="15"/>
      <c r="D9676" s="2"/>
    </row>
    <row r="9677" spans="1:4" ht="12.75" customHeight="1" x14ac:dyDescent="0.2">
      <c r="B9677" s="11" t="s">
        <v>0</v>
      </c>
      <c r="C9677" s="11" t="s">
        <v>575</v>
      </c>
    </row>
    <row r="9678" spans="1:4" ht="12.75" customHeight="1" x14ac:dyDescent="0.2">
      <c r="B9678" s="11" t="s">
        <v>2599</v>
      </c>
      <c r="C9678" s="11" t="s">
        <v>2081</v>
      </c>
    </row>
    <row r="9679" spans="1:4" ht="25.5" customHeight="1" x14ac:dyDescent="0.2">
      <c r="B9679" s="11" t="s">
        <v>2600</v>
      </c>
      <c r="C9679" s="11" t="s">
        <v>4091</v>
      </c>
    </row>
    <row r="9680" spans="1:4" ht="25.5" customHeight="1" x14ac:dyDescent="0.2">
      <c r="B9680" s="11" t="s">
        <v>2601</v>
      </c>
      <c r="C9680" s="11"/>
    </row>
    <row r="9681" spans="1:4" ht="12.75" customHeight="1" x14ac:dyDescent="0.2">
      <c r="B9681" s="11" t="s">
        <v>16</v>
      </c>
      <c r="C9681" s="11"/>
    </row>
    <row r="9682" spans="1:4" ht="12.75" customHeight="1" x14ac:dyDescent="0.2">
      <c r="B9682" s="11" t="s">
        <v>13</v>
      </c>
      <c r="C9682" s="11" t="s">
        <v>2602</v>
      </c>
    </row>
    <row r="9683" spans="1:4" ht="12.75" customHeight="1" x14ac:dyDescent="0.2">
      <c r="B9683" s="11" t="s">
        <v>2603</v>
      </c>
      <c r="C9683" s="11" t="s">
        <v>2604</v>
      </c>
    </row>
    <row r="9684" spans="1:4" ht="12.75" customHeight="1" x14ac:dyDescent="0.2">
      <c r="B9684" s="11" t="s">
        <v>2605</v>
      </c>
      <c r="C9684" s="11" t="s">
        <v>24</v>
      </c>
    </row>
    <row r="9685" spans="1:4" ht="12.75" customHeight="1" x14ac:dyDescent="0.2">
      <c r="B9685" s="11" t="s">
        <v>2606</v>
      </c>
      <c r="C9685" s="16" t="s">
        <v>117</v>
      </c>
      <c r="D9685" s="6" t="str">
        <f>HYPERLINK("javascript:void(0)","kincs")</f>
        <v>kincs</v>
      </c>
    </row>
    <row r="9686" spans="1:4" ht="12.75" customHeight="1" x14ac:dyDescent="0.2">
      <c r="B9686" s="2"/>
      <c r="C9686" s="15"/>
      <c r="D9686" s="2"/>
    </row>
    <row r="9687" spans="1:4" ht="12.75" customHeight="1" x14ac:dyDescent="0.2">
      <c r="B9687" s="2"/>
      <c r="C9687" s="15"/>
      <c r="D9687" s="2"/>
    </row>
    <row r="9688" spans="1:4" ht="12.75" customHeight="1" x14ac:dyDescent="0.2">
      <c r="A9688" s="13" t="s">
        <v>4092</v>
      </c>
      <c r="C9688" s="12"/>
    </row>
    <row r="9689" spans="1:4" ht="12.75" customHeight="1" x14ac:dyDescent="0.2">
      <c r="A9689" s="11"/>
      <c r="B9689" s="2"/>
      <c r="C9689" s="15"/>
      <c r="D9689" s="2"/>
    </row>
    <row r="9690" spans="1:4" ht="12.75" customHeight="1" x14ac:dyDescent="0.2">
      <c r="B9690" s="11" t="s">
        <v>0</v>
      </c>
      <c r="C9690" s="11" t="s">
        <v>575</v>
      </c>
    </row>
    <row r="9691" spans="1:4" ht="12.75" customHeight="1" x14ac:dyDescent="0.2">
      <c r="B9691" s="11" t="s">
        <v>2599</v>
      </c>
      <c r="C9691" s="11" t="s">
        <v>3697</v>
      </c>
    </row>
    <row r="9692" spans="1:4" ht="25.5" customHeight="1" x14ac:dyDescent="0.2">
      <c r="B9692" s="11" t="s">
        <v>2600</v>
      </c>
      <c r="C9692" s="11" t="s">
        <v>4093</v>
      </c>
    </row>
    <row r="9693" spans="1:4" ht="25.5" customHeight="1" x14ac:dyDescent="0.2">
      <c r="B9693" s="11" t="s">
        <v>2601</v>
      </c>
      <c r="C9693" s="11"/>
    </row>
    <row r="9694" spans="1:4" ht="12.75" customHeight="1" x14ac:dyDescent="0.2">
      <c r="B9694" s="11" t="s">
        <v>16</v>
      </c>
      <c r="C9694" s="11"/>
    </row>
    <row r="9695" spans="1:4" ht="12.75" customHeight="1" x14ac:dyDescent="0.2">
      <c r="B9695" s="11" t="s">
        <v>13</v>
      </c>
      <c r="C9695" s="11" t="s">
        <v>2602</v>
      </c>
    </row>
    <row r="9696" spans="1:4" ht="12.75" customHeight="1" x14ac:dyDescent="0.2">
      <c r="B9696" s="11" t="s">
        <v>2603</v>
      </c>
      <c r="C9696" s="11" t="s">
        <v>2604</v>
      </c>
    </row>
    <row r="9697" spans="1:4" ht="12.75" customHeight="1" x14ac:dyDescent="0.2">
      <c r="B9697" s="11" t="s">
        <v>2605</v>
      </c>
      <c r="C9697" s="11" t="s">
        <v>24</v>
      </c>
    </row>
    <row r="9698" spans="1:4" ht="12.75" customHeight="1" x14ac:dyDescent="0.2">
      <c r="B9698" s="11" t="s">
        <v>2606</v>
      </c>
      <c r="C9698" s="16" t="s">
        <v>44</v>
      </c>
      <c r="D9698" s="6" t="str">
        <f>HYPERLINK("javascript:void(0)","mágusbot")</f>
        <v>mágusbot</v>
      </c>
    </row>
    <row r="9699" spans="1:4" ht="25.5" customHeight="1" x14ac:dyDescent="0.2">
      <c r="C9699" s="16" t="s">
        <v>44</v>
      </c>
      <c r="D9699" s="6" t="str">
        <f>HYPERLINK("javascript:void(0)","mágusköpeny")</f>
        <v>mágusköpeny</v>
      </c>
    </row>
    <row r="9700" spans="1:4" ht="12.75" customHeight="1" x14ac:dyDescent="0.2">
      <c r="B9700" s="2"/>
      <c r="C9700" s="15"/>
      <c r="D9700" s="2"/>
    </row>
    <row r="9701" spans="1:4" ht="12.75" customHeight="1" x14ac:dyDescent="0.2">
      <c r="B9701" s="2"/>
      <c r="C9701" s="15"/>
      <c r="D9701" s="2"/>
    </row>
    <row r="9702" spans="1:4" ht="12.75" customHeight="1" x14ac:dyDescent="0.2">
      <c r="A9702" s="13" t="s">
        <v>4094</v>
      </c>
      <c r="C9702" s="12"/>
    </row>
    <row r="9703" spans="1:4" ht="12.75" customHeight="1" x14ac:dyDescent="0.2">
      <c r="A9703" s="11"/>
      <c r="B9703" s="2"/>
      <c r="C9703" s="15"/>
      <c r="D9703" s="2"/>
    </row>
    <row r="9704" spans="1:4" ht="12.75" customHeight="1" x14ac:dyDescent="0.2">
      <c r="B9704" s="11" t="s">
        <v>0</v>
      </c>
      <c r="C9704" s="11" t="s">
        <v>575</v>
      </c>
    </row>
    <row r="9705" spans="1:4" ht="12.75" customHeight="1" x14ac:dyDescent="0.2">
      <c r="B9705" s="11" t="s">
        <v>2599</v>
      </c>
      <c r="C9705" s="11" t="s">
        <v>4095</v>
      </c>
    </row>
    <row r="9706" spans="1:4" ht="25.5" customHeight="1" x14ac:dyDescent="0.2">
      <c r="B9706" s="11" t="s">
        <v>2600</v>
      </c>
      <c r="C9706" s="11" t="s">
        <v>4096</v>
      </c>
    </row>
    <row r="9707" spans="1:4" ht="25.5" customHeight="1" x14ac:dyDescent="0.2">
      <c r="B9707" s="11" t="s">
        <v>2601</v>
      </c>
      <c r="C9707" s="11"/>
    </row>
    <row r="9708" spans="1:4" ht="12.75" customHeight="1" x14ac:dyDescent="0.2">
      <c r="B9708" s="11" t="s">
        <v>16</v>
      </c>
      <c r="C9708" s="11"/>
    </row>
    <row r="9709" spans="1:4" ht="12.75" customHeight="1" x14ac:dyDescent="0.2">
      <c r="B9709" s="11" t="s">
        <v>13</v>
      </c>
      <c r="C9709" s="11" t="s">
        <v>2644</v>
      </c>
    </row>
    <row r="9710" spans="1:4" ht="12.75" customHeight="1" x14ac:dyDescent="0.2">
      <c r="B9710" s="11" t="s">
        <v>2603</v>
      </c>
      <c r="C9710" s="11" t="s">
        <v>2604</v>
      </c>
    </row>
    <row r="9711" spans="1:4" ht="12.75" customHeight="1" x14ac:dyDescent="0.2">
      <c r="B9711" s="11" t="s">
        <v>2605</v>
      </c>
      <c r="C9711" s="11" t="s">
        <v>24</v>
      </c>
    </row>
    <row r="9712" spans="1:4" ht="25.5" customHeight="1" x14ac:dyDescent="0.2">
      <c r="B9712" s="11" t="s">
        <v>2606</v>
      </c>
      <c r="C9712" s="16" t="s">
        <v>44</v>
      </c>
      <c r="D9712" s="6" t="str">
        <f>HYPERLINK("javascript:void(0)","dimenzióforgács")</f>
        <v>dimenzióforgács</v>
      </c>
    </row>
    <row r="9713" spans="1:4" ht="12.75" customHeight="1" x14ac:dyDescent="0.2">
      <c r="B9713" s="2"/>
      <c r="C9713" s="15"/>
      <c r="D9713" s="2"/>
    </row>
    <row r="9714" spans="1:4" ht="12.75" customHeight="1" x14ac:dyDescent="0.2">
      <c r="B9714" s="2"/>
      <c r="C9714" s="15"/>
      <c r="D9714" s="2"/>
    </row>
    <row r="9715" spans="1:4" ht="12.75" customHeight="1" x14ac:dyDescent="0.2">
      <c r="A9715" s="13" t="s">
        <v>4097</v>
      </c>
      <c r="C9715" s="12"/>
    </row>
    <row r="9716" spans="1:4" ht="12.75" customHeight="1" x14ac:dyDescent="0.2">
      <c r="A9716" s="11"/>
      <c r="B9716" s="2"/>
      <c r="C9716" s="15"/>
      <c r="D9716" s="2"/>
    </row>
    <row r="9717" spans="1:4" ht="12.75" customHeight="1" x14ac:dyDescent="0.2">
      <c r="B9717" s="11" t="s">
        <v>0</v>
      </c>
      <c r="C9717" s="11" t="s">
        <v>575</v>
      </c>
    </row>
    <row r="9718" spans="1:4" ht="12.75" customHeight="1" x14ac:dyDescent="0.2">
      <c r="B9718" s="11" t="s">
        <v>2599</v>
      </c>
      <c r="C9718" s="11" t="s">
        <v>4098</v>
      </c>
    </row>
    <row r="9719" spans="1:4" ht="25.5" customHeight="1" x14ac:dyDescent="0.2">
      <c r="B9719" s="11" t="s">
        <v>2600</v>
      </c>
      <c r="C9719" s="11" t="s">
        <v>4099</v>
      </c>
    </row>
    <row r="9720" spans="1:4" ht="25.5" customHeight="1" x14ac:dyDescent="0.2">
      <c r="B9720" s="11" t="s">
        <v>2601</v>
      </c>
      <c r="C9720" s="11"/>
    </row>
    <row r="9721" spans="1:4" ht="12.75" customHeight="1" x14ac:dyDescent="0.2">
      <c r="B9721" s="11" t="s">
        <v>16</v>
      </c>
      <c r="C9721" s="11"/>
    </row>
    <row r="9722" spans="1:4" ht="12.75" customHeight="1" x14ac:dyDescent="0.2">
      <c r="B9722" s="11" t="s">
        <v>13</v>
      </c>
      <c r="C9722" s="11" t="s">
        <v>2602</v>
      </c>
    </row>
    <row r="9723" spans="1:4" ht="12.75" customHeight="1" x14ac:dyDescent="0.2">
      <c r="B9723" s="11" t="s">
        <v>2603</v>
      </c>
      <c r="C9723" s="11" t="s">
        <v>2604</v>
      </c>
    </row>
    <row r="9724" spans="1:4" ht="12.75" customHeight="1" x14ac:dyDescent="0.2">
      <c r="B9724" s="11" t="s">
        <v>2605</v>
      </c>
      <c r="C9724" s="11" t="s">
        <v>24</v>
      </c>
    </row>
    <row r="9725" spans="1:4" ht="12.75" customHeight="1" x14ac:dyDescent="0.2">
      <c r="B9725" s="11" t="s">
        <v>2606</v>
      </c>
      <c r="C9725" s="16" t="s">
        <v>44</v>
      </c>
      <c r="D9725" s="6" t="str">
        <f>HYPERLINK("javascript:void(0)","homokóra")</f>
        <v>homokóra</v>
      </c>
    </row>
    <row r="9726" spans="1:4" ht="12.75" customHeight="1" x14ac:dyDescent="0.2">
      <c r="B9726" s="2"/>
      <c r="C9726" s="15"/>
      <c r="D9726" s="2"/>
    </row>
    <row r="9727" spans="1:4" ht="12.75" customHeight="1" x14ac:dyDescent="0.2">
      <c r="B9727" s="2"/>
      <c r="C9727" s="15"/>
      <c r="D9727" s="2"/>
    </row>
    <row r="9728" spans="1:4" ht="12.75" customHeight="1" x14ac:dyDescent="0.2">
      <c r="A9728" s="13" t="s">
        <v>4100</v>
      </c>
      <c r="C9728" s="12"/>
    </row>
    <row r="9729" spans="1:4" ht="12.75" customHeight="1" x14ac:dyDescent="0.2">
      <c r="A9729" s="11"/>
      <c r="B9729" s="2"/>
      <c r="C9729" s="15"/>
      <c r="D9729" s="2"/>
    </row>
    <row r="9730" spans="1:4" ht="12.75" customHeight="1" x14ac:dyDescent="0.2">
      <c r="B9730" s="11" t="s">
        <v>0</v>
      </c>
      <c r="C9730" s="11" t="s">
        <v>575</v>
      </c>
    </row>
    <row r="9731" spans="1:4" ht="12.75" customHeight="1" x14ac:dyDescent="0.2">
      <c r="B9731" s="11" t="s">
        <v>2599</v>
      </c>
      <c r="C9731" s="11" t="s">
        <v>3646</v>
      </c>
    </row>
    <row r="9732" spans="1:4" ht="25.5" customHeight="1" x14ac:dyDescent="0.2">
      <c r="B9732" s="11" t="s">
        <v>2600</v>
      </c>
      <c r="C9732" s="11" t="s">
        <v>4101</v>
      </c>
    </row>
    <row r="9733" spans="1:4" ht="25.5" customHeight="1" x14ac:dyDescent="0.2">
      <c r="B9733" s="11" t="s">
        <v>2601</v>
      </c>
      <c r="C9733" s="11"/>
    </row>
    <row r="9734" spans="1:4" ht="12.75" customHeight="1" x14ac:dyDescent="0.2">
      <c r="B9734" s="11" t="s">
        <v>16</v>
      </c>
      <c r="C9734" s="11"/>
    </row>
    <row r="9735" spans="1:4" ht="12.75" customHeight="1" x14ac:dyDescent="0.2">
      <c r="B9735" s="11" t="s">
        <v>13</v>
      </c>
      <c r="C9735" s="11" t="s">
        <v>2644</v>
      </c>
    </row>
    <row r="9736" spans="1:4" ht="12.75" customHeight="1" x14ac:dyDescent="0.2">
      <c r="B9736" s="11" t="s">
        <v>2603</v>
      </c>
      <c r="C9736" s="11" t="s">
        <v>2604</v>
      </c>
    </row>
    <row r="9737" spans="1:4" ht="12.75" customHeight="1" x14ac:dyDescent="0.2">
      <c r="B9737" s="11" t="s">
        <v>2605</v>
      </c>
      <c r="C9737" s="11" t="s">
        <v>24</v>
      </c>
    </row>
    <row r="9738" spans="1:4" ht="12.75" customHeight="1" x14ac:dyDescent="0.2">
      <c r="B9738" s="11" t="s">
        <v>2606</v>
      </c>
      <c r="C9738" s="16" t="s">
        <v>77</v>
      </c>
      <c r="D9738" s="6" t="str">
        <f>HYPERLINK("javascript:void(0)","fotogén")</f>
        <v>fotogén</v>
      </c>
    </row>
    <row r="9739" spans="1:4" ht="12.75" customHeight="1" x14ac:dyDescent="0.2">
      <c r="B9739" s="2"/>
      <c r="C9739" s="15"/>
      <c r="D9739" s="2"/>
    </row>
    <row r="9740" spans="1:4" ht="12.75" customHeight="1" x14ac:dyDescent="0.2">
      <c r="B9740" s="2"/>
      <c r="C9740" s="15"/>
      <c r="D9740" s="2"/>
    </row>
    <row r="9741" spans="1:4" ht="12.75" customHeight="1" x14ac:dyDescent="0.2">
      <c r="A9741" s="13" t="s">
        <v>4102</v>
      </c>
      <c r="C9741" s="12"/>
    </row>
    <row r="9742" spans="1:4" ht="12.75" customHeight="1" x14ac:dyDescent="0.2">
      <c r="A9742" s="11"/>
      <c r="B9742" s="2"/>
      <c r="C9742" s="15"/>
      <c r="D9742" s="2"/>
    </row>
    <row r="9743" spans="1:4" ht="12.75" customHeight="1" x14ac:dyDescent="0.2">
      <c r="B9743" s="11" t="s">
        <v>0</v>
      </c>
      <c r="C9743" s="11" t="s">
        <v>575</v>
      </c>
    </row>
    <row r="9744" spans="1:4" ht="12.75" customHeight="1" x14ac:dyDescent="0.2">
      <c r="B9744" s="11" t="s">
        <v>2599</v>
      </c>
      <c r="C9744" s="11" t="s">
        <v>4103</v>
      </c>
    </row>
    <row r="9745" spans="1:4" ht="25.5" customHeight="1" x14ac:dyDescent="0.2">
      <c r="B9745" s="11" t="s">
        <v>2600</v>
      </c>
      <c r="C9745" s="11" t="s">
        <v>4104</v>
      </c>
    </row>
    <row r="9746" spans="1:4" ht="25.5" customHeight="1" x14ac:dyDescent="0.2">
      <c r="B9746" s="11" t="s">
        <v>2601</v>
      </c>
      <c r="C9746" s="11"/>
    </row>
    <row r="9747" spans="1:4" ht="12.75" customHeight="1" x14ac:dyDescent="0.2">
      <c r="B9747" s="11" t="s">
        <v>16</v>
      </c>
      <c r="C9747" s="11"/>
    </row>
    <row r="9748" spans="1:4" ht="12.75" customHeight="1" x14ac:dyDescent="0.2">
      <c r="B9748" s="11" t="s">
        <v>13</v>
      </c>
      <c r="C9748" s="11" t="s">
        <v>2644</v>
      </c>
    </row>
    <row r="9749" spans="1:4" ht="12.75" customHeight="1" x14ac:dyDescent="0.2">
      <c r="B9749" s="11" t="s">
        <v>2603</v>
      </c>
      <c r="C9749" s="11" t="s">
        <v>2604</v>
      </c>
    </row>
    <row r="9750" spans="1:4" ht="12.75" customHeight="1" x14ac:dyDescent="0.2">
      <c r="B9750" s="11" t="s">
        <v>2605</v>
      </c>
      <c r="C9750" s="11" t="s">
        <v>24</v>
      </c>
    </row>
    <row r="9751" spans="1:4" ht="12.75" customHeight="1" x14ac:dyDescent="0.2">
      <c r="B9751" s="11" t="s">
        <v>2606</v>
      </c>
      <c r="C9751" s="16" t="s">
        <v>57</v>
      </c>
      <c r="D9751" s="6" t="str">
        <f>HYPERLINK("javascript:void(0)","morfige")</f>
        <v>morfige</v>
      </c>
    </row>
    <row r="9752" spans="1:4" ht="12.75" customHeight="1" x14ac:dyDescent="0.2">
      <c r="B9752" s="2"/>
      <c r="C9752" s="15"/>
      <c r="D9752" s="2"/>
    </row>
    <row r="9753" spans="1:4" ht="12.75" customHeight="1" x14ac:dyDescent="0.2">
      <c r="B9753" s="2"/>
      <c r="C9753" s="15"/>
      <c r="D9753" s="2"/>
    </row>
    <row r="9754" spans="1:4" ht="12.75" customHeight="1" x14ac:dyDescent="0.2">
      <c r="A9754" s="13" t="s">
        <v>4105</v>
      </c>
      <c r="C9754" s="12"/>
      <c r="D9754" s="2"/>
    </row>
    <row r="9755" spans="1:4" ht="12.75" customHeight="1" x14ac:dyDescent="0.2">
      <c r="A9755" s="11"/>
      <c r="B9755" s="2"/>
      <c r="C9755" s="15"/>
      <c r="D9755" s="2"/>
    </row>
    <row r="9756" spans="1:4" ht="12.75" customHeight="1" x14ac:dyDescent="0.2">
      <c r="B9756" s="11" t="s">
        <v>0</v>
      </c>
      <c r="C9756" s="17" t="s">
        <v>575</v>
      </c>
      <c r="D9756" s="2"/>
    </row>
    <row r="9757" spans="1:4" ht="12.75" customHeight="1" x14ac:dyDescent="0.2">
      <c r="B9757" s="11" t="s">
        <v>2599</v>
      </c>
      <c r="C9757" s="17" t="s">
        <v>583</v>
      </c>
      <c r="D9757" s="2"/>
    </row>
    <row r="9758" spans="1:4" ht="25.5" customHeight="1" x14ac:dyDescent="0.2">
      <c r="B9758" s="11" t="s">
        <v>2600</v>
      </c>
      <c r="C9758" s="17" t="s">
        <v>4106</v>
      </c>
      <c r="D9758" s="2"/>
    </row>
    <row r="9759" spans="1:4" ht="25.5" customHeight="1" x14ac:dyDescent="0.2">
      <c r="B9759" s="11" t="s">
        <v>2601</v>
      </c>
      <c r="C9759" s="17"/>
      <c r="D9759" s="2"/>
    </row>
    <row r="9760" spans="1:4" ht="12.75" customHeight="1" x14ac:dyDescent="0.2">
      <c r="B9760" s="11" t="s">
        <v>16</v>
      </c>
      <c r="C9760" s="17"/>
      <c r="D9760" s="2"/>
    </row>
    <row r="9761" spans="1:4" ht="12.75" customHeight="1" x14ac:dyDescent="0.2">
      <c r="B9761" s="11" t="s">
        <v>13</v>
      </c>
      <c r="C9761" s="17" t="s">
        <v>2644</v>
      </c>
      <c r="D9761" s="2"/>
    </row>
    <row r="9762" spans="1:4" ht="12.75" customHeight="1" x14ac:dyDescent="0.2">
      <c r="B9762" s="11" t="s">
        <v>2603</v>
      </c>
      <c r="C9762" s="17" t="s">
        <v>2604</v>
      </c>
      <c r="D9762" s="2"/>
    </row>
    <row r="9763" spans="1:4" ht="12.75" customHeight="1" x14ac:dyDescent="0.2">
      <c r="B9763" s="11" t="s">
        <v>2605</v>
      </c>
      <c r="C9763" s="17" t="s">
        <v>24</v>
      </c>
      <c r="D9763" s="2"/>
    </row>
    <row r="9764" spans="1:4" ht="12.75" customHeight="1" x14ac:dyDescent="0.2">
      <c r="B9764" s="11" t="s">
        <v>2606</v>
      </c>
      <c r="C9764" s="16" t="s">
        <v>19</v>
      </c>
      <c r="D9764" s="2"/>
    </row>
    <row r="9765" spans="1:4" ht="12.75" customHeight="1" x14ac:dyDescent="0.2">
      <c r="B9765" s="2"/>
      <c r="C9765" s="15"/>
      <c r="D9765" s="2"/>
    </row>
    <row r="9766" spans="1:4" ht="12.75" customHeight="1" x14ac:dyDescent="0.2">
      <c r="B9766" s="2"/>
      <c r="C9766" s="15"/>
      <c r="D9766" s="2"/>
    </row>
    <row r="9767" spans="1:4" ht="12.75" customHeight="1" x14ac:dyDescent="0.2">
      <c r="A9767" s="13" t="s">
        <v>4107</v>
      </c>
      <c r="C9767" s="12"/>
      <c r="D9767" s="2"/>
    </row>
    <row r="9768" spans="1:4" ht="12.75" customHeight="1" x14ac:dyDescent="0.2">
      <c r="A9768" s="11"/>
      <c r="B9768" s="2"/>
      <c r="C9768" s="15"/>
      <c r="D9768" s="2"/>
    </row>
    <row r="9769" spans="1:4" ht="12.75" customHeight="1" x14ac:dyDescent="0.2">
      <c r="B9769" s="11" t="s">
        <v>0</v>
      </c>
      <c r="C9769" s="17" t="s">
        <v>575</v>
      </c>
      <c r="D9769" s="2"/>
    </row>
    <row r="9770" spans="1:4" ht="12.75" customHeight="1" x14ac:dyDescent="0.2">
      <c r="B9770" s="11" t="s">
        <v>2599</v>
      </c>
      <c r="C9770" s="17" t="s">
        <v>4108</v>
      </c>
      <c r="D9770" s="2"/>
    </row>
    <row r="9771" spans="1:4" ht="25.5" customHeight="1" x14ac:dyDescent="0.2">
      <c r="B9771" s="11" t="s">
        <v>2600</v>
      </c>
      <c r="C9771" s="17" t="s">
        <v>4109</v>
      </c>
      <c r="D9771" s="2"/>
    </row>
    <row r="9772" spans="1:4" ht="25.5" customHeight="1" x14ac:dyDescent="0.2">
      <c r="B9772" s="11" t="s">
        <v>2601</v>
      </c>
      <c r="C9772" s="17"/>
      <c r="D9772" s="2"/>
    </row>
    <row r="9773" spans="1:4" ht="12.75" customHeight="1" x14ac:dyDescent="0.2">
      <c r="B9773" s="11" t="s">
        <v>16</v>
      </c>
      <c r="C9773" s="17"/>
      <c r="D9773" s="2"/>
    </row>
    <row r="9774" spans="1:4" ht="12.75" customHeight="1" x14ac:dyDescent="0.2">
      <c r="B9774" s="11" t="s">
        <v>13</v>
      </c>
      <c r="C9774" s="17" t="s">
        <v>2602</v>
      </c>
      <c r="D9774" s="2"/>
    </row>
    <row r="9775" spans="1:4" ht="25.5" customHeight="1" x14ac:dyDescent="0.2">
      <c r="B9775" s="11" t="s">
        <v>2603</v>
      </c>
      <c r="C9775" s="17" t="s">
        <v>2971</v>
      </c>
      <c r="D9775" s="2"/>
    </row>
    <row r="9776" spans="1:4" ht="12.75" customHeight="1" x14ac:dyDescent="0.2">
      <c r="B9776" s="11" t="s">
        <v>2605</v>
      </c>
      <c r="C9776" s="17" t="s">
        <v>14</v>
      </c>
      <c r="D9776" s="2"/>
    </row>
    <row r="9777" spans="1:4" ht="12.75" customHeight="1" x14ac:dyDescent="0.2">
      <c r="B9777" s="11" t="s">
        <v>2606</v>
      </c>
      <c r="C9777" s="16" t="s">
        <v>19</v>
      </c>
      <c r="D9777" s="2"/>
    </row>
    <row r="9778" spans="1:4" ht="12.75" customHeight="1" x14ac:dyDescent="0.2">
      <c r="B9778" s="2"/>
      <c r="C9778" s="15"/>
      <c r="D9778" s="2"/>
    </row>
    <row r="9779" spans="1:4" ht="12.75" customHeight="1" x14ac:dyDescent="0.2">
      <c r="B9779" s="2"/>
      <c r="C9779" s="15"/>
      <c r="D9779" s="2"/>
    </row>
    <row r="9780" spans="1:4" ht="12.75" customHeight="1" x14ac:dyDescent="0.2">
      <c r="A9780" s="13" t="s">
        <v>4031</v>
      </c>
      <c r="C9780" s="12"/>
      <c r="D9780" s="2"/>
    </row>
    <row r="9781" spans="1:4" ht="12.75" customHeight="1" x14ac:dyDescent="0.2">
      <c r="A9781" s="11"/>
      <c r="B9781" s="2"/>
      <c r="C9781" s="15"/>
      <c r="D9781" s="2"/>
    </row>
    <row r="9782" spans="1:4" ht="12.75" customHeight="1" x14ac:dyDescent="0.2">
      <c r="B9782" s="11" t="s">
        <v>0</v>
      </c>
      <c r="C9782" s="17" t="s">
        <v>575</v>
      </c>
      <c r="D9782" s="2"/>
    </row>
    <row r="9783" spans="1:4" ht="12.75" customHeight="1" x14ac:dyDescent="0.2">
      <c r="B9783" s="11" t="s">
        <v>2599</v>
      </c>
      <c r="C9783" s="17" t="s">
        <v>697</v>
      </c>
      <c r="D9783" s="2"/>
    </row>
    <row r="9784" spans="1:4" ht="25.5" customHeight="1" x14ac:dyDescent="0.2">
      <c r="B9784" s="11" t="s">
        <v>2600</v>
      </c>
      <c r="C9784" s="17" t="s">
        <v>4110</v>
      </c>
      <c r="D9784" s="2"/>
    </row>
    <row r="9785" spans="1:4" ht="25.5" customHeight="1" x14ac:dyDescent="0.2">
      <c r="B9785" s="11" t="s">
        <v>2601</v>
      </c>
      <c r="C9785" s="17"/>
      <c r="D9785" s="2"/>
    </row>
    <row r="9786" spans="1:4" ht="12.75" customHeight="1" x14ac:dyDescent="0.2">
      <c r="B9786" s="11" t="s">
        <v>16</v>
      </c>
      <c r="C9786" s="17"/>
      <c r="D9786" s="2"/>
    </row>
    <row r="9787" spans="1:4" ht="12.75" customHeight="1" x14ac:dyDescent="0.2">
      <c r="B9787" s="11" t="s">
        <v>13</v>
      </c>
      <c r="C9787" s="17" t="s">
        <v>2644</v>
      </c>
      <c r="D9787" s="2"/>
    </row>
    <row r="9788" spans="1:4" ht="25.5" customHeight="1" x14ac:dyDescent="0.2">
      <c r="B9788" s="11" t="s">
        <v>2603</v>
      </c>
      <c r="C9788" s="17" t="s">
        <v>2971</v>
      </c>
      <c r="D9788" s="2"/>
    </row>
    <row r="9789" spans="1:4" ht="12.75" customHeight="1" x14ac:dyDescent="0.2">
      <c r="B9789" s="11" t="s">
        <v>2605</v>
      </c>
      <c r="C9789" s="17" t="s">
        <v>14</v>
      </c>
      <c r="D9789" s="2"/>
    </row>
    <row r="9790" spans="1:4" ht="12.75" customHeight="1" x14ac:dyDescent="0.2">
      <c r="B9790" s="11" t="s">
        <v>2606</v>
      </c>
      <c r="C9790" s="16" t="s">
        <v>19</v>
      </c>
      <c r="D9790" s="2"/>
    </row>
    <row r="9791" spans="1:4" ht="12.75" customHeight="1" x14ac:dyDescent="0.2">
      <c r="B9791" s="2"/>
      <c r="C9791" s="15"/>
      <c r="D9791" s="2"/>
    </row>
    <row r="9792" spans="1:4" ht="12.75" customHeight="1" x14ac:dyDescent="0.2">
      <c r="B9792" s="2"/>
      <c r="C9792" s="15"/>
      <c r="D9792" s="2"/>
    </row>
    <row r="9793" spans="1:4" ht="12.75" customHeight="1" x14ac:dyDescent="0.2">
      <c r="A9793" s="13" t="s">
        <v>4001</v>
      </c>
      <c r="C9793" s="12"/>
      <c r="D9793" s="2"/>
    </row>
    <row r="9794" spans="1:4" ht="12.75" customHeight="1" x14ac:dyDescent="0.2">
      <c r="A9794" s="11"/>
      <c r="B9794" s="2"/>
      <c r="C9794" s="15"/>
      <c r="D9794" s="2"/>
    </row>
    <row r="9795" spans="1:4" ht="12.75" customHeight="1" x14ac:dyDescent="0.2">
      <c r="B9795" s="11" t="s">
        <v>0</v>
      </c>
      <c r="C9795" s="17" t="s">
        <v>585</v>
      </c>
      <c r="D9795" s="2"/>
    </row>
    <row r="9796" spans="1:4" ht="12.75" customHeight="1" x14ac:dyDescent="0.2">
      <c r="B9796" s="11" t="s">
        <v>2599</v>
      </c>
      <c r="C9796" s="17" t="s">
        <v>1120</v>
      </c>
      <c r="D9796" s="2"/>
    </row>
    <row r="9797" spans="1:4" ht="25.5" customHeight="1" x14ac:dyDescent="0.2">
      <c r="B9797" s="11" t="s">
        <v>2600</v>
      </c>
      <c r="C9797" s="17" t="s">
        <v>4111</v>
      </c>
      <c r="D9797" s="2"/>
    </row>
    <row r="9798" spans="1:4" ht="25.5" customHeight="1" x14ac:dyDescent="0.2">
      <c r="B9798" s="11" t="s">
        <v>2601</v>
      </c>
      <c r="C9798" s="17"/>
      <c r="D9798" s="2"/>
    </row>
    <row r="9799" spans="1:4" ht="12.75" customHeight="1" x14ac:dyDescent="0.2">
      <c r="B9799" s="11" t="s">
        <v>16</v>
      </c>
      <c r="C9799" s="17"/>
      <c r="D9799" s="2"/>
    </row>
    <row r="9800" spans="1:4" ht="12.75" customHeight="1" x14ac:dyDescent="0.2">
      <c r="B9800" s="11" t="s">
        <v>13</v>
      </c>
      <c r="C9800" s="17" t="s">
        <v>2644</v>
      </c>
      <c r="D9800" s="2"/>
    </row>
    <row r="9801" spans="1:4" ht="25.5" customHeight="1" x14ac:dyDescent="0.2">
      <c r="B9801" s="11" t="s">
        <v>2603</v>
      </c>
      <c r="C9801" s="17" t="s">
        <v>2971</v>
      </c>
      <c r="D9801" s="2"/>
    </row>
    <row r="9802" spans="1:4" ht="12.75" customHeight="1" x14ac:dyDescent="0.2">
      <c r="B9802" s="11" t="s">
        <v>2605</v>
      </c>
      <c r="C9802" s="17" t="s">
        <v>14</v>
      </c>
      <c r="D9802" s="2"/>
    </row>
    <row r="9803" spans="1:4" ht="12.75" customHeight="1" x14ac:dyDescent="0.2">
      <c r="B9803" s="11" t="s">
        <v>2606</v>
      </c>
      <c r="C9803" s="16" t="s">
        <v>19</v>
      </c>
      <c r="D9803" s="2"/>
    </row>
    <row r="9804" spans="1:4" ht="12.75" customHeight="1" x14ac:dyDescent="0.2">
      <c r="B9804" s="2"/>
      <c r="C9804" s="15"/>
      <c r="D9804" s="2"/>
    </row>
    <row r="9805" spans="1:4" ht="12.75" customHeight="1" x14ac:dyDescent="0.2">
      <c r="B9805" s="2"/>
      <c r="C9805" s="15"/>
      <c r="D9805" s="2"/>
    </row>
    <row r="9806" spans="1:4" ht="12.75" customHeight="1" x14ac:dyDescent="0.2">
      <c r="A9806" s="13" t="s">
        <v>4003</v>
      </c>
      <c r="C9806" s="12"/>
      <c r="D9806" s="2"/>
    </row>
    <row r="9807" spans="1:4" ht="12.75" customHeight="1" x14ac:dyDescent="0.2">
      <c r="A9807" s="11"/>
      <c r="B9807" s="2"/>
      <c r="C9807" s="15"/>
      <c r="D9807" s="2"/>
    </row>
    <row r="9808" spans="1:4" ht="12.75" customHeight="1" x14ac:dyDescent="0.2">
      <c r="B9808" s="11" t="s">
        <v>0</v>
      </c>
      <c r="C9808" s="17" t="s">
        <v>585</v>
      </c>
      <c r="D9808" s="2"/>
    </row>
    <row r="9809" spans="1:4" ht="12.75" customHeight="1" x14ac:dyDescent="0.2">
      <c r="B9809" s="11" t="s">
        <v>2599</v>
      </c>
      <c r="C9809" s="17" t="s">
        <v>3674</v>
      </c>
      <c r="D9809" s="2"/>
    </row>
    <row r="9810" spans="1:4" ht="25.5" customHeight="1" x14ac:dyDescent="0.2">
      <c r="B9810" s="11" t="s">
        <v>2600</v>
      </c>
      <c r="C9810" s="17" t="s">
        <v>4112</v>
      </c>
      <c r="D9810" s="2"/>
    </row>
    <row r="9811" spans="1:4" ht="25.5" customHeight="1" x14ac:dyDescent="0.2">
      <c r="B9811" s="11" t="s">
        <v>2601</v>
      </c>
      <c r="C9811" s="17"/>
      <c r="D9811" s="2"/>
    </row>
    <row r="9812" spans="1:4" ht="12.75" customHeight="1" x14ac:dyDescent="0.2">
      <c r="B9812" s="11" t="s">
        <v>16</v>
      </c>
      <c r="C9812" s="17"/>
      <c r="D9812" s="2"/>
    </row>
    <row r="9813" spans="1:4" ht="12.75" customHeight="1" x14ac:dyDescent="0.2">
      <c r="B9813" s="11" t="s">
        <v>13</v>
      </c>
      <c r="C9813" s="17" t="s">
        <v>2602</v>
      </c>
      <c r="D9813" s="2"/>
    </row>
    <row r="9814" spans="1:4" ht="25.5" customHeight="1" x14ac:dyDescent="0.2">
      <c r="B9814" s="11" t="s">
        <v>2603</v>
      </c>
      <c r="C9814" s="17" t="s">
        <v>2971</v>
      </c>
      <c r="D9814" s="2"/>
    </row>
    <row r="9815" spans="1:4" ht="12.75" customHeight="1" x14ac:dyDescent="0.2">
      <c r="B9815" s="11" t="s">
        <v>2605</v>
      </c>
      <c r="C9815" s="17" t="s">
        <v>14</v>
      </c>
      <c r="D9815" s="2"/>
    </row>
    <row r="9816" spans="1:4" ht="12.75" customHeight="1" x14ac:dyDescent="0.2">
      <c r="B9816" s="11" t="s">
        <v>2606</v>
      </c>
      <c r="C9816" s="16" t="s">
        <v>19</v>
      </c>
      <c r="D9816" s="2"/>
    </row>
    <row r="9817" spans="1:4" ht="12.75" customHeight="1" x14ac:dyDescent="0.2">
      <c r="B9817" s="2"/>
      <c r="C9817" s="15"/>
      <c r="D9817" s="2"/>
    </row>
    <row r="9818" spans="1:4" ht="12.75" customHeight="1" x14ac:dyDescent="0.2">
      <c r="B9818" s="2"/>
      <c r="C9818" s="15"/>
      <c r="D9818" s="2"/>
    </row>
    <row r="9819" spans="1:4" ht="12.75" customHeight="1" x14ac:dyDescent="0.2">
      <c r="A9819" s="13" t="s">
        <v>4005</v>
      </c>
      <c r="C9819" s="12"/>
      <c r="D9819" s="2"/>
    </row>
    <row r="9820" spans="1:4" ht="12.75" customHeight="1" x14ac:dyDescent="0.2">
      <c r="A9820" s="11"/>
      <c r="B9820" s="2"/>
      <c r="C9820" s="15"/>
      <c r="D9820" s="2"/>
    </row>
    <row r="9821" spans="1:4" ht="12.75" customHeight="1" x14ac:dyDescent="0.2">
      <c r="B9821" s="11" t="s">
        <v>0</v>
      </c>
      <c r="C9821" s="17" t="s">
        <v>585</v>
      </c>
      <c r="D9821" s="2"/>
    </row>
    <row r="9822" spans="1:4" ht="12.75" customHeight="1" x14ac:dyDescent="0.2">
      <c r="B9822" s="11" t="s">
        <v>2599</v>
      </c>
      <c r="C9822" s="17" t="s">
        <v>4006</v>
      </c>
      <c r="D9822" s="2"/>
    </row>
    <row r="9823" spans="1:4" ht="25.5" customHeight="1" x14ac:dyDescent="0.2">
      <c r="B9823" s="11" t="s">
        <v>2600</v>
      </c>
      <c r="C9823" s="17" t="s">
        <v>4113</v>
      </c>
      <c r="D9823" s="2"/>
    </row>
    <row r="9824" spans="1:4" ht="25.5" customHeight="1" x14ac:dyDescent="0.2">
      <c r="B9824" s="11" t="s">
        <v>2601</v>
      </c>
      <c r="C9824" s="17"/>
      <c r="D9824" s="2"/>
    </row>
    <row r="9825" spans="1:4" ht="12.75" customHeight="1" x14ac:dyDescent="0.2">
      <c r="B9825" s="11" t="s">
        <v>16</v>
      </c>
      <c r="C9825" s="17"/>
      <c r="D9825" s="2"/>
    </row>
    <row r="9826" spans="1:4" ht="12.75" customHeight="1" x14ac:dyDescent="0.2">
      <c r="B9826" s="11" t="s">
        <v>13</v>
      </c>
      <c r="C9826" s="17" t="s">
        <v>2644</v>
      </c>
      <c r="D9826" s="2"/>
    </row>
    <row r="9827" spans="1:4" ht="25.5" customHeight="1" x14ac:dyDescent="0.2">
      <c r="B9827" s="11" t="s">
        <v>2603</v>
      </c>
      <c r="C9827" s="17" t="s">
        <v>2971</v>
      </c>
      <c r="D9827" s="2"/>
    </row>
    <row r="9828" spans="1:4" ht="12.75" customHeight="1" x14ac:dyDescent="0.2">
      <c r="B9828" s="11" t="s">
        <v>2605</v>
      </c>
      <c r="C9828" s="17" t="s">
        <v>14</v>
      </c>
      <c r="D9828" s="2"/>
    </row>
    <row r="9829" spans="1:4" ht="12.75" customHeight="1" x14ac:dyDescent="0.2">
      <c r="B9829" s="11" t="s">
        <v>2606</v>
      </c>
      <c r="C9829" s="16" t="s">
        <v>19</v>
      </c>
      <c r="D9829" s="2"/>
    </row>
    <row r="9830" spans="1:4" ht="12.75" customHeight="1" x14ac:dyDescent="0.2">
      <c r="B9830" s="2"/>
      <c r="C9830" s="15"/>
      <c r="D9830" s="2"/>
    </row>
    <row r="9831" spans="1:4" ht="12.75" customHeight="1" x14ac:dyDescent="0.2">
      <c r="B9831" s="2"/>
      <c r="C9831" s="15"/>
      <c r="D9831" s="2"/>
    </row>
    <row r="9832" spans="1:4" ht="12.75" customHeight="1" x14ac:dyDescent="0.2">
      <c r="A9832" s="13" t="s">
        <v>4114</v>
      </c>
      <c r="C9832" s="12"/>
    </row>
    <row r="9833" spans="1:4" ht="12.75" customHeight="1" x14ac:dyDescent="0.2">
      <c r="A9833" s="11"/>
      <c r="B9833" s="2"/>
      <c r="C9833" s="15"/>
      <c r="D9833" s="2"/>
    </row>
    <row r="9834" spans="1:4" ht="12.75" customHeight="1" x14ac:dyDescent="0.2">
      <c r="B9834" s="11" t="s">
        <v>0</v>
      </c>
      <c r="C9834" s="11" t="s">
        <v>585</v>
      </c>
    </row>
    <row r="9835" spans="1:4" ht="12.75" customHeight="1" x14ac:dyDescent="0.2">
      <c r="B9835" s="11" t="s">
        <v>2599</v>
      </c>
      <c r="C9835" s="11" t="s">
        <v>2367</v>
      </c>
    </row>
    <row r="9836" spans="1:4" ht="25.5" customHeight="1" x14ac:dyDescent="0.2">
      <c r="B9836" s="11" t="s">
        <v>2600</v>
      </c>
      <c r="C9836" s="11" t="s">
        <v>4115</v>
      </c>
    </row>
    <row r="9837" spans="1:4" ht="25.5" customHeight="1" x14ac:dyDescent="0.2">
      <c r="B9837" s="11" t="s">
        <v>2601</v>
      </c>
      <c r="C9837" s="11"/>
    </row>
    <row r="9838" spans="1:4" ht="12.75" customHeight="1" x14ac:dyDescent="0.2">
      <c r="B9838" s="11" t="s">
        <v>16</v>
      </c>
      <c r="C9838" s="11"/>
    </row>
    <row r="9839" spans="1:4" ht="12.75" customHeight="1" x14ac:dyDescent="0.2">
      <c r="B9839" s="11" t="s">
        <v>13</v>
      </c>
      <c r="C9839" s="11" t="s">
        <v>2602</v>
      </c>
    </row>
    <row r="9840" spans="1:4" ht="12.75" customHeight="1" x14ac:dyDescent="0.2">
      <c r="B9840" s="11" t="s">
        <v>2603</v>
      </c>
      <c r="C9840" s="11" t="s">
        <v>2604</v>
      </c>
    </row>
    <row r="9841" spans="1:4" ht="12.75" customHeight="1" x14ac:dyDescent="0.2">
      <c r="B9841" s="11" t="s">
        <v>2605</v>
      </c>
      <c r="C9841" s="11" t="s">
        <v>24</v>
      </c>
    </row>
    <row r="9842" spans="1:4" ht="12.75" customHeight="1" x14ac:dyDescent="0.2">
      <c r="B9842" s="11" t="s">
        <v>2606</v>
      </c>
      <c r="C9842" s="16" t="s">
        <v>132</v>
      </c>
      <c r="D9842" s="6" t="str">
        <f>HYPERLINK("javascript:void(0)","kincs")</f>
        <v>kincs</v>
      </c>
    </row>
    <row r="9843" spans="1:4" ht="12.75" customHeight="1" x14ac:dyDescent="0.2">
      <c r="B9843" s="2"/>
      <c r="C9843" s="15"/>
      <c r="D9843" s="2"/>
    </row>
    <row r="9844" spans="1:4" ht="12.75" customHeight="1" x14ac:dyDescent="0.2">
      <c r="B9844" s="2"/>
      <c r="C9844" s="15"/>
      <c r="D9844" s="2"/>
    </row>
    <row r="9845" spans="1:4" ht="12.75" customHeight="1" x14ac:dyDescent="0.2">
      <c r="A9845" s="13" t="s">
        <v>4116</v>
      </c>
      <c r="C9845" s="12"/>
    </row>
    <row r="9846" spans="1:4" ht="12.75" customHeight="1" x14ac:dyDescent="0.2">
      <c r="A9846" s="11"/>
      <c r="B9846" s="2"/>
      <c r="C9846" s="15"/>
      <c r="D9846" s="2"/>
    </row>
    <row r="9847" spans="1:4" ht="12.75" customHeight="1" x14ac:dyDescent="0.2">
      <c r="B9847" s="11" t="s">
        <v>0</v>
      </c>
      <c r="C9847" s="11" t="s">
        <v>585</v>
      </c>
    </row>
    <row r="9848" spans="1:4" ht="12.75" customHeight="1" x14ac:dyDescent="0.2">
      <c r="B9848" s="11" t="s">
        <v>2599</v>
      </c>
      <c r="C9848" s="11" t="s">
        <v>4117</v>
      </c>
    </row>
    <row r="9849" spans="1:4" ht="25.5" customHeight="1" x14ac:dyDescent="0.2">
      <c r="B9849" s="11" t="s">
        <v>2600</v>
      </c>
      <c r="C9849" s="11" t="s">
        <v>4118</v>
      </c>
    </row>
    <row r="9850" spans="1:4" ht="25.5" customHeight="1" x14ac:dyDescent="0.2">
      <c r="B9850" s="11" t="s">
        <v>2601</v>
      </c>
      <c r="C9850" s="11"/>
    </row>
    <row r="9851" spans="1:4" ht="12.75" customHeight="1" x14ac:dyDescent="0.2">
      <c r="B9851" s="11" t="s">
        <v>16</v>
      </c>
      <c r="C9851" s="11"/>
    </row>
    <row r="9852" spans="1:4" ht="12.75" customHeight="1" x14ac:dyDescent="0.2">
      <c r="B9852" s="11" t="s">
        <v>13</v>
      </c>
      <c r="C9852" s="11" t="s">
        <v>2644</v>
      </c>
    </row>
    <row r="9853" spans="1:4" ht="12.75" customHeight="1" x14ac:dyDescent="0.2">
      <c r="B9853" s="11" t="s">
        <v>2603</v>
      </c>
      <c r="C9853" s="11" t="s">
        <v>2604</v>
      </c>
    </row>
    <row r="9854" spans="1:4" ht="12.75" customHeight="1" x14ac:dyDescent="0.2">
      <c r="B9854" s="11" t="s">
        <v>2605</v>
      </c>
      <c r="C9854" s="11" t="s">
        <v>24</v>
      </c>
    </row>
    <row r="9855" spans="1:4" ht="12.75" customHeight="1" x14ac:dyDescent="0.2">
      <c r="B9855" s="11" t="s">
        <v>2606</v>
      </c>
      <c r="C9855" s="16" t="s">
        <v>67</v>
      </c>
      <c r="D9855" s="6" t="str">
        <f>HYPERLINK("javascript:void(0)","kincs")</f>
        <v>kincs</v>
      </c>
    </row>
    <row r="9856" spans="1:4" ht="12.75" customHeight="1" x14ac:dyDescent="0.2">
      <c r="B9856" s="2"/>
      <c r="C9856" s="15"/>
      <c r="D9856" s="2"/>
    </row>
    <row r="9857" spans="1:4" ht="12.75" customHeight="1" x14ac:dyDescent="0.2">
      <c r="B9857" s="2"/>
      <c r="C9857" s="15"/>
      <c r="D9857" s="2"/>
    </row>
    <row r="9858" spans="1:4" ht="12.75" customHeight="1" x14ac:dyDescent="0.2">
      <c r="A9858" s="13" t="s">
        <v>4119</v>
      </c>
      <c r="C9858" s="12"/>
    </row>
    <row r="9859" spans="1:4" ht="12.75" customHeight="1" x14ac:dyDescent="0.2">
      <c r="A9859" s="11"/>
      <c r="B9859" s="2"/>
      <c r="C9859" s="15"/>
      <c r="D9859" s="2"/>
    </row>
    <row r="9860" spans="1:4" ht="12.75" customHeight="1" x14ac:dyDescent="0.2">
      <c r="B9860" s="11" t="s">
        <v>0</v>
      </c>
      <c r="C9860" s="11" t="s">
        <v>585</v>
      </c>
    </row>
    <row r="9861" spans="1:4" ht="12.75" customHeight="1" x14ac:dyDescent="0.2">
      <c r="B9861" s="11" t="s">
        <v>2599</v>
      </c>
      <c r="C9861" s="11" t="s">
        <v>4120</v>
      </c>
    </row>
    <row r="9862" spans="1:4" ht="25.5" customHeight="1" x14ac:dyDescent="0.2">
      <c r="B9862" s="11" t="s">
        <v>2600</v>
      </c>
      <c r="C9862" s="11" t="s">
        <v>4121</v>
      </c>
    </row>
    <row r="9863" spans="1:4" ht="25.5" customHeight="1" x14ac:dyDescent="0.2">
      <c r="B9863" s="11" t="s">
        <v>2601</v>
      </c>
      <c r="C9863" s="11"/>
    </row>
    <row r="9864" spans="1:4" ht="12.75" customHeight="1" x14ac:dyDescent="0.2">
      <c r="B9864" s="11" t="s">
        <v>16</v>
      </c>
      <c r="C9864" s="11"/>
    </row>
    <row r="9865" spans="1:4" ht="12.75" customHeight="1" x14ac:dyDescent="0.2">
      <c r="B9865" s="11" t="s">
        <v>13</v>
      </c>
      <c r="C9865" s="11" t="s">
        <v>2644</v>
      </c>
    </row>
    <row r="9866" spans="1:4" ht="12.75" customHeight="1" x14ac:dyDescent="0.2">
      <c r="B9866" s="11" t="s">
        <v>2603</v>
      </c>
      <c r="C9866" s="11" t="s">
        <v>2604</v>
      </c>
    </row>
    <row r="9867" spans="1:4" ht="12.75" customHeight="1" x14ac:dyDescent="0.2">
      <c r="B9867" s="11" t="s">
        <v>2605</v>
      </c>
      <c r="C9867" s="11" t="s">
        <v>24</v>
      </c>
    </row>
    <row r="9868" spans="1:4" ht="12.75" customHeight="1" x14ac:dyDescent="0.2">
      <c r="B9868" s="11" t="s">
        <v>2606</v>
      </c>
      <c r="C9868" s="16" t="s">
        <v>44</v>
      </c>
      <c r="D9868" s="6" t="str">
        <f>HYPERLINK("javascript:void(0)","hacuka")</f>
        <v>hacuka</v>
      </c>
    </row>
    <row r="9869" spans="1:4" ht="12.75" customHeight="1" x14ac:dyDescent="0.2">
      <c r="C9869" s="16" t="s">
        <v>68</v>
      </c>
      <c r="D9869" s="6" t="str">
        <f>HYPERLINK("javascript:void(0)","kincs")</f>
        <v>kincs</v>
      </c>
    </row>
    <row r="9870" spans="1:4" ht="12.75" customHeight="1" x14ac:dyDescent="0.2">
      <c r="B9870" s="2"/>
      <c r="C9870" s="15"/>
      <c r="D9870" s="2"/>
    </row>
    <row r="9871" spans="1:4" ht="12.75" customHeight="1" x14ac:dyDescent="0.2">
      <c r="B9871" s="2"/>
      <c r="C9871" s="15"/>
      <c r="D9871" s="2"/>
    </row>
    <row r="9872" spans="1:4" ht="12.75" customHeight="1" x14ac:dyDescent="0.2">
      <c r="A9872" s="13" t="s">
        <v>4122</v>
      </c>
      <c r="C9872" s="12"/>
    </row>
    <row r="9873" spans="1:4" ht="12.75" customHeight="1" x14ac:dyDescent="0.2">
      <c r="A9873" s="11"/>
      <c r="B9873" s="2"/>
      <c r="C9873" s="15"/>
      <c r="D9873" s="2"/>
    </row>
    <row r="9874" spans="1:4" ht="12.75" customHeight="1" x14ac:dyDescent="0.2">
      <c r="B9874" s="11" t="s">
        <v>0</v>
      </c>
      <c r="C9874" s="11" t="s">
        <v>585</v>
      </c>
    </row>
    <row r="9875" spans="1:4" ht="12.75" customHeight="1" x14ac:dyDescent="0.2">
      <c r="B9875" s="11" t="s">
        <v>2599</v>
      </c>
      <c r="C9875" s="11" t="s">
        <v>4123</v>
      </c>
    </row>
    <row r="9876" spans="1:4" ht="25.5" customHeight="1" x14ac:dyDescent="0.2">
      <c r="B9876" s="11" t="s">
        <v>2600</v>
      </c>
      <c r="C9876" s="11" t="s">
        <v>4124</v>
      </c>
    </row>
    <row r="9877" spans="1:4" ht="25.5" customHeight="1" x14ac:dyDescent="0.2">
      <c r="B9877" s="11" t="s">
        <v>2601</v>
      </c>
      <c r="C9877" s="11"/>
    </row>
    <row r="9878" spans="1:4" ht="12.75" customHeight="1" x14ac:dyDescent="0.2">
      <c r="B9878" s="11" t="s">
        <v>16</v>
      </c>
      <c r="C9878" s="11"/>
    </row>
    <row r="9879" spans="1:4" ht="12.75" customHeight="1" x14ac:dyDescent="0.2">
      <c r="B9879" s="11" t="s">
        <v>13</v>
      </c>
      <c r="C9879" s="11" t="s">
        <v>2602</v>
      </c>
    </row>
    <row r="9880" spans="1:4" ht="12.75" customHeight="1" x14ac:dyDescent="0.2">
      <c r="B9880" s="11" t="s">
        <v>2603</v>
      </c>
      <c r="C9880" s="11" t="s">
        <v>2604</v>
      </c>
    </row>
    <row r="9881" spans="1:4" ht="12.75" customHeight="1" x14ac:dyDescent="0.2">
      <c r="B9881" s="11" t="s">
        <v>2605</v>
      </c>
      <c r="C9881" s="11" t="s">
        <v>24</v>
      </c>
    </row>
    <row r="9882" spans="1:4" ht="12.75" customHeight="1" x14ac:dyDescent="0.2">
      <c r="B9882" s="11" t="s">
        <v>2606</v>
      </c>
      <c r="C9882" s="16" t="s">
        <v>44</v>
      </c>
      <c r="D9882" s="6" t="str">
        <f>HYPERLINK("javascript:void(0)","uszony")</f>
        <v>uszony</v>
      </c>
    </row>
    <row r="9883" spans="1:4" ht="12.75" customHeight="1" x14ac:dyDescent="0.2">
      <c r="B9883" s="2"/>
      <c r="C9883" s="15"/>
      <c r="D9883" s="2"/>
    </row>
    <row r="9884" spans="1:4" ht="12.75" customHeight="1" x14ac:dyDescent="0.2">
      <c r="B9884" s="2"/>
      <c r="C9884" s="15"/>
      <c r="D9884" s="2"/>
    </row>
    <row r="9885" spans="1:4" ht="12.75" customHeight="1" x14ac:dyDescent="0.2">
      <c r="A9885" s="13" t="s">
        <v>4125</v>
      </c>
      <c r="C9885" s="12"/>
    </row>
    <row r="9886" spans="1:4" ht="12.75" customHeight="1" x14ac:dyDescent="0.2">
      <c r="A9886" s="11"/>
      <c r="B9886" s="2"/>
      <c r="C9886" s="15"/>
      <c r="D9886" s="2"/>
    </row>
    <row r="9887" spans="1:4" ht="12.75" customHeight="1" x14ac:dyDescent="0.2">
      <c r="B9887" s="11" t="s">
        <v>0</v>
      </c>
      <c r="C9887" s="11" t="s">
        <v>585</v>
      </c>
    </row>
    <row r="9888" spans="1:4" ht="12.75" customHeight="1" x14ac:dyDescent="0.2">
      <c r="B9888" s="11" t="s">
        <v>2599</v>
      </c>
      <c r="C9888" s="11" t="s">
        <v>1933</v>
      </c>
    </row>
    <row r="9889" spans="1:4" ht="25.5" customHeight="1" x14ac:dyDescent="0.2">
      <c r="B9889" s="11" t="s">
        <v>2600</v>
      </c>
      <c r="C9889" s="11" t="s">
        <v>4126</v>
      </c>
    </row>
    <row r="9890" spans="1:4" ht="25.5" customHeight="1" x14ac:dyDescent="0.2">
      <c r="B9890" s="11" t="s">
        <v>2601</v>
      </c>
      <c r="C9890" s="11"/>
    </row>
    <row r="9891" spans="1:4" ht="12.75" customHeight="1" x14ac:dyDescent="0.2">
      <c r="B9891" s="11" t="s">
        <v>16</v>
      </c>
      <c r="C9891" s="11"/>
    </row>
    <row r="9892" spans="1:4" ht="12.75" customHeight="1" x14ac:dyDescent="0.2">
      <c r="B9892" s="11" t="s">
        <v>13</v>
      </c>
      <c r="C9892" s="11" t="s">
        <v>2602</v>
      </c>
    </row>
    <row r="9893" spans="1:4" ht="12.75" customHeight="1" x14ac:dyDescent="0.2">
      <c r="B9893" s="11" t="s">
        <v>2603</v>
      </c>
      <c r="C9893" s="11" t="s">
        <v>2604</v>
      </c>
    </row>
    <row r="9894" spans="1:4" ht="12.75" customHeight="1" x14ac:dyDescent="0.2">
      <c r="B9894" s="11" t="s">
        <v>2605</v>
      </c>
      <c r="C9894" s="11" t="s">
        <v>24</v>
      </c>
    </row>
    <row r="9895" spans="1:4" ht="12.75" customHeight="1" x14ac:dyDescent="0.2">
      <c r="B9895" s="11" t="s">
        <v>2606</v>
      </c>
      <c r="C9895" s="16" t="s">
        <v>55</v>
      </c>
      <c r="D9895" s="6" t="str">
        <f>HYPERLINK("javascript:void(0)","varázsige")</f>
        <v>varázsige</v>
      </c>
    </row>
    <row r="9896" spans="1:4" ht="12.75" customHeight="1" x14ac:dyDescent="0.2">
      <c r="B9896" s="2"/>
      <c r="C9896" s="15"/>
      <c r="D9896" s="2"/>
    </row>
    <row r="9897" spans="1:4" ht="12.75" customHeight="1" x14ac:dyDescent="0.2">
      <c r="B9897" s="2"/>
      <c r="C9897" s="15"/>
      <c r="D9897" s="2"/>
    </row>
    <row r="9898" spans="1:4" ht="12.75" customHeight="1" x14ac:dyDescent="0.2">
      <c r="A9898" s="13" t="s">
        <v>4127</v>
      </c>
      <c r="C9898" s="12"/>
    </row>
    <row r="9899" spans="1:4" ht="12.75" customHeight="1" x14ac:dyDescent="0.2">
      <c r="A9899" s="11"/>
      <c r="B9899" s="2"/>
      <c r="C9899" s="15"/>
      <c r="D9899" s="2"/>
    </row>
    <row r="9900" spans="1:4" ht="12.75" customHeight="1" x14ac:dyDescent="0.2">
      <c r="B9900" s="11" t="s">
        <v>0</v>
      </c>
      <c r="C9900" s="11" t="s">
        <v>585</v>
      </c>
    </row>
    <row r="9901" spans="1:4" ht="12.75" customHeight="1" x14ac:dyDescent="0.2">
      <c r="B9901" s="11" t="s">
        <v>2599</v>
      </c>
      <c r="C9901" s="11" t="s">
        <v>3413</v>
      </c>
    </row>
    <row r="9902" spans="1:4" ht="25.5" customHeight="1" x14ac:dyDescent="0.2">
      <c r="B9902" s="11" t="s">
        <v>2600</v>
      </c>
      <c r="C9902" s="11" t="s">
        <v>4128</v>
      </c>
    </row>
    <row r="9903" spans="1:4" ht="25.5" customHeight="1" x14ac:dyDescent="0.2">
      <c r="B9903" s="11" t="s">
        <v>2601</v>
      </c>
      <c r="C9903" s="11"/>
    </row>
    <row r="9904" spans="1:4" ht="12.75" customHeight="1" x14ac:dyDescent="0.2">
      <c r="B9904" s="11" t="s">
        <v>16</v>
      </c>
      <c r="C9904" s="11"/>
    </row>
    <row r="9905" spans="1:4" ht="12.75" customHeight="1" x14ac:dyDescent="0.2">
      <c r="B9905" s="11" t="s">
        <v>13</v>
      </c>
      <c r="C9905" s="11" t="s">
        <v>2644</v>
      </c>
    </row>
    <row r="9906" spans="1:4" ht="12.75" customHeight="1" x14ac:dyDescent="0.2">
      <c r="B9906" s="11" t="s">
        <v>2603</v>
      </c>
      <c r="C9906" s="11" t="s">
        <v>2604</v>
      </c>
    </row>
    <row r="9907" spans="1:4" ht="12.75" customHeight="1" x14ac:dyDescent="0.2">
      <c r="B9907" s="11" t="s">
        <v>2605</v>
      </c>
      <c r="C9907" s="11" t="s">
        <v>24</v>
      </c>
    </row>
    <row r="9908" spans="1:4" ht="12.75" customHeight="1" x14ac:dyDescent="0.2">
      <c r="B9908" s="11" t="s">
        <v>2606</v>
      </c>
      <c r="C9908" s="16" t="s">
        <v>67</v>
      </c>
      <c r="D9908" s="6" t="str">
        <f>HYPERLINK("javascript:void(0)","kincs")</f>
        <v>kincs</v>
      </c>
    </row>
    <row r="9909" spans="1:4" ht="12.75" customHeight="1" x14ac:dyDescent="0.2">
      <c r="B9909" s="2"/>
      <c r="C9909" s="15"/>
      <c r="D9909" s="2"/>
    </row>
    <row r="9910" spans="1:4" ht="12.75" customHeight="1" x14ac:dyDescent="0.2">
      <c r="B9910" s="2"/>
      <c r="C9910" s="15"/>
      <c r="D9910" s="2"/>
    </row>
    <row r="9911" spans="1:4" ht="12.75" customHeight="1" x14ac:dyDescent="0.2">
      <c r="A9911" s="13" t="s">
        <v>4129</v>
      </c>
      <c r="C9911" s="12"/>
    </row>
    <row r="9912" spans="1:4" ht="12.75" customHeight="1" x14ac:dyDescent="0.2">
      <c r="A9912" s="11"/>
      <c r="B9912" s="2"/>
      <c r="C9912" s="15"/>
      <c r="D9912" s="2"/>
    </row>
    <row r="9913" spans="1:4" ht="12.75" customHeight="1" x14ac:dyDescent="0.2">
      <c r="B9913" s="11" t="s">
        <v>0</v>
      </c>
      <c r="C9913" s="11" t="s">
        <v>585</v>
      </c>
    </row>
    <row r="9914" spans="1:4" ht="12.75" customHeight="1" x14ac:dyDescent="0.2">
      <c r="B9914" s="11" t="s">
        <v>2599</v>
      </c>
      <c r="C9914" s="11" t="s">
        <v>1863</v>
      </c>
    </row>
    <row r="9915" spans="1:4" ht="25.5" customHeight="1" x14ac:dyDescent="0.2">
      <c r="B9915" s="11" t="s">
        <v>2600</v>
      </c>
      <c r="C9915" s="11" t="s">
        <v>4130</v>
      </c>
    </row>
    <row r="9916" spans="1:4" ht="25.5" customHeight="1" x14ac:dyDescent="0.2">
      <c r="B9916" s="11" t="s">
        <v>2601</v>
      </c>
      <c r="C9916" s="11"/>
    </row>
    <row r="9917" spans="1:4" ht="12.75" customHeight="1" x14ac:dyDescent="0.2">
      <c r="B9917" s="11" t="s">
        <v>16</v>
      </c>
      <c r="C9917" s="11"/>
    </row>
    <row r="9918" spans="1:4" ht="12.75" customHeight="1" x14ac:dyDescent="0.2">
      <c r="B9918" s="11" t="s">
        <v>13</v>
      </c>
      <c r="C9918" s="11" t="s">
        <v>2644</v>
      </c>
    </row>
    <row r="9919" spans="1:4" ht="12.75" customHeight="1" x14ac:dyDescent="0.2">
      <c r="B9919" s="11" t="s">
        <v>2603</v>
      </c>
      <c r="C9919" s="11" t="s">
        <v>2604</v>
      </c>
    </row>
    <row r="9920" spans="1:4" ht="12.75" customHeight="1" x14ac:dyDescent="0.2">
      <c r="B9920" s="11" t="s">
        <v>2605</v>
      </c>
      <c r="C9920" s="11" t="s">
        <v>24</v>
      </c>
    </row>
    <row r="9921" spans="1:4" ht="12.75" customHeight="1" x14ac:dyDescent="0.2">
      <c r="B9921" s="11" t="s">
        <v>2606</v>
      </c>
      <c r="C9921" s="16" t="s">
        <v>67</v>
      </c>
      <c r="D9921" s="6" t="str">
        <f>HYPERLINK("javascript:void(0)","kincs")</f>
        <v>kincs</v>
      </c>
    </row>
    <row r="9922" spans="1:4" ht="12.75" customHeight="1" x14ac:dyDescent="0.2">
      <c r="B9922" s="2"/>
      <c r="C9922" s="15"/>
      <c r="D9922" s="2"/>
    </row>
    <row r="9923" spans="1:4" ht="12.75" customHeight="1" x14ac:dyDescent="0.2">
      <c r="B9923" s="2"/>
      <c r="C9923" s="15"/>
      <c r="D9923" s="2"/>
    </row>
    <row r="9924" spans="1:4" ht="12.75" customHeight="1" x14ac:dyDescent="0.2">
      <c r="A9924" s="13" t="s">
        <v>4131</v>
      </c>
      <c r="C9924" s="12"/>
    </row>
    <row r="9925" spans="1:4" ht="12.75" customHeight="1" x14ac:dyDescent="0.2">
      <c r="A9925" s="11"/>
      <c r="B9925" s="2"/>
      <c r="C9925" s="15"/>
      <c r="D9925" s="2"/>
    </row>
    <row r="9926" spans="1:4" ht="12.75" customHeight="1" x14ac:dyDescent="0.2">
      <c r="B9926" s="11" t="s">
        <v>0</v>
      </c>
      <c r="C9926" s="11" t="s">
        <v>585</v>
      </c>
    </row>
    <row r="9927" spans="1:4" ht="12.75" customHeight="1" x14ac:dyDescent="0.2">
      <c r="B9927" s="11" t="s">
        <v>2599</v>
      </c>
      <c r="C9927" s="11" t="s">
        <v>4132</v>
      </c>
    </row>
    <row r="9928" spans="1:4" ht="25.5" customHeight="1" x14ac:dyDescent="0.2">
      <c r="B9928" s="11" t="s">
        <v>2600</v>
      </c>
      <c r="C9928" s="11" t="s">
        <v>4133</v>
      </c>
    </row>
    <row r="9929" spans="1:4" ht="25.5" customHeight="1" x14ac:dyDescent="0.2">
      <c r="B9929" s="11" t="s">
        <v>2601</v>
      </c>
      <c r="C9929" s="11"/>
    </row>
    <row r="9930" spans="1:4" ht="12.75" customHeight="1" x14ac:dyDescent="0.2">
      <c r="B9930" s="11" t="s">
        <v>16</v>
      </c>
      <c r="C9930" s="11"/>
    </row>
    <row r="9931" spans="1:4" ht="12.75" customHeight="1" x14ac:dyDescent="0.2">
      <c r="B9931" s="11" t="s">
        <v>13</v>
      </c>
      <c r="C9931" s="11" t="s">
        <v>2602</v>
      </c>
    </row>
    <row r="9932" spans="1:4" ht="12.75" customHeight="1" x14ac:dyDescent="0.2">
      <c r="B9932" s="11" t="s">
        <v>2603</v>
      </c>
      <c r="C9932" s="11" t="s">
        <v>2604</v>
      </c>
    </row>
    <row r="9933" spans="1:4" ht="12.75" customHeight="1" x14ac:dyDescent="0.2">
      <c r="B9933" s="11" t="s">
        <v>2605</v>
      </c>
      <c r="C9933" s="11" t="s">
        <v>24</v>
      </c>
    </row>
    <row r="9934" spans="1:4" ht="12.75" customHeight="1" x14ac:dyDescent="0.2">
      <c r="B9934" s="11" t="s">
        <v>2606</v>
      </c>
      <c r="C9934" s="16" t="s">
        <v>44</v>
      </c>
      <c r="D9934" s="6" t="str">
        <f>HYPERLINK("javascript:void(0)","robbanófej")</f>
        <v>robbanófej</v>
      </c>
    </row>
    <row r="9935" spans="1:4" ht="12.75" customHeight="1" x14ac:dyDescent="0.2">
      <c r="B9935" s="2"/>
      <c r="C9935" s="15"/>
      <c r="D9935" s="2"/>
    </row>
    <row r="9936" spans="1:4" ht="12.75" customHeight="1" x14ac:dyDescent="0.2">
      <c r="B9936" s="2"/>
      <c r="C9936" s="15"/>
      <c r="D9936" s="2"/>
    </row>
    <row r="9937" spans="1:4" ht="12.75" customHeight="1" x14ac:dyDescent="0.2">
      <c r="A9937" s="13" t="s">
        <v>4107</v>
      </c>
      <c r="C9937" s="12"/>
      <c r="D9937" s="2"/>
    </row>
    <row r="9938" spans="1:4" ht="12.75" customHeight="1" x14ac:dyDescent="0.2">
      <c r="A9938" s="11"/>
      <c r="B9938" s="2"/>
      <c r="C9938" s="15"/>
      <c r="D9938" s="2"/>
    </row>
    <row r="9939" spans="1:4" ht="12.75" customHeight="1" x14ac:dyDescent="0.2">
      <c r="B9939" s="11" t="s">
        <v>0</v>
      </c>
      <c r="C9939" s="17" t="s">
        <v>585</v>
      </c>
      <c r="D9939" s="2"/>
    </row>
    <row r="9940" spans="1:4" ht="12.75" customHeight="1" x14ac:dyDescent="0.2">
      <c r="B9940" s="11" t="s">
        <v>2599</v>
      </c>
      <c r="C9940" s="17" t="s">
        <v>4108</v>
      </c>
      <c r="D9940" s="2"/>
    </row>
    <row r="9941" spans="1:4" ht="25.5" customHeight="1" x14ac:dyDescent="0.2">
      <c r="B9941" s="11" t="s">
        <v>2600</v>
      </c>
      <c r="C9941" s="17" t="s">
        <v>4134</v>
      </c>
      <c r="D9941" s="2"/>
    </row>
    <row r="9942" spans="1:4" ht="25.5" customHeight="1" x14ac:dyDescent="0.2">
      <c r="B9942" s="11" t="s">
        <v>2601</v>
      </c>
      <c r="C9942" s="17"/>
      <c r="D9942" s="2"/>
    </row>
    <row r="9943" spans="1:4" ht="12.75" customHeight="1" x14ac:dyDescent="0.2">
      <c r="B9943" s="11" t="s">
        <v>16</v>
      </c>
      <c r="C9943" s="17"/>
      <c r="D9943" s="2"/>
    </row>
    <row r="9944" spans="1:4" ht="12.75" customHeight="1" x14ac:dyDescent="0.2">
      <c r="B9944" s="11" t="s">
        <v>13</v>
      </c>
      <c r="C9944" s="17" t="s">
        <v>2602</v>
      </c>
      <c r="D9944" s="2"/>
    </row>
    <row r="9945" spans="1:4" ht="25.5" customHeight="1" x14ac:dyDescent="0.2">
      <c r="B9945" s="11" t="s">
        <v>2603</v>
      </c>
      <c r="C9945" s="17" t="s">
        <v>2971</v>
      </c>
      <c r="D9945" s="2"/>
    </row>
    <row r="9946" spans="1:4" ht="12.75" customHeight="1" x14ac:dyDescent="0.2">
      <c r="B9946" s="11" t="s">
        <v>2605</v>
      </c>
      <c r="C9946" s="17" t="s">
        <v>14</v>
      </c>
      <c r="D9946" s="2"/>
    </row>
    <row r="9947" spans="1:4" ht="12.75" customHeight="1" x14ac:dyDescent="0.2">
      <c r="B9947" s="11" t="s">
        <v>2606</v>
      </c>
      <c r="C9947" s="16" t="s">
        <v>19</v>
      </c>
      <c r="D9947" s="2"/>
    </row>
    <row r="9948" spans="1:4" ht="12.75" customHeight="1" x14ac:dyDescent="0.2">
      <c r="B9948" s="2"/>
      <c r="C9948" s="15"/>
      <c r="D9948" s="2"/>
    </row>
    <row r="9949" spans="1:4" ht="12.75" customHeight="1" x14ac:dyDescent="0.2">
      <c r="B9949" s="2"/>
      <c r="C9949" s="15"/>
      <c r="D9949" s="2"/>
    </row>
    <row r="9950" spans="1:4" ht="12.75" customHeight="1" x14ac:dyDescent="0.2">
      <c r="A9950" s="13" t="s">
        <v>4031</v>
      </c>
      <c r="C9950" s="12"/>
      <c r="D9950" s="2"/>
    </row>
    <row r="9951" spans="1:4" ht="12.75" customHeight="1" x14ac:dyDescent="0.2">
      <c r="A9951" s="11"/>
      <c r="B9951" s="2"/>
      <c r="C9951" s="15"/>
      <c r="D9951" s="2"/>
    </row>
    <row r="9952" spans="1:4" ht="12.75" customHeight="1" x14ac:dyDescent="0.2">
      <c r="B9952" s="11" t="s">
        <v>0</v>
      </c>
      <c r="C9952" s="17" t="s">
        <v>585</v>
      </c>
      <c r="D9952" s="2"/>
    </row>
    <row r="9953" spans="1:4" ht="12.75" customHeight="1" x14ac:dyDescent="0.2">
      <c r="B9953" s="11" t="s">
        <v>2599</v>
      </c>
      <c r="C9953" s="17" t="s">
        <v>697</v>
      </c>
      <c r="D9953" s="2"/>
    </row>
    <row r="9954" spans="1:4" ht="25.5" customHeight="1" x14ac:dyDescent="0.2">
      <c r="B9954" s="11" t="s">
        <v>2600</v>
      </c>
      <c r="C9954" s="17" t="s">
        <v>4135</v>
      </c>
      <c r="D9954" s="2"/>
    </row>
    <row r="9955" spans="1:4" ht="25.5" customHeight="1" x14ac:dyDescent="0.2">
      <c r="B9955" s="11" t="s">
        <v>2601</v>
      </c>
      <c r="C9955" s="17"/>
      <c r="D9955" s="2"/>
    </row>
    <row r="9956" spans="1:4" ht="12.75" customHeight="1" x14ac:dyDescent="0.2">
      <c r="B9956" s="11" t="s">
        <v>16</v>
      </c>
      <c r="C9956" s="17"/>
      <c r="D9956" s="2"/>
    </row>
    <row r="9957" spans="1:4" ht="12.75" customHeight="1" x14ac:dyDescent="0.2">
      <c r="B9957" s="11" t="s">
        <v>13</v>
      </c>
      <c r="C9957" s="17" t="s">
        <v>2644</v>
      </c>
      <c r="D9957" s="2"/>
    </row>
    <row r="9958" spans="1:4" ht="25.5" customHeight="1" x14ac:dyDescent="0.2">
      <c r="B9958" s="11" t="s">
        <v>2603</v>
      </c>
      <c r="C9958" s="17" t="s">
        <v>2971</v>
      </c>
      <c r="D9958" s="2"/>
    </row>
    <row r="9959" spans="1:4" ht="12.75" customHeight="1" x14ac:dyDescent="0.2">
      <c r="B9959" s="11" t="s">
        <v>2605</v>
      </c>
      <c r="C9959" s="17" t="s">
        <v>14</v>
      </c>
      <c r="D9959" s="2"/>
    </row>
    <row r="9960" spans="1:4" ht="12.75" customHeight="1" x14ac:dyDescent="0.2">
      <c r="B9960" s="11" t="s">
        <v>2606</v>
      </c>
      <c r="C9960" s="16" t="s">
        <v>19</v>
      </c>
      <c r="D9960" s="2"/>
    </row>
    <row r="9961" spans="1:4" ht="12.75" customHeight="1" x14ac:dyDescent="0.2">
      <c r="B9961" s="2"/>
      <c r="C9961" s="15"/>
      <c r="D9961" s="2"/>
    </row>
    <row r="9962" spans="1:4" ht="12.75" customHeight="1" x14ac:dyDescent="0.2">
      <c r="B9962" s="2"/>
      <c r="C9962" s="15"/>
      <c r="D9962" s="2"/>
    </row>
    <row r="9963" spans="1:4" ht="12.75" customHeight="1" x14ac:dyDescent="0.2">
      <c r="A9963" s="13" t="s">
        <v>2962</v>
      </c>
      <c r="C9963" s="12"/>
    </row>
    <row r="9964" spans="1:4" ht="12.75" customHeight="1" x14ac:dyDescent="0.2">
      <c r="A9964" s="11"/>
      <c r="B9964" s="2"/>
      <c r="C9964" s="15"/>
      <c r="D9964" s="2"/>
    </row>
    <row r="9965" spans="1:4" ht="12.75" customHeight="1" x14ac:dyDescent="0.2">
      <c r="B9965" s="11" t="s">
        <v>0</v>
      </c>
      <c r="C9965" s="11" t="s">
        <v>151</v>
      </c>
    </row>
    <row r="9966" spans="1:4" ht="12.75" customHeight="1" x14ac:dyDescent="0.2">
      <c r="B9966" s="11" t="s">
        <v>2599</v>
      </c>
      <c r="C9966" s="11" t="s">
        <v>4136</v>
      </c>
    </row>
    <row r="9967" spans="1:4" ht="25.5" customHeight="1" x14ac:dyDescent="0.2">
      <c r="B9967" s="11" t="s">
        <v>2600</v>
      </c>
      <c r="C9967" s="11" t="s">
        <v>4137</v>
      </c>
    </row>
    <row r="9968" spans="1:4" ht="25.5" customHeight="1" x14ac:dyDescent="0.2">
      <c r="B9968" s="11" t="s">
        <v>2601</v>
      </c>
      <c r="C9968" s="11"/>
    </row>
    <row r="9969" spans="1:4" ht="12.75" customHeight="1" x14ac:dyDescent="0.2">
      <c r="B9969" s="11" t="s">
        <v>16</v>
      </c>
      <c r="C9969" s="11"/>
    </row>
    <row r="9970" spans="1:4" ht="12.75" customHeight="1" x14ac:dyDescent="0.2">
      <c r="B9970" s="11" t="s">
        <v>13</v>
      </c>
      <c r="C9970" s="11" t="s">
        <v>2644</v>
      </c>
    </row>
    <row r="9971" spans="1:4" ht="12.75" customHeight="1" x14ac:dyDescent="0.2">
      <c r="B9971" s="11" t="s">
        <v>2603</v>
      </c>
      <c r="C9971" s="11" t="s">
        <v>2965</v>
      </c>
    </row>
    <row r="9972" spans="1:4" ht="12.75" customHeight="1" x14ac:dyDescent="0.2">
      <c r="B9972" s="11" t="s">
        <v>2605</v>
      </c>
      <c r="C9972" s="11" t="s">
        <v>14</v>
      </c>
    </row>
    <row r="9973" spans="1:4" ht="12.75" customHeight="1" x14ac:dyDescent="0.2">
      <c r="B9973" s="11" t="s">
        <v>2606</v>
      </c>
      <c r="C9973" s="16" t="s">
        <v>44</v>
      </c>
      <c r="D9973" s="6" t="str">
        <f>HYPERLINK("javascript:void(0)","hínárgyöngy")</f>
        <v>hínárgyöngy</v>
      </c>
    </row>
    <row r="9974" spans="1:4" ht="25.5" customHeight="1" x14ac:dyDescent="0.2">
      <c r="C9974" s="16" t="s">
        <v>57</v>
      </c>
      <c r="D9974" s="6" t="str">
        <f>HYPERLINK("javascript:void(0)","harmatcsepp")</f>
        <v>harmatcsepp</v>
      </c>
    </row>
    <row r="9975" spans="1:4" ht="12.75" customHeight="1" x14ac:dyDescent="0.2">
      <c r="B9975" s="2"/>
      <c r="C9975" s="15"/>
      <c r="D9975" s="2"/>
    </row>
    <row r="9976" spans="1:4" ht="12.75" customHeight="1" x14ac:dyDescent="0.2">
      <c r="B9976" s="2"/>
      <c r="C9976" s="15"/>
      <c r="D9976" s="2"/>
    </row>
    <row r="9977" spans="1:4" ht="12.75" customHeight="1" x14ac:dyDescent="0.2">
      <c r="A9977" s="13" t="s">
        <v>4138</v>
      </c>
      <c r="C9977" s="12"/>
      <c r="D9977" s="2"/>
    </row>
    <row r="9978" spans="1:4" ht="12.75" customHeight="1" x14ac:dyDescent="0.2">
      <c r="A9978" s="11"/>
      <c r="B9978" s="2"/>
      <c r="C9978" s="15"/>
      <c r="D9978" s="2"/>
    </row>
    <row r="9979" spans="1:4" ht="12.75" customHeight="1" x14ac:dyDescent="0.2">
      <c r="B9979" s="11" t="s">
        <v>0</v>
      </c>
      <c r="C9979" s="17" t="s">
        <v>151</v>
      </c>
      <c r="D9979" s="2"/>
    </row>
    <row r="9980" spans="1:4" ht="12.75" customHeight="1" x14ac:dyDescent="0.2">
      <c r="B9980" s="11" t="s">
        <v>2599</v>
      </c>
      <c r="C9980" s="17" t="s">
        <v>355</v>
      </c>
      <c r="D9980" s="2"/>
    </row>
    <row r="9981" spans="1:4" ht="25.5" customHeight="1" x14ac:dyDescent="0.2">
      <c r="B9981" s="11" t="s">
        <v>2600</v>
      </c>
      <c r="C9981" s="17" t="s">
        <v>4139</v>
      </c>
      <c r="D9981" s="2"/>
    </row>
    <row r="9982" spans="1:4" ht="25.5" customHeight="1" x14ac:dyDescent="0.2">
      <c r="B9982" s="11" t="s">
        <v>2601</v>
      </c>
      <c r="C9982" s="17"/>
      <c r="D9982" s="2"/>
    </row>
    <row r="9983" spans="1:4" ht="12.75" customHeight="1" x14ac:dyDescent="0.2">
      <c r="B9983" s="11" t="s">
        <v>16</v>
      </c>
      <c r="C9983" s="17"/>
      <c r="D9983" s="2"/>
    </row>
    <row r="9984" spans="1:4" ht="12.75" customHeight="1" x14ac:dyDescent="0.2">
      <c r="B9984" s="11" t="s">
        <v>13</v>
      </c>
      <c r="C9984" s="17" t="s">
        <v>2602</v>
      </c>
      <c r="D9984" s="2"/>
    </row>
    <row r="9985" spans="1:4" ht="25.5" customHeight="1" x14ac:dyDescent="0.2">
      <c r="B9985" s="11" t="s">
        <v>2603</v>
      </c>
      <c r="C9985" s="17" t="s">
        <v>2971</v>
      </c>
      <c r="D9985" s="2"/>
    </row>
    <row r="9986" spans="1:4" ht="12.75" customHeight="1" x14ac:dyDescent="0.2">
      <c r="B9986" s="11" t="s">
        <v>2605</v>
      </c>
      <c r="C9986" s="17" t="s">
        <v>14</v>
      </c>
      <c r="D9986" s="2"/>
    </row>
    <row r="9987" spans="1:4" ht="12.75" customHeight="1" x14ac:dyDescent="0.2">
      <c r="B9987" s="11" t="s">
        <v>2606</v>
      </c>
      <c r="C9987" s="16" t="s">
        <v>19</v>
      </c>
      <c r="D9987" s="2"/>
    </row>
    <row r="9988" spans="1:4" ht="12.75" customHeight="1" x14ac:dyDescent="0.2">
      <c r="B9988" s="2"/>
      <c r="C9988" s="15"/>
      <c r="D9988" s="2"/>
    </row>
    <row r="9989" spans="1:4" ht="12.75" customHeight="1" x14ac:dyDescent="0.2">
      <c r="B9989" s="2"/>
      <c r="C9989" s="15"/>
      <c r="D9989" s="2"/>
    </row>
    <row r="9990" spans="1:4" ht="12.75" customHeight="1" x14ac:dyDescent="0.2">
      <c r="A9990" s="13" t="s">
        <v>4140</v>
      </c>
      <c r="C9990" s="12"/>
      <c r="D9990" s="2"/>
    </row>
    <row r="9991" spans="1:4" ht="12.75" customHeight="1" x14ac:dyDescent="0.2">
      <c r="A9991" s="11"/>
      <c r="B9991" s="2"/>
      <c r="C9991" s="15"/>
      <c r="D9991" s="2"/>
    </row>
    <row r="9992" spans="1:4" ht="12.75" customHeight="1" x14ac:dyDescent="0.2">
      <c r="B9992" s="11" t="s">
        <v>0</v>
      </c>
      <c r="C9992" s="17" t="s">
        <v>151</v>
      </c>
      <c r="D9992" s="2"/>
    </row>
    <row r="9993" spans="1:4" ht="12.75" customHeight="1" x14ac:dyDescent="0.2">
      <c r="B9993" s="11" t="s">
        <v>2599</v>
      </c>
      <c r="C9993" s="17" t="s">
        <v>4141</v>
      </c>
      <c r="D9993" s="2"/>
    </row>
    <row r="9994" spans="1:4" ht="25.5" customHeight="1" x14ac:dyDescent="0.2">
      <c r="B9994" s="11" t="s">
        <v>2600</v>
      </c>
      <c r="C9994" s="17" t="s">
        <v>4142</v>
      </c>
      <c r="D9994" s="2"/>
    </row>
    <row r="9995" spans="1:4" ht="25.5" customHeight="1" x14ac:dyDescent="0.2">
      <c r="B9995" s="11" t="s">
        <v>2601</v>
      </c>
      <c r="C9995" s="17"/>
      <c r="D9995" s="2"/>
    </row>
    <row r="9996" spans="1:4" ht="12.75" customHeight="1" x14ac:dyDescent="0.2">
      <c r="B9996" s="11" t="s">
        <v>16</v>
      </c>
      <c r="C9996" s="17"/>
      <c r="D9996" s="2"/>
    </row>
    <row r="9997" spans="1:4" ht="12.75" customHeight="1" x14ac:dyDescent="0.2">
      <c r="B9997" s="11" t="s">
        <v>13</v>
      </c>
      <c r="C9997" s="17" t="s">
        <v>2644</v>
      </c>
      <c r="D9997" s="2"/>
    </row>
    <row r="9998" spans="1:4" ht="25.5" customHeight="1" x14ac:dyDescent="0.2">
      <c r="B9998" s="11" t="s">
        <v>2603</v>
      </c>
      <c r="C9998" s="17" t="s">
        <v>2971</v>
      </c>
      <c r="D9998" s="2"/>
    </row>
    <row r="9999" spans="1:4" ht="12.75" customHeight="1" x14ac:dyDescent="0.2">
      <c r="B9999" s="11" t="s">
        <v>2605</v>
      </c>
      <c r="C9999" s="17" t="s">
        <v>14</v>
      </c>
      <c r="D9999" s="2"/>
    </row>
    <row r="10000" spans="1:4" ht="12.75" customHeight="1" x14ac:dyDescent="0.2">
      <c r="B10000" s="11" t="s">
        <v>2606</v>
      </c>
      <c r="C10000" s="16" t="s">
        <v>19</v>
      </c>
      <c r="D10000" s="2"/>
    </row>
    <row r="10001" spans="1:4" ht="12.75" customHeight="1" x14ac:dyDescent="0.2">
      <c r="B10001" s="2"/>
      <c r="C10001" s="15"/>
      <c r="D10001" s="2"/>
    </row>
    <row r="10002" spans="1:4" ht="12.75" customHeight="1" x14ac:dyDescent="0.2">
      <c r="B10002" s="2"/>
      <c r="C10002" s="15"/>
      <c r="D10002" s="2"/>
    </row>
    <row r="10003" spans="1:4" ht="12.75" customHeight="1" x14ac:dyDescent="0.2">
      <c r="A10003" s="13" t="s">
        <v>4143</v>
      </c>
      <c r="C10003" s="12"/>
      <c r="D10003" s="2"/>
    </row>
    <row r="10004" spans="1:4" ht="12.75" customHeight="1" x14ac:dyDescent="0.2">
      <c r="A10004" s="11"/>
      <c r="B10004" s="2"/>
      <c r="C10004" s="15"/>
      <c r="D10004" s="2"/>
    </row>
    <row r="10005" spans="1:4" ht="12.75" customHeight="1" x14ac:dyDescent="0.2">
      <c r="B10005" s="11" t="s">
        <v>0</v>
      </c>
      <c r="C10005" s="17" t="s">
        <v>151</v>
      </c>
      <c r="D10005" s="2"/>
    </row>
    <row r="10006" spans="1:4" ht="12.75" customHeight="1" x14ac:dyDescent="0.2">
      <c r="B10006" s="11" t="s">
        <v>2599</v>
      </c>
      <c r="C10006" s="17" t="s">
        <v>4144</v>
      </c>
      <c r="D10006" s="2"/>
    </row>
    <row r="10007" spans="1:4" ht="25.5" customHeight="1" x14ac:dyDescent="0.2">
      <c r="B10007" s="11" t="s">
        <v>2600</v>
      </c>
      <c r="C10007" s="17" t="s">
        <v>4145</v>
      </c>
      <c r="D10007" s="2"/>
    </row>
    <row r="10008" spans="1:4" ht="25.5" customHeight="1" x14ac:dyDescent="0.2">
      <c r="B10008" s="11" t="s">
        <v>2601</v>
      </c>
      <c r="C10008" s="17"/>
      <c r="D10008" s="2"/>
    </row>
    <row r="10009" spans="1:4" ht="12.75" customHeight="1" x14ac:dyDescent="0.2">
      <c r="B10009" s="11" t="s">
        <v>16</v>
      </c>
      <c r="C10009" s="17"/>
      <c r="D10009" s="2"/>
    </row>
    <row r="10010" spans="1:4" ht="12.75" customHeight="1" x14ac:dyDescent="0.2">
      <c r="B10010" s="11" t="s">
        <v>13</v>
      </c>
      <c r="C10010" s="17" t="s">
        <v>2602</v>
      </c>
      <c r="D10010" s="2"/>
    </row>
    <row r="10011" spans="1:4" ht="25.5" customHeight="1" x14ac:dyDescent="0.2">
      <c r="B10011" s="11" t="s">
        <v>2603</v>
      </c>
      <c r="C10011" s="17" t="s">
        <v>2971</v>
      </c>
      <c r="D10011" s="2"/>
    </row>
    <row r="10012" spans="1:4" ht="12.75" customHeight="1" x14ac:dyDescent="0.2">
      <c r="B10012" s="11" t="s">
        <v>2605</v>
      </c>
      <c r="C10012" s="17" t="s">
        <v>14</v>
      </c>
      <c r="D10012" s="2"/>
    </row>
    <row r="10013" spans="1:4" ht="12.75" customHeight="1" x14ac:dyDescent="0.2">
      <c r="B10013" s="11" t="s">
        <v>2606</v>
      </c>
      <c r="C10013" s="16" t="s">
        <v>19</v>
      </c>
      <c r="D10013" s="2"/>
    </row>
    <row r="10014" spans="1:4" ht="12.75" customHeight="1" x14ac:dyDescent="0.2">
      <c r="B10014" s="2"/>
      <c r="C10014" s="15"/>
      <c r="D10014" s="2"/>
    </row>
    <row r="10015" spans="1:4" ht="12.75" customHeight="1" x14ac:dyDescent="0.2">
      <c r="B10015" s="2"/>
      <c r="C10015" s="15"/>
      <c r="D10015" s="2"/>
    </row>
    <row r="10016" spans="1:4" ht="12.75" customHeight="1" x14ac:dyDescent="0.2">
      <c r="A10016" s="13" t="s">
        <v>4146</v>
      </c>
      <c r="C10016" s="12"/>
      <c r="D10016" s="2"/>
    </row>
    <row r="10017" spans="1:4" ht="12.75" customHeight="1" x14ac:dyDescent="0.2">
      <c r="A10017" s="11"/>
      <c r="B10017" s="2"/>
      <c r="C10017" s="15"/>
      <c r="D10017" s="2"/>
    </row>
    <row r="10018" spans="1:4" ht="12.75" customHeight="1" x14ac:dyDescent="0.2">
      <c r="B10018" s="11" t="s">
        <v>0</v>
      </c>
      <c r="C10018" s="17" t="s">
        <v>151</v>
      </c>
      <c r="D10018" s="2"/>
    </row>
    <row r="10019" spans="1:4" ht="12.75" customHeight="1" x14ac:dyDescent="0.2">
      <c r="B10019" s="11" t="s">
        <v>2599</v>
      </c>
      <c r="C10019" s="17" t="s">
        <v>4147</v>
      </c>
      <c r="D10019" s="2"/>
    </row>
    <row r="10020" spans="1:4" ht="25.5" customHeight="1" x14ac:dyDescent="0.2">
      <c r="B10020" s="11" t="s">
        <v>2600</v>
      </c>
      <c r="C10020" s="17" t="s">
        <v>4148</v>
      </c>
      <c r="D10020" s="2"/>
    </row>
    <row r="10021" spans="1:4" ht="25.5" customHeight="1" x14ac:dyDescent="0.2">
      <c r="B10021" s="11" t="s">
        <v>2601</v>
      </c>
      <c r="C10021" s="17"/>
      <c r="D10021" s="2"/>
    </row>
    <row r="10022" spans="1:4" ht="12.75" customHeight="1" x14ac:dyDescent="0.2">
      <c r="B10022" s="11" t="s">
        <v>16</v>
      </c>
      <c r="C10022" s="17"/>
      <c r="D10022" s="2"/>
    </row>
    <row r="10023" spans="1:4" ht="12.75" customHeight="1" x14ac:dyDescent="0.2">
      <c r="B10023" s="11" t="s">
        <v>13</v>
      </c>
      <c r="C10023" s="17" t="s">
        <v>2644</v>
      </c>
      <c r="D10023" s="2"/>
    </row>
    <row r="10024" spans="1:4" ht="25.5" customHeight="1" x14ac:dyDescent="0.2">
      <c r="B10024" s="11" t="s">
        <v>2603</v>
      </c>
      <c r="C10024" s="17" t="s">
        <v>2971</v>
      </c>
      <c r="D10024" s="2"/>
    </row>
    <row r="10025" spans="1:4" ht="12.75" customHeight="1" x14ac:dyDescent="0.2">
      <c r="B10025" s="11" t="s">
        <v>2605</v>
      </c>
      <c r="C10025" s="17" t="s">
        <v>14</v>
      </c>
      <c r="D10025" s="2"/>
    </row>
    <row r="10026" spans="1:4" ht="12.75" customHeight="1" x14ac:dyDescent="0.2">
      <c r="B10026" s="11" t="s">
        <v>2606</v>
      </c>
      <c r="C10026" s="16" t="s">
        <v>19</v>
      </c>
      <c r="D10026" s="2"/>
    </row>
    <row r="10027" spans="1:4" ht="12.75" customHeight="1" x14ac:dyDescent="0.2">
      <c r="B10027" s="2"/>
      <c r="C10027" s="15"/>
      <c r="D10027" s="2"/>
    </row>
    <row r="10028" spans="1:4" ht="12.75" customHeight="1" x14ac:dyDescent="0.2">
      <c r="B10028" s="2"/>
      <c r="C10028" s="15"/>
      <c r="D10028" s="2"/>
    </row>
    <row r="10029" spans="1:4" ht="12.75" customHeight="1" x14ac:dyDescent="0.2">
      <c r="A10029" s="13" t="s">
        <v>4149</v>
      </c>
      <c r="C10029" s="12"/>
    </row>
    <row r="10030" spans="1:4" ht="12.75" customHeight="1" x14ac:dyDescent="0.2">
      <c r="A10030" s="11"/>
      <c r="B10030" s="2"/>
      <c r="C10030" s="15"/>
      <c r="D10030" s="2"/>
    </row>
    <row r="10031" spans="1:4" ht="12.75" customHeight="1" x14ac:dyDescent="0.2">
      <c r="B10031" s="11" t="s">
        <v>0</v>
      </c>
      <c r="C10031" s="11" t="s">
        <v>151</v>
      </c>
    </row>
    <row r="10032" spans="1:4" ht="12.75" customHeight="1" x14ac:dyDescent="0.2">
      <c r="B10032" s="11" t="s">
        <v>2599</v>
      </c>
      <c r="C10032" s="11" t="s">
        <v>3437</v>
      </c>
    </row>
    <row r="10033" spans="1:4" ht="25.5" customHeight="1" x14ac:dyDescent="0.2">
      <c r="B10033" s="11" t="s">
        <v>2600</v>
      </c>
      <c r="C10033" s="11" t="s">
        <v>4150</v>
      </c>
    </row>
    <row r="10034" spans="1:4" ht="25.5" customHeight="1" x14ac:dyDescent="0.2">
      <c r="B10034" s="11" t="s">
        <v>2601</v>
      </c>
      <c r="C10034" s="11"/>
    </row>
    <row r="10035" spans="1:4" ht="12.75" customHeight="1" x14ac:dyDescent="0.2">
      <c r="B10035" s="11" t="s">
        <v>16</v>
      </c>
      <c r="C10035" s="11"/>
    </row>
    <row r="10036" spans="1:4" ht="12.75" customHeight="1" x14ac:dyDescent="0.2">
      <c r="B10036" s="11" t="s">
        <v>13</v>
      </c>
      <c r="C10036" s="11" t="s">
        <v>2602</v>
      </c>
    </row>
    <row r="10037" spans="1:4" ht="12.75" customHeight="1" x14ac:dyDescent="0.2">
      <c r="B10037" s="11" t="s">
        <v>2603</v>
      </c>
      <c r="C10037" s="11" t="s">
        <v>2604</v>
      </c>
    </row>
    <row r="10038" spans="1:4" ht="12.75" customHeight="1" x14ac:dyDescent="0.2">
      <c r="B10038" s="11" t="s">
        <v>2605</v>
      </c>
      <c r="C10038" s="11" t="s">
        <v>24</v>
      </c>
    </row>
    <row r="10039" spans="1:4" ht="12.75" customHeight="1" x14ac:dyDescent="0.2">
      <c r="B10039" s="11" t="s">
        <v>2606</v>
      </c>
      <c r="C10039" s="16" t="s">
        <v>132</v>
      </c>
      <c r="D10039" s="6" t="str">
        <f>HYPERLINK("javascript:void(0)","kincs")</f>
        <v>kincs</v>
      </c>
    </row>
    <row r="10040" spans="1:4" ht="12.75" customHeight="1" x14ac:dyDescent="0.2">
      <c r="B10040" s="2"/>
      <c r="C10040" s="15"/>
      <c r="D10040" s="2"/>
    </row>
    <row r="10041" spans="1:4" ht="12.75" customHeight="1" x14ac:dyDescent="0.2">
      <c r="B10041" s="2"/>
      <c r="C10041" s="15"/>
      <c r="D10041" s="2"/>
    </row>
    <row r="10042" spans="1:4" ht="12.75" customHeight="1" x14ac:dyDescent="0.2">
      <c r="A10042" s="13" t="s">
        <v>4151</v>
      </c>
      <c r="C10042" s="12"/>
    </row>
    <row r="10043" spans="1:4" ht="12.75" customHeight="1" x14ac:dyDescent="0.2">
      <c r="A10043" s="11"/>
      <c r="B10043" s="2"/>
      <c r="C10043" s="15"/>
      <c r="D10043" s="2"/>
    </row>
    <row r="10044" spans="1:4" ht="12.75" customHeight="1" x14ac:dyDescent="0.2">
      <c r="B10044" s="11" t="s">
        <v>0</v>
      </c>
      <c r="C10044" s="11" t="s">
        <v>151</v>
      </c>
    </row>
    <row r="10045" spans="1:4" ht="12.75" customHeight="1" x14ac:dyDescent="0.2">
      <c r="B10045" s="11" t="s">
        <v>2599</v>
      </c>
      <c r="C10045" s="11" t="s">
        <v>4136</v>
      </c>
    </row>
    <row r="10046" spans="1:4" ht="25.5" customHeight="1" x14ac:dyDescent="0.2">
      <c r="B10046" s="11" t="s">
        <v>2600</v>
      </c>
      <c r="C10046" s="11" t="s">
        <v>4152</v>
      </c>
    </row>
    <row r="10047" spans="1:4" ht="25.5" customHeight="1" x14ac:dyDescent="0.2">
      <c r="B10047" s="11" t="s">
        <v>2601</v>
      </c>
      <c r="C10047" s="11"/>
    </row>
    <row r="10048" spans="1:4" ht="12.75" customHeight="1" x14ac:dyDescent="0.2">
      <c r="B10048" s="11" t="s">
        <v>16</v>
      </c>
      <c r="C10048" s="11"/>
    </row>
    <row r="10049" spans="1:4" ht="12.75" customHeight="1" x14ac:dyDescent="0.2">
      <c r="B10049" s="11" t="s">
        <v>13</v>
      </c>
      <c r="C10049" s="11" t="s">
        <v>2602</v>
      </c>
    </row>
    <row r="10050" spans="1:4" ht="12.75" customHeight="1" x14ac:dyDescent="0.2">
      <c r="B10050" s="11" t="s">
        <v>2603</v>
      </c>
      <c r="C10050" s="11" t="s">
        <v>2604</v>
      </c>
    </row>
    <row r="10051" spans="1:4" ht="12.75" customHeight="1" x14ac:dyDescent="0.2">
      <c r="B10051" s="11" t="s">
        <v>2605</v>
      </c>
      <c r="C10051" s="11" t="s">
        <v>24</v>
      </c>
    </row>
    <row r="10052" spans="1:4" ht="12.75" customHeight="1" x14ac:dyDescent="0.2">
      <c r="B10052" s="11" t="s">
        <v>2606</v>
      </c>
      <c r="C10052" s="16" t="s">
        <v>117</v>
      </c>
      <c r="D10052" s="6" t="str">
        <f>HYPERLINK("javascript:void(0)","kincs")</f>
        <v>kincs</v>
      </c>
    </row>
    <row r="10053" spans="1:4" ht="12.75" customHeight="1" x14ac:dyDescent="0.2">
      <c r="B10053" s="2"/>
      <c r="C10053" s="15"/>
      <c r="D10053" s="2"/>
    </row>
    <row r="10054" spans="1:4" ht="12.75" customHeight="1" x14ac:dyDescent="0.2">
      <c r="B10054" s="2"/>
      <c r="C10054" s="15"/>
      <c r="D10054" s="2"/>
    </row>
    <row r="10055" spans="1:4" ht="12.75" customHeight="1" x14ac:dyDescent="0.2">
      <c r="A10055" s="13" t="s">
        <v>4153</v>
      </c>
      <c r="C10055" s="12"/>
    </row>
    <row r="10056" spans="1:4" ht="12.75" customHeight="1" x14ac:dyDescent="0.2">
      <c r="A10056" s="11"/>
      <c r="B10056" s="2"/>
      <c r="C10056" s="15"/>
      <c r="D10056" s="2"/>
    </row>
    <row r="10057" spans="1:4" ht="12.75" customHeight="1" x14ac:dyDescent="0.2">
      <c r="B10057" s="11" t="s">
        <v>0</v>
      </c>
      <c r="C10057" s="11" t="s">
        <v>151</v>
      </c>
    </row>
    <row r="10058" spans="1:4" ht="12.75" customHeight="1" x14ac:dyDescent="0.2">
      <c r="B10058" s="11" t="s">
        <v>2599</v>
      </c>
      <c r="C10058" s="11" t="s">
        <v>4154</v>
      </c>
    </row>
    <row r="10059" spans="1:4" ht="25.5" customHeight="1" x14ac:dyDescent="0.2">
      <c r="B10059" s="11" t="s">
        <v>2600</v>
      </c>
      <c r="C10059" s="11" t="s">
        <v>4155</v>
      </c>
    </row>
    <row r="10060" spans="1:4" ht="25.5" customHeight="1" x14ac:dyDescent="0.2">
      <c r="B10060" s="11" t="s">
        <v>2601</v>
      </c>
      <c r="C10060" s="11"/>
    </row>
    <row r="10061" spans="1:4" ht="12.75" customHeight="1" x14ac:dyDescent="0.2">
      <c r="B10061" s="11" t="s">
        <v>16</v>
      </c>
      <c r="C10061" s="11"/>
    </row>
    <row r="10062" spans="1:4" ht="12.75" customHeight="1" x14ac:dyDescent="0.2">
      <c r="B10062" s="11" t="s">
        <v>13</v>
      </c>
      <c r="C10062" s="11" t="s">
        <v>2644</v>
      </c>
    </row>
    <row r="10063" spans="1:4" ht="12.75" customHeight="1" x14ac:dyDescent="0.2">
      <c r="B10063" s="11" t="s">
        <v>2603</v>
      </c>
      <c r="C10063" s="11" t="s">
        <v>2604</v>
      </c>
    </row>
    <row r="10064" spans="1:4" ht="12.75" customHeight="1" x14ac:dyDescent="0.2">
      <c r="B10064" s="11" t="s">
        <v>2605</v>
      </c>
      <c r="C10064" s="11" t="s">
        <v>24</v>
      </c>
    </row>
    <row r="10065" spans="1:4" ht="12.75" customHeight="1" x14ac:dyDescent="0.2">
      <c r="B10065" s="11" t="s">
        <v>2606</v>
      </c>
      <c r="C10065" s="16" t="s">
        <v>44</v>
      </c>
      <c r="D10065" s="6" t="str">
        <f>HYPERLINK("javascript:void(0)","trolltartó")</f>
        <v>trolltartó</v>
      </c>
    </row>
    <row r="10066" spans="1:4" ht="12.75" customHeight="1" x14ac:dyDescent="0.2">
      <c r="B10066" s="2"/>
      <c r="C10066" s="15"/>
      <c r="D10066" s="2"/>
    </row>
    <row r="10067" spans="1:4" ht="12.75" customHeight="1" x14ac:dyDescent="0.2">
      <c r="B10067" s="2"/>
      <c r="C10067" s="15"/>
      <c r="D10067" s="2"/>
    </row>
    <row r="10068" spans="1:4" ht="12.75" customHeight="1" x14ac:dyDescent="0.2">
      <c r="A10068" s="13" t="s">
        <v>4156</v>
      </c>
      <c r="C10068" s="12"/>
    </row>
    <row r="10069" spans="1:4" ht="12.75" customHeight="1" x14ac:dyDescent="0.2">
      <c r="A10069" s="11"/>
      <c r="B10069" s="2"/>
      <c r="C10069" s="15"/>
      <c r="D10069" s="2"/>
    </row>
    <row r="10070" spans="1:4" ht="12.75" customHeight="1" x14ac:dyDescent="0.2">
      <c r="B10070" s="11" t="s">
        <v>0</v>
      </c>
      <c r="C10070" s="11" t="s">
        <v>151</v>
      </c>
    </row>
    <row r="10071" spans="1:4" ht="12.75" customHeight="1" x14ac:dyDescent="0.2">
      <c r="B10071" s="11" t="s">
        <v>2599</v>
      </c>
      <c r="C10071" s="11" t="s">
        <v>3952</v>
      </c>
    </row>
    <row r="10072" spans="1:4" ht="25.5" customHeight="1" x14ac:dyDescent="0.2">
      <c r="B10072" s="11" t="s">
        <v>2600</v>
      </c>
      <c r="C10072" s="11" t="s">
        <v>4157</v>
      </c>
    </row>
    <row r="10073" spans="1:4" ht="25.5" customHeight="1" x14ac:dyDescent="0.2">
      <c r="B10073" s="11" t="s">
        <v>2601</v>
      </c>
      <c r="C10073" s="11"/>
    </row>
    <row r="10074" spans="1:4" ht="12.75" customHeight="1" x14ac:dyDescent="0.2">
      <c r="B10074" s="11" t="s">
        <v>16</v>
      </c>
      <c r="C10074" s="11"/>
    </row>
    <row r="10075" spans="1:4" ht="12.75" customHeight="1" x14ac:dyDescent="0.2">
      <c r="B10075" s="11" t="s">
        <v>13</v>
      </c>
      <c r="C10075" s="11" t="s">
        <v>2644</v>
      </c>
    </row>
    <row r="10076" spans="1:4" ht="12.75" customHeight="1" x14ac:dyDescent="0.2">
      <c r="B10076" s="11" t="s">
        <v>2603</v>
      </c>
      <c r="C10076" s="11" t="s">
        <v>2604</v>
      </c>
    </row>
    <row r="10077" spans="1:4" ht="12.75" customHeight="1" x14ac:dyDescent="0.2">
      <c r="B10077" s="11" t="s">
        <v>2605</v>
      </c>
      <c r="C10077" s="11" t="s">
        <v>24</v>
      </c>
    </row>
    <row r="10078" spans="1:4" ht="12.75" customHeight="1" x14ac:dyDescent="0.2">
      <c r="B10078" s="11" t="s">
        <v>2606</v>
      </c>
      <c r="C10078" s="16" t="s">
        <v>56</v>
      </c>
      <c r="D10078" s="6" t="str">
        <f>HYPERLINK("javascript:void(0)","rémszarv")</f>
        <v>rémszarv</v>
      </c>
    </row>
    <row r="10079" spans="1:4" ht="12.75" customHeight="1" x14ac:dyDescent="0.2">
      <c r="B10079" s="2"/>
      <c r="C10079" s="15"/>
      <c r="D10079" s="2"/>
    </row>
    <row r="10080" spans="1:4" ht="12.75" customHeight="1" x14ac:dyDescent="0.2">
      <c r="B10080" s="2"/>
      <c r="C10080" s="15"/>
      <c r="D10080" s="2"/>
    </row>
    <row r="10081" spans="1:4" ht="12.75" customHeight="1" x14ac:dyDescent="0.2">
      <c r="A10081" s="13" t="s">
        <v>4158</v>
      </c>
      <c r="C10081" s="12"/>
    </row>
    <row r="10082" spans="1:4" ht="12.75" customHeight="1" x14ac:dyDescent="0.2">
      <c r="A10082" s="11"/>
      <c r="B10082" s="2"/>
      <c r="C10082" s="15"/>
      <c r="D10082" s="2"/>
    </row>
    <row r="10083" spans="1:4" ht="12.75" customHeight="1" x14ac:dyDescent="0.2">
      <c r="B10083" s="11" t="s">
        <v>0</v>
      </c>
      <c r="C10083" s="11" t="s">
        <v>151</v>
      </c>
    </row>
    <row r="10084" spans="1:4" ht="12.75" customHeight="1" x14ac:dyDescent="0.2">
      <c r="B10084" s="11" t="s">
        <v>2599</v>
      </c>
      <c r="C10084" s="11" t="s">
        <v>4159</v>
      </c>
    </row>
    <row r="10085" spans="1:4" ht="25.5" customHeight="1" x14ac:dyDescent="0.2">
      <c r="B10085" s="11" t="s">
        <v>2600</v>
      </c>
      <c r="C10085" s="11" t="s">
        <v>4160</v>
      </c>
    </row>
    <row r="10086" spans="1:4" ht="25.5" customHeight="1" x14ac:dyDescent="0.2">
      <c r="B10086" s="11" t="s">
        <v>2601</v>
      </c>
      <c r="C10086" s="11"/>
    </row>
    <row r="10087" spans="1:4" ht="12.75" customHeight="1" x14ac:dyDescent="0.2">
      <c r="B10087" s="11" t="s">
        <v>16</v>
      </c>
      <c r="C10087" s="11"/>
    </row>
    <row r="10088" spans="1:4" ht="12.75" customHeight="1" x14ac:dyDescent="0.2">
      <c r="B10088" s="11" t="s">
        <v>13</v>
      </c>
      <c r="C10088" s="11" t="s">
        <v>2602</v>
      </c>
    </row>
    <row r="10089" spans="1:4" ht="12.75" customHeight="1" x14ac:dyDescent="0.2">
      <c r="B10089" s="11" t="s">
        <v>2603</v>
      </c>
      <c r="C10089" s="11" t="s">
        <v>2604</v>
      </c>
    </row>
    <row r="10090" spans="1:4" ht="12.75" customHeight="1" x14ac:dyDescent="0.2">
      <c r="B10090" s="11" t="s">
        <v>2605</v>
      </c>
      <c r="C10090" s="11" t="s">
        <v>24</v>
      </c>
    </row>
    <row r="10091" spans="1:4" ht="12.75" customHeight="1" x14ac:dyDescent="0.2">
      <c r="B10091" s="11" t="s">
        <v>2606</v>
      </c>
      <c r="C10091" s="16" t="s">
        <v>44</v>
      </c>
      <c r="D10091" s="6" t="str">
        <f>HYPERLINK("javascript:void(0)","horog")</f>
        <v>horog</v>
      </c>
    </row>
    <row r="10092" spans="1:4" ht="12.75" customHeight="1" x14ac:dyDescent="0.2">
      <c r="B10092" s="2"/>
      <c r="C10092" s="15"/>
      <c r="D10092" s="2"/>
    </row>
    <row r="10093" spans="1:4" ht="12.75" customHeight="1" x14ac:dyDescent="0.2">
      <c r="B10093" s="2"/>
      <c r="C10093" s="15"/>
      <c r="D10093" s="2"/>
    </row>
    <row r="10094" spans="1:4" ht="12.75" customHeight="1" x14ac:dyDescent="0.2">
      <c r="A10094" s="13" t="s">
        <v>4161</v>
      </c>
      <c r="C10094" s="12"/>
    </row>
    <row r="10095" spans="1:4" ht="12.75" customHeight="1" x14ac:dyDescent="0.2">
      <c r="A10095" s="11"/>
      <c r="B10095" s="2"/>
      <c r="C10095" s="15"/>
      <c r="D10095" s="2"/>
    </row>
    <row r="10096" spans="1:4" ht="12.75" customHeight="1" x14ac:dyDescent="0.2">
      <c r="B10096" s="11" t="s">
        <v>0</v>
      </c>
      <c r="C10096" s="11" t="s">
        <v>151</v>
      </c>
    </row>
    <row r="10097" spans="1:4" ht="12.75" customHeight="1" x14ac:dyDescent="0.2">
      <c r="B10097" s="11" t="s">
        <v>2599</v>
      </c>
      <c r="C10097" s="11" t="s">
        <v>4162</v>
      </c>
    </row>
    <row r="10098" spans="1:4" ht="25.5" customHeight="1" x14ac:dyDescent="0.2">
      <c r="B10098" s="11" t="s">
        <v>2600</v>
      </c>
      <c r="C10098" s="11" t="s">
        <v>4163</v>
      </c>
    </row>
    <row r="10099" spans="1:4" ht="25.5" customHeight="1" x14ac:dyDescent="0.2">
      <c r="B10099" s="11" t="s">
        <v>2601</v>
      </c>
      <c r="C10099" s="11"/>
    </row>
    <row r="10100" spans="1:4" ht="12.75" customHeight="1" x14ac:dyDescent="0.2">
      <c r="B10100" s="11" t="s">
        <v>16</v>
      </c>
      <c r="C10100" s="11"/>
    </row>
    <row r="10101" spans="1:4" ht="12.75" customHeight="1" x14ac:dyDescent="0.2">
      <c r="B10101" s="11" t="s">
        <v>13</v>
      </c>
      <c r="C10101" s="11" t="s">
        <v>2602</v>
      </c>
    </row>
    <row r="10102" spans="1:4" ht="12.75" customHeight="1" x14ac:dyDescent="0.2">
      <c r="B10102" s="11" t="s">
        <v>2603</v>
      </c>
      <c r="C10102" s="11" t="s">
        <v>2604</v>
      </c>
    </row>
    <row r="10103" spans="1:4" ht="12.75" customHeight="1" x14ac:dyDescent="0.2">
      <c r="B10103" s="11" t="s">
        <v>2605</v>
      </c>
      <c r="C10103" s="11" t="s">
        <v>24</v>
      </c>
    </row>
    <row r="10104" spans="1:4" ht="12.75" customHeight="1" x14ac:dyDescent="0.2">
      <c r="B10104" s="11" t="s">
        <v>2606</v>
      </c>
      <c r="C10104" s="16" t="s">
        <v>244</v>
      </c>
      <c r="D10104" s="6" t="str">
        <f>HYPERLINK("javascript:void(0)","kincs")</f>
        <v>kincs</v>
      </c>
    </row>
    <row r="10105" spans="1:4" ht="12.75" customHeight="1" x14ac:dyDescent="0.2">
      <c r="B10105" s="2"/>
      <c r="C10105" s="15"/>
      <c r="D10105" s="2"/>
    </row>
    <row r="10106" spans="1:4" ht="12.75" customHeight="1" x14ac:dyDescent="0.2">
      <c r="B10106" s="2"/>
      <c r="C10106" s="15"/>
      <c r="D10106" s="2"/>
    </row>
    <row r="10107" spans="1:4" ht="12.75" customHeight="1" x14ac:dyDescent="0.2">
      <c r="A10107" s="13" t="s">
        <v>4164</v>
      </c>
      <c r="C10107" s="12"/>
    </row>
    <row r="10108" spans="1:4" ht="12.75" customHeight="1" x14ac:dyDescent="0.2">
      <c r="A10108" s="11"/>
      <c r="B10108" s="2"/>
      <c r="C10108" s="15"/>
      <c r="D10108" s="2"/>
    </row>
    <row r="10109" spans="1:4" ht="12.75" customHeight="1" x14ac:dyDescent="0.2">
      <c r="B10109" s="11" t="s">
        <v>0</v>
      </c>
      <c r="C10109" s="11" t="s">
        <v>151</v>
      </c>
    </row>
    <row r="10110" spans="1:4" ht="12.75" customHeight="1" x14ac:dyDescent="0.2">
      <c r="B10110" s="11" t="s">
        <v>2599</v>
      </c>
      <c r="C10110" s="11" t="s">
        <v>3086</v>
      </c>
    </row>
    <row r="10111" spans="1:4" ht="25.5" customHeight="1" x14ac:dyDescent="0.2">
      <c r="B10111" s="11" t="s">
        <v>2600</v>
      </c>
      <c r="C10111" s="11" t="s">
        <v>4165</v>
      </c>
    </row>
    <row r="10112" spans="1:4" ht="25.5" customHeight="1" x14ac:dyDescent="0.2">
      <c r="B10112" s="11" t="s">
        <v>2601</v>
      </c>
      <c r="C10112" s="11"/>
    </row>
    <row r="10113" spans="1:4" ht="12.75" customHeight="1" x14ac:dyDescent="0.2">
      <c r="B10113" s="11" t="s">
        <v>16</v>
      </c>
      <c r="C10113" s="11"/>
    </row>
    <row r="10114" spans="1:4" ht="12.75" customHeight="1" x14ac:dyDescent="0.2">
      <c r="B10114" s="11" t="s">
        <v>13</v>
      </c>
      <c r="C10114" s="11" t="s">
        <v>2644</v>
      </c>
    </row>
    <row r="10115" spans="1:4" ht="12.75" customHeight="1" x14ac:dyDescent="0.2">
      <c r="B10115" s="11" t="s">
        <v>2603</v>
      </c>
      <c r="C10115" s="11" t="s">
        <v>2604</v>
      </c>
    </row>
    <row r="10116" spans="1:4" ht="12.75" customHeight="1" x14ac:dyDescent="0.2">
      <c r="B10116" s="11" t="s">
        <v>2605</v>
      </c>
      <c r="C10116" s="11" t="s">
        <v>24</v>
      </c>
    </row>
    <row r="10117" spans="1:4" ht="12.75" customHeight="1" x14ac:dyDescent="0.2">
      <c r="B10117" s="11" t="s">
        <v>2606</v>
      </c>
      <c r="C10117" s="16" t="s">
        <v>44</v>
      </c>
      <c r="D10117" s="6" t="str">
        <f>HYPERLINK("javascript:void(0)","varázskulcs")</f>
        <v>varázskulcs</v>
      </c>
    </row>
    <row r="10118" spans="1:4" ht="12.75" customHeight="1" x14ac:dyDescent="0.2">
      <c r="B10118" s="2"/>
      <c r="C10118" s="15"/>
      <c r="D10118" s="2"/>
    </row>
    <row r="10119" spans="1:4" ht="12.75" customHeight="1" x14ac:dyDescent="0.2">
      <c r="B10119" s="2"/>
      <c r="C10119" s="15"/>
      <c r="D10119" s="2"/>
    </row>
    <row r="10120" spans="1:4" ht="12.75" customHeight="1" x14ac:dyDescent="0.2">
      <c r="A10120" s="13" t="s">
        <v>4166</v>
      </c>
      <c r="C10120" s="12"/>
    </row>
    <row r="10121" spans="1:4" ht="12.75" customHeight="1" x14ac:dyDescent="0.2">
      <c r="A10121" s="11"/>
      <c r="B10121" s="2"/>
      <c r="C10121" s="15"/>
      <c r="D10121" s="2"/>
    </row>
    <row r="10122" spans="1:4" ht="12.75" customHeight="1" x14ac:dyDescent="0.2">
      <c r="B10122" s="11" t="s">
        <v>0</v>
      </c>
      <c r="C10122" s="11" t="s">
        <v>151</v>
      </c>
    </row>
    <row r="10123" spans="1:4" ht="12.75" customHeight="1" x14ac:dyDescent="0.2">
      <c r="B10123" s="11" t="s">
        <v>2599</v>
      </c>
      <c r="C10123" s="11" t="s">
        <v>4167</v>
      </c>
    </row>
    <row r="10124" spans="1:4" ht="25.5" customHeight="1" x14ac:dyDescent="0.2">
      <c r="B10124" s="11" t="s">
        <v>2600</v>
      </c>
      <c r="C10124" s="11" t="s">
        <v>4168</v>
      </c>
    </row>
    <row r="10125" spans="1:4" ht="25.5" customHeight="1" x14ac:dyDescent="0.2">
      <c r="B10125" s="11" t="s">
        <v>2601</v>
      </c>
      <c r="C10125" s="11"/>
    </row>
    <row r="10126" spans="1:4" ht="12.75" customHeight="1" x14ac:dyDescent="0.2">
      <c r="B10126" s="11" t="s">
        <v>16</v>
      </c>
      <c r="C10126" s="11"/>
    </row>
    <row r="10127" spans="1:4" ht="12.75" customHeight="1" x14ac:dyDescent="0.2">
      <c r="B10127" s="11" t="s">
        <v>13</v>
      </c>
      <c r="C10127" s="11" t="s">
        <v>2644</v>
      </c>
    </row>
    <row r="10128" spans="1:4" ht="12.75" customHeight="1" x14ac:dyDescent="0.2">
      <c r="B10128" s="11" t="s">
        <v>2603</v>
      </c>
      <c r="C10128" s="11" t="s">
        <v>2604</v>
      </c>
    </row>
    <row r="10129" spans="1:4" ht="12.75" customHeight="1" x14ac:dyDescent="0.2">
      <c r="B10129" s="11" t="s">
        <v>2605</v>
      </c>
      <c r="C10129" s="11" t="s">
        <v>24</v>
      </c>
    </row>
    <row r="10130" spans="1:4" ht="12.75" customHeight="1" x14ac:dyDescent="0.2">
      <c r="B10130" s="11" t="s">
        <v>2606</v>
      </c>
      <c r="C10130" s="16" t="s">
        <v>44</v>
      </c>
      <c r="D10130" s="6" t="str">
        <f>HYPERLINK("javascript:void(0)","vérrög")</f>
        <v>vérrög</v>
      </c>
    </row>
    <row r="10131" spans="1:4" ht="12.75" customHeight="1" x14ac:dyDescent="0.2">
      <c r="B10131" s="2"/>
      <c r="C10131" s="15"/>
      <c r="D10131" s="2"/>
    </row>
    <row r="10132" spans="1:4" ht="12.75" customHeight="1" x14ac:dyDescent="0.2">
      <c r="B10132" s="2"/>
      <c r="C10132" s="15"/>
      <c r="D10132" s="2"/>
    </row>
    <row r="10133" spans="1:4" ht="12.75" customHeight="1" x14ac:dyDescent="0.2">
      <c r="A10133" s="13" t="s">
        <v>4107</v>
      </c>
      <c r="C10133" s="12"/>
      <c r="D10133" s="2"/>
    </row>
    <row r="10134" spans="1:4" ht="12.75" customHeight="1" x14ac:dyDescent="0.2">
      <c r="A10134" s="11"/>
      <c r="B10134" s="2"/>
      <c r="C10134" s="15"/>
      <c r="D10134" s="2"/>
    </row>
    <row r="10135" spans="1:4" ht="12.75" customHeight="1" x14ac:dyDescent="0.2">
      <c r="B10135" s="11" t="s">
        <v>0</v>
      </c>
      <c r="C10135" s="17" t="s">
        <v>151</v>
      </c>
      <c r="D10135" s="2"/>
    </row>
    <row r="10136" spans="1:4" ht="12.75" customHeight="1" x14ac:dyDescent="0.2">
      <c r="B10136" s="11" t="s">
        <v>2599</v>
      </c>
      <c r="C10136" s="17" t="s">
        <v>4108</v>
      </c>
      <c r="D10136" s="2"/>
    </row>
    <row r="10137" spans="1:4" ht="25.5" customHeight="1" x14ac:dyDescent="0.2">
      <c r="B10137" s="11" t="s">
        <v>2600</v>
      </c>
      <c r="C10137" s="17" t="s">
        <v>4169</v>
      </c>
      <c r="D10137" s="2"/>
    </row>
    <row r="10138" spans="1:4" ht="25.5" customHeight="1" x14ac:dyDescent="0.2">
      <c r="B10138" s="11" t="s">
        <v>2601</v>
      </c>
      <c r="C10138" s="17"/>
      <c r="D10138" s="2"/>
    </row>
    <row r="10139" spans="1:4" ht="12.75" customHeight="1" x14ac:dyDescent="0.2">
      <c r="B10139" s="11" t="s">
        <v>16</v>
      </c>
      <c r="C10139" s="17"/>
      <c r="D10139" s="2"/>
    </row>
    <row r="10140" spans="1:4" ht="12.75" customHeight="1" x14ac:dyDescent="0.2">
      <c r="B10140" s="11" t="s">
        <v>13</v>
      </c>
      <c r="C10140" s="17" t="s">
        <v>2602</v>
      </c>
      <c r="D10140" s="2"/>
    </row>
    <row r="10141" spans="1:4" ht="25.5" customHeight="1" x14ac:dyDescent="0.2">
      <c r="B10141" s="11" t="s">
        <v>2603</v>
      </c>
      <c r="C10141" s="17" t="s">
        <v>2971</v>
      </c>
      <c r="D10141" s="2"/>
    </row>
    <row r="10142" spans="1:4" ht="12.75" customHeight="1" x14ac:dyDescent="0.2">
      <c r="B10142" s="11" t="s">
        <v>2605</v>
      </c>
      <c r="C10142" s="17" t="s">
        <v>14</v>
      </c>
      <c r="D10142" s="2"/>
    </row>
    <row r="10143" spans="1:4" ht="12.75" customHeight="1" x14ac:dyDescent="0.2">
      <c r="B10143" s="11" t="s">
        <v>2606</v>
      </c>
      <c r="C10143" s="16" t="s">
        <v>19</v>
      </c>
      <c r="D10143" s="2"/>
    </row>
    <row r="10144" spans="1:4" ht="12.75" customHeight="1" x14ac:dyDescent="0.2">
      <c r="B10144" s="2"/>
      <c r="C10144" s="15"/>
      <c r="D10144" s="2"/>
    </row>
    <row r="10145" spans="1:4" ht="12.75" customHeight="1" x14ac:dyDescent="0.2">
      <c r="B10145" s="2"/>
      <c r="C10145" s="15"/>
      <c r="D10145" s="2"/>
    </row>
    <row r="10146" spans="1:4" ht="12.75" customHeight="1" x14ac:dyDescent="0.2">
      <c r="A10146" s="13" t="s">
        <v>4138</v>
      </c>
      <c r="C10146" s="12"/>
      <c r="D10146" s="2"/>
    </row>
    <row r="10147" spans="1:4" ht="12.75" customHeight="1" x14ac:dyDescent="0.2">
      <c r="A10147" s="11"/>
      <c r="B10147" s="2"/>
      <c r="C10147" s="15"/>
      <c r="D10147" s="2"/>
    </row>
    <row r="10148" spans="1:4" ht="12.75" customHeight="1" x14ac:dyDescent="0.2">
      <c r="B10148" s="11" t="s">
        <v>0</v>
      </c>
      <c r="C10148" s="17" t="s">
        <v>219</v>
      </c>
      <c r="D10148" s="2"/>
    </row>
    <row r="10149" spans="1:4" ht="12.75" customHeight="1" x14ac:dyDescent="0.2">
      <c r="B10149" s="11" t="s">
        <v>2599</v>
      </c>
      <c r="C10149" s="17" t="s">
        <v>355</v>
      </c>
      <c r="D10149" s="2"/>
    </row>
    <row r="10150" spans="1:4" ht="25.5" customHeight="1" x14ac:dyDescent="0.2">
      <c r="B10150" s="11" t="s">
        <v>2600</v>
      </c>
      <c r="C10150" s="17" t="s">
        <v>4170</v>
      </c>
      <c r="D10150" s="2"/>
    </row>
    <row r="10151" spans="1:4" ht="25.5" customHeight="1" x14ac:dyDescent="0.2">
      <c r="B10151" s="11" t="s">
        <v>2601</v>
      </c>
      <c r="C10151" s="17"/>
      <c r="D10151" s="2"/>
    </row>
    <row r="10152" spans="1:4" ht="12.75" customHeight="1" x14ac:dyDescent="0.2">
      <c r="B10152" s="11" t="s">
        <v>16</v>
      </c>
      <c r="C10152" s="17"/>
      <c r="D10152" s="2"/>
    </row>
    <row r="10153" spans="1:4" ht="12.75" customHeight="1" x14ac:dyDescent="0.2">
      <c r="B10153" s="11" t="s">
        <v>13</v>
      </c>
      <c r="C10153" s="17" t="s">
        <v>2602</v>
      </c>
      <c r="D10153" s="2"/>
    </row>
    <row r="10154" spans="1:4" ht="25.5" customHeight="1" x14ac:dyDescent="0.2">
      <c r="B10154" s="11" t="s">
        <v>2603</v>
      </c>
      <c r="C10154" s="17" t="s">
        <v>2971</v>
      </c>
      <c r="D10154" s="2"/>
    </row>
    <row r="10155" spans="1:4" ht="12.75" customHeight="1" x14ac:dyDescent="0.2">
      <c r="B10155" s="11" t="s">
        <v>2605</v>
      </c>
      <c r="C10155" s="17" t="s">
        <v>14</v>
      </c>
      <c r="D10155" s="2"/>
    </row>
    <row r="10156" spans="1:4" ht="12.75" customHeight="1" x14ac:dyDescent="0.2">
      <c r="B10156" s="11" t="s">
        <v>2606</v>
      </c>
      <c r="C10156" s="16" t="s">
        <v>19</v>
      </c>
      <c r="D10156" s="2"/>
    </row>
    <row r="10157" spans="1:4" ht="12.75" customHeight="1" x14ac:dyDescent="0.2">
      <c r="B10157" s="2"/>
      <c r="C10157" s="15"/>
      <c r="D10157" s="2"/>
    </row>
    <row r="10158" spans="1:4" ht="12.75" customHeight="1" x14ac:dyDescent="0.2">
      <c r="B10158" s="2"/>
      <c r="C10158" s="15"/>
      <c r="D10158" s="2"/>
    </row>
    <row r="10159" spans="1:4" ht="12.75" customHeight="1" x14ac:dyDescent="0.2">
      <c r="A10159" s="13" t="s">
        <v>4140</v>
      </c>
      <c r="C10159" s="12"/>
      <c r="D10159" s="2"/>
    </row>
    <row r="10160" spans="1:4" ht="12.75" customHeight="1" x14ac:dyDescent="0.2">
      <c r="A10160" s="11"/>
      <c r="B10160" s="2"/>
      <c r="C10160" s="15"/>
      <c r="D10160" s="2"/>
    </row>
    <row r="10161" spans="1:4" ht="12.75" customHeight="1" x14ac:dyDescent="0.2">
      <c r="B10161" s="11" t="s">
        <v>0</v>
      </c>
      <c r="C10161" s="17" t="s">
        <v>219</v>
      </c>
      <c r="D10161" s="2"/>
    </row>
    <row r="10162" spans="1:4" ht="12.75" customHeight="1" x14ac:dyDescent="0.2">
      <c r="B10162" s="11" t="s">
        <v>2599</v>
      </c>
      <c r="C10162" s="17" t="s">
        <v>4141</v>
      </c>
      <c r="D10162" s="2"/>
    </row>
    <row r="10163" spans="1:4" ht="25.5" customHeight="1" x14ac:dyDescent="0.2">
      <c r="B10163" s="11" t="s">
        <v>2600</v>
      </c>
      <c r="C10163" s="17" t="s">
        <v>4171</v>
      </c>
      <c r="D10163" s="2"/>
    </row>
    <row r="10164" spans="1:4" ht="25.5" customHeight="1" x14ac:dyDescent="0.2">
      <c r="B10164" s="11" t="s">
        <v>2601</v>
      </c>
      <c r="C10164" s="17"/>
      <c r="D10164" s="2"/>
    </row>
    <row r="10165" spans="1:4" ht="12.75" customHeight="1" x14ac:dyDescent="0.2">
      <c r="B10165" s="11" t="s">
        <v>16</v>
      </c>
      <c r="C10165" s="17"/>
      <c r="D10165" s="2"/>
    </row>
    <row r="10166" spans="1:4" ht="12.75" customHeight="1" x14ac:dyDescent="0.2">
      <c r="B10166" s="11" t="s">
        <v>13</v>
      </c>
      <c r="C10166" s="17" t="s">
        <v>2644</v>
      </c>
      <c r="D10166" s="2"/>
    </row>
    <row r="10167" spans="1:4" ht="25.5" customHeight="1" x14ac:dyDescent="0.2">
      <c r="B10167" s="11" t="s">
        <v>2603</v>
      </c>
      <c r="C10167" s="17" t="s">
        <v>2971</v>
      </c>
      <c r="D10167" s="2"/>
    </row>
    <row r="10168" spans="1:4" ht="12.75" customHeight="1" x14ac:dyDescent="0.2">
      <c r="B10168" s="11" t="s">
        <v>2605</v>
      </c>
      <c r="C10168" s="17" t="s">
        <v>14</v>
      </c>
      <c r="D10168" s="2"/>
    </row>
    <row r="10169" spans="1:4" ht="12.75" customHeight="1" x14ac:dyDescent="0.2">
      <c r="B10169" s="11" t="s">
        <v>2606</v>
      </c>
      <c r="C10169" s="16" t="s">
        <v>19</v>
      </c>
      <c r="D10169" s="2"/>
    </row>
    <row r="10170" spans="1:4" ht="12.75" customHeight="1" x14ac:dyDescent="0.2">
      <c r="B10170" s="2"/>
      <c r="C10170" s="15"/>
      <c r="D10170" s="2"/>
    </row>
    <row r="10171" spans="1:4" ht="12.75" customHeight="1" x14ac:dyDescent="0.2">
      <c r="B10171" s="2"/>
      <c r="C10171" s="15"/>
      <c r="D10171" s="2"/>
    </row>
    <row r="10172" spans="1:4" ht="12.75" customHeight="1" x14ac:dyDescent="0.2">
      <c r="A10172" s="13" t="s">
        <v>4143</v>
      </c>
      <c r="C10172" s="12"/>
      <c r="D10172" s="2"/>
    </row>
    <row r="10173" spans="1:4" ht="12.75" customHeight="1" x14ac:dyDescent="0.2">
      <c r="A10173" s="11"/>
      <c r="B10173" s="2"/>
      <c r="C10173" s="15"/>
      <c r="D10173" s="2"/>
    </row>
    <row r="10174" spans="1:4" ht="12.75" customHeight="1" x14ac:dyDescent="0.2">
      <c r="B10174" s="11" t="s">
        <v>0</v>
      </c>
      <c r="C10174" s="17" t="s">
        <v>219</v>
      </c>
      <c r="D10174" s="2"/>
    </row>
    <row r="10175" spans="1:4" ht="12.75" customHeight="1" x14ac:dyDescent="0.2">
      <c r="B10175" s="11" t="s">
        <v>2599</v>
      </c>
      <c r="C10175" s="17" t="s">
        <v>4144</v>
      </c>
      <c r="D10175" s="2"/>
    </row>
    <row r="10176" spans="1:4" ht="25.5" customHeight="1" x14ac:dyDescent="0.2">
      <c r="B10176" s="11" t="s">
        <v>2600</v>
      </c>
      <c r="C10176" s="17" t="s">
        <v>4172</v>
      </c>
      <c r="D10176" s="2"/>
    </row>
    <row r="10177" spans="1:4" ht="25.5" customHeight="1" x14ac:dyDescent="0.2">
      <c r="B10177" s="11" t="s">
        <v>2601</v>
      </c>
      <c r="C10177" s="17"/>
      <c r="D10177" s="2"/>
    </row>
    <row r="10178" spans="1:4" ht="12.75" customHeight="1" x14ac:dyDescent="0.2">
      <c r="B10178" s="11" t="s">
        <v>16</v>
      </c>
      <c r="C10178" s="17"/>
      <c r="D10178" s="2"/>
    </row>
    <row r="10179" spans="1:4" ht="12.75" customHeight="1" x14ac:dyDescent="0.2">
      <c r="B10179" s="11" t="s">
        <v>13</v>
      </c>
      <c r="C10179" s="17" t="s">
        <v>2602</v>
      </c>
      <c r="D10179" s="2"/>
    </row>
    <row r="10180" spans="1:4" ht="25.5" customHeight="1" x14ac:dyDescent="0.2">
      <c r="B10180" s="11" t="s">
        <v>2603</v>
      </c>
      <c r="C10180" s="17" t="s">
        <v>2971</v>
      </c>
      <c r="D10180" s="2"/>
    </row>
    <row r="10181" spans="1:4" ht="12.75" customHeight="1" x14ac:dyDescent="0.2">
      <c r="B10181" s="11" t="s">
        <v>2605</v>
      </c>
      <c r="C10181" s="17" t="s">
        <v>14</v>
      </c>
      <c r="D10181" s="2"/>
    </row>
    <row r="10182" spans="1:4" ht="12.75" customHeight="1" x14ac:dyDescent="0.2">
      <c r="B10182" s="11" t="s">
        <v>2606</v>
      </c>
      <c r="C10182" s="16" t="s">
        <v>19</v>
      </c>
      <c r="D10182" s="2"/>
    </row>
    <row r="10183" spans="1:4" ht="12.75" customHeight="1" x14ac:dyDescent="0.2">
      <c r="B10183" s="2"/>
      <c r="C10183" s="15"/>
      <c r="D10183" s="2"/>
    </row>
    <row r="10184" spans="1:4" ht="12.75" customHeight="1" x14ac:dyDescent="0.2">
      <c r="B10184" s="2"/>
      <c r="C10184" s="15"/>
      <c r="D10184" s="2"/>
    </row>
    <row r="10185" spans="1:4" ht="12.75" customHeight="1" x14ac:dyDescent="0.2">
      <c r="A10185" s="13" t="s">
        <v>4146</v>
      </c>
      <c r="C10185" s="12"/>
      <c r="D10185" s="2"/>
    </row>
    <row r="10186" spans="1:4" ht="12.75" customHeight="1" x14ac:dyDescent="0.2">
      <c r="A10186" s="11"/>
      <c r="B10186" s="2"/>
      <c r="C10186" s="15"/>
      <c r="D10186" s="2"/>
    </row>
    <row r="10187" spans="1:4" ht="12.75" customHeight="1" x14ac:dyDescent="0.2">
      <c r="B10187" s="11" t="s">
        <v>0</v>
      </c>
      <c r="C10187" s="17" t="s">
        <v>219</v>
      </c>
      <c r="D10187" s="2"/>
    </row>
    <row r="10188" spans="1:4" ht="12.75" customHeight="1" x14ac:dyDescent="0.2">
      <c r="B10188" s="11" t="s">
        <v>2599</v>
      </c>
      <c r="C10188" s="17" t="s">
        <v>4147</v>
      </c>
      <c r="D10188" s="2"/>
    </row>
    <row r="10189" spans="1:4" ht="25.5" customHeight="1" x14ac:dyDescent="0.2">
      <c r="B10189" s="11" t="s">
        <v>2600</v>
      </c>
      <c r="C10189" s="17" t="s">
        <v>4173</v>
      </c>
      <c r="D10189" s="2"/>
    </row>
    <row r="10190" spans="1:4" ht="25.5" customHeight="1" x14ac:dyDescent="0.2">
      <c r="B10190" s="11" t="s">
        <v>2601</v>
      </c>
      <c r="C10190" s="17"/>
      <c r="D10190" s="2"/>
    </row>
    <row r="10191" spans="1:4" ht="12.75" customHeight="1" x14ac:dyDescent="0.2">
      <c r="B10191" s="11" t="s">
        <v>16</v>
      </c>
      <c r="C10191" s="17"/>
      <c r="D10191" s="2"/>
    </row>
    <row r="10192" spans="1:4" ht="12.75" customHeight="1" x14ac:dyDescent="0.2">
      <c r="B10192" s="11" t="s">
        <v>13</v>
      </c>
      <c r="C10192" s="17" t="s">
        <v>2644</v>
      </c>
      <c r="D10192" s="2"/>
    </row>
    <row r="10193" spans="1:4" ht="25.5" customHeight="1" x14ac:dyDescent="0.2">
      <c r="B10193" s="11" t="s">
        <v>2603</v>
      </c>
      <c r="C10193" s="17" t="s">
        <v>2971</v>
      </c>
      <c r="D10193" s="2"/>
    </row>
    <row r="10194" spans="1:4" ht="12.75" customHeight="1" x14ac:dyDescent="0.2">
      <c r="B10194" s="11" t="s">
        <v>2605</v>
      </c>
      <c r="C10194" s="17" t="s">
        <v>14</v>
      </c>
      <c r="D10194" s="2"/>
    </row>
    <row r="10195" spans="1:4" ht="12.75" customHeight="1" x14ac:dyDescent="0.2">
      <c r="B10195" s="11" t="s">
        <v>2606</v>
      </c>
      <c r="C10195" s="16" t="s">
        <v>19</v>
      </c>
      <c r="D10195" s="2"/>
    </row>
    <row r="10196" spans="1:4" ht="12.75" customHeight="1" x14ac:dyDescent="0.2">
      <c r="B10196" s="2"/>
      <c r="C10196" s="15"/>
      <c r="D10196" s="2"/>
    </row>
    <row r="10197" spans="1:4" ht="12.75" customHeight="1" x14ac:dyDescent="0.2">
      <c r="B10197" s="2"/>
      <c r="C10197" s="15"/>
      <c r="D10197" s="2"/>
    </row>
    <row r="10198" spans="1:4" ht="12.75" customHeight="1" x14ac:dyDescent="0.2">
      <c r="A10198" s="13" t="s">
        <v>4174</v>
      </c>
      <c r="C10198" s="12"/>
    </row>
    <row r="10199" spans="1:4" ht="12.75" customHeight="1" x14ac:dyDescent="0.2">
      <c r="A10199" s="11"/>
      <c r="B10199" s="2"/>
      <c r="C10199" s="15"/>
      <c r="D10199" s="2"/>
    </row>
    <row r="10200" spans="1:4" ht="12.75" customHeight="1" x14ac:dyDescent="0.2">
      <c r="B10200" s="11" t="s">
        <v>0</v>
      </c>
      <c r="C10200" s="11" t="s">
        <v>219</v>
      </c>
    </row>
    <row r="10201" spans="1:4" ht="12.75" customHeight="1" x14ac:dyDescent="0.2">
      <c r="B10201" s="11" t="s">
        <v>2599</v>
      </c>
      <c r="C10201" s="11" t="s">
        <v>2138</v>
      </c>
    </row>
    <row r="10202" spans="1:4" ht="25.5" customHeight="1" x14ac:dyDescent="0.2">
      <c r="B10202" s="11" t="s">
        <v>2600</v>
      </c>
      <c r="C10202" s="11" t="s">
        <v>4089</v>
      </c>
    </row>
    <row r="10203" spans="1:4" ht="25.5" customHeight="1" x14ac:dyDescent="0.2">
      <c r="B10203" s="11" t="s">
        <v>2601</v>
      </c>
      <c r="C10203" s="11"/>
    </row>
    <row r="10204" spans="1:4" ht="12.75" customHeight="1" x14ac:dyDescent="0.2">
      <c r="B10204" s="11" t="s">
        <v>16</v>
      </c>
      <c r="C10204" s="11"/>
    </row>
    <row r="10205" spans="1:4" ht="12.75" customHeight="1" x14ac:dyDescent="0.2">
      <c r="B10205" s="11" t="s">
        <v>13</v>
      </c>
      <c r="C10205" s="11" t="s">
        <v>2644</v>
      </c>
    </row>
    <row r="10206" spans="1:4" ht="12.75" customHeight="1" x14ac:dyDescent="0.2">
      <c r="B10206" s="11" t="s">
        <v>2603</v>
      </c>
      <c r="C10206" s="11" t="s">
        <v>2604</v>
      </c>
    </row>
    <row r="10207" spans="1:4" ht="12.75" customHeight="1" x14ac:dyDescent="0.2">
      <c r="B10207" s="11" t="s">
        <v>2605</v>
      </c>
      <c r="C10207" s="11" t="s">
        <v>24</v>
      </c>
    </row>
    <row r="10208" spans="1:4" ht="12.75" customHeight="1" x14ac:dyDescent="0.2">
      <c r="B10208" s="11" t="s">
        <v>2606</v>
      </c>
      <c r="C10208" s="16" t="s">
        <v>44</v>
      </c>
      <c r="D10208" s="6" t="str">
        <f>HYPERLINK("javascript:void(0)","trolltartó")</f>
        <v>trolltartó</v>
      </c>
    </row>
    <row r="10209" spans="1:4" ht="12.75" customHeight="1" x14ac:dyDescent="0.2">
      <c r="B10209" s="2"/>
      <c r="C10209" s="15"/>
      <c r="D10209" s="2"/>
    </row>
    <row r="10210" spans="1:4" ht="12.75" customHeight="1" x14ac:dyDescent="0.2">
      <c r="B10210" s="2"/>
      <c r="C10210" s="15"/>
      <c r="D10210" s="2"/>
    </row>
    <row r="10211" spans="1:4" ht="12.75" customHeight="1" x14ac:dyDescent="0.2">
      <c r="A10211" s="13" t="s">
        <v>4175</v>
      </c>
      <c r="C10211" s="12"/>
    </row>
    <row r="10212" spans="1:4" ht="12.75" customHeight="1" x14ac:dyDescent="0.2">
      <c r="A10212" s="11"/>
      <c r="B10212" s="2"/>
      <c r="C10212" s="15"/>
      <c r="D10212" s="2"/>
    </row>
    <row r="10213" spans="1:4" ht="12.75" customHeight="1" x14ac:dyDescent="0.2">
      <c r="B10213" s="11" t="s">
        <v>0</v>
      </c>
      <c r="C10213" s="11" t="s">
        <v>219</v>
      </c>
    </row>
    <row r="10214" spans="1:4" ht="12.75" customHeight="1" x14ac:dyDescent="0.2">
      <c r="B10214" s="11" t="s">
        <v>2599</v>
      </c>
      <c r="C10214" s="11" t="s">
        <v>4176</v>
      </c>
    </row>
    <row r="10215" spans="1:4" ht="25.5" customHeight="1" x14ac:dyDescent="0.2">
      <c r="B10215" s="11" t="s">
        <v>2600</v>
      </c>
      <c r="C10215" s="11" t="s">
        <v>4177</v>
      </c>
    </row>
    <row r="10216" spans="1:4" ht="25.5" customHeight="1" x14ac:dyDescent="0.2">
      <c r="B10216" s="11" t="s">
        <v>2601</v>
      </c>
      <c r="C10216" s="11"/>
    </row>
    <row r="10217" spans="1:4" ht="12.75" customHeight="1" x14ac:dyDescent="0.2">
      <c r="B10217" s="11" t="s">
        <v>16</v>
      </c>
      <c r="C10217" s="11"/>
    </row>
    <row r="10218" spans="1:4" ht="12.75" customHeight="1" x14ac:dyDescent="0.2">
      <c r="B10218" s="11" t="s">
        <v>13</v>
      </c>
      <c r="C10218" s="11" t="s">
        <v>2644</v>
      </c>
    </row>
    <row r="10219" spans="1:4" ht="12.75" customHeight="1" x14ac:dyDescent="0.2">
      <c r="B10219" s="11" t="s">
        <v>2603</v>
      </c>
      <c r="C10219" s="11" t="s">
        <v>2604</v>
      </c>
    </row>
    <row r="10220" spans="1:4" ht="12.75" customHeight="1" x14ac:dyDescent="0.2">
      <c r="B10220" s="11" t="s">
        <v>2605</v>
      </c>
      <c r="C10220" s="11" t="s">
        <v>24</v>
      </c>
    </row>
    <row r="10221" spans="1:4" ht="12.75" customHeight="1" x14ac:dyDescent="0.2">
      <c r="B10221" s="11" t="s">
        <v>2606</v>
      </c>
      <c r="C10221" s="16" t="s">
        <v>44</v>
      </c>
      <c r="D10221" s="6" t="str">
        <f>HYPERLINK("javascript:void(0)","mechodron")</f>
        <v>mechodron</v>
      </c>
    </row>
    <row r="10222" spans="1:4" ht="12.75" customHeight="1" x14ac:dyDescent="0.2">
      <c r="B10222" s="2"/>
      <c r="C10222" s="15"/>
      <c r="D10222" s="2"/>
    </row>
    <row r="10223" spans="1:4" ht="12.75" customHeight="1" x14ac:dyDescent="0.2">
      <c r="B10223" s="2"/>
      <c r="C10223" s="15"/>
      <c r="D10223" s="2"/>
    </row>
    <row r="10224" spans="1:4" ht="12.75" customHeight="1" x14ac:dyDescent="0.2">
      <c r="A10224" s="13" t="s">
        <v>4178</v>
      </c>
      <c r="C10224" s="12"/>
    </row>
    <row r="10225" spans="1:4" ht="12.75" customHeight="1" x14ac:dyDescent="0.2">
      <c r="A10225" s="11"/>
      <c r="B10225" s="2"/>
      <c r="C10225" s="15"/>
      <c r="D10225" s="2"/>
    </row>
    <row r="10226" spans="1:4" ht="12.75" customHeight="1" x14ac:dyDescent="0.2">
      <c r="B10226" s="11" t="s">
        <v>0</v>
      </c>
      <c r="C10226" s="11" t="s">
        <v>219</v>
      </c>
    </row>
    <row r="10227" spans="1:4" ht="12.75" customHeight="1" x14ac:dyDescent="0.2">
      <c r="B10227" s="11" t="s">
        <v>2599</v>
      </c>
      <c r="C10227" s="11" t="s">
        <v>4179</v>
      </c>
    </row>
    <row r="10228" spans="1:4" ht="25.5" customHeight="1" x14ac:dyDescent="0.2">
      <c r="B10228" s="11" t="s">
        <v>2600</v>
      </c>
      <c r="C10228" s="11" t="s">
        <v>4180</v>
      </c>
    </row>
    <row r="10229" spans="1:4" ht="25.5" customHeight="1" x14ac:dyDescent="0.2">
      <c r="B10229" s="11" t="s">
        <v>2601</v>
      </c>
      <c r="C10229" s="11"/>
    </row>
    <row r="10230" spans="1:4" ht="12.75" customHeight="1" x14ac:dyDescent="0.2">
      <c r="B10230" s="11" t="s">
        <v>16</v>
      </c>
      <c r="C10230" s="11"/>
    </row>
    <row r="10231" spans="1:4" ht="12.75" customHeight="1" x14ac:dyDescent="0.2">
      <c r="B10231" s="11" t="s">
        <v>13</v>
      </c>
      <c r="C10231" s="11" t="s">
        <v>2602</v>
      </c>
    </row>
    <row r="10232" spans="1:4" ht="12.75" customHeight="1" x14ac:dyDescent="0.2">
      <c r="B10232" s="11" t="s">
        <v>2603</v>
      </c>
      <c r="C10232" s="11" t="s">
        <v>2604</v>
      </c>
    </row>
    <row r="10233" spans="1:4" ht="12.75" customHeight="1" x14ac:dyDescent="0.2">
      <c r="B10233" s="11" t="s">
        <v>2605</v>
      </c>
      <c r="C10233" s="11" t="s">
        <v>24</v>
      </c>
    </row>
    <row r="10234" spans="1:4" ht="12.75" customHeight="1" x14ac:dyDescent="0.2">
      <c r="B10234" s="11" t="s">
        <v>2606</v>
      </c>
      <c r="C10234" s="16" t="s">
        <v>44</v>
      </c>
      <c r="D10234" s="6" t="str">
        <f>HYPERLINK("javascript:void(0)","trolltartó")</f>
        <v>trolltartó</v>
      </c>
    </row>
    <row r="10235" spans="1:4" ht="12.75" customHeight="1" x14ac:dyDescent="0.2">
      <c r="B10235" s="2"/>
      <c r="C10235" s="15"/>
      <c r="D10235" s="2"/>
    </row>
    <row r="10236" spans="1:4" ht="12.75" customHeight="1" x14ac:dyDescent="0.2">
      <c r="B10236" s="2"/>
      <c r="C10236" s="15"/>
      <c r="D10236" s="2"/>
    </row>
    <row r="10237" spans="1:4" ht="12.75" customHeight="1" x14ac:dyDescent="0.2">
      <c r="A10237" s="13" t="s">
        <v>4181</v>
      </c>
      <c r="C10237" s="12"/>
    </row>
    <row r="10238" spans="1:4" ht="12.75" customHeight="1" x14ac:dyDescent="0.2">
      <c r="A10238" s="11"/>
      <c r="B10238" s="2"/>
      <c r="C10238" s="15"/>
      <c r="D10238" s="2"/>
    </row>
    <row r="10239" spans="1:4" ht="12.75" customHeight="1" x14ac:dyDescent="0.2">
      <c r="B10239" s="11" t="s">
        <v>0</v>
      </c>
      <c r="C10239" s="11" t="s">
        <v>219</v>
      </c>
    </row>
    <row r="10240" spans="1:4" ht="12.75" customHeight="1" x14ac:dyDescent="0.2">
      <c r="B10240" s="11" t="s">
        <v>2599</v>
      </c>
      <c r="C10240" s="11" t="s">
        <v>4182</v>
      </c>
    </row>
    <row r="10241" spans="1:4" ht="25.5" customHeight="1" x14ac:dyDescent="0.2">
      <c r="B10241" s="11" t="s">
        <v>2600</v>
      </c>
      <c r="C10241" s="11" t="s">
        <v>4183</v>
      </c>
    </row>
    <row r="10242" spans="1:4" ht="25.5" customHeight="1" x14ac:dyDescent="0.2">
      <c r="B10242" s="11" t="s">
        <v>2601</v>
      </c>
      <c r="C10242" s="11"/>
    </row>
    <row r="10243" spans="1:4" ht="12.75" customHeight="1" x14ac:dyDescent="0.2">
      <c r="B10243" s="11" t="s">
        <v>16</v>
      </c>
      <c r="C10243" s="11"/>
    </row>
    <row r="10244" spans="1:4" ht="12.75" customHeight="1" x14ac:dyDescent="0.2">
      <c r="B10244" s="11" t="s">
        <v>13</v>
      </c>
      <c r="C10244" s="11" t="s">
        <v>2644</v>
      </c>
    </row>
    <row r="10245" spans="1:4" ht="12.75" customHeight="1" x14ac:dyDescent="0.2">
      <c r="B10245" s="11" t="s">
        <v>2603</v>
      </c>
      <c r="C10245" s="11" t="s">
        <v>2604</v>
      </c>
    </row>
    <row r="10246" spans="1:4" ht="12.75" customHeight="1" x14ac:dyDescent="0.2">
      <c r="B10246" s="11" t="s">
        <v>2605</v>
      </c>
      <c r="C10246" s="11" t="s">
        <v>24</v>
      </c>
    </row>
    <row r="10247" spans="1:4" ht="12.75" customHeight="1" x14ac:dyDescent="0.2">
      <c r="B10247" s="11" t="s">
        <v>2606</v>
      </c>
      <c r="C10247" s="16" t="s">
        <v>244</v>
      </c>
      <c r="D10247" s="6" t="str">
        <f>HYPERLINK("javascript:void(0)","kincs")</f>
        <v>kincs</v>
      </c>
    </row>
    <row r="10248" spans="1:4" ht="12.75" customHeight="1" x14ac:dyDescent="0.2">
      <c r="B10248" s="2"/>
      <c r="C10248" s="15"/>
      <c r="D10248" s="2"/>
    </row>
    <row r="10249" spans="1:4" ht="12.75" customHeight="1" x14ac:dyDescent="0.2">
      <c r="B10249" s="2"/>
      <c r="C10249" s="15"/>
      <c r="D10249" s="2"/>
    </row>
    <row r="10250" spans="1:4" ht="12.75" customHeight="1" x14ac:dyDescent="0.2">
      <c r="A10250" s="13" t="s">
        <v>4184</v>
      </c>
      <c r="C10250" s="12"/>
    </row>
    <row r="10251" spans="1:4" ht="12.75" customHeight="1" x14ac:dyDescent="0.2">
      <c r="A10251" s="11"/>
      <c r="B10251" s="2"/>
      <c r="C10251" s="15"/>
      <c r="D10251" s="2"/>
    </row>
    <row r="10252" spans="1:4" ht="12.75" customHeight="1" x14ac:dyDescent="0.2">
      <c r="B10252" s="11" t="s">
        <v>0</v>
      </c>
      <c r="C10252" s="11" t="s">
        <v>219</v>
      </c>
    </row>
    <row r="10253" spans="1:4" ht="12.75" customHeight="1" x14ac:dyDescent="0.2">
      <c r="B10253" s="11" t="s">
        <v>2599</v>
      </c>
      <c r="C10253" s="11" t="s">
        <v>3927</v>
      </c>
    </row>
    <row r="10254" spans="1:4" ht="25.5" customHeight="1" x14ac:dyDescent="0.2">
      <c r="B10254" s="11" t="s">
        <v>2600</v>
      </c>
      <c r="C10254" s="11" t="s">
        <v>4185</v>
      </c>
    </row>
    <row r="10255" spans="1:4" ht="25.5" customHeight="1" x14ac:dyDescent="0.2">
      <c r="B10255" s="11" t="s">
        <v>2601</v>
      </c>
      <c r="C10255" s="11"/>
    </row>
    <row r="10256" spans="1:4" ht="12.75" customHeight="1" x14ac:dyDescent="0.2">
      <c r="B10256" s="11" t="s">
        <v>16</v>
      </c>
      <c r="C10256" s="11"/>
    </row>
    <row r="10257" spans="1:4" ht="12.75" customHeight="1" x14ac:dyDescent="0.2">
      <c r="B10257" s="11" t="s">
        <v>13</v>
      </c>
      <c r="C10257" s="11" t="s">
        <v>2602</v>
      </c>
    </row>
    <row r="10258" spans="1:4" ht="12.75" customHeight="1" x14ac:dyDescent="0.2">
      <c r="B10258" s="11" t="s">
        <v>2603</v>
      </c>
      <c r="C10258" s="11" t="s">
        <v>2604</v>
      </c>
    </row>
    <row r="10259" spans="1:4" ht="12.75" customHeight="1" x14ac:dyDescent="0.2">
      <c r="B10259" s="11" t="s">
        <v>2605</v>
      </c>
      <c r="C10259" s="11" t="s">
        <v>24</v>
      </c>
    </row>
    <row r="10260" spans="1:4" ht="12.75" customHeight="1" x14ac:dyDescent="0.2">
      <c r="B10260" s="11" t="s">
        <v>2606</v>
      </c>
      <c r="C10260" s="16" t="s">
        <v>44</v>
      </c>
      <c r="D10260" s="6" t="str">
        <f>HYPERLINK("javascript:void(0)","homokóra")</f>
        <v>homokóra</v>
      </c>
    </row>
    <row r="10261" spans="1:4" ht="12.75" customHeight="1" x14ac:dyDescent="0.2">
      <c r="B10261" s="2"/>
      <c r="C10261" s="15"/>
      <c r="D10261" s="2"/>
    </row>
    <row r="10262" spans="1:4" ht="12.75" customHeight="1" x14ac:dyDescent="0.2">
      <c r="B10262" s="2"/>
      <c r="C10262" s="15"/>
      <c r="D10262" s="2"/>
    </row>
    <row r="10263" spans="1:4" ht="12.75" customHeight="1" x14ac:dyDescent="0.2">
      <c r="A10263" s="13" t="s">
        <v>4186</v>
      </c>
      <c r="C10263" s="12"/>
    </row>
    <row r="10264" spans="1:4" ht="12.75" customHeight="1" x14ac:dyDescent="0.2">
      <c r="A10264" s="11"/>
      <c r="B10264" s="2"/>
      <c r="C10264" s="15"/>
      <c r="D10264" s="2"/>
    </row>
    <row r="10265" spans="1:4" ht="12.75" customHeight="1" x14ac:dyDescent="0.2">
      <c r="B10265" s="11" t="s">
        <v>0</v>
      </c>
      <c r="C10265" s="11" t="s">
        <v>219</v>
      </c>
    </row>
    <row r="10266" spans="1:4" ht="12.75" customHeight="1" x14ac:dyDescent="0.2">
      <c r="B10266" s="11" t="s">
        <v>2599</v>
      </c>
      <c r="C10266" s="11" t="s">
        <v>2689</v>
      </c>
    </row>
    <row r="10267" spans="1:4" ht="25.5" customHeight="1" x14ac:dyDescent="0.2">
      <c r="B10267" s="11" t="s">
        <v>2600</v>
      </c>
      <c r="C10267" s="11" t="s">
        <v>4187</v>
      </c>
    </row>
    <row r="10268" spans="1:4" ht="25.5" customHeight="1" x14ac:dyDescent="0.2">
      <c r="B10268" s="11" t="s">
        <v>2601</v>
      </c>
      <c r="C10268" s="11"/>
    </row>
    <row r="10269" spans="1:4" ht="12.75" customHeight="1" x14ac:dyDescent="0.2">
      <c r="B10269" s="11" t="s">
        <v>16</v>
      </c>
      <c r="C10269" s="11"/>
    </row>
    <row r="10270" spans="1:4" ht="12.75" customHeight="1" x14ac:dyDescent="0.2">
      <c r="B10270" s="11" t="s">
        <v>13</v>
      </c>
      <c r="C10270" s="11" t="s">
        <v>2602</v>
      </c>
    </row>
    <row r="10271" spans="1:4" ht="12.75" customHeight="1" x14ac:dyDescent="0.2">
      <c r="B10271" s="11" t="s">
        <v>2603</v>
      </c>
      <c r="C10271" s="11" t="s">
        <v>2604</v>
      </c>
    </row>
    <row r="10272" spans="1:4" ht="12.75" customHeight="1" x14ac:dyDescent="0.2">
      <c r="B10272" s="11" t="s">
        <v>2605</v>
      </c>
      <c r="C10272" s="11" t="s">
        <v>24</v>
      </c>
    </row>
    <row r="10273" spans="1:4" ht="12.75" customHeight="1" x14ac:dyDescent="0.2">
      <c r="B10273" s="11" t="s">
        <v>2606</v>
      </c>
      <c r="C10273" s="16" t="s">
        <v>44</v>
      </c>
      <c r="D10273" s="6" t="str">
        <f>HYPERLINK("javascript:void(0)","csodaflaska")</f>
        <v>csodaflaska</v>
      </c>
    </row>
    <row r="10274" spans="1:4" ht="12.75" customHeight="1" x14ac:dyDescent="0.2">
      <c r="B10274" s="2"/>
      <c r="C10274" s="15"/>
      <c r="D10274" s="2"/>
    </row>
    <row r="10275" spans="1:4" ht="12.75" customHeight="1" x14ac:dyDescent="0.2">
      <c r="B10275" s="2"/>
      <c r="C10275" s="15"/>
      <c r="D10275" s="2"/>
    </row>
    <row r="10276" spans="1:4" ht="12.75" customHeight="1" x14ac:dyDescent="0.2">
      <c r="A10276" s="13" t="s">
        <v>4188</v>
      </c>
      <c r="C10276" s="12"/>
    </row>
    <row r="10277" spans="1:4" ht="12.75" customHeight="1" x14ac:dyDescent="0.2">
      <c r="A10277" s="11"/>
      <c r="B10277" s="2"/>
      <c r="C10277" s="15"/>
      <c r="D10277" s="2"/>
    </row>
    <row r="10278" spans="1:4" ht="12.75" customHeight="1" x14ac:dyDescent="0.2">
      <c r="B10278" s="11" t="s">
        <v>0</v>
      </c>
      <c r="C10278" s="11" t="s">
        <v>219</v>
      </c>
    </row>
    <row r="10279" spans="1:4" ht="12.75" customHeight="1" x14ac:dyDescent="0.2">
      <c r="B10279" s="11" t="s">
        <v>2599</v>
      </c>
      <c r="C10279" s="11" t="s">
        <v>4189</v>
      </c>
    </row>
    <row r="10280" spans="1:4" ht="25.5" customHeight="1" x14ac:dyDescent="0.2">
      <c r="B10280" s="11" t="s">
        <v>2600</v>
      </c>
      <c r="C10280" s="11" t="s">
        <v>4039</v>
      </c>
    </row>
    <row r="10281" spans="1:4" ht="25.5" customHeight="1" x14ac:dyDescent="0.2">
      <c r="B10281" s="11" t="s">
        <v>2601</v>
      </c>
      <c r="C10281" s="11"/>
    </row>
    <row r="10282" spans="1:4" ht="12.75" customHeight="1" x14ac:dyDescent="0.2">
      <c r="B10282" s="11" t="s">
        <v>16</v>
      </c>
      <c r="C10282" s="11"/>
    </row>
    <row r="10283" spans="1:4" ht="12.75" customHeight="1" x14ac:dyDescent="0.2">
      <c r="B10283" s="11" t="s">
        <v>13</v>
      </c>
      <c r="C10283" s="11" t="s">
        <v>2602</v>
      </c>
    </row>
    <row r="10284" spans="1:4" ht="12.75" customHeight="1" x14ac:dyDescent="0.2">
      <c r="B10284" s="11" t="s">
        <v>2603</v>
      </c>
      <c r="C10284" s="11" t="s">
        <v>2604</v>
      </c>
    </row>
    <row r="10285" spans="1:4" ht="12.75" customHeight="1" x14ac:dyDescent="0.2">
      <c r="B10285" s="11" t="s">
        <v>2605</v>
      </c>
      <c r="C10285" s="11" t="s">
        <v>24</v>
      </c>
    </row>
    <row r="10286" spans="1:4" ht="12.75" customHeight="1" x14ac:dyDescent="0.2">
      <c r="B10286" s="11" t="s">
        <v>2606</v>
      </c>
      <c r="C10286" s="16" t="s">
        <v>44</v>
      </c>
      <c r="D10286" s="6" t="str">
        <f>HYPERLINK("javascript:void(0)","betüvető")</f>
        <v>betüvető</v>
      </c>
    </row>
    <row r="10287" spans="1:4" ht="12.75" customHeight="1" x14ac:dyDescent="0.2">
      <c r="B10287" s="2"/>
      <c r="C10287" s="15"/>
      <c r="D10287" s="2"/>
    </row>
    <row r="10288" spans="1:4" ht="12.75" customHeight="1" x14ac:dyDescent="0.2">
      <c r="B10288" s="2"/>
      <c r="C10288" s="15"/>
      <c r="D10288" s="2"/>
    </row>
    <row r="10289" spans="1:4" ht="12.75" customHeight="1" x14ac:dyDescent="0.2">
      <c r="A10289" s="13" t="s">
        <v>4190</v>
      </c>
      <c r="C10289" s="12"/>
    </row>
    <row r="10290" spans="1:4" ht="12.75" customHeight="1" x14ac:dyDescent="0.2">
      <c r="A10290" s="11"/>
      <c r="B10290" s="2"/>
      <c r="C10290" s="15"/>
      <c r="D10290" s="2"/>
    </row>
    <row r="10291" spans="1:4" ht="12.75" customHeight="1" x14ac:dyDescent="0.2">
      <c r="B10291" s="11" t="s">
        <v>0</v>
      </c>
      <c r="C10291" s="11" t="s">
        <v>219</v>
      </c>
    </row>
    <row r="10292" spans="1:4" ht="12.75" customHeight="1" x14ac:dyDescent="0.2">
      <c r="B10292" s="11" t="s">
        <v>2599</v>
      </c>
      <c r="C10292" s="11" t="s">
        <v>4191</v>
      </c>
    </row>
    <row r="10293" spans="1:4" ht="25.5" customHeight="1" x14ac:dyDescent="0.2">
      <c r="B10293" s="11" t="s">
        <v>2600</v>
      </c>
      <c r="C10293" s="11" t="s">
        <v>4192</v>
      </c>
    </row>
    <row r="10294" spans="1:4" ht="25.5" customHeight="1" x14ac:dyDescent="0.2">
      <c r="B10294" s="11" t="s">
        <v>2601</v>
      </c>
      <c r="C10294" s="11"/>
    </row>
    <row r="10295" spans="1:4" ht="12.75" customHeight="1" x14ac:dyDescent="0.2">
      <c r="B10295" s="11" t="s">
        <v>16</v>
      </c>
      <c r="C10295" s="11"/>
    </row>
    <row r="10296" spans="1:4" ht="12.75" customHeight="1" x14ac:dyDescent="0.2">
      <c r="B10296" s="11" t="s">
        <v>13</v>
      </c>
      <c r="C10296" s="11" t="s">
        <v>2644</v>
      </c>
    </row>
    <row r="10297" spans="1:4" ht="12.75" customHeight="1" x14ac:dyDescent="0.2">
      <c r="B10297" s="11" t="s">
        <v>2603</v>
      </c>
      <c r="C10297" s="11" t="s">
        <v>2604</v>
      </c>
    </row>
    <row r="10298" spans="1:4" ht="12.75" customHeight="1" x14ac:dyDescent="0.2">
      <c r="B10298" s="11" t="s">
        <v>2605</v>
      </c>
      <c r="C10298" s="11" t="s">
        <v>24</v>
      </c>
    </row>
    <row r="10299" spans="1:4" ht="12.75" customHeight="1" x14ac:dyDescent="0.2">
      <c r="B10299" s="11" t="s">
        <v>2606</v>
      </c>
      <c r="C10299" s="16" t="s">
        <v>117</v>
      </c>
      <c r="D10299" s="6" t="str">
        <f>HYPERLINK("javascript:void(0)","kincs")</f>
        <v>kincs</v>
      </c>
    </row>
    <row r="10300" spans="1:4" ht="12.75" customHeight="1" x14ac:dyDescent="0.2">
      <c r="B10300" s="2"/>
      <c r="C10300" s="15"/>
      <c r="D10300" s="2"/>
    </row>
    <row r="10301" spans="1:4" ht="12.75" customHeight="1" x14ac:dyDescent="0.2">
      <c r="B10301" s="2"/>
      <c r="C10301" s="15"/>
      <c r="D10301" s="2"/>
    </row>
    <row r="10302" spans="1:4" ht="12.75" customHeight="1" x14ac:dyDescent="0.2">
      <c r="A10302" s="13" t="s">
        <v>4107</v>
      </c>
      <c r="C10302" s="12"/>
      <c r="D10302" s="2"/>
    </row>
    <row r="10303" spans="1:4" ht="12.75" customHeight="1" x14ac:dyDescent="0.2">
      <c r="A10303" s="11"/>
      <c r="B10303" s="2"/>
      <c r="C10303" s="15"/>
      <c r="D10303" s="2"/>
    </row>
    <row r="10304" spans="1:4" ht="12.75" customHeight="1" x14ac:dyDescent="0.2">
      <c r="B10304" s="11" t="s">
        <v>0</v>
      </c>
      <c r="C10304" s="17" t="s">
        <v>219</v>
      </c>
      <c r="D10304" s="2"/>
    </row>
    <row r="10305" spans="1:4" ht="12.75" customHeight="1" x14ac:dyDescent="0.2">
      <c r="B10305" s="11" t="s">
        <v>2599</v>
      </c>
      <c r="C10305" s="17" t="s">
        <v>4108</v>
      </c>
      <c r="D10305" s="2"/>
    </row>
    <row r="10306" spans="1:4" ht="25.5" customHeight="1" x14ac:dyDescent="0.2">
      <c r="B10306" s="11" t="s">
        <v>2600</v>
      </c>
      <c r="C10306" s="17" t="s">
        <v>4193</v>
      </c>
      <c r="D10306" s="2"/>
    </row>
    <row r="10307" spans="1:4" ht="25.5" customHeight="1" x14ac:dyDescent="0.2">
      <c r="B10307" s="11" t="s">
        <v>2601</v>
      </c>
      <c r="C10307" s="17"/>
      <c r="D10307" s="2"/>
    </row>
    <row r="10308" spans="1:4" ht="12.75" customHeight="1" x14ac:dyDescent="0.2">
      <c r="B10308" s="11" t="s">
        <v>16</v>
      </c>
      <c r="C10308" s="17"/>
      <c r="D10308" s="2"/>
    </row>
    <row r="10309" spans="1:4" ht="12.75" customHeight="1" x14ac:dyDescent="0.2">
      <c r="B10309" s="11" t="s">
        <v>13</v>
      </c>
      <c r="C10309" s="17" t="s">
        <v>2602</v>
      </c>
      <c r="D10309" s="2"/>
    </row>
    <row r="10310" spans="1:4" ht="25.5" customHeight="1" x14ac:dyDescent="0.2">
      <c r="B10310" s="11" t="s">
        <v>2603</v>
      </c>
      <c r="C10310" s="17" t="s">
        <v>2971</v>
      </c>
      <c r="D10310" s="2"/>
    </row>
    <row r="10311" spans="1:4" ht="12.75" customHeight="1" x14ac:dyDescent="0.2">
      <c r="B10311" s="11" t="s">
        <v>2605</v>
      </c>
      <c r="C10311" s="17" t="s">
        <v>14</v>
      </c>
      <c r="D10311" s="2"/>
    </row>
    <row r="10312" spans="1:4" ht="12.75" customHeight="1" x14ac:dyDescent="0.2">
      <c r="B10312" s="11" t="s">
        <v>2606</v>
      </c>
      <c r="C10312" s="16" t="s">
        <v>19</v>
      </c>
      <c r="D10312" s="2"/>
    </row>
    <row r="10313" spans="1:4" ht="12.75" customHeight="1" x14ac:dyDescent="0.2">
      <c r="B10313" s="2"/>
      <c r="C10313" s="15"/>
      <c r="D10313" s="2"/>
    </row>
    <row r="10314" spans="1:4" ht="12.75" customHeight="1" x14ac:dyDescent="0.2">
      <c r="B10314" s="2"/>
      <c r="C10314" s="15"/>
      <c r="D10314" s="2"/>
    </row>
    <row r="10315" spans="1:4" ht="12.75" customHeight="1" x14ac:dyDescent="0.2">
      <c r="A10315" s="13" t="s">
        <v>4138</v>
      </c>
      <c r="C10315" s="12"/>
      <c r="D10315" s="2"/>
    </row>
    <row r="10316" spans="1:4" ht="12.75" customHeight="1" x14ac:dyDescent="0.2">
      <c r="A10316" s="11"/>
      <c r="B10316" s="2"/>
      <c r="C10316" s="15"/>
      <c r="D10316" s="2"/>
    </row>
    <row r="10317" spans="1:4" ht="12.75" customHeight="1" x14ac:dyDescent="0.2">
      <c r="B10317" s="11" t="s">
        <v>0</v>
      </c>
      <c r="C10317" s="17" t="s">
        <v>613</v>
      </c>
      <c r="D10317" s="2"/>
    </row>
    <row r="10318" spans="1:4" ht="12.75" customHeight="1" x14ac:dyDescent="0.2">
      <c r="B10318" s="11" t="s">
        <v>2599</v>
      </c>
      <c r="C10318" s="17" t="s">
        <v>355</v>
      </c>
      <c r="D10318" s="2"/>
    </row>
    <row r="10319" spans="1:4" ht="25.5" customHeight="1" x14ac:dyDescent="0.2">
      <c r="B10319" s="11" t="s">
        <v>2600</v>
      </c>
      <c r="C10319" s="17" t="s">
        <v>4194</v>
      </c>
      <c r="D10319" s="2"/>
    </row>
    <row r="10320" spans="1:4" ht="25.5" customHeight="1" x14ac:dyDescent="0.2">
      <c r="B10320" s="11" t="s">
        <v>2601</v>
      </c>
      <c r="C10320" s="17"/>
      <c r="D10320" s="2"/>
    </row>
    <row r="10321" spans="1:4" ht="12.75" customHeight="1" x14ac:dyDescent="0.2">
      <c r="B10321" s="11" t="s">
        <v>16</v>
      </c>
      <c r="C10321" s="17"/>
      <c r="D10321" s="2"/>
    </row>
    <row r="10322" spans="1:4" ht="12.75" customHeight="1" x14ac:dyDescent="0.2">
      <c r="B10322" s="11" t="s">
        <v>13</v>
      </c>
      <c r="C10322" s="17" t="s">
        <v>2602</v>
      </c>
      <c r="D10322" s="2"/>
    </row>
    <row r="10323" spans="1:4" ht="25.5" customHeight="1" x14ac:dyDescent="0.2">
      <c r="B10323" s="11" t="s">
        <v>2603</v>
      </c>
      <c r="C10323" s="17" t="s">
        <v>2971</v>
      </c>
      <c r="D10323" s="2"/>
    </row>
    <row r="10324" spans="1:4" ht="12.75" customHeight="1" x14ac:dyDescent="0.2">
      <c r="B10324" s="11" t="s">
        <v>2605</v>
      </c>
      <c r="C10324" s="17" t="s">
        <v>14</v>
      </c>
      <c r="D10324" s="2"/>
    </row>
    <row r="10325" spans="1:4" ht="12.75" customHeight="1" x14ac:dyDescent="0.2">
      <c r="B10325" s="11" t="s">
        <v>2606</v>
      </c>
      <c r="C10325" s="16" t="s">
        <v>19</v>
      </c>
      <c r="D10325" s="2"/>
    </row>
    <row r="10326" spans="1:4" ht="12.75" customHeight="1" x14ac:dyDescent="0.2">
      <c r="B10326" s="2"/>
      <c r="C10326" s="15"/>
      <c r="D10326" s="2"/>
    </row>
    <row r="10327" spans="1:4" ht="12.75" customHeight="1" x14ac:dyDescent="0.2">
      <c r="B10327" s="2"/>
      <c r="C10327" s="15"/>
      <c r="D10327" s="2"/>
    </row>
    <row r="10328" spans="1:4" ht="12.75" customHeight="1" x14ac:dyDescent="0.2">
      <c r="A10328" s="13" t="s">
        <v>4140</v>
      </c>
      <c r="C10328" s="12"/>
      <c r="D10328" s="2"/>
    </row>
    <row r="10329" spans="1:4" ht="12.75" customHeight="1" x14ac:dyDescent="0.2">
      <c r="A10329" s="11"/>
      <c r="B10329" s="2"/>
      <c r="C10329" s="15"/>
      <c r="D10329" s="2"/>
    </row>
    <row r="10330" spans="1:4" ht="12.75" customHeight="1" x14ac:dyDescent="0.2">
      <c r="B10330" s="11" t="s">
        <v>0</v>
      </c>
      <c r="C10330" s="17" t="s">
        <v>613</v>
      </c>
      <c r="D10330" s="2"/>
    </row>
    <row r="10331" spans="1:4" ht="12.75" customHeight="1" x14ac:dyDescent="0.2">
      <c r="B10331" s="11" t="s">
        <v>2599</v>
      </c>
      <c r="C10331" s="17" t="s">
        <v>4141</v>
      </c>
      <c r="D10331" s="2"/>
    </row>
    <row r="10332" spans="1:4" ht="25.5" customHeight="1" x14ac:dyDescent="0.2">
      <c r="B10332" s="11" t="s">
        <v>2600</v>
      </c>
      <c r="C10332" s="17" t="s">
        <v>4195</v>
      </c>
      <c r="D10332" s="2"/>
    </row>
    <row r="10333" spans="1:4" ht="25.5" customHeight="1" x14ac:dyDescent="0.2">
      <c r="B10333" s="11" t="s">
        <v>2601</v>
      </c>
      <c r="C10333" s="17"/>
      <c r="D10333" s="2"/>
    </row>
    <row r="10334" spans="1:4" ht="12.75" customHeight="1" x14ac:dyDescent="0.2">
      <c r="B10334" s="11" t="s">
        <v>16</v>
      </c>
      <c r="C10334" s="17"/>
      <c r="D10334" s="2"/>
    </row>
    <row r="10335" spans="1:4" ht="12.75" customHeight="1" x14ac:dyDescent="0.2">
      <c r="B10335" s="11" t="s">
        <v>13</v>
      </c>
      <c r="C10335" s="17" t="s">
        <v>2644</v>
      </c>
      <c r="D10335" s="2"/>
    </row>
    <row r="10336" spans="1:4" ht="25.5" customHeight="1" x14ac:dyDescent="0.2">
      <c r="B10336" s="11" t="s">
        <v>2603</v>
      </c>
      <c r="C10336" s="17" t="s">
        <v>2971</v>
      </c>
      <c r="D10336" s="2"/>
    </row>
    <row r="10337" spans="1:4" ht="12.75" customHeight="1" x14ac:dyDescent="0.2">
      <c r="B10337" s="11" t="s">
        <v>2605</v>
      </c>
      <c r="C10337" s="17" t="s">
        <v>14</v>
      </c>
      <c r="D10337" s="2"/>
    </row>
    <row r="10338" spans="1:4" ht="12.75" customHeight="1" x14ac:dyDescent="0.2">
      <c r="B10338" s="11" t="s">
        <v>2606</v>
      </c>
      <c r="C10338" s="16" t="s">
        <v>19</v>
      </c>
      <c r="D10338" s="2"/>
    </row>
    <row r="10339" spans="1:4" ht="12.75" customHeight="1" x14ac:dyDescent="0.2">
      <c r="B10339" s="2"/>
      <c r="C10339" s="15"/>
      <c r="D10339" s="2"/>
    </row>
    <row r="10340" spans="1:4" ht="12.75" customHeight="1" x14ac:dyDescent="0.2">
      <c r="B10340" s="2"/>
      <c r="C10340" s="15"/>
      <c r="D10340" s="2"/>
    </row>
    <row r="10341" spans="1:4" ht="12.75" customHeight="1" x14ac:dyDescent="0.2">
      <c r="A10341" s="13" t="s">
        <v>4143</v>
      </c>
      <c r="C10341" s="12"/>
      <c r="D10341" s="2"/>
    </row>
    <row r="10342" spans="1:4" ht="12.75" customHeight="1" x14ac:dyDescent="0.2">
      <c r="A10342" s="11"/>
      <c r="B10342" s="2"/>
      <c r="C10342" s="15"/>
      <c r="D10342" s="2"/>
    </row>
    <row r="10343" spans="1:4" ht="12.75" customHeight="1" x14ac:dyDescent="0.2">
      <c r="B10343" s="11" t="s">
        <v>0</v>
      </c>
      <c r="C10343" s="17" t="s">
        <v>613</v>
      </c>
      <c r="D10343" s="2"/>
    </row>
    <row r="10344" spans="1:4" ht="12.75" customHeight="1" x14ac:dyDescent="0.2">
      <c r="B10344" s="11" t="s">
        <v>2599</v>
      </c>
      <c r="C10344" s="17" t="s">
        <v>4144</v>
      </c>
      <c r="D10344" s="2"/>
    </row>
    <row r="10345" spans="1:4" ht="25.5" customHeight="1" x14ac:dyDescent="0.2">
      <c r="B10345" s="11" t="s">
        <v>2600</v>
      </c>
      <c r="C10345" s="17" t="s">
        <v>4196</v>
      </c>
      <c r="D10345" s="2"/>
    </row>
    <row r="10346" spans="1:4" ht="25.5" customHeight="1" x14ac:dyDescent="0.2">
      <c r="B10346" s="11" t="s">
        <v>2601</v>
      </c>
      <c r="C10346" s="17"/>
      <c r="D10346" s="2"/>
    </row>
    <row r="10347" spans="1:4" ht="12.75" customHeight="1" x14ac:dyDescent="0.2">
      <c r="B10347" s="11" t="s">
        <v>16</v>
      </c>
      <c r="C10347" s="17"/>
      <c r="D10347" s="2"/>
    </row>
    <row r="10348" spans="1:4" ht="12.75" customHeight="1" x14ac:dyDescent="0.2">
      <c r="B10348" s="11" t="s">
        <v>13</v>
      </c>
      <c r="C10348" s="17" t="s">
        <v>2602</v>
      </c>
      <c r="D10348" s="2"/>
    </row>
    <row r="10349" spans="1:4" ht="25.5" customHeight="1" x14ac:dyDescent="0.2">
      <c r="B10349" s="11" t="s">
        <v>2603</v>
      </c>
      <c r="C10349" s="17" t="s">
        <v>2971</v>
      </c>
      <c r="D10349" s="2"/>
    </row>
    <row r="10350" spans="1:4" ht="12.75" customHeight="1" x14ac:dyDescent="0.2">
      <c r="B10350" s="11" t="s">
        <v>2605</v>
      </c>
      <c r="C10350" s="17" t="s">
        <v>14</v>
      </c>
      <c r="D10350" s="2"/>
    </row>
    <row r="10351" spans="1:4" ht="12.75" customHeight="1" x14ac:dyDescent="0.2">
      <c r="B10351" s="11" t="s">
        <v>2606</v>
      </c>
      <c r="C10351" s="16" t="s">
        <v>19</v>
      </c>
      <c r="D10351" s="2"/>
    </row>
    <row r="10352" spans="1:4" ht="12.75" customHeight="1" x14ac:dyDescent="0.2">
      <c r="B10352" s="2"/>
      <c r="C10352" s="15"/>
      <c r="D10352" s="2"/>
    </row>
    <row r="10353" spans="1:4" ht="12.75" customHeight="1" x14ac:dyDescent="0.2">
      <c r="B10353" s="2"/>
      <c r="C10353" s="15"/>
      <c r="D10353" s="2"/>
    </row>
    <row r="10354" spans="1:4" ht="12.75" customHeight="1" x14ac:dyDescent="0.2">
      <c r="A10354" s="13" t="s">
        <v>4146</v>
      </c>
      <c r="C10354" s="12"/>
      <c r="D10354" s="2"/>
    </row>
    <row r="10355" spans="1:4" ht="12.75" customHeight="1" x14ac:dyDescent="0.2">
      <c r="A10355" s="11"/>
      <c r="B10355" s="2"/>
      <c r="C10355" s="15"/>
      <c r="D10355" s="2"/>
    </row>
    <row r="10356" spans="1:4" ht="12.75" customHeight="1" x14ac:dyDescent="0.2">
      <c r="B10356" s="11" t="s">
        <v>0</v>
      </c>
      <c r="C10356" s="17" t="s">
        <v>613</v>
      </c>
      <c r="D10356" s="2"/>
    </row>
    <row r="10357" spans="1:4" ht="12.75" customHeight="1" x14ac:dyDescent="0.2">
      <c r="B10357" s="11" t="s">
        <v>2599</v>
      </c>
      <c r="C10357" s="17" t="s">
        <v>4147</v>
      </c>
      <c r="D10357" s="2"/>
    </row>
    <row r="10358" spans="1:4" ht="25.5" customHeight="1" x14ac:dyDescent="0.2">
      <c r="B10358" s="11" t="s">
        <v>2600</v>
      </c>
      <c r="C10358" s="17" t="s">
        <v>4197</v>
      </c>
      <c r="D10358" s="2"/>
    </row>
    <row r="10359" spans="1:4" ht="25.5" customHeight="1" x14ac:dyDescent="0.2">
      <c r="B10359" s="11" t="s">
        <v>2601</v>
      </c>
      <c r="C10359" s="17"/>
      <c r="D10359" s="2"/>
    </row>
    <row r="10360" spans="1:4" ht="12.75" customHeight="1" x14ac:dyDescent="0.2">
      <c r="B10360" s="11" t="s">
        <v>16</v>
      </c>
      <c r="C10360" s="17"/>
      <c r="D10360" s="2"/>
    </row>
    <row r="10361" spans="1:4" ht="12.75" customHeight="1" x14ac:dyDescent="0.2">
      <c r="B10361" s="11" t="s">
        <v>13</v>
      </c>
      <c r="C10361" s="17" t="s">
        <v>2644</v>
      </c>
      <c r="D10361" s="2"/>
    </row>
    <row r="10362" spans="1:4" ht="25.5" customHeight="1" x14ac:dyDescent="0.2">
      <c r="B10362" s="11" t="s">
        <v>2603</v>
      </c>
      <c r="C10362" s="17" t="s">
        <v>2971</v>
      </c>
      <c r="D10362" s="2"/>
    </row>
    <row r="10363" spans="1:4" ht="12.75" customHeight="1" x14ac:dyDescent="0.2">
      <c r="B10363" s="11" t="s">
        <v>2605</v>
      </c>
      <c r="C10363" s="17" t="s">
        <v>14</v>
      </c>
      <c r="D10363" s="2"/>
    </row>
    <row r="10364" spans="1:4" ht="12.75" customHeight="1" x14ac:dyDescent="0.2">
      <c r="B10364" s="11" t="s">
        <v>2606</v>
      </c>
      <c r="C10364" s="16" t="s">
        <v>19</v>
      </c>
      <c r="D10364" s="2"/>
    </row>
    <row r="10365" spans="1:4" ht="12.75" customHeight="1" x14ac:dyDescent="0.2">
      <c r="B10365" s="2"/>
      <c r="C10365" s="15"/>
      <c r="D10365" s="2"/>
    </row>
    <row r="10366" spans="1:4" ht="12.75" customHeight="1" x14ac:dyDescent="0.2">
      <c r="B10366" s="2"/>
      <c r="C10366" s="15"/>
      <c r="D10366" s="2"/>
    </row>
    <row r="10367" spans="1:4" ht="12.75" customHeight="1" x14ac:dyDescent="0.2">
      <c r="A10367" s="13" t="s">
        <v>4198</v>
      </c>
      <c r="C10367" s="12"/>
    </row>
    <row r="10368" spans="1:4" ht="12.75" customHeight="1" x14ac:dyDescent="0.2">
      <c r="A10368" s="11"/>
      <c r="B10368" s="2"/>
      <c r="C10368" s="15"/>
      <c r="D10368" s="2"/>
    </row>
    <row r="10369" spans="1:4" ht="12.75" customHeight="1" x14ac:dyDescent="0.2">
      <c r="B10369" s="11" t="s">
        <v>0</v>
      </c>
      <c r="C10369" s="11" t="s">
        <v>613</v>
      </c>
    </row>
    <row r="10370" spans="1:4" ht="12.75" customHeight="1" x14ac:dyDescent="0.2">
      <c r="B10370" s="11" t="s">
        <v>2599</v>
      </c>
      <c r="C10370" s="11" t="s">
        <v>3823</v>
      </c>
    </row>
    <row r="10371" spans="1:4" ht="25.5" customHeight="1" x14ac:dyDescent="0.2">
      <c r="B10371" s="11" t="s">
        <v>2600</v>
      </c>
      <c r="C10371" s="11" t="s">
        <v>4199</v>
      </c>
    </row>
    <row r="10372" spans="1:4" ht="25.5" customHeight="1" x14ac:dyDescent="0.2">
      <c r="B10372" s="11" t="s">
        <v>2601</v>
      </c>
      <c r="C10372" s="11"/>
    </row>
    <row r="10373" spans="1:4" ht="12.75" customHeight="1" x14ac:dyDescent="0.2">
      <c r="B10373" s="11" t="s">
        <v>16</v>
      </c>
      <c r="C10373" s="11"/>
    </row>
    <row r="10374" spans="1:4" ht="12.75" customHeight="1" x14ac:dyDescent="0.2">
      <c r="B10374" s="11" t="s">
        <v>13</v>
      </c>
      <c r="C10374" s="11" t="s">
        <v>2644</v>
      </c>
    </row>
    <row r="10375" spans="1:4" ht="12.75" customHeight="1" x14ac:dyDescent="0.2">
      <c r="B10375" s="11" t="s">
        <v>2603</v>
      </c>
      <c r="C10375" s="11" t="s">
        <v>2604</v>
      </c>
    </row>
    <row r="10376" spans="1:4" ht="12.75" customHeight="1" x14ac:dyDescent="0.2">
      <c r="B10376" s="11" t="s">
        <v>2605</v>
      </c>
      <c r="C10376" s="11" t="s">
        <v>24</v>
      </c>
    </row>
    <row r="10377" spans="1:4" ht="12.75" customHeight="1" x14ac:dyDescent="0.2">
      <c r="B10377" s="11" t="s">
        <v>2606</v>
      </c>
      <c r="C10377" s="16" t="s">
        <v>98</v>
      </c>
      <c r="D10377" s="6" t="str">
        <f>HYPERLINK("javascript:void(0)","kincs")</f>
        <v>kincs</v>
      </c>
    </row>
    <row r="10378" spans="1:4" ht="12.75" customHeight="1" x14ac:dyDescent="0.2">
      <c r="B10378" s="2"/>
      <c r="C10378" s="15"/>
      <c r="D10378" s="2"/>
    </row>
    <row r="10379" spans="1:4" ht="12.75" customHeight="1" x14ac:dyDescent="0.2">
      <c r="B10379" s="2"/>
      <c r="C10379" s="15"/>
      <c r="D10379" s="2"/>
    </row>
    <row r="10380" spans="1:4" ht="12.75" customHeight="1" x14ac:dyDescent="0.2">
      <c r="A10380" s="13" t="s">
        <v>4200</v>
      </c>
      <c r="C10380" s="12"/>
    </row>
    <row r="10381" spans="1:4" ht="12.75" customHeight="1" x14ac:dyDescent="0.2">
      <c r="A10381" s="11"/>
      <c r="B10381" s="2"/>
      <c r="C10381" s="15"/>
      <c r="D10381" s="2"/>
    </row>
    <row r="10382" spans="1:4" ht="12.75" customHeight="1" x14ac:dyDescent="0.2">
      <c r="B10382" s="11" t="s">
        <v>0</v>
      </c>
      <c r="C10382" s="11" t="s">
        <v>613</v>
      </c>
    </row>
    <row r="10383" spans="1:4" ht="12.75" customHeight="1" x14ac:dyDescent="0.2">
      <c r="B10383" s="11" t="s">
        <v>2599</v>
      </c>
      <c r="C10383" s="11" t="s">
        <v>4201</v>
      </c>
    </row>
    <row r="10384" spans="1:4" ht="25.5" customHeight="1" x14ac:dyDescent="0.2">
      <c r="B10384" s="11" t="s">
        <v>2600</v>
      </c>
      <c r="C10384" s="11" t="s">
        <v>4202</v>
      </c>
    </row>
    <row r="10385" spans="1:4" ht="25.5" customHeight="1" x14ac:dyDescent="0.2">
      <c r="B10385" s="11" t="s">
        <v>2601</v>
      </c>
      <c r="C10385" s="11"/>
    </row>
    <row r="10386" spans="1:4" ht="12.75" customHeight="1" x14ac:dyDescent="0.2">
      <c r="B10386" s="11" t="s">
        <v>16</v>
      </c>
      <c r="C10386" s="11"/>
    </row>
    <row r="10387" spans="1:4" ht="12.75" customHeight="1" x14ac:dyDescent="0.2">
      <c r="B10387" s="11" t="s">
        <v>13</v>
      </c>
      <c r="C10387" s="11" t="s">
        <v>2602</v>
      </c>
    </row>
    <row r="10388" spans="1:4" ht="12.75" customHeight="1" x14ac:dyDescent="0.2">
      <c r="B10388" s="11" t="s">
        <v>2603</v>
      </c>
      <c r="C10388" s="11" t="s">
        <v>2604</v>
      </c>
    </row>
    <row r="10389" spans="1:4" ht="12.75" customHeight="1" x14ac:dyDescent="0.2">
      <c r="B10389" s="11" t="s">
        <v>2605</v>
      </c>
      <c r="C10389" s="11" t="s">
        <v>24</v>
      </c>
    </row>
    <row r="10390" spans="1:4" ht="12.75" customHeight="1" x14ac:dyDescent="0.2">
      <c r="B10390" s="11" t="s">
        <v>2606</v>
      </c>
      <c r="C10390" s="16" t="s">
        <v>102</v>
      </c>
      <c r="D10390" s="6" t="str">
        <f>HYPERLINK("javascript:void(0)","kincs")</f>
        <v>kincs</v>
      </c>
    </row>
    <row r="10391" spans="1:4" ht="12.75" customHeight="1" x14ac:dyDescent="0.2">
      <c r="B10391" s="2"/>
      <c r="C10391" s="15"/>
      <c r="D10391" s="2"/>
    </row>
    <row r="10392" spans="1:4" ht="12.75" customHeight="1" x14ac:dyDescent="0.2">
      <c r="B10392" s="2"/>
      <c r="C10392" s="15"/>
      <c r="D10392" s="2"/>
    </row>
    <row r="10393" spans="1:4" ht="12.75" customHeight="1" x14ac:dyDescent="0.2">
      <c r="A10393" s="13" t="s">
        <v>4203</v>
      </c>
      <c r="C10393" s="12"/>
    </row>
    <row r="10394" spans="1:4" ht="12.75" customHeight="1" x14ac:dyDescent="0.2">
      <c r="A10394" s="11"/>
      <c r="B10394" s="2"/>
      <c r="C10394" s="15"/>
      <c r="D10394" s="2"/>
    </row>
    <row r="10395" spans="1:4" ht="12.75" customHeight="1" x14ac:dyDescent="0.2">
      <c r="B10395" s="11" t="s">
        <v>0</v>
      </c>
      <c r="C10395" s="11" t="s">
        <v>613</v>
      </c>
    </row>
    <row r="10396" spans="1:4" ht="12.75" customHeight="1" x14ac:dyDescent="0.2">
      <c r="B10396" s="11" t="s">
        <v>2599</v>
      </c>
      <c r="C10396" s="11" t="s">
        <v>4204</v>
      </c>
    </row>
    <row r="10397" spans="1:4" ht="25.5" customHeight="1" x14ac:dyDescent="0.2">
      <c r="B10397" s="11" t="s">
        <v>2600</v>
      </c>
      <c r="C10397" s="11" t="s">
        <v>4205</v>
      </c>
    </row>
    <row r="10398" spans="1:4" ht="25.5" customHeight="1" x14ac:dyDescent="0.2">
      <c r="B10398" s="11" t="s">
        <v>2601</v>
      </c>
      <c r="C10398" s="11"/>
    </row>
    <row r="10399" spans="1:4" ht="12.75" customHeight="1" x14ac:dyDescent="0.2">
      <c r="B10399" s="11" t="s">
        <v>16</v>
      </c>
      <c r="C10399" s="11"/>
    </row>
    <row r="10400" spans="1:4" ht="12.75" customHeight="1" x14ac:dyDescent="0.2">
      <c r="B10400" s="11" t="s">
        <v>13</v>
      </c>
      <c r="C10400" s="11" t="s">
        <v>2644</v>
      </c>
    </row>
    <row r="10401" spans="1:4" ht="12.75" customHeight="1" x14ac:dyDescent="0.2">
      <c r="B10401" s="11" t="s">
        <v>2603</v>
      </c>
      <c r="C10401" s="11" t="s">
        <v>2604</v>
      </c>
    </row>
    <row r="10402" spans="1:4" ht="12.75" customHeight="1" x14ac:dyDescent="0.2">
      <c r="B10402" s="11" t="s">
        <v>2605</v>
      </c>
      <c r="C10402" s="11" t="s">
        <v>24</v>
      </c>
    </row>
    <row r="10403" spans="1:4" ht="25.5" customHeight="1" x14ac:dyDescent="0.2">
      <c r="B10403" s="11" t="s">
        <v>2606</v>
      </c>
      <c r="C10403" s="16" t="s">
        <v>44</v>
      </c>
      <c r="D10403" s="6" t="str">
        <f>HYPERLINK("javascript:void(0)","szent szimbólum")</f>
        <v>szent szimbólum</v>
      </c>
    </row>
    <row r="10404" spans="1:4" ht="12.75" customHeight="1" x14ac:dyDescent="0.2">
      <c r="C10404" s="16" t="s">
        <v>232</v>
      </c>
      <c r="D10404" s="6" t="str">
        <f>HYPERLINK("javascript:void(0)","kincs")</f>
        <v>kincs</v>
      </c>
    </row>
    <row r="10405" spans="1:4" ht="12.75" customHeight="1" x14ac:dyDescent="0.2">
      <c r="B10405" s="2"/>
      <c r="C10405" s="15"/>
      <c r="D10405" s="2"/>
    </row>
    <row r="10406" spans="1:4" ht="12.75" customHeight="1" x14ac:dyDescent="0.2">
      <c r="B10406" s="2"/>
      <c r="C10406" s="15"/>
      <c r="D10406" s="2"/>
    </row>
    <row r="10407" spans="1:4" ht="12.75" customHeight="1" x14ac:dyDescent="0.2">
      <c r="A10407" s="13" t="s">
        <v>4206</v>
      </c>
      <c r="C10407" s="12"/>
    </row>
    <row r="10408" spans="1:4" ht="12.75" customHeight="1" x14ac:dyDescent="0.2">
      <c r="A10408" s="11"/>
      <c r="B10408" s="2"/>
      <c r="C10408" s="15"/>
      <c r="D10408" s="2"/>
    </row>
    <row r="10409" spans="1:4" ht="12.75" customHeight="1" x14ac:dyDescent="0.2">
      <c r="B10409" s="11" t="s">
        <v>0</v>
      </c>
      <c r="C10409" s="11" t="s">
        <v>613</v>
      </c>
    </row>
    <row r="10410" spans="1:4" ht="12.75" customHeight="1" x14ac:dyDescent="0.2">
      <c r="B10410" s="11" t="s">
        <v>2599</v>
      </c>
      <c r="C10410" s="11" t="s">
        <v>1952</v>
      </c>
    </row>
    <row r="10411" spans="1:4" ht="25.5" customHeight="1" x14ac:dyDescent="0.2">
      <c r="B10411" s="11" t="s">
        <v>2600</v>
      </c>
      <c r="C10411" s="11" t="s">
        <v>4207</v>
      </c>
    </row>
    <row r="10412" spans="1:4" ht="25.5" customHeight="1" x14ac:dyDescent="0.2">
      <c r="B10412" s="11" t="s">
        <v>2601</v>
      </c>
      <c r="C10412" s="11"/>
    </row>
    <row r="10413" spans="1:4" ht="12.75" customHeight="1" x14ac:dyDescent="0.2">
      <c r="B10413" s="11" t="s">
        <v>16</v>
      </c>
      <c r="C10413" s="11"/>
    </row>
    <row r="10414" spans="1:4" ht="12.75" customHeight="1" x14ac:dyDescent="0.2">
      <c r="B10414" s="11" t="s">
        <v>13</v>
      </c>
      <c r="C10414" s="11" t="s">
        <v>2602</v>
      </c>
    </row>
    <row r="10415" spans="1:4" ht="12.75" customHeight="1" x14ac:dyDescent="0.2">
      <c r="B10415" s="11" t="s">
        <v>2603</v>
      </c>
      <c r="C10415" s="11" t="s">
        <v>2604</v>
      </c>
    </row>
    <row r="10416" spans="1:4" ht="12.75" customHeight="1" x14ac:dyDescent="0.2">
      <c r="B10416" s="11" t="s">
        <v>2605</v>
      </c>
      <c r="C10416" s="11" t="s">
        <v>24</v>
      </c>
    </row>
    <row r="10417" spans="1:4" ht="12.75" customHeight="1" x14ac:dyDescent="0.2">
      <c r="B10417" s="11" t="s">
        <v>2606</v>
      </c>
      <c r="C10417" s="16" t="s">
        <v>117</v>
      </c>
      <c r="D10417" s="6" t="str">
        <f>HYPERLINK("javascript:void(0)","kincs")</f>
        <v>kincs</v>
      </c>
    </row>
    <row r="10418" spans="1:4" ht="12.75" customHeight="1" x14ac:dyDescent="0.2">
      <c r="B10418" s="2"/>
      <c r="C10418" s="15"/>
      <c r="D10418" s="2"/>
    </row>
    <row r="10419" spans="1:4" ht="12.75" customHeight="1" x14ac:dyDescent="0.2">
      <c r="B10419" s="2"/>
      <c r="C10419" s="15"/>
      <c r="D10419" s="2"/>
    </row>
    <row r="10420" spans="1:4" ht="12.75" customHeight="1" x14ac:dyDescent="0.2">
      <c r="A10420" s="13" t="s">
        <v>4208</v>
      </c>
      <c r="C10420" s="12"/>
    </row>
    <row r="10421" spans="1:4" ht="12.75" customHeight="1" x14ac:dyDescent="0.2">
      <c r="A10421" s="11"/>
      <c r="B10421" s="2"/>
      <c r="C10421" s="15"/>
      <c r="D10421" s="2"/>
    </row>
    <row r="10422" spans="1:4" ht="12.75" customHeight="1" x14ac:dyDescent="0.2">
      <c r="B10422" s="11" t="s">
        <v>0</v>
      </c>
      <c r="C10422" s="11" t="s">
        <v>613</v>
      </c>
    </row>
    <row r="10423" spans="1:4" ht="12.75" customHeight="1" x14ac:dyDescent="0.2">
      <c r="B10423" s="11" t="s">
        <v>2599</v>
      </c>
      <c r="C10423" s="11" t="s">
        <v>4209</v>
      </c>
    </row>
    <row r="10424" spans="1:4" ht="25.5" customHeight="1" x14ac:dyDescent="0.2">
      <c r="B10424" s="11" t="s">
        <v>2600</v>
      </c>
      <c r="C10424" s="11" t="s">
        <v>4210</v>
      </c>
    </row>
    <row r="10425" spans="1:4" ht="25.5" customHeight="1" x14ac:dyDescent="0.2">
      <c r="B10425" s="11" t="s">
        <v>2601</v>
      </c>
      <c r="C10425" s="11"/>
    </row>
    <row r="10426" spans="1:4" ht="12.75" customHeight="1" x14ac:dyDescent="0.2">
      <c r="B10426" s="11" t="s">
        <v>16</v>
      </c>
      <c r="C10426" s="11"/>
    </row>
    <row r="10427" spans="1:4" ht="12.75" customHeight="1" x14ac:dyDescent="0.2">
      <c r="B10427" s="11" t="s">
        <v>13</v>
      </c>
      <c r="C10427" s="11" t="s">
        <v>2644</v>
      </c>
    </row>
    <row r="10428" spans="1:4" ht="12.75" customHeight="1" x14ac:dyDescent="0.2">
      <c r="B10428" s="11" t="s">
        <v>2603</v>
      </c>
      <c r="C10428" s="11" t="s">
        <v>2604</v>
      </c>
    </row>
    <row r="10429" spans="1:4" ht="12.75" customHeight="1" x14ac:dyDescent="0.2">
      <c r="B10429" s="11" t="s">
        <v>2605</v>
      </c>
      <c r="C10429" s="11" t="s">
        <v>24</v>
      </c>
    </row>
    <row r="10430" spans="1:4" ht="12.75" customHeight="1" x14ac:dyDescent="0.2">
      <c r="B10430" s="11" t="s">
        <v>2606</v>
      </c>
      <c r="C10430" s="16" t="s">
        <v>44</v>
      </c>
      <c r="D10430" s="6" t="str">
        <f>HYPERLINK("javascript:void(0)","torokgyík")</f>
        <v>torokgyík</v>
      </c>
    </row>
    <row r="10431" spans="1:4" ht="12.75" customHeight="1" x14ac:dyDescent="0.2">
      <c r="B10431" s="2"/>
      <c r="C10431" s="15"/>
      <c r="D10431" s="2"/>
    </row>
    <row r="10432" spans="1:4" ht="12.75" customHeight="1" x14ac:dyDescent="0.2">
      <c r="B10432" s="2"/>
      <c r="C10432" s="15"/>
      <c r="D10432" s="2"/>
    </row>
    <row r="10433" spans="1:4" ht="12.75" customHeight="1" x14ac:dyDescent="0.2">
      <c r="A10433" s="13" t="s">
        <v>4211</v>
      </c>
      <c r="C10433" s="12"/>
    </row>
    <row r="10434" spans="1:4" ht="12.75" customHeight="1" x14ac:dyDescent="0.2">
      <c r="A10434" s="11"/>
      <c r="B10434" s="2"/>
      <c r="C10434" s="15"/>
      <c r="D10434" s="2"/>
    </row>
    <row r="10435" spans="1:4" ht="12.75" customHeight="1" x14ac:dyDescent="0.2">
      <c r="B10435" s="11" t="s">
        <v>0</v>
      </c>
      <c r="C10435" s="11" t="s">
        <v>613</v>
      </c>
    </row>
    <row r="10436" spans="1:4" ht="12.75" customHeight="1" x14ac:dyDescent="0.2">
      <c r="B10436" s="11" t="s">
        <v>2599</v>
      </c>
      <c r="C10436" s="11" t="s">
        <v>2693</v>
      </c>
    </row>
    <row r="10437" spans="1:4" ht="25.5" customHeight="1" x14ac:dyDescent="0.2">
      <c r="B10437" s="11" t="s">
        <v>2600</v>
      </c>
      <c r="C10437" s="11" t="s">
        <v>4212</v>
      </c>
    </row>
    <row r="10438" spans="1:4" ht="25.5" customHeight="1" x14ac:dyDescent="0.2">
      <c r="B10438" s="11" t="s">
        <v>2601</v>
      </c>
      <c r="C10438" s="11"/>
    </row>
    <row r="10439" spans="1:4" ht="12.75" customHeight="1" x14ac:dyDescent="0.2">
      <c r="B10439" s="11" t="s">
        <v>16</v>
      </c>
      <c r="C10439" s="11"/>
    </row>
    <row r="10440" spans="1:4" ht="12.75" customHeight="1" x14ac:dyDescent="0.2">
      <c r="B10440" s="11" t="s">
        <v>13</v>
      </c>
      <c r="C10440" s="11" t="s">
        <v>2602</v>
      </c>
    </row>
    <row r="10441" spans="1:4" ht="12.75" customHeight="1" x14ac:dyDescent="0.2">
      <c r="B10441" s="11" t="s">
        <v>2603</v>
      </c>
      <c r="C10441" s="11" t="s">
        <v>2604</v>
      </c>
    </row>
    <row r="10442" spans="1:4" ht="12.75" customHeight="1" x14ac:dyDescent="0.2">
      <c r="B10442" s="11" t="s">
        <v>2605</v>
      </c>
      <c r="C10442" s="11" t="s">
        <v>24</v>
      </c>
    </row>
    <row r="10443" spans="1:4" ht="12.75" customHeight="1" x14ac:dyDescent="0.2">
      <c r="B10443" s="11" t="s">
        <v>2606</v>
      </c>
      <c r="C10443" s="16" t="s">
        <v>44</v>
      </c>
      <c r="D10443" s="6" t="str">
        <f>HYPERLINK("javascript:void(0)","mágnes")</f>
        <v>mágnes</v>
      </c>
    </row>
    <row r="10444" spans="1:4" ht="12.75" customHeight="1" x14ac:dyDescent="0.2">
      <c r="B10444" s="2"/>
      <c r="C10444" s="15"/>
      <c r="D10444" s="2"/>
    </row>
    <row r="10445" spans="1:4" ht="12.75" customHeight="1" x14ac:dyDescent="0.2">
      <c r="B10445" s="2"/>
      <c r="C10445" s="15"/>
      <c r="D10445" s="2"/>
    </row>
    <row r="10446" spans="1:4" ht="12.75" customHeight="1" x14ac:dyDescent="0.2">
      <c r="A10446" s="13" t="s">
        <v>4213</v>
      </c>
      <c r="C10446" s="12"/>
    </row>
    <row r="10447" spans="1:4" ht="12.75" customHeight="1" x14ac:dyDescent="0.2">
      <c r="A10447" s="11"/>
      <c r="B10447" s="2"/>
      <c r="C10447" s="15"/>
      <c r="D10447" s="2"/>
    </row>
    <row r="10448" spans="1:4" ht="12.75" customHeight="1" x14ac:dyDescent="0.2">
      <c r="B10448" s="11" t="s">
        <v>0</v>
      </c>
      <c r="C10448" s="11" t="s">
        <v>613</v>
      </c>
    </row>
    <row r="10449" spans="1:4" ht="12.75" customHeight="1" x14ac:dyDescent="0.2">
      <c r="B10449" s="11" t="s">
        <v>2599</v>
      </c>
      <c r="C10449" s="11" t="s">
        <v>2539</v>
      </c>
    </row>
    <row r="10450" spans="1:4" ht="25.5" customHeight="1" x14ac:dyDescent="0.2">
      <c r="B10450" s="11" t="s">
        <v>2600</v>
      </c>
      <c r="C10450" s="11" t="s">
        <v>4214</v>
      </c>
    </row>
    <row r="10451" spans="1:4" ht="25.5" customHeight="1" x14ac:dyDescent="0.2">
      <c r="B10451" s="11" t="s">
        <v>2601</v>
      </c>
      <c r="C10451" s="11"/>
    </row>
    <row r="10452" spans="1:4" ht="12.75" customHeight="1" x14ac:dyDescent="0.2">
      <c r="B10452" s="11" t="s">
        <v>16</v>
      </c>
      <c r="C10452" s="11"/>
    </row>
    <row r="10453" spans="1:4" ht="12.75" customHeight="1" x14ac:dyDescent="0.2">
      <c r="B10453" s="11" t="s">
        <v>13</v>
      </c>
      <c r="C10453" s="11" t="s">
        <v>2644</v>
      </c>
    </row>
    <row r="10454" spans="1:4" ht="12.75" customHeight="1" x14ac:dyDescent="0.2">
      <c r="B10454" s="11" t="s">
        <v>2603</v>
      </c>
      <c r="C10454" s="11" t="s">
        <v>2604</v>
      </c>
    </row>
    <row r="10455" spans="1:4" ht="12.75" customHeight="1" x14ac:dyDescent="0.2">
      <c r="B10455" s="11" t="s">
        <v>2605</v>
      </c>
      <c r="C10455" s="11" t="s">
        <v>24</v>
      </c>
    </row>
    <row r="10456" spans="1:4" ht="12.75" customHeight="1" x14ac:dyDescent="0.2">
      <c r="B10456" s="11" t="s">
        <v>2606</v>
      </c>
      <c r="C10456" s="16" t="s">
        <v>331</v>
      </c>
      <c r="D10456" s="6" t="str">
        <f>HYPERLINK("javascript:void(0)","kincs")</f>
        <v>kincs</v>
      </c>
    </row>
    <row r="10457" spans="1:4" ht="12.75" customHeight="1" x14ac:dyDescent="0.2">
      <c r="B10457" s="2"/>
      <c r="C10457" s="15"/>
      <c r="D10457" s="2"/>
    </row>
    <row r="10458" spans="1:4" ht="12.75" customHeight="1" x14ac:dyDescent="0.2">
      <c r="B10458" s="2"/>
      <c r="C10458" s="15"/>
      <c r="D10458" s="2"/>
    </row>
    <row r="10459" spans="1:4" ht="12.75" customHeight="1" x14ac:dyDescent="0.2">
      <c r="A10459" s="13" t="s">
        <v>4215</v>
      </c>
      <c r="C10459" s="12"/>
    </row>
    <row r="10460" spans="1:4" ht="12.75" customHeight="1" x14ac:dyDescent="0.2">
      <c r="A10460" s="11"/>
      <c r="B10460" s="2"/>
      <c r="C10460" s="15"/>
      <c r="D10460" s="2"/>
    </row>
    <row r="10461" spans="1:4" ht="12.75" customHeight="1" x14ac:dyDescent="0.2">
      <c r="B10461" s="11" t="s">
        <v>0</v>
      </c>
      <c r="C10461" s="11" t="s">
        <v>613</v>
      </c>
    </row>
    <row r="10462" spans="1:4" ht="12.75" customHeight="1" x14ac:dyDescent="0.2">
      <c r="B10462" s="11" t="s">
        <v>2599</v>
      </c>
      <c r="C10462" s="11" t="s">
        <v>3479</v>
      </c>
    </row>
    <row r="10463" spans="1:4" ht="25.5" customHeight="1" x14ac:dyDescent="0.2">
      <c r="B10463" s="11" t="s">
        <v>2600</v>
      </c>
      <c r="C10463" s="11" t="s">
        <v>4216</v>
      </c>
    </row>
    <row r="10464" spans="1:4" ht="25.5" customHeight="1" x14ac:dyDescent="0.2">
      <c r="B10464" s="11" t="s">
        <v>2601</v>
      </c>
      <c r="C10464" s="11"/>
    </row>
    <row r="10465" spans="1:4" ht="12.75" customHeight="1" x14ac:dyDescent="0.2">
      <c r="B10465" s="11" t="s">
        <v>16</v>
      </c>
      <c r="C10465" s="11"/>
    </row>
    <row r="10466" spans="1:4" ht="12.75" customHeight="1" x14ac:dyDescent="0.2">
      <c r="B10466" s="11" t="s">
        <v>13</v>
      </c>
      <c r="C10466" s="11" t="s">
        <v>2602</v>
      </c>
    </row>
    <row r="10467" spans="1:4" ht="12.75" customHeight="1" x14ac:dyDescent="0.2">
      <c r="B10467" s="11" t="s">
        <v>2603</v>
      </c>
      <c r="C10467" s="11" t="s">
        <v>2604</v>
      </c>
    </row>
    <row r="10468" spans="1:4" ht="12.75" customHeight="1" x14ac:dyDescent="0.2">
      <c r="B10468" s="11" t="s">
        <v>2605</v>
      </c>
      <c r="C10468" s="11" t="s">
        <v>24</v>
      </c>
    </row>
    <row r="10469" spans="1:4" ht="12.75" customHeight="1" x14ac:dyDescent="0.2">
      <c r="B10469" s="11" t="s">
        <v>2606</v>
      </c>
      <c r="C10469" s="16" t="s">
        <v>67</v>
      </c>
      <c r="D10469" s="6" t="str">
        <f>HYPERLINK("javascript:void(0)","kincs")</f>
        <v>kincs</v>
      </c>
    </row>
    <row r="10470" spans="1:4" ht="12.75" customHeight="1" x14ac:dyDescent="0.2">
      <c r="B10470" s="2"/>
      <c r="C10470" s="15"/>
      <c r="D10470" s="2"/>
    </row>
    <row r="10471" spans="1:4" ht="12.75" customHeight="1" x14ac:dyDescent="0.2">
      <c r="B10471" s="2"/>
      <c r="C10471" s="15"/>
      <c r="D10471" s="2"/>
    </row>
    <row r="10472" spans="1:4" ht="12.75" customHeight="1" x14ac:dyDescent="0.2">
      <c r="A10472" s="13" t="s">
        <v>4107</v>
      </c>
      <c r="C10472" s="12"/>
      <c r="D10472" s="2"/>
    </row>
    <row r="10473" spans="1:4" ht="12.75" customHeight="1" x14ac:dyDescent="0.2">
      <c r="A10473" s="11"/>
      <c r="B10473" s="2"/>
      <c r="C10473" s="15"/>
      <c r="D10473" s="2"/>
    </row>
    <row r="10474" spans="1:4" ht="12.75" customHeight="1" x14ac:dyDescent="0.2">
      <c r="B10474" s="11" t="s">
        <v>0</v>
      </c>
      <c r="C10474" s="17" t="s">
        <v>613</v>
      </c>
      <c r="D10474" s="2"/>
    </row>
    <row r="10475" spans="1:4" ht="12.75" customHeight="1" x14ac:dyDescent="0.2">
      <c r="B10475" s="11" t="s">
        <v>2599</v>
      </c>
      <c r="C10475" s="17" t="s">
        <v>4108</v>
      </c>
      <c r="D10475" s="2"/>
    </row>
    <row r="10476" spans="1:4" ht="25.5" customHeight="1" x14ac:dyDescent="0.2">
      <c r="B10476" s="11" t="s">
        <v>2600</v>
      </c>
      <c r="C10476" s="17" t="s">
        <v>4217</v>
      </c>
      <c r="D10476" s="2"/>
    </row>
    <row r="10477" spans="1:4" ht="25.5" customHeight="1" x14ac:dyDescent="0.2">
      <c r="B10477" s="11" t="s">
        <v>2601</v>
      </c>
      <c r="C10477" s="17"/>
      <c r="D10477" s="2"/>
    </row>
    <row r="10478" spans="1:4" ht="12.75" customHeight="1" x14ac:dyDescent="0.2">
      <c r="B10478" s="11" t="s">
        <v>16</v>
      </c>
      <c r="C10478" s="17"/>
      <c r="D10478" s="2"/>
    </row>
    <row r="10479" spans="1:4" ht="12.75" customHeight="1" x14ac:dyDescent="0.2">
      <c r="B10479" s="11" t="s">
        <v>13</v>
      </c>
      <c r="C10479" s="17" t="s">
        <v>2602</v>
      </c>
      <c r="D10479" s="2"/>
    </row>
    <row r="10480" spans="1:4" ht="25.5" customHeight="1" x14ac:dyDescent="0.2">
      <c r="B10480" s="11" t="s">
        <v>2603</v>
      </c>
      <c r="C10480" s="17" t="s">
        <v>2971</v>
      </c>
      <c r="D10480" s="2"/>
    </row>
    <row r="10481" spans="1:4" ht="12.75" customHeight="1" x14ac:dyDescent="0.2">
      <c r="B10481" s="11" t="s">
        <v>2605</v>
      </c>
      <c r="C10481" s="17" t="s">
        <v>14</v>
      </c>
      <c r="D10481" s="2"/>
    </row>
    <row r="10482" spans="1:4" ht="12.75" customHeight="1" x14ac:dyDescent="0.2">
      <c r="B10482" s="11" t="s">
        <v>2606</v>
      </c>
      <c r="C10482" s="16" t="s">
        <v>19</v>
      </c>
      <c r="D10482" s="2"/>
    </row>
    <row r="10483" spans="1:4" ht="12.75" customHeight="1" x14ac:dyDescent="0.2">
      <c r="B10483" s="2"/>
      <c r="C10483" s="15"/>
      <c r="D10483" s="2"/>
    </row>
    <row r="10484" spans="1:4" ht="12.75" customHeight="1" x14ac:dyDescent="0.2">
      <c r="B10484" s="2"/>
      <c r="C10484" s="15"/>
      <c r="D10484" s="2"/>
    </row>
    <row r="10485" spans="1:4" ht="12.75" customHeight="1" x14ac:dyDescent="0.2">
      <c r="A10485" s="13" t="s">
        <v>4138</v>
      </c>
      <c r="C10485" s="12"/>
      <c r="D10485" s="2"/>
    </row>
    <row r="10486" spans="1:4" ht="12.75" customHeight="1" x14ac:dyDescent="0.2">
      <c r="A10486" s="11"/>
      <c r="B10486" s="2"/>
      <c r="C10486" s="15"/>
      <c r="D10486" s="2"/>
    </row>
    <row r="10487" spans="1:4" ht="12.75" customHeight="1" x14ac:dyDescent="0.2">
      <c r="B10487" s="11" t="s">
        <v>0</v>
      </c>
      <c r="C10487" s="17" t="s">
        <v>248</v>
      </c>
      <c r="D10487" s="2"/>
    </row>
    <row r="10488" spans="1:4" ht="12.75" customHeight="1" x14ac:dyDescent="0.2">
      <c r="B10488" s="11" t="s">
        <v>2599</v>
      </c>
      <c r="C10488" s="17" t="s">
        <v>355</v>
      </c>
      <c r="D10488" s="2"/>
    </row>
    <row r="10489" spans="1:4" ht="25.5" customHeight="1" x14ac:dyDescent="0.2">
      <c r="B10489" s="11" t="s">
        <v>2600</v>
      </c>
      <c r="C10489" s="17" t="s">
        <v>4218</v>
      </c>
      <c r="D10489" s="2"/>
    </row>
    <row r="10490" spans="1:4" ht="25.5" customHeight="1" x14ac:dyDescent="0.2">
      <c r="B10490" s="11" t="s">
        <v>2601</v>
      </c>
      <c r="C10490" s="17"/>
      <c r="D10490" s="2"/>
    </row>
    <row r="10491" spans="1:4" ht="12.75" customHeight="1" x14ac:dyDescent="0.2">
      <c r="B10491" s="11" t="s">
        <v>16</v>
      </c>
      <c r="C10491" s="17"/>
      <c r="D10491" s="2"/>
    </row>
    <row r="10492" spans="1:4" ht="12.75" customHeight="1" x14ac:dyDescent="0.2">
      <c r="B10492" s="11" t="s">
        <v>13</v>
      </c>
      <c r="C10492" s="17" t="s">
        <v>2602</v>
      </c>
      <c r="D10492" s="2"/>
    </row>
    <row r="10493" spans="1:4" ht="25.5" customHeight="1" x14ac:dyDescent="0.2">
      <c r="B10493" s="11" t="s">
        <v>2603</v>
      </c>
      <c r="C10493" s="17" t="s">
        <v>2971</v>
      </c>
      <c r="D10493" s="2"/>
    </row>
    <row r="10494" spans="1:4" ht="12.75" customHeight="1" x14ac:dyDescent="0.2">
      <c r="B10494" s="11" t="s">
        <v>2605</v>
      </c>
      <c r="C10494" s="17" t="s">
        <v>14</v>
      </c>
      <c r="D10494" s="2"/>
    </row>
    <row r="10495" spans="1:4" ht="12.75" customHeight="1" x14ac:dyDescent="0.2">
      <c r="B10495" s="11" t="s">
        <v>2606</v>
      </c>
      <c r="C10495" s="16" t="s">
        <v>19</v>
      </c>
      <c r="D10495" s="2"/>
    </row>
    <row r="10496" spans="1:4" ht="12.75" customHeight="1" x14ac:dyDescent="0.2">
      <c r="B10496" s="2"/>
      <c r="C10496" s="15"/>
      <c r="D10496" s="2"/>
    </row>
    <row r="10497" spans="1:4" ht="12.75" customHeight="1" x14ac:dyDescent="0.2">
      <c r="B10497" s="2"/>
      <c r="C10497" s="15"/>
      <c r="D10497" s="2"/>
    </row>
    <row r="10498" spans="1:4" ht="12.75" customHeight="1" x14ac:dyDescent="0.2">
      <c r="A10498" s="13" t="s">
        <v>4140</v>
      </c>
      <c r="C10498" s="12"/>
      <c r="D10498" s="2"/>
    </row>
    <row r="10499" spans="1:4" ht="12.75" customHeight="1" x14ac:dyDescent="0.2">
      <c r="A10499" s="11"/>
      <c r="B10499" s="2"/>
      <c r="C10499" s="15"/>
      <c r="D10499" s="2"/>
    </row>
    <row r="10500" spans="1:4" ht="12.75" customHeight="1" x14ac:dyDescent="0.2">
      <c r="B10500" s="11" t="s">
        <v>0</v>
      </c>
      <c r="C10500" s="17" t="s">
        <v>248</v>
      </c>
      <c r="D10500" s="2"/>
    </row>
    <row r="10501" spans="1:4" ht="12.75" customHeight="1" x14ac:dyDescent="0.2">
      <c r="B10501" s="11" t="s">
        <v>2599</v>
      </c>
      <c r="C10501" s="17" t="s">
        <v>4141</v>
      </c>
      <c r="D10501" s="2"/>
    </row>
    <row r="10502" spans="1:4" ht="25.5" customHeight="1" x14ac:dyDescent="0.2">
      <c r="B10502" s="11" t="s">
        <v>2600</v>
      </c>
      <c r="C10502" s="17" t="s">
        <v>4219</v>
      </c>
      <c r="D10502" s="2"/>
    </row>
    <row r="10503" spans="1:4" ht="25.5" customHeight="1" x14ac:dyDescent="0.2">
      <c r="B10503" s="11" t="s">
        <v>2601</v>
      </c>
      <c r="C10503" s="17"/>
      <c r="D10503" s="2"/>
    </row>
    <row r="10504" spans="1:4" ht="12.75" customHeight="1" x14ac:dyDescent="0.2">
      <c r="B10504" s="11" t="s">
        <v>16</v>
      </c>
      <c r="C10504" s="17"/>
      <c r="D10504" s="2"/>
    </row>
    <row r="10505" spans="1:4" ht="12.75" customHeight="1" x14ac:dyDescent="0.2">
      <c r="B10505" s="11" t="s">
        <v>13</v>
      </c>
      <c r="C10505" s="17" t="s">
        <v>2644</v>
      </c>
      <c r="D10505" s="2"/>
    </row>
    <row r="10506" spans="1:4" ht="25.5" customHeight="1" x14ac:dyDescent="0.2">
      <c r="B10506" s="11" t="s">
        <v>2603</v>
      </c>
      <c r="C10506" s="17" t="s">
        <v>2971</v>
      </c>
      <c r="D10506" s="2"/>
    </row>
    <row r="10507" spans="1:4" ht="12.75" customHeight="1" x14ac:dyDescent="0.2">
      <c r="B10507" s="11" t="s">
        <v>2605</v>
      </c>
      <c r="C10507" s="17" t="s">
        <v>14</v>
      </c>
      <c r="D10507" s="2"/>
    </row>
    <row r="10508" spans="1:4" ht="12.75" customHeight="1" x14ac:dyDescent="0.2">
      <c r="B10508" s="11" t="s">
        <v>2606</v>
      </c>
      <c r="C10508" s="16" t="s">
        <v>19</v>
      </c>
      <c r="D10508" s="2"/>
    </row>
    <row r="10509" spans="1:4" ht="12.75" customHeight="1" x14ac:dyDescent="0.2">
      <c r="B10509" s="2"/>
      <c r="C10509" s="15"/>
      <c r="D10509" s="2"/>
    </row>
    <row r="10510" spans="1:4" ht="12.75" customHeight="1" x14ac:dyDescent="0.2">
      <c r="B10510" s="2"/>
      <c r="C10510" s="15"/>
      <c r="D10510" s="2"/>
    </row>
    <row r="10511" spans="1:4" ht="12.75" customHeight="1" x14ac:dyDescent="0.2">
      <c r="A10511" s="13" t="s">
        <v>4143</v>
      </c>
      <c r="C10511" s="12"/>
      <c r="D10511" s="2"/>
    </row>
    <row r="10512" spans="1:4" ht="12.75" customHeight="1" x14ac:dyDescent="0.2">
      <c r="A10512" s="11"/>
      <c r="B10512" s="2"/>
      <c r="C10512" s="15"/>
      <c r="D10512" s="2"/>
    </row>
    <row r="10513" spans="1:4" ht="12.75" customHeight="1" x14ac:dyDescent="0.2">
      <c r="B10513" s="11" t="s">
        <v>0</v>
      </c>
      <c r="C10513" s="17" t="s">
        <v>248</v>
      </c>
      <c r="D10513" s="2"/>
    </row>
    <row r="10514" spans="1:4" ht="12.75" customHeight="1" x14ac:dyDescent="0.2">
      <c r="B10514" s="11" t="s">
        <v>2599</v>
      </c>
      <c r="C10514" s="17" t="s">
        <v>4144</v>
      </c>
      <c r="D10514" s="2"/>
    </row>
    <row r="10515" spans="1:4" ht="25.5" customHeight="1" x14ac:dyDescent="0.2">
      <c r="B10515" s="11" t="s">
        <v>2600</v>
      </c>
      <c r="C10515" s="17" t="s">
        <v>4220</v>
      </c>
      <c r="D10515" s="2"/>
    </row>
    <row r="10516" spans="1:4" ht="25.5" customHeight="1" x14ac:dyDescent="0.2">
      <c r="B10516" s="11" t="s">
        <v>2601</v>
      </c>
      <c r="C10516" s="17"/>
      <c r="D10516" s="2"/>
    </row>
    <row r="10517" spans="1:4" ht="12.75" customHeight="1" x14ac:dyDescent="0.2">
      <c r="B10517" s="11" t="s">
        <v>16</v>
      </c>
      <c r="C10517" s="17"/>
      <c r="D10517" s="2"/>
    </row>
    <row r="10518" spans="1:4" ht="12.75" customHeight="1" x14ac:dyDescent="0.2">
      <c r="B10518" s="11" t="s">
        <v>13</v>
      </c>
      <c r="C10518" s="17" t="s">
        <v>2602</v>
      </c>
      <c r="D10518" s="2"/>
    </row>
    <row r="10519" spans="1:4" ht="25.5" customHeight="1" x14ac:dyDescent="0.2">
      <c r="B10519" s="11" t="s">
        <v>2603</v>
      </c>
      <c r="C10519" s="17" t="s">
        <v>2971</v>
      </c>
      <c r="D10519" s="2"/>
    </row>
    <row r="10520" spans="1:4" ht="12.75" customHeight="1" x14ac:dyDescent="0.2">
      <c r="B10520" s="11" t="s">
        <v>2605</v>
      </c>
      <c r="C10520" s="17" t="s">
        <v>14</v>
      </c>
      <c r="D10520" s="2"/>
    </row>
    <row r="10521" spans="1:4" ht="12.75" customHeight="1" x14ac:dyDescent="0.2">
      <c r="B10521" s="11" t="s">
        <v>2606</v>
      </c>
      <c r="C10521" s="16" t="s">
        <v>19</v>
      </c>
      <c r="D10521" s="2"/>
    </row>
    <row r="10522" spans="1:4" ht="12.75" customHeight="1" x14ac:dyDescent="0.2">
      <c r="B10522" s="2"/>
      <c r="C10522" s="15"/>
      <c r="D10522" s="2"/>
    </row>
    <row r="10523" spans="1:4" ht="12.75" customHeight="1" x14ac:dyDescent="0.2">
      <c r="B10523" s="2"/>
      <c r="C10523" s="15"/>
      <c r="D10523" s="2"/>
    </row>
    <row r="10524" spans="1:4" ht="12.75" customHeight="1" x14ac:dyDescent="0.2">
      <c r="A10524" s="13" t="s">
        <v>4146</v>
      </c>
      <c r="C10524" s="12"/>
      <c r="D10524" s="2"/>
    </row>
    <row r="10525" spans="1:4" ht="12.75" customHeight="1" x14ac:dyDescent="0.2">
      <c r="A10525" s="11"/>
      <c r="B10525" s="2"/>
      <c r="C10525" s="15"/>
      <c r="D10525" s="2"/>
    </row>
    <row r="10526" spans="1:4" ht="12.75" customHeight="1" x14ac:dyDescent="0.2">
      <c r="B10526" s="11" t="s">
        <v>0</v>
      </c>
      <c r="C10526" s="17" t="s">
        <v>248</v>
      </c>
      <c r="D10526" s="2"/>
    </row>
    <row r="10527" spans="1:4" ht="12.75" customHeight="1" x14ac:dyDescent="0.2">
      <c r="B10527" s="11" t="s">
        <v>2599</v>
      </c>
      <c r="C10527" s="17" t="s">
        <v>4147</v>
      </c>
      <c r="D10527" s="2"/>
    </row>
    <row r="10528" spans="1:4" ht="25.5" customHeight="1" x14ac:dyDescent="0.2">
      <c r="B10528" s="11" t="s">
        <v>2600</v>
      </c>
      <c r="C10528" s="17" t="s">
        <v>4221</v>
      </c>
      <c r="D10528" s="2"/>
    </row>
    <row r="10529" spans="1:4" ht="25.5" customHeight="1" x14ac:dyDescent="0.2">
      <c r="B10529" s="11" t="s">
        <v>2601</v>
      </c>
      <c r="C10529" s="17"/>
      <c r="D10529" s="2"/>
    </row>
    <row r="10530" spans="1:4" ht="12.75" customHeight="1" x14ac:dyDescent="0.2">
      <c r="B10530" s="11" t="s">
        <v>16</v>
      </c>
      <c r="C10530" s="17"/>
      <c r="D10530" s="2"/>
    </row>
    <row r="10531" spans="1:4" ht="12.75" customHeight="1" x14ac:dyDescent="0.2">
      <c r="B10531" s="11" t="s">
        <v>13</v>
      </c>
      <c r="C10531" s="17" t="s">
        <v>2644</v>
      </c>
      <c r="D10531" s="2"/>
    </row>
    <row r="10532" spans="1:4" ht="25.5" customHeight="1" x14ac:dyDescent="0.2">
      <c r="B10532" s="11" t="s">
        <v>2603</v>
      </c>
      <c r="C10532" s="17" t="s">
        <v>2971</v>
      </c>
      <c r="D10532" s="2"/>
    </row>
    <row r="10533" spans="1:4" ht="12.75" customHeight="1" x14ac:dyDescent="0.2">
      <c r="B10533" s="11" t="s">
        <v>2605</v>
      </c>
      <c r="C10533" s="17" t="s">
        <v>14</v>
      </c>
      <c r="D10533" s="2"/>
    </row>
    <row r="10534" spans="1:4" ht="12.75" customHeight="1" x14ac:dyDescent="0.2">
      <c r="B10534" s="11" t="s">
        <v>2606</v>
      </c>
      <c r="C10534" s="16" t="s">
        <v>19</v>
      </c>
      <c r="D10534" s="2"/>
    </row>
    <row r="10535" spans="1:4" ht="12.75" customHeight="1" x14ac:dyDescent="0.2">
      <c r="B10535" s="2"/>
      <c r="C10535" s="15"/>
      <c r="D10535" s="2"/>
    </row>
    <row r="10536" spans="1:4" ht="12.75" customHeight="1" x14ac:dyDescent="0.2">
      <c r="B10536" s="2"/>
      <c r="C10536" s="15"/>
      <c r="D10536" s="2"/>
    </row>
    <row r="10537" spans="1:4" ht="12.75" customHeight="1" x14ac:dyDescent="0.2">
      <c r="A10537" s="13" t="s">
        <v>4222</v>
      </c>
      <c r="C10537" s="12"/>
    </row>
    <row r="10538" spans="1:4" ht="12.75" customHeight="1" x14ac:dyDescent="0.2">
      <c r="A10538" s="11"/>
      <c r="B10538" s="2"/>
      <c r="C10538" s="15"/>
      <c r="D10538" s="2"/>
    </row>
    <row r="10539" spans="1:4" ht="12.75" customHeight="1" x14ac:dyDescent="0.2">
      <c r="B10539" s="11" t="s">
        <v>0</v>
      </c>
      <c r="C10539" s="11" t="s">
        <v>248</v>
      </c>
    </row>
    <row r="10540" spans="1:4" ht="12.75" customHeight="1" x14ac:dyDescent="0.2">
      <c r="B10540" s="11" t="s">
        <v>2599</v>
      </c>
      <c r="C10540" s="11" t="s">
        <v>4223</v>
      </c>
    </row>
    <row r="10541" spans="1:4" ht="25.5" customHeight="1" x14ac:dyDescent="0.2">
      <c r="B10541" s="11" t="s">
        <v>2600</v>
      </c>
      <c r="C10541" s="11" t="s">
        <v>4224</v>
      </c>
    </row>
    <row r="10542" spans="1:4" ht="25.5" customHeight="1" x14ac:dyDescent="0.2">
      <c r="B10542" s="11" t="s">
        <v>2601</v>
      </c>
      <c r="C10542" s="11"/>
    </row>
    <row r="10543" spans="1:4" ht="12.75" customHeight="1" x14ac:dyDescent="0.2">
      <c r="B10543" s="11" t="s">
        <v>16</v>
      </c>
      <c r="C10543" s="11"/>
    </row>
    <row r="10544" spans="1:4" ht="12.75" customHeight="1" x14ac:dyDescent="0.2">
      <c r="B10544" s="11" t="s">
        <v>13</v>
      </c>
      <c r="C10544" s="11" t="s">
        <v>2602</v>
      </c>
    </row>
    <row r="10545" spans="1:4" ht="12.75" customHeight="1" x14ac:dyDescent="0.2">
      <c r="B10545" s="11" t="s">
        <v>2603</v>
      </c>
      <c r="C10545" s="11" t="s">
        <v>2604</v>
      </c>
    </row>
    <row r="10546" spans="1:4" ht="12.75" customHeight="1" x14ac:dyDescent="0.2">
      <c r="B10546" s="11" t="s">
        <v>2605</v>
      </c>
      <c r="C10546" s="11" t="s">
        <v>24</v>
      </c>
    </row>
    <row r="10547" spans="1:4" ht="12.75" customHeight="1" x14ac:dyDescent="0.2">
      <c r="B10547" s="11" t="s">
        <v>2606</v>
      </c>
      <c r="C10547" s="16" t="s">
        <v>232</v>
      </c>
      <c r="D10547" s="6" t="str">
        <f>HYPERLINK("javascript:void(0)","ámbra")</f>
        <v>ámbra</v>
      </c>
    </row>
    <row r="10548" spans="1:4" ht="12.75" customHeight="1" x14ac:dyDescent="0.2">
      <c r="B10548" s="2"/>
      <c r="C10548" s="15"/>
      <c r="D10548" s="2"/>
    </row>
    <row r="10549" spans="1:4" ht="12.75" customHeight="1" x14ac:dyDescent="0.2">
      <c r="B10549" s="2"/>
      <c r="C10549" s="15"/>
      <c r="D10549" s="2"/>
    </row>
    <row r="10550" spans="1:4" ht="12.75" customHeight="1" x14ac:dyDescent="0.2">
      <c r="A10550" s="13" t="s">
        <v>4225</v>
      </c>
      <c r="C10550" s="12"/>
    </row>
    <row r="10551" spans="1:4" ht="12.75" customHeight="1" x14ac:dyDescent="0.2">
      <c r="A10551" s="11"/>
      <c r="B10551" s="2"/>
      <c r="C10551" s="15"/>
      <c r="D10551" s="2"/>
    </row>
    <row r="10552" spans="1:4" ht="12.75" customHeight="1" x14ac:dyDescent="0.2">
      <c r="B10552" s="11" t="s">
        <v>0</v>
      </c>
      <c r="C10552" s="11" t="s">
        <v>248</v>
      </c>
    </row>
    <row r="10553" spans="1:4" ht="12.75" customHeight="1" x14ac:dyDescent="0.2">
      <c r="B10553" s="11" t="s">
        <v>2599</v>
      </c>
      <c r="C10553" s="11" t="s">
        <v>4226</v>
      </c>
    </row>
    <row r="10554" spans="1:4" ht="25.5" customHeight="1" x14ac:dyDescent="0.2">
      <c r="B10554" s="11" t="s">
        <v>2600</v>
      </c>
      <c r="C10554" s="11" t="s">
        <v>4227</v>
      </c>
    </row>
    <row r="10555" spans="1:4" ht="25.5" customHeight="1" x14ac:dyDescent="0.2">
      <c r="B10555" s="11" t="s">
        <v>2601</v>
      </c>
      <c r="C10555" s="11"/>
    </row>
    <row r="10556" spans="1:4" ht="12.75" customHeight="1" x14ac:dyDescent="0.2">
      <c r="B10556" s="11" t="s">
        <v>16</v>
      </c>
      <c r="C10556" s="11"/>
    </row>
    <row r="10557" spans="1:4" ht="12.75" customHeight="1" x14ac:dyDescent="0.2">
      <c r="B10557" s="11" t="s">
        <v>13</v>
      </c>
      <c r="C10557" s="11" t="s">
        <v>2644</v>
      </c>
    </row>
    <row r="10558" spans="1:4" ht="12.75" customHeight="1" x14ac:dyDescent="0.2">
      <c r="B10558" s="11" t="s">
        <v>2603</v>
      </c>
      <c r="C10558" s="11" t="s">
        <v>2604</v>
      </c>
    </row>
    <row r="10559" spans="1:4" ht="12.75" customHeight="1" x14ac:dyDescent="0.2">
      <c r="B10559" s="11" t="s">
        <v>2605</v>
      </c>
      <c r="C10559" s="11" t="s">
        <v>24</v>
      </c>
    </row>
    <row r="10560" spans="1:4" ht="12.75" customHeight="1" x14ac:dyDescent="0.2">
      <c r="B10560" s="11" t="s">
        <v>2606</v>
      </c>
      <c r="C10560" s="16" t="s">
        <v>44</v>
      </c>
      <c r="D10560" s="6" t="str">
        <f>HYPERLINK("javascript:void(0)","mechodron")</f>
        <v>mechodron</v>
      </c>
    </row>
    <row r="10561" spans="1:4" ht="12.75" customHeight="1" x14ac:dyDescent="0.2">
      <c r="B10561" s="2"/>
      <c r="C10561" s="15"/>
      <c r="D10561" s="2"/>
    </row>
    <row r="10562" spans="1:4" ht="12.75" customHeight="1" x14ac:dyDescent="0.2">
      <c r="B10562" s="2"/>
      <c r="C10562" s="15"/>
      <c r="D10562" s="2"/>
    </row>
    <row r="10563" spans="1:4" ht="12.75" customHeight="1" x14ac:dyDescent="0.2">
      <c r="A10563" s="13" t="s">
        <v>4228</v>
      </c>
      <c r="C10563" s="12"/>
    </row>
    <row r="10564" spans="1:4" ht="12.75" customHeight="1" x14ac:dyDescent="0.2">
      <c r="A10564" s="11"/>
      <c r="B10564" s="2"/>
      <c r="C10564" s="15"/>
      <c r="D10564" s="2"/>
    </row>
    <row r="10565" spans="1:4" ht="12.75" customHeight="1" x14ac:dyDescent="0.2">
      <c r="B10565" s="11" t="s">
        <v>0</v>
      </c>
      <c r="C10565" s="11" t="s">
        <v>248</v>
      </c>
    </row>
    <row r="10566" spans="1:4" ht="12.75" customHeight="1" x14ac:dyDescent="0.2">
      <c r="B10566" s="11" t="s">
        <v>2599</v>
      </c>
      <c r="C10566" s="11" t="s">
        <v>2722</v>
      </c>
    </row>
    <row r="10567" spans="1:4" ht="25.5" customHeight="1" x14ac:dyDescent="0.2">
      <c r="B10567" s="11" t="s">
        <v>2600</v>
      </c>
      <c r="C10567" s="11" t="s">
        <v>4229</v>
      </c>
    </row>
    <row r="10568" spans="1:4" ht="25.5" customHeight="1" x14ac:dyDescent="0.2">
      <c r="B10568" s="11" t="s">
        <v>2601</v>
      </c>
      <c r="C10568" s="11"/>
    </row>
    <row r="10569" spans="1:4" ht="12.75" customHeight="1" x14ac:dyDescent="0.2">
      <c r="B10569" s="11" t="s">
        <v>16</v>
      </c>
      <c r="C10569" s="11"/>
    </row>
    <row r="10570" spans="1:4" ht="12.75" customHeight="1" x14ac:dyDescent="0.2">
      <c r="B10570" s="11" t="s">
        <v>13</v>
      </c>
      <c r="C10570" s="11" t="s">
        <v>2644</v>
      </c>
    </row>
    <row r="10571" spans="1:4" ht="12.75" customHeight="1" x14ac:dyDescent="0.2">
      <c r="B10571" s="11" t="s">
        <v>2603</v>
      </c>
      <c r="C10571" s="11" t="s">
        <v>2604</v>
      </c>
    </row>
    <row r="10572" spans="1:4" ht="12.75" customHeight="1" x14ac:dyDescent="0.2">
      <c r="B10572" s="11" t="s">
        <v>2605</v>
      </c>
      <c r="C10572" s="11" t="s">
        <v>24</v>
      </c>
    </row>
    <row r="10573" spans="1:4" ht="12.75" customHeight="1" x14ac:dyDescent="0.2">
      <c r="B10573" s="11" t="s">
        <v>2606</v>
      </c>
      <c r="C10573" s="16" t="s">
        <v>228</v>
      </c>
      <c r="D10573" s="6" t="str">
        <f>HYPERLINK("javascript:void(0)","kincs")</f>
        <v>kincs</v>
      </c>
    </row>
    <row r="10574" spans="1:4" ht="12.75" customHeight="1" x14ac:dyDescent="0.2">
      <c r="B10574" s="2"/>
      <c r="C10574" s="15"/>
      <c r="D10574" s="2"/>
    </row>
    <row r="10575" spans="1:4" ht="12.75" customHeight="1" x14ac:dyDescent="0.2">
      <c r="B10575" s="2"/>
      <c r="C10575" s="15"/>
      <c r="D10575" s="2"/>
    </row>
    <row r="10576" spans="1:4" ht="12.75" customHeight="1" x14ac:dyDescent="0.2">
      <c r="A10576" s="13" t="s">
        <v>4230</v>
      </c>
      <c r="C10576" s="12"/>
      <c r="D10576" s="2"/>
    </row>
    <row r="10577" spans="1:4" ht="12.75" customHeight="1" x14ac:dyDescent="0.2">
      <c r="A10577" s="11"/>
      <c r="B10577" s="2"/>
      <c r="C10577" s="15"/>
      <c r="D10577" s="2"/>
    </row>
    <row r="10578" spans="1:4" ht="12.75" customHeight="1" x14ac:dyDescent="0.2">
      <c r="B10578" s="11" t="s">
        <v>0</v>
      </c>
      <c r="C10578" s="17" t="s">
        <v>248</v>
      </c>
      <c r="D10578" s="2"/>
    </row>
    <row r="10579" spans="1:4" ht="12.75" customHeight="1" x14ac:dyDescent="0.2">
      <c r="B10579" s="11" t="s">
        <v>2599</v>
      </c>
      <c r="C10579" s="17" t="s">
        <v>922</v>
      </c>
      <c r="D10579" s="2"/>
    </row>
    <row r="10580" spans="1:4" ht="25.5" customHeight="1" x14ac:dyDescent="0.2">
      <c r="B10580" s="11" t="s">
        <v>2600</v>
      </c>
      <c r="C10580" s="17" t="s">
        <v>4231</v>
      </c>
      <c r="D10580" s="2"/>
    </row>
    <row r="10581" spans="1:4" ht="25.5" customHeight="1" x14ac:dyDescent="0.2">
      <c r="B10581" s="11" t="s">
        <v>2601</v>
      </c>
      <c r="C10581" s="17"/>
      <c r="D10581" s="2"/>
    </row>
    <row r="10582" spans="1:4" ht="12.75" customHeight="1" x14ac:dyDescent="0.2">
      <c r="B10582" s="11" t="s">
        <v>16</v>
      </c>
      <c r="C10582" s="17"/>
      <c r="D10582" s="2"/>
    </row>
    <row r="10583" spans="1:4" ht="12.75" customHeight="1" x14ac:dyDescent="0.2">
      <c r="B10583" s="11" t="s">
        <v>13</v>
      </c>
      <c r="C10583" s="17" t="s">
        <v>2644</v>
      </c>
      <c r="D10583" s="2"/>
    </row>
    <row r="10584" spans="1:4" ht="12.75" customHeight="1" x14ac:dyDescent="0.2">
      <c r="B10584" s="11" t="s">
        <v>2603</v>
      </c>
      <c r="C10584" s="17" t="s">
        <v>2604</v>
      </c>
      <c r="D10584" s="2"/>
    </row>
    <row r="10585" spans="1:4" ht="12.75" customHeight="1" x14ac:dyDescent="0.2">
      <c r="B10585" s="11" t="s">
        <v>2605</v>
      </c>
      <c r="C10585" s="17" t="s">
        <v>24</v>
      </c>
      <c r="D10585" s="2"/>
    </row>
    <row r="10586" spans="1:4" ht="12.75" customHeight="1" x14ac:dyDescent="0.2">
      <c r="B10586" s="11" t="s">
        <v>2606</v>
      </c>
      <c r="C10586" s="16" t="s">
        <v>19</v>
      </c>
      <c r="D10586" s="2"/>
    </row>
    <row r="10587" spans="1:4" ht="12.75" customHeight="1" x14ac:dyDescent="0.2">
      <c r="B10587" s="2"/>
      <c r="C10587" s="15"/>
      <c r="D10587" s="2"/>
    </row>
    <row r="10588" spans="1:4" ht="12.75" customHeight="1" x14ac:dyDescent="0.2">
      <c r="B10588" s="2"/>
      <c r="C10588" s="15"/>
      <c r="D10588" s="2"/>
    </row>
    <row r="10589" spans="1:4" ht="12.75" customHeight="1" x14ac:dyDescent="0.2">
      <c r="A10589" s="13" t="s">
        <v>4232</v>
      </c>
      <c r="C10589" s="12"/>
    </row>
    <row r="10590" spans="1:4" ht="12.75" customHeight="1" x14ac:dyDescent="0.2">
      <c r="A10590" s="11"/>
      <c r="B10590" s="2"/>
      <c r="C10590" s="15"/>
      <c r="D10590" s="2"/>
    </row>
    <row r="10591" spans="1:4" ht="12.75" customHeight="1" x14ac:dyDescent="0.2">
      <c r="B10591" s="11" t="s">
        <v>0</v>
      </c>
      <c r="C10591" s="11" t="s">
        <v>248</v>
      </c>
    </row>
    <row r="10592" spans="1:4" ht="12.75" customHeight="1" x14ac:dyDescent="0.2">
      <c r="B10592" s="11" t="s">
        <v>2599</v>
      </c>
      <c r="C10592" s="11" t="s">
        <v>4233</v>
      </c>
    </row>
    <row r="10593" spans="1:4" ht="25.5" customHeight="1" x14ac:dyDescent="0.2">
      <c r="B10593" s="11" t="s">
        <v>2600</v>
      </c>
      <c r="C10593" s="11" t="s">
        <v>4234</v>
      </c>
    </row>
    <row r="10594" spans="1:4" ht="25.5" customHeight="1" x14ac:dyDescent="0.2">
      <c r="B10594" s="11" t="s">
        <v>2601</v>
      </c>
      <c r="C10594" s="11"/>
    </row>
    <row r="10595" spans="1:4" ht="12.75" customHeight="1" x14ac:dyDescent="0.2">
      <c r="B10595" s="11" t="s">
        <v>16</v>
      </c>
      <c r="C10595" s="11"/>
    </row>
    <row r="10596" spans="1:4" ht="12.75" customHeight="1" x14ac:dyDescent="0.2">
      <c r="B10596" s="11" t="s">
        <v>13</v>
      </c>
      <c r="C10596" s="11" t="s">
        <v>2602</v>
      </c>
    </row>
    <row r="10597" spans="1:4" ht="12.75" customHeight="1" x14ac:dyDescent="0.2">
      <c r="B10597" s="11" t="s">
        <v>2603</v>
      </c>
      <c r="C10597" s="11" t="s">
        <v>2604</v>
      </c>
    </row>
    <row r="10598" spans="1:4" ht="12.75" customHeight="1" x14ac:dyDescent="0.2">
      <c r="B10598" s="11" t="s">
        <v>2605</v>
      </c>
      <c r="C10598" s="11" t="s">
        <v>24</v>
      </c>
    </row>
    <row r="10599" spans="1:4" ht="12.75" customHeight="1" x14ac:dyDescent="0.2">
      <c r="B10599" s="11" t="s">
        <v>2606</v>
      </c>
      <c r="C10599" s="16" t="s">
        <v>44</v>
      </c>
      <c r="D10599" s="6" t="str">
        <f>HYPERLINK("javascript:void(0)","betüvető")</f>
        <v>betüvető</v>
      </c>
    </row>
    <row r="10600" spans="1:4" ht="12.75" customHeight="1" x14ac:dyDescent="0.2">
      <c r="B10600" s="2"/>
      <c r="C10600" s="15"/>
      <c r="D10600" s="2"/>
    </row>
    <row r="10601" spans="1:4" ht="12.75" customHeight="1" x14ac:dyDescent="0.2">
      <c r="B10601" s="2"/>
      <c r="C10601" s="15"/>
      <c r="D10601" s="2"/>
    </row>
    <row r="10602" spans="1:4" ht="12.75" customHeight="1" x14ac:dyDescent="0.2">
      <c r="A10602" s="13" t="s">
        <v>4235</v>
      </c>
      <c r="C10602" s="12"/>
    </row>
    <row r="10603" spans="1:4" ht="12.75" customHeight="1" x14ac:dyDescent="0.2">
      <c r="A10603" s="11"/>
      <c r="B10603" s="2"/>
      <c r="C10603" s="15"/>
      <c r="D10603" s="2"/>
    </row>
    <row r="10604" spans="1:4" ht="12.75" customHeight="1" x14ac:dyDescent="0.2">
      <c r="B10604" s="11" t="s">
        <v>0</v>
      </c>
      <c r="C10604" s="11" t="s">
        <v>248</v>
      </c>
    </row>
    <row r="10605" spans="1:4" ht="12.75" customHeight="1" x14ac:dyDescent="0.2">
      <c r="B10605" s="11" t="s">
        <v>2599</v>
      </c>
      <c r="C10605" s="11" t="s">
        <v>3589</v>
      </c>
    </row>
    <row r="10606" spans="1:4" ht="25.5" customHeight="1" x14ac:dyDescent="0.2">
      <c r="B10606" s="11" t="s">
        <v>2600</v>
      </c>
      <c r="C10606" s="11" t="s">
        <v>4236</v>
      </c>
    </row>
    <row r="10607" spans="1:4" ht="25.5" customHeight="1" x14ac:dyDescent="0.2">
      <c r="B10607" s="11" t="s">
        <v>2601</v>
      </c>
      <c r="C10607" s="11"/>
    </row>
    <row r="10608" spans="1:4" ht="12.75" customHeight="1" x14ac:dyDescent="0.2">
      <c r="B10608" s="11" t="s">
        <v>16</v>
      </c>
      <c r="C10608" s="11"/>
    </row>
    <row r="10609" spans="1:4" ht="12.75" customHeight="1" x14ac:dyDescent="0.2">
      <c r="B10609" s="11" t="s">
        <v>13</v>
      </c>
      <c r="C10609" s="11" t="s">
        <v>2644</v>
      </c>
    </row>
    <row r="10610" spans="1:4" ht="12.75" customHeight="1" x14ac:dyDescent="0.2">
      <c r="B10610" s="11" t="s">
        <v>2603</v>
      </c>
      <c r="C10610" s="11" t="s">
        <v>2604</v>
      </c>
    </row>
    <row r="10611" spans="1:4" ht="12.75" customHeight="1" x14ac:dyDescent="0.2">
      <c r="B10611" s="11" t="s">
        <v>2605</v>
      </c>
      <c r="C10611" s="11" t="s">
        <v>24</v>
      </c>
    </row>
    <row r="10612" spans="1:4" ht="12.75" customHeight="1" x14ac:dyDescent="0.2">
      <c r="B10612" s="11" t="s">
        <v>2606</v>
      </c>
      <c r="C10612" s="16" t="s">
        <v>56</v>
      </c>
      <c r="D10612" s="6" t="str">
        <f>HYPERLINK("javascript:void(0)","tűzige")</f>
        <v>tűzige</v>
      </c>
    </row>
    <row r="10613" spans="1:4" ht="12.75" customHeight="1" x14ac:dyDescent="0.2">
      <c r="C10613" s="16" t="s">
        <v>196</v>
      </c>
      <c r="D10613" s="6" t="str">
        <f>HYPERLINK("javascript:void(0)","kincs")</f>
        <v>kincs</v>
      </c>
    </row>
    <row r="10614" spans="1:4" ht="12.75" customHeight="1" x14ac:dyDescent="0.2">
      <c r="B10614" s="2"/>
      <c r="C10614" s="15"/>
      <c r="D10614" s="2"/>
    </row>
    <row r="10615" spans="1:4" ht="12.75" customHeight="1" x14ac:dyDescent="0.2">
      <c r="B10615" s="2"/>
      <c r="C10615" s="15"/>
      <c r="D10615" s="2"/>
    </row>
    <row r="10616" spans="1:4" ht="12.75" customHeight="1" x14ac:dyDescent="0.2">
      <c r="A10616" s="13" t="s">
        <v>4237</v>
      </c>
      <c r="C10616" s="12"/>
    </row>
    <row r="10617" spans="1:4" ht="12.75" customHeight="1" x14ac:dyDescent="0.2">
      <c r="A10617" s="11"/>
      <c r="B10617" s="2"/>
      <c r="C10617" s="15"/>
      <c r="D10617" s="2"/>
    </row>
    <row r="10618" spans="1:4" ht="12.75" customHeight="1" x14ac:dyDescent="0.2">
      <c r="B10618" s="11" t="s">
        <v>0</v>
      </c>
      <c r="C10618" s="11" t="s">
        <v>248</v>
      </c>
    </row>
    <row r="10619" spans="1:4" ht="12.75" customHeight="1" x14ac:dyDescent="0.2">
      <c r="B10619" s="11" t="s">
        <v>2599</v>
      </c>
      <c r="C10619" s="11" t="s">
        <v>4238</v>
      </c>
    </row>
    <row r="10620" spans="1:4" ht="25.5" customHeight="1" x14ac:dyDescent="0.2">
      <c r="B10620" s="11" t="s">
        <v>2600</v>
      </c>
      <c r="C10620" s="11" t="s">
        <v>4239</v>
      </c>
    </row>
    <row r="10621" spans="1:4" ht="25.5" customHeight="1" x14ac:dyDescent="0.2">
      <c r="B10621" s="11" t="s">
        <v>2601</v>
      </c>
      <c r="C10621" s="11"/>
    </row>
    <row r="10622" spans="1:4" ht="12.75" customHeight="1" x14ac:dyDescent="0.2">
      <c r="B10622" s="11" t="s">
        <v>16</v>
      </c>
      <c r="C10622" s="11"/>
    </row>
    <row r="10623" spans="1:4" ht="12.75" customHeight="1" x14ac:dyDescent="0.2">
      <c r="B10623" s="11" t="s">
        <v>13</v>
      </c>
      <c r="C10623" s="11" t="s">
        <v>2602</v>
      </c>
    </row>
    <row r="10624" spans="1:4" ht="12.75" customHeight="1" x14ac:dyDescent="0.2">
      <c r="B10624" s="11" t="s">
        <v>2603</v>
      </c>
      <c r="C10624" s="11" t="s">
        <v>2604</v>
      </c>
    </row>
    <row r="10625" spans="1:4" ht="12.75" customHeight="1" x14ac:dyDescent="0.2">
      <c r="B10625" s="11" t="s">
        <v>2605</v>
      </c>
      <c r="C10625" s="11" t="s">
        <v>24</v>
      </c>
    </row>
    <row r="10626" spans="1:4" ht="12.75" customHeight="1" x14ac:dyDescent="0.2">
      <c r="B10626" s="11" t="s">
        <v>2606</v>
      </c>
      <c r="C10626" s="16" t="s">
        <v>44</v>
      </c>
      <c r="D10626" s="6" t="str">
        <f>HYPERLINK("javascript:void(0)","kispárna")</f>
        <v>kispárna</v>
      </c>
    </row>
    <row r="10627" spans="1:4" ht="12.75" customHeight="1" x14ac:dyDescent="0.2">
      <c r="B10627" s="2"/>
      <c r="C10627" s="15"/>
      <c r="D10627" s="2"/>
    </row>
    <row r="10628" spans="1:4" ht="12.75" customHeight="1" x14ac:dyDescent="0.2">
      <c r="B10628" s="2"/>
      <c r="C10628" s="15"/>
      <c r="D10628" s="2"/>
    </row>
    <row r="10629" spans="1:4" ht="12.75" customHeight="1" x14ac:dyDescent="0.2">
      <c r="A10629" s="13" t="s">
        <v>4240</v>
      </c>
      <c r="C10629" s="12"/>
    </row>
    <row r="10630" spans="1:4" ht="12.75" customHeight="1" x14ac:dyDescent="0.2">
      <c r="A10630" s="11"/>
      <c r="B10630" s="2"/>
      <c r="C10630" s="15"/>
      <c r="D10630" s="2"/>
    </row>
    <row r="10631" spans="1:4" ht="12.75" customHeight="1" x14ac:dyDescent="0.2">
      <c r="B10631" s="11" t="s">
        <v>0</v>
      </c>
      <c r="C10631" s="11" t="s">
        <v>248</v>
      </c>
    </row>
    <row r="10632" spans="1:4" ht="12.75" customHeight="1" x14ac:dyDescent="0.2">
      <c r="B10632" s="11" t="s">
        <v>2599</v>
      </c>
      <c r="C10632" s="11" t="s">
        <v>4241</v>
      </c>
    </row>
    <row r="10633" spans="1:4" ht="25.5" customHeight="1" x14ac:dyDescent="0.2">
      <c r="B10633" s="11" t="s">
        <v>2600</v>
      </c>
      <c r="C10633" s="11" t="s">
        <v>4242</v>
      </c>
    </row>
    <row r="10634" spans="1:4" ht="25.5" customHeight="1" x14ac:dyDescent="0.2">
      <c r="B10634" s="11" t="s">
        <v>2601</v>
      </c>
      <c r="C10634" s="11"/>
    </row>
    <row r="10635" spans="1:4" ht="12.75" customHeight="1" x14ac:dyDescent="0.2">
      <c r="B10635" s="11" t="s">
        <v>16</v>
      </c>
      <c r="C10635" s="11"/>
    </row>
    <row r="10636" spans="1:4" ht="12.75" customHeight="1" x14ac:dyDescent="0.2">
      <c r="B10636" s="11" t="s">
        <v>13</v>
      </c>
      <c r="C10636" s="11" t="s">
        <v>2602</v>
      </c>
    </row>
    <row r="10637" spans="1:4" ht="12.75" customHeight="1" x14ac:dyDescent="0.2">
      <c r="B10637" s="11" t="s">
        <v>2603</v>
      </c>
      <c r="C10637" s="11" t="s">
        <v>2604</v>
      </c>
    </row>
    <row r="10638" spans="1:4" ht="12.75" customHeight="1" x14ac:dyDescent="0.2">
      <c r="B10638" s="11" t="s">
        <v>2605</v>
      </c>
      <c r="C10638" s="11" t="s">
        <v>24</v>
      </c>
    </row>
    <row r="10639" spans="1:4" ht="12.75" customHeight="1" x14ac:dyDescent="0.2">
      <c r="B10639" s="11" t="s">
        <v>2606</v>
      </c>
      <c r="C10639" s="16" t="s">
        <v>132</v>
      </c>
      <c r="D10639" s="6" t="str">
        <f>HYPERLINK("javascript:void(0)","kincs")</f>
        <v>kincs</v>
      </c>
    </row>
    <row r="10640" spans="1:4" ht="12.75" customHeight="1" x14ac:dyDescent="0.2">
      <c r="B10640" s="2"/>
      <c r="C10640" s="15"/>
      <c r="D10640" s="2"/>
    </row>
    <row r="10641" spans="1:4" ht="12.75" customHeight="1" x14ac:dyDescent="0.2">
      <c r="B10641" s="2"/>
      <c r="C10641" s="15"/>
      <c r="D10641" s="2"/>
    </row>
    <row r="10642" spans="1:4" ht="12.75" customHeight="1" x14ac:dyDescent="0.2">
      <c r="A10642" s="13" t="s">
        <v>2782</v>
      </c>
      <c r="C10642" s="12"/>
    </row>
    <row r="10643" spans="1:4" ht="12.75" customHeight="1" x14ac:dyDescent="0.2">
      <c r="A10643" s="11"/>
      <c r="B10643" s="2"/>
      <c r="C10643" s="15"/>
      <c r="D10643" s="2"/>
    </row>
    <row r="10644" spans="1:4" ht="12.75" customHeight="1" x14ac:dyDescent="0.2">
      <c r="B10644" s="11" t="s">
        <v>0</v>
      </c>
      <c r="C10644" s="11" t="s">
        <v>635</v>
      </c>
    </row>
    <row r="10645" spans="1:4" ht="12.75" customHeight="1" x14ac:dyDescent="0.2">
      <c r="B10645" s="11" t="s">
        <v>2599</v>
      </c>
      <c r="C10645" s="11" t="s">
        <v>4243</v>
      </c>
    </row>
    <row r="10646" spans="1:4" ht="25.5" customHeight="1" x14ac:dyDescent="0.2">
      <c r="B10646" s="11" t="s">
        <v>2600</v>
      </c>
      <c r="C10646" s="11" t="s">
        <v>4244</v>
      </c>
    </row>
    <row r="10647" spans="1:4" ht="25.5" customHeight="1" x14ac:dyDescent="0.2">
      <c r="B10647" s="11" t="s">
        <v>2601</v>
      </c>
      <c r="C10647" s="11"/>
    </row>
    <row r="10648" spans="1:4" ht="12.75" customHeight="1" x14ac:dyDescent="0.2">
      <c r="B10648" s="11" t="s">
        <v>16</v>
      </c>
      <c r="C10648" s="11"/>
    </row>
    <row r="10649" spans="1:4" ht="12.75" customHeight="1" x14ac:dyDescent="0.2">
      <c r="B10649" s="11" t="s">
        <v>13</v>
      </c>
      <c r="C10649" s="11" t="s">
        <v>2602</v>
      </c>
    </row>
    <row r="10650" spans="1:4" ht="12.75" customHeight="1" x14ac:dyDescent="0.2">
      <c r="B10650" s="11" t="s">
        <v>2603</v>
      </c>
      <c r="C10650" s="11" t="s">
        <v>2604</v>
      </c>
    </row>
    <row r="10651" spans="1:4" ht="12.75" customHeight="1" x14ac:dyDescent="0.2">
      <c r="B10651" s="11" t="s">
        <v>2605</v>
      </c>
      <c r="C10651" s="11" t="s">
        <v>14</v>
      </c>
    </row>
    <row r="10652" spans="1:4" ht="12.75" customHeight="1" x14ac:dyDescent="0.2">
      <c r="B10652" s="11" t="s">
        <v>2606</v>
      </c>
      <c r="C10652" s="16" t="s">
        <v>44</v>
      </c>
      <c r="D10652" s="6" t="str">
        <f>HYPERLINK("javascript:void(0)","alakváltókő")</f>
        <v>alakváltókő</v>
      </c>
    </row>
    <row r="10653" spans="1:4" ht="12.75" customHeight="1" x14ac:dyDescent="0.2">
      <c r="B10653" s="2"/>
      <c r="C10653" s="15"/>
      <c r="D10653" s="2"/>
    </row>
    <row r="10654" spans="1:4" ht="12.75" customHeight="1" x14ac:dyDescent="0.2">
      <c r="B10654" s="2"/>
      <c r="C10654" s="15"/>
      <c r="D10654" s="2"/>
    </row>
    <row r="10655" spans="1:4" ht="12.75" customHeight="1" x14ac:dyDescent="0.2">
      <c r="A10655" s="13" t="s">
        <v>4138</v>
      </c>
      <c r="C10655" s="12"/>
      <c r="D10655" s="2"/>
    </row>
    <row r="10656" spans="1:4" ht="12.75" customHeight="1" x14ac:dyDescent="0.2">
      <c r="A10656" s="11"/>
      <c r="B10656" s="2"/>
      <c r="C10656" s="15"/>
      <c r="D10656" s="2"/>
    </row>
    <row r="10657" spans="1:4" ht="12.75" customHeight="1" x14ac:dyDescent="0.2">
      <c r="B10657" s="11" t="s">
        <v>0</v>
      </c>
      <c r="C10657" s="17" t="s">
        <v>635</v>
      </c>
      <c r="D10657" s="2"/>
    </row>
    <row r="10658" spans="1:4" ht="12.75" customHeight="1" x14ac:dyDescent="0.2">
      <c r="B10658" s="11" t="s">
        <v>2599</v>
      </c>
      <c r="C10658" s="17" t="s">
        <v>355</v>
      </c>
      <c r="D10658" s="2"/>
    </row>
    <row r="10659" spans="1:4" ht="25.5" customHeight="1" x14ac:dyDescent="0.2">
      <c r="B10659" s="11" t="s">
        <v>2600</v>
      </c>
      <c r="C10659" s="17" t="s">
        <v>4245</v>
      </c>
      <c r="D10659" s="2"/>
    </row>
    <row r="10660" spans="1:4" ht="25.5" customHeight="1" x14ac:dyDescent="0.2">
      <c r="B10660" s="11" t="s">
        <v>2601</v>
      </c>
      <c r="C10660" s="17"/>
      <c r="D10660" s="2"/>
    </row>
    <row r="10661" spans="1:4" ht="12.75" customHeight="1" x14ac:dyDescent="0.2">
      <c r="B10661" s="11" t="s">
        <v>16</v>
      </c>
      <c r="C10661" s="17"/>
      <c r="D10661" s="2"/>
    </row>
    <row r="10662" spans="1:4" ht="12.75" customHeight="1" x14ac:dyDescent="0.2">
      <c r="B10662" s="11" t="s">
        <v>13</v>
      </c>
      <c r="C10662" s="17" t="s">
        <v>2602</v>
      </c>
      <c r="D10662" s="2"/>
    </row>
    <row r="10663" spans="1:4" ht="25.5" customHeight="1" x14ac:dyDescent="0.2">
      <c r="B10663" s="11" t="s">
        <v>2603</v>
      </c>
      <c r="C10663" s="17" t="s">
        <v>2971</v>
      </c>
      <c r="D10663" s="2"/>
    </row>
    <row r="10664" spans="1:4" ht="12.75" customHeight="1" x14ac:dyDescent="0.2">
      <c r="B10664" s="11" t="s">
        <v>2605</v>
      </c>
      <c r="C10664" s="17" t="s">
        <v>14</v>
      </c>
      <c r="D10664" s="2"/>
    </row>
    <row r="10665" spans="1:4" ht="12.75" customHeight="1" x14ac:dyDescent="0.2">
      <c r="B10665" s="11" t="s">
        <v>2606</v>
      </c>
      <c r="C10665" s="16" t="s">
        <v>19</v>
      </c>
      <c r="D10665" s="2"/>
    </row>
    <row r="10666" spans="1:4" ht="12.75" customHeight="1" x14ac:dyDescent="0.2">
      <c r="B10666" s="2"/>
      <c r="C10666" s="15"/>
      <c r="D10666" s="2"/>
    </row>
    <row r="10667" spans="1:4" ht="12.75" customHeight="1" x14ac:dyDescent="0.2">
      <c r="B10667" s="2"/>
      <c r="C10667" s="15"/>
      <c r="D10667" s="2"/>
    </row>
    <row r="10668" spans="1:4" ht="12.75" customHeight="1" x14ac:dyDescent="0.2">
      <c r="A10668" s="13" t="s">
        <v>4140</v>
      </c>
      <c r="C10668" s="12"/>
      <c r="D10668" s="2"/>
    </row>
    <row r="10669" spans="1:4" ht="12.75" customHeight="1" x14ac:dyDescent="0.2">
      <c r="A10669" s="11"/>
      <c r="B10669" s="2"/>
      <c r="C10669" s="15"/>
      <c r="D10669" s="2"/>
    </row>
    <row r="10670" spans="1:4" ht="12.75" customHeight="1" x14ac:dyDescent="0.2">
      <c r="B10670" s="11" t="s">
        <v>0</v>
      </c>
      <c r="C10670" s="17" t="s">
        <v>635</v>
      </c>
      <c r="D10670" s="2"/>
    </row>
    <row r="10671" spans="1:4" ht="12.75" customHeight="1" x14ac:dyDescent="0.2">
      <c r="B10671" s="11" t="s">
        <v>2599</v>
      </c>
      <c r="C10671" s="17" t="s">
        <v>4141</v>
      </c>
      <c r="D10671" s="2"/>
    </row>
    <row r="10672" spans="1:4" ht="25.5" customHeight="1" x14ac:dyDescent="0.2">
      <c r="B10672" s="11" t="s">
        <v>2600</v>
      </c>
      <c r="C10672" s="17" t="s">
        <v>4246</v>
      </c>
      <c r="D10672" s="2"/>
    </row>
    <row r="10673" spans="1:4" ht="25.5" customHeight="1" x14ac:dyDescent="0.2">
      <c r="B10673" s="11" t="s">
        <v>2601</v>
      </c>
      <c r="C10673" s="17"/>
      <c r="D10673" s="2"/>
    </row>
    <row r="10674" spans="1:4" ht="12.75" customHeight="1" x14ac:dyDescent="0.2">
      <c r="B10674" s="11" t="s">
        <v>16</v>
      </c>
      <c r="C10674" s="17"/>
      <c r="D10674" s="2"/>
    </row>
    <row r="10675" spans="1:4" ht="12.75" customHeight="1" x14ac:dyDescent="0.2">
      <c r="B10675" s="11" t="s">
        <v>13</v>
      </c>
      <c r="C10675" s="17" t="s">
        <v>2644</v>
      </c>
      <c r="D10675" s="2"/>
    </row>
    <row r="10676" spans="1:4" ht="25.5" customHeight="1" x14ac:dyDescent="0.2">
      <c r="B10676" s="11" t="s">
        <v>2603</v>
      </c>
      <c r="C10676" s="17" t="s">
        <v>2971</v>
      </c>
      <c r="D10676" s="2"/>
    </row>
    <row r="10677" spans="1:4" ht="12.75" customHeight="1" x14ac:dyDescent="0.2">
      <c r="B10677" s="11" t="s">
        <v>2605</v>
      </c>
      <c r="C10677" s="17" t="s">
        <v>14</v>
      </c>
      <c r="D10677" s="2"/>
    </row>
    <row r="10678" spans="1:4" ht="12.75" customHeight="1" x14ac:dyDescent="0.2">
      <c r="B10678" s="11" t="s">
        <v>2606</v>
      </c>
      <c r="C10678" s="16" t="s">
        <v>19</v>
      </c>
      <c r="D10678" s="2"/>
    </row>
    <row r="10679" spans="1:4" ht="12.75" customHeight="1" x14ac:dyDescent="0.2">
      <c r="B10679" s="2"/>
      <c r="C10679" s="15"/>
      <c r="D10679" s="2"/>
    </row>
    <row r="10680" spans="1:4" ht="12.75" customHeight="1" x14ac:dyDescent="0.2">
      <c r="B10680" s="2"/>
      <c r="C10680" s="15"/>
      <c r="D10680" s="2"/>
    </row>
    <row r="10681" spans="1:4" ht="12.75" customHeight="1" x14ac:dyDescent="0.2">
      <c r="A10681" s="13" t="s">
        <v>4143</v>
      </c>
      <c r="C10681" s="12"/>
      <c r="D10681" s="2"/>
    </row>
    <row r="10682" spans="1:4" ht="12.75" customHeight="1" x14ac:dyDescent="0.2">
      <c r="A10682" s="11"/>
      <c r="B10682" s="2"/>
      <c r="C10682" s="15"/>
      <c r="D10682" s="2"/>
    </row>
    <row r="10683" spans="1:4" ht="12.75" customHeight="1" x14ac:dyDescent="0.2">
      <c r="B10683" s="11" t="s">
        <v>0</v>
      </c>
      <c r="C10683" s="17" t="s">
        <v>635</v>
      </c>
      <c r="D10683" s="2"/>
    </row>
    <row r="10684" spans="1:4" ht="12.75" customHeight="1" x14ac:dyDescent="0.2">
      <c r="B10684" s="11" t="s">
        <v>2599</v>
      </c>
      <c r="C10684" s="17" t="s">
        <v>4144</v>
      </c>
      <c r="D10684" s="2"/>
    </row>
    <row r="10685" spans="1:4" ht="25.5" customHeight="1" x14ac:dyDescent="0.2">
      <c r="B10685" s="11" t="s">
        <v>2600</v>
      </c>
      <c r="C10685" s="17" t="s">
        <v>4247</v>
      </c>
      <c r="D10685" s="2"/>
    </row>
    <row r="10686" spans="1:4" ht="25.5" customHeight="1" x14ac:dyDescent="0.2">
      <c r="B10686" s="11" t="s">
        <v>2601</v>
      </c>
      <c r="C10686" s="17"/>
      <c r="D10686" s="2"/>
    </row>
    <row r="10687" spans="1:4" ht="12.75" customHeight="1" x14ac:dyDescent="0.2">
      <c r="B10687" s="11" t="s">
        <v>16</v>
      </c>
      <c r="C10687" s="17"/>
      <c r="D10687" s="2"/>
    </row>
    <row r="10688" spans="1:4" ht="12.75" customHeight="1" x14ac:dyDescent="0.2">
      <c r="B10688" s="11" t="s">
        <v>13</v>
      </c>
      <c r="C10688" s="17" t="s">
        <v>2602</v>
      </c>
      <c r="D10688" s="2"/>
    </row>
    <row r="10689" spans="1:4" ht="25.5" customHeight="1" x14ac:dyDescent="0.2">
      <c r="B10689" s="11" t="s">
        <v>2603</v>
      </c>
      <c r="C10689" s="17" t="s">
        <v>2971</v>
      </c>
      <c r="D10689" s="2"/>
    </row>
    <row r="10690" spans="1:4" ht="12.75" customHeight="1" x14ac:dyDescent="0.2">
      <c r="B10690" s="11" t="s">
        <v>2605</v>
      </c>
      <c r="C10690" s="17" t="s">
        <v>14</v>
      </c>
      <c r="D10690" s="2"/>
    </row>
    <row r="10691" spans="1:4" ht="12.75" customHeight="1" x14ac:dyDescent="0.2">
      <c r="B10691" s="11" t="s">
        <v>2606</v>
      </c>
      <c r="C10691" s="16" t="s">
        <v>19</v>
      </c>
      <c r="D10691" s="2"/>
    </row>
    <row r="10692" spans="1:4" ht="12.75" customHeight="1" x14ac:dyDescent="0.2">
      <c r="B10692" s="2"/>
      <c r="C10692" s="15"/>
      <c r="D10692" s="2"/>
    </row>
    <row r="10693" spans="1:4" ht="12.75" customHeight="1" x14ac:dyDescent="0.2">
      <c r="B10693" s="2"/>
      <c r="C10693" s="15"/>
      <c r="D10693" s="2"/>
    </row>
    <row r="10694" spans="1:4" ht="12.75" customHeight="1" x14ac:dyDescent="0.2">
      <c r="A10694" s="13" t="s">
        <v>4248</v>
      </c>
      <c r="C10694" s="12"/>
    </row>
    <row r="10695" spans="1:4" ht="12.75" customHeight="1" x14ac:dyDescent="0.2">
      <c r="A10695" s="11"/>
      <c r="B10695" s="2"/>
      <c r="C10695" s="15"/>
      <c r="D10695" s="2"/>
    </row>
    <row r="10696" spans="1:4" ht="12.75" customHeight="1" x14ac:dyDescent="0.2">
      <c r="B10696" s="11" t="s">
        <v>0</v>
      </c>
      <c r="C10696" s="11" t="s">
        <v>635</v>
      </c>
    </row>
    <row r="10697" spans="1:4" ht="12.75" customHeight="1" x14ac:dyDescent="0.2">
      <c r="B10697" s="11" t="s">
        <v>2599</v>
      </c>
      <c r="C10697" s="11" t="s">
        <v>2855</v>
      </c>
    </row>
    <row r="10698" spans="1:4" ht="25.5" customHeight="1" x14ac:dyDescent="0.2">
      <c r="B10698" s="11" t="s">
        <v>2600</v>
      </c>
      <c r="C10698" s="11" t="s">
        <v>4249</v>
      </c>
    </row>
    <row r="10699" spans="1:4" ht="25.5" customHeight="1" x14ac:dyDescent="0.2">
      <c r="B10699" s="11" t="s">
        <v>2601</v>
      </c>
      <c r="C10699" s="11"/>
    </row>
    <row r="10700" spans="1:4" ht="12.75" customHeight="1" x14ac:dyDescent="0.2">
      <c r="B10700" s="11" t="s">
        <v>16</v>
      </c>
      <c r="C10700" s="11"/>
    </row>
    <row r="10701" spans="1:4" ht="12.75" customHeight="1" x14ac:dyDescent="0.2">
      <c r="B10701" s="11" t="s">
        <v>13</v>
      </c>
      <c r="C10701" s="11" t="s">
        <v>2644</v>
      </c>
    </row>
    <row r="10702" spans="1:4" ht="12.75" customHeight="1" x14ac:dyDescent="0.2">
      <c r="B10702" s="11" t="s">
        <v>2603</v>
      </c>
      <c r="C10702" s="11" t="s">
        <v>2604</v>
      </c>
    </row>
    <row r="10703" spans="1:4" ht="12.75" customHeight="1" x14ac:dyDescent="0.2">
      <c r="B10703" s="11" t="s">
        <v>2605</v>
      </c>
      <c r="C10703" s="11" t="s">
        <v>24</v>
      </c>
    </row>
    <row r="10704" spans="1:4" ht="12.75" customHeight="1" x14ac:dyDescent="0.2">
      <c r="B10704" s="11" t="s">
        <v>2606</v>
      </c>
      <c r="C10704" s="16" t="s">
        <v>77</v>
      </c>
      <c r="D10704" s="6" t="str">
        <f>HYPERLINK("javascript:void(0)","földige")</f>
        <v>földige</v>
      </c>
    </row>
    <row r="10705" spans="1:4" ht="25.5" customHeight="1" x14ac:dyDescent="0.2">
      <c r="C10705" s="16" t="s">
        <v>44</v>
      </c>
      <c r="D10705" s="6" t="str">
        <f>HYPERLINK("javascript:void(0)","szent szimbólum")</f>
        <v>szent szimbólum</v>
      </c>
    </row>
    <row r="10706" spans="1:4" ht="12.75" customHeight="1" x14ac:dyDescent="0.2">
      <c r="B10706" s="2"/>
      <c r="C10706" s="15"/>
      <c r="D10706" s="2"/>
    </row>
    <row r="10707" spans="1:4" ht="12.75" customHeight="1" x14ac:dyDescent="0.2">
      <c r="B10707" s="2"/>
      <c r="C10707" s="15"/>
      <c r="D10707" s="2"/>
    </row>
    <row r="10708" spans="1:4" ht="12.75" customHeight="1" x14ac:dyDescent="0.2">
      <c r="A10708" s="13" t="s">
        <v>4250</v>
      </c>
      <c r="C10708" s="12"/>
    </row>
    <row r="10709" spans="1:4" ht="12.75" customHeight="1" x14ac:dyDescent="0.2">
      <c r="A10709" s="11"/>
      <c r="B10709" s="2"/>
      <c r="C10709" s="15"/>
      <c r="D10709" s="2"/>
    </row>
    <row r="10710" spans="1:4" ht="12.75" customHeight="1" x14ac:dyDescent="0.2">
      <c r="B10710" s="11" t="s">
        <v>0</v>
      </c>
      <c r="C10710" s="11" t="s">
        <v>635</v>
      </c>
    </row>
    <row r="10711" spans="1:4" ht="12.75" customHeight="1" x14ac:dyDescent="0.2">
      <c r="B10711" s="11" t="s">
        <v>2599</v>
      </c>
      <c r="C10711" s="11" t="s">
        <v>4243</v>
      </c>
    </row>
    <row r="10712" spans="1:4" ht="25.5" customHeight="1" x14ac:dyDescent="0.2">
      <c r="B10712" s="11" t="s">
        <v>2600</v>
      </c>
      <c r="C10712" s="11" t="s">
        <v>4251</v>
      </c>
    </row>
    <row r="10713" spans="1:4" ht="25.5" customHeight="1" x14ac:dyDescent="0.2">
      <c r="B10713" s="11" t="s">
        <v>2601</v>
      </c>
      <c r="C10713" s="11"/>
    </row>
    <row r="10714" spans="1:4" ht="12.75" customHeight="1" x14ac:dyDescent="0.2">
      <c r="B10714" s="11" t="s">
        <v>16</v>
      </c>
      <c r="C10714" s="11"/>
    </row>
    <row r="10715" spans="1:4" ht="12.75" customHeight="1" x14ac:dyDescent="0.2">
      <c r="B10715" s="11" t="s">
        <v>13</v>
      </c>
      <c r="C10715" s="11" t="s">
        <v>2602</v>
      </c>
    </row>
    <row r="10716" spans="1:4" ht="12.75" customHeight="1" x14ac:dyDescent="0.2">
      <c r="B10716" s="11" t="s">
        <v>2603</v>
      </c>
      <c r="C10716" s="11" t="s">
        <v>2604</v>
      </c>
    </row>
    <row r="10717" spans="1:4" ht="12.75" customHeight="1" x14ac:dyDescent="0.2">
      <c r="B10717" s="11" t="s">
        <v>2605</v>
      </c>
      <c r="C10717" s="11" t="s">
        <v>24</v>
      </c>
    </row>
    <row r="10718" spans="1:4" ht="12.75" customHeight="1" x14ac:dyDescent="0.2">
      <c r="B10718" s="11" t="s">
        <v>2606</v>
      </c>
      <c r="C10718" s="16" t="s">
        <v>77</v>
      </c>
      <c r="D10718" s="6" t="str">
        <f>HYPERLINK("javascript:void(0)","nukleon")</f>
        <v>nukleon</v>
      </c>
    </row>
    <row r="10719" spans="1:4" ht="12.75" customHeight="1" x14ac:dyDescent="0.2">
      <c r="B10719" s="2"/>
      <c r="C10719" s="15"/>
      <c r="D10719" s="2"/>
    </row>
    <row r="10720" spans="1:4" ht="12.75" customHeight="1" x14ac:dyDescent="0.2">
      <c r="B10720" s="2"/>
      <c r="C10720" s="15"/>
      <c r="D10720" s="2"/>
    </row>
    <row r="10721" spans="1:4" ht="12.75" customHeight="1" x14ac:dyDescent="0.2">
      <c r="A10721" s="13" t="s">
        <v>4252</v>
      </c>
      <c r="C10721" s="12"/>
    </row>
    <row r="10722" spans="1:4" ht="12.75" customHeight="1" x14ac:dyDescent="0.2">
      <c r="A10722" s="11"/>
      <c r="B10722" s="2"/>
      <c r="C10722" s="15"/>
      <c r="D10722" s="2"/>
    </row>
    <row r="10723" spans="1:4" ht="12.75" customHeight="1" x14ac:dyDescent="0.2">
      <c r="B10723" s="11" t="s">
        <v>0</v>
      </c>
      <c r="C10723" s="11" t="s">
        <v>635</v>
      </c>
    </row>
    <row r="10724" spans="1:4" ht="12.75" customHeight="1" x14ac:dyDescent="0.2">
      <c r="B10724" s="11" t="s">
        <v>2599</v>
      </c>
      <c r="C10724" s="11" t="s">
        <v>3251</v>
      </c>
    </row>
    <row r="10725" spans="1:4" ht="25.5" customHeight="1" x14ac:dyDescent="0.2">
      <c r="B10725" s="11" t="s">
        <v>2600</v>
      </c>
      <c r="C10725" s="11" t="s">
        <v>4253</v>
      </c>
    </row>
    <row r="10726" spans="1:4" ht="25.5" customHeight="1" x14ac:dyDescent="0.2">
      <c r="B10726" s="11" t="s">
        <v>2601</v>
      </c>
      <c r="C10726" s="11"/>
    </row>
    <row r="10727" spans="1:4" ht="12.75" customHeight="1" x14ac:dyDescent="0.2">
      <c r="B10727" s="11" t="s">
        <v>16</v>
      </c>
      <c r="C10727" s="11"/>
    </row>
    <row r="10728" spans="1:4" ht="12.75" customHeight="1" x14ac:dyDescent="0.2">
      <c r="B10728" s="11" t="s">
        <v>13</v>
      </c>
      <c r="C10728" s="11" t="s">
        <v>2602</v>
      </c>
    </row>
    <row r="10729" spans="1:4" ht="12.75" customHeight="1" x14ac:dyDescent="0.2">
      <c r="B10729" s="11" t="s">
        <v>2603</v>
      </c>
      <c r="C10729" s="11" t="s">
        <v>2604</v>
      </c>
    </row>
    <row r="10730" spans="1:4" ht="12.75" customHeight="1" x14ac:dyDescent="0.2">
      <c r="B10730" s="11" t="s">
        <v>2605</v>
      </c>
      <c r="C10730" s="11" t="s">
        <v>24</v>
      </c>
    </row>
    <row r="10731" spans="1:4" ht="12.75" customHeight="1" x14ac:dyDescent="0.2">
      <c r="B10731" s="11" t="s">
        <v>2606</v>
      </c>
      <c r="C10731" s="16" t="s">
        <v>244</v>
      </c>
      <c r="D10731" s="6" t="str">
        <f>HYPERLINK("javascript:void(0)","kincs")</f>
        <v>kincs</v>
      </c>
    </row>
    <row r="10732" spans="1:4" ht="12.75" customHeight="1" x14ac:dyDescent="0.2">
      <c r="B10732" s="2"/>
      <c r="C10732" s="15"/>
      <c r="D10732" s="2"/>
    </row>
    <row r="10733" spans="1:4" ht="12.75" customHeight="1" x14ac:dyDescent="0.2">
      <c r="B10733" s="2"/>
      <c r="C10733" s="15"/>
      <c r="D10733" s="2"/>
    </row>
    <row r="10734" spans="1:4" ht="12.75" customHeight="1" x14ac:dyDescent="0.2">
      <c r="A10734" s="13" t="s">
        <v>4254</v>
      </c>
      <c r="C10734" s="12"/>
    </row>
    <row r="10735" spans="1:4" ht="12.75" customHeight="1" x14ac:dyDescent="0.2">
      <c r="A10735" s="11"/>
      <c r="B10735" s="2"/>
      <c r="C10735" s="15"/>
      <c r="D10735" s="2"/>
    </row>
    <row r="10736" spans="1:4" ht="12.75" customHeight="1" x14ac:dyDescent="0.2">
      <c r="B10736" s="11" t="s">
        <v>0</v>
      </c>
      <c r="C10736" s="11" t="s">
        <v>635</v>
      </c>
    </row>
    <row r="10737" spans="1:4" ht="12.75" customHeight="1" x14ac:dyDescent="0.2">
      <c r="B10737" s="11" t="s">
        <v>2599</v>
      </c>
      <c r="C10737" s="11" t="s">
        <v>4255</v>
      </c>
    </row>
    <row r="10738" spans="1:4" ht="25.5" customHeight="1" x14ac:dyDescent="0.2">
      <c r="B10738" s="11" t="s">
        <v>2600</v>
      </c>
      <c r="C10738" s="11" t="s">
        <v>4256</v>
      </c>
    </row>
    <row r="10739" spans="1:4" ht="25.5" customHeight="1" x14ac:dyDescent="0.2">
      <c r="B10739" s="11" t="s">
        <v>2601</v>
      </c>
      <c r="C10739" s="11"/>
    </row>
    <row r="10740" spans="1:4" ht="12.75" customHeight="1" x14ac:dyDescent="0.2">
      <c r="B10740" s="11" t="s">
        <v>16</v>
      </c>
      <c r="C10740" s="11"/>
    </row>
    <row r="10741" spans="1:4" ht="12.75" customHeight="1" x14ac:dyDescent="0.2">
      <c r="B10741" s="11" t="s">
        <v>13</v>
      </c>
      <c r="C10741" s="11" t="s">
        <v>2602</v>
      </c>
    </row>
    <row r="10742" spans="1:4" ht="12.75" customHeight="1" x14ac:dyDescent="0.2">
      <c r="B10742" s="11" t="s">
        <v>2603</v>
      </c>
      <c r="C10742" s="11" t="s">
        <v>2604</v>
      </c>
    </row>
    <row r="10743" spans="1:4" ht="12.75" customHeight="1" x14ac:dyDescent="0.2">
      <c r="B10743" s="11" t="s">
        <v>2605</v>
      </c>
      <c r="C10743" s="11" t="s">
        <v>24</v>
      </c>
    </row>
    <row r="10744" spans="1:4" ht="12.75" customHeight="1" x14ac:dyDescent="0.2">
      <c r="B10744" s="11" t="s">
        <v>2606</v>
      </c>
      <c r="C10744" s="16" t="s">
        <v>44</v>
      </c>
      <c r="D10744" s="6" t="str">
        <f>HYPERLINK("javascript:void(0)","napfolt")</f>
        <v>napfolt</v>
      </c>
    </row>
    <row r="10745" spans="1:4" ht="12.75" customHeight="1" x14ac:dyDescent="0.2">
      <c r="B10745" s="2"/>
      <c r="C10745" s="15"/>
      <c r="D10745" s="2"/>
    </row>
    <row r="10746" spans="1:4" ht="12.75" customHeight="1" x14ac:dyDescent="0.2">
      <c r="B10746" s="2"/>
      <c r="C10746" s="15"/>
      <c r="D10746" s="2"/>
    </row>
    <row r="10747" spans="1:4" ht="12.75" customHeight="1" x14ac:dyDescent="0.2">
      <c r="A10747" s="13" t="s">
        <v>4257</v>
      </c>
      <c r="C10747" s="12"/>
    </row>
    <row r="10748" spans="1:4" ht="12.75" customHeight="1" x14ac:dyDescent="0.2">
      <c r="A10748" s="11"/>
      <c r="B10748" s="2"/>
      <c r="C10748" s="15"/>
      <c r="D10748" s="2"/>
    </row>
    <row r="10749" spans="1:4" ht="12.75" customHeight="1" x14ac:dyDescent="0.2">
      <c r="B10749" s="11" t="s">
        <v>0</v>
      </c>
      <c r="C10749" s="11" t="s">
        <v>635</v>
      </c>
    </row>
    <row r="10750" spans="1:4" ht="12.75" customHeight="1" x14ac:dyDescent="0.2">
      <c r="B10750" s="11" t="s">
        <v>2599</v>
      </c>
      <c r="C10750" s="11" t="s">
        <v>3985</v>
      </c>
    </row>
    <row r="10751" spans="1:4" ht="25.5" customHeight="1" x14ac:dyDescent="0.2">
      <c r="B10751" s="11" t="s">
        <v>2600</v>
      </c>
      <c r="C10751" s="11" t="s">
        <v>4258</v>
      </c>
    </row>
    <row r="10752" spans="1:4" ht="25.5" customHeight="1" x14ac:dyDescent="0.2">
      <c r="B10752" s="11" t="s">
        <v>2601</v>
      </c>
      <c r="C10752" s="11"/>
    </row>
    <row r="10753" spans="1:4" ht="12.75" customHeight="1" x14ac:dyDescent="0.2">
      <c r="B10753" s="11" t="s">
        <v>16</v>
      </c>
      <c r="C10753" s="11"/>
    </row>
    <row r="10754" spans="1:4" ht="12.75" customHeight="1" x14ac:dyDescent="0.2">
      <c r="B10754" s="11" t="s">
        <v>13</v>
      </c>
      <c r="C10754" s="11" t="s">
        <v>2644</v>
      </c>
    </row>
    <row r="10755" spans="1:4" ht="12.75" customHeight="1" x14ac:dyDescent="0.2">
      <c r="B10755" s="11" t="s">
        <v>2603</v>
      </c>
      <c r="C10755" s="11" t="s">
        <v>2604</v>
      </c>
    </row>
    <row r="10756" spans="1:4" ht="12.75" customHeight="1" x14ac:dyDescent="0.2">
      <c r="B10756" s="11" t="s">
        <v>2605</v>
      </c>
      <c r="C10756" s="11" t="s">
        <v>24</v>
      </c>
    </row>
    <row r="10757" spans="1:4" ht="25.5" customHeight="1" x14ac:dyDescent="0.2">
      <c r="B10757" s="11" t="s">
        <v>2606</v>
      </c>
      <c r="C10757" s="16" t="s">
        <v>44</v>
      </c>
      <c r="D10757" s="6" t="str">
        <f>HYPERLINK("javascript:void(0)","szent szimbólum")</f>
        <v>szent szimbólum</v>
      </c>
    </row>
    <row r="10758" spans="1:4" ht="12.75" customHeight="1" x14ac:dyDescent="0.2">
      <c r="B10758" s="2"/>
      <c r="C10758" s="15"/>
      <c r="D10758" s="2"/>
    </row>
    <row r="10759" spans="1:4" ht="12.75" customHeight="1" x14ac:dyDescent="0.2">
      <c r="B10759" s="2"/>
      <c r="C10759" s="15"/>
      <c r="D10759" s="2"/>
    </row>
    <row r="10760" spans="1:4" ht="12.75" customHeight="1" x14ac:dyDescent="0.2">
      <c r="A10760" s="13" t="s">
        <v>4259</v>
      </c>
      <c r="C10760" s="12"/>
    </row>
    <row r="10761" spans="1:4" ht="12.75" customHeight="1" x14ac:dyDescent="0.2">
      <c r="A10761" s="11"/>
      <c r="B10761" s="2"/>
      <c r="C10761" s="15"/>
      <c r="D10761" s="2"/>
    </row>
    <row r="10762" spans="1:4" ht="12.75" customHeight="1" x14ac:dyDescent="0.2">
      <c r="B10762" s="11" t="s">
        <v>0</v>
      </c>
      <c r="C10762" s="11" t="s">
        <v>635</v>
      </c>
    </row>
    <row r="10763" spans="1:4" ht="12.75" customHeight="1" x14ac:dyDescent="0.2">
      <c r="B10763" s="11" t="s">
        <v>2599</v>
      </c>
      <c r="C10763" s="11" t="s">
        <v>4260</v>
      </c>
    </row>
    <row r="10764" spans="1:4" ht="25.5" customHeight="1" x14ac:dyDescent="0.2">
      <c r="B10764" s="11" t="s">
        <v>2600</v>
      </c>
      <c r="C10764" s="11" t="s">
        <v>4261</v>
      </c>
    </row>
    <row r="10765" spans="1:4" ht="25.5" customHeight="1" x14ac:dyDescent="0.2">
      <c r="B10765" s="11" t="s">
        <v>2601</v>
      </c>
      <c r="C10765" s="11"/>
    </row>
    <row r="10766" spans="1:4" ht="12.75" customHeight="1" x14ac:dyDescent="0.2">
      <c r="B10766" s="11" t="s">
        <v>16</v>
      </c>
      <c r="C10766" s="11"/>
    </row>
    <row r="10767" spans="1:4" ht="12.75" customHeight="1" x14ac:dyDescent="0.2">
      <c r="B10767" s="11" t="s">
        <v>13</v>
      </c>
      <c r="C10767" s="11" t="s">
        <v>2644</v>
      </c>
    </row>
    <row r="10768" spans="1:4" ht="12.75" customHeight="1" x14ac:dyDescent="0.2">
      <c r="B10768" s="11" t="s">
        <v>2603</v>
      </c>
      <c r="C10768" s="11" t="s">
        <v>2604</v>
      </c>
    </row>
    <row r="10769" spans="1:4" ht="12.75" customHeight="1" x14ac:dyDescent="0.2">
      <c r="B10769" s="11" t="s">
        <v>2605</v>
      </c>
      <c r="C10769" s="11" t="s">
        <v>24</v>
      </c>
    </row>
    <row r="10770" spans="1:4" ht="12.75" customHeight="1" x14ac:dyDescent="0.2">
      <c r="B10770" s="11" t="s">
        <v>2606</v>
      </c>
      <c r="C10770" s="16" t="s">
        <v>56</v>
      </c>
      <c r="D10770" s="6" t="str">
        <f>HYPERLINK("javascript:void(0)","vízige")</f>
        <v>vízige</v>
      </c>
    </row>
    <row r="10771" spans="1:4" ht="12.75" customHeight="1" x14ac:dyDescent="0.2">
      <c r="C10771" s="16" t="s">
        <v>196</v>
      </c>
      <c r="D10771" s="6" t="str">
        <f>HYPERLINK("javascript:void(0)","kincs")</f>
        <v>kincs</v>
      </c>
    </row>
    <row r="10772" spans="1:4" ht="12.75" customHeight="1" x14ac:dyDescent="0.2">
      <c r="B10772" s="2"/>
      <c r="C10772" s="15"/>
      <c r="D10772" s="2"/>
    </row>
    <row r="10773" spans="1:4" ht="12.75" customHeight="1" x14ac:dyDescent="0.2">
      <c r="B10773" s="2"/>
      <c r="C10773" s="15"/>
      <c r="D10773" s="2"/>
    </row>
    <row r="10774" spans="1:4" ht="12.75" customHeight="1" x14ac:dyDescent="0.2">
      <c r="A10774" s="13" t="s">
        <v>4262</v>
      </c>
      <c r="C10774" s="12"/>
      <c r="D10774" s="2"/>
    </row>
    <row r="10775" spans="1:4" ht="12.75" customHeight="1" x14ac:dyDescent="0.2">
      <c r="A10775" s="11"/>
      <c r="B10775" s="2"/>
      <c r="C10775" s="15"/>
      <c r="D10775" s="2"/>
    </row>
    <row r="10776" spans="1:4" ht="12.75" customHeight="1" x14ac:dyDescent="0.2">
      <c r="B10776" s="11" t="s">
        <v>0</v>
      </c>
      <c r="C10776" s="17" t="s">
        <v>635</v>
      </c>
      <c r="D10776" s="2"/>
    </row>
    <row r="10777" spans="1:4" ht="12.75" customHeight="1" x14ac:dyDescent="0.2">
      <c r="B10777" s="11" t="s">
        <v>2599</v>
      </c>
      <c r="C10777" s="17" t="s">
        <v>2537</v>
      </c>
      <c r="D10777" s="2"/>
    </row>
    <row r="10778" spans="1:4" ht="25.5" customHeight="1" x14ac:dyDescent="0.2">
      <c r="B10778" s="11" t="s">
        <v>2600</v>
      </c>
      <c r="C10778" s="17" t="s">
        <v>4263</v>
      </c>
      <c r="D10778" s="2"/>
    </row>
    <row r="10779" spans="1:4" ht="25.5" customHeight="1" x14ac:dyDescent="0.2">
      <c r="B10779" s="11" t="s">
        <v>2601</v>
      </c>
      <c r="C10779" s="17"/>
      <c r="D10779" s="2"/>
    </row>
    <row r="10780" spans="1:4" ht="12.75" customHeight="1" x14ac:dyDescent="0.2">
      <c r="B10780" s="11" t="s">
        <v>16</v>
      </c>
      <c r="C10780" s="17"/>
      <c r="D10780" s="2"/>
    </row>
    <row r="10781" spans="1:4" ht="12.75" customHeight="1" x14ac:dyDescent="0.2">
      <c r="B10781" s="11" t="s">
        <v>13</v>
      </c>
      <c r="C10781" s="17" t="s">
        <v>2644</v>
      </c>
      <c r="D10781" s="2"/>
    </row>
    <row r="10782" spans="1:4" ht="12.75" customHeight="1" x14ac:dyDescent="0.2">
      <c r="B10782" s="11" t="s">
        <v>2603</v>
      </c>
      <c r="C10782" s="17" t="s">
        <v>2604</v>
      </c>
      <c r="D10782" s="2"/>
    </row>
    <row r="10783" spans="1:4" ht="12.75" customHeight="1" x14ac:dyDescent="0.2">
      <c r="B10783" s="11" t="s">
        <v>2605</v>
      </c>
      <c r="C10783" s="17" t="s">
        <v>24</v>
      </c>
      <c r="D10783" s="2"/>
    </row>
    <row r="10784" spans="1:4" ht="12.75" customHeight="1" x14ac:dyDescent="0.2">
      <c r="B10784" s="11" t="s">
        <v>2606</v>
      </c>
      <c r="C10784" s="16" t="s">
        <v>19</v>
      </c>
      <c r="D10784" s="2"/>
    </row>
    <row r="10785" spans="1:4" ht="12.75" customHeight="1" x14ac:dyDescent="0.2">
      <c r="B10785" s="2"/>
      <c r="C10785" s="15"/>
      <c r="D10785" s="2"/>
    </row>
    <row r="10786" spans="1:4" ht="12.75" customHeight="1" x14ac:dyDescent="0.2">
      <c r="B10786" s="2"/>
      <c r="C10786" s="15"/>
      <c r="D10786" s="2"/>
    </row>
    <row r="10787" spans="1:4" ht="12.75" customHeight="1" x14ac:dyDescent="0.2">
      <c r="A10787" s="13" t="s">
        <v>4264</v>
      </c>
      <c r="C10787" s="12"/>
    </row>
    <row r="10788" spans="1:4" ht="12.75" customHeight="1" x14ac:dyDescent="0.2">
      <c r="A10788" s="11"/>
      <c r="B10788" s="2"/>
      <c r="C10788" s="15"/>
      <c r="D10788" s="2"/>
    </row>
    <row r="10789" spans="1:4" ht="12.75" customHeight="1" x14ac:dyDescent="0.2">
      <c r="B10789" s="11" t="s">
        <v>0</v>
      </c>
      <c r="C10789" s="11" t="s">
        <v>635</v>
      </c>
    </row>
    <row r="10790" spans="1:4" ht="12.75" customHeight="1" x14ac:dyDescent="0.2">
      <c r="B10790" s="11" t="s">
        <v>2599</v>
      </c>
      <c r="C10790" s="11" t="s">
        <v>1842</v>
      </c>
    </row>
    <row r="10791" spans="1:4" ht="25.5" customHeight="1" x14ac:dyDescent="0.2">
      <c r="B10791" s="11" t="s">
        <v>2600</v>
      </c>
      <c r="C10791" s="11" t="s">
        <v>4265</v>
      </c>
    </row>
    <row r="10792" spans="1:4" ht="25.5" customHeight="1" x14ac:dyDescent="0.2">
      <c r="B10792" s="11" t="s">
        <v>2601</v>
      </c>
      <c r="C10792" s="11"/>
    </row>
    <row r="10793" spans="1:4" ht="12.75" customHeight="1" x14ac:dyDescent="0.2">
      <c r="B10793" s="11" t="s">
        <v>16</v>
      </c>
      <c r="C10793" s="11"/>
    </row>
    <row r="10794" spans="1:4" ht="12.75" customHeight="1" x14ac:dyDescent="0.2">
      <c r="B10794" s="11" t="s">
        <v>13</v>
      </c>
      <c r="C10794" s="11" t="s">
        <v>2602</v>
      </c>
    </row>
    <row r="10795" spans="1:4" ht="12.75" customHeight="1" x14ac:dyDescent="0.2">
      <c r="B10795" s="11" t="s">
        <v>2603</v>
      </c>
      <c r="C10795" s="11" t="s">
        <v>2604</v>
      </c>
    </row>
    <row r="10796" spans="1:4" ht="12.75" customHeight="1" x14ac:dyDescent="0.2">
      <c r="B10796" s="11" t="s">
        <v>2605</v>
      </c>
      <c r="C10796" s="11" t="s">
        <v>24</v>
      </c>
    </row>
    <row r="10797" spans="1:4" ht="12.75" customHeight="1" x14ac:dyDescent="0.2">
      <c r="B10797" s="11" t="s">
        <v>2606</v>
      </c>
      <c r="C10797" s="16" t="s">
        <v>244</v>
      </c>
      <c r="D10797" s="6" t="str">
        <f>HYPERLINK("javascript:void(0)","kincs")</f>
        <v>kincs</v>
      </c>
    </row>
    <row r="10798" spans="1:4" ht="12.75" customHeight="1" x14ac:dyDescent="0.2">
      <c r="B10798" s="2"/>
      <c r="C10798" s="15"/>
      <c r="D10798" s="2"/>
    </row>
    <row r="10799" spans="1:4" ht="12.75" customHeight="1" x14ac:dyDescent="0.2">
      <c r="B10799" s="2"/>
      <c r="C10799" s="15"/>
      <c r="D10799" s="2"/>
    </row>
    <row r="10800" spans="1:4" ht="12.75" customHeight="1" x14ac:dyDescent="0.2">
      <c r="A10800" s="13" t="s">
        <v>4146</v>
      </c>
      <c r="C10800" s="12"/>
      <c r="D10800" s="2"/>
    </row>
    <row r="10801" spans="1:4" ht="12.75" customHeight="1" x14ac:dyDescent="0.2">
      <c r="A10801" s="11"/>
      <c r="B10801" s="2"/>
      <c r="C10801" s="15"/>
      <c r="D10801" s="2"/>
    </row>
    <row r="10802" spans="1:4" ht="12.75" customHeight="1" x14ac:dyDescent="0.2">
      <c r="B10802" s="11" t="s">
        <v>0</v>
      </c>
      <c r="C10802" s="17" t="s">
        <v>635</v>
      </c>
      <c r="D10802" s="2"/>
    </row>
    <row r="10803" spans="1:4" ht="12.75" customHeight="1" x14ac:dyDescent="0.2">
      <c r="B10803" s="11" t="s">
        <v>2599</v>
      </c>
      <c r="C10803" s="17" t="s">
        <v>4147</v>
      </c>
      <c r="D10803" s="2"/>
    </row>
    <row r="10804" spans="1:4" ht="25.5" customHeight="1" x14ac:dyDescent="0.2">
      <c r="B10804" s="11" t="s">
        <v>2600</v>
      </c>
      <c r="C10804" s="17" t="s">
        <v>4266</v>
      </c>
      <c r="D10804" s="2"/>
    </row>
    <row r="10805" spans="1:4" ht="25.5" customHeight="1" x14ac:dyDescent="0.2">
      <c r="B10805" s="11" t="s">
        <v>2601</v>
      </c>
      <c r="C10805" s="17"/>
      <c r="D10805" s="2"/>
    </row>
    <row r="10806" spans="1:4" ht="12.75" customHeight="1" x14ac:dyDescent="0.2">
      <c r="B10806" s="11" t="s">
        <v>16</v>
      </c>
      <c r="C10806" s="17"/>
      <c r="D10806" s="2"/>
    </row>
    <row r="10807" spans="1:4" ht="12.75" customHeight="1" x14ac:dyDescent="0.2">
      <c r="B10807" s="11" t="s">
        <v>13</v>
      </c>
      <c r="C10807" s="17" t="s">
        <v>2644</v>
      </c>
      <c r="D10807" s="2"/>
    </row>
    <row r="10808" spans="1:4" ht="25.5" customHeight="1" x14ac:dyDescent="0.2">
      <c r="B10808" s="11" t="s">
        <v>2603</v>
      </c>
      <c r="C10808" s="17" t="s">
        <v>2971</v>
      </c>
      <c r="D10808" s="2"/>
    </row>
    <row r="10809" spans="1:4" ht="12.75" customHeight="1" x14ac:dyDescent="0.2">
      <c r="B10809" s="11" t="s">
        <v>2605</v>
      </c>
      <c r="C10809" s="17" t="s">
        <v>14</v>
      </c>
      <c r="D10809" s="2"/>
    </row>
    <row r="10810" spans="1:4" ht="12.75" customHeight="1" x14ac:dyDescent="0.2">
      <c r="B10810" s="11" t="s">
        <v>2606</v>
      </c>
      <c r="C10810" s="16" t="s">
        <v>19</v>
      </c>
      <c r="D10810" s="2"/>
    </row>
    <row r="10811" spans="1:4" ht="12.75" customHeight="1" x14ac:dyDescent="0.2">
      <c r="B10811" s="2"/>
      <c r="C10811" s="15"/>
      <c r="D10811" s="2"/>
    </row>
    <row r="10812" spans="1:4" ht="12.75" customHeight="1" x14ac:dyDescent="0.2">
      <c r="B10812" s="2"/>
      <c r="C10812" s="15"/>
      <c r="D10812" s="2"/>
    </row>
    <row r="10813" spans="1:4" ht="12.75" customHeight="1" x14ac:dyDescent="0.2">
      <c r="A10813" s="13" t="s">
        <v>4267</v>
      </c>
      <c r="C10813" s="12"/>
      <c r="D10813" s="2"/>
    </row>
    <row r="10814" spans="1:4" ht="12.75" customHeight="1" x14ac:dyDescent="0.2">
      <c r="A10814" s="11"/>
      <c r="B10814" s="2"/>
      <c r="C10814" s="15"/>
      <c r="D10814" s="2"/>
    </row>
    <row r="10815" spans="1:4" ht="12.75" customHeight="1" x14ac:dyDescent="0.2">
      <c r="B10815" s="11" t="s">
        <v>0</v>
      </c>
      <c r="C10815" s="17" t="s">
        <v>239</v>
      </c>
      <c r="D10815" s="2"/>
    </row>
    <row r="10816" spans="1:4" ht="12.75" customHeight="1" x14ac:dyDescent="0.2">
      <c r="B10816" s="11" t="s">
        <v>2599</v>
      </c>
      <c r="C10816" s="17" t="s">
        <v>4268</v>
      </c>
      <c r="D10816" s="2"/>
    </row>
    <row r="10817" spans="1:4" ht="25.5" customHeight="1" x14ac:dyDescent="0.2">
      <c r="B10817" s="11" t="s">
        <v>2600</v>
      </c>
      <c r="C10817" s="17" t="s">
        <v>4269</v>
      </c>
      <c r="D10817" s="2"/>
    </row>
    <row r="10818" spans="1:4" ht="25.5" customHeight="1" x14ac:dyDescent="0.2">
      <c r="B10818" s="11" t="s">
        <v>2601</v>
      </c>
      <c r="C10818" s="17"/>
      <c r="D10818" s="2"/>
    </row>
    <row r="10819" spans="1:4" ht="12.75" customHeight="1" x14ac:dyDescent="0.2">
      <c r="B10819" s="11" t="s">
        <v>16</v>
      </c>
      <c r="C10819" s="17"/>
      <c r="D10819" s="2"/>
    </row>
    <row r="10820" spans="1:4" ht="12.75" customHeight="1" x14ac:dyDescent="0.2">
      <c r="B10820" s="11" t="s">
        <v>13</v>
      </c>
      <c r="C10820" s="17" t="s">
        <v>2644</v>
      </c>
      <c r="D10820" s="2"/>
    </row>
    <row r="10821" spans="1:4" ht="25.5" customHeight="1" x14ac:dyDescent="0.2">
      <c r="B10821" s="11" t="s">
        <v>2603</v>
      </c>
      <c r="C10821" s="17" t="s">
        <v>2971</v>
      </c>
      <c r="D10821" s="2"/>
    </row>
    <row r="10822" spans="1:4" ht="12.75" customHeight="1" x14ac:dyDescent="0.2">
      <c r="B10822" s="11" t="s">
        <v>2605</v>
      </c>
      <c r="C10822" s="17" t="s">
        <v>14</v>
      </c>
      <c r="D10822" s="2"/>
    </row>
    <row r="10823" spans="1:4" ht="12.75" customHeight="1" x14ac:dyDescent="0.2">
      <c r="B10823" s="11" t="s">
        <v>2606</v>
      </c>
      <c r="C10823" s="16" t="s">
        <v>19</v>
      </c>
      <c r="D10823" s="2"/>
    </row>
    <row r="10824" spans="1:4" ht="12.75" customHeight="1" x14ac:dyDescent="0.2">
      <c r="B10824" s="2"/>
      <c r="C10824" s="15"/>
      <c r="D10824" s="2"/>
    </row>
    <row r="10825" spans="1:4" ht="12.75" customHeight="1" x14ac:dyDescent="0.2">
      <c r="B10825" s="2"/>
      <c r="C10825" s="15"/>
      <c r="D10825" s="2"/>
    </row>
    <row r="10826" spans="1:4" ht="12.75" customHeight="1" x14ac:dyDescent="0.2">
      <c r="A10826" s="13" t="s">
        <v>4270</v>
      </c>
      <c r="C10826" s="12"/>
      <c r="D10826" s="2"/>
    </row>
    <row r="10827" spans="1:4" ht="12.75" customHeight="1" x14ac:dyDescent="0.2">
      <c r="A10827" s="11"/>
      <c r="B10827" s="2"/>
      <c r="C10827" s="15"/>
      <c r="D10827" s="2"/>
    </row>
    <row r="10828" spans="1:4" ht="12.75" customHeight="1" x14ac:dyDescent="0.2">
      <c r="B10828" s="11" t="s">
        <v>0</v>
      </c>
      <c r="C10828" s="17" t="s">
        <v>239</v>
      </c>
      <c r="D10828" s="2"/>
    </row>
    <row r="10829" spans="1:4" ht="12.75" customHeight="1" x14ac:dyDescent="0.2">
      <c r="B10829" s="11" t="s">
        <v>2599</v>
      </c>
      <c r="C10829" s="17" t="s">
        <v>4271</v>
      </c>
      <c r="D10829" s="2"/>
    </row>
    <row r="10830" spans="1:4" ht="25.5" customHeight="1" x14ac:dyDescent="0.2">
      <c r="B10830" s="11" t="s">
        <v>2600</v>
      </c>
      <c r="C10830" s="17" t="s">
        <v>4272</v>
      </c>
      <c r="D10830" s="2"/>
    </row>
    <row r="10831" spans="1:4" ht="25.5" customHeight="1" x14ac:dyDescent="0.2">
      <c r="B10831" s="11" t="s">
        <v>2601</v>
      </c>
      <c r="C10831" s="17"/>
      <c r="D10831" s="2"/>
    </row>
    <row r="10832" spans="1:4" ht="12.75" customHeight="1" x14ac:dyDescent="0.2">
      <c r="B10832" s="11" t="s">
        <v>16</v>
      </c>
      <c r="C10832" s="17"/>
      <c r="D10832" s="2"/>
    </row>
    <row r="10833" spans="1:4" ht="12.75" customHeight="1" x14ac:dyDescent="0.2">
      <c r="B10833" s="11" t="s">
        <v>13</v>
      </c>
      <c r="C10833" s="17" t="s">
        <v>2602</v>
      </c>
      <c r="D10833" s="2"/>
    </row>
    <row r="10834" spans="1:4" ht="25.5" customHeight="1" x14ac:dyDescent="0.2">
      <c r="B10834" s="11" t="s">
        <v>2603</v>
      </c>
      <c r="C10834" s="17" t="s">
        <v>2971</v>
      </c>
      <c r="D10834" s="2"/>
    </row>
    <row r="10835" spans="1:4" ht="12.75" customHeight="1" x14ac:dyDescent="0.2">
      <c r="B10835" s="11" t="s">
        <v>2605</v>
      </c>
      <c r="C10835" s="17" t="s">
        <v>14</v>
      </c>
      <c r="D10835" s="2"/>
    </row>
    <row r="10836" spans="1:4" ht="12.75" customHeight="1" x14ac:dyDescent="0.2">
      <c r="B10836" s="11" t="s">
        <v>2606</v>
      </c>
      <c r="C10836" s="16" t="s">
        <v>19</v>
      </c>
      <c r="D10836" s="2"/>
    </row>
    <row r="10837" spans="1:4" ht="12.75" customHeight="1" x14ac:dyDescent="0.2">
      <c r="B10837" s="2"/>
      <c r="C10837" s="15"/>
      <c r="D10837" s="2"/>
    </row>
    <row r="10838" spans="1:4" ht="12.75" customHeight="1" x14ac:dyDescent="0.2">
      <c r="B10838" s="2"/>
      <c r="C10838" s="15"/>
      <c r="D10838" s="2"/>
    </row>
    <row r="10839" spans="1:4" ht="12.75" customHeight="1" x14ac:dyDescent="0.2">
      <c r="A10839" s="13" t="s">
        <v>4273</v>
      </c>
      <c r="C10839" s="12"/>
      <c r="D10839" s="2"/>
    </row>
    <row r="10840" spans="1:4" ht="12.75" customHeight="1" x14ac:dyDescent="0.2">
      <c r="A10840" s="11"/>
      <c r="B10840" s="2"/>
      <c r="C10840" s="15"/>
      <c r="D10840" s="2"/>
    </row>
    <row r="10841" spans="1:4" ht="12.75" customHeight="1" x14ac:dyDescent="0.2">
      <c r="B10841" s="11" t="s">
        <v>0</v>
      </c>
      <c r="C10841" s="17" t="s">
        <v>239</v>
      </c>
      <c r="D10841" s="2"/>
    </row>
    <row r="10842" spans="1:4" ht="12.75" customHeight="1" x14ac:dyDescent="0.2">
      <c r="B10842" s="11" t="s">
        <v>2599</v>
      </c>
      <c r="C10842" s="17" t="s">
        <v>468</v>
      </c>
      <c r="D10842" s="2"/>
    </row>
    <row r="10843" spans="1:4" ht="25.5" customHeight="1" x14ac:dyDescent="0.2">
      <c r="B10843" s="11" t="s">
        <v>2600</v>
      </c>
      <c r="C10843" s="17" t="s">
        <v>4274</v>
      </c>
      <c r="D10843" s="2"/>
    </row>
    <row r="10844" spans="1:4" ht="25.5" customHeight="1" x14ac:dyDescent="0.2">
      <c r="B10844" s="11" t="s">
        <v>2601</v>
      </c>
      <c r="C10844" s="17"/>
      <c r="D10844" s="2"/>
    </row>
    <row r="10845" spans="1:4" ht="12.75" customHeight="1" x14ac:dyDescent="0.2">
      <c r="B10845" s="11" t="s">
        <v>16</v>
      </c>
      <c r="C10845" s="17"/>
      <c r="D10845" s="2"/>
    </row>
    <row r="10846" spans="1:4" ht="12.75" customHeight="1" x14ac:dyDescent="0.2">
      <c r="B10846" s="11" t="s">
        <v>13</v>
      </c>
      <c r="C10846" s="17" t="s">
        <v>2644</v>
      </c>
      <c r="D10846" s="2"/>
    </row>
    <row r="10847" spans="1:4" ht="12.75" customHeight="1" x14ac:dyDescent="0.2">
      <c r="B10847" s="11" t="s">
        <v>2603</v>
      </c>
      <c r="C10847" s="17" t="s">
        <v>128</v>
      </c>
      <c r="D10847" s="2"/>
    </row>
    <row r="10848" spans="1:4" ht="12.75" customHeight="1" x14ac:dyDescent="0.2">
      <c r="B10848" s="11" t="s">
        <v>2605</v>
      </c>
      <c r="C10848" s="17" t="s">
        <v>14</v>
      </c>
      <c r="D10848" s="2"/>
    </row>
    <row r="10849" spans="1:4" ht="12.75" customHeight="1" x14ac:dyDescent="0.2">
      <c r="B10849" s="11" t="s">
        <v>2606</v>
      </c>
      <c r="C10849" s="16" t="s">
        <v>19</v>
      </c>
      <c r="D10849" s="2"/>
    </row>
    <row r="10850" spans="1:4" ht="12.75" customHeight="1" x14ac:dyDescent="0.2">
      <c r="B10850" s="2"/>
      <c r="C10850" s="15"/>
      <c r="D10850" s="2"/>
    </row>
    <row r="10851" spans="1:4" ht="12.75" customHeight="1" x14ac:dyDescent="0.2">
      <c r="B10851" s="2"/>
      <c r="C10851" s="15"/>
      <c r="D10851" s="2"/>
    </row>
    <row r="10852" spans="1:4" ht="12.75" customHeight="1" x14ac:dyDescent="0.2">
      <c r="A10852" s="13" t="s">
        <v>4275</v>
      </c>
      <c r="C10852" s="12"/>
    </row>
    <row r="10853" spans="1:4" ht="12.75" customHeight="1" x14ac:dyDescent="0.2">
      <c r="A10853" s="11"/>
      <c r="B10853" s="2"/>
      <c r="C10853" s="15"/>
      <c r="D10853" s="2"/>
    </row>
    <row r="10854" spans="1:4" ht="12.75" customHeight="1" x14ac:dyDescent="0.2">
      <c r="B10854" s="11" t="s">
        <v>0</v>
      </c>
      <c r="C10854" s="11" t="s">
        <v>239</v>
      </c>
    </row>
    <row r="10855" spans="1:4" ht="12.75" customHeight="1" x14ac:dyDescent="0.2">
      <c r="B10855" s="11" t="s">
        <v>2599</v>
      </c>
      <c r="C10855" s="11" t="s">
        <v>3607</v>
      </c>
    </row>
    <row r="10856" spans="1:4" ht="25.5" customHeight="1" x14ac:dyDescent="0.2">
      <c r="B10856" s="11" t="s">
        <v>2600</v>
      </c>
      <c r="C10856" s="11" t="s">
        <v>4276</v>
      </c>
    </row>
    <row r="10857" spans="1:4" ht="25.5" customHeight="1" x14ac:dyDescent="0.2">
      <c r="B10857" s="11" t="s">
        <v>2601</v>
      </c>
      <c r="C10857" s="11"/>
    </row>
    <row r="10858" spans="1:4" ht="12.75" customHeight="1" x14ac:dyDescent="0.2">
      <c r="B10858" s="11" t="s">
        <v>16</v>
      </c>
      <c r="C10858" s="11"/>
    </row>
    <row r="10859" spans="1:4" ht="12.75" customHeight="1" x14ac:dyDescent="0.2">
      <c r="B10859" s="11" t="s">
        <v>13</v>
      </c>
      <c r="C10859" s="11" t="s">
        <v>2644</v>
      </c>
    </row>
    <row r="10860" spans="1:4" ht="12.75" customHeight="1" x14ac:dyDescent="0.2">
      <c r="B10860" s="11" t="s">
        <v>2603</v>
      </c>
      <c r="C10860" s="11" t="s">
        <v>2604</v>
      </c>
    </row>
    <row r="10861" spans="1:4" ht="12.75" customHeight="1" x14ac:dyDescent="0.2">
      <c r="B10861" s="11" t="s">
        <v>2605</v>
      </c>
      <c r="C10861" s="11" t="s">
        <v>24</v>
      </c>
    </row>
    <row r="10862" spans="1:4" ht="12.75" customHeight="1" x14ac:dyDescent="0.2">
      <c r="B10862" s="11" t="s">
        <v>2606</v>
      </c>
      <c r="C10862" s="16" t="s">
        <v>98</v>
      </c>
      <c r="D10862" s="6" t="str">
        <f>HYPERLINK("javascript:void(0)","kincs")</f>
        <v>kincs</v>
      </c>
    </row>
    <row r="10863" spans="1:4" ht="25.5" customHeight="1" x14ac:dyDescent="0.2">
      <c r="C10863" s="16" t="s">
        <v>44</v>
      </c>
      <c r="D10863" s="6" t="str">
        <f>HYPERLINK("javascript:void(0)","szent szimbólum")</f>
        <v>szent szimbólum</v>
      </c>
    </row>
    <row r="10864" spans="1:4" ht="12.75" customHeight="1" x14ac:dyDescent="0.2">
      <c r="B10864" s="2"/>
      <c r="C10864" s="15"/>
      <c r="D10864" s="2"/>
    </row>
    <row r="10865" spans="1:4" ht="12.75" customHeight="1" x14ac:dyDescent="0.2">
      <c r="B10865" s="2"/>
      <c r="C10865" s="15"/>
      <c r="D10865" s="2"/>
    </row>
    <row r="10866" spans="1:4" ht="12.75" customHeight="1" x14ac:dyDescent="0.2">
      <c r="A10866" s="13" t="s">
        <v>4277</v>
      </c>
      <c r="C10866" s="12"/>
    </row>
    <row r="10867" spans="1:4" ht="12.75" customHeight="1" x14ac:dyDescent="0.2">
      <c r="A10867" s="11"/>
      <c r="B10867" s="2"/>
      <c r="C10867" s="15"/>
      <c r="D10867" s="2"/>
    </row>
    <row r="10868" spans="1:4" ht="12.75" customHeight="1" x14ac:dyDescent="0.2">
      <c r="B10868" s="11" t="s">
        <v>0</v>
      </c>
      <c r="C10868" s="11" t="s">
        <v>239</v>
      </c>
    </row>
    <row r="10869" spans="1:4" ht="12.75" customHeight="1" x14ac:dyDescent="0.2">
      <c r="B10869" s="11" t="s">
        <v>2599</v>
      </c>
      <c r="C10869" s="11" t="s">
        <v>4278</v>
      </c>
    </row>
    <row r="10870" spans="1:4" ht="25.5" customHeight="1" x14ac:dyDescent="0.2">
      <c r="B10870" s="11" t="s">
        <v>2600</v>
      </c>
      <c r="C10870" s="11" t="s">
        <v>4279</v>
      </c>
    </row>
    <row r="10871" spans="1:4" ht="25.5" customHeight="1" x14ac:dyDescent="0.2">
      <c r="B10871" s="11" t="s">
        <v>2601</v>
      </c>
      <c r="C10871" s="11"/>
    </row>
    <row r="10872" spans="1:4" ht="12.75" customHeight="1" x14ac:dyDescent="0.2">
      <c r="B10872" s="11" t="s">
        <v>16</v>
      </c>
      <c r="C10872" s="11"/>
    </row>
    <row r="10873" spans="1:4" ht="12.75" customHeight="1" x14ac:dyDescent="0.2">
      <c r="B10873" s="11" t="s">
        <v>13</v>
      </c>
      <c r="C10873" s="11" t="s">
        <v>2644</v>
      </c>
    </row>
    <row r="10874" spans="1:4" ht="12.75" customHeight="1" x14ac:dyDescent="0.2">
      <c r="B10874" s="11" t="s">
        <v>2603</v>
      </c>
      <c r="C10874" s="11" t="s">
        <v>2604</v>
      </c>
    </row>
    <row r="10875" spans="1:4" ht="12.75" customHeight="1" x14ac:dyDescent="0.2">
      <c r="B10875" s="11" t="s">
        <v>2605</v>
      </c>
      <c r="C10875" s="11" t="s">
        <v>14</v>
      </c>
    </row>
    <row r="10876" spans="1:4" ht="12.75" customHeight="1" x14ac:dyDescent="0.2">
      <c r="B10876" s="11" t="s">
        <v>2606</v>
      </c>
      <c r="C10876" s="16" t="s">
        <v>77</v>
      </c>
      <c r="D10876" s="6" t="str">
        <f>HYPERLINK("javascript:void(0)","istenköröm")</f>
        <v>istenköröm</v>
      </c>
    </row>
    <row r="10877" spans="1:4" ht="12.75" customHeight="1" x14ac:dyDescent="0.2">
      <c r="B10877" s="2"/>
      <c r="C10877" s="15"/>
      <c r="D10877" s="2"/>
    </row>
    <row r="10878" spans="1:4" ht="12.75" customHeight="1" x14ac:dyDescent="0.2">
      <c r="B10878" s="2"/>
      <c r="C10878" s="15"/>
      <c r="D10878" s="2"/>
    </row>
    <row r="10879" spans="1:4" ht="12.75" customHeight="1" x14ac:dyDescent="0.2">
      <c r="A10879" s="13" t="s">
        <v>4280</v>
      </c>
      <c r="C10879" s="12"/>
    </row>
    <row r="10880" spans="1:4" ht="12.75" customHeight="1" x14ac:dyDescent="0.2">
      <c r="A10880" s="11"/>
      <c r="B10880" s="2"/>
      <c r="C10880" s="15"/>
      <c r="D10880" s="2"/>
    </row>
    <row r="10881" spans="1:4" ht="12.75" customHeight="1" x14ac:dyDescent="0.2">
      <c r="B10881" s="11" t="s">
        <v>0</v>
      </c>
      <c r="C10881" s="11" t="s">
        <v>239</v>
      </c>
    </row>
    <row r="10882" spans="1:4" ht="12.75" customHeight="1" x14ac:dyDescent="0.2">
      <c r="B10882" s="11" t="s">
        <v>2599</v>
      </c>
      <c r="C10882" s="11" t="s">
        <v>3467</v>
      </c>
    </row>
    <row r="10883" spans="1:4" ht="25.5" customHeight="1" x14ac:dyDescent="0.2">
      <c r="B10883" s="11" t="s">
        <v>2600</v>
      </c>
      <c r="C10883" s="11" t="s">
        <v>4281</v>
      </c>
    </row>
    <row r="10884" spans="1:4" ht="25.5" customHeight="1" x14ac:dyDescent="0.2">
      <c r="B10884" s="11" t="s">
        <v>2601</v>
      </c>
      <c r="C10884" s="11"/>
    </row>
    <row r="10885" spans="1:4" ht="12.75" customHeight="1" x14ac:dyDescent="0.2">
      <c r="B10885" s="11" t="s">
        <v>16</v>
      </c>
      <c r="C10885" s="11"/>
    </row>
    <row r="10886" spans="1:4" ht="12.75" customHeight="1" x14ac:dyDescent="0.2">
      <c r="B10886" s="11" t="s">
        <v>13</v>
      </c>
      <c r="C10886" s="11" t="s">
        <v>2602</v>
      </c>
    </row>
    <row r="10887" spans="1:4" ht="12.75" customHeight="1" x14ac:dyDescent="0.2">
      <c r="B10887" s="11" t="s">
        <v>2603</v>
      </c>
      <c r="C10887" s="11" t="s">
        <v>2633</v>
      </c>
    </row>
    <row r="10888" spans="1:4" ht="12.75" customHeight="1" x14ac:dyDescent="0.2">
      <c r="B10888" s="11" t="s">
        <v>2605</v>
      </c>
      <c r="C10888" s="11" t="s">
        <v>24</v>
      </c>
    </row>
    <row r="10889" spans="1:4" ht="12.75" customHeight="1" x14ac:dyDescent="0.2">
      <c r="B10889" s="11" t="s">
        <v>2606</v>
      </c>
      <c r="C10889" s="16" t="s">
        <v>244</v>
      </c>
      <c r="D10889" s="6" t="str">
        <f>HYPERLINK("javascript:void(0)","kincs")</f>
        <v>kincs</v>
      </c>
    </row>
    <row r="10890" spans="1:4" ht="12.75" customHeight="1" x14ac:dyDescent="0.2">
      <c r="B10890" s="2"/>
      <c r="C10890" s="15"/>
      <c r="D10890" s="2"/>
    </row>
    <row r="10891" spans="1:4" ht="12.75" customHeight="1" x14ac:dyDescent="0.2">
      <c r="B10891" s="2"/>
      <c r="C10891" s="15"/>
      <c r="D10891" s="2"/>
    </row>
    <row r="10892" spans="1:4" ht="12.75" customHeight="1" x14ac:dyDescent="0.2">
      <c r="A10892" s="13" t="s">
        <v>4282</v>
      </c>
      <c r="C10892" s="12"/>
    </row>
    <row r="10893" spans="1:4" ht="12.75" customHeight="1" x14ac:dyDescent="0.2">
      <c r="A10893" s="11"/>
      <c r="B10893" s="2"/>
      <c r="C10893" s="15"/>
      <c r="D10893" s="2"/>
    </row>
    <row r="10894" spans="1:4" ht="12.75" customHeight="1" x14ac:dyDescent="0.2">
      <c r="B10894" s="11" t="s">
        <v>0</v>
      </c>
      <c r="C10894" s="11" t="s">
        <v>239</v>
      </c>
    </row>
    <row r="10895" spans="1:4" ht="12.75" customHeight="1" x14ac:dyDescent="0.2">
      <c r="B10895" s="11" t="s">
        <v>2599</v>
      </c>
      <c r="C10895" s="11" t="s">
        <v>4283</v>
      </c>
    </row>
    <row r="10896" spans="1:4" ht="25.5" customHeight="1" x14ac:dyDescent="0.2">
      <c r="B10896" s="11" t="s">
        <v>2600</v>
      </c>
      <c r="C10896" s="11" t="s">
        <v>4284</v>
      </c>
    </row>
    <row r="10897" spans="1:4" ht="25.5" customHeight="1" x14ac:dyDescent="0.2">
      <c r="B10897" s="11" t="s">
        <v>2601</v>
      </c>
      <c r="C10897" s="11"/>
    </row>
    <row r="10898" spans="1:4" ht="12.75" customHeight="1" x14ac:dyDescent="0.2">
      <c r="B10898" s="11" t="s">
        <v>16</v>
      </c>
      <c r="C10898" s="11"/>
    </row>
    <row r="10899" spans="1:4" ht="12.75" customHeight="1" x14ac:dyDescent="0.2">
      <c r="B10899" s="11" t="s">
        <v>13</v>
      </c>
      <c r="C10899" s="11" t="s">
        <v>2602</v>
      </c>
    </row>
    <row r="10900" spans="1:4" ht="12.75" customHeight="1" x14ac:dyDescent="0.2">
      <c r="B10900" s="11" t="s">
        <v>2603</v>
      </c>
      <c r="C10900" s="11" t="s">
        <v>2604</v>
      </c>
    </row>
    <row r="10901" spans="1:4" ht="12.75" customHeight="1" x14ac:dyDescent="0.2">
      <c r="B10901" s="11" t="s">
        <v>2605</v>
      </c>
      <c r="C10901" s="11" t="s">
        <v>24</v>
      </c>
    </row>
    <row r="10902" spans="1:4" ht="12.75" customHeight="1" x14ac:dyDescent="0.2">
      <c r="B10902" s="11" t="s">
        <v>2606</v>
      </c>
      <c r="C10902" s="16" t="s">
        <v>44</v>
      </c>
      <c r="D10902" s="6" t="str">
        <f>HYPERLINK("javascript:void(0)","mágnes")</f>
        <v>mágnes</v>
      </c>
    </row>
    <row r="10903" spans="1:4" ht="12.75" customHeight="1" x14ac:dyDescent="0.2">
      <c r="B10903" s="2"/>
      <c r="C10903" s="15"/>
      <c r="D10903" s="2"/>
    </row>
    <row r="10904" spans="1:4" ht="12.75" customHeight="1" x14ac:dyDescent="0.2">
      <c r="B10904" s="2"/>
      <c r="C10904" s="15"/>
      <c r="D10904" s="2"/>
    </row>
    <row r="10905" spans="1:4" ht="12.75" customHeight="1" x14ac:dyDescent="0.2">
      <c r="A10905" s="13" t="s">
        <v>4285</v>
      </c>
      <c r="C10905" s="12"/>
    </row>
    <row r="10906" spans="1:4" ht="12.75" customHeight="1" x14ac:dyDescent="0.2">
      <c r="A10906" s="11"/>
      <c r="B10906" s="2"/>
      <c r="C10906" s="15"/>
      <c r="D10906" s="2"/>
    </row>
    <row r="10907" spans="1:4" ht="12.75" customHeight="1" x14ac:dyDescent="0.2">
      <c r="B10907" s="11" t="s">
        <v>0</v>
      </c>
      <c r="C10907" s="11" t="s">
        <v>239</v>
      </c>
    </row>
    <row r="10908" spans="1:4" ht="12.75" customHeight="1" x14ac:dyDescent="0.2">
      <c r="B10908" s="11" t="s">
        <v>2599</v>
      </c>
      <c r="C10908" s="11" t="s">
        <v>4286</v>
      </c>
    </row>
    <row r="10909" spans="1:4" ht="25.5" customHeight="1" x14ac:dyDescent="0.2">
      <c r="B10909" s="11" t="s">
        <v>2600</v>
      </c>
      <c r="C10909" s="11" t="s">
        <v>4287</v>
      </c>
    </row>
    <row r="10910" spans="1:4" ht="25.5" customHeight="1" x14ac:dyDescent="0.2">
      <c r="B10910" s="11" t="s">
        <v>2601</v>
      </c>
      <c r="C10910" s="11"/>
    </row>
    <row r="10911" spans="1:4" ht="12.75" customHeight="1" x14ac:dyDescent="0.2">
      <c r="B10911" s="11" t="s">
        <v>16</v>
      </c>
      <c r="C10911" s="11"/>
    </row>
    <row r="10912" spans="1:4" ht="12.75" customHeight="1" x14ac:dyDescent="0.2">
      <c r="B10912" s="11" t="s">
        <v>13</v>
      </c>
      <c r="C10912" s="11" t="s">
        <v>2602</v>
      </c>
    </row>
    <row r="10913" spans="1:4" ht="12.75" customHeight="1" x14ac:dyDescent="0.2">
      <c r="B10913" s="11" t="s">
        <v>2603</v>
      </c>
      <c r="C10913" s="11" t="s">
        <v>2633</v>
      </c>
    </row>
    <row r="10914" spans="1:4" ht="12.75" customHeight="1" x14ac:dyDescent="0.2">
      <c r="B10914" s="11" t="s">
        <v>2605</v>
      </c>
      <c r="C10914" s="11" t="s">
        <v>24</v>
      </c>
    </row>
    <row r="10915" spans="1:4" ht="12.75" customHeight="1" x14ac:dyDescent="0.2">
      <c r="B10915" s="11" t="s">
        <v>2606</v>
      </c>
      <c r="C10915" s="16" t="s">
        <v>67</v>
      </c>
      <c r="D10915" s="6" t="str">
        <f>HYPERLINK("javascript:void(0)","kincs")</f>
        <v>kincs</v>
      </c>
    </row>
    <row r="10916" spans="1:4" ht="25.5" customHeight="1" x14ac:dyDescent="0.2">
      <c r="C10916" s="16" t="s">
        <v>44</v>
      </c>
      <c r="D10916" s="6" t="str">
        <f>HYPERLINK("javascript:void(0)","szent szimbólum")</f>
        <v>szent szimbólum</v>
      </c>
    </row>
    <row r="10917" spans="1:4" ht="12.75" customHeight="1" x14ac:dyDescent="0.2">
      <c r="B10917" s="2"/>
      <c r="C10917" s="15"/>
      <c r="D10917" s="2"/>
    </row>
    <row r="10918" spans="1:4" ht="12.75" customHeight="1" x14ac:dyDescent="0.2">
      <c r="B10918" s="2"/>
      <c r="C10918" s="15"/>
      <c r="D10918" s="2"/>
    </row>
    <row r="10919" spans="1:4" ht="12.75" customHeight="1" x14ac:dyDescent="0.2">
      <c r="A10919" s="13" t="s">
        <v>4288</v>
      </c>
      <c r="C10919" s="12"/>
    </row>
    <row r="10920" spans="1:4" ht="12.75" customHeight="1" x14ac:dyDescent="0.2">
      <c r="A10920" s="11"/>
      <c r="B10920" s="2"/>
      <c r="C10920" s="15"/>
      <c r="D10920" s="2"/>
    </row>
    <row r="10921" spans="1:4" ht="12.75" customHeight="1" x14ac:dyDescent="0.2">
      <c r="B10921" s="11" t="s">
        <v>0</v>
      </c>
      <c r="C10921" s="11" t="s">
        <v>239</v>
      </c>
    </row>
    <row r="10922" spans="1:4" ht="12.75" customHeight="1" x14ac:dyDescent="0.2">
      <c r="B10922" s="11" t="s">
        <v>2599</v>
      </c>
      <c r="C10922" s="11" t="s">
        <v>4289</v>
      </c>
    </row>
    <row r="10923" spans="1:4" ht="25.5" customHeight="1" x14ac:dyDescent="0.2">
      <c r="B10923" s="11" t="s">
        <v>2600</v>
      </c>
      <c r="C10923" s="11" t="s">
        <v>4290</v>
      </c>
    </row>
    <row r="10924" spans="1:4" ht="25.5" customHeight="1" x14ac:dyDescent="0.2">
      <c r="B10924" s="11" t="s">
        <v>2601</v>
      </c>
      <c r="C10924" s="11"/>
    </row>
    <row r="10925" spans="1:4" ht="12.75" customHeight="1" x14ac:dyDescent="0.2">
      <c r="B10925" s="11" t="s">
        <v>16</v>
      </c>
      <c r="C10925" s="11"/>
    </row>
    <row r="10926" spans="1:4" ht="12.75" customHeight="1" x14ac:dyDescent="0.2">
      <c r="B10926" s="11" t="s">
        <v>13</v>
      </c>
      <c r="C10926" s="11" t="s">
        <v>2644</v>
      </c>
    </row>
    <row r="10927" spans="1:4" ht="12.75" customHeight="1" x14ac:dyDescent="0.2">
      <c r="B10927" s="11" t="s">
        <v>2603</v>
      </c>
      <c r="C10927" s="11" t="s">
        <v>2604</v>
      </c>
    </row>
    <row r="10928" spans="1:4" ht="12.75" customHeight="1" x14ac:dyDescent="0.2">
      <c r="B10928" s="11" t="s">
        <v>2605</v>
      </c>
      <c r="C10928" s="11" t="s">
        <v>24</v>
      </c>
    </row>
    <row r="10929" spans="1:4" ht="12.75" customHeight="1" x14ac:dyDescent="0.2">
      <c r="B10929" s="11" t="s">
        <v>2606</v>
      </c>
      <c r="C10929" s="16" t="s">
        <v>68</v>
      </c>
      <c r="D10929" s="6" t="str">
        <f>HYPERLINK("javascript:void(0)","hangjegy")</f>
        <v>hangjegy</v>
      </c>
    </row>
    <row r="10930" spans="1:4" ht="12.75" customHeight="1" x14ac:dyDescent="0.2">
      <c r="B10930" s="2"/>
      <c r="C10930" s="15"/>
      <c r="D10930" s="2"/>
    </row>
    <row r="10931" spans="1:4" ht="12.75" customHeight="1" x14ac:dyDescent="0.2">
      <c r="B10931" s="2"/>
      <c r="C10931" s="15"/>
      <c r="D10931" s="2"/>
    </row>
    <row r="10932" spans="1:4" ht="12.75" customHeight="1" x14ac:dyDescent="0.2">
      <c r="A10932" s="13" t="s">
        <v>4291</v>
      </c>
      <c r="C10932" s="12"/>
    </row>
    <row r="10933" spans="1:4" ht="12.75" customHeight="1" x14ac:dyDescent="0.2">
      <c r="A10933" s="11"/>
      <c r="B10933" s="2"/>
      <c r="C10933" s="15"/>
      <c r="D10933" s="2"/>
    </row>
    <row r="10934" spans="1:4" ht="12.75" customHeight="1" x14ac:dyDescent="0.2">
      <c r="B10934" s="11" t="s">
        <v>0</v>
      </c>
      <c r="C10934" s="11" t="s">
        <v>239</v>
      </c>
    </row>
    <row r="10935" spans="1:4" ht="12.75" customHeight="1" x14ac:dyDescent="0.2">
      <c r="B10935" s="11" t="s">
        <v>2599</v>
      </c>
      <c r="C10935" s="11" t="s">
        <v>3296</v>
      </c>
    </row>
    <row r="10936" spans="1:4" ht="25.5" customHeight="1" x14ac:dyDescent="0.2">
      <c r="B10936" s="11" t="s">
        <v>2600</v>
      </c>
      <c r="C10936" s="11" t="s">
        <v>4292</v>
      </c>
    </row>
    <row r="10937" spans="1:4" ht="25.5" customHeight="1" x14ac:dyDescent="0.2">
      <c r="B10937" s="11" t="s">
        <v>2601</v>
      </c>
      <c r="C10937" s="11"/>
    </row>
    <row r="10938" spans="1:4" ht="12.75" customHeight="1" x14ac:dyDescent="0.2">
      <c r="B10938" s="11" t="s">
        <v>16</v>
      </c>
      <c r="C10938" s="11"/>
    </row>
    <row r="10939" spans="1:4" ht="12.75" customHeight="1" x14ac:dyDescent="0.2">
      <c r="B10939" s="11" t="s">
        <v>13</v>
      </c>
      <c r="C10939" s="11" t="s">
        <v>2602</v>
      </c>
    </row>
    <row r="10940" spans="1:4" ht="12.75" customHeight="1" x14ac:dyDescent="0.2">
      <c r="B10940" s="11" t="s">
        <v>2603</v>
      </c>
      <c r="C10940" s="11" t="s">
        <v>2604</v>
      </c>
    </row>
    <row r="10941" spans="1:4" ht="12.75" customHeight="1" x14ac:dyDescent="0.2">
      <c r="B10941" s="11" t="s">
        <v>2605</v>
      </c>
      <c r="C10941" s="11" t="s">
        <v>24</v>
      </c>
    </row>
    <row r="10942" spans="1:4" ht="12.75" customHeight="1" x14ac:dyDescent="0.2">
      <c r="B10942" s="11" t="s">
        <v>2606</v>
      </c>
      <c r="C10942" s="16" t="s">
        <v>44</v>
      </c>
      <c r="D10942" s="6" t="str">
        <f>HYPERLINK("javascript:void(0)","vákuum")</f>
        <v>vákuum</v>
      </c>
    </row>
    <row r="10943" spans="1:4" ht="12.75" customHeight="1" x14ac:dyDescent="0.2">
      <c r="B10943" s="2"/>
      <c r="C10943" s="15"/>
      <c r="D10943" s="2"/>
    </row>
    <row r="10944" spans="1:4" ht="12.75" customHeight="1" x14ac:dyDescent="0.2">
      <c r="B10944" s="2"/>
      <c r="C10944" s="15"/>
      <c r="D10944" s="2"/>
    </row>
    <row r="10945" spans="1:4" ht="12.75" customHeight="1" x14ac:dyDescent="0.2">
      <c r="A10945" s="13" t="s">
        <v>4293</v>
      </c>
      <c r="C10945" s="12"/>
    </row>
    <row r="10946" spans="1:4" ht="12.75" customHeight="1" x14ac:dyDescent="0.2">
      <c r="A10946" s="11"/>
      <c r="B10946" s="2"/>
      <c r="C10946" s="15"/>
      <c r="D10946" s="2"/>
    </row>
    <row r="10947" spans="1:4" ht="12.75" customHeight="1" x14ac:dyDescent="0.2">
      <c r="B10947" s="11" t="s">
        <v>0</v>
      </c>
      <c r="C10947" s="11" t="s">
        <v>239</v>
      </c>
    </row>
    <row r="10948" spans="1:4" ht="12.75" customHeight="1" x14ac:dyDescent="0.2">
      <c r="B10948" s="11" t="s">
        <v>2599</v>
      </c>
      <c r="C10948" s="11" t="s">
        <v>3175</v>
      </c>
    </row>
    <row r="10949" spans="1:4" ht="25.5" customHeight="1" x14ac:dyDescent="0.2">
      <c r="B10949" s="11" t="s">
        <v>2600</v>
      </c>
      <c r="C10949" s="11" t="s">
        <v>4294</v>
      </c>
    </row>
    <row r="10950" spans="1:4" ht="25.5" customHeight="1" x14ac:dyDescent="0.2">
      <c r="B10950" s="11" t="s">
        <v>2601</v>
      </c>
      <c r="C10950" s="11"/>
    </row>
    <row r="10951" spans="1:4" ht="12.75" customHeight="1" x14ac:dyDescent="0.2">
      <c r="B10951" s="11" t="s">
        <v>16</v>
      </c>
      <c r="C10951" s="11"/>
    </row>
    <row r="10952" spans="1:4" ht="12.75" customHeight="1" x14ac:dyDescent="0.2">
      <c r="B10952" s="11" t="s">
        <v>13</v>
      </c>
      <c r="C10952" s="11" t="s">
        <v>2644</v>
      </c>
    </row>
    <row r="10953" spans="1:4" ht="12.75" customHeight="1" x14ac:dyDescent="0.2">
      <c r="B10953" s="11" t="s">
        <v>2603</v>
      </c>
      <c r="C10953" s="11" t="s">
        <v>2633</v>
      </c>
    </row>
    <row r="10954" spans="1:4" ht="12.75" customHeight="1" x14ac:dyDescent="0.2">
      <c r="B10954" s="11" t="s">
        <v>2605</v>
      </c>
      <c r="C10954" s="11" t="s">
        <v>24</v>
      </c>
    </row>
    <row r="10955" spans="1:4" ht="12.75" customHeight="1" x14ac:dyDescent="0.2">
      <c r="B10955" s="11" t="s">
        <v>2606</v>
      </c>
      <c r="C10955" s="16" t="s">
        <v>56</v>
      </c>
      <c r="D10955" s="6" t="str">
        <f>HYPERLINK("javascript:void(0)","légige")</f>
        <v>légige</v>
      </c>
    </row>
    <row r="10956" spans="1:4" ht="12.75" customHeight="1" x14ac:dyDescent="0.2">
      <c r="C10956" s="16" t="s">
        <v>196</v>
      </c>
      <c r="D10956" s="6" t="str">
        <f>HYPERLINK("javascript:void(0)","kincs")</f>
        <v>kincs</v>
      </c>
    </row>
    <row r="10957" spans="1:4" ht="12.75" customHeight="1" x14ac:dyDescent="0.2">
      <c r="B10957" s="2"/>
      <c r="C10957" s="15"/>
      <c r="D10957" s="2"/>
    </row>
    <row r="10958" spans="1:4" ht="12.75" customHeight="1" x14ac:dyDescent="0.2">
      <c r="B10958" s="2"/>
      <c r="C10958" s="15"/>
      <c r="D10958" s="2"/>
    </row>
    <row r="10959" spans="1:4" ht="12.75" customHeight="1" x14ac:dyDescent="0.2">
      <c r="A10959" s="13" t="s">
        <v>4295</v>
      </c>
      <c r="C10959" s="12"/>
      <c r="D10959" s="2"/>
    </row>
    <row r="10960" spans="1:4" ht="12.75" customHeight="1" x14ac:dyDescent="0.2">
      <c r="A10960" s="11"/>
      <c r="B10960" s="2"/>
      <c r="C10960" s="15"/>
      <c r="D10960" s="2"/>
    </row>
    <row r="10961" spans="1:4" ht="12.75" customHeight="1" x14ac:dyDescent="0.2">
      <c r="B10961" s="11" t="s">
        <v>0</v>
      </c>
      <c r="C10961" s="17" t="s">
        <v>239</v>
      </c>
      <c r="D10961" s="2"/>
    </row>
    <row r="10962" spans="1:4" ht="12.75" customHeight="1" x14ac:dyDescent="0.2">
      <c r="B10962" s="11" t="s">
        <v>2599</v>
      </c>
      <c r="C10962" s="17" t="s">
        <v>1184</v>
      </c>
      <c r="D10962" s="2"/>
    </row>
    <row r="10963" spans="1:4" ht="25.5" customHeight="1" x14ac:dyDescent="0.2">
      <c r="B10963" s="11" t="s">
        <v>2600</v>
      </c>
      <c r="C10963" s="17" t="s">
        <v>4296</v>
      </c>
      <c r="D10963" s="2"/>
    </row>
    <row r="10964" spans="1:4" ht="25.5" customHeight="1" x14ac:dyDescent="0.2">
      <c r="B10964" s="11" t="s">
        <v>2601</v>
      </c>
      <c r="C10964" s="17"/>
      <c r="D10964" s="2"/>
    </row>
    <row r="10965" spans="1:4" ht="12.75" customHeight="1" x14ac:dyDescent="0.2">
      <c r="B10965" s="11" t="s">
        <v>16</v>
      </c>
      <c r="C10965" s="17"/>
      <c r="D10965" s="2"/>
    </row>
    <row r="10966" spans="1:4" ht="12.75" customHeight="1" x14ac:dyDescent="0.2">
      <c r="B10966" s="11" t="s">
        <v>13</v>
      </c>
      <c r="C10966" s="17" t="s">
        <v>2644</v>
      </c>
      <c r="D10966" s="2"/>
    </row>
    <row r="10967" spans="1:4" ht="25.5" customHeight="1" x14ac:dyDescent="0.2">
      <c r="B10967" s="11" t="s">
        <v>2603</v>
      </c>
      <c r="C10967" s="17" t="s">
        <v>2971</v>
      </c>
      <c r="D10967" s="2"/>
    </row>
    <row r="10968" spans="1:4" ht="12.75" customHeight="1" x14ac:dyDescent="0.2">
      <c r="B10968" s="11" t="s">
        <v>2605</v>
      </c>
      <c r="C10968" s="17" t="s">
        <v>14</v>
      </c>
      <c r="D10968" s="2"/>
    </row>
    <row r="10969" spans="1:4" ht="12.75" customHeight="1" x14ac:dyDescent="0.2">
      <c r="B10969" s="11" t="s">
        <v>2606</v>
      </c>
      <c r="C10969" s="16" t="s">
        <v>19</v>
      </c>
      <c r="D10969" s="2"/>
    </row>
    <row r="10970" spans="1:4" ht="12.75" customHeight="1" x14ac:dyDescent="0.2">
      <c r="B10970" s="2"/>
      <c r="C10970" s="15"/>
      <c r="D10970" s="2"/>
    </row>
    <row r="10971" spans="1:4" ht="12.75" customHeight="1" x14ac:dyDescent="0.2">
      <c r="B10971" s="2"/>
      <c r="C10971" s="15"/>
      <c r="D10971" s="2"/>
    </row>
    <row r="10972" spans="1:4" ht="12.75" customHeight="1" x14ac:dyDescent="0.2">
      <c r="A10972" s="13" t="s">
        <v>4297</v>
      </c>
      <c r="C10972" s="12"/>
      <c r="D10972" s="2"/>
    </row>
    <row r="10973" spans="1:4" ht="12.75" customHeight="1" x14ac:dyDescent="0.2">
      <c r="A10973" s="11"/>
      <c r="B10973" s="2"/>
      <c r="C10973" s="15"/>
      <c r="D10973" s="2"/>
    </row>
    <row r="10974" spans="1:4" ht="12.75" customHeight="1" x14ac:dyDescent="0.2">
      <c r="B10974" s="11" t="s">
        <v>0</v>
      </c>
      <c r="C10974" s="17" t="s">
        <v>239</v>
      </c>
      <c r="D10974" s="2"/>
    </row>
    <row r="10975" spans="1:4" ht="12.75" customHeight="1" x14ac:dyDescent="0.2">
      <c r="B10975" s="11" t="s">
        <v>2599</v>
      </c>
      <c r="C10975" s="17" t="s">
        <v>4299</v>
      </c>
      <c r="D10975" s="2"/>
    </row>
    <row r="10976" spans="1:4" ht="25.5" customHeight="1" x14ac:dyDescent="0.2">
      <c r="B10976" s="11" t="s">
        <v>2600</v>
      </c>
      <c r="C10976" s="17" t="s">
        <v>4300</v>
      </c>
      <c r="D10976" s="2"/>
    </row>
    <row r="10977" spans="1:4" ht="25.5" customHeight="1" x14ac:dyDescent="0.2">
      <c r="B10977" s="11" t="s">
        <v>2601</v>
      </c>
      <c r="C10977" s="17"/>
      <c r="D10977" s="2"/>
    </row>
    <row r="10978" spans="1:4" ht="12.75" customHeight="1" x14ac:dyDescent="0.2">
      <c r="B10978" s="11" t="s">
        <v>16</v>
      </c>
      <c r="C10978" s="17"/>
      <c r="D10978" s="2"/>
    </row>
    <row r="10979" spans="1:4" ht="12.75" customHeight="1" x14ac:dyDescent="0.2">
      <c r="B10979" s="11" t="s">
        <v>13</v>
      </c>
      <c r="C10979" s="17" t="s">
        <v>2602</v>
      </c>
      <c r="D10979" s="2"/>
    </row>
    <row r="10980" spans="1:4" ht="25.5" customHeight="1" x14ac:dyDescent="0.2">
      <c r="B10980" s="11" t="s">
        <v>2603</v>
      </c>
      <c r="C10980" s="17" t="s">
        <v>2971</v>
      </c>
      <c r="D10980" s="2"/>
    </row>
    <row r="10981" spans="1:4" ht="12.75" customHeight="1" x14ac:dyDescent="0.2">
      <c r="B10981" s="11" t="s">
        <v>2605</v>
      </c>
      <c r="C10981" s="17" t="s">
        <v>14</v>
      </c>
      <c r="D10981" s="2"/>
    </row>
    <row r="10982" spans="1:4" ht="12.75" customHeight="1" x14ac:dyDescent="0.2">
      <c r="B10982" s="11" t="s">
        <v>2606</v>
      </c>
      <c r="C10982" s="16" t="s">
        <v>19</v>
      </c>
      <c r="D10982" s="2"/>
    </row>
    <row r="10983" spans="1:4" ht="12.75" customHeight="1" x14ac:dyDescent="0.2">
      <c r="B10983" s="2"/>
      <c r="C10983" s="15"/>
      <c r="D10983" s="2"/>
    </row>
    <row r="10984" spans="1:4" ht="12.75" customHeight="1" x14ac:dyDescent="0.2">
      <c r="B10984" s="2"/>
      <c r="C10984" s="15"/>
      <c r="D10984" s="2"/>
    </row>
    <row r="10985" spans="1:4" ht="12.75" customHeight="1" x14ac:dyDescent="0.2">
      <c r="A10985" s="13" t="s">
        <v>4267</v>
      </c>
      <c r="C10985" s="12"/>
      <c r="D10985" s="2"/>
    </row>
    <row r="10986" spans="1:4" ht="12.75" customHeight="1" x14ac:dyDescent="0.2">
      <c r="A10986" s="11"/>
      <c r="B10986" s="2"/>
      <c r="C10986" s="15"/>
      <c r="D10986" s="2"/>
    </row>
    <row r="10987" spans="1:4" ht="12.75" customHeight="1" x14ac:dyDescent="0.2">
      <c r="B10987" s="11" t="s">
        <v>0</v>
      </c>
      <c r="C10987" s="17" t="s">
        <v>651</v>
      </c>
      <c r="D10987" s="2"/>
    </row>
    <row r="10988" spans="1:4" ht="12.75" customHeight="1" x14ac:dyDescent="0.2">
      <c r="B10988" s="11" t="s">
        <v>2599</v>
      </c>
      <c r="C10988" s="17" t="s">
        <v>4268</v>
      </c>
      <c r="D10988" s="2"/>
    </row>
    <row r="10989" spans="1:4" ht="25.5" customHeight="1" x14ac:dyDescent="0.2">
      <c r="B10989" s="11" t="s">
        <v>2600</v>
      </c>
      <c r="C10989" s="17" t="s">
        <v>4301</v>
      </c>
      <c r="D10989" s="2"/>
    </row>
    <row r="10990" spans="1:4" ht="25.5" customHeight="1" x14ac:dyDescent="0.2">
      <c r="B10990" s="11" t="s">
        <v>2601</v>
      </c>
      <c r="C10990" s="17"/>
      <c r="D10990" s="2"/>
    </row>
    <row r="10991" spans="1:4" ht="12.75" customHeight="1" x14ac:dyDescent="0.2">
      <c r="B10991" s="11" t="s">
        <v>16</v>
      </c>
      <c r="C10991" s="17"/>
      <c r="D10991" s="2"/>
    </row>
    <row r="10992" spans="1:4" ht="12.75" customHeight="1" x14ac:dyDescent="0.2">
      <c r="B10992" s="11" t="s">
        <v>13</v>
      </c>
      <c r="C10992" s="17" t="s">
        <v>2644</v>
      </c>
      <c r="D10992" s="2"/>
    </row>
    <row r="10993" spans="1:4" ht="25.5" customHeight="1" x14ac:dyDescent="0.2">
      <c r="B10993" s="11" t="s">
        <v>2603</v>
      </c>
      <c r="C10993" s="17" t="s">
        <v>2971</v>
      </c>
      <c r="D10993" s="2"/>
    </row>
    <row r="10994" spans="1:4" ht="12.75" customHeight="1" x14ac:dyDescent="0.2">
      <c r="B10994" s="11" t="s">
        <v>2605</v>
      </c>
      <c r="C10994" s="17" t="s">
        <v>14</v>
      </c>
      <c r="D10994" s="2"/>
    </row>
    <row r="10995" spans="1:4" ht="12.75" customHeight="1" x14ac:dyDescent="0.2">
      <c r="B10995" s="11" t="s">
        <v>2606</v>
      </c>
      <c r="C10995" s="16" t="s">
        <v>19</v>
      </c>
      <c r="D10995" s="2"/>
    </row>
    <row r="10996" spans="1:4" ht="12.75" customHeight="1" x14ac:dyDescent="0.2">
      <c r="B10996" s="2"/>
      <c r="C10996" s="15"/>
      <c r="D10996" s="2"/>
    </row>
    <row r="10997" spans="1:4" ht="12.75" customHeight="1" x14ac:dyDescent="0.2">
      <c r="B10997" s="2"/>
      <c r="C10997" s="15"/>
      <c r="D10997" s="2"/>
    </row>
    <row r="10998" spans="1:4" ht="12.75" customHeight="1" x14ac:dyDescent="0.2">
      <c r="A10998" s="13" t="s">
        <v>4270</v>
      </c>
      <c r="C10998" s="12"/>
      <c r="D10998" s="2"/>
    </row>
    <row r="10999" spans="1:4" ht="12.75" customHeight="1" x14ac:dyDescent="0.2">
      <c r="A10999" s="11"/>
      <c r="B10999" s="2"/>
      <c r="C10999" s="15"/>
      <c r="D10999" s="2"/>
    </row>
    <row r="11000" spans="1:4" ht="12.75" customHeight="1" x14ac:dyDescent="0.2">
      <c r="B11000" s="11" t="s">
        <v>0</v>
      </c>
      <c r="C11000" s="17" t="s">
        <v>651</v>
      </c>
      <c r="D11000" s="2"/>
    </row>
    <row r="11001" spans="1:4" ht="12.75" customHeight="1" x14ac:dyDescent="0.2">
      <c r="B11001" s="11" t="s">
        <v>2599</v>
      </c>
      <c r="C11001" s="17" t="s">
        <v>4271</v>
      </c>
      <c r="D11001" s="2"/>
    </row>
    <row r="11002" spans="1:4" ht="25.5" customHeight="1" x14ac:dyDescent="0.2">
      <c r="B11002" s="11" t="s">
        <v>2600</v>
      </c>
      <c r="C11002" s="17" t="s">
        <v>4302</v>
      </c>
      <c r="D11002" s="2"/>
    </row>
    <row r="11003" spans="1:4" ht="25.5" customHeight="1" x14ac:dyDescent="0.2">
      <c r="B11003" s="11" t="s">
        <v>2601</v>
      </c>
      <c r="C11003" s="17"/>
      <c r="D11003" s="2"/>
    </row>
    <row r="11004" spans="1:4" ht="12.75" customHeight="1" x14ac:dyDescent="0.2">
      <c r="B11004" s="11" t="s">
        <v>16</v>
      </c>
      <c r="C11004" s="17"/>
      <c r="D11004" s="2"/>
    </row>
    <row r="11005" spans="1:4" ht="12.75" customHeight="1" x14ac:dyDescent="0.2">
      <c r="B11005" s="11" t="s">
        <v>13</v>
      </c>
      <c r="C11005" s="17" t="s">
        <v>2602</v>
      </c>
      <c r="D11005" s="2"/>
    </row>
    <row r="11006" spans="1:4" ht="25.5" customHeight="1" x14ac:dyDescent="0.2">
      <c r="B11006" s="11" t="s">
        <v>2603</v>
      </c>
      <c r="C11006" s="17" t="s">
        <v>2971</v>
      </c>
      <c r="D11006" s="2"/>
    </row>
    <row r="11007" spans="1:4" ht="12.75" customHeight="1" x14ac:dyDescent="0.2">
      <c r="B11007" s="11" t="s">
        <v>2605</v>
      </c>
      <c r="C11007" s="17" t="s">
        <v>14</v>
      </c>
      <c r="D11007" s="2"/>
    </row>
    <row r="11008" spans="1:4" ht="12.75" customHeight="1" x14ac:dyDescent="0.2">
      <c r="B11008" s="11" t="s">
        <v>2606</v>
      </c>
      <c r="C11008" s="16" t="s">
        <v>19</v>
      </c>
      <c r="D11008" s="2"/>
    </row>
    <row r="11009" spans="1:4" ht="12.75" customHeight="1" x14ac:dyDescent="0.2">
      <c r="B11009" s="2"/>
      <c r="C11009" s="15"/>
      <c r="D11009" s="2"/>
    </row>
    <row r="11010" spans="1:4" ht="12.75" customHeight="1" x14ac:dyDescent="0.2">
      <c r="B11010" s="2"/>
      <c r="C11010" s="15"/>
      <c r="D11010" s="2"/>
    </row>
    <row r="11011" spans="1:4" ht="12.75" customHeight="1" x14ac:dyDescent="0.2">
      <c r="A11011" s="13" t="s">
        <v>4303</v>
      </c>
      <c r="C11011" s="12"/>
    </row>
    <row r="11012" spans="1:4" ht="12.75" customHeight="1" x14ac:dyDescent="0.2">
      <c r="A11012" s="11"/>
      <c r="B11012" s="2"/>
      <c r="C11012" s="15"/>
      <c r="D11012" s="2"/>
    </row>
    <row r="11013" spans="1:4" ht="12.75" customHeight="1" x14ac:dyDescent="0.2">
      <c r="B11013" s="11" t="s">
        <v>0</v>
      </c>
      <c r="C11013" s="11" t="s">
        <v>651</v>
      </c>
    </row>
    <row r="11014" spans="1:4" ht="12.75" customHeight="1" x14ac:dyDescent="0.2">
      <c r="B11014" s="11" t="s">
        <v>2599</v>
      </c>
      <c r="C11014" s="11" t="s">
        <v>4304</v>
      </c>
    </row>
    <row r="11015" spans="1:4" ht="25.5" customHeight="1" x14ac:dyDescent="0.2">
      <c r="B11015" s="11" t="s">
        <v>2600</v>
      </c>
      <c r="C11015" s="11" t="s">
        <v>4305</v>
      </c>
    </row>
    <row r="11016" spans="1:4" ht="25.5" customHeight="1" x14ac:dyDescent="0.2">
      <c r="B11016" s="11" t="s">
        <v>2601</v>
      </c>
      <c r="C11016" s="11"/>
    </row>
    <row r="11017" spans="1:4" ht="12.75" customHeight="1" x14ac:dyDescent="0.2">
      <c r="B11017" s="11" t="s">
        <v>16</v>
      </c>
      <c r="C11017" s="11"/>
    </row>
    <row r="11018" spans="1:4" ht="12.75" customHeight="1" x14ac:dyDescent="0.2">
      <c r="B11018" s="11" t="s">
        <v>13</v>
      </c>
      <c r="C11018" s="11" t="s">
        <v>2602</v>
      </c>
    </row>
    <row r="11019" spans="1:4" ht="12.75" customHeight="1" x14ac:dyDescent="0.2">
      <c r="B11019" s="11" t="s">
        <v>2603</v>
      </c>
      <c r="C11019" s="11" t="s">
        <v>2604</v>
      </c>
    </row>
    <row r="11020" spans="1:4" ht="12.75" customHeight="1" x14ac:dyDescent="0.2">
      <c r="B11020" s="11" t="s">
        <v>2605</v>
      </c>
      <c r="C11020" s="11" t="s">
        <v>24</v>
      </c>
    </row>
    <row r="11021" spans="1:4" ht="12.75" customHeight="1" x14ac:dyDescent="0.2">
      <c r="B11021" s="11" t="s">
        <v>2606</v>
      </c>
      <c r="C11021" s="16" t="s">
        <v>56</v>
      </c>
      <c r="D11021" s="6" t="str">
        <f>HYPERLINK("javascript:void(0)","gigacsáp")</f>
        <v>gigacsáp</v>
      </c>
    </row>
    <row r="11022" spans="1:4" ht="12.75" customHeight="1" x14ac:dyDescent="0.2">
      <c r="B11022" s="2"/>
      <c r="C11022" s="15"/>
      <c r="D11022" s="2"/>
    </row>
    <row r="11023" spans="1:4" ht="12.75" customHeight="1" x14ac:dyDescent="0.2">
      <c r="B11023" s="2"/>
      <c r="C11023" s="15"/>
      <c r="D11023" s="2"/>
    </row>
    <row r="11024" spans="1:4" ht="12.75" customHeight="1" x14ac:dyDescent="0.2">
      <c r="A11024" s="13" t="s">
        <v>4306</v>
      </c>
      <c r="C11024" s="12"/>
    </row>
    <row r="11025" spans="1:4" ht="12.75" customHeight="1" x14ac:dyDescent="0.2">
      <c r="A11025" s="11"/>
      <c r="B11025" s="2"/>
      <c r="C11025" s="15"/>
      <c r="D11025" s="2"/>
    </row>
    <row r="11026" spans="1:4" ht="12.75" customHeight="1" x14ac:dyDescent="0.2">
      <c r="B11026" s="11" t="s">
        <v>0</v>
      </c>
      <c r="C11026" s="11" t="s">
        <v>651</v>
      </c>
    </row>
    <row r="11027" spans="1:4" ht="12.75" customHeight="1" x14ac:dyDescent="0.2">
      <c r="B11027" s="11" t="s">
        <v>2599</v>
      </c>
      <c r="C11027" s="11" t="s">
        <v>4307</v>
      </c>
    </row>
    <row r="11028" spans="1:4" ht="25.5" customHeight="1" x14ac:dyDescent="0.2">
      <c r="B11028" s="11" t="s">
        <v>2600</v>
      </c>
      <c r="C11028" s="11" t="s">
        <v>4308</v>
      </c>
    </row>
    <row r="11029" spans="1:4" ht="25.5" customHeight="1" x14ac:dyDescent="0.2">
      <c r="B11029" s="11" t="s">
        <v>2601</v>
      </c>
      <c r="C11029" s="11"/>
    </row>
    <row r="11030" spans="1:4" ht="12.75" customHeight="1" x14ac:dyDescent="0.2">
      <c r="B11030" s="11" t="s">
        <v>16</v>
      </c>
      <c r="C11030" s="11"/>
    </row>
    <row r="11031" spans="1:4" ht="12.75" customHeight="1" x14ac:dyDescent="0.2">
      <c r="B11031" s="11" t="s">
        <v>13</v>
      </c>
      <c r="C11031" s="11" t="s">
        <v>2644</v>
      </c>
    </row>
    <row r="11032" spans="1:4" ht="12.75" customHeight="1" x14ac:dyDescent="0.2">
      <c r="B11032" s="11" t="s">
        <v>2603</v>
      </c>
      <c r="C11032" s="11" t="s">
        <v>2604</v>
      </c>
    </row>
    <row r="11033" spans="1:4" ht="12.75" customHeight="1" x14ac:dyDescent="0.2">
      <c r="B11033" s="11" t="s">
        <v>2605</v>
      </c>
      <c r="C11033" s="11" t="s">
        <v>14</v>
      </c>
    </row>
    <row r="11034" spans="1:4" ht="12.75" customHeight="1" x14ac:dyDescent="0.2">
      <c r="B11034" s="11" t="s">
        <v>2606</v>
      </c>
      <c r="C11034" s="16" t="s">
        <v>44</v>
      </c>
      <c r="D11034" s="6" t="str">
        <f>HYPERLINK("javascript:void(0)","mechodron")</f>
        <v>mechodron</v>
      </c>
    </row>
    <row r="11035" spans="1:4" ht="12.75" customHeight="1" x14ac:dyDescent="0.2">
      <c r="B11035" s="2"/>
      <c r="C11035" s="15"/>
      <c r="D11035" s="2"/>
    </row>
    <row r="11036" spans="1:4" ht="12.75" customHeight="1" x14ac:dyDescent="0.2">
      <c r="B11036" s="2"/>
      <c r="C11036" s="15"/>
      <c r="D11036" s="2"/>
    </row>
    <row r="11037" spans="1:4" ht="12.75" customHeight="1" x14ac:dyDescent="0.2">
      <c r="A11037" s="13" t="s">
        <v>4309</v>
      </c>
      <c r="C11037" s="12"/>
    </row>
    <row r="11038" spans="1:4" ht="12.75" customHeight="1" x14ac:dyDescent="0.2">
      <c r="A11038" s="11"/>
      <c r="B11038" s="2"/>
      <c r="C11038" s="15"/>
      <c r="D11038" s="2"/>
    </row>
    <row r="11039" spans="1:4" ht="12.75" customHeight="1" x14ac:dyDescent="0.2">
      <c r="B11039" s="11" t="s">
        <v>0</v>
      </c>
      <c r="C11039" s="11" t="s">
        <v>651</v>
      </c>
    </row>
    <row r="11040" spans="1:4" ht="12.75" customHeight="1" x14ac:dyDescent="0.2">
      <c r="B11040" s="11" t="s">
        <v>2599</v>
      </c>
      <c r="C11040" s="11" t="s">
        <v>3780</v>
      </c>
    </row>
    <row r="11041" spans="1:4" ht="25.5" customHeight="1" x14ac:dyDescent="0.2">
      <c r="B11041" s="11" t="s">
        <v>2600</v>
      </c>
      <c r="C11041" s="11" t="s">
        <v>4310</v>
      </c>
    </row>
    <row r="11042" spans="1:4" ht="25.5" customHeight="1" x14ac:dyDescent="0.2">
      <c r="B11042" s="11" t="s">
        <v>2601</v>
      </c>
      <c r="C11042" s="11"/>
    </row>
    <row r="11043" spans="1:4" ht="12.75" customHeight="1" x14ac:dyDescent="0.2">
      <c r="B11043" s="11" t="s">
        <v>16</v>
      </c>
      <c r="C11043" s="11"/>
    </row>
    <row r="11044" spans="1:4" ht="12.75" customHeight="1" x14ac:dyDescent="0.2">
      <c r="B11044" s="11" t="s">
        <v>13</v>
      </c>
      <c r="C11044" s="11" t="s">
        <v>2602</v>
      </c>
    </row>
    <row r="11045" spans="1:4" ht="12.75" customHeight="1" x14ac:dyDescent="0.2">
      <c r="B11045" s="11" t="s">
        <v>2603</v>
      </c>
      <c r="C11045" s="11" t="s">
        <v>2604</v>
      </c>
    </row>
    <row r="11046" spans="1:4" ht="12.75" customHeight="1" x14ac:dyDescent="0.2">
      <c r="B11046" s="11" t="s">
        <v>2605</v>
      </c>
      <c r="C11046" s="11" t="s">
        <v>14</v>
      </c>
    </row>
    <row r="11047" spans="1:4" ht="12.75" customHeight="1" x14ac:dyDescent="0.2">
      <c r="B11047" s="11" t="s">
        <v>2606</v>
      </c>
      <c r="C11047" s="16" t="s">
        <v>331</v>
      </c>
      <c r="D11047" s="6" t="str">
        <f>HYPERLINK("javascript:void(0)","kincs")</f>
        <v>kincs</v>
      </c>
    </row>
    <row r="11048" spans="1:4" ht="25.5" customHeight="1" x14ac:dyDescent="0.2">
      <c r="C11048" s="16" t="s">
        <v>44</v>
      </c>
      <c r="D11048" s="6" t="str">
        <f>HYPERLINK("javascript:void(0)","szent szimbólum")</f>
        <v>szent szimbólum</v>
      </c>
    </row>
    <row r="11049" spans="1:4" ht="12.75" customHeight="1" x14ac:dyDescent="0.2">
      <c r="B11049" s="2"/>
      <c r="C11049" s="15"/>
      <c r="D11049" s="2"/>
    </row>
    <row r="11050" spans="1:4" ht="12.75" customHeight="1" x14ac:dyDescent="0.2">
      <c r="B11050" s="2"/>
      <c r="C11050" s="15"/>
      <c r="D11050" s="2"/>
    </row>
    <row r="11051" spans="1:4" ht="12.75" customHeight="1" x14ac:dyDescent="0.2">
      <c r="A11051" s="13" t="s">
        <v>4311</v>
      </c>
      <c r="C11051" s="12"/>
      <c r="D11051" s="2"/>
    </row>
    <row r="11052" spans="1:4" ht="12.75" customHeight="1" x14ac:dyDescent="0.2">
      <c r="A11052" s="11"/>
      <c r="B11052" s="2"/>
      <c r="C11052" s="15"/>
      <c r="D11052" s="2"/>
    </row>
    <row r="11053" spans="1:4" ht="12.75" customHeight="1" x14ac:dyDescent="0.2">
      <c r="B11053" s="11" t="s">
        <v>0</v>
      </c>
      <c r="C11053" s="17" t="s">
        <v>651</v>
      </c>
      <c r="D11053" s="2"/>
    </row>
    <row r="11054" spans="1:4" ht="12.75" customHeight="1" x14ac:dyDescent="0.2">
      <c r="B11054" s="11" t="s">
        <v>2599</v>
      </c>
      <c r="C11054" s="17" t="s">
        <v>3150</v>
      </c>
      <c r="D11054" s="2"/>
    </row>
    <row r="11055" spans="1:4" ht="25.5" customHeight="1" x14ac:dyDescent="0.2">
      <c r="B11055" s="11" t="s">
        <v>2600</v>
      </c>
      <c r="C11055" s="17" t="s">
        <v>4312</v>
      </c>
      <c r="D11055" s="2"/>
    </row>
    <row r="11056" spans="1:4" ht="25.5" customHeight="1" x14ac:dyDescent="0.2">
      <c r="B11056" s="11" t="s">
        <v>2601</v>
      </c>
      <c r="C11056" s="17"/>
      <c r="D11056" s="2"/>
    </row>
    <row r="11057" spans="1:4" ht="12.75" customHeight="1" x14ac:dyDescent="0.2">
      <c r="B11057" s="11" t="s">
        <v>16</v>
      </c>
      <c r="C11057" s="17"/>
      <c r="D11057" s="2"/>
    </row>
    <row r="11058" spans="1:4" ht="12.75" customHeight="1" x14ac:dyDescent="0.2">
      <c r="B11058" s="11" t="s">
        <v>13</v>
      </c>
      <c r="C11058" s="17" t="s">
        <v>2644</v>
      </c>
      <c r="D11058" s="2"/>
    </row>
    <row r="11059" spans="1:4" ht="12.75" customHeight="1" x14ac:dyDescent="0.2">
      <c r="B11059" s="11" t="s">
        <v>2603</v>
      </c>
      <c r="C11059" s="17" t="s">
        <v>2604</v>
      </c>
      <c r="D11059" s="2"/>
    </row>
    <row r="11060" spans="1:4" ht="12.75" customHeight="1" x14ac:dyDescent="0.2">
      <c r="B11060" s="11" t="s">
        <v>2605</v>
      </c>
      <c r="C11060" s="17" t="s">
        <v>24</v>
      </c>
      <c r="D11060" s="2"/>
    </row>
    <row r="11061" spans="1:4" ht="12.75" customHeight="1" x14ac:dyDescent="0.2">
      <c r="B11061" s="11" t="s">
        <v>2606</v>
      </c>
      <c r="C11061" s="16" t="s">
        <v>19</v>
      </c>
      <c r="D11061" s="2"/>
    </row>
    <row r="11062" spans="1:4" ht="12.75" customHeight="1" x14ac:dyDescent="0.2">
      <c r="B11062" s="2"/>
      <c r="C11062" s="15"/>
      <c r="D11062" s="2"/>
    </row>
    <row r="11063" spans="1:4" ht="12.75" customHeight="1" x14ac:dyDescent="0.2">
      <c r="B11063" s="2"/>
      <c r="C11063" s="15"/>
      <c r="D11063" s="2"/>
    </row>
    <row r="11064" spans="1:4" ht="12.75" customHeight="1" x14ac:dyDescent="0.2">
      <c r="A11064" s="13" t="s">
        <v>4313</v>
      </c>
      <c r="C11064" s="12"/>
    </row>
    <row r="11065" spans="1:4" ht="12.75" customHeight="1" x14ac:dyDescent="0.2">
      <c r="A11065" s="11"/>
      <c r="B11065" s="2"/>
      <c r="C11065" s="15"/>
      <c r="D11065" s="2"/>
    </row>
    <row r="11066" spans="1:4" ht="12.75" customHeight="1" x14ac:dyDescent="0.2">
      <c r="B11066" s="11" t="s">
        <v>0</v>
      </c>
      <c r="C11066" s="11" t="s">
        <v>651</v>
      </c>
    </row>
    <row r="11067" spans="1:4" ht="12.75" customHeight="1" x14ac:dyDescent="0.2">
      <c r="B11067" s="11" t="s">
        <v>2599</v>
      </c>
      <c r="C11067" s="11" t="s">
        <v>4314</v>
      </c>
    </row>
    <row r="11068" spans="1:4" ht="25.5" customHeight="1" x14ac:dyDescent="0.2">
      <c r="B11068" s="11" t="s">
        <v>2600</v>
      </c>
      <c r="C11068" s="11" t="s">
        <v>4315</v>
      </c>
    </row>
    <row r="11069" spans="1:4" ht="25.5" customHeight="1" x14ac:dyDescent="0.2">
      <c r="B11069" s="11" t="s">
        <v>2601</v>
      </c>
      <c r="C11069" s="11"/>
    </row>
    <row r="11070" spans="1:4" ht="12.75" customHeight="1" x14ac:dyDescent="0.2">
      <c r="B11070" s="11" t="s">
        <v>16</v>
      </c>
      <c r="C11070" s="11"/>
    </row>
    <row r="11071" spans="1:4" ht="12.75" customHeight="1" x14ac:dyDescent="0.2">
      <c r="B11071" s="11" t="s">
        <v>13</v>
      </c>
      <c r="C11071" s="11" t="s">
        <v>2602</v>
      </c>
    </row>
    <row r="11072" spans="1:4" ht="12.75" customHeight="1" x14ac:dyDescent="0.2">
      <c r="B11072" s="11" t="s">
        <v>2603</v>
      </c>
      <c r="C11072" s="11" t="s">
        <v>2604</v>
      </c>
    </row>
    <row r="11073" spans="1:4" ht="12.75" customHeight="1" x14ac:dyDescent="0.2">
      <c r="B11073" s="11" t="s">
        <v>2605</v>
      </c>
      <c r="C11073" s="11" t="s">
        <v>24</v>
      </c>
    </row>
    <row r="11074" spans="1:4" ht="12.75" customHeight="1" x14ac:dyDescent="0.2">
      <c r="B11074" s="11" t="s">
        <v>2606</v>
      </c>
      <c r="C11074" s="16" t="s">
        <v>139</v>
      </c>
      <c r="D11074" s="6" t="str">
        <f>HYPERLINK("javascript:void(0)","kincs")</f>
        <v>kincs</v>
      </c>
    </row>
    <row r="11075" spans="1:4" ht="12.75" customHeight="1" x14ac:dyDescent="0.2">
      <c r="B11075" s="2"/>
      <c r="C11075" s="15"/>
      <c r="D11075" s="2"/>
    </row>
    <row r="11076" spans="1:4" ht="12.75" customHeight="1" x14ac:dyDescent="0.2">
      <c r="B11076" s="2"/>
      <c r="C11076" s="15"/>
      <c r="D11076" s="2"/>
    </row>
    <row r="11077" spans="1:4" ht="12.75" customHeight="1" x14ac:dyDescent="0.2">
      <c r="A11077" s="13" t="s">
        <v>4316</v>
      </c>
      <c r="C11077" s="12"/>
    </row>
    <row r="11078" spans="1:4" ht="12.75" customHeight="1" x14ac:dyDescent="0.2">
      <c r="A11078" s="11"/>
      <c r="B11078" s="2"/>
      <c r="C11078" s="15"/>
      <c r="D11078" s="2"/>
    </row>
    <row r="11079" spans="1:4" ht="12.75" customHeight="1" x14ac:dyDescent="0.2">
      <c r="B11079" s="11" t="s">
        <v>0</v>
      </c>
      <c r="C11079" s="11" t="s">
        <v>651</v>
      </c>
    </row>
    <row r="11080" spans="1:4" ht="12.75" customHeight="1" x14ac:dyDescent="0.2">
      <c r="B11080" s="11" t="s">
        <v>2599</v>
      </c>
      <c r="C11080" s="11" t="s">
        <v>4317</v>
      </c>
    </row>
    <row r="11081" spans="1:4" ht="25.5" customHeight="1" x14ac:dyDescent="0.2">
      <c r="B11081" s="11" t="s">
        <v>2600</v>
      </c>
      <c r="C11081" s="11" t="s">
        <v>4318</v>
      </c>
    </row>
    <row r="11082" spans="1:4" ht="25.5" customHeight="1" x14ac:dyDescent="0.2">
      <c r="B11082" s="11" t="s">
        <v>2601</v>
      </c>
      <c r="C11082" s="11"/>
    </row>
    <row r="11083" spans="1:4" ht="12.75" customHeight="1" x14ac:dyDescent="0.2">
      <c r="B11083" s="11" t="s">
        <v>16</v>
      </c>
      <c r="C11083" s="11"/>
    </row>
    <row r="11084" spans="1:4" ht="12.75" customHeight="1" x14ac:dyDescent="0.2">
      <c r="B11084" s="11" t="s">
        <v>13</v>
      </c>
      <c r="C11084" s="11" t="s">
        <v>2644</v>
      </c>
    </row>
    <row r="11085" spans="1:4" ht="12.75" customHeight="1" x14ac:dyDescent="0.2">
      <c r="B11085" s="11" t="s">
        <v>2603</v>
      </c>
      <c r="C11085" s="11" t="s">
        <v>2604</v>
      </c>
    </row>
    <row r="11086" spans="1:4" ht="12.75" customHeight="1" x14ac:dyDescent="0.2">
      <c r="B11086" s="11" t="s">
        <v>2605</v>
      </c>
      <c r="C11086" s="11" t="s">
        <v>14</v>
      </c>
    </row>
    <row r="11087" spans="1:4" ht="12.75" customHeight="1" x14ac:dyDescent="0.2">
      <c r="B11087" s="11" t="s">
        <v>2606</v>
      </c>
      <c r="C11087" s="16" t="s">
        <v>56</v>
      </c>
      <c r="D11087" s="6" t="str">
        <f>HYPERLINK("javascript:void(0)","földige")</f>
        <v>földige</v>
      </c>
    </row>
    <row r="11088" spans="1:4" ht="12.75" customHeight="1" x14ac:dyDescent="0.2">
      <c r="C11088" s="16" t="s">
        <v>196</v>
      </c>
      <c r="D11088" s="6" t="str">
        <f>HYPERLINK("javascript:void(0)","kincs")</f>
        <v>kincs</v>
      </c>
    </row>
    <row r="11089" spans="1:4" ht="12.75" customHeight="1" x14ac:dyDescent="0.2">
      <c r="B11089" s="2"/>
      <c r="C11089" s="15"/>
      <c r="D11089" s="2"/>
    </row>
    <row r="11090" spans="1:4" ht="12.75" customHeight="1" x14ac:dyDescent="0.2">
      <c r="B11090" s="2"/>
      <c r="C11090" s="15"/>
      <c r="D11090" s="2"/>
    </row>
    <row r="11091" spans="1:4" ht="12.75" customHeight="1" x14ac:dyDescent="0.2">
      <c r="A11091" s="13" t="s">
        <v>4319</v>
      </c>
      <c r="C11091" s="12"/>
    </row>
    <row r="11092" spans="1:4" ht="12.75" customHeight="1" x14ac:dyDescent="0.2">
      <c r="A11092" s="11"/>
      <c r="B11092" s="2"/>
      <c r="C11092" s="15"/>
      <c r="D11092" s="2"/>
    </row>
    <row r="11093" spans="1:4" ht="12.75" customHeight="1" x14ac:dyDescent="0.2">
      <c r="B11093" s="11" t="s">
        <v>0</v>
      </c>
      <c r="C11093" s="11" t="s">
        <v>651</v>
      </c>
    </row>
    <row r="11094" spans="1:4" ht="12.75" customHeight="1" x14ac:dyDescent="0.2">
      <c r="B11094" s="11" t="s">
        <v>2599</v>
      </c>
      <c r="C11094" s="11" t="s">
        <v>4320</v>
      </c>
    </row>
    <row r="11095" spans="1:4" ht="25.5" customHeight="1" x14ac:dyDescent="0.2">
      <c r="B11095" s="11" t="s">
        <v>2600</v>
      </c>
      <c r="C11095" s="11" t="s">
        <v>4321</v>
      </c>
    </row>
    <row r="11096" spans="1:4" ht="25.5" customHeight="1" x14ac:dyDescent="0.2">
      <c r="B11096" s="11" t="s">
        <v>2601</v>
      </c>
      <c r="C11096" s="11"/>
    </row>
    <row r="11097" spans="1:4" ht="12.75" customHeight="1" x14ac:dyDescent="0.2">
      <c r="B11097" s="11" t="s">
        <v>16</v>
      </c>
      <c r="C11097" s="11"/>
    </row>
    <row r="11098" spans="1:4" ht="12.75" customHeight="1" x14ac:dyDescent="0.2">
      <c r="B11098" s="11" t="s">
        <v>13</v>
      </c>
      <c r="C11098" s="11" t="s">
        <v>2602</v>
      </c>
    </row>
    <row r="11099" spans="1:4" ht="12.75" customHeight="1" x14ac:dyDescent="0.2">
      <c r="B11099" s="11" t="s">
        <v>2603</v>
      </c>
      <c r="C11099" s="11" t="s">
        <v>2604</v>
      </c>
    </row>
    <row r="11100" spans="1:4" ht="12.75" customHeight="1" x14ac:dyDescent="0.2">
      <c r="B11100" s="11" t="s">
        <v>2605</v>
      </c>
      <c r="C11100" s="11" t="s">
        <v>14</v>
      </c>
    </row>
    <row r="11101" spans="1:4" ht="25.5" customHeight="1" x14ac:dyDescent="0.2">
      <c r="B11101" s="11" t="s">
        <v>2606</v>
      </c>
      <c r="C11101" s="16" t="s">
        <v>44</v>
      </c>
      <c r="D11101" s="6" t="str">
        <f>HYPERLINK("javascript:void(0)","tudásmorzsa")</f>
        <v>tudásmorzsa</v>
      </c>
    </row>
    <row r="11102" spans="1:4" ht="12.75" customHeight="1" x14ac:dyDescent="0.2">
      <c r="B11102" s="2"/>
      <c r="C11102" s="15"/>
      <c r="D11102" s="2"/>
    </row>
    <row r="11103" spans="1:4" ht="12.75" customHeight="1" x14ac:dyDescent="0.2">
      <c r="B11103" s="2"/>
      <c r="C11103" s="15"/>
      <c r="D11103" s="2"/>
    </row>
    <row r="11104" spans="1:4" ht="12.75" customHeight="1" x14ac:dyDescent="0.2">
      <c r="A11104" s="13" t="s">
        <v>4322</v>
      </c>
      <c r="C11104" s="12"/>
    </row>
    <row r="11105" spans="1:4" ht="12.75" customHeight="1" x14ac:dyDescent="0.2">
      <c r="A11105" s="11"/>
      <c r="B11105" s="2"/>
      <c r="C11105" s="15"/>
      <c r="D11105" s="2"/>
    </row>
    <row r="11106" spans="1:4" ht="12.75" customHeight="1" x14ac:dyDescent="0.2">
      <c r="B11106" s="11" t="s">
        <v>0</v>
      </c>
      <c r="C11106" s="11" t="s">
        <v>651</v>
      </c>
    </row>
    <row r="11107" spans="1:4" ht="12.75" customHeight="1" x14ac:dyDescent="0.2">
      <c r="B11107" s="11" t="s">
        <v>2599</v>
      </c>
      <c r="C11107" s="11" t="s">
        <v>3594</v>
      </c>
    </row>
    <row r="11108" spans="1:4" ht="25.5" customHeight="1" x14ac:dyDescent="0.2">
      <c r="B11108" s="11" t="s">
        <v>2600</v>
      </c>
      <c r="C11108" s="11" t="s">
        <v>4323</v>
      </c>
    </row>
    <row r="11109" spans="1:4" ht="25.5" customHeight="1" x14ac:dyDescent="0.2">
      <c r="B11109" s="11" t="s">
        <v>2601</v>
      </c>
      <c r="C11109" s="11"/>
    </row>
    <row r="11110" spans="1:4" ht="12.75" customHeight="1" x14ac:dyDescent="0.2">
      <c r="B11110" s="11" t="s">
        <v>16</v>
      </c>
      <c r="C11110" s="11"/>
    </row>
    <row r="11111" spans="1:4" ht="12.75" customHeight="1" x14ac:dyDescent="0.2">
      <c r="B11111" s="11" t="s">
        <v>13</v>
      </c>
      <c r="C11111" s="11" t="s">
        <v>2644</v>
      </c>
    </row>
    <row r="11112" spans="1:4" ht="12.75" customHeight="1" x14ac:dyDescent="0.2">
      <c r="B11112" s="11" t="s">
        <v>2603</v>
      </c>
      <c r="C11112" s="11" t="s">
        <v>2604</v>
      </c>
    </row>
    <row r="11113" spans="1:4" ht="12.75" customHeight="1" x14ac:dyDescent="0.2">
      <c r="B11113" s="11" t="s">
        <v>2605</v>
      </c>
      <c r="C11113" s="11" t="s">
        <v>24</v>
      </c>
    </row>
    <row r="11114" spans="1:4" ht="12.75" customHeight="1" x14ac:dyDescent="0.2">
      <c r="B11114" s="11" t="s">
        <v>2606</v>
      </c>
      <c r="C11114" s="16" t="s">
        <v>232</v>
      </c>
      <c r="D11114" s="6" t="str">
        <f>HYPERLINK("javascript:void(0)","sárkányfog")</f>
        <v>sárkányfog</v>
      </c>
    </row>
    <row r="11115" spans="1:4" ht="12.75" customHeight="1" x14ac:dyDescent="0.2">
      <c r="B11115" s="2"/>
      <c r="C11115" s="15"/>
      <c r="D11115" s="2"/>
    </row>
    <row r="11116" spans="1:4" ht="12.75" customHeight="1" x14ac:dyDescent="0.2">
      <c r="B11116" s="2"/>
      <c r="C11116" s="15"/>
      <c r="D11116" s="2"/>
    </row>
    <row r="11117" spans="1:4" ht="12.75" customHeight="1" x14ac:dyDescent="0.2">
      <c r="A11117" s="13" t="s">
        <v>4295</v>
      </c>
      <c r="C11117" s="12"/>
      <c r="D11117" s="2"/>
    </row>
    <row r="11118" spans="1:4" ht="12.75" customHeight="1" x14ac:dyDescent="0.2">
      <c r="A11118" s="11"/>
      <c r="B11118" s="2"/>
      <c r="C11118" s="15"/>
      <c r="D11118" s="2"/>
    </row>
    <row r="11119" spans="1:4" ht="12.75" customHeight="1" x14ac:dyDescent="0.2">
      <c r="B11119" s="11" t="s">
        <v>0</v>
      </c>
      <c r="C11119" s="17" t="s">
        <v>651</v>
      </c>
      <c r="D11119" s="2"/>
    </row>
    <row r="11120" spans="1:4" ht="12.75" customHeight="1" x14ac:dyDescent="0.2">
      <c r="B11120" s="11" t="s">
        <v>2599</v>
      </c>
      <c r="C11120" s="17" t="s">
        <v>1184</v>
      </c>
      <c r="D11120" s="2"/>
    </row>
    <row r="11121" spans="1:4" ht="25.5" customHeight="1" x14ac:dyDescent="0.2">
      <c r="B11121" s="11" t="s">
        <v>2600</v>
      </c>
      <c r="C11121" s="17" t="s">
        <v>4324</v>
      </c>
      <c r="D11121" s="2"/>
    </row>
    <row r="11122" spans="1:4" ht="25.5" customHeight="1" x14ac:dyDescent="0.2">
      <c r="B11122" s="11" t="s">
        <v>2601</v>
      </c>
      <c r="C11122" s="17"/>
      <c r="D11122" s="2"/>
    </row>
    <row r="11123" spans="1:4" ht="12.75" customHeight="1" x14ac:dyDescent="0.2">
      <c r="B11123" s="11" t="s">
        <v>16</v>
      </c>
      <c r="C11123" s="17"/>
      <c r="D11123" s="2"/>
    </row>
    <row r="11124" spans="1:4" ht="12.75" customHeight="1" x14ac:dyDescent="0.2">
      <c r="B11124" s="11" t="s">
        <v>13</v>
      </c>
      <c r="C11124" s="17" t="s">
        <v>2644</v>
      </c>
      <c r="D11124" s="2"/>
    </row>
    <row r="11125" spans="1:4" ht="25.5" customHeight="1" x14ac:dyDescent="0.2">
      <c r="B11125" s="11" t="s">
        <v>2603</v>
      </c>
      <c r="C11125" s="17" t="s">
        <v>2971</v>
      </c>
      <c r="D11125" s="2"/>
    </row>
    <row r="11126" spans="1:4" ht="12.75" customHeight="1" x14ac:dyDescent="0.2">
      <c r="B11126" s="11" t="s">
        <v>2605</v>
      </c>
      <c r="C11126" s="17" t="s">
        <v>14</v>
      </c>
      <c r="D11126" s="2"/>
    </row>
    <row r="11127" spans="1:4" ht="12.75" customHeight="1" x14ac:dyDescent="0.2">
      <c r="B11127" s="11" t="s">
        <v>2606</v>
      </c>
      <c r="C11127" s="16" t="s">
        <v>19</v>
      </c>
      <c r="D11127" s="2"/>
    </row>
    <row r="11128" spans="1:4" ht="12.75" customHeight="1" x14ac:dyDescent="0.2">
      <c r="B11128" s="2"/>
      <c r="C11128" s="15"/>
      <c r="D11128" s="2"/>
    </row>
    <row r="11129" spans="1:4" ht="12.75" customHeight="1" x14ac:dyDescent="0.2">
      <c r="B11129" s="2"/>
      <c r="C11129" s="15"/>
      <c r="D11129" s="2"/>
    </row>
    <row r="11130" spans="1:4" ht="12.75" customHeight="1" x14ac:dyDescent="0.2">
      <c r="A11130" s="13" t="s">
        <v>4297</v>
      </c>
      <c r="C11130" s="12"/>
      <c r="D11130" s="2"/>
    </row>
    <row r="11131" spans="1:4" ht="12.75" customHeight="1" x14ac:dyDescent="0.2">
      <c r="A11131" s="11"/>
      <c r="B11131" s="2"/>
      <c r="C11131" s="15"/>
      <c r="D11131" s="2"/>
    </row>
    <row r="11132" spans="1:4" ht="12.75" customHeight="1" x14ac:dyDescent="0.2">
      <c r="B11132" s="11" t="s">
        <v>0</v>
      </c>
      <c r="C11132" s="17" t="s">
        <v>651</v>
      </c>
      <c r="D11132" s="2"/>
    </row>
    <row r="11133" spans="1:4" ht="12.75" customHeight="1" x14ac:dyDescent="0.2">
      <c r="B11133" s="11" t="s">
        <v>2599</v>
      </c>
      <c r="C11133" s="17" t="s">
        <v>4299</v>
      </c>
      <c r="D11133" s="2"/>
    </row>
    <row r="11134" spans="1:4" ht="25.5" customHeight="1" x14ac:dyDescent="0.2">
      <c r="B11134" s="11" t="s">
        <v>2600</v>
      </c>
      <c r="C11134" s="17" t="s">
        <v>4325</v>
      </c>
      <c r="D11134" s="2"/>
    </row>
    <row r="11135" spans="1:4" ht="25.5" customHeight="1" x14ac:dyDescent="0.2">
      <c r="B11135" s="11" t="s">
        <v>2601</v>
      </c>
      <c r="C11135" s="17"/>
      <c r="D11135" s="2"/>
    </row>
    <row r="11136" spans="1:4" ht="12.75" customHeight="1" x14ac:dyDescent="0.2">
      <c r="B11136" s="11" t="s">
        <v>16</v>
      </c>
      <c r="C11136" s="17"/>
      <c r="D11136" s="2"/>
    </row>
    <row r="11137" spans="1:4" ht="12.75" customHeight="1" x14ac:dyDescent="0.2">
      <c r="B11137" s="11" t="s">
        <v>13</v>
      </c>
      <c r="C11137" s="17" t="s">
        <v>2602</v>
      </c>
      <c r="D11137" s="2"/>
    </row>
    <row r="11138" spans="1:4" ht="25.5" customHeight="1" x14ac:dyDescent="0.2">
      <c r="B11138" s="11" t="s">
        <v>2603</v>
      </c>
      <c r="C11138" s="17" t="s">
        <v>2971</v>
      </c>
      <c r="D11138" s="2"/>
    </row>
    <row r="11139" spans="1:4" ht="12.75" customHeight="1" x14ac:dyDescent="0.2">
      <c r="B11139" s="11" t="s">
        <v>2605</v>
      </c>
      <c r="C11139" s="17" t="s">
        <v>14</v>
      </c>
      <c r="D11139" s="2"/>
    </row>
    <row r="11140" spans="1:4" ht="12.75" customHeight="1" x14ac:dyDescent="0.2">
      <c r="B11140" s="11" t="s">
        <v>2606</v>
      </c>
      <c r="C11140" s="16" t="s">
        <v>19</v>
      </c>
      <c r="D11140" s="2"/>
    </row>
    <row r="11141" spans="1:4" ht="12.75" customHeight="1" x14ac:dyDescent="0.2">
      <c r="B11141" s="2"/>
      <c r="C11141" s="15"/>
      <c r="D11141" s="2"/>
    </row>
    <row r="11142" spans="1:4" ht="12.75" customHeight="1" x14ac:dyDescent="0.2">
      <c r="B11142" s="2"/>
      <c r="C11142" s="15"/>
      <c r="D11142" s="2"/>
    </row>
    <row r="11143" spans="1:4" ht="12.75" customHeight="1" x14ac:dyDescent="0.2">
      <c r="A11143" s="13" t="s">
        <v>4267</v>
      </c>
      <c r="C11143" s="12"/>
      <c r="D11143" s="2"/>
    </row>
    <row r="11144" spans="1:4" ht="12.75" customHeight="1" x14ac:dyDescent="0.2">
      <c r="A11144" s="11"/>
      <c r="B11144" s="2"/>
      <c r="C11144" s="15"/>
      <c r="D11144" s="2"/>
    </row>
    <row r="11145" spans="1:4" ht="12.75" customHeight="1" x14ac:dyDescent="0.2">
      <c r="B11145" s="11" t="s">
        <v>0</v>
      </c>
      <c r="C11145" s="17" t="s">
        <v>69</v>
      </c>
      <c r="D11145" s="2"/>
    </row>
    <row r="11146" spans="1:4" ht="12.75" customHeight="1" x14ac:dyDescent="0.2">
      <c r="B11146" s="11" t="s">
        <v>2599</v>
      </c>
      <c r="C11146" s="17" t="s">
        <v>4268</v>
      </c>
      <c r="D11146" s="2"/>
    </row>
    <row r="11147" spans="1:4" ht="25.5" customHeight="1" x14ac:dyDescent="0.2">
      <c r="B11147" s="11" t="s">
        <v>2600</v>
      </c>
      <c r="C11147" s="17" t="s">
        <v>4326</v>
      </c>
      <c r="D11147" s="2"/>
    </row>
    <row r="11148" spans="1:4" ht="25.5" customHeight="1" x14ac:dyDescent="0.2">
      <c r="B11148" s="11" t="s">
        <v>2601</v>
      </c>
      <c r="C11148" s="17"/>
      <c r="D11148" s="2"/>
    </row>
    <row r="11149" spans="1:4" ht="12.75" customHeight="1" x14ac:dyDescent="0.2">
      <c r="B11149" s="11" t="s">
        <v>16</v>
      </c>
      <c r="C11149" s="17"/>
      <c r="D11149" s="2"/>
    </row>
    <row r="11150" spans="1:4" ht="12.75" customHeight="1" x14ac:dyDescent="0.2">
      <c r="B11150" s="11" t="s">
        <v>13</v>
      </c>
      <c r="C11150" s="17" t="s">
        <v>2644</v>
      </c>
      <c r="D11150" s="2"/>
    </row>
    <row r="11151" spans="1:4" ht="25.5" customHeight="1" x14ac:dyDescent="0.2">
      <c r="B11151" s="11" t="s">
        <v>2603</v>
      </c>
      <c r="C11151" s="17" t="s">
        <v>2971</v>
      </c>
      <c r="D11151" s="2"/>
    </row>
    <row r="11152" spans="1:4" ht="12.75" customHeight="1" x14ac:dyDescent="0.2">
      <c r="B11152" s="11" t="s">
        <v>2605</v>
      </c>
      <c r="C11152" s="17" t="s">
        <v>14</v>
      </c>
      <c r="D11152" s="2"/>
    </row>
    <row r="11153" spans="1:4" ht="12.75" customHeight="1" x14ac:dyDescent="0.2">
      <c r="B11153" s="11" t="s">
        <v>2606</v>
      </c>
      <c r="C11153" s="16" t="s">
        <v>19</v>
      </c>
      <c r="D11153" s="2"/>
    </row>
    <row r="11154" spans="1:4" ht="12.75" customHeight="1" x14ac:dyDescent="0.2">
      <c r="B11154" s="2"/>
      <c r="C11154" s="15"/>
      <c r="D11154" s="2"/>
    </row>
    <row r="11155" spans="1:4" ht="12.75" customHeight="1" x14ac:dyDescent="0.2">
      <c r="B11155" s="2"/>
      <c r="C11155" s="15"/>
      <c r="D11155" s="2"/>
    </row>
    <row r="11156" spans="1:4" ht="12.75" customHeight="1" x14ac:dyDescent="0.2">
      <c r="A11156" s="13" t="s">
        <v>4270</v>
      </c>
      <c r="C11156" s="12"/>
      <c r="D11156" s="2"/>
    </row>
    <row r="11157" spans="1:4" ht="12.75" customHeight="1" x14ac:dyDescent="0.2">
      <c r="A11157" s="11"/>
      <c r="B11157" s="2"/>
      <c r="C11157" s="15"/>
      <c r="D11157" s="2"/>
    </row>
    <row r="11158" spans="1:4" ht="12.75" customHeight="1" x14ac:dyDescent="0.2">
      <c r="B11158" s="11" t="s">
        <v>0</v>
      </c>
      <c r="C11158" s="17" t="s">
        <v>69</v>
      </c>
      <c r="D11158" s="2"/>
    </row>
    <row r="11159" spans="1:4" ht="12.75" customHeight="1" x14ac:dyDescent="0.2">
      <c r="B11159" s="11" t="s">
        <v>2599</v>
      </c>
      <c r="C11159" s="17" t="s">
        <v>4271</v>
      </c>
      <c r="D11159" s="2"/>
    </row>
    <row r="11160" spans="1:4" ht="25.5" customHeight="1" x14ac:dyDescent="0.2">
      <c r="B11160" s="11" t="s">
        <v>2600</v>
      </c>
      <c r="C11160" s="17" t="s">
        <v>4327</v>
      </c>
      <c r="D11160" s="2"/>
    </row>
    <row r="11161" spans="1:4" ht="25.5" customHeight="1" x14ac:dyDescent="0.2">
      <c r="B11161" s="11" t="s">
        <v>2601</v>
      </c>
      <c r="C11161" s="17"/>
      <c r="D11161" s="2"/>
    </row>
    <row r="11162" spans="1:4" ht="12.75" customHeight="1" x14ac:dyDescent="0.2">
      <c r="B11162" s="11" t="s">
        <v>16</v>
      </c>
      <c r="C11162" s="17"/>
      <c r="D11162" s="2"/>
    </row>
    <row r="11163" spans="1:4" ht="12.75" customHeight="1" x14ac:dyDescent="0.2">
      <c r="B11163" s="11" t="s">
        <v>13</v>
      </c>
      <c r="C11163" s="17" t="s">
        <v>2602</v>
      </c>
      <c r="D11163" s="2"/>
    </row>
    <row r="11164" spans="1:4" ht="25.5" customHeight="1" x14ac:dyDescent="0.2">
      <c r="B11164" s="11" t="s">
        <v>2603</v>
      </c>
      <c r="C11164" s="17" t="s">
        <v>2971</v>
      </c>
      <c r="D11164" s="2"/>
    </row>
    <row r="11165" spans="1:4" ht="12.75" customHeight="1" x14ac:dyDescent="0.2">
      <c r="B11165" s="11" t="s">
        <v>2605</v>
      </c>
      <c r="C11165" s="17" t="s">
        <v>14</v>
      </c>
      <c r="D11165" s="2"/>
    </row>
    <row r="11166" spans="1:4" ht="12.75" customHeight="1" x14ac:dyDescent="0.2">
      <c r="B11166" s="11" t="s">
        <v>2606</v>
      </c>
      <c r="C11166" s="16" t="s">
        <v>19</v>
      </c>
      <c r="D11166" s="2"/>
    </row>
    <row r="11167" spans="1:4" ht="12.75" customHeight="1" x14ac:dyDescent="0.2">
      <c r="B11167" s="2"/>
      <c r="C11167" s="15"/>
      <c r="D11167" s="2"/>
    </row>
    <row r="11168" spans="1:4" ht="12.75" customHeight="1" x14ac:dyDescent="0.2">
      <c r="B11168" s="2"/>
      <c r="C11168" s="15"/>
      <c r="D11168" s="2"/>
    </row>
    <row r="11169" spans="1:4" ht="12.75" customHeight="1" x14ac:dyDescent="0.2">
      <c r="A11169" s="13" t="s">
        <v>4328</v>
      </c>
      <c r="C11169" s="12"/>
    </row>
    <row r="11170" spans="1:4" ht="12.75" customHeight="1" x14ac:dyDescent="0.2">
      <c r="A11170" s="11"/>
      <c r="B11170" s="2"/>
      <c r="C11170" s="15"/>
      <c r="D11170" s="2"/>
    </row>
    <row r="11171" spans="1:4" ht="12.75" customHeight="1" x14ac:dyDescent="0.2">
      <c r="B11171" s="11" t="s">
        <v>0</v>
      </c>
      <c r="C11171" s="11" t="s">
        <v>69</v>
      </c>
    </row>
    <row r="11172" spans="1:4" ht="12.75" customHeight="1" x14ac:dyDescent="0.2">
      <c r="B11172" s="11" t="s">
        <v>2599</v>
      </c>
      <c r="C11172" s="11" t="s">
        <v>1594</v>
      </c>
    </row>
    <row r="11173" spans="1:4" ht="25.5" customHeight="1" x14ac:dyDescent="0.2">
      <c r="B11173" s="11" t="s">
        <v>2600</v>
      </c>
      <c r="C11173" s="11" t="s">
        <v>4329</v>
      </c>
    </row>
    <row r="11174" spans="1:4" ht="25.5" customHeight="1" x14ac:dyDescent="0.2">
      <c r="B11174" s="11" t="s">
        <v>2601</v>
      </c>
      <c r="C11174" s="11"/>
    </row>
    <row r="11175" spans="1:4" ht="12.75" customHeight="1" x14ac:dyDescent="0.2">
      <c r="B11175" s="11" t="s">
        <v>16</v>
      </c>
      <c r="C11175" s="11"/>
    </row>
    <row r="11176" spans="1:4" ht="12.75" customHeight="1" x14ac:dyDescent="0.2">
      <c r="B11176" s="11" t="s">
        <v>13</v>
      </c>
      <c r="C11176" s="11" t="s">
        <v>2602</v>
      </c>
    </row>
    <row r="11177" spans="1:4" ht="12.75" customHeight="1" x14ac:dyDescent="0.2">
      <c r="B11177" s="11" t="s">
        <v>2603</v>
      </c>
      <c r="C11177" s="11" t="s">
        <v>2604</v>
      </c>
    </row>
    <row r="11178" spans="1:4" ht="12.75" customHeight="1" x14ac:dyDescent="0.2">
      <c r="B11178" s="11" t="s">
        <v>2605</v>
      </c>
      <c r="C11178" s="11" t="s">
        <v>24</v>
      </c>
    </row>
    <row r="11179" spans="1:4" ht="12.75" customHeight="1" x14ac:dyDescent="0.2">
      <c r="B11179" s="11" t="s">
        <v>2606</v>
      </c>
      <c r="C11179" s="16" t="s">
        <v>117</v>
      </c>
      <c r="D11179" s="6" t="str">
        <f>HYPERLINK("javascript:void(0)","kincs")</f>
        <v>kincs</v>
      </c>
    </row>
    <row r="11180" spans="1:4" ht="25.5" customHeight="1" x14ac:dyDescent="0.2">
      <c r="C11180" s="16" t="s">
        <v>44</v>
      </c>
      <c r="D11180" s="6" t="str">
        <f>HYPERLINK("javascript:void(0)","szent szimbólum")</f>
        <v>szent szimbólum</v>
      </c>
    </row>
    <row r="11181" spans="1:4" ht="12.75" customHeight="1" x14ac:dyDescent="0.2">
      <c r="B11181" s="2"/>
      <c r="C11181" s="15"/>
      <c r="D11181" s="2"/>
    </row>
    <row r="11182" spans="1:4" ht="12.75" customHeight="1" x14ac:dyDescent="0.2">
      <c r="B11182" s="2"/>
      <c r="C11182" s="15"/>
      <c r="D11182" s="2"/>
    </row>
    <row r="11183" spans="1:4" ht="12.75" customHeight="1" x14ac:dyDescent="0.2">
      <c r="A11183" s="13" t="s">
        <v>4330</v>
      </c>
      <c r="C11183" s="12"/>
    </row>
    <row r="11184" spans="1:4" ht="12.75" customHeight="1" x14ac:dyDescent="0.2">
      <c r="A11184" s="11"/>
      <c r="B11184" s="2"/>
      <c r="C11184" s="15"/>
      <c r="D11184" s="2"/>
    </row>
    <row r="11185" spans="1:4" ht="12.75" customHeight="1" x14ac:dyDescent="0.2">
      <c r="B11185" s="11" t="s">
        <v>0</v>
      </c>
      <c r="C11185" s="11" t="s">
        <v>69</v>
      </c>
    </row>
    <row r="11186" spans="1:4" ht="12.75" customHeight="1" x14ac:dyDescent="0.2">
      <c r="B11186" s="11" t="s">
        <v>2599</v>
      </c>
      <c r="C11186" s="11" t="s">
        <v>4331</v>
      </c>
    </row>
    <row r="11187" spans="1:4" ht="25.5" customHeight="1" x14ac:dyDescent="0.2">
      <c r="B11187" s="11" t="s">
        <v>2600</v>
      </c>
      <c r="C11187" s="11" t="s">
        <v>4332</v>
      </c>
    </row>
    <row r="11188" spans="1:4" ht="25.5" customHeight="1" x14ac:dyDescent="0.2">
      <c r="B11188" s="11" t="s">
        <v>2601</v>
      </c>
      <c r="C11188" s="11"/>
    </row>
    <row r="11189" spans="1:4" ht="12.75" customHeight="1" x14ac:dyDescent="0.2">
      <c r="B11189" s="11" t="s">
        <v>16</v>
      </c>
      <c r="C11189" s="11"/>
    </row>
    <row r="11190" spans="1:4" ht="12.75" customHeight="1" x14ac:dyDescent="0.2">
      <c r="B11190" s="11" t="s">
        <v>13</v>
      </c>
      <c r="C11190" s="11" t="s">
        <v>2644</v>
      </c>
    </row>
    <row r="11191" spans="1:4" ht="12.75" customHeight="1" x14ac:dyDescent="0.2">
      <c r="B11191" s="11" t="s">
        <v>2603</v>
      </c>
      <c r="C11191" s="11" t="s">
        <v>2604</v>
      </c>
    </row>
    <row r="11192" spans="1:4" ht="12.75" customHeight="1" x14ac:dyDescent="0.2">
      <c r="B11192" s="11" t="s">
        <v>2605</v>
      </c>
      <c r="C11192" s="11" t="s">
        <v>24</v>
      </c>
    </row>
    <row r="11193" spans="1:4" ht="12.75" customHeight="1" x14ac:dyDescent="0.2">
      <c r="B11193" s="11" t="s">
        <v>2606</v>
      </c>
      <c r="C11193" s="16" t="s">
        <v>44</v>
      </c>
      <c r="D11193" s="6" t="str">
        <f>HYPERLINK("javascript:void(0)","istenpenge")</f>
        <v>istenpenge</v>
      </c>
    </row>
    <row r="11194" spans="1:4" ht="12.75" customHeight="1" x14ac:dyDescent="0.2">
      <c r="B11194" s="2"/>
      <c r="C11194" s="15"/>
      <c r="D11194" s="2"/>
    </row>
    <row r="11195" spans="1:4" ht="12.75" customHeight="1" x14ac:dyDescent="0.2">
      <c r="B11195" s="2"/>
      <c r="C11195" s="15"/>
      <c r="D11195" s="2"/>
    </row>
    <row r="11196" spans="1:4" ht="12.75" customHeight="1" x14ac:dyDescent="0.2">
      <c r="A11196" s="13" t="s">
        <v>4333</v>
      </c>
      <c r="C11196" s="12"/>
    </row>
    <row r="11197" spans="1:4" ht="12.75" customHeight="1" x14ac:dyDescent="0.2">
      <c r="A11197" s="11"/>
      <c r="B11197" s="2"/>
      <c r="C11197" s="15"/>
      <c r="D11197" s="2"/>
    </row>
    <row r="11198" spans="1:4" ht="12.75" customHeight="1" x14ac:dyDescent="0.2">
      <c r="B11198" s="11" t="s">
        <v>0</v>
      </c>
      <c r="C11198" s="11" t="s">
        <v>69</v>
      </c>
    </row>
    <row r="11199" spans="1:4" ht="12.75" customHeight="1" x14ac:dyDescent="0.2">
      <c r="B11199" s="11" t="s">
        <v>2599</v>
      </c>
      <c r="C11199" s="11" t="s">
        <v>4334</v>
      </c>
    </row>
    <row r="11200" spans="1:4" ht="25.5" customHeight="1" x14ac:dyDescent="0.2">
      <c r="B11200" s="11" t="s">
        <v>2600</v>
      </c>
      <c r="C11200" s="11" t="s">
        <v>4335</v>
      </c>
    </row>
    <row r="11201" spans="1:4" ht="25.5" customHeight="1" x14ac:dyDescent="0.2">
      <c r="B11201" s="11" t="s">
        <v>2601</v>
      </c>
      <c r="C11201" s="11"/>
    </row>
    <row r="11202" spans="1:4" ht="12.75" customHeight="1" x14ac:dyDescent="0.2">
      <c r="B11202" s="11" t="s">
        <v>16</v>
      </c>
      <c r="C11202" s="11"/>
    </row>
    <row r="11203" spans="1:4" ht="12.75" customHeight="1" x14ac:dyDescent="0.2">
      <c r="B11203" s="11" t="s">
        <v>13</v>
      </c>
      <c r="C11203" s="11" t="s">
        <v>2644</v>
      </c>
    </row>
    <row r="11204" spans="1:4" ht="12.75" customHeight="1" x14ac:dyDescent="0.2">
      <c r="B11204" s="11" t="s">
        <v>2603</v>
      </c>
      <c r="C11204" s="11" t="s">
        <v>2604</v>
      </c>
    </row>
    <row r="11205" spans="1:4" ht="12.75" customHeight="1" x14ac:dyDescent="0.2">
      <c r="B11205" s="11" t="s">
        <v>2605</v>
      </c>
      <c r="C11205" s="11" t="s">
        <v>14</v>
      </c>
    </row>
    <row r="11206" spans="1:4" ht="25.5" customHeight="1" x14ac:dyDescent="0.2">
      <c r="B11206" s="11" t="s">
        <v>2606</v>
      </c>
      <c r="C11206" s="16" t="s">
        <v>44</v>
      </c>
      <c r="D11206" s="6" t="str">
        <f>HYPERLINK("javascript:void(0)","szent szimbólum")</f>
        <v>szent szimbólum</v>
      </c>
    </row>
    <row r="11207" spans="1:4" ht="12.75" customHeight="1" x14ac:dyDescent="0.2">
      <c r="C11207" s="16" t="s">
        <v>57</v>
      </c>
      <c r="D11207" s="6" t="str">
        <f>HYPERLINK("javascript:void(0)","tűzige")</f>
        <v>tűzige</v>
      </c>
    </row>
    <row r="11208" spans="1:4" ht="12.75" customHeight="1" x14ac:dyDescent="0.2">
      <c r="B11208" s="2"/>
      <c r="C11208" s="15"/>
      <c r="D11208" s="2"/>
    </row>
    <row r="11209" spans="1:4" ht="12.75" customHeight="1" x14ac:dyDescent="0.2">
      <c r="B11209" s="2"/>
      <c r="C11209" s="15"/>
      <c r="D11209" s="2"/>
    </row>
    <row r="11210" spans="1:4" ht="12.75" customHeight="1" x14ac:dyDescent="0.2">
      <c r="A11210" s="13" t="s">
        <v>4336</v>
      </c>
      <c r="C11210" s="12"/>
    </row>
    <row r="11211" spans="1:4" ht="12.75" customHeight="1" x14ac:dyDescent="0.2">
      <c r="A11211" s="11"/>
      <c r="B11211" s="2"/>
      <c r="C11211" s="15"/>
      <c r="D11211" s="2"/>
    </row>
    <row r="11212" spans="1:4" ht="12.75" customHeight="1" x14ac:dyDescent="0.2">
      <c r="B11212" s="11" t="s">
        <v>0</v>
      </c>
      <c r="C11212" s="11" t="s">
        <v>69</v>
      </c>
    </row>
    <row r="11213" spans="1:4" ht="12.75" customHeight="1" x14ac:dyDescent="0.2">
      <c r="B11213" s="11" t="s">
        <v>2599</v>
      </c>
      <c r="C11213" s="11" t="s">
        <v>4337</v>
      </c>
    </row>
    <row r="11214" spans="1:4" ht="25.5" customHeight="1" x14ac:dyDescent="0.2">
      <c r="B11214" s="11" t="s">
        <v>2600</v>
      </c>
      <c r="C11214" s="11" t="s">
        <v>4338</v>
      </c>
    </row>
    <row r="11215" spans="1:4" ht="25.5" customHeight="1" x14ac:dyDescent="0.2">
      <c r="B11215" s="11" t="s">
        <v>2601</v>
      </c>
      <c r="C11215" s="11"/>
    </row>
    <row r="11216" spans="1:4" ht="12.75" customHeight="1" x14ac:dyDescent="0.2">
      <c r="B11216" s="11" t="s">
        <v>16</v>
      </c>
      <c r="C11216" s="11"/>
    </row>
    <row r="11217" spans="1:4" ht="12.75" customHeight="1" x14ac:dyDescent="0.2">
      <c r="B11217" s="11" t="s">
        <v>13</v>
      </c>
      <c r="C11217" s="11" t="s">
        <v>2644</v>
      </c>
    </row>
    <row r="11218" spans="1:4" ht="12.75" customHeight="1" x14ac:dyDescent="0.2">
      <c r="B11218" s="11" t="s">
        <v>2603</v>
      </c>
      <c r="C11218" s="11" t="s">
        <v>2604</v>
      </c>
    </row>
    <row r="11219" spans="1:4" ht="12.75" customHeight="1" x14ac:dyDescent="0.2">
      <c r="B11219" s="11" t="s">
        <v>2605</v>
      </c>
      <c r="C11219" s="11" t="s">
        <v>14</v>
      </c>
    </row>
    <row r="11220" spans="1:4" ht="12.75" customHeight="1" x14ac:dyDescent="0.2">
      <c r="B11220" s="11" t="s">
        <v>2606</v>
      </c>
      <c r="C11220" s="16" t="s">
        <v>44</v>
      </c>
      <c r="D11220" s="6" t="str">
        <f>HYPERLINK("javascript:void(0)","mágnes")</f>
        <v>mágnes</v>
      </c>
    </row>
    <row r="11221" spans="1:4" ht="12.75" customHeight="1" x14ac:dyDescent="0.2">
      <c r="B11221" s="2"/>
      <c r="C11221" s="15"/>
      <c r="D11221" s="2"/>
    </row>
    <row r="11222" spans="1:4" ht="12.75" customHeight="1" x14ac:dyDescent="0.2">
      <c r="B11222" s="2"/>
      <c r="C11222" s="15"/>
      <c r="D11222" s="2"/>
    </row>
    <row r="11223" spans="1:4" ht="12.75" customHeight="1" x14ac:dyDescent="0.2">
      <c r="A11223" s="13" t="s">
        <v>4340</v>
      </c>
      <c r="C11223" s="12"/>
    </row>
    <row r="11224" spans="1:4" ht="12.75" customHeight="1" x14ac:dyDescent="0.2">
      <c r="A11224" s="11"/>
      <c r="B11224" s="2"/>
      <c r="C11224" s="15"/>
      <c r="D11224" s="2"/>
    </row>
    <row r="11225" spans="1:4" ht="12.75" customHeight="1" x14ac:dyDescent="0.2">
      <c r="B11225" s="11" t="s">
        <v>0</v>
      </c>
      <c r="C11225" s="11" t="s">
        <v>69</v>
      </c>
    </row>
    <row r="11226" spans="1:4" ht="12.75" customHeight="1" x14ac:dyDescent="0.2">
      <c r="B11226" s="11" t="s">
        <v>2599</v>
      </c>
      <c r="C11226" s="11" t="s">
        <v>4341</v>
      </c>
    </row>
    <row r="11227" spans="1:4" ht="25.5" customHeight="1" x14ac:dyDescent="0.2">
      <c r="B11227" s="11" t="s">
        <v>2600</v>
      </c>
      <c r="C11227" s="11" t="s">
        <v>4342</v>
      </c>
    </row>
    <row r="11228" spans="1:4" ht="25.5" customHeight="1" x14ac:dyDescent="0.2">
      <c r="B11228" s="11" t="s">
        <v>2601</v>
      </c>
      <c r="C11228" s="11"/>
    </row>
    <row r="11229" spans="1:4" ht="12.75" customHeight="1" x14ac:dyDescent="0.2">
      <c r="B11229" s="11" t="s">
        <v>16</v>
      </c>
      <c r="C11229" s="11"/>
    </row>
    <row r="11230" spans="1:4" ht="12.75" customHeight="1" x14ac:dyDescent="0.2">
      <c r="B11230" s="11" t="s">
        <v>13</v>
      </c>
      <c r="C11230" s="11" t="s">
        <v>2602</v>
      </c>
    </row>
    <row r="11231" spans="1:4" ht="12.75" customHeight="1" x14ac:dyDescent="0.2">
      <c r="B11231" s="11" t="s">
        <v>2603</v>
      </c>
      <c r="C11231" s="11" t="s">
        <v>2604</v>
      </c>
    </row>
    <row r="11232" spans="1:4" ht="12.75" customHeight="1" x14ac:dyDescent="0.2">
      <c r="B11232" s="11" t="s">
        <v>2605</v>
      </c>
      <c r="C11232" s="11" t="s">
        <v>24</v>
      </c>
    </row>
    <row r="11233" spans="1:4" ht="12.75" customHeight="1" x14ac:dyDescent="0.2">
      <c r="B11233" s="11" t="s">
        <v>2606</v>
      </c>
      <c r="C11233" s="16" t="s">
        <v>44</v>
      </c>
      <c r="D11233" s="6" t="str">
        <f>HYPERLINK("javascript:void(0)","vasorr")</f>
        <v>vasorr</v>
      </c>
    </row>
    <row r="11234" spans="1:4" ht="12.75" customHeight="1" x14ac:dyDescent="0.2">
      <c r="C11234" s="16" t="s">
        <v>139</v>
      </c>
      <c r="D11234" s="6" t="str">
        <f>HYPERLINK("javascript:void(0)","kincs")</f>
        <v>kincs</v>
      </c>
    </row>
    <row r="11235" spans="1:4" ht="12.75" customHeight="1" x14ac:dyDescent="0.2">
      <c r="B11235" s="2"/>
      <c r="C11235" s="15"/>
      <c r="D11235" s="2"/>
    </row>
    <row r="11236" spans="1:4" ht="12.75" customHeight="1" x14ac:dyDescent="0.2">
      <c r="B11236" s="2"/>
      <c r="C11236" s="15"/>
      <c r="D11236" s="2"/>
    </row>
    <row r="11237" spans="1:4" ht="12.75" customHeight="1" x14ac:dyDescent="0.2">
      <c r="A11237" s="13" t="s">
        <v>4343</v>
      </c>
      <c r="C11237" s="12"/>
    </row>
    <row r="11238" spans="1:4" ht="12.75" customHeight="1" x14ac:dyDescent="0.2">
      <c r="A11238" s="11"/>
      <c r="B11238" s="2"/>
      <c r="C11238" s="15"/>
      <c r="D11238" s="2"/>
    </row>
    <row r="11239" spans="1:4" ht="12.75" customHeight="1" x14ac:dyDescent="0.2">
      <c r="B11239" s="11" t="s">
        <v>0</v>
      </c>
      <c r="C11239" s="11" t="s">
        <v>69</v>
      </c>
    </row>
    <row r="11240" spans="1:4" ht="12.75" customHeight="1" x14ac:dyDescent="0.2">
      <c r="B11240" s="11" t="s">
        <v>2599</v>
      </c>
      <c r="C11240" s="11" t="s">
        <v>4344</v>
      </c>
    </row>
    <row r="11241" spans="1:4" ht="25.5" customHeight="1" x14ac:dyDescent="0.2">
      <c r="B11241" s="11" t="s">
        <v>2600</v>
      </c>
      <c r="C11241" s="11" t="s">
        <v>4345</v>
      </c>
    </row>
    <row r="11242" spans="1:4" ht="25.5" customHeight="1" x14ac:dyDescent="0.2">
      <c r="B11242" s="11" t="s">
        <v>2601</v>
      </c>
      <c r="C11242" s="11"/>
    </row>
    <row r="11243" spans="1:4" ht="12.75" customHeight="1" x14ac:dyDescent="0.2">
      <c r="B11243" s="11" t="s">
        <v>16</v>
      </c>
      <c r="C11243" s="11"/>
    </row>
    <row r="11244" spans="1:4" ht="12.75" customHeight="1" x14ac:dyDescent="0.2">
      <c r="B11244" s="11" t="s">
        <v>13</v>
      </c>
      <c r="C11244" s="11" t="s">
        <v>2644</v>
      </c>
    </row>
    <row r="11245" spans="1:4" ht="12.75" customHeight="1" x14ac:dyDescent="0.2">
      <c r="B11245" s="11" t="s">
        <v>2603</v>
      </c>
      <c r="C11245" s="11" t="s">
        <v>2604</v>
      </c>
    </row>
    <row r="11246" spans="1:4" ht="12.75" customHeight="1" x14ac:dyDescent="0.2">
      <c r="B11246" s="11" t="s">
        <v>2605</v>
      </c>
      <c r="C11246" s="11" t="s">
        <v>14</v>
      </c>
    </row>
    <row r="11247" spans="1:4" ht="25.5" customHeight="1" x14ac:dyDescent="0.2">
      <c r="B11247" s="11" t="s">
        <v>2606</v>
      </c>
      <c r="C11247" s="16" t="s">
        <v>44</v>
      </c>
      <c r="D11247" s="6" t="str">
        <f>HYPERLINK("javascript:void(0)","szent szimbólum")</f>
        <v>szent szimbólum</v>
      </c>
    </row>
    <row r="11248" spans="1:4" ht="12.75" customHeight="1" x14ac:dyDescent="0.2">
      <c r="C11248" s="16" t="s">
        <v>117</v>
      </c>
      <c r="D11248" s="6" t="str">
        <f>HYPERLINK("javascript:void(0)","kincs")</f>
        <v>kincs</v>
      </c>
    </row>
    <row r="11249" spans="1:4" ht="12.75" customHeight="1" x14ac:dyDescent="0.2">
      <c r="B11249" s="2"/>
      <c r="C11249" s="15"/>
      <c r="D11249" s="2"/>
    </row>
    <row r="11250" spans="1:4" ht="12.75" customHeight="1" x14ac:dyDescent="0.2">
      <c r="B11250" s="2"/>
      <c r="C11250" s="15"/>
      <c r="D11250" s="2"/>
    </row>
    <row r="11251" spans="1:4" ht="12.75" customHeight="1" x14ac:dyDescent="0.2">
      <c r="A11251" s="13" t="s">
        <v>4346</v>
      </c>
      <c r="C11251" s="12"/>
    </row>
    <row r="11252" spans="1:4" ht="12.75" customHeight="1" x14ac:dyDescent="0.2">
      <c r="A11252" s="11"/>
      <c r="B11252" s="2"/>
      <c r="C11252" s="15"/>
      <c r="D11252" s="2"/>
    </row>
    <row r="11253" spans="1:4" ht="12.75" customHeight="1" x14ac:dyDescent="0.2">
      <c r="B11253" s="11" t="s">
        <v>0</v>
      </c>
      <c r="C11253" s="11" t="s">
        <v>69</v>
      </c>
    </row>
    <row r="11254" spans="1:4" ht="12.75" customHeight="1" x14ac:dyDescent="0.2">
      <c r="B11254" s="11" t="s">
        <v>2599</v>
      </c>
      <c r="C11254" s="11" t="s">
        <v>4347</v>
      </c>
    </row>
    <row r="11255" spans="1:4" ht="25.5" customHeight="1" x14ac:dyDescent="0.2">
      <c r="B11255" s="11" t="s">
        <v>2600</v>
      </c>
      <c r="C11255" s="11" t="s">
        <v>4348</v>
      </c>
    </row>
    <row r="11256" spans="1:4" ht="25.5" customHeight="1" x14ac:dyDescent="0.2">
      <c r="B11256" s="11" t="s">
        <v>2601</v>
      </c>
      <c r="C11256" s="11"/>
    </row>
    <row r="11257" spans="1:4" ht="12.75" customHeight="1" x14ac:dyDescent="0.2">
      <c r="B11257" s="11" t="s">
        <v>16</v>
      </c>
      <c r="C11257" s="11"/>
    </row>
    <row r="11258" spans="1:4" ht="12.75" customHeight="1" x14ac:dyDescent="0.2">
      <c r="B11258" s="11" t="s">
        <v>13</v>
      </c>
      <c r="C11258" s="11" t="s">
        <v>2602</v>
      </c>
    </row>
    <row r="11259" spans="1:4" ht="12.75" customHeight="1" x14ac:dyDescent="0.2">
      <c r="B11259" s="11" t="s">
        <v>2603</v>
      </c>
      <c r="C11259" s="11" t="s">
        <v>2604</v>
      </c>
    </row>
    <row r="11260" spans="1:4" ht="12.75" customHeight="1" x14ac:dyDescent="0.2">
      <c r="B11260" s="11" t="s">
        <v>2605</v>
      </c>
      <c r="C11260" s="11" t="s">
        <v>24</v>
      </c>
    </row>
    <row r="11261" spans="1:4" ht="12.75" customHeight="1" x14ac:dyDescent="0.2">
      <c r="B11261" s="11" t="s">
        <v>2606</v>
      </c>
      <c r="C11261" s="16" t="s">
        <v>44</v>
      </c>
      <c r="D11261" s="6" t="str">
        <f>HYPERLINK("javascript:void(0)","kispárna")</f>
        <v>kispárna</v>
      </c>
    </row>
    <row r="11262" spans="1:4" ht="12.75" customHeight="1" x14ac:dyDescent="0.2">
      <c r="B11262" s="2"/>
      <c r="C11262" s="15"/>
      <c r="D11262" s="2"/>
    </row>
    <row r="11263" spans="1:4" ht="12.75" customHeight="1" x14ac:dyDescent="0.2">
      <c r="B11263" s="2"/>
      <c r="C11263" s="15"/>
      <c r="D11263" s="2"/>
    </row>
    <row r="11264" spans="1:4" ht="12.75" customHeight="1" x14ac:dyDescent="0.2">
      <c r="A11264" s="13" t="s">
        <v>4349</v>
      </c>
      <c r="C11264" s="12"/>
    </row>
    <row r="11265" spans="1:4" ht="12.75" customHeight="1" x14ac:dyDescent="0.2">
      <c r="A11265" s="11"/>
      <c r="B11265" s="2"/>
      <c r="C11265" s="15"/>
      <c r="D11265" s="2"/>
    </row>
    <row r="11266" spans="1:4" ht="12.75" customHeight="1" x14ac:dyDescent="0.2">
      <c r="B11266" s="11" t="s">
        <v>0</v>
      </c>
      <c r="C11266" s="11" t="s">
        <v>69</v>
      </c>
    </row>
    <row r="11267" spans="1:4" ht="12.75" customHeight="1" x14ac:dyDescent="0.2">
      <c r="B11267" s="11" t="s">
        <v>2599</v>
      </c>
      <c r="C11267" s="11" t="s">
        <v>618</v>
      </c>
    </row>
    <row r="11268" spans="1:4" ht="25.5" customHeight="1" x14ac:dyDescent="0.2">
      <c r="B11268" s="11" t="s">
        <v>2600</v>
      </c>
      <c r="C11268" s="11" t="s">
        <v>4350</v>
      </c>
    </row>
    <row r="11269" spans="1:4" ht="25.5" customHeight="1" x14ac:dyDescent="0.2">
      <c r="B11269" s="11" t="s">
        <v>2601</v>
      </c>
      <c r="C11269" s="11"/>
    </row>
    <row r="11270" spans="1:4" ht="12.75" customHeight="1" x14ac:dyDescent="0.2">
      <c r="B11270" s="11" t="s">
        <v>16</v>
      </c>
      <c r="C11270" s="11"/>
    </row>
    <row r="11271" spans="1:4" ht="12.75" customHeight="1" x14ac:dyDescent="0.2">
      <c r="B11271" s="11" t="s">
        <v>13</v>
      </c>
      <c r="C11271" s="11" t="s">
        <v>2602</v>
      </c>
    </row>
    <row r="11272" spans="1:4" ht="12.75" customHeight="1" x14ac:dyDescent="0.2">
      <c r="B11272" s="11" t="s">
        <v>2603</v>
      </c>
      <c r="C11272" s="11" t="s">
        <v>2604</v>
      </c>
    </row>
    <row r="11273" spans="1:4" ht="12.75" customHeight="1" x14ac:dyDescent="0.2">
      <c r="B11273" s="11" t="s">
        <v>2605</v>
      </c>
      <c r="C11273" s="11" t="s">
        <v>14</v>
      </c>
    </row>
    <row r="11274" spans="1:4" ht="12.75" customHeight="1" x14ac:dyDescent="0.2">
      <c r="B11274" s="11" t="s">
        <v>2606</v>
      </c>
      <c r="C11274" s="16" t="s">
        <v>132</v>
      </c>
      <c r="D11274" s="6" t="str">
        <f>HYPERLINK("javascript:void(0)","kincs")</f>
        <v>kincs</v>
      </c>
    </row>
    <row r="11275" spans="1:4" ht="12.75" customHeight="1" x14ac:dyDescent="0.2">
      <c r="B11275" s="2"/>
      <c r="C11275" s="15"/>
      <c r="D11275" s="2"/>
    </row>
    <row r="11276" spans="1:4" ht="12.75" customHeight="1" x14ac:dyDescent="0.2">
      <c r="B11276" s="2"/>
      <c r="C11276" s="15"/>
      <c r="D11276" s="2"/>
    </row>
    <row r="11277" spans="1:4" ht="12.75" customHeight="1" x14ac:dyDescent="0.2">
      <c r="A11277" s="13" t="s">
        <v>4295</v>
      </c>
      <c r="C11277" s="12"/>
      <c r="D11277" s="2"/>
    </row>
    <row r="11278" spans="1:4" ht="12.75" customHeight="1" x14ac:dyDescent="0.2">
      <c r="A11278" s="11"/>
      <c r="B11278" s="2"/>
      <c r="C11278" s="15"/>
      <c r="D11278" s="2"/>
    </row>
    <row r="11279" spans="1:4" ht="12.75" customHeight="1" x14ac:dyDescent="0.2">
      <c r="B11279" s="11" t="s">
        <v>0</v>
      </c>
      <c r="C11279" s="17" t="s">
        <v>69</v>
      </c>
      <c r="D11279" s="2"/>
    </row>
    <row r="11280" spans="1:4" ht="12.75" customHeight="1" x14ac:dyDescent="0.2">
      <c r="B11280" s="11" t="s">
        <v>2599</v>
      </c>
      <c r="C11280" s="17" t="s">
        <v>1184</v>
      </c>
      <c r="D11280" s="2"/>
    </row>
    <row r="11281" spans="1:4" ht="25.5" customHeight="1" x14ac:dyDescent="0.2">
      <c r="B11281" s="11" t="s">
        <v>2600</v>
      </c>
      <c r="C11281" s="17" t="s">
        <v>4351</v>
      </c>
      <c r="D11281" s="2"/>
    </row>
    <row r="11282" spans="1:4" ht="25.5" customHeight="1" x14ac:dyDescent="0.2">
      <c r="B11282" s="11" t="s">
        <v>2601</v>
      </c>
      <c r="C11282" s="17"/>
      <c r="D11282" s="2"/>
    </row>
    <row r="11283" spans="1:4" ht="12.75" customHeight="1" x14ac:dyDescent="0.2">
      <c r="B11283" s="11" t="s">
        <v>16</v>
      </c>
      <c r="C11283" s="17"/>
      <c r="D11283" s="2"/>
    </row>
    <row r="11284" spans="1:4" ht="12.75" customHeight="1" x14ac:dyDescent="0.2">
      <c r="B11284" s="11" t="s">
        <v>13</v>
      </c>
      <c r="C11284" s="17" t="s">
        <v>2644</v>
      </c>
      <c r="D11284" s="2"/>
    </row>
    <row r="11285" spans="1:4" ht="25.5" customHeight="1" x14ac:dyDescent="0.2">
      <c r="B11285" s="11" t="s">
        <v>2603</v>
      </c>
      <c r="C11285" s="17" t="s">
        <v>2971</v>
      </c>
      <c r="D11285" s="2"/>
    </row>
    <row r="11286" spans="1:4" ht="12.75" customHeight="1" x14ac:dyDescent="0.2">
      <c r="B11286" s="11" t="s">
        <v>2605</v>
      </c>
      <c r="C11286" s="17" t="s">
        <v>14</v>
      </c>
      <c r="D11286" s="2"/>
    </row>
    <row r="11287" spans="1:4" ht="12.75" customHeight="1" x14ac:dyDescent="0.2">
      <c r="B11287" s="11" t="s">
        <v>2606</v>
      </c>
      <c r="C11287" s="16" t="s">
        <v>19</v>
      </c>
      <c r="D11287" s="2"/>
    </row>
    <row r="11288" spans="1:4" ht="12.75" customHeight="1" x14ac:dyDescent="0.2">
      <c r="B11288" s="2"/>
      <c r="C11288" s="15"/>
      <c r="D11288" s="2"/>
    </row>
    <row r="11289" spans="1:4" ht="12.75" customHeight="1" x14ac:dyDescent="0.2">
      <c r="B11289" s="2"/>
      <c r="C11289" s="15"/>
      <c r="D11289" s="2"/>
    </row>
    <row r="11290" spans="1:4" ht="12.75" customHeight="1" x14ac:dyDescent="0.2">
      <c r="A11290" s="13" t="s">
        <v>4297</v>
      </c>
      <c r="C11290" s="12"/>
      <c r="D11290" s="2"/>
    </row>
    <row r="11291" spans="1:4" ht="12.75" customHeight="1" x14ac:dyDescent="0.2">
      <c r="A11291" s="11"/>
      <c r="B11291" s="2"/>
      <c r="C11291" s="15"/>
      <c r="D11291" s="2"/>
    </row>
    <row r="11292" spans="1:4" ht="12.75" customHeight="1" x14ac:dyDescent="0.2">
      <c r="B11292" s="11" t="s">
        <v>0</v>
      </c>
      <c r="C11292" s="17" t="s">
        <v>69</v>
      </c>
      <c r="D11292" s="2"/>
    </row>
    <row r="11293" spans="1:4" ht="12.75" customHeight="1" x14ac:dyDescent="0.2">
      <c r="B11293" s="11" t="s">
        <v>2599</v>
      </c>
      <c r="C11293" s="17" t="s">
        <v>4299</v>
      </c>
      <c r="D11293" s="2"/>
    </row>
    <row r="11294" spans="1:4" ht="25.5" customHeight="1" x14ac:dyDescent="0.2">
      <c r="B11294" s="11" t="s">
        <v>2600</v>
      </c>
      <c r="C11294" s="17" t="s">
        <v>4352</v>
      </c>
      <c r="D11294" s="2"/>
    </row>
    <row r="11295" spans="1:4" ht="25.5" customHeight="1" x14ac:dyDescent="0.2">
      <c r="B11295" s="11" t="s">
        <v>2601</v>
      </c>
      <c r="C11295" s="17"/>
      <c r="D11295" s="2"/>
    </row>
    <row r="11296" spans="1:4" ht="12.75" customHeight="1" x14ac:dyDescent="0.2">
      <c r="B11296" s="11" t="s">
        <v>16</v>
      </c>
      <c r="C11296" s="17"/>
      <c r="D11296" s="2"/>
    </row>
    <row r="11297" spans="1:4" ht="12.75" customHeight="1" x14ac:dyDescent="0.2">
      <c r="B11297" s="11" t="s">
        <v>13</v>
      </c>
      <c r="C11297" s="17" t="s">
        <v>2602</v>
      </c>
      <c r="D11297" s="2"/>
    </row>
    <row r="11298" spans="1:4" ht="25.5" customHeight="1" x14ac:dyDescent="0.2">
      <c r="B11298" s="11" t="s">
        <v>2603</v>
      </c>
      <c r="C11298" s="17" t="s">
        <v>2971</v>
      </c>
      <c r="D11298" s="2"/>
    </row>
    <row r="11299" spans="1:4" ht="12.75" customHeight="1" x14ac:dyDescent="0.2">
      <c r="B11299" s="11" t="s">
        <v>2605</v>
      </c>
      <c r="C11299" s="17" t="s">
        <v>14</v>
      </c>
      <c r="D11299" s="2"/>
    </row>
    <row r="11300" spans="1:4" ht="12.75" customHeight="1" x14ac:dyDescent="0.2">
      <c r="B11300" s="11" t="s">
        <v>2606</v>
      </c>
      <c r="C11300" s="16" t="s">
        <v>19</v>
      </c>
      <c r="D11300" s="2"/>
    </row>
    <row r="11301" spans="1:4" ht="12.75" customHeight="1" x14ac:dyDescent="0.2">
      <c r="B11301" s="2"/>
      <c r="C11301" s="15"/>
      <c r="D11301" s="2"/>
    </row>
    <row r="11302" spans="1:4" ht="12.75" customHeight="1" x14ac:dyDescent="0.2">
      <c r="B11302" s="2"/>
      <c r="C11302" s="15"/>
      <c r="D11302" s="2"/>
    </row>
    <row r="11303" spans="1:4" ht="12.75" customHeight="1" x14ac:dyDescent="0.2">
      <c r="A11303" s="13" t="s">
        <v>2962</v>
      </c>
      <c r="C11303" s="12"/>
    </row>
    <row r="11304" spans="1:4" ht="12.75" customHeight="1" x14ac:dyDescent="0.2">
      <c r="A11304" s="11"/>
      <c r="B11304" s="2"/>
      <c r="C11304" s="15"/>
      <c r="D11304" s="2"/>
    </row>
    <row r="11305" spans="1:4" ht="12.75" customHeight="1" x14ac:dyDescent="0.2">
      <c r="B11305" s="11" t="s">
        <v>0</v>
      </c>
      <c r="C11305" s="11" t="s">
        <v>245</v>
      </c>
    </row>
    <row r="11306" spans="1:4" ht="12.75" customHeight="1" x14ac:dyDescent="0.2">
      <c r="B11306" s="11" t="s">
        <v>2599</v>
      </c>
      <c r="C11306" s="11" t="s">
        <v>1320</v>
      </c>
    </row>
    <row r="11307" spans="1:4" ht="25.5" customHeight="1" x14ac:dyDescent="0.2">
      <c r="B11307" s="11" t="s">
        <v>2600</v>
      </c>
      <c r="C11307" s="11" t="s">
        <v>4353</v>
      </c>
    </row>
    <row r="11308" spans="1:4" ht="25.5" customHeight="1" x14ac:dyDescent="0.2">
      <c r="B11308" s="11" t="s">
        <v>2601</v>
      </c>
      <c r="C11308" s="11"/>
    </row>
    <row r="11309" spans="1:4" ht="12.75" customHeight="1" x14ac:dyDescent="0.2">
      <c r="B11309" s="11" t="s">
        <v>16</v>
      </c>
      <c r="C11309" s="11"/>
    </row>
    <row r="11310" spans="1:4" ht="12.75" customHeight="1" x14ac:dyDescent="0.2">
      <c r="B11310" s="11" t="s">
        <v>13</v>
      </c>
      <c r="C11310" s="11" t="s">
        <v>2644</v>
      </c>
    </row>
    <row r="11311" spans="1:4" ht="12.75" customHeight="1" x14ac:dyDescent="0.2">
      <c r="B11311" s="11" t="s">
        <v>2603</v>
      </c>
      <c r="C11311" s="11" t="s">
        <v>2965</v>
      </c>
    </row>
    <row r="11312" spans="1:4" ht="12.75" customHeight="1" x14ac:dyDescent="0.2">
      <c r="B11312" s="11" t="s">
        <v>2605</v>
      </c>
      <c r="C11312" s="11" t="s">
        <v>14</v>
      </c>
    </row>
    <row r="11313" spans="1:4" ht="12.75" customHeight="1" x14ac:dyDescent="0.2">
      <c r="B11313" s="11" t="s">
        <v>2606</v>
      </c>
      <c r="C11313" s="16" t="s">
        <v>44</v>
      </c>
      <c r="D11313" s="6" t="str">
        <f>HYPERLINK("javascript:void(0)","hínárgyöngy")</f>
        <v>hínárgyöngy</v>
      </c>
    </row>
    <row r="11314" spans="1:4" ht="25.5" customHeight="1" x14ac:dyDescent="0.2">
      <c r="C11314" s="16" t="s">
        <v>57</v>
      </c>
      <c r="D11314" s="6" t="str">
        <f>HYPERLINK("javascript:void(0)","harmatcsepp")</f>
        <v>harmatcsepp</v>
      </c>
    </row>
    <row r="11315" spans="1:4" ht="12.75" customHeight="1" x14ac:dyDescent="0.2">
      <c r="B11315" s="2"/>
      <c r="C11315" s="15"/>
      <c r="D11315" s="2"/>
    </row>
    <row r="11316" spans="1:4" ht="12.75" customHeight="1" x14ac:dyDescent="0.2">
      <c r="B11316" s="2"/>
      <c r="C11316" s="15"/>
      <c r="D11316" s="2"/>
    </row>
    <row r="11317" spans="1:4" ht="12.75" customHeight="1" x14ac:dyDescent="0.2">
      <c r="A11317" s="13" t="s">
        <v>4267</v>
      </c>
      <c r="C11317" s="12"/>
      <c r="D11317" s="2"/>
    </row>
    <row r="11318" spans="1:4" ht="12.75" customHeight="1" x14ac:dyDescent="0.2">
      <c r="A11318" s="11"/>
      <c r="B11318" s="2"/>
      <c r="C11318" s="15"/>
      <c r="D11318" s="2"/>
    </row>
    <row r="11319" spans="1:4" ht="12.75" customHeight="1" x14ac:dyDescent="0.2">
      <c r="B11319" s="11" t="s">
        <v>0</v>
      </c>
      <c r="C11319" s="17" t="s">
        <v>245</v>
      </c>
      <c r="D11319" s="2"/>
    </row>
    <row r="11320" spans="1:4" ht="12.75" customHeight="1" x14ac:dyDescent="0.2">
      <c r="B11320" s="11" t="s">
        <v>2599</v>
      </c>
      <c r="C11320" s="17" t="s">
        <v>4268</v>
      </c>
      <c r="D11320" s="2"/>
    </row>
    <row r="11321" spans="1:4" ht="25.5" customHeight="1" x14ac:dyDescent="0.2">
      <c r="B11321" s="11" t="s">
        <v>2600</v>
      </c>
      <c r="C11321" s="17" t="s">
        <v>4354</v>
      </c>
      <c r="D11321" s="2"/>
    </row>
    <row r="11322" spans="1:4" ht="25.5" customHeight="1" x14ac:dyDescent="0.2">
      <c r="B11322" s="11" t="s">
        <v>2601</v>
      </c>
      <c r="C11322" s="17"/>
      <c r="D11322" s="2"/>
    </row>
    <row r="11323" spans="1:4" ht="12.75" customHeight="1" x14ac:dyDescent="0.2">
      <c r="B11323" s="11" t="s">
        <v>16</v>
      </c>
      <c r="C11323" s="17"/>
      <c r="D11323" s="2"/>
    </row>
    <row r="11324" spans="1:4" ht="12.75" customHeight="1" x14ac:dyDescent="0.2">
      <c r="B11324" s="11" t="s">
        <v>13</v>
      </c>
      <c r="C11324" s="17" t="s">
        <v>2644</v>
      </c>
      <c r="D11324" s="2"/>
    </row>
    <row r="11325" spans="1:4" ht="25.5" customHeight="1" x14ac:dyDescent="0.2">
      <c r="B11325" s="11" t="s">
        <v>2603</v>
      </c>
      <c r="C11325" s="17" t="s">
        <v>2971</v>
      </c>
      <c r="D11325" s="2"/>
    </row>
    <row r="11326" spans="1:4" ht="12.75" customHeight="1" x14ac:dyDescent="0.2">
      <c r="B11326" s="11" t="s">
        <v>2605</v>
      </c>
      <c r="C11326" s="17" t="s">
        <v>14</v>
      </c>
      <c r="D11326" s="2"/>
    </row>
    <row r="11327" spans="1:4" ht="12.75" customHeight="1" x14ac:dyDescent="0.2">
      <c r="B11327" s="11" t="s">
        <v>2606</v>
      </c>
      <c r="C11327" s="16" t="s">
        <v>19</v>
      </c>
      <c r="D11327" s="2"/>
    </row>
    <row r="11328" spans="1:4" ht="12.75" customHeight="1" x14ac:dyDescent="0.2">
      <c r="B11328" s="2"/>
      <c r="C11328" s="15"/>
      <c r="D11328" s="2"/>
    </row>
    <row r="11329" spans="1:4" ht="12.75" customHeight="1" x14ac:dyDescent="0.2">
      <c r="B11329" s="2"/>
      <c r="C11329" s="15"/>
      <c r="D11329" s="2"/>
    </row>
    <row r="11330" spans="1:4" ht="12.75" customHeight="1" x14ac:dyDescent="0.2">
      <c r="A11330" s="13" t="s">
        <v>4270</v>
      </c>
      <c r="C11330" s="12"/>
      <c r="D11330" s="2"/>
    </row>
    <row r="11331" spans="1:4" ht="12.75" customHeight="1" x14ac:dyDescent="0.2">
      <c r="A11331" s="11"/>
      <c r="B11331" s="2"/>
      <c r="C11331" s="15"/>
      <c r="D11331" s="2"/>
    </row>
    <row r="11332" spans="1:4" ht="12.75" customHeight="1" x14ac:dyDescent="0.2">
      <c r="B11332" s="11" t="s">
        <v>0</v>
      </c>
      <c r="C11332" s="17" t="s">
        <v>245</v>
      </c>
      <c r="D11332" s="2"/>
    </row>
    <row r="11333" spans="1:4" ht="12.75" customHeight="1" x14ac:dyDescent="0.2">
      <c r="B11333" s="11" t="s">
        <v>2599</v>
      </c>
      <c r="C11333" s="17" t="s">
        <v>4271</v>
      </c>
      <c r="D11333" s="2"/>
    </row>
    <row r="11334" spans="1:4" ht="25.5" customHeight="1" x14ac:dyDescent="0.2">
      <c r="B11334" s="11" t="s">
        <v>2600</v>
      </c>
      <c r="C11334" s="17" t="s">
        <v>4355</v>
      </c>
      <c r="D11334" s="2"/>
    </row>
    <row r="11335" spans="1:4" ht="25.5" customHeight="1" x14ac:dyDescent="0.2">
      <c r="B11335" s="11" t="s">
        <v>2601</v>
      </c>
      <c r="C11335" s="17"/>
      <c r="D11335" s="2"/>
    </row>
    <row r="11336" spans="1:4" ht="12.75" customHeight="1" x14ac:dyDescent="0.2">
      <c r="B11336" s="11" t="s">
        <v>16</v>
      </c>
      <c r="C11336" s="17"/>
      <c r="D11336" s="2"/>
    </row>
    <row r="11337" spans="1:4" ht="12.75" customHeight="1" x14ac:dyDescent="0.2">
      <c r="B11337" s="11" t="s">
        <v>13</v>
      </c>
      <c r="C11337" s="17" t="s">
        <v>2602</v>
      </c>
      <c r="D11337" s="2"/>
    </row>
    <row r="11338" spans="1:4" ht="25.5" customHeight="1" x14ac:dyDescent="0.2">
      <c r="B11338" s="11" t="s">
        <v>2603</v>
      </c>
      <c r="C11338" s="17" t="s">
        <v>2971</v>
      </c>
      <c r="D11338" s="2"/>
    </row>
    <row r="11339" spans="1:4" ht="12.75" customHeight="1" x14ac:dyDescent="0.2">
      <c r="B11339" s="11" t="s">
        <v>2605</v>
      </c>
      <c r="C11339" s="17" t="s">
        <v>14</v>
      </c>
      <c r="D11339" s="2"/>
    </row>
    <row r="11340" spans="1:4" ht="12.75" customHeight="1" x14ac:dyDescent="0.2">
      <c r="B11340" s="11" t="s">
        <v>2606</v>
      </c>
      <c r="C11340" s="16" t="s">
        <v>19</v>
      </c>
      <c r="D11340" s="2"/>
    </row>
    <row r="11341" spans="1:4" ht="12.75" customHeight="1" x14ac:dyDescent="0.2">
      <c r="B11341" s="2"/>
      <c r="C11341" s="15"/>
      <c r="D11341" s="2"/>
    </row>
    <row r="11342" spans="1:4" ht="12.75" customHeight="1" x14ac:dyDescent="0.2">
      <c r="B11342" s="2"/>
      <c r="C11342" s="15"/>
      <c r="D11342" s="2"/>
    </row>
    <row r="11343" spans="1:4" ht="12.75" customHeight="1" x14ac:dyDescent="0.2">
      <c r="A11343" s="13" t="s">
        <v>4356</v>
      </c>
      <c r="C11343" s="12"/>
    </row>
    <row r="11344" spans="1:4" ht="12.75" customHeight="1" x14ac:dyDescent="0.2">
      <c r="A11344" s="11"/>
      <c r="B11344" s="2"/>
      <c r="C11344" s="15"/>
      <c r="D11344" s="2"/>
    </row>
    <row r="11345" spans="1:4" ht="12.75" customHeight="1" x14ac:dyDescent="0.2">
      <c r="B11345" s="11" t="s">
        <v>0</v>
      </c>
      <c r="C11345" s="11" t="s">
        <v>245</v>
      </c>
    </row>
    <row r="11346" spans="1:4" ht="12.75" customHeight="1" x14ac:dyDescent="0.2">
      <c r="B11346" s="11" t="s">
        <v>2599</v>
      </c>
      <c r="C11346" s="11" t="s">
        <v>4357</v>
      </c>
    </row>
    <row r="11347" spans="1:4" ht="25.5" customHeight="1" x14ac:dyDescent="0.2">
      <c r="B11347" s="11" t="s">
        <v>2600</v>
      </c>
      <c r="C11347" s="11" t="s">
        <v>4358</v>
      </c>
    </row>
    <row r="11348" spans="1:4" ht="25.5" customHeight="1" x14ac:dyDescent="0.2">
      <c r="B11348" s="11" t="s">
        <v>2601</v>
      </c>
      <c r="C11348" s="11"/>
    </row>
    <row r="11349" spans="1:4" ht="12.75" customHeight="1" x14ac:dyDescent="0.2">
      <c r="B11349" s="11" t="s">
        <v>16</v>
      </c>
      <c r="C11349" s="11"/>
    </row>
    <row r="11350" spans="1:4" ht="12.75" customHeight="1" x14ac:dyDescent="0.2">
      <c r="B11350" s="11" t="s">
        <v>13</v>
      </c>
      <c r="C11350" s="11" t="s">
        <v>2602</v>
      </c>
    </row>
    <row r="11351" spans="1:4" ht="12.75" customHeight="1" x14ac:dyDescent="0.2">
      <c r="B11351" s="11" t="s">
        <v>2603</v>
      </c>
      <c r="C11351" s="11" t="s">
        <v>2604</v>
      </c>
    </row>
    <row r="11352" spans="1:4" ht="12.75" customHeight="1" x14ac:dyDescent="0.2">
      <c r="B11352" s="11" t="s">
        <v>2605</v>
      </c>
      <c r="C11352" s="11" t="s">
        <v>14</v>
      </c>
    </row>
    <row r="11353" spans="1:4" ht="12.75" customHeight="1" x14ac:dyDescent="0.2">
      <c r="B11353" s="11" t="s">
        <v>2606</v>
      </c>
      <c r="C11353" s="16" t="s">
        <v>57</v>
      </c>
      <c r="D11353" s="6" t="str">
        <f>HYPERLINK("javascript:void(0)","ragya")</f>
        <v>ragya</v>
      </c>
    </row>
    <row r="11354" spans="1:4" ht="12.75" customHeight="1" x14ac:dyDescent="0.2">
      <c r="C11354" s="16" t="s">
        <v>67</v>
      </c>
      <c r="D11354" s="6" t="str">
        <f>HYPERLINK("javascript:void(0)","kincs")</f>
        <v>kincs</v>
      </c>
    </row>
    <row r="11355" spans="1:4" ht="12.75" customHeight="1" x14ac:dyDescent="0.2">
      <c r="B11355" s="2"/>
      <c r="C11355" s="15"/>
      <c r="D11355" s="2"/>
    </row>
    <row r="11356" spans="1:4" ht="12.75" customHeight="1" x14ac:dyDescent="0.2">
      <c r="B11356" s="2"/>
      <c r="C11356" s="15"/>
      <c r="D11356" s="2"/>
    </row>
    <row r="11357" spans="1:4" ht="12.75" customHeight="1" x14ac:dyDescent="0.2">
      <c r="A11357" s="13" t="s">
        <v>4359</v>
      </c>
      <c r="C11357" s="12"/>
    </row>
    <row r="11358" spans="1:4" ht="12.75" customHeight="1" x14ac:dyDescent="0.2">
      <c r="A11358" s="11"/>
      <c r="B11358" s="2"/>
      <c r="C11358" s="15"/>
      <c r="D11358" s="2"/>
    </row>
    <row r="11359" spans="1:4" ht="12.75" customHeight="1" x14ac:dyDescent="0.2">
      <c r="B11359" s="11" t="s">
        <v>0</v>
      </c>
      <c r="C11359" s="11" t="s">
        <v>245</v>
      </c>
    </row>
    <row r="11360" spans="1:4" ht="12.75" customHeight="1" x14ac:dyDescent="0.2">
      <c r="B11360" s="11" t="s">
        <v>2599</v>
      </c>
      <c r="C11360" s="11" t="s">
        <v>1320</v>
      </c>
    </row>
    <row r="11361" spans="1:4" ht="25.5" customHeight="1" x14ac:dyDescent="0.2">
      <c r="B11361" s="11" t="s">
        <v>2600</v>
      </c>
      <c r="C11361" s="11" t="s">
        <v>4360</v>
      </c>
    </row>
    <row r="11362" spans="1:4" ht="25.5" customHeight="1" x14ac:dyDescent="0.2">
      <c r="B11362" s="11" t="s">
        <v>2601</v>
      </c>
      <c r="C11362" s="11"/>
    </row>
    <row r="11363" spans="1:4" ht="12.75" customHeight="1" x14ac:dyDescent="0.2">
      <c r="B11363" s="11" t="s">
        <v>16</v>
      </c>
      <c r="C11363" s="11"/>
    </row>
    <row r="11364" spans="1:4" ht="12.75" customHeight="1" x14ac:dyDescent="0.2">
      <c r="B11364" s="11" t="s">
        <v>13</v>
      </c>
      <c r="C11364" s="11" t="s">
        <v>2644</v>
      </c>
    </row>
    <row r="11365" spans="1:4" ht="12.75" customHeight="1" x14ac:dyDescent="0.2">
      <c r="B11365" s="11" t="s">
        <v>2603</v>
      </c>
      <c r="C11365" s="11" t="s">
        <v>2604</v>
      </c>
    </row>
    <row r="11366" spans="1:4" ht="12.75" customHeight="1" x14ac:dyDescent="0.2">
      <c r="B11366" s="11" t="s">
        <v>2605</v>
      </c>
      <c r="C11366" s="11" t="s">
        <v>14</v>
      </c>
    </row>
    <row r="11367" spans="1:4" ht="25.5" customHeight="1" x14ac:dyDescent="0.2">
      <c r="B11367" s="11" t="s">
        <v>2606</v>
      </c>
      <c r="C11367" s="16" t="s">
        <v>44</v>
      </c>
      <c r="D11367" s="6" t="str">
        <f>HYPERLINK("javascript:void(0)","szent szimbólum")</f>
        <v>szent szimbólum</v>
      </c>
    </row>
    <row r="11368" spans="1:4" ht="12.75" customHeight="1" x14ac:dyDescent="0.2">
      <c r="C11368" s="16" t="s">
        <v>57</v>
      </c>
      <c r="D11368" s="6" t="str">
        <f>HYPERLINK("javascript:void(0)","légige")</f>
        <v>légige</v>
      </c>
    </row>
    <row r="11369" spans="1:4" ht="12.75" customHeight="1" x14ac:dyDescent="0.2">
      <c r="B11369" s="2"/>
      <c r="C11369" s="15"/>
      <c r="D11369" s="2"/>
    </row>
    <row r="11370" spans="1:4" ht="12.75" customHeight="1" x14ac:dyDescent="0.2">
      <c r="B11370" s="2"/>
      <c r="C11370" s="15"/>
      <c r="D11370" s="2"/>
    </row>
    <row r="11371" spans="1:4" ht="12.75" customHeight="1" x14ac:dyDescent="0.2">
      <c r="A11371" s="13" t="s">
        <v>4361</v>
      </c>
      <c r="C11371" s="12"/>
    </row>
    <row r="11372" spans="1:4" ht="12.75" customHeight="1" x14ac:dyDescent="0.2">
      <c r="A11372" s="11"/>
      <c r="B11372" s="2"/>
      <c r="C11372" s="15"/>
      <c r="D11372" s="2"/>
    </row>
    <row r="11373" spans="1:4" ht="12.75" customHeight="1" x14ac:dyDescent="0.2">
      <c r="B11373" s="11" t="s">
        <v>0</v>
      </c>
      <c r="C11373" s="11" t="s">
        <v>245</v>
      </c>
    </row>
    <row r="11374" spans="1:4" ht="12.75" customHeight="1" x14ac:dyDescent="0.2">
      <c r="B11374" s="11" t="s">
        <v>2599</v>
      </c>
      <c r="C11374" s="11" t="s">
        <v>4362</v>
      </c>
    </row>
    <row r="11375" spans="1:4" ht="25.5" customHeight="1" x14ac:dyDescent="0.2">
      <c r="B11375" s="11" t="s">
        <v>2600</v>
      </c>
      <c r="C11375" s="11" t="s">
        <v>4363</v>
      </c>
    </row>
    <row r="11376" spans="1:4" ht="25.5" customHeight="1" x14ac:dyDescent="0.2">
      <c r="B11376" s="11" t="s">
        <v>2601</v>
      </c>
      <c r="C11376" s="11"/>
    </row>
    <row r="11377" spans="1:4" ht="12.75" customHeight="1" x14ac:dyDescent="0.2">
      <c r="B11377" s="11" t="s">
        <v>16</v>
      </c>
      <c r="C11377" s="11"/>
    </row>
    <row r="11378" spans="1:4" ht="12.75" customHeight="1" x14ac:dyDescent="0.2">
      <c r="B11378" s="11" t="s">
        <v>13</v>
      </c>
      <c r="C11378" s="11" t="s">
        <v>2644</v>
      </c>
    </row>
    <row r="11379" spans="1:4" ht="12.75" customHeight="1" x14ac:dyDescent="0.2">
      <c r="B11379" s="11" t="s">
        <v>2603</v>
      </c>
      <c r="C11379" s="11" t="s">
        <v>2604</v>
      </c>
    </row>
    <row r="11380" spans="1:4" ht="12.75" customHeight="1" x14ac:dyDescent="0.2">
      <c r="B11380" s="11" t="s">
        <v>2605</v>
      </c>
      <c r="C11380" s="11" t="s">
        <v>24</v>
      </c>
    </row>
    <row r="11381" spans="1:4" ht="25.5" customHeight="1" x14ac:dyDescent="0.2">
      <c r="B11381" s="11" t="s">
        <v>2606</v>
      </c>
      <c r="C11381" s="16" t="s">
        <v>44</v>
      </c>
      <c r="D11381" s="6" t="str">
        <f>HYPERLINK("javascript:void(0)","kihunyt glória")</f>
        <v>kihunyt glória</v>
      </c>
    </row>
    <row r="11382" spans="1:4" ht="12.75" customHeight="1" x14ac:dyDescent="0.2">
      <c r="C11382" s="16" t="s">
        <v>265</v>
      </c>
      <c r="D11382" s="6" t="str">
        <f>HYPERLINK("javascript:void(0)","kincs")</f>
        <v>kincs</v>
      </c>
    </row>
    <row r="11383" spans="1:4" ht="12.75" customHeight="1" x14ac:dyDescent="0.2">
      <c r="B11383" s="2"/>
      <c r="C11383" s="15"/>
      <c r="D11383" s="2"/>
    </row>
    <row r="11384" spans="1:4" ht="12.75" customHeight="1" x14ac:dyDescent="0.2">
      <c r="B11384" s="2"/>
      <c r="C11384" s="15"/>
      <c r="D11384" s="2"/>
    </row>
    <row r="11385" spans="1:4" ht="12.75" customHeight="1" x14ac:dyDescent="0.2">
      <c r="A11385" s="13" t="s">
        <v>4364</v>
      </c>
      <c r="C11385" s="12"/>
      <c r="D11385" s="2"/>
    </row>
    <row r="11386" spans="1:4" ht="12.75" customHeight="1" x14ac:dyDescent="0.2">
      <c r="A11386" s="11"/>
      <c r="B11386" s="2"/>
      <c r="C11386" s="15"/>
      <c r="D11386" s="2"/>
    </row>
    <row r="11387" spans="1:4" ht="12.75" customHeight="1" x14ac:dyDescent="0.2">
      <c r="B11387" s="11" t="s">
        <v>0</v>
      </c>
      <c r="C11387" s="17" t="s">
        <v>245</v>
      </c>
      <c r="D11387" s="2"/>
    </row>
    <row r="11388" spans="1:4" ht="12.75" customHeight="1" x14ac:dyDescent="0.2">
      <c r="B11388" s="11" t="s">
        <v>2599</v>
      </c>
      <c r="C11388" s="17" t="s">
        <v>4365</v>
      </c>
      <c r="D11388" s="2"/>
    </row>
    <row r="11389" spans="1:4" ht="25.5" customHeight="1" x14ac:dyDescent="0.2">
      <c r="B11389" s="11" t="s">
        <v>2600</v>
      </c>
      <c r="C11389" s="17" t="s">
        <v>4366</v>
      </c>
      <c r="D11389" s="2"/>
    </row>
    <row r="11390" spans="1:4" ht="25.5" customHeight="1" x14ac:dyDescent="0.2">
      <c r="B11390" s="11" t="s">
        <v>2601</v>
      </c>
      <c r="C11390" s="17"/>
      <c r="D11390" s="2"/>
    </row>
    <row r="11391" spans="1:4" ht="12.75" customHeight="1" x14ac:dyDescent="0.2">
      <c r="B11391" s="11" t="s">
        <v>16</v>
      </c>
      <c r="C11391" s="17"/>
      <c r="D11391" s="2"/>
    </row>
    <row r="11392" spans="1:4" ht="12.75" customHeight="1" x14ac:dyDescent="0.2">
      <c r="B11392" s="11" t="s">
        <v>13</v>
      </c>
      <c r="C11392" s="17" t="s">
        <v>2644</v>
      </c>
      <c r="D11392" s="2"/>
    </row>
    <row r="11393" spans="1:4" ht="12.75" customHeight="1" x14ac:dyDescent="0.2">
      <c r="B11393" s="11" t="s">
        <v>2603</v>
      </c>
      <c r="C11393" s="17" t="s">
        <v>2604</v>
      </c>
      <c r="D11393" s="2"/>
    </row>
    <row r="11394" spans="1:4" ht="12.75" customHeight="1" x14ac:dyDescent="0.2">
      <c r="B11394" s="11" t="s">
        <v>2605</v>
      </c>
      <c r="C11394" s="17" t="s">
        <v>24</v>
      </c>
      <c r="D11394" s="2"/>
    </row>
    <row r="11395" spans="1:4" ht="12.75" customHeight="1" x14ac:dyDescent="0.2">
      <c r="B11395" s="11" t="s">
        <v>2606</v>
      </c>
      <c r="C11395" s="16" t="s">
        <v>19</v>
      </c>
      <c r="D11395" s="2"/>
    </row>
    <row r="11396" spans="1:4" ht="12.75" customHeight="1" x14ac:dyDescent="0.2">
      <c r="B11396" s="2"/>
      <c r="C11396" s="15"/>
      <c r="D11396" s="2"/>
    </row>
    <row r="11397" spans="1:4" ht="12.75" customHeight="1" x14ac:dyDescent="0.2">
      <c r="B11397" s="2"/>
      <c r="C11397" s="15"/>
      <c r="D11397" s="2"/>
    </row>
    <row r="11398" spans="1:4" ht="12.75" customHeight="1" x14ac:dyDescent="0.2">
      <c r="A11398" s="13" t="s">
        <v>4367</v>
      </c>
      <c r="C11398" s="12"/>
    </row>
    <row r="11399" spans="1:4" ht="12.75" customHeight="1" x14ac:dyDescent="0.2">
      <c r="A11399" s="11"/>
      <c r="B11399" s="2"/>
      <c r="C11399" s="15"/>
      <c r="D11399" s="2"/>
    </row>
    <row r="11400" spans="1:4" ht="12.75" customHeight="1" x14ac:dyDescent="0.2">
      <c r="B11400" s="11" t="s">
        <v>0</v>
      </c>
      <c r="C11400" s="11" t="s">
        <v>245</v>
      </c>
    </row>
    <row r="11401" spans="1:4" ht="12.75" customHeight="1" x14ac:dyDescent="0.2">
      <c r="B11401" s="11" t="s">
        <v>2599</v>
      </c>
      <c r="C11401" s="11" t="s">
        <v>3867</v>
      </c>
    </row>
    <row r="11402" spans="1:4" ht="25.5" customHeight="1" x14ac:dyDescent="0.2">
      <c r="B11402" s="11" t="s">
        <v>2600</v>
      </c>
      <c r="C11402" s="11" t="s">
        <v>4368</v>
      </c>
    </row>
    <row r="11403" spans="1:4" ht="25.5" customHeight="1" x14ac:dyDescent="0.2">
      <c r="B11403" s="11" t="s">
        <v>2601</v>
      </c>
      <c r="C11403" s="11"/>
    </row>
    <row r="11404" spans="1:4" ht="12.75" customHeight="1" x14ac:dyDescent="0.2">
      <c r="B11404" s="11" t="s">
        <v>16</v>
      </c>
      <c r="C11404" s="11"/>
    </row>
    <row r="11405" spans="1:4" ht="12.75" customHeight="1" x14ac:dyDescent="0.2">
      <c r="B11405" s="11" t="s">
        <v>13</v>
      </c>
      <c r="C11405" s="11" t="s">
        <v>2602</v>
      </c>
    </row>
    <row r="11406" spans="1:4" ht="12.75" customHeight="1" x14ac:dyDescent="0.2">
      <c r="B11406" s="11" t="s">
        <v>2603</v>
      </c>
      <c r="C11406" s="11" t="s">
        <v>2604</v>
      </c>
    </row>
    <row r="11407" spans="1:4" ht="12.75" customHeight="1" x14ac:dyDescent="0.2">
      <c r="B11407" s="11" t="s">
        <v>2605</v>
      </c>
      <c r="C11407" s="11" t="s">
        <v>14</v>
      </c>
    </row>
    <row r="11408" spans="1:4" ht="12.75" customHeight="1" x14ac:dyDescent="0.2">
      <c r="B11408" s="11" t="s">
        <v>2606</v>
      </c>
      <c r="C11408" s="16" t="s">
        <v>244</v>
      </c>
      <c r="D11408" s="6" t="str">
        <f>HYPERLINK("javascript:void(0)","kincs")</f>
        <v>kincs</v>
      </c>
    </row>
    <row r="11409" spans="1:4" ht="12.75" customHeight="1" x14ac:dyDescent="0.2">
      <c r="B11409" s="2"/>
      <c r="C11409" s="15"/>
      <c r="D11409" s="2"/>
    </row>
    <row r="11410" spans="1:4" ht="12.75" customHeight="1" x14ac:dyDescent="0.2">
      <c r="B11410" s="2"/>
      <c r="C11410" s="15"/>
      <c r="D11410" s="2"/>
    </row>
    <row r="11411" spans="1:4" ht="12.75" customHeight="1" x14ac:dyDescent="0.2">
      <c r="A11411" s="13" t="s">
        <v>4370</v>
      </c>
      <c r="C11411" s="12"/>
    </row>
    <row r="11412" spans="1:4" ht="12.75" customHeight="1" x14ac:dyDescent="0.2">
      <c r="A11412" s="11"/>
      <c r="B11412" s="2"/>
      <c r="C11412" s="15"/>
      <c r="D11412" s="2"/>
    </row>
    <row r="11413" spans="1:4" ht="12.75" customHeight="1" x14ac:dyDescent="0.2">
      <c r="B11413" s="11" t="s">
        <v>0</v>
      </c>
      <c r="C11413" s="11" t="s">
        <v>245</v>
      </c>
    </row>
    <row r="11414" spans="1:4" ht="12.75" customHeight="1" x14ac:dyDescent="0.2">
      <c r="B11414" s="11" t="s">
        <v>2599</v>
      </c>
      <c r="C11414" s="11" t="s">
        <v>4371</v>
      </c>
    </row>
    <row r="11415" spans="1:4" ht="25.5" customHeight="1" x14ac:dyDescent="0.2">
      <c r="B11415" s="11" t="s">
        <v>2600</v>
      </c>
      <c r="C11415" s="11" t="s">
        <v>4372</v>
      </c>
    </row>
    <row r="11416" spans="1:4" ht="25.5" customHeight="1" x14ac:dyDescent="0.2">
      <c r="B11416" s="11" t="s">
        <v>2601</v>
      </c>
      <c r="C11416" s="11"/>
    </row>
    <row r="11417" spans="1:4" ht="12.75" customHeight="1" x14ac:dyDescent="0.2">
      <c r="B11417" s="11" t="s">
        <v>16</v>
      </c>
      <c r="C11417" s="11"/>
    </row>
    <row r="11418" spans="1:4" ht="12.75" customHeight="1" x14ac:dyDescent="0.2">
      <c r="B11418" s="11" t="s">
        <v>13</v>
      </c>
      <c r="C11418" s="11" t="s">
        <v>2644</v>
      </c>
    </row>
    <row r="11419" spans="1:4" ht="12.75" customHeight="1" x14ac:dyDescent="0.2">
      <c r="B11419" s="11" t="s">
        <v>2603</v>
      </c>
      <c r="C11419" s="11" t="s">
        <v>2604</v>
      </c>
    </row>
    <row r="11420" spans="1:4" ht="12.75" customHeight="1" x14ac:dyDescent="0.2">
      <c r="B11420" s="11" t="s">
        <v>2605</v>
      </c>
      <c r="C11420" s="11" t="s">
        <v>24</v>
      </c>
    </row>
    <row r="11421" spans="1:4" ht="12.75" customHeight="1" x14ac:dyDescent="0.2">
      <c r="B11421" s="11" t="s">
        <v>2606</v>
      </c>
      <c r="C11421" s="16" t="s">
        <v>269</v>
      </c>
      <c r="D11421" s="6" t="str">
        <f>HYPERLINK("javascript:void(0)","kincs")</f>
        <v>kincs</v>
      </c>
    </row>
    <row r="11422" spans="1:4" ht="12.75" customHeight="1" x14ac:dyDescent="0.2">
      <c r="B11422" s="2"/>
      <c r="C11422" s="15"/>
      <c r="D11422" s="2"/>
    </row>
    <row r="11423" spans="1:4" ht="12.75" customHeight="1" x14ac:dyDescent="0.2">
      <c r="B11423" s="2"/>
      <c r="C11423" s="15"/>
      <c r="D11423" s="2"/>
    </row>
    <row r="11424" spans="1:4" ht="12.75" customHeight="1" x14ac:dyDescent="0.2">
      <c r="A11424" s="13" t="s">
        <v>4373</v>
      </c>
      <c r="C11424" s="12"/>
    </row>
    <row r="11425" spans="1:4" ht="12.75" customHeight="1" x14ac:dyDescent="0.2">
      <c r="A11425" s="11"/>
      <c r="B11425" s="2"/>
      <c r="C11425" s="15"/>
      <c r="D11425" s="2"/>
    </row>
    <row r="11426" spans="1:4" ht="12.75" customHeight="1" x14ac:dyDescent="0.2">
      <c r="B11426" s="11" t="s">
        <v>0</v>
      </c>
      <c r="C11426" s="11" t="s">
        <v>245</v>
      </c>
    </row>
    <row r="11427" spans="1:4" ht="12.75" customHeight="1" x14ac:dyDescent="0.2">
      <c r="B11427" s="11" t="s">
        <v>2599</v>
      </c>
      <c r="C11427" s="11" t="s">
        <v>3325</v>
      </c>
    </row>
    <row r="11428" spans="1:4" ht="25.5" customHeight="1" x14ac:dyDescent="0.2">
      <c r="B11428" s="11" t="s">
        <v>2600</v>
      </c>
      <c r="C11428" s="11" t="s">
        <v>4374</v>
      </c>
    </row>
    <row r="11429" spans="1:4" ht="25.5" customHeight="1" x14ac:dyDescent="0.2">
      <c r="B11429" s="11" t="s">
        <v>2601</v>
      </c>
      <c r="C11429" s="11"/>
    </row>
    <row r="11430" spans="1:4" ht="12.75" customHeight="1" x14ac:dyDescent="0.2">
      <c r="B11430" s="11" t="s">
        <v>16</v>
      </c>
      <c r="C11430" s="11"/>
    </row>
    <row r="11431" spans="1:4" ht="12.75" customHeight="1" x14ac:dyDescent="0.2">
      <c r="B11431" s="11" t="s">
        <v>13</v>
      </c>
      <c r="C11431" s="11" t="s">
        <v>2602</v>
      </c>
    </row>
    <row r="11432" spans="1:4" ht="12.75" customHeight="1" x14ac:dyDescent="0.2">
      <c r="B11432" s="11" t="s">
        <v>2603</v>
      </c>
      <c r="C11432" s="11" t="s">
        <v>2604</v>
      </c>
    </row>
    <row r="11433" spans="1:4" ht="12.75" customHeight="1" x14ac:dyDescent="0.2">
      <c r="B11433" s="11" t="s">
        <v>2605</v>
      </c>
      <c r="C11433" s="11" t="s">
        <v>14</v>
      </c>
    </row>
    <row r="11434" spans="1:4" ht="12.75" customHeight="1" x14ac:dyDescent="0.2">
      <c r="B11434" s="11" t="s">
        <v>2606</v>
      </c>
      <c r="C11434" s="16" t="s">
        <v>44</v>
      </c>
      <c r="D11434" s="6" t="str">
        <f>HYPERLINK("javascript:void(0)","kárópikkely")</f>
        <v>kárópikkely</v>
      </c>
    </row>
    <row r="11435" spans="1:4" ht="12.75" customHeight="1" x14ac:dyDescent="0.2">
      <c r="C11435" s="16" t="s">
        <v>68</v>
      </c>
      <c r="D11435" s="6" t="str">
        <f>HYPERLINK("javascript:void(0)","kincs")</f>
        <v>kincs</v>
      </c>
    </row>
    <row r="11436" spans="1:4" ht="12.75" customHeight="1" x14ac:dyDescent="0.2">
      <c r="B11436" s="2"/>
      <c r="C11436" s="15"/>
      <c r="D11436" s="2"/>
    </row>
    <row r="11437" spans="1:4" ht="12.75" customHeight="1" x14ac:dyDescent="0.2">
      <c r="B11437" s="2"/>
      <c r="C11437" s="15"/>
      <c r="D11437" s="2"/>
    </row>
    <row r="11438" spans="1:4" ht="12.75" customHeight="1" x14ac:dyDescent="0.2">
      <c r="A11438" s="13" t="s">
        <v>4375</v>
      </c>
      <c r="C11438" s="12"/>
    </row>
    <row r="11439" spans="1:4" ht="12.75" customHeight="1" x14ac:dyDescent="0.2">
      <c r="A11439" s="11"/>
      <c r="B11439" s="2"/>
      <c r="C11439" s="15"/>
      <c r="D11439" s="2"/>
    </row>
    <row r="11440" spans="1:4" ht="12.75" customHeight="1" x14ac:dyDescent="0.2">
      <c r="B11440" s="11" t="s">
        <v>0</v>
      </c>
      <c r="C11440" s="11" t="s">
        <v>245</v>
      </c>
    </row>
    <row r="11441" spans="1:4" ht="12.75" customHeight="1" x14ac:dyDescent="0.2">
      <c r="B11441" s="11" t="s">
        <v>2599</v>
      </c>
      <c r="C11441" s="11" t="s">
        <v>3452</v>
      </c>
    </row>
    <row r="11442" spans="1:4" ht="25.5" customHeight="1" x14ac:dyDescent="0.2">
      <c r="B11442" s="11" t="s">
        <v>2600</v>
      </c>
      <c r="C11442" s="11" t="s">
        <v>4376</v>
      </c>
    </row>
    <row r="11443" spans="1:4" ht="25.5" customHeight="1" x14ac:dyDescent="0.2">
      <c r="B11443" s="11" t="s">
        <v>2601</v>
      </c>
      <c r="C11443" s="11"/>
    </row>
    <row r="11444" spans="1:4" ht="12.75" customHeight="1" x14ac:dyDescent="0.2">
      <c r="B11444" s="11" t="s">
        <v>16</v>
      </c>
      <c r="C11444" s="11"/>
    </row>
    <row r="11445" spans="1:4" ht="12.75" customHeight="1" x14ac:dyDescent="0.2">
      <c r="B11445" s="11" t="s">
        <v>13</v>
      </c>
      <c r="C11445" s="11" t="s">
        <v>2602</v>
      </c>
    </row>
    <row r="11446" spans="1:4" ht="12.75" customHeight="1" x14ac:dyDescent="0.2">
      <c r="B11446" s="11" t="s">
        <v>2603</v>
      </c>
      <c r="C11446" s="11" t="s">
        <v>2604</v>
      </c>
    </row>
    <row r="11447" spans="1:4" ht="12.75" customHeight="1" x14ac:dyDescent="0.2">
      <c r="B11447" s="11" t="s">
        <v>2605</v>
      </c>
      <c r="C11447" s="11" t="s">
        <v>24</v>
      </c>
    </row>
    <row r="11448" spans="1:4" ht="12.75" customHeight="1" x14ac:dyDescent="0.2">
      <c r="B11448" s="11" t="s">
        <v>2606</v>
      </c>
      <c r="C11448" s="16" t="s">
        <v>44</v>
      </c>
      <c r="D11448" s="6" t="str">
        <f>HYPERLINK("javascript:void(0)","kígyócsörgő")</f>
        <v>kígyócsörgő</v>
      </c>
    </row>
    <row r="11449" spans="1:4" ht="12.75" customHeight="1" x14ac:dyDescent="0.2">
      <c r="B11449" s="2"/>
      <c r="C11449" s="15"/>
      <c r="D11449" s="2"/>
    </row>
    <row r="11450" spans="1:4" ht="12.75" customHeight="1" x14ac:dyDescent="0.2">
      <c r="B11450" s="2"/>
      <c r="C11450" s="15"/>
      <c r="D11450" s="2"/>
    </row>
    <row r="11451" spans="1:4" ht="12.75" customHeight="1" x14ac:dyDescent="0.2">
      <c r="A11451" s="13" t="s">
        <v>4295</v>
      </c>
      <c r="C11451" s="12"/>
      <c r="D11451" s="2"/>
    </row>
    <row r="11452" spans="1:4" ht="12.75" customHeight="1" x14ac:dyDescent="0.2">
      <c r="A11452" s="11"/>
      <c r="B11452" s="2"/>
      <c r="C11452" s="15"/>
      <c r="D11452" s="2"/>
    </row>
    <row r="11453" spans="1:4" ht="12.75" customHeight="1" x14ac:dyDescent="0.2">
      <c r="B11453" s="11" t="s">
        <v>0</v>
      </c>
      <c r="C11453" s="17" t="s">
        <v>245</v>
      </c>
      <c r="D11453" s="2"/>
    </row>
    <row r="11454" spans="1:4" ht="12.75" customHeight="1" x14ac:dyDescent="0.2">
      <c r="B11454" s="11" t="s">
        <v>2599</v>
      </c>
      <c r="C11454" s="17" t="s">
        <v>1184</v>
      </c>
      <c r="D11454" s="2"/>
    </row>
    <row r="11455" spans="1:4" ht="25.5" customHeight="1" x14ac:dyDescent="0.2">
      <c r="B11455" s="11" t="s">
        <v>2600</v>
      </c>
      <c r="C11455" s="17" t="s">
        <v>4377</v>
      </c>
      <c r="D11455" s="2"/>
    </row>
    <row r="11456" spans="1:4" ht="25.5" customHeight="1" x14ac:dyDescent="0.2">
      <c r="B11456" s="11" t="s">
        <v>2601</v>
      </c>
      <c r="C11456" s="17"/>
      <c r="D11456" s="2"/>
    </row>
    <row r="11457" spans="1:4" ht="12.75" customHeight="1" x14ac:dyDescent="0.2">
      <c r="B11457" s="11" t="s">
        <v>16</v>
      </c>
      <c r="C11457" s="17"/>
      <c r="D11457" s="2"/>
    </row>
    <row r="11458" spans="1:4" ht="12.75" customHeight="1" x14ac:dyDescent="0.2">
      <c r="B11458" s="11" t="s">
        <v>13</v>
      </c>
      <c r="C11458" s="17" t="s">
        <v>2644</v>
      </c>
      <c r="D11458" s="2"/>
    </row>
    <row r="11459" spans="1:4" ht="25.5" customHeight="1" x14ac:dyDescent="0.2">
      <c r="B11459" s="11" t="s">
        <v>2603</v>
      </c>
      <c r="C11459" s="17" t="s">
        <v>2971</v>
      </c>
      <c r="D11459" s="2"/>
    </row>
    <row r="11460" spans="1:4" ht="12.75" customHeight="1" x14ac:dyDescent="0.2">
      <c r="B11460" s="11" t="s">
        <v>2605</v>
      </c>
      <c r="C11460" s="17" t="s">
        <v>14</v>
      </c>
      <c r="D11460" s="2"/>
    </row>
    <row r="11461" spans="1:4" ht="12.75" customHeight="1" x14ac:dyDescent="0.2">
      <c r="B11461" s="11" t="s">
        <v>2606</v>
      </c>
      <c r="C11461" s="16" t="s">
        <v>19</v>
      </c>
      <c r="D11461" s="2"/>
    </row>
    <row r="11462" spans="1:4" ht="12.75" customHeight="1" x14ac:dyDescent="0.2">
      <c r="B11462" s="2"/>
      <c r="C11462" s="15"/>
      <c r="D11462" s="2"/>
    </row>
    <row r="11463" spans="1:4" ht="12.75" customHeight="1" x14ac:dyDescent="0.2">
      <c r="B11463" s="2"/>
      <c r="C11463" s="15"/>
      <c r="D11463" s="2"/>
    </row>
    <row r="11464" spans="1:4" ht="12.75" customHeight="1" x14ac:dyDescent="0.2">
      <c r="A11464" s="13" t="s">
        <v>4297</v>
      </c>
      <c r="C11464" s="12"/>
      <c r="D11464" s="2"/>
    </row>
    <row r="11465" spans="1:4" ht="12.75" customHeight="1" x14ac:dyDescent="0.2">
      <c r="A11465" s="11"/>
      <c r="B11465" s="2"/>
      <c r="C11465" s="15"/>
      <c r="D11465" s="2"/>
    </row>
    <row r="11466" spans="1:4" ht="12.75" customHeight="1" x14ac:dyDescent="0.2">
      <c r="B11466" s="11" t="s">
        <v>0</v>
      </c>
      <c r="C11466" s="17" t="s">
        <v>245</v>
      </c>
      <c r="D11466" s="2"/>
    </row>
    <row r="11467" spans="1:4" ht="12.75" customHeight="1" x14ac:dyDescent="0.2">
      <c r="B11467" s="11" t="s">
        <v>2599</v>
      </c>
      <c r="C11467" s="17" t="s">
        <v>4299</v>
      </c>
      <c r="D11467" s="2"/>
    </row>
    <row r="11468" spans="1:4" ht="25.5" customHeight="1" x14ac:dyDescent="0.2">
      <c r="B11468" s="11" t="s">
        <v>2600</v>
      </c>
      <c r="C11468" s="17" t="s">
        <v>4378</v>
      </c>
      <c r="D11468" s="2"/>
    </row>
    <row r="11469" spans="1:4" ht="25.5" customHeight="1" x14ac:dyDescent="0.2">
      <c r="B11469" s="11" t="s">
        <v>2601</v>
      </c>
      <c r="C11469" s="17"/>
      <c r="D11469" s="2"/>
    </row>
    <row r="11470" spans="1:4" ht="12.75" customHeight="1" x14ac:dyDescent="0.2">
      <c r="B11470" s="11" t="s">
        <v>16</v>
      </c>
      <c r="C11470" s="17"/>
      <c r="D11470" s="2"/>
    </row>
    <row r="11471" spans="1:4" ht="12.75" customHeight="1" x14ac:dyDescent="0.2">
      <c r="B11471" s="11" t="s">
        <v>13</v>
      </c>
      <c r="C11471" s="17" t="s">
        <v>2602</v>
      </c>
      <c r="D11471" s="2"/>
    </row>
    <row r="11472" spans="1:4" ht="25.5" customHeight="1" x14ac:dyDescent="0.2">
      <c r="B11472" s="11" t="s">
        <v>2603</v>
      </c>
      <c r="C11472" s="17" t="s">
        <v>2971</v>
      </c>
      <c r="D11472" s="2"/>
    </row>
    <row r="11473" spans="1:4" ht="12.75" customHeight="1" x14ac:dyDescent="0.2">
      <c r="B11473" s="11" t="s">
        <v>2605</v>
      </c>
      <c r="C11473" s="17" t="s">
        <v>14</v>
      </c>
      <c r="D11473" s="2"/>
    </row>
    <row r="11474" spans="1:4" ht="12.75" customHeight="1" x14ac:dyDescent="0.2">
      <c r="B11474" s="11" t="s">
        <v>2606</v>
      </c>
      <c r="C11474" s="16" t="s">
        <v>19</v>
      </c>
      <c r="D11474" s="2"/>
    </row>
    <row r="11475" spans="1:4" ht="12.75" customHeight="1" x14ac:dyDescent="0.2">
      <c r="B11475" s="2"/>
      <c r="C11475" s="15"/>
      <c r="D11475" s="2"/>
    </row>
    <row r="11476" spans="1:4" ht="12.75" customHeight="1" x14ac:dyDescent="0.2">
      <c r="B11476" s="2"/>
      <c r="C11476" s="15"/>
      <c r="D11476" s="2"/>
    </row>
    <row r="11477" spans="1:4" ht="12.75" customHeight="1" x14ac:dyDescent="0.2">
      <c r="A11477" s="13" t="s">
        <v>4267</v>
      </c>
      <c r="C11477" s="12"/>
      <c r="D11477" s="2"/>
    </row>
    <row r="11478" spans="1:4" ht="12.75" customHeight="1" x14ac:dyDescent="0.2">
      <c r="A11478" s="11"/>
      <c r="B11478" s="2"/>
      <c r="C11478" s="15"/>
      <c r="D11478" s="2"/>
    </row>
    <row r="11479" spans="1:4" ht="12.75" customHeight="1" x14ac:dyDescent="0.2">
      <c r="B11479" s="11" t="s">
        <v>0</v>
      </c>
      <c r="C11479" s="17" t="s">
        <v>671</v>
      </c>
      <c r="D11479" s="2"/>
    </row>
    <row r="11480" spans="1:4" ht="12.75" customHeight="1" x14ac:dyDescent="0.2">
      <c r="B11480" s="11" t="s">
        <v>2599</v>
      </c>
      <c r="C11480" s="17" t="s">
        <v>4268</v>
      </c>
      <c r="D11480" s="2"/>
    </row>
    <row r="11481" spans="1:4" ht="25.5" customHeight="1" x14ac:dyDescent="0.2">
      <c r="B11481" s="11" t="s">
        <v>2600</v>
      </c>
      <c r="C11481" s="17" t="s">
        <v>4379</v>
      </c>
      <c r="D11481" s="2"/>
    </row>
    <row r="11482" spans="1:4" ht="25.5" customHeight="1" x14ac:dyDescent="0.2">
      <c r="B11482" s="11" t="s">
        <v>2601</v>
      </c>
      <c r="C11482" s="17"/>
      <c r="D11482" s="2"/>
    </row>
    <row r="11483" spans="1:4" ht="12.75" customHeight="1" x14ac:dyDescent="0.2">
      <c r="B11483" s="11" t="s">
        <v>16</v>
      </c>
      <c r="C11483" s="17"/>
      <c r="D11483" s="2"/>
    </row>
    <row r="11484" spans="1:4" ht="12.75" customHeight="1" x14ac:dyDescent="0.2">
      <c r="B11484" s="11" t="s">
        <v>13</v>
      </c>
      <c r="C11484" s="17" t="s">
        <v>2644</v>
      </c>
      <c r="D11484" s="2"/>
    </row>
    <row r="11485" spans="1:4" ht="25.5" customHeight="1" x14ac:dyDescent="0.2">
      <c r="B11485" s="11" t="s">
        <v>2603</v>
      </c>
      <c r="C11485" s="17" t="s">
        <v>2971</v>
      </c>
      <c r="D11485" s="2"/>
    </row>
    <row r="11486" spans="1:4" ht="12.75" customHeight="1" x14ac:dyDescent="0.2">
      <c r="B11486" s="11" t="s">
        <v>2605</v>
      </c>
      <c r="C11486" s="17" t="s">
        <v>14</v>
      </c>
      <c r="D11486" s="2"/>
    </row>
    <row r="11487" spans="1:4" ht="12.75" customHeight="1" x14ac:dyDescent="0.2">
      <c r="B11487" s="11" t="s">
        <v>2606</v>
      </c>
      <c r="C11487" s="16" t="s">
        <v>19</v>
      </c>
      <c r="D11487" s="2"/>
    </row>
    <row r="11488" spans="1:4" ht="12.75" customHeight="1" x14ac:dyDescent="0.2">
      <c r="B11488" s="2"/>
      <c r="C11488" s="15"/>
      <c r="D11488" s="2"/>
    </row>
    <row r="11489" spans="1:4" ht="12.75" customHeight="1" x14ac:dyDescent="0.2">
      <c r="B11489" s="2"/>
      <c r="C11489" s="15"/>
      <c r="D11489" s="2"/>
    </row>
    <row r="11490" spans="1:4" ht="12.75" customHeight="1" x14ac:dyDescent="0.2">
      <c r="A11490" s="13" t="s">
        <v>4270</v>
      </c>
      <c r="C11490" s="12"/>
      <c r="D11490" s="2"/>
    </row>
    <row r="11491" spans="1:4" ht="12.75" customHeight="1" x14ac:dyDescent="0.2">
      <c r="A11491" s="11"/>
      <c r="B11491" s="2"/>
      <c r="C11491" s="15"/>
      <c r="D11491" s="2"/>
    </row>
    <row r="11492" spans="1:4" ht="12.75" customHeight="1" x14ac:dyDescent="0.2">
      <c r="B11492" s="11" t="s">
        <v>0</v>
      </c>
      <c r="C11492" s="17" t="s">
        <v>671</v>
      </c>
      <c r="D11492" s="2"/>
    </row>
    <row r="11493" spans="1:4" ht="12.75" customHeight="1" x14ac:dyDescent="0.2">
      <c r="B11493" s="11" t="s">
        <v>2599</v>
      </c>
      <c r="C11493" s="17" t="s">
        <v>4271</v>
      </c>
      <c r="D11493" s="2"/>
    </row>
    <row r="11494" spans="1:4" ht="25.5" customHeight="1" x14ac:dyDescent="0.2">
      <c r="B11494" s="11" t="s">
        <v>2600</v>
      </c>
      <c r="C11494" s="17" t="s">
        <v>4380</v>
      </c>
      <c r="D11494" s="2"/>
    </row>
    <row r="11495" spans="1:4" ht="25.5" customHeight="1" x14ac:dyDescent="0.2">
      <c r="B11495" s="11" t="s">
        <v>2601</v>
      </c>
      <c r="C11495" s="17"/>
      <c r="D11495" s="2"/>
    </row>
    <row r="11496" spans="1:4" ht="12.75" customHeight="1" x14ac:dyDescent="0.2">
      <c r="B11496" s="11" t="s">
        <v>16</v>
      </c>
      <c r="C11496" s="17"/>
      <c r="D11496" s="2"/>
    </row>
    <row r="11497" spans="1:4" ht="12.75" customHeight="1" x14ac:dyDescent="0.2">
      <c r="B11497" s="11" t="s">
        <v>13</v>
      </c>
      <c r="C11497" s="17" t="s">
        <v>2602</v>
      </c>
      <c r="D11497" s="2"/>
    </row>
    <row r="11498" spans="1:4" ht="25.5" customHeight="1" x14ac:dyDescent="0.2">
      <c r="B11498" s="11" t="s">
        <v>2603</v>
      </c>
      <c r="C11498" s="17" t="s">
        <v>2971</v>
      </c>
      <c r="D11498" s="2"/>
    </row>
    <row r="11499" spans="1:4" ht="12.75" customHeight="1" x14ac:dyDescent="0.2">
      <c r="B11499" s="11" t="s">
        <v>2605</v>
      </c>
      <c r="C11499" s="17" t="s">
        <v>14</v>
      </c>
      <c r="D11499" s="2"/>
    </row>
    <row r="11500" spans="1:4" ht="12.75" customHeight="1" x14ac:dyDescent="0.2">
      <c r="B11500" s="11" t="s">
        <v>2606</v>
      </c>
      <c r="C11500" s="16" t="s">
        <v>19</v>
      </c>
      <c r="D11500" s="2"/>
    </row>
    <row r="11501" spans="1:4" ht="12.75" customHeight="1" x14ac:dyDescent="0.2">
      <c r="B11501" s="2"/>
      <c r="C11501" s="15"/>
      <c r="D11501" s="2"/>
    </row>
    <row r="11502" spans="1:4" ht="12.75" customHeight="1" x14ac:dyDescent="0.2">
      <c r="B11502" s="2"/>
      <c r="C11502" s="15"/>
      <c r="D11502" s="2"/>
    </row>
    <row r="11503" spans="1:4" ht="12.75" customHeight="1" x14ac:dyDescent="0.2">
      <c r="A11503" s="13" t="s">
        <v>4381</v>
      </c>
      <c r="C11503" s="12"/>
    </row>
    <row r="11504" spans="1:4" ht="12.75" customHeight="1" x14ac:dyDescent="0.2">
      <c r="A11504" s="11"/>
      <c r="B11504" s="2"/>
      <c r="C11504" s="15"/>
      <c r="D11504" s="2"/>
    </row>
    <row r="11505" spans="1:4" ht="12.75" customHeight="1" x14ac:dyDescent="0.2">
      <c r="B11505" s="11" t="s">
        <v>0</v>
      </c>
      <c r="C11505" s="11" t="s">
        <v>671</v>
      </c>
    </row>
    <row r="11506" spans="1:4" ht="12.75" customHeight="1" x14ac:dyDescent="0.2">
      <c r="B11506" s="11" t="s">
        <v>2599</v>
      </c>
      <c r="C11506" s="11" t="s">
        <v>1268</v>
      </c>
    </row>
    <row r="11507" spans="1:4" ht="25.5" customHeight="1" x14ac:dyDescent="0.2">
      <c r="B11507" s="11" t="s">
        <v>2600</v>
      </c>
      <c r="C11507" s="11" t="s">
        <v>4382</v>
      </c>
    </row>
    <row r="11508" spans="1:4" ht="25.5" customHeight="1" x14ac:dyDescent="0.2">
      <c r="B11508" s="11" t="s">
        <v>2601</v>
      </c>
      <c r="C11508" s="11"/>
    </row>
    <row r="11509" spans="1:4" ht="12.75" customHeight="1" x14ac:dyDescent="0.2">
      <c r="B11509" s="11" t="s">
        <v>16</v>
      </c>
      <c r="C11509" s="11"/>
    </row>
    <row r="11510" spans="1:4" ht="12.75" customHeight="1" x14ac:dyDescent="0.2">
      <c r="B11510" s="11" t="s">
        <v>13</v>
      </c>
      <c r="C11510" s="11" t="s">
        <v>2602</v>
      </c>
    </row>
    <row r="11511" spans="1:4" ht="12.75" customHeight="1" x14ac:dyDescent="0.2">
      <c r="B11511" s="11" t="s">
        <v>2603</v>
      </c>
      <c r="C11511" s="11" t="s">
        <v>2604</v>
      </c>
    </row>
    <row r="11512" spans="1:4" ht="12.75" customHeight="1" x14ac:dyDescent="0.2">
      <c r="B11512" s="11" t="s">
        <v>2605</v>
      </c>
      <c r="C11512" s="11" t="s">
        <v>24</v>
      </c>
    </row>
    <row r="11513" spans="1:4" ht="25.5" customHeight="1" x14ac:dyDescent="0.2">
      <c r="B11513" s="11" t="s">
        <v>2606</v>
      </c>
      <c r="C11513" s="16" t="s">
        <v>44</v>
      </c>
      <c r="D11513" s="6" t="str">
        <f>HYPERLINK("javascript:void(0)","lélegző sarokkő")</f>
        <v>lélegző sarokkő</v>
      </c>
    </row>
    <row r="11514" spans="1:4" ht="12.75" customHeight="1" x14ac:dyDescent="0.2">
      <c r="C11514" s="16" t="s">
        <v>265</v>
      </c>
      <c r="D11514" s="6" t="str">
        <f>HYPERLINK("javascript:void(0)","kincs")</f>
        <v>kincs</v>
      </c>
    </row>
    <row r="11515" spans="1:4" ht="12.75" customHeight="1" x14ac:dyDescent="0.2">
      <c r="B11515" s="2"/>
      <c r="C11515" s="15"/>
      <c r="D11515" s="2"/>
    </row>
    <row r="11516" spans="1:4" ht="12.75" customHeight="1" x14ac:dyDescent="0.2">
      <c r="B11516" s="2"/>
      <c r="C11516" s="15"/>
      <c r="D11516" s="2"/>
    </row>
    <row r="11517" spans="1:4" ht="12.75" customHeight="1" x14ac:dyDescent="0.2">
      <c r="A11517" s="13" t="s">
        <v>4383</v>
      </c>
      <c r="C11517" s="12"/>
    </row>
    <row r="11518" spans="1:4" ht="12.75" customHeight="1" x14ac:dyDescent="0.2">
      <c r="A11518" s="11"/>
      <c r="B11518" s="2"/>
      <c r="C11518" s="15"/>
      <c r="D11518" s="2"/>
    </row>
    <row r="11519" spans="1:4" ht="12.75" customHeight="1" x14ac:dyDescent="0.2">
      <c r="B11519" s="11" t="s">
        <v>0</v>
      </c>
      <c r="C11519" s="11" t="s">
        <v>671</v>
      </c>
    </row>
    <row r="11520" spans="1:4" ht="12.75" customHeight="1" x14ac:dyDescent="0.2">
      <c r="B11520" s="11" t="s">
        <v>2599</v>
      </c>
      <c r="C11520" s="11" t="s">
        <v>4384</v>
      </c>
    </row>
    <row r="11521" spans="1:4" ht="25.5" customHeight="1" x14ac:dyDescent="0.2">
      <c r="B11521" s="11" t="s">
        <v>2600</v>
      </c>
      <c r="C11521" s="11" t="s">
        <v>4385</v>
      </c>
    </row>
    <row r="11522" spans="1:4" ht="25.5" customHeight="1" x14ac:dyDescent="0.2">
      <c r="B11522" s="11" t="s">
        <v>2601</v>
      </c>
      <c r="C11522" s="11"/>
    </row>
    <row r="11523" spans="1:4" ht="12.75" customHeight="1" x14ac:dyDescent="0.2">
      <c r="B11523" s="11" t="s">
        <v>16</v>
      </c>
      <c r="C11523" s="11"/>
    </row>
    <row r="11524" spans="1:4" ht="12.75" customHeight="1" x14ac:dyDescent="0.2">
      <c r="B11524" s="11" t="s">
        <v>13</v>
      </c>
      <c r="C11524" s="11" t="s">
        <v>2644</v>
      </c>
    </row>
    <row r="11525" spans="1:4" ht="12.75" customHeight="1" x14ac:dyDescent="0.2">
      <c r="B11525" s="11" t="s">
        <v>2603</v>
      </c>
      <c r="C11525" s="11" t="s">
        <v>2604</v>
      </c>
    </row>
    <row r="11526" spans="1:4" ht="12.75" customHeight="1" x14ac:dyDescent="0.2">
      <c r="B11526" s="11" t="s">
        <v>2605</v>
      </c>
      <c r="C11526" s="11" t="s">
        <v>14</v>
      </c>
    </row>
    <row r="11527" spans="1:4" ht="12.75" customHeight="1" x14ac:dyDescent="0.2">
      <c r="B11527" s="11" t="s">
        <v>2606</v>
      </c>
      <c r="C11527" s="16" t="s">
        <v>44</v>
      </c>
      <c r="D11527" s="6" t="str">
        <f>HYPERLINK("javascript:void(0)","elemi köpet")</f>
        <v>elemi köpet</v>
      </c>
    </row>
    <row r="11528" spans="1:4" ht="12.75" customHeight="1" x14ac:dyDescent="0.2">
      <c r="C11528" s="16" t="s">
        <v>117</v>
      </c>
      <c r="D11528" s="6" t="str">
        <f>HYPERLINK("javascript:void(0)","kincs")</f>
        <v>kincs</v>
      </c>
    </row>
    <row r="11529" spans="1:4" ht="12.75" customHeight="1" x14ac:dyDescent="0.2">
      <c r="B11529" s="2"/>
      <c r="C11529" s="15"/>
      <c r="D11529" s="2"/>
    </row>
    <row r="11530" spans="1:4" ht="12.75" customHeight="1" x14ac:dyDescent="0.2">
      <c r="B11530" s="2"/>
      <c r="C11530" s="15"/>
      <c r="D11530" s="2"/>
    </row>
    <row r="11531" spans="1:4" ht="12.75" customHeight="1" x14ac:dyDescent="0.2">
      <c r="A11531" s="13" t="s">
        <v>4386</v>
      </c>
      <c r="C11531" s="12"/>
    </row>
    <row r="11532" spans="1:4" ht="12.75" customHeight="1" x14ac:dyDescent="0.2">
      <c r="A11532" s="11"/>
      <c r="B11532" s="2"/>
      <c r="C11532" s="15"/>
      <c r="D11532" s="2"/>
    </row>
    <row r="11533" spans="1:4" ht="12.75" customHeight="1" x14ac:dyDescent="0.2">
      <c r="B11533" s="11" t="s">
        <v>0</v>
      </c>
      <c r="C11533" s="11" t="s">
        <v>671</v>
      </c>
    </row>
    <row r="11534" spans="1:4" ht="12.75" customHeight="1" x14ac:dyDescent="0.2">
      <c r="B11534" s="11" t="s">
        <v>2599</v>
      </c>
      <c r="C11534" s="11" t="s">
        <v>4387</v>
      </c>
    </row>
    <row r="11535" spans="1:4" ht="25.5" customHeight="1" x14ac:dyDescent="0.2">
      <c r="B11535" s="11" t="s">
        <v>2600</v>
      </c>
      <c r="C11535" s="11" t="s">
        <v>4388</v>
      </c>
    </row>
    <row r="11536" spans="1:4" ht="25.5" customHeight="1" x14ac:dyDescent="0.2">
      <c r="B11536" s="11" t="s">
        <v>2601</v>
      </c>
      <c r="C11536" s="11"/>
    </row>
    <row r="11537" spans="1:4" ht="12.75" customHeight="1" x14ac:dyDescent="0.2">
      <c r="B11537" s="11" t="s">
        <v>16</v>
      </c>
      <c r="C11537" s="11"/>
    </row>
    <row r="11538" spans="1:4" ht="12.75" customHeight="1" x14ac:dyDescent="0.2">
      <c r="B11538" s="11" t="s">
        <v>13</v>
      </c>
      <c r="C11538" s="11" t="s">
        <v>2644</v>
      </c>
    </row>
    <row r="11539" spans="1:4" ht="12.75" customHeight="1" x14ac:dyDescent="0.2">
      <c r="B11539" s="11" t="s">
        <v>2603</v>
      </c>
      <c r="C11539" s="11" t="s">
        <v>2604</v>
      </c>
    </row>
    <row r="11540" spans="1:4" ht="12.75" customHeight="1" x14ac:dyDescent="0.2">
      <c r="B11540" s="11" t="s">
        <v>2605</v>
      </c>
      <c r="C11540" s="11" t="s">
        <v>14</v>
      </c>
    </row>
    <row r="11541" spans="1:4" ht="12.75" customHeight="1" x14ac:dyDescent="0.2">
      <c r="B11541" s="11" t="s">
        <v>2606</v>
      </c>
      <c r="C11541" s="16" t="s">
        <v>44</v>
      </c>
      <c r="D11541" s="6" t="str">
        <f>HYPERLINK("javascript:void(0)","elemi köpet")</f>
        <v>elemi köpet</v>
      </c>
    </row>
    <row r="11542" spans="1:4" ht="12.75" customHeight="1" x14ac:dyDescent="0.2">
      <c r="C11542" s="16" t="s">
        <v>331</v>
      </c>
      <c r="D11542" s="6" t="str">
        <f>HYPERLINK("javascript:void(0)","kincs")</f>
        <v>kincs</v>
      </c>
    </row>
    <row r="11543" spans="1:4" ht="12.75" customHeight="1" x14ac:dyDescent="0.2">
      <c r="B11543" s="2"/>
      <c r="C11543" s="15"/>
      <c r="D11543" s="2"/>
    </row>
    <row r="11544" spans="1:4" ht="12.75" customHeight="1" x14ac:dyDescent="0.2">
      <c r="B11544" s="2"/>
      <c r="C11544" s="15"/>
      <c r="D11544" s="2"/>
    </row>
    <row r="11545" spans="1:4" ht="12.75" customHeight="1" x14ac:dyDescent="0.2">
      <c r="A11545" s="13" t="s">
        <v>4389</v>
      </c>
      <c r="C11545" s="12"/>
    </row>
    <row r="11546" spans="1:4" ht="12.75" customHeight="1" x14ac:dyDescent="0.2">
      <c r="A11546" s="11"/>
      <c r="B11546" s="2"/>
      <c r="C11546" s="15"/>
      <c r="D11546" s="2"/>
    </row>
    <row r="11547" spans="1:4" ht="12.75" customHeight="1" x14ac:dyDescent="0.2">
      <c r="B11547" s="11" t="s">
        <v>0</v>
      </c>
      <c r="C11547" s="11" t="s">
        <v>671</v>
      </c>
    </row>
    <row r="11548" spans="1:4" ht="12.75" customHeight="1" x14ac:dyDescent="0.2">
      <c r="B11548" s="11" t="s">
        <v>2599</v>
      </c>
      <c r="C11548" s="11" t="s">
        <v>4390</v>
      </c>
    </row>
    <row r="11549" spans="1:4" ht="25.5" customHeight="1" x14ac:dyDescent="0.2">
      <c r="B11549" s="11" t="s">
        <v>2600</v>
      </c>
      <c r="C11549" s="11" t="s">
        <v>4391</v>
      </c>
    </row>
    <row r="11550" spans="1:4" ht="25.5" customHeight="1" x14ac:dyDescent="0.2">
      <c r="B11550" s="11" t="s">
        <v>2601</v>
      </c>
      <c r="C11550" s="11"/>
    </row>
    <row r="11551" spans="1:4" ht="12.75" customHeight="1" x14ac:dyDescent="0.2">
      <c r="B11551" s="11" t="s">
        <v>16</v>
      </c>
      <c r="C11551" s="11"/>
    </row>
    <row r="11552" spans="1:4" ht="12.75" customHeight="1" x14ac:dyDescent="0.2">
      <c r="B11552" s="11" t="s">
        <v>13</v>
      </c>
      <c r="C11552" s="11" t="s">
        <v>2644</v>
      </c>
    </row>
    <row r="11553" spans="1:4" ht="12.75" customHeight="1" x14ac:dyDescent="0.2">
      <c r="B11553" s="11" t="s">
        <v>2603</v>
      </c>
      <c r="C11553" s="11" t="s">
        <v>2604</v>
      </c>
    </row>
    <row r="11554" spans="1:4" ht="12.75" customHeight="1" x14ac:dyDescent="0.2">
      <c r="B11554" s="11" t="s">
        <v>2605</v>
      </c>
      <c r="C11554" s="11" t="s">
        <v>14</v>
      </c>
    </row>
    <row r="11555" spans="1:4" ht="12.75" customHeight="1" x14ac:dyDescent="0.2">
      <c r="B11555" s="11" t="s">
        <v>2606</v>
      </c>
      <c r="C11555" s="16" t="s">
        <v>44</v>
      </c>
      <c r="D11555" s="6" t="str">
        <f>HYPERLINK("javascript:void(0)","elemi köpet")</f>
        <v>elemi köpet</v>
      </c>
    </row>
    <row r="11556" spans="1:4" ht="12.75" customHeight="1" x14ac:dyDescent="0.2">
      <c r="C11556" s="16" t="s">
        <v>67</v>
      </c>
      <c r="D11556" s="6" t="str">
        <f>HYPERLINK("javascript:void(0)","kincs")</f>
        <v>kincs</v>
      </c>
    </row>
    <row r="11557" spans="1:4" ht="12.75" customHeight="1" x14ac:dyDescent="0.2">
      <c r="B11557" s="2"/>
      <c r="C11557" s="15"/>
      <c r="D11557" s="2"/>
    </row>
    <row r="11558" spans="1:4" ht="12.75" customHeight="1" x14ac:dyDescent="0.2">
      <c r="B11558" s="2"/>
      <c r="C11558" s="15"/>
      <c r="D11558" s="2"/>
    </row>
    <row r="11559" spans="1:4" ht="12.75" customHeight="1" x14ac:dyDescent="0.2">
      <c r="A11559" s="13" t="s">
        <v>4392</v>
      </c>
      <c r="C11559" s="12"/>
    </row>
    <row r="11560" spans="1:4" ht="12.75" customHeight="1" x14ac:dyDescent="0.2">
      <c r="A11560" s="11"/>
      <c r="B11560" s="2"/>
      <c r="C11560" s="15"/>
      <c r="D11560" s="2"/>
    </row>
    <row r="11561" spans="1:4" ht="12.75" customHeight="1" x14ac:dyDescent="0.2">
      <c r="B11561" s="11" t="s">
        <v>0</v>
      </c>
      <c r="C11561" s="11" t="s">
        <v>671</v>
      </c>
    </row>
    <row r="11562" spans="1:4" ht="12.75" customHeight="1" x14ac:dyDescent="0.2">
      <c r="B11562" s="11" t="s">
        <v>2599</v>
      </c>
      <c r="C11562" s="11" t="s">
        <v>4393</v>
      </c>
    </row>
    <row r="11563" spans="1:4" ht="25.5" customHeight="1" x14ac:dyDescent="0.2">
      <c r="B11563" s="11" t="s">
        <v>2600</v>
      </c>
      <c r="C11563" s="11" t="s">
        <v>4394</v>
      </c>
    </row>
    <row r="11564" spans="1:4" ht="25.5" customHeight="1" x14ac:dyDescent="0.2">
      <c r="B11564" s="11" t="s">
        <v>2601</v>
      </c>
      <c r="C11564" s="11"/>
    </row>
    <row r="11565" spans="1:4" ht="12.75" customHeight="1" x14ac:dyDescent="0.2">
      <c r="B11565" s="11" t="s">
        <v>16</v>
      </c>
      <c r="C11565" s="11"/>
    </row>
    <row r="11566" spans="1:4" ht="12.75" customHeight="1" x14ac:dyDescent="0.2">
      <c r="B11566" s="11" t="s">
        <v>13</v>
      </c>
      <c r="C11566" s="11" t="s">
        <v>2644</v>
      </c>
    </row>
    <row r="11567" spans="1:4" ht="12.75" customHeight="1" x14ac:dyDescent="0.2">
      <c r="B11567" s="11" t="s">
        <v>2603</v>
      </c>
      <c r="C11567" s="11" t="s">
        <v>2604</v>
      </c>
    </row>
    <row r="11568" spans="1:4" ht="12.75" customHeight="1" x14ac:dyDescent="0.2">
      <c r="B11568" s="11" t="s">
        <v>2605</v>
      </c>
      <c r="C11568" s="11" t="s">
        <v>14</v>
      </c>
    </row>
    <row r="11569" spans="1:4" ht="12.75" customHeight="1" x14ac:dyDescent="0.2">
      <c r="B11569" s="11" t="s">
        <v>2606</v>
      </c>
      <c r="C11569" s="16" t="s">
        <v>44</v>
      </c>
      <c r="D11569" s="6" t="str">
        <f>HYPERLINK("javascript:void(0)","elemi köpet")</f>
        <v>elemi köpet</v>
      </c>
    </row>
    <row r="11570" spans="1:4" ht="12.75" customHeight="1" x14ac:dyDescent="0.2">
      <c r="C11570" s="16" t="s">
        <v>196</v>
      </c>
      <c r="D11570" s="6" t="str">
        <f>HYPERLINK("javascript:void(0)","kincs")</f>
        <v>kincs</v>
      </c>
    </row>
    <row r="11571" spans="1:4" ht="12.75" customHeight="1" x14ac:dyDescent="0.2">
      <c r="B11571" s="2"/>
      <c r="C11571" s="15"/>
      <c r="D11571" s="2"/>
    </row>
    <row r="11572" spans="1:4" ht="12.75" customHeight="1" x14ac:dyDescent="0.2">
      <c r="B11572" s="2"/>
      <c r="C11572" s="15"/>
      <c r="D11572" s="2"/>
    </row>
    <row r="11573" spans="1:4" ht="12.75" customHeight="1" x14ac:dyDescent="0.2">
      <c r="A11573" s="13" t="s">
        <v>4395</v>
      </c>
      <c r="C11573" s="12"/>
    </row>
    <row r="11574" spans="1:4" ht="12.75" customHeight="1" x14ac:dyDescent="0.2">
      <c r="A11574" s="11"/>
      <c r="B11574" s="2"/>
      <c r="C11574" s="15"/>
      <c r="D11574" s="2"/>
    </row>
    <row r="11575" spans="1:4" ht="12.75" customHeight="1" x14ac:dyDescent="0.2">
      <c r="B11575" s="11" t="s">
        <v>0</v>
      </c>
      <c r="C11575" s="11" t="s">
        <v>671</v>
      </c>
    </row>
    <row r="11576" spans="1:4" ht="12.75" customHeight="1" x14ac:dyDescent="0.2">
      <c r="B11576" s="11" t="s">
        <v>2599</v>
      </c>
      <c r="C11576" s="11" t="s">
        <v>4396</v>
      </c>
    </row>
    <row r="11577" spans="1:4" ht="25.5" customHeight="1" x14ac:dyDescent="0.2">
      <c r="B11577" s="11" t="s">
        <v>2600</v>
      </c>
      <c r="C11577" s="11" t="s">
        <v>4397</v>
      </c>
    </row>
    <row r="11578" spans="1:4" ht="25.5" customHeight="1" x14ac:dyDescent="0.2">
      <c r="B11578" s="11" t="s">
        <v>2601</v>
      </c>
      <c r="C11578" s="11"/>
    </row>
    <row r="11579" spans="1:4" ht="12.75" customHeight="1" x14ac:dyDescent="0.2">
      <c r="B11579" s="11" t="s">
        <v>16</v>
      </c>
      <c r="C11579" s="11"/>
    </row>
    <row r="11580" spans="1:4" ht="12.75" customHeight="1" x14ac:dyDescent="0.2">
      <c r="B11580" s="11" t="s">
        <v>13</v>
      </c>
      <c r="C11580" s="11" t="s">
        <v>2602</v>
      </c>
    </row>
    <row r="11581" spans="1:4" ht="12.75" customHeight="1" x14ac:dyDescent="0.2">
      <c r="B11581" s="11" t="s">
        <v>2603</v>
      </c>
      <c r="C11581" s="11" t="s">
        <v>2604</v>
      </c>
    </row>
    <row r="11582" spans="1:4" ht="12.75" customHeight="1" x14ac:dyDescent="0.2">
      <c r="B11582" s="11" t="s">
        <v>2605</v>
      </c>
      <c r="C11582" s="11" t="s">
        <v>24</v>
      </c>
    </row>
    <row r="11583" spans="1:4" ht="12.75" customHeight="1" x14ac:dyDescent="0.2">
      <c r="B11583" s="11" t="s">
        <v>2606</v>
      </c>
      <c r="C11583" s="16" t="s">
        <v>44</v>
      </c>
      <c r="D11583" s="6" t="str">
        <f>HYPERLINK("javascript:void(0)","rúna")</f>
        <v>rúna</v>
      </c>
    </row>
    <row r="11584" spans="1:4" ht="12.75" customHeight="1" x14ac:dyDescent="0.2">
      <c r="C11584" s="16" t="s">
        <v>68</v>
      </c>
      <c r="D11584" s="6" t="str">
        <f>HYPERLINK("javascript:void(0)","kincs")</f>
        <v>kincs</v>
      </c>
    </row>
    <row r="11585" spans="1:4" ht="12.75" customHeight="1" x14ac:dyDescent="0.2">
      <c r="B11585" s="2"/>
      <c r="C11585" s="15"/>
      <c r="D11585" s="2"/>
    </row>
    <row r="11586" spans="1:4" ht="12.75" customHeight="1" x14ac:dyDescent="0.2">
      <c r="B11586" s="2"/>
      <c r="C11586" s="15"/>
      <c r="D11586" s="2"/>
    </row>
    <row r="11587" spans="1:4" ht="12.75" customHeight="1" x14ac:dyDescent="0.2">
      <c r="A11587" s="13" t="s">
        <v>4398</v>
      </c>
      <c r="C11587" s="12"/>
    </row>
    <row r="11588" spans="1:4" ht="12.75" customHeight="1" x14ac:dyDescent="0.2">
      <c r="A11588" s="11"/>
      <c r="B11588" s="2"/>
      <c r="C11588" s="15"/>
      <c r="D11588" s="2"/>
    </row>
    <row r="11589" spans="1:4" ht="12.75" customHeight="1" x14ac:dyDescent="0.2">
      <c r="B11589" s="11" t="s">
        <v>0</v>
      </c>
      <c r="C11589" s="11" t="s">
        <v>671</v>
      </c>
    </row>
    <row r="11590" spans="1:4" ht="12.75" customHeight="1" x14ac:dyDescent="0.2">
      <c r="B11590" s="11" t="s">
        <v>2599</v>
      </c>
      <c r="C11590" s="11" t="s">
        <v>4399</v>
      </c>
    </row>
    <row r="11591" spans="1:4" ht="25.5" customHeight="1" x14ac:dyDescent="0.2">
      <c r="B11591" s="11" t="s">
        <v>2600</v>
      </c>
      <c r="C11591" s="11" t="s">
        <v>4400</v>
      </c>
    </row>
    <row r="11592" spans="1:4" ht="25.5" customHeight="1" x14ac:dyDescent="0.2">
      <c r="B11592" s="11" t="s">
        <v>2601</v>
      </c>
      <c r="C11592" s="11"/>
    </row>
    <row r="11593" spans="1:4" ht="12.75" customHeight="1" x14ac:dyDescent="0.2">
      <c r="B11593" s="11" t="s">
        <v>16</v>
      </c>
      <c r="C11593" s="11"/>
    </row>
    <row r="11594" spans="1:4" ht="12.75" customHeight="1" x14ac:dyDescent="0.2">
      <c r="B11594" s="11" t="s">
        <v>13</v>
      </c>
      <c r="C11594" s="11" t="s">
        <v>2602</v>
      </c>
    </row>
    <row r="11595" spans="1:4" ht="12.75" customHeight="1" x14ac:dyDescent="0.2">
      <c r="B11595" s="11" t="s">
        <v>2603</v>
      </c>
      <c r="C11595" s="11" t="s">
        <v>2604</v>
      </c>
    </row>
    <row r="11596" spans="1:4" ht="12.75" customHeight="1" x14ac:dyDescent="0.2">
      <c r="B11596" s="11" t="s">
        <v>2605</v>
      </c>
      <c r="C11596" s="11" t="s">
        <v>24</v>
      </c>
    </row>
    <row r="11597" spans="1:4" ht="12.75" customHeight="1" x14ac:dyDescent="0.2">
      <c r="B11597" s="11" t="s">
        <v>2606</v>
      </c>
      <c r="C11597" s="16" t="s">
        <v>44</v>
      </c>
      <c r="D11597" s="6" t="str">
        <f>HYPERLINK("javascript:void(0)","betüvető")</f>
        <v>betüvető</v>
      </c>
    </row>
    <row r="11598" spans="1:4" ht="12.75" customHeight="1" x14ac:dyDescent="0.2">
      <c r="C11598" s="16" t="s">
        <v>67</v>
      </c>
      <c r="D11598" s="6" t="str">
        <f>HYPERLINK("javascript:void(0)","kincs")</f>
        <v>kincs</v>
      </c>
    </row>
    <row r="11599" spans="1:4" ht="12.75" customHeight="1" x14ac:dyDescent="0.2">
      <c r="B11599" s="2"/>
      <c r="C11599" s="15"/>
      <c r="D11599" s="2"/>
    </row>
    <row r="11600" spans="1:4" ht="12.75" customHeight="1" x14ac:dyDescent="0.2">
      <c r="B11600" s="2"/>
      <c r="C11600" s="15"/>
      <c r="D11600" s="2"/>
    </row>
    <row r="11601" spans="1:4" ht="12.75" customHeight="1" x14ac:dyDescent="0.2">
      <c r="A11601" s="13" t="s">
        <v>4401</v>
      </c>
      <c r="C11601" s="12"/>
    </row>
    <row r="11602" spans="1:4" ht="12.75" customHeight="1" x14ac:dyDescent="0.2">
      <c r="A11602" s="11"/>
      <c r="B11602" s="2"/>
      <c r="C11602" s="15"/>
      <c r="D11602" s="2"/>
    </row>
    <row r="11603" spans="1:4" ht="12.75" customHeight="1" x14ac:dyDescent="0.2">
      <c r="B11603" s="11" t="s">
        <v>0</v>
      </c>
      <c r="C11603" s="11" t="s">
        <v>671</v>
      </c>
    </row>
    <row r="11604" spans="1:4" ht="12.75" customHeight="1" x14ac:dyDescent="0.2">
      <c r="B11604" s="11" t="s">
        <v>2599</v>
      </c>
      <c r="C11604" s="11" t="s">
        <v>2487</v>
      </c>
    </row>
    <row r="11605" spans="1:4" ht="25.5" customHeight="1" x14ac:dyDescent="0.2">
      <c r="B11605" s="11" t="s">
        <v>2600</v>
      </c>
      <c r="C11605" s="11" t="s">
        <v>4402</v>
      </c>
    </row>
    <row r="11606" spans="1:4" ht="25.5" customHeight="1" x14ac:dyDescent="0.2">
      <c r="B11606" s="11" t="s">
        <v>2601</v>
      </c>
      <c r="C11606" s="11"/>
    </row>
    <row r="11607" spans="1:4" ht="12.75" customHeight="1" x14ac:dyDescent="0.2">
      <c r="B11607" s="11" t="s">
        <v>16</v>
      </c>
      <c r="C11607" s="11"/>
    </row>
    <row r="11608" spans="1:4" ht="12.75" customHeight="1" x14ac:dyDescent="0.2">
      <c r="B11608" s="11" t="s">
        <v>13</v>
      </c>
      <c r="C11608" s="11" t="s">
        <v>2602</v>
      </c>
    </row>
    <row r="11609" spans="1:4" ht="12.75" customHeight="1" x14ac:dyDescent="0.2">
      <c r="B11609" s="11" t="s">
        <v>2603</v>
      </c>
      <c r="C11609" s="11" t="s">
        <v>2604</v>
      </c>
    </row>
    <row r="11610" spans="1:4" ht="12.75" customHeight="1" x14ac:dyDescent="0.2">
      <c r="B11610" s="11" t="s">
        <v>2605</v>
      </c>
      <c r="C11610" s="11" t="s">
        <v>24</v>
      </c>
    </row>
    <row r="11611" spans="1:4" ht="12.75" customHeight="1" x14ac:dyDescent="0.2">
      <c r="B11611" s="11" t="s">
        <v>2606</v>
      </c>
      <c r="C11611" s="16" t="s">
        <v>44</v>
      </c>
      <c r="D11611" s="6" t="str">
        <f>HYPERLINK("javascript:void(0)","trolltartó")</f>
        <v>trolltartó</v>
      </c>
    </row>
    <row r="11612" spans="1:4" ht="12.75" customHeight="1" x14ac:dyDescent="0.2">
      <c r="B11612" s="2"/>
      <c r="C11612" s="15"/>
      <c r="D11612" s="2"/>
    </row>
    <row r="11613" spans="1:4" ht="12.75" customHeight="1" x14ac:dyDescent="0.2">
      <c r="B11613" s="2"/>
      <c r="C11613" s="15"/>
      <c r="D11613" s="2"/>
    </row>
    <row r="11614" spans="1:4" ht="12.75" customHeight="1" x14ac:dyDescent="0.2">
      <c r="A11614" s="13" t="s">
        <v>4295</v>
      </c>
      <c r="C11614" s="12"/>
      <c r="D11614" s="2"/>
    </row>
    <row r="11615" spans="1:4" ht="12.75" customHeight="1" x14ac:dyDescent="0.2">
      <c r="A11615" s="11"/>
      <c r="B11615" s="2"/>
      <c r="C11615" s="15"/>
      <c r="D11615" s="2"/>
    </row>
    <row r="11616" spans="1:4" ht="12.75" customHeight="1" x14ac:dyDescent="0.2">
      <c r="B11616" s="11" t="s">
        <v>0</v>
      </c>
      <c r="C11616" s="17" t="s">
        <v>671</v>
      </c>
      <c r="D11616" s="2"/>
    </row>
    <row r="11617" spans="1:4" ht="12.75" customHeight="1" x14ac:dyDescent="0.2">
      <c r="B11617" s="11" t="s">
        <v>2599</v>
      </c>
      <c r="C11617" s="17" t="s">
        <v>1184</v>
      </c>
      <c r="D11617" s="2"/>
    </row>
    <row r="11618" spans="1:4" ht="25.5" customHeight="1" x14ac:dyDescent="0.2">
      <c r="B11618" s="11" t="s">
        <v>2600</v>
      </c>
      <c r="C11618" s="17" t="s">
        <v>4403</v>
      </c>
      <c r="D11618" s="2"/>
    </row>
    <row r="11619" spans="1:4" ht="25.5" customHeight="1" x14ac:dyDescent="0.2">
      <c r="B11619" s="11" t="s">
        <v>2601</v>
      </c>
      <c r="C11619" s="17"/>
      <c r="D11619" s="2"/>
    </row>
    <row r="11620" spans="1:4" ht="12.75" customHeight="1" x14ac:dyDescent="0.2">
      <c r="B11620" s="11" t="s">
        <v>16</v>
      </c>
      <c r="C11620" s="17"/>
      <c r="D11620" s="2"/>
    </row>
    <row r="11621" spans="1:4" ht="12.75" customHeight="1" x14ac:dyDescent="0.2">
      <c r="B11621" s="11" t="s">
        <v>13</v>
      </c>
      <c r="C11621" s="17" t="s">
        <v>2644</v>
      </c>
      <c r="D11621" s="2"/>
    </row>
    <row r="11622" spans="1:4" ht="25.5" customHeight="1" x14ac:dyDescent="0.2">
      <c r="B11622" s="11" t="s">
        <v>2603</v>
      </c>
      <c r="C11622" s="17" t="s">
        <v>2971</v>
      </c>
      <c r="D11622" s="2"/>
    </row>
    <row r="11623" spans="1:4" ht="12.75" customHeight="1" x14ac:dyDescent="0.2">
      <c r="B11623" s="11" t="s">
        <v>2605</v>
      </c>
      <c r="C11623" s="17" t="s">
        <v>14</v>
      </c>
      <c r="D11623" s="2"/>
    </row>
    <row r="11624" spans="1:4" ht="12.75" customHeight="1" x14ac:dyDescent="0.2">
      <c r="B11624" s="11" t="s">
        <v>2606</v>
      </c>
      <c r="C11624" s="16" t="s">
        <v>19</v>
      </c>
      <c r="D11624" s="2"/>
    </row>
    <row r="11625" spans="1:4" ht="12.75" customHeight="1" x14ac:dyDescent="0.2">
      <c r="B11625" s="2"/>
      <c r="C11625" s="15"/>
      <c r="D11625" s="2"/>
    </row>
    <row r="11626" spans="1:4" ht="12.75" customHeight="1" x14ac:dyDescent="0.2">
      <c r="B11626" s="2"/>
      <c r="C11626" s="15"/>
      <c r="D11626" s="2"/>
    </row>
    <row r="11627" spans="1:4" ht="12.75" customHeight="1" x14ac:dyDescent="0.2">
      <c r="A11627" s="13" t="s">
        <v>4297</v>
      </c>
      <c r="C11627" s="12"/>
      <c r="D11627" s="2"/>
    </row>
    <row r="11628" spans="1:4" ht="12.75" customHeight="1" x14ac:dyDescent="0.2">
      <c r="A11628" s="11"/>
      <c r="B11628" s="2"/>
      <c r="C11628" s="15"/>
      <c r="D11628" s="2"/>
    </row>
    <row r="11629" spans="1:4" ht="12.75" customHeight="1" x14ac:dyDescent="0.2">
      <c r="B11629" s="11" t="s">
        <v>0</v>
      </c>
      <c r="C11629" s="17" t="s">
        <v>671</v>
      </c>
      <c r="D11629" s="2"/>
    </row>
    <row r="11630" spans="1:4" ht="12.75" customHeight="1" x14ac:dyDescent="0.2">
      <c r="B11630" s="11" t="s">
        <v>2599</v>
      </c>
      <c r="C11630" s="17" t="s">
        <v>4299</v>
      </c>
      <c r="D11630" s="2"/>
    </row>
    <row r="11631" spans="1:4" ht="25.5" customHeight="1" x14ac:dyDescent="0.2">
      <c r="B11631" s="11" t="s">
        <v>2600</v>
      </c>
      <c r="C11631" s="17" t="s">
        <v>4404</v>
      </c>
      <c r="D11631" s="2"/>
    </row>
    <row r="11632" spans="1:4" ht="25.5" customHeight="1" x14ac:dyDescent="0.2">
      <c r="B11632" s="11" t="s">
        <v>2601</v>
      </c>
      <c r="C11632" s="17"/>
      <c r="D11632" s="2"/>
    </row>
    <row r="11633" spans="1:4" ht="12.75" customHeight="1" x14ac:dyDescent="0.2">
      <c r="B11633" s="11" t="s">
        <v>16</v>
      </c>
      <c r="C11633" s="17"/>
      <c r="D11633" s="2"/>
    </row>
    <row r="11634" spans="1:4" ht="12.75" customHeight="1" x14ac:dyDescent="0.2">
      <c r="B11634" s="11" t="s">
        <v>13</v>
      </c>
      <c r="C11634" s="17" t="s">
        <v>2602</v>
      </c>
      <c r="D11634" s="2"/>
    </row>
    <row r="11635" spans="1:4" ht="25.5" customHeight="1" x14ac:dyDescent="0.2">
      <c r="B11635" s="11" t="s">
        <v>2603</v>
      </c>
      <c r="C11635" s="17" t="s">
        <v>2971</v>
      </c>
      <c r="D11635" s="2"/>
    </row>
    <row r="11636" spans="1:4" ht="12.75" customHeight="1" x14ac:dyDescent="0.2">
      <c r="B11636" s="11" t="s">
        <v>2605</v>
      </c>
      <c r="C11636" s="17" t="s">
        <v>14</v>
      </c>
      <c r="D11636" s="2"/>
    </row>
    <row r="11637" spans="1:4" ht="12.75" customHeight="1" x14ac:dyDescent="0.2">
      <c r="B11637" s="11" t="s">
        <v>2606</v>
      </c>
      <c r="C11637" s="16" t="s">
        <v>19</v>
      </c>
      <c r="D11637" s="2"/>
    </row>
    <row r="11638" spans="1:4" ht="12.75" customHeight="1" x14ac:dyDescent="0.2">
      <c r="B11638" s="2"/>
      <c r="C11638" s="15"/>
      <c r="D11638" s="2"/>
    </row>
    <row r="11639" spans="1:4" ht="12.75" customHeight="1" x14ac:dyDescent="0.2">
      <c r="B11639" s="2"/>
      <c r="C11639" s="15"/>
      <c r="D11639" s="2"/>
    </row>
    <row r="11640" spans="1:4" ht="12.75" customHeight="1" x14ac:dyDescent="0.2">
      <c r="A11640" s="13" t="s">
        <v>4405</v>
      </c>
      <c r="C11640" s="12"/>
      <c r="D11640" s="2"/>
    </row>
    <row r="11641" spans="1:4" ht="12.75" customHeight="1" x14ac:dyDescent="0.2">
      <c r="A11641" s="11"/>
      <c r="B11641" s="2"/>
      <c r="C11641" s="15"/>
      <c r="D11641" s="2"/>
    </row>
    <row r="11642" spans="1:4" ht="12.75" customHeight="1" x14ac:dyDescent="0.2">
      <c r="B11642" s="11" t="s">
        <v>0</v>
      </c>
      <c r="C11642" s="17" t="s">
        <v>65</v>
      </c>
      <c r="D11642" s="2"/>
    </row>
    <row r="11643" spans="1:4" ht="12.75" customHeight="1" x14ac:dyDescent="0.2">
      <c r="B11643" s="11" t="s">
        <v>2599</v>
      </c>
      <c r="C11643" s="17" t="s">
        <v>4406</v>
      </c>
      <c r="D11643" s="2"/>
    </row>
    <row r="11644" spans="1:4" ht="25.5" customHeight="1" x14ac:dyDescent="0.2">
      <c r="B11644" s="11" t="s">
        <v>2600</v>
      </c>
      <c r="C11644" s="17" t="s">
        <v>4407</v>
      </c>
      <c r="D11644" s="2"/>
    </row>
    <row r="11645" spans="1:4" ht="25.5" customHeight="1" x14ac:dyDescent="0.2">
      <c r="B11645" s="11" t="s">
        <v>2601</v>
      </c>
      <c r="C11645" s="17"/>
      <c r="D11645" s="2"/>
    </row>
    <row r="11646" spans="1:4" ht="12.75" customHeight="1" x14ac:dyDescent="0.2">
      <c r="B11646" s="11" t="s">
        <v>16</v>
      </c>
      <c r="C11646" s="17"/>
      <c r="D11646" s="2"/>
    </row>
    <row r="11647" spans="1:4" ht="12.75" customHeight="1" x14ac:dyDescent="0.2">
      <c r="B11647" s="11" t="s">
        <v>13</v>
      </c>
      <c r="C11647" s="17" t="s">
        <v>2644</v>
      </c>
      <c r="D11647" s="2"/>
    </row>
    <row r="11648" spans="1:4" ht="25.5" customHeight="1" x14ac:dyDescent="0.2">
      <c r="B11648" s="11" t="s">
        <v>2603</v>
      </c>
      <c r="C11648" s="17" t="s">
        <v>2971</v>
      </c>
      <c r="D11648" s="2"/>
    </row>
    <row r="11649" spans="1:4" ht="12.75" customHeight="1" x14ac:dyDescent="0.2">
      <c r="B11649" s="11" t="s">
        <v>2605</v>
      </c>
      <c r="C11649" s="17" t="s">
        <v>14</v>
      </c>
      <c r="D11649" s="2"/>
    </row>
    <row r="11650" spans="1:4" ht="12.75" customHeight="1" x14ac:dyDescent="0.2">
      <c r="B11650" s="11" t="s">
        <v>2606</v>
      </c>
      <c r="C11650" s="16" t="s">
        <v>19</v>
      </c>
      <c r="D11650" s="2"/>
    </row>
    <row r="11651" spans="1:4" ht="12.75" customHeight="1" x14ac:dyDescent="0.2">
      <c r="B11651" s="2"/>
      <c r="C11651" s="15"/>
      <c r="D11651" s="2"/>
    </row>
    <row r="11652" spans="1:4" ht="12.75" customHeight="1" x14ac:dyDescent="0.2">
      <c r="B11652" s="2"/>
      <c r="C11652" s="15"/>
      <c r="D11652" s="2"/>
    </row>
    <row r="11653" spans="1:4" ht="12.75" customHeight="1" x14ac:dyDescent="0.2">
      <c r="A11653" s="13" t="s">
        <v>4408</v>
      </c>
      <c r="C11653" s="12"/>
      <c r="D11653" s="2"/>
    </row>
    <row r="11654" spans="1:4" ht="12.75" customHeight="1" x14ac:dyDescent="0.2">
      <c r="A11654" s="11"/>
      <c r="B11654" s="2"/>
      <c r="C11654" s="15"/>
      <c r="D11654" s="2"/>
    </row>
    <row r="11655" spans="1:4" ht="12.75" customHeight="1" x14ac:dyDescent="0.2">
      <c r="B11655" s="11" t="s">
        <v>0</v>
      </c>
      <c r="C11655" s="17" t="s">
        <v>65</v>
      </c>
      <c r="D11655" s="2"/>
    </row>
    <row r="11656" spans="1:4" ht="12.75" customHeight="1" x14ac:dyDescent="0.2">
      <c r="B11656" s="11" t="s">
        <v>2599</v>
      </c>
      <c r="C11656" s="17" t="s">
        <v>4409</v>
      </c>
      <c r="D11656" s="2"/>
    </row>
    <row r="11657" spans="1:4" ht="25.5" customHeight="1" x14ac:dyDescent="0.2">
      <c r="B11657" s="11" t="s">
        <v>2600</v>
      </c>
      <c r="C11657" s="17" t="s">
        <v>4410</v>
      </c>
      <c r="D11657" s="2"/>
    </row>
    <row r="11658" spans="1:4" ht="25.5" customHeight="1" x14ac:dyDescent="0.2">
      <c r="B11658" s="11" t="s">
        <v>2601</v>
      </c>
      <c r="C11658" s="17"/>
      <c r="D11658" s="2"/>
    </row>
    <row r="11659" spans="1:4" ht="12.75" customHeight="1" x14ac:dyDescent="0.2">
      <c r="B11659" s="11" t="s">
        <v>16</v>
      </c>
      <c r="C11659" s="17"/>
      <c r="D11659" s="2"/>
    </row>
    <row r="11660" spans="1:4" ht="12.75" customHeight="1" x14ac:dyDescent="0.2">
      <c r="B11660" s="11" t="s">
        <v>13</v>
      </c>
      <c r="C11660" s="17" t="s">
        <v>2602</v>
      </c>
      <c r="D11660" s="2"/>
    </row>
    <row r="11661" spans="1:4" ht="25.5" customHeight="1" x14ac:dyDescent="0.2">
      <c r="B11661" s="11" t="s">
        <v>2603</v>
      </c>
      <c r="C11661" s="17" t="s">
        <v>2971</v>
      </c>
      <c r="D11661" s="2"/>
    </row>
    <row r="11662" spans="1:4" ht="12.75" customHeight="1" x14ac:dyDescent="0.2">
      <c r="B11662" s="11" t="s">
        <v>2605</v>
      </c>
      <c r="C11662" s="17" t="s">
        <v>14</v>
      </c>
      <c r="D11662" s="2"/>
    </row>
    <row r="11663" spans="1:4" ht="12.75" customHeight="1" x14ac:dyDescent="0.2">
      <c r="B11663" s="11" t="s">
        <v>2606</v>
      </c>
      <c r="C11663" s="16" t="s">
        <v>19</v>
      </c>
      <c r="D11663" s="2"/>
    </row>
    <row r="11664" spans="1:4" ht="12.75" customHeight="1" x14ac:dyDescent="0.2">
      <c r="B11664" s="2"/>
      <c r="C11664" s="15"/>
      <c r="D11664" s="2"/>
    </row>
    <row r="11665" spans="1:4" ht="12.75" customHeight="1" x14ac:dyDescent="0.2">
      <c r="B11665" s="2"/>
      <c r="C11665" s="15"/>
      <c r="D11665" s="2"/>
    </row>
    <row r="11666" spans="1:4" ht="12.75" customHeight="1" x14ac:dyDescent="0.2">
      <c r="A11666" s="13" t="s">
        <v>4411</v>
      </c>
      <c r="C11666" s="12"/>
    </row>
    <row r="11667" spans="1:4" ht="12.75" customHeight="1" x14ac:dyDescent="0.2">
      <c r="A11667" s="11"/>
      <c r="B11667" s="2"/>
      <c r="C11667" s="15"/>
      <c r="D11667" s="2"/>
    </row>
    <row r="11668" spans="1:4" ht="12.75" customHeight="1" x14ac:dyDescent="0.2">
      <c r="B11668" s="11" t="s">
        <v>0</v>
      </c>
      <c r="C11668" s="11" t="s">
        <v>65</v>
      </c>
    </row>
    <row r="11669" spans="1:4" ht="12.75" customHeight="1" x14ac:dyDescent="0.2">
      <c r="B11669" s="11" t="s">
        <v>2599</v>
      </c>
      <c r="C11669" s="11" t="s">
        <v>4412</v>
      </c>
    </row>
    <row r="11670" spans="1:4" ht="25.5" customHeight="1" x14ac:dyDescent="0.2">
      <c r="B11670" s="11" t="s">
        <v>2600</v>
      </c>
      <c r="C11670" s="11" t="s">
        <v>4413</v>
      </c>
    </row>
    <row r="11671" spans="1:4" ht="25.5" customHeight="1" x14ac:dyDescent="0.2">
      <c r="B11671" s="11" t="s">
        <v>2601</v>
      </c>
      <c r="C11671" s="11"/>
    </row>
    <row r="11672" spans="1:4" ht="12.75" customHeight="1" x14ac:dyDescent="0.2">
      <c r="B11672" s="11" t="s">
        <v>16</v>
      </c>
      <c r="C11672" s="11"/>
    </row>
    <row r="11673" spans="1:4" ht="12.75" customHeight="1" x14ac:dyDescent="0.2">
      <c r="B11673" s="11" t="s">
        <v>13</v>
      </c>
      <c r="C11673" s="11" t="s">
        <v>2602</v>
      </c>
    </row>
    <row r="11674" spans="1:4" ht="12.75" customHeight="1" x14ac:dyDescent="0.2">
      <c r="B11674" s="11" t="s">
        <v>2603</v>
      </c>
      <c r="C11674" s="11" t="s">
        <v>2604</v>
      </c>
    </row>
    <row r="11675" spans="1:4" ht="12.75" customHeight="1" x14ac:dyDescent="0.2">
      <c r="B11675" s="11" t="s">
        <v>2605</v>
      </c>
      <c r="C11675" s="11" t="s">
        <v>24</v>
      </c>
    </row>
    <row r="11676" spans="1:4" ht="25.5" customHeight="1" x14ac:dyDescent="0.2">
      <c r="B11676" s="11" t="s">
        <v>2606</v>
      </c>
      <c r="C11676" s="16" t="s">
        <v>44</v>
      </c>
      <c r="D11676" s="6" t="str">
        <f>HYPERLINK("javascript:void(0)","lélegző sarokkő")</f>
        <v>lélegző sarokkő</v>
      </c>
    </row>
    <row r="11677" spans="1:4" ht="12.75" customHeight="1" x14ac:dyDescent="0.2">
      <c r="C11677" s="16" t="s">
        <v>309</v>
      </c>
      <c r="D11677" s="6" t="str">
        <f>HYPERLINK("javascript:void(0)","kincs")</f>
        <v>kincs</v>
      </c>
    </row>
    <row r="11678" spans="1:4" ht="12.75" customHeight="1" x14ac:dyDescent="0.2">
      <c r="B11678" s="2"/>
      <c r="C11678" s="15"/>
      <c r="D11678" s="2"/>
    </row>
    <row r="11679" spans="1:4" ht="12.75" customHeight="1" x14ac:dyDescent="0.2">
      <c r="B11679" s="2"/>
      <c r="C11679" s="15"/>
      <c r="D11679" s="2"/>
    </row>
    <row r="11680" spans="1:4" ht="12.75" customHeight="1" x14ac:dyDescent="0.2">
      <c r="A11680" s="13" t="s">
        <v>4414</v>
      </c>
      <c r="C11680" s="12"/>
    </row>
    <row r="11681" spans="1:4" ht="12.75" customHeight="1" x14ac:dyDescent="0.2">
      <c r="A11681" s="11"/>
      <c r="B11681" s="2"/>
      <c r="C11681" s="15"/>
      <c r="D11681" s="2"/>
    </row>
    <row r="11682" spans="1:4" ht="12.75" customHeight="1" x14ac:dyDescent="0.2">
      <c r="B11682" s="11" t="s">
        <v>0</v>
      </c>
      <c r="C11682" s="11" t="s">
        <v>65</v>
      </c>
    </row>
    <row r="11683" spans="1:4" ht="12.75" customHeight="1" x14ac:dyDescent="0.2">
      <c r="B11683" s="11" t="s">
        <v>2599</v>
      </c>
      <c r="C11683" s="11" t="s">
        <v>4415</v>
      </c>
    </row>
    <row r="11684" spans="1:4" ht="25.5" customHeight="1" x14ac:dyDescent="0.2">
      <c r="B11684" s="11" t="s">
        <v>2600</v>
      </c>
      <c r="C11684" s="11" t="s">
        <v>4416</v>
      </c>
    </row>
    <row r="11685" spans="1:4" ht="25.5" customHeight="1" x14ac:dyDescent="0.2">
      <c r="B11685" s="11" t="s">
        <v>2601</v>
      </c>
      <c r="C11685" s="11"/>
    </row>
    <row r="11686" spans="1:4" ht="12.75" customHeight="1" x14ac:dyDescent="0.2">
      <c r="B11686" s="11" t="s">
        <v>16</v>
      </c>
      <c r="C11686" s="11"/>
    </row>
    <row r="11687" spans="1:4" ht="12.75" customHeight="1" x14ac:dyDescent="0.2">
      <c r="B11687" s="11" t="s">
        <v>13</v>
      </c>
      <c r="C11687" s="11" t="s">
        <v>2602</v>
      </c>
    </row>
    <row r="11688" spans="1:4" ht="12.75" customHeight="1" x14ac:dyDescent="0.2">
      <c r="B11688" s="11" t="s">
        <v>2603</v>
      </c>
      <c r="C11688" s="11" t="s">
        <v>2604</v>
      </c>
    </row>
    <row r="11689" spans="1:4" ht="12.75" customHeight="1" x14ac:dyDescent="0.2">
      <c r="B11689" s="11" t="s">
        <v>2605</v>
      </c>
      <c r="C11689" s="11" t="s">
        <v>14</v>
      </c>
    </row>
    <row r="11690" spans="1:4" ht="12.75" customHeight="1" x14ac:dyDescent="0.2">
      <c r="B11690" s="11" t="s">
        <v>2606</v>
      </c>
      <c r="C11690" s="16" t="s">
        <v>44</v>
      </c>
      <c r="D11690" s="6" t="str">
        <f>HYPERLINK("javascript:void(0)","zselatin")</f>
        <v>zselatin</v>
      </c>
    </row>
    <row r="11691" spans="1:4" ht="12.75" customHeight="1" x14ac:dyDescent="0.2">
      <c r="B11691" s="2"/>
      <c r="C11691" s="15"/>
      <c r="D11691" s="2"/>
    </row>
    <row r="11692" spans="1:4" ht="12.75" customHeight="1" x14ac:dyDescent="0.2">
      <c r="B11692" s="2"/>
      <c r="C11692" s="15"/>
      <c r="D11692" s="2"/>
    </row>
    <row r="11693" spans="1:4" ht="12.75" customHeight="1" x14ac:dyDescent="0.2">
      <c r="A11693" s="13" t="s">
        <v>4417</v>
      </c>
      <c r="C11693" s="12"/>
    </row>
    <row r="11694" spans="1:4" ht="12.75" customHeight="1" x14ac:dyDescent="0.2">
      <c r="A11694" s="11"/>
      <c r="B11694" s="2"/>
      <c r="C11694" s="15"/>
      <c r="D11694" s="2"/>
    </row>
    <row r="11695" spans="1:4" ht="12.75" customHeight="1" x14ac:dyDescent="0.2">
      <c r="B11695" s="11" t="s">
        <v>0</v>
      </c>
      <c r="C11695" s="11" t="s">
        <v>65</v>
      </c>
    </row>
    <row r="11696" spans="1:4" ht="12.75" customHeight="1" x14ac:dyDescent="0.2">
      <c r="B11696" s="11" t="s">
        <v>2599</v>
      </c>
      <c r="C11696" s="11" t="s">
        <v>4418</v>
      </c>
    </row>
    <row r="11697" spans="1:4" ht="25.5" customHeight="1" x14ac:dyDescent="0.2">
      <c r="B11697" s="11" t="s">
        <v>2600</v>
      </c>
      <c r="C11697" s="11" t="s">
        <v>4419</v>
      </c>
    </row>
    <row r="11698" spans="1:4" ht="25.5" customHeight="1" x14ac:dyDescent="0.2">
      <c r="B11698" s="11" t="s">
        <v>2601</v>
      </c>
      <c r="C11698" s="11"/>
    </row>
    <row r="11699" spans="1:4" ht="12.75" customHeight="1" x14ac:dyDescent="0.2">
      <c r="B11699" s="11" t="s">
        <v>16</v>
      </c>
      <c r="C11699" s="11"/>
    </row>
    <row r="11700" spans="1:4" ht="12.75" customHeight="1" x14ac:dyDescent="0.2">
      <c r="B11700" s="11" t="s">
        <v>13</v>
      </c>
      <c r="C11700" s="11" t="s">
        <v>2644</v>
      </c>
    </row>
    <row r="11701" spans="1:4" ht="12.75" customHeight="1" x14ac:dyDescent="0.2">
      <c r="B11701" s="11" t="s">
        <v>2603</v>
      </c>
      <c r="C11701" s="11" t="s">
        <v>2604</v>
      </c>
    </row>
    <row r="11702" spans="1:4" ht="12.75" customHeight="1" x14ac:dyDescent="0.2">
      <c r="B11702" s="11" t="s">
        <v>2605</v>
      </c>
      <c r="C11702" s="11" t="s">
        <v>14</v>
      </c>
    </row>
    <row r="11703" spans="1:4" ht="12.75" customHeight="1" x14ac:dyDescent="0.2">
      <c r="B11703" s="11" t="s">
        <v>2606</v>
      </c>
      <c r="C11703" s="16" t="s">
        <v>44</v>
      </c>
      <c r="D11703" s="6" t="str">
        <f>HYPERLINK("javascript:void(0)","elemi köpet")</f>
        <v>elemi köpet</v>
      </c>
    </row>
    <row r="11704" spans="1:4" ht="12.75" customHeight="1" x14ac:dyDescent="0.2">
      <c r="C11704" s="16" t="s">
        <v>132</v>
      </c>
      <c r="D11704" s="6" t="str">
        <f>HYPERLINK("javascript:void(0)","kincs")</f>
        <v>kincs</v>
      </c>
    </row>
    <row r="11705" spans="1:4" ht="12.75" customHeight="1" x14ac:dyDescent="0.2">
      <c r="B11705" s="2"/>
      <c r="C11705" s="15"/>
      <c r="D11705" s="2"/>
    </row>
    <row r="11706" spans="1:4" ht="12.75" customHeight="1" x14ac:dyDescent="0.2">
      <c r="B11706" s="2"/>
      <c r="C11706" s="15"/>
      <c r="D11706" s="2"/>
    </row>
    <row r="11707" spans="1:4" ht="12.75" customHeight="1" x14ac:dyDescent="0.2">
      <c r="A11707" s="13" t="s">
        <v>4420</v>
      </c>
      <c r="C11707" s="12"/>
    </row>
    <row r="11708" spans="1:4" ht="12.75" customHeight="1" x14ac:dyDescent="0.2">
      <c r="A11708" s="11"/>
      <c r="B11708" s="2"/>
      <c r="C11708" s="15"/>
      <c r="D11708" s="2"/>
    </row>
    <row r="11709" spans="1:4" ht="12.75" customHeight="1" x14ac:dyDescent="0.2">
      <c r="B11709" s="11" t="s">
        <v>0</v>
      </c>
      <c r="C11709" s="11" t="s">
        <v>65</v>
      </c>
    </row>
    <row r="11710" spans="1:4" ht="12.75" customHeight="1" x14ac:dyDescent="0.2">
      <c r="B11710" s="11" t="s">
        <v>2599</v>
      </c>
      <c r="C11710" s="11" t="s">
        <v>546</v>
      </c>
    </row>
    <row r="11711" spans="1:4" ht="25.5" customHeight="1" x14ac:dyDescent="0.2">
      <c r="B11711" s="11" t="s">
        <v>2600</v>
      </c>
      <c r="C11711" s="11" t="s">
        <v>4421</v>
      </c>
    </row>
    <row r="11712" spans="1:4" ht="25.5" customHeight="1" x14ac:dyDescent="0.2">
      <c r="B11712" s="11" t="s">
        <v>2601</v>
      </c>
      <c r="C11712" s="11"/>
    </row>
    <row r="11713" spans="1:4" ht="12.75" customHeight="1" x14ac:dyDescent="0.2">
      <c r="B11713" s="11" t="s">
        <v>16</v>
      </c>
      <c r="C11713" s="11"/>
    </row>
    <row r="11714" spans="1:4" ht="12.75" customHeight="1" x14ac:dyDescent="0.2">
      <c r="B11714" s="11" t="s">
        <v>13</v>
      </c>
      <c r="C11714" s="11" t="s">
        <v>2602</v>
      </c>
    </row>
    <row r="11715" spans="1:4" ht="12.75" customHeight="1" x14ac:dyDescent="0.2">
      <c r="B11715" s="11" t="s">
        <v>2603</v>
      </c>
      <c r="C11715" s="11" t="s">
        <v>2604</v>
      </c>
    </row>
    <row r="11716" spans="1:4" ht="12.75" customHeight="1" x14ac:dyDescent="0.2">
      <c r="B11716" s="11" t="s">
        <v>2605</v>
      </c>
      <c r="C11716" s="11" t="s">
        <v>24</v>
      </c>
    </row>
    <row r="11717" spans="1:4" ht="12.75" customHeight="1" x14ac:dyDescent="0.2">
      <c r="B11717" s="11" t="s">
        <v>2606</v>
      </c>
      <c r="C11717" s="16" t="s">
        <v>98</v>
      </c>
      <c r="D11717" s="6" t="str">
        <f>HYPERLINK("javascript:void(0)","kincs")</f>
        <v>kincs</v>
      </c>
    </row>
    <row r="11718" spans="1:4" ht="12.75" customHeight="1" x14ac:dyDescent="0.2">
      <c r="B11718" s="2"/>
      <c r="C11718" s="15"/>
      <c r="D11718" s="2"/>
    </row>
    <row r="11719" spans="1:4" ht="12.75" customHeight="1" x14ac:dyDescent="0.2">
      <c r="B11719" s="2"/>
      <c r="C11719" s="15"/>
      <c r="D11719" s="2"/>
    </row>
    <row r="11720" spans="1:4" ht="12.75" customHeight="1" x14ac:dyDescent="0.2">
      <c r="A11720" s="13" t="s">
        <v>4422</v>
      </c>
      <c r="C11720" s="12"/>
    </row>
    <row r="11721" spans="1:4" ht="12.75" customHeight="1" x14ac:dyDescent="0.2">
      <c r="A11721" s="11"/>
      <c r="B11721" s="2"/>
      <c r="C11721" s="15"/>
      <c r="D11721" s="2"/>
    </row>
    <row r="11722" spans="1:4" ht="12.75" customHeight="1" x14ac:dyDescent="0.2">
      <c r="B11722" s="11" t="s">
        <v>0</v>
      </c>
      <c r="C11722" s="11" t="s">
        <v>65</v>
      </c>
    </row>
    <row r="11723" spans="1:4" ht="12.75" customHeight="1" x14ac:dyDescent="0.2">
      <c r="B11723" s="11" t="s">
        <v>2599</v>
      </c>
      <c r="C11723" s="11" t="s">
        <v>4095</v>
      </c>
    </row>
    <row r="11724" spans="1:4" ht="25.5" customHeight="1" x14ac:dyDescent="0.2">
      <c r="B11724" s="11" t="s">
        <v>2600</v>
      </c>
      <c r="C11724" s="11" t="s">
        <v>4423</v>
      </c>
    </row>
    <row r="11725" spans="1:4" ht="25.5" customHeight="1" x14ac:dyDescent="0.2">
      <c r="B11725" s="11" t="s">
        <v>2601</v>
      </c>
      <c r="C11725" s="11"/>
    </row>
    <row r="11726" spans="1:4" ht="12.75" customHeight="1" x14ac:dyDescent="0.2">
      <c r="B11726" s="11" t="s">
        <v>16</v>
      </c>
      <c r="C11726" s="11"/>
    </row>
    <row r="11727" spans="1:4" ht="12.75" customHeight="1" x14ac:dyDescent="0.2">
      <c r="B11727" s="11" t="s">
        <v>13</v>
      </c>
      <c r="C11727" s="11" t="s">
        <v>2644</v>
      </c>
    </row>
    <row r="11728" spans="1:4" ht="12.75" customHeight="1" x14ac:dyDescent="0.2">
      <c r="B11728" s="11" t="s">
        <v>2603</v>
      </c>
      <c r="C11728" s="11" t="s">
        <v>2604</v>
      </c>
    </row>
    <row r="11729" spans="1:4" ht="12.75" customHeight="1" x14ac:dyDescent="0.2">
      <c r="B11729" s="11" t="s">
        <v>2605</v>
      </c>
      <c r="C11729" s="11" t="s">
        <v>14</v>
      </c>
    </row>
    <row r="11730" spans="1:4" ht="12.75" customHeight="1" x14ac:dyDescent="0.2">
      <c r="B11730" s="11" t="s">
        <v>2606</v>
      </c>
      <c r="C11730" s="16" t="s">
        <v>44</v>
      </c>
      <c r="D11730" s="6" t="str">
        <f>HYPERLINK("javascript:void(0)","elemi köpet")</f>
        <v>elemi köpet</v>
      </c>
    </row>
    <row r="11731" spans="1:4" ht="12.75" customHeight="1" x14ac:dyDescent="0.2">
      <c r="C11731" s="16" t="s">
        <v>102</v>
      </c>
      <c r="D11731" s="6" t="str">
        <f>HYPERLINK("javascript:void(0)","kincs")</f>
        <v>kincs</v>
      </c>
    </row>
    <row r="11732" spans="1:4" ht="12.75" customHeight="1" x14ac:dyDescent="0.2">
      <c r="B11732" s="2"/>
      <c r="C11732" s="15"/>
      <c r="D11732" s="2"/>
    </row>
    <row r="11733" spans="1:4" ht="12.75" customHeight="1" x14ac:dyDescent="0.2">
      <c r="B11733" s="2"/>
      <c r="C11733" s="15"/>
      <c r="D11733" s="2"/>
    </row>
    <row r="11734" spans="1:4" ht="12.75" customHeight="1" x14ac:dyDescent="0.2">
      <c r="A11734" s="13" t="s">
        <v>4424</v>
      </c>
      <c r="C11734" s="12"/>
    </row>
    <row r="11735" spans="1:4" ht="12.75" customHeight="1" x14ac:dyDescent="0.2">
      <c r="A11735" s="11"/>
      <c r="B11735" s="2"/>
      <c r="C11735" s="15"/>
      <c r="D11735" s="2"/>
    </row>
    <row r="11736" spans="1:4" ht="12.75" customHeight="1" x14ac:dyDescent="0.2">
      <c r="B11736" s="11" t="s">
        <v>0</v>
      </c>
      <c r="C11736" s="11" t="s">
        <v>65</v>
      </c>
    </row>
    <row r="11737" spans="1:4" ht="12.75" customHeight="1" x14ac:dyDescent="0.2">
      <c r="B11737" s="11" t="s">
        <v>2599</v>
      </c>
      <c r="C11737" s="11" t="s">
        <v>4425</v>
      </c>
    </row>
    <row r="11738" spans="1:4" ht="25.5" customHeight="1" x14ac:dyDescent="0.2">
      <c r="B11738" s="11" t="s">
        <v>2600</v>
      </c>
      <c r="C11738" s="11" t="s">
        <v>4426</v>
      </c>
    </row>
    <row r="11739" spans="1:4" ht="25.5" customHeight="1" x14ac:dyDescent="0.2">
      <c r="B11739" s="11" t="s">
        <v>2601</v>
      </c>
      <c r="C11739" s="11"/>
    </row>
    <row r="11740" spans="1:4" ht="12.75" customHeight="1" x14ac:dyDescent="0.2">
      <c r="B11740" s="11" t="s">
        <v>16</v>
      </c>
      <c r="C11740" s="11"/>
    </row>
    <row r="11741" spans="1:4" ht="12.75" customHeight="1" x14ac:dyDescent="0.2">
      <c r="B11741" s="11" t="s">
        <v>13</v>
      </c>
      <c r="C11741" s="11" t="s">
        <v>2644</v>
      </c>
    </row>
    <row r="11742" spans="1:4" ht="12.75" customHeight="1" x14ac:dyDescent="0.2">
      <c r="B11742" s="11" t="s">
        <v>2603</v>
      </c>
      <c r="C11742" s="11" t="s">
        <v>2604</v>
      </c>
    </row>
    <row r="11743" spans="1:4" ht="12.75" customHeight="1" x14ac:dyDescent="0.2">
      <c r="B11743" s="11" t="s">
        <v>2605</v>
      </c>
      <c r="C11743" s="11" t="s">
        <v>24</v>
      </c>
    </row>
    <row r="11744" spans="1:4" ht="25.5" customHeight="1" x14ac:dyDescent="0.2">
      <c r="B11744" s="11" t="s">
        <v>2606</v>
      </c>
      <c r="C11744" s="16" t="s">
        <v>44</v>
      </c>
      <c r="D11744" s="6" t="str">
        <f>HYPERLINK("javascript:void(0)","szent szimbólum")</f>
        <v>szent szimbólum</v>
      </c>
    </row>
    <row r="11745" spans="1:4" ht="12.75" customHeight="1" x14ac:dyDescent="0.2">
      <c r="C11745" s="16" t="s">
        <v>57</v>
      </c>
      <c r="D11745" s="6" t="str">
        <f>HYPERLINK("javascript:void(0)","vízige")</f>
        <v>vízige</v>
      </c>
    </row>
    <row r="11746" spans="1:4" ht="12.75" customHeight="1" x14ac:dyDescent="0.2">
      <c r="B11746" s="2"/>
      <c r="C11746" s="15"/>
      <c r="D11746" s="2"/>
    </row>
    <row r="11747" spans="1:4" ht="12.75" customHeight="1" x14ac:dyDescent="0.2">
      <c r="B11747" s="2"/>
      <c r="C11747" s="15"/>
      <c r="D11747" s="2"/>
    </row>
    <row r="11748" spans="1:4" ht="12.75" customHeight="1" x14ac:dyDescent="0.2">
      <c r="A11748" s="13" t="s">
        <v>4427</v>
      </c>
      <c r="C11748" s="12"/>
    </row>
    <row r="11749" spans="1:4" ht="12.75" customHeight="1" x14ac:dyDescent="0.2">
      <c r="A11749" s="11"/>
      <c r="B11749" s="2"/>
      <c r="C11749" s="15"/>
      <c r="D11749" s="2"/>
    </row>
    <row r="11750" spans="1:4" ht="12.75" customHeight="1" x14ac:dyDescent="0.2">
      <c r="B11750" s="11" t="s">
        <v>0</v>
      </c>
      <c r="C11750" s="11" t="s">
        <v>65</v>
      </c>
    </row>
    <row r="11751" spans="1:4" ht="12.75" customHeight="1" x14ac:dyDescent="0.2">
      <c r="B11751" s="11" t="s">
        <v>2599</v>
      </c>
      <c r="C11751" s="11" t="s">
        <v>4428</v>
      </c>
    </row>
    <row r="11752" spans="1:4" ht="25.5" customHeight="1" x14ac:dyDescent="0.2">
      <c r="B11752" s="11" t="s">
        <v>2600</v>
      </c>
      <c r="C11752" s="11" t="s">
        <v>4429</v>
      </c>
    </row>
    <row r="11753" spans="1:4" ht="25.5" customHeight="1" x14ac:dyDescent="0.2">
      <c r="B11753" s="11" t="s">
        <v>2601</v>
      </c>
      <c r="C11753" s="11"/>
    </row>
    <row r="11754" spans="1:4" ht="12.75" customHeight="1" x14ac:dyDescent="0.2">
      <c r="B11754" s="11" t="s">
        <v>16</v>
      </c>
      <c r="C11754" s="11"/>
    </row>
    <row r="11755" spans="1:4" ht="12.75" customHeight="1" x14ac:dyDescent="0.2">
      <c r="B11755" s="11" t="s">
        <v>13</v>
      </c>
      <c r="C11755" s="11" t="s">
        <v>2602</v>
      </c>
    </row>
    <row r="11756" spans="1:4" ht="12.75" customHeight="1" x14ac:dyDescent="0.2">
      <c r="B11756" s="11" t="s">
        <v>2603</v>
      </c>
      <c r="C11756" s="11" t="s">
        <v>2604</v>
      </c>
    </row>
    <row r="11757" spans="1:4" ht="12.75" customHeight="1" x14ac:dyDescent="0.2">
      <c r="B11757" s="11" t="s">
        <v>2605</v>
      </c>
      <c r="C11757" s="11" t="s">
        <v>14</v>
      </c>
    </row>
    <row r="11758" spans="1:4" ht="12.75" customHeight="1" x14ac:dyDescent="0.2">
      <c r="B11758" s="11" t="s">
        <v>2606</v>
      </c>
      <c r="C11758" s="16" t="s">
        <v>44</v>
      </c>
      <c r="D11758" s="6" t="str">
        <f>HYPERLINK("javascript:void(0)","hypnogén")</f>
        <v>hypnogén</v>
      </c>
    </row>
    <row r="11759" spans="1:4" ht="12.75" customHeight="1" x14ac:dyDescent="0.2">
      <c r="B11759" s="2"/>
      <c r="C11759" s="15"/>
      <c r="D11759" s="2"/>
    </row>
    <row r="11760" spans="1:4" ht="12.75" customHeight="1" x14ac:dyDescent="0.2">
      <c r="B11760" s="2"/>
      <c r="C11760" s="15"/>
      <c r="D11760" s="2"/>
    </row>
    <row r="11761" spans="1:4" ht="12.75" customHeight="1" x14ac:dyDescent="0.2">
      <c r="A11761" s="13" t="s">
        <v>4431</v>
      </c>
      <c r="C11761" s="12"/>
    </row>
    <row r="11762" spans="1:4" ht="12.75" customHeight="1" x14ac:dyDescent="0.2">
      <c r="A11762" s="11"/>
      <c r="B11762" s="2"/>
      <c r="C11762" s="15"/>
      <c r="D11762" s="2"/>
    </row>
    <row r="11763" spans="1:4" ht="12.75" customHeight="1" x14ac:dyDescent="0.2">
      <c r="B11763" s="11" t="s">
        <v>0</v>
      </c>
      <c r="C11763" s="11" t="s">
        <v>65</v>
      </c>
    </row>
    <row r="11764" spans="1:4" ht="12.75" customHeight="1" x14ac:dyDescent="0.2">
      <c r="B11764" s="11" t="s">
        <v>2599</v>
      </c>
      <c r="C11764" s="11" t="s">
        <v>4432</v>
      </c>
    </row>
    <row r="11765" spans="1:4" ht="25.5" customHeight="1" x14ac:dyDescent="0.2">
      <c r="B11765" s="11" t="s">
        <v>2600</v>
      </c>
      <c r="C11765" s="11" t="s">
        <v>4433</v>
      </c>
    </row>
    <row r="11766" spans="1:4" ht="25.5" customHeight="1" x14ac:dyDescent="0.2">
      <c r="B11766" s="11" t="s">
        <v>2601</v>
      </c>
      <c r="C11766" s="11"/>
    </row>
    <row r="11767" spans="1:4" ht="12.75" customHeight="1" x14ac:dyDescent="0.2">
      <c r="B11767" s="11" t="s">
        <v>16</v>
      </c>
      <c r="C11767" s="11"/>
    </row>
    <row r="11768" spans="1:4" ht="12.75" customHeight="1" x14ac:dyDescent="0.2">
      <c r="B11768" s="11" t="s">
        <v>13</v>
      </c>
      <c r="C11768" s="11" t="s">
        <v>2644</v>
      </c>
    </row>
    <row r="11769" spans="1:4" ht="12.75" customHeight="1" x14ac:dyDescent="0.2">
      <c r="B11769" s="11" t="s">
        <v>2603</v>
      </c>
      <c r="C11769" s="11" t="s">
        <v>2604</v>
      </c>
    </row>
    <row r="11770" spans="1:4" ht="12.75" customHeight="1" x14ac:dyDescent="0.2">
      <c r="B11770" s="11" t="s">
        <v>2605</v>
      </c>
      <c r="C11770" s="11" t="s">
        <v>24</v>
      </c>
    </row>
    <row r="11771" spans="1:4" ht="12.75" customHeight="1" x14ac:dyDescent="0.2">
      <c r="B11771" s="11" t="s">
        <v>2606</v>
      </c>
      <c r="C11771" s="16" t="s">
        <v>44</v>
      </c>
      <c r="D11771" s="6" t="str">
        <f>HYPERLINK("javascript:void(0)","mechodron")</f>
        <v>mechodron</v>
      </c>
    </row>
    <row r="11772" spans="1:4" ht="12.75" customHeight="1" x14ac:dyDescent="0.2">
      <c r="B11772" s="2"/>
      <c r="C11772" s="15"/>
      <c r="D11772" s="2"/>
    </row>
    <row r="11773" spans="1:4" ht="12.75" customHeight="1" x14ac:dyDescent="0.2">
      <c r="B11773" s="2"/>
      <c r="C11773" s="15"/>
      <c r="D11773" s="2"/>
    </row>
    <row r="11774" spans="1:4" ht="12.75" customHeight="1" x14ac:dyDescent="0.2">
      <c r="A11774" s="13" t="s">
        <v>4434</v>
      </c>
      <c r="C11774" s="12"/>
      <c r="D11774" s="2"/>
    </row>
    <row r="11775" spans="1:4" ht="12.75" customHeight="1" x14ac:dyDescent="0.2">
      <c r="A11775" s="11"/>
      <c r="B11775" s="2"/>
      <c r="C11775" s="15"/>
      <c r="D11775" s="2"/>
    </row>
    <row r="11776" spans="1:4" ht="12.75" customHeight="1" x14ac:dyDescent="0.2">
      <c r="B11776" s="11" t="s">
        <v>0</v>
      </c>
      <c r="C11776" s="17" t="s">
        <v>65</v>
      </c>
      <c r="D11776" s="2"/>
    </row>
    <row r="11777" spans="1:4" ht="12.75" customHeight="1" x14ac:dyDescent="0.2">
      <c r="B11777" s="11" t="s">
        <v>2599</v>
      </c>
      <c r="C11777" s="17" t="s">
        <v>4435</v>
      </c>
      <c r="D11777" s="2"/>
    </row>
    <row r="11778" spans="1:4" ht="25.5" customHeight="1" x14ac:dyDescent="0.2">
      <c r="B11778" s="11" t="s">
        <v>2600</v>
      </c>
      <c r="C11778" s="17" t="s">
        <v>4436</v>
      </c>
      <c r="D11778" s="2"/>
    </row>
    <row r="11779" spans="1:4" ht="25.5" customHeight="1" x14ac:dyDescent="0.2">
      <c r="B11779" s="11" t="s">
        <v>2601</v>
      </c>
      <c r="C11779" s="17"/>
      <c r="D11779" s="2"/>
    </row>
    <row r="11780" spans="1:4" ht="12.75" customHeight="1" x14ac:dyDescent="0.2">
      <c r="B11780" s="11" t="s">
        <v>16</v>
      </c>
      <c r="C11780" s="17"/>
      <c r="D11780" s="2"/>
    </row>
    <row r="11781" spans="1:4" ht="12.75" customHeight="1" x14ac:dyDescent="0.2">
      <c r="B11781" s="11" t="s">
        <v>13</v>
      </c>
      <c r="C11781" s="17" t="s">
        <v>2644</v>
      </c>
      <c r="D11781" s="2"/>
    </row>
    <row r="11782" spans="1:4" ht="25.5" customHeight="1" x14ac:dyDescent="0.2">
      <c r="B11782" s="11" t="s">
        <v>2603</v>
      </c>
      <c r="C11782" s="17" t="s">
        <v>2971</v>
      </c>
      <c r="D11782" s="2"/>
    </row>
    <row r="11783" spans="1:4" ht="12.75" customHeight="1" x14ac:dyDescent="0.2">
      <c r="B11783" s="11" t="s">
        <v>2605</v>
      </c>
      <c r="C11783" s="17" t="s">
        <v>14</v>
      </c>
      <c r="D11783" s="2"/>
    </row>
    <row r="11784" spans="1:4" ht="12.75" customHeight="1" x14ac:dyDescent="0.2">
      <c r="B11784" s="11" t="s">
        <v>2606</v>
      </c>
      <c r="C11784" s="16" t="s">
        <v>19</v>
      </c>
      <c r="D11784" s="2"/>
    </row>
    <row r="11785" spans="1:4" ht="12.75" customHeight="1" x14ac:dyDescent="0.2">
      <c r="B11785" s="2"/>
      <c r="C11785" s="15"/>
      <c r="D11785" s="2"/>
    </row>
    <row r="11786" spans="1:4" ht="12.75" customHeight="1" x14ac:dyDescent="0.2">
      <c r="B11786" s="2"/>
      <c r="C11786" s="15"/>
      <c r="D11786" s="2"/>
    </row>
    <row r="11787" spans="1:4" ht="12.75" customHeight="1" x14ac:dyDescent="0.2">
      <c r="A11787" s="13" t="s">
        <v>4437</v>
      </c>
      <c r="C11787" s="12"/>
      <c r="D11787" s="2"/>
    </row>
    <row r="11788" spans="1:4" ht="12.75" customHeight="1" x14ac:dyDescent="0.2">
      <c r="A11788" s="11"/>
      <c r="B11788" s="2"/>
      <c r="C11788" s="15"/>
      <c r="D11788" s="2"/>
    </row>
    <row r="11789" spans="1:4" ht="12.75" customHeight="1" x14ac:dyDescent="0.2">
      <c r="B11789" s="11" t="s">
        <v>0</v>
      </c>
      <c r="C11789" s="17" t="s">
        <v>65</v>
      </c>
      <c r="D11789" s="2"/>
    </row>
    <row r="11790" spans="1:4" ht="12.75" customHeight="1" x14ac:dyDescent="0.2">
      <c r="B11790" s="11" t="s">
        <v>2599</v>
      </c>
      <c r="C11790" s="17" t="s">
        <v>4438</v>
      </c>
      <c r="D11790" s="2"/>
    </row>
    <row r="11791" spans="1:4" ht="25.5" customHeight="1" x14ac:dyDescent="0.2">
      <c r="B11791" s="11" t="s">
        <v>2600</v>
      </c>
      <c r="C11791" s="17" t="s">
        <v>4439</v>
      </c>
      <c r="D11791" s="2"/>
    </row>
    <row r="11792" spans="1:4" ht="25.5" customHeight="1" x14ac:dyDescent="0.2">
      <c r="B11792" s="11" t="s">
        <v>2601</v>
      </c>
      <c r="C11792" s="17"/>
      <c r="D11792" s="2"/>
    </row>
    <row r="11793" spans="1:4" ht="12.75" customHeight="1" x14ac:dyDescent="0.2">
      <c r="B11793" s="11" t="s">
        <v>16</v>
      </c>
      <c r="C11793" s="17"/>
      <c r="D11793" s="2"/>
    </row>
    <row r="11794" spans="1:4" ht="12.75" customHeight="1" x14ac:dyDescent="0.2">
      <c r="B11794" s="11" t="s">
        <v>13</v>
      </c>
      <c r="C11794" s="17" t="s">
        <v>2602</v>
      </c>
      <c r="D11794" s="2"/>
    </row>
    <row r="11795" spans="1:4" ht="25.5" customHeight="1" x14ac:dyDescent="0.2">
      <c r="B11795" s="11" t="s">
        <v>2603</v>
      </c>
      <c r="C11795" s="17" t="s">
        <v>2971</v>
      </c>
      <c r="D11795" s="2"/>
    </row>
    <row r="11796" spans="1:4" ht="12.75" customHeight="1" x14ac:dyDescent="0.2">
      <c r="B11796" s="11" t="s">
        <v>2605</v>
      </c>
      <c r="C11796" s="17" t="s">
        <v>14</v>
      </c>
      <c r="D11796" s="2"/>
    </row>
    <row r="11797" spans="1:4" ht="12.75" customHeight="1" x14ac:dyDescent="0.2">
      <c r="B11797" s="11" t="s">
        <v>2606</v>
      </c>
      <c r="C11797" s="16" t="s">
        <v>19</v>
      </c>
      <c r="D11797" s="2"/>
    </row>
    <row r="11798" spans="1:4" ht="12.75" customHeight="1" x14ac:dyDescent="0.2">
      <c r="B11798" s="2"/>
      <c r="C11798" s="15"/>
      <c r="D11798" s="2"/>
    </row>
    <row r="11799" spans="1:4" ht="12.75" customHeight="1" x14ac:dyDescent="0.2">
      <c r="B11799" s="2"/>
      <c r="C11799" s="15"/>
      <c r="D11799" s="2"/>
    </row>
    <row r="11800" spans="1:4" ht="12.75" customHeight="1" x14ac:dyDescent="0.2">
      <c r="A11800" s="13" t="s">
        <v>4405</v>
      </c>
      <c r="C11800" s="12"/>
      <c r="D11800" s="2"/>
    </row>
    <row r="11801" spans="1:4" ht="12.75" customHeight="1" x14ac:dyDescent="0.2">
      <c r="A11801" s="11"/>
      <c r="B11801" s="2"/>
      <c r="C11801" s="15"/>
      <c r="D11801" s="2"/>
    </row>
    <row r="11802" spans="1:4" ht="12.75" customHeight="1" x14ac:dyDescent="0.2">
      <c r="B11802" s="11" t="s">
        <v>0</v>
      </c>
      <c r="C11802" s="17" t="s">
        <v>680</v>
      </c>
      <c r="D11802" s="2"/>
    </row>
    <row r="11803" spans="1:4" ht="12.75" customHeight="1" x14ac:dyDescent="0.2">
      <c r="B11803" s="11" t="s">
        <v>2599</v>
      </c>
      <c r="C11803" s="17" t="s">
        <v>3637</v>
      </c>
      <c r="D11803" s="2"/>
    </row>
    <row r="11804" spans="1:4" ht="25.5" customHeight="1" x14ac:dyDescent="0.2">
      <c r="B11804" s="11" t="s">
        <v>2600</v>
      </c>
      <c r="C11804" s="17" t="s">
        <v>4440</v>
      </c>
      <c r="D11804" s="2"/>
    </row>
    <row r="11805" spans="1:4" ht="25.5" customHeight="1" x14ac:dyDescent="0.2">
      <c r="B11805" s="11" t="s">
        <v>2601</v>
      </c>
      <c r="C11805" s="17"/>
      <c r="D11805" s="2"/>
    </row>
    <row r="11806" spans="1:4" ht="12.75" customHeight="1" x14ac:dyDescent="0.2">
      <c r="B11806" s="11" t="s">
        <v>16</v>
      </c>
      <c r="C11806" s="17"/>
      <c r="D11806" s="2"/>
    </row>
    <row r="11807" spans="1:4" ht="12.75" customHeight="1" x14ac:dyDescent="0.2">
      <c r="B11807" s="11" t="s">
        <v>13</v>
      </c>
      <c r="C11807" s="17" t="s">
        <v>2644</v>
      </c>
      <c r="D11807" s="2"/>
    </row>
    <row r="11808" spans="1:4" ht="25.5" customHeight="1" x14ac:dyDescent="0.2">
      <c r="B11808" s="11" t="s">
        <v>2603</v>
      </c>
      <c r="C11808" s="17" t="s">
        <v>2971</v>
      </c>
      <c r="D11808" s="2"/>
    </row>
    <row r="11809" spans="1:4" ht="12.75" customHeight="1" x14ac:dyDescent="0.2">
      <c r="B11809" s="11" t="s">
        <v>2605</v>
      </c>
      <c r="C11809" s="17" t="s">
        <v>14</v>
      </c>
      <c r="D11809" s="2"/>
    </row>
    <row r="11810" spans="1:4" ht="12.75" customHeight="1" x14ac:dyDescent="0.2">
      <c r="B11810" s="11" t="s">
        <v>2606</v>
      </c>
      <c r="C11810" s="16" t="s">
        <v>19</v>
      </c>
      <c r="D11810" s="2"/>
    </row>
    <row r="11811" spans="1:4" ht="12.75" customHeight="1" x14ac:dyDescent="0.2">
      <c r="B11811" s="2"/>
      <c r="C11811" s="15"/>
      <c r="D11811" s="2"/>
    </row>
    <row r="11812" spans="1:4" ht="12.75" customHeight="1" x14ac:dyDescent="0.2">
      <c r="B11812" s="2"/>
      <c r="C11812" s="15"/>
      <c r="D11812" s="2"/>
    </row>
    <row r="11813" spans="1:4" ht="12.75" customHeight="1" x14ac:dyDescent="0.2">
      <c r="A11813" s="13" t="s">
        <v>4408</v>
      </c>
      <c r="C11813" s="12"/>
      <c r="D11813" s="2"/>
    </row>
    <row r="11814" spans="1:4" ht="12.75" customHeight="1" x14ac:dyDescent="0.2">
      <c r="A11814" s="11"/>
      <c r="B11814" s="2"/>
      <c r="C11814" s="15"/>
      <c r="D11814" s="2"/>
    </row>
    <row r="11815" spans="1:4" ht="12.75" customHeight="1" x14ac:dyDescent="0.2">
      <c r="B11815" s="11" t="s">
        <v>0</v>
      </c>
      <c r="C11815" s="17" t="s">
        <v>680</v>
      </c>
      <c r="D11815" s="2"/>
    </row>
    <row r="11816" spans="1:4" ht="12.75" customHeight="1" x14ac:dyDescent="0.2">
      <c r="B11816" s="11" t="s">
        <v>2599</v>
      </c>
      <c r="C11816" s="17" t="s">
        <v>4441</v>
      </c>
      <c r="D11816" s="2"/>
    </row>
    <row r="11817" spans="1:4" ht="25.5" customHeight="1" x14ac:dyDescent="0.2">
      <c r="B11817" s="11" t="s">
        <v>2600</v>
      </c>
      <c r="C11817" s="17" t="s">
        <v>4442</v>
      </c>
      <c r="D11817" s="2"/>
    </row>
    <row r="11818" spans="1:4" ht="25.5" customHeight="1" x14ac:dyDescent="0.2">
      <c r="B11818" s="11" t="s">
        <v>2601</v>
      </c>
      <c r="C11818" s="17"/>
      <c r="D11818" s="2"/>
    </row>
    <row r="11819" spans="1:4" ht="12.75" customHeight="1" x14ac:dyDescent="0.2">
      <c r="B11819" s="11" t="s">
        <v>16</v>
      </c>
      <c r="C11819" s="17"/>
      <c r="D11819" s="2"/>
    </row>
    <row r="11820" spans="1:4" ht="12.75" customHeight="1" x14ac:dyDescent="0.2">
      <c r="B11820" s="11" t="s">
        <v>13</v>
      </c>
      <c r="C11820" s="17" t="s">
        <v>2602</v>
      </c>
      <c r="D11820" s="2"/>
    </row>
    <row r="11821" spans="1:4" ht="25.5" customHeight="1" x14ac:dyDescent="0.2">
      <c r="B11821" s="11" t="s">
        <v>2603</v>
      </c>
      <c r="C11821" s="17" t="s">
        <v>2971</v>
      </c>
      <c r="D11821" s="2"/>
    </row>
    <row r="11822" spans="1:4" ht="12.75" customHeight="1" x14ac:dyDescent="0.2">
      <c r="B11822" s="11" t="s">
        <v>2605</v>
      </c>
      <c r="C11822" s="17" t="s">
        <v>14</v>
      </c>
      <c r="D11822" s="2"/>
    </row>
    <row r="11823" spans="1:4" ht="12.75" customHeight="1" x14ac:dyDescent="0.2">
      <c r="B11823" s="11" t="s">
        <v>2606</v>
      </c>
      <c r="C11823" s="16" t="s">
        <v>19</v>
      </c>
      <c r="D11823" s="2"/>
    </row>
    <row r="11824" spans="1:4" ht="12.75" customHeight="1" x14ac:dyDescent="0.2">
      <c r="B11824" s="2"/>
      <c r="C11824" s="15"/>
      <c r="D11824" s="2"/>
    </row>
    <row r="11825" spans="1:4" ht="12.75" customHeight="1" x14ac:dyDescent="0.2">
      <c r="B11825" s="2"/>
      <c r="C11825" s="15"/>
      <c r="D11825" s="2"/>
    </row>
    <row r="11826" spans="1:4" ht="12.75" customHeight="1" x14ac:dyDescent="0.2">
      <c r="A11826" s="13" t="s">
        <v>4443</v>
      </c>
      <c r="C11826" s="12"/>
    </row>
    <row r="11827" spans="1:4" ht="12.75" customHeight="1" x14ac:dyDescent="0.2">
      <c r="A11827" s="11"/>
      <c r="B11827" s="2"/>
      <c r="C11827" s="15"/>
      <c r="D11827" s="2"/>
    </row>
    <row r="11828" spans="1:4" ht="12.75" customHeight="1" x14ac:dyDescent="0.2">
      <c r="B11828" s="11" t="s">
        <v>0</v>
      </c>
      <c r="C11828" s="11" t="s">
        <v>680</v>
      </c>
    </row>
    <row r="11829" spans="1:4" ht="12.75" customHeight="1" x14ac:dyDescent="0.2">
      <c r="B11829" s="11" t="s">
        <v>2599</v>
      </c>
      <c r="C11829" s="11" t="s">
        <v>4444</v>
      </c>
    </row>
    <row r="11830" spans="1:4" ht="25.5" customHeight="1" x14ac:dyDescent="0.2">
      <c r="B11830" s="11" t="s">
        <v>2600</v>
      </c>
      <c r="C11830" s="11" t="s">
        <v>4305</v>
      </c>
    </row>
    <row r="11831" spans="1:4" ht="25.5" customHeight="1" x14ac:dyDescent="0.2">
      <c r="B11831" s="11" t="s">
        <v>2601</v>
      </c>
      <c r="C11831" s="11"/>
    </row>
    <row r="11832" spans="1:4" ht="12.75" customHeight="1" x14ac:dyDescent="0.2">
      <c r="B11832" s="11" t="s">
        <v>16</v>
      </c>
      <c r="C11832" s="11"/>
    </row>
    <row r="11833" spans="1:4" ht="12.75" customHeight="1" x14ac:dyDescent="0.2">
      <c r="B11833" s="11" t="s">
        <v>13</v>
      </c>
      <c r="C11833" s="11" t="s">
        <v>2602</v>
      </c>
    </row>
    <row r="11834" spans="1:4" ht="12.75" customHeight="1" x14ac:dyDescent="0.2">
      <c r="B11834" s="11" t="s">
        <v>2603</v>
      </c>
      <c r="C11834" s="11" t="s">
        <v>2604</v>
      </c>
    </row>
    <row r="11835" spans="1:4" ht="12.75" customHeight="1" x14ac:dyDescent="0.2">
      <c r="B11835" s="11" t="s">
        <v>2605</v>
      </c>
      <c r="C11835" s="11" t="s">
        <v>14</v>
      </c>
    </row>
    <row r="11836" spans="1:4" ht="12.75" customHeight="1" x14ac:dyDescent="0.2">
      <c r="B11836" s="11" t="s">
        <v>2606</v>
      </c>
      <c r="C11836" s="16" t="s">
        <v>139</v>
      </c>
      <c r="D11836" s="6" t="str">
        <f>HYPERLINK("javascript:void(0)","kincs")</f>
        <v>kincs</v>
      </c>
    </row>
    <row r="11837" spans="1:4" ht="12.75" customHeight="1" x14ac:dyDescent="0.2">
      <c r="B11837" s="2"/>
      <c r="C11837" s="15"/>
      <c r="D11837" s="2"/>
    </row>
    <row r="11838" spans="1:4" ht="12.75" customHeight="1" x14ac:dyDescent="0.2">
      <c r="B11838" s="2"/>
      <c r="C11838" s="15"/>
      <c r="D11838" s="2"/>
    </row>
    <row r="11839" spans="1:4" ht="12.75" customHeight="1" x14ac:dyDescent="0.2">
      <c r="A11839" s="13" t="s">
        <v>4445</v>
      </c>
      <c r="C11839" s="12"/>
    </row>
    <row r="11840" spans="1:4" ht="12.75" customHeight="1" x14ac:dyDescent="0.2">
      <c r="A11840" s="11"/>
      <c r="B11840" s="2"/>
      <c r="C11840" s="15"/>
      <c r="D11840" s="2"/>
    </row>
    <row r="11841" spans="1:4" ht="12.75" customHeight="1" x14ac:dyDescent="0.2">
      <c r="B11841" s="11" t="s">
        <v>0</v>
      </c>
      <c r="C11841" s="11" t="s">
        <v>680</v>
      </c>
    </row>
    <row r="11842" spans="1:4" ht="12.75" customHeight="1" x14ac:dyDescent="0.2">
      <c r="B11842" s="11" t="s">
        <v>2599</v>
      </c>
      <c r="C11842" s="11" t="s">
        <v>4446</v>
      </c>
    </row>
    <row r="11843" spans="1:4" ht="25.5" customHeight="1" x14ac:dyDescent="0.2">
      <c r="B11843" s="11" t="s">
        <v>2600</v>
      </c>
      <c r="C11843" s="11" t="s">
        <v>4447</v>
      </c>
    </row>
    <row r="11844" spans="1:4" ht="25.5" customHeight="1" x14ac:dyDescent="0.2">
      <c r="B11844" s="11" t="s">
        <v>2601</v>
      </c>
      <c r="C11844" s="11"/>
    </row>
    <row r="11845" spans="1:4" ht="12.75" customHeight="1" x14ac:dyDescent="0.2">
      <c r="B11845" s="11" t="s">
        <v>16</v>
      </c>
      <c r="C11845" s="11"/>
    </row>
    <row r="11846" spans="1:4" ht="12.75" customHeight="1" x14ac:dyDescent="0.2">
      <c r="B11846" s="11" t="s">
        <v>13</v>
      </c>
      <c r="C11846" s="11" t="s">
        <v>2602</v>
      </c>
    </row>
    <row r="11847" spans="1:4" ht="12.75" customHeight="1" x14ac:dyDescent="0.2">
      <c r="B11847" s="11" t="s">
        <v>2603</v>
      </c>
      <c r="C11847" s="11" t="s">
        <v>2604</v>
      </c>
    </row>
    <row r="11848" spans="1:4" ht="12.75" customHeight="1" x14ac:dyDescent="0.2">
      <c r="B11848" s="11" t="s">
        <v>2605</v>
      </c>
      <c r="C11848" s="11" t="s">
        <v>14</v>
      </c>
    </row>
    <row r="11849" spans="1:4" ht="12.75" customHeight="1" x14ac:dyDescent="0.2">
      <c r="B11849" s="11" t="s">
        <v>2606</v>
      </c>
      <c r="C11849" s="16" t="s">
        <v>98</v>
      </c>
      <c r="D11849" s="6" t="str">
        <f>HYPERLINK("javascript:void(0)","kincs")</f>
        <v>kincs</v>
      </c>
    </row>
    <row r="11850" spans="1:4" ht="12.75" customHeight="1" x14ac:dyDescent="0.2">
      <c r="B11850" s="2"/>
      <c r="C11850" s="15"/>
      <c r="D11850" s="2"/>
    </row>
    <row r="11851" spans="1:4" ht="12.75" customHeight="1" x14ac:dyDescent="0.2">
      <c r="B11851" s="2"/>
      <c r="C11851" s="15"/>
      <c r="D11851" s="2"/>
    </row>
    <row r="11852" spans="1:4" ht="12.75" customHeight="1" x14ac:dyDescent="0.2">
      <c r="A11852" s="13" t="s">
        <v>4448</v>
      </c>
      <c r="C11852" s="12"/>
    </row>
    <row r="11853" spans="1:4" ht="12.75" customHeight="1" x14ac:dyDescent="0.2">
      <c r="A11853" s="11"/>
      <c r="B11853" s="2"/>
      <c r="C11853" s="15"/>
      <c r="D11853" s="2"/>
    </row>
    <row r="11854" spans="1:4" ht="12.75" customHeight="1" x14ac:dyDescent="0.2">
      <c r="B11854" s="11" t="s">
        <v>0</v>
      </c>
      <c r="C11854" s="11" t="s">
        <v>680</v>
      </c>
    </row>
    <row r="11855" spans="1:4" ht="12.75" customHeight="1" x14ac:dyDescent="0.2">
      <c r="B11855" s="11" t="s">
        <v>2599</v>
      </c>
      <c r="C11855" s="11" t="s">
        <v>4449</v>
      </c>
    </row>
    <row r="11856" spans="1:4" ht="25.5" customHeight="1" x14ac:dyDescent="0.2">
      <c r="B11856" s="11" t="s">
        <v>2600</v>
      </c>
      <c r="C11856" s="11" t="s">
        <v>4450</v>
      </c>
    </row>
    <row r="11857" spans="1:4" ht="25.5" customHeight="1" x14ac:dyDescent="0.2">
      <c r="B11857" s="11" t="s">
        <v>2601</v>
      </c>
      <c r="C11857" s="11"/>
    </row>
    <row r="11858" spans="1:4" ht="12.75" customHeight="1" x14ac:dyDescent="0.2">
      <c r="B11858" s="11" t="s">
        <v>16</v>
      </c>
      <c r="C11858" s="11"/>
    </row>
    <row r="11859" spans="1:4" ht="12.75" customHeight="1" x14ac:dyDescent="0.2">
      <c r="B11859" s="11" t="s">
        <v>13</v>
      </c>
      <c r="C11859" s="11" t="s">
        <v>2602</v>
      </c>
    </row>
    <row r="11860" spans="1:4" ht="12.75" customHeight="1" x14ac:dyDescent="0.2">
      <c r="B11860" s="11" t="s">
        <v>2603</v>
      </c>
      <c r="C11860" s="11" t="s">
        <v>2604</v>
      </c>
    </row>
    <row r="11861" spans="1:4" ht="12.75" customHeight="1" x14ac:dyDescent="0.2">
      <c r="B11861" s="11" t="s">
        <v>2605</v>
      </c>
      <c r="C11861" s="11" t="s">
        <v>24</v>
      </c>
    </row>
    <row r="11862" spans="1:4" ht="12.75" customHeight="1" x14ac:dyDescent="0.2">
      <c r="B11862" s="11" t="s">
        <v>2606</v>
      </c>
      <c r="C11862" s="16" t="s">
        <v>44</v>
      </c>
      <c r="D11862" s="6" t="str">
        <f>HYPERLINK("javascript:void(0)","ezüströg")</f>
        <v>ezüströg</v>
      </c>
    </row>
    <row r="11863" spans="1:4" ht="12.75" customHeight="1" x14ac:dyDescent="0.2">
      <c r="C11863" s="16" t="s">
        <v>951</v>
      </c>
      <c r="D11863" s="6" t="str">
        <f>HYPERLINK("javascript:void(0)","ezüst")</f>
        <v>ezüst</v>
      </c>
    </row>
    <row r="11864" spans="1:4" ht="12.75" customHeight="1" x14ac:dyDescent="0.2">
      <c r="B11864" s="2"/>
      <c r="C11864" s="15"/>
      <c r="D11864" s="2"/>
    </row>
    <row r="11865" spans="1:4" ht="12.75" customHeight="1" x14ac:dyDescent="0.2">
      <c r="B11865" s="2"/>
      <c r="C11865" s="15"/>
      <c r="D11865" s="2"/>
    </row>
    <row r="11866" spans="1:4" ht="12.75" customHeight="1" x14ac:dyDescent="0.2">
      <c r="A11866" s="13" t="s">
        <v>4451</v>
      </c>
      <c r="C11866" s="12"/>
    </row>
    <row r="11867" spans="1:4" ht="12.75" customHeight="1" x14ac:dyDescent="0.2">
      <c r="A11867" s="11"/>
      <c r="B11867" s="2"/>
      <c r="C11867" s="15"/>
      <c r="D11867" s="2"/>
    </row>
    <row r="11868" spans="1:4" ht="12.75" customHeight="1" x14ac:dyDescent="0.2">
      <c r="B11868" s="11" t="s">
        <v>0</v>
      </c>
      <c r="C11868" s="11" t="s">
        <v>680</v>
      </c>
    </row>
    <row r="11869" spans="1:4" ht="12.75" customHeight="1" x14ac:dyDescent="0.2">
      <c r="B11869" s="11" t="s">
        <v>2599</v>
      </c>
      <c r="C11869" s="11" t="s">
        <v>4452</v>
      </c>
    </row>
    <row r="11870" spans="1:4" ht="25.5" customHeight="1" x14ac:dyDescent="0.2">
      <c r="B11870" s="11" t="s">
        <v>2600</v>
      </c>
      <c r="C11870" s="11" t="s">
        <v>4453</v>
      </c>
    </row>
    <row r="11871" spans="1:4" ht="25.5" customHeight="1" x14ac:dyDescent="0.2">
      <c r="B11871" s="11" t="s">
        <v>2601</v>
      </c>
      <c r="C11871" s="11"/>
    </row>
    <row r="11872" spans="1:4" ht="12.75" customHeight="1" x14ac:dyDescent="0.2">
      <c r="B11872" s="11" t="s">
        <v>16</v>
      </c>
      <c r="C11872" s="11"/>
    </row>
    <row r="11873" spans="1:4" ht="12.75" customHeight="1" x14ac:dyDescent="0.2">
      <c r="B11873" s="11" t="s">
        <v>13</v>
      </c>
      <c r="C11873" s="11" t="s">
        <v>2602</v>
      </c>
    </row>
    <row r="11874" spans="1:4" ht="12.75" customHeight="1" x14ac:dyDescent="0.2">
      <c r="B11874" s="11" t="s">
        <v>2603</v>
      </c>
      <c r="C11874" s="11" t="s">
        <v>2604</v>
      </c>
    </row>
    <row r="11875" spans="1:4" ht="12.75" customHeight="1" x14ac:dyDescent="0.2">
      <c r="B11875" s="11" t="s">
        <v>2605</v>
      </c>
      <c r="C11875" s="11" t="s">
        <v>24</v>
      </c>
    </row>
    <row r="11876" spans="1:4" ht="12.75" customHeight="1" x14ac:dyDescent="0.2">
      <c r="B11876" s="11" t="s">
        <v>2606</v>
      </c>
      <c r="C11876" s="16" t="s">
        <v>44</v>
      </c>
      <c r="D11876" s="6" t="str">
        <f>HYPERLINK("javascript:void(0)","éjfény")</f>
        <v>éjfény</v>
      </c>
    </row>
    <row r="11877" spans="1:4" ht="12.75" customHeight="1" x14ac:dyDescent="0.2">
      <c r="B11877" s="2"/>
      <c r="C11877" s="15"/>
      <c r="D11877" s="2"/>
    </row>
    <row r="11878" spans="1:4" ht="12.75" customHeight="1" x14ac:dyDescent="0.2">
      <c r="B11878" s="2"/>
      <c r="C11878" s="15"/>
      <c r="D11878" s="2"/>
    </row>
    <row r="11879" spans="1:4" ht="12.75" customHeight="1" x14ac:dyDescent="0.2">
      <c r="A11879" s="13" t="s">
        <v>4454</v>
      </c>
      <c r="C11879" s="12"/>
    </row>
    <row r="11880" spans="1:4" ht="12.75" customHeight="1" x14ac:dyDescent="0.2">
      <c r="A11880" s="11"/>
      <c r="B11880" s="2"/>
      <c r="C11880" s="15"/>
      <c r="D11880" s="2"/>
    </row>
    <row r="11881" spans="1:4" ht="12.75" customHeight="1" x14ac:dyDescent="0.2">
      <c r="B11881" s="11" t="s">
        <v>0</v>
      </c>
      <c r="C11881" s="11" t="s">
        <v>680</v>
      </c>
    </row>
    <row r="11882" spans="1:4" ht="12.75" customHeight="1" x14ac:dyDescent="0.2">
      <c r="B11882" s="11" t="s">
        <v>2599</v>
      </c>
      <c r="C11882" s="11" t="s">
        <v>1945</v>
      </c>
    </row>
    <row r="11883" spans="1:4" ht="25.5" customHeight="1" x14ac:dyDescent="0.2">
      <c r="B11883" s="11" t="s">
        <v>2600</v>
      </c>
      <c r="C11883" s="11" t="s">
        <v>4455</v>
      </c>
    </row>
    <row r="11884" spans="1:4" ht="25.5" customHeight="1" x14ac:dyDescent="0.2">
      <c r="B11884" s="11" t="s">
        <v>2601</v>
      </c>
      <c r="C11884" s="11"/>
    </row>
    <row r="11885" spans="1:4" ht="12.75" customHeight="1" x14ac:dyDescent="0.2">
      <c r="B11885" s="11" t="s">
        <v>16</v>
      </c>
      <c r="C11885" s="11"/>
    </row>
    <row r="11886" spans="1:4" ht="12.75" customHeight="1" x14ac:dyDescent="0.2">
      <c r="B11886" s="11" t="s">
        <v>13</v>
      </c>
      <c r="C11886" s="11" t="s">
        <v>2644</v>
      </c>
    </row>
    <row r="11887" spans="1:4" ht="12.75" customHeight="1" x14ac:dyDescent="0.2">
      <c r="B11887" s="11" t="s">
        <v>2603</v>
      </c>
      <c r="C11887" s="11" t="s">
        <v>2604</v>
      </c>
    </row>
    <row r="11888" spans="1:4" ht="12.75" customHeight="1" x14ac:dyDescent="0.2">
      <c r="B11888" s="11" t="s">
        <v>2605</v>
      </c>
      <c r="C11888" s="11" t="s">
        <v>24</v>
      </c>
    </row>
    <row r="11889" spans="1:4" ht="12.75" customHeight="1" x14ac:dyDescent="0.2">
      <c r="B11889" s="11" t="s">
        <v>2606</v>
      </c>
      <c r="C11889" s="16" t="s">
        <v>117</v>
      </c>
      <c r="D11889" s="6" t="str">
        <f>HYPERLINK("javascript:void(0)","kincs")</f>
        <v>kincs</v>
      </c>
    </row>
    <row r="11890" spans="1:4" ht="12.75" customHeight="1" x14ac:dyDescent="0.2">
      <c r="B11890" s="2"/>
      <c r="C11890" s="15"/>
      <c r="D11890" s="2"/>
    </row>
    <row r="11891" spans="1:4" ht="12.75" customHeight="1" x14ac:dyDescent="0.2">
      <c r="B11891" s="2"/>
      <c r="C11891" s="15"/>
      <c r="D11891" s="2"/>
    </row>
    <row r="11892" spans="1:4" ht="12.75" customHeight="1" x14ac:dyDescent="0.2">
      <c r="A11892" s="13" t="s">
        <v>4456</v>
      </c>
      <c r="C11892" s="12"/>
    </row>
    <row r="11893" spans="1:4" ht="12.75" customHeight="1" x14ac:dyDescent="0.2">
      <c r="A11893" s="11"/>
      <c r="B11893" s="2"/>
      <c r="C11893" s="15"/>
      <c r="D11893" s="2"/>
    </row>
    <row r="11894" spans="1:4" ht="12.75" customHeight="1" x14ac:dyDescent="0.2">
      <c r="B11894" s="11" t="s">
        <v>0</v>
      </c>
      <c r="C11894" s="11" t="s">
        <v>680</v>
      </c>
    </row>
    <row r="11895" spans="1:4" ht="12.75" customHeight="1" x14ac:dyDescent="0.2">
      <c r="B11895" s="11" t="s">
        <v>2599</v>
      </c>
      <c r="C11895" s="11" t="s">
        <v>4457</v>
      </c>
    </row>
    <row r="11896" spans="1:4" ht="25.5" customHeight="1" x14ac:dyDescent="0.2">
      <c r="B11896" s="11" t="s">
        <v>2600</v>
      </c>
      <c r="C11896" s="11" t="s">
        <v>4458</v>
      </c>
    </row>
    <row r="11897" spans="1:4" ht="25.5" customHeight="1" x14ac:dyDescent="0.2">
      <c r="B11897" s="11" t="s">
        <v>2601</v>
      </c>
      <c r="C11897" s="11"/>
    </row>
    <row r="11898" spans="1:4" ht="12.75" customHeight="1" x14ac:dyDescent="0.2">
      <c r="B11898" s="11" t="s">
        <v>16</v>
      </c>
      <c r="C11898" s="11"/>
    </row>
    <row r="11899" spans="1:4" ht="12.75" customHeight="1" x14ac:dyDescent="0.2">
      <c r="B11899" s="11" t="s">
        <v>13</v>
      </c>
      <c r="C11899" s="11" t="s">
        <v>2644</v>
      </c>
    </row>
    <row r="11900" spans="1:4" ht="12.75" customHeight="1" x14ac:dyDescent="0.2">
      <c r="B11900" s="11" t="s">
        <v>2603</v>
      </c>
      <c r="C11900" s="11" t="s">
        <v>2604</v>
      </c>
    </row>
    <row r="11901" spans="1:4" ht="12.75" customHeight="1" x14ac:dyDescent="0.2">
      <c r="B11901" s="11" t="s">
        <v>2605</v>
      </c>
      <c r="C11901" s="11" t="s">
        <v>24</v>
      </c>
    </row>
    <row r="11902" spans="1:4" ht="12.75" customHeight="1" x14ac:dyDescent="0.2">
      <c r="B11902" s="11" t="s">
        <v>2606</v>
      </c>
      <c r="C11902" s="16" t="s">
        <v>67</v>
      </c>
      <c r="D11902" s="6" t="str">
        <f>HYPERLINK("javascript:void(0)","kincs")</f>
        <v>kincs</v>
      </c>
    </row>
    <row r="11903" spans="1:4" ht="12.75" customHeight="1" x14ac:dyDescent="0.2">
      <c r="B11903" s="2"/>
      <c r="C11903" s="15"/>
      <c r="D11903" s="2"/>
    </row>
    <row r="11904" spans="1:4" ht="12.75" customHeight="1" x14ac:dyDescent="0.2">
      <c r="B11904" s="2"/>
      <c r="C11904" s="15"/>
      <c r="D11904" s="2"/>
    </row>
    <row r="11905" spans="1:4" ht="12.75" customHeight="1" x14ac:dyDescent="0.2">
      <c r="A11905" s="13" t="s">
        <v>4460</v>
      </c>
      <c r="C11905" s="12"/>
    </row>
    <row r="11906" spans="1:4" ht="12.75" customHeight="1" x14ac:dyDescent="0.2">
      <c r="A11906" s="11"/>
      <c r="B11906" s="2"/>
      <c r="C11906" s="15"/>
      <c r="D11906" s="2"/>
    </row>
    <row r="11907" spans="1:4" ht="12.75" customHeight="1" x14ac:dyDescent="0.2">
      <c r="B11907" s="11" t="s">
        <v>0</v>
      </c>
      <c r="C11907" s="11" t="s">
        <v>680</v>
      </c>
    </row>
    <row r="11908" spans="1:4" ht="12.75" customHeight="1" x14ac:dyDescent="0.2">
      <c r="B11908" s="11" t="s">
        <v>2599</v>
      </c>
      <c r="C11908" s="11" t="s">
        <v>3211</v>
      </c>
    </row>
    <row r="11909" spans="1:4" ht="25.5" customHeight="1" x14ac:dyDescent="0.2">
      <c r="B11909" s="11" t="s">
        <v>2600</v>
      </c>
      <c r="C11909" s="11" t="s">
        <v>4461</v>
      </c>
    </row>
    <row r="11910" spans="1:4" ht="25.5" customHeight="1" x14ac:dyDescent="0.2">
      <c r="B11910" s="11" t="s">
        <v>2601</v>
      </c>
      <c r="C11910" s="11"/>
    </row>
    <row r="11911" spans="1:4" ht="12.75" customHeight="1" x14ac:dyDescent="0.2">
      <c r="B11911" s="11" t="s">
        <v>16</v>
      </c>
      <c r="C11911" s="11"/>
    </row>
    <row r="11912" spans="1:4" ht="12.75" customHeight="1" x14ac:dyDescent="0.2">
      <c r="B11912" s="11" t="s">
        <v>13</v>
      </c>
      <c r="C11912" s="11" t="s">
        <v>2644</v>
      </c>
    </row>
    <row r="11913" spans="1:4" ht="12.75" customHeight="1" x14ac:dyDescent="0.2">
      <c r="B11913" s="11" t="s">
        <v>2603</v>
      </c>
      <c r="C11913" s="11" t="s">
        <v>2604</v>
      </c>
    </row>
    <row r="11914" spans="1:4" ht="12.75" customHeight="1" x14ac:dyDescent="0.2">
      <c r="B11914" s="11" t="s">
        <v>2605</v>
      </c>
      <c r="C11914" s="11" t="s">
        <v>14</v>
      </c>
    </row>
    <row r="11915" spans="1:4" ht="25.5" customHeight="1" x14ac:dyDescent="0.2">
      <c r="B11915" s="11" t="s">
        <v>2606</v>
      </c>
      <c r="C11915" s="16" t="s">
        <v>44</v>
      </c>
      <c r="D11915" s="6" t="str">
        <f>HYPERLINK("javascript:void(0)","pamacsprém")</f>
        <v>pamacsprém</v>
      </c>
    </row>
    <row r="11916" spans="1:4" ht="12.75" customHeight="1" x14ac:dyDescent="0.2">
      <c r="B11916" s="2"/>
      <c r="C11916" s="15"/>
      <c r="D11916" s="2"/>
    </row>
    <row r="11917" spans="1:4" ht="12.75" customHeight="1" x14ac:dyDescent="0.2">
      <c r="B11917" s="2"/>
      <c r="C11917" s="15"/>
      <c r="D11917" s="2"/>
    </row>
    <row r="11918" spans="1:4" ht="12.75" customHeight="1" x14ac:dyDescent="0.2">
      <c r="A11918" s="13" t="s">
        <v>4462</v>
      </c>
      <c r="C11918" s="12"/>
    </row>
    <row r="11919" spans="1:4" ht="12.75" customHeight="1" x14ac:dyDescent="0.2">
      <c r="A11919" s="11"/>
      <c r="B11919" s="2"/>
      <c r="C11919" s="15"/>
      <c r="D11919" s="2"/>
    </row>
    <row r="11920" spans="1:4" ht="12.75" customHeight="1" x14ac:dyDescent="0.2">
      <c r="B11920" s="11" t="s">
        <v>0</v>
      </c>
      <c r="C11920" s="11" t="s">
        <v>680</v>
      </c>
    </row>
    <row r="11921" spans="1:4" ht="12.75" customHeight="1" x14ac:dyDescent="0.2">
      <c r="B11921" s="11" t="s">
        <v>2599</v>
      </c>
      <c r="C11921" s="11" t="s">
        <v>1837</v>
      </c>
    </row>
    <row r="11922" spans="1:4" ht="25.5" customHeight="1" x14ac:dyDescent="0.2">
      <c r="B11922" s="11" t="s">
        <v>2600</v>
      </c>
      <c r="C11922" s="11" t="s">
        <v>4463</v>
      </c>
    </row>
    <row r="11923" spans="1:4" ht="25.5" customHeight="1" x14ac:dyDescent="0.2">
      <c r="B11923" s="11" t="s">
        <v>2601</v>
      </c>
      <c r="C11923" s="11"/>
    </row>
    <row r="11924" spans="1:4" ht="12.75" customHeight="1" x14ac:dyDescent="0.2">
      <c r="B11924" s="11" t="s">
        <v>16</v>
      </c>
      <c r="C11924" s="11"/>
    </row>
    <row r="11925" spans="1:4" ht="12.75" customHeight="1" x14ac:dyDescent="0.2">
      <c r="B11925" s="11" t="s">
        <v>13</v>
      </c>
      <c r="C11925" s="11" t="s">
        <v>2644</v>
      </c>
    </row>
    <row r="11926" spans="1:4" ht="12.75" customHeight="1" x14ac:dyDescent="0.2">
      <c r="B11926" s="11" t="s">
        <v>2603</v>
      </c>
      <c r="C11926" s="11" t="s">
        <v>2604</v>
      </c>
    </row>
    <row r="11927" spans="1:4" ht="12.75" customHeight="1" x14ac:dyDescent="0.2">
      <c r="B11927" s="11" t="s">
        <v>2605</v>
      </c>
      <c r="C11927" s="11" t="s">
        <v>14</v>
      </c>
    </row>
    <row r="11928" spans="1:4" ht="12.75" customHeight="1" x14ac:dyDescent="0.2">
      <c r="B11928" s="11" t="s">
        <v>2606</v>
      </c>
      <c r="C11928" s="16" t="s">
        <v>67</v>
      </c>
      <c r="D11928" s="6" t="str">
        <f>HYPERLINK("javascript:void(0)","kincs")</f>
        <v>kincs</v>
      </c>
    </row>
    <row r="11929" spans="1:4" ht="12.75" customHeight="1" x14ac:dyDescent="0.2">
      <c r="B11929" s="2"/>
      <c r="C11929" s="15"/>
      <c r="D11929" s="2"/>
    </row>
    <row r="11930" spans="1:4" ht="12.75" customHeight="1" x14ac:dyDescent="0.2">
      <c r="B11930" s="2"/>
      <c r="C11930" s="15"/>
      <c r="D11930" s="2"/>
    </row>
    <row r="11931" spans="1:4" ht="12.75" customHeight="1" x14ac:dyDescent="0.2">
      <c r="A11931" s="13" t="s">
        <v>4434</v>
      </c>
      <c r="C11931" s="12"/>
      <c r="D11931" s="2"/>
    </row>
    <row r="11932" spans="1:4" ht="12.75" customHeight="1" x14ac:dyDescent="0.2">
      <c r="A11932" s="11"/>
      <c r="B11932" s="2"/>
      <c r="C11932" s="15"/>
      <c r="D11932" s="2"/>
    </row>
    <row r="11933" spans="1:4" ht="12.75" customHeight="1" x14ac:dyDescent="0.2">
      <c r="B11933" s="11" t="s">
        <v>0</v>
      </c>
      <c r="C11933" s="17" t="s">
        <v>680</v>
      </c>
      <c r="D11933" s="2"/>
    </row>
    <row r="11934" spans="1:4" ht="12.75" customHeight="1" x14ac:dyDescent="0.2">
      <c r="B11934" s="11" t="s">
        <v>2599</v>
      </c>
      <c r="C11934" s="17" t="s">
        <v>4464</v>
      </c>
      <c r="D11934" s="2"/>
    </row>
    <row r="11935" spans="1:4" ht="25.5" customHeight="1" x14ac:dyDescent="0.2">
      <c r="B11935" s="11" t="s">
        <v>2600</v>
      </c>
      <c r="C11935" s="17" t="s">
        <v>4465</v>
      </c>
      <c r="D11935" s="2"/>
    </row>
    <row r="11936" spans="1:4" ht="25.5" customHeight="1" x14ac:dyDescent="0.2">
      <c r="B11936" s="11" t="s">
        <v>2601</v>
      </c>
      <c r="C11936" s="17"/>
      <c r="D11936" s="2"/>
    </row>
    <row r="11937" spans="1:4" ht="12.75" customHeight="1" x14ac:dyDescent="0.2">
      <c r="B11937" s="11" t="s">
        <v>16</v>
      </c>
      <c r="C11937" s="17"/>
      <c r="D11937" s="2"/>
    </row>
    <row r="11938" spans="1:4" ht="12.75" customHeight="1" x14ac:dyDescent="0.2">
      <c r="B11938" s="11" t="s">
        <v>13</v>
      </c>
      <c r="C11938" s="17" t="s">
        <v>2644</v>
      </c>
      <c r="D11938" s="2"/>
    </row>
    <row r="11939" spans="1:4" ht="25.5" customHeight="1" x14ac:dyDescent="0.2">
      <c r="B11939" s="11" t="s">
        <v>2603</v>
      </c>
      <c r="C11939" s="17" t="s">
        <v>2971</v>
      </c>
      <c r="D11939" s="2"/>
    </row>
    <row r="11940" spans="1:4" ht="12.75" customHeight="1" x14ac:dyDescent="0.2">
      <c r="B11940" s="11" t="s">
        <v>2605</v>
      </c>
      <c r="C11940" s="17" t="s">
        <v>14</v>
      </c>
      <c r="D11940" s="2"/>
    </row>
    <row r="11941" spans="1:4" ht="12.75" customHeight="1" x14ac:dyDescent="0.2">
      <c r="B11941" s="11" t="s">
        <v>2606</v>
      </c>
      <c r="C11941" s="16" t="s">
        <v>19</v>
      </c>
      <c r="D11941" s="2"/>
    </row>
    <row r="11942" spans="1:4" ht="12.75" customHeight="1" x14ac:dyDescent="0.2">
      <c r="B11942" s="2"/>
      <c r="C11942" s="15"/>
      <c r="D11942" s="2"/>
    </row>
    <row r="11943" spans="1:4" ht="12.75" customHeight="1" x14ac:dyDescent="0.2">
      <c r="B11943" s="2"/>
      <c r="C11943" s="15"/>
      <c r="D11943" s="2"/>
    </row>
    <row r="11944" spans="1:4" ht="12.75" customHeight="1" x14ac:dyDescent="0.2">
      <c r="A11944" s="13" t="s">
        <v>4437</v>
      </c>
      <c r="C11944" s="12"/>
      <c r="D11944" s="2"/>
    </row>
    <row r="11945" spans="1:4" ht="12.75" customHeight="1" x14ac:dyDescent="0.2">
      <c r="A11945" s="11"/>
      <c r="B11945" s="2"/>
      <c r="C11945" s="15"/>
      <c r="D11945" s="2"/>
    </row>
    <row r="11946" spans="1:4" ht="12.75" customHeight="1" x14ac:dyDescent="0.2">
      <c r="B11946" s="11" t="s">
        <v>0</v>
      </c>
      <c r="C11946" s="17" t="s">
        <v>680</v>
      </c>
      <c r="D11946" s="2"/>
    </row>
    <row r="11947" spans="1:4" ht="12.75" customHeight="1" x14ac:dyDescent="0.2">
      <c r="B11947" s="11" t="s">
        <v>2599</v>
      </c>
      <c r="C11947" s="17" t="s">
        <v>1933</v>
      </c>
      <c r="D11947" s="2"/>
    </row>
    <row r="11948" spans="1:4" ht="25.5" customHeight="1" x14ac:dyDescent="0.2">
      <c r="B11948" s="11" t="s">
        <v>2600</v>
      </c>
      <c r="C11948" s="17" t="s">
        <v>4466</v>
      </c>
      <c r="D11948" s="2"/>
    </row>
    <row r="11949" spans="1:4" ht="25.5" customHeight="1" x14ac:dyDescent="0.2">
      <c r="B11949" s="11" t="s">
        <v>2601</v>
      </c>
      <c r="C11949" s="17"/>
      <c r="D11949" s="2"/>
    </row>
    <row r="11950" spans="1:4" ht="12.75" customHeight="1" x14ac:dyDescent="0.2">
      <c r="B11950" s="11" t="s">
        <v>16</v>
      </c>
      <c r="C11950" s="17"/>
      <c r="D11950" s="2"/>
    </row>
    <row r="11951" spans="1:4" ht="12.75" customHeight="1" x14ac:dyDescent="0.2">
      <c r="B11951" s="11" t="s">
        <v>13</v>
      </c>
      <c r="C11951" s="17" t="s">
        <v>2602</v>
      </c>
      <c r="D11951" s="2"/>
    </row>
    <row r="11952" spans="1:4" ht="25.5" customHeight="1" x14ac:dyDescent="0.2">
      <c r="B11952" s="11" t="s">
        <v>2603</v>
      </c>
      <c r="C11952" s="17" t="s">
        <v>2971</v>
      </c>
      <c r="D11952" s="2"/>
    </row>
    <row r="11953" spans="1:4" ht="12.75" customHeight="1" x14ac:dyDescent="0.2">
      <c r="B11953" s="11" t="s">
        <v>2605</v>
      </c>
      <c r="C11953" s="17" t="s">
        <v>14</v>
      </c>
      <c r="D11953" s="2"/>
    </row>
    <row r="11954" spans="1:4" ht="12.75" customHeight="1" x14ac:dyDescent="0.2">
      <c r="B11954" s="11" t="s">
        <v>2606</v>
      </c>
      <c r="C11954" s="16" t="s">
        <v>19</v>
      </c>
      <c r="D11954" s="2"/>
    </row>
    <row r="11955" spans="1:4" ht="12.75" customHeight="1" x14ac:dyDescent="0.2">
      <c r="B11955" s="2"/>
      <c r="C11955" s="15"/>
      <c r="D11955" s="2"/>
    </row>
    <row r="11956" spans="1:4" ht="12.75" customHeight="1" x14ac:dyDescent="0.2">
      <c r="B11956" s="2"/>
      <c r="C11956" s="15"/>
      <c r="D11956" s="2"/>
    </row>
    <row r="11957" spans="1:4" ht="12.75" customHeight="1" x14ac:dyDescent="0.2">
      <c r="A11957" s="13" t="s">
        <v>4405</v>
      </c>
      <c r="C11957" s="12"/>
      <c r="D11957" s="2"/>
    </row>
    <row r="11958" spans="1:4" ht="12.75" customHeight="1" x14ac:dyDescent="0.2">
      <c r="A11958" s="11"/>
      <c r="B11958" s="2"/>
      <c r="C11958" s="15"/>
      <c r="D11958" s="2"/>
    </row>
    <row r="11959" spans="1:4" ht="12.75" customHeight="1" x14ac:dyDescent="0.2">
      <c r="B11959" s="11" t="s">
        <v>0</v>
      </c>
      <c r="C11959" s="17" t="s">
        <v>690</v>
      </c>
      <c r="D11959" s="2"/>
    </row>
    <row r="11960" spans="1:4" ht="12.75" customHeight="1" x14ac:dyDescent="0.2">
      <c r="B11960" s="11" t="s">
        <v>2599</v>
      </c>
      <c r="C11960" s="17" t="s">
        <v>3637</v>
      </c>
      <c r="D11960" s="2"/>
    </row>
    <row r="11961" spans="1:4" ht="25.5" customHeight="1" x14ac:dyDescent="0.2">
      <c r="B11961" s="11" t="s">
        <v>2600</v>
      </c>
      <c r="C11961" s="17" t="s">
        <v>4467</v>
      </c>
      <c r="D11961" s="2"/>
    </row>
    <row r="11962" spans="1:4" ht="25.5" customHeight="1" x14ac:dyDescent="0.2">
      <c r="B11962" s="11" t="s">
        <v>2601</v>
      </c>
      <c r="C11962" s="17"/>
      <c r="D11962" s="2"/>
    </row>
    <row r="11963" spans="1:4" ht="12.75" customHeight="1" x14ac:dyDescent="0.2">
      <c r="B11963" s="11" t="s">
        <v>16</v>
      </c>
      <c r="C11963" s="17"/>
      <c r="D11963" s="2"/>
    </row>
    <row r="11964" spans="1:4" ht="12.75" customHeight="1" x14ac:dyDescent="0.2">
      <c r="B11964" s="11" t="s">
        <v>13</v>
      </c>
      <c r="C11964" s="17" t="s">
        <v>2644</v>
      </c>
      <c r="D11964" s="2"/>
    </row>
    <row r="11965" spans="1:4" ht="25.5" customHeight="1" x14ac:dyDescent="0.2">
      <c r="B11965" s="11" t="s">
        <v>2603</v>
      </c>
      <c r="C11965" s="17" t="s">
        <v>2971</v>
      </c>
      <c r="D11965" s="2"/>
    </row>
    <row r="11966" spans="1:4" ht="12.75" customHeight="1" x14ac:dyDescent="0.2">
      <c r="B11966" s="11" t="s">
        <v>2605</v>
      </c>
      <c r="C11966" s="17" t="s">
        <v>14</v>
      </c>
      <c r="D11966" s="2"/>
    </row>
    <row r="11967" spans="1:4" ht="12.75" customHeight="1" x14ac:dyDescent="0.2">
      <c r="B11967" s="11" t="s">
        <v>2606</v>
      </c>
      <c r="C11967" s="16" t="s">
        <v>19</v>
      </c>
      <c r="D11967" s="2"/>
    </row>
    <row r="11968" spans="1:4" ht="12.75" customHeight="1" x14ac:dyDescent="0.2">
      <c r="B11968" s="2"/>
      <c r="C11968" s="15"/>
      <c r="D11968" s="2"/>
    </row>
    <row r="11969" spans="1:4" ht="12.75" customHeight="1" x14ac:dyDescent="0.2">
      <c r="B11969" s="2"/>
      <c r="C11969" s="15"/>
      <c r="D11969" s="2"/>
    </row>
    <row r="11970" spans="1:4" ht="12.75" customHeight="1" x14ac:dyDescent="0.2">
      <c r="A11970" s="13" t="s">
        <v>4408</v>
      </c>
      <c r="C11970" s="12"/>
      <c r="D11970" s="2"/>
    </row>
    <row r="11971" spans="1:4" ht="12.75" customHeight="1" x14ac:dyDescent="0.2">
      <c r="A11971" s="11"/>
      <c r="B11971" s="2"/>
      <c r="C11971" s="15"/>
      <c r="D11971" s="2"/>
    </row>
    <row r="11972" spans="1:4" ht="12.75" customHeight="1" x14ac:dyDescent="0.2">
      <c r="B11972" s="11" t="s">
        <v>0</v>
      </c>
      <c r="C11972" s="17" t="s">
        <v>690</v>
      </c>
      <c r="D11972" s="2"/>
    </row>
    <row r="11973" spans="1:4" ht="12.75" customHeight="1" x14ac:dyDescent="0.2">
      <c r="B11973" s="11" t="s">
        <v>2599</v>
      </c>
      <c r="C11973" s="17" t="s">
        <v>4441</v>
      </c>
      <c r="D11973" s="2"/>
    </row>
    <row r="11974" spans="1:4" ht="25.5" customHeight="1" x14ac:dyDescent="0.2">
      <c r="B11974" s="11" t="s">
        <v>2600</v>
      </c>
      <c r="C11974" s="17" t="s">
        <v>4468</v>
      </c>
      <c r="D11974" s="2"/>
    </row>
    <row r="11975" spans="1:4" ht="25.5" customHeight="1" x14ac:dyDescent="0.2">
      <c r="B11975" s="11" t="s">
        <v>2601</v>
      </c>
      <c r="C11975" s="17"/>
      <c r="D11975" s="2"/>
    </row>
    <row r="11976" spans="1:4" ht="12.75" customHeight="1" x14ac:dyDescent="0.2">
      <c r="B11976" s="11" t="s">
        <v>16</v>
      </c>
      <c r="C11976" s="17"/>
      <c r="D11976" s="2"/>
    </row>
    <row r="11977" spans="1:4" ht="12.75" customHeight="1" x14ac:dyDescent="0.2">
      <c r="B11977" s="11" t="s">
        <v>13</v>
      </c>
      <c r="C11977" s="17" t="s">
        <v>2602</v>
      </c>
      <c r="D11977" s="2"/>
    </row>
    <row r="11978" spans="1:4" ht="25.5" customHeight="1" x14ac:dyDescent="0.2">
      <c r="B11978" s="11" t="s">
        <v>2603</v>
      </c>
      <c r="C11978" s="17" t="s">
        <v>2971</v>
      </c>
      <c r="D11978" s="2"/>
    </row>
    <row r="11979" spans="1:4" ht="12.75" customHeight="1" x14ac:dyDescent="0.2">
      <c r="B11979" s="11" t="s">
        <v>2605</v>
      </c>
      <c r="C11979" s="17" t="s">
        <v>14</v>
      </c>
      <c r="D11979" s="2"/>
    </row>
    <row r="11980" spans="1:4" ht="12.75" customHeight="1" x14ac:dyDescent="0.2">
      <c r="B11980" s="11" t="s">
        <v>2606</v>
      </c>
      <c r="C11980" s="16" t="s">
        <v>19</v>
      </c>
      <c r="D11980" s="2"/>
    </row>
    <row r="11981" spans="1:4" ht="12.75" customHeight="1" x14ac:dyDescent="0.2">
      <c r="B11981" s="2"/>
      <c r="C11981" s="15"/>
      <c r="D11981" s="2"/>
    </row>
    <row r="11982" spans="1:4" ht="12.75" customHeight="1" x14ac:dyDescent="0.2">
      <c r="B11982" s="2"/>
      <c r="C11982" s="15"/>
      <c r="D11982" s="2"/>
    </row>
    <row r="11983" spans="1:4" ht="12.75" customHeight="1" x14ac:dyDescent="0.2">
      <c r="A11983" s="13" t="s">
        <v>4469</v>
      </c>
      <c r="C11983" s="12"/>
    </row>
    <row r="11984" spans="1:4" ht="12.75" customHeight="1" x14ac:dyDescent="0.2">
      <c r="A11984" s="11"/>
      <c r="B11984" s="2"/>
      <c r="C11984" s="15"/>
      <c r="D11984" s="2"/>
    </row>
    <row r="11985" spans="1:4" ht="12.75" customHeight="1" x14ac:dyDescent="0.2">
      <c r="B11985" s="11" t="s">
        <v>0</v>
      </c>
      <c r="C11985" s="11" t="s">
        <v>690</v>
      </c>
    </row>
    <row r="11986" spans="1:4" ht="12.75" customHeight="1" x14ac:dyDescent="0.2">
      <c r="B11986" s="11" t="s">
        <v>2599</v>
      </c>
      <c r="C11986" s="11" t="s">
        <v>3702</v>
      </c>
    </row>
    <row r="11987" spans="1:4" ht="25.5" customHeight="1" x14ac:dyDescent="0.2">
      <c r="B11987" s="11" t="s">
        <v>2600</v>
      </c>
      <c r="C11987" s="11" t="s">
        <v>4305</v>
      </c>
    </row>
    <row r="11988" spans="1:4" ht="25.5" customHeight="1" x14ac:dyDescent="0.2">
      <c r="B11988" s="11" t="s">
        <v>2601</v>
      </c>
      <c r="C11988" s="11"/>
    </row>
    <row r="11989" spans="1:4" ht="12.75" customHeight="1" x14ac:dyDescent="0.2">
      <c r="B11989" s="11" t="s">
        <v>16</v>
      </c>
      <c r="C11989" s="11"/>
    </row>
    <row r="11990" spans="1:4" ht="12.75" customHeight="1" x14ac:dyDescent="0.2">
      <c r="B11990" s="11" t="s">
        <v>13</v>
      </c>
      <c r="C11990" s="11" t="s">
        <v>2644</v>
      </c>
    </row>
    <row r="11991" spans="1:4" ht="12.75" customHeight="1" x14ac:dyDescent="0.2">
      <c r="B11991" s="11" t="s">
        <v>2603</v>
      </c>
      <c r="C11991" s="11" t="s">
        <v>2604</v>
      </c>
    </row>
    <row r="11992" spans="1:4" ht="12.75" customHeight="1" x14ac:dyDescent="0.2">
      <c r="B11992" s="11" t="s">
        <v>2605</v>
      </c>
      <c r="C11992" s="11" t="s">
        <v>24</v>
      </c>
    </row>
    <row r="11993" spans="1:4" ht="12.75" customHeight="1" x14ac:dyDescent="0.2">
      <c r="B11993" s="11" t="s">
        <v>2606</v>
      </c>
      <c r="C11993" s="16" t="s">
        <v>44</v>
      </c>
      <c r="D11993" s="6" t="str">
        <f>HYPERLINK("javascript:void(0)","rézrög")</f>
        <v>rézrög</v>
      </c>
    </row>
    <row r="11994" spans="1:4" ht="12.75" customHeight="1" x14ac:dyDescent="0.2">
      <c r="C11994" s="16" t="s">
        <v>132</v>
      </c>
      <c r="D11994" s="6" t="str">
        <f>HYPERLINK("javascript:void(0)","kincs")</f>
        <v>kincs</v>
      </c>
    </row>
    <row r="11995" spans="1:4" ht="12.75" customHeight="1" x14ac:dyDescent="0.2">
      <c r="B11995" s="2"/>
      <c r="C11995" s="15"/>
      <c r="D11995" s="2"/>
    </row>
    <row r="11996" spans="1:4" ht="12.75" customHeight="1" x14ac:dyDescent="0.2">
      <c r="B11996" s="2"/>
      <c r="C11996" s="15"/>
      <c r="D11996" s="2"/>
    </row>
    <row r="11997" spans="1:4" ht="12.75" customHeight="1" x14ac:dyDescent="0.2">
      <c r="A11997" s="13" t="s">
        <v>4470</v>
      </c>
      <c r="C11997" s="12"/>
    </row>
    <row r="11998" spans="1:4" ht="12.75" customHeight="1" x14ac:dyDescent="0.2">
      <c r="A11998" s="11"/>
      <c r="B11998" s="2"/>
      <c r="C11998" s="15"/>
      <c r="D11998" s="2"/>
    </row>
    <row r="11999" spans="1:4" ht="12.75" customHeight="1" x14ac:dyDescent="0.2">
      <c r="B11999" s="11" t="s">
        <v>0</v>
      </c>
      <c r="C11999" s="11" t="s">
        <v>690</v>
      </c>
    </row>
    <row r="12000" spans="1:4" ht="12.75" customHeight="1" x14ac:dyDescent="0.2">
      <c r="B12000" s="11" t="s">
        <v>2599</v>
      </c>
      <c r="C12000" s="11" t="s">
        <v>4471</v>
      </c>
    </row>
    <row r="12001" spans="1:4" ht="25.5" customHeight="1" x14ac:dyDescent="0.2">
      <c r="B12001" s="11" t="s">
        <v>2600</v>
      </c>
      <c r="C12001" s="11" t="s">
        <v>4472</v>
      </c>
    </row>
    <row r="12002" spans="1:4" ht="25.5" customHeight="1" x14ac:dyDescent="0.2">
      <c r="B12002" s="11" t="s">
        <v>2601</v>
      </c>
      <c r="C12002" s="11"/>
    </row>
    <row r="12003" spans="1:4" ht="12.75" customHeight="1" x14ac:dyDescent="0.2">
      <c r="B12003" s="11" t="s">
        <v>16</v>
      </c>
      <c r="C12003" s="11"/>
    </row>
    <row r="12004" spans="1:4" ht="12.75" customHeight="1" x14ac:dyDescent="0.2">
      <c r="B12004" s="11" t="s">
        <v>13</v>
      </c>
      <c r="C12004" s="11" t="s">
        <v>2644</v>
      </c>
    </row>
    <row r="12005" spans="1:4" ht="12.75" customHeight="1" x14ac:dyDescent="0.2">
      <c r="B12005" s="11" t="s">
        <v>2603</v>
      </c>
      <c r="C12005" s="11" t="s">
        <v>2604</v>
      </c>
    </row>
    <row r="12006" spans="1:4" ht="12.75" customHeight="1" x14ac:dyDescent="0.2">
      <c r="B12006" s="11" t="s">
        <v>2605</v>
      </c>
      <c r="C12006" s="11" t="s">
        <v>14</v>
      </c>
    </row>
    <row r="12007" spans="1:4" ht="12.75" customHeight="1" x14ac:dyDescent="0.2">
      <c r="B12007" s="11" t="s">
        <v>2606</v>
      </c>
      <c r="C12007" s="16" t="s">
        <v>44</v>
      </c>
      <c r="D12007" s="6" t="str">
        <f>HYPERLINK("javascript:void(0)","negatívum")</f>
        <v>negatívum</v>
      </c>
    </row>
    <row r="12008" spans="1:4" ht="12.75" customHeight="1" x14ac:dyDescent="0.2">
      <c r="B12008" s="2"/>
      <c r="C12008" s="15"/>
      <c r="D12008" s="2"/>
    </row>
    <row r="12009" spans="1:4" ht="12.75" customHeight="1" x14ac:dyDescent="0.2">
      <c r="B12009" s="2"/>
      <c r="C12009" s="15"/>
      <c r="D12009" s="2"/>
    </row>
    <row r="12010" spans="1:4" ht="12.75" customHeight="1" x14ac:dyDescent="0.2">
      <c r="A12010" s="13" t="s">
        <v>4473</v>
      </c>
      <c r="C12010" s="12"/>
    </row>
    <row r="12011" spans="1:4" ht="12.75" customHeight="1" x14ac:dyDescent="0.2">
      <c r="A12011" s="11"/>
      <c r="B12011" s="2"/>
      <c r="C12011" s="15"/>
      <c r="D12011" s="2"/>
    </row>
    <row r="12012" spans="1:4" ht="12.75" customHeight="1" x14ac:dyDescent="0.2">
      <c r="B12012" s="11" t="s">
        <v>0</v>
      </c>
      <c r="C12012" s="11" t="s">
        <v>690</v>
      </c>
    </row>
    <row r="12013" spans="1:4" ht="12.75" customHeight="1" x14ac:dyDescent="0.2">
      <c r="B12013" s="11" t="s">
        <v>2599</v>
      </c>
      <c r="C12013" s="11" t="s">
        <v>4474</v>
      </c>
    </row>
    <row r="12014" spans="1:4" ht="25.5" customHeight="1" x14ac:dyDescent="0.2">
      <c r="B12014" s="11" t="s">
        <v>2600</v>
      </c>
      <c r="C12014" s="11" t="s">
        <v>4475</v>
      </c>
    </row>
    <row r="12015" spans="1:4" ht="25.5" customHeight="1" x14ac:dyDescent="0.2">
      <c r="B12015" s="11" t="s">
        <v>2601</v>
      </c>
      <c r="C12015" s="11"/>
    </row>
    <row r="12016" spans="1:4" ht="12.75" customHeight="1" x14ac:dyDescent="0.2">
      <c r="B12016" s="11" t="s">
        <v>16</v>
      </c>
      <c r="C12016" s="11"/>
    </row>
    <row r="12017" spans="1:4" ht="12.75" customHeight="1" x14ac:dyDescent="0.2">
      <c r="B12017" s="11" t="s">
        <v>13</v>
      </c>
      <c r="C12017" s="11" t="s">
        <v>2602</v>
      </c>
    </row>
    <row r="12018" spans="1:4" ht="12.75" customHeight="1" x14ac:dyDescent="0.2">
      <c r="B12018" s="11" t="s">
        <v>2603</v>
      </c>
      <c r="C12018" s="11" t="s">
        <v>2604</v>
      </c>
    </row>
    <row r="12019" spans="1:4" ht="12.75" customHeight="1" x14ac:dyDescent="0.2">
      <c r="B12019" s="11" t="s">
        <v>2605</v>
      </c>
      <c r="C12019" s="11" t="s">
        <v>24</v>
      </c>
    </row>
    <row r="12020" spans="1:4" ht="25.5" customHeight="1" x14ac:dyDescent="0.2">
      <c r="B12020" s="11" t="s">
        <v>2606</v>
      </c>
      <c r="C12020" s="16" t="s">
        <v>56</v>
      </c>
      <c r="D12020" s="6" t="str">
        <f>HYPERLINK("javascript:void(0)","pamacsprém")</f>
        <v>pamacsprém</v>
      </c>
    </row>
    <row r="12021" spans="1:4" ht="12.75" customHeight="1" x14ac:dyDescent="0.2">
      <c r="B12021" s="2"/>
      <c r="C12021" s="15"/>
      <c r="D12021" s="2"/>
    </row>
    <row r="12022" spans="1:4" ht="12.75" customHeight="1" x14ac:dyDescent="0.2">
      <c r="B12022" s="2"/>
      <c r="C12022" s="15"/>
      <c r="D12022" s="2"/>
    </row>
    <row r="12023" spans="1:4" ht="12.75" customHeight="1" x14ac:dyDescent="0.2">
      <c r="A12023" s="13" t="s">
        <v>4476</v>
      </c>
      <c r="C12023" s="12"/>
    </row>
    <row r="12024" spans="1:4" ht="12.75" customHeight="1" x14ac:dyDescent="0.2">
      <c r="A12024" s="11"/>
      <c r="B12024" s="2"/>
      <c r="C12024" s="15"/>
      <c r="D12024" s="2"/>
    </row>
    <row r="12025" spans="1:4" ht="12.75" customHeight="1" x14ac:dyDescent="0.2">
      <c r="B12025" s="11" t="s">
        <v>0</v>
      </c>
      <c r="C12025" s="11" t="s">
        <v>690</v>
      </c>
    </row>
    <row r="12026" spans="1:4" ht="12.75" customHeight="1" x14ac:dyDescent="0.2">
      <c r="B12026" s="11" t="s">
        <v>2599</v>
      </c>
      <c r="C12026" s="11" t="s">
        <v>4477</v>
      </c>
    </row>
    <row r="12027" spans="1:4" ht="25.5" customHeight="1" x14ac:dyDescent="0.2">
      <c r="B12027" s="11" t="s">
        <v>2600</v>
      </c>
      <c r="C12027" s="11" t="s">
        <v>4478</v>
      </c>
    </row>
    <row r="12028" spans="1:4" ht="25.5" customHeight="1" x14ac:dyDescent="0.2">
      <c r="B12028" s="11" t="s">
        <v>2601</v>
      </c>
      <c r="C12028" s="11"/>
    </row>
    <row r="12029" spans="1:4" ht="12.75" customHeight="1" x14ac:dyDescent="0.2">
      <c r="B12029" s="11" t="s">
        <v>16</v>
      </c>
      <c r="C12029" s="11"/>
    </row>
    <row r="12030" spans="1:4" ht="12.75" customHeight="1" x14ac:dyDescent="0.2">
      <c r="B12030" s="11" t="s">
        <v>13</v>
      </c>
      <c r="C12030" s="11" t="s">
        <v>2602</v>
      </c>
    </row>
    <row r="12031" spans="1:4" ht="12.75" customHeight="1" x14ac:dyDescent="0.2">
      <c r="B12031" s="11" t="s">
        <v>2603</v>
      </c>
      <c r="C12031" s="11" t="s">
        <v>2604</v>
      </c>
    </row>
    <row r="12032" spans="1:4" ht="12.75" customHeight="1" x14ac:dyDescent="0.2">
      <c r="B12032" s="11" t="s">
        <v>2605</v>
      </c>
      <c r="C12032" s="11" t="s">
        <v>14</v>
      </c>
    </row>
    <row r="12033" spans="1:4" ht="12.75" customHeight="1" x14ac:dyDescent="0.2">
      <c r="B12033" s="11" t="s">
        <v>2606</v>
      </c>
      <c r="C12033" s="16" t="s">
        <v>44</v>
      </c>
      <c r="D12033" s="6" t="str">
        <f>HYPERLINK("javascript:void(0)","lux")</f>
        <v>lux</v>
      </c>
    </row>
    <row r="12034" spans="1:4" ht="12.75" customHeight="1" x14ac:dyDescent="0.2">
      <c r="B12034" s="2"/>
      <c r="C12034" s="15"/>
      <c r="D12034" s="2"/>
    </row>
    <row r="12035" spans="1:4" ht="12.75" customHeight="1" x14ac:dyDescent="0.2">
      <c r="B12035" s="2"/>
      <c r="C12035" s="15"/>
      <c r="D12035" s="2"/>
    </row>
    <row r="12036" spans="1:4" ht="12.75" customHeight="1" x14ac:dyDescent="0.2">
      <c r="A12036" s="13" t="s">
        <v>4479</v>
      </c>
      <c r="C12036" s="12"/>
    </row>
    <row r="12037" spans="1:4" ht="12.75" customHeight="1" x14ac:dyDescent="0.2">
      <c r="A12037" s="11"/>
      <c r="B12037" s="2"/>
      <c r="C12037" s="15"/>
      <c r="D12037" s="2"/>
    </row>
    <row r="12038" spans="1:4" ht="12.75" customHeight="1" x14ac:dyDescent="0.2">
      <c r="B12038" s="11" t="s">
        <v>0</v>
      </c>
      <c r="C12038" s="11" t="s">
        <v>690</v>
      </c>
    </row>
    <row r="12039" spans="1:4" ht="12.75" customHeight="1" x14ac:dyDescent="0.2">
      <c r="B12039" s="11" t="s">
        <v>2599</v>
      </c>
      <c r="C12039" s="11" t="s">
        <v>4480</v>
      </c>
    </row>
    <row r="12040" spans="1:4" ht="25.5" customHeight="1" x14ac:dyDescent="0.2">
      <c r="B12040" s="11" t="s">
        <v>2600</v>
      </c>
      <c r="C12040" s="11" t="s">
        <v>4481</v>
      </c>
    </row>
    <row r="12041" spans="1:4" ht="25.5" customHeight="1" x14ac:dyDescent="0.2">
      <c r="B12041" s="11" t="s">
        <v>2601</v>
      </c>
      <c r="C12041" s="11"/>
    </row>
    <row r="12042" spans="1:4" ht="12.75" customHeight="1" x14ac:dyDescent="0.2">
      <c r="B12042" s="11" t="s">
        <v>16</v>
      </c>
      <c r="C12042" s="11"/>
    </row>
    <row r="12043" spans="1:4" ht="12.75" customHeight="1" x14ac:dyDescent="0.2">
      <c r="B12043" s="11" t="s">
        <v>13</v>
      </c>
      <c r="C12043" s="11" t="s">
        <v>2644</v>
      </c>
    </row>
    <row r="12044" spans="1:4" ht="12.75" customHeight="1" x14ac:dyDescent="0.2">
      <c r="B12044" s="11" t="s">
        <v>2603</v>
      </c>
      <c r="C12044" s="11" t="s">
        <v>2604</v>
      </c>
    </row>
    <row r="12045" spans="1:4" ht="12.75" customHeight="1" x14ac:dyDescent="0.2">
      <c r="B12045" s="11" t="s">
        <v>2605</v>
      </c>
      <c r="C12045" s="11" t="s">
        <v>24</v>
      </c>
    </row>
    <row r="12046" spans="1:4" ht="12.75" customHeight="1" x14ac:dyDescent="0.2">
      <c r="B12046" s="11" t="s">
        <v>2606</v>
      </c>
      <c r="C12046" s="16" t="s">
        <v>44</v>
      </c>
      <c r="D12046" s="6" t="str">
        <f>HYPERLINK("javascript:void(0)","hiperzsír")</f>
        <v>hiperzsír</v>
      </c>
    </row>
    <row r="12047" spans="1:4" ht="12.75" customHeight="1" x14ac:dyDescent="0.2">
      <c r="C12047" s="16" t="s">
        <v>68</v>
      </c>
      <c r="D12047" s="6" t="str">
        <f>HYPERLINK("javascript:void(0)","kincs")</f>
        <v>kincs</v>
      </c>
    </row>
    <row r="12048" spans="1:4" ht="12.75" customHeight="1" x14ac:dyDescent="0.2">
      <c r="B12048" s="2"/>
      <c r="C12048" s="15"/>
      <c r="D12048" s="2"/>
    </row>
    <row r="12049" spans="1:4" ht="12.75" customHeight="1" x14ac:dyDescent="0.2">
      <c r="B12049" s="2"/>
      <c r="C12049" s="15"/>
      <c r="D12049" s="2"/>
    </row>
    <row r="12050" spans="1:4" ht="12.75" customHeight="1" x14ac:dyDescent="0.2">
      <c r="A12050" s="13" t="s">
        <v>4482</v>
      </c>
      <c r="C12050" s="12"/>
    </row>
    <row r="12051" spans="1:4" ht="12.75" customHeight="1" x14ac:dyDescent="0.2">
      <c r="A12051" s="11"/>
      <c r="B12051" s="2"/>
      <c r="C12051" s="15"/>
      <c r="D12051" s="2"/>
    </row>
    <row r="12052" spans="1:4" ht="12.75" customHeight="1" x14ac:dyDescent="0.2">
      <c r="B12052" s="11" t="s">
        <v>0</v>
      </c>
      <c r="C12052" s="11" t="s">
        <v>690</v>
      </c>
    </row>
    <row r="12053" spans="1:4" ht="12.75" customHeight="1" x14ac:dyDescent="0.2">
      <c r="B12053" s="11" t="s">
        <v>2599</v>
      </c>
      <c r="C12053" s="11" t="s">
        <v>4483</v>
      </c>
    </row>
    <row r="12054" spans="1:4" ht="25.5" customHeight="1" x14ac:dyDescent="0.2">
      <c r="B12054" s="11" t="s">
        <v>2600</v>
      </c>
      <c r="C12054" s="11" t="s">
        <v>4484</v>
      </c>
    </row>
    <row r="12055" spans="1:4" ht="25.5" customHeight="1" x14ac:dyDescent="0.2">
      <c r="B12055" s="11" t="s">
        <v>2601</v>
      </c>
      <c r="C12055" s="11"/>
    </row>
    <row r="12056" spans="1:4" ht="12.75" customHeight="1" x14ac:dyDescent="0.2">
      <c r="B12056" s="11" t="s">
        <v>16</v>
      </c>
      <c r="C12056" s="11"/>
    </row>
    <row r="12057" spans="1:4" ht="12.75" customHeight="1" x14ac:dyDescent="0.2">
      <c r="B12057" s="11" t="s">
        <v>13</v>
      </c>
      <c r="C12057" s="11" t="s">
        <v>2644</v>
      </c>
    </row>
    <row r="12058" spans="1:4" ht="12.75" customHeight="1" x14ac:dyDescent="0.2">
      <c r="B12058" s="11" t="s">
        <v>2603</v>
      </c>
      <c r="C12058" s="11" t="s">
        <v>2604</v>
      </c>
    </row>
    <row r="12059" spans="1:4" ht="12.75" customHeight="1" x14ac:dyDescent="0.2">
      <c r="B12059" s="11" t="s">
        <v>2605</v>
      </c>
      <c r="C12059" s="11" t="s">
        <v>14</v>
      </c>
    </row>
    <row r="12060" spans="1:4" ht="12.75" customHeight="1" x14ac:dyDescent="0.2">
      <c r="B12060" s="11" t="s">
        <v>2606</v>
      </c>
      <c r="C12060" s="16" t="s">
        <v>102</v>
      </c>
      <c r="D12060" s="6" t="str">
        <f>HYPERLINK("javascript:void(0)","kincs")</f>
        <v>kincs</v>
      </c>
    </row>
    <row r="12061" spans="1:4" ht="12.75" customHeight="1" x14ac:dyDescent="0.2">
      <c r="B12061" s="2"/>
      <c r="C12061" s="15"/>
      <c r="D12061" s="2"/>
    </row>
    <row r="12062" spans="1:4" ht="12.75" customHeight="1" x14ac:dyDescent="0.2">
      <c r="B12062" s="2"/>
      <c r="C12062" s="15"/>
      <c r="D12062" s="2"/>
    </row>
    <row r="12063" spans="1:4" ht="12.75" customHeight="1" x14ac:dyDescent="0.2">
      <c r="A12063" s="13" t="s">
        <v>4485</v>
      </c>
      <c r="C12063" s="12"/>
    </row>
    <row r="12064" spans="1:4" ht="12.75" customHeight="1" x14ac:dyDescent="0.2">
      <c r="A12064" s="11"/>
      <c r="B12064" s="2"/>
      <c r="C12064" s="15"/>
      <c r="D12064" s="2"/>
    </row>
    <row r="12065" spans="1:4" ht="12.75" customHeight="1" x14ac:dyDescent="0.2">
      <c r="B12065" s="11" t="s">
        <v>0</v>
      </c>
      <c r="C12065" s="11" t="s">
        <v>690</v>
      </c>
    </row>
    <row r="12066" spans="1:4" ht="12.75" customHeight="1" x14ac:dyDescent="0.2">
      <c r="B12066" s="11" t="s">
        <v>2599</v>
      </c>
      <c r="C12066" s="11" t="s">
        <v>393</v>
      </c>
    </row>
    <row r="12067" spans="1:4" ht="25.5" customHeight="1" x14ac:dyDescent="0.2">
      <c r="B12067" s="11" t="s">
        <v>2600</v>
      </c>
      <c r="C12067" s="11" t="s">
        <v>4486</v>
      </c>
    </row>
    <row r="12068" spans="1:4" ht="25.5" customHeight="1" x14ac:dyDescent="0.2">
      <c r="B12068" s="11" t="s">
        <v>2601</v>
      </c>
      <c r="C12068" s="11"/>
    </row>
    <row r="12069" spans="1:4" ht="12.75" customHeight="1" x14ac:dyDescent="0.2">
      <c r="B12069" s="11" t="s">
        <v>16</v>
      </c>
      <c r="C12069" s="11"/>
    </row>
    <row r="12070" spans="1:4" ht="12.75" customHeight="1" x14ac:dyDescent="0.2">
      <c r="B12070" s="11" t="s">
        <v>13</v>
      </c>
      <c r="C12070" s="11" t="s">
        <v>2602</v>
      </c>
    </row>
    <row r="12071" spans="1:4" ht="12.75" customHeight="1" x14ac:dyDescent="0.2">
      <c r="B12071" s="11" t="s">
        <v>2603</v>
      </c>
      <c r="C12071" s="11" t="s">
        <v>2604</v>
      </c>
    </row>
    <row r="12072" spans="1:4" ht="12.75" customHeight="1" x14ac:dyDescent="0.2">
      <c r="B12072" s="11" t="s">
        <v>2605</v>
      </c>
      <c r="C12072" s="11" t="s">
        <v>14</v>
      </c>
    </row>
    <row r="12073" spans="1:4" ht="12.75" customHeight="1" x14ac:dyDescent="0.2">
      <c r="B12073" s="11" t="s">
        <v>2606</v>
      </c>
      <c r="C12073" s="16" t="s">
        <v>44</v>
      </c>
      <c r="D12073" s="6" t="str">
        <f>HYPERLINK("javascript:void(0)","ezüströg")</f>
        <v>ezüströg</v>
      </c>
    </row>
    <row r="12074" spans="1:4" ht="12.75" customHeight="1" x14ac:dyDescent="0.2">
      <c r="C12074" s="16" t="s">
        <v>68</v>
      </c>
      <c r="D12074" s="6" t="str">
        <f>HYPERLINK("javascript:void(0)","kincs")</f>
        <v>kincs</v>
      </c>
    </row>
    <row r="12075" spans="1:4" ht="12.75" customHeight="1" x14ac:dyDescent="0.2">
      <c r="B12075" s="2"/>
      <c r="C12075" s="15"/>
      <c r="D12075" s="2"/>
    </row>
    <row r="12076" spans="1:4" ht="12.75" customHeight="1" x14ac:dyDescent="0.2">
      <c r="B12076" s="2"/>
      <c r="C12076" s="15"/>
      <c r="D12076" s="2"/>
    </row>
    <row r="12077" spans="1:4" ht="12.75" customHeight="1" x14ac:dyDescent="0.2">
      <c r="A12077" s="13" t="s">
        <v>4487</v>
      </c>
      <c r="C12077" s="12"/>
    </row>
    <row r="12078" spans="1:4" ht="12.75" customHeight="1" x14ac:dyDescent="0.2">
      <c r="A12078" s="11"/>
      <c r="B12078" s="2"/>
      <c r="C12078" s="15"/>
      <c r="D12078" s="2"/>
    </row>
    <row r="12079" spans="1:4" ht="12.75" customHeight="1" x14ac:dyDescent="0.2">
      <c r="B12079" s="11" t="s">
        <v>0</v>
      </c>
      <c r="C12079" s="11" t="s">
        <v>690</v>
      </c>
    </row>
    <row r="12080" spans="1:4" ht="12.75" customHeight="1" x14ac:dyDescent="0.2">
      <c r="B12080" s="11" t="s">
        <v>2599</v>
      </c>
      <c r="C12080" s="11" t="s">
        <v>4488</v>
      </c>
    </row>
    <row r="12081" spans="1:4" ht="25.5" customHeight="1" x14ac:dyDescent="0.2">
      <c r="B12081" s="11" t="s">
        <v>2600</v>
      </c>
      <c r="C12081" s="11" t="s">
        <v>4489</v>
      </c>
    </row>
    <row r="12082" spans="1:4" ht="25.5" customHeight="1" x14ac:dyDescent="0.2">
      <c r="B12082" s="11" t="s">
        <v>2601</v>
      </c>
      <c r="C12082" s="11"/>
    </row>
    <row r="12083" spans="1:4" ht="12.75" customHeight="1" x14ac:dyDescent="0.2">
      <c r="B12083" s="11" t="s">
        <v>16</v>
      </c>
      <c r="C12083" s="11"/>
    </row>
    <row r="12084" spans="1:4" ht="12.75" customHeight="1" x14ac:dyDescent="0.2">
      <c r="B12084" s="11" t="s">
        <v>13</v>
      </c>
      <c r="C12084" s="11" t="s">
        <v>2602</v>
      </c>
    </row>
    <row r="12085" spans="1:4" ht="12.75" customHeight="1" x14ac:dyDescent="0.2">
      <c r="B12085" s="11" t="s">
        <v>2603</v>
      </c>
      <c r="C12085" s="11" t="s">
        <v>2604</v>
      </c>
    </row>
    <row r="12086" spans="1:4" ht="12.75" customHeight="1" x14ac:dyDescent="0.2">
      <c r="B12086" s="11" t="s">
        <v>2605</v>
      </c>
      <c r="C12086" s="11" t="s">
        <v>24</v>
      </c>
    </row>
    <row r="12087" spans="1:4" ht="12.75" customHeight="1" x14ac:dyDescent="0.2">
      <c r="B12087" s="11" t="s">
        <v>2606</v>
      </c>
      <c r="C12087" s="16" t="s">
        <v>67</v>
      </c>
      <c r="D12087" s="6" t="str">
        <f>HYPERLINK("javascript:void(0)","kincs")</f>
        <v>kincs</v>
      </c>
    </row>
    <row r="12088" spans="1:4" ht="12.75" customHeight="1" x14ac:dyDescent="0.2">
      <c r="B12088" s="2"/>
      <c r="C12088" s="15"/>
      <c r="D12088" s="2"/>
    </row>
    <row r="12089" spans="1:4" ht="12.75" customHeight="1" x14ac:dyDescent="0.2">
      <c r="B12089" s="2"/>
      <c r="C12089" s="15"/>
      <c r="D12089" s="2"/>
    </row>
    <row r="12090" spans="1:4" ht="12.75" customHeight="1" x14ac:dyDescent="0.2">
      <c r="A12090" s="13" t="s">
        <v>4434</v>
      </c>
      <c r="C12090" s="12"/>
      <c r="D12090" s="2"/>
    </row>
    <row r="12091" spans="1:4" ht="12.75" customHeight="1" x14ac:dyDescent="0.2">
      <c r="A12091" s="11"/>
      <c r="B12091" s="2"/>
      <c r="C12091" s="15"/>
      <c r="D12091" s="2"/>
    </row>
    <row r="12092" spans="1:4" ht="12.75" customHeight="1" x14ac:dyDescent="0.2">
      <c r="B12092" s="11" t="s">
        <v>0</v>
      </c>
      <c r="C12092" s="17" t="s">
        <v>690</v>
      </c>
      <c r="D12092" s="2"/>
    </row>
    <row r="12093" spans="1:4" ht="12.75" customHeight="1" x14ac:dyDescent="0.2">
      <c r="B12093" s="11" t="s">
        <v>2599</v>
      </c>
      <c r="C12093" s="17" t="s">
        <v>4464</v>
      </c>
      <c r="D12093" s="2"/>
    </row>
    <row r="12094" spans="1:4" ht="25.5" customHeight="1" x14ac:dyDescent="0.2">
      <c r="B12094" s="11" t="s">
        <v>2600</v>
      </c>
      <c r="C12094" s="17" t="s">
        <v>4490</v>
      </c>
      <c r="D12094" s="2"/>
    </row>
    <row r="12095" spans="1:4" ht="25.5" customHeight="1" x14ac:dyDescent="0.2">
      <c r="B12095" s="11" t="s">
        <v>2601</v>
      </c>
      <c r="C12095" s="17"/>
      <c r="D12095" s="2"/>
    </row>
    <row r="12096" spans="1:4" ht="12.75" customHeight="1" x14ac:dyDescent="0.2">
      <c r="B12096" s="11" t="s">
        <v>16</v>
      </c>
      <c r="C12096" s="17"/>
      <c r="D12096" s="2"/>
    </row>
    <row r="12097" spans="1:4" ht="12.75" customHeight="1" x14ac:dyDescent="0.2">
      <c r="B12097" s="11" t="s">
        <v>13</v>
      </c>
      <c r="C12097" s="17" t="s">
        <v>2644</v>
      </c>
      <c r="D12097" s="2"/>
    </row>
    <row r="12098" spans="1:4" ht="25.5" customHeight="1" x14ac:dyDescent="0.2">
      <c r="B12098" s="11" t="s">
        <v>2603</v>
      </c>
      <c r="C12098" s="17" t="s">
        <v>2971</v>
      </c>
      <c r="D12098" s="2"/>
    </row>
    <row r="12099" spans="1:4" ht="12.75" customHeight="1" x14ac:dyDescent="0.2">
      <c r="B12099" s="11" t="s">
        <v>2605</v>
      </c>
      <c r="C12099" s="17" t="s">
        <v>14</v>
      </c>
      <c r="D12099" s="2"/>
    </row>
    <row r="12100" spans="1:4" ht="12.75" customHeight="1" x14ac:dyDescent="0.2">
      <c r="B12100" s="11" t="s">
        <v>2606</v>
      </c>
      <c r="C12100" s="16" t="s">
        <v>19</v>
      </c>
      <c r="D12100" s="2"/>
    </row>
    <row r="12101" spans="1:4" ht="12.75" customHeight="1" x14ac:dyDescent="0.2">
      <c r="B12101" s="2"/>
      <c r="C12101" s="15"/>
      <c r="D12101" s="2"/>
    </row>
    <row r="12102" spans="1:4" ht="12.75" customHeight="1" x14ac:dyDescent="0.2">
      <c r="B12102" s="2"/>
      <c r="C12102" s="15"/>
      <c r="D12102" s="2"/>
    </row>
    <row r="12103" spans="1:4" ht="12.75" customHeight="1" x14ac:dyDescent="0.2">
      <c r="A12103" s="13" t="s">
        <v>4437</v>
      </c>
      <c r="C12103" s="12"/>
      <c r="D12103" s="2"/>
    </row>
    <row r="12104" spans="1:4" ht="12.75" customHeight="1" x14ac:dyDescent="0.2">
      <c r="A12104" s="11"/>
      <c r="B12104" s="2"/>
      <c r="C12104" s="15"/>
      <c r="D12104" s="2"/>
    </row>
    <row r="12105" spans="1:4" ht="12.75" customHeight="1" x14ac:dyDescent="0.2">
      <c r="B12105" s="11" t="s">
        <v>0</v>
      </c>
      <c r="C12105" s="17" t="s">
        <v>690</v>
      </c>
      <c r="D12105" s="2"/>
    </row>
    <row r="12106" spans="1:4" ht="12.75" customHeight="1" x14ac:dyDescent="0.2">
      <c r="B12106" s="11" t="s">
        <v>2599</v>
      </c>
      <c r="C12106" s="17" t="s">
        <v>1933</v>
      </c>
      <c r="D12106" s="2"/>
    </row>
    <row r="12107" spans="1:4" ht="25.5" customHeight="1" x14ac:dyDescent="0.2">
      <c r="B12107" s="11" t="s">
        <v>2600</v>
      </c>
      <c r="C12107" s="17" t="s">
        <v>4491</v>
      </c>
      <c r="D12107" s="2"/>
    </row>
    <row r="12108" spans="1:4" ht="25.5" customHeight="1" x14ac:dyDescent="0.2">
      <c r="B12108" s="11" t="s">
        <v>2601</v>
      </c>
      <c r="C12108" s="17"/>
      <c r="D12108" s="2"/>
    </row>
    <row r="12109" spans="1:4" ht="12.75" customHeight="1" x14ac:dyDescent="0.2">
      <c r="B12109" s="11" t="s">
        <v>16</v>
      </c>
      <c r="C12109" s="17"/>
      <c r="D12109" s="2"/>
    </row>
    <row r="12110" spans="1:4" ht="12.75" customHeight="1" x14ac:dyDescent="0.2">
      <c r="B12110" s="11" t="s">
        <v>13</v>
      </c>
      <c r="C12110" s="17" t="s">
        <v>2602</v>
      </c>
      <c r="D12110" s="2"/>
    </row>
    <row r="12111" spans="1:4" ht="25.5" customHeight="1" x14ac:dyDescent="0.2">
      <c r="B12111" s="11" t="s">
        <v>2603</v>
      </c>
      <c r="C12111" s="17" t="s">
        <v>2971</v>
      </c>
      <c r="D12111" s="2"/>
    </row>
    <row r="12112" spans="1:4" ht="12.75" customHeight="1" x14ac:dyDescent="0.2">
      <c r="B12112" s="11" t="s">
        <v>2605</v>
      </c>
      <c r="C12112" s="17" t="s">
        <v>14</v>
      </c>
      <c r="D12112" s="2"/>
    </row>
    <row r="12113" spans="1:4" ht="12.75" customHeight="1" x14ac:dyDescent="0.2">
      <c r="B12113" s="11" t="s">
        <v>2606</v>
      </c>
      <c r="C12113" s="16" t="s">
        <v>19</v>
      </c>
      <c r="D12113" s="2"/>
    </row>
    <row r="12114" spans="1:4" ht="12.75" customHeight="1" x14ac:dyDescent="0.2">
      <c r="B12114" s="2"/>
      <c r="C12114" s="15"/>
      <c r="D12114" s="2"/>
    </row>
    <row r="12115" spans="1:4" ht="12.75" customHeight="1" x14ac:dyDescent="0.2">
      <c r="B12115" s="2"/>
      <c r="C12115" s="15"/>
      <c r="D12115" s="2"/>
    </row>
    <row r="12116" spans="1:4" ht="12.75" customHeight="1" x14ac:dyDescent="0.2">
      <c r="A12116" s="13" t="s">
        <v>4405</v>
      </c>
      <c r="C12116" s="12"/>
      <c r="D12116" s="2"/>
    </row>
    <row r="12117" spans="1:4" ht="12.75" customHeight="1" x14ac:dyDescent="0.2">
      <c r="A12117" s="11"/>
      <c r="B12117" s="2"/>
      <c r="C12117" s="15"/>
      <c r="D12117" s="2"/>
    </row>
    <row r="12118" spans="1:4" ht="12.75" customHeight="1" x14ac:dyDescent="0.2">
      <c r="B12118" s="11" t="s">
        <v>0</v>
      </c>
      <c r="C12118" s="17" t="s">
        <v>699</v>
      </c>
      <c r="D12118" s="2"/>
    </row>
    <row r="12119" spans="1:4" ht="12.75" customHeight="1" x14ac:dyDescent="0.2">
      <c r="B12119" s="11" t="s">
        <v>2599</v>
      </c>
      <c r="C12119" s="17" t="s">
        <v>3637</v>
      </c>
      <c r="D12119" s="2"/>
    </row>
    <row r="12120" spans="1:4" ht="25.5" customHeight="1" x14ac:dyDescent="0.2">
      <c r="B12120" s="11" t="s">
        <v>2600</v>
      </c>
      <c r="C12120" s="17" t="s">
        <v>4492</v>
      </c>
      <c r="D12120" s="2"/>
    </row>
    <row r="12121" spans="1:4" ht="25.5" customHeight="1" x14ac:dyDescent="0.2">
      <c r="B12121" s="11" t="s">
        <v>2601</v>
      </c>
      <c r="C12121" s="17"/>
      <c r="D12121" s="2"/>
    </row>
    <row r="12122" spans="1:4" ht="12.75" customHeight="1" x14ac:dyDescent="0.2">
      <c r="B12122" s="11" t="s">
        <v>16</v>
      </c>
      <c r="C12122" s="17"/>
      <c r="D12122" s="2"/>
    </row>
    <row r="12123" spans="1:4" ht="12.75" customHeight="1" x14ac:dyDescent="0.2">
      <c r="B12123" s="11" t="s">
        <v>13</v>
      </c>
      <c r="C12123" s="17" t="s">
        <v>2644</v>
      </c>
      <c r="D12123" s="2"/>
    </row>
    <row r="12124" spans="1:4" ht="25.5" customHeight="1" x14ac:dyDescent="0.2">
      <c r="B12124" s="11" t="s">
        <v>2603</v>
      </c>
      <c r="C12124" s="17" t="s">
        <v>2971</v>
      </c>
      <c r="D12124" s="2"/>
    </row>
    <row r="12125" spans="1:4" ht="12.75" customHeight="1" x14ac:dyDescent="0.2">
      <c r="B12125" s="11" t="s">
        <v>2605</v>
      </c>
      <c r="C12125" s="17" t="s">
        <v>14</v>
      </c>
      <c r="D12125" s="2"/>
    </row>
    <row r="12126" spans="1:4" ht="12.75" customHeight="1" x14ac:dyDescent="0.2">
      <c r="B12126" s="11" t="s">
        <v>2606</v>
      </c>
      <c r="C12126" s="16" t="s">
        <v>19</v>
      </c>
      <c r="D12126" s="2"/>
    </row>
    <row r="12127" spans="1:4" ht="12.75" customHeight="1" x14ac:dyDescent="0.2">
      <c r="B12127" s="2"/>
      <c r="C12127" s="15"/>
      <c r="D12127" s="2"/>
    </row>
    <row r="12128" spans="1:4" ht="12.75" customHeight="1" x14ac:dyDescent="0.2">
      <c r="B12128" s="2"/>
      <c r="C12128" s="15"/>
      <c r="D12128" s="2"/>
    </row>
    <row r="12129" spans="1:4" ht="12.75" customHeight="1" x14ac:dyDescent="0.2">
      <c r="A12129" s="13" t="s">
        <v>4493</v>
      </c>
      <c r="C12129" s="12"/>
    </row>
    <row r="12130" spans="1:4" ht="12.75" customHeight="1" x14ac:dyDescent="0.2">
      <c r="A12130" s="11"/>
      <c r="B12130" s="2"/>
      <c r="C12130" s="15"/>
      <c r="D12130" s="2"/>
    </row>
    <row r="12131" spans="1:4" ht="12.75" customHeight="1" x14ac:dyDescent="0.2">
      <c r="B12131" s="11" t="s">
        <v>0</v>
      </c>
      <c r="C12131" s="11" t="s">
        <v>699</v>
      </c>
    </row>
    <row r="12132" spans="1:4" ht="12.75" customHeight="1" x14ac:dyDescent="0.2">
      <c r="B12132" s="11" t="s">
        <v>2599</v>
      </c>
      <c r="C12132" s="11" t="s">
        <v>4494</v>
      </c>
    </row>
    <row r="12133" spans="1:4" ht="25.5" customHeight="1" x14ac:dyDescent="0.2">
      <c r="B12133" s="11" t="s">
        <v>2600</v>
      </c>
      <c r="C12133" s="11" t="s">
        <v>4495</v>
      </c>
    </row>
    <row r="12134" spans="1:4" ht="25.5" customHeight="1" x14ac:dyDescent="0.2">
      <c r="B12134" s="11" t="s">
        <v>2601</v>
      </c>
      <c r="C12134" s="11"/>
    </row>
    <row r="12135" spans="1:4" ht="12.75" customHeight="1" x14ac:dyDescent="0.2">
      <c r="B12135" s="11" t="s">
        <v>16</v>
      </c>
      <c r="C12135" s="11"/>
    </row>
    <row r="12136" spans="1:4" ht="12.75" customHeight="1" x14ac:dyDescent="0.2">
      <c r="B12136" s="11" t="s">
        <v>13</v>
      </c>
      <c r="C12136" s="11" t="s">
        <v>2602</v>
      </c>
    </row>
    <row r="12137" spans="1:4" ht="12.75" customHeight="1" x14ac:dyDescent="0.2">
      <c r="B12137" s="11" t="s">
        <v>2603</v>
      </c>
      <c r="C12137" s="11" t="s">
        <v>2604</v>
      </c>
    </row>
    <row r="12138" spans="1:4" ht="12.75" customHeight="1" x14ac:dyDescent="0.2">
      <c r="B12138" s="11" t="s">
        <v>2605</v>
      </c>
      <c r="C12138" s="11" t="s">
        <v>14</v>
      </c>
    </row>
    <row r="12139" spans="1:4" ht="12.75" customHeight="1" x14ac:dyDescent="0.2">
      <c r="B12139" s="11" t="s">
        <v>2606</v>
      </c>
      <c r="C12139" s="16" t="s">
        <v>269</v>
      </c>
      <c r="D12139" s="6" t="str">
        <f>HYPERLINK("javascript:void(0)","kincs")</f>
        <v>kincs</v>
      </c>
    </row>
    <row r="12140" spans="1:4" ht="12.75" customHeight="1" x14ac:dyDescent="0.2">
      <c r="B12140" s="2"/>
      <c r="C12140" s="15"/>
      <c r="D12140" s="2"/>
    </row>
    <row r="12141" spans="1:4" ht="12.75" customHeight="1" x14ac:dyDescent="0.2">
      <c r="B12141" s="2"/>
      <c r="C12141" s="15"/>
      <c r="D12141" s="2"/>
    </row>
    <row r="12142" spans="1:4" ht="12.75" customHeight="1" x14ac:dyDescent="0.2">
      <c r="A12142" s="13" t="s">
        <v>4496</v>
      </c>
      <c r="C12142" s="12"/>
    </row>
    <row r="12143" spans="1:4" ht="12.75" customHeight="1" x14ac:dyDescent="0.2">
      <c r="A12143" s="11"/>
      <c r="B12143" s="2"/>
      <c r="C12143" s="15"/>
      <c r="D12143" s="2"/>
    </row>
    <row r="12144" spans="1:4" ht="12.75" customHeight="1" x14ac:dyDescent="0.2">
      <c r="B12144" s="11" t="s">
        <v>0</v>
      </c>
      <c r="C12144" s="11" t="s">
        <v>699</v>
      </c>
    </row>
    <row r="12145" spans="1:4" ht="12.75" customHeight="1" x14ac:dyDescent="0.2">
      <c r="B12145" s="11" t="s">
        <v>2599</v>
      </c>
      <c r="C12145" s="11" t="s">
        <v>4497</v>
      </c>
    </row>
    <row r="12146" spans="1:4" ht="25.5" customHeight="1" x14ac:dyDescent="0.2">
      <c r="B12146" s="11" t="s">
        <v>2600</v>
      </c>
      <c r="C12146" s="11" t="s">
        <v>4498</v>
      </c>
    </row>
    <row r="12147" spans="1:4" ht="25.5" customHeight="1" x14ac:dyDescent="0.2">
      <c r="B12147" s="11" t="s">
        <v>2601</v>
      </c>
      <c r="C12147" s="11"/>
    </row>
    <row r="12148" spans="1:4" ht="12.75" customHeight="1" x14ac:dyDescent="0.2">
      <c r="B12148" s="11" t="s">
        <v>16</v>
      </c>
      <c r="C12148" s="11"/>
    </row>
    <row r="12149" spans="1:4" ht="12.75" customHeight="1" x14ac:dyDescent="0.2">
      <c r="B12149" s="11" t="s">
        <v>13</v>
      </c>
      <c r="C12149" s="11" t="s">
        <v>2644</v>
      </c>
    </row>
    <row r="12150" spans="1:4" ht="12.75" customHeight="1" x14ac:dyDescent="0.2">
      <c r="B12150" s="11" t="s">
        <v>2603</v>
      </c>
      <c r="C12150" s="11" t="s">
        <v>2604</v>
      </c>
    </row>
    <row r="12151" spans="1:4" ht="12.75" customHeight="1" x14ac:dyDescent="0.2">
      <c r="B12151" s="11" t="s">
        <v>2605</v>
      </c>
      <c r="C12151" s="11" t="s">
        <v>14</v>
      </c>
    </row>
    <row r="12152" spans="1:4" ht="25.5" customHeight="1" x14ac:dyDescent="0.2">
      <c r="B12152" s="11" t="s">
        <v>2606</v>
      </c>
      <c r="C12152" s="16" t="s">
        <v>57</v>
      </c>
      <c r="D12152" s="6" t="str">
        <f>HYPERLINK("javascript:void(0)","medúza csáp")</f>
        <v>medúza csáp</v>
      </c>
    </row>
    <row r="12153" spans="1:4" ht="12.75" customHeight="1" x14ac:dyDescent="0.2">
      <c r="B12153" s="2"/>
      <c r="C12153" s="15"/>
      <c r="D12153" s="2"/>
    </row>
    <row r="12154" spans="1:4" ht="12.75" customHeight="1" x14ac:dyDescent="0.2">
      <c r="B12154" s="2"/>
      <c r="C12154" s="15"/>
      <c r="D12154" s="2"/>
    </row>
    <row r="12155" spans="1:4" ht="12.75" customHeight="1" x14ac:dyDescent="0.2">
      <c r="A12155" s="13" t="s">
        <v>4499</v>
      </c>
      <c r="C12155" s="12"/>
    </row>
    <row r="12156" spans="1:4" ht="12.75" customHeight="1" x14ac:dyDescent="0.2">
      <c r="A12156" s="11"/>
      <c r="B12156" s="2"/>
      <c r="C12156" s="15"/>
      <c r="D12156" s="2"/>
    </row>
    <row r="12157" spans="1:4" ht="12.75" customHeight="1" x14ac:dyDescent="0.2">
      <c r="B12157" s="11" t="s">
        <v>0</v>
      </c>
      <c r="C12157" s="11" t="s">
        <v>699</v>
      </c>
    </row>
    <row r="12158" spans="1:4" ht="12.75" customHeight="1" x14ac:dyDescent="0.2">
      <c r="B12158" s="11" t="s">
        <v>2599</v>
      </c>
      <c r="C12158" s="11" t="s">
        <v>4500</v>
      </c>
    </row>
    <row r="12159" spans="1:4" ht="25.5" customHeight="1" x14ac:dyDescent="0.2">
      <c r="B12159" s="11" t="s">
        <v>2600</v>
      </c>
      <c r="C12159" s="11" t="s">
        <v>4501</v>
      </c>
    </row>
    <row r="12160" spans="1:4" ht="25.5" customHeight="1" x14ac:dyDescent="0.2">
      <c r="B12160" s="11" t="s">
        <v>2601</v>
      </c>
      <c r="C12160" s="11"/>
    </row>
    <row r="12161" spans="1:4" ht="12.75" customHeight="1" x14ac:dyDescent="0.2">
      <c r="B12161" s="11" t="s">
        <v>16</v>
      </c>
      <c r="C12161" s="11"/>
    </row>
    <row r="12162" spans="1:4" ht="12.75" customHeight="1" x14ac:dyDescent="0.2">
      <c r="B12162" s="11" t="s">
        <v>13</v>
      </c>
      <c r="C12162" s="11" t="s">
        <v>2602</v>
      </c>
    </row>
    <row r="12163" spans="1:4" ht="12.75" customHeight="1" x14ac:dyDescent="0.2">
      <c r="B12163" s="11" t="s">
        <v>2603</v>
      </c>
      <c r="C12163" s="11" t="s">
        <v>2604</v>
      </c>
    </row>
    <row r="12164" spans="1:4" ht="12.75" customHeight="1" x14ac:dyDescent="0.2">
      <c r="B12164" s="11" t="s">
        <v>2605</v>
      </c>
      <c r="C12164" s="11" t="s">
        <v>24</v>
      </c>
    </row>
    <row r="12165" spans="1:4" ht="12.75" customHeight="1" x14ac:dyDescent="0.2">
      <c r="B12165" s="11" t="s">
        <v>2606</v>
      </c>
      <c r="C12165" s="16" t="s">
        <v>132</v>
      </c>
      <c r="D12165" s="6" t="str">
        <f>HYPERLINK("javascript:void(0)","kincs")</f>
        <v>kincs</v>
      </c>
    </row>
    <row r="12166" spans="1:4" ht="25.5" customHeight="1" x14ac:dyDescent="0.2">
      <c r="C12166" s="16" t="s">
        <v>44</v>
      </c>
      <c r="D12166" s="6" t="str">
        <f>HYPERLINK("javascript:void(0)","szent szimbólum")</f>
        <v>szent szimbólum</v>
      </c>
    </row>
    <row r="12167" spans="1:4" ht="12.75" customHeight="1" x14ac:dyDescent="0.2">
      <c r="B12167" s="2"/>
      <c r="C12167" s="15"/>
      <c r="D12167" s="2"/>
    </row>
    <row r="12168" spans="1:4" ht="12.75" customHeight="1" x14ac:dyDescent="0.2">
      <c r="B12168" s="2"/>
      <c r="C12168" s="15"/>
      <c r="D12168" s="2"/>
    </row>
    <row r="12169" spans="1:4" ht="12.75" customHeight="1" x14ac:dyDescent="0.2">
      <c r="A12169" s="13" t="s">
        <v>4502</v>
      </c>
      <c r="C12169" s="12"/>
    </row>
    <row r="12170" spans="1:4" ht="12.75" customHeight="1" x14ac:dyDescent="0.2">
      <c r="A12170" s="11"/>
      <c r="B12170" s="2"/>
      <c r="C12170" s="15"/>
      <c r="D12170" s="2"/>
    </row>
    <row r="12171" spans="1:4" ht="12.75" customHeight="1" x14ac:dyDescent="0.2">
      <c r="B12171" s="11" t="s">
        <v>0</v>
      </c>
      <c r="C12171" s="11" t="s">
        <v>699</v>
      </c>
    </row>
    <row r="12172" spans="1:4" ht="12.75" customHeight="1" x14ac:dyDescent="0.2">
      <c r="B12172" s="11" t="s">
        <v>2599</v>
      </c>
      <c r="C12172" s="11" t="s">
        <v>4503</v>
      </c>
    </row>
    <row r="12173" spans="1:4" ht="25.5" customHeight="1" x14ac:dyDescent="0.2">
      <c r="B12173" s="11" t="s">
        <v>2600</v>
      </c>
      <c r="C12173" s="11" t="s">
        <v>4504</v>
      </c>
    </row>
    <row r="12174" spans="1:4" ht="25.5" customHeight="1" x14ac:dyDescent="0.2">
      <c r="B12174" s="11" t="s">
        <v>2601</v>
      </c>
      <c r="C12174" s="11"/>
    </row>
    <row r="12175" spans="1:4" ht="12.75" customHeight="1" x14ac:dyDescent="0.2">
      <c r="B12175" s="11" t="s">
        <v>16</v>
      </c>
      <c r="C12175" s="11"/>
    </row>
    <row r="12176" spans="1:4" ht="12.75" customHeight="1" x14ac:dyDescent="0.2">
      <c r="B12176" s="11" t="s">
        <v>13</v>
      </c>
      <c r="C12176" s="11" t="s">
        <v>2644</v>
      </c>
    </row>
    <row r="12177" spans="1:4" ht="12.75" customHeight="1" x14ac:dyDescent="0.2">
      <c r="B12177" s="11" t="s">
        <v>2603</v>
      </c>
      <c r="C12177" s="11" t="s">
        <v>2604</v>
      </c>
    </row>
    <row r="12178" spans="1:4" ht="12.75" customHeight="1" x14ac:dyDescent="0.2">
      <c r="B12178" s="11" t="s">
        <v>2605</v>
      </c>
      <c r="C12178" s="11" t="s">
        <v>14</v>
      </c>
    </row>
    <row r="12179" spans="1:4" ht="12.75" customHeight="1" x14ac:dyDescent="0.2">
      <c r="B12179" s="11" t="s">
        <v>2606</v>
      </c>
      <c r="C12179" s="16" t="s">
        <v>44</v>
      </c>
      <c r="D12179" s="6" t="str">
        <f>HYPERLINK("javascript:void(0)","mágnes")</f>
        <v>mágnes</v>
      </c>
    </row>
    <row r="12180" spans="1:4" ht="12.75" customHeight="1" x14ac:dyDescent="0.2">
      <c r="B12180" s="2"/>
      <c r="C12180" s="15"/>
      <c r="D12180" s="2"/>
    </row>
    <row r="12181" spans="1:4" ht="12.75" customHeight="1" x14ac:dyDescent="0.2">
      <c r="B12181" s="2"/>
      <c r="C12181" s="15"/>
      <c r="D12181" s="2"/>
    </row>
    <row r="12182" spans="1:4" ht="12.75" customHeight="1" x14ac:dyDescent="0.2">
      <c r="A12182" s="13" t="s">
        <v>4505</v>
      </c>
      <c r="C12182" s="12"/>
      <c r="D12182" s="2"/>
    </row>
    <row r="12183" spans="1:4" ht="12.75" customHeight="1" x14ac:dyDescent="0.2">
      <c r="A12183" s="11"/>
      <c r="B12183" s="2"/>
      <c r="C12183" s="15"/>
      <c r="D12183" s="2"/>
    </row>
    <row r="12184" spans="1:4" ht="12.75" customHeight="1" x14ac:dyDescent="0.2">
      <c r="B12184" s="11" t="s">
        <v>0</v>
      </c>
      <c r="C12184" s="17" t="s">
        <v>699</v>
      </c>
      <c r="D12184" s="2"/>
    </row>
    <row r="12185" spans="1:4" ht="12.75" customHeight="1" x14ac:dyDescent="0.2">
      <c r="B12185" s="11" t="s">
        <v>2599</v>
      </c>
      <c r="C12185" s="17" t="s">
        <v>4506</v>
      </c>
      <c r="D12185" s="2"/>
    </row>
    <row r="12186" spans="1:4" ht="25.5" customHeight="1" x14ac:dyDescent="0.2">
      <c r="B12186" s="11" t="s">
        <v>2600</v>
      </c>
      <c r="C12186" s="17" t="s">
        <v>4507</v>
      </c>
      <c r="D12186" s="2"/>
    </row>
    <row r="12187" spans="1:4" ht="25.5" customHeight="1" x14ac:dyDescent="0.2">
      <c r="B12187" s="11" t="s">
        <v>2601</v>
      </c>
      <c r="C12187" s="17"/>
      <c r="D12187" s="2"/>
    </row>
    <row r="12188" spans="1:4" ht="12.75" customHeight="1" x14ac:dyDescent="0.2">
      <c r="B12188" s="11" t="s">
        <v>16</v>
      </c>
      <c r="C12188" s="17"/>
      <c r="D12188" s="2"/>
    </row>
    <row r="12189" spans="1:4" ht="12.75" customHeight="1" x14ac:dyDescent="0.2">
      <c r="B12189" s="11" t="s">
        <v>13</v>
      </c>
      <c r="C12189" s="17" t="s">
        <v>2644</v>
      </c>
      <c r="D12189" s="2"/>
    </row>
    <row r="12190" spans="1:4" ht="12.75" customHeight="1" x14ac:dyDescent="0.2">
      <c r="B12190" s="11" t="s">
        <v>2603</v>
      </c>
      <c r="C12190" s="17" t="s">
        <v>2604</v>
      </c>
      <c r="D12190" s="2"/>
    </row>
    <row r="12191" spans="1:4" ht="12.75" customHeight="1" x14ac:dyDescent="0.2">
      <c r="B12191" s="11" t="s">
        <v>2605</v>
      </c>
      <c r="C12191" s="17" t="s">
        <v>24</v>
      </c>
      <c r="D12191" s="2"/>
    </row>
    <row r="12192" spans="1:4" ht="12.75" customHeight="1" x14ac:dyDescent="0.2">
      <c r="B12192" s="11" t="s">
        <v>2606</v>
      </c>
      <c r="C12192" s="16" t="s">
        <v>19</v>
      </c>
      <c r="D12192" s="2"/>
    </row>
    <row r="12193" spans="1:4" ht="12.75" customHeight="1" x14ac:dyDescent="0.2">
      <c r="B12193" s="2"/>
      <c r="C12193" s="15"/>
      <c r="D12193" s="2"/>
    </row>
    <row r="12194" spans="1:4" ht="12.75" customHeight="1" x14ac:dyDescent="0.2">
      <c r="B12194" s="2"/>
      <c r="C12194" s="15"/>
      <c r="D12194" s="2"/>
    </row>
    <row r="12195" spans="1:4" ht="12.75" customHeight="1" x14ac:dyDescent="0.2">
      <c r="A12195" s="13" t="s">
        <v>4508</v>
      </c>
      <c r="C12195" s="12"/>
    </row>
    <row r="12196" spans="1:4" ht="12.75" customHeight="1" x14ac:dyDescent="0.2">
      <c r="A12196" s="11"/>
      <c r="B12196" s="2"/>
      <c r="C12196" s="15"/>
      <c r="D12196" s="2"/>
    </row>
    <row r="12197" spans="1:4" ht="12.75" customHeight="1" x14ac:dyDescent="0.2">
      <c r="B12197" s="11" t="s">
        <v>0</v>
      </c>
      <c r="C12197" s="11" t="s">
        <v>699</v>
      </c>
    </row>
    <row r="12198" spans="1:4" ht="12.75" customHeight="1" x14ac:dyDescent="0.2">
      <c r="B12198" s="11" t="s">
        <v>2599</v>
      </c>
      <c r="C12198" s="11" t="s">
        <v>4509</v>
      </c>
    </row>
    <row r="12199" spans="1:4" ht="25.5" customHeight="1" x14ac:dyDescent="0.2">
      <c r="B12199" s="11" t="s">
        <v>2600</v>
      </c>
      <c r="C12199" s="11" t="s">
        <v>4510</v>
      </c>
    </row>
    <row r="12200" spans="1:4" ht="25.5" customHeight="1" x14ac:dyDescent="0.2">
      <c r="B12200" s="11" t="s">
        <v>2601</v>
      </c>
      <c r="C12200" s="11"/>
    </row>
    <row r="12201" spans="1:4" ht="12.75" customHeight="1" x14ac:dyDescent="0.2">
      <c r="B12201" s="11" t="s">
        <v>16</v>
      </c>
      <c r="C12201" s="11"/>
    </row>
    <row r="12202" spans="1:4" ht="12.75" customHeight="1" x14ac:dyDescent="0.2">
      <c r="B12202" s="11" t="s">
        <v>13</v>
      </c>
      <c r="C12202" s="11" t="s">
        <v>2602</v>
      </c>
    </row>
    <row r="12203" spans="1:4" ht="12.75" customHeight="1" x14ac:dyDescent="0.2">
      <c r="B12203" s="11" t="s">
        <v>2603</v>
      </c>
      <c r="C12203" s="11" t="s">
        <v>2604</v>
      </c>
    </row>
    <row r="12204" spans="1:4" ht="12.75" customHeight="1" x14ac:dyDescent="0.2">
      <c r="B12204" s="11" t="s">
        <v>2605</v>
      </c>
      <c r="C12204" s="11" t="s">
        <v>14</v>
      </c>
    </row>
    <row r="12205" spans="1:4" ht="12.75" customHeight="1" x14ac:dyDescent="0.2">
      <c r="B12205" s="11" t="s">
        <v>2606</v>
      </c>
      <c r="C12205" s="16" t="s">
        <v>44</v>
      </c>
      <c r="D12205" s="6" t="str">
        <f>HYPERLINK("javascript:void(0)","tincs")</f>
        <v>tincs</v>
      </c>
    </row>
    <row r="12206" spans="1:4" ht="12.75" customHeight="1" x14ac:dyDescent="0.2">
      <c r="B12206" s="2"/>
      <c r="C12206" s="15"/>
      <c r="D12206" s="2"/>
    </row>
    <row r="12207" spans="1:4" ht="12.75" customHeight="1" x14ac:dyDescent="0.2">
      <c r="B12207" s="2"/>
      <c r="C12207" s="15"/>
      <c r="D12207" s="2"/>
    </row>
    <row r="12208" spans="1:4" ht="12.75" customHeight="1" x14ac:dyDescent="0.2">
      <c r="A12208" s="13" t="s">
        <v>4511</v>
      </c>
      <c r="C12208" s="12"/>
    </row>
    <row r="12209" spans="1:4" ht="12.75" customHeight="1" x14ac:dyDescent="0.2">
      <c r="A12209" s="11"/>
      <c r="B12209" s="2"/>
      <c r="C12209" s="15"/>
      <c r="D12209" s="2"/>
    </row>
    <row r="12210" spans="1:4" ht="12.75" customHeight="1" x14ac:dyDescent="0.2">
      <c r="B12210" s="11" t="s">
        <v>0</v>
      </c>
      <c r="C12210" s="11" t="s">
        <v>699</v>
      </c>
    </row>
    <row r="12211" spans="1:4" ht="12.75" customHeight="1" x14ac:dyDescent="0.2">
      <c r="B12211" s="11" t="s">
        <v>2599</v>
      </c>
      <c r="C12211" s="11" t="s">
        <v>4512</v>
      </c>
    </row>
    <row r="12212" spans="1:4" ht="25.5" customHeight="1" x14ac:dyDescent="0.2">
      <c r="B12212" s="11" t="s">
        <v>2600</v>
      </c>
      <c r="C12212" s="11" t="s">
        <v>4513</v>
      </c>
    </row>
    <row r="12213" spans="1:4" ht="25.5" customHeight="1" x14ac:dyDescent="0.2">
      <c r="B12213" s="11" t="s">
        <v>2601</v>
      </c>
      <c r="C12213" s="11"/>
    </row>
    <row r="12214" spans="1:4" ht="12.75" customHeight="1" x14ac:dyDescent="0.2">
      <c r="B12214" s="11" t="s">
        <v>16</v>
      </c>
      <c r="C12214" s="11"/>
    </row>
    <row r="12215" spans="1:4" ht="12.75" customHeight="1" x14ac:dyDescent="0.2">
      <c r="B12215" s="11" t="s">
        <v>13</v>
      </c>
      <c r="C12215" s="11" t="s">
        <v>2644</v>
      </c>
    </row>
    <row r="12216" spans="1:4" ht="12.75" customHeight="1" x14ac:dyDescent="0.2">
      <c r="B12216" s="11" t="s">
        <v>2603</v>
      </c>
      <c r="C12216" s="11" t="s">
        <v>2604</v>
      </c>
    </row>
    <row r="12217" spans="1:4" ht="12.75" customHeight="1" x14ac:dyDescent="0.2">
      <c r="B12217" s="11" t="s">
        <v>2605</v>
      </c>
      <c r="C12217" s="11" t="s">
        <v>24</v>
      </c>
    </row>
    <row r="12218" spans="1:4" ht="12.75" customHeight="1" x14ac:dyDescent="0.2">
      <c r="B12218" s="11" t="s">
        <v>2606</v>
      </c>
      <c r="C12218" s="16" t="s">
        <v>56</v>
      </c>
      <c r="D12218" s="6" t="str">
        <f>HYPERLINK("javascript:void(0)","rémszem")</f>
        <v>rémszem</v>
      </c>
    </row>
    <row r="12219" spans="1:4" ht="12.75" customHeight="1" x14ac:dyDescent="0.2">
      <c r="C12219" s="16" t="s">
        <v>67</v>
      </c>
      <c r="D12219" s="6" t="str">
        <f>HYPERLINK("javascript:void(0)","kincs")</f>
        <v>kincs</v>
      </c>
    </row>
    <row r="12220" spans="1:4" ht="12.75" customHeight="1" x14ac:dyDescent="0.2">
      <c r="B12220" s="2"/>
      <c r="C12220" s="15"/>
      <c r="D12220" s="2"/>
    </row>
    <row r="12221" spans="1:4" ht="12.75" customHeight="1" x14ac:dyDescent="0.2">
      <c r="B12221" s="2"/>
      <c r="C12221" s="15"/>
      <c r="D12221" s="2"/>
    </row>
    <row r="12222" spans="1:4" ht="12.75" customHeight="1" x14ac:dyDescent="0.2">
      <c r="A12222" s="13" t="s">
        <v>4514</v>
      </c>
      <c r="C12222" s="12"/>
    </row>
    <row r="12223" spans="1:4" ht="12.75" customHeight="1" x14ac:dyDescent="0.2">
      <c r="A12223" s="11"/>
      <c r="B12223" s="2"/>
      <c r="C12223" s="15"/>
      <c r="D12223" s="2"/>
    </row>
    <row r="12224" spans="1:4" ht="12.75" customHeight="1" x14ac:dyDescent="0.2">
      <c r="B12224" s="11" t="s">
        <v>0</v>
      </c>
      <c r="C12224" s="11" t="s">
        <v>699</v>
      </c>
    </row>
    <row r="12225" spans="1:4" ht="12.75" customHeight="1" x14ac:dyDescent="0.2">
      <c r="B12225" s="11" t="s">
        <v>2599</v>
      </c>
      <c r="C12225" s="11" t="s">
        <v>325</v>
      </c>
    </row>
    <row r="12226" spans="1:4" ht="25.5" customHeight="1" x14ac:dyDescent="0.2">
      <c r="B12226" s="11" t="s">
        <v>2600</v>
      </c>
      <c r="C12226" s="11" t="s">
        <v>4515</v>
      </c>
    </row>
    <row r="12227" spans="1:4" ht="25.5" customHeight="1" x14ac:dyDescent="0.2">
      <c r="B12227" s="11" t="s">
        <v>2601</v>
      </c>
      <c r="C12227" s="11"/>
    </row>
    <row r="12228" spans="1:4" ht="12.75" customHeight="1" x14ac:dyDescent="0.2">
      <c r="B12228" s="11" t="s">
        <v>16</v>
      </c>
      <c r="C12228" s="11"/>
    </row>
    <row r="12229" spans="1:4" ht="12.75" customHeight="1" x14ac:dyDescent="0.2">
      <c r="B12229" s="11" t="s">
        <v>13</v>
      </c>
      <c r="C12229" s="11" t="s">
        <v>2602</v>
      </c>
    </row>
    <row r="12230" spans="1:4" ht="12.75" customHeight="1" x14ac:dyDescent="0.2">
      <c r="B12230" s="11" t="s">
        <v>2603</v>
      </c>
      <c r="C12230" s="11" t="s">
        <v>2604</v>
      </c>
    </row>
    <row r="12231" spans="1:4" ht="12.75" customHeight="1" x14ac:dyDescent="0.2">
      <c r="B12231" s="11" t="s">
        <v>2605</v>
      </c>
      <c r="C12231" s="11" t="s">
        <v>24</v>
      </c>
    </row>
    <row r="12232" spans="1:4" ht="12.75" customHeight="1" x14ac:dyDescent="0.2">
      <c r="B12232" s="11" t="s">
        <v>2606</v>
      </c>
      <c r="C12232" s="16" t="s">
        <v>68</v>
      </c>
      <c r="D12232" s="6" t="str">
        <f>HYPERLINK("javascript:void(0)","kincs")</f>
        <v>kincs</v>
      </c>
    </row>
    <row r="12233" spans="1:4" ht="12.75" customHeight="1" x14ac:dyDescent="0.2">
      <c r="B12233" s="2"/>
      <c r="C12233" s="15"/>
      <c r="D12233" s="2"/>
    </row>
    <row r="12234" spans="1:4" ht="12.75" customHeight="1" x14ac:dyDescent="0.2">
      <c r="B12234" s="2"/>
      <c r="C12234" s="15"/>
      <c r="D12234" s="2"/>
    </row>
    <row r="12235" spans="1:4" ht="12.75" customHeight="1" x14ac:dyDescent="0.2">
      <c r="A12235" s="13" t="s">
        <v>4408</v>
      </c>
      <c r="C12235" s="12"/>
      <c r="D12235" s="2"/>
    </row>
    <row r="12236" spans="1:4" ht="12.75" customHeight="1" x14ac:dyDescent="0.2">
      <c r="A12236" s="11"/>
      <c r="B12236" s="2"/>
      <c r="C12236" s="15"/>
      <c r="D12236" s="2"/>
    </row>
    <row r="12237" spans="1:4" ht="12.75" customHeight="1" x14ac:dyDescent="0.2">
      <c r="B12237" s="11" t="s">
        <v>0</v>
      </c>
      <c r="C12237" s="17" t="s">
        <v>699</v>
      </c>
      <c r="D12237" s="2"/>
    </row>
    <row r="12238" spans="1:4" ht="12.75" customHeight="1" x14ac:dyDescent="0.2">
      <c r="B12238" s="11" t="s">
        <v>2599</v>
      </c>
      <c r="C12238" s="17" t="s">
        <v>4441</v>
      </c>
      <c r="D12238" s="2"/>
    </row>
    <row r="12239" spans="1:4" ht="25.5" customHeight="1" x14ac:dyDescent="0.2">
      <c r="B12239" s="11" t="s">
        <v>2600</v>
      </c>
      <c r="C12239" s="17" t="s">
        <v>4516</v>
      </c>
      <c r="D12239" s="2"/>
    </row>
    <row r="12240" spans="1:4" ht="25.5" customHeight="1" x14ac:dyDescent="0.2">
      <c r="B12240" s="11" t="s">
        <v>2601</v>
      </c>
      <c r="C12240" s="17"/>
      <c r="D12240" s="2"/>
    </row>
    <row r="12241" spans="1:4" ht="12.75" customHeight="1" x14ac:dyDescent="0.2">
      <c r="B12241" s="11" t="s">
        <v>16</v>
      </c>
      <c r="C12241" s="17"/>
      <c r="D12241" s="2"/>
    </row>
    <row r="12242" spans="1:4" ht="12.75" customHeight="1" x14ac:dyDescent="0.2">
      <c r="B12242" s="11" t="s">
        <v>13</v>
      </c>
      <c r="C12242" s="17" t="s">
        <v>2602</v>
      </c>
      <c r="D12242" s="2"/>
    </row>
    <row r="12243" spans="1:4" ht="25.5" customHeight="1" x14ac:dyDescent="0.2">
      <c r="B12243" s="11" t="s">
        <v>2603</v>
      </c>
      <c r="C12243" s="17" t="s">
        <v>2971</v>
      </c>
      <c r="D12243" s="2"/>
    </row>
    <row r="12244" spans="1:4" ht="12.75" customHeight="1" x14ac:dyDescent="0.2">
      <c r="B12244" s="11" t="s">
        <v>2605</v>
      </c>
      <c r="C12244" s="17" t="s">
        <v>14</v>
      </c>
      <c r="D12244" s="2"/>
    </row>
    <row r="12245" spans="1:4" ht="12.75" customHeight="1" x14ac:dyDescent="0.2">
      <c r="B12245" s="11" t="s">
        <v>2606</v>
      </c>
      <c r="C12245" s="16" t="s">
        <v>19</v>
      </c>
      <c r="D12245" s="2"/>
    </row>
    <row r="12246" spans="1:4" ht="12.75" customHeight="1" x14ac:dyDescent="0.2">
      <c r="B12246" s="2"/>
      <c r="C12246" s="15"/>
      <c r="D12246" s="2"/>
    </row>
    <row r="12247" spans="1:4" ht="12.75" customHeight="1" x14ac:dyDescent="0.2">
      <c r="B12247" s="2"/>
      <c r="C12247" s="15"/>
      <c r="D12247" s="2"/>
    </row>
    <row r="12248" spans="1:4" ht="12.75" customHeight="1" x14ac:dyDescent="0.2">
      <c r="A12248" s="13" t="s">
        <v>4434</v>
      </c>
      <c r="C12248" s="12"/>
      <c r="D12248" s="2"/>
    </row>
    <row r="12249" spans="1:4" ht="12.75" customHeight="1" x14ac:dyDescent="0.2">
      <c r="A12249" s="11"/>
      <c r="B12249" s="2"/>
      <c r="C12249" s="15"/>
      <c r="D12249" s="2"/>
    </row>
    <row r="12250" spans="1:4" ht="12.75" customHeight="1" x14ac:dyDescent="0.2">
      <c r="B12250" s="11" t="s">
        <v>0</v>
      </c>
      <c r="C12250" s="17" t="s">
        <v>699</v>
      </c>
      <c r="D12250" s="2"/>
    </row>
    <row r="12251" spans="1:4" ht="12.75" customHeight="1" x14ac:dyDescent="0.2">
      <c r="B12251" s="11" t="s">
        <v>2599</v>
      </c>
      <c r="C12251" s="17" t="s">
        <v>4464</v>
      </c>
      <c r="D12251" s="2"/>
    </row>
    <row r="12252" spans="1:4" ht="25.5" customHeight="1" x14ac:dyDescent="0.2">
      <c r="B12252" s="11" t="s">
        <v>2600</v>
      </c>
      <c r="C12252" s="17" t="s">
        <v>4517</v>
      </c>
      <c r="D12252" s="2"/>
    </row>
    <row r="12253" spans="1:4" ht="25.5" customHeight="1" x14ac:dyDescent="0.2">
      <c r="B12253" s="11" t="s">
        <v>2601</v>
      </c>
      <c r="C12253" s="17"/>
      <c r="D12253" s="2"/>
    </row>
    <row r="12254" spans="1:4" ht="12.75" customHeight="1" x14ac:dyDescent="0.2">
      <c r="B12254" s="11" t="s">
        <v>16</v>
      </c>
      <c r="C12254" s="17"/>
      <c r="D12254" s="2"/>
    </row>
    <row r="12255" spans="1:4" ht="12.75" customHeight="1" x14ac:dyDescent="0.2">
      <c r="B12255" s="11" t="s">
        <v>13</v>
      </c>
      <c r="C12255" s="17" t="s">
        <v>2644</v>
      </c>
      <c r="D12255" s="2"/>
    </row>
    <row r="12256" spans="1:4" ht="25.5" customHeight="1" x14ac:dyDescent="0.2">
      <c r="B12256" s="11" t="s">
        <v>2603</v>
      </c>
      <c r="C12256" s="17" t="s">
        <v>2971</v>
      </c>
      <c r="D12256" s="2"/>
    </row>
    <row r="12257" spans="1:4" ht="12.75" customHeight="1" x14ac:dyDescent="0.2">
      <c r="B12257" s="11" t="s">
        <v>2605</v>
      </c>
      <c r="C12257" s="17" t="s">
        <v>14</v>
      </c>
      <c r="D12257" s="2"/>
    </row>
    <row r="12258" spans="1:4" ht="12.75" customHeight="1" x14ac:dyDescent="0.2">
      <c r="B12258" s="11" t="s">
        <v>2606</v>
      </c>
      <c r="C12258" s="16" t="s">
        <v>19</v>
      </c>
      <c r="D12258" s="2"/>
    </row>
    <row r="12259" spans="1:4" ht="12.75" customHeight="1" x14ac:dyDescent="0.2">
      <c r="B12259" s="2"/>
      <c r="C12259" s="15"/>
      <c r="D12259" s="2"/>
    </row>
    <row r="12260" spans="1:4" ht="12.75" customHeight="1" x14ac:dyDescent="0.2">
      <c r="B12260" s="2"/>
      <c r="C12260" s="15"/>
      <c r="D12260" s="2"/>
    </row>
    <row r="12261" spans="1:4" ht="12.75" customHeight="1" x14ac:dyDescent="0.2">
      <c r="A12261" s="13" t="s">
        <v>4437</v>
      </c>
      <c r="C12261" s="12"/>
      <c r="D12261" s="2"/>
    </row>
    <row r="12262" spans="1:4" ht="12.75" customHeight="1" x14ac:dyDescent="0.2">
      <c r="A12262" s="11"/>
      <c r="B12262" s="2"/>
      <c r="C12262" s="15"/>
      <c r="D12262" s="2"/>
    </row>
    <row r="12263" spans="1:4" ht="12.75" customHeight="1" x14ac:dyDescent="0.2">
      <c r="B12263" s="11" t="s">
        <v>0</v>
      </c>
      <c r="C12263" s="17" t="s">
        <v>699</v>
      </c>
      <c r="D12263" s="2"/>
    </row>
    <row r="12264" spans="1:4" ht="12.75" customHeight="1" x14ac:dyDescent="0.2">
      <c r="B12264" s="11" t="s">
        <v>2599</v>
      </c>
      <c r="C12264" s="17" t="s">
        <v>1933</v>
      </c>
      <c r="D12264" s="2"/>
    </row>
    <row r="12265" spans="1:4" ht="25.5" customHeight="1" x14ac:dyDescent="0.2">
      <c r="B12265" s="11" t="s">
        <v>2600</v>
      </c>
      <c r="C12265" s="17" t="s">
        <v>4518</v>
      </c>
      <c r="D12265" s="2"/>
    </row>
    <row r="12266" spans="1:4" ht="25.5" customHeight="1" x14ac:dyDescent="0.2">
      <c r="B12266" s="11" t="s">
        <v>2601</v>
      </c>
      <c r="C12266" s="17"/>
      <c r="D12266" s="2"/>
    </row>
    <row r="12267" spans="1:4" ht="12.75" customHeight="1" x14ac:dyDescent="0.2">
      <c r="B12267" s="11" t="s">
        <v>16</v>
      </c>
      <c r="C12267" s="17"/>
      <c r="D12267" s="2"/>
    </row>
    <row r="12268" spans="1:4" ht="12.75" customHeight="1" x14ac:dyDescent="0.2">
      <c r="B12268" s="11" t="s">
        <v>13</v>
      </c>
      <c r="C12268" s="17" t="s">
        <v>2602</v>
      </c>
      <c r="D12268" s="2"/>
    </row>
    <row r="12269" spans="1:4" ht="25.5" customHeight="1" x14ac:dyDescent="0.2">
      <c r="B12269" s="11" t="s">
        <v>2603</v>
      </c>
      <c r="C12269" s="17" t="s">
        <v>2971</v>
      </c>
      <c r="D12269" s="2"/>
    </row>
    <row r="12270" spans="1:4" ht="12.75" customHeight="1" x14ac:dyDescent="0.2">
      <c r="B12270" s="11" t="s">
        <v>2605</v>
      </c>
      <c r="C12270" s="17" t="s">
        <v>14</v>
      </c>
      <c r="D12270" s="2"/>
    </row>
    <row r="12271" spans="1:4" ht="12.75" customHeight="1" x14ac:dyDescent="0.2">
      <c r="B12271" s="11" t="s">
        <v>2606</v>
      </c>
      <c r="C12271" s="16" t="s">
        <v>19</v>
      </c>
      <c r="D12271" s="2"/>
    </row>
    <row r="12272" spans="1:4" ht="12.75" customHeight="1" x14ac:dyDescent="0.2">
      <c r="B12272" s="2"/>
      <c r="C12272" s="15"/>
      <c r="D12272" s="2"/>
    </row>
    <row r="12273" spans="1:4" ht="12.75" customHeight="1" x14ac:dyDescent="0.2">
      <c r="B12273" s="2"/>
      <c r="C12273" s="15"/>
      <c r="D12273" s="2"/>
    </row>
    <row r="12274" spans="1:4" ht="12.75" customHeight="1" x14ac:dyDescent="0.2">
      <c r="A12274" s="13" t="s">
        <v>2782</v>
      </c>
      <c r="C12274" s="12"/>
    </row>
    <row r="12275" spans="1:4" ht="12.75" customHeight="1" x14ac:dyDescent="0.2">
      <c r="A12275" s="11"/>
      <c r="B12275" s="2"/>
      <c r="C12275" s="15"/>
      <c r="D12275" s="2"/>
    </row>
    <row r="12276" spans="1:4" ht="12.75" customHeight="1" x14ac:dyDescent="0.2">
      <c r="B12276" s="11" t="s">
        <v>0</v>
      </c>
      <c r="C12276" s="11" t="s">
        <v>709</v>
      </c>
    </row>
    <row r="12277" spans="1:4" ht="12.75" customHeight="1" x14ac:dyDescent="0.2">
      <c r="B12277" s="11" t="s">
        <v>2599</v>
      </c>
      <c r="C12277" s="11" t="s">
        <v>4519</v>
      </c>
    </row>
    <row r="12278" spans="1:4" ht="25.5" customHeight="1" x14ac:dyDescent="0.2">
      <c r="B12278" s="11" t="s">
        <v>2600</v>
      </c>
      <c r="C12278" s="11" t="s">
        <v>4520</v>
      </c>
    </row>
    <row r="12279" spans="1:4" ht="25.5" customHeight="1" x14ac:dyDescent="0.2">
      <c r="B12279" s="11" t="s">
        <v>2601</v>
      </c>
      <c r="C12279" s="11"/>
    </row>
    <row r="12280" spans="1:4" ht="12.75" customHeight="1" x14ac:dyDescent="0.2">
      <c r="B12280" s="11" t="s">
        <v>16</v>
      </c>
      <c r="C12280" s="11"/>
    </row>
    <row r="12281" spans="1:4" ht="12.75" customHeight="1" x14ac:dyDescent="0.2">
      <c r="B12281" s="11" t="s">
        <v>13</v>
      </c>
      <c r="C12281" s="11" t="s">
        <v>2644</v>
      </c>
    </row>
    <row r="12282" spans="1:4" ht="12.75" customHeight="1" x14ac:dyDescent="0.2">
      <c r="B12282" s="11" t="s">
        <v>2603</v>
      </c>
      <c r="C12282" s="11" t="s">
        <v>2604</v>
      </c>
    </row>
    <row r="12283" spans="1:4" ht="12.75" customHeight="1" x14ac:dyDescent="0.2">
      <c r="B12283" s="11" t="s">
        <v>2605</v>
      </c>
      <c r="C12283" s="11" t="s">
        <v>14</v>
      </c>
    </row>
    <row r="12284" spans="1:4" ht="12.75" customHeight="1" x14ac:dyDescent="0.2">
      <c r="B12284" s="11" t="s">
        <v>2606</v>
      </c>
      <c r="C12284" s="16" t="s">
        <v>44</v>
      </c>
      <c r="D12284" s="6" t="str">
        <f>HYPERLINK("javascript:void(0)","alakváltókő")</f>
        <v>alakváltókő</v>
      </c>
    </row>
    <row r="12285" spans="1:4" ht="12.75" customHeight="1" x14ac:dyDescent="0.2">
      <c r="B12285" s="2"/>
      <c r="C12285" s="15"/>
      <c r="D12285" s="2"/>
    </row>
    <row r="12286" spans="1:4" ht="12.75" customHeight="1" x14ac:dyDescent="0.2">
      <c r="B12286" s="2"/>
      <c r="C12286" s="15"/>
      <c r="D12286" s="2"/>
    </row>
    <row r="12287" spans="1:4" ht="12.75" customHeight="1" x14ac:dyDescent="0.2">
      <c r="A12287" s="13" t="s">
        <v>4405</v>
      </c>
      <c r="C12287" s="12"/>
      <c r="D12287" s="2"/>
    </row>
    <row r="12288" spans="1:4" ht="12.75" customHeight="1" x14ac:dyDescent="0.2">
      <c r="A12288" s="11"/>
      <c r="B12288" s="2"/>
      <c r="C12288" s="15"/>
      <c r="D12288" s="2"/>
    </row>
    <row r="12289" spans="1:4" ht="12.75" customHeight="1" x14ac:dyDescent="0.2">
      <c r="B12289" s="11" t="s">
        <v>0</v>
      </c>
      <c r="C12289" s="17" t="s">
        <v>709</v>
      </c>
      <c r="D12289" s="2"/>
    </row>
    <row r="12290" spans="1:4" ht="12.75" customHeight="1" x14ac:dyDescent="0.2">
      <c r="B12290" s="11" t="s">
        <v>2599</v>
      </c>
      <c r="C12290" s="17" t="s">
        <v>3637</v>
      </c>
      <c r="D12290" s="2"/>
    </row>
    <row r="12291" spans="1:4" ht="25.5" customHeight="1" x14ac:dyDescent="0.2">
      <c r="B12291" s="11" t="s">
        <v>2600</v>
      </c>
      <c r="C12291" s="17" t="s">
        <v>4521</v>
      </c>
      <c r="D12291" s="2"/>
    </row>
    <row r="12292" spans="1:4" ht="25.5" customHeight="1" x14ac:dyDescent="0.2">
      <c r="B12292" s="11" t="s">
        <v>2601</v>
      </c>
      <c r="C12292" s="17"/>
      <c r="D12292" s="2"/>
    </row>
    <row r="12293" spans="1:4" ht="12.75" customHeight="1" x14ac:dyDescent="0.2">
      <c r="B12293" s="11" t="s">
        <v>16</v>
      </c>
      <c r="C12293" s="17"/>
      <c r="D12293" s="2"/>
    </row>
    <row r="12294" spans="1:4" ht="12.75" customHeight="1" x14ac:dyDescent="0.2">
      <c r="B12294" s="11" t="s">
        <v>13</v>
      </c>
      <c r="C12294" s="17" t="s">
        <v>2644</v>
      </c>
      <c r="D12294" s="2"/>
    </row>
    <row r="12295" spans="1:4" ht="25.5" customHeight="1" x14ac:dyDescent="0.2">
      <c r="B12295" s="11" t="s">
        <v>2603</v>
      </c>
      <c r="C12295" s="17" t="s">
        <v>2971</v>
      </c>
      <c r="D12295" s="2"/>
    </row>
    <row r="12296" spans="1:4" ht="12.75" customHeight="1" x14ac:dyDescent="0.2">
      <c r="B12296" s="11" t="s">
        <v>2605</v>
      </c>
      <c r="C12296" s="17" t="s">
        <v>14</v>
      </c>
      <c r="D12296" s="2"/>
    </row>
    <row r="12297" spans="1:4" ht="12.75" customHeight="1" x14ac:dyDescent="0.2">
      <c r="B12297" s="11" t="s">
        <v>2606</v>
      </c>
      <c r="C12297" s="16" t="s">
        <v>19</v>
      </c>
      <c r="D12297" s="2"/>
    </row>
    <row r="12298" spans="1:4" ht="12.75" customHeight="1" x14ac:dyDescent="0.2">
      <c r="B12298" s="2"/>
      <c r="C12298" s="15"/>
      <c r="D12298" s="2"/>
    </row>
    <row r="12299" spans="1:4" ht="12.75" customHeight="1" x14ac:dyDescent="0.2">
      <c r="B12299" s="2"/>
      <c r="C12299" s="15"/>
      <c r="D12299" s="2"/>
    </row>
    <row r="12300" spans="1:4" ht="12.75" customHeight="1" x14ac:dyDescent="0.2">
      <c r="A12300" s="13" t="s">
        <v>4522</v>
      </c>
      <c r="C12300" s="12"/>
    </row>
    <row r="12301" spans="1:4" ht="12.75" customHeight="1" x14ac:dyDescent="0.2">
      <c r="A12301" s="11"/>
      <c r="B12301" s="2"/>
      <c r="C12301" s="15"/>
      <c r="D12301" s="2"/>
    </row>
    <row r="12302" spans="1:4" ht="12.75" customHeight="1" x14ac:dyDescent="0.2">
      <c r="B12302" s="11" t="s">
        <v>0</v>
      </c>
      <c r="C12302" s="11" t="s">
        <v>709</v>
      </c>
    </row>
    <row r="12303" spans="1:4" ht="12.75" customHeight="1" x14ac:dyDescent="0.2">
      <c r="B12303" s="11" t="s">
        <v>2599</v>
      </c>
      <c r="C12303" s="11" t="s">
        <v>4088</v>
      </c>
    </row>
    <row r="12304" spans="1:4" ht="25.5" customHeight="1" x14ac:dyDescent="0.2">
      <c r="B12304" s="11" t="s">
        <v>2600</v>
      </c>
      <c r="C12304" s="11" t="s">
        <v>4523</v>
      </c>
    </row>
    <row r="12305" spans="1:4" ht="25.5" customHeight="1" x14ac:dyDescent="0.2">
      <c r="B12305" s="11" t="s">
        <v>2601</v>
      </c>
      <c r="C12305" s="11"/>
    </row>
    <row r="12306" spans="1:4" ht="12.75" customHeight="1" x14ac:dyDescent="0.2">
      <c r="B12306" s="11" t="s">
        <v>16</v>
      </c>
      <c r="C12306" s="11"/>
    </row>
    <row r="12307" spans="1:4" ht="12.75" customHeight="1" x14ac:dyDescent="0.2">
      <c r="B12307" s="11" t="s">
        <v>13</v>
      </c>
      <c r="C12307" s="11" t="s">
        <v>2644</v>
      </c>
    </row>
    <row r="12308" spans="1:4" ht="12.75" customHeight="1" x14ac:dyDescent="0.2">
      <c r="B12308" s="11" t="s">
        <v>2603</v>
      </c>
      <c r="C12308" s="11" t="s">
        <v>2604</v>
      </c>
    </row>
    <row r="12309" spans="1:4" ht="12.75" customHeight="1" x14ac:dyDescent="0.2">
      <c r="B12309" s="11" t="s">
        <v>2605</v>
      </c>
      <c r="C12309" s="11" t="s">
        <v>24</v>
      </c>
    </row>
    <row r="12310" spans="1:4" ht="12.75" customHeight="1" x14ac:dyDescent="0.2">
      <c r="B12310" s="11" t="s">
        <v>2606</v>
      </c>
      <c r="C12310" s="16" t="s">
        <v>139</v>
      </c>
      <c r="D12310" s="6" t="str">
        <f>HYPERLINK("javascript:void(0)","kincs")</f>
        <v>kincs</v>
      </c>
    </row>
    <row r="12311" spans="1:4" ht="12.75" customHeight="1" x14ac:dyDescent="0.2">
      <c r="B12311" s="2"/>
      <c r="C12311" s="15"/>
      <c r="D12311" s="2"/>
    </row>
    <row r="12312" spans="1:4" ht="12.75" customHeight="1" x14ac:dyDescent="0.2">
      <c r="B12312" s="2"/>
      <c r="C12312" s="15"/>
      <c r="D12312" s="2"/>
    </row>
    <row r="12313" spans="1:4" ht="12.75" customHeight="1" x14ac:dyDescent="0.2">
      <c r="A12313" s="13" t="s">
        <v>4524</v>
      </c>
      <c r="C12313" s="12"/>
    </row>
    <row r="12314" spans="1:4" ht="12.75" customHeight="1" x14ac:dyDescent="0.2">
      <c r="A12314" s="11"/>
      <c r="B12314" s="2"/>
      <c r="C12314" s="15"/>
      <c r="D12314" s="2"/>
    </row>
    <row r="12315" spans="1:4" ht="12.75" customHeight="1" x14ac:dyDescent="0.2">
      <c r="B12315" s="11" t="s">
        <v>0</v>
      </c>
      <c r="C12315" s="11" t="s">
        <v>709</v>
      </c>
    </row>
    <row r="12316" spans="1:4" ht="12.75" customHeight="1" x14ac:dyDescent="0.2">
      <c r="B12316" s="11" t="s">
        <v>2599</v>
      </c>
      <c r="C12316" s="11" t="s">
        <v>4525</v>
      </c>
    </row>
    <row r="12317" spans="1:4" ht="25.5" customHeight="1" x14ac:dyDescent="0.2">
      <c r="B12317" s="11" t="s">
        <v>2600</v>
      </c>
      <c r="C12317" s="11" t="s">
        <v>4526</v>
      </c>
    </row>
    <row r="12318" spans="1:4" ht="25.5" customHeight="1" x14ac:dyDescent="0.2">
      <c r="B12318" s="11" t="s">
        <v>2601</v>
      </c>
      <c r="C12318" s="11"/>
    </row>
    <row r="12319" spans="1:4" ht="12.75" customHeight="1" x14ac:dyDescent="0.2">
      <c r="B12319" s="11" t="s">
        <v>16</v>
      </c>
      <c r="C12319" s="11"/>
    </row>
    <row r="12320" spans="1:4" ht="12.75" customHeight="1" x14ac:dyDescent="0.2">
      <c r="B12320" s="11" t="s">
        <v>13</v>
      </c>
      <c r="C12320" s="11" t="s">
        <v>2602</v>
      </c>
    </row>
    <row r="12321" spans="1:4" ht="12.75" customHeight="1" x14ac:dyDescent="0.2">
      <c r="B12321" s="11" t="s">
        <v>2603</v>
      </c>
      <c r="C12321" s="11" t="s">
        <v>2604</v>
      </c>
    </row>
    <row r="12322" spans="1:4" ht="12.75" customHeight="1" x14ac:dyDescent="0.2">
      <c r="B12322" s="11" t="s">
        <v>2605</v>
      </c>
      <c r="C12322" s="11" t="s">
        <v>14</v>
      </c>
    </row>
    <row r="12323" spans="1:4" ht="12.75" customHeight="1" x14ac:dyDescent="0.2">
      <c r="B12323" s="11" t="s">
        <v>2606</v>
      </c>
      <c r="C12323" s="16" t="s">
        <v>44</v>
      </c>
      <c r="D12323" s="6" t="str">
        <f>HYPERLINK("javascript:void(0)","kispárna")</f>
        <v>kispárna</v>
      </c>
    </row>
    <row r="12324" spans="1:4" ht="12.75" customHeight="1" x14ac:dyDescent="0.2">
      <c r="B12324" s="2"/>
      <c r="C12324" s="15"/>
      <c r="D12324" s="2"/>
    </row>
    <row r="12325" spans="1:4" ht="12.75" customHeight="1" x14ac:dyDescent="0.2">
      <c r="B12325" s="2"/>
      <c r="C12325" s="15"/>
      <c r="D12325" s="2"/>
    </row>
    <row r="12326" spans="1:4" ht="12.75" customHeight="1" x14ac:dyDescent="0.2">
      <c r="A12326" s="13" t="s">
        <v>4527</v>
      </c>
      <c r="C12326" s="12"/>
    </row>
    <row r="12327" spans="1:4" ht="12.75" customHeight="1" x14ac:dyDescent="0.2">
      <c r="A12327" s="11"/>
      <c r="B12327" s="2"/>
      <c r="C12327" s="15"/>
      <c r="D12327" s="2"/>
    </row>
    <row r="12328" spans="1:4" ht="12.75" customHeight="1" x14ac:dyDescent="0.2">
      <c r="B12328" s="11" t="s">
        <v>0</v>
      </c>
      <c r="C12328" s="11" t="s">
        <v>709</v>
      </c>
    </row>
    <row r="12329" spans="1:4" ht="12.75" customHeight="1" x14ac:dyDescent="0.2">
      <c r="B12329" s="11" t="s">
        <v>2599</v>
      </c>
      <c r="C12329" s="11" t="s">
        <v>4528</v>
      </c>
    </row>
    <row r="12330" spans="1:4" ht="25.5" customHeight="1" x14ac:dyDescent="0.2">
      <c r="B12330" s="11" t="s">
        <v>2600</v>
      </c>
      <c r="C12330" s="11" t="s">
        <v>4529</v>
      </c>
    </row>
    <row r="12331" spans="1:4" ht="25.5" customHeight="1" x14ac:dyDescent="0.2">
      <c r="B12331" s="11" t="s">
        <v>2601</v>
      </c>
      <c r="C12331" s="11"/>
    </row>
    <row r="12332" spans="1:4" ht="12.75" customHeight="1" x14ac:dyDescent="0.2">
      <c r="B12332" s="11" t="s">
        <v>16</v>
      </c>
      <c r="C12332" s="11"/>
    </row>
    <row r="12333" spans="1:4" ht="12.75" customHeight="1" x14ac:dyDescent="0.2">
      <c r="B12333" s="11" t="s">
        <v>13</v>
      </c>
      <c r="C12333" s="11" t="s">
        <v>2644</v>
      </c>
    </row>
    <row r="12334" spans="1:4" ht="12.75" customHeight="1" x14ac:dyDescent="0.2">
      <c r="B12334" s="11" t="s">
        <v>2603</v>
      </c>
      <c r="C12334" s="11" t="s">
        <v>2604</v>
      </c>
    </row>
    <row r="12335" spans="1:4" ht="12.75" customHeight="1" x14ac:dyDescent="0.2">
      <c r="B12335" s="11" t="s">
        <v>2605</v>
      </c>
      <c r="C12335" s="11" t="s">
        <v>24</v>
      </c>
    </row>
    <row r="12336" spans="1:4" ht="12.75" customHeight="1" x14ac:dyDescent="0.2">
      <c r="B12336" s="11" t="s">
        <v>2606</v>
      </c>
      <c r="C12336" s="16" t="s">
        <v>44</v>
      </c>
      <c r="D12336" s="6" t="str">
        <f>HYPERLINK("javascript:void(0)","aranyrög")</f>
        <v>aranyrög</v>
      </c>
    </row>
    <row r="12337" spans="1:4" ht="12.75" customHeight="1" x14ac:dyDescent="0.2">
      <c r="C12337" s="16" t="s">
        <v>130</v>
      </c>
      <c r="D12337" s="6" t="str">
        <f>HYPERLINK("javascript:void(0)","arany")</f>
        <v>arany</v>
      </c>
    </row>
    <row r="12338" spans="1:4" ht="12.75" customHeight="1" x14ac:dyDescent="0.2">
      <c r="B12338" s="2"/>
      <c r="C12338" s="15"/>
      <c r="D12338" s="2"/>
    </row>
    <row r="12339" spans="1:4" ht="12.75" customHeight="1" x14ac:dyDescent="0.2">
      <c r="B12339" s="2"/>
      <c r="C12339" s="15"/>
      <c r="D12339" s="2"/>
    </row>
    <row r="12340" spans="1:4" ht="12.75" customHeight="1" x14ac:dyDescent="0.2">
      <c r="A12340" s="13" t="s">
        <v>4530</v>
      </c>
      <c r="C12340" s="12"/>
    </row>
    <row r="12341" spans="1:4" ht="12.75" customHeight="1" x14ac:dyDescent="0.2">
      <c r="A12341" s="11"/>
      <c r="B12341" s="2"/>
      <c r="C12341" s="15"/>
      <c r="D12341" s="2"/>
    </row>
    <row r="12342" spans="1:4" ht="12.75" customHeight="1" x14ac:dyDescent="0.2">
      <c r="B12342" s="11" t="s">
        <v>0</v>
      </c>
      <c r="C12342" s="11" t="s">
        <v>709</v>
      </c>
    </row>
    <row r="12343" spans="1:4" ht="12.75" customHeight="1" x14ac:dyDescent="0.2">
      <c r="B12343" s="11" t="s">
        <v>2599</v>
      </c>
      <c r="C12343" s="11" t="s">
        <v>4531</v>
      </c>
    </row>
    <row r="12344" spans="1:4" ht="25.5" customHeight="1" x14ac:dyDescent="0.2">
      <c r="B12344" s="11" t="s">
        <v>2600</v>
      </c>
      <c r="C12344" s="11" t="s">
        <v>4532</v>
      </c>
    </row>
    <row r="12345" spans="1:4" ht="25.5" customHeight="1" x14ac:dyDescent="0.2">
      <c r="B12345" s="11" t="s">
        <v>2601</v>
      </c>
      <c r="C12345" s="11"/>
    </row>
    <row r="12346" spans="1:4" ht="12.75" customHeight="1" x14ac:dyDescent="0.2">
      <c r="B12346" s="11" t="s">
        <v>16</v>
      </c>
      <c r="C12346" s="11"/>
    </row>
    <row r="12347" spans="1:4" ht="12.75" customHeight="1" x14ac:dyDescent="0.2">
      <c r="B12347" s="11" t="s">
        <v>13</v>
      </c>
      <c r="C12347" s="11" t="s">
        <v>2602</v>
      </c>
    </row>
    <row r="12348" spans="1:4" ht="12.75" customHeight="1" x14ac:dyDescent="0.2">
      <c r="B12348" s="11" t="s">
        <v>2603</v>
      </c>
      <c r="C12348" s="11" t="s">
        <v>2604</v>
      </c>
    </row>
    <row r="12349" spans="1:4" ht="12.75" customHeight="1" x14ac:dyDescent="0.2">
      <c r="B12349" s="11" t="s">
        <v>2605</v>
      </c>
      <c r="C12349" s="11" t="s">
        <v>14</v>
      </c>
    </row>
    <row r="12350" spans="1:4" ht="25.5" customHeight="1" x14ac:dyDescent="0.2">
      <c r="B12350" s="11" t="s">
        <v>2606</v>
      </c>
      <c r="C12350" s="16" t="s">
        <v>44</v>
      </c>
      <c r="D12350" s="6" t="str">
        <f>HYPERLINK("javascript:void(0)","gyíkacél kard")</f>
        <v>gyíkacél kard</v>
      </c>
    </row>
    <row r="12351" spans="1:4" ht="12.75" customHeight="1" x14ac:dyDescent="0.2">
      <c r="B12351" s="2"/>
      <c r="C12351" s="15"/>
      <c r="D12351" s="2"/>
    </row>
    <row r="12352" spans="1:4" ht="12.75" customHeight="1" x14ac:dyDescent="0.2">
      <c r="B12352" s="2"/>
      <c r="C12352" s="15"/>
      <c r="D12352" s="2"/>
    </row>
    <row r="12353" spans="1:4" ht="12.75" customHeight="1" x14ac:dyDescent="0.2">
      <c r="A12353" s="13" t="s">
        <v>4533</v>
      </c>
      <c r="C12353" s="12"/>
    </row>
    <row r="12354" spans="1:4" ht="12.75" customHeight="1" x14ac:dyDescent="0.2">
      <c r="A12354" s="11"/>
      <c r="B12354" s="2"/>
      <c r="C12354" s="15"/>
      <c r="D12354" s="2"/>
    </row>
    <row r="12355" spans="1:4" ht="12.75" customHeight="1" x14ac:dyDescent="0.2">
      <c r="B12355" s="11" t="s">
        <v>0</v>
      </c>
      <c r="C12355" s="11" t="s">
        <v>709</v>
      </c>
    </row>
    <row r="12356" spans="1:4" ht="12.75" customHeight="1" x14ac:dyDescent="0.2">
      <c r="B12356" s="11" t="s">
        <v>2599</v>
      </c>
      <c r="C12356" s="11" t="s">
        <v>4534</v>
      </c>
    </row>
    <row r="12357" spans="1:4" ht="25.5" customHeight="1" x14ac:dyDescent="0.2">
      <c r="B12357" s="11" t="s">
        <v>2600</v>
      </c>
      <c r="C12357" s="11" t="s">
        <v>4535</v>
      </c>
    </row>
    <row r="12358" spans="1:4" ht="25.5" customHeight="1" x14ac:dyDescent="0.2">
      <c r="B12358" s="11" t="s">
        <v>2601</v>
      </c>
      <c r="C12358" s="11"/>
    </row>
    <row r="12359" spans="1:4" ht="12.75" customHeight="1" x14ac:dyDescent="0.2">
      <c r="B12359" s="11" t="s">
        <v>16</v>
      </c>
      <c r="C12359" s="11"/>
    </row>
    <row r="12360" spans="1:4" ht="12.75" customHeight="1" x14ac:dyDescent="0.2">
      <c r="B12360" s="11" t="s">
        <v>13</v>
      </c>
      <c r="C12360" s="11" t="s">
        <v>2602</v>
      </c>
    </row>
    <row r="12361" spans="1:4" ht="12.75" customHeight="1" x14ac:dyDescent="0.2">
      <c r="B12361" s="11" t="s">
        <v>2603</v>
      </c>
      <c r="C12361" s="11" t="s">
        <v>2604</v>
      </c>
    </row>
    <row r="12362" spans="1:4" ht="12.75" customHeight="1" x14ac:dyDescent="0.2">
      <c r="B12362" s="11" t="s">
        <v>2605</v>
      </c>
      <c r="C12362" s="11" t="s">
        <v>14</v>
      </c>
    </row>
    <row r="12363" spans="1:4" ht="12.75" customHeight="1" x14ac:dyDescent="0.2">
      <c r="B12363" s="11" t="s">
        <v>2606</v>
      </c>
      <c r="C12363" s="16" t="s">
        <v>280</v>
      </c>
      <c r="D12363" s="6" t="str">
        <f>HYPERLINK("javascript:void(0)","kincs")</f>
        <v>kincs</v>
      </c>
    </row>
    <row r="12364" spans="1:4" ht="12.75" customHeight="1" x14ac:dyDescent="0.2">
      <c r="B12364" s="2"/>
      <c r="C12364" s="15"/>
      <c r="D12364" s="2"/>
    </row>
    <row r="12365" spans="1:4" ht="12.75" customHeight="1" x14ac:dyDescent="0.2">
      <c r="B12365" s="2"/>
      <c r="C12365" s="15"/>
      <c r="D12365" s="2"/>
    </row>
    <row r="12366" spans="1:4" ht="12.75" customHeight="1" x14ac:dyDescent="0.2">
      <c r="A12366" s="13" t="s">
        <v>4536</v>
      </c>
      <c r="C12366" s="12"/>
    </row>
    <row r="12367" spans="1:4" ht="12.75" customHeight="1" x14ac:dyDescent="0.2">
      <c r="A12367" s="11"/>
      <c r="B12367" s="2"/>
      <c r="C12367" s="15"/>
      <c r="D12367" s="2"/>
    </row>
    <row r="12368" spans="1:4" ht="12.75" customHeight="1" x14ac:dyDescent="0.2">
      <c r="B12368" s="11" t="s">
        <v>0</v>
      </c>
      <c r="C12368" s="11" t="s">
        <v>709</v>
      </c>
    </row>
    <row r="12369" spans="1:4" ht="12.75" customHeight="1" x14ac:dyDescent="0.2">
      <c r="B12369" s="11" t="s">
        <v>2599</v>
      </c>
      <c r="C12369" s="11" t="s">
        <v>4537</v>
      </c>
    </row>
    <row r="12370" spans="1:4" ht="25.5" customHeight="1" x14ac:dyDescent="0.2">
      <c r="B12370" s="11" t="s">
        <v>2600</v>
      </c>
      <c r="C12370" s="11" t="s">
        <v>4538</v>
      </c>
    </row>
    <row r="12371" spans="1:4" ht="25.5" customHeight="1" x14ac:dyDescent="0.2">
      <c r="B12371" s="11" t="s">
        <v>2601</v>
      </c>
      <c r="C12371" s="11"/>
    </row>
    <row r="12372" spans="1:4" ht="12.75" customHeight="1" x14ac:dyDescent="0.2">
      <c r="B12372" s="11" t="s">
        <v>16</v>
      </c>
      <c r="C12372" s="11"/>
    </row>
    <row r="12373" spans="1:4" ht="12.75" customHeight="1" x14ac:dyDescent="0.2">
      <c r="B12373" s="11" t="s">
        <v>13</v>
      </c>
      <c r="C12373" s="11" t="s">
        <v>2602</v>
      </c>
    </row>
    <row r="12374" spans="1:4" ht="12.75" customHeight="1" x14ac:dyDescent="0.2">
      <c r="B12374" s="11" t="s">
        <v>2603</v>
      </c>
      <c r="C12374" s="11" t="s">
        <v>2604</v>
      </c>
    </row>
    <row r="12375" spans="1:4" ht="12.75" customHeight="1" x14ac:dyDescent="0.2">
      <c r="B12375" s="11" t="s">
        <v>2605</v>
      </c>
      <c r="C12375" s="11" t="s">
        <v>24</v>
      </c>
    </row>
    <row r="12376" spans="1:4" ht="12.75" customHeight="1" x14ac:dyDescent="0.2">
      <c r="B12376" s="11" t="s">
        <v>2606</v>
      </c>
      <c r="C12376" s="16" t="s">
        <v>44</v>
      </c>
      <c r="D12376" s="6" t="str">
        <f>HYPERLINK("javascript:void(0)","bajuszkötő")</f>
        <v>bajuszkötő</v>
      </c>
    </row>
    <row r="12377" spans="1:4" ht="12.75" customHeight="1" x14ac:dyDescent="0.2">
      <c r="B12377" s="2"/>
      <c r="C12377" s="15"/>
      <c r="D12377" s="2"/>
    </row>
    <row r="12378" spans="1:4" ht="12.75" customHeight="1" x14ac:dyDescent="0.2">
      <c r="B12378" s="2"/>
      <c r="C12378" s="15"/>
      <c r="D12378" s="2"/>
    </row>
    <row r="12379" spans="1:4" ht="12.75" customHeight="1" x14ac:dyDescent="0.2">
      <c r="A12379" s="13" t="s">
        <v>4539</v>
      </c>
      <c r="C12379" s="12"/>
    </row>
    <row r="12380" spans="1:4" ht="12.75" customHeight="1" x14ac:dyDescent="0.2">
      <c r="A12380" s="11"/>
      <c r="B12380" s="2"/>
      <c r="C12380" s="15"/>
      <c r="D12380" s="2"/>
    </row>
    <row r="12381" spans="1:4" ht="12.75" customHeight="1" x14ac:dyDescent="0.2">
      <c r="B12381" s="11" t="s">
        <v>0</v>
      </c>
      <c r="C12381" s="11" t="s">
        <v>709</v>
      </c>
    </row>
    <row r="12382" spans="1:4" ht="12.75" customHeight="1" x14ac:dyDescent="0.2">
      <c r="B12382" s="11" t="s">
        <v>2599</v>
      </c>
      <c r="C12382" s="11" t="s">
        <v>4519</v>
      </c>
    </row>
    <row r="12383" spans="1:4" ht="25.5" customHeight="1" x14ac:dyDescent="0.2">
      <c r="B12383" s="11" t="s">
        <v>2600</v>
      </c>
      <c r="C12383" s="11" t="s">
        <v>4540</v>
      </c>
    </row>
    <row r="12384" spans="1:4" ht="25.5" customHeight="1" x14ac:dyDescent="0.2">
      <c r="B12384" s="11" t="s">
        <v>2601</v>
      </c>
      <c r="C12384" s="11"/>
    </row>
    <row r="12385" spans="1:4" ht="12.75" customHeight="1" x14ac:dyDescent="0.2">
      <c r="B12385" s="11" t="s">
        <v>16</v>
      </c>
      <c r="C12385" s="11"/>
    </row>
    <row r="12386" spans="1:4" ht="12.75" customHeight="1" x14ac:dyDescent="0.2">
      <c r="B12386" s="11" t="s">
        <v>13</v>
      </c>
      <c r="C12386" s="11" t="s">
        <v>2644</v>
      </c>
    </row>
    <row r="12387" spans="1:4" ht="12.75" customHeight="1" x14ac:dyDescent="0.2">
      <c r="B12387" s="11" t="s">
        <v>2603</v>
      </c>
      <c r="C12387" s="11" t="s">
        <v>2604</v>
      </c>
    </row>
    <row r="12388" spans="1:4" ht="12.75" customHeight="1" x14ac:dyDescent="0.2">
      <c r="B12388" s="11" t="s">
        <v>2605</v>
      </c>
      <c r="C12388" s="11" t="s">
        <v>14</v>
      </c>
    </row>
    <row r="12389" spans="1:4" ht="12.75" customHeight="1" x14ac:dyDescent="0.2">
      <c r="B12389" s="11" t="s">
        <v>2606</v>
      </c>
      <c r="C12389" s="16" t="s">
        <v>331</v>
      </c>
      <c r="D12389" s="6" t="str">
        <f>HYPERLINK("javascript:void(0)","kincs")</f>
        <v>kincs</v>
      </c>
    </row>
    <row r="12390" spans="1:4" ht="12.75" customHeight="1" x14ac:dyDescent="0.2">
      <c r="B12390" s="2"/>
      <c r="C12390" s="15"/>
      <c r="D12390" s="2"/>
    </row>
    <row r="12391" spans="1:4" ht="12.75" customHeight="1" x14ac:dyDescent="0.2">
      <c r="B12391" s="2"/>
      <c r="C12391" s="15"/>
      <c r="D12391" s="2"/>
    </row>
    <row r="12392" spans="1:4" ht="12.75" customHeight="1" x14ac:dyDescent="0.2">
      <c r="A12392" s="13" t="s">
        <v>4541</v>
      </c>
      <c r="C12392" s="12"/>
    </row>
    <row r="12393" spans="1:4" ht="12.75" customHeight="1" x14ac:dyDescent="0.2">
      <c r="A12393" s="11"/>
      <c r="B12393" s="2"/>
      <c r="C12393" s="15"/>
      <c r="D12393" s="2"/>
    </row>
    <row r="12394" spans="1:4" ht="12.75" customHeight="1" x14ac:dyDescent="0.2">
      <c r="B12394" s="11" t="s">
        <v>0</v>
      </c>
      <c r="C12394" s="11" t="s">
        <v>709</v>
      </c>
    </row>
    <row r="12395" spans="1:4" ht="12.75" customHeight="1" x14ac:dyDescent="0.2">
      <c r="B12395" s="11" t="s">
        <v>2599</v>
      </c>
      <c r="C12395" s="11" t="s">
        <v>4542</v>
      </c>
    </row>
    <row r="12396" spans="1:4" ht="25.5" customHeight="1" x14ac:dyDescent="0.2">
      <c r="B12396" s="11" t="s">
        <v>2600</v>
      </c>
      <c r="C12396" s="11" t="s">
        <v>4543</v>
      </c>
    </row>
    <row r="12397" spans="1:4" ht="25.5" customHeight="1" x14ac:dyDescent="0.2">
      <c r="B12397" s="11" t="s">
        <v>2601</v>
      </c>
      <c r="C12397" s="11"/>
    </row>
    <row r="12398" spans="1:4" ht="12.75" customHeight="1" x14ac:dyDescent="0.2">
      <c r="B12398" s="11" t="s">
        <v>16</v>
      </c>
      <c r="C12398" s="11"/>
    </row>
    <row r="12399" spans="1:4" ht="12.75" customHeight="1" x14ac:dyDescent="0.2">
      <c r="B12399" s="11" t="s">
        <v>13</v>
      </c>
      <c r="C12399" s="11" t="s">
        <v>2644</v>
      </c>
    </row>
    <row r="12400" spans="1:4" ht="12.75" customHeight="1" x14ac:dyDescent="0.2">
      <c r="B12400" s="11" t="s">
        <v>2603</v>
      </c>
      <c r="C12400" s="11" t="s">
        <v>2604</v>
      </c>
    </row>
    <row r="12401" spans="1:4" ht="12.75" customHeight="1" x14ac:dyDescent="0.2">
      <c r="B12401" s="11" t="s">
        <v>2605</v>
      </c>
      <c r="C12401" s="11" t="s">
        <v>24</v>
      </c>
    </row>
    <row r="12402" spans="1:4" ht="12.75" customHeight="1" x14ac:dyDescent="0.2">
      <c r="B12402" s="11" t="s">
        <v>2606</v>
      </c>
      <c r="C12402" s="16" t="s">
        <v>44</v>
      </c>
      <c r="D12402" s="6" t="str">
        <f>HYPERLINK("javascript:void(0)","fúrófej")</f>
        <v>fúrófej</v>
      </c>
    </row>
    <row r="12403" spans="1:4" ht="12.75" customHeight="1" x14ac:dyDescent="0.2">
      <c r="B12403" s="2"/>
      <c r="C12403" s="15"/>
      <c r="D12403" s="2"/>
    </row>
    <row r="12404" spans="1:4" ht="12.75" customHeight="1" x14ac:dyDescent="0.2">
      <c r="B12404" s="2"/>
      <c r="C12404" s="15"/>
      <c r="D12404" s="2"/>
    </row>
    <row r="12405" spans="1:4" ht="12.75" customHeight="1" x14ac:dyDescent="0.2">
      <c r="A12405" s="13" t="s">
        <v>4408</v>
      </c>
      <c r="C12405" s="12"/>
      <c r="D12405" s="2"/>
    </row>
    <row r="12406" spans="1:4" ht="12.75" customHeight="1" x14ac:dyDescent="0.2">
      <c r="A12406" s="11"/>
      <c r="B12406" s="2"/>
      <c r="C12406" s="15"/>
      <c r="D12406" s="2"/>
    </row>
    <row r="12407" spans="1:4" ht="12.75" customHeight="1" x14ac:dyDescent="0.2">
      <c r="B12407" s="11" t="s">
        <v>0</v>
      </c>
      <c r="C12407" s="17" t="s">
        <v>709</v>
      </c>
      <c r="D12407" s="2"/>
    </row>
    <row r="12408" spans="1:4" ht="12.75" customHeight="1" x14ac:dyDescent="0.2">
      <c r="B12408" s="11" t="s">
        <v>2599</v>
      </c>
      <c r="C12408" s="17" t="s">
        <v>4441</v>
      </c>
      <c r="D12408" s="2"/>
    </row>
    <row r="12409" spans="1:4" ht="25.5" customHeight="1" x14ac:dyDescent="0.2">
      <c r="B12409" s="11" t="s">
        <v>2600</v>
      </c>
      <c r="C12409" s="17" t="s">
        <v>4544</v>
      </c>
      <c r="D12409" s="2"/>
    </row>
    <row r="12410" spans="1:4" ht="25.5" customHeight="1" x14ac:dyDescent="0.2">
      <c r="B12410" s="11" t="s">
        <v>2601</v>
      </c>
      <c r="C12410" s="17"/>
      <c r="D12410" s="2"/>
    </row>
    <row r="12411" spans="1:4" ht="12.75" customHeight="1" x14ac:dyDescent="0.2">
      <c r="B12411" s="11" t="s">
        <v>16</v>
      </c>
      <c r="C12411" s="17"/>
      <c r="D12411" s="2"/>
    </row>
    <row r="12412" spans="1:4" ht="12.75" customHeight="1" x14ac:dyDescent="0.2">
      <c r="B12412" s="11" t="s">
        <v>13</v>
      </c>
      <c r="C12412" s="17" t="s">
        <v>2602</v>
      </c>
      <c r="D12412" s="2"/>
    </row>
    <row r="12413" spans="1:4" ht="25.5" customHeight="1" x14ac:dyDescent="0.2">
      <c r="B12413" s="11" t="s">
        <v>2603</v>
      </c>
      <c r="C12413" s="17" t="s">
        <v>2971</v>
      </c>
      <c r="D12413" s="2"/>
    </row>
    <row r="12414" spans="1:4" ht="12.75" customHeight="1" x14ac:dyDescent="0.2">
      <c r="B12414" s="11" t="s">
        <v>2605</v>
      </c>
      <c r="C12414" s="17" t="s">
        <v>14</v>
      </c>
      <c r="D12414" s="2"/>
    </row>
    <row r="12415" spans="1:4" ht="12.75" customHeight="1" x14ac:dyDescent="0.2">
      <c r="B12415" s="11" t="s">
        <v>2606</v>
      </c>
      <c r="C12415" s="16" t="s">
        <v>19</v>
      </c>
      <c r="D12415" s="2"/>
    </row>
    <row r="12416" spans="1:4" ht="12.75" customHeight="1" x14ac:dyDescent="0.2">
      <c r="B12416" s="2"/>
      <c r="C12416" s="15"/>
      <c r="D12416" s="2"/>
    </row>
    <row r="12417" spans="1:4" ht="12.75" customHeight="1" x14ac:dyDescent="0.2">
      <c r="B12417" s="2"/>
      <c r="C12417" s="15"/>
      <c r="D12417" s="2"/>
    </row>
    <row r="12418" spans="1:4" ht="12.75" customHeight="1" x14ac:dyDescent="0.2">
      <c r="A12418" s="13" t="s">
        <v>4434</v>
      </c>
      <c r="C12418" s="12"/>
      <c r="D12418" s="2"/>
    </row>
    <row r="12419" spans="1:4" ht="12.75" customHeight="1" x14ac:dyDescent="0.2">
      <c r="A12419" s="11"/>
      <c r="B12419" s="2"/>
      <c r="C12419" s="15"/>
      <c r="D12419" s="2"/>
    </row>
    <row r="12420" spans="1:4" ht="12.75" customHeight="1" x14ac:dyDescent="0.2">
      <c r="B12420" s="11" t="s">
        <v>0</v>
      </c>
      <c r="C12420" s="17" t="s">
        <v>709</v>
      </c>
      <c r="D12420" s="2"/>
    </row>
    <row r="12421" spans="1:4" ht="12.75" customHeight="1" x14ac:dyDescent="0.2">
      <c r="B12421" s="11" t="s">
        <v>2599</v>
      </c>
      <c r="C12421" s="17" t="s">
        <v>4464</v>
      </c>
      <c r="D12421" s="2"/>
    </row>
    <row r="12422" spans="1:4" ht="25.5" customHeight="1" x14ac:dyDescent="0.2">
      <c r="B12422" s="11" t="s">
        <v>2600</v>
      </c>
      <c r="C12422" s="17" t="s">
        <v>4545</v>
      </c>
      <c r="D12422" s="2"/>
    </row>
    <row r="12423" spans="1:4" ht="25.5" customHeight="1" x14ac:dyDescent="0.2">
      <c r="B12423" s="11" t="s">
        <v>2601</v>
      </c>
      <c r="C12423" s="17"/>
      <c r="D12423" s="2"/>
    </row>
    <row r="12424" spans="1:4" ht="12.75" customHeight="1" x14ac:dyDescent="0.2">
      <c r="B12424" s="11" t="s">
        <v>16</v>
      </c>
      <c r="C12424" s="17"/>
      <c r="D12424" s="2"/>
    </row>
    <row r="12425" spans="1:4" ht="12.75" customHeight="1" x14ac:dyDescent="0.2">
      <c r="B12425" s="11" t="s">
        <v>13</v>
      </c>
      <c r="C12425" s="17" t="s">
        <v>2644</v>
      </c>
      <c r="D12425" s="2"/>
    </row>
    <row r="12426" spans="1:4" ht="25.5" customHeight="1" x14ac:dyDescent="0.2">
      <c r="B12426" s="11" t="s">
        <v>2603</v>
      </c>
      <c r="C12426" s="17" t="s">
        <v>2971</v>
      </c>
      <c r="D12426" s="2"/>
    </row>
    <row r="12427" spans="1:4" ht="12.75" customHeight="1" x14ac:dyDescent="0.2">
      <c r="B12427" s="11" t="s">
        <v>2605</v>
      </c>
      <c r="C12427" s="17" t="s">
        <v>14</v>
      </c>
      <c r="D12427" s="2"/>
    </row>
    <row r="12428" spans="1:4" ht="12.75" customHeight="1" x14ac:dyDescent="0.2">
      <c r="B12428" s="11" t="s">
        <v>2606</v>
      </c>
      <c r="C12428" s="16" t="s">
        <v>19</v>
      </c>
      <c r="D12428" s="2"/>
    </row>
    <row r="12429" spans="1:4" ht="12.75" customHeight="1" x14ac:dyDescent="0.2">
      <c r="B12429" s="2"/>
      <c r="C12429" s="15"/>
      <c r="D12429" s="2"/>
    </row>
    <row r="12430" spans="1:4" ht="12.75" customHeight="1" x14ac:dyDescent="0.2">
      <c r="B12430" s="2"/>
      <c r="C12430" s="15"/>
      <c r="D12430" s="2"/>
    </row>
    <row r="12431" spans="1:4" ht="12.75" customHeight="1" x14ac:dyDescent="0.2">
      <c r="A12431" s="13" t="s">
        <v>4437</v>
      </c>
      <c r="C12431" s="12"/>
      <c r="D12431" s="2"/>
    </row>
    <row r="12432" spans="1:4" ht="12.75" customHeight="1" x14ac:dyDescent="0.2">
      <c r="A12432" s="11"/>
      <c r="B12432" s="2"/>
      <c r="C12432" s="15"/>
      <c r="D12432" s="2"/>
    </row>
    <row r="12433" spans="1:4" ht="12.75" customHeight="1" x14ac:dyDescent="0.2">
      <c r="B12433" s="11" t="s">
        <v>0</v>
      </c>
      <c r="C12433" s="17" t="s">
        <v>709</v>
      </c>
      <c r="D12433" s="2"/>
    </row>
    <row r="12434" spans="1:4" ht="12.75" customHeight="1" x14ac:dyDescent="0.2">
      <c r="B12434" s="11" t="s">
        <v>2599</v>
      </c>
      <c r="C12434" s="17" t="s">
        <v>1933</v>
      </c>
      <c r="D12434" s="2"/>
    </row>
    <row r="12435" spans="1:4" ht="25.5" customHeight="1" x14ac:dyDescent="0.2">
      <c r="B12435" s="11" t="s">
        <v>2600</v>
      </c>
      <c r="C12435" s="17" t="s">
        <v>4546</v>
      </c>
      <c r="D12435" s="2"/>
    </row>
    <row r="12436" spans="1:4" ht="25.5" customHeight="1" x14ac:dyDescent="0.2">
      <c r="B12436" s="11" t="s">
        <v>2601</v>
      </c>
      <c r="C12436" s="17"/>
      <c r="D12436" s="2"/>
    </row>
    <row r="12437" spans="1:4" ht="12.75" customHeight="1" x14ac:dyDescent="0.2">
      <c r="B12437" s="11" t="s">
        <v>16</v>
      </c>
      <c r="C12437" s="17"/>
      <c r="D12437" s="2"/>
    </row>
    <row r="12438" spans="1:4" ht="12.75" customHeight="1" x14ac:dyDescent="0.2">
      <c r="B12438" s="11" t="s">
        <v>13</v>
      </c>
      <c r="C12438" s="17" t="s">
        <v>2602</v>
      </c>
      <c r="D12438" s="2"/>
    </row>
    <row r="12439" spans="1:4" ht="25.5" customHeight="1" x14ac:dyDescent="0.2">
      <c r="B12439" s="11" t="s">
        <v>2603</v>
      </c>
      <c r="C12439" s="17" t="s">
        <v>2971</v>
      </c>
      <c r="D12439" s="2"/>
    </row>
    <row r="12440" spans="1:4" ht="12.75" customHeight="1" x14ac:dyDescent="0.2">
      <c r="B12440" s="11" t="s">
        <v>2605</v>
      </c>
      <c r="C12440" s="17" t="s">
        <v>14</v>
      </c>
      <c r="D12440" s="2"/>
    </row>
    <row r="12441" spans="1:4" ht="12.75" customHeight="1" x14ac:dyDescent="0.2">
      <c r="B12441" s="11" t="s">
        <v>2606</v>
      </c>
      <c r="C12441" s="16" t="s">
        <v>19</v>
      </c>
      <c r="D12441" s="2"/>
    </row>
    <row r="12442" spans="1:4" ht="12.75" customHeight="1" x14ac:dyDescent="0.2">
      <c r="B12442" s="2"/>
      <c r="C12442" s="15"/>
      <c r="D12442" s="2"/>
    </row>
    <row r="12443" spans="1:4" ht="12.75" customHeight="1" x14ac:dyDescent="0.2">
      <c r="B12443" s="2"/>
      <c r="C12443" s="15"/>
      <c r="D12443" s="2"/>
    </row>
    <row r="12444" spans="1:4" ht="12.75" customHeight="1" x14ac:dyDescent="0.2">
      <c r="A12444" s="13" t="s">
        <v>4547</v>
      </c>
      <c r="C12444" s="12"/>
      <c r="D12444" s="2"/>
    </row>
    <row r="12445" spans="1:4" ht="12.75" customHeight="1" x14ac:dyDescent="0.2">
      <c r="A12445" s="11"/>
      <c r="B12445" s="2"/>
      <c r="C12445" s="15"/>
      <c r="D12445" s="2"/>
    </row>
    <row r="12446" spans="1:4" ht="12.75" customHeight="1" x14ac:dyDescent="0.2">
      <c r="B12446" s="11" t="s">
        <v>0</v>
      </c>
      <c r="C12446" s="17" t="s">
        <v>719</v>
      </c>
      <c r="D12446" s="2"/>
    </row>
    <row r="12447" spans="1:4" ht="12.75" customHeight="1" x14ac:dyDescent="0.2">
      <c r="B12447" s="11" t="s">
        <v>2599</v>
      </c>
      <c r="C12447" s="17" t="s">
        <v>4548</v>
      </c>
      <c r="D12447" s="2"/>
    </row>
    <row r="12448" spans="1:4" ht="25.5" customHeight="1" x14ac:dyDescent="0.2">
      <c r="B12448" s="11" t="s">
        <v>2600</v>
      </c>
      <c r="C12448" s="17" t="s">
        <v>4549</v>
      </c>
      <c r="D12448" s="2"/>
    </row>
    <row r="12449" spans="1:4" ht="25.5" customHeight="1" x14ac:dyDescent="0.2">
      <c r="B12449" s="11" t="s">
        <v>2601</v>
      </c>
      <c r="C12449" s="17"/>
      <c r="D12449" s="2"/>
    </row>
    <row r="12450" spans="1:4" ht="12.75" customHeight="1" x14ac:dyDescent="0.2">
      <c r="B12450" s="11" t="s">
        <v>16</v>
      </c>
      <c r="C12450" s="17"/>
      <c r="D12450" s="2"/>
    </row>
    <row r="12451" spans="1:4" ht="12.75" customHeight="1" x14ac:dyDescent="0.2">
      <c r="B12451" s="11" t="s">
        <v>13</v>
      </c>
      <c r="C12451" s="17" t="s">
        <v>2644</v>
      </c>
      <c r="D12451" s="2"/>
    </row>
    <row r="12452" spans="1:4" ht="25.5" customHeight="1" x14ac:dyDescent="0.2">
      <c r="B12452" s="11" t="s">
        <v>2603</v>
      </c>
      <c r="C12452" s="17" t="s">
        <v>2971</v>
      </c>
      <c r="D12452" s="2"/>
    </row>
    <row r="12453" spans="1:4" ht="12.75" customHeight="1" x14ac:dyDescent="0.2">
      <c r="B12453" s="11" t="s">
        <v>2605</v>
      </c>
      <c r="C12453" s="17" t="s">
        <v>14</v>
      </c>
      <c r="D12453" s="2"/>
    </row>
    <row r="12454" spans="1:4" ht="12.75" customHeight="1" x14ac:dyDescent="0.2">
      <c r="B12454" s="11" t="s">
        <v>2606</v>
      </c>
      <c r="C12454" s="16" t="s">
        <v>19</v>
      </c>
      <c r="D12454" s="2"/>
    </row>
    <row r="12455" spans="1:4" ht="12.75" customHeight="1" x14ac:dyDescent="0.2">
      <c r="B12455" s="2"/>
      <c r="C12455" s="15"/>
      <c r="D12455" s="2"/>
    </row>
    <row r="12456" spans="1:4" ht="12.75" customHeight="1" x14ac:dyDescent="0.2">
      <c r="B12456" s="2"/>
      <c r="C12456" s="15"/>
      <c r="D12456" s="2"/>
    </row>
    <row r="12457" spans="1:4" ht="12.75" customHeight="1" x14ac:dyDescent="0.2">
      <c r="A12457" s="13" t="s">
        <v>4550</v>
      </c>
      <c r="C12457" s="12"/>
    </row>
    <row r="12458" spans="1:4" ht="12.75" customHeight="1" x14ac:dyDescent="0.2">
      <c r="A12458" s="11"/>
      <c r="B12458" s="2"/>
      <c r="C12458" s="15"/>
      <c r="D12458" s="2"/>
    </row>
    <row r="12459" spans="1:4" ht="12.75" customHeight="1" x14ac:dyDescent="0.2">
      <c r="B12459" s="11" t="s">
        <v>0</v>
      </c>
      <c r="C12459" s="11" t="s">
        <v>719</v>
      </c>
    </row>
    <row r="12460" spans="1:4" ht="12.75" customHeight="1" x14ac:dyDescent="0.2">
      <c r="B12460" s="11" t="s">
        <v>2599</v>
      </c>
      <c r="C12460" s="11" t="s">
        <v>4552</v>
      </c>
    </row>
    <row r="12461" spans="1:4" ht="25.5" customHeight="1" x14ac:dyDescent="0.2">
      <c r="B12461" s="11" t="s">
        <v>2600</v>
      </c>
      <c r="C12461" s="11" t="s">
        <v>4523</v>
      </c>
    </row>
    <row r="12462" spans="1:4" ht="25.5" customHeight="1" x14ac:dyDescent="0.2">
      <c r="B12462" s="11" t="s">
        <v>2601</v>
      </c>
      <c r="C12462" s="11"/>
    </row>
    <row r="12463" spans="1:4" ht="12.75" customHeight="1" x14ac:dyDescent="0.2">
      <c r="B12463" s="11" t="s">
        <v>16</v>
      </c>
      <c r="C12463" s="11"/>
    </row>
    <row r="12464" spans="1:4" ht="12.75" customHeight="1" x14ac:dyDescent="0.2">
      <c r="B12464" s="11" t="s">
        <v>13</v>
      </c>
      <c r="C12464" s="11" t="s">
        <v>2644</v>
      </c>
    </row>
    <row r="12465" spans="1:4" ht="12.75" customHeight="1" x14ac:dyDescent="0.2">
      <c r="B12465" s="11" t="s">
        <v>2603</v>
      </c>
      <c r="C12465" s="11" t="s">
        <v>2604</v>
      </c>
    </row>
    <row r="12466" spans="1:4" ht="12.75" customHeight="1" x14ac:dyDescent="0.2">
      <c r="B12466" s="11" t="s">
        <v>2605</v>
      </c>
      <c r="C12466" s="11" t="s">
        <v>24</v>
      </c>
    </row>
    <row r="12467" spans="1:4" ht="12.75" customHeight="1" x14ac:dyDescent="0.2">
      <c r="B12467" s="11" t="s">
        <v>2606</v>
      </c>
      <c r="C12467" s="16" t="s">
        <v>44</v>
      </c>
      <c r="D12467" s="6" t="str">
        <f>HYPERLINK("javascript:void(0)","hőgolyó")</f>
        <v>hőgolyó</v>
      </c>
    </row>
    <row r="12468" spans="1:4" ht="12.75" customHeight="1" x14ac:dyDescent="0.2">
      <c r="B12468" s="2"/>
      <c r="C12468" s="15"/>
      <c r="D12468" s="2"/>
    </row>
    <row r="12469" spans="1:4" ht="12.75" customHeight="1" x14ac:dyDescent="0.2">
      <c r="B12469" s="2"/>
      <c r="C12469" s="15"/>
      <c r="D12469" s="2"/>
    </row>
    <row r="12470" spans="1:4" ht="12.75" customHeight="1" x14ac:dyDescent="0.2">
      <c r="A12470" s="13" t="s">
        <v>4553</v>
      </c>
      <c r="C12470" s="12"/>
      <c r="D12470" s="2"/>
    </row>
    <row r="12471" spans="1:4" ht="12.75" customHeight="1" x14ac:dyDescent="0.2">
      <c r="A12471" s="11"/>
      <c r="B12471" s="2"/>
      <c r="C12471" s="15"/>
      <c r="D12471" s="2"/>
    </row>
    <row r="12472" spans="1:4" ht="12.75" customHeight="1" x14ac:dyDescent="0.2">
      <c r="B12472" s="11" t="s">
        <v>0</v>
      </c>
      <c r="C12472" s="17" t="s">
        <v>719</v>
      </c>
      <c r="D12472" s="2"/>
    </row>
    <row r="12473" spans="1:4" ht="12.75" customHeight="1" x14ac:dyDescent="0.2">
      <c r="B12473" s="11" t="s">
        <v>2599</v>
      </c>
      <c r="C12473" s="17" t="s">
        <v>4446</v>
      </c>
      <c r="D12473" s="2"/>
    </row>
    <row r="12474" spans="1:4" ht="25.5" customHeight="1" x14ac:dyDescent="0.2">
      <c r="B12474" s="11" t="s">
        <v>2600</v>
      </c>
      <c r="C12474" s="17" t="s">
        <v>4554</v>
      </c>
      <c r="D12474" s="2"/>
    </row>
    <row r="12475" spans="1:4" ht="25.5" customHeight="1" x14ac:dyDescent="0.2">
      <c r="B12475" s="11" t="s">
        <v>2601</v>
      </c>
      <c r="C12475" s="17"/>
      <c r="D12475" s="2"/>
    </row>
    <row r="12476" spans="1:4" ht="12.75" customHeight="1" x14ac:dyDescent="0.2">
      <c r="B12476" s="11" t="s">
        <v>16</v>
      </c>
      <c r="C12476" s="17"/>
      <c r="D12476" s="2"/>
    </row>
    <row r="12477" spans="1:4" ht="12.75" customHeight="1" x14ac:dyDescent="0.2">
      <c r="B12477" s="11" t="s">
        <v>13</v>
      </c>
      <c r="C12477" s="17" t="s">
        <v>2644</v>
      </c>
      <c r="D12477" s="2"/>
    </row>
    <row r="12478" spans="1:4" ht="12.75" customHeight="1" x14ac:dyDescent="0.2">
      <c r="B12478" s="11" t="s">
        <v>2603</v>
      </c>
      <c r="C12478" s="17" t="s">
        <v>2604</v>
      </c>
      <c r="D12478" s="2"/>
    </row>
    <row r="12479" spans="1:4" ht="12.75" customHeight="1" x14ac:dyDescent="0.2">
      <c r="B12479" s="11" t="s">
        <v>2605</v>
      </c>
      <c r="C12479" s="17" t="s">
        <v>14</v>
      </c>
      <c r="D12479" s="2"/>
    </row>
    <row r="12480" spans="1:4" ht="12.75" customHeight="1" x14ac:dyDescent="0.2">
      <c r="B12480" s="11" t="s">
        <v>2606</v>
      </c>
      <c r="C12480" s="16" t="s">
        <v>19</v>
      </c>
      <c r="D12480" s="2"/>
    </row>
    <row r="12481" spans="1:4" ht="12.75" customHeight="1" x14ac:dyDescent="0.2">
      <c r="B12481" s="2"/>
      <c r="C12481" s="15"/>
      <c r="D12481" s="2"/>
    </row>
    <row r="12482" spans="1:4" ht="12.75" customHeight="1" x14ac:dyDescent="0.2">
      <c r="B12482" s="2"/>
      <c r="C12482" s="15"/>
      <c r="D12482" s="2"/>
    </row>
    <row r="12483" spans="1:4" ht="12.75" customHeight="1" x14ac:dyDescent="0.2">
      <c r="A12483" s="13" t="s">
        <v>4555</v>
      </c>
      <c r="C12483" s="12"/>
    </row>
    <row r="12484" spans="1:4" ht="12.75" customHeight="1" x14ac:dyDescent="0.2">
      <c r="A12484" s="11"/>
      <c r="B12484" s="2"/>
      <c r="C12484" s="15"/>
      <c r="D12484" s="2"/>
    </row>
    <row r="12485" spans="1:4" ht="12.75" customHeight="1" x14ac:dyDescent="0.2">
      <c r="B12485" s="11" t="s">
        <v>0</v>
      </c>
      <c r="C12485" s="11" t="s">
        <v>719</v>
      </c>
    </row>
    <row r="12486" spans="1:4" ht="12.75" customHeight="1" x14ac:dyDescent="0.2">
      <c r="B12486" s="11" t="s">
        <v>2599</v>
      </c>
      <c r="C12486" s="11" t="s">
        <v>4556</v>
      </c>
    </row>
    <row r="12487" spans="1:4" ht="25.5" customHeight="1" x14ac:dyDescent="0.2">
      <c r="B12487" s="11" t="s">
        <v>2600</v>
      </c>
      <c r="C12487" s="11" t="s">
        <v>4557</v>
      </c>
    </row>
    <row r="12488" spans="1:4" ht="25.5" customHeight="1" x14ac:dyDescent="0.2">
      <c r="B12488" s="11" t="s">
        <v>2601</v>
      </c>
      <c r="C12488" s="11"/>
    </row>
    <row r="12489" spans="1:4" ht="12.75" customHeight="1" x14ac:dyDescent="0.2">
      <c r="B12489" s="11" t="s">
        <v>16</v>
      </c>
      <c r="C12489" s="11"/>
    </row>
    <row r="12490" spans="1:4" ht="12.75" customHeight="1" x14ac:dyDescent="0.2">
      <c r="B12490" s="11" t="s">
        <v>13</v>
      </c>
      <c r="C12490" s="11" t="s">
        <v>2602</v>
      </c>
    </row>
    <row r="12491" spans="1:4" ht="12.75" customHeight="1" x14ac:dyDescent="0.2">
      <c r="B12491" s="11" t="s">
        <v>2603</v>
      </c>
      <c r="C12491" s="11" t="s">
        <v>2604</v>
      </c>
    </row>
    <row r="12492" spans="1:4" ht="12.75" customHeight="1" x14ac:dyDescent="0.2">
      <c r="B12492" s="11" t="s">
        <v>2605</v>
      </c>
      <c r="C12492" s="11" t="s">
        <v>14</v>
      </c>
    </row>
    <row r="12493" spans="1:4" ht="12.75" customHeight="1" x14ac:dyDescent="0.2">
      <c r="B12493" s="11" t="s">
        <v>2606</v>
      </c>
      <c r="C12493" s="16" t="s">
        <v>44</v>
      </c>
      <c r="D12493" s="6" t="str">
        <f>HYPERLINK("javascript:void(0)","lux")</f>
        <v>lux</v>
      </c>
    </row>
    <row r="12494" spans="1:4" ht="12.75" customHeight="1" x14ac:dyDescent="0.2">
      <c r="B12494" s="2"/>
      <c r="C12494" s="15"/>
      <c r="D12494" s="2"/>
    </row>
    <row r="12495" spans="1:4" ht="12.75" customHeight="1" x14ac:dyDescent="0.2">
      <c r="B12495" s="2"/>
      <c r="C12495" s="15"/>
      <c r="D12495" s="2"/>
    </row>
    <row r="12496" spans="1:4" ht="12.75" customHeight="1" x14ac:dyDescent="0.2">
      <c r="A12496" s="13" t="s">
        <v>4558</v>
      </c>
      <c r="C12496" s="12"/>
    </row>
    <row r="12497" spans="1:4" ht="12.75" customHeight="1" x14ac:dyDescent="0.2">
      <c r="A12497" s="11"/>
      <c r="B12497" s="2"/>
      <c r="C12497" s="15"/>
      <c r="D12497" s="2"/>
    </row>
    <row r="12498" spans="1:4" ht="12.75" customHeight="1" x14ac:dyDescent="0.2">
      <c r="B12498" s="11" t="s">
        <v>0</v>
      </c>
      <c r="C12498" s="11" t="s">
        <v>719</v>
      </c>
    </row>
    <row r="12499" spans="1:4" ht="12.75" customHeight="1" x14ac:dyDescent="0.2">
      <c r="B12499" s="11" t="s">
        <v>2599</v>
      </c>
      <c r="C12499" s="11" t="s">
        <v>2828</v>
      </c>
    </row>
    <row r="12500" spans="1:4" ht="25.5" customHeight="1" x14ac:dyDescent="0.2">
      <c r="B12500" s="11" t="s">
        <v>2600</v>
      </c>
      <c r="C12500" s="11" t="s">
        <v>4559</v>
      </c>
    </row>
    <row r="12501" spans="1:4" ht="25.5" customHeight="1" x14ac:dyDescent="0.2">
      <c r="B12501" s="11" t="s">
        <v>2601</v>
      </c>
      <c r="C12501" s="11"/>
    </row>
    <row r="12502" spans="1:4" ht="12.75" customHeight="1" x14ac:dyDescent="0.2">
      <c r="B12502" s="11" t="s">
        <v>16</v>
      </c>
      <c r="C12502" s="11"/>
    </row>
    <row r="12503" spans="1:4" ht="12.75" customHeight="1" x14ac:dyDescent="0.2">
      <c r="B12503" s="11" t="s">
        <v>13</v>
      </c>
      <c r="C12503" s="11" t="s">
        <v>2602</v>
      </c>
    </row>
    <row r="12504" spans="1:4" ht="12.75" customHeight="1" x14ac:dyDescent="0.2">
      <c r="B12504" s="11" t="s">
        <v>2603</v>
      </c>
      <c r="C12504" s="11" t="s">
        <v>2604</v>
      </c>
    </row>
    <row r="12505" spans="1:4" ht="12.75" customHeight="1" x14ac:dyDescent="0.2">
      <c r="B12505" s="11" t="s">
        <v>2605</v>
      </c>
      <c r="C12505" s="11" t="s">
        <v>14</v>
      </c>
    </row>
    <row r="12506" spans="1:4" ht="12.75" customHeight="1" x14ac:dyDescent="0.2">
      <c r="B12506" s="11" t="s">
        <v>2606</v>
      </c>
      <c r="C12506" s="16" t="s">
        <v>44</v>
      </c>
      <c r="D12506" s="6" t="str">
        <f>HYPERLINK("javascript:void(0)","éjfény")</f>
        <v>éjfény</v>
      </c>
    </row>
    <row r="12507" spans="1:4" ht="12.75" customHeight="1" x14ac:dyDescent="0.2">
      <c r="B12507" s="2"/>
      <c r="C12507" s="15"/>
      <c r="D12507" s="2"/>
    </row>
    <row r="12508" spans="1:4" ht="12.75" customHeight="1" x14ac:dyDescent="0.2">
      <c r="B12508" s="2"/>
      <c r="C12508" s="15"/>
      <c r="D12508" s="2"/>
    </row>
    <row r="12509" spans="1:4" ht="12.75" customHeight="1" x14ac:dyDescent="0.2">
      <c r="A12509" s="13" t="s">
        <v>4560</v>
      </c>
      <c r="C12509" s="12"/>
    </row>
    <row r="12510" spans="1:4" ht="12.75" customHeight="1" x14ac:dyDescent="0.2">
      <c r="A12510" s="11"/>
      <c r="B12510" s="2"/>
      <c r="C12510" s="15"/>
      <c r="D12510" s="2"/>
    </row>
    <row r="12511" spans="1:4" ht="12.75" customHeight="1" x14ac:dyDescent="0.2">
      <c r="B12511" s="11" t="s">
        <v>0</v>
      </c>
      <c r="C12511" s="11" t="s">
        <v>719</v>
      </c>
    </row>
    <row r="12512" spans="1:4" ht="12.75" customHeight="1" x14ac:dyDescent="0.2">
      <c r="B12512" s="11" t="s">
        <v>2599</v>
      </c>
      <c r="C12512" s="11" t="s">
        <v>4147</v>
      </c>
    </row>
    <row r="12513" spans="1:4" ht="25.5" customHeight="1" x14ac:dyDescent="0.2">
      <c r="B12513" s="11" t="s">
        <v>2600</v>
      </c>
      <c r="C12513" s="11" t="s">
        <v>4562</v>
      </c>
    </row>
    <row r="12514" spans="1:4" ht="25.5" customHeight="1" x14ac:dyDescent="0.2">
      <c r="B12514" s="11" t="s">
        <v>2601</v>
      </c>
      <c r="C12514" s="11"/>
    </row>
    <row r="12515" spans="1:4" ht="12.75" customHeight="1" x14ac:dyDescent="0.2">
      <c r="B12515" s="11" t="s">
        <v>16</v>
      </c>
      <c r="C12515" s="11"/>
    </row>
    <row r="12516" spans="1:4" ht="12.75" customHeight="1" x14ac:dyDescent="0.2">
      <c r="B12516" s="11" t="s">
        <v>13</v>
      </c>
      <c r="C12516" s="11" t="s">
        <v>2602</v>
      </c>
    </row>
    <row r="12517" spans="1:4" ht="12.75" customHeight="1" x14ac:dyDescent="0.2">
      <c r="B12517" s="11" t="s">
        <v>2603</v>
      </c>
      <c r="C12517" s="11" t="s">
        <v>2604</v>
      </c>
    </row>
    <row r="12518" spans="1:4" ht="12.75" customHeight="1" x14ac:dyDescent="0.2">
      <c r="B12518" s="11" t="s">
        <v>2605</v>
      </c>
      <c r="C12518" s="11" t="s">
        <v>14</v>
      </c>
    </row>
    <row r="12519" spans="1:4" ht="12.75" customHeight="1" x14ac:dyDescent="0.2">
      <c r="B12519" s="11" t="s">
        <v>2606</v>
      </c>
      <c r="C12519" s="16" t="s">
        <v>98</v>
      </c>
      <c r="D12519" s="6" t="str">
        <f>HYPERLINK("javascript:void(0)","kincs")</f>
        <v>kincs</v>
      </c>
    </row>
    <row r="12520" spans="1:4" ht="12.75" customHeight="1" x14ac:dyDescent="0.2">
      <c r="B12520" s="2"/>
      <c r="C12520" s="15"/>
      <c r="D12520" s="2"/>
    </row>
    <row r="12521" spans="1:4" ht="12.75" customHeight="1" x14ac:dyDescent="0.2">
      <c r="B12521" s="2"/>
      <c r="C12521" s="15"/>
      <c r="D12521" s="2"/>
    </row>
    <row r="12522" spans="1:4" ht="12.75" customHeight="1" x14ac:dyDescent="0.2">
      <c r="A12522" s="13" t="s">
        <v>4563</v>
      </c>
      <c r="C12522" s="12"/>
    </row>
    <row r="12523" spans="1:4" ht="12.75" customHeight="1" x14ac:dyDescent="0.2">
      <c r="A12523" s="11"/>
      <c r="B12523" s="2"/>
      <c r="C12523" s="15"/>
      <c r="D12523" s="2"/>
    </row>
    <row r="12524" spans="1:4" ht="12.75" customHeight="1" x14ac:dyDescent="0.2">
      <c r="B12524" s="11" t="s">
        <v>0</v>
      </c>
      <c r="C12524" s="11" t="s">
        <v>719</v>
      </c>
    </row>
    <row r="12525" spans="1:4" ht="12.75" customHeight="1" x14ac:dyDescent="0.2">
      <c r="B12525" s="11" t="s">
        <v>2599</v>
      </c>
      <c r="C12525" s="11" t="s">
        <v>832</v>
      </c>
    </row>
    <row r="12526" spans="1:4" ht="25.5" customHeight="1" x14ac:dyDescent="0.2">
      <c r="B12526" s="11" t="s">
        <v>2600</v>
      </c>
      <c r="C12526" s="11" t="s">
        <v>4564</v>
      </c>
    </row>
    <row r="12527" spans="1:4" ht="25.5" customHeight="1" x14ac:dyDescent="0.2">
      <c r="B12527" s="11" t="s">
        <v>2601</v>
      </c>
      <c r="C12527" s="11"/>
    </row>
    <row r="12528" spans="1:4" ht="12.75" customHeight="1" x14ac:dyDescent="0.2">
      <c r="B12528" s="11" t="s">
        <v>16</v>
      </c>
      <c r="C12528" s="11"/>
    </row>
    <row r="12529" spans="1:4" ht="12.75" customHeight="1" x14ac:dyDescent="0.2">
      <c r="B12529" s="11" t="s">
        <v>13</v>
      </c>
      <c r="C12529" s="11" t="s">
        <v>2644</v>
      </c>
    </row>
    <row r="12530" spans="1:4" ht="12.75" customHeight="1" x14ac:dyDescent="0.2">
      <c r="B12530" s="11" t="s">
        <v>2603</v>
      </c>
      <c r="C12530" s="11" t="s">
        <v>2604</v>
      </c>
    </row>
    <row r="12531" spans="1:4" ht="12.75" customHeight="1" x14ac:dyDescent="0.2">
      <c r="B12531" s="11" t="s">
        <v>2605</v>
      </c>
      <c r="C12531" s="11" t="s">
        <v>24</v>
      </c>
    </row>
    <row r="12532" spans="1:4" ht="25.5" customHeight="1" x14ac:dyDescent="0.2">
      <c r="B12532" s="11" t="s">
        <v>2606</v>
      </c>
      <c r="C12532" s="16" t="s">
        <v>55</v>
      </c>
      <c r="D12532" s="6" t="str">
        <f>HYPERLINK("javascript:void(0)","harmatcsepp")</f>
        <v>harmatcsepp</v>
      </c>
    </row>
    <row r="12533" spans="1:4" ht="12.75" customHeight="1" x14ac:dyDescent="0.2">
      <c r="B12533" s="2"/>
      <c r="C12533" s="15"/>
      <c r="D12533" s="2"/>
    </row>
    <row r="12534" spans="1:4" ht="12.75" customHeight="1" x14ac:dyDescent="0.2">
      <c r="B12534" s="2"/>
      <c r="C12534" s="15"/>
      <c r="D12534" s="2"/>
    </row>
    <row r="12535" spans="1:4" ht="12.75" customHeight="1" x14ac:dyDescent="0.2">
      <c r="A12535" s="13" t="s">
        <v>4565</v>
      </c>
      <c r="C12535" s="12"/>
    </row>
    <row r="12536" spans="1:4" ht="12.75" customHeight="1" x14ac:dyDescent="0.2">
      <c r="A12536" s="11"/>
      <c r="B12536" s="2"/>
      <c r="C12536" s="15"/>
      <c r="D12536" s="2"/>
    </row>
    <row r="12537" spans="1:4" ht="12.75" customHeight="1" x14ac:dyDescent="0.2">
      <c r="B12537" s="11" t="s">
        <v>0</v>
      </c>
      <c r="C12537" s="11" t="s">
        <v>719</v>
      </c>
    </row>
    <row r="12538" spans="1:4" ht="12.75" customHeight="1" x14ac:dyDescent="0.2">
      <c r="B12538" s="11" t="s">
        <v>2599</v>
      </c>
      <c r="C12538" s="11" t="s">
        <v>1870</v>
      </c>
    </row>
    <row r="12539" spans="1:4" ht="25.5" customHeight="1" x14ac:dyDescent="0.2">
      <c r="B12539" s="11" t="s">
        <v>2600</v>
      </c>
      <c r="C12539" s="11" t="s">
        <v>4566</v>
      </c>
    </row>
    <row r="12540" spans="1:4" ht="25.5" customHeight="1" x14ac:dyDescent="0.2">
      <c r="B12540" s="11" t="s">
        <v>2601</v>
      </c>
      <c r="C12540" s="11"/>
    </row>
    <row r="12541" spans="1:4" ht="12.75" customHeight="1" x14ac:dyDescent="0.2">
      <c r="B12541" s="11" t="s">
        <v>16</v>
      </c>
      <c r="C12541" s="11"/>
    </row>
    <row r="12542" spans="1:4" ht="12.75" customHeight="1" x14ac:dyDescent="0.2">
      <c r="B12542" s="11" t="s">
        <v>13</v>
      </c>
      <c r="C12542" s="11" t="s">
        <v>2602</v>
      </c>
    </row>
    <row r="12543" spans="1:4" ht="12.75" customHeight="1" x14ac:dyDescent="0.2">
      <c r="B12543" s="11" t="s">
        <v>2603</v>
      </c>
      <c r="C12543" s="11" t="s">
        <v>2604</v>
      </c>
    </row>
    <row r="12544" spans="1:4" ht="12.75" customHeight="1" x14ac:dyDescent="0.2">
      <c r="B12544" s="11" t="s">
        <v>2605</v>
      </c>
      <c r="C12544" s="11" t="s">
        <v>24</v>
      </c>
    </row>
    <row r="12545" spans="1:4" ht="25.5" customHeight="1" x14ac:dyDescent="0.2">
      <c r="B12545" s="11" t="s">
        <v>2606</v>
      </c>
      <c r="C12545" s="16" t="s">
        <v>232</v>
      </c>
      <c r="D12545" s="6" t="str">
        <f>HYPERLINK("javascript:void(0)","teknőspáncél")</f>
        <v>teknőspáncél</v>
      </c>
    </row>
    <row r="12546" spans="1:4" ht="12.75" customHeight="1" x14ac:dyDescent="0.2">
      <c r="B12546" s="2"/>
      <c r="C12546" s="15"/>
      <c r="D12546" s="2"/>
    </row>
    <row r="12547" spans="1:4" ht="12.75" customHeight="1" x14ac:dyDescent="0.2">
      <c r="B12547" s="2"/>
      <c r="C12547" s="15"/>
      <c r="D12547" s="2"/>
    </row>
    <row r="12548" spans="1:4" ht="12.75" customHeight="1" x14ac:dyDescent="0.2">
      <c r="A12548" s="13" t="s">
        <v>4567</v>
      </c>
      <c r="C12548" s="12"/>
    </row>
    <row r="12549" spans="1:4" ht="12.75" customHeight="1" x14ac:dyDescent="0.2">
      <c r="A12549" s="11"/>
      <c r="B12549" s="2"/>
      <c r="C12549" s="15"/>
      <c r="D12549" s="2"/>
    </row>
    <row r="12550" spans="1:4" ht="12.75" customHeight="1" x14ac:dyDescent="0.2">
      <c r="B12550" s="11" t="s">
        <v>0</v>
      </c>
      <c r="C12550" s="11" t="s">
        <v>719</v>
      </c>
    </row>
    <row r="12551" spans="1:4" ht="12.75" customHeight="1" x14ac:dyDescent="0.2">
      <c r="B12551" s="11" t="s">
        <v>2599</v>
      </c>
      <c r="C12551" s="11" t="s">
        <v>2493</v>
      </c>
    </row>
    <row r="12552" spans="1:4" ht="25.5" customHeight="1" x14ac:dyDescent="0.2">
      <c r="B12552" s="11" t="s">
        <v>2600</v>
      </c>
      <c r="C12552" s="11" t="s">
        <v>4568</v>
      </c>
    </row>
    <row r="12553" spans="1:4" ht="25.5" customHeight="1" x14ac:dyDescent="0.2">
      <c r="B12553" s="11" t="s">
        <v>2601</v>
      </c>
      <c r="C12553" s="11"/>
    </row>
    <row r="12554" spans="1:4" ht="12.75" customHeight="1" x14ac:dyDescent="0.2">
      <c r="B12554" s="11" t="s">
        <v>16</v>
      </c>
      <c r="C12554" s="11"/>
    </row>
    <row r="12555" spans="1:4" ht="12.75" customHeight="1" x14ac:dyDescent="0.2">
      <c r="B12555" s="11" t="s">
        <v>13</v>
      </c>
      <c r="C12555" s="11" t="s">
        <v>2644</v>
      </c>
    </row>
    <row r="12556" spans="1:4" ht="12.75" customHeight="1" x14ac:dyDescent="0.2">
      <c r="B12556" s="11" t="s">
        <v>2603</v>
      </c>
      <c r="C12556" s="11" t="s">
        <v>2604</v>
      </c>
    </row>
    <row r="12557" spans="1:4" ht="12.75" customHeight="1" x14ac:dyDescent="0.2">
      <c r="B12557" s="11" t="s">
        <v>2605</v>
      </c>
      <c r="C12557" s="11" t="s">
        <v>24</v>
      </c>
    </row>
    <row r="12558" spans="1:4" ht="12.75" customHeight="1" x14ac:dyDescent="0.2">
      <c r="B12558" s="11" t="s">
        <v>2606</v>
      </c>
      <c r="C12558" s="16" t="s">
        <v>56</v>
      </c>
      <c r="D12558" s="6" t="str">
        <f>HYPERLINK("javascript:void(0)","horog")</f>
        <v>horog</v>
      </c>
    </row>
    <row r="12559" spans="1:4" ht="12.75" customHeight="1" x14ac:dyDescent="0.2">
      <c r="B12559" s="2"/>
      <c r="C12559" s="15"/>
      <c r="D12559" s="2"/>
    </row>
    <row r="12560" spans="1:4" ht="12.75" customHeight="1" x14ac:dyDescent="0.2">
      <c r="B12560" s="2"/>
      <c r="C12560" s="15"/>
      <c r="D12560" s="2"/>
    </row>
    <row r="12561" spans="1:4" ht="12.75" customHeight="1" x14ac:dyDescent="0.2">
      <c r="A12561" s="13" t="s">
        <v>4569</v>
      </c>
      <c r="C12561" s="12"/>
      <c r="D12561" s="2"/>
    </row>
    <row r="12562" spans="1:4" ht="12.75" customHeight="1" x14ac:dyDescent="0.2">
      <c r="A12562" s="11"/>
      <c r="B12562" s="2"/>
      <c r="C12562" s="15"/>
      <c r="D12562" s="2"/>
    </row>
    <row r="12563" spans="1:4" ht="12.75" customHeight="1" x14ac:dyDescent="0.2">
      <c r="B12563" s="11" t="s">
        <v>0</v>
      </c>
      <c r="C12563" s="17" t="s">
        <v>719</v>
      </c>
      <c r="D12563" s="2"/>
    </row>
    <row r="12564" spans="1:4" ht="12.75" customHeight="1" x14ac:dyDescent="0.2">
      <c r="B12564" s="11" t="s">
        <v>2599</v>
      </c>
      <c r="C12564" s="17" t="s">
        <v>4570</v>
      </c>
      <c r="D12564" s="2"/>
    </row>
    <row r="12565" spans="1:4" ht="25.5" customHeight="1" x14ac:dyDescent="0.2">
      <c r="B12565" s="11" t="s">
        <v>2600</v>
      </c>
      <c r="C12565" s="17" t="s">
        <v>4571</v>
      </c>
      <c r="D12565" s="2"/>
    </row>
    <row r="12566" spans="1:4" ht="25.5" customHeight="1" x14ac:dyDescent="0.2">
      <c r="B12566" s="11" t="s">
        <v>2601</v>
      </c>
      <c r="C12566" s="17"/>
      <c r="D12566" s="2"/>
    </row>
    <row r="12567" spans="1:4" ht="12.75" customHeight="1" x14ac:dyDescent="0.2">
      <c r="B12567" s="11" t="s">
        <v>16</v>
      </c>
      <c r="C12567" s="17"/>
      <c r="D12567" s="2"/>
    </row>
    <row r="12568" spans="1:4" ht="12.75" customHeight="1" x14ac:dyDescent="0.2">
      <c r="B12568" s="11" t="s">
        <v>13</v>
      </c>
      <c r="C12568" s="17" t="s">
        <v>2602</v>
      </c>
      <c r="D12568" s="2"/>
    </row>
    <row r="12569" spans="1:4" ht="25.5" customHeight="1" x14ac:dyDescent="0.2">
      <c r="B12569" s="11" t="s">
        <v>2603</v>
      </c>
      <c r="C12569" s="17" t="s">
        <v>2971</v>
      </c>
      <c r="D12569" s="2"/>
    </row>
    <row r="12570" spans="1:4" ht="12.75" customHeight="1" x14ac:dyDescent="0.2">
      <c r="B12570" s="11" t="s">
        <v>2605</v>
      </c>
      <c r="C12570" s="17" t="s">
        <v>14</v>
      </c>
      <c r="D12570" s="2"/>
    </row>
    <row r="12571" spans="1:4" ht="12.75" customHeight="1" x14ac:dyDescent="0.2">
      <c r="B12571" s="11" t="s">
        <v>2606</v>
      </c>
      <c r="C12571" s="16" t="s">
        <v>19</v>
      </c>
      <c r="D12571" s="2"/>
    </row>
    <row r="12572" spans="1:4" ht="12.75" customHeight="1" x14ac:dyDescent="0.2">
      <c r="B12572" s="2"/>
      <c r="C12572" s="15"/>
      <c r="D12572" s="2"/>
    </row>
    <row r="12573" spans="1:4" ht="12.75" customHeight="1" x14ac:dyDescent="0.2">
      <c r="B12573" s="2"/>
      <c r="C12573" s="15"/>
      <c r="D12573" s="2"/>
    </row>
    <row r="12574" spans="1:4" ht="12.75" customHeight="1" x14ac:dyDescent="0.2">
      <c r="A12574" s="13" t="s">
        <v>4572</v>
      </c>
      <c r="C12574" s="12"/>
      <c r="D12574" s="2"/>
    </row>
    <row r="12575" spans="1:4" ht="12.75" customHeight="1" x14ac:dyDescent="0.2">
      <c r="A12575" s="11"/>
      <c r="B12575" s="2"/>
      <c r="C12575" s="15"/>
      <c r="D12575" s="2"/>
    </row>
    <row r="12576" spans="1:4" ht="12.75" customHeight="1" x14ac:dyDescent="0.2">
      <c r="B12576" s="11" t="s">
        <v>0</v>
      </c>
      <c r="C12576" s="17" t="s">
        <v>719</v>
      </c>
      <c r="D12576" s="2"/>
    </row>
    <row r="12577" spans="1:4" ht="12.75" customHeight="1" x14ac:dyDescent="0.2">
      <c r="B12577" s="11" t="s">
        <v>2599</v>
      </c>
      <c r="C12577" s="17" t="s">
        <v>706</v>
      </c>
      <c r="D12577" s="2"/>
    </row>
    <row r="12578" spans="1:4" ht="25.5" customHeight="1" x14ac:dyDescent="0.2">
      <c r="B12578" s="11" t="s">
        <v>2600</v>
      </c>
      <c r="C12578" s="17" t="s">
        <v>4573</v>
      </c>
      <c r="D12578" s="2"/>
    </row>
    <row r="12579" spans="1:4" ht="25.5" customHeight="1" x14ac:dyDescent="0.2">
      <c r="B12579" s="11" t="s">
        <v>2601</v>
      </c>
      <c r="C12579" s="17"/>
      <c r="D12579" s="2"/>
    </row>
    <row r="12580" spans="1:4" ht="12.75" customHeight="1" x14ac:dyDescent="0.2">
      <c r="B12580" s="11" t="s">
        <v>16</v>
      </c>
      <c r="C12580" s="17"/>
      <c r="D12580" s="2"/>
    </row>
    <row r="12581" spans="1:4" ht="12.75" customHeight="1" x14ac:dyDescent="0.2">
      <c r="B12581" s="11" t="s">
        <v>13</v>
      </c>
      <c r="C12581" s="17" t="s">
        <v>2644</v>
      </c>
      <c r="D12581" s="2"/>
    </row>
    <row r="12582" spans="1:4" ht="25.5" customHeight="1" x14ac:dyDescent="0.2">
      <c r="B12582" s="11" t="s">
        <v>2603</v>
      </c>
      <c r="C12582" s="17" t="s">
        <v>2971</v>
      </c>
      <c r="D12582" s="2"/>
    </row>
    <row r="12583" spans="1:4" ht="12.75" customHeight="1" x14ac:dyDescent="0.2">
      <c r="B12583" s="11" t="s">
        <v>2605</v>
      </c>
      <c r="C12583" s="17" t="s">
        <v>14</v>
      </c>
      <c r="D12583" s="2"/>
    </row>
    <row r="12584" spans="1:4" ht="12.75" customHeight="1" x14ac:dyDescent="0.2">
      <c r="B12584" s="11" t="s">
        <v>2606</v>
      </c>
      <c r="C12584" s="16" t="s">
        <v>19</v>
      </c>
      <c r="D12584" s="2"/>
    </row>
    <row r="12585" spans="1:4" ht="12.75" customHeight="1" x14ac:dyDescent="0.2">
      <c r="B12585" s="2"/>
      <c r="C12585" s="15"/>
      <c r="D12585" s="2"/>
    </row>
    <row r="12586" spans="1:4" ht="12.75" customHeight="1" x14ac:dyDescent="0.2">
      <c r="B12586" s="2"/>
      <c r="C12586" s="15"/>
      <c r="D12586" s="2"/>
    </row>
    <row r="12587" spans="1:4" ht="12.75" customHeight="1" x14ac:dyDescent="0.2">
      <c r="A12587" s="13" t="s">
        <v>4574</v>
      </c>
      <c r="C12587" s="12"/>
      <c r="D12587" s="2"/>
    </row>
    <row r="12588" spans="1:4" ht="12.75" customHeight="1" x14ac:dyDescent="0.2">
      <c r="A12588" s="11"/>
      <c r="B12588" s="2"/>
      <c r="C12588" s="15"/>
      <c r="D12588" s="2"/>
    </row>
    <row r="12589" spans="1:4" ht="12.75" customHeight="1" x14ac:dyDescent="0.2">
      <c r="B12589" s="11" t="s">
        <v>0</v>
      </c>
      <c r="C12589" s="17" t="s">
        <v>719</v>
      </c>
      <c r="D12589" s="2"/>
    </row>
    <row r="12590" spans="1:4" ht="12.75" customHeight="1" x14ac:dyDescent="0.2">
      <c r="B12590" s="11" t="s">
        <v>2599</v>
      </c>
      <c r="C12590" s="17" t="s">
        <v>4575</v>
      </c>
      <c r="D12590" s="2"/>
    </row>
    <row r="12591" spans="1:4" ht="25.5" customHeight="1" x14ac:dyDescent="0.2">
      <c r="B12591" s="11" t="s">
        <v>2600</v>
      </c>
      <c r="C12591" s="17" t="s">
        <v>4576</v>
      </c>
      <c r="D12591" s="2"/>
    </row>
    <row r="12592" spans="1:4" ht="25.5" customHeight="1" x14ac:dyDescent="0.2">
      <c r="B12592" s="11" t="s">
        <v>2601</v>
      </c>
      <c r="C12592" s="17"/>
      <c r="D12592" s="2"/>
    </row>
    <row r="12593" spans="1:4" ht="12.75" customHeight="1" x14ac:dyDescent="0.2">
      <c r="B12593" s="11" t="s">
        <v>16</v>
      </c>
      <c r="C12593" s="17"/>
      <c r="D12593" s="2"/>
    </row>
    <row r="12594" spans="1:4" ht="12.75" customHeight="1" x14ac:dyDescent="0.2">
      <c r="B12594" s="11" t="s">
        <v>13</v>
      </c>
      <c r="C12594" s="17" t="s">
        <v>2602</v>
      </c>
      <c r="D12594" s="2"/>
    </row>
    <row r="12595" spans="1:4" ht="25.5" customHeight="1" x14ac:dyDescent="0.2">
      <c r="B12595" s="11" t="s">
        <v>2603</v>
      </c>
      <c r="C12595" s="17" t="s">
        <v>2971</v>
      </c>
      <c r="D12595" s="2"/>
    </row>
    <row r="12596" spans="1:4" ht="12.75" customHeight="1" x14ac:dyDescent="0.2">
      <c r="B12596" s="11" t="s">
        <v>2605</v>
      </c>
      <c r="C12596" s="17" t="s">
        <v>14</v>
      </c>
      <c r="D12596" s="2"/>
    </row>
    <row r="12597" spans="1:4" ht="12.75" customHeight="1" x14ac:dyDescent="0.2">
      <c r="B12597" s="11" t="s">
        <v>2606</v>
      </c>
      <c r="C12597" s="16" t="s">
        <v>19</v>
      </c>
      <c r="D12597" s="2"/>
    </row>
    <row r="12598" spans="1:4" ht="12.75" customHeight="1" x14ac:dyDescent="0.2">
      <c r="B12598" s="2"/>
      <c r="C12598" s="15"/>
      <c r="D12598" s="2"/>
    </row>
    <row r="12599" spans="1:4" ht="12.75" customHeight="1" x14ac:dyDescent="0.2">
      <c r="B12599" s="2"/>
      <c r="C12599" s="15"/>
      <c r="D12599" s="2"/>
    </row>
    <row r="12600" spans="1:4" ht="12.75" customHeight="1" x14ac:dyDescent="0.2">
      <c r="A12600" s="13" t="s">
        <v>2962</v>
      </c>
      <c r="C12600" s="12"/>
    </row>
    <row r="12601" spans="1:4" ht="12.75" customHeight="1" x14ac:dyDescent="0.2">
      <c r="A12601" s="11"/>
      <c r="B12601" s="2"/>
      <c r="C12601" s="15"/>
      <c r="D12601" s="2"/>
    </row>
    <row r="12602" spans="1:4" ht="12.75" customHeight="1" x14ac:dyDescent="0.2">
      <c r="B12602" s="11" t="s">
        <v>0</v>
      </c>
      <c r="C12602" s="11" t="s">
        <v>728</v>
      </c>
    </row>
    <row r="12603" spans="1:4" ht="12.75" customHeight="1" x14ac:dyDescent="0.2">
      <c r="B12603" s="11" t="s">
        <v>2599</v>
      </c>
      <c r="C12603" s="11" t="s">
        <v>4577</v>
      </c>
    </row>
    <row r="12604" spans="1:4" ht="25.5" customHeight="1" x14ac:dyDescent="0.2">
      <c r="B12604" s="11" t="s">
        <v>2600</v>
      </c>
      <c r="C12604" s="11" t="s">
        <v>4578</v>
      </c>
    </row>
    <row r="12605" spans="1:4" ht="25.5" customHeight="1" x14ac:dyDescent="0.2">
      <c r="B12605" s="11" t="s">
        <v>2601</v>
      </c>
      <c r="C12605" s="11"/>
    </row>
    <row r="12606" spans="1:4" ht="12.75" customHeight="1" x14ac:dyDescent="0.2">
      <c r="B12606" s="11" t="s">
        <v>16</v>
      </c>
      <c r="C12606" s="11"/>
    </row>
    <row r="12607" spans="1:4" ht="12.75" customHeight="1" x14ac:dyDescent="0.2">
      <c r="B12607" s="11" t="s">
        <v>13</v>
      </c>
      <c r="C12607" s="11" t="s">
        <v>2644</v>
      </c>
    </row>
    <row r="12608" spans="1:4" ht="12.75" customHeight="1" x14ac:dyDescent="0.2">
      <c r="B12608" s="11" t="s">
        <v>2603</v>
      </c>
      <c r="C12608" s="11" t="s">
        <v>2965</v>
      </c>
    </row>
    <row r="12609" spans="1:4" ht="12.75" customHeight="1" x14ac:dyDescent="0.2">
      <c r="B12609" s="11" t="s">
        <v>2605</v>
      </c>
      <c r="C12609" s="11" t="s">
        <v>14</v>
      </c>
    </row>
    <row r="12610" spans="1:4" ht="12.75" customHeight="1" x14ac:dyDescent="0.2">
      <c r="B12610" s="11" t="s">
        <v>2606</v>
      </c>
      <c r="C12610" s="16" t="s">
        <v>44</v>
      </c>
      <c r="D12610" s="6" t="str">
        <f>HYPERLINK("javascript:void(0)","hínárgyöngy")</f>
        <v>hínárgyöngy</v>
      </c>
    </row>
    <row r="12611" spans="1:4" ht="25.5" customHeight="1" x14ac:dyDescent="0.2">
      <c r="C12611" s="16" t="s">
        <v>57</v>
      </c>
      <c r="D12611" s="6" t="str">
        <f>HYPERLINK("javascript:void(0)","harmatcsepp")</f>
        <v>harmatcsepp</v>
      </c>
    </row>
    <row r="12612" spans="1:4" ht="12.75" customHeight="1" x14ac:dyDescent="0.2">
      <c r="B12612" s="2"/>
      <c r="C12612" s="15"/>
      <c r="D12612" s="2"/>
    </row>
    <row r="12613" spans="1:4" ht="12.75" customHeight="1" x14ac:dyDescent="0.2">
      <c r="B12613" s="2"/>
      <c r="C12613" s="15"/>
      <c r="D12613" s="2"/>
    </row>
    <row r="12614" spans="1:4" ht="12.75" customHeight="1" x14ac:dyDescent="0.2">
      <c r="A12614" s="13" t="s">
        <v>4547</v>
      </c>
      <c r="C12614" s="12"/>
      <c r="D12614" s="2"/>
    </row>
    <row r="12615" spans="1:4" ht="12.75" customHeight="1" x14ac:dyDescent="0.2">
      <c r="A12615" s="11"/>
      <c r="B12615" s="2"/>
      <c r="C12615" s="15"/>
      <c r="D12615" s="2"/>
    </row>
    <row r="12616" spans="1:4" ht="12.75" customHeight="1" x14ac:dyDescent="0.2">
      <c r="B12616" s="11" t="s">
        <v>0</v>
      </c>
      <c r="C12616" s="17" t="s">
        <v>728</v>
      </c>
      <c r="D12616" s="2"/>
    </row>
    <row r="12617" spans="1:4" ht="12.75" customHeight="1" x14ac:dyDescent="0.2">
      <c r="B12617" s="11" t="s">
        <v>2599</v>
      </c>
      <c r="C12617" s="17" t="s">
        <v>4548</v>
      </c>
      <c r="D12617" s="2"/>
    </row>
    <row r="12618" spans="1:4" ht="25.5" customHeight="1" x14ac:dyDescent="0.2">
      <c r="B12618" s="11" t="s">
        <v>2600</v>
      </c>
      <c r="C12618" s="17" t="s">
        <v>4579</v>
      </c>
      <c r="D12618" s="2"/>
    </row>
    <row r="12619" spans="1:4" ht="25.5" customHeight="1" x14ac:dyDescent="0.2">
      <c r="B12619" s="11" t="s">
        <v>2601</v>
      </c>
      <c r="C12619" s="17"/>
      <c r="D12619" s="2"/>
    </row>
    <row r="12620" spans="1:4" ht="12.75" customHeight="1" x14ac:dyDescent="0.2">
      <c r="B12620" s="11" t="s">
        <v>16</v>
      </c>
      <c r="C12620" s="17"/>
      <c r="D12620" s="2"/>
    </row>
    <row r="12621" spans="1:4" ht="12.75" customHeight="1" x14ac:dyDescent="0.2">
      <c r="B12621" s="11" t="s">
        <v>13</v>
      </c>
      <c r="C12621" s="17" t="s">
        <v>2644</v>
      </c>
      <c r="D12621" s="2"/>
    </row>
    <row r="12622" spans="1:4" ht="25.5" customHeight="1" x14ac:dyDescent="0.2">
      <c r="B12622" s="11" t="s">
        <v>2603</v>
      </c>
      <c r="C12622" s="17" t="s">
        <v>2971</v>
      </c>
      <c r="D12622" s="2"/>
    </row>
    <row r="12623" spans="1:4" ht="12.75" customHeight="1" x14ac:dyDescent="0.2">
      <c r="B12623" s="11" t="s">
        <v>2605</v>
      </c>
      <c r="C12623" s="17" t="s">
        <v>14</v>
      </c>
      <c r="D12623" s="2"/>
    </row>
    <row r="12624" spans="1:4" ht="12.75" customHeight="1" x14ac:dyDescent="0.2">
      <c r="B12624" s="11" t="s">
        <v>2606</v>
      </c>
      <c r="C12624" s="16" t="s">
        <v>19</v>
      </c>
      <c r="D12624" s="2"/>
    </row>
    <row r="12625" spans="1:4" ht="12.75" customHeight="1" x14ac:dyDescent="0.2">
      <c r="B12625" s="2"/>
      <c r="C12625" s="15"/>
      <c r="D12625" s="2"/>
    </row>
    <row r="12626" spans="1:4" ht="12.75" customHeight="1" x14ac:dyDescent="0.2">
      <c r="B12626" s="2"/>
      <c r="C12626" s="15"/>
      <c r="D12626" s="2"/>
    </row>
    <row r="12627" spans="1:4" ht="12.75" customHeight="1" x14ac:dyDescent="0.2">
      <c r="A12627" s="13" t="s">
        <v>4580</v>
      </c>
      <c r="C12627" s="12"/>
    </row>
    <row r="12628" spans="1:4" ht="12.75" customHeight="1" x14ac:dyDescent="0.2">
      <c r="A12628" s="11"/>
      <c r="B12628" s="2"/>
      <c r="C12628" s="15"/>
      <c r="D12628" s="2"/>
    </row>
    <row r="12629" spans="1:4" ht="12.75" customHeight="1" x14ac:dyDescent="0.2">
      <c r="B12629" s="11" t="s">
        <v>0</v>
      </c>
      <c r="C12629" s="11" t="s">
        <v>728</v>
      </c>
    </row>
    <row r="12630" spans="1:4" ht="12.75" customHeight="1" x14ac:dyDescent="0.2">
      <c r="B12630" s="11" t="s">
        <v>2599</v>
      </c>
      <c r="C12630" s="11" t="s">
        <v>4582</v>
      </c>
    </row>
    <row r="12631" spans="1:4" ht="25.5" customHeight="1" x14ac:dyDescent="0.2">
      <c r="B12631" s="11" t="s">
        <v>2600</v>
      </c>
      <c r="C12631" s="11" t="s">
        <v>4583</v>
      </c>
    </row>
    <row r="12632" spans="1:4" ht="25.5" customHeight="1" x14ac:dyDescent="0.2">
      <c r="B12632" s="11" t="s">
        <v>2601</v>
      </c>
      <c r="C12632" s="11"/>
    </row>
    <row r="12633" spans="1:4" ht="12.75" customHeight="1" x14ac:dyDescent="0.2">
      <c r="B12633" s="11" t="s">
        <v>16</v>
      </c>
      <c r="C12633" s="11"/>
    </row>
    <row r="12634" spans="1:4" ht="12.75" customHeight="1" x14ac:dyDescent="0.2">
      <c r="B12634" s="11" t="s">
        <v>13</v>
      </c>
      <c r="C12634" s="11" t="s">
        <v>2644</v>
      </c>
    </row>
    <row r="12635" spans="1:4" ht="12.75" customHeight="1" x14ac:dyDescent="0.2">
      <c r="B12635" s="11" t="s">
        <v>2603</v>
      </c>
      <c r="C12635" s="11" t="s">
        <v>2604</v>
      </c>
    </row>
    <row r="12636" spans="1:4" ht="12.75" customHeight="1" x14ac:dyDescent="0.2">
      <c r="B12636" s="11" t="s">
        <v>2605</v>
      </c>
      <c r="C12636" s="11" t="s">
        <v>14</v>
      </c>
    </row>
    <row r="12637" spans="1:4" ht="25.5" customHeight="1" x14ac:dyDescent="0.2">
      <c r="B12637" s="11" t="s">
        <v>2606</v>
      </c>
      <c r="C12637" s="16" t="s">
        <v>44</v>
      </c>
      <c r="D12637" s="6" t="str">
        <f>HYPERLINK("javascript:void(0)","szent szimbólum")</f>
        <v>szent szimbólum</v>
      </c>
    </row>
    <row r="12638" spans="1:4" ht="12.75" customHeight="1" x14ac:dyDescent="0.2">
      <c r="C12638" s="16" t="s">
        <v>139</v>
      </c>
      <c r="D12638" s="6" t="str">
        <f>HYPERLINK("javascript:void(0)","kincs")</f>
        <v>kincs</v>
      </c>
    </row>
    <row r="12639" spans="1:4" ht="12.75" customHeight="1" x14ac:dyDescent="0.2">
      <c r="B12639" s="2"/>
      <c r="C12639" s="15"/>
      <c r="D12639" s="2"/>
    </row>
    <row r="12640" spans="1:4" ht="12.75" customHeight="1" x14ac:dyDescent="0.2">
      <c r="B12640" s="2"/>
      <c r="C12640" s="15"/>
      <c r="D12640" s="2"/>
    </row>
    <row r="12641" spans="1:4" ht="12.75" customHeight="1" x14ac:dyDescent="0.2">
      <c r="A12641" s="13" t="s">
        <v>4584</v>
      </c>
      <c r="C12641" s="12"/>
    </row>
    <row r="12642" spans="1:4" ht="12.75" customHeight="1" x14ac:dyDescent="0.2">
      <c r="A12642" s="11"/>
      <c r="B12642" s="2"/>
      <c r="C12642" s="15"/>
      <c r="D12642" s="2"/>
    </row>
    <row r="12643" spans="1:4" ht="12.75" customHeight="1" x14ac:dyDescent="0.2">
      <c r="B12643" s="11" t="s">
        <v>0</v>
      </c>
      <c r="C12643" s="11" t="s">
        <v>728</v>
      </c>
    </row>
    <row r="12644" spans="1:4" ht="12.75" customHeight="1" x14ac:dyDescent="0.2">
      <c r="B12644" s="11" t="s">
        <v>2599</v>
      </c>
      <c r="C12644" s="11" t="s">
        <v>4577</v>
      </c>
    </row>
    <row r="12645" spans="1:4" ht="25.5" customHeight="1" x14ac:dyDescent="0.2">
      <c r="B12645" s="11" t="s">
        <v>2600</v>
      </c>
      <c r="C12645" s="11" t="s">
        <v>4585</v>
      </c>
    </row>
    <row r="12646" spans="1:4" ht="25.5" customHeight="1" x14ac:dyDescent="0.2">
      <c r="B12646" s="11" t="s">
        <v>2601</v>
      </c>
      <c r="C12646" s="11"/>
    </row>
    <row r="12647" spans="1:4" ht="12.75" customHeight="1" x14ac:dyDescent="0.2">
      <c r="B12647" s="11" t="s">
        <v>16</v>
      </c>
      <c r="C12647" s="11"/>
    </row>
    <row r="12648" spans="1:4" ht="12.75" customHeight="1" x14ac:dyDescent="0.2">
      <c r="B12648" s="11" t="s">
        <v>13</v>
      </c>
      <c r="C12648" s="11" t="s">
        <v>2644</v>
      </c>
    </row>
    <row r="12649" spans="1:4" ht="12.75" customHeight="1" x14ac:dyDescent="0.2">
      <c r="B12649" s="11" t="s">
        <v>2603</v>
      </c>
      <c r="C12649" s="11" t="s">
        <v>2604</v>
      </c>
    </row>
    <row r="12650" spans="1:4" ht="12.75" customHeight="1" x14ac:dyDescent="0.2">
      <c r="B12650" s="11" t="s">
        <v>2605</v>
      </c>
      <c r="C12650" s="11" t="s">
        <v>24</v>
      </c>
    </row>
    <row r="12651" spans="1:4" ht="12.75" customHeight="1" x14ac:dyDescent="0.2">
      <c r="B12651" s="11" t="s">
        <v>2606</v>
      </c>
      <c r="C12651" s="16" t="s">
        <v>98</v>
      </c>
      <c r="D12651" s="6" t="str">
        <f>HYPERLINK("javascript:void(0)","kincs")</f>
        <v>kincs</v>
      </c>
    </row>
    <row r="12652" spans="1:4" ht="12.75" customHeight="1" x14ac:dyDescent="0.2">
      <c r="B12652" s="2"/>
      <c r="C12652" s="15"/>
      <c r="D12652" s="2"/>
    </row>
    <row r="12653" spans="1:4" ht="12.75" customHeight="1" x14ac:dyDescent="0.2">
      <c r="B12653" s="2"/>
      <c r="C12653" s="15"/>
      <c r="D12653" s="2"/>
    </row>
    <row r="12654" spans="1:4" ht="12.75" customHeight="1" x14ac:dyDescent="0.2">
      <c r="A12654" s="13" t="s">
        <v>4586</v>
      </c>
      <c r="C12654" s="12"/>
    </row>
    <row r="12655" spans="1:4" ht="12.75" customHeight="1" x14ac:dyDescent="0.2">
      <c r="A12655" s="11"/>
      <c r="B12655" s="2"/>
      <c r="C12655" s="15"/>
      <c r="D12655" s="2"/>
    </row>
    <row r="12656" spans="1:4" ht="12.75" customHeight="1" x14ac:dyDescent="0.2">
      <c r="B12656" s="11" t="s">
        <v>0</v>
      </c>
      <c r="C12656" s="11" t="s">
        <v>728</v>
      </c>
    </row>
    <row r="12657" spans="1:4" ht="12.75" customHeight="1" x14ac:dyDescent="0.2">
      <c r="B12657" s="11" t="s">
        <v>2599</v>
      </c>
      <c r="C12657" s="11" t="s">
        <v>1982</v>
      </c>
    </row>
    <row r="12658" spans="1:4" ht="25.5" customHeight="1" x14ac:dyDescent="0.2">
      <c r="B12658" s="11" t="s">
        <v>2600</v>
      </c>
      <c r="C12658" s="11" t="s">
        <v>4587</v>
      </c>
    </row>
    <row r="12659" spans="1:4" ht="25.5" customHeight="1" x14ac:dyDescent="0.2">
      <c r="B12659" s="11" t="s">
        <v>2601</v>
      </c>
      <c r="C12659" s="11"/>
    </row>
    <row r="12660" spans="1:4" ht="12.75" customHeight="1" x14ac:dyDescent="0.2">
      <c r="B12660" s="11" t="s">
        <v>16</v>
      </c>
      <c r="C12660" s="11"/>
    </row>
    <row r="12661" spans="1:4" ht="12.75" customHeight="1" x14ac:dyDescent="0.2">
      <c r="B12661" s="11" t="s">
        <v>13</v>
      </c>
      <c r="C12661" s="11" t="s">
        <v>2644</v>
      </c>
    </row>
    <row r="12662" spans="1:4" ht="12.75" customHeight="1" x14ac:dyDescent="0.2">
      <c r="B12662" s="11" t="s">
        <v>2603</v>
      </c>
      <c r="C12662" s="11" t="s">
        <v>2604</v>
      </c>
    </row>
    <row r="12663" spans="1:4" ht="12.75" customHeight="1" x14ac:dyDescent="0.2">
      <c r="B12663" s="11" t="s">
        <v>2605</v>
      </c>
      <c r="C12663" s="11" t="s">
        <v>24</v>
      </c>
    </row>
    <row r="12664" spans="1:4" ht="12.75" customHeight="1" x14ac:dyDescent="0.2">
      <c r="B12664" s="11" t="s">
        <v>2606</v>
      </c>
      <c r="C12664" s="16" t="s">
        <v>117</v>
      </c>
      <c r="D12664" s="6" t="str">
        <f>HYPERLINK("javascript:void(0)","kincs")</f>
        <v>kincs</v>
      </c>
    </row>
    <row r="12665" spans="1:4" ht="12.75" customHeight="1" x14ac:dyDescent="0.2">
      <c r="B12665" s="2"/>
      <c r="C12665" s="15"/>
      <c r="D12665" s="2"/>
    </row>
    <row r="12666" spans="1:4" ht="12.75" customHeight="1" x14ac:dyDescent="0.2">
      <c r="B12666" s="2"/>
      <c r="C12666" s="15"/>
      <c r="D12666" s="2"/>
    </row>
    <row r="12667" spans="1:4" ht="12.75" customHeight="1" x14ac:dyDescent="0.2">
      <c r="A12667" s="13" t="s">
        <v>4588</v>
      </c>
      <c r="C12667" s="12"/>
    </row>
    <row r="12668" spans="1:4" ht="12.75" customHeight="1" x14ac:dyDescent="0.2">
      <c r="A12668" s="11"/>
      <c r="B12668" s="2"/>
      <c r="C12668" s="15"/>
      <c r="D12668" s="2"/>
    </row>
    <row r="12669" spans="1:4" ht="12.75" customHeight="1" x14ac:dyDescent="0.2">
      <c r="B12669" s="11" t="s">
        <v>0</v>
      </c>
      <c r="C12669" s="11" t="s">
        <v>728</v>
      </c>
    </row>
    <row r="12670" spans="1:4" ht="12.75" customHeight="1" x14ac:dyDescent="0.2">
      <c r="B12670" s="11" t="s">
        <v>2599</v>
      </c>
      <c r="C12670" s="11" t="s">
        <v>3467</v>
      </c>
    </row>
    <row r="12671" spans="1:4" ht="25.5" customHeight="1" x14ac:dyDescent="0.2">
      <c r="B12671" s="11" t="s">
        <v>2600</v>
      </c>
      <c r="C12671" s="11" t="s">
        <v>4589</v>
      </c>
    </row>
    <row r="12672" spans="1:4" ht="25.5" customHeight="1" x14ac:dyDescent="0.2">
      <c r="B12672" s="11" t="s">
        <v>2601</v>
      </c>
      <c r="C12672" s="11"/>
    </row>
    <row r="12673" spans="1:4" ht="12.75" customHeight="1" x14ac:dyDescent="0.2">
      <c r="B12673" s="11" t="s">
        <v>16</v>
      </c>
      <c r="C12673" s="11"/>
    </row>
    <row r="12674" spans="1:4" ht="12.75" customHeight="1" x14ac:dyDescent="0.2">
      <c r="B12674" s="11" t="s">
        <v>13</v>
      </c>
      <c r="C12674" s="11" t="s">
        <v>2602</v>
      </c>
    </row>
    <row r="12675" spans="1:4" ht="12.75" customHeight="1" x14ac:dyDescent="0.2">
      <c r="B12675" s="11" t="s">
        <v>2603</v>
      </c>
      <c r="C12675" s="11" t="s">
        <v>2604</v>
      </c>
    </row>
    <row r="12676" spans="1:4" ht="12.75" customHeight="1" x14ac:dyDescent="0.2">
      <c r="B12676" s="11" t="s">
        <v>2605</v>
      </c>
      <c r="C12676" s="11" t="s">
        <v>24</v>
      </c>
    </row>
    <row r="12677" spans="1:4" ht="12.75" customHeight="1" x14ac:dyDescent="0.2">
      <c r="B12677" s="11" t="s">
        <v>2606</v>
      </c>
      <c r="C12677" s="16" t="s">
        <v>44</v>
      </c>
      <c r="D12677" s="6" t="str">
        <f>HYPERLINK("javascript:void(0)","gőg")</f>
        <v>gőg</v>
      </c>
    </row>
    <row r="12678" spans="1:4" ht="12.75" customHeight="1" x14ac:dyDescent="0.2">
      <c r="C12678" s="16" t="s">
        <v>163</v>
      </c>
      <c r="D12678" s="6" t="str">
        <f>HYPERLINK("javascript:void(0)","kincs")</f>
        <v>kincs</v>
      </c>
    </row>
    <row r="12679" spans="1:4" ht="12.75" customHeight="1" x14ac:dyDescent="0.2">
      <c r="B12679" s="2"/>
      <c r="C12679" s="15"/>
      <c r="D12679" s="2"/>
    </row>
    <row r="12680" spans="1:4" ht="12.75" customHeight="1" x14ac:dyDescent="0.2">
      <c r="B12680" s="2"/>
      <c r="C12680" s="15"/>
      <c r="D12680" s="2"/>
    </row>
    <row r="12681" spans="1:4" ht="12.75" customHeight="1" x14ac:dyDescent="0.2">
      <c r="A12681" s="13" t="s">
        <v>4590</v>
      </c>
      <c r="C12681" s="12"/>
    </row>
    <row r="12682" spans="1:4" ht="12.75" customHeight="1" x14ac:dyDescent="0.2">
      <c r="A12682" s="11"/>
      <c r="B12682" s="2"/>
      <c r="C12682" s="15"/>
      <c r="D12682" s="2"/>
    </row>
    <row r="12683" spans="1:4" ht="12.75" customHeight="1" x14ac:dyDescent="0.2">
      <c r="B12683" s="11" t="s">
        <v>0</v>
      </c>
      <c r="C12683" s="11" t="s">
        <v>728</v>
      </c>
    </row>
    <row r="12684" spans="1:4" ht="12.75" customHeight="1" x14ac:dyDescent="0.2">
      <c r="B12684" s="11" t="s">
        <v>2599</v>
      </c>
      <c r="C12684" s="11" t="s">
        <v>4591</v>
      </c>
    </row>
    <row r="12685" spans="1:4" ht="25.5" customHeight="1" x14ac:dyDescent="0.2">
      <c r="B12685" s="11" t="s">
        <v>2600</v>
      </c>
      <c r="C12685" s="11" t="s">
        <v>4592</v>
      </c>
    </row>
    <row r="12686" spans="1:4" ht="25.5" customHeight="1" x14ac:dyDescent="0.2">
      <c r="B12686" s="11" t="s">
        <v>2601</v>
      </c>
      <c r="C12686" s="11"/>
    </row>
    <row r="12687" spans="1:4" ht="12.75" customHeight="1" x14ac:dyDescent="0.2">
      <c r="B12687" s="11" t="s">
        <v>16</v>
      </c>
      <c r="C12687" s="11"/>
    </row>
    <row r="12688" spans="1:4" ht="12.75" customHeight="1" x14ac:dyDescent="0.2">
      <c r="B12688" s="11" t="s">
        <v>13</v>
      </c>
      <c r="C12688" s="11" t="s">
        <v>2602</v>
      </c>
    </row>
    <row r="12689" spans="1:4" ht="12.75" customHeight="1" x14ac:dyDescent="0.2">
      <c r="B12689" s="11" t="s">
        <v>2603</v>
      </c>
      <c r="C12689" s="11" t="s">
        <v>2604</v>
      </c>
    </row>
    <row r="12690" spans="1:4" ht="12.75" customHeight="1" x14ac:dyDescent="0.2">
      <c r="B12690" s="11" t="s">
        <v>2605</v>
      </c>
      <c r="C12690" s="11" t="s">
        <v>14</v>
      </c>
    </row>
    <row r="12691" spans="1:4" ht="12.75" customHeight="1" x14ac:dyDescent="0.2">
      <c r="B12691" s="11" t="s">
        <v>2606</v>
      </c>
      <c r="C12691" s="16" t="s">
        <v>44</v>
      </c>
      <c r="D12691" s="6" t="str">
        <f>HYPERLINK("javascript:void(0)","rúna")</f>
        <v>rúna</v>
      </c>
    </row>
    <row r="12692" spans="1:4" ht="12.75" customHeight="1" x14ac:dyDescent="0.2">
      <c r="B12692" s="2"/>
      <c r="C12692" s="15"/>
      <c r="D12692" s="2"/>
    </row>
    <row r="12693" spans="1:4" ht="12.75" customHeight="1" x14ac:dyDescent="0.2">
      <c r="B12693" s="2"/>
      <c r="C12693" s="15"/>
      <c r="D12693" s="2"/>
    </row>
    <row r="12694" spans="1:4" ht="12.75" customHeight="1" x14ac:dyDescent="0.2">
      <c r="A12694" s="13" t="s">
        <v>4593</v>
      </c>
      <c r="C12694" s="12"/>
    </row>
    <row r="12695" spans="1:4" ht="12.75" customHeight="1" x14ac:dyDescent="0.2">
      <c r="A12695" s="11"/>
      <c r="B12695" s="2"/>
      <c r="C12695" s="15"/>
      <c r="D12695" s="2"/>
    </row>
    <row r="12696" spans="1:4" ht="12.75" customHeight="1" x14ac:dyDescent="0.2">
      <c r="B12696" s="11" t="s">
        <v>0</v>
      </c>
      <c r="C12696" s="11" t="s">
        <v>728</v>
      </c>
    </row>
    <row r="12697" spans="1:4" ht="12.75" customHeight="1" x14ac:dyDescent="0.2">
      <c r="B12697" s="11" t="s">
        <v>2599</v>
      </c>
      <c r="C12697" s="11" t="s">
        <v>4594</v>
      </c>
    </row>
    <row r="12698" spans="1:4" ht="25.5" customHeight="1" x14ac:dyDescent="0.2">
      <c r="B12698" s="11" t="s">
        <v>2600</v>
      </c>
      <c r="C12698" s="11" t="s">
        <v>4595</v>
      </c>
    </row>
    <row r="12699" spans="1:4" ht="25.5" customHeight="1" x14ac:dyDescent="0.2">
      <c r="B12699" s="11" t="s">
        <v>2601</v>
      </c>
      <c r="C12699" s="11"/>
    </row>
    <row r="12700" spans="1:4" ht="12.75" customHeight="1" x14ac:dyDescent="0.2">
      <c r="B12700" s="11" t="s">
        <v>16</v>
      </c>
      <c r="C12700" s="11"/>
    </row>
    <row r="12701" spans="1:4" ht="12.75" customHeight="1" x14ac:dyDescent="0.2">
      <c r="B12701" s="11" t="s">
        <v>13</v>
      </c>
      <c r="C12701" s="11" t="s">
        <v>2644</v>
      </c>
    </row>
    <row r="12702" spans="1:4" ht="12.75" customHeight="1" x14ac:dyDescent="0.2">
      <c r="B12702" s="11" t="s">
        <v>2603</v>
      </c>
      <c r="C12702" s="11" t="s">
        <v>2604</v>
      </c>
    </row>
    <row r="12703" spans="1:4" ht="12.75" customHeight="1" x14ac:dyDescent="0.2">
      <c r="B12703" s="11" t="s">
        <v>2605</v>
      </c>
      <c r="C12703" s="11" t="s">
        <v>24</v>
      </c>
    </row>
    <row r="12704" spans="1:4" ht="12.75" customHeight="1" x14ac:dyDescent="0.2">
      <c r="B12704" s="11" t="s">
        <v>2606</v>
      </c>
      <c r="C12704" s="16" t="s">
        <v>77</v>
      </c>
      <c r="D12704" s="6" t="str">
        <f>HYPERLINK("javascript:void(0)","fűrészfog")</f>
        <v>fűrészfog</v>
      </c>
    </row>
    <row r="12705" spans="1:4" ht="12.75" customHeight="1" x14ac:dyDescent="0.2">
      <c r="B12705" s="2"/>
      <c r="C12705" s="15"/>
      <c r="D12705" s="2"/>
    </row>
    <row r="12706" spans="1:4" ht="12.75" customHeight="1" x14ac:dyDescent="0.2">
      <c r="B12706" s="2"/>
      <c r="C12706" s="15"/>
      <c r="D12706" s="2"/>
    </row>
    <row r="12707" spans="1:4" ht="12.75" customHeight="1" x14ac:dyDescent="0.2">
      <c r="A12707" s="13" t="s">
        <v>4596</v>
      </c>
      <c r="C12707" s="12"/>
    </row>
    <row r="12708" spans="1:4" ht="12.75" customHeight="1" x14ac:dyDescent="0.2">
      <c r="A12708" s="11"/>
      <c r="B12708" s="2"/>
      <c r="C12708" s="15"/>
      <c r="D12708" s="2"/>
    </row>
    <row r="12709" spans="1:4" ht="12.75" customHeight="1" x14ac:dyDescent="0.2">
      <c r="B12709" s="11" t="s">
        <v>0</v>
      </c>
      <c r="C12709" s="11" t="s">
        <v>728</v>
      </c>
    </row>
    <row r="12710" spans="1:4" ht="12.75" customHeight="1" x14ac:dyDescent="0.2">
      <c r="B12710" s="11" t="s">
        <v>2599</v>
      </c>
      <c r="C12710" s="11" t="s">
        <v>4597</v>
      </c>
    </row>
    <row r="12711" spans="1:4" ht="25.5" customHeight="1" x14ac:dyDescent="0.2">
      <c r="B12711" s="11" t="s">
        <v>2600</v>
      </c>
      <c r="C12711" s="11" t="s">
        <v>4598</v>
      </c>
    </row>
    <row r="12712" spans="1:4" ht="25.5" customHeight="1" x14ac:dyDescent="0.2">
      <c r="B12712" s="11" t="s">
        <v>2601</v>
      </c>
      <c r="C12712" s="11"/>
    </row>
    <row r="12713" spans="1:4" ht="12.75" customHeight="1" x14ac:dyDescent="0.2">
      <c r="B12713" s="11" t="s">
        <v>16</v>
      </c>
      <c r="C12713" s="11"/>
    </row>
    <row r="12714" spans="1:4" ht="12.75" customHeight="1" x14ac:dyDescent="0.2">
      <c r="B12714" s="11" t="s">
        <v>13</v>
      </c>
      <c r="C12714" s="11" t="s">
        <v>2602</v>
      </c>
    </row>
    <row r="12715" spans="1:4" ht="12.75" customHeight="1" x14ac:dyDescent="0.2">
      <c r="B12715" s="11" t="s">
        <v>2603</v>
      </c>
      <c r="C12715" s="11" t="s">
        <v>2604</v>
      </c>
    </row>
    <row r="12716" spans="1:4" ht="12.75" customHeight="1" x14ac:dyDescent="0.2">
      <c r="B12716" s="11" t="s">
        <v>2605</v>
      </c>
      <c r="C12716" s="11" t="s">
        <v>14</v>
      </c>
    </row>
    <row r="12717" spans="1:4" ht="12.75" customHeight="1" x14ac:dyDescent="0.2">
      <c r="B12717" s="11" t="s">
        <v>2606</v>
      </c>
      <c r="C12717" s="16" t="s">
        <v>44</v>
      </c>
      <c r="D12717" s="6" t="str">
        <f>HYPERLINK("javascript:void(0)","betüvető")</f>
        <v>betüvető</v>
      </c>
    </row>
    <row r="12718" spans="1:4" ht="12.75" customHeight="1" x14ac:dyDescent="0.2">
      <c r="B12718" s="2"/>
      <c r="C12718" s="15"/>
      <c r="D12718" s="2"/>
    </row>
    <row r="12719" spans="1:4" ht="12.75" customHeight="1" x14ac:dyDescent="0.2">
      <c r="B12719" s="2"/>
      <c r="C12719" s="15"/>
      <c r="D12719" s="2"/>
    </row>
    <row r="12720" spans="1:4" ht="12.75" customHeight="1" x14ac:dyDescent="0.2">
      <c r="A12720" s="13" t="s">
        <v>4599</v>
      </c>
      <c r="C12720" s="12"/>
    </row>
    <row r="12721" spans="1:4" ht="12.75" customHeight="1" x14ac:dyDescent="0.2">
      <c r="A12721" s="11"/>
      <c r="B12721" s="2"/>
      <c r="C12721" s="15"/>
      <c r="D12721" s="2"/>
    </row>
    <row r="12722" spans="1:4" ht="12.75" customHeight="1" x14ac:dyDescent="0.2">
      <c r="B12722" s="11" t="s">
        <v>0</v>
      </c>
      <c r="C12722" s="11" t="s">
        <v>728</v>
      </c>
    </row>
    <row r="12723" spans="1:4" ht="12.75" customHeight="1" x14ac:dyDescent="0.2">
      <c r="B12723" s="11" t="s">
        <v>2599</v>
      </c>
      <c r="C12723" s="11" t="s">
        <v>2975</v>
      </c>
    </row>
    <row r="12724" spans="1:4" ht="25.5" customHeight="1" x14ac:dyDescent="0.2">
      <c r="B12724" s="11" t="s">
        <v>2600</v>
      </c>
      <c r="C12724" s="11" t="s">
        <v>4601</v>
      </c>
    </row>
    <row r="12725" spans="1:4" ht="25.5" customHeight="1" x14ac:dyDescent="0.2">
      <c r="B12725" s="11" t="s">
        <v>2601</v>
      </c>
      <c r="C12725" s="11"/>
    </row>
    <row r="12726" spans="1:4" ht="12.75" customHeight="1" x14ac:dyDescent="0.2">
      <c r="B12726" s="11" t="s">
        <v>16</v>
      </c>
      <c r="C12726" s="11"/>
    </row>
    <row r="12727" spans="1:4" ht="12.75" customHeight="1" x14ac:dyDescent="0.2">
      <c r="B12727" s="11" t="s">
        <v>13</v>
      </c>
      <c r="C12727" s="11" t="s">
        <v>2602</v>
      </c>
    </row>
    <row r="12728" spans="1:4" ht="12.75" customHeight="1" x14ac:dyDescent="0.2">
      <c r="B12728" s="11" t="s">
        <v>2603</v>
      </c>
      <c r="C12728" s="11" t="s">
        <v>2604</v>
      </c>
    </row>
    <row r="12729" spans="1:4" ht="12.75" customHeight="1" x14ac:dyDescent="0.2">
      <c r="B12729" s="11" t="s">
        <v>2605</v>
      </c>
      <c r="C12729" s="11" t="s">
        <v>14</v>
      </c>
    </row>
    <row r="12730" spans="1:4" ht="12.75" customHeight="1" x14ac:dyDescent="0.2">
      <c r="B12730" s="11" t="s">
        <v>2606</v>
      </c>
      <c r="C12730" s="16" t="s">
        <v>44</v>
      </c>
      <c r="D12730" s="6" t="str">
        <f>HYPERLINK("javascript:void(0)","betüvető")</f>
        <v>betüvető</v>
      </c>
    </row>
    <row r="12731" spans="1:4" ht="12.75" customHeight="1" x14ac:dyDescent="0.2">
      <c r="B12731" s="2"/>
      <c r="C12731" s="15"/>
      <c r="D12731" s="2"/>
    </row>
    <row r="12732" spans="1:4" ht="12.75" customHeight="1" x14ac:dyDescent="0.2">
      <c r="B12732" s="2"/>
      <c r="C12732" s="15"/>
      <c r="D12732" s="2"/>
    </row>
    <row r="12733" spans="1:4" ht="12.75" customHeight="1" x14ac:dyDescent="0.2">
      <c r="A12733" s="13" t="s">
        <v>4569</v>
      </c>
      <c r="C12733" s="12"/>
      <c r="D12733" s="2"/>
    </row>
    <row r="12734" spans="1:4" ht="12.75" customHeight="1" x14ac:dyDescent="0.2">
      <c r="A12734" s="11"/>
      <c r="B12734" s="2"/>
      <c r="C12734" s="15"/>
      <c r="D12734" s="2"/>
    </row>
    <row r="12735" spans="1:4" ht="12.75" customHeight="1" x14ac:dyDescent="0.2">
      <c r="B12735" s="11" t="s">
        <v>0</v>
      </c>
      <c r="C12735" s="17" t="s">
        <v>728</v>
      </c>
      <c r="D12735" s="2"/>
    </row>
    <row r="12736" spans="1:4" ht="12.75" customHeight="1" x14ac:dyDescent="0.2">
      <c r="B12736" s="11" t="s">
        <v>2599</v>
      </c>
      <c r="C12736" s="17" t="s">
        <v>4570</v>
      </c>
      <c r="D12736" s="2"/>
    </row>
    <row r="12737" spans="1:4" ht="25.5" customHeight="1" x14ac:dyDescent="0.2">
      <c r="B12737" s="11" t="s">
        <v>2600</v>
      </c>
      <c r="C12737" s="17" t="s">
        <v>4602</v>
      </c>
      <c r="D12737" s="2"/>
    </row>
    <row r="12738" spans="1:4" ht="25.5" customHeight="1" x14ac:dyDescent="0.2">
      <c r="B12738" s="11" t="s">
        <v>2601</v>
      </c>
      <c r="C12738" s="17"/>
      <c r="D12738" s="2"/>
    </row>
    <row r="12739" spans="1:4" ht="12.75" customHeight="1" x14ac:dyDescent="0.2">
      <c r="B12739" s="11" t="s">
        <v>16</v>
      </c>
      <c r="C12739" s="17"/>
      <c r="D12739" s="2"/>
    </row>
    <row r="12740" spans="1:4" ht="12.75" customHeight="1" x14ac:dyDescent="0.2">
      <c r="B12740" s="11" t="s">
        <v>13</v>
      </c>
      <c r="C12740" s="17" t="s">
        <v>2602</v>
      </c>
      <c r="D12740" s="2"/>
    </row>
    <row r="12741" spans="1:4" ht="25.5" customHeight="1" x14ac:dyDescent="0.2">
      <c r="B12741" s="11" t="s">
        <v>2603</v>
      </c>
      <c r="C12741" s="17" t="s">
        <v>2971</v>
      </c>
      <c r="D12741" s="2"/>
    </row>
    <row r="12742" spans="1:4" ht="12.75" customHeight="1" x14ac:dyDescent="0.2">
      <c r="B12742" s="11" t="s">
        <v>2605</v>
      </c>
      <c r="C12742" s="17" t="s">
        <v>14</v>
      </c>
      <c r="D12742" s="2"/>
    </row>
    <row r="12743" spans="1:4" ht="12.75" customHeight="1" x14ac:dyDescent="0.2">
      <c r="B12743" s="11" t="s">
        <v>2606</v>
      </c>
      <c r="C12743" s="16" t="s">
        <v>19</v>
      </c>
      <c r="D12743" s="2"/>
    </row>
    <row r="12744" spans="1:4" ht="12.75" customHeight="1" x14ac:dyDescent="0.2">
      <c r="B12744" s="2"/>
      <c r="C12744" s="15"/>
      <c r="D12744" s="2"/>
    </row>
    <row r="12745" spans="1:4" ht="12.75" customHeight="1" x14ac:dyDescent="0.2">
      <c r="B12745" s="2"/>
      <c r="C12745" s="15"/>
      <c r="D12745" s="2"/>
    </row>
    <row r="12746" spans="1:4" ht="12.75" customHeight="1" x14ac:dyDescent="0.2">
      <c r="A12746" s="13" t="s">
        <v>4572</v>
      </c>
      <c r="C12746" s="12"/>
      <c r="D12746" s="2"/>
    </row>
    <row r="12747" spans="1:4" ht="12.75" customHeight="1" x14ac:dyDescent="0.2">
      <c r="A12747" s="11"/>
      <c r="B12747" s="2"/>
      <c r="C12747" s="15"/>
      <c r="D12747" s="2"/>
    </row>
    <row r="12748" spans="1:4" ht="12.75" customHeight="1" x14ac:dyDescent="0.2">
      <c r="B12748" s="11" t="s">
        <v>0</v>
      </c>
      <c r="C12748" s="17" t="s">
        <v>728</v>
      </c>
      <c r="D12748" s="2"/>
    </row>
    <row r="12749" spans="1:4" ht="12.75" customHeight="1" x14ac:dyDescent="0.2">
      <c r="B12749" s="11" t="s">
        <v>2599</v>
      </c>
      <c r="C12749" s="17" t="s">
        <v>706</v>
      </c>
      <c r="D12749" s="2"/>
    </row>
    <row r="12750" spans="1:4" ht="25.5" customHeight="1" x14ac:dyDescent="0.2">
      <c r="B12750" s="11" t="s">
        <v>2600</v>
      </c>
      <c r="C12750" s="17" t="s">
        <v>4604</v>
      </c>
      <c r="D12750" s="2"/>
    </row>
    <row r="12751" spans="1:4" ht="25.5" customHeight="1" x14ac:dyDescent="0.2">
      <c r="B12751" s="11" t="s">
        <v>2601</v>
      </c>
      <c r="C12751" s="17"/>
      <c r="D12751" s="2"/>
    </row>
    <row r="12752" spans="1:4" ht="12.75" customHeight="1" x14ac:dyDescent="0.2">
      <c r="B12752" s="11" t="s">
        <v>16</v>
      </c>
      <c r="C12752" s="17"/>
      <c r="D12752" s="2"/>
    </row>
    <row r="12753" spans="1:4" ht="12.75" customHeight="1" x14ac:dyDescent="0.2">
      <c r="B12753" s="11" t="s">
        <v>13</v>
      </c>
      <c r="C12753" s="17" t="s">
        <v>2644</v>
      </c>
      <c r="D12753" s="2"/>
    </row>
    <row r="12754" spans="1:4" ht="25.5" customHeight="1" x14ac:dyDescent="0.2">
      <c r="B12754" s="11" t="s">
        <v>2603</v>
      </c>
      <c r="C12754" s="17" t="s">
        <v>2971</v>
      </c>
      <c r="D12754" s="2"/>
    </row>
    <row r="12755" spans="1:4" ht="12.75" customHeight="1" x14ac:dyDescent="0.2">
      <c r="B12755" s="11" t="s">
        <v>2605</v>
      </c>
      <c r="C12755" s="17" t="s">
        <v>14</v>
      </c>
      <c r="D12755" s="2"/>
    </row>
    <row r="12756" spans="1:4" ht="12.75" customHeight="1" x14ac:dyDescent="0.2">
      <c r="B12756" s="11" t="s">
        <v>2606</v>
      </c>
      <c r="C12756" s="16" t="s">
        <v>19</v>
      </c>
      <c r="D12756" s="2"/>
    </row>
    <row r="12757" spans="1:4" ht="12.75" customHeight="1" x14ac:dyDescent="0.2">
      <c r="B12757" s="2"/>
      <c r="C12757" s="15"/>
      <c r="D12757" s="2"/>
    </row>
    <row r="12758" spans="1:4" ht="12.75" customHeight="1" x14ac:dyDescent="0.2">
      <c r="B12758" s="2"/>
      <c r="C12758" s="15"/>
      <c r="D12758" s="2"/>
    </row>
    <row r="12759" spans="1:4" ht="12.75" customHeight="1" x14ac:dyDescent="0.2">
      <c r="A12759" s="13" t="s">
        <v>4574</v>
      </c>
      <c r="C12759" s="12"/>
      <c r="D12759" s="2"/>
    </row>
    <row r="12760" spans="1:4" ht="12.75" customHeight="1" x14ac:dyDescent="0.2">
      <c r="A12760" s="11"/>
      <c r="B12760" s="2"/>
      <c r="C12760" s="15"/>
      <c r="D12760" s="2"/>
    </row>
    <row r="12761" spans="1:4" ht="12.75" customHeight="1" x14ac:dyDescent="0.2">
      <c r="B12761" s="11" t="s">
        <v>0</v>
      </c>
      <c r="C12761" s="17" t="s">
        <v>728</v>
      </c>
      <c r="D12761" s="2"/>
    </row>
    <row r="12762" spans="1:4" ht="12.75" customHeight="1" x14ac:dyDescent="0.2">
      <c r="B12762" s="11" t="s">
        <v>2599</v>
      </c>
      <c r="C12762" s="17" t="s">
        <v>4575</v>
      </c>
      <c r="D12762" s="2"/>
    </row>
    <row r="12763" spans="1:4" ht="25.5" customHeight="1" x14ac:dyDescent="0.2">
      <c r="B12763" s="11" t="s">
        <v>2600</v>
      </c>
      <c r="C12763" s="17" t="s">
        <v>4605</v>
      </c>
      <c r="D12763" s="2"/>
    </row>
    <row r="12764" spans="1:4" ht="25.5" customHeight="1" x14ac:dyDescent="0.2">
      <c r="B12764" s="11" t="s">
        <v>2601</v>
      </c>
      <c r="C12764" s="17"/>
      <c r="D12764" s="2"/>
    </row>
    <row r="12765" spans="1:4" ht="12.75" customHeight="1" x14ac:dyDescent="0.2">
      <c r="B12765" s="11" t="s">
        <v>16</v>
      </c>
      <c r="C12765" s="17"/>
      <c r="D12765" s="2"/>
    </row>
    <row r="12766" spans="1:4" ht="12.75" customHeight="1" x14ac:dyDescent="0.2">
      <c r="B12766" s="11" t="s">
        <v>13</v>
      </c>
      <c r="C12766" s="17" t="s">
        <v>2602</v>
      </c>
      <c r="D12766" s="2"/>
    </row>
    <row r="12767" spans="1:4" ht="25.5" customHeight="1" x14ac:dyDescent="0.2">
      <c r="B12767" s="11" t="s">
        <v>2603</v>
      </c>
      <c r="C12767" s="17" t="s">
        <v>2971</v>
      </c>
      <c r="D12767" s="2"/>
    </row>
    <row r="12768" spans="1:4" ht="12.75" customHeight="1" x14ac:dyDescent="0.2">
      <c r="B12768" s="11" t="s">
        <v>2605</v>
      </c>
      <c r="C12768" s="17" t="s">
        <v>14</v>
      </c>
      <c r="D12768" s="2"/>
    </row>
    <row r="12769" spans="1:4" ht="12.75" customHeight="1" x14ac:dyDescent="0.2">
      <c r="B12769" s="11" t="s">
        <v>2606</v>
      </c>
      <c r="C12769" s="16" t="s">
        <v>19</v>
      </c>
      <c r="D12769" s="2"/>
    </row>
    <row r="12770" spans="1:4" ht="12.75" customHeight="1" x14ac:dyDescent="0.2">
      <c r="B12770" s="2"/>
      <c r="C12770" s="15"/>
      <c r="D12770" s="2"/>
    </row>
    <row r="12771" spans="1:4" ht="12.75" customHeight="1" x14ac:dyDescent="0.2">
      <c r="B12771" s="2"/>
      <c r="C12771" s="15"/>
      <c r="D12771" s="2"/>
    </row>
    <row r="12772" spans="1:4" ht="12.75" customHeight="1" x14ac:dyDescent="0.2">
      <c r="A12772" s="13" t="s">
        <v>4547</v>
      </c>
      <c r="C12772" s="12"/>
      <c r="D12772" s="2"/>
    </row>
    <row r="12773" spans="1:4" ht="12.75" customHeight="1" x14ac:dyDescent="0.2">
      <c r="A12773" s="11"/>
      <c r="B12773" s="2"/>
      <c r="C12773" s="15"/>
      <c r="D12773" s="2"/>
    </row>
    <row r="12774" spans="1:4" ht="12.75" customHeight="1" x14ac:dyDescent="0.2">
      <c r="B12774" s="11" t="s">
        <v>0</v>
      </c>
      <c r="C12774" s="17" t="s">
        <v>78</v>
      </c>
      <c r="D12774" s="2"/>
    </row>
    <row r="12775" spans="1:4" ht="12.75" customHeight="1" x14ac:dyDescent="0.2">
      <c r="B12775" s="11" t="s">
        <v>2599</v>
      </c>
      <c r="C12775" s="17" t="s">
        <v>4548</v>
      </c>
      <c r="D12775" s="2"/>
    </row>
    <row r="12776" spans="1:4" ht="25.5" customHeight="1" x14ac:dyDescent="0.2">
      <c r="B12776" s="11" t="s">
        <v>2600</v>
      </c>
      <c r="C12776" s="17" t="s">
        <v>4606</v>
      </c>
      <c r="D12776" s="2"/>
    </row>
    <row r="12777" spans="1:4" ht="25.5" customHeight="1" x14ac:dyDescent="0.2">
      <c r="B12777" s="11" t="s">
        <v>2601</v>
      </c>
      <c r="C12777" s="17"/>
      <c r="D12777" s="2"/>
    </row>
    <row r="12778" spans="1:4" ht="12.75" customHeight="1" x14ac:dyDescent="0.2">
      <c r="B12778" s="11" t="s">
        <v>16</v>
      </c>
      <c r="C12778" s="17"/>
      <c r="D12778" s="2"/>
    </row>
    <row r="12779" spans="1:4" ht="12.75" customHeight="1" x14ac:dyDescent="0.2">
      <c r="B12779" s="11" t="s">
        <v>13</v>
      </c>
      <c r="C12779" s="17" t="s">
        <v>2644</v>
      </c>
      <c r="D12779" s="2"/>
    </row>
    <row r="12780" spans="1:4" ht="25.5" customHeight="1" x14ac:dyDescent="0.2">
      <c r="B12780" s="11" t="s">
        <v>2603</v>
      </c>
      <c r="C12780" s="17" t="s">
        <v>2971</v>
      </c>
      <c r="D12780" s="2"/>
    </row>
    <row r="12781" spans="1:4" ht="12.75" customHeight="1" x14ac:dyDescent="0.2">
      <c r="B12781" s="11" t="s">
        <v>2605</v>
      </c>
      <c r="C12781" s="17" t="s">
        <v>14</v>
      </c>
      <c r="D12781" s="2"/>
    </row>
    <row r="12782" spans="1:4" ht="12.75" customHeight="1" x14ac:dyDescent="0.2">
      <c r="B12782" s="11" t="s">
        <v>2606</v>
      </c>
      <c r="C12782" s="16" t="s">
        <v>19</v>
      </c>
      <c r="D12782" s="2"/>
    </row>
    <row r="12783" spans="1:4" ht="12.75" customHeight="1" x14ac:dyDescent="0.2">
      <c r="B12783" s="2"/>
      <c r="C12783" s="15"/>
      <c r="D12783" s="2"/>
    </row>
    <row r="12784" spans="1:4" ht="12.75" customHeight="1" x14ac:dyDescent="0.2">
      <c r="B12784" s="2"/>
      <c r="C12784" s="15"/>
      <c r="D12784" s="2"/>
    </row>
    <row r="12785" spans="1:4" ht="12.75" customHeight="1" x14ac:dyDescent="0.2">
      <c r="A12785" s="13" t="s">
        <v>4607</v>
      </c>
      <c r="C12785" s="12"/>
    </row>
    <row r="12786" spans="1:4" ht="12.75" customHeight="1" x14ac:dyDescent="0.2">
      <c r="A12786" s="11"/>
      <c r="B12786" s="2"/>
      <c r="C12786" s="15"/>
      <c r="D12786" s="2"/>
    </row>
    <row r="12787" spans="1:4" ht="12.75" customHeight="1" x14ac:dyDescent="0.2">
      <c r="B12787" s="11" t="s">
        <v>0</v>
      </c>
      <c r="C12787" s="11" t="s">
        <v>78</v>
      </c>
    </row>
    <row r="12788" spans="1:4" ht="12.75" customHeight="1" x14ac:dyDescent="0.2">
      <c r="B12788" s="11" t="s">
        <v>2599</v>
      </c>
      <c r="C12788" s="11" t="s">
        <v>4608</v>
      </c>
    </row>
    <row r="12789" spans="1:4" ht="25.5" customHeight="1" x14ac:dyDescent="0.2">
      <c r="B12789" s="11" t="s">
        <v>2600</v>
      </c>
      <c r="C12789" s="11" t="s">
        <v>4609</v>
      </c>
    </row>
    <row r="12790" spans="1:4" ht="25.5" customHeight="1" x14ac:dyDescent="0.2">
      <c r="B12790" s="11" t="s">
        <v>2601</v>
      </c>
      <c r="C12790" s="11"/>
    </row>
    <row r="12791" spans="1:4" ht="12.75" customHeight="1" x14ac:dyDescent="0.2">
      <c r="B12791" s="11" t="s">
        <v>16</v>
      </c>
      <c r="C12791" s="11"/>
    </row>
    <row r="12792" spans="1:4" ht="12.75" customHeight="1" x14ac:dyDescent="0.2">
      <c r="B12792" s="11" t="s">
        <v>13</v>
      </c>
      <c r="C12792" s="11" t="s">
        <v>2644</v>
      </c>
    </row>
    <row r="12793" spans="1:4" ht="12.75" customHeight="1" x14ac:dyDescent="0.2">
      <c r="B12793" s="11" t="s">
        <v>2603</v>
      </c>
      <c r="C12793" s="11" t="s">
        <v>2604</v>
      </c>
    </row>
    <row r="12794" spans="1:4" ht="12.75" customHeight="1" x14ac:dyDescent="0.2">
      <c r="B12794" s="11" t="s">
        <v>2605</v>
      </c>
      <c r="C12794" s="11" t="s">
        <v>14</v>
      </c>
    </row>
    <row r="12795" spans="1:4" ht="12.75" customHeight="1" x14ac:dyDescent="0.2">
      <c r="B12795" s="11" t="s">
        <v>2606</v>
      </c>
      <c r="C12795" s="16" t="s">
        <v>98</v>
      </c>
      <c r="D12795" s="6" t="str">
        <f>HYPERLINK("javascript:void(0)","kincs")</f>
        <v>kincs</v>
      </c>
    </row>
    <row r="12796" spans="1:4" ht="12.75" customHeight="1" x14ac:dyDescent="0.2">
      <c r="B12796" s="2"/>
      <c r="C12796" s="15"/>
      <c r="D12796" s="2"/>
    </row>
    <row r="12797" spans="1:4" ht="12.75" customHeight="1" x14ac:dyDescent="0.2">
      <c r="B12797" s="2"/>
      <c r="C12797" s="15"/>
      <c r="D12797" s="2"/>
    </row>
    <row r="12798" spans="1:4" ht="12.75" customHeight="1" x14ac:dyDescent="0.2">
      <c r="A12798" s="13" t="s">
        <v>4610</v>
      </c>
      <c r="C12798" s="12"/>
    </row>
    <row r="12799" spans="1:4" ht="12.75" customHeight="1" x14ac:dyDescent="0.2">
      <c r="A12799" s="11"/>
      <c r="B12799" s="2"/>
      <c r="C12799" s="15"/>
      <c r="D12799" s="2"/>
    </row>
    <row r="12800" spans="1:4" ht="12.75" customHeight="1" x14ac:dyDescent="0.2">
      <c r="B12800" s="11" t="s">
        <v>0</v>
      </c>
      <c r="C12800" s="11" t="s">
        <v>78</v>
      </c>
    </row>
    <row r="12801" spans="1:4" ht="12.75" customHeight="1" x14ac:dyDescent="0.2">
      <c r="B12801" s="11" t="s">
        <v>2599</v>
      </c>
      <c r="C12801" s="11" t="s">
        <v>4611</v>
      </c>
    </row>
    <row r="12802" spans="1:4" ht="25.5" customHeight="1" x14ac:dyDescent="0.2">
      <c r="B12802" s="11" t="s">
        <v>2600</v>
      </c>
      <c r="C12802" s="11" t="s">
        <v>4612</v>
      </c>
    </row>
    <row r="12803" spans="1:4" ht="25.5" customHeight="1" x14ac:dyDescent="0.2">
      <c r="B12803" s="11" t="s">
        <v>2601</v>
      </c>
      <c r="C12803" s="11"/>
    </row>
    <row r="12804" spans="1:4" ht="12.75" customHeight="1" x14ac:dyDescent="0.2">
      <c r="B12804" s="11" t="s">
        <v>16</v>
      </c>
      <c r="C12804" s="11"/>
    </row>
    <row r="12805" spans="1:4" ht="12.75" customHeight="1" x14ac:dyDescent="0.2">
      <c r="B12805" s="11" t="s">
        <v>13</v>
      </c>
      <c r="C12805" s="11" t="s">
        <v>2644</v>
      </c>
    </row>
    <row r="12806" spans="1:4" ht="12.75" customHeight="1" x14ac:dyDescent="0.2">
      <c r="B12806" s="11" t="s">
        <v>2603</v>
      </c>
      <c r="C12806" s="11" t="s">
        <v>2604</v>
      </c>
    </row>
    <row r="12807" spans="1:4" ht="12.75" customHeight="1" x14ac:dyDescent="0.2">
      <c r="B12807" s="11" t="s">
        <v>2605</v>
      </c>
      <c r="C12807" s="11" t="s">
        <v>24</v>
      </c>
    </row>
    <row r="12808" spans="1:4" ht="25.5" customHeight="1" x14ac:dyDescent="0.2">
      <c r="B12808" s="11" t="s">
        <v>2606</v>
      </c>
      <c r="C12808" s="16" t="s">
        <v>56</v>
      </c>
      <c r="D12808" s="6" t="str">
        <f>HYPERLINK("javascript:void(0)","klopfoló henger")</f>
        <v>klopfoló henger</v>
      </c>
    </row>
    <row r="12809" spans="1:4" ht="12.75" customHeight="1" x14ac:dyDescent="0.2">
      <c r="C12809" s="16" t="s">
        <v>309</v>
      </c>
      <c r="D12809" s="6" t="str">
        <f>HYPERLINK("javascript:void(0)","kincs")</f>
        <v>kincs</v>
      </c>
    </row>
    <row r="12810" spans="1:4" ht="12.75" customHeight="1" x14ac:dyDescent="0.2">
      <c r="B12810" s="2"/>
      <c r="C12810" s="15"/>
      <c r="D12810" s="2"/>
    </row>
    <row r="12811" spans="1:4" ht="12.75" customHeight="1" x14ac:dyDescent="0.2">
      <c r="B12811" s="2"/>
      <c r="C12811" s="15"/>
      <c r="D12811" s="2"/>
    </row>
    <row r="12812" spans="1:4" ht="12.75" customHeight="1" x14ac:dyDescent="0.2">
      <c r="A12812" s="13" t="s">
        <v>4613</v>
      </c>
      <c r="C12812" s="12"/>
    </row>
    <row r="12813" spans="1:4" ht="12.75" customHeight="1" x14ac:dyDescent="0.2">
      <c r="A12813" s="11"/>
      <c r="B12813" s="2"/>
      <c r="C12813" s="15"/>
      <c r="D12813" s="2"/>
    </row>
    <row r="12814" spans="1:4" ht="12.75" customHeight="1" x14ac:dyDescent="0.2">
      <c r="B12814" s="11" t="s">
        <v>0</v>
      </c>
      <c r="C12814" s="11" t="s">
        <v>78</v>
      </c>
    </row>
    <row r="12815" spans="1:4" ht="12.75" customHeight="1" x14ac:dyDescent="0.2">
      <c r="B12815" s="11" t="s">
        <v>2599</v>
      </c>
      <c r="C12815" s="11" t="s">
        <v>4614</v>
      </c>
    </row>
    <row r="12816" spans="1:4" ht="25.5" customHeight="1" x14ac:dyDescent="0.2">
      <c r="B12816" s="11" t="s">
        <v>2600</v>
      </c>
      <c r="C12816" s="11" t="s">
        <v>4615</v>
      </c>
    </row>
    <row r="12817" spans="1:4" ht="25.5" customHeight="1" x14ac:dyDescent="0.2">
      <c r="B12817" s="11" t="s">
        <v>2601</v>
      </c>
      <c r="C12817" s="11"/>
    </row>
    <row r="12818" spans="1:4" ht="12.75" customHeight="1" x14ac:dyDescent="0.2">
      <c r="B12818" s="11" t="s">
        <v>16</v>
      </c>
      <c r="C12818" s="11"/>
    </row>
    <row r="12819" spans="1:4" ht="12.75" customHeight="1" x14ac:dyDescent="0.2">
      <c r="B12819" s="11" t="s">
        <v>13</v>
      </c>
      <c r="C12819" s="11" t="s">
        <v>2644</v>
      </c>
    </row>
    <row r="12820" spans="1:4" ht="12.75" customHeight="1" x14ac:dyDescent="0.2">
      <c r="B12820" s="11" t="s">
        <v>2603</v>
      </c>
      <c r="C12820" s="11" t="s">
        <v>2604</v>
      </c>
    </row>
    <row r="12821" spans="1:4" ht="12.75" customHeight="1" x14ac:dyDescent="0.2">
      <c r="B12821" s="11" t="s">
        <v>2605</v>
      </c>
      <c r="C12821" s="11" t="s">
        <v>14</v>
      </c>
    </row>
    <row r="12822" spans="1:4" ht="25.5" customHeight="1" x14ac:dyDescent="0.2">
      <c r="B12822" s="11" t="s">
        <v>2606</v>
      </c>
      <c r="C12822" s="16" t="s">
        <v>44</v>
      </c>
      <c r="D12822" s="6" t="str">
        <f>HYPERLINK("javascript:void(0)","szivárványszív")</f>
        <v>szivárványszív</v>
      </c>
    </row>
    <row r="12823" spans="1:4" ht="12.75" customHeight="1" x14ac:dyDescent="0.2">
      <c r="B12823" s="2"/>
      <c r="C12823" s="15"/>
      <c r="D12823" s="2"/>
    </row>
    <row r="12824" spans="1:4" ht="12.75" customHeight="1" x14ac:dyDescent="0.2">
      <c r="B12824" s="2"/>
      <c r="C12824" s="15"/>
      <c r="D12824" s="2"/>
    </row>
    <row r="12825" spans="1:4" ht="12.75" customHeight="1" x14ac:dyDescent="0.2">
      <c r="A12825" s="13" t="s">
        <v>4616</v>
      </c>
      <c r="C12825" s="12"/>
    </row>
    <row r="12826" spans="1:4" ht="12.75" customHeight="1" x14ac:dyDescent="0.2">
      <c r="A12826" s="11"/>
      <c r="B12826" s="2"/>
      <c r="C12826" s="15"/>
      <c r="D12826" s="2"/>
    </row>
    <row r="12827" spans="1:4" ht="12.75" customHeight="1" x14ac:dyDescent="0.2">
      <c r="B12827" s="11" t="s">
        <v>0</v>
      </c>
      <c r="C12827" s="11" t="s">
        <v>78</v>
      </c>
    </row>
    <row r="12828" spans="1:4" ht="12.75" customHeight="1" x14ac:dyDescent="0.2">
      <c r="B12828" s="11" t="s">
        <v>2599</v>
      </c>
      <c r="C12828" s="11" t="s">
        <v>4617</v>
      </c>
    </row>
    <row r="12829" spans="1:4" ht="25.5" customHeight="1" x14ac:dyDescent="0.2">
      <c r="B12829" s="11" t="s">
        <v>2600</v>
      </c>
      <c r="C12829" s="11" t="s">
        <v>4618</v>
      </c>
    </row>
    <row r="12830" spans="1:4" ht="25.5" customHeight="1" x14ac:dyDescent="0.2">
      <c r="B12830" s="11" t="s">
        <v>2601</v>
      </c>
      <c r="C12830" s="11"/>
    </row>
    <row r="12831" spans="1:4" ht="12.75" customHeight="1" x14ac:dyDescent="0.2">
      <c r="B12831" s="11" t="s">
        <v>16</v>
      </c>
      <c r="C12831" s="11"/>
    </row>
    <row r="12832" spans="1:4" ht="12.75" customHeight="1" x14ac:dyDescent="0.2">
      <c r="B12832" s="11" t="s">
        <v>13</v>
      </c>
      <c r="C12832" s="11" t="s">
        <v>2602</v>
      </c>
    </row>
    <row r="12833" spans="1:4" ht="12.75" customHeight="1" x14ac:dyDescent="0.2">
      <c r="B12833" s="11" t="s">
        <v>2603</v>
      </c>
      <c r="C12833" s="11" t="s">
        <v>2604</v>
      </c>
    </row>
    <row r="12834" spans="1:4" ht="12.75" customHeight="1" x14ac:dyDescent="0.2">
      <c r="B12834" s="11" t="s">
        <v>2605</v>
      </c>
      <c r="C12834" s="11" t="s">
        <v>14</v>
      </c>
    </row>
    <row r="12835" spans="1:4" ht="12.75" customHeight="1" x14ac:dyDescent="0.2">
      <c r="B12835" s="11" t="s">
        <v>2606</v>
      </c>
      <c r="C12835" s="16" t="s">
        <v>44</v>
      </c>
      <c r="D12835" s="6" t="str">
        <f>HYPERLINK("javascript:void(0)","fókaprém")</f>
        <v>fókaprém</v>
      </c>
    </row>
    <row r="12836" spans="1:4" ht="12.75" customHeight="1" x14ac:dyDescent="0.2">
      <c r="B12836" s="2"/>
      <c r="C12836" s="15"/>
      <c r="D12836" s="2"/>
    </row>
    <row r="12837" spans="1:4" ht="12.75" customHeight="1" x14ac:dyDescent="0.2">
      <c r="B12837" s="2"/>
      <c r="C12837" s="15"/>
      <c r="D12837" s="2"/>
    </row>
    <row r="12838" spans="1:4" ht="12.75" customHeight="1" x14ac:dyDescent="0.2">
      <c r="A12838" s="13" t="s">
        <v>4619</v>
      </c>
      <c r="C12838" s="12"/>
    </row>
    <row r="12839" spans="1:4" ht="12.75" customHeight="1" x14ac:dyDescent="0.2">
      <c r="A12839" s="11"/>
      <c r="B12839" s="2"/>
      <c r="C12839" s="15"/>
      <c r="D12839" s="2"/>
    </row>
    <row r="12840" spans="1:4" ht="12.75" customHeight="1" x14ac:dyDescent="0.2">
      <c r="B12840" s="11" t="s">
        <v>0</v>
      </c>
      <c r="C12840" s="11" t="s">
        <v>78</v>
      </c>
    </row>
    <row r="12841" spans="1:4" ht="12.75" customHeight="1" x14ac:dyDescent="0.2">
      <c r="B12841" s="11" t="s">
        <v>2599</v>
      </c>
      <c r="C12841" s="11" t="s">
        <v>4620</v>
      </c>
    </row>
    <row r="12842" spans="1:4" ht="25.5" customHeight="1" x14ac:dyDescent="0.2">
      <c r="B12842" s="11" t="s">
        <v>2600</v>
      </c>
      <c r="C12842" s="11" t="s">
        <v>4621</v>
      </c>
    </row>
    <row r="12843" spans="1:4" ht="25.5" customHeight="1" x14ac:dyDescent="0.2">
      <c r="B12843" s="11" t="s">
        <v>2601</v>
      </c>
      <c r="C12843" s="11"/>
    </row>
    <row r="12844" spans="1:4" ht="12.75" customHeight="1" x14ac:dyDescent="0.2">
      <c r="B12844" s="11" t="s">
        <v>16</v>
      </c>
      <c r="C12844" s="11"/>
    </row>
    <row r="12845" spans="1:4" ht="12.75" customHeight="1" x14ac:dyDescent="0.2">
      <c r="B12845" s="11" t="s">
        <v>13</v>
      </c>
      <c r="C12845" s="11" t="s">
        <v>2602</v>
      </c>
    </row>
    <row r="12846" spans="1:4" ht="12.75" customHeight="1" x14ac:dyDescent="0.2">
      <c r="B12846" s="11" t="s">
        <v>2603</v>
      </c>
      <c r="C12846" s="11" t="s">
        <v>2604</v>
      </c>
    </row>
    <row r="12847" spans="1:4" ht="12.75" customHeight="1" x14ac:dyDescent="0.2">
      <c r="B12847" s="11" t="s">
        <v>2605</v>
      </c>
      <c r="C12847" s="11" t="s">
        <v>24</v>
      </c>
    </row>
    <row r="12848" spans="1:4" ht="12.75" customHeight="1" x14ac:dyDescent="0.2">
      <c r="B12848" s="11" t="s">
        <v>2606</v>
      </c>
      <c r="C12848" s="16" t="s">
        <v>44</v>
      </c>
      <c r="D12848" s="6" t="str">
        <f>HYPERLINK("javascript:void(0)","kispárna")</f>
        <v>kispárna</v>
      </c>
    </row>
    <row r="12849" spans="1:4" ht="12.75" customHeight="1" x14ac:dyDescent="0.2">
      <c r="B12849" s="2"/>
      <c r="C12849" s="15"/>
      <c r="D12849" s="2"/>
    </row>
    <row r="12850" spans="1:4" ht="12.75" customHeight="1" x14ac:dyDescent="0.2">
      <c r="B12850" s="2"/>
      <c r="C12850" s="15"/>
      <c r="D12850" s="2"/>
    </row>
    <row r="12851" spans="1:4" ht="12.75" customHeight="1" x14ac:dyDescent="0.2">
      <c r="A12851" s="13" t="s">
        <v>4622</v>
      </c>
      <c r="C12851" s="12"/>
    </row>
    <row r="12852" spans="1:4" ht="12.75" customHeight="1" x14ac:dyDescent="0.2">
      <c r="A12852" s="11"/>
      <c r="B12852" s="2"/>
      <c r="C12852" s="15"/>
      <c r="D12852" s="2"/>
    </row>
    <row r="12853" spans="1:4" ht="12.75" customHeight="1" x14ac:dyDescent="0.2">
      <c r="B12853" s="11" t="s">
        <v>0</v>
      </c>
      <c r="C12853" s="11" t="s">
        <v>78</v>
      </c>
    </row>
    <row r="12854" spans="1:4" ht="12.75" customHeight="1" x14ac:dyDescent="0.2">
      <c r="B12854" s="11" t="s">
        <v>2599</v>
      </c>
      <c r="C12854" s="11" t="s">
        <v>4623</v>
      </c>
    </row>
    <row r="12855" spans="1:4" ht="25.5" customHeight="1" x14ac:dyDescent="0.2">
      <c r="B12855" s="11" t="s">
        <v>2600</v>
      </c>
      <c r="C12855" s="11" t="s">
        <v>4624</v>
      </c>
    </row>
    <row r="12856" spans="1:4" ht="25.5" customHeight="1" x14ac:dyDescent="0.2">
      <c r="B12856" s="11" t="s">
        <v>2601</v>
      </c>
      <c r="C12856" s="11"/>
    </row>
    <row r="12857" spans="1:4" ht="12.75" customHeight="1" x14ac:dyDescent="0.2">
      <c r="B12857" s="11" t="s">
        <v>16</v>
      </c>
      <c r="C12857" s="11"/>
    </row>
    <row r="12858" spans="1:4" ht="12.75" customHeight="1" x14ac:dyDescent="0.2">
      <c r="B12858" s="11" t="s">
        <v>13</v>
      </c>
      <c r="C12858" s="11" t="s">
        <v>2602</v>
      </c>
    </row>
    <row r="12859" spans="1:4" ht="12.75" customHeight="1" x14ac:dyDescent="0.2">
      <c r="B12859" s="11" t="s">
        <v>2603</v>
      </c>
      <c r="C12859" s="11" t="s">
        <v>2604</v>
      </c>
    </row>
    <row r="12860" spans="1:4" ht="12.75" customHeight="1" x14ac:dyDescent="0.2">
      <c r="B12860" s="11" t="s">
        <v>2605</v>
      </c>
      <c r="C12860" s="11" t="s">
        <v>14</v>
      </c>
    </row>
    <row r="12861" spans="1:4" ht="12.75" customHeight="1" x14ac:dyDescent="0.2">
      <c r="B12861" s="11" t="s">
        <v>2606</v>
      </c>
      <c r="C12861" s="16" t="s">
        <v>265</v>
      </c>
      <c r="D12861" s="6" t="str">
        <f>HYPERLINK("javascript:void(0)","kincs")</f>
        <v>kincs</v>
      </c>
    </row>
    <row r="12862" spans="1:4" ht="12.75" customHeight="1" x14ac:dyDescent="0.2">
      <c r="B12862" s="2"/>
      <c r="C12862" s="15"/>
      <c r="D12862" s="2"/>
    </row>
    <row r="12863" spans="1:4" ht="12.75" customHeight="1" x14ac:dyDescent="0.2">
      <c r="B12863" s="2"/>
      <c r="C12863" s="15"/>
      <c r="D12863" s="2"/>
    </row>
    <row r="12864" spans="1:4" ht="12.75" customHeight="1" x14ac:dyDescent="0.2">
      <c r="A12864" s="13" t="s">
        <v>4625</v>
      </c>
      <c r="C12864" s="12"/>
    </row>
    <row r="12865" spans="1:4" ht="12.75" customHeight="1" x14ac:dyDescent="0.2">
      <c r="A12865" s="11"/>
      <c r="B12865" s="2"/>
      <c r="C12865" s="15"/>
      <c r="D12865" s="2"/>
    </row>
    <row r="12866" spans="1:4" ht="12.75" customHeight="1" x14ac:dyDescent="0.2">
      <c r="B12866" s="11" t="s">
        <v>0</v>
      </c>
      <c r="C12866" s="11" t="s">
        <v>78</v>
      </c>
    </row>
    <row r="12867" spans="1:4" ht="12.75" customHeight="1" x14ac:dyDescent="0.2">
      <c r="B12867" s="11" t="s">
        <v>2599</v>
      </c>
      <c r="C12867" s="11" t="s">
        <v>3616</v>
      </c>
    </row>
    <row r="12868" spans="1:4" ht="25.5" customHeight="1" x14ac:dyDescent="0.2">
      <c r="B12868" s="11" t="s">
        <v>2600</v>
      </c>
      <c r="C12868" s="11" t="s">
        <v>4626</v>
      </c>
    </row>
    <row r="12869" spans="1:4" ht="25.5" customHeight="1" x14ac:dyDescent="0.2">
      <c r="B12869" s="11" t="s">
        <v>2601</v>
      </c>
      <c r="C12869" s="11"/>
    </row>
    <row r="12870" spans="1:4" ht="12.75" customHeight="1" x14ac:dyDescent="0.2">
      <c r="B12870" s="11" t="s">
        <v>16</v>
      </c>
      <c r="C12870" s="11"/>
    </row>
    <row r="12871" spans="1:4" ht="12.75" customHeight="1" x14ac:dyDescent="0.2">
      <c r="B12871" s="11" t="s">
        <v>13</v>
      </c>
      <c r="C12871" s="11" t="s">
        <v>2644</v>
      </c>
    </row>
    <row r="12872" spans="1:4" ht="12.75" customHeight="1" x14ac:dyDescent="0.2">
      <c r="B12872" s="11" t="s">
        <v>2603</v>
      </c>
      <c r="C12872" s="11" t="s">
        <v>2604</v>
      </c>
    </row>
    <row r="12873" spans="1:4" ht="12.75" customHeight="1" x14ac:dyDescent="0.2">
      <c r="B12873" s="11" t="s">
        <v>2605</v>
      </c>
      <c r="C12873" s="11" t="s">
        <v>24</v>
      </c>
    </row>
    <row r="12874" spans="1:4" ht="12.75" customHeight="1" x14ac:dyDescent="0.2">
      <c r="B12874" s="11" t="s">
        <v>2606</v>
      </c>
      <c r="C12874" s="16" t="s">
        <v>139</v>
      </c>
      <c r="D12874" s="6" t="str">
        <f>HYPERLINK("javascript:void(0)","rubin")</f>
        <v>rubin</v>
      </c>
    </row>
    <row r="12875" spans="1:4" ht="12.75" customHeight="1" x14ac:dyDescent="0.2">
      <c r="C12875" s="16" t="s">
        <v>139</v>
      </c>
      <c r="D12875" s="6" t="str">
        <f>HYPERLINK("javascript:void(0)","kincs")</f>
        <v>kincs</v>
      </c>
    </row>
    <row r="12876" spans="1:4" ht="12.75" customHeight="1" x14ac:dyDescent="0.2">
      <c r="B12876" s="2"/>
      <c r="C12876" s="15"/>
      <c r="D12876" s="2"/>
    </row>
    <row r="12877" spans="1:4" ht="12.75" customHeight="1" x14ac:dyDescent="0.2">
      <c r="B12877" s="2"/>
      <c r="C12877" s="15"/>
      <c r="D12877" s="2"/>
    </row>
    <row r="12878" spans="1:4" ht="12.75" customHeight="1" x14ac:dyDescent="0.2">
      <c r="A12878" s="13" t="s">
        <v>4627</v>
      </c>
      <c r="C12878" s="12"/>
    </row>
    <row r="12879" spans="1:4" ht="12.75" customHeight="1" x14ac:dyDescent="0.2">
      <c r="A12879" s="11"/>
      <c r="B12879" s="2"/>
      <c r="C12879" s="15"/>
      <c r="D12879" s="2"/>
    </row>
    <row r="12880" spans="1:4" ht="12.75" customHeight="1" x14ac:dyDescent="0.2">
      <c r="B12880" s="11" t="s">
        <v>0</v>
      </c>
      <c r="C12880" s="11" t="s">
        <v>78</v>
      </c>
    </row>
    <row r="12881" spans="1:4" ht="12.75" customHeight="1" x14ac:dyDescent="0.2">
      <c r="B12881" s="11" t="s">
        <v>2599</v>
      </c>
      <c r="C12881" s="11" t="s">
        <v>2564</v>
      </c>
    </row>
    <row r="12882" spans="1:4" ht="25.5" customHeight="1" x14ac:dyDescent="0.2">
      <c r="B12882" s="11" t="s">
        <v>2600</v>
      </c>
      <c r="C12882" s="11" t="s">
        <v>4628</v>
      </c>
    </row>
    <row r="12883" spans="1:4" ht="25.5" customHeight="1" x14ac:dyDescent="0.2">
      <c r="B12883" s="11" t="s">
        <v>2601</v>
      </c>
      <c r="C12883" s="11"/>
    </row>
    <row r="12884" spans="1:4" ht="12.75" customHeight="1" x14ac:dyDescent="0.2">
      <c r="B12884" s="11" t="s">
        <v>16</v>
      </c>
      <c r="C12884" s="11"/>
    </row>
    <row r="12885" spans="1:4" ht="12.75" customHeight="1" x14ac:dyDescent="0.2">
      <c r="B12885" s="11" t="s">
        <v>13</v>
      </c>
      <c r="C12885" s="11" t="s">
        <v>2602</v>
      </c>
    </row>
    <row r="12886" spans="1:4" ht="12.75" customHeight="1" x14ac:dyDescent="0.2">
      <c r="B12886" s="11" t="s">
        <v>2603</v>
      </c>
      <c r="C12886" s="11" t="s">
        <v>2604</v>
      </c>
    </row>
    <row r="12887" spans="1:4" ht="12.75" customHeight="1" x14ac:dyDescent="0.2">
      <c r="B12887" s="11" t="s">
        <v>2605</v>
      </c>
      <c r="C12887" s="11" t="s">
        <v>24</v>
      </c>
    </row>
    <row r="12888" spans="1:4" ht="12.75" customHeight="1" x14ac:dyDescent="0.2">
      <c r="B12888" s="11" t="s">
        <v>2606</v>
      </c>
      <c r="C12888" s="16" t="s">
        <v>228</v>
      </c>
      <c r="D12888" s="6" t="str">
        <f>HYPERLINK("javascript:void(0)","kincs")</f>
        <v>kincs</v>
      </c>
    </row>
    <row r="12889" spans="1:4" ht="12.75" customHeight="1" x14ac:dyDescent="0.2">
      <c r="B12889" s="2"/>
      <c r="C12889" s="15"/>
      <c r="D12889" s="2"/>
    </row>
    <row r="12890" spans="1:4" ht="12.75" customHeight="1" x14ac:dyDescent="0.2">
      <c r="B12890" s="2"/>
      <c r="C12890" s="15"/>
      <c r="D12890" s="2"/>
    </row>
    <row r="12891" spans="1:4" ht="12.75" customHeight="1" x14ac:dyDescent="0.2">
      <c r="A12891" s="13" t="s">
        <v>4569</v>
      </c>
      <c r="C12891" s="12"/>
      <c r="D12891" s="2"/>
    </row>
    <row r="12892" spans="1:4" ht="12.75" customHeight="1" x14ac:dyDescent="0.2">
      <c r="A12892" s="11"/>
      <c r="B12892" s="2"/>
      <c r="C12892" s="15"/>
      <c r="D12892" s="2"/>
    </row>
    <row r="12893" spans="1:4" ht="12.75" customHeight="1" x14ac:dyDescent="0.2">
      <c r="B12893" s="11" t="s">
        <v>0</v>
      </c>
      <c r="C12893" s="17" t="s">
        <v>78</v>
      </c>
      <c r="D12893" s="2"/>
    </row>
    <row r="12894" spans="1:4" ht="12.75" customHeight="1" x14ac:dyDescent="0.2">
      <c r="B12894" s="11" t="s">
        <v>2599</v>
      </c>
      <c r="C12894" s="17" t="s">
        <v>4570</v>
      </c>
      <c r="D12894" s="2"/>
    </row>
    <row r="12895" spans="1:4" ht="25.5" customHeight="1" x14ac:dyDescent="0.2">
      <c r="B12895" s="11" t="s">
        <v>2600</v>
      </c>
      <c r="C12895" s="17" t="s">
        <v>4629</v>
      </c>
      <c r="D12895" s="2"/>
    </row>
    <row r="12896" spans="1:4" ht="25.5" customHeight="1" x14ac:dyDescent="0.2">
      <c r="B12896" s="11" t="s">
        <v>2601</v>
      </c>
      <c r="C12896" s="17"/>
      <c r="D12896" s="2"/>
    </row>
    <row r="12897" spans="1:4" ht="12.75" customHeight="1" x14ac:dyDescent="0.2">
      <c r="B12897" s="11" t="s">
        <v>16</v>
      </c>
      <c r="C12897" s="17"/>
      <c r="D12897" s="2"/>
    </row>
    <row r="12898" spans="1:4" ht="12.75" customHeight="1" x14ac:dyDescent="0.2">
      <c r="B12898" s="11" t="s">
        <v>13</v>
      </c>
      <c r="C12898" s="17" t="s">
        <v>2602</v>
      </c>
      <c r="D12898" s="2"/>
    </row>
    <row r="12899" spans="1:4" ht="25.5" customHeight="1" x14ac:dyDescent="0.2">
      <c r="B12899" s="11" t="s">
        <v>2603</v>
      </c>
      <c r="C12899" s="17" t="s">
        <v>2971</v>
      </c>
      <c r="D12899" s="2"/>
    </row>
    <row r="12900" spans="1:4" ht="12.75" customHeight="1" x14ac:dyDescent="0.2">
      <c r="B12900" s="11" t="s">
        <v>2605</v>
      </c>
      <c r="C12900" s="17" t="s">
        <v>14</v>
      </c>
      <c r="D12900" s="2"/>
    </row>
    <row r="12901" spans="1:4" ht="12.75" customHeight="1" x14ac:dyDescent="0.2">
      <c r="B12901" s="11" t="s">
        <v>2606</v>
      </c>
      <c r="C12901" s="16" t="s">
        <v>19</v>
      </c>
      <c r="D12901" s="2"/>
    </row>
    <row r="12902" spans="1:4" ht="12.75" customHeight="1" x14ac:dyDescent="0.2">
      <c r="B12902" s="2"/>
      <c r="C12902" s="15"/>
      <c r="D12902" s="2"/>
    </row>
    <row r="12903" spans="1:4" ht="12.75" customHeight="1" x14ac:dyDescent="0.2">
      <c r="B12903" s="2"/>
      <c r="C12903" s="15"/>
      <c r="D12903" s="2"/>
    </row>
    <row r="12904" spans="1:4" ht="12.75" customHeight="1" x14ac:dyDescent="0.2">
      <c r="A12904" s="13" t="s">
        <v>4572</v>
      </c>
      <c r="C12904" s="12"/>
      <c r="D12904" s="2"/>
    </row>
    <row r="12905" spans="1:4" ht="12.75" customHeight="1" x14ac:dyDescent="0.2">
      <c r="A12905" s="11"/>
      <c r="B12905" s="2"/>
      <c r="C12905" s="15"/>
      <c r="D12905" s="2"/>
    </row>
    <row r="12906" spans="1:4" ht="12.75" customHeight="1" x14ac:dyDescent="0.2">
      <c r="B12906" s="11" t="s">
        <v>0</v>
      </c>
      <c r="C12906" s="17" t="s">
        <v>78</v>
      </c>
      <c r="D12906" s="2"/>
    </row>
    <row r="12907" spans="1:4" ht="12.75" customHeight="1" x14ac:dyDescent="0.2">
      <c r="B12907" s="11" t="s">
        <v>2599</v>
      </c>
      <c r="C12907" s="17" t="s">
        <v>706</v>
      </c>
      <c r="D12907" s="2"/>
    </row>
    <row r="12908" spans="1:4" ht="25.5" customHeight="1" x14ac:dyDescent="0.2">
      <c r="B12908" s="11" t="s">
        <v>2600</v>
      </c>
      <c r="C12908" s="17" t="s">
        <v>4630</v>
      </c>
      <c r="D12908" s="2"/>
    </row>
    <row r="12909" spans="1:4" ht="25.5" customHeight="1" x14ac:dyDescent="0.2">
      <c r="B12909" s="11" t="s">
        <v>2601</v>
      </c>
      <c r="C12909" s="17"/>
      <c r="D12909" s="2"/>
    </row>
    <row r="12910" spans="1:4" ht="12.75" customHeight="1" x14ac:dyDescent="0.2">
      <c r="B12910" s="11" t="s">
        <v>16</v>
      </c>
      <c r="C12910" s="17"/>
      <c r="D12910" s="2"/>
    </row>
    <row r="12911" spans="1:4" ht="12.75" customHeight="1" x14ac:dyDescent="0.2">
      <c r="B12911" s="11" t="s">
        <v>13</v>
      </c>
      <c r="C12911" s="17" t="s">
        <v>2644</v>
      </c>
      <c r="D12911" s="2"/>
    </row>
    <row r="12912" spans="1:4" ht="25.5" customHeight="1" x14ac:dyDescent="0.2">
      <c r="B12912" s="11" t="s">
        <v>2603</v>
      </c>
      <c r="C12912" s="17" t="s">
        <v>2971</v>
      </c>
      <c r="D12912" s="2"/>
    </row>
    <row r="12913" spans="1:4" ht="12.75" customHeight="1" x14ac:dyDescent="0.2">
      <c r="B12913" s="11" t="s">
        <v>2605</v>
      </c>
      <c r="C12913" s="17" t="s">
        <v>14</v>
      </c>
      <c r="D12913" s="2"/>
    </row>
    <row r="12914" spans="1:4" ht="12.75" customHeight="1" x14ac:dyDescent="0.2">
      <c r="B12914" s="11" t="s">
        <v>2606</v>
      </c>
      <c r="C12914" s="16" t="s">
        <v>19</v>
      </c>
      <c r="D12914" s="2"/>
    </row>
    <row r="12915" spans="1:4" ht="12.75" customHeight="1" x14ac:dyDescent="0.2">
      <c r="B12915" s="2"/>
      <c r="C12915" s="15"/>
      <c r="D12915" s="2"/>
    </row>
    <row r="12916" spans="1:4" ht="12.75" customHeight="1" x14ac:dyDescent="0.2">
      <c r="B12916" s="2"/>
      <c r="C12916" s="15"/>
      <c r="D12916" s="2"/>
    </row>
    <row r="12917" spans="1:4" ht="12.75" customHeight="1" x14ac:dyDescent="0.2">
      <c r="A12917" s="13" t="s">
        <v>4574</v>
      </c>
      <c r="C12917" s="12"/>
      <c r="D12917" s="2"/>
    </row>
    <row r="12918" spans="1:4" ht="12.75" customHeight="1" x14ac:dyDescent="0.2">
      <c r="A12918" s="11"/>
      <c r="B12918" s="2"/>
      <c r="C12918" s="15"/>
      <c r="D12918" s="2"/>
    </row>
    <row r="12919" spans="1:4" ht="12.75" customHeight="1" x14ac:dyDescent="0.2">
      <c r="B12919" s="11" t="s">
        <v>0</v>
      </c>
      <c r="C12919" s="17" t="s">
        <v>78</v>
      </c>
      <c r="D12919" s="2"/>
    </row>
    <row r="12920" spans="1:4" ht="12.75" customHeight="1" x14ac:dyDescent="0.2">
      <c r="B12920" s="11" t="s">
        <v>2599</v>
      </c>
      <c r="C12920" s="17" t="s">
        <v>4575</v>
      </c>
      <c r="D12920" s="2"/>
    </row>
    <row r="12921" spans="1:4" ht="25.5" customHeight="1" x14ac:dyDescent="0.2">
      <c r="B12921" s="11" t="s">
        <v>2600</v>
      </c>
      <c r="C12921" s="17" t="s">
        <v>4631</v>
      </c>
      <c r="D12921" s="2"/>
    </row>
    <row r="12922" spans="1:4" ht="25.5" customHeight="1" x14ac:dyDescent="0.2">
      <c r="B12922" s="11" t="s">
        <v>2601</v>
      </c>
      <c r="C12922" s="17"/>
      <c r="D12922" s="2"/>
    </row>
    <row r="12923" spans="1:4" ht="12.75" customHeight="1" x14ac:dyDescent="0.2">
      <c r="B12923" s="11" t="s">
        <v>16</v>
      </c>
      <c r="C12923" s="17"/>
      <c r="D12923" s="2"/>
    </row>
    <row r="12924" spans="1:4" ht="12.75" customHeight="1" x14ac:dyDescent="0.2">
      <c r="B12924" s="11" t="s">
        <v>13</v>
      </c>
      <c r="C12924" s="17" t="s">
        <v>2602</v>
      </c>
      <c r="D12924" s="2"/>
    </row>
    <row r="12925" spans="1:4" ht="25.5" customHeight="1" x14ac:dyDescent="0.2">
      <c r="B12925" s="11" t="s">
        <v>2603</v>
      </c>
      <c r="C12925" s="17" t="s">
        <v>2971</v>
      </c>
      <c r="D12925" s="2"/>
    </row>
    <row r="12926" spans="1:4" ht="12.75" customHeight="1" x14ac:dyDescent="0.2">
      <c r="B12926" s="11" t="s">
        <v>2605</v>
      </c>
      <c r="C12926" s="17" t="s">
        <v>14</v>
      </c>
      <c r="D12926" s="2"/>
    </row>
    <row r="12927" spans="1:4" ht="12.75" customHeight="1" x14ac:dyDescent="0.2">
      <c r="B12927" s="11" t="s">
        <v>2606</v>
      </c>
      <c r="C12927" s="16" t="s">
        <v>19</v>
      </c>
      <c r="D12927" s="2"/>
    </row>
    <row r="12928" spans="1:4" ht="12.75" customHeight="1" x14ac:dyDescent="0.2">
      <c r="B12928" s="2"/>
      <c r="C12928" s="15"/>
      <c r="D12928" s="2"/>
    </row>
    <row r="12929" spans="1:4" ht="12.75" customHeight="1" x14ac:dyDescent="0.2">
      <c r="B12929" s="2"/>
      <c r="C12929" s="15"/>
      <c r="D12929" s="2"/>
    </row>
    <row r="12930" spans="1:4" ht="12.75" customHeight="1" x14ac:dyDescent="0.2">
      <c r="A12930" s="13" t="s">
        <v>4547</v>
      </c>
      <c r="C12930" s="12"/>
      <c r="D12930" s="2"/>
    </row>
    <row r="12931" spans="1:4" ht="12.75" customHeight="1" x14ac:dyDescent="0.2">
      <c r="A12931" s="11"/>
      <c r="B12931" s="2"/>
      <c r="C12931" s="15"/>
      <c r="D12931" s="2"/>
    </row>
    <row r="12932" spans="1:4" ht="12.75" customHeight="1" x14ac:dyDescent="0.2">
      <c r="B12932" s="11" t="s">
        <v>0</v>
      </c>
      <c r="C12932" s="17" t="s">
        <v>73</v>
      </c>
      <c r="D12932" s="2"/>
    </row>
    <row r="12933" spans="1:4" ht="12.75" customHeight="1" x14ac:dyDescent="0.2">
      <c r="B12933" s="11" t="s">
        <v>2599</v>
      </c>
      <c r="C12933" s="17" t="s">
        <v>4548</v>
      </c>
      <c r="D12933" s="2"/>
    </row>
    <row r="12934" spans="1:4" ht="25.5" customHeight="1" x14ac:dyDescent="0.2">
      <c r="B12934" s="11" t="s">
        <v>2600</v>
      </c>
      <c r="C12934" s="17" t="s">
        <v>4632</v>
      </c>
      <c r="D12934" s="2"/>
    </row>
    <row r="12935" spans="1:4" ht="25.5" customHeight="1" x14ac:dyDescent="0.2">
      <c r="B12935" s="11" t="s">
        <v>2601</v>
      </c>
      <c r="C12935" s="17"/>
      <c r="D12935" s="2"/>
    </row>
    <row r="12936" spans="1:4" ht="12.75" customHeight="1" x14ac:dyDescent="0.2">
      <c r="B12936" s="11" t="s">
        <v>16</v>
      </c>
      <c r="C12936" s="17"/>
      <c r="D12936" s="2"/>
    </row>
    <row r="12937" spans="1:4" ht="12.75" customHeight="1" x14ac:dyDescent="0.2">
      <c r="B12937" s="11" t="s">
        <v>13</v>
      </c>
      <c r="C12937" s="17" t="s">
        <v>2644</v>
      </c>
      <c r="D12937" s="2"/>
    </row>
    <row r="12938" spans="1:4" ht="25.5" customHeight="1" x14ac:dyDescent="0.2">
      <c r="B12938" s="11" t="s">
        <v>2603</v>
      </c>
      <c r="C12938" s="17" t="s">
        <v>2971</v>
      </c>
      <c r="D12938" s="2"/>
    </row>
    <row r="12939" spans="1:4" ht="12.75" customHeight="1" x14ac:dyDescent="0.2">
      <c r="B12939" s="11" t="s">
        <v>2605</v>
      </c>
      <c r="C12939" s="17" t="s">
        <v>14</v>
      </c>
      <c r="D12939" s="2"/>
    </row>
    <row r="12940" spans="1:4" ht="12.75" customHeight="1" x14ac:dyDescent="0.2">
      <c r="B12940" s="11" t="s">
        <v>2606</v>
      </c>
      <c r="C12940" s="16" t="s">
        <v>19</v>
      </c>
      <c r="D12940" s="2"/>
    </row>
    <row r="12941" spans="1:4" ht="12.75" customHeight="1" x14ac:dyDescent="0.2">
      <c r="B12941" s="2"/>
      <c r="C12941" s="15"/>
      <c r="D12941" s="2"/>
    </row>
    <row r="12942" spans="1:4" ht="12.75" customHeight="1" x14ac:dyDescent="0.2">
      <c r="B12942" s="2"/>
      <c r="C12942" s="15"/>
      <c r="D12942" s="2"/>
    </row>
    <row r="12943" spans="1:4" ht="12.75" customHeight="1" x14ac:dyDescent="0.2">
      <c r="A12943" s="13" t="s">
        <v>4633</v>
      </c>
      <c r="C12943" s="12"/>
    </row>
    <row r="12944" spans="1:4" ht="12.75" customHeight="1" x14ac:dyDescent="0.2">
      <c r="A12944" s="11"/>
      <c r="B12944" s="2"/>
      <c r="C12944" s="15"/>
      <c r="D12944" s="2"/>
    </row>
    <row r="12945" spans="1:4" ht="12.75" customHeight="1" x14ac:dyDescent="0.2">
      <c r="B12945" s="11" t="s">
        <v>0</v>
      </c>
      <c r="C12945" s="11" t="s">
        <v>73</v>
      </c>
    </row>
    <row r="12946" spans="1:4" ht="12.75" customHeight="1" x14ac:dyDescent="0.2">
      <c r="B12946" s="11" t="s">
        <v>2599</v>
      </c>
      <c r="C12946" s="11" t="s">
        <v>4634</v>
      </c>
    </row>
    <row r="12947" spans="1:4" ht="25.5" customHeight="1" x14ac:dyDescent="0.2">
      <c r="B12947" s="11" t="s">
        <v>2600</v>
      </c>
      <c r="C12947" s="11" t="s">
        <v>4635</v>
      </c>
    </row>
    <row r="12948" spans="1:4" ht="25.5" customHeight="1" x14ac:dyDescent="0.2">
      <c r="B12948" s="11" t="s">
        <v>2601</v>
      </c>
      <c r="C12948" s="11"/>
    </row>
    <row r="12949" spans="1:4" ht="12.75" customHeight="1" x14ac:dyDescent="0.2">
      <c r="B12949" s="11" t="s">
        <v>16</v>
      </c>
      <c r="C12949" s="11"/>
    </row>
    <row r="12950" spans="1:4" ht="12.75" customHeight="1" x14ac:dyDescent="0.2">
      <c r="B12950" s="11" t="s">
        <v>13</v>
      </c>
      <c r="C12950" s="11" t="s">
        <v>2602</v>
      </c>
    </row>
    <row r="12951" spans="1:4" ht="12.75" customHeight="1" x14ac:dyDescent="0.2">
      <c r="B12951" s="11" t="s">
        <v>2603</v>
      </c>
      <c r="C12951" s="11" t="s">
        <v>2604</v>
      </c>
    </row>
    <row r="12952" spans="1:4" ht="12.75" customHeight="1" x14ac:dyDescent="0.2">
      <c r="B12952" s="11" t="s">
        <v>2605</v>
      </c>
      <c r="C12952" s="11" t="s">
        <v>14</v>
      </c>
    </row>
    <row r="12953" spans="1:4" ht="12.75" customHeight="1" x14ac:dyDescent="0.2">
      <c r="B12953" s="11" t="s">
        <v>2606</v>
      </c>
      <c r="C12953" s="16" t="s">
        <v>290</v>
      </c>
      <c r="D12953" s="6" t="str">
        <f>HYPERLINK("javascript:void(0)","kincs")</f>
        <v>kincs</v>
      </c>
    </row>
    <row r="12954" spans="1:4" ht="12.75" customHeight="1" x14ac:dyDescent="0.2">
      <c r="B12954" s="2"/>
      <c r="C12954" s="15"/>
      <c r="D12954" s="2"/>
    </row>
    <row r="12955" spans="1:4" ht="12.75" customHeight="1" x14ac:dyDescent="0.2">
      <c r="B12955" s="2"/>
      <c r="C12955" s="15"/>
      <c r="D12955" s="2"/>
    </row>
    <row r="12956" spans="1:4" ht="12.75" customHeight="1" x14ac:dyDescent="0.2">
      <c r="A12956" s="13" t="s">
        <v>4636</v>
      </c>
      <c r="C12956" s="12"/>
    </row>
    <row r="12957" spans="1:4" ht="12.75" customHeight="1" x14ac:dyDescent="0.2">
      <c r="A12957" s="11"/>
      <c r="B12957" s="2"/>
      <c r="C12957" s="15"/>
      <c r="D12957" s="2"/>
    </row>
    <row r="12958" spans="1:4" ht="12.75" customHeight="1" x14ac:dyDescent="0.2">
      <c r="B12958" s="11" t="s">
        <v>0</v>
      </c>
      <c r="C12958" s="11" t="s">
        <v>73</v>
      </c>
    </row>
    <row r="12959" spans="1:4" ht="12.75" customHeight="1" x14ac:dyDescent="0.2">
      <c r="B12959" s="11" t="s">
        <v>2599</v>
      </c>
      <c r="C12959" s="11" t="s">
        <v>4637</v>
      </c>
    </row>
    <row r="12960" spans="1:4" ht="25.5" customHeight="1" x14ac:dyDescent="0.2">
      <c r="B12960" s="11" t="s">
        <v>2600</v>
      </c>
      <c r="C12960" s="11" t="s">
        <v>4638</v>
      </c>
    </row>
    <row r="12961" spans="1:4" ht="25.5" customHeight="1" x14ac:dyDescent="0.2">
      <c r="B12961" s="11" t="s">
        <v>2601</v>
      </c>
      <c r="C12961" s="11"/>
    </row>
    <row r="12962" spans="1:4" ht="12.75" customHeight="1" x14ac:dyDescent="0.2">
      <c r="B12962" s="11" t="s">
        <v>16</v>
      </c>
      <c r="C12962" s="11"/>
    </row>
    <row r="12963" spans="1:4" ht="12.75" customHeight="1" x14ac:dyDescent="0.2">
      <c r="B12963" s="11" t="s">
        <v>13</v>
      </c>
      <c r="C12963" s="11" t="s">
        <v>2644</v>
      </c>
    </row>
    <row r="12964" spans="1:4" ht="12.75" customHeight="1" x14ac:dyDescent="0.2">
      <c r="B12964" s="11" t="s">
        <v>2603</v>
      </c>
      <c r="C12964" s="11" t="s">
        <v>2604</v>
      </c>
    </row>
    <row r="12965" spans="1:4" ht="12.75" customHeight="1" x14ac:dyDescent="0.2">
      <c r="B12965" s="11" t="s">
        <v>2605</v>
      </c>
      <c r="C12965" s="11" t="s">
        <v>24</v>
      </c>
    </row>
    <row r="12966" spans="1:4" ht="12.75" customHeight="1" x14ac:dyDescent="0.2">
      <c r="B12966" s="11" t="s">
        <v>2606</v>
      </c>
      <c r="C12966" s="16" t="s">
        <v>139</v>
      </c>
      <c r="D12966" s="6" t="str">
        <f>HYPERLINK("javascript:void(0)","kincs")</f>
        <v>kincs</v>
      </c>
    </row>
    <row r="12967" spans="1:4" ht="12.75" customHeight="1" x14ac:dyDescent="0.2">
      <c r="B12967" s="2"/>
      <c r="C12967" s="15"/>
      <c r="D12967" s="2"/>
    </row>
    <row r="12968" spans="1:4" ht="12.75" customHeight="1" x14ac:dyDescent="0.2">
      <c r="B12968" s="2"/>
      <c r="C12968" s="15"/>
      <c r="D12968" s="2"/>
    </row>
    <row r="12969" spans="1:4" ht="12.75" customHeight="1" x14ac:dyDescent="0.2">
      <c r="A12969" s="13" t="s">
        <v>4639</v>
      </c>
      <c r="C12969" s="12"/>
    </row>
    <row r="12970" spans="1:4" ht="12.75" customHeight="1" x14ac:dyDescent="0.2">
      <c r="A12970" s="11"/>
      <c r="B12970" s="2"/>
      <c r="C12970" s="15"/>
      <c r="D12970" s="2"/>
    </row>
    <row r="12971" spans="1:4" ht="12.75" customHeight="1" x14ac:dyDescent="0.2">
      <c r="B12971" s="11" t="s">
        <v>0</v>
      </c>
      <c r="C12971" s="11" t="s">
        <v>73</v>
      </c>
    </row>
    <row r="12972" spans="1:4" ht="12.75" customHeight="1" x14ac:dyDescent="0.2">
      <c r="B12972" s="11" t="s">
        <v>2599</v>
      </c>
      <c r="C12972" s="11" t="s">
        <v>4640</v>
      </c>
    </row>
    <row r="12973" spans="1:4" ht="25.5" customHeight="1" x14ac:dyDescent="0.2">
      <c r="B12973" s="11" t="s">
        <v>2600</v>
      </c>
      <c r="C12973" s="11" t="s">
        <v>4641</v>
      </c>
    </row>
    <row r="12974" spans="1:4" ht="25.5" customHeight="1" x14ac:dyDescent="0.2">
      <c r="B12974" s="11" t="s">
        <v>2601</v>
      </c>
      <c r="C12974" s="11"/>
    </row>
    <row r="12975" spans="1:4" ht="12.75" customHeight="1" x14ac:dyDescent="0.2">
      <c r="B12975" s="11" t="s">
        <v>16</v>
      </c>
      <c r="C12975" s="11"/>
    </row>
    <row r="12976" spans="1:4" ht="12.75" customHeight="1" x14ac:dyDescent="0.2">
      <c r="B12976" s="11" t="s">
        <v>13</v>
      </c>
      <c r="C12976" s="11" t="s">
        <v>2644</v>
      </c>
    </row>
    <row r="12977" spans="1:4" ht="12.75" customHeight="1" x14ac:dyDescent="0.2">
      <c r="B12977" s="11" t="s">
        <v>2603</v>
      </c>
      <c r="C12977" s="11" t="s">
        <v>2604</v>
      </c>
    </row>
    <row r="12978" spans="1:4" ht="12.75" customHeight="1" x14ac:dyDescent="0.2">
      <c r="B12978" s="11" t="s">
        <v>2605</v>
      </c>
      <c r="C12978" s="11" t="s">
        <v>14</v>
      </c>
    </row>
    <row r="12979" spans="1:4" ht="12.75" customHeight="1" x14ac:dyDescent="0.2">
      <c r="B12979" s="11" t="s">
        <v>2606</v>
      </c>
      <c r="C12979" s="16" t="s">
        <v>44</v>
      </c>
      <c r="D12979" s="6" t="str">
        <f>HYPERLINK("javascript:void(0)","nagylemez")</f>
        <v>nagylemez</v>
      </c>
    </row>
    <row r="12980" spans="1:4" ht="12.75" customHeight="1" x14ac:dyDescent="0.2">
      <c r="B12980" s="2"/>
      <c r="C12980" s="15"/>
      <c r="D12980" s="2"/>
    </row>
    <row r="12981" spans="1:4" ht="12.75" customHeight="1" x14ac:dyDescent="0.2">
      <c r="B12981" s="2"/>
      <c r="C12981" s="15"/>
      <c r="D12981" s="2"/>
    </row>
    <row r="12982" spans="1:4" ht="12.75" customHeight="1" x14ac:dyDescent="0.2">
      <c r="A12982" s="13" t="s">
        <v>4642</v>
      </c>
      <c r="C12982" s="12"/>
    </row>
    <row r="12983" spans="1:4" ht="12.75" customHeight="1" x14ac:dyDescent="0.2">
      <c r="A12983" s="11"/>
      <c r="B12983" s="2"/>
      <c r="C12983" s="15"/>
      <c r="D12983" s="2"/>
    </row>
    <row r="12984" spans="1:4" ht="12.75" customHeight="1" x14ac:dyDescent="0.2">
      <c r="B12984" s="11" t="s">
        <v>0</v>
      </c>
      <c r="C12984" s="11" t="s">
        <v>73</v>
      </c>
    </row>
    <row r="12985" spans="1:4" ht="12.75" customHeight="1" x14ac:dyDescent="0.2">
      <c r="B12985" s="11" t="s">
        <v>2599</v>
      </c>
      <c r="C12985" s="11" t="s">
        <v>4643</v>
      </c>
    </row>
    <row r="12986" spans="1:4" ht="25.5" customHeight="1" x14ac:dyDescent="0.2">
      <c r="B12986" s="11" t="s">
        <v>2600</v>
      </c>
      <c r="C12986" s="11" t="s">
        <v>4644</v>
      </c>
    </row>
    <row r="12987" spans="1:4" ht="25.5" customHeight="1" x14ac:dyDescent="0.2">
      <c r="B12987" s="11" t="s">
        <v>2601</v>
      </c>
      <c r="C12987" s="11"/>
    </row>
    <row r="12988" spans="1:4" ht="12.75" customHeight="1" x14ac:dyDescent="0.2">
      <c r="B12988" s="11" t="s">
        <v>16</v>
      </c>
      <c r="C12988" s="11"/>
    </row>
    <row r="12989" spans="1:4" ht="12.75" customHeight="1" x14ac:dyDescent="0.2">
      <c r="B12989" s="11" t="s">
        <v>13</v>
      </c>
      <c r="C12989" s="11" t="s">
        <v>2602</v>
      </c>
    </row>
    <row r="12990" spans="1:4" ht="12.75" customHeight="1" x14ac:dyDescent="0.2">
      <c r="B12990" s="11" t="s">
        <v>2603</v>
      </c>
      <c r="C12990" s="11" t="s">
        <v>2604</v>
      </c>
    </row>
    <row r="12991" spans="1:4" ht="12.75" customHeight="1" x14ac:dyDescent="0.2">
      <c r="B12991" s="11" t="s">
        <v>2605</v>
      </c>
      <c r="C12991" s="11" t="s">
        <v>24</v>
      </c>
    </row>
    <row r="12992" spans="1:4" ht="12.75" customHeight="1" x14ac:dyDescent="0.2">
      <c r="B12992" s="11" t="s">
        <v>2606</v>
      </c>
      <c r="C12992" s="16" t="s">
        <v>44</v>
      </c>
      <c r="D12992" s="6" t="str">
        <f>HYPERLINK("javascript:void(0)","éjfény")</f>
        <v>éjfény</v>
      </c>
    </row>
    <row r="12993" spans="1:4" ht="12.75" customHeight="1" x14ac:dyDescent="0.2">
      <c r="B12993" s="2"/>
      <c r="C12993" s="15"/>
      <c r="D12993" s="2"/>
    </row>
    <row r="12994" spans="1:4" ht="12.75" customHeight="1" x14ac:dyDescent="0.2">
      <c r="B12994" s="2"/>
      <c r="C12994" s="15"/>
      <c r="D12994" s="2"/>
    </row>
    <row r="12995" spans="1:4" ht="12.75" customHeight="1" x14ac:dyDescent="0.2">
      <c r="A12995" s="13" t="s">
        <v>4645</v>
      </c>
      <c r="C12995" s="12"/>
    </row>
    <row r="12996" spans="1:4" ht="12.75" customHeight="1" x14ac:dyDescent="0.2">
      <c r="A12996" s="11"/>
      <c r="B12996" s="2"/>
      <c r="C12996" s="15"/>
      <c r="D12996" s="2"/>
    </row>
    <row r="12997" spans="1:4" ht="12.75" customHeight="1" x14ac:dyDescent="0.2">
      <c r="B12997" s="11" t="s">
        <v>0</v>
      </c>
      <c r="C12997" s="11" t="s">
        <v>73</v>
      </c>
    </row>
    <row r="12998" spans="1:4" ht="12.75" customHeight="1" x14ac:dyDescent="0.2">
      <c r="B12998" s="11" t="s">
        <v>2599</v>
      </c>
      <c r="C12998" s="11" t="s">
        <v>4182</v>
      </c>
    </row>
    <row r="12999" spans="1:4" ht="25.5" customHeight="1" x14ac:dyDescent="0.2">
      <c r="B12999" s="11" t="s">
        <v>2600</v>
      </c>
      <c r="C12999" s="11" t="s">
        <v>4646</v>
      </c>
    </row>
    <row r="13000" spans="1:4" ht="25.5" customHeight="1" x14ac:dyDescent="0.2">
      <c r="B13000" s="11" t="s">
        <v>2601</v>
      </c>
      <c r="C13000" s="11"/>
    </row>
    <row r="13001" spans="1:4" ht="12.75" customHeight="1" x14ac:dyDescent="0.2">
      <c r="B13001" s="11" t="s">
        <v>16</v>
      </c>
      <c r="C13001" s="11"/>
    </row>
    <row r="13002" spans="1:4" ht="12.75" customHeight="1" x14ac:dyDescent="0.2">
      <c r="B13002" s="11" t="s">
        <v>13</v>
      </c>
      <c r="C13002" s="11" t="s">
        <v>2602</v>
      </c>
    </row>
    <row r="13003" spans="1:4" ht="12.75" customHeight="1" x14ac:dyDescent="0.2">
      <c r="B13003" s="11" t="s">
        <v>2603</v>
      </c>
      <c r="C13003" s="11" t="s">
        <v>2604</v>
      </c>
    </row>
    <row r="13004" spans="1:4" ht="12.75" customHeight="1" x14ac:dyDescent="0.2">
      <c r="B13004" s="11" t="s">
        <v>2605</v>
      </c>
      <c r="C13004" s="11" t="s">
        <v>14</v>
      </c>
    </row>
    <row r="13005" spans="1:4" ht="12.75" customHeight="1" x14ac:dyDescent="0.2">
      <c r="B13005" s="11" t="s">
        <v>2606</v>
      </c>
      <c r="C13005" s="16" t="s">
        <v>269</v>
      </c>
      <c r="D13005" s="6" t="str">
        <f>HYPERLINK("javascript:void(0)","kincs")</f>
        <v>kincs</v>
      </c>
    </row>
    <row r="13006" spans="1:4" ht="12.75" customHeight="1" x14ac:dyDescent="0.2">
      <c r="B13006" s="2"/>
      <c r="C13006" s="15"/>
      <c r="D13006" s="2"/>
    </row>
    <row r="13007" spans="1:4" ht="12.75" customHeight="1" x14ac:dyDescent="0.2">
      <c r="B13007" s="2"/>
      <c r="C13007" s="15"/>
      <c r="D13007" s="2"/>
    </row>
    <row r="13008" spans="1:4" ht="12.75" customHeight="1" x14ac:dyDescent="0.2">
      <c r="A13008" s="13" t="s">
        <v>4648</v>
      </c>
      <c r="C13008" s="12"/>
    </row>
    <row r="13009" spans="1:4" ht="12.75" customHeight="1" x14ac:dyDescent="0.2">
      <c r="A13009" s="11"/>
      <c r="B13009" s="2"/>
      <c r="C13009" s="15"/>
      <c r="D13009" s="2"/>
    </row>
    <row r="13010" spans="1:4" ht="12.75" customHeight="1" x14ac:dyDescent="0.2">
      <c r="B13010" s="11" t="s">
        <v>0</v>
      </c>
      <c r="C13010" s="11" t="s">
        <v>73</v>
      </c>
    </row>
    <row r="13011" spans="1:4" ht="12.75" customHeight="1" x14ac:dyDescent="0.2">
      <c r="B13011" s="11" t="s">
        <v>2599</v>
      </c>
      <c r="C13011" s="11" t="s">
        <v>4649</v>
      </c>
    </row>
    <row r="13012" spans="1:4" ht="25.5" customHeight="1" x14ac:dyDescent="0.2">
      <c r="B13012" s="11" t="s">
        <v>2600</v>
      </c>
      <c r="C13012" s="11" t="s">
        <v>4650</v>
      </c>
    </row>
    <row r="13013" spans="1:4" ht="25.5" customHeight="1" x14ac:dyDescent="0.2">
      <c r="B13013" s="11" t="s">
        <v>2601</v>
      </c>
      <c r="C13013" s="11"/>
    </row>
    <row r="13014" spans="1:4" ht="12.75" customHeight="1" x14ac:dyDescent="0.2">
      <c r="B13014" s="11" t="s">
        <v>16</v>
      </c>
      <c r="C13014" s="11"/>
    </row>
    <row r="13015" spans="1:4" ht="12.75" customHeight="1" x14ac:dyDescent="0.2">
      <c r="B13015" s="11" t="s">
        <v>13</v>
      </c>
      <c r="C13015" s="11" t="s">
        <v>2644</v>
      </c>
    </row>
    <row r="13016" spans="1:4" ht="12.75" customHeight="1" x14ac:dyDescent="0.2">
      <c r="B13016" s="11" t="s">
        <v>2603</v>
      </c>
      <c r="C13016" s="11" t="s">
        <v>2604</v>
      </c>
    </row>
    <row r="13017" spans="1:4" ht="12.75" customHeight="1" x14ac:dyDescent="0.2">
      <c r="B13017" s="11" t="s">
        <v>2605</v>
      </c>
      <c r="C13017" s="11" t="s">
        <v>24</v>
      </c>
    </row>
    <row r="13018" spans="1:4" ht="12.75" customHeight="1" x14ac:dyDescent="0.2">
      <c r="B13018" s="11" t="s">
        <v>2606</v>
      </c>
      <c r="C13018" s="16" t="s">
        <v>244</v>
      </c>
      <c r="D13018" s="6" t="str">
        <f>HYPERLINK("javascript:void(0)","kincs")</f>
        <v>kincs</v>
      </c>
    </row>
    <row r="13019" spans="1:4" ht="12.75" customHeight="1" x14ac:dyDescent="0.2">
      <c r="B13019" s="2"/>
      <c r="C13019" s="15"/>
      <c r="D13019" s="2"/>
    </row>
    <row r="13020" spans="1:4" ht="12.75" customHeight="1" x14ac:dyDescent="0.2">
      <c r="B13020" s="2"/>
      <c r="C13020" s="15"/>
      <c r="D13020" s="2"/>
    </row>
    <row r="13021" spans="1:4" ht="12.75" customHeight="1" x14ac:dyDescent="0.2">
      <c r="A13021" s="13" t="s">
        <v>4651</v>
      </c>
      <c r="C13021" s="12"/>
      <c r="D13021" s="2"/>
    </row>
    <row r="13022" spans="1:4" ht="12.75" customHeight="1" x14ac:dyDescent="0.2">
      <c r="A13022" s="11"/>
      <c r="B13022" s="2"/>
      <c r="C13022" s="15"/>
      <c r="D13022" s="2"/>
    </row>
    <row r="13023" spans="1:4" ht="12.75" customHeight="1" x14ac:dyDescent="0.2">
      <c r="B13023" s="11" t="s">
        <v>0</v>
      </c>
      <c r="C13023" s="17" t="s">
        <v>73</v>
      </c>
      <c r="D13023" s="2"/>
    </row>
    <row r="13024" spans="1:4" ht="12.75" customHeight="1" x14ac:dyDescent="0.2">
      <c r="B13024" s="11" t="s">
        <v>2599</v>
      </c>
      <c r="C13024" s="17" t="s">
        <v>4652</v>
      </c>
      <c r="D13024" s="2"/>
    </row>
    <row r="13025" spans="1:4" ht="25.5" customHeight="1" x14ac:dyDescent="0.2">
      <c r="B13025" s="11" t="s">
        <v>2600</v>
      </c>
      <c r="C13025" s="17" t="s">
        <v>4653</v>
      </c>
      <c r="D13025" s="2"/>
    </row>
    <row r="13026" spans="1:4" ht="25.5" customHeight="1" x14ac:dyDescent="0.2">
      <c r="B13026" s="11" t="s">
        <v>2601</v>
      </c>
      <c r="C13026" s="17"/>
      <c r="D13026" s="2"/>
    </row>
    <row r="13027" spans="1:4" ht="12.75" customHeight="1" x14ac:dyDescent="0.2">
      <c r="B13027" s="11" t="s">
        <v>16</v>
      </c>
      <c r="C13027" s="17"/>
      <c r="D13027" s="2"/>
    </row>
    <row r="13028" spans="1:4" ht="12.75" customHeight="1" x14ac:dyDescent="0.2">
      <c r="B13028" s="11" t="s">
        <v>13</v>
      </c>
      <c r="C13028" s="17" t="s">
        <v>2644</v>
      </c>
      <c r="D13028" s="2"/>
    </row>
    <row r="13029" spans="1:4" ht="12.75" customHeight="1" x14ac:dyDescent="0.2">
      <c r="B13029" s="11" t="s">
        <v>2603</v>
      </c>
      <c r="C13029" s="17" t="s">
        <v>2604</v>
      </c>
      <c r="D13029" s="2"/>
    </row>
    <row r="13030" spans="1:4" ht="12.75" customHeight="1" x14ac:dyDescent="0.2">
      <c r="B13030" s="11" t="s">
        <v>2605</v>
      </c>
      <c r="C13030" s="17" t="s">
        <v>24</v>
      </c>
      <c r="D13030" s="2"/>
    </row>
    <row r="13031" spans="1:4" ht="12.75" customHeight="1" x14ac:dyDescent="0.2">
      <c r="B13031" s="11" t="s">
        <v>2606</v>
      </c>
      <c r="C13031" s="16" t="s">
        <v>19</v>
      </c>
      <c r="D13031" s="2"/>
    </row>
    <row r="13032" spans="1:4" ht="12.75" customHeight="1" x14ac:dyDescent="0.2">
      <c r="B13032" s="2"/>
      <c r="C13032" s="15"/>
      <c r="D13032" s="2"/>
    </row>
    <row r="13033" spans="1:4" ht="12.75" customHeight="1" x14ac:dyDescent="0.2">
      <c r="B13033" s="2"/>
      <c r="C13033" s="15"/>
      <c r="D13033" s="2"/>
    </row>
    <row r="13034" spans="1:4" ht="12.75" customHeight="1" x14ac:dyDescent="0.2">
      <c r="A13034" s="13" t="s">
        <v>4654</v>
      </c>
      <c r="C13034" s="12"/>
    </row>
    <row r="13035" spans="1:4" ht="12.75" customHeight="1" x14ac:dyDescent="0.2">
      <c r="A13035" s="11"/>
      <c r="B13035" s="2"/>
      <c r="C13035" s="15"/>
      <c r="D13035" s="2"/>
    </row>
    <row r="13036" spans="1:4" ht="12.75" customHeight="1" x14ac:dyDescent="0.2">
      <c r="B13036" s="11" t="s">
        <v>0</v>
      </c>
      <c r="C13036" s="11" t="s">
        <v>73</v>
      </c>
    </row>
    <row r="13037" spans="1:4" ht="12.75" customHeight="1" x14ac:dyDescent="0.2">
      <c r="B13037" s="11" t="s">
        <v>2599</v>
      </c>
      <c r="C13037" s="11" t="s">
        <v>620</v>
      </c>
    </row>
    <row r="13038" spans="1:4" ht="25.5" customHeight="1" x14ac:dyDescent="0.2">
      <c r="B13038" s="11" t="s">
        <v>2600</v>
      </c>
      <c r="C13038" s="11" t="s">
        <v>4655</v>
      </c>
    </row>
    <row r="13039" spans="1:4" ht="25.5" customHeight="1" x14ac:dyDescent="0.2">
      <c r="B13039" s="11" t="s">
        <v>2601</v>
      </c>
      <c r="C13039" s="11"/>
    </row>
    <row r="13040" spans="1:4" ht="12.75" customHeight="1" x14ac:dyDescent="0.2">
      <c r="B13040" s="11" t="s">
        <v>16</v>
      </c>
      <c r="C13040" s="11"/>
    </row>
    <row r="13041" spans="1:4" ht="12.75" customHeight="1" x14ac:dyDescent="0.2">
      <c r="B13041" s="11" t="s">
        <v>13</v>
      </c>
      <c r="C13041" s="11" t="s">
        <v>2602</v>
      </c>
    </row>
    <row r="13042" spans="1:4" ht="12.75" customHeight="1" x14ac:dyDescent="0.2">
      <c r="B13042" s="11" t="s">
        <v>2603</v>
      </c>
      <c r="C13042" s="11" t="s">
        <v>2604</v>
      </c>
    </row>
    <row r="13043" spans="1:4" ht="12.75" customHeight="1" x14ac:dyDescent="0.2">
      <c r="B13043" s="11" t="s">
        <v>2605</v>
      </c>
      <c r="C13043" s="11" t="s">
        <v>14</v>
      </c>
    </row>
    <row r="13044" spans="1:4" ht="12.75" customHeight="1" x14ac:dyDescent="0.2">
      <c r="B13044" s="11" t="s">
        <v>2606</v>
      </c>
      <c r="C13044" s="16" t="s">
        <v>44</v>
      </c>
      <c r="D13044" s="6" t="str">
        <f>HYPERLINK("javascript:void(0)","teleportige")</f>
        <v>teleportige</v>
      </c>
    </row>
    <row r="13045" spans="1:4" ht="12.75" customHeight="1" x14ac:dyDescent="0.2">
      <c r="B13045" s="2"/>
      <c r="C13045" s="15"/>
      <c r="D13045" s="2"/>
    </row>
    <row r="13046" spans="1:4" ht="12.75" customHeight="1" x14ac:dyDescent="0.2">
      <c r="B13046" s="2"/>
      <c r="C13046" s="15"/>
      <c r="D13046" s="2"/>
    </row>
    <row r="13047" spans="1:4" ht="12.75" customHeight="1" x14ac:dyDescent="0.2">
      <c r="A13047" s="13" t="s">
        <v>4569</v>
      </c>
      <c r="C13047" s="12"/>
      <c r="D13047" s="2"/>
    </row>
    <row r="13048" spans="1:4" ht="12.75" customHeight="1" x14ac:dyDescent="0.2">
      <c r="A13048" s="11"/>
      <c r="B13048" s="2"/>
      <c r="C13048" s="15"/>
      <c r="D13048" s="2"/>
    </row>
    <row r="13049" spans="1:4" ht="12.75" customHeight="1" x14ac:dyDescent="0.2">
      <c r="B13049" s="11" t="s">
        <v>0</v>
      </c>
      <c r="C13049" s="17" t="s">
        <v>73</v>
      </c>
      <c r="D13049" s="2"/>
    </row>
    <row r="13050" spans="1:4" ht="12.75" customHeight="1" x14ac:dyDescent="0.2">
      <c r="B13050" s="11" t="s">
        <v>2599</v>
      </c>
      <c r="C13050" s="17" t="s">
        <v>4570</v>
      </c>
      <c r="D13050" s="2"/>
    </row>
    <row r="13051" spans="1:4" ht="25.5" customHeight="1" x14ac:dyDescent="0.2">
      <c r="B13051" s="11" t="s">
        <v>2600</v>
      </c>
      <c r="C13051" s="17" t="s">
        <v>4656</v>
      </c>
      <c r="D13051" s="2"/>
    </row>
    <row r="13052" spans="1:4" ht="25.5" customHeight="1" x14ac:dyDescent="0.2">
      <c r="B13052" s="11" t="s">
        <v>2601</v>
      </c>
      <c r="C13052" s="17"/>
      <c r="D13052" s="2"/>
    </row>
    <row r="13053" spans="1:4" ht="12.75" customHeight="1" x14ac:dyDescent="0.2">
      <c r="B13053" s="11" t="s">
        <v>16</v>
      </c>
      <c r="C13053" s="17"/>
      <c r="D13053" s="2"/>
    </row>
    <row r="13054" spans="1:4" ht="12.75" customHeight="1" x14ac:dyDescent="0.2">
      <c r="B13054" s="11" t="s">
        <v>13</v>
      </c>
      <c r="C13054" s="17" t="s">
        <v>2602</v>
      </c>
      <c r="D13054" s="2"/>
    </row>
    <row r="13055" spans="1:4" ht="25.5" customHeight="1" x14ac:dyDescent="0.2">
      <c r="B13055" s="11" t="s">
        <v>2603</v>
      </c>
      <c r="C13055" s="17" t="s">
        <v>2971</v>
      </c>
      <c r="D13055" s="2"/>
    </row>
    <row r="13056" spans="1:4" ht="12.75" customHeight="1" x14ac:dyDescent="0.2">
      <c r="B13056" s="11" t="s">
        <v>2605</v>
      </c>
      <c r="C13056" s="17" t="s">
        <v>14</v>
      </c>
      <c r="D13056" s="2"/>
    </row>
    <row r="13057" spans="1:4" ht="12.75" customHeight="1" x14ac:dyDescent="0.2">
      <c r="B13057" s="11" t="s">
        <v>2606</v>
      </c>
      <c r="C13057" s="16" t="s">
        <v>19</v>
      </c>
      <c r="D13057" s="2"/>
    </row>
    <row r="13058" spans="1:4" ht="12.75" customHeight="1" x14ac:dyDescent="0.2">
      <c r="B13058" s="2"/>
      <c r="C13058" s="15"/>
      <c r="D13058" s="2"/>
    </row>
    <row r="13059" spans="1:4" ht="12.75" customHeight="1" x14ac:dyDescent="0.2">
      <c r="B13059" s="2"/>
      <c r="C13059" s="15"/>
      <c r="D13059" s="2"/>
    </row>
    <row r="13060" spans="1:4" ht="12.75" customHeight="1" x14ac:dyDescent="0.2">
      <c r="A13060" s="13" t="s">
        <v>4572</v>
      </c>
      <c r="C13060" s="12"/>
      <c r="D13060" s="2"/>
    </row>
    <row r="13061" spans="1:4" ht="12.75" customHeight="1" x14ac:dyDescent="0.2">
      <c r="A13061" s="11"/>
      <c r="B13061" s="2"/>
      <c r="C13061" s="15"/>
      <c r="D13061" s="2"/>
    </row>
    <row r="13062" spans="1:4" ht="12.75" customHeight="1" x14ac:dyDescent="0.2">
      <c r="B13062" s="11" t="s">
        <v>0</v>
      </c>
      <c r="C13062" s="17" t="s">
        <v>73</v>
      </c>
      <c r="D13062" s="2"/>
    </row>
    <row r="13063" spans="1:4" ht="12.75" customHeight="1" x14ac:dyDescent="0.2">
      <c r="B13063" s="11" t="s">
        <v>2599</v>
      </c>
      <c r="C13063" s="17" t="s">
        <v>706</v>
      </c>
      <c r="D13063" s="2"/>
    </row>
    <row r="13064" spans="1:4" ht="25.5" customHeight="1" x14ac:dyDescent="0.2">
      <c r="B13064" s="11" t="s">
        <v>2600</v>
      </c>
      <c r="C13064" s="17" t="s">
        <v>4657</v>
      </c>
      <c r="D13064" s="2"/>
    </row>
    <row r="13065" spans="1:4" ht="25.5" customHeight="1" x14ac:dyDescent="0.2">
      <c r="B13065" s="11" t="s">
        <v>2601</v>
      </c>
      <c r="C13065" s="17"/>
      <c r="D13065" s="2"/>
    </row>
    <row r="13066" spans="1:4" ht="12.75" customHeight="1" x14ac:dyDescent="0.2">
      <c r="B13066" s="11" t="s">
        <v>16</v>
      </c>
      <c r="C13066" s="17"/>
      <c r="D13066" s="2"/>
    </row>
    <row r="13067" spans="1:4" ht="12.75" customHeight="1" x14ac:dyDescent="0.2">
      <c r="B13067" s="11" t="s">
        <v>13</v>
      </c>
      <c r="C13067" s="17" t="s">
        <v>2644</v>
      </c>
      <c r="D13067" s="2"/>
    </row>
    <row r="13068" spans="1:4" ht="25.5" customHeight="1" x14ac:dyDescent="0.2">
      <c r="B13068" s="11" t="s">
        <v>2603</v>
      </c>
      <c r="C13068" s="17" t="s">
        <v>2971</v>
      </c>
      <c r="D13068" s="2"/>
    </row>
    <row r="13069" spans="1:4" ht="12.75" customHeight="1" x14ac:dyDescent="0.2">
      <c r="B13069" s="11" t="s">
        <v>2605</v>
      </c>
      <c r="C13069" s="17" t="s">
        <v>14</v>
      </c>
      <c r="D13069" s="2"/>
    </row>
    <row r="13070" spans="1:4" ht="12.75" customHeight="1" x14ac:dyDescent="0.2">
      <c r="B13070" s="11" t="s">
        <v>2606</v>
      </c>
      <c r="C13070" s="16" t="s">
        <v>19</v>
      </c>
      <c r="D13070" s="2"/>
    </row>
    <row r="13071" spans="1:4" ht="12.75" customHeight="1" x14ac:dyDescent="0.2">
      <c r="B13071" s="2"/>
      <c r="C13071" s="15"/>
      <c r="D13071" s="2"/>
    </row>
    <row r="13072" spans="1:4" ht="12.75" customHeight="1" x14ac:dyDescent="0.2">
      <c r="B13072" s="2"/>
      <c r="C13072" s="15"/>
      <c r="D13072" s="2"/>
    </row>
    <row r="13073" spans="1:4" ht="12.75" customHeight="1" x14ac:dyDescent="0.2">
      <c r="A13073" s="13" t="s">
        <v>4574</v>
      </c>
      <c r="C13073" s="12"/>
      <c r="D13073" s="2"/>
    </row>
    <row r="13074" spans="1:4" ht="12.75" customHeight="1" x14ac:dyDescent="0.2">
      <c r="A13074" s="11"/>
      <c r="B13074" s="2"/>
      <c r="C13074" s="15"/>
      <c r="D13074" s="2"/>
    </row>
    <row r="13075" spans="1:4" ht="12.75" customHeight="1" x14ac:dyDescent="0.2">
      <c r="B13075" s="11" t="s">
        <v>0</v>
      </c>
      <c r="C13075" s="17" t="s">
        <v>73</v>
      </c>
      <c r="D13075" s="2"/>
    </row>
    <row r="13076" spans="1:4" ht="12.75" customHeight="1" x14ac:dyDescent="0.2">
      <c r="B13076" s="11" t="s">
        <v>2599</v>
      </c>
      <c r="C13076" s="17" t="s">
        <v>4575</v>
      </c>
      <c r="D13076" s="2"/>
    </row>
    <row r="13077" spans="1:4" ht="25.5" customHeight="1" x14ac:dyDescent="0.2">
      <c r="B13077" s="11" t="s">
        <v>2600</v>
      </c>
      <c r="C13077" s="17" t="s">
        <v>4658</v>
      </c>
      <c r="D13077" s="2"/>
    </row>
    <row r="13078" spans="1:4" ht="25.5" customHeight="1" x14ac:dyDescent="0.2">
      <c r="B13078" s="11" t="s">
        <v>2601</v>
      </c>
      <c r="C13078" s="17"/>
      <c r="D13078" s="2"/>
    </row>
    <row r="13079" spans="1:4" ht="12.75" customHeight="1" x14ac:dyDescent="0.2">
      <c r="B13079" s="11" t="s">
        <v>16</v>
      </c>
      <c r="C13079" s="17"/>
      <c r="D13079" s="2"/>
    </row>
    <row r="13080" spans="1:4" ht="12.75" customHeight="1" x14ac:dyDescent="0.2">
      <c r="B13080" s="11" t="s">
        <v>13</v>
      </c>
      <c r="C13080" s="17" t="s">
        <v>2602</v>
      </c>
      <c r="D13080" s="2"/>
    </row>
    <row r="13081" spans="1:4" ht="25.5" customHeight="1" x14ac:dyDescent="0.2">
      <c r="B13081" s="11" t="s">
        <v>2603</v>
      </c>
      <c r="C13081" s="17" t="s">
        <v>2971</v>
      </c>
      <c r="D13081" s="2"/>
    </row>
    <row r="13082" spans="1:4" ht="12.75" customHeight="1" x14ac:dyDescent="0.2">
      <c r="B13082" s="11" t="s">
        <v>2605</v>
      </c>
      <c r="C13082" s="17" t="s">
        <v>14</v>
      </c>
      <c r="D13082" s="2"/>
    </row>
    <row r="13083" spans="1:4" ht="12.75" customHeight="1" x14ac:dyDescent="0.2">
      <c r="B13083" s="11" t="s">
        <v>2606</v>
      </c>
      <c r="C13083" s="16" t="s">
        <v>19</v>
      </c>
      <c r="D13083" s="2"/>
    </row>
    <row r="13084" spans="1:4" ht="12.75" customHeight="1" x14ac:dyDescent="0.2">
      <c r="B13084" s="2"/>
      <c r="C13084" s="15"/>
      <c r="D13084" s="2"/>
    </row>
    <row r="13085" spans="1:4" ht="12.75" customHeight="1" x14ac:dyDescent="0.2">
      <c r="B13085" s="2"/>
      <c r="C13085" s="15"/>
      <c r="D13085" s="2"/>
    </row>
    <row r="13086" spans="1:4" ht="12.75" customHeight="1" x14ac:dyDescent="0.2">
      <c r="A13086" s="13" t="s">
        <v>4547</v>
      </c>
      <c r="C13086" s="12"/>
      <c r="D13086" s="2"/>
    </row>
    <row r="13087" spans="1:4" ht="12.75" customHeight="1" x14ac:dyDescent="0.2">
      <c r="A13087" s="11"/>
      <c r="B13087" s="2"/>
      <c r="C13087" s="15"/>
      <c r="D13087" s="2"/>
    </row>
    <row r="13088" spans="1:4" ht="12.75" customHeight="1" x14ac:dyDescent="0.2">
      <c r="B13088" s="11" t="s">
        <v>0</v>
      </c>
      <c r="C13088" s="17" t="s">
        <v>275</v>
      </c>
      <c r="D13088" s="2"/>
    </row>
    <row r="13089" spans="1:4" ht="12.75" customHeight="1" x14ac:dyDescent="0.2">
      <c r="B13089" s="11" t="s">
        <v>2599</v>
      </c>
      <c r="C13089" s="17" t="s">
        <v>4548</v>
      </c>
      <c r="D13089" s="2"/>
    </row>
    <row r="13090" spans="1:4" ht="25.5" customHeight="1" x14ac:dyDescent="0.2">
      <c r="B13090" s="11" t="s">
        <v>2600</v>
      </c>
      <c r="C13090" s="17" t="s">
        <v>4659</v>
      </c>
      <c r="D13090" s="2"/>
    </row>
    <row r="13091" spans="1:4" ht="25.5" customHeight="1" x14ac:dyDescent="0.2">
      <c r="B13091" s="11" t="s">
        <v>2601</v>
      </c>
      <c r="C13091" s="17"/>
      <c r="D13091" s="2"/>
    </row>
    <row r="13092" spans="1:4" ht="12.75" customHeight="1" x14ac:dyDescent="0.2">
      <c r="B13092" s="11" t="s">
        <v>16</v>
      </c>
      <c r="C13092" s="17"/>
      <c r="D13092" s="2"/>
    </row>
    <row r="13093" spans="1:4" ht="12.75" customHeight="1" x14ac:dyDescent="0.2">
      <c r="B13093" s="11" t="s">
        <v>13</v>
      </c>
      <c r="C13093" s="17" t="s">
        <v>2644</v>
      </c>
      <c r="D13093" s="2"/>
    </row>
    <row r="13094" spans="1:4" ht="25.5" customHeight="1" x14ac:dyDescent="0.2">
      <c r="B13094" s="11" t="s">
        <v>2603</v>
      </c>
      <c r="C13094" s="17" t="s">
        <v>2971</v>
      </c>
      <c r="D13094" s="2"/>
    </row>
    <row r="13095" spans="1:4" ht="12.75" customHeight="1" x14ac:dyDescent="0.2">
      <c r="B13095" s="11" t="s">
        <v>2605</v>
      </c>
      <c r="C13095" s="17" t="s">
        <v>14</v>
      </c>
      <c r="D13095" s="2"/>
    </row>
    <row r="13096" spans="1:4" ht="12.75" customHeight="1" x14ac:dyDescent="0.2">
      <c r="B13096" s="11" t="s">
        <v>2606</v>
      </c>
      <c r="C13096" s="16" t="s">
        <v>19</v>
      </c>
      <c r="D13096" s="2"/>
    </row>
    <row r="13097" spans="1:4" ht="12.75" customHeight="1" x14ac:dyDescent="0.2">
      <c r="B13097" s="2"/>
      <c r="C13097" s="15"/>
      <c r="D13097" s="2"/>
    </row>
    <row r="13098" spans="1:4" ht="12.75" customHeight="1" x14ac:dyDescent="0.2">
      <c r="B13098" s="2"/>
      <c r="C13098" s="15"/>
      <c r="D13098" s="2"/>
    </row>
    <row r="13099" spans="1:4" ht="12.75" customHeight="1" x14ac:dyDescent="0.2">
      <c r="A13099" s="13" t="s">
        <v>4660</v>
      </c>
      <c r="C13099" s="12"/>
    </row>
    <row r="13100" spans="1:4" ht="12.75" customHeight="1" x14ac:dyDescent="0.2">
      <c r="A13100" s="11"/>
      <c r="B13100" s="2"/>
      <c r="C13100" s="15"/>
      <c r="D13100" s="2"/>
    </row>
    <row r="13101" spans="1:4" ht="12.75" customHeight="1" x14ac:dyDescent="0.2">
      <c r="B13101" s="11" t="s">
        <v>0</v>
      </c>
      <c r="C13101" s="11" t="s">
        <v>275</v>
      </c>
    </row>
    <row r="13102" spans="1:4" ht="12.75" customHeight="1" x14ac:dyDescent="0.2">
      <c r="B13102" s="11" t="s">
        <v>2599</v>
      </c>
      <c r="C13102" s="11" t="s">
        <v>4661</v>
      </c>
    </row>
    <row r="13103" spans="1:4" ht="25.5" customHeight="1" x14ac:dyDescent="0.2">
      <c r="B13103" s="11" t="s">
        <v>2600</v>
      </c>
      <c r="C13103" s="11" t="s">
        <v>4662</v>
      </c>
    </row>
    <row r="13104" spans="1:4" ht="25.5" customHeight="1" x14ac:dyDescent="0.2">
      <c r="B13104" s="11" t="s">
        <v>2601</v>
      </c>
      <c r="C13104" s="11"/>
    </row>
    <row r="13105" spans="1:4" ht="12.75" customHeight="1" x14ac:dyDescent="0.2">
      <c r="B13105" s="11" t="s">
        <v>16</v>
      </c>
      <c r="C13105" s="11"/>
    </row>
    <row r="13106" spans="1:4" ht="12.75" customHeight="1" x14ac:dyDescent="0.2">
      <c r="B13106" s="11" t="s">
        <v>13</v>
      </c>
      <c r="C13106" s="11" t="s">
        <v>2602</v>
      </c>
    </row>
    <row r="13107" spans="1:4" ht="12.75" customHeight="1" x14ac:dyDescent="0.2">
      <c r="B13107" s="11" t="s">
        <v>2603</v>
      </c>
      <c r="C13107" s="11" t="s">
        <v>2604</v>
      </c>
    </row>
    <row r="13108" spans="1:4" ht="12.75" customHeight="1" x14ac:dyDescent="0.2">
      <c r="B13108" s="11" t="s">
        <v>2605</v>
      </c>
      <c r="C13108" s="11" t="s">
        <v>24</v>
      </c>
    </row>
    <row r="13109" spans="1:4" ht="25.5" customHeight="1" x14ac:dyDescent="0.2">
      <c r="B13109" s="11" t="s">
        <v>2606</v>
      </c>
      <c r="C13109" s="16" t="s">
        <v>57</v>
      </c>
      <c r="D13109" s="6" t="str">
        <f>HYPERLINK("javascript:void(0)","gyémántkarika")</f>
        <v>gyémántkarika</v>
      </c>
    </row>
    <row r="13110" spans="1:4" ht="12.75" customHeight="1" x14ac:dyDescent="0.2">
      <c r="C13110" s="16" t="s">
        <v>420</v>
      </c>
      <c r="D13110" s="6" t="str">
        <f>HYPERLINK("javascript:void(0)","kincs")</f>
        <v>kincs</v>
      </c>
    </row>
    <row r="13111" spans="1:4" ht="12.75" customHeight="1" x14ac:dyDescent="0.2">
      <c r="B13111" s="2"/>
      <c r="C13111" s="15"/>
      <c r="D13111" s="2"/>
    </row>
    <row r="13112" spans="1:4" ht="12.75" customHeight="1" x14ac:dyDescent="0.2">
      <c r="B13112" s="2"/>
      <c r="C13112" s="15"/>
      <c r="D13112" s="2"/>
    </row>
    <row r="13113" spans="1:4" ht="12.75" customHeight="1" x14ac:dyDescent="0.2">
      <c r="A13113" s="13" t="s">
        <v>4663</v>
      </c>
      <c r="C13113" s="12"/>
    </row>
    <row r="13114" spans="1:4" ht="12.75" customHeight="1" x14ac:dyDescent="0.2">
      <c r="A13114" s="11"/>
      <c r="B13114" s="2"/>
      <c r="C13114" s="15"/>
      <c r="D13114" s="2"/>
    </row>
    <row r="13115" spans="1:4" ht="12.75" customHeight="1" x14ac:dyDescent="0.2">
      <c r="B13115" s="11" t="s">
        <v>0</v>
      </c>
      <c r="C13115" s="11" t="s">
        <v>275</v>
      </c>
    </row>
    <row r="13116" spans="1:4" ht="12.75" customHeight="1" x14ac:dyDescent="0.2">
      <c r="B13116" s="11" t="s">
        <v>2599</v>
      </c>
      <c r="C13116" s="11" t="s">
        <v>4664</v>
      </c>
    </row>
    <row r="13117" spans="1:4" ht="25.5" customHeight="1" x14ac:dyDescent="0.2">
      <c r="B13117" s="11" t="s">
        <v>2600</v>
      </c>
      <c r="C13117" s="11" t="s">
        <v>4665</v>
      </c>
    </row>
    <row r="13118" spans="1:4" ht="25.5" customHeight="1" x14ac:dyDescent="0.2">
      <c r="B13118" s="11" t="s">
        <v>2601</v>
      </c>
      <c r="C13118" s="11"/>
    </row>
    <row r="13119" spans="1:4" ht="12.75" customHeight="1" x14ac:dyDescent="0.2">
      <c r="B13119" s="11" t="s">
        <v>16</v>
      </c>
      <c r="C13119" s="11"/>
    </row>
    <row r="13120" spans="1:4" ht="12.75" customHeight="1" x14ac:dyDescent="0.2">
      <c r="B13120" s="11" t="s">
        <v>13</v>
      </c>
      <c r="C13120" s="11" t="s">
        <v>2602</v>
      </c>
    </row>
    <row r="13121" spans="1:4" ht="12.75" customHeight="1" x14ac:dyDescent="0.2">
      <c r="B13121" s="11" t="s">
        <v>2603</v>
      </c>
      <c r="C13121" s="11" t="s">
        <v>2604</v>
      </c>
    </row>
    <row r="13122" spans="1:4" ht="12.75" customHeight="1" x14ac:dyDescent="0.2">
      <c r="B13122" s="11" t="s">
        <v>2605</v>
      </c>
      <c r="C13122" s="11" t="s">
        <v>24</v>
      </c>
    </row>
    <row r="13123" spans="1:4" ht="12.75" customHeight="1" x14ac:dyDescent="0.2">
      <c r="B13123" s="11" t="s">
        <v>2606</v>
      </c>
      <c r="C13123" s="16" t="s">
        <v>309</v>
      </c>
      <c r="D13123" s="6" t="str">
        <f>HYPERLINK("javascript:void(0)","kincs")</f>
        <v>kincs</v>
      </c>
    </row>
    <row r="13124" spans="1:4" ht="12.75" customHeight="1" x14ac:dyDescent="0.2">
      <c r="B13124" s="2"/>
      <c r="C13124" s="15"/>
      <c r="D13124" s="2"/>
    </row>
    <row r="13125" spans="1:4" ht="12.75" customHeight="1" x14ac:dyDescent="0.2">
      <c r="B13125" s="2"/>
      <c r="C13125" s="15"/>
      <c r="D13125" s="2"/>
    </row>
    <row r="13126" spans="1:4" ht="12.75" customHeight="1" x14ac:dyDescent="0.2">
      <c r="A13126" s="13" t="s">
        <v>4666</v>
      </c>
      <c r="C13126" s="12"/>
    </row>
    <row r="13127" spans="1:4" ht="12.75" customHeight="1" x14ac:dyDescent="0.2">
      <c r="A13127" s="11"/>
      <c r="B13127" s="2"/>
      <c r="C13127" s="15"/>
      <c r="D13127" s="2"/>
    </row>
    <row r="13128" spans="1:4" ht="12.75" customHeight="1" x14ac:dyDescent="0.2">
      <c r="B13128" s="11" t="s">
        <v>0</v>
      </c>
      <c r="C13128" s="11" t="s">
        <v>275</v>
      </c>
    </row>
    <row r="13129" spans="1:4" ht="12.75" customHeight="1" x14ac:dyDescent="0.2">
      <c r="B13129" s="11" t="s">
        <v>2599</v>
      </c>
      <c r="C13129" s="11" t="s">
        <v>4667</v>
      </c>
    </row>
    <row r="13130" spans="1:4" ht="25.5" customHeight="1" x14ac:dyDescent="0.2">
      <c r="B13130" s="11" t="s">
        <v>2600</v>
      </c>
      <c r="C13130" s="11" t="s">
        <v>4668</v>
      </c>
    </row>
    <row r="13131" spans="1:4" ht="25.5" customHeight="1" x14ac:dyDescent="0.2">
      <c r="B13131" s="11" t="s">
        <v>2601</v>
      </c>
      <c r="C13131" s="11"/>
    </row>
    <row r="13132" spans="1:4" ht="12.75" customHeight="1" x14ac:dyDescent="0.2">
      <c r="B13132" s="11" t="s">
        <v>16</v>
      </c>
      <c r="C13132" s="11"/>
    </row>
    <row r="13133" spans="1:4" ht="12.75" customHeight="1" x14ac:dyDescent="0.2">
      <c r="B13133" s="11" t="s">
        <v>13</v>
      </c>
      <c r="C13133" s="11" t="s">
        <v>2602</v>
      </c>
    </row>
    <row r="13134" spans="1:4" ht="12.75" customHeight="1" x14ac:dyDescent="0.2">
      <c r="B13134" s="11" t="s">
        <v>2603</v>
      </c>
      <c r="C13134" s="11" t="s">
        <v>2604</v>
      </c>
    </row>
    <row r="13135" spans="1:4" ht="12.75" customHeight="1" x14ac:dyDescent="0.2">
      <c r="B13135" s="11" t="s">
        <v>2605</v>
      </c>
      <c r="C13135" s="11" t="s">
        <v>14</v>
      </c>
    </row>
    <row r="13136" spans="1:4" ht="12.75" customHeight="1" x14ac:dyDescent="0.2">
      <c r="B13136" s="11" t="s">
        <v>2606</v>
      </c>
      <c r="C13136" s="16" t="s">
        <v>56</v>
      </c>
      <c r="D13136" s="6" t="str">
        <f>HYPERLINK("javascript:void(0)","kispárna")</f>
        <v>kispárna</v>
      </c>
    </row>
    <row r="13137" spans="1:4" ht="12.75" customHeight="1" x14ac:dyDescent="0.2">
      <c r="B13137" s="2"/>
      <c r="C13137" s="15"/>
      <c r="D13137" s="2"/>
    </row>
    <row r="13138" spans="1:4" ht="12.75" customHeight="1" x14ac:dyDescent="0.2">
      <c r="B13138" s="2"/>
      <c r="C13138" s="15"/>
      <c r="D13138" s="2"/>
    </row>
    <row r="13139" spans="1:4" ht="12.75" customHeight="1" x14ac:dyDescent="0.2">
      <c r="A13139" s="13" t="s">
        <v>4669</v>
      </c>
      <c r="C13139" s="12"/>
    </row>
    <row r="13140" spans="1:4" ht="12.75" customHeight="1" x14ac:dyDescent="0.2">
      <c r="A13140" s="11"/>
      <c r="B13140" s="2"/>
      <c r="C13140" s="15"/>
      <c r="D13140" s="2"/>
    </row>
    <row r="13141" spans="1:4" ht="12.75" customHeight="1" x14ac:dyDescent="0.2">
      <c r="B13141" s="11" t="s">
        <v>0</v>
      </c>
      <c r="C13141" s="11" t="s">
        <v>275</v>
      </c>
    </row>
    <row r="13142" spans="1:4" ht="12.75" customHeight="1" x14ac:dyDescent="0.2">
      <c r="B13142" s="11" t="s">
        <v>2599</v>
      </c>
      <c r="C13142" s="11" t="s">
        <v>977</v>
      </c>
    </row>
    <row r="13143" spans="1:4" ht="25.5" customHeight="1" x14ac:dyDescent="0.2">
      <c r="B13143" s="11" t="s">
        <v>2600</v>
      </c>
      <c r="C13143" s="11" t="s">
        <v>4670</v>
      </c>
    </row>
    <row r="13144" spans="1:4" ht="25.5" customHeight="1" x14ac:dyDescent="0.2">
      <c r="B13144" s="11" t="s">
        <v>2601</v>
      </c>
      <c r="C13144" s="11"/>
    </row>
    <row r="13145" spans="1:4" ht="12.75" customHeight="1" x14ac:dyDescent="0.2">
      <c r="B13145" s="11" t="s">
        <v>16</v>
      </c>
      <c r="C13145" s="11"/>
    </row>
    <row r="13146" spans="1:4" ht="12.75" customHeight="1" x14ac:dyDescent="0.2">
      <c r="B13146" s="11" t="s">
        <v>13</v>
      </c>
      <c r="C13146" s="11" t="s">
        <v>2644</v>
      </c>
    </row>
    <row r="13147" spans="1:4" ht="12.75" customHeight="1" x14ac:dyDescent="0.2">
      <c r="B13147" s="11" t="s">
        <v>2603</v>
      </c>
      <c r="C13147" s="11" t="s">
        <v>2604</v>
      </c>
    </row>
    <row r="13148" spans="1:4" ht="12.75" customHeight="1" x14ac:dyDescent="0.2">
      <c r="B13148" s="11" t="s">
        <v>2605</v>
      </c>
      <c r="C13148" s="11" t="s">
        <v>24</v>
      </c>
    </row>
    <row r="13149" spans="1:4" ht="12.75" customHeight="1" x14ac:dyDescent="0.2">
      <c r="B13149" s="11" t="s">
        <v>2606</v>
      </c>
      <c r="C13149" s="16" t="s">
        <v>56</v>
      </c>
      <c r="D13149" s="6" t="str">
        <f>HYPERLINK("javascript:void(0)","rémszarv")</f>
        <v>rémszarv</v>
      </c>
    </row>
    <row r="13150" spans="1:4" ht="12.75" customHeight="1" x14ac:dyDescent="0.2">
      <c r="B13150" s="2"/>
      <c r="C13150" s="15"/>
      <c r="D13150" s="2"/>
    </row>
    <row r="13151" spans="1:4" ht="12.75" customHeight="1" x14ac:dyDescent="0.2">
      <c r="B13151" s="2"/>
      <c r="C13151" s="15"/>
      <c r="D13151" s="2"/>
    </row>
    <row r="13152" spans="1:4" ht="12.75" customHeight="1" x14ac:dyDescent="0.2">
      <c r="A13152" s="13" t="s">
        <v>4671</v>
      </c>
      <c r="C13152" s="12"/>
    </row>
    <row r="13153" spans="1:4" ht="12.75" customHeight="1" x14ac:dyDescent="0.2">
      <c r="A13153" s="11"/>
      <c r="B13153" s="2"/>
      <c r="C13153" s="15"/>
      <c r="D13153" s="2"/>
    </row>
    <row r="13154" spans="1:4" ht="12.75" customHeight="1" x14ac:dyDescent="0.2">
      <c r="B13154" s="11" t="s">
        <v>0</v>
      </c>
      <c r="C13154" s="11" t="s">
        <v>275</v>
      </c>
    </row>
    <row r="13155" spans="1:4" ht="12.75" customHeight="1" x14ac:dyDescent="0.2">
      <c r="B13155" s="11" t="s">
        <v>2599</v>
      </c>
      <c r="C13155" s="11" t="s">
        <v>4672</v>
      </c>
    </row>
    <row r="13156" spans="1:4" ht="25.5" customHeight="1" x14ac:dyDescent="0.2">
      <c r="B13156" s="11" t="s">
        <v>2600</v>
      </c>
      <c r="C13156" s="11" t="s">
        <v>4673</v>
      </c>
    </row>
    <row r="13157" spans="1:4" ht="25.5" customHeight="1" x14ac:dyDescent="0.2">
      <c r="B13157" s="11" t="s">
        <v>2601</v>
      </c>
      <c r="C13157" s="11"/>
    </row>
    <row r="13158" spans="1:4" ht="12.75" customHeight="1" x14ac:dyDescent="0.2">
      <c r="B13158" s="11" t="s">
        <v>16</v>
      </c>
      <c r="C13158" s="11"/>
    </row>
    <row r="13159" spans="1:4" ht="12.75" customHeight="1" x14ac:dyDescent="0.2">
      <c r="B13159" s="11" t="s">
        <v>13</v>
      </c>
      <c r="C13159" s="11" t="s">
        <v>2644</v>
      </c>
    </row>
    <row r="13160" spans="1:4" ht="12.75" customHeight="1" x14ac:dyDescent="0.2">
      <c r="B13160" s="11" t="s">
        <v>2603</v>
      </c>
      <c r="C13160" s="11" t="s">
        <v>2604</v>
      </c>
    </row>
    <row r="13161" spans="1:4" ht="12.75" customHeight="1" x14ac:dyDescent="0.2">
      <c r="B13161" s="11" t="s">
        <v>2605</v>
      </c>
      <c r="C13161" s="11" t="s">
        <v>14</v>
      </c>
    </row>
    <row r="13162" spans="1:4" ht="25.5" customHeight="1" x14ac:dyDescent="0.2">
      <c r="B13162" s="11" t="s">
        <v>2606</v>
      </c>
      <c r="C13162" s="16" t="s">
        <v>44</v>
      </c>
      <c r="D13162" s="6" t="str">
        <f>HYPERLINK("javascript:void(0)","szabo-penge")</f>
        <v>szabo-penge</v>
      </c>
    </row>
    <row r="13163" spans="1:4" ht="12.75" customHeight="1" x14ac:dyDescent="0.2">
      <c r="B13163" s="2"/>
      <c r="C13163" s="15"/>
      <c r="D13163" s="2"/>
    </row>
    <row r="13164" spans="1:4" ht="12.75" customHeight="1" x14ac:dyDescent="0.2">
      <c r="B13164" s="2"/>
      <c r="C13164" s="15"/>
      <c r="D13164" s="2"/>
    </row>
    <row r="13165" spans="1:4" ht="12.75" customHeight="1" x14ac:dyDescent="0.2">
      <c r="A13165" s="13" t="s">
        <v>4674</v>
      </c>
      <c r="C13165" s="12"/>
    </row>
    <row r="13166" spans="1:4" ht="12.75" customHeight="1" x14ac:dyDescent="0.2">
      <c r="A13166" s="11"/>
      <c r="B13166" s="2"/>
      <c r="C13166" s="15"/>
      <c r="D13166" s="2"/>
    </row>
    <row r="13167" spans="1:4" ht="12.75" customHeight="1" x14ac:dyDescent="0.2">
      <c r="B13167" s="11" t="s">
        <v>0</v>
      </c>
      <c r="C13167" s="11" t="s">
        <v>275</v>
      </c>
    </row>
    <row r="13168" spans="1:4" ht="12.75" customHeight="1" x14ac:dyDescent="0.2">
      <c r="B13168" s="11" t="s">
        <v>2599</v>
      </c>
      <c r="C13168" s="11" t="s">
        <v>2687</v>
      </c>
    </row>
    <row r="13169" spans="1:4" ht="25.5" customHeight="1" x14ac:dyDescent="0.2">
      <c r="B13169" s="11" t="s">
        <v>2600</v>
      </c>
      <c r="C13169" s="11" t="s">
        <v>4676</v>
      </c>
    </row>
    <row r="13170" spans="1:4" ht="25.5" customHeight="1" x14ac:dyDescent="0.2">
      <c r="B13170" s="11" t="s">
        <v>2601</v>
      </c>
      <c r="C13170" s="11"/>
    </row>
    <row r="13171" spans="1:4" ht="12.75" customHeight="1" x14ac:dyDescent="0.2">
      <c r="B13171" s="11" t="s">
        <v>16</v>
      </c>
      <c r="C13171" s="11"/>
    </row>
    <row r="13172" spans="1:4" ht="12.75" customHeight="1" x14ac:dyDescent="0.2">
      <c r="B13172" s="11" t="s">
        <v>13</v>
      </c>
      <c r="C13172" s="11" t="s">
        <v>2644</v>
      </c>
    </row>
    <row r="13173" spans="1:4" ht="12.75" customHeight="1" x14ac:dyDescent="0.2">
      <c r="B13173" s="11" t="s">
        <v>2603</v>
      </c>
      <c r="C13173" s="11" t="s">
        <v>2604</v>
      </c>
    </row>
    <row r="13174" spans="1:4" ht="12.75" customHeight="1" x14ac:dyDescent="0.2">
      <c r="B13174" s="11" t="s">
        <v>2605</v>
      </c>
      <c r="C13174" s="11" t="s">
        <v>24</v>
      </c>
    </row>
    <row r="13175" spans="1:4" ht="12.75" customHeight="1" x14ac:dyDescent="0.2">
      <c r="B13175" s="11" t="s">
        <v>2606</v>
      </c>
      <c r="C13175" s="16" t="s">
        <v>269</v>
      </c>
      <c r="D13175" s="6" t="str">
        <f>HYPERLINK("javascript:void(0)","kincs")</f>
        <v>kincs</v>
      </c>
    </row>
    <row r="13176" spans="1:4" ht="12.75" customHeight="1" x14ac:dyDescent="0.2">
      <c r="B13176" s="2"/>
      <c r="C13176" s="15"/>
      <c r="D13176" s="2"/>
    </row>
    <row r="13177" spans="1:4" ht="12.75" customHeight="1" x14ac:dyDescent="0.2">
      <c r="B13177" s="2"/>
      <c r="C13177" s="15"/>
      <c r="D13177" s="2"/>
    </row>
    <row r="13178" spans="1:4" ht="12.75" customHeight="1" x14ac:dyDescent="0.2">
      <c r="A13178" s="13" t="s">
        <v>4677</v>
      </c>
      <c r="C13178" s="12"/>
    </row>
    <row r="13179" spans="1:4" ht="12.75" customHeight="1" x14ac:dyDescent="0.2">
      <c r="A13179" s="11"/>
      <c r="B13179" s="2"/>
      <c r="C13179" s="15"/>
      <c r="D13179" s="2"/>
    </row>
    <row r="13180" spans="1:4" ht="12.75" customHeight="1" x14ac:dyDescent="0.2">
      <c r="B13180" s="11" t="s">
        <v>0</v>
      </c>
      <c r="C13180" s="11" t="s">
        <v>275</v>
      </c>
    </row>
    <row r="13181" spans="1:4" ht="12.75" customHeight="1" x14ac:dyDescent="0.2">
      <c r="B13181" s="11" t="s">
        <v>2599</v>
      </c>
      <c r="C13181" s="11" t="s">
        <v>3220</v>
      </c>
    </row>
    <row r="13182" spans="1:4" ht="25.5" customHeight="1" x14ac:dyDescent="0.2">
      <c r="B13182" s="11" t="s">
        <v>2600</v>
      </c>
      <c r="C13182" s="11" t="s">
        <v>4678</v>
      </c>
    </row>
    <row r="13183" spans="1:4" ht="25.5" customHeight="1" x14ac:dyDescent="0.2">
      <c r="B13183" s="11" t="s">
        <v>2601</v>
      </c>
      <c r="C13183" s="11"/>
    </row>
    <row r="13184" spans="1:4" ht="12.75" customHeight="1" x14ac:dyDescent="0.2">
      <c r="B13184" s="11" t="s">
        <v>16</v>
      </c>
      <c r="C13184" s="11"/>
    </row>
    <row r="13185" spans="1:4" ht="12.75" customHeight="1" x14ac:dyDescent="0.2">
      <c r="B13185" s="11" t="s">
        <v>13</v>
      </c>
      <c r="C13185" s="11" t="s">
        <v>2644</v>
      </c>
    </row>
    <row r="13186" spans="1:4" ht="12.75" customHeight="1" x14ac:dyDescent="0.2">
      <c r="B13186" s="11" t="s">
        <v>2603</v>
      </c>
      <c r="C13186" s="11" t="s">
        <v>2604</v>
      </c>
    </row>
    <row r="13187" spans="1:4" ht="12.75" customHeight="1" x14ac:dyDescent="0.2">
      <c r="B13187" s="11" t="s">
        <v>2605</v>
      </c>
      <c r="C13187" s="11" t="s">
        <v>14</v>
      </c>
    </row>
    <row r="13188" spans="1:4" ht="12.75" customHeight="1" x14ac:dyDescent="0.2">
      <c r="B13188" s="11" t="s">
        <v>2606</v>
      </c>
      <c r="C13188" s="16" t="s">
        <v>98</v>
      </c>
      <c r="D13188" s="6" t="str">
        <f>HYPERLINK("javascript:void(0)","kincs")</f>
        <v>kincs</v>
      </c>
    </row>
    <row r="13189" spans="1:4" ht="12.75" customHeight="1" x14ac:dyDescent="0.2">
      <c r="B13189" s="2"/>
      <c r="C13189" s="15"/>
      <c r="D13189" s="2"/>
    </row>
    <row r="13190" spans="1:4" ht="12.75" customHeight="1" x14ac:dyDescent="0.2">
      <c r="B13190" s="2"/>
      <c r="C13190" s="15"/>
      <c r="D13190" s="2"/>
    </row>
    <row r="13191" spans="1:4" ht="12.75" customHeight="1" x14ac:dyDescent="0.2">
      <c r="A13191" s="13" t="s">
        <v>4679</v>
      </c>
      <c r="C13191" s="12"/>
    </row>
    <row r="13192" spans="1:4" ht="12.75" customHeight="1" x14ac:dyDescent="0.2">
      <c r="A13192" s="11"/>
      <c r="B13192" s="2"/>
      <c r="C13192" s="15"/>
      <c r="D13192" s="2"/>
    </row>
    <row r="13193" spans="1:4" ht="12.75" customHeight="1" x14ac:dyDescent="0.2">
      <c r="B13193" s="11" t="s">
        <v>0</v>
      </c>
      <c r="C13193" s="11" t="s">
        <v>275</v>
      </c>
    </row>
    <row r="13194" spans="1:4" ht="12.75" customHeight="1" x14ac:dyDescent="0.2">
      <c r="B13194" s="11" t="s">
        <v>2599</v>
      </c>
      <c r="C13194" s="11" t="s">
        <v>4680</v>
      </c>
    </row>
    <row r="13195" spans="1:4" ht="25.5" customHeight="1" x14ac:dyDescent="0.2">
      <c r="B13195" s="11" t="s">
        <v>2600</v>
      </c>
      <c r="C13195" s="11" t="s">
        <v>4681</v>
      </c>
    </row>
    <row r="13196" spans="1:4" ht="25.5" customHeight="1" x14ac:dyDescent="0.2">
      <c r="B13196" s="11" t="s">
        <v>2601</v>
      </c>
      <c r="C13196" s="11"/>
    </row>
    <row r="13197" spans="1:4" ht="12.75" customHeight="1" x14ac:dyDescent="0.2">
      <c r="B13197" s="11" t="s">
        <v>16</v>
      </c>
      <c r="C13197" s="11"/>
    </row>
    <row r="13198" spans="1:4" ht="12.75" customHeight="1" x14ac:dyDescent="0.2">
      <c r="B13198" s="11" t="s">
        <v>13</v>
      </c>
      <c r="C13198" s="11" t="s">
        <v>2602</v>
      </c>
    </row>
    <row r="13199" spans="1:4" ht="12.75" customHeight="1" x14ac:dyDescent="0.2">
      <c r="B13199" s="11" t="s">
        <v>2603</v>
      </c>
      <c r="C13199" s="11" t="s">
        <v>2604</v>
      </c>
    </row>
    <row r="13200" spans="1:4" ht="12.75" customHeight="1" x14ac:dyDescent="0.2">
      <c r="B13200" s="11" t="s">
        <v>2605</v>
      </c>
      <c r="C13200" s="11" t="s">
        <v>14</v>
      </c>
    </row>
    <row r="13201" spans="1:4" ht="12.75" customHeight="1" x14ac:dyDescent="0.2">
      <c r="B13201" s="11" t="s">
        <v>2606</v>
      </c>
      <c r="C13201" s="16" t="s">
        <v>56</v>
      </c>
      <c r="D13201" s="6" t="str">
        <f>HYPERLINK("javascript:void(0)","bázispár")</f>
        <v>bázispár</v>
      </c>
    </row>
    <row r="13202" spans="1:4" ht="12.75" customHeight="1" x14ac:dyDescent="0.2">
      <c r="B13202" s="2"/>
      <c r="C13202" s="15"/>
      <c r="D13202" s="2"/>
    </row>
    <row r="13203" spans="1:4" ht="12.75" customHeight="1" x14ac:dyDescent="0.2">
      <c r="B13203" s="2"/>
      <c r="C13203" s="15"/>
      <c r="D13203" s="2"/>
    </row>
    <row r="13204" spans="1:4" ht="12.75" customHeight="1" x14ac:dyDescent="0.2">
      <c r="A13204" s="13" t="s">
        <v>4569</v>
      </c>
      <c r="C13204" s="12"/>
      <c r="D13204" s="2"/>
    </row>
    <row r="13205" spans="1:4" ht="12.75" customHeight="1" x14ac:dyDescent="0.2">
      <c r="A13205" s="11"/>
      <c r="B13205" s="2"/>
      <c r="C13205" s="15"/>
      <c r="D13205" s="2"/>
    </row>
    <row r="13206" spans="1:4" ht="12.75" customHeight="1" x14ac:dyDescent="0.2">
      <c r="B13206" s="11" t="s">
        <v>0</v>
      </c>
      <c r="C13206" s="17" t="s">
        <v>275</v>
      </c>
      <c r="D13206" s="2"/>
    </row>
    <row r="13207" spans="1:4" ht="12.75" customHeight="1" x14ac:dyDescent="0.2">
      <c r="B13207" s="11" t="s">
        <v>2599</v>
      </c>
      <c r="C13207" s="17" t="s">
        <v>4570</v>
      </c>
      <c r="D13207" s="2"/>
    </row>
    <row r="13208" spans="1:4" ht="25.5" customHeight="1" x14ac:dyDescent="0.2">
      <c r="B13208" s="11" t="s">
        <v>2600</v>
      </c>
      <c r="C13208" s="17" t="s">
        <v>4682</v>
      </c>
      <c r="D13208" s="2"/>
    </row>
    <row r="13209" spans="1:4" ht="25.5" customHeight="1" x14ac:dyDescent="0.2">
      <c r="B13209" s="11" t="s">
        <v>2601</v>
      </c>
      <c r="C13209" s="17"/>
      <c r="D13209" s="2"/>
    </row>
    <row r="13210" spans="1:4" ht="12.75" customHeight="1" x14ac:dyDescent="0.2">
      <c r="B13210" s="11" t="s">
        <v>16</v>
      </c>
      <c r="C13210" s="17"/>
      <c r="D13210" s="2"/>
    </row>
    <row r="13211" spans="1:4" ht="12.75" customHeight="1" x14ac:dyDescent="0.2">
      <c r="B13211" s="11" t="s">
        <v>13</v>
      </c>
      <c r="C13211" s="17" t="s">
        <v>2602</v>
      </c>
      <c r="D13211" s="2"/>
    </row>
    <row r="13212" spans="1:4" ht="25.5" customHeight="1" x14ac:dyDescent="0.2">
      <c r="B13212" s="11" t="s">
        <v>2603</v>
      </c>
      <c r="C13212" s="17" t="s">
        <v>2971</v>
      </c>
      <c r="D13212" s="2"/>
    </row>
    <row r="13213" spans="1:4" ht="12.75" customHeight="1" x14ac:dyDescent="0.2">
      <c r="B13213" s="11" t="s">
        <v>2605</v>
      </c>
      <c r="C13213" s="17" t="s">
        <v>14</v>
      </c>
      <c r="D13213" s="2"/>
    </row>
    <row r="13214" spans="1:4" ht="12.75" customHeight="1" x14ac:dyDescent="0.2">
      <c r="B13214" s="11" t="s">
        <v>2606</v>
      </c>
      <c r="C13214" s="16" t="s">
        <v>19</v>
      </c>
      <c r="D13214" s="2"/>
    </row>
    <row r="13215" spans="1:4" ht="12.75" customHeight="1" x14ac:dyDescent="0.2">
      <c r="B13215" s="2"/>
      <c r="C13215" s="15"/>
      <c r="D13215" s="2"/>
    </row>
    <row r="13216" spans="1:4" ht="12.75" customHeight="1" x14ac:dyDescent="0.2">
      <c r="B13216" s="2"/>
      <c r="C13216" s="15"/>
      <c r="D13216" s="2"/>
    </row>
    <row r="13217" spans="1:4" ht="12.75" customHeight="1" x14ac:dyDescent="0.2">
      <c r="A13217" s="13" t="s">
        <v>4572</v>
      </c>
      <c r="C13217" s="12"/>
      <c r="D13217" s="2"/>
    </row>
    <row r="13218" spans="1:4" ht="12.75" customHeight="1" x14ac:dyDescent="0.2">
      <c r="A13218" s="11"/>
      <c r="B13218" s="2"/>
      <c r="C13218" s="15"/>
      <c r="D13218" s="2"/>
    </row>
    <row r="13219" spans="1:4" ht="12.75" customHeight="1" x14ac:dyDescent="0.2">
      <c r="B13219" s="11" t="s">
        <v>0</v>
      </c>
      <c r="C13219" s="17" t="s">
        <v>275</v>
      </c>
      <c r="D13219" s="2"/>
    </row>
    <row r="13220" spans="1:4" ht="12.75" customHeight="1" x14ac:dyDescent="0.2">
      <c r="B13220" s="11" t="s">
        <v>2599</v>
      </c>
      <c r="C13220" s="17" t="s">
        <v>706</v>
      </c>
      <c r="D13220" s="2"/>
    </row>
    <row r="13221" spans="1:4" ht="25.5" customHeight="1" x14ac:dyDescent="0.2">
      <c r="B13221" s="11" t="s">
        <v>2600</v>
      </c>
      <c r="C13221" s="17" t="s">
        <v>4683</v>
      </c>
      <c r="D13221" s="2"/>
    </row>
    <row r="13222" spans="1:4" ht="25.5" customHeight="1" x14ac:dyDescent="0.2">
      <c r="B13222" s="11" t="s">
        <v>2601</v>
      </c>
      <c r="C13222" s="17"/>
      <c r="D13222" s="2"/>
    </row>
    <row r="13223" spans="1:4" ht="12.75" customHeight="1" x14ac:dyDescent="0.2">
      <c r="B13223" s="11" t="s">
        <v>16</v>
      </c>
      <c r="C13223" s="17"/>
      <c r="D13223" s="2"/>
    </row>
    <row r="13224" spans="1:4" ht="12.75" customHeight="1" x14ac:dyDescent="0.2">
      <c r="B13224" s="11" t="s">
        <v>13</v>
      </c>
      <c r="C13224" s="17" t="s">
        <v>2644</v>
      </c>
      <c r="D13224" s="2"/>
    </row>
    <row r="13225" spans="1:4" ht="25.5" customHeight="1" x14ac:dyDescent="0.2">
      <c r="B13225" s="11" t="s">
        <v>2603</v>
      </c>
      <c r="C13225" s="17" t="s">
        <v>2971</v>
      </c>
      <c r="D13225" s="2"/>
    </row>
    <row r="13226" spans="1:4" ht="12.75" customHeight="1" x14ac:dyDescent="0.2">
      <c r="B13226" s="11" t="s">
        <v>2605</v>
      </c>
      <c r="C13226" s="17" t="s">
        <v>14</v>
      </c>
      <c r="D13226" s="2"/>
    </row>
    <row r="13227" spans="1:4" ht="12.75" customHeight="1" x14ac:dyDescent="0.2">
      <c r="B13227" s="11" t="s">
        <v>2606</v>
      </c>
      <c r="C13227" s="16" t="s">
        <v>19</v>
      </c>
      <c r="D13227" s="2"/>
    </row>
    <row r="13228" spans="1:4" ht="12.75" customHeight="1" x14ac:dyDescent="0.2">
      <c r="B13228" s="2"/>
      <c r="C13228" s="15"/>
      <c r="D13228" s="2"/>
    </row>
    <row r="13229" spans="1:4" ht="12.75" customHeight="1" x14ac:dyDescent="0.2">
      <c r="B13229" s="2"/>
      <c r="C13229" s="15"/>
      <c r="D13229" s="2"/>
    </row>
    <row r="13230" spans="1:4" ht="12.75" customHeight="1" x14ac:dyDescent="0.2">
      <c r="A13230" s="13" t="s">
        <v>4574</v>
      </c>
      <c r="C13230" s="12"/>
      <c r="D13230" s="2"/>
    </row>
    <row r="13231" spans="1:4" ht="12.75" customHeight="1" x14ac:dyDescent="0.2">
      <c r="A13231" s="11"/>
      <c r="B13231" s="2"/>
      <c r="C13231" s="15"/>
      <c r="D13231" s="2"/>
    </row>
    <row r="13232" spans="1:4" ht="12.75" customHeight="1" x14ac:dyDescent="0.2">
      <c r="B13232" s="11" t="s">
        <v>0</v>
      </c>
      <c r="C13232" s="17" t="s">
        <v>275</v>
      </c>
      <c r="D13232" s="2"/>
    </row>
    <row r="13233" spans="1:4" ht="12.75" customHeight="1" x14ac:dyDescent="0.2">
      <c r="B13233" s="11" t="s">
        <v>2599</v>
      </c>
      <c r="C13233" s="17" t="s">
        <v>4575</v>
      </c>
      <c r="D13233" s="2"/>
    </row>
    <row r="13234" spans="1:4" ht="25.5" customHeight="1" x14ac:dyDescent="0.2">
      <c r="B13234" s="11" t="s">
        <v>2600</v>
      </c>
      <c r="C13234" s="17" t="s">
        <v>4684</v>
      </c>
      <c r="D13234" s="2"/>
    </row>
    <row r="13235" spans="1:4" ht="25.5" customHeight="1" x14ac:dyDescent="0.2">
      <c r="B13235" s="11" t="s">
        <v>2601</v>
      </c>
      <c r="C13235" s="17"/>
      <c r="D13235" s="2"/>
    </row>
    <row r="13236" spans="1:4" ht="12.75" customHeight="1" x14ac:dyDescent="0.2">
      <c r="B13236" s="11" t="s">
        <v>16</v>
      </c>
      <c r="C13236" s="17"/>
      <c r="D13236" s="2"/>
    </row>
    <row r="13237" spans="1:4" ht="12.75" customHeight="1" x14ac:dyDescent="0.2">
      <c r="B13237" s="11" t="s">
        <v>13</v>
      </c>
      <c r="C13237" s="17" t="s">
        <v>2602</v>
      </c>
      <c r="D13237" s="2"/>
    </row>
    <row r="13238" spans="1:4" ht="25.5" customHeight="1" x14ac:dyDescent="0.2">
      <c r="B13238" s="11" t="s">
        <v>2603</v>
      </c>
      <c r="C13238" s="17" t="s">
        <v>2971</v>
      </c>
      <c r="D13238" s="2"/>
    </row>
    <row r="13239" spans="1:4" ht="12.75" customHeight="1" x14ac:dyDescent="0.2">
      <c r="B13239" s="11" t="s">
        <v>2605</v>
      </c>
      <c r="C13239" s="17" t="s">
        <v>14</v>
      </c>
      <c r="D13239" s="2"/>
    </row>
    <row r="13240" spans="1:4" ht="12.75" customHeight="1" x14ac:dyDescent="0.2">
      <c r="B13240" s="11" t="s">
        <v>2606</v>
      </c>
      <c r="C13240" s="16" t="s">
        <v>19</v>
      </c>
      <c r="D13240" s="2"/>
    </row>
    <row r="13241" spans="1:4" ht="12.75" customHeight="1" x14ac:dyDescent="0.2">
      <c r="B13241" s="2"/>
      <c r="C13241" s="15"/>
      <c r="D13241" s="2"/>
    </row>
    <row r="13242" spans="1:4" ht="12.75" customHeight="1" x14ac:dyDescent="0.2">
      <c r="B13242" s="2"/>
      <c r="C13242" s="15"/>
      <c r="D13242" s="2"/>
    </row>
    <row r="13243" spans="1:4" ht="12.75" customHeight="1" x14ac:dyDescent="0.2">
      <c r="A13243" s="13" t="s">
        <v>4685</v>
      </c>
      <c r="C13243" s="12"/>
      <c r="D13243" s="2"/>
    </row>
    <row r="13244" spans="1:4" ht="12.75" customHeight="1" x14ac:dyDescent="0.2">
      <c r="A13244" s="11"/>
      <c r="B13244" s="2"/>
      <c r="C13244" s="15"/>
      <c r="D13244" s="2"/>
    </row>
    <row r="13245" spans="1:4" ht="12.75" customHeight="1" x14ac:dyDescent="0.2">
      <c r="B13245" s="11" t="s">
        <v>0</v>
      </c>
      <c r="C13245" s="17" t="s">
        <v>161</v>
      </c>
      <c r="D13245" s="2"/>
    </row>
    <row r="13246" spans="1:4" ht="12.75" customHeight="1" x14ac:dyDescent="0.2">
      <c r="B13246" s="11" t="s">
        <v>2599</v>
      </c>
      <c r="C13246" s="17" t="s">
        <v>4686</v>
      </c>
      <c r="D13246" s="2"/>
    </row>
    <row r="13247" spans="1:4" ht="25.5" customHeight="1" x14ac:dyDescent="0.2">
      <c r="B13247" s="11" t="s">
        <v>2600</v>
      </c>
      <c r="C13247" s="17" t="s">
        <v>4687</v>
      </c>
      <c r="D13247" s="2"/>
    </row>
    <row r="13248" spans="1:4" ht="25.5" customHeight="1" x14ac:dyDescent="0.2">
      <c r="B13248" s="11" t="s">
        <v>2601</v>
      </c>
      <c r="C13248" s="17"/>
      <c r="D13248" s="2"/>
    </row>
    <row r="13249" spans="1:4" ht="12.75" customHeight="1" x14ac:dyDescent="0.2">
      <c r="B13249" s="11" t="s">
        <v>16</v>
      </c>
      <c r="C13249" s="17"/>
      <c r="D13249" s="2"/>
    </row>
    <row r="13250" spans="1:4" ht="12.75" customHeight="1" x14ac:dyDescent="0.2">
      <c r="B13250" s="11" t="s">
        <v>13</v>
      </c>
      <c r="C13250" s="17" t="s">
        <v>2602</v>
      </c>
      <c r="D13250" s="2"/>
    </row>
    <row r="13251" spans="1:4" ht="25.5" customHeight="1" x14ac:dyDescent="0.2">
      <c r="B13251" s="11" t="s">
        <v>2603</v>
      </c>
      <c r="C13251" s="17" t="s">
        <v>2971</v>
      </c>
      <c r="D13251" s="2"/>
    </row>
    <row r="13252" spans="1:4" ht="12.75" customHeight="1" x14ac:dyDescent="0.2">
      <c r="B13252" s="11" t="s">
        <v>2605</v>
      </c>
      <c r="C13252" s="17" t="s">
        <v>14</v>
      </c>
      <c r="D13252" s="2"/>
    </row>
    <row r="13253" spans="1:4" ht="12.75" customHeight="1" x14ac:dyDescent="0.2">
      <c r="B13253" s="11" t="s">
        <v>2606</v>
      </c>
      <c r="C13253" s="16" t="s">
        <v>19</v>
      </c>
      <c r="D13253" s="2"/>
    </row>
    <row r="13254" spans="1:4" ht="12.75" customHeight="1" x14ac:dyDescent="0.2">
      <c r="B13254" s="2"/>
      <c r="C13254" s="15"/>
      <c r="D13254" s="2"/>
    </row>
    <row r="13255" spans="1:4" ht="12.75" customHeight="1" x14ac:dyDescent="0.2">
      <c r="B13255" s="2"/>
      <c r="C13255" s="15"/>
      <c r="D13255" s="2"/>
    </row>
    <row r="13256" spans="1:4" ht="12.75" customHeight="1" x14ac:dyDescent="0.2">
      <c r="A13256" s="13" t="s">
        <v>4688</v>
      </c>
      <c r="C13256" s="12"/>
      <c r="D13256" s="2"/>
    </row>
    <row r="13257" spans="1:4" ht="12.75" customHeight="1" x14ac:dyDescent="0.2">
      <c r="A13257" s="11"/>
      <c r="B13257" s="2"/>
      <c r="C13257" s="15"/>
      <c r="D13257" s="2"/>
    </row>
    <row r="13258" spans="1:4" ht="12.75" customHeight="1" x14ac:dyDescent="0.2">
      <c r="B13258" s="11" t="s">
        <v>0</v>
      </c>
      <c r="C13258" s="17" t="s">
        <v>161</v>
      </c>
      <c r="D13258" s="2"/>
    </row>
    <row r="13259" spans="1:4" ht="12.75" customHeight="1" x14ac:dyDescent="0.2">
      <c r="B13259" s="11" t="s">
        <v>2599</v>
      </c>
      <c r="C13259" s="17" t="s">
        <v>629</v>
      </c>
      <c r="D13259" s="2"/>
    </row>
    <row r="13260" spans="1:4" ht="25.5" customHeight="1" x14ac:dyDescent="0.2">
      <c r="B13260" s="11" t="s">
        <v>2600</v>
      </c>
      <c r="C13260" s="17" t="s">
        <v>4689</v>
      </c>
      <c r="D13260" s="2"/>
    </row>
    <row r="13261" spans="1:4" ht="25.5" customHeight="1" x14ac:dyDescent="0.2">
      <c r="B13261" s="11" t="s">
        <v>2601</v>
      </c>
      <c r="C13261" s="17"/>
      <c r="D13261" s="2"/>
    </row>
    <row r="13262" spans="1:4" ht="12.75" customHeight="1" x14ac:dyDescent="0.2">
      <c r="B13262" s="11" t="s">
        <v>16</v>
      </c>
      <c r="C13262" s="17"/>
      <c r="D13262" s="2"/>
    </row>
    <row r="13263" spans="1:4" ht="12.75" customHeight="1" x14ac:dyDescent="0.2">
      <c r="B13263" s="11" t="s">
        <v>13</v>
      </c>
      <c r="C13263" s="17" t="s">
        <v>2644</v>
      </c>
      <c r="D13263" s="2"/>
    </row>
    <row r="13264" spans="1:4" ht="25.5" customHeight="1" x14ac:dyDescent="0.2">
      <c r="B13264" s="11" t="s">
        <v>2603</v>
      </c>
      <c r="C13264" s="17" t="s">
        <v>2971</v>
      </c>
      <c r="D13264" s="2"/>
    </row>
    <row r="13265" spans="1:4" ht="12.75" customHeight="1" x14ac:dyDescent="0.2">
      <c r="B13265" s="11" t="s">
        <v>2605</v>
      </c>
      <c r="C13265" s="17" t="s">
        <v>14</v>
      </c>
      <c r="D13265" s="2"/>
    </row>
    <row r="13266" spans="1:4" ht="12.75" customHeight="1" x14ac:dyDescent="0.2">
      <c r="B13266" s="11" t="s">
        <v>2606</v>
      </c>
      <c r="C13266" s="16" t="s">
        <v>19</v>
      </c>
      <c r="D13266" s="2"/>
    </row>
    <row r="13267" spans="1:4" ht="12.75" customHeight="1" x14ac:dyDescent="0.2">
      <c r="B13267" s="2"/>
      <c r="C13267" s="15"/>
      <c r="D13267" s="2"/>
    </row>
    <row r="13268" spans="1:4" ht="12.75" customHeight="1" x14ac:dyDescent="0.2">
      <c r="B13268" s="2"/>
      <c r="C13268" s="15"/>
      <c r="D13268" s="2"/>
    </row>
    <row r="13269" spans="1:4" ht="12.75" customHeight="1" x14ac:dyDescent="0.2">
      <c r="A13269" s="13" t="s">
        <v>4690</v>
      </c>
      <c r="C13269" s="12"/>
    </row>
    <row r="13270" spans="1:4" ht="12.75" customHeight="1" x14ac:dyDescent="0.2">
      <c r="A13270" s="11"/>
      <c r="B13270" s="2"/>
      <c r="C13270" s="15"/>
      <c r="D13270" s="2"/>
    </row>
    <row r="13271" spans="1:4" ht="12.75" customHeight="1" x14ac:dyDescent="0.2">
      <c r="B13271" s="11" t="s">
        <v>0</v>
      </c>
      <c r="C13271" s="11" t="s">
        <v>161</v>
      </c>
    </row>
    <row r="13272" spans="1:4" ht="12.75" customHeight="1" x14ac:dyDescent="0.2">
      <c r="B13272" s="11" t="s">
        <v>2599</v>
      </c>
      <c r="C13272" s="11" t="s">
        <v>4223</v>
      </c>
    </row>
    <row r="13273" spans="1:4" ht="25.5" customHeight="1" x14ac:dyDescent="0.2">
      <c r="B13273" s="11" t="s">
        <v>2600</v>
      </c>
      <c r="C13273" s="11" t="s">
        <v>4691</v>
      </c>
    </row>
    <row r="13274" spans="1:4" ht="25.5" customHeight="1" x14ac:dyDescent="0.2">
      <c r="B13274" s="11" t="s">
        <v>2601</v>
      </c>
      <c r="C13274" s="11"/>
    </row>
    <row r="13275" spans="1:4" ht="12.75" customHeight="1" x14ac:dyDescent="0.2">
      <c r="B13275" s="11" t="s">
        <v>16</v>
      </c>
      <c r="C13275" s="11"/>
    </row>
    <row r="13276" spans="1:4" ht="12.75" customHeight="1" x14ac:dyDescent="0.2">
      <c r="B13276" s="11" t="s">
        <v>13</v>
      </c>
      <c r="C13276" s="11" t="s">
        <v>2644</v>
      </c>
    </row>
    <row r="13277" spans="1:4" ht="12.75" customHeight="1" x14ac:dyDescent="0.2">
      <c r="B13277" s="11" t="s">
        <v>2603</v>
      </c>
      <c r="C13277" s="11" t="s">
        <v>2604</v>
      </c>
    </row>
    <row r="13278" spans="1:4" ht="12.75" customHeight="1" x14ac:dyDescent="0.2">
      <c r="B13278" s="11" t="s">
        <v>2605</v>
      </c>
      <c r="C13278" s="11" t="s">
        <v>14</v>
      </c>
    </row>
    <row r="13279" spans="1:4" ht="25.5" customHeight="1" x14ac:dyDescent="0.2">
      <c r="B13279" s="11" t="s">
        <v>2606</v>
      </c>
      <c r="C13279" s="16" t="s">
        <v>57</v>
      </c>
      <c r="D13279" s="6" t="str">
        <f>HYPERLINK("javascript:void(0)","extra manaital")</f>
        <v>extra manaital</v>
      </c>
    </row>
    <row r="13280" spans="1:4" ht="12.75" customHeight="1" x14ac:dyDescent="0.2">
      <c r="B13280" s="2"/>
      <c r="C13280" s="15"/>
      <c r="D13280" s="2"/>
    </row>
    <row r="13281" spans="1:4" ht="12.75" customHeight="1" x14ac:dyDescent="0.2">
      <c r="B13281" s="2"/>
      <c r="C13281" s="15"/>
      <c r="D13281" s="2"/>
    </row>
    <row r="13282" spans="1:4" ht="12.75" customHeight="1" x14ac:dyDescent="0.2">
      <c r="A13282" s="13" t="s">
        <v>4692</v>
      </c>
      <c r="C13282" s="12"/>
    </row>
    <row r="13283" spans="1:4" ht="12.75" customHeight="1" x14ac:dyDescent="0.2">
      <c r="A13283" s="11"/>
      <c r="B13283" s="2"/>
      <c r="C13283" s="15"/>
      <c r="D13283" s="2"/>
    </row>
    <row r="13284" spans="1:4" ht="12.75" customHeight="1" x14ac:dyDescent="0.2">
      <c r="B13284" s="11" t="s">
        <v>0</v>
      </c>
      <c r="C13284" s="11" t="s">
        <v>161</v>
      </c>
    </row>
    <row r="13285" spans="1:4" ht="12.75" customHeight="1" x14ac:dyDescent="0.2">
      <c r="B13285" s="11" t="s">
        <v>2599</v>
      </c>
      <c r="C13285" s="11" t="s">
        <v>4693</v>
      </c>
    </row>
    <row r="13286" spans="1:4" ht="25.5" customHeight="1" x14ac:dyDescent="0.2">
      <c r="B13286" s="11" t="s">
        <v>2600</v>
      </c>
      <c r="C13286" s="11" t="s">
        <v>4694</v>
      </c>
    </row>
    <row r="13287" spans="1:4" ht="25.5" customHeight="1" x14ac:dyDescent="0.2">
      <c r="B13287" s="11" t="s">
        <v>2601</v>
      </c>
      <c r="C13287" s="11"/>
    </row>
    <row r="13288" spans="1:4" ht="12.75" customHeight="1" x14ac:dyDescent="0.2">
      <c r="B13288" s="11" t="s">
        <v>16</v>
      </c>
      <c r="C13288" s="11"/>
    </row>
    <row r="13289" spans="1:4" ht="12.75" customHeight="1" x14ac:dyDescent="0.2">
      <c r="B13289" s="11" t="s">
        <v>13</v>
      </c>
      <c r="C13289" s="11" t="s">
        <v>2602</v>
      </c>
    </row>
    <row r="13290" spans="1:4" ht="12.75" customHeight="1" x14ac:dyDescent="0.2">
      <c r="B13290" s="11" t="s">
        <v>2603</v>
      </c>
      <c r="C13290" s="11" t="s">
        <v>2604</v>
      </c>
    </row>
    <row r="13291" spans="1:4" ht="12.75" customHeight="1" x14ac:dyDescent="0.2">
      <c r="B13291" s="11" t="s">
        <v>2605</v>
      </c>
      <c r="C13291" s="11" t="s">
        <v>24</v>
      </c>
    </row>
    <row r="13292" spans="1:4" ht="12.75" customHeight="1" x14ac:dyDescent="0.2">
      <c r="B13292" s="11" t="s">
        <v>2606</v>
      </c>
      <c r="C13292" s="16" t="s">
        <v>44</v>
      </c>
      <c r="D13292" s="6" t="str">
        <f>HYPERLINK("javascript:void(0)","hátszarv")</f>
        <v>hátszarv</v>
      </c>
    </row>
    <row r="13293" spans="1:4" ht="12.75" customHeight="1" x14ac:dyDescent="0.2">
      <c r="B13293" s="2"/>
      <c r="C13293" s="15"/>
      <c r="D13293" s="2"/>
    </row>
    <row r="13294" spans="1:4" ht="12.75" customHeight="1" x14ac:dyDescent="0.2">
      <c r="B13294" s="2"/>
      <c r="C13294" s="15"/>
      <c r="D13294" s="2"/>
    </row>
    <row r="13295" spans="1:4" ht="12.75" customHeight="1" x14ac:dyDescent="0.2">
      <c r="A13295" s="13" t="s">
        <v>4695</v>
      </c>
      <c r="C13295" s="12"/>
    </row>
    <row r="13296" spans="1:4" ht="12.75" customHeight="1" x14ac:dyDescent="0.2">
      <c r="A13296" s="11"/>
      <c r="B13296" s="2"/>
      <c r="C13296" s="15"/>
      <c r="D13296" s="2"/>
    </row>
    <row r="13297" spans="1:4" ht="12.75" customHeight="1" x14ac:dyDescent="0.2">
      <c r="B13297" s="11" t="s">
        <v>0</v>
      </c>
      <c r="C13297" s="11" t="s">
        <v>161</v>
      </c>
    </row>
    <row r="13298" spans="1:4" ht="12.75" customHeight="1" x14ac:dyDescent="0.2">
      <c r="B13298" s="11" t="s">
        <v>2599</v>
      </c>
      <c r="C13298" s="11" t="s">
        <v>1036</v>
      </c>
    </row>
    <row r="13299" spans="1:4" ht="25.5" customHeight="1" x14ac:dyDescent="0.2">
      <c r="B13299" s="11" t="s">
        <v>2600</v>
      </c>
      <c r="C13299" s="11" t="s">
        <v>4697</v>
      </c>
    </row>
    <row r="13300" spans="1:4" ht="25.5" customHeight="1" x14ac:dyDescent="0.2">
      <c r="B13300" s="11" t="s">
        <v>2601</v>
      </c>
      <c r="C13300" s="11"/>
    </row>
    <row r="13301" spans="1:4" ht="12.75" customHeight="1" x14ac:dyDescent="0.2">
      <c r="B13301" s="11" t="s">
        <v>16</v>
      </c>
      <c r="C13301" s="11"/>
    </row>
    <row r="13302" spans="1:4" ht="12.75" customHeight="1" x14ac:dyDescent="0.2">
      <c r="B13302" s="11" t="s">
        <v>13</v>
      </c>
      <c r="C13302" s="11" t="s">
        <v>2602</v>
      </c>
    </row>
    <row r="13303" spans="1:4" ht="12.75" customHeight="1" x14ac:dyDescent="0.2">
      <c r="B13303" s="11" t="s">
        <v>2603</v>
      </c>
      <c r="C13303" s="11" t="s">
        <v>2604</v>
      </c>
    </row>
    <row r="13304" spans="1:4" ht="12.75" customHeight="1" x14ac:dyDescent="0.2">
      <c r="B13304" s="11" t="s">
        <v>2605</v>
      </c>
      <c r="C13304" s="11" t="s">
        <v>14</v>
      </c>
    </row>
    <row r="13305" spans="1:4" ht="12.75" customHeight="1" x14ac:dyDescent="0.2">
      <c r="B13305" s="11" t="s">
        <v>2606</v>
      </c>
      <c r="C13305" s="16" t="s">
        <v>44</v>
      </c>
      <c r="D13305" s="6" t="str">
        <f>HYPERLINK("javascript:void(0)","rúna")</f>
        <v>rúna</v>
      </c>
    </row>
    <row r="13306" spans="1:4" ht="12.75" customHeight="1" x14ac:dyDescent="0.2">
      <c r="B13306" s="2"/>
      <c r="C13306" s="15"/>
      <c r="D13306" s="2"/>
    </row>
    <row r="13307" spans="1:4" ht="12.75" customHeight="1" x14ac:dyDescent="0.2">
      <c r="B13307" s="2"/>
      <c r="C13307" s="15"/>
      <c r="D13307" s="2"/>
    </row>
    <row r="13308" spans="1:4" ht="12.75" customHeight="1" x14ac:dyDescent="0.2">
      <c r="A13308" s="13" t="s">
        <v>4698</v>
      </c>
      <c r="C13308" s="12"/>
    </row>
    <row r="13309" spans="1:4" ht="12.75" customHeight="1" x14ac:dyDescent="0.2">
      <c r="A13309" s="11"/>
      <c r="B13309" s="2"/>
      <c r="C13309" s="15"/>
      <c r="D13309" s="2"/>
    </row>
    <row r="13310" spans="1:4" ht="12.75" customHeight="1" x14ac:dyDescent="0.2">
      <c r="B13310" s="11" t="s">
        <v>0</v>
      </c>
      <c r="C13310" s="11" t="s">
        <v>161</v>
      </c>
    </row>
    <row r="13311" spans="1:4" ht="12.75" customHeight="1" x14ac:dyDescent="0.2">
      <c r="B13311" s="11" t="s">
        <v>2599</v>
      </c>
      <c r="C13311" s="11" t="s">
        <v>4699</v>
      </c>
    </row>
    <row r="13312" spans="1:4" ht="25.5" customHeight="1" x14ac:dyDescent="0.2">
      <c r="B13312" s="11" t="s">
        <v>2600</v>
      </c>
      <c r="C13312" s="11" t="s">
        <v>4700</v>
      </c>
    </row>
    <row r="13313" spans="1:4" ht="25.5" customHeight="1" x14ac:dyDescent="0.2">
      <c r="B13313" s="11" t="s">
        <v>2601</v>
      </c>
      <c r="C13313" s="11"/>
    </row>
    <row r="13314" spans="1:4" ht="12.75" customHeight="1" x14ac:dyDescent="0.2">
      <c r="B13314" s="11" t="s">
        <v>16</v>
      </c>
      <c r="C13314" s="11"/>
    </row>
    <row r="13315" spans="1:4" ht="12.75" customHeight="1" x14ac:dyDescent="0.2">
      <c r="B13315" s="11" t="s">
        <v>13</v>
      </c>
      <c r="C13315" s="11" t="s">
        <v>2602</v>
      </c>
    </row>
    <row r="13316" spans="1:4" ht="12.75" customHeight="1" x14ac:dyDescent="0.2">
      <c r="B13316" s="11" t="s">
        <v>2603</v>
      </c>
      <c r="C13316" s="11" t="s">
        <v>2604</v>
      </c>
    </row>
    <row r="13317" spans="1:4" ht="12.75" customHeight="1" x14ac:dyDescent="0.2">
      <c r="B13317" s="11" t="s">
        <v>2605</v>
      </c>
      <c r="C13317" s="11" t="s">
        <v>24</v>
      </c>
    </row>
    <row r="13318" spans="1:4" ht="12.75" customHeight="1" x14ac:dyDescent="0.2">
      <c r="B13318" s="11" t="s">
        <v>2606</v>
      </c>
      <c r="C13318" s="16" t="s">
        <v>44</v>
      </c>
      <c r="D13318" s="6" t="str">
        <f>HYPERLINK("javascript:void(0)","lux")</f>
        <v>lux</v>
      </c>
    </row>
    <row r="13319" spans="1:4" ht="12.75" customHeight="1" x14ac:dyDescent="0.2">
      <c r="B13319" s="2"/>
      <c r="C13319" s="15"/>
      <c r="D13319" s="2"/>
    </row>
    <row r="13320" spans="1:4" ht="12.75" customHeight="1" x14ac:dyDescent="0.2">
      <c r="B13320" s="2"/>
      <c r="C13320" s="15"/>
      <c r="D13320" s="2"/>
    </row>
    <row r="13321" spans="1:4" ht="12.75" customHeight="1" x14ac:dyDescent="0.2">
      <c r="A13321" s="13" t="s">
        <v>4701</v>
      </c>
      <c r="C13321" s="12"/>
    </row>
    <row r="13322" spans="1:4" ht="12.75" customHeight="1" x14ac:dyDescent="0.2">
      <c r="A13322" s="11"/>
      <c r="B13322" s="2"/>
      <c r="C13322" s="15"/>
      <c r="D13322" s="2"/>
    </row>
    <row r="13323" spans="1:4" ht="12.75" customHeight="1" x14ac:dyDescent="0.2">
      <c r="B13323" s="11" t="s">
        <v>0</v>
      </c>
      <c r="C13323" s="11" t="s">
        <v>161</v>
      </c>
    </row>
    <row r="13324" spans="1:4" ht="12.75" customHeight="1" x14ac:dyDescent="0.2">
      <c r="B13324" s="11" t="s">
        <v>2599</v>
      </c>
      <c r="C13324" s="11" t="s">
        <v>4014</v>
      </c>
    </row>
    <row r="13325" spans="1:4" ht="25.5" customHeight="1" x14ac:dyDescent="0.2">
      <c r="B13325" s="11" t="s">
        <v>2600</v>
      </c>
      <c r="C13325" s="11" t="s">
        <v>4702</v>
      </c>
    </row>
    <row r="13326" spans="1:4" ht="25.5" customHeight="1" x14ac:dyDescent="0.2">
      <c r="B13326" s="11" t="s">
        <v>2601</v>
      </c>
      <c r="C13326" s="11"/>
    </row>
    <row r="13327" spans="1:4" ht="12.75" customHeight="1" x14ac:dyDescent="0.2">
      <c r="B13327" s="11" t="s">
        <v>16</v>
      </c>
      <c r="C13327" s="11"/>
    </row>
    <row r="13328" spans="1:4" ht="12.75" customHeight="1" x14ac:dyDescent="0.2">
      <c r="B13328" s="11" t="s">
        <v>13</v>
      </c>
      <c r="C13328" s="11" t="s">
        <v>2602</v>
      </c>
    </row>
    <row r="13329" spans="1:4" ht="12.75" customHeight="1" x14ac:dyDescent="0.2">
      <c r="B13329" s="11" t="s">
        <v>2603</v>
      </c>
      <c r="C13329" s="11" t="s">
        <v>2604</v>
      </c>
    </row>
    <row r="13330" spans="1:4" ht="12.75" customHeight="1" x14ac:dyDescent="0.2">
      <c r="B13330" s="11" t="s">
        <v>2605</v>
      </c>
      <c r="C13330" s="11" t="s">
        <v>14</v>
      </c>
    </row>
    <row r="13331" spans="1:4" ht="12.75" customHeight="1" x14ac:dyDescent="0.2">
      <c r="B13331" s="11" t="s">
        <v>2606</v>
      </c>
      <c r="C13331" s="16" t="s">
        <v>139</v>
      </c>
      <c r="D13331" s="6" t="str">
        <f>HYPERLINK("javascript:void(0)","kincs")</f>
        <v>kincs</v>
      </c>
    </row>
    <row r="13332" spans="1:4" ht="12.75" customHeight="1" x14ac:dyDescent="0.2">
      <c r="B13332" s="2"/>
      <c r="C13332" s="15"/>
      <c r="D13332" s="2"/>
    </row>
    <row r="13333" spans="1:4" ht="12.75" customHeight="1" x14ac:dyDescent="0.2">
      <c r="B13333" s="2"/>
      <c r="C13333" s="15"/>
      <c r="D13333" s="2"/>
    </row>
    <row r="13334" spans="1:4" ht="12.75" customHeight="1" x14ac:dyDescent="0.2">
      <c r="A13334" s="13" t="s">
        <v>4703</v>
      </c>
      <c r="C13334" s="12"/>
    </row>
    <row r="13335" spans="1:4" ht="12.75" customHeight="1" x14ac:dyDescent="0.2">
      <c r="A13335" s="11"/>
      <c r="B13335" s="2"/>
      <c r="C13335" s="15"/>
      <c r="D13335" s="2"/>
    </row>
    <row r="13336" spans="1:4" ht="12.75" customHeight="1" x14ac:dyDescent="0.2">
      <c r="B13336" s="11" t="s">
        <v>0</v>
      </c>
      <c r="C13336" s="11" t="s">
        <v>161</v>
      </c>
    </row>
    <row r="13337" spans="1:4" ht="12.75" customHeight="1" x14ac:dyDescent="0.2">
      <c r="B13337" s="11" t="s">
        <v>2599</v>
      </c>
      <c r="C13337" s="11" t="s">
        <v>4704</v>
      </c>
    </row>
    <row r="13338" spans="1:4" ht="25.5" customHeight="1" x14ac:dyDescent="0.2">
      <c r="B13338" s="11" t="s">
        <v>2600</v>
      </c>
      <c r="C13338" s="11" t="s">
        <v>4705</v>
      </c>
    </row>
    <row r="13339" spans="1:4" ht="25.5" customHeight="1" x14ac:dyDescent="0.2">
      <c r="B13339" s="11" t="s">
        <v>2601</v>
      </c>
      <c r="C13339" s="11"/>
    </row>
    <row r="13340" spans="1:4" ht="12.75" customHeight="1" x14ac:dyDescent="0.2">
      <c r="B13340" s="11" t="s">
        <v>16</v>
      </c>
      <c r="C13340" s="11"/>
    </row>
    <row r="13341" spans="1:4" ht="12.75" customHeight="1" x14ac:dyDescent="0.2">
      <c r="B13341" s="11" t="s">
        <v>13</v>
      </c>
      <c r="C13341" s="11" t="s">
        <v>2644</v>
      </c>
    </row>
    <row r="13342" spans="1:4" ht="12.75" customHeight="1" x14ac:dyDescent="0.2">
      <c r="B13342" s="11" t="s">
        <v>2603</v>
      </c>
      <c r="C13342" s="11" t="s">
        <v>2604</v>
      </c>
    </row>
    <row r="13343" spans="1:4" ht="12.75" customHeight="1" x14ac:dyDescent="0.2">
      <c r="B13343" s="11" t="s">
        <v>2605</v>
      </c>
      <c r="C13343" s="11" t="s">
        <v>24</v>
      </c>
    </row>
    <row r="13344" spans="1:4" ht="12.75" customHeight="1" x14ac:dyDescent="0.2">
      <c r="B13344" s="11" t="s">
        <v>2606</v>
      </c>
      <c r="C13344" s="16" t="s">
        <v>77</v>
      </c>
      <c r="D13344" s="6" t="str">
        <f>HYPERLINK("javascript:void(0)","serte")</f>
        <v>serte</v>
      </c>
    </row>
    <row r="13345" spans="1:4" ht="12.75" customHeight="1" x14ac:dyDescent="0.2">
      <c r="B13345" s="2"/>
      <c r="C13345" s="15"/>
      <c r="D13345" s="2"/>
    </row>
    <row r="13346" spans="1:4" ht="12.75" customHeight="1" x14ac:dyDescent="0.2">
      <c r="B13346" s="2"/>
      <c r="C13346" s="15"/>
      <c r="D13346" s="2"/>
    </row>
    <row r="13347" spans="1:4" ht="12.75" customHeight="1" x14ac:dyDescent="0.2">
      <c r="A13347" s="13" t="s">
        <v>4706</v>
      </c>
      <c r="C13347" s="12"/>
    </row>
    <row r="13348" spans="1:4" ht="12.75" customHeight="1" x14ac:dyDescent="0.2">
      <c r="A13348" s="11"/>
      <c r="B13348" s="2"/>
      <c r="C13348" s="15"/>
      <c r="D13348" s="2"/>
    </row>
    <row r="13349" spans="1:4" ht="12.75" customHeight="1" x14ac:dyDescent="0.2">
      <c r="B13349" s="11" t="s">
        <v>0</v>
      </c>
      <c r="C13349" s="11" t="s">
        <v>161</v>
      </c>
    </row>
    <row r="13350" spans="1:4" ht="12.75" customHeight="1" x14ac:dyDescent="0.2">
      <c r="B13350" s="11" t="s">
        <v>2599</v>
      </c>
      <c r="C13350" s="11" t="s">
        <v>717</v>
      </c>
    </row>
    <row r="13351" spans="1:4" ht="25.5" customHeight="1" x14ac:dyDescent="0.2">
      <c r="B13351" s="11" t="s">
        <v>2600</v>
      </c>
      <c r="C13351" s="11" t="s">
        <v>4707</v>
      </c>
    </row>
    <row r="13352" spans="1:4" ht="25.5" customHeight="1" x14ac:dyDescent="0.2">
      <c r="B13352" s="11" t="s">
        <v>2601</v>
      </c>
      <c r="C13352" s="11"/>
    </row>
    <row r="13353" spans="1:4" ht="12.75" customHeight="1" x14ac:dyDescent="0.2">
      <c r="B13353" s="11" t="s">
        <v>16</v>
      </c>
      <c r="C13353" s="11"/>
    </row>
    <row r="13354" spans="1:4" ht="12.75" customHeight="1" x14ac:dyDescent="0.2">
      <c r="B13354" s="11" t="s">
        <v>13</v>
      </c>
      <c r="C13354" s="11" t="s">
        <v>2644</v>
      </c>
    </row>
    <row r="13355" spans="1:4" ht="12.75" customHeight="1" x14ac:dyDescent="0.2">
      <c r="B13355" s="11" t="s">
        <v>2603</v>
      </c>
      <c r="C13355" s="11" t="s">
        <v>2604</v>
      </c>
    </row>
    <row r="13356" spans="1:4" ht="12.75" customHeight="1" x14ac:dyDescent="0.2">
      <c r="B13356" s="11" t="s">
        <v>2605</v>
      </c>
      <c r="C13356" s="11" t="s">
        <v>14</v>
      </c>
    </row>
    <row r="13357" spans="1:4" ht="12.75" customHeight="1" x14ac:dyDescent="0.2">
      <c r="B13357" s="11" t="s">
        <v>2606</v>
      </c>
      <c r="C13357" s="16" t="s">
        <v>98</v>
      </c>
      <c r="D13357" s="6" t="str">
        <f>HYPERLINK("javascript:void(0)","kincs")</f>
        <v>kincs</v>
      </c>
    </row>
    <row r="13358" spans="1:4" ht="12.75" customHeight="1" x14ac:dyDescent="0.2">
      <c r="B13358" s="2"/>
      <c r="C13358" s="15"/>
      <c r="D13358" s="2"/>
    </row>
    <row r="13359" spans="1:4" ht="12.75" customHeight="1" x14ac:dyDescent="0.2">
      <c r="B13359" s="2"/>
      <c r="C13359" s="15"/>
      <c r="D13359" s="2"/>
    </row>
    <row r="13360" spans="1:4" ht="12.75" customHeight="1" x14ac:dyDescent="0.2">
      <c r="A13360" s="13" t="s">
        <v>4708</v>
      </c>
      <c r="C13360" s="12"/>
    </row>
    <row r="13361" spans="1:4" ht="12.75" customHeight="1" x14ac:dyDescent="0.2">
      <c r="A13361" s="11"/>
      <c r="B13361" s="2"/>
      <c r="C13361" s="15"/>
      <c r="D13361" s="2"/>
    </row>
    <row r="13362" spans="1:4" ht="12.75" customHeight="1" x14ac:dyDescent="0.2">
      <c r="B13362" s="11" t="s">
        <v>0</v>
      </c>
      <c r="C13362" s="11" t="s">
        <v>161</v>
      </c>
    </row>
    <row r="13363" spans="1:4" ht="12.75" customHeight="1" x14ac:dyDescent="0.2">
      <c r="B13363" s="11" t="s">
        <v>2599</v>
      </c>
      <c r="C13363" s="11" t="s">
        <v>2496</v>
      </c>
    </row>
    <row r="13364" spans="1:4" ht="25.5" customHeight="1" x14ac:dyDescent="0.2">
      <c r="B13364" s="11" t="s">
        <v>2600</v>
      </c>
      <c r="C13364" s="11" t="s">
        <v>4709</v>
      </c>
    </row>
    <row r="13365" spans="1:4" ht="25.5" customHeight="1" x14ac:dyDescent="0.2">
      <c r="B13365" s="11" t="s">
        <v>2601</v>
      </c>
      <c r="C13365" s="11"/>
    </row>
    <row r="13366" spans="1:4" ht="12.75" customHeight="1" x14ac:dyDescent="0.2">
      <c r="B13366" s="11" t="s">
        <v>16</v>
      </c>
      <c r="C13366" s="11"/>
    </row>
    <row r="13367" spans="1:4" ht="12.75" customHeight="1" x14ac:dyDescent="0.2">
      <c r="B13367" s="11" t="s">
        <v>13</v>
      </c>
      <c r="C13367" s="11" t="s">
        <v>2644</v>
      </c>
    </row>
    <row r="13368" spans="1:4" ht="12.75" customHeight="1" x14ac:dyDescent="0.2">
      <c r="B13368" s="11" t="s">
        <v>2603</v>
      </c>
      <c r="C13368" s="11" t="s">
        <v>2604</v>
      </c>
    </row>
    <row r="13369" spans="1:4" ht="12.75" customHeight="1" x14ac:dyDescent="0.2">
      <c r="B13369" s="11" t="s">
        <v>2605</v>
      </c>
      <c r="C13369" s="11" t="s">
        <v>24</v>
      </c>
    </row>
    <row r="13370" spans="1:4" ht="12.75" customHeight="1" x14ac:dyDescent="0.2">
      <c r="B13370" s="11" t="s">
        <v>2606</v>
      </c>
      <c r="C13370" s="16" t="s">
        <v>117</v>
      </c>
      <c r="D13370" s="6" t="str">
        <f>HYPERLINK("javascript:void(0)","kincs")</f>
        <v>kincs</v>
      </c>
    </row>
    <row r="13371" spans="1:4" ht="12.75" customHeight="1" x14ac:dyDescent="0.2">
      <c r="B13371" s="2"/>
      <c r="C13371" s="15"/>
      <c r="D13371" s="2"/>
    </row>
    <row r="13372" spans="1:4" ht="12.75" customHeight="1" x14ac:dyDescent="0.2">
      <c r="B13372" s="2"/>
      <c r="C13372" s="15"/>
      <c r="D13372" s="2"/>
    </row>
    <row r="13373" spans="1:4" ht="12.75" customHeight="1" x14ac:dyDescent="0.2">
      <c r="A13373" s="13" t="s">
        <v>4710</v>
      </c>
      <c r="C13373" s="12"/>
      <c r="D13373" s="2"/>
    </row>
    <row r="13374" spans="1:4" ht="12.75" customHeight="1" x14ac:dyDescent="0.2">
      <c r="A13374" s="11"/>
      <c r="B13374" s="2"/>
      <c r="C13374" s="15"/>
      <c r="D13374" s="2"/>
    </row>
    <row r="13375" spans="1:4" ht="12.75" customHeight="1" x14ac:dyDescent="0.2">
      <c r="B13375" s="11" t="s">
        <v>0</v>
      </c>
      <c r="C13375" s="17" t="s">
        <v>161</v>
      </c>
      <c r="D13375" s="2"/>
    </row>
    <row r="13376" spans="1:4" ht="12.75" customHeight="1" x14ac:dyDescent="0.2">
      <c r="B13376" s="11" t="s">
        <v>2599</v>
      </c>
      <c r="C13376" s="17" t="s">
        <v>4711</v>
      </c>
      <c r="D13376" s="2"/>
    </row>
    <row r="13377" spans="1:4" ht="25.5" customHeight="1" x14ac:dyDescent="0.2">
      <c r="B13377" s="11" t="s">
        <v>2600</v>
      </c>
      <c r="C13377" s="17" t="s">
        <v>4712</v>
      </c>
      <c r="D13377" s="2"/>
    </row>
    <row r="13378" spans="1:4" ht="25.5" customHeight="1" x14ac:dyDescent="0.2">
      <c r="B13378" s="11" t="s">
        <v>2601</v>
      </c>
      <c r="C13378" s="17"/>
      <c r="D13378" s="2"/>
    </row>
    <row r="13379" spans="1:4" ht="12.75" customHeight="1" x14ac:dyDescent="0.2">
      <c r="B13379" s="11" t="s">
        <v>16</v>
      </c>
      <c r="C13379" s="17"/>
      <c r="D13379" s="2"/>
    </row>
    <row r="13380" spans="1:4" ht="12.75" customHeight="1" x14ac:dyDescent="0.2">
      <c r="B13380" s="11" t="s">
        <v>13</v>
      </c>
      <c r="C13380" s="17" t="s">
        <v>2602</v>
      </c>
      <c r="D13380" s="2"/>
    </row>
    <row r="13381" spans="1:4" ht="25.5" customHeight="1" x14ac:dyDescent="0.2">
      <c r="B13381" s="11" t="s">
        <v>2603</v>
      </c>
      <c r="C13381" s="17" t="s">
        <v>2971</v>
      </c>
      <c r="D13381" s="2"/>
    </row>
    <row r="13382" spans="1:4" ht="12.75" customHeight="1" x14ac:dyDescent="0.2">
      <c r="B13382" s="11" t="s">
        <v>2605</v>
      </c>
      <c r="C13382" s="17" t="s">
        <v>14</v>
      </c>
      <c r="D13382" s="2"/>
    </row>
    <row r="13383" spans="1:4" ht="12.75" customHeight="1" x14ac:dyDescent="0.2">
      <c r="B13383" s="11" t="s">
        <v>2606</v>
      </c>
      <c r="C13383" s="16" t="s">
        <v>19</v>
      </c>
      <c r="D13383" s="2"/>
    </row>
    <row r="13384" spans="1:4" ht="12.75" customHeight="1" x14ac:dyDescent="0.2">
      <c r="B13384" s="2"/>
      <c r="C13384" s="15"/>
      <c r="D13384" s="2"/>
    </row>
    <row r="13385" spans="1:4" ht="12.75" customHeight="1" x14ac:dyDescent="0.2">
      <c r="B13385" s="2"/>
      <c r="C13385" s="15"/>
      <c r="D13385" s="2"/>
    </row>
    <row r="13386" spans="1:4" ht="12.75" customHeight="1" x14ac:dyDescent="0.2">
      <c r="A13386" s="13" t="s">
        <v>4713</v>
      </c>
      <c r="C13386" s="12"/>
      <c r="D13386" s="2"/>
    </row>
    <row r="13387" spans="1:4" ht="12.75" customHeight="1" x14ac:dyDescent="0.2">
      <c r="A13387" s="11"/>
      <c r="B13387" s="2"/>
      <c r="C13387" s="15"/>
      <c r="D13387" s="2"/>
    </row>
    <row r="13388" spans="1:4" ht="12.75" customHeight="1" x14ac:dyDescent="0.2">
      <c r="B13388" s="11" t="s">
        <v>0</v>
      </c>
      <c r="C13388" s="17" t="s">
        <v>161</v>
      </c>
      <c r="D13388" s="2"/>
    </row>
    <row r="13389" spans="1:4" ht="12.75" customHeight="1" x14ac:dyDescent="0.2">
      <c r="B13389" s="11" t="s">
        <v>2599</v>
      </c>
      <c r="C13389" s="17" t="s">
        <v>4714</v>
      </c>
      <c r="D13389" s="2"/>
    </row>
    <row r="13390" spans="1:4" ht="25.5" customHeight="1" x14ac:dyDescent="0.2">
      <c r="B13390" s="11" t="s">
        <v>2600</v>
      </c>
      <c r="C13390" s="17" t="s">
        <v>4715</v>
      </c>
      <c r="D13390" s="2"/>
    </row>
    <row r="13391" spans="1:4" ht="25.5" customHeight="1" x14ac:dyDescent="0.2">
      <c r="B13391" s="11" t="s">
        <v>2601</v>
      </c>
      <c r="C13391" s="17"/>
      <c r="D13391" s="2"/>
    </row>
    <row r="13392" spans="1:4" ht="12.75" customHeight="1" x14ac:dyDescent="0.2">
      <c r="B13392" s="11" t="s">
        <v>16</v>
      </c>
      <c r="C13392" s="17"/>
      <c r="D13392" s="2"/>
    </row>
    <row r="13393" spans="1:4" ht="12.75" customHeight="1" x14ac:dyDescent="0.2">
      <c r="B13393" s="11" t="s">
        <v>13</v>
      </c>
      <c r="C13393" s="17" t="s">
        <v>2644</v>
      </c>
      <c r="D13393" s="2"/>
    </row>
    <row r="13394" spans="1:4" ht="25.5" customHeight="1" x14ac:dyDescent="0.2">
      <c r="B13394" s="11" t="s">
        <v>2603</v>
      </c>
      <c r="C13394" s="17" t="s">
        <v>2971</v>
      </c>
      <c r="D13394" s="2"/>
    </row>
    <row r="13395" spans="1:4" ht="12.75" customHeight="1" x14ac:dyDescent="0.2">
      <c r="B13395" s="11" t="s">
        <v>2605</v>
      </c>
      <c r="C13395" s="17" t="s">
        <v>14</v>
      </c>
      <c r="D13395" s="2"/>
    </row>
    <row r="13396" spans="1:4" ht="12.75" customHeight="1" x14ac:dyDescent="0.2">
      <c r="B13396" s="11" t="s">
        <v>2606</v>
      </c>
      <c r="C13396" s="16" t="s">
        <v>19</v>
      </c>
      <c r="D13396" s="2"/>
    </row>
    <row r="13397" spans="1:4" ht="12.75" customHeight="1" x14ac:dyDescent="0.2">
      <c r="B13397" s="2"/>
      <c r="C13397" s="15"/>
      <c r="D13397" s="2"/>
    </row>
    <row r="13398" spans="1:4" ht="12.75" customHeight="1" x14ac:dyDescent="0.2">
      <c r="B13398" s="2"/>
      <c r="C13398" s="15"/>
      <c r="D13398" s="2"/>
    </row>
    <row r="13399" spans="1:4" ht="12.75" customHeight="1" x14ac:dyDescent="0.2">
      <c r="A13399" s="13" t="s">
        <v>4685</v>
      </c>
      <c r="C13399" s="12"/>
      <c r="D13399" s="2"/>
    </row>
    <row r="13400" spans="1:4" ht="12.75" customHeight="1" x14ac:dyDescent="0.2">
      <c r="A13400" s="11"/>
      <c r="B13400" s="2"/>
      <c r="C13400" s="15"/>
      <c r="D13400" s="2"/>
    </row>
    <row r="13401" spans="1:4" ht="12.75" customHeight="1" x14ac:dyDescent="0.2">
      <c r="B13401" s="11" t="s">
        <v>0</v>
      </c>
      <c r="C13401" s="17" t="s">
        <v>253</v>
      </c>
      <c r="D13401" s="2"/>
    </row>
    <row r="13402" spans="1:4" ht="12.75" customHeight="1" x14ac:dyDescent="0.2">
      <c r="B13402" s="11" t="s">
        <v>2599</v>
      </c>
      <c r="C13402" s="17" t="s">
        <v>4686</v>
      </c>
      <c r="D13402" s="2"/>
    </row>
    <row r="13403" spans="1:4" ht="25.5" customHeight="1" x14ac:dyDescent="0.2">
      <c r="B13403" s="11" t="s">
        <v>2600</v>
      </c>
      <c r="C13403" s="17" t="s">
        <v>4716</v>
      </c>
      <c r="D13403" s="2"/>
    </row>
    <row r="13404" spans="1:4" ht="25.5" customHeight="1" x14ac:dyDescent="0.2">
      <c r="B13404" s="11" t="s">
        <v>2601</v>
      </c>
      <c r="C13404" s="17"/>
      <c r="D13404" s="2"/>
    </row>
    <row r="13405" spans="1:4" ht="12.75" customHeight="1" x14ac:dyDescent="0.2">
      <c r="B13405" s="11" t="s">
        <v>16</v>
      </c>
      <c r="C13405" s="17"/>
      <c r="D13405" s="2"/>
    </row>
    <row r="13406" spans="1:4" ht="12.75" customHeight="1" x14ac:dyDescent="0.2">
      <c r="B13406" s="11" t="s">
        <v>13</v>
      </c>
      <c r="C13406" s="17" t="s">
        <v>2602</v>
      </c>
      <c r="D13406" s="2"/>
    </row>
    <row r="13407" spans="1:4" ht="25.5" customHeight="1" x14ac:dyDescent="0.2">
      <c r="B13407" s="11" t="s">
        <v>2603</v>
      </c>
      <c r="C13407" s="17" t="s">
        <v>2971</v>
      </c>
      <c r="D13407" s="2"/>
    </row>
    <row r="13408" spans="1:4" ht="12.75" customHeight="1" x14ac:dyDescent="0.2">
      <c r="B13408" s="11" t="s">
        <v>2605</v>
      </c>
      <c r="C13408" s="17" t="s">
        <v>14</v>
      </c>
      <c r="D13408" s="2"/>
    </row>
    <row r="13409" spans="1:4" ht="12.75" customHeight="1" x14ac:dyDescent="0.2">
      <c r="B13409" s="11" t="s">
        <v>2606</v>
      </c>
      <c r="C13409" s="16" t="s">
        <v>19</v>
      </c>
      <c r="D13409" s="2"/>
    </row>
    <row r="13410" spans="1:4" ht="12.75" customHeight="1" x14ac:dyDescent="0.2">
      <c r="B13410" s="2"/>
      <c r="C13410" s="15"/>
      <c r="D13410" s="2"/>
    </row>
    <row r="13411" spans="1:4" ht="12.75" customHeight="1" x14ac:dyDescent="0.2">
      <c r="B13411" s="2"/>
      <c r="C13411" s="15"/>
      <c r="D13411" s="2"/>
    </row>
    <row r="13412" spans="1:4" ht="12.75" customHeight="1" x14ac:dyDescent="0.2">
      <c r="A13412" s="13" t="s">
        <v>4688</v>
      </c>
      <c r="C13412" s="12"/>
      <c r="D13412" s="2"/>
    </row>
    <row r="13413" spans="1:4" ht="12.75" customHeight="1" x14ac:dyDescent="0.2">
      <c r="A13413" s="11"/>
      <c r="B13413" s="2"/>
      <c r="C13413" s="15"/>
      <c r="D13413" s="2"/>
    </row>
    <row r="13414" spans="1:4" ht="12.75" customHeight="1" x14ac:dyDescent="0.2">
      <c r="B13414" s="11" t="s">
        <v>0</v>
      </c>
      <c r="C13414" s="17" t="s">
        <v>253</v>
      </c>
      <c r="D13414" s="2"/>
    </row>
    <row r="13415" spans="1:4" ht="12.75" customHeight="1" x14ac:dyDescent="0.2">
      <c r="B13415" s="11" t="s">
        <v>2599</v>
      </c>
      <c r="C13415" s="17" t="s">
        <v>629</v>
      </c>
      <c r="D13415" s="2"/>
    </row>
    <row r="13416" spans="1:4" ht="25.5" customHeight="1" x14ac:dyDescent="0.2">
      <c r="B13416" s="11" t="s">
        <v>2600</v>
      </c>
      <c r="C13416" s="17" t="s">
        <v>4717</v>
      </c>
      <c r="D13416" s="2"/>
    </row>
    <row r="13417" spans="1:4" ht="25.5" customHeight="1" x14ac:dyDescent="0.2">
      <c r="B13417" s="11" t="s">
        <v>2601</v>
      </c>
      <c r="C13417" s="17"/>
      <c r="D13417" s="2"/>
    </row>
    <row r="13418" spans="1:4" ht="12.75" customHeight="1" x14ac:dyDescent="0.2">
      <c r="B13418" s="11" t="s">
        <v>16</v>
      </c>
      <c r="C13418" s="17"/>
      <c r="D13418" s="2"/>
    </row>
    <row r="13419" spans="1:4" ht="12.75" customHeight="1" x14ac:dyDescent="0.2">
      <c r="B13419" s="11" t="s">
        <v>13</v>
      </c>
      <c r="C13419" s="17" t="s">
        <v>2644</v>
      </c>
      <c r="D13419" s="2"/>
    </row>
    <row r="13420" spans="1:4" ht="25.5" customHeight="1" x14ac:dyDescent="0.2">
      <c r="B13420" s="11" t="s">
        <v>2603</v>
      </c>
      <c r="C13420" s="17" t="s">
        <v>2971</v>
      </c>
      <c r="D13420" s="2"/>
    </row>
    <row r="13421" spans="1:4" ht="12.75" customHeight="1" x14ac:dyDescent="0.2">
      <c r="B13421" s="11" t="s">
        <v>2605</v>
      </c>
      <c r="C13421" s="17" t="s">
        <v>14</v>
      </c>
      <c r="D13421" s="2"/>
    </row>
    <row r="13422" spans="1:4" ht="12.75" customHeight="1" x14ac:dyDescent="0.2">
      <c r="B13422" s="11" t="s">
        <v>2606</v>
      </c>
      <c r="C13422" s="16" t="s">
        <v>19</v>
      </c>
      <c r="D13422" s="2"/>
    </row>
    <row r="13423" spans="1:4" ht="12.75" customHeight="1" x14ac:dyDescent="0.2">
      <c r="B13423" s="2"/>
      <c r="C13423" s="15"/>
      <c r="D13423" s="2"/>
    </row>
    <row r="13424" spans="1:4" ht="12.75" customHeight="1" x14ac:dyDescent="0.2">
      <c r="B13424" s="2"/>
      <c r="C13424" s="15"/>
      <c r="D13424" s="2"/>
    </row>
    <row r="13425" spans="1:4" ht="12.75" customHeight="1" x14ac:dyDescent="0.2">
      <c r="A13425" s="13" t="s">
        <v>4718</v>
      </c>
      <c r="C13425" s="12"/>
    </row>
    <row r="13426" spans="1:4" ht="12.75" customHeight="1" x14ac:dyDescent="0.2">
      <c r="A13426" s="11"/>
      <c r="B13426" s="2"/>
      <c r="C13426" s="15"/>
      <c r="D13426" s="2"/>
    </row>
    <row r="13427" spans="1:4" ht="12.75" customHeight="1" x14ac:dyDescent="0.2">
      <c r="B13427" s="11" t="s">
        <v>0</v>
      </c>
      <c r="C13427" s="11" t="s">
        <v>253</v>
      </c>
    </row>
    <row r="13428" spans="1:4" ht="12.75" customHeight="1" x14ac:dyDescent="0.2">
      <c r="B13428" s="11" t="s">
        <v>2599</v>
      </c>
      <c r="C13428" s="11" t="s">
        <v>4582</v>
      </c>
    </row>
    <row r="13429" spans="1:4" ht="25.5" customHeight="1" x14ac:dyDescent="0.2">
      <c r="B13429" s="11" t="s">
        <v>2600</v>
      </c>
      <c r="C13429" s="11" t="s">
        <v>4719</v>
      </c>
    </row>
    <row r="13430" spans="1:4" ht="25.5" customHeight="1" x14ac:dyDescent="0.2">
      <c r="B13430" s="11" t="s">
        <v>2601</v>
      </c>
      <c r="C13430" s="11"/>
    </row>
    <row r="13431" spans="1:4" ht="12.75" customHeight="1" x14ac:dyDescent="0.2">
      <c r="B13431" s="11" t="s">
        <v>16</v>
      </c>
      <c r="C13431" s="11"/>
    </row>
    <row r="13432" spans="1:4" ht="12.75" customHeight="1" x14ac:dyDescent="0.2">
      <c r="B13432" s="11" t="s">
        <v>13</v>
      </c>
      <c r="C13432" s="11" t="s">
        <v>2644</v>
      </c>
    </row>
    <row r="13433" spans="1:4" ht="12.75" customHeight="1" x14ac:dyDescent="0.2">
      <c r="B13433" s="11" t="s">
        <v>2603</v>
      </c>
      <c r="C13433" s="11" t="s">
        <v>2604</v>
      </c>
    </row>
    <row r="13434" spans="1:4" ht="12.75" customHeight="1" x14ac:dyDescent="0.2">
      <c r="B13434" s="11" t="s">
        <v>2605</v>
      </c>
      <c r="C13434" s="11" t="s">
        <v>14</v>
      </c>
    </row>
    <row r="13435" spans="1:4" ht="12.75" customHeight="1" x14ac:dyDescent="0.2">
      <c r="B13435" s="11" t="s">
        <v>2606</v>
      </c>
      <c r="C13435" s="16" t="s">
        <v>57</v>
      </c>
      <c r="D13435" s="6" t="str">
        <f>HYPERLINK("javascript:void(0)","ámbra")</f>
        <v>ámbra</v>
      </c>
    </row>
    <row r="13436" spans="1:4" ht="12.75" customHeight="1" x14ac:dyDescent="0.2">
      <c r="C13436" s="16" t="s">
        <v>280</v>
      </c>
      <c r="D13436" s="6" t="str">
        <f>HYPERLINK("javascript:void(0)","kincs")</f>
        <v>kincs</v>
      </c>
    </row>
    <row r="13437" spans="1:4" ht="12.75" customHeight="1" x14ac:dyDescent="0.2">
      <c r="B13437" s="2"/>
      <c r="C13437" s="15"/>
      <c r="D13437" s="2"/>
    </row>
    <row r="13438" spans="1:4" ht="12.75" customHeight="1" x14ac:dyDescent="0.2">
      <c r="B13438" s="2"/>
      <c r="C13438" s="15"/>
      <c r="D13438" s="2"/>
    </row>
    <row r="13439" spans="1:4" ht="12.75" customHeight="1" x14ac:dyDescent="0.2">
      <c r="A13439" s="13" t="s">
        <v>4721</v>
      </c>
      <c r="C13439" s="12"/>
    </row>
    <row r="13440" spans="1:4" ht="12.75" customHeight="1" x14ac:dyDescent="0.2">
      <c r="A13440" s="11"/>
      <c r="B13440" s="2"/>
      <c r="C13440" s="15"/>
      <c r="D13440" s="2"/>
    </row>
    <row r="13441" spans="1:4" ht="12.75" customHeight="1" x14ac:dyDescent="0.2">
      <c r="B13441" s="11" t="s">
        <v>0</v>
      </c>
      <c r="C13441" s="11" t="s">
        <v>253</v>
      </c>
    </row>
    <row r="13442" spans="1:4" ht="12.75" customHeight="1" x14ac:dyDescent="0.2">
      <c r="B13442" s="11" t="s">
        <v>2599</v>
      </c>
      <c r="C13442" s="11" t="s">
        <v>4722</v>
      </c>
    </row>
    <row r="13443" spans="1:4" ht="25.5" customHeight="1" x14ac:dyDescent="0.2">
      <c r="B13443" s="11" t="s">
        <v>2600</v>
      </c>
      <c r="C13443" s="11" t="s">
        <v>4723</v>
      </c>
    </row>
    <row r="13444" spans="1:4" ht="25.5" customHeight="1" x14ac:dyDescent="0.2">
      <c r="B13444" s="11" t="s">
        <v>2601</v>
      </c>
      <c r="C13444" s="11"/>
    </row>
    <row r="13445" spans="1:4" ht="12.75" customHeight="1" x14ac:dyDescent="0.2">
      <c r="B13445" s="11" t="s">
        <v>16</v>
      </c>
      <c r="C13445" s="11"/>
    </row>
    <row r="13446" spans="1:4" ht="12.75" customHeight="1" x14ac:dyDescent="0.2">
      <c r="B13446" s="11" t="s">
        <v>13</v>
      </c>
      <c r="C13446" s="11" t="s">
        <v>2644</v>
      </c>
    </row>
    <row r="13447" spans="1:4" ht="12.75" customHeight="1" x14ac:dyDescent="0.2">
      <c r="B13447" s="11" t="s">
        <v>2603</v>
      </c>
      <c r="C13447" s="11" t="s">
        <v>2604</v>
      </c>
    </row>
    <row r="13448" spans="1:4" ht="12.75" customHeight="1" x14ac:dyDescent="0.2">
      <c r="B13448" s="11" t="s">
        <v>2605</v>
      </c>
      <c r="C13448" s="11" t="s">
        <v>24</v>
      </c>
    </row>
    <row r="13449" spans="1:4" ht="12.75" customHeight="1" x14ac:dyDescent="0.2">
      <c r="B13449" s="11" t="s">
        <v>2606</v>
      </c>
      <c r="C13449" s="16" t="s">
        <v>77</v>
      </c>
      <c r="D13449" s="6" t="str">
        <f>HYPERLINK("javascript:void(0)","nekroige")</f>
        <v>nekroige</v>
      </c>
    </row>
    <row r="13450" spans="1:4" ht="25.5" customHeight="1" x14ac:dyDescent="0.2">
      <c r="C13450" s="16" t="s">
        <v>44</v>
      </c>
      <c r="D13450" s="6" t="str">
        <f>HYPERLINK("javascript:void(0)","szent szimbólum")</f>
        <v>szent szimbólum</v>
      </c>
    </row>
    <row r="13451" spans="1:4" ht="12.75" customHeight="1" x14ac:dyDescent="0.2">
      <c r="B13451" s="2"/>
      <c r="C13451" s="15"/>
      <c r="D13451" s="2"/>
    </row>
    <row r="13452" spans="1:4" ht="12.75" customHeight="1" x14ac:dyDescent="0.2">
      <c r="B13452" s="2"/>
      <c r="C13452" s="15"/>
      <c r="D13452" s="2"/>
    </row>
    <row r="13453" spans="1:4" ht="12.75" customHeight="1" x14ac:dyDescent="0.2">
      <c r="A13453" s="13" t="s">
        <v>4724</v>
      </c>
      <c r="C13453" s="12"/>
    </row>
    <row r="13454" spans="1:4" ht="12.75" customHeight="1" x14ac:dyDescent="0.2">
      <c r="A13454" s="11"/>
      <c r="B13454" s="2"/>
      <c r="C13454" s="15"/>
      <c r="D13454" s="2"/>
    </row>
    <row r="13455" spans="1:4" ht="12.75" customHeight="1" x14ac:dyDescent="0.2">
      <c r="B13455" s="11" t="s">
        <v>0</v>
      </c>
      <c r="C13455" s="11" t="s">
        <v>253</v>
      </c>
    </row>
    <row r="13456" spans="1:4" ht="12.75" customHeight="1" x14ac:dyDescent="0.2">
      <c r="B13456" s="11" t="s">
        <v>2599</v>
      </c>
      <c r="C13456" s="11" t="s">
        <v>4725</v>
      </c>
    </row>
    <row r="13457" spans="1:4" ht="25.5" customHeight="1" x14ac:dyDescent="0.2">
      <c r="B13457" s="11" t="s">
        <v>2600</v>
      </c>
      <c r="C13457" s="11" t="s">
        <v>4726</v>
      </c>
    </row>
    <row r="13458" spans="1:4" ht="25.5" customHeight="1" x14ac:dyDescent="0.2">
      <c r="B13458" s="11" t="s">
        <v>2601</v>
      </c>
      <c r="C13458" s="11"/>
    </row>
    <row r="13459" spans="1:4" ht="12.75" customHeight="1" x14ac:dyDescent="0.2">
      <c r="B13459" s="11" t="s">
        <v>16</v>
      </c>
      <c r="C13459" s="11"/>
    </row>
    <row r="13460" spans="1:4" ht="12.75" customHeight="1" x14ac:dyDescent="0.2">
      <c r="B13460" s="11" t="s">
        <v>13</v>
      </c>
      <c r="C13460" s="11" t="s">
        <v>2602</v>
      </c>
    </row>
    <row r="13461" spans="1:4" ht="12.75" customHeight="1" x14ac:dyDescent="0.2">
      <c r="B13461" s="11" t="s">
        <v>2603</v>
      </c>
      <c r="C13461" s="11" t="s">
        <v>2604</v>
      </c>
    </row>
    <row r="13462" spans="1:4" ht="12.75" customHeight="1" x14ac:dyDescent="0.2">
      <c r="B13462" s="11" t="s">
        <v>2605</v>
      </c>
      <c r="C13462" s="11" t="s">
        <v>24</v>
      </c>
    </row>
    <row r="13463" spans="1:4" ht="12.75" customHeight="1" x14ac:dyDescent="0.2">
      <c r="B13463" s="11" t="s">
        <v>2606</v>
      </c>
      <c r="C13463" s="16" t="s">
        <v>55</v>
      </c>
      <c r="D13463" s="6" t="str">
        <f>HYPERLINK("javascript:void(0)","orr")</f>
        <v>orr</v>
      </c>
    </row>
    <row r="13464" spans="1:4" ht="12.75" customHeight="1" x14ac:dyDescent="0.2">
      <c r="B13464" s="2"/>
      <c r="C13464" s="15"/>
      <c r="D13464" s="2"/>
    </row>
    <row r="13465" spans="1:4" ht="12.75" customHeight="1" x14ac:dyDescent="0.2">
      <c r="B13465" s="2"/>
      <c r="C13465" s="15"/>
      <c r="D13465" s="2"/>
    </row>
    <row r="13466" spans="1:4" ht="12.75" customHeight="1" x14ac:dyDescent="0.2">
      <c r="A13466" s="13" t="s">
        <v>4727</v>
      </c>
      <c r="C13466" s="12"/>
    </row>
    <row r="13467" spans="1:4" ht="12.75" customHeight="1" x14ac:dyDescent="0.2">
      <c r="A13467" s="11"/>
      <c r="B13467" s="2"/>
      <c r="C13467" s="15"/>
      <c r="D13467" s="2"/>
    </row>
    <row r="13468" spans="1:4" ht="12.75" customHeight="1" x14ac:dyDescent="0.2">
      <c r="B13468" s="11" t="s">
        <v>0</v>
      </c>
      <c r="C13468" s="11" t="s">
        <v>253</v>
      </c>
    </row>
    <row r="13469" spans="1:4" ht="12.75" customHeight="1" x14ac:dyDescent="0.2">
      <c r="B13469" s="11" t="s">
        <v>2599</v>
      </c>
      <c r="C13469" s="11" t="s">
        <v>4728</v>
      </c>
    </row>
    <row r="13470" spans="1:4" ht="25.5" customHeight="1" x14ac:dyDescent="0.2">
      <c r="B13470" s="11" t="s">
        <v>2600</v>
      </c>
      <c r="C13470" s="11" t="s">
        <v>4729</v>
      </c>
    </row>
    <row r="13471" spans="1:4" ht="25.5" customHeight="1" x14ac:dyDescent="0.2">
      <c r="B13471" s="11" t="s">
        <v>2601</v>
      </c>
      <c r="C13471" s="11"/>
    </row>
    <row r="13472" spans="1:4" ht="12.75" customHeight="1" x14ac:dyDescent="0.2">
      <c r="B13472" s="11" t="s">
        <v>16</v>
      </c>
      <c r="C13472" s="11"/>
    </row>
    <row r="13473" spans="1:4" ht="12.75" customHeight="1" x14ac:dyDescent="0.2">
      <c r="B13473" s="11" t="s">
        <v>13</v>
      </c>
      <c r="C13473" s="11" t="s">
        <v>2644</v>
      </c>
    </row>
    <row r="13474" spans="1:4" ht="12.75" customHeight="1" x14ac:dyDescent="0.2">
      <c r="B13474" s="11" t="s">
        <v>2603</v>
      </c>
      <c r="C13474" s="11" t="s">
        <v>2604</v>
      </c>
    </row>
    <row r="13475" spans="1:4" ht="12.75" customHeight="1" x14ac:dyDescent="0.2">
      <c r="B13475" s="11" t="s">
        <v>2605</v>
      </c>
      <c r="C13475" s="11" t="s">
        <v>24</v>
      </c>
    </row>
    <row r="13476" spans="1:4" ht="12.75" customHeight="1" x14ac:dyDescent="0.2">
      <c r="B13476" s="11" t="s">
        <v>2606</v>
      </c>
      <c r="C13476" s="16" t="s">
        <v>265</v>
      </c>
      <c r="D13476" s="6" t="str">
        <f>HYPERLINK("javascript:void(0)","kincs")</f>
        <v>kincs</v>
      </c>
    </row>
    <row r="13477" spans="1:4" ht="12.75" customHeight="1" x14ac:dyDescent="0.2">
      <c r="B13477" s="2"/>
      <c r="C13477" s="15"/>
      <c r="D13477" s="2"/>
    </row>
    <row r="13478" spans="1:4" ht="12.75" customHeight="1" x14ac:dyDescent="0.2">
      <c r="B13478" s="2"/>
      <c r="C13478" s="15"/>
      <c r="D13478" s="2"/>
    </row>
    <row r="13479" spans="1:4" ht="12.75" customHeight="1" x14ac:dyDescent="0.2">
      <c r="A13479" s="13" t="s">
        <v>4730</v>
      </c>
      <c r="C13479" s="12"/>
    </row>
    <row r="13480" spans="1:4" ht="12.75" customHeight="1" x14ac:dyDescent="0.2">
      <c r="A13480" s="11"/>
      <c r="B13480" s="2"/>
      <c r="C13480" s="15"/>
      <c r="D13480" s="2"/>
    </row>
    <row r="13481" spans="1:4" ht="12.75" customHeight="1" x14ac:dyDescent="0.2">
      <c r="B13481" s="11" t="s">
        <v>0</v>
      </c>
      <c r="C13481" s="11" t="s">
        <v>253</v>
      </c>
    </row>
    <row r="13482" spans="1:4" ht="12.75" customHeight="1" x14ac:dyDescent="0.2">
      <c r="B13482" s="11" t="s">
        <v>2599</v>
      </c>
      <c r="C13482" s="11" t="s">
        <v>4731</v>
      </c>
    </row>
    <row r="13483" spans="1:4" ht="25.5" customHeight="1" x14ac:dyDescent="0.2">
      <c r="B13483" s="11" t="s">
        <v>2600</v>
      </c>
      <c r="C13483" s="11" t="s">
        <v>4732</v>
      </c>
    </row>
    <row r="13484" spans="1:4" ht="25.5" customHeight="1" x14ac:dyDescent="0.2">
      <c r="B13484" s="11" t="s">
        <v>2601</v>
      </c>
      <c r="C13484" s="11"/>
    </row>
    <row r="13485" spans="1:4" ht="12.75" customHeight="1" x14ac:dyDescent="0.2">
      <c r="B13485" s="11" t="s">
        <v>16</v>
      </c>
      <c r="C13485" s="11"/>
    </row>
    <row r="13486" spans="1:4" ht="12.75" customHeight="1" x14ac:dyDescent="0.2">
      <c r="B13486" s="11" t="s">
        <v>13</v>
      </c>
      <c r="C13486" s="11" t="s">
        <v>2602</v>
      </c>
    </row>
    <row r="13487" spans="1:4" ht="12.75" customHeight="1" x14ac:dyDescent="0.2">
      <c r="B13487" s="11" t="s">
        <v>2603</v>
      </c>
      <c r="C13487" s="11" t="s">
        <v>2604</v>
      </c>
    </row>
    <row r="13488" spans="1:4" ht="12.75" customHeight="1" x14ac:dyDescent="0.2">
      <c r="B13488" s="11" t="s">
        <v>2605</v>
      </c>
      <c r="C13488" s="11" t="s">
        <v>24</v>
      </c>
    </row>
    <row r="13489" spans="1:4" ht="12.75" customHeight="1" x14ac:dyDescent="0.2">
      <c r="B13489" s="11" t="s">
        <v>2606</v>
      </c>
      <c r="C13489" s="16" t="s">
        <v>139</v>
      </c>
      <c r="D13489" s="6" t="str">
        <f>HYPERLINK("javascript:void(0)","kincs")</f>
        <v>kincs</v>
      </c>
    </row>
    <row r="13490" spans="1:4" ht="12.75" customHeight="1" x14ac:dyDescent="0.2">
      <c r="B13490" s="2"/>
      <c r="C13490" s="15"/>
      <c r="D13490" s="2"/>
    </row>
    <row r="13491" spans="1:4" ht="12.75" customHeight="1" x14ac:dyDescent="0.2">
      <c r="B13491" s="2"/>
      <c r="C13491" s="15"/>
      <c r="D13491" s="2"/>
    </row>
    <row r="13492" spans="1:4" ht="12.75" customHeight="1" x14ac:dyDescent="0.2">
      <c r="A13492" s="13" t="s">
        <v>4733</v>
      </c>
      <c r="C13492" s="12"/>
    </row>
    <row r="13493" spans="1:4" ht="12.75" customHeight="1" x14ac:dyDescent="0.2">
      <c r="A13493" s="11"/>
      <c r="B13493" s="2"/>
      <c r="C13493" s="15"/>
      <c r="D13493" s="2"/>
    </row>
    <row r="13494" spans="1:4" ht="12.75" customHeight="1" x14ac:dyDescent="0.2">
      <c r="B13494" s="11" t="s">
        <v>0</v>
      </c>
      <c r="C13494" s="11" t="s">
        <v>253</v>
      </c>
    </row>
    <row r="13495" spans="1:4" ht="12.75" customHeight="1" x14ac:dyDescent="0.2">
      <c r="B13495" s="11" t="s">
        <v>2599</v>
      </c>
      <c r="C13495" s="11" t="s">
        <v>4734</v>
      </c>
    </row>
    <row r="13496" spans="1:4" ht="25.5" customHeight="1" x14ac:dyDescent="0.2">
      <c r="B13496" s="11" t="s">
        <v>2600</v>
      </c>
      <c r="C13496" s="11" t="s">
        <v>4735</v>
      </c>
    </row>
    <row r="13497" spans="1:4" ht="25.5" customHeight="1" x14ac:dyDescent="0.2">
      <c r="B13497" s="11" t="s">
        <v>2601</v>
      </c>
      <c r="C13497" s="11"/>
    </row>
    <row r="13498" spans="1:4" ht="12.75" customHeight="1" x14ac:dyDescent="0.2">
      <c r="B13498" s="11" t="s">
        <v>16</v>
      </c>
      <c r="C13498" s="11"/>
    </row>
    <row r="13499" spans="1:4" ht="12.75" customHeight="1" x14ac:dyDescent="0.2">
      <c r="B13499" s="11" t="s">
        <v>13</v>
      </c>
      <c r="C13499" s="11" t="s">
        <v>2602</v>
      </c>
    </row>
    <row r="13500" spans="1:4" ht="12.75" customHeight="1" x14ac:dyDescent="0.2">
      <c r="B13500" s="11" t="s">
        <v>2603</v>
      </c>
      <c r="C13500" s="11" t="s">
        <v>2604</v>
      </c>
    </row>
    <row r="13501" spans="1:4" ht="12.75" customHeight="1" x14ac:dyDescent="0.2">
      <c r="B13501" s="11" t="s">
        <v>2605</v>
      </c>
      <c r="C13501" s="11" t="s">
        <v>14</v>
      </c>
    </row>
    <row r="13502" spans="1:4" ht="25.5" customHeight="1" x14ac:dyDescent="0.2">
      <c r="B13502" s="11" t="s">
        <v>2606</v>
      </c>
      <c r="C13502" s="16" t="s">
        <v>44</v>
      </c>
      <c r="D13502" s="6" t="str">
        <f>HYPERLINK("javascript:void(0)","gyíkacél párbajtőr")</f>
        <v>gyíkacél párbajtőr</v>
      </c>
    </row>
    <row r="13503" spans="1:4" ht="12.75" customHeight="1" x14ac:dyDescent="0.2">
      <c r="B13503" s="2"/>
      <c r="C13503" s="15"/>
      <c r="D13503" s="2"/>
    </row>
    <row r="13504" spans="1:4" ht="12.75" customHeight="1" x14ac:dyDescent="0.2">
      <c r="B13504" s="2"/>
      <c r="C13504" s="15"/>
      <c r="D13504" s="2"/>
    </row>
    <row r="13505" spans="1:4" ht="12.75" customHeight="1" x14ac:dyDescent="0.2">
      <c r="A13505" s="13" t="s">
        <v>4736</v>
      </c>
      <c r="C13505" s="12"/>
    </row>
    <row r="13506" spans="1:4" ht="12.75" customHeight="1" x14ac:dyDescent="0.2">
      <c r="A13506" s="11"/>
      <c r="B13506" s="2"/>
      <c r="C13506" s="15"/>
      <c r="D13506" s="2"/>
    </row>
    <row r="13507" spans="1:4" ht="12.75" customHeight="1" x14ac:dyDescent="0.2">
      <c r="B13507" s="11" t="s">
        <v>0</v>
      </c>
      <c r="C13507" s="11" t="s">
        <v>253</v>
      </c>
    </row>
    <row r="13508" spans="1:4" ht="12.75" customHeight="1" x14ac:dyDescent="0.2">
      <c r="B13508" s="11" t="s">
        <v>2599</v>
      </c>
      <c r="C13508" s="11" t="s">
        <v>4737</v>
      </c>
    </row>
    <row r="13509" spans="1:4" ht="25.5" customHeight="1" x14ac:dyDescent="0.2">
      <c r="B13509" s="11" t="s">
        <v>2600</v>
      </c>
      <c r="C13509" s="11" t="s">
        <v>4738</v>
      </c>
    </row>
    <row r="13510" spans="1:4" ht="25.5" customHeight="1" x14ac:dyDescent="0.2">
      <c r="B13510" s="11" t="s">
        <v>2601</v>
      </c>
      <c r="C13510" s="11"/>
    </row>
    <row r="13511" spans="1:4" ht="12.75" customHeight="1" x14ac:dyDescent="0.2">
      <c r="B13511" s="11" t="s">
        <v>16</v>
      </c>
      <c r="C13511" s="11"/>
    </row>
    <row r="13512" spans="1:4" ht="12.75" customHeight="1" x14ac:dyDescent="0.2">
      <c r="B13512" s="11" t="s">
        <v>13</v>
      </c>
      <c r="C13512" s="11" t="s">
        <v>2644</v>
      </c>
    </row>
    <row r="13513" spans="1:4" ht="12.75" customHeight="1" x14ac:dyDescent="0.2">
      <c r="B13513" s="11" t="s">
        <v>2603</v>
      </c>
      <c r="C13513" s="11" t="s">
        <v>2604</v>
      </c>
    </row>
    <row r="13514" spans="1:4" ht="12.75" customHeight="1" x14ac:dyDescent="0.2">
      <c r="B13514" s="11" t="s">
        <v>2605</v>
      </c>
      <c r="C13514" s="11" t="s">
        <v>14</v>
      </c>
    </row>
    <row r="13515" spans="1:4" ht="12.75" customHeight="1" x14ac:dyDescent="0.2">
      <c r="B13515" s="11" t="s">
        <v>2606</v>
      </c>
      <c r="C13515" s="16" t="s">
        <v>44</v>
      </c>
      <c r="D13515" s="6" t="str">
        <f>HYPERLINK("javascript:void(0)","térszelet")</f>
        <v>térszelet</v>
      </c>
    </row>
    <row r="13516" spans="1:4" ht="12.75" customHeight="1" x14ac:dyDescent="0.2">
      <c r="B13516" s="2"/>
      <c r="C13516" s="15"/>
      <c r="D13516" s="2"/>
    </row>
    <row r="13517" spans="1:4" ht="12.75" customHeight="1" x14ac:dyDescent="0.2">
      <c r="B13517" s="2"/>
      <c r="C13517" s="15"/>
      <c r="D13517" s="2"/>
    </row>
    <row r="13518" spans="1:4" ht="12.75" customHeight="1" x14ac:dyDescent="0.2">
      <c r="A13518" s="13" t="s">
        <v>4739</v>
      </c>
      <c r="C13518" s="12"/>
    </row>
    <row r="13519" spans="1:4" ht="12.75" customHeight="1" x14ac:dyDescent="0.2">
      <c r="A13519" s="11"/>
      <c r="B13519" s="2"/>
      <c r="C13519" s="15"/>
      <c r="D13519" s="2"/>
    </row>
    <row r="13520" spans="1:4" ht="12.75" customHeight="1" x14ac:dyDescent="0.2">
      <c r="B13520" s="11" t="s">
        <v>0</v>
      </c>
      <c r="C13520" s="11" t="s">
        <v>253</v>
      </c>
    </row>
    <row r="13521" spans="1:4" ht="12.75" customHeight="1" x14ac:dyDescent="0.2">
      <c r="B13521" s="11" t="s">
        <v>2599</v>
      </c>
      <c r="C13521" s="11" t="s">
        <v>328</v>
      </c>
    </row>
    <row r="13522" spans="1:4" ht="25.5" customHeight="1" x14ac:dyDescent="0.2">
      <c r="B13522" s="11" t="s">
        <v>2600</v>
      </c>
      <c r="C13522" s="11" t="s">
        <v>4740</v>
      </c>
    </row>
    <row r="13523" spans="1:4" ht="25.5" customHeight="1" x14ac:dyDescent="0.2">
      <c r="B13523" s="11" t="s">
        <v>2601</v>
      </c>
      <c r="C13523" s="11"/>
    </row>
    <row r="13524" spans="1:4" ht="12.75" customHeight="1" x14ac:dyDescent="0.2">
      <c r="B13524" s="11" t="s">
        <v>16</v>
      </c>
      <c r="C13524" s="11"/>
    </row>
    <row r="13525" spans="1:4" ht="12.75" customHeight="1" x14ac:dyDescent="0.2">
      <c r="B13525" s="11" t="s">
        <v>13</v>
      </c>
      <c r="C13525" s="11" t="s">
        <v>2602</v>
      </c>
    </row>
    <row r="13526" spans="1:4" ht="12.75" customHeight="1" x14ac:dyDescent="0.2">
      <c r="B13526" s="11" t="s">
        <v>2603</v>
      </c>
      <c r="C13526" s="11" t="s">
        <v>2604</v>
      </c>
    </row>
    <row r="13527" spans="1:4" ht="12.75" customHeight="1" x14ac:dyDescent="0.2">
      <c r="B13527" s="11" t="s">
        <v>2605</v>
      </c>
      <c r="C13527" s="11" t="s">
        <v>14</v>
      </c>
    </row>
    <row r="13528" spans="1:4" ht="12.75" customHeight="1" x14ac:dyDescent="0.2">
      <c r="B13528" s="11" t="s">
        <v>2606</v>
      </c>
      <c r="C13528" s="16" t="s">
        <v>132</v>
      </c>
      <c r="D13528" s="6" t="str">
        <f>HYPERLINK("javascript:void(0)","kincs")</f>
        <v>kincs</v>
      </c>
    </row>
    <row r="13529" spans="1:4" ht="12.75" customHeight="1" x14ac:dyDescent="0.2">
      <c r="B13529" s="2"/>
      <c r="C13529" s="15"/>
      <c r="D13529" s="2"/>
    </row>
    <row r="13530" spans="1:4" ht="12.75" customHeight="1" x14ac:dyDescent="0.2">
      <c r="B13530" s="2"/>
      <c r="C13530" s="15"/>
      <c r="D13530" s="2"/>
    </row>
    <row r="13531" spans="1:4" ht="12.75" customHeight="1" x14ac:dyDescent="0.2">
      <c r="A13531" s="13" t="s">
        <v>4710</v>
      </c>
      <c r="C13531" s="12"/>
      <c r="D13531" s="2"/>
    </row>
    <row r="13532" spans="1:4" ht="12.75" customHeight="1" x14ac:dyDescent="0.2">
      <c r="A13532" s="11"/>
      <c r="B13532" s="2"/>
      <c r="C13532" s="15"/>
      <c r="D13532" s="2"/>
    </row>
    <row r="13533" spans="1:4" ht="12.75" customHeight="1" x14ac:dyDescent="0.2">
      <c r="B13533" s="11" t="s">
        <v>0</v>
      </c>
      <c r="C13533" s="17" t="s">
        <v>253</v>
      </c>
      <c r="D13533" s="2"/>
    </row>
    <row r="13534" spans="1:4" ht="12.75" customHeight="1" x14ac:dyDescent="0.2">
      <c r="B13534" s="11" t="s">
        <v>2599</v>
      </c>
      <c r="C13534" s="17" t="s">
        <v>4711</v>
      </c>
      <c r="D13534" s="2"/>
    </row>
    <row r="13535" spans="1:4" ht="25.5" customHeight="1" x14ac:dyDescent="0.2">
      <c r="B13535" s="11" t="s">
        <v>2600</v>
      </c>
      <c r="C13535" s="17" t="s">
        <v>4741</v>
      </c>
      <c r="D13535" s="2"/>
    </row>
    <row r="13536" spans="1:4" ht="25.5" customHeight="1" x14ac:dyDescent="0.2">
      <c r="B13536" s="11" t="s">
        <v>2601</v>
      </c>
      <c r="C13536" s="17"/>
      <c r="D13536" s="2"/>
    </row>
    <row r="13537" spans="1:4" ht="12.75" customHeight="1" x14ac:dyDescent="0.2">
      <c r="B13537" s="11" t="s">
        <v>16</v>
      </c>
      <c r="C13537" s="17"/>
      <c r="D13537" s="2"/>
    </row>
    <row r="13538" spans="1:4" ht="12.75" customHeight="1" x14ac:dyDescent="0.2">
      <c r="B13538" s="11" t="s">
        <v>13</v>
      </c>
      <c r="C13538" s="17" t="s">
        <v>2602</v>
      </c>
      <c r="D13538" s="2"/>
    </row>
    <row r="13539" spans="1:4" ht="25.5" customHeight="1" x14ac:dyDescent="0.2">
      <c r="B13539" s="11" t="s">
        <v>2603</v>
      </c>
      <c r="C13539" s="17" t="s">
        <v>2971</v>
      </c>
      <c r="D13539" s="2"/>
    </row>
    <row r="13540" spans="1:4" ht="12.75" customHeight="1" x14ac:dyDescent="0.2">
      <c r="B13540" s="11" t="s">
        <v>2605</v>
      </c>
      <c r="C13540" s="17" t="s">
        <v>14</v>
      </c>
      <c r="D13540" s="2"/>
    </row>
    <row r="13541" spans="1:4" ht="12.75" customHeight="1" x14ac:dyDescent="0.2">
      <c r="B13541" s="11" t="s">
        <v>2606</v>
      </c>
      <c r="C13541" s="16" t="s">
        <v>19</v>
      </c>
      <c r="D13541" s="2"/>
    </row>
    <row r="13542" spans="1:4" ht="12.75" customHeight="1" x14ac:dyDescent="0.2">
      <c r="B13542" s="2"/>
      <c r="C13542" s="15"/>
      <c r="D13542" s="2"/>
    </row>
    <row r="13543" spans="1:4" ht="12.75" customHeight="1" x14ac:dyDescent="0.2">
      <c r="B13543" s="2"/>
      <c r="C13543" s="15"/>
      <c r="D13543" s="2"/>
    </row>
    <row r="13544" spans="1:4" ht="12.75" customHeight="1" x14ac:dyDescent="0.2">
      <c r="A13544" s="13" t="s">
        <v>4713</v>
      </c>
      <c r="C13544" s="12"/>
      <c r="D13544" s="2"/>
    </row>
    <row r="13545" spans="1:4" ht="12.75" customHeight="1" x14ac:dyDescent="0.2">
      <c r="A13545" s="11"/>
      <c r="B13545" s="2"/>
      <c r="C13545" s="15"/>
      <c r="D13545" s="2"/>
    </row>
    <row r="13546" spans="1:4" ht="12.75" customHeight="1" x14ac:dyDescent="0.2">
      <c r="B13546" s="11" t="s">
        <v>0</v>
      </c>
      <c r="C13546" s="17" t="s">
        <v>253</v>
      </c>
      <c r="D13546" s="2"/>
    </row>
    <row r="13547" spans="1:4" ht="12.75" customHeight="1" x14ac:dyDescent="0.2">
      <c r="B13547" s="11" t="s">
        <v>2599</v>
      </c>
      <c r="C13547" s="17" t="s">
        <v>4714</v>
      </c>
      <c r="D13547" s="2"/>
    </row>
    <row r="13548" spans="1:4" ht="25.5" customHeight="1" x14ac:dyDescent="0.2">
      <c r="B13548" s="11" t="s">
        <v>2600</v>
      </c>
      <c r="C13548" s="17" t="s">
        <v>4742</v>
      </c>
      <c r="D13548" s="2"/>
    </row>
    <row r="13549" spans="1:4" ht="25.5" customHeight="1" x14ac:dyDescent="0.2">
      <c r="B13549" s="11" t="s">
        <v>2601</v>
      </c>
      <c r="C13549" s="17"/>
      <c r="D13549" s="2"/>
    </row>
    <row r="13550" spans="1:4" ht="12.75" customHeight="1" x14ac:dyDescent="0.2">
      <c r="B13550" s="11" t="s">
        <v>16</v>
      </c>
      <c r="C13550" s="17"/>
      <c r="D13550" s="2"/>
    </row>
    <row r="13551" spans="1:4" ht="12.75" customHeight="1" x14ac:dyDescent="0.2">
      <c r="B13551" s="11" t="s">
        <v>13</v>
      </c>
      <c r="C13551" s="17" t="s">
        <v>2644</v>
      </c>
      <c r="D13551" s="2"/>
    </row>
    <row r="13552" spans="1:4" ht="25.5" customHeight="1" x14ac:dyDescent="0.2">
      <c r="B13552" s="11" t="s">
        <v>2603</v>
      </c>
      <c r="C13552" s="17" t="s">
        <v>2971</v>
      </c>
      <c r="D13552" s="2"/>
    </row>
    <row r="13553" spans="1:4" ht="12.75" customHeight="1" x14ac:dyDescent="0.2">
      <c r="B13553" s="11" t="s">
        <v>2605</v>
      </c>
      <c r="C13553" s="17" t="s">
        <v>14</v>
      </c>
      <c r="D13553" s="2"/>
    </row>
    <row r="13554" spans="1:4" ht="12.75" customHeight="1" x14ac:dyDescent="0.2">
      <c r="B13554" s="11" t="s">
        <v>2606</v>
      </c>
      <c r="C13554" s="16" t="s">
        <v>19</v>
      </c>
      <c r="D13554" s="2"/>
    </row>
    <row r="13555" spans="1:4" ht="12.75" customHeight="1" x14ac:dyDescent="0.2">
      <c r="B13555" s="2"/>
      <c r="C13555" s="15"/>
      <c r="D13555" s="2"/>
    </row>
    <row r="13556" spans="1:4" ht="12.75" customHeight="1" x14ac:dyDescent="0.2">
      <c r="B13556" s="2"/>
      <c r="C13556" s="15"/>
      <c r="D13556" s="2"/>
    </row>
    <row r="13557" spans="1:4" ht="12.75" customHeight="1" x14ac:dyDescent="0.2">
      <c r="A13557" s="13" t="s">
        <v>4685</v>
      </c>
      <c r="C13557" s="12"/>
      <c r="D13557" s="2"/>
    </row>
    <row r="13558" spans="1:4" ht="12.75" customHeight="1" x14ac:dyDescent="0.2">
      <c r="A13558" s="11"/>
      <c r="B13558" s="2"/>
      <c r="C13558" s="15"/>
      <c r="D13558" s="2"/>
    </row>
    <row r="13559" spans="1:4" ht="12.75" customHeight="1" x14ac:dyDescent="0.2">
      <c r="B13559" s="11" t="s">
        <v>0</v>
      </c>
      <c r="C13559" s="17" t="s">
        <v>773</v>
      </c>
      <c r="D13559" s="2"/>
    </row>
    <row r="13560" spans="1:4" ht="12.75" customHeight="1" x14ac:dyDescent="0.2">
      <c r="B13560" s="11" t="s">
        <v>2599</v>
      </c>
      <c r="C13560" s="17" t="s">
        <v>4686</v>
      </c>
      <c r="D13560" s="2"/>
    </row>
    <row r="13561" spans="1:4" ht="25.5" customHeight="1" x14ac:dyDescent="0.2">
      <c r="B13561" s="11" t="s">
        <v>2600</v>
      </c>
      <c r="C13561" s="17" t="s">
        <v>4743</v>
      </c>
      <c r="D13561" s="2"/>
    </row>
    <row r="13562" spans="1:4" ht="25.5" customHeight="1" x14ac:dyDescent="0.2">
      <c r="B13562" s="11" t="s">
        <v>2601</v>
      </c>
      <c r="C13562" s="17"/>
      <c r="D13562" s="2"/>
    </row>
    <row r="13563" spans="1:4" ht="12.75" customHeight="1" x14ac:dyDescent="0.2">
      <c r="B13563" s="11" t="s">
        <v>16</v>
      </c>
      <c r="C13563" s="17"/>
      <c r="D13563" s="2"/>
    </row>
    <row r="13564" spans="1:4" ht="12.75" customHeight="1" x14ac:dyDescent="0.2">
      <c r="B13564" s="11" t="s">
        <v>13</v>
      </c>
      <c r="C13564" s="17" t="s">
        <v>2602</v>
      </c>
      <c r="D13564" s="2"/>
    </row>
    <row r="13565" spans="1:4" ht="25.5" customHeight="1" x14ac:dyDescent="0.2">
      <c r="B13565" s="11" t="s">
        <v>2603</v>
      </c>
      <c r="C13565" s="17" t="s">
        <v>2971</v>
      </c>
      <c r="D13565" s="2"/>
    </row>
    <row r="13566" spans="1:4" ht="12.75" customHeight="1" x14ac:dyDescent="0.2">
      <c r="B13566" s="11" t="s">
        <v>2605</v>
      </c>
      <c r="C13566" s="17" t="s">
        <v>14</v>
      </c>
      <c r="D13566" s="2"/>
    </row>
    <row r="13567" spans="1:4" ht="12.75" customHeight="1" x14ac:dyDescent="0.2">
      <c r="B13567" s="11" t="s">
        <v>2606</v>
      </c>
      <c r="C13567" s="16" t="s">
        <v>19</v>
      </c>
      <c r="D13567" s="2"/>
    </row>
    <row r="13568" spans="1:4" ht="12.75" customHeight="1" x14ac:dyDescent="0.2">
      <c r="B13568" s="2"/>
      <c r="C13568" s="15"/>
      <c r="D13568" s="2"/>
    </row>
    <row r="13569" spans="1:4" ht="12.75" customHeight="1" x14ac:dyDescent="0.2">
      <c r="B13569" s="2"/>
      <c r="C13569" s="15"/>
      <c r="D13569" s="2"/>
    </row>
    <row r="13570" spans="1:4" ht="12.75" customHeight="1" x14ac:dyDescent="0.2">
      <c r="A13570" s="13" t="s">
        <v>4688</v>
      </c>
      <c r="C13570" s="12"/>
      <c r="D13570" s="2"/>
    </row>
    <row r="13571" spans="1:4" ht="12.75" customHeight="1" x14ac:dyDescent="0.2">
      <c r="A13571" s="11"/>
      <c r="B13571" s="2"/>
      <c r="C13571" s="15"/>
      <c r="D13571" s="2"/>
    </row>
    <row r="13572" spans="1:4" ht="12.75" customHeight="1" x14ac:dyDescent="0.2">
      <c r="B13572" s="11" t="s">
        <v>0</v>
      </c>
      <c r="C13572" s="17" t="s">
        <v>773</v>
      </c>
      <c r="D13572" s="2"/>
    </row>
    <row r="13573" spans="1:4" ht="12.75" customHeight="1" x14ac:dyDescent="0.2">
      <c r="B13573" s="11" t="s">
        <v>2599</v>
      </c>
      <c r="C13573" s="17" t="s">
        <v>629</v>
      </c>
      <c r="D13573" s="2"/>
    </row>
    <row r="13574" spans="1:4" ht="25.5" customHeight="1" x14ac:dyDescent="0.2">
      <c r="B13574" s="11" t="s">
        <v>2600</v>
      </c>
      <c r="C13574" s="17" t="s">
        <v>4744</v>
      </c>
      <c r="D13574" s="2"/>
    </row>
    <row r="13575" spans="1:4" ht="25.5" customHeight="1" x14ac:dyDescent="0.2">
      <c r="B13575" s="11" t="s">
        <v>2601</v>
      </c>
      <c r="C13575" s="17"/>
      <c r="D13575" s="2"/>
    </row>
    <row r="13576" spans="1:4" ht="12.75" customHeight="1" x14ac:dyDescent="0.2">
      <c r="B13576" s="11" t="s">
        <v>16</v>
      </c>
      <c r="C13576" s="17"/>
      <c r="D13576" s="2"/>
    </row>
    <row r="13577" spans="1:4" ht="12.75" customHeight="1" x14ac:dyDescent="0.2">
      <c r="B13577" s="11" t="s">
        <v>13</v>
      </c>
      <c r="C13577" s="17" t="s">
        <v>2644</v>
      </c>
      <c r="D13577" s="2"/>
    </row>
    <row r="13578" spans="1:4" ht="25.5" customHeight="1" x14ac:dyDescent="0.2">
      <c r="B13578" s="11" t="s">
        <v>2603</v>
      </c>
      <c r="C13578" s="17" t="s">
        <v>2971</v>
      </c>
      <c r="D13578" s="2"/>
    </row>
    <row r="13579" spans="1:4" ht="12.75" customHeight="1" x14ac:dyDescent="0.2">
      <c r="B13579" s="11" t="s">
        <v>2605</v>
      </c>
      <c r="C13579" s="17" t="s">
        <v>14</v>
      </c>
      <c r="D13579" s="2"/>
    </row>
    <row r="13580" spans="1:4" ht="12.75" customHeight="1" x14ac:dyDescent="0.2">
      <c r="B13580" s="11" t="s">
        <v>2606</v>
      </c>
      <c r="C13580" s="16" t="s">
        <v>19</v>
      </c>
      <c r="D13580" s="2"/>
    </row>
    <row r="13581" spans="1:4" ht="12.75" customHeight="1" x14ac:dyDescent="0.2">
      <c r="B13581" s="2"/>
      <c r="C13581" s="15"/>
      <c r="D13581" s="2"/>
    </row>
    <row r="13582" spans="1:4" ht="12.75" customHeight="1" x14ac:dyDescent="0.2">
      <c r="B13582" s="2"/>
      <c r="C13582" s="15"/>
      <c r="D13582" s="2"/>
    </row>
    <row r="13583" spans="1:4" ht="12.75" customHeight="1" x14ac:dyDescent="0.2">
      <c r="A13583" s="13" t="s">
        <v>4745</v>
      </c>
      <c r="C13583" s="12"/>
    </row>
    <row r="13584" spans="1:4" ht="12.75" customHeight="1" x14ac:dyDescent="0.2">
      <c r="A13584" s="11"/>
      <c r="B13584" s="2"/>
      <c r="C13584" s="15"/>
      <c r="D13584" s="2"/>
    </row>
    <row r="13585" spans="1:4" ht="12.75" customHeight="1" x14ac:dyDescent="0.2">
      <c r="B13585" s="11" t="s">
        <v>0</v>
      </c>
      <c r="C13585" s="11" t="s">
        <v>773</v>
      </c>
    </row>
    <row r="13586" spans="1:4" ht="12.75" customHeight="1" x14ac:dyDescent="0.2">
      <c r="B13586" s="11" t="s">
        <v>2599</v>
      </c>
      <c r="C13586" s="11" t="s">
        <v>4746</v>
      </c>
    </row>
    <row r="13587" spans="1:4" ht="25.5" customHeight="1" x14ac:dyDescent="0.2">
      <c r="B13587" s="11" t="s">
        <v>2600</v>
      </c>
      <c r="C13587" s="11" t="s">
        <v>4747</v>
      </c>
    </row>
    <row r="13588" spans="1:4" ht="25.5" customHeight="1" x14ac:dyDescent="0.2">
      <c r="B13588" s="11" t="s">
        <v>2601</v>
      </c>
      <c r="C13588" s="11"/>
    </row>
    <row r="13589" spans="1:4" ht="12.75" customHeight="1" x14ac:dyDescent="0.2">
      <c r="B13589" s="11" t="s">
        <v>16</v>
      </c>
      <c r="C13589" s="11"/>
    </row>
    <row r="13590" spans="1:4" ht="12.75" customHeight="1" x14ac:dyDescent="0.2">
      <c r="B13590" s="11" t="s">
        <v>13</v>
      </c>
      <c r="C13590" s="11" t="s">
        <v>2602</v>
      </c>
    </row>
    <row r="13591" spans="1:4" ht="12.75" customHeight="1" x14ac:dyDescent="0.2">
      <c r="B13591" s="11" t="s">
        <v>2603</v>
      </c>
      <c r="C13591" s="11" t="s">
        <v>2604</v>
      </c>
    </row>
    <row r="13592" spans="1:4" ht="12.75" customHeight="1" x14ac:dyDescent="0.2">
      <c r="B13592" s="11" t="s">
        <v>2605</v>
      </c>
      <c r="C13592" s="11" t="s">
        <v>24</v>
      </c>
    </row>
    <row r="13593" spans="1:4" ht="12.75" customHeight="1" x14ac:dyDescent="0.2">
      <c r="B13593" s="11" t="s">
        <v>2606</v>
      </c>
      <c r="C13593" s="16" t="s">
        <v>44</v>
      </c>
      <c r="D13593" s="6" t="str">
        <f>HYPERLINK("javascript:void(0)","brummogás")</f>
        <v>brummogás</v>
      </c>
    </row>
    <row r="13594" spans="1:4" ht="12.75" customHeight="1" x14ac:dyDescent="0.2">
      <c r="C13594" s="16" t="s">
        <v>309</v>
      </c>
      <c r="D13594" s="6" t="str">
        <f>HYPERLINK("javascript:void(0)","kincs")</f>
        <v>kincs</v>
      </c>
    </row>
    <row r="13595" spans="1:4" ht="12.75" customHeight="1" x14ac:dyDescent="0.2">
      <c r="B13595" s="2"/>
      <c r="C13595" s="15"/>
      <c r="D13595" s="2"/>
    </row>
    <row r="13596" spans="1:4" ht="12.75" customHeight="1" x14ac:dyDescent="0.2">
      <c r="B13596" s="2"/>
      <c r="C13596" s="15"/>
      <c r="D13596" s="2"/>
    </row>
    <row r="13597" spans="1:4" ht="12.75" customHeight="1" x14ac:dyDescent="0.2">
      <c r="A13597" s="13" t="s">
        <v>4748</v>
      </c>
      <c r="C13597" s="12"/>
    </row>
    <row r="13598" spans="1:4" ht="12.75" customHeight="1" x14ac:dyDescent="0.2">
      <c r="A13598" s="11"/>
      <c r="B13598" s="2"/>
      <c r="C13598" s="15"/>
      <c r="D13598" s="2"/>
    </row>
    <row r="13599" spans="1:4" ht="12.75" customHeight="1" x14ac:dyDescent="0.2">
      <c r="B13599" s="11" t="s">
        <v>0</v>
      </c>
      <c r="C13599" s="11" t="s">
        <v>773</v>
      </c>
    </row>
    <row r="13600" spans="1:4" ht="12.75" customHeight="1" x14ac:dyDescent="0.2">
      <c r="B13600" s="11" t="s">
        <v>2599</v>
      </c>
      <c r="C13600" s="11" t="s">
        <v>4749</v>
      </c>
    </row>
    <row r="13601" spans="1:4" ht="25.5" customHeight="1" x14ac:dyDescent="0.2">
      <c r="B13601" s="11" t="s">
        <v>2600</v>
      </c>
      <c r="C13601" s="11" t="s">
        <v>4750</v>
      </c>
    </row>
    <row r="13602" spans="1:4" ht="25.5" customHeight="1" x14ac:dyDescent="0.2">
      <c r="B13602" s="11" t="s">
        <v>2601</v>
      </c>
      <c r="C13602" s="11"/>
    </row>
    <row r="13603" spans="1:4" ht="12.75" customHeight="1" x14ac:dyDescent="0.2">
      <c r="B13603" s="11" t="s">
        <v>16</v>
      </c>
      <c r="C13603" s="11"/>
    </row>
    <row r="13604" spans="1:4" ht="12.75" customHeight="1" x14ac:dyDescent="0.2">
      <c r="B13604" s="11" t="s">
        <v>13</v>
      </c>
      <c r="C13604" s="11" t="s">
        <v>2602</v>
      </c>
    </row>
    <row r="13605" spans="1:4" ht="12.75" customHeight="1" x14ac:dyDescent="0.2">
      <c r="B13605" s="11" t="s">
        <v>2603</v>
      </c>
      <c r="C13605" s="11" t="s">
        <v>2604</v>
      </c>
    </row>
    <row r="13606" spans="1:4" ht="12.75" customHeight="1" x14ac:dyDescent="0.2">
      <c r="B13606" s="11" t="s">
        <v>2605</v>
      </c>
      <c r="C13606" s="11" t="s">
        <v>14</v>
      </c>
    </row>
    <row r="13607" spans="1:4" ht="12.75" customHeight="1" x14ac:dyDescent="0.2">
      <c r="B13607" s="11" t="s">
        <v>2606</v>
      </c>
      <c r="C13607" s="16" t="s">
        <v>139</v>
      </c>
      <c r="D13607" s="6" t="str">
        <f>HYPERLINK("javascript:void(0)","kincs")</f>
        <v>kincs</v>
      </c>
    </row>
    <row r="13608" spans="1:4" ht="12.75" customHeight="1" x14ac:dyDescent="0.2">
      <c r="B13608" s="2"/>
      <c r="C13608" s="15"/>
      <c r="D13608" s="2"/>
    </row>
    <row r="13609" spans="1:4" ht="12.75" customHeight="1" x14ac:dyDescent="0.2">
      <c r="B13609" s="2"/>
      <c r="C13609" s="15"/>
      <c r="D13609" s="2"/>
    </row>
    <row r="13610" spans="1:4" ht="12.75" customHeight="1" x14ac:dyDescent="0.2">
      <c r="A13610" s="13" t="s">
        <v>4751</v>
      </c>
      <c r="C13610" s="12"/>
    </row>
    <row r="13611" spans="1:4" ht="12.75" customHeight="1" x14ac:dyDescent="0.2">
      <c r="A13611" s="11"/>
      <c r="B13611" s="2"/>
      <c r="C13611" s="15"/>
      <c r="D13611" s="2"/>
    </row>
    <row r="13612" spans="1:4" ht="12.75" customHeight="1" x14ac:dyDescent="0.2">
      <c r="B13612" s="11" t="s">
        <v>0</v>
      </c>
      <c r="C13612" s="11" t="s">
        <v>773</v>
      </c>
    </row>
    <row r="13613" spans="1:4" ht="12.75" customHeight="1" x14ac:dyDescent="0.2">
      <c r="B13613" s="11" t="s">
        <v>2599</v>
      </c>
      <c r="C13613" s="11" t="s">
        <v>4752</v>
      </c>
    </row>
    <row r="13614" spans="1:4" ht="25.5" customHeight="1" x14ac:dyDescent="0.2">
      <c r="B13614" s="11" t="s">
        <v>2600</v>
      </c>
      <c r="C13614" s="11" t="s">
        <v>4753</v>
      </c>
    </row>
    <row r="13615" spans="1:4" ht="25.5" customHeight="1" x14ac:dyDescent="0.2">
      <c r="B13615" s="11" t="s">
        <v>2601</v>
      </c>
      <c r="C13615" s="11"/>
    </row>
    <row r="13616" spans="1:4" ht="12.75" customHeight="1" x14ac:dyDescent="0.2">
      <c r="B13616" s="11" t="s">
        <v>16</v>
      </c>
      <c r="C13616" s="11"/>
    </row>
    <row r="13617" spans="1:4" ht="12.75" customHeight="1" x14ac:dyDescent="0.2">
      <c r="B13617" s="11" t="s">
        <v>13</v>
      </c>
      <c r="C13617" s="11" t="s">
        <v>2602</v>
      </c>
    </row>
    <row r="13618" spans="1:4" ht="12.75" customHeight="1" x14ac:dyDescent="0.2">
      <c r="B13618" s="11" t="s">
        <v>2603</v>
      </c>
      <c r="C13618" s="11" t="s">
        <v>2604</v>
      </c>
    </row>
    <row r="13619" spans="1:4" ht="12.75" customHeight="1" x14ac:dyDescent="0.2">
      <c r="B13619" s="11" t="s">
        <v>2605</v>
      </c>
      <c r="C13619" s="11" t="s">
        <v>24</v>
      </c>
    </row>
    <row r="13620" spans="1:4" ht="12.75" customHeight="1" x14ac:dyDescent="0.2">
      <c r="B13620" s="11" t="s">
        <v>2606</v>
      </c>
      <c r="C13620" s="16" t="s">
        <v>44</v>
      </c>
      <c r="D13620" s="6" t="str">
        <f>HYPERLINK("javascript:void(0)","éjfény")</f>
        <v>éjfény</v>
      </c>
    </row>
    <row r="13621" spans="1:4" ht="12.75" customHeight="1" x14ac:dyDescent="0.2">
      <c r="B13621" s="2"/>
      <c r="C13621" s="15"/>
      <c r="D13621" s="2"/>
    </row>
    <row r="13622" spans="1:4" ht="12.75" customHeight="1" x14ac:dyDescent="0.2">
      <c r="B13622" s="2"/>
      <c r="C13622" s="15"/>
      <c r="D13622" s="2"/>
    </row>
    <row r="13623" spans="1:4" ht="12.75" customHeight="1" x14ac:dyDescent="0.2">
      <c r="A13623" s="13" t="s">
        <v>4754</v>
      </c>
      <c r="C13623" s="12"/>
    </row>
    <row r="13624" spans="1:4" ht="12.75" customHeight="1" x14ac:dyDescent="0.2">
      <c r="A13624" s="11"/>
      <c r="B13624" s="2"/>
      <c r="C13624" s="15"/>
      <c r="D13624" s="2"/>
    </row>
    <row r="13625" spans="1:4" ht="12.75" customHeight="1" x14ac:dyDescent="0.2">
      <c r="B13625" s="11" t="s">
        <v>0</v>
      </c>
      <c r="C13625" s="11" t="s">
        <v>773</v>
      </c>
    </row>
    <row r="13626" spans="1:4" ht="12.75" customHeight="1" x14ac:dyDescent="0.2">
      <c r="B13626" s="11" t="s">
        <v>2599</v>
      </c>
      <c r="C13626" s="11" t="s">
        <v>4755</v>
      </c>
    </row>
    <row r="13627" spans="1:4" ht="25.5" customHeight="1" x14ac:dyDescent="0.2">
      <c r="B13627" s="11" t="s">
        <v>2600</v>
      </c>
      <c r="C13627" s="11" t="s">
        <v>4756</v>
      </c>
    </row>
    <row r="13628" spans="1:4" ht="25.5" customHeight="1" x14ac:dyDescent="0.2">
      <c r="B13628" s="11" t="s">
        <v>2601</v>
      </c>
      <c r="C13628" s="11"/>
    </row>
    <row r="13629" spans="1:4" ht="12.75" customHeight="1" x14ac:dyDescent="0.2">
      <c r="B13629" s="11" t="s">
        <v>16</v>
      </c>
      <c r="C13629" s="11"/>
    </row>
    <row r="13630" spans="1:4" ht="12.75" customHeight="1" x14ac:dyDescent="0.2">
      <c r="B13630" s="11" t="s">
        <v>13</v>
      </c>
      <c r="C13630" s="11" t="s">
        <v>2644</v>
      </c>
    </row>
    <row r="13631" spans="1:4" ht="12.75" customHeight="1" x14ac:dyDescent="0.2">
      <c r="B13631" s="11" t="s">
        <v>2603</v>
      </c>
      <c r="C13631" s="11" t="s">
        <v>2604</v>
      </c>
    </row>
    <row r="13632" spans="1:4" ht="12.75" customHeight="1" x14ac:dyDescent="0.2">
      <c r="B13632" s="11" t="s">
        <v>2605</v>
      </c>
      <c r="C13632" s="11" t="s">
        <v>14</v>
      </c>
    </row>
    <row r="13633" spans="1:4" ht="12.75" customHeight="1" x14ac:dyDescent="0.2">
      <c r="B13633" s="11" t="s">
        <v>2606</v>
      </c>
      <c r="C13633" s="16" t="s">
        <v>57</v>
      </c>
      <c r="D13633" s="6" t="str">
        <f>HYPERLINK("javascript:void(0)","ördögpihe")</f>
        <v>ördögpihe</v>
      </c>
    </row>
    <row r="13634" spans="1:4" ht="12.75" customHeight="1" x14ac:dyDescent="0.2">
      <c r="B13634" s="2"/>
      <c r="C13634" s="15"/>
      <c r="D13634" s="2"/>
    </row>
    <row r="13635" spans="1:4" ht="12.75" customHeight="1" x14ac:dyDescent="0.2">
      <c r="B13635" s="2"/>
      <c r="C13635" s="15"/>
      <c r="D13635" s="2"/>
    </row>
    <row r="13636" spans="1:4" ht="12.75" customHeight="1" x14ac:dyDescent="0.2">
      <c r="A13636" s="13" t="s">
        <v>4758</v>
      </c>
      <c r="C13636" s="12"/>
    </row>
    <row r="13637" spans="1:4" ht="12.75" customHeight="1" x14ac:dyDescent="0.2">
      <c r="A13637" s="11"/>
      <c r="B13637" s="2"/>
      <c r="C13637" s="15"/>
      <c r="D13637" s="2"/>
    </row>
    <row r="13638" spans="1:4" ht="12.75" customHeight="1" x14ac:dyDescent="0.2">
      <c r="B13638" s="11" t="s">
        <v>0</v>
      </c>
      <c r="C13638" s="11" t="s">
        <v>773</v>
      </c>
    </row>
    <row r="13639" spans="1:4" ht="12.75" customHeight="1" x14ac:dyDescent="0.2">
      <c r="B13639" s="11" t="s">
        <v>2599</v>
      </c>
      <c r="C13639" s="11" t="s">
        <v>4759</v>
      </c>
    </row>
    <row r="13640" spans="1:4" ht="25.5" customHeight="1" x14ac:dyDescent="0.2">
      <c r="B13640" s="11" t="s">
        <v>2600</v>
      </c>
      <c r="C13640" s="11" t="s">
        <v>4760</v>
      </c>
    </row>
    <row r="13641" spans="1:4" ht="25.5" customHeight="1" x14ac:dyDescent="0.2">
      <c r="B13641" s="11" t="s">
        <v>2601</v>
      </c>
      <c r="C13641" s="11"/>
    </row>
    <row r="13642" spans="1:4" ht="12.75" customHeight="1" x14ac:dyDescent="0.2">
      <c r="B13642" s="11" t="s">
        <v>16</v>
      </c>
      <c r="C13642" s="11"/>
    </row>
    <row r="13643" spans="1:4" ht="12.75" customHeight="1" x14ac:dyDescent="0.2">
      <c r="B13643" s="11" t="s">
        <v>13</v>
      </c>
      <c r="C13643" s="11" t="s">
        <v>2644</v>
      </c>
    </row>
    <row r="13644" spans="1:4" ht="12.75" customHeight="1" x14ac:dyDescent="0.2">
      <c r="B13644" s="11" t="s">
        <v>2603</v>
      </c>
      <c r="C13644" s="11" t="s">
        <v>2604</v>
      </c>
    </row>
    <row r="13645" spans="1:4" ht="12.75" customHeight="1" x14ac:dyDescent="0.2">
      <c r="B13645" s="11" t="s">
        <v>2605</v>
      </c>
      <c r="C13645" s="11" t="s">
        <v>14</v>
      </c>
    </row>
    <row r="13646" spans="1:4" ht="12.75" customHeight="1" x14ac:dyDescent="0.2">
      <c r="B13646" s="11" t="s">
        <v>2606</v>
      </c>
      <c r="C13646" s="16" t="s">
        <v>56</v>
      </c>
      <c r="D13646" s="6" t="str">
        <f>HYPERLINK("javascript:void(0)","rémszem")</f>
        <v>rémszem</v>
      </c>
    </row>
    <row r="13647" spans="1:4" ht="12.75" customHeight="1" x14ac:dyDescent="0.2">
      <c r="C13647" s="16" t="s">
        <v>98</v>
      </c>
      <c r="D13647" s="6" t="str">
        <f>HYPERLINK("javascript:void(0)","kincs")</f>
        <v>kincs</v>
      </c>
    </row>
    <row r="13648" spans="1:4" ht="12.75" customHeight="1" x14ac:dyDescent="0.2">
      <c r="B13648" s="2"/>
      <c r="C13648" s="15"/>
      <c r="D13648" s="2"/>
    </row>
    <row r="13649" spans="1:4" ht="12.75" customHeight="1" x14ac:dyDescent="0.2">
      <c r="B13649" s="2"/>
      <c r="C13649" s="15"/>
      <c r="D13649" s="2"/>
    </row>
    <row r="13650" spans="1:4" ht="12.75" customHeight="1" x14ac:dyDescent="0.2">
      <c r="A13650" s="13" t="s">
        <v>4761</v>
      </c>
      <c r="C13650" s="12"/>
    </row>
    <row r="13651" spans="1:4" ht="12.75" customHeight="1" x14ac:dyDescent="0.2">
      <c r="A13651" s="11"/>
      <c r="B13651" s="2"/>
      <c r="C13651" s="15"/>
      <c r="D13651" s="2"/>
    </row>
    <row r="13652" spans="1:4" ht="12.75" customHeight="1" x14ac:dyDescent="0.2">
      <c r="B13652" s="11" t="s">
        <v>0</v>
      </c>
      <c r="C13652" s="11" t="s">
        <v>773</v>
      </c>
    </row>
    <row r="13653" spans="1:4" ht="12.75" customHeight="1" x14ac:dyDescent="0.2">
      <c r="B13653" s="11" t="s">
        <v>2599</v>
      </c>
      <c r="C13653" s="11" t="s">
        <v>4762</v>
      </c>
    </row>
    <row r="13654" spans="1:4" ht="25.5" customHeight="1" x14ac:dyDescent="0.2">
      <c r="B13654" s="11" t="s">
        <v>2600</v>
      </c>
      <c r="C13654" s="11" t="s">
        <v>4763</v>
      </c>
    </row>
    <row r="13655" spans="1:4" ht="25.5" customHeight="1" x14ac:dyDescent="0.2">
      <c r="B13655" s="11" t="s">
        <v>2601</v>
      </c>
      <c r="C13655" s="11"/>
    </row>
    <row r="13656" spans="1:4" ht="12.75" customHeight="1" x14ac:dyDescent="0.2">
      <c r="B13656" s="11" t="s">
        <v>16</v>
      </c>
      <c r="C13656" s="11"/>
    </row>
    <row r="13657" spans="1:4" ht="12.75" customHeight="1" x14ac:dyDescent="0.2">
      <c r="B13657" s="11" t="s">
        <v>13</v>
      </c>
      <c r="C13657" s="11" t="s">
        <v>2644</v>
      </c>
    </row>
    <row r="13658" spans="1:4" ht="12.75" customHeight="1" x14ac:dyDescent="0.2">
      <c r="B13658" s="11" t="s">
        <v>2603</v>
      </c>
      <c r="C13658" s="11" t="s">
        <v>2604</v>
      </c>
    </row>
    <row r="13659" spans="1:4" ht="12.75" customHeight="1" x14ac:dyDescent="0.2">
      <c r="B13659" s="11" t="s">
        <v>2605</v>
      </c>
      <c r="C13659" s="11" t="s">
        <v>14</v>
      </c>
    </row>
    <row r="13660" spans="1:4" ht="12.75" customHeight="1" x14ac:dyDescent="0.2">
      <c r="B13660" s="11" t="s">
        <v>2606</v>
      </c>
      <c r="C13660" s="16" t="s">
        <v>244</v>
      </c>
      <c r="D13660" s="6" t="str">
        <f>HYPERLINK("javascript:void(0)","kincs")</f>
        <v>kincs</v>
      </c>
    </row>
    <row r="13661" spans="1:4" ht="12.75" customHeight="1" x14ac:dyDescent="0.2">
      <c r="B13661" s="2"/>
      <c r="C13661" s="15"/>
      <c r="D13661" s="2"/>
    </row>
    <row r="13662" spans="1:4" ht="12.75" customHeight="1" x14ac:dyDescent="0.2">
      <c r="B13662" s="2"/>
      <c r="C13662" s="15"/>
      <c r="D13662" s="2"/>
    </row>
    <row r="13663" spans="1:4" ht="12.75" customHeight="1" x14ac:dyDescent="0.2">
      <c r="A13663" s="13" t="s">
        <v>4764</v>
      </c>
      <c r="C13663" s="12"/>
    </row>
    <row r="13664" spans="1:4" ht="12.75" customHeight="1" x14ac:dyDescent="0.2">
      <c r="A13664" s="11"/>
      <c r="B13664" s="2"/>
      <c r="C13664" s="15"/>
      <c r="D13664" s="2"/>
    </row>
    <row r="13665" spans="1:4" ht="12.75" customHeight="1" x14ac:dyDescent="0.2">
      <c r="B13665" s="11" t="s">
        <v>0</v>
      </c>
      <c r="C13665" s="11" t="s">
        <v>773</v>
      </c>
    </row>
    <row r="13666" spans="1:4" ht="12.75" customHeight="1" x14ac:dyDescent="0.2">
      <c r="B13666" s="11" t="s">
        <v>2599</v>
      </c>
      <c r="C13666" s="11" t="s">
        <v>4765</v>
      </c>
    </row>
    <row r="13667" spans="1:4" ht="25.5" customHeight="1" x14ac:dyDescent="0.2">
      <c r="B13667" s="11" t="s">
        <v>2600</v>
      </c>
      <c r="C13667" s="11" t="s">
        <v>4766</v>
      </c>
    </row>
    <row r="13668" spans="1:4" ht="25.5" customHeight="1" x14ac:dyDescent="0.2">
      <c r="B13668" s="11" t="s">
        <v>2601</v>
      </c>
      <c r="C13668" s="11"/>
    </row>
    <row r="13669" spans="1:4" ht="12.75" customHeight="1" x14ac:dyDescent="0.2">
      <c r="B13669" s="11" t="s">
        <v>16</v>
      </c>
      <c r="C13669" s="11"/>
    </row>
    <row r="13670" spans="1:4" ht="12.75" customHeight="1" x14ac:dyDescent="0.2">
      <c r="B13670" s="11" t="s">
        <v>13</v>
      </c>
      <c r="C13670" s="11" t="s">
        <v>2644</v>
      </c>
    </row>
    <row r="13671" spans="1:4" ht="12.75" customHeight="1" x14ac:dyDescent="0.2">
      <c r="B13671" s="11" t="s">
        <v>2603</v>
      </c>
      <c r="C13671" s="11" t="s">
        <v>2604</v>
      </c>
    </row>
    <row r="13672" spans="1:4" ht="12.75" customHeight="1" x14ac:dyDescent="0.2">
      <c r="B13672" s="11" t="s">
        <v>2605</v>
      </c>
      <c r="C13672" s="11" t="s">
        <v>24</v>
      </c>
    </row>
    <row r="13673" spans="1:4" ht="12.75" customHeight="1" x14ac:dyDescent="0.2">
      <c r="B13673" s="11" t="s">
        <v>2606</v>
      </c>
      <c r="C13673" s="16" t="s">
        <v>44</v>
      </c>
      <c r="D13673" s="6" t="str">
        <f>HYPERLINK("javascript:void(0)","csodaflaska")</f>
        <v>csodaflaska</v>
      </c>
    </row>
    <row r="13674" spans="1:4" ht="12.75" customHeight="1" x14ac:dyDescent="0.2">
      <c r="B13674" s="2"/>
      <c r="C13674" s="15"/>
      <c r="D13674" s="2"/>
    </row>
    <row r="13675" spans="1:4" ht="12.75" customHeight="1" x14ac:dyDescent="0.2">
      <c r="B13675" s="2"/>
      <c r="C13675" s="15"/>
      <c r="D13675" s="2"/>
    </row>
    <row r="13676" spans="1:4" ht="12.75" customHeight="1" x14ac:dyDescent="0.2">
      <c r="A13676" s="13" t="s">
        <v>4767</v>
      </c>
      <c r="C13676" s="12"/>
    </row>
    <row r="13677" spans="1:4" ht="12.75" customHeight="1" x14ac:dyDescent="0.2">
      <c r="A13677" s="11"/>
      <c r="B13677" s="2"/>
      <c r="C13677" s="15"/>
      <c r="D13677" s="2"/>
    </row>
    <row r="13678" spans="1:4" ht="12.75" customHeight="1" x14ac:dyDescent="0.2">
      <c r="B13678" s="11" t="s">
        <v>0</v>
      </c>
      <c r="C13678" s="11" t="s">
        <v>773</v>
      </c>
    </row>
    <row r="13679" spans="1:4" ht="12.75" customHeight="1" x14ac:dyDescent="0.2">
      <c r="B13679" s="11" t="s">
        <v>2599</v>
      </c>
      <c r="C13679" s="11" t="s">
        <v>3545</v>
      </c>
    </row>
    <row r="13680" spans="1:4" ht="25.5" customHeight="1" x14ac:dyDescent="0.2">
      <c r="B13680" s="11" t="s">
        <v>2600</v>
      </c>
      <c r="C13680" s="11" t="s">
        <v>4768</v>
      </c>
    </row>
    <row r="13681" spans="1:4" ht="25.5" customHeight="1" x14ac:dyDescent="0.2">
      <c r="B13681" s="11" t="s">
        <v>2601</v>
      </c>
      <c r="C13681" s="11"/>
    </row>
    <row r="13682" spans="1:4" ht="12.75" customHeight="1" x14ac:dyDescent="0.2">
      <c r="B13682" s="11" t="s">
        <v>16</v>
      </c>
      <c r="C13682" s="11"/>
    </row>
    <row r="13683" spans="1:4" ht="12.75" customHeight="1" x14ac:dyDescent="0.2">
      <c r="B13683" s="11" t="s">
        <v>13</v>
      </c>
      <c r="C13683" s="11" t="s">
        <v>2602</v>
      </c>
    </row>
    <row r="13684" spans="1:4" ht="12.75" customHeight="1" x14ac:dyDescent="0.2">
      <c r="B13684" s="11" t="s">
        <v>2603</v>
      </c>
      <c r="C13684" s="11" t="s">
        <v>2604</v>
      </c>
    </row>
    <row r="13685" spans="1:4" ht="12.75" customHeight="1" x14ac:dyDescent="0.2">
      <c r="B13685" s="11" t="s">
        <v>2605</v>
      </c>
      <c r="C13685" s="11" t="s">
        <v>24</v>
      </c>
    </row>
    <row r="13686" spans="1:4" ht="12.75" customHeight="1" x14ac:dyDescent="0.2">
      <c r="B13686" s="11" t="s">
        <v>2606</v>
      </c>
      <c r="C13686" s="16" t="s">
        <v>132</v>
      </c>
      <c r="D13686" s="6" t="str">
        <f>HYPERLINK("javascript:void(0)","kincs")</f>
        <v>kincs</v>
      </c>
    </row>
    <row r="13687" spans="1:4" ht="12.75" customHeight="1" x14ac:dyDescent="0.2">
      <c r="B13687" s="2"/>
      <c r="C13687" s="15"/>
      <c r="D13687" s="2"/>
    </row>
    <row r="13688" spans="1:4" ht="12.75" customHeight="1" x14ac:dyDescent="0.2">
      <c r="B13688" s="2"/>
      <c r="C13688" s="15"/>
      <c r="D13688" s="2"/>
    </row>
    <row r="13689" spans="1:4" ht="12.75" customHeight="1" x14ac:dyDescent="0.2">
      <c r="A13689" s="13" t="s">
        <v>4710</v>
      </c>
      <c r="C13689" s="12"/>
      <c r="D13689" s="2"/>
    </row>
    <row r="13690" spans="1:4" ht="12.75" customHeight="1" x14ac:dyDescent="0.2">
      <c r="A13690" s="11"/>
      <c r="B13690" s="2"/>
      <c r="C13690" s="15"/>
      <c r="D13690" s="2"/>
    </row>
    <row r="13691" spans="1:4" ht="12.75" customHeight="1" x14ac:dyDescent="0.2">
      <c r="B13691" s="11" t="s">
        <v>0</v>
      </c>
      <c r="C13691" s="17" t="s">
        <v>773</v>
      </c>
      <c r="D13691" s="2"/>
    </row>
    <row r="13692" spans="1:4" ht="12.75" customHeight="1" x14ac:dyDescent="0.2">
      <c r="B13692" s="11" t="s">
        <v>2599</v>
      </c>
      <c r="C13692" s="17" t="s">
        <v>4711</v>
      </c>
      <c r="D13692" s="2"/>
    </row>
    <row r="13693" spans="1:4" ht="25.5" customHeight="1" x14ac:dyDescent="0.2">
      <c r="B13693" s="11" t="s">
        <v>2600</v>
      </c>
      <c r="C13693" s="17" t="s">
        <v>4770</v>
      </c>
      <c r="D13693" s="2"/>
    </row>
    <row r="13694" spans="1:4" ht="25.5" customHeight="1" x14ac:dyDescent="0.2">
      <c r="B13694" s="11" t="s">
        <v>2601</v>
      </c>
      <c r="C13694" s="17"/>
      <c r="D13694" s="2"/>
    </row>
    <row r="13695" spans="1:4" ht="12.75" customHeight="1" x14ac:dyDescent="0.2">
      <c r="B13695" s="11" t="s">
        <v>16</v>
      </c>
      <c r="C13695" s="17"/>
      <c r="D13695" s="2"/>
    </row>
    <row r="13696" spans="1:4" ht="12.75" customHeight="1" x14ac:dyDescent="0.2">
      <c r="B13696" s="11" t="s">
        <v>13</v>
      </c>
      <c r="C13696" s="17" t="s">
        <v>2602</v>
      </c>
      <c r="D13696" s="2"/>
    </row>
    <row r="13697" spans="1:4" ht="25.5" customHeight="1" x14ac:dyDescent="0.2">
      <c r="B13697" s="11" t="s">
        <v>2603</v>
      </c>
      <c r="C13697" s="17" t="s">
        <v>2971</v>
      </c>
      <c r="D13697" s="2"/>
    </row>
    <row r="13698" spans="1:4" ht="12.75" customHeight="1" x14ac:dyDescent="0.2">
      <c r="B13698" s="11" t="s">
        <v>2605</v>
      </c>
      <c r="C13698" s="17" t="s">
        <v>14</v>
      </c>
      <c r="D13698" s="2"/>
    </row>
    <row r="13699" spans="1:4" ht="12.75" customHeight="1" x14ac:dyDescent="0.2">
      <c r="B13699" s="11" t="s">
        <v>2606</v>
      </c>
      <c r="C13699" s="16" t="s">
        <v>19</v>
      </c>
      <c r="D13699" s="2"/>
    </row>
    <row r="13700" spans="1:4" ht="12.75" customHeight="1" x14ac:dyDescent="0.2">
      <c r="B13700" s="2"/>
      <c r="C13700" s="15"/>
      <c r="D13700" s="2"/>
    </row>
    <row r="13701" spans="1:4" ht="12.75" customHeight="1" x14ac:dyDescent="0.2">
      <c r="B13701" s="2"/>
      <c r="C13701" s="15"/>
      <c r="D13701" s="2"/>
    </row>
    <row r="13702" spans="1:4" ht="12.75" customHeight="1" x14ac:dyDescent="0.2">
      <c r="A13702" s="13" t="s">
        <v>4713</v>
      </c>
      <c r="C13702" s="12"/>
      <c r="D13702" s="2"/>
    </row>
    <row r="13703" spans="1:4" ht="12.75" customHeight="1" x14ac:dyDescent="0.2">
      <c r="A13703" s="11"/>
      <c r="B13703" s="2"/>
      <c r="C13703" s="15"/>
      <c r="D13703" s="2"/>
    </row>
    <row r="13704" spans="1:4" ht="12.75" customHeight="1" x14ac:dyDescent="0.2">
      <c r="B13704" s="11" t="s">
        <v>0</v>
      </c>
      <c r="C13704" s="17" t="s">
        <v>773</v>
      </c>
      <c r="D13704" s="2"/>
    </row>
    <row r="13705" spans="1:4" ht="12.75" customHeight="1" x14ac:dyDescent="0.2">
      <c r="B13705" s="11" t="s">
        <v>2599</v>
      </c>
      <c r="C13705" s="17" t="s">
        <v>4714</v>
      </c>
      <c r="D13705" s="2"/>
    </row>
    <row r="13706" spans="1:4" ht="25.5" customHeight="1" x14ac:dyDescent="0.2">
      <c r="B13706" s="11" t="s">
        <v>2600</v>
      </c>
      <c r="C13706" s="17" t="s">
        <v>4771</v>
      </c>
      <c r="D13706" s="2"/>
    </row>
    <row r="13707" spans="1:4" ht="25.5" customHeight="1" x14ac:dyDescent="0.2">
      <c r="B13707" s="11" t="s">
        <v>2601</v>
      </c>
      <c r="C13707" s="17"/>
      <c r="D13707" s="2"/>
    </row>
    <row r="13708" spans="1:4" ht="12.75" customHeight="1" x14ac:dyDescent="0.2">
      <c r="B13708" s="11" t="s">
        <v>16</v>
      </c>
      <c r="C13708" s="17"/>
      <c r="D13708" s="2"/>
    </row>
    <row r="13709" spans="1:4" ht="12.75" customHeight="1" x14ac:dyDescent="0.2">
      <c r="B13709" s="11" t="s">
        <v>13</v>
      </c>
      <c r="C13709" s="17" t="s">
        <v>2644</v>
      </c>
      <c r="D13709" s="2"/>
    </row>
    <row r="13710" spans="1:4" ht="25.5" customHeight="1" x14ac:dyDescent="0.2">
      <c r="B13710" s="11" t="s">
        <v>2603</v>
      </c>
      <c r="C13710" s="17" t="s">
        <v>2971</v>
      </c>
      <c r="D13710" s="2"/>
    </row>
    <row r="13711" spans="1:4" ht="12.75" customHeight="1" x14ac:dyDescent="0.2">
      <c r="B13711" s="11" t="s">
        <v>2605</v>
      </c>
      <c r="C13711" s="17" t="s">
        <v>14</v>
      </c>
      <c r="D13711" s="2"/>
    </row>
    <row r="13712" spans="1:4" ht="12.75" customHeight="1" x14ac:dyDescent="0.2">
      <c r="B13712" s="11" t="s">
        <v>2606</v>
      </c>
      <c r="C13712" s="16" t="s">
        <v>19</v>
      </c>
      <c r="D13712" s="2"/>
    </row>
    <row r="13713" spans="1:4" ht="12.75" customHeight="1" x14ac:dyDescent="0.2">
      <c r="B13713" s="2"/>
      <c r="C13713" s="15"/>
      <c r="D13713" s="2"/>
    </row>
    <row r="13714" spans="1:4" ht="12.75" customHeight="1" x14ac:dyDescent="0.2">
      <c r="B13714" s="2"/>
      <c r="C13714" s="15"/>
      <c r="D13714" s="2"/>
    </row>
    <row r="13715" spans="1:4" ht="12.75" customHeight="1" x14ac:dyDescent="0.2">
      <c r="A13715" s="13" t="s">
        <v>4685</v>
      </c>
      <c r="C13715" s="12"/>
      <c r="D13715" s="2"/>
    </row>
    <row r="13716" spans="1:4" ht="12.75" customHeight="1" x14ac:dyDescent="0.2">
      <c r="A13716" s="11"/>
      <c r="B13716" s="2"/>
      <c r="C13716" s="15"/>
      <c r="D13716" s="2"/>
    </row>
    <row r="13717" spans="1:4" ht="12.75" customHeight="1" x14ac:dyDescent="0.2">
      <c r="B13717" s="11" t="s">
        <v>0</v>
      </c>
      <c r="C13717" s="17" t="s">
        <v>776</v>
      </c>
      <c r="D13717" s="2"/>
    </row>
    <row r="13718" spans="1:4" ht="12.75" customHeight="1" x14ac:dyDescent="0.2">
      <c r="B13718" s="11" t="s">
        <v>2599</v>
      </c>
      <c r="C13718" s="17" t="s">
        <v>4686</v>
      </c>
      <c r="D13718" s="2"/>
    </row>
    <row r="13719" spans="1:4" ht="25.5" customHeight="1" x14ac:dyDescent="0.2">
      <c r="B13719" s="11" t="s">
        <v>2600</v>
      </c>
      <c r="C13719" s="17" t="s">
        <v>4772</v>
      </c>
      <c r="D13719" s="2"/>
    </row>
    <row r="13720" spans="1:4" ht="25.5" customHeight="1" x14ac:dyDescent="0.2">
      <c r="B13720" s="11" t="s">
        <v>2601</v>
      </c>
      <c r="C13720" s="17"/>
      <c r="D13720" s="2"/>
    </row>
    <row r="13721" spans="1:4" ht="12.75" customHeight="1" x14ac:dyDescent="0.2">
      <c r="B13721" s="11" t="s">
        <v>16</v>
      </c>
      <c r="C13721" s="17"/>
      <c r="D13721" s="2"/>
    </row>
    <row r="13722" spans="1:4" ht="12.75" customHeight="1" x14ac:dyDescent="0.2">
      <c r="B13722" s="11" t="s">
        <v>13</v>
      </c>
      <c r="C13722" s="17" t="s">
        <v>2602</v>
      </c>
      <c r="D13722" s="2"/>
    </row>
    <row r="13723" spans="1:4" ht="25.5" customHeight="1" x14ac:dyDescent="0.2">
      <c r="B13723" s="11" t="s">
        <v>2603</v>
      </c>
      <c r="C13723" s="17" t="s">
        <v>2971</v>
      </c>
      <c r="D13723" s="2"/>
    </row>
    <row r="13724" spans="1:4" ht="12.75" customHeight="1" x14ac:dyDescent="0.2">
      <c r="B13724" s="11" t="s">
        <v>2605</v>
      </c>
      <c r="C13724" s="17" t="s">
        <v>14</v>
      </c>
      <c r="D13724" s="2"/>
    </row>
    <row r="13725" spans="1:4" ht="12.75" customHeight="1" x14ac:dyDescent="0.2">
      <c r="B13725" s="11" t="s">
        <v>2606</v>
      </c>
      <c r="C13725" s="16" t="s">
        <v>19</v>
      </c>
      <c r="D13725" s="2"/>
    </row>
    <row r="13726" spans="1:4" ht="12.75" customHeight="1" x14ac:dyDescent="0.2">
      <c r="B13726" s="2"/>
      <c r="C13726" s="15"/>
      <c r="D13726" s="2"/>
    </row>
    <row r="13727" spans="1:4" ht="12.75" customHeight="1" x14ac:dyDescent="0.2">
      <c r="B13727" s="2"/>
      <c r="C13727" s="15"/>
      <c r="D13727" s="2"/>
    </row>
    <row r="13728" spans="1:4" ht="12.75" customHeight="1" x14ac:dyDescent="0.2">
      <c r="A13728" s="13" t="s">
        <v>4688</v>
      </c>
      <c r="C13728" s="12"/>
      <c r="D13728" s="2"/>
    </row>
    <row r="13729" spans="1:4" ht="12.75" customHeight="1" x14ac:dyDescent="0.2">
      <c r="A13729" s="11"/>
      <c r="B13729" s="2"/>
      <c r="C13729" s="15"/>
      <c r="D13729" s="2"/>
    </row>
    <row r="13730" spans="1:4" ht="12.75" customHeight="1" x14ac:dyDescent="0.2">
      <c r="B13730" s="11" t="s">
        <v>0</v>
      </c>
      <c r="C13730" s="17" t="s">
        <v>776</v>
      </c>
      <c r="D13730" s="2"/>
    </row>
    <row r="13731" spans="1:4" ht="12.75" customHeight="1" x14ac:dyDescent="0.2">
      <c r="B13731" s="11" t="s">
        <v>2599</v>
      </c>
      <c r="C13731" s="17" t="s">
        <v>629</v>
      </c>
      <c r="D13731" s="2"/>
    </row>
    <row r="13732" spans="1:4" ht="25.5" customHeight="1" x14ac:dyDescent="0.2">
      <c r="B13732" s="11" t="s">
        <v>2600</v>
      </c>
      <c r="C13732" s="17" t="s">
        <v>4773</v>
      </c>
      <c r="D13732" s="2"/>
    </row>
    <row r="13733" spans="1:4" ht="25.5" customHeight="1" x14ac:dyDescent="0.2">
      <c r="B13733" s="11" t="s">
        <v>2601</v>
      </c>
      <c r="C13733" s="17"/>
      <c r="D13733" s="2"/>
    </row>
    <row r="13734" spans="1:4" ht="12.75" customHeight="1" x14ac:dyDescent="0.2">
      <c r="B13734" s="11" t="s">
        <v>16</v>
      </c>
      <c r="C13734" s="17"/>
      <c r="D13734" s="2"/>
    </row>
    <row r="13735" spans="1:4" ht="12.75" customHeight="1" x14ac:dyDescent="0.2">
      <c r="B13735" s="11" t="s">
        <v>13</v>
      </c>
      <c r="C13735" s="17" t="s">
        <v>2644</v>
      </c>
      <c r="D13735" s="2"/>
    </row>
    <row r="13736" spans="1:4" ht="25.5" customHeight="1" x14ac:dyDescent="0.2">
      <c r="B13736" s="11" t="s">
        <v>2603</v>
      </c>
      <c r="C13736" s="17" t="s">
        <v>2971</v>
      </c>
      <c r="D13736" s="2"/>
    </row>
    <row r="13737" spans="1:4" ht="12.75" customHeight="1" x14ac:dyDescent="0.2">
      <c r="B13737" s="11" t="s">
        <v>2605</v>
      </c>
      <c r="C13737" s="17" t="s">
        <v>14</v>
      </c>
      <c r="D13737" s="2"/>
    </row>
    <row r="13738" spans="1:4" ht="12.75" customHeight="1" x14ac:dyDescent="0.2">
      <c r="B13738" s="11" t="s">
        <v>2606</v>
      </c>
      <c r="C13738" s="16" t="s">
        <v>19</v>
      </c>
      <c r="D13738" s="2"/>
    </row>
    <row r="13739" spans="1:4" ht="12.75" customHeight="1" x14ac:dyDescent="0.2">
      <c r="B13739" s="2"/>
      <c r="C13739" s="15"/>
      <c r="D13739" s="2"/>
    </row>
    <row r="13740" spans="1:4" ht="12.75" customHeight="1" x14ac:dyDescent="0.2">
      <c r="B13740" s="2"/>
      <c r="C13740" s="15"/>
      <c r="D13740" s="2"/>
    </row>
    <row r="13741" spans="1:4" ht="12.75" customHeight="1" x14ac:dyDescent="0.2">
      <c r="A13741" s="13" t="s">
        <v>4774</v>
      </c>
      <c r="C13741" s="12"/>
    </row>
    <row r="13742" spans="1:4" ht="12.75" customHeight="1" x14ac:dyDescent="0.2">
      <c r="A13742" s="11"/>
      <c r="B13742" s="2"/>
      <c r="C13742" s="15"/>
      <c r="D13742" s="2"/>
    </row>
    <row r="13743" spans="1:4" ht="12.75" customHeight="1" x14ac:dyDescent="0.2">
      <c r="B13743" s="11" t="s">
        <v>0</v>
      </c>
      <c r="C13743" s="11" t="s">
        <v>776</v>
      </c>
    </row>
    <row r="13744" spans="1:4" ht="12.75" customHeight="1" x14ac:dyDescent="0.2">
      <c r="B13744" s="11" t="s">
        <v>2599</v>
      </c>
      <c r="C13744" s="11" t="s">
        <v>4775</v>
      </c>
    </row>
    <row r="13745" spans="1:4" ht="25.5" customHeight="1" x14ac:dyDescent="0.2">
      <c r="B13745" s="11" t="s">
        <v>2600</v>
      </c>
      <c r="C13745" s="11" t="s">
        <v>4776</v>
      </c>
    </row>
    <row r="13746" spans="1:4" ht="25.5" customHeight="1" x14ac:dyDescent="0.2">
      <c r="B13746" s="11" t="s">
        <v>2601</v>
      </c>
      <c r="C13746" s="11"/>
    </row>
    <row r="13747" spans="1:4" ht="12.75" customHeight="1" x14ac:dyDescent="0.2">
      <c r="B13747" s="11" t="s">
        <v>16</v>
      </c>
      <c r="C13747" s="11"/>
    </row>
    <row r="13748" spans="1:4" ht="12.75" customHeight="1" x14ac:dyDescent="0.2">
      <c r="B13748" s="11" t="s">
        <v>13</v>
      </c>
      <c r="C13748" s="11" t="s">
        <v>2644</v>
      </c>
    </row>
    <row r="13749" spans="1:4" ht="12.75" customHeight="1" x14ac:dyDescent="0.2">
      <c r="B13749" s="11" t="s">
        <v>2603</v>
      </c>
      <c r="C13749" s="11" t="s">
        <v>2604</v>
      </c>
    </row>
    <row r="13750" spans="1:4" ht="12.75" customHeight="1" x14ac:dyDescent="0.2">
      <c r="B13750" s="11" t="s">
        <v>2605</v>
      </c>
      <c r="C13750" s="11" t="s">
        <v>14</v>
      </c>
    </row>
    <row r="13751" spans="1:4" ht="12.75" customHeight="1" x14ac:dyDescent="0.2">
      <c r="B13751" s="11" t="s">
        <v>2606</v>
      </c>
      <c r="C13751" s="16" t="s">
        <v>772</v>
      </c>
      <c r="D13751" s="6" t="str">
        <f>HYPERLINK("javascript:void(0)","kincs")</f>
        <v>kincs</v>
      </c>
    </row>
    <row r="13752" spans="1:4" ht="12.75" customHeight="1" x14ac:dyDescent="0.2">
      <c r="B13752" s="2"/>
      <c r="C13752" s="15"/>
      <c r="D13752" s="2"/>
    </row>
    <row r="13753" spans="1:4" ht="12.75" customHeight="1" x14ac:dyDescent="0.2">
      <c r="B13753" s="2"/>
      <c r="C13753" s="15"/>
      <c r="D13753" s="2"/>
    </row>
    <row r="13754" spans="1:4" ht="12.75" customHeight="1" x14ac:dyDescent="0.2">
      <c r="A13754" s="13" t="s">
        <v>4777</v>
      </c>
      <c r="C13754" s="12"/>
    </row>
    <row r="13755" spans="1:4" ht="12.75" customHeight="1" x14ac:dyDescent="0.2">
      <c r="A13755" s="11"/>
      <c r="B13755" s="2"/>
      <c r="C13755" s="15"/>
      <c r="D13755" s="2"/>
    </row>
    <row r="13756" spans="1:4" ht="12.75" customHeight="1" x14ac:dyDescent="0.2">
      <c r="B13756" s="11" t="s">
        <v>0</v>
      </c>
      <c r="C13756" s="11" t="s">
        <v>776</v>
      </c>
    </row>
    <row r="13757" spans="1:4" ht="12.75" customHeight="1" x14ac:dyDescent="0.2">
      <c r="B13757" s="11" t="s">
        <v>2599</v>
      </c>
      <c r="C13757" s="11" t="s">
        <v>4778</v>
      </c>
    </row>
    <row r="13758" spans="1:4" ht="25.5" customHeight="1" x14ac:dyDescent="0.2">
      <c r="B13758" s="11" t="s">
        <v>2600</v>
      </c>
      <c r="C13758" s="11" t="s">
        <v>4779</v>
      </c>
    </row>
    <row r="13759" spans="1:4" ht="25.5" customHeight="1" x14ac:dyDescent="0.2">
      <c r="B13759" s="11" t="s">
        <v>2601</v>
      </c>
      <c r="C13759" s="11"/>
    </row>
    <row r="13760" spans="1:4" ht="12.75" customHeight="1" x14ac:dyDescent="0.2">
      <c r="B13760" s="11" t="s">
        <v>16</v>
      </c>
      <c r="C13760" s="11"/>
    </row>
    <row r="13761" spans="1:4" ht="12.75" customHeight="1" x14ac:dyDescent="0.2">
      <c r="B13761" s="11" t="s">
        <v>13</v>
      </c>
      <c r="C13761" s="11" t="s">
        <v>2602</v>
      </c>
    </row>
    <row r="13762" spans="1:4" ht="12.75" customHeight="1" x14ac:dyDescent="0.2">
      <c r="B13762" s="11" t="s">
        <v>2603</v>
      </c>
      <c r="C13762" s="11" t="s">
        <v>2604</v>
      </c>
    </row>
    <row r="13763" spans="1:4" ht="12.75" customHeight="1" x14ac:dyDescent="0.2">
      <c r="B13763" s="11" t="s">
        <v>2605</v>
      </c>
      <c r="C13763" s="11" t="s">
        <v>24</v>
      </c>
    </row>
    <row r="13764" spans="1:4" ht="25.5" customHeight="1" x14ac:dyDescent="0.2">
      <c r="B13764" s="11" t="s">
        <v>2606</v>
      </c>
      <c r="C13764" s="16" t="s">
        <v>57</v>
      </c>
      <c r="D13764" s="6" t="str">
        <f>HYPERLINK("javascript:void(0)","gyémántkarika")</f>
        <v>gyémántkarika</v>
      </c>
    </row>
    <row r="13765" spans="1:4" ht="12.75" customHeight="1" x14ac:dyDescent="0.2">
      <c r="C13765" s="16" t="s">
        <v>290</v>
      </c>
      <c r="D13765" s="6" t="str">
        <f>HYPERLINK("javascript:void(0)","kincs")</f>
        <v>kincs</v>
      </c>
    </row>
    <row r="13766" spans="1:4" ht="12.75" customHeight="1" x14ac:dyDescent="0.2">
      <c r="B13766" s="2"/>
      <c r="C13766" s="15"/>
      <c r="D13766" s="2"/>
    </row>
    <row r="13767" spans="1:4" ht="12.75" customHeight="1" x14ac:dyDescent="0.2">
      <c r="B13767" s="2"/>
      <c r="C13767" s="15"/>
      <c r="D13767" s="2"/>
    </row>
    <row r="13768" spans="1:4" ht="12.75" customHeight="1" x14ac:dyDescent="0.2">
      <c r="A13768" s="13" t="s">
        <v>4780</v>
      </c>
      <c r="C13768" s="12"/>
    </row>
    <row r="13769" spans="1:4" ht="12.75" customHeight="1" x14ac:dyDescent="0.2">
      <c r="A13769" s="11"/>
      <c r="B13769" s="2"/>
      <c r="C13769" s="15"/>
      <c r="D13769" s="2"/>
    </row>
    <row r="13770" spans="1:4" ht="12.75" customHeight="1" x14ac:dyDescent="0.2">
      <c r="B13770" s="11" t="s">
        <v>0</v>
      </c>
      <c r="C13770" s="11" t="s">
        <v>776</v>
      </c>
    </row>
    <row r="13771" spans="1:4" ht="12.75" customHeight="1" x14ac:dyDescent="0.2">
      <c r="B13771" s="11" t="s">
        <v>2599</v>
      </c>
      <c r="C13771" s="11" t="s">
        <v>602</v>
      </c>
    </row>
    <row r="13772" spans="1:4" ht="25.5" customHeight="1" x14ac:dyDescent="0.2">
      <c r="B13772" s="11" t="s">
        <v>2600</v>
      </c>
      <c r="C13772" s="11" t="s">
        <v>4781</v>
      </c>
    </row>
    <row r="13773" spans="1:4" ht="25.5" customHeight="1" x14ac:dyDescent="0.2">
      <c r="B13773" s="11" t="s">
        <v>2601</v>
      </c>
      <c r="C13773" s="11"/>
    </row>
    <row r="13774" spans="1:4" ht="12.75" customHeight="1" x14ac:dyDescent="0.2">
      <c r="B13774" s="11" t="s">
        <v>16</v>
      </c>
      <c r="C13774" s="11"/>
    </row>
    <row r="13775" spans="1:4" ht="12.75" customHeight="1" x14ac:dyDescent="0.2">
      <c r="B13775" s="11" t="s">
        <v>13</v>
      </c>
      <c r="C13775" s="11" t="s">
        <v>2644</v>
      </c>
    </row>
    <row r="13776" spans="1:4" ht="12.75" customHeight="1" x14ac:dyDescent="0.2">
      <c r="B13776" s="11" t="s">
        <v>2603</v>
      </c>
      <c r="C13776" s="11" t="s">
        <v>2604</v>
      </c>
    </row>
    <row r="13777" spans="1:4" ht="12.75" customHeight="1" x14ac:dyDescent="0.2">
      <c r="B13777" s="11" t="s">
        <v>2605</v>
      </c>
      <c r="C13777" s="11" t="s">
        <v>24</v>
      </c>
    </row>
    <row r="13778" spans="1:4" ht="12.75" customHeight="1" x14ac:dyDescent="0.2">
      <c r="B13778" s="11" t="s">
        <v>2606</v>
      </c>
      <c r="C13778" s="16" t="s">
        <v>56</v>
      </c>
      <c r="D13778" s="6" t="str">
        <f>HYPERLINK("javascript:void(0)","csigaszem")</f>
        <v>csigaszem</v>
      </c>
    </row>
    <row r="13779" spans="1:4" ht="12.75" customHeight="1" x14ac:dyDescent="0.2">
      <c r="B13779" s="2"/>
      <c r="C13779" s="15"/>
      <c r="D13779" s="2"/>
    </row>
    <row r="13780" spans="1:4" ht="12.75" customHeight="1" x14ac:dyDescent="0.2">
      <c r="B13780" s="2"/>
      <c r="C13780" s="15"/>
      <c r="D13780" s="2"/>
    </row>
    <row r="13781" spans="1:4" ht="12.75" customHeight="1" x14ac:dyDescent="0.2">
      <c r="A13781" s="13" t="s">
        <v>4782</v>
      </c>
      <c r="C13781" s="12"/>
    </row>
    <row r="13782" spans="1:4" ht="12.75" customHeight="1" x14ac:dyDescent="0.2">
      <c r="A13782" s="11"/>
      <c r="B13782" s="2"/>
      <c r="C13782" s="15"/>
      <c r="D13782" s="2"/>
    </row>
    <row r="13783" spans="1:4" ht="12.75" customHeight="1" x14ac:dyDescent="0.2">
      <c r="B13783" s="11" t="s">
        <v>0</v>
      </c>
      <c r="C13783" s="11" t="s">
        <v>776</v>
      </c>
    </row>
    <row r="13784" spans="1:4" ht="12.75" customHeight="1" x14ac:dyDescent="0.2">
      <c r="B13784" s="11" t="s">
        <v>2599</v>
      </c>
      <c r="C13784" s="11" t="s">
        <v>4783</v>
      </c>
    </row>
    <row r="13785" spans="1:4" ht="25.5" customHeight="1" x14ac:dyDescent="0.2">
      <c r="B13785" s="11" t="s">
        <v>2600</v>
      </c>
      <c r="C13785" s="11" t="s">
        <v>4784</v>
      </c>
    </row>
    <row r="13786" spans="1:4" ht="25.5" customHeight="1" x14ac:dyDescent="0.2">
      <c r="B13786" s="11" t="s">
        <v>2601</v>
      </c>
      <c r="C13786" s="11"/>
    </row>
    <row r="13787" spans="1:4" ht="12.75" customHeight="1" x14ac:dyDescent="0.2">
      <c r="B13787" s="11" t="s">
        <v>16</v>
      </c>
      <c r="C13787" s="11"/>
    </row>
    <row r="13788" spans="1:4" ht="12.75" customHeight="1" x14ac:dyDescent="0.2">
      <c r="B13788" s="11" t="s">
        <v>13</v>
      </c>
      <c r="C13788" s="11" t="s">
        <v>2602</v>
      </c>
    </row>
    <row r="13789" spans="1:4" ht="12.75" customHeight="1" x14ac:dyDescent="0.2">
      <c r="B13789" s="11" t="s">
        <v>2603</v>
      </c>
      <c r="C13789" s="11" t="s">
        <v>2604</v>
      </c>
    </row>
    <row r="13790" spans="1:4" ht="12.75" customHeight="1" x14ac:dyDescent="0.2">
      <c r="B13790" s="11" t="s">
        <v>2605</v>
      </c>
      <c r="C13790" s="11" t="s">
        <v>14</v>
      </c>
    </row>
    <row r="13791" spans="1:4" ht="12.75" customHeight="1" x14ac:dyDescent="0.2">
      <c r="B13791" s="11" t="s">
        <v>2606</v>
      </c>
      <c r="C13791" s="16" t="s">
        <v>44</v>
      </c>
      <c r="D13791" s="6" t="str">
        <f>HYPERLINK("javascript:void(0)","vaskarima")</f>
        <v>vaskarima</v>
      </c>
    </row>
    <row r="13792" spans="1:4" ht="12.75" customHeight="1" x14ac:dyDescent="0.2">
      <c r="B13792" s="2"/>
      <c r="C13792" s="15"/>
      <c r="D13792" s="2"/>
    </row>
    <row r="13793" spans="1:4" ht="12.75" customHeight="1" x14ac:dyDescent="0.2">
      <c r="B13793" s="2"/>
      <c r="C13793" s="15"/>
      <c r="D13793" s="2"/>
    </row>
    <row r="13794" spans="1:4" ht="12.75" customHeight="1" x14ac:dyDescent="0.2">
      <c r="A13794" s="13" t="s">
        <v>4785</v>
      </c>
      <c r="C13794" s="12"/>
    </row>
    <row r="13795" spans="1:4" ht="12.75" customHeight="1" x14ac:dyDescent="0.2">
      <c r="A13795" s="11"/>
      <c r="B13795" s="2"/>
      <c r="C13795" s="15"/>
      <c r="D13795" s="2"/>
    </row>
    <row r="13796" spans="1:4" ht="12.75" customHeight="1" x14ac:dyDescent="0.2">
      <c r="B13796" s="11" t="s">
        <v>0</v>
      </c>
      <c r="C13796" s="11" t="s">
        <v>776</v>
      </c>
    </row>
    <row r="13797" spans="1:4" ht="12.75" customHeight="1" x14ac:dyDescent="0.2">
      <c r="B13797" s="11" t="s">
        <v>2599</v>
      </c>
      <c r="C13797" s="11" t="s">
        <v>4283</v>
      </c>
    </row>
    <row r="13798" spans="1:4" ht="25.5" customHeight="1" x14ac:dyDescent="0.2">
      <c r="B13798" s="11" t="s">
        <v>2600</v>
      </c>
      <c r="C13798" s="11" t="s">
        <v>4786</v>
      </c>
    </row>
    <row r="13799" spans="1:4" ht="25.5" customHeight="1" x14ac:dyDescent="0.2">
      <c r="B13799" s="11" t="s">
        <v>2601</v>
      </c>
      <c r="C13799" s="11"/>
    </row>
    <row r="13800" spans="1:4" ht="12.75" customHeight="1" x14ac:dyDescent="0.2">
      <c r="B13800" s="11" t="s">
        <v>16</v>
      </c>
      <c r="C13800" s="11"/>
    </row>
    <row r="13801" spans="1:4" ht="12.75" customHeight="1" x14ac:dyDescent="0.2">
      <c r="B13801" s="11" t="s">
        <v>13</v>
      </c>
      <c r="C13801" s="11" t="s">
        <v>2644</v>
      </c>
    </row>
    <row r="13802" spans="1:4" ht="12.75" customHeight="1" x14ac:dyDescent="0.2">
      <c r="B13802" s="11" t="s">
        <v>2603</v>
      </c>
      <c r="C13802" s="11" t="s">
        <v>2604</v>
      </c>
    </row>
    <row r="13803" spans="1:4" ht="12.75" customHeight="1" x14ac:dyDescent="0.2">
      <c r="B13803" s="11" t="s">
        <v>2605</v>
      </c>
      <c r="C13803" s="11" t="s">
        <v>24</v>
      </c>
    </row>
    <row r="13804" spans="1:4" ht="12.75" customHeight="1" x14ac:dyDescent="0.2">
      <c r="B13804" s="11" t="s">
        <v>2606</v>
      </c>
      <c r="C13804" s="16" t="s">
        <v>139</v>
      </c>
      <c r="D13804" s="6" t="str">
        <f>HYPERLINK("javascript:void(0)","smaragd")</f>
        <v>smaragd</v>
      </c>
    </row>
    <row r="13805" spans="1:4" ht="12.75" customHeight="1" x14ac:dyDescent="0.2">
      <c r="C13805" s="16" t="s">
        <v>139</v>
      </c>
      <c r="D13805" s="6" t="str">
        <f>HYPERLINK("javascript:void(0)","kincs")</f>
        <v>kincs</v>
      </c>
    </row>
    <row r="13806" spans="1:4" ht="12.75" customHeight="1" x14ac:dyDescent="0.2">
      <c r="B13806" s="2"/>
      <c r="C13806" s="15"/>
      <c r="D13806" s="2"/>
    </row>
    <row r="13807" spans="1:4" ht="12.75" customHeight="1" x14ac:dyDescent="0.2">
      <c r="B13807" s="2"/>
      <c r="C13807" s="15"/>
      <c r="D13807" s="2"/>
    </row>
    <row r="13808" spans="1:4" ht="12.75" customHeight="1" x14ac:dyDescent="0.2">
      <c r="A13808" s="13" t="s">
        <v>4787</v>
      </c>
      <c r="C13808" s="12"/>
    </row>
    <row r="13809" spans="1:4" ht="12.75" customHeight="1" x14ac:dyDescent="0.2">
      <c r="A13809" s="11"/>
      <c r="B13809" s="2"/>
      <c r="C13809" s="15"/>
      <c r="D13809" s="2"/>
    </row>
    <row r="13810" spans="1:4" ht="12.75" customHeight="1" x14ac:dyDescent="0.2">
      <c r="B13810" s="11" t="s">
        <v>0</v>
      </c>
      <c r="C13810" s="11" t="s">
        <v>776</v>
      </c>
    </row>
    <row r="13811" spans="1:4" ht="12.75" customHeight="1" x14ac:dyDescent="0.2">
      <c r="B13811" s="11" t="s">
        <v>2599</v>
      </c>
      <c r="C13811" s="11" t="s">
        <v>4788</v>
      </c>
    </row>
    <row r="13812" spans="1:4" ht="25.5" customHeight="1" x14ac:dyDescent="0.2">
      <c r="B13812" s="11" t="s">
        <v>2600</v>
      </c>
      <c r="C13812" s="11" t="s">
        <v>4789</v>
      </c>
    </row>
    <row r="13813" spans="1:4" ht="25.5" customHeight="1" x14ac:dyDescent="0.2">
      <c r="B13813" s="11" t="s">
        <v>2601</v>
      </c>
      <c r="C13813" s="11"/>
    </row>
    <row r="13814" spans="1:4" ht="12.75" customHeight="1" x14ac:dyDescent="0.2">
      <c r="B13814" s="11" t="s">
        <v>16</v>
      </c>
      <c r="C13814" s="11"/>
    </row>
    <row r="13815" spans="1:4" ht="12.75" customHeight="1" x14ac:dyDescent="0.2">
      <c r="B13815" s="11" t="s">
        <v>13</v>
      </c>
      <c r="C13815" s="11" t="s">
        <v>2602</v>
      </c>
    </row>
    <row r="13816" spans="1:4" ht="12.75" customHeight="1" x14ac:dyDescent="0.2">
      <c r="B13816" s="11" t="s">
        <v>2603</v>
      </c>
      <c r="C13816" s="11" t="s">
        <v>2604</v>
      </c>
    </row>
    <row r="13817" spans="1:4" ht="12.75" customHeight="1" x14ac:dyDescent="0.2">
      <c r="B13817" s="11" t="s">
        <v>2605</v>
      </c>
      <c r="C13817" s="11" t="s">
        <v>14</v>
      </c>
    </row>
    <row r="13818" spans="1:4" ht="12.75" customHeight="1" x14ac:dyDescent="0.2">
      <c r="B13818" s="11" t="s">
        <v>2606</v>
      </c>
      <c r="C13818" s="16" t="s">
        <v>269</v>
      </c>
      <c r="D13818" s="6" t="str">
        <f>HYPERLINK("javascript:void(0)","kincs")</f>
        <v>kincs</v>
      </c>
    </row>
    <row r="13819" spans="1:4" ht="12.75" customHeight="1" x14ac:dyDescent="0.2">
      <c r="B13819" s="2"/>
      <c r="C13819" s="15"/>
      <c r="D13819" s="2"/>
    </row>
    <row r="13820" spans="1:4" ht="12.75" customHeight="1" x14ac:dyDescent="0.2">
      <c r="B13820" s="2"/>
      <c r="C13820" s="15"/>
      <c r="D13820" s="2"/>
    </row>
    <row r="13821" spans="1:4" ht="12.75" customHeight="1" x14ac:dyDescent="0.2">
      <c r="A13821" s="13" t="s">
        <v>4790</v>
      </c>
      <c r="C13821" s="12"/>
    </row>
    <row r="13822" spans="1:4" ht="12.75" customHeight="1" x14ac:dyDescent="0.2">
      <c r="A13822" s="11"/>
      <c r="B13822" s="2"/>
      <c r="C13822" s="15"/>
      <c r="D13822" s="2"/>
    </row>
    <row r="13823" spans="1:4" ht="12.75" customHeight="1" x14ac:dyDescent="0.2">
      <c r="B13823" s="11" t="s">
        <v>0</v>
      </c>
      <c r="C13823" s="11" t="s">
        <v>776</v>
      </c>
    </row>
    <row r="13824" spans="1:4" ht="12.75" customHeight="1" x14ac:dyDescent="0.2">
      <c r="B13824" s="11" t="s">
        <v>2599</v>
      </c>
      <c r="C13824" s="11" t="s">
        <v>4791</v>
      </c>
    </row>
    <row r="13825" spans="1:4" ht="25.5" customHeight="1" x14ac:dyDescent="0.2">
      <c r="B13825" s="11" t="s">
        <v>2600</v>
      </c>
      <c r="C13825" s="11" t="s">
        <v>4792</v>
      </c>
    </row>
    <row r="13826" spans="1:4" ht="25.5" customHeight="1" x14ac:dyDescent="0.2">
      <c r="B13826" s="11" t="s">
        <v>2601</v>
      </c>
      <c r="C13826" s="11"/>
    </row>
    <row r="13827" spans="1:4" ht="12.75" customHeight="1" x14ac:dyDescent="0.2">
      <c r="B13827" s="11" t="s">
        <v>16</v>
      </c>
      <c r="C13827" s="11"/>
    </row>
    <row r="13828" spans="1:4" ht="12.75" customHeight="1" x14ac:dyDescent="0.2">
      <c r="B13828" s="11" t="s">
        <v>13</v>
      </c>
      <c r="C13828" s="11" t="s">
        <v>2602</v>
      </c>
    </row>
    <row r="13829" spans="1:4" ht="12.75" customHeight="1" x14ac:dyDescent="0.2">
      <c r="B13829" s="11" t="s">
        <v>2603</v>
      </c>
      <c r="C13829" s="11" t="s">
        <v>2604</v>
      </c>
    </row>
    <row r="13830" spans="1:4" ht="12.75" customHeight="1" x14ac:dyDescent="0.2">
      <c r="B13830" s="11" t="s">
        <v>2605</v>
      </c>
      <c r="C13830" s="11" t="s">
        <v>14</v>
      </c>
    </row>
    <row r="13831" spans="1:4" ht="12.75" customHeight="1" x14ac:dyDescent="0.2">
      <c r="B13831" s="11" t="s">
        <v>2606</v>
      </c>
      <c r="C13831" s="16" t="s">
        <v>57</v>
      </c>
      <c r="D13831" s="6" t="str">
        <f>HYPERLINK("javascript:void(0)","teleportige")</f>
        <v>teleportige</v>
      </c>
    </row>
    <row r="13832" spans="1:4" ht="12.75" customHeight="1" x14ac:dyDescent="0.2">
      <c r="B13832" s="2"/>
      <c r="C13832" s="15"/>
      <c r="D13832" s="2"/>
    </row>
    <row r="13833" spans="1:4" ht="12.75" customHeight="1" x14ac:dyDescent="0.2">
      <c r="B13833" s="2"/>
      <c r="C13833" s="15"/>
      <c r="D13833" s="2"/>
    </row>
    <row r="13834" spans="1:4" ht="12.75" customHeight="1" x14ac:dyDescent="0.2">
      <c r="A13834" s="13" t="s">
        <v>4793</v>
      </c>
      <c r="C13834" s="12"/>
      <c r="D13834" s="2"/>
    </row>
    <row r="13835" spans="1:4" ht="12.75" customHeight="1" x14ac:dyDescent="0.2">
      <c r="A13835" s="11"/>
      <c r="B13835" s="2"/>
      <c r="C13835" s="15"/>
      <c r="D13835" s="2"/>
    </row>
    <row r="13836" spans="1:4" ht="12.75" customHeight="1" x14ac:dyDescent="0.2">
      <c r="B13836" s="11" t="s">
        <v>0</v>
      </c>
      <c r="C13836" s="17" t="s">
        <v>776</v>
      </c>
      <c r="D13836" s="2"/>
    </row>
    <row r="13837" spans="1:4" ht="12.75" customHeight="1" x14ac:dyDescent="0.2">
      <c r="B13837" s="11" t="s">
        <v>2599</v>
      </c>
      <c r="C13837" s="17" t="s">
        <v>2498</v>
      </c>
      <c r="D13837" s="2"/>
    </row>
    <row r="13838" spans="1:4" ht="25.5" customHeight="1" x14ac:dyDescent="0.2">
      <c r="B13838" s="11" t="s">
        <v>2600</v>
      </c>
      <c r="C13838" s="17" t="s">
        <v>4794</v>
      </c>
      <c r="D13838" s="2"/>
    </row>
    <row r="13839" spans="1:4" ht="25.5" customHeight="1" x14ac:dyDescent="0.2">
      <c r="B13839" s="11" t="s">
        <v>2601</v>
      </c>
      <c r="C13839" s="17"/>
      <c r="D13839" s="2"/>
    </row>
    <row r="13840" spans="1:4" ht="12.75" customHeight="1" x14ac:dyDescent="0.2">
      <c r="B13840" s="11" t="s">
        <v>16</v>
      </c>
      <c r="C13840" s="17"/>
      <c r="D13840" s="2"/>
    </row>
    <row r="13841" spans="1:4" ht="12.75" customHeight="1" x14ac:dyDescent="0.2">
      <c r="B13841" s="11" t="s">
        <v>13</v>
      </c>
      <c r="C13841" s="17" t="s">
        <v>2644</v>
      </c>
      <c r="D13841" s="2"/>
    </row>
    <row r="13842" spans="1:4" ht="12.75" customHeight="1" x14ac:dyDescent="0.2">
      <c r="B13842" s="11" t="s">
        <v>2603</v>
      </c>
      <c r="C13842" s="17" t="s">
        <v>2604</v>
      </c>
      <c r="D13842" s="2"/>
    </row>
    <row r="13843" spans="1:4" ht="12.75" customHeight="1" x14ac:dyDescent="0.2">
      <c r="B13843" s="11" t="s">
        <v>2605</v>
      </c>
      <c r="C13843" s="17" t="s">
        <v>24</v>
      </c>
      <c r="D13843" s="2"/>
    </row>
    <row r="13844" spans="1:4" ht="12.75" customHeight="1" x14ac:dyDescent="0.2">
      <c r="B13844" s="11" t="s">
        <v>2606</v>
      </c>
      <c r="C13844" s="16" t="s">
        <v>19</v>
      </c>
      <c r="D13844" s="2"/>
    </row>
    <row r="13845" spans="1:4" ht="12.75" customHeight="1" x14ac:dyDescent="0.2">
      <c r="B13845" s="2"/>
      <c r="C13845" s="15"/>
      <c r="D13845" s="2"/>
    </row>
    <row r="13846" spans="1:4" ht="12.75" customHeight="1" x14ac:dyDescent="0.2">
      <c r="B13846" s="2"/>
      <c r="C13846" s="15"/>
      <c r="D13846" s="2"/>
    </row>
    <row r="13847" spans="1:4" ht="12.75" customHeight="1" x14ac:dyDescent="0.2">
      <c r="A13847" s="13" t="s">
        <v>4710</v>
      </c>
      <c r="C13847" s="12"/>
      <c r="D13847" s="2"/>
    </row>
    <row r="13848" spans="1:4" ht="12.75" customHeight="1" x14ac:dyDescent="0.2">
      <c r="A13848" s="11"/>
      <c r="B13848" s="2"/>
      <c r="C13848" s="15"/>
      <c r="D13848" s="2"/>
    </row>
    <row r="13849" spans="1:4" ht="12.75" customHeight="1" x14ac:dyDescent="0.2">
      <c r="B13849" s="11" t="s">
        <v>0</v>
      </c>
      <c r="C13849" s="17" t="s">
        <v>776</v>
      </c>
      <c r="D13849" s="2"/>
    </row>
    <row r="13850" spans="1:4" ht="12.75" customHeight="1" x14ac:dyDescent="0.2">
      <c r="B13850" s="11" t="s">
        <v>2599</v>
      </c>
      <c r="C13850" s="17" t="s">
        <v>4711</v>
      </c>
      <c r="D13850" s="2"/>
    </row>
    <row r="13851" spans="1:4" ht="25.5" customHeight="1" x14ac:dyDescent="0.2">
      <c r="B13851" s="11" t="s">
        <v>2600</v>
      </c>
      <c r="C13851" s="17" t="s">
        <v>4795</v>
      </c>
      <c r="D13851" s="2"/>
    </row>
    <row r="13852" spans="1:4" ht="25.5" customHeight="1" x14ac:dyDescent="0.2">
      <c r="B13852" s="11" t="s">
        <v>2601</v>
      </c>
      <c r="C13852" s="17"/>
      <c r="D13852" s="2"/>
    </row>
    <row r="13853" spans="1:4" ht="12.75" customHeight="1" x14ac:dyDescent="0.2">
      <c r="B13853" s="11" t="s">
        <v>16</v>
      </c>
      <c r="C13853" s="17"/>
      <c r="D13853" s="2"/>
    </row>
    <row r="13854" spans="1:4" ht="12.75" customHeight="1" x14ac:dyDescent="0.2">
      <c r="B13854" s="11" t="s">
        <v>13</v>
      </c>
      <c r="C13854" s="17" t="s">
        <v>2602</v>
      </c>
      <c r="D13854" s="2"/>
    </row>
    <row r="13855" spans="1:4" ht="25.5" customHeight="1" x14ac:dyDescent="0.2">
      <c r="B13855" s="11" t="s">
        <v>2603</v>
      </c>
      <c r="C13855" s="17" t="s">
        <v>2971</v>
      </c>
      <c r="D13855" s="2"/>
    </row>
    <row r="13856" spans="1:4" ht="12.75" customHeight="1" x14ac:dyDescent="0.2">
      <c r="B13856" s="11" t="s">
        <v>2605</v>
      </c>
      <c r="C13856" s="17" t="s">
        <v>14</v>
      </c>
      <c r="D13856" s="2"/>
    </row>
    <row r="13857" spans="1:4" ht="12.75" customHeight="1" x14ac:dyDescent="0.2">
      <c r="B13857" s="11" t="s">
        <v>2606</v>
      </c>
      <c r="C13857" s="16" t="s">
        <v>19</v>
      </c>
      <c r="D13857" s="2"/>
    </row>
    <row r="13858" spans="1:4" ht="12.75" customHeight="1" x14ac:dyDescent="0.2">
      <c r="B13858" s="2"/>
      <c r="C13858" s="15"/>
      <c r="D13858" s="2"/>
    </row>
    <row r="13859" spans="1:4" ht="12.75" customHeight="1" x14ac:dyDescent="0.2">
      <c r="B13859" s="2"/>
      <c r="C13859" s="15"/>
      <c r="D13859" s="2"/>
    </row>
    <row r="13860" spans="1:4" ht="12.75" customHeight="1" x14ac:dyDescent="0.2">
      <c r="A13860" s="13" t="s">
        <v>4713</v>
      </c>
      <c r="C13860" s="12"/>
      <c r="D13860" s="2"/>
    </row>
    <row r="13861" spans="1:4" ht="12.75" customHeight="1" x14ac:dyDescent="0.2">
      <c r="A13861" s="11"/>
      <c r="B13861" s="2"/>
      <c r="C13861" s="15"/>
      <c r="D13861" s="2"/>
    </row>
    <row r="13862" spans="1:4" ht="12.75" customHeight="1" x14ac:dyDescent="0.2">
      <c r="B13862" s="11" t="s">
        <v>0</v>
      </c>
      <c r="C13862" s="17" t="s">
        <v>776</v>
      </c>
      <c r="D13862" s="2"/>
    </row>
    <row r="13863" spans="1:4" ht="12.75" customHeight="1" x14ac:dyDescent="0.2">
      <c r="B13863" s="11" t="s">
        <v>2599</v>
      </c>
      <c r="C13863" s="17" t="s">
        <v>4714</v>
      </c>
      <c r="D13863" s="2"/>
    </row>
    <row r="13864" spans="1:4" ht="25.5" customHeight="1" x14ac:dyDescent="0.2">
      <c r="B13864" s="11" t="s">
        <v>2600</v>
      </c>
      <c r="C13864" s="17" t="s">
        <v>4796</v>
      </c>
      <c r="D13864" s="2"/>
    </row>
    <row r="13865" spans="1:4" ht="25.5" customHeight="1" x14ac:dyDescent="0.2">
      <c r="B13865" s="11" t="s">
        <v>2601</v>
      </c>
      <c r="C13865" s="17"/>
      <c r="D13865" s="2"/>
    </row>
    <row r="13866" spans="1:4" ht="12.75" customHeight="1" x14ac:dyDescent="0.2">
      <c r="B13866" s="11" t="s">
        <v>16</v>
      </c>
      <c r="C13866" s="17"/>
      <c r="D13866" s="2"/>
    </row>
    <row r="13867" spans="1:4" ht="12.75" customHeight="1" x14ac:dyDescent="0.2">
      <c r="B13867" s="11" t="s">
        <v>13</v>
      </c>
      <c r="C13867" s="17" t="s">
        <v>2644</v>
      </c>
      <c r="D13867" s="2"/>
    </row>
    <row r="13868" spans="1:4" ht="25.5" customHeight="1" x14ac:dyDescent="0.2">
      <c r="B13868" s="11" t="s">
        <v>2603</v>
      </c>
      <c r="C13868" s="17" t="s">
        <v>2971</v>
      </c>
      <c r="D13868" s="2"/>
    </row>
    <row r="13869" spans="1:4" ht="12.75" customHeight="1" x14ac:dyDescent="0.2">
      <c r="B13869" s="11" t="s">
        <v>2605</v>
      </c>
      <c r="C13869" s="17" t="s">
        <v>14</v>
      </c>
      <c r="D13869" s="2"/>
    </row>
    <row r="13870" spans="1:4" ht="12.75" customHeight="1" x14ac:dyDescent="0.2">
      <c r="B13870" s="11" t="s">
        <v>2606</v>
      </c>
      <c r="C13870" s="16" t="s">
        <v>19</v>
      </c>
      <c r="D13870" s="2"/>
    </row>
    <row r="13871" spans="1:4" ht="12.75" customHeight="1" x14ac:dyDescent="0.2">
      <c r="B13871" s="2"/>
      <c r="C13871" s="15"/>
      <c r="D13871" s="2"/>
    </row>
    <row r="13872" spans="1:4" ht="12.75" customHeight="1" x14ac:dyDescent="0.2">
      <c r="B13872" s="2"/>
      <c r="C13872" s="15"/>
      <c r="D13872" s="2"/>
    </row>
    <row r="13873" spans="1:4" ht="12.75" customHeight="1" x14ac:dyDescent="0.2">
      <c r="A13873" s="13" t="s">
        <v>2962</v>
      </c>
      <c r="C13873" s="12"/>
    </row>
    <row r="13874" spans="1:4" ht="12.75" customHeight="1" x14ac:dyDescent="0.2">
      <c r="A13874" s="11"/>
      <c r="B13874" s="2"/>
      <c r="C13874" s="15"/>
      <c r="D13874" s="2"/>
    </row>
    <row r="13875" spans="1:4" ht="12.75" customHeight="1" x14ac:dyDescent="0.2">
      <c r="B13875" s="11" t="s">
        <v>0</v>
      </c>
      <c r="C13875" s="11" t="s">
        <v>782</v>
      </c>
    </row>
    <row r="13876" spans="1:4" ht="12.75" customHeight="1" x14ac:dyDescent="0.2">
      <c r="B13876" s="11" t="s">
        <v>2599</v>
      </c>
      <c r="C13876" s="11" t="s">
        <v>4797</v>
      </c>
    </row>
    <row r="13877" spans="1:4" ht="25.5" customHeight="1" x14ac:dyDescent="0.2">
      <c r="B13877" s="11" t="s">
        <v>2600</v>
      </c>
      <c r="C13877" s="11" t="s">
        <v>4798</v>
      </c>
    </row>
    <row r="13878" spans="1:4" ht="25.5" customHeight="1" x14ac:dyDescent="0.2">
      <c r="B13878" s="11" t="s">
        <v>2601</v>
      </c>
      <c r="C13878" s="11"/>
    </row>
    <row r="13879" spans="1:4" ht="12.75" customHeight="1" x14ac:dyDescent="0.2">
      <c r="B13879" s="11" t="s">
        <v>16</v>
      </c>
      <c r="C13879" s="11"/>
    </row>
    <row r="13880" spans="1:4" ht="12.75" customHeight="1" x14ac:dyDescent="0.2">
      <c r="B13880" s="11" t="s">
        <v>13</v>
      </c>
      <c r="C13880" s="11" t="s">
        <v>2644</v>
      </c>
    </row>
    <row r="13881" spans="1:4" ht="12.75" customHeight="1" x14ac:dyDescent="0.2">
      <c r="B13881" s="11" t="s">
        <v>2603</v>
      </c>
      <c r="C13881" s="11" t="s">
        <v>2965</v>
      </c>
    </row>
    <row r="13882" spans="1:4" ht="12.75" customHeight="1" x14ac:dyDescent="0.2">
      <c r="B13882" s="11" t="s">
        <v>2605</v>
      </c>
      <c r="C13882" s="11" t="s">
        <v>14</v>
      </c>
    </row>
    <row r="13883" spans="1:4" ht="12.75" customHeight="1" x14ac:dyDescent="0.2">
      <c r="B13883" s="11" t="s">
        <v>2606</v>
      </c>
      <c r="C13883" s="16" t="s">
        <v>44</v>
      </c>
      <c r="D13883" s="6" t="str">
        <f>HYPERLINK("javascript:void(0)","hínárgyöngy")</f>
        <v>hínárgyöngy</v>
      </c>
    </row>
    <row r="13884" spans="1:4" ht="25.5" customHeight="1" x14ac:dyDescent="0.2">
      <c r="C13884" s="16" t="s">
        <v>57</v>
      </c>
      <c r="D13884" s="6" t="str">
        <f>HYPERLINK("javascript:void(0)","harmatcsepp")</f>
        <v>harmatcsepp</v>
      </c>
    </row>
    <row r="13885" spans="1:4" ht="12.75" customHeight="1" x14ac:dyDescent="0.2">
      <c r="B13885" s="2"/>
      <c r="C13885" s="15"/>
      <c r="D13885" s="2"/>
    </row>
    <row r="13886" spans="1:4" ht="12.75" customHeight="1" x14ac:dyDescent="0.2">
      <c r="B13886" s="2"/>
      <c r="C13886" s="15"/>
      <c r="D13886" s="2"/>
    </row>
    <row r="13887" spans="1:4" ht="12.75" customHeight="1" x14ac:dyDescent="0.2">
      <c r="A13887" s="13" t="s">
        <v>2782</v>
      </c>
      <c r="C13887" s="12"/>
    </row>
    <row r="13888" spans="1:4" ht="12.75" customHeight="1" x14ac:dyDescent="0.2">
      <c r="A13888" s="11"/>
      <c r="B13888" s="2"/>
      <c r="C13888" s="15"/>
      <c r="D13888" s="2"/>
    </row>
    <row r="13889" spans="1:4" ht="12.75" customHeight="1" x14ac:dyDescent="0.2">
      <c r="B13889" s="11" t="s">
        <v>0</v>
      </c>
      <c r="C13889" s="11" t="s">
        <v>782</v>
      </c>
    </row>
    <row r="13890" spans="1:4" ht="12.75" customHeight="1" x14ac:dyDescent="0.2">
      <c r="B13890" s="11" t="s">
        <v>2599</v>
      </c>
      <c r="C13890" s="11" t="s">
        <v>4799</v>
      </c>
    </row>
    <row r="13891" spans="1:4" ht="25.5" customHeight="1" x14ac:dyDescent="0.2">
      <c r="B13891" s="11" t="s">
        <v>2600</v>
      </c>
      <c r="C13891" s="11" t="s">
        <v>4800</v>
      </c>
    </row>
    <row r="13892" spans="1:4" ht="25.5" customHeight="1" x14ac:dyDescent="0.2">
      <c r="B13892" s="11" t="s">
        <v>2601</v>
      </c>
      <c r="C13892" s="11"/>
    </row>
    <row r="13893" spans="1:4" ht="12.75" customHeight="1" x14ac:dyDescent="0.2">
      <c r="B13893" s="11" t="s">
        <v>16</v>
      </c>
      <c r="C13893" s="11"/>
    </row>
    <row r="13894" spans="1:4" ht="12.75" customHeight="1" x14ac:dyDescent="0.2">
      <c r="B13894" s="11" t="s">
        <v>13</v>
      </c>
      <c r="C13894" s="11" t="s">
        <v>2644</v>
      </c>
    </row>
    <row r="13895" spans="1:4" ht="12.75" customHeight="1" x14ac:dyDescent="0.2">
      <c r="B13895" s="11" t="s">
        <v>2603</v>
      </c>
      <c r="C13895" s="11" t="s">
        <v>2604</v>
      </c>
    </row>
    <row r="13896" spans="1:4" ht="12.75" customHeight="1" x14ac:dyDescent="0.2">
      <c r="B13896" s="11" t="s">
        <v>2605</v>
      </c>
      <c r="C13896" s="11" t="s">
        <v>14</v>
      </c>
    </row>
    <row r="13897" spans="1:4" ht="12.75" customHeight="1" x14ac:dyDescent="0.2">
      <c r="B13897" s="11" t="s">
        <v>2606</v>
      </c>
      <c r="C13897" s="16" t="s">
        <v>44</v>
      </c>
      <c r="D13897" s="6" t="str">
        <f>HYPERLINK("javascript:void(0)","alakváltókő")</f>
        <v>alakváltókő</v>
      </c>
    </row>
    <row r="13898" spans="1:4" ht="12.75" customHeight="1" x14ac:dyDescent="0.2">
      <c r="B13898" s="2"/>
      <c r="C13898" s="15"/>
      <c r="D13898" s="2"/>
    </row>
    <row r="13899" spans="1:4" ht="12.75" customHeight="1" x14ac:dyDescent="0.2">
      <c r="B13899" s="2"/>
      <c r="C13899" s="15"/>
      <c r="D13899" s="2"/>
    </row>
    <row r="13900" spans="1:4" ht="12.75" customHeight="1" x14ac:dyDescent="0.2">
      <c r="A13900" s="13" t="s">
        <v>4685</v>
      </c>
      <c r="C13900" s="12"/>
      <c r="D13900" s="2"/>
    </row>
    <row r="13901" spans="1:4" ht="12.75" customHeight="1" x14ac:dyDescent="0.2">
      <c r="A13901" s="11"/>
      <c r="B13901" s="2"/>
      <c r="C13901" s="15"/>
      <c r="D13901" s="2"/>
    </row>
    <row r="13902" spans="1:4" ht="12.75" customHeight="1" x14ac:dyDescent="0.2">
      <c r="B13902" s="11" t="s">
        <v>0</v>
      </c>
      <c r="C13902" s="17" t="s">
        <v>782</v>
      </c>
      <c r="D13902" s="2"/>
    </row>
    <row r="13903" spans="1:4" ht="12.75" customHeight="1" x14ac:dyDescent="0.2">
      <c r="B13903" s="11" t="s">
        <v>2599</v>
      </c>
      <c r="C13903" s="17" t="s">
        <v>4686</v>
      </c>
      <c r="D13903" s="2"/>
    </row>
    <row r="13904" spans="1:4" ht="25.5" customHeight="1" x14ac:dyDescent="0.2">
      <c r="B13904" s="11" t="s">
        <v>2600</v>
      </c>
      <c r="C13904" s="17" t="s">
        <v>4801</v>
      </c>
      <c r="D13904" s="2"/>
    </row>
    <row r="13905" spans="1:4" ht="25.5" customHeight="1" x14ac:dyDescent="0.2">
      <c r="B13905" s="11" t="s">
        <v>2601</v>
      </c>
      <c r="C13905" s="17"/>
      <c r="D13905" s="2"/>
    </row>
    <row r="13906" spans="1:4" ht="12.75" customHeight="1" x14ac:dyDescent="0.2">
      <c r="B13906" s="11" t="s">
        <v>16</v>
      </c>
      <c r="C13906" s="17"/>
      <c r="D13906" s="2"/>
    </row>
    <row r="13907" spans="1:4" ht="12.75" customHeight="1" x14ac:dyDescent="0.2">
      <c r="B13907" s="11" t="s">
        <v>13</v>
      </c>
      <c r="C13907" s="17" t="s">
        <v>2602</v>
      </c>
      <c r="D13907" s="2"/>
    </row>
    <row r="13908" spans="1:4" ht="25.5" customHeight="1" x14ac:dyDescent="0.2">
      <c r="B13908" s="11" t="s">
        <v>2603</v>
      </c>
      <c r="C13908" s="17" t="s">
        <v>2971</v>
      </c>
      <c r="D13908" s="2"/>
    </row>
    <row r="13909" spans="1:4" ht="12.75" customHeight="1" x14ac:dyDescent="0.2">
      <c r="B13909" s="11" t="s">
        <v>2605</v>
      </c>
      <c r="C13909" s="17" t="s">
        <v>14</v>
      </c>
      <c r="D13909" s="2"/>
    </row>
    <row r="13910" spans="1:4" ht="12.75" customHeight="1" x14ac:dyDescent="0.2">
      <c r="B13910" s="11" t="s">
        <v>2606</v>
      </c>
      <c r="C13910" s="16" t="s">
        <v>19</v>
      </c>
      <c r="D13910" s="2"/>
    </row>
    <row r="13911" spans="1:4" ht="12.75" customHeight="1" x14ac:dyDescent="0.2">
      <c r="B13911" s="2"/>
      <c r="C13911" s="15"/>
      <c r="D13911" s="2"/>
    </row>
    <row r="13912" spans="1:4" ht="12.75" customHeight="1" x14ac:dyDescent="0.2">
      <c r="B13912" s="2"/>
      <c r="C13912" s="15"/>
      <c r="D13912" s="2"/>
    </row>
    <row r="13913" spans="1:4" ht="12.75" customHeight="1" x14ac:dyDescent="0.2">
      <c r="A13913" s="13" t="s">
        <v>4688</v>
      </c>
      <c r="C13913" s="12"/>
      <c r="D13913" s="2"/>
    </row>
    <row r="13914" spans="1:4" ht="12.75" customHeight="1" x14ac:dyDescent="0.2">
      <c r="A13914" s="11"/>
      <c r="B13914" s="2"/>
      <c r="C13914" s="15"/>
      <c r="D13914" s="2"/>
    </row>
    <row r="13915" spans="1:4" ht="12.75" customHeight="1" x14ac:dyDescent="0.2">
      <c r="B13915" s="11" t="s">
        <v>0</v>
      </c>
      <c r="C13915" s="17" t="s">
        <v>782</v>
      </c>
      <c r="D13915" s="2"/>
    </row>
    <row r="13916" spans="1:4" ht="12.75" customHeight="1" x14ac:dyDescent="0.2">
      <c r="B13916" s="11" t="s">
        <v>2599</v>
      </c>
      <c r="C13916" s="17" t="s">
        <v>629</v>
      </c>
      <c r="D13916" s="2"/>
    </row>
    <row r="13917" spans="1:4" ht="25.5" customHeight="1" x14ac:dyDescent="0.2">
      <c r="B13917" s="11" t="s">
        <v>2600</v>
      </c>
      <c r="C13917" s="17" t="s">
        <v>4802</v>
      </c>
      <c r="D13917" s="2"/>
    </row>
    <row r="13918" spans="1:4" ht="25.5" customHeight="1" x14ac:dyDescent="0.2">
      <c r="B13918" s="11" t="s">
        <v>2601</v>
      </c>
      <c r="C13918" s="17"/>
      <c r="D13918" s="2"/>
    </row>
    <row r="13919" spans="1:4" ht="12.75" customHeight="1" x14ac:dyDescent="0.2">
      <c r="B13919" s="11" t="s">
        <v>16</v>
      </c>
      <c r="C13919" s="17"/>
      <c r="D13919" s="2"/>
    </row>
    <row r="13920" spans="1:4" ht="12.75" customHeight="1" x14ac:dyDescent="0.2">
      <c r="B13920" s="11" t="s">
        <v>13</v>
      </c>
      <c r="C13920" s="17" t="s">
        <v>2644</v>
      </c>
      <c r="D13920" s="2"/>
    </row>
    <row r="13921" spans="1:4" ht="25.5" customHeight="1" x14ac:dyDescent="0.2">
      <c r="B13921" s="11" t="s">
        <v>2603</v>
      </c>
      <c r="C13921" s="17" t="s">
        <v>2971</v>
      </c>
      <c r="D13921" s="2"/>
    </row>
    <row r="13922" spans="1:4" ht="12.75" customHeight="1" x14ac:dyDescent="0.2">
      <c r="B13922" s="11" t="s">
        <v>2605</v>
      </c>
      <c r="C13922" s="17" t="s">
        <v>14</v>
      </c>
      <c r="D13922" s="2"/>
    </row>
    <row r="13923" spans="1:4" ht="12.75" customHeight="1" x14ac:dyDescent="0.2">
      <c r="B13923" s="11" t="s">
        <v>2606</v>
      </c>
      <c r="C13923" s="16" t="s">
        <v>19</v>
      </c>
      <c r="D13923" s="2"/>
    </row>
    <row r="13924" spans="1:4" ht="12.75" customHeight="1" x14ac:dyDescent="0.2">
      <c r="B13924" s="2"/>
      <c r="C13924" s="15"/>
      <c r="D13924" s="2"/>
    </row>
    <row r="13925" spans="1:4" ht="12.75" customHeight="1" x14ac:dyDescent="0.2">
      <c r="B13925" s="2"/>
      <c r="C13925" s="15"/>
      <c r="D13925" s="2"/>
    </row>
    <row r="13926" spans="1:4" ht="12.75" customHeight="1" x14ac:dyDescent="0.2">
      <c r="A13926" s="13" t="s">
        <v>4803</v>
      </c>
      <c r="C13926" s="12"/>
    </row>
    <row r="13927" spans="1:4" ht="12.75" customHeight="1" x14ac:dyDescent="0.2">
      <c r="A13927" s="11"/>
      <c r="B13927" s="2"/>
      <c r="C13927" s="15"/>
      <c r="D13927" s="2"/>
    </row>
    <row r="13928" spans="1:4" ht="12.75" customHeight="1" x14ac:dyDescent="0.2">
      <c r="B13928" s="11" t="s">
        <v>0</v>
      </c>
      <c r="C13928" s="11" t="s">
        <v>782</v>
      </c>
    </row>
    <row r="13929" spans="1:4" ht="12.75" customHeight="1" x14ac:dyDescent="0.2">
      <c r="B13929" s="11" t="s">
        <v>2599</v>
      </c>
      <c r="C13929" s="11" t="s">
        <v>3607</v>
      </c>
    </row>
    <row r="13930" spans="1:4" ht="25.5" customHeight="1" x14ac:dyDescent="0.2">
      <c r="B13930" s="11" t="s">
        <v>2600</v>
      </c>
      <c r="C13930" s="11" t="s">
        <v>4583</v>
      </c>
    </row>
    <row r="13931" spans="1:4" ht="25.5" customHeight="1" x14ac:dyDescent="0.2">
      <c r="B13931" s="11" t="s">
        <v>2601</v>
      </c>
      <c r="C13931" s="11"/>
    </row>
    <row r="13932" spans="1:4" ht="12.75" customHeight="1" x14ac:dyDescent="0.2">
      <c r="B13932" s="11" t="s">
        <v>16</v>
      </c>
      <c r="C13932" s="11"/>
    </row>
    <row r="13933" spans="1:4" ht="12.75" customHeight="1" x14ac:dyDescent="0.2">
      <c r="B13933" s="11" t="s">
        <v>13</v>
      </c>
      <c r="C13933" s="11" t="s">
        <v>2602</v>
      </c>
    </row>
    <row r="13934" spans="1:4" ht="12.75" customHeight="1" x14ac:dyDescent="0.2">
      <c r="B13934" s="11" t="s">
        <v>2603</v>
      </c>
      <c r="C13934" s="11" t="s">
        <v>2604</v>
      </c>
    </row>
    <row r="13935" spans="1:4" ht="12.75" customHeight="1" x14ac:dyDescent="0.2">
      <c r="B13935" s="11" t="s">
        <v>2605</v>
      </c>
      <c r="C13935" s="11" t="s">
        <v>14</v>
      </c>
    </row>
    <row r="13936" spans="1:4" ht="12.75" customHeight="1" x14ac:dyDescent="0.2">
      <c r="B13936" s="11" t="s">
        <v>2606</v>
      </c>
      <c r="C13936" s="16" t="s">
        <v>55</v>
      </c>
      <c r="D13936" s="6" t="str">
        <f>HYPERLINK("javascript:void(0)","vitorla")</f>
        <v>vitorla</v>
      </c>
    </row>
    <row r="13937" spans="1:4" ht="12.75" customHeight="1" x14ac:dyDescent="0.2">
      <c r="B13937" s="2"/>
      <c r="C13937" s="15"/>
      <c r="D13937" s="2"/>
    </row>
    <row r="13938" spans="1:4" ht="12.75" customHeight="1" x14ac:dyDescent="0.2">
      <c r="B13938" s="2"/>
      <c r="C13938" s="15"/>
      <c r="D13938" s="2"/>
    </row>
    <row r="13939" spans="1:4" ht="12.75" customHeight="1" x14ac:dyDescent="0.2">
      <c r="A13939" s="13" t="s">
        <v>4804</v>
      </c>
      <c r="C13939" s="12"/>
    </row>
    <row r="13940" spans="1:4" ht="12.75" customHeight="1" x14ac:dyDescent="0.2">
      <c r="A13940" s="11"/>
      <c r="B13940" s="2"/>
      <c r="C13940" s="15"/>
      <c r="D13940" s="2"/>
    </row>
    <row r="13941" spans="1:4" ht="12.75" customHeight="1" x14ac:dyDescent="0.2">
      <c r="B13941" s="11" t="s">
        <v>0</v>
      </c>
      <c r="C13941" s="11" t="s">
        <v>782</v>
      </c>
    </row>
    <row r="13942" spans="1:4" ht="12.75" customHeight="1" x14ac:dyDescent="0.2">
      <c r="B13942" s="11" t="s">
        <v>2599</v>
      </c>
      <c r="C13942" s="11" t="s">
        <v>4797</v>
      </c>
    </row>
    <row r="13943" spans="1:4" ht="25.5" customHeight="1" x14ac:dyDescent="0.2">
      <c r="B13943" s="11" t="s">
        <v>2600</v>
      </c>
      <c r="C13943" s="11" t="s">
        <v>4805</v>
      </c>
    </row>
    <row r="13944" spans="1:4" ht="25.5" customHeight="1" x14ac:dyDescent="0.2">
      <c r="B13944" s="11" t="s">
        <v>2601</v>
      </c>
      <c r="C13944" s="11"/>
    </row>
    <row r="13945" spans="1:4" ht="12.75" customHeight="1" x14ac:dyDescent="0.2">
      <c r="B13945" s="11" t="s">
        <v>16</v>
      </c>
      <c r="C13945" s="11"/>
    </row>
    <row r="13946" spans="1:4" ht="12.75" customHeight="1" x14ac:dyDescent="0.2">
      <c r="B13946" s="11" t="s">
        <v>13</v>
      </c>
      <c r="C13946" s="11" t="s">
        <v>2602</v>
      </c>
    </row>
    <row r="13947" spans="1:4" ht="12.75" customHeight="1" x14ac:dyDescent="0.2">
      <c r="B13947" s="11" t="s">
        <v>2603</v>
      </c>
      <c r="C13947" s="11" t="s">
        <v>2604</v>
      </c>
    </row>
    <row r="13948" spans="1:4" ht="12.75" customHeight="1" x14ac:dyDescent="0.2">
      <c r="B13948" s="11" t="s">
        <v>2605</v>
      </c>
      <c r="C13948" s="11" t="s">
        <v>24</v>
      </c>
    </row>
    <row r="13949" spans="1:4" ht="12.75" customHeight="1" x14ac:dyDescent="0.2">
      <c r="B13949" s="11" t="s">
        <v>2606</v>
      </c>
      <c r="C13949" s="16" t="s">
        <v>309</v>
      </c>
      <c r="D13949" s="6" t="str">
        <f>HYPERLINK("javascript:void(0)","kincs")</f>
        <v>kincs</v>
      </c>
    </row>
    <row r="13950" spans="1:4" ht="12.75" customHeight="1" x14ac:dyDescent="0.2">
      <c r="B13950" s="2"/>
      <c r="C13950" s="15"/>
      <c r="D13950" s="2"/>
    </row>
    <row r="13951" spans="1:4" ht="12.75" customHeight="1" x14ac:dyDescent="0.2">
      <c r="B13951" s="2"/>
      <c r="C13951" s="15"/>
      <c r="D13951" s="2"/>
    </row>
    <row r="13952" spans="1:4" ht="12.75" customHeight="1" x14ac:dyDescent="0.2">
      <c r="A13952" s="13" t="s">
        <v>4806</v>
      </c>
      <c r="C13952" s="12"/>
    </row>
    <row r="13953" spans="1:4" ht="12.75" customHeight="1" x14ac:dyDescent="0.2">
      <c r="A13953" s="11"/>
      <c r="B13953" s="2"/>
      <c r="C13953" s="15"/>
      <c r="D13953" s="2"/>
    </row>
    <row r="13954" spans="1:4" ht="12.75" customHeight="1" x14ac:dyDescent="0.2">
      <c r="B13954" s="11" t="s">
        <v>0</v>
      </c>
      <c r="C13954" s="11" t="s">
        <v>782</v>
      </c>
    </row>
    <row r="13955" spans="1:4" ht="12.75" customHeight="1" x14ac:dyDescent="0.2">
      <c r="B13955" s="11" t="s">
        <v>2599</v>
      </c>
      <c r="C13955" s="11" t="s">
        <v>4807</v>
      </c>
    </row>
    <row r="13956" spans="1:4" ht="25.5" customHeight="1" x14ac:dyDescent="0.2">
      <c r="B13956" s="11" t="s">
        <v>2600</v>
      </c>
      <c r="C13956" s="11" t="s">
        <v>4808</v>
      </c>
    </row>
    <row r="13957" spans="1:4" ht="25.5" customHeight="1" x14ac:dyDescent="0.2">
      <c r="B13957" s="11" t="s">
        <v>2601</v>
      </c>
      <c r="C13957" s="11"/>
    </row>
    <row r="13958" spans="1:4" ht="12.75" customHeight="1" x14ac:dyDescent="0.2">
      <c r="B13958" s="11" t="s">
        <v>16</v>
      </c>
      <c r="C13958" s="11"/>
    </row>
    <row r="13959" spans="1:4" ht="12.75" customHeight="1" x14ac:dyDescent="0.2">
      <c r="B13959" s="11" t="s">
        <v>13</v>
      </c>
      <c r="C13959" s="11" t="s">
        <v>2644</v>
      </c>
    </row>
    <row r="13960" spans="1:4" ht="12.75" customHeight="1" x14ac:dyDescent="0.2">
      <c r="B13960" s="11" t="s">
        <v>2603</v>
      </c>
      <c r="C13960" s="11" t="s">
        <v>2604</v>
      </c>
    </row>
    <row r="13961" spans="1:4" ht="12.75" customHeight="1" x14ac:dyDescent="0.2">
      <c r="B13961" s="11" t="s">
        <v>2605</v>
      </c>
      <c r="C13961" s="11" t="s">
        <v>24</v>
      </c>
    </row>
    <row r="13962" spans="1:4" ht="12.75" customHeight="1" x14ac:dyDescent="0.2">
      <c r="B13962" s="11" t="s">
        <v>2606</v>
      </c>
      <c r="C13962" s="16" t="s">
        <v>316</v>
      </c>
      <c r="D13962" s="6" t="str">
        <f>HYPERLINK("javascript:void(0)","kincs")</f>
        <v>kincs</v>
      </c>
    </row>
    <row r="13963" spans="1:4" ht="12.75" customHeight="1" x14ac:dyDescent="0.2">
      <c r="B13963" s="2"/>
      <c r="C13963" s="15"/>
      <c r="D13963" s="2"/>
    </row>
    <row r="13964" spans="1:4" ht="12.75" customHeight="1" x14ac:dyDescent="0.2">
      <c r="B13964" s="2"/>
      <c r="C13964" s="15"/>
      <c r="D13964" s="2"/>
    </row>
    <row r="13965" spans="1:4" ht="12.75" customHeight="1" x14ac:dyDescent="0.2">
      <c r="A13965" s="13" t="s">
        <v>4809</v>
      </c>
      <c r="C13965" s="12"/>
    </row>
    <row r="13966" spans="1:4" ht="12.75" customHeight="1" x14ac:dyDescent="0.2">
      <c r="A13966" s="11"/>
      <c r="B13966" s="2"/>
      <c r="C13966" s="15"/>
      <c r="D13966" s="2"/>
    </row>
    <row r="13967" spans="1:4" ht="12.75" customHeight="1" x14ac:dyDescent="0.2">
      <c r="B13967" s="11" t="s">
        <v>0</v>
      </c>
      <c r="C13967" s="11" t="s">
        <v>782</v>
      </c>
    </row>
    <row r="13968" spans="1:4" ht="12.75" customHeight="1" x14ac:dyDescent="0.2">
      <c r="B13968" s="11" t="s">
        <v>2599</v>
      </c>
      <c r="C13968" s="11" t="s">
        <v>581</v>
      </c>
    </row>
    <row r="13969" spans="1:4" ht="25.5" customHeight="1" x14ac:dyDescent="0.2">
      <c r="B13969" s="11" t="s">
        <v>2600</v>
      </c>
      <c r="C13969" s="11" t="s">
        <v>4810</v>
      </c>
    </row>
    <row r="13970" spans="1:4" ht="25.5" customHeight="1" x14ac:dyDescent="0.2">
      <c r="B13970" s="11" t="s">
        <v>2601</v>
      </c>
      <c r="C13970" s="11"/>
    </row>
    <row r="13971" spans="1:4" ht="12.75" customHeight="1" x14ac:dyDescent="0.2">
      <c r="B13971" s="11" t="s">
        <v>16</v>
      </c>
      <c r="C13971" s="11"/>
    </row>
    <row r="13972" spans="1:4" ht="12.75" customHeight="1" x14ac:dyDescent="0.2">
      <c r="B13972" s="11" t="s">
        <v>13</v>
      </c>
      <c r="C13972" s="11" t="s">
        <v>2644</v>
      </c>
    </row>
    <row r="13973" spans="1:4" ht="12.75" customHeight="1" x14ac:dyDescent="0.2">
      <c r="B13973" s="11" t="s">
        <v>2603</v>
      </c>
      <c r="C13973" s="11" t="s">
        <v>2604</v>
      </c>
    </row>
    <row r="13974" spans="1:4" ht="12.75" customHeight="1" x14ac:dyDescent="0.2">
      <c r="B13974" s="11" t="s">
        <v>2605</v>
      </c>
      <c r="C13974" s="11" t="s">
        <v>14</v>
      </c>
    </row>
    <row r="13975" spans="1:4" ht="12.75" customHeight="1" x14ac:dyDescent="0.2">
      <c r="B13975" s="11" t="s">
        <v>2606</v>
      </c>
      <c r="C13975" s="16" t="s">
        <v>57</v>
      </c>
      <c r="D13975" s="6" t="str">
        <f>HYPERLINK("javascript:void(0)","ördögpihe")</f>
        <v>ördögpihe</v>
      </c>
    </row>
    <row r="13976" spans="1:4" ht="12.75" customHeight="1" x14ac:dyDescent="0.2">
      <c r="B13976" s="2"/>
      <c r="C13976" s="15"/>
      <c r="D13976" s="2"/>
    </row>
    <row r="13977" spans="1:4" ht="12.75" customHeight="1" x14ac:dyDescent="0.2">
      <c r="B13977" s="2"/>
      <c r="C13977" s="15"/>
      <c r="D13977" s="2"/>
    </row>
    <row r="13978" spans="1:4" ht="12.75" customHeight="1" x14ac:dyDescent="0.2">
      <c r="A13978" s="13" t="s">
        <v>4811</v>
      </c>
      <c r="C13978" s="12"/>
    </row>
    <row r="13979" spans="1:4" ht="12.75" customHeight="1" x14ac:dyDescent="0.2">
      <c r="A13979" s="11"/>
      <c r="B13979" s="2"/>
      <c r="C13979" s="15"/>
      <c r="D13979" s="2"/>
    </row>
    <row r="13980" spans="1:4" ht="12.75" customHeight="1" x14ac:dyDescent="0.2">
      <c r="B13980" s="11" t="s">
        <v>0</v>
      </c>
      <c r="C13980" s="11" t="s">
        <v>782</v>
      </c>
    </row>
    <row r="13981" spans="1:4" ht="12.75" customHeight="1" x14ac:dyDescent="0.2">
      <c r="B13981" s="11" t="s">
        <v>2599</v>
      </c>
      <c r="C13981" s="11" t="s">
        <v>534</v>
      </c>
    </row>
    <row r="13982" spans="1:4" ht="25.5" customHeight="1" x14ac:dyDescent="0.2">
      <c r="B13982" s="11" t="s">
        <v>2600</v>
      </c>
      <c r="C13982" s="11" t="s">
        <v>4812</v>
      </c>
    </row>
    <row r="13983" spans="1:4" ht="25.5" customHeight="1" x14ac:dyDescent="0.2">
      <c r="B13983" s="11" t="s">
        <v>2601</v>
      </c>
      <c r="C13983" s="11"/>
    </row>
    <row r="13984" spans="1:4" ht="12.75" customHeight="1" x14ac:dyDescent="0.2">
      <c r="B13984" s="11" t="s">
        <v>16</v>
      </c>
      <c r="C13984" s="11"/>
    </row>
    <row r="13985" spans="1:4" ht="12.75" customHeight="1" x14ac:dyDescent="0.2">
      <c r="B13985" s="11" t="s">
        <v>13</v>
      </c>
      <c r="C13985" s="11" t="s">
        <v>2602</v>
      </c>
    </row>
    <row r="13986" spans="1:4" ht="12.75" customHeight="1" x14ac:dyDescent="0.2">
      <c r="B13986" s="11" t="s">
        <v>2603</v>
      </c>
      <c r="C13986" s="11" t="s">
        <v>2604</v>
      </c>
    </row>
    <row r="13987" spans="1:4" ht="12.75" customHeight="1" x14ac:dyDescent="0.2">
      <c r="B13987" s="11" t="s">
        <v>2605</v>
      </c>
      <c r="C13987" s="11" t="s">
        <v>14</v>
      </c>
    </row>
    <row r="13988" spans="1:4" ht="12.75" customHeight="1" x14ac:dyDescent="0.2">
      <c r="B13988" s="11" t="s">
        <v>2606</v>
      </c>
      <c r="C13988" s="16" t="s">
        <v>269</v>
      </c>
      <c r="D13988" s="6" t="str">
        <f>HYPERLINK("javascript:void(0)","kincs")</f>
        <v>kincs</v>
      </c>
    </row>
    <row r="13989" spans="1:4" ht="12.75" customHeight="1" x14ac:dyDescent="0.2">
      <c r="B13989" s="2"/>
      <c r="C13989" s="15"/>
      <c r="D13989" s="2"/>
    </row>
    <row r="13990" spans="1:4" ht="12.75" customHeight="1" x14ac:dyDescent="0.2">
      <c r="B13990" s="2"/>
      <c r="C13990" s="15"/>
      <c r="D13990" s="2"/>
    </row>
    <row r="13991" spans="1:4" ht="12.75" customHeight="1" x14ac:dyDescent="0.2">
      <c r="A13991" s="13" t="s">
        <v>4813</v>
      </c>
      <c r="C13991" s="12"/>
    </row>
    <row r="13992" spans="1:4" ht="12.75" customHeight="1" x14ac:dyDescent="0.2">
      <c r="A13992" s="11"/>
      <c r="B13992" s="2"/>
      <c r="C13992" s="15"/>
      <c r="D13992" s="2"/>
    </row>
    <row r="13993" spans="1:4" ht="12.75" customHeight="1" x14ac:dyDescent="0.2">
      <c r="B13993" s="11" t="s">
        <v>0</v>
      </c>
      <c r="C13993" s="11" t="s">
        <v>782</v>
      </c>
    </row>
    <row r="13994" spans="1:4" ht="12.75" customHeight="1" x14ac:dyDescent="0.2">
      <c r="B13994" s="11" t="s">
        <v>2599</v>
      </c>
      <c r="C13994" s="11" t="s">
        <v>4799</v>
      </c>
    </row>
    <row r="13995" spans="1:4" ht="25.5" customHeight="1" x14ac:dyDescent="0.2">
      <c r="B13995" s="11" t="s">
        <v>2600</v>
      </c>
      <c r="C13995" s="11" t="s">
        <v>4814</v>
      </c>
    </row>
    <row r="13996" spans="1:4" ht="25.5" customHeight="1" x14ac:dyDescent="0.2">
      <c r="B13996" s="11" t="s">
        <v>2601</v>
      </c>
      <c r="C13996" s="11"/>
    </row>
    <row r="13997" spans="1:4" ht="12.75" customHeight="1" x14ac:dyDescent="0.2">
      <c r="B13997" s="11" t="s">
        <v>16</v>
      </c>
      <c r="C13997" s="11"/>
    </row>
    <row r="13998" spans="1:4" ht="12.75" customHeight="1" x14ac:dyDescent="0.2">
      <c r="B13998" s="11" t="s">
        <v>13</v>
      </c>
      <c r="C13998" s="11" t="s">
        <v>2644</v>
      </c>
    </row>
    <row r="13999" spans="1:4" ht="12.75" customHeight="1" x14ac:dyDescent="0.2">
      <c r="B13999" s="11" t="s">
        <v>2603</v>
      </c>
      <c r="C13999" s="11" t="s">
        <v>2604</v>
      </c>
    </row>
    <row r="14000" spans="1:4" ht="12.75" customHeight="1" x14ac:dyDescent="0.2">
      <c r="B14000" s="11" t="s">
        <v>2605</v>
      </c>
      <c r="C14000" s="11" t="s">
        <v>24</v>
      </c>
    </row>
    <row r="14001" spans="1:4" ht="12.75" customHeight="1" x14ac:dyDescent="0.2">
      <c r="B14001" s="11" t="s">
        <v>2606</v>
      </c>
      <c r="C14001" s="16" t="s">
        <v>77</v>
      </c>
      <c r="D14001" s="6" t="str">
        <f>HYPERLINK("javascript:void(0)","törmelék")</f>
        <v>törmelék</v>
      </c>
    </row>
    <row r="14002" spans="1:4" ht="12.75" customHeight="1" x14ac:dyDescent="0.2">
      <c r="B14002" s="2"/>
      <c r="C14002" s="15"/>
      <c r="D14002" s="2"/>
    </row>
    <row r="14003" spans="1:4" ht="12.75" customHeight="1" x14ac:dyDescent="0.2">
      <c r="B14003" s="2"/>
      <c r="C14003" s="15"/>
      <c r="D14003" s="2"/>
    </row>
    <row r="14004" spans="1:4" ht="12.75" customHeight="1" x14ac:dyDescent="0.2">
      <c r="A14004" s="13" t="s">
        <v>4815</v>
      </c>
      <c r="C14004" s="12"/>
    </row>
    <row r="14005" spans="1:4" ht="12.75" customHeight="1" x14ac:dyDescent="0.2">
      <c r="A14005" s="11"/>
      <c r="B14005" s="2"/>
      <c r="C14005" s="15"/>
      <c r="D14005" s="2"/>
    </row>
    <row r="14006" spans="1:4" ht="12.75" customHeight="1" x14ac:dyDescent="0.2">
      <c r="B14006" s="11" t="s">
        <v>0</v>
      </c>
      <c r="C14006" s="11" t="s">
        <v>782</v>
      </c>
    </row>
    <row r="14007" spans="1:4" ht="12.75" customHeight="1" x14ac:dyDescent="0.2">
      <c r="B14007" s="11" t="s">
        <v>2599</v>
      </c>
      <c r="C14007" s="11" t="s">
        <v>4816</v>
      </c>
    </row>
    <row r="14008" spans="1:4" ht="25.5" customHeight="1" x14ac:dyDescent="0.2">
      <c r="B14008" s="11" t="s">
        <v>2600</v>
      </c>
      <c r="C14008" s="11" t="s">
        <v>4817</v>
      </c>
    </row>
    <row r="14009" spans="1:4" ht="25.5" customHeight="1" x14ac:dyDescent="0.2">
      <c r="B14009" s="11" t="s">
        <v>2601</v>
      </c>
      <c r="C14009" s="11"/>
    </row>
    <row r="14010" spans="1:4" ht="12.75" customHeight="1" x14ac:dyDescent="0.2">
      <c r="B14010" s="11" t="s">
        <v>16</v>
      </c>
      <c r="C14010" s="11"/>
    </row>
    <row r="14011" spans="1:4" ht="12.75" customHeight="1" x14ac:dyDescent="0.2">
      <c r="B14011" s="11" t="s">
        <v>13</v>
      </c>
      <c r="C14011" s="11" t="s">
        <v>2644</v>
      </c>
    </row>
    <row r="14012" spans="1:4" ht="12.75" customHeight="1" x14ac:dyDescent="0.2">
      <c r="B14012" s="11" t="s">
        <v>2603</v>
      </c>
      <c r="C14012" s="11" t="s">
        <v>2604</v>
      </c>
    </row>
    <row r="14013" spans="1:4" ht="12.75" customHeight="1" x14ac:dyDescent="0.2">
      <c r="B14013" s="11" t="s">
        <v>2605</v>
      </c>
      <c r="C14013" s="11" t="s">
        <v>24</v>
      </c>
    </row>
    <row r="14014" spans="1:4" ht="25.5" customHeight="1" x14ac:dyDescent="0.2">
      <c r="B14014" s="11" t="s">
        <v>2606</v>
      </c>
      <c r="C14014" s="16" t="s">
        <v>44</v>
      </c>
      <c r="D14014" s="6" t="str">
        <f>HYPERLINK("javascript:void(0)","szent szimbólum")</f>
        <v>szent szimbólum</v>
      </c>
    </row>
    <row r="14015" spans="1:4" ht="12.75" customHeight="1" x14ac:dyDescent="0.2">
      <c r="C14015" s="16" t="s">
        <v>244</v>
      </c>
      <c r="D14015" s="6" t="str">
        <f>HYPERLINK("javascript:void(0)","kincs")</f>
        <v>kincs</v>
      </c>
    </row>
    <row r="14016" spans="1:4" ht="12.75" customHeight="1" x14ac:dyDescent="0.2">
      <c r="B14016" s="2"/>
      <c r="C14016" s="15"/>
      <c r="D14016" s="2"/>
    </row>
    <row r="14017" spans="1:4" ht="12.75" customHeight="1" x14ac:dyDescent="0.2">
      <c r="B14017" s="2"/>
      <c r="C14017" s="15"/>
      <c r="D14017" s="2"/>
    </row>
    <row r="14018" spans="1:4" ht="12.75" customHeight="1" x14ac:dyDescent="0.2">
      <c r="A14018" s="13" t="s">
        <v>4818</v>
      </c>
      <c r="C14018" s="12"/>
    </row>
    <row r="14019" spans="1:4" ht="12.75" customHeight="1" x14ac:dyDescent="0.2">
      <c r="A14019" s="11"/>
      <c r="B14019" s="2"/>
      <c r="C14019" s="15"/>
      <c r="D14019" s="2"/>
    </row>
    <row r="14020" spans="1:4" ht="12.75" customHeight="1" x14ac:dyDescent="0.2">
      <c r="B14020" s="11" t="s">
        <v>0</v>
      </c>
      <c r="C14020" s="11" t="s">
        <v>782</v>
      </c>
    </row>
    <row r="14021" spans="1:4" ht="12.75" customHeight="1" x14ac:dyDescent="0.2">
      <c r="B14021" s="11" t="s">
        <v>2599</v>
      </c>
      <c r="C14021" s="11" t="s">
        <v>3775</v>
      </c>
    </row>
    <row r="14022" spans="1:4" ht="25.5" customHeight="1" x14ac:dyDescent="0.2">
      <c r="B14022" s="11" t="s">
        <v>2600</v>
      </c>
      <c r="C14022" s="11" t="s">
        <v>4819</v>
      </c>
    </row>
    <row r="14023" spans="1:4" ht="25.5" customHeight="1" x14ac:dyDescent="0.2">
      <c r="B14023" s="11" t="s">
        <v>2601</v>
      </c>
      <c r="C14023" s="11"/>
    </row>
    <row r="14024" spans="1:4" ht="12.75" customHeight="1" x14ac:dyDescent="0.2">
      <c r="B14024" s="11" t="s">
        <v>16</v>
      </c>
      <c r="C14024" s="11"/>
    </row>
    <row r="14025" spans="1:4" ht="12.75" customHeight="1" x14ac:dyDescent="0.2">
      <c r="B14025" s="11" t="s">
        <v>13</v>
      </c>
      <c r="C14025" s="11" t="s">
        <v>2602</v>
      </c>
    </row>
    <row r="14026" spans="1:4" ht="12.75" customHeight="1" x14ac:dyDescent="0.2">
      <c r="B14026" s="11" t="s">
        <v>2603</v>
      </c>
      <c r="C14026" s="11" t="s">
        <v>2604</v>
      </c>
    </row>
    <row r="14027" spans="1:4" ht="12.75" customHeight="1" x14ac:dyDescent="0.2">
      <c r="B14027" s="11" t="s">
        <v>2605</v>
      </c>
      <c r="C14027" s="11" t="s">
        <v>14</v>
      </c>
    </row>
    <row r="14028" spans="1:4" ht="12.75" customHeight="1" x14ac:dyDescent="0.2">
      <c r="B14028" s="11" t="s">
        <v>2606</v>
      </c>
      <c r="C14028" s="16" t="s">
        <v>44</v>
      </c>
      <c r="D14028" s="6" t="str">
        <f>HYPERLINK("javascript:void(0)","robbanófej")</f>
        <v>robbanófej</v>
      </c>
    </row>
    <row r="14029" spans="1:4" ht="12.75" customHeight="1" x14ac:dyDescent="0.2">
      <c r="B14029" s="2"/>
      <c r="C14029" s="15"/>
      <c r="D14029" s="2"/>
    </row>
    <row r="14030" spans="1:4" ht="12.75" customHeight="1" x14ac:dyDescent="0.2">
      <c r="B14030" s="2"/>
      <c r="C14030" s="15"/>
      <c r="D14030" s="2"/>
    </row>
    <row r="14031" spans="1:4" ht="12.75" customHeight="1" x14ac:dyDescent="0.2">
      <c r="A14031" s="13" t="s">
        <v>4710</v>
      </c>
      <c r="C14031" s="12"/>
      <c r="D14031" s="2"/>
    </row>
    <row r="14032" spans="1:4" ht="12.75" customHeight="1" x14ac:dyDescent="0.2">
      <c r="A14032" s="11"/>
      <c r="B14032" s="2"/>
      <c r="C14032" s="15"/>
      <c r="D14032" s="2"/>
    </row>
    <row r="14033" spans="1:4" ht="12.75" customHeight="1" x14ac:dyDescent="0.2">
      <c r="B14033" s="11" t="s">
        <v>0</v>
      </c>
      <c r="C14033" s="17" t="s">
        <v>782</v>
      </c>
      <c r="D14033" s="2"/>
    </row>
    <row r="14034" spans="1:4" ht="12.75" customHeight="1" x14ac:dyDescent="0.2">
      <c r="B14034" s="11" t="s">
        <v>2599</v>
      </c>
      <c r="C14034" s="17" t="s">
        <v>4711</v>
      </c>
      <c r="D14034" s="2"/>
    </row>
    <row r="14035" spans="1:4" ht="25.5" customHeight="1" x14ac:dyDescent="0.2">
      <c r="B14035" s="11" t="s">
        <v>2600</v>
      </c>
      <c r="C14035" s="17" t="s">
        <v>4820</v>
      </c>
      <c r="D14035" s="2"/>
    </row>
    <row r="14036" spans="1:4" ht="25.5" customHeight="1" x14ac:dyDescent="0.2">
      <c r="B14036" s="11" t="s">
        <v>2601</v>
      </c>
      <c r="C14036" s="17"/>
      <c r="D14036" s="2"/>
    </row>
    <row r="14037" spans="1:4" ht="12.75" customHeight="1" x14ac:dyDescent="0.2">
      <c r="B14037" s="11" t="s">
        <v>16</v>
      </c>
      <c r="C14037" s="17"/>
      <c r="D14037" s="2"/>
    </row>
    <row r="14038" spans="1:4" ht="12.75" customHeight="1" x14ac:dyDescent="0.2">
      <c r="B14038" s="11" t="s">
        <v>13</v>
      </c>
      <c r="C14038" s="17" t="s">
        <v>2602</v>
      </c>
      <c r="D14038" s="2"/>
    </row>
    <row r="14039" spans="1:4" ht="25.5" customHeight="1" x14ac:dyDescent="0.2">
      <c r="B14039" s="11" t="s">
        <v>2603</v>
      </c>
      <c r="C14039" s="17" t="s">
        <v>2971</v>
      </c>
      <c r="D14039" s="2"/>
    </row>
    <row r="14040" spans="1:4" ht="12.75" customHeight="1" x14ac:dyDescent="0.2">
      <c r="B14040" s="11" t="s">
        <v>2605</v>
      </c>
      <c r="C14040" s="17" t="s">
        <v>14</v>
      </c>
      <c r="D14040" s="2"/>
    </row>
    <row r="14041" spans="1:4" ht="12.75" customHeight="1" x14ac:dyDescent="0.2">
      <c r="B14041" s="11" t="s">
        <v>2606</v>
      </c>
      <c r="C14041" s="16" t="s">
        <v>19</v>
      </c>
      <c r="D14041" s="2"/>
    </row>
    <row r="14042" spans="1:4" ht="12.75" customHeight="1" x14ac:dyDescent="0.2">
      <c r="B14042" s="2"/>
      <c r="C14042" s="15"/>
      <c r="D14042" s="2"/>
    </row>
    <row r="14043" spans="1:4" ht="12.75" customHeight="1" x14ac:dyDescent="0.2">
      <c r="B14043" s="2"/>
      <c r="C14043" s="15"/>
      <c r="D14043" s="2"/>
    </row>
    <row r="14044" spans="1:4" ht="12.75" customHeight="1" x14ac:dyDescent="0.2">
      <c r="A14044" s="13" t="s">
        <v>4713</v>
      </c>
      <c r="C14044" s="12"/>
      <c r="D14044" s="2"/>
    </row>
    <row r="14045" spans="1:4" ht="12.75" customHeight="1" x14ac:dyDescent="0.2">
      <c r="A14045" s="11"/>
      <c r="B14045" s="2"/>
      <c r="C14045" s="15"/>
      <c r="D14045" s="2"/>
    </row>
    <row r="14046" spans="1:4" ht="12.75" customHeight="1" x14ac:dyDescent="0.2">
      <c r="B14046" s="11" t="s">
        <v>0</v>
      </c>
      <c r="C14046" s="17" t="s">
        <v>782</v>
      </c>
      <c r="D14046" s="2"/>
    </row>
    <row r="14047" spans="1:4" ht="12.75" customHeight="1" x14ac:dyDescent="0.2">
      <c r="B14047" s="11" t="s">
        <v>2599</v>
      </c>
      <c r="C14047" s="17" t="s">
        <v>4714</v>
      </c>
      <c r="D14047" s="2"/>
    </row>
    <row r="14048" spans="1:4" ht="25.5" customHeight="1" x14ac:dyDescent="0.2">
      <c r="B14048" s="11" t="s">
        <v>2600</v>
      </c>
      <c r="C14048" s="17" t="s">
        <v>4821</v>
      </c>
      <c r="D14048" s="2"/>
    </row>
    <row r="14049" spans="1:4" ht="25.5" customHeight="1" x14ac:dyDescent="0.2">
      <c r="B14049" s="11" t="s">
        <v>2601</v>
      </c>
      <c r="C14049" s="17"/>
      <c r="D14049" s="2"/>
    </row>
    <row r="14050" spans="1:4" ht="12.75" customHeight="1" x14ac:dyDescent="0.2">
      <c r="B14050" s="11" t="s">
        <v>16</v>
      </c>
      <c r="C14050" s="17"/>
      <c r="D14050" s="2"/>
    </row>
    <row r="14051" spans="1:4" ht="12.75" customHeight="1" x14ac:dyDescent="0.2">
      <c r="B14051" s="11" t="s">
        <v>13</v>
      </c>
      <c r="C14051" s="17" t="s">
        <v>2644</v>
      </c>
      <c r="D14051" s="2"/>
    </row>
    <row r="14052" spans="1:4" ht="25.5" customHeight="1" x14ac:dyDescent="0.2">
      <c r="B14052" s="11" t="s">
        <v>2603</v>
      </c>
      <c r="C14052" s="17" t="s">
        <v>2971</v>
      </c>
      <c r="D14052" s="2"/>
    </row>
    <row r="14053" spans="1:4" ht="12.75" customHeight="1" x14ac:dyDescent="0.2">
      <c r="B14053" s="11" t="s">
        <v>2605</v>
      </c>
      <c r="C14053" s="17" t="s">
        <v>14</v>
      </c>
      <c r="D14053" s="2"/>
    </row>
    <row r="14054" spans="1:4" ht="12.75" customHeight="1" x14ac:dyDescent="0.2">
      <c r="B14054" s="11" t="s">
        <v>2606</v>
      </c>
      <c r="C14054" s="16" t="s">
        <v>19</v>
      </c>
      <c r="D14054" s="2"/>
    </row>
    <row r="14055" spans="1:4" ht="12.75" customHeight="1" x14ac:dyDescent="0.2">
      <c r="B14055" s="2"/>
      <c r="C14055" s="15"/>
      <c r="D14055" s="2"/>
    </row>
    <row r="14056" spans="1:4" ht="12.75" customHeight="1" x14ac:dyDescent="0.2">
      <c r="B14056" s="2"/>
      <c r="C14056" s="15"/>
      <c r="D14056" s="2"/>
    </row>
    <row r="14057" spans="1:4" ht="12.75" customHeight="1" x14ac:dyDescent="0.2">
      <c r="A14057" s="13" t="s">
        <v>4822</v>
      </c>
      <c r="C14057" s="12"/>
      <c r="D14057" s="2"/>
    </row>
    <row r="14058" spans="1:4" ht="12.75" customHeight="1" x14ac:dyDescent="0.2">
      <c r="A14058" s="11"/>
      <c r="B14058" s="2"/>
      <c r="C14058" s="15"/>
      <c r="D14058" s="2"/>
    </row>
    <row r="14059" spans="1:4" ht="12.75" customHeight="1" x14ac:dyDescent="0.2">
      <c r="B14059" s="11" t="s">
        <v>0</v>
      </c>
      <c r="C14059" s="17" t="s">
        <v>790</v>
      </c>
      <c r="D14059" s="2"/>
    </row>
    <row r="14060" spans="1:4" ht="12.75" customHeight="1" x14ac:dyDescent="0.2">
      <c r="B14060" s="11" t="s">
        <v>2599</v>
      </c>
      <c r="C14060" s="17" t="s">
        <v>4823</v>
      </c>
      <c r="D14060" s="2"/>
    </row>
    <row r="14061" spans="1:4" ht="25.5" customHeight="1" x14ac:dyDescent="0.2">
      <c r="B14061" s="11" t="s">
        <v>2600</v>
      </c>
      <c r="C14061" s="17" t="s">
        <v>4824</v>
      </c>
      <c r="D14061" s="2"/>
    </row>
    <row r="14062" spans="1:4" ht="25.5" customHeight="1" x14ac:dyDescent="0.2">
      <c r="B14062" s="11" t="s">
        <v>2601</v>
      </c>
      <c r="C14062" s="17"/>
      <c r="D14062" s="2"/>
    </row>
    <row r="14063" spans="1:4" ht="12.75" customHeight="1" x14ac:dyDescent="0.2">
      <c r="B14063" s="11" t="s">
        <v>16</v>
      </c>
      <c r="C14063" s="17"/>
      <c r="D14063" s="2"/>
    </row>
    <row r="14064" spans="1:4" ht="12.75" customHeight="1" x14ac:dyDescent="0.2">
      <c r="B14064" s="11" t="s">
        <v>13</v>
      </c>
      <c r="C14064" s="17" t="s">
        <v>2644</v>
      </c>
      <c r="D14064" s="2"/>
    </row>
    <row r="14065" spans="1:4" ht="25.5" customHeight="1" x14ac:dyDescent="0.2">
      <c r="B14065" s="11" t="s">
        <v>2603</v>
      </c>
      <c r="C14065" s="17" t="s">
        <v>2971</v>
      </c>
      <c r="D14065" s="2"/>
    </row>
    <row r="14066" spans="1:4" ht="12.75" customHeight="1" x14ac:dyDescent="0.2">
      <c r="B14066" s="11" t="s">
        <v>2605</v>
      </c>
      <c r="C14066" s="17" t="s">
        <v>14</v>
      </c>
      <c r="D14066" s="2"/>
    </row>
    <row r="14067" spans="1:4" ht="12.75" customHeight="1" x14ac:dyDescent="0.2">
      <c r="B14067" s="11" t="s">
        <v>2606</v>
      </c>
      <c r="C14067" s="16" t="s">
        <v>19</v>
      </c>
      <c r="D14067" s="2"/>
    </row>
    <row r="14068" spans="1:4" ht="12.75" customHeight="1" x14ac:dyDescent="0.2">
      <c r="B14068" s="2"/>
      <c r="C14068" s="15"/>
      <c r="D14068" s="2"/>
    </row>
    <row r="14069" spans="1:4" ht="12.75" customHeight="1" x14ac:dyDescent="0.2">
      <c r="B14069" s="2"/>
      <c r="C14069" s="15"/>
      <c r="D14069" s="2"/>
    </row>
    <row r="14070" spans="1:4" ht="12.75" customHeight="1" x14ac:dyDescent="0.2">
      <c r="A14070" s="13" t="s">
        <v>4825</v>
      </c>
      <c r="C14070" s="12"/>
      <c r="D14070" s="2"/>
    </row>
    <row r="14071" spans="1:4" ht="12.75" customHeight="1" x14ac:dyDescent="0.2">
      <c r="A14071" s="11"/>
      <c r="B14071" s="2"/>
      <c r="C14071" s="15"/>
      <c r="D14071" s="2"/>
    </row>
    <row r="14072" spans="1:4" ht="12.75" customHeight="1" x14ac:dyDescent="0.2">
      <c r="B14072" s="11" t="s">
        <v>0</v>
      </c>
      <c r="C14072" s="17" t="s">
        <v>790</v>
      </c>
      <c r="D14072" s="2"/>
    </row>
    <row r="14073" spans="1:4" ht="12.75" customHeight="1" x14ac:dyDescent="0.2">
      <c r="B14073" s="11" t="s">
        <v>2599</v>
      </c>
      <c r="C14073" s="17" t="s">
        <v>4826</v>
      </c>
      <c r="D14073" s="2"/>
    </row>
    <row r="14074" spans="1:4" ht="25.5" customHeight="1" x14ac:dyDescent="0.2">
      <c r="B14074" s="11" t="s">
        <v>2600</v>
      </c>
      <c r="C14074" s="17" t="s">
        <v>4827</v>
      </c>
      <c r="D14074" s="2"/>
    </row>
    <row r="14075" spans="1:4" ht="25.5" customHeight="1" x14ac:dyDescent="0.2">
      <c r="B14075" s="11" t="s">
        <v>2601</v>
      </c>
      <c r="C14075" s="17"/>
      <c r="D14075" s="2"/>
    </row>
    <row r="14076" spans="1:4" ht="12.75" customHeight="1" x14ac:dyDescent="0.2">
      <c r="B14076" s="11" t="s">
        <v>16</v>
      </c>
      <c r="C14076" s="17"/>
      <c r="D14076" s="2"/>
    </row>
    <row r="14077" spans="1:4" ht="12.75" customHeight="1" x14ac:dyDescent="0.2">
      <c r="B14077" s="11" t="s">
        <v>13</v>
      </c>
      <c r="C14077" s="17" t="s">
        <v>2602</v>
      </c>
      <c r="D14077" s="2"/>
    </row>
    <row r="14078" spans="1:4" ht="25.5" customHeight="1" x14ac:dyDescent="0.2">
      <c r="B14078" s="11" t="s">
        <v>2603</v>
      </c>
      <c r="C14078" s="17" t="s">
        <v>2971</v>
      </c>
      <c r="D14078" s="2"/>
    </row>
    <row r="14079" spans="1:4" ht="12.75" customHeight="1" x14ac:dyDescent="0.2">
      <c r="B14079" s="11" t="s">
        <v>2605</v>
      </c>
      <c r="C14079" s="17" t="s">
        <v>14</v>
      </c>
      <c r="D14079" s="2"/>
    </row>
    <row r="14080" spans="1:4" ht="12.75" customHeight="1" x14ac:dyDescent="0.2">
      <c r="B14080" s="11" t="s">
        <v>2606</v>
      </c>
      <c r="C14080" s="16" t="s">
        <v>19</v>
      </c>
      <c r="D14080" s="2"/>
    </row>
    <row r="14081" spans="1:4" ht="12.75" customHeight="1" x14ac:dyDescent="0.2">
      <c r="B14081" s="2"/>
      <c r="C14081" s="15"/>
      <c r="D14081" s="2"/>
    </row>
    <row r="14082" spans="1:4" ht="12.75" customHeight="1" x14ac:dyDescent="0.2">
      <c r="B14082" s="2"/>
      <c r="C14082" s="15"/>
      <c r="D14082" s="2"/>
    </row>
    <row r="14083" spans="1:4" ht="12.75" customHeight="1" x14ac:dyDescent="0.2">
      <c r="A14083" s="13" t="s">
        <v>4828</v>
      </c>
      <c r="C14083" s="12"/>
    </row>
    <row r="14084" spans="1:4" ht="12.75" customHeight="1" x14ac:dyDescent="0.2">
      <c r="A14084" s="11"/>
      <c r="B14084" s="2"/>
      <c r="C14084" s="15"/>
      <c r="D14084" s="2"/>
    </row>
    <row r="14085" spans="1:4" ht="12.75" customHeight="1" x14ac:dyDescent="0.2">
      <c r="B14085" s="11" t="s">
        <v>0</v>
      </c>
      <c r="C14085" s="11" t="s">
        <v>790</v>
      </c>
    </row>
    <row r="14086" spans="1:4" ht="12.75" customHeight="1" x14ac:dyDescent="0.2">
      <c r="B14086" s="11" t="s">
        <v>2599</v>
      </c>
      <c r="C14086" s="11" t="s">
        <v>3118</v>
      </c>
    </row>
    <row r="14087" spans="1:4" ht="25.5" customHeight="1" x14ac:dyDescent="0.2">
      <c r="B14087" s="11" t="s">
        <v>2600</v>
      </c>
      <c r="C14087" s="11" t="s">
        <v>4829</v>
      </c>
    </row>
    <row r="14088" spans="1:4" ht="25.5" customHeight="1" x14ac:dyDescent="0.2">
      <c r="B14088" s="11" t="s">
        <v>2601</v>
      </c>
      <c r="C14088" s="11"/>
    </row>
    <row r="14089" spans="1:4" ht="12.75" customHeight="1" x14ac:dyDescent="0.2">
      <c r="B14089" s="11" t="s">
        <v>16</v>
      </c>
      <c r="C14089" s="11"/>
    </row>
    <row r="14090" spans="1:4" ht="12.75" customHeight="1" x14ac:dyDescent="0.2">
      <c r="B14090" s="11" t="s">
        <v>13</v>
      </c>
      <c r="C14090" s="11" t="s">
        <v>2602</v>
      </c>
    </row>
    <row r="14091" spans="1:4" ht="12.75" customHeight="1" x14ac:dyDescent="0.2">
      <c r="B14091" s="11" t="s">
        <v>2603</v>
      </c>
      <c r="C14091" s="11" t="s">
        <v>2604</v>
      </c>
    </row>
    <row r="14092" spans="1:4" ht="12.75" customHeight="1" x14ac:dyDescent="0.2">
      <c r="B14092" s="11" t="s">
        <v>2605</v>
      </c>
      <c r="C14092" s="11" t="s">
        <v>14</v>
      </c>
    </row>
    <row r="14093" spans="1:4" ht="12.75" customHeight="1" x14ac:dyDescent="0.2">
      <c r="B14093" s="11" t="s">
        <v>2606</v>
      </c>
      <c r="C14093" s="16" t="s">
        <v>57</v>
      </c>
      <c r="D14093" s="6" t="str">
        <f>HYPERLINK("javascript:void(0)","ámbra")</f>
        <v>ámbra</v>
      </c>
    </row>
    <row r="14094" spans="1:4" ht="12.75" customHeight="1" x14ac:dyDescent="0.2">
      <c r="C14094" s="16" t="s">
        <v>382</v>
      </c>
      <c r="D14094" s="6" t="str">
        <f>HYPERLINK("javascript:void(0)","kincs")</f>
        <v>kincs</v>
      </c>
    </row>
    <row r="14095" spans="1:4" ht="12.75" customHeight="1" x14ac:dyDescent="0.2">
      <c r="B14095" s="2"/>
      <c r="C14095" s="15"/>
      <c r="D14095" s="2"/>
    </row>
    <row r="14096" spans="1:4" ht="12.75" customHeight="1" x14ac:dyDescent="0.2">
      <c r="B14096" s="2"/>
      <c r="C14096" s="15"/>
      <c r="D14096" s="2"/>
    </row>
    <row r="14097" spans="1:4" ht="12.75" customHeight="1" x14ac:dyDescent="0.2">
      <c r="A14097" s="13" t="s">
        <v>4830</v>
      </c>
      <c r="C14097" s="12"/>
    </row>
    <row r="14098" spans="1:4" ht="12.75" customHeight="1" x14ac:dyDescent="0.2">
      <c r="A14098" s="11"/>
      <c r="B14098" s="2"/>
      <c r="C14098" s="15"/>
      <c r="D14098" s="2"/>
    </row>
    <row r="14099" spans="1:4" ht="12.75" customHeight="1" x14ac:dyDescent="0.2">
      <c r="B14099" s="11" t="s">
        <v>0</v>
      </c>
      <c r="C14099" s="11" t="s">
        <v>790</v>
      </c>
    </row>
    <row r="14100" spans="1:4" ht="12.75" customHeight="1" x14ac:dyDescent="0.2">
      <c r="B14100" s="11" t="s">
        <v>2599</v>
      </c>
      <c r="C14100" s="11" t="s">
        <v>4831</v>
      </c>
    </row>
    <row r="14101" spans="1:4" ht="25.5" customHeight="1" x14ac:dyDescent="0.2">
      <c r="B14101" s="11" t="s">
        <v>2600</v>
      </c>
      <c r="C14101" s="11" t="s">
        <v>4832</v>
      </c>
    </row>
    <row r="14102" spans="1:4" ht="25.5" customHeight="1" x14ac:dyDescent="0.2">
      <c r="B14102" s="11" t="s">
        <v>2601</v>
      </c>
      <c r="C14102" s="11"/>
    </row>
    <row r="14103" spans="1:4" ht="12.75" customHeight="1" x14ac:dyDescent="0.2">
      <c r="B14103" s="11" t="s">
        <v>16</v>
      </c>
      <c r="C14103" s="11"/>
    </row>
    <row r="14104" spans="1:4" ht="12.75" customHeight="1" x14ac:dyDescent="0.2">
      <c r="B14104" s="11" t="s">
        <v>13</v>
      </c>
      <c r="C14104" s="11" t="s">
        <v>2602</v>
      </c>
    </row>
    <row r="14105" spans="1:4" ht="12.75" customHeight="1" x14ac:dyDescent="0.2">
      <c r="B14105" s="11" t="s">
        <v>2603</v>
      </c>
      <c r="C14105" s="11" t="s">
        <v>2604</v>
      </c>
    </row>
    <row r="14106" spans="1:4" ht="12.75" customHeight="1" x14ac:dyDescent="0.2">
      <c r="B14106" s="11" t="s">
        <v>2605</v>
      </c>
      <c r="C14106" s="11" t="s">
        <v>24</v>
      </c>
    </row>
    <row r="14107" spans="1:4" ht="12.75" customHeight="1" x14ac:dyDescent="0.2">
      <c r="B14107" s="11" t="s">
        <v>2606</v>
      </c>
      <c r="C14107" s="16" t="s">
        <v>44</v>
      </c>
      <c r="D14107" s="6" t="str">
        <f>HYPERLINK("javascript:void(0)","lexikon")</f>
        <v>lexikon</v>
      </c>
    </row>
    <row r="14108" spans="1:4" ht="12.75" customHeight="1" x14ac:dyDescent="0.2">
      <c r="B14108" s="2"/>
      <c r="C14108" s="15"/>
      <c r="D14108" s="2"/>
    </row>
    <row r="14109" spans="1:4" ht="12.75" customHeight="1" x14ac:dyDescent="0.2">
      <c r="B14109" s="2"/>
      <c r="C14109" s="15"/>
      <c r="D14109" s="2"/>
    </row>
    <row r="14110" spans="1:4" ht="12.75" customHeight="1" x14ac:dyDescent="0.2">
      <c r="A14110" s="13" t="s">
        <v>4833</v>
      </c>
      <c r="C14110" s="12"/>
    </row>
    <row r="14111" spans="1:4" ht="12.75" customHeight="1" x14ac:dyDescent="0.2">
      <c r="A14111" s="11"/>
      <c r="B14111" s="2"/>
      <c r="C14111" s="15"/>
      <c r="D14111" s="2"/>
    </row>
    <row r="14112" spans="1:4" ht="12.75" customHeight="1" x14ac:dyDescent="0.2">
      <c r="B14112" s="11" t="s">
        <v>0</v>
      </c>
      <c r="C14112" s="11" t="s">
        <v>790</v>
      </c>
    </row>
    <row r="14113" spans="1:4" ht="12.75" customHeight="1" x14ac:dyDescent="0.2">
      <c r="B14113" s="11" t="s">
        <v>2599</v>
      </c>
      <c r="C14113" s="11" t="s">
        <v>4834</v>
      </c>
    </row>
    <row r="14114" spans="1:4" ht="25.5" customHeight="1" x14ac:dyDescent="0.2">
      <c r="B14114" s="11" t="s">
        <v>2600</v>
      </c>
      <c r="C14114" s="11" t="s">
        <v>4835</v>
      </c>
    </row>
    <row r="14115" spans="1:4" ht="25.5" customHeight="1" x14ac:dyDescent="0.2">
      <c r="B14115" s="11" t="s">
        <v>2601</v>
      </c>
      <c r="C14115" s="11"/>
    </row>
    <row r="14116" spans="1:4" ht="12.75" customHeight="1" x14ac:dyDescent="0.2">
      <c r="B14116" s="11" t="s">
        <v>16</v>
      </c>
      <c r="C14116" s="11"/>
    </row>
    <row r="14117" spans="1:4" ht="12.75" customHeight="1" x14ac:dyDescent="0.2">
      <c r="B14117" s="11" t="s">
        <v>13</v>
      </c>
      <c r="C14117" s="11" t="s">
        <v>2644</v>
      </c>
    </row>
    <row r="14118" spans="1:4" ht="12.75" customHeight="1" x14ac:dyDescent="0.2">
      <c r="B14118" s="11" t="s">
        <v>2603</v>
      </c>
      <c r="C14118" s="11" t="s">
        <v>2604</v>
      </c>
    </row>
    <row r="14119" spans="1:4" ht="12.75" customHeight="1" x14ac:dyDescent="0.2">
      <c r="B14119" s="11" t="s">
        <v>2605</v>
      </c>
      <c r="C14119" s="11" t="s">
        <v>24</v>
      </c>
    </row>
    <row r="14120" spans="1:4" ht="12.75" customHeight="1" x14ac:dyDescent="0.2">
      <c r="B14120" s="11" t="s">
        <v>2606</v>
      </c>
      <c r="C14120" s="16" t="s">
        <v>44</v>
      </c>
      <c r="D14120" s="6" t="str">
        <f>HYPERLINK("javascript:void(0)","krokodilbőr")</f>
        <v>krokodilbőr</v>
      </c>
    </row>
    <row r="14121" spans="1:4" ht="25.5" customHeight="1" x14ac:dyDescent="0.2">
      <c r="C14121" s="16" t="s">
        <v>44</v>
      </c>
      <c r="D14121" s="6" t="str">
        <f>HYPERLINK("javascript:void(0)","démonzanza")</f>
        <v>démonzanza</v>
      </c>
    </row>
    <row r="14122" spans="1:4" ht="12.75" customHeight="1" x14ac:dyDescent="0.2">
      <c r="B14122" s="2"/>
      <c r="C14122" s="15"/>
      <c r="D14122" s="2"/>
    </row>
    <row r="14123" spans="1:4" ht="12.75" customHeight="1" x14ac:dyDescent="0.2">
      <c r="B14123" s="2"/>
      <c r="C14123" s="15"/>
      <c r="D14123" s="2"/>
    </row>
    <row r="14124" spans="1:4" ht="12.75" customHeight="1" x14ac:dyDescent="0.2">
      <c r="A14124" s="13" t="s">
        <v>4836</v>
      </c>
      <c r="C14124" s="12"/>
    </row>
    <row r="14125" spans="1:4" ht="12.75" customHeight="1" x14ac:dyDescent="0.2">
      <c r="A14125" s="11"/>
      <c r="B14125" s="2"/>
      <c r="C14125" s="15"/>
      <c r="D14125" s="2"/>
    </row>
    <row r="14126" spans="1:4" ht="12.75" customHeight="1" x14ac:dyDescent="0.2">
      <c r="B14126" s="11" t="s">
        <v>0</v>
      </c>
      <c r="C14126" s="11" t="s">
        <v>790</v>
      </c>
    </row>
    <row r="14127" spans="1:4" ht="12.75" customHeight="1" x14ac:dyDescent="0.2">
      <c r="B14127" s="11" t="s">
        <v>2599</v>
      </c>
      <c r="C14127" s="11" t="s">
        <v>4837</v>
      </c>
    </row>
    <row r="14128" spans="1:4" ht="25.5" customHeight="1" x14ac:dyDescent="0.2">
      <c r="B14128" s="11" t="s">
        <v>2600</v>
      </c>
      <c r="C14128" s="11" t="s">
        <v>4838</v>
      </c>
    </row>
    <row r="14129" spans="1:4" ht="25.5" customHeight="1" x14ac:dyDescent="0.2">
      <c r="B14129" s="11" t="s">
        <v>2601</v>
      </c>
      <c r="C14129" s="11"/>
    </row>
    <row r="14130" spans="1:4" ht="12.75" customHeight="1" x14ac:dyDescent="0.2">
      <c r="B14130" s="11" t="s">
        <v>16</v>
      </c>
      <c r="C14130" s="11"/>
    </row>
    <row r="14131" spans="1:4" ht="12.75" customHeight="1" x14ac:dyDescent="0.2">
      <c r="B14131" s="11" t="s">
        <v>13</v>
      </c>
      <c r="C14131" s="11" t="s">
        <v>2644</v>
      </c>
    </row>
    <row r="14132" spans="1:4" ht="12.75" customHeight="1" x14ac:dyDescent="0.2">
      <c r="B14132" s="11" t="s">
        <v>2603</v>
      </c>
      <c r="C14132" s="11" t="s">
        <v>2604</v>
      </c>
    </row>
    <row r="14133" spans="1:4" ht="12.75" customHeight="1" x14ac:dyDescent="0.2">
      <c r="B14133" s="11" t="s">
        <v>2605</v>
      </c>
      <c r="C14133" s="11" t="s">
        <v>14</v>
      </c>
    </row>
    <row r="14134" spans="1:4" ht="12.75" customHeight="1" x14ac:dyDescent="0.2">
      <c r="B14134" s="11" t="s">
        <v>2606</v>
      </c>
      <c r="C14134" s="16" t="s">
        <v>44</v>
      </c>
      <c r="D14134" s="6" t="str">
        <f>HYPERLINK("javascript:void(0)","wattacsomó")</f>
        <v>wattacsomó</v>
      </c>
    </row>
    <row r="14135" spans="1:4" ht="12.75" customHeight="1" x14ac:dyDescent="0.2">
      <c r="B14135" s="2"/>
      <c r="C14135" s="15"/>
      <c r="D14135" s="2"/>
    </row>
    <row r="14136" spans="1:4" ht="12.75" customHeight="1" x14ac:dyDescent="0.2">
      <c r="B14136" s="2"/>
      <c r="C14136" s="15"/>
      <c r="D14136" s="2"/>
    </row>
    <row r="14137" spans="1:4" ht="12.75" customHeight="1" x14ac:dyDescent="0.2">
      <c r="A14137" s="13" t="s">
        <v>4839</v>
      </c>
      <c r="C14137" s="12"/>
    </row>
    <row r="14138" spans="1:4" ht="12.75" customHeight="1" x14ac:dyDescent="0.2">
      <c r="A14138" s="11"/>
      <c r="B14138" s="2"/>
      <c r="C14138" s="15"/>
      <c r="D14138" s="2"/>
    </row>
    <row r="14139" spans="1:4" ht="12.75" customHeight="1" x14ac:dyDescent="0.2">
      <c r="B14139" s="11" t="s">
        <v>0</v>
      </c>
      <c r="C14139" s="11" t="s">
        <v>790</v>
      </c>
    </row>
    <row r="14140" spans="1:4" ht="12.75" customHeight="1" x14ac:dyDescent="0.2">
      <c r="B14140" s="11" t="s">
        <v>2599</v>
      </c>
      <c r="C14140" s="11" t="s">
        <v>4840</v>
      </c>
    </row>
    <row r="14141" spans="1:4" ht="25.5" customHeight="1" x14ac:dyDescent="0.2">
      <c r="B14141" s="11" t="s">
        <v>2600</v>
      </c>
      <c r="C14141" s="11" t="s">
        <v>4841</v>
      </c>
    </row>
    <row r="14142" spans="1:4" ht="25.5" customHeight="1" x14ac:dyDescent="0.2">
      <c r="B14142" s="11" t="s">
        <v>2601</v>
      </c>
      <c r="C14142" s="11"/>
    </row>
    <row r="14143" spans="1:4" ht="12.75" customHeight="1" x14ac:dyDescent="0.2">
      <c r="B14143" s="11" t="s">
        <v>16</v>
      </c>
      <c r="C14143" s="11"/>
    </row>
    <row r="14144" spans="1:4" ht="12.75" customHeight="1" x14ac:dyDescent="0.2">
      <c r="B14144" s="11" t="s">
        <v>13</v>
      </c>
      <c r="C14144" s="11" t="s">
        <v>2602</v>
      </c>
    </row>
    <row r="14145" spans="1:4" ht="12.75" customHeight="1" x14ac:dyDescent="0.2">
      <c r="B14145" s="11" t="s">
        <v>2603</v>
      </c>
      <c r="C14145" s="11" t="s">
        <v>2604</v>
      </c>
    </row>
    <row r="14146" spans="1:4" ht="12.75" customHeight="1" x14ac:dyDescent="0.2">
      <c r="B14146" s="11" t="s">
        <v>2605</v>
      </c>
      <c r="C14146" s="11" t="s">
        <v>14</v>
      </c>
    </row>
    <row r="14147" spans="1:4" ht="12.75" customHeight="1" x14ac:dyDescent="0.2">
      <c r="B14147" s="11" t="s">
        <v>2606</v>
      </c>
      <c r="C14147" s="16" t="s">
        <v>67</v>
      </c>
      <c r="D14147" s="6" t="str">
        <f>HYPERLINK("javascript:void(0)","kincs")</f>
        <v>kincs</v>
      </c>
    </row>
    <row r="14148" spans="1:4" ht="25.5" customHeight="1" x14ac:dyDescent="0.2">
      <c r="C14148" s="16" t="s">
        <v>55</v>
      </c>
      <c r="D14148" s="6" t="str">
        <f>HYPERLINK("javascript:void(0)","hörcsögagyar")</f>
        <v>hörcsögagyar</v>
      </c>
    </row>
    <row r="14149" spans="1:4" ht="12.75" customHeight="1" x14ac:dyDescent="0.2">
      <c r="B14149" s="2"/>
      <c r="C14149" s="15"/>
      <c r="D14149" s="2"/>
    </row>
    <row r="14150" spans="1:4" ht="12.75" customHeight="1" x14ac:dyDescent="0.2">
      <c r="B14150" s="2"/>
      <c r="C14150" s="15"/>
      <c r="D14150" s="2"/>
    </row>
    <row r="14151" spans="1:4" ht="12.75" customHeight="1" x14ac:dyDescent="0.2">
      <c r="A14151" s="13" t="s">
        <v>4842</v>
      </c>
      <c r="C14151" s="12"/>
    </row>
    <row r="14152" spans="1:4" ht="12.75" customHeight="1" x14ac:dyDescent="0.2">
      <c r="A14152" s="11"/>
      <c r="B14152" s="2"/>
      <c r="C14152" s="15"/>
      <c r="D14152" s="2"/>
    </row>
    <row r="14153" spans="1:4" ht="12.75" customHeight="1" x14ac:dyDescent="0.2">
      <c r="B14153" s="11" t="s">
        <v>0</v>
      </c>
      <c r="C14153" s="11" t="s">
        <v>790</v>
      </c>
    </row>
    <row r="14154" spans="1:4" ht="12.75" customHeight="1" x14ac:dyDescent="0.2">
      <c r="B14154" s="11" t="s">
        <v>2599</v>
      </c>
      <c r="C14154" s="11" t="s">
        <v>1914</v>
      </c>
    </row>
    <row r="14155" spans="1:4" ht="25.5" customHeight="1" x14ac:dyDescent="0.2">
      <c r="B14155" s="11" t="s">
        <v>2600</v>
      </c>
      <c r="C14155" s="11" t="s">
        <v>4843</v>
      </c>
    </row>
    <row r="14156" spans="1:4" ht="25.5" customHeight="1" x14ac:dyDescent="0.2">
      <c r="B14156" s="11" t="s">
        <v>2601</v>
      </c>
      <c r="C14156" s="11"/>
    </row>
    <row r="14157" spans="1:4" ht="12.75" customHeight="1" x14ac:dyDescent="0.2">
      <c r="B14157" s="11" t="s">
        <v>16</v>
      </c>
      <c r="C14157" s="11"/>
    </row>
    <row r="14158" spans="1:4" ht="12.75" customHeight="1" x14ac:dyDescent="0.2">
      <c r="B14158" s="11" t="s">
        <v>13</v>
      </c>
      <c r="C14158" s="11" t="s">
        <v>2644</v>
      </c>
    </row>
    <row r="14159" spans="1:4" ht="12.75" customHeight="1" x14ac:dyDescent="0.2">
      <c r="B14159" s="11" t="s">
        <v>2603</v>
      </c>
      <c r="C14159" s="11" t="s">
        <v>2604</v>
      </c>
    </row>
    <row r="14160" spans="1:4" ht="12.75" customHeight="1" x14ac:dyDescent="0.2">
      <c r="B14160" s="11" t="s">
        <v>2605</v>
      </c>
      <c r="C14160" s="11" t="s">
        <v>24</v>
      </c>
    </row>
    <row r="14161" spans="1:4" ht="12.75" customHeight="1" x14ac:dyDescent="0.2">
      <c r="B14161" s="11" t="s">
        <v>2606</v>
      </c>
      <c r="C14161" s="16" t="s">
        <v>55</v>
      </c>
      <c r="D14161" s="6" t="str">
        <f>HYPERLINK("javascript:void(0)","ámbra")</f>
        <v>ámbra</v>
      </c>
    </row>
    <row r="14162" spans="1:4" ht="12.75" customHeight="1" x14ac:dyDescent="0.2">
      <c r="B14162" s="2"/>
      <c r="C14162" s="15"/>
      <c r="D14162" s="2"/>
    </row>
    <row r="14163" spans="1:4" ht="12.75" customHeight="1" x14ac:dyDescent="0.2">
      <c r="B14163" s="2"/>
      <c r="C14163" s="15"/>
      <c r="D14163" s="2"/>
    </row>
    <row r="14164" spans="1:4" ht="12.75" customHeight="1" x14ac:dyDescent="0.2">
      <c r="A14164" s="13" t="s">
        <v>4845</v>
      </c>
      <c r="C14164" s="12"/>
    </row>
    <row r="14165" spans="1:4" ht="12.75" customHeight="1" x14ac:dyDescent="0.2">
      <c r="A14165" s="11"/>
      <c r="B14165" s="2"/>
      <c r="C14165" s="15"/>
      <c r="D14165" s="2"/>
    </row>
    <row r="14166" spans="1:4" ht="12.75" customHeight="1" x14ac:dyDescent="0.2">
      <c r="B14166" s="11" t="s">
        <v>0</v>
      </c>
      <c r="C14166" s="11" t="s">
        <v>790</v>
      </c>
    </row>
    <row r="14167" spans="1:4" ht="12.75" customHeight="1" x14ac:dyDescent="0.2">
      <c r="B14167" s="11" t="s">
        <v>2599</v>
      </c>
      <c r="C14167" s="11" t="s">
        <v>3245</v>
      </c>
    </row>
    <row r="14168" spans="1:4" ht="25.5" customHeight="1" x14ac:dyDescent="0.2">
      <c r="B14168" s="11" t="s">
        <v>2600</v>
      </c>
      <c r="C14168" s="11" t="s">
        <v>4846</v>
      </c>
    </row>
    <row r="14169" spans="1:4" ht="25.5" customHeight="1" x14ac:dyDescent="0.2">
      <c r="B14169" s="11" t="s">
        <v>2601</v>
      </c>
      <c r="C14169" s="11"/>
    </row>
    <row r="14170" spans="1:4" ht="12.75" customHeight="1" x14ac:dyDescent="0.2">
      <c r="B14170" s="11" t="s">
        <v>16</v>
      </c>
      <c r="C14170" s="11"/>
    </row>
    <row r="14171" spans="1:4" ht="12.75" customHeight="1" x14ac:dyDescent="0.2">
      <c r="B14171" s="11" t="s">
        <v>13</v>
      </c>
      <c r="C14171" s="11" t="s">
        <v>2644</v>
      </c>
    </row>
    <row r="14172" spans="1:4" ht="12.75" customHeight="1" x14ac:dyDescent="0.2">
      <c r="B14172" s="11" t="s">
        <v>2603</v>
      </c>
      <c r="C14172" s="11" t="s">
        <v>2604</v>
      </c>
    </row>
    <row r="14173" spans="1:4" ht="12.75" customHeight="1" x14ac:dyDescent="0.2">
      <c r="B14173" s="11" t="s">
        <v>2605</v>
      </c>
      <c r="C14173" s="11" t="s">
        <v>24</v>
      </c>
    </row>
    <row r="14174" spans="1:4" ht="12.75" customHeight="1" x14ac:dyDescent="0.2">
      <c r="B14174" s="11" t="s">
        <v>2606</v>
      </c>
      <c r="C14174" s="16" t="s">
        <v>132</v>
      </c>
      <c r="D14174" s="6" t="str">
        <f>HYPERLINK("javascript:void(0)","kincs")</f>
        <v>kincs</v>
      </c>
    </row>
    <row r="14175" spans="1:4" ht="12.75" customHeight="1" x14ac:dyDescent="0.2">
      <c r="B14175" s="2"/>
      <c r="C14175" s="15"/>
      <c r="D14175" s="2"/>
    </row>
    <row r="14176" spans="1:4" ht="12.75" customHeight="1" x14ac:dyDescent="0.2">
      <c r="B14176" s="2"/>
      <c r="C14176" s="15"/>
      <c r="D14176" s="2"/>
    </row>
    <row r="14177" spans="1:4" ht="12.75" customHeight="1" x14ac:dyDescent="0.2">
      <c r="A14177" s="13" t="s">
        <v>4847</v>
      </c>
      <c r="C14177" s="12"/>
    </row>
    <row r="14178" spans="1:4" ht="12.75" customHeight="1" x14ac:dyDescent="0.2">
      <c r="A14178" s="11"/>
      <c r="B14178" s="2"/>
      <c r="C14178" s="15"/>
      <c r="D14178" s="2"/>
    </row>
    <row r="14179" spans="1:4" ht="12.75" customHeight="1" x14ac:dyDescent="0.2">
      <c r="B14179" s="11" t="s">
        <v>0</v>
      </c>
      <c r="C14179" s="11" t="s">
        <v>790</v>
      </c>
    </row>
    <row r="14180" spans="1:4" ht="12.75" customHeight="1" x14ac:dyDescent="0.2">
      <c r="B14180" s="11" t="s">
        <v>2599</v>
      </c>
      <c r="C14180" s="11" t="s">
        <v>4848</v>
      </c>
    </row>
    <row r="14181" spans="1:4" ht="25.5" customHeight="1" x14ac:dyDescent="0.2">
      <c r="B14181" s="11" t="s">
        <v>2600</v>
      </c>
      <c r="C14181" s="11" t="s">
        <v>4849</v>
      </c>
    </row>
    <row r="14182" spans="1:4" ht="25.5" customHeight="1" x14ac:dyDescent="0.2">
      <c r="B14182" s="11" t="s">
        <v>2601</v>
      </c>
      <c r="C14182" s="11"/>
    </row>
    <row r="14183" spans="1:4" ht="12.75" customHeight="1" x14ac:dyDescent="0.2">
      <c r="B14183" s="11" t="s">
        <v>16</v>
      </c>
      <c r="C14183" s="11"/>
    </row>
    <row r="14184" spans="1:4" ht="12.75" customHeight="1" x14ac:dyDescent="0.2">
      <c r="B14184" s="11" t="s">
        <v>13</v>
      </c>
      <c r="C14184" s="11" t="s">
        <v>2602</v>
      </c>
    </row>
    <row r="14185" spans="1:4" ht="12.75" customHeight="1" x14ac:dyDescent="0.2">
      <c r="B14185" s="11" t="s">
        <v>2603</v>
      </c>
      <c r="C14185" s="11" t="s">
        <v>2604</v>
      </c>
    </row>
    <row r="14186" spans="1:4" ht="12.75" customHeight="1" x14ac:dyDescent="0.2">
      <c r="B14186" s="11" t="s">
        <v>2605</v>
      </c>
      <c r="C14186" s="11" t="s">
        <v>14</v>
      </c>
    </row>
    <row r="14187" spans="1:4" ht="25.5" customHeight="1" x14ac:dyDescent="0.2">
      <c r="B14187" s="11" t="s">
        <v>2606</v>
      </c>
      <c r="C14187" s="16" t="s">
        <v>44</v>
      </c>
      <c r="D14187" s="6" t="str">
        <f>HYPERLINK("javascript:void(0)","démonzanza")</f>
        <v>démonzanza</v>
      </c>
    </row>
    <row r="14188" spans="1:4" ht="12.75" customHeight="1" x14ac:dyDescent="0.2">
      <c r="B14188" s="2"/>
      <c r="C14188" s="15"/>
      <c r="D14188" s="2"/>
    </row>
    <row r="14189" spans="1:4" ht="12.75" customHeight="1" x14ac:dyDescent="0.2">
      <c r="B14189" s="2"/>
      <c r="C14189" s="15"/>
      <c r="D14189" s="2"/>
    </row>
    <row r="14190" spans="1:4" ht="12.75" customHeight="1" x14ac:dyDescent="0.2">
      <c r="A14190" s="13" t="s">
        <v>4850</v>
      </c>
      <c r="C14190" s="12"/>
      <c r="D14190" s="2"/>
    </row>
    <row r="14191" spans="1:4" ht="12.75" customHeight="1" x14ac:dyDescent="0.2">
      <c r="A14191" s="11"/>
      <c r="B14191" s="2"/>
      <c r="C14191" s="15"/>
      <c r="D14191" s="2"/>
    </row>
    <row r="14192" spans="1:4" ht="12.75" customHeight="1" x14ac:dyDescent="0.2">
      <c r="B14192" s="11" t="s">
        <v>0</v>
      </c>
      <c r="C14192" s="17" t="s">
        <v>790</v>
      </c>
      <c r="D14192" s="2"/>
    </row>
    <row r="14193" spans="1:4" ht="12.75" customHeight="1" x14ac:dyDescent="0.2">
      <c r="B14193" s="11" t="s">
        <v>2599</v>
      </c>
      <c r="C14193" s="17" t="s">
        <v>4851</v>
      </c>
      <c r="D14193" s="2"/>
    </row>
    <row r="14194" spans="1:4" ht="25.5" customHeight="1" x14ac:dyDescent="0.2">
      <c r="B14194" s="11" t="s">
        <v>2600</v>
      </c>
      <c r="C14194" s="17" t="s">
        <v>4852</v>
      </c>
      <c r="D14194" s="2"/>
    </row>
    <row r="14195" spans="1:4" ht="25.5" customHeight="1" x14ac:dyDescent="0.2">
      <c r="B14195" s="11" t="s">
        <v>2601</v>
      </c>
      <c r="C14195" s="17"/>
      <c r="D14195" s="2"/>
    </row>
    <row r="14196" spans="1:4" ht="12.75" customHeight="1" x14ac:dyDescent="0.2">
      <c r="B14196" s="11" t="s">
        <v>16</v>
      </c>
      <c r="C14196" s="17"/>
      <c r="D14196" s="2"/>
    </row>
    <row r="14197" spans="1:4" ht="12.75" customHeight="1" x14ac:dyDescent="0.2">
      <c r="B14197" s="11" t="s">
        <v>13</v>
      </c>
      <c r="C14197" s="17" t="s">
        <v>2644</v>
      </c>
      <c r="D14197" s="2"/>
    </row>
    <row r="14198" spans="1:4" ht="25.5" customHeight="1" x14ac:dyDescent="0.2">
      <c r="B14198" s="11" t="s">
        <v>2603</v>
      </c>
      <c r="C14198" s="17" t="s">
        <v>2971</v>
      </c>
      <c r="D14198" s="2"/>
    </row>
    <row r="14199" spans="1:4" ht="12.75" customHeight="1" x14ac:dyDescent="0.2">
      <c r="B14199" s="11" t="s">
        <v>2605</v>
      </c>
      <c r="C14199" s="17" t="s">
        <v>14</v>
      </c>
      <c r="D14199" s="2"/>
    </row>
    <row r="14200" spans="1:4" ht="12.75" customHeight="1" x14ac:dyDescent="0.2">
      <c r="B14200" s="11" t="s">
        <v>2606</v>
      </c>
      <c r="C14200" s="16" t="s">
        <v>19</v>
      </c>
      <c r="D14200" s="2"/>
    </row>
    <row r="14201" spans="1:4" ht="12.75" customHeight="1" x14ac:dyDescent="0.2">
      <c r="B14201" s="2"/>
      <c r="C14201" s="15"/>
      <c r="D14201" s="2"/>
    </row>
    <row r="14202" spans="1:4" ht="12.75" customHeight="1" x14ac:dyDescent="0.2">
      <c r="B14202" s="2"/>
      <c r="C14202" s="15"/>
      <c r="D14202" s="2"/>
    </row>
    <row r="14203" spans="1:4" ht="12.75" customHeight="1" x14ac:dyDescent="0.2">
      <c r="A14203" s="13" t="s">
        <v>4853</v>
      </c>
      <c r="C14203" s="12"/>
      <c r="D14203" s="2"/>
    </row>
    <row r="14204" spans="1:4" ht="12.75" customHeight="1" x14ac:dyDescent="0.2">
      <c r="A14204" s="11"/>
      <c r="B14204" s="2"/>
      <c r="C14204" s="15"/>
      <c r="D14204" s="2"/>
    </row>
    <row r="14205" spans="1:4" ht="12.75" customHeight="1" x14ac:dyDescent="0.2">
      <c r="B14205" s="11" t="s">
        <v>0</v>
      </c>
      <c r="C14205" s="17" t="s">
        <v>790</v>
      </c>
      <c r="D14205" s="2"/>
    </row>
    <row r="14206" spans="1:4" ht="12.75" customHeight="1" x14ac:dyDescent="0.2">
      <c r="B14206" s="11" t="s">
        <v>2599</v>
      </c>
      <c r="C14206" s="17" t="s">
        <v>3296</v>
      </c>
      <c r="D14206" s="2"/>
    </row>
    <row r="14207" spans="1:4" ht="25.5" customHeight="1" x14ac:dyDescent="0.2">
      <c r="B14207" s="11" t="s">
        <v>2600</v>
      </c>
      <c r="C14207" s="17" t="s">
        <v>4854</v>
      </c>
      <c r="D14207" s="2"/>
    </row>
    <row r="14208" spans="1:4" ht="25.5" customHeight="1" x14ac:dyDescent="0.2">
      <c r="B14208" s="11" t="s">
        <v>2601</v>
      </c>
      <c r="C14208" s="17"/>
      <c r="D14208" s="2"/>
    </row>
    <row r="14209" spans="1:4" ht="12.75" customHeight="1" x14ac:dyDescent="0.2">
      <c r="B14209" s="11" t="s">
        <v>16</v>
      </c>
      <c r="C14209" s="17"/>
      <c r="D14209" s="2"/>
    </row>
    <row r="14210" spans="1:4" ht="12.75" customHeight="1" x14ac:dyDescent="0.2">
      <c r="B14210" s="11" t="s">
        <v>13</v>
      </c>
      <c r="C14210" s="17" t="s">
        <v>2602</v>
      </c>
      <c r="D14210" s="2"/>
    </row>
    <row r="14211" spans="1:4" ht="25.5" customHeight="1" x14ac:dyDescent="0.2">
      <c r="B14211" s="11" t="s">
        <v>2603</v>
      </c>
      <c r="C14211" s="17" t="s">
        <v>2971</v>
      </c>
      <c r="D14211" s="2"/>
    </row>
    <row r="14212" spans="1:4" ht="12.75" customHeight="1" x14ac:dyDescent="0.2">
      <c r="B14212" s="11" t="s">
        <v>2605</v>
      </c>
      <c r="C14212" s="17" t="s">
        <v>14</v>
      </c>
      <c r="D14212" s="2"/>
    </row>
    <row r="14213" spans="1:4" ht="12.75" customHeight="1" x14ac:dyDescent="0.2">
      <c r="B14213" s="11" t="s">
        <v>2606</v>
      </c>
      <c r="C14213" s="16" t="s">
        <v>19</v>
      </c>
      <c r="D14213" s="2"/>
    </row>
    <row r="14214" spans="1:4" ht="12.75" customHeight="1" x14ac:dyDescent="0.2">
      <c r="B14214" s="2"/>
      <c r="C14214" s="15"/>
      <c r="D14214" s="2"/>
    </row>
    <row r="14215" spans="1:4" ht="12.75" customHeight="1" x14ac:dyDescent="0.2">
      <c r="B14215" s="2"/>
      <c r="C14215" s="15"/>
      <c r="D14215" s="2"/>
    </row>
    <row r="14216" spans="1:4" ht="12.75" customHeight="1" x14ac:dyDescent="0.2">
      <c r="A14216" s="13" t="s">
        <v>4822</v>
      </c>
      <c r="C14216" s="12"/>
      <c r="D14216" s="2"/>
    </row>
    <row r="14217" spans="1:4" ht="12.75" customHeight="1" x14ac:dyDescent="0.2">
      <c r="A14217" s="11"/>
      <c r="B14217" s="2"/>
      <c r="C14217" s="15"/>
      <c r="D14217" s="2"/>
    </row>
    <row r="14218" spans="1:4" ht="12.75" customHeight="1" x14ac:dyDescent="0.2">
      <c r="B14218" s="11" t="s">
        <v>0</v>
      </c>
      <c r="C14218" s="17" t="s">
        <v>83</v>
      </c>
      <c r="D14218" s="2"/>
    </row>
    <row r="14219" spans="1:4" ht="12.75" customHeight="1" x14ac:dyDescent="0.2">
      <c r="B14219" s="11" t="s">
        <v>2599</v>
      </c>
      <c r="C14219" s="17" t="s">
        <v>4823</v>
      </c>
      <c r="D14219" s="2"/>
    </row>
    <row r="14220" spans="1:4" ht="25.5" customHeight="1" x14ac:dyDescent="0.2">
      <c r="B14220" s="11" t="s">
        <v>2600</v>
      </c>
      <c r="C14220" s="17" t="s">
        <v>4855</v>
      </c>
      <c r="D14220" s="2"/>
    </row>
    <row r="14221" spans="1:4" ht="25.5" customHeight="1" x14ac:dyDescent="0.2">
      <c r="B14221" s="11" t="s">
        <v>2601</v>
      </c>
      <c r="C14221" s="17"/>
      <c r="D14221" s="2"/>
    </row>
    <row r="14222" spans="1:4" ht="12.75" customHeight="1" x14ac:dyDescent="0.2">
      <c r="B14222" s="11" t="s">
        <v>16</v>
      </c>
      <c r="C14222" s="17"/>
      <c r="D14222" s="2"/>
    </row>
    <row r="14223" spans="1:4" ht="12.75" customHeight="1" x14ac:dyDescent="0.2">
      <c r="B14223" s="11" t="s">
        <v>13</v>
      </c>
      <c r="C14223" s="17" t="s">
        <v>2644</v>
      </c>
      <c r="D14223" s="2"/>
    </row>
    <row r="14224" spans="1:4" ht="25.5" customHeight="1" x14ac:dyDescent="0.2">
      <c r="B14224" s="11" t="s">
        <v>2603</v>
      </c>
      <c r="C14224" s="17" t="s">
        <v>2971</v>
      </c>
      <c r="D14224" s="2"/>
    </row>
    <row r="14225" spans="1:4" ht="12.75" customHeight="1" x14ac:dyDescent="0.2">
      <c r="B14225" s="11" t="s">
        <v>2605</v>
      </c>
      <c r="C14225" s="17" t="s">
        <v>14</v>
      </c>
      <c r="D14225" s="2"/>
    </row>
    <row r="14226" spans="1:4" ht="12.75" customHeight="1" x14ac:dyDescent="0.2">
      <c r="B14226" s="11" t="s">
        <v>2606</v>
      </c>
      <c r="C14226" s="16" t="s">
        <v>19</v>
      </c>
      <c r="D14226" s="2"/>
    </row>
    <row r="14227" spans="1:4" ht="12.75" customHeight="1" x14ac:dyDescent="0.2">
      <c r="B14227" s="2"/>
      <c r="C14227" s="15"/>
      <c r="D14227" s="2"/>
    </row>
    <row r="14228" spans="1:4" ht="12.75" customHeight="1" x14ac:dyDescent="0.2">
      <c r="B14228" s="2"/>
      <c r="C14228" s="15"/>
      <c r="D14228" s="2"/>
    </row>
    <row r="14229" spans="1:4" ht="12.75" customHeight="1" x14ac:dyDescent="0.2">
      <c r="A14229" s="13" t="s">
        <v>4825</v>
      </c>
      <c r="C14229" s="12"/>
      <c r="D14229" s="2"/>
    </row>
    <row r="14230" spans="1:4" ht="12.75" customHeight="1" x14ac:dyDescent="0.2">
      <c r="A14230" s="11"/>
      <c r="B14230" s="2"/>
      <c r="C14230" s="15"/>
      <c r="D14230" s="2"/>
    </row>
    <row r="14231" spans="1:4" ht="12.75" customHeight="1" x14ac:dyDescent="0.2">
      <c r="B14231" s="11" t="s">
        <v>0</v>
      </c>
      <c r="C14231" s="17" t="s">
        <v>83</v>
      </c>
      <c r="D14231" s="2"/>
    </row>
    <row r="14232" spans="1:4" ht="12.75" customHeight="1" x14ac:dyDescent="0.2">
      <c r="B14232" s="11" t="s">
        <v>2599</v>
      </c>
      <c r="C14232" s="17" t="s">
        <v>4826</v>
      </c>
      <c r="D14232" s="2"/>
    </row>
    <row r="14233" spans="1:4" ht="25.5" customHeight="1" x14ac:dyDescent="0.2">
      <c r="B14233" s="11" t="s">
        <v>2600</v>
      </c>
      <c r="C14233" s="17" t="s">
        <v>4856</v>
      </c>
      <c r="D14233" s="2"/>
    </row>
    <row r="14234" spans="1:4" ht="25.5" customHeight="1" x14ac:dyDescent="0.2">
      <c r="B14234" s="11" t="s">
        <v>2601</v>
      </c>
      <c r="C14234" s="17"/>
      <c r="D14234" s="2"/>
    </row>
    <row r="14235" spans="1:4" ht="12.75" customHeight="1" x14ac:dyDescent="0.2">
      <c r="B14235" s="11" t="s">
        <v>16</v>
      </c>
      <c r="C14235" s="17"/>
      <c r="D14235" s="2"/>
    </row>
    <row r="14236" spans="1:4" ht="12.75" customHeight="1" x14ac:dyDescent="0.2">
      <c r="B14236" s="11" t="s">
        <v>13</v>
      </c>
      <c r="C14236" s="17" t="s">
        <v>2602</v>
      </c>
      <c r="D14236" s="2"/>
    </row>
    <row r="14237" spans="1:4" ht="25.5" customHeight="1" x14ac:dyDescent="0.2">
      <c r="B14237" s="11" t="s">
        <v>2603</v>
      </c>
      <c r="C14237" s="17" t="s">
        <v>2971</v>
      </c>
      <c r="D14237" s="2"/>
    </row>
    <row r="14238" spans="1:4" ht="12.75" customHeight="1" x14ac:dyDescent="0.2">
      <c r="B14238" s="11" t="s">
        <v>2605</v>
      </c>
      <c r="C14238" s="17" t="s">
        <v>14</v>
      </c>
      <c r="D14238" s="2"/>
    </row>
    <row r="14239" spans="1:4" ht="12.75" customHeight="1" x14ac:dyDescent="0.2">
      <c r="B14239" s="11" t="s">
        <v>2606</v>
      </c>
      <c r="C14239" s="16" t="s">
        <v>19</v>
      </c>
      <c r="D14239" s="2"/>
    </row>
    <row r="14240" spans="1:4" ht="12.75" customHeight="1" x14ac:dyDescent="0.2">
      <c r="B14240" s="2"/>
      <c r="C14240" s="15"/>
      <c r="D14240" s="2"/>
    </row>
    <row r="14241" spans="1:4" ht="12.75" customHeight="1" x14ac:dyDescent="0.2">
      <c r="B14241" s="2"/>
      <c r="C14241" s="15"/>
      <c r="D14241" s="2"/>
    </row>
    <row r="14242" spans="1:4" ht="12.75" customHeight="1" x14ac:dyDescent="0.2">
      <c r="A14242" s="13" t="s">
        <v>4857</v>
      </c>
      <c r="C14242" s="12"/>
    </row>
    <row r="14243" spans="1:4" ht="12.75" customHeight="1" x14ac:dyDescent="0.2">
      <c r="A14243" s="11"/>
      <c r="B14243" s="2"/>
      <c r="C14243" s="15"/>
      <c r="D14243" s="2"/>
    </row>
    <row r="14244" spans="1:4" ht="12.75" customHeight="1" x14ac:dyDescent="0.2">
      <c r="B14244" s="11" t="s">
        <v>0</v>
      </c>
      <c r="C14244" s="11" t="s">
        <v>83</v>
      </c>
    </row>
    <row r="14245" spans="1:4" ht="12.75" customHeight="1" x14ac:dyDescent="0.2">
      <c r="B14245" s="11" t="s">
        <v>2599</v>
      </c>
      <c r="C14245" s="11" t="s">
        <v>4858</v>
      </c>
    </row>
    <row r="14246" spans="1:4" ht="25.5" customHeight="1" x14ac:dyDescent="0.2">
      <c r="B14246" s="11" t="s">
        <v>2600</v>
      </c>
      <c r="C14246" s="11" t="s">
        <v>4859</v>
      </c>
    </row>
    <row r="14247" spans="1:4" ht="25.5" customHeight="1" x14ac:dyDescent="0.2">
      <c r="B14247" s="11" t="s">
        <v>2601</v>
      </c>
      <c r="C14247" s="11"/>
    </row>
    <row r="14248" spans="1:4" ht="12.75" customHeight="1" x14ac:dyDescent="0.2">
      <c r="B14248" s="11" t="s">
        <v>16</v>
      </c>
      <c r="C14248" s="11"/>
    </row>
    <row r="14249" spans="1:4" ht="12.75" customHeight="1" x14ac:dyDescent="0.2">
      <c r="B14249" s="11" t="s">
        <v>13</v>
      </c>
      <c r="C14249" s="11" t="s">
        <v>2644</v>
      </c>
    </row>
    <row r="14250" spans="1:4" ht="12.75" customHeight="1" x14ac:dyDescent="0.2">
      <c r="B14250" s="11" t="s">
        <v>2603</v>
      </c>
      <c r="C14250" s="11" t="s">
        <v>2604</v>
      </c>
    </row>
    <row r="14251" spans="1:4" ht="12.75" customHeight="1" x14ac:dyDescent="0.2">
      <c r="B14251" s="11" t="s">
        <v>2605</v>
      </c>
      <c r="C14251" s="11" t="s">
        <v>24</v>
      </c>
    </row>
    <row r="14252" spans="1:4" ht="12.75" customHeight="1" x14ac:dyDescent="0.2">
      <c r="B14252" s="11" t="s">
        <v>2606</v>
      </c>
      <c r="C14252" s="16" t="s">
        <v>139</v>
      </c>
      <c r="D14252" s="6" t="str">
        <f>HYPERLINK("javascript:void(0)","kincs")</f>
        <v>kincs</v>
      </c>
    </row>
    <row r="14253" spans="1:4" ht="25.5" customHeight="1" x14ac:dyDescent="0.2">
      <c r="C14253" s="16" t="s">
        <v>77</v>
      </c>
      <c r="D14253" s="6" t="str">
        <f>HYPERLINK("javascript:void(0)","hagymapikkely")</f>
        <v>hagymapikkely</v>
      </c>
    </row>
    <row r="14254" spans="1:4" ht="12.75" customHeight="1" x14ac:dyDescent="0.2">
      <c r="B14254" s="2"/>
      <c r="C14254" s="15"/>
      <c r="D14254" s="2"/>
    </row>
    <row r="14255" spans="1:4" ht="12.75" customHeight="1" x14ac:dyDescent="0.2">
      <c r="B14255" s="2"/>
      <c r="C14255" s="15"/>
      <c r="D14255" s="2"/>
    </row>
    <row r="14256" spans="1:4" ht="12.75" customHeight="1" x14ac:dyDescent="0.2">
      <c r="A14256" s="13" t="s">
        <v>4860</v>
      </c>
      <c r="C14256" s="12"/>
    </row>
    <row r="14257" spans="1:4" ht="12.75" customHeight="1" x14ac:dyDescent="0.2">
      <c r="A14257" s="11"/>
      <c r="B14257" s="2"/>
      <c r="C14257" s="15"/>
      <c r="D14257" s="2"/>
    </row>
    <row r="14258" spans="1:4" ht="12.75" customHeight="1" x14ac:dyDescent="0.2">
      <c r="B14258" s="11" t="s">
        <v>0</v>
      </c>
      <c r="C14258" s="11" t="s">
        <v>83</v>
      </c>
    </row>
    <row r="14259" spans="1:4" ht="12.75" customHeight="1" x14ac:dyDescent="0.2">
      <c r="B14259" s="11" t="s">
        <v>2599</v>
      </c>
      <c r="C14259" s="11" t="s">
        <v>4861</v>
      </c>
    </row>
    <row r="14260" spans="1:4" ht="25.5" customHeight="1" x14ac:dyDescent="0.2">
      <c r="B14260" s="11" t="s">
        <v>2600</v>
      </c>
      <c r="C14260" s="11" t="s">
        <v>4862</v>
      </c>
    </row>
    <row r="14261" spans="1:4" ht="25.5" customHeight="1" x14ac:dyDescent="0.2">
      <c r="B14261" s="11" t="s">
        <v>2601</v>
      </c>
      <c r="C14261" s="11"/>
    </row>
    <row r="14262" spans="1:4" ht="12.75" customHeight="1" x14ac:dyDescent="0.2">
      <c r="B14262" s="11" t="s">
        <v>16</v>
      </c>
      <c r="C14262" s="11"/>
    </row>
    <row r="14263" spans="1:4" ht="12.75" customHeight="1" x14ac:dyDescent="0.2">
      <c r="B14263" s="11" t="s">
        <v>13</v>
      </c>
      <c r="C14263" s="11" t="s">
        <v>2602</v>
      </c>
    </row>
    <row r="14264" spans="1:4" ht="12.75" customHeight="1" x14ac:dyDescent="0.2">
      <c r="B14264" s="11" t="s">
        <v>2603</v>
      </c>
      <c r="C14264" s="11" t="s">
        <v>2604</v>
      </c>
    </row>
    <row r="14265" spans="1:4" ht="12.75" customHeight="1" x14ac:dyDescent="0.2">
      <c r="B14265" s="11" t="s">
        <v>2605</v>
      </c>
      <c r="C14265" s="11" t="s">
        <v>24</v>
      </c>
    </row>
    <row r="14266" spans="1:4" ht="12.75" customHeight="1" x14ac:dyDescent="0.2">
      <c r="B14266" s="11" t="s">
        <v>2606</v>
      </c>
      <c r="C14266" s="16" t="s">
        <v>269</v>
      </c>
      <c r="D14266" s="6" t="str">
        <f>HYPERLINK("javascript:void(0)","kincs")</f>
        <v>kincs</v>
      </c>
    </row>
    <row r="14267" spans="1:4" ht="12.75" customHeight="1" x14ac:dyDescent="0.2">
      <c r="B14267" s="2"/>
      <c r="C14267" s="15"/>
      <c r="D14267" s="2"/>
    </row>
    <row r="14268" spans="1:4" ht="12.75" customHeight="1" x14ac:dyDescent="0.2">
      <c r="B14268" s="2"/>
      <c r="C14268" s="15"/>
      <c r="D14268" s="2"/>
    </row>
    <row r="14269" spans="1:4" ht="12.75" customHeight="1" x14ac:dyDescent="0.2">
      <c r="A14269" s="13" t="s">
        <v>4863</v>
      </c>
      <c r="C14269" s="12"/>
    </row>
    <row r="14270" spans="1:4" ht="12.75" customHeight="1" x14ac:dyDescent="0.2">
      <c r="A14270" s="11"/>
      <c r="B14270" s="2"/>
      <c r="C14270" s="15"/>
      <c r="D14270" s="2"/>
    </row>
    <row r="14271" spans="1:4" ht="12.75" customHeight="1" x14ac:dyDescent="0.2">
      <c r="B14271" s="11" t="s">
        <v>0</v>
      </c>
      <c r="C14271" s="11" t="s">
        <v>83</v>
      </c>
    </row>
    <row r="14272" spans="1:4" ht="12.75" customHeight="1" x14ac:dyDescent="0.2">
      <c r="B14272" s="11" t="s">
        <v>2599</v>
      </c>
      <c r="C14272" s="11" t="s">
        <v>4864</v>
      </c>
    </row>
    <row r="14273" spans="1:4" ht="25.5" customHeight="1" x14ac:dyDescent="0.2">
      <c r="B14273" s="11" t="s">
        <v>2600</v>
      </c>
      <c r="C14273" s="11" t="s">
        <v>4865</v>
      </c>
    </row>
    <row r="14274" spans="1:4" ht="25.5" customHeight="1" x14ac:dyDescent="0.2">
      <c r="B14274" s="11" t="s">
        <v>2601</v>
      </c>
      <c r="C14274" s="11"/>
    </row>
    <row r="14275" spans="1:4" ht="12.75" customHeight="1" x14ac:dyDescent="0.2">
      <c r="B14275" s="11" t="s">
        <v>16</v>
      </c>
      <c r="C14275" s="11"/>
    </row>
    <row r="14276" spans="1:4" ht="12.75" customHeight="1" x14ac:dyDescent="0.2">
      <c r="B14276" s="11" t="s">
        <v>13</v>
      </c>
      <c r="C14276" s="11" t="s">
        <v>2602</v>
      </c>
    </row>
    <row r="14277" spans="1:4" ht="12.75" customHeight="1" x14ac:dyDescent="0.2">
      <c r="B14277" s="11" t="s">
        <v>2603</v>
      </c>
      <c r="C14277" s="11" t="s">
        <v>2604</v>
      </c>
    </row>
    <row r="14278" spans="1:4" ht="12.75" customHeight="1" x14ac:dyDescent="0.2">
      <c r="B14278" s="11" t="s">
        <v>2605</v>
      </c>
      <c r="C14278" s="11" t="s">
        <v>14</v>
      </c>
    </row>
    <row r="14279" spans="1:4" ht="12.75" customHeight="1" x14ac:dyDescent="0.2">
      <c r="B14279" s="11" t="s">
        <v>2606</v>
      </c>
      <c r="C14279" s="16" t="s">
        <v>265</v>
      </c>
      <c r="D14279" s="6" t="str">
        <f>HYPERLINK("javascript:void(0)","kincs")</f>
        <v>kincs</v>
      </c>
    </row>
    <row r="14280" spans="1:4" ht="12.75" customHeight="1" x14ac:dyDescent="0.2">
      <c r="B14280" s="2"/>
      <c r="C14280" s="15"/>
      <c r="D14280" s="2"/>
    </row>
    <row r="14281" spans="1:4" ht="12.75" customHeight="1" x14ac:dyDescent="0.2">
      <c r="B14281" s="2"/>
      <c r="C14281" s="15"/>
      <c r="D14281" s="2"/>
    </row>
    <row r="14282" spans="1:4" ht="12.75" customHeight="1" x14ac:dyDescent="0.2">
      <c r="A14282" s="13" t="s">
        <v>4866</v>
      </c>
      <c r="C14282" s="12"/>
    </row>
    <row r="14283" spans="1:4" ht="12.75" customHeight="1" x14ac:dyDescent="0.2">
      <c r="A14283" s="11"/>
      <c r="B14283" s="2"/>
      <c r="C14283" s="15"/>
      <c r="D14283" s="2"/>
    </row>
    <row r="14284" spans="1:4" ht="12.75" customHeight="1" x14ac:dyDescent="0.2">
      <c r="B14284" s="11" t="s">
        <v>0</v>
      </c>
      <c r="C14284" s="11" t="s">
        <v>83</v>
      </c>
    </row>
    <row r="14285" spans="1:4" ht="12.75" customHeight="1" x14ac:dyDescent="0.2">
      <c r="B14285" s="11" t="s">
        <v>2599</v>
      </c>
      <c r="C14285" s="11" t="s">
        <v>4867</v>
      </c>
    </row>
    <row r="14286" spans="1:4" ht="25.5" customHeight="1" x14ac:dyDescent="0.2">
      <c r="B14286" s="11" t="s">
        <v>2600</v>
      </c>
      <c r="C14286" s="11" t="s">
        <v>4868</v>
      </c>
    </row>
    <row r="14287" spans="1:4" ht="25.5" customHeight="1" x14ac:dyDescent="0.2">
      <c r="B14287" s="11" t="s">
        <v>2601</v>
      </c>
      <c r="C14287" s="11"/>
    </row>
    <row r="14288" spans="1:4" ht="12.75" customHeight="1" x14ac:dyDescent="0.2">
      <c r="B14288" s="11" t="s">
        <v>16</v>
      </c>
      <c r="C14288" s="11"/>
    </row>
    <row r="14289" spans="1:4" ht="12.75" customHeight="1" x14ac:dyDescent="0.2">
      <c r="B14289" s="11" t="s">
        <v>13</v>
      </c>
      <c r="C14289" s="11" t="s">
        <v>2602</v>
      </c>
    </row>
    <row r="14290" spans="1:4" ht="12.75" customHeight="1" x14ac:dyDescent="0.2">
      <c r="B14290" s="11" t="s">
        <v>2603</v>
      </c>
      <c r="C14290" s="11" t="s">
        <v>2604</v>
      </c>
    </row>
    <row r="14291" spans="1:4" ht="12.75" customHeight="1" x14ac:dyDescent="0.2">
      <c r="B14291" s="11" t="s">
        <v>2605</v>
      </c>
      <c r="C14291" s="11" t="s">
        <v>14</v>
      </c>
    </row>
    <row r="14292" spans="1:4" ht="12.75" customHeight="1" x14ac:dyDescent="0.2">
      <c r="B14292" s="11" t="s">
        <v>2606</v>
      </c>
      <c r="C14292" s="16" t="s">
        <v>44</v>
      </c>
      <c r="D14292" s="6" t="str">
        <f>HYPERLINK("javascript:void(0)","rúna")</f>
        <v>rúna</v>
      </c>
    </row>
    <row r="14293" spans="1:4" ht="12.75" customHeight="1" x14ac:dyDescent="0.2">
      <c r="B14293" s="2"/>
      <c r="C14293" s="15"/>
      <c r="D14293" s="2"/>
    </row>
    <row r="14294" spans="1:4" ht="12.75" customHeight="1" x14ac:dyDescent="0.2">
      <c r="B14294" s="2"/>
      <c r="C14294" s="15"/>
      <c r="D14294" s="2"/>
    </row>
    <row r="14295" spans="1:4" ht="12.75" customHeight="1" x14ac:dyDescent="0.2">
      <c r="A14295" s="13" t="s">
        <v>4869</v>
      </c>
      <c r="C14295" s="12"/>
    </row>
    <row r="14296" spans="1:4" ht="12.75" customHeight="1" x14ac:dyDescent="0.2">
      <c r="A14296" s="11"/>
      <c r="B14296" s="2"/>
      <c r="C14296" s="15"/>
      <c r="D14296" s="2"/>
    </row>
    <row r="14297" spans="1:4" ht="12.75" customHeight="1" x14ac:dyDescent="0.2">
      <c r="B14297" s="11" t="s">
        <v>0</v>
      </c>
      <c r="C14297" s="11" t="s">
        <v>83</v>
      </c>
    </row>
    <row r="14298" spans="1:4" ht="12.75" customHeight="1" x14ac:dyDescent="0.2">
      <c r="B14298" s="11" t="s">
        <v>2599</v>
      </c>
      <c r="C14298" s="11" t="s">
        <v>4870</v>
      </c>
    </row>
    <row r="14299" spans="1:4" ht="25.5" customHeight="1" x14ac:dyDescent="0.2">
      <c r="B14299" s="11" t="s">
        <v>2600</v>
      </c>
      <c r="C14299" s="11" t="s">
        <v>4871</v>
      </c>
    </row>
    <row r="14300" spans="1:4" ht="25.5" customHeight="1" x14ac:dyDescent="0.2">
      <c r="B14300" s="11" t="s">
        <v>2601</v>
      </c>
      <c r="C14300" s="11"/>
    </row>
    <row r="14301" spans="1:4" ht="12.75" customHeight="1" x14ac:dyDescent="0.2">
      <c r="B14301" s="11" t="s">
        <v>16</v>
      </c>
      <c r="C14301" s="11"/>
    </row>
    <row r="14302" spans="1:4" ht="12.75" customHeight="1" x14ac:dyDescent="0.2">
      <c r="B14302" s="11" t="s">
        <v>13</v>
      </c>
      <c r="C14302" s="11" t="s">
        <v>2644</v>
      </c>
    </row>
    <row r="14303" spans="1:4" ht="12.75" customHeight="1" x14ac:dyDescent="0.2">
      <c r="B14303" s="11" t="s">
        <v>2603</v>
      </c>
      <c r="C14303" s="11" t="s">
        <v>2604</v>
      </c>
    </row>
    <row r="14304" spans="1:4" ht="12.75" customHeight="1" x14ac:dyDescent="0.2">
      <c r="B14304" s="11" t="s">
        <v>2605</v>
      </c>
      <c r="C14304" s="11" t="s">
        <v>24</v>
      </c>
    </row>
    <row r="14305" spans="1:4" ht="25.5" customHeight="1" x14ac:dyDescent="0.2">
      <c r="B14305" s="11" t="s">
        <v>2606</v>
      </c>
      <c r="C14305" s="16" t="s">
        <v>56</v>
      </c>
      <c r="D14305" s="6" t="str">
        <f>HYPERLINK("javascript:void(0)","sárkánykarom")</f>
        <v>sárkánykarom</v>
      </c>
    </row>
    <row r="14306" spans="1:4" ht="12.75" customHeight="1" x14ac:dyDescent="0.2">
      <c r="C14306" s="16" t="s">
        <v>77</v>
      </c>
      <c r="D14306" s="6" t="str">
        <f>HYPERLINK("javascript:void(0)","kincs")</f>
        <v>kincs</v>
      </c>
    </row>
    <row r="14307" spans="1:4" ht="25.5" customHeight="1" x14ac:dyDescent="0.2">
      <c r="C14307" s="16" t="s">
        <v>44</v>
      </c>
      <c r="D14307" s="6" t="str">
        <f>HYPERLINK("javascript:void(0)","sárkányzsák")</f>
        <v>sárkányzsák</v>
      </c>
    </row>
    <row r="14308" spans="1:4" ht="12.75" customHeight="1" x14ac:dyDescent="0.2">
      <c r="B14308" s="2"/>
      <c r="C14308" s="15"/>
      <c r="D14308" s="2"/>
    </row>
    <row r="14309" spans="1:4" ht="12.75" customHeight="1" x14ac:dyDescent="0.2">
      <c r="B14309" s="2"/>
      <c r="C14309" s="15"/>
      <c r="D14309" s="2"/>
    </row>
    <row r="14310" spans="1:4" ht="12.75" customHeight="1" x14ac:dyDescent="0.2">
      <c r="A14310" s="13" t="s">
        <v>4872</v>
      </c>
      <c r="C14310" s="12"/>
    </row>
    <row r="14311" spans="1:4" ht="12.75" customHeight="1" x14ac:dyDescent="0.2">
      <c r="A14311" s="11"/>
      <c r="B14311" s="2"/>
      <c r="C14311" s="15"/>
      <c r="D14311" s="2"/>
    </row>
    <row r="14312" spans="1:4" ht="12.75" customHeight="1" x14ac:dyDescent="0.2">
      <c r="B14312" s="11" t="s">
        <v>0</v>
      </c>
      <c r="C14312" s="11" t="s">
        <v>83</v>
      </c>
    </row>
    <row r="14313" spans="1:4" ht="12.75" customHeight="1" x14ac:dyDescent="0.2">
      <c r="B14313" s="11" t="s">
        <v>2599</v>
      </c>
      <c r="C14313" s="11" t="s">
        <v>4873</v>
      </c>
    </row>
    <row r="14314" spans="1:4" ht="25.5" customHeight="1" x14ac:dyDescent="0.2">
      <c r="B14314" s="11" t="s">
        <v>2600</v>
      </c>
      <c r="C14314" s="11" t="s">
        <v>4874</v>
      </c>
    </row>
    <row r="14315" spans="1:4" ht="25.5" customHeight="1" x14ac:dyDescent="0.2">
      <c r="B14315" s="11" t="s">
        <v>2601</v>
      </c>
      <c r="C14315" s="11"/>
    </row>
    <row r="14316" spans="1:4" ht="12.75" customHeight="1" x14ac:dyDescent="0.2">
      <c r="B14316" s="11" t="s">
        <v>16</v>
      </c>
      <c r="C14316" s="11"/>
    </row>
    <row r="14317" spans="1:4" ht="12.75" customHeight="1" x14ac:dyDescent="0.2">
      <c r="B14317" s="11" t="s">
        <v>13</v>
      </c>
      <c r="C14317" s="11" t="s">
        <v>2644</v>
      </c>
    </row>
    <row r="14318" spans="1:4" ht="12.75" customHeight="1" x14ac:dyDescent="0.2">
      <c r="B14318" s="11" t="s">
        <v>2603</v>
      </c>
      <c r="C14318" s="11" t="s">
        <v>2604</v>
      </c>
    </row>
    <row r="14319" spans="1:4" ht="12.75" customHeight="1" x14ac:dyDescent="0.2">
      <c r="B14319" s="11" t="s">
        <v>2605</v>
      </c>
      <c r="C14319" s="11" t="s">
        <v>14</v>
      </c>
    </row>
    <row r="14320" spans="1:4" ht="12.75" customHeight="1" x14ac:dyDescent="0.2">
      <c r="B14320" s="11" t="s">
        <v>2606</v>
      </c>
      <c r="C14320" s="16" t="s">
        <v>44</v>
      </c>
      <c r="D14320" s="6" t="str">
        <f>HYPERLINK("javascript:void(0)","krokodilbőr")</f>
        <v>krokodilbőr</v>
      </c>
    </row>
    <row r="14321" spans="1:4" ht="25.5" customHeight="1" x14ac:dyDescent="0.2">
      <c r="C14321" s="16" t="s">
        <v>44</v>
      </c>
      <c r="D14321" s="6" t="str">
        <f>HYPERLINK("javascript:void(0)","szent szimbólum")</f>
        <v>szent szimbólum</v>
      </c>
    </row>
    <row r="14322" spans="1:4" ht="12.75" customHeight="1" x14ac:dyDescent="0.2">
      <c r="B14322" s="2"/>
      <c r="C14322" s="15"/>
      <c r="D14322" s="2"/>
    </row>
    <row r="14323" spans="1:4" ht="12.75" customHeight="1" x14ac:dyDescent="0.2">
      <c r="B14323" s="2"/>
      <c r="C14323" s="15"/>
      <c r="D14323" s="2"/>
    </row>
    <row r="14324" spans="1:4" ht="12.75" customHeight="1" x14ac:dyDescent="0.2">
      <c r="A14324" s="13" t="s">
        <v>4875</v>
      </c>
      <c r="C14324" s="12"/>
    </row>
    <row r="14325" spans="1:4" ht="12.75" customHeight="1" x14ac:dyDescent="0.2">
      <c r="A14325" s="11"/>
      <c r="B14325" s="2"/>
      <c r="C14325" s="15"/>
      <c r="D14325" s="2"/>
    </row>
    <row r="14326" spans="1:4" ht="12.75" customHeight="1" x14ac:dyDescent="0.2">
      <c r="B14326" s="11" t="s">
        <v>0</v>
      </c>
      <c r="C14326" s="11" t="s">
        <v>83</v>
      </c>
    </row>
    <row r="14327" spans="1:4" ht="12.75" customHeight="1" x14ac:dyDescent="0.2">
      <c r="B14327" s="11" t="s">
        <v>2599</v>
      </c>
      <c r="C14327" s="11" t="s">
        <v>4876</v>
      </c>
    </row>
    <row r="14328" spans="1:4" ht="25.5" customHeight="1" x14ac:dyDescent="0.2">
      <c r="B14328" s="11" t="s">
        <v>2600</v>
      </c>
      <c r="C14328" s="11" t="s">
        <v>4877</v>
      </c>
    </row>
    <row r="14329" spans="1:4" ht="25.5" customHeight="1" x14ac:dyDescent="0.2">
      <c r="B14329" s="11" t="s">
        <v>2601</v>
      </c>
      <c r="C14329" s="11"/>
    </row>
    <row r="14330" spans="1:4" ht="12.75" customHeight="1" x14ac:dyDescent="0.2">
      <c r="B14330" s="11" t="s">
        <v>16</v>
      </c>
      <c r="C14330" s="11"/>
    </row>
    <row r="14331" spans="1:4" ht="12.75" customHeight="1" x14ac:dyDescent="0.2">
      <c r="B14331" s="11" t="s">
        <v>13</v>
      </c>
      <c r="C14331" s="11" t="s">
        <v>2602</v>
      </c>
    </row>
    <row r="14332" spans="1:4" ht="12.75" customHeight="1" x14ac:dyDescent="0.2">
      <c r="B14332" s="11" t="s">
        <v>2603</v>
      </c>
      <c r="C14332" s="11" t="s">
        <v>2604</v>
      </c>
    </row>
    <row r="14333" spans="1:4" ht="12.75" customHeight="1" x14ac:dyDescent="0.2">
      <c r="B14333" s="11" t="s">
        <v>2605</v>
      </c>
      <c r="C14333" s="11" t="s">
        <v>24</v>
      </c>
    </row>
    <row r="14334" spans="1:4" ht="12.75" customHeight="1" x14ac:dyDescent="0.2">
      <c r="B14334" s="11" t="s">
        <v>2606</v>
      </c>
      <c r="C14334" s="16" t="s">
        <v>139</v>
      </c>
      <c r="D14334" s="6" t="str">
        <f>HYPERLINK("javascript:void(0)","kincs")</f>
        <v>kincs</v>
      </c>
    </row>
    <row r="14335" spans="1:4" ht="12.75" customHeight="1" x14ac:dyDescent="0.2">
      <c r="B14335" s="2"/>
      <c r="C14335" s="15"/>
      <c r="D14335" s="2"/>
    </row>
    <row r="14336" spans="1:4" ht="12.75" customHeight="1" x14ac:dyDescent="0.2">
      <c r="B14336" s="2"/>
      <c r="C14336" s="15"/>
      <c r="D14336" s="2"/>
    </row>
    <row r="14337" spans="1:4" ht="12.75" customHeight="1" x14ac:dyDescent="0.2">
      <c r="A14337" s="13" t="s">
        <v>4878</v>
      </c>
      <c r="C14337" s="12"/>
    </row>
    <row r="14338" spans="1:4" ht="12.75" customHeight="1" x14ac:dyDescent="0.2">
      <c r="A14338" s="11"/>
      <c r="B14338" s="2"/>
      <c r="C14338" s="15"/>
      <c r="D14338" s="2"/>
    </row>
    <row r="14339" spans="1:4" ht="12.75" customHeight="1" x14ac:dyDescent="0.2">
      <c r="B14339" s="11" t="s">
        <v>0</v>
      </c>
      <c r="C14339" s="11" t="s">
        <v>83</v>
      </c>
    </row>
    <row r="14340" spans="1:4" ht="12.75" customHeight="1" x14ac:dyDescent="0.2">
      <c r="B14340" s="11" t="s">
        <v>2599</v>
      </c>
      <c r="C14340" s="11" t="s">
        <v>2500</v>
      </c>
    </row>
    <row r="14341" spans="1:4" ht="25.5" customHeight="1" x14ac:dyDescent="0.2">
      <c r="B14341" s="11" t="s">
        <v>2600</v>
      </c>
      <c r="C14341" s="11" t="s">
        <v>4879</v>
      </c>
    </row>
    <row r="14342" spans="1:4" ht="25.5" customHeight="1" x14ac:dyDescent="0.2">
      <c r="B14342" s="11" t="s">
        <v>2601</v>
      </c>
      <c r="C14342" s="11"/>
    </row>
    <row r="14343" spans="1:4" ht="12.75" customHeight="1" x14ac:dyDescent="0.2">
      <c r="B14343" s="11" t="s">
        <v>16</v>
      </c>
      <c r="C14343" s="11"/>
    </row>
    <row r="14344" spans="1:4" ht="12.75" customHeight="1" x14ac:dyDescent="0.2">
      <c r="B14344" s="11" t="s">
        <v>13</v>
      </c>
      <c r="C14344" s="11" t="s">
        <v>2644</v>
      </c>
    </row>
    <row r="14345" spans="1:4" ht="12.75" customHeight="1" x14ac:dyDescent="0.2">
      <c r="B14345" s="11" t="s">
        <v>2603</v>
      </c>
      <c r="C14345" s="11" t="s">
        <v>2604</v>
      </c>
    </row>
    <row r="14346" spans="1:4" ht="12.75" customHeight="1" x14ac:dyDescent="0.2">
      <c r="B14346" s="11" t="s">
        <v>2605</v>
      </c>
      <c r="C14346" s="11" t="s">
        <v>14</v>
      </c>
    </row>
    <row r="14347" spans="1:4" ht="12.75" customHeight="1" x14ac:dyDescent="0.2">
      <c r="B14347" s="11" t="s">
        <v>2606</v>
      </c>
      <c r="C14347" s="16" t="s">
        <v>98</v>
      </c>
      <c r="D14347" s="6" t="str">
        <f>HYPERLINK("javascript:void(0)","kincs")</f>
        <v>kincs</v>
      </c>
    </row>
    <row r="14348" spans="1:4" ht="12.75" customHeight="1" x14ac:dyDescent="0.2">
      <c r="B14348" s="2"/>
      <c r="C14348" s="15"/>
      <c r="D14348" s="2"/>
    </row>
    <row r="14349" spans="1:4" ht="12.75" customHeight="1" x14ac:dyDescent="0.2">
      <c r="B14349" s="2"/>
      <c r="C14349" s="15"/>
      <c r="D14349" s="2"/>
    </row>
    <row r="14350" spans="1:4" ht="12.75" customHeight="1" x14ac:dyDescent="0.2">
      <c r="A14350" s="13" t="s">
        <v>4850</v>
      </c>
      <c r="C14350" s="12"/>
      <c r="D14350" s="2"/>
    </row>
    <row r="14351" spans="1:4" ht="12.75" customHeight="1" x14ac:dyDescent="0.2">
      <c r="A14351" s="11"/>
      <c r="B14351" s="2"/>
      <c r="C14351" s="15"/>
      <c r="D14351" s="2"/>
    </row>
    <row r="14352" spans="1:4" ht="12.75" customHeight="1" x14ac:dyDescent="0.2">
      <c r="B14352" s="11" t="s">
        <v>0</v>
      </c>
      <c r="C14352" s="17" t="s">
        <v>83</v>
      </c>
      <c r="D14352" s="2"/>
    </row>
    <row r="14353" spans="1:4" ht="12.75" customHeight="1" x14ac:dyDescent="0.2">
      <c r="B14353" s="11" t="s">
        <v>2599</v>
      </c>
      <c r="C14353" s="17" t="s">
        <v>4851</v>
      </c>
      <c r="D14353" s="2"/>
    </row>
    <row r="14354" spans="1:4" ht="25.5" customHeight="1" x14ac:dyDescent="0.2">
      <c r="B14354" s="11" t="s">
        <v>2600</v>
      </c>
      <c r="C14354" s="17" t="s">
        <v>4880</v>
      </c>
      <c r="D14354" s="2"/>
    </row>
    <row r="14355" spans="1:4" ht="25.5" customHeight="1" x14ac:dyDescent="0.2">
      <c r="B14355" s="11" t="s">
        <v>2601</v>
      </c>
      <c r="C14355" s="17"/>
      <c r="D14355" s="2"/>
    </row>
    <row r="14356" spans="1:4" ht="12.75" customHeight="1" x14ac:dyDescent="0.2">
      <c r="B14356" s="11" t="s">
        <v>16</v>
      </c>
      <c r="C14356" s="17"/>
      <c r="D14356" s="2"/>
    </row>
    <row r="14357" spans="1:4" ht="12.75" customHeight="1" x14ac:dyDescent="0.2">
      <c r="B14357" s="11" t="s">
        <v>13</v>
      </c>
      <c r="C14357" s="17" t="s">
        <v>2644</v>
      </c>
      <c r="D14357" s="2"/>
    </row>
    <row r="14358" spans="1:4" ht="25.5" customHeight="1" x14ac:dyDescent="0.2">
      <c r="B14358" s="11" t="s">
        <v>2603</v>
      </c>
      <c r="C14358" s="17" t="s">
        <v>2971</v>
      </c>
      <c r="D14358" s="2"/>
    </row>
    <row r="14359" spans="1:4" ht="12.75" customHeight="1" x14ac:dyDescent="0.2">
      <c r="B14359" s="11" t="s">
        <v>2605</v>
      </c>
      <c r="C14359" s="17" t="s">
        <v>14</v>
      </c>
      <c r="D14359" s="2"/>
    </row>
    <row r="14360" spans="1:4" ht="12.75" customHeight="1" x14ac:dyDescent="0.2">
      <c r="B14360" s="11" t="s">
        <v>2606</v>
      </c>
      <c r="C14360" s="16" t="s">
        <v>19</v>
      </c>
      <c r="D14360" s="2"/>
    </row>
    <row r="14361" spans="1:4" ht="12.75" customHeight="1" x14ac:dyDescent="0.2">
      <c r="B14361" s="2"/>
      <c r="C14361" s="15"/>
      <c r="D14361" s="2"/>
    </row>
    <row r="14362" spans="1:4" ht="12.75" customHeight="1" x14ac:dyDescent="0.2">
      <c r="B14362" s="2"/>
      <c r="C14362" s="15"/>
      <c r="D14362" s="2"/>
    </row>
    <row r="14363" spans="1:4" ht="12.75" customHeight="1" x14ac:dyDescent="0.2">
      <c r="A14363" s="13" t="s">
        <v>4853</v>
      </c>
      <c r="C14363" s="12"/>
      <c r="D14363" s="2"/>
    </row>
    <row r="14364" spans="1:4" ht="12.75" customHeight="1" x14ac:dyDescent="0.2">
      <c r="A14364" s="11"/>
      <c r="B14364" s="2"/>
      <c r="C14364" s="15"/>
      <c r="D14364" s="2"/>
    </row>
    <row r="14365" spans="1:4" ht="12.75" customHeight="1" x14ac:dyDescent="0.2">
      <c r="B14365" s="11" t="s">
        <v>0</v>
      </c>
      <c r="C14365" s="17" t="s">
        <v>83</v>
      </c>
      <c r="D14365" s="2"/>
    </row>
    <row r="14366" spans="1:4" ht="12.75" customHeight="1" x14ac:dyDescent="0.2">
      <c r="B14366" s="11" t="s">
        <v>2599</v>
      </c>
      <c r="C14366" s="17" t="s">
        <v>3296</v>
      </c>
      <c r="D14366" s="2"/>
    </row>
    <row r="14367" spans="1:4" ht="25.5" customHeight="1" x14ac:dyDescent="0.2">
      <c r="B14367" s="11" t="s">
        <v>2600</v>
      </c>
      <c r="C14367" s="17" t="s">
        <v>4881</v>
      </c>
      <c r="D14367" s="2"/>
    </row>
    <row r="14368" spans="1:4" ht="25.5" customHeight="1" x14ac:dyDescent="0.2">
      <c r="B14368" s="11" t="s">
        <v>2601</v>
      </c>
      <c r="C14368" s="17"/>
      <c r="D14368" s="2"/>
    </row>
    <row r="14369" spans="1:4" ht="12.75" customHeight="1" x14ac:dyDescent="0.2">
      <c r="B14369" s="11" t="s">
        <v>16</v>
      </c>
      <c r="C14369" s="17"/>
      <c r="D14369" s="2"/>
    </row>
    <row r="14370" spans="1:4" ht="12.75" customHeight="1" x14ac:dyDescent="0.2">
      <c r="B14370" s="11" t="s">
        <v>13</v>
      </c>
      <c r="C14370" s="17" t="s">
        <v>2602</v>
      </c>
      <c r="D14370" s="2"/>
    </row>
    <row r="14371" spans="1:4" ht="25.5" customHeight="1" x14ac:dyDescent="0.2">
      <c r="B14371" s="11" t="s">
        <v>2603</v>
      </c>
      <c r="C14371" s="17" t="s">
        <v>2971</v>
      </c>
      <c r="D14371" s="2"/>
    </row>
    <row r="14372" spans="1:4" ht="12.75" customHeight="1" x14ac:dyDescent="0.2">
      <c r="B14372" s="11" t="s">
        <v>2605</v>
      </c>
      <c r="C14372" s="17" t="s">
        <v>14</v>
      </c>
      <c r="D14372" s="2"/>
    </row>
    <row r="14373" spans="1:4" ht="12.75" customHeight="1" x14ac:dyDescent="0.2">
      <c r="B14373" s="11" t="s">
        <v>2606</v>
      </c>
      <c r="C14373" s="16" t="s">
        <v>19</v>
      </c>
      <c r="D14373" s="2"/>
    </row>
    <row r="14374" spans="1:4" ht="12.75" customHeight="1" x14ac:dyDescent="0.2">
      <c r="B14374" s="2"/>
      <c r="C14374" s="15"/>
      <c r="D14374" s="2"/>
    </row>
    <row r="14375" spans="1:4" ht="12.75" customHeight="1" x14ac:dyDescent="0.2">
      <c r="B14375" s="2"/>
      <c r="C14375" s="15"/>
      <c r="D14375" s="2"/>
    </row>
    <row r="14376" spans="1:4" ht="12.75" customHeight="1" x14ac:dyDescent="0.2">
      <c r="A14376" s="13" t="s">
        <v>4822</v>
      </c>
      <c r="C14376" s="12"/>
      <c r="D14376" s="2"/>
    </row>
    <row r="14377" spans="1:4" ht="12.75" customHeight="1" x14ac:dyDescent="0.2">
      <c r="A14377" s="11"/>
      <c r="B14377" s="2"/>
      <c r="C14377" s="15"/>
      <c r="D14377" s="2"/>
    </row>
    <row r="14378" spans="1:4" ht="12.75" customHeight="1" x14ac:dyDescent="0.2">
      <c r="B14378" s="11" t="s">
        <v>0</v>
      </c>
      <c r="C14378" s="17" t="s">
        <v>302</v>
      </c>
      <c r="D14378" s="2"/>
    </row>
    <row r="14379" spans="1:4" ht="12.75" customHeight="1" x14ac:dyDescent="0.2">
      <c r="B14379" s="11" t="s">
        <v>2599</v>
      </c>
      <c r="C14379" s="17" t="s">
        <v>4823</v>
      </c>
      <c r="D14379" s="2"/>
    </row>
    <row r="14380" spans="1:4" ht="25.5" customHeight="1" x14ac:dyDescent="0.2">
      <c r="B14380" s="11" t="s">
        <v>2600</v>
      </c>
      <c r="C14380" s="17" t="s">
        <v>4882</v>
      </c>
      <c r="D14380" s="2"/>
    </row>
    <row r="14381" spans="1:4" ht="25.5" customHeight="1" x14ac:dyDescent="0.2">
      <c r="B14381" s="11" t="s">
        <v>2601</v>
      </c>
      <c r="C14381" s="17"/>
      <c r="D14381" s="2"/>
    </row>
    <row r="14382" spans="1:4" ht="12.75" customHeight="1" x14ac:dyDescent="0.2">
      <c r="B14382" s="11" t="s">
        <v>16</v>
      </c>
      <c r="C14382" s="17"/>
      <c r="D14382" s="2"/>
    </row>
    <row r="14383" spans="1:4" ht="12.75" customHeight="1" x14ac:dyDescent="0.2">
      <c r="B14383" s="11" t="s">
        <v>13</v>
      </c>
      <c r="C14383" s="17" t="s">
        <v>2644</v>
      </c>
      <c r="D14383" s="2"/>
    </row>
    <row r="14384" spans="1:4" ht="25.5" customHeight="1" x14ac:dyDescent="0.2">
      <c r="B14384" s="11" t="s">
        <v>2603</v>
      </c>
      <c r="C14384" s="17" t="s">
        <v>2971</v>
      </c>
      <c r="D14384" s="2"/>
    </row>
    <row r="14385" spans="1:4" ht="12.75" customHeight="1" x14ac:dyDescent="0.2">
      <c r="B14385" s="11" t="s">
        <v>2605</v>
      </c>
      <c r="C14385" s="17" t="s">
        <v>14</v>
      </c>
      <c r="D14385" s="2"/>
    </row>
    <row r="14386" spans="1:4" ht="12.75" customHeight="1" x14ac:dyDescent="0.2">
      <c r="B14386" s="11" t="s">
        <v>2606</v>
      </c>
      <c r="C14386" s="16" t="s">
        <v>19</v>
      </c>
      <c r="D14386" s="2"/>
    </row>
    <row r="14387" spans="1:4" ht="12.75" customHeight="1" x14ac:dyDescent="0.2">
      <c r="B14387" s="2"/>
      <c r="C14387" s="15"/>
      <c r="D14387" s="2"/>
    </row>
    <row r="14388" spans="1:4" ht="12.75" customHeight="1" x14ac:dyDescent="0.2">
      <c r="B14388" s="2"/>
      <c r="C14388" s="15"/>
      <c r="D14388" s="2"/>
    </row>
    <row r="14389" spans="1:4" ht="12.75" customHeight="1" x14ac:dyDescent="0.2">
      <c r="A14389" s="13" t="s">
        <v>4825</v>
      </c>
      <c r="C14389" s="12"/>
      <c r="D14389" s="2"/>
    </row>
    <row r="14390" spans="1:4" ht="12.75" customHeight="1" x14ac:dyDescent="0.2">
      <c r="A14390" s="11"/>
      <c r="B14390" s="2"/>
      <c r="C14390" s="15"/>
      <c r="D14390" s="2"/>
    </row>
    <row r="14391" spans="1:4" ht="12.75" customHeight="1" x14ac:dyDescent="0.2">
      <c r="B14391" s="11" t="s">
        <v>0</v>
      </c>
      <c r="C14391" s="17" t="s">
        <v>302</v>
      </c>
      <c r="D14391" s="2"/>
    </row>
    <row r="14392" spans="1:4" ht="12.75" customHeight="1" x14ac:dyDescent="0.2">
      <c r="B14392" s="11" t="s">
        <v>2599</v>
      </c>
      <c r="C14392" s="17" t="s">
        <v>4826</v>
      </c>
      <c r="D14392" s="2"/>
    </row>
    <row r="14393" spans="1:4" ht="25.5" customHeight="1" x14ac:dyDescent="0.2">
      <c r="B14393" s="11" t="s">
        <v>2600</v>
      </c>
      <c r="C14393" s="17" t="s">
        <v>4883</v>
      </c>
      <c r="D14393" s="2"/>
    </row>
    <row r="14394" spans="1:4" ht="25.5" customHeight="1" x14ac:dyDescent="0.2">
      <c r="B14394" s="11" t="s">
        <v>2601</v>
      </c>
      <c r="C14394" s="17"/>
      <c r="D14394" s="2"/>
    </row>
    <row r="14395" spans="1:4" ht="12.75" customHeight="1" x14ac:dyDescent="0.2">
      <c r="B14395" s="11" t="s">
        <v>16</v>
      </c>
      <c r="C14395" s="17"/>
      <c r="D14395" s="2"/>
    </row>
    <row r="14396" spans="1:4" ht="12.75" customHeight="1" x14ac:dyDescent="0.2">
      <c r="B14396" s="11" t="s">
        <v>13</v>
      </c>
      <c r="C14396" s="17" t="s">
        <v>2602</v>
      </c>
      <c r="D14396" s="2"/>
    </row>
    <row r="14397" spans="1:4" ht="25.5" customHeight="1" x14ac:dyDescent="0.2">
      <c r="B14397" s="11" t="s">
        <v>2603</v>
      </c>
      <c r="C14397" s="17" t="s">
        <v>2971</v>
      </c>
      <c r="D14397" s="2"/>
    </row>
    <row r="14398" spans="1:4" ht="12.75" customHeight="1" x14ac:dyDescent="0.2">
      <c r="B14398" s="11" t="s">
        <v>2605</v>
      </c>
      <c r="C14398" s="17" t="s">
        <v>14</v>
      </c>
      <c r="D14398" s="2"/>
    </row>
    <row r="14399" spans="1:4" ht="12.75" customHeight="1" x14ac:dyDescent="0.2">
      <c r="B14399" s="11" t="s">
        <v>2606</v>
      </c>
      <c r="C14399" s="16" t="s">
        <v>19</v>
      </c>
      <c r="D14399" s="2"/>
    </row>
    <row r="14400" spans="1:4" ht="12.75" customHeight="1" x14ac:dyDescent="0.2">
      <c r="B14400" s="2"/>
      <c r="C14400" s="15"/>
      <c r="D14400" s="2"/>
    </row>
    <row r="14401" spans="1:4" ht="12.75" customHeight="1" x14ac:dyDescent="0.2">
      <c r="B14401" s="2"/>
      <c r="C14401" s="15"/>
      <c r="D14401" s="2"/>
    </row>
    <row r="14402" spans="1:4" ht="12.75" customHeight="1" x14ac:dyDescent="0.2">
      <c r="A14402" s="13" t="s">
        <v>4884</v>
      </c>
      <c r="C14402" s="12"/>
    </row>
    <row r="14403" spans="1:4" ht="12.75" customHeight="1" x14ac:dyDescent="0.2">
      <c r="A14403" s="11"/>
      <c r="B14403" s="2"/>
      <c r="C14403" s="15"/>
      <c r="D14403" s="2"/>
    </row>
    <row r="14404" spans="1:4" ht="12.75" customHeight="1" x14ac:dyDescent="0.2">
      <c r="B14404" s="11" t="s">
        <v>0</v>
      </c>
      <c r="C14404" s="11" t="s">
        <v>302</v>
      </c>
    </row>
    <row r="14405" spans="1:4" ht="12.75" customHeight="1" x14ac:dyDescent="0.2">
      <c r="B14405" s="11" t="s">
        <v>2599</v>
      </c>
      <c r="C14405" s="11" t="s">
        <v>4885</v>
      </c>
    </row>
    <row r="14406" spans="1:4" ht="25.5" customHeight="1" x14ac:dyDescent="0.2">
      <c r="B14406" s="11" t="s">
        <v>2600</v>
      </c>
      <c r="C14406" s="11" t="s">
        <v>4886</v>
      </c>
    </row>
    <row r="14407" spans="1:4" ht="25.5" customHeight="1" x14ac:dyDescent="0.2">
      <c r="B14407" s="11" t="s">
        <v>2601</v>
      </c>
      <c r="C14407" s="11"/>
    </row>
    <row r="14408" spans="1:4" ht="12.75" customHeight="1" x14ac:dyDescent="0.2">
      <c r="B14408" s="11" t="s">
        <v>16</v>
      </c>
      <c r="C14408" s="11"/>
    </row>
    <row r="14409" spans="1:4" ht="12.75" customHeight="1" x14ac:dyDescent="0.2">
      <c r="B14409" s="11" t="s">
        <v>13</v>
      </c>
      <c r="C14409" s="11" t="s">
        <v>2644</v>
      </c>
    </row>
    <row r="14410" spans="1:4" ht="12.75" customHeight="1" x14ac:dyDescent="0.2">
      <c r="B14410" s="11" t="s">
        <v>2603</v>
      </c>
      <c r="C14410" s="11" t="s">
        <v>2604</v>
      </c>
    </row>
    <row r="14411" spans="1:4" ht="12.75" customHeight="1" x14ac:dyDescent="0.2">
      <c r="B14411" s="11" t="s">
        <v>2605</v>
      </c>
      <c r="C14411" s="11" t="s">
        <v>14</v>
      </c>
    </row>
    <row r="14412" spans="1:4" ht="12.75" customHeight="1" x14ac:dyDescent="0.2">
      <c r="B14412" s="11" t="s">
        <v>2606</v>
      </c>
      <c r="C14412" s="16" t="s">
        <v>772</v>
      </c>
      <c r="D14412" s="6" t="str">
        <f>HYPERLINK("javascript:void(0)","kincs")</f>
        <v>kincs</v>
      </c>
    </row>
    <row r="14413" spans="1:4" ht="12.75" customHeight="1" x14ac:dyDescent="0.2">
      <c r="B14413" s="2"/>
      <c r="C14413" s="15"/>
      <c r="D14413" s="2"/>
    </row>
    <row r="14414" spans="1:4" ht="12.75" customHeight="1" x14ac:dyDescent="0.2">
      <c r="B14414" s="2"/>
      <c r="C14414" s="15"/>
      <c r="D14414" s="2"/>
    </row>
    <row r="14415" spans="1:4" ht="12.75" customHeight="1" x14ac:dyDescent="0.2">
      <c r="A14415" s="13" t="s">
        <v>4887</v>
      </c>
      <c r="C14415" s="12"/>
    </row>
    <row r="14416" spans="1:4" ht="12.75" customHeight="1" x14ac:dyDescent="0.2">
      <c r="A14416" s="11"/>
      <c r="B14416" s="2"/>
      <c r="C14416" s="15"/>
      <c r="D14416" s="2"/>
    </row>
    <row r="14417" spans="1:4" ht="12.75" customHeight="1" x14ac:dyDescent="0.2">
      <c r="B14417" s="11" t="s">
        <v>0</v>
      </c>
      <c r="C14417" s="11" t="s">
        <v>302</v>
      </c>
    </row>
    <row r="14418" spans="1:4" ht="12.75" customHeight="1" x14ac:dyDescent="0.2">
      <c r="B14418" s="11" t="s">
        <v>2599</v>
      </c>
      <c r="C14418" s="11" t="s">
        <v>4888</v>
      </c>
    </row>
    <row r="14419" spans="1:4" ht="25.5" customHeight="1" x14ac:dyDescent="0.2">
      <c r="B14419" s="11" t="s">
        <v>2600</v>
      </c>
      <c r="C14419" s="11" t="s">
        <v>4889</v>
      </c>
    </row>
    <row r="14420" spans="1:4" ht="25.5" customHeight="1" x14ac:dyDescent="0.2">
      <c r="B14420" s="11" t="s">
        <v>2601</v>
      </c>
      <c r="C14420" s="11"/>
    </row>
    <row r="14421" spans="1:4" ht="12.75" customHeight="1" x14ac:dyDescent="0.2">
      <c r="B14421" s="11" t="s">
        <v>16</v>
      </c>
      <c r="C14421" s="11"/>
    </row>
    <row r="14422" spans="1:4" ht="12.75" customHeight="1" x14ac:dyDescent="0.2">
      <c r="B14422" s="11" t="s">
        <v>13</v>
      </c>
      <c r="C14422" s="11" t="s">
        <v>2602</v>
      </c>
    </row>
    <row r="14423" spans="1:4" ht="12.75" customHeight="1" x14ac:dyDescent="0.2">
      <c r="B14423" s="11" t="s">
        <v>2603</v>
      </c>
      <c r="C14423" s="11" t="s">
        <v>2604</v>
      </c>
    </row>
    <row r="14424" spans="1:4" ht="12.75" customHeight="1" x14ac:dyDescent="0.2">
      <c r="B14424" s="11" t="s">
        <v>2605</v>
      </c>
      <c r="C14424" s="11" t="s">
        <v>24</v>
      </c>
    </row>
    <row r="14425" spans="1:4" ht="12.75" customHeight="1" x14ac:dyDescent="0.2">
      <c r="B14425" s="11" t="s">
        <v>2606</v>
      </c>
      <c r="C14425" s="16" t="s">
        <v>55</v>
      </c>
      <c r="D14425" s="6" t="str">
        <f>HYPERLINK("javascript:void(0)","gyémánt")</f>
        <v>gyémánt</v>
      </c>
    </row>
    <row r="14426" spans="1:4" ht="25.5" customHeight="1" x14ac:dyDescent="0.2">
      <c r="C14426" s="16" t="s">
        <v>56</v>
      </c>
      <c r="D14426" s="6" t="str">
        <f>HYPERLINK("javascript:void(0)","szén-hidragén")</f>
        <v>szén-hidragén</v>
      </c>
    </row>
    <row r="14427" spans="1:4" ht="12.75" customHeight="1" x14ac:dyDescent="0.2">
      <c r="C14427" s="16" t="s">
        <v>44</v>
      </c>
      <c r="D14427" s="6" t="str">
        <f>HYPERLINK("javascript:void(0)","gránitrög")</f>
        <v>gránitrög</v>
      </c>
    </row>
    <row r="14428" spans="1:4" ht="12.75" customHeight="1" x14ac:dyDescent="0.2">
      <c r="C14428" s="16" t="s">
        <v>331</v>
      </c>
      <c r="D14428" s="6" t="str">
        <f>HYPERLINK("javascript:void(0)","kincs")</f>
        <v>kincs</v>
      </c>
    </row>
    <row r="14429" spans="1:4" ht="12.75" customHeight="1" x14ac:dyDescent="0.2">
      <c r="B14429" s="2"/>
      <c r="C14429" s="15"/>
      <c r="D14429" s="2"/>
    </row>
    <row r="14430" spans="1:4" ht="12.75" customHeight="1" x14ac:dyDescent="0.2">
      <c r="B14430" s="2"/>
      <c r="C14430" s="15"/>
      <c r="D14430" s="2"/>
    </row>
    <row r="14431" spans="1:4" ht="12.75" customHeight="1" x14ac:dyDescent="0.2">
      <c r="A14431" s="13" t="s">
        <v>4890</v>
      </c>
      <c r="C14431" s="12"/>
    </row>
    <row r="14432" spans="1:4" ht="12.75" customHeight="1" x14ac:dyDescent="0.2">
      <c r="A14432" s="11"/>
      <c r="B14432" s="2"/>
      <c r="C14432" s="15"/>
      <c r="D14432" s="2"/>
    </row>
    <row r="14433" spans="1:4" ht="12.75" customHeight="1" x14ac:dyDescent="0.2">
      <c r="B14433" s="11" t="s">
        <v>0</v>
      </c>
      <c r="C14433" s="11" t="s">
        <v>302</v>
      </c>
    </row>
    <row r="14434" spans="1:4" ht="12.75" customHeight="1" x14ac:dyDescent="0.2">
      <c r="B14434" s="11" t="s">
        <v>2599</v>
      </c>
      <c r="C14434" s="11" t="s">
        <v>4891</v>
      </c>
    </row>
    <row r="14435" spans="1:4" ht="25.5" customHeight="1" x14ac:dyDescent="0.2">
      <c r="B14435" s="11" t="s">
        <v>2600</v>
      </c>
      <c r="C14435" s="11" t="s">
        <v>4892</v>
      </c>
    </row>
    <row r="14436" spans="1:4" ht="25.5" customHeight="1" x14ac:dyDescent="0.2">
      <c r="B14436" s="11" t="s">
        <v>2601</v>
      </c>
      <c r="C14436" s="11"/>
    </row>
    <row r="14437" spans="1:4" ht="12.75" customHeight="1" x14ac:dyDescent="0.2">
      <c r="B14437" s="11" t="s">
        <v>16</v>
      </c>
      <c r="C14437" s="11"/>
    </row>
    <row r="14438" spans="1:4" ht="12.75" customHeight="1" x14ac:dyDescent="0.2">
      <c r="B14438" s="11" t="s">
        <v>13</v>
      </c>
      <c r="C14438" s="11" t="s">
        <v>2602</v>
      </c>
    </row>
    <row r="14439" spans="1:4" ht="12.75" customHeight="1" x14ac:dyDescent="0.2">
      <c r="B14439" s="11" t="s">
        <v>2603</v>
      </c>
      <c r="C14439" s="11" t="s">
        <v>2604</v>
      </c>
    </row>
    <row r="14440" spans="1:4" ht="12.75" customHeight="1" x14ac:dyDescent="0.2">
      <c r="B14440" s="11" t="s">
        <v>2605</v>
      </c>
      <c r="C14440" s="11" t="s">
        <v>14</v>
      </c>
    </row>
    <row r="14441" spans="1:4" ht="12.75" customHeight="1" x14ac:dyDescent="0.2">
      <c r="B14441" s="11" t="s">
        <v>2606</v>
      </c>
      <c r="C14441" s="16" t="s">
        <v>56</v>
      </c>
      <c r="D14441" s="6" t="str">
        <f>HYPERLINK("javascript:void(0)","kincs")</f>
        <v>kincs</v>
      </c>
    </row>
    <row r="14442" spans="1:4" ht="12.75" customHeight="1" x14ac:dyDescent="0.2">
      <c r="C14442" s="16" t="s">
        <v>106</v>
      </c>
      <c r="D14442" s="6" t="str">
        <f>HYPERLINK("javascript:void(0)","madártoll")</f>
        <v>madártoll</v>
      </c>
    </row>
    <row r="14443" spans="1:4" ht="12.75" customHeight="1" x14ac:dyDescent="0.2">
      <c r="C14443" s="16" t="s">
        <v>57</v>
      </c>
      <c r="D14443" s="6" t="str">
        <f>HYPERLINK("javascript:void(0)","kispárna")</f>
        <v>kispárna</v>
      </c>
    </row>
    <row r="14444" spans="1:4" ht="12.75" customHeight="1" x14ac:dyDescent="0.2">
      <c r="B14444" s="2"/>
      <c r="C14444" s="15"/>
      <c r="D14444" s="2"/>
    </row>
    <row r="14445" spans="1:4" ht="12.75" customHeight="1" x14ac:dyDescent="0.2">
      <c r="B14445" s="2"/>
      <c r="C14445" s="15"/>
      <c r="D14445" s="2"/>
    </row>
    <row r="14446" spans="1:4" ht="12.75" customHeight="1" x14ac:dyDescent="0.2">
      <c r="A14446" s="13" t="s">
        <v>4893</v>
      </c>
      <c r="C14446" s="12"/>
    </row>
    <row r="14447" spans="1:4" ht="12.75" customHeight="1" x14ac:dyDescent="0.2">
      <c r="A14447" s="11"/>
      <c r="B14447" s="2"/>
      <c r="C14447" s="15"/>
      <c r="D14447" s="2"/>
    </row>
    <row r="14448" spans="1:4" ht="12.75" customHeight="1" x14ac:dyDescent="0.2">
      <c r="B14448" s="11" t="s">
        <v>0</v>
      </c>
      <c r="C14448" s="11" t="s">
        <v>302</v>
      </c>
    </row>
    <row r="14449" spans="1:4" ht="12.75" customHeight="1" x14ac:dyDescent="0.2">
      <c r="B14449" s="11" t="s">
        <v>2599</v>
      </c>
      <c r="C14449" s="11" t="s">
        <v>2814</v>
      </c>
    </row>
    <row r="14450" spans="1:4" ht="25.5" customHeight="1" x14ac:dyDescent="0.2">
      <c r="B14450" s="11" t="s">
        <v>2600</v>
      </c>
      <c r="C14450" s="11" t="s">
        <v>4894</v>
      </c>
    </row>
    <row r="14451" spans="1:4" ht="25.5" customHeight="1" x14ac:dyDescent="0.2">
      <c r="B14451" s="11" t="s">
        <v>2601</v>
      </c>
      <c r="C14451" s="11"/>
    </row>
    <row r="14452" spans="1:4" ht="12.75" customHeight="1" x14ac:dyDescent="0.2">
      <c r="B14452" s="11" t="s">
        <v>16</v>
      </c>
      <c r="C14452" s="11"/>
    </row>
    <row r="14453" spans="1:4" ht="12.75" customHeight="1" x14ac:dyDescent="0.2">
      <c r="B14453" s="11" t="s">
        <v>13</v>
      </c>
      <c r="C14453" s="11" t="s">
        <v>2644</v>
      </c>
    </row>
    <row r="14454" spans="1:4" ht="12.75" customHeight="1" x14ac:dyDescent="0.2">
      <c r="B14454" s="11" t="s">
        <v>2603</v>
      </c>
      <c r="C14454" s="11" t="s">
        <v>2604</v>
      </c>
    </row>
    <row r="14455" spans="1:4" ht="12.75" customHeight="1" x14ac:dyDescent="0.2">
      <c r="B14455" s="11" t="s">
        <v>2605</v>
      </c>
      <c r="C14455" s="11" t="s">
        <v>24</v>
      </c>
    </row>
    <row r="14456" spans="1:4" ht="25.5" customHeight="1" x14ac:dyDescent="0.2">
      <c r="B14456" s="11" t="s">
        <v>2606</v>
      </c>
      <c r="C14456" s="16" t="s">
        <v>44</v>
      </c>
      <c r="D14456" s="6" t="str">
        <f>HYPERLINK("javascript:void(0)","szent szimbólum")</f>
        <v>szent szimbólum</v>
      </c>
    </row>
    <row r="14457" spans="1:4" ht="12.75" customHeight="1" x14ac:dyDescent="0.2">
      <c r="C14457" s="16" t="s">
        <v>44</v>
      </c>
      <c r="D14457" s="6" t="str">
        <f>HYPERLINK("javascript:void(0)","éjfény")</f>
        <v>éjfény</v>
      </c>
    </row>
    <row r="14458" spans="1:4" ht="12.75" customHeight="1" x14ac:dyDescent="0.2">
      <c r="C14458" s="16" t="s">
        <v>77</v>
      </c>
      <c r="D14458" s="6" t="str">
        <f>HYPERLINK("javascript:void(0)","kincs")</f>
        <v>kincs</v>
      </c>
    </row>
    <row r="14459" spans="1:4" ht="12.75" customHeight="1" x14ac:dyDescent="0.2">
      <c r="B14459" s="2"/>
      <c r="C14459" s="15"/>
      <c r="D14459" s="2"/>
    </row>
    <row r="14460" spans="1:4" ht="12.75" customHeight="1" x14ac:dyDescent="0.2">
      <c r="B14460" s="2"/>
      <c r="C14460" s="15"/>
      <c r="D14460" s="2"/>
    </row>
    <row r="14461" spans="1:4" ht="12.75" customHeight="1" x14ac:dyDescent="0.2">
      <c r="A14461" s="13" t="s">
        <v>4895</v>
      </c>
      <c r="C14461" s="12"/>
    </row>
    <row r="14462" spans="1:4" ht="12.75" customHeight="1" x14ac:dyDescent="0.2">
      <c r="A14462" s="11"/>
      <c r="B14462" s="2"/>
      <c r="C14462" s="15"/>
      <c r="D14462" s="2"/>
    </row>
    <row r="14463" spans="1:4" ht="12.75" customHeight="1" x14ac:dyDescent="0.2">
      <c r="B14463" s="11" t="s">
        <v>0</v>
      </c>
      <c r="C14463" s="11" t="s">
        <v>302</v>
      </c>
    </row>
    <row r="14464" spans="1:4" ht="12.75" customHeight="1" x14ac:dyDescent="0.2">
      <c r="B14464" s="11" t="s">
        <v>2599</v>
      </c>
      <c r="C14464" s="11" t="s">
        <v>4896</v>
      </c>
    </row>
    <row r="14465" spans="1:4" ht="25.5" customHeight="1" x14ac:dyDescent="0.2">
      <c r="B14465" s="11" t="s">
        <v>2600</v>
      </c>
      <c r="C14465" s="11" t="s">
        <v>4897</v>
      </c>
    </row>
    <row r="14466" spans="1:4" ht="25.5" customHeight="1" x14ac:dyDescent="0.2">
      <c r="B14466" s="11" t="s">
        <v>2601</v>
      </c>
      <c r="C14466" s="11"/>
    </row>
    <row r="14467" spans="1:4" ht="12.75" customHeight="1" x14ac:dyDescent="0.2">
      <c r="B14467" s="11" t="s">
        <v>16</v>
      </c>
      <c r="C14467" s="11"/>
    </row>
    <row r="14468" spans="1:4" ht="12.75" customHeight="1" x14ac:dyDescent="0.2">
      <c r="B14468" s="11" t="s">
        <v>13</v>
      </c>
      <c r="C14468" s="11" t="s">
        <v>2644</v>
      </c>
    </row>
    <row r="14469" spans="1:4" ht="12.75" customHeight="1" x14ac:dyDescent="0.2">
      <c r="B14469" s="11" t="s">
        <v>2603</v>
      </c>
      <c r="C14469" s="11" t="s">
        <v>2604</v>
      </c>
    </row>
    <row r="14470" spans="1:4" ht="12.75" customHeight="1" x14ac:dyDescent="0.2">
      <c r="B14470" s="11" t="s">
        <v>2605</v>
      </c>
      <c r="C14470" s="11" t="s">
        <v>24</v>
      </c>
    </row>
    <row r="14471" spans="1:4" ht="25.5" customHeight="1" x14ac:dyDescent="0.2">
      <c r="B14471" s="11" t="s">
        <v>2606</v>
      </c>
      <c r="C14471" s="16" t="s">
        <v>56</v>
      </c>
      <c r="D14471" s="6" t="str">
        <f>HYPERLINK("javascript:void(0)","sárkány izom")</f>
        <v>sárkány izom</v>
      </c>
    </row>
    <row r="14472" spans="1:4" ht="12.75" customHeight="1" x14ac:dyDescent="0.2">
      <c r="C14472" s="16" t="s">
        <v>77</v>
      </c>
      <c r="D14472" s="6" t="str">
        <f>HYPERLINK("javascript:void(0)","kincs")</f>
        <v>kincs</v>
      </c>
    </row>
    <row r="14473" spans="1:4" ht="25.5" customHeight="1" x14ac:dyDescent="0.2">
      <c r="C14473" s="16" t="s">
        <v>44</v>
      </c>
      <c r="D14473" s="6" t="str">
        <f>HYPERLINK("javascript:void(0)","sárkányzsák")</f>
        <v>sárkányzsák</v>
      </c>
    </row>
    <row r="14474" spans="1:4" ht="12.75" customHeight="1" x14ac:dyDescent="0.2">
      <c r="B14474" s="2"/>
      <c r="C14474" s="15"/>
      <c r="D14474" s="2"/>
    </row>
    <row r="14475" spans="1:4" ht="12.75" customHeight="1" x14ac:dyDescent="0.2">
      <c r="B14475" s="2"/>
      <c r="C14475" s="15"/>
      <c r="D14475" s="2"/>
    </row>
    <row r="14476" spans="1:4" ht="12.75" customHeight="1" x14ac:dyDescent="0.2">
      <c r="A14476" s="13" t="s">
        <v>4898</v>
      </c>
      <c r="C14476" s="12"/>
    </row>
    <row r="14477" spans="1:4" ht="12.75" customHeight="1" x14ac:dyDescent="0.2">
      <c r="A14477" s="11"/>
      <c r="B14477" s="2"/>
      <c r="C14477" s="15"/>
      <c r="D14477" s="2"/>
    </row>
    <row r="14478" spans="1:4" ht="12.75" customHeight="1" x14ac:dyDescent="0.2">
      <c r="B14478" s="11" t="s">
        <v>0</v>
      </c>
      <c r="C14478" s="11" t="s">
        <v>302</v>
      </c>
    </row>
    <row r="14479" spans="1:4" ht="12.75" customHeight="1" x14ac:dyDescent="0.2">
      <c r="B14479" s="11" t="s">
        <v>2599</v>
      </c>
      <c r="C14479" s="11" t="s">
        <v>481</v>
      </c>
    </row>
    <row r="14480" spans="1:4" ht="25.5" customHeight="1" x14ac:dyDescent="0.2">
      <c r="B14480" s="11" t="s">
        <v>2600</v>
      </c>
      <c r="C14480" s="11" t="s">
        <v>4899</v>
      </c>
    </row>
    <row r="14481" spans="1:4" ht="25.5" customHeight="1" x14ac:dyDescent="0.2">
      <c r="B14481" s="11" t="s">
        <v>2601</v>
      </c>
      <c r="C14481" s="11"/>
    </row>
    <row r="14482" spans="1:4" ht="12.75" customHeight="1" x14ac:dyDescent="0.2">
      <c r="B14482" s="11" t="s">
        <v>16</v>
      </c>
      <c r="C14482" s="11"/>
    </row>
    <row r="14483" spans="1:4" ht="12.75" customHeight="1" x14ac:dyDescent="0.2">
      <c r="B14483" s="11" t="s">
        <v>13</v>
      </c>
      <c r="C14483" s="11" t="s">
        <v>2644</v>
      </c>
    </row>
    <row r="14484" spans="1:4" ht="12.75" customHeight="1" x14ac:dyDescent="0.2">
      <c r="B14484" s="11" t="s">
        <v>2603</v>
      </c>
      <c r="C14484" s="11" t="s">
        <v>2604</v>
      </c>
    </row>
    <row r="14485" spans="1:4" ht="12.75" customHeight="1" x14ac:dyDescent="0.2">
      <c r="B14485" s="11" t="s">
        <v>2605</v>
      </c>
      <c r="C14485" s="11" t="s">
        <v>14</v>
      </c>
    </row>
    <row r="14486" spans="1:4" ht="12.75" customHeight="1" x14ac:dyDescent="0.2">
      <c r="B14486" s="11" t="s">
        <v>2606</v>
      </c>
      <c r="C14486" s="16" t="s">
        <v>44</v>
      </c>
      <c r="D14486" s="6" t="str">
        <f>HYPERLINK("javascript:void(0)","csigaház")</f>
        <v>csigaház</v>
      </c>
    </row>
    <row r="14487" spans="1:4" ht="12.75" customHeight="1" x14ac:dyDescent="0.2">
      <c r="C14487" s="16" t="s">
        <v>57</v>
      </c>
      <c r="D14487" s="6" t="str">
        <f>HYPERLINK("javascript:void(0)","bigapata")</f>
        <v>bigapata</v>
      </c>
    </row>
    <row r="14488" spans="1:4" ht="12.75" customHeight="1" x14ac:dyDescent="0.2">
      <c r="B14488" s="2"/>
      <c r="C14488" s="15"/>
      <c r="D14488" s="2"/>
    </row>
    <row r="14489" spans="1:4" ht="12.75" customHeight="1" x14ac:dyDescent="0.2">
      <c r="B14489" s="2"/>
      <c r="C14489" s="15"/>
      <c r="D14489" s="2"/>
    </row>
    <row r="14490" spans="1:4" ht="12.75" customHeight="1" x14ac:dyDescent="0.2">
      <c r="A14490" s="13" t="s">
        <v>4900</v>
      </c>
      <c r="C14490" s="12"/>
    </row>
    <row r="14491" spans="1:4" ht="12.75" customHeight="1" x14ac:dyDescent="0.2">
      <c r="A14491" s="11"/>
      <c r="B14491" s="2"/>
      <c r="C14491" s="15"/>
      <c r="D14491" s="2"/>
    </row>
    <row r="14492" spans="1:4" ht="12.75" customHeight="1" x14ac:dyDescent="0.2">
      <c r="B14492" s="11" t="s">
        <v>0</v>
      </c>
      <c r="C14492" s="11" t="s">
        <v>302</v>
      </c>
    </row>
    <row r="14493" spans="1:4" ht="12.75" customHeight="1" x14ac:dyDescent="0.2">
      <c r="B14493" s="11" t="s">
        <v>2599</v>
      </c>
      <c r="C14493" s="11" t="s">
        <v>4901</v>
      </c>
    </row>
    <row r="14494" spans="1:4" ht="25.5" customHeight="1" x14ac:dyDescent="0.2">
      <c r="B14494" s="11" t="s">
        <v>2600</v>
      </c>
      <c r="C14494" s="11" t="s">
        <v>4902</v>
      </c>
    </row>
    <row r="14495" spans="1:4" ht="25.5" customHeight="1" x14ac:dyDescent="0.2">
      <c r="B14495" s="11" t="s">
        <v>2601</v>
      </c>
      <c r="C14495" s="11"/>
    </row>
    <row r="14496" spans="1:4" ht="12.75" customHeight="1" x14ac:dyDescent="0.2">
      <c r="B14496" s="11" t="s">
        <v>16</v>
      </c>
      <c r="C14496" s="11"/>
    </row>
    <row r="14497" spans="1:4" ht="12.75" customHeight="1" x14ac:dyDescent="0.2">
      <c r="B14497" s="11" t="s">
        <v>13</v>
      </c>
      <c r="C14497" s="11" t="s">
        <v>2602</v>
      </c>
    </row>
    <row r="14498" spans="1:4" ht="12.75" customHeight="1" x14ac:dyDescent="0.2">
      <c r="B14498" s="11" t="s">
        <v>2603</v>
      </c>
      <c r="C14498" s="11" t="s">
        <v>2604</v>
      </c>
    </row>
    <row r="14499" spans="1:4" ht="12.75" customHeight="1" x14ac:dyDescent="0.2">
      <c r="B14499" s="11" t="s">
        <v>2605</v>
      </c>
      <c r="C14499" s="11" t="s">
        <v>24</v>
      </c>
    </row>
    <row r="14500" spans="1:4" ht="12.75" customHeight="1" x14ac:dyDescent="0.2">
      <c r="B14500" s="11" t="s">
        <v>2606</v>
      </c>
      <c r="C14500" s="16" t="s">
        <v>56</v>
      </c>
      <c r="D14500" s="6" t="str">
        <f>HYPERLINK("javascript:void(0)","aszályige")</f>
        <v>aszályige</v>
      </c>
    </row>
    <row r="14501" spans="1:4" ht="12.75" customHeight="1" x14ac:dyDescent="0.2">
      <c r="C14501" s="16" t="s">
        <v>44</v>
      </c>
      <c r="D14501" s="6" t="str">
        <f>HYPERLINK("javascript:void(0)","mágusbot")</f>
        <v>mágusbot</v>
      </c>
    </row>
    <row r="14502" spans="1:4" ht="12.75" customHeight="1" x14ac:dyDescent="0.2">
      <c r="B14502" s="2"/>
      <c r="C14502" s="15"/>
      <c r="D14502" s="2"/>
    </row>
    <row r="14503" spans="1:4" ht="12.75" customHeight="1" x14ac:dyDescent="0.2">
      <c r="B14503" s="2"/>
      <c r="C14503" s="15"/>
      <c r="D14503" s="2"/>
    </row>
    <row r="14504" spans="1:4" ht="12.75" customHeight="1" x14ac:dyDescent="0.2">
      <c r="A14504" s="13" t="s">
        <v>4903</v>
      </c>
      <c r="C14504" s="12"/>
    </row>
    <row r="14505" spans="1:4" ht="12.75" customHeight="1" x14ac:dyDescent="0.2">
      <c r="A14505" s="11"/>
      <c r="B14505" s="2"/>
      <c r="C14505" s="15"/>
      <c r="D14505" s="2"/>
    </row>
    <row r="14506" spans="1:4" ht="12.75" customHeight="1" x14ac:dyDescent="0.2">
      <c r="B14506" s="11" t="s">
        <v>0</v>
      </c>
      <c r="C14506" s="11" t="s">
        <v>302</v>
      </c>
    </row>
    <row r="14507" spans="1:4" ht="12.75" customHeight="1" x14ac:dyDescent="0.2">
      <c r="B14507" s="11" t="s">
        <v>2599</v>
      </c>
      <c r="C14507" s="11" t="s">
        <v>2980</v>
      </c>
    </row>
    <row r="14508" spans="1:4" ht="25.5" customHeight="1" x14ac:dyDescent="0.2">
      <c r="B14508" s="11" t="s">
        <v>2600</v>
      </c>
      <c r="C14508" s="11" t="s">
        <v>4904</v>
      </c>
    </row>
    <row r="14509" spans="1:4" ht="25.5" customHeight="1" x14ac:dyDescent="0.2">
      <c r="B14509" s="11" t="s">
        <v>2601</v>
      </c>
      <c r="C14509" s="11"/>
    </row>
    <row r="14510" spans="1:4" ht="12.75" customHeight="1" x14ac:dyDescent="0.2">
      <c r="B14510" s="11" t="s">
        <v>16</v>
      </c>
      <c r="C14510" s="11"/>
    </row>
    <row r="14511" spans="1:4" ht="12.75" customHeight="1" x14ac:dyDescent="0.2">
      <c r="B14511" s="11" t="s">
        <v>13</v>
      </c>
      <c r="C14511" s="11" t="s">
        <v>2644</v>
      </c>
    </row>
    <row r="14512" spans="1:4" ht="12.75" customHeight="1" x14ac:dyDescent="0.2">
      <c r="B14512" s="11" t="s">
        <v>2603</v>
      </c>
      <c r="C14512" s="11" t="s">
        <v>2604</v>
      </c>
    </row>
    <row r="14513" spans="1:4" ht="12.75" customHeight="1" x14ac:dyDescent="0.2">
      <c r="B14513" s="11" t="s">
        <v>2605</v>
      </c>
      <c r="C14513" s="11" t="s">
        <v>14</v>
      </c>
    </row>
    <row r="14514" spans="1:4" ht="12.75" customHeight="1" x14ac:dyDescent="0.2">
      <c r="B14514" s="11" t="s">
        <v>2606</v>
      </c>
      <c r="C14514" s="16" t="s">
        <v>142</v>
      </c>
      <c r="D14514" s="6" t="str">
        <f>HYPERLINK("javascript:void(0)","kincs")</f>
        <v>kincs</v>
      </c>
    </row>
    <row r="14515" spans="1:4" ht="12.75" customHeight="1" x14ac:dyDescent="0.2">
      <c r="B14515" s="2"/>
      <c r="C14515" s="15"/>
      <c r="D14515" s="2"/>
    </row>
    <row r="14516" spans="1:4" ht="12.75" customHeight="1" x14ac:dyDescent="0.2">
      <c r="B14516" s="2"/>
      <c r="C14516" s="15"/>
      <c r="D14516" s="2"/>
    </row>
    <row r="14517" spans="1:4" ht="12.75" customHeight="1" x14ac:dyDescent="0.2">
      <c r="A14517" s="13" t="s">
        <v>4850</v>
      </c>
      <c r="C14517" s="12"/>
      <c r="D14517" s="2"/>
    </row>
    <row r="14518" spans="1:4" ht="12.75" customHeight="1" x14ac:dyDescent="0.2">
      <c r="A14518" s="11"/>
      <c r="B14518" s="2"/>
      <c r="C14518" s="15"/>
      <c r="D14518" s="2"/>
    </row>
    <row r="14519" spans="1:4" ht="12.75" customHeight="1" x14ac:dyDescent="0.2">
      <c r="B14519" s="11" t="s">
        <v>0</v>
      </c>
      <c r="C14519" s="17" t="s">
        <v>302</v>
      </c>
      <c r="D14519" s="2"/>
    </row>
    <row r="14520" spans="1:4" ht="12.75" customHeight="1" x14ac:dyDescent="0.2">
      <c r="B14520" s="11" t="s">
        <v>2599</v>
      </c>
      <c r="C14520" s="17" t="s">
        <v>4851</v>
      </c>
      <c r="D14520" s="2"/>
    </row>
    <row r="14521" spans="1:4" ht="25.5" customHeight="1" x14ac:dyDescent="0.2">
      <c r="B14521" s="11" t="s">
        <v>2600</v>
      </c>
      <c r="C14521" s="17" t="s">
        <v>4905</v>
      </c>
      <c r="D14521" s="2"/>
    </row>
    <row r="14522" spans="1:4" ht="25.5" customHeight="1" x14ac:dyDescent="0.2">
      <c r="B14522" s="11" t="s">
        <v>2601</v>
      </c>
      <c r="C14522" s="17"/>
      <c r="D14522" s="2"/>
    </row>
    <row r="14523" spans="1:4" ht="12.75" customHeight="1" x14ac:dyDescent="0.2">
      <c r="B14523" s="11" t="s">
        <v>16</v>
      </c>
      <c r="C14523" s="17"/>
      <c r="D14523" s="2"/>
    </row>
    <row r="14524" spans="1:4" ht="12.75" customHeight="1" x14ac:dyDescent="0.2">
      <c r="B14524" s="11" t="s">
        <v>13</v>
      </c>
      <c r="C14524" s="17" t="s">
        <v>2644</v>
      </c>
      <c r="D14524" s="2"/>
    </row>
    <row r="14525" spans="1:4" ht="25.5" customHeight="1" x14ac:dyDescent="0.2">
      <c r="B14525" s="11" t="s">
        <v>2603</v>
      </c>
      <c r="C14525" s="17" t="s">
        <v>2971</v>
      </c>
      <c r="D14525" s="2"/>
    </row>
    <row r="14526" spans="1:4" ht="12.75" customHeight="1" x14ac:dyDescent="0.2">
      <c r="B14526" s="11" t="s">
        <v>2605</v>
      </c>
      <c r="C14526" s="17" t="s">
        <v>14</v>
      </c>
      <c r="D14526" s="2"/>
    </row>
    <row r="14527" spans="1:4" ht="12.75" customHeight="1" x14ac:dyDescent="0.2">
      <c r="B14527" s="11" t="s">
        <v>2606</v>
      </c>
      <c r="C14527" s="16" t="s">
        <v>19</v>
      </c>
      <c r="D14527" s="2"/>
    </row>
    <row r="14528" spans="1:4" ht="12.75" customHeight="1" x14ac:dyDescent="0.2">
      <c r="B14528" s="2"/>
      <c r="C14528" s="15"/>
      <c r="D14528" s="2"/>
    </row>
    <row r="14529" spans="1:4" ht="12.75" customHeight="1" x14ac:dyDescent="0.2">
      <c r="B14529" s="2"/>
      <c r="C14529" s="15"/>
      <c r="D14529" s="2"/>
    </row>
    <row r="14530" spans="1:4" ht="12.75" customHeight="1" x14ac:dyDescent="0.2">
      <c r="A14530" s="13" t="s">
        <v>4853</v>
      </c>
      <c r="C14530" s="12"/>
      <c r="D14530" s="2"/>
    </row>
    <row r="14531" spans="1:4" ht="12.75" customHeight="1" x14ac:dyDescent="0.2">
      <c r="A14531" s="11"/>
      <c r="B14531" s="2"/>
      <c r="C14531" s="15"/>
      <c r="D14531" s="2"/>
    </row>
    <row r="14532" spans="1:4" ht="12.75" customHeight="1" x14ac:dyDescent="0.2">
      <c r="B14532" s="11" t="s">
        <v>0</v>
      </c>
      <c r="C14532" s="17" t="s">
        <v>302</v>
      </c>
      <c r="D14532" s="2"/>
    </row>
    <row r="14533" spans="1:4" ht="12.75" customHeight="1" x14ac:dyDescent="0.2">
      <c r="B14533" s="11" t="s">
        <v>2599</v>
      </c>
      <c r="C14533" s="17" t="s">
        <v>3296</v>
      </c>
      <c r="D14533" s="2"/>
    </row>
    <row r="14534" spans="1:4" ht="25.5" customHeight="1" x14ac:dyDescent="0.2">
      <c r="B14534" s="11" t="s">
        <v>2600</v>
      </c>
      <c r="C14534" s="17" t="s">
        <v>4906</v>
      </c>
      <c r="D14534" s="2"/>
    </row>
    <row r="14535" spans="1:4" ht="25.5" customHeight="1" x14ac:dyDescent="0.2">
      <c r="B14535" s="11" t="s">
        <v>2601</v>
      </c>
      <c r="C14535" s="17"/>
      <c r="D14535" s="2"/>
    </row>
    <row r="14536" spans="1:4" ht="12.75" customHeight="1" x14ac:dyDescent="0.2">
      <c r="B14536" s="11" t="s">
        <v>16</v>
      </c>
      <c r="C14536" s="17"/>
      <c r="D14536" s="2"/>
    </row>
    <row r="14537" spans="1:4" ht="12.75" customHeight="1" x14ac:dyDescent="0.2">
      <c r="B14537" s="11" t="s">
        <v>13</v>
      </c>
      <c r="C14537" s="17" t="s">
        <v>2602</v>
      </c>
      <c r="D14537" s="2"/>
    </row>
    <row r="14538" spans="1:4" ht="25.5" customHeight="1" x14ac:dyDescent="0.2">
      <c r="B14538" s="11" t="s">
        <v>2603</v>
      </c>
      <c r="C14538" s="17" t="s">
        <v>2971</v>
      </c>
      <c r="D14538" s="2"/>
    </row>
    <row r="14539" spans="1:4" ht="12.75" customHeight="1" x14ac:dyDescent="0.2">
      <c r="B14539" s="11" t="s">
        <v>2605</v>
      </c>
      <c r="C14539" s="17" t="s">
        <v>14</v>
      </c>
      <c r="D14539" s="2"/>
    </row>
    <row r="14540" spans="1:4" ht="12.75" customHeight="1" x14ac:dyDescent="0.2">
      <c r="B14540" s="11" t="s">
        <v>2606</v>
      </c>
      <c r="C14540" s="16" t="s">
        <v>19</v>
      </c>
      <c r="D14540" s="2"/>
    </row>
    <row r="14541" spans="1:4" ht="12.75" customHeight="1" x14ac:dyDescent="0.2">
      <c r="B14541" s="2"/>
      <c r="C14541" s="15"/>
      <c r="D14541" s="2"/>
    </row>
    <row r="14542" spans="1:4" ht="12.75" customHeight="1" x14ac:dyDescent="0.2">
      <c r="B14542" s="2"/>
      <c r="C14542" s="15"/>
      <c r="D14542" s="2"/>
    </row>
    <row r="14543" spans="1:4" ht="12.75" customHeight="1" x14ac:dyDescent="0.2">
      <c r="A14543" s="13" t="s">
        <v>4822</v>
      </c>
      <c r="C14543" s="12"/>
      <c r="D14543" s="2"/>
    </row>
    <row r="14544" spans="1:4" ht="12.75" customHeight="1" x14ac:dyDescent="0.2">
      <c r="A14544" s="11"/>
      <c r="B14544" s="2"/>
      <c r="C14544" s="15"/>
      <c r="D14544" s="2"/>
    </row>
    <row r="14545" spans="1:4" ht="12.75" customHeight="1" x14ac:dyDescent="0.2">
      <c r="B14545" s="11" t="s">
        <v>0</v>
      </c>
      <c r="C14545" s="17" t="s">
        <v>255</v>
      </c>
      <c r="D14545" s="2"/>
    </row>
    <row r="14546" spans="1:4" ht="12.75" customHeight="1" x14ac:dyDescent="0.2">
      <c r="B14546" s="11" t="s">
        <v>2599</v>
      </c>
      <c r="C14546" s="17" t="s">
        <v>4823</v>
      </c>
      <c r="D14546" s="2"/>
    </row>
    <row r="14547" spans="1:4" ht="25.5" customHeight="1" x14ac:dyDescent="0.2">
      <c r="B14547" s="11" t="s">
        <v>2600</v>
      </c>
      <c r="C14547" s="17" t="s">
        <v>4907</v>
      </c>
      <c r="D14547" s="2"/>
    </row>
    <row r="14548" spans="1:4" ht="25.5" customHeight="1" x14ac:dyDescent="0.2">
      <c r="B14548" s="11" t="s">
        <v>2601</v>
      </c>
      <c r="C14548" s="17"/>
      <c r="D14548" s="2"/>
    </row>
    <row r="14549" spans="1:4" ht="12.75" customHeight="1" x14ac:dyDescent="0.2">
      <c r="B14549" s="11" t="s">
        <v>16</v>
      </c>
      <c r="C14549" s="17"/>
      <c r="D14549" s="2"/>
    </row>
    <row r="14550" spans="1:4" ht="12.75" customHeight="1" x14ac:dyDescent="0.2">
      <c r="B14550" s="11" t="s">
        <v>13</v>
      </c>
      <c r="C14550" s="17" t="s">
        <v>2644</v>
      </c>
      <c r="D14550" s="2"/>
    </row>
    <row r="14551" spans="1:4" ht="25.5" customHeight="1" x14ac:dyDescent="0.2">
      <c r="B14551" s="11" t="s">
        <v>2603</v>
      </c>
      <c r="C14551" s="17" t="s">
        <v>2971</v>
      </c>
      <c r="D14551" s="2"/>
    </row>
    <row r="14552" spans="1:4" ht="12.75" customHeight="1" x14ac:dyDescent="0.2">
      <c r="B14552" s="11" t="s">
        <v>2605</v>
      </c>
      <c r="C14552" s="17" t="s">
        <v>14</v>
      </c>
      <c r="D14552" s="2"/>
    </row>
    <row r="14553" spans="1:4" ht="12.75" customHeight="1" x14ac:dyDescent="0.2">
      <c r="B14553" s="11" t="s">
        <v>2606</v>
      </c>
      <c r="C14553" s="16" t="s">
        <v>19</v>
      </c>
      <c r="D14553" s="2"/>
    </row>
    <row r="14554" spans="1:4" ht="12.75" customHeight="1" x14ac:dyDescent="0.2">
      <c r="B14554" s="2"/>
      <c r="C14554" s="15"/>
      <c r="D14554" s="2"/>
    </row>
    <row r="14555" spans="1:4" ht="12.75" customHeight="1" x14ac:dyDescent="0.2">
      <c r="B14555" s="2"/>
      <c r="C14555" s="15"/>
      <c r="D14555" s="2"/>
    </row>
    <row r="14556" spans="1:4" ht="12.75" customHeight="1" x14ac:dyDescent="0.2">
      <c r="A14556" s="13" t="s">
        <v>4825</v>
      </c>
      <c r="C14556" s="12"/>
      <c r="D14556" s="2"/>
    </row>
    <row r="14557" spans="1:4" ht="12.75" customHeight="1" x14ac:dyDescent="0.2">
      <c r="A14557" s="11"/>
      <c r="B14557" s="2"/>
      <c r="C14557" s="15"/>
      <c r="D14557" s="2"/>
    </row>
    <row r="14558" spans="1:4" ht="12.75" customHeight="1" x14ac:dyDescent="0.2">
      <c r="B14558" s="11" t="s">
        <v>0</v>
      </c>
      <c r="C14558" s="17" t="s">
        <v>255</v>
      </c>
      <c r="D14558" s="2"/>
    </row>
    <row r="14559" spans="1:4" ht="12.75" customHeight="1" x14ac:dyDescent="0.2">
      <c r="B14559" s="11" t="s">
        <v>2599</v>
      </c>
      <c r="C14559" s="17" t="s">
        <v>4826</v>
      </c>
      <c r="D14559" s="2"/>
    </row>
    <row r="14560" spans="1:4" ht="25.5" customHeight="1" x14ac:dyDescent="0.2">
      <c r="B14560" s="11" t="s">
        <v>2600</v>
      </c>
      <c r="C14560" s="17" t="s">
        <v>4908</v>
      </c>
      <c r="D14560" s="2"/>
    </row>
    <row r="14561" spans="1:4" ht="25.5" customHeight="1" x14ac:dyDescent="0.2">
      <c r="B14561" s="11" t="s">
        <v>2601</v>
      </c>
      <c r="C14561" s="17"/>
      <c r="D14561" s="2"/>
    </row>
    <row r="14562" spans="1:4" ht="12.75" customHeight="1" x14ac:dyDescent="0.2">
      <c r="B14562" s="11" t="s">
        <v>16</v>
      </c>
      <c r="C14562" s="17"/>
      <c r="D14562" s="2"/>
    </row>
    <row r="14563" spans="1:4" ht="12.75" customHeight="1" x14ac:dyDescent="0.2">
      <c r="B14563" s="11" t="s">
        <v>13</v>
      </c>
      <c r="C14563" s="17" t="s">
        <v>2602</v>
      </c>
      <c r="D14563" s="2"/>
    </row>
    <row r="14564" spans="1:4" ht="25.5" customHeight="1" x14ac:dyDescent="0.2">
      <c r="B14564" s="11" t="s">
        <v>2603</v>
      </c>
      <c r="C14564" s="17" t="s">
        <v>2971</v>
      </c>
      <c r="D14564" s="2"/>
    </row>
    <row r="14565" spans="1:4" ht="12.75" customHeight="1" x14ac:dyDescent="0.2">
      <c r="B14565" s="11" t="s">
        <v>2605</v>
      </c>
      <c r="C14565" s="17" t="s">
        <v>14</v>
      </c>
      <c r="D14565" s="2"/>
    </row>
    <row r="14566" spans="1:4" ht="12.75" customHeight="1" x14ac:dyDescent="0.2">
      <c r="B14566" s="11" t="s">
        <v>2606</v>
      </c>
      <c r="C14566" s="16" t="s">
        <v>19</v>
      </c>
      <c r="D14566" s="2"/>
    </row>
    <row r="14567" spans="1:4" ht="12.75" customHeight="1" x14ac:dyDescent="0.2">
      <c r="B14567" s="2"/>
      <c r="C14567" s="15"/>
      <c r="D14567" s="2"/>
    </row>
    <row r="14568" spans="1:4" ht="12.75" customHeight="1" x14ac:dyDescent="0.2">
      <c r="B14568" s="2"/>
      <c r="C14568" s="15"/>
      <c r="D14568" s="2"/>
    </row>
    <row r="14569" spans="1:4" ht="12.75" customHeight="1" x14ac:dyDescent="0.2">
      <c r="A14569" s="13" t="s">
        <v>4909</v>
      </c>
      <c r="C14569" s="12"/>
    </row>
    <row r="14570" spans="1:4" ht="12.75" customHeight="1" x14ac:dyDescent="0.2">
      <c r="A14570" s="11"/>
      <c r="B14570" s="2"/>
      <c r="C14570" s="15"/>
      <c r="D14570" s="2"/>
    </row>
    <row r="14571" spans="1:4" ht="12.75" customHeight="1" x14ac:dyDescent="0.2">
      <c r="B14571" s="11" t="s">
        <v>0</v>
      </c>
      <c r="C14571" s="11" t="s">
        <v>255</v>
      </c>
    </row>
    <row r="14572" spans="1:4" ht="12.75" customHeight="1" x14ac:dyDescent="0.2">
      <c r="B14572" s="11" t="s">
        <v>2599</v>
      </c>
      <c r="C14572" s="11" t="s">
        <v>4910</v>
      </c>
    </row>
    <row r="14573" spans="1:4" ht="25.5" customHeight="1" x14ac:dyDescent="0.2">
      <c r="B14573" s="11" t="s">
        <v>2600</v>
      </c>
      <c r="C14573" s="11" t="s">
        <v>4911</v>
      </c>
    </row>
    <row r="14574" spans="1:4" ht="25.5" customHeight="1" x14ac:dyDescent="0.2">
      <c r="B14574" s="11" t="s">
        <v>2601</v>
      </c>
      <c r="C14574" s="11"/>
    </row>
    <row r="14575" spans="1:4" ht="12.75" customHeight="1" x14ac:dyDescent="0.2">
      <c r="B14575" s="11" t="s">
        <v>16</v>
      </c>
      <c r="C14575" s="11"/>
    </row>
    <row r="14576" spans="1:4" ht="12.75" customHeight="1" x14ac:dyDescent="0.2">
      <c r="B14576" s="11" t="s">
        <v>13</v>
      </c>
      <c r="C14576" s="11" t="s">
        <v>2644</v>
      </c>
    </row>
    <row r="14577" spans="1:4" ht="12.75" customHeight="1" x14ac:dyDescent="0.2">
      <c r="B14577" s="11" t="s">
        <v>2603</v>
      </c>
      <c r="C14577" s="11" t="s">
        <v>2604</v>
      </c>
    </row>
    <row r="14578" spans="1:4" ht="12.75" customHeight="1" x14ac:dyDescent="0.2">
      <c r="B14578" s="11" t="s">
        <v>2605</v>
      </c>
      <c r="C14578" s="11" t="s">
        <v>24</v>
      </c>
    </row>
    <row r="14579" spans="1:4" ht="12.75" customHeight="1" x14ac:dyDescent="0.2">
      <c r="B14579" s="11" t="s">
        <v>2606</v>
      </c>
      <c r="C14579" s="16" t="s">
        <v>193</v>
      </c>
      <c r="D14579" s="6" t="str">
        <f>HYPERLINK("javascript:void(0)","kincs")</f>
        <v>kincs</v>
      </c>
    </row>
    <row r="14580" spans="1:4" ht="25.5" customHeight="1" x14ac:dyDescent="0.2">
      <c r="C14580" s="16" t="s">
        <v>98</v>
      </c>
      <c r="D14580" s="6" t="str">
        <f>HYPERLINK("javascript:void(0)","kristályfolyadék")</f>
        <v>kristályfolyadék</v>
      </c>
    </row>
    <row r="14581" spans="1:4" ht="12.75" customHeight="1" x14ac:dyDescent="0.2">
      <c r="B14581" s="2"/>
      <c r="C14581" s="15"/>
      <c r="D14581" s="2"/>
    </row>
    <row r="14582" spans="1:4" ht="12.75" customHeight="1" x14ac:dyDescent="0.2">
      <c r="B14582" s="2"/>
      <c r="C14582" s="15"/>
      <c r="D14582" s="2"/>
    </row>
    <row r="14583" spans="1:4" ht="12.75" customHeight="1" x14ac:dyDescent="0.2">
      <c r="A14583" s="13" t="s">
        <v>4912</v>
      </c>
      <c r="C14583" s="12"/>
    </row>
    <row r="14584" spans="1:4" ht="12.75" customHeight="1" x14ac:dyDescent="0.2">
      <c r="A14584" s="11"/>
      <c r="B14584" s="2"/>
      <c r="C14584" s="15"/>
      <c r="D14584" s="2"/>
    </row>
    <row r="14585" spans="1:4" ht="12.75" customHeight="1" x14ac:dyDescent="0.2">
      <c r="B14585" s="11" t="s">
        <v>0</v>
      </c>
      <c r="C14585" s="11" t="s">
        <v>255</v>
      </c>
    </row>
    <row r="14586" spans="1:4" ht="12.75" customHeight="1" x14ac:dyDescent="0.2">
      <c r="B14586" s="11" t="s">
        <v>2599</v>
      </c>
      <c r="C14586" s="11" t="s">
        <v>4914</v>
      </c>
    </row>
    <row r="14587" spans="1:4" ht="25.5" customHeight="1" x14ac:dyDescent="0.2">
      <c r="B14587" s="11" t="s">
        <v>2600</v>
      </c>
      <c r="C14587" s="11" t="s">
        <v>4915</v>
      </c>
    </row>
    <row r="14588" spans="1:4" ht="25.5" customHeight="1" x14ac:dyDescent="0.2">
      <c r="B14588" s="11" t="s">
        <v>2601</v>
      </c>
      <c r="C14588" s="11"/>
    </row>
    <row r="14589" spans="1:4" ht="12.75" customHeight="1" x14ac:dyDescent="0.2">
      <c r="B14589" s="11" t="s">
        <v>16</v>
      </c>
      <c r="C14589" s="11"/>
    </row>
    <row r="14590" spans="1:4" ht="12.75" customHeight="1" x14ac:dyDescent="0.2">
      <c r="B14590" s="11" t="s">
        <v>13</v>
      </c>
      <c r="C14590" s="11" t="s">
        <v>2602</v>
      </c>
    </row>
    <row r="14591" spans="1:4" ht="12.75" customHeight="1" x14ac:dyDescent="0.2">
      <c r="B14591" s="11" t="s">
        <v>2603</v>
      </c>
      <c r="C14591" s="11" t="s">
        <v>2604</v>
      </c>
    </row>
    <row r="14592" spans="1:4" ht="12.75" customHeight="1" x14ac:dyDescent="0.2">
      <c r="B14592" s="11" t="s">
        <v>2605</v>
      </c>
      <c r="C14592" s="11" t="s">
        <v>14</v>
      </c>
    </row>
    <row r="14593" spans="1:4" ht="12.75" customHeight="1" x14ac:dyDescent="0.2">
      <c r="B14593" s="11" t="s">
        <v>2606</v>
      </c>
      <c r="C14593" s="16" t="s">
        <v>296</v>
      </c>
      <c r="D14593" s="6" t="str">
        <f>HYPERLINK("javascript:void(0)","kincs")</f>
        <v>kincs</v>
      </c>
    </row>
    <row r="14594" spans="1:4" ht="12.75" customHeight="1" x14ac:dyDescent="0.2">
      <c r="B14594" s="2"/>
      <c r="C14594" s="15"/>
      <c r="D14594" s="2"/>
    </row>
    <row r="14595" spans="1:4" ht="12.75" customHeight="1" x14ac:dyDescent="0.2">
      <c r="B14595" s="2"/>
      <c r="C14595" s="15"/>
      <c r="D14595" s="2"/>
    </row>
    <row r="14596" spans="1:4" ht="12.75" customHeight="1" x14ac:dyDescent="0.2">
      <c r="A14596" s="13" t="s">
        <v>4916</v>
      </c>
      <c r="C14596" s="12"/>
    </row>
    <row r="14597" spans="1:4" ht="12.75" customHeight="1" x14ac:dyDescent="0.2">
      <c r="A14597" s="11"/>
      <c r="B14597" s="2"/>
      <c r="C14597" s="15"/>
      <c r="D14597" s="2"/>
    </row>
    <row r="14598" spans="1:4" ht="12.75" customHeight="1" x14ac:dyDescent="0.2">
      <c r="B14598" s="11" t="s">
        <v>0</v>
      </c>
      <c r="C14598" s="11" t="s">
        <v>255</v>
      </c>
    </row>
    <row r="14599" spans="1:4" ht="12.75" customHeight="1" x14ac:dyDescent="0.2">
      <c r="B14599" s="11" t="s">
        <v>2599</v>
      </c>
      <c r="C14599" s="11" t="s">
        <v>4917</v>
      </c>
    </row>
    <row r="14600" spans="1:4" ht="25.5" customHeight="1" x14ac:dyDescent="0.2">
      <c r="B14600" s="11" t="s">
        <v>2600</v>
      </c>
      <c r="C14600" s="11" t="s">
        <v>4918</v>
      </c>
    </row>
    <row r="14601" spans="1:4" ht="25.5" customHeight="1" x14ac:dyDescent="0.2">
      <c r="B14601" s="11" t="s">
        <v>2601</v>
      </c>
      <c r="C14601" s="11"/>
    </row>
    <row r="14602" spans="1:4" ht="12.75" customHeight="1" x14ac:dyDescent="0.2">
      <c r="B14602" s="11" t="s">
        <v>16</v>
      </c>
      <c r="C14602" s="11"/>
    </row>
    <row r="14603" spans="1:4" ht="12.75" customHeight="1" x14ac:dyDescent="0.2">
      <c r="B14603" s="11" t="s">
        <v>13</v>
      </c>
      <c r="C14603" s="11" t="s">
        <v>2602</v>
      </c>
    </row>
    <row r="14604" spans="1:4" ht="12.75" customHeight="1" x14ac:dyDescent="0.2">
      <c r="B14604" s="11" t="s">
        <v>2603</v>
      </c>
      <c r="C14604" s="11" t="s">
        <v>2604</v>
      </c>
    </row>
    <row r="14605" spans="1:4" ht="12.75" customHeight="1" x14ac:dyDescent="0.2">
      <c r="B14605" s="11" t="s">
        <v>2605</v>
      </c>
      <c r="C14605" s="11" t="s">
        <v>14</v>
      </c>
    </row>
    <row r="14606" spans="1:4" ht="12.75" customHeight="1" x14ac:dyDescent="0.2">
      <c r="B14606" s="11" t="s">
        <v>2606</v>
      </c>
      <c r="C14606" s="16" t="s">
        <v>44</v>
      </c>
      <c r="D14606" s="6" t="str">
        <f>HYPERLINK("javascript:void(0)","csapdaszeg")</f>
        <v>csapdaszeg</v>
      </c>
    </row>
    <row r="14607" spans="1:4" ht="12.75" customHeight="1" x14ac:dyDescent="0.2">
      <c r="C14607" s="16" t="s">
        <v>68</v>
      </c>
      <c r="D14607" s="6" t="str">
        <f>HYPERLINK("javascript:void(0)","kincs")</f>
        <v>kincs</v>
      </c>
    </row>
    <row r="14608" spans="1:4" ht="12.75" customHeight="1" x14ac:dyDescent="0.2">
      <c r="B14608" s="2"/>
      <c r="C14608" s="15"/>
      <c r="D14608" s="2"/>
    </row>
    <row r="14609" spans="1:4" ht="12.75" customHeight="1" x14ac:dyDescent="0.2">
      <c r="B14609" s="2"/>
      <c r="C14609" s="15"/>
      <c r="D14609" s="2"/>
    </row>
    <row r="14610" spans="1:4" ht="12.75" customHeight="1" x14ac:dyDescent="0.2">
      <c r="A14610" s="13" t="s">
        <v>4919</v>
      </c>
      <c r="C14610" s="12"/>
    </row>
    <row r="14611" spans="1:4" ht="12.75" customHeight="1" x14ac:dyDescent="0.2">
      <c r="A14611" s="11"/>
      <c r="B14611" s="2"/>
      <c r="C14611" s="15"/>
      <c r="D14611" s="2"/>
    </row>
    <row r="14612" spans="1:4" ht="12.75" customHeight="1" x14ac:dyDescent="0.2">
      <c r="B14612" s="11" t="s">
        <v>0</v>
      </c>
      <c r="C14612" s="11" t="s">
        <v>255</v>
      </c>
    </row>
    <row r="14613" spans="1:4" ht="12.75" customHeight="1" x14ac:dyDescent="0.2">
      <c r="B14613" s="11" t="s">
        <v>2599</v>
      </c>
      <c r="C14613" s="11" t="s">
        <v>4920</v>
      </c>
    </row>
    <row r="14614" spans="1:4" ht="25.5" customHeight="1" x14ac:dyDescent="0.2">
      <c r="B14614" s="11" t="s">
        <v>2600</v>
      </c>
      <c r="C14614" s="11" t="s">
        <v>4921</v>
      </c>
    </row>
    <row r="14615" spans="1:4" ht="25.5" customHeight="1" x14ac:dyDescent="0.2">
      <c r="B14615" s="11" t="s">
        <v>2601</v>
      </c>
      <c r="C14615" s="11"/>
    </row>
    <row r="14616" spans="1:4" ht="12.75" customHeight="1" x14ac:dyDescent="0.2">
      <c r="B14616" s="11" t="s">
        <v>16</v>
      </c>
      <c r="C14616" s="11"/>
    </row>
    <row r="14617" spans="1:4" ht="12.75" customHeight="1" x14ac:dyDescent="0.2">
      <c r="B14617" s="11" t="s">
        <v>13</v>
      </c>
      <c r="C14617" s="11" t="s">
        <v>2602</v>
      </c>
    </row>
    <row r="14618" spans="1:4" ht="12.75" customHeight="1" x14ac:dyDescent="0.2">
      <c r="B14618" s="11" t="s">
        <v>2603</v>
      </c>
      <c r="C14618" s="11" t="s">
        <v>2604</v>
      </c>
    </row>
    <row r="14619" spans="1:4" ht="12.75" customHeight="1" x14ac:dyDescent="0.2">
      <c r="B14619" s="11" t="s">
        <v>2605</v>
      </c>
      <c r="C14619" s="11" t="s">
        <v>24</v>
      </c>
    </row>
    <row r="14620" spans="1:4" ht="12.75" customHeight="1" x14ac:dyDescent="0.2">
      <c r="B14620" s="11" t="s">
        <v>2606</v>
      </c>
      <c r="C14620" s="16" t="s">
        <v>232</v>
      </c>
      <c r="D14620" s="6" t="str">
        <f>HYPERLINK("javascript:void(0)","kincs")</f>
        <v>kincs</v>
      </c>
    </row>
    <row r="14621" spans="1:4" ht="12.75" customHeight="1" x14ac:dyDescent="0.2">
      <c r="C14621" s="16" t="s">
        <v>44</v>
      </c>
      <c r="D14621" s="6" t="str">
        <f>HYPERLINK("javascript:void(0)","trolltartó")</f>
        <v>trolltartó</v>
      </c>
    </row>
    <row r="14622" spans="1:4" ht="12.75" customHeight="1" x14ac:dyDescent="0.2">
      <c r="B14622" s="2"/>
      <c r="C14622" s="15"/>
      <c r="D14622" s="2"/>
    </row>
    <row r="14623" spans="1:4" ht="12.75" customHeight="1" x14ac:dyDescent="0.2">
      <c r="B14623" s="2"/>
      <c r="C14623" s="15"/>
      <c r="D14623" s="2"/>
    </row>
    <row r="14624" spans="1:4" ht="12.75" customHeight="1" x14ac:dyDescent="0.2">
      <c r="A14624" s="13" t="s">
        <v>4922</v>
      </c>
      <c r="C14624" s="12"/>
    </row>
    <row r="14625" spans="1:4" ht="12.75" customHeight="1" x14ac:dyDescent="0.2">
      <c r="A14625" s="11"/>
      <c r="B14625" s="2"/>
      <c r="C14625" s="15"/>
      <c r="D14625" s="2"/>
    </row>
    <row r="14626" spans="1:4" ht="12.75" customHeight="1" x14ac:dyDescent="0.2">
      <c r="B14626" s="11" t="s">
        <v>0</v>
      </c>
      <c r="C14626" s="11" t="s">
        <v>255</v>
      </c>
    </row>
    <row r="14627" spans="1:4" ht="12.75" customHeight="1" x14ac:dyDescent="0.2">
      <c r="B14627" s="11" t="s">
        <v>2599</v>
      </c>
      <c r="C14627" s="11" t="s">
        <v>1940</v>
      </c>
    </row>
    <row r="14628" spans="1:4" ht="25.5" customHeight="1" x14ac:dyDescent="0.2">
      <c r="B14628" s="11" t="s">
        <v>2600</v>
      </c>
      <c r="C14628" s="11" t="s">
        <v>4923</v>
      </c>
    </row>
    <row r="14629" spans="1:4" ht="25.5" customHeight="1" x14ac:dyDescent="0.2">
      <c r="B14629" s="11" t="s">
        <v>2601</v>
      </c>
      <c r="C14629" s="11"/>
    </row>
    <row r="14630" spans="1:4" ht="12.75" customHeight="1" x14ac:dyDescent="0.2">
      <c r="B14630" s="11" t="s">
        <v>16</v>
      </c>
      <c r="C14630" s="11"/>
    </row>
    <row r="14631" spans="1:4" ht="12.75" customHeight="1" x14ac:dyDescent="0.2">
      <c r="B14631" s="11" t="s">
        <v>13</v>
      </c>
      <c r="C14631" s="11" t="s">
        <v>2644</v>
      </c>
    </row>
    <row r="14632" spans="1:4" ht="12.75" customHeight="1" x14ac:dyDescent="0.2">
      <c r="B14632" s="11" t="s">
        <v>2603</v>
      </c>
      <c r="C14632" s="11" t="s">
        <v>2604</v>
      </c>
    </row>
    <row r="14633" spans="1:4" ht="12.75" customHeight="1" x14ac:dyDescent="0.2">
      <c r="B14633" s="11" t="s">
        <v>2605</v>
      </c>
      <c r="C14633" s="11" t="s">
        <v>24</v>
      </c>
    </row>
    <row r="14634" spans="1:4" ht="25.5" customHeight="1" x14ac:dyDescent="0.2">
      <c r="B14634" s="11" t="s">
        <v>2606</v>
      </c>
      <c r="C14634" s="16" t="s">
        <v>56</v>
      </c>
      <c r="D14634" s="6" t="str">
        <f>HYPERLINK("javascript:void(0)","sárkány izom")</f>
        <v>sárkány izom</v>
      </c>
    </row>
    <row r="14635" spans="1:4" ht="12.75" customHeight="1" x14ac:dyDescent="0.2">
      <c r="C14635" s="16" t="s">
        <v>68</v>
      </c>
      <c r="D14635" s="6" t="str">
        <f>HYPERLINK("javascript:void(0)","kincs")</f>
        <v>kincs</v>
      </c>
    </row>
    <row r="14636" spans="1:4" ht="25.5" customHeight="1" x14ac:dyDescent="0.2">
      <c r="C14636" s="16" t="s">
        <v>44</v>
      </c>
      <c r="D14636" s="6" t="str">
        <f>HYPERLINK("javascript:void(0)","sárkányzsák")</f>
        <v>sárkányzsák</v>
      </c>
    </row>
    <row r="14637" spans="1:4" ht="12.75" customHeight="1" x14ac:dyDescent="0.2">
      <c r="B14637" s="2"/>
      <c r="C14637" s="15"/>
      <c r="D14637" s="2"/>
    </row>
    <row r="14638" spans="1:4" ht="12.75" customHeight="1" x14ac:dyDescent="0.2">
      <c r="B14638" s="2"/>
      <c r="C14638" s="15"/>
      <c r="D14638" s="2"/>
    </row>
    <row r="14639" spans="1:4" ht="12.75" customHeight="1" x14ac:dyDescent="0.2">
      <c r="A14639" s="13" t="s">
        <v>4924</v>
      </c>
      <c r="C14639" s="12"/>
    </row>
    <row r="14640" spans="1:4" ht="12.75" customHeight="1" x14ac:dyDescent="0.2">
      <c r="A14640" s="11"/>
      <c r="B14640" s="2"/>
      <c r="C14640" s="15"/>
      <c r="D14640" s="2"/>
    </row>
    <row r="14641" spans="1:4" ht="12.75" customHeight="1" x14ac:dyDescent="0.2">
      <c r="B14641" s="11" t="s">
        <v>0</v>
      </c>
      <c r="C14641" s="11" t="s">
        <v>255</v>
      </c>
    </row>
    <row r="14642" spans="1:4" ht="12.75" customHeight="1" x14ac:dyDescent="0.2">
      <c r="B14642" s="11" t="s">
        <v>2599</v>
      </c>
      <c r="C14642" s="11" t="s">
        <v>4925</v>
      </c>
    </row>
    <row r="14643" spans="1:4" ht="25.5" customHeight="1" x14ac:dyDescent="0.2">
      <c r="B14643" s="11" t="s">
        <v>2600</v>
      </c>
      <c r="C14643" s="11" t="s">
        <v>4926</v>
      </c>
    </row>
    <row r="14644" spans="1:4" ht="25.5" customHeight="1" x14ac:dyDescent="0.2">
      <c r="B14644" s="11" t="s">
        <v>2601</v>
      </c>
      <c r="C14644" s="11"/>
    </row>
    <row r="14645" spans="1:4" ht="12.75" customHeight="1" x14ac:dyDescent="0.2">
      <c r="B14645" s="11" t="s">
        <v>16</v>
      </c>
      <c r="C14645" s="11"/>
    </row>
    <row r="14646" spans="1:4" ht="12.75" customHeight="1" x14ac:dyDescent="0.2">
      <c r="B14646" s="11" t="s">
        <v>13</v>
      </c>
      <c r="C14646" s="11" t="s">
        <v>2602</v>
      </c>
    </row>
    <row r="14647" spans="1:4" ht="12.75" customHeight="1" x14ac:dyDescent="0.2">
      <c r="B14647" s="11" t="s">
        <v>2603</v>
      </c>
      <c r="C14647" s="11" t="s">
        <v>2604</v>
      </c>
    </row>
    <row r="14648" spans="1:4" ht="12.75" customHeight="1" x14ac:dyDescent="0.2">
      <c r="B14648" s="11" t="s">
        <v>2605</v>
      </c>
      <c r="C14648" s="11" t="s">
        <v>14</v>
      </c>
    </row>
    <row r="14649" spans="1:4" ht="25.5" customHeight="1" x14ac:dyDescent="0.2">
      <c r="B14649" s="11" t="s">
        <v>2606</v>
      </c>
      <c r="C14649" s="16" t="s">
        <v>55</v>
      </c>
      <c r="D14649" s="6" t="str">
        <f>HYPERLINK("javascript:void(0)","lábszárcsont")</f>
        <v>lábszárcsont</v>
      </c>
    </row>
    <row r="14650" spans="1:4" ht="12.75" customHeight="1" x14ac:dyDescent="0.2">
      <c r="C14650" s="16" t="s">
        <v>196</v>
      </c>
      <c r="D14650" s="6" t="str">
        <f>HYPERLINK("javascript:void(0)","kincs")</f>
        <v>kincs</v>
      </c>
    </row>
    <row r="14651" spans="1:4" ht="12.75" customHeight="1" x14ac:dyDescent="0.2">
      <c r="B14651" s="2"/>
      <c r="C14651" s="15"/>
      <c r="D14651" s="2"/>
    </row>
    <row r="14652" spans="1:4" ht="12.75" customHeight="1" x14ac:dyDescent="0.2">
      <c r="B14652" s="2"/>
      <c r="C14652" s="15"/>
      <c r="D14652" s="2"/>
    </row>
    <row r="14653" spans="1:4" ht="12.75" customHeight="1" x14ac:dyDescent="0.2">
      <c r="A14653" s="13" t="s">
        <v>4927</v>
      </c>
      <c r="C14653" s="12"/>
    </row>
    <row r="14654" spans="1:4" ht="12.75" customHeight="1" x14ac:dyDescent="0.2">
      <c r="A14654" s="11"/>
      <c r="B14654" s="2"/>
      <c r="C14654" s="15"/>
      <c r="D14654" s="2"/>
    </row>
    <row r="14655" spans="1:4" ht="12.75" customHeight="1" x14ac:dyDescent="0.2">
      <c r="B14655" s="11" t="s">
        <v>0</v>
      </c>
      <c r="C14655" s="11" t="s">
        <v>255</v>
      </c>
    </row>
    <row r="14656" spans="1:4" ht="12.75" customHeight="1" x14ac:dyDescent="0.2">
      <c r="B14656" s="11" t="s">
        <v>2599</v>
      </c>
      <c r="C14656" s="11" t="s">
        <v>4928</v>
      </c>
    </row>
    <row r="14657" spans="1:4" ht="25.5" customHeight="1" x14ac:dyDescent="0.2">
      <c r="B14657" s="11" t="s">
        <v>2600</v>
      </c>
      <c r="C14657" s="11" t="s">
        <v>4929</v>
      </c>
    </row>
    <row r="14658" spans="1:4" ht="25.5" customHeight="1" x14ac:dyDescent="0.2">
      <c r="B14658" s="11" t="s">
        <v>2601</v>
      </c>
      <c r="C14658" s="11"/>
    </row>
    <row r="14659" spans="1:4" ht="12.75" customHeight="1" x14ac:dyDescent="0.2">
      <c r="B14659" s="11" t="s">
        <v>16</v>
      </c>
      <c r="C14659" s="11"/>
    </row>
    <row r="14660" spans="1:4" ht="12.75" customHeight="1" x14ac:dyDescent="0.2">
      <c r="B14660" s="11" t="s">
        <v>13</v>
      </c>
      <c r="C14660" s="11" t="s">
        <v>2644</v>
      </c>
    </row>
    <row r="14661" spans="1:4" ht="12.75" customHeight="1" x14ac:dyDescent="0.2">
      <c r="B14661" s="11" t="s">
        <v>2603</v>
      </c>
      <c r="C14661" s="11" t="s">
        <v>2604</v>
      </c>
    </row>
    <row r="14662" spans="1:4" ht="12.75" customHeight="1" x14ac:dyDescent="0.2">
      <c r="B14662" s="11" t="s">
        <v>2605</v>
      </c>
      <c r="C14662" s="11" t="s">
        <v>24</v>
      </c>
    </row>
    <row r="14663" spans="1:4" ht="12.75" customHeight="1" x14ac:dyDescent="0.2">
      <c r="B14663" s="11" t="s">
        <v>2606</v>
      </c>
      <c r="C14663" s="16" t="s">
        <v>44</v>
      </c>
      <c r="D14663" s="6" t="str">
        <f>HYPERLINK("javascript:void(0)","ikerkristály")</f>
        <v>ikerkristály</v>
      </c>
    </row>
    <row r="14664" spans="1:4" ht="12.75" customHeight="1" x14ac:dyDescent="0.2">
      <c r="C14664" s="16" t="s">
        <v>68</v>
      </c>
      <c r="D14664" s="6" t="str">
        <f>HYPERLINK("javascript:void(0)","kincs")</f>
        <v>kincs</v>
      </c>
    </row>
    <row r="14665" spans="1:4" ht="12.75" customHeight="1" x14ac:dyDescent="0.2">
      <c r="B14665" s="2"/>
      <c r="C14665" s="15"/>
      <c r="D14665" s="2"/>
    </row>
    <row r="14666" spans="1:4" ht="12.75" customHeight="1" x14ac:dyDescent="0.2">
      <c r="B14666" s="2"/>
      <c r="C14666" s="15"/>
      <c r="D14666" s="2"/>
    </row>
    <row r="14667" spans="1:4" ht="12.75" customHeight="1" x14ac:dyDescent="0.2">
      <c r="A14667" s="13" t="s">
        <v>4930</v>
      </c>
      <c r="C14667" s="12"/>
    </row>
    <row r="14668" spans="1:4" ht="12.75" customHeight="1" x14ac:dyDescent="0.2">
      <c r="A14668" s="11"/>
      <c r="B14668" s="2"/>
      <c r="C14668" s="15"/>
      <c r="D14668" s="2"/>
    </row>
    <row r="14669" spans="1:4" ht="12.75" customHeight="1" x14ac:dyDescent="0.2">
      <c r="B14669" s="11" t="s">
        <v>0</v>
      </c>
      <c r="C14669" s="11" t="s">
        <v>255</v>
      </c>
    </row>
    <row r="14670" spans="1:4" ht="12.75" customHeight="1" x14ac:dyDescent="0.2">
      <c r="B14670" s="11" t="s">
        <v>2599</v>
      </c>
      <c r="C14670" s="11" t="s">
        <v>3041</v>
      </c>
    </row>
    <row r="14671" spans="1:4" ht="25.5" customHeight="1" x14ac:dyDescent="0.2">
      <c r="B14671" s="11" t="s">
        <v>2600</v>
      </c>
      <c r="C14671" s="11" t="s">
        <v>4931</v>
      </c>
    </row>
    <row r="14672" spans="1:4" ht="25.5" customHeight="1" x14ac:dyDescent="0.2">
      <c r="B14672" s="11" t="s">
        <v>2601</v>
      </c>
      <c r="C14672" s="11"/>
    </row>
    <row r="14673" spans="1:4" ht="12.75" customHeight="1" x14ac:dyDescent="0.2">
      <c r="B14673" s="11" t="s">
        <v>16</v>
      </c>
      <c r="C14673" s="11"/>
    </row>
    <row r="14674" spans="1:4" ht="12.75" customHeight="1" x14ac:dyDescent="0.2">
      <c r="B14674" s="11" t="s">
        <v>13</v>
      </c>
      <c r="C14674" s="11" t="s">
        <v>2644</v>
      </c>
    </row>
    <row r="14675" spans="1:4" ht="12.75" customHeight="1" x14ac:dyDescent="0.2">
      <c r="B14675" s="11" t="s">
        <v>2603</v>
      </c>
      <c r="C14675" s="11" t="s">
        <v>2604</v>
      </c>
    </row>
    <row r="14676" spans="1:4" ht="12.75" customHeight="1" x14ac:dyDescent="0.2">
      <c r="B14676" s="11" t="s">
        <v>2605</v>
      </c>
      <c r="C14676" s="11" t="s">
        <v>14</v>
      </c>
    </row>
    <row r="14677" spans="1:4" ht="12.75" customHeight="1" x14ac:dyDescent="0.2">
      <c r="B14677" s="11" t="s">
        <v>2606</v>
      </c>
      <c r="C14677" s="16" t="s">
        <v>142</v>
      </c>
      <c r="D14677" s="6" t="str">
        <f>HYPERLINK("javascript:void(0)","kincs")</f>
        <v>kincs</v>
      </c>
    </row>
    <row r="14678" spans="1:4" ht="12.75" customHeight="1" x14ac:dyDescent="0.2">
      <c r="B14678" s="2"/>
      <c r="C14678" s="15"/>
      <c r="D14678" s="2"/>
    </row>
    <row r="14679" spans="1:4" ht="12.75" customHeight="1" x14ac:dyDescent="0.2">
      <c r="B14679" s="2"/>
      <c r="C14679" s="15"/>
      <c r="D14679" s="2"/>
    </row>
    <row r="14680" spans="1:4" ht="12.75" customHeight="1" x14ac:dyDescent="0.2">
      <c r="A14680" s="13" t="s">
        <v>4850</v>
      </c>
      <c r="C14680" s="12"/>
      <c r="D14680" s="2"/>
    </row>
    <row r="14681" spans="1:4" ht="12.75" customHeight="1" x14ac:dyDescent="0.2">
      <c r="A14681" s="11"/>
      <c r="B14681" s="2"/>
      <c r="C14681" s="15"/>
      <c r="D14681" s="2"/>
    </row>
    <row r="14682" spans="1:4" ht="12.75" customHeight="1" x14ac:dyDescent="0.2">
      <c r="B14682" s="11" t="s">
        <v>0</v>
      </c>
      <c r="C14682" s="17" t="s">
        <v>255</v>
      </c>
      <c r="D14682" s="2"/>
    </row>
    <row r="14683" spans="1:4" ht="12.75" customHeight="1" x14ac:dyDescent="0.2">
      <c r="B14683" s="11" t="s">
        <v>2599</v>
      </c>
      <c r="C14683" s="17" t="s">
        <v>4851</v>
      </c>
      <c r="D14683" s="2"/>
    </row>
    <row r="14684" spans="1:4" ht="25.5" customHeight="1" x14ac:dyDescent="0.2">
      <c r="B14684" s="11" t="s">
        <v>2600</v>
      </c>
      <c r="C14684" s="17" t="s">
        <v>4932</v>
      </c>
      <c r="D14684" s="2"/>
    </row>
    <row r="14685" spans="1:4" ht="25.5" customHeight="1" x14ac:dyDescent="0.2">
      <c r="B14685" s="11" t="s">
        <v>2601</v>
      </c>
      <c r="C14685" s="17"/>
      <c r="D14685" s="2"/>
    </row>
    <row r="14686" spans="1:4" ht="12.75" customHeight="1" x14ac:dyDescent="0.2">
      <c r="B14686" s="11" t="s">
        <v>16</v>
      </c>
      <c r="C14686" s="17"/>
      <c r="D14686" s="2"/>
    </row>
    <row r="14687" spans="1:4" ht="12.75" customHeight="1" x14ac:dyDescent="0.2">
      <c r="B14687" s="11" t="s">
        <v>13</v>
      </c>
      <c r="C14687" s="17" t="s">
        <v>2644</v>
      </c>
      <c r="D14687" s="2"/>
    </row>
    <row r="14688" spans="1:4" ht="25.5" customHeight="1" x14ac:dyDescent="0.2">
      <c r="B14688" s="11" t="s">
        <v>2603</v>
      </c>
      <c r="C14688" s="17" t="s">
        <v>2971</v>
      </c>
      <c r="D14688" s="2"/>
    </row>
    <row r="14689" spans="1:4" ht="12.75" customHeight="1" x14ac:dyDescent="0.2">
      <c r="B14689" s="11" t="s">
        <v>2605</v>
      </c>
      <c r="C14689" s="17" t="s">
        <v>14</v>
      </c>
      <c r="D14689" s="2"/>
    </row>
    <row r="14690" spans="1:4" ht="12.75" customHeight="1" x14ac:dyDescent="0.2">
      <c r="B14690" s="11" t="s">
        <v>2606</v>
      </c>
      <c r="C14690" s="16" t="s">
        <v>19</v>
      </c>
      <c r="D14690" s="2"/>
    </row>
    <row r="14691" spans="1:4" ht="12.75" customHeight="1" x14ac:dyDescent="0.2">
      <c r="B14691" s="2"/>
      <c r="C14691" s="15"/>
      <c r="D14691" s="2"/>
    </row>
    <row r="14692" spans="1:4" ht="12.75" customHeight="1" x14ac:dyDescent="0.2">
      <c r="B14692" s="2"/>
      <c r="C14692" s="15"/>
      <c r="D14692" s="2"/>
    </row>
    <row r="14693" spans="1:4" ht="12.75" customHeight="1" x14ac:dyDescent="0.2">
      <c r="A14693" s="13" t="s">
        <v>4853</v>
      </c>
      <c r="C14693" s="12"/>
      <c r="D14693" s="2"/>
    </row>
    <row r="14694" spans="1:4" ht="12.75" customHeight="1" x14ac:dyDescent="0.2">
      <c r="A14694" s="11"/>
      <c r="B14694" s="2"/>
      <c r="C14694" s="15"/>
      <c r="D14694" s="2"/>
    </row>
    <row r="14695" spans="1:4" ht="12.75" customHeight="1" x14ac:dyDescent="0.2">
      <c r="B14695" s="11" t="s">
        <v>0</v>
      </c>
      <c r="C14695" s="17" t="s">
        <v>255</v>
      </c>
      <c r="D14695" s="2"/>
    </row>
    <row r="14696" spans="1:4" ht="12.75" customHeight="1" x14ac:dyDescent="0.2">
      <c r="B14696" s="11" t="s">
        <v>2599</v>
      </c>
      <c r="C14696" s="17" t="s">
        <v>3296</v>
      </c>
      <c r="D14696" s="2"/>
    </row>
    <row r="14697" spans="1:4" ht="25.5" customHeight="1" x14ac:dyDescent="0.2">
      <c r="B14697" s="11" t="s">
        <v>2600</v>
      </c>
      <c r="C14697" s="17" t="s">
        <v>4933</v>
      </c>
      <c r="D14697" s="2"/>
    </row>
    <row r="14698" spans="1:4" ht="25.5" customHeight="1" x14ac:dyDescent="0.2">
      <c r="B14698" s="11" t="s">
        <v>2601</v>
      </c>
      <c r="C14698" s="17"/>
      <c r="D14698" s="2"/>
    </row>
    <row r="14699" spans="1:4" ht="12.75" customHeight="1" x14ac:dyDescent="0.2">
      <c r="B14699" s="11" t="s">
        <v>16</v>
      </c>
      <c r="C14699" s="17"/>
      <c r="D14699" s="2"/>
    </row>
    <row r="14700" spans="1:4" ht="12.75" customHeight="1" x14ac:dyDescent="0.2">
      <c r="B14700" s="11" t="s">
        <v>13</v>
      </c>
      <c r="C14700" s="17" t="s">
        <v>2602</v>
      </c>
      <c r="D14700" s="2"/>
    </row>
    <row r="14701" spans="1:4" ht="25.5" customHeight="1" x14ac:dyDescent="0.2">
      <c r="B14701" s="11" t="s">
        <v>2603</v>
      </c>
      <c r="C14701" s="17" t="s">
        <v>2971</v>
      </c>
      <c r="D14701" s="2"/>
    </row>
    <row r="14702" spans="1:4" ht="12.75" customHeight="1" x14ac:dyDescent="0.2">
      <c r="B14702" s="11" t="s">
        <v>2605</v>
      </c>
      <c r="C14702" s="17" t="s">
        <v>14</v>
      </c>
      <c r="D14702" s="2"/>
    </row>
    <row r="14703" spans="1:4" ht="12.75" customHeight="1" x14ac:dyDescent="0.2">
      <c r="B14703" s="11" t="s">
        <v>2606</v>
      </c>
      <c r="C14703" s="16" t="s">
        <v>19</v>
      </c>
      <c r="D14703" s="2"/>
    </row>
    <row r="14704" spans="1:4" ht="12.75" customHeight="1" x14ac:dyDescent="0.2">
      <c r="B14704" s="2"/>
      <c r="C14704" s="15"/>
      <c r="D14704" s="2"/>
    </row>
    <row r="14705" spans="1:4" ht="12.75" customHeight="1" x14ac:dyDescent="0.2">
      <c r="B14705" s="2"/>
      <c r="C14705" s="15"/>
      <c r="D14705" s="2"/>
    </row>
    <row r="14706" spans="1:4" ht="12.75" customHeight="1" x14ac:dyDescent="0.2">
      <c r="A14706" s="13" t="s">
        <v>4822</v>
      </c>
      <c r="C14706" s="12"/>
      <c r="D14706" s="2"/>
    </row>
    <row r="14707" spans="1:4" ht="12.75" customHeight="1" x14ac:dyDescent="0.2">
      <c r="A14707" s="11"/>
      <c r="B14707" s="2"/>
      <c r="C14707" s="15"/>
      <c r="D14707" s="2"/>
    </row>
    <row r="14708" spans="1:4" ht="12.75" customHeight="1" x14ac:dyDescent="0.2">
      <c r="B14708" s="11" t="s">
        <v>0</v>
      </c>
      <c r="C14708" s="17" t="s">
        <v>281</v>
      </c>
      <c r="D14708" s="2"/>
    </row>
    <row r="14709" spans="1:4" ht="12.75" customHeight="1" x14ac:dyDescent="0.2">
      <c r="B14709" s="11" t="s">
        <v>2599</v>
      </c>
      <c r="C14709" s="17" t="s">
        <v>4823</v>
      </c>
      <c r="D14709" s="2"/>
    </row>
    <row r="14710" spans="1:4" ht="25.5" customHeight="1" x14ac:dyDescent="0.2">
      <c r="B14710" s="11" t="s">
        <v>2600</v>
      </c>
      <c r="C14710" s="17" t="s">
        <v>4934</v>
      </c>
      <c r="D14710" s="2"/>
    </row>
    <row r="14711" spans="1:4" ht="25.5" customHeight="1" x14ac:dyDescent="0.2">
      <c r="B14711" s="11" t="s">
        <v>2601</v>
      </c>
      <c r="C14711" s="17"/>
      <c r="D14711" s="2"/>
    </row>
    <row r="14712" spans="1:4" ht="12.75" customHeight="1" x14ac:dyDescent="0.2">
      <c r="B14712" s="11" t="s">
        <v>16</v>
      </c>
      <c r="C14712" s="17"/>
      <c r="D14712" s="2"/>
    </row>
    <row r="14713" spans="1:4" ht="12.75" customHeight="1" x14ac:dyDescent="0.2">
      <c r="B14713" s="11" t="s">
        <v>13</v>
      </c>
      <c r="C14713" s="17" t="s">
        <v>2644</v>
      </c>
      <c r="D14713" s="2"/>
    </row>
    <row r="14714" spans="1:4" ht="25.5" customHeight="1" x14ac:dyDescent="0.2">
      <c r="B14714" s="11" t="s">
        <v>2603</v>
      </c>
      <c r="C14714" s="17" t="s">
        <v>2971</v>
      </c>
      <c r="D14714" s="2"/>
    </row>
    <row r="14715" spans="1:4" ht="12.75" customHeight="1" x14ac:dyDescent="0.2">
      <c r="B14715" s="11" t="s">
        <v>2605</v>
      </c>
      <c r="C14715" s="17" t="s">
        <v>14</v>
      </c>
      <c r="D14715" s="2"/>
    </row>
    <row r="14716" spans="1:4" ht="12.75" customHeight="1" x14ac:dyDescent="0.2">
      <c r="B14716" s="11" t="s">
        <v>2606</v>
      </c>
      <c r="C14716" s="16" t="s">
        <v>19</v>
      </c>
      <c r="D14716" s="2"/>
    </row>
    <row r="14717" spans="1:4" ht="12.75" customHeight="1" x14ac:dyDescent="0.2">
      <c r="B14717" s="2"/>
      <c r="C14717" s="15"/>
      <c r="D14717" s="2"/>
    </row>
    <row r="14718" spans="1:4" ht="12.75" customHeight="1" x14ac:dyDescent="0.2">
      <c r="B14718" s="2"/>
      <c r="C14718" s="15"/>
      <c r="D14718" s="2"/>
    </row>
    <row r="14719" spans="1:4" ht="12.75" customHeight="1" x14ac:dyDescent="0.2">
      <c r="A14719" s="13" t="s">
        <v>4825</v>
      </c>
      <c r="C14719" s="12"/>
      <c r="D14719" s="2"/>
    </row>
    <row r="14720" spans="1:4" ht="12.75" customHeight="1" x14ac:dyDescent="0.2">
      <c r="A14720" s="11"/>
      <c r="B14720" s="2"/>
      <c r="C14720" s="15"/>
      <c r="D14720" s="2"/>
    </row>
    <row r="14721" spans="1:4" ht="12.75" customHeight="1" x14ac:dyDescent="0.2">
      <c r="B14721" s="11" t="s">
        <v>0</v>
      </c>
      <c r="C14721" s="17" t="s">
        <v>281</v>
      </c>
      <c r="D14721" s="2"/>
    </row>
    <row r="14722" spans="1:4" ht="12.75" customHeight="1" x14ac:dyDescent="0.2">
      <c r="B14722" s="11" t="s">
        <v>2599</v>
      </c>
      <c r="C14722" s="17" t="s">
        <v>4826</v>
      </c>
      <c r="D14722" s="2"/>
    </row>
    <row r="14723" spans="1:4" ht="25.5" customHeight="1" x14ac:dyDescent="0.2">
      <c r="B14723" s="11" t="s">
        <v>2600</v>
      </c>
      <c r="C14723" s="17" t="s">
        <v>4935</v>
      </c>
      <c r="D14723" s="2"/>
    </row>
    <row r="14724" spans="1:4" ht="25.5" customHeight="1" x14ac:dyDescent="0.2">
      <c r="B14724" s="11" t="s">
        <v>2601</v>
      </c>
      <c r="C14724" s="17"/>
      <c r="D14724" s="2"/>
    </row>
    <row r="14725" spans="1:4" ht="12.75" customHeight="1" x14ac:dyDescent="0.2">
      <c r="B14725" s="11" t="s">
        <v>16</v>
      </c>
      <c r="C14725" s="17"/>
      <c r="D14725" s="2"/>
    </row>
    <row r="14726" spans="1:4" ht="12.75" customHeight="1" x14ac:dyDescent="0.2">
      <c r="B14726" s="11" t="s">
        <v>13</v>
      </c>
      <c r="C14726" s="17" t="s">
        <v>2602</v>
      </c>
      <c r="D14726" s="2"/>
    </row>
    <row r="14727" spans="1:4" ht="25.5" customHeight="1" x14ac:dyDescent="0.2">
      <c r="B14727" s="11" t="s">
        <v>2603</v>
      </c>
      <c r="C14727" s="17" t="s">
        <v>2971</v>
      </c>
      <c r="D14727" s="2"/>
    </row>
    <row r="14728" spans="1:4" ht="12.75" customHeight="1" x14ac:dyDescent="0.2">
      <c r="B14728" s="11" t="s">
        <v>2605</v>
      </c>
      <c r="C14728" s="17" t="s">
        <v>14</v>
      </c>
      <c r="D14728" s="2"/>
    </row>
    <row r="14729" spans="1:4" ht="12.75" customHeight="1" x14ac:dyDescent="0.2">
      <c r="B14729" s="11" t="s">
        <v>2606</v>
      </c>
      <c r="C14729" s="16" t="s">
        <v>19</v>
      </c>
      <c r="D14729" s="2"/>
    </row>
    <row r="14730" spans="1:4" ht="12.75" customHeight="1" x14ac:dyDescent="0.2">
      <c r="B14730" s="2"/>
      <c r="C14730" s="15"/>
      <c r="D14730" s="2"/>
    </row>
    <row r="14731" spans="1:4" ht="12.75" customHeight="1" x14ac:dyDescent="0.2">
      <c r="B14731" s="2"/>
      <c r="C14731" s="15"/>
      <c r="D14731" s="2"/>
    </row>
    <row r="14732" spans="1:4" ht="12.75" customHeight="1" x14ac:dyDescent="0.2">
      <c r="A14732" s="13" t="s">
        <v>4936</v>
      </c>
      <c r="C14732" s="12"/>
    </row>
    <row r="14733" spans="1:4" ht="12.75" customHeight="1" x14ac:dyDescent="0.2">
      <c r="A14733" s="11"/>
      <c r="B14733" s="2"/>
      <c r="C14733" s="15"/>
      <c r="D14733" s="2"/>
    </row>
    <row r="14734" spans="1:4" ht="12.75" customHeight="1" x14ac:dyDescent="0.2">
      <c r="B14734" s="11" t="s">
        <v>0</v>
      </c>
      <c r="C14734" s="11" t="s">
        <v>281</v>
      </c>
    </row>
    <row r="14735" spans="1:4" ht="12.75" customHeight="1" x14ac:dyDescent="0.2">
      <c r="B14735" s="11" t="s">
        <v>2599</v>
      </c>
      <c r="C14735" s="11" t="s">
        <v>4937</v>
      </c>
    </row>
    <row r="14736" spans="1:4" ht="25.5" customHeight="1" x14ac:dyDescent="0.2">
      <c r="B14736" s="11" t="s">
        <v>2600</v>
      </c>
      <c r="C14736" s="11" t="s">
        <v>4938</v>
      </c>
    </row>
    <row r="14737" spans="1:4" ht="25.5" customHeight="1" x14ac:dyDescent="0.2">
      <c r="B14737" s="11" t="s">
        <v>2601</v>
      </c>
      <c r="C14737" s="11"/>
    </row>
    <row r="14738" spans="1:4" ht="12.75" customHeight="1" x14ac:dyDescent="0.2">
      <c r="B14738" s="11" t="s">
        <v>16</v>
      </c>
      <c r="C14738" s="11"/>
    </row>
    <row r="14739" spans="1:4" ht="12.75" customHeight="1" x14ac:dyDescent="0.2">
      <c r="B14739" s="11" t="s">
        <v>13</v>
      </c>
      <c r="C14739" s="11" t="s">
        <v>2644</v>
      </c>
    </row>
    <row r="14740" spans="1:4" ht="12.75" customHeight="1" x14ac:dyDescent="0.2">
      <c r="B14740" s="11" t="s">
        <v>2603</v>
      </c>
      <c r="C14740" s="11" t="s">
        <v>2604</v>
      </c>
    </row>
    <row r="14741" spans="1:4" ht="12.75" customHeight="1" x14ac:dyDescent="0.2">
      <c r="B14741" s="11" t="s">
        <v>2605</v>
      </c>
      <c r="C14741" s="11" t="s">
        <v>24</v>
      </c>
    </row>
    <row r="14742" spans="1:4" ht="12.75" customHeight="1" x14ac:dyDescent="0.2">
      <c r="B14742" s="11" t="s">
        <v>2606</v>
      </c>
      <c r="C14742" s="16" t="s">
        <v>193</v>
      </c>
      <c r="D14742" s="6" t="str">
        <f>HYPERLINK("javascript:void(0)","kincs")</f>
        <v>kincs</v>
      </c>
    </row>
    <row r="14743" spans="1:4" ht="12.75" customHeight="1" x14ac:dyDescent="0.2">
      <c r="C14743" s="16" t="s">
        <v>44</v>
      </c>
      <c r="D14743" s="6" t="str">
        <f>HYPERLINK("javascript:void(0)","brummogás")</f>
        <v>brummogás</v>
      </c>
    </row>
    <row r="14744" spans="1:4" ht="12.75" customHeight="1" x14ac:dyDescent="0.2">
      <c r="B14744" s="2"/>
      <c r="C14744" s="15"/>
      <c r="D14744" s="2"/>
    </row>
    <row r="14745" spans="1:4" ht="12.75" customHeight="1" x14ac:dyDescent="0.2">
      <c r="B14745" s="2"/>
      <c r="C14745" s="15"/>
      <c r="D14745" s="2"/>
    </row>
    <row r="14746" spans="1:4" ht="12.75" customHeight="1" x14ac:dyDescent="0.2">
      <c r="A14746" s="13" t="s">
        <v>4939</v>
      </c>
      <c r="C14746" s="12"/>
    </row>
    <row r="14747" spans="1:4" ht="12.75" customHeight="1" x14ac:dyDescent="0.2">
      <c r="A14747" s="11"/>
      <c r="B14747" s="2"/>
      <c r="C14747" s="15"/>
      <c r="D14747" s="2"/>
    </row>
    <row r="14748" spans="1:4" ht="12.75" customHeight="1" x14ac:dyDescent="0.2">
      <c r="B14748" s="11" t="s">
        <v>0</v>
      </c>
      <c r="C14748" s="11" t="s">
        <v>281</v>
      </c>
    </row>
    <row r="14749" spans="1:4" ht="12.75" customHeight="1" x14ac:dyDescent="0.2">
      <c r="B14749" s="11" t="s">
        <v>2599</v>
      </c>
      <c r="C14749" s="11" t="s">
        <v>4940</v>
      </c>
    </row>
    <row r="14750" spans="1:4" ht="25.5" customHeight="1" x14ac:dyDescent="0.2">
      <c r="B14750" s="11" t="s">
        <v>2600</v>
      </c>
      <c r="C14750" s="11" t="s">
        <v>4941</v>
      </c>
    </row>
    <row r="14751" spans="1:4" ht="25.5" customHeight="1" x14ac:dyDescent="0.2">
      <c r="B14751" s="11" t="s">
        <v>2601</v>
      </c>
      <c r="C14751" s="11"/>
    </row>
    <row r="14752" spans="1:4" ht="12.75" customHeight="1" x14ac:dyDescent="0.2">
      <c r="B14752" s="11" t="s">
        <v>16</v>
      </c>
      <c r="C14752" s="11"/>
    </row>
    <row r="14753" spans="1:4" ht="12.75" customHeight="1" x14ac:dyDescent="0.2">
      <c r="B14753" s="11" t="s">
        <v>13</v>
      </c>
      <c r="C14753" s="11" t="s">
        <v>2602</v>
      </c>
    </row>
    <row r="14754" spans="1:4" ht="12.75" customHeight="1" x14ac:dyDescent="0.2">
      <c r="B14754" s="11" t="s">
        <v>2603</v>
      </c>
      <c r="C14754" s="11" t="s">
        <v>2604</v>
      </c>
    </row>
    <row r="14755" spans="1:4" ht="12.75" customHeight="1" x14ac:dyDescent="0.2">
      <c r="B14755" s="11" t="s">
        <v>2605</v>
      </c>
      <c r="C14755" s="11" t="s">
        <v>14</v>
      </c>
    </row>
    <row r="14756" spans="1:4" ht="12.75" customHeight="1" x14ac:dyDescent="0.2">
      <c r="B14756" s="11" t="s">
        <v>2606</v>
      </c>
      <c r="C14756" s="16" t="s">
        <v>296</v>
      </c>
      <c r="D14756" s="6" t="str">
        <f>HYPERLINK("javascript:void(0)","kincs")</f>
        <v>kincs</v>
      </c>
    </row>
    <row r="14757" spans="1:4" ht="12.75" customHeight="1" x14ac:dyDescent="0.2">
      <c r="C14757" s="16" t="s">
        <v>44</v>
      </c>
      <c r="D14757" s="6" t="str">
        <f>HYPERLINK("javascript:void(0)","lámpás")</f>
        <v>lámpás</v>
      </c>
    </row>
    <row r="14758" spans="1:4" ht="12.75" customHeight="1" x14ac:dyDescent="0.2">
      <c r="B14758" s="2"/>
      <c r="C14758" s="15"/>
      <c r="D14758" s="2"/>
    </row>
    <row r="14759" spans="1:4" ht="12.75" customHeight="1" x14ac:dyDescent="0.2">
      <c r="B14759" s="2"/>
      <c r="C14759" s="15"/>
      <c r="D14759" s="2"/>
    </row>
    <row r="14760" spans="1:4" ht="12.75" customHeight="1" x14ac:dyDescent="0.2">
      <c r="A14760" s="13" t="s">
        <v>4942</v>
      </c>
      <c r="C14760" s="12"/>
    </row>
    <row r="14761" spans="1:4" ht="12.75" customHeight="1" x14ac:dyDescent="0.2">
      <c r="A14761" s="11"/>
      <c r="B14761" s="2"/>
      <c r="C14761" s="15"/>
      <c r="D14761" s="2"/>
    </row>
    <row r="14762" spans="1:4" ht="12.75" customHeight="1" x14ac:dyDescent="0.2">
      <c r="B14762" s="11" t="s">
        <v>0</v>
      </c>
      <c r="C14762" s="11" t="s">
        <v>281</v>
      </c>
    </row>
    <row r="14763" spans="1:4" ht="12.75" customHeight="1" x14ac:dyDescent="0.2">
      <c r="B14763" s="11" t="s">
        <v>2599</v>
      </c>
      <c r="C14763" s="11" t="s">
        <v>4943</v>
      </c>
    </row>
    <row r="14764" spans="1:4" ht="25.5" customHeight="1" x14ac:dyDescent="0.2">
      <c r="B14764" s="11" t="s">
        <v>2600</v>
      </c>
      <c r="C14764" s="11" t="s">
        <v>4944</v>
      </c>
    </row>
    <row r="14765" spans="1:4" ht="25.5" customHeight="1" x14ac:dyDescent="0.2">
      <c r="B14765" s="11" t="s">
        <v>2601</v>
      </c>
      <c r="C14765" s="11"/>
    </row>
    <row r="14766" spans="1:4" ht="12.75" customHeight="1" x14ac:dyDescent="0.2">
      <c r="B14766" s="11" t="s">
        <v>16</v>
      </c>
      <c r="C14766" s="11"/>
    </row>
    <row r="14767" spans="1:4" ht="12.75" customHeight="1" x14ac:dyDescent="0.2">
      <c r="B14767" s="11" t="s">
        <v>13</v>
      </c>
      <c r="C14767" s="11" t="s">
        <v>2602</v>
      </c>
    </row>
    <row r="14768" spans="1:4" ht="12.75" customHeight="1" x14ac:dyDescent="0.2">
      <c r="B14768" s="11" t="s">
        <v>2603</v>
      </c>
      <c r="C14768" s="11" t="s">
        <v>2604</v>
      </c>
    </row>
    <row r="14769" spans="1:4" ht="12.75" customHeight="1" x14ac:dyDescent="0.2">
      <c r="B14769" s="11" t="s">
        <v>2605</v>
      </c>
      <c r="C14769" s="11" t="s">
        <v>14</v>
      </c>
    </row>
    <row r="14770" spans="1:4" ht="12.75" customHeight="1" x14ac:dyDescent="0.2">
      <c r="B14770" s="11" t="s">
        <v>2606</v>
      </c>
      <c r="C14770" s="16" t="s">
        <v>44</v>
      </c>
      <c r="D14770" s="6" t="str">
        <f>HYPERLINK("javascript:void(0)","csapdaszeg")</f>
        <v>csapdaszeg</v>
      </c>
    </row>
    <row r="14771" spans="1:4" ht="12.75" customHeight="1" x14ac:dyDescent="0.2">
      <c r="C14771" s="16" t="s">
        <v>331</v>
      </c>
      <c r="D14771" s="6" t="str">
        <f>HYPERLINK("javascript:void(0)","kincs")</f>
        <v>kincs</v>
      </c>
    </row>
    <row r="14772" spans="1:4" ht="12.75" customHeight="1" x14ac:dyDescent="0.2">
      <c r="B14772" s="2"/>
      <c r="C14772" s="15"/>
      <c r="D14772" s="2"/>
    </row>
    <row r="14773" spans="1:4" ht="12.75" customHeight="1" x14ac:dyDescent="0.2">
      <c r="B14773" s="2"/>
      <c r="C14773" s="15"/>
      <c r="D14773" s="2"/>
    </row>
    <row r="14774" spans="1:4" ht="12.75" customHeight="1" x14ac:dyDescent="0.2">
      <c r="A14774" s="13" t="s">
        <v>4945</v>
      </c>
      <c r="C14774" s="12"/>
    </row>
    <row r="14775" spans="1:4" ht="12.75" customHeight="1" x14ac:dyDescent="0.2">
      <c r="A14775" s="11"/>
      <c r="B14775" s="2"/>
      <c r="C14775" s="15"/>
      <c r="D14775" s="2"/>
    </row>
    <row r="14776" spans="1:4" ht="12.75" customHeight="1" x14ac:dyDescent="0.2">
      <c r="B14776" s="11" t="s">
        <v>0</v>
      </c>
      <c r="C14776" s="11" t="s">
        <v>281</v>
      </c>
    </row>
    <row r="14777" spans="1:4" ht="12.75" customHeight="1" x14ac:dyDescent="0.2">
      <c r="B14777" s="11" t="s">
        <v>2599</v>
      </c>
      <c r="C14777" s="11" t="s">
        <v>4946</v>
      </c>
    </row>
    <row r="14778" spans="1:4" ht="25.5" customHeight="1" x14ac:dyDescent="0.2">
      <c r="B14778" s="11" t="s">
        <v>2600</v>
      </c>
      <c r="C14778" s="11" t="s">
        <v>4947</v>
      </c>
    </row>
    <row r="14779" spans="1:4" ht="25.5" customHeight="1" x14ac:dyDescent="0.2">
      <c r="B14779" s="11" t="s">
        <v>2601</v>
      </c>
      <c r="C14779" s="11"/>
    </row>
    <row r="14780" spans="1:4" ht="12.75" customHeight="1" x14ac:dyDescent="0.2">
      <c r="B14780" s="11" t="s">
        <v>16</v>
      </c>
      <c r="C14780" s="11"/>
    </row>
    <row r="14781" spans="1:4" ht="12.75" customHeight="1" x14ac:dyDescent="0.2">
      <c r="B14781" s="11" t="s">
        <v>13</v>
      </c>
      <c r="C14781" s="11" t="s">
        <v>2602</v>
      </c>
    </row>
    <row r="14782" spans="1:4" ht="12.75" customHeight="1" x14ac:dyDescent="0.2">
      <c r="B14782" s="11" t="s">
        <v>2603</v>
      </c>
      <c r="C14782" s="11" t="s">
        <v>2604</v>
      </c>
    </row>
    <row r="14783" spans="1:4" ht="12.75" customHeight="1" x14ac:dyDescent="0.2">
      <c r="B14783" s="11" t="s">
        <v>2605</v>
      </c>
      <c r="C14783" s="11" t="s">
        <v>24</v>
      </c>
    </row>
    <row r="14784" spans="1:4" ht="12.75" customHeight="1" x14ac:dyDescent="0.2">
      <c r="B14784" s="11" t="s">
        <v>2606</v>
      </c>
      <c r="C14784" s="16" t="s">
        <v>57</v>
      </c>
      <c r="D14784" s="6" t="str">
        <f>HYPERLINK("javascript:void(0)","kincs")</f>
        <v>kincs</v>
      </c>
    </row>
    <row r="14785" spans="1:4" ht="12.75" customHeight="1" x14ac:dyDescent="0.2">
      <c r="C14785" s="16" t="s">
        <v>44</v>
      </c>
      <c r="D14785" s="6" t="str">
        <f>HYPERLINK("javascript:void(0)","lux")</f>
        <v>lux</v>
      </c>
    </row>
    <row r="14786" spans="1:4" ht="12.75" customHeight="1" x14ac:dyDescent="0.2">
      <c r="B14786" s="2"/>
      <c r="C14786" s="15"/>
      <c r="D14786" s="2"/>
    </row>
    <row r="14787" spans="1:4" ht="12.75" customHeight="1" x14ac:dyDescent="0.2">
      <c r="B14787" s="2"/>
      <c r="C14787" s="15"/>
      <c r="D14787" s="2"/>
    </row>
    <row r="14788" spans="1:4" ht="12.75" customHeight="1" x14ac:dyDescent="0.2">
      <c r="A14788" s="13" t="s">
        <v>4948</v>
      </c>
      <c r="C14788" s="12"/>
    </row>
    <row r="14789" spans="1:4" ht="12.75" customHeight="1" x14ac:dyDescent="0.2">
      <c r="A14789" s="11"/>
      <c r="B14789" s="2"/>
      <c r="C14789" s="15"/>
      <c r="D14789" s="2"/>
    </row>
    <row r="14790" spans="1:4" ht="12.75" customHeight="1" x14ac:dyDescent="0.2">
      <c r="B14790" s="11" t="s">
        <v>0</v>
      </c>
      <c r="C14790" s="11" t="s">
        <v>281</v>
      </c>
    </row>
    <row r="14791" spans="1:4" ht="12.75" customHeight="1" x14ac:dyDescent="0.2">
      <c r="B14791" s="11" t="s">
        <v>2599</v>
      </c>
      <c r="C14791" s="11" t="s">
        <v>4575</v>
      </c>
    </row>
    <row r="14792" spans="1:4" ht="25.5" customHeight="1" x14ac:dyDescent="0.2">
      <c r="B14792" s="11" t="s">
        <v>2600</v>
      </c>
      <c r="C14792" s="11" t="s">
        <v>4949</v>
      </c>
    </row>
    <row r="14793" spans="1:4" ht="25.5" customHeight="1" x14ac:dyDescent="0.2">
      <c r="B14793" s="11" t="s">
        <v>2601</v>
      </c>
      <c r="C14793" s="11"/>
    </row>
    <row r="14794" spans="1:4" ht="12.75" customHeight="1" x14ac:dyDescent="0.2">
      <c r="B14794" s="11" t="s">
        <v>16</v>
      </c>
      <c r="C14794" s="11"/>
    </row>
    <row r="14795" spans="1:4" ht="12.75" customHeight="1" x14ac:dyDescent="0.2">
      <c r="B14795" s="11" t="s">
        <v>13</v>
      </c>
      <c r="C14795" s="11" t="s">
        <v>2644</v>
      </c>
    </row>
    <row r="14796" spans="1:4" ht="12.75" customHeight="1" x14ac:dyDescent="0.2">
      <c r="B14796" s="11" t="s">
        <v>2603</v>
      </c>
      <c r="C14796" s="11" t="s">
        <v>2604</v>
      </c>
    </row>
    <row r="14797" spans="1:4" ht="12.75" customHeight="1" x14ac:dyDescent="0.2">
      <c r="B14797" s="11" t="s">
        <v>2605</v>
      </c>
      <c r="C14797" s="11" t="s">
        <v>24</v>
      </c>
    </row>
    <row r="14798" spans="1:4" ht="12.75" customHeight="1" x14ac:dyDescent="0.2">
      <c r="B14798" s="11" t="s">
        <v>2606</v>
      </c>
      <c r="C14798" s="16" t="s">
        <v>44</v>
      </c>
      <c r="D14798" s="6" t="str">
        <f>HYPERLINK("javascript:void(0)","dobókocka")</f>
        <v>dobókocka</v>
      </c>
    </row>
    <row r="14799" spans="1:4" ht="12.75" customHeight="1" x14ac:dyDescent="0.2">
      <c r="C14799" s="16" t="s">
        <v>67</v>
      </c>
      <c r="D14799" s="6" t="str">
        <f>HYPERLINK("javascript:void(0)","kincs")</f>
        <v>kincs</v>
      </c>
    </row>
    <row r="14800" spans="1:4" ht="12.75" customHeight="1" x14ac:dyDescent="0.2">
      <c r="B14800" s="2"/>
      <c r="C14800" s="15"/>
      <c r="D14800" s="2"/>
    </row>
    <row r="14801" spans="1:4" ht="12.75" customHeight="1" x14ac:dyDescent="0.2">
      <c r="B14801" s="2"/>
      <c r="C14801" s="15"/>
      <c r="D14801" s="2"/>
    </row>
    <row r="14802" spans="1:4" ht="12.75" customHeight="1" x14ac:dyDescent="0.2">
      <c r="A14802" s="13" t="s">
        <v>4950</v>
      </c>
      <c r="C14802" s="12"/>
    </row>
    <row r="14803" spans="1:4" ht="12.75" customHeight="1" x14ac:dyDescent="0.2">
      <c r="A14803" s="11"/>
      <c r="B14803" s="2"/>
      <c r="C14803" s="15"/>
      <c r="D14803" s="2"/>
    </row>
    <row r="14804" spans="1:4" ht="12.75" customHeight="1" x14ac:dyDescent="0.2">
      <c r="B14804" s="11" t="s">
        <v>0</v>
      </c>
      <c r="C14804" s="11" t="s">
        <v>281</v>
      </c>
    </row>
    <row r="14805" spans="1:4" ht="12.75" customHeight="1" x14ac:dyDescent="0.2">
      <c r="B14805" s="11" t="s">
        <v>2599</v>
      </c>
      <c r="C14805" s="11" t="s">
        <v>4951</v>
      </c>
    </row>
    <row r="14806" spans="1:4" ht="25.5" customHeight="1" x14ac:dyDescent="0.2">
      <c r="B14806" s="11" t="s">
        <v>2600</v>
      </c>
      <c r="C14806" s="11" t="s">
        <v>4952</v>
      </c>
    </row>
    <row r="14807" spans="1:4" ht="25.5" customHeight="1" x14ac:dyDescent="0.2">
      <c r="B14807" s="11" t="s">
        <v>2601</v>
      </c>
      <c r="C14807" s="11"/>
    </row>
    <row r="14808" spans="1:4" ht="12.75" customHeight="1" x14ac:dyDescent="0.2">
      <c r="B14808" s="11" t="s">
        <v>16</v>
      </c>
      <c r="C14808" s="11"/>
    </row>
    <row r="14809" spans="1:4" ht="12.75" customHeight="1" x14ac:dyDescent="0.2">
      <c r="B14809" s="11" t="s">
        <v>13</v>
      </c>
      <c r="C14809" s="11" t="s">
        <v>2602</v>
      </c>
    </row>
    <row r="14810" spans="1:4" ht="12.75" customHeight="1" x14ac:dyDescent="0.2">
      <c r="B14810" s="11" t="s">
        <v>2603</v>
      </c>
      <c r="C14810" s="11" t="s">
        <v>2604</v>
      </c>
    </row>
    <row r="14811" spans="1:4" ht="12.75" customHeight="1" x14ac:dyDescent="0.2">
      <c r="B14811" s="11" t="s">
        <v>2605</v>
      </c>
      <c r="C14811" s="11" t="s">
        <v>14</v>
      </c>
    </row>
    <row r="14812" spans="1:4" ht="12.75" customHeight="1" x14ac:dyDescent="0.2">
      <c r="B14812" s="11" t="s">
        <v>2606</v>
      </c>
      <c r="C14812" s="16" t="s">
        <v>55</v>
      </c>
      <c r="D14812" s="6" t="str">
        <f>HYPERLINK("javascript:void(0)","koponya")</f>
        <v>koponya</v>
      </c>
    </row>
    <row r="14813" spans="1:4" ht="12.75" customHeight="1" x14ac:dyDescent="0.2">
      <c r="C14813" s="16" t="s">
        <v>67</v>
      </c>
      <c r="D14813" s="6" t="str">
        <f>HYPERLINK("javascript:void(0)","kincs")</f>
        <v>kincs</v>
      </c>
    </row>
    <row r="14814" spans="1:4" ht="12.75" customHeight="1" x14ac:dyDescent="0.2">
      <c r="B14814" s="2"/>
      <c r="C14814" s="15"/>
      <c r="D14814" s="2"/>
    </row>
    <row r="14815" spans="1:4" ht="12.75" customHeight="1" x14ac:dyDescent="0.2">
      <c r="B14815" s="2"/>
      <c r="C14815" s="15"/>
      <c r="D14815" s="2"/>
    </row>
    <row r="14816" spans="1:4" ht="12.75" customHeight="1" x14ac:dyDescent="0.2">
      <c r="A14816" s="13" t="s">
        <v>4953</v>
      </c>
      <c r="C14816" s="12"/>
    </row>
    <row r="14817" spans="1:4" ht="12.75" customHeight="1" x14ac:dyDescent="0.2">
      <c r="A14817" s="11"/>
      <c r="B14817" s="2"/>
      <c r="C14817" s="15"/>
      <c r="D14817" s="2"/>
    </row>
    <row r="14818" spans="1:4" ht="12.75" customHeight="1" x14ac:dyDescent="0.2">
      <c r="B14818" s="11" t="s">
        <v>0</v>
      </c>
      <c r="C14818" s="11" t="s">
        <v>281</v>
      </c>
    </row>
    <row r="14819" spans="1:4" ht="12.75" customHeight="1" x14ac:dyDescent="0.2">
      <c r="B14819" s="11" t="s">
        <v>2599</v>
      </c>
      <c r="C14819" s="11" t="s">
        <v>4954</v>
      </c>
    </row>
    <row r="14820" spans="1:4" ht="25.5" customHeight="1" x14ac:dyDescent="0.2">
      <c r="B14820" s="11" t="s">
        <v>2600</v>
      </c>
      <c r="C14820" s="11" t="s">
        <v>4955</v>
      </c>
    </row>
    <row r="14821" spans="1:4" ht="25.5" customHeight="1" x14ac:dyDescent="0.2">
      <c r="B14821" s="11" t="s">
        <v>2601</v>
      </c>
      <c r="C14821" s="11"/>
    </row>
    <row r="14822" spans="1:4" ht="12.75" customHeight="1" x14ac:dyDescent="0.2">
      <c r="B14822" s="11" t="s">
        <v>16</v>
      </c>
      <c r="C14822" s="11"/>
    </row>
    <row r="14823" spans="1:4" ht="12.75" customHeight="1" x14ac:dyDescent="0.2">
      <c r="B14823" s="11" t="s">
        <v>13</v>
      </c>
      <c r="C14823" s="11" t="s">
        <v>2644</v>
      </c>
    </row>
    <row r="14824" spans="1:4" ht="12.75" customHeight="1" x14ac:dyDescent="0.2">
      <c r="B14824" s="11" t="s">
        <v>2603</v>
      </c>
      <c r="C14824" s="11" t="s">
        <v>2604</v>
      </c>
    </row>
    <row r="14825" spans="1:4" ht="12.75" customHeight="1" x14ac:dyDescent="0.2">
      <c r="B14825" s="11" t="s">
        <v>2605</v>
      </c>
      <c r="C14825" s="11" t="s">
        <v>14</v>
      </c>
    </row>
    <row r="14826" spans="1:4" ht="12.75" customHeight="1" x14ac:dyDescent="0.2">
      <c r="B14826" s="11" t="s">
        <v>2606</v>
      </c>
      <c r="C14826" s="16" t="s">
        <v>44</v>
      </c>
      <c r="D14826" s="6" t="str">
        <f>HYPERLINK("javascript:void(0)","ikerkristály")</f>
        <v>ikerkristály</v>
      </c>
    </row>
    <row r="14827" spans="1:4" ht="12.75" customHeight="1" x14ac:dyDescent="0.2">
      <c r="C14827" s="16" t="s">
        <v>142</v>
      </c>
      <c r="D14827" s="6" t="str">
        <f>HYPERLINK("javascript:void(0)","kincs")</f>
        <v>kincs</v>
      </c>
    </row>
    <row r="14828" spans="1:4" ht="12.75" customHeight="1" x14ac:dyDescent="0.2">
      <c r="B14828" s="2"/>
      <c r="C14828" s="15"/>
      <c r="D14828" s="2"/>
    </row>
    <row r="14829" spans="1:4" ht="12.75" customHeight="1" x14ac:dyDescent="0.2">
      <c r="B14829" s="2"/>
      <c r="C14829" s="15"/>
      <c r="D14829" s="2"/>
    </row>
    <row r="14830" spans="1:4" ht="12.75" customHeight="1" x14ac:dyDescent="0.2">
      <c r="A14830" s="13" t="s">
        <v>4956</v>
      </c>
      <c r="C14830" s="12"/>
    </row>
    <row r="14831" spans="1:4" ht="12.75" customHeight="1" x14ac:dyDescent="0.2">
      <c r="A14831" s="11"/>
      <c r="B14831" s="2"/>
      <c r="C14831" s="15"/>
      <c r="D14831" s="2"/>
    </row>
    <row r="14832" spans="1:4" ht="12.75" customHeight="1" x14ac:dyDescent="0.2">
      <c r="B14832" s="11" t="s">
        <v>0</v>
      </c>
      <c r="C14832" s="11" t="s">
        <v>281</v>
      </c>
    </row>
    <row r="14833" spans="1:4" ht="12.75" customHeight="1" x14ac:dyDescent="0.2">
      <c r="B14833" s="11" t="s">
        <v>2599</v>
      </c>
      <c r="C14833" s="11" t="s">
        <v>2501</v>
      </c>
    </row>
    <row r="14834" spans="1:4" ht="25.5" customHeight="1" x14ac:dyDescent="0.2">
      <c r="B14834" s="11" t="s">
        <v>2600</v>
      </c>
      <c r="C14834" s="11" t="s">
        <v>4957</v>
      </c>
    </row>
    <row r="14835" spans="1:4" ht="25.5" customHeight="1" x14ac:dyDescent="0.2">
      <c r="B14835" s="11" t="s">
        <v>2601</v>
      </c>
      <c r="C14835" s="11"/>
    </row>
    <row r="14836" spans="1:4" ht="12.75" customHeight="1" x14ac:dyDescent="0.2">
      <c r="B14836" s="11" t="s">
        <v>16</v>
      </c>
      <c r="C14836" s="11"/>
    </row>
    <row r="14837" spans="1:4" ht="12.75" customHeight="1" x14ac:dyDescent="0.2">
      <c r="B14837" s="11" t="s">
        <v>13</v>
      </c>
      <c r="C14837" s="11" t="s">
        <v>2644</v>
      </c>
    </row>
    <row r="14838" spans="1:4" ht="12.75" customHeight="1" x14ac:dyDescent="0.2">
      <c r="B14838" s="11" t="s">
        <v>2603</v>
      </c>
      <c r="C14838" s="11" t="s">
        <v>2604</v>
      </c>
    </row>
    <row r="14839" spans="1:4" ht="12.75" customHeight="1" x14ac:dyDescent="0.2">
      <c r="B14839" s="11" t="s">
        <v>2605</v>
      </c>
      <c r="C14839" s="11" t="s">
        <v>24</v>
      </c>
    </row>
    <row r="14840" spans="1:4" ht="12.75" customHeight="1" x14ac:dyDescent="0.2">
      <c r="B14840" s="11" t="s">
        <v>2606</v>
      </c>
      <c r="C14840" s="16" t="s">
        <v>44</v>
      </c>
      <c r="D14840" s="6" t="str">
        <f>HYPERLINK("javascript:void(0)","átokige")</f>
        <v>átokige</v>
      </c>
    </row>
    <row r="14841" spans="1:4" ht="12.75" customHeight="1" x14ac:dyDescent="0.2">
      <c r="B14841" s="2"/>
      <c r="C14841" s="15"/>
      <c r="D14841" s="2"/>
    </row>
    <row r="14842" spans="1:4" ht="12.75" customHeight="1" x14ac:dyDescent="0.2">
      <c r="B14842" s="2"/>
      <c r="C14842" s="15"/>
      <c r="D14842" s="2"/>
    </row>
    <row r="14843" spans="1:4" ht="12.75" customHeight="1" x14ac:dyDescent="0.2">
      <c r="A14843" s="13" t="s">
        <v>4850</v>
      </c>
      <c r="C14843" s="12"/>
      <c r="D14843" s="2"/>
    </row>
    <row r="14844" spans="1:4" ht="12.75" customHeight="1" x14ac:dyDescent="0.2">
      <c r="A14844" s="11"/>
      <c r="B14844" s="2"/>
      <c r="C14844" s="15"/>
      <c r="D14844" s="2"/>
    </row>
    <row r="14845" spans="1:4" ht="12.75" customHeight="1" x14ac:dyDescent="0.2">
      <c r="B14845" s="11" t="s">
        <v>0</v>
      </c>
      <c r="C14845" s="17" t="s">
        <v>281</v>
      </c>
      <c r="D14845" s="2"/>
    </row>
    <row r="14846" spans="1:4" ht="12.75" customHeight="1" x14ac:dyDescent="0.2">
      <c r="B14846" s="11" t="s">
        <v>2599</v>
      </c>
      <c r="C14846" s="17" t="s">
        <v>4851</v>
      </c>
      <c r="D14846" s="2"/>
    </row>
    <row r="14847" spans="1:4" ht="25.5" customHeight="1" x14ac:dyDescent="0.2">
      <c r="B14847" s="11" t="s">
        <v>2600</v>
      </c>
      <c r="C14847" s="17" t="s">
        <v>4958</v>
      </c>
      <c r="D14847" s="2"/>
    </row>
    <row r="14848" spans="1:4" ht="25.5" customHeight="1" x14ac:dyDescent="0.2">
      <c r="B14848" s="11" t="s">
        <v>2601</v>
      </c>
      <c r="C14848" s="17"/>
      <c r="D14848" s="2"/>
    </row>
    <row r="14849" spans="1:4" ht="12.75" customHeight="1" x14ac:dyDescent="0.2">
      <c r="B14849" s="11" t="s">
        <v>16</v>
      </c>
      <c r="C14849" s="17"/>
      <c r="D14849" s="2"/>
    </row>
    <row r="14850" spans="1:4" ht="12.75" customHeight="1" x14ac:dyDescent="0.2">
      <c r="B14850" s="11" t="s">
        <v>13</v>
      </c>
      <c r="C14850" s="17" t="s">
        <v>2644</v>
      </c>
      <c r="D14850" s="2"/>
    </row>
    <row r="14851" spans="1:4" ht="25.5" customHeight="1" x14ac:dyDescent="0.2">
      <c r="B14851" s="11" t="s">
        <v>2603</v>
      </c>
      <c r="C14851" s="17" t="s">
        <v>2971</v>
      </c>
      <c r="D14851" s="2"/>
    </row>
    <row r="14852" spans="1:4" ht="12.75" customHeight="1" x14ac:dyDescent="0.2">
      <c r="B14852" s="11" t="s">
        <v>2605</v>
      </c>
      <c r="C14852" s="17" t="s">
        <v>14</v>
      </c>
      <c r="D14852" s="2"/>
    </row>
    <row r="14853" spans="1:4" ht="12.75" customHeight="1" x14ac:dyDescent="0.2">
      <c r="B14853" s="11" t="s">
        <v>2606</v>
      </c>
      <c r="C14853" s="16" t="s">
        <v>19</v>
      </c>
      <c r="D14853" s="2"/>
    </row>
    <row r="14854" spans="1:4" ht="12.75" customHeight="1" x14ac:dyDescent="0.2">
      <c r="B14854" s="2"/>
      <c r="C14854" s="15"/>
      <c r="D14854" s="2"/>
    </row>
    <row r="14855" spans="1:4" ht="12.75" customHeight="1" x14ac:dyDescent="0.2">
      <c r="B14855" s="2"/>
      <c r="C14855" s="15"/>
      <c r="D14855" s="2"/>
    </row>
    <row r="14856" spans="1:4" ht="12.75" customHeight="1" x14ac:dyDescent="0.2">
      <c r="A14856" s="13" t="s">
        <v>4853</v>
      </c>
      <c r="C14856" s="12"/>
      <c r="D14856" s="2"/>
    </row>
    <row r="14857" spans="1:4" ht="12.75" customHeight="1" x14ac:dyDescent="0.2">
      <c r="A14857" s="11"/>
      <c r="B14857" s="2"/>
      <c r="C14857" s="15"/>
      <c r="D14857" s="2"/>
    </row>
    <row r="14858" spans="1:4" ht="12.75" customHeight="1" x14ac:dyDescent="0.2">
      <c r="B14858" s="11" t="s">
        <v>0</v>
      </c>
      <c r="C14858" s="17" t="s">
        <v>281</v>
      </c>
      <c r="D14858" s="2"/>
    </row>
    <row r="14859" spans="1:4" ht="12.75" customHeight="1" x14ac:dyDescent="0.2">
      <c r="B14859" s="11" t="s">
        <v>2599</v>
      </c>
      <c r="C14859" s="17" t="s">
        <v>3296</v>
      </c>
      <c r="D14859" s="2"/>
    </row>
    <row r="14860" spans="1:4" ht="25.5" customHeight="1" x14ac:dyDescent="0.2">
      <c r="B14860" s="11" t="s">
        <v>2600</v>
      </c>
      <c r="C14860" s="17" t="s">
        <v>4959</v>
      </c>
      <c r="D14860" s="2"/>
    </row>
    <row r="14861" spans="1:4" ht="25.5" customHeight="1" x14ac:dyDescent="0.2">
      <c r="B14861" s="11" t="s">
        <v>2601</v>
      </c>
      <c r="C14861" s="17"/>
      <c r="D14861" s="2"/>
    </row>
    <row r="14862" spans="1:4" ht="12.75" customHeight="1" x14ac:dyDescent="0.2">
      <c r="B14862" s="11" t="s">
        <v>16</v>
      </c>
      <c r="C14862" s="17"/>
      <c r="D14862" s="2"/>
    </row>
    <row r="14863" spans="1:4" ht="12.75" customHeight="1" x14ac:dyDescent="0.2">
      <c r="B14863" s="11" t="s">
        <v>13</v>
      </c>
      <c r="C14863" s="17" t="s">
        <v>2602</v>
      </c>
      <c r="D14863" s="2"/>
    </row>
    <row r="14864" spans="1:4" ht="25.5" customHeight="1" x14ac:dyDescent="0.2">
      <c r="B14864" s="11" t="s">
        <v>2603</v>
      </c>
      <c r="C14864" s="17" t="s">
        <v>2971</v>
      </c>
      <c r="D14864" s="2"/>
    </row>
    <row r="14865" spans="1:4" ht="12.75" customHeight="1" x14ac:dyDescent="0.2">
      <c r="B14865" s="11" t="s">
        <v>2605</v>
      </c>
      <c r="C14865" s="17" t="s">
        <v>14</v>
      </c>
      <c r="D14865" s="2"/>
    </row>
    <row r="14866" spans="1:4" ht="12.75" customHeight="1" x14ac:dyDescent="0.2">
      <c r="B14866" s="11" t="s">
        <v>2606</v>
      </c>
      <c r="C14866" s="16" t="s">
        <v>19</v>
      </c>
      <c r="D14866" s="2"/>
    </row>
    <row r="14867" spans="1:4" ht="12.75" customHeight="1" x14ac:dyDescent="0.2">
      <c r="B14867" s="2"/>
      <c r="C14867" s="15"/>
      <c r="D14867" s="2"/>
    </row>
    <row r="14868" spans="1:4" ht="12.75" customHeight="1" x14ac:dyDescent="0.2">
      <c r="B14868" s="2"/>
      <c r="C14868" s="15"/>
      <c r="D14868" s="2"/>
    </row>
    <row r="14869" spans="1:4" ht="12.75" customHeight="1" x14ac:dyDescent="0.2">
      <c r="A14869" s="13" t="s">
        <v>3779</v>
      </c>
      <c r="C14869" s="12"/>
      <c r="D14869" s="2"/>
    </row>
    <row r="14870" spans="1:4" ht="12.75" customHeight="1" x14ac:dyDescent="0.2">
      <c r="A14870" s="11"/>
      <c r="B14870" s="2"/>
      <c r="C14870" s="15"/>
      <c r="D14870" s="2"/>
    </row>
    <row r="14871" spans="1:4" ht="12.75" customHeight="1" x14ac:dyDescent="0.2">
      <c r="B14871" s="11" t="s">
        <v>0</v>
      </c>
      <c r="C14871" s="17" t="s">
        <v>181</v>
      </c>
      <c r="D14871" s="2"/>
    </row>
    <row r="14872" spans="1:4" ht="12.75" customHeight="1" x14ac:dyDescent="0.2">
      <c r="B14872" s="11" t="s">
        <v>2599</v>
      </c>
      <c r="C14872" s="17" t="s">
        <v>787</v>
      </c>
      <c r="D14872" s="2"/>
    </row>
    <row r="14873" spans="1:4" ht="25.5" customHeight="1" x14ac:dyDescent="0.2">
      <c r="B14873" s="11" t="s">
        <v>2600</v>
      </c>
      <c r="C14873" s="17" t="s">
        <v>4960</v>
      </c>
      <c r="D14873" s="2"/>
    </row>
    <row r="14874" spans="1:4" ht="25.5" customHeight="1" x14ac:dyDescent="0.2">
      <c r="B14874" s="11" t="s">
        <v>2601</v>
      </c>
      <c r="C14874" s="17"/>
      <c r="D14874" s="2"/>
    </row>
    <row r="14875" spans="1:4" ht="12.75" customHeight="1" x14ac:dyDescent="0.2">
      <c r="B14875" s="11" t="s">
        <v>16</v>
      </c>
      <c r="C14875" s="17"/>
      <c r="D14875" s="2"/>
    </row>
    <row r="14876" spans="1:4" ht="12.75" customHeight="1" x14ac:dyDescent="0.2">
      <c r="B14876" s="11" t="s">
        <v>13</v>
      </c>
      <c r="C14876" s="17" t="s">
        <v>2644</v>
      </c>
      <c r="D14876" s="2"/>
    </row>
    <row r="14877" spans="1:4" ht="12.75" customHeight="1" x14ac:dyDescent="0.2">
      <c r="B14877" s="11" t="s">
        <v>2603</v>
      </c>
      <c r="C14877" s="17" t="s">
        <v>128</v>
      </c>
      <c r="D14877" s="2"/>
    </row>
    <row r="14878" spans="1:4" ht="12.75" customHeight="1" x14ac:dyDescent="0.2">
      <c r="B14878" s="11" t="s">
        <v>2605</v>
      </c>
      <c r="C14878" s="17" t="s">
        <v>14</v>
      </c>
      <c r="D14878" s="2"/>
    </row>
    <row r="14879" spans="1:4" ht="12.75" customHeight="1" x14ac:dyDescent="0.2">
      <c r="B14879" s="11" t="s">
        <v>2606</v>
      </c>
      <c r="C14879" s="16" t="s">
        <v>19</v>
      </c>
      <c r="D14879" s="2"/>
    </row>
    <row r="14880" spans="1:4" ht="12.75" customHeight="1" x14ac:dyDescent="0.2">
      <c r="B14880" s="2"/>
      <c r="C14880" s="15"/>
      <c r="D14880" s="2"/>
    </row>
    <row r="14881" spans="1:4" ht="12.75" customHeight="1" x14ac:dyDescent="0.2">
      <c r="B14881" s="2"/>
      <c r="C14881" s="15"/>
      <c r="D14881" s="2"/>
    </row>
    <row r="14882" spans="1:4" ht="12.75" customHeight="1" x14ac:dyDescent="0.2">
      <c r="A14882" s="13" t="s">
        <v>4961</v>
      </c>
      <c r="C14882" s="12"/>
      <c r="D14882" s="2"/>
    </row>
    <row r="14883" spans="1:4" ht="12.75" customHeight="1" x14ac:dyDescent="0.2">
      <c r="A14883" s="11"/>
      <c r="B14883" s="2"/>
      <c r="C14883" s="15"/>
      <c r="D14883" s="2"/>
    </row>
    <row r="14884" spans="1:4" ht="12.75" customHeight="1" x14ac:dyDescent="0.2">
      <c r="B14884" s="11" t="s">
        <v>0</v>
      </c>
      <c r="C14884" s="17" t="s">
        <v>181</v>
      </c>
      <c r="D14884" s="2"/>
    </row>
    <row r="14885" spans="1:4" ht="12.75" customHeight="1" x14ac:dyDescent="0.2">
      <c r="B14885" s="11" t="s">
        <v>2599</v>
      </c>
      <c r="C14885" s="17" t="s">
        <v>3296</v>
      </c>
      <c r="D14885" s="2"/>
    </row>
    <row r="14886" spans="1:4" ht="25.5" customHeight="1" x14ac:dyDescent="0.2">
      <c r="B14886" s="11" t="s">
        <v>2600</v>
      </c>
      <c r="C14886" s="17" t="s">
        <v>4962</v>
      </c>
      <c r="D14886" s="2"/>
    </row>
    <row r="14887" spans="1:4" ht="25.5" customHeight="1" x14ac:dyDescent="0.2">
      <c r="B14887" s="11" t="s">
        <v>2601</v>
      </c>
      <c r="C14887" s="17"/>
      <c r="D14887" s="2"/>
    </row>
    <row r="14888" spans="1:4" ht="12.75" customHeight="1" x14ac:dyDescent="0.2">
      <c r="B14888" s="11" t="s">
        <v>16</v>
      </c>
      <c r="C14888" s="17"/>
      <c r="D14888" s="2"/>
    </row>
    <row r="14889" spans="1:4" ht="12.75" customHeight="1" x14ac:dyDescent="0.2">
      <c r="B14889" s="11" t="s">
        <v>13</v>
      </c>
      <c r="C14889" s="17" t="s">
        <v>2602</v>
      </c>
      <c r="D14889" s="2"/>
    </row>
    <row r="14890" spans="1:4" ht="25.5" customHeight="1" x14ac:dyDescent="0.2">
      <c r="B14890" s="11" t="s">
        <v>2603</v>
      </c>
      <c r="C14890" s="17" t="s">
        <v>2971</v>
      </c>
      <c r="D14890" s="2"/>
    </row>
    <row r="14891" spans="1:4" ht="12.75" customHeight="1" x14ac:dyDescent="0.2">
      <c r="B14891" s="11" t="s">
        <v>2605</v>
      </c>
      <c r="C14891" s="17" t="s">
        <v>14</v>
      </c>
      <c r="D14891" s="2"/>
    </row>
    <row r="14892" spans="1:4" ht="12.75" customHeight="1" x14ac:dyDescent="0.2">
      <c r="B14892" s="11" t="s">
        <v>2606</v>
      </c>
      <c r="C14892" s="16" t="s">
        <v>19</v>
      </c>
      <c r="D14892" s="2"/>
    </row>
    <row r="14893" spans="1:4" ht="12.75" customHeight="1" x14ac:dyDescent="0.2">
      <c r="B14893" s="2"/>
      <c r="C14893" s="15"/>
      <c r="D14893" s="2"/>
    </row>
    <row r="14894" spans="1:4" ht="12.75" customHeight="1" x14ac:dyDescent="0.2">
      <c r="B14894" s="2"/>
      <c r="C14894" s="15"/>
      <c r="D14894" s="2"/>
    </row>
    <row r="14895" spans="1:4" ht="12.75" customHeight="1" x14ac:dyDescent="0.2">
      <c r="A14895" s="13" t="s">
        <v>4963</v>
      </c>
      <c r="C14895" s="12"/>
      <c r="D14895" s="2"/>
    </row>
    <row r="14896" spans="1:4" ht="12.75" customHeight="1" x14ac:dyDescent="0.2">
      <c r="A14896" s="11"/>
      <c r="B14896" s="2"/>
      <c r="C14896" s="15"/>
      <c r="D14896" s="2"/>
    </row>
    <row r="14897" spans="1:4" ht="12.75" customHeight="1" x14ac:dyDescent="0.2">
      <c r="B14897" s="11" t="s">
        <v>0</v>
      </c>
      <c r="C14897" s="17" t="s">
        <v>181</v>
      </c>
      <c r="D14897" s="2"/>
    </row>
    <row r="14898" spans="1:4" ht="12.75" customHeight="1" x14ac:dyDescent="0.2">
      <c r="B14898" s="11" t="s">
        <v>2599</v>
      </c>
      <c r="C14898" s="17" t="s">
        <v>4964</v>
      </c>
      <c r="D14898" s="2"/>
    </row>
    <row r="14899" spans="1:4" ht="25.5" customHeight="1" x14ac:dyDescent="0.2">
      <c r="B14899" s="11" t="s">
        <v>2600</v>
      </c>
      <c r="C14899" s="17" t="s">
        <v>4965</v>
      </c>
      <c r="D14899" s="2"/>
    </row>
    <row r="14900" spans="1:4" ht="25.5" customHeight="1" x14ac:dyDescent="0.2">
      <c r="B14900" s="11" t="s">
        <v>2601</v>
      </c>
      <c r="C14900" s="17"/>
      <c r="D14900" s="2"/>
    </row>
    <row r="14901" spans="1:4" ht="12.75" customHeight="1" x14ac:dyDescent="0.2">
      <c r="B14901" s="11" t="s">
        <v>16</v>
      </c>
      <c r="C14901" s="17"/>
      <c r="D14901" s="2"/>
    </row>
    <row r="14902" spans="1:4" ht="12.75" customHeight="1" x14ac:dyDescent="0.2">
      <c r="B14902" s="11" t="s">
        <v>13</v>
      </c>
      <c r="C14902" s="17" t="s">
        <v>2644</v>
      </c>
      <c r="D14902" s="2"/>
    </row>
    <row r="14903" spans="1:4" ht="25.5" customHeight="1" x14ac:dyDescent="0.2">
      <c r="B14903" s="11" t="s">
        <v>2603</v>
      </c>
      <c r="C14903" s="17" t="s">
        <v>2971</v>
      </c>
      <c r="D14903" s="2"/>
    </row>
    <row r="14904" spans="1:4" ht="12.75" customHeight="1" x14ac:dyDescent="0.2">
      <c r="B14904" s="11" t="s">
        <v>2605</v>
      </c>
      <c r="C14904" s="17" t="s">
        <v>14</v>
      </c>
      <c r="D14904" s="2"/>
    </row>
    <row r="14905" spans="1:4" ht="12.75" customHeight="1" x14ac:dyDescent="0.2">
      <c r="B14905" s="11" t="s">
        <v>2606</v>
      </c>
      <c r="C14905" s="16" t="s">
        <v>19</v>
      </c>
      <c r="D14905" s="2"/>
    </row>
    <row r="14906" spans="1:4" ht="12.75" customHeight="1" x14ac:dyDescent="0.2">
      <c r="B14906" s="2"/>
      <c r="C14906" s="15"/>
      <c r="D14906" s="2"/>
    </row>
    <row r="14907" spans="1:4" ht="12.75" customHeight="1" x14ac:dyDescent="0.2">
      <c r="B14907" s="2"/>
      <c r="C14907" s="15"/>
      <c r="D14907" s="2"/>
    </row>
    <row r="14908" spans="1:4" ht="12.75" customHeight="1" x14ac:dyDescent="0.2">
      <c r="A14908" s="13" t="s">
        <v>4966</v>
      </c>
      <c r="C14908" s="12"/>
      <c r="D14908" s="2"/>
    </row>
    <row r="14909" spans="1:4" ht="12.75" customHeight="1" x14ac:dyDescent="0.2">
      <c r="A14909" s="11"/>
      <c r="B14909" s="2"/>
      <c r="C14909" s="15"/>
      <c r="D14909" s="2"/>
    </row>
    <row r="14910" spans="1:4" ht="12.75" customHeight="1" x14ac:dyDescent="0.2">
      <c r="B14910" s="11" t="s">
        <v>0</v>
      </c>
      <c r="C14910" s="17" t="s">
        <v>181</v>
      </c>
      <c r="D14910" s="2"/>
    </row>
    <row r="14911" spans="1:4" ht="12.75" customHeight="1" x14ac:dyDescent="0.2">
      <c r="B14911" s="11" t="s">
        <v>2599</v>
      </c>
      <c r="C14911" s="17" t="s">
        <v>4967</v>
      </c>
      <c r="D14911" s="2"/>
    </row>
    <row r="14912" spans="1:4" ht="25.5" customHeight="1" x14ac:dyDescent="0.2">
      <c r="B14912" s="11" t="s">
        <v>2600</v>
      </c>
      <c r="C14912" s="17" t="s">
        <v>4968</v>
      </c>
      <c r="D14912" s="2"/>
    </row>
    <row r="14913" spans="1:4" ht="25.5" customHeight="1" x14ac:dyDescent="0.2">
      <c r="B14913" s="11" t="s">
        <v>2601</v>
      </c>
      <c r="C14913" s="17"/>
      <c r="D14913" s="2"/>
    </row>
    <row r="14914" spans="1:4" ht="12.75" customHeight="1" x14ac:dyDescent="0.2">
      <c r="B14914" s="11" t="s">
        <v>16</v>
      </c>
      <c r="C14914" s="17"/>
      <c r="D14914" s="2"/>
    </row>
    <row r="14915" spans="1:4" ht="12.75" customHeight="1" x14ac:dyDescent="0.2">
      <c r="B14915" s="11" t="s">
        <v>13</v>
      </c>
      <c r="C14915" s="17" t="s">
        <v>2602</v>
      </c>
      <c r="D14915" s="2"/>
    </row>
    <row r="14916" spans="1:4" ht="25.5" customHeight="1" x14ac:dyDescent="0.2">
      <c r="B14916" s="11" t="s">
        <v>2603</v>
      </c>
      <c r="C14916" s="17" t="s">
        <v>2971</v>
      </c>
      <c r="D14916" s="2"/>
    </row>
    <row r="14917" spans="1:4" ht="12.75" customHeight="1" x14ac:dyDescent="0.2">
      <c r="B14917" s="11" t="s">
        <v>2605</v>
      </c>
      <c r="C14917" s="17" t="s">
        <v>14</v>
      </c>
      <c r="D14917" s="2"/>
    </row>
    <row r="14918" spans="1:4" ht="12.75" customHeight="1" x14ac:dyDescent="0.2">
      <c r="B14918" s="11" t="s">
        <v>2606</v>
      </c>
      <c r="C14918" s="16" t="s">
        <v>19</v>
      </c>
      <c r="D14918" s="2"/>
    </row>
    <row r="14919" spans="1:4" ht="12.75" customHeight="1" x14ac:dyDescent="0.2">
      <c r="B14919" s="2"/>
      <c r="C14919" s="15"/>
      <c r="D14919" s="2"/>
    </row>
    <row r="14920" spans="1:4" ht="12.75" customHeight="1" x14ac:dyDescent="0.2">
      <c r="B14920" s="2"/>
      <c r="C14920" s="15"/>
      <c r="D14920" s="2"/>
    </row>
    <row r="14921" spans="1:4" ht="12.75" customHeight="1" x14ac:dyDescent="0.2">
      <c r="A14921" s="13" t="s">
        <v>4969</v>
      </c>
      <c r="C14921" s="12"/>
    </row>
    <row r="14922" spans="1:4" ht="12.75" customHeight="1" x14ac:dyDescent="0.2">
      <c r="A14922" s="11"/>
      <c r="B14922" s="2"/>
      <c r="C14922" s="15"/>
      <c r="D14922" s="2"/>
    </row>
    <row r="14923" spans="1:4" ht="12.75" customHeight="1" x14ac:dyDescent="0.2">
      <c r="B14923" s="11" t="s">
        <v>0</v>
      </c>
      <c r="C14923" s="11" t="s">
        <v>181</v>
      </c>
    </row>
    <row r="14924" spans="1:4" ht="12.75" customHeight="1" x14ac:dyDescent="0.2">
      <c r="B14924" s="11" t="s">
        <v>2599</v>
      </c>
      <c r="C14924" s="11" t="s">
        <v>4971</v>
      </c>
    </row>
    <row r="14925" spans="1:4" ht="25.5" customHeight="1" x14ac:dyDescent="0.2">
      <c r="B14925" s="11" t="s">
        <v>2600</v>
      </c>
      <c r="C14925" s="11" t="s">
        <v>4973</v>
      </c>
    </row>
    <row r="14926" spans="1:4" ht="25.5" customHeight="1" x14ac:dyDescent="0.2">
      <c r="B14926" s="11" t="s">
        <v>2601</v>
      </c>
      <c r="C14926" s="11"/>
    </row>
    <row r="14927" spans="1:4" ht="12.75" customHeight="1" x14ac:dyDescent="0.2">
      <c r="B14927" s="11" t="s">
        <v>16</v>
      </c>
      <c r="C14927" s="11"/>
    </row>
    <row r="14928" spans="1:4" ht="12.75" customHeight="1" x14ac:dyDescent="0.2">
      <c r="B14928" s="11" t="s">
        <v>13</v>
      </c>
      <c r="C14928" s="11" t="s">
        <v>2602</v>
      </c>
    </row>
    <row r="14929" spans="1:4" ht="12.75" customHeight="1" x14ac:dyDescent="0.2">
      <c r="B14929" s="11" t="s">
        <v>2603</v>
      </c>
      <c r="C14929" s="11" t="s">
        <v>2604</v>
      </c>
    </row>
    <row r="14930" spans="1:4" ht="12.75" customHeight="1" x14ac:dyDescent="0.2">
      <c r="B14930" s="11" t="s">
        <v>2605</v>
      </c>
      <c r="C14930" s="11" t="s">
        <v>24</v>
      </c>
    </row>
    <row r="14931" spans="1:4" ht="12.75" customHeight="1" x14ac:dyDescent="0.2">
      <c r="B14931" s="11" t="s">
        <v>2606</v>
      </c>
      <c r="C14931" s="16" t="s">
        <v>193</v>
      </c>
      <c r="D14931" s="6" t="str">
        <f>HYPERLINK("javascript:void(0)","kincs")</f>
        <v>kincs</v>
      </c>
    </row>
    <row r="14932" spans="1:4" ht="25.5" customHeight="1" x14ac:dyDescent="0.2">
      <c r="C14932" s="16" t="s">
        <v>44</v>
      </c>
      <c r="D14932" s="6" t="str">
        <f>HYPERLINK("javascript:void(0)","mágusköpeny")</f>
        <v>mágusköpeny</v>
      </c>
    </row>
    <row r="14933" spans="1:4" ht="12.75" customHeight="1" x14ac:dyDescent="0.2">
      <c r="B14933" s="2"/>
      <c r="C14933" s="15"/>
      <c r="D14933" s="2"/>
    </row>
    <row r="14934" spans="1:4" ht="12.75" customHeight="1" x14ac:dyDescent="0.2">
      <c r="B14934" s="2"/>
      <c r="C14934" s="15"/>
      <c r="D14934" s="2"/>
    </row>
    <row r="14935" spans="1:4" ht="12.75" customHeight="1" x14ac:dyDescent="0.2">
      <c r="A14935" s="13" t="s">
        <v>4974</v>
      </c>
      <c r="C14935" s="12"/>
    </row>
    <row r="14936" spans="1:4" ht="12.75" customHeight="1" x14ac:dyDescent="0.2">
      <c r="A14936" s="11"/>
      <c r="B14936" s="2"/>
      <c r="C14936" s="15"/>
      <c r="D14936" s="2"/>
    </row>
    <row r="14937" spans="1:4" ht="12.75" customHeight="1" x14ac:dyDescent="0.2">
      <c r="B14937" s="11" t="s">
        <v>0</v>
      </c>
      <c r="C14937" s="11" t="s">
        <v>181</v>
      </c>
    </row>
    <row r="14938" spans="1:4" ht="12.75" customHeight="1" x14ac:dyDescent="0.2">
      <c r="B14938" s="11" t="s">
        <v>2599</v>
      </c>
      <c r="C14938" s="11" t="s">
        <v>2792</v>
      </c>
    </row>
    <row r="14939" spans="1:4" ht="25.5" customHeight="1" x14ac:dyDescent="0.2">
      <c r="B14939" s="11" t="s">
        <v>2600</v>
      </c>
      <c r="C14939" s="11" t="s">
        <v>4975</v>
      </c>
    </row>
    <row r="14940" spans="1:4" ht="25.5" customHeight="1" x14ac:dyDescent="0.2">
      <c r="B14940" s="11" t="s">
        <v>2601</v>
      </c>
      <c r="C14940" s="11"/>
    </row>
    <row r="14941" spans="1:4" ht="12.75" customHeight="1" x14ac:dyDescent="0.2">
      <c r="B14941" s="11" t="s">
        <v>16</v>
      </c>
      <c r="C14941" s="11"/>
    </row>
    <row r="14942" spans="1:4" ht="12.75" customHeight="1" x14ac:dyDescent="0.2">
      <c r="B14942" s="11" t="s">
        <v>13</v>
      </c>
      <c r="C14942" s="11" t="s">
        <v>2644</v>
      </c>
    </row>
    <row r="14943" spans="1:4" ht="12.75" customHeight="1" x14ac:dyDescent="0.2">
      <c r="B14943" s="11" t="s">
        <v>2603</v>
      </c>
      <c r="C14943" s="11" t="s">
        <v>2604</v>
      </c>
    </row>
    <row r="14944" spans="1:4" ht="12.75" customHeight="1" x14ac:dyDescent="0.2">
      <c r="B14944" s="11" t="s">
        <v>2605</v>
      </c>
      <c r="C14944" s="11" t="s">
        <v>24</v>
      </c>
    </row>
    <row r="14945" spans="1:4" ht="12.75" customHeight="1" x14ac:dyDescent="0.2">
      <c r="B14945" s="11" t="s">
        <v>2606</v>
      </c>
      <c r="C14945" s="16" t="s">
        <v>296</v>
      </c>
      <c r="D14945" s="6" t="str">
        <f>HYPERLINK("javascript:void(0)","kincs")</f>
        <v>kincs</v>
      </c>
    </row>
    <row r="14946" spans="1:4" ht="12.75" customHeight="1" x14ac:dyDescent="0.2">
      <c r="C14946" s="16" t="s">
        <v>44</v>
      </c>
      <c r="D14946" s="6" t="str">
        <f>HYPERLINK("javascript:void(0)","tekervény")</f>
        <v>tekervény</v>
      </c>
    </row>
    <row r="14947" spans="1:4" ht="12.75" customHeight="1" x14ac:dyDescent="0.2">
      <c r="B14947" s="2"/>
      <c r="C14947" s="15"/>
      <c r="D14947" s="2"/>
    </row>
    <row r="14948" spans="1:4" ht="12.75" customHeight="1" x14ac:dyDescent="0.2">
      <c r="B14948" s="2"/>
      <c r="C14948" s="15"/>
      <c r="D14948" s="2"/>
    </row>
    <row r="14949" spans="1:4" ht="12.75" customHeight="1" x14ac:dyDescent="0.2">
      <c r="A14949" s="13" t="s">
        <v>4976</v>
      </c>
      <c r="C14949" s="12"/>
    </row>
    <row r="14950" spans="1:4" ht="12.75" customHeight="1" x14ac:dyDescent="0.2">
      <c r="A14950" s="11"/>
      <c r="B14950" s="2"/>
      <c r="C14950" s="15"/>
      <c r="D14950" s="2"/>
    </row>
    <row r="14951" spans="1:4" ht="12.75" customHeight="1" x14ac:dyDescent="0.2">
      <c r="B14951" s="11" t="s">
        <v>0</v>
      </c>
      <c r="C14951" s="11" t="s">
        <v>181</v>
      </c>
    </row>
    <row r="14952" spans="1:4" ht="12.75" customHeight="1" x14ac:dyDescent="0.2">
      <c r="B14952" s="11" t="s">
        <v>2599</v>
      </c>
      <c r="C14952" s="11" t="s">
        <v>1127</v>
      </c>
    </row>
    <row r="14953" spans="1:4" ht="25.5" customHeight="1" x14ac:dyDescent="0.2">
      <c r="B14953" s="11" t="s">
        <v>2600</v>
      </c>
      <c r="C14953" s="11" t="s">
        <v>4977</v>
      </c>
    </row>
    <row r="14954" spans="1:4" ht="25.5" customHeight="1" x14ac:dyDescent="0.2">
      <c r="B14954" s="11" t="s">
        <v>2601</v>
      </c>
      <c r="C14954" s="11"/>
    </row>
    <row r="14955" spans="1:4" ht="12.75" customHeight="1" x14ac:dyDescent="0.2">
      <c r="B14955" s="11" t="s">
        <v>16</v>
      </c>
      <c r="C14955" s="11"/>
    </row>
    <row r="14956" spans="1:4" ht="12.75" customHeight="1" x14ac:dyDescent="0.2">
      <c r="B14956" s="11" t="s">
        <v>13</v>
      </c>
      <c r="C14956" s="11" t="s">
        <v>2602</v>
      </c>
    </row>
    <row r="14957" spans="1:4" ht="12.75" customHeight="1" x14ac:dyDescent="0.2">
      <c r="B14957" s="11" t="s">
        <v>2603</v>
      </c>
      <c r="C14957" s="11" t="s">
        <v>2604</v>
      </c>
    </row>
    <row r="14958" spans="1:4" ht="12.75" customHeight="1" x14ac:dyDescent="0.2">
      <c r="B14958" s="11" t="s">
        <v>2605</v>
      </c>
      <c r="C14958" s="11" t="s">
        <v>14</v>
      </c>
    </row>
    <row r="14959" spans="1:4" ht="12.75" customHeight="1" x14ac:dyDescent="0.2">
      <c r="B14959" s="11" t="s">
        <v>2606</v>
      </c>
      <c r="C14959" s="16" t="s">
        <v>44</v>
      </c>
      <c r="D14959" s="6" t="str">
        <f>HYPERLINK("javascript:void(0)","cerka")</f>
        <v>cerka</v>
      </c>
    </row>
    <row r="14960" spans="1:4" ht="12.75" customHeight="1" x14ac:dyDescent="0.2">
      <c r="C14960" s="16" t="s">
        <v>331</v>
      </c>
      <c r="D14960" s="6" t="str">
        <f>HYPERLINK("javascript:void(0)","kincs")</f>
        <v>kincs</v>
      </c>
    </row>
    <row r="14961" spans="1:4" ht="12.75" customHeight="1" x14ac:dyDescent="0.2">
      <c r="B14961" s="2"/>
      <c r="C14961" s="15"/>
      <c r="D14961" s="2"/>
    </row>
    <row r="14962" spans="1:4" ht="12.75" customHeight="1" x14ac:dyDescent="0.2">
      <c r="B14962" s="2"/>
      <c r="C14962" s="15"/>
      <c r="D14962" s="2"/>
    </row>
    <row r="14963" spans="1:4" ht="12.75" customHeight="1" x14ac:dyDescent="0.2">
      <c r="A14963" s="13" t="s">
        <v>4978</v>
      </c>
      <c r="C14963" s="12"/>
    </row>
    <row r="14964" spans="1:4" ht="12.75" customHeight="1" x14ac:dyDescent="0.2">
      <c r="A14964" s="11"/>
      <c r="B14964" s="2"/>
      <c r="C14964" s="15"/>
      <c r="D14964" s="2"/>
    </row>
    <row r="14965" spans="1:4" ht="12.75" customHeight="1" x14ac:dyDescent="0.2">
      <c r="B14965" s="11" t="s">
        <v>0</v>
      </c>
      <c r="C14965" s="11" t="s">
        <v>181</v>
      </c>
    </row>
    <row r="14966" spans="1:4" ht="12.75" customHeight="1" x14ac:dyDescent="0.2">
      <c r="B14966" s="11" t="s">
        <v>2599</v>
      </c>
      <c r="C14966" s="11" t="s">
        <v>4979</v>
      </c>
    </row>
    <row r="14967" spans="1:4" ht="25.5" customHeight="1" x14ac:dyDescent="0.2">
      <c r="B14967" s="11" t="s">
        <v>2600</v>
      </c>
      <c r="C14967" s="11" t="s">
        <v>4980</v>
      </c>
    </row>
    <row r="14968" spans="1:4" ht="25.5" customHeight="1" x14ac:dyDescent="0.2">
      <c r="B14968" s="11" t="s">
        <v>2601</v>
      </c>
      <c r="C14968" s="11"/>
    </row>
    <row r="14969" spans="1:4" ht="12.75" customHeight="1" x14ac:dyDescent="0.2">
      <c r="B14969" s="11" t="s">
        <v>16</v>
      </c>
      <c r="C14969" s="11"/>
    </row>
    <row r="14970" spans="1:4" ht="12.75" customHeight="1" x14ac:dyDescent="0.2">
      <c r="B14970" s="11" t="s">
        <v>13</v>
      </c>
      <c r="C14970" s="11" t="s">
        <v>2602</v>
      </c>
    </row>
    <row r="14971" spans="1:4" ht="12.75" customHeight="1" x14ac:dyDescent="0.2">
      <c r="B14971" s="11" t="s">
        <v>2603</v>
      </c>
      <c r="C14971" s="11" t="s">
        <v>2604</v>
      </c>
    </row>
    <row r="14972" spans="1:4" ht="12.75" customHeight="1" x14ac:dyDescent="0.2">
      <c r="B14972" s="11" t="s">
        <v>2605</v>
      </c>
      <c r="C14972" s="11" t="s">
        <v>24</v>
      </c>
    </row>
    <row r="14973" spans="1:4" ht="12.75" customHeight="1" x14ac:dyDescent="0.2">
      <c r="B14973" s="11" t="s">
        <v>2606</v>
      </c>
      <c r="C14973" s="16" t="s">
        <v>44</v>
      </c>
      <c r="D14973" s="6" t="str">
        <f>HYPERLINK("javascript:void(0)","vaskarima")</f>
        <v>vaskarima</v>
      </c>
    </row>
    <row r="14974" spans="1:4" ht="12.75" customHeight="1" x14ac:dyDescent="0.2">
      <c r="B14974" s="2"/>
      <c r="C14974" s="15"/>
      <c r="D14974" s="2"/>
    </row>
    <row r="14975" spans="1:4" ht="12.75" customHeight="1" x14ac:dyDescent="0.2">
      <c r="B14975" s="2"/>
      <c r="C14975" s="15"/>
      <c r="D14975" s="2"/>
    </row>
    <row r="14976" spans="1:4" ht="12.75" customHeight="1" x14ac:dyDescent="0.2">
      <c r="A14976" s="13" t="s">
        <v>4982</v>
      </c>
      <c r="C14976" s="12"/>
    </row>
    <row r="14977" spans="1:4" ht="12.75" customHeight="1" x14ac:dyDescent="0.2">
      <c r="A14977" s="11"/>
      <c r="B14977" s="2"/>
      <c r="C14977" s="15"/>
      <c r="D14977" s="2"/>
    </row>
    <row r="14978" spans="1:4" ht="12.75" customHeight="1" x14ac:dyDescent="0.2">
      <c r="B14978" s="11" t="s">
        <v>0</v>
      </c>
      <c r="C14978" s="11" t="s">
        <v>181</v>
      </c>
    </row>
    <row r="14979" spans="1:4" ht="12.75" customHeight="1" x14ac:dyDescent="0.2">
      <c r="B14979" s="11" t="s">
        <v>2599</v>
      </c>
      <c r="C14979" s="11" t="s">
        <v>2696</v>
      </c>
    </row>
    <row r="14980" spans="1:4" ht="25.5" customHeight="1" x14ac:dyDescent="0.2">
      <c r="B14980" s="11" t="s">
        <v>2600</v>
      </c>
      <c r="C14980" s="11" t="s">
        <v>4983</v>
      </c>
    </row>
    <row r="14981" spans="1:4" ht="25.5" customHeight="1" x14ac:dyDescent="0.2">
      <c r="B14981" s="11" t="s">
        <v>2601</v>
      </c>
      <c r="C14981" s="11"/>
    </row>
    <row r="14982" spans="1:4" ht="12.75" customHeight="1" x14ac:dyDescent="0.2">
      <c r="B14982" s="11" t="s">
        <v>16</v>
      </c>
      <c r="C14982" s="11"/>
    </row>
    <row r="14983" spans="1:4" ht="12.75" customHeight="1" x14ac:dyDescent="0.2">
      <c r="B14983" s="11" t="s">
        <v>13</v>
      </c>
      <c r="C14983" s="11" t="s">
        <v>2644</v>
      </c>
    </row>
    <row r="14984" spans="1:4" ht="12.75" customHeight="1" x14ac:dyDescent="0.2">
      <c r="B14984" s="11" t="s">
        <v>2603</v>
      </c>
      <c r="C14984" s="11" t="s">
        <v>2604</v>
      </c>
    </row>
    <row r="14985" spans="1:4" ht="12.75" customHeight="1" x14ac:dyDescent="0.2">
      <c r="B14985" s="11" t="s">
        <v>2605</v>
      </c>
      <c r="C14985" s="11" t="s">
        <v>14</v>
      </c>
    </row>
    <row r="14986" spans="1:4" ht="12.75" customHeight="1" x14ac:dyDescent="0.2">
      <c r="B14986" s="11" t="s">
        <v>2606</v>
      </c>
      <c r="C14986" s="16" t="s">
        <v>44</v>
      </c>
      <c r="D14986" s="6" t="str">
        <f>HYPERLINK("javascript:void(0)","aqua dei")</f>
        <v>aqua dei</v>
      </c>
    </row>
    <row r="14987" spans="1:4" ht="12.75" customHeight="1" x14ac:dyDescent="0.2">
      <c r="C14987" s="16" t="s">
        <v>67</v>
      </c>
      <c r="D14987" s="6" t="str">
        <f>HYPERLINK("javascript:void(0)","kincs")</f>
        <v>kincs</v>
      </c>
    </row>
    <row r="14988" spans="1:4" ht="12.75" customHeight="1" x14ac:dyDescent="0.2">
      <c r="B14988" s="2"/>
      <c r="C14988" s="15"/>
      <c r="D14988" s="2"/>
    </row>
    <row r="14989" spans="1:4" ht="12.75" customHeight="1" x14ac:dyDescent="0.2">
      <c r="B14989" s="2"/>
      <c r="C14989" s="15"/>
      <c r="D14989" s="2"/>
    </row>
    <row r="14990" spans="1:4" ht="12.75" customHeight="1" x14ac:dyDescent="0.2">
      <c r="A14990" s="13" t="s">
        <v>4984</v>
      </c>
      <c r="C14990" s="12"/>
    </row>
    <row r="14991" spans="1:4" ht="12.75" customHeight="1" x14ac:dyDescent="0.2">
      <c r="A14991" s="11"/>
      <c r="B14991" s="2"/>
      <c r="C14991" s="15"/>
      <c r="D14991" s="2"/>
    </row>
    <row r="14992" spans="1:4" ht="12.75" customHeight="1" x14ac:dyDescent="0.2">
      <c r="B14992" s="11" t="s">
        <v>0</v>
      </c>
      <c r="C14992" s="11" t="s">
        <v>181</v>
      </c>
    </row>
    <row r="14993" spans="1:4" ht="12.75" customHeight="1" x14ac:dyDescent="0.2">
      <c r="B14993" s="11" t="s">
        <v>2599</v>
      </c>
      <c r="C14993" s="11" t="s">
        <v>858</v>
      </c>
    </row>
    <row r="14994" spans="1:4" ht="25.5" customHeight="1" x14ac:dyDescent="0.2">
      <c r="B14994" s="11" t="s">
        <v>2600</v>
      </c>
      <c r="C14994" s="11" t="s">
        <v>4986</v>
      </c>
    </row>
    <row r="14995" spans="1:4" ht="25.5" customHeight="1" x14ac:dyDescent="0.2">
      <c r="B14995" s="11" t="s">
        <v>2601</v>
      </c>
      <c r="C14995" s="11"/>
    </row>
    <row r="14996" spans="1:4" ht="12.75" customHeight="1" x14ac:dyDescent="0.2">
      <c r="B14996" s="11" t="s">
        <v>16</v>
      </c>
      <c r="C14996" s="11"/>
    </row>
    <row r="14997" spans="1:4" ht="12.75" customHeight="1" x14ac:dyDescent="0.2">
      <c r="B14997" s="11" t="s">
        <v>13</v>
      </c>
      <c r="C14997" s="11" t="s">
        <v>2644</v>
      </c>
    </row>
    <row r="14998" spans="1:4" ht="12.75" customHeight="1" x14ac:dyDescent="0.2">
      <c r="B14998" s="11" t="s">
        <v>2603</v>
      </c>
      <c r="C14998" s="11" t="s">
        <v>2604</v>
      </c>
    </row>
    <row r="14999" spans="1:4" ht="12.75" customHeight="1" x14ac:dyDescent="0.2">
      <c r="B14999" s="11" t="s">
        <v>2605</v>
      </c>
      <c r="C14999" s="11" t="s">
        <v>14</v>
      </c>
    </row>
    <row r="15000" spans="1:4" ht="12.75" customHeight="1" x14ac:dyDescent="0.2">
      <c r="B15000" s="11" t="s">
        <v>2606</v>
      </c>
      <c r="C15000" s="16" t="s">
        <v>57</v>
      </c>
      <c r="D15000" s="6" t="str">
        <f>HYPERLINK("javascript:void(0)","ördögpihe")</f>
        <v>ördögpihe</v>
      </c>
    </row>
    <row r="15001" spans="1:4" ht="12.75" customHeight="1" x14ac:dyDescent="0.2">
      <c r="B15001" s="2"/>
      <c r="C15001" s="15"/>
      <c r="D15001" s="2"/>
    </row>
    <row r="15002" spans="1:4" ht="12.75" customHeight="1" x14ac:dyDescent="0.2">
      <c r="B15002" s="2"/>
      <c r="C15002" s="15"/>
      <c r="D15002" s="2"/>
    </row>
    <row r="15003" spans="1:4" ht="12.75" customHeight="1" x14ac:dyDescent="0.2">
      <c r="A15003" s="13" t="s">
        <v>4987</v>
      </c>
      <c r="C15003" s="12"/>
    </row>
    <row r="15004" spans="1:4" ht="12.75" customHeight="1" x14ac:dyDescent="0.2">
      <c r="A15004" s="11"/>
      <c r="B15004" s="2"/>
      <c r="C15004" s="15"/>
      <c r="D15004" s="2"/>
    </row>
    <row r="15005" spans="1:4" ht="12.75" customHeight="1" x14ac:dyDescent="0.2">
      <c r="B15005" s="11" t="s">
        <v>0</v>
      </c>
      <c r="C15005" s="11" t="s">
        <v>181</v>
      </c>
    </row>
    <row r="15006" spans="1:4" ht="12.75" customHeight="1" x14ac:dyDescent="0.2">
      <c r="B15006" s="11" t="s">
        <v>2599</v>
      </c>
      <c r="C15006" s="11" t="s">
        <v>4988</v>
      </c>
    </row>
    <row r="15007" spans="1:4" ht="25.5" customHeight="1" x14ac:dyDescent="0.2">
      <c r="B15007" s="11" t="s">
        <v>2600</v>
      </c>
      <c r="C15007" s="11" t="s">
        <v>4989</v>
      </c>
    </row>
    <row r="15008" spans="1:4" ht="25.5" customHeight="1" x14ac:dyDescent="0.2">
      <c r="B15008" s="11" t="s">
        <v>2601</v>
      </c>
      <c r="C15008" s="11"/>
    </row>
    <row r="15009" spans="1:4" ht="12.75" customHeight="1" x14ac:dyDescent="0.2">
      <c r="B15009" s="11" t="s">
        <v>16</v>
      </c>
      <c r="C15009" s="11"/>
    </row>
    <row r="15010" spans="1:4" ht="12.75" customHeight="1" x14ac:dyDescent="0.2">
      <c r="B15010" s="11" t="s">
        <v>13</v>
      </c>
      <c r="C15010" s="11" t="s">
        <v>2602</v>
      </c>
    </row>
    <row r="15011" spans="1:4" ht="12.75" customHeight="1" x14ac:dyDescent="0.2">
      <c r="B15011" s="11" t="s">
        <v>2603</v>
      </c>
      <c r="C15011" s="11" t="s">
        <v>2604</v>
      </c>
    </row>
    <row r="15012" spans="1:4" ht="12.75" customHeight="1" x14ac:dyDescent="0.2">
      <c r="B15012" s="11" t="s">
        <v>2605</v>
      </c>
      <c r="C15012" s="11" t="s">
        <v>14</v>
      </c>
    </row>
    <row r="15013" spans="1:4" ht="12.75" customHeight="1" x14ac:dyDescent="0.2">
      <c r="B15013" s="11" t="s">
        <v>2606</v>
      </c>
      <c r="C15013" s="16" t="s">
        <v>44</v>
      </c>
      <c r="D15013" s="6" t="str">
        <f>HYPERLINK("javascript:void(0)","mágnes")</f>
        <v>mágnes</v>
      </c>
    </row>
    <row r="15014" spans="1:4" ht="12.75" customHeight="1" x14ac:dyDescent="0.2">
      <c r="C15014" s="16" t="s">
        <v>57</v>
      </c>
      <c r="D15014" s="6" t="str">
        <f>HYPERLINK("javascript:void(0)","kincs")</f>
        <v>kincs</v>
      </c>
    </row>
    <row r="15015" spans="1:4" ht="12.75" customHeight="1" x14ac:dyDescent="0.2">
      <c r="B15015" s="2"/>
      <c r="C15015" s="15"/>
      <c r="D15015" s="2"/>
    </row>
    <row r="15016" spans="1:4" ht="12.75" customHeight="1" x14ac:dyDescent="0.2">
      <c r="B15016" s="2"/>
      <c r="C15016" s="15"/>
      <c r="D15016" s="2"/>
    </row>
    <row r="15017" spans="1:4" ht="12.75" customHeight="1" x14ac:dyDescent="0.2">
      <c r="A15017" s="13" t="s">
        <v>4990</v>
      </c>
      <c r="C15017" s="12"/>
    </row>
    <row r="15018" spans="1:4" ht="12.75" customHeight="1" x14ac:dyDescent="0.2">
      <c r="A15018" s="11"/>
      <c r="B15018" s="2"/>
      <c r="C15018" s="15"/>
      <c r="D15018" s="2"/>
    </row>
    <row r="15019" spans="1:4" ht="12.75" customHeight="1" x14ac:dyDescent="0.2">
      <c r="B15019" s="11" t="s">
        <v>0</v>
      </c>
      <c r="C15019" s="11" t="s">
        <v>181</v>
      </c>
    </row>
    <row r="15020" spans="1:4" ht="12.75" customHeight="1" x14ac:dyDescent="0.2">
      <c r="B15020" s="11" t="s">
        <v>2599</v>
      </c>
      <c r="C15020" s="11" t="s">
        <v>3081</v>
      </c>
    </row>
    <row r="15021" spans="1:4" ht="25.5" customHeight="1" x14ac:dyDescent="0.2">
      <c r="B15021" s="11" t="s">
        <v>2600</v>
      </c>
      <c r="C15021" s="11" t="s">
        <v>4991</v>
      </c>
    </row>
    <row r="15022" spans="1:4" ht="25.5" customHeight="1" x14ac:dyDescent="0.2">
      <c r="B15022" s="11" t="s">
        <v>2601</v>
      </c>
      <c r="C15022" s="11"/>
    </row>
    <row r="15023" spans="1:4" ht="12.75" customHeight="1" x14ac:dyDescent="0.2">
      <c r="B15023" s="11" t="s">
        <v>16</v>
      </c>
      <c r="C15023" s="11"/>
    </row>
    <row r="15024" spans="1:4" ht="12.75" customHeight="1" x14ac:dyDescent="0.2">
      <c r="B15024" s="11" t="s">
        <v>13</v>
      </c>
      <c r="C15024" s="11" t="s">
        <v>2644</v>
      </c>
    </row>
    <row r="15025" spans="1:4" ht="12.75" customHeight="1" x14ac:dyDescent="0.2">
      <c r="B15025" s="11" t="s">
        <v>2603</v>
      </c>
      <c r="C15025" s="11" t="s">
        <v>2604</v>
      </c>
    </row>
    <row r="15026" spans="1:4" ht="12.75" customHeight="1" x14ac:dyDescent="0.2">
      <c r="B15026" s="11" t="s">
        <v>2605</v>
      </c>
      <c r="C15026" s="11" t="s">
        <v>24</v>
      </c>
    </row>
    <row r="15027" spans="1:4" ht="12.75" customHeight="1" x14ac:dyDescent="0.2">
      <c r="B15027" s="11" t="s">
        <v>2606</v>
      </c>
      <c r="C15027" s="16" t="s">
        <v>57</v>
      </c>
      <c r="D15027" s="6" t="str">
        <f>HYPERLINK("javascript:void(0)","átokige")</f>
        <v>átokige</v>
      </c>
    </row>
    <row r="15028" spans="1:4" ht="12.75" customHeight="1" x14ac:dyDescent="0.2">
      <c r="B15028" s="2"/>
      <c r="C15028" s="15"/>
      <c r="D15028" s="2"/>
    </row>
    <row r="15029" spans="1:4" ht="12.75" customHeight="1" x14ac:dyDescent="0.2">
      <c r="B15029" s="2"/>
      <c r="C15029" s="15"/>
      <c r="D15029" s="2"/>
    </row>
    <row r="15030" spans="1:4" ht="12.75" customHeight="1" x14ac:dyDescent="0.2">
      <c r="A15030" s="13" t="s">
        <v>4992</v>
      </c>
      <c r="C15030" s="12"/>
      <c r="D15030" s="2"/>
    </row>
    <row r="15031" spans="1:4" ht="12.75" customHeight="1" x14ac:dyDescent="0.2">
      <c r="A15031" s="11"/>
      <c r="B15031" s="2"/>
      <c r="C15031" s="15"/>
      <c r="D15031" s="2"/>
    </row>
    <row r="15032" spans="1:4" ht="12.75" customHeight="1" x14ac:dyDescent="0.2">
      <c r="B15032" s="11" t="s">
        <v>0</v>
      </c>
      <c r="C15032" s="17" t="s">
        <v>181</v>
      </c>
      <c r="D15032" s="2"/>
    </row>
    <row r="15033" spans="1:4" ht="12.75" customHeight="1" x14ac:dyDescent="0.2">
      <c r="B15033" s="11" t="s">
        <v>2599</v>
      </c>
      <c r="C15033" s="17" t="s">
        <v>642</v>
      </c>
      <c r="D15033" s="2"/>
    </row>
    <row r="15034" spans="1:4" ht="25.5" customHeight="1" x14ac:dyDescent="0.2">
      <c r="B15034" s="11" t="s">
        <v>2600</v>
      </c>
      <c r="C15034" s="17" t="s">
        <v>4993</v>
      </c>
      <c r="D15034" s="2"/>
    </row>
    <row r="15035" spans="1:4" ht="25.5" customHeight="1" x14ac:dyDescent="0.2">
      <c r="B15035" s="11" t="s">
        <v>2601</v>
      </c>
      <c r="C15035" s="17"/>
      <c r="D15035" s="2"/>
    </row>
    <row r="15036" spans="1:4" ht="12.75" customHeight="1" x14ac:dyDescent="0.2">
      <c r="B15036" s="11" t="s">
        <v>16</v>
      </c>
      <c r="C15036" s="17"/>
      <c r="D15036" s="2"/>
    </row>
    <row r="15037" spans="1:4" ht="12.75" customHeight="1" x14ac:dyDescent="0.2">
      <c r="B15037" s="11" t="s">
        <v>13</v>
      </c>
      <c r="C15037" s="17" t="s">
        <v>2644</v>
      </c>
      <c r="D15037" s="2"/>
    </row>
    <row r="15038" spans="1:4" ht="25.5" customHeight="1" x14ac:dyDescent="0.2">
      <c r="B15038" s="11" t="s">
        <v>2603</v>
      </c>
      <c r="C15038" s="17" t="s">
        <v>2971</v>
      </c>
      <c r="D15038" s="2"/>
    </row>
    <row r="15039" spans="1:4" ht="12.75" customHeight="1" x14ac:dyDescent="0.2">
      <c r="B15039" s="11" t="s">
        <v>2605</v>
      </c>
      <c r="C15039" s="17" t="s">
        <v>14</v>
      </c>
      <c r="D15039" s="2"/>
    </row>
    <row r="15040" spans="1:4" ht="12.75" customHeight="1" x14ac:dyDescent="0.2">
      <c r="B15040" s="11" t="s">
        <v>2606</v>
      </c>
      <c r="C15040" s="16" t="s">
        <v>19</v>
      </c>
      <c r="D15040" s="2"/>
    </row>
    <row r="15041" spans="1:4" ht="12.75" customHeight="1" x14ac:dyDescent="0.2">
      <c r="B15041" s="2"/>
      <c r="C15041" s="15"/>
      <c r="D15041" s="2"/>
    </row>
    <row r="15042" spans="1:4" ht="12.75" customHeight="1" x14ac:dyDescent="0.2">
      <c r="B15042" s="2"/>
      <c r="C15042" s="15"/>
      <c r="D15042" s="2"/>
    </row>
    <row r="15043" spans="1:4" ht="12.75" customHeight="1" x14ac:dyDescent="0.2">
      <c r="A15043" s="13" t="s">
        <v>4961</v>
      </c>
      <c r="C15043" s="12"/>
      <c r="D15043" s="2"/>
    </row>
    <row r="15044" spans="1:4" ht="12.75" customHeight="1" x14ac:dyDescent="0.2">
      <c r="A15044" s="11"/>
      <c r="B15044" s="2"/>
      <c r="C15044" s="15"/>
      <c r="D15044" s="2"/>
    </row>
    <row r="15045" spans="1:4" ht="12.75" customHeight="1" x14ac:dyDescent="0.2">
      <c r="B15045" s="11" t="s">
        <v>0</v>
      </c>
      <c r="C15045" s="17" t="s">
        <v>853</v>
      </c>
      <c r="D15045" s="2"/>
    </row>
    <row r="15046" spans="1:4" ht="12.75" customHeight="1" x14ac:dyDescent="0.2">
      <c r="B15046" s="11" t="s">
        <v>2599</v>
      </c>
      <c r="C15046" s="17" t="s">
        <v>3296</v>
      </c>
      <c r="D15046" s="2"/>
    </row>
    <row r="15047" spans="1:4" ht="25.5" customHeight="1" x14ac:dyDescent="0.2">
      <c r="B15047" s="11" t="s">
        <v>2600</v>
      </c>
      <c r="C15047" s="17" t="s">
        <v>4994</v>
      </c>
      <c r="D15047" s="2"/>
    </row>
    <row r="15048" spans="1:4" ht="25.5" customHeight="1" x14ac:dyDescent="0.2">
      <c r="B15048" s="11" t="s">
        <v>2601</v>
      </c>
      <c r="C15048" s="17"/>
      <c r="D15048" s="2"/>
    </row>
    <row r="15049" spans="1:4" ht="12.75" customHeight="1" x14ac:dyDescent="0.2">
      <c r="B15049" s="11" t="s">
        <v>16</v>
      </c>
      <c r="C15049" s="17"/>
      <c r="D15049" s="2"/>
    </row>
    <row r="15050" spans="1:4" ht="12.75" customHeight="1" x14ac:dyDescent="0.2">
      <c r="B15050" s="11" t="s">
        <v>13</v>
      </c>
      <c r="C15050" s="17" t="s">
        <v>2602</v>
      </c>
      <c r="D15050" s="2"/>
    </row>
    <row r="15051" spans="1:4" ht="25.5" customHeight="1" x14ac:dyDescent="0.2">
      <c r="B15051" s="11" t="s">
        <v>2603</v>
      </c>
      <c r="C15051" s="17" t="s">
        <v>2971</v>
      </c>
      <c r="D15051" s="2"/>
    </row>
    <row r="15052" spans="1:4" ht="12.75" customHeight="1" x14ac:dyDescent="0.2">
      <c r="B15052" s="11" t="s">
        <v>2605</v>
      </c>
      <c r="C15052" s="17" t="s">
        <v>14</v>
      </c>
      <c r="D15052" s="2"/>
    </row>
    <row r="15053" spans="1:4" ht="12.75" customHeight="1" x14ac:dyDescent="0.2">
      <c r="B15053" s="11" t="s">
        <v>2606</v>
      </c>
      <c r="C15053" s="16" t="s">
        <v>19</v>
      </c>
      <c r="D15053" s="2"/>
    </row>
    <row r="15054" spans="1:4" ht="12.75" customHeight="1" x14ac:dyDescent="0.2">
      <c r="B15054" s="2"/>
      <c r="C15054" s="15"/>
      <c r="D15054" s="2"/>
    </row>
    <row r="15055" spans="1:4" ht="12.75" customHeight="1" x14ac:dyDescent="0.2">
      <c r="B15055" s="2"/>
      <c r="C15055" s="15"/>
      <c r="D15055" s="2"/>
    </row>
    <row r="15056" spans="1:4" ht="12.75" customHeight="1" x14ac:dyDescent="0.2">
      <c r="A15056" s="13" t="s">
        <v>4963</v>
      </c>
      <c r="C15056" s="12"/>
      <c r="D15056" s="2"/>
    </row>
    <row r="15057" spans="1:4" ht="12.75" customHeight="1" x14ac:dyDescent="0.2">
      <c r="A15057" s="11"/>
      <c r="B15057" s="2"/>
      <c r="C15057" s="15"/>
      <c r="D15057" s="2"/>
    </row>
    <row r="15058" spans="1:4" ht="12.75" customHeight="1" x14ac:dyDescent="0.2">
      <c r="B15058" s="11" t="s">
        <v>0</v>
      </c>
      <c r="C15058" s="17" t="s">
        <v>853</v>
      </c>
      <c r="D15058" s="2"/>
    </row>
    <row r="15059" spans="1:4" ht="12.75" customHeight="1" x14ac:dyDescent="0.2">
      <c r="B15059" s="11" t="s">
        <v>2599</v>
      </c>
      <c r="C15059" s="17" t="s">
        <v>4964</v>
      </c>
      <c r="D15059" s="2"/>
    </row>
    <row r="15060" spans="1:4" ht="25.5" customHeight="1" x14ac:dyDescent="0.2">
      <c r="B15060" s="11" t="s">
        <v>2600</v>
      </c>
      <c r="C15060" s="17" t="s">
        <v>4995</v>
      </c>
      <c r="D15060" s="2"/>
    </row>
    <row r="15061" spans="1:4" ht="25.5" customHeight="1" x14ac:dyDescent="0.2">
      <c r="B15061" s="11" t="s">
        <v>2601</v>
      </c>
      <c r="C15061" s="17"/>
      <c r="D15061" s="2"/>
    </row>
    <row r="15062" spans="1:4" ht="12.75" customHeight="1" x14ac:dyDescent="0.2">
      <c r="B15062" s="11" t="s">
        <v>16</v>
      </c>
      <c r="C15062" s="17"/>
      <c r="D15062" s="2"/>
    </row>
    <row r="15063" spans="1:4" ht="12.75" customHeight="1" x14ac:dyDescent="0.2">
      <c r="B15063" s="11" t="s">
        <v>13</v>
      </c>
      <c r="C15063" s="17" t="s">
        <v>2644</v>
      </c>
      <c r="D15063" s="2"/>
    </row>
    <row r="15064" spans="1:4" ht="25.5" customHeight="1" x14ac:dyDescent="0.2">
      <c r="B15064" s="11" t="s">
        <v>2603</v>
      </c>
      <c r="C15064" s="17" t="s">
        <v>2971</v>
      </c>
      <c r="D15064" s="2"/>
    </row>
    <row r="15065" spans="1:4" ht="12.75" customHeight="1" x14ac:dyDescent="0.2">
      <c r="B15065" s="11" t="s">
        <v>2605</v>
      </c>
      <c r="C15065" s="17" t="s">
        <v>14</v>
      </c>
      <c r="D15065" s="2"/>
    </row>
    <row r="15066" spans="1:4" ht="12.75" customHeight="1" x14ac:dyDescent="0.2">
      <c r="B15066" s="11" t="s">
        <v>2606</v>
      </c>
      <c r="C15066" s="16" t="s">
        <v>19</v>
      </c>
      <c r="D15066" s="2"/>
    </row>
    <row r="15067" spans="1:4" ht="12.75" customHeight="1" x14ac:dyDescent="0.2">
      <c r="B15067" s="2"/>
      <c r="C15067" s="15"/>
      <c r="D15067" s="2"/>
    </row>
    <row r="15068" spans="1:4" ht="12.75" customHeight="1" x14ac:dyDescent="0.2">
      <c r="B15068" s="2"/>
      <c r="C15068" s="15"/>
      <c r="D15068" s="2"/>
    </row>
    <row r="15069" spans="1:4" ht="12.75" customHeight="1" x14ac:dyDescent="0.2">
      <c r="A15069" s="13" t="s">
        <v>4966</v>
      </c>
      <c r="C15069" s="12"/>
      <c r="D15069" s="2"/>
    </row>
    <row r="15070" spans="1:4" ht="12.75" customHeight="1" x14ac:dyDescent="0.2">
      <c r="A15070" s="11"/>
      <c r="B15070" s="2"/>
      <c r="C15070" s="15"/>
      <c r="D15070" s="2"/>
    </row>
    <row r="15071" spans="1:4" ht="12.75" customHeight="1" x14ac:dyDescent="0.2">
      <c r="B15071" s="11" t="s">
        <v>0</v>
      </c>
      <c r="C15071" s="17" t="s">
        <v>853</v>
      </c>
      <c r="D15071" s="2"/>
    </row>
    <row r="15072" spans="1:4" ht="12.75" customHeight="1" x14ac:dyDescent="0.2">
      <c r="B15072" s="11" t="s">
        <v>2599</v>
      </c>
      <c r="C15072" s="17" t="s">
        <v>4967</v>
      </c>
      <c r="D15072" s="2"/>
    </row>
    <row r="15073" spans="1:4" ht="25.5" customHeight="1" x14ac:dyDescent="0.2">
      <c r="B15073" s="11" t="s">
        <v>2600</v>
      </c>
      <c r="C15073" s="17" t="s">
        <v>4996</v>
      </c>
      <c r="D15073" s="2"/>
    </row>
    <row r="15074" spans="1:4" ht="25.5" customHeight="1" x14ac:dyDescent="0.2">
      <c r="B15074" s="11" t="s">
        <v>2601</v>
      </c>
      <c r="C15074" s="17"/>
      <c r="D15074" s="2"/>
    </row>
    <row r="15075" spans="1:4" ht="12.75" customHeight="1" x14ac:dyDescent="0.2">
      <c r="B15075" s="11" t="s">
        <v>16</v>
      </c>
      <c r="C15075" s="17"/>
      <c r="D15075" s="2"/>
    </row>
    <row r="15076" spans="1:4" ht="12.75" customHeight="1" x14ac:dyDescent="0.2">
      <c r="B15076" s="11" t="s">
        <v>13</v>
      </c>
      <c r="C15076" s="17" t="s">
        <v>2602</v>
      </c>
      <c r="D15076" s="2"/>
    </row>
    <row r="15077" spans="1:4" ht="25.5" customHeight="1" x14ac:dyDescent="0.2">
      <c r="B15077" s="11" t="s">
        <v>2603</v>
      </c>
      <c r="C15077" s="17" t="s">
        <v>2971</v>
      </c>
      <c r="D15077" s="2"/>
    </row>
    <row r="15078" spans="1:4" ht="12.75" customHeight="1" x14ac:dyDescent="0.2">
      <c r="B15078" s="11" t="s">
        <v>2605</v>
      </c>
      <c r="C15078" s="17" t="s">
        <v>14</v>
      </c>
      <c r="D15078" s="2"/>
    </row>
    <row r="15079" spans="1:4" ht="12.75" customHeight="1" x14ac:dyDescent="0.2">
      <c r="B15079" s="11" t="s">
        <v>2606</v>
      </c>
      <c r="C15079" s="16" t="s">
        <v>19</v>
      </c>
      <c r="D15079" s="2"/>
    </row>
    <row r="15080" spans="1:4" ht="12.75" customHeight="1" x14ac:dyDescent="0.2">
      <c r="B15080" s="2"/>
      <c r="C15080" s="15"/>
      <c r="D15080" s="2"/>
    </row>
    <row r="15081" spans="1:4" ht="12.75" customHeight="1" x14ac:dyDescent="0.2">
      <c r="B15081" s="2"/>
      <c r="C15081" s="15"/>
      <c r="D15081" s="2"/>
    </row>
    <row r="15082" spans="1:4" ht="12.75" customHeight="1" x14ac:dyDescent="0.2">
      <c r="A15082" s="13" t="s">
        <v>4992</v>
      </c>
      <c r="C15082" s="12"/>
      <c r="D15082" s="2"/>
    </row>
    <row r="15083" spans="1:4" ht="12.75" customHeight="1" x14ac:dyDescent="0.2">
      <c r="A15083" s="11"/>
      <c r="B15083" s="2"/>
      <c r="C15083" s="15"/>
      <c r="D15083" s="2"/>
    </row>
    <row r="15084" spans="1:4" ht="12.75" customHeight="1" x14ac:dyDescent="0.2">
      <c r="B15084" s="11" t="s">
        <v>0</v>
      </c>
      <c r="C15084" s="17" t="s">
        <v>853</v>
      </c>
      <c r="D15084" s="2"/>
    </row>
    <row r="15085" spans="1:4" ht="12.75" customHeight="1" x14ac:dyDescent="0.2">
      <c r="B15085" s="11" t="s">
        <v>2599</v>
      </c>
      <c r="C15085" s="17" t="s">
        <v>642</v>
      </c>
      <c r="D15085" s="2"/>
    </row>
    <row r="15086" spans="1:4" ht="25.5" customHeight="1" x14ac:dyDescent="0.2">
      <c r="B15086" s="11" t="s">
        <v>2600</v>
      </c>
      <c r="C15086" s="17" t="s">
        <v>4997</v>
      </c>
      <c r="D15086" s="2"/>
    </row>
    <row r="15087" spans="1:4" ht="25.5" customHeight="1" x14ac:dyDescent="0.2">
      <c r="B15087" s="11" t="s">
        <v>2601</v>
      </c>
      <c r="C15087" s="17"/>
      <c r="D15087" s="2"/>
    </row>
    <row r="15088" spans="1:4" ht="12.75" customHeight="1" x14ac:dyDescent="0.2">
      <c r="B15088" s="11" t="s">
        <v>16</v>
      </c>
      <c r="C15088" s="17"/>
      <c r="D15088" s="2"/>
    </row>
    <row r="15089" spans="1:4" ht="12.75" customHeight="1" x14ac:dyDescent="0.2">
      <c r="B15089" s="11" t="s">
        <v>13</v>
      </c>
      <c r="C15089" s="17" t="s">
        <v>2644</v>
      </c>
      <c r="D15089" s="2"/>
    </row>
    <row r="15090" spans="1:4" ht="25.5" customHeight="1" x14ac:dyDescent="0.2">
      <c r="B15090" s="11" t="s">
        <v>2603</v>
      </c>
      <c r="C15090" s="17" t="s">
        <v>2971</v>
      </c>
      <c r="D15090" s="2"/>
    </row>
    <row r="15091" spans="1:4" ht="12.75" customHeight="1" x14ac:dyDescent="0.2">
      <c r="B15091" s="11" t="s">
        <v>2605</v>
      </c>
      <c r="C15091" s="17" t="s">
        <v>14</v>
      </c>
      <c r="D15091" s="2"/>
    </row>
    <row r="15092" spans="1:4" ht="12.75" customHeight="1" x14ac:dyDescent="0.2">
      <c r="B15092" s="11" t="s">
        <v>2606</v>
      </c>
      <c r="C15092" s="16" t="s">
        <v>19</v>
      </c>
      <c r="D15092" s="2"/>
    </row>
    <row r="15093" spans="1:4" ht="12.75" customHeight="1" x14ac:dyDescent="0.2">
      <c r="B15093" s="2"/>
      <c r="C15093" s="15"/>
      <c r="D15093" s="2"/>
    </row>
    <row r="15094" spans="1:4" ht="12.75" customHeight="1" x14ac:dyDescent="0.2">
      <c r="B15094" s="2"/>
      <c r="C15094" s="15"/>
      <c r="D15094" s="2"/>
    </row>
    <row r="15095" spans="1:4" ht="12.75" customHeight="1" x14ac:dyDescent="0.2">
      <c r="A15095" s="13" t="s">
        <v>4998</v>
      </c>
      <c r="C15095" s="12"/>
    </row>
    <row r="15096" spans="1:4" ht="12.75" customHeight="1" x14ac:dyDescent="0.2">
      <c r="A15096" s="11"/>
      <c r="B15096" s="2"/>
      <c r="C15096" s="15"/>
      <c r="D15096" s="2"/>
    </row>
    <row r="15097" spans="1:4" ht="12.75" customHeight="1" x14ac:dyDescent="0.2">
      <c r="B15097" s="11" t="s">
        <v>0</v>
      </c>
      <c r="C15097" s="11" t="s">
        <v>853</v>
      </c>
    </row>
    <row r="15098" spans="1:4" ht="12.75" customHeight="1" x14ac:dyDescent="0.2">
      <c r="B15098" s="11" t="s">
        <v>2599</v>
      </c>
      <c r="C15098" s="11" t="s">
        <v>4999</v>
      </c>
    </row>
    <row r="15099" spans="1:4" ht="25.5" customHeight="1" x14ac:dyDescent="0.2">
      <c r="B15099" s="11" t="s">
        <v>2600</v>
      </c>
      <c r="C15099" s="11" t="s">
        <v>5000</v>
      </c>
    </row>
    <row r="15100" spans="1:4" ht="25.5" customHeight="1" x14ac:dyDescent="0.2">
      <c r="B15100" s="11" t="s">
        <v>2601</v>
      </c>
      <c r="C15100" s="11"/>
    </row>
    <row r="15101" spans="1:4" ht="12.75" customHeight="1" x14ac:dyDescent="0.2">
      <c r="B15101" s="11" t="s">
        <v>16</v>
      </c>
      <c r="C15101" s="11"/>
    </row>
    <row r="15102" spans="1:4" ht="12.75" customHeight="1" x14ac:dyDescent="0.2">
      <c r="B15102" s="11" t="s">
        <v>13</v>
      </c>
      <c r="C15102" s="11" t="s">
        <v>2602</v>
      </c>
    </row>
    <row r="15103" spans="1:4" ht="12.75" customHeight="1" x14ac:dyDescent="0.2">
      <c r="B15103" s="11" t="s">
        <v>2603</v>
      </c>
      <c r="C15103" s="11" t="s">
        <v>2604</v>
      </c>
    </row>
    <row r="15104" spans="1:4" ht="12.75" customHeight="1" x14ac:dyDescent="0.2">
      <c r="B15104" s="11" t="s">
        <v>2605</v>
      </c>
      <c r="C15104" s="11" t="s">
        <v>14</v>
      </c>
    </row>
    <row r="15105" spans="1:4" ht="12.75" customHeight="1" x14ac:dyDescent="0.2">
      <c r="B15105" s="11" t="s">
        <v>2606</v>
      </c>
      <c r="C15105" s="16" t="s">
        <v>420</v>
      </c>
      <c r="D15105" s="6" t="str">
        <f>HYPERLINK("javascript:void(0)","kincs")</f>
        <v>kincs</v>
      </c>
    </row>
    <row r="15106" spans="1:4" ht="12.75" customHeight="1" x14ac:dyDescent="0.2">
      <c r="B15106" s="2"/>
      <c r="C15106" s="15"/>
      <c r="D15106" s="2"/>
    </row>
    <row r="15107" spans="1:4" ht="12.75" customHeight="1" x14ac:dyDescent="0.2">
      <c r="B15107" s="2"/>
      <c r="C15107" s="15"/>
      <c r="D15107" s="2"/>
    </row>
    <row r="15108" spans="1:4" ht="12.75" customHeight="1" x14ac:dyDescent="0.2">
      <c r="A15108" s="13" t="s">
        <v>5001</v>
      </c>
      <c r="C15108" s="12"/>
    </row>
    <row r="15109" spans="1:4" ht="12.75" customHeight="1" x14ac:dyDescent="0.2">
      <c r="A15109" s="11"/>
      <c r="B15109" s="2"/>
      <c r="C15109" s="15"/>
      <c r="D15109" s="2"/>
    </row>
    <row r="15110" spans="1:4" ht="12.75" customHeight="1" x14ac:dyDescent="0.2">
      <c r="B15110" s="11" t="s">
        <v>0</v>
      </c>
      <c r="C15110" s="11" t="s">
        <v>853</v>
      </c>
    </row>
    <row r="15111" spans="1:4" ht="12.75" customHeight="1" x14ac:dyDescent="0.2">
      <c r="B15111" s="11" t="s">
        <v>2599</v>
      </c>
      <c r="C15111" s="11" t="s">
        <v>5002</v>
      </c>
    </row>
    <row r="15112" spans="1:4" ht="25.5" customHeight="1" x14ac:dyDescent="0.2">
      <c r="B15112" s="11" t="s">
        <v>2600</v>
      </c>
      <c r="C15112" s="11" t="s">
        <v>5003</v>
      </c>
    </row>
    <row r="15113" spans="1:4" ht="25.5" customHeight="1" x14ac:dyDescent="0.2">
      <c r="B15113" s="11" t="s">
        <v>2601</v>
      </c>
      <c r="C15113" s="11"/>
    </row>
    <row r="15114" spans="1:4" ht="12.75" customHeight="1" x14ac:dyDescent="0.2">
      <c r="B15114" s="11" t="s">
        <v>16</v>
      </c>
      <c r="C15114" s="11"/>
    </row>
    <row r="15115" spans="1:4" ht="12.75" customHeight="1" x14ac:dyDescent="0.2">
      <c r="B15115" s="11" t="s">
        <v>13</v>
      </c>
      <c r="C15115" s="11" t="s">
        <v>2602</v>
      </c>
    </row>
    <row r="15116" spans="1:4" ht="12.75" customHeight="1" x14ac:dyDescent="0.2">
      <c r="B15116" s="11" t="s">
        <v>2603</v>
      </c>
      <c r="C15116" s="11" t="s">
        <v>2604</v>
      </c>
    </row>
    <row r="15117" spans="1:4" ht="12.75" customHeight="1" x14ac:dyDescent="0.2">
      <c r="B15117" s="11" t="s">
        <v>2605</v>
      </c>
      <c r="C15117" s="11" t="s">
        <v>14</v>
      </c>
    </row>
    <row r="15118" spans="1:4" ht="12.75" customHeight="1" x14ac:dyDescent="0.2">
      <c r="B15118" s="11" t="s">
        <v>2606</v>
      </c>
      <c r="C15118" s="16" t="s">
        <v>265</v>
      </c>
      <c r="D15118" s="6" t="str">
        <f>HYPERLINK("javascript:void(0)","kincs")</f>
        <v>kincs</v>
      </c>
    </row>
    <row r="15119" spans="1:4" ht="25.5" customHeight="1" x14ac:dyDescent="0.2">
      <c r="C15119" s="16" t="s">
        <v>44</v>
      </c>
      <c r="D15119" s="6" t="str">
        <f>HYPERLINK("javascript:void(0)","monsztabéklyó")</f>
        <v>monsztabéklyó</v>
      </c>
    </row>
    <row r="15120" spans="1:4" ht="12.75" customHeight="1" x14ac:dyDescent="0.2">
      <c r="B15120" s="2"/>
      <c r="C15120" s="15"/>
      <c r="D15120" s="2"/>
    </row>
    <row r="15121" spans="1:4" ht="12.75" customHeight="1" x14ac:dyDescent="0.2">
      <c r="B15121" s="2"/>
      <c r="C15121" s="15"/>
      <c r="D15121" s="2"/>
    </row>
    <row r="15122" spans="1:4" ht="12.75" customHeight="1" x14ac:dyDescent="0.2">
      <c r="A15122" s="13" t="s">
        <v>5004</v>
      </c>
      <c r="C15122" s="12"/>
    </row>
    <row r="15123" spans="1:4" ht="12.75" customHeight="1" x14ac:dyDescent="0.2">
      <c r="A15123" s="11"/>
      <c r="B15123" s="2"/>
      <c r="C15123" s="15"/>
      <c r="D15123" s="2"/>
    </row>
    <row r="15124" spans="1:4" ht="12.75" customHeight="1" x14ac:dyDescent="0.2">
      <c r="B15124" s="11" t="s">
        <v>0</v>
      </c>
      <c r="C15124" s="11" t="s">
        <v>853</v>
      </c>
    </row>
    <row r="15125" spans="1:4" ht="12.75" customHeight="1" x14ac:dyDescent="0.2">
      <c r="B15125" s="11" t="s">
        <v>2599</v>
      </c>
      <c r="C15125" s="11" t="s">
        <v>659</v>
      </c>
    </row>
    <row r="15126" spans="1:4" ht="25.5" customHeight="1" x14ac:dyDescent="0.2">
      <c r="B15126" s="11" t="s">
        <v>2600</v>
      </c>
      <c r="C15126" s="11" t="s">
        <v>5005</v>
      </c>
    </row>
    <row r="15127" spans="1:4" ht="25.5" customHeight="1" x14ac:dyDescent="0.2">
      <c r="B15127" s="11" t="s">
        <v>2601</v>
      </c>
      <c r="C15127" s="11"/>
    </row>
    <row r="15128" spans="1:4" ht="12.75" customHeight="1" x14ac:dyDescent="0.2">
      <c r="B15128" s="11" t="s">
        <v>16</v>
      </c>
      <c r="C15128" s="11"/>
    </row>
    <row r="15129" spans="1:4" ht="12.75" customHeight="1" x14ac:dyDescent="0.2">
      <c r="B15129" s="11" t="s">
        <v>13</v>
      </c>
      <c r="C15129" s="11" t="s">
        <v>2602</v>
      </c>
    </row>
    <row r="15130" spans="1:4" ht="12.75" customHeight="1" x14ac:dyDescent="0.2">
      <c r="B15130" s="11" t="s">
        <v>2603</v>
      </c>
      <c r="C15130" s="11" t="s">
        <v>2604</v>
      </c>
    </row>
    <row r="15131" spans="1:4" ht="12.75" customHeight="1" x14ac:dyDescent="0.2">
      <c r="B15131" s="11" t="s">
        <v>2605</v>
      </c>
      <c r="C15131" s="11" t="s">
        <v>14</v>
      </c>
    </row>
    <row r="15132" spans="1:4" ht="12.75" customHeight="1" x14ac:dyDescent="0.2">
      <c r="B15132" s="11" t="s">
        <v>2606</v>
      </c>
      <c r="C15132" s="16" t="s">
        <v>44</v>
      </c>
      <c r="D15132" s="6" t="str">
        <f>HYPERLINK("javascript:void(0)","cerka")</f>
        <v>cerka</v>
      </c>
    </row>
    <row r="15133" spans="1:4" ht="12.75" customHeight="1" x14ac:dyDescent="0.2">
      <c r="C15133" s="16" t="s">
        <v>269</v>
      </c>
      <c r="D15133" s="6" t="str">
        <f>HYPERLINK("javascript:void(0)","kincs")</f>
        <v>kincs</v>
      </c>
    </row>
    <row r="15134" spans="1:4" ht="12.75" customHeight="1" x14ac:dyDescent="0.2">
      <c r="B15134" s="2"/>
      <c r="C15134" s="15"/>
      <c r="D15134" s="2"/>
    </row>
    <row r="15135" spans="1:4" ht="12.75" customHeight="1" x14ac:dyDescent="0.2">
      <c r="B15135" s="2"/>
      <c r="C15135" s="15"/>
      <c r="D15135" s="2"/>
    </row>
    <row r="15136" spans="1:4" ht="12.75" customHeight="1" x14ac:dyDescent="0.2">
      <c r="A15136" s="13" t="s">
        <v>5006</v>
      </c>
      <c r="C15136" s="12"/>
    </row>
    <row r="15137" spans="1:4" ht="12.75" customHeight="1" x14ac:dyDescent="0.2">
      <c r="A15137" s="11"/>
      <c r="B15137" s="2"/>
      <c r="C15137" s="15"/>
      <c r="D15137" s="2"/>
    </row>
    <row r="15138" spans="1:4" ht="12.75" customHeight="1" x14ac:dyDescent="0.2">
      <c r="B15138" s="11" t="s">
        <v>0</v>
      </c>
      <c r="C15138" s="11" t="s">
        <v>853</v>
      </c>
    </row>
    <row r="15139" spans="1:4" ht="12.75" customHeight="1" x14ac:dyDescent="0.2">
      <c r="B15139" s="11" t="s">
        <v>2599</v>
      </c>
      <c r="C15139" s="11" t="s">
        <v>5007</v>
      </c>
    </row>
    <row r="15140" spans="1:4" ht="25.5" customHeight="1" x14ac:dyDescent="0.2">
      <c r="B15140" s="11" t="s">
        <v>2600</v>
      </c>
      <c r="C15140" s="11" t="s">
        <v>5008</v>
      </c>
    </row>
    <row r="15141" spans="1:4" ht="25.5" customHeight="1" x14ac:dyDescent="0.2">
      <c r="B15141" s="11" t="s">
        <v>2601</v>
      </c>
      <c r="C15141" s="11"/>
    </row>
    <row r="15142" spans="1:4" ht="12.75" customHeight="1" x14ac:dyDescent="0.2">
      <c r="B15142" s="11" t="s">
        <v>16</v>
      </c>
      <c r="C15142" s="11"/>
    </row>
    <row r="15143" spans="1:4" ht="12.75" customHeight="1" x14ac:dyDescent="0.2">
      <c r="B15143" s="11" t="s">
        <v>13</v>
      </c>
      <c r="C15143" s="11" t="s">
        <v>2644</v>
      </c>
    </row>
    <row r="15144" spans="1:4" ht="12.75" customHeight="1" x14ac:dyDescent="0.2">
      <c r="B15144" s="11" t="s">
        <v>2603</v>
      </c>
      <c r="C15144" s="11" t="s">
        <v>2604</v>
      </c>
    </row>
    <row r="15145" spans="1:4" ht="12.75" customHeight="1" x14ac:dyDescent="0.2">
      <c r="B15145" s="11" t="s">
        <v>2605</v>
      </c>
      <c r="C15145" s="11" t="s">
        <v>24</v>
      </c>
    </row>
    <row r="15146" spans="1:4" ht="12.75" customHeight="1" x14ac:dyDescent="0.2">
      <c r="B15146" s="11" t="s">
        <v>2606</v>
      </c>
      <c r="C15146" s="16" t="s">
        <v>44</v>
      </c>
      <c r="D15146" s="6" t="str">
        <f>HYPERLINK("javascript:void(0)","dobókocka")</f>
        <v>dobókocka</v>
      </c>
    </row>
    <row r="15147" spans="1:4" ht="12.75" customHeight="1" x14ac:dyDescent="0.2">
      <c r="C15147" s="16" t="s">
        <v>67</v>
      </c>
      <c r="D15147" s="6" t="str">
        <f>HYPERLINK("javascript:void(0)","kincs")</f>
        <v>kincs</v>
      </c>
    </row>
    <row r="15148" spans="1:4" ht="12.75" customHeight="1" x14ac:dyDescent="0.2">
      <c r="B15148" s="2"/>
      <c r="C15148" s="15"/>
      <c r="D15148" s="2"/>
    </row>
    <row r="15149" spans="1:4" ht="12.75" customHeight="1" x14ac:dyDescent="0.2">
      <c r="B15149" s="2"/>
      <c r="C15149" s="15"/>
      <c r="D15149" s="2"/>
    </row>
    <row r="15150" spans="1:4" ht="12.75" customHeight="1" x14ac:dyDescent="0.2">
      <c r="A15150" s="13" t="s">
        <v>5009</v>
      </c>
      <c r="C15150" s="12"/>
    </row>
    <row r="15151" spans="1:4" ht="12.75" customHeight="1" x14ac:dyDescent="0.2">
      <c r="A15151" s="11"/>
      <c r="B15151" s="2"/>
      <c r="C15151" s="15"/>
      <c r="D15151" s="2"/>
    </row>
    <row r="15152" spans="1:4" ht="12.75" customHeight="1" x14ac:dyDescent="0.2">
      <c r="B15152" s="11" t="s">
        <v>0</v>
      </c>
      <c r="C15152" s="11" t="s">
        <v>853</v>
      </c>
    </row>
    <row r="15153" spans="1:4" ht="12.75" customHeight="1" x14ac:dyDescent="0.2">
      <c r="B15153" s="11" t="s">
        <v>2599</v>
      </c>
      <c r="C15153" s="11" t="s">
        <v>3985</v>
      </c>
    </row>
    <row r="15154" spans="1:4" ht="25.5" customHeight="1" x14ac:dyDescent="0.2">
      <c r="B15154" s="11" t="s">
        <v>2600</v>
      </c>
      <c r="C15154" s="11" t="s">
        <v>5010</v>
      </c>
    </row>
    <row r="15155" spans="1:4" ht="25.5" customHeight="1" x14ac:dyDescent="0.2">
      <c r="B15155" s="11" t="s">
        <v>2601</v>
      </c>
      <c r="C15155" s="11"/>
    </row>
    <row r="15156" spans="1:4" ht="12.75" customHeight="1" x14ac:dyDescent="0.2">
      <c r="B15156" s="11" t="s">
        <v>16</v>
      </c>
      <c r="C15156" s="11"/>
    </row>
    <row r="15157" spans="1:4" ht="12.75" customHeight="1" x14ac:dyDescent="0.2">
      <c r="B15157" s="11" t="s">
        <v>13</v>
      </c>
      <c r="C15157" s="11" t="s">
        <v>2644</v>
      </c>
    </row>
    <row r="15158" spans="1:4" ht="12.75" customHeight="1" x14ac:dyDescent="0.2">
      <c r="B15158" s="11" t="s">
        <v>2603</v>
      </c>
      <c r="C15158" s="11" t="s">
        <v>2604</v>
      </c>
    </row>
    <row r="15159" spans="1:4" ht="12.75" customHeight="1" x14ac:dyDescent="0.2">
      <c r="B15159" s="11" t="s">
        <v>2605</v>
      </c>
      <c r="C15159" s="11" t="s">
        <v>24</v>
      </c>
    </row>
    <row r="15160" spans="1:4" ht="12.75" customHeight="1" x14ac:dyDescent="0.2">
      <c r="B15160" s="11" t="s">
        <v>2606</v>
      </c>
      <c r="C15160" s="16" t="s">
        <v>44</v>
      </c>
      <c r="D15160" s="6" t="str">
        <f>HYPERLINK("javascript:void(0)","zanzahúr")</f>
        <v>zanzahúr</v>
      </c>
    </row>
    <row r="15161" spans="1:4" ht="12.75" customHeight="1" x14ac:dyDescent="0.2">
      <c r="C15161" s="16" t="s">
        <v>139</v>
      </c>
      <c r="D15161" s="6" t="str">
        <f>HYPERLINK("javascript:void(0)","kincs")</f>
        <v>kincs</v>
      </c>
    </row>
    <row r="15162" spans="1:4" ht="12.75" customHeight="1" x14ac:dyDescent="0.2">
      <c r="B15162" s="2"/>
      <c r="C15162" s="15"/>
      <c r="D15162" s="2"/>
    </row>
    <row r="15163" spans="1:4" ht="12.75" customHeight="1" x14ac:dyDescent="0.2">
      <c r="B15163" s="2"/>
      <c r="C15163" s="15"/>
      <c r="D15163" s="2"/>
    </row>
    <row r="15164" spans="1:4" ht="12.75" customHeight="1" x14ac:dyDescent="0.2">
      <c r="A15164" s="13" t="s">
        <v>5011</v>
      </c>
      <c r="C15164" s="12"/>
    </row>
    <row r="15165" spans="1:4" ht="12.75" customHeight="1" x14ac:dyDescent="0.2">
      <c r="A15165" s="11"/>
      <c r="B15165" s="2"/>
      <c r="C15165" s="15"/>
      <c r="D15165" s="2"/>
    </row>
    <row r="15166" spans="1:4" ht="12.75" customHeight="1" x14ac:dyDescent="0.2">
      <c r="B15166" s="11" t="s">
        <v>0</v>
      </c>
      <c r="C15166" s="11" t="s">
        <v>853</v>
      </c>
    </row>
    <row r="15167" spans="1:4" ht="12.75" customHeight="1" x14ac:dyDescent="0.2">
      <c r="B15167" s="11" t="s">
        <v>2599</v>
      </c>
      <c r="C15167" s="11" t="s">
        <v>5012</v>
      </c>
    </row>
    <row r="15168" spans="1:4" ht="25.5" customHeight="1" x14ac:dyDescent="0.2">
      <c r="B15168" s="11" t="s">
        <v>2600</v>
      </c>
      <c r="C15168" s="11" t="s">
        <v>5013</v>
      </c>
    </row>
    <row r="15169" spans="1:4" ht="25.5" customHeight="1" x14ac:dyDescent="0.2">
      <c r="B15169" s="11" t="s">
        <v>2601</v>
      </c>
      <c r="C15169" s="11"/>
    </row>
    <row r="15170" spans="1:4" ht="12.75" customHeight="1" x14ac:dyDescent="0.2">
      <c r="B15170" s="11" t="s">
        <v>16</v>
      </c>
      <c r="C15170" s="11"/>
    </row>
    <row r="15171" spans="1:4" ht="12.75" customHeight="1" x14ac:dyDescent="0.2">
      <c r="B15171" s="11" t="s">
        <v>13</v>
      </c>
      <c r="C15171" s="11" t="s">
        <v>2602</v>
      </c>
    </row>
    <row r="15172" spans="1:4" ht="12.75" customHeight="1" x14ac:dyDescent="0.2">
      <c r="B15172" s="11" t="s">
        <v>2603</v>
      </c>
      <c r="C15172" s="11" t="s">
        <v>2604</v>
      </c>
    </row>
    <row r="15173" spans="1:4" ht="12.75" customHeight="1" x14ac:dyDescent="0.2">
      <c r="B15173" s="11" t="s">
        <v>2605</v>
      </c>
      <c r="C15173" s="11" t="s">
        <v>24</v>
      </c>
    </row>
    <row r="15174" spans="1:4" ht="12.75" customHeight="1" x14ac:dyDescent="0.2">
      <c r="B15174" s="11" t="s">
        <v>2606</v>
      </c>
      <c r="C15174" s="16" t="s">
        <v>55</v>
      </c>
      <c r="D15174" s="6" t="str">
        <f>HYPERLINK("javascript:void(0)","koponya")</f>
        <v>koponya</v>
      </c>
    </row>
    <row r="15175" spans="1:4" ht="12.75" customHeight="1" x14ac:dyDescent="0.2">
      <c r="C15175" s="16" t="s">
        <v>98</v>
      </c>
      <c r="D15175" s="6" t="str">
        <f>HYPERLINK("javascript:void(0)","kincs")</f>
        <v>kincs</v>
      </c>
    </row>
    <row r="15176" spans="1:4" ht="12.75" customHeight="1" x14ac:dyDescent="0.2">
      <c r="B15176" s="2"/>
      <c r="C15176" s="15"/>
      <c r="D15176" s="2"/>
    </row>
    <row r="15177" spans="1:4" ht="12.75" customHeight="1" x14ac:dyDescent="0.2">
      <c r="B15177" s="2"/>
      <c r="C15177" s="15"/>
      <c r="D15177" s="2"/>
    </row>
    <row r="15178" spans="1:4" ht="12.75" customHeight="1" x14ac:dyDescent="0.2">
      <c r="A15178" s="13" t="s">
        <v>5014</v>
      </c>
      <c r="C15178" s="12"/>
    </row>
    <row r="15179" spans="1:4" ht="12.75" customHeight="1" x14ac:dyDescent="0.2">
      <c r="A15179" s="11"/>
      <c r="B15179" s="2"/>
      <c r="C15179" s="15"/>
      <c r="D15179" s="2"/>
    </row>
    <row r="15180" spans="1:4" ht="12.75" customHeight="1" x14ac:dyDescent="0.2">
      <c r="B15180" s="11" t="s">
        <v>0</v>
      </c>
      <c r="C15180" s="11" t="s">
        <v>853</v>
      </c>
    </row>
    <row r="15181" spans="1:4" ht="12.75" customHeight="1" x14ac:dyDescent="0.2">
      <c r="B15181" s="11" t="s">
        <v>2599</v>
      </c>
      <c r="C15181" s="11" t="s">
        <v>5015</v>
      </c>
    </row>
    <row r="15182" spans="1:4" ht="25.5" customHeight="1" x14ac:dyDescent="0.2">
      <c r="B15182" s="11" t="s">
        <v>2600</v>
      </c>
      <c r="C15182" s="11" t="s">
        <v>5016</v>
      </c>
    </row>
    <row r="15183" spans="1:4" ht="25.5" customHeight="1" x14ac:dyDescent="0.2">
      <c r="B15183" s="11" t="s">
        <v>2601</v>
      </c>
      <c r="C15183" s="11"/>
    </row>
    <row r="15184" spans="1:4" ht="12.75" customHeight="1" x14ac:dyDescent="0.2">
      <c r="B15184" s="11" t="s">
        <v>16</v>
      </c>
      <c r="C15184" s="11"/>
    </row>
    <row r="15185" spans="1:4" ht="12.75" customHeight="1" x14ac:dyDescent="0.2">
      <c r="B15185" s="11" t="s">
        <v>13</v>
      </c>
      <c r="C15185" s="11" t="s">
        <v>2644</v>
      </c>
    </row>
    <row r="15186" spans="1:4" ht="12.75" customHeight="1" x14ac:dyDescent="0.2">
      <c r="B15186" s="11" t="s">
        <v>2603</v>
      </c>
      <c r="C15186" s="11" t="s">
        <v>2604</v>
      </c>
    </row>
    <row r="15187" spans="1:4" ht="12.75" customHeight="1" x14ac:dyDescent="0.2">
      <c r="B15187" s="11" t="s">
        <v>2605</v>
      </c>
      <c r="C15187" s="11" t="s">
        <v>14</v>
      </c>
    </row>
    <row r="15188" spans="1:4" ht="12.75" customHeight="1" x14ac:dyDescent="0.2">
      <c r="B15188" s="11" t="s">
        <v>2606</v>
      </c>
      <c r="C15188" s="16" t="s">
        <v>44</v>
      </c>
      <c r="D15188" s="6" t="str">
        <f>HYPERLINK("javascript:void(0)","mágnes")</f>
        <v>mágnes</v>
      </c>
    </row>
    <row r="15189" spans="1:4" ht="12.75" customHeight="1" x14ac:dyDescent="0.2">
      <c r="C15189" s="16" t="s">
        <v>57</v>
      </c>
      <c r="D15189" s="6" t="str">
        <f>HYPERLINK("javascript:void(0)","kincs")</f>
        <v>kincs</v>
      </c>
    </row>
    <row r="15190" spans="1:4" ht="12.75" customHeight="1" x14ac:dyDescent="0.2">
      <c r="B15190" s="2"/>
      <c r="C15190" s="15"/>
      <c r="D15190" s="2"/>
    </row>
    <row r="15191" spans="1:4" ht="12.75" customHeight="1" x14ac:dyDescent="0.2">
      <c r="B15191" s="2"/>
      <c r="C15191" s="15"/>
      <c r="D15191" s="2"/>
    </row>
    <row r="15192" spans="1:4" ht="12.75" customHeight="1" x14ac:dyDescent="0.2">
      <c r="A15192" s="13" t="s">
        <v>5018</v>
      </c>
      <c r="C15192" s="12"/>
    </row>
    <row r="15193" spans="1:4" ht="12.75" customHeight="1" x14ac:dyDescent="0.2">
      <c r="A15193" s="11"/>
      <c r="B15193" s="2"/>
      <c r="C15193" s="15"/>
      <c r="D15193" s="2"/>
    </row>
    <row r="15194" spans="1:4" ht="12.75" customHeight="1" x14ac:dyDescent="0.2">
      <c r="B15194" s="11" t="s">
        <v>0</v>
      </c>
      <c r="C15194" s="11" t="s">
        <v>853</v>
      </c>
    </row>
    <row r="15195" spans="1:4" ht="12.75" customHeight="1" x14ac:dyDescent="0.2">
      <c r="B15195" s="11" t="s">
        <v>2599</v>
      </c>
      <c r="C15195" s="11" t="s">
        <v>5019</v>
      </c>
    </row>
    <row r="15196" spans="1:4" ht="25.5" customHeight="1" x14ac:dyDescent="0.2">
      <c r="B15196" s="11" t="s">
        <v>2600</v>
      </c>
      <c r="C15196" s="11" t="s">
        <v>5020</v>
      </c>
    </row>
    <row r="15197" spans="1:4" ht="25.5" customHeight="1" x14ac:dyDescent="0.2">
      <c r="B15197" s="11" t="s">
        <v>2601</v>
      </c>
      <c r="C15197" s="11"/>
    </row>
    <row r="15198" spans="1:4" ht="12.75" customHeight="1" x14ac:dyDescent="0.2">
      <c r="B15198" s="11" t="s">
        <v>16</v>
      </c>
      <c r="C15198" s="11"/>
    </row>
    <row r="15199" spans="1:4" ht="12.75" customHeight="1" x14ac:dyDescent="0.2">
      <c r="B15199" s="11" t="s">
        <v>13</v>
      </c>
      <c r="C15199" s="11" t="s">
        <v>2644</v>
      </c>
    </row>
    <row r="15200" spans="1:4" ht="12.75" customHeight="1" x14ac:dyDescent="0.2">
      <c r="B15200" s="11" t="s">
        <v>2603</v>
      </c>
      <c r="C15200" s="11" t="s">
        <v>2604</v>
      </c>
    </row>
    <row r="15201" spans="1:4" ht="12.75" customHeight="1" x14ac:dyDescent="0.2">
      <c r="B15201" s="11" t="s">
        <v>2605</v>
      </c>
      <c r="C15201" s="11" t="s">
        <v>24</v>
      </c>
    </row>
    <row r="15202" spans="1:4" ht="25.5" customHeight="1" x14ac:dyDescent="0.2">
      <c r="B15202" s="11" t="s">
        <v>2606</v>
      </c>
      <c r="C15202" s="16" t="s">
        <v>44</v>
      </c>
      <c r="D15202" s="6" t="str">
        <f>HYPERLINK("javascript:void(0)","szent szimbólum")</f>
        <v>szent szimbólum</v>
      </c>
    </row>
    <row r="15203" spans="1:4" ht="12.75" customHeight="1" x14ac:dyDescent="0.2">
      <c r="C15203" s="16" t="s">
        <v>382</v>
      </c>
      <c r="D15203" s="6" t="str">
        <f>HYPERLINK("javascript:void(0)","goblinbatka")</f>
        <v>goblinbatka</v>
      </c>
    </row>
    <row r="15204" spans="1:4" ht="12.75" customHeight="1" x14ac:dyDescent="0.2">
      <c r="B15204" s="2"/>
      <c r="C15204" s="15"/>
      <c r="D15204" s="2"/>
    </row>
    <row r="15205" spans="1:4" ht="12.75" customHeight="1" x14ac:dyDescent="0.2">
      <c r="B15205" s="2"/>
      <c r="C15205" s="15"/>
      <c r="D15205" s="2"/>
    </row>
    <row r="15206" spans="1:4" ht="12.75" customHeight="1" x14ac:dyDescent="0.2">
      <c r="A15206" s="13" t="s">
        <v>2962</v>
      </c>
      <c r="C15206" s="12"/>
    </row>
    <row r="15207" spans="1:4" ht="12.75" customHeight="1" x14ac:dyDescent="0.2">
      <c r="A15207" s="11"/>
      <c r="B15207" s="2"/>
      <c r="C15207" s="15"/>
      <c r="D15207" s="2"/>
    </row>
    <row r="15208" spans="1:4" ht="12.75" customHeight="1" x14ac:dyDescent="0.2">
      <c r="B15208" s="11" t="s">
        <v>0</v>
      </c>
      <c r="C15208" s="11" t="s">
        <v>862</v>
      </c>
    </row>
    <row r="15209" spans="1:4" ht="12.75" customHeight="1" x14ac:dyDescent="0.2">
      <c r="B15209" s="11" t="s">
        <v>2599</v>
      </c>
      <c r="C15209" s="11" t="s">
        <v>5021</v>
      </c>
    </row>
    <row r="15210" spans="1:4" ht="25.5" customHeight="1" x14ac:dyDescent="0.2">
      <c r="B15210" s="11" t="s">
        <v>2600</v>
      </c>
      <c r="C15210" s="11" t="s">
        <v>5022</v>
      </c>
    </row>
    <row r="15211" spans="1:4" ht="25.5" customHeight="1" x14ac:dyDescent="0.2">
      <c r="B15211" s="11" t="s">
        <v>2601</v>
      </c>
      <c r="C15211" s="11"/>
    </row>
    <row r="15212" spans="1:4" ht="12.75" customHeight="1" x14ac:dyDescent="0.2">
      <c r="B15212" s="11" t="s">
        <v>16</v>
      </c>
      <c r="C15212" s="11"/>
    </row>
    <row r="15213" spans="1:4" ht="12.75" customHeight="1" x14ac:dyDescent="0.2">
      <c r="B15213" s="11" t="s">
        <v>13</v>
      </c>
      <c r="C15213" s="11" t="s">
        <v>2644</v>
      </c>
    </row>
    <row r="15214" spans="1:4" ht="12.75" customHeight="1" x14ac:dyDescent="0.2">
      <c r="B15214" s="11" t="s">
        <v>2603</v>
      </c>
      <c r="C15214" s="11" t="s">
        <v>2965</v>
      </c>
    </row>
    <row r="15215" spans="1:4" ht="12.75" customHeight="1" x14ac:dyDescent="0.2">
      <c r="B15215" s="11" t="s">
        <v>2605</v>
      </c>
      <c r="C15215" s="11" t="s">
        <v>14</v>
      </c>
    </row>
    <row r="15216" spans="1:4" ht="12.75" customHeight="1" x14ac:dyDescent="0.2">
      <c r="B15216" s="11" t="s">
        <v>2606</v>
      </c>
      <c r="C15216" s="16" t="s">
        <v>44</v>
      </c>
      <c r="D15216" s="6" t="str">
        <f>HYPERLINK("javascript:void(0)","hínárgyöngy")</f>
        <v>hínárgyöngy</v>
      </c>
    </row>
    <row r="15217" spans="1:4" ht="25.5" customHeight="1" x14ac:dyDescent="0.2">
      <c r="C15217" s="16" t="s">
        <v>57</v>
      </c>
      <c r="D15217" s="6" t="str">
        <f>HYPERLINK("javascript:void(0)","harmatcsepp")</f>
        <v>harmatcsepp</v>
      </c>
    </row>
    <row r="15218" spans="1:4" ht="12.75" customHeight="1" x14ac:dyDescent="0.2">
      <c r="B15218" s="2"/>
      <c r="C15218" s="15"/>
      <c r="D15218" s="2"/>
    </row>
    <row r="15219" spans="1:4" ht="12.75" customHeight="1" x14ac:dyDescent="0.2">
      <c r="B15219" s="2"/>
      <c r="C15219" s="15"/>
      <c r="D15219" s="2"/>
    </row>
    <row r="15220" spans="1:4" ht="12.75" customHeight="1" x14ac:dyDescent="0.2">
      <c r="A15220" s="13" t="s">
        <v>4961</v>
      </c>
      <c r="C15220" s="12"/>
      <c r="D15220" s="2"/>
    </row>
    <row r="15221" spans="1:4" ht="12.75" customHeight="1" x14ac:dyDescent="0.2">
      <c r="A15221" s="11"/>
      <c r="B15221" s="2"/>
      <c r="C15221" s="15"/>
      <c r="D15221" s="2"/>
    </row>
    <row r="15222" spans="1:4" ht="12.75" customHeight="1" x14ac:dyDescent="0.2">
      <c r="B15222" s="11" t="s">
        <v>0</v>
      </c>
      <c r="C15222" s="17" t="s">
        <v>862</v>
      </c>
      <c r="D15222" s="2"/>
    </row>
    <row r="15223" spans="1:4" ht="12.75" customHeight="1" x14ac:dyDescent="0.2">
      <c r="B15223" s="11" t="s">
        <v>2599</v>
      </c>
      <c r="C15223" s="17" t="s">
        <v>3296</v>
      </c>
      <c r="D15223" s="2"/>
    </row>
    <row r="15224" spans="1:4" ht="25.5" customHeight="1" x14ac:dyDescent="0.2">
      <c r="B15224" s="11" t="s">
        <v>2600</v>
      </c>
      <c r="C15224" s="17" t="s">
        <v>5023</v>
      </c>
      <c r="D15224" s="2"/>
    </row>
    <row r="15225" spans="1:4" ht="25.5" customHeight="1" x14ac:dyDescent="0.2">
      <c r="B15225" s="11" t="s">
        <v>2601</v>
      </c>
      <c r="C15225" s="17"/>
      <c r="D15225" s="2"/>
    </row>
    <row r="15226" spans="1:4" ht="12.75" customHeight="1" x14ac:dyDescent="0.2">
      <c r="B15226" s="11" t="s">
        <v>16</v>
      </c>
      <c r="C15226" s="17"/>
      <c r="D15226" s="2"/>
    </row>
    <row r="15227" spans="1:4" ht="12.75" customHeight="1" x14ac:dyDescent="0.2">
      <c r="B15227" s="11" t="s">
        <v>13</v>
      </c>
      <c r="C15227" s="17" t="s">
        <v>2602</v>
      </c>
      <c r="D15227" s="2"/>
    </row>
    <row r="15228" spans="1:4" ht="25.5" customHeight="1" x14ac:dyDescent="0.2">
      <c r="B15228" s="11" t="s">
        <v>2603</v>
      </c>
      <c r="C15228" s="17" t="s">
        <v>2971</v>
      </c>
      <c r="D15228" s="2"/>
    </row>
    <row r="15229" spans="1:4" ht="12.75" customHeight="1" x14ac:dyDescent="0.2">
      <c r="B15229" s="11" t="s">
        <v>2605</v>
      </c>
      <c r="C15229" s="17" t="s">
        <v>14</v>
      </c>
      <c r="D15229" s="2"/>
    </row>
    <row r="15230" spans="1:4" ht="12.75" customHeight="1" x14ac:dyDescent="0.2">
      <c r="B15230" s="11" t="s">
        <v>2606</v>
      </c>
      <c r="C15230" s="16" t="s">
        <v>19</v>
      </c>
      <c r="D15230" s="2"/>
    </row>
    <row r="15231" spans="1:4" ht="12.75" customHeight="1" x14ac:dyDescent="0.2">
      <c r="B15231" s="2"/>
      <c r="C15231" s="15"/>
      <c r="D15231" s="2"/>
    </row>
    <row r="15232" spans="1:4" ht="12.75" customHeight="1" x14ac:dyDescent="0.2">
      <c r="B15232" s="2"/>
      <c r="C15232" s="15"/>
      <c r="D15232" s="2"/>
    </row>
    <row r="15233" spans="1:4" ht="12.75" customHeight="1" x14ac:dyDescent="0.2">
      <c r="A15233" s="13" t="s">
        <v>4963</v>
      </c>
      <c r="C15233" s="12"/>
      <c r="D15233" s="2"/>
    </row>
    <row r="15234" spans="1:4" ht="12.75" customHeight="1" x14ac:dyDescent="0.2">
      <c r="A15234" s="11"/>
      <c r="B15234" s="2"/>
      <c r="C15234" s="15"/>
      <c r="D15234" s="2"/>
    </row>
    <row r="15235" spans="1:4" ht="12.75" customHeight="1" x14ac:dyDescent="0.2">
      <c r="B15235" s="11" t="s">
        <v>0</v>
      </c>
      <c r="C15235" s="17" t="s">
        <v>862</v>
      </c>
      <c r="D15235" s="2"/>
    </row>
    <row r="15236" spans="1:4" ht="12.75" customHeight="1" x14ac:dyDescent="0.2">
      <c r="B15236" s="11" t="s">
        <v>2599</v>
      </c>
      <c r="C15236" s="17" t="s">
        <v>4964</v>
      </c>
      <c r="D15236" s="2"/>
    </row>
    <row r="15237" spans="1:4" ht="25.5" customHeight="1" x14ac:dyDescent="0.2">
      <c r="B15237" s="11" t="s">
        <v>2600</v>
      </c>
      <c r="C15237" s="17" t="s">
        <v>5024</v>
      </c>
      <c r="D15237" s="2"/>
    </row>
    <row r="15238" spans="1:4" ht="25.5" customHeight="1" x14ac:dyDescent="0.2">
      <c r="B15238" s="11" t="s">
        <v>2601</v>
      </c>
      <c r="C15238" s="17"/>
      <c r="D15238" s="2"/>
    </row>
    <row r="15239" spans="1:4" ht="12.75" customHeight="1" x14ac:dyDescent="0.2">
      <c r="B15239" s="11" t="s">
        <v>16</v>
      </c>
      <c r="C15239" s="17"/>
      <c r="D15239" s="2"/>
    </row>
    <row r="15240" spans="1:4" ht="12.75" customHeight="1" x14ac:dyDescent="0.2">
      <c r="B15240" s="11" t="s">
        <v>13</v>
      </c>
      <c r="C15240" s="17" t="s">
        <v>2644</v>
      </c>
      <c r="D15240" s="2"/>
    </row>
    <row r="15241" spans="1:4" ht="25.5" customHeight="1" x14ac:dyDescent="0.2">
      <c r="B15241" s="11" t="s">
        <v>2603</v>
      </c>
      <c r="C15241" s="17" t="s">
        <v>2971</v>
      </c>
      <c r="D15241" s="2"/>
    </row>
    <row r="15242" spans="1:4" ht="12.75" customHeight="1" x14ac:dyDescent="0.2">
      <c r="B15242" s="11" t="s">
        <v>2605</v>
      </c>
      <c r="C15242" s="17" t="s">
        <v>14</v>
      </c>
      <c r="D15242" s="2"/>
    </row>
    <row r="15243" spans="1:4" ht="12.75" customHeight="1" x14ac:dyDescent="0.2">
      <c r="B15243" s="11" t="s">
        <v>2606</v>
      </c>
      <c r="C15243" s="16" t="s">
        <v>19</v>
      </c>
      <c r="D15243" s="2"/>
    </row>
    <row r="15244" spans="1:4" ht="12.75" customHeight="1" x14ac:dyDescent="0.2">
      <c r="B15244" s="2"/>
      <c r="C15244" s="15"/>
      <c r="D15244" s="2"/>
    </row>
    <row r="15245" spans="1:4" ht="12.75" customHeight="1" x14ac:dyDescent="0.2">
      <c r="B15245" s="2"/>
      <c r="C15245" s="15"/>
      <c r="D15245" s="2"/>
    </row>
    <row r="15246" spans="1:4" ht="12.75" customHeight="1" x14ac:dyDescent="0.2">
      <c r="A15246" s="13" t="s">
        <v>4966</v>
      </c>
      <c r="C15246" s="12"/>
      <c r="D15246" s="2"/>
    </row>
    <row r="15247" spans="1:4" ht="12.75" customHeight="1" x14ac:dyDescent="0.2">
      <c r="A15247" s="11"/>
      <c r="B15247" s="2"/>
      <c r="C15247" s="15"/>
      <c r="D15247" s="2"/>
    </row>
    <row r="15248" spans="1:4" ht="12.75" customHeight="1" x14ac:dyDescent="0.2">
      <c r="B15248" s="11" t="s">
        <v>0</v>
      </c>
      <c r="C15248" s="17" t="s">
        <v>862</v>
      </c>
      <c r="D15248" s="2"/>
    </row>
    <row r="15249" spans="1:4" ht="12.75" customHeight="1" x14ac:dyDescent="0.2">
      <c r="B15249" s="11" t="s">
        <v>2599</v>
      </c>
      <c r="C15249" s="17" t="s">
        <v>4967</v>
      </c>
      <c r="D15249" s="2"/>
    </row>
    <row r="15250" spans="1:4" ht="25.5" customHeight="1" x14ac:dyDescent="0.2">
      <c r="B15250" s="11" t="s">
        <v>2600</v>
      </c>
      <c r="C15250" s="17" t="s">
        <v>5025</v>
      </c>
      <c r="D15250" s="2"/>
    </row>
    <row r="15251" spans="1:4" ht="25.5" customHeight="1" x14ac:dyDescent="0.2">
      <c r="B15251" s="11" t="s">
        <v>2601</v>
      </c>
      <c r="C15251" s="17"/>
      <c r="D15251" s="2"/>
    </row>
    <row r="15252" spans="1:4" ht="12.75" customHeight="1" x14ac:dyDescent="0.2">
      <c r="B15252" s="11" t="s">
        <v>16</v>
      </c>
      <c r="C15252" s="17"/>
      <c r="D15252" s="2"/>
    </row>
    <row r="15253" spans="1:4" ht="12.75" customHeight="1" x14ac:dyDescent="0.2">
      <c r="B15253" s="11" t="s">
        <v>13</v>
      </c>
      <c r="C15253" s="17" t="s">
        <v>2602</v>
      </c>
      <c r="D15253" s="2"/>
    </row>
    <row r="15254" spans="1:4" ht="25.5" customHeight="1" x14ac:dyDescent="0.2">
      <c r="B15254" s="11" t="s">
        <v>2603</v>
      </c>
      <c r="C15254" s="17" t="s">
        <v>2971</v>
      </c>
      <c r="D15254" s="2"/>
    </row>
    <row r="15255" spans="1:4" ht="12.75" customHeight="1" x14ac:dyDescent="0.2">
      <c r="B15255" s="11" t="s">
        <v>2605</v>
      </c>
      <c r="C15255" s="17" t="s">
        <v>14</v>
      </c>
      <c r="D15255" s="2"/>
    </row>
    <row r="15256" spans="1:4" ht="12.75" customHeight="1" x14ac:dyDescent="0.2">
      <c r="B15256" s="11" t="s">
        <v>2606</v>
      </c>
      <c r="C15256" s="16" t="s">
        <v>19</v>
      </c>
      <c r="D15256" s="2"/>
    </row>
    <row r="15257" spans="1:4" ht="12.75" customHeight="1" x14ac:dyDescent="0.2">
      <c r="B15257" s="2"/>
      <c r="C15257" s="15"/>
      <c r="D15257" s="2"/>
    </row>
    <row r="15258" spans="1:4" ht="12.75" customHeight="1" x14ac:dyDescent="0.2">
      <c r="B15258" s="2"/>
      <c r="C15258" s="15"/>
      <c r="D15258" s="2"/>
    </row>
    <row r="15259" spans="1:4" ht="12.75" customHeight="1" x14ac:dyDescent="0.2">
      <c r="A15259" s="13" t="s">
        <v>4992</v>
      </c>
      <c r="C15259" s="12"/>
      <c r="D15259" s="2"/>
    </row>
    <row r="15260" spans="1:4" ht="12.75" customHeight="1" x14ac:dyDescent="0.2">
      <c r="A15260" s="11"/>
      <c r="B15260" s="2"/>
      <c r="C15260" s="15"/>
      <c r="D15260" s="2"/>
    </row>
    <row r="15261" spans="1:4" ht="12.75" customHeight="1" x14ac:dyDescent="0.2">
      <c r="B15261" s="11" t="s">
        <v>0</v>
      </c>
      <c r="C15261" s="17" t="s">
        <v>862</v>
      </c>
      <c r="D15261" s="2"/>
    </row>
    <row r="15262" spans="1:4" ht="12.75" customHeight="1" x14ac:dyDescent="0.2">
      <c r="B15262" s="11" t="s">
        <v>2599</v>
      </c>
      <c r="C15262" s="17" t="s">
        <v>642</v>
      </c>
      <c r="D15262" s="2"/>
    </row>
    <row r="15263" spans="1:4" ht="25.5" customHeight="1" x14ac:dyDescent="0.2">
      <c r="B15263" s="11" t="s">
        <v>2600</v>
      </c>
      <c r="C15263" s="17" t="s">
        <v>5026</v>
      </c>
      <c r="D15263" s="2"/>
    </row>
    <row r="15264" spans="1:4" ht="25.5" customHeight="1" x14ac:dyDescent="0.2">
      <c r="B15264" s="11" t="s">
        <v>2601</v>
      </c>
      <c r="C15264" s="17"/>
      <c r="D15264" s="2"/>
    </row>
    <row r="15265" spans="1:4" ht="12.75" customHeight="1" x14ac:dyDescent="0.2">
      <c r="B15265" s="11" t="s">
        <v>16</v>
      </c>
      <c r="C15265" s="17"/>
      <c r="D15265" s="2"/>
    </row>
    <row r="15266" spans="1:4" ht="12.75" customHeight="1" x14ac:dyDescent="0.2">
      <c r="B15266" s="11" t="s">
        <v>13</v>
      </c>
      <c r="C15266" s="17" t="s">
        <v>2644</v>
      </c>
      <c r="D15266" s="2"/>
    </row>
    <row r="15267" spans="1:4" ht="25.5" customHeight="1" x14ac:dyDescent="0.2">
      <c r="B15267" s="11" t="s">
        <v>2603</v>
      </c>
      <c r="C15267" s="17" t="s">
        <v>2971</v>
      </c>
      <c r="D15267" s="2"/>
    </row>
    <row r="15268" spans="1:4" ht="12.75" customHeight="1" x14ac:dyDescent="0.2">
      <c r="B15268" s="11" t="s">
        <v>2605</v>
      </c>
      <c r="C15268" s="17" t="s">
        <v>14</v>
      </c>
      <c r="D15268" s="2"/>
    </row>
    <row r="15269" spans="1:4" ht="12.75" customHeight="1" x14ac:dyDescent="0.2">
      <c r="B15269" s="11" t="s">
        <v>2606</v>
      </c>
      <c r="C15269" s="16" t="s">
        <v>19</v>
      </c>
      <c r="D15269" s="2"/>
    </row>
    <row r="15270" spans="1:4" ht="12.75" customHeight="1" x14ac:dyDescent="0.2">
      <c r="B15270" s="2"/>
      <c r="C15270" s="15"/>
      <c r="D15270" s="2"/>
    </row>
    <row r="15271" spans="1:4" ht="12.75" customHeight="1" x14ac:dyDescent="0.2">
      <c r="B15271" s="2"/>
      <c r="C15271" s="15"/>
      <c r="D15271" s="2"/>
    </row>
    <row r="15272" spans="1:4" ht="12.75" customHeight="1" x14ac:dyDescent="0.2">
      <c r="A15272" s="13" t="s">
        <v>5027</v>
      </c>
      <c r="C15272" s="12"/>
    </row>
    <row r="15273" spans="1:4" ht="12.75" customHeight="1" x14ac:dyDescent="0.2">
      <c r="A15273" s="11"/>
      <c r="B15273" s="2"/>
      <c r="C15273" s="15"/>
      <c r="D15273" s="2"/>
    </row>
    <row r="15274" spans="1:4" ht="12.75" customHeight="1" x14ac:dyDescent="0.2">
      <c r="B15274" s="11" t="s">
        <v>0</v>
      </c>
      <c r="C15274" s="11" t="s">
        <v>862</v>
      </c>
    </row>
    <row r="15275" spans="1:4" ht="12.75" customHeight="1" x14ac:dyDescent="0.2">
      <c r="B15275" s="11" t="s">
        <v>2599</v>
      </c>
      <c r="C15275" s="11" t="s">
        <v>5028</v>
      </c>
    </row>
    <row r="15276" spans="1:4" ht="25.5" customHeight="1" x14ac:dyDescent="0.2">
      <c r="B15276" s="11" t="s">
        <v>2600</v>
      </c>
      <c r="C15276" s="11" t="s">
        <v>5029</v>
      </c>
    </row>
    <row r="15277" spans="1:4" ht="25.5" customHeight="1" x14ac:dyDescent="0.2">
      <c r="B15277" s="11" t="s">
        <v>2601</v>
      </c>
      <c r="C15277" s="11"/>
    </row>
    <row r="15278" spans="1:4" ht="12.75" customHeight="1" x14ac:dyDescent="0.2">
      <c r="B15278" s="11" t="s">
        <v>16</v>
      </c>
      <c r="C15278" s="11"/>
    </row>
    <row r="15279" spans="1:4" ht="12.75" customHeight="1" x14ac:dyDescent="0.2">
      <c r="B15279" s="11" t="s">
        <v>13</v>
      </c>
      <c r="C15279" s="11" t="s">
        <v>2602</v>
      </c>
    </row>
    <row r="15280" spans="1:4" ht="12.75" customHeight="1" x14ac:dyDescent="0.2">
      <c r="B15280" s="11" t="s">
        <v>2603</v>
      </c>
      <c r="C15280" s="11" t="s">
        <v>2604</v>
      </c>
    </row>
    <row r="15281" spans="1:4" ht="12.75" customHeight="1" x14ac:dyDescent="0.2">
      <c r="B15281" s="11" t="s">
        <v>2605</v>
      </c>
      <c r="C15281" s="11" t="s">
        <v>24</v>
      </c>
    </row>
    <row r="15282" spans="1:4" ht="12.75" customHeight="1" x14ac:dyDescent="0.2">
      <c r="B15282" s="11" t="s">
        <v>2606</v>
      </c>
      <c r="C15282" s="16" t="s">
        <v>398</v>
      </c>
      <c r="D15282" s="6" t="str">
        <f>HYPERLINK("javascript:void(0)","kincs")</f>
        <v>kincs</v>
      </c>
    </row>
    <row r="15283" spans="1:4" ht="12.75" customHeight="1" x14ac:dyDescent="0.2">
      <c r="B15283" s="2"/>
      <c r="C15283" s="15"/>
      <c r="D15283" s="2"/>
    </row>
    <row r="15284" spans="1:4" ht="12.75" customHeight="1" x14ac:dyDescent="0.2">
      <c r="B15284" s="2"/>
      <c r="C15284" s="15"/>
      <c r="D15284" s="2"/>
    </row>
    <row r="15285" spans="1:4" ht="12.75" customHeight="1" x14ac:dyDescent="0.2">
      <c r="A15285" s="13" t="s">
        <v>5030</v>
      </c>
      <c r="C15285" s="12"/>
    </row>
    <row r="15286" spans="1:4" ht="12.75" customHeight="1" x14ac:dyDescent="0.2">
      <c r="A15286" s="11"/>
      <c r="B15286" s="2"/>
      <c r="C15286" s="15"/>
      <c r="D15286" s="2"/>
    </row>
    <row r="15287" spans="1:4" ht="12.75" customHeight="1" x14ac:dyDescent="0.2">
      <c r="B15287" s="11" t="s">
        <v>0</v>
      </c>
      <c r="C15287" s="11" t="s">
        <v>862</v>
      </c>
    </row>
    <row r="15288" spans="1:4" ht="12.75" customHeight="1" x14ac:dyDescent="0.2">
      <c r="B15288" s="11" t="s">
        <v>2599</v>
      </c>
      <c r="C15288" s="11" t="s">
        <v>5021</v>
      </c>
    </row>
    <row r="15289" spans="1:4" ht="25.5" customHeight="1" x14ac:dyDescent="0.2">
      <c r="B15289" s="11" t="s">
        <v>2600</v>
      </c>
      <c r="C15289" s="11" t="s">
        <v>5031</v>
      </c>
    </row>
    <row r="15290" spans="1:4" ht="25.5" customHeight="1" x14ac:dyDescent="0.2">
      <c r="B15290" s="11" t="s">
        <v>2601</v>
      </c>
      <c r="C15290" s="11"/>
    </row>
    <row r="15291" spans="1:4" ht="12.75" customHeight="1" x14ac:dyDescent="0.2">
      <c r="B15291" s="11" t="s">
        <v>16</v>
      </c>
      <c r="C15291" s="11"/>
    </row>
    <row r="15292" spans="1:4" ht="12.75" customHeight="1" x14ac:dyDescent="0.2">
      <c r="B15292" s="11" t="s">
        <v>13</v>
      </c>
      <c r="C15292" s="11" t="s">
        <v>2602</v>
      </c>
    </row>
    <row r="15293" spans="1:4" ht="12.75" customHeight="1" x14ac:dyDescent="0.2">
      <c r="B15293" s="11" t="s">
        <v>2603</v>
      </c>
      <c r="C15293" s="11" t="s">
        <v>2604</v>
      </c>
    </row>
    <row r="15294" spans="1:4" ht="12.75" customHeight="1" x14ac:dyDescent="0.2">
      <c r="B15294" s="11" t="s">
        <v>2605</v>
      </c>
      <c r="C15294" s="11" t="s">
        <v>14</v>
      </c>
    </row>
    <row r="15295" spans="1:4" ht="12.75" customHeight="1" x14ac:dyDescent="0.2">
      <c r="B15295" s="11" t="s">
        <v>2606</v>
      </c>
      <c r="C15295" s="16" t="s">
        <v>316</v>
      </c>
      <c r="D15295" s="6" t="str">
        <f>HYPERLINK("javascript:void(0)","kincs")</f>
        <v>kincs</v>
      </c>
    </row>
    <row r="15296" spans="1:4" ht="25.5" customHeight="1" x14ac:dyDescent="0.2">
      <c r="C15296" s="16" t="s">
        <v>44</v>
      </c>
      <c r="D15296" s="6" t="str">
        <f>HYPERLINK("javascript:void(0)","monsztabéklyó")</f>
        <v>monsztabéklyó</v>
      </c>
    </row>
    <row r="15297" spans="1:4" ht="12.75" customHeight="1" x14ac:dyDescent="0.2">
      <c r="B15297" s="2"/>
      <c r="C15297" s="15"/>
      <c r="D15297" s="2"/>
    </row>
    <row r="15298" spans="1:4" ht="12.75" customHeight="1" x14ac:dyDescent="0.2">
      <c r="B15298" s="2"/>
      <c r="C15298" s="15"/>
      <c r="D15298" s="2"/>
    </row>
    <row r="15299" spans="1:4" ht="12.75" customHeight="1" x14ac:dyDescent="0.2">
      <c r="A15299" s="13" t="s">
        <v>5032</v>
      </c>
      <c r="C15299" s="12"/>
    </row>
    <row r="15300" spans="1:4" ht="12.75" customHeight="1" x14ac:dyDescent="0.2">
      <c r="A15300" s="11"/>
      <c r="B15300" s="2"/>
      <c r="C15300" s="15"/>
      <c r="D15300" s="2"/>
    </row>
    <row r="15301" spans="1:4" ht="12.75" customHeight="1" x14ac:dyDescent="0.2">
      <c r="B15301" s="11" t="s">
        <v>0</v>
      </c>
      <c r="C15301" s="11" t="s">
        <v>862</v>
      </c>
    </row>
    <row r="15302" spans="1:4" ht="12.75" customHeight="1" x14ac:dyDescent="0.2">
      <c r="B15302" s="11" t="s">
        <v>2599</v>
      </c>
      <c r="C15302" s="11" t="s">
        <v>1133</v>
      </c>
    </row>
    <row r="15303" spans="1:4" ht="25.5" customHeight="1" x14ac:dyDescent="0.2">
      <c r="B15303" s="11" t="s">
        <v>2600</v>
      </c>
      <c r="C15303" s="11" t="s">
        <v>5033</v>
      </c>
    </row>
    <row r="15304" spans="1:4" ht="25.5" customHeight="1" x14ac:dyDescent="0.2">
      <c r="B15304" s="11" t="s">
        <v>2601</v>
      </c>
      <c r="C15304" s="11"/>
    </row>
    <row r="15305" spans="1:4" ht="12.75" customHeight="1" x14ac:dyDescent="0.2">
      <c r="B15305" s="11" t="s">
        <v>16</v>
      </c>
      <c r="C15305" s="11"/>
    </row>
    <row r="15306" spans="1:4" ht="12.75" customHeight="1" x14ac:dyDescent="0.2">
      <c r="B15306" s="11" t="s">
        <v>13</v>
      </c>
      <c r="C15306" s="11" t="s">
        <v>2602</v>
      </c>
    </row>
    <row r="15307" spans="1:4" ht="12.75" customHeight="1" x14ac:dyDescent="0.2">
      <c r="B15307" s="11" t="s">
        <v>2603</v>
      </c>
      <c r="C15307" s="11" t="s">
        <v>2604</v>
      </c>
    </row>
    <row r="15308" spans="1:4" ht="12.75" customHeight="1" x14ac:dyDescent="0.2">
      <c r="B15308" s="11" t="s">
        <v>2605</v>
      </c>
      <c r="C15308" s="11" t="s">
        <v>14</v>
      </c>
    </row>
    <row r="15309" spans="1:4" ht="12.75" customHeight="1" x14ac:dyDescent="0.2">
      <c r="B15309" s="11" t="s">
        <v>2606</v>
      </c>
      <c r="C15309" s="16" t="s">
        <v>44</v>
      </c>
      <c r="D15309" s="6" t="str">
        <f>HYPERLINK("javascript:void(0)","csapdaszeg")</f>
        <v>csapdaszeg</v>
      </c>
    </row>
    <row r="15310" spans="1:4" ht="12.75" customHeight="1" x14ac:dyDescent="0.2">
      <c r="C15310" s="16" t="s">
        <v>98</v>
      </c>
      <c r="D15310" s="6" t="str">
        <f>HYPERLINK("javascript:void(0)","kincs")</f>
        <v>kincs</v>
      </c>
    </row>
    <row r="15311" spans="1:4" ht="12.75" customHeight="1" x14ac:dyDescent="0.2">
      <c r="B15311" s="2"/>
      <c r="C15311" s="15"/>
      <c r="D15311" s="2"/>
    </row>
    <row r="15312" spans="1:4" ht="12.75" customHeight="1" x14ac:dyDescent="0.2">
      <c r="B15312" s="2"/>
      <c r="C15312" s="15"/>
      <c r="D15312" s="2"/>
    </row>
    <row r="15313" spans="1:4" ht="12.75" customHeight="1" x14ac:dyDescent="0.2">
      <c r="A15313" s="13" t="s">
        <v>5035</v>
      </c>
      <c r="C15313" s="12"/>
    </row>
    <row r="15314" spans="1:4" ht="12.75" customHeight="1" x14ac:dyDescent="0.2">
      <c r="A15314" s="11"/>
      <c r="B15314" s="2"/>
      <c r="C15314" s="15"/>
      <c r="D15314" s="2"/>
    </row>
    <row r="15315" spans="1:4" ht="12.75" customHeight="1" x14ac:dyDescent="0.2">
      <c r="B15315" s="11" t="s">
        <v>0</v>
      </c>
      <c r="C15315" s="11" t="s">
        <v>862</v>
      </c>
    </row>
    <row r="15316" spans="1:4" ht="12.75" customHeight="1" x14ac:dyDescent="0.2">
      <c r="B15316" s="11" t="s">
        <v>2599</v>
      </c>
      <c r="C15316" s="11" t="s">
        <v>5036</v>
      </c>
    </row>
    <row r="15317" spans="1:4" ht="25.5" customHeight="1" x14ac:dyDescent="0.2">
      <c r="B15317" s="11" t="s">
        <v>2600</v>
      </c>
      <c r="C15317" s="11" t="s">
        <v>5037</v>
      </c>
    </row>
    <row r="15318" spans="1:4" ht="25.5" customHeight="1" x14ac:dyDescent="0.2">
      <c r="B15318" s="11" t="s">
        <v>2601</v>
      </c>
      <c r="C15318" s="11"/>
    </row>
    <row r="15319" spans="1:4" ht="12.75" customHeight="1" x14ac:dyDescent="0.2">
      <c r="B15319" s="11" t="s">
        <v>16</v>
      </c>
      <c r="C15319" s="11"/>
    </row>
    <row r="15320" spans="1:4" ht="12.75" customHeight="1" x14ac:dyDescent="0.2">
      <c r="B15320" s="11" t="s">
        <v>13</v>
      </c>
      <c r="C15320" s="11" t="s">
        <v>2644</v>
      </c>
    </row>
    <row r="15321" spans="1:4" ht="12.75" customHeight="1" x14ac:dyDescent="0.2">
      <c r="B15321" s="11" t="s">
        <v>2603</v>
      </c>
      <c r="C15321" s="11" t="s">
        <v>2604</v>
      </c>
    </row>
    <row r="15322" spans="1:4" ht="12.75" customHeight="1" x14ac:dyDescent="0.2">
      <c r="B15322" s="11" t="s">
        <v>2605</v>
      </c>
      <c r="C15322" s="11" t="s">
        <v>14</v>
      </c>
    </row>
    <row r="15323" spans="1:4" ht="12.75" customHeight="1" x14ac:dyDescent="0.2">
      <c r="B15323" s="11" t="s">
        <v>2606</v>
      </c>
      <c r="C15323" s="16" t="s">
        <v>56</v>
      </c>
      <c r="D15323" s="6" t="str">
        <f>HYPERLINK("javascript:void(0)","kígyóborda")</f>
        <v>kígyóborda</v>
      </c>
    </row>
    <row r="15324" spans="1:4" ht="12.75" customHeight="1" x14ac:dyDescent="0.2">
      <c r="C15324" s="16" t="s">
        <v>67</v>
      </c>
      <c r="D15324" s="6" t="str">
        <f>HYPERLINK("javascript:void(0)","kincs")</f>
        <v>kincs</v>
      </c>
    </row>
    <row r="15325" spans="1:4" ht="12.75" customHeight="1" x14ac:dyDescent="0.2">
      <c r="B15325" s="2"/>
      <c r="C15325" s="15"/>
      <c r="D15325" s="2"/>
    </row>
    <row r="15326" spans="1:4" ht="12.75" customHeight="1" x14ac:dyDescent="0.2">
      <c r="B15326" s="2"/>
      <c r="C15326" s="15"/>
      <c r="D15326" s="2"/>
    </row>
    <row r="15327" spans="1:4" ht="12.75" customHeight="1" x14ac:dyDescent="0.2">
      <c r="A15327" s="13" t="s">
        <v>5038</v>
      </c>
      <c r="C15327" s="12"/>
    </row>
    <row r="15328" spans="1:4" ht="12.75" customHeight="1" x14ac:dyDescent="0.2">
      <c r="A15328" s="11"/>
      <c r="B15328" s="2"/>
      <c r="C15328" s="15"/>
      <c r="D15328" s="2"/>
    </row>
    <row r="15329" spans="1:4" ht="12.75" customHeight="1" x14ac:dyDescent="0.2">
      <c r="B15329" s="11" t="s">
        <v>0</v>
      </c>
      <c r="C15329" s="11" t="s">
        <v>862</v>
      </c>
    </row>
    <row r="15330" spans="1:4" ht="12.75" customHeight="1" x14ac:dyDescent="0.2">
      <c r="B15330" s="11" t="s">
        <v>2599</v>
      </c>
      <c r="C15330" s="11" t="s">
        <v>3829</v>
      </c>
    </row>
    <row r="15331" spans="1:4" ht="25.5" customHeight="1" x14ac:dyDescent="0.2">
      <c r="B15331" s="11" t="s">
        <v>2600</v>
      </c>
      <c r="C15331" s="11" t="s">
        <v>5039</v>
      </c>
    </row>
    <row r="15332" spans="1:4" ht="25.5" customHeight="1" x14ac:dyDescent="0.2">
      <c r="B15332" s="11" t="s">
        <v>2601</v>
      </c>
      <c r="C15332" s="11"/>
    </row>
    <row r="15333" spans="1:4" ht="12.75" customHeight="1" x14ac:dyDescent="0.2">
      <c r="B15333" s="11" t="s">
        <v>16</v>
      </c>
      <c r="C15333" s="11"/>
    </row>
    <row r="15334" spans="1:4" ht="12.75" customHeight="1" x14ac:dyDescent="0.2">
      <c r="B15334" s="11" t="s">
        <v>13</v>
      </c>
      <c r="C15334" s="11" t="s">
        <v>2644</v>
      </c>
    </row>
    <row r="15335" spans="1:4" ht="12.75" customHeight="1" x14ac:dyDescent="0.2">
      <c r="B15335" s="11" t="s">
        <v>2603</v>
      </c>
      <c r="C15335" s="11" t="s">
        <v>2604</v>
      </c>
    </row>
    <row r="15336" spans="1:4" ht="12.75" customHeight="1" x14ac:dyDescent="0.2">
      <c r="B15336" s="11" t="s">
        <v>2605</v>
      </c>
      <c r="C15336" s="11" t="s">
        <v>24</v>
      </c>
    </row>
    <row r="15337" spans="1:4" ht="12.75" customHeight="1" x14ac:dyDescent="0.2">
      <c r="B15337" s="11" t="s">
        <v>2606</v>
      </c>
      <c r="C15337" s="16" t="s">
        <v>44</v>
      </c>
      <c r="D15337" s="6" t="str">
        <f>HYPERLINK("javascript:void(0)","hídpenge")</f>
        <v>hídpenge</v>
      </c>
    </row>
    <row r="15338" spans="1:4" ht="12.75" customHeight="1" x14ac:dyDescent="0.2">
      <c r="C15338" s="16" t="s">
        <v>228</v>
      </c>
      <c r="D15338" s="6" t="str">
        <f>HYPERLINK("javascript:void(0)","kincs")</f>
        <v>kincs</v>
      </c>
    </row>
    <row r="15339" spans="1:4" ht="12.75" customHeight="1" x14ac:dyDescent="0.2">
      <c r="B15339" s="2"/>
      <c r="C15339" s="15"/>
      <c r="D15339" s="2"/>
    </row>
    <row r="15340" spans="1:4" ht="12.75" customHeight="1" x14ac:dyDescent="0.2">
      <c r="B15340" s="2"/>
      <c r="C15340" s="15"/>
      <c r="D15340" s="2"/>
    </row>
    <row r="15341" spans="1:4" ht="12.75" customHeight="1" x14ac:dyDescent="0.2">
      <c r="A15341" s="13" t="s">
        <v>5040</v>
      </c>
      <c r="C15341" s="12"/>
    </row>
    <row r="15342" spans="1:4" ht="12.75" customHeight="1" x14ac:dyDescent="0.2">
      <c r="A15342" s="11"/>
      <c r="B15342" s="2"/>
      <c r="C15342" s="15"/>
      <c r="D15342" s="2"/>
    </row>
    <row r="15343" spans="1:4" ht="12.75" customHeight="1" x14ac:dyDescent="0.2">
      <c r="B15343" s="11" t="s">
        <v>0</v>
      </c>
      <c r="C15343" s="11" t="s">
        <v>862</v>
      </c>
    </row>
    <row r="15344" spans="1:4" ht="12.75" customHeight="1" x14ac:dyDescent="0.2">
      <c r="B15344" s="11" t="s">
        <v>2599</v>
      </c>
      <c r="C15344" s="11" t="s">
        <v>5041</v>
      </c>
    </row>
    <row r="15345" spans="1:4" ht="25.5" customHeight="1" x14ac:dyDescent="0.2">
      <c r="B15345" s="11" t="s">
        <v>2600</v>
      </c>
      <c r="C15345" s="11" t="s">
        <v>5042</v>
      </c>
    </row>
    <row r="15346" spans="1:4" ht="25.5" customHeight="1" x14ac:dyDescent="0.2">
      <c r="B15346" s="11" t="s">
        <v>2601</v>
      </c>
      <c r="C15346" s="11"/>
    </row>
    <row r="15347" spans="1:4" ht="12.75" customHeight="1" x14ac:dyDescent="0.2">
      <c r="B15347" s="11" t="s">
        <v>16</v>
      </c>
      <c r="C15347" s="11"/>
    </row>
    <row r="15348" spans="1:4" ht="12.75" customHeight="1" x14ac:dyDescent="0.2">
      <c r="B15348" s="11" t="s">
        <v>13</v>
      </c>
      <c r="C15348" s="11" t="s">
        <v>2644</v>
      </c>
    </row>
    <row r="15349" spans="1:4" ht="12.75" customHeight="1" x14ac:dyDescent="0.2">
      <c r="B15349" s="11" t="s">
        <v>2603</v>
      </c>
      <c r="C15349" s="11" t="s">
        <v>2604</v>
      </c>
    </row>
    <row r="15350" spans="1:4" ht="12.75" customHeight="1" x14ac:dyDescent="0.2">
      <c r="B15350" s="11" t="s">
        <v>2605</v>
      </c>
      <c r="C15350" s="11" t="s">
        <v>24</v>
      </c>
    </row>
    <row r="15351" spans="1:4" ht="12.75" customHeight="1" x14ac:dyDescent="0.2">
      <c r="B15351" s="11" t="s">
        <v>2606</v>
      </c>
      <c r="C15351" s="16" t="s">
        <v>98</v>
      </c>
      <c r="D15351" s="6" t="str">
        <f>HYPERLINK("javascript:void(0)","kincs")</f>
        <v>kincs</v>
      </c>
    </row>
    <row r="15352" spans="1:4" ht="12.75" customHeight="1" x14ac:dyDescent="0.2">
      <c r="B15352" s="2"/>
      <c r="C15352" s="15"/>
      <c r="D15352" s="2"/>
    </row>
    <row r="15353" spans="1:4" ht="12.75" customHeight="1" x14ac:dyDescent="0.2">
      <c r="B15353" s="2"/>
      <c r="C15353" s="15"/>
      <c r="D15353" s="2"/>
    </row>
    <row r="15354" spans="1:4" ht="12.75" customHeight="1" x14ac:dyDescent="0.2">
      <c r="A15354" s="13" t="s">
        <v>5043</v>
      </c>
      <c r="C15354" s="12"/>
    </row>
    <row r="15355" spans="1:4" ht="12.75" customHeight="1" x14ac:dyDescent="0.2">
      <c r="A15355" s="11"/>
      <c r="B15355" s="2"/>
      <c r="C15355" s="15"/>
      <c r="D15355" s="2"/>
    </row>
    <row r="15356" spans="1:4" ht="12.75" customHeight="1" x14ac:dyDescent="0.2">
      <c r="B15356" s="11" t="s">
        <v>0</v>
      </c>
      <c r="C15356" s="11" t="s">
        <v>862</v>
      </c>
    </row>
    <row r="15357" spans="1:4" ht="12.75" customHeight="1" x14ac:dyDescent="0.2">
      <c r="B15357" s="11" t="s">
        <v>2599</v>
      </c>
      <c r="C15357" s="11" t="s">
        <v>5044</v>
      </c>
    </row>
    <row r="15358" spans="1:4" ht="25.5" customHeight="1" x14ac:dyDescent="0.2">
      <c r="B15358" s="11" t="s">
        <v>2600</v>
      </c>
      <c r="C15358" s="11" t="s">
        <v>5045</v>
      </c>
    </row>
    <row r="15359" spans="1:4" ht="25.5" customHeight="1" x14ac:dyDescent="0.2">
      <c r="B15359" s="11" t="s">
        <v>2601</v>
      </c>
      <c r="C15359" s="11"/>
    </row>
    <row r="15360" spans="1:4" ht="12.75" customHeight="1" x14ac:dyDescent="0.2">
      <c r="B15360" s="11" t="s">
        <v>16</v>
      </c>
      <c r="C15360" s="11"/>
    </row>
    <row r="15361" spans="1:4" ht="12.75" customHeight="1" x14ac:dyDescent="0.2">
      <c r="B15361" s="11" t="s">
        <v>13</v>
      </c>
      <c r="C15361" s="11" t="s">
        <v>2602</v>
      </c>
    </row>
    <row r="15362" spans="1:4" ht="12.75" customHeight="1" x14ac:dyDescent="0.2">
      <c r="B15362" s="11" t="s">
        <v>2603</v>
      </c>
      <c r="C15362" s="11" t="s">
        <v>2604</v>
      </c>
    </row>
    <row r="15363" spans="1:4" ht="12.75" customHeight="1" x14ac:dyDescent="0.2">
      <c r="B15363" s="11" t="s">
        <v>2605</v>
      </c>
      <c r="C15363" s="11" t="s">
        <v>24</v>
      </c>
    </row>
    <row r="15364" spans="1:4" ht="12.75" customHeight="1" x14ac:dyDescent="0.2">
      <c r="B15364" s="11" t="s">
        <v>2606</v>
      </c>
      <c r="C15364" s="16" t="s">
        <v>44</v>
      </c>
      <c r="D15364" s="6" t="str">
        <f>HYPERLINK("javascript:void(0)","háló")</f>
        <v>háló</v>
      </c>
    </row>
    <row r="15365" spans="1:4" ht="12.75" customHeight="1" x14ac:dyDescent="0.2">
      <c r="C15365" s="16" t="s">
        <v>102</v>
      </c>
      <c r="D15365" s="6" t="str">
        <f>HYPERLINK("javascript:void(0)","kincs")</f>
        <v>kincs</v>
      </c>
    </row>
    <row r="15366" spans="1:4" ht="12.75" customHeight="1" x14ac:dyDescent="0.2">
      <c r="B15366" s="2"/>
      <c r="C15366" s="15"/>
      <c r="D15366" s="2"/>
    </row>
    <row r="15367" spans="1:4" ht="12.75" customHeight="1" x14ac:dyDescent="0.2">
      <c r="B15367" s="2"/>
      <c r="C15367" s="15"/>
      <c r="D15367" s="2"/>
    </row>
    <row r="15368" spans="1:4" ht="12.75" customHeight="1" x14ac:dyDescent="0.2">
      <c r="A15368" s="13" t="s">
        <v>5046</v>
      </c>
      <c r="C15368" s="12"/>
    </row>
    <row r="15369" spans="1:4" ht="12.75" customHeight="1" x14ac:dyDescent="0.2">
      <c r="A15369" s="11"/>
      <c r="B15369" s="2"/>
      <c r="C15369" s="15"/>
      <c r="D15369" s="2"/>
    </row>
    <row r="15370" spans="1:4" ht="12.75" customHeight="1" x14ac:dyDescent="0.2">
      <c r="B15370" s="11" t="s">
        <v>0</v>
      </c>
      <c r="C15370" s="11" t="s">
        <v>862</v>
      </c>
    </row>
    <row r="15371" spans="1:4" ht="12.75" customHeight="1" x14ac:dyDescent="0.2">
      <c r="B15371" s="11" t="s">
        <v>2599</v>
      </c>
      <c r="C15371" s="11" t="s">
        <v>2514</v>
      </c>
    </row>
    <row r="15372" spans="1:4" ht="25.5" customHeight="1" x14ac:dyDescent="0.2">
      <c r="B15372" s="11" t="s">
        <v>2600</v>
      </c>
      <c r="C15372" s="11" t="s">
        <v>5047</v>
      </c>
    </row>
    <row r="15373" spans="1:4" ht="25.5" customHeight="1" x14ac:dyDescent="0.2">
      <c r="B15373" s="11" t="s">
        <v>2601</v>
      </c>
      <c r="C15373" s="11"/>
    </row>
    <row r="15374" spans="1:4" ht="12.75" customHeight="1" x14ac:dyDescent="0.2">
      <c r="B15374" s="11" t="s">
        <v>16</v>
      </c>
      <c r="C15374" s="11"/>
    </row>
    <row r="15375" spans="1:4" ht="12.75" customHeight="1" x14ac:dyDescent="0.2">
      <c r="B15375" s="11" t="s">
        <v>13</v>
      </c>
      <c r="C15375" s="11" t="s">
        <v>2644</v>
      </c>
    </row>
    <row r="15376" spans="1:4" ht="12.75" customHeight="1" x14ac:dyDescent="0.2">
      <c r="B15376" s="11" t="s">
        <v>2603</v>
      </c>
      <c r="C15376" s="11" t="s">
        <v>2604</v>
      </c>
    </row>
    <row r="15377" spans="1:4" ht="12.75" customHeight="1" x14ac:dyDescent="0.2">
      <c r="B15377" s="11" t="s">
        <v>2605</v>
      </c>
      <c r="C15377" s="11" t="s">
        <v>14</v>
      </c>
    </row>
    <row r="15378" spans="1:4" ht="12.75" customHeight="1" x14ac:dyDescent="0.2">
      <c r="B15378" s="11" t="s">
        <v>2606</v>
      </c>
      <c r="C15378" s="16" t="s">
        <v>44</v>
      </c>
      <c r="D15378" s="6" t="str">
        <f>HYPERLINK("javascript:void(0)","gillpenge")</f>
        <v>gillpenge</v>
      </c>
    </row>
    <row r="15379" spans="1:4" ht="12.75" customHeight="1" x14ac:dyDescent="0.2">
      <c r="C15379" s="16" t="s">
        <v>67</v>
      </c>
      <c r="D15379" s="6" t="str">
        <f>HYPERLINK("javascript:void(0)","kincs")</f>
        <v>kincs</v>
      </c>
    </row>
    <row r="15380" spans="1:4" ht="12.75" customHeight="1" x14ac:dyDescent="0.2">
      <c r="B15380" s="2"/>
      <c r="C15380" s="15"/>
      <c r="D15380" s="2"/>
    </row>
    <row r="15381" spans="1:4" ht="12.75" customHeight="1" x14ac:dyDescent="0.2">
      <c r="B15381" s="2"/>
      <c r="C15381" s="15"/>
      <c r="D15381" s="2"/>
    </row>
    <row r="15382" spans="1:4" ht="12.75" customHeight="1" x14ac:dyDescent="0.2">
      <c r="A15382" s="13" t="s">
        <v>4961</v>
      </c>
      <c r="C15382" s="12"/>
      <c r="D15382" s="2"/>
    </row>
    <row r="15383" spans="1:4" ht="12.75" customHeight="1" x14ac:dyDescent="0.2">
      <c r="A15383" s="11"/>
      <c r="B15383" s="2"/>
      <c r="C15383" s="15"/>
      <c r="D15383" s="2"/>
    </row>
    <row r="15384" spans="1:4" ht="12.75" customHeight="1" x14ac:dyDescent="0.2">
      <c r="B15384" s="11" t="s">
        <v>0</v>
      </c>
      <c r="C15384" s="17" t="s">
        <v>874</v>
      </c>
      <c r="D15384" s="2"/>
    </row>
    <row r="15385" spans="1:4" ht="12.75" customHeight="1" x14ac:dyDescent="0.2">
      <c r="B15385" s="11" t="s">
        <v>2599</v>
      </c>
      <c r="C15385" s="17" t="s">
        <v>3296</v>
      </c>
      <c r="D15385" s="2"/>
    </row>
    <row r="15386" spans="1:4" ht="25.5" customHeight="1" x14ac:dyDescent="0.2">
      <c r="B15386" s="11" t="s">
        <v>2600</v>
      </c>
      <c r="C15386" s="17" t="s">
        <v>5048</v>
      </c>
      <c r="D15386" s="2"/>
    </row>
    <row r="15387" spans="1:4" ht="25.5" customHeight="1" x14ac:dyDescent="0.2">
      <c r="B15387" s="11" t="s">
        <v>2601</v>
      </c>
      <c r="C15387" s="17"/>
      <c r="D15387" s="2"/>
    </row>
    <row r="15388" spans="1:4" ht="12.75" customHeight="1" x14ac:dyDescent="0.2">
      <c r="B15388" s="11" t="s">
        <v>16</v>
      </c>
      <c r="C15388" s="17"/>
      <c r="D15388" s="2"/>
    </row>
    <row r="15389" spans="1:4" ht="12.75" customHeight="1" x14ac:dyDescent="0.2">
      <c r="B15389" s="11" t="s">
        <v>13</v>
      </c>
      <c r="C15389" s="17" t="s">
        <v>2602</v>
      </c>
      <c r="D15389" s="2"/>
    </row>
    <row r="15390" spans="1:4" ht="25.5" customHeight="1" x14ac:dyDescent="0.2">
      <c r="B15390" s="11" t="s">
        <v>2603</v>
      </c>
      <c r="C15390" s="17" t="s">
        <v>2971</v>
      </c>
      <c r="D15390" s="2"/>
    </row>
    <row r="15391" spans="1:4" ht="12.75" customHeight="1" x14ac:dyDescent="0.2">
      <c r="B15391" s="11" t="s">
        <v>2605</v>
      </c>
      <c r="C15391" s="17" t="s">
        <v>14</v>
      </c>
      <c r="D15391" s="2"/>
    </row>
    <row r="15392" spans="1:4" ht="12.75" customHeight="1" x14ac:dyDescent="0.2">
      <c r="B15392" s="11" t="s">
        <v>2606</v>
      </c>
      <c r="C15392" s="16" t="s">
        <v>19</v>
      </c>
      <c r="D15392" s="2"/>
    </row>
    <row r="15393" spans="1:4" ht="12.75" customHeight="1" x14ac:dyDescent="0.2">
      <c r="B15393" s="2"/>
      <c r="C15393" s="15"/>
      <c r="D15393" s="2"/>
    </row>
    <row r="15394" spans="1:4" ht="12.75" customHeight="1" x14ac:dyDescent="0.2">
      <c r="B15394" s="2"/>
      <c r="C15394" s="15"/>
      <c r="D15394" s="2"/>
    </row>
    <row r="15395" spans="1:4" ht="12.75" customHeight="1" x14ac:dyDescent="0.2">
      <c r="A15395" s="13" t="s">
        <v>4963</v>
      </c>
      <c r="C15395" s="12"/>
      <c r="D15395" s="2"/>
    </row>
    <row r="15396" spans="1:4" ht="12.75" customHeight="1" x14ac:dyDescent="0.2">
      <c r="A15396" s="11"/>
      <c r="B15396" s="2"/>
      <c r="C15396" s="15"/>
      <c r="D15396" s="2"/>
    </row>
    <row r="15397" spans="1:4" ht="12.75" customHeight="1" x14ac:dyDescent="0.2">
      <c r="B15397" s="11" t="s">
        <v>0</v>
      </c>
      <c r="C15397" s="17" t="s">
        <v>874</v>
      </c>
      <c r="D15397" s="2"/>
    </row>
    <row r="15398" spans="1:4" ht="12.75" customHeight="1" x14ac:dyDescent="0.2">
      <c r="B15398" s="11" t="s">
        <v>2599</v>
      </c>
      <c r="C15398" s="17" t="s">
        <v>4964</v>
      </c>
      <c r="D15398" s="2"/>
    </row>
    <row r="15399" spans="1:4" ht="25.5" customHeight="1" x14ac:dyDescent="0.2">
      <c r="B15399" s="11" t="s">
        <v>2600</v>
      </c>
      <c r="C15399" s="17" t="s">
        <v>5049</v>
      </c>
      <c r="D15399" s="2"/>
    </row>
    <row r="15400" spans="1:4" ht="25.5" customHeight="1" x14ac:dyDescent="0.2">
      <c r="B15400" s="11" t="s">
        <v>2601</v>
      </c>
      <c r="C15400" s="17"/>
      <c r="D15400" s="2"/>
    </row>
    <row r="15401" spans="1:4" ht="12.75" customHeight="1" x14ac:dyDescent="0.2">
      <c r="B15401" s="11" t="s">
        <v>16</v>
      </c>
      <c r="C15401" s="17"/>
      <c r="D15401" s="2"/>
    </row>
    <row r="15402" spans="1:4" ht="12.75" customHeight="1" x14ac:dyDescent="0.2">
      <c r="B15402" s="11" t="s">
        <v>13</v>
      </c>
      <c r="C15402" s="17" t="s">
        <v>2644</v>
      </c>
      <c r="D15402" s="2"/>
    </row>
    <row r="15403" spans="1:4" ht="25.5" customHeight="1" x14ac:dyDescent="0.2">
      <c r="B15403" s="11" t="s">
        <v>2603</v>
      </c>
      <c r="C15403" s="17" t="s">
        <v>2971</v>
      </c>
      <c r="D15403" s="2"/>
    </row>
    <row r="15404" spans="1:4" ht="12.75" customHeight="1" x14ac:dyDescent="0.2">
      <c r="B15404" s="11" t="s">
        <v>2605</v>
      </c>
      <c r="C15404" s="17" t="s">
        <v>14</v>
      </c>
      <c r="D15404" s="2"/>
    </row>
    <row r="15405" spans="1:4" ht="12.75" customHeight="1" x14ac:dyDescent="0.2">
      <c r="B15405" s="11" t="s">
        <v>2606</v>
      </c>
      <c r="C15405" s="16" t="s">
        <v>19</v>
      </c>
      <c r="D15405" s="2"/>
    </row>
    <row r="15406" spans="1:4" ht="12.75" customHeight="1" x14ac:dyDescent="0.2">
      <c r="B15406" s="2"/>
      <c r="C15406" s="15"/>
      <c r="D15406" s="2"/>
    </row>
    <row r="15407" spans="1:4" ht="12.75" customHeight="1" x14ac:dyDescent="0.2">
      <c r="B15407" s="2"/>
      <c r="C15407" s="15"/>
      <c r="D15407" s="2"/>
    </row>
    <row r="15408" spans="1:4" ht="12.75" customHeight="1" x14ac:dyDescent="0.2">
      <c r="A15408" s="13" t="s">
        <v>4966</v>
      </c>
      <c r="C15408" s="12"/>
      <c r="D15408" s="2"/>
    </row>
    <row r="15409" spans="1:4" ht="12.75" customHeight="1" x14ac:dyDescent="0.2">
      <c r="A15409" s="11"/>
      <c r="B15409" s="2"/>
      <c r="C15409" s="15"/>
      <c r="D15409" s="2"/>
    </row>
    <row r="15410" spans="1:4" ht="12.75" customHeight="1" x14ac:dyDescent="0.2">
      <c r="B15410" s="11" t="s">
        <v>0</v>
      </c>
      <c r="C15410" s="17" t="s">
        <v>874</v>
      </c>
      <c r="D15410" s="2"/>
    </row>
    <row r="15411" spans="1:4" ht="12.75" customHeight="1" x14ac:dyDescent="0.2">
      <c r="B15411" s="11" t="s">
        <v>2599</v>
      </c>
      <c r="C15411" s="17" t="s">
        <v>4967</v>
      </c>
      <c r="D15411" s="2"/>
    </row>
    <row r="15412" spans="1:4" ht="25.5" customHeight="1" x14ac:dyDescent="0.2">
      <c r="B15412" s="11" t="s">
        <v>2600</v>
      </c>
      <c r="C15412" s="17" t="s">
        <v>5050</v>
      </c>
      <c r="D15412" s="2"/>
    </row>
    <row r="15413" spans="1:4" ht="25.5" customHeight="1" x14ac:dyDescent="0.2">
      <c r="B15413" s="11" t="s">
        <v>2601</v>
      </c>
      <c r="C15413" s="17"/>
      <c r="D15413" s="2"/>
    </row>
    <row r="15414" spans="1:4" ht="12.75" customHeight="1" x14ac:dyDescent="0.2">
      <c r="B15414" s="11" t="s">
        <v>16</v>
      </c>
      <c r="C15414" s="17"/>
      <c r="D15414" s="2"/>
    </row>
    <row r="15415" spans="1:4" ht="12.75" customHeight="1" x14ac:dyDescent="0.2">
      <c r="B15415" s="11" t="s">
        <v>13</v>
      </c>
      <c r="C15415" s="17" t="s">
        <v>2602</v>
      </c>
      <c r="D15415" s="2"/>
    </row>
    <row r="15416" spans="1:4" ht="25.5" customHeight="1" x14ac:dyDescent="0.2">
      <c r="B15416" s="11" t="s">
        <v>2603</v>
      </c>
      <c r="C15416" s="17" t="s">
        <v>2971</v>
      </c>
      <c r="D15416" s="2"/>
    </row>
    <row r="15417" spans="1:4" ht="12.75" customHeight="1" x14ac:dyDescent="0.2">
      <c r="B15417" s="11" t="s">
        <v>2605</v>
      </c>
      <c r="C15417" s="17" t="s">
        <v>14</v>
      </c>
      <c r="D15417" s="2"/>
    </row>
    <row r="15418" spans="1:4" ht="12.75" customHeight="1" x14ac:dyDescent="0.2">
      <c r="B15418" s="11" t="s">
        <v>2606</v>
      </c>
      <c r="C15418" s="16" t="s">
        <v>19</v>
      </c>
      <c r="D15418" s="2"/>
    </row>
    <row r="15419" spans="1:4" ht="12.75" customHeight="1" x14ac:dyDescent="0.2">
      <c r="B15419" s="2"/>
      <c r="C15419" s="15"/>
      <c r="D15419" s="2"/>
    </row>
    <row r="15420" spans="1:4" ht="12.75" customHeight="1" x14ac:dyDescent="0.2">
      <c r="B15420" s="2"/>
      <c r="C15420" s="15"/>
      <c r="D15420" s="2"/>
    </row>
    <row r="15421" spans="1:4" ht="12.75" customHeight="1" x14ac:dyDescent="0.2">
      <c r="A15421" s="13" t="s">
        <v>4992</v>
      </c>
      <c r="C15421" s="12"/>
      <c r="D15421" s="2"/>
    </row>
    <row r="15422" spans="1:4" ht="12.75" customHeight="1" x14ac:dyDescent="0.2">
      <c r="A15422" s="11"/>
      <c r="B15422" s="2"/>
      <c r="C15422" s="15"/>
      <c r="D15422" s="2"/>
    </row>
    <row r="15423" spans="1:4" ht="12.75" customHeight="1" x14ac:dyDescent="0.2">
      <c r="B15423" s="11" t="s">
        <v>0</v>
      </c>
      <c r="C15423" s="17" t="s">
        <v>874</v>
      </c>
      <c r="D15423" s="2"/>
    </row>
    <row r="15424" spans="1:4" ht="12.75" customHeight="1" x14ac:dyDescent="0.2">
      <c r="B15424" s="11" t="s">
        <v>2599</v>
      </c>
      <c r="C15424" s="17" t="s">
        <v>642</v>
      </c>
      <c r="D15424" s="2"/>
    </row>
    <row r="15425" spans="1:4" ht="25.5" customHeight="1" x14ac:dyDescent="0.2">
      <c r="B15425" s="11" t="s">
        <v>2600</v>
      </c>
      <c r="C15425" s="17" t="s">
        <v>5051</v>
      </c>
      <c r="D15425" s="2"/>
    </row>
    <row r="15426" spans="1:4" ht="25.5" customHeight="1" x14ac:dyDescent="0.2">
      <c r="B15426" s="11" t="s">
        <v>2601</v>
      </c>
      <c r="C15426" s="17"/>
      <c r="D15426" s="2"/>
    </row>
    <row r="15427" spans="1:4" ht="12.75" customHeight="1" x14ac:dyDescent="0.2">
      <c r="B15427" s="11" t="s">
        <v>16</v>
      </c>
      <c r="C15427" s="17"/>
      <c r="D15427" s="2"/>
    </row>
    <row r="15428" spans="1:4" ht="12.75" customHeight="1" x14ac:dyDescent="0.2">
      <c r="B15428" s="11" t="s">
        <v>13</v>
      </c>
      <c r="C15428" s="17" t="s">
        <v>2644</v>
      </c>
      <c r="D15428" s="2"/>
    </row>
    <row r="15429" spans="1:4" ht="25.5" customHeight="1" x14ac:dyDescent="0.2">
      <c r="B15429" s="11" t="s">
        <v>2603</v>
      </c>
      <c r="C15429" s="17" t="s">
        <v>2971</v>
      </c>
      <c r="D15429" s="2"/>
    </row>
    <row r="15430" spans="1:4" ht="12.75" customHeight="1" x14ac:dyDescent="0.2">
      <c r="B15430" s="11" t="s">
        <v>2605</v>
      </c>
      <c r="C15430" s="17" t="s">
        <v>14</v>
      </c>
      <c r="D15430" s="2"/>
    </row>
    <row r="15431" spans="1:4" ht="12.75" customHeight="1" x14ac:dyDescent="0.2">
      <c r="B15431" s="11" t="s">
        <v>2606</v>
      </c>
      <c r="C15431" s="16" t="s">
        <v>19</v>
      </c>
      <c r="D15431" s="2"/>
    </row>
    <row r="15432" spans="1:4" ht="12.75" customHeight="1" x14ac:dyDescent="0.2">
      <c r="B15432" s="2"/>
      <c r="C15432" s="15"/>
      <c r="D15432" s="2"/>
    </row>
    <row r="15433" spans="1:4" ht="12.75" customHeight="1" x14ac:dyDescent="0.2">
      <c r="B15433" s="2"/>
      <c r="C15433" s="15"/>
      <c r="D15433" s="2"/>
    </row>
    <row r="15434" spans="1:4" ht="12.75" customHeight="1" x14ac:dyDescent="0.2">
      <c r="A15434" s="13" t="s">
        <v>5052</v>
      </c>
      <c r="C15434" s="12"/>
    </row>
    <row r="15435" spans="1:4" ht="12.75" customHeight="1" x14ac:dyDescent="0.2">
      <c r="A15435" s="11"/>
      <c r="B15435" s="2"/>
      <c r="C15435" s="15"/>
      <c r="D15435" s="2"/>
    </row>
    <row r="15436" spans="1:4" ht="12.75" customHeight="1" x14ac:dyDescent="0.2">
      <c r="B15436" s="11" t="s">
        <v>0</v>
      </c>
      <c r="C15436" s="11" t="s">
        <v>874</v>
      </c>
    </row>
    <row r="15437" spans="1:4" ht="12.75" customHeight="1" x14ac:dyDescent="0.2">
      <c r="B15437" s="11" t="s">
        <v>2599</v>
      </c>
      <c r="C15437" s="11" t="s">
        <v>5053</v>
      </c>
    </row>
    <row r="15438" spans="1:4" ht="25.5" customHeight="1" x14ac:dyDescent="0.2">
      <c r="B15438" s="11" t="s">
        <v>2600</v>
      </c>
      <c r="C15438" s="11" t="s">
        <v>5054</v>
      </c>
    </row>
    <row r="15439" spans="1:4" ht="25.5" customHeight="1" x14ac:dyDescent="0.2">
      <c r="B15439" s="11" t="s">
        <v>2601</v>
      </c>
      <c r="C15439" s="11"/>
    </row>
    <row r="15440" spans="1:4" ht="12.75" customHeight="1" x14ac:dyDescent="0.2">
      <c r="B15440" s="11" t="s">
        <v>16</v>
      </c>
      <c r="C15440" s="11"/>
    </row>
    <row r="15441" spans="1:4" ht="12.75" customHeight="1" x14ac:dyDescent="0.2">
      <c r="B15441" s="11" t="s">
        <v>13</v>
      </c>
      <c r="C15441" s="11" t="s">
        <v>2602</v>
      </c>
    </row>
    <row r="15442" spans="1:4" ht="12.75" customHeight="1" x14ac:dyDescent="0.2">
      <c r="B15442" s="11" t="s">
        <v>2603</v>
      </c>
      <c r="C15442" s="11" t="s">
        <v>2604</v>
      </c>
    </row>
    <row r="15443" spans="1:4" ht="12.75" customHeight="1" x14ac:dyDescent="0.2">
      <c r="B15443" s="11" t="s">
        <v>2605</v>
      </c>
      <c r="C15443" s="11" t="s">
        <v>14</v>
      </c>
    </row>
    <row r="15444" spans="1:4" ht="12.75" customHeight="1" x14ac:dyDescent="0.2">
      <c r="B15444" s="11" t="s">
        <v>2606</v>
      </c>
      <c r="C15444" s="16" t="s">
        <v>5055</v>
      </c>
      <c r="D15444" s="6" t="str">
        <f>HYPERLINK("javascript:void(0)","ezüst")</f>
        <v>ezüst</v>
      </c>
    </row>
    <row r="15445" spans="1:4" ht="12.75" customHeight="1" x14ac:dyDescent="0.2">
      <c r="C15445" s="16" t="s">
        <v>1494</v>
      </c>
      <c r="D15445" s="6" t="str">
        <f>HYPERLINK("javascript:void(0)","kincs")</f>
        <v>kincs</v>
      </c>
    </row>
    <row r="15446" spans="1:4" ht="12.75" customHeight="1" x14ac:dyDescent="0.2">
      <c r="B15446" s="2"/>
      <c r="C15446" s="15"/>
      <c r="D15446" s="2"/>
    </row>
    <row r="15447" spans="1:4" ht="12.75" customHeight="1" x14ac:dyDescent="0.2">
      <c r="B15447" s="2"/>
      <c r="C15447" s="15"/>
      <c r="D15447" s="2"/>
    </row>
    <row r="15448" spans="1:4" ht="12.75" customHeight="1" x14ac:dyDescent="0.2">
      <c r="A15448" s="13" t="s">
        <v>5056</v>
      </c>
      <c r="C15448" s="12"/>
    </row>
    <row r="15449" spans="1:4" ht="12.75" customHeight="1" x14ac:dyDescent="0.2">
      <c r="A15449" s="11"/>
      <c r="B15449" s="2"/>
      <c r="C15449" s="15"/>
      <c r="D15449" s="2"/>
    </row>
    <row r="15450" spans="1:4" ht="12.75" customHeight="1" x14ac:dyDescent="0.2">
      <c r="B15450" s="11" t="s">
        <v>0</v>
      </c>
      <c r="C15450" s="11" t="s">
        <v>874</v>
      </c>
    </row>
    <row r="15451" spans="1:4" ht="12.75" customHeight="1" x14ac:dyDescent="0.2">
      <c r="B15451" s="11" t="s">
        <v>2599</v>
      </c>
      <c r="C15451" s="11" t="s">
        <v>5057</v>
      </c>
    </row>
    <row r="15452" spans="1:4" ht="25.5" customHeight="1" x14ac:dyDescent="0.2">
      <c r="B15452" s="11" t="s">
        <v>2600</v>
      </c>
      <c r="C15452" s="11" t="s">
        <v>5058</v>
      </c>
    </row>
    <row r="15453" spans="1:4" ht="25.5" customHeight="1" x14ac:dyDescent="0.2">
      <c r="B15453" s="11" t="s">
        <v>2601</v>
      </c>
      <c r="C15453" s="11"/>
    </row>
    <row r="15454" spans="1:4" ht="12.75" customHeight="1" x14ac:dyDescent="0.2">
      <c r="B15454" s="11" t="s">
        <v>16</v>
      </c>
      <c r="C15454" s="11"/>
    </row>
    <row r="15455" spans="1:4" ht="12.75" customHeight="1" x14ac:dyDescent="0.2">
      <c r="B15455" s="11" t="s">
        <v>13</v>
      </c>
      <c r="C15455" s="11" t="s">
        <v>2602</v>
      </c>
    </row>
    <row r="15456" spans="1:4" ht="12.75" customHeight="1" x14ac:dyDescent="0.2">
      <c r="B15456" s="11" t="s">
        <v>2603</v>
      </c>
      <c r="C15456" s="11" t="s">
        <v>2604</v>
      </c>
    </row>
    <row r="15457" spans="1:4" ht="12.75" customHeight="1" x14ac:dyDescent="0.2">
      <c r="B15457" s="11" t="s">
        <v>2605</v>
      </c>
      <c r="C15457" s="11" t="s">
        <v>14</v>
      </c>
    </row>
    <row r="15458" spans="1:4" ht="12.75" customHeight="1" x14ac:dyDescent="0.2">
      <c r="B15458" s="11" t="s">
        <v>2606</v>
      </c>
      <c r="C15458" s="16" t="s">
        <v>316</v>
      </c>
      <c r="D15458" s="6" t="str">
        <f>HYPERLINK("javascript:void(0)","kincs")</f>
        <v>kincs</v>
      </c>
    </row>
    <row r="15459" spans="1:4" ht="25.5" customHeight="1" x14ac:dyDescent="0.2">
      <c r="C15459" s="16" t="s">
        <v>44</v>
      </c>
      <c r="D15459" s="6" t="str">
        <f>HYPERLINK("javascript:void(0)","monsztabéklyó")</f>
        <v>monsztabéklyó</v>
      </c>
    </row>
    <row r="15460" spans="1:4" ht="12.75" customHeight="1" x14ac:dyDescent="0.2">
      <c r="B15460" s="2"/>
      <c r="C15460" s="15"/>
      <c r="D15460" s="2"/>
    </row>
    <row r="15461" spans="1:4" ht="12.75" customHeight="1" x14ac:dyDescent="0.2">
      <c r="B15461" s="2"/>
      <c r="C15461" s="15"/>
      <c r="D15461" s="2"/>
    </row>
    <row r="15462" spans="1:4" ht="12.75" customHeight="1" x14ac:dyDescent="0.2">
      <c r="A15462" s="13" t="s">
        <v>5059</v>
      </c>
      <c r="C15462" s="12"/>
    </row>
    <row r="15463" spans="1:4" ht="12.75" customHeight="1" x14ac:dyDescent="0.2">
      <c r="A15463" s="11"/>
      <c r="B15463" s="2"/>
      <c r="C15463" s="15"/>
      <c r="D15463" s="2"/>
    </row>
    <row r="15464" spans="1:4" ht="12.75" customHeight="1" x14ac:dyDescent="0.2">
      <c r="B15464" s="11" t="s">
        <v>0</v>
      </c>
      <c r="C15464" s="11" t="s">
        <v>874</v>
      </c>
    </row>
    <row r="15465" spans="1:4" ht="12.75" customHeight="1" x14ac:dyDescent="0.2">
      <c r="B15465" s="11" t="s">
        <v>2599</v>
      </c>
      <c r="C15465" s="11" t="s">
        <v>5060</v>
      </c>
    </row>
    <row r="15466" spans="1:4" ht="25.5" customHeight="1" x14ac:dyDescent="0.2">
      <c r="B15466" s="11" t="s">
        <v>2600</v>
      </c>
      <c r="C15466" s="11" t="s">
        <v>5061</v>
      </c>
    </row>
    <row r="15467" spans="1:4" ht="25.5" customHeight="1" x14ac:dyDescent="0.2">
      <c r="B15467" s="11" t="s">
        <v>2601</v>
      </c>
      <c r="C15467" s="11"/>
    </row>
    <row r="15468" spans="1:4" ht="12.75" customHeight="1" x14ac:dyDescent="0.2">
      <c r="B15468" s="11" t="s">
        <v>16</v>
      </c>
      <c r="C15468" s="11"/>
    </row>
    <row r="15469" spans="1:4" ht="12.75" customHeight="1" x14ac:dyDescent="0.2">
      <c r="B15469" s="11" t="s">
        <v>13</v>
      </c>
      <c r="C15469" s="11" t="s">
        <v>2602</v>
      </c>
    </row>
    <row r="15470" spans="1:4" ht="12.75" customHeight="1" x14ac:dyDescent="0.2">
      <c r="B15470" s="11" t="s">
        <v>2603</v>
      </c>
      <c r="C15470" s="11" t="s">
        <v>2604</v>
      </c>
    </row>
    <row r="15471" spans="1:4" ht="12.75" customHeight="1" x14ac:dyDescent="0.2">
      <c r="B15471" s="11" t="s">
        <v>2605</v>
      </c>
      <c r="C15471" s="11" t="s">
        <v>14</v>
      </c>
    </row>
    <row r="15472" spans="1:4" ht="25.5" customHeight="1" x14ac:dyDescent="0.2">
      <c r="B15472" s="11" t="s">
        <v>2606</v>
      </c>
      <c r="C15472" s="16" t="s">
        <v>44</v>
      </c>
      <c r="D15472" s="6" t="str">
        <f>HYPERLINK("javascript:void(0)","lidérclámpás")</f>
        <v>lidérclámpás</v>
      </c>
    </row>
    <row r="15473" spans="1:4" ht="12.75" customHeight="1" x14ac:dyDescent="0.2">
      <c r="C15473" s="16" t="s">
        <v>67</v>
      </c>
      <c r="D15473" s="6" t="str">
        <f>HYPERLINK("javascript:void(0)","kincs")</f>
        <v>kincs</v>
      </c>
    </row>
    <row r="15474" spans="1:4" ht="12.75" customHeight="1" x14ac:dyDescent="0.2">
      <c r="B15474" s="2"/>
      <c r="C15474" s="15"/>
      <c r="D15474" s="2"/>
    </row>
    <row r="15475" spans="1:4" ht="12.75" customHeight="1" x14ac:dyDescent="0.2">
      <c r="B15475" s="2"/>
      <c r="C15475" s="15"/>
      <c r="D15475" s="2"/>
    </row>
    <row r="15476" spans="1:4" ht="12.75" customHeight="1" x14ac:dyDescent="0.2">
      <c r="A15476" s="13" t="s">
        <v>5062</v>
      </c>
      <c r="C15476" s="12"/>
    </row>
    <row r="15477" spans="1:4" ht="12.75" customHeight="1" x14ac:dyDescent="0.2">
      <c r="A15477" s="11"/>
      <c r="B15477" s="2"/>
      <c r="C15477" s="15"/>
      <c r="D15477" s="2"/>
    </row>
    <row r="15478" spans="1:4" ht="12.75" customHeight="1" x14ac:dyDescent="0.2">
      <c r="B15478" s="11" t="s">
        <v>0</v>
      </c>
      <c r="C15478" s="11" t="s">
        <v>874</v>
      </c>
    </row>
    <row r="15479" spans="1:4" ht="12.75" customHeight="1" x14ac:dyDescent="0.2">
      <c r="B15479" s="11" t="s">
        <v>2599</v>
      </c>
      <c r="C15479" s="11" t="s">
        <v>3655</v>
      </c>
    </row>
    <row r="15480" spans="1:4" ht="25.5" customHeight="1" x14ac:dyDescent="0.2">
      <c r="B15480" s="11" t="s">
        <v>2600</v>
      </c>
      <c r="C15480" s="11" t="s">
        <v>5063</v>
      </c>
    </row>
    <row r="15481" spans="1:4" ht="25.5" customHeight="1" x14ac:dyDescent="0.2">
      <c r="B15481" s="11" t="s">
        <v>2601</v>
      </c>
      <c r="C15481" s="11"/>
    </row>
    <row r="15482" spans="1:4" ht="12.75" customHeight="1" x14ac:dyDescent="0.2">
      <c r="B15482" s="11" t="s">
        <v>16</v>
      </c>
      <c r="C15482" s="11"/>
    </row>
    <row r="15483" spans="1:4" ht="12.75" customHeight="1" x14ac:dyDescent="0.2">
      <c r="B15483" s="11" t="s">
        <v>13</v>
      </c>
      <c r="C15483" s="11" t="s">
        <v>2644</v>
      </c>
    </row>
    <row r="15484" spans="1:4" ht="12.75" customHeight="1" x14ac:dyDescent="0.2">
      <c r="B15484" s="11" t="s">
        <v>2603</v>
      </c>
      <c r="C15484" s="11" t="s">
        <v>2604</v>
      </c>
    </row>
    <row r="15485" spans="1:4" ht="12.75" customHeight="1" x14ac:dyDescent="0.2">
      <c r="B15485" s="11" t="s">
        <v>2605</v>
      </c>
      <c r="C15485" s="11" t="s">
        <v>14</v>
      </c>
    </row>
    <row r="15486" spans="1:4" ht="25.5" customHeight="1" x14ac:dyDescent="0.2">
      <c r="B15486" s="11" t="s">
        <v>2606</v>
      </c>
      <c r="C15486" s="16" t="s">
        <v>56</v>
      </c>
      <c r="D15486" s="6" t="str">
        <f>HYPERLINK("javascript:void(0)","harmatcsepp")</f>
        <v>harmatcsepp</v>
      </c>
    </row>
    <row r="15487" spans="1:4" ht="12.75" customHeight="1" x14ac:dyDescent="0.2">
      <c r="C15487" s="16" t="s">
        <v>67</v>
      </c>
      <c r="D15487" s="6" t="str">
        <f>HYPERLINK("javascript:void(0)","kincs")</f>
        <v>kincs</v>
      </c>
    </row>
    <row r="15488" spans="1:4" ht="12.75" customHeight="1" x14ac:dyDescent="0.2">
      <c r="B15488" s="2"/>
      <c r="C15488" s="15"/>
      <c r="D15488" s="2"/>
    </row>
    <row r="15489" spans="1:4" ht="12.75" customHeight="1" x14ac:dyDescent="0.2">
      <c r="B15489" s="2"/>
      <c r="C15489" s="15"/>
      <c r="D15489" s="2"/>
    </row>
    <row r="15490" spans="1:4" ht="12.75" customHeight="1" x14ac:dyDescent="0.2">
      <c r="A15490" s="13" t="s">
        <v>5064</v>
      </c>
      <c r="C15490" s="12"/>
    </row>
    <row r="15491" spans="1:4" ht="12.75" customHeight="1" x14ac:dyDescent="0.2">
      <c r="A15491" s="11"/>
      <c r="B15491" s="2"/>
      <c r="C15491" s="15"/>
      <c r="D15491" s="2"/>
    </row>
    <row r="15492" spans="1:4" ht="12.75" customHeight="1" x14ac:dyDescent="0.2">
      <c r="B15492" s="11" t="s">
        <v>0</v>
      </c>
      <c r="C15492" s="11" t="s">
        <v>874</v>
      </c>
    </row>
    <row r="15493" spans="1:4" ht="12.75" customHeight="1" x14ac:dyDescent="0.2">
      <c r="B15493" s="11" t="s">
        <v>2599</v>
      </c>
      <c r="C15493" s="11" t="s">
        <v>4286</v>
      </c>
    </row>
    <row r="15494" spans="1:4" ht="25.5" customHeight="1" x14ac:dyDescent="0.2">
      <c r="B15494" s="11" t="s">
        <v>2600</v>
      </c>
      <c r="C15494" s="11" t="s">
        <v>5065</v>
      </c>
    </row>
    <row r="15495" spans="1:4" ht="25.5" customHeight="1" x14ac:dyDescent="0.2">
      <c r="B15495" s="11" t="s">
        <v>2601</v>
      </c>
      <c r="C15495" s="11"/>
    </row>
    <row r="15496" spans="1:4" ht="12.75" customHeight="1" x14ac:dyDescent="0.2">
      <c r="B15496" s="11" t="s">
        <v>16</v>
      </c>
      <c r="C15496" s="11"/>
    </row>
    <row r="15497" spans="1:4" ht="12.75" customHeight="1" x14ac:dyDescent="0.2">
      <c r="B15497" s="11" t="s">
        <v>13</v>
      </c>
      <c r="C15497" s="11" t="s">
        <v>2644</v>
      </c>
    </row>
    <row r="15498" spans="1:4" ht="12.75" customHeight="1" x14ac:dyDescent="0.2">
      <c r="B15498" s="11" t="s">
        <v>2603</v>
      </c>
      <c r="C15498" s="11" t="s">
        <v>2604</v>
      </c>
    </row>
    <row r="15499" spans="1:4" ht="12.75" customHeight="1" x14ac:dyDescent="0.2">
      <c r="B15499" s="11" t="s">
        <v>2605</v>
      </c>
      <c r="C15499" s="11" t="s">
        <v>24</v>
      </c>
    </row>
    <row r="15500" spans="1:4" ht="12.75" customHeight="1" x14ac:dyDescent="0.2">
      <c r="B15500" s="11" t="s">
        <v>2606</v>
      </c>
      <c r="C15500" s="16" t="s">
        <v>44</v>
      </c>
      <c r="D15500" s="6" t="str">
        <f>HYPERLINK("javascript:void(0)","hídpenge")</f>
        <v>hídpenge</v>
      </c>
    </row>
    <row r="15501" spans="1:4" ht="12.75" customHeight="1" x14ac:dyDescent="0.2">
      <c r="C15501" s="16" t="s">
        <v>240</v>
      </c>
      <c r="D15501" s="6" t="str">
        <f>HYPERLINK("javascript:void(0)","kincs")</f>
        <v>kincs</v>
      </c>
    </row>
    <row r="15502" spans="1:4" ht="12.75" customHeight="1" x14ac:dyDescent="0.2">
      <c r="B15502" s="2"/>
      <c r="C15502" s="15"/>
      <c r="D15502" s="2"/>
    </row>
    <row r="15503" spans="1:4" ht="12.75" customHeight="1" x14ac:dyDescent="0.2">
      <c r="B15503" s="2"/>
      <c r="C15503" s="15"/>
      <c r="D15503" s="2"/>
    </row>
    <row r="15504" spans="1:4" ht="12.75" customHeight="1" x14ac:dyDescent="0.2">
      <c r="A15504" s="13" t="s">
        <v>5066</v>
      </c>
      <c r="C15504" s="12"/>
    </row>
    <row r="15505" spans="1:4" ht="12.75" customHeight="1" x14ac:dyDescent="0.2">
      <c r="A15505" s="11"/>
      <c r="B15505" s="2"/>
      <c r="C15505" s="15"/>
      <c r="D15505" s="2"/>
    </row>
    <row r="15506" spans="1:4" ht="12.75" customHeight="1" x14ac:dyDescent="0.2">
      <c r="B15506" s="11" t="s">
        <v>0</v>
      </c>
      <c r="C15506" s="11" t="s">
        <v>874</v>
      </c>
    </row>
    <row r="15507" spans="1:4" ht="12.75" customHeight="1" x14ac:dyDescent="0.2">
      <c r="B15507" s="11" t="s">
        <v>2599</v>
      </c>
      <c r="C15507" s="11" t="s">
        <v>5041</v>
      </c>
    </row>
    <row r="15508" spans="1:4" ht="25.5" customHeight="1" x14ac:dyDescent="0.2">
      <c r="B15508" s="11" t="s">
        <v>2600</v>
      </c>
      <c r="C15508" s="11" t="s">
        <v>5067</v>
      </c>
    </row>
    <row r="15509" spans="1:4" ht="25.5" customHeight="1" x14ac:dyDescent="0.2">
      <c r="B15509" s="11" t="s">
        <v>2601</v>
      </c>
      <c r="C15509" s="11"/>
    </row>
    <row r="15510" spans="1:4" ht="12.75" customHeight="1" x14ac:dyDescent="0.2">
      <c r="B15510" s="11" t="s">
        <v>16</v>
      </c>
      <c r="C15510" s="11"/>
    </row>
    <row r="15511" spans="1:4" ht="12.75" customHeight="1" x14ac:dyDescent="0.2">
      <c r="B15511" s="11" t="s">
        <v>13</v>
      </c>
      <c r="C15511" s="11" t="s">
        <v>2644</v>
      </c>
    </row>
    <row r="15512" spans="1:4" ht="12.75" customHeight="1" x14ac:dyDescent="0.2">
      <c r="B15512" s="11" t="s">
        <v>2603</v>
      </c>
      <c r="C15512" s="11" t="s">
        <v>2604</v>
      </c>
    </row>
    <row r="15513" spans="1:4" ht="12.75" customHeight="1" x14ac:dyDescent="0.2">
      <c r="B15513" s="11" t="s">
        <v>2605</v>
      </c>
      <c r="C15513" s="11" t="s">
        <v>24</v>
      </c>
    </row>
    <row r="15514" spans="1:4" ht="12.75" customHeight="1" x14ac:dyDescent="0.2">
      <c r="B15514" s="11" t="s">
        <v>2606</v>
      </c>
      <c r="C15514" s="16" t="s">
        <v>44</v>
      </c>
      <c r="D15514" s="6" t="str">
        <f>HYPERLINK("javascript:void(0)","spiritusz")</f>
        <v>spiritusz</v>
      </c>
    </row>
    <row r="15515" spans="1:4" ht="12.75" customHeight="1" x14ac:dyDescent="0.2">
      <c r="C15515" s="16" t="s">
        <v>98</v>
      </c>
      <c r="D15515" s="6" t="str">
        <f>HYPERLINK("javascript:void(0)","kincs")</f>
        <v>kincs</v>
      </c>
    </row>
    <row r="15516" spans="1:4" ht="12.75" customHeight="1" x14ac:dyDescent="0.2">
      <c r="B15516" s="2"/>
      <c r="C15516" s="15"/>
      <c r="D15516" s="2"/>
    </row>
    <row r="15517" spans="1:4" ht="12.75" customHeight="1" x14ac:dyDescent="0.2">
      <c r="B15517" s="2"/>
      <c r="C15517" s="15"/>
      <c r="D15517" s="2"/>
    </row>
    <row r="15518" spans="1:4" ht="12.75" customHeight="1" x14ac:dyDescent="0.2">
      <c r="A15518" s="13" t="s">
        <v>5068</v>
      </c>
      <c r="C15518" s="12"/>
    </row>
    <row r="15519" spans="1:4" ht="12.75" customHeight="1" x14ac:dyDescent="0.2">
      <c r="A15519" s="11"/>
      <c r="B15519" s="2"/>
      <c r="C15519" s="15"/>
      <c r="D15519" s="2"/>
    </row>
    <row r="15520" spans="1:4" ht="12.75" customHeight="1" x14ac:dyDescent="0.2">
      <c r="B15520" s="11" t="s">
        <v>0</v>
      </c>
      <c r="C15520" s="11" t="s">
        <v>874</v>
      </c>
    </row>
    <row r="15521" spans="1:4" ht="12.75" customHeight="1" x14ac:dyDescent="0.2">
      <c r="B15521" s="11" t="s">
        <v>2599</v>
      </c>
      <c r="C15521" s="11" t="s">
        <v>1888</v>
      </c>
    </row>
    <row r="15522" spans="1:4" ht="25.5" customHeight="1" x14ac:dyDescent="0.2">
      <c r="B15522" s="11" t="s">
        <v>2600</v>
      </c>
      <c r="C15522" s="11" t="s">
        <v>5069</v>
      </c>
    </row>
    <row r="15523" spans="1:4" ht="25.5" customHeight="1" x14ac:dyDescent="0.2">
      <c r="B15523" s="11" t="s">
        <v>2601</v>
      </c>
      <c r="C15523" s="11"/>
    </row>
    <row r="15524" spans="1:4" ht="12.75" customHeight="1" x14ac:dyDescent="0.2">
      <c r="B15524" s="11" t="s">
        <v>16</v>
      </c>
      <c r="C15524" s="11"/>
    </row>
    <row r="15525" spans="1:4" ht="12.75" customHeight="1" x14ac:dyDescent="0.2">
      <c r="B15525" s="11" t="s">
        <v>13</v>
      </c>
      <c r="C15525" s="11" t="s">
        <v>2602</v>
      </c>
    </row>
    <row r="15526" spans="1:4" ht="12.75" customHeight="1" x14ac:dyDescent="0.2">
      <c r="B15526" s="11" t="s">
        <v>2603</v>
      </c>
      <c r="C15526" s="11" t="s">
        <v>2604</v>
      </c>
    </row>
    <row r="15527" spans="1:4" ht="12.75" customHeight="1" x14ac:dyDescent="0.2">
      <c r="B15527" s="11" t="s">
        <v>2605</v>
      </c>
      <c r="C15527" s="11" t="s">
        <v>24</v>
      </c>
    </row>
    <row r="15528" spans="1:4" ht="12.75" customHeight="1" x14ac:dyDescent="0.2">
      <c r="B15528" s="11" t="s">
        <v>2606</v>
      </c>
      <c r="C15528" s="16" t="s">
        <v>44</v>
      </c>
      <c r="D15528" s="6" t="str">
        <f>HYPERLINK("javascript:void(0)","háló")</f>
        <v>háló</v>
      </c>
    </row>
    <row r="15529" spans="1:4" ht="12.75" customHeight="1" x14ac:dyDescent="0.2">
      <c r="C15529" s="16" t="s">
        <v>269</v>
      </c>
      <c r="D15529" s="6" t="str">
        <f>HYPERLINK("javascript:void(0)","kincs")</f>
        <v>kincs</v>
      </c>
    </row>
    <row r="15530" spans="1:4" ht="12.75" customHeight="1" x14ac:dyDescent="0.2">
      <c r="B15530" s="2"/>
      <c r="C15530" s="15"/>
      <c r="D15530" s="2"/>
    </row>
    <row r="15531" spans="1:4" ht="12.75" customHeight="1" x14ac:dyDescent="0.2">
      <c r="B15531" s="2"/>
      <c r="C15531" s="15"/>
      <c r="D15531" s="2"/>
    </row>
    <row r="15532" spans="1:4" ht="12.75" customHeight="1" x14ac:dyDescent="0.2">
      <c r="A15532" s="13" t="s">
        <v>5070</v>
      </c>
      <c r="C15532" s="12"/>
    </row>
    <row r="15533" spans="1:4" ht="12.75" customHeight="1" x14ac:dyDescent="0.2">
      <c r="A15533" s="11"/>
      <c r="B15533" s="2"/>
      <c r="C15533" s="15"/>
      <c r="D15533" s="2"/>
    </row>
    <row r="15534" spans="1:4" ht="12.75" customHeight="1" x14ac:dyDescent="0.2">
      <c r="B15534" s="11" t="s">
        <v>0</v>
      </c>
      <c r="C15534" s="11" t="s">
        <v>874</v>
      </c>
    </row>
    <row r="15535" spans="1:4" ht="12.75" customHeight="1" x14ac:dyDescent="0.2">
      <c r="B15535" s="11" t="s">
        <v>2599</v>
      </c>
      <c r="C15535" s="11" t="s">
        <v>5071</v>
      </c>
    </row>
    <row r="15536" spans="1:4" ht="25.5" customHeight="1" x14ac:dyDescent="0.2">
      <c r="B15536" s="11" t="s">
        <v>2600</v>
      </c>
      <c r="C15536" s="11" t="s">
        <v>5072</v>
      </c>
    </row>
    <row r="15537" spans="1:4" ht="25.5" customHeight="1" x14ac:dyDescent="0.2">
      <c r="B15537" s="11" t="s">
        <v>2601</v>
      </c>
      <c r="C15537" s="11"/>
    </row>
    <row r="15538" spans="1:4" ht="12.75" customHeight="1" x14ac:dyDescent="0.2">
      <c r="B15538" s="11" t="s">
        <v>16</v>
      </c>
      <c r="C15538" s="11"/>
    </row>
    <row r="15539" spans="1:4" ht="12.75" customHeight="1" x14ac:dyDescent="0.2">
      <c r="B15539" s="11" t="s">
        <v>13</v>
      </c>
      <c r="C15539" s="11" t="s">
        <v>2644</v>
      </c>
    </row>
    <row r="15540" spans="1:4" ht="12.75" customHeight="1" x14ac:dyDescent="0.2">
      <c r="B15540" s="11" t="s">
        <v>2603</v>
      </c>
      <c r="C15540" s="11" t="s">
        <v>2604</v>
      </c>
    </row>
    <row r="15541" spans="1:4" ht="12.75" customHeight="1" x14ac:dyDescent="0.2">
      <c r="B15541" s="11" t="s">
        <v>2605</v>
      </c>
      <c r="C15541" s="11" t="s">
        <v>24</v>
      </c>
    </row>
    <row r="15542" spans="1:4" ht="25.5" customHeight="1" x14ac:dyDescent="0.2">
      <c r="B15542" s="11" t="s">
        <v>2606</v>
      </c>
      <c r="C15542" s="16" t="s">
        <v>44</v>
      </c>
      <c r="D15542" s="6" t="str">
        <f>HYPERLINK("javascript:void(0)","magmacsepp")</f>
        <v>magmacsepp</v>
      </c>
    </row>
    <row r="15543" spans="1:4" ht="12.75" customHeight="1" x14ac:dyDescent="0.2">
      <c r="C15543" s="16" t="s">
        <v>67</v>
      </c>
      <c r="D15543" s="6" t="str">
        <f>HYPERLINK("javascript:void(0)","kincs")</f>
        <v>kincs</v>
      </c>
    </row>
    <row r="15544" spans="1:4" ht="12.75" customHeight="1" x14ac:dyDescent="0.2">
      <c r="B15544" s="2"/>
      <c r="C15544" s="15"/>
      <c r="D15544" s="2"/>
    </row>
    <row r="15545" spans="1:4" ht="12.75" customHeight="1" x14ac:dyDescent="0.2">
      <c r="B15545" s="2"/>
      <c r="C15545" s="15"/>
      <c r="D15545" s="2"/>
    </row>
    <row r="15546" spans="1:4" ht="12.75" customHeight="1" x14ac:dyDescent="0.2">
      <c r="A15546" s="13" t="s">
        <v>4961</v>
      </c>
      <c r="C15546" s="12"/>
      <c r="D15546" s="2"/>
    </row>
    <row r="15547" spans="1:4" ht="12.75" customHeight="1" x14ac:dyDescent="0.2">
      <c r="A15547" s="11"/>
      <c r="B15547" s="2"/>
      <c r="C15547" s="15"/>
      <c r="D15547" s="2"/>
    </row>
    <row r="15548" spans="1:4" ht="12.75" customHeight="1" x14ac:dyDescent="0.2">
      <c r="B15548" s="11" t="s">
        <v>0</v>
      </c>
      <c r="C15548" s="17" t="s">
        <v>883</v>
      </c>
      <c r="D15548" s="2"/>
    </row>
    <row r="15549" spans="1:4" ht="12.75" customHeight="1" x14ac:dyDescent="0.2">
      <c r="B15549" s="11" t="s">
        <v>2599</v>
      </c>
      <c r="C15549" s="17" t="s">
        <v>3296</v>
      </c>
      <c r="D15549" s="2"/>
    </row>
    <row r="15550" spans="1:4" ht="25.5" customHeight="1" x14ac:dyDescent="0.2">
      <c r="B15550" s="11" t="s">
        <v>2600</v>
      </c>
      <c r="C15550" s="17" t="s">
        <v>5073</v>
      </c>
      <c r="D15550" s="2"/>
    </row>
    <row r="15551" spans="1:4" ht="25.5" customHeight="1" x14ac:dyDescent="0.2">
      <c r="B15551" s="11" t="s">
        <v>2601</v>
      </c>
      <c r="C15551" s="17"/>
      <c r="D15551" s="2"/>
    </row>
    <row r="15552" spans="1:4" ht="12.75" customHeight="1" x14ac:dyDescent="0.2">
      <c r="B15552" s="11" t="s">
        <v>16</v>
      </c>
      <c r="C15552" s="17"/>
      <c r="D15552" s="2"/>
    </row>
    <row r="15553" spans="1:4" ht="12.75" customHeight="1" x14ac:dyDescent="0.2">
      <c r="B15553" s="11" t="s">
        <v>13</v>
      </c>
      <c r="C15553" s="17" t="s">
        <v>2602</v>
      </c>
      <c r="D15553" s="2"/>
    </row>
    <row r="15554" spans="1:4" ht="25.5" customHeight="1" x14ac:dyDescent="0.2">
      <c r="B15554" s="11" t="s">
        <v>2603</v>
      </c>
      <c r="C15554" s="17" t="s">
        <v>2971</v>
      </c>
      <c r="D15554" s="2"/>
    </row>
    <row r="15555" spans="1:4" ht="12.75" customHeight="1" x14ac:dyDescent="0.2">
      <c r="B15555" s="11" t="s">
        <v>2605</v>
      </c>
      <c r="C15555" s="17" t="s">
        <v>14</v>
      </c>
      <c r="D15555" s="2"/>
    </row>
    <row r="15556" spans="1:4" ht="12.75" customHeight="1" x14ac:dyDescent="0.2">
      <c r="B15556" s="11" t="s">
        <v>2606</v>
      </c>
      <c r="C15556" s="16" t="s">
        <v>19</v>
      </c>
      <c r="D15556" s="2"/>
    </row>
    <row r="15557" spans="1:4" ht="12.75" customHeight="1" x14ac:dyDescent="0.2">
      <c r="B15557" s="2"/>
      <c r="C15557" s="15"/>
      <c r="D15557" s="2"/>
    </row>
    <row r="15558" spans="1:4" ht="12.75" customHeight="1" x14ac:dyDescent="0.2">
      <c r="B15558" s="2"/>
      <c r="C15558" s="15"/>
      <c r="D15558" s="2"/>
    </row>
    <row r="15559" spans="1:4" ht="12.75" customHeight="1" x14ac:dyDescent="0.2">
      <c r="A15559" s="13" t="s">
        <v>4963</v>
      </c>
      <c r="C15559" s="12"/>
      <c r="D15559" s="2"/>
    </row>
    <row r="15560" spans="1:4" ht="12.75" customHeight="1" x14ac:dyDescent="0.2">
      <c r="A15560" s="11"/>
      <c r="B15560" s="2"/>
      <c r="C15560" s="15"/>
      <c r="D15560" s="2"/>
    </row>
    <row r="15561" spans="1:4" ht="12.75" customHeight="1" x14ac:dyDescent="0.2">
      <c r="B15561" s="11" t="s">
        <v>0</v>
      </c>
      <c r="C15561" s="17" t="s">
        <v>883</v>
      </c>
      <c r="D15561" s="2"/>
    </row>
    <row r="15562" spans="1:4" ht="12.75" customHeight="1" x14ac:dyDescent="0.2">
      <c r="B15562" s="11" t="s">
        <v>2599</v>
      </c>
      <c r="C15562" s="17" t="s">
        <v>4964</v>
      </c>
      <c r="D15562" s="2"/>
    </row>
    <row r="15563" spans="1:4" ht="25.5" customHeight="1" x14ac:dyDescent="0.2">
      <c r="B15563" s="11" t="s">
        <v>2600</v>
      </c>
      <c r="C15563" s="17" t="s">
        <v>5074</v>
      </c>
      <c r="D15563" s="2"/>
    </row>
    <row r="15564" spans="1:4" ht="25.5" customHeight="1" x14ac:dyDescent="0.2">
      <c r="B15564" s="11" t="s">
        <v>2601</v>
      </c>
      <c r="C15564" s="17"/>
      <c r="D15564" s="2"/>
    </row>
    <row r="15565" spans="1:4" ht="12.75" customHeight="1" x14ac:dyDescent="0.2">
      <c r="B15565" s="11" t="s">
        <v>16</v>
      </c>
      <c r="C15565" s="17"/>
      <c r="D15565" s="2"/>
    </row>
    <row r="15566" spans="1:4" ht="12.75" customHeight="1" x14ac:dyDescent="0.2">
      <c r="B15566" s="11" t="s">
        <v>13</v>
      </c>
      <c r="C15566" s="17" t="s">
        <v>2644</v>
      </c>
      <c r="D15566" s="2"/>
    </row>
    <row r="15567" spans="1:4" ht="25.5" customHeight="1" x14ac:dyDescent="0.2">
      <c r="B15567" s="11" t="s">
        <v>2603</v>
      </c>
      <c r="C15567" s="17" t="s">
        <v>2971</v>
      </c>
      <c r="D15567" s="2"/>
    </row>
    <row r="15568" spans="1:4" ht="12.75" customHeight="1" x14ac:dyDescent="0.2">
      <c r="B15568" s="11" t="s">
        <v>2605</v>
      </c>
      <c r="C15568" s="17" t="s">
        <v>14</v>
      </c>
      <c r="D15568" s="2"/>
    </row>
    <row r="15569" spans="1:4" ht="12.75" customHeight="1" x14ac:dyDescent="0.2">
      <c r="B15569" s="11" t="s">
        <v>2606</v>
      </c>
      <c r="C15569" s="16" t="s">
        <v>19</v>
      </c>
      <c r="D15569" s="2"/>
    </row>
    <row r="15570" spans="1:4" ht="12.75" customHeight="1" x14ac:dyDescent="0.2">
      <c r="B15570" s="2"/>
      <c r="C15570" s="15"/>
      <c r="D15570" s="2"/>
    </row>
    <row r="15571" spans="1:4" ht="12.75" customHeight="1" x14ac:dyDescent="0.2">
      <c r="B15571" s="2"/>
      <c r="C15571" s="15"/>
      <c r="D15571" s="2"/>
    </row>
    <row r="15572" spans="1:4" ht="12.75" customHeight="1" x14ac:dyDescent="0.2">
      <c r="A15572" s="13" t="s">
        <v>2782</v>
      </c>
      <c r="C15572" s="12"/>
    </row>
    <row r="15573" spans="1:4" ht="12.75" customHeight="1" x14ac:dyDescent="0.2">
      <c r="A15573" s="11"/>
      <c r="B15573" s="2"/>
      <c r="C15573" s="15"/>
      <c r="D15573" s="2"/>
    </row>
    <row r="15574" spans="1:4" ht="12.75" customHeight="1" x14ac:dyDescent="0.2">
      <c r="B15574" s="11" t="s">
        <v>0</v>
      </c>
      <c r="C15574" s="11" t="s">
        <v>883</v>
      </c>
    </row>
    <row r="15575" spans="1:4" ht="12.75" customHeight="1" x14ac:dyDescent="0.2">
      <c r="B15575" s="11" t="s">
        <v>2599</v>
      </c>
      <c r="C15575" s="11" t="s">
        <v>5075</v>
      </c>
    </row>
    <row r="15576" spans="1:4" ht="25.5" customHeight="1" x14ac:dyDescent="0.2">
      <c r="B15576" s="11" t="s">
        <v>2600</v>
      </c>
      <c r="C15576" s="11" t="s">
        <v>5076</v>
      </c>
    </row>
    <row r="15577" spans="1:4" ht="25.5" customHeight="1" x14ac:dyDescent="0.2">
      <c r="B15577" s="11" t="s">
        <v>2601</v>
      </c>
      <c r="C15577" s="11"/>
    </row>
    <row r="15578" spans="1:4" ht="12.75" customHeight="1" x14ac:dyDescent="0.2">
      <c r="B15578" s="11" t="s">
        <v>16</v>
      </c>
      <c r="C15578" s="11"/>
    </row>
    <row r="15579" spans="1:4" ht="12.75" customHeight="1" x14ac:dyDescent="0.2">
      <c r="B15579" s="11" t="s">
        <v>13</v>
      </c>
      <c r="C15579" s="11" t="s">
        <v>2644</v>
      </c>
    </row>
    <row r="15580" spans="1:4" ht="12.75" customHeight="1" x14ac:dyDescent="0.2">
      <c r="B15580" s="11" t="s">
        <v>2603</v>
      </c>
      <c r="C15580" s="11" t="s">
        <v>2604</v>
      </c>
    </row>
    <row r="15581" spans="1:4" ht="12.75" customHeight="1" x14ac:dyDescent="0.2">
      <c r="B15581" s="11" t="s">
        <v>2605</v>
      </c>
      <c r="C15581" s="11" t="s">
        <v>14</v>
      </c>
    </row>
    <row r="15582" spans="1:4" ht="12.75" customHeight="1" x14ac:dyDescent="0.2">
      <c r="B15582" s="11" t="s">
        <v>2606</v>
      </c>
      <c r="C15582" s="16" t="s">
        <v>44</v>
      </c>
      <c r="D15582" s="6" t="str">
        <f>HYPERLINK("javascript:void(0)","alakváltókő")</f>
        <v>alakváltókő</v>
      </c>
    </row>
    <row r="15583" spans="1:4" ht="12.75" customHeight="1" x14ac:dyDescent="0.2">
      <c r="B15583" s="2"/>
      <c r="C15583" s="15"/>
      <c r="D15583" s="2"/>
    </row>
    <row r="15584" spans="1:4" ht="12.75" customHeight="1" x14ac:dyDescent="0.2">
      <c r="B15584" s="2"/>
      <c r="C15584" s="15"/>
      <c r="D15584" s="2"/>
    </row>
    <row r="15585" spans="1:4" ht="12.75" customHeight="1" x14ac:dyDescent="0.2">
      <c r="A15585" s="13" t="s">
        <v>4966</v>
      </c>
      <c r="C15585" s="12"/>
      <c r="D15585" s="2"/>
    </row>
    <row r="15586" spans="1:4" ht="12.75" customHeight="1" x14ac:dyDescent="0.2">
      <c r="A15586" s="11"/>
      <c r="B15586" s="2"/>
      <c r="C15586" s="15"/>
      <c r="D15586" s="2"/>
    </row>
    <row r="15587" spans="1:4" ht="12.75" customHeight="1" x14ac:dyDescent="0.2">
      <c r="B15587" s="11" t="s">
        <v>0</v>
      </c>
      <c r="C15587" s="17" t="s">
        <v>883</v>
      </c>
      <c r="D15587" s="2"/>
    </row>
    <row r="15588" spans="1:4" ht="12.75" customHeight="1" x14ac:dyDescent="0.2">
      <c r="B15588" s="11" t="s">
        <v>2599</v>
      </c>
      <c r="C15588" s="17" t="s">
        <v>4967</v>
      </c>
      <c r="D15588" s="2"/>
    </row>
    <row r="15589" spans="1:4" ht="25.5" customHeight="1" x14ac:dyDescent="0.2">
      <c r="B15589" s="11" t="s">
        <v>2600</v>
      </c>
      <c r="C15589" s="17" t="s">
        <v>5078</v>
      </c>
      <c r="D15589" s="2"/>
    </row>
    <row r="15590" spans="1:4" ht="25.5" customHeight="1" x14ac:dyDescent="0.2">
      <c r="B15590" s="11" t="s">
        <v>2601</v>
      </c>
      <c r="C15590" s="17"/>
      <c r="D15590" s="2"/>
    </row>
    <row r="15591" spans="1:4" ht="12.75" customHeight="1" x14ac:dyDescent="0.2">
      <c r="B15591" s="11" t="s">
        <v>16</v>
      </c>
      <c r="C15591" s="17"/>
      <c r="D15591" s="2"/>
    </row>
    <row r="15592" spans="1:4" ht="12.75" customHeight="1" x14ac:dyDescent="0.2">
      <c r="B15592" s="11" t="s">
        <v>13</v>
      </c>
      <c r="C15592" s="17" t="s">
        <v>2602</v>
      </c>
      <c r="D15592" s="2"/>
    </row>
    <row r="15593" spans="1:4" ht="25.5" customHeight="1" x14ac:dyDescent="0.2">
      <c r="B15593" s="11" t="s">
        <v>2603</v>
      </c>
      <c r="C15593" s="17" t="s">
        <v>2971</v>
      </c>
      <c r="D15593" s="2"/>
    </row>
    <row r="15594" spans="1:4" ht="12.75" customHeight="1" x14ac:dyDescent="0.2">
      <c r="B15594" s="11" t="s">
        <v>2605</v>
      </c>
      <c r="C15594" s="17" t="s">
        <v>14</v>
      </c>
      <c r="D15594" s="2"/>
    </row>
    <row r="15595" spans="1:4" ht="12.75" customHeight="1" x14ac:dyDescent="0.2">
      <c r="B15595" s="11" t="s">
        <v>2606</v>
      </c>
      <c r="C15595" s="16" t="s">
        <v>19</v>
      </c>
      <c r="D15595" s="2"/>
    </row>
    <row r="15596" spans="1:4" ht="12.75" customHeight="1" x14ac:dyDescent="0.2">
      <c r="B15596" s="2"/>
      <c r="C15596" s="15"/>
      <c r="D15596" s="2"/>
    </row>
    <row r="15597" spans="1:4" ht="12.75" customHeight="1" x14ac:dyDescent="0.2">
      <c r="B15597" s="2"/>
      <c r="C15597" s="15"/>
      <c r="D15597" s="2"/>
    </row>
    <row r="15598" spans="1:4" ht="12.75" customHeight="1" x14ac:dyDescent="0.2">
      <c r="A15598" s="13" t="s">
        <v>4992</v>
      </c>
      <c r="C15598" s="12"/>
      <c r="D15598" s="2"/>
    </row>
    <row r="15599" spans="1:4" ht="12.75" customHeight="1" x14ac:dyDescent="0.2">
      <c r="A15599" s="11"/>
      <c r="B15599" s="2"/>
      <c r="C15599" s="15"/>
      <c r="D15599" s="2"/>
    </row>
    <row r="15600" spans="1:4" ht="12.75" customHeight="1" x14ac:dyDescent="0.2">
      <c r="B15600" s="11" t="s">
        <v>0</v>
      </c>
      <c r="C15600" s="17" t="s">
        <v>883</v>
      </c>
      <c r="D15600" s="2"/>
    </row>
    <row r="15601" spans="1:4" ht="12.75" customHeight="1" x14ac:dyDescent="0.2">
      <c r="B15601" s="11" t="s">
        <v>2599</v>
      </c>
      <c r="C15601" s="17" t="s">
        <v>642</v>
      </c>
      <c r="D15601" s="2"/>
    </row>
    <row r="15602" spans="1:4" ht="25.5" customHeight="1" x14ac:dyDescent="0.2">
      <c r="B15602" s="11" t="s">
        <v>2600</v>
      </c>
      <c r="C15602" s="17" t="s">
        <v>5079</v>
      </c>
      <c r="D15602" s="2"/>
    </row>
    <row r="15603" spans="1:4" ht="25.5" customHeight="1" x14ac:dyDescent="0.2">
      <c r="B15603" s="11" t="s">
        <v>2601</v>
      </c>
      <c r="C15603" s="17"/>
      <c r="D15603" s="2"/>
    </row>
    <row r="15604" spans="1:4" ht="12.75" customHeight="1" x14ac:dyDescent="0.2">
      <c r="B15604" s="11" t="s">
        <v>16</v>
      </c>
      <c r="C15604" s="17"/>
      <c r="D15604" s="2"/>
    </row>
    <row r="15605" spans="1:4" ht="12.75" customHeight="1" x14ac:dyDescent="0.2">
      <c r="B15605" s="11" t="s">
        <v>13</v>
      </c>
      <c r="C15605" s="17" t="s">
        <v>2644</v>
      </c>
      <c r="D15605" s="2"/>
    </row>
    <row r="15606" spans="1:4" ht="25.5" customHeight="1" x14ac:dyDescent="0.2">
      <c r="B15606" s="11" t="s">
        <v>2603</v>
      </c>
      <c r="C15606" s="17" t="s">
        <v>2971</v>
      </c>
      <c r="D15606" s="2"/>
    </row>
    <row r="15607" spans="1:4" ht="12.75" customHeight="1" x14ac:dyDescent="0.2">
      <c r="B15607" s="11" t="s">
        <v>2605</v>
      </c>
      <c r="C15607" s="17" t="s">
        <v>14</v>
      </c>
      <c r="D15607" s="2"/>
    </row>
    <row r="15608" spans="1:4" ht="12.75" customHeight="1" x14ac:dyDescent="0.2">
      <c r="B15608" s="11" t="s">
        <v>2606</v>
      </c>
      <c r="C15608" s="16" t="s">
        <v>19</v>
      </c>
      <c r="D15608" s="2"/>
    </row>
    <row r="15609" spans="1:4" ht="12.75" customHeight="1" x14ac:dyDescent="0.2">
      <c r="B15609" s="2"/>
      <c r="C15609" s="15"/>
      <c r="D15609" s="2"/>
    </row>
    <row r="15610" spans="1:4" ht="12.75" customHeight="1" x14ac:dyDescent="0.2">
      <c r="B15610" s="2"/>
      <c r="C15610" s="15"/>
      <c r="D15610" s="2"/>
    </row>
    <row r="15611" spans="1:4" ht="12.75" customHeight="1" x14ac:dyDescent="0.2">
      <c r="A15611" s="13" t="s">
        <v>5080</v>
      </c>
      <c r="C15611" s="12"/>
    </row>
    <row r="15612" spans="1:4" ht="12.75" customHeight="1" x14ac:dyDescent="0.2">
      <c r="A15612" s="11"/>
      <c r="B15612" s="2"/>
      <c r="C15612" s="15"/>
      <c r="D15612" s="2"/>
    </row>
    <row r="15613" spans="1:4" ht="12.75" customHeight="1" x14ac:dyDescent="0.2">
      <c r="B15613" s="11" t="s">
        <v>0</v>
      </c>
      <c r="C15613" s="11" t="s">
        <v>883</v>
      </c>
    </row>
    <row r="15614" spans="1:4" ht="12.75" customHeight="1" x14ac:dyDescent="0.2">
      <c r="B15614" s="11" t="s">
        <v>2599</v>
      </c>
      <c r="C15614" s="11" t="s">
        <v>5075</v>
      </c>
    </row>
    <row r="15615" spans="1:4" ht="25.5" customHeight="1" x14ac:dyDescent="0.2">
      <c r="B15615" s="11" t="s">
        <v>2600</v>
      </c>
      <c r="C15615" s="11" t="s">
        <v>5081</v>
      </c>
    </row>
    <row r="15616" spans="1:4" ht="25.5" customHeight="1" x14ac:dyDescent="0.2">
      <c r="B15616" s="11" t="s">
        <v>2601</v>
      </c>
      <c r="C15616" s="11"/>
    </row>
    <row r="15617" spans="1:4" ht="12.75" customHeight="1" x14ac:dyDescent="0.2">
      <c r="B15617" s="11" t="s">
        <v>16</v>
      </c>
      <c r="C15617" s="11"/>
    </row>
    <row r="15618" spans="1:4" ht="12.75" customHeight="1" x14ac:dyDescent="0.2">
      <c r="B15618" s="11" t="s">
        <v>13</v>
      </c>
      <c r="C15618" s="11" t="s">
        <v>2644</v>
      </c>
    </row>
    <row r="15619" spans="1:4" ht="12.75" customHeight="1" x14ac:dyDescent="0.2">
      <c r="B15619" s="11" t="s">
        <v>2603</v>
      </c>
      <c r="C15619" s="11" t="s">
        <v>2604</v>
      </c>
    </row>
    <row r="15620" spans="1:4" ht="12.75" customHeight="1" x14ac:dyDescent="0.2">
      <c r="B15620" s="11" t="s">
        <v>2605</v>
      </c>
      <c r="C15620" s="11" t="s">
        <v>14</v>
      </c>
    </row>
    <row r="15621" spans="1:4" ht="12.75" customHeight="1" x14ac:dyDescent="0.2">
      <c r="B15621" s="11" t="s">
        <v>2606</v>
      </c>
      <c r="C15621" s="16" t="s">
        <v>1494</v>
      </c>
      <c r="D15621" s="6" t="str">
        <f>HYPERLINK("javascript:void(0)","kincs")</f>
        <v>kincs</v>
      </c>
    </row>
    <row r="15622" spans="1:4" ht="12.75" customHeight="1" x14ac:dyDescent="0.2">
      <c r="B15622" s="2"/>
      <c r="C15622" s="15"/>
      <c r="D15622" s="2"/>
    </row>
    <row r="15623" spans="1:4" ht="12.75" customHeight="1" x14ac:dyDescent="0.2">
      <c r="B15623" s="2"/>
      <c r="C15623" s="15"/>
      <c r="D15623" s="2"/>
    </row>
    <row r="15624" spans="1:4" ht="12.75" customHeight="1" x14ac:dyDescent="0.2">
      <c r="A15624" s="13" t="s">
        <v>5082</v>
      </c>
      <c r="C15624" s="12"/>
    </row>
    <row r="15625" spans="1:4" ht="12.75" customHeight="1" x14ac:dyDescent="0.2">
      <c r="A15625" s="11"/>
      <c r="B15625" s="2"/>
      <c r="C15625" s="15"/>
      <c r="D15625" s="2"/>
    </row>
    <row r="15626" spans="1:4" ht="12.75" customHeight="1" x14ac:dyDescent="0.2">
      <c r="B15626" s="11" t="s">
        <v>0</v>
      </c>
      <c r="C15626" s="11" t="s">
        <v>883</v>
      </c>
    </row>
    <row r="15627" spans="1:4" ht="12.75" customHeight="1" x14ac:dyDescent="0.2">
      <c r="B15627" s="11" t="s">
        <v>2599</v>
      </c>
      <c r="C15627" s="11" t="s">
        <v>5083</v>
      </c>
    </row>
    <row r="15628" spans="1:4" ht="25.5" customHeight="1" x14ac:dyDescent="0.2">
      <c r="B15628" s="11" t="s">
        <v>2600</v>
      </c>
      <c r="C15628" s="11" t="s">
        <v>5084</v>
      </c>
    </row>
    <row r="15629" spans="1:4" ht="25.5" customHeight="1" x14ac:dyDescent="0.2">
      <c r="B15629" s="11" t="s">
        <v>2601</v>
      </c>
      <c r="C15629" s="11"/>
    </row>
    <row r="15630" spans="1:4" ht="12.75" customHeight="1" x14ac:dyDescent="0.2">
      <c r="B15630" s="11" t="s">
        <v>16</v>
      </c>
      <c r="C15630" s="11"/>
    </row>
    <row r="15631" spans="1:4" ht="12.75" customHeight="1" x14ac:dyDescent="0.2">
      <c r="B15631" s="11" t="s">
        <v>13</v>
      </c>
      <c r="C15631" s="11" t="s">
        <v>2602</v>
      </c>
    </row>
    <row r="15632" spans="1:4" ht="12.75" customHeight="1" x14ac:dyDescent="0.2">
      <c r="B15632" s="11" t="s">
        <v>2603</v>
      </c>
      <c r="C15632" s="11" t="s">
        <v>2604</v>
      </c>
    </row>
    <row r="15633" spans="1:4" ht="12.75" customHeight="1" x14ac:dyDescent="0.2">
      <c r="B15633" s="11" t="s">
        <v>2605</v>
      </c>
      <c r="C15633" s="11" t="s">
        <v>14</v>
      </c>
    </row>
    <row r="15634" spans="1:4" ht="12.75" customHeight="1" x14ac:dyDescent="0.2">
      <c r="B15634" s="11" t="s">
        <v>2606</v>
      </c>
      <c r="C15634" s="16" t="s">
        <v>316</v>
      </c>
      <c r="D15634" s="6" t="str">
        <f>HYPERLINK("javascript:void(0)","kincs")</f>
        <v>kincs</v>
      </c>
    </row>
    <row r="15635" spans="1:4" ht="25.5" customHeight="1" x14ac:dyDescent="0.2">
      <c r="C15635" s="16" t="s">
        <v>44</v>
      </c>
      <c r="D15635" s="6" t="str">
        <f>HYPERLINK("javascript:void(0)","monsztabéklyó")</f>
        <v>monsztabéklyó</v>
      </c>
    </row>
    <row r="15636" spans="1:4" ht="12.75" customHeight="1" x14ac:dyDescent="0.2">
      <c r="B15636" s="2"/>
      <c r="C15636" s="15"/>
      <c r="D15636" s="2"/>
    </row>
    <row r="15637" spans="1:4" ht="12.75" customHeight="1" x14ac:dyDescent="0.2">
      <c r="B15637" s="2"/>
      <c r="C15637" s="15"/>
      <c r="D15637" s="2"/>
    </row>
    <row r="15638" spans="1:4" ht="12.75" customHeight="1" x14ac:dyDescent="0.2">
      <c r="A15638" s="13" t="s">
        <v>5085</v>
      </c>
      <c r="C15638" s="12"/>
    </row>
    <row r="15639" spans="1:4" ht="12.75" customHeight="1" x14ac:dyDescent="0.2">
      <c r="A15639" s="11"/>
      <c r="B15639" s="2"/>
      <c r="C15639" s="15"/>
      <c r="D15639" s="2"/>
    </row>
    <row r="15640" spans="1:4" ht="12.75" customHeight="1" x14ac:dyDescent="0.2">
      <c r="B15640" s="11" t="s">
        <v>0</v>
      </c>
      <c r="C15640" s="11" t="s">
        <v>883</v>
      </c>
    </row>
    <row r="15641" spans="1:4" ht="12.75" customHeight="1" x14ac:dyDescent="0.2">
      <c r="B15641" s="11" t="s">
        <v>2599</v>
      </c>
      <c r="C15641" s="11" t="s">
        <v>5086</v>
      </c>
    </row>
    <row r="15642" spans="1:4" ht="25.5" customHeight="1" x14ac:dyDescent="0.2">
      <c r="B15642" s="11" t="s">
        <v>2600</v>
      </c>
      <c r="C15642" s="11" t="s">
        <v>5087</v>
      </c>
    </row>
    <row r="15643" spans="1:4" ht="25.5" customHeight="1" x14ac:dyDescent="0.2">
      <c r="B15643" s="11" t="s">
        <v>2601</v>
      </c>
      <c r="C15643" s="11"/>
    </row>
    <row r="15644" spans="1:4" ht="12.75" customHeight="1" x14ac:dyDescent="0.2">
      <c r="B15644" s="11" t="s">
        <v>16</v>
      </c>
      <c r="C15644" s="11"/>
    </row>
    <row r="15645" spans="1:4" ht="12.75" customHeight="1" x14ac:dyDescent="0.2">
      <c r="B15645" s="11" t="s">
        <v>13</v>
      </c>
      <c r="C15645" s="11" t="s">
        <v>2602</v>
      </c>
    </row>
    <row r="15646" spans="1:4" ht="12.75" customHeight="1" x14ac:dyDescent="0.2">
      <c r="B15646" s="11" t="s">
        <v>2603</v>
      </c>
      <c r="C15646" s="11" t="s">
        <v>2604</v>
      </c>
    </row>
    <row r="15647" spans="1:4" ht="12.75" customHeight="1" x14ac:dyDescent="0.2">
      <c r="B15647" s="11" t="s">
        <v>2605</v>
      </c>
      <c r="C15647" s="11" t="s">
        <v>24</v>
      </c>
    </row>
    <row r="15648" spans="1:4" ht="12.75" customHeight="1" x14ac:dyDescent="0.2">
      <c r="B15648" s="11" t="s">
        <v>2606</v>
      </c>
      <c r="C15648" s="16" t="s">
        <v>44</v>
      </c>
      <c r="D15648" s="6" t="str">
        <f>HYPERLINK("javascript:void(0)","zanzahúr")</f>
        <v>zanzahúr</v>
      </c>
    </row>
    <row r="15649" spans="1:4" ht="12.75" customHeight="1" x14ac:dyDescent="0.2">
      <c r="C15649" s="16" t="s">
        <v>67</v>
      </c>
      <c r="D15649" s="6" t="str">
        <f>HYPERLINK("javascript:void(0)","kincs")</f>
        <v>kincs</v>
      </c>
    </row>
    <row r="15650" spans="1:4" ht="12.75" customHeight="1" x14ac:dyDescent="0.2">
      <c r="B15650" s="2"/>
      <c r="C15650" s="15"/>
      <c r="D15650" s="2"/>
    </row>
    <row r="15651" spans="1:4" ht="12.75" customHeight="1" x14ac:dyDescent="0.2">
      <c r="B15651" s="2"/>
      <c r="C15651" s="15"/>
      <c r="D15651" s="2"/>
    </row>
    <row r="15652" spans="1:4" ht="12.75" customHeight="1" x14ac:dyDescent="0.2">
      <c r="A15652" s="13" t="s">
        <v>5088</v>
      </c>
      <c r="C15652" s="12"/>
    </row>
    <row r="15653" spans="1:4" ht="12.75" customHeight="1" x14ac:dyDescent="0.2">
      <c r="A15653" s="11"/>
      <c r="B15653" s="2"/>
      <c r="C15653" s="15"/>
      <c r="D15653" s="2"/>
    </row>
    <row r="15654" spans="1:4" ht="12.75" customHeight="1" x14ac:dyDescent="0.2">
      <c r="B15654" s="11" t="s">
        <v>0</v>
      </c>
      <c r="C15654" s="11" t="s">
        <v>883</v>
      </c>
    </row>
    <row r="15655" spans="1:4" ht="12.75" customHeight="1" x14ac:dyDescent="0.2">
      <c r="B15655" s="11" t="s">
        <v>2599</v>
      </c>
      <c r="C15655" s="11" t="s">
        <v>5089</v>
      </c>
    </row>
    <row r="15656" spans="1:4" ht="25.5" customHeight="1" x14ac:dyDescent="0.2">
      <c r="B15656" s="11" t="s">
        <v>2600</v>
      </c>
      <c r="C15656" s="11" t="s">
        <v>5090</v>
      </c>
    </row>
    <row r="15657" spans="1:4" ht="25.5" customHeight="1" x14ac:dyDescent="0.2">
      <c r="B15657" s="11" t="s">
        <v>2601</v>
      </c>
      <c r="C15657" s="11"/>
    </row>
    <row r="15658" spans="1:4" ht="12.75" customHeight="1" x14ac:dyDescent="0.2">
      <c r="B15658" s="11" t="s">
        <v>16</v>
      </c>
      <c r="C15658" s="11"/>
    </row>
    <row r="15659" spans="1:4" ht="12.75" customHeight="1" x14ac:dyDescent="0.2">
      <c r="B15659" s="11" t="s">
        <v>13</v>
      </c>
      <c r="C15659" s="11" t="s">
        <v>2644</v>
      </c>
    </row>
    <row r="15660" spans="1:4" ht="12.75" customHeight="1" x14ac:dyDescent="0.2">
      <c r="B15660" s="11" t="s">
        <v>2603</v>
      </c>
      <c r="C15660" s="11" t="s">
        <v>2604</v>
      </c>
    </row>
    <row r="15661" spans="1:4" ht="12.75" customHeight="1" x14ac:dyDescent="0.2">
      <c r="B15661" s="11" t="s">
        <v>2605</v>
      </c>
      <c r="C15661" s="11" t="s">
        <v>14</v>
      </c>
    </row>
    <row r="15662" spans="1:4" ht="12.75" customHeight="1" x14ac:dyDescent="0.2">
      <c r="B15662" s="11" t="s">
        <v>2606</v>
      </c>
      <c r="C15662" s="16" t="s">
        <v>44</v>
      </c>
      <c r="D15662" s="6" t="str">
        <f>HYPERLINK("javascript:void(0)","térszelet")</f>
        <v>térszelet</v>
      </c>
    </row>
    <row r="15663" spans="1:4" ht="12.75" customHeight="1" x14ac:dyDescent="0.2">
      <c r="C15663" s="16" t="s">
        <v>68</v>
      </c>
      <c r="D15663" s="6" t="str">
        <f>HYPERLINK("javascript:void(0)","kincs")</f>
        <v>kincs</v>
      </c>
    </row>
    <row r="15664" spans="1:4" ht="12.75" customHeight="1" x14ac:dyDescent="0.2">
      <c r="B15664" s="2"/>
      <c r="C15664" s="15"/>
      <c r="D15664" s="2"/>
    </row>
    <row r="15665" spans="1:4" ht="12.75" customHeight="1" x14ac:dyDescent="0.2">
      <c r="B15665" s="2"/>
      <c r="C15665" s="15"/>
      <c r="D15665" s="2"/>
    </row>
    <row r="15666" spans="1:4" ht="12.75" customHeight="1" x14ac:dyDescent="0.2">
      <c r="A15666" s="13" t="s">
        <v>5091</v>
      </c>
      <c r="C15666" s="12"/>
    </row>
    <row r="15667" spans="1:4" ht="12.75" customHeight="1" x14ac:dyDescent="0.2">
      <c r="A15667" s="11"/>
      <c r="B15667" s="2"/>
      <c r="C15667" s="15"/>
      <c r="D15667" s="2"/>
    </row>
    <row r="15668" spans="1:4" ht="12.75" customHeight="1" x14ac:dyDescent="0.2">
      <c r="B15668" s="11" t="s">
        <v>0</v>
      </c>
      <c r="C15668" s="11" t="s">
        <v>883</v>
      </c>
    </row>
    <row r="15669" spans="1:4" ht="12.75" customHeight="1" x14ac:dyDescent="0.2">
      <c r="B15669" s="11" t="s">
        <v>2599</v>
      </c>
      <c r="C15669" s="11" t="s">
        <v>5092</v>
      </c>
    </row>
    <row r="15670" spans="1:4" ht="25.5" customHeight="1" x14ac:dyDescent="0.2">
      <c r="B15670" s="11" t="s">
        <v>2600</v>
      </c>
      <c r="C15670" s="11" t="s">
        <v>5093</v>
      </c>
    </row>
    <row r="15671" spans="1:4" ht="25.5" customHeight="1" x14ac:dyDescent="0.2">
      <c r="B15671" s="11" t="s">
        <v>2601</v>
      </c>
      <c r="C15671" s="11"/>
    </row>
    <row r="15672" spans="1:4" ht="12.75" customHeight="1" x14ac:dyDescent="0.2">
      <c r="B15672" s="11" t="s">
        <v>16</v>
      </c>
      <c r="C15672" s="11"/>
    </row>
    <row r="15673" spans="1:4" ht="12.75" customHeight="1" x14ac:dyDescent="0.2">
      <c r="B15673" s="11" t="s">
        <v>13</v>
      </c>
      <c r="C15673" s="11" t="s">
        <v>2644</v>
      </c>
    </row>
    <row r="15674" spans="1:4" ht="12.75" customHeight="1" x14ac:dyDescent="0.2">
      <c r="B15674" s="11" t="s">
        <v>2603</v>
      </c>
      <c r="C15674" s="11" t="s">
        <v>2604</v>
      </c>
    </row>
    <row r="15675" spans="1:4" ht="12.75" customHeight="1" x14ac:dyDescent="0.2">
      <c r="B15675" s="11" t="s">
        <v>2605</v>
      </c>
      <c r="C15675" s="11" t="s">
        <v>24</v>
      </c>
    </row>
    <row r="15676" spans="1:4" ht="12.75" customHeight="1" x14ac:dyDescent="0.2">
      <c r="B15676" s="11" t="s">
        <v>2606</v>
      </c>
      <c r="C15676" s="16" t="s">
        <v>67</v>
      </c>
      <c r="D15676" s="6" t="str">
        <f>HYPERLINK("javascript:void(0)","gyémánt")</f>
        <v>gyémánt</v>
      </c>
    </row>
    <row r="15677" spans="1:4" ht="12.75" customHeight="1" x14ac:dyDescent="0.2">
      <c r="C15677" s="16" t="s">
        <v>139</v>
      </c>
      <c r="D15677" s="6" t="str">
        <f>HYPERLINK("javascript:void(0)","kincs")</f>
        <v>kincs</v>
      </c>
    </row>
    <row r="15678" spans="1:4" ht="12.75" customHeight="1" x14ac:dyDescent="0.2">
      <c r="B15678" s="2"/>
      <c r="C15678" s="15"/>
      <c r="D15678" s="2"/>
    </row>
    <row r="15679" spans="1:4" ht="12.75" customHeight="1" x14ac:dyDescent="0.2">
      <c r="B15679" s="2"/>
      <c r="C15679" s="15"/>
      <c r="D15679" s="2"/>
    </row>
    <row r="15680" spans="1:4" ht="12.75" customHeight="1" x14ac:dyDescent="0.2">
      <c r="A15680" s="13" t="s">
        <v>5094</v>
      </c>
      <c r="C15680" s="12"/>
    </row>
    <row r="15681" spans="1:4" ht="12.75" customHeight="1" x14ac:dyDescent="0.2">
      <c r="A15681" s="11"/>
      <c r="B15681" s="2"/>
      <c r="C15681" s="15"/>
      <c r="D15681" s="2"/>
    </row>
    <row r="15682" spans="1:4" ht="12.75" customHeight="1" x14ac:dyDescent="0.2">
      <c r="B15682" s="11" t="s">
        <v>0</v>
      </c>
      <c r="C15682" s="11" t="s">
        <v>883</v>
      </c>
    </row>
    <row r="15683" spans="1:4" ht="12.75" customHeight="1" x14ac:dyDescent="0.2">
      <c r="B15683" s="11" t="s">
        <v>2599</v>
      </c>
      <c r="C15683" s="11" t="s">
        <v>5095</v>
      </c>
    </row>
    <row r="15684" spans="1:4" ht="25.5" customHeight="1" x14ac:dyDescent="0.2">
      <c r="B15684" s="11" t="s">
        <v>2600</v>
      </c>
      <c r="C15684" s="11" t="s">
        <v>5096</v>
      </c>
    </row>
    <row r="15685" spans="1:4" ht="25.5" customHeight="1" x14ac:dyDescent="0.2">
      <c r="B15685" s="11" t="s">
        <v>2601</v>
      </c>
      <c r="C15685" s="11"/>
    </row>
    <row r="15686" spans="1:4" ht="12.75" customHeight="1" x14ac:dyDescent="0.2">
      <c r="B15686" s="11" t="s">
        <v>16</v>
      </c>
      <c r="C15686" s="11"/>
    </row>
    <row r="15687" spans="1:4" ht="12.75" customHeight="1" x14ac:dyDescent="0.2">
      <c r="B15687" s="11" t="s">
        <v>13</v>
      </c>
      <c r="C15687" s="11" t="s">
        <v>2644</v>
      </c>
    </row>
    <row r="15688" spans="1:4" ht="12.75" customHeight="1" x14ac:dyDescent="0.2">
      <c r="B15688" s="11" t="s">
        <v>2603</v>
      </c>
      <c r="C15688" s="11" t="s">
        <v>2604</v>
      </c>
    </row>
    <row r="15689" spans="1:4" ht="12.75" customHeight="1" x14ac:dyDescent="0.2">
      <c r="B15689" s="11" t="s">
        <v>2605</v>
      </c>
      <c r="C15689" s="11" t="s">
        <v>14</v>
      </c>
    </row>
    <row r="15690" spans="1:4" ht="12.75" customHeight="1" x14ac:dyDescent="0.2">
      <c r="B15690" s="11" t="s">
        <v>2606</v>
      </c>
      <c r="C15690" s="16" t="s">
        <v>44</v>
      </c>
      <c r="D15690" s="6" t="str">
        <f>HYPERLINK("javascript:void(0)","porszőr")</f>
        <v>porszőr</v>
      </c>
    </row>
    <row r="15691" spans="1:4" ht="12.75" customHeight="1" x14ac:dyDescent="0.2">
      <c r="C15691" s="16" t="s">
        <v>296</v>
      </c>
      <c r="D15691" s="6" t="str">
        <f>HYPERLINK("javascript:void(0)","kincs")</f>
        <v>kincs</v>
      </c>
    </row>
    <row r="15692" spans="1:4" ht="12.75" customHeight="1" x14ac:dyDescent="0.2">
      <c r="B15692" s="2"/>
      <c r="C15692" s="15"/>
      <c r="D15692" s="2"/>
    </row>
    <row r="15693" spans="1:4" ht="12.75" customHeight="1" x14ac:dyDescent="0.2">
      <c r="B15693" s="2"/>
      <c r="C15693" s="15"/>
      <c r="D15693" s="2"/>
    </row>
    <row r="15694" spans="1:4" ht="12.75" customHeight="1" x14ac:dyDescent="0.2">
      <c r="A15694" s="13" t="s">
        <v>5097</v>
      </c>
      <c r="C15694" s="12"/>
    </row>
    <row r="15695" spans="1:4" ht="12.75" customHeight="1" x14ac:dyDescent="0.2">
      <c r="A15695" s="11"/>
      <c r="B15695" s="2"/>
      <c r="C15695" s="15"/>
      <c r="D15695" s="2"/>
    </row>
    <row r="15696" spans="1:4" ht="12.75" customHeight="1" x14ac:dyDescent="0.2">
      <c r="B15696" s="11" t="s">
        <v>0</v>
      </c>
      <c r="C15696" s="11" t="s">
        <v>883</v>
      </c>
    </row>
    <row r="15697" spans="1:4" ht="12.75" customHeight="1" x14ac:dyDescent="0.2">
      <c r="B15697" s="11" t="s">
        <v>2599</v>
      </c>
      <c r="C15697" s="11" t="s">
        <v>5098</v>
      </c>
    </row>
    <row r="15698" spans="1:4" ht="25.5" customHeight="1" x14ac:dyDescent="0.2">
      <c r="B15698" s="11" t="s">
        <v>2600</v>
      </c>
      <c r="C15698" s="11" t="s">
        <v>5099</v>
      </c>
    </row>
    <row r="15699" spans="1:4" ht="25.5" customHeight="1" x14ac:dyDescent="0.2">
      <c r="B15699" s="11" t="s">
        <v>2601</v>
      </c>
      <c r="C15699" s="11"/>
    </row>
    <row r="15700" spans="1:4" ht="12.75" customHeight="1" x14ac:dyDescent="0.2">
      <c r="B15700" s="11" t="s">
        <v>16</v>
      </c>
      <c r="C15700" s="11"/>
    </row>
    <row r="15701" spans="1:4" ht="12.75" customHeight="1" x14ac:dyDescent="0.2">
      <c r="B15701" s="11" t="s">
        <v>13</v>
      </c>
      <c r="C15701" s="11" t="s">
        <v>2602</v>
      </c>
    </row>
    <row r="15702" spans="1:4" ht="12.75" customHeight="1" x14ac:dyDescent="0.2">
      <c r="B15702" s="11" t="s">
        <v>2603</v>
      </c>
      <c r="C15702" s="11" t="s">
        <v>2604</v>
      </c>
    </row>
    <row r="15703" spans="1:4" ht="12.75" customHeight="1" x14ac:dyDescent="0.2">
      <c r="B15703" s="11" t="s">
        <v>2605</v>
      </c>
      <c r="C15703" s="11" t="s">
        <v>24</v>
      </c>
    </row>
    <row r="15704" spans="1:4" ht="12.75" customHeight="1" x14ac:dyDescent="0.2">
      <c r="B15704" s="11" t="s">
        <v>2606</v>
      </c>
      <c r="C15704" s="16" t="s">
        <v>44</v>
      </c>
      <c r="D15704" s="6" t="str">
        <f>HYPERLINK("javascript:void(0)","háló")</f>
        <v>háló</v>
      </c>
    </row>
    <row r="15705" spans="1:4" ht="12.75" customHeight="1" x14ac:dyDescent="0.2">
      <c r="C15705" s="16" t="s">
        <v>269</v>
      </c>
      <c r="D15705" s="6" t="str">
        <f>HYPERLINK("javascript:void(0)","kincs")</f>
        <v>kincs</v>
      </c>
    </row>
    <row r="15706" spans="1:4" ht="12.75" customHeight="1" x14ac:dyDescent="0.2">
      <c r="B15706" s="2"/>
      <c r="C15706" s="15"/>
      <c r="D15706" s="2"/>
    </row>
    <row r="15707" spans="1:4" ht="12.75" customHeight="1" x14ac:dyDescent="0.2">
      <c r="B15707" s="2"/>
      <c r="C15707" s="15"/>
      <c r="D15707" s="2"/>
    </row>
    <row r="15708" spans="1:4" ht="12.75" customHeight="1" x14ac:dyDescent="0.2">
      <c r="A15708" s="13" t="s">
        <v>5100</v>
      </c>
      <c r="C15708" s="12"/>
    </row>
    <row r="15709" spans="1:4" ht="12.75" customHeight="1" x14ac:dyDescent="0.2">
      <c r="A15709" s="11"/>
      <c r="B15709" s="2"/>
      <c r="C15709" s="15"/>
      <c r="D15709" s="2"/>
    </row>
    <row r="15710" spans="1:4" ht="12.75" customHeight="1" x14ac:dyDescent="0.2">
      <c r="B15710" s="11" t="s">
        <v>0</v>
      </c>
      <c r="C15710" s="11" t="s">
        <v>883</v>
      </c>
    </row>
    <row r="15711" spans="1:4" ht="12.75" customHeight="1" x14ac:dyDescent="0.2">
      <c r="B15711" s="11" t="s">
        <v>2599</v>
      </c>
      <c r="C15711" s="11" t="s">
        <v>3131</v>
      </c>
    </row>
    <row r="15712" spans="1:4" ht="25.5" customHeight="1" x14ac:dyDescent="0.2">
      <c r="B15712" s="11" t="s">
        <v>2600</v>
      </c>
      <c r="C15712" s="11" t="s">
        <v>5101</v>
      </c>
    </row>
    <row r="15713" spans="1:4" ht="25.5" customHeight="1" x14ac:dyDescent="0.2">
      <c r="B15713" s="11" t="s">
        <v>2601</v>
      </c>
      <c r="C15713" s="11"/>
    </row>
    <row r="15714" spans="1:4" ht="12.75" customHeight="1" x14ac:dyDescent="0.2">
      <c r="B15714" s="11" t="s">
        <v>16</v>
      </c>
      <c r="C15714" s="11"/>
    </row>
    <row r="15715" spans="1:4" ht="12.75" customHeight="1" x14ac:dyDescent="0.2">
      <c r="B15715" s="11" t="s">
        <v>13</v>
      </c>
      <c r="C15715" s="11" t="s">
        <v>2602</v>
      </c>
    </row>
    <row r="15716" spans="1:4" ht="12.75" customHeight="1" x14ac:dyDescent="0.2">
      <c r="B15716" s="11" t="s">
        <v>2603</v>
      </c>
      <c r="C15716" s="11" t="s">
        <v>2604</v>
      </c>
    </row>
    <row r="15717" spans="1:4" ht="12.75" customHeight="1" x14ac:dyDescent="0.2">
      <c r="B15717" s="11" t="s">
        <v>2605</v>
      </c>
      <c r="C15717" s="11" t="s">
        <v>24</v>
      </c>
    </row>
    <row r="15718" spans="1:4" ht="25.5" customHeight="1" x14ac:dyDescent="0.2">
      <c r="B15718" s="11" t="s">
        <v>2606</v>
      </c>
      <c r="C15718" s="16" t="s">
        <v>44</v>
      </c>
      <c r="D15718" s="6" t="str">
        <f>HYPERLINK("javascript:void(0)","démonamulett")</f>
        <v>démonamulett</v>
      </c>
    </row>
    <row r="15719" spans="1:4" ht="12.75" customHeight="1" x14ac:dyDescent="0.2">
      <c r="C15719" s="16" t="s">
        <v>780</v>
      </c>
      <c r="D15719" s="6" t="str">
        <f>HYPERLINK("javascript:void(0)","kincs")</f>
        <v>kincs</v>
      </c>
    </row>
    <row r="15720" spans="1:4" ht="12.75" customHeight="1" x14ac:dyDescent="0.2">
      <c r="B15720" s="2"/>
      <c r="C15720" s="15"/>
      <c r="D15720" s="2"/>
    </row>
    <row r="15721" spans="1:4" ht="12.75" customHeight="1" x14ac:dyDescent="0.2">
      <c r="B15721" s="2"/>
      <c r="C15721" s="15"/>
      <c r="D15721" s="2"/>
    </row>
    <row r="15722" spans="1:4" ht="12.75" customHeight="1" x14ac:dyDescent="0.2">
      <c r="A15722" s="13" t="s">
        <v>5102</v>
      </c>
      <c r="C15722" s="12"/>
      <c r="D15722" s="2"/>
    </row>
    <row r="15723" spans="1:4" ht="12.75" customHeight="1" x14ac:dyDescent="0.2">
      <c r="A15723" s="11"/>
      <c r="B15723" s="2"/>
      <c r="C15723" s="15"/>
      <c r="D15723" s="2"/>
    </row>
    <row r="15724" spans="1:4" ht="12.75" customHeight="1" x14ac:dyDescent="0.2">
      <c r="B15724" s="11" t="s">
        <v>0</v>
      </c>
      <c r="C15724" s="17" t="s">
        <v>896</v>
      </c>
      <c r="D15724" s="2"/>
    </row>
    <row r="15725" spans="1:4" ht="12.75" customHeight="1" x14ac:dyDescent="0.2">
      <c r="B15725" s="11" t="s">
        <v>2599</v>
      </c>
      <c r="C15725" s="17" t="s">
        <v>5103</v>
      </c>
      <c r="D15725" s="2"/>
    </row>
    <row r="15726" spans="1:4" ht="25.5" customHeight="1" x14ac:dyDescent="0.2">
      <c r="B15726" s="11" t="s">
        <v>2600</v>
      </c>
      <c r="C15726" s="17" t="s">
        <v>5104</v>
      </c>
      <c r="D15726" s="2"/>
    </row>
    <row r="15727" spans="1:4" ht="25.5" customHeight="1" x14ac:dyDescent="0.2">
      <c r="B15727" s="11" t="s">
        <v>2601</v>
      </c>
      <c r="C15727" s="17"/>
      <c r="D15727" s="2"/>
    </row>
    <row r="15728" spans="1:4" ht="12.75" customHeight="1" x14ac:dyDescent="0.2">
      <c r="B15728" s="11" t="s">
        <v>16</v>
      </c>
      <c r="C15728" s="17"/>
      <c r="D15728" s="2"/>
    </row>
    <row r="15729" spans="1:4" ht="12.75" customHeight="1" x14ac:dyDescent="0.2">
      <c r="B15729" s="11" t="s">
        <v>13</v>
      </c>
      <c r="C15729" s="17" t="s">
        <v>2644</v>
      </c>
      <c r="D15729" s="2"/>
    </row>
    <row r="15730" spans="1:4" ht="25.5" customHeight="1" x14ac:dyDescent="0.2">
      <c r="B15730" s="11" t="s">
        <v>2603</v>
      </c>
      <c r="C15730" s="17" t="s">
        <v>2971</v>
      </c>
      <c r="D15730" s="2"/>
    </row>
    <row r="15731" spans="1:4" ht="12.75" customHeight="1" x14ac:dyDescent="0.2">
      <c r="B15731" s="11" t="s">
        <v>2605</v>
      </c>
      <c r="C15731" s="17" t="s">
        <v>14</v>
      </c>
      <c r="D15731" s="2"/>
    </row>
    <row r="15732" spans="1:4" ht="12.75" customHeight="1" x14ac:dyDescent="0.2">
      <c r="B15732" s="11" t="s">
        <v>2606</v>
      </c>
      <c r="C15732" s="16" t="s">
        <v>19</v>
      </c>
      <c r="D15732" s="2"/>
    </row>
    <row r="15733" spans="1:4" ht="12.75" customHeight="1" x14ac:dyDescent="0.2">
      <c r="B15733" s="2"/>
      <c r="C15733" s="15"/>
      <c r="D15733" s="2"/>
    </row>
    <row r="15734" spans="1:4" ht="12.75" customHeight="1" x14ac:dyDescent="0.2">
      <c r="B15734" s="2"/>
      <c r="C15734" s="15"/>
      <c r="D15734" s="2"/>
    </row>
    <row r="15735" spans="1:4" ht="12.75" customHeight="1" x14ac:dyDescent="0.2">
      <c r="A15735" s="13" t="s">
        <v>5105</v>
      </c>
      <c r="C15735" s="12"/>
      <c r="D15735" s="2"/>
    </row>
    <row r="15736" spans="1:4" ht="12.75" customHeight="1" x14ac:dyDescent="0.2">
      <c r="A15736" s="11"/>
      <c r="B15736" s="2"/>
      <c r="C15736" s="15"/>
      <c r="D15736" s="2"/>
    </row>
    <row r="15737" spans="1:4" ht="12.75" customHeight="1" x14ac:dyDescent="0.2">
      <c r="B15737" s="11" t="s">
        <v>0</v>
      </c>
      <c r="C15737" s="17" t="s">
        <v>896</v>
      </c>
      <c r="D15737" s="2"/>
    </row>
    <row r="15738" spans="1:4" ht="12.75" customHeight="1" x14ac:dyDescent="0.2">
      <c r="B15738" s="11" t="s">
        <v>2599</v>
      </c>
      <c r="C15738" s="17" t="s">
        <v>5106</v>
      </c>
      <c r="D15738" s="2"/>
    </row>
    <row r="15739" spans="1:4" ht="25.5" customHeight="1" x14ac:dyDescent="0.2">
      <c r="B15739" s="11" t="s">
        <v>2600</v>
      </c>
      <c r="C15739" s="17" t="s">
        <v>5107</v>
      </c>
      <c r="D15739" s="2"/>
    </row>
    <row r="15740" spans="1:4" ht="25.5" customHeight="1" x14ac:dyDescent="0.2">
      <c r="B15740" s="11" t="s">
        <v>2601</v>
      </c>
      <c r="C15740" s="17"/>
      <c r="D15740" s="2"/>
    </row>
    <row r="15741" spans="1:4" ht="12.75" customHeight="1" x14ac:dyDescent="0.2">
      <c r="B15741" s="11" t="s">
        <v>16</v>
      </c>
      <c r="C15741" s="17"/>
      <c r="D15741" s="2"/>
    </row>
    <row r="15742" spans="1:4" ht="12.75" customHeight="1" x14ac:dyDescent="0.2">
      <c r="B15742" s="11" t="s">
        <v>13</v>
      </c>
      <c r="C15742" s="17" t="s">
        <v>2602</v>
      </c>
      <c r="D15742" s="2"/>
    </row>
    <row r="15743" spans="1:4" ht="25.5" customHeight="1" x14ac:dyDescent="0.2">
      <c r="B15743" s="11" t="s">
        <v>2603</v>
      </c>
      <c r="C15743" s="17" t="s">
        <v>2971</v>
      </c>
      <c r="D15743" s="2"/>
    </row>
    <row r="15744" spans="1:4" ht="12.75" customHeight="1" x14ac:dyDescent="0.2">
      <c r="B15744" s="11" t="s">
        <v>2605</v>
      </c>
      <c r="C15744" s="17" t="s">
        <v>14</v>
      </c>
      <c r="D15744" s="2"/>
    </row>
    <row r="15745" spans="1:4" ht="12.75" customHeight="1" x14ac:dyDescent="0.2">
      <c r="B15745" s="11" t="s">
        <v>2606</v>
      </c>
      <c r="C15745" s="16" t="s">
        <v>19</v>
      </c>
      <c r="D15745" s="2"/>
    </row>
    <row r="15746" spans="1:4" ht="12.75" customHeight="1" x14ac:dyDescent="0.2">
      <c r="B15746" s="2"/>
      <c r="C15746" s="15"/>
      <c r="D15746" s="2"/>
    </row>
    <row r="15747" spans="1:4" ht="12.75" customHeight="1" x14ac:dyDescent="0.2">
      <c r="B15747" s="2"/>
      <c r="C15747" s="15"/>
      <c r="D15747" s="2"/>
    </row>
    <row r="15748" spans="1:4" ht="12.75" customHeight="1" x14ac:dyDescent="0.2">
      <c r="A15748" s="13" t="s">
        <v>5108</v>
      </c>
      <c r="C15748" s="12"/>
      <c r="D15748" s="2"/>
    </row>
    <row r="15749" spans="1:4" ht="12.75" customHeight="1" x14ac:dyDescent="0.2">
      <c r="A15749" s="11"/>
      <c r="B15749" s="2"/>
      <c r="C15749" s="15"/>
      <c r="D15749" s="2"/>
    </row>
    <row r="15750" spans="1:4" ht="12.75" customHeight="1" x14ac:dyDescent="0.2">
      <c r="B15750" s="11" t="s">
        <v>0</v>
      </c>
      <c r="C15750" s="17" t="s">
        <v>896</v>
      </c>
      <c r="D15750" s="2"/>
    </row>
    <row r="15751" spans="1:4" ht="12.75" customHeight="1" x14ac:dyDescent="0.2">
      <c r="B15751" s="11" t="s">
        <v>2599</v>
      </c>
      <c r="C15751" s="17" t="s">
        <v>5109</v>
      </c>
      <c r="D15751" s="2"/>
    </row>
    <row r="15752" spans="1:4" ht="25.5" customHeight="1" x14ac:dyDescent="0.2">
      <c r="B15752" s="11" t="s">
        <v>2600</v>
      </c>
      <c r="C15752" s="17" t="s">
        <v>5110</v>
      </c>
      <c r="D15752" s="2"/>
    </row>
    <row r="15753" spans="1:4" ht="25.5" customHeight="1" x14ac:dyDescent="0.2">
      <c r="B15753" s="11" t="s">
        <v>2601</v>
      </c>
      <c r="C15753" s="17"/>
      <c r="D15753" s="2"/>
    </row>
    <row r="15754" spans="1:4" ht="12.75" customHeight="1" x14ac:dyDescent="0.2">
      <c r="B15754" s="11" t="s">
        <v>16</v>
      </c>
      <c r="C15754" s="17"/>
      <c r="D15754" s="2"/>
    </row>
    <row r="15755" spans="1:4" ht="12.75" customHeight="1" x14ac:dyDescent="0.2">
      <c r="B15755" s="11" t="s">
        <v>13</v>
      </c>
      <c r="C15755" s="17" t="s">
        <v>2644</v>
      </c>
      <c r="D15755" s="2"/>
    </row>
    <row r="15756" spans="1:4" ht="25.5" customHeight="1" x14ac:dyDescent="0.2">
      <c r="B15756" s="11" t="s">
        <v>2603</v>
      </c>
      <c r="C15756" s="17" t="s">
        <v>2971</v>
      </c>
      <c r="D15756" s="2"/>
    </row>
    <row r="15757" spans="1:4" ht="12.75" customHeight="1" x14ac:dyDescent="0.2">
      <c r="B15757" s="11" t="s">
        <v>2605</v>
      </c>
      <c r="C15757" s="17" t="s">
        <v>14</v>
      </c>
      <c r="D15757" s="2"/>
    </row>
    <row r="15758" spans="1:4" ht="12.75" customHeight="1" x14ac:dyDescent="0.2">
      <c r="B15758" s="11" t="s">
        <v>2606</v>
      </c>
      <c r="C15758" s="16" t="s">
        <v>19</v>
      </c>
      <c r="D15758" s="2"/>
    </row>
    <row r="15759" spans="1:4" ht="12.75" customHeight="1" x14ac:dyDescent="0.2">
      <c r="B15759" s="2"/>
      <c r="C15759" s="15"/>
      <c r="D15759" s="2"/>
    </row>
    <row r="15760" spans="1:4" ht="12.75" customHeight="1" x14ac:dyDescent="0.2">
      <c r="B15760" s="2"/>
      <c r="C15760" s="15"/>
      <c r="D15760" s="2"/>
    </row>
    <row r="15761" spans="1:4" ht="12.75" customHeight="1" x14ac:dyDescent="0.2">
      <c r="A15761" s="13" t="s">
        <v>5111</v>
      </c>
      <c r="C15761" s="12"/>
    </row>
    <row r="15762" spans="1:4" ht="12.75" customHeight="1" x14ac:dyDescent="0.2">
      <c r="A15762" s="11"/>
      <c r="B15762" s="2"/>
      <c r="C15762" s="15"/>
      <c r="D15762" s="2"/>
    </row>
    <row r="15763" spans="1:4" ht="12.75" customHeight="1" x14ac:dyDescent="0.2">
      <c r="B15763" s="11" t="s">
        <v>0</v>
      </c>
      <c r="C15763" s="11" t="s">
        <v>896</v>
      </c>
    </row>
    <row r="15764" spans="1:4" ht="12.75" customHeight="1" x14ac:dyDescent="0.2">
      <c r="B15764" s="11" t="s">
        <v>2599</v>
      </c>
      <c r="C15764" s="11" t="s">
        <v>5112</v>
      </c>
    </row>
    <row r="15765" spans="1:4" ht="25.5" customHeight="1" x14ac:dyDescent="0.2">
      <c r="B15765" s="11" t="s">
        <v>2600</v>
      </c>
      <c r="C15765" s="11" t="s">
        <v>5113</v>
      </c>
    </row>
    <row r="15766" spans="1:4" ht="25.5" customHeight="1" x14ac:dyDescent="0.2">
      <c r="B15766" s="11" t="s">
        <v>2601</v>
      </c>
      <c r="C15766" s="11"/>
    </row>
    <row r="15767" spans="1:4" ht="12.75" customHeight="1" x14ac:dyDescent="0.2">
      <c r="B15767" s="11" t="s">
        <v>16</v>
      </c>
      <c r="C15767" s="11"/>
    </row>
    <row r="15768" spans="1:4" ht="12.75" customHeight="1" x14ac:dyDescent="0.2">
      <c r="B15768" s="11" t="s">
        <v>13</v>
      </c>
      <c r="C15768" s="11" t="s">
        <v>2644</v>
      </c>
    </row>
    <row r="15769" spans="1:4" ht="12.75" customHeight="1" x14ac:dyDescent="0.2">
      <c r="B15769" s="11" t="s">
        <v>2603</v>
      </c>
      <c r="C15769" s="11" t="s">
        <v>2604</v>
      </c>
    </row>
    <row r="15770" spans="1:4" ht="12.75" customHeight="1" x14ac:dyDescent="0.2">
      <c r="B15770" s="11" t="s">
        <v>2605</v>
      </c>
      <c r="C15770" s="11" t="s">
        <v>14</v>
      </c>
    </row>
    <row r="15771" spans="1:4" ht="12.75" customHeight="1" x14ac:dyDescent="0.2">
      <c r="B15771" s="11" t="s">
        <v>2606</v>
      </c>
      <c r="C15771" s="16" t="s">
        <v>3611</v>
      </c>
      <c r="D15771" s="6" t="str">
        <f>HYPERLINK("javascript:void(0)","kincs")</f>
        <v>kincs</v>
      </c>
    </row>
    <row r="15772" spans="1:4" ht="12.75" customHeight="1" x14ac:dyDescent="0.2">
      <c r="B15772" s="2"/>
      <c r="C15772" s="15"/>
      <c r="D15772" s="2"/>
    </row>
    <row r="15773" spans="1:4" ht="12.75" customHeight="1" x14ac:dyDescent="0.2">
      <c r="B15773" s="2"/>
      <c r="C15773" s="15"/>
      <c r="D15773" s="2"/>
    </row>
    <row r="15774" spans="1:4" ht="12.75" customHeight="1" x14ac:dyDescent="0.2">
      <c r="A15774" s="13" t="s">
        <v>5114</v>
      </c>
      <c r="C15774" s="12"/>
    </row>
    <row r="15775" spans="1:4" ht="12.75" customHeight="1" x14ac:dyDescent="0.2">
      <c r="A15775" s="11"/>
      <c r="B15775" s="2"/>
      <c r="C15775" s="15"/>
      <c r="D15775" s="2"/>
    </row>
    <row r="15776" spans="1:4" ht="12.75" customHeight="1" x14ac:dyDescent="0.2">
      <c r="B15776" s="11" t="s">
        <v>0</v>
      </c>
      <c r="C15776" s="11" t="s">
        <v>896</v>
      </c>
    </row>
    <row r="15777" spans="1:4" ht="12.75" customHeight="1" x14ac:dyDescent="0.2">
      <c r="B15777" s="11" t="s">
        <v>2599</v>
      </c>
      <c r="C15777" s="11" t="s">
        <v>5115</v>
      </c>
    </row>
    <row r="15778" spans="1:4" ht="25.5" customHeight="1" x14ac:dyDescent="0.2">
      <c r="B15778" s="11" t="s">
        <v>2600</v>
      </c>
      <c r="C15778" s="11" t="s">
        <v>5116</v>
      </c>
    </row>
    <row r="15779" spans="1:4" ht="25.5" customHeight="1" x14ac:dyDescent="0.2">
      <c r="B15779" s="11" t="s">
        <v>2601</v>
      </c>
      <c r="C15779" s="11"/>
    </row>
    <row r="15780" spans="1:4" ht="12.75" customHeight="1" x14ac:dyDescent="0.2">
      <c r="B15780" s="11" t="s">
        <v>16</v>
      </c>
      <c r="C15780" s="11"/>
    </row>
    <row r="15781" spans="1:4" ht="12.75" customHeight="1" x14ac:dyDescent="0.2">
      <c r="B15781" s="11" t="s">
        <v>13</v>
      </c>
      <c r="C15781" s="11" t="s">
        <v>2602</v>
      </c>
    </row>
    <row r="15782" spans="1:4" ht="12.75" customHeight="1" x14ac:dyDescent="0.2">
      <c r="B15782" s="11" t="s">
        <v>2603</v>
      </c>
      <c r="C15782" s="11" t="s">
        <v>2604</v>
      </c>
    </row>
    <row r="15783" spans="1:4" ht="12.75" customHeight="1" x14ac:dyDescent="0.2">
      <c r="B15783" s="11" t="s">
        <v>2605</v>
      </c>
      <c r="C15783" s="11" t="s">
        <v>14</v>
      </c>
    </row>
    <row r="15784" spans="1:4" ht="12.75" customHeight="1" x14ac:dyDescent="0.2">
      <c r="B15784" s="11" t="s">
        <v>2606</v>
      </c>
      <c r="C15784" s="16" t="s">
        <v>316</v>
      </c>
      <c r="D15784" s="6" t="str">
        <f>HYPERLINK("javascript:void(0)","kincs")</f>
        <v>kincs</v>
      </c>
    </row>
    <row r="15785" spans="1:4" ht="12.75" customHeight="1" x14ac:dyDescent="0.2">
      <c r="C15785" s="16" t="s">
        <v>44</v>
      </c>
      <c r="D15785" s="6" t="str">
        <f>HYPERLINK("javascript:void(0)","vasrög")</f>
        <v>vasrög</v>
      </c>
    </row>
    <row r="15786" spans="1:4" ht="12.75" customHeight="1" x14ac:dyDescent="0.2">
      <c r="B15786" s="2"/>
      <c r="C15786" s="15"/>
      <c r="D15786" s="2"/>
    </row>
    <row r="15787" spans="1:4" ht="12.75" customHeight="1" x14ac:dyDescent="0.2">
      <c r="B15787" s="2"/>
      <c r="C15787" s="15"/>
      <c r="D15787" s="2"/>
    </row>
    <row r="15788" spans="1:4" ht="12.75" customHeight="1" x14ac:dyDescent="0.2">
      <c r="A15788" s="13" t="s">
        <v>5117</v>
      </c>
      <c r="C15788" s="12"/>
    </row>
    <row r="15789" spans="1:4" ht="12.75" customHeight="1" x14ac:dyDescent="0.2">
      <c r="A15789" s="11"/>
      <c r="B15789" s="2"/>
      <c r="C15789" s="15"/>
      <c r="D15789" s="2"/>
    </row>
    <row r="15790" spans="1:4" ht="12.75" customHeight="1" x14ac:dyDescent="0.2">
      <c r="B15790" s="11" t="s">
        <v>0</v>
      </c>
      <c r="C15790" s="11" t="s">
        <v>896</v>
      </c>
    </row>
    <row r="15791" spans="1:4" ht="12.75" customHeight="1" x14ac:dyDescent="0.2">
      <c r="B15791" s="11" t="s">
        <v>2599</v>
      </c>
      <c r="C15791" s="11" t="s">
        <v>5118</v>
      </c>
    </row>
    <row r="15792" spans="1:4" ht="25.5" customHeight="1" x14ac:dyDescent="0.2">
      <c r="B15792" s="11" t="s">
        <v>2600</v>
      </c>
      <c r="C15792" s="11" t="s">
        <v>5119</v>
      </c>
    </row>
    <row r="15793" spans="1:4" ht="25.5" customHeight="1" x14ac:dyDescent="0.2">
      <c r="B15793" s="11" t="s">
        <v>2601</v>
      </c>
      <c r="C15793" s="11"/>
    </row>
    <row r="15794" spans="1:4" ht="12.75" customHeight="1" x14ac:dyDescent="0.2">
      <c r="B15794" s="11" t="s">
        <v>16</v>
      </c>
      <c r="C15794" s="11"/>
    </row>
    <row r="15795" spans="1:4" ht="12.75" customHeight="1" x14ac:dyDescent="0.2">
      <c r="B15795" s="11" t="s">
        <v>13</v>
      </c>
      <c r="C15795" s="11" t="s">
        <v>2602</v>
      </c>
    </row>
    <row r="15796" spans="1:4" ht="12.75" customHeight="1" x14ac:dyDescent="0.2">
      <c r="B15796" s="11" t="s">
        <v>2603</v>
      </c>
      <c r="C15796" s="11" t="s">
        <v>2604</v>
      </c>
    </row>
    <row r="15797" spans="1:4" ht="12.75" customHeight="1" x14ac:dyDescent="0.2">
      <c r="B15797" s="11" t="s">
        <v>2605</v>
      </c>
      <c r="C15797" s="11" t="s">
        <v>24</v>
      </c>
    </row>
    <row r="15798" spans="1:4" ht="12.75" customHeight="1" x14ac:dyDescent="0.2">
      <c r="B15798" s="11" t="s">
        <v>2606</v>
      </c>
      <c r="C15798" s="16" t="s">
        <v>55</v>
      </c>
      <c r="D15798" s="6" t="str">
        <f>HYPERLINK("javascript:void(0)","vitorla")</f>
        <v>vitorla</v>
      </c>
    </row>
    <row r="15799" spans="1:4" ht="12.75" customHeight="1" x14ac:dyDescent="0.2">
      <c r="C15799" s="16" t="s">
        <v>117</v>
      </c>
      <c r="D15799" s="6" t="str">
        <f>HYPERLINK("javascript:void(0)","kincs")</f>
        <v>kincs</v>
      </c>
    </row>
    <row r="15800" spans="1:4" ht="12.75" customHeight="1" x14ac:dyDescent="0.2">
      <c r="B15800" s="2"/>
      <c r="C15800" s="15"/>
      <c r="D15800" s="2"/>
    </row>
    <row r="15801" spans="1:4" ht="12.75" customHeight="1" x14ac:dyDescent="0.2">
      <c r="B15801" s="2"/>
      <c r="C15801" s="15"/>
      <c r="D15801" s="2"/>
    </row>
    <row r="15802" spans="1:4" ht="12.75" customHeight="1" x14ac:dyDescent="0.2">
      <c r="A15802" s="13" t="s">
        <v>5120</v>
      </c>
      <c r="C15802" s="12"/>
    </row>
    <row r="15803" spans="1:4" ht="12.75" customHeight="1" x14ac:dyDescent="0.2">
      <c r="A15803" s="11"/>
      <c r="B15803" s="2"/>
      <c r="C15803" s="15"/>
      <c r="D15803" s="2"/>
    </row>
    <row r="15804" spans="1:4" ht="12.75" customHeight="1" x14ac:dyDescent="0.2">
      <c r="B15804" s="11" t="s">
        <v>0</v>
      </c>
      <c r="C15804" s="11" t="s">
        <v>896</v>
      </c>
    </row>
    <row r="15805" spans="1:4" ht="12.75" customHeight="1" x14ac:dyDescent="0.2">
      <c r="B15805" s="11" t="s">
        <v>2599</v>
      </c>
      <c r="C15805" s="11" t="s">
        <v>5121</v>
      </c>
    </row>
    <row r="15806" spans="1:4" ht="25.5" customHeight="1" x14ac:dyDescent="0.2">
      <c r="B15806" s="11" t="s">
        <v>2600</v>
      </c>
      <c r="C15806" s="11" t="s">
        <v>5122</v>
      </c>
    </row>
    <row r="15807" spans="1:4" ht="25.5" customHeight="1" x14ac:dyDescent="0.2">
      <c r="B15807" s="11" t="s">
        <v>2601</v>
      </c>
      <c r="C15807" s="11"/>
    </row>
    <row r="15808" spans="1:4" ht="12.75" customHeight="1" x14ac:dyDescent="0.2">
      <c r="B15808" s="11" t="s">
        <v>16</v>
      </c>
      <c r="C15808" s="11"/>
    </row>
    <row r="15809" spans="1:4" ht="12.75" customHeight="1" x14ac:dyDescent="0.2">
      <c r="B15809" s="11" t="s">
        <v>13</v>
      </c>
      <c r="C15809" s="11" t="s">
        <v>2644</v>
      </c>
    </row>
    <row r="15810" spans="1:4" ht="12.75" customHeight="1" x14ac:dyDescent="0.2">
      <c r="B15810" s="11" t="s">
        <v>2603</v>
      </c>
      <c r="C15810" s="11" t="s">
        <v>2604</v>
      </c>
    </row>
    <row r="15811" spans="1:4" ht="12.75" customHeight="1" x14ac:dyDescent="0.2">
      <c r="B15811" s="11" t="s">
        <v>2605</v>
      </c>
      <c r="C15811" s="11" t="s">
        <v>14</v>
      </c>
    </row>
    <row r="15812" spans="1:4" ht="12.75" customHeight="1" x14ac:dyDescent="0.2">
      <c r="B15812" s="11" t="s">
        <v>2606</v>
      </c>
      <c r="C15812" s="16" t="s">
        <v>44</v>
      </c>
      <c r="D15812" s="6" t="str">
        <f>HYPERLINK("javascript:void(0)","iránytű")</f>
        <v>iránytű</v>
      </c>
    </row>
    <row r="15813" spans="1:4" ht="12.75" customHeight="1" x14ac:dyDescent="0.2">
      <c r="C15813" s="16" t="s">
        <v>244</v>
      </c>
      <c r="D15813" s="6" t="str">
        <f>HYPERLINK("javascript:void(0)","kincs")</f>
        <v>kincs</v>
      </c>
    </row>
    <row r="15814" spans="1:4" ht="12.75" customHeight="1" x14ac:dyDescent="0.2">
      <c r="C15814" s="16" t="s">
        <v>56</v>
      </c>
      <c r="D15814" s="6" t="str">
        <f>HYPERLINK("javascript:void(0)","madártoll")</f>
        <v>madártoll</v>
      </c>
    </row>
    <row r="15815" spans="1:4" ht="12.75" customHeight="1" x14ac:dyDescent="0.2">
      <c r="B15815" s="2"/>
      <c r="C15815" s="15"/>
      <c r="D15815" s="2"/>
    </row>
    <row r="15816" spans="1:4" ht="12.75" customHeight="1" x14ac:dyDescent="0.2">
      <c r="B15816" s="2"/>
      <c r="C15816" s="15"/>
      <c r="D15816" s="2"/>
    </row>
    <row r="15817" spans="1:4" ht="12.75" customHeight="1" x14ac:dyDescent="0.2">
      <c r="A15817" s="13" t="s">
        <v>5123</v>
      </c>
      <c r="C15817" s="12"/>
    </row>
    <row r="15818" spans="1:4" ht="12.75" customHeight="1" x14ac:dyDescent="0.2">
      <c r="A15818" s="11"/>
      <c r="B15818" s="2"/>
      <c r="C15818" s="15"/>
      <c r="D15818" s="2"/>
    </row>
    <row r="15819" spans="1:4" ht="12.75" customHeight="1" x14ac:dyDescent="0.2">
      <c r="B15819" s="11" t="s">
        <v>0</v>
      </c>
      <c r="C15819" s="11" t="s">
        <v>896</v>
      </c>
    </row>
    <row r="15820" spans="1:4" ht="12.75" customHeight="1" x14ac:dyDescent="0.2">
      <c r="B15820" s="11" t="s">
        <v>2599</v>
      </c>
      <c r="C15820" s="11" t="s">
        <v>5124</v>
      </c>
    </row>
    <row r="15821" spans="1:4" ht="25.5" customHeight="1" x14ac:dyDescent="0.2">
      <c r="B15821" s="11" t="s">
        <v>2600</v>
      </c>
      <c r="C15821" s="11" t="s">
        <v>5125</v>
      </c>
    </row>
    <row r="15822" spans="1:4" ht="25.5" customHeight="1" x14ac:dyDescent="0.2">
      <c r="B15822" s="11" t="s">
        <v>2601</v>
      </c>
      <c r="C15822" s="11"/>
    </row>
    <row r="15823" spans="1:4" ht="12.75" customHeight="1" x14ac:dyDescent="0.2">
      <c r="B15823" s="11" t="s">
        <v>16</v>
      </c>
      <c r="C15823" s="11"/>
    </row>
    <row r="15824" spans="1:4" ht="12.75" customHeight="1" x14ac:dyDescent="0.2">
      <c r="B15824" s="11" t="s">
        <v>13</v>
      </c>
      <c r="C15824" s="11" t="s">
        <v>2644</v>
      </c>
    </row>
    <row r="15825" spans="1:4" ht="12.75" customHeight="1" x14ac:dyDescent="0.2">
      <c r="B15825" s="11" t="s">
        <v>2603</v>
      </c>
      <c r="C15825" s="11" t="s">
        <v>2604</v>
      </c>
    </row>
    <row r="15826" spans="1:4" ht="12.75" customHeight="1" x14ac:dyDescent="0.2">
      <c r="B15826" s="11" t="s">
        <v>2605</v>
      </c>
      <c r="C15826" s="11" t="s">
        <v>24</v>
      </c>
    </row>
    <row r="15827" spans="1:4" ht="12.75" customHeight="1" x14ac:dyDescent="0.2">
      <c r="B15827" s="11" t="s">
        <v>2606</v>
      </c>
      <c r="C15827" s="16" t="s">
        <v>56</v>
      </c>
      <c r="D15827" s="6" t="str">
        <f>HYPERLINK("javascript:void(0)","rotorlapát")</f>
        <v>rotorlapát</v>
      </c>
    </row>
    <row r="15828" spans="1:4" ht="12.75" customHeight="1" x14ac:dyDescent="0.2">
      <c r="C15828" s="16" t="s">
        <v>139</v>
      </c>
      <c r="D15828" s="6" t="str">
        <f>HYPERLINK("javascript:void(0)","kincs")</f>
        <v>kincs</v>
      </c>
    </row>
    <row r="15829" spans="1:4" ht="12.75" customHeight="1" x14ac:dyDescent="0.2">
      <c r="B15829" s="2"/>
      <c r="C15829" s="15"/>
      <c r="D15829" s="2"/>
    </row>
    <row r="15830" spans="1:4" ht="12.75" customHeight="1" x14ac:dyDescent="0.2">
      <c r="B15830" s="2"/>
      <c r="C15830" s="15"/>
      <c r="D15830" s="2"/>
    </row>
    <row r="15831" spans="1:4" ht="12.75" customHeight="1" x14ac:dyDescent="0.2">
      <c r="A15831" s="13" t="s">
        <v>5126</v>
      </c>
      <c r="C15831" s="12"/>
    </row>
    <row r="15832" spans="1:4" ht="12.75" customHeight="1" x14ac:dyDescent="0.2">
      <c r="A15832" s="11"/>
      <c r="B15832" s="2"/>
      <c r="C15832" s="15"/>
      <c r="D15832" s="2"/>
    </row>
    <row r="15833" spans="1:4" ht="12.75" customHeight="1" x14ac:dyDescent="0.2">
      <c r="B15833" s="11" t="s">
        <v>0</v>
      </c>
      <c r="C15833" s="11" t="s">
        <v>896</v>
      </c>
    </row>
    <row r="15834" spans="1:4" ht="12.75" customHeight="1" x14ac:dyDescent="0.2">
      <c r="B15834" s="11" t="s">
        <v>2599</v>
      </c>
      <c r="C15834" s="11" t="s">
        <v>3287</v>
      </c>
    </row>
    <row r="15835" spans="1:4" ht="25.5" customHeight="1" x14ac:dyDescent="0.2">
      <c r="B15835" s="11" t="s">
        <v>2600</v>
      </c>
      <c r="C15835" s="11" t="s">
        <v>5127</v>
      </c>
    </row>
    <row r="15836" spans="1:4" ht="25.5" customHeight="1" x14ac:dyDescent="0.2">
      <c r="B15836" s="11" t="s">
        <v>2601</v>
      </c>
      <c r="C15836" s="11"/>
    </row>
    <row r="15837" spans="1:4" ht="12.75" customHeight="1" x14ac:dyDescent="0.2">
      <c r="B15837" s="11" t="s">
        <v>16</v>
      </c>
      <c r="C15837" s="11"/>
    </row>
    <row r="15838" spans="1:4" ht="12.75" customHeight="1" x14ac:dyDescent="0.2">
      <c r="B15838" s="11" t="s">
        <v>13</v>
      </c>
      <c r="C15838" s="11" t="s">
        <v>2644</v>
      </c>
    </row>
    <row r="15839" spans="1:4" ht="12.75" customHeight="1" x14ac:dyDescent="0.2">
      <c r="B15839" s="11" t="s">
        <v>2603</v>
      </c>
      <c r="C15839" s="11" t="s">
        <v>2604</v>
      </c>
    </row>
    <row r="15840" spans="1:4" ht="12.75" customHeight="1" x14ac:dyDescent="0.2">
      <c r="B15840" s="11" t="s">
        <v>2605</v>
      </c>
      <c r="C15840" s="11" t="s">
        <v>14</v>
      </c>
    </row>
    <row r="15841" spans="1:4" ht="12.75" customHeight="1" x14ac:dyDescent="0.2">
      <c r="B15841" s="11" t="s">
        <v>2606</v>
      </c>
      <c r="C15841" s="16" t="s">
        <v>56</v>
      </c>
      <c r="D15841" s="6" t="str">
        <f>HYPERLINK("javascript:void(0)","porszőr")</f>
        <v>porszőr</v>
      </c>
    </row>
    <row r="15842" spans="1:4" ht="12.75" customHeight="1" x14ac:dyDescent="0.2">
      <c r="C15842" s="16" t="s">
        <v>780</v>
      </c>
      <c r="D15842" s="6" t="str">
        <f>HYPERLINK("javascript:void(0)","kincs")</f>
        <v>kincs</v>
      </c>
    </row>
    <row r="15843" spans="1:4" ht="12.75" customHeight="1" x14ac:dyDescent="0.2">
      <c r="B15843" s="2"/>
      <c r="C15843" s="15"/>
      <c r="D15843" s="2"/>
    </row>
    <row r="15844" spans="1:4" ht="12.75" customHeight="1" x14ac:dyDescent="0.2">
      <c r="B15844" s="2"/>
      <c r="C15844" s="15"/>
      <c r="D15844" s="2"/>
    </row>
    <row r="15845" spans="1:4" ht="12.75" customHeight="1" x14ac:dyDescent="0.2">
      <c r="A15845" s="13" t="s">
        <v>5128</v>
      </c>
      <c r="C15845" s="12"/>
    </row>
    <row r="15846" spans="1:4" ht="12.75" customHeight="1" x14ac:dyDescent="0.2">
      <c r="A15846" s="11"/>
      <c r="B15846" s="2"/>
      <c r="C15846" s="15"/>
      <c r="D15846" s="2"/>
    </row>
    <row r="15847" spans="1:4" ht="12.75" customHeight="1" x14ac:dyDescent="0.2">
      <c r="B15847" s="11" t="s">
        <v>0</v>
      </c>
      <c r="C15847" s="11" t="s">
        <v>896</v>
      </c>
    </row>
    <row r="15848" spans="1:4" ht="12.75" customHeight="1" x14ac:dyDescent="0.2">
      <c r="B15848" s="11" t="s">
        <v>2599</v>
      </c>
      <c r="C15848" s="11" t="s">
        <v>5129</v>
      </c>
    </row>
    <row r="15849" spans="1:4" ht="25.5" customHeight="1" x14ac:dyDescent="0.2">
      <c r="B15849" s="11" t="s">
        <v>2600</v>
      </c>
      <c r="C15849" s="11" t="s">
        <v>5130</v>
      </c>
    </row>
    <row r="15850" spans="1:4" ht="25.5" customHeight="1" x14ac:dyDescent="0.2">
      <c r="B15850" s="11" t="s">
        <v>2601</v>
      </c>
      <c r="C15850" s="11"/>
    </row>
    <row r="15851" spans="1:4" ht="12.75" customHeight="1" x14ac:dyDescent="0.2">
      <c r="B15851" s="11" t="s">
        <v>16</v>
      </c>
      <c r="C15851" s="11"/>
    </row>
    <row r="15852" spans="1:4" ht="12.75" customHeight="1" x14ac:dyDescent="0.2">
      <c r="B15852" s="11" t="s">
        <v>13</v>
      </c>
      <c r="C15852" s="11" t="s">
        <v>2602</v>
      </c>
    </row>
    <row r="15853" spans="1:4" ht="12.75" customHeight="1" x14ac:dyDescent="0.2">
      <c r="B15853" s="11" t="s">
        <v>2603</v>
      </c>
      <c r="C15853" s="11" t="s">
        <v>2604</v>
      </c>
    </row>
    <row r="15854" spans="1:4" ht="12.75" customHeight="1" x14ac:dyDescent="0.2">
      <c r="B15854" s="11" t="s">
        <v>2605</v>
      </c>
      <c r="C15854" s="11" t="s">
        <v>24</v>
      </c>
    </row>
    <row r="15855" spans="1:4" ht="12.75" customHeight="1" x14ac:dyDescent="0.2">
      <c r="B15855" s="11" t="s">
        <v>2606</v>
      </c>
      <c r="C15855" s="16" t="s">
        <v>803</v>
      </c>
      <c r="D15855" s="6" t="str">
        <f>HYPERLINK("javascript:void(0)","ezüst")</f>
        <v>ezüst</v>
      </c>
    </row>
    <row r="15856" spans="1:4" ht="12.75" customHeight="1" x14ac:dyDescent="0.2">
      <c r="C15856" s="16" t="s">
        <v>269</v>
      </c>
      <c r="D15856" s="6" t="str">
        <f>HYPERLINK("javascript:void(0)","kincs")</f>
        <v>kincs</v>
      </c>
    </row>
    <row r="15857" spans="1:4" ht="12.75" customHeight="1" x14ac:dyDescent="0.2">
      <c r="B15857" s="2"/>
      <c r="C15857" s="15"/>
      <c r="D15857" s="2"/>
    </row>
    <row r="15858" spans="1:4" ht="12.75" customHeight="1" x14ac:dyDescent="0.2">
      <c r="B15858" s="2"/>
      <c r="C15858" s="15"/>
      <c r="D15858" s="2"/>
    </row>
    <row r="15859" spans="1:4" ht="12.75" customHeight="1" x14ac:dyDescent="0.2">
      <c r="A15859" s="13" t="s">
        <v>5131</v>
      </c>
      <c r="C15859" s="12"/>
    </row>
    <row r="15860" spans="1:4" ht="12.75" customHeight="1" x14ac:dyDescent="0.2">
      <c r="A15860" s="11"/>
      <c r="B15860" s="2"/>
      <c r="C15860" s="15"/>
      <c r="D15860" s="2"/>
    </row>
    <row r="15861" spans="1:4" ht="12.75" customHeight="1" x14ac:dyDescent="0.2">
      <c r="B15861" s="11" t="s">
        <v>0</v>
      </c>
      <c r="C15861" s="11" t="s">
        <v>896</v>
      </c>
    </row>
    <row r="15862" spans="1:4" ht="12.75" customHeight="1" x14ac:dyDescent="0.2">
      <c r="B15862" s="11" t="s">
        <v>2599</v>
      </c>
      <c r="C15862" s="11" t="s">
        <v>5132</v>
      </c>
    </row>
    <row r="15863" spans="1:4" ht="25.5" customHeight="1" x14ac:dyDescent="0.2">
      <c r="B15863" s="11" t="s">
        <v>2600</v>
      </c>
      <c r="C15863" s="11" t="s">
        <v>5133</v>
      </c>
    </row>
    <row r="15864" spans="1:4" ht="25.5" customHeight="1" x14ac:dyDescent="0.2">
      <c r="B15864" s="11" t="s">
        <v>2601</v>
      </c>
      <c r="C15864" s="11"/>
    </row>
    <row r="15865" spans="1:4" ht="12.75" customHeight="1" x14ac:dyDescent="0.2">
      <c r="B15865" s="11" t="s">
        <v>16</v>
      </c>
      <c r="C15865" s="11"/>
    </row>
    <row r="15866" spans="1:4" ht="12.75" customHeight="1" x14ac:dyDescent="0.2">
      <c r="B15866" s="11" t="s">
        <v>13</v>
      </c>
      <c r="C15866" s="11" t="s">
        <v>2602</v>
      </c>
    </row>
    <row r="15867" spans="1:4" ht="12.75" customHeight="1" x14ac:dyDescent="0.2">
      <c r="B15867" s="11" t="s">
        <v>2603</v>
      </c>
      <c r="C15867" s="11" t="s">
        <v>2604</v>
      </c>
    </row>
    <row r="15868" spans="1:4" ht="12.75" customHeight="1" x14ac:dyDescent="0.2">
      <c r="B15868" s="11" t="s">
        <v>2605</v>
      </c>
      <c r="C15868" s="11" t="s">
        <v>24</v>
      </c>
    </row>
    <row r="15869" spans="1:4" ht="12.75" customHeight="1" x14ac:dyDescent="0.2">
      <c r="B15869" s="11" t="s">
        <v>2606</v>
      </c>
      <c r="C15869" s="16" t="s">
        <v>44</v>
      </c>
      <c r="D15869" s="6" t="str">
        <f>HYPERLINK("javascript:void(0)","managöb")</f>
        <v>managöb</v>
      </c>
    </row>
    <row r="15870" spans="1:4" ht="12.75" customHeight="1" x14ac:dyDescent="0.2">
      <c r="C15870" s="16" t="s">
        <v>139</v>
      </c>
      <c r="D15870" s="6" t="str">
        <f>HYPERLINK("javascript:void(0)","kincs")</f>
        <v>kincs</v>
      </c>
    </row>
    <row r="15871" spans="1:4" ht="12.75" customHeight="1" x14ac:dyDescent="0.2">
      <c r="B15871" s="2"/>
      <c r="C15871" s="15"/>
      <c r="D15871" s="2"/>
    </row>
    <row r="15872" spans="1:4" ht="12.75" customHeight="1" x14ac:dyDescent="0.2">
      <c r="B15872" s="2"/>
      <c r="C15872" s="15"/>
      <c r="D15872" s="2"/>
    </row>
    <row r="15873" spans="1:4" ht="12.75" customHeight="1" x14ac:dyDescent="0.2">
      <c r="A15873" s="13" t="s">
        <v>5134</v>
      </c>
      <c r="C15873" s="12"/>
      <c r="D15873" s="2"/>
    </row>
    <row r="15874" spans="1:4" ht="12.75" customHeight="1" x14ac:dyDescent="0.2">
      <c r="A15874" s="11"/>
      <c r="B15874" s="2"/>
      <c r="C15874" s="15"/>
      <c r="D15874" s="2"/>
    </row>
    <row r="15875" spans="1:4" ht="12.75" customHeight="1" x14ac:dyDescent="0.2">
      <c r="B15875" s="11" t="s">
        <v>0</v>
      </c>
      <c r="C15875" s="17" t="s">
        <v>896</v>
      </c>
      <c r="D15875" s="2"/>
    </row>
    <row r="15876" spans="1:4" ht="12.75" customHeight="1" x14ac:dyDescent="0.2">
      <c r="B15876" s="11" t="s">
        <v>2599</v>
      </c>
      <c r="C15876" s="17" t="s">
        <v>5135</v>
      </c>
      <c r="D15876" s="2"/>
    </row>
    <row r="15877" spans="1:4" ht="25.5" customHeight="1" x14ac:dyDescent="0.2">
      <c r="B15877" s="11" t="s">
        <v>2600</v>
      </c>
      <c r="C15877" s="17" t="s">
        <v>5136</v>
      </c>
      <c r="D15877" s="2"/>
    </row>
    <row r="15878" spans="1:4" ht="25.5" customHeight="1" x14ac:dyDescent="0.2">
      <c r="B15878" s="11" t="s">
        <v>2601</v>
      </c>
      <c r="C15878" s="17"/>
      <c r="D15878" s="2"/>
    </row>
    <row r="15879" spans="1:4" ht="12.75" customHeight="1" x14ac:dyDescent="0.2">
      <c r="B15879" s="11" t="s">
        <v>16</v>
      </c>
      <c r="C15879" s="17"/>
      <c r="D15879" s="2"/>
    </row>
    <row r="15880" spans="1:4" ht="12.75" customHeight="1" x14ac:dyDescent="0.2">
      <c r="B15880" s="11" t="s">
        <v>13</v>
      </c>
      <c r="C15880" s="17" t="s">
        <v>2602</v>
      </c>
      <c r="D15880" s="2"/>
    </row>
    <row r="15881" spans="1:4" ht="25.5" customHeight="1" x14ac:dyDescent="0.2">
      <c r="B15881" s="11" t="s">
        <v>2603</v>
      </c>
      <c r="C15881" s="17" t="s">
        <v>2971</v>
      </c>
      <c r="D15881" s="2"/>
    </row>
    <row r="15882" spans="1:4" ht="12.75" customHeight="1" x14ac:dyDescent="0.2">
      <c r="B15882" s="11" t="s">
        <v>2605</v>
      </c>
      <c r="C15882" s="17" t="s">
        <v>14</v>
      </c>
      <c r="D15882" s="2"/>
    </row>
    <row r="15883" spans="1:4" ht="12.75" customHeight="1" x14ac:dyDescent="0.2">
      <c r="B15883" s="11" t="s">
        <v>2606</v>
      </c>
      <c r="C15883" s="16" t="s">
        <v>19</v>
      </c>
      <c r="D15883" s="2"/>
    </row>
    <row r="15884" spans="1:4" ht="12.75" customHeight="1" x14ac:dyDescent="0.2">
      <c r="B15884" s="2"/>
      <c r="C15884" s="15"/>
      <c r="D15884" s="2"/>
    </row>
    <row r="15885" spans="1:4" ht="12.75" customHeight="1" x14ac:dyDescent="0.2">
      <c r="B15885" s="2"/>
      <c r="C15885" s="15"/>
      <c r="D15885" s="2"/>
    </row>
    <row r="15886" spans="1:4" ht="12.75" customHeight="1" x14ac:dyDescent="0.2">
      <c r="A15886" s="13" t="s">
        <v>5102</v>
      </c>
      <c r="C15886" s="12"/>
      <c r="D15886" s="2"/>
    </row>
    <row r="15887" spans="1:4" ht="12.75" customHeight="1" x14ac:dyDescent="0.2">
      <c r="A15887" s="11"/>
      <c r="B15887" s="2"/>
      <c r="C15887" s="15"/>
      <c r="D15887" s="2"/>
    </row>
    <row r="15888" spans="1:4" ht="12.75" customHeight="1" x14ac:dyDescent="0.2">
      <c r="B15888" s="11" t="s">
        <v>0</v>
      </c>
      <c r="C15888" s="17" t="s">
        <v>905</v>
      </c>
      <c r="D15888" s="2"/>
    </row>
    <row r="15889" spans="1:4" ht="12.75" customHeight="1" x14ac:dyDescent="0.2">
      <c r="B15889" s="11" t="s">
        <v>2599</v>
      </c>
      <c r="C15889" s="17" t="s">
        <v>5103</v>
      </c>
      <c r="D15889" s="2"/>
    </row>
    <row r="15890" spans="1:4" ht="25.5" customHeight="1" x14ac:dyDescent="0.2">
      <c r="B15890" s="11" t="s">
        <v>2600</v>
      </c>
      <c r="C15890" s="17" t="s">
        <v>5137</v>
      </c>
      <c r="D15890" s="2"/>
    </row>
    <row r="15891" spans="1:4" ht="25.5" customHeight="1" x14ac:dyDescent="0.2">
      <c r="B15891" s="11" t="s">
        <v>2601</v>
      </c>
      <c r="C15891" s="17"/>
      <c r="D15891" s="2"/>
    </row>
    <row r="15892" spans="1:4" ht="12.75" customHeight="1" x14ac:dyDescent="0.2">
      <c r="B15892" s="11" t="s">
        <v>16</v>
      </c>
      <c r="C15892" s="17"/>
      <c r="D15892" s="2"/>
    </row>
    <row r="15893" spans="1:4" ht="12.75" customHeight="1" x14ac:dyDescent="0.2">
      <c r="B15893" s="11" t="s">
        <v>13</v>
      </c>
      <c r="C15893" s="17" t="s">
        <v>2644</v>
      </c>
      <c r="D15893" s="2"/>
    </row>
    <row r="15894" spans="1:4" ht="25.5" customHeight="1" x14ac:dyDescent="0.2">
      <c r="B15894" s="11" t="s">
        <v>2603</v>
      </c>
      <c r="C15894" s="17" t="s">
        <v>2971</v>
      </c>
      <c r="D15894" s="2"/>
    </row>
    <row r="15895" spans="1:4" ht="12.75" customHeight="1" x14ac:dyDescent="0.2">
      <c r="B15895" s="11" t="s">
        <v>2605</v>
      </c>
      <c r="C15895" s="17" t="s">
        <v>14</v>
      </c>
      <c r="D15895" s="2"/>
    </row>
    <row r="15896" spans="1:4" ht="12.75" customHeight="1" x14ac:dyDescent="0.2">
      <c r="B15896" s="11" t="s">
        <v>2606</v>
      </c>
      <c r="C15896" s="16" t="s">
        <v>19</v>
      </c>
      <c r="D15896" s="2"/>
    </row>
    <row r="15897" spans="1:4" ht="12.75" customHeight="1" x14ac:dyDescent="0.2">
      <c r="B15897" s="2"/>
      <c r="C15897" s="15"/>
      <c r="D15897" s="2"/>
    </row>
    <row r="15898" spans="1:4" ht="12.75" customHeight="1" x14ac:dyDescent="0.2">
      <c r="B15898" s="2"/>
      <c r="C15898" s="15"/>
      <c r="D15898" s="2"/>
    </row>
    <row r="15899" spans="1:4" ht="12.75" customHeight="1" x14ac:dyDescent="0.2">
      <c r="A15899" s="13" t="s">
        <v>5105</v>
      </c>
      <c r="C15899" s="12"/>
      <c r="D15899" s="2"/>
    </row>
    <row r="15900" spans="1:4" ht="12.75" customHeight="1" x14ac:dyDescent="0.2">
      <c r="A15900" s="11"/>
      <c r="B15900" s="2"/>
      <c r="C15900" s="15"/>
      <c r="D15900" s="2"/>
    </row>
    <row r="15901" spans="1:4" ht="12.75" customHeight="1" x14ac:dyDescent="0.2">
      <c r="B15901" s="11" t="s">
        <v>0</v>
      </c>
      <c r="C15901" s="17" t="s">
        <v>905</v>
      </c>
      <c r="D15901" s="2"/>
    </row>
    <row r="15902" spans="1:4" ht="12.75" customHeight="1" x14ac:dyDescent="0.2">
      <c r="B15902" s="11" t="s">
        <v>2599</v>
      </c>
      <c r="C15902" s="17" t="s">
        <v>5106</v>
      </c>
      <c r="D15902" s="2"/>
    </row>
    <row r="15903" spans="1:4" ht="25.5" customHeight="1" x14ac:dyDescent="0.2">
      <c r="B15903" s="11" t="s">
        <v>2600</v>
      </c>
      <c r="C15903" s="17" t="s">
        <v>5138</v>
      </c>
      <c r="D15903" s="2"/>
    </row>
    <row r="15904" spans="1:4" ht="25.5" customHeight="1" x14ac:dyDescent="0.2">
      <c r="B15904" s="11" t="s">
        <v>2601</v>
      </c>
      <c r="C15904" s="17"/>
      <c r="D15904" s="2"/>
    </row>
    <row r="15905" spans="1:4" ht="12.75" customHeight="1" x14ac:dyDescent="0.2">
      <c r="B15905" s="11" t="s">
        <v>16</v>
      </c>
      <c r="C15905" s="17"/>
      <c r="D15905" s="2"/>
    </row>
    <row r="15906" spans="1:4" ht="12.75" customHeight="1" x14ac:dyDescent="0.2">
      <c r="B15906" s="11" t="s">
        <v>13</v>
      </c>
      <c r="C15906" s="17" t="s">
        <v>2602</v>
      </c>
      <c r="D15906" s="2"/>
    </row>
    <row r="15907" spans="1:4" ht="25.5" customHeight="1" x14ac:dyDescent="0.2">
      <c r="B15907" s="11" t="s">
        <v>2603</v>
      </c>
      <c r="C15907" s="17" t="s">
        <v>2971</v>
      </c>
      <c r="D15907" s="2"/>
    </row>
    <row r="15908" spans="1:4" ht="12.75" customHeight="1" x14ac:dyDescent="0.2">
      <c r="B15908" s="11" t="s">
        <v>2605</v>
      </c>
      <c r="C15908" s="17" t="s">
        <v>14</v>
      </c>
      <c r="D15908" s="2"/>
    </row>
    <row r="15909" spans="1:4" ht="12.75" customHeight="1" x14ac:dyDescent="0.2">
      <c r="B15909" s="11" t="s">
        <v>2606</v>
      </c>
      <c r="C15909" s="16" t="s">
        <v>19</v>
      </c>
      <c r="D15909" s="2"/>
    </row>
    <row r="15910" spans="1:4" ht="12.75" customHeight="1" x14ac:dyDescent="0.2">
      <c r="B15910" s="2"/>
      <c r="C15910" s="15"/>
      <c r="D15910" s="2"/>
    </row>
    <row r="15911" spans="1:4" ht="12.75" customHeight="1" x14ac:dyDescent="0.2">
      <c r="B15911" s="2"/>
      <c r="C15911" s="15"/>
      <c r="D15911" s="2"/>
    </row>
    <row r="15912" spans="1:4" ht="12.75" customHeight="1" x14ac:dyDescent="0.2">
      <c r="A15912" s="13" t="s">
        <v>5108</v>
      </c>
      <c r="C15912" s="12"/>
      <c r="D15912" s="2"/>
    </row>
    <row r="15913" spans="1:4" ht="12.75" customHeight="1" x14ac:dyDescent="0.2">
      <c r="A15913" s="11"/>
      <c r="B15913" s="2"/>
      <c r="C15913" s="15"/>
      <c r="D15913" s="2"/>
    </row>
    <row r="15914" spans="1:4" ht="12.75" customHeight="1" x14ac:dyDescent="0.2">
      <c r="B15914" s="11" t="s">
        <v>0</v>
      </c>
      <c r="C15914" s="17" t="s">
        <v>905</v>
      </c>
      <c r="D15914" s="2"/>
    </row>
    <row r="15915" spans="1:4" ht="12.75" customHeight="1" x14ac:dyDescent="0.2">
      <c r="B15915" s="11" t="s">
        <v>2599</v>
      </c>
      <c r="C15915" s="17" t="s">
        <v>5109</v>
      </c>
      <c r="D15915" s="2"/>
    </row>
    <row r="15916" spans="1:4" ht="25.5" customHeight="1" x14ac:dyDescent="0.2">
      <c r="B15916" s="11" t="s">
        <v>2600</v>
      </c>
      <c r="C15916" s="17" t="s">
        <v>5139</v>
      </c>
      <c r="D15916" s="2"/>
    </row>
    <row r="15917" spans="1:4" ht="25.5" customHeight="1" x14ac:dyDescent="0.2">
      <c r="B15917" s="11" t="s">
        <v>2601</v>
      </c>
      <c r="C15917" s="17"/>
      <c r="D15917" s="2"/>
    </row>
    <row r="15918" spans="1:4" ht="12.75" customHeight="1" x14ac:dyDescent="0.2">
      <c r="B15918" s="11" t="s">
        <v>16</v>
      </c>
      <c r="C15918" s="17"/>
      <c r="D15918" s="2"/>
    </row>
    <row r="15919" spans="1:4" ht="12.75" customHeight="1" x14ac:dyDescent="0.2">
      <c r="B15919" s="11" t="s">
        <v>13</v>
      </c>
      <c r="C15919" s="17" t="s">
        <v>2644</v>
      </c>
      <c r="D15919" s="2"/>
    </row>
    <row r="15920" spans="1:4" ht="25.5" customHeight="1" x14ac:dyDescent="0.2">
      <c r="B15920" s="11" t="s">
        <v>2603</v>
      </c>
      <c r="C15920" s="17" t="s">
        <v>2971</v>
      </c>
      <c r="D15920" s="2"/>
    </row>
    <row r="15921" spans="1:4" ht="12.75" customHeight="1" x14ac:dyDescent="0.2">
      <c r="B15921" s="11" t="s">
        <v>2605</v>
      </c>
      <c r="C15921" s="17" t="s">
        <v>14</v>
      </c>
      <c r="D15921" s="2"/>
    </row>
    <row r="15922" spans="1:4" ht="12.75" customHeight="1" x14ac:dyDescent="0.2">
      <c r="B15922" s="11" t="s">
        <v>2606</v>
      </c>
      <c r="C15922" s="16" t="s">
        <v>19</v>
      </c>
      <c r="D15922" s="2"/>
    </row>
    <row r="15923" spans="1:4" ht="12.75" customHeight="1" x14ac:dyDescent="0.2">
      <c r="B15923" s="2"/>
      <c r="C15923" s="15"/>
      <c r="D15923" s="2"/>
    </row>
    <row r="15924" spans="1:4" ht="12.75" customHeight="1" x14ac:dyDescent="0.2">
      <c r="B15924" s="2"/>
      <c r="C15924" s="15"/>
      <c r="D15924" s="2"/>
    </row>
    <row r="15925" spans="1:4" ht="12.75" customHeight="1" x14ac:dyDescent="0.2">
      <c r="A15925" s="13" t="s">
        <v>5140</v>
      </c>
      <c r="C15925" s="12"/>
    </row>
    <row r="15926" spans="1:4" ht="12.75" customHeight="1" x14ac:dyDescent="0.2">
      <c r="A15926" s="11"/>
      <c r="B15926" s="2"/>
      <c r="C15926" s="15"/>
      <c r="D15926" s="2"/>
    </row>
    <row r="15927" spans="1:4" ht="12.75" customHeight="1" x14ac:dyDescent="0.2">
      <c r="B15927" s="11" t="s">
        <v>0</v>
      </c>
      <c r="C15927" s="11" t="s">
        <v>905</v>
      </c>
    </row>
    <row r="15928" spans="1:4" ht="12.75" customHeight="1" x14ac:dyDescent="0.2">
      <c r="B15928" s="11" t="s">
        <v>2599</v>
      </c>
      <c r="C15928" s="11" t="s">
        <v>5141</v>
      </c>
    </row>
    <row r="15929" spans="1:4" ht="25.5" customHeight="1" x14ac:dyDescent="0.2">
      <c r="B15929" s="11" t="s">
        <v>2600</v>
      </c>
      <c r="C15929" s="11" t="s">
        <v>5142</v>
      </c>
    </row>
    <row r="15930" spans="1:4" ht="25.5" customHeight="1" x14ac:dyDescent="0.2">
      <c r="B15930" s="11" t="s">
        <v>2601</v>
      </c>
      <c r="C15930" s="11"/>
    </row>
    <row r="15931" spans="1:4" ht="12.75" customHeight="1" x14ac:dyDescent="0.2">
      <c r="B15931" s="11" t="s">
        <v>16</v>
      </c>
      <c r="C15931" s="11"/>
    </row>
    <row r="15932" spans="1:4" ht="12.75" customHeight="1" x14ac:dyDescent="0.2">
      <c r="B15932" s="11" t="s">
        <v>13</v>
      </c>
      <c r="C15932" s="11" t="s">
        <v>2644</v>
      </c>
    </row>
    <row r="15933" spans="1:4" ht="12.75" customHeight="1" x14ac:dyDescent="0.2">
      <c r="B15933" s="11" t="s">
        <v>2603</v>
      </c>
      <c r="C15933" s="11" t="s">
        <v>2604</v>
      </c>
    </row>
    <row r="15934" spans="1:4" ht="12.75" customHeight="1" x14ac:dyDescent="0.2">
      <c r="B15934" s="11" t="s">
        <v>2605</v>
      </c>
      <c r="C15934" s="11" t="s">
        <v>24</v>
      </c>
    </row>
    <row r="15935" spans="1:4" ht="12.75" customHeight="1" x14ac:dyDescent="0.2">
      <c r="B15935" s="11" t="s">
        <v>2606</v>
      </c>
      <c r="C15935" s="16" t="s">
        <v>950</v>
      </c>
      <c r="D15935" s="6" t="str">
        <f>HYPERLINK("javascript:void(0)","kincs")</f>
        <v>kincs</v>
      </c>
    </row>
    <row r="15936" spans="1:4" ht="12.75" customHeight="1" x14ac:dyDescent="0.2">
      <c r="B15936" s="2"/>
      <c r="C15936" s="15"/>
      <c r="D15936" s="2"/>
    </row>
    <row r="15937" spans="1:4" ht="12.75" customHeight="1" x14ac:dyDescent="0.2">
      <c r="B15937" s="2"/>
      <c r="C15937" s="15"/>
      <c r="D15937" s="2"/>
    </row>
    <row r="15938" spans="1:4" ht="12.75" customHeight="1" x14ac:dyDescent="0.2">
      <c r="A15938" s="13" t="s">
        <v>5143</v>
      </c>
      <c r="C15938" s="12"/>
    </row>
    <row r="15939" spans="1:4" ht="12.75" customHeight="1" x14ac:dyDescent="0.2">
      <c r="A15939" s="11"/>
      <c r="B15939" s="2"/>
      <c r="C15939" s="15"/>
      <c r="D15939" s="2"/>
    </row>
    <row r="15940" spans="1:4" ht="12.75" customHeight="1" x14ac:dyDescent="0.2">
      <c r="B15940" s="11" t="s">
        <v>0</v>
      </c>
      <c r="C15940" s="11" t="s">
        <v>905</v>
      </c>
    </row>
    <row r="15941" spans="1:4" ht="12.75" customHeight="1" x14ac:dyDescent="0.2">
      <c r="B15941" s="11" t="s">
        <v>2599</v>
      </c>
      <c r="C15941" s="11" t="s">
        <v>5144</v>
      </c>
    </row>
    <row r="15942" spans="1:4" ht="25.5" customHeight="1" x14ac:dyDescent="0.2">
      <c r="B15942" s="11" t="s">
        <v>2600</v>
      </c>
      <c r="C15942" s="11" t="s">
        <v>5145</v>
      </c>
    </row>
    <row r="15943" spans="1:4" ht="25.5" customHeight="1" x14ac:dyDescent="0.2">
      <c r="B15943" s="11" t="s">
        <v>2601</v>
      </c>
      <c r="C15943" s="11"/>
    </row>
    <row r="15944" spans="1:4" ht="12.75" customHeight="1" x14ac:dyDescent="0.2">
      <c r="B15944" s="11" t="s">
        <v>16</v>
      </c>
      <c r="C15944" s="11"/>
    </row>
    <row r="15945" spans="1:4" ht="12.75" customHeight="1" x14ac:dyDescent="0.2">
      <c r="B15945" s="11" t="s">
        <v>13</v>
      </c>
      <c r="C15945" s="11" t="s">
        <v>2602</v>
      </c>
    </row>
    <row r="15946" spans="1:4" ht="12.75" customHeight="1" x14ac:dyDescent="0.2">
      <c r="B15946" s="11" t="s">
        <v>2603</v>
      </c>
      <c r="C15946" s="11" t="s">
        <v>2604</v>
      </c>
    </row>
    <row r="15947" spans="1:4" ht="12.75" customHeight="1" x14ac:dyDescent="0.2">
      <c r="B15947" s="11" t="s">
        <v>2605</v>
      </c>
      <c r="C15947" s="11" t="s">
        <v>24</v>
      </c>
    </row>
    <row r="15948" spans="1:4" ht="12.75" customHeight="1" x14ac:dyDescent="0.2">
      <c r="B15948" s="11" t="s">
        <v>2606</v>
      </c>
      <c r="C15948" s="16" t="s">
        <v>296</v>
      </c>
      <c r="D15948" s="6" t="str">
        <f>HYPERLINK("javascript:void(0)","kincs")</f>
        <v>kincs</v>
      </c>
    </row>
    <row r="15949" spans="1:4" ht="25.5" customHeight="1" x14ac:dyDescent="0.2">
      <c r="C15949" s="16" t="s">
        <v>44</v>
      </c>
      <c r="D15949" s="6" t="str">
        <f>HYPERLINK("javascript:void(0)","démonzanza")</f>
        <v>démonzanza</v>
      </c>
    </row>
    <row r="15950" spans="1:4" ht="12.75" customHeight="1" x14ac:dyDescent="0.2">
      <c r="B15950" s="2"/>
      <c r="C15950" s="15"/>
      <c r="D15950" s="2"/>
    </row>
    <row r="15951" spans="1:4" ht="12.75" customHeight="1" x14ac:dyDescent="0.2">
      <c r="B15951" s="2"/>
      <c r="C15951" s="15"/>
      <c r="D15951" s="2"/>
    </row>
    <row r="15952" spans="1:4" ht="12.75" customHeight="1" x14ac:dyDescent="0.2">
      <c r="A15952" s="13" t="s">
        <v>5147</v>
      </c>
      <c r="C15952" s="12"/>
    </row>
    <row r="15953" spans="1:4" ht="12.75" customHeight="1" x14ac:dyDescent="0.2">
      <c r="A15953" s="11"/>
      <c r="B15953" s="2"/>
      <c r="C15953" s="15"/>
      <c r="D15953" s="2"/>
    </row>
    <row r="15954" spans="1:4" ht="12.75" customHeight="1" x14ac:dyDescent="0.2">
      <c r="B15954" s="11" t="s">
        <v>0</v>
      </c>
      <c r="C15954" s="11" t="s">
        <v>905</v>
      </c>
    </row>
    <row r="15955" spans="1:4" ht="12.75" customHeight="1" x14ac:dyDescent="0.2">
      <c r="B15955" s="11" t="s">
        <v>2599</v>
      </c>
      <c r="C15955" s="11" t="s">
        <v>5148</v>
      </c>
    </row>
    <row r="15956" spans="1:4" ht="25.5" customHeight="1" x14ac:dyDescent="0.2">
      <c r="B15956" s="11" t="s">
        <v>2600</v>
      </c>
      <c r="C15956" s="11" t="s">
        <v>5149</v>
      </c>
    </row>
    <row r="15957" spans="1:4" ht="25.5" customHeight="1" x14ac:dyDescent="0.2">
      <c r="B15957" s="11" t="s">
        <v>2601</v>
      </c>
      <c r="C15957" s="11"/>
    </row>
    <row r="15958" spans="1:4" ht="12.75" customHeight="1" x14ac:dyDescent="0.2">
      <c r="B15958" s="11" t="s">
        <v>16</v>
      </c>
      <c r="C15958" s="11"/>
    </row>
    <row r="15959" spans="1:4" ht="12.75" customHeight="1" x14ac:dyDescent="0.2">
      <c r="B15959" s="11" t="s">
        <v>13</v>
      </c>
      <c r="C15959" s="11" t="s">
        <v>2602</v>
      </c>
    </row>
    <row r="15960" spans="1:4" ht="12.75" customHeight="1" x14ac:dyDescent="0.2">
      <c r="B15960" s="11" t="s">
        <v>2603</v>
      </c>
      <c r="C15960" s="11" t="s">
        <v>2604</v>
      </c>
    </row>
    <row r="15961" spans="1:4" ht="12.75" customHeight="1" x14ac:dyDescent="0.2">
      <c r="B15961" s="11" t="s">
        <v>2605</v>
      </c>
      <c r="C15961" s="11" t="s">
        <v>14</v>
      </c>
    </row>
    <row r="15962" spans="1:4" ht="12.75" customHeight="1" x14ac:dyDescent="0.2">
      <c r="B15962" s="11" t="s">
        <v>2606</v>
      </c>
      <c r="C15962" s="16" t="s">
        <v>56</v>
      </c>
      <c r="D15962" s="6" t="str">
        <f>HYPERLINK("javascript:void(0)","ejtőernyő")</f>
        <v>ejtőernyő</v>
      </c>
    </row>
    <row r="15963" spans="1:4" ht="12.75" customHeight="1" x14ac:dyDescent="0.2">
      <c r="C15963" s="16" t="s">
        <v>106</v>
      </c>
      <c r="D15963" s="6" t="str">
        <f>HYPERLINK("javascript:void(0)","goblinbatka")</f>
        <v>goblinbatka</v>
      </c>
    </row>
    <row r="15964" spans="1:4" ht="12.75" customHeight="1" x14ac:dyDescent="0.2">
      <c r="B15964" s="2"/>
      <c r="C15964" s="15"/>
      <c r="D15964" s="2"/>
    </row>
    <row r="15965" spans="1:4" ht="12.75" customHeight="1" x14ac:dyDescent="0.2">
      <c r="B15965" s="2"/>
      <c r="C15965" s="15"/>
      <c r="D15965" s="2"/>
    </row>
    <row r="15966" spans="1:4" ht="12.75" customHeight="1" x14ac:dyDescent="0.2">
      <c r="A15966" s="13" t="s">
        <v>5150</v>
      </c>
      <c r="C15966" s="12"/>
    </row>
    <row r="15967" spans="1:4" ht="12.75" customHeight="1" x14ac:dyDescent="0.2">
      <c r="A15967" s="11"/>
      <c r="B15967" s="2"/>
      <c r="C15967" s="15"/>
      <c r="D15967" s="2"/>
    </row>
    <row r="15968" spans="1:4" ht="12.75" customHeight="1" x14ac:dyDescent="0.2">
      <c r="B15968" s="11" t="s">
        <v>0</v>
      </c>
      <c r="C15968" s="11" t="s">
        <v>905</v>
      </c>
    </row>
    <row r="15969" spans="1:4" ht="12.75" customHeight="1" x14ac:dyDescent="0.2">
      <c r="B15969" s="11" t="s">
        <v>2599</v>
      </c>
      <c r="C15969" s="11" t="s">
        <v>617</v>
      </c>
    </row>
    <row r="15970" spans="1:4" ht="25.5" customHeight="1" x14ac:dyDescent="0.2">
      <c r="B15970" s="11" t="s">
        <v>2600</v>
      </c>
      <c r="C15970" s="11" t="s">
        <v>5151</v>
      </c>
    </row>
    <row r="15971" spans="1:4" ht="25.5" customHeight="1" x14ac:dyDescent="0.2">
      <c r="B15971" s="11" t="s">
        <v>2601</v>
      </c>
      <c r="C15971" s="11"/>
    </row>
    <row r="15972" spans="1:4" ht="12.75" customHeight="1" x14ac:dyDescent="0.2">
      <c r="B15972" s="11" t="s">
        <v>16</v>
      </c>
      <c r="C15972" s="11"/>
    </row>
    <row r="15973" spans="1:4" ht="12.75" customHeight="1" x14ac:dyDescent="0.2">
      <c r="B15973" s="11" t="s">
        <v>13</v>
      </c>
      <c r="C15973" s="11" t="s">
        <v>2644</v>
      </c>
    </row>
    <row r="15974" spans="1:4" ht="12.75" customHeight="1" x14ac:dyDescent="0.2">
      <c r="B15974" s="11" t="s">
        <v>2603</v>
      </c>
      <c r="C15974" s="11" t="s">
        <v>2604</v>
      </c>
    </row>
    <row r="15975" spans="1:4" ht="12.75" customHeight="1" x14ac:dyDescent="0.2">
      <c r="B15975" s="11" t="s">
        <v>2605</v>
      </c>
      <c r="C15975" s="11" t="s">
        <v>14</v>
      </c>
    </row>
    <row r="15976" spans="1:4" ht="25.5" customHeight="1" x14ac:dyDescent="0.2">
      <c r="B15976" s="11" t="s">
        <v>2606</v>
      </c>
      <c r="C15976" s="16" t="s">
        <v>44</v>
      </c>
      <c r="D15976" s="6" t="str">
        <f>HYPERLINK("javascript:void(0)","gyíkacél dorong")</f>
        <v>gyíkacél dorong</v>
      </c>
    </row>
    <row r="15977" spans="1:4" ht="12.75" customHeight="1" x14ac:dyDescent="0.2">
      <c r="C15977" s="16" t="s">
        <v>780</v>
      </c>
      <c r="D15977" s="6" t="str">
        <f>HYPERLINK("javascript:void(0)","kincs")</f>
        <v>kincs</v>
      </c>
    </row>
    <row r="15978" spans="1:4" ht="12.75" customHeight="1" x14ac:dyDescent="0.2">
      <c r="B15978" s="2"/>
      <c r="C15978" s="15"/>
      <c r="D15978" s="2"/>
    </row>
    <row r="15979" spans="1:4" ht="12.75" customHeight="1" x14ac:dyDescent="0.2">
      <c r="B15979" s="2"/>
      <c r="C15979" s="15"/>
      <c r="D15979" s="2"/>
    </row>
    <row r="15980" spans="1:4" ht="12.75" customHeight="1" x14ac:dyDescent="0.2">
      <c r="A15980" s="13" t="s">
        <v>5152</v>
      </c>
      <c r="C15980" s="12"/>
    </row>
    <row r="15981" spans="1:4" ht="12.75" customHeight="1" x14ac:dyDescent="0.2">
      <c r="A15981" s="11"/>
      <c r="B15981" s="2"/>
      <c r="C15981" s="15"/>
      <c r="D15981" s="2"/>
    </row>
    <row r="15982" spans="1:4" ht="12.75" customHeight="1" x14ac:dyDescent="0.2">
      <c r="B15982" s="11" t="s">
        <v>0</v>
      </c>
      <c r="C15982" s="11" t="s">
        <v>905</v>
      </c>
    </row>
    <row r="15983" spans="1:4" ht="12.75" customHeight="1" x14ac:dyDescent="0.2">
      <c r="B15983" s="11" t="s">
        <v>2599</v>
      </c>
      <c r="C15983" s="11" t="s">
        <v>499</v>
      </c>
    </row>
    <row r="15984" spans="1:4" ht="25.5" customHeight="1" x14ac:dyDescent="0.2">
      <c r="B15984" s="11" t="s">
        <v>2600</v>
      </c>
      <c r="C15984" s="11" t="s">
        <v>5153</v>
      </c>
    </row>
    <row r="15985" spans="1:4" ht="25.5" customHeight="1" x14ac:dyDescent="0.2">
      <c r="B15985" s="11" t="s">
        <v>2601</v>
      </c>
      <c r="C15985" s="11"/>
    </row>
    <row r="15986" spans="1:4" ht="12.75" customHeight="1" x14ac:dyDescent="0.2">
      <c r="B15986" s="11" t="s">
        <v>16</v>
      </c>
      <c r="C15986" s="11"/>
    </row>
    <row r="15987" spans="1:4" ht="12.75" customHeight="1" x14ac:dyDescent="0.2">
      <c r="B15987" s="11" t="s">
        <v>13</v>
      </c>
      <c r="C15987" s="11" t="s">
        <v>2644</v>
      </c>
    </row>
    <row r="15988" spans="1:4" ht="12.75" customHeight="1" x14ac:dyDescent="0.2">
      <c r="B15988" s="11" t="s">
        <v>2603</v>
      </c>
      <c r="C15988" s="11" t="s">
        <v>2604</v>
      </c>
    </row>
    <row r="15989" spans="1:4" ht="12.75" customHeight="1" x14ac:dyDescent="0.2">
      <c r="B15989" s="11" t="s">
        <v>2605</v>
      </c>
      <c r="C15989" s="11" t="s">
        <v>24</v>
      </c>
    </row>
    <row r="15990" spans="1:4" ht="12.75" customHeight="1" x14ac:dyDescent="0.2">
      <c r="B15990" s="11" t="s">
        <v>2606</v>
      </c>
      <c r="C15990" s="16" t="s">
        <v>56</v>
      </c>
      <c r="D15990" s="6" t="str">
        <f>HYPERLINK("javascript:void(0)","dobófejsze")</f>
        <v>dobófejsze</v>
      </c>
    </row>
    <row r="15991" spans="1:4" ht="12.75" customHeight="1" x14ac:dyDescent="0.2">
      <c r="C15991" s="16" t="s">
        <v>309</v>
      </c>
      <c r="D15991" s="6" t="str">
        <f>HYPERLINK("javascript:void(0)","kincs")</f>
        <v>kincs</v>
      </c>
    </row>
    <row r="15992" spans="1:4" ht="12.75" customHeight="1" x14ac:dyDescent="0.2">
      <c r="B15992" s="2"/>
      <c r="C15992" s="15"/>
      <c r="D15992" s="2"/>
    </row>
    <row r="15993" spans="1:4" ht="12.75" customHeight="1" x14ac:dyDescent="0.2">
      <c r="B15993" s="2"/>
      <c r="C15993" s="15"/>
      <c r="D15993" s="2"/>
    </row>
    <row r="15994" spans="1:4" ht="12.75" customHeight="1" x14ac:dyDescent="0.2">
      <c r="A15994" s="13" t="s">
        <v>5154</v>
      </c>
      <c r="C15994" s="12"/>
    </row>
    <row r="15995" spans="1:4" ht="12.75" customHeight="1" x14ac:dyDescent="0.2">
      <c r="A15995" s="11"/>
      <c r="B15995" s="2"/>
      <c r="C15995" s="15"/>
      <c r="D15995" s="2"/>
    </row>
    <row r="15996" spans="1:4" ht="12.75" customHeight="1" x14ac:dyDescent="0.2">
      <c r="B15996" s="11" t="s">
        <v>0</v>
      </c>
      <c r="C15996" s="11" t="s">
        <v>905</v>
      </c>
    </row>
    <row r="15997" spans="1:4" ht="12.75" customHeight="1" x14ac:dyDescent="0.2">
      <c r="B15997" s="11" t="s">
        <v>2599</v>
      </c>
      <c r="C15997" s="11" t="s">
        <v>491</v>
      </c>
    </row>
    <row r="15998" spans="1:4" ht="25.5" customHeight="1" x14ac:dyDescent="0.2">
      <c r="B15998" s="11" t="s">
        <v>2600</v>
      </c>
      <c r="C15998" s="11" t="s">
        <v>5155</v>
      </c>
    </row>
    <row r="15999" spans="1:4" ht="25.5" customHeight="1" x14ac:dyDescent="0.2">
      <c r="B15999" s="11" t="s">
        <v>2601</v>
      </c>
      <c r="C15999" s="11"/>
    </row>
    <row r="16000" spans="1:4" ht="12.75" customHeight="1" x14ac:dyDescent="0.2">
      <c r="B16000" s="11" t="s">
        <v>16</v>
      </c>
      <c r="C16000" s="11"/>
    </row>
    <row r="16001" spans="1:4" ht="12.75" customHeight="1" x14ac:dyDescent="0.2">
      <c r="B16001" s="11" t="s">
        <v>13</v>
      </c>
      <c r="C16001" s="11" t="s">
        <v>2602</v>
      </c>
    </row>
    <row r="16002" spans="1:4" ht="12.75" customHeight="1" x14ac:dyDescent="0.2">
      <c r="B16002" s="11" t="s">
        <v>2603</v>
      </c>
      <c r="C16002" s="11" t="s">
        <v>2604</v>
      </c>
    </row>
    <row r="16003" spans="1:4" ht="12.75" customHeight="1" x14ac:dyDescent="0.2">
      <c r="B16003" s="11" t="s">
        <v>2605</v>
      </c>
      <c r="C16003" s="11" t="s">
        <v>14</v>
      </c>
    </row>
    <row r="16004" spans="1:4" ht="12.75" customHeight="1" x14ac:dyDescent="0.2">
      <c r="B16004" s="11" t="s">
        <v>2606</v>
      </c>
      <c r="C16004" s="16" t="s">
        <v>44</v>
      </c>
      <c r="D16004" s="6" t="str">
        <f>HYPERLINK("javascript:void(0)","göb")</f>
        <v>göb</v>
      </c>
    </row>
    <row r="16005" spans="1:4" ht="12.75" customHeight="1" x14ac:dyDescent="0.2">
      <c r="C16005" s="16" t="s">
        <v>780</v>
      </c>
      <c r="D16005" s="6" t="str">
        <f>HYPERLINK("javascript:void(0)","kincs")</f>
        <v>kincs</v>
      </c>
    </row>
    <row r="16006" spans="1:4" ht="12.75" customHeight="1" x14ac:dyDescent="0.2">
      <c r="B16006" s="2"/>
      <c r="C16006" s="15"/>
      <c r="D16006" s="2"/>
    </row>
    <row r="16007" spans="1:4" ht="12.75" customHeight="1" x14ac:dyDescent="0.2">
      <c r="B16007" s="2"/>
      <c r="C16007" s="15"/>
      <c r="D16007" s="2"/>
    </row>
    <row r="16008" spans="1:4" ht="12.75" customHeight="1" x14ac:dyDescent="0.2">
      <c r="A16008" s="13" t="s">
        <v>5156</v>
      </c>
      <c r="C16008" s="12"/>
    </row>
    <row r="16009" spans="1:4" ht="12.75" customHeight="1" x14ac:dyDescent="0.2">
      <c r="A16009" s="11"/>
      <c r="B16009" s="2"/>
      <c r="C16009" s="15"/>
      <c r="D16009" s="2"/>
    </row>
    <row r="16010" spans="1:4" ht="12.75" customHeight="1" x14ac:dyDescent="0.2">
      <c r="B16010" s="11" t="s">
        <v>0</v>
      </c>
      <c r="C16010" s="11" t="s">
        <v>905</v>
      </c>
    </row>
    <row r="16011" spans="1:4" ht="12.75" customHeight="1" x14ac:dyDescent="0.2">
      <c r="B16011" s="11" t="s">
        <v>2599</v>
      </c>
      <c r="C16011" s="11" t="s">
        <v>5157</v>
      </c>
    </row>
    <row r="16012" spans="1:4" ht="25.5" customHeight="1" x14ac:dyDescent="0.2">
      <c r="B16012" s="11" t="s">
        <v>2600</v>
      </c>
      <c r="C16012" s="11" t="s">
        <v>5158</v>
      </c>
    </row>
    <row r="16013" spans="1:4" ht="25.5" customHeight="1" x14ac:dyDescent="0.2">
      <c r="B16013" s="11" t="s">
        <v>2601</v>
      </c>
      <c r="C16013" s="11"/>
    </row>
    <row r="16014" spans="1:4" ht="12.75" customHeight="1" x14ac:dyDescent="0.2">
      <c r="B16014" s="11" t="s">
        <v>16</v>
      </c>
      <c r="C16014" s="11"/>
    </row>
    <row r="16015" spans="1:4" ht="12.75" customHeight="1" x14ac:dyDescent="0.2">
      <c r="B16015" s="11" t="s">
        <v>13</v>
      </c>
      <c r="C16015" s="11" t="s">
        <v>2602</v>
      </c>
    </row>
    <row r="16016" spans="1:4" ht="12.75" customHeight="1" x14ac:dyDescent="0.2">
      <c r="B16016" s="11" t="s">
        <v>2603</v>
      </c>
      <c r="C16016" s="11" t="s">
        <v>2604</v>
      </c>
    </row>
    <row r="16017" spans="1:4" ht="12.75" customHeight="1" x14ac:dyDescent="0.2">
      <c r="B16017" s="11" t="s">
        <v>2605</v>
      </c>
      <c r="C16017" s="11" t="s">
        <v>14</v>
      </c>
    </row>
    <row r="16018" spans="1:4" ht="25.5" customHeight="1" x14ac:dyDescent="0.2">
      <c r="B16018" s="11" t="s">
        <v>2606</v>
      </c>
      <c r="C16018" s="16" t="s">
        <v>67</v>
      </c>
      <c r="D16018" s="6" t="str">
        <f>HYPERLINK("javascript:void(0)","varázsszálka")</f>
        <v>varázsszálka</v>
      </c>
    </row>
    <row r="16019" spans="1:4" ht="12.75" customHeight="1" x14ac:dyDescent="0.2">
      <c r="C16019" s="16" t="s">
        <v>240</v>
      </c>
      <c r="D16019" s="6" t="str">
        <f>HYPERLINK("javascript:void(0)","kincs")</f>
        <v>kincs</v>
      </c>
    </row>
    <row r="16020" spans="1:4" ht="12.75" customHeight="1" x14ac:dyDescent="0.2">
      <c r="B16020" s="2"/>
      <c r="C16020" s="15"/>
      <c r="D16020" s="2"/>
    </row>
    <row r="16021" spans="1:4" ht="12.75" customHeight="1" x14ac:dyDescent="0.2">
      <c r="B16021" s="2"/>
      <c r="C16021" s="15"/>
      <c r="D16021" s="2"/>
    </row>
    <row r="16022" spans="1:4" ht="12.75" customHeight="1" x14ac:dyDescent="0.2">
      <c r="A16022" s="13" t="s">
        <v>5159</v>
      </c>
      <c r="C16022" s="12"/>
    </row>
    <row r="16023" spans="1:4" ht="12.75" customHeight="1" x14ac:dyDescent="0.2">
      <c r="A16023" s="11"/>
      <c r="B16023" s="2"/>
      <c r="C16023" s="15"/>
      <c r="D16023" s="2"/>
    </row>
    <row r="16024" spans="1:4" ht="12.75" customHeight="1" x14ac:dyDescent="0.2">
      <c r="B16024" s="11" t="s">
        <v>0</v>
      </c>
      <c r="C16024" s="11" t="s">
        <v>905</v>
      </c>
    </row>
    <row r="16025" spans="1:4" ht="12.75" customHeight="1" x14ac:dyDescent="0.2">
      <c r="B16025" s="11" t="s">
        <v>2599</v>
      </c>
      <c r="C16025" s="11" t="s">
        <v>3147</v>
      </c>
    </row>
    <row r="16026" spans="1:4" ht="25.5" customHeight="1" x14ac:dyDescent="0.2">
      <c r="B16026" s="11" t="s">
        <v>2600</v>
      </c>
      <c r="C16026" s="11" t="s">
        <v>5160</v>
      </c>
    </row>
    <row r="16027" spans="1:4" ht="25.5" customHeight="1" x14ac:dyDescent="0.2">
      <c r="B16027" s="11" t="s">
        <v>2601</v>
      </c>
      <c r="C16027" s="11"/>
    </row>
    <row r="16028" spans="1:4" ht="12.75" customHeight="1" x14ac:dyDescent="0.2">
      <c r="B16028" s="11" t="s">
        <v>16</v>
      </c>
      <c r="C16028" s="11"/>
    </row>
    <row r="16029" spans="1:4" ht="12.75" customHeight="1" x14ac:dyDescent="0.2">
      <c r="B16029" s="11" t="s">
        <v>13</v>
      </c>
      <c r="C16029" s="11" t="s">
        <v>2644</v>
      </c>
    </row>
    <row r="16030" spans="1:4" ht="12.75" customHeight="1" x14ac:dyDescent="0.2">
      <c r="B16030" s="11" t="s">
        <v>2603</v>
      </c>
      <c r="C16030" s="11" t="s">
        <v>2604</v>
      </c>
    </row>
    <row r="16031" spans="1:4" ht="12.75" customHeight="1" x14ac:dyDescent="0.2">
      <c r="B16031" s="11" t="s">
        <v>2605</v>
      </c>
      <c r="C16031" s="11" t="s">
        <v>24</v>
      </c>
    </row>
    <row r="16032" spans="1:4" ht="25.5" customHeight="1" x14ac:dyDescent="0.2">
      <c r="B16032" s="11" t="s">
        <v>2606</v>
      </c>
      <c r="C16032" s="16" t="s">
        <v>44</v>
      </c>
      <c r="D16032" s="6" t="str">
        <f>HYPERLINK("javascript:void(0)","agyagszárny")</f>
        <v>agyagszárny</v>
      </c>
    </row>
    <row r="16033" spans="1:4" ht="12.75" customHeight="1" x14ac:dyDescent="0.2">
      <c r="C16033" s="16" t="s">
        <v>240</v>
      </c>
      <c r="D16033" s="6" t="str">
        <f>HYPERLINK("javascript:void(0)","kincs")</f>
        <v>kincs</v>
      </c>
    </row>
    <row r="16034" spans="1:4" ht="12.75" customHeight="1" x14ac:dyDescent="0.2">
      <c r="B16034" s="2"/>
      <c r="C16034" s="15"/>
      <c r="D16034" s="2"/>
    </row>
    <row r="16035" spans="1:4" ht="12.75" customHeight="1" x14ac:dyDescent="0.2">
      <c r="B16035" s="2"/>
      <c r="C16035" s="15"/>
      <c r="D16035" s="2"/>
    </row>
    <row r="16036" spans="1:4" ht="12.75" customHeight="1" x14ac:dyDescent="0.2">
      <c r="A16036" s="13" t="s">
        <v>5134</v>
      </c>
      <c r="C16036" s="12"/>
      <c r="D16036" s="2"/>
    </row>
    <row r="16037" spans="1:4" ht="12.75" customHeight="1" x14ac:dyDescent="0.2">
      <c r="A16037" s="11"/>
      <c r="B16037" s="2"/>
      <c r="C16037" s="15"/>
      <c r="D16037" s="2"/>
    </row>
    <row r="16038" spans="1:4" ht="12.75" customHeight="1" x14ac:dyDescent="0.2">
      <c r="B16038" s="11" t="s">
        <v>0</v>
      </c>
      <c r="C16038" s="17" t="s">
        <v>905</v>
      </c>
      <c r="D16038" s="2"/>
    </row>
    <row r="16039" spans="1:4" ht="12.75" customHeight="1" x14ac:dyDescent="0.2">
      <c r="B16039" s="11" t="s">
        <v>2599</v>
      </c>
      <c r="C16039" s="17" t="s">
        <v>5135</v>
      </c>
      <c r="D16039" s="2"/>
    </row>
    <row r="16040" spans="1:4" ht="25.5" customHeight="1" x14ac:dyDescent="0.2">
      <c r="B16040" s="11" t="s">
        <v>2600</v>
      </c>
      <c r="C16040" s="17" t="s">
        <v>5162</v>
      </c>
      <c r="D16040" s="2"/>
    </row>
    <row r="16041" spans="1:4" ht="25.5" customHeight="1" x14ac:dyDescent="0.2">
      <c r="B16041" s="11" t="s">
        <v>2601</v>
      </c>
      <c r="C16041" s="17"/>
      <c r="D16041" s="2"/>
    </row>
    <row r="16042" spans="1:4" ht="12.75" customHeight="1" x14ac:dyDescent="0.2">
      <c r="B16042" s="11" t="s">
        <v>16</v>
      </c>
      <c r="C16042" s="17"/>
      <c r="D16042" s="2"/>
    </row>
    <row r="16043" spans="1:4" ht="12.75" customHeight="1" x14ac:dyDescent="0.2">
      <c r="B16043" s="11" t="s">
        <v>13</v>
      </c>
      <c r="C16043" s="17" t="s">
        <v>2602</v>
      </c>
      <c r="D16043" s="2"/>
    </row>
    <row r="16044" spans="1:4" ht="25.5" customHeight="1" x14ac:dyDescent="0.2">
      <c r="B16044" s="11" t="s">
        <v>2603</v>
      </c>
      <c r="C16044" s="17" t="s">
        <v>2971</v>
      </c>
      <c r="D16044" s="2"/>
    </row>
    <row r="16045" spans="1:4" ht="12.75" customHeight="1" x14ac:dyDescent="0.2">
      <c r="B16045" s="11" t="s">
        <v>2605</v>
      </c>
      <c r="C16045" s="17" t="s">
        <v>14</v>
      </c>
      <c r="D16045" s="2"/>
    </row>
    <row r="16046" spans="1:4" ht="12.75" customHeight="1" x14ac:dyDescent="0.2">
      <c r="B16046" s="11" t="s">
        <v>2606</v>
      </c>
      <c r="C16046" s="16" t="s">
        <v>19</v>
      </c>
      <c r="D16046" s="2"/>
    </row>
    <row r="16047" spans="1:4" ht="12.75" customHeight="1" x14ac:dyDescent="0.2">
      <c r="B16047" s="2"/>
      <c r="C16047" s="15"/>
      <c r="D16047" s="2"/>
    </row>
    <row r="16048" spans="1:4" ht="12.75" customHeight="1" x14ac:dyDescent="0.2">
      <c r="B16048" s="2"/>
      <c r="C16048" s="15"/>
      <c r="D16048" s="2"/>
    </row>
    <row r="16049" spans="1:4" ht="12.75" customHeight="1" x14ac:dyDescent="0.2">
      <c r="A16049" s="13" t="s">
        <v>5102</v>
      </c>
      <c r="C16049" s="12"/>
      <c r="D16049" s="2"/>
    </row>
    <row r="16050" spans="1:4" ht="12.75" customHeight="1" x14ac:dyDescent="0.2">
      <c r="A16050" s="11"/>
      <c r="B16050" s="2"/>
      <c r="C16050" s="15"/>
      <c r="D16050" s="2"/>
    </row>
    <row r="16051" spans="1:4" ht="12.75" customHeight="1" x14ac:dyDescent="0.2">
      <c r="B16051" s="11" t="s">
        <v>0</v>
      </c>
      <c r="C16051" s="17" t="s">
        <v>319</v>
      </c>
      <c r="D16051" s="2"/>
    </row>
    <row r="16052" spans="1:4" ht="12.75" customHeight="1" x14ac:dyDescent="0.2">
      <c r="B16052" s="11" t="s">
        <v>2599</v>
      </c>
      <c r="C16052" s="17" t="s">
        <v>5103</v>
      </c>
      <c r="D16052" s="2"/>
    </row>
    <row r="16053" spans="1:4" ht="25.5" customHeight="1" x14ac:dyDescent="0.2">
      <c r="B16053" s="11" t="s">
        <v>2600</v>
      </c>
      <c r="C16053" s="17" t="s">
        <v>5163</v>
      </c>
      <c r="D16053" s="2"/>
    </row>
    <row r="16054" spans="1:4" ht="25.5" customHeight="1" x14ac:dyDescent="0.2">
      <c r="B16054" s="11" t="s">
        <v>2601</v>
      </c>
      <c r="C16054" s="17"/>
      <c r="D16054" s="2"/>
    </row>
    <row r="16055" spans="1:4" ht="12.75" customHeight="1" x14ac:dyDescent="0.2">
      <c r="B16055" s="11" t="s">
        <v>16</v>
      </c>
      <c r="C16055" s="17"/>
      <c r="D16055" s="2"/>
    </row>
    <row r="16056" spans="1:4" ht="12.75" customHeight="1" x14ac:dyDescent="0.2">
      <c r="B16056" s="11" t="s">
        <v>13</v>
      </c>
      <c r="C16056" s="17" t="s">
        <v>2644</v>
      </c>
      <c r="D16056" s="2"/>
    </row>
    <row r="16057" spans="1:4" ht="25.5" customHeight="1" x14ac:dyDescent="0.2">
      <c r="B16057" s="11" t="s">
        <v>2603</v>
      </c>
      <c r="C16057" s="17" t="s">
        <v>2971</v>
      </c>
      <c r="D16057" s="2"/>
    </row>
    <row r="16058" spans="1:4" ht="12.75" customHeight="1" x14ac:dyDescent="0.2">
      <c r="B16058" s="11" t="s">
        <v>2605</v>
      </c>
      <c r="C16058" s="17" t="s">
        <v>14</v>
      </c>
      <c r="D16058" s="2"/>
    </row>
    <row r="16059" spans="1:4" ht="12.75" customHeight="1" x14ac:dyDescent="0.2">
      <c r="B16059" s="11" t="s">
        <v>2606</v>
      </c>
      <c r="C16059" s="16" t="s">
        <v>19</v>
      </c>
      <c r="D16059" s="2"/>
    </row>
    <row r="16060" spans="1:4" ht="12.75" customHeight="1" x14ac:dyDescent="0.2">
      <c r="B16060" s="2"/>
      <c r="C16060" s="15"/>
      <c r="D16060" s="2"/>
    </row>
    <row r="16061" spans="1:4" ht="12.75" customHeight="1" x14ac:dyDescent="0.2">
      <c r="B16061" s="2"/>
      <c r="C16061" s="15"/>
      <c r="D16061" s="2"/>
    </row>
    <row r="16062" spans="1:4" ht="12.75" customHeight="1" x14ac:dyDescent="0.2">
      <c r="A16062" s="13" t="s">
        <v>5105</v>
      </c>
      <c r="C16062" s="12"/>
      <c r="D16062" s="2"/>
    </row>
    <row r="16063" spans="1:4" ht="12.75" customHeight="1" x14ac:dyDescent="0.2">
      <c r="A16063" s="11"/>
      <c r="B16063" s="2"/>
      <c r="C16063" s="15"/>
      <c r="D16063" s="2"/>
    </row>
    <row r="16064" spans="1:4" ht="12.75" customHeight="1" x14ac:dyDescent="0.2">
      <c r="B16064" s="11" t="s">
        <v>0</v>
      </c>
      <c r="C16064" s="17" t="s">
        <v>319</v>
      </c>
      <c r="D16064" s="2"/>
    </row>
    <row r="16065" spans="1:4" ht="12.75" customHeight="1" x14ac:dyDescent="0.2">
      <c r="B16065" s="11" t="s">
        <v>2599</v>
      </c>
      <c r="C16065" s="17" t="s">
        <v>5106</v>
      </c>
      <c r="D16065" s="2"/>
    </row>
    <row r="16066" spans="1:4" ht="25.5" customHeight="1" x14ac:dyDescent="0.2">
      <c r="B16066" s="11" t="s">
        <v>2600</v>
      </c>
      <c r="C16066" s="17" t="s">
        <v>5164</v>
      </c>
      <c r="D16066" s="2"/>
    </row>
    <row r="16067" spans="1:4" ht="25.5" customHeight="1" x14ac:dyDescent="0.2">
      <c r="B16067" s="11" t="s">
        <v>2601</v>
      </c>
      <c r="C16067" s="17"/>
      <c r="D16067" s="2"/>
    </row>
    <row r="16068" spans="1:4" ht="12.75" customHeight="1" x14ac:dyDescent="0.2">
      <c r="B16068" s="11" t="s">
        <v>16</v>
      </c>
      <c r="C16068" s="17"/>
      <c r="D16068" s="2"/>
    </row>
    <row r="16069" spans="1:4" ht="12.75" customHeight="1" x14ac:dyDescent="0.2">
      <c r="B16069" s="11" t="s">
        <v>13</v>
      </c>
      <c r="C16069" s="17" t="s">
        <v>2602</v>
      </c>
      <c r="D16069" s="2"/>
    </row>
    <row r="16070" spans="1:4" ht="25.5" customHeight="1" x14ac:dyDescent="0.2">
      <c r="B16070" s="11" t="s">
        <v>2603</v>
      </c>
      <c r="C16070" s="17" t="s">
        <v>2971</v>
      </c>
      <c r="D16070" s="2"/>
    </row>
    <row r="16071" spans="1:4" ht="12.75" customHeight="1" x14ac:dyDescent="0.2">
      <c r="B16071" s="11" t="s">
        <v>2605</v>
      </c>
      <c r="C16071" s="17" t="s">
        <v>14</v>
      </c>
      <c r="D16071" s="2"/>
    </row>
    <row r="16072" spans="1:4" ht="12.75" customHeight="1" x14ac:dyDescent="0.2">
      <c r="B16072" s="11" t="s">
        <v>2606</v>
      </c>
      <c r="C16072" s="16" t="s">
        <v>19</v>
      </c>
      <c r="D16072" s="2"/>
    </row>
    <row r="16073" spans="1:4" ht="12.75" customHeight="1" x14ac:dyDescent="0.2">
      <c r="B16073" s="2"/>
      <c r="C16073" s="15"/>
      <c r="D16073" s="2"/>
    </row>
    <row r="16074" spans="1:4" ht="12.75" customHeight="1" x14ac:dyDescent="0.2">
      <c r="B16074" s="2"/>
      <c r="C16074" s="15"/>
      <c r="D16074" s="2"/>
    </row>
    <row r="16075" spans="1:4" ht="12.75" customHeight="1" x14ac:dyDescent="0.2">
      <c r="A16075" s="13" t="s">
        <v>5108</v>
      </c>
      <c r="C16075" s="12"/>
      <c r="D16075" s="2"/>
    </row>
    <row r="16076" spans="1:4" ht="12.75" customHeight="1" x14ac:dyDescent="0.2">
      <c r="A16076" s="11"/>
      <c r="B16076" s="2"/>
      <c r="C16076" s="15"/>
      <c r="D16076" s="2"/>
    </row>
    <row r="16077" spans="1:4" ht="12.75" customHeight="1" x14ac:dyDescent="0.2">
      <c r="B16077" s="11" t="s">
        <v>0</v>
      </c>
      <c r="C16077" s="17" t="s">
        <v>319</v>
      </c>
      <c r="D16077" s="2"/>
    </row>
    <row r="16078" spans="1:4" ht="12.75" customHeight="1" x14ac:dyDescent="0.2">
      <c r="B16078" s="11" t="s">
        <v>2599</v>
      </c>
      <c r="C16078" s="17" t="s">
        <v>5109</v>
      </c>
      <c r="D16078" s="2"/>
    </row>
    <row r="16079" spans="1:4" ht="25.5" customHeight="1" x14ac:dyDescent="0.2">
      <c r="B16079" s="11" t="s">
        <v>2600</v>
      </c>
      <c r="C16079" s="17" t="s">
        <v>5165</v>
      </c>
      <c r="D16079" s="2"/>
    </row>
    <row r="16080" spans="1:4" ht="25.5" customHeight="1" x14ac:dyDescent="0.2">
      <c r="B16080" s="11" t="s">
        <v>2601</v>
      </c>
      <c r="C16080" s="17"/>
      <c r="D16080" s="2"/>
    </row>
    <row r="16081" spans="1:4" ht="12.75" customHeight="1" x14ac:dyDescent="0.2">
      <c r="B16081" s="11" t="s">
        <v>16</v>
      </c>
      <c r="C16081" s="17"/>
      <c r="D16081" s="2"/>
    </row>
    <row r="16082" spans="1:4" ht="12.75" customHeight="1" x14ac:dyDescent="0.2">
      <c r="B16082" s="11" t="s">
        <v>13</v>
      </c>
      <c r="C16082" s="17" t="s">
        <v>2644</v>
      </c>
      <c r="D16082" s="2"/>
    </row>
    <row r="16083" spans="1:4" ht="25.5" customHeight="1" x14ac:dyDescent="0.2">
      <c r="B16083" s="11" t="s">
        <v>2603</v>
      </c>
      <c r="C16083" s="17" t="s">
        <v>2971</v>
      </c>
      <c r="D16083" s="2"/>
    </row>
    <row r="16084" spans="1:4" ht="12.75" customHeight="1" x14ac:dyDescent="0.2">
      <c r="B16084" s="11" t="s">
        <v>2605</v>
      </c>
      <c r="C16084" s="17" t="s">
        <v>14</v>
      </c>
      <c r="D16084" s="2"/>
    </row>
    <row r="16085" spans="1:4" ht="12.75" customHeight="1" x14ac:dyDescent="0.2">
      <c r="B16085" s="11" t="s">
        <v>2606</v>
      </c>
      <c r="C16085" s="16" t="s">
        <v>19</v>
      </c>
      <c r="D16085" s="2"/>
    </row>
    <row r="16086" spans="1:4" ht="12.75" customHeight="1" x14ac:dyDescent="0.2">
      <c r="B16086" s="2"/>
      <c r="C16086" s="15"/>
      <c r="D16086" s="2"/>
    </row>
    <row r="16087" spans="1:4" ht="12.75" customHeight="1" x14ac:dyDescent="0.2">
      <c r="B16087" s="2"/>
      <c r="C16087" s="15"/>
      <c r="D16087" s="2"/>
    </row>
    <row r="16088" spans="1:4" ht="12.75" customHeight="1" x14ac:dyDescent="0.2">
      <c r="A16088" s="13" t="s">
        <v>5166</v>
      </c>
      <c r="C16088" s="12"/>
    </row>
    <row r="16089" spans="1:4" ht="12.75" customHeight="1" x14ac:dyDescent="0.2">
      <c r="A16089" s="11"/>
      <c r="B16089" s="2"/>
      <c r="C16089" s="15"/>
      <c r="D16089" s="2"/>
    </row>
    <row r="16090" spans="1:4" ht="12.75" customHeight="1" x14ac:dyDescent="0.2">
      <c r="B16090" s="11" t="s">
        <v>0</v>
      </c>
      <c r="C16090" s="11" t="s">
        <v>319</v>
      </c>
    </row>
    <row r="16091" spans="1:4" ht="12.75" customHeight="1" x14ac:dyDescent="0.2">
      <c r="B16091" s="11" t="s">
        <v>2599</v>
      </c>
      <c r="C16091" s="11" t="s">
        <v>5167</v>
      </c>
    </row>
    <row r="16092" spans="1:4" ht="25.5" customHeight="1" x14ac:dyDescent="0.2">
      <c r="B16092" s="11" t="s">
        <v>2600</v>
      </c>
      <c r="C16092" s="11" t="s">
        <v>5168</v>
      </c>
    </row>
    <row r="16093" spans="1:4" ht="25.5" customHeight="1" x14ac:dyDescent="0.2">
      <c r="B16093" s="11" t="s">
        <v>2601</v>
      </c>
      <c r="C16093" s="11"/>
    </row>
    <row r="16094" spans="1:4" ht="12.75" customHeight="1" x14ac:dyDescent="0.2">
      <c r="B16094" s="11" t="s">
        <v>16</v>
      </c>
      <c r="C16094" s="11"/>
    </row>
    <row r="16095" spans="1:4" ht="12.75" customHeight="1" x14ac:dyDescent="0.2">
      <c r="B16095" s="11" t="s">
        <v>13</v>
      </c>
      <c r="C16095" s="11" t="s">
        <v>2644</v>
      </c>
    </row>
    <row r="16096" spans="1:4" ht="12.75" customHeight="1" x14ac:dyDescent="0.2">
      <c r="B16096" s="11" t="s">
        <v>2603</v>
      </c>
      <c r="C16096" s="11" t="s">
        <v>2604</v>
      </c>
    </row>
    <row r="16097" spans="1:4" ht="12.75" customHeight="1" x14ac:dyDescent="0.2">
      <c r="B16097" s="11" t="s">
        <v>2605</v>
      </c>
      <c r="C16097" s="11" t="s">
        <v>14</v>
      </c>
    </row>
    <row r="16098" spans="1:4" ht="12.75" customHeight="1" x14ac:dyDescent="0.2">
      <c r="B16098" s="11" t="s">
        <v>2606</v>
      </c>
      <c r="C16098" s="16" t="s">
        <v>56</v>
      </c>
      <c r="D16098" s="6" t="str">
        <f>HYPERLINK("javascript:void(0)","banánhéj")</f>
        <v>banánhéj</v>
      </c>
    </row>
    <row r="16099" spans="1:4" ht="12.75" customHeight="1" x14ac:dyDescent="0.2">
      <c r="C16099" s="16" t="s">
        <v>950</v>
      </c>
      <c r="D16099" s="6" t="str">
        <f>HYPERLINK("javascript:void(0)","kincs")</f>
        <v>kincs</v>
      </c>
    </row>
    <row r="16100" spans="1:4" ht="12.75" customHeight="1" x14ac:dyDescent="0.2">
      <c r="B16100" s="2"/>
      <c r="C16100" s="15"/>
      <c r="D16100" s="2"/>
    </row>
    <row r="16101" spans="1:4" ht="12.75" customHeight="1" x14ac:dyDescent="0.2">
      <c r="B16101" s="2"/>
      <c r="C16101" s="15"/>
      <c r="D16101" s="2"/>
    </row>
    <row r="16102" spans="1:4" ht="12.75" customHeight="1" x14ac:dyDescent="0.2">
      <c r="A16102" s="13" t="s">
        <v>5169</v>
      </c>
      <c r="C16102" s="12"/>
    </row>
    <row r="16103" spans="1:4" ht="12.75" customHeight="1" x14ac:dyDescent="0.2">
      <c r="A16103" s="11"/>
      <c r="B16103" s="2"/>
      <c r="C16103" s="15"/>
      <c r="D16103" s="2"/>
    </row>
    <row r="16104" spans="1:4" ht="12.75" customHeight="1" x14ac:dyDescent="0.2">
      <c r="B16104" s="11" t="s">
        <v>0</v>
      </c>
      <c r="C16104" s="11" t="s">
        <v>319</v>
      </c>
    </row>
    <row r="16105" spans="1:4" ht="12.75" customHeight="1" x14ac:dyDescent="0.2">
      <c r="B16105" s="11" t="s">
        <v>2599</v>
      </c>
      <c r="C16105" s="11" t="s">
        <v>2189</v>
      </c>
    </row>
    <row r="16106" spans="1:4" ht="25.5" customHeight="1" x14ac:dyDescent="0.2">
      <c r="B16106" s="11" t="s">
        <v>2600</v>
      </c>
      <c r="C16106" s="11" t="s">
        <v>5170</v>
      </c>
    </row>
    <row r="16107" spans="1:4" ht="25.5" customHeight="1" x14ac:dyDescent="0.2">
      <c r="B16107" s="11" t="s">
        <v>2601</v>
      </c>
      <c r="C16107" s="11"/>
    </row>
    <row r="16108" spans="1:4" ht="12.75" customHeight="1" x14ac:dyDescent="0.2">
      <c r="B16108" s="11" t="s">
        <v>16</v>
      </c>
      <c r="C16108" s="11"/>
    </row>
    <row r="16109" spans="1:4" ht="12.75" customHeight="1" x14ac:dyDescent="0.2">
      <c r="B16109" s="11" t="s">
        <v>13</v>
      </c>
      <c r="C16109" s="11" t="s">
        <v>2602</v>
      </c>
    </row>
    <row r="16110" spans="1:4" ht="12.75" customHeight="1" x14ac:dyDescent="0.2">
      <c r="B16110" s="11" t="s">
        <v>2603</v>
      </c>
      <c r="C16110" s="11" t="s">
        <v>2604</v>
      </c>
    </row>
    <row r="16111" spans="1:4" ht="12.75" customHeight="1" x14ac:dyDescent="0.2">
      <c r="B16111" s="11" t="s">
        <v>2605</v>
      </c>
      <c r="C16111" s="11" t="s">
        <v>24</v>
      </c>
    </row>
    <row r="16112" spans="1:4" ht="12.75" customHeight="1" x14ac:dyDescent="0.2">
      <c r="B16112" s="11" t="s">
        <v>2606</v>
      </c>
      <c r="C16112" s="16" t="s">
        <v>296</v>
      </c>
      <c r="D16112" s="6" t="str">
        <f>HYPERLINK("javascript:void(0)","kincs")</f>
        <v>kincs</v>
      </c>
    </row>
    <row r="16113" spans="1:4" ht="12.75" customHeight="1" x14ac:dyDescent="0.2">
      <c r="C16113" s="16" t="s">
        <v>57</v>
      </c>
      <c r="D16113" s="6" t="str">
        <f>HYPERLINK("javascript:void(0)","vízige")</f>
        <v>vízige</v>
      </c>
    </row>
    <row r="16114" spans="1:4" ht="12.75" customHeight="1" x14ac:dyDescent="0.2">
      <c r="B16114" s="2"/>
      <c r="C16114" s="15"/>
      <c r="D16114" s="2"/>
    </row>
    <row r="16115" spans="1:4" ht="12.75" customHeight="1" x14ac:dyDescent="0.2">
      <c r="B16115" s="2"/>
      <c r="C16115" s="15"/>
      <c r="D16115" s="2"/>
    </row>
    <row r="16116" spans="1:4" ht="12.75" customHeight="1" x14ac:dyDescent="0.2">
      <c r="A16116" s="13" t="s">
        <v>5171</v>
      </c>
      <c r="C16116" s="12"/>
    </row>
    <row r="16117" spans="1:4" ht="12.75" customHeight="1" x14ac:dyDescent="0.2">
      <c r="A16117" s="11"/>
      <c r="B16117" s="2"/>
      <c r="C16117" s="15"/>
      <c r="D16117" s="2"/>
    </row>
    <row r="16118" spans="1:4" ht="12.75" customHeight="1" x14ac:dyDescent="0.2">
      <c r="B16118" s="11" t="s">
        <v>0</v>
      </c>
      <c r="C16118" s="11" t="s">
        <v>319</v>
      </c>
    </row>
    <row r="16119" spans="1:4" ht="12.75" customHeight="1" x14ac:dyDescent="0.2">
      <c r="B16119" s="11" t="s">
        <v>2599</v>
      </c>
      <c r="C16119" s="11" t="s">
        <v>1162</v>
      </c>
    </row>
    <row r="16120" spans="1:4" ht="25.5" customHeight="1" x14ac:dyDescent="0.2">
      <c r="B16120" s="11" t="s">
        <v>2600</v>
      </c>
      <c r="C16120" s="11" t="s">
        <v>5172</v>
      </c>
    </row>
    <row r="16121" spans="1:4" ht="25.5" customHeight="1" x14ac:dyDescent="0.2">
      <c r="B16121" s="11" t="s">
        <v>2601</v>
      </c>
      <c r="C16121" s="11"/>
    </row>
    <row r="16122" spans="1:4" ht="12.75" customHeight="1" x14ac:dyDescent="0.2">
      <c r="B16122" s="11" t="s">
        <v>16</v>
      </c>
      <c r="C16122" s="11"/>
    </row>
    <row r="16123" spans="1:4" ht="12.75" customHeight="1" x14ac:dyDescent="0.2">
      <c r="B16123" s="11" t="s">
        <v>13</v>
      </c>
      <c r="C16123" s="11" t="s">
        <v>2602</v>
      </c>
    </row>
    <row r="16124" spans="1:4" ht="12.75" customHeight="1" x14ac:dyDescent="0.2">
      <c r="B16124" s="11" t="s">
        <v>2603</v>
      </c>
      <c r="C16124" s="11" t="s">
        <v>2604</v>
      </c>
    </row>
    <row r="16125" spans="1:4" ht="12.75" customHeight="1" x14ac:dyDescent="0.2">
      <c r="B16125" s="11" t="s">
        <v>2605</v>
      </c>
      <c r="C16125" s="11" t="s">
        <v>14</v>
      </c>
    </row>
    <row r="16126" spans="1:4" ht="12.75" customHeight="1" x14ac:dyDescent="0.2">
      <c r="B16126" s="11" t="s">
        <v>2606</v>
      </c>
      <c r="C16126" s="16" t="s">
        <v>56</v>
      </c>
      <c r="D16126" s="6" t="str">
        <f>HYPERLINK("javascript:void(0)","rotorlapát")</f>
        <v>rotorlapát</v>
      </c>
    </row>
    <row r="16127" spans="1:4" ht="25.5" customHeight="1" x14ac:dyDescent="0.2">
      <c r="C16127" s="16" t="s">
        <v>56</v>
      </c>
      <c r="D16127" s="6" t="str">
        <f>HYPERLINK("javascript:void(0)","teknőspáncél")</f>
        <v>teknőspáncél</v>
      </c>
    </row>
    <row r="16128" spans="1:4" ht="12.75" customHeight="1" x14ac:dyDescent="0.2">
      <c r="B16128" s="2"/>
      <c r="C16128" s="15"/>
      <c r="D16128" s="2"/>
    </row>
    <row r="16129" spans="1:4" ht="12.75" customHeight="1" x14ac:dyDescent="0.2">
      <c r="B16129" s="2"/>
      <c r="C16129" s="15"/>
      <c r="D16129" s="2"/>
    </row>
    <row r="16130" spans="1:4" ht="12.75" customHeight="1" x14ac:dyDescent="0.2">
      <c r="A16130" s="13" t="s">
        <v>5173</v>
      </c>
      <c r="C16130" s="12"/>
    </row>
    <row r="16131" spans="1:4" ht="12.75" customHeight="1" x14ac:dyDescent="0.2">
      <c r="A16131" s="11"/>
      <c r="B16131" s="2"/>
      <c r="C16131" s="15"/>
      <c r="D16131" s="2"/>
    </row>
    <row r="16132" spans="1:4" ht="12.75" customHeight="1" x14ac:dyDescent="0.2">
      <c r="B16132" s="11" t="s">
        <v>0</v>
      </c>
      <c r="C16132" s="11" t="s">
        <v>319</v>
      </c>
    </row>
    <row r="16133" spans="1:4" ht="12.75" customHeight="1" x14ac:dyDescent="0.2">
      <c r="B16133" s="11" t="s">
        <v>2599</v>
      </c>
      <c r="C16133" s="11" t="s">
        <v>5174</v>
      </c>
    </row>
    <row r="16134" spans="1:4" ht="25.5" customHeight="1" x14ac:dyDescent="0.2">
      <c r="B16134" s="11" t="s">
        <v>2600</v>
      </c>
      <c r="C16134" s="11" t="s">
        <v>5175</v>
      </c>
    </row>
    <row r="16135" spans="1:4" ht="25.5" customHeight="1" x14ac:dyDescent="0.2">
      <c r="B16135" s="11" t="s">
        <v>2601</v>
      </c>
      <c r="C16135" s="11"/>
    </row>
    <row r="16136" spans="1:4" ht="12.75" customHeight="1" x14ac:dyDescent="0.2">
      <c r="B16136" s="11" t="s">
        <v>16</v>
      </c>
      <c r="C16136" s="11"/>
    </row>
    <row r="16137" spans="1:4" ht="12.75" customHeight="1" x14ac:dyDescent="0.2">
      <c r="B16137" s="11" t="s">
        <v>13</v>
      </c>
      <c r="C16137" s="11" t="s">
        <v>2602</v>
      </c>
    </row>
    <row r="16138" spans="1:4" ht="12.75" customHeight="1" x14ac:dyDescent="0.2">
      <c r="B16138" s="11" t="s">
        <v>2603</v>
      </c>
      <c r="C16138" s="11" t="s">
        <v>2604</v>
      </c>
    </row>
    <row r="16139" spans="1:4" ht="12.75" customHeight="1" x14ac:dyDescent="0.2">
      <c r="B16139" s="11" t="s">
        <v>2605</v>
      </c>
      <c r="C16139" s="11" t="s">
        <v>24</v>
      </c>
    </row>
    <row r="16140" spans="1:4" ht="12.75" customHeight="1" x14ac:dyDescent="0.2">
      <c r="B16140" s="11" t="s">
        <v>2606</v>
      </c>
      <c r="C16140" s="16" t="s">
        <v>44</v>
      </c>
      <c r="D16140" s="6" t="str">
        <f>HYPERLINK("javascript:void(0)","habléc")</f>
        <v>habléc</v>
      </c>
    </row>
    <row r="16141" spans="1:4" ht="12.75" customHeight="1" x14ac:dyDescent="0.2">
      <c r="C16141" s="16" t="s">
        <v>780</v>
      </c>
      <c r="D16141" s="6" t="str">
        <f>HYPERLINK("javascript:void(0)","kincs")</f>
        <v>kincs</v>
      </c>
    </row>
    <row r="16142" spans="1:4" ht="12.75" customHeight="1" x14ac:dyDescent="0.2">
      <c r="B16142" s="2"/>
      <c r="C16142" s="15"/>
      <c r="D16142" s="2"/>
    </row>
    <row r="16143" spans="1:4" ht="12.75" customHeight="1" x14ac:dyDescent="0.2">
      <c r="B16143" s="2"/>
      <c r="C16143" s="15"/>
      <c r="D16143" s="2"/>
    </row>
    <row r="16144" spans="1:4" ht="12.75" customHeight="1" x14ac:dyDescent="0.2">
      <c r="A16144" s="13" t="s">
        <v>5176</v>
      </c>
      <c r="C16144" s="12"/>
    </row>
    <row r="16145" spans="1:4" ht="12.75" customHeight="1" x14ac:dyDescent="0.2">
      <c r="A16145" s="11"/>
      <c r="B16145" s="2"/>
      <c r="C16145" s="15"/>
      <c r="D16145" s="2"/>
    </row>
    <row r="16146" spans="1:4" ht="12.75" customHeight="1" x14ac:dyDescent="0.2">
      <c r="B16146" s="11" t="s">
        <v>0</v>
      </c>
      <c r="C16146" s="11" t="s">
        <v>319</v>
      </c>
    </row>
    <row r="16147" spans="1:4" ht="12.75" customHeight="1" x14ac:dyDescent="0.2">
      <c r="B16147" s="11" t="s">
        <v>2599</v>
      </c>
      <c r="C16147" s="11" t="s">
        <v>5177</v>
      </c>
    </row>
    <row r="16148" spans="1:4" ht="25.5" customHeight="1" x14ac:dyDescent="0.2">
      <c r="B16148" s="11" t="s">
        <v>2600</v>
      </c>
      <c r="C16148" s="11" t="s">
        <v>5178</v>
      </c>
    </row>
    <row r="16149" spans="1:4" ht="25.5" customHeight="1" x14ac:dyDescent="0.2">
      <c r="B16149" s="11" t="s">
        <v>2601</v>
      </c>
      <c r="C16149" s="11"/>
    </row>
    <row r="16150" spans="1:4" ht="12.75" customHeight="1" x14ac:dyDescent="0.2">
      <c r="B16150" s="11" t="s">
        <v>16</v>
      </c>
      <c r="C16150" s="11"/>
    </row>
    <row r="16151" spans="1:4" ht="12.75" customHeight="1" x14ac:dyDescent="0.2">
      <c r="B16151" s="11" t="s">
        <v>13</v>
      </c>
      <c r="C16151" s="11" t="s">
        <v>2644</v>
      </c>
    </row>
    <row r="16152" spans="1:4" ht="12.75" customHeight="1" x14ac:dyDescent="0.2">
      <c r="B16152" s="11" t="s">
        <v>2603</v>
      </c>
      <c r="C16152" s="11" t="s">
        <v>2604</v>
      </c>
    </row>
    <row r="16153" spans="1:4" ht="12.75" customHeight="1" x14ac:dyDescent="0.2">
      <c r="B16153" s="11" t="s">
        <v>2605</v>
      </c>
      <c r="C16153" s="11" t="s">
        <v>14</v>
      </c>
    </row>
    <row r="16154" spans="1:4" ht="12.75" customHeight="1" x14ac:dyDescent="0.2">
      <c r="B16154" s="11" t="s">
        <v>2606</v>
      </c>
      <c r="C16154" s="16" t="s">
        <v>309</v>
      </c>
      <c r="D16154" s="6" t="str">
        <f>HYPERLINK("javascript:void(0)","kincs")</f>
        <v>kincs</v>
      </c>
    </row>
    <row r="16155" spans="1:4" ht="12.75" customHeight="1" x14ac:dyDescent="0.2">
      <c r="B16155" s="2"/>
      <c r="C16155" s="15"/>
      <c r="D16155" s="2"/>
    </row>
    <row r="16156" spans="1:4" ht="12.75" customHeight="1" x14ac:dyDescent="0.2">
      <c r="B16156" s="2"/>
      <c r="C16156" s="15"/>
      <c r="D16156" s="2"/>
    </row>
    <row r="16157" spans="1:4" ht="12.75" customHeight="1" x14ac:dyDescent="0.2">
      <c r="A16157" s="13" t="s">
        <v>5179</v>
      </c>
      <c r="C16157" s="12"/>
    </row>
    <row r="16158" spans="1:4" ht="12.75" customHeight="1" x14ac:dyDescent="0.2">
      <c r="A16158" s="11"/>
      <c r="B16158" s="2"/>
      <c r="C16158" s="15"/>
      <c r="D16158" s="2"/>
    </row>
    <row r="16159" spans="1:4" ht="12.75" customHeight="1" x14ac:dyDescent="0.2">
      <c r="B16159" s="11" t="s">
        <v>0</v>
      </c>
      <c r="C16159" s="11" t="s">
        <v>319</v>
      </c>
    </row>
    <row r="16160" spans="1:4" ht="12.75" customHeight="1" x14ac:dyDescent="0.2">
      <c r="B16160" s="11" t="s">
        <v>2599</v>
      </c>
      <c r="C16160" s="11" t="s">
        <v>4209</v>
      </c>
    </row>
    <row r="16161" spans="1:4" ht="25.5" customHeight="1" x14ac:dyDescent="0.2">
      <c r="B16161" s="11" t="s">
        <v>2600</v>
      </c>
      <c r="C16161" s="11" t="s">
        <v>5180</v>
      </c>
    </row>
    <row r="16162" spans="1:4" ht="25.5" customHeight="1" x14ac:dyDescent="0.2">
      <c r="B16162" s="11" t="s">
        <v>2601</v>
      </c>
      <c r="C16162" s="11"/>
    </row>
    <row r="16163" spans="1:4" ht="12.75" customHeight="1" x14ac:dyDescent="0.2">
      <c r="B16163" s="11" t="s">
        <v>16</v>
      </c>
      <c r="C16163" s="11"/>
    </row>
    <row r="16164" spans="1:4" ht="12.75" customHeight="1" x14ac:dyDescent="0.2">
      <c r="B16164" s="11" t="s">
        <v>13</v>
      </c>
      <c r="C16164" s="11" t="s">
        <v>2644</v>
      </c>
    </row>
    <row r="16165" spans="1:4" ht="12.75" customHeight="1" x14ac:dyDescent="0.2">
      <c r="B16165" s="11" t="s">
        <v>2603</v>
      </c>
      <c r="C16165" s="11" t="s">
        <v>2604</v>
      </c>
    </row>
    <row r="16166" spans="1:4" ht="12.75" customHeight="1" x14ac:dyDescent="0.2">
      <c r="B16166" s="11" t="s">
        <v>2605</v>
      </c>
      <c r="C16166" s="11" t="s">
        <v>24</v>
      </c>
    </row>
    <row r="16167" spans="1:4" ht="12.75" customHeight="1" x14ac:dyDescent="0.2">
      <c r="B16167" s="11" t="s">
        <v>2606</v>
      </c>
      <c r="C16167" s="16" t="s">
        <v>44</v>
      </c>
      <c r="D16167" s="6" t="str">
        <f>HYPERLINK("javascript:void(0)","uszony")</f>
        <v>uszony</v>
      </c>
    </row>
    <row r="16168" spans="1:4" ht="12.75" customHeight="1" x14ac:dyDescent="0.2">
      <c r="C16168" s="16" t="s">
        <v>780</v>
      </c>
      <c r="D16168" s="6" t="str">
        <f>HYPERLINK("javascript:void(0)","kincs")</f>
        <v>kincs</v>
      </c>
    </row>
    <row r="16169" spans="1:4" ht="12.75" customHeight="1" x14ac:dyDescent="0.2">
      <c r="B16169" s="2"/>
      <c r="C16169" s="15"/>
      <c r="D16169" s="2"/>
    </row>
    <row r="16170" spans="1:4" ht="12.75" customHeight="1" x14ac:dyDescent="0.2">
      <c r="B16170" s="2"/>
      <c r="C16170" s="15"/>
      <c r="D16170" s="2"/>
    </row>
    <row r="16171" spans="1:4" ht="12.75" customHeight="1" x14ac:dyDescent="0.2">
      <c r="A16171" s="13" t="s">
        <v>5181</v>
      </c>
      <c r="C16171" s="12"/>
    </row>
    <row r="16172" spans="1:4" ht="12.75" customHeight="1" x14ac:dyDescent="0.2">
      <c r="A16172" s="11"/>
      <c r="B16172" s="2"/>
      <c r="C16172" s="15"/>
      <c r="D16172" s="2"/>
    </row>
    <row r="16173" spans="1:4" ht="12.75" customHeight="1" x14ac:dyDescent="0.2">
      <c r="B16173" s="11" t="s">
        <v>0</v>
      </c>
      <c r="C16173" s="11" t="s">
        <v>319</v>
      </c>
    </row>
    <row r="16174" spans="1:4" ht="12.75" customHeight="1" x14ac:dyDescent="0.2">
      <c r="B16174" s="11" t="s">
        <v>2599</v>
      </c>
      <c r="C16174" s="11" t="s">
        <v>5182</v>
      </c>
    </row>
    <row r="16175" spans="1:4" ht="25.5" customHeight="1" x14ac:dyDescent="0.2">
      <c r="B16175" s="11" t="s">
        <v>2600</v>
      </c>
      <c r="C16175" s="11" t="s">
        <v>5183</v>
      </c>
    </row>
    <row r="16176" spans="1:4" ht="25.5" customHeight="1" x14ac:dyDescent="0.2">
      <c r="B16176" s="11" t="s">
        <v>2601</v>
      </c>
      <c r="C16176" s="11"/>
    </row>
    <row r="16177" spans="1:4" ht="12.75" customHeight="1" x14ac:dyDescent="0.2">
      <c r="B16177" s="11" t="s">
        <v>16</v>
      </c>
      <c r="C16177" s="11"/>
    </row>
    <row r="16178" spans="1:4" ht="12.75" customHeight="1" x14ac:dyDescent="0.2">
      <c r="B16178" s="11" t="s">
        <v>13</v>
      </c>
      <c r="C16178" s="11" t="s">
        <v>2602</v>
      </c>
    </row>
    <row r="16179" spans="1:4" ht="12.75" customHeight="1" x14ac:dyDescent="0.2">
      <c r="B16179" s="11" t="s">
        <v>2603</v>
      </c>
      <c r="C16179" s="11" t="s">
        <v>2604</v>
      </c>
    </row>
    <row r="16180" spans="1:4" ht="12.75" customHeight="1" x14ac:dyDescent="0.2">
      <c r="B16180" s="11" t="s">
        <v>2605</v>
      </c>
      <c r="C16180" s="11" t="s">
        <v>14</v>
      </c>
    </row>
    <row r="16181" spans="1:4" ht="12.75" customHeight="1" x14ac:dyDescent="0.2">
      <c r="B16181" s="11" t="s">
        <v>2606</v>
      </c>
      <c r="C16181" s="16" t="s">
        <v>44</v>
      </c>
      <c r="D16181" s="6" t="str">
        <f>HYPERLINK("javascript:void(0)","aranyrög")</f>
        <v>aranyrög</v>
      </c>
    </row>
    <row r="16182" spans="1:4" ht="12.75" customHeight="1" x14ac:dyDescent="0.2">
      <c r="C16182" s="16" t="s">
        <v>240</v>
      </c>
      <c r="D16182" s="6" t="str">
        <f>HYPERLINK("javascript:void(0)","kincs")</f>
        <v>kincs</v>
      </c>
    </row>
    <row r="16183" spans="1:4" ht="12.75" customHeight="1" x14ac:dyDescent="0.2">
      <c r="B16183" s="2"/>
      <c r="C16183" s="15"/>
      <c r="D16183" s="2"/>
    </row>
    <row r="16184" spans="1:4" ht="12.75" customHeight="1" x14ac:dyDescent="0.2">
      <c r="B16184" s="2"/>
      <c r="C16184" s="15"/>
      <c r="D16184" s="2"/>
    </row>
    <row r="16185" spans="1:4" ht="12.75" customHeight="1" x14ac:dyDescent="0.2">
      <c r="A16185" s="13" t="s">
        <v>5184</v>
      </c>
      <c r="C16185" s="12"/>
    </row>
    <row r="16186" spans="1:4" ht="12.75" customHeight="1" x14ac:dyDescent="0.2">
      <c r="A16186" s="11"/>
      <c r="B16186" s="2"/>
      <c r="C16186" s="15"/>
      <c r="D16186" s="2"/>
    </row>
    <row r="16187" spans="1:4" ht="12.75" customHeight="1" x14ac:dyDescent="0.2">
      <c r="B16187" s="11" t="s">
        <v>0</v>
      </c>
      <c r="C16187" s="11" t="s">
        <v>319</v>
      </c>
    </row>
    <row r="16188" spans="1:4" ht="12.75" customHeight="1" x14ac:dyDescent="0.2">
      <c r="B16188" s="11" t="s">
        <v>2599</v>
      </c>
      <c r="C16188" s="11" t="s">
        <v>3086</v>
      </c>
    </row>
    <row r="16189" spans="1:4" ht="25.5" customHeight="1" x14ac:dyDescent="0.2">
      <c r="B16189" s="11" t="s">
        <v>2600</v>
      </c>
      <c r="C16189" s="11" t="s">
        <v>5185</v>
      </c>
    </row>
    <row r="16190" spans="1:4" ht="25.5" customHeight="1" x14ac:dyDescent="0.2">
      <c r="B16190" s="11" t="s">
        <v>2601</v>
      </c>
      <c r="C16190" s="11"/>
    </row>
    <row r="16191" spans="1:4" ht="12.75" customHeight="1" x14ac:dyDescent="0.2">
      <c r="B16191" s="11" t="s">
        <v>16</v>
      </c>
      <c r="C16191" s="11"/>
    </row>
    <row r="16192" spans="1:4" ht="12.75" customHeight="1" x14ac:dyDescent="0.2">
      <c r="B16192" s="11" t="s">
        <v>13</v>
      </c>
      <c r="C16192" s="11" t="s">
        <v>2644</v>
      </c>
    </row>
    <row r="16193" spans="1:4" ht="12.75" customHeight="1" x14ac:dyDescent="0.2">
      <c r="B16193" s="11" t="s">
        <v>2603</v>
      </c>
      <c r="C16193" s="11" t="s">
        <v>2604</v>
      </c>
    </row>
    <row r="16194" spans="1:4" ht="12.75" customHeight="1" x14ac:dyDescent="0.2">
      <c r="B16194" s="11" t="s">
        <v>2605</v>
      </c>
      <c r="C16194" s="11" t="s">
        <v>24</v>
      </c>
    </row>
    <row r="16195" spans="1:4" ht="25.5" customHeight="1" x14ac:dyDescent="0.2">
      <c r="B16195" s="11" t="s">
        <v>2606</v>
      </c>
      <c r="C16195" s="16" t="s">
        <v>44</v>
      </c>
      <c r="D16195" s="6" t="str">
        <f>HYPERLINK("javascript:void(0)","démonzanza")</f>
        <v>démonzanza</v>
      </c>
    </row>
    <row r="16196" spans="1:4" ht="12.75" customHeight="1" x14ac:dyDescent="0.2">
      <c r="C16196" s="16" t="s">
        <v>193</v>
      </c>
      <c r="D16196" s="6" t="str">
        <f>HYPERLINK("javascript:void(0)","kincs")</f>
        <v>kincs</v>
      </c>
    </row>
    <row r="16197" spans="1:4" ht="12.75" customHeight="1" x14ac:dyDescent="0.2">
      <c r="B16197" s="2"/>
      <c r="C16197" s="15"/>
      <c r="D16197" s="2"/>
    </row>
    <row r="16198" spans="1:4" ht="12.75" customHeight="1" x14ac:dyDescent="0.2">
      <c r="B16198" s="2"/>
      <c r="C16198" s="15"/>
      <c r="D16198" s="2"/>
    </row>
    <row r="16199" spans="1:4" ht="12.75" customHeight="1" x14ac:dyDescent="0.2">
      <c r="A16199" s="13" t="s">
        <v>5134</v>
      </c>
      <c r="C16199" s="12"/>
      <c r="D16199" s="2"/>
    </row>
    <row r="16200" spans="1:4" ht="12.75" customHeight="1" x14ac:dyDescent="0.2">
      <c r="A16200" s="11"/>
      <c r="B16200" s="2"/>
      <c r="C16200" s="15"/>
      <c r="D16200" s="2"/>
    </row>
    <row r="16201" spans="1:4" ht="12.75" customHeight="1" x14ac:dyDescent="0.2">
      <c r="B16201" s="11" t="s">
        <v>0</v>
      </c>
      <c r="C16201" s="17" t="s">
        <v>319</v>
      </c>
      <c r="D16201" s="2"/>
    </row>
    <row r="16202" spans="1:4" ht="12.75" customHeight="1" x14ac:dyDescent="0.2">
      <c r="B16202" s="11" t="s">
        <v>2599</v>
      </c>
      <c r="C16202" s="17" t="s">
        <v>5135</v>
      </c>
      <c r="D16202" s="2"/>
    </row>
    <row r="16203" spans="1:4" ht="25.5" customHeight="1" x14ac:dyDescent="0.2">
      <c r="B16203" s="11" t="s">
        <v>2600</v>
      </c>
      <c r="C16203" s="17" t="s">
        <v>5186</v>
      </c>
      <c r="D16203" s="2"/>
    </row>
    <row r="16204" spans="1:4" ht="25.5" customHeight="1" x14ac:dyDescent="0.2">
      <c r="B16204" s="11" t="s">
        <v>2601</v>
      </c>
      <c r="C16204" s="17"/>
      <c r="D16204" s="2"/>
    </row>
    <row r="16205" spans="1:4" ht="12.75" customHeight="1" x14ac:dyDescent="0.2">
      <c r="B16205" s="11" t="s">
        <v>16</v>
      </c>
      <c r="C16205" s="17"/>
      <c r="D16205" s="2"/>
    </row>
    <row r="16206" spans="1:4" ht="12.75" customHeight="1" x14ac:dyDescent="0.2">
      <c r="B16206" s="11" t="s">
        <v>13</v>
      </c>
      <c r="C16206" s="17" t="s">
        <v>2602</v>
      </c>
      <c r="D16206" s="2"/>
    </row>
    <row r="16207" spans="1:4" ht="25.5" customHeight="1" x14ac:dyDescent="0.2">
      <c r="B16207" s="11" t="s">
        <v>2603</v>
      </c>
      <c r="C16207" s="17" t="s">
        <v>2971</v>
      </c>
      <c r="D16207" s="2"/>
    </row>
    <row r="16208" spans="1:4" ht="12.75" customHeight="1" x14ac:dyDescent="0.2">
      <c r="B16208" s="11" t="s">
        <v>2605</v>
      </c>
      <c r="C16208" s="17" t="s">
        <v>14</v>
      </c>
      <c r="D16208" s="2"/>
    </row>
    <row r="16209" spans="1:4" ht="12.75" customHeight="1" x14ac:dyDescent="0.2">
      <c r="B16209" s="11" t="s">
        <v>2606</v>
      </c>
      <c r="C16209" s="16" t="s">
        <v>19</v>
      </c>
      <c r="D16209" s="2"/>
    </row>
    <row r="16210" spans="1:4" ht="12.75" customHeight="1" x14ac:dyDescent="0.2">
      <c r="B16210" s="2"/>
      <c r="C16210" s="15"/>
      <c r="D16210" s="2"/>
    </row>
    <row r="16211" spans="1:4" ht="12.75" customHeight="1" x14ac:dyDescent="0.2">
      <c r="B16211" s="2"/>
      <c r="C16211" s="15"/>
      <c r="D16211" s="2"/>
    </row>
    <row r="16212" spans="1:4" ht="12.75" customHeight="1" x14ac:dyDescent="0.2">
      <c r="A16212" s="13" t="s">
        <v>5102</v>
      </c>
      <c r="C16212" s="12"/>
      <c r="D16212" s="2"/>
    </row>
    <row r="16213" spans="1:4" ht="12.75" customHeight="1" x14ac:dyDescent="0.2">
      <c r="A16213" s="11"/>
      <c r="B16213" s="2"/>
      <c r="C16213" s="15"/>
      <c r="D16213" s="2"/>
    </row>
    <row r="16214" spans="1:4" ht="12.75" customHeight="1" x14ac:dyDescent="0.2">
      <c r="B16214" s="11" t="s">
        <v>0</v>
      </c>
      <c r="C16214" s="17" t="s">
        <v>926</v>
      </c>
      <c r="D16214" s="2"/>
    </row>
    <row r="16215" spans="1:4" ht="12.75" customHeight="1" x14ac:dyDescent="0.2">
      <c r="B16215" s="11" t="s">
        <v>2599</v>
      </c>
      <c r="C16215" s="17" t="s">
        <v>5103</v>
      </c>
      <c r="D16215" s="2"/>
    </row>
    <row r="16216" spans="1:4" ht="25.5" customHeight="1" x14ac:dyDescent="0.2">
      <c r="B16216" s="11" t="s">
        <v>2600</v>
      </c>
      <c r="C16216" s="17" t="s">
        <v>5188</v>
      </c>
      <c r="D16216" s="2"/>
    </row>
    <row r="16217" spans="1:4" ht="25.5" customHeight="1" x14ac:dyDescent="0.2">
      <c r="B16217" s="11" t="s">
        <v>2601</v>
      </c>
      <c r="C16217" s="17"/>
      <c r="D16217" s="2"/>
    </row>
    <row r="16218" spans="1:4" ht="12.75" customHeight="1" x14ac:dyDescent="0.2">
      <c r="B16218" s="11" t="s">
        <v>16</v>
      </c>
      <c r="C16218" s="17"/>
      <c r="D16218" s="2"/>
    </row>
    <row r="16219" spans="1:4" ht="12.75" customHeight="1" x14ac:dyDescent="0.2">
      <c r="B16219" s="11" t="s">
        <v>13</v>
      </c>
      <c r="C16219" s="17" t="s">
        <v>2644</v>
      </c>
      <c r="D16219" s="2"/>
    </row>
    <row r="16220" spans="1:4" ht="25.5" customHeight="1" x14ac:dyDescent="0.2">
      <c r="B16220" s="11" t="s">
        <v>2603</v>
      </c>
      <c r="C16220" s="17" t="s">
        <v>2971</v>
      </c>
      <c r="D16220" s="2"/>
    </row>
    <row r="16221" spans="1:4" ht="12.75" customHeight="1" x14ac:dyDescent="0.2">
      <c r="B16221" s="11" t="s">
        <v>2605</v>
      </c>
      <c r="C16221" s="17" t="s">
        <v>14</v>
      </c>
      <c r="D16221" s="2"/>
    </row>
    <row r="16222" spans="1:4" ht="12.75" customHeight="1" x14ac:dyDescent="0.2">
      <c r="B16222" s="11" t="s">
        <v>2606</v>
      </c>
      <c r="C16222" s="16" t="s">
        <v>19</v>
      </c>
      <c r="D16222" s="2"/>
    </row>
    <row r="16223" spans="1:4" ht="12.75" customHeight="1" x14ac:dyDescent="0.2">
      <c r="B16223" s="2"/>
      <c r="C16223" s="15"/>
      <c r="D16223" s="2"/>
    </row>
    <row r="16224" spans="1:4" ht="12.75" customHeight="1" x14ac:dyDescent="0.2">
      <c r="B16224" s="2"/>
      <c r="C16224" s="15"/>
      <c r="D16224" s="2"/>
    </row>
    <row r="16225" spans="1:4" ht="12.75" customHeight="1" x14ac:dyDescent="0.2">
      <c r="A16225" s="13" t="s">
        <v>5105</v>
      </c>
      <c r="C16225" s="12"/>
      <c r="D16225" s="2"/>
    </row>
    <row r="16226" spans="1:4" ht="12.75" customHeight="1" x14ac:dyDescent="0.2">
      <c r="A16226" s="11"/>
      <c r="B16226" s="2"/>
      <c r="C16226" s="15"/>
      <c r="D16226" s="2"/>
    </row>
    <row r="16227" spans="1:4" ht="12.75" customHeight="1" x14ac:dyDescent="0.2">
      <c r="B16227" s="11" t="s">
        <v>0</v>
      </c>
      <c r="C16227" s="17" t="s">
        <v>926</v>
      </c>
      <c r="D16227" s="2"/>
    </row>
    <row r="16228" spans="1:4" ht="12.75" customHeight="1" x14ac:dyDescent="0.2">
      <c r="B16228" s="11" t="s">
        <v>2599</v>
      </c>
      <c r="C16228" s="17" t="s">
        <v>5106</v>
      </c>
      <c r="D16228" s="2"/>
    </row>
    <row r="16229" spans="1:4" ht="25.5" customHeight="1" x14ac:dyDescent="0.2">
      <c r="B16229" s="11" t="s">
        <v>2600</v>
      </c>
      <c r="C16229" s="17" t="s">
        <v>5189</v>
      </c>
      <c r="D16229" s="2"/>
    </row>
    <row r="16230" spans="1:4" ht="25.5" customHeight="1" x14ac:dyDescent="0.2">
      <c r="B16230" s="11" t="s">
        <v>2601</v>
      </c>
      <c r="C16230" s="17"/>
      <c r="D16230" s="2"/>
    </row>
    <row r="16231" spans="1:4" ht="12.75" customHeight="1" x14ac:dyDescent="0.2">
      <c r="B16231" s="11" t="s">
        <v>16</v>
      </c>
      <c r="C16231" s="17"/>
      <c r="D16231" s="2"/>
    </row>
    <row r="16232" spans="1:4" ht="12.75" customHeight="1" x14ac:dyDescent="0.2">
      <c r="B16232" s="11" t="s">
        <v>13</v>
      </c>
      <c r="C16232" s="17" t="s">
        <v>2602</v>
      </c>
      <c r="D16232" s="2"/>
    </row>
    <row r="16233" spans="1:4" ht="25.5" customHeight="1" x14ac:dyDescent="0.2">
      <c r="B16233" s="11" t="s">
        <v>2603</v>
      </c>
      <c r="C16233" s="17" t="s">
        <v>2971</v>
      </c>
      <c r="D16233" s="2"/>
    </row>
    <row r="16234" spans="1:4" ht="12.75" customHeight="1" x14ac:dyDescent="0.2">
      <c r="B16234" s="11" t="s">
        <v>2605</v>
      </c>
      <c r="C16234" s="17" t="s">
        <v>14</v>
      </c>
      <c r="D16234" s="2"/>
    </row>
    <row r="16235" spans="1:4" ht="12.75" customHeight="1" x14ac:dyDescent="0.2">
      <c r="B16235" s="11" t="s">
        <v>2606</v>
      </c>
      <c r="C16235" s="16" t="s">
        <v>19</v>
      </c>
      <c r="D16235" s="2"/>
    </row>
    <row r="16236" spans="1:4" ht="12.75" customHeight="1" x14ac:dyDescent="0.2">
      <c r="B16236" s="2"/>
      <c r="C16236" s="15"/>
      <c r="D16236" s="2"/>
    </row>
    <row r="16237" spans="1:4" ht="12.75" customHeight="1" x14ac:dyDescent="0.2">
      <c r="B16237" s="2"/>
      <c r="C16237" s="15"/>
      <c r="D16237" s="2"/>
    </row>
    <row r="16238" spans="1:4" ht="12.75" customHeight="1" x14ac:dyDescent="0.2">
      <c r="A16238" s="13" t="s">
        <v>5108</v>
      </c>
      <c r="C16238" s="12"/>
      <c r="D16238" s="2"/>
    </row>
    <row r="16239" spans="1:4" ht="12.75" customHeight="1" x14ac:dyDescent="0.2">
      <c r="A16239" s="11"/>
      <c r="B16239" s="2"/>
      <c r="C16239" s="15"/>
      <c r="D16239" s="2"/>
    </row>
    <row r="16240" spans="1:4" ht="12.75" customHeight="1" x14ac:dyDescent="0.2">
      <c r="B16240" s="11" t="s">
        <v>0</v>
      </c>
      <c r="C16240" s="17" t="s">
        <v>926</v>
      </c>
      <c r="D16240" s="2"/>
    </row>
    <row r="16241" spans="1:4" ht="12.75" customHeight="1" x14ac:dyDescent="0.2">
      <c r="B16241" s="11" t="s">
        <v>2599</v>
      </c>
      <c r="C16241" s="17" t="s">
        <v>5109</v>
      </c>
      <c r="D16241" s="2"/>
    </row>
    <row r="16242" spans="1:4" ht="25.5" customHeight="1" x14ac:dyDescent="0.2">
      <c r="B16242" s="11" t="s">
        <v>2600</v>
      </c>
      <c r="C16242" s="17" t="s">
        <v>5190</v>
      </c>
      <c r="D16242" s="2"/>
    </row>
    <row r="16243" spans="1:4" ht="25.5" customHeight="1" x14ac:dyDescent="0.2">
      <c r="B16243" s="11" t="s">
        <v>2601</v>
      </c>
      <c r="C16243" s="17"/>
      <c r="D16243" s="2"/>
    </row>
    <row r="16244" spans="1:4" ht="12.75" customHeight="1" x14ac:dyDescent="0.2">
      <c r="B16244" s="11" t="s">
        <v>16</v>
      </c>
      <c r="C16244" s="17"/>
      <c r="D16244" s="2"/>
    </row>
    <row r="16245" spans="1:4" ht="12.75" customHeight="1" x14ac:dyDescent="0.2">
      <c r="B16245" s="11" t="s">
        <v>13</v>
      </c>
      <c r="C16245" s="17" t="s">
        <v>2644</v>
      </c>
      <c r="D16245" s="2"/>
    </row>
    <row r="16246" spans="1:4" ht="25.5" customHeight="1" x14ac:dyDescent="0.2">
      <c r="B16246" s="11" t="s">
        <v>2603</v>
      </c>
      <c r="C16246" s="17" t="s">
        <v>2971</v>
      </c>
      <c r="D16246" s="2"/>
    </row>
    <row r="16247" spans="1:4" ht="12.75" customHeight="1" x14ac:dyDescent="0.2">
      <c r="B16247" s="11" t="s">
        <v>2605</v>
      </c>
      <c r="C16247" s="17" t="s">
        <v>14</v>
      </c>
      <c r="D16247" s="2"/>
    </row>
    <row r="16248" spans="1:4" ht="12.75" customHeight="1" x14ac:dyDescent="0.2">
      <c r="B16248" s="11" t="s">
        <v>2606</v>
      </c>
      <c r="C16248" s="16" t="s">
        <v>19</v>
      </c>
      <c r="D16248" s="2"/>
    </row>
    <row r="16249" spans="1:4" ht="12.75" customHeight="1" x14ac:dyDescent="0.2">
      <c r="B16249" s="2"/>
      <c r="C16249" s="15"/>
      <c r="D16249" s="2"/>
    </row>
    <row r="16250" spans="1:4" ht="12.75" customHeight="1" x14ac:dyDescent="0.2">
      <c r="B16250" s="2"/>
      <c r="C16250" s="15"/>
      <c r="D16250" s="2"/>
    </row>
    <row r="16251" spans="1:4" ht="12.75" customHeight="1" x14ac:dyDescent="0.2">
      <c r="A16251" s="13" t="s">
        <v>5191</v>
      </c>
      <c r="C16251" s="12"/>
    </row>
    <row r="16252" spans="1:4" ht="12.75" customHeight="1" x14ac:dyDescent="0.2">
      <c r="A16252" s="11"/>
      <c r="B16252" s="2"/>
      <c r="C16252" s="15"/>
      <c r="D16252" s="2"/>
    </row>
    <row r="16253" spans="1:4" ht="12.75" customHeight="1" x14ac:dyDescent="0.2">
      <c r="B16253" s="11" t="s">
        <v>0</v>
      </c>
      <c r="C16253" s="11" t="s">
        <v>926</v>
      </c>
    </row>
    <row r="16254" spans="1:4" ht="12.75" customHeight="1" x14ac:dyDescent="0.2">
      <c r="B16254" s="11" t="s">
        <v>2599</v>
      </c>
      <c r="C16254" s="11" t="s">
        <v>5192</v>
      </c>
    </row>
    <row r="16255" spans="1:4" ht="25.5" customHeight="1" x14ac:dyDescent="0.2">
      <c r="B16255" s="11" t="s">
        <v>2600</v>
      </c>
      <c r="C16255" s="11" t="s">
        <v>5193</v>
      </c>
    </row>
    <row r="16256" spans="1:4" ht="25.5" customHeight="1" x14ac:dyDescent="0.2">
      <c r="B16256" s="11" t="s">
        <v>2601</v>
      </c>
      <c r="C16256" s="11"/>
    </row>
    <row r="16257" spans="1:4" ht="12.75" customHeight="1" x14ac:dyDescent="0.2">
      <c r="B16257" s="11" t="s">
        <v>16</v>
      </c>
      <c r="C16257" s="11"/>
    </row>
    <row r="16258" spans="1:4" ht="12.75" customHeight="1" x14ac:dyDescent="0.2">
      <c r="B16258" s="11" t="s">
        <v>13</v>
      </c>
      <c r="C16258" s="11" t="s">
        <v>2644</v>
      </c>
    </row>
    <row r="16259" spans="1:4" ht="12.75" customHeight="1" x14ac:dyDescent="0.2">
      <c r="B16259" s="11" t="s">
        <v>2603</v>
      </c>
      <c r="C16259" s="11" t="s">
        <v>2604</v>
      </c>
    </row>
    <row r="16260" spans="1:4" ht="12.75" customHeight="1" x14ac:dyDescent="0.2">
      <c r="B16260" s="11" t="s">
        <v>2605</v>
      </c>
      <c r="C16260" s="11" t="s">
        <v>24</v>
      </c>
    </row>
    <row r="16261" spans="1:4" ht="12.75" customHeight="1" x14ac:dyDescent="0.2">
      <c r="B16261" s="11" t="s">
        <v>2606</v>
      </c>
      <c r="C16261" s="16" t="s">
        <v>936</v>
      </c>
      <c r="D16261" s="6" t="str">
        <f>HYPERLINK("javascript:void(0)","kincs")</f>
        <v>kincs</v>
      </c>
    </row>
    <row r="16262" spans="1:4" ht="12.75" customHeight="1" x14ac:dyDescent="0.2">
      <c r="C16262" s="16" t="s">
        <v>44</v>
      </c>
      <c r="D16262" s="6" t="str">
        <f>HYPERLINK("javascript:void(0)","negatívum")</f>
        <v>negatívum</v>
      </c>
    </row>
    <row r="16263" spans="1:4" ht="12.75" customHeight="1" x14ac:dyDescent="0.2">
      <c r="B16263" s="2"/>
      <c r="C16263" s="15"/>
      <c r="D16263" s="2"/>
    </row>
    <row r="16264" spans="1:4" ht="12.75" customHeight="1" x14ac:dyDescent="0.2">
      <c r="B16264" s="2"/>
      <c r="C16264" s="15"/>
      <c r="D16264" s="2"/>
    </row>
    <row r="16265" spans="1:4" ht="12.75" customHeight="1" x14ac:dyDescent="0.2">
      <c r="A16265" s="13" t="s">
        <v>5194</v>
      </c>
      <c r="C16265" s="12"/>
    </row>
    <row r="16266" spans="1:4" ht="12.75" customHeight="1" x14ac:dyDescent="0.2">
      <c r="A16266" s="11"/>
      <c r="B16266" s="2"/>
      <c r="C16266" s="15"/>
      <c r="D16266" s="2"/>
    </row>
    <row r="16267" spans="1:4" ht="12.75" customHeight="1" x14ac:dyDescent="0.2">
      <c r="B16267" s="11" t="s">
        <v>0</v>
      </c>
      <c r="C16267" s="11" t="s">
        <v>926</v>
      </c>
    </row>
    <row r="16268" spans="1:4" ht="12.75" customHeight="1" x14ac:dyDescent="0.2">
      <c r="B16268" s="11" t="s">
        <v>2599</v>
      </c>
      <c r="C16268" s="11" t="s">
        <v>5195</v>
      </c>
    </row>
    <row r="16269" spans="1:4" ht="25.5" customHeight="1" x14ac:dyDescent="0.2">
      <c r="B16269" s="11" t="s">
        <v>2600</v>
      </c>
      <c r="C16269" s="11" t="s">
        <v>5196</v>
      </c>
    </row>
    <row r="16270" spans="1:4" ht="25.5" customHeight="1" x14ac:dyDescent="0.2">
      <c r="B16270" s="11" t="s">
        <v>2601</v>
      </c>
      <c r="C16270" s="11"/>
    </row>
    <row r="16271" spans="1:4" ht="12.75" customHeight="1" x14ac:dyDescent="0.2">
      <c r="B16271" s="11" t="s">
        <v>16</v>
      </c>
      <c r="C16271" s="11"/>
    </row>
    <row r="16272" spans="1:4" ht="12.75" customHeight="1" x14ac:dyDescent="0.2">
      <c r="B16272" s="11" t="s">
        <v>13</v>
      </c>
      <c r="C16272" s="11" t="s">
        <v>2602</v>
      </c>
    </row>
    <row r="16273" spans="1:4" ht="12.75" customHeight="1" x14ac:dyDescent="0.2">
      <c r="B16273" s="11" t="s">
        <v>2603</v>
      </c>
      <c r="C16273" s="11" t="s">
        <v>2604</v>
      </c>
    </row>
    <row r="16274" spans="1:4" ht="12.75" customHeight="1" x14ac:dyDescent="0.2">
      <c r="B16274" s="11" t="s">
        <v>2605</v>
      </c>
      <c r="C16274" s="11" t="s">
        <v>14</v>
      </c>
    </row>
    <row r="16275" spans="1:4" ht="12.75" customHeight="1" x14ac:dyDescent="0.2">
      <c r="B16275" s="11" t="s">
        <v>2606</v>
      </c>
      <c r="C16275" s="16" t="s">
        <v>296</v>
      </c>
      <c r="D16275" s="6" t="str">
        <f>HYPERLINK("javascript:void(0)","kincs")</f>
        <v>kincs</v>
      </c>
    </row>
    <row r="16276" spans="1:4" ht="12.75" customHeight="1" x14ac:dyDescent="0.2">
      <c r="C16276" s="16" t="s">
        <v>44</v>
      </c>
      <c r="D16276" s="6" t="str">
        <f>HYPERLINK("javascript:void(0)","hídpenge")</f>
        <v>hídpenge</v>
      </c>
    </row>
    <row r="16277" spans="1:4" ht="12.75" customHeight="1" x14ac:dyDescent="0.2">
      <c r="B16277" s="2"/>
      <c r="C16277" s="15"/>
      <c r="D16277" s="2"/>
    </row>
    <row r="16278" spans="1:4" ht="12.75" customHeight="1" x14ac:dyDescent="0.2">
      <c r="B16278" s="2"/>
      <c r="C16278" s="15"/>
      <c r="D16278" s="2"/>
    </row>
    <row r="16279" spans="1:4" ht="12.75" customHeight="1" x14ac:dyDescent="0.2">
      <c r="A16279" s="13" t="s">
        <v>5197</v>
      </c>
      <c r="C16279" s="12"/>
    </row>
    <row r="16280" spans="1:4" ht="12.75" customHeight="1" x14ac:dyDescent="0.2">
      <c r="A16280" s="11"/>
      <c r="B16280" s="2"/>
      <c r="C16280" s="15"/>
      <c r="D16280" s="2"/>
    </row>
    <row r="16281" spans="1:4" ht="12.75" customHeight="1" x14ac:dyDescent="0.2">
      <c r="B16281" s="11" t="s">
        <v>0</v>
      </c>
      <c r="C16281" s="11" t="s">
        <v>926</v>
      </c>
    </row>
    <row r="16282" spans="1:4" ht="12.75" customHeight="1" x14ac:dyDescent="0.2">
      <c r="B16282" s="11" t="s">
        <v>2599</v>
      </c>
      <c r="C16282" s="11" t="s">
        <v>5198</v>
      </c>
    </row>
    <row r="16283" spans="1:4" ht="25.5" customHeight="1" x14ac:dyDescent="0.2">
      <c r="B16283" s="11" t="s">
        <v>2600</v>
      </c>
      <c r="C16283" s="11" t="s">
        <v>5199</v>
      </c>
    </row>
    <row r="16284" spans="1:4" ht="25.5" customHeight="1" x14ac:dyDescent="0.2">
      <c r="B16284" s="11" t="s">
        <v>2601</v>
      </c>
      <c r="C16284" s="11"/>
    </row>
    <row r="16285" spans="1:4" ht="12.75" customHeight="1" x14ac:dyDescent="0.2">
      <c r="B16285" s="11" t="s">
        <v>16</v>
      </c>
      <c r="C16285" s="11"/>
    </row>
    <row r="16286" spans="1:4" ht="12.75" customHeight="1" x14ac:dyDescent="0.2">
      <c r="B16286" s="11" t="s">
        <v>13</v>
      </c>
      <c r="C16286" s="11" t="s">
        <v>2602</v>
      </c>
    </row>
    <row r="16287" spans="1:4" ht="12.75" customHeight="1" x14ac:dyDescent="0.2">
      <c r="B16287" s="11" t="s">
        <v>2603</v>
      </c>
      <c r="C16287" s="11" t="s">
        <v>2604</v>
      </c>
    </row>
    <row r="16288" spans="1:4" ht="12.75" customHeight="1" x14ac:dyDescent="0.2">
      <c r="B16288" s="11" t="s">
        <v>2605</v>
      </c>
      <c r="C16288" s="11" t="s">
        <v>24</v>
      </c>
    </row>
    <row r="16289" spans="1:4" ht="12.75" customHeight="1" x14ac:dyDescent="0.2">
      <c r="B16289" s="11" t="s">
        <v>2606</v>
      </c>
      <c r="C16289" s="16" t="s">
        <v>44</v>
      </c>
      <c r="D16289" s="6" t="str">
        <f>HYPERLINK("javascript:void(0)","plecsni")</f>
        <v>plecsni</v>
      </c>
    </row>
    <row r="16290" spans="1:4" ht="12.75" customHeight="1" x14ac:dyDescent="0.2">
      <c r="C16290" s="16" t="s">
        <v>139</v>
      </c>
      <c r="D16290" s="6" t="str">
        <f>HYPERLINK("javascript:void(0)","kincs")</f>
        <v>kincs</v>
      </c>
    </row>
    <row r="16291" spans="1:4" ht="12.75" customHeight="1" x14ac:dyDescent="0.2">
      <c r="B16291" s="2"/>
      <c r="C16291" s="15"/>
      <c r="D16291" s="2"/>
    </row>
    <row r="16292" spans="1:4" ht="12.75" customHeight="1" x14ac:dyDescent="0.2">
      <c r="B16292" s="2"/>
      <c r="C16292" s="15"/>
      <c r="D16292" s="2"/>
    </row>
    <row r="16293" spans="1:4" ht="12.75" customHeight="1" x14ac:dyDescent="0.2">
      <c r="A16293" s="13" t="s">
        <v>5200</v>
      </c>
      <c r="C16293" s="12"/>
    </row>
    <row r="16294" spans="1:4" ht="12.75" customHeight="1" x14ac:dyDescent="0.2">
      <c r="A16294" s="11"/>
      <c r="B16294" s="2"/>
      <c r="C16294" s="15"/>
      <c r="D16294" s="2"/>
    </row>
    <row r="16295" spans="1:4" ht="12.75" customHeight="1" x14ac:dyDescent="0.2">
      <c r="B16295" s="11" t="s">
        <v>0</v>
      </c>
      <c r="C16295" s="11" t="s">
        <v>926</v>
      </c>
    </row>
    <row r="16296" spans="1:4" ht="12.75" customHeight="1" x14ac:dyDescent="0.2">
      <c r="B16296" s="11" t="s">
        <v>2599</v>
      </c>
      <c r="C16296" s="11" t="s">
        <v>5201</v>
      </c>
    </row>
    <row r="16297" spans="1:4" ht="25.5" customHeight="1" x14ac:dyDescent="0.2">
      <c r="B16297" s="11" t="s">
        <v>2600</v>
      </c>
      <c r="C16297" s="11" t="s">
        <v>5202</v>
      </c>
    </row>
    <row r="16298" spans="1:4" ht="25.5" customHeight="1" x14ac:dyDescent="0.2">
      <c r="B16298" s="11" t="s">
        <v>2601</v>
      </c>
      <c r="C16298" s="11"/>
    </row>
    <row r="16299" spans="1:4" ht="12.75" customHeight="1" x14ac:dyDescent="0.2">
      <c r="B16299" s="11" t="s">
        <v>16</v>
      </c>
      <c r="C16299" s="11"/>
    </row>
    <row r="16300" spans="1:4" ht="12.75" customHeight="1" x14ac:dyDescent="0.2">
      <c r="B16300" s="11" t="s">
        <v>13</v>
      </c>
      <c r="C16300" s="11" t="s">
        <v>2644</v>
      </c>
    </row>
    <row r="16301" spans="1:4" ht="12.75" customHeight="1" x14ac:dyDescent="0.2">
      <c r="B16301" s="11" t="s">
        <v>2603</v>
      </c>
      <c r="C16301" s="11" t="s">
        <v>2604</v>
      </c>
    </row>
    <row r="16302" spans="1:4" ht="12.75" customHeight="1" x14ac:dyDescent="0.2">
      <c r="B16302" s="11" t="s">
        <v>2605</v>
      </c>
      <c r="C16302" s="11" t="s">
        <v>14</v>
      </c>
    </row>
    <row r="16303" spans="1:4" ht="12.75" customHeight="1" x14ac:dyDescent="0.2">
      <c r="B16303" s="11" t="s">
        <v>2606</v>
      </c>
      <c r="C16303" s="16" t="s">
        <v>44</v>
      </c>
      <c r="D16303" s="6" t="str">
        <f>HYPERLINK("javascript:void(0)","vasorr")</f>
        <v>vasorr</v>
      </c>
    </row>
    <row r="16304" spans="1:4" ht="12.75" customHeight="1" x14ac:dyDescent="0.2">
      <c r="C16304" s="16" t="s">
        <v>780</v>
      </c>
      <c r="D16304" s="6" t="str">
        <f>HYPERLINK("javascript:void(0)","kincs")</f>
        <v>kincs</v>
      </c>
    </row>
    <row r="16305" spans="1:4" ht="12.75" customHeight="1" x14ac:dyDescent="0.2">
      <c r="B16305" s="2"/>
      <c r="C16305" s="15"/>
      <c r="D16305" s="2"/>
    </row>
    <row r="16306" spans="1:4" ht="12.75" customHeight="1" x14ac:dyDescent="0.2">
      <c r="B16306" s="2"/>
      <c r="C16306" s="15"/>
      <c r="D16306" s="2"/>
    </row>
    <row r="16307" spans="1:4" ht="12.75" customHeight="1" x14ac:dyDescent="0.2">
      <c r="A16307" s="13" t="s">
        <v>5203</v>
      </c>
      <c r="C16307" s="12"/>
    </row>
    <row r="16308" spans="1:4" ht="12.75" customHeight="1" x14ac:dyDescent="0.2">
      <c r="A16308" s="11"/>
      <c r="B16308" s="2"/>
      <c r="C16308" s="15"/>
      <c r="D16308" s="2"/>
    </row>
    <row r="16309" spans="1:4" ht="12.75" customHeight="1" x14ac:dyDescent="0.2">
      <c r="B16309" s="11" t="s">
        <v>0</v>
      </c>
      <c r="C16309" s="11" t="s">
        <v>926</v>
      </c>
    </row>
    <row r="16310" spans="1:4" ht="12.75" customHeight="1" x14ac:dyDescent="0.2">
      <c r="B16310" s="11" t="s">
        <v>2599</v>
      </c>
      <c r="C16310" s="11" t="s">
        <v>5204</v>
      </c>
    </row>
    <row r="16311" spans="1:4" ht="25.5" customHeight="1" x14ac:dyDescent="0.2">
      <c r="B16311" s="11" t="s">
        <v>2600</v>
      </c>
      <c r="C16311" s="11" t="s">
        <v>5205</v>
      </c>
    </row>
    <row r="16312" spans="1:4" ht="25.5" customHeight="1" x14ac:dyDescent="0.2">
      <c r="B16312" s="11" t="s">
        <v>2601</v>
      </c>
      <c r="C16312" s="11"/>
    </row>
    <row r="16313" spans="1:4" ht="12.75" customHeight="1" x14ac:dyDescent="0.2">
      <c r="B16313" s="11" t="s">
        <v>16</v>
      </c>
      <c r="C16313" s="11"/>
    </row>
    <row r="16314" spans="1:4" ht="12.75" customHeight="1" x14ac:dyDescent="0.2">
      <c r="B16314" s="11" t="s">
        <v>13</v>
      </c>
      <c r="C16314" s="11" t="s">
        <v>2644</v>
      </c>
    </row>
    <row r="16315" spans="1:4" ht="12.75" customHeight="1" x14ac:dyDescent="0.2">
      <c r="B16315" s="11" t="s">
        <v>2603</v>
      </c>
      <c r="C16315" s="11" t="s">
        <v>2604</v>
      </c>
    </row>
    <row r="16316" spans="1:4" ht="12.75" customHeight="1" x14ac:dyDescent="0.2">
      <c r="B16316" s="11" t="s">
        <v>2605</v>
      </c>
      <c r="C16316" s="11" t="s">
        <v>14</v>
      </c>
    </row>
    <row r="16317" spans="1:4" ht="12.75" customHeight="1" x14ac:dyDescent="0.2">
      <c r="B16317" s="11" t="s">
        <v>2606</v>
      </c>
      <c r="C16317" s="16" t="s">
        <v>772</v>
      </c>
      <c r="D16317" s="6" t="str">
        <f>HYPERLINK("javascript:void(0)","kincs")</f>
        <v>kincs</v>
      </c>
    </row>
    <row r="16318" spans="1:4" ht="12.75" customHeight="1" x14ac:dyDescent="0.2">
      <c r="B16318" s="2"/>
      <c r="C16318" s="15"/>
      <c r="D16318" s="2"/>
    </row>
    <row r="16319" spans="1:4" ht="12.75" customHeight="1" x14ac:dyDescent="0.2">
      <c r="B16319" s="2"/>
      <c r="C16319" s="15"/>
      <c r="D16319" s="2"/>
    </row>
    <row r="16320" spans="1:4" ht="12.75" customHeight="1" x14ac:dyDescent="0.2">
      <c r="A16320" s="13" t="s">
        <v>5206</v>
      </c>
      <c r="C16320" s="12"/>
    </row>
    <row r="16321" spans="1:4" ht="12.75" customHeight="1" x14ac:dyDescent="0.2">
      <c r="A16321" s="11"/>
      <c r="B16321" s="2"/>
      <c r="C16321" s="15"/>
      <c r="D16321" s="2"/>
    </row>
    <row r="16322" spans="1:4" ht="12.75" customHeight="1" x14ac:dyDescent="0.2">
      <c r="B16322" s="11" t="s">
        <v>0</v>
      </c>
      <c r="C16322" s="11" t="s">
        <v>926</v>
      </c>
    </row>
    <row r="16323" spans="1:4" ht="12.75" customHeight="1" x14ac:dyDescent="0.2">
      <c r="B16323" s="11" t="s">
        <v>2599</v>
      </c>
      <c r="C16323" s="11" t="s">
        <v>5207</v>
      </c>
    </row>
    <row r="16324" spans="1:4" ht="25.5" customHeight="1" x14ac:dyDescent="0.2">
      <c r="B16324" s="11" t="s">
        <v>2600</v>
      </c>
      <c r="C16324" s="11" t="s">
        <v>5208</v>
      </c>
    </row>
    <row r="16325" spans="1:4" ht="25.5" customHeight="1" x14ac:dyDescent="0.2">
      <c r="B16325" s="11" t="s">
        <v>2601</v>
      </c>
      <c r="C16325" s="11"/>
    </row>
    <row r="16326" spans="1:4" ht="12.75" customHeight="1" x14ac:dyDescent="0.2">
      <c r="B16326" s="11" t="s">
        <v>16</v>
      </c>
      <c r="C16326" s="11"/>
    </row>
    <row r="16327" spans="1:4" ht="12.75" customHeight="1" x14ac:dyDescent="0.2">
      <c r="B16327" s="11" t="s">
        <v>13</v>
      </c>
      <c r="C16327" s="11" t="s">
        <v>2644</v>
      </c>
    </row>
    <row r="16328" spans="1:4" ht="12.75" customHeight="1" x14ac:dyDescent="0.2">
      <c r="B16328" s="11" t="s">
        <v>2603</v>
      </c>
      <c r="C16328" s="11" t="s">
        <v>2604</v>
      </c>
    </row>
    <row r="16329" spans="1:4" ht="12.75" customHeight="1" x14ac:dyDescent="0.2">
      <c r="B16329" s="11" t="s">
        <v>2605</v>
      </c>
      <c r="C16329" s="11" t="s">
        <v>24</v>
      </c>
    </row>
    <row r="16330" spans="1:4" ht="12.75" customHeight="1" x14ac:dyDescent="0.2">
      <c r="B16330" s="11" t="s">
        <v>2606</v>
      </c>
      <c r="C16330" s="16" t="s">
        <v>44</v>
      </c>
      <c r="D16330" s="6" t="str">
        <f>HYPERLINK("javascript:void(0)","banánhéj")</f>
        <v>banánhéj</v>
      </c>
    </row>
    <row r="16331" spans="1:4" ht="12.75" customHeight="1" x14ac:dyDescent="0.2">
      <c r="C16331" s="16" t="s">
        <v>44</v>
      </c>
      <c r="D16331" s="6" t="str">
        <f>HYPERLINK("javascript:void(0)","gorillanyelv")</f>
        <v>gorillanyelv</v>
      </c>
    </row>
    <row r="16332" spans="1:4" ht="25.5" customHeight="1" x14ac:dyDescent="0.2">
      <c r="C16332" s="16" t="s">
        <v>57</v>
      </c>
      <c r="D16332" s="6" t="str">
        <f>HYPERLINK("javascript:void(0)","szent szimbólum")</f>
        <v>szent szimbólum</v>
      </c>
    </row>
    <row r="16333" spans="1:4" ht="12.75" customHeight="1" x14ac:dyDescent="0.2">
      <c r="B16333" s="2"/>
      <c r="C16333" s="15"/>
      <c r="D16333" s="2"/>
    </row>
    <row r="16334" spans="1:4" ht="12.75" customHeight="1" x14ac:dyDescent="0.2">
      <c r="B16334" s="2"/>
      <c r="C16334" s="15"/>
      <c r="D16334" s="2"/>
    </row>
    <row r="16335" spans="1:4" ht="12.75" customHeight="1" x14ac:dyDescent="0.2">
      <c r="A16335" s="13" t="s">
        <v>5209</v>
      </c>
      <c r="C16335" s="12"/>
    </row>
    <row r="16336" spans="1:4" ht="12.75" customHeight="1" x14ac:dyDescent="0.2">
      <c r="A16336" s="11"/>
      <c r="B16336" s="2"/>
      <c r="C16336" s="15"/>
      <c r="D16336" s="2"/>
    </row>
    <row r="16337" spans="1:4" ht="12.75" customHeight="1" x14ac:dyDescent="0.2">
      <c r="B16337" s="11" t="s">
        <v>0</v>
      </c>
      <c r="C16337" s="11" t="s">
        <v>926</v>
      </c>
    </row>
    <row r="16338" spans="1:4" ht="12.75" customHeight="1" x14ac:dyDescent="0.2">
      <c r="B16338" s="11" t="s">
        <v>2599</v>
      </c>
      <c r="C16338" s="11" t="s">
        <v>5210</v>
      </c>
    </row>
    <row r="16339" spans="1:4" ht="25.5" customHeight="1" x14ac:dyDescent="0.2">
      <c r="B16339" s="11" t="s">
        <v>2600</v>
      </c>
      <c r="C16339" s="11" t="s">
        <v>5211</v>
      </c>
    </row>
    <row r="16340" spans="1:4" ht="25.5" customHeight="1" x14ac:dyDescent="0.2">
      <c r="B16340" s="11" t="s">
        <v>2601</v>
      </c>
      <c r="C16340" s="11"/>
    </row>
    <row r="16341" spans="1:4" ht="12.75" customHeight="1" x14ac:dyDescent="0.2">
      <c r="B16341" s="11" t="s">
        <v>16</v>
      </c>
      <c r="C16341" s="11"/>
    </row>
    <row r="16342" spans="1:4" ht="12.75" customHeight="1" x14ac:dyDescent="0.2">
      <c r="B16342" s="11" t="s">
        <v>13</v>
      </c>
      <c r="C16342" s="11" t="s">
        <v>2602</v>
      </c>
    </row>
    <row r="16343" spans="1:4" ht="12.75" customHeight="1" x14ac:dyDescent="0.2">
      <c r="B16343" s="11" t="s">
        <v>2603</v>
      </c>
      <c r="C16343" s="11" t="s">
        <v>2604</v>
      </c>
    </row>
    <row r="16344" spans="1:4" ht="12.75" customHeight="1" x14ac:dyDescent="0.2">
      <c r="B16344" s="11" t="s">
        <v>2605</v>
      </c>
      <c r="C16344" s="11" t="s">
        <v>14</v>
      </c>
    </row>
    <row r="16345" spans="1:4" ht="12.75" customHeight="1" x14ac:dyDescent="0.2">
      <c r="B16345" s="11" t="s">
        <v>2606</v>
      </c>
      <c r="C16345" s="16" t="s">
        <v>1935</v>
      </c>
      <c r="D16345" s="6" t="str">
        <f>HYPERLINK("javascript:void(0)","ezüst")</f>
        <v>ezüst</v>
      </c>
    </row>
    <row r="16346" spans="1:4" ht="12.75" customHeight="1" x14ac:dyDescent="0.2">
      <c r="C16346" s="16" t="s">
        <v>240</v>
      </c>
      <c r="D16346" s="6" t="str">
        <f>HYPERLINK("javascript:void(0)","kincs")</f>
        <v>kincs</v>
      </c>
    </row>
    <row r="16347" spans="1:4" ht="12.75" customHeight="1" x14ac:dyDescent="0.2">
      <c r="B16347" s="2"/>
      <c r="C16347" s="15"/>
      <c r="D16347" s="2"/>
    </row>
    <row r="16348" spans="1:4" ht="12.75" customHeight="1" x14ac:dyDescent="0.2">
      <c r="B16348" s="2"/>
      <c r="C16348" s="15"/>
      <c r="D16348" s="2"/>
    </row>
    <row r="16349" spans="1:4" ht="12.75" customHeight="1" x14ac:dyDescent="0.2">
      <c r="A16349" s="13" t="s">
        <v>5212</v>
      </c>
      <c r="C16349" s="12"/>
    </row>
    <row r="16350" spans="1:4" ht="12.75" customHeight="1" x14ac:dyDescent="0.2">
      <c r="A16350" s="11"/>
      <c r="B16350" s="2"/>
      <c r="C16350" s="15"/>
      <c r="D16350" s="2"/>
    </row>
    <row r="16351" spans="1:4" ht="12.75" customHeight="1" x14ac:dyDescent="0.2">
      <c r="B16351" s="11" t="s">
        <v>0</v>
      </c>
      <c r="C16351" s="11" t="s">
        <v>926</v>
      </c>
    </row>
    <row r="16352" spans="1:4" ht="12.75" customHeight="1" x14ac:dyDescent="0.2">
      <c r="B16352" s="11" t="s">
        <v>2599</v>
      </c>
      <c r="C16352" s="11" t="s">
        <v>2538</v>
      </c>
    </row>
    <row r="16353" spans="1:4" ht="25.5" customHeight="1" x14ac:dyDescent="0.2">
      <c r="B16353" s="11" t="s">
        <v>2600</v>
      </c>
      <c r="C16353" s="11" t="s">
        <v>5213</v>
      </c>
    </row>
    <row r="16354" spans="1:4" ht="25.5" customHeight="1" x14ac:dyDescent="0.2">
      <c r="B16354" s="11" t="s">
        <v>2601</v>
      </c>
      <c r="C16354" s="11"/>
    </row>
    <row r="16355" spans="1:4" ht="12.75" customHeight="1" x14ac:dyDescent="0.2">
      <c r="B16355" s="11" t="s">
        <v>16</v>
      </c>
      <c r="C16355" s="11"/>
    </row>
    <row r="16356" spans="1:4" ht="12.75" customHeight="1" x14ac:dyDescent="0.2">
      <c r="B16356" s="11" t="s">
        <v>13</v>
      </c>
      <c r="C16356" s="11" t="s">
        <v>2644</v>
      </c>
    </row>
    <row r="16357" spans="1:4" ht="12.75" customHeight="1" x14ac:dyDescent="0.2">
      <c r="B16357" s="11" t="s">
        <v>2603</v>
      </c>
      <c r="C16357" s="11" t="s">
        <v>2604</v>
      </c>
    </row>
    <row r="16358" spans="1:4" ht="12.75" customHeight="1" x14ac:dyDescent="0.2">
      <c r="B16358" s="11" t="s">
        <v>2605</v>
      </c>
      <c r="C16358" s="11" t="s">
        <v>24</v>
      </c>
    </row>
    <row r="16359" spans="1:4" ht="12.75" customHeight="1" x14ac:dyDescent="0.2">
      <c r="B16359" s="11" t="s">
        <v>2606</v>
      </c>
      <c r="C16359" s="16" t="s">
        <v>44</v>
      </c>
      <c r="D16359" s="6" t="str">
        <f>HYPERLINK("javascript:void(0)","molekula")</f>
        <v>molekula</v>
      </c>
    </row>
    <row r="16360" spans="1:4" ht="12.75" customHeight="1" x14ac:dyDescent="0.2">
      <c r="C16360" s="16" t="s">
        <v>117</v>
      </c>
      <c r="D16360" s="6" t="str">
        <f>HYPERLINK("javascript:void(0)","kincs")</f>
        <v>kincs</v>
      </c>
    </row>
    <row r="16361" spans="1:4" ht="12.75" customHeight="1" x14ac:dyDescent="0.2">
      <c r="B16361" s="2"/>
      <c r="C16361" s="15"/>
      <c r="D16361" s="2"/>
    </row>
    <row r="16362" spans="1:4" ht="12.75" customHeight="1" x14ac:dyDescent="0.2">
      <c r="B16362" s="2"/>
      <c r="C16362" s="15"/>
      <c r="D16362" s="2"/>
    </row>
    <row r="16363" spans="1:4" ht="12.75" customHeight="1" x14ac:dyDescent="0.2">
      <c r="A16363" s="13" t="s">
        <v>5134</v>
      </c>
      <c r="C16363" s="12"/>
      <c r="D16363" s="2"/>
    </row>
    <row r="16364" spans="1:4" ht="12.75" customHeight="1" x14ac:dyDescent="0.2">
      <c r="A16364" s="11"/>
      <c r="B16364" s="2"/>
      <c r="C16364" s="15"/>
      <c r="D16364" s="2"/>
    </row>
    <row r="16365" spans="1:4" ht="12.75" customHeight="1" x14ac:dyDescent="0.2">
      <c r="B16365" s="11" t="s">
        <v>0</v>
      </c>
      <c r="C16365" s="17" t="s">
        <v>926</v>
      </c>
      <c r="D16365" s="2"/>
    </row>
    <row r="16366" spans="1:4" ht="12.75" customHeight="1" x14ac:dyDescent="0.2">
      <c r="B16366" s="11" t="s">
        <v>2599</v>
      </c>
      <c r="C16366" s="17" t="s">
        <v>5135</v>
      </c>
      <c r="D16366" s="2"/>
    </row>
    <row r="16367" spans="1:4" ht="25.5" customHeight="1" x14ac:dyDescent="0.2">
      <c r="B16367" s="11" t="s">
        <v>2600</v>
      </c>
      <c r="C16367" s="17" t="s">
        <v>5214</v>
      </c>
      <c r="D16367" s="2"/>
    </row>
    <row r="16368" spans="1:4" ht="25.5" customHeight="1" x14ac:dyDescent="0.2">
      <c r="B16368" s="11" t="s">
        <v>2601</v>
      </c>
      <c r="C16368" s="17"/>
      <c r="D16368" s="2"/>
    </row>
    <row r="16369" spans="1:4" ht="12.75" customHeight="1" x14ac:dyDescent="0.2">
      <c r="B16369" s="11" t="s">
        <v>16</v>
      </c>
      <c r="C16369" s="17"/>
      <c r="D16369" s="2"/>
    </row>
    <row r="16370" spans="1:4" ht="12.75" customHeight="1" x14ac:dyDescent="0.2">
      <c r="B16370" s="11" t="s">
        <v>13</v>
      </c>
      <c r="C16370" s="17" t="s">
        <v>2602</v>
      </c>
      <c r="D16370" s="2"/>
    </row>
    <row r="16371" spans="1:4" ht="25.5" customHeight="1" x14ac:dyDescent="0.2">
      <c r="B16371" s="11" t="s">
        <v>2603</v>
      </c>
      <c r="C16371" s="17" t="s">
        <v>2971</v>
      </c>
      <c r="D16371" s="2"/>
    </row>
    <row r="16372" spans="1:4" ht="12.75" customHeight="1" x14ac:dyDescent="0.2">
      <c r="B16372" s="11" t="s">
        <v>2605</v>
      </c>
      <c r="C16372" s="17" t="s">
        <v>14</v>
      </c>
      <c r="D16372" s="2"/>
    </row>
    <row r="16373" spans="1:4" ht="12.75" customHeight="1" x14ac:dyDescent="0.2">
      <c r="B16373" s="11" t="s">
        <v>2606</v>
      </c>
      <c r="C16373" s="16" t="s">
        <v>19</v>
      </c>
      <c r="D16373" s="2"/>
    </row>
    <row r="16374" spans="1:4" ht="12.75" customHeight="1" x14ac:dyDescent="0.2">
      <c r="B16374" s="2"/>
      <c r="C16374" s="15"/>
      <c r="D16374" s="2"/>
    </row>
    <row r="16375" spans="1:4" ht="12.75" customHeight="1" x14ac:dyDescent="0.2">
      <c r="B16375" s="2"/>
      <c r="C16375" s="15"/>
      <c r="D16375" s="2"/>
    </row>
    <row r="16376" spans="1:4" ht="12.75" customHeight="1" x14ac:dyDescent="0.2">
      <c r="A16376" s="13" t="s">
        <v>5102</v>
      </c>
      <c r="C16376" s="12"/>
      <c r="D16376" s="2"/>
    </row>
    <row r="16377" spans="1:4" ht="12.75" customHeight="1" x14ac:dyDescent="0.2">
      <c r="A16377" s="11"/>
      <c r="B16377" s="2"/>
      <c r="C16377" s="15"/>
      <c r="D16377" s="2"/>
    </row>
    <row r="16378" spans="1:4" ht="12.75" customHeight="1" x14ac:dyDescent="0.2">
      <c r="B16378" s="11" t="s">
        <v>0</v>
      </c>
      <c r="C16378" s="17" t="s">
        <v>937</v>
      </c>
      <c r="D16378" s="2"/>
    </row>
    <row r="16379" spans="1:4" ht="12.75" customHeight="1" x14ac:dyDescent="0.2">
      <c r="B16379" s="11" t="s">
        <v>2599</v>
      </c>
      <c r="C16379" s="17" t="s">
        <v>5103</v>
      </c>
      <c r="D16379" s="2"/>
    </row>
    <row r="16380" spans="1:4" ht="25.5" customHeight="1" x14ac:dyDescent="0.2">
      <c r="B16380" s="11" t="s">
        <v>2600</v>
      </c>
      <c r="C16380" s="17" t="s">
        <v>5215</v>
      </c>
      <c r="D16380" s="2"/>
    </row>
    <row r="16381" spans="1:4" ht="25.5" customHeight="1" x14ac:dyDescent="0.2">
      <c r="B16381" s="11" t="s">
        <v>2601</v>
      </c>
      <c r="C16381" s="17"/>
      <c r="D16381" s="2"/>
    </row>
    <row r="16382" spans="1:4" ht="12.75" customHeight="1" x14ac:dyDescent="0.2">
      <c r="B16382" s="11" t="s">
        <v>16</v>
      </c>
      <c r="C16382" s="17"/>
      <c r="D16382" s="2"/>
    </row>
    <row r="16383" spans="1:4" ht="12.75" customHeight="1" x14ac:dyDescent="0.2">
      <c r="B16383" s="11" t="s">
        <v>13</v>
      </c>
      <c r="C16383" s="17" t="s">
        <v>2644</v>
      </c>
      <c r="D16383" s="2"/>
    </row>
    <row r="16384" spans="1:4" ht="25.5" customHeight="1" x14ac:dyDescent="0.2">
      <c r="B16384" s="11" t="s">
        <v>2603</v>
      </c>
      <c r="C16384" s="17" t="s">
        <v>2971</v>
      </c>
      <c r="D16384" s="2"/>
    </row>
    <row r="16385" spans="1:4" ht="12.75" customHeight="1" x14ac:dyDescent="0.2">
      <c r="B16385" s="11" t="s">
        <v>2605</v>
      </c>
      <c r="C16385" s="17" t="s">
        <v>14</v>
      </c>
      <c r="D16385" s="2"/>
    </row>
    <row r="16386" spans="1:4" ht="12.75" customHeight="1" x14ac:dyDescent="0.2">
      <c r="B16386" s="11" t="s">
        <v>2606</v>
      </c>
      <c r="C16386" s="16" t="s">
        <v>19</v>
      </c>
      <c r="D16386" s="2"/>
    </row>
    <row r="16387" spans="1:4" ht="12.75" customHeight="1" x14ac:dyDescent="0.2">
      <c r="B16387" s="2"/>
      <c r="C16387" s="15"/>
      <c r="D16387" s="2"/>
    </row>
    <row r="16388" spans="1:4" ht="12.75" customHeight="1" x14ac:dyDescent="0.2">
      <c r="B16388" s="2"/>
      <c r="C16388" s="15"/>
      <c r="D16388" s="2"/>
    </row>
    <row r="16389" spans="1:4" ht="12.75" customHeight="1" x14ac:dyDescent="0.2">
      <c r="A16389" s="13" t="s">
        <v>5105</v>
      </c>
      <c r="C16389" s="12"/>
      <c r="D16389" s="2"/>
    </row>
    <row r="16390" spans="1:4" ht="12.75" customHeight="1" x14ac:dyDescent="0.2">
      <c r="A16390" s="11"/>
      <c r="B16390" s="2"/>
      <c r="C16390" s="15"/>
      <c r="D16390" s="2"/>
    </row>
    <row r="16391" spans="1:4" ht="12.75" customHeight="1" x14ac:dyDescent="0.2">
      <c r="B16391" s="11" t="s">
        <v>0</v>
      </c>
      <c r="C16391" s="17" t="s">
        <v>937</v>
      </c>
      <c r="D16391" s="2"/>
    </row>
    <row r="16392" spans="1:4" ht="12.75" customHeight="1" x14ac:dyDescent="0.2">
      <c r="B16392" s="11" t="s">
        <v>2599</v>
      </c>
      <c r="C16392" s="17" t="s">
        <v>5106</v>
      </c>
      <c r="D16392" s="2"/>
    </row>
    <row r="16393" spans="1:4" ht="25.5" customHeight="1" x14ac:dyDescent="0.2">
      <c r="B16393" s="11" t="s">
        <v>2600</v>
      </c>
      <c r="C16393" s="17" t="s">
        <v>5216</v>
      </c>
      <c r="D16393" s="2"/>
    </row>
    <row r="16394" spans="1:4" ht="25.5" customHeight="1" x14ac:dyDescent="0.2">
      <c r="B16394" s="11" t="s">
        <v>2601</v>
      </c>
      <c r="C16394" s="17"/>
      <c r="D16394" s="2"/>
    </row>
    <row r="16395" spans="1:4" ht="12.75" customHeight="1" x14ac:dyDescent="0.2">
      <c r="B16395" s="11" t="s">
        <v>16</v>
      </c>
      <c r="C16395" s="17"/>
      <c r="D16395" s="2"/>
    </row>
    <row r="16396" spans="1:4" ht="12.75" customHeight="1" x14ac:dyDescent="0.2">
      <c r="B16396" s="11" t="s">
        <v>13</v>
      </c>
      <c r="C16396" s="17" t="s">
        <v>2602</v>
      </c>
      <c r="D16396" s="2"/>
    </row>
    <row r="16397" spans="1:4" ht="25.5" customHeight="1" x14ac:dyDescent="0.2">
      <c r="B16397" s="11" t="s">
        <v>2603</v>
      </c>
      <c r="C16397" s="17" t="s">
        <v>2971</v>
      </c>
      <c r="D16397" s="2"/>
    </row>
    <row r="16398" spans="1:4" ht="12.75" customHeight="1" x14ac:dyDescent="0.2">
      <c r="B16398" s="11" t="s">
        <v>2605</v>
      </c>
      <c r="C16398" s="17" t="s">
        <v>14</v>
      </c>
      <c r="D16398" s="2"/>
    </row>
    <row r="16399" spans="1:4" ht="12.75" customHeight="1" x14ac:dyDescent="0.2">
      <c r="B16399" s="11" t="s">
        <v>2606</v>
      </c>
      <c r="C16399" s="16" t="s">
        <v>19</v>
      </c>
      <c r="D16399" s="2"/>
    </row>
    <row r="16400" spans="1:4" ht="12.75" customHeight="1" x14ac:dyDescent="0.2">
      <c r="B16400" s="2"/>
      <c r="C16400" s="15"/>
      <c r="D16400" s="2"/>
    </row>
    <row r="16401" spans="1:4" ht="12.75" customHeight="1" x14ac:dyDescent="0.2">
      <c r="B16401" s="2"/>
      <c r="C16401" s="15"/>
      <c r="D16401" s="2"/>
    </row>
    <row r="16402" spans="1:4" ht="12.75" customHeight="1" x14ac:dyDescent="0.2">
      <c r="A16402" s="13" t="s">
        <v>5108</v>
      </c>
      <c r="C16402" s="12"/>
      <c r="D16402" s="2"/>
    </row>
    <row r="16403" spans="1:4" ht="12.75" customHeight="1" x14ac:dyDescent="0.2">
      <c r="A16403" s="11"/>
      <c r="B16403" s="2"/>
      <c r="C16403" s="15"/>
      <c r="D16403" s="2"/>
    </row>
    <row r="16404" spans="1:4" ht="12.75" customHeight="1" x14ac:dyDescent="0.2">
      <c r="B16404" s="11" t="s">
        <v>0</v>
      </c>
      <c r="C16404" s="17" t="s">
        <v>937</v>
      </c>
      <c r="D16404" s="2"/>
    </row>
    <row r="16405" spans="1:4" ht="12.75" customHeight="1" x14ac:dyDescent="0.2">
      <c r="B16405" s="11" t="s">
        <v>2599</v>
      </c>
      <c r="C16405" s="17" t="s">
        <v>5109</v>
      </c>
      <c r="D16405" s="2"/>
    </row>
    <row r="16406" spans="1:4" ht="25.5" customHeight="1" x14ac:dyDescent="0.2">
      <c r="B16406" s="11" t="s">
        <v>2600</v>
      </c>
      <c r="C16406" s="17" t="s">
        <v>5217</v>
      </c>
      <c r="D16406" s="2"/>
    </row>
    <row r="16407" spans="1:4" ht="25.5" customHeight="1" x14ac:dyDescent="0.2">
      <c r="B16407" s="11" t="s">
        <v>2601</v>
      </c>
      <c r="C16407" s="17"/>
      <c r="D16407" s="2"/>
    </row>
    <row r="16408" spans="1:4" ht="12.75" customHeight="1" x14ac:dyDescent="0.2">
      <c r="B16408" s="11" t="s">
        <v>16</v>
      </c>
      <c r="C16408" s="17"/>
      <c r="D16408" s="2"/>
    </row>
    <row r="16409" spans="1:4" ht="12.75" customHeight="1" x14ac:dyDescent="0.2">
      <c r="B16409" s="11" t="s">
        <v>13</v>
      </c>
      <c r="C16409" s="17" t="s">
        <v>2644</v>
      </c>
      <c r="D16409" s="2"/>
    </row>
    <row r="16410" spans="1:4" ht="25.5" customHeight="1" x14ac:dyDescent="0.2">
      <c r="B16410" s="11" t="s">
        <v>2603</v>
      </c>
      <c r="C16410" s="17" t="s">
        <v>2971</v>
      </c>
      <c r="D16410" s="2"/>
    </row>
    <row r="16411" spans="1:4" ht="12.75" customHeight="1" x14ac:dyDescent="0.2">
      <c r="B16411" s="11" t="s">
        <v>2605</v>
      </c>
      <c r="C16411" s="17" t="s">
        <v>14</v>
      </c>
      <c r="D16411" s="2"/>
    </row>
    <row r="16412" spans="1:4" ht="12.75" customHeight="1" x14ac:dyDescent="0.2">
      <c r="B16412" s="11" t="s">
        <v>2606</v>
      </c>
      <c r="C16412" s="16" t="s">
        <v>19</v>
      </c>
      <c r="D16412" s="2"/>
    </row>
    <row r="16413" spans="1:4" ht="12.75" customHeight="1" x14ac:dyDescent="0.2">
      <c r="B16413" s="2"/>
      <c r="C16413" s="15"/>
      <c r="D16413" s="2"/>
    </row>
    <row r="16414" spans="1:4" ht="12.75" customHeight="1" x14ac:dyDescent="0.2">
      <c r="B16414" s="2"/>
      <c r="C16414" s="15"/>
      <c r="D16414" s="2"/>
    </row>
    <row r="16415" spans="1:4" ht="12.75" customHeight="1" x14ac:dyDescent="0.2">
      <c r="A16415" s="13" t="s">
        <v>5218</v>
      </c>
      <c r="C16415" s="12"/>
    </row>
    <row r="16416" spans="1:4" ht="12.75" customHeight="1" x14ac:dyDescent="0.2">
      <c r="A16416" s="11"/>
      <c r="B16416" s="2"/>
      <c r="C16416" s="15"/>
      <c r="D16416" s="2"/>
    </row>
    <row r="16417" spans="1:4" ht="12.75" customHeight="1" x14ac:dyDescent="0.2">
      <c r="B16417" s="11" t="s">
        <v>0</v>
      </c>
      <c r="C16417" s="11" t="s">
        <v>937</v>
      </c>
    </row>
    <row r="16418" spans="1:4" ht="12.75" customHeight="1" x14ac:dyDescent="0.2">
      <c r="B16418" s="11" t="s">
        <v>2599</v>
      </c>
      <c r="C16418" s="11" t="s">
        <v>5219</v>
      </c>
    </row>
    <row r="16419" spans="1:4" ht="25.5" customHeight="1" x14ac:dyDescent="0.2">
      <c r="B16419" s="11" t="s">
        <v>2600</v>
      </c>
      <c r="C16419" s="11" t="s">
        <v>5220</v>
      </c>
    </row>
    <row r="16420" spans="1:4" ht="25.5" customHeight="1" x14ac:dyDescent="0.2">
      <c r="B16420" s="11" t="s">
        <v>2601</v>
      </c>
      <c r="C16420" s="11"/>
    </row>
    <row r="16421" spans="1:4" ht="12.75" customHeight="1" x14ac:dyDescent="0.2">
      <c r="B16421" s="11" t="s">
        <v>16</v>
      </c>
      <c r="C16421" s="11"/>
    </row>
    <row r="16422" spans="1:4" ht="12.75" customHeight="1" x14ac:dyDescent="0.2">
      <c r="B16422" s="11" t="s">
        <v>13</v>
      </c>
      <c r="C16422" s="11" t="s">
        <v>2644</v>
      </c>
    </row>
    <row r="16423" spans="1:4" ht="12.75" customHeight="1" x14ac:dyDescent="0.2">
      <c r="B16423" s="11" t="s">
        <v>2603</v>
      </c>
      <c r="C16423" s="11" t="s">
        <v>2604</v>
      </c>
    </row>
    <row r="16424" spans="1:4" ht="12.75" customHeight="1" x14ac:dyDescent="0.2">
      <c r="B16424" s="11" t="s">
        <v>2605</v>
      </c>
      <c r="C16424" s="11" t="s">
        <v>24</v>
      </c>
    </row>
    <row r="16425" spans="1:4" ht="12.75" customHeight="1" x14ac:dyDescent="0.2">
      <c r="B16425" s="11" t="s">
        <v>2606</v>
      </c>
      <c r="C16425" s="16" t="s">
        <v>936</v>
      </c>
      <c r="D16425" s="6" t="str">
        <f>HYPERLINK("javascript:void(0)","kincs")</f>
        <v>kincs</v>
      </c>
    </row>
    <row r="16426" spans="1:4" ht="12.75" customHeight="1" x14ac:dyDescent="0.2">
      <c r="C16426" s="16" t="s">
        <v>56</v>
      </c>
      <c r="D16426" s="6" t="str">
        <f>HYPERLINK("javascript:void(0)","melegige")</f>
        <v>melegige</v>
      </c>
    </row>
    <row r="16427" spans="1:4" ht="12.75" customHeight="1" x14ac:dyDescent="0.2">
      <c r="B16427" s="2"/>
      <c r="C16427" s="15"/>
      <c r="D16427" s="2"/>
    </row>
    <row r="16428" spans="1:4" ht="12.75" customHeight="1" x14ac:dyDescent="0.2">
      <c r="B16428" s="2"/>
      <c r="C16428" s="15"/>
      <c r="D16428" s="2"/>
    </row>
    <row r="16429" spans="1:4" ht="12.75" customHeight="1" x14ac:dyDescent="0.2">
      <c r="A16429" s="13" t="s">
        <v>5221</v>
      </c>
      <c r="C16429" s="12"/>
    </row>
    <row r="16430" spans="1:4" ht="12.75" customHeight="1" x14ac:dyDescent="0.2">
      <c r="A16430" s="11"/>
      <c r="B16430" s="2"/>
      <c r="C16430" s="15"/>
      <c r="D16430" s="2"/>
    </row>
    <row r="16431" spans="1:4" ht="12.75" customHeight="1" x14ac:dyDescent="0.2">
      <c r="B16431" s="11" t="s">
        <v>0</v>
      </c>
      <c r="C16431" s="11" t="s">
        <v>937</v>
      </c>
    </row>
    <row r="16432" spans="1:4" ht="12.75" customHeight="1" x14ac:dyDescent="0.2">
      <c r="B16432" s="11" t="s">
        <v>2599</v>
      </c>
      <c r="C16432" s="11" t="s">
        <v>5222</v>
      </c>
    </row>
    <row r="16433" spans="1:4" ht="25.5" customHeight="1" x14ac:dyDescent="0.2">
      <c r="B16433" s="11" t="s">
        <v>2600</v>
      </c>
      <c r="C16433" s="11" t="s">
        <v>5223</v>
      </c>
    </row>
    <row r="16434" spans="1:4" ht="25.5" customHeight="1" x14ac:dyDescent="0.2">
      <c r="B16434" s="11" t="s">
        <v>2601</v>
      </c>
      <c r="C16434" s="11"/>
    </row>
    <row r="16435" spans="1:4" ht="12.75" customHeight="1" x14ac:dyDescent="0.2">
      <c r="B16435" s="11" t="s">
        <v>16</v>
      </c>
      <c r="C16435" s="11"/>
    </row>
    <row r="16436" spans="1:4" ht="12.75" customHeight="1" x14ac:dyDescent="0.2">
      <c r="B16436" s="11" t="s">
        <v>13</v>
      </c>
      <c r="C16436" s="11" t="s">
        <v>2602</v>
      </c>
    </row>
    <row r="16437" spans="1:4" ht="12.75" customHeight="1" x14ac:dyDescent="0.2">
      <c r="B16437" s="11" t="s">
        <v>2603</v>
      </c>
      <c r="C16437" s="11" t="s">
        <v>2604</v>
      </c>
    </row>
    <row r="16438" spans="1:4" ht="12.75" customHeight="1" x14ac:dyDescent="0.2">
      <c r="B16438" s="11" t="s">
        <v>2605</v>
      </c>
      <c r="C16438" s="11" t="s">
        <v>14</v>
      </c>
    </row>
    <row r="16439" spans="1:4" ht="12.75" customHeight="1" x14ac:dyDescent="0.2">
      <c r="B16439" s="11" t="s">
        <v>2606</v>
      </c>
      <c r="C16439" s="16" t="s">
        <v>98</v>
      </c>
      <c r="D16439" s="6" t="str">
        <f>HYPERLINK("javascript:void(0)","kincs")</f>
        <v>kincs</v>
      </c>
    </row>
    <row r="16440" spans="1:4" ht="12.75" customHeight="1" x14ac:dyDescent="0.2">
      <c r="B16440" s="2"/>
      <c r="C16440" s="15"/>
      <c r="D16440" s="2"/>
    </row>
    <row r="16441" spans="1:4" ht="12.75" customHeight="1" x14ac:dyDescent="0.2">
      <c r="B16441" s="2"/>
      <c r="C16441" s="15"/>
      <c r="D16441" s="2"/>
    </row>
    <row r="16442" spans="1:4" ht="12.75" customHeight="1" x14ac:dyDescent="0.2">
      <c r="A16442" s="13" t="s">
        <v>5224</v>
      </c>
      <c r="C16442" s="12"/>
    </row>
    <row r="16443" spans="1:4" ht="12.75" customHeight="1" x14ac:dyDescent="0.2">
      <c r="A16443" s="11"/>
      <c r="B16443" s="2"/>
      <c r="C16443" s="15"/>
      <c r="D16443" s="2"/>
    </row>
    <row r="16444" spans="1:4" ht="12.75" customHeight="1" x14ac:dyDescent="0.2">
      <c r="B16444" s="11" t="s">
        <v>0</v>
      </c>
      <c r="C16444" s="11" t="s">
        <v>937</v>
      </c>
    </row>
    <row r="16445" spans="1:4" ht="12.75" customHeight="1" x14ac:dyDescent="0.2">
      <c r="B16445" s="11" t="s">
        <v>2599</v>
      </c>
      <c r="C16445" s="11" t="s">
        <v>3666</v>
      </c>
    </row>
    <row r="16446" spans="1:4" ht="25.5" customHeight="1" x14ac:dyDescent="0.2">
      <c r="B16446" s="11" t="s">
        <v>2600</v>
      </c>
      <c r="C16446" s="11" t="s">
        <v>5225</v>
      </c>
    </row>
    <row r="16447" spans="1:4" ht="25.5" customHeight="1" x14ac:dyDescent="0.2">
      <c r="B16447" s="11" t="s">
        <v>2601</v>
      </c>
      <c r="C16447" s="11"/>
    </row>
    <row r="16448" spans="1:4" ht="12.75" customHeight="1" x14ac:dyDescent="0.2">
      <c r="B16448" s="11" t="s">
        <v>16</v>
      </c>
      <c r="C16448" s="11"/>
    </row>
    <row r="16449" spans="1:4" ht="12.75" customHeight="1" x14ac:dyDescent="0.2">
      <c r="B16449" s="11" t="s">
        <v>13</v>
      </c>
      <c r="C16449" s="11" t="s">
        <v>2602</v>
      </c>
    </row>
    <row r="16450" spans="1:4" ht="12.75" customHeight="1" x14ac:dyDescent="0.2">
      <c r="B16450" s="11" t="s">
        <v>2603</v>
      </c>
      <c r="C16450" s="11" t="s">
        <v>2604</v>
      </c>
    </row>
    <row r="16451" spans="1:4" ht="12.75" customHeight="1" x14ac:dyDescent="0.2">
      <c r="B16451" s="11" t="s">
        <v>2605</v>
      </c>
      <c r="C16451" s="11" t="s">
        <v>24</v>
      </c>
    </row>
    <row r="16452" spans="1:4" ht="12.75" customHeight="1" x14ac:dyDescent="0.2">
      <c r="B16452" s="11" t="s">
        <v>2606</v>
      </c>
      <c r="C16452" s="16" t="s">
        <v>44</v>
      </c>
      <c r="D16452" s="6" t="str">
        <f>HYPERLINK("javascript:void(0)","tépőfog")</f>
        <v>tépőfog</v>
      </c>
    </row>
    <row r="16453" spans="1:4" ht="12.75" customHeight="1" x14ac:dyDescent="0.2">
      <c r="C16453" s="16" t="s">
        <v>67</v>
      </c>
      <c r="D16453" s="6" t="str">
        <f>HYPERLINK("javascript:void(0)","kincs")</f>
        <v>kincs</v>
      </c>
    </row>
    <row r="16454" spans="1:4" ht="12.75" customHeight="1" x14ac:dyDescent="0.2">
      <c r="B16454" s="2"/>
      <c r="C16454" s="15"/>
      <c r="D16454" s="2"/>
    </row>
    <row r="16455" spans="1:4" ht="12.75" customHeight="1" x14ac:dyDescent="0.2">
      <c r="B16455" s="2"/>
      <c r="C16455" s="15"/>
      <c r="D16455" s="2"/>
    </row>
    <row r="16456" spans="1:4" ht="12.75" customHeight="1" x14ac:dyDescent="0.2">
      <c r="A16456" s="13" t="s">
        <v>5227</v>
      </c>
      <c r="C16456" s="12"/>
    </row>
    <row r="16457" spans="1:4" ht="12.75" customHeight="1" x14ac:dyDescent="0.2">
      <c r="A16457" s="11"/>
      <c r="B16457" s="2"/>
      <c r="C16457" s="15"/>
      <c r="D16457" s="2"/>
    </row>
    <row r="16458" spans="1:4" ht="12.75" customHeight="1" x14ac:dyDescent="0.2">
      <c r="B16458" s="11" t="s">
        <v>0</v>
      </c>
      <c r="C16458" s="11" t="s">
        <v>937</v>
      </c>
    </row>
    <row r="16459" spans="1:4" ht="12.75" customHeight="1" x14ac:dyDescent="0.2">
      <c r="B16459" s="11" t="s">
        <v>2599</v>
      </c>
      <c r="C16459" s="11" t="s">
        <v>2002</v>
      </c>
    </row>
    <row r="16460" spans="1:4" ht="25.5" customHeight="1" x14ac:dyDescent="0.2">
      <c r="B16460" s="11" t="s">
        <v>2600</v>
      </c>
      <c r="C16460" s="11" t="s">
        <v>5228</v>
      </c>
    </row>
    <row r="16461" spans="1:4" ht="25.5" customHeight="1" x14ac:dyDescent="0.2">
      <c r="B16461" s="11" t="s">
        <v>2601</v>
      </c>
      <c r="C16461" s="11"/>
    </row>
    <row r="16462" spans="1:4" ht="12.75" customHeight="1" x14ac:dyDescent="0.2">
      <c r="B16462" s="11" t="s">
        <v>16</v>
      </c>
      <c r="C16462" s="11"/>
    </row>
    <row r="16463" spans="1:4" ht="12.75" customHeight="1" x14ac:dyDescent="0.2">
      <c r="B16463" s="11" t="s">
        <v>13</v>
      </c>
      <c r="C16463" s="11" t="s">
        <v>2602</v>
      </c>
    </row>
    <row r="16464" spans="1:4" ht="12.75" customHeight="1" x14ac:dyDescent="0.2">
      <c r="B16464" s="11" t="s">
        <v>2603</v>
      </c>
      <c r="C16464" s="11" t="s">
        <v>2604</v>
      </c>
    </row>
    <row r="16465" spans="1:4" ht="12.75" customHeight="1" x14ac:dyDescent="0.2">
      <c r="B16465" s="11" t="s">
        <v>2605</v>
      </c>
      <c r="C16465" s="11" t="s">
        <v>14</v>
      </c>
    </row>
    <row r="16466" spans="1:4" ht="12.75" customHeight="1" x14ac:dyDescent="0.2">
      <c r="B16466" s="11" t="s">
        <v>2606</v>
      </c>
      <c r="C16466" s="16" t="s">
        <v>98</v>
      </c>
      <c r="D16466" s="6" t="str">
        <f>HYPERLINK("javascript:void(0)","kincs")</f>
        <v>kincs</v>
      </c>
    </row>
    <row r="16467" spans="1:4" ht="12.75" customHeight="1" x14ac:dyDescent="0.2">
      <c r="B16467" s="2"/>
      <c r="C16467" s="15"/>
      <c r="D16467" s="2"/>
    </row>
    <row r="16468" spans="1:4" ht="12.75" customHeight="1" x14ac:dyDescent="0.2">
      <c r="B16468" s="2"/>
      <c r="C16468" s="15"/>
      <c r="D16468" s="2"/>
    </row>
    <row r="16469" spans="1:4" ht="12.75" customHeight="1" x14ac:dyDescent="0.2">
      <c r="A16469" s="13" t="s">
        <v>5229</v>
      </c>
      <c r="C16469" s="12"/>
    </row>
    <row r="16470" spans="1:4" ht="12.75" customHeight="1" x14ac:dyDescent="0.2">
      <c r="A16470" s="11"/>
      <c r="B16470" s="2"/>
      <c r="C16470" s="15"/>
      <c r="D16470" s="2"/>
    </row>
    <row r="16471" spans="1:4" ht="12.75" customHeight="1" x14ac:dyDescent="0.2">
      <c r="B16471" s="11" t="s">
        <v>0</v>
      </c>
      <c r="C16471" s="11" t="s">
        <v>937</v>
      </c>
    </row>
    <row r="16472" spans="1:4" ht="12.75" customHeight="1" x14ac:dyDescent="0.2">
      <c r="B16472" s="11" t="s">
        <v>2599</v>
      </c>
      <c r="C16472" s="11" t="s">
        <v>4095</v>
      </c>
    </row>
    <row r="16473" spans="1:4" ht="25.5" customHeight="1" x14ac:dyDescent="0.2">
      <c r="B16473" s="11" t="s">
        <v>2600</v>
      </c>
      <c r="C16473" s="11" t="s">
        <v>5230</v>
      </c>
    </row>
    <row r="16474" spans="1:4" ht="25.5" customHeight="1" x14ac:dyDescent="0.2">
      <c r="B16474" s="11" t="s">
        <v>2601</v>
      </c>
      <c r="C16474" s="11"/>
    </row>
    <row r="16475" spans="1:4" ht="12.75" customHeight="1" x14ac:dyDescent="0.2">
      <c r="B16475" s="11" t="s">
        <v>16</v>
      </c>
      <c r="C16475" s="11"/>
    </row>
    <row r="16476" spans="1:4" ht="12.75" customHeight="1" x14ac:dyDescent="0.2">
      <c r="B16476" s="11" t="s">
        <v>13</v>
      </c>
      <c r="C16476" s="11" t="s">
        <v>2644</v>
      </c>
    </row>
    <row r="16477" spans="1:4" ht="12.75" customHeight="1" x14ac:dyDescent="0.2">
      <c r="B16477" s="11" t="s">
        <v>2603</v>
      </c>
      <c r="C16477" s="11" t="s">
        <v>2604</v>
      </c>
    </row>
    <row r="16478" spans="1:4" ht="12.75" customHeight="1" x14ac:dyDescent="0.2">
      <c r="B16478" s="11" t="s">
        <v>2605</v>
      </c>
      <c r="C16478" s="11" t="s">
        <v>14</v>
      </c>
    </row>
    <row r="16479" spans="1:4" ht="12.75" customHeight="1" x14ac:dyDescent="0.2">
      <c r="B16479" s="11" t="s">
        <v>2606</v>
      </c>
      <c r="C16479" s="16" t="s">
        <v>67</v>
      </c>
      <c r="D16479" s="6" t="str">
        <f>HYPERLINK("javascript:void(0)","kincs")</f>
        <v>kincs</v>
      </c>
    </row>
    <row r="16480" spans="1:4" ht="12.75" customHeight="1" x14ac:dyDescent="0.2">
      <c r="B16480" s="2"/>
      <c r="C16480" s="15"/>
      <c r="D16480" s="2"/>
    </row>
    <row r="16481" spans="1:4" ht="12.75" customHeight="1" x14ac:dyDescent="0.2">
      <c r="B16481" s="2"/>
      <c r="C16481" s="15"/>
      <c r="D16481" s="2"/>
    </row>
    <row r="16482" spans="1:4" ht="12.75" customHeight="1" x14ac:dyDescent="0.2">
      <c r="A16482" s="13" t="s">
        <v>5231</v>
      </c>
      <c r="C16482" s="12"/>
    </row>
    <row r="16483" spans="1:4" ht="12.75" customHeight="1" x14ac:dyDescent="0.2">
      <c r="A16483" s="11"/>
      <c r="B16483" s="2"/>
      <c r="C16483" s="15"/>
      <c r="D16483" s="2"/>
    </row>
    <row r="16484" spans="1:4" ht="12.75" customHeight="1" x14ac:dyDescent="0.2">
      <c r="B16484" s="11" t="s">
        <v>0</v>
      </c>
      <c r="C16484" s="11" t="s">
        <v>937</v>
      </c>
    </row>
    <row r="16485" spans="1:4" ht="12.75" customHeight="1" x14ac:dyDescent="0.2">
      <c r="B16485" s="11" t="s">
        <v>2599</v>
      </c>
      <c r="C16485" s="11" t="s">
        <v>5232</v>
      </c>
    </row>
    <row r="16486" spans="1:4" ht="25.5" customHeight="1" x14ac:dyDescent="0.2">
      <c r="B16486" s="11" t="s">
        <v>2600</v>
      </c>
      <c r="C16486" s="11" t="s">
        <v>5233</v>
      </c>
    </row>
    <row r="16487" spans="1:4" ht="25.5" customHeight="1" x14ac:dyDescent="0.2">
      <c r="B16487" s="11" t="s">
        <v>2601</v>
      </c>
      <c r="C16487" s="11"/>
    </row>
    <row r="16488" spans="1:4" ht="12.75" customHeight="1" x14ac:dyDescent="0.2">
      <c r="B16488" s="11" t="s">
        <v>16</v>
      </c>
      <c r="C16488" s="11"/>
    </row>
    <row r="16489" spans="1:4" ht="12.75" customHeight="1" x14ac:dyDescent="0.2">
      <c r="B16489" s="11" t="s">
        <v>13</v>
      </c>
      <c r="C16489" s="11" t="s">
        <v>2644</v>
      </c>
    </row>
    <row r="16490" spans="1:4" ht="12.75" customHeight="1" x14ac:dyDescent="0.2">
      <c r="B16490" s="11" t="s">
        <v>2603</v>
      </c>
      <c r="C16490" s="11" t="s">
        <v>2604</v>
      </c>
    </row>
    <row r="16491" spans="1:4" ht="12.75" customHeight="1" x14ac:dyDescent="0.2">
      <c r="B16491" s="11" t="s">
        <v>2605</v>
      </c>
      <c r="C16491" s="11" t="s">
        <v>14</v>
      </c>
    </row>
    <row r="16492" spans="1:4" ht="12.75" customHeight="1" x14ac:dyDescent="0.2">
      <c r="B16492" s="11" t="s">
        <v>2606</v>
      </c>
      <c r="C16492" s="16" t="s">
        <v>67</v>
      </c>
      <c r="D16492" s="6" t="str">
        <f>HYPERLINK("javascript:void(0)","kincs")</f>
        <v>kincs</v>
      </c>
    </row>
    <row r="16493" spans="1:4" ht="12.75" customHeight="1" x14ac:dyDescent="0.2">
      <c r="B16493" s="2"/>
      <c r="C16493" s="15"/>
      <c r="D16493" s="2"/>
    </row>
    <row r="16494" spans="1:4" ht="12.75" customHeight="1" x14ac:dyDescent="0.2">
      <c r="B16494" s="2"/>
      <c r="C16494" s="15"/>
      <c r="D16494" s="2"/>
    </row>
    <row r="16495" spans="1:4" ht="12.75" customHeight="1" x14ac:dyDescent="0.2">
      <c r="A16495" s="13" t="s">
        <v>5234</v>
      </c>
      <c r="C16495" s="12"/>
    </row>
    <row r="16496" spans="1:4" ht="12.75" customHeight="1" x14ac:dyDescent="0.2">
      <c r="A16496" s="11"/>
      <c r="B16496" s="2"/>
      <c r="C16496" s="15"/>
      <c r="D16496" s="2"/>
    </row>
    <row r="16497" spans="1:4" ht="12.75" customHeight="1" x14ac:dyDescent="0.2">
      <c r="B16497" s="11" t="s">
        <v>0</v>
      </c>
      <c r="C16497" s="11" t="s">
        <v>937</v>
      </c>
    </row>
    <row r="16498" spans="1:4" ht="12.75" customHeight="1" x14ac:dyDescent="0.2">
      <c r="B16498" s="11" t="s">
        <v>2599</v>
      </c>
      <c r="C16498" s="11" t="s">
        <v>5210</v>
      </c>
    </row>
    <row r="16499" spans="1:4" ht="25.5" customHeight="1" x14ac:dyDescent="0.2">
      <c r="B16499" s="11" t="s">
        <v>2600</v>
      </c>
      <c r="C16499" s="11" t="s">
        <v>5235</v>
      </c>
    </row>
    <row r="16500" spans="1:4" ht="25.5" customHeight="1" x14ac:dyDescent="0.2">
      <c r="B16500" s="11" t="s">
        <v>2601</v>
      </c>
      <c r="C16500" s="11"/>
    </row>
    <row r="16501" spans="1:4" ht="12.75" customHeight="1" x14ac:dyDescent="0.2">
      <c r="B16501" s="11" t="s">
        <v>16</v>
      </c>
      <c r="C16501" s="11"/>
    </row>
    <row r="16502" spans="1:4" ht="12.75" customHeight="1" x14ac:dyDescent="0.2">
      <c r="B16502" s="11" t="s">
        <v>13</v>
      </c>
      <c r="C16502" s="11" t="s">
        <v>2602</v>
      </c>
    </row>
    <row r="16503" spans="1:4" ht="12.75" customHeight="1" x14ac:dyDescent="0.2">
      <c r="B16503" s="11" t="s">
        <v>2603</v>
      </c>
      <c r="C16503" s="11" t="s">
        <v>2604</v>
      </c>
    </row>
    <row r="16504" spans="1:4" ht="12.75" customHeight="1" x14ac:dyDescent="0.2">
      <c r="B16504" s="11" t="s">
        <v>2605</v>
      </c>
      <c r="C16504" s="11" t="s">
        <v>24</v>
      </c>
    </row>
    <row r="16505" spans="1:4" ht="12.75" customHeight="1" x14ac:dyDescent="0.2">
      <c r="B16505" s="11" t="s">
        <v>2606</v>
      </c>
      <c r="C16505" s="16" t="s">
        <v>130</v>
      </c>
      <c r="D16505" s="6" t="str">
        <f>HYPERLINK("javascript:void(0)","smaragd")</f>
        <v>smaragd</v>
      </c>
    </row>
    <row r="16506" spans="1:4" ht="12.75" customHeight="1" x14ac:dyDescent="0.2">
      <c r="C16506" s="16" t="s">
        <v>98</v>
      </c>
      <c r="D16506" s="6" t="str">
        <f>HYPERLINK("javascript:void(0)","kincs")</f>
        <v>kincs</v>
      </c>
    </row>
    <row r="16507" spans="1:4" ht="12.75" customHeight="1" x14ac:dyDescent="0.2">
      <c r="B16507" s="2"/>
      <c r="C16507" s="15"/>
      <c r="D16507" s="2"/>
    </row>
    <row r="16508" spans="1:4" ht="12.75" customHeight="1" x14ac:dyDescent="0.2">
      <c r="B16508" s="2"/>
      <c r="C16508" s="15"/>
      <c r="D16508" s="2"/>
    </row>
    <row r="16509" spans="1:4" ht="12.75" customHeight="1" x14ac:dyDescent="0.2">
      <c r="A16509" s="13" t="s">
        <v>5236</v>
      </c>
      <c r="C16509" s="12"/>
    </row>
    <row r="16510" spans="1:4" ht="12.75" customHeight="1" x14ac:dyDescent="0.2">
      <c r="A16510" s="11"/>
      <c r="B16510" s="2"/>
      <c r="C16510" s="15"/>
      <c r="D16510" s="2"/>
    </row>
    <row r="16511" spans="1:4" ht="12.75" customHeight="1" x14ac:dyDescent="0.2">
      <c r="B16511" s="11" t="s">
        <v>0</v>
      </c>
      <c r="C16511" s="11" t="s">
        <v>937</v>
      </c>
    </row>
    <row r="16512" spans="1:4" ht="12.75" customHeight="1" x14ac:dyDescent="0.2">
      <c r="B16512" s="11" t="s">
        <v>2599</v>
      </c>
      <c r="C16512" s="11" t="s">
        <v>3065</v>
      </c>
    </row>
    <row r="16513" spans="1:4" ht="25.5" customHeight="1" x14ac:dyDescent="0.2">
      <c r="B16513" s="11" t="s">
        <v>2600</v>
      </c>
      <c r="C16513" s="11" t="s">
        <v>5237</v>
      </c>
    </row>
    <row r="16514" spans="1:4" ht="25.5" customHeight="1" x14ac:dyDescent="0.2">
      <c r="B16514" s="11" t="s">
        <v>2601</v>
      </c>
      <c r="C16514" s="11"/>
    </row>
    <row r="16515" spans="1:4" ht="12.75" customHeight="1" x14ac:dyDescent="0.2">
      <c r="B16515" s="11" t="s">
        <v>16</v>
      </c>
      <c r="C16515" s="11"/>
    </row>
    <row r="16516" spans="1:4" ht="12.75" customHeight="1" x14ac:dyDescent="0.2">
      <c r="B16516" s="11" t="s">
        <v>13</v>
      </c>
      <c r="C16516" s="11" t="s">
        <v>2644</v>
      </c>
    </row>
    <row r="16517" spans="1:4" ht="12.75" customHeight="1" x14ac:dyDescent="0.2">
      <c r="B16517" s="11" t="s">
        <v>2603</v>
      </c>
      <c r="C16517" s="11" t="s">
        <v>2604</v>
      </c>
    </row>
    <row r="16518" spans="1:4" ht="12.75" customHeight="1" x14ac:dyDescent="0.2">
      <c r="B16518" s="11" t="s">
        <v>2605</v>
      </c>
      <c r="C16518" s="11" t="s">
        <v>24</v>
      </c>
    </row>
    <row r="16519" spans="1:4" ht="12.75" customHeight="1" x14ac:dyDescent="0.2">
      <c r="B16519" s="11" t="s">
        <v>2606</v>
      </c>
      <c r="C16519" s="16" t="s">
        <v>56</v>
      </c>
      <c r="D16519" s="6" t="str">
        <f>HYPERLINK("javascript:void(0)","pálha")</f>
        <v>pálha</v>
      </c>
    </row>
    <row r="16520" spans="1:4" ht="12.75" customHeight="1" x14ac:dyDescent="0.2">
      <c r="C16520" s="16" t="s">
        <v>117</v>
      </c>
      <c r="D16520" s="6" t="str">
        <f>HYPERLINK("javascript:void(0)","kincs")</f>
        <v>kincs</v>
      </c>
    </row>
    <row r="16521" spans="1:4" ht="12.75" customHeight="1" x14ac:dyDescent="0.2">
      <c r="B16521" s="2"/>
      <c r="C16521" s="15"/>
      <c r="D16521" s="2"/>
    </row>
    <row r="16522" spans="1:4" ht="12.75" customHeight="1" x14ac:dyDescent="0.2">
      <c r="B16522" s="2"/>
      <c r="C16522" s="15"/>
      <c r="D16522" s="2"/>
    </row>
    <row r="16523" spans="1:4" ht="12.75" customHeight="1" x14ac:dyDescent="0.2">
      <c r="A16523" s="13" t="s">
        <v>5134</v>
      </c>
      <c r="C16523" s="12"/>
      <c r="D16523" s="2"/>
    </row>
    <row r="16524" spans="1:4" ht="12.75" customHeight="1" x14ac:dyDescent="0.2">
      <c r="A16524" s="11"/>
      <c r="B16524" s="2"/>
      <c r="C16524" s="15"/>
      <c r="D16524" s="2"/>
    </row>
    <row r="16525" spans="1:4" ht="12.75" customHeight="1" x14ac:dyDescent="0.2">
      <c r="B16525" s="11" t="s">
        <v>0</v>
      </c>
      <c r="C16525" s="17" t="s">
        <v>937</v>
      </c>
      <c r="D16525" s="2"/>
    </row>
    <row r="16526" spans="1:4" ht="12.75" customHeight="1" x14ac:dyDescent="0.2">
      <c r="B16526" s="11" t="s">
        <v>2599</v>
      </c>
      <c r="C16526" s="17" t="s">
        <v>5135</v>
      </c>
      <c r="D16526" s="2"/>
    </row>
    <row r="16527" spans="1:4" ht="25.5" customHeight="1" x14ac:dyDescent="0.2">
      <c r="B16527" s="11" t="s">
        <v>2600</v>
      </c>
      <c r="C16527" s="17" t="s">
        <v>5238</v>
      </c>
      <c r="D16527" s="2"/>
    </row>
    <row r="16528" spans="1:4" ht="25.5" customHeight="1" x14ac:dyDescent="0.2">
      <c r="B16528" s="11" t="s">
        <v>2601</v>
      </c>
      <c r="C16528" s="17"/>
      <c r="D16528" s="2"/>
    </row>
    <row r="16529" spans="1:4" ht="12.75" customHeight="1" x14ac:dyDescent="0.2">
      <c r="B16529" s="11" t="s">
        <v>16</v>
      </c>
      <c r="C16529" s="17"/>
      <c r="D16529" s="2"/>
    </row>
    <row r="16530" spans="1:4" ht="12.75" customHeight="1" x14ac:dyDescent="0.2">
      <c r="B16530" s="11" t="s">
        <v>13</v>
      </c>
      <c r="C16530" s="17" t="s">
        <v>2602</v>
      </c>
      <c r="D16530" s="2"/>
    </row>
    <row r="16531" spans="1:4" ht="25.5" customHeight="1" x14ac:dyDescent="0.2">
      <c r="B16531" s="11" t="s">
        <v>2603</v>
      </c>
      <c r="C16531" s="17" t="s">
        <v>2971</v>
      </c>
      <c r="D16531" s="2"/>
    </row>
    <row r="16532" spans="1:4" ht="12.75" customHeight="1" x14ac:dyDescent="0.2">
      <c r="B16532" s="11" t="s">
        <v>2605</v>
      </c>
      <c r="C16532" s="17" t="s">
        <v>14</v>
      </c>
      <c r="D16532" s="2"/>
    </row>
    <row r="16533" spans="1:4" ht="12.75" customHeight="1" x14ac:dyDescent="0.2">
      <c r="B16533" s="11" t="s">
        <v>2606</v>
      </c>
      <c r="C16533" s="16" t="s">
        <v>19</v>
      </c>
      <c r="D16533" s="2"/>
    </row>
    <row r="16534" spans="1:4" ht="12.75" customHeight="1" x14ac:dyDescent="0.2">
      <c r="B16534" s="2"/>
      <c r="C16534" s="15"/>
      <c r="D16534" s="2"/>
    </row>
    <row r="16535" spans="1:4" ht="12.75" customHeight="1" x14ac:dyDescent="0.2">
      <c r="B16535" s="2"/>
      <c r="C16535" s="15"/>
      <c r="D16535" s="2"/>
    </row>
    <row r="16536" spans="1:4" ht="12.75" customHeight="1" x14ac:dyDescent="0.2">
      <c r="A16536" s="13" t="s">
        <v>2962</v>
      </c>
      <c r="C16536" s="12"/>
    </row>
    <row r="16537" spans="1:4" ht="12.75" customHeight="1" x14ac:dyDescent="0.2">
      <c r="A16537" s="11"/>
      <c r="B16537" s="2"/>
      <c r="C16537" s="15"/>
      <c r="D16537" s="2"/>
    </row>
    <row r="16538" spans="1:4" ht="12.75" customHeight="1" x14ac:dyDescent="0.2">
      <c r="B16538" s="11" t="s">
        <v>0</v>
      </c>
      <c r="C16538" s="11" t="s">
        <v>190</v>
      </c>
    </row>
    <row r="16539" spans="1:4" ht="12.75" customHeight="1" x14ac:dyDescent="0.2">
      <c r="B16539" s="11" t="s">
        <v>2599</v>
      </c>
      <c r="C16539" s="11" t="s">
        <v>5239</v>
      </c>
    </row>
    <row r="16540" spans="1:4" ht="25.5" customHeight="1" x14ac:dyDescent="0.2">
      <c r="B16540" s="11" t="s">
        <v>2600</v>
      </c>
      <c r="C16540" s="11" t="s">
        <v>5240</v>
      </c>
    </row>
    <row r="16541" spans="1:4" ht="25.5" customHeight="1" x14ac:dyDescent="0.2">
      <c r="B16541" s="11" t="s">
        <v>2601</v>
      </c>
      <c r="C16541" s="11"/>
    </row>
    <row r="16542" spans="1:4" ht="12.75" customHeight="1" x14ac:dyDescent="0.2">
      <c r="B16542" s="11" t="s">
        <v>16</v>
      </c>
      <c r="C16542" s="11"/>
    </row>
    <row r="16543" spans="1:4" ht="12.75" customHeight="1" x14ac:dyDescent="0.2">
      <c r="B16543" s="11" t="s">
        <v>13</v>
      </c>
      <c r="C16543" s="11" t="s">
        <v>2644</v>
      </c>
    </row>
    <row r="16544" spans="1:4" ht="12.75" customHeight="1" x14ac:dyDescent="0.2">
      <c r="B16544" s="11" t="s">
        <v>2603</v>
      </c>
      <c r="C16544" s="11" t="s">
        <v>2965</v>
      </c>
    </row>
    <row r="16545" spans="1:4" ht="12.75" customHeight="1" x14ac:dyDescent="0.2">
      <c r="B16545" s="11" t="s">
        <v>2605</v>
      </c>
      <c r="C16545" s="11" t="s">
        <v>14</v>
      </c>
    </row>
    <row r="16546" spans="1:4" ht="12.75" customHeight="1" x14ac:dyDescent="0.2">
      <c r="B16546" s="11" t="s">
        <v>2606</v>
      </c>
      <c r="C16546" s="16" t="s">
        <v>44</v>
      </c>
      <c r="D16546" s="6" t="str">
        <f>HYPERLINK("javascript:void(0)","hínárgyöngy")</f>
        <v>hínárgyöngy</v>
      </c>
    </row>
    <row r="16547" spans="1:4" ht="25.5" customHeight="1" x14ac:dyDescent="0.2">
      <c r="C16547" s="16" t="s">
        <v>57</v>
      </c>
      <c r="D16547" s="6" t="str">
        <f>HYPERLINK("javascript:void(0)","harmatcsepp")</f>
        <v>harmatcsepp</v>
      </c>
    </row>
    <row r="16548" spans="1:4" ht="12.75" customHeight="1" x14ac:dyDescent="0.2">
      <c r="B16548" s="2"/>
      <c r="C16548" s="15"/>
      <c r="D16548" s="2"/>
    </row>
    <row r="16549" spans="1:4" ht="12.75" customHeight="1" x14ac:dyDescent="0.2">
      <c r="B16549" s="2"/>
      <c r="C16549" s="15"/>
      <c r="D16549" s="2"/>
    </row>
    <row r="16550" spans="1:4" ht="12.75" customHeight="1" x14ac:dyDescent="0.2">
      <c r="A16550" s="13" t="s">
        <v>5241</v>
      </c>
      <c r="C16550" s="12"/>
      <c r="D16550" s="2"/>
    </row>
    <row r="16551" spans="1:4" ht="12.75" customHeight="1" x14ac:dyDescent="0.2">
      <c r="A16551" s="11"/>
      <c r="B16551" s="2"/>
      <c r="C16551" s="15"/>
      <c r="D16551" s="2"/>
    </row>
    <row r="16552" spans="1:4" ht="12.75" customHeight="1" x14ac:dyDescent="0.2">
      <c r="B16552" s="11" t="s">
        <v>0</v>
      </c>
      <c r="C16552" s="17" t="s">
        <v>190</v>
      </c>
      <c r="D16552" s="2"/>
    </row>
    <row r="16553" spans="1:4" ht="12.75" customHeight="1" x14ac:dyDescent="0.2">
      <c r="B16553" s="11" t="s">
        <v>2599</v>
      </c>
      <c r="C16553" s="17" t="s">
        <v>5103</v>
      </c>
      <c r="D16553" s="2"/>
    </row>
    <row r="16554" spans="1:4" ht="25.5" customHeight="1" x14ac:dyDescent="0.2">
      <c r="B16554" s="11" t="s">
        <v>2600</v>
      </c>
      <c r="C16554" s="17" t="s">
        <v>5242</v>
      </c>
      <c r="D16554" s="2"/>
    </row>
    <row r="16555" spans="1:4" ht="25.5" customHeight="1" x14ac:dyDescent="0.2">
      <c r="B16555" s="11" t="s">
        <v>2601</v>
      </c>
      <c r="C16555" s="17"/>
      <c r="D16555" s="2"/>
    </row>
    <row r="16556" spans="1:4" ht="12.75" customHeight="1" x14ac:dyDescent="0.2">
      <c r="B16556" s="11" t="s">
        <v>16</v>
      </c>
      <c r="C16556" s="17"/>
      <c r="D16556" s="2"/>
    </row>
    <row r="16557" spans="1:4" ht="12.75" customHeight="1" x14ac:dyDescent="0.2">
      <c r="B16557" s="11" t="s">
        <v>13</v>
      </c>
      <c r="C16557" s="17" t="s">
        <v>2644</v>
      </c>
      <c r="D16557" s="2"/>
    </row>
    <row r="16558" spans="1:4" ht="25.5" customHeight="1" x14ac:dyDescent="0.2">
      <c r="B16558" s="11" t="s">
        <v>2603</v>
      </c>
      <c r="C16558" s="17" t="s">
        <v>2971</v>
      </c>
      <c r="D16558" s="2"/>
    </row>
    <row r="16559" spans="1:4" ht="12.75" customHeight="1" x14ac:dyDescent="0.2">
      <c r="B16559" s="11" t="s">
        <v>2605</v>
      </c>
      <c r="C16559" s="17" t="s">
        <v>14</v>
      </c>
      <c r="D16559" s="2"/>
    </row>
    <row r="16560" spans="1:4" ht="12.75" customHeight="1" x14ac:dyDescent="0.2">
      <c r="B16560" s="11" t="s">
        <v>2606</v>
      </c>
      <c r="C16560" s="16" t="s">
        <v>19</v>
      </c>
      <c r="D16560" s="2"/>
    </row>
    <row r="16561" spans="1:4" ht="12.75" customHeight="1" x14ac:dyDescent="0.2">
      <c r="B16561" s="2"/>
      <c r="C16561" s="15"/>
      <c r="D16561" s="2"/>
    </row>
    <row r="16562" spans="1:4" ht="12.75" customHeight="1" x14ac:dyDescent="0.2">
      <c r="B16562" s="2"/>
      <c r="C16562" s="15"/>
      <c r="D16562" s="2"/>
    </row>
    <row r="16563" spans="1:4" ht="12.75" customHeight="1" x14ac:dyDescent="0.2">
      <c r="A16563" s="13" t="s">
        <v>5243</v>
      </c>
      <c r="C16563" s="12"/>
      <c r="D16563" s="2"/>
    </row>
    <row r="16564" spans="1:4" ht="12.75" customHeight="1" x14ac:dyDescent="0.2">
      <c r="A16564" s="11"/>
      <c r="B16564" s="2"/>
      <c r="C16564" s="15"/>
      <c r="D16564" s="2"/>
    </row>
    <row r="16565" spans="1:4" ht="12.75" customHeight="1" x14ac:dyDescent="0.2">
      <c r="B16565" s="11" t="s">
        <v>0</v>
      </c>
      <c r="C16565" s="17" t="s">
        <v>190</v>
      </c>
      <c r="D16565" s="2"/>
    </row>
    <row r="16566" spans="1:4" ht="12.75" customHeight="1" x14ac:dyDescent="0.2">
      <c r="B16566" s="11" t="s">
        <v>2599</v>
      </c>
      <c r="C16566" s="17" t="s">
        <v>5106</v>
      </c>
      <c r="D16566" s="2"/>
    </row>
    <row r="16567" spans="1:4" ht="25.5" customHeight="1" x14ac:dyDescent="0.2">
      <c r="B16567" s="11" t="s">
        <v>2600</v>
      </c>
      <c r="C16567" s="17" t="s">
        <v>5244</v>
      </c>
      <c r="D16567" s="2"/>
    </row>
    <row r="16568" spans="1:4" ht="25.5" customHeight="1" x14ac:dyDescent="0.2">
      <c r="B16568" s="11" t="s">
        <v>2601</v>
      </c>
      <c r="C16568" s="17"/>
      <c r="D16568" s="2"/>
    </row>
    <row r="16569" spans="1:4" ht="12.75" customHeight="1" x14ac:dyDescent="0.2">
      <c r="B16569" s="11" t="s">
        <v>16</v>
      </c>
      <c r="C16569" s="17"/>
      <c r="D16569" s="2"/>
    </row>
    <row r="16570" spans="1:4" ht="12.75" customHeight="1" x14ac:dyDescent="0.2">
      <c r="B16570" s="11" t="s">
        <v>13</v>
      </c>
      <c r="C16570" s="17" t="s">
        <v>2602</v>
      </c>
      <c r="D16570" s="2"/>
    </row>
    <row r="16571" spans="1:4" ht="25.5" customHeight="1" x14ac:dyDescent="0.2">
      <c r="B16571" s="11" t="s">
        <v>2603</v>
      </c>
      <c r="C16571" s="17" t="s">
        <v>2971</v>
      </c>
      <c r="D16571" s="2"/>
    </row>
    <row r="16572" spans="1:4" ht="12.75" customHeight="1" x14ac:dyDescent="0.2">
      <c r="B16572" s="11" t="s">
        <v>2605</v>
      </c>
      <c r="C16572" s="17" t="s">
        <v>14</v>
      </c>
      <c r="D16572" s="2"/>
    </row>
    <row r="16573" spans="1:4" ht="12.75" customHeight="1" x14ac:dyDescent="0.2">
      <c r="B16573" s="11" t="s">
        <v>2606</v>
      </c>
      <c r="C16573" s="16" t="s">
        <v>19</v>
      </c>
      <c r="D16573" s="2"/>
    </row>
    <row r="16574" spans="1:4" ht="12.75" customHeight="1" x14ac:dyDescent="0.2">
      <c r="B16574" s="2"/>
      <c r="C16574" s="15"/>
      <c r="D16574" s="2"/>
    </row>
    <row r="16575" spans="1:4" ht="12.75" customHeight="1" x14ac:dyDescent="0.2">
      <c r="B16575" s="2"/>
      <c r="C16575" s="15"/>
      <c r="D16575" s="2"/>
    </row>
    <row r="16576" spans="1:4" ht="12.75" customHeight="1" x14ac:dyDescent="0.2">
      <c r="A16576" s="13" t="s">
        <v>5245</v>
      </c>
      <c r="C16576" s="12"/>
      <c r="D16576" s="2"/>
    </row>
    <row r="16577" spans="1:4" ht="12.75" customHeight="1" x14ac:dyDescent="0.2">
      <c r="A16577" s="11"/>
      <c r="B16577" s="2"/>
      <c r="C16577" s="15"/>
      <c r="D16577" s="2"/>
    </row>
    <row r="16578" spans="1:4" ht="12.75" customHeight="1" x14ac:dyDescent="0.2">
      <c r="B16578" s="11" t="s">
        <v>0</v>
      </c>
      <c r="C16578" s="17" t="s">
        <v>190</v>
      </c>
      <c r="D16578" s="2"/>
    </row>
    <row r="16579" spans="1:4" ht="12.75" customHeight="1" x14ac:dyDescent="0.2">
      <c r="B16579" s="11" t="s">
        <v>2599</v>
      </c>
      <c r="C16579" s="17" t="s">
        <v>5109</v>
      </c>
      <c r="D16579" s="2"/>
    </row>
    <row r="16580" spans="1:4" ht="25.5" customHeight="1" x14ac:dyDescent="0.2">
      <c r="B16580" s="11" t="s">
        <v>2600</v>
      </c>
      <c r="C16580" s="17" t="s">
        <v>5246</v>
      </c>
      <c r="D16580" s="2"/>
    </row>
    <row r="16581" spans="1:4" ht="25.5" customHeight="1" x14ac:dyDescent="0.2">
      <c r="B16581" s="11" t="s">
        <v>2601</v>
      </c>
      <c r="C16581" s="17"/>
      <c r="D16581" s="2"/>
    </row>
    <row r="16582" spans="1:4" ht="12.75" customHeight="1" x14ac:dyDescent="0.2">
      <c r="B16582" s="11" t="s">
        <v>16</v>
      </c>
      <c r="C16582" s="17"/>
      <c r="D16582" s="2"/>
    </row>
    <row r="16583" spans="1:4" ht="12.75" customHeight="1" x14ac:dyDescent="0.2">
      <c r="B16583" s="11" t="s">
        <v>13</v>
      </c>
      <c r="C16583" s="17" t="s">
        <v>2644</v>
      </c>
      <c r="D16583" s="2"/>
    </row>
    <row r="16584" spans="1:4" ht="25.5" customHeight="1" x14ac:dyDescent="0.2">
      <c r="B16584" s="11" t="s">
        <v>2603</v>
      </c>
      <c r="C16584" s="17" t="s">
        <v>2971</v>
      </c>
      <c r="D16584" s="2"/>
    </row>
    <row r="16585" spans="1:4" ht="12.75" customHeight="1" x14ac:dyDescent="0.2">
      <c r="B16585" s="11" t="s">
        <v>2605</v>
      </c>
      <c r="C16585" s="17" t="s">
        <v>14</v>
      </c>
      <c r="D16585" s="2"/>
    </row>
    <row r="16586" spans="1:4" ht="12.75" customHeight="1" x14ac:dyDescent="0.2">
      <c r="B16586" s="11" t="s">
        <v>2606</v>
      </c>
      <c r="C16586" s="16" t="s">
        <v>19</v>
      </c>
      <c r="D16586" s="2"/>
    </row>
    <row r="16587" spans="1:4" ht="12.75" customHeight="1" x14ac:dyDescent="0.2">
      <c r="B16587" s="2"/>
      <c r="C16587" s="15"/>
      <c r="D16587" s="2"/>
    </row>
    <row r="16588" spans="1:4" ht="12.75" customHeight="1" x14ac:dyDescent="0.2">
      <c r="B16588" s="2"/>
      <c r="C16588" s="15"/>
      <c r="D16588" s="2"/>
    </row>
    <row r="16589" spans="1:4" ht="12.75" customHeight="1" x14ac:dyDescent="0.2">
      <c r="A16589" s="13" t="s">
        <v>5247</v>
      </c>
      <c r="C16589" s="12"/>
    </row>
    <row r="16590" spans="1:4" ht="12.75" customHeight="1" x14ac:dyDescent="0.2">
      <c r="A16590" s="11"/>
      <c r="B16590" s="2"/>
      <c r="C16590" s="15"/>
      <c r="D16590" s="2"/>
    </row>
    <row r="16591" spans="1:4" ht="12.75" customHeight="1" x14ac:dyDescent="0.2">
      <c r="B16591" s="11" t="s">
        <v>0</v>
      </c>
      <c r="C16591" s="11" t="s">
        <v>190</v>
      </c>
    </row>
    <row r="16592" spans="1:4" ht="12.75" customHeight="1" x14ac:dyDescent="0.2">
      <c r="B16592" s="11" t="s">
        <v>2599</v>
      </c>
      <c r="C16592" s="11" t="s">
        <v>5249</v>
      </c>
    </row>
    <row r="16593" spans="1:4" ht="25.5" customHeight="1" x14ac:dyDescent="0.2">
      <c r="B16593" s="11" t="s">
        <v>2600</v>
      </c>
      <c r="C16593" s="11" t="s">
        <v>5251</v>
      </c>
    </row>
    <row r="16594" spans="1:4" ht="25.5" customHeight="1" x14ac:dyDescent="0.2">
      <c r="B16594" s="11" t="s">
        <v>2601</v>
      </c>
      <c r="C16594" s="11"/>
    </row>
    <row r="16595" spans="1:4" ht="12.75" customHeight="1" x14ac:dyDescent="0.2">
      <c r="B16595" s="11" t="s">
        <v>16</v>
      </c>
      <c r="C16595" s="11"/>
    </row>
    <row r="16596" spans="1:4" ht="12.75" customHeight="1" x14ac:dyDescent="0.2">
      <c r="B16596" s="11" t="s">
        <v>13</v>
      </c>
      <c r="C16596" s="11" t="s">
        <v>2644</v>
      </c>
    </row>
    <row r="16597" spans="1:4" ht="12.75" customHeight="1" x14ac:dyDescent="0.2">
      <c r="B16597" s="11" t="s">
        <v>2603</v>
      </c>
      <c r="C16597" s="11" t="s">
        <v>2604</v>
      </c>
    </row>
    <row r="16598" spans="1:4" ht="12.75" customHeight="1" x14ac:dyDescent="0.2">
      <c r="B16598" s="11" t="s">
        <v>2605</v>
      </c>
      <c r="C16598" s="11" t="s">
        <v>24</v>
      </c>
    </row>
    <row r="16599" spans="1:4" ht="12.75" customHeight="1" x14ac:dyDescent="0.2">
      <c r="B16599" s="11" t="s">
        <v>2606</v>
      </c>
      <c r="C16599" s="16" t="s">
        <v>44</v>
      </c>
      <c r="D16599" s="6" t="str">
        <f>HYPERLINK("javascript:void(0)","rémláb")</f>
        <v>rémláb</v>
      </c>
    </row>
    <row r="16600" spans="1:4" ht="12.75" customHeight="1" x14ac:dyDescent="0.2">
      <c r="C16600" s="16" t="s">
        <v>1494</v>
      </c>
      <c r="D16600" s="6" t="str">
        <f>HYPERLINK("javascript:void(0)","kincs")</f>
        <v>kincs</v>
      </c>
    </row>
    <row r="16601" spans="1:4" ht="12.75" customHeight="1" x14ac:dyDescent="0.2">
      <c r="B16601" s="2"/>
      <c r="C16601" s="15"/>
      <c r="D16601" s="2"/>
    </row>
    <row r="16602" spans="1:4" ht="12.75" customHeight="1" x14ac:dyDescent="0.2">
      <c r="B16602" s="2"/>
      <c r="C16602" s="15"/>
      <c r="D16602" s="2"/>
    </row>
    <row r="16603" spans="1:4" ht="12.75" customHeight="1" x14ac:dyDescent="0.2">
      <c r="A16603" s="13" t="s">
        <v>5252</v>
      </c>
      <c r="C16603" s="12"/>
    </row>
    <row r="16604" spans="1:4" ht="12.75" customHeight="1" x14ac:dyDescent="0.2">
      <c r="A16604" s="11"/>
      <c r="B16604" s="2"/>
      <c r="C16604" s="15"/>
      <c r="D16604" s="2"/>
    </row>
    <row r="16605" spans="1:4" ht="12.75" customHeight="1" x14ac:dyDescent="0.2">
      <c r="B16605" s="11" t="s">
        <v>0</v>
      </c>
      <c r="C16605" s="11" t="s">
        <v>190</v>
      </c>
    </row>
    <row r="16606" spans="1:4" ht="12.75" customHeight="1" x14ac:dyDescent="0.2">
      <c r="B16606" s="11" t="s">
        <v>2599</v>
      </c>
      <c r="C16606" s="11" t="s">
        <v>5239</v>
      </c>
    </row>
    <row r="16607" spans="1:4" ht="25.5" customHeight="1" x14ac:dyDescent="0.2">
      <c r="B16607" s="11" t="s">
        <v>2600</v>
      </c>
      <c r="C16607" s="11" t="s">
        <v>5253</v>
      </c>
    </row>
    <row r="16608" spans="1:4" ht="25.5" customHeight="1" x14ac:dyDescent="0.2">
      <c r="B16608" s="11" t="s">
        <v>2601</v>
      </c>
      <c r="C16608" s="11"/>
    </row>
    <row r="16609" spans="1:4" ht="12.75" customHeight="1" x14ac:dyDescent="0.2">
      <c r="B16609" s="11" t="s">
        <v>16</v>
      </c>
      <c r="C16609" s="11"/>
    </row>
    <row r="16610" spans="1:4" ht="12.75" customHeight="1" x14ac:dyDescent="0.2">
      <c r="B16610" s="11" t="s">
        <v>13</v>
      </c>
      <c r="C16610" s="11" t="s">
        <v>2644</v>
      </c>
    </row>
    <row r="16611" spans="1:4" ht="12.75" customHeight="1" x14ac:dyDescent="0.2">
      <c r="B16611" s="11" t="s">
        <v>2603</v>
      </c>
      <c r="C16611" s="11" t="s">
        <v>2604</v>
      </c>
    </row>
    <row r="16612" spans="1:4" ht="12.75" customHeight="1" x14ac:dyDescent="0.2">
      <c r="B16612" s="11" t="s">
        <v>2605</v>
      </c>
      <c r="C16612" s="11" t="s">
        <v>14</v>
      </c>
    </row>
    <row r="16613" spans="1:4" ht="12.75" customHeight="1" x14ac:dyDescent="0.2">
      <c r="B16613" s="11" t="s">
        <v>2606</v>
      </c>
      <c r="C16613" s="16" t="s">
        <v>98</v>
      </c>
      <c r="D16613" s="6" t="str">
        <f>HYPERLINK("javascript:void(0)","kincs")</f>
        <v>kincs</v>
      </c>
    </row>
    <row r="16614" spans="1:4" ht="12.75" customHeight="1" x14ac:dyDescent="0.2">
      <c r="B16614" s="2"/>
      <c r="C16614" s="15"/>
      <c r="D16614" s="2"/>
    </row>
    <row r="16615" spans="1:4" ht="12.75" customHeight="1" x14ac:dyDescent="0.2">
      <c r="B16615" s="2"/>
      <c r="C16615" s="15"/>
      <c r="D16615" s="2"/>
    </row>
    <row r="16616" spans="1:4" ht="12.75" customHeight="1" x14ac:dyDescent="0.2">
      <c r="A16616" s="13" t="s">
        <v>5254</v>
      </c>
      <c r="C16616" s="12"/>
    </row>
    <row r="16617" spans="1:4" ht="12.75" customHeight="1" x14ac:dyDescent="0.2">
      <c r="A16617" s="11"/>
      <c r="B16617" s="2"/>
      <c r="C16617" s="15"/>
      <c r="D16617" s="2"/>
    </row>
    <row r="16618" spans="1:4" ht="12.75" customHeight="1" x14ac:dyDescent="0.2">
      <c r="B16618" s="11" t="s">
        <v>0</v>
      </c>
      <c r="C16618" s="11" t="s">
        <v>190</v>
      </c>
    </row>
    <row r="16619" spans="1:4" ht="12.75" customHeight="1" x14ac:dyDescent="0.2">
      <c r="B16619" s="11" t="s">
        <v>2599</v>
      </c>
      <c r="C16619" s="11" t="s">
        <v>3666</v>
      </c>
    </row>
    <row r="16620" spans="1:4" ht="25.5" customHeight="1" x14ac:dyDescent="0.2">
      <c r="B16620" s="11" t="s">
        <v>2600</v>
      </c>
      <c r="C16620" s="11" t="s">
        <v>5255</v>
      </c>
    </row>
    <row r="16621" spans="1:4" ht="25.5" customHeight="1" x14ac:dyDescent="0.2">
      <c r="B16621" s="11" t="s">
        <v>2601</v>
      </c>
      <c r="C16621" s="11"/>
    </row>
    <row r="16622" spans="1:4" ht="12.75" customHeight="1" x14ac:dyDescent="0.2">
      <c r="B16622" s="11" t="s">
        <v>16</v>
      </c>
      <c r="C16622" s="11"/>
    </row>
    <row r="16623" spans="1:4" ht="12.75" customHeight="1" x14ac:dyDescent="0.2">
      <c r="B16623" s="11" t="s">
        <v>13</v>
      </c>
      <c r="C16623" s="11" t="s">
        <v>2602</v>
      </c>
    </row>
    <row r="16624" spans="1:4" ht="12.75" customHeight="1" x14ac:dyDescent="0.2">
      <c r="B16624" s="11" t="s">
        <v>2603</v>
      </c>
      <c r="C16624" s="11" t="s">
        <v>2604</v>
      </c>
    </row>
    <row r="16625" spans="1:4" ht="12.75" customHeight="1" x14ac:dyDescent="0.2">
      <c r="B16625" s="11" t="s">
        <v>2605</v>
      </c>
      <c r="C16625" s="11" t="s">
        <v>24</v>
      </c>
    </row>
    <row r="16626" spans="1:4" ht="12.75" customHeight="1" x14ac:dyDescent="0.2">
      <c r="B16626" s="11" t="s">
        <v>2606</v>
      </c>
      <c r="C16626" s="16" t="s">
        <v>44</v>
      </c>
      <c r="D16626" s="6" t="str">
        <f>HYPERLINK("javascript:void(0)","valkript")</f>
        <v>valkript</v>
      </c>
    </row>
    <row r="16627" spans="1:4" ht="12.75" customHeight="1" x14ac:dyDescent="0.2">
      <c r="C16627" s="16" t="s">
        <v>67</v>
      </c>
      <c r="D16627" s="6" t="str">
        <f>HYPERLINK("javascript:void(0)","kincs")</f>
        <v>kincs</v>
      </c>
    </row>
    <row r="16628" spans="1:4" ht="12.75" customHeight="1" x14ac:dyDescent="0.2">
      <c r="B16628" s="2"/>
      <c r="C16628" s="15"/>
      <c r="D16628" s="2"/>
    </row>
    <row r="16629" spans="1:4" ht="12.75" customHeight="1" x14ac:dyDescent="0.2">
      <c r="B16629" s="2"/>
      <c r="C16629" s="15"/>
      <c r="D16629" s="2"/>
    </row>
    <row r="16630" spans="1:4" ht="12.75" customHeight="1" x14ac:dyDescent="0.2">
      <c r="A16630" s="13" t="s">
        <v>5256</v>
      </c>
      <c r="C16630" s="12"/>
    </row>
    <row r="16631" spans="1:4" ht="12.75" customHeight="1" x14ac:dyDescent="0.2">
      <c r="A16631" s="11"/>
      <c r="B16631" s="2"/>
      <c r="C16631" s="15"/>
      <c r="D16631" s="2"/>
    </row>
    <row r="16632" spans="1:4" ht="12.75" customHeight="1" x14ac:dyDescent="0.2">
      <c r="B16632" s="11" t="s">
        <v>0</v>
      </c>
      <c r="C16632" s="11" t="s">
        <v>190</v>
      </c>
    </row>
    <row r="16633" spans="1:4" ht="12.75" customHeight="1" x14ac:dyDescent="0.2">
      <c r="B16633" s="11" t="s">
        <v>2599</v>
      </c>
      <c r="C16633" s="11" t="s">
        <v>5257</v>
      </c>
    </row>
    <row r="16634" spans="1:4" ht="25.5" customHeight="1" x14ac:dyDescent="0.2">
      <c r="B16634" s="11" t="s">
        <v>2600</v>
      </c>
      <c r="C16634" s="11" t="s">
        <v>5258</v>
      </c>
    </row>
    <row r="16635" spans="1:4" ht="25.5" customHeight="1" x14ac:dyDescent="0.2">
      <c r="B16635" s="11" t="s">
        <v>2601</v>
      </c>
      <c r="C16635" s="11"/>
    </row>
    <row r="16636" spans="1:4" ht="12.75" customHeight="1" x14ac:dyDescent="0.2">
      <c r="B16636" s="11" t="s">
        <v>16</v>
      </c>
      <c r="C16636" s="11"/>
    </row>
    <row r="16637" spans="1:4" ht="12.75" customHeight="1" x14ac:dyDescent="0.2">
      <c r="B16637" s="11" t="s">
        <v>13</v>
      </c>
      <c r="C16637" s="11" t="s">
        <v>2602</v>
      </c>
    </row>
    <row r="16638" spans="1:4" ht="12.75" customHeight="1" x14ac:dyDescent="0.2">
      <c r="B16638" s="11" t="s">
        <v>2603</v>
      </c>
      <c r="C16638" s="11" t="s">
        <v>2604</v>
      </c>
    </row>
    <row r="16639" spans="1:4" ht="12.75" customHeight="1" x14ac:dyDescent="0.2">
      <c r="B16639" s="11" t="s">
        <v>2605</v>
      </c>
      <c r="C16639" s="11" t="s">
        <v>14</v>
      </c>
    </row>
    <row r="16640" spans="1:4" ht="12.75" customHeight="1" x14ac:dyDescent="0.2">
      <c r="B16640" s="11" t="s">
        <v>2606</v>
      </c>
      <c r="C16640" s="16" t="s">
        <v>98</v>
      </c>
      <c r="D16640" s="6" t="str">
        <f>HYPERLINK("javascript:void(0)","kincs")</f>
        <v>kincs</v>
      </c>
    </row>
    <row r="16641" spans="1:4" ht="12.75" customHeight="1" x14ac:dyDescent="0.2">
      <c r="B16641" s="2"/>
      <c r="C16641" s="15"/>
      <c r="D16641" s="2"/>
    </row>
    <row r="16642" spans="1:4" ht="12.75" customHeight="1" x14ac:dyDescent="0.2">
      <c r="B16642" s="2"/>
      <c r="C16642" s="15"/>
      <c r="D16642" s="2"/>
    </row>
    <row r="16643" spans="1:4" ht="12.75" customHeight="1" x14ac:dyDescent="0.2">
      <c r="A16643" s="13" t="s">
        <v>5259</v>
      </c>
      <c r="C16643" s="12"/>
    </row>
    <row r="16644" spans="1:4" ht="12.75" customHeight="1" x14ac:dyDescent="0.2">
      <c r="A16644" s="11"/>
      <c r="B16644" s="2"/>
      <c r="C16644" s="15"/>
      <c r="D16644" s="2"/>
    </row>
    <row r="16645" spans="1:4" ht="12.75" customHeight="1" x14ac:dyDescent="0.2">
      <c r="B16645" s="11" t="s">
        <v>0</v>
      </c>
      <c r="C16645" s="11" t="s">
        <v>190</v>
      </c>
    </row>
    <row r="16646" spans="1:4" ht="12.75" customHeight="1" x14ac:dyDescent="0.2">
      <c r="B16646" s="11" t="s">
        <v>2599</v>
      </c>
      <c r="C16646" s="11" t="s">
        <v>5260</v>
      </c>
    </row>
    <row r="16647" spans="1:4" ht="25.5" customHeight="1" x14ac:dyDescent="0.2">
      <c r="B16647" s="11" t="s">
        <v>2600</v>
      </c>
      <c r="C16647" s="11" t="s">
        <v>5261</v>
      </c>
    </row>
    <row r="16648" spans="1:4" ht="25.5" customHeight="1" x14ac:dyDescent="0.2">
      <c r="B16648" s="11" t="s">
        <v>2601</v>
      </c>
      <c r="C16648" s="11"/>
    </row>
    <row r="16649" spans="1:4" ht="12.75" customHeight="1" x14ac:dyDescent="0.2">
      <c r="B16649" s="11" t="s">
        <v>16</v>
      </c>
      <c r="C16649" s="11"/>
    </row>
    <row r="16650" spans="1:4" ht="12.75" customHeight="1" x14ac:dyDescent="0.2">
      <c r="B16650" s="11" t="s">
        <v>13</v>
      </c>
      <c r="C16650" s="11" t="s">
        <v>2602</v>
      </c>
    </row>
    <row r="16651" spans="1:4" ht="12.75" customHeight="1" x14ac:dyDescent="0.2">
      <c r="B16651" s="11" t="s">
        <v>2603</v>
      </c>
      <c r="C16651" s="11" t="s">
        <v>2604</v>
      </c>
    </row>
    <row r="16652" spans="1:4" ht="12.75" customHeight="1" x14ac:dyDescent="0.2">
      <c r="B16652" s="11" t="s">
        <v>2605</v>
      </c>
      <c r="C16652" s="11" t="s">
        <v>14</v>
      </c>
    </row>
    <row r="16653" spans="1:4" ht="12.75" customHeight="1" x14ac:dyDescent="0.2">
      <c r="B16653" s="11" t="s">
        <v>2606</v>
      </c>
      <c r="C16653" s="16" t="s">
        <v>98</v>
      </c>
      <c r="D16653" s="6" t="str">
        <f>HYPERLINK("javascript:void(0)","kincs")</f>
        <v>kincs</v>
      </c>
    </row>
    <row r="16654" spans="1:4" ht="12.75" customHeight="1" x14ac:dyDescent="0.2">
      <c r="B16654" s="2"/>
      <c r="C16654" s="15"/>
      <c r="D16654" s="2"/>
    </row>
    <row r="16655" spans="1:4" ht="12.75" customHeight="1" x14ac:dyDescent="0.2">
      <c r="B16655" s="2"/>
      <c r="C16655" s="15"/>
      <c r="D16655" s="2"/>
    </row>
    <row r="16656" spans="1:4" ht="12.75" customHeight="1" x14ac:dyDescent="0.2">
      <c r="A16656" s="13" t="s">
        <v>5262</v>
      </c>
      <c r="C16656" s="12"/>
    </row>
    <row r="16657" spans="1:4" ht="12.75" customHeight="1" x14ac:dyDescent="0.2">
      <c r="A16657" s="11"/>
      <c r="B16657" s="2"/>
      <c r="C16657" s="15"/>
      <c r="D16657" s="2"/>
    </row>
    <row r="16658" spans="1:4" ht="12.75" customHeight="1" x14ac:dyDescent="0.2">
      <c r="B16658" s="11" t="s">
        <v>0</v>
      </c>
      <c r="C16658" s="11" t="s">
        <v>190</v>
      </c>
    </row>
    <row r="16659" spans="1:4" ht="12.75" customHeight="1" x14ac:dyDescent="0.2">
      <c r="B16659" s="11" t="s">
        <v>2599</v>
      </c>
      <c r="C16659" s="11" t="s">
        <v>5263</v>
      </c>
    </row>
    <row r="16660" spans="1:4" ht="25.5" customHeight="1" x14ac:dyDescent="0.2">
      <c r="B16660" s="11" t="s">
        <v>2600</v>
      </c>
      <c r="C16660" s="11" t="s">
        <v>5264</v>
      </c>
    </row>
    <row r="16661" spans="1:4" ht="25.5" customHeight="1" x14ac:dyDescent="0.2">
      <c r="B16661" s="11" t="s">
        <v>2601</v>
      </c>
      <c r="C16661" s="11"/>
    </row>
    <row r="16662" spans="1:4" ht="12.75" customHeight="1" x14ac:dyDescent="0.2">
      <c r="B16662" s="11" t="s">
        <v>16</v>
      </c>
      <c r="C16662" s="11"/>
    </row>
    <row r="16663" spans="1:4" ht="12.75" customHeight="1" x14ac:dyDescent="0.2">
      <c r="B16663" s="11" t="s">
        <v>13</v>
      </c>
      <c r="C16663" s="11" t="s">
        <v>2644</v>
      </c>
    </row>
    <row r="16664" spans="1:4" ht="12.75" customHeight="1" x14ac:dyDescent="0.2">
      <c r="B16664" s="11" t="s">
        <v>2603</v>
      </c>
      <c r="C16664" s="11" t="s">
        <v>2604</v>
      </c>
    </row>
    <row r="16665" spans="1:4" ht="12.75" customHeight="1" x14ac:dyDescent="0.2">
      <c r="B16665" s="11" t="s">
        <v>2605</v>
      </c>
      <c r="C16665" s="11" t="s">
        <v>14</v>
      </c>
    </row>
    <row r="16666" spans="1:4" ht="12.75" customHeight="1" x14ac:dyDescent="0.2">
      <c r="B16666" s="11" t="s">
        <v>2606</v>
      </c>
      <c r="C16666" s="16" t="s">
        <v>67</v>
      </c>
      <c r="D16666" s="6" t="str">
        <f>HYPERLINK("javascript:void(0)","kincs")</f>
        <v>kincs</v>
      </c>
    </row>
    <row r="16667" spans="1:4" ht="12.75" customHeight="1" x14ac:dyDescent="0.2">
      <c r="B16667" s="2"/>
      <c r="C16667" s="15"/>
      <c r="D16667" s="2"/>
    </row>
    <row r="16668" spans="1:4" ht="12.75" customHeight="1" x14ac:dyDescent="0.2">
      <c r="B16668" s="2"/>
      <c r="C16668" s="15"/>
      <c r="D16668" s="2"/>
    </row>
    <row r="16669" spans="1:4" ht="12.75" customHeight="1" x14ac:dyDescent="0.2">
      <c r="A16669" s="13" t="s">
        <v>5265</v>
      </c>
      <c r="C16669" s="12"/>
    </row>
    <row r="16670" spans="1:4" ht="12.75" customHeight="1" x14ac:dyDescent="0.2">
      <c r="A16670" s="11"/>
      <c r="B16670" s="2"/>
      <c r="C16670" s="15"/>
      <c r="D16670" s="2"/>
    </row>
    <row r="16671" spans="1:4" ht="12.75" customHeight="1" x14ac:dyDescent="0.2">
      <c r="B16671" s="11" t="s">
        <v>0</v>
      </c>
      <c r="C16671" s="11" t="s">
        <v>190</v>
      </c>
    </row>
    <row r="16672" spans="1:4" ht="12.75" customHeight="1" x14ac:dyDescent="0.2">
      <c r="B16672" s="11" t="s">
        <v>2599</v>
      </c>
      <c r="C16672" s="11" t="s">
        <v>5266</v>
      </c>
    </row>
    <row r="16673" spans="1:4" ht="25.5" customHeight="1" x14ac:dyDescent="0.2">
      <c r="B16673" s="11" t="s">
        <v>2600</v>
      </c>
      <c r="C16673" s="11" t="s">
        <v>5267</v>
      </c>
    </row>
    <row r="16674" spans="1:4" ht="25.5" customHeight="1" x14ac:dyDescent="0.2">
      <c r="B16674" s="11" t="s">
        <v>2601</v>
      </c>
      <c r="C16674" s="11"/>
    </row>
    <row r="16675" spans="1:4" ht="12.75" customHeight="1" x14ac:dyDescent="0.2">
      <c r="B16675" s="11" t="s">
        <v>16</v>
      </c>
      <c r="C16675" s="11"/>
    </row>
    <row r="16676" spans="1:4" ht="12.75" customHeight="1" x14ac:dyDescent="0.2">
      <c r="B16676" s="11" t="s">
        <v>13</v>
      </c>
      <c r="C16676" s="11" t="s">
        <v>2602</v>
      </c>
    </row>
    <row r="16677" spans="1:4" ht="12.75" customHeight="1" x14ac:dyDescent="0.2">
      <c r="B16677" s="11" t="s">
        <v>2603</v>
      </c>
      <c r="C16677" s="11" t="s">
        <v>2604</v>
      </c>
    </row>
    <row r="16678" spans="1:4" ht="12.75" customHeight="1" x14ac:dyDescent="0.2">
      <c r="B16678" s="11" t="s">
        <v>2605</v>
      </c>
      <c r="C16678" s="11" t="s">
        <v>24</v>
      </c>
    </row>
    <row r="16679" spans="1:4" ht="12.75" customHeight="1" x14ac:dyDescent="0.2">
      <c r="B16679" s="11" t="s">
        <v>2606</v>
      </c>
      <c r="C16679" s="16" t="s">
        <v>139</v>
      </c>
      <c r="D16679" s="6" t="str">
        <f>HYPERLINK("javascript:void(0)","gyémánt")</f>
        <v>gyémánt</v>
      </c>
    </row>
    <row r="16680" spans="1:4" ht="12.75" customHeight="1" x14ac:dyDescent="0.2">
      <c r="C16680" s="16" t="s">
        <v>98</v>
      </c>
      <c r="D16680" s="6" t="str">
        <f>HYPERLINK("javascript:void(0)","kincs")</f>
        <v>kincs</v>
      </c>
    </row>
    <row r="16681" spans="1:4" ht="12.75" customHeight="1" x14ac:dyDescent="0.2">
      <c r="B16681" s="2"/>
      <c r="C16681" s="15"/>
      <c r="D16681" s="2"/>
    </row>
    <row r="16682" spans="1:4" ht="12.75" customHeight="1" x14ac:dyDescent="0.2">
      <c r="B16682" s="2"/>
      <c r="C16682" s="15"/>
      <c r="D16682" s="2"/>
    </row>
    <row r="16683" spans="1:4" ht="12.75" customHeight="1" x14ac:dyDescent="0.2">
      <c r="A16683" s="13" t="s">
        <v>5268</v>
      </c>
      <c r="C16683" s="12"/>
    </row>
    <row r="16684" spans="1:4" ht="12.75" customHeight="1" x14ac:dyDescent="0.2">
      <c r="A16684" s="11"/>
      <c r="B16684" s="2"/>
      <c r="C16684" s="15"/>
      <c r="D16684" s="2"/>
    </row>
    <row r="16685" spans="1:4" ht="12.75" customHeight="1" x14ac:dyDescent="0.2">
      <c r="B16685" s="11" t="s">
        <v>0</v>
      </c>
      <c r="C16685" s="11" t="s">
        <v>190</v>
      </c>
    </row>
    <row r="16686" spans="1:4" ht="12.75" customHeight="1" x14ac:dyDescent="0.2">
      <c r="B16686" s="11" t="s">
        <v>2599</v>
      </c>
      <c r="C16686" s="11" t="s">
        <v>2538</v>
      </c>
    </row>
    <row r="16687" spans="1:4" ht="25.5" customHeight="1" x14ac:dyDescent="0.2">
      <c r="B16687" s="11" t="s">
        <v>2600</v>
      </c>
      <c r="C16687" s="11" t="s">
        <v>5269</v>
      </c>
    </row>
    <row r="16688" spans="1:4" ht="25.5" customHeight="1" x14ac:dyDescent="0.2">
      <c r="B16688" s="11" t="s">
        <v>2601</v>
      </c>
      <c r="C16688" s="11"/>
    </row>
    <row r="16689" spans="1:4" ht="12.75" customHeight="1" x14ac:dyDescent="0.2">
      <c r="B16689" s="11" t="s">
        <v>16</v>
      </c>
      <c r="C16689" s="11"/>
    </row>
    <row r="16690" spans="1:4" ht="12.75" customHeight="1" x14ac:dyDescent="0.2">
      <c r="B16690" s="11" t="s">
        <v>13</v>
      </c>
      <c r="C16690" s="11" t="s">
        <v>2644</v>
      </c>
    </row>
    <row r="16691" spans="1:4" ht="12.75" customHeight="1" x14ac:dyDescent="0.2">
      <c r="B16691" s="11" t="s">
        <v>2603</v>
      </c>
      <c r="C16691" s="11" t="s">
        <v>2604</v>
      </c>
    </row>
    <row r="16692" spans="1:4" ht="12.75" customHeight="1" x14ac:dyDescent="0.2">
      <c r="B16692" s="11" t="s">
        <v>2605</v>
      </c>
      <c r="C16692" s="11" t="s">
        <v>24</v>
      </c>
    </row>
    <row r="16693" spans="1:4" ht="12.75" customHeight="1" x14ac:dyDescent="0.2">
      <c r="B16693" s="11" t="s">
        <v>2606</v>
      </c>
      <c r="C16693" s="16" t="s">
        <v>56</v>
      </c>
      <c r="D16693" s="6" t="str">
        <f>HYPERLINK("javascript:void(0)","pálha")</f>
        <v>pálha</v>
      </c>
    </row>
    <row r="16694" spans="1:4" ht="12.75" customHeight="1" x14ac:dyDescent="0.2">
      <c r="C16694" s="16" t="s">
        <v>117</v>
      </c>
      <c r="D16694" s="6" t="str">
        <f>HYPERLINK("javascript:void(0)","kincs")</f>
        <v>kincs</v>
      </c>
    </row>
    <row r="16695" spans="1:4" ht="12.75" customHeight="1" x14ac:dyDescent="0.2">
      <c r="B16695" s="2"/>
      <c r="C16695" s="15"/>
      <c r="D16695" s="2"/>
    </row>
    <row r="16696" spans="1:4" ht="12.75" customHeight="1" x14ac:dyDescent="0.2">
      <c r="B16696" s="2"/>
      <c r="C16696" s="15"/>
      <c r="D16696" s="2"/>
    </row>
    <row r="16697" spans="1:4" ht="12.75" customHeight="1" x14ac:dyDescent="0.2">
      <c r="A16697" s="13" t="s">
        <v>5270</v>
      </c>
      <c r="C16697" s="12"/>
      <c r="D16697" s="2"/>
    </row>
    <row r="16698" spans="1:4" ht="12.75" customHeight="1" x14ac:dyDescent="0.2">
      <c r="A16698" s="11"/>
      <c r="B16698" s="2"/>
      <c r="C16698" s="15"/>
      <c r="D16698" s="2"/>
    </row>
    <row r="16699" spans="1:4" ht="12.75" customHeight="1" x14ac:dyDescent="0.2">
      <c r="B16699" s="11" t="s">
        <v>0</v>
      </c>
      <c r="C16699" s="17" t="s">
        <v>190</v>
      </c>
      <c r="D16699" s="2"/>
    </row>
    <row r="16700" spans="1:4" ht="12.75" customHeight="1" x14ac:dyDescent="0.2">
      <c r="B16700" s="11" t="s">
        <v>2599</v>
      </c>
      <c r="C16700" s="17" t="s">
        <v>5135</v>
      </c>
      <c r="D16700" s="2"/>
    </row>
    <row r="16701" spans="1:4" ht="25.5" customHeight="1" x14ac:dyDescent="0.2">
      <c r="B16701" s="11" t="s">
        <v>2600</v>
      </c>
      <c r="C16701" s="17" t="s">
        <v>5271</v>
      </c>
      <c r="D16701" s="2"/>
    </row>
    <row r="16702" spans="1:4" ht="25.5" customHeight="1" x14ac:dyDescent="0.2">
      <c r="B16702" s="11" t="s">
        <v>2601</v>
      </c>
      <c r="C16702" s="17"/>
      <c r="D16702" s="2"/>
    </row>
    <row r="16703" spans="1:4" ht="12.75" customHeight="1" x14ac:dyDescent="0.2">
      <c r="B16703" s="11" t="s">
        <v>16</v>
      </c>
      <c r="C16703" s="17"/>
      <c r="D16703" s="2"/>
    </row>
    <row r="16704" spans="1:4" ht="12.75" customHeight="1" x14ac:dyDescent="0.2">
      <c r="B16704" s="11" t="s">
        <v>13</v>
      </c>
      <c r="C16704" s="17" t="s">
        <v>2602</v>
      </c>
      <c r="D16704" s="2"/>
    </row>
    <row r="16705" spans="1:4" ht="25.5" customHeight="1" x14ac:dyDescent="0.2">
      <c r="B16705" s="11" t="s">
        <v>2603</v>
      </c>
      <c r="C16705" s="17" t="s">
        <v>2971</v>
      </c>
      <c r="D16705" s="2"/>
    </row>
    <row r="16706" spans="1:4" ht="12.75" customHeight="1" x14ac:dyDescent="0.2">
      <c r="B16706" s="11" t="s">
        <v>2605</v>
      </c>
      <c r="C16706" s="17" t="s">
        <v>14</v>
      </c>
      <c r="D16706" s="2"/>
    </row>
    <row r="16707" spans="1:4" ht="12.75" customHeight="1" x14ac:dyDescent="0.2">
      <c r="B16707" s="11" t="s">
        <v>2606</v>
      </c>
      <c r="C16707" s="16" t="s">
        <v>19</v>
      </c>
      <c r="D16707" s="2"/>
    </row>
    <row r="16708" spans="1:4" ht="12.75" customHeight="1" x14ac:dyDescent="0.2">
      <c r="B16708" s="2"/>
      <c r="C16708" s="15"/>
      <c r="D16708" s="2"/>
    </row>
    <row r="16709" spans="1:4" ht="12.75" customHeight="1" x14ac:dyDescent="0.2">
      <c r="B16709" s="2"/>
      <c r="C16709" s="15"/>
      <c r="D16709" s="2"/>
    </row>
    <row r="16710" spans="1:4" ht="12.75" customHeight="1" x14ac:dyDescent="0.2">
      <c r="A16710" s="13" t="s">
        <v>5241</v>
      </c>
      <c r="C16710" s="12"/>
      <c r="D16710" s="2"/>
    </row>
    <row r="16711" spans="1:4" ht="12.75" customHeight="1" x14ac:dyDescent="0.2">
      <c r="A16711" s="11"/>
      <c r="B16711" s="2"/>
      <c r="C16711" s="15"/>
      <c r="D16711" s="2"/>
    </row>
    <row r="16712" spans="1:4" ht="12.75" customHeight="1" x14ac:dyDescent="0.2">
      <c r="B16712" s="11" t="s">
        <v>0</v>
      </c>
      <c r="C16712" s="17" t="s">
        <v>953</v>
      </c>
      <c r="D16712" s="2"/>
    </row>
    <row r="16713" spans="1:4" ht="12.75" customHeight="1" x14ac:dyDescent="0.2">
      <c r="B16713" s="11" t="s">
        <v>2599</v>
      </c>
      <c r="C16713" s="17" t="s">
        <v>5103</v>
      </c>
      <c r="D16713" s="2"/>
    </row>
    <row r="16714" spans="1:4" ht="25.5" customHeight="1" x14ac:dyDescent="0.2">
      <c r="B16714" s="11" t="s">
        <v>2600</v>
      </c>
      <c r="C16714" s="17" t="s">
        <v>5272</v>
      </c>
      <c r="D16714" s="2"/>
    </row>
    <row r="16715" spans="1:4" ht="25.5" customHeight="1" x14ac:dyDescent="0.2">
      <c r="B16715" s="11" t="s">
        <v>2601</v>
      </c>
      <c r="C16715" s="17"/>
      <c r="D16715" s="2"/>
    </row>
    <row r="16716" spans="1:4" ht="12.75" customHeight="1" x14ac:dyDescent="0.2">
      <c r="B16716" s="11" t="s">
        <v>16</v>
      </c>
      <c r="C16716" s="17"/>
      <c r="D16716" s="2"/>
    </row>
    <row r="16717" spans="1:4" ht="12.75" customHeight="1" x14ac:dyDescent="0.2">
      <c r="B16717" s="11" t="s">
        <v>13</v>
      </c>
      <c r="C16717" s="17" t="s">
        <v>2644</v>
      </c>
      <c r="D16717" s="2"/>
    </row>
    <row r="16718" spans="1:4" ht="25.5" customHeight="1" x14ac:dyDescent="0.2">
      <c r="B16718" s="11" t="s">
        <v>2603</v>
      </c>
      <c r="C16718" s="17" t="s">
        <v>2971</v>
      </c>
      <c r="D16718" s="2"/>
    </row>
    <row r="16719" spans="1:4" ht="12.75" customHeight="1" x14ac:dyDescent="0.2">
      <c r="B16719" s="11" t="s">
        <v>2605</v>
      </c>
      <c r="C16719" s="17" t="s">
        <v>14</v>
      </c>
      <c r="D16719" s="2"/>
    </row>
    <row r="16720" spans="1:4" ht="12.75" customHeight="1" x14ac:dyDescent="0.2">
      <c r="B16720" s="11" t="s">
        <v>2606</v>
      </c>
      <c r="C16720" s="16" t="s">
        <v>19</v>
      </c>
      <c r="D16720" s="2"/>
    </row>
    <row r="16721" spans="1:4" ht="12.75" customHeight="1" x14ac:dyDescent="0.2">
      <c r="B16721" s="2"/>
      <c r="C16721" s="15"/>
      <c r="D16721" s="2"/>
    </row>
    <row r="16722" spans="1:4" ht="12.75" customHeight="1" x14ac:dyDescent="0.2">
      <c r="B16722" s="2"/>
      <c r="C16722" s="15"/>
      <c r="D16722" s="2"/>
    </row>
    <row r="16723" spans="1:4" ht="12.75" customHeight="1" x14ac:dyDescent="0.2">
      <c r="A16723" s="13" t="s">
        <v>5243</v>
      </c>
      <c r="C16723" s="12"/>
      <c r="D16723" s="2"/>
    </row>
    <row r="16724" spans="1:4" ht="12.75" customHeight="1" x14ac:dyDescent="0.2">
      <c r="A16724" s="11"/>
      <c r="B16724" s="2"/>
      <c r="C16724" s="15"/>
      <c r="D16724" s="2"/>
    </row>
    <row r="16725" spans="1:4" ht="12.75" customHeight="1" x14ac:dyDescent="0.2">
      <c r="B16725" s="11" t="s">
        <v>0</v>
      </c>
      <c r="C16725" s="17" t="s">
        <v>953</v>
      </c>
      <c r="D16725" s="2"/>
    </row>
    <row r="16726" spans="1:4" ht="12.75" customHeight="1" x14ac:dyDescent="0.2">
      <c r="B16726" s="11" t="s">
        <v>2599</v>
      </c>
      <c r="C16726" s="17" t="s">
        <v>5106</v>
      </c>
      <c r="D16726" s="2"/>
    </row>
    <row r="16727" spans="1:4" ht="25.5" customHeight="1" x14ac:dyDescent="0.2">
      <c r="B16727" s="11" t="s">
        <v>2600</v>
      </c>
      <c r="C16727" s="17" t="s">
        <v>5273</v>
      </c>
      <c r="D16727" s="2"/>
    </row>
    <row r="16728" spans="1:4" ht="25.5" customHeight="1" x14ac:dyDescent="0.2">
      <c r="B16728" s="11" t="s">
        <v>2601</v>
      </c>
      <c r="C16728" s="17"/>
      <c r="D16728" s="2"/>
    </row>
    <row r="16729" spans="1:4" ht="12.75" customHeight="1" x14ac:dyDescent="0.2">
      <c r="B16729" s="11" t="s">
        <v>16</v>
      </c>
      <c r="C16729" s="17"/>
      <c r="D16729" s="2"/>
    </row>
    <row r="16730" spans="1:4" ht="12.75" customHeight="1" x14ac:dyDescent="0.2">
      <c r="B16730" s="11" t="s">
        <v>13</v>
      </c>
      <c r="C16730" s="17" t="s">
        <v>2602</v>
      </c>
      <c r="D16730" s="2"/>
    </row>
    <row r="16731" spans="1:4" ht="25.5" customHeight="1" x14ac:dyDescent="0.2">
      <c r="B16731" s="11" t="s">
        <v>2603</v>
      </c>
      <c r="C16731" s="17" t="s">
        <v>2971</v>
      </c>
      <c r="D16731" s="2"/>
    </row>
    <row r="16732" spans="1:4" ht="12.75" customHeight="1" x14ac:dyDescent="0.2">
      <c r="B16732" s="11" t="s">
        <v>2605</v>
      </c>
      <c r="C16732" s="17" t="s">
        <v>14</v>
      </c>
      <c r="D16732" s="2"/>
    </row>
    <row r="16733" spans="1:4" ht="12.75" customHeight="1" x14ac:dyDescent="0.2">
      <c r="B16733" s="11" t="s">
        <v>2606</v>
      </c>
      <c r="C16733" s="16" t="s">
        <v>19</v>
      </c>
      <c r="D16733" s="2"/>
    </row>
    <row r="16734" spans="1:4" ht="12.75" customHeight="1" x14ac:dyDescent="0.2">
      <c r="B16734" s="2"/>
      <c r="C16734" s="15"/>
      <c r="D16734" s="2"/>
    </row>
    <row r="16735" spans="1:4" ht="12.75" customHeight="1" x14ac:dyDescent="0.2">
      <c r="B16735" s="2"/>
      <c r="C16735" s="15"/>
      <c r="D16735" s="2"/>
    </row>
    <row r="16736" spans="1:4" ht="12.75" customHeight="1" x14ac:dyDescent="0.2">
      <c r="A16736" s="13" t="s">
        <v>5245</v>
      </c>
      <c r="C16736" s="12"/>
      <c r="D16736" s="2"/>
    </row>
    <row r="16737" spans="1:4" ht="12.75" customHeight="1" x14ac:dyDescent="0.2">
      <c r="A16737" s="11"/>
      <c r="B16737" s="2"/>
      <c r="C16737" s="15"/>
      <c r="D16737" s="2"/>
    </row>
    <row r="16738" spans="1:4" ht="12.75" customHeight="1" x14ac:dyDescent="0.2">
      <c r="B16738" s="11" t="s">
        <v>0</v>
      </c>
      <c r="C16738" s="17" t="s">
        <v>953</v>
      </c>
      <c r="D16738" s="2"/>
    </row>
    <row r="16739" spans="1:4" ht="12.75" customHeight="1" x14ac:dyDescent="0.2">
      <c r="B16739" s="11" t="s">
        <v>2599</v>
      </c>
      <c r="C16739" s="17" t="s">
        <v>5109</v>
      </c>
      <c r="D16739" s="2"/>
    </row>
    <row r="16740" spans="1:4" ht="25.5" customHeight="1" x14ac:dyDescent="0.2">
      <c r="B16740" s="11" t="s">
        <v>2600</v>
      </c>
      <c r="C16740" s="17" t="s">
        <v>5274</v>
      </c>
      <c r="D16740" s="2"/>
    </row>
    <row r="16741" spans="1:4" ht="25.5" customHeight="1" x14ac:dyDescent="0.2">
      <c r="B16741" s="11" t="s">
        <v>2601</v>
      </c>
      <c r="C16741" s="17"/>
      <c r="D16741" s="2"/>
    </row>
    <row r="16742" spans="1:4" ht="12.75" customHeight="1" x14ac:dyDescent="0.2">
      <c r="B16742" s="11" t="s">
        <v>16</v>
      </c>
      <c r="C16742" s="17"/>
      <c r="D16742" s="2"/>
    </row>
    <row r="16743" spans="1:4" ht="12.75" customHeight="1" x14ac:dyDescent="0.2">
      <c r="B16743" s="11" t="s">
        <v>13</v>
      </c>
      <c r="C16743" s="17" t="s">
        <v>2644</v>
      </c>
      <c r="D16743" s="2"/>
    </row>
    <row r="16744" spans="1:4" ht="25.5" customHeight="1" x14ac:dyDescent="0.2">
      <c r="B16744" s="11" t="s">
        <v>2603</v>
      </c>
      <c r="C16744" s="17" t="s">
        <v>2971</v>
      </c>
      <c r="D16744" s="2"/>
    </row>
    <row r="16745" spans="1:4" ht="12.75" customHeight="1" x14ac:dyDescent="0.2">
      <c r="B16745" s="11" t="s">
        <v>2605</v>
      </c>
      <c r="C16745" s="17" t="s">
        <v>14</v>
      </c>
      <c r="D16745" s="2"/>
    </row>
    <row r="16746" spans="1:4" ht="12.75" customHeight="1" x14ac:dyDescent="0.2">
      <c r="B16746" s="11" t="s">
        <v>2606</v>
      </c>
      <c r="C16746" s="16" t="s">
        <v>19</v>
      </c>
      <c r="D16746" s="2"/>
    </row>
    <row r="16747" spans="1:4" ht="12.75" customHeight="1" x14ac:dyDescent="0.2">
      <c r="B16747" s="2"/>
      <c r="C16747" s="15"/>
      <c r="D16747" s="2"/>
    </row>
    <row r="16748" spans="1:4" ht="12.75" customHeight="1" x14ac:dyDescent="0.2">
      <c r="B16748" s="2"/>
      <c r="C16748" s="15"/>
      <c r="D16748" s="2"/>
    </row>
    <row r="16749" spans="1:4" ht="12.75" customHeight="1" x14ac:dyDescent="0.2">
      <c r="A16749" s="13" t="s">
        <v>5275</v>
      </c>
      <c r="C16749" s="12"/>
    </row>
    <row r="16750" spans="1:4" ht="12.75" customHeight="1" x14ac:dyDescent="0.2">
      <c r="A16750" s="11"/>
      <c r="B16750" s="2"/>
      <c r="C16750" s="15"/>
      <c r="D16750" s="2"/>
    </row>
    <row r="16751" spans="1:4" ht="12.75" customHeight="1" x14ac:dyDescent="0.2">
      <c r="B16751" s="11" t="s">
        <v>0</v>
      </c>
      <c r="C16751" s="11" t="s">
        <v>953</v>
      </c>
    </row>
    <row r="16752" spans="1:4" ht="12.75" customHeight="1" x14ac:dyDescent="0.2">
      <c r="B16752" s="11" t="s">
        <v>2599</v>
      </c>
      <c r="C16752" s="11" t="s">
        <v>5276</v>
      </c>
    </row>
    <row r="16753" spans="1:4" ht="25.5" customHeight="1" x14ac:dyDescent="0.2">
      <c r="B16753" s="11" t="s">
        <v>2600</v>
      </c>
      <c r="C16753" s="11" t="s">
        <v>5277</v>
      </c>
    </row>
    <row r="16754" spans="1:4" ht="25.5" customHeight="1" x14ac:dyDescent="0.2">
      <c r="B16754" s="11" t="s">
        <v>2601</v>
      </c>
      <c r="C16754" s="11"/>
    </row>
    <row r="16755" spans="1:4" ht="12.75" customHeight="1" x14ac:dyDescent="0.2">
      <c r="B16755" s="11" t="s">
        <v>16</v>
      </c>
      <c r="C16755" s="11"/>
    </row>
    <row r="16756" spans="1:4" ht="12.75" customHeight="1" x14ac:dyDescent="0.2">
      <c r="B16756" s="11" t="s">
        <v>13</v>
      </c>
      <c r="C16756" s="11" t="s">
        <v>2644</v>
      </c>
    </row>
    <row r="16757" spans="1:4" ht="12.75" customHeight="1" x14ac:dyDescent="0.2">
      <c r="B16757" s="11" t="s">
        <v>2603</v>
      </c>
      <c r="C16757" s="11" t="s">
        <v>2604</v>
      </c>
    </row>
    <row r="16758" spans="1:4" ht="12.75" customHeight="1" x14ac:dyDescent="0.2">
      <c r="B16758" s="11" t="s">
        <v>2605</v>
      </c>
      <c r="C16758" s="11" t="s">
        <v>24</v>
      </c>
    </row>
    <row r="16759" spans="1:4" ht="12.75" customHeight="1" x14ac:dyDescent="0.2">
      <c r="B16759" s="11" t="s">
        <v>2606</v>
      </c>
      <c r="C16759" s="16" t="s">
        <v>139</v>
      </c>
      <c r="D16759" s="6" t="str">
        <f>HYPERLINK("javascript:void(0)","savkristály")</f>
        <v>savkristály</v>
      </c>
    </row>
    <row r="16760" spans="1:4" ht="12.75" customHeight="1" x14ac:dyDescent="0.2">
      <c r="C16760" s="16" t="s">
        <v>786</v>
      </c>
      <c r="D16760" s="6" t="str">
        <f>HYPERLINK("javascript:void(0)","kincs")</f>
        <v>kincs</v>
      </c>
    </row>
    <row r="16761" spans="1:4" ht="12.75" customHeight="1" x14ac:dyDescent="0.2">
      <c r="B16761" s="2"/>
      <c r="C16761" s="15"/>
      <c r="D16761" s="2"/>
    </row>
    <row r="16762" spans="1:4" ht="12.75" customHeight="1" x14ac:dyDescent="0.2">
      <c r="B16762" s="2"/>
      <c r="C16762" s="15"/>
      <c r="D16762" s="2"/>
    </row>
    <row r="16763" spans="1:4" ht="12.75" customHeight="1" x14ac:dyDescent="0.2">
      <c r="A16763" s="13" t="s">
        <v>5278</v>
      </c>
      <c r="C16763" s="12"/>
    </row>
    <row r="16764" spans="1:4" ht="12.75" customHeight="1" x14ac:dyDescent="0.2">
      <c r="A16764" s="11"/>
      <c r="B16764" s="2"/>
      <c r="C16764" s="15"/>
      <c r="D16764" s="2"/>
    </row>
    <row r="16765" spans="1:4" ht="12.75" customHeight="1" x14ac:dyDescent="0.2">
      <c r="B16765" s="11" t="s">
        <v>0</v>
      </c>
      <c r="C16765" s="11" t="s">
        <v>953</v>
      </c>
    </row>
    <row r="16766" spans="1:4" ht="12.75" customHeight="1" x14ac:dyDescent="0.2">
      <c r="B16766" s="11" t="s">
        <v>2599</v>
      </c>
      <c r="C16766" s="11" t="s">
        <v>5279</v>
      </c>
    </row>
    <row r="16767" spans="1:4" ht="25.5" customHeight="1" x14ac:dyDescent="0.2">
      <c r="B16767" s="11" t="s">
        <v>2600</v>
      </c>
      <c r="C16767" s="11" t="s">
        <v>5280</v>
      </c>
    </row>
    <row r="16768" spans="1:4" ht="25.5" customHeight="1" x14ac:dyDescent="0.2">
      <c r="B16768" s="11" t="s">
        <v>2601</v>
      </c>
      <c r="C16768" s="11"/>
    </row>
    <row r="16769" spans="1:4" ht="12.75" customHeight="1" x14ac:dyDescent="0.2">
      <c r="B16769" s="11" t="s">
        <v>16</v>
      </c>
      <c r="C16769" s="11"/>
    </row>
    <row r="16770" spans="1:4" ht="12.75" customHeight="1" x14ac:dyDescent="0.2">
      <c r="B16770" s="11" t="s">
        <v>13</v>
      </c>
      <c r="C16770" s="11" t="s">
        <v>2644</v>
      </c>
    </row>
    <row r="16771" spans="1:4" ht="12.75" customHeight="1" x14ac:dyDescent="0.2">
      <c r="B16771" s="11" t="s">
        <v>2603</v>
      </c>
      <c r="C16771" s="11" t="s">
        <v>2604</v>
      </c>
    </row>
    <row r="16772" spans="1:4" ht="12.75" customHeight="1" x14ac:dyDescent="0.2">
      <c r="B16772" s="11" t="s">
        <v>2605</v>
      </c>
      <c r="C16772" s="11" t="s">
        <v>14</v>
      </c>
    </row>
    <row r="16773" spans="1:4" ht="12.75" customHeight="1" x14ac:dyDescent="0.2">
      <c r="B16773" s="11" t="s">
        <v>2606</v>
      </c>
      <c r="C16773" s="16" t="s">
        <v>98</v>
      </c>
      <c r="D16773" s="6" t="str">
        <f>HYPERLINK("javascript:void(0)","kincs")</f>
        <v>kincs</v>
      </c>
    </row>
    <row r="16774" spans="1:4" ht="12.75" customHeight="1" x14ac:dyDescent="0.2">
      <c r="B16774" s="2"/>
      <c r="C16774" s="15"/>
      <c r="D16774" s="2"/>
    </row>
    <row r="16775" spans="1:4" ht="12.75" customHeight="1" x14ac:dyDescent="0.2">
      <c r="B16775" s="2"/>
      <c r="C16775" s="15"/>
      <c r="D16775" s="2"/>
    </row>
    <row r="16776" spans="1:4" ht="12.75" customHeight="1" x14ac:dyDescent="0.2">
      <c r="A16776" s="13" t="s">
        <v>5281</v>
      </c>
      <c r="C16776" s="12"/>
    </row>
    <row r="16777" spans="1:4" ht="12.75" customHeight="1" x14ac:dyDescent="0.2">
      <c r="A16777" s="11"/>
      <c r="B16777" s="2"/>
      <c r="C16777" s="15"/>
      <c r="D16777" s="2"/>
    </row>
    <row r="16778" spans="1:4" ht="12.75" customHeight="1" x14ac:dyDescent="0.2">
      <c r="B16778" s="11" t="s">
        <v>0</v>
      </c>
      <c r="C16778" s="11" t="s">
        <v>953</v>
      </c>
    </row>
    <row r="16779" spans="1:4" ht="12.75" customHeight="1" x14ac:dyDescent="0.2">
      <c r="B16779" s="11" t="s">
        <v>2599</v>
      </c>
      <c r="C16779" s="11" t="s">
        <v>5282</v>
      </c>
    </row>
    <row r="16780" spans="1:4" ht="25.5" customHeight="1" x14ac:dyDescent="0.2">
      <c r="B16780" s="11" t="s">
        <v>2600</v>
      </c>
      <c r="C16780" s="11" t="s">
        <v>5283</v>
      </c>
    </row>
    <row r="16781" spans="1:4" ht="25.5" customHeight="1" x14ac:dyDescent="0.2">
      <c r="B16781" s="11" t="s">
        <v>2601</v>
      </c>
      <c r="C16781" s="11"/>
    </row>
    <row r="16782" spans="1:4" ht="12.75" customHeight="1" x14ac:dyDescent="0.2">
      <c r="B16782" s="11" t="s">
        <v>16</v>
      </c>
      <c r="C16782" s="11"/>
    </row>
    <row r="16783" spans="1:4" ht="12.75" customHeight="1" x14ac:dyDescent="0.2">
      <c r="B16783" s="11" t="s">
        <v>13</v>
      </c>
      <c r="C16783" s="11" t="s">
        <v>2644</v>
      </c>
    </row>
    <row r="16784" spans="1:4" ht="12.75" customHeight="1" x14ac:dyDescent="0.2">
      <c r="B16784" s="11" t="s">
        <v>2603</v>
      </c>
      <c r="C16784" s="11" t="s">
        <v>2604</v>
      </c>
    </row>
    <row r="16785" spans="1:4" ht="12.75" customHeight="1" x14ac:dyDescent="0.2">
      <c r="B16785" s="11" t="s">
        <v>2605</v>
      </c>
      <c r="C16785" s="11" t="s">
        <v>24</v>
      </c>
    </row>
    <row r="16786" spans="1:4" ht="12.75" customHeight="1" x14ac:dyDescent="0.2">
      <c r="B16786" s="11" t="s">
        <v>2606</v>
      </c>
      <c r="C16786" s="16" t="s">
        <v>44</v>
      </c>
      <c r="D16786" s="6" t="str">
        <f>HYPERLINK("javascript:void(0)","kártyalap")</f>
        <v>kártyalap</v>
      </c>
    </row>
    <row r="16787" spans="1:4" ht="12.75" customHeight="1" x14ac:dyDescent="0.2">
      <c r="C16787" s="16" t="s">
        <v>67</v>
      </c>
      <c r="D16787" s="6" t="str">
        <f>HYPERLINK("javascript:void(0)","kincs")</f>
        <v>kincs</v>
      </c>
    </row>
    <row r="16788" spans="1:4" ht="12.75" customHeight="1" x14ac:dyDescent="0.2">
      <c r="B16788" s="2"/>
      <c r="C16788" s="15"/>
      <c r="D16788" s="2"/>
    </row>
    <row r="16789" spans="1:4" ht="12.75" customHeight="1" x14ac:dyDescent="0.2">
      <c r="B16789" s="2"/>
      <c r="C16789" s="15"/>
      <c r="D16789" s="2"/>
    </row>
    <row r="16790" spans="1:4" ht="12.75" customHeight="1" x14ac:dyDescent="0.2">
      <c r="A16790" s="13" t="s">
        <v>5284</v>
      </c>
      <c r="C16790" s="12"/>
    </row>
    <row r="16791" spans="1:4" ht="12.75" customHeight="1" x14ac:dyDescent="0.2">
      <c r="A16791" s="11"/>
      <c r="B16791" s="2"/>
      <c r="C16791" s="15"/>
      <c r="D16791" s="2"/>
    </row>
    <row r="16792" spans="1:4" ht="12.75" customHeight="1" x14ac:dyDescent="0.2">
      <c r="B16792" s="11" t="s">
        <v>0</v>
      </c>
      <c r="C16792" s="11" t="s">
        <v>953</v>
      </c>
    </row>
    <row r="16793" spans="1:4" ht="12.75" customHeight="1" x14ac:dyDescent="0.2">
      <c r="B16793" s="11" t="s">
        <v>2599</v>
      </c>
      <c r="C16793" s="11" t="s">
        <v>5285</v>
      </c>
    </row>
    <row r="16794" spans="1:4" ht="25.5" customHeight="1" x14ac:dyDescent="0.2">
      <c r="B16794" s="11" t="s">
        <v>2600</v>
      </c>
      <c r="C16794" s="11" t="s">
        <v>5286</v>
      </c>
    </row>
    <row r="16795" spans="1:4" ht="25.5" customHeight="1" x14ac:dyDescent="0.2">
      <c r="B16795" s="11" t="s">
        <v>2601</v>
      </c>
      <c r="C16795" s="11"/>
    </row>
    <row r="16796" spans="1:4" ht="12.75" customHeight="1" x14ac:dyDescent="0.2">
      <c r="B16796" s="11" t="s">
        <v>16</v>
      </c>
      <c r="C16796" s="11"/>
    </row>
    <row r="16797" spans="1:4" ht="12.75" customHeight="1" x14ac:dyDescent="0.2">
      <c r="B16797" s="11" t="s">
        <v>13</v>
      </c>
      <c r="C16797" s="11" t="s">
        <v>2602</v>
      </c>
    </row>
    <row r="16798" spans="1:4" ht="12.75" customHeight="1" x14ac:dyDescent="0.2">
      <c r="B16798" s="11" t="s">
        <v>2603</v>
      </c>
      <c r="C16798" s="11" t="s">
        <v>2604</v>
      </c>
    </row>
    <row r="16799" spans="1:4" ht="12.75" customHeight="1" x14ac:dyDescent="0.2">
      <c r="B16799" s="11" t="s">
        <v>2605</v>
      </c>
      <c r="C16799" s="11" t="s">
        <v>14</v>
      </c>
    </row>
    <row r="16800" spans="1:4" ht="12.75" customHeight="1" x14ac:dyDescent="0.2">
      <c r="B16800" s="11" t="s">
        <v>2606</v>
      </c>
      <c r="C16800" s="16" t="s">
        <v>98</v>
      </c>
      <c r="D16800" s="6" t="str">
        <f>HYPERLINK("javascript:void(0)","kincs")</f>
        <v>kincs</v>
      </c>
    </row>
    <row r="16801" spans="1:4" ht="12.75" customHeight="1" x14ac:dyDescent="0.2">
      <c r="B16801" s="2"/>
      <c r="C16801" s="15"/>
      <c r="D16801" s="2"/>
    </row>
    <row r="16802" spans="1:4" ht="12.75" customHeight="1" x14ac:dyDescent="0.2">
      <c r="B16802" s="2"/>
      <c r="C16802" s="15"/>
      <c r="D16802" s="2"/>
    </row>
    <row r="16803" spans="1:4" ht="12.75" customHeight="1" x14ac:dyDescent="0.2">
      <c r="A16803" s="13" t="s">
        <v>5287</v>
      </c>
      <c r="C16803" s="12"/>
    </row>
    <row r="16804" spans="1:4" ht="12.75" customHeight="1" x14ac:dyDescent="0.2">
      <c r="A16804" s="11"/>
      <c r="B16804" s="2"/>
      <c r="C16804" s="15"/>
      <c r="D16804" s="2"/>
    </row>
    <row r="16805" spans="1:4" ht="12.75" customHeight="1" x14ac:dyDescent="0.2">
      <c r="B16805" s="11" t="s">
        <v>0</v>
      </c>
      <c r="C16805" s="11" t="s">
        <v>953</v>
      </c>
    </row>
    <row r="16806" spans="1:4" ht="12.75" customHeight="1" x14ac:dyDescent="0.2">
      <c r="B16806" s="11" t="s">
        <v>2599</v>
      </c>
      <c r="C16806" s="11" t="s">
        <v>1945</v>
      </c>
    </row>
    <row r="16807" spans="1:4" ht="25.5" customHeight="1" x14ac:dyDescent="0.2">
      <c r="B16807" s="11" t="s">
        <v>2600</v>
      </c>
      <c r="C16807" s="11" t="s">
        <v>5289</v>
      </c>
    </row>
    <row r="16808" spans="1:4" ht="25.5" customHeight="1" x14ac:dyDescent="0.2">
      <c r="B16808" s="11" t="s">
        <v>2601</v>
      </c>
      <c r="C16808" s="11"/>
    </row>
    <row r="16809" spans="1:4" ht="12.75" customHeight="1" x14ac:dyDescent="0.2">
      <c r="B16809" s="11" t="s">
        <v>16</v>
      </c>
      <c r="C16809" s="11"/>
    </row>
    <row r="16810" spans="1:4" ht="12.75" customHeight="1" x14ac:dyDescent="0.2">
      <c r="B16810" s="11" t="s">
        <v>13</v>
      </c>
      <c r="C16810" s="11" t="s">
        <v>2602</v>
      </c>
    </row>
    <row r="16811" spans="1:4" ht="12.75" customHeight="1" x14ac:dyDescent="0.2">
      <c r="B16811" s="11" t="s">
        <v>2603</v>
      </c>
      <c r="C16811" s="11" t="s">
        <v>2604</v>
      </c>
    </row>
    <row r="16812" spans="1:4" ht="12.75" customHeight="1" x14ac:dyDescent="0.2">
      <c r="B16812" s="11" t="s">
        <v>2605</v>
      </c>
      <c r="C16812" s="11" t="s">
        <v>14</v>
      </c>
    </row>
    <row r="16813" spans="1:4" ht="12.75" customHeight="1" x14ac:dyDescent="0.2">
      <c r="B16813" s="11" t="s">
        <v>2606</v>
      </c>
      <c r="C16813" s="16" t="s">
        <v>98</v>
      </c>
      <c r="D16813" s="6" t="str">
        <f>HYPERLINK("javascript:void(0)","kincs")</f>
        <v>kincs</v>
      </c>
    </row>
    <row r="16814" spans="1:4" ht="12.75" customHeight="1" x14ac:dyDescent="0.2">
      <c r="B16814" s="2"/>
      <c r="C16814" s="15"/>
      <c r="D16814" s="2"/>
    </row>
    <row r="16815" spans="1:4" ht="12.75" customHeight="1" x14ac:dyDescent="0.2">
      <c r="B16815" s="2"/>
      <c r="C16815" s="15"/>
      <c r="D16815" s="2"/>
    </row>
    <row r="16816" spans="1:4" ht="12.75" customHeight="1" x14ac:dyDescent="0.2">
      <c r="A16816" s="13" t="s">
        <v>5290</v>
      </c>
      <c r="C16816" s="12"/>
    </row>
    <row r="16817" spans="1:4" ht="12.75" customHeight="1" x14ac:dyDescent="0.2">
      <c r="A16817" s="11"/>
      <c r="B16817" s="2"/>
      <c r="C16817" s="15"/>
      <c r="D16817" s="2"/>
    </row>
    <row r="16818" spans="1:4" ht="12.75" customHeight="1" x14ac:dyDescent="0.2">
      <c r="B16818" s="11" t="s">
        <v>0</v>
      </c>
      <c r="C16818" s="11" t="s">
        <v>953</v>
      </c>
    </row>
    <row r="16819" spans="1:4" ht="12.75" customHeight="1" x14ac:dyDescent="0.2">
      <c r="B16819" s="11" t="s">
        <v>2599</v>
      </c>
      <c r="C16819" s="11" t="s">
        <v>5291</v>
      </c>
    </row>
    <row r="16820" spans="1:4" ht="25.5" customHeight="1" x14ac:dyDescent="0.2">
      <c r="B16820" s="11" t="s">
        <v>2600</v>
      </c>
      <c r="C16820" s="11" t="s">
        <v>5292</v>
      </c>
    </row>
    <row r="16821" spans="1:4" ht="25.5" customHeight="1" x14ac:dyDescent="0.2">
      <c r="B16821" s="11" t="s">
        <v>2601</v>
      </c>
      <c r="C16821" s="11"/>
    </row>
    <row r="16822" spans="1:4" ht="12.75" customHeight="1" x14ac:dyDescent="0.2">
      <c r="B16822" s="11" t="s">
        <v>16</v>
      </c>
      <c r="C16822" s="11"/>
    </row>
    <row r="16823" spans="1:4" ht="12.75" customHeight="1" x14ac:dyDescent="0.2">
      <c r="B16823" s="11" t="s">
        <v>13</v>
      </c>
      <c r="C16823" s="11" t="s">
        <v>2644</v>
      </c>
    </row>
    <row r="16824" spans="1:4" ht="12.75" customHeight="1" x14ac:dyDescent="0.2">
      <c r="B16824" s="11" t="s">
        <v>2603</v>
      </c>
      <c r="C16824" s="11" t="s">
        <v>2604</v>
      </c>
    </row>
    <row r="16825" spans="1:4" ht="12.75" customHeight="1" x14ac:dyDescent="0.2">
      <c r="B16825" s="11" t="s">
        <v>2605</v>
      </c>
      <c r="C16825" s="11" t="s">
        <v>14</v>
      </c>
    </row>
    <row r="16826" spans="1:4" ht="12.75" customHeight="1" x14ac:dyDescent="0.2">
      <c r="B16826" s="11" t="s">
        <v>2606</v>
      </c>
      <c r="C16826" s="16" t="s">
        <v>67</v>
      </c>
      <c r="D16826" s="6" t="str">
        <f>HYPERLINK("javascript:void(0)","kincs")</f>
        <v>kincs</v>
      </c>
    </row>
    <row r="16827" spans="1:4" ht="12.75" customHeight="1" x14ac:dyDescent="0.2">
      <c r="B16827" s="2"/>
      <c r="C16827" s="15"/>
      <c r="D16827" s="2"/>
    </row>
    <row r="16828" spans="1:4" ht="12.75" customHeight="1" x14ac:dyDescent="0.2">
      <c r="B16828" s="2"/>
      <c r="C16828" s="15"/>
      <c r="D16828" s="2"/>
    </row>
    <row r="16829" spans="1:4" ht="12.75" customHeight="1" x14ac:dyDescent="0.2">
      <c r="A16829" s="13" t="s">
        <v>5293</v>
      </c>
      <c r="C16829" s="12"/>
    </row>
    <row r="16830" spans="1:4" ht="12.75" customHeight="1" x14ac:dyDescent="0.2">
      <c r="A16830" s="11"/>
      <c r="B16830" s="2"/>
      <c r="C16830" s="15"/>
      <c r="D16830" s="2"/>
    </row>
    <row r="16831" spans="1:4" ht="12.75" customHeight="1" x14ac:dyDescent="0.2">
      <c r="B16831" s="11" t="s">
        <v>0</v>
      </c>
      <c r="C16831" s="11" t="s">
        <v>953</v>
      </c>
    </row>
    <row r="16832" spans="1:4" ht="12.75" customHeight="1" x14ac:dyDescent="0.2">
      <c r="B16832" s="11" t="s">
        <v>2599</v>
      </c>
      <c r="C16832" s="11" t="s">
        <v>5266</v>
      </c>
    </row>
    <row r="16833" spans="1:4" ht="25.5" customHeight="1" x14ac:dyDescent="0.2">
      <c r="B16833" s="11" t="s">
        <v>2600</v>
      </c>
      <c r="C16833" s="11" t="s">
        <v>5294</v>
      </c>
    </row>
    <row r="16834" spans="1:4" ht="25.5" customHeight="1" x14ac:dyDescent="0.2">
      <c r="B16834" s="11" t="s">
        <v>2601</v>
      </c>
      <c r="C16834" s="11"/>
    </row>
    <row r="16835" spans="1:4" ht="12.75" customHeight="1" x14ac:dyDescent="0.2">
      <c r="B16835" s="11" t="s">
        <v>16</v>
      </c>
      <c r="C16835" s="11"/>
    </row>
    <row r="16836" spans="1:4" ht="12.75" customHeight="1" x14ac:dyDescent="0.2">
      <c r="B16836" s="11" t="s">
        <v>13</v>
      </c>
      <c r="C16836" s="11" t="s">
        <v>2602</v>
      </c>
    </row>
    <row r="16837" spans="1:4" ht="12.75" customHeight="1" x14ac:dyDescent="0.2">
      <c r="B16837" s="11" t="s">
        <v>2603</v>
      </c>
      <c r="C16837" s="11" t="s">
        <v>2604</v>
      </c>
    </row>
    <row r="16838" spans="1:4" ht="12.75" customHeight="1" x14ac:dyDescent="0.2">
      <c r="B16838" s="11" t="s">
        <v>2605</v>
      </c>
      <c r="C16838" s="11" t="s">
        <v>24</v>
      </c>
    </row>
    <row r="16839" spans="1:4" ht="12.75" customHeight="1" x14ac:dyDescent="0.2">
      <c r="B16839" s="11" t="s">
        <v>2606</v>
      </c>
      <c r="C16839" s="16" t="s">
        <v>57</v>
      </c>
      <c r="D16839" s="6" t="str">
        <f>HYPERLINK("javascript:void(0)","angyalhaj")</f>
        <v>angyalhaj</v>
      </c>
    </row>
    <row r="16840" spans="1:4" ht="12.75" customHeight="1" x14ac:dyDescent="0.2">
      <c r="C16840" s="16" t="s">
        <v>44</v>
      </c>
      <c r="D16840" s="6" t="str">
        <f>HYPERLINK("javascript:void(0)","aranyrög")</f>
        <v>aranyrög</v>
      </c>
    </row>
    <row r="16841" spans="1:4" ht="12.75" customHeight="1" x14ac:dyDescent="0.2">
      <c r="B16841" s="2"/>
      <c r="C16841" s="15"/>
      <c r="D16841" s="2"/>
    </row>
    <row r="16842" spans="1:4" ht="12.75" customHeight="1" x14ac:dyDescent="0.2">
      <c r="B16842" s="2"/>
      <c r="C16842" s="15"/>
      <c r="D16842" s="2"/>
    </row>
    <row r="16843" spans="1:4" ht="12.75" customHeight="1" x14ac:dyDescent="0.2">
      <c r="A16843" s="13" t="s">
        <v>5295</v>
      </c>
      <c r="C16843" s="12"/>
    </row>
    <row r="16844" spans="1:4" ht="12.75" customHeight="1" x14ac:dyDescent="0.2">
      <c r="A16844" s="11"/>
      <c r="B16844" s="2"/>
      <c r="C16844" s="15"/>
      <c r="D16844" s="2"/>
    </row>
    <row r="16845" spans="1:4" ht="12.75" customHeight="1" x14ac:dyDescent="0.2">
      <c r="B16845" s="11" t="s">
        <v>0</v>
      </c>
      <c r="C16845" s="11" t="s">
        <v>953</v>
      </c>
    </row>
    <row r="16846" spans="1:4" ht="12.75" customHeight="1" x14ac:dyDescent="0.2">
      <c r="B16846" s="11" t="s">
        <v>2599</v>
      </c>
      <c r="C16846" s="11" t="s">
        <v>4189</v>
      </c>
    </row>
    <row r="16847" spans="1:4" ht="25.5" customHeight="1" x14ac:dyDescent="0.2">
      <c r="B16847" s="11" t="s">
        <v>2600</v>
      </c>
      <c r="C16847" s="11" t="s">
        <v>5296</v>
      </c>
    </row>
    <row r="16848" spans="1:4" ht="25.5" customHeight="1" x14ac:dyDescent="0.2">
      <c r="B16848" s="11" t="s">
        <v>2601</v>
      </c>
      <c r="C16848" s="11"/>
    </row>
    <row r="16849" spans="1:4" ht="12.75" customHeight="1" x14ac:dyDescent="0.2">
      <c r="B16849" s="11" t="s">
        <v>16</v>
      </c>
      <c r="C16849" s="11"/>
    </row>
    <row r="16850" spans="1:4" ht="12.75" customHeight="1" x14ac:dyDescent="0.2">
      <c r="B16850" s="11" t="s">
        <v>13</v>
      </c>
      <c r="C16850" s="11" t="s">
        <v>2644</v>
      </c>
    </row>
    <row r="16851" spans="1:4" ht="12.75" customHeight="1" x14ac:dyDescent="0.2">
      <c r="B16851" s="11" t="s">
        <v>2603</v>
      </c>
      <c r="C16851" s="11" t="s">
        <v>2604</v>
      </c>
    </row>
    <row r="16852" spans="1:4" ht="12.75" customHeight="1" x14ac:dyDescent="0.2">
      <c r="B16852" s="11" t="s">
        <v>2605</v>
      </c>
      <c r="C16852" s="11" t="s">
        <v>24</v>
      </c>
    </row>
    <row r="16853" spans="1:4" ht="12.75" customHeight="1" x14ac:dyDescent="0.2">
      <c r="B16853" s="11" t="s">
        <v>2606</v>
      </c>
      <c r="C16853" s="16" t="s">
        <v>44</v>
      </c>
      <c r="D16853" s="6" t="str">
        <f>HYPERLINK("javascript:void(0)","pálha")</f>
        <v>pálha</v>
      </c>
    </row>
    <row r="16854" spans="1:4" ht="12.75" customHeight="1" x14ac:dyDescent="0.2">
      <c r="C16854" s="16" t="s">
        <v>117</v>
      </c>
      <c r="D16854" s="6" t="str">
        <f>HYPERLINK("javascript:void(0)","kincs")</f>
        <v>kincs</v>
      </c>
    </row>
    <row r="16855" spans="1:4" ht="25.5" customHeight="1" x14ac:dyDescent="0.2">
      <c r="C16855" s="16" t="s">
        <v>44</v>
      </c>
      <c r="D16855" s="6" t="str">
        <f>HYPERLINK("javascript:void(0)","szent szimbólum")</f>
        <v>szent szimbólum</v>
      </c>
    </row>
    <row r="16856" spans="1:4" ht="12.75" customHeight="1" x14ac:dyDescent="0.2">
      <c r="B16856" s="2"/>
      <c r="C16856" s="15"/>
      <c r="D16856" s="2"/>
    </row>
    <row r="16857" spans="1:4" ht="12.75" customHeight="1" x14ac:dyDescent="0.2">
      <c r="B16857" s="2"/>
      <c r="C16857" s="15"/>
      <c r="D16857" s="2"/>
    </row>
    <row r="16858" spans="1:4" ht="12.75" customHeight="1" x14ac:dyDescent="0.2">
      <c r="A16858" s="13" t="s">
        <v>5270</v>
      </c>
      <c r="C16858" s="12"/>
      <c r="D16858" s="2"/>
    </row>
    <row r="16859" spans="1:4" ht="12.75" customHeight="1" x14ac:dyDescent="0.2">
      <c r="A16859" s="11"/>
      <c r="B16859" s="2"/>
      <c r="C16859" s="15"/>
      <c r="D16859" s="2"/>
    </row>
    <row r="16860" spans="1:4" ht="12.75" customHeight="1" x14ac:dyDescent="0.2">
      <c r="B16860" s="11" t="s">
        <v>0</v>
      </c>
      <c r="C16860" s="17" t="s">
        <v>953</v>
      </c>
      <c r="D16860" s="2"/>
    </row>
    <row r="16861" spans="1:4" ht="12.75" customHeight="1" x14ac:dyDescent="0.2">
      <c r="B16861" s="11" t="s">
        <v>2599</v>
      </c>
      <c r="C16861" s="17" t="s">
        <v>5135</v>
      </c>
      <c r="D16861" s="2"/>
    </row>
    <row r="16862" spans="1:4" ht="25.5" customHeight="1" x14ac:dyDescent="0.2">
      <c r="B16862" s="11" t="s">
        <v>2600</v>
      </c>
      <c r="C16862" s="17" t="s">
        <v>5297</v>
      </c>
      <c r="D16862" s="2"/>
    </row>
    <row r="16863" spans="1:4" ht="25.5" customHeight="1" x14ac:dyDescent="0.2">
      <c r="B16863" s="11" t="s">
        <v>2601</v>
      </c>
      <c r="C16863" s="17"/>
      <c r="D16863" s="2"/>
    </row>
    <row r="16864" spans="1:4" ht="12.75" customHeight="1" x14ac:dyDescent="0.2">
      <c r="B16864" s="11" t="s">
        <v>16</v>
      </c>
      <c r="C16864" s="17"/>
      <c r="D16864" s="2"/>
    </row>
    <row r="16865" spans="1:4" ht="12.75" customHeight="1" x14ac:dyDescent="0.2">
      <c r="B16865" s="11" t="s">
        <v>13</v>
      </c>
      <c r="C16865" s="17" t="s">
        <v>2602</v>
      </c>
      <c r="D16865" s="2"/>
    </row>
    <row r="16866" spans="1:4" ht="25.5" customHeight="1" x14ac:dyDescent="0.2">
      <c r="B16866" s="11" t="s">
        <v>2603</v>
      </c>
      <c r="C16866" s="17" t="s">
        <v>2971</v>
      </c>
      <c r="D16866" s="2"/>
    </row>
    <row r="16867" spans="1:4" ht="12.75" customHeight="1" x14ac:dyDescent="0.2">
      <c r="B16867" s="11" t="s">
        <v>2605</v>
      </c>
      <c r="C16867" s="17" t="s">
        <v>14</v>
      </c>
      <c r="D16867" s="2"/>
    </row>
    <row r="16868" spans="1:4" ht="12.75" customHeight="1" x14ac:dyDescent="0.2">
      <c r="B16868" s="11" t="s">
        <v>2606</v>
      </c>
      <c r="C16868" s="16" t="s">
        <v>19</v>
      </c>
      <c r="D16868" s="2"/>
    </row>
    <row r="16869" spans="1:4" ht="12.75" customHeight="1" x14ac:dyDescent="0.2">
      <c r="B16869" s="2"/>
      <c r="C16869" s="15"/>
      <c r="D16869" s="2"/>
    </row>
    <row r="16870" spans="1:4" ht="12.75" customHeight="1" x14ac:dyDescent="0.2">
      <c r="B16870" s="2"/>
      <c r="C16870" s="15"/>
      <c r="D16870" s="2"/>
    </row>
    <row r="16871" spans="1:4" ht="12.75" customHeight="1" x14ac:dyDescent="0.2">
      <c r="A16871" s="13" t="s">
        <v>5241</v>
      </c>
      <c r="C16871" s="12"/>
      <c r="D16871" s="2"/>
    </row>
    <row r="16872" spans="1:4" ht="12.75" customHeight="1" x14ac:dyDescent="0.2">
      <c r="A16872" s="11"/>
      <c r="B16872" s="2"/>
      <c r="C16872" s="15"/>
      <c r="D16872" s="2"/>
    </row>
    <row r="16873" spans="1:4" ht="12.75" customHeight="1" x14ac:dyDescent="0.2">
      <c r="B16873" s="11" t="s">
        <v>0</v>
      </c>
      <c r="C16873" s="17" t="s">
        <v>293</v>
      </c>
      <c r="D16873" s="2"/>
    </row>
    <row r="16874" spans="1:4" ht="12.75" customHeight="1" x14ac:dyDescent="0.2">
      <c r="B16874" s="11" t="s">
        <v>2599</v>
      </c>
      <c r="C16874" s="17" t="s">
        <v>5103</v>
      </c>
      <c r="D16874" s="2"/>
    </row>
    <row r="16875" spans="1:4" ht="25.5" customHeight="1" x14ac:dyDescent="0.2">
      <c r="B16875" s="11" t="s">
        <v>2600</v>
      </c>
      <c r="C16875" s="17" t="s">
        <v>5298</v>
      </c>
      <c r="D16875" s="2"/>
    </row>
    <row r="16876" spans="1:4" ht="25.5" customHeight="1" x14ac:dyDescent="0.2">
      <c r="B16876" s="11" t="s">
        <v>2601</v>
      </c>
      <c r="C16876" s="17"/>
      <c r="D16876" s="2"/>
    </row>
    <row r="16877" spans="1:4" ht="12.75" customHeight="1" x14ac:dyDescent="0.2">
      <c r="B16877" s="11" t="s">
        <v>16</v>
      </c>
      <c r="C16877" s="17"/>
      <c r="D16877" s="2"/>
    </row>
    <row r="16878" spans="1:4" ht="12.75" customHeight="1" x14ac:dyDescent="0.2">
      <c r="B16878" s="11" t="s">
        <v>13</v>
      </c>
      <c r="C16878" s="17" t="s">
        <v>2644</v>
      </c>
      <c r="D16878" s="2"/>
    </row>
    <row r="16879" spans="1:4" ht="25.5" customHeight="1" x14ac:dyDescent="0.2">
      <c r="B16879" s="11" t="s">
        <v>2603</v>
      </c>
      <c r="C16879" s="17" t="s">
        <v>2971</v>
      </c>
      <c r="D16879" s="2"/>
    </row>
    <row r="16880" spans="1:4" ht="12.75" customHeight="1" x14ac:dyDescent="0.2">
      <c r="B16880" s="11" t="s">
        <v>2605</v>
      </c>
      <c r="C16880" s="17" t="s">
        <v>14</v>
      </c>
      <c r="D16880" s="2"/>
    </row>
    <row r="16881" spans="1:4" ht="12.75" customHeight="1" x14ac:dyDescent="0.2">
      <c r="B16881" s="11" t="s">
        <v>2606</v>
      </c>
      <c r="C16881" s="16" t="s">
        <v>19</v>
      </c>
      <c r="D16881" s="2"/>
    </row>
    <row r="16882" spans="1:4" ht="12.75" customHeight="1" x14ac:dyDescent="0.2">
      <c r="B16882" s="2"/>
      <c r="C16882" s="15"/>
      <c r="D16882" s="2"/>
    </row>
    <row r="16883" spans="1:4" ht="12.75" customHeight="1" x14ac:dyDescent="0.2">
      <c r="B16883" s="2"/>
      <c r="C16883" s="15"/>
      <c r="D16883" s="2"/>
    </row>
    <row r="16884" spans="1:4" ht="12.75" customHeight="1" x14ac:dyDescent="0.2">
      <c r="A16884" s="13" t="s">
        <v>5243</v>
      </c>
      <c r="C16884" s="12"/>
      <c r="D16884" s="2"/>
    </row>
    <row r="16885" spans="1:4" ht="12.75" customHeight="1" x14ac:dyDescent="0.2">
      <c r="A16885" s="11"/>
      <c r="B16885" s="2"/>
      <c r="C16885" s="15"/>
      <c r="D16885" s="2"/>
    </row>
    <row r="16886" spans="1:4" ht="12.75" customHeight="1" x14ac:dyDescent="0.2">
      <c r="B16886" s="11" t="s">
        <v>0</v>
      </c>
      <c r="C16886" s="17" t="s">
        <v>293</v>
      </c>
      <c r="D16886" s="2"/>
    </row>
    <row r="16887" spans="1:4" ht="12.75" customHeight="1" x14ac:dyDescent="0.2">
      <c r="B16887" s="11" t="s">
        <v>2599</v>
      </c>
      <c r="C16887" s="17" t="s">
        <v>5106</v>
      </c>
      <c r="D16887" s="2"/>
    </row>
    <row r="16888" spans="1:4" ht="25.5" customHeight="1" x14ac:dyDescent="0.2">
      <c r="B16888" s="11" t="s">
        <v>2600</v>
      </c>
      <c r="C16888" s="17" t="s">
        <v>5299</v>
      </c>
      <c r="D16888" s="2"/>
    </row>
    <row r="16889" spans="1:4" ht="25.5" customHeight="1" x14ac:dyDescent="0.2">
      <c r="B16889" s="11" t="s">
        <v>2601</v>
      </c>
      <c r="C16889" s="17"/>
      <c r="D16889" s="2"/>
    </row>
    <row r="16890" spans="1:4" ht="12.75" customHeight="1" x14ac:dyDescent="0.2">
      <c r="B16890" s="11" t="s">
        <v>16</v>
      </c>
      <c r="C16890" s="17"/>
      <c r="D16890" s="2"/>
    </row>
    <row r="16891" spans="1:4" ht="12.75" customHeight="1" x14ac:dyDescent="0.2">
      <c r="B16891" s="11" t="s">
        <v>13</v>
      </c>
      <c r="C16891" s="17" t="s">
        <v>2602</v>
      </c>
      <c r="D16891" s="2"/>
    </row>
    <row r="16892" spans="1:4" ht="25.5" customHeight="1" x14ac:dyDescent="0.2">
      <c r="B16892" s="11" t="s">
        <v>2603</v>
      </c>
      <c r="C16892" s="17" t="s">
        <v>2971</v>
      </c>
      <c r="D16892" s="2"/>
    </row>
    <row r="16893" spans="1:4" ht="12.75" customHeight="1" x14ac:dyDescent="0.2">
      <c r="B16893" s="11" t="s">
        <v>2605</v>
      </c>
      <c r="C16893" s="17" t="s">
        <v>14</v>
      </c>
      <c r="D16893" s="2"/>
    </row>
    <row r="16894" spans="1:4" ht="12.75" customHeight="1" x14ac:dyDescent="0.2">
      <c r="B16894" s="11" t="s">
        <v>2606</v>
      </c>
      <c r="C16894" s="16" t="s">
        <v>19</v>
      </c>
      <c r="D16894" s="2"/>
    </row>
    <row r="16895" spans="1:4" ht="12.75" customHeight="1" x14ac:dyDescent="0.2">
      <c r="B16895" s="2"/>
      <c r="C16895" s="15"/>
      <c r="D16895" s="2"/>
    </row>
    <row r="16896" spans="1:4" ht="12.75" customHeight="1" x14ac:dyDescent="0.2">
      <c r="B16896" s="2"/>
      <c r="C16896" s="15"/>
      <c r="D16896" s="2"/>
    </row>
    <row r="16897" spans="1:4" ht="12.75" customHeight="1" x14ac:dyDescent="0.2">
      <c r="A16897" s="13" t="s">
        <v>5245</v>
      </c>
      <c r="C16897" s="12"/>
      <c r="D16897" s="2"/>
    </row>
    <row r="16898" spans="1:4" ht="12.75" customHeight="1" x14ac:dyDescent="0.2">
      <c r="A16898" s="11"/>
      <c r="B16898" s="2"/>
      <c r="C16898" s="15"/>
      <c r="D16898" s="2"/>
    </row>
    <row r="16899" spans="1:4" ht="12.75" customHeight="1" x14ac:dyDescent="0.2">
      <c r="B16899" s="11" t="s">
        <v>0</v>
      </c>
      <c r="C16899" s="17" t="s">
        <v>293</v>
      </c>
      <c r="D16899" s="2"/>
    </row>
    <row r="16900" spans="1:4" ht="12.75" customHeight="1" x14ac:dyDescent="0.2">
      <c r="B16900" s="11" t="s">
        <v>2599</v>
      </c>
      <c r="C16900" s="17" t="s">
        <v>5109</v>
      </c>
      <c r="D16900" s="2"/>
    </row>
    <row r="16901" spans="1:4" ht="25.5" customHeight="1" x14ac:dyDescent="0.2">
      <c r="B16901" s="11" t="s">
        <v>2600</v>
      </c>
      <c r="C16901" s="17" t="s">
        <v>5300</v>
      </c>
      <c r="D16901" s="2"/>
    </row>
    <row r="16902" spans="1:4" ht="25.5" customHeight="1" x14ac:dyDescent="0.2">
      <c r="B16902" s="11" t="s">
        <v>2601</v>
      </c>
      <c r="C16902" s="17"/>
      <c r="D16902" s="2"/>
    </row>
    <row r="16903" spans="1:4" ht="12.75" customHeight="1" x14ac:dyDescent="0.2">
      <c r="B16903" s="11" t="s">
        <v>16</v>
      </c>
      <c r="C16903" s="17"/>
      <c r="D16903" s="2"/>
    </row>
    <row r="16904" spans="1:4" ht="12.75" customHeight="1" x14ac:dyDescent="0.2">
      <c r="B16904" s="11" t="s">
        <v>13</v>
      </c>
      <c r="C16904" s="17" t="s">
        <v>2644</v>
      </c>
      <c r="D16904" s="2"/>
    </row>
    <row r="16905" spans="1:4" ht="25.5" customHeight="1" x14ac:dyDescent="0.2">
      <c r="B16905" s="11" t="s">
        <v>2603</v>
      </c>
      <c r="C16905" s="17" t="s">
        <v>2971</v>
      </c>
      <c r="D16905" s="2"/>
    </row>
    <row r="16906" spans="1:4" ht="12.75" customHeight="1" x14ac:dyDescent="0.2">
      <c r="B16906" s="11" t="s">
        <v>2605</v>
      </c>
      <c r="C16906" s="17" t="s">
        <v>14</v>
      </c>
      <c r="D16906" s="2"/>
    </row>
    <row r="16907" spans="1:4" ht="12.75" customHeight="1" x14ac:dyDescent="0.2">
      <c r="B16907" s="11" t="s">
        <v>2606</v>
      </c>
      <c r="C16907" s="16" t="s">
        <v>19</v>
      </c>
      <c r="D16907" s="2"/>
    </row>
    <row r="16908" spans="1:4" ht="12.75" customHeight="1" x14ac:dyDescent="0.2">
      <c r="B16908" s="2"/>
      <c r="C16908" s="15"/>
      <c r="D16908" s="2"/>
    </row>
    <row r="16909" spans="1:4" ht="12.75" customHeight="1" x14ac:dyDescent="0.2">
      <c r="B16909" s="2"/>
      <c r="C16909" s="15"/>
      <c r="D16909" s="2"/>
    </row>
    <row r="16910" spans="1:4" ht="12.75" customHeight="1" x14ac:dyDescent="0.2">
      <c r="A16910" s="13" t="s">
        <v>5301</v>
      </c>
      <c r="C16910" s="12"/>
    </row>
    <row r="16911" spans="1:4" ht="12.75" customHeight="1" x14ac:dyDescent="0.2">
      <c r="A16911" s="11"/>
      <c r="B16911" s="2"/>
      <c r="C16911" s="15"/>
      <c r="D16911" s="2"/>
    </row>
    <row r="16912" spans="1:4" ht="12.75" customHeight="1" x14ac:dyDescent="0.2">
      <c r="B16912" s="11" t="s">
        <v>0</v>
      </c>
      <c r="C16912" s="11" t="s">
        <v>293</v>
      </c>
    </row>
    <row r="16913" spans="1:4" ht="12.75" customHeight="1" x14ac:dyDescent="0.2">
      <c r="B16913" s="11" t="s">
        <v>2599</v>
      </c>
      <c r="C16913" s="11" t="s">
        <v>5302</v>
      </c>
    </row>
    <row r="16914" spans="1:4" ht="25.5" customHeight="1" x14ac:dyDescent="0.2">
      <c r="B16914" s="11" t="s">
        <v>2600</v>
      </c>
      <c r="C16914" s="11" t="s">
        <v>5303</v>
      </c>
    </row>
    <row r="16915" spans="1:4" ht="25.5" customHeight="1" x14ac:dyDescent="0.2">
      <c r="B16915" s="11" t="s">
        <v>2601</v>
      </c>
      <c r="C16915" s="11"/>
    </row>
    <row r="16916" spans="1:4" ht="12.75" customHeight="1" x14ac:dyDescent="0.2">
      <c r="B16916" s="11" t="s">
        <v>16</v>
      </c>
      <c r="C16916" s="11"/>
    </row>
    <row r="16917" spans="1:4" ht="12.75" customHeight="1" x14ac:dyDescent="0.2">
      <c r="B16917" s="11" t="s">
        <v>13</v>
      </c>
      <c r="C16917" s="11" t="s">
        <v>2602</v>
      </c>
    </row>
    <row r="16918" spans="1:4" ht="12.75" customHeight="1" x14ac:dyDescent="0.2">
      <c r="B16918" s="11" t="s">
        <v>2603</v>
      </c>
      <c r="C16918" s="11" t="s">
        <v>2604</v>
      </c>
    </row>
    <row r="16919" spans="1:4" ht="12.75" customHeight="1" x14ac:dyDescent="0.2">
      <c r="B16919" s="11" t="s">
        <v>2605</v>
      </c>
      <c r="C16919" s="11" t="s">
        <v>24</v>
      </c>
    </row>
    <row r="16920" spans="1:4" ht="12.75" customHeight="1" x14ac:dyDescent="0.2">
      <c r="B16920" s="11" t="s">
        <v>2606</v>
      </c>
      <c r="C16920" s="16" t="s">
        <v>44</v>
      </c>
      <c r="D16920" s="6" t="str">
        <f>HYPERLINK("javascript:void(0)","zászlórúd")</f>
        <v>zászlórúd</v>
      </c>
    </row>
    <row r="16921" spans="1:4" ht="12.75" customHeight="1" x14ac:dyDescent="0.2">
      <c r="C16921" s="16" t="s">
        <v>786</v>
      </c>
      <c r="D16921" s="6" t="str">
        <f>HYPERLINK("javascript:void(0)","kincs")</f>
        <v>kincs</v>
      </c>
    </row>
    <row r="16922" spans="1:4" ht="12.75" customHeight="1" x14ac:dyDescent="0.2">
      <c r="B16922" s="2"/>
      <c r="C16922" s="15"/>
      <c r="D16922" s="2"/>
    </row>
    <row r="16923" spans="1:4" ht="12.75" customHeight="1" x14ac:dyDescent="0.2">
      <c r="B16923" s="2"/>
      <c r="C16923" s="15"/>
      <c r="D16923" s="2"/>
    </row>
    <row r="16924" spans="1:4" ht="12.75" customHeight="1" x14ac:dyDescent="0.2">
      <c r="A16924" s="13" t="s">
        <v>5304</v>
      </c>
      <c r="C16924" s="12"/>
    </row>
    <row r="16925" spans="1:4" ht="12.75" customHeight="1" x14ac:dyDescent="0.2">
      <c r="A16925" s="11"/>
      <c r="B16925" s="2"/>
      <c r="C16925" s="15"/>
      <c r="D16925" s="2"/>
    </row>
    <row r="16926" spans="1:4" ht="12.75" customHeight="1" x14ac:dyDescent="0.2">
      <c r="B16926" s="11" t="s">
        <v>0</v>
      </c>
      <c r="C16926" s="11" t="s">
        <v>293</v>
      </c>
    </row>
    <row r="16927" spans="1:4" ht="12.75" customHeight="1" x14ac:dyDescent="0.2">
      <c r="B16927" s="11" t="s">
        <v>2599</v>
      </c>
      <c r="C16927" s="11" t="s">
        <v>5305</v>
      </c>
    </row>
    <row r="16928" spans="1:4" ht="25.5" customHeight="1" x14ac:dyDescent="0.2">
      <c r="B16928" s="11" t="s">
        <v>2600</v>
      </c>
      <c r="C16928" s="11" t="s">
        <v>5306</v>
      </c>
    </row>
    <row r="16929" spans="1:4" ht="25.5" customHeight="1" x14ac:dyDescent="0.2">
      <c r="B16929" s="11" t="s">
        <v>2601</v>
      </c>
      <c r="C16929" s="11"/>
    </row>
    <row r="16930" spans="1:4" ht="12.75" customHeight="1" x14ac:dyDescent="0.2">
      <c r="B16930" s="11" t="s">
        <v>16</v>
      </c>
      <c r="C16930" s="11"/>
    </row>
    <row r="16931" spans="1:4" ht="12.75" customHeight="1" x14ac:dyDescent="0.2">
      <c r="B16931" s="11" t="s">
        <v>13</v>
      </c>
      <c r="C16931" s="11" t="s">
        <v>2644</v>
      </c>
    </row>
    <row r="16932" spans="1:4" ht="12.75" customHeight="1" x14ac:dyDescent="0.2">
      <c r="B16932" s="11" t="s">
        <v>2603</v>
      </c>
      <c r="C16932" s="11" t="s">
        <v>2604</v>
      </c>
    </row>
    <row r="16933" spans="1:4" ht="12.75" customHeight="1" x14ac:dyDescent="0.2">
      <c r="B16933" s="11" t="s">
        <v>2605</v>
      </c>
      <c r="C16933" s="11" t="s">
        <v>14</v>
      </c>
    </row>
    <row r="16934" spans="1:4" ht="12.75" customHeight="1" x14ac:dyDescent="0.2">
      <c r="B16934" s="11" t="s">
        <v>2606</v>
      </c>
      <c r="C16934" s="16" t="s">
        <v>98</v>
      </c>
      <c r="D16934" s="6" t="str">
        <f>HYPERLINK("javascript:void(0)","kincs")</f>
        <v>kincs</v>
      </c>
    </row>
    <row r="16935" spans="1:4" ht="12.75" customHeight="1" x14ac:dyDescent="0.2">
      <c r="B16935" s="2"/>
      <c r="C16935" s="15"/>
      <c r="D16935" s="2"/>
    </row>
    <row r="16936" spans="1:4" ht="12.75" customHeight="1" x14ac:dyDescent="0.2">
      <c r="B16936" s="2"/>
      <c r="C16936" s="15"/>
      <c r="D16936" s="2"/>
    </row>
    <row r="16937" spans="1:4" ht="12.75" customHeight="1" x14ac:dyDescent="0.2">
      <c r="A16937" s="13" t="s">
        <v>5307</v>
      </c>
      <c r="C16937" s="12"/>
    </row>
    <row r="16938" spans="1:4" ht="12.75" customHeight="1" x14ac:dyDescent="0.2">
      <c r="A16938" s="11"/>
      <c r="B16938" s="2"/>
      <c r="C16938" s="15"/>
      <c r="D16938" s="2"/>
    </row>
    <row r="16939" spans="1:4" ht="12.75" customHeight="1" x14ac:dyDescent="0.2">
      <c r="B16939" s="11" t="s">
        <v>0</v>
      </c>
      <c r="C16939" s="11" t="s">
        <v>293</v>
      </c>
    </row>
    <row r="16940" spans="1:4" ht="12.75" customHeight="1" x14ac:dyDescent="0.2">
      <c r="B16940" s="11" t="s">
        <v>2599</v>
      </c>
      <c r="C16940" s="11" t="s">
        <v>5308</v>
      </c>
    </row>
    <row r="16941" spans="1:4" ht="25.5" customHeight="1" x14ac:dyDescent="0.2">
      <c r="B16941" s="11" t="s">
        <v>2600</v>
      </c>
      <c r="C16941" s="11" t="s">
        <v>5309</v>
      </c>
    </row>
    <row r="16942" spans="1:4" ht="25.5" customHeight="1" x14ac:dyDescent="0.2">
      <c r="B16942" s="11" t="s">
        <v>2601</v>
      </c>
      <c r="C16942" s="11"/>
    </row>
    <row r="16943" spans="1:4" ht="12.75" customHeight="1" x14ac:dyDescent="0.2">
      <c r="B16943" s="11" t="s">
        <v>16</v>
      </c>
      <c r="C16943" s="11"/>
    </row>
    <row r="16944" spans="1:4" ht="12.75" customHeight="1" x14ac:dyDescent="0.2">
      <c r="B16944" s="11" t="s">
        <v>13</v>
      </c>
      <c r="C16944" s="11" t="s">
        <v>2602</v>
      </c>
    </row>
    <row r="16945" spans="1:4" ht="12.75" customHeight="1" x14ac:dyDescent="0.2">
      <c r="B16945" s="11" t="s">
        <v>2603</v>
      </c>
      <c r="C16945" s="11" t="s">
        <v>2604</v>
      </c>
    </row>
    <row r="16946" spans="1:4" ht="12.75" customHeight="1" x14ac:dyDescent="0.2">
      <c r="B16946" s="11" t="s">
        <v>2605</v>
      </c>
      <c r="C16946" s="11" t="s">
        <v>24</v>
      </c>
    </row>
    <row r="16947" spans="1:4" ht="12.75" customHeight="1" x14ac:dyDescent="0.2">
      <c r="B16947" s="11" t="s">
        <v>2606</v>
      </c>
      <c r="C16947" s="16" t="s">
        <v>44</v>
      </c>
      <c r="D16947" s="6" t="str">
        <f>HYPERLINK("javascript:void(0)","kártyalap")</f>
        <v>kártyalap</v>
      </c>
    </row>
    <row r="16948" spans="1:4" ht="12.75" customHeight="1" x14ac:dyDescent="0.2">
      <c r="C16948" s="16" t="s">
        <v>67</v>
      </c>
      <c r="D16948" s="6" t="str">
        <f>HYPERLINK("javascript:void(0)","kincs")</f>
        <v>kincs</v>
      </c>
    </row>
    <row r="16949" spans="1:4" ht="12.75" customHeight="1" x14ac:dyDescent="0.2">
      <c r="B16949" s="2"/>
      <c r="C16949" s="15"/>
      <c r="D16949" s="2"/>
    </row>
    <row r="16950" spans="1:4" ht="12.75" customHeight="1" x14ac:dyDescent="0.2">
      <c r="B16950" s="2"/>
      <c r="C16950" s="15"/>
      <c r="D16950" s="2"/>
    </row>
    <row r="16951" spans="1:4" ht="12.75" customHeight="1" x14ac:dyDescent="0.2">
      <c r="A16951" s="13" t="s">
        <v>5310</v>
      </c>
      <c r="C16951" s="12"/>
    </row>
    <row r="16952" spans="1:4" ht="12.75" customHeight="1" x14ac:dyDescent="0.2">
      <c r="A16952" s="11"/>
      <c r="B16952" s="2"/>
      <c r="C16952" s="15"/>
      <c r="D16952" s="2"/>
    </row>
    <row r="16953" spans="1:4" ht="12.75" customHeight="1" x14ac:dyDescent="0.2">
      <c r="B16953" s="11" t="s">
        <v>0</v>
      </c>
      <c r="C16953" s="11" t="s">
        <v>293</v>
      </c>
    </row>
    <row r="16954" spans="1:4" ht="12.75" customHeight="1" x14ac:dyDescent="0.2">
      <c r="B16954" s="11" t="s">
        <v>2599</v>
      </c>
      <c r="C16954" s="11" t="s">
        <v>5311</v>
      </c>
    </row>
    <row r="16955" spans="1:4" ht="25.5" customHeight="1" x14ac:dyDescent="0.2">
      <c r="B16955" s="11" t="s">
        <v>2600</v>
      </c>
      <c r="C16955" s="11" t="s">
        <v>5312</v>
      </c>
    </row>
    <row r="16956" spans="1:4" ht="25.5" customHeight="1" x14ac:dyDescent="0.2">
      <c r="B16956" s="11" t="s">
        <v>2601</v>
      </c>
      <c r="C16956" s="11"/>
    </row>
    <row r="16957" spans="1:4" ht="12.75" customHeight="1" x14ac:dyDescent="0.2">
      <c r="B16957" s="11" t="s">
        <v>16</v>
      </c>
      <c r="C16957" s="11"/>
    </row>
    <row r="16958" spans="1:4" ht="12.75" customHeight="1" x14ac:dyDescent="0.2">
      <c r="B16958" s="11" t="s">
        <v>13</v>
      </c>
      <c r="C16958" s="11" t="s">
        <v>2602</v>
      </c>
    </row>
    <row r="16959" spans="1:4" ht="12.75" customHeight="1" x14ac:dyDescent="0.2">
      <c r="B16959" s="11" t="s">
        <v>2603</v>
      </c>
      <c r="C16959" s="11" t="s">
        <v>2604</v>
      </c>
    </row>
    <row r="16960" spans="1:4" ht="12.75" customHeight="1" x14ac:dyDescent="0.2">
      <c r="B16960" s="11" t="s">
        <v>2605</v>
      </c>
      <c r="C16960" s="11" t="s">
        <v>14</v>
      </c>
    </row>
    <row r="16961" spans="1:4" ht="12.75" customHeight="1" x14ac:dyDescent="0.2">
      <c r="B16961" s="11" t="s">
        <v>2606</v>
      </c>
      <c r="C16961" s="16" t="s">
        <v>98</v>
      </c>
      <c r="D16961" s="6" t="str">
        <f>HYPERLINK("javascript:void(0)","kincs")</f>
        <v>kincs</v>
      </c>
    </row>
    <row r="16962" spans="1:4" ht="12.75" customHeight="1" x14ac:dyDescent="0.2">
      <c r="B16962" s="2"/>
      <c r="C16962" s="15"/>
      <c r="D16962" s="2"/>
    </row>
    <row r="16963" spans="1:4" ht="12.75" customHeight="1" x14ac:dyDescent="0.2">
      <c r="B16963" s="2"/>
      <c r="C16963" s="15"/>
      <c r="D16963" s="2"/>
    </row>
    <row r="16964" spans="1:4" ht="12.75" customHeight="1" x14ac:dyDescent="0.2">
      <c r="A16964" s="13" t="s">
        <v>5313</v>
      </c>
      <c r="C16964" s="12"/>
    </row>
    <row r="16965" spans="1:4" ht="12.75" customHeight="1" x14ac:dyDescent="0.2">
      <c r="A16965" s="11"/>
      <c r="B16965" s="2"/>
      <c r="C16965" s="15"/>
      <c r="D16965" s="2"/>
    </row>
    <row r="16966" spans="1:4" ht="12.75" customHeight="1" x14ac:dyDescent="0.2">
      <c r="B16966" s="11" t="s">
        <v>0</v>
      </c>
      <c r="C16966" s="11" t="s">
        <v>293</v>
      </c>
    </row>
    <row r="16967" spans="1:4" ht="12.75" customHeight="1" x14ac:dyDescent="0.2">
      <c r="B16967" s="11" t="s">
        <v>2599</v>
      </c>
      <c r="C16967" s="11" t="s">
        <v>5314</v>
      </c>
    </row>
    <row r="16968" spans="1:4" ht="25.5" customHeight="1" x14ac:dyDescent="0.2">
      <c r="B16968" s="11" t="s">
        <v>2600</v>
      </c>
      <c r="C16968" s="11" t="s">
        <v>5315</v>
      </c>
    </row>
    <row r="16969" spans="1:4" ht="25.5" customHeight="1" x14ac:dyDescent="0.2">
      <c r="B16969" s="11" t="s">
        <v>2601</v>
      </c>
      <c r="C16969" s="11"/>
    </row>
    <row r="16970" spans="1:4" ht="12.75" customHeight="1" x14ac:dyDescent="0.2">
      <c r="B16970" s="11" t="s">
        <v>16</v>
      </c>
      <c r="C16970" s="11"/>
    </row>
    <row r="16971" spans="1:4" ht="12.75" customHeight="1" x14ac:dyDescent="0.2">
      <c r="B16971" s="11" t="s">
        <v>13</v>
      </c>
      <c r="C16971" s="11" t="s">
        <v>2602</v>
      </c>
    </row>
    <row r="16972" spans="1:4" ht="12.75" customHeight="1" x14ac:dyDescent="0.2">
      <c r="B16972" s="11" t="s">
        <v>2603</v>
      </c>
      <c r="C16972" s="11" t="s">
        <v>2604</v>
      </c>
    </row>
    <row r="16973" spans="1:4" ht="12.75" customHeight="1" x14ac:dyDescent="0.2">
      <c r="B16973" s="11" t="s">
        <v>2605</v>
      </c>
      <c r="C16973" s="11" t="s">
        <v>14</v>
      </c>
    </row>
    <row r="16974" spans="1:4" ht="12.75" customHeight="1" x14ac:dyDescent="0.2">
      <c r="B16974" s="11" t="s">
        <v>2606</v>
      </c>
      <c r="C16974" s="16" t="s">
        <v>98</v>
      </c>
      <c r="D16974" s="6" t="str">
        <f>HYPERLINK("javascript:void(0)","kincs")</f>
        <v>kincs</v>
      </c>
    </row>
    <row r="16975" spans="1:4" ht="12.75" customHeight="1" x14ac:dyDescent="0.2">
      <c r="B16975" s="2"/>
      <c r="C16975" s="15"/>
      <c r="D16975" s="2"/>
    </row>
    <row r="16976" spans="1:4" ht="12.75" customHeight="1" x14ac:dyDescent="0.2">
      <c r="B16976" s="2"/>
      <c r="C16976" s="15"/>
      <c r="D16976" s="2"/>
    </row>
    <row r="16977" spans="1:4" ht="12.75" customHeight="1" x14ac:dyDescent="0.2">
      <c r="A16977" s="13" t="s">
        <v>5316</v>
      </c>
      <c r="C16977" s="12"/>
    </row>
    <row r="16978" spans="1:4" ht="12.75" customHeight="1" x14ac:dyDescent="0.2">
      <c r="A16978" s="11"/>
      <c r="B16978" s="2"/>
      <c r="C16978" s="15"/>
      <c r="D16978" s="2"/>
    </row>
    <row r="16979" spans="1:4" ht="12.75" customHeight="1" x14ac:dyDescent="0.2">
      <c r="B16979" s="11" t="s">
        <v>0</v>
      </c>
      <c r="C16979" s="11" t="s">
        <v>293</v>
      </c>
    </row>
    <row r="16980" spans="1:4" ht="12.75" customHeight="1" x14ac:dyDescent="0.2">
      <c r="B16980" s="11" t="s">
        <v>2599</v>
      </c>
      <c r="C16980" s="11" t="s">
        <v>5317</v>
      </c>
    </row>
    <row r="16981" spans="1:4" ht="25.5" customHeight="1" x14ac:dyDescent="0.2">
      <c r="B16981" s="11" t="s">
        <v>2600</v>
      </c>
      <c r="C16981" s="11" t="s">
        <v>5318</v>
      </c>
    </row>
    <row r="16982" spans="1:4" ht="25.5" customHeight="1" x14ac:dyDescent="0.2">
      <c r="B16982" s="11" t="s">
        <v>2601</v>
      </c>
      <c r="C16982" s="11"/>
    </row>
    <row r="16983" spans="1:4" ht="12.75" customHeight="1" x14ac:dyDescent="0.2">
      <c r="B16983" s="11" t="s">
        <v>16</v>
      </c>
      <c r="C16983" s="11"/>
    </row>
    <row r="16984" spans="1:4" ht="12.75" customHeight="1" x14ac:dyDescent="0.2">
      <c r="B16984" s="11" t="s">
        <v>13</v>
      </c>
      <c r="C16984" s="11" t="s">
        <v>2644</v>
      </c>
    </row>
    <row r="16985" spans="1:4" ht="12.75" customHeight="1" x14ac:dyDescent="0.2">
      <c r="B16985" s="11" t="s">
        <v>2603</v>
      </c>
      <c r="C16985" s="11" t="s">
        <v>2604</v>
      </c>
    </row>
    <row r="16986" spans="1:4" ht="12.75" customHeight="1" x14ac:dyDescent="0.2">
      <c r="B16986" s="11" t="s">
        <v>2605</v>
      </c>
      <c r="C16986" s="11" t="s">
        <v>14</v>
      </c>
    </row>
    <row r="16987" spans="1:4" ht="12.75" customHeight="1" x14ac:dyDescent="0.2">
      <c r="B16987" s="11" t="s">
        <v>2606</v>
      </c>
      <c r="C16987" s="16" t="s">
        <v>67</v>
      </c>
      <c r="D16987" s="6" t="str">
        <f>HYPERLINK("javascript:void(0)","kincs")</f>
        <v>kincs</v>
      </c>
    </row>
    <row r="16988" spans="1:4" ht="12.75" customHeight="1" x14ac:dyDescent="0.2">
      <c r="B16988" s="2"/>
      <c r="C16988" s="15"/>
      <c r="D16988" s="2"/>
    </row>
    <row r="16989" spans="1:4" ht="12.75" customHeight="1" x14ac:dyDescent="0.2">
      <c r="B16989" s="2"/>
      <c r="C16989" s="15"/>
      <c r="D16989" s="2"/>
    </row>
    <row r="16990" spans="1:4" ht="12.75" customHeight="1" x14ac:dyDescent="0.2">
      <c r="A16990" s="13" t="s">
        <v>5319</v>
      </c>
      <c r="C16990" s="12"/>
    </row>
    <row r="16991" spans="1:4" ht="12.75" customHeight="1" x14ac:dyDescent="0.2">
      <c r="A16991" s="11"/>
      <c r="B16991" s="2"/>
      <c r="C16991" s="15"/>
      <c r="D16991" s="2"/>
    </row>
    <row r="16992" spans="1:4" ht="12.75" customHeight="1" x14ac:dyDescent="0.2">
      <c r="B16992" s="11" t="s">
        <v>0</v>
      </c>
      <c r="C16992" s="11" t="s">
        <v>293</v>
      </c>
    </row>
    <row r="16993" spans="1:4" ht="12.75" customHeight="1" x14ac:dyDescent="0.2">
      <c r="B16993" s="11" t="s">
        <v>2599</v>
      </c>
      <c r="C16993" s="11" t="s">
        <v>5266</v>
      </c>
    </row>
    <row r="16994" spans="1:4" ht="25.5" customHeight="1" x14ac:dyDescent="0.2">
      <c r="B16994" s="11" t="s">
        <v>2600</v>
      </c>
      <c r="C16994" s="11" t="s">
        <v>5320</v>
      </c>
    </row>
    <row r="16995" spans="1:4" ht="25.5" customHeight="1" x14ac:dyDescent="0.2">
      <c r="B16995" s="11" t="s">
        <v>2601</v>
      </c>
      <c r="C16995" s="11"/>
    </row>
    <row r="16996" spans="1:4" ht="12.75" customHeight="1" x14ac:dyDescent="0.2">
      <c r="B16996" s="11" t="s">
        <v>16</v>
      </c>
      <c r="C16996" s="11"/>
    </row>
    <row r="16997" spans="1:4" ht="12.75" customHeight="1" x14ac:dyDescent="0.2">
      <c r="B16997" s="11" t="s">
        <v>13</v>
      </c>
      <c r="C16997" s="11" t="s">
        <v>2644</v>
      </c>
    </row>
    <row r="16998" spans="1:4" ht="12.75" customHeight="1" x14ac:dyDescent="0.2">
      <c r="B16998" s="11" t="s">
        <v>2603</v>
      </c>
      <c r="C16998" s="11" t="s">
        <v>2604</v>
      </c>
    </row>
    <row r="16999" spans="1:4" ht="12.75" customHeight="1" x14ac:dyDescent="0.2">
      <c r="B16999" s="11" t="s">
        <v>2605</v>
      </c>
      <c r="C16999" s="11" t="s">
        <v>24</v>
      </c>
    </row>
    <row r="17000" spans="1:4" ht="12.75" customHeight="1" x14ac:dyDescent="0.2">
      <c r="B17000" s="11" t="s">
        <v>2606</v>
      </c>
      <c r="C17000" s="16" t="s">
        <v>57</v>
      </c>
      <c r="D17000" s="6" t="str">
        <f>HYPERLINK("javascript:void(0)","angyalhaj")</f>
        <v>angyalhaj</v>
      </c>
    </row>
    <row r="17001" spans="1:4" ht="12.75" customHeight="1" x14ac:dyDescent="0.2">
      <c r="C17001" s="16" t="s">
        <v>67</v>
      </c>
      <c r="D17001" s="6" t="str">
        <f>HYPERLINK("javascript:void(0)","gyémánt")</f>
        <v>gyémánt</v>
      </c>
    </row>
    <row r="17002" spans="1:4" ht="12.75" customHeight="1" x14ac:dyDescent="0.2">
      <c r="B17002" s="2"/>
      <c r="C17002" s="15"/>
      <c r="D17002" s="2"/>
    </row>
    <row r="17003" spans="1:4" ht="12.75" customHeight="1" x14ac:dyDescent="0.2">
      <c r="B17003" s="2"/>
      <c r="C17003" s="15"/>
      <c r="D17003" s="2"/>
    </row>
    <row r="17004" spans="1:4" ht="12.75" customHeight="1" x14ac:dyDescent="0.2">
      <c r="A17004" s="13" t="s">
        <v>5321</v>
      </c>
      <c r="C17004" s="12"/>
    </row>
    <row r="17005" spans="1:4" ht="12.75" customHeight="1" x14ac:dyDescent="0.2">
      <c r="A17005" s="11"/>
      <c r="B17005" s="2"/>
      <c r="C17005" s="15"/>
      <c r="D17005" s="2"/>
    </row>
    <row r="17006" spans="1:4" ht="12.75" customHeight="1" x14ac:dyDescent="0.2">
      <c r="B17006" s="11" t="s">
        <v>0</v>
      </c>
      <c r="C17006" s="11" t="s">
        <v>293</v>
      </c>
    </row>
    <row r="17007" spans="1:4" ht="12.75" customHeight="1" x14ac:dyDescent="0.2">
      <c r="B17007" s="11" t="s">
        <v>2599</v>
      </c>
      <c r="C17007" s="11" t="s">
        <v>5322</v>
      </c>
    </row>
    <row r="17008" spans="1:4" ht="25.5" customHeight="1" x14ac:dyDescent="0.2">
      <c r="B17008" s="11" t="s">
        <v>2600</v>
      </c>
      <c r="C17008" s="11" t="s">
        <v>5323</v>
      </c>
    </row>
    <row r="17009" spans="1:4" ht="25.5" customHeight="1" x14ac:dyDescent="0.2">
      <c r="B17009" s="11" t="s">
        <v>2601</v>
      </c>
      <c r="C17009" s="11"/>
    </row>
    <row r="17010" spans="1:4" ht="12.75" customHeight="1" x14ac:dyDescent="0.2">
      <c r="B17010" s="11" t="s">
        <v>16</v>
      </c>
      <c r="C17010" s="11"/>
    </row>
    <row r="17011" spans="1:4" ht="12.75" customHeight="1" x14ac:dyDescent="0.2">
      <c r="B17011" s="11" t="s">
        <v>13</v>
      </c>
      <c r="C17011" s="11" t="s">
        <v>2644</v>
      </c>
    </row>
    <row r="17012" spans="1:4" ht="12.75" customHeight="1" x14ac:dyDescent="0.2">
      <c r="B17012" s="11" t="s">
        <v>2603</v>
      </c>
      <c r="C17012" s="11" t="s">
        <v>2604</v>
      </c>
    </row>
    <row r="17013" spans="1:4" ht="12.75" customHeight="1" x14ac:dyDescent="0.2">
      <c r="B17013" s="11" t="s">
        <v>2605</v>
      </c>
      <c r="C17013" s="11" t="s">
        <v>24</v>
      </c>
    </row>
    <row r="17014" spans="1:4" ht="25.5" customHeight="1" x14ac:dyDescent="0.2">
      <c r="B17014" s="11" t="s">
        <v>2606</v>
      </c>
      <c r="C17014" s="16" t="s">
        <v>44</v>
      </c>
      <c r="D17014" s="6" t="str">
        <f>HYPERLINK("javascript:void(0)","rozmáragyar")</f>
        <v>rozmáragyar</v>
      </c>
    </row>
    <row r="17015" spans="1:4" ht="12.75" customHeight="1" x14ac:dyDescent="0.2">
      <c r="C17015" s="16" t="s">
        <v>117</v>
      </c>
      <c r="D17015" s="6" t="str">
        <f>HYPERLINK("javascript:void(0)","kincs")</f>
        <v>kincs</v>
      </c>
    </row>
    <row r="17016" spans="1:4" ht="12.75" customHeight="1" x14ac:dyDescent="0.2">
      <c r="B17016" s="2"/>
      <c r="C17016" s="15"/>
      <c r="D17016" s="2"/>
    </row>
    <row r="17017" spans="1:4" ht="12.75" customHeight="1" x14ac:dyDescent="0.2">
      <c r="B17017" s="2"/>
      <c r="C17017" s="15"/>
      <c r="D17017" s="2"/>
    </row>
    <row r="17018" spans="1:4" ht="12.75" customHeight="1" x14ac:dyDescent="0.2">
      <c r="A17018" s="13" t="s">
        <v>5270</v>
      </c>
      <c r="C17018" s="12"/>
      <c r="D17018" s="2"/>
    </row>
    <row r="17019" spans="1:4" ht="12.75" customHeight="1" x14ac:dyDescent="0.2">
      <c r="A17019" s="11"/>
      <c r="B17019" s="2"/>
      <c r="C17019" s="15"/>
      <c r="D17019" s="2"/>
    </row>
    <row r="17020" spans="1:4" ht="12.75" customHeight="1" x14ac:dyDescent="0.2">
      <c r="B17020" s="11" t="s">
        <v>0</v>
      </c>
      <c r="C17020" s="17" t="s">
        <v>293</v>
      </c>
      <c r="D17020" s="2"/>
    </row>
    <row r="17021" spans="1:4" ht="12.75" customHeight="1" x14ac:dyDescent="0.2">
      <c r="B17021" s="11" t="s">
        <v>2599</v>
      </c>
      <c r="C17021" s="17" t="s">
        <v>5135</v>
      </c>
      <c r="D17021" s="2"/>
    </row>
    <row r="17022" spans="1:4" ht="25.5" customHeight="1" x14ac:dyDescent="0.2">
      <c r="B17022" s="11" t="s">
        <v>2600</v>
      </c>
      <c r="C17022" s="17" t="s">
        <v>5325</v>
      </c>
      <c r="D17022" s="2"/>
    </row>
    <row r="17023" spans="1:4" ht="25.5" customHeight="1" x14ac:dyDescent="0.2">
      <c r="B17023" s="11" t="s">
        <v>2601</v>
      </c>
      <c r="C17023" s="17"/>
      <c r="D17023" s="2"/>
    </row>
    <row r="17024" spans="1:4" ht="12.75" customHeight="1" x14ac:dyDescent="0.2">
      <c r="B17024" s="11" t="s">
        <v>16</v>
      </c>
      <c r="C17024" s="17"/>
      <c r="D17024" s="2"/>
    </row>
    <row r="17025" spans="1:4" ht="12.75" customHeight="1" x14ac:dyDescent="0.2">
      <c r="B17025" s="11" t="s">
        <v>13</v>
      </c>
      <c r="C17025" s="17" t="s">
        <v>2602</v>
      </c>
      <c r="D17025" s="2"/>
    </row>
    <row r="17026" spans="1:4" ht="25.5" customHeight="1" x14ac:dyDescent="0.2">
      <c r="B17026" s="11" t="s">
        <v>2603</v>
      </c>
      <c r="C17026" s="17" t="s">
        <v>2971</v>
      </c>
      <c r="D17026" s="2"/>
    </row>
    <row r="17027" spans="1:4" ht="12.75" customHeight="1" x14ac:dyDescent="0.2">
      <c r="B17027" s="11" t="s">
        <v>2605</v>
      </c>
      <c r="C17027" s="17" t="s">
        <v>14</v>
      </c>
      <c r="D17027" s="2"/>
    </row>
    <row r="17028" spans="1:4" ht="12.75" customHeight="1" x14ac:dyDescent="0.2">
      <c r="B17028" s="11" t="s">
        <v>2606</v>
      </c>
      <c r="C17028" s="16" t="s">
        <v>19</v>
      </c>
      <c r="D17028" s="2"/>
    </row>
    <row r="17029" spans="1:4" ht="12.75" customHeight="1" x14ac:dyDescent="0.2">
      <c r="B17029" s="2"/>
      <c r="C17029" s="15"/>
      <c r="D17029" s="2"/>
    </row>
    <row r="17030" spans="1:4" ht="12.75" customHeight="1" x14ac:dyDescent="0.2">
      <c r="B17030" s="2"/>
      <c r="C17030" s="15"/>
      <c r="D17030" s="2"/>
    </row>
    <row r="17031" spans="1:4" ht="12.75" customHeight="1" x14ac:dyDescent="0.2">
      <c r="A17031" s="13" t="s">
        <v>5241</v>
      </c>
      <c r="C17031" s="12"/>
      <c r="D17031" s="2"/>
    </row>
    <row r="17032" spans="1:4" ht="12.75" customHeight="1" x14ac:dyDescent="0.2">
      <c r="A17032" s="11"/>
      <c r="B17032" s="2"/>
      <c r="C17032" s="15"/>
      <c r="D17032" s="2"/>
    </row>
    <row r="17033" spans="1:4" ht="12.75" customHeight="1" x14ac:dyDescent="0.2">
      <c r="B17033" s="11" t="s">
        <v>0</v>
      </c>
      <c r="C17033" s="17" t="s">
        <v>968</v>
      </c>
      <c r="D17033" s="2"/>
    </row>
    <row r="17034" spans="1:4" ht="12.75" customHeight="1" x14ac:dyDescent="0.2">
      <c r="B17034" s="11" t="s">
        <v>2599</v>
      </c>
      <c r="C17034" s="17" t="s">
        <v>5103</v>
      </c>
      <c r="D17034" s="2"/>
    </row>
    <row r="17035" spans="1:4" ht="25.5" customHeight="1" x14ac:dyDescent="0.2">
      <c r="B17035" s="11" t="s">
        <v>2600</v>
      </c>
      <c r="C17035" s="17" t="s">
        <v>5326</v>
      </c>
      <c r="D17035" s="2"/>
    </row>
    <row r="17036" spans="1:4" ht="25.5" customHeight="1" x14ac:dyDescent="0.2">
      <c r="B17036" s="11" t="s">
        <v>2601</v>
      </c>
      <c r="C17036" s="17"/>
      <c r="D17036" s="2"/>
    </row>
    <row r="17037" spans="1:4" ht="12.75" customHeight="1" x14ac:dyDescent="0.2">
      <c r="B17037" s="11" t="s">
        <v>16</v>
      </c>
      <c r="C17037" s="17"/>
      <c r="D17037" s="2"/>
    </row>
    <row r="17038" spans="1:4" ht="12.75" customHeight="1" x14ac:dyDescent="0.2">
      <c r="B17038" s="11" t="s">
        <v>13</v>
      </c>
      <c r="C17038" s="17" t="s">
        <v>2644</v>
      </c>
      <c r="D17038" s="2"/>
    </row>
    <row r="17039" spans="1:4" ht="25.5" customHeight="1" x14ac:dyDescent="0.2">
      <c r="B17039" s="11" t="s">
        <v>2603</v>
      </c>
      <c r="C17039" s="17" t="s">
        <v>2971</v>
      </c>
      <c r="D17039" s="2"/>
    </row>
    <row r="17040" spans="1:4" ht="12.75" customHeight="1" x14ac:dyDescent="0.2">
      <c r="B17040" s="11" t="s">
        <v>2605</v>
      </c>
      <c r="C17040" s="17" t="s">
        <v>14</v>
      </c>
      <c r="D17040" s="2"/>
    </row>
    <row r="17041" spans="1:4" ht="12.75" customHeight="1" x14ac:dyDescent="0.2">
      <c r="B17041" s="11" t="s">
        <v>2606</v>
      </c>
      <c r="C17041" s="16" t="s">
        <v>19</v>
      </c>
      <c r="D17041" s="2"/>
    </row>
    <row r="17042" spans="1:4" ht="12.75" customHeight="1" x14ac:dyDescent="0.2">
      <c r="B17042" s="2"/>
      <c r="C17042" s="15"/>
      <c r="D17042" s="2"/>
    </row>
    <row r="17043" spans="1:4" ht="12.75" customHeight="1" x14ac:dyDescent="0.2">
      <c r="B17043" s="2"/>
      <c r="C17043" s="15"/>
      <c r="D17043" s="2"/>
    </row>
    <row r="17044" spans="1:4" ht="12.75" customHeight="1" x14ac:dyDescent="0.2">
      <c r="A17044" s="13" t="s">
        <v>5243</v>
      </c>
      <c r="C17044" s="12"/>
      <c r="D17044" s="2"/>
    </row>
    <row r="17045" spans="1:4" ht="12.75" customHeight="1" x14ac:dyDescent="0.2">
      <c r="A17045" s="11"/>
      <c r="B17045" s="2"/>
      <c r="C17045" s="15"/>
      <c r="D17045" s="2"/>
    </row>
    <row r="17046" spans="1:4" ht="12.75" customHeight="1" x14ac:dyDescent="0.2">
      <c r="B17046" s="11" t="s">
        <v>0</v>
      </c>
      <c r="C17046" s="17" t="s">
        <v>968</v>
      </c>
      <c r="D17046" s="2"/>
    </row>
    <row r="17047" spans="1:4" ht="12.75" customHeight="1" x14ac:dyDescent="0.2">
      <c r="B17047" s="11" t="s">
        <v>2599</v>
      </c>
      <c r="C17047" s="17" t="s">
        <v>5106</v>
      </c>
      <c r="D17047" s="2"/>
    </row>
    <row r="17048" spans="1:4" ht="25.5" customHeight="1" x14ac:dyDescent="0.2">
      <c r="B17048" s="11" t="s">
        <v>2600</v>
      </c>
      <c r="C17048" s="17" t="s">
        <v>5327</v>
      </c>
      <c r="D17048" s="2"/>
    </row>
    <row r="17049" spans="1:4" ht="25.5" customHeight="1" x14ac:dyDescent="0.2">
      <c r="B17049" s="11" t="s">
        <v>2601</v>
      </c>
      <c r="C17049" s="17"/>
      <c r="D17049" s="2"/>
    </row>
    <row r="17050" spans="1:4" ht="12.75" customHeight="1" x14ac:dyDescent="0.2">
      <c r="B17050" s="11" t="s">
        <v>16</v>
      </c>
      <c r="C17050" s="17"/>
      <c r="D17050" s="2"/>
    </row>
    <row r="17051" spans="1:4" ht="12.75" customHeight="1" x14ac:dyDescent="0.2">
      <c r="B17051" s="11" t="s">
        <v>13</v>
      </c>
      <c r="C17051" s="17" t="s">
        <v>2602</v>
      </c>
      <c r="D17051" s="2"/>
    </row>
    <row r="17052" spans="1:4" ht="25.5" customHeight="1" x14ac:dyDescent="0.2">
      <c r="B17052" s="11" t="s">
        <v>2603</v>
      </c>
      <c r="C17052" s="17" t="s">
        <v>2971</v>
      </c>
      <c r="D17052" s="2"/>
    </row>
    <row r="17053" spans="1:4" ht="12.75" customHeight="1" x14ac:dyDescent="0.2">
      <c r="B17053" s="11" t="s">
        <v>2605</v>
      </c>
      <c r="C17053" s="17" t="s">
        <v>14</v>
      </c>
      <c r="D17053" s="2"/>
    </row>
    <row r="17054" spans="1:4" ht="12.75" customHeight="1" x14ac:dyDescent="0.2">
      <c r="B17054" s="11" t="s">
        <v>2606</v>
      </c>
      <c r="C17054" s="16" t="s">
        <v>19</v>
      </c>
      <c r="D17054" s="2"/>
    </row>
    <row r="17055" spans="1:4" ht="12.75" customHeight="1" x14ac:dyDescent="0.2">
      <c r="B17055" s="2"/>
      <c r="C17055" s="15"/>
      <c r="D17055" s="2"/>
    </row>
    <row r="17056" spans="1:4" ht="12.75" customHeight="1" x14ac:dyDescent="0.2">
      <c r="B17056" s="2"/>
      <c r="C17056" s="15"/>
      <c r="D17056" s="2"/>
    </row>
    <row r="17057" spans="1:4" ht="12.75" customHeight="1" x14ac:dyDescent="0.2">
      <c r="A17057" s="13" t="s">
        <v>5245</v>
      </c>
      <c r="C17057" s="12"/>
      <c r="D17057" s="2"/>
    </row>
    <row r="17058" spans="1:4" ht="12.75" customHeight="1" x14ac:dyDescent="0.2">
      <c r="A17058" s="11"/>
      <c r="B17058" s="2"/>
      <c r="C17058" s="15"/>
      <c r="D17058" s="2"/>
    </row>
    <row r="17059" spans="1:4" ht="12.75" customHeight="1" x14ac:dyDescent="0.2">
      <c r="B17059" s="11" t="s">
        <v>0</v>
      </c>
      <c r="C17059" s="17" t="s">
        <v>968</v>
      </c>
      <c r="D17059" s="2"/>
    </row>
    <row r="17060" spans="1:4" ht="12.75" customHeight="1" x14ac:dyDescent="0.2">
      <c r="B17060" s="11" t="s">
        <v>2599</v>
      </c>
      <c r="C17060" s="17" t="s">
        <v>5109</v>
      </c>
      <c r="D17060" s="2"/>
    </row>
    <row r="17061" spans="1:4" ht="25.5" customHeight="1" x14ac:dyDescent="0.2">
      <c r="B17061" s="11" t="s">
        <v>2600</v>
      </c>
      <c r="C17061" s="17" t="s">
        <v>5328</v>
      </c>
      <c r="D17061" s="2"/>
    </row>
    <row r="17062" spans="1:4" ht="25.5" customHeight="1" x14ac:dyDescent="0.2">
      <c r="B17062" s="11" t="s">
        <v>2601</v>
      </c>
      <c r="C17062" s="17"/>
      <c r="D17062" s="2"/>
    </row>
    <row r="17063" spans="1:4" ht="12.75" customHeight="1" x14ac:dyDescent="0.2">
      <c r="B17063" s="11" t="s">
        <v>16</v>
      </c>
      <c r="C17063" s="17"/>
      <c r="D17063" s="2"/>
    </row>
    <row r="17064" spans="1:4" ht="12.75" customHeight="1" x14ac:dyDescent="0.2">
      <c r="B17064" s="11" t="s">
        <v>13</v>
      </c>
      <c r="C17064" s="17" t="s">
        <v>2644</v>
      </c>
      <c r="D17064" s="2"/>
    </row>
    <row r="17065" spans="1:4" ht="25.5" customHeight="1" x14ac:dyDescent="0.2">
      <c r="B17065" s="11" t="s">
        <v>2603</v>
      </c>
      <c r="C17065" s="17" t="s">
        <v>2971</v>
      </c>
      <c r="D17065" s="2"/>
    </row>
    <row r="17066" spans="1:4" ht="12.75" customHeight="1" x14ac:dyDescent="0.2">
      <c r="B17066" s="11" t="s">
        <v>2605</v>
      </c>
      <c r="C17066" s="17" t="s">
        <v>14</v>
      </c>
      <c r="D17066" s="2"/>
    </row>
    <row r="17067" spans="1:4" ht="12.75" customHeight="1" x14ac:dyDescent="0.2">
      <c r="B17067" s="11" t="s">
        <v>2606</v>
      </c>
      <c r="C17067" s="16" t="s">
        <v>19</v>
      </c>
      <c r="D17067" s="2"/>
    </row>
    <row r="17068" spans="1:4" ht="12.75" customHeight="1" x14ac:dyDescent="0.2">
      <c r="B17068" s="2"/>
      <c r="C17068" s="15"/>
      <c r="D17068" s="2"/>
    </row>
    <row r="17069" spans="1:4" ht="12.75" customHeight="1" x14ac:dyDescent="0.2">
      <c r="B17069" s="2"/>
      <c r="C17069" s="15"/>
      <c r="D17069" s="2"/>
    </row>
    <row r="17070" spans="1:4" ht="12.75" customHeight="1" x14ac:dyDescent="0.2">
      <c r="A17070" s="13" t="s">
        <v>5329</v>
      </c>
      <c r="C17070" s="12"/>
    </row>
    <row r="17071" spans="1:4" ht="12.75" customHeight="1" x14ac:dyDescent="0.2">
      <c r="A17071" s="11"/>
      <c r="B17071" s="2"/>
      <c r="C17071" s="15"/>
      <c r="D17071" s="2"/>
    </row>
    <row r="17072" spans="1:4" ht="12.75" customHeight="1" x14ac:dyDescent="0.2">
      <c r="B17072" s="11" t="s">
        <v>0</v>
      </c>
      <c r="C17072" s="11" t="s">
        <v>968</v>
      </c>
    </row>
    <row r="17073" spans="1:4" ht="12.75" customHeight="1" x14ac:dyDescent="0.2">
      <c r="B17073" s="11" t="s">
        <v>2599</v>
      </c>
      <c r="C17073" s="11" t="s">
        <v>5331</v>
      </c>
    </row>
    <row r="17074" spans="1:4" ht="25.5" customHeight="1" x14ac:dyDescent="0.2">
      <c r="B17074" s="11" t="s">
        <v>2600</v>
      </c>
      <c r="C17074" s="11" t="s">
        <v>5332</v>
      </c>
    </row>
    <row r="17075" spans="1:4" ht="25.5" customHeight="1" x14ac:dyDescent="0.2">
      <c r="B17075" s="11" t="s">
        <v>2601</v>
      </c>
      <c r="C17075" s="11"/>
    </row>
    <row r="17076" spans="1:4" ht="12.75" customHeight="1" x14ac:dyDescent="0.2">
      <c r="B17076" s="11" t="s">
        <v>16</v>
      </c>
      <c r="C17076" s="11"/>
    </row>
    <row r="17077" spans="1:4" ht="12.75" customHeight="1" x14ac:dyDescent="0.2">
      <c r="B17077" s="11" t="s">
        <v>13</v>
      </c>
      <c r="C17077" s="11" t="s">
        <v>2602</v>
      </c>
    </row>
    <row r="17078" spans="1:4" ht="12.75" customHeight="1" x14ac:dyDescent="0.2">
      <c r="B17078" s="11" t="s">
        <v>2603</v>
      </c>
      <c r="C17078" s="11" t="s">
        <v>2604</v>
      </c>
    </row>
    <row r="17079" spans="1:4" ht="12.75" customHeight="1" x14ac:dyDescent="0.2">
      <c r="B17079" s="11" t="s">
        <v>2605</v>
      </c>
      <c r="C17079" s="11" t="s">
        <v>24</v>
      </c>
    </row>
    <row r="17080" spans="1:4" ht="12.75" customHeight="1" x14ac:dyDescent="0.2">
      <c r="B17080" s="11" t="s">
        <v>2606</v>
      </c>
      <c r="C17080" s="16" t="s">
        <v>44</v>
      </c>
      <c r="D17080" s="6" t="str">
        <f>HYPERLINK("javascript:void(0)","pálha")</f>
        <v>pálha</v>
      </c>
    </row>
    <row r="17081" spans="1:4" ht="12.75" customHeight="1" x14ac:dyDescent="0.2">
      <c r="C17081" s="16" t="s">
        <v>139</v>
      </c>
      <c r="D17081" s="6" t="str">
        <f>HYPERLINK("javascript:void(0)","kincs")</f>
        <v>kincs</v>
      </c>
    </row>
    <row r="17082" spans="1:4" ht="25.5" customHeight="1" x14ac:dyDescent="0.2">
      <c r="C17082" s="16" t="s">
        <v>44</v>
      </c>
      <c r="D17082" s="6" t="str">
        <f>HYPERLINK("javascript:void(0)","démonzanza")</f>
        <v>démonzanza</v>
      </c>
    </row>
    <row r="17083" spans="1:4" ht="12.75" customHeight="1" x14ac:dyDescent="0.2">
      <c r="B17083" s="2"/>
      <c r="C17083" s="15"/>
      <c r="D17083" s="2"/>
    </row>
    <row r="17084" spans="1:4" ht="12.75" customHeight="1" x14ac:dyDescent="0.2">
      <c r="B17084" s="2"/>
      <c r="C17084" s="15"/>
      <c r="D17084" s="2"/>
    </row>
    <row r="17085" spans="1:4" ht="12.75" customHeight="1" x14ac:dyDescent="0.2">
      <c r="A17085" s="13" t="s">
        <v>5333</v>
      </c>
      <c r="C17085" s="12"/>
    </row>
    <row r="17086" spans="1:4" ht="12.75" customHeight="1" x14ac:dyDescent="0.2">
      <c r="A17086" s="11"/>
      <c r="B17086" s="2"/>
      <c r="C17086" s="15"/>
      <c r="D17086" s="2"/>
    </row>
    <row r="17087" spans="1:4" ht="12.75" customHeight="1" x14ac:dyDescent="0.2">
      <c r="B17087" s="11" t="s">
        <v>0</v>
      </c>
      <c r="C17087" s="11" t="s">
        <v>968</v>
      </c>
    </row>
    <row r="17088" spans="1:4" ht="12.75" customHeight="1" x14ac:dyDescent="0.2">
      <c r="B17088" s="11" t="s">
        <v>2599</v>
      </c>
      <c r="C17088" s="11" t="s">
        <v>5334</v>
      </c>
    </row>
    <row r="17089" spans="1:4" ht="25.5" customHeight="1" x14ac:dyDescent="0.2">
      <c r="B17089" s="11" t="s">
        <v>2600</v>
      </c>
      <c r="C17089" s="11" t="s">
        <v>5335</v>
      </c>
    </row>
    <row r="17090" spans="1:4" ht="25.5" customHeight="1" x14ac:dyDescent="0.2">
      <c r="B17090" s="11" t="s">
        <v>2601</v>
      </c>
      <c r="C17090" s="11"/>
    </row>
    <row r="17091" spans="1:4" ht="12.75" customHeight="1" x14ac:dyDescent="0.2">
      <c r="B17091" s="11" t="s">
        <v>16</v>
      </c>
      <c r="C17091" s="11"/>
    </row>
    <row r="17092" spans="1:4" ht="12.75" customHeight="1" x14ac:dyDescent="0.2">
      <c r="B17092" s="11" t="s">
        <v>13</v>
      </c>
      <c r="C17092" s="11" t="s">
        <v>2644</v>
      </c>
    </row>
    <row r="17093" spans="1:4" ht="12.75" customHeight="1" x14ac:dyDescent="0.2">
      <c r="B17093" s="11" t="s">
        <v>2603</v>
      </c>
      <c r="C17093" s="11" t="s">
        <v>2604</v>
      </c>
    </row>
    <row r="17094" spans="1:4" ht="12.75" customHeight="1" x14ac:dyDescent="0.2">
      <c r="B17094" s="11" t="s">
        <v>2605</v>
      </c>
      <c r="C17094" s="11" t="s">
        <v>14</v>
      </c>
    </row>
    <row r="17095" spans="1:4" ht="12.75" customHeight="1" x14ac:dyDescent="0.2">
      <c r="B17095" s="11" t="s">
        <v>2606</v>
      </c>
      <c r="C17095" s="16" t="s">
        <v>98</v>
      </c>
      <c r="D17095" s="6" t="str">
        <f>HYPERLINK("javascript:void(0)","kincs")</f>
        <v>kincs</v>
      </c>
    </row>
    <row r="17096" spans="1:4" ht="12.75" customHeight="1" x14ac:dyDescent="0.2">
      <c r="B17096" s="2"/>
      <c r="C17096" s="15"/>
      <c r="D17096" s="2"/>
    </row>
    <row r="17097" spans="1:4" ht="12.75" customHeight="1" x14ac:dyDescent="0.2">
      <c r="B17097" s="2"/>
      <c r="C17097" s="15"/>
      <c r="D17097" s="2"/>
    </row>
    <row r="17098" spans="1:4" ht="12.75" customHeight="1" x14ac:dyDescent="0.2">
      <c r="A17098" s="13" t="s">
        <v>5336</v>
      </c>
      <c r="C17098" s="12"/>
    </row>
    <row r="17099" spans="1:4" ht="12.75" customHeight="1" x14ac:dyDescent="0.2">
      <c r="A17099" s="11"/>
      <c r="B17099" s="2"/>
      <c r="C17099" s="15"/>
      <c r="D17099" s="2"/>
    </row>
    <row r="17100" spans="1:4" ht="12.75" customHeight="1" x14ac:dyDescent="0.2">
      <c r="B17100" s="11" t="s">
        <v>0</v>
      </c>
      <c r="C17100" s="11" t="s">
        <v>968</v>
      </c>
    </row>
    <row r="17101" spans="1:4" ht="12.75" customHeight="1" x14ac:dyDescent="0.2">
      <c r="B17101" s="11" t="s">
        <v>2599</v>
      </c>
      <c r="C17101" s="11" t="s">
        <v>5308</v>
      </c>
    </row>
    <row r="17102" spans="1:4" ht="25.5" customHeight="1" x14ac:dyDescent="0.2">
      <c r="B17102" s="11" t="s">
        <v>2600</v>
      </c>
      <c r="C17102" s="11" t="s">
        <v>5337</v>
      </c>
    </row>
    <row r="17103" spans="1:4" ht="25.5" customHeight="1" x14ac:dyDescent="0.2">
      <c r="B17103" s="11" t="s">
        <v>2601</v>
      </c>
      <c r="C17103" s="11"/>
    </row>
    <row r="17104" spans="1:4" ht="12.75" customHeight="1" x14ac:dyDescent="0.2">
      <c r="B17104" s="11" t="s">
        <v>16</v>
      </c>
      <c r="C17104" s="11"/>
    </row>
    <row r="17105" spans="1:4" ht="12.75" customHeight="1" x14ac:dyDescent="0.2">
      <c r="B17105" s="11" t="s">
        <v>13</v>
      </c>
      <c r="C17105" s="11" t="s">
        <v>2602</v>
      </c>
    </row>
    <row r="17106" spans="1:4" ht="12.75" customHeight="1" x14ac:dyDescent="0.2">
      <c r="B17106" s="11" t="s">
        <v>2603</v>
      </c>
      <c r="C17106" s="11" t="s">
        <v>2604</v>
      </c>
    </row>
    <row r="17107" spans="1:4" ht="12.75" customHeight="1" x14ac:dyDescent="0.2">
      <c r="B17107" s="11" t="s">
        <v>2605</v>
      </c>
      <c r="C17107" s="11" t="s">
        <v>24</v>
      </c>
    </row>
    <row r="17108" spans="1:4" ht="12.75" customHeight="1" x14ac:dyDescent="0.2">
      <c r="B17108" s="11" t="s">
        <v>2606</v>
      </c>
      <c r="C17108" s="16" t="s">
        <v>55</v>
      </c>
      <c r="D17108" s="6" t="str">
        <f>HYPERLINK("javascript:void(0)","pillepikkely")</f>
        <v>pillepikkely</v>
      </c>
    </row>
    <row r="17109" spans="1:4" ht="12.75" customHeight="1" x14ac:dyDescent="0.2">
      <c r="C17109" s="16" t="s">
        <v>68</v>
      </c>
      <c r="D17109" s="6" t="str">
        <f>HYPERLINK("javascript:void(0)","kincs")</f>
        <v>kincs</v>
      </c>
    </row>
    <row r="17110" spans="1:4" ht="12.75" customHeight="1" x14ac:dyDescent="0.2">
      <c r="B17110" s="2"/>
      <c r="C17110" s="15"/>
      <c r="D17110" s="2"/>
    </row>
    <row r="17111" spans="1:4" ht="12.75" customHeight="1" x14ac:dyDescent="0.2">
      <c r="B17111" s="2"/>
      <c r="C17111" s="15"/>
      <c r="D17111" s="2"/>
    </row>
    <row r="17112" spans="1:4" ht="12.75" customHeight="1" x14ac:dyDescent="0.2">
      <c r="A17112" s="13" t="s">
        <v>5338</v>
      </c>
      <c r="C17112" s="12"/>
    </row>
    <row r="17113" spans="1:4" ht="12.75" customHeight="1" x14ac:dyDescent="0.2">
      <c r="A17113" s="11"/>
      <c r="B17113" s="2"/>
      <c r="C17113" s="15"/>
      <c r="D17113" s="2"/>
    </row>
    <row r="17114" spans="1:4" ht="12.75" customHeight="1" x14ac:dyDescent="0.2">
      <c r="B17114" s="11" t="s">
        <v>0</v>
      </c>
      <c r="C17114" s="11" t="s">
        <v>968</v>
      </c>
    </row>
    <row r="17115" spans="1:4" ht="12.75" customHeight="1" x14ac:dyDescent="0.2">
      <c r="B17115" s="11" t="s">
        <v>2599</v>
      </c>
      <c r="C17115" s="11" t="s">
        <v>5339</v>
      </c>
    </row>
    <row r="17116" spans="1:4" ht="25.5" customHeight="1" x14ac:dyDescent="0.2">
      <c r="B17116" s="11" t="s">
        <v>2600</v>
      </c>
      <c r="C17116" s="11" t="s">
        <v>5340</v>
      </c>
    </row>
    <row r="17117" spans="1:4" ht="25.5" customHeight="1" x14ac:dyDescent="0.2">
      <c r="B17117" s="11" t="s">
        <v>2601</v>
      </c>
      <c r="C17117" s="11"/>
    </row>
    <row r="17118" spans="1:4" ht="12.75" customHeight="1" x14ac:dyDescent="0.2">
      <c r="B17118" s="11" t="s">
        <v>16</v>
      </c>
      <c r="C17118" s="11"/>
    </row>
    <row r="17119" spans="1:4" ht="12.75" customHeight="1" x14ac:dyDescent="0.2">
      <c r="B17119" s="11" t="s">
        <v>13</v>
      </c>
      <c r="C17119" s="11" t="s">
        <v>2602</v>
      </c>
    </row>
    <row r="17120" spans="1:4" ht="12.75" customHeight="1" x14ac:dyDescent="0.2">
      <c r="B17120" s="11" t="s">
        <v>2603</v>
      </c>
      <c r="C17120" s="11" t="s">
        <v>2604</v>
      </c>
    </row>
    <row r="17121" spans="1:4" ht="12.75" customHeight="1" x14ac:dyDescent="0.2">
      <c r="B17121" s="11" t="s">
        <v>2605</v>
      </c>
      <c r="C17121" s="11" t="s">
        <v>14</v>
      </c>
    </row>
    <row r="17122" spans="1:4" ht="12.75" customHeight="1" x14ac:dyDescent="0.2">
      <c r="B17122" s="11" t="s">
        <v>2606</v>
      </c>
      <c r="C17122" s="16" t="s">
        <v>98</v>
      </c>
      <c r="D17122" s="6" t="str">
        <f>HYPERLINK("javascript:void(0)","kincs")</f>
        <v>kincs</v>
      </c>
    </row>
    <row r="17123" spans="1:4" ht="12.75" customHeight="1" x14ac:dyDescent="0.2">
      <c r="B17123" s="2"/>
      <c r="C17123" s="15"/>
      <c r="D17123" s="2"/>
    </row>
    <row r="17124" spans="1:4" ht="12.75" customHeight="1" x14ac:dyDescent="0.2">
      <c r="B17124" s="2"/>
      <c r="C17124" s="15"/>
      <c r="D17124" s="2"/>
    </row>
    <row r="17125" spans="1:4" ht="12.75" customHeight="1" x14ac:dyDescent="0.2">
      <c r="A17125" s="13" t="s">
        <v>5341</v>
      </c>
      <c r="C17125" s="12"/>
    </row>
    <row r="17126" spans="1:4" ht="12.75" customHeight="1" x14ac:dyDescent="0.2">
      <c r="A17126" s="11"/>
      <c r="B17126" s="2"/>
      <c r="C17126" s="15"/>
      <c r="D17126" s="2"/>
    </row>
    <row r="17127" spans="1:4" ht="12.75" customHeight="1" x14ac:dyDescent="0.2">
      <c r="B17127" s="11" t="s">
        <v>0</v>
      </c>
      <c r="C17127" s="11" t="s">
        <v>968</v>
      </c>
    </row>
    <row r="17128" spans="1:4" ht="12.75" customHeight="1" x14ac:dyDescent="0.2">
      <c r="B17128" s="11" t="s">
        <v>2599</v>
      </c>
      <c r="C17128" s="11" t="s">
        <v>5342</v>
      </c>
    </row>
    <row r="17129" spans="1:4" ht="25.5" customHeight="1" x14ac:dyDescent="0.2">
      <c r="B17129" s="11" t="s">
        <v>2600</v>
      </c>
      <c r="C17129" s="11" t="s">
        <v>5343</v>
      </c>
    </row>
    <row r="17130" spans="1:4" ht="25.5" customHeight="1" x14ac:dyDescent="0.2">
      <c r="B17130" s="11" t="s">
        <v>2601</v>
      </c>
      <c r="C17130" s="11"/>
    </row>
    <row r="17131" spans="1:4" ht="12.75" customHeight="1" x14ac:dyDescent="0.2">
      <c r="B17131" s="11" t="s">
        <v>16</v>
      </c>
      <c r="C17131" s="11"/>
    </row>
    <row r="17132" spans="1:4" ht="12.75" customHeight="1" x14ac:dyDescent="0.2">
      <c r="B17132" s="11" t="s">
        <v>13</v>
      </c>
      <c r="C17132" s="11" t="s">
        <v>2602</v>
      </c>
    </row>
    <row r="17133" spans="1:4" ht="12.75" customHeight="1" x14ac:dyDescent="0.2">
      <c r="B17133" s="11" t="s">
        <v>2603</v>
      </c>
      <c r="C17133" s="11" t="s">
        <v>2604</v>
      </c>
    </row>
    <row r="17134" spans="1:4" ht="12.75" customHeight="1" x14ac:dyDescent="0.2">
      <c r="B17134" s="11" t="s">
        <v>2605</v>
      </c>
      <c r="C17134" s="11" t="s">
        <v>14</v>
      </c>
    </row>
    <row r="17135" spans="1:4" ht="12.75" customHeight="1" x14ac:dyDescent="0.2">
      <c r="B17135" s="11" t="s">
        <v>2606</v>
      </c>
      <c r="C17135" s="16" t="s">
        <v>98</v>
      </c>
      <c r="D17135" s="6" t="str">
        <f>HYPERLINK("javascript:void(0)","kincs")</f>
        <v>kincs</v>
      </c>
    </row>
    <row r="17136" spans="1:4" ht="12.75" customHeight="1" x14ac:dyDescent="0.2">
      <c r="B17136" s="2"/>
      <c r="C17136" s="15"/>
      <c r="D17136" s="2"/>
    </row>
    <row r="17137" spans="1:4" ht="12.75" customHeight="1" x14ac:dyDescent="0.2">
      <c r="B17137" s="2"/>
      <c r="C17137" s="15"/>
      <c r="D17137" s="2"/>
    </row>
    <row r="17138" spans="1:4" ht="12.75" customHeight="1" x14ac:dyDescent="0.2">
      <c r="A17138" s="13" t="s">
        <v>5344</v>
      </c>
      <c r="C17138" s="12"/>
    </row>
    <row r="17139" spans="1:4" ht="12.75" customHeight="1" x14ac:dyDescent="0.2">
      <c r="A17139" s="11"/>
      <c r="B17139" s="2"/>
      <c r="C17139" s="15"/>
      <c r="D17139" s="2"/>
    </row>
    <row r="17140" spans="1:4" ht="12.75" customHeight="1" x14ac:dyDescent="0.2">
      <c r="B17140" s="11" t="s">
        <v>0</v>
      </c>
      <c r="C17140" s="11" t="s">
        <v>968</v>
      </c>
    </row>
    <row r="17141" spans="1:4" ht="12.75" customHeight="1" x14ac:dyDescent="0.2">
      <c r="B17141" s="11" t="s">
        <v>2599</v>
      </c>
      <c r="C17141" s="11" t="s">
        <v>4286</v>
      </c>
    </row>
    <row r="17142" spans="1:4" ht="25.5" customHeight="1" x14ac:dyDescent="0.2">
      <c r="B17142" s="11" t="s">
        <v>2600</v>
      </c>
      <c r="C17142" s="11" t="s">
        <v>5345</v>
      </c>
    </row>
    <row r="17143" spans="1:4" ht="25.5" customHeight="1" x14ac:dyDescent="0.2">
      <c r="B17143" s="11" t="s">
        <v>2601</v>
      </c>
      <c r="C17143" s="11"/>
    </row>
    <row r="17144" spans="1:4" ht="12.75" customHeight="1" x14ac:dyDescent="0.2">
      <c r="B17144" s="11" t="s">
        <v>16</v>
      </c>
      <c r="C17144" s="11"/>
    </row>
    <row r="17145" spans="1:4" ht="12.75" customHeight="1" x14ac:dyDescent="0.2">
      <c r="B17145" s="11" t="s">
        <v>13</v>
      </c>
      <c r="C17145" s="11" t="s">
        <v>2644</v>
      </c>
    </row>
    <row r="17146" spans="1:4" ht="12.75" customHeight="1" x14ac:dyDescent="0.2">
      <c r="B17146" s="11" t="s">
        <v>2603</v>
      </c>
      <c r="C17146" s="11" t="s">
        <v>2604</v>
      </c>
    </row>
    <row r="17147" spans="1:4" ht="12.75" customHeight="1" x14ac:dyDescent="0.2">
      <c r="B17147" s="11" t="s">
        <v>2605</v>
      </c>
      <c r="C17147" s="11" t="s">
        <v>14</v>
      </c>
    </row>
    <row r="17148" spans="1:4" ht="12.75" customHeight="1" x14ac:dyDescent="0.2">
      <c r="B17148" s="11" t="s">
        <v>2606</v>
      </c>
      <c r="C17148" s="16" t="s">
        <v>67</v>
      </c>
      <c r="D17148" s="6" t="str">
        <f>HYPERLINK("javascript:void(0)","kincs")</f>
        <v>kincs</v>
      </c>
    </row>
    <row r="17149" spans="1:4" ht="12.75" customHeight="1" x14ac:dyDescent="0.2">
      <c r="B17149" s="2"/>
      <c r="C17149" s="15"/>
      <c r="D17149" s="2"/>
    </row>
    <row r="17150" spans="1:4" ht="12.75" customHeight="1" x14ac:dyDescent="0.2">
      <c r="B17150" s="2"/>
      <c r="C17150" s="15"/>
      <c r="D17150" s="2"/>
    </row>
    <row r="17151" spans="1:4" ht="12.75" customHeight="1" x14ac:dyDescent="0.2">
      <c r="A17151" s="13" t="s">
        <v>5346</v>
      </c>
      <c r="C17151" s="12"/>
    </row>
    <row r="17152" spans="1:4" ht="12.75" customHeight="1" x14ac:dyDescent="0.2">
      <c r="A17152" s="11"/>
      <c r="B17152" s="2"/>
      <c r="C17152" s="15"/>
      <c r="D17152" s="2"/>
    </row>
    <row r="17153" spans="1:4" ht="12.75" customHeight="1" x14ac:dyDescent="0.2">
      <c r="B17153" s="11" t="s">
        <v>0</v>
      </c>
      <c r="C17153" s="11" t="s">
        <v>968</v>
      </c>
    </row>
    <row r="17154" spans="1:4" ht="12.75" customHeight="1" x14ac:dyDescent="0.2">
      <c r="B17154" s="11" t="s">
        <v>2599</v>
      </c>
      <c r="C17154" s="11" t="s">
        <v>800</v>
      </c>
    </row>
    <row r="17155" spans="1:4" ht="25.5" customHeight="1" x14ac:dyDescent="0.2">
      <c r="B17155" s="11" t="s">
        <v>2600</v>
      </c>
      <c r="C17155" s="11" t="s">
        <v>5347</v>
      </c>
    </row>
    <row r="17156" spans="1:4" ht="25.5" customHeight="1" x14ac:dyDescent="0.2">
      <c r="B17156" s="11" t="s">
        <v>2601</v>
      </c>
      <c r="C17156" s="11"/>
    </row>
    <row r="17157" spans="1:4" ht="12.75" customHeight="1" x14ac:dyDescent="0.2">
      <c r="B17157" s="11" t="s">
        <v>16</v>
      </c>
      <c r="C17157" s="11"/>
    </row>
    <row r="17158" spans="1:4" ht="12.75" customHeight="1" x14ac:dyDescent="0.2">
      <c r="B17158" s="11" t="s">
        <v>13</v>
      </c>
      <c r="C17158" s="11" t="s">
        <v>2644</v>
      </c>
    </row>
    <row r="17159" spans="1:4" ht="12.75" customHeight="1" x14ac:dyDescent="0.2">
      <c r="B17159" s="11" t="s">
        <v>2603</v>
      </c>
      <c r="C17159" s="11" t="s">
        <v>2604</v>
      </c>
    </row>
    <row r="17160" spans="1:4" ht="12.75" customHeight="1" x14ac:dyDescent="0.2">
      <c r="B17160" s="11" t="s">
        <v>2605</v>
      </c>
      <c r="C17160" s="11" t="s">
        <v>24</v>
      </c>
    </row>
    <row r="17161" spans="1:4" ht="12.75" customHeight="1" x14ac:dyDescent="0.2">
      <c r="B17161" s="11" t="s">
        <v>2606</v>
      </c>
      <c r="C17161" s="16" t="s">
        <v>44</v>
      </c>
      <c r="D17161" s="6" t="str">
        <f>HYPERLINK("javascript:void(0)","mogorv")</f>
        <v>mogorv</v>
      </c>
    </row>
    <row r="17162" spans="1:4" ht="12.75" customHeight="1" x14ac:dyDescent="0.2">
      <c r="B17162" s="2"/>
      <c r="C17162" s="15"/>
      <c r="D17162" s="2"/>
    </row>
    <row r="17163" spans="1:4" ht="12.75" customHeight="1" x14ac:dyDescent="0.2">
      <c r="B17163" s="2"/>
      <c r="C17163" s="15"/>
      <c r="D17163" s="2"/>
    </row>
    <row r="17164" spans="1:4" ht="12.75" customHeight="1" x14ac:dyDescent="0.2">
      <c r="A17164" s="13" t="s">
        <v>5348</v>
      </c>
      <c r="C17164" s="12"/>
    </row>
    <row r="17165" spans="1:4" ht="12.75" customHeight="1" x14ac:dyDescent="0.2">
      <c r="A17165" s="11"/>
      <c r="B17165" s="2"/>
      <c r="C17165" s="15"/>
      <c r="D17165" s="2"/>
    </row>
    <row r="17166" spans="1:4" ht="12.75" customHeight="1" x14ac:dyDescent="0.2">
      <c r="B17166" s="11" t="s">
        <v>0</v>
      </c>
      <c r="C17166" s="11" t="s">
        <v>968</v>
      </c>
    </row>
    <row r="17167" spans="1:4" ht="12.75" customHeight="1" x14ac:dyDescent="0.2">
      <c r="B17167" s="11" t="s">
        <v>2599</v>
      </c>
      <c r="C17167" s="11" t="s">
        <v>2539</v>
      </c>
    </row>
    <row r="17168" spans="1:4" ht="25.5" customHeight="1" x14ac:dyDescent="0.2">
      <c r="B17168" s="11" t="s">
        <v>2600</v>
      </c>
      <c r="C17168" s="11" t="s">
        <v>5349</v>
      </c>
    </row>
    <row r="17169" spans="1:4" ht="25.5" customHeight="1" x14ac:dyDescent="0.2">
      <c r="B17169" s="11" t="s">
        <v>2601</v>
      </c>
      <c r="C17169" s="11"/>
    </row>
    <row r="17170" spans="1:4" ht="12.75" customHeight="1" x14ac:dyDescent="0.2">
      <c r="B17170" s="11" t="s">
        <v>16</v>
      </c>
      <c r="C17170" s="11"/>
    </row>
    <row r="17171" spans="1:4" ht="12.75" customHeight="1" x14ac:dyDescent="0.2">
      <c r="B17171" s="11" t="s">
        <v>13</v>
      </c>
      <c r="C17171" s="11" t="s">
        <v>2644</v>
      </c>
    </row>
    <row r="17172" spans="1:4" ht="12.75" customHeight="1" x14ac:dyDescent="0.2">
      <c r="B17172" s="11" t="s">
        <v>2603</v>
      </c>
      <c r="C17172" s="11" t="s">
        <v>2604</v>
      </c>
    </row>
    <row r="17173" spans="1:4" ht="12.75" customHeight="1" x14ac:dyDescent="0.2">
      <c r="B17173" s="11" t="s">
        <v>2605</v>
      </c>
      <c r="C17173" s="11" t="s">
        <v>24</v>
      </c>
    </row>
    <row r="17174" spans="1:4" ht="25.5" customHeight="1" x14ac:dyDescent="0.2">
      <c r="B17174" s="11" t="s">
        <v>2606</v>
      </c>
      <c r="C17174" s="16" t="s">
        <v>44</v>
      </c>
      <c r="D17174" s="6" t="str">
        <f>HYPERLINK("javascript:void(0)","rozmáragyar")</f>
        <v>rozmáragyar</v>
      </c>
    </row>
    <row r="17175" spans="1:4" ht="12.75" customHeight="1" x14ac:dyDescent="0.2">
      <c r="C17175" s="16" t="s">
        <v>132</v>
      </c>
      <c r="D17175" s="6" t="str">
        <f>HYPERLINK("javascript:void(0)","kincs")</f>
        <v>kincs</v>
      </c>
    </row>
    <row r="17176" spans="1:4" ht="12.75" customHeight="1" x14ac:dyDescent="0.2">
      <c r="B17176" s="2"/>
      <c r="C17176" s="15"/>
      <c r="D17176" s="2"/>
    </row>
    <row r="17177" spans="1:4" ht="12.75" customHeight="1" x14ac:dyDescent="0.2">
      <c r="B17177" s="2"/>
      <c r="C17177" s="15"/>
      <c r="D17177" s="2"/>
    </row>
    <row r="17178" spans="1:4" ht="12.75" customHeight="1" x14ac:dyDescent="0.2">
      <c r="A17178" s="13" t="s">
        <v>5270</v>
      </c>
      <c r="C17178" s="12"/>
      <c r="D17178" s="2"/>
    </row>
    <row r="17179" spans="1:4" ht="12.75" customHeight="1" x14ac:dyDescent="0.2">
      <c r="A17179" s="11"/>
      <c r="B17179" s="2"/>
      <c r="C17179" s="15"/>
      <c r="D17179" s="2"/>
    </row>
    <row r="17180" spans="1:4" ht="12.75" customHeight="1" x14ac:dyDescent="0.2">
      <c r="B17180" s="11" t="s">
        <v>0</v>
      </c>
      <c r="C17180" s="17" t="s">
        <v>968</v>
      </c>
      <c r="D17180" s="2"/>
    </row>
    <row r="17181" spans="1:4" ht="12.75" customHeight="1" x14ac:dyDescent="0.2">
      <c r="B17181" s="11" t="s">
        <v>2599</v>
      </c>
      <c r="C17181" s="17" t="s">
        <v>5135</v>
      </c>
      <c r="D17181" s="2"/>
    </row>
    <row r="17182" spans="1:4" ht="25.5" customHeight="1" x14ac:dyDescent="0.2">
      <c r="B17182" s="11" t="s">
        <v>2600</v>
      </c>
      <c r="C17182" s="17" t="s">
        <v>5350</v>
      </c>
      <c r="D17182" s="2"/>
    </row>
    <row r="17183" spans="1:4" ht="25.5" customHeight="1" x14ac:dyDescent="0.2">
      <c r="B17183" s="11" t="s">
        <v>2601</v>
      </c>
      <c r="C17183" s="17"/>
      <c r="D17183" s="2"/>
    </row>
    <row r="17184" spans="1:4" ht="12.75" customHeight="1" x14ac:dyDescent="0.2">
      <c r="B17184" s="11" t="s">
        <v>16</v>
      </c>
      <c r="C17184" s="17"/>
      <c r="D17184" s="2"/>
    </row>
    <row r="17185" spans="1:4" ht="12.75" customHeight="1" x14ac:dyDescent="0.2">
      <c r="B17185" s="11" t="s">
        <v>13</v>
      </c>
      <c r="C17185" s="17" t="s">
        <v>2602</v>
      </c>
      <c r="D17185" s="2"/>
    </row>
    <row r="17186" spans="1:4" ht="25.5" customHeight="1" x14ac:dyDescent="0.2">
      <c r="B17186" s="11" t="s">
        <v>2603</v>
      </c>
      <c r="C17186" s="17" t="s">
        <v>2971</v>
      </c>
      <c r="D17186" s="2"/>
    </row>
    <row r="17187" spans="1:4" ht="12.75" customHeight="1" x14ac:dyDescent="0.2">
      <c r="B17187" s="11" t="s">
        <v>2605</v>
      </c>
      <c r="C17187" s="17" t="s">
        <v>14</v>
      </c>
      <c r="D17187" s="2"/>
    </row>
    <row r="17188" spans="1:4" ht="12.75" customHeight="1" x14ac:dyDescent="0.2">
      <c r="B17188" s="11" t="s">
        <v>2606</v>
      </c>
      <c r="C17188" s="16" t="s">
        <v>19</v>
      </c>
      <c r="D17188" s="2"/>
    </row>
    <row r="17189" spans="1:4" ht="12.75" customHeight="1" x14ac:dyDescent="0.2">
      <c r="B17189" s="2"/>
      <c r="C17189" s="15"/>
      <c r="D17189" s="2"/>
    </row>
    <row r="17190" spans="1:4" ht="12.75" customHeight="1" x14ac:dyDescent="0.2">
      <c r="B17190" s="2"/>
      <c r="C17190" s="15"/>
      <c r="D17190" s="2"/>
    </row>
    <row r="17191" spans="1:4" ht="12.75" customHeight="1" x14ac:dyDescent="0.2">
      <c r="A17191" s="13" t="s">
        <v>5241</v>
      </c>
      <c r="C17191" s="12"/>
      <c r="D17191" s="2"/>
    </row>
    <row r="17192" spans="1:4" ht="12.75" customHeight="1" x14ac:dyDescent="0.2">
      <c r="A17192" s="11"/>
      <c r="B17192" s="2"/>
      <c r="C17192" s="15"/>
      <c r="D17192" s="2"/>
    </row>
    <row r="17193" spans="1:4" ht="12.75" customHeight="1" x14ac:dyDescent="0.2">
      <c r="B17193" s="11" t="s">
        <v>0</v>
      </c>
      <c r="C17193" s="17" t="s">
        <v>978</v>
      </c>
      <c r="D17193" s="2"/>
    </row>
    <row r="17194" spans="1:4" ht="12.75" customHeight="1" x14ac:dyDescent="0.2">
      <c r="B17194" s="11" t="s">
        <v>2599</v>
      </c>
      <c r="C17194" s="17" t="s">
        <v>5103</v>
      </c>
      <c r="D17194" s="2"/>
    </row>
    <row r="17195" spans="1:4" ht="25.5" customHeight="1" x14ac:dyDescent="0.2">
      <c r="B17195" s="11" t="s">
        <v>2600</v>
      </c>
      <c r="C17195" s="17" t="s">
        <v>5351</v>
      </c>
      <c r="D17195" s="2"/>
    </row>
    <row r="17196" spans="1:4" ht="25.5" customHeight="1" x14ac:dyDescent="0.2">
      <c r="B17196" s="11" t="s">
        <v>2601</v>
      </c>
      <c r="C17196" s="17"/>
      <c r="D17196" s="2"/>
    </row>
    <row r="17197" spans="1:4" ht="12.75" customHeight="1" x14ac:dyDescent="0.2">
      <c r="B17197" s="11" t="s">
        <v>16</v>
      </c>
      <c r="C17197" s="17"/>
      <c r="D17197" s="2"/>
    </row>
    <row r="17198" spans="1:4" ht="12.75" customHeight="1" x14ac:dyDescent="0.2">
      <c r="B17198" s="11" t="s">
        <v>13</v>
      </c>
      <c r="C17198" s="17" t="s">
        <v>2644</v>
      </c>
      <c r="D17198" s="2"/>
    </row>
    <row r="17199" spans="1:4" ht="25.5" customHeight="1" x14ac:dyDescent="0.2">
      <c r="B17199" s="11" t="s">
        <v>2603</v>
      </c>
      <c r="C17199" s="17" t="s">
        <v>2971</v>
      </c>
      <c r="D17199" s="2"/>
    </row>
    <row r="17200" spans="1:4" ht="12.75" customHeight="1" x14ac:dyDescent="0.2">
      <c r="B17200" s="11" t="s">
        <v>2605</v>
      </c>
      <c r="C17200" s="17" t="s">
        <v>14</v>
      </c>
      <c r="D17200" s="2"/>
    </row>
    <row r="17201" spans="1:4" ht="12.75" customHeight="1" x14ac:dyDescent="0.2">
      <c r="B17201" s="11" t="s">
        <v>2606</v>
      </c>
      <c r="C17201" s="16" t="s">
        <v>19</v>
      </c>
      <c r="D17201" s="2"/>
    </row>
    <row r="17202" spans="1:4" ht="12.75" customHeight="1" x14ac:dyDescent="0.2">
      <c r="B17202" s="2"/>
      <c r="C17202" s="15"/>
      <c r="D17202" s="2"/>
    </row>
    <row r="17203" spans="1:4" ht="12.75" customHeight="1" x14ac:dyDescent="0.2">
      <c r="B17203" s="2"/>
      <c r="C17203" s="15"/>
      <c r="D17203" s="2"/>
    </row>
    <row r="17204" spans="1:4" ht="12.75" customHeight="1" x14ac:dyDescent="0.2">
      <c r="A17204" s="13" t="s">
        <v>5243</v>
      </c>
      <c r="C17204" s="12"/>
      <c r="D17204" s="2"/>
    </row>
    <row r="17205" spans="1:4" ht="12.75" customHeight="1" x14ac:dyDescent="0.2">
      <c r="A17205" s="11"/>
      <c r="B17205" s="2"/>
      <c r="C17205" s="15"/>
      <c r="D17205" s="2"/>
    </row>
    <row r="17206" spans="1:4" ht="12.75" customHeight="1" x14ac:dyDescent="0.2">
      <c r="B17206" s="11" t="s">
        <v>0</v>
      </c>
      <c r="C17206" s="17" t="s">
        <v>978</v>
      </c>
      <c r="D17206" s="2"/>
    </row>
    <row r="17207" spans="1:4" ht="12.75" customHeight="1" x14ac:dyDescent="0.2">
      <c r="B17207" s="11" t="s">
        <v>2599</v>
      </c>
      <c r="C17207" s="17" t="s">
        <v>5106</v>
      </c>
      <c r="D17207" s="2"/>
    </row>
    <row r="17208" spans="1:4" ht="25.5" customHeight="1" x14ac:dyDescent="0.2">
      <c r="B17208" s="11" t="s">
        <v>2600</v>
      </c>
      <c r="C17208" s="17" t="s">
        <v>5352</v>
      </c>
      <c r="D17208" s="2"/>
    </row>
    <row r="17209" spans="1:4" ht="25.5" customHeight="1" x14ac:dyDescent="0.2">
      <c r="B17209" s="11" t="s">
        <v>2601</v>
      </c>
      <c r="C17209" s="17"/>
      <c r="D17209" s="2"/>
    </row>
    <row r="17210" spans="1:4" ht="12.75" customHeight="1" x14ac:dyDescent="0.2">
      <c r="B17210" s="11" t="s">
        <v>16</v>
      </c>
      <c r="C17210" s="17"/>
      <c r="D17210" s="2"/>
    </row>
    <row r="17211" spans="1:4" ht="12.75" customHeight="1" x14ac:dyDescent="0.2">
      <c r="B17211" s="11" t="s">
        <v>13</v>
      </c>
      <c r="C17211" s="17" t="s">
        <v>2602</v>
      </c>
      <c r="D17211" s="2"/>
    </row>
    <row r="17212" spans="1:4" ht="25.5" customHeight="1" x14ac:dyDescent="0.2">
      <c r="B17212" s="11" t="s">
        <v>2603</v>
      </c>
      <c r="C17212" s="17" t="s">
        <v>2971</v>
      </c>
      <c r="D17212" s="2"/>
    </row>
    <row r="17213" spans="1:4" ht="12.75" customHeight="1" x14ac:dyDescent="0.2">
      <c r="B17213" s="11" t="s">
        <v>2605</v>
      </c>
      <c r="C17213" s="17" t="s">
        <v>14</v>
      </c>
      <c r="D17213" s="2"/>
    </row>
    <row r="17214" spans="1:4" ht="12.75" customHeight="1" x14ac:dyDescent="0.2">
      <c r="B17214" s="11" t="s">
        <v>2606</v>
      </c>
      <c r="C17214" s="16" t="s">
        <v>19</v>
      </c>
      <c r="D17214" s="2"/>
    </row>
    <row r="17215" spans="1:4" ht="12.75" customHeight="1" x14ac:dyDescent="0.2">
      <c r="B17215" s="2"/>
      <c r="C17215" s="15"/>
      <c r="D17215" s="2"/>
    </row>
    <row r="17216" spans="1:4" ht="12.75" customHeight="1" x14ac:dyDescent="0.2">
      <c r="B17216" s="2"/>
      <c r="C17216" s="15"/>
      <c r="D17216" s="2"/>
    </row>
    <row r="17217" spans="1:4" ht="12.75" customHeight="1" x14ac:dyDescent="0.2">
      <c r="A17217" s="13" t="s">
        <v>5245</v>
      </c>
      <c r="C17217" s="12"/>
      <c r="D17217" s="2"/>
    </row>
    <row r="17218" spans="1:4" ht="12.75" customHeight="1" x14ac:dyDescent="0.2">
      <c r="A17218" s="11"/>
      <c r="B17218" s="2"/>
      <c r="C17218" s="15"/>
      <c r="D17218" s="2"/>
    </row>
    <row r="17219" spans="1:4" ht="12.75" customHeight="1" x14ac:dyDescent="0.2">
      <c r="B17219" s="11" t="s">
        <v>0</v>
      </c>
      <c r="C17219" s="17" t="s">
        <v>978</v>
      </c>
      <c r="D17219" s="2"/>
    </row>
    <row r="17220" spans="1:4" ht="12.75" customHeight="1" x14ac:dyDescent="0.2">
      <c r="B17220" s="11" t="s">
        <v>2599</v>
      </c>
      <c r="C17220" s="17" t="s">
        <v>5109</v>
      </c>
      <c r="D17220" s="2"/>
    </row>
    <row r="17221" spans="1:4" ht="25.5" customHeight="1" x14ac:dyDescent="0.2">
      <c r="B17221" s="11" t="s">
        <v>2600</v>
      </c>
      <c r="C17221" s="17" t="s">
        <v>5353</v>
      </c>
      <c r="D17221" s="2"/>
    </row>
    <row r="17222" spans="1:4" ht="25.5" customHeight="1" x14ac:dyDescent="0.2">
      <c r="B17222" s="11" t="s">
        <v>2601</v>
      </c>
      <c r="C17222" s="17"/>
      <c r="D17222" s="2"/>
    </row>
    <row r="17223" spans="1:4" ht="12.75" customHeight="1" x14ac:dyDescent="0.2">
      <c r="B17223" s="11" t="s">
        <v>16</v>
      </c>
      <c r="C17223" s="17"/>
      <c r="D17223" s="2"/>
    </row>
    <row r="17224" spans="1:4" ht="12.75" customHeight="1" x14ac:dyDescent="0.2">
      <c r="B17224" s="11" t="s">
        <v>13</v>
      </c>
      <c r="C17224" s="17" t="s">
        <v>2644</v>
      </c>
      <c r="D17224" s="2"/>
    </row>
    <row r="17225" spans="1:4" ht="25.5" customHeight="1" x14ac:dyDescent="0.2">
      <c r="B17225" s="11" t="s">
        <v>2603</v>
      </c>
      <c r="C17225" s="17" t="s">
        <v>2971</v>
      </c>
      <c r="D17225" s="2"/>
    </row>
    <row r="17226" spans="1:4" ht="12.75" customHeight="1" x14ac:dyDescent="0.2">
      <c r="B17226" s="11" t="s">
        <v>2605</v>
      </c>
      <c r="C17226" s="17" t="s">
        <v>14</v>
      </c>
      <c r="D17226" s="2"/>
    </row>
    <row r="17227" spans="1:4" ht="12.75" customHeight="1" x14ac:dyDescent="0.2">
      <c r="B17227" s="11" t="s">
        <v>2606</v>
      </c>
      <c r="C17227" s="16" t="s">
        <v>19</v>
      </c>
      <c r="D17227" s="2"/>
    </row>
    <row r="17228" spans="1:4" ht="12.75" customHeight="1" x14ac:dyDescent="0.2">
      <c r="B17228" s="2"/>
      <c r="C17228" s="15"/>
      <c r="D17228" s="2"/>
    </row>
    <row r="17229" spans="1:4" ht="12.75" customHeight="1" x14ac:dyDescent="0.2">
      <c r="B17229" s="2"/>
      <c r="C17229" s="15"/>
      <c r="D17229" s="2"/>
    </row>
    <row r="17230" spans="1:4" ht="12.75" customHeight="1" x14ac:dyDescent="0.2">
      <c r="A17230" s="13" t="s">
        <v>2782</v>
      </c>
      <c r="C17230" s="12"/>
    </row>
    <row r="17231" spans="1:4" ht="12.75" customHeight="1" x14ac:dyDescent="0.2">
      <c r="A17231" s="11"/>
      <c r="B17231" s="2"/>
      <c r="C17231" s="15"/>
      <c r="D17231" s="2"/>
    </row>
    <row r="17232" spans="1:4" ht="12.75" customHeight="1" x14ac:dyDescent="0.2">
      <c r="B17232" s="11" t="s">
        <v>0</v>
      </c>
      <c r="C17232" s="11" t="s">
        <v>978</v>
      </c>
    </row>
    <row r="17233" spans="1:4" ht="12.75" customHeight="1" x14ac:dyDescent="0.2">
      <c r="B17233" s="11" t="s">
        <v>2599</v>
      </c>
      <c r="C17233" s="11" t="s">
        <v>930</v>
      </c>
    </row>
    <row r="17234" spans="1:4" ht="25.5" customHeight="1" x14ac:dyDescent="0.2">
      <c r="B17234" s="11" t="s">
        <v>2600</v>
      </c>
      <c r="C17234" s="11" t="s">
        <v>5354</v>
      </c>
    </row>
    <row r="17235" spans="1:4" ht="25.5" customHeight="1" x14ac:dyDescent="0.2">
      <c r="B17235" s="11" t="s">
        <v>2601</v>
      </c>
      <c r="C17235" s="11"/>
    </row>
    <row r="17236" spans="1:4" ht="12.75" customHeight="1" x14ac:dyDescent="0.2">
      <c r="B17236" s="11" t="s">
        <v>16</v>
      </c>
      <c r="C17236" s="11"/>
    </row>
    <row r="17237" spans="1:4" ht="12.75" customHeight="1" x14ac:dyDescent="0.2">
      <c r="B17237" s="11" t="s">
        <v>13</v>
      </c>
      <c r="C17237" s="11" t="s">
        <v>2644</v>
      </c>
    </row>
    <row r="17238" spans="1:4" ht="12.75" customHeight="1" x14ac:dyDescent="0.2">
      <c r="B17238" s="11" t="s">
        <v>2603</v>
      </c>
      <c r="C17238" s="11" t="s">
        <v>2604</v>
      </c>
    </row>
    <row r="17239" spans="1:4" ht="12.75" customHeight="1" x14ac:dyDescent="0.2">
      <c r="B17239" s="11" t="s">
        <v>2605</v>
      </c>
      <c r="C17239" s="11" t="s">
        <v>14</v>
      </c>
    </row>
    <row r="17240" spans="1:4" ht="12.75" customHeight="1" x14ac:dyDescent="0.2">
      <c r="B17240" s="11" t="s">
        <v>2606</v>
      </c>
      <c r="C17240" s="16" t="s">
        <v>44</v>
      </c>
      <c r="D17240" s="6" t="str">
        <f>HYPERLINK("javascript:void(0)","alakváltókő")</f>
        <v>alakváltókő</v>
      </c>
    </row>
    <row r="17241" spans="1:4" ht="12.75" customHeight="1" x14ac:dyDescent="0.2">
      <c r="B17241" s="2"/>
      <c r="C17241" s="15"/>
      <c r="D17241" s="2"/>
    </row>
    <row r="17242" spans="1:4" ht="12.75" customHeight="1" x14ac:dyDescent="0.2">
      <c r="B17242" s="2"/>
      <c r="C17242" s="15"/>
      <c r="D17242" s="2"/>
    </row>
    <row r="17243" spans="1:4" ht="12.75" customHeight="1" x14ac:dyDescent="0.2">
      <c r="A17243" s="13" t="s">
        <v>5355</v>
      </c>
      <c r="C17243" s="12"/>
    </row>
    <row r="17244" spans="1:4" ht="12.75" customHeight="1" x14ac:dyDescent="0.2">
      <c r="A17244" s="11"/>
      <c r="B17244" s="2"/>
      <c r="C17244" s="15"/>
      <c r="D17244" s="2"/>
    </row>
    <row r="17245" spans="1:4" ht="12.75" customHeight="1" x14ac:dyDescent="0.2">
      <c r="B17245" s="11" t="s">
        <v>0</v>
      </c>
      <c r="C17245" s="11" t="s">
        <v>978</v>
      </c>
    </row>
    <row r="17246" spans="1:4" ht="12.75" customHeight="1" x14ac:dyDescent="0.2">
      <c r="B17246" s="11" t="s">
        <v>2599</v>
      </c>
      <c r="C17246" s="11" t="s">
        <v>5356</v>
      </c>
    </row>
    <row r="17247" spans="1:4" ht="25.5" customHeight="1" x14ac:dyDescent="0.2">
      <c r="B17247" s="11" t="s">
        <v>2600</v>
      </c>
      <c r="C17247" s="11" t="s">
        <v>5357</v>
      </c>
    </row>
    <row r="17248" spans="1:4" ht="25.5" customHeight="1" x14ac:dyDescent="0.2">
      <c r="B17248" s="11" t="s">
        <v>2601</v>
      </c>
      <c r="C17248" s="11"/>
    </row>
    <row r="17249" spans="1:4" ht="12.75" customHeight="1" x14ac:dyDescent="0.2">
      <c r="B17249" s="11" t="s">
        <v>16</v>
      </c>
      <c r="C17249" s="11"/>
    </row>
    <row r="17250" spans="1:4" ht="12.75" customHeight="1" x14ac:dyDescent="0.2">
      <c r="B17250" s="11" t="s">
        <v>13</v>
      </c>
      <c r="C17250" s="11" t="s">
        <v>2644</v>
      </c>
    </row>
    <row r="17251" spans="1:4" ht="12.75" customHeight="1" x14ac:dyDescent="0.2">
      <c r="B17251" s="11" t="s">
        <v>2603</v>
      </c>
      <c r="C17251" s="11" t="s">
        <v>2604</v>
      </c>
    </row>
    <row r="17252" spans="1:4" ht="12.75" customHeight="1" x14ac:dyDescent="0.2">
      <c r="B17252" s="11" t="s">
        <v>2605</v>
      </c>
      <c r="C17252" s="11" t="s">
        <v>24</v>
      </c>
    </row>
    <row r="17253" spans="1:4" ht="12.75" customHeight="1" x14ac:dyDescent="0.2">
      <c r="B17253" s="11" t="s">
        <v>2606</v>
      </c>
      <c r="C17253" s="16" t="s">
        <v>398</v>
      </c>
      <c r="D17253" s="6" t="str">
        <f>HYPERLINK("javascript:void(0)","kincs")</f>
        <v>kincs</v>
      </c>
    </row>
    <row r="17254" spans="1:4" ht="12.75" customHeight="1" x14ac:dyDescent="0.2">
      <c r="B17254" s="2"/>
      <c r="C17254" s="15"/>
      <c r="D17254" s="2"/>
    </row>
    <row r="17255" spans="1:4" ht="12.75" customHeight="1" x14ac:dyDescent="0.2">
      <c r="B17255" s="2"/>
      <c r="C17255" s="15"/>
      <c r="D17255" s="2"/>
    </row>
    <row r="17256" spans="1:4" ht="12.75" customHeight="1" x14ac:dyDescent="0.2">
      <c r="A17256" s="13" t="s">
        <v>5358</v>
      </c>
      <c r="C17256" s="12"/>
    </row>
    <row r="17257" spans="1:4" ht="12.75" customHeight="1" x14ac:dyDescent="0.2">
      <c r="A17257" s="11"/>
      <c r="B17257" s="2"/>
      <c r="C17257" s="15"/>
      <c r="D17257" s="2"/>
    </row>
    <row r="17258" spans="1:4" ht="12.75" customHeight="1" x14ac:dyDescent="0.2">
      <c r="B17258" s="11" t="s">
        <v>0</v>
      </c>
      <c r="C17258" s="11" t="s">
        <v>978</v>
      </c>
    </row>
    <row r="17259" spans="1:4" ht="12.75" customHeight="1" x14ac:dyDescent="0.2">
      <c r="B17259" s="11" t="s">
        <v>2599</v>
      </c>
      <c r="C17259" s="11" t="s">
        <v>5359</v>
      </c>
    </row>
    <row r="17260" spans="1:4" ht="25.5" customHeight="1" x14ac:dyDescent="0.2">
      <c r="B17260" s="11" t="s">
        <v>2600</v>
      </c>
      <c r="C17260" s="11" t="s">
        <v>5360</v>
      </c>
    </row>
    <row r="17261" spans="1:4" ht="25.5" customHeight="1" x14ac:dyDescent="0.2">
      <c r="B17261" s="11" t="s">
        <v>2601</v>
      </c>
      <c r="C17261" s="11"/>
    </row>
    <row r="17262" spans="1:4" ht="12.75" customHeight="1" x14ac:dyDescent="0.2">
      <c r="B17262" s="11" t="s">
        <v>16</v>
      </c>
      <c r="C17262" s="11"/>
    </row>
    <row r="17263" spans="1:4" ht="12.75" customHeight="1" x14ac:dyDescent="0.2">
      <c r="B17263" s="11" t="s">
        <v>13</v>
      </c>
      <c r="C17263" s="11" t="s">
        <v>2644</v>
      </c>
    </row>
    <row r="17264" spans="1:4" ht="12.75" customHeight="1" x14ac:dyDescent="0.2">
      <c r="B17264" s="11" t="s">
        <v>2603</v>
      </c>
      <c r="C17264" s="11" t="s">
        <v>2604</v>
      </c>
    </row>
    <row r="17265" spans="1:4" ht="12.75" customHeight="1" x14ac:dyDescent="0.2">
      <c r="B17265" s="11" t="s">
        <v>2605</v>
      </c>
      <c r="C17265" s="11" t="s">
        <v>14</v>
      </c>
    </row>
    <row r="17266" spans="1:4" ht="12.75" customHeight="1" x14ac:dyDescent="0.2">
      <c r="B17266" s="11" t="s">
        <v>2606</v>
      </c>
      <c r="C17266" s="16" t="s">
        <v>98</v>
      </c>
      <c r="D17266" s="6" t="str">
        <f>HYPERLINK("javascript:void(0)","kincs")</f>
        <v>kincs</v>
      </c>
    </row>
    <row r="17267" spans="1:4" ht="12.75" customHeight="1" x14ac:dyDescent="0.2">
      <c r="B17267" s="2"/>
      <c r="C17267" s="15"/>
      <c r="D17267" s="2"/>
    </row>
    <row r="17268" spans="1:4" ht="12.75" customHeight="1" x14ac:dyDescent="0.2">
      <c r="B17268" s="2"/>
      <c r="C17268" s="15"/>
      <c r="D17268" s="2"/>
    </row>
    <row r="17269" spans="1:4" ht="12.75" customHeight="1" x14ac:dyDescent="0.2">
      <c r="A17269" s="13" t="s">
        <v>5361</v>
      </c>
      <c r="C17269" s="12"/>
    </row>
    <row r="17270" spans="1:4" ht="12.75" customHeight="1" x14ac:dyDescent="0.2">
      <c r="A17270" s="11"/>
      <c r="B17270" s="2"/>
      <c r="C17270" s="15"/>
      <c r="D17270" s="2"/>
    </row>
    <row r="17271" spans="1:4" ht="12.75" customHeight="1" x14ac:dyDescent="0.2">
      <c r="B17271" s="11" t="s">
        <v>0</v>
      </c>
      <c r="C17271" s="11" t="s">
        <v>978</v>
      </c>
    </row>
    <row r="17272" spans="1:4" ht="12.75" customHeight="1" x14ac:dyDescent="0.2">
      <c r="B17272" s="11" t="s">
        <v>2599</v>
      </c>
      <c r="C17272" s="11" t="s">
        <v>2749</v>
      </c>
    </row>
    <row r="17273" spans="1:4" ht="25.5" customHeight="1" x14ac:dyDescent="0.2">
      <c r="B17273" s="11" t="s">
        <v>2600</v>
      </c>
      <c r="C17273" s="11" t="s">
        <v>5362</v>
      </c>
    </row>
    <row r="17274" spans="1:4" ht="25.5" customHeight="1" x14ac:dyDescent="0.2">
      <c r="B17274" s="11" t="s">
        <v>2601</v>
      </c>
      <c r="C17274" s="11"/>
    </row>
    <row r="17275" spans="1:4" ht="12.75" customHeight="1" x14ac:dyDescent="0.2">
      <c r="B17275" s="11" t="s">
        <v>16</v>
      </c>
      <c r="C17275" s="11"/>
    </row>
    <row r="17276" spans="1:4" ht="12.75" customHeight="1" x14ac:dyDescent="0.2">
      <c r="B17276" s="11" t="s">
        <v>13</v>
      </c>
      <c r="C17276" s="11" t="s">
        <v>2602</v>
      </c>
    </row>
    <row r="17277" spans="1:4" ht="12.75" customHeight="1" x14ac:dyDescent="0.2">
      <c r="B17277" s="11" t="s">
        <v>2603</v>
      </c>
      <c r="C17277" s="11" t="s">
        <v>2604</v>
      </c>
    </row>
    <row r="17278" spans="1:4" ht="12.75" customHeight="1" x14ac:dyDescent="0.2">
      <c r="B17278" s="11" t="s">
        <v>2605</v>
      </c>
      <c r="C17278" s="11" t="s">
        <v>24</v>
      </c>
    </row>
    <row r="17279" spans="1:4" ht="12.75" customHeight="1" x14ac:dyDescent="0.2">
      <c r="B17279" s="11" t="s">
        <v>2606</v>
      </c>
      <c r="C17279" s="16" t="s">
        <v>44</v>
      </c>
      <c r="D17279" s="6" t="str">
        <f>HYPERLINK("javascript:void(0)","fiola")</f>
        <v>fiola</v>
      </c>
    </row>
    <row r="17280" spans="1:4" ht="12.75" customHeight="1" x14ac:dyDescent="0.2">
      <c r="B17280" s="2"/>
      <c r="C17280" s="15"/>
      <c r="D17280" s="2"/>
    </row>
    <row r="17281" spans="1:4" ht="12.75" customHeight="1" x14ac:dyDescent="0.2">
      <c r="B17281" s="2"/>
      <c r="C17281" s="15"/>
      <c r="D17281" s="2"/>
    </row>
    <row r="17282" spans="1:4" ht="12.75" customHeight="1" x14ac:dyDescent="0.2">
      <c r="A17282" s="13" t="s">
        <v>5363</v>
      </c>
      <c r="C17282" s="12"/>
    </row>
    <row r="17283" spans="1:4" ht="12.75" customHeight="1" x14ac:dyDescent="0.2">
      <c r="A17283" s="11"/>
      <c r="B17283" s="2"/>
      <c r="C17283" s="15"/>
      <c r="D17283" s="2"/>
    </row>
    <row r="17284" spans="1:4" ht="12.75" customHeight="1" x14ac:dyDescent="0.2">
      <c r="B17284" s="11" t="s">
        <v>0</v>
      </c>
      <c r="C17284" s="11" t="s">
        <v>978</v>
      </c>
    </row>
    <row r="17285" spans="1:4" ht="12.75" customHeight="1" x14ac:dyDescent="0.2">
      <c r="B17285" s="11" t="s">
        <v>2599</v>
      </c>
      <c r="C17285" s="11" t="s">
        <v>5364</v>
      </c>
    </row>
    <row r="17286" spans="1:4" ht="25.5" customHeight="1" x14ac:dyDescent="0.2">
      <c r="B17286" s="11" t="s">
        <v>2600</v>
      </c>
      <c r="C17286" s="11" t="s">
        <v>5365</v>
      </c>
    </row>
    <row r="17287" spans="1:4" ht="25.5" customHeight="1" x14ac:dyDescent="0.2">
      <c r="B17287" s="11" t="s">
        <v>2601</v>
      </c>
      <c r="C17287" s="11"/>
    </row>
    <row r="17288" spans="1:4" ht="12.75" customHeight="1" x14ac:dyDescent="0.2">
      <c r="B17288" s="11" t="s">
        <v>16</v>
      </c>
      <c r="C17288" s="11"/>
    </row>
    <row r="17289" spans="1:4" ht="12.75" customHeight="1" x14ac:dyDescent="0.2">
      <c r="B17289" s="11" t="s">
        <v>13</v>
      </c>
      <c r="C17289" s="11" t="s">
        <v>2644</v>
      </c>
    </row>
    <row r="17290" spans="1:4" ht="12.75" customHeight="1" x14ac:dyDescent="0.2">
      <c r="B17290" s="11" t="s">
        <v>2603</v>
      </c>
      <c r="C17290" s="11" t="s">
        <v>2604</v>
      </c>
    </row>
    <row r="17291" spans="1:4" ht="12.75" customHeight="1" x14ac:dyDescent="0.2">
      <c r="B17291" s="11" t="s">
        <v>2605</v>
      </c>
      <c r="C17291" s="11" t="s">
        <v>14</v>
      </c>
    </row>
    <row r="17292" spans="1:4" ht="12.75" customHeight="1" x14ac:dyDescent="0.2">
      <c r="B17292" s="11" t="s">
        <v>2606</v>
      </c>
      <c r="C17292" s="16" t="s">
        <v>951</v>
      </c>
      <c r="D17292" s="6" t="str">
        <f>HYPERLINK("javascript:void(0)","ezüst")</f>
        <v>ezüst</v>
      </c>
    </row>
    <row r="17293" spans="1:4" ht="12.75" customHeight="1" x14ac:dyDescent="0.2">
      <c r="C17293" s="16" t="s">
        <v>98</v>
      </c>
      <c r="D17293" s="6" t="str">
        <f>HYPERLINK("javascript:void(0)","kincs")</f>
        <v>kincs</v>
      </c>
    </row>
    <row r="17294" spans="1:4" ht="12.75" customHeight="1" x14ac:dyDescent="0.2">
      <c r="B17294" s="2"/>
      <c r="C17294" s="15"/>
      <c r="D17294" s="2"/>
    </row>
    <row r="17295" spans="1:4" ht="12.75" customHeight="1" x14ac:dyDescent="0.2">
      <c r="B17295" s="2"/>
      <c r="C17295" s="15"/>
      <c r="D17295" s="2"/>
    </row>
    <row r="17296" spans="1:4" ht="12.75" customHeight="1" x14ac:dyDescent="0.2">
      <c r="A17296" s="13" t="s">
        <v>5366</v>
      </c>
      <c r="C17296" s="12"/>
    </row>
    <row r="17297" spans="1:4" ht="12.75" customHeight="1" x14ac:dyDescent="0.2">
      <c r="A17297" s="11"/>
      <c r="B17297" s="2"/>
      <c r="C17297" s="15"/>
      <c r="D17297" s="2"/>
    </row>
    <row r="17298" spans="1:4" ht="12.75" customHeight="1" x14ac:dyDescent="0.2">
      <c r="B17298" s="11" t="s">
        <v>0</v>
      </c>
      <c r="C17298" s="11" t="s">
        <v>978</v>
      </c>
    </row>
    <row r="17299" spans="1:4" ht="12.75" customHeight="1" x14ac:dyDescent="0.2">
      <c r="B17299" s="11" t="s">
        <v>2599</v>
      </c>
      <c r="C17299" s="11" t="s">
        <v>5342</v>
      </c>
    </row>
    <row r="17300" spans="1:4" ht="25.5" customHeight="1" x14ac:dyDescent="0.2">
      <c r="B17300" s="11" t="s">
        <v>2600</v>
      </c>
      <c r="C17300" s="11" t="s">
        <v>5367</v>
      </c>
    </row>
    <row r="17301" spans="1:4" ht="25.5" customHeight="1" x14ac:dyDescent="0.2">
      <c r="B17301" s="11" t="s">
        <v>2601</v>
      </c>
      <c r="C17301" s="11"/>
    </row>
    <row r="17302" spans="1:4" ht="12.75" customHeight="1" x14ac:dyDescent="0.2">
      <c r="B17302" s="11" t="s">
        <v>16</v>
      </c>
      <c r="C17302" s="11"/>
    </row>
    <row r="17303" spans="1:4" ht="12.75" customHeight="1" x14ac:dyDescent="0.2">
      <c r="B17303" s="11" t="s">
        <v>13</v>
      </c>
      <c r="C17303" s="11" t="s">
        <v>2602</v>
      </c>
    </row>
    <row r="17304" spans="1:4" ht="12.75" customHeight="1" x14ac:dyDescent="0.2">
      <c r="B17304" s="11" t="s">
        <v>2603</v>
      </c>
      <c r="C17304" s="11" t="s">
        <v>2604</v>
      </c>
    </row>
    <row r="17305" spans="1:4" ht="12.75" customHeight="1" x14ac:dyDescent="0.2">
      <c r="B17305" s="11" t="s">
        <v>2605</v>
      </c>
      <c r="C17305" s="11" t="s">
        <v>14</v>
      </c>
    </row>
    <row r="17306" spans="1:4" ht="12.75" customHeight="1" x14ac:dyDescent="0.2">
      <c r="B17306" s="11" t="s">
        <v>2606</v>
      </c>
      <c r="C17306" s="16" t="s">
        <v>98</v>
      </c>
      <c r="D17306" s="6" t="str">
        <f>HYPERLINK("javascript:void(0)","kincs")</f>
        <v>kincs</v>
      </c>
    </row>
    <row r="17307" spans="1:4" ht="12.75" customHeight="1" x14ac:dyDescent="0.2">
      <c r="B17307" s="2"/>
      <c r="C17307" s="15"/>
      <c r="D17307" s="2"/>
    </row>
    <row r="17308" spans="1:4" ht="12.75" customHeight="1" x14ac:dyDescent="0.2">
      <c r="B17308" s="2"/>
      <c r="C17308" s="15"/>
      <c r="D17308" s="2"/>
    </row>
    <row r="17309" spans="1:4" ht="12.75" customHeight="1" x14ac:dyDescent="0.2">
      <c r="A17309" s="13" t="s">
        <v>5368</v>
      </c>
      <c r="C17309" s="12"/>
    </row>
    <row r="17310" spans="1:4" ht="12.75" customHeight="1" x14ac:dyDescent="0.2">
      <c r="A17310" s="11"/>
      <c r="B17310" s="2"/>
      <c r="C17310" s="15"/>
      <c r="D17310" s="2"/>
    </row>
    <row r="17311" spans="1:4" ht="12.75" customHeight="1" x14ac:dyDescent="0.2">
      <c r="B17311" s="11" t="s">
        <v>0</v>
      </c>
      <c r="C17311" s="11" t="s">
        <v>978</v>
      </c>
    </row>
    <row r="17312" spans="1:4" ht="12.75" customHeight="1" x14ac:dyDescent="0.2">
      <c r="B17312" s="11" t="s">
        <v>2599</v>
      </c>
      <c r="C17312" s="11" t="s">
        <v>5092</v>
      </c>
    </row>
    <row r="17313" spans="1:4" ht="25.5" customHeight="1" x14ac:dyDescent="0.2">
      <c r="B17313" s="11" t="s">
        <v>2600</v>
      </c>
      <c r="C17313" s="11" t="s">
        <v>5369</v>
      </c>
    </row>
    <row r="17314" spans="1:4" ht="25.5" customHeight="1" x14ac:dyDescent="0.2">
      <c r="B17314" s="11" t="s">
        <v>2601</v>
      </c>
      <c r="C17314" s="11"/>
    </row>
    <row r="17315" spans="1:4" ht="12.75" customHeight="1" x14ac:dyDescent="0.2">
      <c r="B17315" s="11" t="s">
        <v>16</v>
      </c>
      <c r="C17315" s="11"/>
    </row>
    <row r="17316" spans="1:4" ht="12.75" customHeight="1" x14ac:dyDescent="0.2">
      <c r="B17316" s="11" t="s">
        <v>13</v>
      </c>
      <c r="C17316" s="11" t="s">
        <v>2602</v>
      </c>
    </row>
    <row r="17317" spans="1:4" ht="12.75" customHeight="1" x14ac:dyDescent="0.2">
      <c r="B17317" s="11" t="s">
        <v>2603</v>
      </c>
      <c r="C17317" s="11" t="s">
        <v>2604</v>
      </c>
    </row>
    <row r="17318" spans="1:4" ht="12.75" customHeight="1" x14ac:dyDescent="0.2">
      <c r="B17318" s="11" t="s">
        <v>2605</v>
      </c>
      <c r="C17318" s="11" t="s">
        <v>14</v>
      </c>
    </row>
    <row r="17319" spans="1:4" ht="12.75" customHeight="1" x14ac:dyDescent="0.2">
      <c r="B17319" s="11" t="s">
        <v>2606</v>
      </c>
      <c r="C17319" s="16" t="s">
        <v>98</v>
      </c>
      <c r="D17319" s="6" t="str">
        <f>HYPERLINK("javascript:void(0)","kincs")</f>
        <v>kincs</v>
      </c>
    </row>
    <row r="17320" spans="1:4" ht="12.75" customHeight="1" x14ac:dyDescent="0.2">
      <c r="B17320" s="2"/>
      <c r="C17320" s="15"/>
      <c r="D17320" s="2"/>
    </row>
    <row r="17321" spans="1:4" ht="12.75" customHeight="1" x14ac:dyDescent="0.2">
      <c r="B17321" s="2"/>
      <c r="C17321" s="15"/>
      <c r="D17321" s="2"/>
    </row>
    <row r="17322" spans="1:4" ht="12.75" customHeight="1" x14ac:dyDescent="0.2">
      <c r="A17322" s="13" t="s">
        <v>5372</v>
      </c>
      <c r="C17322" s="12"/>
    </row>
    <row r="17323" spans="1:4" ht="12.75" customHeight="1" x14ac:dyDescent="0.2">
      <c r="A17323" s="11"/>
      <c r="B17323" s="2"/>
      <c r="C17323" s="15"/>
      <c r="D17323" s="2"/>
    </row>
    <row r="17324" spans="1:4" ht="12.75" customHeight="1" x14ac:dyDescent="0.2">
      <c r="B17324" s="11" t="s">
        <v>0</v>
      </c>
      <c r="C17324" s="11" t="s">
        <v>978</v>
      </c>
    </row>
    <row r="17325" spans="1:4" ht="12.75" customHeight="1" x14ac:dyDescent="0.2">
      <c r="B17325" s="11" t="s">
        <v>2599</v>
      </c>
      <c r="C17325" s="11" t="s">
        <v>5373</v>
      </c>
    </row>
    <row r="17326" spans="1:4" ht="25.5" customHeight="1" x14ac:dyDescent="0.2">
      <c r="B17326" s="11" t="s">
        <v>2600</v>
      </c>
      <c r="C17326" s="11" t="s">
        <v>5374</v>
      </c>
    </row>
    <row r="17327" spans="1:4" ht="25.5" customHeight="1" x14ac:dyDescent="0.2">
      <c r="B17327" s="11" t="s">
        <v>2601</v>
      </c>
      <c r="C17327" s="11"/>
    </row>
    <row r="17328" spans="1:4" ht="12.75" customHeight="1" x14ac:dyDescent="0.2">
      <c r="B17328" s="11" t="s">
        <v>16</v>
      </c>
      <c r="C17328" s="11"/>
    </row>
    <row r="17329" spans="1:4" ht="12.75" customHeight="1" x14ac:dyDescent="0.2">
      <c r="B17329" s="11" t="s">
        <v>13</v>
      </c>
      <c r="C17329" s="11" t="s">
        <v>2602</v>
      </c>
    </row>
    <row r="17330" spans="1:4" ht="12.75" customHeight="1" x14ac:dyDescent="0.2">
      <c r="B17330" s="11" t="s">
        <v>2603</v>
      </c>
      <c r="C17330" s="11" t="s">
        <v>2604</v>
      </c>
    </row>
    <row r="17331" spans="1:4" ht="12.75" customHeight="1" x14ac:dyDescent="0.2">
      <c r="B17331" s="11" t="s">
        <v>2605</v>
      </c>
      <c r="C17331" s="11" t="s">
        <v>24</v>
      </c>
    </row>
    <row r="17332" spans="1:4" ht="12.75" customHeight="1" x14ac:dyDescent="0.2">
      <c r="B17332" s="11" t="s">
        <v>2606</v>
      </c>
      <c r="C17332" s="16" t="s">
        <v>44</v>
      </c>
      <c r="D17332" s="6" t="str">
        <f>HYPERLINK("javascript:void(0)","kalaptű")</f>
        <v>kalaptű</v>
      </c>
    </row>
    <row r="17333" spans="1:4" ht="12.75" customHeight="1" x14ac:dyDescent="0.2">
      <c r="C17333" s="16" t="s">
        <v>67</v>
      </c>
      <c r="D17333" s="6" t="str">
        <f>HYPERLINK("javascript:void(0)","kincs")</f>
        <v>kincs</v>
      </c>
    </row>
    <row r="17334" spans="1:4" ht="12.75" customHeight="1" x14ac:dyDescent="0.2">
      <c r="B17334" s="2"/>
      <c r="C17334" s="15"/>
      <c r="D17334" s="2"/>
    </row>
    <row r="17335" spans="1:4" ht="12.75" customHeight="1" x14ac:dyDescent="0.2">
      <c r="B17335" s="2"/>
      <c r="C17335" s="15"/>
      <c r="D17335" s="2"/>
    </row>
    <row r="17336" spans="1:4" ht="12.75" customHeight="1" x14ac:dyDescent="0.2">
      <c r="A17336" s="13" t="s">
        <v>5375</v>
      </c>
      <c r="C17336" s="12"/>
    </row>
    <row r="17337" spans="1:4" ht="12.75" customHeight="1" x14ac:dyDescent="0.2">
      <c r="A17337" s="11"/>
      <c r="B17337" s="2"/>
      <c r="C17337" s="15"/>
      <c r="D17337" s="2"/>
    </row>
    <row r="17338" spans="1:4" ht="12.75" customHeight="1" x14ac:dyDescent="0.2">
      <c r="B17338" s="11" t="s">
        <v>0</v>
      </c>
      <c r="C17338" s="11" t="s">
        <v>978</v>
      </c>
    </row>
    <row r="17339" spans="1:4" ht="12.75" customHeight="1" x14ac:dyDescent="0.2">
      <c r="B17339" s="11" t="s">
        <v>2599</v>
      </c>
      <c r="C17339" s="11" t="s">
        <v>5376</v>
      </c>
    </row>
    <row r="17340" spans="1:4" ht="25.5" customHeight="1" x14ac:dyDescent="0.2">
      <c r="B17340" s="11" t="s">
        <v>2600</v>
      </c>
      <c r="C17340" s="11" t="s">
        <v>5377</v>
      </c>
    </row>
    <row r="17341" spans="1:4" ht="25.5" customHeight="1" x14ac:dyDescent="0.2">
      <c r="B17341" s="11" t="s">
        <v>2601</v>
      </c>
      <c r="C17341" s="11"/>
    </row>
    <row r="17342" spans="1:4" ht="12.75" customHeight="1" x14ac:dyDescent="0.2">
      <c r="B17342" s="11" t="s">
        <v>16</v>
      </c>
      <c r="C17342" s="11"/>
    </row>
    <row r="17343" spans="1:4" ht="12.75" customHeight="1" x14ac:dyDescent="0.2">
      <c r="B17343" s="11" t="s">
        <v>13</v>
      </c>
      <c r="C17343" s="11" t="s">
        <v>2644</v>
      </c>
    </row>
    <row r="17344" spans="1:4" ht="12.75" customHeight="1" x14ac:dyDescent="0.2">
      <c r="B17344" s="11" t="s">
        <v>2603</v>
      </c>
      <c r="C17344" s="11" t="s">
        <v>2604</v>
      </c>
    </row>
    <row r="17345" spans="1:4" ht="12.75" customHeight="1" x14ac:dyDescent="0.2">
      <c r="B17345" s="11" t="s">
        <v>2605</v>
      </c>
      <c r="C17345" s="11" t="s">
        <v>24</v>
      </c>
    </row>
    <row r="17346" spans="1:4" ht="25.5" customHeight="1" x14ac:dyDescent="0.2">
      <c r="B17346" s="11" t="s">
        <v>2606</v>
      </c>
      <c r="C17346" s="16" t="s">
        <v>44</v>
      </c>
      <c r="D17346" s="6" t="str">
        <f>HYPERLINK("javascript:void(0)","rozmáragyar")</f>
        <v>rozmáragyar</v>
      </c>
    </row>
    <row r="17347" spans="1:4" ht="12.75" customHeight="1" x14ac:dyDescent="0.2">
      <c r="C17347" s="16" t="s">
        <v>132</v>
      </c>
      <c r="D17347" s="6" t="str">
        <f>HYPERLINK("javascript:void(0)","kincs")</f>
        <v>kincs</v>
      </c>
    </row>
    <row r="17348" spans="1:4" ht="12.75" customHeight="1" x14ac:dyDescent="0.2">
      <c r="B17348" s="2"/>
      <c r="C17348" s="15"/>
      <c r="D17348" s="2"/>
    </row>
    <row r="17349" spans="1:4" ht="12.75" customHeight="1" x14ac:dyDescent="0.2">
      <c r="B17349" s="2"/>
      <c r="C17349" s="15"/>
      <c r="D17349" s="2"/>
    </row>
    <row r="17350" spans="1:4" ht="12.75" customHeight="1" x14ac:dyDescent="0.2">
      <c r="A17350" s="13" t="s">
        <v>5270</v>
      </c>
      <c r="C17350" s="12"/>
      <c r="D17350" s="2"/>
    </row>
    <row r="17351" spans="1:4" ht="12.75" customHeight="1" x14ac:dyDescent="0.2">
      <c r="A17351" s="11"/>
      <c r="B17351" s="2"/>
      <c r="C17351" s="15"/>
      <c r="D17351" s="2"/>
    </row>
    <row r="17352" spans="1:4" ht="12.75" customHeight="1" x14ac:dyDescent="0.2">
      <c r="B17352" s="11" t="s">
        <v>0</v>
      </c>
      <c r="C17352" s="17" t="s">
        <v>978</v>
      </c>
      <c r="D17352" s="2"/>
    </row>
    <row r="17353" spans="1:4" ht="12.75" customHeight="1" x14ac:dyDescent="0.2">
      <c r="B17353" s="11" t="s">
        <v>2599</v>
      </c>
      <c r="C17353" s="17" t="s">
        <v>5135</v>
      </c>
      <c r="D17353" s="2"/>
    </row>
    <row r="17354" spans="1:4" ht="25.5" customHeight="1" x14ac:dyDescent="0.2">
      <c r="B17354" s="11" t="s">
        <v>2600</v>
      </c>
      <c r="C17354" s="17" t="s">
        <v>5378</v>
      </c>
      <c r="D17354" s="2"/>
    </row>
    <row r="17355" spans="1:4" ht="25.5" customHeight="1" x14ac:dyDescent="0.2">
      <c r="B17355" s="11" t="s">
        <v>2601</v>
      </c>
      <c r="C17355" s="17"/>
      <c r="D17355" s="2"/>
    </row>
    <row r="17356" spans="1:4" ht="12.75" customHeight="1" x14ac:dyDescent="0.2">
      <c r="B17356" s="11" t="s">
        <v>16</v>
      </c>
      <c r="C17356" s="17"/>
      <c r="D17356" s="2"/>
    </row>
    <row r="17357" spans="1:4" ht="12.75" customHeight="1" x14ac:dyDescent="0.2">
      <c r="B17357" s="11" t="s">
        <v>13</v>
      </c>
      <c r="C17357" s="17" t="s">
        <v>2602</v>
      </c>
      <c r="D17357" s="2"/>
    </row>
    <row r="17358" spans="1:4" ht="25.5" customHeight="1" x14ac:dyDescent="0.2">
      <c r="B17358" s="11" t="s">
        <v>2603</v>
      </c>
      <c r="C17358" s="17" t="s">
        <v>2971</v>
      </c>
      <c r="D17358" s="2"/>
    </row>
    <row r="17359" spans="1:4" ht="12.75" customHeight="1" x14ac:dyDescent="0.2">
      <c r="B17359" s="11" t="s">
        <v>2605</v>
      </c>
      <c r="C17359" s="17" t="s">
        <v>14</v>
      </c>
      <c r="D17359" s="2"/>
    </row>
    <row r="17360" spans="1:4" ht="12.75" customHeight="1" x14ac:dyDescent="0.2">
      <c r="B17360" s="11" t="s">
        <v>2606</v>
      </c>
      <c r="C17360" s="16" t="s">
        <v>19</v>
      </c>
      <c r="D17360" s="2"/>
    </row>
    <row r="17361" spans="1:4" ht="12.75" customHeight="1" x14ac:dyDescent="0.2">
      <c r="B17361" s="2"/>
      <c r="C17361" s="15"/>
      <c r="D17361" s="2"/>
    </row>
    <row r="17362" spans="1:4" ht="12.75" customHeight="1" x14ac:dyDescent="0.2">
      <c r="B17362" s="2"/>
      <c r="C17362" s="15"/>
      <c r="D17362" s="2"/>
    </row>
    <row r="17363" spans="1:4" ht="12.75" customHeight="1" x14ac:dyDescent="0.2">
      <c r="A17363" s="13" t="s">
        <v>5379</v>
      </c>
      <c r="C17363" s="12"/>
      <c r="D17363" s="2"/>
    </row>
    <row r="17364" spans="1:4" ht="12.75" customHeight="1" x14ac:dyDescent="0.2">
      <c r="A17364" s="11"/>
      <c r="B17364" s="2"/>
      <c r="C17364" s="15"/>
      <c r="D17364" s="2"/>
    </row>
    <row r="17365" spans="1:4" ht="12.75" customHeight="1" x14ac:dyDescent="0.2">
      <c r="B17365" s="11" t="s">
        <v>0</v>
      </c>
      <c r="C17365" s="17" t="s">
        <v>87</v>
      </c>
      <c r="D17365" s="2"/>
    </row>
    <row r="17366" spans="1:4" ht="12.75" customHeight="1" x14ac:dyDescent="0.2">
      <c r="B17366" s="11" t="s">
        <v>2599</v>
      </c>
      <c r="C17366" s="17" t="s">
        <v>5103</v>
      </c>
      <c r="D17366" s="2"/>
    </row>
    <row r="17367" spans="1:4" ht="25.5" customHeight="1" x14ac:dyDescent="0.2">
      <c r="B17367" s="11" t="s">
        <v>2600</v>
      </c>
      <c r="C17367" s="17" t="s">
        <v>5380</v>
      </c>
      <c r="D17367" s="2"/>
    </row>
    <row r="17368" spans="1:4" ht="25.5" customHeight="1" x14ac:dyDescent="0.2">
      <c r="B17368" s="11" t="s">
        <v>2601</v>
      </c>
      <c r="C17368" s="17"/>
      <c r="D17368" s="2"/>
    </row>
    <row r="17369" spans="1:4" ht="12.75" customHeight="1" x14ac:dyDescent="0.2">
      <c r="B17369" s="11" t="s">
        <v>16</v>
      </c>
      <c r="C17369" s="17"/>
      <c r="D17369" s="2"/>
    </row>
    <row r="17370" spans="1:4" ht="12.75" customHeight="1" x14ac:dyDescent="0.2">
      <c r="B17370" s="11" t="s">
        <v>13</v>
      </c>
      <c r="C17370" s="17" t="s">
        <v>2644</v>
      </c>
      <c r="D17370" s="2"/>
    </row>
    <row r="17371" spans="1:4" ht="25.5" customHeight="1" x14ac:dyDescent="0.2">
      <c r="B17371" s="11" t="s">
        <v>2603</v>
      </c>
      <c r="C17371" s="17" t="s">
        <v>2971</v>
      </c>
      <c r="D17371" s="2"/>
    </row>
    <row r="17372" spans="1:4" ht="12.75" customHeight="1" x14ac:dyDescent="0.2">
      <c r="B17372" s="11" t="s">
        <v>2605</v>
      </c>
      <c r="C17372" s="17" t="s">
        <v>14</v>
      </c>
      <c r="D17372" s="2"/>
    </row>
    <row r="17373" spans="1:4" ht="12.75" customHeight="1" x14ac:dyDescent="0.2">
      <c r="B17373" s="11" t="s">
        <v>2606</v>
      </c>
      <c r="C17373" s="16" t="s">
        <v>19</v>
      </c>
      <c r="D17373" s="2"/>
    </row>
    <row r="17374" spans="1:4" ht="12.75" customHeight="1" x14ac:dyDescent="0.2">
      <c r="B17374" s="2"/>
      <c r="C17374" s="15"/>
      <c r="D17374" s="2"/>
    </row>
    <row r="17375" spans="1:4" ht="12.75" customHeight="1" x14ac:dyDescent="0.2">
      <c r="B17375" s="2"/>
      <c r="C17375" s="15"/>
      <c r="D17375" s="2"/>
    </row>
    <row r="17376" spans="1:4" ht="12.75" customHeight="1" x14ac:dyDescent="0.2">
      <c r="A17376" s="13" t="s">
        <v>5381</v>
      </c>
      <c r="C17376" s="12"/>
      <c r="D17376" s="2"/>
    </row>
    <row r="17377" spans="1:4" ht="12.75" customHeight="1" x14ac:dyDescent="0.2">
      <c r="A17377" s="11"/>
      <c r="B17377" s="2"/>
      <c r="C17377" s="15"/>
      <c r="D17377" s="2"/>
    </row>
    <row r="17378" spans="1:4" ht="12.75" customHeight="1" x14ac:dyDescent="0.2">
      <c r="B17378" s="11" t="s">
        <v>0</v>
      </c>
      <c r="C17378" s="17" t="s">
        <v>87</v>
      </c>
      <c r="D17378" s="2"/>
    </row>
    <row r="17379" spans="1:4" ht="12.75" customHeight="1" x14ac:dyDescent="0.2">
      <c r="B17379" s="11" t="s">
        <v>2599</v>
      </c>
      <c r="C17379" s="17" t="s">
        <v>5106</v>
      </c>
      <c r="D17379" s="2"/>
    </row>
    <row r="17380" spans="1:4" ht="25.5" customHeight="1" x14ac:dyDescent="0.2">
      <c r="B17380" s="11" t="s">
        <v>2600</v>
      </c>
      <c r="C17380" s="17" t="s">
        <v>5382</v>
      </c>
      <c r="D17380" s="2"/>
    </row>
    <row r="17381" spans="1:4" ht="25.5" customHeight="1" x14ac:dyDescent="0.2">
      <c r="B17381" s="11" t="s">
        <v>2601</v>
      </c>
      <c r="C17381" s="17"/>
      <c r="D17381" s="2"/>
    </row>
    <row r="17382" spans="1:4" ht="12.75" customHeight="1" x14ac:dyDescent="0.2">
      <c r="B17382" s="11" t="s">
        <v>16</v>
      </c>
      <c r="C17382" s="17"/>
      <c r="D17382" s="2"/>
    </row>
    <row r="17383" spans="1:4" ht="12.75" customHeight="1" x14ac:dyDescent="0.2">
      <c r="B17383" s="11" t="s">
        <v>13</v>
      </c>
      <c r="C17383" s="17" t="s">
        <v>2602</v>
      </c>
      <c r="D17383" s="2"/>
    </row>
    <row r="17384" spans="1:4" ht="25.5" customHeight="1" x14ac:dyDescent="0.2">
      <c r="B17384" s="11" t="s">
        <v>2603</v>
      </c>
      <c r="C17384" s="17" t="s">
        <v>2971</v>
      </c>
      <c r="D17384" s="2"/>
    </row>
    <row r="17385" spans="1:4" ht="12.75" customHeight="1" x14ac:dyDescent="0.2">
      <c r="B17385" s="11" t="s">
        <v>2605</v>
      </c>
      <c r="C17385" s="17" t="s">
        <v>14</v>
      </c>
      <c r="D17385" s="2"/>
    </row>
    <row r="17386" spans="1:4" ht="12.75" customHeight="1" x14ac:dyDescent="0.2">
      <c r="B17386" s="11" t="s">
        <v>2606</v>
      </c>
      <c r="C17386" s="16" t="s">
        <v>19</v>
      </c>
      <c r="D17386" s="2"/>
    </row>
    <row r="17387" spans="1:4" ht="12.75" customHeight="1" x14ac:dyDescent="0.2">
      <c r="B17387" s="2"/>
      <c r="C17387" s="15"/>
      <c r="D17387" s="2"/>
    </row>
    <row r="17388" spans="1:4" ht="12.75" customHeight="1" x14ac:dyDescent="0.2">
      <c r="B17388" s="2"/>
      <c r="C17388" s="15"/>
      <c r="D17388" s="2"/>
    </row>
    <row r="17389" spans="1:4" ht="12.75" customHeight="1" x14ac:dyDescent="0.2">
      <c r="A17389" s="13" t="s">
        <v>5383</v>
      </c>
      <c r="C17389" s="12"/>
      <c r="D17389" s="2"/>
    </row>
    <row r="17390" spans="1:4" ht="12.75" customHeight="1" x14ac:dyDescent="0.2">
      <c r="A17390" s="11"/>
      <c r="B17390" s="2"/>
      <c r="C17390" s="15"/>
      <c r="D17390" s="2"/>
    </row>
    <row r="17391" spans="1:4" ht="12.75" customHeight="1" x14ac:dyDescent="0.2">
      <c r="B17391" s="11" t="s">
        <v>0</v>
      </c>
      <c r="C17391" s="17" t="s">
        <v>87</v>
      </c>
      <c r="D17391" s="2"/>
    </row>
    <row r="17392" spans="1:4" ht="12.75" customHeight="1" x14ac:dyDescent="0.2">
      <c r="B17392" s="11" t="s">
        <v>2599</v>
      </c>
      <c r="C17392" s="17" t="s">
        <v>5109</v>
      </c>
      <c r="D17392" s="2"/>
    </row>
    <row r="17393" spans="1:4" ht="25.5" customHeight="1" x14ac:dyDescent="0.2">
      <c r="B17393" s="11" t="s">
        <v>2600</v>
      </c>
      <c r="C17393" s="17" t="s">
        <v>5384</v>
      </c>
      <c r="D17393" s="2"/>
    </row>
    <row r="17394" spans="1:4" ht="25.5" customHeight="1" x14ac:dyDescent="0.2">
      <c r="B17394" s="11" t="s">
        <v>2601</v>
      </c>
      <c r="C17394" s="17"/>
      <c r="D17394" s="2"/>
    </row>
    <row r="17395" spans="1:4" ht="12.75" customHeight="1" x14ac:dyDescent="0.2">
      <c r="B17395" s="11" t="s">
        <v>16</v>
      </c>
      <c r="C17395" s="17"/>
      <c r="D17395" s="2"/>
    </row>
    <row r="17396" spans="1:4" ht="12.75" customHeight="1" x14ac:dyDescent="0.2">
      <c r="B17396" s="11" t="s">
        <v>13</v>
      </c>
      <c r="C17396" s="17" t="s">
        <v>2644</v>
      </c>
      <c r="D17396" s="2"/>
    </row>
    <row r="17397" spans="1:4" ht="25.5" customHeight="1" x14ac:dyDescent="0.2">
      <c r="B17397" s="11" t="s">
        <v>2603</v>
      </c>
      <c r="C17397" s="17" t="s">
        <v>2971</v>
      </c>
      <c r="D17397" s="2"/>
    </row>
    <row r="17398" spans="1:4" ht="12.75" customHeight="1" x14ac:dyDescent="0.2">
      <c r="B17398" s="11" t="s">
        <v>2605</v>
      </c>
      <c r="C17398" s="17" t="s">
        <v>14</v>
      </c>
      <c r="D17398" s="2"/>
    </row>
    <row r="17399" spans="1:4" ht="12.75" customHeight="1" x14ac:dyDescent="0.2">
      <c r="B17399" s="11" t="s">
        <v>2606</v>
      </c>
      <c r="C17399" s="16" t="s">
        <v>19</v>
      </c>
      <c r="D17399" s="2"/>
    </row>
    <row r="17400" spans="1:4" ht="12.75" customHeight="1" x14ac:dyDescent="0.2">
      <c r="B17400" s="2"/>
      <c r="C17400" s="15"/>
      <c r="D17400" s="2"/>
    </row>
    <row r="17401" spans="1:4" ht="12.75" customHeight="1" x14ac:dyDescent="0.2">
      <c r="B17401" s="2"/>
      <c r="C17401" s="15"/>
      <c r="D17401" s="2"/>
    </row>
    <row r="17402" spans="1:4" ht="12.75" customHeight="1" x14ac:dyDescent="0.2">
      <c r="A17402" s="13" t="s">
        <v>5385</v>
      </c>
      <c r="C17402" s="12"/>
    </row>
    <row r="17403" spans="1:4" ht="12.75" customHeight="1" x14ac:dyDescent="0.2">
      <c r="A17403" s="11"/>
      <c r="B17403" s="2"/>
      <c r="C17403" s="15"/>
      <c r="D17403" s="2"/>
    </row>
    <row r="17404" spans="1:4" ht="12.75" customHeight="1" x14ac:dyDescent="0.2">
      <c r="B17404" s="11" t="s">
        <v>0</v>
      </c>
      <c r="C17404" s="11" t="s">
        <v>87</v>
      </c>
    </row>
    <row r="17405" spans="1:4" ht="12.75" customHeight="1" x14ac:dyDescent="0.2">
      <c r="B17405" s="11" t="s">
        <v>2599</v>
      </c>
      <c r="C17405" s="11" t="s">
        <v>5386</v>
      </c>
    </row>
    <row r="17406" spans="1:4" ht="25.5" customHeight="1" x14ac:dyDescent="0.2">
      <c r="B17406" s="11" t="s">
        <v>2600</v>
      </c>
      <c r="C17406" s="11" t="s">
        <v>5387</v>
      </c>
    </row>
    <row r="17407" spans="1:4" ht="25.5" customHeight="1" x14ac:dyDescent="0.2">
      <c r="B17407" s="11" t="s">
        <v>2601</v>
      </c>
      <c r="C17407" s="11"/>
    </row>
    <row r="17408" spans="1:4" ht="12.75" customHeight="1" x14ac:dyDescent="0.2">
      <c r="B17408" s="11" t="s">
        <v>16</v>
      </c>
      <c r="C17408" s="11"/>
    </row>
    <row r="17409" spans="1:4" ht="12.75" customHeight="1" x14ac:dyDescent="0.2">
      <c r="B17409" s="11" t="s">
        <v>13</v>
      </c>
      <c r="C17409" s="11" t="s">
        <v>2644</v>
      </c>
    </row>
    <row r="17410" spans="1:4" ht="12.75" customHeight="1" x14ac:dyDescent="0.2">
      <c r="B17410" s="11" t="s">
        <v>2603</v>
      </c>
      <c r="C17410" s="11" t="s">
        <v>2604</v>
      </c>
    </row>
    <row r="17411" spans="1:4" ht="12.75" customHeight="1" x14ac:dyDescent="0.2">
      <c r="B17411" s="11" t="s">
        <v>2605</v>
      </c>
      <c r="C17411" s="11" t="s">
        <v>24</v>
      </c>
    </row>
    <row r="17412" spans="1:4" ht="12.75" customHeight="1" x14ac:dyDescent="0.2">
      <c r="B17412" s="11" t="s">
        <v>2606</v>
      </c>
      <c r="C17412" s="16" t="s">
        <v>398</v>
      </c>
      <c r="D17412" s="6" t="str">
        <f>HYPERLINK("javascript:void(0)","kincs")</f>
        <v>kincs</v>
      </c>
    </row>
    <row r="17413" spans="1:4" ht="12.75" customHeight="1" x14ac:dyDescent="0.2">
      <c r="B17413" s="2"/>
      <c r="C17413" s="15"/>
      <c r="D17413" s="2"/>
    </row>
    <row r="17414" spans="1:4" ht="12.75" customHeight="1" x14ac:dyDescent="0.2">
      <c r="B17414" s="2"/>
      <c r="C17414" s="15"/>
      <c r="D17414" s="2"/>
    </row>
    <row r="17415" spans="1:4" ht="12.75" customHeight="1" x14ac:dyDescent="0.2">
      <c r="A17415" s="13" t="s">
        <v>5388</v>
      </c>
      <c r="C17415" s="12"/>
    </row>
    <row r="17416" spans="1:4" ht="12.75" customHeight="1" x14ac:dyDescent="0.2">
      <c r="A17416" s="11"/>
      <c r="B17416" s="2"/>
      <c r="C17416" s="15"/>
      <c r="D17416" s="2"/>
    </row>
    <row r="17417" spans="1:4" ht="12.75" customHeight="1" x14ac:dyDescent="0.2">
      <c r="B17417" s="11" t="s">
        <v>0</v>
      </c>
      <c r="C17417" s="11" t="s">
        <v>87</v>
      </c>
    </row>
    <row r="17418" spans="1:4" ht="12.75" customHeight="1" x14ac:dyDescent="0.2">
      <c r="B17418" s="11" t="s">
        <v>2599</v>
      </c>
      <c r="C17418" s="11" t="s">
        <v>5389</v>
      </c>
    </row>
    <row r="17419" spans="1:4" ht="25.5" customHeight="1" x14ac:dyDescent="0.2">
      <c r="B17419" s="11" t="s">
        <v>2600</v>
      </c>
      <c r="C17419" s="11" t="s">
        <v>5390</v>
      </c>
    </row>
    <row r="17420" spans="1:4" ht="25.5" customHeight="1" x14ac:dyDescent="0.2">
      <c r="B17420" s="11" t="s">
        <v>2601</v>
      </c>
      <c r="C17420" s="11"/>
    </row>
    <row r="17421" spans="1:4" ht="12.75" customHeight="1" x14ac:dyDescent="0.2">
      <c r="B17421" s="11" t="s">
        <v>16</v>
      </c>
      <c r="C17421" s="11"/>
    </row>
    <row r="17422" spans="1:4" ht="12.75" customHeight="1" x14ac:dyDescent="0.2">
      <c r="B17422" s="11" t="s">
        <v>13</v>
      </c>
      <c r="C17422" s="11" t="s">
        <v>2644</v>
      </c>
    </row>
    <row r="17423" spans="1:4" ht="12.75" customHeight="1" x14ac:dyDescent="0.2">
      <c r="B17423" s="11" t="s">
        <v>2603</v>
      </c>
      <c r="C17423" s="11" t="s">
        <v>2604</v>
      </c>
    </row>
    <row r="17424" spans="1:4" ht="12.75" customHeight="1" x14ac:dyDescent="0.2">
      <c r="B17424" s="11" t="s">
        <v>2605</v>
      </c>
      <c r="C17424" s="11" t="s">
        <v>14</v>
      </c>
    </row>
    <row r="17425" spans="1:4" ht="12.75" customHeight="1" x14ac:dyDescent="0.2">
      <c r="B17425" s="11" t="s">
        <v>2606</v>
      </c>
      <c r="C17425" s="16" t="s">
        <v>98</v>
      </c>
      <c r="D17425" s="6" t="str">
        <f>HYPERLINK("javascript:void(0)","kincs")</f>
        <v>kincs</v>
      </c>
    </row>
    <row r="17426" spans="1:4" ht="12.75" customHeight="1" x14ac:dyDescent="0.2">
      <c r="B17426" s="2"/>
      <c r="C17426" s="15"/>
      <c r="D17426" s="2"/>
    </row>
    <row r="17427" spans="1:4" ht="12.75" customHeight="1" x14ac:dyDescent="0.2">
      <c r="B17427" s="2"/>
      <c r="C17427" s="15"/>
      <c r="D17427" s="2"/>
    </row>
    <row r="17428" spans="1:4" ht="12.75" customHeight="1" x14ac:dyDescent="0.2">
      <c r="A17428" s="13" t="s">
        <v>5391</v>
      </c>
      <c r="C17428" s="12"/>
    </row>
    <row r="17429" spans="1:4" ht="12.75" customHeight="1" x14ac:dyDescent="0.2">
      <c r="A17429" s="11"/>
      <c r="B17429" s="2"/>
      <c r="C17429" s="15"/>
      <c r="D17429" s="2"/>
    </row>
    <row r="17430" spans="1:4" ht="12.75" customHeight="1" x14ac:dyDescent="0.2">
      <c r="B17430" s="11" t="s">
        <v>0</v>
      </c>
      <c r="C17430" s="11" t="s">
        <v>87</v>
      </c>
    </row>
    <row r="17431" spans="1:4" ht="12.75" customHeight="1" x14ac:dyDescent="0.2">
      <c r="B17431" s="11" t="s">
        <v>2599</v>
      </c>
      <c r="C17431" s="11" t="s">
        <v>5392</v>
      </c>
    </row>
    <row r="17432" spans="1:4" ht="25.5" customHeight="1" x14ac:dyDescent="0.2">
      <c r="B17432" s="11" t="s">
        <v>2600</v>
      </c>
      <c r="C17432" s="11" t="s">
        <v>5393</v>
      </c>
    </row>
    <row r="17433" spans="1:4" ht="25.5" customHeight="1" x14ac:dyDescent="0.2">
      <c r="B17433" s="11" t="s">
        <v>2601</v>
      </c>
      <c r="C17433" s="11"/>
    </row>
    <row r="17434" spans="1:4" ht="12.75" customHeight="1" x14ac:dyDescent="0.2">
      <c r="B17434" s="11" t="s">
        <v>16</v>
      </c>
      <c r="C17434" s="11"/>
    </row>
    <row r="17435" spans="1:4" ht="12.75" customHeight="1" x14ac:dyDescent="0.2">
      <c r="B17435" s="11" t="s">
        <v>13</v>
      </c>
      <c r="C17435" s="11" t="s">
        <v>2602</v>
      </c>
    </row>
    <row r="17436" spans="1:4" ht="12.75" customHeight="1" x14ac:dyDescent="0.2">
      <c r="B17436" s="11" t="s">
        <v>2603</v>
      </c>
      <c r="C17436" s="11" t="s">
        <v>2604</v>
      </c>
    </row>
    <row r="17437" spans="1:4" ht="12.75" customHeight="1" x14ac:dyDescent="0.2">
      <c r="B17437" s="11" t="s">
        <v>2605</v>
      </c>
      <c r="C17437" s="11" t="s">
        <v>24</v>
      </c>
    </row>
    <row r="17438" spans="1:4" ht="12.75" customHeight="1" x14ac:dyDescent="0.2">
      <c r="B17438" s="11" t="s">
        <v>2606</v>
      </c>
      <c r="C17438" s="16" t="s">
        <v>44</v>
      </c>
      <c r="D17438" s="6" t="str">
        <f>HYPERLINK("javascript:void(0)","képszél")</f>
        <v>képszél</v>
      </c>
    </row>
    <row r="17439" spans="1:4" ht="12.75" customHeight="1" x14ac:dyDescent="0.2">
      <c r="C17439" s="16" t="s">
        <v>44</v>
      </c>
      <c r="D17439" s="6" t="str">
        <f>HYPERLINK("javascript:void(0)","képcső")</f>
        <v>képcső</v>
      </c>
    </row>
    <row r="17440" spans="1:4" ht="12.75" customHeight="1" x14ac:dyDescent="0.2">
      <c r="B17440" s="2"/>
      <c r="C17440" s="15"/>
      <c r="D17440" s="2"/>
    </row>
    <row r="17441" spans="1:4" ht="12.75" customHeight="1" x14ac:dyDescent="0.2">
      <c r="B17441" s="2"/>
      <c r="C17441" s="15"/>
      <c r="D17441" s="2"/>
    </row>
    <row r="17442" spans="1:4" ht="12.75" customHeight="1" x14ac:dyDescent="0.2">
      <c r="A17442" s="13" t="s">
        <v>5394</v>
      </c>
      <c r="C17442" s="12"/>
    </row>
    <row r="17443" spans="1:4" ht="12.75" customHeight="1" x14ac:dyDescent="0.2">
      <c r="A17443" s="11"/>
      <c r="B17443" s="2"/>
      <c r="C17443" s="15"/>
      <c r="D17443" s="2"/>
    </row>
    <row r="17444" spans="1:4" ht="12.75" customHeight="1" x14ac:dyDescent="0.2">
      <c r="B17444" s="11" t="s">
        <v>0</v>
      </c>
      <c r="C17444" s="11" t="s">
        <v>87</v>
      </c>
    </row>
    <row r="17445" spans="1:4" ht="12.75" customHeight="1" x14ac:dyDescent="0.2">
      <c r="B17445" s="11" t="s">
        <v>2599</v>
      </c>
      <c r="C17445" s="11" t="s">
        <v>5395</v>
      </c>
    </row>
    <row r="17446" spans="1:4" ht="25.5" customHeight="1" x14ac:dyDescent="0.2">
      <c r="B17446" s="11" t="s">
        <v>2600</v>
      </c>
      <c r="C17446" s="11" t="s">
        <v>5396</v>
      </c>
    </row>
    <row r="17447" spans="1:4" ht="25.5" customHeight="1" x14ac:dyDescent="0.2">
      <c r="B17447" s="11" t="s">
        <v>2601</v>
      </c>
      <c r="C17447" s="11"/>
    </row>
    <row r="17448" spans="1:4" ht="12.75" customHeight="1" x14ac:dyDescent="0.2">
      <c r="B17448" s="11" t="s">
        <v>16</v>
      </c>
      <c r="C17448" s="11"/>
    </row>
    <row r="17449" spans="1:4" ht="12.75" customHeight="1" x14ac:dyDescent="0.2">
      <c r="B17449" s="11" t="s">
        <v>13</v>
      </c>
      <c r="C17449" s="11" t="s">
        <v>2644</v>
      </c>
    </row>
    <row r="17450" spans="1:4" ht="12.75" customHeight="1" x14ac:dyDescent="0.2">
      <c r="B17450" s="11" t="s">
        <v>2603</v>
      </c>
      <c r="C17450" s="11" t="s">
        <v>2604</v>
      </c>
    </row>
    <row r="17451" spans="1:4" ht="12.75" customHeight="1" x14ac:dyDescent="0.2">
      <c r="B17451" s="11" t="s">
        <v>2605</v>
      </c>
      <c r="C17451" s="11" t="s">
        <v>14</v>
      </c>
    </row>
    <row r="17452" spans="1:4" ht="12.75" customHeight="1" x14ac:dyDescent="0.2">
      <c r="B17452" s="11" t="s">
        <v>2606</v>
      </c>
      <c r="C17452" s="16" t="s">
        <v>951</v>
      </c>
      <c r="D17452" s="6" t="str">
        <f>HYPERLINK("javascript:void(0)","ezüst")</f>
        <v>ezüst</v>
      </c>
    </row>
    <row r="17453" spans="1:4" ht="12.75" customHeight="1" x14ac:dyDescent="0.2">
      <c r="C17453" s="16" t="s">
        <v>98</v>
      </c>
      <c r="D17453" s="6" t="str">
        <f>HYPERLINK("javascript:void(0)","kincs")</f>
        <v>kincs</v>
      </c>
    </row>
    <row r="17454" spans="1:4" ht="12.75" customHeight="1" x14ac:dyDescent="0.2">
      <c r="B17454" s="2"/>
      <c r="C17454" s="15"/>
      <c r="D17454" s="2"/>
    </row>
    <row r="17455" spans="1:4" ht="12.75" customHeight="1" x14ac:dyDescent="0.2">
      <c r="B17455" s="2"/>
      <c r="C17455" s="15"/>
      <c r="D17455" s="2"/>
    </row>
    <row r="17456" spans="1:4" ht="12.75" customHeight="1" x14ac:dyDescent="0.2">
      <c r="A17456" s="13" t="s">
        <v>5397</v>
      </c>
      <c r="C17456" s="12"/>
    </row>
    <row r="17457" spans="1:4" ht="12.75" customHeight="1" x14ac:dyDescent="0.2">
      <c r="A17457" s="11"/>
      <c r="B17457" s="2"/>
      <c r="C17457" s="15"/>
      <c r="D17457" s="2"/>
    </row>
    <row r="17458" spans="1:4" ht="12.75" customHeight="1" x14ac:dyDescent="0.2">
      <c r="B17458" s="11" t="s">
        <v>0</v>
      </c>
      <c r="C17458" s="11" t="s">
        <v>87</v>
      </c>
    </row>
    <row r="17459" spans="1:4" ht="12.75" customHeight="1" x14ac:dyDescent="0.2">
      <c r="B17459" s="11" t="s">
        <v>2599</v>
      </c>
      <c r="C17459" s="11" t="s">
        <v>5398</v>
      </c>
    </row>
    <row r="17460" spans="1:4" ht="25.5" customHeight="1" x14ac:dyDescent="0.2">
      <c r="B17460" s="11" t="s">
        <v>2600</v>
      </c>
      <c r="C17460" s="11" t="s">
        <v>5399</v>
      </c>
    </row>
    <row r="17461" spans="1:4" ht="25.5" customHeight="1" x14ac:dyDescent="0.2">
      <c r="B17461" s="11" t="s">
        <v>2601</v>
      </c>
      <c r="C17461" s="11"/>
    </row>
    <row r="17462" spans="1:4" ht="12.75" customHeight="1" x14ac:dyDescent="0.2">
      <c r="B17462" s="11" t="s">
        <v>16</v>
      </c>
      <c r="C17462" s="11"/>
    </row>
    <row r="17463" spans="1:4" ht="12.75" customHeight="1" x14ac:dyDescent="0.2">
      <c r="B17463" s="11" t="s">
        <v>13</v>
      </c>
      <c r="C17463" s="11" t="s">
        <v>2602</v>
      </c>
    </row>
    <row r="17464" spans="1:4" ht="12.75" customHeight="1" x14ac:dyDescent="0.2">
      <c r="B17464" s="11" t="s">
        <v>2603</v>
      </c>
      <c r="C17464" s="11" t="s">
        <v>2604</v>
      </c>
    </row>
    <row r="17465" spans="1:4" ht="12.75" customHeight="1" x14ac:dyDescent="0.2">
      <c r="B17465" s="11" t="s">
        <v>2605</v>
      </c>
      <c r="C17465" s="11" t="s">
        <v>14</v>
      </c>
    </row>
    <row r="17466" spans="1:4" ht="12.75" customHeight="1" x14ac:dyDescent="0.2">
      <c r="B17466" s="11" t="s">
        <v>2606</v>
      </c>
      <c r="C17466" s="16" t="s">
        <v>98</v>
      </c>
      <c r="D17466" s="6" t="str">
        <f>HYPERLINK("javascript:void(0)","kincs")</f>
        <v>kincs</v>
      </c>
    </row>
    <row r="17467" spans="1:4" ht="12.75" customHeight="1" x14ac:dyDescent="0.2">
      <c r="B17467" s="2"/>
      <c r="C17467" s="15"/>
      <c r="D17467" s="2"/>
    </row>
    <row r="17468" spans="1:4" ht="12.75" customHeight="1" x14ac:dyDescent="0.2">
      <c r="B17468" s="2"/>
      <c r="C17468" s="15"/>
      <c r="D17468" s="2"/>
    </row>
    <row r="17469" spans="1:4" ht="12.75" customHeight="1" x14ac:dyDescent="0.2">
      <c r="A17469" s="13" t="s">
        <v>5400</v>
      </c>
      <c r="C17469" s="12"/>
    </row>
    <row r="17470" spans="1:4" ht="12.75" customHeight="1" x14ac:dyDescent="0.2">
      <c r="A17470" s="11"/>
      <c r="B17470" s="2"/>
      <c r="C17470" s="15"/>
      <c r="D17470" s="2"/>
    </row>
    <row r="17471" spans="1:4" ht="12.75" customHeight="1" x14ac:dyDescent="0.2">
      <c r="B17471" s="11" t="s">
        <v>0</v>
      </c>
      <c r="C17471" s="11" t="s">
        <v>87</v>
      </c>
    </row>
    <row r="17472" spans="1:4" ht="12.75" customHeight="1" x14ac:dyDescent="0.2">
      <c r="B17472" s="11" t="s">
        <v>2599</v>
      </c>
      <c r="C17472" s="11" t="s">
        <v>5401</v>
      </c>
    </row>
    <row r="17473" spans="1:4" ht="25.5" customHeight="1" x14ac:dyDescent="0.2">
      <c r="B17473" s="11" t="s">
        <v>2600</v>
      </c>
      <c r="C17473" s="11" t="s">
        <v>5402</v>
      </c>
    </row>
    <row r="17474" spans="1:4" ht="25.5" customHeight="1" x14ac:dyDescent="0.2">
      <c r="B17474" s="11" t="s">
        <v>2601</v>
      </c>
      <c r="C17474" s="11"/>
    </row>
    <row r="17475" spans="1:4" ht="12.75" customHeight="1" x14ac:dyDescent="0.2">
      <c r="B17475" s="11" t="s">
        <v>16</v>
      </c>
      <c r="C17475" s="11"/>
    </row>
    <row r="17476" spans="1:4" ht="12.75" customHeight="1" x14ac:dyDescent="0.2">
      <c r="B17476" s="11" t="s">
        <v>13</v>
      </c>
      <c r="C17476" s="11" t="s">
        <v>2602</v>
      </c>
    </row>
    <row r="17477" spans="1:4" ht="12.75" customHeight="1" x14ac:dyDescent="0.2">
      <c r="B17477" s="11" t="s">
        <v>2603</v>
      </c>
      <c r="C17477" s="11" t="s">
        <v>2604</v>
      </c>
    </row>
    <row r="17478" spans="1:4" ht="12.75" customHeight="1" x14ac:dyDescent="0.2">
      <c r="B17478" s="11" t="s">
        <v>2605</v>
      </c>
      <c r="C17478" s="11" t="s">
        <v>14</v>
      </c>
    </row>
    <row r="17479" spans="1:4" ht="12.75" customHeight="1" x14ac:dyDescent="0.2">
      <c r="B17479" s="11" t="s">
        <v>2606</v>
      </c>
      <c r="C17479" s="16" t="s">
        <v>98</v>
      </c>
      <c r="D17479" s="6" t="str">
        <f>HYPERLINK("javascript:void(0)","kincs")</f>
        <v>kincs</v>
      </c>
    </row>
    <row r="17480" spans="1:4" ht="12.75" customHeight="1" x14ac:dyDescent="0.2">
      <c r="B17480" s="2"/>
      <c r="C17480" s="15"/>
      <c r="D17480" s="2"/>
    </row>
    <row r="17481" spans="1:4" ht="12.75" customHeight="1" x14ac:dyDescent="0.2">
      <c r="B17481" s="2"/>
      <c r="C17481" s="15"/>
      <c r="D17481" s="2"/>
    </row>
    <row r="17482" spans="1:4" ht="12.75" customHeight="1" x14ac:dyDescent="0.2">
      <c r="A17482" s="13" t="s">
        <v>5403</v>
      </c>
      <c r="C17482" s="12"/>
    </row>
    <row r="17483" spans="1:4" ht="12.75" customHeight="1" x14ac:dyDescent="0.2">
      <c r="A17483" s="11"/>
      <c r="B17483" s="2"/>
      <c r="C17483" s="15"/>
      <c r="D17483" s="2"/>
    </row>
    <row r="17484" spans="1:4" ht="12.75" customHeight="1" x14ac:dyDescent="0.2">
      <c r="B17484" s="11" t="s">
        <v>0</v>
      </c>
      <c r="C17484" s="11" t="s">
        <v>87</v>
      </c>
    </row>
    <row r="17485" spans="1:4" ht="12.75" customHeight="1" x14ac:dyDescent="0.2">
      <c r="B17485" s="11" t="s">
        <v>2599</v>
      </c>
      <c r="C17485" s="11" t="s">
        <v>5373</v>
      </c>
    </row>
    <row r="17486" spans="1:4" ht="25.5" customHeight="1" x14ac:dyDescent="0.2">
      <c r="B17486" s="11" t="s">
        <v>2600</v>
      </c>
      <c r="C17486" s="11" t="s">
        <v>5404</v>
      </c>
    </row>
    <row r="17487" spans="1:4" ht="25.5" customHeight="1" x14ac:dyDescent="0.2">
      <c r="B17487" s="11" t="s">
        <v>2601</v>
      </c>
      <c r="C17487" s="11"/>
    </row>
    <row r="17488" spans="1:4" ht="12.75" customHeight="1" x14ac:dyDescent="0.2">
      <c r="B17488" s="11" t="s">
        <v>16</v>
      </c>
      <c r="C17488" s="11"/>
    </row>
    <row r="17489" spans="1:4" ht="12.75" customHeight="1" x14ac:dyDescent="0.2">
      <c r="B17489" s="11" t="s">
        <v>13</v>
      </c>
      <c r="C17489" s="11" t="s">
        <v>2602</v>
      </c>
    </row>
    <row r="17490" spans="1:4" ht="12.75" customHeight="1" x14ac:dyDescent="0.2">
      <c r="B17490" s="11" t="s">
        <v>2603</v>
      </c>
      <c r="C17490" s="11" t="s">
        <v>2604</v>
      </c>
    </row>
    <row r="17491" spans="1:4" ht="12.75" customHeight="1" x14ac:dyDescent="0.2">
      <c r="B17491" s="11" t="s">
        <v>2605</v>
      </c>
      <c r="C17491" s="11" t="s">
        <v>24</v>
      </c>
    </row>
    <row r="17492" spans="1:4" ht="12.75" customHeight="1" x14ac:dyDescent="0.2">
      <c r="B17492" s="11" t="s">
        <v>2606</v>
      </c>
      <c r="C17492" s="16" t="s">
        <v>44</v>
      </c>
      <c r="D17492" s="6" t="str">
        <f>HYPERLINK("javascript:void(0)","hálószem")</f>
        <v>hálószem</v>
      </c>
    </row>
    <row r="17493" spans="1:4" ht="12.75" customHeight="1" x14ac:dyDescent="0.2">
      <c r="C17493" s="16" t="s">
        <v>67</v>
      </c>
      <c r="D17493" s="6" t="str">
        <f>HYPERLINK("javascript:void(0)","kincs")</f>
        <v>kincs</v>
      </c>
    </row>
    <row r="17494" spans="1:4" ht="12.75" customHeight="1" x14ac:dyDescent="0.2">
      <c r="B17494" s="2"/>
      <c r="C17494" s="15"/>
      <c r="D17494" s="2"/>
    </row>
    <row r="17495" spans="1:4" ht="12.75" customHeight="1" x14ac:dyDescent="0.2">
      <c r="B17495" s="2"/>
      <c r="C17495" s="15"/>
      <c r="D17495" s="2"/>
    </row>
    <row r="17496" spans="1:4" ht="12.75" customHeight="1" x14ac:dyDescent="0.2">
      <c r="A17496" s="13" t="s">
        <v>5405</v>
      </c>
      <c r="C17496" s="12"/>
    </row>
    <row r="17497" spans="1:4" ht="12.75" customHeight="1" x14ac:dyDescent="0.2">
      <c r="A17497" s="11"/>
      <c r="B17497" s="2"/>
      <c r="C17497" s="15"/>
      <c r="D17497" s="2"/>
    </row>
    <row r="17498" spans="1:4" ht="12.75" customHeight="1" x14ac:dyDescent="0.2">
      <c r="B17498" s="11" t="s">
        <v>0</v>
      </c>
      <c r="C17498" s="11" t="s">
        <v>87</v>
      </c>
    </row>
    <row r="17499" spans="1:4" ht="12.75" customHeight="1" x14ac:dyDescent="0.2">
      <c r="B17499" s="11" t="s">
        <v>2599</v>
      </c>
      <c r="C17499" s="11" t="s">
        <v>5376</v>
      </c>
    </row>
    <row r="17500" spans="1:4" ht="25.5" customHeight="1" x14ac:dyDescent="0.2">
      <c r="B17500" s="11" t="s">
        <v>2600</v>
      </c>
      <c r="C17500" s="11" t="s">
        <v>5406</v>
      </c>
    </row>
    <row r="17501" spans="1:4" ht="25.5" customHeight="1" x14ac:dyDescent="0.2">
      <c r="B17501" s="11" t="s">
        <v>2601</v>
      </c>
      <c r="C17501" s="11"/>
    </row>
    <row r="17502" spans="1:4" ht="12.75" customHeight="1" x14ac:dyDescent="0.2">
      <c r="B17502" s="11" t="s">
        <v>16</v>
      </c>
      <c r="C17502" s="11"/>
    </row>
    <row r="17503" spans="1:4" ht="12.75" customHeight="1" x14ac:dyDescent="0.2">
      <c r="B17503" s="11" t="s">
        <v>13</v>
      </c>
      <c r="C17503" s="11" t="s">
        <v>2644</v>
      </c>
    </row>
    <row r="17504" spans="1:4" ht="12.75" customHeight="1" x14ac:dyDescent="0.2">
      <c r="B17504" s="11" t="s">
        <v>2603</v>
      </c>
      <c r="C17504" s="11" t="s">
        <v>2604</v>
      </c>
    </row>
    <row r="17505" spans="1:4" ht="12.75" customHeight="1" x14ac:dyDescent="0.2">
      <c r="B17505" s="11" t="s">
        <v>2605</v>
      </c>
      <c r="C17505" s="11" t="s">
        <v>24</v>
      </c>
    </row>
    <row r="17506" spans="1:4" ht="25.5" customHeight="1" x14ac:dyDescent="0.2">
      <c r="B17506" s="11" t="s">
        <v>2606</v>
      </c>
      <c r="C17506" s="16" t="s">
        <v>44</v>
      </c>
      <c r="D17506" s="6" t="str">
        <f>HYPERLINK("javascript:void(0)","rozmáragyar")</f>
        <v>rozmáragyar</v>
      </c>
    </row>
    <row r="17507" spans="1:4" ht="12.75" customHeight="1" x14ac:dyDescent="0.2">
      <c r="C17507" s="16" t="s">
        <v>67</v>
      </c>
      <c r="D17507" s="6" t="str">
        <f>HYPERLINK("javascript:void(0)","kincs")</f>
        <v>kincs</v>
      </c>
    </row>
    <row r="17508" spans="1:4" ht="12.75" customHeight="1" x14ac:dyDescent="0.2">
      <c r="C17508" s="16" t="s">
        <v>44</v>
      </c>
      <c r="D17508" s="6" t="str">
        <f>HYPERLINK("javascript:void(0)","hemoglobin")</f>
        <v>hemoglobin</v>
      </c>
    </row>
    <row r="17509" spans="1:4" ht="12.75" customHeight="1" x14ac:dyDescent="0.2">
      <c r="B17509" s="2"/>
      <c r="C17509" s="15"/>
      <c r="D17509" s="2"/>
    </row>
    <row r="17510" spans="1:4" ht="12.75" customHeight="1" x14ac:dyDescent="0.2">
      <c r="B17510" s="2"/>
      <c r="C17510" s="15"/>
      <c r="D17510" s="2"/>
    </row>
    <row r="17511" spans="1:4" ht="12.75" customHeight="1" x14ac:dyDescent="0.2">
      <c r="A17511" s="13" t="s">
        <v>5407</v>
      </c>
      <c r="C17511" s="12"/>
      <c r="D17511" s="2"/>
    </row>
    <row r="17512" spans="1:4" ht="12.75" customHeight="1" x14ac:dyDescent="0.2">
      <c r="A17512" s="11"/>
      <c r="B17512" s="2"/>
      <c r="C17512" s="15"/>
      <c r="D17512" s="2"/>
    </row>
    <row r="17513" spans="1:4" ht="12.75" customHeight="1" x14ac:dyDescent="0.2">
      <c r="B17513" s="11" t="s">
        <v>0</v>
      </c>
      <c r="C17513" s="17" t="s">
        <v>87</v>
      </c>
      <c r="D17513" s="2"/>
    </row>
    <row r="17514" spans="1:4" ht="12.75" customHeight="1" x14ac:dyDescent="0.2">
      <c r="B17514" s="11" t="s">
        <v>2599</v>
      </c>
      <c r="C17514" s="17" t="s">
        <v>5135</v>
      </c>
      <c r="D17514" s="2"/>
    </row>
    <row r="17515" spans="1:4" ht="25.5" customHeight="1" x14ac:dyDescent="0.2">
      <c r="B17515" s="11" t="s">
        <v>2600</v>
      </c>
      <c r="C17515" s="17" t="s">
        <v>5408</v>
      </c>
      <c r="D17515" s="2"/>
    </row>
    <row r="17516" spans="1:4" ht="25.5" customHeight="1" x14ac:dyDescent="0.2">
      <c r="B17516" s="11" t="s">
        <v>2601</v>
      </c>
      <c r="C17516" s="17"/>
      <c r="D17516" s="2"/>
    </row>
    <row r="17517" spans="1:4" ht="12.75" customHeight="1" x14ac:dyDescent="0.2">
      <c r="B17517" s="11" t="s">
        <v>16</v>
      </c>
      <c r="C17517" s="17"/>
      <c r="D17517" s="2"/>
    </row>
    <row r="17518" spans="1:4" ht="12.75" customHeight="1" x14ac:dyDescent="0.2">
      <c r="B17518" s="11" t="s">
        <v>13</v>
      </c>
      <c r="C17518" s="17" t="s">
        <v>2602</v>
      </c>
      <c r="D17518" s="2"/>
    </row>
    <row r="17519" spans="1:4" ht="25.5" customHeight="1" x14ac:dyDescent="0.2">
      <c r="B17519" s="11" t="s">
        <v>2603</v>
      </c>
      <c r="C17519" s="17" t="s">
        <v>2971</v>
      </c>
      <c r="D17519" s="2"/>
    </row>
    <row r="17520" spans="1:4" ht="12.75" customHeight="1" x14ac:dyDescent="0.2">
      <c r="B17520" s="11" t="s">
        <v>2605</v>
      </c>
      <c r="C17520" s="17" t="s">
        <v>14</v>
      </c>
      <c r="D17520" s="2"/>
    </row>
    <row r="17521" spans="1:4" ht="12.75" customHeight="1" x14ac:dyDescent="0.2">
      <c r="B17521" s="11" t="s">
        <v>2606</v>
      </c>
      <c r="C17521" s="16" t="s">
        <v>19</v>
      </c>
      <c r="D17521" s="2"/>
    </row>
    <row r="17522" spans="1:4" ht="12.75" customHeight="1" x14ac:dyDescent="0.2">
      <c r="B17522" s="2"/>
      <c r="C17522" s="15"/>
      <c r="D17522" s="2"/>
    </row>
    <row r="17523" spans="1:4" ht="12.75" customHeight="1" x14ac:dyDescent="0.2">
      <c r="B17523" s="2"/>
      <c r="C17523" s="15"/>
      <c r="D17523" s="2"/>
    </row>
    <row r="17524" spans="1:4" ht="12.75" customHeight="1" x14ac:dyDescent="0.2">
      <c r="A17524" s="13" t="s">
        <v>5379</v>
      </c>
      <c r="C17524" s="12"/>
      <c r="D17524" s="2"/>
    </row>
    <row r="17525" spans="1:4" ht="12.75" customHeight="1" x14ac:dyDescent="0.2">
      <c r="A17525" s="11"/>
      <c r="B17525" s="2"/>
      <c r="C17525" s="15"/>
      <c r="D17525" s="2"/>
    </row>
    <row r="17526" spans="1:4" ht="12.75" customHeight="1" x14ac:dyDescent="0.2">
      <c r="B17526" s="11" t="s">
        <v>0</v>
      </c>
      <c r="C17526" s="17" t="s">
        <v>999</v>
      </c>
      <c r="D17526" s="2"/>
    </row>
    <row r="17527" spans="1:4" ht="12.75" customHeight="1" x14ac:dyDescent="0.2">
      <c r="B17527" s="11" t="s">
        <v>2599</v>
      </c>
      <c r="C17527" s="17" t="s">
        <v>5103</v>
      </c>
      <c r="D17527" s="2"/>
    </row>
    <row r="17528" spans="1:4" ht="25.5" customHeight="1" x14ac:dyDescent="0.2">
      <c r="B17528" s="11" t="s">
        <v>2600</v>
      </c>
      <c r="C17528" s="17" t="s">
        <v>5409</v>
      </c>
      <c r="D17528" s="2"/>
    </row>
    <row r="17529" spans="1:4" ht="25.5" customHeight="1" x14ac:dyDescent="0.2">
      <c r="B17529" s="11" t="s">
        <v>2601</v>
      </c>
      <c r="C17529" s="17"/>
      <c r="D17529" s="2"/>
    </row>
    <row r="17530" spans="1:4" ht="12.75" customHeight="1" x14ac:dyDescent="0.2">
      <c r="B17530" s="11" t="s">
        <v>16</v>
      </c>
      <c r="C17530" s="17"/>
      <c r="D17530" s="2"/>
    </row>
    <row r="17531" spans="1:4" ht="12.75" customHeight="1" x14ac:dyDescent="0.2">
      <c r="B17531" s="11" t="s">
        <v>13</v>
      </c>
      <c r="C17531" s="17" t="s">
        <v>2644</v>
      </c>
      <c r="D17531" s="2"/>
    </row>
    <row r="17532" spans="1:4" ht="25.5" customHeight="1" x14ac:dyDescent="0.2">
      <c r="B17532" s="11" t="s">
        <v>2603</v>
      </c>
      <c r="C17532" s="17" t="s">
        <v>2971</v>
      </c>
      <c r="D17532" s="2"/>
    </row>
    <row r="17533" spans="1:4" ht="12.75" customHeight="1" x14ac:dyDescent="0.2">
      <c r="B17533" s="11" t="s">
        <v>2605</v>
      </c>
      <c r="C17533" s="17" t="s">
        <v>14</v>
      </c>
      <c r="D17533" s="2"/>
    </row>
    <row r="17534" spans="1:4" ht="12.75" customHeight="1" x14ac:dyDescent="0.2">
      <c r="B17534" s="11" t="s">
        <v>2606</v>
      </c>
      <c r="C17534" s="16" t="s">
        <v>19</v>
      </c>
      <c r="D17534" s="2"/>
    </row>
    <row r="17535" spans="1:4" ht="12.75" customHeight="1" x14ac:dyDescent="0.2">
      <c r="B17535" s="2"/>
      <c r="C17535" s="15"/>
      <c r="D17535" s="2"/>
    </row>
    <row r="17536" spans="1:4" ht="12.75" customHeight="1" x14ac:dyDescent="0.2">
      <c r="B17536" s="2"/>
      <c r="C17536" s="15"/>
      <c r="D17536" s="2"/>
    </row>
    <row r="17537" spans="1:4" ht="12.75" customHeight="1" x14ac:dyDescent="0.2">
      <c r="A17537" s="13" t="s">
        <v>5381</v>
      </c>
      <c r="C17537" s="12"/>
      <c r="D17537" s="2"/>
    </row>
    <row r="17538" spans="1:4" ht="12.75" customHeight="1" x14ac:dyDescent="0.2">
      <c r="A17538" s="11"/>
      <c r="B17538" s="2"/>
      <c r="C17538" s="15"/>
      <c r="D17538" s="2"/>
    </row>
    <row r="17539" spans="1:4" ht="12.75" customHeight="1" x14ac:dyDescent="0.2">
      <c r="B17539" s="11" t="s">
        <v>0</v>
      </c>
      <c r="C17539" s="17" t="s">
        <v>999</v>
      </c>
      <c r="D17539" s="2"/>
    </row>
    <row r="17540" spans="1:4" ht="12.75" customHeight="1" x14ac:dyDescent="0.2">
      <c r="B17540" s="11" t="s">
        <v>2599</v>
      </c>
      <c r="C17540" s="17" t="s">
        <v>5106</v>
      </c>
      <c r="D17540" s="2"/>
    </row>
    <row r="17541" spans="1:4" ht="25.5" customHeight="1" x14ac:dyDescent="0.2">
      <c r="B17541" s="11" t="s">
        <v>2600</v>
      </c>
      <c r="C17541" s="17" t="s">
        <v>5410</v>
      </c>
      <c r="D17541" s="2"/>
    </row>
    <row r="17542" spans="1:4" ht="25.5" customHeight="1" x14ac:dyDescent="0.2">
      <c r="B17542" s="11" t="s">
        <v>2601</v>
      </c>
      <c r="C17542" s="17"/>
      <c r="D17542" s="2"/>
    </row>
    <row r="17543" spans="1:4" ht="12.75" customHeight="1" x14ac:dyDescent="0.2">
      <c r="B17543" s="11" t="s">
        <v>16</v>
      </c>
      <c r="C17543" s="17"/>
      <c r="D17543" s="2"/>
    </row>
    <row r="17544" spans="1:4" ht="12.75" customHeight="1" x14ac:dyDescent="0.2">
      <c r="B17544" s="11" t="s">
        <v>13</v>
      </c>
      <c r="C17544" s="17" t="s">
        <v>2602</v>
      </c>
      <c r="D17544" s="2"/>
    </row>
    <row r="17545" spans="1:4" ht="25.5" customHeight="1" x14ac:dyDescent="0.2">
      <c r="B17545" s="11" t="s">
        <v>2603</v>
      </c>
      <c r="C17545" s="17" t="s">
        <v>2971</v>
      </c>
      <c r="D17545" s="2"/>
    </row>
    <row r="17546" spans="1:4" ht="12.75" customHeight="1" x14ac:dyDescent="0.2">
      <c r="B17546" s="11" t="s">
        <v>2605</v>
      </c>
      <c r="C17546" s="17" t="s">
        <v>14</v>
      </c>
      <c r="D17546" s="2"/>
    </row>
    <row r="17547" spans="1:4" ht="12.75" customHeight="1" x14ac:dyDescent="0.2">
      <c r="B17547" s="11" t="s">
        <v>2606</v>
      </c>
      <c r="C17547" s="16" t="s">
        <v>19</v>
      </c>
      <c r="D17547" s="2"/>
    </row>
    <row r="17548" spans="1:4" ht="12.75" customHeight="1" x14ac:dyDescent="0.2">
      <c r="B17548" s="2"/>
      <c r="C17548" s="15"/>
      <c r="D17548" s="2"/>
    </row>
    <row r="17549" spans="1:4" ht="12.75" customHeight="1" x14ac:dyDescent="0.2">
      <c r="B17549" s="2"/>
      <c r="C17549" s="15"/>
      <c r="D17549" s="2"/>
    </row>
    <row r="17550" spans="1:4" ht="12.75" customHeight="1" x14ac:dyDescent="0.2">
      <c r="A17550" s="13" t="s">
        <v>5383</v>
      </c>
      <c r="C17550" s="12"/>
      <c r="D17550" s="2"/>
    </row>
    <row r="17551" spans="1:4" ht="12.75" customHeight="1" x14ac:dyDescent="0.2">
      <c r="A17551" s="11"/>
      <c r="B17551" s="2"/>
      <c r="C17551" s="15"/>
      <c r="D17551" s="2"/>
    </row>
    <row r="17552" spans="1:4" ht="12.75" customHeight="1" x14ac:dyDescent="0.2">
      <c r="B17552" s="11" t="s">
        <v>0</v>
      </c>
      <c r="C17552" s="17" t="s">
        <v>999</v>
      </c>
      <c r="D17552" s="2"/>
    </row>
    <row r="17553" spans="1:4" ht="12.75" customHeight="1" x14ac:dyDescent="0.2">
      <c r="B17553" s="11" t="s">
        <v>2599</v>
      </c>
      <c r="C17553" s="17" t="s">
        <v>5109</v>
      </c>
      <c r="D17553" s="2"/>
    </row>
    <row r="17554" spans="1:4" ht="25.5" customHeight="1" x14ac:dyDescent="0.2">
      <c r="B17554" s="11" t="s">
        <v>2600</v>
      </c>
      <c r="C17554" s="17" t="s">
        <v>5411</v>
      </c>
      <c r="D17554" s="2"/>
    </row>
    <row r="17555" spans="1:4" ht="25.5" customHeight="1" x14ac:dyDescent="0.2">
      <c r="B17555" s="11" t="s">
        <v>2601</v>
      </c>
      <c r="C17555" s="17"/>
      <c r="D17555" s="2"/>
    </row>
    <row r="17556" spans="1:4" ht="12.75" customHeight="1" x14ac:dyDescent="0.2">
      <c r="B17556" s="11" t="s">
        <v>16</v>
      </c>
      <c r="C17556" s="17"/>
      <c r="D17556" s="2"/>
    </row>
    <row r="17557" spans="1:4" ht="12.75" customHeight="1" x14ac:dyDescent="0.2">
      <c r="B17557" s="11" t="s">
        <v>13</v>
      </c>
      <c r="C17557" s="17" t="s">
        <v>2644</v>
      </c>
      <c r="D17557" s="2"/>
    </row>
    <row r="17558" spans="1:4" ht="25.5" customHeight="1" x14ac:dyDescent="0.2">
      <c r="B17558" s="11" t="s">
        <v>2603</v>
      </c>
      <c r="C17558" s="17" t="s">
        <v>2971</v>
      </c>
      <c r="D17558" s="2"/>
    </row>
    <row r="17559" spans="1:4" ht="12.75" customHeight="1" x14ac:dyDescent="0.2">
      <c r="B17559" s="11" t="s">
        <v>2605</v>
      </c>
      <c r="C17559" s="17" t="s">
        <v>14</v>
      </c>
      <c r="D17559" s="2"/>
    </row>
    <row r="17560" spans="1:4" ht="12.75" customHeight="1" x14ac:dyDescent="0.2">
      <c r="B17560" s="11" t="s">
        <v>2606</v>
      </c>
      <c r="C17560" s="16" t="s">
        <v>19</v>
      </c>
      <c r="D17560" s="2"/>
    </row>
    <row r="17561" spans="1:4" ht="12.75" customHeight="1" x14ac:dyDescent="0.2">
      <c r="B17561" s="2"/>
      <c r="C17561" s="15"/>
      <c r="D17561" s="2"/>
    </row>
    <row r="17562" spans="1:4" ht="12.75" customHeight="1" x14ac:dyDescent="0.2">
      <c r="B17562" s="2"/>
      <c r="C17562" s="15"/>
      <c r="D17562" s="2"/>
    </row>
    <row r="17563" spans="1:4" ht="12.75" customHeight="1" x14ac:dyDescent="0.2">
      <c r="A17563" s="13" t="s">
        <v>5412</v>
      </c>
      <c r="C17563" s="12"/>
    </row>
    <row r="17564" spans="1:4" ht="12.75" customHeight="1" x14ac:dyDescent="0.2">
      <c r="A17564" s="11"/>
      <c r="B17564" s="2"/>
      <c r="C17564" s="15"/>
      <c r="D17564" s="2"/>
    </row>
    <row r="17565" spans="1:4" ht="12.75" customHeight="1" x14ac:dyDescent="0.2">
      <c r="B17565" s="11" t="s">
        <v>0</v>
      </c>
      <c r="C17565" s="11" t="s">
        <v>999</v>
      </c>
    </row>
    <row r="17566" spans="1:4" ht="12.75" customHeight="1" x14ac:dyDescent="0.2">
      <c r="B17566" s="11" t="s">
        <v>2599</v>
      </c>
      <c r="C17566" s="11" t="s">
        <v>5413</v>
      </c>
    </row>
    <row r="17567" spans="1:4" ht="25.5" customHeight="1" x14ac:dyDescent="0.2">
      <c r="B17567" s="11" t="s">
        <v>2600</v>
      </c>
      <c r="C17567" s="11" t="s">
        <v>5414</v>
      </c>
    </row>
    <row r="17568" spans="1:4" ht="25.5" customHeight="1" x14ac:dyDescent="0.2">
      <c r="B17568" s="11" t="s">
        <v>2601</v>
      </c>
      <c r="C17568" s="11"/>
    </row>
    <row r="17569" spans="1:4" ht="12.75" customHeight="1" x14ac:dyDescent="0.2">
      <c r="B17569" s="11" t="s">
        <v>16</v>
      </c>
      <c r="C17569" s="11"/>
    </row>
    <row r="17570" spans="1:4" ht="12.75" customHeight="1" x14ac:dyDescent="0.2">
      <c r="B17570" s="11" t="s">
        <v>13</v>
      </c>
      <c r="C17570" s="11" t="s">
        <v>2644</v>
      </c>
    </row>
    <row r="17571" spans="1:4" ht="12.75" customHeight="1" x14ac:dyDescent="0.2">
      <c r="B17571" s="11" t="s">
        <v>2603</v>
      </c>
      <c r="C17571" s="11" t="s">
        <v>2604</v>
      </c>
    </row>
    <row r="17572" spans="1:4" ht="12.75" customHeight="1" x14ac:dyDescent="0.2">
      <c r="B17572" s="11" t="s">
        <v>2605</v>
      </c>
      <c r="C17572" s="11" t="s">
        <v>24</v>
      </c>
    </row>
    <row r="17573" spans="1:4" ht="12.75" customHeight="1" x14ac:dyDescent="0.2">
      <c r="B17573" s="11" t="s">
        <v>2606</v>
      </c>
      <c r="C17573" s="16" t="s">
        <v>44</v>
      </c>
      <c r="D17573" s="6" t="str">
        <f>HYPERLINK("javascript:void(0)","lékék")</f>
        <v>lékék</v>
      </c>
    </row>
    <row r="17574" spans="1:4" ht="12.75" customHeight="1" x14ac:dyDescent="0.2">
      <c r="C17574" s="16" t="s">
        <v>398</v>
      </c>
      <c r="D17574" s="6" t="str">
        <f>HYPERLINK("javascript:void(0)","kincs")</f>
        <v>kincs</v>
      </c>
    </row>
    <row r="17575" spans="1:4" ht="12.75" customHeight="1" x14ac:dyDescent="0.2">
      <c r="B17575" s="2"/>
      <c r="C17575" s="15"/>
      <c r="D17575" s="2"/>
    </row>
    <row r="17576" spans="1:4" ht="12.75" customHeight="1" x14ac:dyDescent="0.2">
      <c r="B17576" s="2"/>
      <c r="C17576" s="15"/>
      <c r="D17576" s="2"/>
    </row>
    <row r="17577" spans="1:4" ht="12.75" customHeight="1" x14ac:dyDescent="0.2">
      <c r="A17577" s="13" t="s">
        <v>5415</v>
      </c>
      <c r="C17577" s="12"/>
    </row>
    <row r="17578" spans="1:4" ht="12.75" customHeight="1" x14ac:dyDescent="0.2">
      <c r="A17578" s="11"/>
      <c r="B17578" s="2"/>
      <c r="C17578" s="15"/>
      <c r="D17578" s="2"/>
    </row>
    <row r="17579" spans="1:4" ht="12.75" customHeight="1" x14ac:dyDescent="0.2">
      <c r="B17579" s="11" t="s">
        <v>0</v>
      </c>
      <c r="C17579" s="11" t="s">
        <v>999</v>
      </c>
    </row>
    <row r="17580" spans="1:4" ht="12.75" customHeight="1" x14ac:dyDescent="0.2">
      <c r="B17580" s="11" t="s">
        <v>2599</v>
      </c>
      <c r="C17580" s="11" t="s">
        <v>5416</v>
      </c>
    </row>
    <row r="17581" spans="1:4" ht="25.5" customHeight="1" x14ac:dyDescent="0.2">
      <c r="B17581" s="11" t="s">
        <v>2600</v>
      </c>
      <c r="C17581" s="11" t="s">
        <v>5417</v>
      </c>
    </row>
    <row r="17582" spans="1:4" ht="25.5" customHeight="1" x14ac:dyDescent="0.2">
      <c r="B17582" s="11" t="s">
        <v>2601</v>
      </c>
      <c r="C17582" s="11"/>
    </row>
    <row r="17583" spans="1:4" ht="12.75" customHeight="1" x14ac:dyDescent="0.2">
      <c r="B17583" s="11" t="s">
        <v>16</v>
      </c>
      <c r="C17583" s="11"/>
    </row>
    <row r="17584" spans="1:4" ht="12.75" customHeight="1" x14ac:dyDescent="0.2">
      <c r="B17584" s="11" t="s">
        <v>13</v>
      </c>
      <c r="C17584" s="11" t="s">
        <v>2602</v>
      </c>
    </row>
    <row r="17585" spans="1:4" ht="12.75" customHeight="1" x14ac:dyDescent="0.2">
      <c r="B17585" s="11" t="s">
        <v>2603</v>
      </c>
      <c r="C17585" s="11" t="s">
        <v>2604</v>
      </c>
    </row>
    <row r="17586" spans="1:4" ht="12.75" customHeight="1" x14ac:dyDescent="0.2">
      <c r="B17586" s="11" t="s">
        <v>2605</v>
      </c>
      <c r="C17586" s="11" t="s">
        <v>14</v>
      </c>
    </row>
    <row r="17587" spans="1:4" ht="12.75" customHeight="1" x14ac:dyDescent="0.2">
      <c r="B17587" s="11" t="s">
        <v>2606</v>
      </c>
      <c r="C17587" s="16" t="s">
        <v>98</v>
      </c>
      <c r="D17587" s="6" t="str">
        <f>HYPERLINK("javascript:void(0)","kincs")</f>
        <v>kincs</v>
      </c>
    </row>
    <row r="17588" spans="1:4" ht="12.75" customHeight="1" x14ac:dyDescent="0.2">
      <c r="B17588" s="2"/>
      <c r="C17588" s="15"/>
      <c r="D17588" s="2"/>
    </row>
    <row r="17589" spans="1:4" ht="12.75" customHeight="1" x14ac:dyDescent="0.2">
      <c r="B17589" s="2"/>
      <c r="C17589" s="15"/>
      <c r="D17589" s="2"/>
    </row>
    <row r="17590" spans="1:4" ht="12.75" customHeight="1" x14ac:dyDescent="0.2">
      <c r="A17590" s="13" t="s">
        <v>5418</v>
      </c>
      <c r="C17590" s="12"/>
    </row>
    <row r="17591" spans="1:4" ht="12.75" customHeight="1" x14ac:dyDescent="0.2">
      <c r="A17591" s="11"/>
      <c r="B17591" s="2"/>
      <c r="C17591" s="15"/>
      <c r="D17591" s="2"/>
    </row>
    <row r="17592" spans="1:4" ht="12.75" customHeight="1" x14ac:dyDescent="0.2">
      <c r="B17592" s="11" t="s">
        <v>0</v>
      </c>
      <c r="C17592" s="11" t="s">
        <v>999</v>
      </c>
    </row>
    <row r="17593" spans="1:4" ht="12.75" customHeight="1" x14ac:dyDescent="0.2">
      <c r="B17593" s="11" t="s">
        <v>2599</v>
      </c>
      <c r="C17593" s="11" t="s">
        <v>5392</v>
      </c>
    </row>
    <row r="17594" spans="1:4" ht="25.5" customHeight="1" x14ac:dyDescent="0.2">
      <c r="B17594" s="11" t="s">
        <v>2600</v>
      </c>
      <c r="C17594" s="11" t="s">
        <v>5419</v>
      </c>
    </row>
    <row r="17595" spans="1:4" ht="25.5" customHeight="1" x14ac:dyDescent="0.2">
      <c r="B17595" s="11" t="s">
        <v>2601</v>
      </c>
      <c r="C17595" s="11"/>
    </row>
    <row r="17596" spans="1:4" ht="12.75" customHeight="1" x14ac:dyDescent="0.2">
      <c r="B17596" s="11" t="s">
        <v>16</v>
      </c>
      <c r="C17596" s="11"/>
    </row>
    <row r="17597" spans="1:4" ht="12.75" customHeight="1" x14ac:dyDescent="0.2">
      <c r="B17597" s="11" t="s">
        <v>13</v>
      </c>
      <c r="C17597" s="11" t="s">
        <v>2602</v>
      </c>
    </row>
    <row r="17598" spans="1:4" ht="12.75" customHeight="1" x14ac:dyDescent="0.2">
      <c r="B17598" s="11" t="s">
        <v>2603</v>
      </c>
      <c r="C17598" s="11" t="s">
        <v>2604</v>
      </c>
    </row>
    <row r="17599" spans="1:4" ht="12.75" customHeight="1" x14ac:dyDescent="0.2">
      <c r="B17599" s="11" t="s">
        <v>2605</v>
      </c>
      <c r="C17599" s="11" t="s">
        <v>24</v>
      </c>
    </row>
    <row r="17600" spans="1:4" ht="12.75" customHeight="1" x14ac:dyDescent="0.2">
      <c r="B17600" s="11" t="s">
        <v>2606</v>
      </c>
      <c r="C17600" s="16" t="s">
        <v>56</v>
      </c>
      <c r="D17600" s="6" t="str">
        <f>HYPERLINK("javascript:void(0)","orrkarika")</f>
        <v>orrkarika</v>
      </c>
    </row>
    <row r="17601" spans="1:4" ht="12.75" customHeight="1" x14ac:dyDescent="0.2">
      <c r="C17601" s="16" t="s">
        <v>44</v>
      </c>
      <c r="D17601" s="6" t="str">
        <f>HYPERLINK("javascript:void(0)","képcső")</f>
        <v>képcső</v>
      </c>
    </row>
    <row r="17602" spans="1:4" ht="12.75" customHeight="1" x14ac:dyDescent="0.2">
      <c r="B17602" s="2"/>
      <c r="C17602" s="15"/>
      <c r="D17602" s="2"/>
    </row>
    <row r="17603" spans="1:4" ht="12.75" customHeight="1" x14ac:dyDescent="0.2">
      <c r="B17603" s="2"/>
      <c r="C17603" s="15"/>
      <c r="D17603" s="2"/>
    </row>
    <row r="17604" spans="1:4" ht="12.75" customHeight="1" x14ac:dyDescent="0.2">
      <c r="A17604" s="13" t="s">
        <v>5420</v>
      </c>
      <c r="C17604" s="12"/>
    </row>
    <row r="17605" spans="1:4" ht="12.75" customHeight="1" x14ac:dyDescent="0.2">
      <c r="A17605" s="11"/>
      <c r="B17605" s="2"/>
      <c r="C17605" s="15"/>
      <c r="D17605" s="2"/>
    </row>
    <row r="17606" spans="1:4" ht="12.75" customHeight="1" x14ac:dyDescent="0.2">
      <c r="B17606" s="11" t="s">
        <v>0</v>
      </c>
      <c r="C17606" s="11" t="s">
        <v>999</v>
      </c>
    </row>
    <row r="17607" spans="1:4" ht="12.75" customHeight="1" x14ac:dyDescent="0.2">
      <c r="B17607" s="11" t="s">
        <v>2599</v>
      </c>
      <c r="C17607" s="11" t="s">
        <v>5421</v>
      </c>
    </row>
    <row r="17608" spans="1:4" ht="25.5" customHeight="1" x14ac:dyDescent="0.2">
      <c r="B17608" s="11" t="s">
        <v>2600</v>
      </c>
      <c r="C17608" s="11" t="s">
        <v>5422</v>
      </c>
    </row>
    <row r="17609" spans="1:4" ht="25.5" customHeight="1" x14ac:dyDescent="0.2">
      <c r="B17609" s="11" t="s">
        <v>2601</v>
      </c>
      <c r="C17609" s="11"/>
    </row>
    <row r="17610" spans="1:4" ht="12.75" customHeight="1" x14ac:dyDescent="0.2">
      <c r="B17610" s="11" t="s">
        <v>16</v>
      </c>
      <c r="C17610" s="11"/>
    </row>
    <row r="17611" spans="1:4" ht="12.75" customHeight="1" x14ac:dyDescent="0.2">
      <c r="B17611" s="11" t="s">
        <v>13</v>
      </c>
      <c r="C17611" s="11" t="s">
        <v>2644</v>
      </c>
    </row>
    <row r="17612" spans="1:4" ht="12.75" customHeight="1" x14ac:dyDescent="0.2">
      <c r="B17612" s="11" t="s">
        <v>2603</v>
      </c>
      <c r="C17612" s="11" t="s">
        <v>2604</v>
      </c>
    </row>
    <row r="17613" spans="1:4" ht="12.75" customHeight="1" x14ac:dyDescent="0.2">
      <c r="B17613" s="11" t="s">
        <v>2605</v>
      </c>
      <c r="C17613" s="11" t="s">
        <v>14</v>
      </c>
    </row>
    <row r="17614" spans="1:4" ht="12.75" customHeight="1" x14ac:dyDescent="0.2">
      <c r="B17614" s="11" t="s">
        <v>2606</v>
      </c>
      <c r="C17614" s="16" t="s">
        <v>951</v>
      </c>
      <c r="D17614" s="6" t="str">
        <f>HYPERLINK("javascript:void(0)","ezüst")</f>
        <v>ezüst</v>
      </c>
    </row>
    <row r="17615" spans="1:4" ht="12.75" customHeight="1" x14ac:dyDescent="0.2">
      <c r="C17615" s="16" t="s">
        <v>98</v>
      </c>
      <c r="D17615" s="6" t="str">
        <f>HYPERLINK("javascript:void(0)","kincs")</f>
        <v>kincs</v>
      </c>
    </row>
    <row r="17616" spans="1:4" ht="12.75" customHeight="1" x14ac:dyDescent="0.2">
      <c r="B17616" s="2"/>
      <c r="C17616" s="15"/>
      <c r="D17616" s="2"/>
    </row>
    <row r="17617" spans="1:4" ht="12.75" customHeight="1" x14ac:dyDescent="0.2">
      <c r="B17617" s="2"/>
      <c r="C17617" s="15"/>
      <c r="D17617" s="2"/>
    </row>
    <row r="17618" spans="1:4" ht="12.75" customHeight="1" x14ac:dyDescent="0.2">
      <c r="A17618" s="13" t="s">
        <v>5423</v>
      </c>
      <c r="C17618" s="12"/>
    </row>
    <row r="17619" spans="1:4" ht="12.75" customHeight="1" x14ac:dyDescent="0.2">
      <c r="A17619" s="11"/>
      <c r="B17619" s="2"/>
      <c r="C17619" s="15"/>
      <c r="D17619" s="2"/>
    </row>
    <row r="17620" spans="1:4" ht="12.75" customHeight="1" x14ac:dyDescent="0.2">
      <c r="B17620" s="11" t="s">
        <v>0</v>
      </c>
      <c r="C17620" s="11" t="s">
        <v>999</v>
      </c>
    </row>
    <row r="17621" spans="1:4" ht="12.75" customHeight="1" x14ac:dyDescent="0.2">
      <c r="B17621" s="11" t="s">
        <v>2599</v>
      </c>
      <c r="C17621" s="11" t="s">
        <v>5424</v>
      </c>
    </row>
    <row r="17622" spans="1:4" ht="25.5" customHeight="1" x14ac:dyDescent="0.2">
      <c r="B17622" s="11" t="s">
        <v>2600</v>
      </c>
      <c r="C17622" s="11" t="s">
        <v>5425</v>
      </c>
    </row>
    <row r="17623" spans="1:4" ht="25.5" customHeight="1" x14ac:dyDescent="0.2">
      <c r="B17623" s="11" t="s">
        <v>2601</v>
      </c>
      <c r="C17623" s="11"/>
    </row>
    <row r="17624" spans="1:4" ht="12.75" customHeight="1" x14ac:dyDescent="0.2">
      <c r="B17624" s="11" t="s">
        <v>16</v>
      </c>
      <c r="C17624" s="11"/>
    </row>
    <row r="17625" spans="1:4" ht="12.75" customHeight="1" x14ac:dyDescent="0.2">
      <c r="B17625" s="11" t="s">
        <v>13</v>
      </c>
      <c r="C17625" s="11" t="s">
        <v>2644</v>
      </c>
    </row>
    <row r="17626" spans="1:4" ht="12.75" customHeight="1" x14ac:dyDescent="0.2">
      <c r="B17626" s="11" t="s">
        <v>2603</v>
      </c>
      <c r="C17626" s="11" t="s">
        <v>2604</v>
      </c>
    </row>
    <row r="17627" spans="1:4" ht="12.75" customHeight="1" x14ac:dyDescent="0.2">
      <c r="B17627" s="11" t="s">
        <v>2605</v>
      </c>
      <c r="C17627" s="11" t="s">
        <v>14</v>
      </c>
    </row>
    <row r="17628" spans="1:4" ht="12.75" customHeight="1" x14ac:dyDescent="0.2">
      <c r="B17628" s="11" t="s">
        <v>2606</v>
      </c>
      <c r="C17628" s="16" t="s">
        <v>98</v>
      </c>
      <c r="D17628" s="6" t="str">
        <f>HYPERLINK("javascript:void(0)","kincs")</f>
        <v>kincs</v>
      </c>
    </row>
    <row r="17629" spans="1:4" ht="12.75" customHeight="1" x14ac:dyDescent="0.2">
      <c r="B17629" s="2"/>
      <c r="C17629" s="15"/>
      <c r="D17629" s="2"/>
    </row>
    <row r="17630" spans="1:4" ht="12.75" customHeight="1" x14ac:dyDescent="0.2">
      <c r="B17630" s="2"/>
      <c r="C17630" s="15"/>
      <c r="D17630" s="2"/>
    </row>
    <row r="17631" spans="1:4" ht="12.75" customHeight="1" x14ac:dyDescent="0.2">
      <c r="A17631" s="13" t="s">
        <v>5426</v>
      </c>
      <c r="C17631" s="12"/>
    </row>
    <row r="17632" spans="1:4" ht="12.75" customHeight="1" x14ac:dyDescent="0.2">
      <c r="A17632" s="11"/>
      <c r="B17632" s="2"/>
      <c r="C17632" s="15"/>
      <c r="D17632" s="2"/>
    </row>
    <row r="17633" spans="1:4" ht="12.75" customHeight="1" x14ac:dyDescent="0.2">
      <c r="B17633" s="11" t="s">
        <v>0</v>
      </c>
      <c r="C17633" s="11" t="s">
        <v>999</v>
      </c>
    </row>
    <row r="17634" spans="1:4" ht="12.75" customHeight="1" x14ac:dyDescent="0.2">
      <c r="B17634" s="11" t="s">
        <v>2599</v>
      </c>
      <c r="C17634" s="11" t="s">
        <v>5427</v>
      </c>
    </row>
    <row r="17635" spans="1:4" ht="25.5" customHeight="1" x14ac:dyDescent="0.2">
      <c r="B17635" s="11" t="s">
        <v>2600</v>
      </c>
      <c r="C17635" s="11" t="s">
        <v>5428</v>
      </c>
    </row>
    <row r="17636" spans="1:4" ht="25.5" customHeight="1" x14ac:dyDescent="0.2">
      <c r="B17636" s="11" t="s">
        <v>2601</v>
      </c>
      <c r="C17636" s="11"/>
    </row>
    <row r="17637" spans="1:4" ht="12.75" customHeight="1" x14ac:dyDescent="0.2">
      <c r="B17637" s="11" t="s">
        <v>16</v>
      </c>
      <c r="C17637" s="11"/>
    </row>
    <row r="17638" spans="1:4" ht="12.75" customHeight="1" x14ac:dyDescent="0.2">
      <c r="B17638" s="11" t="s">
        <v>13</v>
      </c>
      <c r="C17638" s="11" t="s">
        <v>2602</v>
      </c>
    </row>
    <row r="17639" spans="1:4" ht="12.75" customHeight="1" x14ac:dyDescent="0.2">
      <c r="B17639" s="11" t="s">
        <v>2603</v>
      </c>
      <c r="C17639" s="11" t="s">
        <v>2604</v>
      </c>
    </row>
    <row r="17640" spans="1:4" ht="12.75" customHeight="1" x14ac:dyDescent="0.2">
      <c r="B17640" s="11" t="s">
        <v>2605</v>
      </c>
      <c r="C17640" s="11" t="s">
        <v>14</v>
      </c>
    </row>
    <row r="17641" spans="1:4" ht="12.75" customHeight="1" x14ac:dyDescent="0.2">
      <c r="B17641" s="11" t="s">
        <v>2606</v>
      </c>
      <c r="C17641" s="16" t="s">
        <v>98</v>
      </c>
      <c r="D17641" s="6" t="str">
        <f>HYPERLINK("javascript:void(0)","kincs")</f>
        <v>kincs</v>
      </c>
    </row>
    <row r="17642" spans="1:4" ht="12.75" customHeight="1" x14ac:dyDescent="0.2">
      <c r="B17642" s="2"/>
      <c r="C17642" s="15"/>
      <c r="D17642" s="2"/>
    </row>
    <row r="17643" spans="1:4" ht="12.75" customHeight="1" x14ac:dyDescent="0.2">
      <c r="B17643" s="2"/>
      <c r="C17643" s="15"/>
      <c r="D17643" s="2"/>
    </row>
    <row r="17644" spans="1:4" ht="12.75" customHeight="1" x14ac:dyDescent="0.2">
      <c r="A17644" s="13" t="s">
        <v>5429</v>
      </c>
      <c r="C17644" s="12"/>
    </row>
    <row r="17645" spans="1:4" ht="12.75" customHeight="1" x14ac:dyDescent="0.2">
      <c r="A17645" s="11"/>
      <c r="B17645" s="2"/>
      <c r="C17645" s="15"/>
      <c r="D17645" s="2"/>
    </row>
    <row r="17646" spans="1:4" ht="12.75" customHeight="1" x14ac:dyDescent="0.2">
      <c r="B17646" s="11" t="s">
        <v>0</v>
      </c>
      <c r="C17646" s="11" t="s">
        <v>999</v>
      </c>
    </row>
    <row r="17647" spans="1:4" ht="12.75" customHeight="1" x14ac:dyDescent="0.2">
      <c r="B17647" s="11" t="s">
        <v>2599</v>
      </c>
      <c r="C17647" s="11" t="s">
        <v>3503</v>
      </c>
    </row>
    <row r="17648" spans="1:4" ht="25.5" customHeight="1" x14ac:dyDescent="0.2">
      <c r="B17648" s="11" t="s">
        <v>2600</v>
      </c>
      <c r="C17648" s="11" t="s">
        <v>5430</v>
      </c>
    </row>
    <row r="17649" spans="1:4" ht="25.5" customHeight="1" x14ac:dyDescent="0.2">
      <c r="B17649" s="11" t="s">
        <v>2601</v>
      </c>
      <c r="C17649" s="11"/>
    </row>
    <row r="17650" spans="1:4" ht="12.75" customHeight="1" x14ac:dyDescent="0.2">
      <c r="B17650" s="11" t="s">
        <v>16</v>
      </c>
      <c r="C17650" s="11"/>
    </row>
    <row r="17651" spans="1:4" ht="12.75" customHeight="1" x14ac:dyDescent="0.2">
      <c r="B17651" s="11" t="s">
        <v>13</v>
      </c>
      <c r="C17651" s="11" t="s">
        <v>2602</v>
      </c>
    </row>
    <row r="17652" spans="1:4" ht="12.75" customHeight="1" x14ac:dyDescent="0.2">
      <c r="B17652" s="11" t="s">
        <v>2603</v>
      </c>
      <c r="C17652" s="11" t="s">
        <v>2604</v>
      </c>
    </row>
    <row r="17653" spans="1:4" ht="12.75" customHeight="1" x14ac:dyDescent="0.2">
      <c r="B17653" s="11" t="s">
        <v>2605</v>
      </c>
      <c r="C17653" s="11" t="s">
        <v>24</v>
      </c>
    </row>
    <row r="17654" spans="1:4" ht="12.75" customHeight="1" x14ac:dyDescent="0.2">
      <c r="B17654" s="11" t="s">
        <v>2606</v>
      </c>
      <c r="C17654" s="16" t="s">
        <v>44</v>
      </c>
      <c r="D17654" s="6" t="str">
        <f>HYPERLINK("javascript:void(0)","hálószem")</f>
        <v>hálószem</v>
      </c>
    </row>
    <row r="17655" spans="1:4" ht="12.75" customHeight="1" x14ac:dyDescent="0.2">
      <c r="C17655" s="16" t="s">
        <v>67</v>
      </c>
      <c r="D17655" s="6" t="str">
        <f>HYPERLINK("javascript:void(0)","kincs")</f>
        <v>kincs</v>
      </c>
    </row>
    <row r="17656" spans="1:4" ht="12.75" customHeight="1" x14ac:dyDescent="0.2">
      <c r="B17656" s="2"/>
      <c r="C17656" s="15"/>
      <c r="D17656" s="2"/>
    </row>
    <row r="17657" spans="1:4" ht="12.75" customHeight="1" x14ac:dyDescent="0.2">
      <c r="B17657" s="2"/>
      <c r="C17657" s="15"/>
      <c r="D17657" s="2"/>
    </row>
    <row r="17658" spans="1:4" ht="12.75" customHeight="1" x14ac:dyDescent="0.2">
      <c r="A17658" s="13" t="s">
        <v>5432</v>
      </c>
      <c r="C17658" s="12"/>
    </row>
    <row r="17659" spans="1:4" ht="12.75" customHeight="1" x14ac:dyDescent="0.2">
      <c r="A17659" s="11"/>
      <c r="B17659" s="2"/>
      <c r="C17659" s="15"/>
      <c r="D17659" s="2"/>
    </row>
    <row r="17660" spans="1:4" ht="12.75" customHeight="1" x14ac:dyDescent="0.2">
      <c r="B17660" s="11" t="s">
        <v>0</v>
      </c>
      <c r="C17660" s="11" t="s">
        <v>999</v>
      </c>
    </row>
    <row r="17661" spans="1:4" ht="12.75" customHeight="1" x14ac:dyDescent="0.2">
      <c r="B17661" s="11" t="s">
        <v>2599</v>
      </c>
      <c r="C17661" s="11" t="s">
        <v>5433</v>
      </c>
    </row>
    <row r="17662" spans="1:4" ht="25.5" customHeight="1" x14ac:dyDescent="0.2">
      <c r="B17662" s="11" t="s">
        <v>2600</v>
      </c>
      <c r="C17662" s="11" t="s">
        <v>5434</v>
      </c>
    </row>
    <row r="17663" spans="1:4" ht="25.5" customHeight="1" x14ac:dyDescent="0.2">
      <c r="B17663" s="11" t="s">
        <v>2601</v>
      </c>
      <c r="C17663" s="11"/>
    </row>
    <row r="17664" spans="1:4" ht="12.75" customHeight="1" x14ac:dyDescent="0.2">
      <c r="B17664" s="11" t="s">
        <v>16</v>
      </c>
      <c r="C17664" s="11"/>
    </row>
    <row r="17665" spans="1:4" ht="12.75" customHeight="1" x14ac:dyDescent="0.2">
      <c r="B17665" s="11" t="s">
        <v>13</v>
      </c>
      <c r="C17665" s="11" t="s">
        <v>2644</v>
      </c>
    </row>
    <row r="17666" spans="1:4" ht="12.75" customHeight="1" x14ac:dyDescent="0.2">
      <c r="B17666" s="11" t="s">
        <v>2603</v>
      </c>
      <c r="C17666" s="11" t="s">
        <v>2604</v>
      </c>
    </row>
    <row r="17667" spans="1:4" ht="12.75" customHeight="1" x14ac:dyDescent="0.2">
      <c r="B17667" s="11" t="s">
        <v>2605</v>
      </c>
      <c r="C17667" s="11" t="s">
        <v>24</v>
      </c>
    </row>
    <row r="17668" spans="1:4" ht="25.5" customHeight="1" x14ac:dyDescent="0.2">
      <c r="B17668" s="11" t="s">
        <v>2606</v>
      </c>
      <c r="C17668" s="16" t="s">
        <v>44</v>
      </c>
      <c r="D17668" s="6" t="str">
        <f>HYPERLINK("javascript:void(0)","rozmáragyar")</f>
        <v>rozmáragyar</v>
      </c>
    </row>
    <row r="17669" spans="1:4" ht="12.75" customHeight="1" x14ac:dyDescent="0.2">
      <c r="C17669" s="16" t="s">
        <v>67</v>
      </c>
      <c r="D17669" s="6" t="str">
        <f>HYPERLINK("javascript:void(0)","kincs")</f>
        <v>kincs</v>
      </c>
    </row>
    <row r="17670" spans="1:4" ht="12.75" customHeight="1" x14ac:dyDescent="0.2">
      <c r="C17670" s="16" t="s">
        <v>44</v>
      </c>
      <c r="D17670" s="6" t="str">
        <f>HYPERLINK("javascript:void(0)","glóriahasító")</f>
        <v>glóriahasító</v>
      </c>
    </row>
    <row r="17671" spans="1:4" ht="12.75" customHeight="1" x14ac:dyDescent="0.2">
      <c r="B17671" s="2"/>
      <c r="C17671" s="15"/>
      <c r="D17671" s="2"/>
    </row>
    <row r="17672" spans="1:4" ht="12.75" customHeight="1" x14ac:dyDescent="0.2">
      <c r="B17672" s="2"/>
      <c r="C17672" s="15"/>
      <c r="D17672" s="2"/>
    </row>
    <row r="17673" spans="1:4" ht="12.75" customHeight="1" x14ac:dyDescent="0.2">
      <c r="A17673" s="13" t="s">
        <v>5407</v>
      </c>
      <c r="C17673" s="12"/>
      <c r="D17673" s="2"/>
    </row>
    <row r="17674" spans="1:4" ht="12.75" customHeight="1" x14ac:dyDescent="0.2">
      <c r="A17674" s="11"/>
      <c r="B17674" s="2"/>
      <c r="C17674" s="15"/>
      <c r="D17674" s="2"/>
    </row>
    <row r="17675" spans="1:4" ht="12.75" customHeight="1" x14ac:dyDescent="0.2">
      <c r="B17675" s="11" t="s">
        <v>0</v>
      </c>
      <c r="C17675" s="17" t="s">
        <v>999</v>
      </c>
      <c r="D17675" s="2"/>
    </row>
    <row r="17676" spans="1:4" ht="12.75" customHeight="1" x14ac:dyDescent="0.2">
      <c r="B17676" s="11" t="s">
        <v>2599</v>
      </c>
      <c r="C17676" s="17" t="s">
        <v>5135</v>
      </c>
      <c r="D17676" s="2"/>
    </row>
    <row r="17677" spans="1:4" ht="25.5" customHeight="1" x14ac:dyDescent="0.2">
      <c r="B17677" s="11" t="s">
        <v>2600</v>
      </c>
      <c r="C17677" s="17" t="s">
        <v>5435</v>
      </c>
      <c r="D17677" s="2"/>
    </row>
    <row r="17678" spans="1:4" ht="25.5" customHeight="1" x14ac:dyDescent="0.2">
      <c r="B17678" s="11" t="s">
        <v>2601</v>
      </c>
      <c r="C17678" s="17"/>
      <c r="D17678" s="2"/>
    </row>
    <row r="17679" spans="1:4" ht="12.75" customHeight="1" x14ac:dyDescent="0.2">
      <c r="B17679" s="11" t="s">
        <v>16</v>
      </c>
      <c r="C17679" s="17"/>
      <c r="D17679" s="2"/>
    </row>
    <row r="17680" spans="1:4" ht="12.75" customHeight="1" x14ac:dyDescent="0.2">
      <c r="B17680" s="11" t="s">
        <v>13</v>
      </c>
      <c r="C17680" s="17" t="s">
        <v>2602</v>
      </c>
      <c r="D17680" s="2"/>
    </row>
    <row r="17681" spans="1:4" ht="25.5" customHeight="1" x14ac:dyDescent="0.2">
      <c r="B17681" s="11" t="s">
        <v>2603</v>
      </c>
      <c r="C17681" s="17" t="s">
        <v>2971</v>
      </c>
      <c r="D17681" s="2"/>
    </row>
    <row r="17682" spans="1:4" ht="12.75" customHeight="1" x14ac:dyDescent="0.2">
      <c r="B17682" s="11" t="s">
        <v>2605</v>
      </c>
      <c r="C17682" s="17" t="s">
        <v>14</v>
      </c>
      <c r="D17682" s="2"/>
    </row>
    <row r="17683" spans="1:4" ht="12.75" customHeight="1" x14ac:dyDescent="0.2">
      <c r="B17683" s="11" t="s">
        <v>2606</v>
      </c>
      <c r="C17683" s="16" t="s">
        <v>19</v>
      </c>
      <c r="D17683" s="2"/>
    </row>
    <row r="17684" spans="1:4" ht="12.75" customHeight="1" x14ac:dyDescent="0.2">
      <c r="B17684" s="2"/>
      <c r="C17684" s="15"/>
      <c r="D17684" s="2"/>
    </row>
    <row r="17685" spans="1:4" ht="12.75" customHeight="1" x14ac:dyDescent="0.2">
      <c r="B17685" s="2"/>
      <c r="C17685" s="15"/>
      <c r="D17685" s="2"/>
    </row>
    <row r="17686" spans="1:4" ht="12.75" customHeight="1" x14ac:dyDescent="0.2">
      <c r="A17686" s="13" t="s">
        <v>5379</v>
      </c>
      <c r="C17686" s="12"/>
      <c r="D17686" s="2"/>
    </row>
    <row r="17687" spans="1:4" ht="12.75" customHeight="1" x14ac:dyDescent="0.2">
      <c r="A17687" s="11"/>
      <c r="B17687" s="2"/>
      <c r="C17687" s="15"/>
      <c r="D17687" s="2"/>
    </row>
    <row r="17688" spans="1:4" ht="12.75" customHeight="1" x14ac:dyDescent="0.2">
      <c r="B17688" s="11" t="s">
        <v>0</v>
      </c>
      <c r="C17688" s="17" t="s">
        <v>1012</v>
      </c>
      <c r="D17688" s="2"/>
    </row>
    <row r="17689" spans="1:4" ht="12.75" customHeight="1" x14ac:dyDescent="0.2">
      <c r="B17689" s="11" t="s">
        <v>2599</v>
      </c>
      <c r="C17689" s="17" t="s">
        <v>5103</v>
      </c>
      <c r="D17689" s="2"/>
    </row>
    <row r="17690" spans="1:4" ht="25.5" customHeight="1" x14ac:dyDescent="0.2">
      <c r="B17690" s="11" t="s">
        <v>2600</v>
      </c>
      <c r="C17690" s="17" t="s">
        <v>5436</v>
      </c>
      <c r="D17690" s="2"/>
    </row>
    <row r="17691" spans="1:4" ht="25.5" customHeight="1" x14ac:dyDescent="0.2">
      <c r="B17691" s="11" t="s">
        <v>2601</v>
      </c>
      <c r="C17691" s="17"/>
      <c r="D17691" s="2"/>
    </row>
    <row r="17692" spans="1:4" ht="12.75" customHeight="1" x14ac:dyDescent="0.2">
      <c r="B17692" s="11" t="s">
        <v>16</v>
      </c>
      <c r="C17692" s="17"/>
      <c r="D17692" s="2"/>
    </row>
    <row r="17693" spans="1:4" ht="12.75" customHeight="1" x14ac:dyDescent="0.2">
      <c r="B17693" s="11" t="s">
        <v>13</v>
      </c>
      <c r="C17693" s="17" t="s">
        <v>2644</v>
      </c>
      <c r="D17693" s="2"/>
    </row>
    <row r="17694" spans="1:4" ht="25.5" customHeight="1" x14ac:dyDescent="0.2">
      <c r="B17694" s="11" t="s">
        <v>2603</v>
      </c>
      <c r="C17694" s="17" t="s">
        <v>2971</v>
      </c>
      <c r="D17694" s="2"/>
    </row>
    <row r="17695" spans="1:4" ht="12.75" customHeight="1" x14ac:dyDescent="0.2">
      <c r="B17695" s="11" t="s">
        <v>2605</v>
      </c>
      <c r="C17695" s="17" t="s">
        <v>14</v>
      </c>
      <c r="D17695" s="2"/>
    </row>
    <row r="17696" spans="1:4" ht="12.75" customHeight="1" x14ac:dyDescent="0.2">
      <c r="B17696" s="11" t="s">
        <v>2606</v>
      </c>
      <c r="C17696" s="16" t="s">
        <v>19</v>
      </c>
      <c r="D17696" s="2"/>
    </row>
    <row r="17697" spans="1:4" ht="12.75" customHeight="1" x14ac:dyDescent="0.2">
      <c r="B17697" s="2"/>
      <c r="C17697" s="15"/>
      <c r="D17697" s="2"/>
    </row>
    <row r="17698" spans="1:4" ht="12.75" customHeight="1" x14ac:dyDescent="0.2">
      <c r="B17698" s="2"/>
      <c r="C17698" s="15"/>
      <c r="D17698" s="2"/>
    </row>
    <row r="17699" spans="1:4" ht="12.75" customHeight="1" x14ac:dyDescent="0.2">
      <c r="A17699" s="13" t="s">
        <v>5381</v>
      </c>
      <c r="C17699" s="12"/>
      <c r="D17699" s="2"/>
    </row>
    <row r="17700" spans="1:4" ht="12.75" customHeight="1" x14ac:dyDescent="0.2">
      <c r="A17700" s="11"/>
      <c r="B17700" s="2"/>
      <c r="C17700" s="15"/>
      <c r="D17700" s="2"/>
    </row>
    <row r="17701" spans="1:4" ht="12.75" customHeight="1" x14ac:dyDescent="0.2">
      <c r="B17701" s="11" t="s">
        <v>0</v>
      </c>
      <c r="C17701" s="17" t="s">
        <v>1012</v>
      </c>
      <c r="D17701" s="2"/>
    </row>
    <row r="17702" spans="1:4" ht="12.75" customHeight="1" x14ac:dyDescent="0.2">
      <c r="B17702" s="11" t="s">
        <v>2599</v>
      </c>
      <c r="C17702" s="17" t="s">
        <v>5106</v>
      </c>
      <c r="D17702" s="2"/>
    </row>
    <row r="17703" spans="1:4" ht="25.5" customHeight="1" x14ac:dyDescent="0.2">
      <c r="B17703" s="11" t="s">
        <v>2600</v>
      </c>
      <c r="C17703" s="17" t="s">
        <v>5438</v>
      </c>
      <c r="D17703" s="2"/>
    </row>
    <row r="17704" spans="1:4" ht="25.5" customHeight="1" x14ac:dyDescent="0.2">
      <c r="B17704" s="11" t="s">
        <v>2601</v>
      </c>
      <c r="C17704" s="17"/>
      <c r="D17704" s="2"/>
    </row>
    <row r="17705" spans="1:4" ht="12.75" customHeight="1" x14ac:dyDescent="0.2">
      <c r="B17705" s="11" t="s">
        <v>16</v>
      </c>
      <c r="C17705" s="17"/>
      <c r="D17705" s="2"/>
    </row>
    <row r="17706" spans="1:4" ht="12.75" customHeight="1" x14ac:dyDescent="0.2">
      <c r="B17706" s="11" t="s">
        <v>13</v>
      </c>
      <c r="C17706" s="17" t="s">
        <v>2602</v>
      </c>
      <c r="D17706" s="2"/>
    </row>
    <row r="17707" spans="1:4" ht="25.5" customHeight="1" x14ac:dyDescent="0.2">
      <c r="B17707" s="11" t="s">
        <v>2603</v>
      </c>
      <c r="C17707" s="17" t="s">
        <v>2971</v>
      </c>
      <c r="D17707" s="2"/>
    </row>
    <row r="17708" spans="1:4" ht="12.75" customHeight="1" x14ac:dyDescent="0.2">
      <c r="B17708" s="11" t="s">
        <v>2605</v>
      </c>
      <c r="C17708" s="17" t="s">
        <v>14</v>
      </c>
      <c r="D17708" s="2"/>
    </row>
    <row r="17709" spans="1:4" ht="12.75" customHeight="1" x14ac:dyDescent="0.2">
      <c r="B17709" s="11" t="s">
        <v>2606</v>
      </c>
      <c r="C17709" s="16" t="s">
        <v>19</v>
      </c>
      <c r="D17709" s="2"/>
    </row>
    <row r="17710" spans="1:4" ht="12.75" customHeight="1" x14ac:dyDescent="0.2">
      <c r="B17710" s="2"/>
      <c r="C17710" s="15"/>
      <c r="D17710" s="2"/>
    </row>
    <row r="17711" spans="1:4" ht="12.75" customHeight="1" x14ac:dyDescent="0.2">
      <c r="B17711" s="2"/>
      <c r="C17711" s="15"/>
      <c r="D17711" s="2"/>
    </row>
    <row r="17712" spans="1:4" ht="12.75" customHeight="1" x14ac:dyDescent="0.2">
      <c r="A17712" s="13" t="s">
        <v>5383</v>
      </c>
      <c r="C17712" s="12"/>
      <c r="D17712" s="2"/>
    </row>
    <row r="17713" spans="1:4" ht="12.75" customHeight="1" x14ac:dyDescent="0.2">
      <c r="A17713" s="11"/>
      <c r="B17713" s="2"/>
      <c r="C17713" s="15"/>
      <c r="D17713" s="2"/>
    </row>
    <row r="17714" spans="1:4" ht="12.75" customHeight="1" x14ac:dyDescent="0.2">
      <c r="B17714" s="11" t="s">
        <v>0</v>
      </c>
      <c r="C17714" s="17" t="s">
        <v>1012</v>
      </c>
      <c r="D17714" s="2"/>
    </row>
    <row r="17715" spans="1:4" ht="12.75" customHeight="1" x14ac:dyDescent="0.2">
      <c r="B17715" s="11" t="s">
        <v>2599</v>
      </c>
      <c r="C17715" s="17" t="s">
        <v>5109</v>
      </c>
      <c r="D17715" s="2"/>
    </row>
    <row r="17716" spans="1:4" ht="25.5" customHeight="1" x14ac:dyDescent="0.2">
      <c r="B17716" s="11" t="s">
        <v>2600</v>
      </c>
      <c r="C17716" s="17" t="s">
        <v>5439</v>
      </c>
      <c r="D17716" s="2"/>
    </row>
    <row r="17717" spans="1:4" ht="25.5" customHeight="1" x14ac:dyDescent="0.2">
      <c r="B17717" s="11" t="s">
        <v>2601</v>
      </c>
      <c r="C17717" s="17"/>
      <c r="D17717" s="2"/>
    </row>
    <row r="17718" spans="1:4" ht="12.75" customHeight="1" x14ac:dyDescent="0.2">
      <c r="B17718" s="11" t="s">
        <v>16</v>
      </c>
      <c r="C17718" s="17"/>
      <c r="D17718" s="2"/>
    </row>
    <row r="17719" spans="1:4" ht="12.75" customHeight="1" x14ac:dyDescent="0.2">
      <c r="B17719" s="11" t="s">
        <v>13</v>
      </c>
      <c r="C17719" s="17" t="s">
        <v>2644</v>
      </c>
      <c r="D17719" s="2"/>
    </row>
    <row r="17720" spans="1:4" ht="25.5" customHeight="1" x14ac:dyDescent="0.2">
      <c r="B17720" s="11" t="s">
        <v>2603</v>
      </c>
      <c r="C17720" s="17" t="s">
        <v>2971</v>
      </c>
      <c r="D17720" s="2"/>
    </row>
    <row r="17721" spans="1:4" ht="12.75" customHeight="1" x14ac:dyDescent="0.2">
      <c r="B17721" s="11" t="s">
        <v>2605</v>
      </c>
      <c r="C17721" s="17" t="s">
        <v>14</v>
      </c>
      <c r="D17721" s="2"/>
    </row>
    <row r="17722" spans="1:4" ht="12.75" customHeight="1" x14ac:dyDescent="0.2">
      <c r="B17722" s="11" t="s">
        <v>2606</v>
      </c>
      <c r="C17722" s="16" t="s">
        <v>19</v>
      </c>
      <c r="D17722" s="2"/>
    </row>
    <row r="17723" spans="1:4" ht="12.75" customHeight="1" x14ac:dyDescent="0.2">
      <c r="B17723" s="2"/>
      <c r="C17723" s="15"/>
      <c r="D17723" s="2"/>
    </row>
    <row r="17724" spans="1:4" ht="12.75" customHeight="1" x14ac:dyDescent="0.2">
      <c r="B17724" s="2"/>
      <c r="C17724" s="15"/>
      <c r="D17724" s="2"/>
    </row>
    <row r="17725" spans="1:4" ht="12.75" customHeight="1" x14ac:dyDescent="0.2">
      <c r="A17725" s="13" t="s">
        <v>5440</v>
      </c>
      <c r="C17725" s="12"/>
    </row>
    <row r="17726" spans="1:4" ht="12.75" customHeight="1" x14ac:dyDescent="0.2">
      <c r="A17726" s="11"/>
      <c r="B17726" s="2"/>
      <c r="C17726" s="15"/>
      <c r="D17726" s="2"/>
    </row>
    <row r="17727" spans="1:4" ht="12.75" customHeight="1" x14ac:dyDescent="0.2">
      <c r="B17727" s="11" t="s">
        <v>0</v>
      </c>
      <c r="C17727" s="11" t="s">
        <v>1012</v>
      </c>
    </row>
    <row r="17728" spans="1:4" ht="12.75" customHeight="1" x14ac:dyDescent="0.2">
      <c r="B17728" s="11" t="s">
        <v>2599</v>
      </c>
      <c r="C17728" s="11" t="s">
        <v>5441</v>
      </c>
    </row>
    <row r="17729" spans="1:4" ht="25.5" customHeight="1" x14ac:dyDescent="0.2">
      <c r="B17729" s="11" t="s">
        <v>2600</v>
      </c>
      <c r="C17729" s="11" t="s">
        <v>5442</v>
      </c>
    </row>
    <row r="17730" spans="1:4" ht="25.5" customHeight="1" x14ac:dyDescent="0.2">
      <c r="B17730" s="11" t="s">
        <v>2601</v>
      </c>
      <c r="C17730" s="11"/>
    </row>
    <row r="17731" spans="1:4" ht="12.75" customHeight="1" x14ac:dyDescent="0.2">
      <c r="B17731" s="11" t="s">
        <v>16</v>
      </c>
      <c r="C17731" s="11"/>
    </row>
    <row r="17732" spans="1:4" ht="12.75" customHeight="1" x14ac:dyDescent="0.2">
      <c r="B17732" s="11" t="s">
        <v>13</v>
      </c>
      <c r="C17732" s="11" t="s">
        <v>2644</v>
      </c>
    </row>
    <row r="17733" spans="1:4" ht="12.75" customHeight="1" x14ac:dyDescent="0.2">
      <c r="B17733" s="11" t="s">
        <v>2603</v>
      </c>
      <c r="C17733" s="11" t="s">
        <v>2604</v>
      </c>
    </row>
    <row r="17734" spans="1:4" ht="12.75" customHeight="1" x14ac:dyDescent="0.2">
      <c r="B17734" s="11" t="s">
        <v>2605</v>
      </c>
      <c r="C17734" s="11" t="s">
        <v>24</v>
      </c>
    </row>
    <row r="17735" spans="1:4" ht="12.75" customHeight="1" x14ac:dyDescent="0.2">
      <c r="B17735" s="11" t="s">
        <v>2606</v>
      </c>
      <c r="C17735" s="16" t="s">
        <v>56</v>
      </c>
      <c r="D17735" s="6" t="str">
        <f>HYPERLINK("javascript:void(0)","fülpenge")</f>
        <v>fülpenge</v>
      </c>
    </row>
    <row r="17736" spans="1:4" ht="12.75" customHeight="1" x14ac:dyDescent="0.2">
      <c r="C17736" s="16" t="s">
        <v>309</v>
      </c>
      <c r="D17736" s="6" t="str">
        <f>HYPERLINK("javascript:void(0)","kincs")</f>
        <v>kincs</v>
      </c>
    </row>
    <row r="17737" spans="1:4" ht="12.75" customHeight="1" x14ac:dyDescent="0.2">
      <c r="B17737" s="2"/>
      <c r="C17737" s="15"/>
      <c r="D17737" s="2"/>
    </row>
    <row r="17738" spans="1:4" ht="12.75" customHeight="1" x14ac:dyDescent="0.2">
      <c r="B17738" s="2"/>
      <c r="C17738" s="15"/>
      <c r="D17738" s="2"/>
    </row>
    <row r="17739" spans="1:4" ht="12.75" customHeight="1" x14ac:dyDescent="0.2">
      <c r="A17739" s="13" t="s">
        <v>5443</v>
      </c>
      <c r="C17739" s="12"/>
    </row>
    <row r="17740" spans="1:4" ht="12.75" customHeight="1" x14ac:dyDescent="0.2">
      <c r="A17740" s="11"/>
      <c r="B17740" s="2"/>
      <c r="C17740" s="15"/>
      <c r="D17740" s="2"/>
    </row>
    <row r="17741" spans="1:4" ht="12.75" customHeight="1" x14ac:dyDescent="0.2">
      <c r="B17741" s="11" t="s">
        <v>0</v>
      </c>
      <c r="C17741" s="11" t="s">
        <v>1012</v>
      </c>
    </row>
    <row r="17742" spans="1:4" ht="12.75" customHeight="1" x14ac:dyDescent="0.2">
      <c r="B17742" s="11" t="s">
        <v>2599</v>
      </c>
      <c r="C17742" s="11" t="s">
        <v>5444</v>
      </c>
    </row>
    <row r="17743" spans="1:4" ht="25.5" customHeight="1" x14ac:dyDescent="0.2">
      <c r="B17743" s="11" t="s">
        <v>2600</v>
      </c>
      <c r="C17743" s="11" t="s">
        <v>5445</v>
      </c>
    </row>
    <row r="17744" spans="1:4" ht="25.5" customHeight="1" x14ac:dyDescent="0.2">
      <c r="B17744" s="11" t="s">
        <v>2601</v>
      </c>
      <c r="C17744" s="11"/>
    </row>
    <row r="17745" spans="1:4" ht="12.75" customHeight="1" x14ac:dyDescent="0.2">
      <c r="B17745" s="11" t="s">
        <v>16</v>
      </c>
      <c r="C17745" s="11"/>
    </row>
    <row r="17746" spans="1:4" ht="12.75" customHeight="1" x14ac:dyDescent="0.2">
      <c r="B17746" s="11" t="s">
        <v>13</v>
      </c>
      <c r="C17746" s="11" t="s">
        <v>2602</v>
      </c>
    </row>
    <row r="17747" spans="1:4" ht="12.75" customHeight="1" x14ac:dyDescent="0.2">
      <c r="B17747" s="11" t="s">
        <v>2603</v>
      </c>
      <c r="C17747" s="11" t="s">
        <v>2604</v>
      </c>
    </row>
    <row r="17748" spans="1:4" ht="12.75" customHeight="1" x14ac:dyDescent="0.2">
      <c r="B17748" s="11" t="s">
        <v>2605</v>
      </c>
      <c r="C17748" s="11" t="s">
        <v>14</v>
      </c>
    </row>
    <row r="17749" spans="1:4" ht="12.75" customHeight="1" x14ac:dyDescent="0.2">
      <c r="B17749" s="11" t="s">
        <v>2606</v>
      </c>
      <c r="C17749" s="16" t="s">
        <v>98</v>
      </c>
      <c r="D17749" s="6" t="str">
        <f>HYPERLINK("javascript:void(0)","kincs")</f>
        <v>kincs</v>
      </c>
    </row>
    <row r="17750" spans="1:4" ht="12.75" customHeight="1" x14ac:dyDescent="0.2">
      <c r="B17750" s="2"/>
      <c r="C17750" s="15"/>
      <c r="D17750" s="2"/>
    </row>
    <row r="17751" spans="1:4" ht="12.75" customHeight="1" x14ac:dyDescent="0.2">
      <c r="B17751" s="2"/>
      <c r="C17751" s="15"/>
      <c r="D17751" s="2"/>
    </row>
    <row r="17752" spans="1:4" ht="12.75" customHeight="1" x14ac:dyDescent="0.2">
      <c r="A17752" s="13" t="s">
        <v>5446</v>
      </c>
      <c r="C17752" s="12"/>
    </row>
    <row r="17753" spans="1:4" ht="12.75" customHeight="1" x14ac:dyDescent="0.2">
      <c r="A17753" s="11"/>
      <c r="B17753" s="2"/>
      <c r="C17753" s="15"/>
      <c r="D17753" s="2"/>
    </row>
    <row r="17754" spans="1:4" ht="12.75" customHeight="1" x14ac:dyDescent="0.2">
      <c r="B17754" s="11" t="s">
        <v>0</v>
      </c>
      <c r="C17754" s="11" t="s">
        <v>1012</v>
      </c>
    </row>
    <row r="17755" spans="1:4" ht="12.75" customHeight="1" x14ac:dyDescent="0.2">
      <c r="B17755" s="11" t="s">
        <v>2599</v>
      </c>
      <c r="C17755" s="11" t="s">
        <v>5447</v>
      </c>
    </row>
    <row r="17756" spans="1:4" ht="25.5" customHeight="1" x14ac:dyDescent="0.2">
      <c r="B17756" s="11" t="s">
        <v>2600</v>
      </c>
      <c r="C17756" s="11" t="s">
        <v>5448</v>
      </c>
    </row>
    <row r="17757" spans="1:4" ht="25.5" customHeight="1" x14ac:dyDescent="0.2">
      <c r="B17757" s="11" t="s">
        <v>2601</v>
      </c>
      <c r="C17757" s="11"/>
    </row>
    <row r="17758" spans="1:4" ht="12.75" customHeight="1" x14ac:dyDescent="0.2">
      <c r="B17758" s="11" t="s">
        <v>16</v>
      </c>
      <c r="C17758" s="11"/>
    </row>
    <row r="17759" spans="1:4" ht="12.75" customHeight="1" x14ac:dyDescent="0.2">
      <c r="B17759" s="11" t="s">
        <v>13</v>
      </c>
      <c r="C17759" s="11" t="s">
        <v>2602</v>
      </c>
    </row>
    <row r="17760" spans="1:4" ht="12.75" customHeight="1" x14ac:dyDescent="0.2">
      <c r="B17760" s="11" t="s">
        <v>2603</v>
      </c>
      <c r="C17760" s="11" t="s">
        <v>2604</v>
      </c>
    </row>
    <row r="17761" spans="1:4" ht="12.75" customHeight="1" x14ac:dyDescent="0.2">
      <c r="B17761" s="11" t="s">
        <v>2605</v>
      </c>
      <c r="C17761" s="11" t="s">
        <v>24</v>
      </c>
    </row>
    <row r="17762" spans="1:4" ht="25.5" customHeight="1" x14ac:dyDescent="0.2">
      <c r="B17762" s="11" t="s">
        <v>2606</v>
      </c>
      <c r="C17762" s="16" t="s">
        <v>55</v>
      </c>
      <c r="D17762" s="6" t="str">
        <f>HYPERLINK("javascript:void(0)","nyulványkorbács")</f>
        <v>nyulványkorbács</v>
      </c>
    </row>
    <row r="17763" spans="1:4" ht="12.75" customHeight="1" x14ac:dyDescent="0.2">
      <c r="C17763" s="16" t="s">
        <v>286</v>
      </c>
      <c r="D17763" s="6" t="str">
        <f>HYPERLINK("javascript:void(0)","ezüst")</f>
        <v>ezüst</v>
      </c>
    </row>
    <row r="17764" spans="1:4" ht="12.75" customHeight="1" x14ac:dyDescent="0.2">
      <c r="B17764" s="2"/>
      <c r="C17764" s="15"/>
      <c r="D17764" s="2"/>
    </row>
    <row r="17765" spans="1:4" ht="12.75" customHeight="1" x14ac:dyDescent="0.2">
      <c r="B17765" s="2"/>
      <c r="C17765" s="15"/>
      <c r="D17765" s="2"/>
    </row>
    <row r="17766" spans="1:4" ht="12.75" customHeight="1" x14ac:dyDescent="0.2">
      <c r="A17766" s="13" t="s">
        <v>5449</v>
      </c>
      <c r="C17766" s="12"/>
    </row>
    <row r="17767" spans="1:4" ht="12.75" customHeight="1" x14ac:dyDescent="0.2">
      <c r="A17767" s="11"/>
      <c r="B17767" s="2"/>
      <c r="C17767" s="15"/>
      <c r="D17767" s="2"/>
    </row>
    <row r="17768" spans="1:4" ht="12.75" customHeight="1" x14ac:dyDescent="0.2">
      <c r="B17768" s="11" t="s">
        <v>0</v>
      </c>
      <c r="C17768" s="11" t="s">
        <v>1012</v>
      </c>
    </row>
    <row r="17769" spans="1:4" ht="12.75" customHeight="1" x14ac:dyDescent="0.2">
      <c r="B17769" s="11" t="s">
        <v>2599</v>
      </c>
      <c r="C17769" s="11" t="s">
        <v>5450</v>
      </c>
    </row>
    <row r="17770" spans="1:4" ht="25.5" customHeight="1" x14ac:dyDescent="0.2">
      <c r="B17770" s="11" t="s">
        <v>2600</v>
      </c>
      <c r="C17770" s="11" t="s">
        <v>5451</v>
      </c>
    </row>
    <row r="17771" spans="1:4" ht="25.5" customHeight="1" x14ac:dyDescent="0.2">
      <c r="B17771" s="11" t="s">
        <v>2601</v>
      </c>
      <c r="C17771" s="11"/>
    </row>
    <row r="17772" spans="1:4" ht="12.75" customHeight="1" x14ac:dyDescent="0.2">
      <c r="B17772" s="11" t="s">
        <v>16</v>
      </c>
      <c r="C17772" s="11"/>
    </row>
    <row r="17773" spans="1:4" ht="12.75" customHeight="1" x14ac:dyDescent="0.2">
      <c r="B17773" s="11" t="s">
        <v>13</v>
      </c>
      <c r="C17773" s="11" t="s">
        <v>2644</v>
      </c>
    </row>
    <row r="17774" spans="1:4" ht="12.75" customHeight="1" x14ac:dyDescent="0.2">
      <c r="B17774" s="11" t="s">
        <v>2603</v>
      </c>
      <c r="C17774" s="11" t="s">
        <v>2604</v>
      </c>
    </row>
    <row r="17775" spans="1:4" ht="12.75" customHeight="1" x14ac:dyDescent="0.2">
      <c r="B17775" s="11" t="s">
        <v>2605</v>
      </c>
      <c r="C17775" s="11" t="s">
        <v>14</v>
      </c>
    </row>
    <row r="17776" spans="1:4" ht="12.75" customHeight="1" x14ac:dyDescent="0.2">
      <c r="B17776" s="11" t="s">
        <v>2606</v>
      </c>
      <c r="C17776" s="16" t="s">
        <v>951</v>
      </c>
      <c r="D17776" s="6" t="str">
        <f>HYPERLINK("javascript:void(0)","ezüst")</f>
        <v>ezüst</v>
      </c>
    </row>
    <row r="17777" spans="1:4" ht="12.75" customHeight="1" x14ac:dyDescent="0.2">
      <c r="C17777" s="16" t="s">
        <v>98</v>
      </c>
      <c r="D17777" s="6" t="str">
        <f>HYPERLINK("javascript:void(0)","kincs")</f>
        <v>kincs</v>
      </c>
    </row>
    <row r="17778" spans="1:4" ht="12.75" customHeight="1" x14ac:dyDescent="0.2">
      <c r="B17778" s="2"/>
      <c r="C17778" s="15"/>
      <c r="D17778" s="2"/>
    </row>
    <row r="17779" spans="1:4" ht="12.75" customHeight="1" x14ac:dyDescent="0.2">
      <c r="B17779" s="2"/>
      <c r="C17779" s="15"/>
      <c r="D17779" s="2"/>
    </row>
    <row r="17780" spans="1:4" ht="12.75" customHeight="1" x14ac:dyDescent="0.2">
      <c r="A17780" s="13" t="s">
        <v>5452</v>
      </c>
      <c r="C17780" s="12"/>
    </row>
    <row r="17781" spans="1:4" ht="12.75" customHeight="1" x14ac:dyDescent="0.2">
      <c r="A17781" s="11"/>
      <c r="B17781" s="2"/>
      <c r="C17781" s="15"/>
      <c r="D17781" s="2"/>
    </row>
    <row r="17782" spans="1:4" ht="12.75" customHeight="1" x14ac:dyDescent="0.2">
      <c r="B17782" s="11" t="s">
        <v>0</v>
      </c>
      <c r="C17782" s="11" t="s">
        <v>1012</v>
      </c>
    </row>
    <row r="17783" spans="1:4" ht="12.75" customHeight="1" x14ac:dyDescent="0.2">
      <c r="B17783" s="11" t="s">
        <v>2599</v>
      </c>
      <c r="C17783" s="11" t="s">
        <v>5453</v>
      </c>
    </row>
    <row r="17784" spans="1:4" ht="25.5" customHeight="1" x14ac:dyDescent="0.2">
      <c r="B17784" s="11" t="s">
        <v>2600</v>
      </c>
      <c r="C17784" s="11" t="s">
        <v>5454</v>
      </c>
    </row>
    <row r="17785" spans="1:4" ht="25.5" customHeight="1" x14ac:dyDescent="0.2">
      <c r="B17785" s="11" t="s">
        <v>2601</v>
      </c>
      <c r="C17785" s="11"/>
    </row>
    <row r="17786" spans="1:4" ht="12.75" customHeight="1" x14ac:dyDescent="0.2">
      <c r="B17786" s="11" t="s">
        <v>16</v>
      </c>
      <c r="C17786" s="11"/>
    </row>
    <row r="17787" spans="1:4" ht="12.75" customHeight="1" x14ac:dyDescent="0.2">
      <c r="B17787" s="11" t="s">
        <v>13</v>
      </c>
      <c r="C17787" s="11" t="s">
        <v>2644</v>
      </c>
    </row>
    <row r="17788" spans="1:4" ht="12.75" customHeight="1" x14ac:dyDescent="0.2">
      <c r="B17788" s="11" t="s">
        <v>2603</v>
      </c>
      <c r="C17788" s="11" t="s">
        <v>2604</v>
      </c>
    </row>
    <row r="17789" spans="1:4" ht="12.75" customHeight="1" x14ac:dyDescent="0.2">
      <c r="B17789" s="11" t="s">
        <v>2605</v>
      </c>
      <c r="C17789" s="11" t="s">
        <v>14</v>
      </c>
    </row>
    <row r="17790" spans="1:4" ht="12.75" customHeight="1" x14ac:dyDescent="0.2">
      <c r="B17790" s="11" t="s">
        <v>2606</v>
      </c>
      <c r="C17790" s="16" t="s">
        <v>98</v>
      </c>
      <c r="D17790" s="6" t="str">
        <f>HYPERLINK("javascript:void(0)","kincs")</f>
        <v>kincs</v>
      </c>
    </row>
    <row r="17791" spans="1:4" ht="12.75" customHeight="1" x14ac:dyDescent="0.2">
      <c r="B17791" s="2"/>
      <c r="C17791" s="15"/>
      <c r="D17791" s="2"/>
    </row>
    <row r="17792" spans="1:4" ht="12.75" customHeight="1" x14ac:dyDescent="0.2">
      <c r="B17792" s="2"/>
      <c r="C17792" s="15"/>
      <c r="D17792" s="2"/>
    </row>
    <row r="17793" spans="1:4" ht="12.75" customHeight="1" x14ac:dyDescent="0.2">
      <c r="A17793" s="13" t="s">
        <v>5455</v>
      </c>
      <c r="C17793" s="12"/>
    </row>
    <row r="17794" spans="1:4" ht="12.75" customHeight="1" x14ac:dyDescent="0.2">
      <c r="A17794" s="11"/>
      <c r="B17794" s="2"/>
      <c r="C17794" s="15"/>
      <c r="D17794" s="2"/>
    </row>
    <row r="17795" spans="1:4" ht="12.75" customHeight="1" x14ac:dyDescent="0.2">
      <c r="B17795" s="11" t="s">
        <v>0</v>
      </c>
      <c r="C17795" s="11" t="s">
        <v>1012</v>
      </c>
    </row>
    <row r="17796" spans="1:4" ht="12.75" customHeight="1" x14ac:dyDescent="0.2">
      <c r="B17796" s="11" t="s">
        <v>2599</v>
      </c>
      <c r="C17796" s="11" t="s">
        <v>5427</v>
      </c>
    </row>
    <row r="17797" spans="1:4" ht="25.5" customHeight="1" x14ac:dyDescent="0.2">
      <c r="B17797" s="11" t="s">
        <v>2600</v>
      </c>
      <c r="C17797" s="11" t="s">
        <v>5456</v>
      </c>
    </row>
    <row r="17798" spans="1:4" ht="25.5" customHeight="1" x14ac:dyDescent="0.2">
      <c r="B17798" s="11" t="s">
        <v>2601</v>
      </c>
      <c r="C17798" s="11"/>
    </row>
    <row r="17799" spans="1:4" ht="12.75" customHeight="1" x14ac:dyDescent="0.2">
      <c r="B17799" s="11" t="s">
        <v>16</v>
      </c>
      <c r="C17799" s="11"/>
    </row>
    <row r="17800" spans="1:4" ht="12.75" customHeight="1" x14ac:dyDescent="0.2">
      <c r="B17800" s="11" t="s">
        <v>13</v>
      </c>
      <c r="C17800" s="11" t="s">
        <v>2602</v>
      </c>
    </row>
    <row r="17801" spans="1:4" ht="12.75" customHeight="1" x14ac:dyDescent="0.2">
      <c r="B17801" s="11" t="s">
        <v>2603</v>
      </c>
      <c r="C17801" s="11" t="s">
        <v>2604</v>
      </c>
    </row>
    <row r="17802" spans="1:4" ht="12.75" customHeight="1" x14ac:dyDescent="0.2">
      <c r="B17802" s="11" t="s">
        <v>2605</v>
      </c>
      <c r="C17802" s="11" t="s">
        <v>14</v>
      </c>
    </row>
    <row r="17803" spans="1:4" ht="12.75" customHeight="1" x14ac:dyDescent="0.2">
      <c r="B17803" s="11" t="s">
        <v>2606</v>
      </c>
      <c r="C17803" s="16" t="s">
        <v>98</v>
      </c>
      <c r="D17803" s="6" t="str">
        <f>HYPERLINK("javascript:void(0)","kincs")</f>
        <v>kincs</v>
      </c>
    </row>
    <row r="17804" spans="1:4" ht="12.75" customHeight="1" x14ac:dyDescent="0.2">
      <c r="B17804" s="2"/>
      <c r="C17804" s="15"/>
      <c r="D17804" s="2"/>
    </row>
    <row r="17805" spans="1:4" ht="12.75" customHeight="1" x14ac:dyDescent="0.2">
      <c r="B17805" s="2"/>
      <c r="C17805" s="15"/>
      <c r="D17805" s="2"/>
    </row>
    <row r="17806" spans="1:4" ht="12.75" customHeight="1" x14ac:dyDescent="0.2">
      <c r="A17806" s="13" t="s">
        <v>5457</v>
      </c>
      <c r="C17806" s="12"/>
    </row>
    <row r="17807" spans="1:4" ht="12.75" customHeight="1" x14ac:dyDescent="0.2">
      <c r="A17807" s="11"/>
      <c r="B17807" s="2"/>
      <c r="C17807" s="15"/>
      <c r="D17807" s="2"/>
    </row>
    <row r="17808" spans="1:4" ht="12.75" customHeight="1" x14ac:dyDescent="0.2">
      <c r="B17808" s="11" t="s">
        <v>0</v>
      </c>
      <c r="C17808" s="11" t="s">
        <v>1012</v>
      </c>
    </row>
    <row r="17809" spans="1:4" ht="12.75" customHeight="1" x14ac:dyDescent="0.2">
      <c r="B17809" s="11" t="s">
        <v>2599</v>
      </c>
      <c r="C17809" s="11" t="s">
        <v>5458</v>
      </c>
    </row>
    <row r="17810" spans="1:4" ht="25.5" customHeight="1" x14ac:dyDescent="0.2">
      <c r="B17810" s="11" t="s">
        <v>2600</v>
      </c>
      <c r="C17810" s="11" t="s">
        <v>5459</v>
      </c>
    </row>
    <row r="17811" spans="1:4" ht="25.5" customHeight="1" x14ac:dyDescent="0.2">
      <c r="B17811" s="11" t="s">
        <v>2601</v>
      </c>
      <c r="C17811" s="11"/>
    </row>
    <row r="17812" spans="1:4" ht="12.75" customHeight="1" x14ac:dyDescent="0.2">
      <c r="B17812" s="11" t="s">
        <v>16</v>
      </c>
      <c r="C17812" s="11"/>
    </row>
    <row r="17813" spans="1:4" ht="12.75" customHeight="1" x14ac:dyDescent="0.2">
      <c r="B17813" s="11" t="s">
        <v>13</v>
      </c>
      <c r="C17813" s="11" t="s">
        <v>2602</v>
      </c>
    </row>
    <row r="17814" spans="1:4" ht="12.75" customHeight="1" x14ac:dyDescent="0.2">
      <c r="B17814" s="11" t="s">
        <v>2603</v>
      </c>
      <c r="C17814" s="11" t="s">
        <v>2604</v>
      </c>
    </row>
    <row r="17815" spans="1:4" ht="12.75" customHeight="1" x14ac:dyDescent="0.2">
      <c r="B17815" s="11" t="s">
        <v>2605</v>
      </c>
      <c r="C17815" s="11" t="s">
        <v>24</v>
      </c>
    </row>
    <row r="17816" spans="1:4" ht="12.75" customHeight="1" x14ac:dyDescent="0.2">
      <c r="B17816" s="11" t="s">
        <v>2606</v>
      </c>
      <c r="C17816" s="16" t="s">
        <v>44</v>
      </c>
      <c r="D17816" s="6" t="str">
        <f>HYPERLINK("javascript:void(0)","antiige")</f>
        <v>antiige</v>
      </c>
    </row>
    <row r="17817" spans="1:4" ht="12.75" customHeight="1" x14ac:dyDescent="0.2">
      <c r="C17817" s="16" t="s">
        <v>44</v>
      </c>
      <c r="D17817" s="6" t="str">
        <f>HYPERLINK("javascript:void(0)","aszályige")</f>
        <v>aszályige</v>
      </c>
    </row>
    <row r="17818" spans="1:4" ht="12.75" customHeight="1" x14ac:dyDescent="0.2">
      <c r="B17818" s="2"/>
      <c r="C17818" s="15"/>
      <c r="D17818" s="2"/>
    </row>
    <row r="17819" spans="1:4" ht="12.75" customHeight="1" x14ac:dyDescent="0.2">
      <c r="B17819" s="2"/>
      <c r="C17819" s="15"/>
      <c r="D17819" s="2"/>
    </row>
    <row r="17820" spans="1:4" ht="12.75" customHeight="1" x14ac:dyDescent="0.2">
      <c r="A17820" s="13" t="s">
        <v>5461</v>
      </c>
      <c r="C17820" s="12"/>
    </row>
    <row r="17821" spans="1:4" ht="12.75" customHeight="1" x14ac:dyDescent="0.2">
      <c r="A17821" s="11"/>
      <c r="B17821" s="2"/>
      <c r="C17821" s="15"/>
      <c r="D17821" s="2"/>
    </row>
    <row r="17822" spans="1:4" ht="12.75" customHeight="1" x14ac:dyDescent="0.2">
      <c r="B17822" s="11" t="s">
        <v>0</v>
      </c>
      <c r="C17822" s="11" t="s">
        <v>1012</v>
      </c>
    </row>
    <row r="17823" spans="1:4" ht="12.75" customHeight="1" x14ac:dyDescent="0.2">
      <c r="B17823" s="11" t="s">
        <v>2599</v>
      </c>
      <c r="C17823" s="11" t="s">
        <v>3296</v>
      </c>
    </row>
    <row r="17824" spans="1:4" ht="25.5" customHeight="1" x14ac:dyDescent="0.2">
      <c r="B17824" s="11" t="s">
        <v>2600</v>
      </c>
      <c r="C17824" s="11" t="s">
        <v>5462</v>
      </c>
    </row>
    <row r="17825" spans="1:4" ht="25.5" customHeight="1" x14ac:dyDescent="0.2">
      <c r="B17825" s="11" t="s">
        <v>2601</v>
      </c>
      <c r="C17825" s="11"/>
    </row>
    <row r="17826" spans="1:4" ht="12.75" customHeight="1" x14ac:dyDescent="0.2">
      <c r="B17826" s="11" t="s">
        <v>16</v>
      </c>
      <c r="C17826" s="11"/>
    </row>
    <row r="17827" spans="1:4" ht="12.75" customHeight="1" x14ac:dyDescent="0.2">
      <c r="B17827" s="11" t="s">
        <v>13</v>
      </c>
      <c r="C17827" s="11" t="s">
        <v>2644</v>
      </c>
    </row>
    <row r="17828" spans="1:4" ht="12.75" customHeight="1" x14ac:dyDescent="0.2">
      <c r="B17828" s="11" t="s">
        <v>2603</v>
      </c>
      <c r="C17828" s="11" t="s">
        <v>2604</v>
      </c>
    </row>
    <row r="17829" spans="1:4" ht="12.75" customHeight="1" x14ac:dyDescent="0.2">
      <c r="B17829" s="11" t="s">
        <v>2605</v>
      </c>
      <c r="C17829" s="11" t="s">
        <v>24</v>
      </c>
    </row>
    <row r="17830" spans="1:4" ht="25.5" customHeight="1" x14ac:dyDescent="0.2">
      <c r="B17830" s="11" t="s">
        <v>2606</v>
      </c>
      <c r="C17830" s="16" t="s">
        <v>44</v>
      </c>
      <c r="D17830" s="6" t="str">
        <f>HYPERLINK("javascript:void(0)","tudásmorzsa")</f>
        <v>tudásmorzsa</v>
      </c>
    </row>
    <row r="17831" spans="1:4" ht="12.75" customHeight="1" x14ac:dyDescent="0.2">
      <c r="C17831" s="16" t="s">
        <v>44</v>
      </c>
      <c r="D17831" s="6" t="str">
        <f>HYPERLINK("javascript:void(0)","törtvény")</f>
        <v>törtvény</v>
      </c>
    </row>
    <row r="17832" spans="1:4" ht="12.75" customHeight="1" x14ac:dyDescent="0.2">
      <c r="B17832" s="2"/>
      <c r="C17832" s="15"/>
      <c r="D17832" s="2"/>
    </row>
    <row r="17833" spans="1:4" ht="12.75" customHeight="1" x14ac:dyDescent="0.2">
      <c r="B17833" s="2"/>
      <c r="C17833" s="15"/>
      <c r="D17833" s="2"/>
    </row>
    <row r="17834" spans="1:4" ht="12.75" customHeight="1" x14ac:dyDescent="0.2">
      <c r="A17834" s="13" t="s">
        <v>5407</v>
      </c>
      <c r="C17834" s="12"/>
      <c r="D17834" s="2"/>
    </row>
    <row r="17835" spans="1:4" ht="12.75" customHeight="1" x14ac:dyDescent="0.2">
      <c r="A17835" s="11"/>
      <c r="B17835" s="2"/>
      <c r="C17835" s="15"/>
      <c r="D17835" s="2"/>
    </row>
    <row r="17836" spans="1:4" ht="12.75" customHeight="1" x14ac:dyDescent="0.2">
      <c r="B17836" s="11" t="s">
        <v>0</v>
      </c>
      <c r="C17836" s="17" t="s">
        <v>1012</v>
      </c>
      <c r="D17836" s="2"/>
    </row>
    <row r="17837" spans="1:4" ht="12.75" customHeight="1" x14ac:dyDescent="0.2">
      <c r="B17837" s="11" t="s">
        <v>2599</v>
      </c>
      <c r="C17837" s="17" t="s">
        <v>5135</v>
      </c>
      <c r="D17837" s="2"/>
    </row>
    <row r="17838" spans="1:4" ht="25.5" customHeight="1" x14ac:dyDescent="0.2">
      <c r="B17838" s="11" t="s">
        <v>2600</v>
      </c>
      <c r="C17838" s="17" t="s">
        <v>5463</v>
      </c>
      <c r="D17838" s="2"/>
    </row>
    <row r="17839" spans="1:4" ht="25.5" customHeight="1" x14ac:dyDescent="0.2">
      <c r="B17839" s="11" t="s">
        <v>2601</v>
      </c>
      <c r="C17839" s="17"/>
      <c r="D17839" s="2"/>
    </row>
    <row r="17840" spans="1:4" ht="12.75" customHeight="1" x14ac:dyDescent="0.2">
      <c r="B17840" s="11" t="s">
        <v>16</v>
      </c>
      <c r="C17840" s="17"/>
      <c r="D17840" s="2"/>
    </row>
    <row r="17841" spans="1:4" ht="12.75" customHeight="1" x14ac:dyDescent="0.2">
      <c r="B17841" s="11" t="s">
        <v>13</v>
      </c>
      <c r="C17841" s="17" t="s">
        <v>2602</v>
      </c>
      <c r="D17841" s="2"/>
    </row>
    <row r="17842" spans="1:4" ht="25.5" customHeight="1" x14ac:dyDescent="0.2">
      <c r="B17842" s="11" t="s">
        <v>2603</v>
      </c>
      <c r="C17842" s="17" t="s">
        <v>2971</v>
      </c>
      <c r="D17842" s="2"/>
    </row>
    <row r="17843" spans="1:4" ht="12.75" customHeight="1" x14ac:dyDescent="0.2">
      <c r="B17843" s="11" t="s">
        <v>2605</v>
      </c>
      <c r="C17843" s="17" t="s">
        <v>14</v>
      </c>
      <c r="D17843" s="2"/>
    </row>
    <row r="17844" spans="1:4" ht="12.75" customHeight="1" x14ac:dyDescent="0.2">
      <c r="B17844" s="11" t="s">
        <v>2606</v>
      </c>
      <c r="C17844" s="16" t="s">
        <v>19</v>
      </c>
      <c r="D17844" s="2"/>
    </row>
    <row r="17845" spans="1:4" ht="12.75" customHeight="1" x14ac:dyDescent="0.2">
      <c r="B17845" s="2"/>
      <c r="C17845" s="15"/>
      <c r="D17845" s="2"/>
    </row>
    <row r="17846" spans="1:4" ht="12.75" customHeight="1" x14ac:dyDescent="0.2">
      <c r="B17846" s="2"/>
      <c r="C17846" s="15"/>
      <c r="D17846" s="2"/>
    </row>
    <row r="17847" spans="1:4" ht="12.75" customHeight="1" x14ac:dyDescent="0.2">
      <c r="A17847" s="13" t="s">
        <v>2962</v>
      </c>
      <c r="C17847" s="12"/>
    </row>
    <row r="17848" spans="1:4" ht="12.75" customHeight="1" x14ac:dyDescent="0.2">
      <c r="A17848" s="11"/>
      <c r="B17848" s="2"/>
      <c r="C17848" s="15"/>
      <c r="D17848" s="2"/>
    </row>
    <row r="17849" spans="1:4" ht="12.75" customHeight="1" x14ac:dyDescent="0.2">
      <c r="B17849" s="11" t="s">
        <v>0</v>
      </c>
      <c r="C17849" s="11" t="s">
        <v>91</v>
      </c>
    </row>
    <row r="17850" spans="1:4" ht="12.75" customHeight="1" x14ac:dyDescent="0.2">
      <c r="B17850" s="11" t="s">
        <v>2599</v>
      </c>
      <c r="C17850" s="11" t="s">
        <v>5464</v>
      </c>
    </row>
    <row r="17851" spans="1:4" ht="25.5" customHeight="1" x14ac:dyDescent="0.2">
      <c r="B17851" s="11" t="s">
        <v>2600</v>
      </c>
      <c r="C17851" s="11" t="s">
        <v>5465</v>
      </c>
    </row>
    <row r="17852" spans="1:4" ht="25.5" customHeight="1" x14ac:dyDescent="0.2">
      <c r="B17852" s="11" t="s">
        <v>2601</v>
      </c>
      <c r="C17852" s="11"/>
    </row>
    <row r="17853" spans="1:4" ht="12.75" customHeight="1" x14ac:dyDescent="0.2">
      <c r="B17853" s="11" t="s">
        <v>16</v>
      </c>
      <c r="C17853" s="11"/>
    </row>
    <row r="17854" spans="1:4" ht="12.75" customHeight="1" x14ac:dyDescent="0.2">
      <c r="B17854" s="11" t="s">
        <v>13</v>
      </c>
      <c r="C17854" s="11" t="s">
        <v>2644</v>
      </c>
    </row>
    <row r="17855" spans="1:4" ht="12.75" customHeight="1" x14ac:dyDescent="0.2">
      <c r="B17855" s="11" t="s">
        <v>2603</v>
      </c>
      <c r="C17855" s="11" t="s">
        <v>2965</v>
      </c>
    </row>
    <row r="17856" spans="1:4" ht="12.75" customHeight="1" x14ac:dyDescent="0.2">
      <c r="B17856" s="11" t="s">
        <v>2605</v>
      </c>
      <c r="C17856" s="11" t="s">
        <v>14</v>
      </c>
    </row>
    <row r="17857" spans="1:4" ht="12.75" customHeight="1" x14ac:dyDescent="0.2">
      <c r="B17857" s="11" t="s">
        <v>2606</v>
      </c>
      <c r="C17857" s="16" t="s">
        <v>44</v>
      </c>
      <c r="D17857" s="6" t="str">
        <f>HYPERLINK("javascript:void(0)","hínárgyöngy")</f>
        <v>hínárgyöngy</v>
      </c>
    </row>
    <row r="17858" spans="1:4" ht="25.5" customHeight="1" x14ac:dyDescent="0.2">
      <c r="C17858" s="16" t="s">
        <v>57</v>
      </c>
      <c r="D17858" s="6" t="str">
        <f>HYPERLINK("javascript:void(0)","harmatcsepp")</f>
        <v>harmatcsepp</v>
      </c>
    </row>
    <row r="17859" spans="1:4" ht="12.75" customHeight="1" x14ac:dyDescent="0.2">
      <c r="B17859" s="2"/>
      <c r="C17859" s="15"/>
      <c r="D17859" s="2"/>
    </row>
    <row r="17860" spans="1:4" ht="12.75" customHeight="1" x14ac:dyDescent="0.2">
      <c r="B17860" s="2"/>
      <c r="C17860" s="15"/>
      <c r="D17860" s="2"/>
    </row>
    <row r="17861" spans="1:4" ht="12.75" customHeight="1" x14ac:dyDescent="0.2">
      <c r="A17861" s="13" t="s">
        <v>5379</v>
      </c>
      <c r="C17861" s="12"/>
      <c r="D17861" s="2"/>
    </row>
    <row r="17862" spans="1:4" ht="12.75" customHeight="1" x14ac:dyDescent="0.2">
      <c r="A17862" s="11"/>
      <c r="B17862" s="2"/>
      <c r="C17862" s="15"/>
      <c r="D17862" s="2"/>
    </row>
    <row r="17863" spans="1:4" ht="12.75" customHeight="1" x14ac:dyDescent="0.2">
      <c r="B17863" s="11" t="s">
        <v>0</v>
      </c>
      <c r="C17863" s="17" t="s">
        <v>91</v>
      </c>
      <c r="D17863" s="2"/>
    </row>
    <row r="17864" spans="1:4" ht="12.75" customHeight="1" x14ac:dyDescent="0.2">
      <c r="B17864" s="11" t="s">
        <v>2599</v>
      </c>
      <c r="C17864" s="17" t="s">
        <v>5103</v>
      </c>
      <c r="D17864" s="2"/>
    </row>
    <row r="17865" spans="1:4" ht="25.5" customHeight="1" x14ac:dyDescent="0.2">
      <c r="B17865" s="11" t="s">
        <v>2600</v>
      </c>
      <c r="C17865" s="17" t="s">
        <v>5466</v>
      </c>
      <c r="D17865" s="2"/>
    </row>
    <row r="17866" spans="1:4" ht="25.5" customHeight="1" x14ac:dyDescent="0.2">
      <c r="B17866" s="11" t="s">
        <v>2601</v>
      </c>
      <c r="C17866" s="17"/>
      <c r="D17866" s="2"/>
    </row>
    <row r="17867" spans="1:4" ht="12.75" customHeight="1" x14ac:dyDescent="0.2">
      <c r="B17867" s="11" t="s">
        <v>16</v>
      </c>
      <c r="C17867" s="17"/>
      <c r="D17867" s="2"/>
    </row>
    <row r="17868" spans="1:4" ht="12.75" customHeight="1" x14ac:dyDescent="0.2">
      <c r="B17868" s="11" t="s">
        <v>13</v>
      </c>
      <c r="C17868" s="17" t="s">
        <v>2644</v>
      </c>
      <c r="D17868" s="2"/>
    </row>
    <row r="17869" spans="1:4" ht="25.5" customHeight="1" x14ac:dyDescent="0.2">
      <c r="B17869" s="11" t="s">
        <v>2603</v>
      </c>
      <c r="C17869" s="17" t="s">
        <v>2971</v>
      </c>
      <c r="D17869" s="2"/>
    </row>
    <row r="17870" spans="1:4" ht="12.75" customHeight="1" x14ac:dyDescent="0.2">
      <c r="B17870" s="11" t="s">
        <v>2605</v>
      </c>
      <c r="C17870" s="17" t="s">
        <v>14</v>
      </c>
      <c r="D17870" s="2"/>
    </row>
    <row r="17871" spans="1:4" ht="12.75" customHeight="1" x14ac:dyDescent="0.2">
      <c r="B17871" s="11" t="s">
        <v>2606</v>
      </c>
      <c r="C17871" s="16" t="s">
        <v>19</v>
      </c>
      <c r="D17871" s="2"/>
    </row>
    <row r="17872" spans="1:4" ht="12.75" customHeight="1" x14ac:dyDescent="0.2">
      <c r="B17872" s="2"/>
      <c r="C17872" s="15"/>
      <c r="D17872" s="2"/>
    </row>
    <row r="17873" spans="1:4" ht="12.75" customHeight="1" x14ac:dyDescent="0.2">
      <c r="B17873" s="2"/>
      <c r="C17873" s="15"/>
      <c r="D17873" s="2"/>
    </row>
    <row r="17874" spans="1:4" ht="12.75" customHeight="1" x14ac:dyDescent="0.2">
      <c r="A17874" s="13" t="s">
        <v>5381</v>
      </c>
      <c r="C17874" s="12"/>
      <c r="D17874" s="2"/>
    </row>
    <row r="17875" spans="1:4" ht="12.75" customHeight="1" x14ac:dyDescent="0.2">
      <c r="A17875" s="11"/>
      <c r="B17875" s="2"/>
      <c r="C17875" s="15"/>
      <c r="D17875" s="2"/>
    </row>
    <row r="17876" spans="1:4" ht="12.75" customHeight="1" x14ac:dyDescent="0.2">
      <c r="B17876" s="11" t="s">
        <v>0</v>
      </c>
      <c r="C17876" s="17" t="s">
        <v>91</v>
      </c>
      <c r="D17876" s="2"/>
    </row>
    <row r="17877" spans="1:4" ht="12.75" customHeight="1" x14ac:dyDescent="0.2">
      <c r="B17877" s="11" t="s">
        <v>2599</v>
      </c>
      <c r="C17877" s="17" t="s">
        <v>5106</v>
      </c>
      <c r="D17877" s="2"/>
    </row>
    <row r="17878" spans="1:4" ht="25.5" customHeight="1" x14ac:dyDescent="0.2">
      <c r="B17878" s="11" t="s">
        <v>2600</v>
      </c>
      <c r="C17878" s="17" t="s">
        <v>5467</v>
      </c>
      <c r="D17878" s="2"/>
    </row>
    <row r="17879" spans="1:4" ht="25.5" customHeight="1" x14ac:dyDescent="0.2">
      <c r="B17879" s="11" t="s">
        <v>2601</v>
      </c>
      <c r="C17879" s="17"/>
      <c r="D17879" s="2"/>
    </row>
    <row r="17880" spans="1:4" ht="12.75" customHeight="1" x14ac:dyDescent="0.2">
      <c r="B17880" s="11" t="s">
        <v>16</v>
      </c>
      <c r="C17880" s="17"/>
      <c r="D17880" s="2"/>
    </row>
    <row r="17881" spans="1:4" ht="12.75" customHeight="1" x14ac:dyDescent="0.2">
      <c r="B17881" s="11" t="s">
        <v>13</v>
      </c>
      <c r="C17881" s="17" t="s">
        <v>2602</v>
      </c>
      <c r="D17881" s="2"/>
    </row>
    <row r="17882" spans="1:4" ht="25.5" customHeight="1" x14ac:dyDescent="0.2">
      <c r="B17882" s="11" t="s">
        <v>2603</v>
      </c>
      <c r="C17882" s="17" t="s">
        <v>2971</v>
      </c>
      <c r="D17882" s="2"/>
    </row>
    <row r="17883" spans="1:4" ht="12.75" customHeight="1" x14ac:dyDescent="0.2">
      <c r="B17883" s="11" t="s">
        <v>2605</v>
      </c>
      <c r="C17883" s="17" t="s">
        <v>14</v>
      </c>
      <c r="D17883" s="2"/>
    </row>
    <row r="17884" spans="1:4" ht="12.75" customHeight="1" x14ac:dyDescent="0.2">
      <c r="B17884" s="11" t="s">
        <v>2606</v>
      </c>
      <c r="C17884" s="16" t="s">
        <v>19</v>
      </c>
      <c r="D17884" s="2"/>
    </row>
    <row r="17885" spans="1:4" ht="12.75" customHeight="1" x14ac:dyDescent="0.2">
      <c r="B17885" s="2"/>
      <c r="C17885" s="15"/>
      <c r="D17885" s="2"/>
    </row>
    <row r="17886" spans="1:4" ht="12.75" customHeight="1" x14ac:dyDescent="0.2">
      <c r="B17886" s="2"/>
      <c r="C17886" s="15"/>
      <c r="D17886" s="2"/>
    </row>
    <row r="17887" spans="1:4" ht="12.75" customHeight="1" x14ac:dyDescent="0.2">
      <c r="A17887" s="13" t="s">
        <v>5383</v>
      </c>
      <c r="C17887" s="12"/>
      <c r="D17887" s="2"/>
    </row>
    <row r="17888" spans="1:4" ht="12.75" customHeight="1" x14ac:dyDescent="0.2">
      <c r="A17888" s="11"/>
      <c r="B17888" s="2"/>
      <c r="C17888" s="15"/>
      <c r="D17888" s="2"/>
    </row>
    <row r="17889" spans="1:4" ht="12.75" customHeight="1" x14ac:dyDescent="0.2">
      <c r="B17889" s="11" t="s">
        <v>0</v>
      </c>
      <c r="C17889" s="17" t="s">
        <v>91</v>
      </c>
      <c r="D17889" s="2"/>
    </row>
    <row r="17890" spans="1:4" ht="12.75" customHeight="1" x14ac:dyDescent="0.2">
      <c r="B17890" s="11" t="s">
        <v>2599</v>
      </c>
      <c r="C17890" s="17" t="s">
        <v>5109</v>
      </c>
      <c r="D17890" s="2"/>
    </row>
    <row r="17891" spans="1:4" ht="25.5" customHeight="1" x14ac:dyDescent="0.2">
      <c r="B17891" s="11" t="s">
        <v>2600</v>
      </c>
      <c r="C17891" s="17" t="s">
        <v>5468</v>
      </c>
      <c r="D17891" s="2"/>
    </row>
    <row r="17892" spans="1:4" ht="25.5" customHeight="1" x14ac:dyDescent="0.2">
      <c r="B17892" s="11" t="s">
        <v>2601</v>
      </c>
      <c r="C17892" s="17"/>
      <c r="D17892" s="2"/>
    </row>
    <row r="17893" spans="1:4" ht="12.75" customHeight="1" x14ac:dyDescent="0.2">
      <c r="B17893" s="11" t="s">
        <v>16</v>
      </c>
      <c r="C17893" s="17"/>
      <c r="D17893" s="2"/>
    </row>
    <row r="17894" spans="1:4" ht="12.75" customHeight="1" x14ac:dyDescent="0.2">
      <c r="B17894" s="11" t="s">
        <v>13</v>
      </c>
      <c r="C17894" s="17" t="s">
        <v>2644</v>
      </c>
      <c r="D17894" s="2"/>
    </row>
    <row r="17895" spans="1:4" ht="25.5" customHeight="1" x14ac:dyDescent="0.2">
      <c r="B17895" s="11" t="s">
        <v>2603</v>
      </c>
      <c r="C17895" s="17" t="s">
        <v>2971</v>
      </c>
      <c r="D17895" s="2"/>
    </row>
    <row r="17896" spans="1:4" ht="12.75" customHeight="1" x14ac:dyDescent="0.2">
      <c r="B17896" s="11" t="s">
        <v>2605</v>
      </c>
      <c r="C17896" s="17" t="s">
        <v>14</v>
      </c>
      <c r="D17896" s="2"/>
    </row>
    <row r="17897" spans="1:4" ht="12.75" customHeight="1" x14ac:dyDescent="0.2">
      <c r="B17897" s="11" t="s">
        <v>2606</v>
      </c>
      <c r="C17897" s="16" t="s">
        <v>19</v>
      </c>
      <c r="D17897" s="2"/>
    </row>
    <row r="17898" spans="1:4" ht="12.75" customHeight="1" x14ac:dyDescent="0.2">
      <c r="B17898" s="2"/>
      <c r="C17898" s="15"/>
      <c r="D17898" s="2"/>
    </row>
    <row r="17899" spans="1:4" ht="12.75" customHeight="1" x14ac:dyDescent="0.2">
      <c r="B17899" s="2"/>
      <c r="C17899" s="15"/>
      <c r="D17899" s="2"/>
    </row>
    <row r="17900" spans="1:4" ht="12.75" customHeight="1" x14ac:dyDescent="0.2">
      <c r="A17900" s="13" t="s">
        <v>5469</v>
      </c>
      <c r="C17900" s="12"/>
    </row>
    <row r="17901" spans="1:4" ht="12.75" customHeight="1" x14ac:dyDescent="0.2">
      <c r="A17901" s="11"/>
      <c r="B17901" s="2"/>
      <c r="C17901" s="15"/>
      <c r="D17901" s="2"/>
    </row>
    <row r="17902" spans="1:4" ht="12.75" customHeight="1" x14ac:dyDescent="0.2">
      <c r="B17902" s="11" t="s">
        <v>0</v>
      </c>
      <c r="C17902" s="11" t="s">
        <v>91</v>
      </c>
    </row>
    <row r="17903" spans="1:4" ht="12.75" customHeight="1" x14ac:dyDescent="0.2">
      <c r="B17903" s="11" t="s">
        <v>2599</v>
      </c>
      <c r="C17903" s="11" t="s">
        <v>5470</v>
      </c>
    </row>
    <row r="17904" spans="1:4" ht="25.5" customHeight="1" x14ac:dyDescent="0.2">
      <c r="B17904" s="11" t="s">
        <v>2600</v>
      </c>
      <c r="C17904" s="11" t="s">
        <v>5471</v>
      </c>
    </row>
    <row r="17905" spans="1:4" ht="25.5" customHeight="1" x14ac:dyDescent="0.2">
      <c r="B17905" s="11" t="s">
        <v>2601</v>
      </c>
      <c r="C17905" s="11"/>
    </row>
    <row r="17906" spans="1:4" ht="12.75" customHeight="1" x14ac:dyDescent="0.2">
      <c r="B17906" s="11" t="s">
        <v>16</v>
      </c>
      <c r="C17906" s="11"/>
    </row>
    <row r="17907" spans="1:4" ht="12.75" customHeight="1" x14ac:dyDescent="0.2">
      <c r="B17907" s="11" t="s">
        <v>13</v>
      </c>
      <c r="C17907" s="11" t="s">
        <v>2644</v>
      </c>
    </row>
    <row r="17908" spans="1:4" ht="12.75" customHeight="1" x14ac:dyDescent="0.2">
      <c r="B17908" s="11" t="s">
        <v>2603</v>
      </c>
      <c r="C17908" s="11" t="s">
        <v>2604</v>
      </c>
    </row>
    <row r="17909" spans="1:4" ht="12.75" customHeight="1" x14ac:dyDescent="0.2">
      <c r="B17909" s="11" t="s">
        <v>2605</v>
      </c>
      <c r="C17909" s="11" t="s">
        <v>24</v>
      </c>
    </row>
    <row r="17910" spans="1:4" ht="12.75" customHeight="1" x14ac:dyDescent="0.2">
      <c r="B17910" s="11" t="s">
        <v>2606</v>
      </c>
      <c r="C17910" s="16" t="s">
        <v>67</v>
      </c>
      <c r="D17910" s="6" t="str">
        <f>HYPERLINK("javascript:void(0)","kincs")</f>
        <v>kincs</v>
      </c>
    </row>
    <row r="17911" spans="1:4" ht="12.75" customHeight="1" x14ac:dyDescent="0.2">
      <c r="B17911" s="2"/>
      <c r="C17911" s="15"/>
      <c r="D17911" s="2"/>
    </row>
    <row r="17912" spans="1:4" ht="12.75" customHeight="1" x14ac:dyDescent="0.2">
      <c r="B17912" s="2"/>
      <c r="C17912" s="15"/>
      <c r="D17912" s="2"/>
    </row>
    <row r="17913" spans="1:4" ht="12.75" customHeight="1" x14ac:dyDescent="0.2">
      <c r="A17913" s="13" t="s">
        <v>5472</v>
      </c>
      <c r="C17913" s="12"/>
    </row>
    <row r="17914" spans="1:4" ht="12.75" customHeight="1" x14ac:dyDescent="0.2">
      <c r="A17914" s="11"/>
      <c r="B17914" s="2"/>
      <c r="C17914" s="15"/>
      <c r="D17914" s="2"/>
    </row>
    <row r="17915" spans="1:4" ht="12.75" customHeight="1" x14ac:dyDescent="0.2">
      <c r="B17915" s="11" t="s">
        <v>0</v>
      </c>
      <c r="C17915" s="11" t="s">
        <v>91</v>
      </c>
    </row>
    <row r="17916" spans="1:4" ht="12.75" customHeight="1" x14ac:dyDescent="0.2">
      <c r="B17916" s="11" t="s">
        <v>2599</v>
      </c>
      <c r="C17916" s="11" t="s">
        <v>5464</v>
      </c>
    </row>
    <row r="17917" spans="1:4" ht="25.5" customHeight="1" x14ac:dyDescent="0.2">
      <c r="B17917" s="11" t="s">
        <v>2600</v>
      </c>
      <c r="C17917" s="11" t="s">
        <v>5473</v>
      </c>
    </row>
    <row r="17918" spans="1:4" ht="25.5" customHeight="1" x14ac:dyDescent="0.2">
      <c r="B17918" s="11" t="s">
        <v>2601</v>
      </c>
      <c r="C17918" s="11"/>
    </row>
    <row r="17919" spans="1:4" ht="12.75" customHeight="1" x14ac:dyDescent="0.2">
      <c r="B17919" s="11" t="s">
        <v>16</v>
      </c>
      <c r="C17919" s="11"/>
    </row>
    <row r="17920" spans="1:4" ht="12.75" customHeight="1" x14ac:dyDescent="0.2">
      <c r="B17920" s="11" t="s">
        <v>13</v>
      </c>
      <c r="C17920" s="11" t="s">
        <v>2602</v>
      </c>
    </row>
    <row r="17921" spans="1:4" ht="12.75" customHeight="1" x14ac:dyDescent="0.2">
      <c r="B17921" s="11" t="s">
        <v>2603</v>
      </c>
      <c r="C17921" s="11" t="s">
        <v>2604</v>
      </c>
    </row>
    <row r="17922" spans="1:4" ht="12.75" customHeight="1" x14ac:dyDescent="0.2">
      <c r="B17922" s="11" t="s">
        <v>2605</v>
      </c>
      <c r="C17922" s="11" t="s">
        <v>14</v>
      </c>
    </row>
    <row r="17923" spans="1:4" ht="12.75" customHeight="1" x14ac:dyDescent="0.2">
      <c r="B17923" s="11" t="s">
        <v>2606</v>
      </c>
      <c r="C17923" s="16" t="s">
        <v>98</v>
      </c>
      <c r="D17923" s="6" t="str">
        <f>HYPERLINK("javascript:void(0)","kincs")</f>
        <v>kincs</v>
      </c>
    </row>
    <row r="17924" spans="1:4" ht="12.75" customHeight="1" x14ac:dyDescent="0.2">
      <c r="B17924" s="2"/>
      <c r="C17924" s="15"/>
      <c r="D17924" s="2"/>
    </row>
    <row r="17925" spans="1:4" ht="12.75" customHeight="1" x14ac:dyDescent="0.2">
      <c r="B17925" s="2"/>
      <c r="C17925" s="15"/>
      <c r="D17925" s="2"/>
    </row>
    <row r="17926" spans="1:4" ht="12.75" customHeight="1" x14ac:dyDescent="0.2">
      <c r="A17926" s="13" t="s">
        <v>5474</v>
      </c>
      <c r="C17926" s="12"/>
    </row>
    <row r="17927" spans="1:4" ht="12.75" customHeight="1" x14ac:dyDescent="0.2">
      <c r="A17927" s="11"/>
      <c r="B17927" s="2"/>
      <c r="C17927" s="15"/>
      <c r="D17927" s="2"/>
    </row>
    <row r="17928" spans="1:4" ht="12.75" customHeight="1" x14ac:dyDescent="0.2">
      <c r="B17928" s="11" t="s">
        <v>0</v>
      </c>
      <c r="C17928" s="11" t="s">
        <v>91</v>
      </c>
    </row>
    <row r="17929" spans="1:4" ht="12.75" customHeight="1" x14ac:dyDescent="0.2">
      <c r="B17929" s="11" t="s">
        <v>2599</v>
      </c>
      <c r="C17929" s="11" t="s">
        <v>2751</v>
      </c>
    </row>
    <row r="17930" spans="1:4" ht="25.5" customHeight="1" x14ac:dyDescent="0.2">
      <c r="B17930" s="11" t="s">
        <v>2600</v>
      </c>
      <c r="C17930" s="11" t="s">
        <v>5475</v>
      </c>
    </row>
    <row r="17931" spans="1:4" ht="25.5" customHeight="1" x14ac:dyDescent="0.2">
      <c r="B17931" s="11" t="s">
        <v>2601</v>
      </c>
      <c r="C17931" s="11"/>
    </row>
    <row r="17932" spans="1:4" ht="12.75" customHeight="1" x14ac:dyDescent="0.2">
      <c r="B17932" s="11" t="s">
        <v>16</v>
      </c>
      <c r="C17932" s="11"/>
    </row>
    <row r="17933" spans="1:4" ht="12.75" customHeight="1" x14ac:dyDescent="0.2">
      <c r="B17933" s="11" t="s">
        <v>13</v>
      </c>
      <c r="C17933" s="11" t="s">
        <v>2602</v>
      </c>
    </row>
    <row r="17934" spans="1:4" ht="12.75" customHeight="1" x14ac:dyDescent="0.2">
      <c r="B17934" s="11" t="s">
        <v>2603</v>
      </c>
      <c r="C17934" s="11" t="s">
        <v>2604</v>
      </c>
    </row>
    <row r="17935" spans="1:4" ht="12.75" customHeight="1" x14ac:dyDescent="0.2">
      <c r="B17935" s="11" t="s">
        <v>2605</v>
      </c>
      <c r="C17935" s="11" t="s">
        <v>24</v>
      </c>
    </row>
    <row r="17936" spans="1:4" ht="12.75" customHeight="1" x14ac:dyDescent="0.2">
      <c r="B17936" s="11" t="s">
        <v>2606</v>
      </c>
      <c r="C17936" s="16" t="s">
        <v>44</v>
      </c>
      <c r="D17936" s="6" t="str">
        <f>HYPERLINK("javascript:void(0)","fejlik")</f>
        <v>fejlik</v>
      </c>
    </row>
    <row r="17937" spans="1:4" ht="12.75" customHeight="1" x14ac:dyDescent="0.2">
      <c r="B17937" s="2"/>
      <c r="C17937" s="15"/>
      <c r="D17937" s="2"/>
    </row>
    <row r="17938" spans="1:4" ht="12.75" customHeight="1" x14ac:dyDescent="0.2">
      <c r="B17938" s="2"/>
      <c r="C17938" s="15"/>
      <c r="D17938" s="2"/>
    </row>
    <row r="17939" spans="1:4" ht="12.75" customHeight="1" x14ac:dyDescent="0.2">
      <c r="A17939" s="13" t="s">
        <v>5476</v>
      </c>
      <c r="C17939" s="12"/>
    </row>
    <row r="17940" spans="1:4" ht="12.75" customHeight="1" x14ac:dyDescent="0.2">
      <c r="A17940" s="11"/>
      <c r="B17940" s="2"/>
      <c r="C17940" s="15"/>
      <c r="D17940" s="2"/>
    </row>
    <row r="17941" spans="1:4" ht="12.75" customHeight="1" x14ac:dyDescent="0.2">
      <c r="B17941" s="11" t="s">
        <v>0</v>
      </c>
      <c r="C17941" s="11" t="s">
        <v>91</v>
      </c>
    </row>
    <row r="17942" spans="1:4" ht="12.75" customHeight="1" x14ac:dyDescent="0.2">
      <c r="B17942" s="11" t="s">
        <v>2599</v>
      </c>
      <c r="C17942" s="11" t="s">
        <v>5477</v>
      </c>
    </row>
    <row r="17943" spans="1:4" ht="25.5" customHeight="1" x14ac:dyDescent="0.2">
      <c r="B17943" s="11" t="s">
        <v>2600</v>
      </c>
      <c r="C17943" s="11" t="s">
        <v>5478</v>
      </c>
    </row>
    <row r="17944" spans="1:4" ht="25.5" customHeight="1" x14ac:dyDescent="0.2">
      <c r="B17944" s="11" t="s">
        <v>2601</v>
      </c>
      <c r="C17944" s="11"/>
    </row>
    <row r="17945" spans="1:4" ht="12.75" customHeight="1" x14ac:dyDescent="0.2">
      <c r="B17945" s="11" t="s">
        <v>16</v>
      </c>
      <c r="C17945" s="11"/>
    </row>
    <row r="17946" spans="1:4" ht="12.75" customHeight="1" x14ac:dyDescent="0.2">
      <c r="B17946" s="11" t="s">
        <v>13</v>
      </c>
      <c r="C17946" s="11" t="s">
        <v>2644</v>
      </c>
    </row>
    <row r="17947" spans="1:4" ht="12.75" customHeight="1" x14ac:dyDescent="0.2">
      <c r="B17947" s="11" t="s">
        <v>2603</v>
      </c>
      <c r="C17947" s="11" t="s">
        <v>2604</v>
      </c>
    </row>
    <row r="17948" spans="1:4" ht="12.75" customHeight="1" x14ac:dyDescent="0.2">
      <c r="B17948" s="11" t="s">
        <v>2605</v>
      </c>
      <c r="C17948" s="11" t="s">
        <v>14</v>
      </c>
    </row>
    <row r="17949" spans="1:4" ht="12.75" customHeight="1" x14ac:dyDescent="0.2">
      <c r="B17949" s="11" t="s">
        <v>2606</v>
      </c>
      <c r="C17949" s="16" t="s">
        <v>951</v>
      </c>
      <c r="D17949" s="6" t="str">
        <f>HYPERLINK("javascript:void(0)","ezüst")</f>
        <v>ezüst</v>
      </c>
    </row>
    <row r="17950" spans="1:4" ht="12.75" customHeight="1" x14ac:dyDescent="0.2">
      <c r="C17950" s="16" t="s">
        <v>98</v>
      </c>
      <c r="D17950" s="6" t="str">
        <f>HYPERLINK("javascript:void(0)","kincs")</f>
        <v>kincs</v>
      </c>
    </row>
    <row r="17951" spans="1:4" ht="12.75" customHeight="1" x14ac:dyDescent="0.2">
      <c r="B17951" s="2"/>
      <c r="C17951" s="15"/>
      <c r="D17951" s="2"/>
    </row>
    <row r="17952" spans="1:4" ht="12.75" customHeight="1" x14ac:dyDescent="0.2">
      <c r="B17952" s="2"/>
      <c r="C17952" s="15"/>
      <c r="D17952" s="2"/>
    </row>
    <row r="17953" spans="1:4" ht="12.75" customHeight="1" x14ac:dyDescent="0.2">
      <c r="A17953" s="13" t="s">
        <v>5479</v>
      </c>
      <c r="C17953" s="12"/>
    </row>
    <row r="17954" spans="1:4" ht="12.75" customHeight="1" x14ac:dyDescent="0.2">
      <c r="A17954" s="11"/>
      <c r="B17954" s="2"/>
      <c r="C17954" s="15"/>
      <c r="D17954" s="2"/>
    </row>
    <row r="17955" spans="1:4" ht="12.75" customHeight="1" x14ac:dyDescent="0.2">
      <c r="B17955" s="11" t="s">
        <v>0</v>
      </c>
      <c r="C17955" s="11" t="s">
        <v>91</v>
      </c>
    </row>
    <row r="17956" spans="1:4" ht="12.75" customHeight="1" x14ac:dyDescent="0.2">
      <c r="B17956" s="11" t="s">
        <v>2599</v>
      </c>
      <c r="C17956" s="11" t="s">
        <v>4623</v>
      </c>
    </row>
    <row r="17957" spans="1:4" ht="25.5" customHeight="1" x14ac:dyDescent="0.2">
      <c r="B17957" s="11" t="s">
        <v>2600</v>
      </c>
      <c r="C17957" s="11" t="s">
        <v>5480</v>
      </c>
    </row>
    <row r="17958" spans="1:4" ht="25.5" customHeight="1" x14ac:dyDescent="0.2">
      <c r="B17958" s="11" t="s">
        <v>2601</v>
      </c>
      <c r="C17958" s="11"/>
    </row>
    <row r="17959" spans="1:4" ht="12.75" customHeight="1" x14ac:dyDescent="0.2">
      <c r="B17959" s="11" t="s">
        <v>16</v>
      </c>
      <c r="C17959" s="11"/>
    </row>
    <row r="17960" spans="1:4" ht="12.75" customHeight="1" x14ac:dyDescent="0.2">
      <c r="B17960" s="11" t="s">
        <v>13</v>
      </c>
      <c r="C17960" s="11" t="s">
        <v>2644</v>
      </c>
    </row>
    <row r="17961" spans="1:4" ht="12.75" customHeight="1" x14ac:dyDescent="0.2">
      <c r="B17961" s="11" t="s">
        <v>2603</v>
      </c>
      <c r="C17961" s="11" t="s">
        <v>2604</v>
      </c>
    </row>
    <row r="17962" spans="1:4" ht="12.75" customHeight="1" x14ac:dyDescent="0.2">
      <c r="B17962" s="11" t="s">
        <v>2605</v>
      </c>
      <c r="C17962" s="11" t="s">
        <v>14</v>
      </c>
    </row>
    <row r="17963" spans="1:4" ht="12.75" customHeight="1" x14ac:dyDescent="0.2">
      <c r="B17963" s="11" t="s">
        <v>2606</v>
      </c>
      <c r="C17963" s="16" t="s">
        <v>98</v>
      </c>
      <c r="D17963" s="6" t="str">
        <f>HYPERLINK("javascript:void(0)","kincs")</f>
        <v>kincs</v>
      </c>
    </row>
    <row r="17964" spans="1:4" ht="12.75" customHeight="1" x14ac:dyDescent="0.2">
      <c r="B17964" s="2"/>
      <c r="C17964" s="15"/>
      <c r="D17964" s="2"/>
    </row>
    <row r="17965" spans="1:4" ht="12.75" customHeight="1" x14ac:dyDescent="0.2">
      <c r="B17965" s="2"/>
      <c r="C17965" s="15"/>
      <c r="D17965" s="2"/>
    </row>
    <row r="17966" spans="1:4" ht="12.75" customHeight="1" x14ac:dyDescent="0.2">
      <c r="A17966" s="13" t="s">
        <v>5481</v>
      </c>
      <c r="C17966" s="12"/>
    </row>
    <row r="17967" spans="1:4" ht="12.75" customHeight="1" x14ac:dyDescent="0.2">
      <c r="A17967" s="11"/>
      <c r="B17967" s="2"/>
      <c r="C17967" s="15"/>
      <c r="D17967" s="2"/>
    </row>
    <row r="17968" spans="1:4" ht="12.75" customHeight="1" x14ac:dyDescent="0.2">
      <c r="B17968" s="11" t="s">
        <v>0</v>
      </c>
      <c r="C17968" s="11" t="s">
        <v>91</v>
      </c>
    </row>
    <row r="17969" spans="1:4" ht="12.75" customHeight="1" x14ac:dyDescent="0.2">
      <c r="B17969" s="11" t="s">
        <v>2599</v>
      </c>
      <c r="C17969" s="11" t="s">
        <v>499</v>
      </c>
    </row>
    <row r="17970" spans="1:4" ht="25.5" customHeight="1" x14ac:dyDescent="0.2">
      <c r="B17970" s="11" t="s">
        <v>2600</v>
      </c>
      <c r="C17970" s="11" t="s">
        <v>5482</v>
      </c>
    </row>
    <row r="17971" spans="1:4" ht="25.5" customHeight="1" x14ac:dyDescent="0.2">
      <c r="B17971" s="11" t="s">
        <v>2601</v>
      </c>
      <c r="C17971" s="11"/>
    </row>
    <row r="17972" spans="1:4" ht="12.75" customHeight="1" x14ac:dyDescent="0.2">
      <c r="B17972" s="11" t="s">
        <v>16</v>
      </c>
      <c r="C17972" s="11"/>
    </row>
    <row r="17973" spans="1:4" ht="12.75" customHeight="1" x14ac:dyDescent="0.2">
      <c r="B17973" s="11" t="s">
        <v>13</v>
      </c>
      <c r="C17973" s="11" t="s">
        <v>2602</v>
      </c>
    </row>
    <row r="17974" spans="1:4" ht="12.75" customHeight="1" x14ac:dyDescent="0.2">
      <c r="B17974" s="11" t="s">
        <v>2603</v>
      </c>
      <c r="C17974" s="11" t="s">
        <v>2604</v>
      </c>
    </row>
    <row r="17975" spans="1:4" ht="12.75" customHeight="1" x14ac:dyDescent="0.2">
      <c r="B17975" s="11" t="s">
        <v>2605</v>
      </c>
      <c r="C17975" s="11" t="s">
        <v>14</v>
      </c>
    </row>
    <row r="17976" spans="1:4" ht="12.75" customHeight="1" x14ac:dyDescent="0.2">
      <c r="B17976" s="11" t="s">
        <v>2606</v>
      </c>
      <c r="C17976" s="16" t="s">
        <v>98</v>
      </c>
      <c r="D17976" s="6" t="str">
        <f>HYPERLINK("javascript:void(0)","kincs")</f>
        <v>kincs</v>
      </c>
    </row>
    <row r="17977" spans="1:4" ht="12.75" customHeight="1" x14ac:dyDescent="0.2">
      <c r="B17977" s="2"/>
      <c r="C17977" s="15"/>
      <c r="D17977" s="2"/>
    </row>
    <row r="17978" spans="1:4" ht="12.75" customHeight="1" x14ac:dyDescent="0.2">
      <c r="B17978" s="2"/>
      <c r="C17978" s="15"/>
      <c r="D17978" s="2"/>
    </row>
    <row r="17979" spans="1:4" ht="12.75" customHeight="1" x14ac:dyDescent="0.2">
      <c r="A17979" s="13" t="s">
        <v>5483</v>
      </c>
      <c r="C17979" s="12"/>
      <c r="D17979" s="2"/>
    </row>
    <row r="17980" spans="1:4" ht="12.75" customHeight="1" x14ac:dyDescent="0.2">
      <c r="A17980" s="11"/>
      <c r="B17980" s="2"/>
      <c r="C17980" s="15"/>
      <c r="D17980" s="2"/>
    </row>
    <row r="17981" spans="1:4" ht="12.75" customHeight="1" x14ac:dyDescent="0.2">
      <c r="B17981" s="11" t="s">
        <v>0</v>
      </c>
      <c r="C17981" s="17" t="s">
        <v>91</v>
      </c>
      <c r="D17981" s="2"/>
    </row>
    <row r="17982" spans="1:4" ht="12.75" customHeight="1" x14ac:dyDescent="0.2">
      <c r="B17982" s="11" t="s">
        <v>2599</v>
      </c>
      <c r="C17982" s="17" t="s">
        <v>3309</v>
      </c>
      <c r="D17982" s="2"/>
    </row>
    <row r="17983" spans="1:4" ht="25.5" customHeight="1" x14ac:dyDescent="0.2">
      <c r="B17983" s="11" t="s">
        <v>2600</v>
      </c>
      <c r="C17983" s="17" t="s">
        <v>5484</v>
      </c>
      <c r="D17983" s="2"/>
    </row>
    <row r="17984" spans="1:4" ht="25.5" customHeight="1" x14ac:dyDescent="0.2">
      <c r="B17984" s="11" t="s">
        <v>2601</v>
      </c>
      <c r="C17984" s="17"/>
      <c r="D17984" s="2"/>
    </row>
    <row r="17985" spans="1:4" ht="12.75" customHeight="1" x14ac:dyDescent="0.2">
      <c r="B17985" s="11" t="s">
        <v>16</v>
      </c>
      <c r="C17985" s="17"/>
      <c r="D17985" s="2"/>
    </row>
    <row r="17986" spans="1:4" ht="12.75" customHeight="1" x14ac:dyDescent="0.2">
      <c r="B17986" s="11" t="s">
        <v>13</v>
      </c>
      <c r="C17986" s="17" t="s">
        <v>2602</v>
      </c>
      <c r="D17986" s="2"/>
    </row>
    <row r="17987" spans="1:4" ht="12.75" customHeight="1" x14ac:dyDescent="0.2">
      <c r="B17987" s="11" t="s">
        <v>2603</v>
      </c>
      <c r="C17987" s="17" t="s">
        <v>2604</v>
      </c>
      <c r="D17987" s="2"/>
    </row>
    <row r="17988" spans="1:4" ht="12.75" customHeight="1" x14ac:dyDescent="0.2">
      <c r="B17988" s="11" t="s">
        <v>2605</v>
      </c>
      <c r="C17988" s="17" t="s">
        <v>24</v>
      </c>
      <c r="D17988" s="2"/>
    </row>
    <row r="17989" spans="1:4" ht="12.75" customHeight="1" x14ac:dyDescent="0.2">
      <c r="B17989" s="11" t="s">
        <v>2606</v>
      </c>
      <c r="C17989" s="16" t="s">
        <v>19</v>
      </c>
      <c r="D17989" s="2"/>
    </row>
    <row r="17990" spans="1:4" ht="12.75" customHeight="1" x14ac:dyDescent="0.2">
      <c r="B17990" s="2"/>
      <c r="C17990" s="15"/>
      <c r="D17990" s="2"/>
    </row>
    <row r="17991" spans="1:4" ht="12.75" customHeight="1" x14ac:dyDescent="0.2">
      <c r="B17991" s="2"/>
      <c r="C17991" s="15"/>
      <c r="D17991" s="2"/>
    </row>
    <row r="17992" spans="1:4" ht="12.75" customHeight="1" x14ac:dyDescent="0.2">
      <c r="A17992" s="13" t="s">
        <v>5485</v>
      </c>
      <c r="C17992" s="12"/>
    </row>
    <row r="17993" spans="1:4" ht="12.75" customHeight="1" x14ac:dyDescent="0.2">
      <c r="A17993" s="11"/>
      <c r="B17993" s="2"/>
      <c r="C17993" s="15"/>
      <c r="D17993" s="2"/>
    </row>
    <row r="17994" spans="1:4" ht="12.75" customHeight="1" x14ac:dyDescent="0.2">
      <c r="B17994" s="11" t="s">
        <v>0</v>
      </c>
      <c r="C17994" s="11" t="s">
        <v>91</v>
      </c>
    </row>
    <row r="17995" spans="1:4" ht="12.75" customHeight="1" x14ac:dyDescent="0.2">
      <c r="B17995" s="11" t="s">
        <v>2599</v>
      </c>
      <c r="C17995" s="11" t="s">
        <v>3296</v>
      </c>
    </row>
    <row r="17996" spans="1:4" ht="25.5" customHeight="1" x14ac:dyDescent="0.2">
      <c r="B17996" s="11" t="s">
        <v>2600</v>
      </c>
      <c r="C17996" s="11" t="s">
        <v>5486</v>
      </c>
    </row>
    <row r="17997" spans="1:4" ht="25.5" customHeight="1" x14ac:dyDescent="0.2">
      <c r="B17997" s="11" t="s">
        <v>2601</v>
      </c>
      <c r="C17997" s="11"/>
    </row>
    <row r="17998" spans="1:4" ht="12.75" customHeight="1" x14ac:dyDescent="0.2">
      <c r="B17998" s="11" t="s">
        <v>16</v>
      </c>
      <c r="C17998" s="11"/>
    </row>
    <row r="17999" spans="1:4" ht="12.75" customHeight="1" x14ac:dyDescent="0.2">
      <c r="B17999" s="11" t="s">
        <v>13</v>
      </c>
      <c r="C17999" s="11" t="s">
        <v>2644</v>
      </c>
    </row>
    <row r="18000" spans="1:4" ht="12.75" customHeight="1" x14ac:dyDescent="0.2">
      <c r="B18000" s="11" t="s">
        <v>2603</v>
      </c>
      <c r="C18000" s="11" t="s">
        <v>2604</v>
      </c>
    </row>
    <row r="18001" spans="1:4" ht="12.75" customHeight="1" x14ac:dyDescent="0.2">
      <c r="B18001" s="11" t="s">
        <v>2605</v>
      </c>
      <c r="C18001" s="11" t="s">
        <v>24</v>
      </c>
    </row>
    <row r="18002" spans="1:4" ht="12.75" customHeight="1" x14ac:dyDescent="0.2">
      <c r="B18002" s="11" t="s">
        <v>2606</v>
      </c>
      <c r="C18002" s="16" t="s">
        <v>44</v>
      </c>
      <c r="D18002" s="6" t="str">
        <f>HYPERLINK("javascript:void(0)","fülpenge")</f>
        <v>fülpenge</v>
      </c>
    </row>
    <row r="18003" spans="1:4" ht="12.75" customHeight="1" x14ac:dyDescent="0.2">
      <c r="C18003" s="16" t="s">
        <v>44</v>
      </c>
      <c r="D18003" s="6" t="str">
        <f>HYPERLINK("javascript:void(0)","fülcsáp")</f>
        <v>fülcsáp</v>
      </c>
    </row>
    <row r="18004" spans="1:4" ht="12.75" customHeight="1" x14ac:dyDescent="0.2">
      <c r="B18004" s="2"/>
      <c r="C18004" s="15"/>
      <c r="D18004" s="2"/>
    </row>
    <row r="18005" spans="1:4" ht="12.75" customHeight="1" x14ac:dyDescent="0.2">
      <c r="B18005" s="2"/>
      <c r="C18005" s="15"/>
      <c r="D18005" s="2"/>
    </row>
    <row r="18006" spans="1:4" ht="12.75" customHeight="1" x14ac:dyDescent="0.2">
      <c r="A18006" s="13" t="s">
        <v>5407</v>
      </c>
      <c r="C18006" s="12"/>
      <c r="D18006" s="2"/>
    </row>
    <row r="18007" spans="1:4" ht="12.75" customHeight="1" x14ac:dyDescent="0.2">
      <c r="A18007" s="11"/>
      <c r="B18007" s="2"/>
      <c r="C18007" s="15"/>
      <c r="D18007" s="2"/>
    </row>
    <row r="18008" spans="1:4" ht="12.75" customHeight="1" x14ac:dyDescent="0.2">
      <c r="B18008" s="11" t="s">
        <v>0</v>
      </c>
      <c r="C18008" s="17" t="s">
        <v>91</v>
      </c>
      <c r="D18008" s="2"/>
    </row>
    <row r="18009" spans="1:4" ht="12.75" customHeight="1" x14ac:dyDescent="0.2">
      <c r="B18009" s="11" t="s">
        <v>2599</v>
      </c>
      <c r="C18009" s="17" t="s">
        <v>5135</v>
      </c>
      <c r="D18009" s="2"/>
    </row>
    <row r="18010" spans="1:4" ht="25.5" customHeight="1" x14ac:dyDescent="0.2">
      <c r="B18010" s="11" t="s">
        <v>2600</v>
      </c>
      <c r="C18010" s="17" t="s">
        <v>5487</v>
      </c>
      <c r="D18010" s="2"/>
    </row>
    <row r="18011" spans="1:4" ht="25.5" customHeight="1" x14ac:dyDescent="0.2">
      <c r="B18011" s="11" t="s">
        <v>2601</v>
      </c>
      <c r="C18011" s="17"/>
      <c r="D18011" s="2"/>
    </row>
    <row r="18012" spans="1:4" ht="12.75" customHeight="1" x14ac:dyDescent="0.2">
      <c r="B18012" s="11" t="s">
        <v>16</v>
      </c>
      <c r="C18012" s="17"/>
      <c r="D18012" s="2"/>
    </row>
    <row r="18013" spans="1:4" ht="12.75" customHeight="1" x14ac:dyDescent="0.2">
      <c r="B18013" s="11" t="s">
        <v>13</v>
      </c>
      <c r="C18013" s="17" t="s">
        <v>2602</v>
      </c>
      <c r="D18013" s="2"/>
    </row>
    <row r="18014" spans="1:4" ht="25.5" customHeight="1" x14ac:dyDescent="0.2">
      <c r="B18014" s="11" t="s">
        <v>2603</v>
      </c>
      <c r="C18014" s="17" t="s">
        <v>2971</v>
      </c>
      <c r="D18014" s="2"/>
    </row>
    <row r="18015" spans="1:4" ht="12.75" customHeight="1" x14ac:dyDescent="0.2">
      <c r="B18015" s="11" t="s">
        <v>2605</v>
      </c>
      <c r="C18015" s="17" t="s">
        <v>14</v>
      </c>
      <c r="D18015" s="2"/>
    </row>
    <row r="18016" spans="1:4" ht="12.75" customHeight="1" x14ac:dyDescent="0.2">
      <c r="B18016" s="11" t="s">
        <v>2606</v>
      </c>
      <c r="C18016" s="16" t="s">
        <v>19</v>
      </c>
      <c r="D18016" s="2"/>
    </row>
    <row r="18017" spans="1:4" ht="12.75" customHeight="1" x14ac:dyDescent="0.2">
      <c r="B18017" s="2"/>
      <c r="C18017" s="15"/>
      <c r="D18017" s="2"/>
    </row>
    <row r="18018" spans="1:4" ht="12.75" customHeight="1" x14ac:dyDescent="0.2">
      <c r="B18018" s="2"/>
      <c r="C18018" s="15"/>
      <c r="D18018" s="2"/>
    </row>
    <row r="18019" spans="1:4" ht="12.75" customHeight="1" x14ac:dyDescent="0.2">
      <c r="A18019" s="13" t="s">
        <v>5379</v>
      </c>
      <c r="C18019" s="12"/>
      <c r="D18019" s="2"/>
    </row>
    <row r="18020" spans="1:4" ht="12.75" customHeight="1" x14ac:dyDescent="0.2">
      <c r="A18020" s="11"/>
      <c r="B18020" s="2"/>
      <c r="C18020" s="15"/>
      <c r="D18020" s="2"/>
    </row>
    <row r="18021" spans="1:4" ht="12.75" customHeight="1" x14ac:dyDescent="0.2">
      <c r="B18021" s="11" t="s">
        <v>0</v>
      </c>
      <c r="C18021" s="17" t="s">
        <v>1032</v>
      </c>
      <c r="D18021" s="2"/>
    </row>
    <row r="18022" spans="1:4" ht="12.75" customHeight="1" x14ac:dyDescent="0.2">
      <c r="B18022" s="11" t="s">
        <v>2599</v>
      </c>
      <c r="C18022" s="17" t="s">
        <v>5103</v>
      </c>
      <c r="D18022" s="2"/>
    </row>
    <row r="18023" spans="1:4" ht="25.5" customHeight="1" x14ac:dyDescent="0.2">
      <c r="B18023" s="11" t="s">
        <v>2600</v>
      </c>
      <c r="C18023" s="17" t="s">
        <v>5488</v>
      </c>
      <c r="D18023" s="2"/>
    </row>
    <row r="18024" spans="1:4" ht="25.5" customHeight="1" x14ac:dyDescent="0.2">
      <c r="B18024" s="11" t="s">
        <v>2601</v>
      </c>
      <c r="C18024" s="17"/>
      <c r="D18024" s="2"/>
    </row>
    <row r="18025" spans="1:4" ht="12.75" customHeight="1" x14ac:dyDescent="0.2">
      <c r="B18025" s="11" t="s">
        <v>16</v>
      </c>
      <c r="C18025" s="17"/>
      <c r="D18025" s="2"/>
    </row>
    <row r="18026" spans="1:4" ht="12.75" customHeight="1" x14ac:dyDescent="0.2">
      <c r="B18026" s="11" t="s">
        <v>13</v>
      </c>
      <c r="C18026" s="17" t="s">
        <v>2644</v>
      </c>
      <c r="D18026" s="2"/>
    </row>
    <row r="18027" spans="1:4" ht="25.5" customHeight="1" x14ac:dyDescent="0.2">
      <c r="B18027" s="11" t="s">
        <v>2603</v>
      </c>
      <c r="C18027" s="17" t="s">
        <v>2971</v>
      </c>
      <c r="D18027" s="2"/>
    </row>
    <row r="18028" spans="1:4" ht="12.75" customHeight="1" x14ac:dyDescent="0.2">
      <c r="B18028" s="11" t="s">
        <v>2605</v>
      </c>
      <c r="C18028" s="17" t="s">
        <v>14</v>
      </c>
      <c r="D18028" s="2"/>
    </row>
    <row r="18029" spans="1:4" ht="12.75" customHeight="1" x14ac:dyDescent="0.2">
      <c r="B18029" s="11" t="s">
        <v>2606</v>
      </c>
      <c r="C18029" s="16" t="s">
        <v>19</v>
      </c>
      <c r="D18029" s="2"/>
    </row>
    <row r="18030" spans="1:4" ht="12.75" customHeight="1" x14ac:dyDescent="0.2">
      <c r="B18030" s="2"/>
      <c r="C18030" s="15"/>
      <c r="D18030" s="2"/>
    </row>
    <row r="18031" spans="1:4" ht="12.75" customHeight="1" x14ac:dyDescent="0.2">
      <c r="B18031" s="2"/>
      <c r="C18031" s="15"/>
      <c r="D18031" s="2"/>
    </row>
    <row r="18032" spans="1:4" ht="12.75" customHeight="1" x14ac:dyDescent="0.2">
      <c r="A18032" s="13" t="s">
        <v>5489</v>
      </c>
      <c r="C18032" s="12"/>
    </row>
    <row r="18033" spans="1:4" ht="12.75" customHeight="1" x14ac:dyDescent="0.2">
      <c r="A18033" s="11"/>
      <c r="B18033" s="2"/>
      <c r="C18033" s="15"/>
      <c r="D18033" s="2"/>
    </row>
    <row r="18034" spans="1:4" ht="12.75" customHeight="1" x14ac:dyDescent="0.2">
      <c r="B18034" s="11" t="s">
        <v>0</v>
      </c>
      <c r="C18034" s="11" t="s">
        <v>1032</v>
      </c>
    </row>
    <row r="18035" spans="1:4" ht="12.75" customHeight="1" x14ac:dyDescent="0.2">
      <c r="B18035" s="11" t="s">
        <v>2599</v>
      </c>
      <c r="C18035" s="11" t="s">
        <v>5490</v>
      </c>
    </row>
    <row r="18036" spans="1:4" ht="25.5" customHeight="1" x14ac:dyDescent="0.2">
      <c r="B18036" s="11" t="s">
        <v>2600</v>
      </c>
      <c r="C18036" s="11" t="s">
        <v>5491</v>
      </c>
    </row>
    <row r="18037" spans="1:4" ht="25.5" customHeight="1" x14ac:dyDescent="0.2">
      <c r="B18037" s="11" t="s">
        <v>2601</v>
      </c>
      <c r="C18037" s="11"/>
    </row>
    <row r="18038" spans="1:4" ht="12.75" customHeight="1" x14ac:dyDescent="0.2">
      <c r="B18038" s="11" t="s">
        <v>16</v>
      </c>
      <c r="C18038" s="11"/>
    </row>
    <row r="18039" spans="1:4" ht="12.75" customHeight="1" x14ac:dyDescent="0.2">
      <c r="B18039" s="11" t="s">
        <v>13</v>
      </c>
      <c r="C18039" s="11" t="s">
        <v>2602</v>
      </c>
    </row>
    <row r="18040" spans="1:4" ht="12.75" customHeight="1" x14ac:dyDescent="0.2">
      <c r="B18040" s="11" t="s">
        <v>2603</v>
      </c>
      <c r="C18040" s="11" t="s">
        <v>2604</v>
      </c>
    </row>
    <row r="18041" spans="1:4" ht="12.75" customHeight="1" x14ac:dyDescent="0.2">
      <c r="B18041" s="11" t="s">
        <v>2605</v>
      </c>
      <c r="C18041" s="11" t="s">
        <v>24</v>
      </c>
    </row>
    <row r="18042" spans="1:4" ht="12.75" customHeight="1" x14ac:dyDescent="0.2">
      <c r="B18042" s="11" t="s">
        <v>2606</v>
      </c>
      <c r="C18042" s="16" t="s">
        <v>67</v>
      </c>
      <c r="D18042" s="6" t="str">
        <f>HYPERLINK("javascript:void(0)","kincs")</f>
        <v>kincs</v>
      </c>
    </row>
    <row r="18043" spans="1:4" ht="12.75" customHeight="1" x14ac:dyDescent="0.2">
      <c r="C18043" s="16" t="s">
        <v>67</v>
      </c>
      <c r="D18043" s="6" t="str">
        <f>HYPERLINK("javascript:void(0)","savkristály")</f>
        <v>savkristály</v>
      </c>
    </row>
    <row r="18044" spans="1:4" ht="12.75" customHeight="1" x14ac:dyDescent="0.2">
      <c r="B18044" s="2"/>
      <c r="C18044" s="15"/>
      <c r="D18044" s="2"/>
    </row>
    <row r="18045" spans="1:4" ht="12.75" customHeight="1" x14ac:dyDescent="0.2">
      <c r="B18045" s="2"/>
      <c r="C18045" s="15"/>
      <c r="D18045" s="2"/>
    </row>
    <row r="18046" spans="1:4" ht="12.75" customHeight="1" x14ac:dyDescent="0.2">
      <c r="A18046" s="13" t="s">
        <v>5493</v>
      </c>
      <c r="C18046" s="12"/>
    </row>
    <row r="18047" spans="1:4" ht="12.75" customHeight="1" x14ac:dyDescent="0.2">
      <c r="A18047" s="11"/>
      <c r="B18047" s="2"/>
      <c r="C18047" s="15"/>
      <c r="D18047" s="2"/>
    </row>
    <row r="18048" spans="1:4" ht="12.75" customHeight="1" x14ac:dyDescent="0.2">
      <c r="B18048" s="11" t="s">
        <v>0</v>
      </c>
      <c r="C18048" s="11" t="s">
        <v>1032</v>
      </c>
    </row>
    <row r="18049" spans="1:4" ht="12.75" customHeight="1" x14ac:dyDescent="0.2">
      <c r="B18049" s="11" t="s">
        <v>2599</v>
      </c>
      <c r="C18049" s="11" t="s">
        <v>5494</v>
      </c>
    </row>
    <row r="18050" spans="1:4" ht="25.5" customHeight="1" x14ac:dyDescent="0.2">
      <c r="B18050" s="11" t="s">
        <v>2600</v>
      </c>
      <c r="C18050" s="11" t="s">
        <v>5495</v>
      </c>
    </row>
    <row r="18051" spans="1:4" ht="25.5" customHeight="1" x14ac:dyDescent="0.2">
      <c r="B18051" s="11" t="s">
        <v>2601</v>
      </c>
      <c r="C18051" s="11"/>
    </row>
    <row r="18052" spans="1:4" ht="12.75" customHeight="1" x14ac:dyDescent="0.2">
      <c r="B18052" s="11" t="s">
        <v>16</v>
      </c>
      <c r="C18052" s="11"/>
    </row>
    <row r="18053" spans="1:4" ht="12.75" customHeight="1" x14ac:dyDescent="0.2">
      <c r="B18053" s="11" t="s">
        <v>13</v>
      </c>
      <c r="C18053" s="11" t="s">
        <v>2602</v>
      </c>
    </row>
    <row r="18054" spans="1:4" ht="12.75" customHeight="1" x14ac:dyDescent="0.2">
      <c r="B18054" s="11" t="s">
        <v>2603</v>
      </c>
      <c r="C18054" s="11" t="s">
        <v>2604</v>
      </c>
    </row>
    <row r="18055" spans="1:4" ht="12.75" customHeight="1" x14ac:dyDescent="0.2">
      <c r="B18055" s="11" t="s">
        <v>2605</v>
      </c>
      <c r="C18055" s="11" t="s">
        <v>14</v>
      </c>
    </row>
    <row r="18056" spans="1:4" ht="12.75" customHeight="1" x14ac:dyDescent="0.2">
      <c r="B18056" s="11" t="s">
        <v>2606</v>
      </c>
      <c r="C18056" s="16" t="s">
        <v>98</v>
      </c>
      <c r="D18056" s="6" t="str">
        <f>HYPERLINK("javascript:void(0)","kincs")</f>
        <v>kincs</v>
      </c>
    </row>
    <row r="18057" spans="1:4" ht="12.75" customHeight="1" x14ac:dyDescent="0.2">
      <c r="B18057" s="2"/>
      <c r="C18057" s="15"/>
      <c r="D18057" s="2"/>
    </row>
    <row r="18058" spans="1:4" ht="12.75" customHeight="1" x14ac:dyDescent="0.2">
      <c r="B18058" s="2"/>
      <c r="C18058" s="15"/>
      <c r="D18058" s="2"/>
    </row>
    <row r="18059" spans="1:4" ht="12.75" customHeight="1" x14ac:dyDescent="0.2">
      <c r="A18059" s="13" t="s">
        <v>5496</v>
      </c>
      <c r="C18059" s="12"/>
    </row>
    <row r="18060" spans="1:4" ht="12.75" customHeight="1" x14ac:dyDescent="0.2">
      <c r="A18060" s="11"/>
      <c r="B18060" s="2"/>
      <c r="C18060" s="15"/>
      <c r="D18060" s="2"/>
    </row>
    <row r="18061" spans="1:4" ht="12.75" customHeight="1" x14ac:dyDescent="0.2">
      <c r="B18061" s="11" t="s">
        <v>0</v>
      </c>
      <c r="C18061" s="11" t="s">
        <v>1032</v>
      </c>
    </row>
    <row r="18062" spans="1:4" ht="12.75" customHeight="1" x14ac:dyDescent="0.2">
      <c r="B18062" s="11" t="s">
        <v>2599</v>
      </c>
      <c r="C18062" s="11" t="s">
        <v>5497</v>
      </c>
    </row>
    <row r="18063" spans="1:4" ht="25.5" customHeight="1" x14ac:dyDescent="0.2">
      <c r="B18063" s="11" t="s">
        <v>2600</v>
      </c>
      <c r="C18063" s="11" t="s">
        <v>5498</v>
      </c>
    </row>
    <row r="18064" spans="1:4" ht="25.5" customHeight="1" x14ac:dyDescent="0.2">
      <c r="B18064" s="11" t="s">
        <v>2601</v>
      </c>
      <c r="C18064" s="11"/>
    </row>
    <row r="18065" spans="1:4" ht="12.75" customHeight="1" x14ac:dyDescent="0.2">
      <c r="B18065" s="11" t="s">
        <v>16</v>
      </c>
      <c r="C18065" s="11"/>
    </row>
    <row r="18066" spans="1:4" ht="12.75" customHeight="1" x14ac:dyDescent="0.2">
      <c r="B18066" s="11" t="s">
        <v>13</v>
      </c>
      <c r="C18066" s="11" t="s">
        <v>2602</v>
      </c>
    </row>
    <row r="18067" spans="1:4" ht="12.75" customHeight="1" x14ac:dyDescent="0.2">
      <c r="B18067" s="11" t="s">
        <v>2603</v>
      </c>
      <c r="C18067" s="11" t="s">
        <v>2604</v>
      </c>
    </row>
    <row r="18068" spans="1:4" ht="12.75" customHeight="1" x14ac:dyDescent="0.2">
      <c r="B18068" s="11" t="s">
        <v>2605</v>
      </c>
      <c r="C18068" s="11" t="s">
        <v>24</v>
      </c>
    </row>
    <row r="18069" spans="1:4" ht="12.75" customHeight="1" x14ac:dyDescent="0.2">
      <c r="B18069" s="11" t="s">
        <v>2606</v>
      </c>
      <c r="C18069" s="16" t="s">
        <v>44</v>
      </c>
      <c r="D18069" s="6" t="str">
        <f>HYPERLINK("javascript:void(0)","gyutacs")</f>
        <v>gyutacs</v>
      </c>
    </row>
    <row r="18070" spans="1:4" ht="12.75" customHeight="1" x14ac:dyDescent="0.2">
      <c r="B18070" s="2"/>
      <c r="C18070" s="15"/>
      <c r="D18070" s="2"/>
    </row>
    <row r="18071" spans="1:4" ht="12.75" customHeight="1" x14ac:dyDescent="0.2">
      <c r="B18071" s="2"/>
      <c r="C18071" s="15"/>
      <c r="D18071" s="2"/>
    </row>
    <row r="18072" spans="1:4" ht="12.75" customHeight="1" x14ac:dyDescent="0.2">
      <c r="A18072" s="13" t="s">
        <v>5499</v>
      </c>
      <c r="C18072" s="12"/>
    </row>
    <row r="18073" spans="1:4" ht="12.75" customHeight="1" x14ac:dyDescent="0.2">
      <c r="A18073" s="11"/>
      <c r="B18073" s="2"/>
      <c r="C18073" s="15"/>
      <c r="D18073" s="2"/>
    </row>
    <row r="18074" spans="1:4" ht="12.75" customHeight="1" x14ac:dyDescent="0.2">
      <c r="B18074" s="11" t="s">
        <v>0</v>
      </c>
      <c r="C18074" s="11" t="s">
        <v>1032</v>
      </c>
    </row>
    <row r="18075" spans="1:4" ht="12.75" customHeight="1" x14ac:dyDescent="0.2">
      <c r="B18075" s="11" t="s">
        <v>2599</v>
      </c>
      <c r="C18075" s="11" t="s">
        <v>5500</v>
      </c>
    </row>
    <row r="18076" spans="1:4" ht="25.5" customHeight="1" x14ac:dyDescent="0.2">
      <c r="B18076" s="11" t="s">
        <v>2600</v>
      </c>
      <c r="C18076" s="11" t="s">
        <v>5501</v>
      </c>
    </row>
    <row r="18077" spans="1:4" ht="25.5" customHeight="1" x14ac:dyDescent="0.2">
      <c r="B18077" s="11" t="s">
        <v>2601</v>
      </c>
      <c r="C18077" s="11"/>
    </row>
    <row r="18078" spans="1:4" ht="12.75" customHeight="1" x14ac:dyDescent="0.2">
      <c r="B18078" s="11" t="s">
        <v>16</v>
      </c>
      <c r="C18078" s="11"/>
    </row>
    <row r="18079" spans="1:4" ht="12.75" customHeight="1" x14ac:dyDescent="0.2">
      <c r="B18079" s="11" t="s">
        <v>13</v>
      </c>
      <c r="C18079" s="11" t="s">
        <v>2644</v>
      </c>
    </row>
    <row r="18080" spans="1:4" ht="12.75" customHeight="1" x14ac:dyDescent="0.2">
      <c r="B18080" s="11" t="s">
        <v>2603</v>
      </c>
      <c r="C18080" s="11" t="s">
        <v>2604</v>
      </c>
    </row>
    <row r="18081" spans="1:4" ht="12.75" customHeight="1" x14ac:dyDescent="0.2">
      <c r="B18081" s="11" t="s">
        <v>2605</v>
      </c>
      <c r="C18081" s="11" t="s">
        <v>14</v>
      </c>
    </row>
    <row r="18082" spans="1:4" ht="12.75" customHeight="1" x14ac:dyDescent="0.2">
      <c r="B18082" s="11" t="s">
        <v>2606</v>
      </c>
      <c r="C18082" s="16" t="s">
        <v>951</v>
      </c>
      <c r="D18082" s="6" t="str">
        <f>HYPERLINK("javascript:void(0)","ezüst")</f>
        <v>ezüst</v>
      </c>
    </row>
    <row r="18083" spans="1:4" ht="12.75" customHeight="1" x14ac:dyDescent="0.2">
      <c r="C18083" s="16" t="s">
        <v>98</v>
      </c>
      <c r="D18083" s="6" t="str">
        <f>HYPERLINK("javascript:void(0)","kincs")</f>
        <v>kincs</v>
      </c>
    </row>
    <row r="18084" spans="1:4" ht="12.75" customHeight="1" x14ac:dyDescent="0.2">
      <c r="B18084" s="2"/>
      <c r="C18084" s="15"/>
      <c r="D18084" s="2"/>
    </row>
    <row r="18085" spans="1:4" ht="12.75" customHeight="1" x14ac:dyDescent="0.2">
      <c r="B18085" s="2"/>
      <c r="C18085" s="15"/>
      <c r="D18085" s="2"/>
    </row>
    <row r="18086" spans="1:4" ht="12.75" customHeight="1" x14ac:dyDescent="0.2">
      <c r="A18086" s="13" t="s">
        <v>5502</v>
      </c>
      <c r="C18086" s="12"/>
    </row>
    <row r="18087" spans="1:4" ht="12.75" customHeight="1" x14ac:dyDescent="0.2">
      <c r="A18087" s="11"/>
      <c r="B18087" s="2"/>
      <c r="C18087" s="15"/>
      <c r="D18087" s="2"/>
    </row>
    <row r="18088" spans="1:4" ht="12.75" customHeight="1" x14ac:dyDescent="0.2">
      <c r="B18088" s="11" t="s">
        <v>0</v>
      </c>
      <c r="C18088" s="11" t="s">
        <v>1032</v>
      </c>
    </row>
    <row r="18089" spans="1:4" ht="12.75" customHeight="1" x14ac:dyDescent="0.2">
      <c r="B18089" s="11" t="s">
        <v>2599</v>
      </c>
      <c r="C18089" s="11" t="s">
        <v>919</v>
      </c>
    </row>
    <row r="18090" spans="1:4" ht="25.5" customHeight="1" x14ac:dyDescent="0.2">
      <c r="B18090" s="11" t="s">
        <v>2600</v>
      </c>
      <c r="C18090" s="11" t="s">
        <v>5503</v>
      </c>
    </row>
    <row r="18091" spans="1:4" ht="25.5" customHeight="1" x14ac:dyDescent="0.2">
      <c r="B18091" s="11" t="s">
        <v>2601</v>
      </c>
      <c r="C18091" s="11"/>
    </row>
    <row r="18092" spans="1:4" ht="12.75" customHeight="1" x14ac:dyDescent="0.2">
      <c r="B18092" s="11" t="s">
        <v>16</v>
      </c>
      <c r="C18092" s="11"/>
    </row>
    <row r="18093" spans="1:4" ht="12.75" customHeight="1" x14ac:dyDescent="0.2">
      <c r="B18093" s="11" t="s">
        <v>13</v>
      </c>
      <c r="C18093" s="11" t="s">
        <v>2644</v>
      </c>
    </row>
    <row r="18094" spans="1:4" ht="12.75" customHeight="1" x14ac:dyDescent="0.2">
      <c r="B18094" s="11" t="s">
        <v>2603</v>
      </c>
      <c r="C18094" s="11" t="s">
        <v>2604</v>
      </c>
    </row>
    <row r="18095" spans="1:4" ht="12.75" customHeight="1" x14ac:dyDescent="0.2">
      <c r="B18095" s="11" t="s">
        <v>2605</v>
      </c>
      <c r="C18095" s="11" t="s">
        <v>14</v>
      </c>
    </row>
    <row r="18096" spans="1:4" ht="12.75" customHeight="1" x14ac:dyDescent="0.2">
      <c r="B18096" s="11" t="s">
        <v>2606</v>
      </c>
      <c r="C18096" s="16" t="s">
        <v>98</v>
      </c>
      <c r="D18096" s="6" t="str">
        <f>HYPERLINK("javascript:void(0)","kincs")</f>
        <v>kincs</v>
      </c>
    </row>
    <row r="18097" spans="1:4" ht="12.75" customHeight="1" x14ac:dyDescent="0.2">
      <c r="B18097" s="2"/>
      <c r="C18097" s="15"/>
      <c r="D18097" s="2"/>
    </row>
    <row r="18098" spans="1:4" ht="12.75" customHeight="1" x14ac:dyDescent="0.2">
      <c r="B18098" s="2"/>
      <c r="C18098" s="15"/>
      <c r="D18098" s="2"/>
    </row>
    <row r="18099" spans="1:4" ht="12.75" customHeight="1" x14ac:dyDescent="0.2">
      <c r="A18099" s="13" t="s">
        <v>5504</v>
      </c>
      <c r="C18099" s="12"/>
    </row>
    <row r="18100" spans="1:4" ht="12.75" customHeight="1" x14ac:dyDescent="0.2">
      <c r="A18100" s="11"/>
      <c r="B18100" s="2"/>
      <c r="C18100" s="15"/>
      <c r="D18100" s="2"/>
    </row>
    <row r="18101" spans="1:4" ht="12.75" customHeight="1" x14ac:dyDescent="0.2">
      <c r="B18101" s="11" t="s">
        <v>0</v>
      </c>
      <c r="C18101" s="11" t="s">
        <v>1032</v>
      </c>
    </row>
    <row r="18102" spans="1:4" ht="12.75" customHeight="1" x14ac:dyDescent="0.2">
      <c r="B18102" s="11" t="s">
        <v>2599</v>
      </c>
      <c r="C18102" s="11" t="s">
        <v>5505</v>
      </c>
    </row>
    <row r="18103" spans="1:4" ht="25.5" customHeight="1" x14ac:dyDescent="0.2">
      <c r="B18103" s="11" t="s">
        <v>2600</v>
      </c>
      <c r="C18103" s="11" t="s">
        <v>5506</v>
      </c>
    </row>
    <row r="18104" spans="1:4" ht="25.5" customHeight="1" x14ac:dyDescent="0.2">
      <c r="B18104" s="11" t="s">
        <v>2601</v>
      </c>
      <c r="C18104" s="11"/>
    </row>
    <row r="18105" spans="1:4" ht="12.75" customHeight="1" x14ac:dyDescent="0.2">
      <c r="B18105" s="11" t="s">
        <v>16</v>
      </c>
      <c r="C18105" s="11"/>
    </row>
    <row r="18106" spans="1:4" ht="12.75" customHeight="1" x14ac:dyDescent="0.2">
      <c r="B18106" s="11" t="s">
        <v>13</v>
      </c>
      <c r="C18106" s="11" t="s">
        <v>2602</v>
      </c>
    </row>
    <row r="18107" spans="1:4" ht="12.75" customHeight="1" x14ac:dyDescent="0.2">
      <c r="B18107" s="11" t="s">
        <v>2603</v>
      </c>
      <c r="C18107" s="11" t="s">
        <v>2604</v>
      </c>
    </row>
    <row r="18108" spans="1:4" ht="12.75" customHeight="1" x14ac:dyDescent="0.2">
      <c r="B18108" s="11" t="s">
        <v>2605</v>
      </c>
      <c r="C18108" s="11" t="s">
        <v>14</v>
      </c>
    </row>
    <row r="18109" spans="1:4" ht="12.75" customHeight="1" x14ac:dyDescent="0.2">
      <c r="B18109" s="11" t="s">
        <v>2606</v>
      </c>
      <c r="C18109" s="16" t="s">
        <v>98</v>
      </c>
      <c r="D18109" s="6" t="str">
        <f>HYPERLINK("javascript:void(0)","kincs")</f>
        <v>kincs</v>
      </c>
    </row>
    <row r="18110" spans="1:4" ht="12.75" customHeight="1" x14ac:dyDescent="0.2">
      <c r="B18110" s="2"/>
      <c r="C18110" s="15"/>
      <c r="D18110" s="2"/>
    </row>
    <row r="18111" spans="1:4" ht="12.75" customHeight="1" x14ac:dyDescent="0.2">
      <c r="B18111" s="2"/>
      <c r="C18111" s="15"/>
      <c r="D18111" s="2"/>
    </row>
    <row r="18112" spans="1:4" ht="12.75" customHeight="1" x14ac:dyDescent="0.2">
      <c r="A18112" s="13" t="s">
        <v>5507</v>
      </c>
      <c r="C18112" s="12"/>
    </row>
    <row r="18113" spans="1:4" ht="12.75" customHeight="1" x14ac:dyDescent="0.2">
      <c r="A18113" s="11"/>
      <c r="B18113" s="2"/>
      <c r="C18113" s="15"/>
      <c r="D18113" s="2"/>
    </row>
    <row r="18114" spans="1:4" ht="12.75" customHeight="1" x14ac:dyDescent="0.2">
      <c r="B18114" s="11" t="s">
        <v>0</v>
      </c>
      <c r="C18114" s="11" t="s">
        <v>1032</v>
      </c>
    </row>
    <row r="18115" spans="1:4" ht="12.75" customHeight="1" x14ac:dyDescent="0.2">
      <c r="B18115" s="11" t="s">
        <v>2599</v>
      </c>
      <c r="C18115" s="11" t="s">
        <v>5508</v>
      </c>
    </row>
    <row r="18116" spans="1:4" ht="25.5" customHeight="1" x14ac:dyDescent="0.2">
      <c r="B18116" s="11" t="s">
        <v>2600</v>
      </c>
      <c r="C18116" s="11" t="s">
        <v>5509</v>
      </c>
    </row>
    <row r="18117" spans="1:4" ht="25.5" customHeight="1" x14ac:dyDescent="0.2">
      <c r="B18117" s="11" t="s">
        <v>2601</v>
      </c>
      <c r="C18117" s="11"/>
    </row>
    <row r="18118" spans="1:4" ht="12.75" customHeight="1" x14ac:dyDescent="0.2">
      <c r="B18118" s="11" t="s">
        <v>16</v>
      </c>
      <c r="C18118" s="11"/>
    </row>
    <row r="18119" spans="1:4" ht="12.75" customHeight="1" x14ac:dyDescent="0.2">
      <c r="B18119" s="11" t="s">
        <v>13</v>
      </c>
      <c r="C18119" s="11" t="s">
        <v>2644</v>
      </c>
    </row>
    <row r="18120" spans="1:4" ht="12.75" customHeight="1" x14ac:dyDescent="0.2">
      <c r="B18120" s="11" t="s">
        <v>2603</v>
      </c>
      <c r="C18120" s="11" t="s">
        <v>2604</v>
      </c>
    </row>
    <row r="18121" spans="1:4" ht="12.75" customHeight="1" x14ac:dyDescent="0.2">
      <c r="B18121" s="11" t="s">
        <v>2605</v>
      </c>
      <c r="C18121" s="11" t="s">
        <v>24</v>
      </c>
    </row>
    <row r="18122" spans="1:4" ht="25.5" customHeight="1" x14ac:dyDescent="0.2">
      <c r="B18122" s="11" t="s">
        <v>2606</v>
      </c>
      <c r="C18122" s="16" t="s">
        <v>44</v>
      </c>
      <c r="D18122" s="6" t="str">
        <f>HYPERLINK("javascript:void(0)","tudásmorzsa")</f>
        <v>tudásmorzsa</v>
      </c>
    </row>
    <row r="18123" spans="1:4" ht="12.75" customHeight="1" x14ac:dyDescent="0.2">
      <c r="C18123" s="16" t="s">
        <v>44</v>
      </c>
      <c r="D18123" s="6" t="str">
        <f>HYPERLINK("javascript:void(0)","lexikon")</f>
        <v>lexikon</v>
      </c>
    </row>
    <row r="18124" spans="1:4" ht="12.75" customHeight="1" x14ac:dyDescent="0.2">
      <c r="B18124" s="2"/>
      <c r="C18124" s="15"/>
      <c r="D18124" s="2"/>
    </row>
    <row r="18125" spans="1:4" ht="12.75" customHeight="1" x14ac:dyDescent="0.2">
      <c r="B18125" s="2"/>
      <c r="C18125" s="15"/>
      <c r="D18125" s="2"/>
    </row>
    <row r="18126" spans="1:4" ht="12.75" customHeight="1" x14ac:dyDescent="0.2">
      <c r="A18126" s="13" t="s">
        <v>5510</v>
      </c>
      <c r="C18126" s="12"/>
    </row>
    <row r="18127" spans="1:4" ht="12.75" customHeight="1" x14ac:dyDescent="0.2">
      <c r="A18127" s="11"/>
      <c r="B18127" s="2"/>
      <c r="C18127" s="15"/>
      <c r="D18127" s="2"/>
    </row>
    <row r="18128" spans="1:4" ht="12.75" customHeight="1" x14ac:dyDescent="0.2">
      <c r="B18128" s="11" t="s">
        <v>0</v>
      </c>
      <c r="C18128" s="11" t="s">
        <v>1032</v>
      </c>
    </row>
    <row r="18129" spans="1:4" ht="12.75" customHeight="1" x14ac:dyDescent="0.2">
      <c r="B18129" s="11" t="s">
        <v>2599</v>
      </c>
      <c r="C18129" s="11" t="s">
        <v>5511</v>
      </c>
    </row>
    <row r="18130" spans="1:4" ht="25.5" customHeight="1" x14ac:dyDescent="0.2">
      <c r="B18130" s="11" t="s">
        <v>2600</v>
      </c>
      <c r="C18130" s="11" t="s">
        <v>5512</v>
      </c>
    </row>
    <row r="18131" spans="1:4" ht="25.5" customHeight="1" x14ac:dyDescent="0.2">
      <c r="B18131" s="11" t="s">
        <v>2601</v>
      </c>
      <c r="C18131" s="11"/>
    </row>
    <row r="18132" spans="1:4" ht="12.75" customHeight="1" x14ac:dyDescent="0.2">
      <c r="B18132" s="11" t="s">
        <v>16</v>
      </c>
      <c r="C18132" s="11"/>
    </row>
    <row r="18133" spans="1:4" ht="12.75" customHeight="1" x14ac:dyDescent="0.2">
      <c r="B18133" s="11" t="s">
        <v>13</v>
      </c>
      <c r="C18133" s="11" t="s">
        <v>2644</v>
      </c>
    </row>
    <row r="18134" spans="1:4" ht="12.75" customHeight="1" x14ac:dyDescent="0.2">
      <c r="B18134" s="11" t="s">
        <v>2603</v>
      </c>
      <c r="C18134" s="11" t="s">
        <v>2604</v>
      </c>
    </row>
    <row r="18135" spans="1:4" ht="12.75" customHeight="1" x14ac:dyDescent="0.2">
      <c r="B18135" s="11" t="s">
        <v>2605</v>
      </c>
      <c r="C18135" s="11" t="s">
        <v>24</v>
      </c>
    </row>
    <row r="18136" spans="1:4" ht="12.75" customHeight="1" x14ac:dyDescent="0.2">
      <c r="B18136" s="11" t="s">
        <v>2606</v>
      </c>
      <c r="C18136" s="16" t="s">
        <v>44</v>
      </c>
      <c r="D18136" s="6" t="str">
        <f>HYPERLINK("javascript:void(0)","négyél")</f>
        <v>négyél</v>
      </c>
    </row>
    <row r="18137" spans="1:4" ht="12.75" customHeight="1" x14ac:dyDescent="0.2">
      <c r="B18137" s="2"/>
      <c r="C18137" s="15"/>
      <c r="D18137" s="2"/>
    </row>
    <row r="18138" spans="1:4" ht="12.75" customHeight="1" x14ac:dyDescent="0.2">
      <c r="B18138" s="2"/>
      <c r="C18138" s="15"/>
      <c r="D18138" s="2"/>
    </row>
    <row r="18139" spans="1:4" ht="12.75" customHeight="1" x14ac:dyDescent="0.2">
      <c r="A18139" s="13" t="s">
        <v>5381</v>
      </c>
      <c r="C18139" s="12"/>
      <c r="D18139" s="2"/>
    </row>
    <row r="18140" spans="1:4" ht="12.75" customHeight="1" x14ac:dyDescent="0.2">
      <c r="A18140" s="11"/>
      <c r="B18140" s="2"/>
      <c r="C18140" s="15"/>
      <c r="D18140" s="2"/>
    </row>
    <row r="18141" spans="1:4" ht="12.75" customHeight="1" x14ac:dyDescent="0.2">
      <c r="B18141" s="11" t="s">
        <v>0</v>
      </c>
      <c r="C18141" s="17" t="s">
        <v>1032</v>
      </c>
      <c r="D18141" s="2"/>
    </row>
    <row r="18142" spans="1:4" ht="12.75" customHeight="1" x14ac:dyDescent="0.2">
      <c r="B18142" s="11" t="s">
        <v>2599</v>
      </c>
      <c r="C18142" s="17" t="s">
        <v>5106</v>
      </c>
      <c r="D18142" s="2"/>
    </row>
    <row r="18143" spans="1:4" ht="25.5" customHeight="1" x14ac:dyDescent="0.2">
      <c r="B18143" s="11" t="s">
        <v>2600</v>
      </c>
      <c r="C18143" s="17" t="s">
        <v>5513</v>
      </c>
      <c r="D18143" s="2"/>
    </row>
    <row r="18144" spans="1:4" ht="25.5" customHeight="1" x14ac:dyDescent="0.2">
      <c r="B18144" s="11" t="s">
        <v>2601</v>
      </c>
      <c r="C18144" s="17"/>
      <c r="D18144" s="2"/>
    </row>
    <row r="18145" spans="1:4" ht="12.75" customHeight="1" x14ac:dyDescent="0.2">
      <c r="B18145" s="11" t="s">
        <v>16</v>
      </c>
      <c r="C18145" s="17"/>
      <c r="D18145" s="2"/>
    </row>
    <row r="18146" spans="1:4" ht="12.75" customHeight="1" x14ac:dyDescent="0.2">
      <c r="B18146" s="11" t="s">
        <v>13</v>
      </c>
      <c r="C18146" s="17" t="s">
        <v>2602</v>
      </c>
      <c r="D18146" s="2"/>
    </row>
    <row r="18147" spans="1:4" ht="25.5" customHeight="1" x14ac:dyDescent="0.2">
      <c r="B18147" s="11" t="s">
        <v>2603</v>
      </c>
      <c r="C18147" s="17" t="s">
        <v>2971</v>
      </c>
      <c r="D18147" s="2"/>
    </row>
    <row r="18148" spans="1:4" ht="12.75" customHeight="1" x14ac:dyDescent="0.2">
      <c r="B18148" s="11" t="s">
        <v>2605</v>
      </c>
      <c r="C18148" s="17" t="s">
        <v>14</v>
      </c>
      <c r="D18148" s="2"/>
    </row>
    <row r="18149" spans="1:4" ht="12.75" customHeight="1" x14ac:dyDescent="0.2">
      <c r="B18149" s="11" t="s">
        <v>2606</v>
      </c>
      <c r="C18149" s="16" t="s">
        <v>19</v>
      </c>
      <c r="D18149" s="2"/>
    </row>
    <row r="18150" spans="1:4" ht="12.75" customHeight="1" x14ac:dyDescent="0.2">
      <c r="B18150" s="2"/>
      <c r="C18150" s="15"/>
      <c r="D18150" s="2"/>
    </row>
    <row r="18151" spans="1:4" ht="12.75" customHeight="1" x14ac:dyDescent="0.2">
      <c r="B18151" s="2"/>
      <c r="C18151" s="15"/>
      <c r="D18151" s="2"/>
    </row>
    <row r="18152" spans="1:4" ht="12.75" customHeight="1" x14ac:dyDescent="0.2">
      <c r="A18152" s="13" t="s">
        <v>5383</v>
      </c>
      <c r="C18152" s="12"/>
      <c r="D18152" s="2"/>
    </row>
    <row r="18153" spans="1:4" ht="12.75" customHeight="1" x14ac:dyDescent="0.2">
      <c r="A18153" s="11"/>
      <c r="B18153" s="2"/>
      <c r="C18153" s="15"/>
      <c r="D18153" s="2"/>
    </row>
    <row r="18154" spans="1:4" ht="12.75" customHeight="1" x14ac:dyDescent="0.2">
      <c r="B18154" s="11" t="s">
        <v>0</v>
      </c>
      <c r="C18154" s="17" t="s">
        <v>1032</v>
      </c>
      <c r="D18154" s="2"/>
    </row>
    <row r="18155" spans="1:4" ht="12.75" customHeight="1" x14ac:dyDescent="0.2">
      <c r="B18155" s="11" t="s">
        <v>2599</v>
      </c>
      <c r="C18155" s="17" t="s">
        <v>5109</v>
      </c>
      <c r="D18155" s="2"/>
    </row>
    <row r="18156" spans="1:4" ht="25.5" customHeight="1" x14ac:dyDescent="0.2">
      <c r="B18156" s="11" t="s">
        <v>2600</v>
      </c>
      <c r="C18156" s="17" t="s">
        <v>5514</v>
      </c>
      <c r="D18156" s="2"/>
    </row>
    <row r="18157" spans="1:4" ht="25.5" customHeight="1" x14ac:dyDescent="0.2">
      <c r="B18157" s="11" t="s">
        <v>2601</v>
      </c>
      <c r="C18157" s="17"/>
      <c r="D18157" s="2"/>
    </row>
    <row r="18158" spans="1:4" ht="12.75" customHeight="1" x14ac:dyDescent="0.2">
      <c r="B18158" s="11" t="s">
        <v>16</v>
      </c>
      <c r="C18158" s="17"/>
      <c r="D18158" s="2"/>
    </row>
    <row r="18159" spans="1:4" ht="12.75" customHeight="1" x14ac:dyDescent="0.2">
      <c r="B18159" s="11" t="s">
        <v>13</v>
      </c>
      <c r="C18159" s="17" t="s">
        <v>2644</v>
      </c>
      <c r="D18159" s="2"/>
    </row>
    <row r="18160" spans="1:4" ht="25.5" customHeight="1" x14ac:dyDescent="0.2">
      <c r="B18160" s="11" t="s">
        <v>2603</v>
      </c>
      <c r="C18160" s="17" t="s">
        <v>2971</v>
      </c>
      <c r="D18160" s="2"/>
    </row>
    <row r="18161" spans="1:4" ht="12.75" customHeight="1" x14ac:dyDescent="0.2">
      <c r="B18161" s="11" t="s">
        <v>2605</v>
      </c>
      <c r="C18161" s="17" t="s">
        <v>14</v>
      </c>
      <c r="D18161" s="2"/>
    </row>
    <row r="18162" spans="1:4" ht="12.75" customHeight="1" x14ac:dyDescent="0.2">
      <c r="B18162" s="11" t="s">
        <v>2606</v>
      </c>
      <c r="C18162" s="16" t="s">
        <v>19</v>
      </c>
      <c r="D18162" s="2"/>
    </row>
    <row r="18163" spans="1:4" ht="12.75" customHeight="1" x14ac:dyDescent="0.2">
      <c r="B18163" s="2"/>
      <c r="C18163" s="15"/>
      <c r="D18163" s="2"/>
    </row>
    <row r="18164" spans="1:4" ht="12.75" customHeight="1" x14ac:dyDescent="0.2">
      <c r="B18164" s="2"/>
      <c r="C18164" s="15"/>
      <c r="D18164" s="2"/>
    </row>
    <row r="18165" spans="1:4" ht="12.75" customHeight="1" x14ac:dyDescent="0.2">
      <c r="A18165" s="13" t="s">
        <v>5407</v>
      </c>
      <c r="C18165" s="12"/>
      <c r="D18165" s="2"/>
    </row>
    <row r="18166" spans="1:4" ht="12.75" customHeight="1" x14ac:dyDescent="0.2">
      <c r="A18166" s="11"/>
      <c r="B18166" s="2"/>
      <c r="C18166" s="15"/>
      <c r="D18166" s="2"/>
    </row>
    <row r="18167" spans="1:4" ht="12.75" customHeight="1" x14ac:dyDescent="0.2">
      <c r="B18167" s="11" t="s">
        <v>0</v>
      </c>
      <c r="C18167" s="17" t="s">
        <v>1032</v>
      </c>
      <c r="D18167" s="2"/>
    </row>
    <row r="18168" spans="1:4" ht="12.75" customHeight="1" x14ac:dyDescent="0.2">
      <c r="B18168" s="11" t="s">
        <v>2599</v>
      </c>
      <c r="C18168" s="17" t="s">
        <v>5135</v>
      </c>
      <c r="D18168" s="2"/>
    </row>
    <row r="18169" spans="1:4" ht="25.5" customHeight="1" x14ac:dyDescent="0.2">
      <c r="B18169" s="11" t="s">
        <v>2600</v>
      </c>
      <c r="C18169" s="17" t="s">
        <v>5515</v>
      </c>
      <c r="D18169" s="2"/>
    </row>
    <row r="18170" spans="1:4" ht="25.5" customHeight="1" x14ac:dyDescent="0.2">
      <c r="B18170" s="11" t="s">
        <v>2601</v>
      </c>
      <c r="C18170" s="17"/>
      <c r="D18170" s="2"/>
    </row>
    <row r="18171" spans="1:4" ht="12.75" customHeight="1" x14ac:dyDescent="0.2">
      <c r="B18171" s="11" t="s">
        <v>16</v>
      </c>
      <c r="C18171" s="17"/>
      <c r="D18171" s="2"/>
    </row>
    <row r="18172" spans="1:4" ht="12.75" customHeight="1" x14ac:dyDescent="0.2">
      <c r="B18172" s="11" t="s">
        <v>13</v>
      </c>
      <c r="C18172" s="17" t="s">
        <v>2602</v>
      </c>
      <c r="D18172" s="2"/>
    </row>
    <row r="18173" spans="1:4" ht="25.5" customHeight="1" x14ac:dyDescent="0.2">
      <c r="B18173" s="11" t="s">
        <v>2603</v>
      </c>
      <c r="C18173" s="17" t="s">
        <v>2971</v>
      </c>
      <c r="D18173" s="2"/>
    </row>
    <row r="18174" spans="1:4" ht="12.75" customHeight="1" x14ac:dyDescent="0.2">
      <c r="B18174" s="11" t="s">
        <v>2605</v>
      </c>
      <c r="C18174" s="17" t="s">
        <v>14</v>
      </c>
      <c r="D18174" s="2"/>
    </row>
    <row r="18175" spans="1:4" ht="12.75" customHeight="1" x14ac:dyDescent="0.2">
      <c r="B18175" s="11" t="s">
        <v>2606</v>
      </c>
      <c r="C18175" s="16" t="s">
        <v>19</v>
      </c>
      <c r="D18175" s="2"/>
    </row>
    <row r="18176" spans="1:4" ht="12.75" customHeight="1" x14ac:dyDescent="0.2">
      <c r="B18176" s="2"/>
      <c r="C18176" s="15"/>
      <c r="D18176" s="2"/>
    </row>
    <row r="18177" spans="1:4" ht="12.75" customHeight="1" x14ac:dyDescent="0.2">
      <c r="B18177" s="2"/>
      <c r="C18177" s="15"/>
      <c r="D18177" s="2"/>
    </row>
    <row r="18178" spans="1:4" ht="12.75" customHeight="1" x14ac:dyDescent="0.2">
      <c r="A18178" s="13" t="s">
        <v>5516</v>
      </c>
      <c r="C18178" s="12"/>
      <c r="D18178" s="2"/>
    </row>
    <row r="18179" spans="1:4" ht="12.75" customHeight="1" x14ac:dyDescent="0.2">
      <c r="A18179" s="11"/>
      <c r="B18179" s="2"/>
      <c r="C18179" s="15"/>
      <c r="D18179" s="2"/>
    </row>
    <row r="18180" spans="1:4" ht="12.75" customHeight="1" x14ac:dyDescent="0.2">
      <c r="B18180" s="11" t="s">
        <v>0</v>
      </c>
      <c r="C18180" s="17" t="s">
        <v>99</v>
      </c>
      <c r="D18180" s="2"/>
    </row>
    <row r="18181" spans="1:4" ht="12.75" customHeight="1" x14ac:dyDescent="0.2">
      <c r="B18181" s="11" t="s">
        <v>2599</v>
      </c>
      <c r="C18181" s="17" t="s">
        <v>5135</v>
      </c>
      <c r="D18181" s="2"/>
    </row>
    <row r="18182" spans="1:4" ht="25.5" customHeight="1" x14ac:dyDescent="0.2">
      <c r="B18182" s="11" t="s">
        <v>2600</v>
      </c>
      <c r="C18182" s="17" t="s">
        <v>5517</v>
      </c>
      <c r="D18182" s="2"/>
    </row>
    <row r="18183" spans="1:4" ht="25.5" customHeight="1" x14ac:dyDescent="0.2">
      <c r="B18183" s="11" t="s">
        <v>2601</v>
      </c>
      <c r="C18183" s="17"/>
      <c r="D18183" s="2"/>
    </row>
    <row r="18184" spans="1:4" ht="12.75" customHeight="1" x14ac:dyDescent="0.2">
      <c r="B18184" s="11" t="s">
        <v>16</v>
      </c>
      <c r="C18184" s="17"/>
      <c r="D18184" s="2"/>
    </row>
    <row r="18185" spans="1:4" ht="12.75" customHeight="1" x14ac:dyDescent="0.2">
      <c r="B18185" s="11" t="s">
        <v>13</v>
      </c>
      <c r="C18185" s="17" t="s">
        <v>2602</v>
      </c>
      <c r="D18185" s="2"/>
    </row>
    <row r="18186" spans="1:4" ht="25.5" customHeight="1" x14ac:dyDescent="0.2">
      <c r="B18186" s="11" t="s">
        <v>2603</v>
      </c>
      <c r="C18186" s="17" t="s">
        <v>2971</v>
      </c>
      <c r="D18186" s="2"/>
    </row>
    <row r="18187" spans="1:4" ht="12.75" customHeight="1" x14ac:dyDescent="0.2">
      <c r="B18187" s="11" t="s">
        <v>2605</v>
      </c>
      <c r="C18187" s="17" t="s">
        <v>14</v>
      </c>
      <c r="D18187" s="2"/>
    </row>
    <row r="18188" spans="1:4" ht="12.75" customHeight="1" x14ac:dyDescent="0.2">
      <c r="B18188" s="11" t="s">
        <v>2606</v>
      </c>
      <c r="C18188" s="16" t="s">
        <v>19</v>
      </c>
      <c r="D18188" s="2"/>
    </row>
    <row r="18189" spans="1:4" ht="12.75" customHeight="1" x14ac:dyDescent="0.2">
      <c r="B18189" s="2"/>
      <c r="C18189" s="15"/>
      <c r="D18189" s="2"/>
    </row>
    <row r="18190" spans="1:4" ht="12.75" customHeight="1" x14ac:dyDescent="0.2">
      <c r="B18190" s="2"/>
      <c r="C18190" s="15"/>
      <c r="D18190" s="2"/>
    </row>
    <row r="18191" spans="1:4" ht="12.75" customHeight="1" x14ac:dyDescent="0.2">
      <c r="A18191" s="13" t="s">
        <v>5518</v>
      </c>
      <c r="C18191" s="12"/>
      <c r="D18191" s="2"/>
    </row>
    <row r="18192" spans="1:4" ht="12.75" customHeight="1" x14ac:dyDescent="0.2">
      <c r="A18192" s="11"/>
      <c r="B18192" s="2"/>
      <c r="C18192" s="15"/>
      <c r="D18192" s="2"/>
    </row>
    <row r="18193" spans="1:4" ht="12.75" customHeight="1" x14ac:dyDescent="0.2">
      <c r="B18193" s="11" t="s">
        <v>0</v>
      </c>
      <c r="C18193" s="17" t="s">
        <v>99</v>
      </c>
      <c r="D18193" s="2"/>
    </row>
    <row r="18194" spans="1:4" ht="12.75" customHeight="1" x14ac:dyDescent="0.2">
      <c r="B18194" s="11" t="s">
        <v>2599</v>
      </c>
      <c r="C18194" s="17" t="s">
        <v>5103</v>
      </c>
      <c r="D18194" s="2"/>
    </row>
    <row r="18195" spans="1:4" ht="25.5" customHeight="1" x14ac:dyDescent="0.2">
      <c r="B18195" s="11" t="s">
        <v>2600</v>
      </c>
      <c r="C18195" s="17" t="s">
        <v>5519</v>
      </c>
      <c r="D18195" s="2"/>
    </row>
    <row r="18196" spans="1:4" ht="25.5" customHeight="1" x14ac:dyDescent="0.2">
      <c r="B18196" s="11" t="s">
        <v>2601</v>
      </c>
      <c r="C18196" s="17"/>
      <c r="D18196" s="2"/>
    </row>
    <row r="18197" spans="1:4" ht="12.75" customHeight="1" x14ac:dyDescent="0.2">
      <c r="B18197" s="11" t="s">
        <v>16</v>
      </c>
      <c r="C18197" s="17"/>
      <c r="D18197" s="2"/>
    </row>
    <row r="18198" spans="1:4" ht="12.75" customHeight="1" x14ac:dyDescent="0.2">
      <c r="B18198" s="11" t="s">
        <v>13</v>
      </c>
      <c r="C18198" s="17" t="s">
        <v>2644</v>
      </c>
      <c r="D18198" s="2"/>
    </row>
    <row r="18199" spans="1:4" ht="25.5" customHeight="1" x14ac:dyDescent="0.2">
      <c r="B18199" s="11" t="s">
        <v>2603</v>
      </c>
      <c r="C18199" s="17" t="s">
        <v>2971</v>
      </c>
      <c r="D18199" s="2"/>
    </row>
    <row r="18200" spans="1:4" ht="12.75" customHeight="1" x14ac:dyDescent="0.2">
      <c r="B18200" s="11" t="s">
        <v>2605</v>
      </c>
      <c r="C18200" s="17" t="s">
        <v>14</v>
      </c>
      <c r="D18200" s="2"/>
    </row>
    <row r="18201" spans="1:4" ht="12.75" customHeight="1" x14ac:dyDescent="0.2">
      <c r="B18201" s="11" t="s">
        <v>2606</v>
      </c>
      <c r="C18201" s="16" t="s">
        <v>19</v>
      </c>
      <c r="D18201" s="2"/>
    </row>
    <row r="18202" spans="1:4" ht="12.75" customHeight="1" x14ac:dyDescent="0.2">
      <c r="B18202" s="2"/>
      <c r="C18202" s="15"/>
      <c r="D18202" s="2"/>
    </row>
    <row r="18203" spans="1:4" ht="12.75" customHeight="1" x14ac:dyDescent="0.2">
      <c r="B18203" s="2"/>
      <c r="C18203" s="15"/>
      <c r="D18203" s="2"/>
    </row>
    <row r="18204" spans="1:4" ht="12.75" customHeight="1" x14ac:dyDescent="0.2">
      <c r="A18204" s="13" t="s">
        <v>5520</v>
      </c>
      <c r="C18204" s="12"/>
    </row>
    <row r="18205" spans="1:4" ht="12.75" customHeight="1" x14ac:dyDescent="0.2">
      <c r="A18205" s="11"/>
      <c r="B18205" s="2"/>
      <c r="C18205" s="15"/>
      <c r="D18205" s="2"/>
    </row>
    <row r="18206" spans="1:4" ht="12.75" customHeight="1" x14ac:dyDescent="0.2">
      <c r="B18206" s="11" t="s">
        <v>0</v>
      </c>
      <c r="C18206" s="11" t="s">
        <v>99</v>
      </c>
    </row>
    <row r="18207" spans="1:4" ht="12.75" customHeight="1" x14ac:dyDescent="0.2">
      <c r="B18207" s="11" t="s">
        <v>2599</v>
      </c>
      <c r="C18207" s="11" t="s">
        <v>5521</v>
      </c>
    </row>
    <row r="18208" spans="1:4" ht="25.5" customHeight="1" x14ac:dyDescent="0.2">
      <c r="B18208" s="11" t="s">
        <v>2600</v>
      </c>
      <c r="C18208" s="11" t="s">
        <v>5522</v>
      </c>
    </row>
    <row r="18209" spans="1:4" ht="25.5" customHeight="1" x14ac:dyDescent="0.2">
      <c r="B18209" s="11" t="s">
        <v>2601</v>
      </c>
      <c r="C18209" s="11"/>
    </row>
    <row r="18210" spans="1:4" ht="12.75" customHeight="1" x14ac:dyDescent="0.2">
      <c r="B18210" s="11" t="s">
        <v>16</v>
      </c>
      <c r="C18210" s="11"/>
    </row>
    <row r="18211" spans="1:4" ht="12.75" customHeight="1" x14ac:dyDescent="0.2">
      <c r="B18211" s="11" t="s">
        <v>13</v>
      </c>
      <c r="C18211" s="11" t="s">
        <v>2602</v>
      </c>
    </row>
    <row r="18212" spans="1:4" ht="12.75" customHeight="1" x14ac:dyDescent="0.2">
      <c r="B18212" s="11" t="s">
        <v>2603</v>
      </c>
      <c r="C18212" s="11" t="s">
        <v>2604</v>
      </c>
    </row>
    <row r="18213" spans="1:4" ht="12.75" customHeight="1" x14ac:dyDescent="0.2">
      <c r="B18213" s="11" t="s">
        <v>2605</v>
      </c>
      <c r="C18213" s="11" t="s">
        <v>24</v>
      </c>
    </row>
    <row r="18214" spans="1:4" ht="12.75" customHeight="1" x14ac:dyDescent="0.2">
      <c r="B18214" s="11" t="s">
        <v>2606</v>
      </c>
      <c r="C18214" s="16" t="s">
        <v>1389</v>
      </c>
      <c r="D18214" s="6" t="str">
        <f>HYPERLINK("javascript:void(0)","ezüst")</f>
        <v>ezüst</v>
      </c>
    </row>
    <row r="18215" spans="1:4" ht="12.75" customHeight="1" x14ac:dyDescent="0.2">
      <c r="C18215" s="16" t="s">
        <v>44</v>
      </c>
      <c r="D18215" s="6" t="str">
        <f>HYPERLINK("javascript:void(0)","toplaty")</f>
        <v>toplaty</v>
      </c>
    </row>
    <row r="18216" spans="1:4" ht="12.75" customHeight="1" x14ac:dyDescent="0.2">
      <c r="B18216" s="2"/>
      <c r="C18216" s="15"/>
      <c r="D18216" s="2"/>
    </row>
    <row r="18217" spans="1:4" ht="12.75" customHeight="1" x14ac:dyDescent="0.2">
      <c r="B18217" s="2"/>
      <c r="C18217" s="15"/>
      <c r="D18217" s="2"/>
    </row>
    <row r="18218" spans="1:4" ht="12.75" customHeight="1" x14ac:dyDescent="0.2">
      <c r="A18218" s="13" t="s">
        <v>5524</v>
      </c>
      <c r="C18218" s="12"/>
    </row>
    <row r="18219" spans="1:4" ht="12.75" customHeight="1" x14ac:dyDescent="0.2">
      <c r="A18219" s="11"/>
      <c r="B18219" s="2"/>
      <c r="C18219" s="15"/>
      <c r="D18219" s="2"/>
    </row>
    <row r="18220" spans="1:4" ht="12.75" customHeight="1" x14ac:dyDescent="0.2">
      <c r="B18220" s="11" t="s">
        <v>0</v>
      </c>
      <c r="C18220" s="11" t="s">
        <v>99</v>
      </c>
    </row>
    <row r="18221" spans="1:4" ht="12.75" customHeight="1" x14ac:dyDescent="0.2">
      <c r="B18221" s="11" t="s">
        <v>2599</v>
      </c>
      <c r="C18221" s="11" t="s">
        <v>5525</v>
      </c>
    </row>
    <row r="18222" spans="1:4" ht="25.5" customHeight="1" x14ac:dyDescent="0.2">
      <c r="B18222" s="11" t="s">
        <v>2600</v>
      </c>
      <c r="C18222" s="11" t="s">
        <v>5527</v>
      </c>
    </row>
    <row r="18223" spans="1:4" ht="25.5" customHeight="1" x14ac:dyDescent="0.2">
      <c r="B18223" s="11" t="s">
        <v>2601</v>
      </c>
      <c r="C18223" s="11"/>
    </row>
    <row r="18224" spans="1:4" ht="12.75" customHeight="1" x14ac:dyDescent="0.2">
      <c r="B18224" s="11" t="s">
        <v>16</v>
      </c>
      <c r="C18224" s="11"/>
    </row>
    <row r="18225" spans="1:4" ht="12.75" customHeight="1" x14ac:dyDescent="0.2">
      <c r="B18225" s="11" t="s">
        <v>13</v>
      </c>
      <c r="C18225" s="11" t="s">
        <v>2602</v>
      </c>
    </row>
    <row r="18226" spans="1:4" ht="12.75" customHeight="1" x14ac:dyDescent="0.2">
      <c r="B18226" s="11" t="s">
        <v>2603</v>
      </c>
      <c r="C18226" s="11" t="s">
        <v>2604</v>
      </c>
    </row>
    <row r="18227" spans="1:4" ht="12.75" customHeight="1" x14ac:dyDescent="0.2">
      <c r="B18227" s="11" t="s">
        <v>2605</v>
      </c>
      <c r="C18227" s="11" t="s">
        <v>14</v>
      </c>
    </row>
    <row r="18228" spans="1:4" ht="12.75" customHeight="1" x14ac:dyDescent="0.2">
      <c r="B18228" s="11" t="s">
        <v>2606</v>
      </c>
      <c r="C18228" s="16" t="s">
        <v>98</v>
      </c>
      <c r="D18228" s="6" t="str">
        <f>HYPERLINK("javascript:void(0)","kincs")</f>
        <v>kincs</v>
      </c>
    </row>
    <row r="18229" spans="1:4" ht="12.75" customHeight="1" x14ac:dyDescent="0.2">
      <c r="B18229" s="2"/>
      <c r="C18229" s="15"/>
      <c r="D18229" s="2"/>
    </row>
    <row r="18230" spans="1:4" ht="12.75" customHeight="1" x14ac:dyDescent="0.2">
      <c r="B18230" s="2"/>
      <c r="C18230" s="15"/>
      <c r="D18230" s="2"/>
    </row>
    <row r="18231" spans="1:4" ht="12.75" customHeight="1" x14ac:dyDescent="0.2">
      <c r="A18231" s="13" t="s">
        <v>5528</v>
      </c>
      <c r="C18231" s="12"/>
    </row>
    <row r="18232" spans="1:4" ht="12.75" customHeight="1" x14ac:dyDescent="0.2">
      <c r="A18232" s="11"/>
      <c r="B18232" s="2"/>
      <c r="C18232" s="15"/>
      <c r="D18232" s="2"/>
    </row>
    <row r="18233" spans="1:4" ht="12.75" customHeight="1" x14ac:dyDescent="0.2">
      <c r="B18233" s="11" t="s">
        <v>0</v>
      </c>
      <c r="C18233" s="11" t="s">
        <v>99</v>
      </c>
    </row>
    <row r="18234" spans="1:4" ht="12.75" customHeight="1" x14ac:dyDescent="0.2">
      <c r="B18234" s="11" t="s">
        <v>2599</v>
      </c>
      <c r="C18234" s="11" t="s">
        <v>2032</v>
      </c>
    </row>
    <row r="18235" spans="1:4" ht="25.5" customHeight="1" x14ac:dyDescent="0.2">
      <c r="B18235" s="11" t="s">
        <v>2600</v>
      </c>
      <c r="C18235" s="11" t="s">
        <v>5530</v>
      </c>
    </row>
    <row r="18236" spans="1:4" ht="25.5" customHeight="1" x14ac:dyDescent="0.2">
      <c r="B18236" s="11" t="s">
        <v>2601</v>
      </c>
      <c r="C18236" s="11"/>
    </row>
    <row r="18237" spans="1:4" ht="12.75" customHeight="1" x14ac:dyDescent="0.2">
      <c r="B18237" s="11" t="s">
        <v>16</v>
      </c>
      <c r="C18237" s="11"/>
    </row>
    <row r="18238" spans="1:4" ht="12.75" customHeight="1" x14ac:dyDescent="0.2">
      <c r="B18238" s="11" t="s">
        <v>13</v>
      </c>
      <c r="C18238" s="11" t="s">
        <v>2602</v>
      </c>
    </row>
    <row r="18239" spans="1:4" ht="12.75" customHeight="1" x14ac:dyDescent="0.2">
      <c r="B18239" s="11" t="s">
        <v>2603</v>
      </c>
      <c r="C18239" s="11" t="s">
        <v>2604</v>
      </c>
    </row>
    <row r="18240" spans="1:4" ht="12.75" customHeight="1" x14ac:dyDescent="0.2">
      <c r="B18240" s="11" t="s">
        <v>2605</v>
      </c>
      <c r="C18240" s="11" t="s">
        <v>24</v>
      </c>
    </row>
    <row r="18241" spans="1:4" ht="12.75" customHeight="1" x14ac:dyDescent="0.2">
      <c r="B18241" s="11" t="s">
        <v>2606</v>
      </c>
      <c r="C18241" s="16" t="s">
        <v>44</v>
      </c>
      <c r="D18241" s="6" t="str">
        <f>HYPERLINK("javascript:void(0)","gyutacs")</f>
        <v>gyutacs</v>
      </c>
    </row>
    <row r="18242" spans="1:4" ht="12.75" customHeight="1" x14ac:dyDescent="0.2">
      <c r="B18242" s="2"/>
      <c r="C18242" s="15"/>
      <c r="D18242" s="2"/>
    </row>
    <row r="18243" spans="1:4" ht="12.75" customHeight="1" x14ac:dyDescent="0.2">
      <c r="B18243" s="2"/>
      <c r="C18243" s="15"/>
      <c r="D18243" s="2"/>
    </row>
    <row r="18244" spans="1:4" ht="12.75" customHeight="1" x14ac:dyDescent="0.2">
      <c r="A18244" s="13" t="s">
        <v>5531</v>
      </c>
      <c r="C18244" s="12"/>
    </row>
    <row r="18245" spans="1:4" ht="12.75" customHeight="1" x14ac:dyDescent="0.2">
      <c r="A18245" s="11"/>
      <c r="B18245" s="2"/>
      <c r="C18245" s="15"/>
      <c r="D18245" s="2"/>
    </row>
    <row r="18246" spans="1:4" ht="12.75" customHeight="1" x14ac:dyDescent="0.2">
      <c r="B18246" s="11" t="s">
        <v>0</v>
      </c>
      <c r="C18246" s="11" t="s">
        <v>99</v>
      </c>
    </row>
    <row r="18247" spans="1:4" ht="12.75" customHeight="1" x14ac:dyDescent="0.2">
      <c r="B18247" s="11" t="s">
        <v>2599</v>
      </c>
      <c r="C18247" s="11" t="s">
        <v>5532</v>
      </c>
    </row>
    <row r="18248" spans="1:4" ht="25.5" customHeight="1" x14ac:dyDescent="0.2">
      <c r="B18248" s="11" t="s">
        <v>2600</v>
      </c>
      <c r="C18248" s="11" t="s">
        <v>5533</v>
      </c>
    </row>
    <row r="18249" spans="1:4" ht="25.5" customHeight="1" x14ac:dyDescent="0.2">
      <c r="B18249" s="11" t="s">
        <v>2601</v>
      </c>
      <c r="C18249" s="11"/>
    </row>
    <row r="18250" spans="1:4" ht="12.75" customHeight="1" x14ac:dyDescent="0.2">
      <c r="B18250" s="11" t="s">
        <v>16</v>
      </c>
      <c r="C18250" s="11"/>
    </row>
    <row r="18251" spans="1:4" ht="12.75" customHeight="1" x14ac:dyDescent="0.2">
      <c r="B18251" s="11" t="s">
        <v>13</v>
      </c>
      <c r="C18251" s="11" t="s">
        <v>2644</v>
      </c>
    </row>
    <row r="18252" spans="1:4" ht="12.75" customHeight="1" x14ac:dyDescent="0.2">
      <c r="B18252" s="11" t="s">
        <v>2603</v>
      </c>
      <c r="C18252" s="11" t="s">
        <v>2604</v>
      </c>
    </row>
    <row r="18253" spans="1:4" ht="12.75" customHeight="1" x14ac:dyDescent="0.2">
      <c r="B18253" s="11" t="s">
        <v>2605</v>
      </c>
      <c r="C18253" s="11" t="s">
        <v>14</v>
      </c>
    </row>
    <row r="18254" spans="1:4" ht="12.75" customHeight="1" x14ac:dyDescent="0.2">
      <c r="B18254" s="11" t="s">
        <v>2606</v>
      </c>
      <c r="C18254" s="16" t="s">
        <v>98</v>
      </c>
      <c r="D18254" s="6" t="str">
        <f>HYPERLINK("javascript:void(0)","kincs")</f>
        <v>kincs</v>
      </c>
    </row>
    <row r="18255" spans="1:4" ht="12.75" customHeight="1" x14ac:dyDescent="0.2">
      <c r="B18255" s="2"/>
      <c r="C18255" s="15"/>
      <c r="D18255" s="2"/>
    </row>
    <row r="18256" spans="1:4" ht="12.75" customHeight="1" x14ac:dyDescent="0.2">
      <c r="B18256" s="2"/>
      <c r="C18256" s="15"/>
      <c r="D18256" s="2"/>
    </row>
    <row r="18257" spans="1:4" ht="12.75" customHeight="1" x14ac:dyDescent="0.2">
      <c r="A18257" s="13" t="s">
        <v>5534</v>
      </c>
      <c r="C18257" s="12"/>
    </row>
    <row r="18258" spans="1:4" ht="12.75" customHeight="1" x14ac:dyDescent="0.2">
      <c r="A18258" s="11"/>
      <c r="B18258" s="2"/>
      <c r="C18258" s="15"/>
      <c r="D18258" s="2"/>
    </row>
    <row r="18259" spans="1:4" ht="12.75" customHeight="1" x14ac:dyDescent="0.2">
      <c r="B18259" s="11" t="s">
        <v>0</v>
      </c>
      <c r="C18259" s="11" t="s">
        <v>99</v>
      </c>
    </row>
    <row r="18260" spans="1:4" ht="12.75" customHeight="1" x14ac:dyDescent="0.2">
      <c r="B18260" s="11" t="s">
        <v>2599</v>
      </c>
      <c r="C18260" s="11" t="s">
        <v>3180</v>
      </c>
    </row>
    <row r="18261" spans="1:4" ht="25.5" customHeight="1" x14ac:dyDescent="0.2">
      <c r="B18261" s="11" t="s">
        <v>2600</v>
      </c>
      <c r="C18261" s="11" t="s">
        <v>5535</v>
      </c>
    </row>
    <row r="18262" spans="1:4" ht="25.5" customHeight="1" x14ac:dyDescent="0.2">
      <c r="B18262" s="11" t="s">
        <v>2601</v>
      </c>
      <c r="C18262" s="11"/>
    </row>
    <row r="18263" spans="1:4" ht="12.75" customHeight="1" x14ac:dyDescent="0.2">
      <c r="B18263" s="11" t="s">
        <v>16</v>
      </c>
      <c r="C18263" s="11"/>
    </row>
    <row r="18264" spans="1:4" ht="12.75" customHeight="1" x14ac:dyDescent="0.2">
      <c r="B18264" s="11" t="s">
        <v>13</v>
      </c>
      <c r="C18264" s="11" t="s">
        <v>2644</v>
      </c>
    </row>
    <row r="18265" spans="1:4" ht="12.75" customHeight="1" x14ac:dyDescent="0.2">
      <c r="B18265" s="11" t="s">
        <v>2603</v>
      </c>
      <c r="C18265" s="11" t="s">
        <v>2604</v>
      </c>
    </row>
    <row r="18266" spans="1:4" ht="12.75" customHeight="1" x14ac:dyDescent="0.2">
      <c r="B18266" s="11" t="s">
        <v>2605</v>
      </c>
      <c r="C18266" s="11" t="s">
        <v>14</v>
      </c>
    </row>
    <row r="18267" spans="1:4" ht="12.75" customHeight="1" x14ac:dyDescent="0.2">
      <c r="B18267" s="11" t="s">
        <v>2606</v>
      </c>
      <c r="C18267" s="16" t="s">
        <v>98</v>
      </c>
      <c r="D18267" s="6" t="str">
        <f>HYPERLINK("javascript:void(0)","kincs")</f>
        <v>kincs</v>
      </c>
    </row>
    <row r="18268" spans="1:4" ht="12.75" customHeight="1" x14ac:dyDescent="0.2">
      <c r="B18268" s="2"/>
      <c r="C18268" s="15"/>
      <c r="D18268" s="2"/>
    </row>
    <row r="18269" spans="1:4" ht="12.75" customHeight="1" x14ac:dyDescent="0.2">
      <c r="B18269" s="2"/>
      <c r="C18269" s="15"/>
      <c r="D18269" s="2"/>
    </row>
    <row r="18270" spans="1:4" ht="12.75" customHeight="1" x14ac:dyDescent="0.2">
      <c r="A18270" s="13" t="s">
        <v>5536</v>
      </c>
      <c r="C18270" s="12"/>
    </row>
    <row r="18271" spans="1:4" ht="12.75" customHeight="1" x14ac:dyDescent="0.2">
      <c r="A18271" s="11"/>
      <c r="B18271" s="2"/>
      <c r="C18271" s="15"/>
      <c r="D18271" s="2"/>
    </row>
    <row r="18272" spans="1:4" ht="12.75" customHeight="1" x14ac:dyDescent="0.2">
      <c r="B18272" s="11" t="s">
        <v>0</v>
      </c>
      <c r="C18272" s="11" t="s">
        <v>99</v>
      </c>
    </row>
    <row r="18273" spans="1:4" ht="12.75" customHeight="1" x14ac:dyDescent="0.2">
      <c r="B18273" s="11" t="s">
        <v>2599</v>
      </c>
      <c r="C18273" s="11" t="s">
        <v>503</v>
      </c>
    </row>
    <row r="18274" spans="1:4" ht="25.5" customHeight="1" x14ac:dyDescent="0.2">
      <c r="B18274" s="11" t="s">
        <v>2600</v>
      </c>
      <c r="C18274" s="11" t="s">
        <v>5537</v>
      </c>
    </row>
    <row r="18275" spans="1:4" ht="25.5" customHeight="1" x14ac:dyDescent="0.2">
      <c r="B18275" s="11" t="s">
        <v>2601</v>
      </c>
      <c r="C18275" s="11"/>
    </row>
    <row r="18276" spans="1:4" ht="12.75" customHeight="1" x14ac:dyDescent="0.2">
      <c r="B18276" s="11" t="s">
        <v>16</v>
      </c>
      <c r="C18276" s="11"/>
    </row>
    <row r="18277" spans="1:4" ht="12.75" customHeight="1" x14ac:dyDescent="0.2">
      <c r="B18277" s="11" t="s">
        <v>13</v>
      </c>
      <c r="C18277" s="11" t="s">
        <v>2602</v>
      </c>
    </row>
    <row r="18278" spans="1:4" ht="12.75" customHeight="1" x14ac:dyDescent="0.2">
      <c r="B18278" s="11" t="s">
        <v>2603</v>
      </c>
      <c r="C18278" s="11" t="s">
        <v>2604</v>
      </c>
    </row>
    <row r="18279" spans="1:4" ht="12.75" customHeight="1" x14ac:dyDescent="0.2">
      <c r="B18279" s="11" t="s">
        <v>2605</v>
      </c>
      <c r="C18279" s="11" t="s">
        <v>14</v>
      </c>
    </row>
    <row r="18280" spans="1:4" ht="12.75" customHeight="1" x14ac:dyDescent="0.2">
      <c r="B18280" s="11" t="s">
        <v>2606</v>
      </c>
      <c r="C18280" s="16" t="s">
        <v>98</v>
      </c>
      <c r="D18280" s="6" t="str">
        <f>HYPERLINK("javascript:void(0)","kincs")</f>
        <v>kincs</v>
      </c>
    </row>
    <row r="18281" spans="1:4" ht="12.75" customHeight="1" x14ac:dyDescent="0.2">
      <c r="B18281" s="2"/>
      <c r="C18281" s="15"/>
      <c r="D18281" s="2"/>
    </row>
    <row r="18282" spans="1:4" ht="12.75" customHeight="1" x14ac:dyDescent="0.2">
      <c r="B18282" s="2"/>
      <c r="C18282" s="15"/>
      <c r="D18282" s="2"/>
    </row>
    <row r="18283" spans="1:4" ht="12.75" customHeight="1" x14ac:dyDescent="0.2">
      <c r="A18283" s="13" t="s">
        <v>5538</v>
      </c>
      <c r="C18283" s="12"/>
    </row>
    <row r="18284" spans="1:4" ht="12.75" customHeight="1" x14ac:dyDescent="0.2">
      <c r="A18284" s="11"/>
      <c r="B18284" s="2"/>
      <c r="C18284" s="15"/>
      <c r="D18284" s="2"/>
    </row>
    <row r="18285" spans="1:4" ht="12.75" customHeight="1" x14ac:dyDescent="0.2">
      <c r="B18285" s="11" t="s">
        <v>0</v>
      </c>
      <c r="C18285" s="11" t="s">
        <v>99</v>
      </c>
    </row>
    <row r="18286" spans="1:4" ht="12.75" customHeight="1" x14ac:dyDescent="0.2">
      <c r="B18286" s="11" t="s">
        <v>2599</v>
      </c>
      <c r="C18286" s="11" t="s">
        <v>5539</v>
      </c>
    </row>
    <row r="18287" spans="1:4" ht="25.5" customHeight="1" x14ac:dyDescent="0.2">
      <c r="B18287" s="11" t="s">
        <v>2600</v>
      </c>
      <c r="C18287" s="11" t="s">
        <v>5540</v>
      </c>
    </row>
    <row r="18288" spans="1:4" ht="25.5" customHeight="1" x14ac:dyDescent="0.2">
      <c r="B18288" s="11" t="s">
        <v>2601</v>
      </c>
      <c r="C18288" s="11"/>
    </row>
    <row r="18289" spans="1:4" ht="12.75" customHeight="1" x14ac:dyDescent="0.2">
      <c r="B18289" s="11" t="s">
        <v>16</v>
      </c>
      <c r="C18289" s="11"/>
    </row>
    <row r="18290" spans="1:4" ht="12.75" customHeight="1" x14ac:dyDescent="0.2">
      <c r="B18290" s="11" t="s">
        <v>13</v>
      </c>
      <c r="C18290" s="11" t="s">
        <v>2644</v>
      </c>
    </row>
    <row r="18291" spans="1:4" ht="12.75" customHeight="1" x14ac:dyDescent="0.2">
      <c r="B18291" s="11" t="s">
        <v>2603</v>
      </c>
      <c r="C18291" s="11" t="s">
        <v>2604</v>
      </c>
    </row>
    <row r="18292" spans="1:4" ht="12.75" customHeight="1" x14ac:dyDescent="0.2">
      <c r="B18292" s="11" t="s">
        <v>2605</v>
      </c>
      <c r="C18292" s="11" t="s">
        <v>24</v>
      </c>
    </row>
    <row r="18293" spans="1:4" ht="25.5" customHeight="1" x14ac:dyDescent="0.2">
      <c r="B18293" s="11" t="s">
        <v>2606</v>
      </c>
      <c r="C18293" s="16" t="s">
        <v>44</v>
      </c>
      <c r="D18293" s="6" t="str">
        <f>HYPERLINK("javascript:void(0)","démonzanza")</f>
        <v>démonzanza</v>
      </c>
    </row>
    <row r="18294" spans="1:4" ht="12.75" customHeight="1" x14ac:dyDescent="0.2">
      <c r="C18294" s="16" t="s">
        <v>44</v>
      </c>
      <c r="D18294" s="6" t="str">
        <f>HYPERLINK("javascript:void(0)","zanzahúr")</f>
        <v>zanzahúr</v>
      </c>
    </row>
    <row r="18295" spans="1:4" ht="12.75" customHeight="1" x14ac:dyDescent="0.2">
      <c r="B18295" s="2"/>
      <c r="C18295" s="15"/>
      <c r="D18295" s="2"/>
    </row>
    <row r="18296" spans="1:4" ht="12.75" customHeight="1" x14ac:dyDescent="0.2">
      <c r="B18296" s="2"/>
      <c r="C18296" s="15"/>
      <c r="D18296" s="2"/>
    </row>
    <row r="18297" spans="1:4" ht="12.75" customHeight="1" x14ac:dyDescent="0.2">
      <c r="A18297" s="13" t="s">
        <v>5542</v>
      </c>
      <c r="C18297" s="12"/>
    </row>
    <row r="18298" spans="1:4" ht="12.75" customHeight="1" x14ac:dyDescent="0.2">
      <c r="A18298" s="11"/>
      <c r="B18298" s="2"/>
      <c r="C18298" s="15"/>
      <c r="D18298" s="2"/>
    </row>
    <row r="18299" spans="1:4" ht="12.75" customHeight="1" x14ac:dyDescent="0.2">
      <c r="B18299" s="11" t="s">
        <v>0</v>
      </c>
      <c r="C18299" s="11" t="s">
        <v>99</v>
      </c>
    </row>
    <row r="18300" spans="1:4" ht="12.75" customHeight="1" x14ac:dyDescent="0.2">
      <c r="B18300" s="11" t="s">
        <v>2599</v>
      </c>
      <c r="C18300" s="11" t="s">
        <v>5543</v>
      </c>
    </row>
    <row r="18301" spans="1:4" ht="25.5" customHeight="1" x14ac:dyDescent="0.2">
      <c r="B18301" s="11" t="s">
        <v>2600</v>
      </c>
      <c r="C18301" s="11" t="s">
        <v>5544</v>
      </c>
    </row>
    <row r="18302" spans="1:4" ht="25.5" customHeight="1" x14ac:dyDescent="0.2">
      <c r="B18302" s="11" t="s">
        <v>2601</v>
      </c>
      <c r="C18302" s="11"/>
    </row>
    <row r="18303" spans="1:4" ht="12.75" customHeight="1" x14ac:dyDescent="0.2">
      <c r="B18303" s="11" t="s">
        <v>16</v>
      </c>
      <c r="C18303" s="11"/>
    </row>
    <row r="18304" spans="1:4" ht="12.75" customHeight="1" x14ac:dyDescent="0.2">
      <c r="B18304" s="11" t="s">
        <v>13</v>
      </c>
      <c r="C18304" s="11" t="s">
        <v>2644</v>
      </c>
    </row>
    <row r="18305" spans="1:4" ht="12.75" customHeight="1" x14ac:dyDescent="0.2">
      <c r="B18305" s="11" t="s">
        <v>2603</v>
      </c>
      <c r="C18305" s="11" t="s">
        <v>2604</v>
      </c>
    </row>
    <row r="18306" spans="1:4" ht="12.75" customHeight="1" x14ac:dyDescent="0.2">
      <c r="B18306" s="11" t="s">
        <v>2605</v>
      </c>
      <c r="C18306" s="11" t="s">
        <v>24</v>
      </c>
    </row>
    <row r="18307" spans="1:4" ht="25.5" customHeight="1" x14ac:dyDescent="0.2">
      <c r="B18307" s="11" t="s">
        <v>2606</v>
      </c>
      <c r="C18307" s="16" t="s">
        <v>77</v>
      </c>
      <c r="D18307" s="6" t="str">
        <f>HYPERLINK("javascript:void(0)","harmatcsepp")</f>
        <v>harmatcsepp</v>
      </c>
    </row>
    <row r="18308" spans="1:4" ht="12.75" customHeight="1" x14ac:dyDescent="0.2">
      <c r="C18308" s="16" t="s">
        <v>57</v>
      </c>
      <c r="D18308" s="6" t="str">
        <f>HYPERLINK("javascript:void(0)","ködpikkely")</f>
        <v>ködpikkely</v>
      </c>
    </row>
    <row r="18309" spans="1:4" ht="12.75" customHeight="1" x14ac:dyDescent="0.2">
      <c r="B18309" s="2"/>
      <c r="C18309" s="15"/>
      <c r="D18309" s="2"/>
    </row>
    <row r="18310" spans="1:4" ht="12.75" customHeight="1" x14ac:dyDescent="0.2">
      <c r="B18310" s="2"/>
      <c r="C18310" s="15"/>
      <c r="D18310" s="2"/>
    </row>
    <row r="18311" spans="1:4" ht="12.75" customHeight="1" x14ac:dyDescent="0.2">
      <c r="A18311" s="13" t="s">
        <v>5545</v>
      </c>
      <c r="C18311" s="12"/>
      <c r="D18311" s="2"/>
    </row>
    <row r="18312" spans="1:4" ht="12.75" customHeight="1" x14ac:dyDescent="0.2">
      <c r="A18312" s="11"/>
      <c r="B18312" s="2"/>
      <c r="C18312" s="15"/>
      <c r="D18312" s="2"/>
    </row>
    <row r="18313" spans="1:4" ht="12.75" customHeight="1" x14ac:dyDescent="0.2">
      <c r="B18313" s="11" t="s">
        <v>0</v>
      </c>
      <c r="C18313" s="17" t="s">
        <v>99</v>
      </c>
      <c r="D18313" s="2"/>
    </row>
    <row r="18314" spans="1:4" ht="12.75" customHeight="1" x14ac:dyDescent="0.2">
      <c r="B18314" s="11" t="s">
        <v>2599</v>
      </c>
      <c r="C18314" s="17" t="s">
        <v>5106</v>
      </c>
      <c r="D18314" s="2"/>
    </row>
    <row r="18315" spans="1:4" ht="25.5" customHeight="1" x14ac:dyDescent="0.2">
      <c r="B18315" s="11" t="s">
        <v>2600</v>
      </c>
      <c r="C18315" s="17" t="s">
        <v>5546</v>
      </c>
      <c r="D18315" s="2"/>
    </row>
    <row r="18316" spans="1:4" ht="25.5" customHeight="1" x14ac:dyDescent="0.2">
      <c r="B18316" s="11" t="s">
        <v>2601</v>
      </c>
      <c r="C18316" s="17"/>
      <c r="D18316" s="2"/>
    </row>
    <row r="18317" spans="1:4" ht="12.75" customHeight="1" x14ac:dyDescent="0.2">
      <c r="B18317" s="11" t="s">
        <v>16</v>
      </c>
      <c r="C18317" s="17"/>
      <c r="D18317" s="2"/>
    </row>
    <row r="18318" spans="1:4" ht="12.75" customHeight="1" x14ac:dyDescent="0.2">
      <c r="B18318" s="11" t="s">
        <v>13</v>
      </c>
      <c r="C18318" s="17" t="s">
        <v>2602</v>
      </c>
      <c r="D18318" s="2"/>
    </row>
    <row r="18319" spans="1:4" ht="25.5" customHeight="1" x14ac:dyDescent="0.2">
      <c r="B18319" s="11" t="s">
        <v>2603</v>
      </c>
      <c r="C18319" s="17" t="s">
        <v>2971</v>
      </c>
      <c r="D18319" s="2"/>
    </row>
    <row r="18320" spans="1:4" ht="12.75" customHeight="1" x14ac:dyDescent="0.2">
      <c r="B18320" s="11" t="s">
        <v>2605</v>
      </c>
      <c r="C18320" s="17" t="s">
        <v>14</v>
      </c>
      <c r="D18320" s="2"/>
    </row>
    <row r="18321" spans="1:4" ht="12.75" customHeight="1" x14ac:dyDescent="0.2">
      <c r="B18321" s="11" t="s">
        <v>2606</v>
      </c>
      <c r="C18321" s="16" t="s">
        <v>19</v>
      </c>
      <c r="D18321" s="2"/>
    </row>
    <row r="18322" spans="1:4" ht="12.75" customHeight="1" x14ac:dyDescent="0.2">
      <c r="B18322" s="2"/>
      <c r="C18322" s="15"/>
      <c r="D18322" s="2"/>
    </row>
    <row r="18323" spans="1:4" ht="12.75" customHeight="1" x14ac:dyDescent="0.2">
      <c r="B18323" s="2"/>
      <c r="C18323" s="15"/>
      <c r="D18323" s="2"/>
    </row>
    <row r="18324" spans="1:4" ht="12.75" customHeight="1" x14ac:dyDescent="0.2">
      <c r="A18324" s="13" t="s">
        <v>5547</v>
      </c>
      <c r="C18324" s="12"/>
      <c r="D18324" s="2"/>
    </row>
    <row r="18325" spans="1:4" ht="12.75" customHeight="1" x14ac:dyDescent="0.2">
      <c r="A18325" s="11"/>
      <c r="B18325" s="2"/>
      <c r="C18325" s="15"/>
      <c r="D18325" s="2"/>
    </row>
    <row r="18326" spans="1:4" ht="12.75" customHeight="1" x14ac:dyDescent="0.2">
      <c r="B18326" s="11" t="s">
        <v>0</v>
      </c>
      <c r="C18326" s="17" t="s">
        <v>99</v>
      </c>
      <c r="D18326" s="2"/>
    </row>
    <row r="18327" spans="1:4" ht="12.75" customHeight="1" x14ac:dyDescent="0.2">
      <c r="B18327" s="11" t="s">
        <v>2599</v>
      </c>
      <c r="C18327" s="17" t="s">
        <v>5109</v>
      </c>
      <c r="D18327" s="2"/>
    </row>
    <row r="18328" spans="1:4" ht="25.5" customHeight="1" x14ac:dyDescent="0.2">
      <c r="B18328" s="11" t="s">
        <v>2600</v>
      </c>
      <c r="C18328" s="17" t="s">
        <v>5548</v>
      </c>
      <c r="D18328" s="2"/>
    </row>
    <row r="18329" spans="1:4" ht="25.5" customHeight="1" x14ac:dyDescent="0.2">
      <c r="B18329" s="11" t="s">
        <v>2601</v>
      </c>
      <c r="C18329" s="17"/>
      <c r="D18329" s="2"/>
    </row>
    <row r="18330" spans="1:4" ht="12.75" customHeight="1" x14ac:dyDescent="0.2">
      <c r="B18330" s="11" t="s">
        <v>16</v>
      </c>
      <c r="C18330" s="17"/>
      <c r="D18330" s="2"/>
    </row>
    <row r="18331" spans="1:4" ht="12.75" customHeight="1" x14ac:dyDescent="0.2">
      <c r="B18331" s="11" t="s">
        <v>13</v>
      </c>
      <c r="C18331" s="17" t="s">
        <v>2644</v>
      </c>
      <c r="D18331" s="2"/>
    </row>
    <row r="18332" spans="1:4" ht="25.5" customHeight="1" x14ac:dyDescent="0.2">
      <c r="B18332" s="11" t="s">
        <v>2603</v>
      </c>
      <c r="C18332" s="17" t="s">
        <v>2971</v>
      </c>
      <c r="D18332" s="2"/>
    </row>
    <row r="18333" spans="1:4" ht="12.75" customHeight="1" x14ac:dyDescent="0.2">
      <c r="B18333" s="11" t="s">
        <v>2605</v>
      </c>
      <c r="C18333" s="17" t="s">
        <v>14</v>
      </c>
      <c r="D18333" s="2"/>
    </row>
    <row r="18334" spans="1:4" ht="12.75" customHeight="1" x14ac:dyDescent="0.2">
      <c r="B18334" s="11" t="s">
        <v>2606</v>
      </c>
      <c r="C18334" s="16" t="s">
        <v>19</v>
      </c>
      <c r="D18334" s="2"/>
    </row>
    <row r="18335" spans="1:4" ht="12.75" customHeight="1" x14ac:dyDescent="0.2">
      <c r="B18335" s="2"/>
      <c r="C18335" s="15"/>
      <c r="D18335" s="2"/>
    </row>
    <row r="18336" spans="1:4" ht="12.75" customHeight="1" x14ac:dyDescent="0.2">
      <c r="B18336" s="2"/>
      <c r="C18336" s="15"/>
      <c r="D18336" s="2"/>
    </row>
    <row r="18337" spans="1:4" ht="12.75" customHeight="1" x14ac:dyDescent="0.2">
      <c r="A18337" s="13" t="s">
        <v>5516</v>
      </c>
      <c r="C18337" s="12"/>
      <c r="D18337" s="2"/>
    </row>
    <row r="18338" spans="1:4" ht="12.75" customHeight="1" x14ac:dyDescent="0.2">
      <c r="A18338" s="11"/>
      <c r="B18338" s="2"/>
      <c r="C18338" s="15"/>
      <c r="D18338" s="2"/>
    </row>
    <row r="18339" spans="1:4" ht="12.75" customHeight="1" x14ac:dyDescent="0.2">
      <c r="B18339" s="11" t="s">
        <v>0</v>
      </c>
      <c r="C18339" s="17" t="s">
        <v>341</v>
      </c>
      <c r="D18339" s="2"/>
    </row>
    <row r="18340" spans="1:4" ht="12.75" customHeight="1" x14ac:dyDescent="0.2">
      <c r="B18340" s="11" t="s">
        <v>2599</v>
      </c>
      <c r="C18340" s="17" t="s">
        <v>5135</v>
      </c>
      <c r="D18340" s="2"/>
    </row>
    <row r="18341" spans="1:4" ht="25.5" customHeight="1" x14ac:dyDescent="0.2">
      <c r="B18341" s="11" t="s">
        <v>2600</v>
      </c>
      <c r="C18341" s="17" t="s">
        <v>5550</v>
      </c>
      <c r="D18341" s="2"/>
    </row>
    <row r="18342" spans="1:4" ht="25.5" customHeight="1" x14ac:dyDescent="0.2">
      <c r="B18342" s="11" t="s">
        <v>2601</v>
      </c>
      <c r="C18342" s="17"/>
      <c r="D18342" s="2"/>
    </row>
    <row r="18343" spans="1:4" ht="12.75" customHeight="1" x14ac:dyDescent="0.2">
      <c r="B18343" s="11" t="s">
        <v>16</v>
      </c>
      <c r="C18343" s="17"/>
      <c r="D18343" s="2"/>
    </row>
    <row r="18344" spans="1:4" ht="12.75" customHeight="1" x14ac:dyDescent="0.2">
      <c r="B18344" s="11" t="s">
        <v>13</v>
      </c>
      <c r="C18344" s="17" t="s">
        <v>2602</v>
      </c>
      <c r="D18344" s="2"/>
    </row>
    <row r="18345" spans="1:4" ht="25.5" customHeight="1" x14ac:dyDescent="0.2">
      <c r="B18345" s="11" t="s">
        <v>2603</v>
      </c>
      <c r="C18345" s="17" t="s">
        <v>2971</v>
      </c>
      <c r="D18345" s="2"/>
    </row>
    <row r="18346" spans="1:4" ht="12.75" customHeight="1" x14ac:dyDescent="0.2">
      <c r="B18346" s="11" t="s">
        <v>2605</v>
      </c>
      <c r="C18346" s="17" t="s">
        <v>14</v>
      </c>
      <c r="D18346" s="2"/>
    </row>
    <row r="18347" spans="1:4" ht="12.75" customHeight="1" x14ac:dyDescent="0.2">
      <c r="B18347" s="11" t="s">
        <v>2606</v>
      </c>
      <c r="C18347" s="16" t="s">
        <v>19</v>
      </c>
      <c r="D18347" s="2"/>
    </row>
    <row r="18348" spans="1:4" ht="12.75" customHeight="1" x14ac:dyDescent="0.2">
      <c r="B18348" s="2"/>
      <c r="C18348" s="15"/>
      <c r="D18348" s="2"/>
    </row>
    <row r="18349" spans="1:4" ht="12.75" customHeight="1" x14ac:dyDescent="0.2">
      <c r="B18349" s="2"/>
      <c r="C18349" s="15"/>
      <c r="D18349" s="2"/>
    </row>
    <row r="18350" spans="1:4" ht="12.75" customHeight="1" x14ac:dyDescent="0.2">
      <c r="A18350" s="13" t="s">
        <v>5518</v>
      </c>
      <c r="C18350" s="12"/>
      <c r="D18350" s="2"/>
    </row>
    <row r="18351" spans="1:4" ht="12.75" customHeight="1" x14ac:dyDescent="0.2">
      <c r="A18351" s="11"/>
      <c r="B18351" s="2"/>
      <c r="C18351" s="15"/>
      <c r="D18351" s="2"/>
    </row>
    <row r="18352" spans="1:4" ht="12.75" customHeight="1" x14ac:dyDescent="0.2">
      <c r="B18352" s="11" t="s">
        <v>0</v>
      </c>
      <c r="C18352" s="17" t="s">
        <v>341</v>
      </c>
      <c r="D18352" s="2"/>
    </row>
    <row r="18353" spans="1:4" ht="12.75" customHeight="1" x14ac:dyDescent="0.2">
      <c r="B18353" s="11" t="s">
        <v>2599</v>
      </c>
      <c r="C18353" s="17" t="s">
        <v>5103</v>
      </c>
      <c r="D18353" s="2"/>
    </row>
    <row r="18354" spans="1:4" ht="25.5" customHeight="1" x14ac:dyDescent="0.2">
      <c r="B18354" s="11" t="s">
        <v>2600</v>
      </c>
      <c r="C18354" s="17" t="s">
        <v>5551</v>
      </c>
      <c r="D18354" s="2"/>
    </row>
    <row r="18355" spans="1:4" ht="25.5" customHeight="1" x14ac:dyDescent="0.2">
      <c r="B18355" s="11" t="s">
        <v>2601</v>
      </c>
      <c r="C18355" s="17"/>
      <c r="D18355" s="2"/>
    </row>
    <row r="18356" spans="1:4" ht="12.75" customHeight="1" x14ac:dyDescent="0.2">
      <c r="B18356" s="11" t="s">
        <v>16</v>
      </c>
      <c r="C18356" s="17"/>
      <c r="D18356" s="2"/>
    </row>
    <row r="18357" spans="1:4" ht="12.75" customHeight="1" x14ac:dyDescent="0.2">
      <c r="B18357" s="11" t="s">
        <v>13</v>
      </c>
      <c r="C18357" s="17" t="s">
        <v>2644</v>
      </c>
      <c r="D18357" s="2"/>
    </row>
    <row r="18358" spans="1:4" ht="25.5" customHeight="1" x14ac:dyDescent="0.2">
      <c r="B18358" s="11" t="s">
        <v>2603</v>
      </c>
      <c r="C18358" s="17" t="s">
        <v>2971</v>
      </c>
      <c r="D18358" s="2"/>
    </row>
    <row r="18359" spans="1:4" ht="12.75" customHeight="1" x14ac:dyDescent="0.2">
      <c r="B18359" s="11" t="s">
        <v>2605</v>
      </c>
      <c r="C18359" s="17" t="s">
        <v>14</v>
      </c>
      <c r="D18359" s="2"/>
    </row>
    <row r="18360" spans="1:4" ht="12.75" customHeight="1" x14ac:dyDescent="0.2">
      <c r="B18360" s="11" t="s">
        <v>2606</v>
      </c>
      <c r="C18360" s="16" t="s">
        <v>19</v>
      </c>
      <c r="D18360" s="2"/>
    </row>
    <row r="18361" spans="1:4" ht="12.75" customHeight="1" x14ac:dyDescent="0.2">
      <c r="B18361" s="2"/>
      <c r="C18361" s="15"/>
      <c r="D18361" s="2"/>
    </row>
    <row r="18362" spans="1:4" ht="12.75" customHeight="1" x14ac:dyDescent="0.2">
      <c r="B18362" s="2"/>
      <c r="C18362" s="15"/>
      <c r="D18362" s="2"/>
    </row>
    <row r="18363" spans="1:4" ht="12.75" customHeight="1" x14ac:dyDescent="0.2">
      <c r="A18363" s="13" t="s">
        <v>5552</v>
      </c>
      <c r="C18363" s="12"/>
    </row>
    <row r="18364" spans="1:4" ht="12.75" customHeight="1" x14ac:dyDescent="0.2">
      <c r="A18364" s="11"/>
      <c r="B18364" s="2"/>
      <c r="C18364" s="15"/>
      <c r="D18364" s="2"/>
    </row>
    <row r="18365" spans="1:4" ht="12.75" customHeight="1" x14ac:dyDescent="0.2">
      <c r="B18365" s="11" t="s">
        <v>0</v>
      </c>
      <c r="C18365" s="11" t="s">
        <v>341</v>
      </c>
    </row>
    <row r="18366" spans="1:4" ht="12.75" customHeight="1" x14ac:dyDescent="0.2">
      <c r="B18366" s="11" t="s">
        <v>2599</v>
      </c>
      <c r="C18366" s="11" t="s">
        <v>5553</v>
      </c>
    </row>
    <row r="18367" spans="1:4" ht="25.5" customHeight="1" x14ac:dyDescent="0.2">
      <c r="B18367" s="11" t="s">
        <v>2600</v>
      </c>
      <c r="C18367" s="11" t="s">
        <v>5554</v>
      </c>
    </row>
    <row r="18368" spans="1:4" ht="25.5" customHeight="1" x14ac:dyDescent="0.2">
      <c r="B18368" s="11" t="s">
        <v>2601</v>
      </c>
      <c r="C18368" s="11"/>
    </row>
    <row r="18369" spans="1:4" ht="12.75" customHeight="1" x14ac:dyDescent="0.2">
      <c r="B18369" s="11" t="s">
        <v>16</v>
      </c>
      <c r="C18369" s="11"/>
    </row>
    <row r="18370" spans="1:4" ht="12.75" customHeight="1" x14ac:dyDescent="0.2">
      <c r="B18370" s="11" t="s">
        <v>13</v>
      </c>
      <c r="C18370" s="11" t="s">
        <v>2602</v>
      </c>
    </row>
    <row r="18371" spans="1:4" ht="12.75" customHeight="1" x14ac:dyDescent="0.2">
      <c r="B18371" s="11" t="s">
        <v>2603</v>
      </c>
      <c r="C18371" s="11" t="s">
        <v>2604</v>
      </c>
    </row>
    <row r="18372" spans="1:4" ht="12.75" customHeight="1" x14ac:dyDescent="0.2">
      <c r="B18372" s="11" t="s">
        <v>2605</v>
      </c>
      <c r="C18372" s="11" t="s">
        <v>24</v>
      </c>
    </row>
    <row r="18373" spans="1:4" ht="12.75" customHeight="1" x14ac:dyDescent="0.2">
      <c r="B18373" s="11" t="s">
        <v>2606</v>
      </c>
      <c r="C18373" s="16" t="s">
        <v>98</v>
      </c>
      <c r="D18373" s="6" t="str">
        <f>HYPERLINK("javascript:void(0)","kincs")</f>
        <v>kincs</v>
      </c>
    </row>
    <row r="18374" spans="1:4" ht="12.75" customHeight="1" x14ac:dyDescent="0.2">
      <c r="C18374" s="16" t="s">
        <v>44</v>
      </c>
      <c r="D18374" s="6" t="str">
        <f>HYPERLINK("javascript:void(0)","öbleny")</f>
        <v>öbleny</v>
      </c>
    </row>
    <row r="18375" spans="1:4" ht="12.75" customHeight="1" x14ac:dyDescent="0.2">
      <c r="B18375" s="2"/>
      <c r="C18375" s="15"/>
      <c r="D18375" s="2"/>
    </row>
    <row r="18376" spans="1:4" ht="12.75" customHeight="1" x14ac:dyDescent="0.2">
      <c r="B18376" s="2"/>
      <c r="C18376" s="15"/>
      <c r="D18376" s="2"/>
    </row>
    <row r="18377" spans="1:4" ht="12.75" customHeight="1" x14ac:dyDescent="0.2">
      <c r="A18377" s="13" t="s">
        <v>5555</v>
      </c>
      <c r="C18377" s="12"/>
    </row>
    <row r="18378" spans="1:4" ht="12.75" customHeight="1" x14ac:dyDescent="0.2">
      <c r="A18378" s="11"/>
      <c r="B18378" s="2"/>
      <c r="C18378" s="15"/>
      <c r="D18378" s="2"/>
    </row>
    <row r="18379" spans="1:4" ht="12.75" customHeight="1" x14ac:dyDescent="0.2">
      <c r="B18379" s="11" t="s">
        <v>0</v>
      </c>
      <c r="C18379" s="11" t="s">
        <v>341</v>
      </c>
    </row>
    <row r="18380" spans="1:4" ht="12.75" customHeight="1" x14ac:dyDescent="0.2">
      <c r="B18380" s="11" t="s">
        <v>2599</v>
      </c>
      <c r="C18380" s="11" t="s">
        <v>5556</v>
      </c>
    </row>
    <row r="18381" spans="1:4" ht="25.5" customHeight="1" x14ac:dyDescent="0.2">
      <c r="B18381" s="11" t="s">
        <v>2600</v>
      </c>
      <c r="C18381" s="11" t="s">
        <v>5557</v>
      </c>
    </row>
    <row r="18382" spans="1:4" ht="25.5" customHeight="1" x14ac:dyDescent="0.2">
      <c r="B18382" s="11" t="s">
        <v>2601</v>
      </c>
      <c r="C18382" s="11"/>
    </row>
    <row r="18383" spans="1:4" ht="12.75" customHeight="1" x14ac:dyDescent="0.2">
      <c r="B18383" s="11" t="s">
        <v>16</v>
      </c>
      <c r="C18383" s="11"/>
    </row>
    <row r="18384" spans="1:4" ht="12.75" customHeight="1" x14ac:dyDescent="0.2">
      <c r="B18384" s="11" t="s">
        <v>13</v>
      </c>
      <c r="C18384" s="11" t="s">
        <v>2602</v>
      </c>
    </row>
    <row r="18385" spans="1:4" ht="12.75" customHeight="1" x14ac:dyDescent="0.2">
      <c r="B18385" s="11" t="s">
        <v>2603</v>
      </c>
      <c r="C18385" s="11" t="s">
        <v>2604</v>
      </c>
    </row>
    <row r="18386" spans="1:4" ht="12.75" customHeight="1" x14ac:dyDescent="0.2">
      <c r="B18386" s="11" t="s">
        <v>2605</v>
      </c>
      <c r="C18386" s="11" t="s">
        <v>14</v>
      </c>
    </row>
    <row r="18387" spans="1:4" ht="12.75" customHeight="1" x14ac:dyDescent="0.2">
      <c r="B18387" s="11" t="s">
        <v>2606</v>
      </c>
      <c r="C18387" s="16" t="s">
        <v>98</v>
      </c>
      <c r="D18387" s="6" t="str">
        <f>HYPERLINK("javascript:void(0)","kincs")</f>
        <v>kincs</v>
      </c>
    </row>
    <row r="18388" spans="1:4" ht="12.75" customHeight="1" x14ac:dyDescent="0.2">
      <c r="B18388" s="2"/>
      <c r="C18388" s="15"/>
      <c r="D18388" s="2"/>
    </row>
    <row r="18389" spans="1:4" ht="12.75" customHeight="1" x14ac:dyDescent="0.2">
      <c r="B18389" s="2"/>
      <c r="C18389" s="15"/>
      <c r="D18389" s="2"/>
    </row>
    <row r="18390" spans="1:4" ht="12.75" customHeight="1" x14ac:dyDescent="0.2">
      <c r="A18390" s="13" t="s">
        <v>5558</v>
      </c>
      <c r="C18390" s="12"/>
    </row>
    <row r="18391" spans="1:4" ht="12.75" customHeight="1" x14ac:dyDescent="0.2">
      <c r="A18391" s="11"/>
      <c r="B18391" s="2"/>
      <c r="C18391" s="15"/>
      <c r="D18391" s="2"/>
    </row>
    <row r="18392" spans="1:4" ht="12.75" customHeight="1" x14ac:dyDescent="0.2">
      <c r="B18392" s="11" t="s">
        <v>0</v>
      </c>
      <c r="C18392" s="11" t="s">
        <v>341</v>
      </c>
    </row>
    <row r="18393" spans="1:4" ht="12.75" customHeight="1" x14ac:dyDescent="0.2">
      <c r="B18393" s="11" t="s">
        <v>2599</v>
      </c>
      <c r="C18393" s="11" t="s">
        <v>5559</v>
      </c>
    </row>
    <row r="18394" spans="1:4" ht="25.5" customHeight="1" x14ac:dyDescent="0.2">
      <c r="B18394" s="11" t="s">
        <v>2600</v>
      </c>
      <c r="C18394" s="11" t="s">
        <v>5560</v>
      </c>
    </row>
    <row r="18395" spans="1:4" ht="25.5" customHeight="1" x14ac:dyDescent="0.2">
      <c r="B18395" s="11" t="s">
        <v>2601</v>
      </c>
      <c r="C18395" s="11"/>
    </row>
    <row r="18396" spans="1:4" ht="12.75" customHeight="1" x14ac:dyDescent="0.2">
      <c r="B18396" s="11" t="s">
        <v>16</v>
      </c>
      <c r="C18396" s="11"/>
    </row>
    <row r="18397" spans="1:4" ht="12.75" customHeight="1" x14ac:dyDescent="0.2">
      <c r="B18397" s="11" t="s">
        <v>13</v>
      </c>
      <c r="C18397" s="11" t="s">
        <v>2602</v>
      </c>
    </row>
    <row r="18398" spans="1:4" ht="12.75" customHeight="1" x14ac:dyDescent="0.2">
      <c r="B18398" s="11" t="s">
        <v>2603</v>
      </c>
      <c r="C18398" s="11" t="s">
        <v>2604</v>
      </c>
    </row>
    <row r="18399" spans="1:4" ht="12.75" customHeight="1" x14ac:dyDescent="0.2">
      <c r="B18399" s="11" t="s">
        <v>2605</v>
      </c>
      <c r="C18399" s="11" t="s">
        <v>24</v>
      </c>
    </row>
    <row r="18400" spans="1:4" ht="25.5" customHeight="1" x14ac:dyDescent="0.2">
      <c r="B18400" s="11" t="s">
        <v>2606</v>
      </c>
      <c r="C18400" s="16" t="s">
        <v>44</v>
      </c>
      <c r="D18400" s="6" t="str">
        <f>HYPERLINK("javascript:void(0)","gólemamulett")</f>
        <v>gólemamulett</v>
      </c>
    </row>
    <row r="18401" spans="1:4" ht="12.75" customHeight="1" x14ac:dyDescent="0.2">
      <c r="C18401" s="16" t="s">
        <v>67</v>
      </c>
      <c r="D18401" s="6" t="str">
        <f>HYPERLINK("javascript:void(0)","kincs")</f>
        <v>kincs</v>
      </c>
    </row>
    <row r="18402" spans="1:4" ht="12.75" customHeight="1" x14ac:dyDescent="0.2">
      <c r="B18402" s="2"/>
      <c r="C18402" s="15"/>
      <c r="D18402" s="2"/>
    </row>
    <row r="18403" spans="1:4" ht="12.75" customHeight="1" x14ac:dyDescent="0.2">
      <c r="B18403" s="2"/>
      <c r="C18403" s="15"/>
      <c r="D18403" s="2"/>
    </row>
    <row r="18404" spans="1:4" ht="12.75" customHeight="1" x14ac:dyDescent="0.2">
      <c r="A18404" s="13" t="s">
        <v>5561</v>
      </c>
      <c r="C18404" s="12"/>
    </row>
    <row r="18405" spans="1:4" ht="12.75" customHeight="1" x14ac:dyDescent="0.2">
      <c r="A18405" s="11"/>
      <c r="B18405" s="2"/>
      <c r="C18405" s="15"/>
      <c r="D18405" s="2"/>
    </row>
    <row r="18406" spans="1:4" ht="12.75" customHeight="1" x14ac:dyDescent="0.2">
      <c r="B18406" s="11" t="s">
        <v>0</v>
      </c>
      <c r="C18406" s="11" t="s">
        <v>341</v>
      </c>
    </row>
    <row r="18407" spans="1:4" ht="12.75" customHeight="1" x14ac:dyDescent="0.2">
      <c r="B18407" s="11" t="s">
        <v>2599</v>
      </c>
      <c r="C18407" s="11" t="s">
        <v>5562</v>
      </c>
    </row>
    <row r="18408" spans="1:4" ht="25.5" customHeight="1" x14ac:dyDescent="0.2">
      <c r="B18408" s="11" t="s">
        <v>2600</v>
      </c>
      <c r="C18408" s="11" t="s">
        <v>5563</v>
      </c>
    </row>
    <row r="18409" spans="1:4" ht="25.5" customHeight="1" x14ac:dyDescent="0.2">
      <c r="B18409" s="11" t="s">
        <v>2601</v>
      </c>
      <c r="C18409" s="11"/>
    </row>
    <row r="18410" spans="1:4" ht="12.75" customHeight="1" x14ac:dyDescent="0.2">
      <c r="B18410" s="11" t="s">
        <v>16</v>
      </c>
      <c r="C18410" s="11"/>
    </row>
    <row r="18411" spans="1:4" ht="12.75" customHeight="1" x14ac:dyDescent="0.2">
      <c r="B18411" s="11" t="s">
        <v>13</v>
      </c>
      <c r="C18411" s="11" t="s">
        <v>2644</v>
      </c>
    </row>
    <row r="18412" spans="1:4" ht="12.75" customHeight="1" x14ac:dyDescent="0.2">
      <c r="B18412" s="11" t="s">
        <v>2603</v>
      </c>
      <c r="C18412" s="11" t="s">
        <v>2604</v>
      </c>
    </row>
    <row r="18413" spans="1:4" ht="12.75" customHeight="1" x14ac:dyDescent="0.2">
      <c r="B18413" s="11" t="s">
        <v>2605</v>
      </c>
      <c r="C18413" s="11" t="s">
        <v>14</v>
      </c>
    </row>
    <row r="18414" spans="1:4" ht="12.75" customHeight="1" x14ac:dyDescent="0.2">
      <c r="B18414" s="11" t="s">
        <v>2606</v>
      </c>
      <c r="C18414" s="16" t="s">
        <v>98</v>
      </c>
      <c r="D18414" s="6" t="str">
        <f>HYPERLINK("javascript:void(0)","kincs")</f>
        <v>kincs</v>
      </c>
    </row>
    <row r="18415" spans="1:4" ht="12.75" customHeight="1" x14ac:dyDescent="0.2">
      <c r="B18415" s="2"/>
      <c r="C18415" s="15"/>
      <c r="D18415" s="2"/>
    </row>
    <row r="18416" spans="1:4" ht="12.75" customHeight="1" x14ac:dyDescent="0.2">
      <c r="B18416" s="2"/>
      <c r="C18416" s="15"/>
      <c r="D18416" s="2"/>
    </row>
    <row r="18417" spans="1:4" ht="12.75" customHeight="1" x14ac:dyDescent="0.2">
      <c r="A18417" s="13" t="s">
        <v>5564</v>
      </c>
      <c r="C18417" s="12"/>
    </row>
    <row r="18418" spans="1:4" ht="12.75" customHeight="1" x14ac:dyDescent="0.2">
      <c r="A18418" s="11"/>
      <c r="B18418" s="2"/>
      <c r="C18418" s="15"/>
      <c r="D18418" s="2"/>
    </row>
    <row r="18419" spans="1:4" ht="12.75" customHeight="1" x14ac:dyDescent="0.2">
      <c r="B18419" s="11" t="s">
        <v>0</v>
      </c>
      <c r="C18419" s="11" t="s">
        <v>341</v>
      </c>
    </row>
    <row r="18420" spans="1:4" ht="12.75" customHeight="1" x14ac:dyDescent="0.2">
      <c r="B18420" s="11" t="s">
        <v>2599</v>
      </c>
      <c r="C18420" s="11" t="s">
        <v>3180</v>
      </c>
    </row>
    <row r="18421" spans="1:4" ht="25.5" customHeight="1" x14ac:dyDescent="0.2">
      <c r="B18421" s="11" t="s">
        <v>2600</v>
      </c>
      <c r="C18421" s="11" t="s">
        <v>5565</v>
      </c>
    </row>
    <row r="18422" spans="1:4" ht="25.5" customHeight="1" x14ac:dyDescent="0.2">
      <c r="B18422" s="11" t="s">
        <v>2601</v>
      </c>
      <c r="C18422" s="11"/>
    </row>
    <row r="18423" spans="1:4" ht="12.75" customHeight="1" x14ac:dyDescent="0.2">
      <c r="B18423" s="11" t="s">
        <v>16</v>
      </c>
      <c r="C18423" s="11"/>
    </row>
    <row r="18424" spans="1:4" ht="12.75" customHeight="1" x14ac:dyDescent="0.2">
      <c r="B18424" s="11" t="s">
        <v>13</v>
      </c>
      <c r="C18424" s="11" t="s">
        <v>2644</v>
      </c>
    </row>
    <row r="18425" spans="1:4" ht="12.75" customHeight="1" x14ac:dyDescent="0.2">
      <c r="B18425" s="11" t="s">
        <v>2603</v>
      </c>
      <c r="C18425" s="11" t="s">
        <v>2604</v>
      </c>
    </row>
    <row r="18426" spans="1:4" ht="12.75" customHeight="1" x14ac:dyDescent="0.2">
      <c r="B18426" s="11" t="s">
        <v>2605</v>
      </c>
      <c r="C18426" s="11" t="s">
        <v>14</v>
      </c>
    </row>
    <row r="18427" spans="1:4" ht="12.75" customHeight="1" x14ac:dyDescent="0.2">
      <c r="B18427" s="11" t="s">
        <v>2606</v>
      </c>
      <c r="C18427" s="16" t="s">
        <v>98</v>
      </c>
      <c r="D18427" s="6" t="str">
        <f>HYPERLINK("javascript:void(0)","kincs")</f>
        <v>kincs</v>
      </c>
    </row>
    <row r="18428" spans="1:4" ht="12.75" customHeight="1" x14ac:dyDescent="0.2">
      <c r="B18428" s="2"/>
      <c r="C18428" s="15"/>
      <c r="D18428" s="2"/>
    </row>
    <row r="18429" spans="1:4" ht="12.75" customHeight="1" x14ac:dyDescent="0.2">
      <c r="B18429" s="2"/>
      <c r="C18429" s="15"/>
      <c r="D18429" s="2"/>
    </row>
    <row r="18430" spans="1:4" ht="12.75" customHeight="1" x14ac:dyDescent="0.2">
      <c r="A18430" s="13" t="s">
        <v>5566</v>
      </c>
      <c r="C18430" s="12"/>
    </row>
    <row r="18431" spans="1:4" ht="12.75" customHeight="1" x14ac:dyDescent="0.2">
      <c r="A18431" s="11"/>
      <c r="B18431" s="2"/>
      <c r="C18431" s="15"/>
      <c r="D18431" s="2"/>
    </row>
    <row r="18432" spans="1:4" ht="12.75" customHeight="1" x14ac:dyDescent="0.2">
      <c r="B18432" s="11" t="s">
        <v>0</v>
      </c>
      <c r="C18432" s="11" t="s">
        <v>341</v>
      </c>
    </row>
    <row r="18433" spans="1:4" ht="12.75" customHeight="1" x14ac:dyDescent="0.2">
      <c r="B18433" s="11" t="s">
        <v>2599</v>
      </c>
      <c r="C18433" s="11" t="s">
        <v>898</v>
      </c>
    </row>
    <row r="18434" spans="1:4" ht="25.5" customHeight="1" x14ac:dyDescent="0.2">
      <c r="B18434" s="11" t="s">
        <v>2600</v>
      </c>
      <c r="C18434" s="11" t="s">
        <v>5567</v>
      </c>
    </row>
    <row r="18435" spans="1:4" ht="25.5" customHeight="1" x14ac:dyDescent="0.2">
      <c r="B18435" s="11" t="s">
        <v>2601</v>
      </c>
      <c r="C18435" s="11"/>
    </row>
    <row r="18436" spans="1:4" ht="12.75" customHeight="1" x14ac:dyDescent="0.2">
      <c r="B18436" s="11" t="s">
        <v>16</v>
      </c>
      <c r="C18436" s="11"/>
    </row>
    <row r="18437" spans="1:4" ht="12.75" customHeight="1" x14ac:dyDescent="0.2">
      <c r="B18437" s="11" t="s">
        <v>13</v>
      </c>
      <c r="C18437" s="11" t="s">
        <v>2602</v>
      </c>
    </row>
    <row r="18438" spans="1:4" ht="12.75" customHeight="1" x14ac:dyDescent="0.2">
      <c r="B18438" s="11" t="s">
        <v>2603</v>
      </c>
      <c r="C18438" s="11" t="s">
        <v>2604</v>
      </c>
    </row>
    <row r="18439" spans="1:4" ht="12.75" customHeight="1" x14ac:dyDescent="0.2">
      <c r="B18439" s="11" t="s">
        <v>2605</v>
      </c>
      <c r="C18439" s="11" t="s">
        <v>14</v>
      </c>
    </row>
    <row r="18440" spans="1:4" ht="12.75" customHeight="1" x14ac:dyDescent="0.2">
      <c r="B18440" s="11" t="s">
        <v>2606</v>
      </c>
      <c r="C18440" s="16" t="s">
        <v>98</v>
      </c>
      <c r="D18440" s="6" t="str">
        <f>HYPERLINK("javascript:void(0)","kincs")</f>
        <v>kincs</v>
      </c>
    </row>
    <row r="18441" spans="1:4" ht="12.75" customHeight="1" x14ac:dyDescent="0.2">
      <c r="B18441" s="2"/>
      <c r="C18441" s="15"/>
      <c r="D18441" s="2"/>
    </row>
    <row r="18442" spans="1:4" ht="12.75" customHeight="1" x14ac:dyDescent="0.2">
      <c r="B18442" s="2"/>
      <c r="C18442" s="15"/>
      <c r="D18442" s="2"/>
    </row>
    <row r="18443" spans="1:4" ht="12.75" customHeight="1" x14ac:dyDescent="0.2">
      <c r="A18443" s="13" t="s">
        <v>5568</v>
      </c>
      <c r="C18443" s="12"/>
    </row>
    <row r="18444" spans="1:4" ht="12.75" customHeight="1" x14ac:dyDescent="0.2">
      <c r="A18444" s="11"/>
      <c r="B18444" s="2"/>
      <c r="C18444" s="15"/>
      <c r="D18444" s="2"/>
    </row>
    <row r="18445" spans="1:4" ht="12.75" customHeight="1" x14ac:dyDescent="0.2">
      <c r="B18445" s="11" t="s">
        <v>0</v>
      </c>
      <c r="C18445" s="11" t="s">
        <v>341</v>
      </c>
    </row>
    <row r="18446" spans="1:4" ht="12.75" customHeight="1" x14ac:dyDescent="0.2">
      <c r="B18446" s="11" t="s">
        <v>2599</v>
      </c>
      <c r="C18446" s="11" t="s">
        <v>5569</v>
      </c>
    </row>
    <row r="18447" spans="1:4" ht="25.5" customHeight="1" x14ac:dyDescent="0.2">
      <c r="B18447" s="11" t="s">
        <v>2600</v>
      </c>
      <c r="C18447" s="11" t="s">
        <v>5570</v>
      </c>
    </row>
    <row r="18448" spans="1:4" ht="25.5" customHeight="1" x14ac:dyDescent="0.2">
      <c r="B18448" s="11" t="s">
        <v>2601</v>
      </c>
      <c r="C18448" s="11"/>
    </row>
    <row r="18449" spans="1:4" ht="12.75" customHeight="1" x14ac:dyDescent="0.2">
      <c r="B18449" s="11" t="s">
        <v>16</v>
      </c>
      <c r="C18449" s="11"/>
    </row>
    <row r="18450" spans="1:4" ht="12.75" customHeight="1" x14ac:dyDescent="0.2">
      <c r="B18450" s="11" t="s">
        <v>13</v>
      </c>
      <c r="C18450" s="11" t="s">
        <v>2644</v>
      </c>
    </row>
    <row r="18451" spans="1:4" ht="12.75" customHeight="1" x14ac:dyDescent="0.2">
      <c r="B18451" s="11" t="s">
        <v>2603</v>
      </c>
      <c r="C18451" s="11" t="s">
        <v>2604</v>
      </c>
    </row>
    <row r="18452" spans="1:4" ht="12.75" customHeight="1" x14ac:dyDescent="0.2">
      <c r="B18452" s="11" t="s">
        <v>2605</v>
      </c>
      <c r="C18452" s="11" t="s">
        <v>24</v>
      </c>
    </row>
    <row r="18453" spans="1:4" ht="12.75" customHeight="1" x14ac:dyDescent="0.2">
      <c r="B18453" s="11" t="s">
        <v>2606</v>
      </c>
      <c r="C18453" s="16" t="s">
        <v>57</v>
      </c>
      <c r="D18453" s="6" t="str">
        <f>HYPERLINK("javascript:void(0)","rojt")</f>
        <v>rojt</v>
      </c>
    </row>
    <row r="18454" spans="1:4" ht="12.75" customHeight="1" x14ac:dyDescent="0.2">
      <c r="B18454" s="2"/>
      <c r="C18454" s="15"/>
      <c r="D18454" s="2"/>
    </row>
    <row r="18455" spans="1:4" ht="12.75" customHeight="1" x14ac:dyDescent="0.2">
      <c r="B18455" s="2"/>
      <c r="C18455" s="15"/>
      <c r="D18455" s="2"/>
    </row>
    <row r="18456" spans="1:4" ht="12.75" customHeight="1" x14ac:dyDescent="0.2">
      <c r="A18456" s="13" t="s">
        <v>5571</v>
      </c>
      <c r="C18456" s="12"/>
    </row>
    <row r="18457" spans="1:4" ht="12.75" customHeight="1" x14ac:dyDescent="0.2">
      <c r="A18457" s="11"/>
      <c r="B18457" s="2"/>
      <c r="C18457" s="15"/>
      <c r="D18457" s="2"/>
    </row>
    <row r="18458" spans="1:4" ht="12.75" customHeight="1" x14ac:dyDescent="0.2">
      <c r="B18458" s="11" t="s">
        <v>0</v>
      </c>
      <c r="C18458" s="11" t="s">
        <v>341</v>
      </c>
    </row>
    <row r="18459" spans="1:4" ht="12.75" customHeight="1" x14ac:dyDescent="0.2">
      <c r="B18459" s="11" t="s">
        <v>2599</v>
      </c>
      <c r="C18459" s="11" t="s">
        <v>4320</v>
      </c>
    </row>
    <row r="18460" spans="1:4" ht="25.5" customHeight="1" x14ac:dyDescent="0.2">
      <c r="B18460" s="11" t="s">
        <v>2600</v>
      </c>
      <c r="C18460" s="11" t="s">
        <v>5572</v>
      </c>
    </row>
    <row r="18461" spans="1:4" ht="25.5" customHeight="1" x14ac:dyDescent="0.2">
      <c r="B18461" s="11" t="s">
        <v>2601</v>
      </c>
      <c r="C18461" s="11"/>
    </row>
    <row r="18462" spans="1:4" ht="12.75" customHeight="1" x14ac:dyDescent="0.2">
      <c r="B18462" s="11" t="s">
        <v>16</v>
      </c>
      <c r="C18462" s="11"/>
    </row>
    <row r="18463" spans="1:4" ht="12.75" customHeight="1" x14ac:dyDescent="0.2">
      <c r="B18463" s="11" t="s">
        <v>13</v>
      </c>
      <c r="C18463" s="11" t="s">
        <v>2644</v>
      </c>
    </row>
    <row r="18464" spans="1:4" ht="12.75" customHeight="1" x14ac:dyDescent="0.2">
      <c r="B18464" s="11" t="s">
        <v>2603</v>
      </c>
      <c r="C18464" s="11" t="s">
        <v>2604</v>
      </c>
    </row>
    <row r="18465" spans="1:4" ht="12.75" customHeight="1" x14ac:dyDescent="0.2">
      <c r="B18465" s="11" t="s">
        <v>2605</v>
      </c>
      <c r="C18465" s="11" t="s">
        <v>24</v>
      </c>
    </row>
    <row r="18466" spans="1:4" ht="25.5" customHeight="1" x14ac:dyDescent="0.2">
      <c r="B18466" s="11" t="s">
        <v>2606</v>
      </c>
      <c r="C18466" s="16" t="s">
        <v>77</v>
      </c>
      <c r="D18466" s="6" t="str">
        <f>HYPERLINK("javascript:void(0)","harmatcsepp")</f>
        <v>harmatcsepp</v>
      </c>
    </row>
    <row r="18467" spans="1:4" ht="12.75" customHeight="1" x14ac:dyDescent="0.2">
      <c r="C18467" s="16" t="s">
        <v>57</v>
      </c>
      <c r="D18467" s="6" t="str">
        <f>HYPERLINK("javascript:void(0)","ködpikkely")</f>
        <v>ködpikkely</v>
      </c>
    </row>
    <row r="18468" spans="1:4" ht="12.75" customHeight="1" x14ac:dyDescent="0.2">
      <c r="B18468" s="2"/>
      <c r="C18468" s="15"/>
      <c r="D18468" s="2"/>
    </row>
    <row r="18469" spans="1:4" ht="12.75" customHeight="1" x14ac:dyDescent="0.2">
      <c r="B18469" s="2"/>
      <c r="C18469" s="15"/>
      <c r="D18469" s="2"/>
    </row>
    <row r="18470" spans="1:4" ht="12.75" customHeight="1" x14ac:dyDescent="0.2">
      <c r="A18470" s="13" t="s">
        <v>5545</v>
      </c>
      <c r="C18470" s="12"/>
      <c r="D18470" s="2"/>
    </row>
    <row r="18471" spans="1:4" ht="12.75" customHeight="1" x14ac:dyDescent="0.2">
      <c r="A18471" s="11"/>
      <c r="B18471" s="2"/>
      <c r="C18471" s="15"/>
      <c r="D18471" s="2"/>
    </row>
    <row r="18472" spans="1:4" ht="12.75" customHeight="1" x14ac:dyDescent="0.2">
      <c r="B18472" s="11" t="s">
        <v>0</v>
      </c>
      <c r="C18472" s="17" t="s">
        <v>341</v>
      </c>
      <c r="D18472" s="2"/>
    </row>
    <row r="18473" spans="1:4" ht="12.75" customHeight="1" x14ac:dyDescent="0.2">
      <c r="B18473" s="11" t="s">
        <v>2599</v>
      </c>
      <c r="C18473" s="17" t="s">
        <v>5106</v>
      </c>
      <c r="D18473" s="2"/>
    </row>
    <row r="18474" spans="1:4" ht="25.5" customHeight="1" x14ac:dyDescent="0.2">
      <c r="B18474" s="11" t="s">
        <v>2600</v>
      </c>
      <c r="C18474" s="17" t="s">
        <v>5574</v>
      </c>
      <c r="D18474" s="2"/>
    </row>
    <row r="18475" spans="1:4" ht="25.5" customHeight="1" x14ac:dyDescent="0.2">
      <c r="B18475" s="11" t="s">
        <v>2601</v>
      </c>
      <c r="C18475" s="17"/>
      <c r="D18475" s="2"/>
    </row>
    <row r="18476" spans="1:4" ht="12.75" customHeight="1" x14ac:dyDescent="0.2">
      <c r="B18476" s="11" t="s">
        <v>16</v>
      </c>
      <c r="C18476" s="17"/>
      <c r="D18476" s="2"/>
    </row>
    <row r="18477" spans="1:4" ht="12.75" customHeight="1" x14ac:dyDescent="0.2">
      <c r="B18477" s="11" t="s">
        <v>13</v>
      </c>
      <c r="C18477" s="17" t="s">
        <v>2602</v>
      </c>
      <c r="D18477" s="2"/>
    </row>
    <row r="18478" spans="1:4" ht="25.5" customHeight="1" x14ac:dyDescent="0.2">
      <c r="B18478" s="11" t="s">
        <v>2603</v>
      </c>
      <c r="C18478" s="17" t="s">
        <v>2971</v>
      </c>
      <c r="D18478" s="2"/>
    </row>
    <row r="18479" spans="1:4" ht="12.75" customHeight="1" x14ac:dyDescent="0.2">
      <c r="B18479" s="11" t="s">
        <v>2605</v>
      </c>
      <c r="C18479" s="17" t="s">
        <v>14</v>
      </c>
      <c r="D18479" s="2"/>
    </row>
    <row r="18480" spans="1:4" ht="12.75" customHeight="1" x14ac:dyDescent="0.2">
      <c r="B18480" s="11" t="s">
        <v>2606</v>
      </c>
      <c r="C18480" s="16" t="s">
        <v>19</v>
      </c>
      <c r="D18480" s="2"/>
    </row>
    <row r="18481" spans="1:4" ht="12.75" customHeight="1" x14ac:dyDescent="0.2">
      <c r="B18481" s="2"/>
      <c r="C18481" s="15"/>
      <c r="D18481" s="2"/>
    </row>
    <row r="18482" spans="1:4" ht="12.75" customHeight="1" x14ac:dyDescent="0.2">
      <c r="B18482" s="2"/>
      <c r="C18482" s="15"/>
      <c r="D18482" s="2"/>
    </row>
    <row r="18483" spans="1:4" ht="12.75" customHeight="1" x14ac:dyDescent="0.2">
      <c r="A18483" s="13" t="s">
        <v>5547</v>
      </c>
      <c r="C18483" s="12"/>
      <c r="D18483" s="2"/>
    </row>
    <row r="18484" spans="1:4" ht="12.75" customHeight="1" x14ac:dyDescent="0.2">
      <c r="A18484" s="11"/>
      <c r="B18484" s="2"/>
      <c r="C18484" s="15"/>
      <c r="D18484" s="2"/>
    </row>
    <row r="18485" spans="1:4" ht="12.75" customHeight="1" x14ac:dyDescent="0.2">
      <c r="B18485" s="11" t="s">
        <v>0</v>
      </c>
      <c r="C18485" s="17" t="s">
        <v>341</v>
      </c>
      <c r="D18485" s="2"/>
    </row>
    <row r="18486" spans="1:4" ht="12.75" customHeight="1" x14ac:dyDescent="0.2">
      <c r="B18486" s="11" t="s">
        <v>2599</v>
      </c>
      <c r="C18486" s="17" t="s">
        <v>5109</v>
      </c>
      <c r="D18486" s="2"/>
    </row>
    <row r="18487" spans="1:4" ht="25.5" customHeight="1" x14ac:dyDescent="0.2">
      <c r="B18487" s="11" t="s">
        <v>2600</v>
      </c>
      <c r="C18487" s="17" t="s">
        <v>5575</v>
      </c>
      <c r="D18487" s="2"/>
    </row>
    <row r="18488" spans="1:4" ht="25.5" customHeight="1" x14ac:dyDescent="0.2">
      <c r="B18488" s="11" t="s">
        <v>2601</v>
      </c>
      <c r="C18488" s="17"/>
      <c r="D18488" s="2"/>
    </row>
    <row r="18489" spans="1:4" ht="12.75" customHeight="1" x14ac:dyDescent="0.2">
      <c r="B18489" s="11" t="s">
        <v>16</v>
      </c>
      <c r="C18489" s="17"/>
      <c r="D18489" s="2"/>
    </row>
    <row r="18490" spans="1:4" ht="12.75" customHeight="1" x14ac:dyDescent="0.2">
      <c r="B18490" s="11" t="s">
        <v>13</v>
      </c>
      <c r="C18490" s="17" t="s">
        <v>2644</v>
      </c>
      <c r="D18490" s="2"/>
    </row>
    <row r="18491" spans="1:4" ht="25.5" customHeight="1" x14ac:dyDescent="0.2">
      <c r="B18491" s="11" t="s">
        <v>2603</v>
      </c>
      <c r="C18491" s="17" t="s">
        <v>2971</v>
      </c>
      <c r="D18491" s="2"/>
    </row>
    <row r="18492" spans="1:4" ht="12.75" customHeight="1" x14ac:dyDescent="0.2">
      <c r="B18492" s="11" t="s">
        <v>2605</v>
      </c>
      <c r="C18492" s="17" t="s">
        <v>14</v>
      </c>
      <c r="D18492" s="2"/>
    </row>
    <row r="18493" spans="1:4" ht="12.75" customHeight="1" x14ac:dyDescent="0.2">
      <c r="B18493" s="11" t="s">
        <v>2606</v>
      </c>
      <c r="C18493" s="16" t="s">
        <v>19</v>
      </c>
      <c r="D18493" s="2"/>
    </row>
    <row r="18494" spans="1:4" ht="12.75" customHeight="1" x14ac:dyDescent="0.2">
      <c r="B18494" s="2"/>
      <c r="C18494" s="15"/>
      <c r="D18494" s="2"/>
    </row>
    <row r="18495" spans="1:4" ht="12.75" customHeight="1" x14ac:dyDescent="0.2">
      <c r="B18495" s="2"/>
      <c r="C18495" s="15"/>
      <c r="D18495" s="2"/>
    </row>
    <row r="18496" spans="1:4" ht="12.75" customHeight="1" x14ac:dyDescent="0.2">
      <c r="A18496" s="13" t="s">
        <v>5516</v>
      </c>
      <c r="C18496" s="12"/>
      <c r="D18496" s="2"/>
    </row>
    <row r="18497" spans="1:4" ht="12.75" customHeight="1" x14ac:dyDescent="0.2">
      <c r="A18497" s="11"/>
      <c r="B18497" s="2"/>
      <c r="C18497" s="15"/>
      <c r="D18497" s="2"/>
    </row>
    <row r="18498" spans="1:4" ht="12.75" customHeight="1" x14ac:dyDescent="0.2">
      <c r="B18498" s="11" t="s">
        <v>0</v>
      </c>
      <c r="C18498" s="17" t="s">
        <v>1060</v>
      </c>
      <c r="D18498" s="2"/>
    </row>
    <row r="18499" spans="1:4" ht="12.75" customHeight="1" x14ac:dyDescent="0.2">
      <c r="B18499" s="11" t="s">
        <v>2599</v>
      </c>
      <c r="C18499" s="17" t="s">
        <v>5135</v>
      </c>
      <c r="D18499" s="2"/>
    </row>
    <row r="18500" spans="1:4" ht="25.5" customHeight="1" x14ac:dyDescent="0.2">
      <c r="B18500" s="11" t="s">
        <v>2600</v>
      </c>
      <c r="C18500" s="17" t="s">
        <v>5576</v>
      </c>
      <c r="D18500" s="2"/>
    </row>
    <row r="18501" spans="1:4" ht="25.5" customHeight="1" x14ac:dyDescent="0.2">
      <c r="B18501" s="11" t="s">
        <v>2601</v>
      </c>
      <c r="C18501" s="17"/>
      <c r="D18501" s="2"/>
    </row>
    <row r="18502" spans="1:4" ht="12.75" customHeight="1" x14ac:dyDescent="0.2">
      <c r="B18502" s="11" t="s">
        <v>16</v>
      </c>
      <c r="C18502" s="17"/>
      <c r="D18502" s="2"/>
    </row>
    <row r="18503" spans="1:4" ht="12.75" customHeight="1" x14ac:dyDescent="0.2">
      <c r="B18503" s="11" t="s">
        <v>13</v>
      </c>
      <c r="C18503" s="17" t="s">
        <v>2602</v>
      </c>
      <c r="D18503" s="2"/>
    </row>
    <row r="18504" spans="1:4" ht="25.5" customHeight="1" x14ac:dyDescent="0.2">
      <c r="B18504" s="11" t="s">
        <v>2603</v>
      </c>
      <c r="C18504" s="17" t="s">
        <v>2971</v>
      </c>
      <c r="D18504" s="2"/>
    </row>
    <row r="18505" spans="1:4" ht="12.75" customHeight="1" x14ac:dyDescent="0.2">
      <c r="B18505" s="11" t="s">
        <v>2605</v>
      </c>
      <c r="C18505" s="17" t="s">
        <v>14</v>
      </c>
      <c r="D18505" s="2"/>
    </row>
    <row r="18506" spans="1:4" ht="12.75" customHeight="1" x14ac:dyDescent="0.2">
      <c r="B18506" s="11" t="s">
        <v>2606</v>
      </c>
      <c r="C18506" s="16" t="s">
        <v>19</v>
      </c>
      <c r="D18506" s="2"/>
    </row>
    <row r="18507" spans="1:4" ht="12.75" customHeight="1" x14ac:dyDescent="0.2">
      <c r="B18507" s="2"/>
      <c r="C18507" s="15"/>
      <c r="D18507" s="2"/>
    </row>
    <row r="18508" spans="1:4" ht="12.75" customHeight="1" x14ac:dyDescent="0.2">
      <c r="B18508" s="2"/>
      <c r="C18508" s="15"/>
      <c r="D18508" s="2"/>
    </row>
    <row r="18509" spans="1:4" ht="12.75" customHeight="1" x14ac:dyDescent="0.2">
      <c r="A18509" s="13" t="s">
        <v>5518</v>
      </c>
      <c r="C18509" s="12"/>
      <c r="D18509" s="2"/>
    </row>
    <row r="18510" spans="1:4" ht="12.75" customHeight="1" x14ac:dyDescent="0.2">
      <c r="A18510" s="11"/>
      <c r="B18510" s="2"/>
      <c r="C18510" s="15"/>
      <c r="D18510" s="2"/>
    </row>
    <row r="18511" spans="1:4" ht="12.75" customHeight="1" x14ac:dyDescent="0.2">
      <c r="B18511" s="11" t="s">
        <v>0</v>
      </c>
      <c r="C18511" s="17" t="s">
        <v>1060</v>
      </c>
      <c r="D18511" s="2"/>
    </row>
    <row r="18512" spans="1:4" ht="12.75" customHeight="1" x14ac:dyDescent="0.2">
      <c r="B18512" s="11" t="s">
        <v>2599</v>
      </c>
      <c r="C18512" s="17" t="s">
        <v>5103</v>
      </c>
      <c r="D18512" s="2"/>
    </row>
    <row r="18513" spans="1:4" ht="25.5" customHeight="1" x14ac:dyDescent="0.2">
      <c r="B18513" s="11" t="s">
        <v>2600</v>
      </c>
      <c r="C18513" s="17" t="s">
        <v>5577</v>
      </c>
      <c r="D18513" s="2"/>
    </row>
    <row r="18514" spans="1:4" ht="25.5" customHeight="1" x14ac:dyDescent="0.2">
      <c r="B18514" s="11" t="s">
        <v>2601</v>
      </c>
      <c r="C18514" s="17"/>
      <c r="D18514" s="2"/>
    </row>
    <row r="18515" spans="1:4" ht="12.75" customHeight="1" x14ac:dyDescent="0.2">
      <c r="B18515" s="11" t="s">
        <v>16</v>
      </c>
      <c r="C18515" s="17"/>
      <c r="D18515" s="2"/>
    </row>
    <row r="18516" spans="1:4" ht="12.75" customHeight="1" x14ac:dyDescent="0.2">
      <c r="B18516" s="11" t="s">
        <v>13</v>
      </c>
      <c r="C18516" s="17" t="s">
        <v>2644</v>
      </c>
      <c r="D18516" s="2"/>
    </row>
    <row r="18517" spans="1:4" ht="25.5" customHeight="1" x14ac:dyDescent="0.2">
      <c r="B18517" s="11" t="s">
        <v>2603</v>
      </c>
      <c r="C18517" s="17" t="s">
        <v>2971</v>
      </c>
      <c r="D18517" s="2"/>
    </row>
    <row r="18518" spans="1:4" ht="12.75" customHeight="1" x14ac:dyDescent="0.2">
      <c r="B18518" s="11" t="s">
        <v>2605</v>
      </c>
      <c r="C18518" s="17" t="s">
        <v>14</v>
      </c>
      <c r="D18518" s="2"/>
    </row>
    <row r="18519" spans="1:4" ht="12.75" customHeight="1" x14ac:dyDescent="0.2">
      <c r="B18519" s="11" t="s">
        <v>2606</v>
      </c>
      <c r="C18519" s="16" t="s">
        <v>19</v>
      </c>
      <c r="D18519" s="2"/>
    </row>
    <row r="18520" spans="1:4" ht="12.75" customHeight="1" x14ac:dyDescent="0.2">
      <c r="B18520" s="2"/>
      <c r="C18520" s="15"/>
      <c r="D18520" s="2"/>
    </row>
    <row r="18521" spans="1:4" ht="12.75" customHeight="1" x14ac:dyDescent="0.2">
      <c r="B18521" s="2"/>
      <c r="C18521" s="15"/>
      <c r="D18521" s="2"/>
    </row>
    <row r="18522" spans="1:4" ht="12.75" customHeight="1" x14ac:dyDescent="0.2">
      <c r="A18522" s="13" t="s">
        <v>5578</v>
      </c>
      <c r="C18522" s="12"/>
    </row>
    <row r="18523" spans="1:4" ht="12.75" customHeight="1" x14ac:dyDescent="0.2">
      <c r="A18523" s="11"/>
      <c r="B18523" s="2"/>
      <c r="C18523" s="15"/>
      <c r="D18523" s="2"/>
    </row>
    <row r="18524" spans="1:4" ht="12.75" customHeight="1" x14ac:dyDescent="0.2">
      <c r="B18524" s="11" t="s">
        <v>0</v>
      </c>
      <c r="C18524" s="11" t="s">
        <v>1060</v>
      </c>
    </row>
    <row r="18525" spans="1:4" ht="12.75" customHeight="1" x14ac:dyDescent="0.2">
      <c r="B18525" s="11" t="s">
        <v>2599</v>
      </c>
      <c r="C18525" s="11" t="s">
        <v>5579</v>
      </c>
    </row>
    <row r="18526" spans="1:4" ht="25.5" customHeight="1" x14ac:dyDescent="0.2">
      <c r="B18526" s="11" t="s">
        <v>2600</v>
      </c>
      <c r="C18526" s="11" t="s">
        <v>5580</v>
      </c>
    </row>
    <row r="18527" spans="1:4" ht="25.5" customHeight="1" x14ac:dyDescent="0.2">
      <c r="B18527" s="11" t="s">
        <v>2601</v>
      </c>
      <c r="C18527" s="11"/>
    </row>
    <row r="18528" spans="1:4" ht="12.75" customHeight="1" x14ac:dyDescent="0.2">
      <c r="B18528" s="11" t="s">
        <v>16</v>
      </c>
      <c r="C18528" s="11"/>
    </row>
    <row r="18529" spans="1:4" ht="12.75" customHeight="1" x14ac:dyDescent="0.2">
      <c r="B18529" s="11" t="s">
        <v>13</v>
      </c>
      <c r="C18529" s="11" t="s">
        <v>2602</v>
      </c>
    </row>
    <row r="18530" spans="1:4" ht="12.75" customHeight="1" x14ac:dyDescent="0.2">
      <c r="B18530" s="11" t="s">
        <v>2603</v>
      </c>
      <c r="C18530" s="11" t="s">
        <v>2604</v>
      </c>
    </row>
    <row r="18531" spans="1:4" ht="12.75" customHeight="1" x14ac:dyDescent="0.2">
      <c r="B18531" s="11" t="s">
        <v>2605</v>
      </c>
      <c r="C18531" s="11" t="s">
        <v>24</v>
      </c>
    </row>
    <row r="18532" spans="1:4" ht="12.75" customHeight="1" x14ac:dyDescent="0.2">
      <c r="B18532" s="11" t="s">
        <v>2606</v>
      </c>
      <c r="C18532" s="16" t="s">
        <v>44</v>
      </c>
      <c r="D18532" s="6" t="str">
        <f>HYPERLINK("javascript:void(0)","békítő")</f>
        <v>békítő</v>
      </c>
    </row>
    <row r="18533" spans="1:4" ht="12.75" customHeight="1" x14ac:dyDescent="0.2">
      <c r="B18533" s="2"/>
      <c r="C18533" s="15"/>
      <c r="D18533" s="2"/>
    </row>
    <row r="18534" spans="1:4" ht="12.75" customHeight="1" x14ac:dyDescent="0.2">
      <c r="B18534" s="2"/>
      <c r="C18534" s="15"/>
      <c r="D18534" s="2"/>
    </row>
    <row r="18535" spans="1:4" ht="12.75" customHeight="1" x14ac:dyDescent="0.2">
      <c r="A18535" s="13" t="s">
        <v>5582</v>
      </c>
      <c r="C18535" s="12"/>
    </row>
    <row r="18536" spans="1:4" ht="12.75" customHeight="1" x14ac:dyDescent="0.2">
      <c r="A18536" s="11"/>
      <c r="B18536" s="2"/>
      <c r="C18536" s="15"/>
      <c r="D18536" s="2"/>
    </row>
    <row r="18537" spans="1:4" ht="12.75" customHeight="1" x14ac:dyDescent="0.2">
      <c r="B18537" s="11" t="s">
        <v>0</v>
      </c>
      <c r="C18537" s="11" t="s">
        <v>1060</v>
      </c>
    </row>
    <row r="18538" spans="1:4" ht="12.75" customHeight="1" x14ac:dyDescent="0.2">
      <c r="B18538" s="11" t="s">
        <v>2599</v>
      </c>
      <c r="C18538" s="11" t="s">
        <v>5583</v>
      </c>
    </row>
    <row r="18539" spans="1:4" ht="25.5" customHeight="1" x14ac:dyDescent="0.2">
      <c r="B18539" s="11" t="s">
        <v>2600</v>
      </c>
      <c r="C18539" s="11" t="s">
        <v>5584</v>
      </c>
    </row>
    <row r="18540" spans="1:4" ht="25.5" customHeight="1" x14ac:dyDescent="0.2">
      <c r="B18540" s="11" t="s">
        <v>2601</v>
      </c>
      <c r="C18540" s="11"/>
    </row>
    <row r="18541" spans="1:4" ht="12.75" customHeight="1" x14ac:dyDescent="0.2">
      <c r="B18541" s="11" t="s">
        <v>16</v>
      </c>
      <c r="C18541" s="11"/>
    </row>
    <row r="18542" spans="1:4" ht="12.75" customHeight="1" x14ac:dyDescent="0.2">
      <c r="B18542" s="11" t="s">
        <v>13</v>
      </c>
      <c r="C18542" s="11" t="s">
        <v>2644</v>
      </c>
    </row>
    <row r="18543" spans="1:4" ht="12.75" customHeight="1" x14ac:dyDescent="0.2">
      <c r="B18543" s="11" t="s">
        <v>2603</v>
      </c>
      <c r="C18543" s="11" t="s">
        <v>2604</v>
      </c>
    </row>
    <row r="18544" spans="1:4" ht="12.75" customHeight="1" x14ac:dyDescent="0.2">
      <c r="B18544" s="11" t="s">
        <v>2605</v>
      </c>
      <c r="C18544" s="11" t="s">
        <v>14</v>
      </c>
    </row>
    <row r="18545" spans="1:4" ht="12.75" customHeight="1" x14ac:dyDescent="0.2">
      <c r="B18545" s="11" t="s">
        <v>2606</v>
      </c>
      <c r="C18545" s="16" t="s">
        <v>98</v>
      </c>
      <c r="D18545" s="6" t="str">
        <f>HYPERLINK("javascript:void(0)","kincs")</f>
        <v>kincs</v>
      </c>
    </row>
    <row r="18546" spans="1:4" ht="12.75" customHeight="1" x14ac:dyDescent="0.2">
      <c r="B18546" s="2"/>
      <c r="C18546" s="15"/>
      <c r="D18546" s="2"/>
    </row>
    <row r="18547" spans="1:4" ht="12.75" customHeight="1" x14ac:dyDescent="0.2">
      <c r="B18547" s="2"/>
      <c r="C18547" s="15"/>
      <c r="D18547" s="2"/>
    </row>
    <row r="18548" spans="1:4" ht="12.75" customHeight="1" x14ac:dyDescent="0.2">
      <c r="A18548" s="13" t="s">
        <v>5585</v>
      </c>
      <c r="C18548" s="12"/>
    </row>
    <row r="18549" spans="1:4" ht="12.75" customHeight="1" x14ac:dyDescent="0.2">
      <c r="A18549" s="11"/>
      <c r="B18549" s="2"/>
      <c r="C18549" s="15"/>
      <c r="D18549" s="2"/>
    </row>
    <row r="18550" spans="1:4" ht="12.75" customHeight="1" x14ac:dyDescent="0.2">
      <c r="B18550" s="11" t="s">
        <v>0</v>
      </c>
      <c r="C18550" s="11" t="s">
        <v>1060</v>
      </c>
    </row>
    <row r="18551" spans="1:4" ht="12.75" customHeight="1" x14ac:dyDescent="0.2">
      <c r="B18551" s="11" t="s">
        <v>2599</v>
      </c>
      <c r="C18551" s="11" t="s">
        <v>5586</v>
      </c>
    </row>
    <row r="18552" spans="1:4" ht="25.5" customHeight="1" x14ac:dyDescent="0.2">
      <c r="B18552" s="11" t="s">
        <v>2600</v>
      </c>
      <c r="C18552" s="11" t="s">
        <v>5587</v>
      </c>
    </row>
    <row r="18553" spans="1:4" ht="25.5" customHeight="1" x14ac:dyDescent="0.2">
      <c r="B18553" s="11" t="s">
        <v>2601</v>
      </c>
      <c r="C18553" s="11"/>
    </row>
    <row r="18554" spans="1:4" ht="12.75" customHeight="1" x14ac:dyDescent="0.2">
      <c r="B18554" s="11" t="s">
        <v>16</v>
      </c>
      <c r="C18554" s="11"/>
    </row>
    <row r="18555" spans="1:4" ht="12.75" customHeight="1" x14ac:dyDescent="0.2">
      <c r="B18555" s="11" t="s">
        <v>13</v>
      </c>
      <c r="C18555" s="11" t="s">
        <v>2602</v>
      </c>
    </row>
    <row r="18556" spans="1:4" ht="12.75" customHeight="1" x14ac:dyDescent="0.2">
      <c r="B18556" s="11" t="s">
        <v>2603</v>
      </c>
      <c r="C18556" s="11" t="s">
        <v>2604</v>
      </c>
    </row>
    <row r="18557" spans="1:4" ht="12.75" customHeight="1" x14ac:dyDescent="0.2">
      <c r="B18557" s="11" t="s">
        <v>2605</v>
      </c>
      <c r="C18557" s="11" t="s">
        <v>24</v>
      </c>
    </row>
    <row r="18558" spans="1:4" ht="12.75" customHeight="1" x14ac:dyDescent="0.2">
      <c r="B18558" s="11" t="s">
        <v>2606</v>
      </c>
      <c r="C18558" s="16" t="s">
        <v>77</v>
      </c>
      <c r="D18558" s="6" t="str">
        <f>HYPERLINK("javascript:void(0)","vízige")</f>
        <v>vízige</v>
      </c>
    </row>
    <row r="18559" spans="1:4" ht="12.75" customHeight="1" x14ac:dyDescent="0.2">
      <c r="B18559" s="2"/>
      <c r="C18559" s="15"/>
      <c r="D18559" s="2"/>
    </row>
    <row r="18560" spans="1:4" ht="12.75" customHeight="1" x14ac:dyDescent="0.2">
      <c r="B18560" s="2"/>
      <c r="C18560" s="15"/>
      <c r="D18560" s="2"/>
    </row>
    <row r="18561" spans="1:4" ht="12.75" customHeight="1" x14ac:dyDescent="0.2">
      <c r="A18561" s="13" t="s">
        <v>5588</v>
      </c>
      <c r="C18561" s="12"/>
    </row>
    <row r="18562" spans="1:4" ht="12.75" customHeight="1" x14ac:dyDescent="0.2">
      <c r="A18562" s="11"/>
      <c r="B18562" s="2"/>
      <c r="C18562" s="15"/>
      <c r="D18562" s="2"/>
    </row>
    <row r="18563" spans="1:4" ht="12.75" customHeight="1" x14ac:dyDescent="0.2">
      <c r="B18563" s="11" t="s">
        <v>0</v>
      </c>
      <c r="C18563" s="11" t="s">
        <v>1060</v>
      </c>
    </row>
    <row r="18564" spans="1:4" ht="12.75" customHeight="1" x14ac:dyDescent="0.2">
      <c r="B18564" s="11" t="s">
        <v>2599</v>
      </c>
      <c r="C18564" s="11" t="s">
        <v>5562</v>
      </c>
    </row>
    <row r="18565" spans="1:4" ht="25.5" customHeight="1" x14ac:dyDescent="0.2">
      <c r="B18565" s="11" t="s">
        <v>2600</v>
      </c>
      <c r="C18565" s="11" t="s">
        <v>5589</v>
      </c>
    </row>
    <row r="18566" spans="1:4" ht="25.5" customHeight="1" x14ac:dyDescent="0.2">
      <c r="B18566" s="11" t="s">
        <v>2601</v>
      </c>
      <c r="C18566" s="11"/>
    </row>
    <row r="18567" spans="1:4" ht="12.75" customHeight="1" x14ac:dyDescent="0.2">
      <c r="B18567" s="11" t="s">
        <v>16</v>
      </c>
      <c r="C18567" s="11"/>
    </row>
    <row r="18568" spans="1:4" ht="12.75" customHeight="1" x14ac:dyDescent="0.2">
      <c r="B18568" s="11" t="s">
        <v>13</v>
      </c>
      <c r="C18568" s="11" t="s">
        <v>2644</v>
      </c>
    </row>
    <row r="18569" spans="1:4" ht="12.75" customHeight="1" x14ac:dyDescent="0.2">
      <c r="B18569" s="11" t="s">
        <v>2603</v>
      </c>
      <c r="C18569" s="11" t="s">
        <v>2604</v>
      </c>
    </row>
    <row r="18570" spans="1:4" ht="12.75" customHeight="1" x14ac:dyDescent="0.2">
      <c r="B18570" s="11" t="s">
        <v>2605</v>
      </c>
      <c r="C18570" s="11" t="s">
        <v>14</v>
      </c>
    </row>
    <row r="18571" spans="1:4" ht="12.75" customHeight="1" x14ac:dyDescent="0.2">
      <c r="B18571" s="11" t="s">
        <v>2606</v>
      </c>
      <c r="C18571" s="16" t="s">
        <v>98</v>
      </c>
      <c r="D18571" s="6" t="str">
        <f>HYPERLINK("javascript:void(0)","kincs")</f>
        <v>kincs</v>
      </c>
    </row>
    <row r="18572" spans="1:4" ht="12.75" customHeight="1" x14ac:dyDescent="0.2">
      <c r="B18572" s="2"/>
      <c r="C18572" s="15"/>
      <c r="D18572" s="2"/>
    </row>
    <row r="18573" spans="1:4" ht="12.75" customHeight="1" x14ac:dyDescent="0.2">
      <c r="B18573" s="2"/>
      <c r="C18573" s="15"/>
      <c r="D18573" s="2"/>
    </row>
    <row r="18574" spans="1:4" ht="12.75" customHeight="1" x14ac:dyDescent="0.2">
      <c r="A18574" s="13" t="s">
        <v>5591</v>
      </c>
      <c r="C18574" s="12"/>
    </row>
    <row r="18575" spans="1:4" ht="12.75" customHeight="1" x14ac:dyDescent="0.2">
      <c r="A18575" s="11"/>
      <c r="B18575" s="2"/>
      <c r="C18575" s="15"/>
      <c r="D18575" s="2"/>
    </row>
    <row r="18576" spans="1:4" ht="12.75" customHeight="1" x14ac:dyDescent="0.2">
      <c r="B18576" s="11" t="s">
        <v>0</v>
      </c>
      <c r="C18576" s="11" t="s">
        <v>1060</v>
      </c>
    </row>
    <row r="18577" spans="1:4" ht="12.75" customHeight="1" x14ac:dyDescent="0.2">
      <c r="B18577" s="11" t="s">
        <v>2599</v>
      </c>
      <c r="C18577" s="11" t="s">
        <v>5592</v>
      </c>
    </row>
    <row r="18578" spans="1:4" ht="25.5" customHeight="1" x14ac:dyDescent="0.2">
      <c r="B18578" s="11" t="s">
        <v>2600</v>
      </c>
      <c r="C18578" s="11" t="s">
        <v>5593</v>
      </c>
    </row>
    <row r="18579" spans="1:4" ht="25.5" customHeight="1" x14ac:dyDescent="0.2">
      <c r="B18579" s="11" t="s">
        <v>2601</v>
      </c>
      <c r="C18579" s="11"/>
    </row>
    <row r="18580" spans="1:4" ht="12.75" customHeight="1" x14ac:dyDescent="0.2">
      <c r="B18580" s="11" t="s">
        <v>16</v>
      </c>
      <c r="C18580" s="11"/>
    </row>
    <row r="18581" spans="1:4" ht="12.75" customHeight="1" x14ac:dyDescent="0.2">
      <c r="B18581" s="11" t="s">
        <v>13</v>
      </c>
      <c r="C18581" s="11" t="s">
        <v>2602</v>
      </c>
    </row>
    <row r="18582" spans="1:4" ht="12.75" customHeight="1" x14ac:dyDescent="0.2">
      <c r="B18582" s="11" t="s">
        <v>2603</v>
      </c>
      <c r="C18582" s="11" t="s">
        <v>2604</v>
      </c>
    </row>
    <row r="18583" spans="1:4" ht="12.75" customHeight="1" x14ac:dyDescent="0.2">
      <c r="B18583" s="11" t="s">
        <v>2605</v>
      </c>
      <c r="C18583" s="11" t="s">
        <v>14</v>
      </c>
    </row>
    <row r="18584" spans="1:4" ht="12.75" customHeight="1" x14ac:dyDescent="0.2">
      <c r="B18584" s="11" t="s">
        <v>2606</v>
      </c>
      <c r="C18584" s="16" t="s">
        <v>98</v>
      </c>
      <c r="D18584" s="6" t="str">
        <f>HYPERLINK("javascript:void(0)","kincs")</f>
        <v>kincs</v>
      </c>
    </row>
    <row r="18585" spans="1:4" ht="12.75" customHeight="1" x14ac:dyDescent="0.2">
      <c r="B18585" s="2"/>
      <c r="C18585" s="15"/>
      <c r="D18585" s="2"/>
    </row>
    <row r="18586" spans="1:4" ht="12.75" customHeight="1" x14ac:dyDescent="0.2">
      <c r="B18586" s="2"/>
      <c r="C18586" s="15"/>
      <c r="D18586" s="2"/>
    </row>
    <row r="18587" spans="1:4" ht="12.75" customHeight="1" x14ac:dyDescent="0.2">
      <c r="A18587" s="13" t="s">
        <v>5594</v>
      </c>
      <c r="C18587" s="12"/>
    </row>
    <row r="18588" spans="1:4" ht="12.75" customHeight="1" x14ac:dyDescent="0.2">
      <c r="A18588" s="11"/>
      <c r="B18588" s="2"/>
      <c r="C18588" s="15"/>
      <c r="D18588" s="2"/>
    </row>
    <row r="18589" spans="1:4" ht="12.75" customHeight="1" x14ac:dyDescent="0.2">
      <c r="B18589" s="11" t="s">
        <v>0</v>
      </c>
      <c r="C18589" s="11" t="s">
        <v>1060</v>
      </c>
    </row>
    <row r="18590" spans="1:4" ht="12.75" customHeight="1" x14ac:dyDescent="0.2">
      <c r="B18590" s="11" t="s">
        <v>2599</v>
      </c>
      <c r="C18590" s="11" t="s">
        <v>503</v>
      </c>
    </row>
    <row r="18591" spans="1:4" ht="25.5" customHeight="1" x14ac:dyDescent="0.2">
      <c r="B18591" s="11" t="s">
        <v>2600</v>
      </c>
      <c r="C18591" s="11" t="s">
        <v>5595</v>
      </c>
    </row>
    <row r="18592" spans="1:4" ht="25.5" customHeight="1" x14ac:dyDescent="0.2">
      <c r="B18592" s="11" t="s">
        <v>2601</v>
      </c>
      <c r="C18592" s="11"/>
    </row>
    <row r="18593" spans="1:4" ht="12.75" customHeight="1" x14ac:dyDescent="0.2">
      <c r="B18593" s="11" t="s">
        <v>16</v>
      </c>
      <c r="C18593" s="11"/>
    </row>
    <row r="18594" spans="1:4" ht="12.75" customHeight="1" x14ac:dyDescent="0.2">
      <c r="B18594" s="11" t="s">
        <v>13</v>
      </c>
      <c r="C18594" s="11" t="s">
        <v>2602</v>
      </c>
    </row>
    <row r="18595" spans="1:4" ht="12.75" customHeight="1" x14ac:dyDescent="0.2">
      <c r="B18595" s="11" t="s">
        <v>2603</v>
      </c>
      <c r="C18595" s="11" t="s">
        <v>2604</v>
      </c>
    </row>
    <row r="18596" spans="1:4" ht="12.75" customHeight="1" x14ac:dyDescent="0.2">
      <c r="B18596" s="11" t="s">
        <v>2605</v>
      </c>
      <c r="C18596" s="11" t="s">
        <v>14</v>
      </c>
    </row>
    <row r="18597" spans="1:4" ht="12.75" customHeight="1" x14ac:dyDescent="0.2">
      <c r="B18597" s="11" t="s">
        <v>2606</v>
      </c>
      <c r="C18597" s="16" t="s">
        <v>98</v>
      </c>
      <c r="D18597" s="6" t="str">
        <f>HYPERLINK("javascript:void(0)","kincs")</f>
        <v>kincs</v>
      </c>
    </row>
    <row r="18598" spans="1:4" ht="12.75" customHeight="1" x14ac:dyDescent="0.2">
      <c r="B18598" s="2"/>
      <c r="C18598" s="15"/>
      <c r="D18598" s="2"/>
    </row>
    <row r="18599" spans="1:4" ht="12.75" customHeight="1" x14ac:dyDescent="0.2">
      <c r="B18599" s="2"/>
      <c r="C18599" s="15"/>
      <c r="D18599" s="2"/>
    </row>
    <row r="18600" spans="1:4" ht="12.75" customHeight="1" x14ac:dyDescent="0.2">
      <c r="A18600" s="13" t="s">
        <v>5596</v>
      </c>
      <c r="C18600" s="12"/>
    </row>
    <row r="18601" spans="1:4" ht="12.75" customHeight="1" x14ac:dyDescent="0.2">
      <c r="A18601" s="11"/>
      <c r="B18601" s="2"/>
      <c r="C18601" s="15"/>
      <c r="D18601" s="2"/>
    </row>
    <row r="18602" spans="1:4" ht="12.75" customHeight="1" x14ac:dyDescent="0.2">
      <c r="B18602" s="11" t="s">
        <v>0</v>
      </c>
      <c r="C18602" s="11" t="s">
        <v>1060</v>
      </c>
    </row>
    <row r="18603" spans="1:4" ht="12.75" customHeight="1" x14ac:dyDescent="0.2">
      <c r="B18603" s="11" t="s">
        <v>2599</v>
      </c>
      <c r="C18603" s="11" t="s">
        <v>5597</v>
      </c>
    </row>
    <row r="18604" spans="1:4" ht="25.5" customHeight="1" x14ac:dyDescent="0.2">
      <c r="B18604" s="11" t="s">
        <v>2600</v>
      </c>
      <c r="C18604" s="11" t="s">
        <v>5598</v>
      </c>
    </row>
    <row r="18605" spans="1:4" ht="25.5" customHeight="1" x14ac:dyDescent="0.2">
      <c r="B18605" s="11" t="s">
        <v>2601</v>
      </c>
      <c r="C18605" s="11"/>
    </row>
    <row r="18606" spans="1:4" ht="12.75" customHeight="1" x14ac:dyDescent="0.2">
      <c r="B18606" s="11" t="s">
        <v>16</v>
      </c>
      <c r="C18606" s="11"/>
    </row>
    <row r="18607" spans="1:4" ht="12.75" customHeight="1" x14ac:dyDescent="0.2">
      <c r="B18607" s="11" t="s">
        <v>13</v>
      </c>
      <c r="C18607" s="11" t="s">
        <v>2644</v>
      </c>
    </row>
    <row r="18608" spans="1:4" ht="12.75" customHeight="1" x14ac:dyDescent="0.2">
      <c r="B18608" s="11" t="s">
        <v>2603</v>
      </c>
      <c r="C18608" s="11" t="s">
        <v>2604</v>
      </c>
    </row>
    <row r="18609" spans="1:4" ht="12.75" customHeight="1" x14ac:dyDescent="0.2">
      <c r="B18609" s="11" t="s">
        <v>2605</v>
      </c>
      <c r="C18609" s="11" t="s">
        <v>24</v>
      </c>
    </row>
    <row r="18610" spans="1:4" ht="12.75" customHeight="1" x14ac:dyDescent="0.2">
      <c r="B18610" s="11" t="s">
        <v>2606</v>
      </c>
      <c r="C18610" s="16" t="s">
        <v>77</v>
      </c>
      <c r="D18610" s="6" t="str">
        <f>HYPERLINK("javascript:void(0)","tűzige")</f>
        <v>tűzige</v>
      </c>
    </row>
    <row r="18611" spans="1:4" ht="12.75" customHeight="1" x14ac:dyDescent="0.2">
      <c r="C18611" s="16" t="s">
        <v>56</v>
      </c>
      <c r="D18611" s="6" t="str">
        <f>HYPERLINK("javascript:void(0)","bőrcsizma")</f>
        <v>bőrcsizma</v>
      </c>
    </row>
    <row r="18612" spans="1:4" ht="12.75" customHeight="1" x14ac:dyDescent="0.2">
      <c r="B18612" s="2"/>
      <c r="C18612" s="15"/>
      <c r="D18612" s="2"/>
    </row>
    <row r="18613" spans="1:4" ht="12.75" customHeight="1" x14ac:dyDescent="0.2">
      <c r="B18613" s="2"/>
      <c r="C18613" s="15"/>
      <c r="D18613" s="2"/>
    </row>
    <row r="18614" spans="1:4" ht="12.75" customHeight="1" x14ac:dyDescent="0.2">
      <c r="A18614" s="13" t="s">
        <v>5599</v>
      </c>
      <c r="C18614" s="12"/>
    </row>
    <row r="18615" spans="1:4" ht="12.75" customHeight="1" x14ac:dyDescent="0.2">
      <c r="A18615" s="11"/>
      <c r="B18615" s="2"/>
      <c r="C18615" s="15"/>
      <c r="D18615" s="2"/>
    </row>
    <row r="18616" spans="1:4" ht="12.75" customHeight="1" x14ac:dyDescent="0.2">
      <c r="B18616" s="11" t="s">
        <v>0</v>
      </c>
      <c r="C18616" s="11" t="s">
        <v>1060</v>
      </c>
    </row>
    <row r="18617" spans="1:4" ht="12.75" customHeight="1" x14ac:dyDescent="0.2">
      <c r="B18617" s="11" t="s">
        <v>2599</v>
      </c>
      <c r="C18617" s="11" t="s">
        <v>5600</v>
      </c>
    </row>
    <row r="18618" spans="1:4" ht="25.5" customHeight="1" x14ac:dyDescent="0.2">
      <c r="B18618" s="11" t="s">
        <v>2600</v>
      </c>
      <c r="C18618" s="11" t="s">
        <v>5601</v>
      </c>
    </row>
    <row r="18619" spans="1:4" ht="25.5" customHeight="1" x14ac:dyDescent="0.2">
      <c r="B18619" s="11" t="s">
        <v>2601</v>
      </c>
      <c r="C18619" s="11"/>
    </row>
    <row r="18620" spans="1:4" ht="12.75" customHeight="1" x14ac:dyDescent="0.2">
      <c r="B18620" s="11" t="s">
        <v>16</v>
      </c>
      <c r="C18620" s="11"/>
    </row>
    <row r="18621" spans="1:4" ht="12.75" customHeight="1" x14ac:dyDescent="0.2">
      <c r="B18621" s="11" t="s">
        <v>13</v>
      </c>
      <c r="C18621" s="11" t="s">
        <v>2644</v>
      </c>
    </row>
    <row r="18622" spans="1:4" ht="12.75" customHeight="1" x14ac:dyDescent="0.2">
      <c r="B18622" s="11" t="s">
        <v>2603</v>
      </c>
      <c r="C18622" s="11" t="s">
        <v>2604</v>
      </c>
    </row>
    <row r="18623" spans="1:4" ht="12.75" customHeight="1" x14ac:dyDescent="0.2">
      <c r="B18623" s="11" t="s">
        <v>2605</v>
      </c>
      <c r="C18623" s="11" t="s">
        <v>24</v>
      </c>
    </row>
    <row r="18624" spans="1:4" ht="12.75" customHeight="1" x14ac:dyDescent="0.2">
      <c r="B18624" s="11" t="s">
        <v>2606</v>
      </c>
      <c r="C18624" s="16" t="s">
        <v>44</v>
      </c>
      <c r="D18624" s="6" t="str">
        <f>HYPERLINK("javascript:void(0)","kónya")</f>
        <v>kónya</v>
      </c>
    </row>
    <row r="18625" spans="1:4" ht="12.75" customHeight="1" x14ac:dyDescent="0.2">
      <c r="B18625" s="2"/>
      <c r="C18625" s="15"/>
      <c r="D18625" s="2"/>
    </row>
    <row r="18626" spans="1:4" ht="12.75" customHeight="1" x14ac:dyDescent="0.2">
      <c r="B18626" s="2"/>
      <c r="C18626" s="15"/>
      <c r="D18626" s="2"/>
    </row>
    <row r="18627" spans="1:4" ht="12.75" customHeight="1" x14ac:dyDescent="0.2">
      <c r="A18627" s="13" t="s">
        <v>5545</v>
      </c>
      <c r="C18627" s="12"/>
      <c r="D18627" s="2"/>
    </row>
    <row r="18628" spans="1:4" ht="12.75" customHeight="1" x14ac:dyDescent="0.2">
      <c r="A18628" s="11"/>
      <c r="B18628" s="2"/>
      <c r="C18628" s="15"/>
      <c r="D18628" s="2"/>
    </row>
    <row r="18629" spans="1:4" ht="12.75" customHeight="1" x14ac:dyDescent="0.2">
      <c r="B18629" s="11" t="s">
        <v>0</v>
      </c>
      <c r="C18629" s="17" t="s">
        <v>1060</v>
      </c>
      <c r="D18629" s="2"/>
    </row>
    <row r="18630" spans="1:4" ht="12.75" customHeight="1" x14ac:dyDescent="0.2">
      <c r="B18630" s="11" t="s">
        <v>2599</v>
      </c>
      <c r="C18630" s="17" t="s">
        <v>5106</v>
      </c>
      <c r="D18630" s="2"/>
    </row>
    <row r="18631" spans="1:4" ht="25.5" customHeight="1" x14ac:dyDescent="0.2">
      <c r="B18631" s="11" t="s">
        <v>2600</v>
      </c>
      <c r="C18631" s="17" t="s">
        <v>5603</v>
      </c>
      <c r="D18631" s="2"/>
    </row>
    <row r="18632" spans="1:4" ht="25.5" customHeight="1" x14ac:dyDescent="0.2">
      <c r="B18632" s="11" t="s">
        <v>2601</v>
      </c>
      <c r="C18632" s="17"/>
      <c r="D18632" s="2"/>
    </row>
    <row r="18633" spans="1:4" ht="12.75" customHeight="1" x14ac:dyDescent="0.2">
      <c r="B18633" s="11" t="s">
        <v>16</v>
      </c>
      <c r="C18633" s="17"/>
      <c r="D18633" s="2"/>
    </row>
    <row r="18634" spans="1:4" ht="12.75" customHeight="1" x14ac:dyDescent="0.2">
      <c r="B18634" s="11" t="s">
        <v>13</v>
      </c>
      <c r="C18634" s="17" t="s">
        <v>2602</v>
      </c>
      <c r="D18634" s="2"/>
    </row>
    <row r="18635" spans="1:4" ht="25.5" customHeight="1" x14ac:dyDescent="0.2">
      <c r="B18635" s="11" t="s">
        <v>2603</v>
      </c>
      <c r="C18635" s="17" t="s">
        <v>2971</v>
      </c>
      <c r="D18635" s="2"/>
    </row>
    <row r="18636" spans="1:4" ht="12.75" customHeight="1" x14ac:dyDescent="0.2">
      <c r="B18636" s="11" t="s">
        <v>2605</v>
      </c>
      <c r="C18636" s="17" t="s">
        <v>14</v>
      </c>
      <c r="D18636" s="2"/>
    </row>
    <row r="18637" spans="1:4" ht="12.75" customHeight="1" x14ac:dyDescent="0.2">
      <c r="B18637" s="11" t="s">
        <v>2606</v>
      </c>
      <c r="C18637" s="16" t="s">
        <v>19</v>
      </c>
      <c r="D18637" s="2"/>
    </row>
    <row r="18638" spans="1:4" ht="12.75" customHeight="1" x14ac:dyDescent="0.2">
      <c r="B18638" s="2"/>
      <c r="C18638" s="15"/>
      <c r="D18638" s="2"/>
    </row>
    <row r="18639" spans="1:4" ht="12.75" customHeight="1" x14ac:dyDescent="0.2">
      <c r="B18639" s="2"/>
      <c r="C18639" s="15"/>
      <c r="D18639" s="2"/>
    </row>
    <row r="18640" spans="1:4" ht="12.75" customHeight="1" x14ac:dyDescent="0.2">
      <c r="A18640" s="13" t="s">
        <v>5547</v>
      </c>
      <c r="C18640" s="12"/>
      <c r="D18640" s="2"/>
    </row>
    <row r="18641" spans="1:4" ht="12.75" customHeight="1" x14ac:dyDescent="0.2">
      <c r="A18641" s="11"/>
      <c r="B18641" s="2"/>
      <c r="C18641" s="15"/>
      <c r="D18641" s="2"/>
    </row>
    <row r="18642" spans="1:4" ht="12.75" customHeight="1" x14ac:dyDescent="0.2">
      <c r="B18642" s="11" t="s">
        <v>0</v>
      </c>
      <c r="C18642" s="17" t="s">
        <v>1060</v>
      </c>
      <c r="D18642" s="2"/>
    </row>
    <row r="18643" spans="1:4" ht="12.75" customHeight="1" x14ac:dyDescent="0.2">
      <c r="B18643" s="11" t="s">
        <v>2599</v>
      </c>
      <c r="C18643" s="17" t="s">
        <v>5109</v>
      </c>
      <c r="D18643" s="2"/>
    </row>
    <row r="18644" spans="1:4" ht="25.5" customHeight="1" x14ac:dyDescent="0.2">
      <c r="B18644" s="11" t="s">
        <v>2600</v>
      </c>
      <c r="C18644" s="17" t="s">
        <v>5604</v>
      </c>
      <c r="D18644" s="2"/>
    </row>
    <row r="18645" spans="1:4" ht="25.5" customHeight="1" x14ac:dyDescent="0.2">
      <c r="B18645" s="11" t="s">
        <v>2601</v>
      </c>
      <c r="C18645" s="17"/>
      <c r="D18645" s="2"/>
    </row>
    <row r="18646" spans="1:4" ht="12.75" customHeight="1" x14ac:dyDescent="0.2">
      <c r="B18646" s="11" t="s">
        <v>16</v>
      </c>
      <c r="C18646" s="17"/>
      <c r="D18646" s="2"/>
    </row>
    <row r="18647" spans="1:4" ht="12.75" customHeight="1" x14ac:dyDescent="0.2">
      <c r="B18647" s="11" t="s">
        <v>13</v>
      </c>
      <c r="C18647" s="17" t="s">
        <v>2644</v>
      </c>
      <c r="D18647" s="2"/>
    </row>
    <row r="18648" spans="1:4" ht="25.5" customHeight="1" x14ac:dyDescent="0.2">
      <c r="B18648" s="11" t="s">
        <v>2603</v>
      </c>
      <c r="C18648" s="17" t="s">
        <v>2971</v>
      </c>
      <c r="D18648" s="2"/>
    </row>
    <row r="18649" spans="1:4" ht="12.75" customHeight="1" x14ac:dyDescent="0.2">
      <c r="B18649" s="11" t="s">
        <v>2605</v>
      </c>
      <c r="C18649" s="17" t="s">
        <v>14</v>
      </c>
      <c r="D18649" s="2"/>
    </row>
    <row r="18650" spans="1:4" ht="12.75" customHeight="1" x14ac:dyDescent="0.2">
      <c r="B18650" s="11" t="s">
        <v>2606</v>
      </c>
      <c r="C18650" s="16" t="s">
        <v>19</v>
      </c>
      <c r="D18650" s="2"/>
    </row>
    <row r="18651" spans="1:4" ht="12.75" customHeight="1" x14ac:dyDescent="0.2">
      <c r="B18651" s="2"/>
      <c r="C18651" s="15"/>
      <c r="D18651" s="2"/>
    </row>
    <row r="18652" spans="1:4" ht="12.75" customHeight="1" x14ac:dyDescent="0.2">
      <c r="B18652" s="2"/>
      <c r="C18652" s="15"/>
      <c r="D18652" s="2"/>
    </row>
    <row r="18653" spans="1:4" ht="12.75" customHeight="1" x14ac:dyDescent="0.2">
      <c r="A18653" s="13" t="s">
        <v>5516</v>
      </c>
      <c r="C18653" s="12"/>
      <c r="D18653" s="2"/>
    </row>
    <row r="18654" spans="1:4" ht="12.75" customHeight="1" x14ac:dyDescent="0.2">
      <c r="A18654" s="11"/>
      <c r="B18654" s="2"/>
      <c r="C18654" s="15"/>
      <c r="D18654" s="2"/>
    </row>
    <row r="18655" spans="1:4" ht="12.75" customHeight="1" x14ac:dyDescent="0.2">
      <c r="B18655" s="11" t="s">
        <v>0</v>
      </c>
      <c r="C18655" s="17" t="s">
        <v>95</v>
      </c>
      <c r="D18655" s="2"/>
    </row>
    <row r="18656" spans="1:4" ht="12.75" customHeight="1" x14ac:dyDescent="0.2">
      <c r="B18656" s="11" t="s">
        <v>2599</v>
      </c>
      <c r="C18656" s="17" t="s">
        <v>5135</v>
      </c>
      <c r="D18656" s="2"/>
    </row>
    <row r="18657" spans="1:4" ht="25.5" customHeight="1" x14ac:dyDescent="0.2">
      <c r="B18657" s="11" t="s">
        <v>2600</v>
      </c>
      <c r="C18657" s="17" t="s">
        <v>5605</v>
      </c>
      <c r="D18657" s="2"/>
    </row>
    <row r="18658" spans="1:4" ht="25.5" customHeight="1" x14ac:dyDescent="0.2">
      <c r="B18658" s="11" t="s">
        <v>2601</v>
      </c>
      <c r="C18658" s="17"/>
      <c r="D18658" s="2"/>
    </row>
    <row r="18659" spans="1:4" ht="12.75" customHeight="1" x14ac:dyDescent="0.2">
      <c r="B18659" s="11" t="s">
        <v>16</v>
      </c>
      <c r="C18659" s="17"/>
      <c r="D18659" s="2"/>
    </row>
    <row r="18660" spans="1:4" ht="12.75" customHeight="1" x14ac:dyDescent="0.2">
      <c r="B18660" s="11" t="s">
        <v>13</v>
      </c>
      <c r="C18660" s="17" t="s">
        <v>2602</v>
      </c>
      <c r="D18660" s="2"/>
    </row>
    <row r="18661" spans="1:4" ht="25.5" customHeight="1" x14ac:dyDescent="0.2">
      <c r="B18661" s="11" t="s">
        <v>2603</v>
      </c>
      <c r="C18661" s="17" t="s">
        <v>2971</v>
      </c>
      <c r="D18661" s="2"/>
    </row>
    <row r="18662" spans="1:4" ht="12.75" customHeight="1" x14ac:dyDescent="0.2">
      <c r="B18662" s="11" t="s">
        <v>2605</v>
      </c>
      <c r="C18662" s="17" t="s">
        <v>14</v>
      </c>
      <c r="D18662" s="2"/>
    </row>
    <row r="18663" spans="1:4" ht="12.75" customHeight="1" x14ac:dyDescent="0.2">
      <c r="B18663" s="11" t="s">
        <v>2606</v>
      </c>
      <c r="C18663" s="16" t="s">
        <v>19</v>
      </c>
      <c r="D18663" s="2"/>
    </row>
    <row r="18664" spans="1:4" ht="12.75" customHeight="1" x14ac:dyDescent="0.2">
      <c r="B18664" s="2"/>
      <c r="C18664" s="15"/>
      <c r="D18664" s="2"/>
    </row>
    <row r="18665" spans="1:4" ht="12.75" customHeight="1" x14ac:dyDescent="0.2">
      <c r="B18665" s="2"/>
      <c r="C18665" s="15"/>
      <c r="D18665" s="2"/>
    </row>
    <row r="18666" spans="1:4" ht="12.75" customHeight="1" x14ac:dyDescent="0.2">
      <c r="A18666" s="13" t="s">
        <v>5606</v>
      </c>
      <c r="C18666" s="12"/>
    </row>
    <row r="18667" spans="1:4" ht="12.75" customHeight="1" x14ac:dyDescent="0.2">
      <c r="A18667" s="11"/>
      <c r="B18667" s="2"/>
      <c r="C18667" s="15"/>
      <c r="D18667" s="2"/>
    </row>
    <row r="18668" spans="1:4" ht="12.75" customHeight="1" x14ac:dyDescent="0.2">
      <c r="B18668" s="11" t="s">
        <v>0</v>
      </c>
      <c r="C18668" s="11" t="s">
        <v>95</v>
      </c>
    </row>
    <row r="18669" spans="1:4" ht="12.75" customHeight="1" x14ac:dyDescent="0.2">
      <c r="B18669" s="11" t="s">
        <v>2599</v>
      </c>
      <c r="C18669" s="11" t="s">
        <v>5607</v>
      </c>
    </row>
    <row r="18670" spans="1:4" ht="25.5" customHeight="1" x14ac:dyDescent="0.2">
      <c r="B18670" s="11" t="s">
        <v>2600</v>
      </c>
      <c r="C18670" s="11" t="s">
        <v>5608</v>
      </c>
    </row>
    <row r="18671" spans="1:4" ht="25.5" customHeight="1" x14ac:dyDescent="0.2">
      <c r="B18671" s="11" t="s">
        <v>2601</v>
      </c>
      <c r="C18671" s="11"/>
    </row>
    <row r="18672" spans="1:4" ht="12.75" customHeight="1" x14ac:dyDescent="0.2">
      <c r="B18672" s="11" t="s">
        <v>16</v>
      </c>
      <c r="C18672" s="11"/>
    </row>
    <row r="18673" spans="1:4" ht="12.75" customHeight="1" x14ac:dyDescent="0.2">
      <c r="B18673" s="11" t="s">
        <v>13</v>
      </c>
      <c r="C18673" s="11" t="s">
        <v>2644</v>
      </c>
    </row>
    <row r="18674" spans="1:4" ht="12.75" customHeight="1" x14ac:dyDescent="0.2">
      <c r="B18674" s="11" t="s">
        <v>2603</v>
      </c>
      <c r="C18674" s="11" t="s">
        <v>2604</v>
      </c>
    </row>
    <row r="18675" spans="1:4" ht="12.75" customHeight="1" x14ac:dyDescent="0.2">
      <c r="B18675" s="11" t="s">
        <v>2605</v>
      </c>
      <c r="C18675" s="11" t="s">
        <v>24</v>
      </c>
    </row>
    <row r="18676" spans="1:4" ht="25.5" customHeight="1" x14ac:dyDescent="0.2">
      <c r="B18676" s="11" t="s">
        <v>2606</v>
      </c>
      <c r="C18676" s="16" t="s">
        <v>44</v>
      </c>
      <c r="D18676" s="6" t="str">
        <f>HYPERLINK("javascript:void(0)","gyíkacél lándzsa")</f>
        <v>gyíkacél lándzsa</v>
      </c>
    </row>
    <row r="18677" spans="1:4" ht="12.75" customHeight="1" x14ac:dyDescent="0.2">
      <c r="C18677" s="16" t="s">
        <v>67</v>
      </c>
      <c r="D18677" s="6" t="str">
        <f>HYPERLINK("javascript:void(0)","kincs")</f>
        <v>kincs</v>
      </c>
    </row>
    <row r="18678" spans="1:4" ht="12.75" customHeight="1" x14ac:dyDescent="0.2">
      <c r="B18678" s="2"/>
      <c r="C18678" s="15"/>
      <c r="D18678" s="2"/>
    </row>
    <row r="18679" spans="1:4" ht="12.75" customHeight="1" x14ac:dyDescent="0.2">
      <c r="B18679" s="2"/>
      <c r="C18679" s="15"/>
      <c r="D18679" s="2"/>
    </row>
    <row r="18680" spans="1:4" ht="12.75" customHeight="1" x14ac:dyDescent="0.2">
      <c r="A18680" s="13" t="s">
        <v>5609</v>
      </c>
      <c r="C18680" s="12"/>
    </row>
    <row r="18681" spans="1:4" ht="12.75" customHeight="1" x14ac:dyDescent="0.2">
      <c r="A18681" s="11"/>
      <c r="B18681" s="2"/>
      <c r="C18681" s="15"/>
      <c r="D18681" s="2"/>
    </row>
    <row r="18682" spans="1:4" ht="12.75" customHeight="1" x14ac:dyDescent="0.2">
      <c r="B18682" s="11" t="s">
        <v>0</v>
      </c>
      <c r="C18682" s="11" t="s">
        <v>95</v>
      </c>
    </row>
    <row r="18683" spans="1:4" ht="12.75" customHeight="1" x14ac:dyDescent="0.2">
      <c r="B18683" s="11" t="s">
        <v>2599</v>
      </c>
      <c r="C18683" s="11" t="s">
        <v>5610</v>
      </c>
    </row>
    <row r="18684" spans="1:4" ht="25.5" customHeight="1" x14ac:dyDescent="0.2">
      <c r="B18684" s="11" t="s">
        <v>2600</v>
      </c>
      <c r="C18684" s="11" t="s">
        <v>5611</v>
      </c>
    </row>
    <row r="18685" spans="1:4" ht="25.5" customHeight="1" x14ac:dyDescent="0.2">
      <c r="B18685" s="11" t="s">
        <v>2601</v>
      </c>
      <c r="C18685" s="11"/>
    </row>
    <row r="18686" spans="1:4" ht="12.75" customHeight="1" x14ac:dyDescent="0.2">
      <c r="B18686" s="11" t="s">
        <v>16</v>
      </c>
      <c r="C18686" s="11"/>
    </row>
    <row r="18687" spans="1:4" ht="12.75" customHeight="1" x14ac:dyDescent="0.2">
      <c r="B18687" s="11" t="s">
        <v>13</v>
      </c>
      <c r="C18687" s="11" t="s">
        <v>2644</v>
      </c>
    </row>
    <row r="18688" spans="1:4" ht="12.75" customHeight="1" x14ac:dyDescent="0.2">
      <c r="B18688" s="11" t="s">
        <v>2603</v>
      </c>
      <c r="C18688" s="11" t="s">
        <v>2604</v>
      </c>
    </row>
    <row r="18689" spans="1:4" ht="12.75" customHeight="1" x14ac:dyDescent="0.2">
      <c r="B18689" s="11" t="s">
        <v>2605</v>
      </c>
      <c r="C18689" s="11" t="s">
        <v>14</v>
      </c>
    </row>
    <row r="18690" spans="1:4" ht="12.75" customHeight="1" x14ac:dyDescent="0.2">
      <c r="B18690" s="11" t="s">
        <v>2606</v>
      </c>
      <c r="C18690" s="16" t="s">
        <v>98</v>
      </c>
      <c r="D18690" s="6" t="str">
        <f>HYPERLINK("javascript:void(0)","kincs")</f>
        <v>kincs</v>
      </c>
    </row>
    <row r="18691" spans="1:4" ht="12.75" customHeight="1" x14ac:dyDescent="0.2">
      <c r="B18691" s="2"/>
      <c r="C18691" s="15"/>
      <c r="D18691" s="2"/>
    </row>
    <row r="18692" spans="1:4" ht="12.75" customHeight="1" x14ac:dyDescent="0.2">
      <c r="B18692" s="2"/>
      <c r="C18692" s="15"/>
      <c r="D18692" s="2"/>
    </row>
    <row r="18693" spans="1:4" ht="12.75" customHeight="1" x14ac:dyDescent="0.2">
      <c r="A18693" s="13" t="s">
        <v>5612</v>
      </c>
      <c r="C18693" s="12"/>
    </row>
    <row r="18694" spans="1:4" ht="12.75" customHeight="1" x14ac:dyDescent="0.2">
      <c r="A18694" s="11"/>
      <c r="B18694" s="2"/>
      <c r="C18694" s="15"/>
      <c r="D18694" s="2"/>
    </row>
    <row r="18695" spans="1:4" ht="12.75" customHeight="1" x14ac:dyDescent="0.2">
      <c r="B18695" s="11" t="s">
        <v>0</v>
      </c>
      <c r="C18695" s="11" t="s">
        <v>95</v>
      </c>
    </row>
    <row r="18696" spans="1:4" ht="12.75" customHeight="1" x14ac:dyDescent="0.2">
      <c r="B18696" s="11" t="s">
        <v>2599</v>
      </c>
      <c r="C18696" s="11" t="s">
        <v>5613</v>
      </c>
    </row>
    <row r="18697" spans="1:4" ht="25.5" customHeight="1" x14ac:dyDescent="0.2">
      <c r="B18697" s="11" t="s">
        <v>2600</v>
      </c>
      <c r="C18697" s="11" t="s">
        <v>5614</v>
      </c>
    </row>
    <row r="18698" spans="1:4" ht="25.5" customHeight="1" x14ac:dyDescent="0.2">
      <c r="B18698" s="11" t="s">
        <v>2601</v>
      </c>
      <c r="C18698" s="11"/>
    </row>
    <row r="18699" spans="1:4" ht="12.75" customHeight="1" x14ac:dyDescent="0.2">
      <c r="B18699" s="11" t="s">
        <v>16</v>
      </c>
      <c r="C18699" s="11"/>
    </row>
    <row r="18700" spans="1:4" ht="12.75" customHeight="1" x14ac:dyDescent="0.2">
      <c r="B18700" s="11" t="s">
        <v>13</v>
      </c>
      <c r="C18700" s="11" t="s">
        <v>2644</v>
      </c>
    </row>
    <row r="18701" spans="1:4" ht="12.75" customHeight="1" x14ac:dyDescent="0.2">
      <c r="B18701" s="11" t="s">
        <v>2603</v>
      </c>
      <c r="C18701" s="11" t="s">
        <v>2604</v>
      </c>
    </row>
    <row r="18702" spans="1:4" ht="12.75" customHeight="1" x14ac:dyDescent="0.2">
      <c r="B18702" s="11" t="s">
        <v>2605</v>
      </c>
      <c r="C18702" s="11" t="s">
        <v>24</v>
      </c>
    </row>
    <row r="18703" spans="1:4" ht="12.75" customHeight="1" x14ac:dyDescent="0.2">
      <c r="B18703" s="11" t="s">
        <v>2606</v>
      </c>
      <c r="C18703" s="16" t="s">
        <v>44</v>
      </c>
      <c r="D18703" s="6" t="str">
        <f>HYPERLINK("javascript:void(0)","röpkavics")</f>
        <v>röpkavics</v>
      </c>
    </row>
    <row r="18704" spans="1:4" ht="12.75" customHeight="1" x14ac:dyDescent="0.2">
      <c r="B18704" s="2"/>
      <c r="C18704" s="15"/>
      <c r="D18704" s="2"/>
    </row>
    <row r="18705" spans="1:4" ht="12.75" customHeight="1" x14ac:dyDescent="0.2">
      <c r="B18705" s="2"/>
      <c r="C18705" s="15"/>
      <c r="D18705" s="2"/>
    </row>
    <row r="18706" spans="1:4" ht="12.75" customHeight="1" x14ac:dyDescent="0.2">
      <c r="A18706" s="13" t="s">
        <v>5615</v>
      </c>
      <c r="C18706" s="12"/>
    </row>
    <row r="18707" spans="1:4" ht="12.75" customHeight="1" x14ac:dyDescent="0.2">
      <c r="A18707" s="11"/>
      <c r="B18707" s="2"/>
      <c r="C18707" s="15"/>
      <c r="D18707" s="2"/>
    </row>
    <row r="18708" spans="1:4" ht="12.75" customHeight="1" x14ac:dyDescent="0.2">
      <c r="B18708" s="11" t="s">
        <v>0</v>
      </c>
      <c r="C18708" s="11" t="s">
        <v>95</v>
      </c>
    </row>
    <row r="18709" spans="1:4" ht="12.75" customHeight="1" x14ac:dyDescent="0.2">
      <c r="B18709" s="11" t="s">
        <v>2599</v>
      </c>
      <c r="C18709" s="11" t="s">
        <v>5616</v>
      </c>
    </row>
    <row r="18710" spans="1:4" ht="25.5" customHeight="1" x14ac:dyDescent="0.2">
      <c r="B18710" s="11" t="s">
        <v>2600</v>
      </c>
      <c r="C18710" s="11" t="s">
        <v>5617</v>
      </c>
    </row>
    <row r="18711" spans="1:4" ht="25.5" customHeight="1" x14ac:dyDescent="0.2">
      <c r="B18711" s="11" t="s">
        <v>2601</v>
      </c>
      <c r="C18711" s="11"/>
    </row>
    <row r="18712" spans="1:4" ht="12.75" customHeight="1" x14ac:dyDescent="0.2">
      <c r="B18712" s="11" t="s">
        <v>16</v>
      </c>
      <c r="C18712" s="11"/>
    </row>
    <row r="18713" spans="1:4" ht="12.75" customHeight="1" x14ac:dyDescent="0.2">
      <c r="B18713" s="11" t="s">
        <v>13</v>
      </c>
      <c r="C18713" s="11" t="s">
        <v>2644</v>
      </c>
    </row>
    <row r="18714" spans="1:4" ht="12.75" customHeight="1" x14ac:dyDescent="0.2">
      <c r="B18714" s="11" t="s">
        <v>2603</v>
      </c>
      <c r="C18714" s="11" t="s">
        <v>2604</v>
      </c>
    </row>
    <row r="18715" spans="1:4" ht="12.75" customHeight="1" x14ac:dyDescent="0.2">
      <c r="B18715" s="11" t="s">
        <v>2605</v>
      </c>
      <c r="C18715" s="11" t="s">
        <v>14</v>
      </c>
    </row>
    <row r="18716" spans="1:4" ht="12.75" customHeight="1" x14ac:dyDescent="0.2">
      <c r="B18716" s="11" t="s">
        <v>2606</v>
      </c>
      <c r="C18716" s="16" t="s">
        <v>98</v>
      </c>
      <c r="D18716" s="6" t="str">
        <f>HYPERLINK("javascript:void(0)","kincs")</f>
        <v>kincs</v>
      </c>
    </row>
    <row r="18717" spans="1:4" ht="12.75" customHeight="1" x14ac:dyDescent="0.2">
      <c r="B18717" s="2"/>
      <c r="C18717" s="15"/>
      <c r="D18717" s="2"/>
    </row>
    <row r="18718" spans="1:4" ht="12.75" customHeight="1" x14ac:dyDescent="0.2">
      <c r="B18718" s="2"/>
      <c r="C18718" s="15"/>
      <c r="D18718" s="2"/>
    </row>
    <row r="18719" spans="1:4" ht="12.75" customHeight="1" x14ac:dyDescent="0.2">
      <c r="A18719" s="13" t="s">
        <v>5618</v>
      </c>
      <c r="C18719" s="12"/>
    </row>
    <row r="18720" spans="1:4" ht="12.75" customHeight="1" x14ac:dyDescent="0.2">
      <c r="A18720" s="11"/>
      <c r="B18720" s="2"/>
      <c r="C18720" s="15"/>
      <c r="D18720" s="2"/>
    </row>
    <row r="18721" spans="1:4" ht="12.75" customHeight="1" x14ac:dyDescent="0.2">
      <c r="B18721" s="11" t="s">
        <v>0</v>
      </c>
      <c r="C18721" s="11" t="s">
        <v>95</v>
      </c>
    </row>
    <row r="18722" spans="1:4" ht="12.75" customHeight="1" x14ac:dyDescent="0.2">
      <c r="B18722" s="11" t="s">
        <v>2599</v>
      </c>
      <c r="C18722" s="11" t="s">
        <v>5619</v>
      </c>
    </row>
    <row r="18723" spans="1:4" ht="25.5" customHeight="1" x14ac:dyDescent="0.2">
      <c r="B18723" s="11" t="s">
        <v>2600</v>
      </c>
      <c r="C18723" s="11" t="s">
        <v>5620</v>
      </c>
    </row>
    <row r="18724" spans="1:4" ht="25.5" customHeight="1" x14ac:dyDescent="0.2">
      <c r="B18724" s="11" t="s">
        <v>2601</v>
      </c>
      <c r="C18724" s="11"/>
    </row>
    <row r="18725" spans="1:4" ht="12.75" customHeight="1" x14ac:dyDescent="0.2">
      <c r="B18725" s="11" t="s">
        <v>16</v>
      </c>
      <c r="C18725" s="11"/>
    </row>
    <row r="18726" spans="1:4" ht="12.75" customHeight="1" x14ac:dyDescent="0.2">
      <c r="B18726" s="11" t="s">
        <v>13</v>
      </c>
      <c r="C18726" s="11" t="s">
        <v>2602</v>
      </c>
    </row>
    <row r="18727" spans="1:4" ht="12.75" customHeight="1" x14ac:dyDescent="0.2">
      <c r="B18727" s="11" t="s">
        <v>2603</v>
      </c>
      <c r="C18727" s="11" t="s">
        <v>2604</v>
      </c>
    </row>
    <row r="18728" spans="1:4" ht="12.75" customHeight="1" x14ac:dyDescent="0.2">
      <c r="B18728" s="11" t="s">
        <v>2605</v>
      </c>
      <c r="C18728" s="11" t="s">
        <v>14</v>
      </c>
    </row>
    <row r="18729" spans="1:4" ht="12.75" customHeight="1" x14ac:dyDescent="0.2">
      <c r="B18729" s="11" t="s">
        <v>2606</v>
      </c>
      <c r="C18729" s="16" t="s">
        <v>98</v>
      </c>
      <c r="D18729" s="6" t="str">
        <f>HYPERLINK("javascript:void(0)","kincs")</f>
        <v>kincs</v>
      </c>
    </row>
    <row r="18730" spans="1:4" ht="12.75" customHeight="1" x14ac:dyDescent="0.2">
      <c r="B18730" s="2"/>
      <c r="C18730" s="15"/>
      <c r="D18730" s="2"/>
    </row>
    <row r="18731" spans="1:4" ht="12.75" customHeight="1" x14ac:dyDescent="0.2">
      <c r="B18731" s="2"/>
      <c r="C18731" s="15"/>
      <c r="D18731" s="2"/>
    </row>
    <row r="18732" spans="1:4" ht="12.75" customHeight="1" x14ac:dyDescent="0.2">
      <c r="A18732" s="13" t="s">
        <v>5621</v>
      </c>
      <c r="C18732" s="12"/>
    </row>
    <row r="18733" spans="1:4" ht="12.75" customHeight="1" x14ac:dyDescent="0.2">
      <c r="A18733" s="11"/>
      <c r="B18733" s="2"/>
      <c r="C18733" s="15"/>
      <c r="D18733" s="2"/>
    </row>
    <row r="18734" spans="1:4" ht="12.75" customHeight="1" x14ac:dyDescent="0.2">
      <c r="B18734" s="11" t="s">
        <v>0</v>
      </c>
      <c r="C18734" s="11" t="s">
        <v>95</v>
      </c>
    </row>
    <row r="18735" spans="1:4" ht="12.75" customHeight="1" x14ac:dyDescent="0.2">
      <c r="B18735" s="11" t="s">
        <v>2599</v>
      </c>
      <c r="C18735" s="11" t="s">
        <v>4070</v>
      </c>
    </row>
    <row r="18736" spans="1:4" ht="25.5" customHeight="1" x14ac:dyDescent="0.2">
      <c r="B18736" s="11" t="s">
        <v>2600</v>
      </c>
      <c r="C18736" s="11" t="s">
        <v>5622</v>
      </c>
    </row>
    <row r="18737" spans="1:4" ht="25.5" customHeight="1" x14ac:dyDescent="0.2">
      <c r="B18737" s="11" t="s">
        <v>2601</v>
      </c>
      <c r="C18737" s="11"/>
    </row>
    <row r="18738" spans="1:4" ht="12.75" customHeight="1" x14ac:dyDescent="0.2">
      <c r="B18738" s="11" t="s">
        <v>16</v>
      </c>
      <c r="C18738" s="11"/>
    </row>
    <row r="18739" spans="1:4" ht="12.75" customHeight="1" x14ac:dyDescent="0.2">
      <c r="B18739" s="11" t="s">
        <v>13</v>
      </c>
      <c r="C18739" s="11" t="s">
        <v>2602</v>
      </c>
    </row>
    <row r="18740" spans="1:4" ht="12.75" customHeight="1" x14ac:dyDescent="0.2">
      <c r="B18740" s="11" t="s">
        <v>2603</v>
      </c>
      <c r="C18740" s="11" t="s">
        <v>2604</v>
      </c>
    </row>
    <row r="18741" spans="1:4" ht="12.75" customHeight="1" x14ac:dyDescent="0.2">
      <c r="B18741" s="11" t="s">
        <v>2605</v>
      </c>
      <c r="C18741" s="11" t="s">
        <v>14</v>
      </c>
    </row>
    <row r="18742" spans="1:4" ht="12.75" customHeight="1" x14ac:dyDescent="0.2">
      <c r="B18742" s="11" t="s">
        <v>2606</v>
      </c>
      <c r="C18742" s="16" t="s">
        <v>98</v>
      </c>
      <c r="D18742" s="6" t="str">
        <f>HYPERLINK("javascript:void(0)","kincs")</f>
        <v>kincs</v>
      </c>
    </row>
    <row r="18743" spans="1:4" ht="12.75" customHeight="1" x14ac:dyDescent="0.2">
      <c r="B18743" s="2"/>
      <c r="C18743" s="15"/>
      <c r="D18743" s="2"/>
    </row>
    <row r="18744" spans="1:4" ht="12.75" customHeight="1" x14ac:dyDescent="0.2">
      <c r="B18744" s="2"/>
      <c r="C18744" s="15"/>
      <c r="D18744" s="2"/>
    </row>
    <row r="18745" spans="1:4" ht="12.75" customHeight="1" x14ac:dyDescent="0.2">
      <c r="A18745" s="13" t="s">
        <v>5623</v>
      </c>
      <c r="C18745" s="12"/>
    </row>
    <row r="18746" spans="1:4" ht="12.75" customHeight="1" x14ac:dyDescent="0.2">
      <c r="A18746" s="11"/>
      <c r="B18746" s="2"/>
      <c r="C18746" s="15"/>
      <c r="D18746" s="2"/>
    </row>
    <row r="18747" spans="1:4" ht="12.75" customHeight="1" x14ac:dyDescent="0.2">
      <c r="B18747" s="11" t="s">
        <v>0</v>
      </c>
      <c r="C18747" s="11" t="s">
        <v>95</v>
      </c>
    </row>
    <row r="18748" spans="1:4" ht="12.75" customHeight="1" x14ac:dyDescent="0.2">
      <c r="B18748" s="11" t="s">
        <v>2599</v>
      </c>
      <c r="C18748" s="11" t="s">
        <v>794</v>
      </c>
    </row>
    <row r="18749" spans="1:4" ht="25.5" customHeight="1" x14ac:dyDescent="0.2">
      <c r="B18749" s="11" t="s">
        <v>2600</v>
      </c>
      <c r="C18749" s="11" t="s">
        <v>5624</v>
      </c>
    </row>
    <row r="18750" spans="1:4" ht="25.5" customHeight="1" x14ac:dyDescent="0.2">
      <c r="B18750" s="11" t="s">
        <v>2601</v>
      </c>
      <c r="C18750" s="11"/>
    </row>
    <row r="18751" spans="1:4" ht="12.75" customHeight="1" x14ac:dyDescent="0.2">
      <c r="B18751" s="11" t="s">
        <v>16</v>
      </c>
      <c r="C18751" s="11"/>
    </row>
    <row r="18752" spans="1:4" ht="12.75" customHeight="1" x14ac:dyDescent="0.2">
      <c r="B18752" s="11" t="s">
        <v>13</v>
      </c>
      <c r="C18752" s="11" t="s">
        <v>2602</v>
      </c>
    </row>
    <row r="18753" spans="1:4" ht="12.75" customHeight="1" x14ac:dyDescent="0.2">
      <c r="B18753" s="11" t="s">
        <v>2603</v>
      </c>
      <c r="C18753" s="11" t="s">
        <v>2604</v>
      </c>
    </row>
    <row r="18754" spans="1:4" ht="12.75" customHeight="1" x14ac:dyDescent="0.2">
      <c r="B18754" s="11" t="s">
        <v>2605</v>
      </c>
      <c r="C18754" s="11" t="s">
        <v>24</v>
      </c>
    </row>
    <row r="18755" spans="1:4" ht="12.75" customHeight="1" x14ac:dyDescent="0.2">
      <c r="B18755" s="11" t="s">
        <v>2606</v>
      </c>
      <c r="C18755" s="16" t="s">
        <v>56</v>
      </c>
      <c r="D18755" s="6" t="str">
        <f>HYPERLINK("javascript:void(0)","dobverő")</f>
        <v>dobverő</v>
      </c>
    </row>
    <row r="18756" spans="1:4" ht="12.75" customHeight="1" x14ac:dyDescent="0.2">
      <c r="B18756" s="2"/>
      <c r="C18756" s="15"/>
      <c r="D18756" s="2"/>
    </row>
    <row r="18757" spans="1:4" ht="12.75" customHeight="1" x14ac:dyDescent="0.2">
      <c r="B18757" s="2"/>
      <c r="C18757" s="15"/>
      <c r="D18757" s="2"/>
    </row>
    <row r="18758" spans="1:4" ht="12.75" customHeight="1" x14ac:dyDescent="0.2">
      <c r="A18758" s="13" t="s">
        <v>5625</v>
      </c>
      <c r="C18758" s="12"/>
    </row>
    <row r="18759" spans="1:4" ht="12.75" customHeight="1" x14ac:dyDescent="0.2">
      <c r="A18759" s="11"/>
      <c r="B18759" s="2"/>
      <c r="C18759" s="15"/>
      <c r="D18759" s="2"/>
    </row>
    <row r="18760" spans="1:4" ht="12.75" customHeight="1" x14ac:dyDescent="0.2">
      <c r="B18760" s="11" t="s">
        <v>0</v>
      </c>
      <c r="C18760" s="11" t="s">
        <v>95</v>
      </c>
    </row>
    <row r="18761" spans="1:4" ht="12.75" customHeight="1" x14ac:dyDescent="0.2">
      <c r="B18761" s="11" t="s">
        <v>2599</v>
      </c>
      <c r="C18761" s="11" t="s">
        <v>2552</v>
      </c>
    </row>
    <row r="18762" spans="1:4" ht="25.5" customHeight="1" x14ac:dyDescent="0.2">
      <c r="B18762" s="11" t="s">
        <v>2600</v>
      </c>
      <c r="C18762" s="11" t="s">
        <v>5626</v>
      </c>
    </row>
    <row r="18763" spans="1:4" ht="25.5" customHeight="1" x14ac:dyDescent="0.2">
      <c r="B18763" s="11" t="s">
        <v>2601</v>
      </c>
      <c r="C18763" s="11"/>
    </row>
    <row r="18764" spans="1:4" ht="12.75" customHeight="1" x14ac:dyDescent="0.2">
      <c r="B18764" s="11" t="s">
        <v>16</v>
      </c>
      <c r="C18764" s="11"/>
    </row>
    <row r="18765" spans="1:4" ht="12.75" customHeight="1" x14ac:dyDescent="0.2">
      <c r="B18765" s="11" t="s">
        <v>13</v>
      </c>
      <c r="C18765" s="11" t="s">
        <v>2602</v>
      </c>
    </row>
    <row r="18766" spans="1:4" ht="12.75" customHeight="1" x14ac:dyDescent="0.2">
      <c r="B18766" s="11" t="s">
        <v>2603</v>
      </c>
      <c r="C18766" s="11" t="s">
        <v>2604</v>
      </c>
    </row>
    <row r="18767" spans="1:4" ht="12.75" customHeight="1" x14ac:dyDescent="0.2">
      <c r="B18767" s="11" t="s">
        <v>2605</v>
      </c>
      <c r="C18767" s="11" t="s">
        <v>24</v>
      </c>
    </row>
    <row r="18768" spans="1:4" ht="12.75" customHeight="1" x14ac:dyDescent="0.2">
      <c r="B18768" s="11" t="s">
        <v>2606</v>
      </c>
      <c r="C18768" s="16" t="s">
        <v>269</v>
      </c>
      <c r="D18768" s="6" t="str">
        <f>HYPERLINK("javascript:void(0)","rézérc")</f>
        <v>rézérc</v>
      </c>
    </row>
    <row r="18769" spans="1:4" ht="12.75" customHeight="1" x14ac:dyDescent="0.2">
      <c r="C18769" s="16" t="s">
        <v>44</v>
      </c>
      <c r="D18769" s="6" t="str">
        <f>HYPERLINK("javascript:void(0)","rézrög")</f>
        <v>rézrög</v>
      </c>
    </row>
    <row r="18770" spans="1:4" ht="12.75" customHeight="1" x14ac:dyDescent="0.2">
      <c r="B18770" s="2"/>
      <c r="C18770" s="15"/>
      <c r="D18770" s="2"/>
    </row>
    <row r="18771" spans="1:4" ht="12.75" customHeight="1" x14ac:dyDescent="0.2">
      <c r="B18771" s="2"/>
      <c r="C18771" s="15"/>
      <c r="D18771" s="2"/>
    </row>
    <row r="18772" spans="1:4" ht="12.75" customHeight="1" x14ac:dyDescent="0.2">
      <c r="A18772" s="13" t="s">
        <v>5518</v>
      </c>
      <c r="C18772" s="12"/>
      <c r="D18772" s="2"/>
    </row>
    <row r="18773" spans="1:4" ht="12.75" customHeight="1" x14ac:dyDescent="0.2">
      <c r="A18773" s="11"/>
      <c r="B18773" s="2"/>
      <c r="C18773" s="15"/>
      <c r="D18773" s="2"/>
    </row>
    <row r="18774" spans="1:4" ht="12.75" customHeight="1" x14ac:dyDescent="0.2">
      <c r="B18774" s="11" t="s">
        <v>0</v>
      </c>
      <c r="C18774" s="17" t="s">
        <v>95</v>
      </c>
      <c r="D18774" s="2"/>
    </row>
    <row r="18775" spans="1:4" ht="12.75" customHeight="1" x14ac:dyDescent="0.2">
      <c r="B18775" s="11" t="s">
        <v>2599</v>
      </c>
      <c r="C18775" s="17" t="s">
        <v>5103</v>
      </c>
      <c r="D18775" s="2"/>
    </row>
    <row r="18776" spans="1:4" ht="25.5" customHeight="1" x14ac:dyDescent="0.2">
      <c r="B18776" s="11" t="s">
        <v>2600</v>
      </c>
      <c r="C18776" s="17" t="s">
        <v>5627</v>
      </c>
      <c r="D18776" s="2"/>
    </row>
    <row r="18777" spans="1:4" ht="25.5" customHeight="1" x14ac:dyDescent="0.2">
      <c r="B18777" s="11" t="s">
        <v>2601</v>
      </c>
      <c r="C18777" s="17"/>
      <c r="D18777" s="2"/>
    </row>
    <row r="18778" spans="1:4" ht="12.75" customHeight="1" x14ac:dyDescent="0.2">
      <c r="B18778" s="11" t="s">
        <v>16</v>
      </c>
      <c r="C18778" s="17"/>
      <c r="D18778" s="2"/>
    </row>
    <row r="18779" spans="1:4" ht="12.75" customHeight="1" x14ac:dyDescent="0.2">
      <c r="B18779" s="11" t="s">
        <v>13</v>
      </c>
      <c r="C18779" s="17" t="s">
        <v>2644</v>
      </c>
      <c r="D18779" s="2"/>
    </row>
    <row r="18780" spans="1:4" ht="25.5" customHeight="1" x14ac:dyDescent="0.2">
      <c r="B18780" s="11" t="s">
        <v>2603</v>
      </c>
      <c r="C18780" s="17" t="s">
        <v>2971</v>
      </c>
      <c r="D18780" s="2"/>
    </row>
    <row r="18781" spans="1:4" ht="12.75" customHeight="1" x14ac:dyDescent="0.2">
      <c r="B18781" s="11" t="s">
        <v>2605</v>
      </c>
      <c r="C18781" s="17" t="s">
        <v>14</v>
      </c>
      <c r="D18781" s="2"/>
    </row>
    <row r="18782" spans="1:4" ht="12.75" customHeight="1" x14ac:dyDescent="0.2">
      <c r="B18782" s="11" t="s">
        <v>2606</v>
      </c>
      <c r="C18782" s="16" t="s">
        <v>19</v>
      </c>
      <c r="D18782" s="2"/>
    </row>
    <row r="18783" spans="1:4" ht="12.75" customHeight="1" x14ac:dyDescent="0.2">
      <c r="B18783" s="2"/>
      <c r="C18783" s="15"/>
      <c r="D18783" s="2"/>
    </row>
    <row r="18784" spans="1:4" ht="12.75" customHeight="1" x14ac:dyDescent="0.2">
      <c r="B18784" s="2"/>
      <c r="C18784" s="15"/>
      <c r="D18784" s="2"/>
    </row>
    <row r="18785" spans="1:4" ht="12.75" customHeight="1" x14ac:dyDescent="0.2">
      <c r="A18785" s="13" t="s">
        <v>5545</v>
      </c>
      <c r="C18785" s="12"/>
      <c r="D18785" s="2"/>
    </row>
    <row r="18786" spans="1:4" ht="12.75" customHeight="1" x14ac:dyDescent="0.2">
      <c r="A18786" s="11"/>
      <c r="B18786" s="2"/>
      <c r="C18786" s="15"/>
      <c r="D18786" s="2"/>
    </row>
    <row r="18787" spans="1:4" ht="12.75" customHeight="1" x14ac:dyDescent="0.2">
      <c r="B18787" s="11" t="s">
        <v>0</v>
      </c>
      <c r="C18787" s="17" t="s">
        <v>95</v>
      </c>
      <c r="D18787" s="2"/>
    </row>
    <row r="18788" spans="1:4" ht="12.75" customHeight="1" x14ac:dyDescent="0.2">
      <c r="B18788" s="11" t="s">
        <v>2599</v>
      </c>
      <c r="C18788" s="17" t="s">
        <v>5106</v>
      </c>
      <c r="D18788" s="2"/>
    </row>
    <row r="18789" spans="1:4" ht="25.5" customHeight="1" x14ac:dyDescent="0.2">
      <c r="B18789" s="11" t="s">
        <v>2600</v>
      </c>
      <c r="C18789" s="17" t="s">
        <v>5628</v>
      </c>
      <c r="D18789" s="2"/>
    </row>
    <row r="18790" spans="1:4" ht="25.5" customHeight="1" x14ac:dyDescent="0.2">
      <c r="B18790" s="11" t="s">
        <v>2601</v>
      </c>
      <c r="C18790" s="17"/>
      <c r="D18790" s="2"/>
    </row>
    <row r="18791" spans="1:4" ht="12.75" customHeight="1" x14ac:dyDescent="0.2">
      <c r="B18791" s="11" t="s">
        <v>16</v>
      </c>
      <c r="C18791" s="17"/>
      <c r="D18791" s="2"/>
    </row>
    <row r="18792" spans="1:4" ht="12.75" customHeight="1" x14ac:dyDescent="0.2">
      <c r="B18792" s="11" t="s">
        <v>13</v>
      </c>
      <c r="C18792" s="17" t="s">
        <v>2602</v>
      </c>
      <c r="D18792" s="2"/>
    </row>
    <row r="18793" spans="1:4" ht="25.5" customHeight="1" x14ac:dyDescent="0.2">
      <c r="B18793" s="11" t="s">
        <v>2603</v>
      </c>
      <c r="C18793" s="17" t="s">
        <v>2971</v>
      </c>
      <c r="D18793" s="2"/>
    </row>
    <row r="18794" spans="1:4" ht="12.75" customHeight="1" x14ac:dyDescent="0.2">
      <c r="B18794" s="11" t="s">
        <v>2605</v>
      </c>
      <c r="C18794" s="17" t="s">
        <v>14</v>
      </c>
      <c r="D18794" s="2"/>
    </row>
    <row r="18795" spans="1:4" ht="12.75" customHeight="1" x14ac:dyDescent="0.2">
      <c r="B18795" s="11" t="s">
        <v>2606</v>
      </c>
      <c r="C18795" s="16" t="s">
        <v>19</v>
      </c>
      <c r="D18795" s="2"/>
    </row>
    <row r="18796" spans="1:4" ht="12.75" customHeight="1" x14ac:dyDescent="0.2">
      <c r="B18796" s="2"/>
      <c r="C18796" s="15"/>
      <c r="D18796" s="2"/>
    </row>
    <row r="18797" spans="1:4" ht="12.75" customHeight="1" x14ac:dyDescent="0.2">
      <c r="B18797" s="2"/>
      <c r="C18797" s="15"/>
      <c r="D18797" s="2"/>
    </row>
    <row r="18798" spans="1:4" ht="12.75" customHeight="1" x14ac:dyDescent="0.2">
      <c r="A18798" s="13" t="s">
        <v>5547</v>
      </c>
      <c r="C18798" s="12"/>
      <c r="D18798" s="2"/>
    </row>
    <row r="18799" spans="1:4" ht="12.75" customHeight="1" x14ac:dyDescent="0.2">
      <c r="A18799" s="11"/>
      <c r="B18799" s="2"/>
      <c r="C18799" s="15"/>
      <c r="D18799" s="2"/>
    </row>
    <row r="18800" spans="1:4" ht="12.75" customHeight="1" x14ac:dyDescent="0.2">
      <c r="B18800" s="11" t="s">
        <v>0</v>
      </c>
      <c r="C18800" s="17" t="s">
        <v>95</v>
      </c>
      <c r="D18800" s="2"/>
    </row>
    <row r="18801" spans="1:4" ht="12.75" customHeight="1" x14ac:dyDescent="0.2">
      <c r="B18801" s="11" t="s">
        <v>2599</v>
      </c>
      <c r="C18801" s="17" t="s">
        <v>5109</v>
      </c>
      <c r="D18801" s="2"/>
    </row>
    <row r="18802" spans="1:4" ht="25.5" customHeight="1" x14ac:dyDescent="0.2">
      <c r="B18802" s="11" t="s">
        <v>2600</v>
      </c>
      <c r="C18802" s="17" t="s">
        <v>5629</v>
      </c>
      <c r="D18802" s="2"/>
    </row>
    <row r="18803" spans="1:4" ht="25.5" customHeight="1" x14ac:dyDescent="0.2">
      <c r="B18803" s="11" t="s">
        <v>2601</v>
      </c>
      <c r="C18803" s="17"/>
      <c r="D18803" s="2"/>
    </row>
    <row r="18804" spans="1:4" ht="12.75" customHeight="1" x14ac:dyDescent="0.2">
      <c r="B18804" s="11" t="s">
        <v>16</v>
      </c>
      <c r="C18804" s="17"/>
      <c r="D18804" s="2"/>
    </row>
    <row r="18805" spans="1:4" ht="12.75" customHeight="1" x14ac:dyDescent="0.2">
      <c r="B18805" s="11" t="s">
        <v>13</v>
      </c>
      <c r="C18805" s="17" t="s">
        <v>2644</v>
      </c>
      <c r="D18805" s="2"/>
    </row>
    <row r="18806" spans="1:4" ht="25.5" customHeight="1" x14ac:dyDescent="0.2">
      <c r="B18806" s="11" t="s">
        <v>2603</v>
      </c>
      <c r="C18806" s="17" t="s">
        <v>2971</v>
      </c>
      <c r="D18806" s="2"/>
    </row>
    <row r="18807" spans="1:4" ht="12.75" customHeight="1" x14ac:dyDescent="0.2">
      <c r="B18807" s="11" t="s">
        <v>2605</v>
      </c>
      <c r="C18807" s="17" t="s">
        <v>14</v>
      </c>
      <c r="D18807" s="2"/>
    </row>
    <row r="18808" spans="1:4" ht="12.75" customHeight="1" x14ac:dyDescent="0.2">
      <c r="B18808" s="11" t="s">
        <v>2606</v>
      </c>
      <c r="C18808" s="16" t="s">
        <v>19</v>
      </c>
      <c r="D18808" s="2"/>
    </row>
    <row r="18809" spans="1:4" ht="12.75" customHeight="1" x14ac:dyDescent="0.2">
      <c r="B18809" s="2"/>
      <c r="C18809" s="15"/>
      <c r="D18809" s="2"/>
    </row>
    <row r="18810" spans="1:4" ht="12.75" customHeight="1" x14ac:dyDescent="0.2">
      <c r="B18810" s="2"/>
      <c r="C18810" s="15"/>
      <c r="D18810" s="2"/>
    </row>
    <row r="18811" spans="1:4" ht="12.75" customHeight="1" x14ac:dyDescent="0.2">
      <c r="A18811" s="13" t="s">
        <v>2782</v>
      </c>
      <c r="C18811" s="12"/>
    </row>
    <row r="18812" spans="1:4" ht="12.75" customHeight="1" x14ac:dyDescent="0.2">
      <c r="A18812" s="11"/>
      <c r="B18812" s="2"/>
      <c r="C18812" s="15"/>
      <c r="D18812" s="2"/>
    </row>
    <row r="18813" spans="1:4" ht="12.75" customHeight="1" x14ac:dyDescent="0.2">
      <c r="B18813" s="11" t="s">
        <v>0</v>
      </c>
      <c r="C18813" s="11" t="s">
        <v>336</v>
      </c>
    </row>
    <row r="18814" spans="1:4" ht="12.75" customHeight="1" x14ac:dyDescent="0.2">
      <c r="B18814" s="11" t="s">
        <v>2599</v>
      </c>
      <c r="C18814" s="11" t="s">
        <v>5630</v>
      </c>
    </row>
    <row r="18815" spans="1:4" ht="25.5" customHeight="1" x14ac:dyDescent="0.2">
      <c r="B18815" s="11" t="s">
        <v>2600</v>
      </c>
      <c r="C18815" s="11" t="s">
        <v>5631</v>
      </c>
    </row>
    <row r="18816" spans="1:4" ht="25.5" customHeight="1" x14ac:dyDescent="0.2">
      <c r="B18816" s="11" t="s">
        <v>2601</v>
      </c>
      <c r="C18816" s="11"/>
    </row>
    <row r="18817" spans="1:4" ht="12.75" customHeight="1" x14ac:dyDescent="0.2">
      <c r="B18817" s="11" t="s">
        <v>16</v>
      </c>
      <c r="C18817" s="11"/>
    </row>
    <row r="18818" spans="1:4" ht="12.75" customHeight="1" x14ac:dyDescent="0.2">
      <c r="B18818" s="11" t="s">
        <v>13</v>
      </c>
      <c r="C18818" s="11" t="s">
        <v>2644</v>
      </c>
    </row>
    <row r="18819" spans="1:4" ht="12.75" customHeight="1" x14ac:dyDescent="0.2">
      <c r="B18819" s="11" t="s">
        <v>2603</v>
      </c>
      <c r="C18819" s="11" t="s">
        <v>2604</v>
      </c>
    </row>
    <row r="18820" spans="1:4" ht="12.75" customHeight="1" x14ac:dyDescent="0.2">
      <c r="B18820" s="11" t="s">
        <v>2605</v>
      </c>
      <c r="C18820" s="11" t="s">
        <v>14</v>
      </c>
    </row>
    <row r="18821" spans="1:4" ht="12.75" customHeight="1" x14ac:dyDescent="0.2">
      <c r="B18821" s="11" t="s">
        <v>2606</v>
      </c>
      <c r="C18821" s="16" t="s">
        <v>44</v>
      </c>
      <c r="D18821" s="6" t="str">
        <f>HYPERLINK("javascript:void(0)","alakváltókő")</f>
        <v>alakváltókő</v>
      </c>
    </row>
    <row r="18822" spans="1:4" ht="12.75" customHeight="1" x14ac:dyDescent="0.2">
      <c r="B18822" s="2"/>
      <c r="C18822" s="15"/>
      <c r="D18822" s="2"/>
    </row>
    <row r="18823" spans="1:4" ht="12.75" customHeight="1" x14ac:dyDescent="0.2">
      <c r="B18823" s="2"/>
      <c r="C18823" s="15"/>
      <c r="D18823" s="2"/>
    </row>
    <row r="18824" spans="1:4" ht="12.75" customHeight="1" x14ac:dyDescent="0.2">
      <c r="A18824" s="13" t="s">
        <v>5516</v>
      </c>
      <c r="C18824" s="12"/>
      <c r="D18824" s="2"/>
    </row>
    <row r="18825" spans="1:4" ht="12.75" customHeight="1" x14ac:dyDescent="0.2">
      <c r="A18825" s="11"/>
      <c r="B18825" s="2"/>
      <c r="C18825" s="15"/>
      <c r="D18825" s="2"/>
    </row>
    <row r="18826" spans="1:4" ht="12.75" customHeight="1" x14ac:dyDescent="0.2">
      <c r="B18826" s="11" t="s">
        <v>0</v>
      </c>
      <c r="C18826" s="17" t="s">
        <v>336</v>
      </c>
      <c r="D18826" s="2"/>
    </row>
    <row r="18827" spans="1:4" ht="12.75" customHeight="1" x14ac:dyDescent="0.2">
      <c r="B18827" s="11" t="s">
        <v>2599</v>
      </c>
      <c r="C18827" s="17" t="s">
        <v>5135</v>
      </c>
      <c r="D18827" s="2"/>
    </row>
    <row r="18828" spans="1:4" ht="25.5" customHeight="1" x14ac:dyDescent="0.2">
      <c r="B18828" s="11" t="s">
        <v>2600</v>
      </c>
      <c r="C18828" s="17" t="s">
        <v>5633</v>
      </c>
      <c r="D18828" s="2"/>
    </row>
    <row r="18829" spans="1:4" ht="25.5" customHeight="1" x14ac:dyDescent="0.2">
      <c r="B18829" s="11" t="s">
        <v>2601</v>
      </c>
      <c r="C18829" s="17"/>
      <c r="D18829" s="2"/>
    </row>
    <row r="18830" spans="1:4" ht="12.75" customHeight="1" x14ac:dyDescent="0.2">
      <c r="B18830" s="11" t="s">
        <v>16</v>
      </c>
      <c r="C18830" s="17"/>
      <c r="D18830" s="2"/>
    </row>
    <row r="18831" spans="1:4" ht="12.75" customHeight="1" x14ac:dyDescent="0.2">
      <c r="B18831" s="11" t="s">
        <v>13</v>
      </c>
      <c r="C18831" s="17" t="s">
        <v>2602</v>
      </c>
      <c r="D18831" s="2"/>
    </row>
    <row r="18832" spans="1:4" ht="25.5" customHeight="1" x14ac:dyDescent="0.2">
      <c r="B18832" s="11" t="s">
        <v>2603</v>
      </c>
      <c r="C18832" s="17" t="s">
        <v>2971</v>
      </c>
      <c r="D18832" s="2"/>
    </row>
    <row r="18833" spans="1:4" ht="12.75" customHeight="1" x14ac:dyDescent="0.2">
      <c r="B18833" s="11" t="s">
        <v>2605</v>
      </c>
      <c r="C18833" s="17" t="s">
        <v>14</v>
      </c>
      <c r="D18833" s="2"/>
    </row>
    <row r="18834" spans="1:4" ht="12.75" customHeight="1" x14ac:dyDescent="0.2">
      <c r="B18834" s="11" t="s">
        <v>2606</v>
      </c>
      <c r="C18834" s="16" t="s">
        <v>19</v>
      </c>
      <c r="D18834" s="2"/>
    </row>
    <row r="18835" spans="1:4" ht="12.75" customHeight="1" x14ac:dyDescent="0.2">
      <c r="B18835" s="2"/>
      <c r="C18835" s="15"/>
      <c r="D18835" s="2"/>
    </row>
    <row r="18836" spans="1:4" ht="12.75" customHeight="1" x14ac:dyDescent="0.2">
      <c r="B18836" s="2"/>
      <c r="C18836" s="15"/>
      <c r="D18836" s="2"/>
    </row>
    <row r="18837" spans="1:4" ht="12.75" customHeight="1" x14ac:dyDescent="0.2">
      <c r="A18837" s="13" t="s">
        <v>5634</v>
      </c>
      <c r="C18837" s="12"/>
    </row>
    <row r="18838" spans="1:4" ht="12.75" customHeight="1" x14ac:dyDescent="0.2">
      <c r="A18838" s="11"/>
      <c r="B18838" s="2"/>
      <c r="C18838" s="15"/>
      <c r="D18838" s="2"/>
    </row>
    <row r="18839" spans="1:4" ht="12.75" customHeight="1" x14ac:dyDescent="0.2">
      <c r="B18839" s="11" t="s">
        <v>0</v>
      </c>
      <c r="C18839" s="11" t="s">
        <v>336</v>
      </c>
    </row>
    <row r="18840" spans="1:4" ht="12.75" customHeight="1" x14ac:dyDescent="0.2">
      <c r="B18840" s="11" t="s">
        <v>2599</v>
      </c>
      <c r="C18840" s="11" t="s">
        <v>5635</v>
      </c>
    </row>
    <row r="18841" spans="1:4" ht="25.5" customHeight="1" x14ac:dyDescent="0.2">
      <c r="B18841" s="11" t="s">
        <v>2600</v>
      </c>
      <c r="C18841" s="11" t="s">
        <v>5636</v>
      </c>
    </row>
    <row r="18842" spans="1:4" ht="25.5" customHeight="1" x14ac:dyDescent="0.2">
      <c r="B18842" s="11" t="s">
        <v>2601</v>
      </c>
      <c r="C18842" s="11"/>
    </row>
    <row r="18843" spans="1:4" ht="12.75" customHeight="1" x14ac:dyDescent="0.2">
      <c r="B18843" s="11" t="s">
        <v>16</v>
      </c>
      <c r="C18843" s="11"/>
    </row>
    <row r="18844" spans="1:4" ht="12.75" customHeight="1" x14ac:dyDescent="0.2">
      <c r="B18844" s="11" t="s">
        <v>13</v>
      </c>
      <c r="C18844" s="11" t="s">
        <v>2602</v>
      </c>
    </row>
    <row r="18845" spans="1:4" ht="12.75" customHeight="1" x14ac:dyDescent="0.2">
      <c r="B18845" s="11" t="s">
        <v>2603</v>
      </c>
      <c r="C18845" s="11" t="s">
        <v>2604</v>
      </c>
    </row>
    <row r="18846" spans="1:4" ht="12.75" customHeight="1" x14ac:dyDescent="0.2">
      <c r="B18846" s="11" t="s">
        <v>2605</v>
      </c>
      <c r="C18846" s="11" t="s">
        <v>24</v>
      </c>
    </row>
    <row r="18847" spans="1:4" ht="12.75" customHeight="1" x14ac:dyDescent="0.2">
      <c r="B18847" s="11" t="s">
        <v>2606</v>
      </c>
      <c r="C18847" s="16" t="s">
        <v>163</v>
      </c>
      <c r="D18847" s="6" t="str">
        <f>HYPERLINK("javascript:void(0)","kincs")</f>
        <v>kincs</v>
      </c>
    </row>
    <row r="18848" spans="1:4" ht="12.75" customHeight="1" x14ac:dyDescent="0.2">
      <c r="B18848" s="2"/>
      <c r="C18848" s="15"/>
      <c r="D18848" s="2"/>
    </row>
    <row r="18849" spans="1:4" ht="12.75" customHeight="1" x14ac:dyDescent="0.2">
      <c r="B18849" s="2"/>
      <c r="C18849" s="15"/>
      <c r="D18849" s="2"/>
    </row>
    <row r="18850" spans="1:4" ht="12.75" customHeight="1" x14ac:dyDescent="0.2">
      <c r="A18850" s="13" t="s">
        <v>5637</v>
      </c>
      <c r="C18850" s="12"/>
    </row>
    <row r="18851" spans="1:4" ht="12.75" customHeight="1" x14ac:dyDescent="0.2">
      <c r="A18851" s="11"/>
      <c r="B18851" s="2"/>
      <c r="C18851" s="15"/>
      <c r="D18851" s="2"/>
    </row>
    <row r="18852" spans="1:4" ht="12.75" customHeight="1" x14ac:dyDescent="0.2">
      <c r="B18852" s="11" t="s">
        <v>0</v>
      </c>
      <c r="C18852" s="11" t="s">
        <v>336</v>
      </c>
    </row>
    <row r="18853" spans="1:4" ht="12.75" customHeight="1" x14ac:dyDescent="0.2">
      <c r="B18853" s="11" t="s">
        <v>2599</v>
      </c>
      <c r="C18853" s="11" t="s">
        <v>5630</v>
      </c>
    </row>
    <row r="18854" spans="1:4" ht="25.5" customHeight="1" x14ac:dyDescent="0.2">
      <c r="B18854" s="11" t="s">
        <v>2600</v>
      </c>
      <c r="C18854" s="11" t="s">
        <v>5631</v>
      </c>
    </row>
    <row r="18855" spans="1:4" ht="25.5" customHeight="1" x14ac:dyDescent="0.2">
      <c r="B18855" s="11" t="s">
        <v>2601</v>
      </c>
      <c r="C18855" s="11"/>
    </row>
    <row r="18856" spans="1:4" ht="12.75" customHeight="1" x14ac:dyDescent="0.2">
      <c r="B18856" s="11" t="s">
        <v>16</v>
      </c>
      <c r="C18856" s="11"/>
    </row>
    <row r="18857" spans="1:4" ht="12.75" customHeight="1" x14ac:dyDescent="0.2">
      <c r="B18857" s="11" t="s">
        <v>13</v>
      </c>
      <c r="C18857" s="11" t="s">
        <v>2644</v>
      </c>
    </row>
    <row r="18858" spans="1:4" ht="12.75" customHeight="1" x14ac:dyDescent="0.2">
      <c r="B18858" s="11" t="s">
        <v>2603</v>
      </c>
      <c r="C18858" s="11" t="s">
        <v>2604</v>
      </c>
    </row>
    <row r="18859" spans="1:4" ht="12.75" customHeight="1" x14ac:dyDescent="0.2">
      <c r="B18859" s="11" t="s">
        <v>2605</v>
      </c>
      <c r="C18859" s="11" t="s">
        <v>14</v>
      </c>
    </row>
    <row r="18860" spans="1:4" ht="12.75" customHeight="1" x14ac:dyDescent="0.2">
      <c r="B18860" s="11" t="s">
        <v>2606</v>
      </c>
      <c r="C18860" s="16" t="s">
        <v>98</v>
      </c>
      <c r="D18860" s="6" t="str">
        <f>HYPERLINK("javascript:void(0)","kincs")</f>
        <v>kincs</v>
      </c>
    </row>
    <row r="18861" spans="1:4" ht="12.75" customHeight="1" x14ac:dyDescent="0.2">
      <c r="B18861" s="2"/>
      <c r="C18861" s="15"/>
      <c r="D18861" s="2"/>
    </row>
    <row r="18862" spans="1:4" ht="12.75" customHeight="1" x14ac:dyDescent="0.2">
      <c r="B18862" s="2"/>
      <c r="C18862" s="15"/>
      <c r="D18862" s="2"/>
    </row>
    <row r="18863" spans="1:4" ht="12.75" customHeight="1" x14ac:dyDescent="0.2">
      <c r="A18863" s="13" t="s">
        <v>5638</v>
      </c>
      <c r="C18863" s="12"/>
    </row>
    <row r="18864" spans="1:4" ht="12.75" customHeight="1" x14ac:dyDescent="0.2">
      <c r="A18864" s="11"/>
      <c r="B18864" s="2"/>
      <c r="C18864" s="15"/>
      <c r="D18864" s="2"/>
    </row>
    <row r="18865" spans="1:4" ht="12.75" customHeight="1" x14ac:dyDescent="0.2">
      <c r="B18865" s="11" t="s">
        <v>0</v>
      </c>
      <c r="C18865" s="11" t="s">
        <v>336</v>
      </c>
    </row>
    <row r="18866" spans="1:4" ht="12.75" customHeight="1" x14ac:dyDescent="0.2">
      <c r="B18866" s="11" t="s">
        <v>2599</v>
      </c>
      <c r="C18866" s="11" t="s">
        <v>5639</v>
      </c>
    </row>
    <row r="18867" spans="1:4" ht="25.5" customHeight="1" x14ac:dyDescent="0.2">
      <c r="B18867" s="11" t="s">
        <v>2600</v>
      </c>
      <c r="C18867" s="11" t="s">
        <v>5640</v>
      </c>
    </row>
    <row r="18868" spans="1:4" ht="25.5" customHeight="1" x14ac:dyDescent="0.2">
      <c r="B18868" s="11" t="s">
        <v>2601</v>
      </c>
      <c r="C18868" s="11"/>
    </row>
    <row r="18869" spans="1:4" ht="12.75" customHeight="1" x14ac:dyDescent="0.2">
      <c r="B18869" s="11" t="s">
        <v>16</v>
      </c>
      <c r="C18869" s="11"/>
    </row>
    <row r="18870" spans="1:4" ht="12.75" customHeight="1" x14ac:dyDescent="0.2">
      <c r="B18870" s="11" t="s">
        <v>13</v>
      </c>
      <c r="C18870" s="11" t="s">
        <v>2644</v>
      </c>
    </row>
    <row r="18871" spans="1:4" ht="12.75" customHeight="1" x14ac:dyDescent="0.2">
      <c r="B18871" s="11" t="s">
        <v>2603</v>
      </c>
      <c r="C18871" s="11" t="s">
        <v>2604</v>
      </c>
    </row>
    <row r="18872" spans="1:4" ht="12.75" customHeight="1" x14ac:dyDescent="0.2">
      <c r="B18872" s="11" t="s">
        <v>2605</v>
      </c>
      <c r="C18872" s="11" t="s">
        <v>24</v>
      </c>
    </row>
    <row r="18873" spans="1:4" ht="12.75" customHeight="1" x14ac:dyDescent="0.2">
      <c r="B18873" s="11" t="s">
        <v>2606</v>
      </c>
      <c r="C18873" s="16" t="s">
        <v>44</v>
      </c>
      <c r="D18873" s="6" t="str">
        <f>HYPERLINK("javascript:void(0)","rémkép")</f>
        <v>rémkép</v>
      </c>
    </row>
    <row r="18874" spans="1:4" ht="12.75" customHeight="1" x14ac:dyDescent="0.2">
      <c r="C18874" s="16" t="s">
        <v>67</v>
      </c>
      <c r="D18874" s="6" t="str">
        <f>HYPERLINK("javascript:void(0)","vízige")</f>
        <v>vízige</v>
      </c>
    </row>
    <row r="18875" spans="1:4" ht="12.75" customHeight="1" x14ac:dyDescent="0.2">
      <c r="B18875" s="2"/>
      <c r="C18875" s="15"/>
      <c r="D18875" s="2"/>
    </row>
    <row r="18876" spans="1:4" ht="12.75" customHeight="1" x14ac:dyDescent="0.2">
      <c r="B18876" s="2"/>
      <c r="C18876" s="15"/>
      <c r="D18876" s="2"/>
    </row>
    <row r="18877" spans="1:4" ht="12.75" customHeight="1" x14ac:dyDescent="0.2">
      <c r="A18877" s="13" t="s">
        <v>5641</v>
      </c>
      <c r="C18877" s="12"/>
    </row>
    <row r="18878" spans="1:4" ht="12.75" customHeight="1" x14ac:dyDescent="0.2">
      <c r="A18878" s="11"/>
      <c r="B18878" s="2"/>
      <c r="C18878" s="15"/>
      <c r="D18878" s="2"/>
    </row>
    <row r="18879" spans="1:4" ht="12.75" customHeight="1" x14ac:dyDescent="0.2">
      <c r="B18879" s="11" t="s">
        <v>0</v>
      </c>
      <c r="C18879" s="11" t="s">
        <v>336</v>
      </c>
    </row>
    <row r="18880" spans="1:4" ht="12.75" customHeight="1" x14ac:dyDescent="0.2">
      <c r="B18880" s="11" t="s">
        <v>2599</v>
      </c>
      <c r="C18880" s="11" t="s">
        <v>5642</v>
      </c>
    </row>
    <row r="18881" spans="1:4" ht="25.5" customHeight="1" x14ac:dyDescent="0.2">
      <c r="B18881" s="11" t="s">
        <v>2600</v>
      </c>
      <c r="C18881" s="11" t="s">
        <v>5643</v>
      </c>
    </row>
    <row r="18882" spans="1:4" ht="25.5" customHeight="1" x14ac:dyDescent="0.2">
      <c r="B18882" s="11" t="s">
        <v>2601</v>
      </c>
      <c r="C18882" s="11"/>
    </row>
    <row r="18883" spans="1:4" ht="12.75" customHeight="1" x14ac:dyDescent="0.2">
      <c r="B18883" s="11" t="s">
        <v>16</v>
      </c>
      <c r="C18883" s="11"/>
    </row>
    <row r="18884" spans="1:4" ht="12.75" customHeight="1" x14ac:dyDescent="0.2">
      <c r="B18884" s="11" t="s">
        <v>13</v>
      </c>
      <c r="C18884" s="11" t="s">
        <v>2644</v>
      </c>
    </row>
    <row r="18885" spans="1:4" ht="12.75" customHeight="1" x14ac:dyDescent="0.2">
      <c r="B18885" s="11" t="s">
        <v>2603</v>
      </c>
      <c r="C18885" s="11" t="s">
        <v>2604</v>
      </c>
    </row>
    <row r="18886" spans="1:4" ht="12.75" customHeight="1" x14ac:dyDescent="0.2">
      <c r="B18886" s="11" t="s">
        <v>2605</v>
      </c>
      <c r="C18886" s="11" t="s">
        <v>14</v>
      </c>
    </row>
    <row r="18887" spans="1:4" ht="12.75" customHeight="1" x14ac:dyDescent="0.2">
      <c r="B18887" s="11" t="s">
        <v>2606</v>
      </c>
      <c r="C18887" s="16" t="s">
        <v>98</v>
      </c>
      <c r="D18887" s="6" t="str">
        <f>HYPERLINK("javascript:void(0)","kincs")</f>
        <v>kincs</v>
      </c>
    </row>
    <row r="18888" spans="1:4" ht="12.75" customHeight="1" x14ac:dyDescent="0.2">
      <c r="B18888" s="2"/>
      <c r="C18888" s="15"/>
      <c r="D18888" s="2"/>
    </row>
    <row r="18889" spans="1:4" ht="12.75" customHeight="1" x14ac:dyDescent="0.2">
      <c r="B18889" s="2"/>
      <c r="C18889" s="15"/>
      <c r="D18889" s="2"/>
    </row>
    <row r="18890" spans="1:4" ht="12.75" customHeight="1" x14ac:dyDescent="0.2">
      <c r="A18890" s="13" t="s">
        <v>5644</v>
      </c>
      <c r="C18890" s="12"/>
    </row>
    <row r="18891" spans="1:4" ht="12.75" customHeight="1" x14ac:dyDescent="0.2">
      <c r="A18891" s="11"/>
      <c r="B18891" s="2"/>
      <c r="C18891" s="15"/>
      <c r="D18891" s="2"/>
    </row>
    <row r="18892" spans="1:4" ht="12.75" customHeight="1" x14ac:dyDescent="0.2">
      <c r="B18892" s="11" t="s">
        <v>0</v>
      </c>
      <c r="C18892" s="11" t="s">
        <v>336</v>
      </c>
    </row>
    <row r="18893" spans="1:4" ht="12.75" customHeight="1" x14ac:dyDescent="0.2">
      <c r="B18893" s="11" t="s">
        <v>2599</v>
      </c>
      <c r="C18893" s="11" t="s">
        <v>4042</v>
      </c>
    </row>
    <row r="18894" spans="1:4" ht="25.5" customHeight="1" x14ac:dyDescent="0.2">
      <c r="B18894" s="11" t="s">
        <v>2600</v>
      </c>
      <c r="C18894" s="11" t="s">
        <v>5645</v>
      </c>
    </row>
    <row r="18895" spans="1:4" ht="25.5" customHeight="1" x14ac:dyDescent="0.2">
      <c r="B18895" s="11" t="s">
        <v>2601</v>
      </c>
      <c r="C18895" s="11"/>
    </row>
    <row r="18896" spans="1:4" ht="12.75" customHeight="1" x14ac:dyDescent="0.2">
      <c r="B18896" s="11" t="s">
        <v>16</v>
      </c>
      <c r="C18896" s="11"/>
    </row>
    <row r="18897" spans="1:4" ht="12.75" customHeight="1" x14ac:dyDescent="0.2">
      <c r="B18897" s="11" t="s">
        <v>13</v>
      </c>
      <c r="C18897" s="11" t="s">
        <v>2602</v>
      </c>
    </row>
    <row r="18898" spans="1:4" ht="12.75" customHeight="1" x14ac:dyDescent="0.2">
      <c r="B18898" s="11" t="s">
        <v>2603</v>
      </c>
      <c r="C18898" s="11" t="s">
        <v>2604</v>
      </c>
    </row>
    <row r="18899" spans="1:4" ht="12.75" customHeight="1" x14ac:dyDescent="0.2">
      <c r="B18899" s="11" t="s">
        <v>2605</v>
      </c>
      <c r="C18899" s="11" t="s">
        <v>14</v>
      </c>
    </row>
    <row r="18900" spans="1:4" ht="12.75" customHeight="1" x14ac:dyDescent="0.2">
      <c r="B18900" s="11" t="s">
        <v>2606</v>
      </c>
      <c r="C18900" s="16" t="s">
        <v>98</v>
      </c>
      <c r="D18900" s="6" t="str">
        <f>HYPERLINK("javascript:void(0)","kincs")</f>
        <v>kincs</v>
      </c>
    </row>
    <row r="18901" spans="1:4" ht="12.75" customHeight="1" x14ac:dyDescent="0.2">
      <c r="B18901" s="2"/>
      <c r="C18901" s="15"/>
      <c r="D18901" s="2"/>
    </row>
    <row r="18902" spans="1:4" ht="12.75" customHeight="1" x14ac:dyDescent="0.2">
      <c r="B18902" s="2"/>
      <c r="C18902" s="15"/>
      <c r="D18902" s="2"/>
    </row>
    <row r="18903" spans="1:4" ht="12.75" customHeight="1" x14ac:dyDescent="0.2">
      <c r="A18903" s="13" t="s">
        <v>5646</v>
      </c>
      <c r="C18903" s="12"/>
    </row>
    <row r="18904" spans="1:4" ht="12.75" customHeight="1" x14ac:dyDescent="0.2">
      <c r="A18904" s="11"/>
      <c r="B18904" s="2"/>
      <c r="C18904" s="15"/>
      <c r="D18904" s="2"/>
    </row>
    <row r="18905" spans="1:4" ht="12.75" customHeight="1" x14ac:dyDescent="0.2">
      <c r="B18905" s="11" t="s">
        <v>0</v>
      </c>
      <c r="C18905" s="11" t="s">
        <v>336</v>
      </c>
    </row>
    <row r="18906" spans="1:4" ht="12.75" customHeight="1" x14ac:dyDescent="0.2">
      <c r="B18906" s="11" t="s">
        <v>2599</v>
      </c>
      <c r="C18906" s="11" t="s">
        <v>5647</v>
      </c>
    </row>
    <row r="18907" spans="1:4" ht="25.5" customHeight="1" x14ac:dyDescent="0.2">
      <c r="B18907" s="11" t="s">
        <v>2600</v>
      </c>
      <c r="C18907" s="11" t="s">
        <v>5648</v>
      </c>
    </row>
    <row r="18908" spans="1:4" ht="25.5" customHeight="1" x14ac:dyDescent="0.2">
      <c r="B18908" s="11" t="s">
        <v>2601</v>
      </c>
      <c r="C18908" s="11"/>
    </row>
    <row r="18909" spans="1:4" ht="12.75" customHeight="1" x14ac:dyDescent="0.2">
      <c r="B18909" s="11" t="s">
        <v>16</v>
      </c>
      <c r="C18909" s="11"/>
    </row>
    <row r="18910" spans="1:4" ht="12.75" customHeight="1" x14ac:dyDescent="0.2">
      <c r="B18910" s="11" t="s">
        <v>13</v>
      </c>
      <c r="C18910" s="11" t="s">
        <v>2602</v>
      </c>
    </row>
    <row r="18911" spans="1:4" ht="12.75" customHeight="1" x14ac:dyDescent="0.2">
      <c r="B18911" s="11" t="s">
        <v>2603</v>
      </c>
      <c r="C18911" s="11" t="s">
        <v>2604</v>
      </c>
    </row>
    <row r="18912" spans="1:4" ht="12.75" customHeight="1" x14ac:dyDescent="0.2">
      <c r="B18912" s="11" t="s">
        <v>2605</v>
      </c>
      <c r="C18912" s="11" t="s">
        <v>14</v>
      </c>
    </row>
    <row r="18913" spans="1:4" ht="12.75" customHeight="1" x14ac:dyDescent="0.2">
      <c r="B18913" s="11" t="s">
        <v>2606</v>
      </c>
      <c r="C18913" s="16" t="s">
        <v>98</v>
      </c>
      <c r="D18913" s="6" t="str">
        <f>HYPERLINK("javascript:void(0)","kincs")</f>
        <v>kincs</v>
      </c>
    </row>
    <row r="18914" spans="1:4" ht="12.75" customHeight="1" x14ac:dyDescent="0.2">
      <c r="B18914" s="2"/>
      <c r="C18914" s="15"/>
      <c r="D18914" s="2"/>
    </row>
    <row r="18915" spans="1:4" ht="12.75" customHeight="1" x14ac:dyDescent="0.2">
      <c r="B18915" s="2"/>
      <c r="C18915" s="15"/>
      <c r="D18915" s="2"/>
    </row>
    <row r="18916" spans="1:4" ht="12.75" customHeight="1" x14ac:dyDescent="0.2">
      <c r="A18916" s="13" t="s">
        <v>5649</v>
      </c>
      <c r="C18916" s="12"/>
    </row>
    <row r="18917" spans="1:4" ht="12.75" customHeight="1" x14ac:dyDescent="0.2">
      <c r="A18917" s="11"/>
      <c r="B18917" s="2"/>
      <c r="C18917" s="15"/>
      <c r="D18917" s="2"/>
    </row>
    <row r="18918" spans="1:4" ht="12.75" customHeight="1" x14ac:dyDescent="0.2">
      <c r="B18918" s="11" t="s">
        <v>0</v>
      </c>
      <c r="C18918" s="11" t="s">
        <v>336</v>
      </c>
    </row>
    <row r="18919" spans="1:4" ht="12.75" customHeight="1" x14ac:dyDescent="0.2">
      <c r="B18919" s="11" t="s">
        <v>2599</v>
      </c>
      <c r="C18919" s="11" t="s">
        <v>5650</v>
      </c>
    </row>
    <row r="18920" spans="1:4" ht="25.5" customHeight="1" x14ac:dyDescent="0.2">
      <c r="B18920" s="11" t="s">
        <v>2600</v>
      </c>
      <c r="C18920" s="11" t="s">
        <v>5651</v>
      </c>
    </row>
    <row r="18921" spans="1:4" ht="25.5" customHeight="1" x14ac:dyDescent="0.2">
      <c r="B18921" s="11" t="s">
        <v>2601</v>
      </c>
      <c r="C18921" s="11"/>
    </row>
    <row r="18922" spans="1:4" ht="12.75" customHeight="1" x14ac:dyDescent="0.2">
      <c r="B18922" s="11" t="s">
        <v>16</v>
      </c>
      <c r="C18922" s="11"/>
    </row>
    <row r="18923" spans="1:4" ht="12.75" customHeight="1" x14ac:dyDescent="0.2">
      <c r="B18923" s="11" t="s">
        <v>13</v>
      </c>
      <c r="C18923" s="11" t="s">
        <v>2602</v>
      </c>
    </row>
    <row r="18924" spans="1:4" ht="12.75" customHeight="1" x14ac:dyDescent="0.2">
      <c r="B18924" s="11" t="s">
        <v>2603</v>
      </c>
      <c r="C18924" s="11" t="s">
        <v>2604</v>
      </c>
    </row>
    <row r="18925" spans="1:4" ht="12.75" customHeight="1" x14ac:dyDescent="0.2">
      <c r="B18925" s="11" t="s">
        <v>2605</v>
      </c>
      <c r="C18925" s="11" t="s">
        <v>24</v>
      </c>
    </row>
    <row r="18926" spans="1:4" ht="12.75" customHeight="1" x14ac:dyDescent="0.2">
      <c r="B18926" s="11" t="s">
        <v>2606</v>
      </c>
      <c r="C18926" s="16" t="s">
        <v>56</v>
      </c>
      <c r="D18926" s="6" t="str">
        <f>HYPERLINK("javascript:void(0)","dobverő")</f>
        <v>dobverő</v>
      </c>
    </row>
    <row r="18927" spans="1:4" ht="12.75" customHeight="1" x14ac:dyDescent="0.2">
      <c r="B18927" s="2"/>
      <c r="C18927" s="15"/>
      <c r="D18927" s="2"/>
    </row>
    <row r="18928" spans="1:4" ht="12.75" customHeight="1" x14ac:dyDescent="0.2">
      <c r="B18928" s="2"/>
      <c r="C18928" s="15"/>
      <c r="D18928" s="2"/>
    </row>
    <row r="18929" spans="1:4" ht="12.75" customHeight="1" x14ac:dyDescent="0.2">
      <c r="A18929" s="13" t="s">
        <v>5653</v>
      </c>
      <c r="C18929" s="12"/>
    </row>
    <row r="18930" spans="1:4" ht="12.75" customHeight="1" x14ac:dyDescent="0.2">
      <c r="A18930" s="11"/>
      <c r="B18930" s="2"/>
      <c r="C18930" s="15"/>
      <c r="D18930" s="2"/>
    </row>
    <row r="18931" spans="1:4" ht="12.75" customHeight="1" x14ac:dyDescent="0.2">
      <c r="B18931" s="11" t="s">
        <v>0</v>
      </c>
      <c r="C18931" s="11" t="s">
        <v>336</v>
      </c>
    </row>
    <row r="18932" spans="1:4" ht="12.75" customHeight="1" x14ac:dyDescent="0.2">
      <c r="B18932" s="11" t="s">
        <v>2599</v>
      </c>
      <c r="C18932" s="11" t="s">
        <v>3361</v>
      </c>
    </row>
    <row r="18933" spans="1:4" ht="25.5" customHeight="1" x14ac:dyDescent="0.2">
      <c r="B18933" s="11" t="s">
        <v>2600</v>
      </c>
      <c r="C18933" s="11" t="s">
        <v>5654</v>
      </c>
    </row>
    <row r="18934" spans="1:4" ht="25.5" customHeight="1" x14ac:dyDescent="0.2">
      <c r="B18934" s="11" t="s">
        <v>2601</v>
      </c>
      <c r="C18934" s="11"/>
    </row>
    <row r="18935" spans="1:4" ht="12.75" customHeight="1" x14ac:dyDescent="0.2">
      <c r="B18935" s="11" t="s">
        <v>16</v>
      </c>
      <c r="C18935" s="11"/>
    </row>
    <row r="18936" spans="1:4" ht="12.75" customHeight="1" x14ac:dyDescent="0.2">
      <c r="B18936" s="11" t="s">
        <v>13</v>
      </c>
      <c r="C18936" s="11" t="s">
        <v>2644</v>
      </c>
    </row>
    <row r="18937" spans="1:4" ht="12.75" customHeight="1" x14ac:dyDescent="0.2">
      <c r="B18937" s="11" t="s">
        <v>2603</v>
      </c>
      <c r="C18937" s="11" t="s">
        <v>2604</v>
      </c>
    </row>
    <row r="18938" spans="1:4" ht="12.75" customHeight="1" x14ac:dyDescent="0.2">
      <c r="B18938" s="11" t="s">
        <v>2605</v>
      </c>
      <c r="C18938" s="11" t="s">
        <v>24</v>
      </c>
    </row>
    <row r="18939" spans="1:4" ht="12.75" customHeight="1" x14ac:dyDescent="0.2">
      <c r="B18939" s="11" t="s">
        <v>2606</v>
      </c>
      <c r="C18939" s="16" t="s">
        <v>44</v>
      </c>
      <c r="D18939" s="6" t="str">
        <f>HYPERLINK("javascript:void(0)","cingulum")</f>
        <v>cingulum</v>
      </c>
    </row>
    <row r="18940" spans="1:4" ht="12.75" customHeight="1" x14ac:dyDescent="0.2">
      <c r="B18940" s="2"/>
      <c r="C18940" s="15"/>
      <c r="D18940" s="2"/>
    </row>
    <row r="18941" spans="1:4" ht="12.75" customHeight="1" x14ac:dyDescent="0.2">
      <c r="B18941" s="2"/>
      <c r="C18941" s="15"/>
      <c r="D18941" s="2"/>
    </row>
    <row r="18942" spans="1:4" ht="12.75" customHeight="1" x14ac:dyDescent="0.2">
      <c r="A18942" s="13" t="s">
        <v>5518</v>
      </c>
      <c r="C18942" s="12"/>
      <c r="D18942" s="2"/>
    </row>
    <row r="18943" spans="1:4" ht="12.75" customHeight="1" x14ac:dyDescent="0.2">
      <c r="A18943" s="11"/>
      <c r="B18943" s="2"/>
      <c r="C18943" s="15"/>
      <c r="D18943" s="2"/>
    </row>
    <row r="18944" spans="1:4" ht="12.75" customHeight="1" x14ac:dyDescent="0.2">
      <c r="B18944" s="11" t="s">
        <v>0</v>
      </c>
      <c r="C18944" s="17" t="s">
        <v>336</v>
      </c>
      <c r="D18944" s="2"/>
    </row>
    <row r="18945" spans="1:4" ht="12.75" customHeight="1" x14ac:dyDescent="0.2">
      <c r="B18945" s="11" t="s">
        <v>2599</v>
      </c>
      <c r="C18945" s="17" t="s">
        <v>5103</v>
      </c>
      <c r="D18945" s="2"/>
    </row>
    <row r="18946" spans="1:4" ht="25.5" customHeight="1" x14ac:dyDescent="0.2">
      <c r="B18946" s="11" t="s">
        <v>2600</v>
      </c>
      <c r="C18946" s="17" t="s">
        <v>5655</v>
      </c>
      <c r="D18946" s="2"/>
    </row>
    <row r="18947" spans="1:4" ht="25.5" customHeight="1" x14ac:dyDescent="0.2">
      <c r="B18947" s="11" t="s">
        <v>2601</v>
      </c>
      <c r="C18947" s="17"/>
      <c r="D18947" s="2"/>
    </row>
    <row r="18948" spans="1:4" ht="12.75" customHeight="1" x14ac:dyDescent="0.2">
      <c r="B18948" s="11" t="s">
        <v>16</v>
      </c>
      <c r="C18948" s="17"/>
      <c r="D18948" s="2"/>
    </row>
    <row r="18949" spans="1:4" ht="12.75" customHeight="1" x14ac:dyDescent="0.2">
      <c r="B18949" s="11" t="s">
        <v>13</v>
      </c>
      <c r="C18949" s="17" t="s">
        <v>2644</v>
      </c>
      <c r="D18949" s="2"/>
    </row>
    <row r="18950" spans="1:4" ht="25.5" customHeight="1" x14ac:dyDescent="0.2">
      <c r="B18950" s="11" t="s">
        <v>2603</v>
      </c>
      <c r="C18950" s="17" t="s">
        <v>2971</v>
      </c>
      <c r="D18950" s="2"/>
    </row>
    <row r="18951" spans="1:4" ht="12.75" customHeight="1" x14ac:dyDescent="0.2">
      <c r="B18951" s="11" t="s">
        <v>2605</v>
      </c>
      <c r="C18951" s="17" t="s">
        <v>14</v>
      </c>
      <c r="D18951" s="2"/>
    </row>
    <row r="18952" spans="1:4" ht="12.75" customHeight="1" x14ac:dyDescent="0.2">
      <c r="B18952" s="11" t="s">
        <v>2606</v>
      </c>
      <c r="C18952" s="16" t="s">
        <v>19</v>
      </c>
      <c r="D18952" s="2"/>
    </row>
    <row r="18953" spans="1:4" ht="12.75" customHeight="1" x14ac:dyDescent="0.2">
      <c r="B18953" s="2"/>
      <c r="C18953" s="15"/>
      <c r="D18953" s="2"/>
    </row>
    <row r="18954" spans="1:4" ht="12.75" customHeight="1" x14ac:dyDescent="0.2">
      <c r="B18954" s="2"/>
      <c r="C18954" s="15"/>
      <c r="D18954" s="2"/>
    </row>
    <row r="18955" spans="1:4" ht="12.75" customHeight="1" x14ac:dyDescent="0.2">
      <c r="A18955" s="13" t="s">
        <v>5545</v>
      </c>
      <c r="C18955" s="12"/>
      <c r="D18955" s="2"/>
    </row>
    <row r="18956" spans="1:4" ht="12.75" customHeight="1" x14ac:dyDescent="0.2">
      <c r="A18956" s="11"/>
      <c r="B18956" s="2"/>
      <c r="C18956" s="15"/>
      <c r="D18956" s="2"/>
    </row>
    <row r="18957" spans="1:4" ht="12.75" customHeight="1" x14ac:dyDescent="0.2">
      <c r="B18957" s="11" t="s">
        <v>0</v>
      </c>
      <c r="C18957" s="17" t="s">
        <v>336</v>
      </c>
      <c r="D18957" s="2"/>
    </row>
    <row r="18958" spans="1:4" ht="12.75" customHeight="1" x14ac:dyDescent="0.2">
      <c r="B18958" s="11" t="s">
        <v>2599</v>
      </c>
      <c r="C18958" s="17" t="s">
        <v>5106</v>
      </c>
      <c r="D18958" s="2"/>
    </row>
    <row r="18959" spans="1:4" ht="25.5" customHeight="1" x14ac:dyDescent="0.2">
      <c r="B18959" s="11" t="s">
        <v>2600</v>
      </c>
      <c r="C18959" s="17" t="s">
        <v>5656</v>
      </c>
      <c r="D18959" s="2"/>
    </row>
    <row r="18960" spans="1:4" ht="25.5" customHeight="1" x14ac:dyDescent="0.2">
      <c r="B18960" s="11" t="s">
        <v>2601</v>
      </c>
      <c r="C18960" s="17"/>
      <c r="D18960" s="2"/>
    </row>
    <row r="18961" spans="1:4" ht="12.75" customHeight="1" x14ac:dyDescent="0.2">
      <c r="B18961" s="11" t="s">
        <v>16</v>
      </c>
      <c r="C18961" s="17"/>
      <c r="D18961" s="2"/>
    </row>
    <row r="18962" spans="1:4" ht="12.75" customHeight="1" x14ac:dyDescent="0.2">
      <c r="B18962" s="11" t="s">
        <v>13</v>
      </c>
      <c r="C18962" s="17" t="s">
        <v>2602</v>
      </c>
      <c r="D18962" s="2"/>
    </row>
    <row r="18963" spans="1:4" ht="25.5" customHeight="1" x14ac:dyDescent="0.2">
      <c r="B18963" s="11" t="s">
        <v>2603</v>
      </c>
      <c r="C18963" s="17" t="s">
        <v>2971</v>
      </c>
      <c r="D18963" s="2"/>
    </row>
    <row r="18964" spans="1:4" ht="12.75" customHeight="1" x14ac:dyDescent="0.2">
      <c r="B18964" s="11" t="s">
        <v>2605</v>
      </c>
      <c r="C18964" s="17" t="s">
        <v>14</v>
      </c>
      <c r="D18964" s="2"/>
    </row>
    <row r="18965" spans="1:4" ht="12.75" customHeight="1" x14ac:dyDescent="0.2">
      <c r="B18965" s="11" t="s">
        <v>2606</v>
      </c>
      <c r="C18965" s="16" t="s">
        <v>19</v>
      </c>
      <c r="D18965" s="2"/>
    </row>
    <row r="18966" spans="1:4" ht="12.75" customHeight="1" x14ac:dyDescent="0.2">
      <c r="B18966" s="2"/>
      <c r="C18966" s="15"/>
      <c r="D18966" s="2"/>
    </row>
    <row r="18967" spans="1:4" ht="12.75" customHeight="1" x14ac:dyDescent="0.2">
      <c r="B18967" s="2"/>
      <c r="C18967" s="15"/>
      <c r="D18967" s="2"/>
    </row>
    <row r="18968" spans="1:4" ht="12.75" customHeight="1" x14ac:dyDescent="0.2">
      <c r="A18968" s="13" t="s">
        <v>5547</v>
      </c>
      <c r="C18968" s="12"/>
      <c r="D18968" s="2"/>
    </row>
    <row r="18969" spans="1:4" ht="12.75" customHeight="1" x14ac:dyDescent="0.2">
      <c r="A18969" s="11"/>
      <c r="B18969" s="2"/>
      <c r="C18969" s="15"/>
      <c r="D18969" s="2"/>
    </row>
    <row r="18970" spans="1:4" ht="12.75" customHeight="1" x14ac:dyDescent="0.2">
      <c r="B18970" s="11" t="s">
        <v>0</v>
      </c>
      <c r="C18970" s="17" t="s">
        <v>336</v>
      </c>
      <c r="D18970" s="2"/>
    </row>
    <row r="18971" spans="1:4" ht="12.75" customHeight="1" x14ac:dyDescent="0.2">
      <c r="B18971" s="11" t="s">
        <v>2599</v>
      </c>
      <c r="C18971" s="17" t="s">
        <v>5109</v>
      </c>
      <c r="D18971" s="2"/>
    </row>
    <row r="18972" spans="1:4" ht="25.5" customHeight="1" x14ac:dyDescent="0.2">
      <c r="B18972" s="11" t="s">
        <v>2600</v>
      </c>
      <c r="C18972" s="17" t="s">
        <v>5657</v>
      </c>
      <c r="D18972" s="2"/>
    </row>
    <row r="18973" spans="1:4" ht="25.5" customHeight="1" x14ac:dyDescent="0.2">
      <c r="B18973" s="11" t="s">
        <v>2601</v>
      </c>
      <c r="C18973" s="17"/>
      <c r="D18973" s="2"/>
    </row>
    <row r="18974" spans="1:4" ht="12.75" customHeight="1" x14ac:dyDescent="0.2">
      <c r="B18974" s="11" t="s">
        <v>16</v>
      </c>
      <c r="C18974" s="17"/>
      <c r="D18974" s="2"/>
    </row>
    <row r="18975" spans="1:4" ht="12.75" customHeight="1" x14ac:dyDescent="0.2">
      <c r="B18975" s="11" t="s">
        <v>13</v>
      </c>
      <c r="C18975" s="17" t="s">
        <v>2644</v>
      </c>
      <c r="D18975" s="2"/>
    </row>
    <row r="18976" spans="1:4" ht="25.5" customHeight="1" x14ac:dyDescent="0.2">
      <c r="B18976" s="11" t="s">
        <v>2603</v>
      </c>
      <c r="C18976" s="17" t="s">
        <v>2971</v>
      </c>
      <c r="D18976" s="2"/>
    </row>
    <row r="18977" spans="1:4" ht="12.75" customHeight="1" x14ac:dyDescent="0.2">
      <c r="B18977" s="11" t="s">
        <v>2605</v>
      </c>
      <c r="C18977" s="17" t="s">
        <v>14</v>
      </c>
      <c r="D18977" s="2"/>
    </row>
    <row r="18978" spans="1:4" ht="12.75" customHeight="1" x14ac:dyDescent="0.2">
      <c r="B18978" s="11" t="s">
        <v>2606</v>
      </c>
      <c r="C18978" s="16" t="s">
        <v>19</v>
      </c>
      <c r="D18978" s="2"/>
    </row>
    <row r="18979" spans="1:4" ht="12.75" customHeight="1" x14ac:dyDescent="0.2">
      <c r="B18979" s="2"/>
      <c r="C18979" s="15"/>
      <c r="D18979" s="2"/>
    </row>
    <row r="18980" spans="1:4" ht="12.75" customHeight="1" x14ac:dyDescent="0.2">
      <c r="B18980" s="2"/>
      <c r="C18980" s="15"/>
      <c r="D18980" s="2"/>
    </row>
    <row r="18981" spans="1:4" ht="12.75" customHeight="1" x14ac:dyDescent="0.2">
      <c r="A18981" s="13" t="s">
        <v>5659</v>
      </c>
      <c r="C18981" s="12"/>
      <c r="D18981" s="2"/>
    </row>
    <row r="18982" spans="1:4" ht="12.75" customHeight="1" x14ac:dyDescent="0.2">
      <c r="A18982" s="11"/>
      <c r="B18982" s="2"/>
      <c r="C18982" s="15"/>
      <c r="D18982" s="2"/>
    </row>
    <row r="18983" spans="1:4" ht="12.75" customHeight="1" x14ac:dyDescent="0.2">
      <c r="B18983" s="11" t="s">
        <v>0</v>
      </c>
      <c r="C18983" s="17" t="s">
        <v>347</v>
      </c>
      <c r="D18983" s="2"/>
    </row>
    <row r="18984" spans="1:4" ht="12.75" customHeight="1" x14ac:dyDescent="0.2">
      <c r="B18984" s="11" t="s">
        <v>2599</v>
      </c>
      <c r="C18984" s="17" t="s">
        <v>5660</v>
      </c>
      <c r="D18984" s="2"/>
    </row>
    <row r="18985" spans="1:4" ht="25.5" customHeight="1" x14ac:dyDescent="0.2">
      <c r="B18985" s="11" t="s">
        <v>2600</v>
      </c>
      <c r="C18985" s="17" t="s">
        <v>5661</v>
      </c>
      <c r="D18985" s="2"/>
    </row>
    <row r="18986" spans="1:4" ht="25.5" customHeight="1" x14ac:dyDescent="0.2">
      <c r="B18986" s="11" t="s">
        <v>2601</v>
      </c>
      <c r="C18986" s="17"/>
      <c r="D18986" s="2"/>
    </row>
    <row r="18987" spans="1:4" ht="12.75" customHeight="1" x14ac:dyDescent="0.2">
      <c r="B18987" s="11" t="s">
        <v>16</v>
      </c>
      <c r="C18987" s="17"/>
      <c r="D18987" s="2"/>
    </row>
    <row r="18988" spans="1:4" ht="12.75" customHeight="1" x14ac:dyDescent="0.2">
      <c r="B18988" s="11" t="s">
        <v>13</v>
      </c>
      <c r="C18988" s="17" t="s">
        <v>2644</v>
      </c>
      <c r="D18988" s="2"/>
    </row>
    <row r="18989" spans="1:4" ht="25.5" customHeight="1" x14ac:dyDescent="0.2">
      <c r="B18989" s="11" t="s">
        <v>2603</v>
      </c>
      <c r="C18989" s="17" t="s">
        <v>2971</v>
      </c>
      <c r="D18989" s="2"/>
    </row>
    <row r="18990" spans="1:4" ht="12.75" customHeight="1" x14ac:dyDescent="0.2">
      <c r="B18990" s="11" t="s">
        <v>2605</v>
      </c>
      <c r="C18990" s="17" t="s">
        <v>14</v>
      </c>
      <c r="D18990" s="2"/>
    </row>
    <row r="18991" spans="1:4" ht="12.75" customHeight="1" x14ac:dyDescent="0.2">
      <c r="B18991" s="11" t="s">
        <v>2606</v>
      </c>
      <c r="C18991" s="16" t="s">
        <v>19</v>
      </c>
      <c r="D18991" s="2"/>
    </row>
    <row r="18992" spans="1:4" ht="12.75" customHeight="1" x14ac:dyDescent="0.2">
      <c r="B18992" s="2"/>
      <c r="C18992" s="15"/>
      <c r="D18992" s="2"/>
    </row>
    <row r="18993" spans="1:4" ht="12.75" customHeight="1" x14ac:dyDescent="0.2">
      <c r="B18993" s="2"/>
      <c r="C18993" s="15"/>
      <c r="D18993" s="2"/>
    </row>
    <row r="18994" spans="1:4" ht="12.75" customHeight="1" x14ac:dyDescent="0.2">
      <c r="A18994" s="13" t="s">
        <v>5662</v>
      </c>
      <c r="C18994" s="12"/>
    </row>
    <row r="18995" spans="1:4" ht="12.75" customHeight="1" x14ac:dyDescent="0.2">
      <c r="A18995" s="11"/>
      <c r="B18995" s="2"/>
      <c r="C18995" s="15"/>
      <c r="D18995" s="2"/>
    </row>
    <row r="18996" spans="1:4" ht="12.75" customHeight="1" x14ac:dyDescent="0.2">
      <c r="B18996" s="11" t="s">
        <v>0</v>
      </c>
      <c r="C18996" s="11" t="s">
        <v>347</v>
      </c>
    </row>
    <row r="18997" spans="1:4" ht="12.75" customHeight="1" x14ac:dyDescent="0.2">
      <c r="B18997" s="11" t="s">
        <v>2599</v>
      </c>
      <c r="C18997" s="11" t="s">
        <v>5663</v>
      </c>
    </row>
    <row r="18998" spans="1:4" ht="25.5" customHeight="1" x14ac:dyDescent="0.2">
      <c r="B18998" s="11" t="s">
        <v>2600</v>
      </c>
      <c r="C18998" s="11" t="s">
        <v>5664</v>
      </c>
    </row>
    <row r="18999" spans="1:4" ht="25.5" customHeight="1" x14ac:dyDescent="0.2">
      <c r="B18999" s="11" t="s">
        <v>2601</v>
      </c>
      <c r="C18999" s="11"/>
    </row>
    <row r="19000" spans="1:4" ht="12.75" customHeight="1" x14ac:dyDescent="0.2">
      <c r="B19000" s="11" t="s">
        <v>16</v>
      </c>
      <c r="C19000" s="11"/>
    </row>
    <row r="19001" spans="1:4" ht="12.75" customHeight="1" x14ac:dyDescent="0.2">
      <c r="B19001" s="11" t="s">
        <v>13</v>
      </c>
      <c r="C19001" s="11" t="s">
        <v>2602</v>
      </c>
    </row>
    <row r="19002" spans="1:4" ht="12.75" customHeight="1" x14ac:dyDescent="0.2">
      <c r="B19002" s="11" t="s">
        <v>2603</v>
      </c>
      <c r="C19002" s="11" t="s">
        <v>2604</v>
      </c>
    </row>
    <row r="19003" spans="1:4" ht="12.75" customHeight="1" x14ac:dyDescent="0.2">
      <c r="B19003" s="11" t="s">
        <v>2605</v>
      </c>
      <c r="C19003" s="11" t="s">
        <v>24</v>
      </c>
    </row>
    <row r="19004" spans="1:4" ht="12.75" customHeight="1" x14ac:dyDescent="0.2">
      <c r="B19004" s="11" t="s">
        <v>2606</v>
      </c>
      <c r="C19004" s="16" t="s">
        <v>44</v>
      </c>
      <c r="D19004" s="6" t="str">
        <f>HYPERLINK("javascript:void(0)","foglalat")</f>
        <v>foglalat</v>
      </c>
    </row>
    <row r="19005" spans="1:4" ht="12.75" customHeight="1" x14ac:dyDescent="0.2">
      <c r="B19005" s="2"/>
      <c r="C19005" s="15"/>
      <c r="D19005" s="2"/>
    </row>
    <row r="19006" spans="1:4" ht="12.75" customHeight="1" x14ac:dyDescent="0.2">
      <c r="B19006" s="2"/>
      <c r="C19006" s="15"/>
      <c r="D19006" s="2"/>
    </row>
    <row r="19007" spans="1:4" ht="12.75" customHeight="1" x14ac:dyDescent="0.2">
      <c r="A19007" s="13" t="s">
        <v>5665</v>
      </c>
      <c r="C19007" s="12"/>
    </row>
    <row r="19008" spans="1:4" ht="12.75" customHeight="1" x14ac:dyDescent="0.2">
      <c r="A19008" s="11"/>
      <c r="B19008" s="2"/>
      <c r="C19008" s="15"/>
      <c r="D19008" s="2"/>
    </row>
    <row r="19009" spans="1:4" ht="12.75" customHeight="1" x14ac:dyDescent="0.2">
      <c r="B19009" s="11" t="s">
        <v>0</v>
      </c>
      <c r="C19009" s="11" t="s">
        <v>347</v>
      </c>
    </row>
    <row r="19010" spans="1:4" ht="12.75" customHeight="1" x14ac:dyDescent="0.2">
      <c r="B19010" s="11" t="s">
        <v>2599</v>
      </c>
      <c r="C19010" s="11" t="s">
        <v>975</v>
      </c>
    </row>
    <row r="19011" spans="1:4" ht="25.5" customHeight="1" x14ac:dyDescent="0.2">
      <c r="B19011" s="11" t="s">
        <v>2600</v>
      </c>
      <c r="C19011" s="11" t="s">
        <v>5666</v>
      </c>
    </row>
    <row r="19012" spans="1:4" ht="25.5" customHeight="1" x14ac:dyDescent="0.2">
      <c r="B19012" s="11" t="s">
        <v>2601</v>
      </c>
      <c r="C19012" s="11"/>
    </row>
    <row r="19013" spans="1:4" ht="12.75" customHeight="1" x14ac:dyDescent="0.2">
      <c r="B19013" s="11" t="s">
        <v>16</v>
      </c>
      <c r="C19013" s="11"/>
    </row>
    <row r="19014" spans="1:4" ht="12.75" customHeight="1" x14ac:dyDescent="0.2">
      <c r="B19014" s="11" t="s">
        <v>13</v>
      </c>
      <c r="C19014" s="11" t="s">
        <v>2644</v>
      </c>
    </row>
    <row r="19015" spans="1:4" ht="12.75" customHeight="1" x14ac:dyDescent="0.2">
      <c r="B19015" s="11" t="s">
        <v>2603</v>
      </c>
      <c r="C19015" s="11" t="s">
        <v>2604</v>
      </c>
    </row>
    <row r="19016" spans="1:4" ht="12.75" customHeight="1" x14ac:dyDescent="0.2">
      <c r="B19016" s="11" t="s">
        <v>2605</v>
      </c>
      <c r="C19016" s="11" t="s">
        <v>14</v>
      </c>
    </row>
    <row r="19017" spans="1:4" ht="12.75" customHeight="1" x14ac:dyDescent="0.2">
      <c r="B19017" s="11" t="s">
        <v>2606</v>
      </c>
      <c r="C19017" s="16" t="s">
        <v>98</v>
      </c>
      <c r="D19017" s="6" t="str">
        <f>HYPERLINK("javascript:void(0)","kincs")</f>
        <v>kincs</v>
      </c>
    </row>
    <row r="19018" spans="1:4" ht="12.75" customHeight="1" x14ac:dyDescent="0.2">
      <c r="B19018" s="2"/>
      <c r="C19018" s="15"/>
      <c r="D19018" s="2"/>
    </row>
    <row r="19019" spans="1:4" ht="12.75" customHeight="1" x14ac:dyDescent="0.2">
      <c r="B19019" s="2"/>
      <c r="C19019" s="15"/>
      <c r="D19019" s="2"/>
    </row>
    <row r="19020" spans="1:4" ht="12.75" customHeight="1" x14ac:dyDescent="0.2">
      <c r="A19020" s="13" t="s">
        <v>5667</v>
      </c>
      <c r="C19020" s="12"/>
    </row>
    <row r="19021" spans="1:4" ht="12.75" customHeight="1" x14ac:dyDescent="0.2">
      <c r="A19021" s="11"/>
      <c r="B19021" s="2"/>
      <c r="C19021" s="15"/>
      <c r="D19021" s="2"/>
    </row>
    <row r="19022" spans="1:4" ht="12.75" customHeight="1" x14ac:dyDescent="0.2">
      <c r="B19022" s="11" t="s">
        <v>0</v>
      </c>
      <c r="C19022" s="11" t="s">
        <v>347</v>
      </c>
    </row>
    <row r="19023" spans="1:4" ht="12.75" customHeight="1" x14ac:dyDescent="0.2">
      <c r="B19023" s="11" t="s">
        <v>2599</v>
      </c>
      <c r="C19023" s="11" t="s">
        <v>5668</v>
      </c>
    </row>
    <row r="19024" spans="1:4" ht="25.5" customHeight="1" x14ac:dyDescent="0.2">
      <c r="B19024" s="11" t="s">
        <v>2600</v>
      </c>
      <c r="C19024" s="11" t="s">
        <v>5669</v>
      </c>
    </row>
    <row r="19025" spans="1:4" ht="25.5" customHeight="1" x14ac:dyDescent="0.2">
      <c r="B19025" s="11" t="s">
        <v>2601</v>
      </c>
      <c r="C19025" s="11"/>
    </row>
    <row r="19026" spans="1:4" ht="12.75" customHeight="1" x14ac:dyDescent="0.2">
      <c r="B19026" s="11" t="s">
        <v>16</v>
      </c>
      <c r="C19026" s="11"/>
    </row>
    <row r="19027" spans="1:4" ht="12.75" customHeight="1" x14ac:dyDescent="0.2">
      <c r="B19027" s="11" t="s">
        <v>13</v>
      </c>
      <c r="C19027" s="11" t="s">
        <v>2644</v>
      </c>
    </row>
    <row r="19028" spans="1:4" ht="12.75" customHeight="1" x14ac:dyDescent="0.2">
      <c r="B19028" s="11" t="s">
        <v>2603</v>
      </c>
      <c r="C19028" s="11" t="s">
        <v>2604</v>
      </c>
    </row>
    <row r="19029" spans="1:4" ht="12.75" customHeight="1" x14ac:dyDescent="0.2">
      <c r="B19029" s="11" t="s">
        <v>2605</v>
      </c>
      <c r="C19029" s="11" t="s">
        <v>24</v>
      </c>
    </row>
    <row r="19030" spans="1:4" ht="12.75" customHeight="1" x14ac:dyDescent="0.2">
      <c r="B19030" s="11" t="s">
        <v>2606</v>
      </c>
      <c r="C19030" s="16" t="s">
        <v>44</v>
      </c>
      <c r="D19030" s="6" t="str">
        <f>HYPERLINK("javascript:void(0)","rémkép")</f>
        <v>rémkép</v>
      </c>
    </row>
    <row r="19031" spans="1:4" ht="12.75" customHeight="1" x14ac:dyDescent="0.2">
      <c r="C19031" s="16" t="s">
        <v>67</v>
      </c>
      <c r="D19031" s="6" t="str">
        <f>HYPERLINK("javascript:void(0)","légige")</f>
        <v>légige</v>
      </c>
    </row>
    <row r="19032" spans="1:4" ht="12.75" customHeight="1" x14ac:dyDescent="0.2">
      <c r="B19032" s="2"/>
      <c r="C19032" s="15"/>
      <c r="D19032" s="2"/>
    </row>
    <row r="19033" spans="1:4" ht="12.75" customHeight="1" x14ac:dyDescent="0.2">
      <c r="B19033" s="2"/>
      <c r="C19033" s="15"/>
      <c r="D19033" s="2"/>
    </row>
    <row r="19034" spans="1:4" ht="12.75" customHeight="1" x14ac:dyDescent="0.2">
      <c r="A19034" s="13" t="s">
        <v>5670</v>
      </c>
      <c r="C19034" s="12"/>
    </row>
    <row r="19035" spans="1:4" ht="12.75" customHeight="1" x14ac:dyDescent="0.2">
      <c r="A19035" s="11"/>
      <c r="B19035" s="2"/>
      <c r="C19035" s="15"/>
      <c r="D19035" s="2"/>
    </row>
    <row r="19036" spans="1:4" ht="12.75" customHeight="1" x14ac:dyDescent="0.2">
      <c r="B19036" s="11" t="s">
        <v>0</v>
      </c>
      <c r="C19036" s="11" t="s">
        <v>347</v>
      </c>
    </row>
    <row r="19037" spans="1:4" ht="12.75" customHeight="1" x14ac:dyDescent="0.2">
      <c r="B19037" s="11" t="s">
        <v>2599</v>
      </c>
      <c r="C19037" s="11" t="s">
        <v>5671</v>
      </c>
    </row>
    <row r="19038" spans="1:4" ht="25.5" customHeight="1" x14ac:dyDescent="0.2">
      <c r="B19038" s="11" t="s">
        <v>2600</v>
      </c>
      <c r="C19038" s="11" t="s">
        <v>5672</v>
      </c>
    </row>
    <row r="19039" spans="1:4" ht="25.5" customHeight="1" x14ac:dyDescent="0.2">
      <c r="B19039" s="11" t="s">
        <v>2601</v>
      </c>
      <c r="C19039" s="11"/>
    </row>
    <row r="19040" spans="1:4" ht="12.75" customHeight="1" x14ac:dyDescent="0.2">
      <c r="B19040" s="11" t="s">
        <v>16</v>
      </c>
      <c r="C19040" s="11"/>
    </row>
    <row r="19041" spans="1:4" ht="12.75" customHeight="1" x14ac:dyDescent="0.2">
      <c r="B19041" s="11" t="s">
        <v>13</v>
      </c>
      <c r="C19041" s="11" t="s">
        <v>2644</v>
      </c>
    </row>
    <row r="19042" spans="1:4" ht="12.75" customHeight="1" x14ac:dyDescent="0.2">
      <c r="B19042" s="11" t="s">
        <v>2603</v>
      </c>
      <c r="C19042" s="11" t="s">
        <v>2604</v>
      </c>
    </row>
    <row r="19043" spans="1:4" ht="12.75" customHeight="1" x14ac:dyDescent="0.2">
      <c r="B19043" s="11" t="s">
        <v>2605</v>
      </c>
      <c r="C19043" s="11" t="s">
        <v>14</v>
      </c>
    </row>
    <row r="19044" spans="1:4" ht="12.75" customHeight="1" x14ac:dyDescent="0.2">
      <c r="B19044" s="11" t="s">
        <v>2606</v>
      </c>
      <c r="C19044" s="16" t="s">
        <v>98</v>
      </c>
      <c r="D19044" s="6" t="str">
        <f>HYPERLINK("javascript:void(0)","kincs")</f>
        <v>kincs</v>
      </c>
    </row>
    <row r="19045" spans="1:4" ht="12.75" customHeight="1" x14ac:dyDescent="0.2">
      <c r="B19045" s="2"/>
      <c r="C19045" s="15"/>
      <c r="D19045" s="2"/>
    </row>
    <row r="19046" spans="1:4" ht="12.75" customHeight="1" x14ac:dyDescent="0.2">
      <c r="B19046" s="2"/>
      <c r="C19046" s="15"/>
      <c r="D19046" s="2"/>
    </row>
    <row r="19047" spans="1:4" ht="12.75" customHeight="1" x14ac:dyDescent="0.2">
      <c r="A19047" s="13" t="s">
        <v>5673</v>
      </c>
      <c r="C19047" s="12"/>
    </row>
    <row r="19048" spans="1:4" ht="12.75" customHeight="1" x14ac:dyDescent="0.2">
      <c r="A19048" s="11"/>
      <c r="B19048" s="2"/>
      <c r="C19048" s="15"/>
      <c r="D19048" s="2"/>
    </row>
    <row r="19049" spans="1:4" ht="12.75" customHeight="1" x14ac:dyDescent="0.2">
      <c r="B19049" s="11" t="s">
        <v>0</v>
      </c>
      <c r="C19049" s="11" t="s">
        <v>347</v>
      </c>
    </row>
    <row r="19050" spans="1:4" ht="12.75" customHeight="1" x14ac:dyDescent="0.2">
      <c r="B19050" s="11" t="s">
        <v>2599</v>
      </c>
      <c r="C19050" s="11" t="s">
        <v>5674</v>
      </c>
    </row>
    <row r="19051" spans="1:4" ht="25.5" customHeight="1" x14ac:dyDescent="0.2">
      <c r="B19051" s="11" t="s">
        <v>2600</v>
      </c>
      <c r="C19051" s="11" t="s">
        <v>5675</v>
      </c>
    </row>
    <row r="19052" spans="1:4" ht="25.5" customHeight="1" x14ac:dyDescent="0.2">
      <c r="B19052" s="11" t="s">
        <v>2601</v>
      </c>
      <c r="C19052" s="11"/>
    </row>
    <row r="19053" spans="1:4" ht="12.75" customHeight="1" x14ac:dyDescent="0.2">
      <c r="B19053" s="11" t="s">
        <v>16</v>
      </c>
      <c r="C19053" s="11"/>
    </row>
    <row r="19054" spans="1:4" ht="12.75" customHeight="1" x14ac:dyDescent="0.2">
      <c r="B19054" s="11" t="s">
        <v>13</v>
      </c>
      <c r="C19054" s="11" t="s">
        <v>2602</v>
      </c>
    </row>
    <row r="19055" spans="1:4" ht="12.75" customHeight="1" x14ac:dyDescent="0.2">
      <c r="B19055" s="11" t="s">
        <v>2603</v>
      </c>
      <c r="C19055" s="11" t="s">
        <v>2604</v>
      </c>
    </row>
    <row r="19056" spans="1:4" ht="12.75" customHeight="1" x14ac:dyDescent="0.2">
      <c r="B19056" s="11" t="s">
        <v>2605</v>
      </c>
      <c r="C19056" s="11" t="s">
        <v>14</v>
      </c>
    </row>
    <row r="19057" spans="1:4" ht="12.75" customHeight="1" x14ac:dyDescent="0.2">
      <c r="B19057" s="11" t="s">
        <v>2606</v>
      </c>
      <c r="C19057" s="16" t="s">
        <v>98</v>
      </c>
      <c r="D19057" s="6" t="str">
        <f>HYPERLINK("javascript:void(0)","kincs")</f>
        <v>kincs</v>
      </c>
    </row>
    <row r="19058" spans="1:4" ht="12.75" customHeight="1" x14ac:dyDescent="0.2">
      <c r="B19058" s="2"/>
      <c r="C19058" s="15"/>
      <c r="D19058" s="2"/>
    </row>
    <row r="19059" spans="1:4" ht="12.75" customHeight="1" x14ac:dyDescent="0.2">
      <c r="B19059" s="2"/>
      <c r="C19059" s="15"/>
      <c r="D19059" s="2"/>
    </row>
    <row r="19060" spans="1:4" ht="12.75" customHeight="1" x14ac:dyDescent="0.2">
      <c r="A19060" s="13" t="s">
        <v>5676</v>
      </c>
      <c r="C19060" s="12"/>
    </row>
    <row r="19061" spans="1:4" ht="12.75" customHeight="1" x14ac:dyDescent="0.2">
      <c r="A19061" s="11"/>
      <c r="B19061" s="2"/>
      <c r="C19061" s="15"/>
      <c r="D19061" s="2"/>
    </row>
    <row r="19062" spans="1:4" ht="12.75" customHeight="1" x14ac:dyDescent="0.2">
      <c r="B19062" s="11" t="s">
        <v>0</v>
      </c>
      <c r="C19062" s="11" t="s">
        <v>347</v>
      </c>
    </row>
    <row r="19063" spans="1:4" ht="12.75" customHeight="1" x14ac:dyDescent="0.2">
      <c r="B19063" s="11" t="s">
        <v>2599</v>
      </c>
      <c r="C19063" s="11" t="s">
        <v>3952</v>
      </c>
    </row>
    <row r="19064" spans="1:4" ht="25.5" customHeight="1" x14ac:dyDescent="0.2">
      <c r="B19064" s="11" t="s">
        <v>2600</v>
      </c>
      <c r="C19064" s="11" t="s">
        <v>5677</v>
      </c>
    </row>
    <row r="19065" spans="1:4" ht="25.5" customHeight="1" x14ac:dyDescent="0.2">
      <c r="B19065" s="11" t="s">
        <v>2601</v>
      </c>
      <c r="C19065" s="11"/>
    </row>
    <row r="19066" spans="1:4" ht="12.75" customHeight="1" x14ac:dyDescent="0.2">
      <c r="B19066" s="11" t="s">
        <v>16</v>
      </c>
      <c r="C19066" s="11"/>
    </row>
    <row r="19067" spans="1:4" ht="12.75" customHeight="1" x14ac:dyDescent="0.2">
      <c r="B19067" s="11" t="s">
        <v>13</v>
      </c>
      <c r="C19067" s="11" t="s">
        <v>2602</v>
      </c>
    </row>
    <row r="19068" spans="1:4" ht="12.75" customHeight="1" x14ac:dyDescent="0.2">
      <c r="B19068" s="11" t="s">
        <v>2603</v>
      </c>
      <c r="C19068" s="11" t="s">
        <v>2604</v>
      </c>
    </row>
    <row r="19069" spans="1:4" ht="12.75" customHeight="1" x14ac:dyDescent="0.2">
      <c r="B19069" s="11" t="s">
        <v>2605</v>
      </c>
      <c r="C19069" s="11" t="s">
        <v>14</v>
      </c>
    </row>
    <row r="19070" spans="1:4" ht="12.75" customHeight="1" x14ac:dyDescent="0.2">
      <c r="B19070" s="11" t="s">
        <v>2606</v>
      </c>
      <c r="C19070" s="16" t="s">
        <v>98</v>
      </c>
      <c r="D19070" s="6" t="str">
        <f>HYPERLINK("javascript:void(0)","kincs")</f>
        <v>kincs</v>
      </c>
    </row>
    <row r="19071" spans="1:4" ht="12.75" customHeight="1" x14ac:dyDescent="0.2">
      <c r="B19071" s="2"/>
      <c r="C19071" s="15"/>
      <c r="D19071" s="2"/>
    </row>
    <row r="19072" spans="1:4" ht="12.75" customHeight="1" x14ac:dyDescent="0.2">
      <c r="B19072" s="2"/>
      <c r="C19072" s="15"/>
      <c r="D19072" s="2"/>
    </row>
    <row r="19073" spans="1:4" ht="12.75" customHeight="1" x14ac:dyDescent="0.2">
      <c r="A19073" s="13" t="s">
        <v>5678</v>
      </c>
      <c r="C19073" s="12"/>
    </row>
    <row r="19074" spans="1:4" ht="12.75" customHeight="1" x14ac:dyDescent="0.2">
      <c r="A19074" s="11"/>
      <c r="B19074" s="2"/>
      <c r="C19074" s="15"/>
      <c r="D19074" s="2"/>
    </row>
    <row r="19075" spans="1:4" ht="12.75" customHeight="1" x14ac:dyDescent="0.2">
      <c r="B19075" s="11" t="s">
        <v>0</v>
      </c>
      <c r="C19075" s="11" t="s">
        <v>347</v>
      </c>
    </row>
    <row r="19076" spans="1:4" ht="12.75" customHeight="1" x14ac:dyDescent="0.2">
      <c r="B19076" s="11" t="s">
        <v>2599</v>
      </c>
      <c r="C19076" s="11" t="s">
        <v>5679</v>
      </c>
    </row>
    <row r="19077" spans="1:4" ht="25.5" customHeight="1" x14ac:dyDescent="0.2">
      <c r="B19077" s="11" t="s">
        <v>2600</v>
      </c>
      <c r="C19077" s="11" t="s">
        <v>5680</v>
      </c>
    </row>
    <row r="19078" spans="1:4" ht="25.5" customHeight="1" x14ac:dyDescent="0.2">
      <c r="B19078" s="11" t="s">
        <v>2601</v>
      </c>
      <c r="C19078" s="11"/>
    </row>
    <row r="19079" spans="1:4" ht="12.75" customHeight="1" x14ac:dyDescent="0.2">
      <c r="B19079" s="11" t="s">
        <v>16</v>
      </c>
      <c r="C19079" s="11"/>
    </row>
    <row r="19080" spans="1:4" ht="12.75" customHeight="1" x14ac:dyDescent="0.2">
      <c r="B19080" s="11" t="s">
        <v>13</v>
      </c>
      <c r="C19080" s="11" t="s">
        <v>2602</v>
      </c>
    </row>
    <row r="19081" spans="1:4" ht="12.75" customHeight="1" x14ac:dyDescent="0.2">
      <c r="B19081" s="11" t="s">
        <v>2603</v>
      </c>
      <c r="C19081" s="11" t="s">
        <v>2604</v>
      </c>
    </row>
    <row r="19082" spans="1:4" ht="12.75" customHeight="1" x14ac:dyDescent="0.2">
      <c r="B19082" s="11" t="s">
        <v>2605</v>
      </c>
      <c r="C19082" s="11" t="s">
        <v>24</v>
      </c>
    </row>
    <row r="19083" spans="1:4" ht="12.75" customHeight="1" x14ac:dyDescent="0.2">
      <c r="B19083" s="11" t="s">
        <v>2606</v>
      </c>
      <c r="C19083" s="16" t="s">
        <v>44</v>
      </c>
      <c r="D19083" s="6" t="str">
        <f>HYPERLINK("javascript:void(0)","lélekfodor")</f>
        <v>lélekfodor</v>
      </c>
    </row>
    <row r="19084" spans="1:4" ht="12.75" customHeight="1" x14ac:dyDescent="0.2">
      <c r="C19084" s="16" t="s">
        <v>44</v>
      </c>
      <c r="D19084" s="6" t="str">
        <f>HYPERLINK("javascript:void(0)","fiola")</f>
        <v>fiola</v>
      </c>
    </row>
    <row r="19085" spans="1:4" ht="12.75" customHeight="1" x14ac:dyDescent="0.2">
      <c r="C19085" s="16" t="s">
        <v>44</v>
      </c>
      <c r="D19085" s="6" t="str">
        <f>HYPERLINK("javascript:void(0)","nekroige")</f>
        <v>nekroige</v>
      </c>
    </row>
    <row r="19086" spans="1:4" ht="12.75" customHeight="1" x14ac:dyDescent="0.2">
      <c r="B19086" s="2"/>
      <c r="C19086" s="15"/>
      <c r="D19086" s="2"/>
    </row>
    <row r="19087" spans="1:4" ht="12.75" customHeight="1" x14ac:dyDescent="0.2">
      <c r="B19087" s="2"/>
      <c r="C19087" s="15"/>
      <c r="D19087" s="2"/>
    </row>
    <row r="19088" spans="1:4" ht="12.75" customHeight="1" x14ac:dyDescent="0.2">
      <c r="A19088" s="13" t="s">
        <v>5681</v>
      </c>
      <c r="C19088" s="12"/>
    </row>
    <row r="19089" spans="1:4" ht="12.75" customHeight="1" x14ac:dyDescent="0.2">
      <c r="A19089" s="11"/>
      <c r="B19089" s="2"/>
      <c r="C19089" s="15"/>
      <c r="D19089" s="2"/>
    </row>
    <row r="19090" spans="1:4" ht="12.75" customHeight="1" x14ac:dyDescent="0.2">
      <c r="B19090" s="11" t="s">
        <v>0</v>
      </c>
      <c r="C19090" s="11" t="s">
        <v>347</v>
      </c>
    </row>
    <row r="19091" spans="1:4" ht="12.75" customHeight="1" x14ac:dyDescent="0.2">
      <c r="B19091" s="11" t="s">
        <v>2599</v>
      </c>
      <c r="C19091" s="11" t="s">
        <v>410</v>
      </c>
    </row>
    <row r="19092" spans="1:4" ht="25.5" customHeight="1" x14ac:dyDescent="0.2">
      <c r="B19092" s="11" t="s">
        <v>2600</v>
      </c>
      <c r="C19092" s="11" t="s">
        <v>5682</v>
      </c>
    </row>
    <row r="19093" spans="1:4" ht="25.5" customHeight="1" x14ac:dyDescent="0.2">
      <c r="B19093" s="11" t="s">
        <v>2601</v>
      </c>
      <c r="C19093" s="11"/>
    </row>
    <row r="19094" spans="1:4" ht="12.75" customHeight="1" x14ac:dyDescent="0.2">
      <c r="B19094" s="11" t="s">
        <v>16</v>
      </c>
      <c r="C19094" s="11"/>
    </row>
    <row r="19095" spans="1:4" ht="12.75" customHeight="1" x14ac:dyDescent="0.2">
      <c r="B19095" s="11" t="s">
        <v>13</v>
      </c>
      <c r="C19095" s="11" t="s">
        <v>2644</v>
      </c>
    </row>
    <row r="19096" spans="1:4" ht="12.75" customHeight="1" x14ac:dyDescent="0.2">
      <c r="B19096" s="11" t="s">
        <v>2603</v>
      </c>
      <c r="C19096" s="11" t="s">
        <v>2604</v>
      </c>
    </row>
    <row r="19097" spans="1:4" ht="12.75" customHeight="1" x14ac:dyDescent="0.2">
      <c r="B19097" s="11" t="s">
        <v>2605</v>
      </c>
      <c r="C19097" s="11" t="s">
        <v>24</v>
      </c>
    </row>
    <row r="19098" spans="1:4" ht="12.75" customHeight="1" x14ac:dyDescent="0.2">
      <c r="B19098" s="11" t="s">
        <v>2606</v>
      </c>
      <c r="C19098" s="16" t="s">
        <v>44</v>
      </c>
      <c r="D19098" s="6" t="str">
        <f>HYPERLINK("javascript:void(0)","cingulum")</f>
        <v>cingulum</v>
      </c>
    </row>
    <row r="19099" spans="1:4" ht="12.75" customHeight="1" x14ac:dyDescent="0.2">
      <c r="B19099" s="2"/>
      <c r="C19099" s="15"/>
      <c r="D19099" s="2"/>
    </row>
    <row r="19100" spans="1:4" ht="12.75" customHeight="1" x14ac:dyDescent="0.2">
      <c r="B19100" s="2"/>
      <c r="C19100" s="15"/>
      <c r="D19100" s="2"/>
    </row>
    <row r="19101" spans="1:4" ht="12.75" customHeight="1" x14ac:dyDescent="0.2">
      <c r="A19101" s="13" t="s">
        <v>5683</v>
      </c>
      <c r="C19101" s="12"/>
      <c r="D19101" s="2"/>
    </row>
    <row r="19102" spans="1:4" ht="12.75" customHeight="1" x14ac:dyDescent="0.2">
      <c r="A19102" s="11"/>
      <c r="B19102" s="2"/>
      <c r="C19102" s="15"/>
      <c r="D19102" s="2"/>
    </row>
    <row r="19103" spans="1:4" ht="12.75" customHeight="1" x14ac:dyDescent="0.2">
      <c r="B19103" s="11" t="s">
        <v>0</v>
      </c>
      <c r="C19103" s="17" t="s">
        <v>347</v>
      </c>
      <c r="D19103" s="2"/>
    </row>
    <row r="19104" spans="1:4" ht="12.75" customHeight="1" x14ac:dyDescent="0.2">
      <c r="B19104" s="11" t="s">
        <v>2599</v>
      </c>
      <c r="C19104" s="17" t="s">
        <v>5684</v>
      </c>
      <c r="D19104" s="2"/>
    </row>
    <row r="19105" spans="1:4" ht="25.5" customHeight="1" x14ac:dyDescent="0.2">
      <c r="B19105" s="11" t="s">
        <v>2600</v>
      </c>
      <c r="C19105" s="17" t="s">
        <v>5685</v>
      </c>
      <c r="D19105" s="2"/>
    </row>
    <row r="19106" spans="1:4" ht="25.5" customHeight="1" x14ac:dyDescent="0.2">
      <c r="B19106" s="11" t="s">
        <v>2601</v>
      </c>
      <c r="C19106" s="17"/>
      <c r="D19106" s="2"/>
    </row>
    <row r="19107" spans="1:4" ht="12.75" customHeight="1" x14ac:dyDescent="0.2">
      <c r="B19107" s="11" t="s">
        <v>16</v>
      </c>
      <c r="C19107" s="17"/>
      <c r="D19107" s="2"/>
    </row>
    <row r="19108" spans="1:4" ht="12.75" customHeight="1" x14ac:dyDescent="0.2">
      <c r="B19108" s="11" t="s">
        <v>13</v>
      </c>
      <c r="C19108" s="17" t="s">
        <v>2602</v>
      </c>
      <c r="D19108" s="2"/>
    </row>
    <row r="19109" spans="1:4" ht="25.5" customHeight="1" x14ac:dyDescent="0.2">
      <c r="B19109" s="11" t="s">
        <v>2603</v>
      </c>
      <c r="C19109" s="17" t="s">
        <v>2971</v>
      </c>
      <c r="D19109" s="2"/>
    </row>
    <row r="19110" spans="1:4" ht="12.75" customHeight="1" x14ac:dyDescent="0.2">
      <c r="B19110" s="11" t="s">
        <v>2605</v>
      </c>
      <c r="C19110" s="17" t="s">
        <v>14</v>
      </c>
      <c r="D19110" s="2"/>
    </row>
    <row r="19111" spans="1:4" ht="12.75" customHeight="1" x14ac:dyDescent="0.2">
      <c r="B19111" s="11" t="s">
        <v>2606</v>
      </c>
      <c r="C19111" s="16" t="s">
        <v>19</v>
      </c>
      <c r="D19111" s="2"/>
    </row>
    <row r="19112" spans="1:4" ht="12.75" customHeight="1" x14ac:dyDescent="0.2">
      <c r="B19112" s="2"/>
      <c r="C19112" s="15"/>
      <c r="D19112" s="2"/>
    </row>
    <row r="19113" spans="1:4" ht="12.75" customHeight="1" x14ac:dyDescent="0.2">
      <c r="B19113" s="2"/>
      <c r="C19113" s="15"/>
      <c r="D19113" s="2"/>
    </row>
    <row r="19114" spans="1:4" ht="12.75" customHeight="1" x14ac:dyDescent="0.2">
      <c r="A19114" s="13" t="s">
        <v>5686</v>
      </c>
      <c r="C19114" s="12"/>
      <c r="D19114" s="2"/>
    </row>
    <row r="19115" spans="1:4" ht="12.75" customHeight="1" x14ac:dyDescent="0.2">
      <c r="A19115" s="11"/>
      <c r="B19115" s="2"/>
      <c r="C19115" s="15"/>
      <c r="D19115" s="2"/>
    </row>
    <row r="19116" spans="1:4" ht="12.75" customHeight="1" x14ac:dyDescent="0.2">
      <c r="B19116" s="11" t="s">
        <v>0</v>
      </c>
      <c r="C19116" s="17" t="s">
        <v>347</v>
      </c>
      <c r="D19116" s="2"/>
    </row>
    <row r="19117" spans="1:4" ht="12.75" customHeight="1" x14ac:dyDescent="0.2">
      <c r="B19117" s="11" t="s">
        <v>2599</v>
      </c>
      <c r="C19117" s="17" t="s">
        <v>5687</v>
      </c>
      <c r="D19117" s="2"/>
    </row>
    <row r="19118" spans="1:4" ht="25.5" customHeight="1" x14ac:dyDescent="0.2">
      <c r="B19118" s="11" t="s">
        <v>2600</v>
      </c>
      <c r="C19118" s="17" t="s">
        <v>5688</v>
      </c>
      <c r="D19118" s="2"/>
    </row>
    <row r="19119" spans="1:4" ht="25.5" customHeight="1" x14ac:dyDescent="0.2">
      <c r="B19119" s="11" t="s">
        <v>2601</v>
      </c>
      <c r="C19119" s="17"/>
      <c r="D19119" s="2"/>
    </row>
    <row r="19120" spans="1:4" ht="12.75" customHeight="1" x14ac:dyDescent="0.2">
      <c r="B19120" s="11" t="s">
        <v>16</v>
      </c>
      <c r="C19120" s="17"/>
      <c r="D19120" s="2"/>
    </row>
    <row r="19121" spans="1:4" ht="12.75" customHeight="1" x14ac:dyDescent="0.2">
      <c r="B19121" s="11" t="s">
        <v>13</v>
      </c>
      <c r="C19121" s="17" t="s">
        <v>2644</v>
      </c>
      <c r="D19121" s="2"/>
    </row>
    <row r="19122" spans="1:4" ht="25.5" customHeight="1" x14ac:dyDescent="0.2">
      <c r="B19122" s="11" t="s">
        <v>2603</v>
      </c>
      <c r="C19122" s="17" t="s">
        <v>2971</v>
      </c>
      <c r="D19122" s="2"/>
    </row>
    <row r="19123" spans="1:4" ht="12.75" customHeight="1" x14ac:dyDescent="0.2">
      <c r="B19123" s="11" t="s">
        <v>2605</v>
      </c>
      <c r="C19123" s="17" t="s">
        <v>14</v>
      </c>
      <c r="D19123" s="2"/>
    </row>
    <row r="19124" spans="1:4" ht="12.75" customHeight="1" x14ac:dyDescent="0.2">
      <c r="B19124" s="11" t="s">
        <v>2606</v>
      </c>
      <c r="C19124" s="16" t="s">
        <v>19</v>
      </c>
      <c r="D19124" s="2"/>
    </row>
    <row r="19125" spans="1:4" ht="12.75" customHeight="1" x14ac:dyDescent="0.2">
      <c r="B19125" s="2"/>
      <c r="C19125" s="15"/>
      <c r="D19125" s="2"/>
    </row>
    <row r="19126" spans="1:4" ht="12.75" customHeight="1" x14ac:dyDescent="0.2">
      <c r="B19126" s="2"/>
      <c r="C19126" s="15"/>
      <c r="D19126" s="2"/>
    </row>
    <row r="19127" spans="1:4" ht="12.75" customHeight="1" x14ac:dyDescent="0.2">
      <c r="A19127" s="13" t="s">
        <v>5689</v>
      </c>
      <c r="C19127" s="12"/>
      <c r="D19127" s="2"/>
    </row>
    <row r="19128" spans="1:4" ht="12.75" customHeight="1" x14ac:dyDescent="0.2">
      <c r="A19128" s="11"/>
      <c r="B19128" s="2"/>
      <c r="C19128" s="15"/>
      <c r="D19128" s="2"/>
    </row>
    <row r="19129" spans="1:4" ht="12.75" customHeight="1" x14ac:dyDescent="0.2">
      <c r="B19129" s="11" t="s">
        <v>0</v>
      </c>
      <c r="C19129" s="17" t="s">
        <v>347</v>
      </c>
      <c r="D19129" s="2"/>
    </row>
    <row r="19130" spans="1:4" ht="12.75" customHeight="1" x14ac:dyDescent="0.2">
      <c r="B19130" s="11" t="s">
        <v>2599</v>
      </c>
      <c r="C19130" s="17" t="s">
        <v>3382</v>
      </c>
      <c r="D19130" s="2"/>
    </row>
    <row r="19131" spans="1:4" ht="25.5" customHeight="1" x14ac:dyDescent="0.2">
      <c r="B19131" s="11" t="s">
        <v>2600</v>
      </c>
      <c r="C19131" s="17" t="s">
        <v>5690</v>
      </c>
      <c r="D19131" s="2"/>
    </row>
    <row r="19132" spans="1:4" ht="25.5" customHeight="1" x14ac:dyDescent="0.2">
      <c r="B19132" s="11" t="s">
        <v>2601</v>
      </c>
      <c r="C19132" s="17"/>
      <c r="D19132" s="2"/>
    </row>
    <row r="19133" spans="1:4" ht="12.75" customHeight="1" x14ac:dyDescent="0.2">
      <c r="B19133" s="11" t="s">
        <v>16</v>
      </c>
      <c r="C19133" s="17"/>
      <c r="D19133" s="2"/>
    </row>
    <row r="19134" spans="1:4" ht="12.75" customHeight="1" x14ac:dyDescent="0.2">
      <c r="B19134" s="11" t="s">
        <v>13</v>
      </c>
      <c r="C19134" s="17" t="s">
        <v>2602</v>
      </c>
      <c r="D19134" s="2"/>
    </row>
    <row r="19135" spans="1:4" ht="25.5" customHeight="1" x14ac:dyDescent="0.2">
      <c r="B19135" s="11" t="s">
        <v>2603</v>
      </c>
      <c r="C19135" s="17" t="s">
        <v>2971</v>
      </c>
      <c r="D19135" s="2"/>
    </row>
    <row r="19136" spans="1:4" ht="12.75" customHeight="1" x14ac:dyDescent="0.2">
      <c r="B19136" s="11" t="s">
        <v>2605</v>
      </c>
      <c r="C19136" s="17" t="s">
        <v>14</v>
      </c>
      <c r="D19136" s="2"/>
    </row>
    <row r="19137" spans="1:4" ht="12.75" customHeight="1" x14ac:dyDescent="0.2">
      <c r="B19137" s="11" t="s">
        <v>2606</v>
      </c>
      <c r="C19137" s="16" t="s">
        <v>19</v>
      </c>
      <c r="D19137" s="2"/>
    </row>
    <row r="19138" spans="1:4" ht="12.75" customHeight="1" x14ac:dyDescent="0.2">
      <c r="B19138" s="2"/>
      <c r="C19138" s="15"/>
      <c r="D19138" s="2"/>
    </row>
    <row r="19139" spans="1:4" ht="12.75" customHeight="1" x14ac:dyDescent="0.2">
      <c r="B19139" s="2"/>
      <c r="C19139" s="15"/>
      <c r="D19139" s="2"/>
    </row>
    <row r="19140" spans="1:4" ht="12.75" customHeight="1" x14ac:dyDescent="0.2">
      <c r="A19140" s="13" t="s">
        <v>5659</v>
      </c>
      <c r="C19140" s="12"/>
      <c r="D19140" s="2"/>
    </row>
    <row r="19141" spans="1:4" ht="12.75" customHeight="1" x14ac:dyDescent="0.2">
      <c r="A19141" s="11"/>
      <c r="B19141" s="2"/>
      <c r="C19141" s="15"/>
      <c r="D19141" s="2"/>
    </row>
    <row r="19142" spans="1:4" ht="12.75" customHeight="1" x14ac:dyDescent="0.2">
      <c r="B19142" s="11" t="s">
        <v>0</v>
      </c>
      <c r="C19142" s="17" t="s">
        <v>312</v>
      </c>
      <c r="D19142" s="2"/>
    </row>
    <row r="19143" spans="1:4" ht="12.75" customHeight="1" x14ac:dyDescent="0.2">
      <c r="B19143" s="11" t="s">
        <v>2599</v>
      </c>
      <c r="C19143" s="17" t="s">
        <v>5660</v>
      </c>
      <c r="D19143" s="2"/>
    </row>
    <row r="19144" spans="1:4" ht="25.5" customHeight="1" x14ac:dyDescent="0.2">
      <c r="B19144" s="11" t="s">
        <v>2600</v>
      </c>
      <c r="C19144" s="17" t="s">
        <v>5691</v>
      </c>
      <c r="D19144" s="2"/>
    </row>
    <row r="19145" spans="1:4" ht="25.5" customHeight="1" x14ac:dyDescent="0.2">
      <c r="B19145" s="11" t="s">
        <v>2601</v>
      </c>
      <c r="C19145" s="17"/>
      <c r="D19145" s="2"/>
    </row>
    <row r="19146" spans="1:4" ht="12.75" customHeight="1" x14ac:dyDescent="0.2">
      <c r="B19146" s="11" t="s">
        <v>16</v>
      </c>
      <c r="C19146" s="17"/>
      <c r="D19146" s="2"/>
    </row>
    <row r="19147" spans="1:4" ht="12.75" customHeight="1" x14ac:dyDescent="0.2">
      <c r="B19147" s="11" t="s">
        <v>13</v>
      </c>
      <c r="C19147" s="17" t="s">
        <v>2644</v>
      </c>
      <c r="D19147" s="2"/>
    </row>
    <row r="19148" spans="1:4" ht="25.5" customHeight="1" x14ac:dyDescent="0.2">
      <c r="B19148" s="11" t="s">
        <v>2603</v>
      </c>
      <c r="C19148" s="17" t="s">
        <v>2971</v>
      </c>
      <c r="D19148" s="2"/>
    </row>
    <row r="19149" spans="1:4" ht="12.75" customHeight="1" x14ac:dyDescent="0.2">
      <c r="B19149" s="11" t="s">
        <v>2605</v>
      </c>
      <c r="C19149" s="17" t="s">
        <v>14</v>
      </c>
      <c r="D19149" s="2"/>
    </row>
    <row r="19150" spans="1:4" ht="12.75" customHeight="1" x14ac:dyDescent="0.2">
      <c r="B19150" s="11" t="s">
        <v>2606</v>
      </c>
      <c r="C19150" s="16" t="s">
        <v>19</v>
      </c>
      <c r="D19150" s="2"/>
    </row>
    <row r="19151" spans="1:4" ht="12.75" customHeight="1" x14ac:dyDescent="0.2">
      <c r="B19151" s="2"/>
      <c r="C19151" s="15"/>
      <c r="D19151" s="2"/>
    </row>
    <row r="19152" spans="1:4" ht="12.75" customHeight="1" x14ac:dyDescent="0.2">
      <c r="B19152" s="2"/>
      <c r="C19152" s="15"/>
      <c r="D19152" s="2"/>
    </row>
    <row r="19153" spans="1:4" ht="12.75" customHeight="1" x14ac:dyDescent="0.2">
      <c r="A19153" s="13" t="s">
        <v>2962</v>
      </c>
      <c r="C19153" s="12"/>
    </row>
    <row r="19154" spans="1:4" ht="12.75" customHeight="1" x14ac:dyDescent="0.2">
      <c r="A19154" s="11"/>
      <c r="B19154" s="2"/>
      <c r="C19154" s="15"/>
      <c r="D19154" s="2"/>
    </row>
    <row r="19155" spans="1:4" ht="12.75" customHeight="1" x14ac:dyDescent="0.2">
      <c r="B19155" s="11" t="s">
        <v>0</v>
      </c>
      <c r="C19155" s="11" t="s">
        <v>312</v>
      </c>
    </row>
    <row r="19156" spans="1:4" ht="12.75" customHeight="1" x14ac:dyDescent="0.2">
      <c r="B19156" s="11" t="s">
        <v>2599</v>
      </c>
      <c r="C19156" s="11" t="s">
        <v>5692</v>
      </c>
    </row>
    <row r="19157" spans="1:4" ht="25.5" customHeight="1" x14ac:dyDescent="0.2">
      <c r="B19157" s="11" t="s">
        <v>2600</v>
      </c>
      <c r="C19157" s="11" t="s">
        <v>5693</v>
      </c>
    </row>
    <row r="19158" spans="1:4" ht="25.5" customHeight="1" x14ac:dyDescent="0.2">
      <c r="B19158" s="11" t="s">
        <v>2601</v>
      </c>
      <c r="C19158" s="11"/>
    </row>
    <row r="19159" spans="1:4" ht="12.75" customHeight="1" x14ac:dyDescent="0.2">
      <c r="B19159" s="11" t="s">
        <v>16</v>
      </c>
      <c r="C19159" s="11"/>
    </row>
    <row r="19160" spans="1:4" ht="12.75" customHeight="1" x14ac:dyDescent="0.2">
      <c r="B19160" s="11" t="s">
        <v>13</v>
      </c>
      <c r="C19160" s="11" t="s">
        <v>2644</v>
      </c>
    </row>
    <row r="19161" spans="1:4" ht="12.75" customHeight="1" x14ac:dyDescent="0.2">
      <c r="B19161" s="11" t="s">
        <v>2603</v>
      </c>
      <c r="C19161" s="11" t="s">
        <v>2965</v>
      </c>
    </row>
    <row r="19162" spans="1:4" ht="12.75" customHeight="1" x14ac:dyDescent="0.2">
      <c r="B19162" s="11" t="s">
        <v>2605</v>
      </c>
      <c r="C19162" s="11" t="s">
        <v>14</v>
      </c>
    </row>
    <row r="19163" spans="1:4" ht="12.75" customHeight="1" x14ac:dyDescent="0.2">
      <c r="B19163" s="11" t="s">
        <v>2606</v>
      </c>
      <c r="C19163" s="16" t="s">
        <v>44</v>
      </c>
      <c r="D19163" s="6" t="str">
        <f>HYPERLINK("javascript:void(0)","hínárgyöngy")</f>
        <v>hínárgyöngy</v>
      </c>
    </row>
    <row r="19164" spans="1:4" ht="25.5" customHeight="1" x14ac:dyDescent="0.2">
      <c r="C19164" s="16" t="s">
        <v>57</v>
      </c>
      <c r="D19164" s="6" t="str">
        <f>HYPERLINK("javascript:void(0)","harmatcsepp")</f>
        <v>harmatcsepp</v>
      </c>
    </row>
    <row r="19165" spans="1:4" ht="12.75" customHeight="1" x14ac:dyDescent="0.2">
      <c r="B19165" s="2"/>
      <c r="C19165" s="15"/>
      <c r="D19165" s="2"/>
    </row>
    <row r="19166" spans="1:4" ht="12.75" customHeight="1" x14ac:dyDescent="0.2">
      <c r="B19166" s="2"/>
      <c r="C19166" s="15"/>
      <c r="D19166" s="2"/>
    </row>
    <row r="19167" spans="1:4" ht="12.75" customHeight="1" x14ac:dyDescent="0.2">
      <c r="A19167" s="13" t="s">
        <v>5695</v>
      </c>
      <c r="C19167" s="12"/>
    </row>
    <row r="19168" spans="1:4" ht="12.75" customHeight="1" x14ac:dyDescent="0.2">
      <c r="A19168" s="11"/>
      <c r="B19168" s="2"/>
      <c r="C19168" s="15"/>
      <c r="D19168" s="2"/>
    </row>
    <row r="19169" spans="1:4" ht="12.75" customHeight="1" x14ac:dyDescent="0.2">
      <c r="B19169" s="11" t="s">
        <v>0</v>
      </c>
      <c r="C19169" s="11" t="s">
        <v>312</v>
      </c>
    </row>
    <row r="19170" spans="1:4" ht="12.75" customHeight="1" x14ac:dyDescent="0.2">
      <c r="B19170" s="11" t="s">
        <v>2599</v>
      </c>
      <c r="C19170" s="11" t="s">
        <v>5696</v>
      </c>
    </row>
    <row r="19171" spans="1:4" ht="25.5" customHeight="1" x14ac:dyDescent="0.2">
      <c r="B19171" s="11" t="s">
        <v>2600</v>
      </c>
      <c r="C19171" s="11" t="s">
        <v>5697</v>
      </c>
    </row>
    <row r="19172" spans="1:4" ht="25.5" customHeight="1" x14ac:dyDescent="0.2">
      <c r="B19172" s="11" t="s">
        <v>2601</v>
      </c>
      <c r="C19172" s="11"/>
    </row>
    <row r="19173" spans="1:4" ht="12.75" customHeight="1" x14ac:dyDescent="0.2">
      <c r="B19173" s="11" t="s">
        <v>16</v>
      </c>
      <c r="C19173" s="11"/>
    </row>
    <row r="19174" spans="1:4" ht="12.75" customHeight="1" x14ac:dyDescent="0.2">
      <c r="B19174" s="11" t="s">
        <v>13</v>
      </c>
      <c r="C19174" s="11" t="s">
        <v>2602</v>
      </c>
    </row>
    <row r="19175" spans="1:4" ht="12.75" customHeight="1" x14ac:dyDescent="0.2">
      <c r="B19175" s="11" t="s">
        <v>2603</v>
      </c>
      <c r="C19175" s="11" t="s">
        <v>2604</v>
      </c>
    </row>
    <row r="19176" spans="1:4" ht="12.75" customHeight="1" x14ac:dyDescent="0.2">
      <c r="B19176" s="11" t="s">
        <v>2605</v>
      </c>
      <c r="C19176" s="11" t="s">
        <v>24</v>
      </c>
    </row>
    <row r="19177" spans="1:4" ht="12.75" customHeight="1" x14ac:dyDescent="0.2">
      <c r="B19177" s="11" t="s">
        <v>2606</v>
      </c>
      <c r="C19177" s="16" t="s">
        <v>55</v>
      </c>
      <c r="D19177" s="6" t="str">
        <f>HYPERLINK("javascript:void(0)","kvarc")</f>
        <v>kvarc</v>
      </c>
    </row>
    <row r="19178" spans="1:4" ht="12.75" customHeight="1" x14ac:dyDescent="0.2">
      <c r="B19178" s="2"/>
      <c r="C19178" s="15"/>
      <c r="D19178" s="2"/>
    </row>
    <row r="19179" spans="1:4" ht="12.75" customHeight="1" x14ac:dyDescent="0.2">
      <c r="B19179" s="2"/>
      <c r="C19179" s="15"/>
      <c r="D19179" s="2"/>
    </row>
    <row r="19180" spans="1:4" ht="12.75" customHeight="1" x14ac:dyDescent="0.2">
      <c r="A19180" s="13" t="s">
        <v>5699</v>
      </c>
      <c r="C19180" s="12"/>
    </row>
    <row r="19181" spans="1:4" ht="12.75" customHeight="1" x14ac:dyDescent="0.2">
      <c r="A19181" s="11"/>
      <c r="B19181" s="2"/>
      <c r="C19181" s="15"/>
      <c r="D19181" s="2"/>
    </row>
    <row r="19182" spans="1:4" ht="12.75" customHeight="1" x14ac:dyDescent="0.2">
      <c r="B19182" s="11" t="s">
        <v>0</v>
      </c>
      <c r="C19182" s="11" t="s">
        <v>312</v>
      </c>
    </row>
    <row r="19183" spans="1:4" ht="12.75" customHeight="1" x14ac:dyDescent="0.2">
      <c r="B19183" s="11" t="s">
        <v>2599</v>
      </c>
      <c r="C19183" s="11" t="s">
        <v>5692</v>
      </c>
    </row>
    <row r="19184" spans="1:4" ht="25.5" customHeight="1" x14ac:dyDescent="0.2">
      <c r="B19184" s="11" t="s">
        <v>2600</v>
      </c>
      <c r="C19184" s="11" t="s">
        <v>5700</v>
      </c>
    </row>
    <row r="19185" spans="1:4" ht="25.5" customHeight="1" x14ac:dyDescent="0.2">
      <c r="B19185" s="11" t="s">
        <v>2601</v>
      </c>
      <c r="C19185" s="11"/>
    </row>
    <row r="19186" spans="1:4" ht="12.75" customHeight="1" x14ac:dyDescent="0.2">
      <c r="B19186" s="11" t="s">
        <v>16</v>
      </c>
      <c r="C19186" s="11"/>
    </row>
    <row r="19187" spans="1:4" ht="12.75" customHeight="1" x14ac:dyDescent="0.2">
      <c r="B19187" s="11" t="s">
        <v>13</v>
      </c>
      <c r="C19187" s="11" t="s">
        <v>2644</v>
      </c>
    </row>
    <row r="19188" spans="1:4" ht="12.75" customHeight="1" x14ac:dyDescent="0.2">
      <c r="B19188" s="11" t="s">
        <v>2603</v>
      </c>
      <c r="C19188" s="11" t="s">
        <v>2604</v>
      </c>
    </row>
    <row r="19189" spans="1:4" ht="12.75" customHeight="1" x14ac:dyDescent="0.2">
      <c r="B19189" s="11" t="s">
        <v>2605</v>
      </c>
      <c r="C19189" s="11" t="s">
        <v>14</v>
      </c>
    </row>
    <row r="19190" spans="1:4" ht="12.75" customHeight="1" x14ac:dyDescent="0.2">
      <c r="B19190" s="11" t="s">
        <v>2606</v>
      </c>
      <c r="C19190" s="16" t="s">
        <v>98</v>
      </c>
      <c r="D19190" s="6" t="str">
        <f>HYPERLINK("javascript:void(0)","kincs")</f>
        <v>kincs</v>
      </c>
    </row>
    <row r="19191" spans="1:4" ht="12.75" customHeight="1" x14ac:dyDescent="0.2">
      <c r="B19191" s="2"/>
      <c r="C19191" s="15"/>
      <c r="D19191" s="2"/>
    </row>
    <row r="19192" spans="1:4" ht="12.75" customHeight="1" x14ac:dyDescent="0.2">
      <c r="B19192" s="2"/>
      <c r="C19192" s="15"/>
      <c r="D19192" s="2"/>
    </row>
    <row r="19193" spans="1:4" ht="12.75" customHeight="1" x14ac:dyDescent="0.2">
      <c r="A19193" s="13" t="s">
        <v>5701</v>
      </c>
      <c r="C19193" s="12"/>
    </row>
    <row r="19194" spans="1:4" ht="12.75" customHeight="1" x14ac:dyDescent="0.2">
      <c r="A19194" s="11"/>
      <c r="B19194" s="2"/>
      <c r="C19194" s="15"/>
      <c r="D19194" s="2"/>
    </row>
    <row r="19195" spans="1:4" ht="12.75" customHeight="1" x14ac:dyDescent="0.2">
      <c r="B19195" s="11" t="s">
        <v>0</v>
      </c>
      <c r="C19195" s="11" t="s">
        <v>312</v>
      </c>
    </row>
    <row r="19196" spans="1:4" ht="12.75" customHeight="1" x14ac:dyDescent="0.2">
      <c r="B19196" s="11" t="s">
        <v>2599</v>
      </c>
      <c r="C19196" s="11" t="s">
        <v>5702</v>
      </c>
    </row>
    <row r="19197" spans="1:4" ht="25.5" customHeight="1" x14ac:dyDescent="0.2">
      <c r="B19197" s="11" t="s">
        <v>2600</v>
      </c>
      <c r="C19197" s="11" t="s">
        <v>5703</v>
      </c>
    </row>
    <row r="19198" spans="1:4" ht="25.5" customHeight="1" x14ac:dyDescent="0.2">
      <c r="B19198" s="11" t="s">
        <v>2601</v>
      </c>
      <c r="C19198" s="11"/>
    </row>
    <row r="19199" spans="1:4" ht="12.75" customHeight="1" x14ac:dyDescent="0.2">
      <c r="B19199" s="11" t="s">
        <v>16</v>
      </c>
      <c r="C19199" s="11"/>
    </row>
    <row r="19200" spans="1:4" ht="12.75" customHeight="1" x14ac:dyDescent="0.2">
      <c r="B19200" s="11" t="s">
        <v>13</v>
      </c>
      <c r="C19200" s="11" t="s">
        <v>2644</v>
      </c>
    </row>
    <row r="19201" spans="1:4" ht="12.75" customHeight="1" x14ac:dyDescent="0.2">
      <c r="B19201" s="11" t="s">
        <v>2603</v>
      </c>
      <c r="C19201" s="11" t="s">
        <v>2604</v>
      </c>
    </row>
    <row r="19202" spans="1:4" ht="12.75" customHeight="1" x14ac:dyDescent="0.2">
      <c r="B19202" s="11" t="s">
        <v>2605</v>
      </c>
      <c r="C19202" s="11" t="s">
        <v>24</v>
      </c>
    </row>
    <row r="19203" spans="1:4" ht="12.75" customHeight="1" x14ac:dyDescent="0.2">
      <c r="B19203" s="11" t="s">
        <v>2606</v>
      </c>
      <c r="C19203" s="16" t="s">
        <v>44</v>
      </c>
      <c r="D19203" s="6" t="str">
        <f>HYPERLINK("javascript:void(0)","rémkép")</f>
        <v>rémkép</v>
      </c>
    </row>
    <row r="19204" spans="1:4" ht="12.75" customHeight="1" x14ac:dyDescent="0.2">
      <c r="C19204" s="16" t="s">
        <v>67</v>
      </c>
      <c r="D19204" s="6" t="str">
        <f>HYPERLINK("javascript:void(0)","tűzige")</f>
        <v>tűzige</v>
      </c>
    </row>
    <row r="19205" spans="1:4" ht="12.75" customHeight="1" x14ac:dyDescent="0.2">
      <c r="B19205" s="2"/>
      <c r="C19205" s="15"/>
      <c r="D19205" s="2"/>
    </row>
    <row r="19206" spans="1:4" ht="12.75" customHeight="1" x14ac:dyDescent="0.2">
      <c r="B19206" s="2"/>
      <c r="C19206" s="15"/>
      <c r="D19206" s="2"/>
    </row>
    <row r="19207" spans="1:4" ht="12.75" customHeight="1" x14ac:dyDescent="0.2">
      <c r="A19207" s="13" t="s">
        <v>5705</v>
      </c>
      <c r="C19207" s="12"/>
    </row>
    <row r="19208" spans="1:4" ht="12.75" customHeight="1" x14ac:dyDescent="0.2">
      <c r="A19208" s="11"/>
      <c r="B19208" s="2"/>
      <c r="C19208" s="15"/>
      <c r="D19208" s="2"/>
    </row>
    <row r="19209" spans="1:4" ht="12.75" customHeight="1" x14ac:dyDescent="0.2">
      <c r="B19209" s="11" t="s">
        <v>0</v>
      </c>
      <c r="C19209" s="11" t="s">
        <v>312</v>
      </c>
    </row>
    <row r="19210" spans="1:4" ht="12.75" customHeight="1" x14ac:dyDescent="0.2">
      <c r="B19210" s="11" t="s">
        <v>2599</v>
      </c>
      <c r="C19210" s="11" t="s">
        <v>5706</v>
      </c>
    </row>
    <row r="19211" spans="1:4" ht="25.5" customHeight="1" x14ac:dyDescent="0.2">
      <c r="B19211" s="11" t="s">
        <v>2600</v>
      </c>
      <c r="C19211" s="11" t="s">
        <v>5707</v>
      </c>
    </row>
    <row r="19212" spans="1:4" ht="25.5" customHeight="1" x14ac:dyDescent="0.2">
      <c r="B19212" s="11" t="s">
        <v>2601</v>
      </c>
      <c r="C19212" s="11"/>
    </row>
    <row r="19213" spans="1:4" ht="12.75" customHeight="1" x14ac:dyDescent="0.2">
      <c r="B19213" s="11" t="s">
        <v>16</v>
      </c>
      <c r="C19213" s="11"/>
    </row>
    <row r="19214" spans="1:4" ht="12.75" customHeight="1" x14ac:dyDescent="0.2">
      <c r="B19214" s="11" t="s">
        <v>13</v>
      </c>
      <c r="C19214" s="11" t="s">
        <v>2644</v>
      </c>
    </row>
    <row r="19215" spans="1:4" ht="12.75" customHeight="1" x14ac:dyDescent="0.2">
      <c r="B19215" s="11" t="s">
        <v>2603</v>
      </c>
      <c r="C19215" s="11" t="s">
        <v>2604</v>
      </c>
    </row>
    <row r="19216" spans="1:4" ht="12.75" customHeight="1" x14ac:dyDescent="0.2">
      <c r="B19216" s="11" t="s">
        <v>2605</v>
      </c>
      <c r="C19216" s="11" t="s">
        <v>14</v>
      </c>
    </row>
    <row r="19217" spans="1:4" ht="12.75" customHeight="1" x14ac:dyDescent="0.2">
      <c r="B19217" s="11" t="s">
        <v>2606</v>
      </c>
      <c r="C19217" s="16" t="s">
        <v>98</v>
      </c>
      <c r="D19217" s="6" t="str">
        <f>HYPERLINK("javascript:void(0)","kincs")</f>
        <v>kincs</v>
      </c>
    </row>
    <row r="19218" spans="1:4" ht="12.75" customHeight="1" x14ac:dyDescent="0.2">
      <c r="B19218" s="2"/>
      <c r="C19218" s="15"/>
      <c r="D19218" s="2"/>
    </row>
    <row r="19219" spans="1:4" ht="12.75" customHeight="1" x14ac:dyDescent="0.2">
      <c r="B19219" s="2"/>
      <c r="C19219" s="15"/>
      <c r="D19219" s="2"/>
    </row>
    <row r="19220" spans="1:4" ht="12.75" customHeight="1" x14ac:dyDescent="0.2">
      <c r="A19220" s="13" t="s">
        <v>5708</v>
      </c>
      <c r="C19220" s="12"/>
    </row>
    <row r="19221" spans="1:4" ht="12.75" customHeight="1" x14ac:dyDescent="0.2">
      <c r="A19221" s="11"/>
      <c r="B19221" s="2"/>
      <c r="C19221" s="15"/>
      <c r="D19221" s="2"/>
    </row>
    <row r="19222" spans="1:4" ht="12.75" customHeight="1" x14ac:dyDescent="0.2">
      <c r="B19222" s="11" t="s">
        <v>0</v>
      </c>
      <c r="C19222" s="11" t="s">
        <v>312</v>
      </c>
    </row>
    <row r="19223" spans="1:4" ht="12.75" customHeight="1" x14ac:dyDescent="0.2">
      <c r="B19223" s="11" t="s">
        <v>2599</v>
      </c>
      <c r="C19223" s="11" t="s">
        <v>5709</v>
      </c>
    </row>
    <row r="19224" spans="1:4" ht="25.5" customHeight="1" x14ac:dyDescent="0.2">
      <c r="B19224" s="11" t="s">
        <v>2600</v>
      </c>
      <c r="C19224" s="11" t="s">
        <v>5710</v>
      </c>
    </row>
    <row r="19225" spans="1:4" ht="25.5" customHeight="1" x14ac:dyDescent="0.2">
      <c r="B19225" s="11" t="s">
        <v>2601</v>
      </c>
      <c r="C19225" s="11"/>
    </row>
    <row r="19226" spans="1:4" ht="12.75" customHeight="1" x14ac:dyDescent="0.2">
      <c r="B19226" s="11" t="s">
        <v>16</v>
      </c>
      <c r="C19226" s="11"/>
    </row>
    <row r="19227" spans="1:4" ht="12.75" customHeight="1" x14ac:dyDescent="0.2">
      <c r="B19227" s="11" t="s">
        <v>13</v>
      </c>
      <c r="C19227" s="11" t="s">
        <v>2602</v>
      </c>
    </row>
    <row r="19228" spans="1:4" ht="12.75" customHeight="1" x14ac:dyDescent="0.2">
      <c r="B19228" s="11" t="s">
        <v>2603</v>
      </c>
      <c r="C19228" s="11" t="s">
        <v>2604</v>
      </c>
    </row>
    <row r="19229" spans="1:4" ht="12.75" customHeight="1" x14ac:dyDescent="0.2">
      <c r="B19229" s="11" t="s">
        <v>2605</v>
      </c>
      <c r="C19229" s="11" t="s">
        <v>14</v>
      </c>
    </row>
    <row r="19230" spans="1:4" ht="12.75" customHeight="1" x14ac:dyDescent="0.2">
      <c r="B19230" s="11" t="s">
        <v>2606</v>
      </c>
      <c r="C19230" s="16" t="s">
        <v>98</v>
      </c>
      <c r="D19230" s="6" t="str">
        <f>HYPERLINK("javascript:void(0)","kincs")</f>
        <v>kincs</v>
      </c>
    </row>
    <row r="19231" spans="1:4" ht="12.75" customHeight="1" x14ac:dyDescent="0.2">
      <c r="B19231" s="2"/>
      <c r="C19231" s="15"/>
      <c r="D19231" s="2"/>
    </row>
    <row r="19232" spans="1:4" ht="12.75" customHeight="1" x14ac:dyDescent="0.2">
      <c r="B19232" s="2"/>
      <c r="C19232" s="15"/>
      <c r="D19232" s="2"/>
    </row>
    <row r="19233" spans="1:4" ht="12.75" customHeight="1" x14ac:dyDescent="0.2">
      <c r="A19233" s="13" t="s">
        <v>5711</v>
      </c>
      <c r="C19233" s="12"/>
    </row>
    <row r="19234" spans="1:4" ht="12.75" customHeight="1" x14ac:dyDescent="0.2">
      <c r="A19234" s="11"/>
      <c r="B19234" s="2"/>
      <c r="C19234" s="15"/>
      <c r="D19234" s="2"/>
    </row>
    <row r="19235" spans="1:4" ht="12.75" customHeight="1" x14ac:dyDescent="0.2">
      <c r="B19235" s="11" t="s">
        <v>0</v>
      </c>
      <c r="C19235" s="11" t="s">
        <v>312</v>
      </c>
    </row>
    <row r="19236" spans="1:4" ht="12.75" customHeight="1" x14ac:dyDescent="0.2">
      <c r="B19236" s="11" t="s">
        <v>2599</v>
      </c>
      <c r="C19236" s="11" t="s">
        <v>5712</v>
      </c>
    </row>
    <row r="19237" spans="1:4" ht="25.5" customHeight="1" x14ac:dyDescent="0.2">
      <c r="B19237" s="11" t="s">
        <v>2600</v>
      </c>
      <c r="C19237" s="11" t="s">
        <v>5713</v>
      </c>
    </row>
    <row r="19238" spans="1:4" ht="25.5" customHeight="1" x14ac:dyDescent="0.2">
      <c r="B19238" s="11" t="s">
        <v>2601</v>
      </c>
      <c r="C19238" s="11"/>
    </row>
    <row r="19239" spans="1:4" ht="12.75" customHeight="1" x14ac:dyDescent="0.2">
      <c r="B19239" s="11" t="s">
        <v>16</v>
      </c>
      <c r="C19239" s="11"/>
    </row>
    <row r="19240" spans="1:4" ht="12.75" customHeight="1" x14ac:dyDescent="0.2">
      <c r="B19240" s="11" t="s">
        <v>13</v>
      </c>
      <c r="C19240" s="11" t="s">
        <v>2602</v>
      </c>
    </row>
    <row r="19241" spans="1:4" ht="12.75" customHeight="1" x14ac:dyDescent="0.2">
      <c r="B19241" s="11" t="s">
        <v>2603</v>
      </c>
      <c r="C19241" s="11" t="s">
        <v>2604</v>
      </c>
    </row>
    <row r="19242" spans="1:4" ht="12.75" customHeight="1" x14ac:dyDescent="0.2">
      <c r="B19242" s="11" t="s">
        <v>2605</v>
      </c>
      <c r="C19242" s="11" t="s">
        <v>14</v>
      </c>
    </row>
    <row r="19243" spans="1:4" ht="12.75" customHeight="1" x14ac:dyDescent="0.2">
      <c r="B19243" s="11" t="s">
        <v>2606</v>
      </c>
      <c r="C19243" s="16" t="s">
        <v>98</v>
      </c>
      <c r="D19243" s="6" t="str">
        <f>HYPERLINK("javascript:void(0)","kincs")</f>
        <v>kincs</v>
      </c>
    </row>
    <row r="19244" spans="1:4" ht="12.75" customHeight="1" x14ac:dyDescent="0.2">
      <c r="B19244" s="2"/>
      <c r="C19244" s="15"/>
      <c r="D19244" s="2"/>
    </row>
    <row r="19245" spans="1:4" ht="12.75" customHeight="1" x14ac:dyDescent="0.2">
      <c r="B19245" s="2"/>
      <c r="C19245" s="15"/>
      <c r="D19245" s="2"/>
    </row>
    <row r="19246" spans="1:4" ht="12.75" customHeight="1" x14ac:dyDescent="0.2">
      <c r="A19246" s="13" t="s">
        <v>5714</v>
      </c>
      <c r="C19246" s="12"/>
    </row>
    <row r="19247" spans="1:4" ht="12.75" customHeight="1" x14ac:dyDescent="0.2">
      <c r="A19247" s="11"/>
      <c r="B19247" s="2"/>
      <c r="C19247" s="15"/>
      <c r="D19247" s="2"/>
    </row>
    <row r="19248" spans="1:4" ht="12.75" customHeight="1" x14ac:dyDescent="0.2">
      <c r="B19248" s="11" t="s">
        <v>0</v>
      </c>
      <c r="C19248" s="11" t="s">
        <v>312</v>
      </c>
    </row>
    <row r="19249" spans="1:4" ht="12.75" customHeight="1" x14ac:dyDescent="0.2">
      <c r="B19249" s="11" t="s">
        <v>2599</v>
      </c>
      <c r="C19249" s="11" t="s">
        <v>5715</v>
      </c>
    </row>
    <row r="19250" spans="1:4" ht="25.5" customHeight="1" x14ac:dyDescent="0.2">
      <c r="B19250" s="11" t="s">
        <v>2600</v>
      </c>
      <c r="C19250" s="11" t="s">
        <v>5716</v>
      </c>
    </row>
    <row r="19251" spans="1:4" ht="25.5" customHeight="1" x14ac:dyDescent="0.2">
      <c r="B19251" s="11" t="s">
        <v>2601</v>
      </c>
      <c r="C19251" s="11"/>
    </row>
    <row r="19252" spans="1:4" ht="12.75" customHeight="1" x14ac:dyDescent="0.2">
      <c r="B19252" s="11" t="s">
        <v>16</v>
      </c>
      <c r="C19252" s="11"/>
    </row>
    <row r="19253" spans="1:4" ht="12.75" customHeight="1" x14ac:dyDescent="0.2">
      <c r="B19253" s="11" t="s">
        <v>13</v>
      </c>
      <c r="C19253" s="11" t="s">
        <v>2602</v>
      </c>
    </row>
    <row r="19254" spans="1:4" ht="12.75" customHeight="1" x14ac:dyDescent="0.2">
      <c r="B19254" s="11" t="s">
        <v>2603</v>
      </c>
      <c r="C19254" s="11" t="s">
        <v>2604</v>
      </c>
    </row>
    <row r="19255" spans="1:4" ht="12.75" customHeight="1" x14ac:dyDescent="0.2">
      <c r="B19255" s="11" t="s">
        <v>2605</v>
      </c>
      <c r="C19255" s="11" t="s">
        <v>24</v>
      </c>
    </row>
    <row r="19256" spans="1:4" ht="12.75" customHeight="1" x14ac:dyDescent="0.2">
      <c r="B19256" s="11" t="s">
        <v>2606</v>
      </c>
      <c r="C19256" s="16" t="s">
        <v>56</v>
      </c>
      <c r="D19256" s="6" t="str">
        <f>HYPERLINK("javascript:void(0)","dobverő")</f>
        <v>dobverő</v>
      </c>
    </row>
    <row r="19257" spans="1:4" ht="12.75" customHeight="1" x14ac:dyDescent="0.2">
      <c r="C19257" s="16" t="s">
        <v>44</v>
      </c>
      <c r="D19257" s="6" t="str">
        <f>HYPERLINK("javascript:void(0)","dobkarika")</f>
        <v>dobkarika</v>
      </c>
    </row>
    <row r="19258" spans="1:4" ht="12.75" customHeight="1" x14ac:dyDescent="0.2">
      <c r="B19258" s="2"/>
      <c r="C19258" s="15"/>
      <c r="D19258" s="2"/>
    </row>
    <row r="19259" spans="1:4" ht="12.75" customHeight="1" x14ac:dyDescent="0.2">
      <c r="B19259" s="2"/>
      <c r="C19259" s="15"/>
      <c r="D19259" s="2"/>
    </row>
    <row r="19260" spans="1:4" ht="12.75" customHeight="1" x14ac:dyDescent="0.2">
      <c r="A19260" s="13" t="s">
        <v>5718</v>
      </c>
      <c r="C19260" s="12"/>
    </row>
    <row r="19261" spans="1:4" ht="12.75" customHeight="1" x14ac:dyDescent="0.2">
      <c r="A19261" s="11"/>
      <c r="B19261" s="2"/>
      <c r="C19261" s="15"/>
      <c r="D19261" s="2"/>
    </row>
    <row r="19262" spans="1:4" ht="12.75" customHeight="1" x14ac:dyDescent="0.2">
      <c r="B19262" s="11" t="s">
        <v>0</v>
      </c>
      <c r="C19262" s="11" t="s">
        <v>312</v>
      </c>
    </row>
    <row r="19263" spans="1:4" ht="12.75" customHeight="1" x14ac:dyDescent="0.2">
      <c r="B19263" s="11" t="s">
        <v>2599</v>
      </c>
      <c r="C19263" s="11" t="s">
        <v>1876</v>
      </c>
    </row>
    <row r="19264" spans="1:4" ht="25.5" customHeight="1" x14ac:dyDescent="0.2">
      <c r="B19264" s="11" t="s">
        <v>2600</v>
      </c>
      <c r="C19264" s="11" t="s">
        <v>5719</v>
      </c>
    </row>
    <row r="19265" spans="1:4" ht="25.5" customHeight="1" x14ac:dyDescent="0.2">
      <c r="B19265" s="11" t="s">
        <v>2601</v>
      </c>
      <c r="C19265" s="11"/>
    </row>
    <row r="19266" spans="1:4" ht="12.75" customHeight="1" x14ac:dyDescent="0.2">
      <c r="B19266" s="11" t="s">
        <v>16</v>
      </c>
      <c r="C19266" s="11"/>
    </row>
    <row r="19267" spans="1:4" ht="12.75" customHeight="1" x14ac:dyDescent="0.2">
      <c r="B19267" s="11" t="s">
        <v>13</v>
      </c>
      <c r="C19267" s="11" t="s">
        <v>2644</v>
      </c>
    </row>
    <row r="19268" spans="1:4" ht="12.75" customHeight="1" x14ac:dyDescent="0.2">
      <c r="B19268" s="11" t="s">
        <v>2603</v>
      </c>
      <c r="C19268" s="11" t="s">
        <v>2604</v>
      </c>
    </row>
    <row r="19269" spans="1:4" ht="12.75" customHeight="1" x14ac:dyDescent="0.2">
      <c r="B19269" s="11" t="s">
        <v>2605</v>
      </c>
      <c r="C19269" s="11" t="s">
        <v>24</v>
      </c>
    </row>
    <row r="19270" spans="1:4" ht="12.75" customHeight="1" x14ac:dyDescent="0.2">
      <c r="B19270" s="11" t="s">
        <v>2606</v>
      </c>
      <c r="C19270" s="16" t="s">
        <v>44</v>
      </c>
      <c r="D19270" s="6" t="str">
        <f>HYPERLINK("javascript:void(0)","cingulum")</f>
        <v>cingulum</v>
      </c>
    </row>
    <row r="19271" spans="1:4" ht="12.75" customHeight="1" x14ac:dyDescent="0.2">
      <c r="B19271" s="2"/>
      <c r="C19271" s="15"/>
      <c r="D19271" s="2"/>
    </row>
    <row r="19272" spans="1:4" ht="12.75" customHeight="1" x14ac:dyDescent="0.2">
      <c r="B19272" s="2"/>
      <c r="C19272" s="15"/>
      <c r="D19272" s="2"/>
    </row>
    <row r="19273" spans="1:4" ht="12.75" customHeight="1" x14ac:dyDescent="0.2">
      <c r="A19273" s="13" t="s">
        <v>5683</v>
      </c>
      <c r="C19273" s="12"/>
      <c r="D19273" s="2"/>
    </row>
    <row r="19274" spans="1:4" ht="12.75" customHeight="1" x14ac:dyDescent="0.2">
      <c r="A19274" s="11"/>
      <c r="B19274" s="2"/>
      <c r="C19274" s="15"/>
      <c r="D19274" s="2"/>
    </row>
    <row r="19275" spans="1:4" ht="12.75" customHeight="1" x14ac:dyDescent="0.2">
      <c r="B19275" s="11" t="s">
        <v>0</v>
      </c>
      <c r="C19275" s="17" t="s">
        <v>312</v>
      </c>
      <c r="D19275" s="2"/>
    </row>
    <row r="19276" spans="1:4" ht="12.75" customHeight="1" x14ac:dyDescent="0.2">
      <c r="B19276" s="11" t="s">
        <v>2599</v>
      </c>
      <c r="C19276" s="17" t="s">
        <v>5684</v>
      </c>
      <c r="D19276" s="2"/>
    </row>
    <row r="19277" spans="1:4" ht="25.5" customHeight="1" x14ac:dyDescent="0.2">
      <c r="B19277" s="11" t="s">
        <v>2600</v>
      </c>
      <c r="C19277" s="17" t="s">
        <v>5720</v>
      </c>
      <c r="D19277" s="2"/>
    </row>
    <row r="19278" spans="1:4" ht="25.5" customHeight="1" x14ac:dyDescent="0.2">
      <c r="B19278" s="11" t="s">
        <v>2601</v>
      </c>
      <c r="C19278" s="17"/>
      <c r="D19278" s="2"/>
    </row>
    <row r="19279" spans="1:4" ht="12.75" customHeight="1" x14ac:dyDescent="0.2">
      <c r="B19279" s="11" t="s">
        <v>16</v>
      </c>
      <c r="C19279" s="17"/>
      <c r="D19279" s="2"/>
    </row>
    <row r="19280" spans="1:4" ht="12.75" customHeight="1" x14ac:dyDescent="0.2">
      <c r="B19280" s="11" t="s">
        <v>13</v>
      </c>
      <c r="C19280" s="17" t="s">
        <v>2602</v>
      </c>
      <c r="D19280" s="2"/>
    </row>
    <row r="19281" spans="1:4" ht="25.5" customHeight="1" x14ac:dyDescent="0.2">
      <c r="B19281" s="11" t="s">
        <v>2603</v>
      </c>
      <c r="C19281" s="17" t="s">
        <v>2971</v>
      </c>
      <c r="D19281" s="2"/>
    </row>
    <row r="19282" spans="1:4" ht="12.75" customHeight="1" x14ac:dyDescent="0.2">
      <c r="B19282" s="11" t="s">
        <v>2605</v>
      </c>
      <c r="C19282" s="17" t="s">
        <v>14</v>
      </c>
      <c r="D19282" s="2"/>
    </row>
    <row r="19283" spans="1:4" ht="12.75" customHeight="1" x14ac:dyDescent="0.2">
      <c r="B19283" s="11" t="s">
        <v>2606</v>
      </c>
      <c r="C19283" s="16" t="s">
        <v>19</v>
      </c>
      <c r="D19283" s="2"/>
    </row>
    <row r="19284" spans="1:4" ht="12.75" customHeight="1" x14ac:dyDescent="0.2">
      <c r="B19284" s="2"/>
      <c r="C19284" s="15"/>
      <c r="D19284" s="2"/>
    </row>
    <row r="19285" spans="1:4" ht="12.75" customHeight="1" x14ac:dyDescent="0.2">
      <c r="B19285" s="2"/>
      <c r="C19285" s="15"/>
      <c r="D19285" s="2"/>
    </row>
    <row r="19286" spans="1:4" ht="12.75" customHeight="1" x14ac:dyDescent="0.2">
      <c r="A19286" s="13" t="s">
        <v>5686</v>
      </c>
      <c r="C19286" s="12"/>
      <c r="D19286" s="2"/>
    </row>
    <row r="19287" spans="1:4" ht="12.75" customHeight="1" x14ac:dyDescent="0.2">
      <c r="A19287" s="11"/>
      <c r="B19287" s="2"/>
      <c r="C19287" s="15"/>
      <c r="D19287" s="2"/>
    </row>
    <row r="19288" spans="1:4" ht="12.75" customHeight="1" x14ac:dyDescent="0.2">
      <c r="B19288" s="11" t="s">
        <v>0</v>
      </c>
      <c r="C19288" s="17" t="s">
        <v>312</v>
      </c>
      <c r="D19288" s="2"/>
    </row>
    <row r="19289" spans="1:4" ht="12.75" customHeight="1" x14ac:dyDescent="0.2">
      <c r="B19289" s="11" t="s">
        <v>2599</v>
      </c>
      <c r="C19289" s="17" t="s">
        <v>5687</v>
      </c>
      <c r="D19289" s="2"/>
    </row>
    <row r="19290" spans="1:4" ht="25.5" customHeight="1" x14ac:dyDescent="0.2">
      <c r="B19290" s="11" t="s">
        <v>2600</v>
      </c>
      <c r="C19290" s="17" t="s">
        <v>5721</v>
      </c>
      <c r="D19290" s="2"/>
    </row>
    <row r="19291" spans="1:4" ht="25.5" customHeight="1" x14ac:dyDescent="0.2">
      <c r="B19291" s="11" t="s">
        <v>2601</v>
      </c>
      <c r="C19291" s="17"/>
      <c r="D19291" s="2"/>
    </row>
    <row r="19292" spans="1:4" ht="12.75" customHeight="1" x14ac:dyDescent="0.2">
      <c r="B19292" s="11" t="s">
        <v>16</v>
      </c>
      <c r="C19292" s="17"/>
      <c r="D19292" s="2"/>
    </row>
    <row r="19293" spans="1:4" ht="12.75" customHeight="1" x14ac:dyDescent="0.2">
      <c r="B19293" s="11" t="s">
        <v>13</v>
      </c>
      <c r="C19293" s="17" t="s">
        <v>2644</v>
      </c>
      <c r="D19293" s="2"/>
    </row>
    <row r="19294" spans="1:4" ht="25.5" customHeight="1" x14ac:dyDescent="0.2">
      <c r="B19294" s="11" t="s">
        <v>2603</v>
      </c>
      <c r="C19294" s="17" t="s">
        <v>2971</v>
      </c>
      <c r="D19294" s="2"/>
    </row>
    <row r="19295" spans="1:4" ht="12.75" customHeight="1" x14ac:dyDescent="0.2">
      <c r="B19295" s="11" t="s">
        <v>2605</v>
      </c>
      <c r="C19295" s="17" t="s">
        <v>14</v>
      </c>
      <c r="D19295" s="2"/>
    </row>
    <row r="19296" spans="1:4" ht="12.75" customHeight="1" x14ac:dyDescent="0.2">
      <c r="B19296" s="11" t="s">
        <v>2606</v>
      </c>
      <c r="C19296" s="16" t="s">
        <v>19</v>
      </c>
      <c r="D19296" s="2"/>
    </row>
    <row r="19297" spans="1:4" ht="12.75" customHeight="1" x14ac:dyDescent="0.2">
      <c r="B19297" s="2"/>
      <c r="C19297" s="15"/>
      <c r="D19297" s="2"/>
    </row>
    <row r="19298" spans="1:4" ht="12.75" customHeight="1" x14ac:dyDescent="0.2">
      <c r="B19298" s="2"/>
      <c r="C19298" s="15"/>
      <c r="D19298" s="2"/>
    </row>
    <row r="19299" spans="1:4" ht="12.75" customHeight="1" x14ac:dyDescent="0.2">
      <c r="A19299" s="13" t="s">
        <v>5689</v>
      </c>
      <c r="C19299" s="12"/>
      <c r="D19299" s="2"/>
    </row>
    <row r="19300" spans="1:4" ht="12.75" customHeight="1" x14ac:dyDescent="0.2">
      <c r="A19300" s="11"/>
      <c r="B19300" s="2"/>
      <c r="C19300" s="15"/>
      <c r="D19300" s="2"/>
    </row>
    <row r="19301" spans="1:4" ht="12.75" customHeight="1" x14ac:dyDescent="0.2">
      <c r="B19301" s="11" t="s">
        <v>0</v>
      </c>
      <c r="C19301" s="17" t="s">
        <v>312</v>
      </c>
      <c r="D19301" s="2"/>
    </row>
    <row r="19302" spans="1:4" ht="12.75" customHeight="1" x14ac:dyDescent="0.2">
      <c r="B19302" s="11" t="s">
        <v>2599</v>
      </c>
      <c r="C19302" s="17" t="s">
        <v>3382</v>
      </c>
      <c r="D19302" s="2"/>
    </row>
    <row r="19303" spans="1:4" ht="25.5" customHeight="1" x14ac:dyDescent="0.2">
      <c r="B19303" s="11" t="s">
        <v>2600</v>
      </c>
      <c r="C19303" s="17" t="s">
        <v>5722</v>
      </c>
      <c r="D19303" s="2"/>
    </row>
    <row r="19304" spans="1:4" ht="25.5" customHeight="1" x14ac:dyDescent="0.2">
      <c r="B19304" s="11" t="s">
        <v>2601</v>
      </c>
      <c r="C19304" s="17"/>
      <c r="D19304" s="2"/>
    </row>
    <row r="19305" spans="1:4" ht="12.75" customHeight="1" x14ac:dyDescent="0.2">
      <c r="B19305" s="11" t="s">
        <v>16</v>
      </c>
      <c r="C19305" s="17"/>
      <c r="D19305" s="2"/>
    </row>
    <row r="19306" spans="1:4" ht="12.75" customHeight="1" x14ac:dyDescent="0.2">
      <c r="B19306" s="11" t="s">
        <v>13</v>
      </c>
      <c r="C19306" s="17" t="s">
        <v>2602</v>
      </c>
      <c r="D19306" s="2"/>
    </row>
    <row r="19307" spans="1:4" ht="25.5" customHeight="1" x14ac:dyDescent="0.2">
      <c r="B19307" s="11" t="s">
        <v>2603</v>
      </c>
      <c r="C19307" s="17" t="s">
        <v>2971</v>
      </c>
      <c r="D19307" s="2"/>
    </row>
    <row r="19308" spans="1:4" ht="12.75" customHeight="1" x14ac:dyDescent="0.2">
      <c r="B19308" s="11" t="s">
        <v>2605</v>
      </c>
      <c r="C19308" s="17" t="s">
        <v>14</v>
      </c>
      <c r="D19308" s="2"/>
    </row>
    <row r="19309" spans="1:4" ht="12.75" customHeight="1" x14ac:dyDescent="0.2">
      <c r="B19309" s="11" t="s">
        <v>2606</v>
      </c>
      <c r="C19309" s="16" t="s">
        <v>19</v>
      </c>
      <c r="D19309" s="2"/>
    </row>
    <row r="19310" spans="1:4" ht="12.75" customHeight="1" x14ac:dyDescent="0.2">
      <c r="B19310" s="2"/>
      <c r="C19310" s="15"/>
      <c r="D19310" s="2"/>
    </row>
    <row r="19311" spans="1:4" ht="12.75" customHeight="1" x14ac:dyDescent="0.2">
      <c r="B19311" s="2"/>
      <c r="C19311" s="15"/>
      <c r="D19311" s="2"/>
    </row>
    <row r="19312" spans="1:4" ht="12.75" customHeight="1" x14ac:dyDescent="0.2">
      <c r="A19312" s="13" t="s">
        <v>5659</v>
      </c>
      <c r="C19312" s="12"/>
      <c r="D19312" s="2"/>
    </row>
    <row r="19313" spans="1:4" ht="12.75" customHeight="1" x14ac:dyDescent="0.2">
      <c r="A19313" s="11"/>
      <c r="B19313" s="2"/>
      <c r="C19313" s="15"/>
      <c r="D19313" s="2"/>
    </row>
    <row r="19314" spans="1:4" ht="12.75" customHeight="1" x14ac:dyDescent="0.2">
      <c r="B19314" s="11" t="s">
        <v>0</v>
      </c>
      <c r="C19314" s="17" t="s">
        <v>305</v>
      </c>
      <c r="D19314" s="2"/>
    </row>
    <row r="19315" spans="1:4" ht="12.75" customHeight="1" x14ac:dyDescent="0.2">
      <c r="B19315" s="11" t="s">
        <v>2599</v>
      </c>
      <c r="C19315" s="17" t="s">
        <v>5660</v>
      </c>
      <c r="D19315" s="2"/>
    </row>
    <row r="19316" spans="1:4" ht="25.5" customHeight="1" x14ac:dyDescent="0.2">
      <c r="B19316" s="11" t="s">
        <v>2600</v>
      </c>
      <c r="C19316" s="17" t="s">
        <v>5723</v>
      </c>
      <c r="D19316" s="2"/>
    </row>
    <row r="19317" spans="1:4" ht="25.5" customHeight="1" x14ac:dyDescent="0.2">
      <c r="B19317" s="11" t="s">
        <v>2601</v>
      </c>
      <c r="C19317" s="17"/>
      <c r="D19317" s="2"/>
    </row>
    <row r="19318" spans="1:4" ht="12.75" customHeight="1" x14ac:dyDescent="0.2">
      <c r="B19318" s="11" t="s">
        <v>16</v>
      </c>
      <c r="C19318" s="17"/>
      <c r="D19318" s="2"/>
    </row>
    <row r="19319" spans="1:4" ht="12.75" customHeight="1" x14ac:dyDescent="0.2">
      <c r="B19319" s="11" t="s">
        <v>13</v>
      </c>
      <c r="C19319" s="17" t="s">
        <v>2644</v>
      </c>
      <c r="D19319" s="2"/>
    </row>
    <row r="19320" spans="1:4" ht="25.5" customHeight="1" x14ac:dyDescent="0.2">
      <c r="B19320" s="11" t="s">
        <v>2603</v>
      </c>
      <c r="C19320" s="17" t="s">
        <v>2971</v>
      </c>
      <c r="D19320" s="2"/>
    </row>
    <row r="19321" spans="1:4" ht="12.75" customHeight="1" x14ac:dyDescent="0.2">
      <c r="B19321" s="11" t="s">
        <v>2605</v>
      </c>
      <c r="C19321" s="17" t="s">
        <v>14</v>
      </c>
      <c r="D19321" s="2"/>
    </row>
    <row r="19322" spans="1:4" ht="12.75" customHeight="1" x14ac:dyDescent="0.2">
      <c r="B19322" s="11" t="s">
        <v>2606</v>
      </c>
      <c r="C19322" s="16" t="s">
        <v>19</v>
      </c>
      <c r="D19322" s="2"/>
    </row>
    <row r="19323" spans="1:4" ht="12.75" customHeight="1" x14ac:dyDescent="0.2">
      <c r="B19323" s="2"/>
      <c r="C19323" s="15"/>
      <c r="D19323" s="2"/>
    </row>
    <row r="19324" spans="1:4" ht="12.75" customHeight="1" x14ac:dyDescent="0.2">
      <c r="B19324" s="2"/>
      <c r="C19324" s="15"/>
      <c r="D19324" s="2"/>
    </row>
    <row r="19325" spans="1:4" ht="12.75" customHeight="1" x14ac:dyDescent="0.2">
      <c r="A19325" s="13" t="s">
        <v>5724</v>
      </c>
      <c r="C19325" s="12"/>
    </row>
    <row r="19326" spans="1:4" ht="12.75" customHeight="1" x14ac:dyDescent="0.2">
      <c r="A19326" s="11"/>
      <c r="B19326" s="2"/>
      <c r="C19326" s="15"/>
      <c r="D19326" s="2"/>
    </row>
    <row r="19327" spans="1:4" ht="12.75" customHeight="1" x14ac:dyDescent="0.2">
      <c r="B19327" s="11" t="s">
        <v>0</v>
      </c>
      <c r="C19327" s="11" t="s">
        <v>305</v>
      </c>
    </row>
    <row r="19328" spans="1:4" ht="12.75" customHeight="1" x14ac:dyDescent="0.2">
      <c r="B19328" s="11" t="s">
        <v>2599</v>
      </c>
      <c r="C19328" s="11" t="s">
        <v>5725</v>
      </c>
    </row>
    <row r="19329" spans="1:4" ht="25.5" customHeight="1" x14ac:dyDescent="0.2">
      <c r="B19329" s="11" t="s">
        <v>2600</v>
      </c>
      <c r="C19329" s="11" t="s">
        <v>5726</v>
      </c>
    </row>
    <row r="19330" spans="1:4" ht="25.5" customHeight="1" x14ac:dyDescent="0.2">
      <c r="B19330" s="11" t="s">
        <v>2601</v>
      </c>
      <c r="C19330" s="11"/>
    </row>
    <row r="19331" spans="1:4" ht="12.75" customHeight="1" x14ac:dyDescent="0.2">
      <c r="B19331" s="11" t="s">
        <v>16</v>
      </c>
      <c r="C19331" s="11"/>
    </row>
    <row r="19332" spans="1:4" ht="12.75" customHeight="1" x14ac:dyDescent="0.2">
      <c r="B19332" s="11" t="s">
        <v>13</v>
      </c>
      <c r="C19332" s="11" t="s">
        <v>2602</v>
      </c>
    </row>
    <row r="19333" spans="1:4" ht="12.75" customHeight="1" x14ac:dyDescent="0.2">
      <c r="B19333" s="11" t="s">
        <v>2603</v>
      </c>
      <c r="C19333" s="11" t="s">
        <v>2604</v>
      </c>
    </row>
    <row r="19334" spans="1:4" ht="12.75" customHeight="1" x14ac:dyDescent="0.2">
      <c r="B19334" s="11" t="s">
        <v>2605</v>
      </c>
      <c r="C19334" s="11" t="s">
        <v>24</v>
      </c>
    </row>
    <row r="19335" spans="1:4" ht="12.75" customHeight="1" x14ac:dyDescent="0.2">
      <c r="B19335" s="11" t="s">
        <v>2606</v>
      </c>
      <c r="C19335" s="16" t="s">
        <v>44</v>
      </c>
      <c r="D19335" s="6" t="str">
        <f>HYPERLINK("javascript:void(0)","suhanás")</f>
        <v>suhanás</v>
      </c>
    </row>
    <row r="19336" spans="1:4" ht="12.75" customHeight="1" x14ac:dyDescent="0.2">
      <c r="B19336" s="2"/>
      <c r="C19336" s="15"/>
      <c r="D19336" s="2"/>
    </row>
    <row r="19337" spans="1:4" ht="12.75" customHeight="1" x14ac:dyDescent="0.2">
      <c r="B19337" s="2"/>
      <c r="C19337" s="15"/>
      <c r="D19337" s="2"/>
    </row>
    <row r="19338" spans="1:4" ht="12.75" customHeight="1" x14ac:dyDescent="0.2">
      <c r="A19338" s="13" t="s">
        <v>5727</v>
      </c>
      <c r="C19338" s="12"/>
    </row>
    <row r="19339" spans="1:4" ht="12.75" customHeight="1" x14ac:dyDescent="0.2">
      <c r="A19339" s="11"/>
      <c r="B19339" s="2"/>
      <c r="C19339" s="15"/>
      <c r="D19339" s="2"/>
    </row>
    <row r="19340" spans="1:4" ht="12.75" customHeight="1" x14ac:dyDescent="0.2">
      <c r="B19340" s="11" t="s">
        <v>0</v>
      </c>
      <c r="C19340" s="11" t="s">
        <v>305</v>
      </c>
    </row>
    <row r="19341" spans="1:4" ht="12.75" customHeight="1" x14ac:dyDescent="0.2">
      <c r="B19341" s="11" t="s">
        <v>2599</v>
      </c>
      <c r="C19341" s="11" t="s">
        <v>5728</v>
      </c>
    </row>
    <row r="19342" spans="1:4" ht="25.5" customHeight="1" x14ac:dyDescent="0.2">
      <c r="B19342" s="11" t="s">
        <v>2600</v>
      </c>
      <c r="C19342" s="11" t="s">
        <v>5729</v>
      </c>
    </row>
    <row r="19343" spans="1:4" ht="25.5" customHeight="1" x14ac:dyDescent="0.2">
      <c r="B19343" s="11" t="s">
        <v>2601</v>
      </c>
      <c r="C19343" s="11"/>
    </row>
    <row r="19344" spans="1:4" ht="12.75" customHeight="1" x14ac:dyDescent="0.2">
      <c r="B19344" s="11" t="s">
        <v>16</v>
      </c>
      <c r="C19344" s="11"/>
    </row>
    <row r="19345" spans="1:4" ht="12.75" customHeight="1" x14ac:dyDescent="0.2">
      <c r="B19345" s="11" t="s">
        <v>13</v>
      </c>
      <c r="C19345" s="11" t="s">
        <v>2644</v>
      </c>
    </row>
    <row r="19346" spans="1:4" ht="12.75" customHeight="1" x14ac:dyDescent="0.2">
      <c r="B19346" s="11" t="s">
        <v>2603</v>
      </c>
      <c r="C19346" s="11" t="s">
        <v>2604</v>
      </c>
    </row>
    <row r="19347" spans="1:4" ht="12.75" customHeight="1" x14ac:dyDescent="0.2">
      <c r="B19347" s="11" t="s">
        <v>2605</v>
      </c>
      <c r="C19347" s="11" t="s">
        <v>14</v>
      </c>
    </row>
    <row r="19348" spans="1:4" ht="12.75" customHeight="1" x14ac:dyDescent="0.2">
      <c r="B19348" s="11" t="s">
        <v>2606</v>
      </c>
      <c r="C19348" s="16" t="s">
        <v>98</v>
      </c>
      <c r="D19348" s="6" t="str">
        <f>HYPERLINK("javascript:void(0)","kincs")</f>
        <v>kincs</v>
      </c>
    </row>
    <row r="19349" spans="1:4" ht="12.75" customHeight="1" x14ac:dyDescent="0.2">
      <c r="B19349" s="2"/>
      <c r="C19349" s="15"/>
      <c r="D19349" s="2"/>
    </row>
    <row r="19350" spans="1:4" ht="12.75" customHeight="1" x14ac:dyDescent="0.2">
      <c r="B19350" s="2"/>
      <c r="C19350" s="15"/>
      <c r="D19350" s="2"/>
    </row>
    <row r="19351" spans="1:4" ht="12.75" customHeight="1" x14ac:dyDescent="0.2">
      <c r="A19351" s="13" t="s">
        <v>5730</v>
      </c>
      <c r="C19351" s="12"/>
    </row>
    <row r="19352" spans="1:4" ht="12.75" customHeight="1" x14ac:dyDescent="0.2">
      <c r="A19352" s="11"/>
      <c r="B19352" s="2"/>
      <c r="C19352" s="15"/>
      <c r="D19352" s="2"/>
    </row>
    <row r="19353" spans="1:4" ht="12.75" customHeight="1" x14ac:dyDescent="0.2">
      <c r="B19353" s="11" t="s">
        <v>0</v>
      </c>
      <c r="C19353" s="11" t="s">
        <v>305</v>
      </c>
    </row>
    <row r="19354" spans="1:4" ht="12.75" customHeight="1" x14ac:dyDescent="0.2">
      <c r="B19354" s="11" t="s">
        <v>2599</v>
      </c>
      <c r="C19354" s="11" t="s">
        <v>691</v>
      </c>
    </row>
    <row r="19355" spans="1:4" ht="25.5" customHeight="1" x14ac:dyDescent="0.2">
      <c r="B19355" s="11" t="s">
        <v>2600</v>
      </c>
      <c r="C19355" s="11" t="s">
        <v>5731</v>
      </c>
    </row>
    <row r="19356" spans="1:4" ht="25.5" customHeight="1" x14ac:dyDescent="0.2">
      <c r="B19356" s="11" t="s">
        <v>2601</v>
      </c>
      <c r="C19356" s="11"/>
    </row>
    <row r="19357" spans="1:4" ht="12.75" customHeight="1" x14ac:dyDescent="0.2">
      <c r="B19357" s="11" t="s">
        <v>16</v>
      </c>
      <c r="C19357" s="11"/>
    </row>
    <row r="19358" spans="1:4" ht="12.75" customHeight="1" x14ac:dyDescent="0.2">
      <c r="B19358" s="11" t="s">
        <v>13</v>
      </c>
      <c r="C19358" s="11" t="s">
        <v>2644</v>
      </c>
    </row>
    <row r="19359" spans="1:4" ht="12.75" customHeight="1" x14ac:dyDescent="0.2">
      <c r="B19359" s="11" t="s">
        <v>2603</v>
      </c>
      <c r="C19359" s="11" t="s">
        <v>2604</v>
      </c>
    </row>
    <row r="19360" spans="1:4" ht="12.75" customHeight="1" x14ac:dyDescent="0.2">
      <c r="B19360" s="11" t="s">
        <v>2605</v>
      </c>
      <c r="C19360" s="11" t="s">
        <v>24</v>
      </c>
    </row>
    <row r="19361" spans="1:4" ht="12.75" customHeight="1" x14ac:dyDescent="0.2">
      <c r="B19361" s="11" t="s">
        <v>2606</v>
      </c>
      <c r="C19361" s="16" t="s">
        <v>44</v>
      </c>
      <c r="D19361" s="6" t="str">
        <f>HYPERLINK("javascript:void(0)","rémkép")</f>
        <v>rémkép</v>
      </c>
    </row>
    <row r="19362" spans="1:4" ht="12.75" customHeight="1" x14ac:dyDescent="0.2">
      <c r="C19362" s="16" t="s">
        <v>67</v>
      </c>
      <c r="D19362" s="6" t="str">
        <f>HYPERLINK("javascript:void(0)","földige")</f>
        <v>földige</v>
      </c>
    </row>
    <row r="19363" spans="1:4" ht="12.75" customHeight="1" x14ac:dyDescent="0.2">
      <c r="B19363" s="2"/>
      <c r="C19363" s="15"/>
      <c r="D19363" s="2"/>
    </row>
    <row r="19364" spans="1:4" ht="12.75" customHeight="1" x14ac:dyDescent="0.2">
      <c r="B19364" s="2"/>
      <c r="C19364" s="15"/>
      <c r="D19364" s="2"/>
    </row>
    <row r="19365" spans="1:4" ht="12.75" customHeight="1" x14ac:dyDescent="0.2">
      <c r="A19365" s="13" t="s">
        <v>5732</v>
      </c>
      <c r="C19365" s="12"/>
    </row>
    <row r="19366" spans="1:4" ht="12.75" customHeight="1" x14ac:dyDescent="0.2">
      <c r="A19366" s="11"/>
      <c r="B19366" s="2"/>
      <c r="C19366" s="15"/>
      <c r="D19366" s="2"/>
    </row>
    <row r="19367" spans="1:4" ht="12.75" customHeight="1" x14ac:dyDescent="0.2">
      <c r="B19367" s="11" t="s">
        <v>0</v>
      </c>
      <c r="C19367" s="11" t="s">
        <v>305</v>
      </c>
    </row>
    <row r="19368" spans="1:4" ht="12.75" customHeight="1" x14ac:dyDescent="0.2">
      <c r="B19368" s="11" t="s">
        <v>2599</v>
      </c>
      <c r="C19368" s="11" t="s">
        <v>5733</v>
      </c>
    </row>
    <row r="19369" spans="1:4" ht="25.5" customHeight="1" x14ac:dyDescent="0.2">
      <c r="B19369" s="11" t="s">
        <v>2600</v>
      </c>
      <c r="C19369" s="11" t="s">
        <v>5734</v>
      </c>
    </row>
    <row r="19370" spans="1:4" ht="25.5" customHeight="1" x14ac:dyDescent="0.2">
      <c r="B19370" s="11" t="s">
        <v>2601</v>
      </c>
      <c r="C19370" s="11"/>
    </row>
    <row r="19371" spans="1:4" ht="12.75" customHeight="1" x14ac:dyDescent="0.2">
      <c r="B19371" s="11" t="s">
        <v>16</v>
      </c>
      <c r="C19371" s="11"/>
    </row>
    <row r="19372" spans="1:4" ht="12.75" customHeight="1" x14ac:dyDescent="0.2">
      <c r="B19372" s="11" t="s">
        <v>13</v>
      </c>
      <c r="C19372" s="11" t="s">
        <v>2644</v>
      </c>
    </row>
    <row r="19373" spans="1:4" ht="12.75" customHeight="1" x14ac:dyDescent="0.2">
      <c r="B19373" s="11" t="s">
        <v>2603</v>
      </c>
      <c r="C19373" s="11" t="s">
        <v>2604</v>
      </c>
    </row>
    <row r="19374" spans="1:4" ht="12.75" customHeight="1" x14ac:dyDescent="0.2">
      <c r="B19374" s="11" t="s">
        <v>2605</v>
      </c>
      <c r="C19374" s="11" t="s">
        <v>14</v>
      </c>
    </row>
    <row r="19375" spans="1:4" ht="12.75" customHeight="1" x14ac:dyDescent="0.2">
      <c r="B19375" s="11" t="s">
        <v>2606</v>
      </c>
      <c r="C19375" s="16" t="s">
        <v>98</v>
      </c>
      <c r="D19375" s="6" t="str">
        <f>HYPERLINK("javascript:void(0)","kincs")</f>
        <v>kincs</v>
      </c>
    </row>
    <row r="19376" spans="1:4" ht="12.75" customHeight="1" x14ac:dyDescent="0.2">
      <c r="B19376" s="2"/>
      <c r="C19376" s="15"/>
      <c r="D19376" s="2"/>
    </row>
    <row r="19377" spans="1:4" ht="12.75" customHeight="1" x14ac:dyDescent="0.2">
      <c r="B19377" s="2"/>
      <c r="C19377" s="15"/>
      <c r="D19377" s="2"/>
    </row>
    <row r="19378" spans="1:4" ht="12.75" customHeight="1" x14ac:dyDescent="0.2">
      <c r="A19378" s="13" t="s">
        <v>5735</v>
      </c>
      <c r="C19378" s="12"/>
    </row>
    <row r="19379" spans="1:4" ht="12.75" customHeight="1" x14ac:dyDescent="0.2">
      <c r="A19379" s="11"/>
      <c r="B19379" s="2"/>
      <c r="C19379" s="15"/>
      <c r="D19379" s="2"/>
    </row>
    <row r="19380" spans="1:4" ht="12.75" customHeight="1" x14ac:dyDescent="0.2">
      <c r="B19380" s="11" t="s">
        <v>0</v>
      </c>
      <c r="C19380" s="11" t="s">
        <v>305</v>
      </c>
    </row>
    <row r="19381" spans="1:4" ht="12.75" customHeight="1" x14ac:dyDescent="0.2">
      <c r="B19381" s="11" t="s">
        <v>2599</v>
      </c>
      <c r="C19381" s="11" t="s">
        <v>5674</v>
      </c>
    </row>
    <row r="19382" spans="1:4" ht="25.5" customHeight="1" x14ac:dyDescent="0.2">
      <c r="B19382" s="11" t="s">
        <v>2600</v>
      </c>
      <c r="C19382" s="11" t="s">
        <v>5736</v>
      </c>
    </row>
    <row r="19383" spans="1:4" ht="25.5" customHeight="1" x14ac:dyDescent="0.2">
      <c r="B19383" s="11" t="s">
        <v>2601</v>
      </c>
      <c r="C19383" s="11"/>
    </row>
    <row r="19384" spans="1:4" ht="12.75" customHeight="1" x14ac:dyDescent="0.2">
      <c r="B19384" s="11" t="s">
        <v>16</v>
      </c>
      <c r="C19384" s="11"/>
    </row>
    <row r="19385" spans="1:4" ht="12.75" customHeight="1" x14ac:dyDescent="0.2">
      <c r="B19385" s="11" t="s">
        <v>13</v>
      </c>
      <c r="C19385" s="11" t="s">
        <v>2602</v>
      </c>
    </row>
    <row r="19386" spans="1:4" ht="12.75" customHeight="1" x14ac:dyDescent="0.2">
      <c r="B19386" s="11" t="s">
        <v>2603</v>
      </c>
      <c r="C19386" s="11" t="s">
        <v>2604</v>
      </c>
    </row>
    <row r="19387" spans="1:4" ht="12.75" customHeight="1" x14ac:dyDescent="0.2">
      <c r="B19387" s="11" t="s">
        <v>2605</v>
      </c>
      <c r="C19387" s="11" t="s">
        <v>14</v>
      </c>
    </row>
    <row r="19388" spans="1:4" ht="12.75" customHeight="1" x14ac:dyDescent="0.2">
      <c r="B19388" s="11" t="s">
        <v>2606</v>
      </c>
      <c r="C19388" s="16" t="s">
        <v>98</v>
      </c>
      <c r="D19388" s="6" t="str">
        <f>HYPERLINK("javascript:void(0)","kincs")</f>
        <v>kincs</v>
      </c>
    </row>
    <row r="19389" spans="1:4" ht="12.75" customHeight="1" x14ac:dyDescent="0.2">
      <c r="B19389" s="2"/>
      <c r="C19389" s="15"/>
      <c r="D19389" s="2"/>
    </row>
    <row r="19390" spans="1:4" ht="12.75" customHeight="1" x14ac:dyDescent="0.2">
      <c r="B19390" s="2"/>
      <c r="C19390" s="15"/>
      <c r="D19390" s="2"/>
    </row>
    <row r="19391" spans="1:4" ht="12.75" customHeight="1" x14ac:dyDescent="0.2">
      <c r="A19391" s="13" t="s">
        <v>5737</v>
      </c>
      <c r="C19391" s="12"/>
    </row>
    <row r="19392" spans="1:4" ht="12.75" customHeight="1" x14ac:dyDescent="0.2">
      <c r="A19392" s="11"/>
      <c r="B19392" s="2"/>
      <c r="C19392" s="15"/>
      <c r="D19392" s="2"/>
    </row>
    <row r="19393" spans="1:4" ht="12.75" customHeight="1" x14ac:dyDescent="0.2">
      <c r="B19393" s="11" t="s">
        <v>0</v>
      </c>
      <c r="C19393" s="11" t="s">
        <v>305</v>
      </c>
    </row>
    <row r="19394" spans="1:4" ht="12.75" customHeight="1" x14ac:dyDescent="0.2">
      <c r="B19394" s="11" t="s">
        <v>2599</v>
      </c>
      <c r="C19394" s="11" t="s">
        <v>5738</v>
      </c>
    </row>
    <row r="19395" spans="1:4" ht="25.5" customHeight="1" x14ac:dyDescent="0.2">
      <c r="B19395" s="11" t="s">
        <v>2600</v>
      </c>
      <c r="C19395" s="11" t="s">
        <v>5739</v>
      </c>
    </row>
    <row r="19396" spans="1:4" ht="25.5" customHeight="1" x14ac:dyDescent="0.2">
      <c r="B19396" s="11" t="s">
        <v>2601</v>
      </c>
      <c r="C19396" s="11"/>
    </row>
    <row r="19397" spans="1:4" ht="12.75" customHeight="1" x14ac:dyDescent="0.2">
      <c r="B19397" s="11" t="s">
        <v>16</v>
      </c>
      <c r="C19397" s="11"/>
    </row>
    <row r="19398" spans="1:4" ht="12.75" customHeight="1" x14ac:dyDescent="0.2">
      <c r="B19398" s="11" t="s">
        <v>13</v>
      </c>
      <c r="C19398" s="11" t="s">
        <v>2602</v>
      </c>
    </row>
    <row r="19399" spans="1:4" ht="12.75" customHeight="1" x14ac:dyDescent="0.2">
      <c r="B19399" s="11" t="s">
        <v>2603</v>
      </c>
      <c r="C19399" s="11" t="s">
        <v>2604</v>
      </c>
    </row>
    <row r="19400" spans="1:4" ht="12.75" customHeight="1" x14ac:dyDescent="0.2">
      <c r="B19400" s="11" t="s">
        <v>2605</v>
      </c>
      <c r="C19400" s="11" t="s">
        <v>14</v>
      </c>
    </row>
    <row r="19401" spans="1:4" ht="12.75" customHeight="1" x14ac:dyDescent="0.2">
      <c r="B19401" s="11" t="s">
        <v>2606</v>
      </c>
      <c r="C19401" s="16" t="s">
        <v>98</v>
      </c>
      <c r="D19401" s="6" t="str">
        <f>HYPERLINK("javascript:void(0)","kincs")</f>
        <v>kincs</v>
      </c>
    </row>
    <row r="19402" spans="1:4" ht="12.75" customHeight="1" x14ac:dyDescent="0.2">
      <c r="B19402" s="2"/>
      <c r="C19402" s="15"/>
      <c r="D19402" s="2"/>
    </row>
    <row r="19403" spans="1:4" ht="12.75" customHeight="1" x14ac:dyDescent="0.2">
      <c r="B19403" s="2"/>
      <c r="C19403" s="15"/>
      <c r="D19403" s="2"/>
    </row>
    <row r="19404" spans="1:4" ht="12.75" customHeight="1" x14ac:dyDescent="0.2">
      <c r="A19404" s="13" t="s">
        <v>5740</v>
      </c>
      <c r="C19404" s="12"/>
    </row>
    <row r="19405" spans="1:4" ht="12.75" customHeight="1" x14ac:dyDescent="0.2">
      <c r="A19405" s="11"/>
      <c r="B19405" s="2"/>
      <c r="C19405" s="15"/>
      <c r="D19405" s="2"/>
    </row>
    <row r="19406" spans="1:4" ht="12.75" customHeight="1" x14ac:dyDescent="0.2">
      <c r="B19406" s="11" t="s">
        <v>0</v>
      </c>
      <c r="C19406" s="11" t="s">
        <v>305</v>
      </c>
    </row>
    <row r="19407" spans="1:4" ht="12.75" customHeight="1" x14ac:dyDescent="0.2">
      <c r="B19407" s="11" t="s">
        <v>2599</v>
      </c>
      <c r="C19407" s="11" t="s">
        <v>5741</v>
      </c>
    </row>
    <row r="19408" spans="1:4" ht="25.5" customHeight="1" x14ac:dyDescent="0.2">
      <c r="B19408" s="11" t="s">
        <v>2600</v>
      </c>
      <c r="C19408" s="11" t="s">
        <v>5742</v>
      </c>
    </row>
    <row r="19409" spans="1:4" ht="25.5" customHeight="1" x14ac:dyDescent="0.2">
      <c r="B19409" s="11" t="s">
        <v>2601</v>
      </c>
      <c r="C19409" s="11"/>
    </row>
    <row r="19410" spans="1:4" ht="12.75" customHeight="1" x14ac:dyDescent="0.2">
      <c r="B19410" s="11" t="s">
        <v>16</v>
      </c>
      <c r="C19410" s="11"/>
    </row>
    <row r="19411" spans="1:4" ht="12.75" customHeight="1" x14ac:dyDescent="0.2">
      <c r="B19411" s="11" t="s">
        <v>13</v>
      </c>
      <c r="C19411" s="11" t="s">
        <v>2602</v>
      </c>
    </row>
    <row r="19412" spans="1:4" ht="12.75" customHeight="1" x14ac:dyDescent="0.2">
      <c r="B19412" s="11" t="s">
        <v>2603</v>
      </c>
      <c r="C19412" s="11" t="s">
        <v>2604</v>
      </c>
    </row>
    <row r="19413" spans="1:4" ht="12.75" customHeight="1" x14ac:dyDescent="0.2">
      <c r="B19413" s="11" t="s">
        <v>2605</v>
      </c>
      <c r="C19413" s="11" t="s">
        <v>24</v>
      </c>
    </row>
    <row r="19414" spans="1:4" ht="12.75" customHeight="1" x14ac:dyDescent="0.2">
      <c r="B19414" s="11" t="s">
        <v>2606</v>
      </c>
      <c r="C19414" s="16" t="s">
        <v>44</v>
      </c>
      <c r="D19414" s="6" t="str">
        <f>HYPERLINK("javascript:void(0)","lélekfodor")</f>
        <v>lélekfodor</v>
      </c>
    </row>
    <row r="19415" spans="1:4" ht="12.75" customHeight="1" x14ac:dyDescent="0.2">
      <c r="C19415" s="16" t="s">
        <v>44</v>
      </c>
      <c r="D19415" s="6" t="str">
        <f>HYPERLINK("javascript:void(0)","fiola")</f>
        <v>fiola</v>
      </c>
    </row>
    <row r="19416" spans="1:4" ht="12.75" customHeight="1" x14ac:dyDescent="0.2">
      <c r="C19416" s="16" t="s">
        <v>44</v>
      </c>
      <c r="D19416" s="6" t="str">
        <f>HYPERLINK("javascript:void(0)","nekroige")</f>
        <v>nekroige</v>
      </c>
    </row>
    <row r="19417" spans="1:4" ht="12.75" customHeight="1" x14ac:dyDescent="0.2">
      <c r="B19417" s="2"/>
      <c r="C19417" s="15"/>
      <c r="D19417" s="2"/>
    </row>
    <row r="19418" spans="1:4" ht="12.75" customHeight="1" x14ac:dyDescent="0.2">
      <c r="B19418" s="2"/>
      <c r="C19418" s="15"/>
      <c r="D19418" s="2"/>
    </row>
    <row r="19419" spans="1:4" ht="12.75" customHeight="1" x14ac:dyDescent="0.2">
      <c r="A19419" s="13" t="s">
        <v>5743</v>
      </c>
      <c r="C19419" s="12"/>
    </row>
    <row r="19420" spans="1:4" ht="12.75" customHeight="1" x14ac:dyDescent="0.2">
      <c r="A19420" s="11"/>
      <c r="B19420" s="2"/>
      <c r="C19420" s="15"/>
      <c r="D19420" s="2"/>
    </row>
    <row r="19421" spans="1:4" ht="12.75" customHeight="1" x14ac:dyDescent="0.2">
      <c r="B19421" s="11" t="s">
        <v>0</v>
      </c>
      <c r="C19421" s="11" t="s">
        <v>305</v>
      </c>
    </row>
    <row r="19422" spans="1:4" ht="12.75" customHeight="1" x14ac:dyDescent="0.2">
      <c r="B19422" s="11" t="s">
        <v>2599</v>
      </c>
      <c r="C19422" s="11" t="s">
        <v>5744</v>
      </c>
    </row>
    <row r="19423" spans="1:4" ht="25.5" customHeight="1" x14ac:dyDescent="0.2">
      <c r="B19423" s="11" t="s">
        <v>2600</v>
      </c>
      <c r="C19423" s="11" t="s">
        <v>5745</v>
      </c>
    </row>
    <row r="19424" spans="1:4" ht="25.5" customHeight="1" x14ac:dyDescent="0.2">
      <c r="B19424" s="11" t="s">
        <v>2601</v>
      </c>
      <c r="C19424" s="11"/>
    </row>
    <row r="19425" spans="1:4" ht="12.75" customHeight="1" x14ac:dyDescent="0.2">
      <c r="B19425" s="11" t="s">
        <v>16</v>
      </c>
      <c r="C19425" s="11"/>
    </row>
    <row r="19426" spans="1:4" ht="12.75" customHeight="1" x14ac:dyDescent="0.2">
      <c r="B19426" s="11" t="s">
        <v>13</v>
      </c>
      <c r="C19426" s="11" t="s">
        <v>2644</v>
      </c>
    </row>
    <row r="19427" spans="1:4" ht="12.75" customHeight="1" x14ac:dyDescent="0.2">
      <c r="B19427" s="11" t="s">
        <v>2603</v>
      </c>
      <c r="C19427" s="11" t="s">
        <v>2604</v>
      </c>
    </row>
    <row r="19428" spans="1:4" ht="12.75" customHeight="1" x14ac:dyDescent="0.2">
      <c r="B19428" s="11" t="s">
        <v>2605</v>
      </c>
      <c r="C19428" s="11" t="s">
        <v>24</v>
      </c>
    </row>
    <row r="19429" spans="1:4" ht="12.75" customHeight="1" x14ac:dyDescent="0.2">
      <c r="B19429" s="11" t="s">
        <v>2606</v>
      </c>
      <c r="C19429" s="16" t="s">
        <v>44</v>
      </c>
      <c r="D19429" s="6" t="str">
        <f>HYPERLINK("javascript:void(0)","melegige")</f>
        <v>melegige</v>
      </c>
    </row>
    <row r="19430" spans="1:4" ht="12.75" customHeight="1" x14ac:dyDescent="0.2">
      <c r="C19430" s="16" t="s">
        <v>44</v>
      </c>
      <c r="D19430" s="6" t="str">
        <f>HYPERLINK("javascript:void(0)","szikracsóva")</f>
        <v>szikracsóva</v>
      </c>
    </row>
    <row r="19431" spans="1:4" ht="12.75" customHeight="1" x14ac:dyDescent="0.2">
      <c r="B19431" s="2"/>
      <c r="C19431" s="15"/>
      <c r="D19431" s="2"/>
    </row>
    <row r="19432" spans="1:4" ht="12.75" customHeight="1" x14ac:dyDescent="0.2">
      <c r="B19432" s="2"/>
      <c r="C19432" s="15"/>
      <c r="D19432" s="2"/>
    </row>
    <row r="19433" spans="1:4" ht="12.75" customHeight="1" x14ac:dyDescent="0.2">
      <c r="A19433" s="13" t="s">
        <v>5683</v>
      </c>
      <c r="C19433" s="12"/>
      <c r="D19433" s="2"/>
    </row>
    <row r="19434" spans="1:4" ht="12.75" customHeight="1" x14ac:dyDescent="0.2">
      <c r="A19434" s="11"/>
      <c r="B19434" s="2"/>
      <c r="C19434" s="15"/>
      <c r="D19434" s="2"/>
    </row>
    <row r="19435" spans="1:4" ht="12.75" customHeight="1" x14ac:dyDescent="0.2">
      <c r="B19435" s="11" t="s">
        <v>0</v>
      </c>
      <c r="C19435" s="17" t="s">
        <v>305</v>
      </c>
      <c r="D19435" s="2"/>
    </row>
    <row r="19436" spans="1:4" ht="12.75" customHeight="1" x14ac:dyDescent="0.2">
      <c r="B19436" s="11" t="s">
        <v>2599</v>
      </c>
      <c r="C19436" s="17" t="s">
        <v>5684</v>
      </c>
      <c r="D19436" s="2"/>
    </row>
    <row r="19437" spans="1:4" ht="25.5" customHeight="1" x14ac:dyDescent="0.2">
      <c r="B19437" s="11" t="s">
        <v>2600</v>
      </c>
      <c r="C19437" s="17" t="s">
        <v>5746</v>
      </c>
      <c r="D19437" s="2"/>
    </row>
    <row r="19438" spans="1:4" ht="25.5" customHeight="1" x14ac:dyDescent="0.2">
      <c r="B19438" s="11" t="s">
        <v>2601</v>
      </c>
      <c r="C19438" s="17"/>
      <c r="D19438" s="2"/>
    </row>
    <row r="19439" spans="1:4" ht="12.75" customHeight="1" x14ac:dyDescent="0.2">
      <c r="B19439" s="11" t="s">
        <v>16</v>
      </c>
      <c r="C19439" s="17"/>
      <c r="D19439" s="2"/>
    </row>
    <row r="19440" spans="1:4" ht="12.75" customHeight="1" x14ac:dyDescent="0.2">
      <c r="B19440" s="11" t="s">
        <v>13</v>
      </c>
      <c r="C19440" s="17" t="s">
        <v>2602</v>
      </c>
      <c r="D19440" s="2"/>
    </row>
    <row r="19441" spans="1:4" ht="25.5" customHeight="1" x14ac:dyDescent="0.2">
      <c r="B19441" s="11" t="s">
        <v>2603</v>
      </c>
      <c r="C19441" s="17" t="s">
        <v>2971</v>
      </c>
      <c r="D19441" s="2"/>
    </row>
    <row r="19442" spans="1:4" ht="12.75" customHeight="1" x14ac:dyDescent="0.2">
      <c r="B19442" s="11" t="s">
        <v>2605</v>
      </c>
      <c r="C19442" s="17" t="s">
        <v>14</v>
      </c>
      <c r="D19442" s="2"/>
    </row>
    <row r="19443" spans="1:4" ht="12.75" customHeight="1" x14ac:dyDescent="0.2">
      <c r="B19443" s="11" t="s">
        <v>2606</v>
      </c>
      <c r="C19443" s="16" t="s">
        <v>19</v>
      </c>
      <c r="D19443" s="2"/>
    </row>
    <row r="19444" spans="1:4" ht="12.75" customHeight="1" x14ac:dyDescent="0.2">
      <c r="B19444" s="2"/>
      <c r="C19444" s="15"/>
      <c r="D19444" s="2"/>
    </row>
    <row r="19445" spans="1:4" ht="12.75" customHeight="1" x14ac:dyDescent="0.2">
      <c r="B19445" s="2"/>
      <c r="C19445" s="15"/>
      <c r="D19445" s="2"/>
    </row>
    <row r="19446" spans="1:4" ht="12.75" customHeight="1" x14ac:dyDescent="0.2">
      <c r="A19446" s="13" t="s">
        <v>5686</v>
      </c>
      <c r="C19446" s="12"/>
      <c r="D19446" s="2"/>
    </row>
    <row r="19447" spans="1:4" ht="12.75" customHeight="1" x14ac:dyDescent="0.2">
      <c r="A19447" s="11"/>
      <c r="B19447" s="2"/>
      <c r="C19447" s="15"/>
      <c r="D19447" s="2"/>
    </row>
    <row r="19448" spans="1:4" ht="12.75" customHeight="1" x14ac:dyDescent="0.2">
      <c r="B19448" s="11" t="s">
        <v>0</v>
      </c>
      <c r="C19448" s="17" t="s">
        <v>305</v>
      </c>
      <c r="D19448" s="2"/>
    </row>
    <row r="19449" spans="1:4" ht="12.75" customHeight="1" x14ac:dyDescent="0.2">
      <c r="B19449" s="11" t="s">
        <v>2599</v>
      </c>
      <c r="C19449" s="17" t="s">
        <v>5687</v>
      </c>
      <c r="D19449" s="2"/>
    </row>
    <row r="19450" spans="1:4" ht="25.5" customHeight="1" x14ac:dyDescent="0.2">
      <c r="B19450" s="11" t="s">
        <v>2600</v>
      </c>
      <c r="C19450" s="17" t="s">
        <v>5747</v>
      </c>
      <c r="D19450" s="2"/>
    </row>
    <row r="19451" spans="1:4" ht="25.5" customHeight="1" x14ac:dyDescent="0.2">
      <c r="B19451" s="11" t="s">
        <v>2601</v>
      </c>
      <c r="C19451" s="17"/>
      <c r="D19451" s="2"/>
    </row>
    <row r="19452" spans="1:4" ht="12.75" customHeight="1" x14ac:dyDescent="0.2">
      <c r="B19452" s="11" t="s">
        <v>16</v>
      </c>
      <c r="C19452" s="17"/>
      <c r="D19452" s="2"/>
    </row>
    <row r="19453" spans="1:4" ht="12.75" customHeight="1" x14ac:dyDescent="0.2">
      <c r="B19453" s="11" t="s">
        <v>13</v>
      </c>
      <c r="C19453" s="17" t="s">
        <v>2644</v>
      </c>
      <c r="D19453" s="2"/>
    </row>
    <row r="19454" spans="1:4" ht="25.5" customHeight="1" x14ac:dyDescent="0.2">
      <c r="B19454" s="11" t="s">
        <v>2603</v>
      </c>
      <c r="C19454" s="17" t="s">
        <v>2971</v>
      </c>
      <c r="D19454" s="2"/>
    </row>
    <row r="19455" spans="1:4" ht="12.75" customHeight="1" x14ac:dyDescent="0.2">
      <c r="B19455" s="11" t="s">
        <v>2605</v>
      </c>
      <c r="C19455" s="17" t="s">
        <v>14</v>
      </c>
      <c r="D19455" s="2"/>
    </row>
    <row r="19456" spans="1:4" ht="12.75" customHeight="1" x14ac:dyDescent="0.2">
      <c r="B19456" s="11" t="s">
        <v>2606</v>
      </c>
      <c r="C19456" s="16" t="s">
        <v>19</v>
      </c>
      <c r="D19456" s="2"/>
    </row>
    <row r="19457" spans="1:4" ht="12.75" customHeight="1" x14ac:dyDescent="0.2">
      <c r="B19457" s="2"/>
      <c r="C19457" s="15"/>
      <c r="D19457" s="2"/>
    </row>
    <row r="19458" spans="1:4" ht="12.75" customHeight="1" x14ac:dyDescent="0.2">
      <c r="B19458" s="2"/>
      <c r="C19458" s="15"/>
      <c r="D19458" s="2"/>
    </row>
    <row r="19459" spans="1:4" ht="12.75" customHeight="1" x14ac:dyDescent="0.2">
      <c r="A19459" s="13" t="s">
        <v>5689</v>
      </c>
      <c r="C19459" s="12"/>
      <c r="D19459" s="2"/>
    </row>
    <row r="19460" spans="1:4" ht="12.75" customHeight="1" x14ac:dyDescent="0.2">
      <c r="A19460" s="11"/>
      <c r="B19460" s="2"/>
      <c r="C19460" s="15"/>
      <c r="D19460" s="2"/>
    </row>
    <row r="19461" spans="1:4" ht="12.75" customHeight="1" x14ac:dyDescent="0.2">
      <c r="B19461" s="11" t="s">
        <v>0</v>
      </c>
      <c r="C19461" s="17" t="s">
        <v>305</v>
      </c>
      <c r="D19461" s="2"/>
    </row>
    <row r="19462" spans="1:4" ht="12.75" customHeight="1" x14ac:dyDescent="0.2">
      <c r="B19462" s="11" t="s">
        <v>2599</v>
      </c>
      <c r="C19462" s="17" t="s">
        <v>3382</v>
      </c>
      <c r="D19462" s="2"/>
    </row>
    <row r="19463" spans="1:4" ht="25.5" customHeight="1" x14ac:dyDescent="0.2">
      <c r="B19463" s="11" t="s">
        <v>2600</v>
      </c>
      <c r="C19463" s="17" t="s">
        <v>5748</v>
      </c>
      <c r="D19463" s="2"/>
    </row>
    <row r="19464" spans="1:4" ht="25.5" customHeight="1" x14ac:dyDescent="0.2">
      <c r="B19464" s="11" t="s">
        <v>2601</v>
      </c>
      <c r="C19464" s="17"/>
      <c r="D19464" s="2"/>
    </row>
    <row r="19465" spans="1:4" ht="12.75" customHeight="1" x14ac:dyDescent="0.2">
      <c r="B19465" s="11" t="s">
        <v>16</v>
      </c>
      <c r="C19465" s="17"/>
      <c r="D19465" s="2"/>
    </row>
    <row r="19466" spans="1:4" ht="12.75" customHeight="1" x14ac:dyDescent="0.2">
      <c r="B19466" s="11" t="s">
        <v>13</v>
      </c>
      <c r="C19466" s="17" t="s">
        <v>2602</v>
      </c>
      <c r="D19466" s="2"/>
    </row>
    <row r="19467" spans="1:4" ht="25.5" customHeight="1" x14ac:dyDescent="0.2">
      <c r="B19467" s="11" t="s">
        <v>2603</v>
      </c>
      <c r="C19467" s="17" t="s">
        <v>2971</v>
      </c>
      <c r="D19467" s="2"/>
    </row>
    <row r="19468" spans="1:4" ht="12.75" customHeight="1" x14ac:dyDescent="0.2">
      <c r="B19468" s="11" t="s">
        <v>2605</v>
      </c>
      <c r="C19468" s="17" t="s">
        <v>14</v>
      </c>
      <c r="D19468" s="2"/>
    </row>
    <row r="19469" spans="1:4" ht="12.75" customHeight="1" x14ac:dyDescent="0.2">
      <c r="B19469" s="11" t="s">
        <v>2606</v>
      </c>
      <c r="C19469" s="16" t="s">
        <v>19</v>
      </c>
      <c r="D19469" s="2"/>
    </row>
    <row r="19470" spans="1:4" ht="12.75" customHeight="1" x14ac:dyDescent="0.2">
      <c r="B19470" s="2"/>
      <c r="C19470" s="15"/>
      <c r="D19470" s="2"/>
    </row>
    <row r="19471" spans="1:4" ht="12.75" customHeight="1" x14ac:dyDescent="0.2">
      <c r="B19471" s="2"/>
      <c r="C19471" s="15"/>
      <c r="D19471" s="2"/>
    </row>
    <row r="19472" spans="1:4" ht="12.75" customHeight="1" x14ac:dyDescent="0.2">
      <c r="A19472" s="13" t="s">
        <v>5659</v>
      </c>
      <c r="C19472" s="12"/>
      <c r="D19472" s="2"/>
    </row>
    <row r="19473" spans="1:4" ht="12.75" customHeight="1" x14ac:dyDescent="0.2">
      <c r="A19473" s="11"/>
      <c r="B19473" s="2"/>
      <c r="C19473" s="15"/>
      <c r="D19473" s="2"/>
    </row>
    <row r="19474" spans="1:4" ht="12.75" customHeight="1" x14ac:dyDescent="0.2">
      <c r="B19474" s="11" t="s">
        <v>0</v>
      </c>
      <c r="C19474" s="17" t="s">
        <v>1114</v>
      </c>
      <c r="D19474" s="2"/>
    </row>
    <row r="19475" spans="1:4" ht="12.75" customHeight="1" x14ac:dyDescent="0.2">
      <c r="B19475" s="11" t="s">
        <v>2599</v>
      </c>
      <c r="C19475" s="17" t="s">
        <v>5660</v>
      </c>
      <c r="D19475" s="2"/>
    </row>
    <row r="19476" spans="1:4" ht="25.5" customHeight="1" x14ac:dyDescent="0.2">
      <c r="B19476" s="11" t="s">
        <v>2600</v>
      </c>
      <c r="C19476" s="17" t="s">
        <v>5749</v>
      </c>
      <c r="D19476" s="2"/>
    </row>
    <row r="19477" spans="1:4" ht="25.5" customHeight="1" x14ac:dyDescent="0.2">
      <c r="B19477" s="11" t="s">
        <v>2601</v>
      </c>
      <c r="C19477" s="17"/>
      <c r="D19477" s="2"/>
    </row>
    <row r="19478" spans="1:4" ht="12.75" customHeight="1" x14ac:dyDescent="0.2">
      <c r="B19478" s="11" t="s">
        <v>16</v>
      </c>
      <c r="C19478" s="17"/>
      <c r="D19478" s="2"/>
    </row>
    <row r="19479" spans="1:4" ht="12.75" customHeight="1" x14ac:dyDescent="0.2">
      <c r="B19479" s="11" t="s">
        <v>13</v>
      </c>
      <c r="C19479" s="17" t="s">
        <v>2644</v>
      </c>
      <c r="D19479" s="2"/>
    </row>
    <row r="19480" spans="1:4" ht="25.5" customHeight="1" x14ac:dyDescent="0.2">
      <c r="B19480" s="11" t="s">
        <v>2603</v>
      </c>
      <c r="C19480" s="17" t="s">
        <v>2971</v>
      </c>
      <c r="D19480" s="2"/>
    </row>
    <row r="19481" spans="1:4" ht="12.75" customHeight="1" x14ac:dyDescent="0.2">
      <c r="B19481" s="11" t="s">
        <v>2605</v>
      </c>
      <c r="C19481" s="17" t="s">
        <v>14</v>
      </c>
      <c r="D19481" s="2"/>
    </row>
    <row r="19482" spans="1:4" ht="12.75" customHeight="1" x14ac:dyDescent="0.2">
      <c r="B19482" s="11" t="s">
        <v>2606</v>
      </c>
      <c r="C19482" s="16" t="s">
        <v>19</v>
      </c>
      <c r="D19482" s="2"/>
    </row>
    <row r="19483" spans="1:4" ht="12.75" customHeight="1" x14ac:dyDescent="0.2">
      <c r="B19483" s="2"/>
      <c r="C19483" s="15"/>
      <c r="D19483" s="2"/>
    </row>
    <row r="19484" spans="1:4" ht="12.75" customHeight="1" x14ac:dyDescent="0.2">
      <c r="B19484" s="2"/>
      <c r="C19484" s="15"/>
      <c r="D19484" s="2"/>
    </row>
    <row r="19485" spans="1:4" ht="12.75" customHeight="1" x14ac:dyDescent="0.2">
      <c r="A19485" s="13" t="s">
        <v>5750</v>
      </c>
      <c r="C19485" s="12"/>
    </row>
    <row r="19486" spans="1:4" ht="12.75" customHeight="1" x14ac:dyDescent="0.2">
      <c r="A19486" s="11"/>
      <c r="B19486" s="2"/>
      <c r="C19486" s="15"/>
      <c r="D19486" s="2"/>
    </row>
    <row r="19487" spans="1:4" ht="12.75" customHeight="1" x14ac:dyDescent="0.2">
      <c r="B19487" s="11" t="s">
        <v>0</v>
      </c>
      <c r="C19487" s="11" t="s">
        <v>1114</v>
      </c>
    </row>
    <row r="19488" spans="1:4" ht="12.75" customHeight="1" x14ac:dyDescent="0.2">
      <c r="B19488" s="11" t="s">
        <v>2599</v>
      </c>
      <c r="C19488" s="11" t="s">
        <v>5751</v>
      </c>
    </row>
    <row r="19489" spans="1:4" ht="25.5" customHeight="1" x14ac:dyDescent="0.2">
      <c r="B19489" s="11" t="s">
        <v>2600</v>
      </c>
      <c r="C19489" s="11" t="s">
        <v>5752</v>
      </c>
    </row>
    <row r="19490" spans="1:4" ht="25.5" customHeight="1" x14ac:dyDescent="0.2">
      <c r="B19490" s="11" t="s">
        <v>2601</v>
      </c>
      <c r="C19490" s="11"/>
    </row>
    <row r="19491" spans="1:4" ht="12.75" customHeight="1" x14ac:dyDescent="0.2">
      <c r="B19491" s="11" t="s">
        <v>16</v>
      </c>
      <c r="C19491" s="11"/>
    </row>
    <row r="19492" spans="1:4" ht="12.75" customHeight="1" x14ac:dyDescent="0.2">
      <c r="B19492" s="11" t="s">
        <v>13</v>
      </c>
      <c r="C19492" s="11" t="s">
        <v>2602</v>
      </c>
    </row>
    <row r="19493" spans="1:4" ht="12.75" customHeight="1" x14ac:dyDescent="0.2">
      <c r="B19493" s="11" t="s">
        <v>2603</v>
      </c>
      <c r="C19493" s="11" t="s">
        <v>2604</v>
      </c>
    </row>
    <row r="19494" spans="1:4" ht="12.75" customHeight="1" x14ac:dyDescent="0.2">
      <c r="B19494" s="11" t="s">
        <v>2605</v>
      </c>
      <c r="C19494" s="11" t="s">
        <v>24</v>
      </c>
    </row>
    <row r="19495" spans="1:4" ht="12.75" customHeight="1" x14ac:dyDescent="0.2">
      <c r="B19495" s="11" t="s">
        <v>2606</v>
      </c>
      <c r="C19495" s="16" t="s">
        <v>193</v>
      </c>
      <c r="D19495" s="6" t="str">
        <f>HYPERLINK("javascript:void(0)","kincs")</f>
        <v>kincs</v>
      </c>
    </row>
    <row r="19496" spans="1:4" ht="12.75" customHeight="1" x14ac:dyDescent="0.2">
      <c r="B19496" s="2"/>
      <c r="C19496" s="15"/>
      <c r="D19496" s="2"/>
    </row>
    <row r="19497" spans="1:4" ht="12.75" customHeight="1" x14ac:dyDescent="0.2">
      <c r="B19497" s="2"/>
      <c r="C19497" s="15"/>
      <c r="D19497" s="2"/>
    </row>
    <row r="19498" spans="1:4" ht="12.75" customHeight="1" x14ac:dyDescent="0.2">
      <c r="A19498" s="13" t="s">
        <v>5753</v>
      </c>
      <c r="C19498" s="12"/>
    </row>
    <row r="19499" spans="1:4" ht="12.75" customHeight="1" x14ac:dyDescent="0.2">
      <c r="A19499" s="11"/>
      <c r="B19499" s="2"/>
      <c r="C19499" s="15"/>
      <c r="D19499" s="2"/>
    </row>
    <row r="19500" spans="1:4" ht="12.75" customHeight="1" x14ac:dyDescent="0.2">
      <c r="B19500" s="11" t="s">
        <v>0</v>
      </c>
      <c r="C19500" s="11" t="s">
        <v>1114</v>
      </c>
    </row>
    <row r="19501" spans="1:4" ht="12.75" customHeight="1" x14ac:dyDescent="0.2">
      <c r="B19501" s="11" t="s">
        <v>2599</v>
      </c>
      <c r="C19501" s="11" t="s">
        <v>5754</v>
      </c>
    </row>
    <row r="19502" spans="1:4" ht="25.5" customHeight="1" x14ac:dyDescent="0.2">
      <c r="B19502" s="11" t="s">
        <v>2600</v>
      </c>
      <c r="C19502" s="11" t="s">
        <v>5755</v>
      </c>
    </row>
    <row r="19503" spans="1:4" ht="25.5" customHeight="1" x14ac:dyDescent="0.2">
      <c r="B19503" s="11" t="s">
        <v>2601</v>
      </c>
      <c r="C19503" s="11"/>
    </row>
    <row r="19504" spans="1:4" ht="12.75" customHeight="1" x14ac:dyDescent="0.2">
      <c r="B19504" s="11" t="s">
        <v>16</v>
      </c>
      <c r="C19504" s="11"/>
    </row>
    <row r="19505" spans="1:4" ht="12.75" customHeight="1" x14ac:dyDescent="0.2">
      <c r="B19505" s="11" t="s">
        <v>13</v>
      </c>
      <c r="C19505" s="11" t="s">
        <v>2644</v>
      </c>
    </row>
    <row r="19506" spans="1:4" ht="12.75" customHeight="1" x14ac:dyDescent="0.2">
      <c r="B19506" s="11" t="s">
        <v>2603</v>
      </c>
      <c r="C19506" s="11" t="s">
        <v>2604</v>
      </c>
    </row>
    <row r="19507" spans="1:4" ht="12.75" customHeight="1" x14ac:dyDescent="0.2">
      <c r="B19507" s="11" t="s">
        <v>2605</v>
      </c>
      <c r="C19507" s="11" t="s">
        <v>24</v>
      </c>
    </row>
    <row r="19508" spans="1:4" ht="12.75" customHeight="1" x14ac:dyDescent="0.2">
      <c r="B19508" s="11" t="s">
        <v>2606</v>
      </c>
      <c r="C19508" s="16" t="s">
        <v>193</v>
      </c>
      <c r="D19508" s="6" t="str">
        <f>HYPERLINK("javascript:void(0)","kincs")</f>
        <v>kincs</v>
      </c>
    </row>
    <row r="19509" spans="1:4" ht="12.75" customHeight="1" x14ac:dyDescent="0.2">
      <c r="B19509" s="2"/>
      <c r="C19509" s="15"/>
      <c r="D19509" s="2"/>
    </row>
    <row r="19510" spans="1:4" ht="12.75" customHeight="1" x14ac:dyDescent="0.2">
      <c r="B19510" s="2"/>
      <c r="C19510" s="15"/>
      <c r="D19510" s="2"/>
    </row>
    <row r="19511" spans="1:4" ht="12.75" customHeight="1" x14ac:dyDescent="0.2">
      <c r="A19511" s="13" t="s">
        <v>5756</v>
      </c>
      <c r="C19511" s="12"/>
    </row>
    <row r="19512" spans="1:4" ht="12.75" customHeight="1" x14ac:dyDescent="0.2">
      <c r="A19512" s="11"/>
      <c r="B19512" s="2"/>
      <c r="C19512" s="15"/>
      <c r="D19512" s="2"/>
    </row>
    <row r="19513" spans="1:4" ht="12.75" customHeight="1" x14ac:dyDescent="0.2">
      <c r="B19513" s="11" t="s">
        <v>0</v>
      </c>
      <c r="C19513" s="11" t="s">
        <v>1114</v>
      </c>
    </row>
    <row r="19514" spans="1:4" ht="12.75" customHeight="1" x14ac:dyDescent="0.2">
      <c r="B19514" s="11" t="s">
        <v>2599</v>
      </c>
      <c r="C19514" s="11" t="s">
        <v>5757</v>
      </c>
    </row>
    <row r="19515" spans="1:4" ht="25.5" customHeight="1" x14ac:dyDescent="0.2">
      <c r="B19515" s="11" t="s">
        <v>2600</v>
      </c>
      <c r="C19515" s="11" t="s">
        <v>5758</v>
      </c>
    </row>
    <row r="19516" spans="1:4" ht="25.5" customHeight="1" x14ac:dyDescent="0.2">
      <c r="B19516" s="11" t="s">
        <v>2601</v>
      </c>
      <c r="C19516" s="11"/>
    </row>
    <row r="19517" spans="1:4" ht="12.75" customHeight="1" x14ac:dyDescent="0.2">
      <c r="B19517" s="11" t="s">
        <v>16</v>
      </c>
      <c r="C19517" s="11"/>
    </row>
    <row r="19518" spans="1:4" ht="12.75" customHeight="1" x14ac:dyDescent="0.2">
      <c r="B19518" s="11" t="s">
        <v>13</v>
      </c>
      <c r="C19518" s="11" t="s">
        <v>2644</v>
      </c>
    </row>
    <row r="19519" spans="1:4" ht="12.75" customHeight="1" x14ac:dyDescent="0.2">
      <c r="B19519" s="11" t="s">
        <v>2603</v>
      </c>
      <c r="C19519" s="11" t="s">
        <v>2604</v>
      </c>
    </row>
    <row r="19520" spans="1:4" ht="12.75" customHeight="1" x14ac:dyDescent="0.2">
      <c r="B19520" s="11" t="s">
        <v>2605</v>
      </c>
      <c r="C19520" s="11" t="s">
        <v>14</v>
      </c>
    </row>
    <row r="19521" spans="1:4" ht="12.75" customHeight="1" x14ac:dyDescent="0.2">
      <c r="B19521" s="11" t="s">
        <v>2606</v>
      </c>
      <c r="C19521" s="16" t="s">
        <v>55</v>
      </c>
      <c r="D19521" s="6" t="str">
        <f>HYPERLINK("javascript:void(0)","csatatüske")</f>
        <v>csatatüske</v>
      </c>
    </row>
    <row r="19522" spans="1:4" ht="12.75" customHeight="1" x14ac:dyDescent="0.2">
      <c r="B19522" s="2"/>
      <c r="C19522" s="15"/>
      <c r="D19522" s="2"/>
    </row>
    <row r="19523" spans="1:4" ht="12.75" customHeight="1" x14ac:dyDescent="0.2">
      <c r="B19523" s="2"/>
      <c r="C19523" s="15"/>
      <c r="D19523" s="2"/>
    </row>
    <row r="19524" spans="1:4" ht="12.75" customHeight="1" x14ac:dyDescent="0.2">
      <c r="A19524" s="13" t="s">
        <v>5759</v>
      </c>
      <c r="C19524" s="12"/>
    </row>
    <row r="19525" spans="1:4" ht="12.75" customHeight="1" x14ac:dyDescent="0.2">
      <c r="A19525" s="11"/>
      <c r="B19525" s="2"/>
      <c r="C19525" s="15"/>
      <c r="D19525" s="2"/>
    </row>
    <row r="19526" spans="1:4" ht="12.75" customHeight="1" x14ac:dyDescent="0.2">
      <c r="B19526" s="11" t="s">
        <v>0</v>
      </c>
      <c r="C19526" s="11" t="s">
        <v>1114</v>
      </c>
    </row>
    <row r="19527" spans="1:4" ht="12.75" customHeight="1" x14ac:dyDescent="0.2">
      <c r="B19527" s="11" t="s">
        <v>2599</v>
      </c>
      <c r="C19527" s="11" t="s">
        <v>5760</v>
      </c>
    </row>
    <row r="19528" spans="1:4" ht="25.5" customHeight="1" x14ac:dyDescent="0.2">
      <c r="B19528" s="11" t="s">
        <v>2600</v>
      </c>
      <c r="C19528" s="11" t="s">
        <v>5761</v>
      </c>
    </row>
    <row r="19529" spans="1:4" ht="25.5" customHeight="1" x14ac:dyDescent="0.2">
      <c r="B19529" s="11" t="s">
        <v>2601</v>
      </c>
      <c r="C19529" s="11"/>
    </row>
    <row r="19530" spans="1:4" ht="12.75" customHeight="1" x14ac:dyDescent="0.2">
      <c r="B19530" s="11" t="s">
        <v>16</v>
      </c>
      <c r="C19530" s="11"/>
    </row>
    <row r="19531" spans="1:4" ht="12.75" customHeight="1" x14ac:dyDescent="0.2">
      <c r="B19531" s="11" t="s">
        <v>13</v>
      </c>
      <c r="C19531" s="11" t="s">
        <v>2644</v>
      </c>
    </row>
    <row r="19532" spans="1:4" ht="12.75" customHeight="1" x14ac:dyDescent="0.2">
      <c r="B19532" s="11" t="s">
        <v>2603</v>
      </c>
      <c r="C19532" s="11" t="s">
        <v>2604</v>
      </c>
    </row>
    <row r="19533" spans="1:4" ht="12.75" customHeight="1" x14ac:dyDescent="0.2">
      <c r="B19533" s="11" t="s">
        <v>2605</v>
      </c>
      <c r="C19533" s="11" t="s">
        <v>14</v>
      </c>
    </row>
    <row r="19534" spans="1:4" ht="12.75" customHeight="1" x14ac:dyDescent="0.2">
      <c r="B19534" s="11" t="s">
        <v>2606</v>
      </c>
      <c r="C19534" s="16" t="s">
        <v>98</v>
      </c>
      <c r="D19534" s="6" t="str">
        <f>HYPERLINK("javascript:void(0)","kincs")</f>
        <v>kincs</v>
      </c>
    </row>
    <row r="19535" spans="1:4" ht="12.75" customHeight="1" x14ac:dyDescent="0.2">
      <c r="B19535" s="2"/>
      <c r="C19535" s="15"/>
      <c r="D19535" s="2"/>
    </row>
    <row r="19536" spans="1:4" ht="12.75" customHeight="1" x14ac:dyDescent="0.2">
      <c r="B19536" s="2"/>
      <c r="C19536" s="15"/>
      <c r="D19536" s="2"/>
    </row>
    <row r="19537" spans="1:4" ht="12.75" customHeight="1" x14ac:dyDescent="0.2">
      <c r="A19537" s="13" t="s">
        <v>5763</v>
      </c>
      <c r="C19537" s="12"/>
    </row>
    <row r="19538" spans="1:4" ht="12.75" customHeight="1" x14ac:dyDescent="0.2">
      <c r="A19538" s="11"/>
      <c r="B19538" s="2"/>
      <c r="C19538" s="15"/>
      <c r="D19538" s="2"/>
    </row>
    <row r="19539" spans="1:4" ht="12.75" customHeight="1" x14ac:dyDescent="0.2">
      <c r="B19539" s="11" t="s">
        <v>0</v>
      </c>
      <c r="C19539" s="11" t="s">
        <v>1114</v>
      </c>
    </row>
    <row r="19540" spans="1:4" ht="12.75" customHeight="1" x14ac:dyDescent="0.2">
      <c r="B19540" s="11" t="s">
        <v>2599</v>
      </c>
      <c r="C19540" s="11" t="s">
        <v>5764</v>
      </c>
    </row>
    <row r="19541" spans="1:4" ht="25.5" customHeight="1" x14ac:dyDescent="0.2">
      <c r="B19541" s="11" t="s">
        <v>2600</v>
      </c>
      <c r="C19541" s="11" t="s">
        <v>5765</v>
      </c>
    </row>
    <row r="19542" spans="1:4" ht="25.5" customHeight="1" x14ac:dyDescent="0.2">
      <c r="B19542" s="11" t="s">
        <v>2601</v>
      </c>
      <c r="C19542" s="11"/>
    </row>
    <row r="19543" spans="1:4" ht="12.75" customHeight="1" x14ac:dyDescent="0.2">
      <c r="B19543" s="11" t="s">
        <v>16</v>
      </c>
      <c r="C19543" s="11"/>
    </row>
    <row r="19544" spans="1:4" ht="12.75" customHeight="1" x14ac:dyDescent="0.2">
      <c r="B19544" s="11" t="s">
        <v>13</v>
      </c>
      <c r="C19544" s="11" t="s">
        <v>2602</v>
      </c>
    </row>
    <row r="19545" spans="1:4" ht="12.75" customHeight="1" x14ac:dyDescent="0.2">
      <c r="B19545" s="11" t="s">
        <v>2603</v>
      </c>
      <c r="C19545" s="11" t="s">
        <v>2604</v>
      </c>
    </row>
    <row r="19546" spans="1:4" ht="12.75" customHeight="1" x14ac:dyDescent="0.2">
      <c r="B19546" s="11" t="s">
        <v>2605</v>
      </c>
      <c r="C19546" s="11" t="s">
        <v>14</v>
      </c>
    </row>
    <row r="19547" spans="1:4" ht="12.75" customHeight="1" x14ac:dyDescent="0.2">
      <c r="B19547" s="11" t="s">
        <v>2606</v>
      </c>
      <c r="C19547" s="16" t="s">
        <v>98</v>
      </c>
      <c r="D19547" s="6" t="str">
        <f>HYPERLINK("javascript:void(0)","kincs")</f>
        <v>kincs</v>
      </c>
    </row>
    <row r="19548" spans="1:4" ht="12.75" customHeight="1" x14ac:dyDescent="0.2">
      <c r="B19548" s="2"/>
      <c r="C19548" s="15"/>
      <c r="D19548" s="2"/>
    </row>
    <row r="19549" spans="1:4" ht="12.75" customHeight="1" x14ac:dyDescent="0.2">
      <c r="B19549" s="2"/>
      <c r="C19549" s="15"/>
      <c r="D19549" s="2"/>
    </row>
    <row r="19550" spans="1:4" ht="12.75" customHeight="1" x14ac:dyDescent="0.2">
      <c r="A19550" s="13" t="s">
        <v>5766</v>
      </c>
      <c r="C19550" s="12"/>
    </row>
    <row r="19551" spans="1:4" ht="12.75" customHeight="1" x14ac:dyDescent="0.2">
      <c r="A19551" s="11"/>
      <c r="B19551" s="2"/>
      <c r="C19551" s="15"/>
      <c r="D19551" s="2"/>
    </row>
    <row r="19552" spans="1:4" ht="12.75" customHeight="1" x14ac:dyDescent="0.2">
      <c r="B19552" s="11" t="s">
        <v>0</v>
      </c>
      <c r="C19552" s="11" t="s">
        <v>1114</v>
      </c>
    </row>
    <row r="19553" spans="1:4" ht="12.75" customHeight="1" x14ac:dyDescent="0.2">
      <c r="B19553" s="11" t="s">
        <v>2599</v>
      </c>
      <c r="C19553" s="11" t="s">
        <v>5767</v>
      </c>
    </row>
    <row r="19554" spans="1:4" ht="25.5" customHeight="1" x14ac:dyDescent="0.2">
      <c r="B19554" s="11" t="s">
        <v>2600</v>
      </c>
      <c r="C19554" s="11" t="s">
        <v>5768</v>
      </c>
    </row>
    <row r="19555" spans="1:4" ht="25.5" customHeight="1" x14ac:dyDescent="0.2">
      <c r="B19555" s="11" t="s">
        <v>2601</v>
      </c>
      <c r="C19555" s="11"/>
    </row>
    <row r="19556" spans="1:4" ht="12.75" customHeight="1" x14ac:dyDescent="0.2">
      <c r="B19556" s="11" t="s">
        <v>16</v>
      </c>
      <c r="C19556" s="11"/>
    </row>
    <row r="19557" spans="1:4" ht="12.75" customHeight="1" x14ac:dyDescent="0.2">
      <c r="B19557" s="11" t="s">
        <v>13</v>
      </c>
      <c r="C19557" s="11" t="s">
        <v>2602</v>
      </c>
    </row>
    <row r="19558" spans="1:4" ht="12.75" customHeight="1" x14ac:dyDescent="0.2">
      <c r="B19558" s="11" t="s">
        <v>2603</v>
      </c>
      <c r="C19558" s="11" t="s">
        <v>2604</v>
      </c>
    </row>
    <row r="19559" spans="1:4" ht="12.75" customHeight="1" x14ac:dyDescent="0.2">
      <c r="B19559" s="11" t="s">
        <v>2605</v>
      </c>
      <c r="C19559" s="11" t="s">
        <v>14</v>
      </c>
    </row>
    <row r="19560" spans="1:4" ht="12.75" customHeight="1" x14ac:dyDescent="0.2">
      <c r="B19560" s="11" t="s">
        <v>2606</v>
      </c>
      <c r="C19560" s="16" t="s">
        <v>98</v>
      </c>
      <c r="D19560" s="6" t="str">
        <f>HYPERLINK("javascript:void(0)","kincs")</f>
        <v>kincs</v>
      </c>
    </row>
    <row r="19561" spans="1:4" ht="12.75" customHeight="1" x14ac:dyDescent="0.2">
      <c r="B19561" s="2"/>
      <c r="C19561" s="15"/>
      <c r="D19561" s="2"/>
    </row>
    <row r="19562" spans="1:4" ht="12.75" customHeight="1" x14ac:dyDescent="0.2">
      <c r="B19562" s="2"/>
      <c r="C19562" s="15"/>
      <c r="D19562" s="2"/>
    </row>
    <row r="19563" spans="1:4" ht="12.75" customHeight="1" x14ac:dyDescent="0.2">
      <c r="A19563" s="13" t="s">
        <v>5769</v>
      </c>
      <c r="C19563" s="12"/>
    </row>
    <row r="19564" spans="1:4" ht="12.75" customHeight="1" x14ac:dyDescent="0.2">
      <c r="A19564" s="11"/>
      <c r="B19564" s="2"/>
      <c r="C19564" s="15"/>
      <c r="D19564" s="2"/>
    </row>
    <row r="19565" spans="1:4" ht="12.75" customHeight="1" x14ac:dyDescent="0.2">
      <c r="B19565" s="11" t="s">
        <v>0</v>
      </c>
      <c r="C19565" s="11" t="s">
        <v>1114</v>
      </c>
    </row>
    <row r="19566" spans="1:4" ht="12.75" customHeight="1" x14ac:dyDescent="0.2">
      <c r="B19566" s="11" t="s">
        <v>2599</v>
      </c>
      <c r="C19566" s="11" t="s">
        <v>4162</v>
      </c>
    </row>
    <row r="19567" spans="1:4" ht="25.5" customHeight="1" x14ac:dyDescent="0.2">
      <c r="B19567" s="11" t="s">
        <v>2600</v>
      </c>
      <c r="C19567" s="11" t="s">
        <v>5770</v>
      </c>
    </row>
    <row r="19568" spans="1:4" ht="25.5" customHeight="1" x14ac:dyDescent="0.2">
      <c r="B19568" s="11" t="s">
        <v>2601</v>
      </c>
      <c r="C19568" s="11"/>
    </row>
    <row r="19569" spans="1:4" ht="12.75" customHeight="1" x14ac:dyDescent="0.2">
      <c r="B19569" s="11" t="s">
        <v>16</v>
      </c>
      <c r="C19569" s="11"/>
    </row>
    <row r="19570" spans="1:4" ht="12.75" customHeight="1" x14ac:dyDescent="0.2">
      <c r="B19570" s="11" t="s">
        <v>13</v>
      </c>
      <c r="C19570" s="11" t="s">
        <v>2602</v>
      </c>
    </row>
    <row r="19571" spans="1:4" ht="12.75" customHeight="1" x14ac:dyDescent="0.2">
      <c r="B19571" s="11" t="s">
        <v>2603</v>
      </c>
      <c r="C19571" s="11" t="s">
        <v>2604</v>
      </c>
    </row>
    <row r="19572" spans="1:4" ht="12.75" customHeight="1" x14ac:dyDescent="0.2">
      <c r="B19572" s="11" t="s">
        <v>2605</v>
      </c>
      <c r="C19572" s="11" t="s">
        <v>24</v>
      </c>
    </row>
    <row r="19573" spans="1:4" ht="12.75" customHeight="1" x14ac:dyDescent="0.2">
      <c r="B19573" s="11" t="s">
        <v>2606</v>
      </c>
      <c r="C19573" s="16" t="s">
        <v>44</v>
      </c>
      <c r="D19573" s="6" t="str">
        <f>HYPERLINK("javascript:void(0)","lélekfodor")</f>
        <v>lélekfodor</v>
      </c>
    </row>
    <row r="19574" spans="1:4" ht="12.75" customHeight="1" x14ac:dyDescent="0.2">
      <c r="C19574" s="16" t="s">
        <v>44</v>
      </c>
      <c r="D19574" s="6" t="str">
        <f>HYPERLINK("javascript:void(0)","fiola")</f>
        <v>fiola</v>
      </c>
    </row>
    <row r="19575" spans="1:4" ht="12.75" customHeight="1" x14ac:dyDescent="0.2">
      <c r="C19575" s="16" t="s">
        <v>44</v>
      </c>
      <c r="D19575" s="6" t="str">
        <f>HYPERLINK("javascript:void(0)","nekroige")</f>
        <v>nekroige</v>
      </c>
    </row>
    <row r="19576" spans="1:4" ht="12.75" customHeight="1" x14ac:dyDescent="0.2">
      <c r="B19576" s="2"/>
      <c r="C19576" s="15"/>
      <c r="D19576" s="2"/>
    </row>
    <row r="19577" spans="1:4" ht="12.75" customHeight="1" x14ac:dyDescent="0.2">
      <c r="B19577" s="2"/>
      <c r="C19577" s="15"/>
      <c r="D19577" s="2"/>
    </row>
    <row r="19578" spans="1:4" ht="12.75" customHeight="1" x14ac:dyDescent="0.2">
      <c r="A19578" s="13" t="s">
        <v>5771</v>
      </c>
      <c r="C19578" s="12"/>
    </row>
    <row r="19579" spans="1:4" ht="12.75" customHeight="1" x14ac:dyDescent="0.2">
      <c r="A19579" s="11"/>
      <c r="B19579" s="2"/>
      <c r="C19579" s="15"/>
      <c r="D19579" s="2"/>
    </row>
    <row r="19580" spans="1:4" ht="12.75" customHeight="1" x14ac:dyDescent="0.2">
      <c r="B19580" s="11" t="s">
        <v>0</v>
      </c>
      <c r="C19580" s="11" t="s">
        <v>1114</v>
      </c>
    </row>
    <row r="19581" spans="1:4" ht="12.75" customHeight="1" x14ac:dyDescent="0.2">
      <c r="B19581" s="11" t="s">
        <v>2599</v>
      </c>
      <c r="C19581" s="11" t="s">
        <v>5772</v>
      </c>
    </row>
    <row r="19582" spans="1:4" ht="25.5" customHeight="1" x14ac:dyDescent="0.2">
      <c r="B19582" s="11" t="s">
        <v>2600</v>
      </c>
      <c r="C19582" s="11" t="s">
        <v>5773</v>
      </c>
    </row>
    <row r="19583" spans="1:4" ht="25.5" customHeight="1" x14ac:dyDescent="0.2">
      <c r="B19583" s="11" t="s">
        <v>2601</v>
      </c>
      <c r="C19583" s="11"/>
    </row>
    <row r="19584" spans="1:4" ht="12.75" customHeight="1" x14ac:dyDescent="0.2">
      <c r="B19584" s="11" t="s">
        <v>16</v>
      </c>
      <c r="C19584" s="11"/>
    </row>
    <row r="19585" spans="1:4" ht="12.75" customHeight="1" x14ac:dyDescent="0.2">
      <c r="B19585" s="11" t="s">
        <v>13</v>
      </c>
      <c r="C19585" s="11" t="s">
        <v>2644</v>
      </c>
    </row>
    <row r="19586" spans="1:4" ht="12.75" customHeight="1" x14ac:dyDescent="0.2">
      <c r="B19586" s="11" t="s">
        <v>2603</v>
      </c>
      <c r="C19586" s="11" t="s">
        <v>2604</v>
      </c>
    </row>
    <row r="19587" spans="1:4" ht="12.75" customHeight="1" x14ac:dyDescent="0.2">
      <c r="B19587" s="11" t="s">
        <v>2605</v>
      </c>
      <c r="C19587" s="11" t="s">
        <v>24</v>
      </c>
    </row>
    <row r="19588" spans="1:4" ht="25.5" customHeight="1" x14ac:dyDescent="0.2">
      <c r="B19588" s="11" t="s">
        <v>2606</v>
      </c>
      <c r="C19588" s="16" t="s">
        <v>44</v>
      </c>
      <c r="D19588" s="6" t="str">
        <f>HYPERLINK("javascript:void(0)","szúnyogcsont")</f>
        <v>szúnyogcsont</v>
      </c>
    </row>
    <row r="19589" spans="1:4" ht="25.5" customHeight="1" x14ac:dyDescent="0.2">
      <c r="C19589" s="16" t="s">
        <v>56</v>
      </c>
      <c r="D19589" s="6" t="str">
        <f>HYPERLINK("javascript:void(0)","szúnyogszárny")</f>
        <v>szúnyogszárny</v>
      </c>
    </row>
    <row r="19590" spans="1:4" ht="12.75" customHeight="1" x14ac:dyDescent="0.2">
      <c r="B19590" s="2"/>
      <c r="C19590" s="15"/>
      <c r="D19590" s="2"/>
    </row>
    <row r="19591" spans="1:4" ht="12.75" customHeight="1" x14ac:dyDescent="0.2">
      <c r="B19591" s="2"/>
      <c r="C19591" s="15"/>
      <c r="D19591" s="2"/>
    </row>
    <row r="19592" spans="1:4" ht="12.75" customHeight="1" x14ac:dyDescent="0.2">
      <c r="A19592" s="13" t="s">
        <v>5683</v>
      </c>
      <c r="C19592" s="12"/>
      <c r="D19592" s="2"/>
    </row>
    <row r="19593" spans="1:4" ht="12.75" customHeight="1" x14ac:dyDescent="0.2">
      <c r="A19593" s="11"/>
      <c r="B19593" s="2"/>
      <c r="C19593" s="15"/>
      <c r="D19593" s="2"/>
    </row>
    <row r="19594" spans="1:4" ht="12.75" customHeight="1" x14ac:dyDescent="0.2">
      <c r="B19594" s="11" t="s">
        <v>0</v>
      </c>
      <c r="C19594" s="17" t="s">
        <v>1114</v>
      </c>
      <c r="D19594" s="2"/>
    </row>
    <row r="19595" spans="1:4" ht="12.75" customHeight="1" x14ac:dyDescent="0.2">
      <c r="B19595" s="11" t="s">
        <v>2599</v>
      </c>
      <c r="C19595" s="17" t="s">
        <v>5684</v>
      </c>
      <c r="D19595" s="2"/>
    </row>
    <row r="19596" spans="1:4" ht="25.5" customHeight="1" x14ac:dyDescent="0.2">
      <c r="B19596" s="11" t="s">
        <v>2600</v>
      </c>
      <c r="C19596" s="17" t="s">
        <v>5774</v>
      </c>
      <c r="D19596" s="2"/>
    </row>
    <row r="19597" spans="1:4" ht="25.5" customHeight="1" x14ac:dyDescent="0.2">
      <c r="B19597" s="11" t="s">
        <v>2601</v>
      </c>
      <c r="C19597" s="17"/>
      <c r="D19597" s="2"/>
    </row>
    <row r="19598" spans="1:4" ht="12.75" customHeight="1" x14ac:dyDescent="0.2">
      <c r="B19598" s="11" t="s">
        <v>16</v>
      </c>
      <c r="C19598" s="17"/>
      <c r="D19598" s="2"/>
    </row>
    <row r="19599" spans="1:4" ht="12.75" customHeight="1" x14ac:dyDescent="0.2">
      <c r="B19599" s="11" t="s">
        <v>13</v>
      </c>
      <c r="C19599" s="17" t="s">
        <v>2602</v>
      </c>
      <c r="D19599" s="2"/>
    </row>
    <row r="19600" spans="1:4" ht="25.5" customHeight="1" x14ac:dyDescent="0.2">
      <c r="B19600" s="11" t="s">
        <v>2603</v>
      </c>
      <c r="C19600" s="17" t="s">
        <v>2971</v>
      </c>
      <c r="D19600" s="2"/>
    </row>
    <row r="19601" spans="1:4" ht="12.75" customHeight="1" x14ac:dyDescent="0.2">
      <c r="B19601" s="11" t="s">
        <v>2605</v>
      </c>
      <c r="C19601" s="17" t="s">
        <v>14</v>
      </c>
      <c r="D19601" s="2"/>
    </row>
    <row r="19602" spans="1:4" ht="12.75" customHeight="1" x14ac:dyDescent="0.2">
      <c r="B19602" s="11" t="s">
        <v>2606</v>
      </c>
      <c r="C19602" s="16" t="s">
        <v>19</v>
      </c>
      <c r="D19602" s="2"/>
    </row>
    <row r="19603" spans="1:4" ht="12.75" customHeight="1" x14ac:dyDescent="0.2">
      <c r="B19603" s="2"/>
      <c r="C19603" s="15"/>
      <c r="D19603" s="2"/>
    </row>
    <row r="19604" spans="1:4" ht="12.75" customHeight="1" x14ac:dyDescent="0.2">
      <c r="B19604" s="2"/>
      <c r="C19604" s="15"/>
      <c r="D19604" s="2"/>
    </row>
    <row r="19605" spans="1:4" ht="12.75" customHeight="1" x14ac:dyDescent="0.2">
      <c r="A19605" s="13" t="s">
        <v>5686</v>
      </c>
      <c r="C19605" s="12"/>
      <c r="D19605" s="2"/>
    </row>
    <row r="19606" spans="1:4" ht="12.75" customHeight="1" x14ac:dyDescent="0.2">
      <c r="A19606" s="11"/>
      <c r="B19606" s="2"/>
      <c r="C19606" s="15"/>
      <c r="D19606" s="2"/>
    </row>
    <row r="19607" spans="1:4" ht="12.75" customHeight="1" x14ac:dyDescent="0.2">
      <c r="B19607" s="11" t="s">
        <v>0</v>
      </c>
      <c r="C19607" s="17" t="s">
        <v>1114</v>
      </c>
      <c r="D19607" s="2"/>
    </row>
    <row r="19608" spans="1:4" ht="12.75" customHeight="1" x14ac:dyDescent="0.2">
      <c r="B19608" s="11" t="s">
        <v>2599</v>
      </c>
      <c r="C19608" s="17" t="s">
        <v>5687</v>
      </c>
      <c r="D19608" s="2"/>
    </row>
    <row r="19609" spans="1:4" ht="25.5" customHeight="1" x14ac:dyDescent="0.2">
      <c r="B19609" s="11" t="s">
        <v>2600</v>
      </c>
      <c r="C19609" s="17" t="s">
        <v>5775</v>
      </c>
      <c r="D19609" s="2"/>
    </row>
    <row r="19610" spans="1:4" ht="25.5" customHeight="1" x14ac:dyDescent="0.2">
      <c r="B19610" s="11" t="s">
        <v>2601</v>
      </c>
      <c r="C19610" s="17"/>
      <c r="D19610" s="2"/>
    </row>
    <row r="19611" spans="1:4" ht="12.75" customHeight="1" x14ac:dyDescent="0.2">
      <c r="B19611" s="11" t="s">
        <v>16</v>
      </c>
      <c r="C19611" s="17"/>
      <c r="D19611" s="2"/>
    </row>
    <row r="19612" spans="1:4" ht="12.75" customHeight="1" x14ac:dyDescent="0.2">
      <c r="B19612" s="11" t="s">
        <v>13</v>
      </c>
      <c r="C19612" s="17" t="s">
        <v>2644</v>
      </c>
      <c r="D19612" s="2"/>
    </row>
    <row r="19613" spans="1:4" ht="25.5" customHeight="1" x14ac:dyDescent="0.2">
      <c r="B19613" s="11" t="s">
        <v>2603</v>
      </c>
      <c r="C19613" s="17" t="s">
        <v>2971</v>
      </c>
      <c r="D19613" s="2"/>
    </row>
    <row r="19614" spans="1:4" ht="12.75" customHeight="1" x14ac:dyDescent="0.2">
      <c r="B19614" s="11" t="s">
        <v>2605</v>
      </c>
      <c r="C19614" s="17" t="s">
        <v>14</v>
      </c>
      <c r="D19614" s="2"/>
    </row>
    <row r="19615" spans="1:4" ht="12.75" customHeight="1" x14ac:dyDescent="0.2">
      <c r="B19615" s="11" t="s">
        <v>2606</v>
      </c>
      <c r="C19615" s="16" t="s">
        <v>19</v>
      </c>
      <c r="D19615" s="2"/>
    </row>
    <row r="19616" spans="1:4" ht="12.75" customHeight="1" x14ac:dyDescent="0.2">
      <c r="B19616" s="2"/>
      <c r="C19616" s="15"/>
      <c r="D19616" s="2"/>
    </row>
    <row r="19617" spans="1:4" ht="12.75" customHeight="1" x14ac:dyDescent="0.2">
      <c r="B19617" s="2"/>
      <c r="C19617" s="15"/>
      <c r="D19617" s="2"/>
    </row>
    <row r="19618" spans="1:4" ht="12.75" customHeight="1" x14ac:dyDescent="0.2">
      <c r="A19618" s="13" t="s">
        <v>5689</v>
      </c>
      <c r="C19618" s="12"/>
      <c r="D19618" s="2"/>
    </row>
    <row r="19619" spans="1:4" ht="12.75" customHeight="1" x14ac:dyDescent="0.2">
      <c r="A19619" s="11"/>
      <c r="B19619" s="2"/>
      <c r="C19619" s="15"/>
      <c r="D19619" s="2"/>
    </row>
    <row r="19620" spans="1:4" ht="12.75" customHeight="1" x14ac:dyDescent="0.2">
      <c r="B19620" s="11" t="s">
        <v>0</v>
      </c>
      <c r="C19620" s="17" t="s">
        <v>1114</v>
      </c>
      <c r="D19620" s="2"/>
    </row>
    <row r="19621" spans="1:4" ht="12.75" customHeight="1" x14ac:dyDescent="0.2">
      <c r="B19621" s="11" t="s">
        <v>2599</v>
      </c>
      <c r="C19621" s="17" t="s">
        <v>3382</v>
      </c>
      <c r="D19621" s="2"/>
    </row>
    <row r="19622" spans="1:4" ht="25.5" customHeight="1" x14ac:dyDescent="0.2">
      <c r="B19622" s="11" t="s">
        <v>2600</v>
      </c>
      <c r="C19622" s="17" t="s">
        <v>5776</v>
      </c>
      <c r="D19622" s="2"/>
    </row>
    <row r="19623" spans="1:4" ht="25.5" customHeight="1" x14ac:dyDescent="0.2">
      <c r="B19623" s="11" t="s">
        <v>2601</v>
      </c>
      <c r="C19623" s="17"/>
      <c r="D19623" s="2"/>
    </row>
    <row r="19624" spans="1:4" ht="12.75" customHeight="1" x14ac:dyDescent="0.2">
      <c r="B19624" s="11" t="s">
        <v>16</v>
      </c>
      <c r="C19624" s="17"/>
      <c r="D19624" s="2"/>
    </row>
    <row r="19625" spans="1:4" ht="12.75" customHeight="1" x14ac:dyDescent="0.2">
      <c r="B19625" s="11" t="s">
        <v>13</v>
      </c>
      <c r="C19625" s="17" t="s">
        <v>2602</v>
      </c>
      <c r="D19625" s="2"/>
    </row>
    <row r="19626" spans="1:4" ht="25.5" customHeight="1" x14ac:dyDescent="0.2">
      <c r="B19626" s="11" t="s">
        <v>2603</v>
      </c>
      <c r="C19626" s="17" t="s">
        <v>2971</v>
      </c>
      <c r="D19626" s="2"/>
    </row>
    <row r="19627" spans="1:4" ht="12.75" customHeight="1" x14ac:dyDescent="0.2">
      <c r="B19627" s="11" t="s">
        <v>2605</v>
      </c>
      <c r="C19627" s="17" t="s">
        <v>14</v>
      </c>
      <c r="D19627" s="2"/>
    </row>
    <row r="19628" spans="1:4" ht="12.75" customHeight="1" x14ac:dyDescent="0.2">
      <c r="B19628" s="11" t="s">
        <v>2606</v>
      </c>
      <c r="C19628" s="16" t="s">
        <v>19</v>
      </c>
      <c r="D19628" s="2"/>
    </row>
    <row r="19629" spans="1:4" ht="12.75" customHeight="1" x14ac:dyDescent="0.2">
      <c r="B19629" s="2"/>
      <c r="C19629" s="15"/>
      <c r="D19629" s="2"/>
    </row>
    <row r="19630" spans="1:4" ht="12.75" customHeight="1" x14ac:dyDescent="0.2">
      <c r="B19630" s="2"/>
      <c r="C19630" s="15"/>
      <c r="D19630" s="2"/>
    </row>
    <row r="19631" spans="1:4" ht="12.75" customHeight="1" x14ac:dyDescent="0.2">
      <c r="A19631" s="13" t="s">
        <v>5659</v>
      </c>
      <c r="C19631" s="12"/>
      <c r="D19631" s="2"/>
    </row>
    <row r="19632" spans="1:4" ht="12.75" customHeight="1" x14ac:dyDescent="0.2">
      <c r="A19632" s="11"/>
      <c r="B19632" s="2"/>
      <c r="C19632" s="15"/>
      <c r="D19632" s="2"/>
    </row>
    <row r="19633" spans="1:4" ht="12.75" customHeight="1" x14ac:dyDescent="0.2">
      <c r="B19633" s="11" t="s">
        <v>0</v>
      </c>
      <c r="C19633" s="17" t="s">
        <v>356</v>
      </c>
      <c r="D19633" s="2"/>
    </row>
    <row r="19634" spans="1:4" ht="12.75" customHeight="1" x14ac:dyDescent="0.2">
      <c r="B19634" s="11" t="s">
        <v>2599</v>
      </c>
      <c r="C19634" s="17" t="s">
        <v>5660</v>
      </c>
      <c r="D19634" s="2"/>
    </row>
    <row r="19635" spans="1:4" ht="25.5" customHeight="1" x14ac:dyDescent="0.2">
      <c r="B19635" s="11" t="s">
        <v>2600</v>
      </c>
      <c r="C19635" s="17" t="s">
        <v>5777</v>
      </c>
      <c r="D19635" s="2"/>
    </row>
    <row r="19636" spans="1:4" ht="25.5" customHeight="1" x14ac:dyDescent="0.2">
      <c r="B19636" s="11" t="s">
        <v>2601</v>
      </c>
      <c r="C19636" s="17"/>
      <c r="D19636" s="2"/>
    </row>
    <row r="19637" spans="1:4" ht="12.75" customHeight="1" x14ac:dyDescent="0.2">
      <c r="B19637" s="11" t="s">
        <v>16</v>
      </c>
      <c r="C19637" s="17"/>
      <c r="D19637" s="2"/>
    </row>
    <row r="19638" spans="1:4" ht="12.75" customHeight="1" x14ac:dyDescent="0.2">
      <c r="B19638" s="11" t="s">
        <v>13</v>
      </c>
      <c r="C19638" s="17" t="s">
        <v>2644</v>
      </c>
      <c r="D19638" s="2"/>
    </row>
    <row r="19639" spans="1:4" ht="25.5" customHeight="1" x14ac:dyDescent="0.2">
      <c r="B19639" s="11" t="s">
        <v>2603</v>
      </c>
      <c r="C19639" s="17" t="s">
        <v>2971</v>
      </c>
      <c r="D19639" s="2"/>
    </row>
    <row r="19640" spans="1:4" ht="12.75" customHeight="1" x14ac:dyDescent="0.2">
      <c r="B19640" s="11" t="s">
        <v>2605</v>
      </c>
      <c r="C19640" s="17" t="s">
        <v>14</v>
      </c>
      <c r="D19640" s="2"/>
    </row>
    <row r="19641" spans="1:4" ht="12.75" customHeight="1" x14ac:dyDescent="0.2">
      <c r="B19641" s="11" t="s">
        <v>2606</v>
      </c>
      <c r="C19641" s="16" t="s">
        <v>19</v>
      </c>
      <c r="D19641" s="2"/>
    </row>
    <row r="19642" spans="1:4" ht="12.75" customHeight="1" x14ac:dyDescent="0.2">
      <c r="B19642" s="2"/>
      <c r="C19642" s="15"/>
      <c r="D19642" s="2"/>
    </row>
    <row r="19643" spans="1:4" ht="12.75" customHeight="1" x14ac:dyDescent="0.2">
      <c r="B19643" s="2"/>
      <c r="C19643" s="15"/>
      <c r="D19643" s="2"/>
    </row>
    <row r="19644" spans="1:4" ht="12.75" customHeight="1" x14ac:dyDescent="0.2">
      <c r="A19644" s="13" t="s">
        <v>5778</v>
      </c>
      <c r="C19644" s="12"/>
    </row>
    <row r="19645" spans="1:4" ht="12.75" customHeight="1" x14ac:dyDescent="0.2">
      <c r="A19645" s="11"/>
      <c r="B19645" s="2"/>
      <c r="C19645" s="15"/>
      <c r="D19645" s="2"/>
    </row>
    <row r="19646" spans="1:4" ht="12.75" customHeight="1" x14ac:dyDescent="0.2">
      <c r="B19646" s="11" t="s">
        <v>0</v>
      </c>
      <c r="C19646" s="11" t="s">
        <v>356</v>
      </c>
    </row>
    <row r="19647" spans="1:4" ht="12.75" customHeight="1" x14ac:dyDescent="0.2">
      <c r="B19647" s="11" t="s">
        <v>2599</v>
      </c>
      <c r="C19647" s="11" t="s">
        <v>5779</v>
      </c>
    </row>
    <row r="19648" spans="1:4" ht="25.5" customHeight="1" x14ac:dyDescent="0.2">
      <c r="B19648" s="11" t="s">
        <v>2600</v>
      </c>
      <c r="C19648" s="11" t="s">
        <v>5780</v>
      </c>
    </row>
    <row r="19649" spans="1:4" ht="25.5" customHeight="1" x14ac:dyDescent="0.2">
      <c r="B19649" s="11" t="s">
        <v>2601</v>
      </c>
      <c r="C19649" s="11"/>
    </row>
    <row r="19650" spans="1:4" ht="12.75" customHeight="1" x14ac:dyDescent="0.2">
      <c r="B19650" s="11" t="s">
        <v>16</v>
      </c>
      <c r="C19650" s="11"/>
    </row>
    <row r="19651" spans="1:4" ht="12.75" customHeight="1" x14ac:dyDescent="0.2">
      <c r="B19651" s="11" t="s">
        <v>13</v>
      </c>
      <c r="C19651" s="11" t="s">
        <v>2602</v>
      </c>
    </row>
    <row r="19652" spans="1:4" ht="12.75" customHeight="1" x14ac:dyDescent="0.2">
      <c r="B19652" s="11" t="s">
        <v>2603</v>
      </c>
      <c r="C19652" s="11" t="s">
        <v>2604</v>
      </c>
    </row>
    <row r="19653" spans="1:4" ht="12.75" customHeight="1" x14ac:dyDescent="0.2">
      <c r="B19653" s="11" t="s">
        <v>2605</v>
      </c>
      <c r="C19653" s="11" t="s">
        <v>24</v>
      </c>
    </row>
    <row r="19654" spans="1:4" ht="12.75" customHeight="1" x14ac:dyDescent="0.2">
      <c r="B19654" s="11" t="s">
        <v>2606</v>
      </c>
      <c r="C19654" s="16" t="s">
        <v>193</v>
      </c>
      <c r="D19654" s="6" t="str">
        <f>HYPERLINK("javascript:void(0)","kincs")</f>
        <v>kincs</v>
      </c>
    </row>
    <row r="19655" spans="1:4" ht="12.75" customHeight="1" x14ac:dyDescent="0.2">
      <c r="B19655" s="2"/>
      <c r="C19655" s="15"/>
      <c r="D19655" s="2"/>
    </row>
    <row r="19656" spans="1:4" ht="12.75" customHeight="1" x14ac:dyDescent="0.2">
      <c r="B19656" s="2"/>
      <c r="C19656" s="15"/>
      <c r="D19656" s="2"/>
    </row>
    <row r="19657" spans="1:4" ht="12.75" customHeight="1" x14ac:dyDescent="0.2">
      <c r="A19657" s="13" t="s">
        <v>5781</v>
      </c>
      <c r="C19657" s="12"/>
    </row>
    <row r="19658" spans="1:4" ht="12.75" customHeight="1" x14ac:dyDescent="0.2">
      <c r="A19658" s="11"/>
      <c r="B19658" s="2"/>
      <c r="C19658" s="15"/>
      <c r="D19658" s="2"/>
    </row>
    <row r="19659" spans="1:4" ht="12.75" customHeight="1" x14ac:dyDescent="0.2">
      <c r="B19659" s="11" t="s">
        <v>0</v>
      </c>
      <c r="C19659" s="11" t="s">
        <v>356</v>
      </c>
    </row>
    <row r="19660" spans="1:4" ht="12.75" customHeight="1" x14ac:dyDescent="0.2">
      <c r="B19660" s="11" t="s">
        <v>2599</v>
      </c>
      <c r="C19660" s="11" t="s">
        <v>5782</v>
      </c>
    </row>
    <row r="19661" spans="1:4" ht="25.5" customHeight="1" x14ac:dyDescent="0.2">
      <c r="B19661" s="11" t="s">
        <v>2600</v>
      </c>
      <c r="C19661" s="11" t="s">
        <v>5783</v>
      </c>
    </row>
    <row r="19662" spans="1:4" ht="25.5" customHeight="1" x14ac:dyDescent="0.2">
      <c r="B19662" s="11" t="s">
        <v>2601</v>
      </c>
      <c r="C19662" s="11"/>
    </row>
    <row r="19663" spans="1:4" ht="12.75" customHeight="1" x14ac:dyDescent="0.2">
      <c r="B19663" s="11" t="s">
        <v>16</v>
      </c>
      <c r="C19663" s="11"/>
    </row>
    <row r="19664" spans="1:4" ht="12.75" customHeight="1" x14ac:dyDescent="0.2">
      <c r="B19664" s="11" t="s">
        <v>13</v>
      </c>
      <c r="C19664" s="11" t="s">
        <v>2644</v>
      </c>
    </row>
    <row r="19665" spans="1:4" ht="12.75" customHeight="1" x14ac:dyDescent="0.2">
      <c r="B19665" s="11" t="s">
        <v>2603</v>
      </c>
      <c r="C19665" s="11" t="s">
        <v>2604</v>
      </c>
    </row>
    <row r="19666" spans="1:4" ht="12.75" customHeight="1" x14ac:dyDescent="0.2">
      <c r="B19666" s="11" t="s">
        <v>2605</v>
      </c>
      <c r="C19666" s="11" t="s">
        <v>24</v>
      </c>
    </row>
    <row r="19667" spans="1:4" ht="12.75" customHeight="1" x14ac:dyDescent="0.2">
      <c r="B19667" s="11" t="s">
        <v>2606</v>
      </c>
      <c r="C19667" s="16" t="s">
        <v>56</v>
      </c>
      <c r="D19667" s="6" t="str">
        <f>HYPERLINK("javascript:void(0)","bot")</f>
        <v>bot</v>
      </c>
    </row>
    <row r="19668" spans="1:4" ht="12.75" customHeight="1" x14ac:dyDescent="0.2">
      <c r="C19668" s="16" t="s">
        <v>44</v>
      </c>
      <c r="D19668" s="6" t="str">
        <f>HYPERLINK("javascript:void(0)","fejsze")</f>
        <v>fejsze</v>
      </c>
    </row>
    <row r="19669" spans="1:4" ht="12.75" customHeight="1" x14ac:dyDescent="0.2">
      <c r="C19669" s="16" t="s">
        <v>44</v>
      </c>
      <c r="D19669" s="6" t="str">
        <f>HYPERLINK("javascript:void(0)","parittya")</f>
        <v>parittya</v>
      </c>
    </row>
    <row r="19670" spans="1:4" ht="12.75" customHeight="1" x14ac:dyDescent="0.2">
      <c r="C19670" s="16" t="s">
        <v>5784</v>
      </c>
      <c r="D19670" s="6" t="str">
        <f>HYPERLINK("javascript:void(0)","goblinbatka")</f>
        <v>goblinbatka</v>
      </c>
    </row>
    <row r="19671" spans="1:4" ht="12.75" customHeight="1" x14ac:dyDescent="0.2">
      <c r="B19671" s="2"/>
      <c r="C19671" s="15"/>
      <c r="D19671" s="2"/>
    </row>
    <row r="19672" spans="1:4" ht="12.75" customHeight="1" x14ac:dyDescent="0.2">
      <c r="B19672" s="2"/>
      <c r="C19672" s="15"/>
      <c r="D19672" s="2"/>
    </row>
    <row r="19673" spans="1:4" ht="12.75" customHeight="1" x14ac:dyDescent="0.2">
      <c r="A19673" s="13" t="s">
        <v>5785</v>
      </c>
      <c r="C19673" s="12"/>
    </row>
    <row r="19674" spans="1:4" ht="12.75" customHeight="1" x14ac:dyDescent="0.2">
      <c r="A19674" s="11"/>
      <c r="B19674" s="2"/>
      <c r="C19674" s="15"/>
      <c r="D19674" s="2"/>
    </row>
    <row r="19675" spans="1:4" ht="12.75" customHeight="1" x14ac:dyDescent="0.2">
      <c r="B19675" s="11" t="s">
        <v>0</v>
      </c>
      <c r="C19675" s="11" t="s">
        <v>356</v>
      </c>
    </row>
    <row r="19676" spans="1:4" ht="12.75" customHeight="1" x14ac:dyDescent="0.2">
      <c r="B19676" s="11" t="s">
        <v>2599</v>
      </c>
      <c r="C19676" s="11" t="s">
        <v>5786</v>
      </c>
    </row>
    <row r="19677" spans="1:4" ht="25.5" customHeight="1" x14ac:dyDescent="0.2">
      <c r="B19677" s="11" t="s">
        <v>2600</v>
      </c>
      <c r="C19677" s="11" t="s">
        <v>5787</v>
      </c>
    </row>
    <row r="19678" spans="1:4" ht="25.5" customHeight="1" x14ac:dyDescent="0.2">
      <c r="B19678" s="11" t="s">
        <v>2601</v>
      </c>
      <c r="C19678" s="11"/>
    </row>
    <row r="19679" spans="1:4" ht="12.75" customHeight="1" x14ac:dyDescent="0.2">
      <c r="B19679" s="11" t="s">
        <v>16</v>
      </c>
      <c r="C19679" s="11"/>
    </row>
    <row r="19680" spans="1:4" ht="12.75" customHeight="1" x14ac:dyDescent="0.2">
      <c r="B19680" s="11" t="s">
        <v>13</v>
      </c>
      <c r="C19680" s="11" t="s">
        <v>2644</v>
      </c>
    </row>
    <row r="19681" spans="1:4" ht="12.75" customHeight="1" x14ac:dyDescent="0.2">
      <c r="B19681" s="11" t="s">
        <v>2603</v>
      </c>
      <c r="C19681" s="11" t="s">
        <v>2604</v>
      </c>
    </row>
    <row r="19682" spans="1:4" ht="12.75" customHeight="1" x14ac:dyDescent="0.2">
      <c r="B19682" s="11" t="s">
        <v>2605</v>
      </c>
      <c r="C19682" s="11" t="s">
        <v>14</v>
      </c>
    </row>
    <row r="19683" spans="1:4" ht="25.5" customHeight="1" x14ac:dyDescent="0.2">
      <c r="B19683" s="11" t="s">
        <v>2606</v>
      </c>
      <c r="C19683" s="16" t="s">
        <v>56</v>
      </c>
      <c r="D19683" s="6" t="str">
        <f>HYPERLINK("javascript:void(0)","patkányfarok")</f>
        <v>patkányfarok</v>
      </c>
    </row>
    <row r="19684" spans="1:4" ht="12.75" customHeight="1" x14ac:dyDescent="0.2">
      <c r="C19684" s="16" t="s">
        <v>98</v>
      </c>
      <c r="D19684" s="6" t="str">
        <f>HYPERLINK("javascript:void(0)","kincs")</f>
        <v>kincs</v>
      </c>
    </row>
    <row r="19685" spans="1:4" ht="12.75" customHeight="1" x14ac:dyDescent="0.2">
      <c r="B19685" s="2"/>
      <c r="C19685" s="15"/>
      <c r="D19685" s="2"/>
    </row>
    <row r="19686" spans="1:4" ht="12.75" customHeight="1" x14ac:dyDescent="0.2">
      <c r="B19686" s="2"/>
      <c r="C19686" s="15"/>
      <c r="D19686" s="2"/>
    </row>
    <row r="19687" spans="1:4" ht="12.75" customHeight="1" x14ac:dyDescent="0.2">
      <c r="A19687" s="13" t="s">
        <v>5788</v>
      </c>
      <c r="C19687" s="12"/>
    </row>
    <row r="19688" spans="1:4" ht="12.75" customHeight="1" x14ac:dyDescent="0.2">
      <c r="A19688" s="11"/>
      <c r="B19688" s="2"/>
      <c r="C19688" s="15"/>
      <c r="D19688" s="2"/>
    </row>
    <row r="19689" spans="1:4" ht="12.75" customHeight="1" x14ac:dyDescent="0.2">
      <c r="B19689" s="11" t="s">
        <v>0</v>
      </c>
      <c r="C19689" s="11" t="s">
        <v>356</v>
      </c>
    </row>
    <row r="19690" spans="1:4" ht="12.75" customHeight="1" x14ac:dyDescent="0.2">
      <c r="B19690" s="11" t="s">
        <v>2599</v>
      </c>
      <c r="C19690" s="11" t="s">
        <v>5789</v>
      </c>
    </row>
    <row r="19691" spans="1:4" ht="25.5" customHeight="1" x14ac:dyDescent="0.2">
      <c r="B19691" s="11" t="s">
        <v>2600</v>
      </c>
      <c r="C19691" s="11" t="s">
        <v>5790</v>
      </c>
    </row>
    <row r="19692" spans="1:4" ht="25.5" customHeight="1" x14ac:dyDescent="0.2">
      <c r="B19692" s="11" t="s">
        <v>2601</v>
      </c>
      <c r="C19692" s="11"/>
    </row>
    <row r="19693" spans="1:4" ht="12.75" customHeight="1" x14ac:dyDescent="0.2">
      <c r="B19693" s="11" t="s">
        <v>16</v>
      </c>
      <c r="C19693" s="11"/>
    </row>
    <row r="19694" spans="1:4" ht="12.75" customHeight="1" x14ac:dyDescent="0.2">
      <c r="B19694" s="11" t="s">
        <v>13</v>
      </c>
      <c r="C19694" s="11" t="s">
        <v>2644</v>
      </c>
    </row>
    <row r="19695" spans="1:4" ht="12.75" customHeight="1" x14ac:dyDescent="0.2">
      <c r="B19695" s="11" t="s">
        <v>2603</v>
      </c>
      <c r="C19695" s="11" t="s">
        <v>2604</v>
      </c>
    </row>
    <row r="19696" spans="1:4" ht="12.75" customHeight="1" x14ac:dyDescent="0.2">
      <c r="B19696" s="11" t="s">
        <v>2605</v>
      </c>
      <c r="C19696" s="11" t="s">
        <v>14</v>
      </c>
    </row>
    <row r="19697" spans="1:4" ht="12.75" customHeight="1" x14ac:dyDescent="0.2">
      <c r="B19697" s="11" t="s">
        <v>2606</v>
      </c>
      <c r="C19697" s="16" t="s">
        <v>98</v>
      </c>
      <c r="D19697" s="6" t="str">
        <f>HYPERLINK("javascript:void(0)","kincs")</f>
        <v>kincs</v>
      </c>
    </row>
    <row r="19698" spans="1:4" ht="12.75" customHeight="1" x14ac:dyDescent="0.2">
      <c r="B19698" s="2"/>
      <c r="C19698" s="15"/>
      <c r="D19698" s="2"/>
    </row>
    <row r="19699" spans="1:4" ht="12.75" customHeight="1" x14ac:dyDescent="0.2">
      <c r="B19699" s="2"/>
      <c r="C19699" s="15"/>
      <c r="D19699" s="2"/>
    </row>
    <row r="19700" spans="1:4" ht="12.75" customHeight="1" x14ac:dyDescent="0.2">
      <c r="A19700" s="13" t="s">
        <v>5791</v>
      </c>
      <c r="C19700" s="12"/>
    </row>
    <row r="19701" spans="1:4" ht="12.75" customHeight="1" x14ac:dyDescent="0.2">
      <c r="A19701" s="11"/>
      <c r="B19701" s="2"/>
      <c r="C19701" s="15"/>
      <c r="D19701" s="2"/>
    </row>
    <row r="19702" spans="1:4" ht="12.75" customHeight="1" x14ac:dyDescent="0.2">
      <c r="B19702" s="11" t="s">
        <v>0</v>
      </c>
      <c r="C19702" s="11" t="s">
        <v>356</v>
      </c>
    </row>
    <row r="19703" spans="1:4" ht="12.75" customHeight="1" x14ac:dyDescent="0.2">
      <c r="B19703" s="11" t="s">
        <v>2599</v>
      </c>
      <c r="C19703" s="11" t="s">
        <v>5793</v>
      </c>
    </row>
    <row r="19704" spans="1:4" ht="25.5" customHeight="1" x14ac:dyDescent="0.2">
      <c r="B19704" s="11" t="s">
        <v>2600</v>
      </c>
      <c r="C19704" s="11" t="s">
        <v>5794</v>
      </c>
    </row>
    <row r="19705" spans="1:4" ht="25.5" customHeight="1" x14ac:dyDescent="0.2">
      <c r="B19705" s="11" t="s">
        <v>2601</v>
      </c>
      <c r="C19705" s="11"/>
    </row>
    <row r="19706" spans="1:4" ht="12.75" customHeight="1" x14ac:dyDescent="0.2">
      <c r="B19706" s="11" t="s">
        <v>16</v>
      </c>
      <c r="C19706" s="11"/>
    </row>
    <row r="19707" spans="1:4" ht="12.75" customHeight="1" x14ac:dyDescent="0.2">
      <c r="B19707" s="11" t="s">
        <v>13</v>
      </c>
      <c r="C19707" s="11" t="s">
        <v>2602</v>
      </c>
    </row>
    <row r="19708" spans="1:4" ht="12.75" customHeight="1" x14ac:dyDescent="0.2">
      <c r="B19708" s="11" t="s">
        <v>2603</v>
      </c>
      <c r="C19708" s="11" t="s">
        <v>2604</v>
      </c>
    </row>
    <row r="19709" spans="1:4" ht="12.75" customHeight="1" x14ac:dyDescent="0.2">
      <c r="B19709" s="11" t="s">
        <v>2605</v>
      </c>
      <c r="C19709" s="11" t="s">
        <v>14</v>
      </c>
    </row>
    <row r="19710" spans="1:4" ht="12.75" customHeight="1" x14ac:dyDescent="0.2">
      <c r="B19710" s="11" t="s">
        <v>2606</v>
      </c>
      <c r="C19710" s="16" t="s">
        <v>98</v>
      </c>
      <c r="D19710" s="6" t="str">
        <f>HYPERLINK("javascript:void(0)","kincs")</f>
        <v>kincs</v>
      </c>
    </row>
    <row r="19711" spans="1:4" ht="12.75" customHeight="1" x14ac:dyDescent="0.2">
      <c r="B19711" s="2"/>
      <c r="C19711" s="15"/>
      <c r="D19711" s="2"/>
    </row>
    <row r="19712" spans="1:4" ht="12.75" customHeight="1" x14ac:dyDescent="0.2">
      <c r="B19712" s="2"/>
      <c r="C19712" s="15"/>
      <c r="D19712" s="2"/>
    </row>
    <row r="19713" spans="1:4" ht="12.75" customHeight="1" x14ac:dyDescent="0.2">
      <c r="A19713" s="13" t="s">
        <v>5795</v>
      </c>
      <c r="C19713" s="12"/>
    </row>
    <row r="19714" spans="1:4" ht="12.75" customHeight="1" x14ac:dyDescent="0.2">
      <c r="A19714" s="11"/>
      <c r="B19714" s="2"/>
      <c r="C19714" s="15"/>
      <c r="D19714" s="2"/>
    </row>
    <row r="19715" spans="1:4" ht="12.75" customHeight="1" x14ac:dyDescent="0.2">
      <c r="B19715" s="11" t="s">
        <v>0</v>
      </c>
      <c r="C19715" s="11" t="s">
        <v>356</v>
      </c>
    </row>
    <row r="19716" spans="1:4" ht="12.75" customHeight="1" x14ac:dyDescent="0.2">
      <c r="B19716" s="11" t="s">
        <v>2599</v>
      </c>
      <c r="C19716" s="11" t="s">
        <v>5796</v>
      </c>
    </row>
    <row r="19717" spans="1:4" ht="25.5" customHeight="1" x14ac:dyDescent="0.2">
      <c r="B19717" s="11" t="s">
        <v>2600</v>
      </c>
      <c r="C19717" s="11" t="s">
        <v>5797</v>
      </c>
    </row>
    <row r="19718" spans="1:4" ht="25.5" customHeight="1" x14ac:dyDescent="0.2">
      <c r="B19718" s="11" t="s">
        <v>2601</v>
      </c>
      <c r="C19718" s="11"/>
    </row>
    <row r="19719" spans="1:4" ht="12.75" customHeight="1" x14ac:dyDescent="0.2">
      <c r="B19719" s="11" t="s">
        <v>16</v>
      </c>
      <c r="C19719" s="11"/>
    </row>
    <row r="19720" spans="1:4" ht="12.75" customHeight="1" x14ac:dyDescent="0.2">
      <c r="B19720" s="11" t="s">
        <v>13</v>
      </c>
      <c r="C19720" s="11" t="s">
        <v>2602</v>
      </c>
    </row>
    <row r="19721" spans="1:4" ht="12.75" customHeight="1" x14ac:dyDescent="0.2">
      <c r="B19721" s="11" t="s">
        <v>2603</v>
      </c>
      <c r="C19721" s="11" t="s">
        <v>2604</v>
      </c>
    </row>
    <row r="19722" spans="1:4" ht="12.75" customHeight="1" x14ac:dyDescent="0.2">
      <c r="B19722" s="11" t="s">
        <v>2605</v>
      </c>
      <c r="C19722" s="11" t="s">
        <v>14</v>
      </c>
    </row>
    <row r="19723" spans="1:4" ht="12.75" customHeight="1" x14ac:dyDescent="0.2">
      <c r="B19723" s="11" t="s">
        <v>2606</v>
      </c>
      <c r="C19723" s="16" t="s">
        <v>98</v>
      </c>
      <c r="D19723" s="6" t="str">
        <f>HYPERLINK("javascript:void(0)","kincs")</f>
        <v>kincs</v>
      </c>
    </row>
    <row r="19724" spans="1:4" ht="12.75" customHeight="1" x14ac:dyDescent="0.2">
      <c r="B19724" s="2"/>
      <c r="C19724" s="15"/>
      <c r="D19724" s="2"/>
    </row>
    <row r="19725" spans="1:4" ht="12.75" customHeight="1" x14ac:dyDescent="0.2">
      <c r="B19725" s="2"/>
      <c r="C19725" s="15"/>
      <c r="D19725" s="2"/>
    </row>
    <row r="19726" spans="1:4" ht="12.75" customHeight="1" x14ac:dyDescent="0.2">
      <c r="A19726" s="13" t="s">
        <v>5799</v>
      </c>
      <c r="C19726" s="12"/>
    </row>
    <row r="19727" spans="1:4" ht="12.75" customHeight="1" x14ac:dyDescent="0.2">
      <c r="A19727" s="11"/>
      <c r="B19727" s="2"/>
      <c r="C19727" s="15"/>
      <c r="D19727" s="2"/>
    </row>
    <row r="19728" spans="1:4" ht="12.75" customHeight="1" x14ac:dyDescent="0.2">
      <c r="B19728" s="11" t="s">
        <v>0</v>
      </c>
      <c r="C19728" s="11" t="s">
        <v>356</v>
      </c>
    </row>
    <row r="19729" spans="1:4" ht="12.75" customHeight="1" x14ac:dyDescent="0.2">
      <c r="B19729" s="11" t="s">
        <v>2599</v>
      </c>
      <c r="C19729" s="11" t="s">
        <v>5800</v>
      </c>
    </row>
    <row r="19730" spans="1:4" ht="25.5" customHeight="1" x14ac:dyDescent="0.2">
      <c r="B19730" s="11" t="s">
        <v>2600</v>
      </c>
      <c r="C19730" s="11" t="s">
        <v>5801</v>
      </c>
    </row>
    <row r="19731" spans="1:4" ht="25.5" customHeight="1" x14ac:dyDescent="0.2">
      <c r="B19731" s="11" t="s">
        <v>2601</v>
      </c>
      <c r="C19731" s="11"/>
    </row>
    <row r="19732" spans="1:4" ht="12.75" customHeight="1" x14ac:dyDescent="0.2">
      <c r="B19732" s="11" t="s">
        <v>16</v>
      </c>
      <c r="C19732" s="11"/>
    </row>
    <row r="19733" spans="1:4" ht="12.75" customHeight="1" x14ac:dyDescent="0.2">
      <c r="B19733" s="11" t="s">
        <v>13</v>
      </c>
      <c r="C19733" s="11" t="s">
        <v>2602</v>
      </c>
    </row>
    <row r="19734" spans="1:4" ht="12.75" customHeight="1" x14ac:dyDescent="0.2">
      <c r="B19734" s="11" t="s">
        <v>2603</v>
      </c>
      <c r="C19734" s="11" t="s">
        <v>2604</v>
      </c>
    </row>
    <row r="19735" spans="1:4" ht="12.75" customHeight="1" x14ac:dyDescent="0.2">
      <c r="B19735" s="11" t="s">
        <v>2605</v>
      </c>
      <c r="C19735" s="11" t="s">
        <v>24</v>
      </c>
    </row>
    <row r="19736" spans="1:4" ht="12.75" customHeight="1" x14ac:dyDescent="0.2">
      <c r="B19736" s="11" t="s">
        <v>2606</v>
      </c>
      <c r="C19736" s="16" t="s">
        <v>2652</v>
      </c>
      <c r="D19736" s="6" t="str">
        <f>HYPERLINK("javascript:void(0)","ezüst")</f>
        <v>ezüst</v>
      </c>
    </row>
    <row r="19737" spans="1:4" ht="12.75" customHeight="1" x14ac:dyDescent="0.2">
      <c r="B19737" s="2"/>
      <c r="C19737" s="15"/>
      <c r="D19737" s="2"/>
    </row>
    <row r="19738" spans="1:4" ht="12.75" customHeight="1" x14ac:dyDescent="0.2">
      <c r="B19738" s="2"/>
      <c r="C19738" s="15"/>
      <c r="D19738" s="2"/>
    </row>
    <row r="19739" spans="1:4" ht="12.75" customHeight="1" x14ac:dyDescent="0.2">
      <c r="A19739" s="13" t="s">
        <v>5802</v>
      </c>
      <c r="C19739" s="12"/>
    </row>
    <row r="19740" spans="1:4" ht="12.75" customHeight="1" x14ac:dyDescent="0.2">
      <c r="A19740" s="11"/>
      <c r="B19740" s="2"/>
      <c r="C19740" s="15"/>
      <c r="D19740" s="2"/>
    </row>
    <row r="19741" spans="1:4" ht="12.75" customHeight="1" x14ac:dyDescent="0.2">
      <c r="B19741" s="11" t="s">
        <v>0</v>
      </c>
      <c r="C19741" s="11" t="s">
        <v>356</v>
      </c>
    </row>
    <row r="19742" spans="1:4" ht="12.75" customHeight="1" x14ac:dyDescent="0.2">
      <c r="B19742" s="11" t="s">
        <v>2599</v>
      </c>
      <c r="C19742" s="11" t="s">
        <v>5015</v>
      </c>
    </row>
    <row r="19743" spans="1:4" ht="25.5" customHeight="1" x14ac:dyDescent="0.2">
      <c r="B19743" s="11" t="s">
        <v>2600</v>
      </c>
      <c r="C19743" s="11" t="s">
        <v>5804</v>
      </c>
    </row>
    <row r="19744" spans="1:4" ht="25.5" customHeight="1" x14ac:dyDescent="0.2">
      <c r="B19744" s="11" t="s">
        <v>2601</v>
      </c>
      <c r="C19744" s="11"/>
    </row>
    <row r="19745" spans="1:4" ht="12.75" customHeight="1" x14ac:dyDescent="0.2">
      <c r="B19745" s="11" t="s">
        <v>16</v>
      </c>
      <c r="C19745" s="11"/>
    </row>
    <row r="19746" spans="1:4" ht="12.75" customHeight="1" x14ac:dyDescent="0.2">
      <c r="B19746" s="11" t="s">
        <v>13</v>
      </c>
      <c r="C19746" s="11" t="s">
        <v>2644</v>
      </c>
    </row>
    <row r="19747" spans="1:4" ht="12.75" customHeight="1" x14ac:dyDescent="0.2">
      <c r="B19747" s="11" t="s">
        <v>2603</v>
      </c>
      <c r="C19747" s="11" t="s">
        <v>2604</v>
      </c>
    </row>
    <row r="19748" spans="1:4" ht="12.75" customHeight="1" x14ac:dyDescent="0.2">
      <c r="B19748" s="11" t="s">
        <v>2605</v>
      </c>
      <c r="C19748" s="11" t="s">
        <v>24</v>
      </c>
    </row>
    <row r="19749" spans="1:4" ht="12.75" customHeight="1" x14ac:dyDescent="0.2">
      <c r="B19749" s="11" t="s">
        <v>2606</v>
      </c>
      <c r="C19749" s="16" t="s">
        <v>44</v>
      </c>
      <c r="D19749" s="6" t="str">
        <f>HYPERLINK("javascript:void(0)","maxilla")</f>
        <v>maxilla</v>
      </c>
    </row>
    <row r="19750" spans="1:4" ht="12.75" customHeight="1" x14ac:dyDescent="0.2">
      <c r="C19750" s="16" t="s">
        <v>163</v>
      </c>
      <c r="D19750" s="6" t="str">
        <f>HYPERLINK("javascript:void(0)","madártoll")</f>
        <v>madártoll</v>
      </c>
    </row>
    <row r="19751" spans="1:4" ht="12.75" customHeight="1" x14ac:dyDescent="0.2">
      <c r="B19751" s="2"/>
      <c r="C19751" s="15"/>
      <c r="D19751" s="2"/>
    </row>
    <row r="19752" spans="1:4" ht="12.75" customHeight="1" x14ac:dyDescent="0.2">
      <c r="B19752" s="2"/>
      <c r="C19752" s="15"/>
      <c r="D19752" s="2"/>
    </row>
    <row r="19753" spans="1:4" ht="12.75" customHeight="1" x14ac:dyDescent="0.2">
      <c r="A19753" s="13" t="s">
        <v>5683</v>
      </c>
      <c r="C19753" s="12"/>
      <c r="D19753" s="2"/>
    </row>
    <row r="19754" spans="1:4" ht="12.75" customHeight="1" x14ac:dyDescent="0.2">
      <c r="A19754" s="11"/>
      <c r="B19754" s="2"/>
      <c r="C19754" s="15"/>
      <c r="D19754" s="2"/>
    </row>
    <row r="19755" spans="1:4" ht="12.75" customHeight="1" x14ac:dyDescent="0.2">
      <c r="B19755" s="11" t="s">
        <v>0</v>
      </c>
      <c r="C19755" s="17" t="s">
        <v>356</v>
      </c>
      <c r="D19755" s="2"/>
    </row>
    <row r="19756" spans="1:4" ht="12.75" customHeight="1" x14ac:dyDescent="0.2">
      <c r="B19756" s="11" t="s">
        <v>2599</v>
      </c>
      <c r="C19756" s="17" t="s">
        <v>5684</v>
      </c>
      <c r="D19756" s="2"/>
    </row>
    <row r="19757" spans="1:4" ht="25.5" customHeight="1" x14ac:dyDescent="0.2">
      <c r="B19757" s="11" t="s">
        <v>2600</v>
      </c>
      <c r="C19757" s="17" t="s">
        <v>5805</v>
      </c>
      <c r="D19757" s="2"/>
    </row>
    <row r="19758" spans="1:4" ht="25.5" customHeight="1" x14ac:dyDescent="0.2">
      <c r="B19758" s="11" t="s">
        <v>2601</v>
      </c>
      <c r="C19758" s="17"/>
      <c r="D19758" s="2"/>
    </row>
    <row r="19759" spans="1:4" ht="12.75" customHeight="1" x14ac:dyDescent="0.2">
      <c r="B19759" s="11" t="s">
        <v>16</v>
      </c>
      <c r="C19759" s="17"/>
      <c r="D19759" s="2"/>
    </row>
    <row r="19760" spans="1:4" ht="12.75" customHeight="1" x14ac:dyDescent="0.2">
      <c r="B19760" s="11" t="s">
        <v>13</v>
      </c>
      <c r="C19760" s="17" t="s">
        <v>2602</v>
      </c>
      <c r="D19760" s="2"/>
    </row>
    <row r="19761" spans="1:4" ht="25.5" customHeight="1" x14ac:dyDescent="0.2">
      <c r="B19761" s="11" t="s">
        <v>2603</v>
      </c>
      <c r="C19761" s="17" t="s">
        <v>2971</v>
      </c>
      <c r="D19761" s="2"/>
    </row>
    <row r="19762" spans="1:4" ht="12.75" customHeight="1" x14ac:dyDescent="0.2">
      <c r="B19762" s="11" t="s">
        <v>2605</v>
      </c>
      <c r="C19762" s="17" t="s">
        <v>14</v>
      </c>
      <c r="D19762" s="2"/>
    </row>
    <row r="19763" spans="1:4" ht="12.75" customHeight="1" x14ac:dyDescent="0.2">
      <c r="B19763" s="11" t="s">
        <v>2606</v>
      </c>
      <c r="C19763" s="16" t="s">
        <v>19</v>
      </c>
      <c r="D19763" s="2"/>
    </row>
    <row r="19764" spans="1:4" ht="12.75" customHeight="1" x14ac:dyDescent="0.2">
      <c r="B19764" s="2"/>
      <c r="C19764" s="15"/>
      <c r="D19764" s="2"/>
    </row>
    <row r="19765" spans="1:4" ht="12.75" customHeight="1" x14ac:dyDescent="0.2">
      <c r="B19765" s="2"/>
      <c r="C19765" s="15"/>
      <c r="D19765" s="2"/>
    </row>
    <row r="19766" spans="1:4" ht="12.75" customHeight="1" x14ac:dyDescent="0.2">
      <c r="A19766" s="13" t="s">
        <v>5686</v>
      </c>
      <c r="C19766" s="12"/>
      <c r="D19766" s="2"/>
    </row>
    <row r="19767" spans="1:4" ht="12.75" customHeight="1" x14ac:dyDescent="0.2">
      <c r="A19767" s="11"/>
      <c r="B19767" s="2"/>
      <c r="C19767" s="15"/>
      <c r="D19767" s="2"/>
    </row>
    <row r="19768" spans="1:4" ht="12.75" customHeight="1" x14ac:dyDescent="0.2">
      <c r="B19768" s="11" t="s">
        <v>0</v>
      </c>
      <c r="C19768" s="17" t="s">
        <v>356</v>
      </c>
      <c r="D19768" s="2"/>
    </row>
    <row r="19769" spans="1:4" ht="12.75" customHeight="1" x14ac:dyDescent="0.2">
      <c r="B19769" s="11" t="s">
        <v>2599</v>
      </c>
      <c r="C19769" s="17" t="s">
        <v>5687</v>
      </c>
      <c r="D19769" s="2"/>
    </row>
    <row r="19770" spans="1:4" ht="25.5" customHeight="1" x14ac:dyDescent="0.2">
      <c r="B19770" s="11" t="s">
        <v>2600</v>
      </c>
      <c r="C19770" s="17" t="s">
        <v>5806</v>
      </c>
      <c r="D19770" s="2"/>
    </row>
    <row r="19771" spans="1:4" ht="25.5" customHeight="1" x14ac:dyDescent="0.2">
      <c r="B19771" s="11" t="s">
        <v>2601</v>
      </c>
      <c r="C19771" s="17"/>
      <c r="D19771" s="2"/>
    </row>
    <row r="19772" spans="1:4" ht="12.75" customHeight="1" x14ac:dyDescent="0.2">
      <c r="B19772" s="11" t="s">
        <v>16</v>
      </c>
      <c r="C19772" s="17"/>
      <c r="D19772" s="2"/>
    </row>
    <row r="19773" spans="1:4" ht="12.75" customHeight="1" x14ac:dyDescent="0.2">
      <c r="B19773" s="11" t="s">
        <v>13</v>
      </c>
      <c r="C19773" s="17" t="s">
        <v>2644</v>
      </c>
      <c r="D19773" s="2"/>
    </row>
    <row r="19774" spans="1:4" ht="25.5" customHeight="1" x14ac:dyDescent="0.2">
      <c r="B19774" s="11" t="s">
        <v>2603</v>
      </c>
      <c r="C19774" s="17" t="s">
        <v>2971</v>
      </c>
      <c r="D19774" s="2"/>
    </row>
    <row r="19775" spans="1:4" ht="12.75" customHeight="1" x14ac:dyDescent="0.2">
      <c r="B19775" s="11" t="s">
        <v>2605</v>
      </c>
      <c r="C19775" s="17" t="s">
        <v>14</v>
      </c>
      <c r="D19775" s="2"/>
    </row>
    <row r="19776" spans="1:4" ht="12.75" customHeight="1" x14ac:dyDescent="0.2">
      <c r="B19776" s="11" t="s">
        <v>2606</v>
      </c>
      <c r="C19776" s="16" t="s">
        <v>19</v>
      </c>
      <c r="D19776" s="2"/>
    </row>
    <row r="19777" spans="1:4" ht="12.75" customHeight="1" x14ac:dyDescent="0.2">
      <c r="B19777" s="2"/>
      <c r="C19777" s="15"/>
      <c r="D19777" s="2"/>
    </row>
    <row r="19778" spans="1:4" ht="12.75" customHeight="1" x14ac:dyDescent="0.2">
      <c r="B19778" s="2"/>
      <c r="C19778" s="15"/>
      <c r="D19778" s="2"/>
    </row>
    <row r="19779" spans="1:4" ht="12.75" customHeight="1" x14ac:dyDescent="0.2">
      <c r="A19779" s="13" t="s">
        <v>5689</v>
      </c>
      <c r="C19779" s="12"/>
      <c r="D19779" s="2"/>
    </row>
    <row r="19780" spans="1:4" ht="12.75" customHeight="1" x14ac:dyDescent="0.2">
      <c r="A19780" s="11"/>
      <c r="B19780" s="2"/>
      <c r="C19780" s="15"/>
      <c r="D19780" s="2"/>
    </row>
    <row r="19781" spans="1:4" ht="12.75" customHeight="1" x14ac:dyDescent="0.2">
      <c r="B19781" s="11" t="s">
        <v>0</v>
      </c>
      <c r="C19781" s="17" t="s">
        <v>356</v>
      </c>
      <c r="D19781" s="2"/>
    </row>
    <row r="19782" spans="1:4" ht="12.75" customHeight="1" x14ac:dyDescent="0.2">
      <c r="B19782" s="11" t="s">
        <v>2599</v>
      </c>
      <c r="C19782" s="17" t="s">
        <v>3382</v>
      </c>
      <c r="D19782" s="2"/>
    </row>
    <row r="19783" spans="1:4" ht="25.5" customHeight="1" x14ac:dyDescent="0.2">
      <c r="B19783" s="11" t="s">
        <v>2600</v>
      </c>
      <c r="C19783" s="17" t="s">
        <v>5807</v>
      </c>
      <c r="D19783" s="2"/>
    </row>
    <row r="19784" spans="1:4" ht="25.5" customHeight="1" x14ac:dyDescent="0.2">
      <c r="B19784" s="11" t="s">
        <v>2601</v>
      </c>
      <c r="C19784" s="17"/>
      <c r="D19784" s="2"/>
    </row>
    <row r="19785" spans="1:4" ht="12.75" customHeight="1" x14ac:dyDescent="0.2">
      <c r="B19785" s="11" t="s">
        <v>16</v>
      </c>
      <c r="C19785" s="17"/>
      <c r="D19785" s="2"/>
    </row>
    <row r="19786" spans="1:4" ht="12.75" customHeight="1" x14ac:dyDescent="0.2">
      <c r="B19786" s="11" t="s">
        <v>13</v>
      </c>
      <c r="C19786" s="17" t="s">
        <v>2602</v>
      </c>
      <c r="D19786" s="2"/>
    </row>
    <row r="19787" spans="1:4" ht="25.5" customHeight="1" x14ac:dyDescent="0.2">
      <c r="B19787" s="11" t="s">
        <v>2603</v>
      </c>
      <c r="C19787" s="17" t="s">
        <v>2971</v>
      </c>
      <c r="D19787" s="2"/>
    </row>
    <row r="19788" spans="1:4" ht="12.75" customHeight="1" x14ac:dyDescent="0.2">
      <c r="B19788" s="11" t="s">
        <v>2605</v>
      </c>
      <c r="C19788" s="17" t="s">
        <v>14</v>
      </c>
      <c r="D19788" s="2"/>
    </row>
    <row r="19789" spans="1:4" ht="12.75" customHeight="1" x14ac:dyDescent="0.2">
      <c r="B19789" s="11" t="s">
        <v>2606</v>
      </c>
      <c r="C19789" s="16" t="s">
        <v>19</v>
      </c>
      <c r="D19789" s="2"/>
    </row>
    <row r="19790" spans="1:4" ht="12.75" customHeight="1" x14ac:dyDescent="0.2">
      <c r="B19790" s="2"/>
      <c r="C19790" s="15"/>
      <c r="D19790" s="2"/>
    </row>
    <row r="19791" spans="1:4" ht="12.75" customHeight="1" x14ac:dyDescent="0.2">
      <c r="B19791" s="2"/>
      <c r="C19791" s="15"/>
      <c r="D19791" s="2"/>
    </row>
    <row r="19792" spans="1:4" ht="12.75" customHeight="1" x14ac:dyDescent="0.2">
      <c r="A19792" s="13" t="s">
        <v>5808</v>
      </c>
      <c r="C19792" s="12"/>
      <c r="D19792" s="2"/>
    </row>
    <row r="19793" spans="1:4" ht="12.75" customHeight="1" x14ac:dyDescent="0.2">
      <c r="A19793" s="11"/>
      <c r="B19793" s="2"/>
      <c r="C19793" s="15"/>
      <c r="D19793" s="2"/>
    </row>
    <row r="19794" spans="1:4" ht="12.75" customHeight="1" x14ac:dyDescent="0.2">
      <c r="B19794" s="11" t="s">
        <v>0</v>
      </c>
      <c r="C19794" s="17" t="s">
        <v>110</v>
      </c>
      <c r="D19794" s="2"/>
    </row>
    <row r="19795" spans="1:4" ht="12.75" customHeight="1" x14ac:dyDescent="0.2">
      <c r="B19795" s="11" t="s">
        <v>2599</v>
      </c>
      <c r="C19795" s="17" t="s">
        <v>3382</v>
      </c>
      <c r="D19795" s="2"/>
    </row>
    <row r="19796" spans="1:4" ht="25.5" customHeight="1" x14ac:dyDescent="0.2">
      <c r="B19796" s="11" t="s">
        <v>2600</v>
      </c>
      <c r="C19796" s="17" t="s">
        <v>5809</v>
      </c>
      <c r="D19796" s="2"/>
    </row>
    <row r="19797" spans="1:4" ht="25.5" customHeight="1" x14ac:dyDescent="0.2">
      <c r="B19797" s="11" t="s">
        <v>2601</v>
      </c>
      <c r="C19797" s="17"/>
      <c r="D19797" s="2"/>
    </row>
    <row r="19798" spans="1:4" ht="12.75" customHeight="1" x14ac:dyDescent="0.2">
      <c r="B19798" s="11" t="s">
        <v>16</v>
      </c>
      <c r="C19798" s="17"/>
      <c r="D19798" s="2"/>
    </row>
    <row r="19799" spans="1:4" ht="12.75" customHeight="1" x14ac:dyDescent="0.2">
      <c r="B19799" s="11" t="s">
        <v>13</v>
      </c>
      <c r="C19799" s="17" t="s">
        <v>2644</v>
      </c>
      <c r="D19799" s="2"/>
    </row>
    <row r="19800" spans="1:4" ht="25.5" customHeight="1" x14ac:dyDescent="0.2">
      <c r="B19800" s="11" t="s">
        <v>2603</v>
      </c>
      <c r="C19800" s="17" t="s">
        <v>2971</v>
      </c>
      <c r="D19800" s="2"/>
    </row>
    <row r="19801" spans="1:4" ht="12.75" customHeight="1" x14ac:dyDescent="0.2">
      <c r="B19801" s="11" t="s">
        <v>2605</v>
      </c>
      <c r="C19801" s="17" t="s">
        <v>14</v>
      </c>
      <c r="D19801" s="2"/>
    </row>
    <row r="19802" spans="1:4" ht="12.75" customHeight="1" x14ac:dyDescent="0.2">
      <c r="B19802" s="11" t="s">
        <v>2606</v>
      </c>
      <c r="C19802" s="16" t="s">
        <v>19</v>
      </c>
      <c r="D19802" s="2"/>
    </row>
    <row r="19803" spans="1:4" ht="12.75" customHeight="1" x14ac:dyDescent="0.2">
      <c r="B19803" s="2"/>
      <c r="C19803" s="15"/>
      <c r="D19803" s="2"/>
    </row>
    <row r="19804" spans="1:4" ht="12.75" customHeight="1" x14ac:dyDescent="0.2">
      <c r="B19804" s="2"/>
      <c r="C19804" s="15"/>
      <c r="D19804" s="2"/>
    </row>
    <row r="19805" spans="1:4" ht="12.75" customHeight="1" x14ac:dyDescent="0.2">
      <c r="A19805" s="13" t="s">
        <v>5810</v>
      </c>
      <c r="C19805" s="12"/>
      <c r="D19805" s="2"/>
    </row>
    <row r="19806" spans="1:4" ht="12.75" customHeight="1" x14ac:dyDescent="0.2">
      <c r="A19806" s="11"/>
      <c r="B19806" s="2"/>
      <c r="C19806" s="15"/>
      <c r="D19806" s="2"/>
    </row>
    <row r="19807" spans="1:4" ht="12.75" customHeight="1" x14ac:dyDescent="0.2">
      <c r="B19807" s="11" t="s">
        <v>0</v>
      </c>
      <c r="C19807" s="17" t="s">
        <v>110</v>
      </c>
      <c r="D19807" s="2"/>
    </row>
    <row r="19808" spans="1:4" ht="12.75" customHeight="1" x14ac:dyDescent="0.2">
      <c r="B19808" s="11" t="s">
        <v>2599</v>
      </c>
      <c r="C19808" s="17" t="s">
        <v>5811</v>
      </c>
      <c r="D19808" s="2"/>
    </row>
    <row r="19809" spans="1:4" ht="25.5" customHeight="1" x14ac:dyDescent="0.2">
      <c r="B19809" s="11" t="s">
        <v>2600</v>
      </c>
      <c r="C19809" s="17" t="s">
        <v>5812</v>
      </c>
      <c r="D19809" s="2"/>
    </row>
    <row r="19810" spans="1:4" ht="25.5" customHeight="1" x14ac:dyDescent="0.2">
      <c r="B19810" s="11" t="s">
        <v>2601</v>
      </c>
      <c r="C19810" s="17"/>
      <c r="D19810" s="2"/>
    </row>
    <row r="19811" spans="1:4" ht="12.75" customHeight="1" x14ac:dyDescent="0.2">
      <c r="B19811" s="11" t="s">
        <v>16</v>
      </c>
      <c r="C19811" s="17"/>
      <c r="D19811" s="2"/>
    </row>
    <row r="19812" spans="1:4" ht="12.75" customHeight="1" x14ac:dyDescent="0.2">
      <c r="B19812" s="11" t="s">
        <v>13</v>
      </c>
      <c r="C19812" s="17" t="s">
        <v>2644</v>
      </c>
      <c r="D19812" s="2"/>
    </row>
    <row r="19813" spans="1:4" ht="25.5" customHeight="1" x14ac:dyDescent="0.2">
      <c r="B19813" s="11" t="s">
        <v>2603</v>
      </c>
      <c r="C19813" s="17" t="s">
        <v>2971</v>
      </c>
      <c r="D19813" s="2"/>
    </row>
    <row r="19814" spans="1:4" ht="12.75" customHeight="1" x14ac:dyDescent="0.2">
      <c r="B19814" s="11" t="s">
        <v>2605</v>
      </c>
      <c r="C19814" s="17" t="s">
        <v>14</v>
      </c>
      <c r="D19814" s="2"/>
    </row>
    <row r="19815" spans="1:4" ht="12.75" customHeight="1" x14ac:dyDescent="0.2">
      <c r="B19815" s="11" t="s">
        <v>2606</v>
      </c>
      <c r="C19815" s="16" t="s">
        <v>19</v>
      </c>
      <c r="D19815" s="2"/>
    </row>
    <row r="19816" spans="1:4" ht="12.75" customHeight="1" x14ac:dyDescent="0.2">
      <c r="B19816" s="2"/>
      <c r="C19816" s="15"/>
      <c r="D19816" s="2"/>
    </row>
    <row r="19817" spans="1:4" ht="12.75" customHeight="1" x14ac:dyDescent="0.2">
      <c r="B19817" s="2"/>
      <c r="C19817" s="15"/>
      <c r="D19817" s="2"/>
    </row>
    <row r="19818" spans="1:4" ht="12.75" customHeight="1" x14ac:dyDescent="0.2">
      <c r="A19818" s="13" t="s">
        <v>5813</v>
      </c>
      <c r="C19818" s="12"/>
      <c r="D19818" s="2"/>
    </row>
    <row r="19819" spans="1:4" ht="12.75" customHeight="1" x14ac:dyDescent="0.2">
      <c r="A19819" s="11"/>
      <c r="B19819" s="2"/>
      <c r="C19819" s="15"/>
      <c r="D19819" s="2"/>
    </row>
    <row r="19820" spans="1:4" ht="12.75" customHeight="1" x14ac:dyDescent="0.2">
      <c r="B19820" s="11" t="s">
        <v>0</v>
      </c>
      <c r="C19820" s="17" t="s">
        <v>110</v>
      </c>
      <c r="D19820" s="2"/>
    </row>
    <row r="19821" spans="1:4" ht="12.75" customHeight="1" x14ac:dyDescent="0.2">
      <c r="B19821" s="11" t="s">
        <v>2599</v>
      </c>
      <c r="C19821" s="17" t="s">
        <v>5684</v>
      </c>
      <c r="D19821" s="2"/>
    </row>
    <row r="19822" spans="1:4" ht="25.5" customHeight="1" x14ac:dyDescent="0.2">
      <c r="B19822" s="11" t="s">
        <v>2600</v>
      </c>
      <c r="C19822" s="17" t="s">
        <v>5814</v>
      </c>
      <c r="D19822" s="2"/>
    </row>
    <row r="19823" spans="1:4" ht="25.5" customHeight="1" x14ac:dyDescent="0.2">
      <c r="B19823" s="11" t="s">
        <v>2601</v>
      </c>
      <c r="C19823" s="17"/>
      <c r="D19823" s="2"/>
    </row>
    <row r="19824" spans="1:4" ht="12.75" customHeight="1" x14ac:dyDescent="0.2">
      <c r="B19824" s="11" t="s">
        <v>16</v>
      </c>
      <c r="C19824" s="17"/>
      <c r="D19824" s="2"/>
    </row>
    <row r="19825" spans="1:4" ht="12.75" customHeight="1" x14ac:dyDescent="0.2">
      <c r="B19825" s="11" t="s">
        <v>13</v>
      </c>
      <c r="C19825" s="17" t="s">
        <v>2602</v>
      </c>
      <c r="D19825" s="2"/>
    </row>
    <row r="19826" spans="1:4" ht="25.5" customHeight="1" x14ac:dyDescent="0.2">
      <c r="B19826" s="11" t="s">
        <v>2603</v>
      </c>
      <c r="C19826" s="17" t="s">
        <v>2971</v>
      </c>
      <c r="D19826" s="2"/>
    </row>
    <row r="19827" spans="1:4" ht="12.75" customHeight="1" x14ac:dyDescent="0.2">
      <c r="B19827" s="11" t="s">
        <v>2605</v>
      </c>
      <c r="C19827" s="17" t="s">
        <v>14</v>
      </c>
      <c r="D19827" s="2"/>
    </row>
    <row r="19828" spans="1:4" ht="12.75" customHeight="1" x14ac:dyDescent="0.2">
      <c r="B19828" s="11" t="s">
        <v>2606</v>
      </c>
      <c r="C19828" s="16" t="s">
        <v>19</v>
      </c>
      <c r="D19828" s="2"/>
    </row>
    <row r="19829" spans="1:4" ht="12.75" customHeight="1" x14ac:dyDescent="0.2">
      <c r="B19829" s="2"/>
      <c r="C19829" s="15"/>
      <c r="D19829" s="2"/>
    </row>
    <row r="19830" spans="1:4" ht="12.75" customHeight="1" x14ac:dyDescent="0.2">
      <c r="B19830" s="2"/>
      <c r="C19830" s="15"/>
      <c r="D19830" s="2"/>
    </row>
    <row r="19831" spans="1:4" ht="12.75" customHeight="1" x14ac:dyDescent="0.2">
      <c r="A19831" s="13" t="s">
        <v>5815</v>
      </c>
      <c r="C19831" s="12"/>
    </row>
    <row r="19832" spans="1:4" ht="12.75" customHeight="1" x14ac:dyDescent="0.2">
      <c r="A19832" s="11"/>
      <c r="B19832" s="2"/>
      <c r="C19832" s="15"/>
      <c r="D19832" s="2"/>
    </row>
    <row r="19833" spans="1:4" ht="12.75" customHeight="1" x14ac:dyDescent="0.2">
      <c r="B19833" s="11" t="s">
        <v>0</v>
      </c>
      <c r="C19833" s="11" t="s">
        <v>110</v>
      </c>
    </row>
    <row r="19834" spans="1:4" ht="12.75" customHeight="1" x14ac:dyDescent="0.2">
      <c r="B19834" s="11" t="s">
        <v>2599</v>
      </c>
      <c r="C19834" s="11" t="s">
        <v>5816</v>
      </c>
    </row>
    <row r="19835" spans="1:4" ht="25.5" customHeight="1" x14ac:dyDescent="0.2">
      <c r="B19835" s="11" t="s">
        <v>2600</v>
      </c>
      <c r="C19835" s="11" t="s">
        <v>5817</v>
      </c>
    </row>
    <row r="19836" spans="1:4" ht="25.5" customHeight="1" x14ac:dyDescent="0.2">
      <c r="B19836" s="11" t="s">
        <v>2601</v>
      </c>
      <c r="C19836" s="11"/>
    </row>
    <row r="19837" spans="1:4" ht="12.75" customHeight="1" x14ac:dyDescent="0.2">
      <c r="B19837" s="11" t="s">
        <v>16</v>
      </c>
      <c r="C19837" s="11"/>
    </row>
    <row r="19838" spans="1:4" ht="12.75" customHeight="1" x14ac:dyDescent="0.2">
      <c r="B19838" s="11" t="s">
        <v>13</v>
      </c>
      <c r="C19838" s="11" t="s">
        <v>2602</v>
      </c>
    </row>
    <row r="19839" spans="1:4" ht="12.75" customHeight="1" x14ac:dyDescent="0.2">
      <c r="B19839" s="11" t="s">
        <v>2603</v>
      </c>
      <c r="C19839" s="11" t="s">
        <v>2604</v>
      </c>
    </row>
    <row r="19840" spans="1:4" ht="12.75" customHeight="1" x14ac:dyDescent="0.2">
      <c r="B19840" s="11" t="s">
        <v>2605</v>
      </c>
      <c r="C19840" s="11" t="s">
        <v>14</v>
      </c>
    </row>
    <row r="19841" spans="1:4" ht="12.75" customHeight="1" x14ac:dyDescent="0.2">
      <c r="B19841" s="11" t="s">
        <v>2606</v>
      </c>
      <c r="C19841" s="16" t="s">
        <v>193</v>
      </c>
      <c r="D19841" s="6" t="str">
        <f>HYPERLINK("javascript:void(0)","kincs")</f>
        <v>kincs</v>
      </c>
    </row>
    <row r="19842" spans="1:4" ht="12.75" customHeight="1" x14ac:dyDescent="0.2">
      <c r="B19842" s="2"/>
      <c r="C19842" s="15"/>
      <c r="D19842" s="2"/>
    </row>
    <row r="19843" spans="1:4" ht="12.75" customHeight="1" x14ac:dyDescent="0.2">
      <c r="B19843" s="2"/>
      <c r="C19843" s="15"/>
      <c r="D19843" s="2"/>
    </row>
    <row r="19844" spans="1:4" ht="12.75" customHeight="1" x14ac:dyDescent="0.2">
      <c r="A19844" s="13" t="s">
        <v>5818</v>
      </c>
      <c r="C19844" s="12"/>
    </row>
    <row r="19845" spans="1:4" ht="12.75" customHeight="1" x14ac:dyDescent="0.2">
      <c r="A19845" s="11"/>
      <c r="B19845" s="2"/>
      <c r="C19845" s="15"/>
      <c r="D19845" s="2"/>
    </row>
    <row r="19846" spans="1:4" ht="12.75" customHeight="1" x14ac:dyDescent="0.2">
      <c r="B19846" s="11" t="s">
        <v>0</v>
      </c>
      <c r="C19846" s="11" t="s">
        <v>110</v>
      </c>
    </row>
    <row r="19847" spans="1:4" ht="12.75" customHeight="1" x14ac:dyDescent="0.2">
      <c r="B19847" s="11" t="s">
        <v>2599</v>
      </c>
      <c r="C19847" s="11" t="s">
        <v>5819</v>
      </c>
    </row>
    <row r="19848" spans="1:4" ht="25.5" customHeight="1" x14ac:dyDescent="0.2">
      <c r="B19848" s="11" t="s">
        <v>2600</v>
      </c>
      <c r="C19848" s="11" t="s">
        <v>5820</v>
      </c>
    </row>
    <row r="19849" spans="1:4" ht="25.5" customHeight="1" x14ac:dyDescent="0.2">
      <c r="B19849" s="11" t="s">
        <v>2601</v>
      </c>
      <c r="C19849" s="11"/>
    </row>
    <row r="19850" spans="1:4" ht="12.75" customHeight="1" x14ac:dyDescent="0.2">
      <c r="B19850" s="11" t="s">
        <v>16</v>
      </c>
      <c r="C19850" s="11"/>
    </row>
    <row r="19851" spans="1:4" ht="12.75" customHeight="1" x14ac:dyDescent="0.2">
      <c r="B19851" s="11" t="s">
        <v>13</v>
      </c>
      <c r="C19851" s="11" t="s">
        <v>2644</v>
      </c>
    </row>
    <row r="19852" spans="1:4" ht="12.75" customHeight="1" x14ac:dyDescent="0.2">
      <c r="B19852" s="11" t="s">
        <v>2603</v>
      </c>
      <c r="C19852" s="11" t="s">
        <v>2604</v>
      </c>
    </row>
    <row r="19853" spans="1:4" ht="12.75" customHeight="1" x14ac:dyDescent="0.2">
      <c r="B19853" s="11" t="s">
        <v>2605</v>
      </c>
      <c r="C19853" s="11" t="s">
        <v>14</v>
      </c>
    </row>
    <row r="19854" spans="1:4" ht="12.75" customHeight="1" x14ac:dyDescent="0.2">
      <c r="B19854" s="11" t="s">
        <v>2606</v>
      </c>
      <c r="C19854" s="16" t="s">
        <v>193</v>
      </c>
      <c r="D19854" s="6" t="str">
        <f>HYPERLINK("javascript:void(0)","kincs")</f>
        <v>kincs</v>
      </c>
    </row>
    <row r="19855" spans="1:4" ht="12.75" customHeight="1" x14ac:dyDescent="0.2">
      <c r="B19855" s="2"/>
      <c r="C19855" s="15"/>
      <c r="D19855" s="2"/>
    </row>
    <row r="19856" spans="1:4" ht="12.75" customHeight="1" x14ac:dyDescent="0.2">
      <c r="B19856" s="2"/>
      <c r="C19856" s="15"/>
      <c r="D19856" s="2"/>
    </row>
    <row r="19857" spans="1:4" ht="12.75" customHeight="1" x14ac:dyDescent="0.2">
      <c r="A19857" s="13" t="s">
        <v>5821</v>
      </c>
      <c r="C19857" s="12"/>
    </row>
    <row r="19858" spans="1:4" ht="12.75" customHeight="1" x14ac:dyDescent="0.2">
      <c r="A19858" s="11"/>
      <c r="B19858" s="2"/>
      <c r="C19858" s="15"/>
      <c r="D19858" s="2"/>
    </row>
    <row r="19859" spans="1:4" ht="12.75" customHeight="1" x14ac:dyDescent="0.2">
      <c r="B19859" s="11" t="s">
        <v>0</v>
      </c>
      <c r="C19859" s="11" t="s">
        <v>110</v>
      </c>
    </row>
    <row r="19860" spans="1:4" ht="12.75" customHeight="1" x14ac:dyDescent="0.2">
      <c r="B19860" s="11" t="s">
        <v>2599</v>
      </c>
      <c r="C19860" s="11" t="s">
        <v>5823</v>
      </c>
    </row>
    <row r="19861" spans="1:4" ht="25.5" customHeight="1" x14ac:dyDescent="0.2">
      <c r="B19861" s="11" t="s">
        <v>2600</v>
      </c>
      <c r="C19861" s="11" t="s">
        <v>5824</v>
      </c>
    </row>
    <row r="19862" spans="1:4" ht="25.5" customHeight="1" x14ac:dyDescent="0.2">
      <c r="B19862" s="11" t="s">
        <v>2601</v>
      </c>
      <c r="C19862" s="11"/>
    </row>
    <row r="19863" spans="1:4" ht="12.75" customHeight="1" x14ac:dyDescent="0.2">
      <c r="B19863" s="11" t="s">
        <v>16</v>
      </c>
      <c r="C19863" s="11"/>
    </row>
    <row r="19864" spans="1:4" ht="12.75" customHeight="1" x14ac:dyDescent="0.2">
      <c r="B19864" s="11" t="s">
        <v>13</v>
      </c>
      <c r="C19864" s="11" t="s">
        <v>2644</v>
      </c>
    </row>
    <row r="19865" spans="1:4" ht="12.75" customHeight="1" x14ac:dyDescent="0.2">
      <c r="B19865" s="11" t="s">
        <v>2603</v>
      </c>
      <c r="C19865" s="11" t="s">
        <v>2604</v>
      </c>
    </row>
    <row r="19866" spans="1:4" ht="12.75" customHeight="1" x14ac:dyDescent="0.2">
      <c r="B19866" s="11" t="s">
        <v>2605</v>
      </c>
      <c r="C19866" s="11" t="s">
        <v>24</v>
      </c>
    </row>
    <row r="19867" spans="1:4" ht="12.75" customHeight="1" x14ac:dyDescent="0.2">
      <c r="B19867" s="11" t="s">
        <v>2606</v>
      </c>
      <c r="C19867" s="16" t="s">
        <v>44</v>
      </c>
      <c r="D19867" s="6" t="str">
        <f>HYPERLINK("javascript:void(0)","mágusbot")</f>
        <v>mágusbot</v>
      </c>
    </row>
    <row r="19868" spans="1:4" ht="12.75" customHeight="1" x14ac:dyDescent="0.2">
      <c r="C19868" s="16" t="s">
        <v>67</v>
      </c>
      <c r="D19868" s="6" t="str">
        <f>HYPERLINK("javascript:void(0)","vízige")</f>
        <v>vízige</v>
      </c>
    </row>
    <row r="19869" spans="1:4" ht="12.75" customHeight="1" x14ac:dyDescent="0.2">
      <c r="B19869" s="2"/>
      <c r="C19869" s="15"/>
      <c r="D19869" s="2"/>
    </row>
    <row r="19870" spans="1:4" ht="12.75" customHeight="1" x14ac:dyDescent="0.2">
      <c r="B19870" s="2"/>
      <c r="C19870" s="15"/>
      <c r="D19870" s="2"/>
    </row>
    <row r="19871" spans="1:4" ht="12.75" customHeight="1" x14ac:dyDescent="0.2">
      <c r="A19871" s="13" t="s">
        <v>5825</v>
      </c>
      <c r="C19871" s="12"/>
    </row>
    <row r="19872" spans="1:4" ht="12.75" customHeight="1" x14ac:dyDescent="0.2">
      <c r="A19872" s="11"/>
      <c r="B19872" s="2"/>
      <c r="C19872" s="15"/>
      <c r="D19872" s="2"/>
    </row>
    <row r="19873" spans="1:4" ht="12.75" customHeight="1" x14ac:dyDescent="0.2">
      <c r="B19873" s="11" t="s">
        <v>0</v>
      </c>
      <c r="C19873" s="11" t="s">
        <v>110</v>
      </c>
    </row>
    <row r="19874" spans="1:4" ht="12.75" customHeight="1" x14ac:dyDescent="0.2">
      <c r="B19874" s="11" t="s">
        <v>2599</v>
      </c>
      <c r="C19874" s="11" t="s">
        <v>5826</v>
      </c>
    </row>
    <row r="19875" spans="1:4" ht="25.5" customHeight="1" x14ac:dyDescent="0.2">
      <c r="B19875" s="11" t="s">
        <v>2600</v>
      </c>
      <c r="C19875" s="11" t="s">
        <v>5827</v>
      </c>
    </row>
    <row r="19876" spans="1:4" ht="25.5" customHeight="1" x14ac:dyDescent="0.2">
      <c r="B19876" s="11" t="s">
        <v>2601</v>
      </c>
      <c r="C19876" s="11"/>
    </row>
    <row r="19877" spans="1:4" ht="12.75" customHeight="1" x14ac:dyDescent="0.2">
      <c r="B19877" s="11" t="s">
        <v>16</v>
      </c>
      <c r="C19877" s="11"/>
    </row>
    <row r="19878" spans="1:4" ht="12.75" customHeight="1" x14ac:dyDescent="0.2">
      <c r="B19878" s="11" t="s">
        <v>13</v>
      </c>
      <c r="C19878" s="11" t="s">
        <v>2644</v>
      </c>
    </row>
    <row r="19879" spans="1:4" ht="12.75" customHeight="1" x14ac:dyDescent="0.2">
      <c r="B19879" s="11" t="s">
        <v>2603</v>
      </c>
      <c r="C19879" s="11" t="s">
        <v>2604</v>
      </c>
    </row>
    <row r="19880" spans="1:4" ht="12.75" customHeight="1" x14ac:dyDescent="0.2">
      <c r="B19880" s="11" t="s">
        <v>2605</v>
      </c>
      <c r="C19880" s="11" t="s">
        <v>14</v>
      </c>
    </row>
    <row r="19881" spans="1:4" ht="25.5" customHeight="1" x14ac:dyDescent="0.2">
      <c r="B19881" s="11" t="s">
        <v>2606</v>
      </c>
      <c r="C19881" s="16" t="s">
        <v>44</v>
      </c>
      <c r="D19881" s="6" t="str">
        <f>HYPERLINK("javascript:void(0)","méregcsepp")</f>
        <v>méregcsepp</v>
      </c>
    </row>
    <row r="19882" spans="1:4" ht="12.75" customHeight="1" x14ac:dyDescent="0.2">
      <c r="B19882" s="2"/>
      <c r="C19882" s="15"/>
      <c r="D19882" s="2"/>
    </row>
    <row r="19883" spans="1:4" ht="12.75" customHeight="1" x14ac:dyDescent="0.2">
      <c r="B19883" s="2"/>
      <c r="C19883" s="15"/>
      <c r="D19883" s="2"/>
    </row>
    <row r="19884" spans="1:4" ht="12.75" customHeight="1" x14ac:dyDescent="0.2">
      <c r="A19884" s="13" t="s">
        <v>5828</v>
      </c>
      <c r="C19884" s="12"/>
    </row>
    <row r="19885" spans="1:4" ht="12.75" customHeight="1" x14ac:dyDescent="0.2">
      <c r="A19885" s="11"/>
      <c r="B19885" s="2"/>
      <c r="C19885" s="15"/>
      <c r="D19885" s="2"/>
    </row>
    <row r="19886" spans="1:4" ht="12.75" customHeight="1" x14ac:dyDescent="0.2">
      <c r="B19886" s="11" t="s">
        <v>0</v>
      </c>
      <c r="C19886" s="11" t="s">
        <v>110</v>
      </c>
    </row>
    <row r="19887" spans="1:4" ht="12.75" customHeight="1" x14ac:dyDescent="0.2">
      <c r="B19887" s="11" t="s">
        <v>2599</v>
      </c>
      <c r="C19887" s="11" t="s">
        <v>4531</v>
      </c>
    </row>
    <row r="19888" spans="1:4" ht="25.5" customHeight="1" x14ac:dyDescent="0.2">
      <c r="B19888" s="11" t="s">
        <v>2600</v>
      </c>
      <c r="C19888" s="11" t="s">
        <v>5829</v>
      </c>
    </row>
    <row r="19889" spans="1:4" ht="25.5" customHeight="1" x14ac:dyDescent="0.2">
      <c r="B19889" s="11" t="s">
        <v>2601</v>
      </c>
      <c r="C19889" s="11"/>
    </row>
    <row r="19890" spans="1:4" ht="12.75" customHeight="1" x14ac:dyDescent="0.2">
      <c r="B19890" s="11" t="s">
        <v>16</v>
      </c>
      <c r="C19890" s="11"/>
    </row>
    <row r="19891" spans="1:4" ht="12.75" customHeight="1" x14ac:dyDescent="0.2">
      <c r="B19891" s="11" t="s">
        <v>13</v>
      </c>
      <c r="C19891" s="11" t="s">
        <v>2602</v>
      </c>
    </row>
    <row r="19892" spans="1:4" ht="12.75" customHeight="1" x14ac:dyDescent="0.2">
      <c r="B19892" s="11" t="s">
        <v>2603</v>
      </c>
      <c r="C19892" s="11" t="s">
        <v>2604</v>
      </c>
    </row>
    <row r="19893" spans="1:4" ht="12.75" customHeight="1" x14ac:dyDescent="0.2">
      <c r="B19893" s="11" t="s">
        <v>2605</v>
      </c>
      <c r="C19893" s="11" t="s">
        <v>14</v>
      </c>
    </row>
    <row r="19894" spans="1:4" ht="12.75" customHeight="1" x14ac:dyDescent="0.2">
      <c r="B19894" s="11" t="s">
        <v>2606</v>
      </c>
      <c r="C19894" s="16" t="s">
        <v>77</v>
      </c>
      <c r="D19894" s="6" t="str">
        <f>HYPERLINK("javascript:void(0)","gyöngy")</f>
        <v>gyöngy</v>
      </c>
    </row>
    <row r="19895" spans="1:4" ht="12.75" customHeight="1" x14ac:dyDescent="0.2">
      <c r="C19895" s="16" t="s">
        <v>98</v>
      </c>
      <c r="D19895" s="6" t="str">
        <f>HYPERLINK("javascript:void(0)","kincs")</f>
        <v>kincs</v>
      </c>
    </row>
    <row r="19896" spans="1:4" ht="12.75" customHeight="1" x14ac:dyDescent="0.2">
      <c r="B19896" s="2"/>
      <c r="C19896" s="15"/>
      <c r="D19896" s="2"/>
    </row>
    <row r="19897" spans="1:4" ht="12.75" customHeight="1" x14ac:dyDescent="0.2">
      <c r="B19897" s="2"/>
      <c r="C19897" s="15"/>
      <c r="D19897" s="2"/>
    </row>
    <row r="19898" spans="1:4" ht="12.75" customHeight="1" x14ac:dyDescent="0.2">
      <c r="A19898" s="13" t="s">
        <v>5830</v>
      </c>
      <c r="C19898" s="12"/>
    </row>
    <row r="19899" spans="1:4" ht="12.75" customHeight="1" x14ac:dyDescent="0.2">
      <c r="A19899" s="11"/>
      <c r="B19899" s="2"/>
      <c r="C19899" s="15"/>
      <c r="D19899" s="2"/>
    </row>
    <row r="19900" spans="1:4" ht="12.75" customHeight="1" x14ac:dyDescent="0.2">
      <c r="B19900" s="11" t="s">
        <v>0</v>
      </c>
      <c r="C19900" s="11" t="s">
        <v>110</v>
      </c>
    </row>
    <row r="19901" spans="1:4" ht="12.75" customHeight="1" x14ac:dyDescent="0.2">
      <c r="B19901" s="11" t="s">
        <v>2599</v>
      </c>
      <c r="C19901" s="11" t="s">
        <v>5831</v>
      </c>
    </row>
    <row r="19902" spans="1:4" ht="25.5" customHeight="1" x14ac:dyDescent="0.2">
      <c r="B19902" s="11" t="s">
        <v>2600</v>
      </c>
      <c r="C19902" s="11" t="s">
        <v>5832</v>
      </c>
    </row>
    <row r="19903" spans="1:4" ht="25.5" customHeight="1" x14ac:dyDescent="0.2">
      <c r="B19903" s="11" t="s">
        <v>2601</v>
      </c>
      <c r="C19903" s="11"/>
    </row>
    <row r="19904" spans="1:4" ht="12.75" customHeight="1" x14ac:dyDescent="0.2">
      <c r="B19904" s="11" t="s">
        <v>16</v>
      </c>
      <c r="C19904" s="11"/>
    </row>
    <row r="19905" spans="1:4" ht="12.75" customHeight="1" x14ac:dyDescent="0.2">
      <c r="B19905" s="11" t="s">
        <v>13</v>
      </c>
      <c r="C19905" s="11" t="s">
        <v>2602</v>
      </c>
    </row>
    <row r="19906" spans="1:4" ht="12.75" customHeight="1" x14ac:dyDescent="0.2">
      <c r="B19906" s="11" t="s">
        <v>2603</v>
      </c>
      <c r="C19906" s="11" t="s">
        <v>2604</v>
      </c>
    </row>
    <row r="19907" spans="1:4" ht="12.75" customHeight="1" x14ac:dyDescent="0.2">
      <c r="B19907" s="11" t="s">
        <v>2605</v>
      </c>
      <c r="C19907" s="11" t="s">
        <v>24</v>
      </c>
    </row>
    <row r="19908" spans="1:4" ht="25.5" customHeight="1" x14ac:dyDescent="0.2">
      <c r="B19908" s="11" t="s">
        <v>2606</v>
      </c>
      <c r="C19908" s="16" t="s">
        <v>56</v>
      </c>
      <c r="D19908" s="6" t="str">
        <f>HYPERLINK("javascript:void(0)","patkányfarok")</f>
        <v>patkányfarok</v>
      </c>
    </row>
    <row r="19909" spans="1:4" ht="12.75" customHeight="1" x14ac:dyDescent="0.2">
      <c r="B19909" s="2"/>
      <c r="C19909" s="15"/>
      <c r="D19909" s="2"/>
    </row>
    <row r="19910" spans="1:4" ht="12.75" customHeight="1" x14ac:dyDescent="0.2">
      <c r="B19910" s="2"/>
      <c r="C19910" s="15"/>
      <c r="D19910" s="2"/>
    </row>
    <row r="19911" spans="1:4" ht="12.75" customHeight="1" x14ac:dyDescent="0.2">
      <c r="A19911" s="13" t="s">
        <v>5833</v>
      </c>
      <c r="C19911" s="12"/>
    </row>
    <row r="19912" spans="1:4" ht="12.75" customHeight="1" x14ac:dyDescent="0.2">
      <c r="A19912" s="11"/>
      <c r="B19912" s="2"/>
      <c r="C19912" s="15"/>
      <c r="D19912" s="2"/>
    </row>
    <row r="19913" spans="1:4" ht="12.75" customHeight="1" x14ac:dyDescent="0.2">
      <c r="B19913" s="11" t="s">
        <v>0</v>
      </c>
      <c r="C19913" s="11" t="s">
        <v>110</v>
      </c>
    </row>
    <row r="19914" spans="1:4" ht="12.75" customHeight="1" x14ac:dyDescent="0.2">
      <c r="B19914" s="11" t="s">
        <v>2599</v>
      </c>
      <c r="C19914" s="11" t="s">
        <v>5834</v>
      </c>
    </row>
    <row r="19915" spans="1:4" ht="25.5" customHeight="1" x14ac:dyDescent="0.2">
      <c r="B19915" s="11" t="s">
        <v>2600</v>
      </c>
      <c r="C19915" s="11" t="s">
        <v>5835</v>
      </c>
    </row>
    <row r="19916" spans="1:4" ht="25.5" customHeight="1" x14ac:dyDescent="0.2">
      <c r="B19916" s="11" t="s">
        <v>2601</v>
      </c>
      <c r="C19916" s="11"/>
    </row>
    <row r="19917" spans="1:4" ht="12.75" customHeight="1" x14ac:dyDescent="0.2">
      <c r="B19917" s="11" t="s">
        <v>16</v>
      </c>
      <c r="C19917" s="11"/>
    </row>
    <row r="19918" spans="1:4" ht="12.75" customHeight="1" x14ac:dyDescent="0.2">
      <c r="B19918" s="11" t="s">
        <v>13</v>
      </c>
      <c r="C19918" s="11" t="s">
        <v>2602</v>
      </c>
    </row>
    <row r="19919" spans="1:4" ht="12.75" customHeight="1" x14ac:dyDescent="0.2">
      <c r="B19919" s="11" t="s">
        <v>2603</v>
      </c>
      <c r="C19919" s="11" t="s">
        <v>2604</v>
      </c>
    </row>
    <row r="19920" spans="1:4" ht="12.75" customHeight="1" x14ac:dyDescent="0.2">
      <c r="B19920" s="11" t="s">
        <v>2605</v>
      </c>
      <c r="C19920" s="11" t="s">
        <v>24</v>
      </c>
    </row>
    <row r="19921" spans="1:4" ht="12.75" customHeight="1" x14ac:dyDescent="0.2">
      <c r="B19921" s="11" t="s">
        <v>2606</v>
      </c>
      <c r="C19921" s="16" t="s">
        <v>44</v>
      </c>
      <c r="D19921" s="6" t="str">
        <f>HYPERLINK("javascript:void(0)","maxilla")</f>
        <v>maxilla</v>
      </c>
    </row>
    <row r="19922" spans="1:4" ht="12.75" customHeight="1" x14ac:dyDescent="0.2">
      <c r="C19922" s="16" t="s">
        <v>139</v>
      </c>
      <c r="D19922" s="6" t="str">
        <f>HYPERLINK("javascript:void(0)","madártoll")</f>
        <v>madártoll</v>
      </c>
    </row>
    <row r="19923" spans="1:4" ht="12.75" customHeight="1" x14ac:dyDescent="0.2">
      <c r="B19923" s="2"/>
      <c r="C19923" s="15"/>
      <c r="D19923" s="2"/>
    </row>
    <row r="19924" spans="1:4" ht="12.75" customHeight="1" x14ac:dyDescent="0.2">
      <c r="B19924" s="2"/>
      <c r="C19924" s="15"/>
      <c r="D19924" s="2"/>
    </row>
    <row r="19925" spans="1:4" ht="12.75" customHeight="1" x14ac:dyDescent="0.2">
      <c r="A19925" s="13" t="s">
        <v>5837</v>
      </c>
      <c r="C19925" s="12"/>
    </row>
    <row r="19926" spans="1:4" ht="12.75" customHeight="1" x14ac:dyDescent="0.2">
      <c r="A19926" s="11"/>
      <c r="B19926" s="2"/>
      <c r="C19926" s="15"/>
      <c r="D19926" s="2"/>
    </row>
    <row r="19927" spans="1:4" ht="12.75" customHeight="1" x14ac:dyDescent="0.2">
      <c r="B19927" s="11" t="s">
        <v>0</v>
      </c>
      <c r="C19927" s="11" t="s">
        <v>110</v>
      </c>
    </row>
    <row r="19928" spans="1:4" ht="12.75" customHeight="1" x14ac:dyDescent="0.2">
      <c r="B19928" s="11" t="s">
        <v>2599</v>
      </c>
      <c r="C19928" s="11" t="s">
        <v>736</v>
      </c>
    </row>
    <row r="19929" spans="1:4" ht="25.5" customHeight="1" x14ac:dyDescent="0.2">
      <c r="B19929" s="11" t="s">
        <v>2600</v>
      </c>
      <c r="C19929" s="11" t="s">
        <v>5838</v>
      </c>
    </row>
    <row r="19930" spans="1:4" ht="25.5" customHeight="1" x14ac:dyDescent="0.2">
      <c r="B19930" s="11" t="s">
        <v>2601</v>
      </c>
      <c r="C19930" s="11"/>
    </row>
    <row r="19931" spans="1:4" ht="12.75" customHeight="1" x14ac:dyDescent="0.2">
      <c r="B19931" s="11" t="s">
        <v>16</v>
      </c>
      <c r="C19931" s="11"/>
    </row>
    <row r="19932" spans="1:4" ht="12.75" customHeight="1" x14ac:dyDescent="0.2">
      <c r="B19932" s="11" t="s">
        <v>13</v>
      </c>
      <c r="C19932" s="11" t="s">
        <v>2644</v>
      </c>
    </row>
    <row r="19933" spans="1:4" ht="12.75" customHeight="1" x14ac:dyDescent="0.2">
      <c r="B19933" s="11" t="s">
        <v>2603</v>
      </c>
      <c r="C19933" s="11" t="s">
        <v>2604</v>
      </c>
    </row>
    <row r="19934" spans="1:4" ht="12.75" customHeight="1" x14ac:dyDescent="0.2">
      <c r="B19934" s="11" t="s">
        <v>2605</v>
      </c>
      <c r="C19934" s="11" t="s">
        <v>24</v>
      </c>
    </row>
    <row r="19935" spans="1:4" ht="12.75" customHeight="1" x14ac:dyDescent="0.2">
      <c r="B19935" s="11" t="s">
        <v>2606</v>
      </c>
      <c r="C19935" s="16" t="s">
        <v>77</v>
      </c>
      <c r="D19935" s="6" t="str">
        <f>HYPERLINK("javascript:void(0)","acélrugó")</f>
        <v>acélrugó</v>
      </c>
    </row>
    <row r="19936" spans="1:4" ht="12.75" customHeight="1" x14ac:dyDescent="0.2">
      <c r="C19936" s="16" t="s">
        <v>44</v>
      </c>
      <c r="D19936" s="6" t="str">
        <f>HYPERLINK("javascript:void(0)","drótkosár")</f>
        <v>drótkosár</v>
      </c>
    </row>
    <row r="19937" spans="1:4" ht="12.75" customHeight="1" x14ac:dyDescent="0.2">
      <c r="B19937" s="2"/>
      <c r="C19937" s="15"/>
      <c r="D19937" s="2"/>
    </row>
    <row r="19938" spans="1:4" ht="12.75" customHeight="1" x14ac:dyDescent="0.2">
      <c r="B19938" s="2"/>
      <c r="C19938" s="15"/>
      <c r="D19938" s="2"/>
    </row>
    <row r="19939" spans="1:4" ht="12.75" customHeight="1" x14ac:dyDescent="0.2">
      <c r="A19939" s="13" t="s">
        <v>5839</v>
      </c>
      <c r="C19939" s="12"/>
      <c r="D19939" s="2"/>
    </row>
    <row r="19940" spans="1:4" ht="12.75" customHeight="1" x14ac:dyDescent="0.2">
      <c r="A19940" s="11"/>
      <c r="B19940" s="2"/>
      <c r="C19940" s="15"/>
      <c r="D19940" s="2"/>
    </row>
    <row r="19941" spans="1:4" ht="12.75" customHeight="1" x14ac:dyDescent="0.2">
      <c r="B19941" s="11" t="s">
        <v>0</v>
      </c>
      <c r="C19941" s="17" t="s">
        <v>110</v>
      </c>
      <c r="D19941" s="2"/>
    </row>
    <row r="19942" spans="1:4" ht="12.75" customHeight="1" x14ac:dyDescent="0.2">
      <c r="B19942" s="11" t="s">
        <v>2599</v>
      </c>
      <c r="C19942" s="17" t="s">
        <v>5687</v>
      </c>
      <c r="D19942" s="2"/>
    </row>
    <row r="19943" spans="1:4" ht="25.5" customHeight="1" x14ac:dyDescent="0.2">
      <c r="B19943" s="11" t="s">
        <v>2600</v>
      </c>
      <c r="C19943" s="17" t="s">
        <v>5840</v>
      </c>
      <c r="D19943" s="2"/>
    </row>
    <row r="19944" spans="1:4" ht="25.5" customHeight="1" x14ac:dyDescent="0.2">
      <c r="B19944" s="11" t="s">
        <v>2601</v>
      </c>
      <c r="C19944" s="17"/>
      <c r="D19944" s="2"/>
    </row>
    <row r="19945" spans="1:4" ht="12.75" customHeight="1" x14ac:dyDescent="0.2">
      <c r="B19945" s="11" t="s">
        <v>16</v>
      </c>
      <c r="C19945" s="17"/>
      <c r="D19945" s="2"/>
    </row>
    <row r="19946" spans="1:4" ht="12.75" customHeight="1" x14ac:dyDescent="0.2">
      <c r="B19946" s="11" t="s">
        <v>13</v>
      </c>
      <c r="C19946" s="17" t="s">
        <v>2644</v>
      </c>
      <c r="D19946" s="2"/>
    </row>
    <row r="19947" spans="1:4" ht="25.5" customHeight="1" x14ac:dyDescent="0.2">
      <c r="B19947" s="11" t="s">
        <v>2603</v>
      </c>
      <c r="C19947" s="17" t="s">
        <v>2971</v>
      </c>
      <c r="D19947" s="2"/>
    </row>
    <row r="19948" spans="1:4" ht="12.75" customHeight="1" x14ac:dyDescent="0.2">
      <c r="B19948" s="11" t="s">
        <v>2605</v>
      </c>
      <c r="C19948" s="17" t="s">
        <v>14</v>
      </c>
      <c r="D19948" s="2"/>
    </row>
    <row r="19949" spans="1:4" ht="12.75" customHeight="1" x14ac:dyDescent="0.2">
      <c r="B19949" s="11" t="s">
        <v>2606</v>
      </c>
      <c r="C19949" s="16" t="s">
        <v>19</v>
      </c>
      <c r="D19949" s="2"/>
    </row>
    <row r="19950" spans="1:4" ht="12.75" customHeight="1" x14ac:dyDescent="0.2">
      <c r="B19950" s="2"/>
      <c r="C19950" s="15"/>
      <c r="D19950" s="2"/>
    </row>
    <row r="19951" spans="1:4" ht="12.75" customHeight="1" x14ac:dyDescent="0.2">
      <c r="B19951" s="2"/>
      <c r="C19951" s="15"/>
      <c r="D19951" s="2"/>
    </row>
    <row r="19952" spans="1:4" ht="12.75" customHeight="1" x14ac:dyDescent="0.2">
      <c r="A19952" s="13" t="s">
        <v>5808</v>
      </c>
      <c r="C19952" s="12"/>
      <c r="D19952" s="2"/>
    </row>
    <row r="19953" spans="1:4" ht="12.75" customHeight="1" x14ac:dyDescent="0.2">
      <c r="A19953" s="11"/>
      <c r="B19953" s="2"/>
      <c r="C19953" s="15"/>
      <c r="D19953" s="2"/>
    </row>
    <row r="19954" spans="1:4" ht="12.75" customHeight="1" x14ac:dyDescent="0.2">
      <c r="B19954" s="11" t="s">
        <v>0</v>
      </c>
      <c r="C19954" s="17" t="s">
        <v>1142</v>
      </c>
      <c r="D19954" s="2"/>
    </row>
    <row r="19955" spans="1:4" ht="12.75" customHeight="1" x14ac:dyDescent="0.2">
      <c r="B19955" s="11" t="s">
        <v>2599</v>
      </c>
      <c r="C19955" s="17" t="s">
        <v>3382</v>
      </c>
      <c r="D19955" s="2"/>
    </row>
    <row r="19956" spans="1:4" ht="25.5" customHeight="1" x14ac:dyDescent="0.2">
      <c r="B19956" s="11" t="s">
        <v>2600</v>
      </c>
      <c r="C19956" s="17" t="s">
        <v>5841</v>
      </c>
      <c r="D19956" s="2"/>
    </row>
    <row r="19957" spans="1:4" ht="25.5" customHeight="1" x14ac:dyDescent="0.2">
      <c r="B19957" s="11" t="s">
        <v>2601</v>
      </c>
      <c r="C19957" s="17"/>
      <c r="D19957" s="2"/>
    </row>
    <row r="19958" spans="1:4" ht="12.75" customHeight="1" x14ac:dyDescent="0.2">
      <c r="B19958" s="11" t="s">
        <v>16</v>
      </c>
      <c r="C19958" s="17"/>
      <c r="D19958" s="2"/>
    </row>
    <row r="19959" spans="1:4" ht="12.75" customHeight="1" x14ac:dyDescent="0.2">
      <c r="B19959" s="11" t="s">
        <v>13</v>
      </c>
      <c r="C19959" s="17" t="s">
        <v>2644</v>
      </c>
      <c r="D19959" s="2"/>
    </row>
    <row r="19960" spans="1:4" ht="25.5" customHeight="1" x14ac:dyDescent="0.2">
      <c r="B19960" s="11" t="s">
        <v>2603</v>
      </c>
      <c r="C19960" s="17" t="s">
        <v>2971</v>
      </c>
      <c r="D19960" s="2"/>
    </row>
    <row r="19961" spans="1:4" ht="12.75" customHeight="1" x14ac:dyDescent="0.2">
      <c r="B19961" s="11" t="s">
        <v>2605</v>
      </c>
      <c r="C19961" s="17" t="s">
        <v>14</v>
      </c>
      <c r="D19961" s="2"/>
    </row>
    <row r="19962" spans="1:4" ht="12.75" customHeight="1" x14ac:dyDescent="0.2">
      <c r="B19962" s="11" t="s">
        <v>2606</v>
      </c>
      <c r="C19962" s="16" t="s">
        <v>19</v>
      </c>
      <c r="D19962" s="2"/>
    </row>
    <row r="19963" spans="1:4" ht="12.75" customHeight="1" x14ac:dyDescent="0.2">
      <c r="B19963" s="2"/>
      <c r="C19963" s="15"/>
      <c r="D19963" s="2"/>
    </row>
    <row r="19964" spans="1:4" ht="12.75" customHeight="1" x14ac:dyDescent="0.2">
      <c r="B19964" s="2"/>
      <c r="C19964" s="15"/>
      <c r="D19964" s="2"/>
    </row>
    <row r="19965" spans="1:4" ht="12.75" customHeight="1" x14ac:dyDescent="0.2">
      <c r="A19965" s="13" t="s">
        <v>5810</v>
      </c>
      <c r="C19965" s="12"/>
      <c r="D19965" s="2"/>
    </row>
    <row r="19966" spans="1:4" ht="12.75" customHeight="1" x14ac:dyDescent="0.2">
      <c r="A19966" s="11"/>
      <c r="B19966" s="2"/>
      <c r="C19966" s="15"/>
      <c r="D19966" s="2"/>
    </row>
    <row r="19967" spans="1:4" ht="12.75" customHeight="1" x14ac:dyDescent="0.2">
      <c r="B19967" s="11" t="s">
        <v>0</v>
      </c>
      <c r="C19967" s="17" t="s">
        <v>1142</v>
      </c>
      <c r="D19967" s="2"/>
    </row>
    <row r="19968" spans="1:4" ht="12.75" customHeight="1" x14ac:dyDescent="0.2">
      <c r="B19968" s="11" t="s">
        <v>2599</v>
      </c>
      <c r="C19968" s="17" t="s">
        <v>5811</v>
      </c>
      <c r="D19968" s="2"/>
    </row>
    <row r="19969" spans="1:4" ht="25.5" customHeight="1" x14ac:dyDescent="0.2">
      <c r="B19969" s="11" t="s">
        <v>2600</v>
      </c>
      <c r="C19969" s="17" t="s">
        <v>5842</v>
      </c>
      <c r="D19969" s="2"/>
    </row>
    <row r="19970" spans="1:4" ht="25.5" customHeight="1" x14ac:dyDescent="0.2">
      <c r="B19970" s="11" t="s">
        <v>2601</v>
      </c>
      <c r="C19970" s="17"/>
      <c r="D19970" s="2"/>
    </row>
    <row r="19971" spans="1:4" ht="12.75" customHeight="1" x14ac:dyDescent="0.2">
      <c r="B19971" s="11" t="s">
        <v>16</v>
      </c>
      <c r="C19971" s="17"/>
      <c r="D19971" s="2"/>
    </row>
    <row r="19972" spans="1:4" ht="12.75" customHeight="1" x14ac:dyDescent="0.2">
      <c r="B19972" s="11" t="s">
        <v>13</v>
      </c>
      <c r="C19972" s="17" t="s">
        <v>2644</v>
      </c>
      <c r="D19972" s="2"/>
    </row>
    <row r="19973" spans="1:4" ht="25.5" customHeight="1" x14ac:dyDescent="0.2">
      <c r="B19973" s="11" t="s">
        <v>2603</v>
      </c>
      <c r="C19973" s="17" t="s">
        <v>2971</v>
      </c>
      <c r="D19973" s="2"/>
    </row>
    <row r="19974" spans="1:4" ht="12.75" customHeight="1" x14ac:dyDescent="0.2">
      <c r="B19974" s="11" t="s">
        <v>2605</v>
      </c>
      <c r="C19974" s="17" t="s">
        <v>14</v>
      </c>
      <c r="D19974" s="2"/>
    </row>
    <row r="19975" spans="1:4" ht="12.75" customHeight="1" x14ac:dyDescent="0.2">
      <c r="B19975" s="11" t="s">
        <v>2606</v>
      </c>
      <c r="C19975" s="16" t="s">
        <v>19</v>
      </c>
      <c r="D19975" s="2"/>
    </row>
    <row r="19976" spans="1:4" ht="12.75" customHeight="1" x14ac:dyDescent="0.2">
      <c r="B19976" s="2"/>
      <c r="C19976" s="15"/>
      <c r="D19976" s="2"/>
    </row>
    <row r="19977" spans="1:4" ht="12.75" customHeight="1" x14ac:dyDescent="0.2">
      <c r="B19977" s="2"/>
      <c r="C19977" s="15"/>
      <c r="D19977" s="2"/>
    </row>
    <row r="19978" spans="1:4" ht="12.75" customHeight="1" x14ac:dyDescent="0.2">
      <c r="A19978" s="13" t="s">
        <v>5813</v>
      </c>
      <c r="C19978" s="12"/>
      <c r="D19978" s="2"/>
    </row>
    <row r="19979" spans="1:4" ht="12.75" customHeight="1" x14ac:dyDescent="0.2">
      <c r="A19979" s="11"/>
      <c r="B19979" s="2"/>
      <c r="C19979" s="15"/>
      <c r="D19979" s="2"/>
    </row>
    <row r="19980" spans="1:4" ht="12.75" customHeight="1" x14ac:dyDescent="0.2">
      <c r="B19980" s="11" t="s">
        <v>0</v>
      </c>
      <c r="C19980" s="17" t="s">
        <v>1142</v>
      </c>
      <c r="D19980" s="2"/>
    </row>
    <row r="19981" spans="1:4" ht="12.75" customHeight="1" x14ac:dyDescent="0.2">
      <c r="B19981" s="11" t="s">
        <v>2599</v>
      </c>
      <c r="C19981" s="17" t="s">
        <v>5684</v>
      </c>
      <c r="D19981" s="2"/>
    </row>
    <row r="19982" spans="1:4" ht="25.5" customHeight="1" x14ac:dyDescent="0.2">
      <c r="B19982" s="11" t="s">
        <v>2600</v>
      </c>
      <c r="C19982" s="17" t="s">
        <v>5843</v>
      </c>
      <c r="D19982" s="2"/>
    </row>
    <row r="19983" spans="1:4" ht="25.5" customHeight="1" x14ac:dyDescent="0.2">
      <c r="B19983" s="11" t="s">
        <v>2601</v>
      </c>
      <c r="C19983" s="17"/>
      <c r="D19983" s="2"/>
    </row>
    <row r="19984" spans="1:4" ht="12.75" customHeight="1" x14ac:dyDescent="0.2">
      <c r="B19984" s="11" t="s">
        <v>16</v>
      </c>
      <c r="C19984" s="17"/>
      <c r="D19984" s="2"/>
    </row>
    <row r="19985" spans="1:4" ht="12.75" customHeight="1" x14ac:dyDescent="0.2">
      <c r="B19985" s="11" t="s">
        <v>13</v>
      </c>
      <c r="C19985" s="17" t="s">
        <v>2602</v>
      </c>
      <c r="D19985" s="2"/>
    </row>
    <row r="19986" spans="1:4" ht="25.5" customHeight="1" x14ac:dyDescent="0.2">
      <c r="B19986" s="11" t="s">
        <v>2603</v>
      </c>
      <c r="C19986" s="17" t="s">
        <v>2971</v>
      </c>
      <c r="D19986" s="2"/>
    </row>
    <row r="19987" spans="1:4" ht="12.75" customHeight="1" x14ac:dyDescent="0.2">
      <c r="B19987" s="11" t="s">
        <v>2605</v>
      </c>
      <c r="C19987" s="17" t="s">
        <v>14</v>
      </c>
      <c r="D19987" s="2"/>
    </row>
    <row r="19988" spans="1:4" ht="12.75" customHeight="1" x14ac:dyDescent="0.2">
      <c r="B19988" s="11" t="s">
        <v>2606</v>
      </c>
      <c r="C19988" s="16" t="s">
        <v>19</v>
      </c>
      <c r="D19988" s="2"/>
    </row>
    <row r="19989" spans="1:4" ht="12.75" customHeight="1" x14ac:dyDescent="0.2">
      <c r="B19989" s="2"/>
      <c r="C19989" s="15"/>
      <c r="D19989" s="2"/>
    </row>
    <row r="19990" spans="1:4" ht="12.75" customHeight="1" x14ac:dyDescent="0.2">
      <c r="B19990" s="2"/>
      <c r="C19990" s="15"/>
      <c r="D19990" s="2"/>
    </row>
    <row r="19991" spans="1:4" ht="12.75" customHeight="1" x14ac:dyDescent="0.2">
      <c r="A19991" s="13" t="s">
        <v>5844</v>
      </c>
      <c r="C19991" s="12"/>
    </row>
    <row r="19992" spans="1:4" ht="12.75" customHeight="1" x14ac:dyDescent="0.2">
      <c r="A19992" s="11"/>
      <c r="B19992" s="2"/>
      <c r="C19992" s="15"/>
      <c r="D19992" s="2"/>
    </row>
    <row r="19993" spans="1:4" ht="12.75" customHeight="1" x14ac:dyDescent="0.2">
      <c r="B19993" s="11" t="s">
        <v>0</v>
      </c>
      <c r="C19993" s="11" t="s">
        <v>1142</v>
      </c>
    </row>
    <row r="19994" spans="1:4" ht="12.75" customHeight="1" x14ac:dyDescent="0.2">
      <c r="B19994" s="11" t="s">
        <v>2599</v>
      </c>
      <c r="C19994" s="11" t="s">
        <v>5845</v>
      </c>
    </row>
    <row r="19995" spans="1:4" ht="25.5" customHeight="1" x14ac:dyDescent="0.2">
      <c r="B19995" s="11" t="s">
        <v>2600</v>
      </c>
      <c r="C19995" s="11" t="s">
        <v>5846</v>
      </c>
    </row>
    <row r="19996" spans="1:4" ht="25.5" customHeight="1" x14ac:dyDescent="0.2">
      <c r="B19996" s="11" t="s">
        <v>2601</v>
      </c>
      <c r="C19996" s="11"/>
    </row>
    <row r="19997" spans="1:4" ht="12.75" customHeight="1" x14ac:dyDescent="0.2">
      <c r="B19997" s="11" t="s">
        <v>16</v>
      </c>
      <c r="C19997" s="11"/>
    </row>
    <row r="19998" spans="1:4" ht="12.75" customHeight="1" x14ac:dyDescent="0.2">
      <c r="B19998" s="11" t="s">
        <v>13</v>
      </c>
      <c r="C19998" s="11" t="s">
        <v>2602</v>
      </c>
    </row>
    <row r="19999" spans="1:4" ht="12.75" customHeight="1" x14ac:dyDescent="0.2">
      <c r="B19999" s="11" t="s">
        <v>2603</v>
      </c>
      <c r="C19999" s="11" t="s">
        <v>2604</v>
      </c>
    </row>
    <row r="20000" spans="1:4" ht="12.75" customHeight="1" x14ac:dyDescent="0.2">
      <c r="B20000" s="11" t="s">
        <v>2605</v>
      </c>
      <c r="C20000" s="11" t="s">
        <v>14</v>
      </c>
    </row>
    <row r="20001" spans="1:4" ht="12.75" customHeight="1" x14ac:dyDescent="0.2">
      <c r="B20001" s="11" t="s">
        <v>2606</v>
      </c>
      <c r="C20001" s="16" t="s">
        <v>44</v>
      </c>
      <c r="D20001" s="6" t="str">
        <f>HYPERLINK("javascript:void(0)","zselatin")</f>
        <v>zselatin</v>
      </c>
    </row>
    <row r="20002" spans="1:4" ht="12.75" customHeight="1" x14ac:dyDescent="0.2">
      <c r="B20002" s="2"/>
      <c r="C20002" s="15"/>
      <c r="D20002" s="2"/>
    </row>
    <row r="20003" spans="1:4" ht="12.75" customHeight="1" x14ac:dyDescent="0.2">
      <c r="B20003" s="2"/>
      <c r="C20003" s="15"/>
      <c r="D20003" s="2"/>
    </row>
    <row r="20004" spans="1:4" ht="12.75" customHeight="1" x14ac:dyDescent="0.2">
      <c r="A20004" s="13" t="s">
        <v>5847</v>
      </c>
      <c r="C20004" s="12"/>
    </row>
    <row r="20005" spans="1:4" ht="12.75" customHeight="1" x14ac:dyDescent="0.2">
      <c r="A20005" s="11"/>
      <c r="B20005" s="2"/>
      <c r="C20005" s="15"/>
      <c r="D20005" s="2"/>
    </row>
    <row r="20006" spans="1:4" ht="12.75" customHeight="1" x14ac:dyDescent="0.2">
      <c r="B20006" s="11" t="s">
        <v>0</v>
      </c>
      <c r="C20006" s="11" t="s">
        <v>1142</v>
      </c>
    </row>
    <row r="20007" spans="1:4" ht="12.75" customHeight="1" x14ac:dyDescent="0.2">
      <c r="B20007" s="11" t="s">
        <v>2599</v>
      </c>
      <c r="C20007" s="11" t="s">
        <v>5848</v>
      </c>
    </row>
    <row r="20008" spans="1:4" ht="25.5" customHeight="1" x14ac:dyDescent="0.2">
      <c r="B20008" s="11" t="s">
        <v>2600</v>
      </c>
      <c r="C20008" s="11" t="s">
        <v>5849</v>
      </c>
    </row>
    <row r="20009" spans="1:4" ht="25.5" customHeight="1" x14ac:dyDescent="0.2">
      <c r="B20009" s="11" t="s">
        <v>2601</v>
      </c>
      <c r="C20009" s="11"/>
    </row>
    <row r="20010" spans="1:4" ht="12.75" customHeight="1" x14ac:dyDescent="0.2">
      <c r="B20010" s="11" t="s">
        <v>16</v>
      </c>
      <c r="C20010" s="11"/>
    </row>
    <row r="20011" spans="1:4" ht="12.75" customHeight="1" x14ac:dyDescent="0.2">
      <c r="B20011" s="11" t="s">
        <v>13</v>
      </c>
      <c r="C20011" s="11" t="s">
        <v>2644</v>
      </c>
    </row>
    <row r="20012" spans="1:4" ht="12.75" customHeight="1" x14ac:dyDescent="0.2">
      <c r="B20012" s="11" t="s">
        <v>2603</v>
      </c>
      <c r="C20012" s="11" t="s">
        <v>2604</v>
      </c>
    </row>
    <row r="20013" spans="1:4" ht="12.75" customHeight="1" x14ac:dyDescent="0.2">
      <c r="B20013" s="11" t="s">
        <v>2605</v>
      </c>
      <c r="C20013" s="11" t="s">
        <v>14</v>
      </c>
    </row>
    <row r="20014" spans="1:4" ht="12.75" customHeight="1" x14ac:dyDescent="0.2">
      <c r="B20014" s="11" t="s">
        <v>2606</v>
      </c>
      <c r="C20014" s="16" t="s">
        <v>44</v>
      </c>
      <c r="D20014" s="6" t="str">
        <f>HYPERLINK("javascript:void(0)","ostornyelv")</f>
        <v>ostornyelv</v>
      </c>
    </row>
    <row r="20015" spans="1:4" ht="12.75" customHeight="1" x14ac:dyDescent="0.2">
      <c r="B20015" s="2"/>
      <c r="C20015" s="15"/>
      <c r="D20015" s="2"/>
    </row>
    <row r="20016" spans="1:4" ht="12.75" customHeight="1" x14ac:dyDescent="0.2">
      <c r="B20016" s="2"/>
      <c r="C20016" s="15"/>
      <c r="D20016" s="2"/>
    </row>
    <row r="20017" spans="1:4" ht="12.75" customHeight="1" x14ac:dyDescent="0.2">
      <c r="A20017" s="13" t="s">
        <v>5850</v>
      </c>
      <c r="C20017" s="12"/>
    </row>
    <row r="20018" spans="1:4" ht="12.75" customHeight="1" x14ac:dyDescent="0.2">
      <c r="A20018" s="11"/>
      <c r="B20018" s="2"/>
      <c r="C20018" s="15"/>
      <c r="D20018" s="2"/>
    </row>
    <row r="20019" spans="1:4" ht="12.75" customHeight="1" x14ac:dyDescent="0.2">
      <c r="B20019" s="11" t="s">
        <v>0</v>
      </c>
      <c r="C20019" s="11" t="s">
        <v>1142</v>
      </c>
    </row>
    <row r="20020" spans="1:4" ht="12.75" customHeight="1" x14ac:dyDescent="0.2">
      <c r="B20020" s="11" t="s">
        <v>2599</v>
      </c>
      <c r="C20020" s="11" t="s">
        <v>5851</v>
      </c>
    </row>
    <row r="20021" spans="1:4" ht="25.5" customHeight="1" x14ac:dyDescent="0.2">
      <c r="B20021" s="11" t="s">
        <v>2600</v>
      </c>
      <c r="C20021" s="11" t="s">
        <v>5852</v>
      </c>
    </row>
    <row r="20022" spans="1:4" ht="25.5" customHeight="1" x14ac:dyDescent="0.2">
      <c r="B20022" s="11" t="s">
        <v>2601</v>
      </c>
      <c r="C20022" s="11"/>
    </row>
    <row r="20023" spans="1:4" ht="12.75" customHeight="1" x14ac:dyDescent="0.2">
      <c r="B20023" s="11" t="s">
        <v>16</v>
      </c>
      <c r="C20023" s="11"/>
    </row>
    <row r="20024" spans="1:4" ht="12.75" customHeight="1" x14ac:dyDescent="0.2">
      <c r="B20024" s="11" t="s">
        <v>13</v>
      </c>
      <c r="C20024" s="11" t="s">
        <v>2644</v>
      </c>
    </row>
    <row r="20025" spans="1:4" ht="12.75" customHeight="1" x14ac:dyDescent="0.2">
      <c r="B20025" s="11" t="s">
        <v>2603</v>
      </c>
      <c r="C20025" s="11" t="s">
        <v>2604</v>
      </c>
    </row>
    <row r="20026" spans="1:4" ht="12.75" customHeight="1" x14ac:dyDescent="0.2">
      <c r="B20026" s="11" t="s">
        <v>2605</v>
      </c>
      <c r="C20026" s="11" t="s">
        <v>24</v>
      </c>
    </row>
    <row r="20027" spans="1:4" ht="25.5" customHeight="1" x14ac:dyDescent="0.2">
      <c r="B20027" s="11" t="s">
        <v>2606</v>
      </c>
      <c r="C20027" s="16" t="s">
        <v>44</v>
      </c>
      <c r="D20027" s="6" t="str">
        <f>HYPERLINK("javascript:void(0)","gyíkacél csákány")</f>
        <v>gyíkacél csákány</v>
      </c>
    </row>
    <row r="20028" spans="1:4" ht="25.5" customHeight="1" x14ac:dyDescent="0.2">
      <c r="C20028" s="16" t="s">
        <v>44</v>
      </c>
      <c r="D20028" s="6" t="str">
        <f>HYPERLINK("javascript:void(0)","törpe bakancs")</f>
        <v>törpe bakancs</v>
      </c>
    </row>
    <row r="20029" spans="1:4" ht="12.75" customHeight="1" x14ac:dyDescent="0.2">
      <c r="C20029" s="16" t="s">
        <v>44</v>
      </c>
      <c r="D20029" s="6" t="str">
        <f>HYPERLINK("javascript:void(0)","opál")</f>
        <v>opál</v>
      </c>
    </row>
    <row r="20030" spans="1:4" ht="12.75" customHeight="1" x14ac:dyDescent="0.2">
      <c r="B20030" s="2"/>
      <c r="C20030" s="15"/>
      <c r="D20030" s="2"/>
    </row>
    <row r="20031" spans="1:4" ht="12.75" customHeight="1" x14ac:dyDescent="0.2">
      <c r="B20031" s="2"/>
      <c r="C20031" s="15"/>
      <c r="D20031" s="2"/>
    </row>
    <row r="20032" spans="1:4" ht="12.75" customHeight="1" x14ac:dyDescent="0.2">
      <c r="A20032" s="13" t="s">
        <v>5853</v>
      </c>
      <c r="C20032" s="12"/>
    </row>
    <row r="20033" spans="1:4" ht="12.75" customHeight="1" x14ac:dyDescent="0.2">
      <c r="A20033" s="11"/>
      <c r="B20033" s="2"/>
      <c r="C20033" s="15"/>
      <c r="D20033" s="2"/>
    </row>
    <row r="20034" spans="1:4" ht="12.75" customHeight="1" x14ac:dyDescent="0.2">
      <c r="B20034" s="11" t="s">
        <v>0</v>
      </c>
      <c r="C20034" s="11" t="s">
        <v>1142</v>
      </c>
    </row>
    <row r="20035" spans="1:4" ht="12.75" customHeight="1" x14ac:dyDescent="0.2">
      <c r="B20035" s="11" t="s">
        <v>2599</v>
      </c>
      <c r="C20035" s="11" t="s">
        <v>5854</v>
      </c>
    </row>
    <row r="20036" spans="1:4" ht="25.5" customHeight="1" x14ac:dyDescent="0.2">
      <c r="B20036" s="11" t="s">
        <v>2600</v>
      </c>
      <c r="C20036" s="11" t="s">
        <v>5855</v>
      </c>
    </row>
    <row r="20037" spans="1:4" ht="25.5" customHeight="1" x14ac:dyDescent="0.2">
      <c r="B20037" s="11" t="s">
        <v>2601</v>
      </c>
      <c r="C20037" s="11"/>
    </row>
    <row r="20038" spans="1:4" ht="12.75" customHeight="1" x14ac:dyDescent="0.2">
      <c r="B20038" s="11" t="s">
        <v>16</v>
      </c>
      <c r="C20038" s="11"/>
    </row>
    <row r="20039" spans="1:4" ht="12.75" customHeight="1" x14ac:dyDescent="0.2">
      <c r="B20039" s="11" t="s">
        <v>13</v>
      </c>
      <c r="C20039" s="11" t="s">
        <v>2644</v>
      </c>
    </row>
    <row r="20040" spans="1:4" ht="12.75" customHeight="1" x14ac:dyDescent="0.2">
      <c r="B20040" s="11" t="s">
        <v>2603</v>
      </c>
      <c r="C20040" s="11" t="s">
        <v>2604</v>
      </c>
    </row>
    <row r="20041" spans="1:4" ht="12.75" customHeight="1" x14ac:dyDescent="0.2">
      <c r="B20041" s="11" t="s">
        <v>2605</v>
      </c>
      <c r="C20041" s="11" t="s">
        <v>14</v>
      </c>
    </row>
    <row r="20042" spans="1:4" ht="12.75" customHeight="1" x14ac:dyDescent="0.2">
      <c r="B20042" s="11" t="s">
        <v>2606</v>
      </c>
      <c r="C20042" s="16" t="s">
        <v>77</v>
      </c>
      <c r="D20042" s="6" t="str">
        <f>HYPERLINK("javascript:void(0)","koponya")</f>
        <v>koponya</v>
      </c>
    </row>
    <row r="20043" spans="1:4" ht="12.75" customHeight="1" x14ac:dyDescent="0.2">
      <c r="B20043" s="2"/>
      <c r="C20043" s="15"/>
      <c r="D20043" s="2"/>
    </row>
    <row r="20044" spans="1:4" ht="12.75" customHeight="1" x14ac:dyDescent="0.2">
      <c r="B20044" s="2"/>
      <c r="C20044" s="15"/>
      <c r="D20044" s="2"/>
    </row>
    <row r="20045" spans="1:4" ht="12.75" customHeight="1" x14ac:dyDescent="0.2">
      <c r="A20045" s="13" t="s">
        <v>5856</v>
      </c>
      <c r="C20045" s="12"/>
    </row>
    <row r="20046" spans="1:4" ht="12.75" customHeight="1" x14ac:dyDescent="0.2">
      <c r="A20046" s="11"/>
      <c r="B20046" s="2"/>
      <c r="C20046" s="15"/>
      <c r="D20046" s="2"/>
    </row>
    <row r="20047" spans="1:4" ht="12.75" customHeight="1" x14ac:dyDescent="0.2">
      <c r="B20047" s="11" t="s">
        <v>0</v>
      </c>
      <c r="C20047" s="11" t="s">
        <v>1142</v>
      </c>
    </row>
    <row r="20048" spans="1:4" ht="12.75" customHeight="1" x14ac:dyDescent="0.2">
      <c r="B20048" s="11" t="s">
        <v>2599</v>
      </c>
      <c r="C20048" s="11" t="s">
        <v>5857</v>
      </c>
    </row>
    <row r="20049" spans="1:4" ht="25.5" customHeight="1" x14ac:dyDescent="0.2">
      <c r="B20049" s="11" t="s">
        <v>2600</v>
      </c>
      <c r="C20049" s="11" t="s">
        <v>5858</v>
      </c>
    </row>
    <row r="20050" spans="1:4" ht="25.5" customHeight="1" x14ac:dyDescent="0.2">
      <c r="B20050" s="11" t="s">
        <v>2601</v>
      </c>
      <c r="C20050" s="11"/>
    </row>
    <row r="20051" spans="1:4" ht="12.75" customHeight="1" x14ac:dyDescent="0.2">
      <c r="B20051" s="11" t="s">
        <v>16</v>
      </c>
      <c r="C20051" s="11"/>
    </row>
    <row r="20052" spans="1:4" ht="12.75" customHeight="1" x14ac:dyDescent="0.2">
      <c r="B20052" s="11" t="s">
        <v>13</v>
      </c>
      <c r="C20052" s="11" t="s">
        <v>2602</v>
      </c>
    </row>
    <row r="20053" spans="1:4" ht="12.75" customHeight="1" x14ac:dyDescent="0.2">
      <c r="B20053" s="11" t="s">
        <v>2603</v>
      </c>
      <c r="C20053" s="11" t="s">
        <v>2604</v>
      </c>
    </row>
    <row r="20054" spans="1:4" ht="12.75" customHeight="1" x14ac:dyDescent="0.2">
      <c r="B20054" s="11" t="s">
        <v>2605</v>
      </c>
      <c r="C20054" s="11" t="s">
        <v>24</v>
      </c>
    </row>
    <row r="20055" spans="1:4" ht="12.75" customHeight="1" x14ac:dyDescent="0.2">
      <c r="B20055" s="11" t="s">
        <v>2606</v>
      </c>
      <c r="C20055" s="16" t="s">
        <v>55</v>
      </c>
      <c r="D20055" s="6" t="str">
        <f>HYPERLINK("javascript:void(0)","gigaköröm")</f>
        <v>gigaköröm</v>
      </c>
    </row>
    <row r="20056" spans="1:4" ht="12.75" customHeight="1" x14ac:dyDescent="0.2">
      <c r="C20056" s="16" t="s">
        <v>1379</v>
      </c>
      <c r="D20056" s="6" t="str">
        <f>HYPERLINK("javascript:void(0)","ezüst")</f>
        <v>ezüst</v>
      </c>
    </row>
    <row r="20057" spans="1:4" ht="12.75" customHeight="1" x14ac:dyDescent="0.2">
      <c r="B20057" s="2"/>
      <c r="C20057" s="15"/>
      <c r="D20057" s="2"/>
    </row>
    <row r="20058" spans="1:4" ht="12.75" customHeight="1" x14ac:dyDescent="0.2">
      <c r="B20058" s="2"/>
      <c r="C20058" s="15"/>
      <c r="D20058" s="2"/>
    </row>
    <row r="20059" spans="1:4" ht="12.75" customHeight="1" x14ac:dyDescent="0.2">
      <c r="A20059" s="13" t="s">
        <v>5859</v>
      </c>
      <c r="C20059" s="12"/>
    </row>
    <row r="20060" spans="1:4" ht="12.75" customHeight="1" x14ac:dyDescent="0.2">
      <c r="A20060" s="11"/>
      <c r="B20060" s="2"/>
      <c r="C20060" s="15"/>
      <c r="D20060" s="2"/>
    </row>
    <row r="20061" spans="1:4" ht="12.75" customHeight="1" x14ac:dyDescent="0.2">
      <c r="B20061" s="11" t="s">
        <v>0</v>
      </c>
      <c r="C20061" s="11" t="s">
        <v>1142</v>
      </c>
    </row>
    <row r="20062" spans="1:4" ht="12.75" customHeight="1" x14ac:dyDescent="0.2">
      <c r="B20062" s="11" t="s">
        <v>2599</v>
      </c>
      <c r="C20062" s="11" t="s">
        <v>528</v>
      </c>
    </row>
    <row r="20063" spans="1:4" ht="25.5" customHeight="1" x14ac:dyDescent="0.2">
      <c r="B20063" s="11" t="s">
        <v>2600</v>
      </c>
      <c r="C20063" s="11" t="s">
        <v>5860</v>
      </c>
    </row>
    <row r="20064" spans="1:4" ht="25.5" customHeight="1" x14ac:dyDescent="0.2">
      <c r="B20064" s="11" t="s">
        <v>2601</v>
      </c>
      <c r="C20064" s="11"/>
    </row>
    <row r="20065" spans="1:4" ht="12.75" customHeight="1" x14ac:dyDescent="0.2">
      <c r="B20065" s="11" t="s">
        <v>16</v>
      </c>
      <c r="C20065" s="11"/>
    </row>
    <row r="20066" spans="1:4" ht="12.75" customHeight="1" x14ac:dyDescent="0.2">
      <c r="B20066" s="11" t="s">
        <v>13</v>
      </c>
      <c r="C20066" s="11" t="s">
        <v>2602</v>
      </c>
    </row>
    <row r="20067" spans="1:4" ht="12.75" customHeight="1" x14ac:dyDescent="0.2">
      <c r="B20067" s="11" t="s">
        <v>2603</v>
      </c>
      <c r="C20067" s="11" t="s">
        <v>2604</v>
      </c>
    </row>
    <row r="20068" spans="1:4" ht="12.75" customHeight="1" x14ac:dyDescent="0.2">
      <c r="B20068" s="11" t="s">
        <v>2605</v>
      </c>
      <c r="C20068" s="11" t="s">
        <v>14</v>
      </c>
    </row>
    <row r="20069" spans="1:4" ht="12.75" customHeight="1" x14ac:dyDescent="0.2">
      <c r="B20069" s="11" t="s">
        <v>2606</v>
      </c>
      <c r="C20069" s="16" t="s">
        <v>67</v>
      </c>
      <c r="D20069" s="6" t="str">
        <f>HYPERLINK("javascript:void(0)","kincs")</f>
        <v>kincs</v>
      </c>
    </row>
    <row r="20070" spans="1:4" ht="12.75" customHeight="1" x14ac:dyDescent="0.2">
      <c r="C20070" s="16" t="s">
        <v>44</v>
      </c>
      <c r="D20070" s="6" t="str">
        <f>HYPERLINK("javascript:void(0)","térkép")</f>
        <v>térkép</v>
      </c>
    </row>
    <row r="20071" spans="1:4" ht="12.75" customHeight="1" x14ac:dyDescent="0.2">
      <c r="C20071" s="16" t="s">
        <v>44</v>
      </c>
      <c r="D20071" s="6" t="str">
        <f>HYPERLINK("javascript:void(0)","goblinbatka")</f>
        <v>goblinbatka</v>
      </c>
    </row>
    <row r="20072" spans="1:4" ht="12.75" customHeight="1" x14ac:dyDescent="0.2">
      <c r="B20072" s="2"/>
      <c r="C20072" s="15"/>
      <c r="D20072" s="2"/>
    </row>
    <row r="20073" spans="1:4" ht="12.75" customHeight="1" x14ac:dyDescent="0.2">
      <c r="B20073" s="2"/>
      <c r="C20073" s="15"/>
      <c r="D20073" s="2"/>
    </row>
    <row r="20074" spans="1:4" ht="12.75" customHeight="1" x14ac:dyDescent="0.2">
      <c r="A20074" s="13" t="s">
        <v>5861</v>
      </c>
      <c r="C20074" s="12"/>
    </row>
    <row r="20075" spans="1:4" ht="12.75" customHeight="1" x14ac:dyDescent="0.2">
      <c r="A20075" s="11"/>
      <c r="B20075" s="2"/>
      <c r="C20075" s="15"/>
      <c r="D20075" s="2"/>
    </row>
    <row r="20076" spans="1:4" ht="12.75" customHeight="1" x14ac:dyDescent="0.2">
      <c r="B20076" s="11" t="s">
        <v>0</v>
      </c>
      <c r="C20076" s="11" t="s">
        <v>1142</v>
      </c>
    </row>
    <row r="20077" spans="1:4" ht="12.75" customHeight="1" x14ac:dyDescent="0.2">
      <c r="B20077" s="11" t="s">
        <v>2599</v>
      </c>
      <c r="C20077" s="11" t="s">
        <v>1906</v>
      </c>
    </row>
    <row r="20078" spans="1:4" ht="25.5" customHeight="1" x14ac:dyDescent="0.2">
      <c r="B20078" s="11" t="s">
        <v>2600</v>
      </c>
      <c r="C20078" s="11" t="s">
        <v>5862</v>
      </c>
    </row>
    <row r="20079" spans="1:4" ht="25.5" customHeight="1" x14ac:dyDescent="0.2">
      <c r="B20079" s="11" t="s">
        <v>2601</v>
      </c>
      <c r="C20079" s="11"/>
    </row>
    <row r="20080" spans="1:4" ht="12.75" customHeight="1" x14ac:dyDescent="0.2">
      <c r="B20080" s="11" t="s">
        <v>16</v>
      </c>
      <c r="C20080" s="11"/>
    </row>
    <row r="20081" spans="1:4" ht="12.75" customHeight="1" x14ac:dyDescent="0.2">
      <c r="B20081" s="11" t="s">
        <v>13</v>
      </c>
      <c r="C20081" s="11" t="s">
        <v>2602</v>
      </c>
    </row>
    <row r="20082" spans="1:4" ht="12.75" customHeight="1" x14ac:dyDescent="0.2">
      <c r="B20082" s="11" t="s">
        <v>2603</v>
      </c>
      <c r="C20082" s="11" t="s">
        <v>2604</v>
      </c>
    </row>
    <row r="20083" spans="1:4" ht="12.75" customHeight="1" x14ac:dyDescent="0.2">
      <c r="B20083" s="11" t="s">
        <v>2605</v>
      </c>
      <c r="C20083" s="11" t="s">
        <v>24</v>
      </c>
    </row>
    <row r="20084" spans="1:4" ht="12.75" customHeight="1" x14ac:dyDescent="0.2">
      <c r="B20084" s="11" t="s">
        <v>2606</v>
      </c>
      <c r="C20084" s="16" t="s">
        <v>98</v>
      </c>
      <c r="D20084" s="6" t="str">
        <f>HYPERLINK("javascript:void(0)","savkristály")</f>
        <v>savkristály</v>
      </c>
    </row>
    <row r="20085" spans="1:4" ht="12.75" customHeight="1" x14ac:dyDescent="0.2">
      <c r="C20085" s="16" t="s">
        <v>77</v>
      </c>
      <c r="D20085" s="6" t="str">
        <f>HYPERLINK("javascript:void(0)","kincs")</f>
        <v>kincs</v>
      </c>
    </row>
    <row r="20086" spans="1:4" ht="12.75" customHeight="1" x14ac:dyDescent="0.2">
      <c r="B20086" s="2"/>
      <c r="C20086" s="15"/>
      <c r="D20086" s="2"/>
    </row>
    <row r="20087" spans="1:4" ht="12.75" customHeight="1" x14ac:dyDescent="0.2">
      <c r="B20087" s="2"/>
      <c r="C20087" s="15"/>
      <c r="D20087" s="2"/>
    </row>
    <row r="20088" spans="1:4" ht="12.75" customHeight="1" x14ac:dyDescent="0.2">
      <c r="A20088" s="13" t="s">
        <v>5863</v>
      </c>
      <c r="C20088" s="12"/>
    </row>
    <row r="20089" spans="1:4" ht="12.75" customHeight="1" x14ac:dyDescent="0.2">
      <c r="A20089" s="11"/>
      <c r="B20089" s="2"/>
      <c r="C20089" s="15"/>
      <c r="D20089" s="2"/>
    </row>
    <row r="20090" spans="1:4" ht="12.75" customHeight="1" x14ac:dyDescent="0.2">
      <c r="B20090" s="11" t="s">
        <v>0</v>
      </c>
      <c r="C20090" s="11" t="s">
        <v>1142</v>
      </c>
    </row>
    <row r="20091" spans="1:4" ht="12.75" customHeight="1" x14ac:dyDescent="0.2">
      <c r="B20091" s="11" t="s">
        <v>2599</v>
      </c>
      <c r="C20091" s="11" t="s">
        <v>3717</v>
      </c>
    </row>
    <row r="20092" spans="1:4" ht="25.5" customHeight="1" x14ac:dyDescent="0.2">
      <c r="B20092" s="11" t="s">
        <v>2600</v>
      </c>
      <c r="C20092" s="11" t="s">
        <v>5864</v>
      </c>
    </row>
    <row r="20093" spans="1:4" ht="25.5" customHeight="1" x14ac:dyDescent="0.2">
      <c r="B20093" s="11" t="s">
        <v>2601</v>
      </c>
      <c r="C20093" s="11"/>
    </row>
    <row r="20094" spans="1:4" ht="12.75" customHeight="1" x14ac:dyDescent="0.2">
      <c r="B20094" s="11" t="s">
        <v>16</v>
      </c>
      <c r="C20094" s="11"/>
    </row>
    <row r="20095" spans="1:4" ht="12.75" customHeight="1" x14ac:dyDescent="0.2">
      <c r="B20095" s="11" t="s">
        <v>13</v>
      </c>
      <c r="C20095" s="11" t="s">
        <v>2644</v>
      </c>
    </row>
    <row r="20096" spans="1:4" ht="12.75" customHeight="1" x14ac:dyDescent="0.2">
      <c r="B20096" s="11" t="s">
        <v>2603</v>
      </c>
      <c r="C20096" s="11" t="s">
        <v>2604</v>
      </c>
    </row>
    <row r="20097" spans="1:4" ht="12.75" customHeight="1" x14ac:dyDescent="0.2">
      <c r="B20097" s="11" t="s">
        <v>2605</v>
      </c>
      <c r="C20097" s="11" t="s">
        <v>24</v>
      </c>
    </row>
    <row r="20098" spans="1:4" ht="12.75" customHeight="1" x14ac:dyDescent="0.2">
      <c r="B20098" s="11" t="s">
        <v>2606</v>
      </c>
      <c r="C20098" s="16" t="s">
        <v>44</v>
      </c>
      <c r="D20098" s="6" t="str">
        <f>HYPERLINK("javascript:void(0)","bőrcsont")</f>
        <v>bőrcsont</v>
      </c>
    </row>
    <row r="20099" spans="1:4" ht="12.75" customHeight="1" x14ac:dyDescent="0.2">
      <c r="B20099" s="2"/>
      <c r="C20099" s="15"/>
      <c r="D20099" s="2"/>
    </row>
    <row r="20100" spans="1:4" ht="12.75" customHeight="1" x14ac:dyDescent="0.2">
      <c r="B20100" s="2"/>
      <c r="C20100" s="15"/>
      <c r="D20100" s="2"/>
    </row>
    <row r="20101" spans="1:4" ht="12.75" customHeight="1" x14ac:dyDescent="0.2">
      <c r="A20101" s="13" t="s">
        <v>5839</v>
      </c>
      <c r="C20101" s="12"/>
      <c r="D20101" s="2"/>
    </row>
    <row r="20102" spans="1:4" ht="12.75" customHeight="1" x14ac:dyDescent="0.2">
      <c r="A20102" s="11"/>
      <c r="B20102" s="2"/>
      <c r="C20102" s="15"/>
      <c r="D20102" s="2"/>
    </row>
    <row r="20103" spans="1:4" ht="12.75" customHeight="1" x14ac:dyDescent="0.2">
      <c r="B20103" s="11" t="s">
        <v>0</v>
      </c>
      <c r="C20103" s="17" t="s">
        <v>1142</v>
      </c>
      <c r="D20103" s="2"/>
    </row>
    <row r="20104" spans="1:4" ht="12.75" customHeight="1" x14ac:dyDescent="0.2">
      <c r="B20104" s="11" t="s">
        <v>2599</v>
      </c>
      <c r="C20104" s="17" t="s">
        <v>5687</v>
      </c>
      <c r="D20104" s="2"/>
    </row>
    <row r="20105" spans="1:4" ht="25.5" customHeight="1" x14ac:dyDescent="0.2">
      <c r="B20105" s="11" t="s">
        <v>2600</v>
      </c>
      <c r="C20105" s="17" t="s">
        <v>5865</v>
      </c>
      <c r="D20105" s="2"/>
    </row>
    <row r="20106" spans="1:4" ht="25.5" customHeight="1" x14ac:dyDescent="0.2">
      <c r="B20106" s="11" t="s">
        <v>2601</v>
      </c>
      <c r="C20106" s="17"/>
      <c r="D20106" s="2"/>
    </row>
    <row r="20107" spans="1:4" ht="12.75" customHeight="1" x14ac:dyDescent="0.2">
      <c r="B20107" s="11" t="s">
        <v>16</v>
      </c>
      <c r="C20107" s="17"/>
      <c r="D20107" s="2"/>
    </row>
    <row r="20108" spans="1:4" ht="12.75" customHeight="1" x14ac:dyDescent="0.2">
      <c r="B20108" s="11" t="s">
        <v>13</v>
      </c>
      <c r="C20108" s="17" t="s">
        <v>2644</v>
      </c>
      <c r="D20108" s="2"/>
    </row>
    <row r="20109" spans="1:4" ht="25.5" customHeight="1" x14ac:dyDescent="0.2">
      <c r="B20109" s="11" t="s">
        <v>2603</v>
      </c>
      <c r="C20109" s="17" t="s">
        <v>2971</v>
      </c>
      <c r="D20109" s="2"/>
    </row>
    <row r="20110" spans="1:4" ht="12.75" customHeight="1" x14ac:dyDescent="0.2">
      <c r="B20110" s="11" t="s">
        <v>2605</v>
      </c>
      <c r="C20110" s="17" t="s">
        <v>14</v>
      </c>
      <c r="D20110" s="2"/>
    </row>
    <row r="20111" spans="1:4" ht="12.75" customHeight="1" x14ac:dyDescent="0.2">
      <c r="B20111" s="11" t="s">
        <v>2606</v>
      </c>
      <c r="C20111" s="16" t="s">
        <v>19</v>
      </c>
      <c r="D20111" s="2"/>
    </row>
    <row r="20112" spans="1:4" ht="12.75" customHeight="1" x14ac:dyDescent="0.2">
      <c r="B20112" s="2"/>
      <c r="C20112" s="15"/>
      <c r="D20112" s="2"/>
    </row>
    <row r="20113" spans="1:4" ht="12.75" customHeight="1" x14ac:dyDescent="0.2">
      <c r="B20113" s="2"/>
      <c r="C20113" s="15"/>
      <c r="D20113" s="2"/>
    </row>
    <row r="20114" spans="1:4" ht="12.75" customHeight="1" x14ac:dyDescent="0.2">
      <c r="A20114" s="13" t="s">
        <v>5808</v>
      </c>
      <c r="C20114" s="12"/>
      <c r="D20114" s="2"/>
    </row>
    <row r="20115" spans="1:4" ht="12.75" customHeight="1" x14ac:dyDescent="0.2">
      <c r="A20115" s="11"/>
      <c r="B20115" s="2"/>
      <c r="C20115" s="15"/>
      <c r="D20115" s="2"/>
    </row>
    <row r="20116" spans="1:4" ht="12.75" customHeight="1" x14ac:dyDescent="0.2">
      <c r="B20116" s="11" t="s">
        <v>0</v>
      </c>
      <c r="C20116" s="17" t="s">
        <v>103</v>
      </c>
      <c r="D20116" s="2"/>
    </row>
    <row r="20117" spans="1:4" ht="12.75" customHeight="1" x14ac:dyDescent="0.2">
      <c r="B20117" s="11" t="s">
        <v>2599</v>
      </c>
      <c r="C20117" s="17" t="s">
        <v>3382</v>
      </c>
      <c r="D20117" s="2"/>
    </row>
    <row r="20118" spans="1:4" ht="25.5" customHeight="1" x14ac:dyDescent="0.2">
      <c r="B20118" s="11" t="s">
        <v>2600</v>
      </c>
      <c r="C20118" s="17" t="s">
        <v>5866</v>
      </c>
      <c r="D20118" s="2"/>
    </row>
    <row r="20119" spans="1:4" ht="25.5" customHeight="1" x14ac:dyDescent="0.2">
      <c r="B20119" s="11" t="s">
        <v>2601</v>
      </c>
      <c r="C20119" s="17"/>
      <c r="D20119" s="2"/>
    </row>
    <row r="20120" spans="1:4" ht="12.75" customHeight="1" x14ac:dyDescent="0.2">
      <c r="B20120" s="11" t="s">
        <v>16</v>
      </c>
      <c r="C20120" s="17"/>
      <c r="D20120" s="2"/>
    </row>
    <row r="20121" spans="1:4" ht="12.75" customHeight="1" x14ac:dyDescent="0.2">
      <c r="B20121" s="11" t="s">
        <v>13</v>
      </c>
      <c r="C20121" s="17" t="s">
        <v>2644</v>
      </c>
      <c r="D20121" s="2"/>
    </row>
    <row r="20122" spans="1:4" ht="25.5" customHeight="1" x14ac:dyDescent="0.2">
      <c r="B20122" s="11" t="s">
        <v>2603</v>
      </c>
      <c r="C20122" s="17" t="s">
        <v>2971</v>
      </c>
      <c r="D20122" s="2"/>
    </row>
    <row r="20123" spans="1:4" ht="12.75" customHeight="1" x14ac:dyDescent="0.2">
      <c r="B20123" s="11" t="s">
        <v>2605</v>
      </c>
      <c r="C20123" s="17" t="s">
        <v>14</v>
      </c>
      <c r="D20123" s="2"/>
    </row>
    <row r="20124" spans="1:4" ht="12.75" customHeight="1" x14ac:dyDescent="0.2">
      <c r="B20124" s="11" t="s">
        <v>2606</v>
      </c>
      <c r="C20124" s="16" t="s">
        <v>19</v>
      </c>
      <c r="D20124" s="2"/>
    </row>
    <row r="20125" spans="1:4" ht="12.75" customHeight="1" x14ac:dyDescent="0.2">
      <c r="B20125" s="2"/>
      <c r="C20125" s="15"/>
      <c r="D20125" s="2"/>
    </row>
    <row r="20126" spans="1:4" ht="12.75" customHeight="1" x14ac:dyDescent="0.2">
      <c r="B20126" s="2"/>
      <c r="C20126" s="15"/>
      <c r="D20126" s="2"/>
    </row>
    <row r="20127" spans="1:4" ht="12.75" customHeight="1" x14ac:dyDescent="0.2">
      <c r="A20127" s="13" t="s">
        <v>5810</v>
      </c>
      <c r="C20127" s="12"/>
      <c r="D20127" s="2"/>
    </row>
    <row r="20128" spans="1:4" ht="12.75" customHeight="1" x14ac:dyDescent="0.2">
      <c r="A20128" s="11"/>
      <c r="B20128" s="2"/>
      <c r="C20128" s="15"/>
      <c r="D20128" s="2"/>
    </row>
    <row r="20129" spans="1:4" ht="12.75" customHeight="1" x14ac:dyDescent="0.2">
      <c r="B20129" s="11" t="s">
        <v>0</v>
      </c>
      <c r="C20129" s="17" t="s">
        <v>103</v>
      </c>
      <c r="D20129" s="2"/>
    </row>
    <row r="20130" spans="1:4" ht="12.75" customHeight="1" x14ac:dyDescent="0.2">
      <c r="B20130" s="11" t="s">
        <v>2599</v>
      </c>
      <c r="C20130" s="17" t="s">
        <v>5811</v>
      </c>
      <c r="D20130" s="2"/>
    </row>
    <row r="20131" spans="1:4" ht="25.5" customHeight="1" x14ac:dyDescent="0.2">
      <c r="B20131" s="11" t="s">
        <v>2600</v>
      </c>
      <c r="C20131" s="17" t="s">
        <v>5867</v>
      </c>
      <c r="D20131" s="2"/>
    </row>
    <row r="20132" spans="1:4" ht="25.5" customHeight="1" x14ac:dyDescent="0.2">
      <c r="B20132" s="11" t="s">
        <v>2601</v>
      </c>
      <c r="C20132" s="17"/>
      <c r="D20132" s="2"/>
    </row>
    <row r="20133" spans="1:4" ht="12.75" customHeight="1" x14ac:dyDescent="0.2">
      <c r="B20133" s="11" t="s">
        <v>16</v>
      </c>
      <c r="C20133" s="17"/>
      <c r="D20133" s="2"/>
    </row>
    <row r="20134" spans="1:4" ht="12.75" customHeight="1" x14ac:dyDescent="0.2">
      <c r="B20134" s="11" t="s">
        <v>13</v>
      </c>
      <c r="C20134" s="17" t="s">
        <v>2644</v>
      </c>
      <c r="D20134" s="2"/>
    </row>
    <row r="20135" spans="1:4" ht="25.5" customHeight="1" x14ac:dyDescent="0.2">
      <c r="B20135" s="11" t="s">
        <v>2603</v>
      </c>
      <c r="C20135" s="17" t="s">
        <v>2971</v>
      </c>
      <c r="D20135" s="2"/>
    </row>
    <row r="20136" spans="1:4" ht="12.75" customHeight="1" x14ac:dyDescent="0.2">
      <c r="B20136" s="11" t="s">
        <v>2605</v>
      </c>
      <c r="C20136" s="17" t="s">
        <v>14</v>
      </c>
      <c r="D20136" s="2"/>
    </row>
    <row r="20137" spans="1:4" ht="12.75" customHeight="1" x14ac:dyDescent="0.2">
      <c r="B20137" s="11" t="s">
        <v>2606</v>
      </c>
      <c r="C20137" s="16" t="s">
        <v>19</v>
      </c>
      <c r="D20137" s="2"/>
    </row>
    <row r="20138" spans="1:4" ht="12.75" customHeight="1" x14ac:dyDescent="0.2">
      <c r="B20138" s="2"/>
      <c r="C20138" s="15"/>
      <c r="D20138" s="2"/>
    </row>
    <row r="20139" spans="1:4" ht="12.75" customHeight="1" x14ac:dyDescent="0.2">
      <c r="B20139" s="2"/>
      <c r="C20139" s="15"/>
      <c r="D20139" s="2"/>
    </row>
    <row r="20140" spans="1:4" ht="12.75" customHeight="1" x14ac:dyDescent="0.2">
      <c r="A20140" s="13" t="s">
        <v>5813</v>
      </c>
      <c r="C20140" s="12"/>
      <c r="D20140" s="2"/>
    </row>
    <row r="20141" spans="1:4" ht="12.75" customHeight="1" x14ac:dyDescent="0.2">
      <c r="A20141" s="11"/>
      <c r="B20141" s="2"/>
      <c r="C20141" s="15"/>
      <c r="D20141" s="2"/>
    </row>
    <row r="20142" spans="1:4" ht="12.75" customHeight="1" x14ac:dyDescent="0.2">
      <c r="B20142" s="11" t="s">
        <v>0</v>
      </c>
      <c r="C20142" s="17" t="s">
        <v>103</v>
      </c>
      <c r="D20142" s="2"/>
    </row>
    <row r="20143" spans="1:4" ht="12.75" customHeight="1" x14ac:dyDescent="0.2">
      <c r="B20143" s="11" t="s">
        <v>2599</v>
      </c>
      <c r="C20143" s="17" t="s">
        <v>5684</v>
      </c>
      <c r="D20143" s="2"/>
    </row>
    <row r="20144" spans="1:4" ht="25.5" customHeight="1" x14ac:dyDescent="0.2">
      <c r="B20144" s="11" t="s">
        <v>2600</v>
      </c>
      <c r="C20144" s="17" t="s">
        <v>5868</v>
      </c>
      <c r="D20144" s="2"/>
    </row>
    <row r="20145" spans="1:4" ht="25.5" customHeight="1" x14ac:dyDescent="0.2">
      <c r="B20145" s="11" t="s">
        <v>2601</v>
      </c>
      <c r="C20145" s="17"/>
      <c r="D20145" s="2"/>
    </row>
    <row r="20146" spans="1:4" ht="12.75" customHeight="1" x14ac:dyDescent="0.2">
      <c r="B20146" s="11" t="s">
        <v>16</v>
      </c>
      <c r="C20146" s="17"/>
      <c r="D20146" s="2"/>
    </row>
    <row r="20147" spans="1:4" ht="12.75" customHeight="1" x14ac:dyDescent="0.2">
      <c r="B20147" s="11" t="s">
        <v>13</v>
      </c>
      <c r="C20147" s="17" t="s">
        <v>2602</v>
      </c>
      <c r="D20147" s="2"/>
    </row>
    <row r="20148" spans="1:4" ht="25.5" customHeight="1" x14ac:dyDescent="0.2">
      <c r="B20148" s="11" t="s">
        <v>2603</v>
      </c>
      <c r="C20148" s="17" t="s">
        <v>2971</v>
      </c>
      <c r="D20148" s="2"/>
    </row>
    <row r="20149" spans="1:4" ht="12.75" customHeight="1" x14ac:dyDescent="0.2">
      <c r="B20149" s="11" t="s">
        <v>2605</v>
      </c>
      <c r="C20149" s="17" t="s">
        <v>14</v>
      </c>
      <c r="D20149" s="2"/>
    </row>
    <row r="20150" spans="1:4" ht="12.75" customHeight="1" x14ac:dyDescent="0.2">
      <c r="B20150" s="11" t="s">
        <v>2606</v>
      </c>
      <c r="C20150" s="16" t="s">
        <v>19</v>
      </c>
      <c r="D20150" s="2"/>
    </row>
    <row r="20151" spans="1:4" ht="12.75" customHeight="1" x14ac:dyDescent="0.2">
      <c r="B20151" s="2"/>
      <c r="C20151" s="15"/>
      <c r="D20151" s="2"/>
    </row>
    <row r="20152" spans="1:4" ht="12.75" customHeight="1" x14ac:dyDescent="0.2">
      <c r="B20152" s="2"/>
      <c r="C20152" s="15"/>
      <c r="D20152" s="2"/>
    </row>
    <row r="20153" spans="1:4" ht="12.75" customHeight="1" x14ac:dyDescent="0.2">
      <c r="A20153" s="13" t="s">
        <v>5869</v>
      </c>
      <c r="C20153" s="12"/>
    </row>
    <row r="20154" spans="1:4" ht="12.75" customHeight="1" x14ac:dyDescent="0.2">
      <c r="A20154" s="11"/>
      <c r="B20154" s="2"/>
      <c r="C20154" s="15"/>
      <c r="D20154" s="2"/>
    </row>
    <row r="20155" spans="1:4" ht="12.75" customHeight="1" x14ac:dyDescent="0.2">
      <c r="B20155" s="11" t="s">
        <v>0</v>
      </c>
      <c r="C20155" s="11" t="s">
        <v>103</v>
      </c>
    </row>
    <row r="20156" spans="1:4" ht="12.75" customHeight="1" x14ac:dyDescent="0.2">
      <c r="B20156" s="11" t="s">
        <v>2599</v>
      </c>
      <c r="C20156" s="11" t="s">
        <v>5870</v>
      </c>
    </row>
    <row r="20157" spans="1:4" ht="25.5" customHeight="1" x14ac:dyDescent="0.2">
      <c r="B20157" s="11" t="s">
        <v>2600</v>
      </c>
      <c r="C20157" s="11" t="s">
        <v>5871</v>
      </c>
    </row>
    <row r="20158" spans="1:4" ht="25.5" customHeight="1" x14ac:dyDescent="0.2">
      <c r="B20158" s="11" t="s">
        <v>2601</v>
      </c>
      <c r="C20158" s="11"/>
    </row>
    <row r="20159" spans="1:4" ht="12.75" customHeight="1" x14ac:dyDescent="0.2">
      <c r="B20159" s="11" t="s">
        <v>16</v>
      </c>
      <c r="C20159" s="11"/>
    </row>
    <row r="20160" spans="1:4" ht="12.75" customHeight="1" x14ac:dyDescent="0.2">
      <c r="B20160" s="11" t="s">
        <v>13</v>
      </c>
      <c r="C20160" s="11" t="s">
        <v>2602</v>
      </c>
    </row>
    <row r="20161" spans="1:4" ht="12.75" customHeight="1" x14ac:dyDescent="0.2">
      <c r="B20161" s="11" t="s">
        <v>2603</v>
      </c>
      <c r="C20161" s="11" t="s">
        <v>2604</v>
      </c>
    </row>
    <row r="20162" spans="1:4" ht="12.75" customHeight="1" x14ac:dyDescent="0.2">
      <c r="B20162" s="11" t="s">
        <v>2605</v>
      </c>
      <c r="C20162" s="11" t="s">
        <v>24</v>
      </c>
    </row>
    <row r="20163" spans="1:4" ht="12.75" customHeight="1" x14ac:dyDescent="0.2">
      <c r="B20163" s="11" t="s">
        <v>2606</v>
      </c>
      <c r="C20163" s="16" t="s">
        <v>139</v>
      </c>
      <c r="D20163" s="6" t="str">
        <f>HYPERLINK("javascript:void(0)","kincs")</f>
        <v>kincs</v>
      </c>
    </row>
    <row r="20164" spans="1:4" ht="12.75" customHeight="1" x14ac:dyDescent="0.2">
      <c r="B20164" s="2"/>
      <c r="C20164" s="15"/>
      <c r="D20164" s="2"/>
    </row>
    <row r="20165" spans="1:4" ht="12.75" customHeight="1" x14ac:dyDescent="0.2">
      <c r="B20165" s="2"/>
      <c r="C20165" s="15"/>
      <c r="D20165" s="2"/>
    </row>
    <row r="20166" spans="1:4" ht="12.75" customHeight="1" x14ac:dyDescent="0.2">
      <c r="A20166" s="13" t="s">
        <v>5872</v>
      </c>
      <c r="C20166" s="12"/>
    </row>
    <row r="20167" spans="1:4" ht="12.75" customHeight="1" x14ac:dyDescent="0.2">
      <c r="A20167" s="11"/>
      <c r="B20167" s="2"/>
      <c r="C20167" s="15"/>
      <c r="D20167" s="2"/>
    </row>
    <row r="20168" spans="1:4" ht="12.75" customHeight="1" x14ac:dyDescent="0.2">
      <c r="B20168" s="11" t="s">
        <v>0</v>
      </c>
      <c r="C20168" s="11" t="s">
        <v>103</v>
      </c>
    </row>
    <row r="20169" spans="1:4" ht="12.75" customHeight="1" x14ac:dyDescent="0.2">
      <c r="B20169" s="11" t="s">
        <v>2599</v>
      </c>
      <c r="C20169" s="11" t="s">
        <v>5873</v>
      </c>
    </row>
    <row r="20170" spans="1:4" ht="25.5" customHeight="1" x14ac:dyDescent="0.2">
      <c r="B20170" s="11" t="s">
        <v>2600</v>
      </c>
      <c r="C20170" s="11" t="s">
        <v>5874</v>
      </c>
    </row>
    <row r="20171" spans="1:4" ht="25.5" customHeight="1" x14ac:dyDescent="0.2">
      <c r="B20171" s="11" t="s">
        <v>2601</v>
      </c>
      <c r="C20171" s="11"/>
    </row>
    <row r="20172" spans="1:4" ht="12.75" customHeight="1" x14ac:dyDescent="0.2">
      <c r="B20172" s="11" t="s">
        <v>16</v>
      </c>
      <c r="C20172" s="11"/>
    </row>
    <row r="20173" spans="1:4" ht="12.75" customHeight="1" x14ac:dyDescent="0.2">
      <c r="B20173" s="11" t="s">
        <v>13</v>
      </c>
      <c r="C20173" s="11" t="s">
        <v>2644</v>
      </c>
    </row>
    <row r="20174" spans="1:4" ht="12.75" customHeight="1" x14ac:dyDescent="0.2">
      <c r="B20174" s="11" t="s">
        <v>2603</v>
      </c>
      <c r="C20174" s="11" t="s">
        <v>2604</v>
      </c>
    </row>
    <row r="20175" spans="1:4" ht="12.75" customHeight="1" x14ac:dyDescent="0.2">
      <c r="B20175" s="11" t="s">
        <v>2605</v>
      </c>
      <c r="C20175" s="11" t="s">
        <v>24</v>
      </c>
    </row>
    <row r="20176" spans="1:4" ht="25.5" customHeight="1" x14ac:dyDescent="0.2">
      <c r="B20176" s="11" t="s">
        <v>2606</v>
      </c>
      <c r="C20176" s="16" t="s">
        <v>56</v>
      </c>
      <c r="D20176" s="6" t="str">
        <f>HYPERLINK("javascript:void(0)","lábszárcsont")</f>
        <v>lábszárcsont</v>
      </c>
    </row>
    <row r="20177" spans="1:4" ht="12.75" customHeight="1" x14ac:dyDescent="0.2">
      <c r="C20177" s="16" t="s">
        <v>56</v>
      </c>
      <c r="D20177" s="6" t="str">
        <f>HYPERLINK("javascript:void(0)","zombiszem")</f>
        <v>zombiszem</v>
      </c>
    </row>
    <row r="20178" spans="1:4" ht="12.75" customHeight="1" x14ac:dyDescent="0.2">
      <c r="B20178" s="2"/>
      <c r="C20178" s="15"/>
      <c r="D20178" s="2"/>
    </row>
    <row r="20179" spans="1:4" ht="12.75" customHeight="1" x14ac:dyDescent="0.2">
      <c r="B20179" s="2"/>
      <c r="C20179" s="15"/>
      <c r="D20179" s="2"/>
    </row>
    <row r="20180" spans="1:4" ht="12.75" customHeight="1" x14ac:dyDescent="0.2">
      <c r="A20180" s="13" t="s">
        <v>5875</v>
      </c>
      <c r="C20180" s="12"/>
    </row>
    <row r="20181" spans="1:4" ht="12.75" customHeight="1" x14ac:dyDescent="0.2">
      <c r="A20181" s="11"/>
      <c r="B20181" s="2"/>
      <c r="C20181" s="15"/>
      <c r="D20181" s="2"/>
    </row>
    <row r="20182" spans="1:4" ht="12.75" customHeight="1" x14ac:dyDescent="0.2">
      <c r="B20182" s="11" t="s">
        <v>0</v>
      </c>
      <c r="C20182" s="11" t="s">
        <v>103</v>
      </c>
    </row>
    <row r="20183" spans="1:4" ht="12.75" customHeight="1" x14ac:dyDescent="0.2">
      <c r="B20183" s="11" t="s">
        <v>2599</v>
      </c>
      <c r="C20183" s="11" t="s">
        <v>5876</v>
      </c>
    </row>
    <row r="20184" spans="1:4" ht="25.5" customHeight="1" x14ac:dyDescent="0.2">
      <c r="B20184" s="11" t="s">
        <v>2600</v>
      </c>
      <c r="C20184" s="11" t="s">
        <v>5877</v>
      </c>
    </row>
    <row r="20185" spans="1:4" ht="25.5" customHeight="1" x14ac:dyDescent="0.2">
      <c r="B20185" s="11" t="s">
        <v>2601</v>
      </c>
      <c r="C20185" s="11"/>
    </row>
    <row r="20186" spans="1:4" ht="12.75" customHeight="1" x14ac:dyDescent="0.2">
      <c r="B20186" s="11" t="s">
        <v>16</v>
      </c>
      <c r="C20186" s="11"/>
    </row>
    <row r="20187" spans="1:4" ht="12.75" customHeight="1" x14ac:dyDescent="0.2">
      <c r="B20187" s="11" t="s">
        <v>13</v>
      </c>
      <c r="C20187" s="11" t="s">
        <v>2644</v>
      </c>
    </row>
    <row r="20188" spans="1:4" ht="12.75" customHeight="1" x14ac:dyDescent="0.2">
      <c r="B20188" s="11" t="s">
        <v>2603</v>
      </c>
      <c r="C20188" s="11" t="s">
        <v>2604</v>
      </c>
    </row>
    <row r="20189" spans="1:4" ht="12.75" customHeight="1" x14ac:dyDescent="0.2">
      <c r="B20189" s="11" t="s">
        <v>2605</v>
      </c>
      <c r="C20189" s="11" t="s">
        <v>24</v>
      </c>
    </row>
    <row r="20190" spans="1:4" ht="12.75" customHeight="1" x14ac:dyDescent="0.2">
      <c r="B20190" s="11" t="s">
        <v>2606</v>
      </c>
      <c r="C20190" s="16" t="s">
        <v>44</v>
      </c>
      <c r="D20190" s="6" t="str">
        <f>HYPERLINK("javascript:void(0)","vakond bőr")</f>
        <v>vakond bőr</v>
      </c>
    </row>
    <row r="20191" spans="1:4" ht="25.5" customHeight="1" x14ac:dyDescent="0.2">
      <c r="C20191" s="16" t="s">
        <v>67</v>
      </c>
      <c r="D20191" s="6" t="str">
        <f>HYPERLINK("javascript:void(0)","szúnyogszárny")</f>
        <v>szúnyogszárny</v>
      </c>
    </row>
    <row r="20192" spans="1:4" ht="12.75" customHeight="1" x14ac:dyDescent="0.2">
      <c r="B20192" s="2"/>
      <c r="C20192" s="15"/>
      <c r="D20192" s="2"/>
    </row>
    <row r="20193" spans="1:4" ht="12.75" customHeight="1" x14ac:dyDescent="0.2">
      <c r="B20193" s="2"/>
      <c r="C20193" s="15"/>
      <c r="D20193" s="2"/>
    </row>
    <row r="20194" spans="1:4" ht="12.75" customHeight="1" x14ac:dyDescent="0.2">
      <c r="A20194" s="13" t="s">
        <v>5879</v>
      </c>
      <c r="C20194" s="12"/>
    </row>
    <row r="20195" spans="1:4" ht="12.75" customHeight="1" x14ac:dyDescent="0.2">
      <c r="A20195" s="11"/>
      <c r="B20195" s="2"/>
      <c r="C20195" s="15"/>
      <c r="D20195" s="2"/>
    </row>
    <row r="20196" spans="1:4" ht="12.75" customHeight="1" x14ac:dyDescent="0.2">
      <c r="B20196" s="11" t="s">
        <v>0</v>
      </c>
      <c r="C20196" s="11" t="s">
        <v>103</v>
      </c>
    </row>
    <row r="20197" spans="1:4" ht="12.75" customHeight="1" x14ac:dyDescent="0.2">
      <c r="B20197" s="11" t="s">
        <v>2599</v>
      </c>
      <c r="C20197" s="11" t="s">
        <v>5880</v>
      </c>
    </row>
    <row r="20198" spans="1:4" ht="25.5" customHeight="1" x14ac:dyDescent="0.2">
      <c r="B20198" s="11" t="s">
        <v>2600</v>
      </c>
      <c r="C20198" s="11" t="s">
        <v>5881</v>
      </c>
    </row>
    <row r="20199" spans="1:4" ht="25.5" customHeight="1" x14ac:dyDescent="0.2">
      <c r="B20199" s="11" t="s">
        <v>2601</v>
      </c>
      <c r="C20199" s="11"/>
    </row>
    <row r="20200" spans="1:4" ht="12.75" customHeight="1" x14ac:dyDescent="0.2">
      <c r="B20200" s="11" t="s">
        <v>16</v>
      </c>
      <c r="C20200" s="11"/>
    </row>
    <row r="20201" spans="1:4" ht="12.75" customHeight="1" x14ac:dyDescent="0.2">
      <c r="B20201" s="11" t="s">
        <v>13</v>
      </c>
      <c r="C20201" s="11" t="s">
        <v>2644</v>
      </c>
    </row>
    <row r="20202" spans="1:4" ht="12.75" customHeight="1" x14ac:dyDescent="0.2">
      <c r="B20202" s="11" t="s">
        <v>2603</v>
      </c>
      <c r="C20202" s="11" t="s">
        <v>2604</v>
      </c>
    </row>
    <row r="20203" spans="1:4" ht="12.75" customHeight="1" x14ac:dyDescent="0.2">
      <c r="B20203" s="11" t="s">
        <v>2605</v>
      </c>
      <c r="C20203" s="11" t="s">
        <v>14</v>
      </c>
    </row>
    <row r="20204" spans="1:4" ht="12.75" customHeight="1" x14ac:dyDescent="0.2">
      <c r="B20204" s="11" t="s">
        <v>2606</v>
      </c>
      <c r="C20204" s="16" t="s">
        <v>77</v>
      </c>
      <c r="D20204" s="6" t="str">
        <f>HYPERLINK("javascript:void(0)","vízige")</f>
        <v>vízige</v>
      </c>
    </row>
    <row r="20205" spans="1:4" ht="12.75" customHeight="1" x14ac:dyDescent="0.2">
      <c r="C20205" s="16" t="s">
        <v>67</v>
      </c>
      <c r="D20205" s="6" t="str">
        <f>HYPERLINK("javascript:void(0)","kincs")</f>
        <v>kincs</v>
      </c>
    </row>
    <row r="20206" spans="1:4" ht="12.75" customHeight="1" x14ac:dyDescent="0.2">
      <c r="B20206" s="2"/>
      <c r="C20206" s="15"/>
      <c r="D20206" s="2"/>
    </row>
    <row r="20207" spans="1:4" ht="12.75" customHeight="1" x14ac:dyDescent="0.2">
      <c r="B20207" s="2"/>
      <c r="C20207" s="15"/>
      <c r="D20207" s="2"/>
    </row>
    <row r="20208" spans="1:4" ht="12.75" customHeight="1" x14ac:dyDescent="0.2">
      <c r="A20208" s="13" t="s">
        <v>5882</v>
      </c>
      <c r="C20208" s="12"/>
    </row>
    <row r="20209" spans="1:4" ht="12.75" customHeight="1" x14ac:dyDescent="0.2">
      <c r="A20209" s="11"/>
      <c r="B20209" s="2"/>
      <c r="C20209" s="15"/>
      <c r="D20209" s="2"/>
    </row>
    <row r="20210" spans="1:4" ht="12.75" customHeight="1" x14ac:dyDescent="0.2">
      <c r="B20210" s="11" t="s">
        <v>0</v>
      </c>
      <c r="C20210" s="11" t="s">
        <v>103</v>
      </c>
    </row>
    <row r="20211" spans="1:4" ht="12.75" customHeight="1" x14ac:dyDescent="0.2">
      <c r="B20211" s="11" t="s">
        <v>2599</v>
      </c>
      <c r="C20211" s="11" t="s">
        <v>5883</v>
      </c>
    </row>
    <row r="20212" spans="1:4" ht="25.5" customHeight="1" x14ac:dyDescent="0.2">
      <c r="B20212" s="11" t="s">
        <v>2600</v>
      </c>
      <c r="C20212" s="11" t="s">
        <v>5884</v>
      </c>
    </row>
    <row r="20213" spans="1:4" ht="25.5" customHeight="1" x14ac:dyDescent="0.2">
      <c r="B20213" s="11" t="s">
        <v>2601</v>
      </c>
      <c r="C20213" s="11"/>
    </row>
    <row r="20214" spans="1:4" ht="12.75" customHeight="1" x14ac:dyDescent="0.2">
      <c r="B20214" s="11" t="s">
        <v>16</v>
      </c>
      <c r="C20214" s="11"/>
    </row>
    <row r="20215" spans="1:4" ht="12.75" customHeight="1" x14ac:dyDescent="0.2">
      <c r="B20215" s="11" t="s">
        <v>13</v>
      </c>
      <c r="C20215" s="11" t="s">
        <v>2602</v>
      </c>
    </row>
    <row r="20216" spans="1:4" ht="12.75" customHeight="1" x14ac:dyDescent="0.2">
      <c r="B20216" s="11" t="s">
        <v>2603</v>
      </c>
      <c r="C20216" s="11" t="s">
        <v>2604</v>
      </c>
    </row>
    <row r="20217" spans="1:4" ht="12.75" customHeight="1" x14ac:dyDescent="0.2">
      <c r="B20217" s="11" t="s">
        <v>2605</v>
      </c>
      <c r="C20217" s="11" t="s">
        <v>14</v>
      </c>
    </row>
    <row r="20218" spans="1:4" ht="12.75" customHeight="1" x14ac:dyDescent="0.2">
      <c r="B20218" s="11" t="s">
        <v>2606</v>
      </c>
      <c r="C20218" s="16" t="s">
        <v>44</v>
      </c>
      <c r="D20218" s="6" t="str">
        <f>HYPERLINK("javascript:void(0)","kitinpenge")</f>
        <v>kitinpenge</v>
      </c>
    </row>
    <row r="20219" spans="1:4" ht="25.5" customHeight="1" x14ac:dyDescent="0.2">
      <c r="C20219" s="16" t="s">
        <v>56</v>
      </c>
      <c r="D20219" s="6" t="str">
        <f>HYPERLINK("javascript:void(0)","méregmirigy")</f>
        <v>méregmirigy</v>
      </c>
    </row>
    <row r="20220" spans="1:4" ht="12.75" customHeight="1" x14ac:dyDescent="0.2">
      <c r="B20220" s="2"/>
      <c r="C20220" s="15"/>
      <c r="D20220" s="2"/>
    </row>
    <row r="20221" spans="1:4" ht="12.75" customHeight="1" x14ac:dyDescent="0.2">
      <c r="B20221" s="2"/>
      <c r="C20221" s="15"/>
      <c r="D20221" s="2"/>
    </row>
    <row r="20222" spans="1:4" ht="12.75" customHeight="1" x14ac:dyDescent="0.2">
      <c r="A20222" s="13" t="s">
        <v>5887</v>
      </c>
      <c r="C20222" s="12"/>
    </row>
    <row r="20223" spans="1:4" ht="12.75" customHeight="1" x14ac:dyDescent="0.2">
      <c r="A20223" s="11"/>
      <c r="B20223" s="2"/>
      <c r="C20223" s="15"/>
      <c r="D20223" s="2"/>
    </row>
    <row r="20224" spans="1:4" ht="12.75" customHeight="1" x14ac:dyDescent="0.2">
      <c r="B20224" s="11" t="s">
        <v>0</v>
      </c>
      <c r="C20224" s="11" t="s">
        <v>103</v>
      </c>
    </row>
    <row r="20225" spans="1:4" ht="12.75" customHeight="1" x14ac:dyDescent="0.2">
      <c r="B20225" s="11" t="s">
        <v>2599</v>
      </c>
      <c r="C20225" s="11" t="s">
        <v>5712</v>
      </c>
    </row>
    <row r="20226" spans="1:4" ht="25.5" customHeight="1" x14ac:dyDescent="0.2">
      <c r="B20226" s="11" t="s">
        <v>2600</v>
      </c>
      <c r="C20226" s="11" t="s">
        <v>5888</v>
      </c>
    </row>
    <row r="20227" spans="1:4" ht="25.5" customHeight="1" x14ac:dyDescent="0.2">
      <c r="B20227" s="11" t="s">
        <v>2601</v>
      </c>
      <c r="C20227" s="11"/>
    </row>
    <row r="20228" spans="1:4" ht="12.75" customHeight="1" x14ac:dyDescent="0.2">
      <c r="B20228" s="11" t="s">
        <v>16</v>
      </c>
      <c r="C20228" s="11"/>
    </row>
    <row r="20229" spans="1:4" ht="12.75" customHeight="1" x14ac:dyDescent="0.2">
      <c r="B20229" s="11" t="s">
        <v>13</v>
      </c>
      <c r="C20229" s="11" t="s">
        <v>2602</v>
      </c>
    </row>
    <row r="20230" spans="1:4" ht="12.75" customHeight="1" x14ac:dyDescent="0.2">
      <c r="B20230" s="11" t="s">
        <v>2603</v>
      </c>
      <c r="C20230" s="11" t="s">
        <v>2604</v>
      </c>
    </row>
    <row r="20231" spans="1:4" ht="12.75" customHeight="1" x14ac:dyDescent="0.2">
      <c r="B20231" s="11" t="s">
        <v>2605</v>
      </c>
      <c r="C20231" s="11" t="s">
        <v>14</v>
      </c>
    </row>
    <row r="20232" spans="1:4" ht="12.75" customHeight="1" x14ac:dyDescent="0.2">
      <c r="B20232" s="11" t="s">
        <v>2606</v>
      </c>
      <c r="C20232" s="16" t="s">
        <v>98</v>
      </c>
      <c r="D20232" s="6" t="str">
        <f>HYPERLINK("javascript:void(0)","savkristály")</f>
        <v>savkristály</v>
      </c>
    </row>
    <row r="20233" spans="1:4" ht="25.5" customHeight="1" x14ac:dyDescent="0.2">
      <c r="C20233" s="16" t="s">
        <v>44</v>
      </c>
      <c r="D20233" s="6" t="str">
        <f>HYPERLINK("javascript:void(0)","méregcsepp")</f>
        <v>méregcsepp</v>
      </c>
    </row>
    <row r="20234" spans="1:4" ht="12.75" customHeight="1" x14ac:dyDescent="0.2">
      <c r="B20234" s="2"/>
      <c r="C20234" s="15"/>
      <c r="D20234" s="2"/>
    </row>
    <row r="20235" spans="1:4" ht="12.75" customHeight="1" x14ac:dyDescent="0.2">
      <c r="B20235" s="2"/>
      <c r="C20235" s="15"/>
      <c r="D20235" s="2"/>
    </row>
    <row r="20236" spans="1:4" ht="12.75" customHeight="1" x14ac:dyDescent="0.2">
      <c r="A20236" s="13" t="s">
        <v>5889</v>
      </c>
      <c r="C20236" s="12"/>
    </row>
    <row r="20237" spans="1:4" ht="12.75" customHeight="1" x14ac:dyDescent="0.2">
      <c r="A20237" s="11"/>
      <c r="B20237" s="2"/>
      <c r="C20237" s="15"/>
      <c r="D20237" s="2"/>
    </row>
    <row r="20238" spans="1:4" ht="12.75" customHeight="1" x14ac:dyDescent="0.2">
      <c r="B20238" s="11" t="s">
        <v>0</v>
      </c>
      <c r="C20238" s="11" t="s">
        <v>103</v>
      </c>
    </row>
    <row r="20239" spans="1:4" ht="12.75" customHeight="1" x14ac:dyDescent="0.2">
      <c r="B20239" s="11" t="s">
        <v>2599</v>
      </c>
      <c r="C20239" s="11" t="s">
        <v>5890</v>
      </c>
    </row>
    <row r="20240" spans="1:4" ht="25.5" customHeight="1" x14ac:dyDescent="0.2">
      <c r="B20240" s="11" t="s">
        <v>2600</v>
      </c>
      <c r="C20240" s="11" t="s">
        <v>5891</v>
      </c>
    </row>
    <row r="20241" spans="1:4" ht="25.5" customHeight="1" x14ac:dyDescent="0.2">
      <c r="B20241" s="11" t="s">
        <v>2601</v>
      </c>
      <c r="C20241" s="11"/>
    </row>
    <row r="20242" spans="1:4" ht="12.75" customHeight="1" x14ac:dyDescent="0.2">
      <c r="B20242" s="11" t="s">
        <v>16</v>
      </c>
      <c r="C20242" s="11"/>
    </row>
    <row r="20243" spans="1:4" ht="12.75" customHeight="1" x14ac:dyDescent="0.2">
      <c r="B20243" s="11" t="s">
        <v>13</v>
      </c>
      <c r="C20243" s="11" t="s">
        <v>2602</v>
      </c>
    </row>
    <row r="20244" spans="1:4" ht="12.75" customHeight="1" x14ac:dyDescent="0.2">
      <c r="B20244" s="11" t="s">
        <v>2603</v>
      </c>
      <c r="C20244" s="11" t="s">
        <v>2604</v>
      </c>
    </row>
    <row r="20245" spans="1:4" ht="12.75" customHeight="1" x14ac:dyDescent="0.2">
      <c r="B20245" s="11" t="s">
        <v>2605</v>
      </c>
      <c r="C20245" s="11" t="s">
        <v>14</v>
      </c>
    </row>
    <row r="20246" spans="1:4" ht="12.75" customHeight="1" x14ac:dyDescent="0.2">
      <c r="B20246" s="11" t="s">
        <v>2606</v>
      </c>
      <c r="C20246" s="16" t="s">
        <v>67</v>
      </c>
      <c r="D20246" s="6" t="str">
        <f>HYPERLINK("javascript:void(0)","gyöngy")</f>
        <v>gyöngy</v>
      </c>
    </row>
    <row r="20247" spans="1:4" ht="12.75" customHeight="1" x14ac:dyDescent="0.2">
      <c r="C20247" s="16" t="s">
        <v>55</v>
      </c>
      <c r="D20247" s="6" t="str">
        <f>HYPERLINK("javascript:void(0)","fügetövis")</f>
        <v>fügetövis</v>
      </c>
    </row>
    <row r="20248" spans="1:4" ht="12.75" customHeight="1" x14ac:dyDescent="0.2">
      <c r="B20248" s="2"/>
      <c r="C20248" s="15"/>
      <c r="D20248" s="2"/>
    </row>
    <row r="20249" spans="1:4" ht="12.75" customHeight="1" x14ac:dyDescent="0.2">
      <c r="B20249" s="2"/>
      <c r="C20249" s="15"/>
      <c r="D20249" s="2"/>
    </row>
    <row r="20250" spans="1:4" ht="12.75" customHeight="1" x14ac:dyDescent="0.2">
      <c r="A20250" s="13" t="s">
        <v>5893</v>
      </c>
      <c r="C20250" s="12"/>
    </row>
    <row r="20251" spans="1:4" ht="12.75" customHeight="1" x14ac:dyDescent="0.2">
      <c r="A20251" s="11"/>
      <c r="B20251" s="2"/>
      <c r="C20251" s="15"/>
      <c r="D20251" s="2"/>
    </row>
    <row r="20252" spans="1:4" ht="12.75" customHeight="1" x14ac:dyDescent="0.2">
      <c r="B20252" s="11" t="s">
        <v>0</v>
      </c>
      <c r="C20252" s="11" t="s">
        <v>103</v>
      </c>
    </row>
    <row r="20253" spans="1:4" ht="12.75" customHeight="1" x14ac:dyDescent="0.2">
      <c r="B20253" s="11" t="s">
        <v>2599</v>
      </c>
      <c r="C20253" s="11" t="s">
        <v>5744</v>
      </c>
    </row>
    <row r="20254" spans="1:4" ht="25.5" customHeight="1" x14ac:dyDescent="0.2">
      <c r="B20254" s="11" t="s">
        <v>2600</v>
      </c>
      <c r="C20254" s="11" t="s">
        <v>5894</v>
      </c>
    </row>
    <row r="20255" spans="1:4" ht="25.5" customHeight="1" x14ac:dyDescent="0.2">
      <c r="B20255" s="11" t="s">
        <v>2601</v>
      </c>
      <c r="C20255" s="11"/>
    </row>
    <row r="20256" spans="1:4" ht="12.75" customHeight="1" x14ac:dyDescent="0.2">
      <c r="B20256" s="11" t="s">
        <v>16</v>
      </c>
      <c r="C20256" s="11"/>
    </row>
    <row r="20257" spans="1:4" ht="12.75" customHeight="1" x14ac:dyDescent="0.2">
      <c r="B20257" s="11" t="s">
        <v>13</v>
      </c>
      <c r="C20257" s="11" t="s">
        <v>2644</v>
      </c>
    </row>
    <row r="20258" spans="1:4" ht="12.75" customHeight="1" x14ac:dyDescent="0.2">
      <c r="B20258" s="11" t="s">
        <v>2603</v>
      </c>
      <c r="C20258" s="11" t="s">
        <v>2604</v>
      </c>
    </row>
    <row r="20259" spans="1:4" ht="12.75" customHeight="1" x14ac:dyDescent="0.2">
      <c r="B20259" s="11" t="s">
        <v>2605</v>
      </c>
      <c r="C20259" s="11" t="s">
        <v>24</v>
      </c>
    </row>
    <row r="20260" spans="1:4" ht="12.75" customHeight="1" x14ac:dyDescent="0.2">
      <c r="B20260" s="11" t="s">
        <v>2606</v>
      </c>
      <c r="C20260" s="16" t="s">
        <v>77</v>
      </c>
      <c r="D20260" s="6" t="str">
        <f>HYPERLINK("javascript:void(0)","légige")</f>
        <v>légige</v>
      </c>
    </row>
    <row r="20261" spans="1:4" ht="12.75" customHeight="1" x14ac:dyDescent="0.2">
      <c r="C20261" s="16" t="s">
        <v>67</v>
      </c>
      <c r="D20261" s="6" t="str">
        <f>HYPERLINK("javascript:void(0)","kincs")</f>
        <v>kincs</v>
      </c>
    </row>
    <row r="20262" spans="1:4" ht="12.75" customHeight="1" x14ac:dyDescent="0.2">
      <c r="B20262" s="2"/>
      <c r="C20262" s="15"/>
      <c r="D20262" s="2"/>
    </row>
    <row r="20263" spans="1:4" ht="12.75" customHeight="1" x14ac:dyDescent="0.2">
      <c r="B20263" s="2"/>
      <c r="C20263" s="15"/>
      <c r="D20263" s="2"/>
    </row>
    <row r="20264" spans="1:4" ht="12.75" customHeight="1" x14ac:dyDescent="0.2">
      <c r="A20264" s="13" t="s">
        <v>5839</v>
      </c>
      <c r="C20264" s="12"/>
      <c r="D20264" s="2"/>
    </row>
    <row r="20265" spans="1:4" ht="12.75" customHeight="1" x14ac:dyDescent="0.2">
      <c r="A20265" s="11"/>
      <c r="B20265" s="2"/>
      <c r="C20265" s="15"/>
      <c r="D20265" s="2"/>
    </row>
    <row r="20266" spans="1:4" ht="12.75" customHeight="1" x14ac:dyDescent="0.2">
      <c r="B20266" s="11" t="s">
        <v>0</v>
      </c>
      <c r="C20266" s="17" t="s">
        <v>103</v>
      </c>
      <c r="D20266" s="2"/>
    </row>
    <row r="20267" spans="1:4" ht="12.75" customHeight="1" x14ac:dyDescent="0.2">
      <c r="B20267" s="11" t="s">
        <v>2599</v>
      </c>
      <c r="C20267" s="17" t="s">
        <v>5687</v>
      </c>
      <c r="D20267" s="2"/>
    </row>
    <row r="20268" spans="1:4" ht="25.5" customHeight="1" x14ac:dyDescent="0.2">
      <c r="B20268" s="11" t="s">
        <v>2600</v>
      </c>
      <c r="C20268" s="17" t="s">
        <v>5895</v>
      </c>
      <c r="D20268" s="2"/>
    </row>
    <row r="20269" spans="1:4" ht="25.5" customHeight="1" x14ac:dyDescent="0.2">
      <c r="B20269" s="11" t="s">
        <v>2601</v>
      </c>
      <c r="C20269" s="17"/>
      <c r="D20269" s="2"/>
    </row>
    <row r="20270" spans="1:4" ht="12.75" customHeight="1" x14ac:dyDescent="0.2">
      <c r="B20270" s="11" t="s">
        <v>16</v>
      </c>
      <c r="C20270" s="17"/>
      <c r="D20270" s="2"/>
    </row>
    <row r="20271" spans="1:4" ht="12.75" customHeight="1" x14ac:dyDescent="0.2">
      <c r="B20271" s="11" t="s">
        <v>13</v>
      </c>
      <c r="C20271" s="17" t="s">
        <v>2644</v>
      </c>
      <c r="D20271" s="2"/>
    </row>
    <row r="20272" spans="1:4" ht="25.5" customHeight="1" x14ac:dyDescent="0.2">
      <c r="B20272" s="11" t="s">
        <v>2603</v>
      </c>
      <c r="C20272" s="17" t="s">
        <v>2971</v>
      </c>
      <c r="D20272" s="2"/>
    </row>
    <row r="20273" spans="1:4" ht="12.75" customHeight="1" x14ac:dyDescent="0.2">
      <c r="B20273" s="11" t="s">
        <v>2605</v>
      </c>
      <c r="C20273" s="17" t="s">
        <v>14</v>
      </c>
      <c r="D20273" s="2"/>
    </row>
    <row r="20274" spans="1:4" ht="12.75" customHeight="1" x14ac:dyDescent="0.2">
      <c r="B20274" s="11" t="s">
        <v>2606</v>
      </c>
      <c r="C20274" s="16" t="s">
        <v>19</v>
      </c>
      <c r="D20274" s="2"/>
    </row>
    <row r="20275" spans="1:4" ht="12.75" customHeight="1" x14ac:dyDescent="0.2">
      <c r="B20275" s="2"/>
      <c r="C20275" s="15"/>
      <c r="D20275" s="2"/>
    </row>
    <row r="20276" spans="1:4" ht="12.75" customHeight="1" x14ac:dyDescent="0.2">
      <c r="B20276" s="2"/>
      <c r="C20276" s="15"/>
      <c r="D20276" s="2"/>
    </row>
    <row r="20277" spans="1:4" ht="12.75" customHeight="1" x14ac:dyDescent="0.2">
      <c r="A20277" s="13" t="s">
        <v>5808</v>
      </c>
      <c r="C20277" s="12"/>
      <c r="D20277" s="2"/>
    </row>
    <row r="20278" spans="1:4" ht="12.75" customHeight="1" x14ac:dyDescent="0.2">
      <c r="A20278" s="11"/>
      <c r="B20278" s="2"/>
      <c r="C20278" s="15"/>
      <c r="D20278" s="2"/>
    </row>
    <row r="20279" spans="1:4" ht="12.75" customHeight="1" x14ac:dyDescent="0.2">
      <c r="B20279" s="11" t="s">
        <v>0</v>
      </c>
      <c r="C20279" s="17" t="s">
        <v>112</v>
      </c>
      <c r="D20279" s="2"/>
    </row>
    <row r="20280" spans="1:4" ht="12.75" customHeight="1" x14ac:dyDescent="0.2">
      <c r="B20280" s="11" t="s">
        <v>2599</v>
      </c>
      <c r="C20280" s="17" t="s">
        <v>3382</v>
      </c>
      <c r="D20280" s="2"/>
    </row>
    <row r="20281" spans="1:4" ht="25.5" customHeight="1" x14ac:dyDescent="0.2">
      <c r="B20281" s="11" t="s">
        <v>2600</v>
      </c>
      <c r="C20281" s="17" t="s">
        <v>5896</v>
      </c>
      <c r="D20281" s="2"/>
    </row>
    <row r="20282" spans="1:4" ht="25.5" customHeight="1" x14ac:dyDescent="0.2">
      <c r="B20282" s="11" t="s">
        <v>2601</v>
      </c>
      <c r="C20282" s="17"/>
      <c r="D20282" s="2"/>
    </row>
    <row r="20283" spans="1:4" ht="12.75" customHeight="1" x14ac:dyDescent="0.2">
      <c r="B20283" s="11" t="s">
        <v>16</v>
      </c>
      <c r="C20283" s="17"/>
      <c r="D20283" s="2"/>
    </row>
    <row r="20284" spans="1:4" ht="12.75" customHeight="1" x14ac:dyDescent="0.2">
      <c r="B20284" s="11" t="s">
        <v>13</v>
      </c>
      <c r="C20284" s="17" t="s">
        <v>2644</v>
      </c>
      <c r="D20284" s="2"/>
    </row>
    <row r="20285" spans="1:4" ht="25.5" customHeight="1" x14ac:dyDescent="0.2">
      <c r="B20285" s="11" t="s">
        <v>2603</v>
      </c>
      <c r="C20285" s="17" t="s">
        <v>2971</v>
      </c>
      <c r="D20285" s="2"/>
    </row>
    <row r="20286" spans="1:4" ht="12.75" customHeight="1" x14ac:dyDescent="0.2">
      <c r="B20286" s="11" t="s">
        <v>2605</v>
      </c>
      <c r="C20286" s="17" t="s">
        <v>14</v>
      </c>
      <c r="D20286" s="2"/>
    </row>
    <row r="20287" spans="1:4" ht="12.75" customHeight="1" x14ac:dyDescent="0.2">
      <c r="B20287" s="11" t="s">
        <v>2606</v>
      </c>
      <c r="C20287" s="16" t="s">
        <v>19</v>
      </c>
      <c r="D20287" s="2"/>
    </row>
    <row r="20288" spans="1:4" ht="12.75" customHeight="1" x14ac:dyDescent="0.2">
      <c r="B20288" s="2"/>
      <c r="C20288" s="15"/>
      <c r="D20288" s="2"/>
    </row>
    <row r="20289" spans="1:4" ht="12.75" customHeight="1" x14ac:dyDescent="0.2">
      <c r="B20289" s="2"/>
      <c r="C20289" s="15"/>
      <c r="D20289" s="2"/>
    </row>
    <row r="20290" spans="1:4" ht="12.75" customHeight="1" x14ac:dyDescent="0.2">
      <c r="A20290" s="13" t="s">
        <v>5810</v>
      </c>
      <c r="C20290" s="12"/>
      <c r="D20290" s="2"/>
    </row>
    <row r="20291" spans="1:4" ht="12.75" customHeight="1" x14ac:dyDescent="0.2">
      <c r="A20291" s="11"/>
      <c r="B20291" s="2"/>
      <c r="C20291" s="15"/>
      <c r="D20291" s="2"/>
    </row>
    <row r="20292" spans="1:4" ht="12.75" customHeight="1" x14ac:dyDescent="0.2">
      <c r="B20292" s="11" t="s">
        <v>0</v>
      </c>
      <c r="C20292" s="17" t="s">
        <v>112</v>
      </c>
      <c r="D20292" s="2"/>
    </row>
    <row r="20293" spans="1:4" ht="12.75" customHeight="1" x14ac:dyDescent="0.2">
      <c r="B20293" s="11" t="s">
        <v>2599</v>
      </c>
      <c r="C20293" s="17" t="s">
        <v>5811</v>
      </c>
      <c r="D20293" s="2"/>
    </row>
    <row r="20294" spans="1:4" ht="25.5" customHeight="1" x14ac:dyDescent="0.2">
      <c r="B20294" s="11" t="s">
        <v>2600</v>
      </c>
      <c r="C20294" s="17" t="s">
        <v>5897</v>
      </c>
      <c r="D20294" s="2"/>
    </row>
    <row r="20295" spans="1:4" ht="25.5" customHeight="1" x14ac:dyDescent="0.2">
      <c r="B20295" s="11" t="s">
        <v>2601</v>
      </c>
      <c r="C20295" s="17"/>
      <c r="D20295" s="2"/>
    </row>
    <row r="20296" spans="1:4" ht="12.75" customHeight="1" x14ac:dyDescent="0.2">
      <c r="B20296" s="11" t="s">
        <v>16</v>
      </c>
      <c r="C20296" s="17"/>
      <c r="D20296" s="2"/>
    </row>
    <row r="20297" spans="1:4" ht="12.75" customHeight="1" x14ac:dyDescent="0.2">
      <c r="B20297" s="11" t="s">
        <v>13</v>
      </c>
      <c r="C20297" s="17" t="s">
        <v>2644</v>
      </c>
      <c r="D20297" s="2"/>
    </row>
    <row r="20298" spans="1:4" ht="25.5" customHeight="1" x14ac:dyDescent="0.2">
      <c r="B20298" s="11" t="s">
        <v>2603</v>
      </c>
      <c r="C20298" s="17" t="s">
        <v>2971</v>
      </c>
      <c r="D20298" s="2"/>
    </row>
    <row r="20299" spans="1:4" ht="12.75" customHeight="1" x14ac:dyDescent="0.2">
      <c r="B20299" s="11" t="s">
        <v>2605</v>
      </c>
      <c r="C20299" s="17" t="s">
        <v>14</v>
      </c>
      <c r="D20299" s="2"/>
    </row>
    <row r="20300" spans="1:4" ht="12.75" customHeight="1" x14ac:dyDescent="0.2">
      <c r="B20300" s="11" t="s">
        <v>2606</v>
      </c>
      <c r="C20300" s="16" t="s">
        <v>19</v>
      </c>
      <c r="D20300" s="2"/>
    </row>
    <row r="20301" spans="1:4" ht="12.75" customHeight="1" x14ac:dyDescent="0.2">
      <c r="B20301" s="2"/>
      <c r="C20301" s="15"/>
      <c r="D20301" s="2"/>
    </row>
    <row r="20302" spans="1:4" ht="12.75" customHeight="1" x14ac:dyDescent="0.2">
      <c r="B20302" s="2"/>
      <c r="C20302" s="15"/>
      <c r="D20302" s="2"/>
    </row>
    <row r="20303" spans="1:4" ht="12.75" customHeight="1" x14ac:dyDescent="0.2">
      <c r="A20303" s="13" t="s">
        <v>5813</v>
      </c>
      <c r="C20303" s="12"/>
      <c r="D20303" s="2"/>
    </row>
    <row r="20304" spans="1:4" ht="12.75" customHeight="1" x14ac:dyDescent="0.2">
      <c r="A20304" s="11"/>
      <c r="B20304" s="2"/>
      <c r="C20304" s="15"/>
      <c r="D20304" s="2"/>
    </row>
    <row r="20305" spans="1:4" ht="12.75" customHeight="1" x14ac:dyDescent="0.2">
      <c r="B20305" s="11" t="s">
        <v>0</v>
      </c>
      <c r="C20305" s="17" t="s">
        <v>112</v>
      </c>
      <c r="D20305" s="2"/>
    </row>
    <row r="20306" spans="1:4" ht="12.75" customHeight="1" x14ac:dyDescent="0.2">
      <c r="B20306" s="11" t="s">
        <v>2599</v>
      </c>
      <c r="C20306" s="17" t="s">
        <v>5684</v>
      </c>
      <c r="D20306" s="2"/>
    </row>
    <row r="20307" spans="1:4" ht="25.5" customHeight="1" x14ac:dyDescent="0.2">
      <c r="B20307" s="11" t="s">
        <v>2600</v>
      </c>
      <c r="C20307" s="17" t="s">
        <v>5898</v>
      </c>
      <c r="D20307" s="2"/>
    </row>
    <row r="20308" spans="1:4" ht="25.5" customHeight="1" x14ac:dyDescent="0.2">
      <c r="B20308" s="11" t="s">
        <v>2601</v>
      </c>
      <c r="C20308" s="17"/>
      <c r="D20308" s="2"/>
    </row>
    <row r="20309" spans="1:4" ht="12.75" customHeight="1" x14ac:dyDescent="0.2">
      <c r="B20309" s="11" t="s">
        <v>16</v>
      </c>
      <c r="C20309" s="17"/>
      <c r="D20309" s="2"/>
    </row>
    <row r="20310" spans="1:4" ht="12.75" customHeight="1" x14ac:dyDescent="0.2">
      <c r="B20310" s="11" t="s">
        <v>13</v>
      </c>
      <c r="C20310" s="17" t="s">
        <v>2602</v>
      </c>
      <c r="D20310" s="2"/>
    </row>
    <row r="20311" spans="1:4" ht="25.5" customHeight="1" x14ac:dyDescent="0.2">
      <c r="B20311" s="11" t="s">
        <v>2603</v>
      </c>
      <c r="C20311" s="17" t="s">
        <v>2971</v>
      </c>
      <c r="D20311" s="2"/>
    </row>
    <row r="20312" spans="1:4" ht="12.75" customHeight="1" x14ac:dyDescent="0.2">
      <c r="B20312" s="11" t="s">
        <v>2605</v>
      </c>
      <c r="C20312" s="17" t="s">
        <v>14</v>
      </c>
      <c r="D20312" s="2"/>
    </row>
    <row r="20313" spans="1:4" ht="12.75" customHeight="1" x14ac:dyDescent="0.2">
      <c r="B20313" s="11" t="s">
        <v>2606</v>
      </c>
      <c r="C20313" s="16" t="s">
        <v>19</v>
      </c>
      <c r="D20313" s="2"/>
    </row>
    <row r="20314" spans="1:4" ht="12.75" customHeight="1" x14ac:dyDescent="0.2">
      <c r="B20314" s="2"/>
      <c r="C20314" s="15"/>
      <c r="D20314" s="2"/>
    </row>
    <row r="20315" spans="1:4" ht="12.75" customHeight="1" x14ac:dyDescent="0.2">
      <c r="B20315" s="2"/>
      <c r="C20315" s="15"/>
      <c r="D20315" s="2"/>
    </row>
    <row r="20316" spans="1:4" ht="12.75" customHeight="1" x14ac:dyDescent="0.2">
      <c r="A20316" s="13" t="s">
        <v>5899</v>
      </c>
      <c r="C20316" s="12"/>
    </row>
    <row r="20317" spans="1:4" ht="12.75" customHeight="1" x14ac:dyDescent="0.2">
      <c r="A20317" s="11"/>
      <c r="B20317" s="2"/>
      <c r="C20317" s="15"/>
      <c r="D20317" s="2"/>
    </row>
    <row r="20318" spans="1:4" ht="12.75" customHeight="1" x14ac:dyDescent="0.2">
      <c r="B20318" s="11" t="s">
        <v>0</v>
      </c>
      <c r="C20318" s="11" t="s">
        <v>112</v>
      </c>
    </row>
    <row r="20319" spans="1:4" ht="12.75" customHeight="1" x14ac:dyDescent="0.2">
      <c r="B20319" s="11" t="s">
        <v>2599</v>
      </c>
      <c r="C20319" s="11" t="s">
        <v>5900</v>
      </c>
    </row>
    <row r="20320" spans="1:4" ht="25.5" customHeight="1" x14ac:dyDescent="0.2">
      <c r="B20320" s="11" t="s">
        <v>2600</v>
      </c>
      <c r="C20320" s="11" t="s">
        <v>5901</v>
      </c>
    </row>
    <row r="20321" spans="1:4" ht="25.5" customHeight="1" x14ac:dyDescent="0.2">
      <c r="B20321" s="11" t="s">
        <v>2601</v>
      </c>
      <c r="C20321" s="11"/>
    </row>
    <row r="20322" spans="1:4" ht="12.75" customHeight="1" x14ac:dyDescent="0.2">
      <c r="B20322" s="11" t="s">
        <v>16</v>
      </c>
      <c r="C20322" s="11"/>
    </row>
    <row r="20323" spans="1:4" ht="12.75" customHeight="1" x14ac:dyDescent="0.2">
      <c r="B20323" s="11" t="s">
        <v>13</v>
      </c>
      <c r="C20323" s="11" t="s">
        <v>2644</v>
      </c>
    </row>
    <row r="20324" spans="1:4" ht="12.75" customHeight="1" x14ac:dyDescent="0.2">
      <c r="B20324" s="11" t="s">
        <v>2603</v>
      </c>
      <c r="C20324" s="11" t="s">
        <v>2604</v>
      </c>
    </row>
    <row r="20325" spans="1:4" ht="12.75" customHeight="1" x14ac:dyDescent="0.2">
      <c r="B20325" s="11" t="s">
        <v>2605</v>
      </c>
      <c r="C20325" s="11" t="s">
        <v>14</v>
      </c>
    </row>
    <row r="20326" spans="1:4" ht="12.75" customHeight="1" x14ac:dyDescent="0.2">
      <c r="B20326" s="11" t="s">
        <v>2606</v>
      </c>
      <c r="C20326" s="16" t="s">
        <v>139</v>
      </c>
      <c r="D20326" s="6" t="str">
        <f>HYPERLINK("javascript:void(0)","kincs")</f>
        <v>kincs</v>
      </c>
    </row>
    <row r="20327" spans="1:4" ht="12.75" customHeight="1" x14ac:dyDescent="0.2">
      <c r="B20327" s="2"/>
      <c r="C20327" s="15"/>
      <c r="D20327" s="2"/>
    </row>
    <row r="20328" spans="1:4" ht="12.75" customHeight="1" x14ac:dyDescent="0.2">
      <c r="B20328" s="2"/>
      <c r="C20328" s="15"/>
      <c r="D20328" s="2"/>
    </row>
    <row r="20329" spans="1:4" ht="12.75" customHeight="1" x14ac:dyDescent="0.2">
      <c r="A20329" s="13" t="s">
        <v>5902</v>
      </c>
      <c r="C20329" s="12"/>
    </row>
    <row r="20330" spans="1:4" ht="12.75" customHeight="1" x14ac:dyDescent="0.2">
      <c r="A20330" s="11"/>
      <c r="B20330" s="2"/>
      <c r="C20330" s="15"/>
      <c r="D20330" s="2"/>
    </row>
    <row r="20331" spans="1:4" ht="12.75" customHeight="1" x14ac:dyDescent="0.2">
      <c r="B20331" s="11" t="s">
        <v>0</v>
      </c>
      <c r="C20331" s="11" t="s">
        <v>112</v>
      </c>
    </row>
    <row r="20332" spans="1:4" ht="12.75" customHeight="1" x14ac:dyDescent="0.2">
      <c r="B20332" s="11" t="s">
        <v>2599</v>
      </c>
      <c r="C20332" s="11" t="s">
        <v>5903</v>
      </c>
    </row>
    <row r="20333" spans="1:4" ht="25.5" customHeight="1" x14ac:dyDescent="0.2">
      <c r="B20333" s="11" t="s">
        <v>2600</v>
      </c>
      <c r="C20333" s="11" t="s">
        <v>5904</v>
      </c>
    </row>
    <row r="20334" spans="1:4" ht="25.5" customHeight="1" x14ac:dyDescent="0.2">
      <c r="B20334" s="11" t="s">
        <v>2601</v>
      </c>
      <c r="C20334" s="11"/>
    </row>
    <row r="20335" spans="1:4" ht="12.75" customHeight="1" x14ac:dyDescent="0.2">
      <c r="B20335" s="11" t="s">
        <v>16</v>
      </c>
      <c r="C20335" s="11"/>
    </row>
    <row r="20336" spans="1:4" ht="12.75" customHeight="1" x14ac:dyDescent="0.2">
      <c r="B20336" s="11" t="s">
        <v>13</v>
      </c>
      <c r="C20336" s="11" t="s">
        <v>2602</v>
      </c>
    </row>
    <row r="20337" spans="1:4" ht="12.75" customHeight="1" x14ac:dyDescent="0.2">
      <c r="B20337" s="11" t="s">
        <v>2603</v>
      </c>
      <c r="C20337" s="11" t="s">
        <v>2604</v>
      </c>
    </row>
    <row r="20338" spans="1:4" ht="12.75" customHeight="1" x14ac:dyDescent="0.2">
      <c r="B20338" s="11" t="s">
        <v>2605</v>
      </c>
      <c r="C20338" s="11" t="s">
        <v>24</v>
      </c>
    </row>
    <row r="20339" spans="1:4" ht="12.75" customHeight="1" x14ac:dyDescent="0.2">
      <c r="B20339" s="11" t="s">
        <v>2606</v>
      </c>
      <c r="C20339" s="16" t="s">
        <v>77</v>
      </c>
      <c r="D20339" s="6" t="str">
        <f>HYPERLINK("javascript:void(0)","kaja")</f>
        <v>kaja</v>
      </c>
    </row>
    <row r="20340" spans="1:4" ht="12.75" customHeight="1" x14ac:dyDescent="0.2">
      <c r="C20340" s="16" t="s">
        <v>44</v>
      </c>
      <c r="D20340" s="6" t="str">
        <f>HYPERLINK("javascript:void(0)","rövid kard")</f>
        <v>rövid kard</v>
      </c>
    </row>
    <row r="20341" spans="1:4" ht="12.75" customHeight="1" x14ac:dyDescent="0.2">
      <c r="C20341" s="16" t="s">
        <v>44</v>
      </c>
      <c r="D20341" s="6" t="str">
        <f>HYPERLINK("javascript:void(0)","gyémánt")</f>
        <v>gyémánt</v>
      </c>
    </row>
    <row r="20342" spans="1:4" ht="12.75" customHeight="1" x14ac:dyDescent="0.2">
      <c r="B20342" s="2"/>
      <c r="C20342" s="15"/>
      <c r="D20342" s="2"/>
    </row>
    <row r="20343" spans="1:4" ht="12.75" customHeight="1" x14ac:dyDescent="0.2">
      <c r="B20343" s="2"/>
      <c r="C20343" s="15"/>
      <c r="D20343" s="2"/>
    </row>
    <row r="20344" spans="1:4" ht="12.75" customHeight="1" x14ac:dyDescent="0.2">
      <c r="A20344" s="13" t="s">
        <v>5905</v>
      </c>
      <c r="C20344" s="12"/>
    </row>
    <row r="20345" spans="1:4" ht="12.75" customHeight="1" x14ac:dyDescent="0.2">
      <c r="A20345" s="11"/>
      <c r="B20345" s="2"/>
      <c r="C20345" s="15"/>
      <c r="D20345" s="2"/>
    </row>
    <row r="20346" spans="1:4" ht="12.75" customHeight="1" x14ac:dyDescent="0.2">
      <c r="B20346" s="11" t="s">
        <v>0</v>
      </c>
      <c r="C20346" s="11" t="s">
        <v>112</v>
      </c>
    </row>
    <row r="20347" spans="1:4" ht="12.75" customHeight="1" x14ac:dyDescent="0.2">
      <c r="B20347" s="11" t="s">
        <v>2599</v>
      </c>
      <c r="C20347" s="11" t="s">
        <v>5906</v>
      </c>
    </row>
    <row r="20348" spans="1:4" ht="25.5" customHeight="1" x14ac:dyDescent="0.2">
      <c r="B20348" s="11" t="s">
        <v>2600</v>
      </c>
      <c r="C20348" s="11" t="s">
        <v>5907</v>
      </c>
    </row>
    <row r="20349" spans="1:4" ht="25.5" customHeight="1" x14ac:dyDescent="0.2">
      <c r="B20349" s="11" t="s">
        <v>2601</v>
      </c>
      <c r="C20349" s="11"/>
    </row>
    <row r="20350" spans="1:4" ht="12.75" customHeight="1" x14ac:dyDescent="0.2">
      <c r="B20350" s="11" t="s">
        <v>16</v>
      </c>
      <c r="C20350" s="11"/>
    </row>
    <row r="20351" spans="1:4" ht="12.75" customHeight="1" x14ac:dyDescent="0.2">
      <c r="B20351" s="11" t="s">
        <v>13</v>
      </c>
      <c r="C20351" s="11" t="s">
        <v>2602</v>
      </c>
    </row>
    <row r="20352" spans="1:4" ht="12.75" customHeight="1" x14ac:dyDescent="0.2">
      <c r="B20352" s="11" t="s">
        <v>2603</v>
      </c>
      <c r="C20352" s="11" t="s">
        <v>2604</v>
      </c>
    </row>
    <row r="20353" spans="1:4" ht="12.75" customHeight="1" x14ac:dyDescent="0.2">
      <c r="B20353" s="11" t="s">
        <v>2605</v>
      </c>
      <c r="C20353" s="11" t="s">
        <v>24</v>
      </c>
    </row>
    <row r="20354" spans="1:4" ht="12.75" customHeight="1" x14ac:dyDescent="0.2">
      <c r="B20354" s="11" t="s">
        <v>2606</v>
      </c>
      <c r="C20354" s="16" t="s">
        <v>56</v>
      </c>
      <c r="D20354" s="6" t="str">
        <f>HYPERLINK("javascript:void(0)","bot")</f>
        <v>bot</v>
      </c>
    </row>
    <row r="20355" spans="1:4" ht="12.75" customHeight="1" x14ac:dyDescent="0.2">
      <c r="C20355" s="16" t="s">
        <v>44</v>
      </c>
      <c r="D20355" s="6" t="str">
        <f>HYPERLINK("javascript:void(0)","háló")</f>
        <v>háló</v>
      </c>
    </row>
    <row r="20356" spans="1:4" ht="12.75" customHeight="1" x14ac:dyDescent="0.2">
      <c r="C20356" s="16" t="s">
        <v>44</v>
      </c>
      <c r="D20356" s="6" t="str">
        <f>HYPERLINK("javascript:void(0)","bőrcsizma")</f>
        <v>bőrcsizma</v>
      </c>
    </row>
    <row r="20357" spans="1:4" ht="12.75" customHeight="1" x14ac:dyDescent="0.2">
      <c r="B20357" s="2"/>
      <c r="C20357" s="15"/>
      <c r="D20357" s="2"/>
    </row>
    <row r="20358" spans="1:4" ht="12.75" customHeight="1" x14ac:dyDescent="0.2">
      <c r="B20358" s="2"/>
      <c r="C20358" s="15"/>
      <c r="D20358" s="2"/>
    </row>
    <row r="20359" spans="1:4" ht="12.75" customHeight="1" x14ac:dyDescent="0.2">
      <c r="A20359" s="13" t="s">
        <v>5908</v>
      </c>
      <c r="C20359" s="12"/>
    </row>
    <row r="20360" spans="1:4" ht="12.75" customHeight="1" x14ac:dyDescent="0.2">
      <c r="A20360" s="11"/>
      <c r="B20360" s="2"/>
      <c r="C20360" s="15"/>
      <c r="D20360" s="2"/>
    </row>
    <row r="20361" spans="1:4" ht="12.75" customHeight="1" x14ac:dyDescent="0.2">
      <c r="B20361" s="11" t="s">
        <v>0</v>
      </c>
      <c r="C20361" s="11" t="s">
        <v>112</v>
      </c>
    </row>
    <row r="20362" spans="1:4" ht="12.75" customHeight="1" x14ac:dyDescent="0.2">
      <c r="B20362" s="11" t="s">
        <v>2599</v>
      </c>
      <c r="C20362" s="11" t="s">
        <v>5909</v>
      </c>
    </row>
    <row r="20363" spans="1:4" ht="25.5" customHeight="1" x14ac:dyDescent="0.2">
      <c r="B20363" s="11" t="s">
        <v>2600</v>
      </c>
      <c r="C20363" s="11" t="s">
        <v>5910</v>
      </c>
    </row>
    <row r="20364" spans="1:4" ht="25.5" customHeight="1" x14ac:dyDescent="0.2">
      <c r="B20364" s="11" t="s">
        <v>2601</v>
      </c>
      <c r="C20364" s="11"/>
    </row>
    <row r="20365" spans="1:4" ht="12.75" customHeight="1" x14ac:dyDescent="0.2">
      <c r="B20365" s="11" t="s">
        <v>16</v>
      </c>
      <c r="C20365" s="11"/>
    </row>
    <row r="20366" spans="1:4" ht="12.75" customHeight="1" x14ac:dyDescent="0.2">
      <c r="B20366" s="11" t="s">
        <v>13</v>
      </c>
      <c r="C20366" s="11" t="s">
        <v>2602</v>
      </c>
    </row>
    <row r="20367" spans="1:4" ht="12.75" customHeight="1" x14ac:dyDescent="0.2">
      <c r="B20367" s="11" t="s">
        <v>2603</v>
      </c>
      <c r="C20367" s="11" t="s">
        <v>2604</v>
      </c>
    </row>
    <row r="20368" spans="1:4" ht="12.75" customHeight="1" x14ac:dyDescent="0.2">
      <c r="B20368" s="11" t="s">
        <v>2605</v>
      </c>
      <c r="C20368" s="11" t="s">
        <v>24</v>
      </c>
    </row>
    <row r="20369" spans="1:4" ht="12.75" customHeight="1" x14ac:dyDescent="0.2">
      <c r="B20369" s="11" t="s">
        <v>2606</v>
      </c>
      <c r="C20369" s="16" t="s">
        <v>56</v>
      </c>
      <c r="D20369" s="6" t="str">
        <f>HYPERLINK("javascript:void(0)","üvegcserép")</f>
        <v>üvegcserép</v>
      </c>
    </row>
    <row r="20370" spans="1:4" ht="12.75" customHeight="1" x14ac:dyDescent="0.2">
      <c r="C20370" s="16" t="s">
        <v>98</v>
      </c>
      <c r="D20370" s="6" t="str">
        <f>HYPERLINK("javascript:void(0)","kincs")</f>
        <v>kincs</v>
      </c>
    </row>
    <row r="20371" spans="1:4" ht="12.75" customHeight="1" x14ac:dyDescent="0.2">
      <c r="B20371" s="2"/>
      <c r="C20371" s="15"/>
      <c r="D20371" s="2"/>
    </row>
    <row r="20372" spans="1:4" ht="12.75" customHeight="1" x14ac:dyDescent="0.2">
      <c r="B20372" s="2"/>
      <c r="C20372" s="15"/>
      <c r="D20372" s="2"/>
    </row>
    <row r="20373" spans="1:4" ht="12.75" customHeight="1" x14ac:dyDescent="0.2">
      <c r="A20373" s="13" t="s">
        <v>5913</v>
      </c>
      <c r="C20373" s="12"/>
    </row>
    <row r="20374" spans="1:4" ht="12.75" customHeight="1" x14ac:dyDescent="0.2">
      <c r="A20374" s="11"/>
      <c r="B20374" s="2"/>
      <c r="C20374" s="15"/>
      <c r="D20374" s="2"/>
    </row>
    <row r="20375" spans="1:4" ht="12.75" customHeight="1" x14ac:dyDescent="0.2">
      <c r="B20375" s="11" t="s">
        <v>0</v>
      </c>
      <c r="C20375" s="11" t="s">
        <v>112</v>
      </c>
    </row>
    <row r="20376" spans="1:4" ht="12.75" customHeight="1" x14ac:dyDescent="0.2">
      <c r="B20376" s="11" t="s">
        <v>2599</v>
      </c>
      <c r="C20376" s="11" t="s">
        <v>3344</v>
      </c>
    </row>
    <row r="20377" spans="1:4" ht="25.5" customHeight="1" x14ac:dyDescent="0.2">
      <c r="B20377" s="11" t="s">
        <v>2600</v>
      </c>
      <c r="C20377" s="11" t="s">
        <v>5914</v>
      </c>
    </row>
    <row r="20378" spans="1:4" ht="25.5" customHeight="1" x14ac:dyDescent="0.2">
      <c r="B20378" s="11" t="s">
        <v>2601</v>
      </c>
      <c r="C20378" s="11"/>
    </row>
    <row r="20379" spans="1:4" ht="12.75" customHeight="1" x14ac:dyDescent="0.2">
      <c r="B20379" s="11" t="s">
        <v>16</v>
      </c>
      <c r="C20379" s="11"/>
    </row>
    <row r="20380" spans="1:4" ht="12.75" customHeight="1" x14ac:dyDescent="0.2">
      <c r="B20380" s="11" t="s">
        <v>13</v>
      </c>
      <c r="C20380" s="11" t="s">
        <v>2644</v>
      </c>
    </row>
    <row r="20381" spans="1:4" ht="12.75" customHeight="1" x14ac:dyDescent="0.2">
      <c r="B20381" s="11" t="s">
        <v>2603</v>
      </c>
      <c r="C20381" s="11" t="s">
        <v>2604</v>
      </c>
    </row>
    <row r="20382" spans="1:4" ht="12.75" customHeight="1" x14ac:dyDescent="0.2">
      <c r="B20382" s="11" t="s">
        <v>2605</v>
      </c>
      <c r="C20382" s="11" t="s">
        <v>14</v>
      </c>
    </row>
    <row r="20383" spans="1:4" ht="12.75" customHeight="1" x14ac:dyDescent="0.2">
      <c r="B20383" s="11" t="s">
        <v>2606</v>
      </c>
      <c r="C20383" s="16" t="s">
        <v>67</v>
      </c>
      <c r="D20383" s="6" t="str">
        <f>HYPERLINK("javascript:void(0)","opál")</f>
        <v>opál</v>
      </c>
    </row>
    <row r="20384" spans="1:4" ht="12.75" customHeight="1" x14ac:dyDescent="0.2">
      <c r="C20384" s="16" t="s">
        <v>56</v>
      </c>
      <c r="D20384" s="6" t="str">
        <f>HYPERLINK("javascript:void(0)","fügetövis")</f>
        <v>fügetövis</v>
      </c>
    </row>
    <row r="20385" spans="1:4" ht="12.75" customHeight="1" x14ac:dyDescent="0.2">
      <c r="B20385" s="2"/>
      <c r="C20385" s="15"/>
      <c r="D20385" s="2"/>
    </row>
    <row r="20386" spans="1:4" ht="12.75" customHeight="1" x14ac:dyDescent="0.2">
      <c r="B20386" s="2"/>
      <c r="C20386" s="15"/>
      <c r="D20386" s="2"/>
    </row>
    <row r="20387" spans="1:4" ht="12.75" customHeight="1" x14ac:dyDescent="0.2">
      <c r="A20387" s="13" t="s">
        <v>5915</v>
      </c>
      <c r="C20387" s="12"/>
    </row>
    <row r="20388" spans="1:4" ht="12.75" customHeight="1" x14ac:dyDescent="0.2">
      <c r="A20388" s="11"/>
      <c r="B20388" s="2"/>
      <c r="C20388" s="15"/>
      <c r="D20388" s="2"/>
    </row>
    <row r="20389" spans="1:4" ht="12.75" customHeight="1" x14ac:dyDescent="0.2">
      <c r="B20389" s="11" t="s">
        <v>0</v>
      </c>
      <c r="C20389" s="11" t="s">
        <v>112</v>
      </c>
    </row>
    <row r="20390" spans="1:4" ht="12.75" customHeight="1" x14ac:dyDescent="0.2">
      <c r="B20390" s="11" t="s">
        <v>2599</v>
      </c>
      <c r="C20390" s="11" t="s">
        <v>5916</v>
      </c>
    </row>
    <row r="20391" spans="1:4" ht="25.5" customHeight="1" x14ac:dyDescent="0.2">
      <c r="B20391" s="11" t="s">
        <v>2600</v>
      </c>
      <c r="C20391" s="11" t="s">
        <v>5917</v>
      </c>
    </row>
    <row r="20392" spans="1:4" ht="25.5" customHeight="1" x14ac:dyDescent="0.2">
      <c r="B20392" s="11" t="s">
        <v>2601</v>
      </c>
      <c r="C20392" s="11"/>
    </row>
    <row r="20393" spans="1:4" ht="12.75" customHeight="1" x14ac:dyDescent="0.2">
      <c r="B20393" s="11" t="s">
        <v>16</v>
      </c>
      <c r="C20393" s="11"/>
    </row>
    <row r="20394" spans="1:4" ht="12.75" customHeight="1" x14ac:dyDescent="0.2">
      <c r="B20394" s="11" t="s">
        <v>13</v>
      </c>
      <c r="C20394" s="11" t="s">
        <v>2602</v>
      </c>
    </row>
    <row r="20395" spans="1:4" ht="12.75" customHeight="1" x14ac:dyDescent="0.2">
      <c r="B20395" s="11" t="s">
        <v>2603</v>
      </c>
      <c r="C20395" s="11" t="s">
        <v>2604</v>
      </c>
    </row>
    <row r="20396" spans="1:4" ht="12.75" customHeight="1" x14ac:dyDescent="0.2">
      <c r="B20396" s="11" t="s">
        <v>2605</v>
      </c>
      <c r="C20396" s="11" t="s">
        <v>14</v>
      </c>
    </row>
    <row r="20397" spans="1:4" ht="12.75" customHeight="1" x14ac:dyDescent="0.2">
      <c r="B20397" s="11" t="s">
        <v>2606</v>
      </c>
      <c r="C20397" s="16" t="s">
        <v>163</v>
      </c>
      <c r="D20397" s="6" t="str">
        <f>HYPERLINK("javascript:void(0)","kincs")</f>
        <v>kincs</v>
      </c>
    </row>
    <row r="20398" spans="1:4" ht="12.75" customHeight="1" x14ac:dyDescent="0.2">
      <c r="B20398" s="2"/>
      <c r="C20398" s="15"/>
      <c r="D20398" s="2"/>
    </row>
    <row r="20399" spans="1:4" ht="12.75" customHeight="1" x14ac:dyDescent="0.2">
      <c r="B20399" s="2"/>
      <c r="C20399" s="15"/>
      <c r="D20399" s="2"/>
    </row>
    <row r="20400" spans="1:4" ht="12.75" customHeight="1" x14ac:dyDescent="0.2">
      <c r="A20400" s="13" t="s">
        <v>5918</v>
      </c>
      <c r="C20400" s="12"/>
    </row>
    <row r="20401" spans="1:4" ht="12.75" customHeight="1" x14ac:dyDescent="0.2">
      <c r="A20401" s="11"/>
      <c r="B20401" s="2"/>
      <c r="C20401" s="15"/>
      <c r="D20401" s="2"/>
    </row>
    <row r="20402" spans="1:4" ht="12.75" customHeight="1" x14ac:dyDescent="0.2">
      <c r="B20402" s="11" t="s">
        <v>0</v>
      </c>
      <c r="C20402" s="11" t="s">
        <v>112</v>
      </c>
    </row>
    <row r="20403" spans="1:4" ht="12.75" customHeight="1" x14ac:dyDescent="0.2">
      <c r="B20403" s="11" t="s">
        <v>2599</v>
      </c>
      <c r="C20403" s="11" t="s">
        <v>3500</v>
      </c>
    </row>
    <row r="20404" spans="1:4" ht="25.5" customHeight="1" x14ac:dyDescent="0.2">
      <c r="B20404" s="11" t="s">
        <v>2600</v>
      </c>
      <c r="C20404" s="11" t="s">
        <v>5919</v>
      </c>
    </row>
    <row r="20405" spans="1:4" ht="25.5" customHeight="1" x14ac:dyDescent="0.2">
      <c r="B20405" s="11" t="s">
        <v>2601</v>
      </c>
      <c r="C20405" s="11"/>
    </row>
    <row r="20406" spans="1:4" ht="12.75" customHeight="1" x14ac:dyDescent="0.2">
      <c r="B20406" s="11" t="s">
        <v>16</v>
      </c>
      <c r="C20406" s="11"/>
    </row>
    <row r="20407" spans="1:4" ht="12.75" customHeight="1" x14ac:dyDescent="0.2">
      <c r="B20407" s="11" t="s">
        <v>13</v>
      </c>
      <c r="C20407" s="11" t="s">
        <v>2602</v>
      </c>
    </row>
    <row r="20408" spans="1:4" ht="12.75" customHeight="1" x14ac:dyDescent="0.2">
      <c r="B20408" s="11" t="s">
        <v>2603</v>
      </c>
      <c r="C20408" s="11" t="s">
        <v>2604</v>
      </c>
    </row>
    <row r="20409" spans="1:4" ht="12.75" customHeight="1" x14ac:dyDescent="0.2">
      <c r="B20409" s="11" t="s">
        <v>2605</v>
      </c>
      <c r="C20409" s="11" t="s">
        <v>14</v>
      </c>
    </row>
    <row r="20410" spans="1:4" ht="12.75" customHeight="1" x14ac:dyDescent="0.2">
      <c r="B20410" s="11" t="s">
        <v>2606</v>
      </c>
      <c r="C20410" s="16" t="s">
        <v>67</v>
      </c>
      <c r="D20410" s="6" t="str">
        <f>HYPERLINK("javascript:void(0)","kincs")</f>
        <v>kincs</v>
      </c>
    </row>
    <row r="20411" spans="1:4" ht="25.5" customHeight="1" x14ac:dyDescent="0.2">
      <c r="C20411" s="16" t="s">
        <v>44</v>
      </c>
      <c r="D20411" s="6" t="str">
        <f>HYPERLINK("javascript:void(0)","tuskójelvény")</f>
        <v>tuskójelvény</v>
      </c>
    </row>
    <row r="20412" spans="1:4" ht="12.75" customHeight="1" x14ac:dyDescent="0.2">
      <c r="B20412" s="2"/>
      <c r="C20412" s="15"/>
      <c r="D20412" s="2"/>
    </row>
    <row r="20413" spans="1:4" ht="12.75" customHeight="1" x14ac:dyDescent="0.2">
      <c r="B20413" s="2"/>
      <c r="C20413" s="15"/>
      <c r="D20413" s="2"/>
    </row>
    <row r="20414" spans="1:4" ht="12.75" customHeight="1" x14ac:dyDescent="0.2">
      <c r="A20414" s="13" t="s">
        <v>5921</v>
      </c>
      <c r="C20414" s="12"/>
    </row>
    <row r="20415" spans="1:4" ht="12.75" customHeight="1" x14ac:dyDescent="0.2">
      <c r="A20415" s="11"/>
      <c r="B20415" s="2"/>
      <c r="C20415" s="15"/>
      <c r="D20415" s="2"/>
    </row>
    <row r="20416" spans="1:4" ht="12.75" customHeight="1" x14ac:dyDescent="0.2">
      <c r="B20416" s="11" t="s">
        <v>0</v>
      </c>
      <c r="C20416" s="11" t="s">
        <v>112</v>
      </c>
    </row>
    <row r="20417" spans="1:4" ht="12.75" customHeight="1" x14ac:dyDescent="0.2">
      <c r="B20417" s="11" t="s">
        <v>2599</v>
      </c>
      <c r="C20417" s="11" t="s">
        <v>5922</v>
      </c>
    </row>
    <row r="20418" spans="1:4" ht="25.5" customHeight="1" x14ac:dyDescent="0.2">
      <c r="B20418" s="11" t="s">
        <v>2600</v>
      </c>
      <c r="C20418" s="11" t="s">
        <v>5923</v>
      </c>
    </row>
    <row r="20419" spans="1:4" ht="25.5" customHeight="1" x14ac:dyDescent="0.2">
      <c r="B20419" s="11" t="s">
        <v>2601</v>
      </c>
      <c r="C20419" s="11"/>
    </row>
    <row r="20420" spans="1:4" ht="12.75" customHeight="1" x14ac:dyDescent="0.2">
      <c r="B20420" s="11" t="s">
        <v>16</v>
      </c>
      <c r="C20420" s="11"/>
    </row>
    <row r="20421" spans="1:4" ht="12.75" customHeight="1" x14ac:dyDescent="0.2">
      <c r="B20421" s="11" t="s">
        <v>13</v>
      </c>
      <c r="C20421" s="11" t="s">
        <v>2644</v>
      </c>
    </row>
    <row r="20422" spans="1:4" ht="12.75" customHeight="1" x14ac:dyDescent="0.2">
      <c r="B20422" s="11" t="s">
        <v>2603</v>
      </c>
      <c r="C20422" s="11" t="s">
        <v>2604</v>
      </c>
    </row>
    <row r="20423" spans="1:4" ht="12.75" customHeight="1" x14ac:dyDescent="0.2">
      <c r="B20423" s="11" t="s">
        <v>2605</v>
      </c>
      <c r="C20423" s="11" t="s">
        <v>24</v>
      </c>
    </row>
    <row r="20424" spans="1:4" ht="12.75" customHeight="1" x14ac:dyDescent="0.2">
      <c r="B20424" s="11" t="s">
        <v>2606</v>
      </c>
      <c r="C20424" s="16" t="s">
        <v>57</v>
      </c>
      <c r="D20424" s="6" t="str">
        <f>HYPERLINK("javascript:void(0)","tűzige")</f>
        <v>tűzige</v>
      </c>
    </row>
    <row r="20425" spans="1:4" ht="12.75" customHeight="1" x14ac:dyDescent="0.2">
      <c r="C20425" s="16" t="s">
        <v>67</v>
      </c>
      <c r="D20425" s="6" t="str">
        <f>HYPERLINK("javascript:void(0)","kincs")</f>
        <v>kincs</v>
      </c>
    </row>
    <row r="20426" spans="1:4" ht="12.75" customHeight="1" x14ac:dyDescent="0.2">
      <c r="B20426" s="2"/>
      <c r="C20426" s="15"/>
      <c r="D20426" s="2"/>
    </row>
    <row r="20427" spans="1:4" ht="12.75" customHeight="1" x14ac:dyDescent="0.2">
      <c r="B20427" s="2"/>
      <c r="C20427" s="15"/>
      <c r="D20427" s="2"/>
    </row>
    <row r="20428" spans="1:4" ht="12.75" customHeight="1" x14ac:dyDescent="0.2">
      <c r="A20428" s="13" t="s">
        <v>5839</v>
      </c>
      <c r="C20428" s="12"/>
      <c r="D20428" s="2"/>
    </row>
    <row r="20429" spans="1:4" ht="12.75" customHeight="1" x14ac:dyDescent="0.2">
      <c r="A20429" s="11"/>
      <c r="B20429" s="2"/>
      <c r="C20429" s="15"/>
      <c r="D20429" s="2"/>
    </row>
    <row r="20430" spans="1:4" ht="12.75" customHeight="1" x14ac:dyDescent="0.2">
      <c r="B20430" s="11" t="s">
        <v>0</v>
      </c>
      <c r="C20430" s="17" t="s">
        <v>112</v>
      </c>
      <c r="D20430" s="2"/>
    </row>
    <row r="20431" spans="1:4" ht="12.75" customHeight="1" x14ac:dyDescent="0.2">
      <c r="B20431" s="11" t="s">
        <v>2599</v>
      </c>
      <c r="C20431" s="17" t="s">
        <v>5687</v>
      </c>
      <c r="D20431" s="2"/>
    </row>
    <row r="20432" spans="1:4" ht="25.5" customHeight="1" x14ac:dyDescent="0.2">
      <c r="B20432" s="11" t="s">
        <v>2600</v>
      </c>
      <c r="C20432" s="17" t="s">
        <v>5924</v>
      </c>
      <c r="D20432" s="2"/>
    </row>
    <row r="20433" spans="1:4" ht="25.5" customHeight="1" x14ac:dyDescent="0.2">
      <c r="B20433" s="11" t="s">
        <v>2601</v>
      </c>
      <c r="C20433" s="17"/>
      <c r="D20433" s="2"/>
    </row>
    <row r="20434" spans="1:4" ht="12.75" customHeight="1" x14ac:dyDescent="0.2">
      <c r="B20434" s="11" t="s">
        <v>16</v>
      </c>
      <c r="C20434" s="17"/>
      <c r="D20434" s="2"/>
    </row>
    <row r="20435" spans="1:4" ht="12.75" customHeight="1" x14ac:dyDescent="0.2">
      <c r="B20435" s="11" t="s">
        <v>13</v>
      </c>
      <c r="C20435" s="17" t="s">
        <v>2644</v>
      </c>
      <c r="D20435" s="2"/>
    </row>
    <row r="20436" spans="1:4" ht="25.5" customHeight="1" x14ac:dyDescent="0.2">
      <c r="B20436" s="11" t="s">
        <v>2603</v>
      </c>
      <c r="C20436" s="17" t="s">
        <v>2971</v>
      </c>
      <c r="D20436" s="2"/>
    </row>
    <row r="20437" spans="1:4" ht="12.75" customHeight="1" x14ac:dyDescent="0.2">
      <c r="B20437" s="11" t="s">
        <v>2605</v>
      </c>
      <c r="C20437" s="17" t="s">
        <v>14</v>
      </c>
      <c r="D20437" s="2"/>
    </row>
    <row r="20438" spans="1:4" ht="12.75" customHeight="1" x14ac:dyDescent="0.2">
      <c r="B20438" s="11" t="s">
        <v>2606</v>
      </c>
      <c r="C20438" s="16" t="s">
        <v>19</v>
      </c>
      <c r="D20438" s="2"/>
    </row>
    <row r="20439" spans="1:4" ht="12.75" customHeight="1" x14ac:dyDescent="0.2">
      <c r="B20439" s="2"/>
      <c r="C20439" s="15"/>
      <c r="D20439" s="2"/>
    </row>
    <row r="20440" spans="1:4" ht="12.75" customHeight="1" x14ac:dyDescent="0.2">
      <c r="B20440" s="2"/>
      <c r="C20440" s="15"/>
      <c r="D20440" s="2"/>
    </row>
    <row r="20441" spans="1:4" ht="12.75" customHeight="1" x14ac:dyDescent="0.2">
      <c r="A20441" s="13" t="s">
        <v>5808</v>
      </c>
      <c r="C20441" s="12"/>
      <c r="D20441" s="2"/>
    </row>
    <row r="20442" spans="1:4" ht="12.75" customHeight="1" x14ac:dyDescent="0.2">
      <c r="A20442" s="11"/>
      <c r="B20442" s="2"/>
      <c r="C20442" s="15"/>
      <c r="D20442" s="2"/>
    </row>
    <row r="20443" spans="1:4" ht="12.75" customHeight="1" x14ac:dyDescent="0.2">
      <c r="B20443" s="11" t="s">
        <v>0</v>
      </c>
      <c r="C20443" s="17" t="s">
        <v>1165</v>
      </c>
      <c r="D20443" s="2"/>
    </row>
    <row r="20444" spans="1:4" ht="12.75" customHeight="1" x14ac:dyDescent="0.2">
      <c r="B20444" s="11" t="s">
        <v>2599</v>
      </c>
      <c r="C20444" s="17" t="s">
        <v>3382</v>
      </c>
      <c r="D20444" s="2"/>
    </row>
    <row r="20445" spans="1:4" ht="25.5" customHeight="1" x14ac:dyDescent="0.2">
      <c r="B20445" s="11" t="s">
        <v>2600</v>
      </c>
      <c r="C20445" s="17" t="s">
        <v>5925</v>
      </c>
      <c r="D20445" s="2"/>
    </row>
    <row r="20446" spans="1:4" ht="25.5" customHeight="1" x14ac:dyDescent="0.2">
      <c r="B20446" s="11" t="s">
        <v>2601</v>
      </c>
      <c r="C20446" s="17"/>
      <c r="D20446" s="2"/>
    </row>
    <row r="20447" spans="1:4" ht="12.75" customHeight="1" x14ac:dyDescent="0.2">
      <c r="B20447" s="11" t="s">
        <v>16</v>
      </c>
      <c r="C20447" s="17"/>
      <c r="D20447" s="2"/>
    </row>
    <row r="20448" spans="1:4" ht="12.75" customHeight="1" x14ac:dyDescent="0.2">
      <c r="B20448" s="11" t="s">
        <v>13</v>
      </c>
      <c r="C20448" s="17" t="s">
        <v>2644</v>
      </c>
      <c r="D20448" s="2"/>
    </row>
    <row r="20449" spans="1:4" ht="25.5" customHeight="1" x14ac:dyDescent="0.2">
      <c r="B20449" s="11" t="s">
        <v>2603</v>
      </c>
      <c r="C20449" s="17" t="s">
        <v>2971</v>
      </c>
      <c r="D20449" s="2"/>
    </row>
    <row r="20450" spans="1:4" ht="12.75" customHeight="1" x14ac:dyDescent="0.2">
      <c r="B20450" s="11" t="s">
        <v>2605</v>
      </c>
      <c r="C20450" s="17" t="s">
        <v>14</v>
      </c>
      <c r="D20450" s="2"/>
    </row>
    <row r="20451" spans="1:4" ht="12.75" customHeight="1" x14ac:dyDescent="0.2">
      <c r="B20451" s="11" t="s">
        <v>2606</v>
      </c>
      <c r="C20451" s="16" t="s">
        <v>19</v>
      </c>
      <c r="D20451" s="2"/>
    </row>
    <row r="20452" spans="1:4" ht="12.75" customHeight="1" x14ac:dyDescent="0.2">
      <c r="B20452" s="2"/>
      <c r="C20452" s="15"/>
      <c r="D20452" s="2"/>
    </row>
    <row r="20453" spans="1:4" ht="12.75" customHeight="1" x14ac:dyDescent="0.2">
      <c r="B20453" s="2"/>
      <c r="C20453" s="15"/>
      <c r="D20453" s="2"/>
    </row>
    <row r="20454" spans="1:4" ht="12.75" customHeight="1" x14ac:dyDescent="0.2">
      <c r="A20454" s="13" t="s">
        <v>5810</v>
      </c>
      <c r="C20454" s="12"/>
      <c r="D20454" s="2"/>
    </row>
    <row r="20455" spans="1:4" ht="12.75" customHeight="1" x14ac:dyDescent="0.2">
      <c r="A20455" s="11"/>
      <c r="B20455" s="2"/>
      <c r="C20455" s="15"/>
      <c r="D20455" s="2"/>
    </row>
    <row r="20456" spans="1:4" ht="12.75" customHeight="1" x14ac:dyDescent="0.2">
      <c r="B20456" s="11" t="s">
        <v>0</v>
      </c>
      <c r="C20456" s="17" t="s">
        <v>1165</v>
      </c>
      <c r="D20456" s="2"/>
    </row>
    <row r="20457" spans="1:4" ht="12.75" customHeight="1" x14ac:dyDescent="0.2">
      <c r="B20457" s="11" t="s">
        <v>2599</v>
      </c>
      <c r="C20457" s="17" t="s">
        <v>5811</v>
      </c>
      <c r="D20457" s="2"/>
    </row>
    <row r="20458" spans="1:4" ht="25.5" customHeight="1" x14ac:dyDescent="0.2">
      <c r="B20458" s="11" t="s">
        <v>2600</v>
      </c>
      <c r="C20458" s="17" t="s">
        <v>5926</v>
      </c>
      <c r="D20458" s="2"/>
    </row>
    <row r="20459" spans="1:4" ht="25.5" customHeight="1" x14ac:dyDescent="0.2">
      <c r="B20459" s="11" t="s">
        <v>2601</v>
      </c>
      <c r="C20459" s="17"/>
      <c r="D20459" s="2"/>
    </row>
    <row r="20460" spans="1:4" ht="12.75" customHeight="1" x14ac:dyDescent="0.2">
      <c r="B20460" s="11" t="s">
        <v>16</v>
      </c>
      <c r="C20460" s="17"/>
      <c r="D20460" s="2"/>
    </row>
    <row r="20461" spans="1:4" ht="12.75" customHeight="1" x14ac:dyDescent="0.2">
      <c r="B20461" s="11" t="s">
        <v>13</v>
      </c>
      <c r="C20461" s="17" t="s">
        <v>2644</v>
      </c>
      <c r="D20461" s="2"/>
    </row>
    <row r="20462" spans="1:4" ht="25.5" customHeight="1" x14ac:dyDescent="0.2">
      <c r="B20462" s="11" t="s">
        <v>2603</v>
      </c>
      <c r="C20462" s="17" t="s">
        <v>2971</v>
      </c>
      <c r="D20462" s="2"/>
    </row>
    <row r="20463" spans="1:4" ht="12.75" customHeight="1" x14ac:dyDescent="0.2">
      <c r="B20463" s="11" t="s">
        <v>2605</v>
      </c>
      <c r="C20463" s="17" t="s">
        <v>14</v>
      </c>
      <c r="D20463" s="2"/>
    </row>
    <row r="20464" spans="1:4" ht="12.75" customHeight="1" x14ac:dyDescent="0.2">
      <c r="B20464" s="11" t="s">
        <v>2606</v>
      </c>
      <c r="C20464" s="16" t="s">
        <v>19</v>
      </c>
      <c r="D20464" s="2"/>
    </row>
    <row r="20465" spans="1:4" ht="12.75" customHeight="1" x14ac:dyDescent="0.2">
      <c r="B20465" s="2"/>
      <c r="C20465" s="15"/>
      <c r="D20465" s="2"/>
    </row>
    <row r="20466" spans="1:4" ht="12.75" customHeight="1" x14ac:dyDescent="0.2">
      <c r="B20466" s="2"/>
      <c r="C20466" s="15"/>
      <c r="D20466" s="2"/>
    </row>
    <row r="20467" spans="1:4" ht="12.75" customHeight="1" x14ac:dyDescent="0.2">
      <c r="A20467" s="13" t="s">
        <v>2782</v>
      </c>
      <c r="C20467" s="12"/>
    </row>
    <row r="20468" spans="1:4" ht="12.75" customHeight="1" x14ac:dyDescent="0.2">
      <c r="A20468" s="11"/>
      <c r="B20468" s="2"/>
      <c r="C20468" s="15"/>
      <c r="D20468" s="2"/>
    </row>
    <row r="20469" spans="1:4" ht="12.75" customHeight="1" x14ac:dyDescent="0.2">
      <c r="B20469" s="11" t="s">
        <v>0</v>
      </c>
      <c r="C20469" s="11" t="s">
        <v>1165</v>
      </c>
    </row>
    <row r="20470" spans="1:4" ht="12.75" customHeight="1" x14ac:dyDescent="0.2">
      <c r="B20470" s="11" t="s">
        <v>2599</v>
      </c>
      <c r="C20470" s="11" t="s">
        <v>5927</v>
      </c>
    </row>
    <row r="20471" spans="1:4" ht="25.5" customHeight="1" x14ac:dyDescent="0.2">
      <c r="B20471" s="11" t="s">
        <v>2600</v>
      </c>
      <c r="C20471" s="11" t="s">
        <v>5928</v>
      </c>
    </row>
    <row r="20472" spans="1:4" ht="25.5" customHeight="1" x14ac:dyDescent="0.2">
      <c r="B20472" s="11" t="s">
        <v>2601</v>
      </c>
      <c r="C20472" s="11"/>
    </row>
    <row r="20473" spans="1:4" ht="12.75" customHeight="1" x14ac:dyDescent="0.2">
      <c r="B20473" s="11" t="s">
        <v>16</v>
      </c>
      <c r="C20473" s="11"/>
    </row>
    <row r="20474" spans="1:4" ht="12.75" customHeight="1" x14ac:dyDescent="0.2">
      <c r="B20474" s="11" t="s">
        <v>13</v>
      </c>
      <c r="C20474" s="11" t="s">
        <v>2644</v>
      </c>
    </row>
    <row r="20475" spans="1:4" ht="12.75" customHeight="1" x14ac:dyDescent="0.2">
      <c r="B20475" s="11" t="s">
        <v>2603</v>
      </c>
      <c r="C20475" s="11" t="s">
        <v>2604</v>
      </c>
    </row>
    <row r="20476" spans="1:4" ht="12.75" customHeight="1" x14ac:dyDescent="0.2">
      <c r="B20476" s="11" t="s">
        <v>2605</v>
      </c>
      <c r="C20476" s="11" t="s">
        <v>14</v>
      </c>
    </row>
    <row r="20477" spans="1:4" ht="12.75" customHeight="1" x14ac:dyDescent="0.2">
      <c r="B20477" s="11" t="s">
        <v>2606</v>
      </c>
      <c r="C20477" s="16" t="s">
        <v>44</v>
      </c>
      <c r="D20477" s="6" t="str">
        <f>HYPERLINK("javascript:void(0)","alakváltókő")</f>
        <v>alakváltókő</v>
      </c>
    </row>
    <row r="20478" spans="1:4" ht="12.75" customHeight="1" x14ac:dyDescent="0.2">
      <c r="B20478" s="2"/>
      <c r="C20478" s="15"/>
      <c r="D20478" s="2"/>
    </row>
    <row r="20479" spans="1:4" ht="12.75" customHeight="1" x14ac:dyDescent="0.2">
      <c r="B20479" s="2"/>
      <c r="C20479" s="15"/>
      <c r="D20479" s="2"/>
    </row>
    <row r="20480" spans="1:4" ht="12.75" customHeight="1" x14ac:dyDescent="0.2">
      <c r="A20480" s="13" t="s">
        <v>2962</v>
      </c>
      <c r="C20480" s="12"/>
    </row>
    <row r="20481" spans="1:4" ht="12.75" customHeight="1" x14ac:dyDescent="0.2">
      <c r="A20481" s="11"/>
      <c r="B20481" s="2"/>
      <c r="C20481" s="15"/>
      <c r="D20481" s="2"/>
    </row>
    <row r="20482" spans="1:4" ht="12.75" customHeight="1" x14ac:dyDescent="0.2">
      <c r="B20482" s="11" t="s">
        <v>0</v>
      </c>
      <c r="C20482" s="11" t="s">
        <v>1165</v>
      </c>
    </row>
    <row r="20483" spans="1:4" ht="12.75" customHeight="1" x14ac:dyDescent="0.2">
      <c r="B20483" s="11" t="s">
        <v>2599</v>
      </c>
      <c r="C20483" s="11" t="s">
        <v>5929</v>
      </c>
    </row>
    <row r="20484" spans="1:4" ht="25.5" customHeight="1" x14ac:dyDescent="0.2">
      <c r="B20484" s="11" t="s">
        <v>2600</v>
      </c>
      <c r="C20484" s="11" t="s">
        <v>5930</v>
      </c>
    </row>
    <row r="20485" spans="1:4" ht="25.5" customHeight="1" x14ac:dyDescent="0.2">
      <c r="B20485" s="11" t="s">
        <v>2601</v>
      </c>
      <c r="C20485" s="11"/>
    </row>
    <row r="20486" spans="1:4" ht="12.75" customHeight="1" x14ac:dyDescent="0.2">
      <c r="B20486" s="11" t="s">
        <v>16</v>
      </c>
      <c r="C20486" s="11"/>
    </row>
    <row r="20487" spans="1:4" ht="12.75" customHeight="1" x14ac:dyDescent="0.2">
      <c r="B20487" s="11" t="s">
        <v>13</v>
      </c>
      <c r="C20487" s="11" t="s">
        <v>2644</v>
      </c>
    </row>
    <row r="20488" spans="1:4" ht="12.75" customHeight="1" x14ac:dyDescent="0.2">
      <c r="B20488" s="11" t="s">
        <v>2603</v>
      </c>
      <c r="C20488" s="11" t="s">
        <v>2965</v>
      </c>
    </row>
    <row r="20489" spans="1:4" ht="12.75" customHeight="1" x14ac:dyDescent="0.2">
      <c r="B20489" s="11" t="s">
        <v>2605</v>
      </c>
      <c r="C20489" s="11" t="s">
        <v>14</v>
      </c>
    </row>
    <row r="20490" spans="1:4" ht="12.75" customHeight="1" x14ac:dyDescent="0.2">
      <c r="B20490" s="11" t="s">
        <v>2606</v>
      </c>
      <c r="C20490" s="16" t="s">
        <v>44</v>
      </c>
      <c r="D20490" s="6" t="str">
        <f>HYPERLINK("javascript:void(0)","hínárgyöngy")</f>
        <v>hínárgyöngy</v>
      </c>
    </row>
    <row r="20491" spans="1:4" ht="25.5" customHeight="1" x14ac:dyDescent="0.2">
      <c r="C20491" s="16" t="s">
        <v>57</v>
      </c>
      <c r="D20491" s="6" t="str">
        <f>HYPERLINK("javascript:void(0)","harmatcsepp")</f>
        <v>harmatcsepp</v>
      </c>
    </row>
    <row r="20492" spans="1:4" ht="12.75" customHeight="1" x14ac:dyDescent="0.2">
      <c r="B20492" s="2"/>
      <c r="C20492" s="15"/>
      <c r="D20492" s="2"/>
    </row>
    <row r="20493" spans="1:4" ht="12.75" customHeight="1" x14ac:dyDescent="0.2">
      <c r="B20493" s="2"/>
      <c r="C20493" s="15"/>
      <c r="D20493" s="2"/>
    </row>
    <row r="20494" spans="1:4" ht="12.75" customHeight="1" x14ac:dyDescent="0.2">
      <c r="A20494" s="13" t="s">
        <v>5813</v>
      </c>
      <c r="C20494" s="12"/>
      <c r="D20494" s="2"/>
    </row>
    <row r="20495" spans="1:4" ht="12.75" customHeight="1" x14ac:dyDescent="0.2">
      <c r="A20495" s="11"/>
      <c r="B20495" s="2"/>
      <c r="C20495" s="15"/>
      <c r="D20495" s="2"/>
    </row>
    <row r="20496" spans="1:4" ht="12.75" customHeight="1" x14ac:dyDescent="0.2">
      <c r="B20496" s="11" t="s">
        <v>0</v>
      </c>
      <c r="C20496" s="17" t="s">
        <v>1165</v>
      </c>
      <c r="D20496" s="2"/>
    </row>
    <row r="20497" spans="1:4" ht="12.75" customHeight="1" x14ac:dyDescent="0.2">
      <c r="B20497" s="11" t="s">
        <v>2599</v>
      </c>
      <c r="C20497" s="17" t="s">
        <v>5684</v>
      </c>
      <c r="D20497" s="2"/>
    </row>
    <row r="20498" spans="1:4" ht="25.5" customHeight="1" x14ac:dyDescent="0.2">
      <c r="B20498" s="11" t="s">
        <v>2600</v>
      </c>
      <c r="C20498" s="17" t="s">
        <v>5931</v>
      </c>
      <c r="D20498" s="2"/>
    </row>
    <row r="20499" spans="1:4" ht="25.5" customHeight="1" x14ac:dyDescent="0.2">
      <c r="B20499" s="11" t="s">
        <v>2601</v>
      </c>
      <c r="C20499" s="17"/>
      <c r="D20499" s="2"/>
    </row>
    <row r="20500" spans="1:4" ht="12.75" customHeight="1" x14ac:dyDescent="0.2">
      <c r="B20500" s="11" t="s">
        <v>16</v>
      </c>
      <c r="C20500" s="17"/>
      <c r="D20500" s="2"/>
    </row>
    <row r="20501" spans="1:4" ht="12.75" customHeight="1" x14ac:dyDescent="0.2">
      <c r="B20501" s="11" t="s">
        <v>13</v>
      </c>
      <c r="C20501" s="17" t="s">
        <v>2602</v>
      </c>
      <c r="D20501" s="2"/>
    </row>
    <row r="20502" spans="1:4" ht="25.5" customHeight="1" x14ac:dyDescent="0.2">
      <c r="B20502" s="11" t="s">
        <v>2603</v>
      </c>
      <c r="C20502" s="17" t="s">
        <v>2971</v>
      </c>
      <c r="D20502" s="2"/>
    </row>
    <row r="20503" spans="1:4" ht="12.75" customHeight="1" x14ac:dyDescent="0.2">
      <c r="B20503" s="11" t="s">
        <v>2605</v>
      </c>
      <c r="C20503" s="17" t="s">
        <v>14</v>
      </c>
      <c r="D20503" s="2"/>
    </row>
    <row r="20504" spans="1:4" ht="12.75" customHeight="1" x14ac:dyDescent="0.2">
      <c r="B20504" s="11" t="s">
        <v>2606</v>
      </c>
      <c r="C20504" s="16" t="s">
        <v>19</v>
      </c>
      <c r="D20504" s="2"/>
    </row>
    <row r="20505" spans="1:4" ht="12.75" customHeight="1" x14ac:dyDescent="0.2">
      <c r="B20505" s="2"/>
      <c r="C20505" s="15"/>
      <c r="D20505" s="2"/>
    </row>
    <row r="20506" spans="1:4" ht="12.75" customHeight="1" x14ac:dyDescent="0.2">
      <c r="B20506" s="2"/>
      <c r="C20506" s="15"/>
      <c r="D20506" s="2"/>
    </row>
    <row r="20507" spans="1:4" ht="12.75" customHeight="1" x14ac:dyDescent="0.2">
      <c r="A20507" s="13" t="s">
        <v>5932</v>
      </c>
      <c r="C20507" s="12"/>
    </row>
    <row r="20508" spans="1:4" ht="12.75" customHeight="1" x14ac:dyDescent="0.2">
      <c r="A20508" s="11"/>
      <c r="B20508" s="2"/>
      <c r="C20508" s="15"/>
      <c r="D20508" s="2"/>
    </row>
    <row r="20509" spans="1:4" ht="12.75" customHeight="1" x14ac:dyDescent="0.2">
      <c r="B20509" s="11" t="s">
        <v>0</v>
      </c>
      <c r="C20509" s="11" t="s">
        <v>1165</v>
      </c>
    </row>
    <row r="20510" spans="1:4" ht="12.75" customHeight="1" x14ac:dyDescent="0.2">
      <c r="B20510" s="11" t="s">
        <v>2599</v>
      </c>
      <c r="C20510" s="11" t="s">
        <v>5933</v>
      </c>
    </row>
    <row r="20511" spans="1:4" ht="25.5" customHeight="1" x14ac:dyDescent="0.2">
      <c r="B20511" s="11" t="s">
        <v>2600</v>
      </c>
      <c r="C20511" s="11" t="s">
        <v>5934</v>
      </c>
    </row>
    <row r="20512" spans="1:4" ht="25.5" customHeight="1" x14ac:dyDescent="0.2">
      <c r="B20512" s="11" t="s">
        <v>2601</v>
      </c>
      <c r="C20512" s="11"/>
    </row>
    <row r="20513" spans="1:4" ht="12.75" customHeight="1" x14ac:dyDescent="0.2">
      <c r="B20513" s="11" t="s">
        <v>16</v>
      </c>
      <c r="C20513" s="11"/>
    </row>
    <row r="20514" spans="1:4" ht="12.75" customHeight="1" x14ac:dyDescent="0.2">
      <c r="B20514" s="11" t="s">
        <v>13</v>
      </c>
      <c r="C20514" s="11" t="s">
        <v>2602</v>
      </c>
    </row>
    <row r="20515" spans="1:4" ht="12.75" customHeight="1" x14ac:dyDescent="0.2">
      <c r="B20515" s="11" t="s">
        <v>2603</v>
      </c>
      <c r="C20515" s="11" t="s">
        <v>2604</v>
      </c>
    </row>
    <row r="20516" spans="1:4" ht="12.75" customHeight="1" x14ac:dyDescent="0.2">
      <c r="B20516" s="11" t="s">
        <v>2605</v>
      </c>
      <c r="C20516" s="11" t="s">
        <v>24</v>
      </c>
    </row>
    <row r="20517" spans="1:4" ht="12.75" customHeight="1" x14ac:dyDescent="0.2">
      <c r="B20517" s="11" t="s">
        <v>2606</v>
      </c>
      <c r="C20517" s="16" t="s">
        <v>56</v>
      </c>
      <c r="D20517" s="6" t="str">
        <f>HYPERLINK("javascript:void(0)","szemhéj")</f>
        <v>szemhéj</v>
      </c>
    </row>
    <row r="20518" spans="1:4" ht="12.75" customHeight="1" x14ac:dyDescent="0.2">
      <c r="C20518" s="16" t="s">
        <v>67</v>
      </c>
      <c r="D20518" s="6" t="str">
        <f>HYPERLINK("javascript:void(0)","kincs")</f>
        <v>kincs</v>
      </c>
    </row>
    <row r="20519" spans="1:4" ht="12.75" customHeight="1" x14ac:dyDescent="0.2">
      <c r="B20519" s="2"/>
      <c r="C20519" s="15"/>
      <c r="D20519" s="2"/>
    </row>
    <row r="20520" spans="1:4" ht="12.75" customHeight="1" x14ac:dyDescent="0.2">
      <c r="B20520" s="2"/>
      <c r="C20520" s="15"/>
      <c r="D20520" s="2"/>
    </row>
    <row r="20521" spans="1:4" ht="12.75" customHeight="1" x14ac:dyDescent="0.2">
      <c r="A20521" s="13" t="s">
        <v>5935</v>
      </c>
      <c r="C20521" s="12"/>
    </row>
    <row r="20522" spans="1:4" ht="12.75" customHeight="1" x14ac:dyDescent="0.2">
      <c r="A20522" s="11"/>
      <c r="B20522" s="2"/>
      <c r="C20522" s="15"/>
      <c r="D20522" s="2"/>
    </row>
    <row r="20523" spans="1:4" ht="12.75" customHeight="1" x14ac:dyDescent="0.2">
      <c r="B20523" s="11" t="s">
        <v>0</v>
      </c>
      <c r="C20523" s="11" t="s">
        <v>1165</v>
      </c>
    </row>
    <row r="20524" spans="1:4" ht="12.75" customHeight="1" x14ac:dyDescent="0.2">
      <c r="B20524" s="11" t="s">
        <v>2599</v>
      </c>
      <c r="C20524" s="11" t="s">
        <v>5929</v>
      </c>
    </row>
    <row r="20525" spans="1:4" ht="25.5" customHeight="1" x14ac:dyDescent="0.2">
      <c r="B20525" s="11" t="s">
        <v>2600</v>
      </c>
      <c r="C20525" s="11" t="s">
        <v>5936</v>
      </c>
    </row>
    <row r="20526" spans="1:4" ht="25.5" customHeight="1" x14ac:dyDescent="0.2">
      <c r="B20526" s="11" t="s">
        <v>2601</v>
      </c>
      <c r="C20526" s="11"/>
    </row>
    <row r="20527" spans="1:4" ht="12.75" customHeight="1" x14ac:dyDescent="0.2">
      <c r="B20527" s="11" t="s">
        <v>16</v>
      </c>
      <c r="C20527" s="11"/>
    </row>
    <row r="20528" spans="1:4" ht="12.75" customHeight="1" x14ac:dyDescent="0.2">
      <c r="B20528" s="11" t="s">
        <v>13</v>
      </c>
      <c r="C20528" s="11" t="s">
        <v>2644</v>
      </c>
    </row>
    <row r="20529" spans="1:4" ht="12.75" customHeight="1" x14ac:dyDescent="0.2">
      <c r="B20529" s="11" t="s">
        <v>2603</v>
      </c>
      <c r="C20529" s="11" t="s">
        <v>2604</v>
      </c>
    </row>
    <row r="20530" spans="1:4" ht="12.75" customHeight="1" x14ac:dyDescent="0.2">
      <c r="B20530" s="11" t="s">
        <v>2605</v>
      </c>
      <c r="C20530" s="11" t="s">
        <v>24</v>
      </c>
    </row>
    <row r="20531" spans="1:4" ht="12.75" customHeight="1" x14ac:dyDescent="0.2">
      <c r="B20531" s="11" t="s">
        <v>2606</v>
      </c>
      <c r="C20531" s="16" t="s">
        <v>56</v>
      </c>
      <c r="D20531" s="6" t="str">
        <f>HYPERLINK("javascript:void(0)","kristálylap")</f>
        <v>kristálylap</v>
      </c>
    </row>
    <row r="20532" spans="1:4" ht="12.75" customHeight="1" x14ac:dyDescent="0.2">
      <c r="C20532" s="16" t="s">
        <v>117</v>
      </c>
      <c r="D20532" s="6" t="str">
        <f>HYPERLINK("javascript:void(0)","kincs")</f>
        <v>kincs</v>
      </c>
    </row>
    <row r="20533" spans="1:4" ht="12.75" customHeight="1" x14ac:dyDescent="0.2">
      <c r="B20533" s="2"/>
      <c r="C20533" s="15"/>
      <c r="D20533" s="2"/>
    </row>
    <row r="20534" spans="1:4" ht="12.75" customHeight="1" x14ac:dyDescent="0.2">
      <c r="B20534" s="2"/>
      <c r="C20534" s="15"/>
      <c r="D20534" s="2"/>
    </row>
    <row r="20535" spans="1:4" ht="12.75" customHeight="1" x14ac:dyDescent="0.2">
      <c r="A20535" s="13" t="s">
        <v>5937</v>
      </c>
      <c r="C20535" s="12"/>
    </row>
    <row r="20536" spans="1:4" ht="12.75" customHeight="1" x14ac:dyDescent="0.2">
      <c r="A20536" s="11"/>
      <c r="B20536" s="2"/>
      <c r="C20536" s="15"/>
      <c r="D20536" s="2"/>
    </row>
    <row r="20537" spans="1:4" ht="12.75" customHeight="1" x14ac:dyDescent="0.2">
      <c r="B20537" s="11" t="s">
        <v>0</v>
      </c>
      <c r="C20537" s="11" t="s">
        <v>1165</v>
      </c>
    </row>
    <row r="20538" spans="1:4" ht="12.75" customHeight="1" x14ac:dyDescent="0.2">
      <c r="B20538" s="11" t="s">
        <v>2599</v>
      </c>
      <c r="C20538" s="11" t="s">
        <v>5927</v>
      </c>
    </row>
    <row r="20539" spans="1:4" ht="25.5" customHeight="1" x14ac:dyDescent="0.2">
      <c r="B20539" s="11" t="s">
        <v>2600</v>
      </c>
      <c r="C20539" s="11" t="s">
        <v>5938</v>
      </c>
    </row>
    <row r="20540" spans="1:4" ht="25.5" customHeight="1" x14ac:dyDescent="0.2">
      <c r="B20540" s="11" t="s">
        <v>2601</v>
      </c>
      <c r="C20540" s="11"/>
    </row>
    <row r="20541" spans="1:4" ht="12.75" customHeight="1" x14ac:dyDescent="0.2">
      <c r="B20541" s="11" t="s">
        <v>16</v>
      </c>
      <c r="C20541" s="11"/>
    </row>
    <row r="20542" spans="1:4" ht="12.75" customHeight="1" x14ac:dyDescent="0.2">
      <c r="B20542" s="11" t="s">
        <v>13</v>
      </c>
      <c r="C20542" s="11" t="s">
        <v>2644</v>
      </c>
    </row>
    <row r="20543" spans="1:4" ht="12.75" customHeight="1" x14ac:dyDescent="0.2">
      <c r="B20543" s="11" t="s">
        <v>2603</v>
      </c>
      <c r="C20543" s="11" t="s">
        <v>2604</v>
      </c>
    </row>
    <row r="20544" spans="1:4" ht="12.75" customHeight="1" x14ac:dyDescent="0.2">
      <c r="B20544" s="11" t="s">
        <v>2605</v>
      </c>
      <c r="C20544" s="11" t="s">
        <v>24</v>
      </c>
    </row>
    <row r="20545" spans="1:4" ht="12.75" customHeight="1" x14ac:dyDescent="0.2">
      <c r="B20545" s="11" t="s">
        <v>2606</v>
      </c>
      <c r="C20545" s="16" t="s">
        <v>56</v>
      </c>
      <c r="D20545" s="6" t="str">
        <f>HYPERLINK("javascript:void(0)","csonttoll")</f>
        <v>csonttoll</v>
      </c>
    </row>
    <row r="20546" spans="1:4" ht="12.75" customHeight="1" x14ac:dyDescent="0.2">
      <c r="B20546" s="2"/>
      <c r="C20546" s="15"/>
      <c r="D20546" s="2"/>
    </row>
    <row r="20547" spans="1:4" ht="12.75" customHeight="1" x14ac:dyDescent="0.2">
      <c r="B20547" s="2"/>
      <c r="C20547" s="15"/>
      <c r="D20547" s="2"/>
    </row>
    <row r="20548" spans="1:4" ht="12.75" customHeight="1" x14ac:dyDescent="0.2">
      <c r="A20548" s="13" t="s">
        <v>5940</v>
      </c>
      <c r="C20548" s="12"/>
    </row>
    <row r="20549" spans="1:4" ht="12.75" customHeight="1" x14ac:dyDescent="0.2">
      <c r="A20549" s="11"/>
      <c r="B20549" s="2"/>
      <c r="C20549" s="15"/>
      <c r="D20549" s="2"/>
    </row>
    <row r="20550" spans="1:4" ht="12.75" customHeight="1" x14ac:dyDescent="0.2">
      <c r="B20550" s="11" t="s">
        <v>0</v>
      </c>
      <c r="C20550" s="11" t="s">
        <v>1165</v>
      </c>
    </row>
    <row r="20551" spans="1:4" ht="12.75" customHeight="1" x14ac:dyDescent="0.2">
      <c r="B20551" s="11" t="s">
        <v>2599</v>
      </c>
      <c r="C20551" s="11" t="s">
        <v>2015</v>
      </c>
    </row>
    <row r="20552" spans="1:4" ht="25.5" customHeight="1" x14ac:dyDescent="0.2">
      <c r="B20552" s="11" t="s">
        <v>2600</v>
      </c>
      <c r="C20552" s="11" t="s">
        <v>5941</v>
      </c>
    </row>
    <row r="20553" spans="1:4" ht="25.5" customHeight="1" x14ac:dyDescent="0.2">
      <c r="B20553" s="11" t="s">
        <v>2601</v>
      </c>
      <c r="C20553" s="11"/>
    </row>
    <row r="20554" spans="1:4" ht="12.75" customHeight="1" x14ac:dyDescent="0.2">
      <c r="B20554" s="11" t="s">
        <v>16</v>
      </c>
      <c r="C20554" s="11"/>
    </row>
    <row r="20555" spans="1:4" ht="12.75" customHeight="1" x14ac:dyDescent="0.2">
      <c r="B20555" s="11" t="s">
        <v>13</v>
      </c>
      <c r="C20555" s="11" t="s">
        <v>2644</v>
      </c>
    </row>
    <row r="20556" spans="1:4" ht="12.75" customHeight="1" x14ac:dyDescent="0.2">
      <c r="B20556" s="11" t="s">
        <v>2603</v>
      </c>
      <c r="C20556" s="11" t="s">
        <v>2604</v>
      </c>
    </row>
    <row r="20557" spans="1:4" ht="12.75" customHeight="1" x14ac:dyDescent="0.2">
      <c r="B20557" s="11" t="s">
        <v>2605</v>
      </c>
      <c r="C20557" s="11" t="s">
        <v>14</v>
      </c>
    </row>
    <row r="20558" spans="1:4" ht="12.75" customHeight="1" x14ac:dyDescent="0.2">
      <c r="B20558" s="11" t="s">
        <v>2606</v>
      </c>
      <c r="C20558" s="16" t="s">
        <v>44</v>
      </c>
      <c r="D20558" s="6" t="str">
        <f>HYPERLINK("javascript:void(0)","életkristály")</f>
        <v>életkristály</v>
      </c>
    </row>
    <row r="20559" spans="1:4" ht="12.75" customHeight="1" x14ac:dyDescent="0.2">
      <c r="C20559" s="16" t="s">
        <v>67</v>
      </c>
      <c r="D20559" s="6" t="str">
        <f>HYPERLINK("javascript:void(0)","kincs")</f>
        <v>kincs</v>
      </c>
    </row>
    <row r="20560" spans="1:4" ht="12.75" customHeight="1" x14ac:dyDescent="0.2">
      <c r="C20560" s="16" t="s">
        <v>44</v>
      </c>
      <c r="D20560" s="6" t="str">
        <f>HYPERLINK("javascript:void(0)","zombiszem")</f>
        <v>zombiszem</v>
      </c>
    </row>
    <row r="20561" spans="1:4" ht="12.75" customHeight="1" x14ac:dyDescent="0.2">
      <c r="B20561" s="2"/>
      <c r="C20561" s="15"/>
      <c r="D20561" s="2"/>
    </row>
    <row r="20562" spans="1:4" ht="12.75" customHeight="1" x14ac:dyDescent="0.2">
      <c r="B20562" s="2"/>
      <c r="C20562" s="15"/>
      <c r="D20562" s="2"/>
    </row>
    <row r="20563" spans="1:4" ht="12.75" customHeight="1" x14ac:dyDescent="0.2">
      <c r="A20563" s="13" t="s">
        <v>5944</v>
      </c>
      <c r="C20563" s="12"/>
    </row>
    <row r="20564" spans="1:4" ht="12.75" customHeight="1" x14ac:dyDescent="0.2">
      <c r="A20564" s="11"/>
      <c r="B20564" s="2"/>
      <c r="C20564" s="15"/>
      <c r="D20564" s="2"/>
    </row>
    <row r="20565" spans="1:4" ht="12.75" customHeight="1" x14ac:dyDescent="0.2">
      <c r="B20565" s="11" t="s">
        <v>0</v>
      </c>
      <c r="C20565" s="11" t="s">
        <v>1165</v>
      </c>
    </row>
    <row r="20566" spans="1:4" ht="12.75" customHeight="1" x14ac:dyDescent="0.2">
      <c r="B20566" s="11" t="s">
        <v>2599</v>
      </c>
      <c r="C20566" s="11" t="s">
        <v>5945</v>
      </c>
    </row>
    <row r="20567" spans="1:4" ht="25.5" customHeight="1" x14ac:dyDescent="0.2">
      <c r="B20567" s="11" t="s">
        <v>2600</v>
      </c>
      <c r="C20567" s="11" t="s">
        <v>5946</v>
      </c>
    </row>
    <row r="20568" spans="1:4" ht="25.5" customHeight="1" x14ac:dyDescent="0.2">
      <c r="B20568" s="11" t="s">
        <v>2601</v>
      </c>
      <c r="C20568" s="11"/>
    </row>
    <row r="20569" spans="1:4" ht="12.75" customHeight="1" x14ac:dyDescent="0.2">
      <c r="B20569" s="11" t="s">
        <v>16</v>
      </c>
      <c r="C20569" s="11"/>
    </row>
    <row r="20570" spans="1:4" ht="12.75" customHeight="1" x14ac:dyDescent="0.2">
      <c r="B20570" s="11" t="s">
        <v>13</v>
      </c>
      <c r="C20570" s="11" t="s">
        <v>2602</v>
      </c>
    </row>
    <row r="20571" spans="1:4" ht="12.75" customHeight="1" x14ac:dyDescent="0.2">
      <c r="B20571" s="11" t="s">
        <v>2603</v>
      </c>
      <c r="C20571" s="11" t="s">
        <v>2604</v>
      </c>
    </row>
    <row r="20572" spans="1:4" ht="12.75" customHeight="1" x14ac:dyDescent="0.2">
      <c r="B20572" s="11" t="s">
        <v>2605</v>
      </c>
      <c r="C20572" s="11" t="s">
        <v>14</v>
      </c>
    </row>
    <row r="20573" spans="1:4" ht="12.75" customHeight="1" x14ac:dyDescent="0.2">
      <c r="B20573" s="11" t="s">
        <v>2606</v>
      </c>
      <c r="C20573" s="16" t="s">
        <v>67</v>
      </c>
      <c r="D20573" s="6" t="str">
        <f>HYPERLINK("javascript:void(0)","jáspis")</f>
        <v>jáspis</v>
      </c>
    </row>
    <row r="20574" spans="1:4" ht="12.75" customHeight="1" x14ac:dyDescent="0.2">
      <c r="C20574" s="16" t="s">
        <v>56</v>
      </c>
      <c r="D20574" s="6" t="str">
        <f>HYPERLINK("javascript:void(0)","fügetövis")</f>
        <v>fügetövis</v>
      </c>
    </row>
    <row r="20575" spans="1:4" ht="12.75" customHeight="1" x14ac:dyDescent="0.2">
      <c r="B20575" s="2"/>
      <c r="C20575" s="15"/>
      <c r="D20575" s="2"/>
    </row>
    <row r="20576" spans="1:4" ht="12.75" customHeight="1" x14ac:dyDescent="0.2">
      <c r="B20576" s="2"/>
      <c r="C20576" s="15"/>
      <c r="D20576" s="2"/>
    </row>
    <row r="20577" spans="1:4" ht="12.75" customHeight="1" x14ac:dyDescent="0.2">
      <c r="A20577" s="13" t="s">
        <v>5947</v>
      </c>
      <c r="C20577" s="12"/>
    </row>
    <row r="20578" spans="1:4" ht="12.75" customHeight="1" x14ac:dyDescent="0.2">
      <c r="A20578" s="11"/>
      <c r="B20578" s="2"/>
      <c r="C20578" s="15"/>
      <c r="D20578" s="2"/>
    </row>
    <row r="20579" spans="1:4" ht="12.75" customHeight="1" x14ac:dyDescent="0.2">
      <c r="B20579" s="11" t="s">
        <v>0</v>
      </c>
      <c r="C20579" s="11" t="s">
        <v>1165</v>
      </c>
    </row>
    <row r="20580" spans="1:4" ht="12.75" customHeight="1" x14ac:dyDescent="0.2">
      <c r="B20580" s="11" t="s">
        <v>2599</v>
      </c>
      <c r="C20580" s="11" t="s">
        <v>1959</v>
      </c>
    </row>
    <row r="20581" spans="1:4" ht="25.5" customHeight="1" x14ac:dyDescent="0.2">
      <c r="B20581" s="11" t="s">
        <v>2600</v>
      </c>
      <c r="C20581" s="11" t="s">
        <v>5948</v>
      </c>
    </row>
    <row r="20582" spans="1:4" ht="25.5" customHeight="1" x14ac:dyDescent="0.2">
      <c r="B20582" s="11" t="s">
        <v>2601</v>
      </c>
      <c r="C20582" s="11"/>
    </row>
    <row r="20583" spans="1:4" ht="12.75" customHeight="1" x14ac:dyDescent="0.2">
      <c r="B20583" s="11" t="s">
        <v>16</v>
      </c>
      <c r="C20583" s="11"/>
    </row>
    <row r="20584" spans="1:4" ht="12.75" customHeight="1" x14ac:dyDescent="0.2">
      <c r="B20584" s="11" t="s">
        <v>13</v>
      </c>
      <c r="C20584" s="11" t="s">
        <v>2602</v>
      </c>
    </row>
    <row r="20585" spans="1:4" ht="12.75" customHeight="1" x14ac:dyDescent="0.2">
      <c r="B20585" s="11" t="s">
        <v>2603</v>
      </c>
      <c r="C20585" s="11" t="s">
        <v>2604</v>
      </c>
    </row>
    <row r="20586" spans="1:4" ht="12.75" customHeight="1" x14ac:dyDescent="0.2">
      <c r="B20586" s="11" t="s">
        <v>2605</v>
      </c>
      <c r="C20586" s="11" t="s">
        <v>14</v>
      </c>
    </row>
    <row r="20587" spans="1:4" ht="12.75" customHeight="1" x14ac:dyDescent="0.2">
      <c r="B20587" s="11" t="s">
        <v>2606</v>
      </c>
      <c r="C20587" s="16" t="s">
        <v>67</v>
      </c>
      <c r="D20587" s="6" t="str">
        <f>HYPERLINK("javascript:void(0)","kincs")</f>
        <v>kincs</v>
      </c>
    </row>
    <row r="20588" spans="1:4" ht="25.5" customHeight="1" x14ac:dyDescent="0.2">
      <c r="C20588" s="16" t="s">
        <v>44</v>
      </c>
      <c r="D20588" s="6" t="str">
        <f>HYPERLINK("javascript:void(0)","tuskójelvény")</f>
        <v>tuskójelvény</v>
      </c>
    </row>
    <row r="20589" spans="1:4" ht="12.75" customHeight="1" x14ac:dyDescent="0.2">
      <c r="B20589" s="2"/>
      <c r="C20589" s="15"/>
      <c r="D20589" s="2"/>
    </row>
    <row r="20590" spans="1:4" ht="12.75" customHeight="1" x14ac:dyDescent="0.2">
      <c r="B20590" s="2"/>
      <c r="C20590" s="15"/>
      <c r="D20590" s="2"/>
    </row>
    <row r="20591" spans="1:4" ht="12.75" customHeight="1" x14ac:dyDescent="0.2">
      <c r="A20591" s="13" t="s">
        <v>5949</v>
      </c>
      <c r="C20591" s="12"/>
    </row>
    <row r="20592" spans="1:4" ht="12.75" customHeight="1" x14ac:dyDescent="0.2">
      <c r="A20592" s="11"/>
      <c r="B20592" s="2"/>
      <c r="C20592" s="15"/>
      <c r="D20592" s="2"/>
    </row>
    <row r="20593" spans="1:4" ht="12.75" customHeight="1" x14ac:dyDescent="0.2">
      <c r="B20593" s="11" t="s">
        <v>0</v>
      </c>
      <c r="C20593" s="11" t="s">
        <v>1165</v>
      </c>
    </row>
    <row r="20594" spans="1:4" ht="12.75" customHeight="1" x14ac:dyDescent="0.2">
      <c r="B20594" s="11" t="s">
        <v>2599</v>
      </c>
      <c r="C20594" s="11" t="s">
        <v>3470</v>
      </c>
    </row>
    <row r="20595" spans="1:4" ht="25.5" customHeight="1" x14ac:dyDescent="0.2">
      <c r="B20595" s="11" t="s">
        <v>2600</v>
      </c>
      <c r="C20595" s="11" t="s">
        <v>5950</v>
      </c>
    </row>
    <row r="20596" spans="1:4" ht="25.5" customHeight="1" x14ac:dyDescent="0.2">
      <c r="B20596" s="11" t="s">
        <v>2601</v>
      </c>
      <c r="C20596" s="11"/>
    </row>
    <row r="20597" spans="1:4" ht="12.75" customHeight="1" x14ac:dyDescent="0.2">
      <c r="B20597" s="11" t="s">
        <v>16</v>
      </c>
      <c r="C20597" s="11"/>
    </row>
    <row r="20598" spans="1:4" ht="12.75" customHeight="1" x14ac:dyDescent="0.2">
      <c r="B20598" s="11" t="s">
        <v>13</v>
      </c>
      <c r="C20598" s="11" t="s">
        <v>2602</v>
      </c>
    </row>
    <row r="20599" spans="1:4" ht="12.75" customHeight="1" x14ac:dyDescent="0.2">
      <c r="B20599" s="11" t="s">
        <v>2603</v>
      </c>
      <c r="C20599" s="11" t="s">
        <v>2604</v>
      </c>
    </row>
    <row r="20600" spans="1:4" ht="12.75" customHeight="1" x14ac:dyDescent="0.2">
      <c r="B20600" s="11" t="s">
        <v>2605</v>
      </c>
      <c r="C20600" s="11" t="s">
        <v>14</v>
      </c>
    </row>
    <row r="20601" spans="1:4" ht="12.75" customHeight="1" x14ac:dyDescent="0.2">
      <c r="B20601" s="11" t="s">
        <v>2606</v>
      </c>
      <c r="C20601" s="16" t="s">
        <v>44</v>
      </c>
      <c r="D20601" s="6" t="str">
        <f>HYPERLINK("javascript:void(0)","mágusbot")</f>
        <v>mágusbot</v>
      </c>
    </row>
    <row r="20602" spans="1:4" ht="12.75" customHeight="1" x14ac:dyDescent="0.2">
      <c r="C20602" s="16" t="s">
        <v>44</v>
      </c>
      <c r="D20602" s="6" t="str">
        <f>HYPERLINK("javascript:void(0)","vaspajzs")</f>
        <v>vaspajzs</v>
      </c>
    </row>
    <row r="20603" spans="1:4" ht="12.75" customHeight="1" x14ac:dyDescent="0.2">
      <c r="B20603" s="2"/>
      <c r="C20603" s="15"/>
      <c r="D20603" s="2"/>
    </row>
    <row r="20604" spans="1:4" ht="12.75" customHeight="1" x14ac:dyDescent="0.2">
      <c r="B20604" s="2"/>
      <c r="C20604" s="15"/>
      <c r="D20604" s="2"/>
    </row>
    <row r="20605" spans="1:4" ht="12.75" customHeight="1" x14ac:dyDescent="0.2">
      <c r="A20605" s="13" t="s">
        <v>5951</v>
      </c>
      <c r="C20605" s="12"/>
    </row>
    <row r="20606" spans="1:4" ht="12.75" customHeight="1" x14ac:dyDescent="0.2">
      <c r="A20606" s="11"/>
      <c r="B20606" s="2"/>
      <c r="C20606" s="15"/>
      <c r="D20606" s="2"/>
    </row>
    <row r="20607" spans="1:4" ht="12.75" customHeight="1" x14ac:dyDescent="0.2">
      <c r="B20607" s="11" t="s">
        <v>0</v>
      </c>
      <c r="C20607" s="11" t="s">
        <v>1165</v>
      </c>
    </row>
    <row r="20608" spans="1:4" ht="12.75" customHeight="1" x14ac:dyDescent="0.2">
      <c r="B20608" s="11" t="s">
        <v>2599</v>
      </c>
      <c r="C20608" s="11" t="s">
        <v>2578</v>
      </c>
    </row>
    <row r="20609" spans="1:4" ht="25.5" customHeight="1" x14ac:dyDescent="0.2">
      <c r="B20609" s="11" t="s">
        <v>2600</v>
      </c>
      <c r="C20609" s="11" t="s">
        <v>5952</v>
      </c>
    </row>
    <row r="20610" spans="1:4" ht="25.5" customHeight="1" x14ac:dyDescent="0.2">
      <c r="B20610" s="11" t="s">
        <v>2601</v>
      </c>
      <c r="C20610" s="11"/>
    </row>
    <row r="20611" spans="1:4" ht="12.75" customHeight="1" x14ac:dyDescent="0.2">
      <c r="B20611" s="11" t="s">
        <v>16</v>
      </c>
      <c r="C20611" s="11"/>
    </row>
    <row r="20612" spans="1:4" ht="12.75" customHeight="1" x14ac:dyDescent="0.2">
      <c r="B20612" s="11" t="s">
        <v>13</v>
      </c>
      <c r="C20612" s="11" t="s">
        <v>2644</v>
      </c>
    </row>
    <row r="20613" spans="1:4" ht="12.75" customHeight="1" x14ac:dyDescent="0.2">
      <c r="B20613" s="11" t="s">
        <v>2603</v>
      </c>
      <c r="C20613" s="11" t="s">
        <v>2604</v>
      </c>
    </row>
    <row r="20614" spans="1:4" ht="12.75" customHeight="1" x14ac:dyDescent="0.2">
      <c r="B20614" s="11" t="s">
        <v>2605</v>
      </c>
      <c r="C20614" s="11" t="s">
        <v>24</v>
      </c>
    </row>
    <row r="20615" spans="1:4" ht="12.75" customHeight="1" x14ac:dyDescent="0.2">
      <c r="B20615" s="11" t="s">
        <v>2606</v>
      </c>
      <c r="C20615" s="16" t="s">
        <v>77</v>
      </c>
      <c r="D20615" s="6" t="str">
        <f>HYPERLINK("javascript:void(0)","földige")</f>
        <v>földige</v>
      </c>
    </row>
    <row r="20616" spans="1:4" ht="12.75" customHeight="1" x14ac:dyDescent="0.2">
      <c r="C20616" s="16" t="s">
        <v>67</v>
      </c>
      <c r="D20616" s="6" t="str">
        <f>HYPERLINK("javascript:void(0)","kincs")</f>
        <v>kincs</v>
      </c>
    </row>
    <row r="20617" spans="1:4" ht="12.75" customHeight="1" x14ac:dyDescent="0.2">
      <c r="B20617" s="2"/>
      <c r="C20617" s="15"/>
      <c r="D20617" s="2"/>
    </row>
    <row r="20618" spans="1:4" ht="12.75" customHeight="1" x14ac:dyDescent="0.2">
      <c r="B20618" s="2"/>
      <c r="C20618" s="15"/>
      <c r="D20618" s="2"/>
    </row>
    <row r="20619" spans="1:4" ht="12.75" customHeight="1" x14ac:dyDescent="0.2">
      <c r="A20619" s="13" t="s">
        <v>5839</v>
      </c>
      <c r="C20619" s="12"/>
      <c r="D20619" s="2"/>
    </row>
    <row r="20620" spans="1:4" ht="12.75" customHeight="1" x14ac:dyDescent="0.2">
      <c r="A20620" s="11"/>
      <c r="B20620" s="2"/>
      <c r="C20620" s="15"/>
      <c r="D20620" s="2"/>
    </row>
    <row r="20621" spans="1:4" ht="12.75" customHeight="1" x14ac:dyDescent="0.2">
      <c r="B20621" s="11" t="s">
        <v>0</v>
      </c>
      <c r="C20621" s="17" t="s">
        <v>1165</v>
      </c>
      <c r="D20621" s="2"/>
    </row>
    <row r="20622" spans="1:4" ht="12.75" customHeight="1" x14ac:dyDescent="0.2">
      <c r="B20622" s="11" t="s">
        <v>2599</v>
      </c>
      <c r="C20622" s="17" t="s">
        <v>5687</v>
      </c>
      <c r="D20622" s="2"/>
    </row>
    <row r="20623" spans="1:4" ht="25.5" customHeight="1" x14ac:dyDescent="0.2">
      <c r="B20623" s="11" t="s">
        <v>2600</v>
      </c>
      <c r="C20623" s="17" t="s">
        <v>5954</v>
      </c>
      <c r="D20623" s="2"/>
    </row>
    <row r="20624" spans="1:4" ht="25.5" customHeight="1" x14ac:dyDescent="0.2">
      <c r="B20624" s="11" t="s">
        <v>2601</v>
      </c>
      <c r="C20624" s="17"/>
      <c r="D20624" s="2"/>
    </row>
    <row r="20625" spans="1:4" ht="12.75" customHeight="1" x14ac:dyDescent="0.2">
      <c r="B20625" s="11" t="s">
        <v>16</v>
      </c>
      <c r="C20625" s="17"/>
      <c r="D20625" s="2"/>
    </row>
    <row r="20626" spans="1:4" ht="12.75" customHeight="1" x14ac:dyDescent="0.2">
      <c r="B20626" s="11" t="s">
        <v>13</v>
      </c>
      <c r="C20626" s="17" t="s">
        <v>2644</v>
      </c>
      <c r="D20626" s="2"/>
    </row>
    <row r="20627" spans="1:4" ht="25.5" customHeight="1" x14ac:dyDescent="0.2">
      <c r="B20627" s="11" t="s">
        <v>2603</v>
      </c>
      <c r="C20627" s="17" t="s">
        <v>2971</v>
      </c>
      <c r="D20627" s="2"/>
    </row>
    <row r="20628" spans="1:4" ht="12.75" customHeight="1" x14ac:dyDescent="0.2">
      <c r="B20628" s="11" t="s">
        <v>2605</v>
      </c>
      <c r="C20628" s="17" t="s">
        <v>14</v>
      </c>
      <c r="D20628" s="2"/>
    </row>
    <row r="20629" spans="1:4" ht="12.75" customHeight="1" x14ac:dyDescent="0.2">
      <c r="B20629" s="11" t="s">
        <v>2606</v>
      </c>
      <c r="C20629" s="16" t="s">
        <v>19</v>
      </c>
      <c r="D20629" s="2"/>
    </row>
    <row r="20630" spans="1:4" ht="12.75" customHeight="1" x14ac:dyDescent="0.2">
      <c r="B20630" s="2"/>
      <c r="C20630" s="15"/>
      <c r="D20630" s="2"/>
    </row>
    <row r="20631" spans="1:4" ht="12.75" customHeight="1" x14ac:dyDescent="0.2">
      <c r="B20631" s="2"/>
      <c r="C20631" s="15"/>
      <c r="D20631" s="2"/>
    </row>
    <row r="20632" spans="1:4" ht="12.75" customHeight="1" x14ac:dyDescent="0.2">
      <c r="A20632" s="13" t="s">
        <v>5955</v>
      </c>
      <c r="C20632" s="12"/>
      <c r="D20632" s="2"/>
    </row>
    <row r="20633" spans="1:4" ht="12.75" customHeight="1" x14ac:dyDescent="0.2">
      <c r="A20633" s="11"/>
      <c r="B20633" s="2"/>
      <c r="C20633" s="15"/>
      <c r="D20633" s="2"/>
    </row>
    <row r="20634" spans="1:4" ht="12.75" customHeight="1" x14ac:dyDescent="0.2">
      <c r="B20634" s="11" t="s">
        <v>0</v>
      </c>
      <c r="C20634" s="17" t="s">
        <v>1174</v>
      </c>
      <c r="D20634" s="2"/>
    </row>
    <row r="20635" spans="1:4" ht="12.75" customHeight="1" x14ac:dyDescent="0.2">
      <c r="B20635" s="11" t="s">
        <v>2599</v>
      </c>
      <c r="C20635" s="17" t="s">
        <v>5956</v>
      </c>
      <c r="D20635" s="2"/>
    </row>
    <row r="20636" spans="1:4" ht="25.5" customHeight="1" x14ac:dyDescent="0.2">
      <c r="B20636" s="11" t="s">
        <v>2600</v>
      </c>
      <c r="C20636" s="17" t="s">
        <v>5957</v>
      </c>
      <c r="D20636" s="2"/>
    </row>
    <row r="20637" spans="1:4" ht="25.5" customHeight="1" x14ac:dyDescent="0.2">
      <c r="B20637" s="11" t="s">
        <v>2601</v>
      </c>
      <c r="C20637" s="17"/>
      <c r="D20637" s="2"/>
    </row>
    <row r="20638" spans="1:4" ht="12.75" customHeight="1" x14ac:dyDescent="0.2">
      <c r="B20638" s="11" t="s">
        <v>16</v>
      </c>
      <c r="C20638" s="17"/>
      <c r="D20638" s="2"/>
    </row>
    <row r="20639" spans="1:4" ht="12.75" customHeight="1" x14ac:dyDescent="0.2">
      <c r="B20639" s="11" t="s">
        <v>13</v>
      </c>
      <c r="C20639" s="17" t="s">
        <v>2602</v>
      </c>
      <c r="D20639" s="2"/>
    </row>
    <row r="20640" spans="1:4" ht="25.5" customHeight="1" x14ac:dyDescent="0.2">
      <c r="B20640" s="11" t="s">
        <v>2603</v>
      </c>
      <c r="C20640" s="17" t="s">
        <v>2971</v>
      </c>
      <c r="D20640" s="2"/>
    </row>
    <row r="20641" spans="1:4" ht="12.75" customHeight="1" x14ac:dyDescent="0.2">
      <c r="B20641" s="11" t="s">
        <v>2605</v>
      </c>
      <c r="C20641" s="17" t="s">
        <v>14</v>
      </c>
      <c r="D20641" s="2"/>
    </row>
    <row r="20642" spans="1:4" ht="12.75" customHeight="1" x14ac:dyDescent="0.2">
      <c r="B20642" s="11" t="s">
        <v>2606</v>
      </c>
      <c r="C20642" s="16" t="s">
        <v>19</v>
      </c>
      <c r="D20642" s="2"/>
    </row>
    <row r="20643" spans="1:4" ht="12.75" customHeight="1" x14ac:dyDescent="0.2">
      <c r="B20643" s="2"/>
      <c r="C20643" s="15"/>
      <c r="D20643" s="2"/>
    </row>
    <row r="20644" spans="1:4" ht="12.75" customHeight="1" x14ac:dyDescent="0.2">
      <c r="B20644" s="2"/>
      <c r="C20644" s="15"/>
      <c r="D20644" s="2"/>
    </row>
    <row r="20645" spans="1:4" ht="12.75" customHeight="1" x14ac:dyDescent="0.2">
      <c r="A20645" s="13" t="s">
        <v>5958</v>
      </c>
      <c r="C20645" s="12"/>
      <c r="D20645" s="2"/>
    </row>
    <row r="20646" spans="1:4" ht="12.75" customHeight="1" x14ac:dyDescent="0.2">
      <c r="A20646" s="11"/>
      <c r="B20646" s="2"/>
      <c r="C20646" s="15"/>
      <c r="D20646" s="2"/>
    </row>
    <row r="20647" spans="1:4" ht="12.75" customHeight="1" x14ac:dyDescent="0.2">
      <c r="B20647" s="11" t="s">
        <v>0</v>
      </c>
      <c r="C20647" s="17" t="s">
        <v>1174</v>
      </c>
      <c r="D20647" s="2"/>
    </row>
    <row r="20648" spans="1:4" ht="12.75" customHeight="1" x14ac:dyDescent="0.2">
      <c r="B20648" s="11" t="s">
        <v>2599</v>
      </c>
      <c r="C20648" s="17" t="s">
        <v>3503</v>
      </c>
      <c r="D20648" s="2"/>
    </row>
    <row r="20649" spans="1:4" ht="25.5" customHeight="1" x14ac:dyDescent="0.2">
      <c r="B20649" s="11" t="s">
        <v>2600</v>
      </c>
      <c r="C20649" s="17" t="s">
        <v>5959</v>
      </c>
      <c r="D20649" s="2"/>
    </row>
    <row r="20650" spans="1:4" ht="25.5" customHeight="1" x14ac:dyDescent="0.2">
      <c r="B20650" s="11" t="s">
        <v>2601</v>
      </c>
      <c r="C20650" s="17"/>
      <c r="D20650" s="2"/>
    </row>
    <row r="20651" spans="1:4" ht="12.75" customHeight="1" x14ac:dyDescent="0.2">
      <c r="B20651" s="11" t="s">
        <v>16</v>
      </c>
      <c r="C20651" s="17"/>
      <c r="D20651" s="2"/>
    </row>
    <row r="20652" spans="1:4" ht="12.75" customHeight="1" x14ac:dyDescent="0.2">
      <c r="B20652" s="11" t="s">
        <v>13</v>
      </c>
      <c r="C20652" s="17" t="s">
        <v>2644</v>
      </c>
      <c r="D20652" s="2"/>
    </row>
    <row r="20653" spans="1:4" ht="25.5" customHeight="1" x14ac:dyDescent="0.2">
      <c r="B20653" s="11" t="s">
        <v>2603</v>
      </c>
      <c r="C20653" s="17" t="s">
        <v>2971</v>
      </c>
      <c r="D20653" s="2"/>
    </row>
    <row r="20654" spans="1:4" ht="12.75" customHeight="1" x14ac:dyDescent="0.2">
      <c r="B20654" s="11" t="s">
        <v>2605</v>
      </c>
      <c r="C20654" s="17" t="s">
        <v>14</v>
      </c>
      <c r="D20654" s="2"/>
    </row>
    <row r="20655" spans="1:4" ht="12.75" customHeight="1" x14ac:dyDescent="0.2">
      <c r="B20655" s="11" t="s">
        <v>2606</v>
      </c>
      <c r="C20655" s="16" t="s">
        <v>19</v>
      </c>
      <c r="D20655" s="2"/>
    </row>
    <row r="20656" spans="1:4" ht="12.75" customHeight="1" x14ac:dyDescent="0.2">
      <c r="B20656" s="2"/>
      <c r="C20656" s="15"/>
      <c r="D20656" s="2"/>
    </row>
    <row r="20657" spans="1:4" ht="12.75" customHeight="1" x14ac:dyDescent="0.2">
      <c r="B20657" s="2"/>
      <c r="C20657" s="15"/>
      <c r="D20657" s="2"/>
    </row>
    <row r="20658" spans="1:4" ht="12.75" customHeight="1" x14ac:dyDescent="0.2">
      <c r="A20658" s="13" t="s">
        <v>5960</v>
      </c>
      <c r="C20658" s="12"/>
      <c r="D20658" s="2"/>
    </row>
    <row r="20659" spans="1:4" ht="12.75" customHeight="1" x14ac:dyDescent="0.2">
      <c r="A20659" s="11"/>
      <c r="B20659" s="2"/>
      <c r="C20659" s="15"/>
      <c r="D20659" s="2"/>
    </row>
    <row r="20660" spans="1:4" ht="12.75" customHeight="1" x14ac:dyDescent="0.2">
      <c r="B20660" s="11" t="s">
        <v>0</v>
      </c>
      <c r="C20660" s="17" t="s">
        <v>1174</v>
      </c>
      <c r="D20660" s="2"/>
    </row>
    <row r="20661" spans="1:4" ht="12.75" customHeight="1" x14ac:dyDescent="0.2">
      <c r="B20661" s="11" t="s">
        <v>2599</v>
      </c>
      <c r="C20661" s="17" t="s">
        <v>5961</v>
      </c>
      <c r="D20661" s="2"/>
    </row>
    <row r="20662" spans="1:4" ht="25.5" customHeight="1" x14ac:dyDescent="0.2">
      <c r="B20662" s="11" t="s">
        <v>2600</v>
      </c>
      <c r="C20662" s="17" t="s">
        <v>5962</v>
      </c>
      <c r="D20662" s="2"/>
    </row>
    <row r="20663" spans="1:4" ht="25.5" customHeight="1" x14ac:dyDescent="0.2">
      <c r="B20663" s="11" t="s">
        <v>2601</v>
      </c>
      <c r="C20663" s="17"/>
      <c r="D20663" s="2"/>
    </row>
    <row r="20664" spans="1:4" ht="12.75" customHeight="1" x14ac:dyDescent="0.2">
      <c r="B20664" s="11" t="s">
        <v>16</v>
      </c>
      <c r="C20664" s="17"/>
      <c r="D20664" s="2"/>
    </row>
    <row r="20665" spans="1:4" ht="12.75" customHeight="1" x14ac:dyDescent="0.2">
      <c r="B20665" s="11" t="s">
        <v>13</v>
      </c>
      <c r="C20665" s="17" t="s">
        <v>2644</v>
      </c>
      <c r="D20665" s="2"/>
    </row>
    <row r="20666" spans="1:4" ht="25.5" customHeight="1" x14ac:dyDescent="0.2">
      <c r="B20666" s="11" t="s">
        <v>2603</v>
      </c>
      <c r="C20666" s="17" t="s">
        <v>2971</v>
      </c>
      <c r="D20666" s="2"/>
    </row>
    <row r="20667" spans="1:4" ht="12.75" customHeight="1" x14ac:dyDescent="0.2">
      <c r="B20667" s="11" t="s">
        <v>2605</v>
      </c>
      <c r="C20667" s="17" t="s">
        <v>14</v>
      </c>
      <c r="D20667" s="2"/>
    </row>
    <row r="20668" spans="1:4" ht="12.75" customHeight="1" x14ac:dyDescent="0.2">
      <c r="B20668" s="11" t="s">
        <v>2606</v>
      </c>
      <c r="C20668" s="16" t="s">
        <v>19</v>
      </c>
      <c r="D20668" s="2"/>
    </row>
    <row r="20669" spans="1:4" ht="12.75" customHeight="1" x14ac:dyDescent="0.2">
      <c r="B20669" s="2"/>
      <c r="C20669" s="15"/>
      <c r="D20669" s="2"/>
    </row>
    <row r="20670" spans="1:4" ht="12.75" customHeight="1" x14ac:dyDescent="0.2">
      <c r="B20670" s="2"/>
      <c r="C20670" s="15"/>
      <c r="D20670" s="2"/>
    </row>
    <row r="20671" spans="1:4" ht="12.75" customHeight="1" x14ac:dyDescent="0.2">
      <c r="A20671" s="13" t="s">
        <v>5963</v>
      </c>
      <c r="C20671" s="12"/>
    </row>
    <row r="20672" spans="1:4" ht="12.75" customHeight="1" x14ac:dyDescent="0.2">
      <c r="A20672" s="11"/>
      <c r="B20672" s="2"/>
      <c r="C20672" s="15"/>
      <c r="D20672" s="2"/>
    </row>
    <row r="20673" spans="1:4" ht="12.75" customHeight="1" x14ac:dyDescent="0.2">
      <c r="B20673" s="11" t="s">
        <v>0</v>
      </c>
      <c r="C20673" s="11" t="s">
        <v>1174</v>
      </c>
    </row>
    <row r="20674" spans="1:4" ht="12.75" customHeight="1" x14ac:dyDescent="0.2">
      <c r="B20674" s="11" t="s">
        <v>2599</v>
      </c>
      <c r="C20674" s="11" t="s">
        <v>5964</v>
      </c>
    </row>
    <row r="20675" spans="1:4" ht="25.5" customHeight="1" x14ac:dyDescent="0.2">
      <c r="B20675" s="11" t="s">
        <v>2600</v>
      </c>
      <c r="C20675" s="11" t="s">
        <v>5965</v>
      </c>
    </row>
    <row r="20676" spans="1:4" ht="25.5" customHeight="1" x14ac:dyDescent="0.2">
      <c r="B20676" s="11" t="s">
        <v>2601</v>
      </c>
      <c r="C20676" s="11"/>
    </row>
    <row r="20677" spans="1:4" ht="12.75" customHeight="1" x14ac:dyDescent="0.2">
      <c r="B20677" s="11" t="s">
        <v>16</v>
      </c>
      <c r="C20677" s="11"/>
    </row>
    <row r="20678" spans="1:4" ht="12.75" customHeight="1" x14ac:dyDescent="0.2">
      <c r="B20678" s="11" t="s">
        <v>13</v>
      </c>
      <c r="C20678" s="11" t="s">
        <v>2644</v>
      </c>
    </row>
    <row r="20679" spans="1:4" ht="12.75" customHeight="1" x14ac:dyDescent="0.2">
      <c r="B20679" s="11" t="s">
        <v>2603</v>
      </c>
      <c r="C20679" s="11" t="s">
        <v>2604</v>
      </c>
    </row>
    <row r="20680" spans="1:4" ht="12.75" customHeight="1" x14ac:dyDescent="0.2">
      <c r="B20680" s="11" t="s">
        <v>2605</v>
      </c>
      <c r="C20680" s="11" t="s">
        <v>14</v>
      </c>
    </row>
    <row r="20681" spans="1:4" ht="12.75" customHeight="1" x14ac:dyDescent="0.2">
      <c r="B20681" s="11" t="s">
        <v>2606</v>
      </c>
      <c r="C20681" s="16" t="s">
        <v>323</v>
      </c>
      <c r="D20681" s="6" t="str">
        <f>HYPERLINK("javascript:void(0)","goblinbatka")</f>
        <v>goblinbatka</v>
      </c>
    </row>
    <row r="20682" spans="1:4" ht="12.75" customHeight="1" x14ac:dyDescent="0.2">
      <c r="C20682" s="16" t="s">
        <v>309</v>
      </c>
      <c r="D20682" s="6" t="str">
        <f>HYPERLINK("javascript:void(0)","kincs")</f>
        <v>kincs</v>
      </c>
    </row>
    <row r="20683" spans="1:4" ht="12.75" customHeight="1" x14ac:dyDescent="0.2">
      <c r="B20683" s="2"/>
      <c r="C20683" s="15"/>
      <c r="D20683" s="2"/>
    </row>
    <row r="20684" spans="1:4" ht="12.75" customHeight="1" x14ac:dyDescent="0.2">
      <c r="B20684" s="2"/>
      <c r="C20684" s="15"/>
      <c r="D20684" s="2"/>
    </row>
    <row r="20685" spans="1:4" ht="12.75" customHeight="1" x14ac:dyDescent="0.2">
      <c r="A20685" s="13" t="s">
        <v>5966</v>
      </c>
      <c r="C20685" s="12"/>
    </row>
    <row r="20686" spans="1:4" ht="12.75" customHeight="1" x14ac:dyDescent="0.2">
      <c r="A20686" s="11"/>
      <c r="B20686" s="2"/>
      <c r="C20686" s="15"/>
      <c r="D20686" s="2"/>
    </row>
    <row r="20687" spans="1:4" ht="12.75" customHeight="1" x14ac:dyDescent="0.2">
      <c r="B20687" s="11" t="s">
        <v>0</v>
      </c>
      <c r="C20687" s="11" t="s">
        <v>1174</v>
      </c>
    </row>
    <row r="20688" spans="1:4" ht="12.75" customHeight="1" x14ac:dyDescent="0.2">
      <c r="B20688" s="11" t="s">
        <v>2599</v>
      </c>
      <c r="C20688" s="11" t="s">
        <v>5967</v>
      </c>
    </row>
    <row r="20689" spans="1:4" ht="25.5" customHeight="1" x14ac:dyDescent="0.2">
      <c r="B20689" s="11" t="s">
        <v>2600</v>
      </c>
      <c r="C20689" s="11" t="s">
        <v>5968</v>
      </c>
    </row>
    <row r="20690" spans="1:4" ht="25.5" customHeight="1" x14ac:dyDescent="0.2">
      <c r="B20690" s="11" t="s">
        <v>2601</v>
      </c>
      <c r="C20690" s="11"/>
    </row>
    <row r="20691" spans="1:4" ht="12.75" customHeight="1" x14ac:dyDescent="0.2">
      <c r="B20691" s="11" t="s">
        <v>16</v>
      </c>
      <c r="C20691" s="11"/>
    </row>
    <row r="20692" spans="1:4" ht="12.75" customHeight="1" x14ac:dyDescent="0.2">
      <c r="B20692" s="11" t="s">
        <v>13</v>
      </c>
      <c r="C20692" s="11" t="s">
        <v>2602</v>
      </c>
    </row>
    <row r="20693" spans="1:4" ht="12.75" customHeight="1" x14ac:dyDescent="0.2">
      <c r="B20693" s="11" t="s">
        <v>2603</v>
      </c>
      <c r="C20693" s="11" t="s">
        <v>2604</v>
      </c>
    </row>
    <row r="20694" spans="1:4" ht="12.75" customHeight="1" x14ac:dyDescent="0.2">
      <c r="B20694" s="11" t="s">
        <v>2605</v>
      </c>
      <c r="C20694" s="11" t="s">
        <v>24</v>
      </c>
    </row>
    <row r="20695" spans="1:4" ht="25.5" customHeight="1" x14ac:dyDescent="0.2">
      <c r="B20695" s="11" t="s">
        <v>2606</v>
      </c>
      <c r="C20695" s="16" t="s">
        <v>56</v>
      </c>
      <c r="D20695" s="6" t="str">
        <f>HYPERLINK("javascript:void(0)","méregzacskó")</f>
        <v>méregzacskó</v>
      </c>
    </row>
    <row r="20696" spans="1:4" ht="12.75" customHeight="1" x14ac:dyDescent="0.2">
      <c r="C20696" s="16" t="s">
        <v>117</v>
      </c>
      <c r="D20696" s="6" t="str">
        <f>HYPERLINK("javascript:void(0)","kincs")</f>
        <v>kincs</v>
      </c>
    </row>
    <row r="20697" spans="1:4" ht="12.75" customHeight="1" x14ac:dyDescent="0.2">
      <c r="B20697" s="2"/>
      <c r="C20697" s="15"/>
      <c r="D20697" s="2"/>
    </row>
    <row r="20698" spans="1:4" ht="12.75" customHeight="1" x14ac:dyDescent="0.2">
      <c r="B20698" s="2"/>
      <c r="C20698" s="15"/>
      <c r="D20698" s="2"/>
    </row>
    <row r="20699" spans="1:4" ht="12.75" customHeight="1" x14ac:dyDescent="0.2">
      <c r="A20699" s="13" t="s">
        <v>5969</v>
      </c>
      <c r="C20699" s="12"/>
    </row>
    <row r="20700" spans="1:4" ht="12.75" customHeight="1" x14ac:dyDescent="0.2">
      <c r="A20700" s="11"/>
      <c r="B20700" s="2"/>
      <c r="C20700" s="15"/>
      <c r="D20700" s="2"/>
    </row>
    <row r="20701" spans="1:4" ht="12.75" customHeight="1" x14ac:dyDescent="0.2">
      <c r="B20701" s="11" t="s">
        <v>0</v>
      </c>
      <c r="C20701" s="11" t="s">
        <v>1174</v>
      </c>
    </row>
    <row r="20702" spans="1:4" ht="12.75" customHeight="1" x14ac:dyDescent="0.2">
      <c r="B20702" s="11" t="s">
        <v>2599</v>
      </c>
      <c r="C20702" s="11" t="s">
        <v>5970</v>
      </c>
    </row>
    <row r="20703" spans="1:4" ht="25.5" customHeight="1" x14ac:dyDescent="0.2">
      <c r="B20703" s="11" t="s">
        <v>2600</v>
      </c>
      <c r="C20703" s="11" t="s">
        <v>5971</v>
      </c>
    </row>
    <row r="20704" spans="1:4" ht="25.5" customHeight="1" x14ac:dyDescent="0.2">
      <c r="B20704" s="11" t="s">
        <v>2601</v>
      </c>
      <c r="C20704" s="11"/>
    </row>
    <row r="20705" spans="1:4" ht="12.75" customHeight="1" x14ac:dyDescent="0.2">
      <c r="B20705" s="11" t="s">
        <v>16</v>
      </c>
      <c r="C20705" s="11"/>
    </row>
    <row r="20706" spans="1:4" ht="12.75" customHeight="1" x14ac:dyDescent="0.2">
      <c r="B20706" s="11" t="s">
        <v>13</v>
      </c>
      <c r="C20706" s="11" t="s">
        <v>2644</v>
      </c>
    </row>
    <row r="20707" spans="1:4" ht="12.75" customHeight="1" x14ac:dyDescent="0.2">
      <c r="B20707" s="11" t="s">
        <v>2603</v>
      </c>
      <c r="C20707" s="11" t="s">
        <v>2604</v>
      </c>
    </row>
    <row r="20708" spans="1:4" ht="12.75" customHeight="1" x14ac:dyDescent="0.2">
      <c r="B20708" s="11" t="s">
        <v>2605</v>
      </c>
      <c r="C20708" s="11" t="s">
        <v>24</v>
      </c>
    </row>
    <row r="20709" spans="1:4" ht="12.75" customHeight="1" x14ac:dyDescent="0.2">
      <c r="B20709" s="11" t="s">
        <v>2606</v>
      </c>
      <c r="C20709" s="16" t="s">
        <v>44</v>
      </c>
      <c r="D20709" s="6" t="str">
        <f>HYPERLINK("javascript:void(0)","láncsisak")</f>
        <v>láncsisak</v>
      </c>
    </row>
    <row r="20710" spans="1:4" ht="12.75" customHeight="1" x14ac:dyDescent="0.2">
      <c r="C20710" s="16" t="s">
        <v>370</v>
      </c>
      <c r="D20710" s="6" t="str">
        <f>HYPERLINK("javascript:void(0)","ezüst")</f>
        <v>ezüst</v>
      </c>
    </row>
    <row r="20711" spans="1:4" ht="12.75" customHeight="1" x14ac:dyDescent="0.2">
      <c r="B20711" s="2"/>
      <c r="C20711" s="15"/>
      <c r="D20711" s="2"/>
    </row>
    <row r="20712" spans="1:4" ht="12.75" customHeight="1" x14ac:dyDescent="0.2">
      <c r="B20712" s="2"/>
      <c r="C20712" s="15"/>
      <c r="D20712" s="2"/>
    </row>
    <row r="20713" spans="1:4" ht="12.75" customHeight="1" x14ac:dyDescent="0.2">
      <c r="A20713" s="13" t="s">
        <v>5973</v>
      </c>
      <c r="C20713" s="12"/>
    </row>
    <row r="20714" spans="1:4" ht="12.75" customHeight="1" x14ac:dyDescent="0.2">
      <c r="A20714" s="11"/>
      <c r="B20714" s="2"/>
      <c r="C20714" s="15"/>
      <c r="D20714" s="2"/>
    </row>
    <row r="20715" spans="1:4" ht="12.75" customHeight="1" x14ac:dyDescent="0.2">
      <c r="B20715" s="11" t="s">
        <v>0</v>
      </c>
      <c r="C20715" s="11" t="s">
        <v>1174</v>
      </c>
    </row>
    <row r="20716" spans="1:4" ht="12.75" customHeight="1" x14ac:dyDescent="0.2">
      <c r="B20716" s="11" t="s">
        <v>2599</v>
      </c>
      <c r="C20716" s="11" t="s">
        <v>2741</v>
      </c>
    </row>
    <row r="20717" spans="1:4" ht="25.5" customHeight="1" x14ac:dyDescent="0.2">
      <c r="B20717" s="11" t="s">
        <v>2600</v>
      </c>
      <c r="C20717" s="11" t="s">
        <v>5974</v>
      </c>
    </row>
    <row r="20718" spans="1:4" ht="25.5" customHeight="1" x14ac:dyDescent="0.2">
      <c r="B20718" s="11" t="s">
        <v>2601</v>
      </c>
      <c r="C20718" s="11"/>
    </row>
    <row r="20719" spans="1:4" ht="12.75" customHeight="1" x14ac:dyDescent="0.2">
      <c r="B20719" s="11" t="s">
        <v>16</v>
      </c>
      <c r="C20719" s="11"/>
    </row>
    <row r="20720" spans="1:4" ht="12.75" customHeight="1" x14ac:dyDescent="0.2">
      <c r="B20720" s="11" t="s">
        <v>13</v>
      </c>
      <c r="C20720" s="11" t="s">
        <v>2602</v>
      </c>
    </row>
    <row r="20721" spans="1:4" ht="12.75" customHeight="1" x14ac:dyDescent="0.2">
      <c r="B20721" s="11" t="s">
        <v>2603</v>
      </c>
      <c r="C20721" s="11" t="s">
        <v>2604</v>
      </c>
    </row>
    <row r="20722" spans="1:4" ht="12.75" customHeight="1" x14ac:dyDescent="0.2">
      <c r="B20722" s="11" t="s">
        <v>2605</v>
      </c>
      <c r="C20722" s="11" t="s">
        <v>24</v>
      </c>
    </row>
    <row r="20723" spans="1:4" ht="12.75" customHeight="1" x14ac:dyDescent="0.2">
      <c r="B20723" s="11" t="s">
        <v>2606</v>
      </c>
      <c r="C20723" s="16" t="s">
        <v>55</v>
      </c>
      <c r="D20723" s="6" t="str">
        <f>HYPERLINK("javascript:void(0)","tarsus")</f>
        <v>tarsus</v>
      </c>
    </row>
    <row r="20724" spans="1:4" ht="12.75" customHeight="1" x14ac:dyDescent="0.2">
      <c r="B20724" s="2"/>
      <c r="C20724" s="15"/>
      <c r="D20724" s="2"/>
    </row>
    <row r="20725" spans="1:4" ht="12.75" customHeight="1" x14ac:dyDescent="0.2">
      <c r="B20725" s="2"/>
      <c r="C20725" s="15"/>
      <c r="D20725" s="2"/>
    </row>
    <row r="20726" spans="1:4" ht="12.75" customHeight="1" x14ac:dyDescent="0.2">
      <c r="A20726" s="13" t="s">
        <v>5975</v>
      </c>
      <c r="C20726" s="12"/>
    </row>
    <row r="20727" spans="1:4" ht="12.75" customHeight="1" x14ac:dyDescent="0.2">
      <c r="A20727" s="11"/>
      <c r="B20727" s="2"/>
      <c r="C20727" s="15"/>
      <c r="D20727" s="2"/>
    </row>
    <row r="20728" spans="1:4" ht="12.75" customHeight="1" x14ac:dyDescent="0.2">
      <c r="B20728" s="11" t="s">
        <v>0</v>
      </c>
      <c r="C20728" s="11" t="s">
        <v>1174</v>
      </c>
    </row>
    <row r="20729" spans="1:4" ht="12.75" customHeight="1" x14ac:dyDescent="0.2">
      <c r="B20729" s="11" t="s">
        <v>2599</v>
      </c>
      <c r="C20729" s="11" t="s">
        <v>5976</v>
      </c>
    </row>
    <row r="20730" spans="1:4" ht="25.5" customHeight="1" x14ac:dyDescent="0.2">
      <c r="B20730" s="11" t="s">
        <v>2600</v>
      </c>
      <c r="C20730" s="11" t="s">
        <v>5977</v>
      </c>
    </row>
    <row r="20731" spans="1:4" ht="25.5" customHeight="1" x14ac:dyDescent="0.2">
      <c r="B20731" s="11" t="s">
        <v>2601</v>
      </c>
      <c r="C20731" s="11"/>
    </row>
    <row r="20732" spans="1:4" ht="12.75" customHeight="1" x14ac:dyDescent="0.2">
      <c r="B20732" s="11" t="s">
        <v>16</v>
      </c>
      <c r="C20732" s="11"/>
    </row>
    <row r="20733" spans="1:4" ht="12.75" customHeight="1" x14ac:dyDescent="0.2">
      <c r="B20733" s="11" t="s">
        <v>13</v>
      </c>
      <c r="C20733" s="11" t="s">
        <v>2602</v>
      </c>
    </row>
    <row r="20734" spans="1:4" ht="12.75" customHeight="1" x14ac:dyDescent="0.2">
      <c r="B20734" s="11" t="s">
        <v>2603</v>
      </c>
      <c r="C20734" s="11" t="s">
        <v>2604</v>
      </c>
    </row>
    <row r="20735" spans="1:4" ht="12.75" customHeight="1" x14ac:dyDescent="0.2">
      <c r="B20735" s="11" t="s">
        <v>2605</v>
      </c>
      <c r="C20735" s="11" t="s">
        <v>14</v>
      </c>
    </row>
    <row r="20736" spans="1:4" ht="12.75" customHeight="1" x14ac:dyDescent="0.2">
      <c r="B20736" s="11" t="s">
        <v>2606</v>
      </c>
      <c r="C20736" s="16" t="s">
        <v>163</v>
      </c>
      <c r="D20736" s="6" t="str">
        <f>HYPERLINK("javascript:void(0)","kincs")</f>
        <v>kincs</v>
      </c>
    </row>
    <row r="20737" spans="1:4" ht="12.75" customHeight="1" x14ac:dyDescent="0.2">
      <c r="B20737" s="2"/>
      <c r="C20737" s="15"/>
      <c r="D20737" s="2"/>
    </row>
    <row r="20738" spans="1:4" ht="12.75" customHeight="1" x14ac:dyDescent="0.2">
      <c r="B20738" s="2"/>
      <c r="C20738" s="15"/>
      <c r="D20738" s="2"/>
    </row>
    <row r="20739" spans="1:4" ht="12.75" customHeight="1" x14ac:dyDescent="0.2">
      <c r="A20739" s="13" t="s">
        <v>5978</v>
      </c>
      <c r="C20739" s="12"/>
    </row>
    <row r="20740" spans="1:4" ht="12.75" customHeight="1" x14ac:dyDescent="0.2">
      <c r="A20740" s="11"/>
      <c r="B20740" s="2"/>
      <c r="C20740" s="15"/>
      <c r="D20740" s="2"/>
    </row>
    <row r="20741" spans="1:4" ht="12.75" customHeight="1" x14ac:dyDescent="0.2">
      <c r="B20741" s="11" t="s">
        <v>0</v>
      </c>
      <c r="C20741" s="11" t="s">
        <v>1174</v>
      </c>
    </row>
    <row r="20742" spans="1:4" ht="12.75" customHeight="1" x14ac:dyDescent="0.2">
      <c r="B20742" s="11" t="s">
        <v>2599</v>
      </c>
      <c r="C20742" s="11" t="s">
        <v>5979</v>
      </c>
    </row>
    <row r="20743" spans="1:4" ht="25.5" customHeight="1" x14ac:dyDescent="0.2">
      <c r="B20743" s="11" t="s">
        <v>2600</v>
      </c>
      <c r="C20743" s="11" t="s">
        <v>5980</v>
      </c>
    </row>
    <row r="20744" spans="1:4" ht="25.5" customHeight="1" x14ac:dyDescent="0.2">
      <c r="B20744" s="11" t="s">
        <v>2601</v>
      </c>
      <c r="C20744" s="11"/>
    </row>
    <row r="20745" spans="1:4" ht="12.75" customHeight="1" x14ac:dyDescent="0.2">
      <c r="B20745" s="11" t="s">
        <v>16</v>
      </c>
      <c r="C20745" s="11"/>
    </row>
    <row r="20746" spans="1:4" ht="12.75" customHeight="1" x14ac:dyDescent="0.2">
      <c r="B20746" s="11" t="s">
        <v>13</v>
      </c>
      <c r="C20746" s="11" t="s">
        <v>2602</v>
      </c>
    </row>
    <row r="20747" spans="1:4" ht="12.75" customHeight="1" x14ac:dyDescent="0.2">
      <c r="B20747" s="11" t="s">
        <v>2603</v>
      </c>
      <c r="C20747" s="11" t="s">
        <v>2604</v>
      </c>
    </row>
    <row r="20748" spans="1:4" ht="12.75" customHeight="1" x14ac:dyDescent="0.2">
      <c r="B20748" s="11" t="s">
        <v>2605</v>
      </c>
      <c r="C20748" s="11" t="s">
        <v>14</v>
      </c>
    </row>
    <row r="20749" spans="1:4" ht="12.75" customHeight="1" x14ac:dyDescent="0.2">
      <c r="B20749" s="11" t="s">
        <v>2606</v>
      </c>
      <c r="C20749" s="16" t="s">
        <v>98</v>
      </c>
      <c r="D20749" s="6" t="str">
        <f>HYPERLINK("javascript:void(0)","kincs")</f>
        <v>kincs</v>
      </c>
    </row>
    <row r="20750" spans="1:4" ht="12.75" customHeight="1" x14ac:dyDescent="0.2">
      <c r="C20750" s="16" t="s">
        <v>44</v>
      </c>
      <c r="D20750" s="6" t="str">
        <f>HYPERLINK("javascript:void(0)","maxilla")</f>
        <v>maxilla</v>
      </c>
    </row>
    <row r="20751" spans="1:4" ht="12.75" customHeight="1" x14ac:dyDescent="0.2">
      <c r="B20751" s="2"/>
      <c r="C20751" s="15"/>
      <c r="D20751" s="2"/>
    </row>
    <row r="20752" spans="1:4" ht="12.75" customHeight="1" x14ac:dyDescent="0.2">
      <c r="B20752" s="2"/>
      <c r="C20752" s="15"/>
      <c r="D20752" s="2"/>
    </row>
    <row r="20753" spans="1:4" ht="12.75" customHeight="1" x14ac:dyDescent="0.2">
      <c r="A20753" s="13" t="s">
        <v>5981</v>
      </c>
      <c r="C20753" s="12"/>
    </row>
    <row r="20754" spans="1:4" ht="12.75" customHeight="1" x14ac:dyDescent="0.2">
      <c r="A20754" s="11"/>
      <c r="B20754" s="2"/>
      <c r="C20754" s="15"/>
      <c r="D20754" s="2"/>
    </row>
    <row r="20755" spans="1:4" ht="12.75" customHeight="1" x14ac:dyDescent="0.2">
      <c r="B20755" s="11" t="s">
        <v>0</v>
      </c>
      <c r="C20755" s="11" t="s">
        <v>1174</v>
      </c>
    </row>
    <row r="20756" spans="1:4" ht="12.75" customHeight="1" x14ac:dyDescent="0.2">
      <c r="B20756" s="11" t="s">
        <v>2599</v>
      </c>
      <c r="C20756" s="11" t="s">
        <v>5982</v>
      </c>
    </row>
    <row r="20757" spans="1:4" ht="25.5" customHeight="1" x14ac:dyDescent="0.2">
      <c r="B20757" s="11" t="s">
        <v>2600</v>
      </c>
      <c r="C20757" s="11" t="s">
        <v>5983</v>
      </c>
    </row>
    <row r="20758" spans="1:4" ht="25.5" customHeight="1" x14ac:dyDescent="0.2">
      <c r="B20758" s="11" t="s">
        <v>2601</v>
      </c>
      <c r="C20758" s="11"/>
    </row>
    <row r="20759" spans="1:4" ht="12.75" customHeight="1" x14ac:dyDescent="0.2">
      <c r="B20759" s="11" t="s">
        <v>16</v>
      </c>
      <c r="C20759" s="11"/>
    </row>
    <row r="20760" spans="1:4" ht="12.75" customHeight="1" x14ac:dyDescent="0.2">
      <c r="B20760" s="11" t="s">
        <v>13</v>
      </c>
      <c r="C20760" s="11" t="s">
        <v>2644</v>
      </c>
    </row>
    <row r="20761" spans="1:4" ht="12.75" customHeight="1" x14ac:dyDescent="0.2">
      <c r="B20761" s="11" t="s">
        <v>2603</v>
      </c>
      <c r="C20761" s="11" t="s">
        <v>2604</v>
      </c>
    </row>
    <row r="20762" spans="1:4" ht="12.75" customHeight="1" x14ac:dyDescent="0.2">
      <c r="B20762" s="11" t="s">
        <v>2605</v>
      </c>
      <c r="C20762" s="11" t="s">
        <v>14</v>
      </c>
    </row>
    <row r="20763" spans="1:4" ht="12.75" customHeight="1" x14ac:dyDescent="0.2">
      <c r="B20763" s="11" t="s">
        <v>2606</v>
      </c>
      <c r="C20763" s="16" t="s">
        <v>55</v>
      </c>
      <c r="D20763" s="6" t="str">
        <f>HYPERLINK("javascript:void(0)","kitintüske")</f>
        <v>kitintüske</v>
      </c>
    </row>
    <row r="20764" spans="1:4" ht="12.75" customHeight="1" x14ac:dyDescent="0.2">
      <c r="B20764" s="2"/>
      <c r="C20764" s="15"/>
      <c r="D20764" s="2"/>
    </row>
    <row r="20765" spans="1:4" ht="12.75" customHeight="1" x14ac:dyDescent="0.2">
      <c r="B20765" s="2"/>
      <c r="C20765" s="15"/>
      <c r="D20765" s="2"/>
    </row>
    <row r="20766" spans="1:4" ht="12.75" customHeight="1" x14ac:dyDescent="0.2">
      <c r="A20766" s="13" t="s">
        <v>5984</v>
      </c>
      <c r="C20766" s="12"/>
    </row>
    <row r="20767" spans="1:4" ht="12.75" customHeight="1" x14ac:dyDescent="0.2">
      <c r="A20767" s="11"/>
      <c r="B20767" s="2"/>
      <c r="C20767" s="15"/>
      <c r="D20767" s="2"/>
    </row>
    <row r="20768" spans="1:4" ht="12.75" customHeight="1" x14ac:dyDescent="0.2">
      <c r="B20768" s="11" t="s">
        <v>0</v>
      </c>
      <c r="C20768" s="11" t="s">
        <v>1174</v>
      </c>
    </row>
    <row r="20769" spans="1:4" ht="12.75" customHeight="1" x14ac:dyDescent="0.2">
      <c r="B20769" s="11" t="s">
        <v>2599</v>
      </c>
      <c r="C20769" s="11" t="s">
        <v>5922</v>
      </c>
    </row>
    <row r="20770" spans="1:4" ht="25.5" customHeight="1" x14ac:dyDescent="0.2">
      <c r="B20770" s="11" t="s">
        <v>2600</v>
      </c>
      <c r="C20770" s="11" t="s">
        <v>5985</v>
      </c>
    </row>
    <row r="20771" spans="1:4" ht="25.5" customHeight="1" x14ac:dyDescent="0.2">
      <c r="B20771" s="11" t="s">
        <v>2601</v>
      </c>
      <c r="C20771" s="11"/>
    </row>
    <row r="20772" spans="1:4" ht="12.75" customHeight="1" x14ac:dyDescent="0.2">
      <c r="B20772" s="11" t="s">
        <v>16</v>
      </c>
      <c r="C20772" s="11"/>
    </row>
    <row r="20773" spans="1:4" ht="12.75" customHeight="1" x14ac:dyDescent="0.2">
      <c r="B20773" s="11" t="s">
        <v>13</v>
      </c>
      <c r="C20773" s="11" t="s">
        <v>2644</v>
      </c>
    </row>
    <row r="20774" spans="1:4" ht="12.75" customHeight="1" x14ac:dyDescent="0.2">
      <c r="B20774" s="11" t="s">
        <v>2603</v>
      </c>
      <c r="C20774" s="11" t="s">
        <v>2604</v>
      </c>
    </row>
    <row r="20775" spans="1:4" ht="12.75" customHeight="1" x14ac:dyDescent="0.2">
      <c r="B20775" s="11" t="s">
        <v>2605</v>
      </c>
      <c r="C20775" s="11" t="s">
        <v>24</v>
      </c>
    </row>
    <row r="20776" spans="1:4" ht="12.75" customHeight="1" x14ac:dyDescent="0.2">
      <c r="B20776" s="11" t="s">
        <v>2606</v>
      </c>
      <c r="C20776" s="16" t="s">
        <v>44</v>
      </c>
      <c r="D20776" s="6" t="str">
        <f>HYPERLINK("javascript:void(0)","csonttoll")</f>
        <v>csonttoll</v>
      </c>
    </row>
    <row r="20777" spans="1:4" ht="12.75" customHeight="1" x14ac:dyDescent="0.2">
      <c r="C20777" s="16" t="s">
        <v>55</v>
      </c>
      <c r="D20777" s="6" t="str">
        <f>HYPERLINK("javascript:void(0)","ezüst patkó")</f>
        <v>ezüst patkó</v>
      </c>
    </row>
    <row r="20778" spans="1:4" ht="12.75" customHeight="1" x14ac:dyDescent="0.2">
      <c r="B20778" s="2"/>
      <c r="C20778" s="15"/>
      <c r="D20778" s="2"/>
    </row>
    <row r="20779" spans="1:4" ht="12.75" customHeight="1" x14ac:dyDescent="0.2">
      <c r="B20779" s="2"/>
      <c r="C20779" s="15"/>
      <c r="D20779" s="2"/>
    </row>
    <row r="20780" spans="1:4" ht="12.75" customHeight="1" x14ac:dyDescent="0.2">
      <c r="A20780" s="13" t="s">
        <v>5986</v>
      </c>
      <c r="C20780" s="12"/>
      <c r="D20780" s="2"/>
    </row>
    <row r="20781" spans="1:4" ht="12.75" customHeight="1" x14ac:dyDescent="0.2">
      <c r="A20781" s="11"/>
      <c r="B20781" s="2"/>
      <c r="C20781" s="15"/>
      <c r="D20781" s="2"/>
    </row>
    <row r="20782" spans="1:4" ht="12.75" customHeight="1" x14ac:dyDescent="0.2">
      <c r="B20782" s="11" t="s">
        <v>0</v>
      </c>
      <c r="C20782" s="17" t="s">
        <v>1174</v>
      </c>
      <c r="D20782" s="2"/>
    </row>
    <row r="20783" spans="1:4" ht="12.75" customHeight="1" x14ac:dyDescent="0.2">
      <c r="B20783" s="11" t="s">
        <v>2599</v>
      </c>
      <c r="C20783" s="17" t="s">
        <v>5987</v>
      </c>
      <c r="D20783" s="2"/>
    </row>
    <row r="20784" spans="1:4" ht="25.5" customHeight="1" x14ac:dyDescent="0.2">
      <c r="B20784" s="11" t="s">
        <v>2600</v>
      </c>
      <c r="C20784" s="17" t="s">
        <v>5988</v>
      </c>
      <c r="D20784" s="2"/>
    </row>
    <row r="20785" spans="1:4" ht="25.5" customHeight="1" x14ac:dyDescent="0.2">
      <c r="B20785" s="11" t="s">
        <v>2601</v>
      </c>
      <c r="C20785" s="17"/>
      <c r="D20785" s="2"/>
    </row>
    <row r="20786" spans="1:4" ht="12.75" customHeight="1" x14ac:dyDescent="0.2">
      <c r="B20786" s="11" t="s">
        <v>16</v>
      </c>
      <c r="C20786" s="17"/>
      <c r="D20786" s="2"/>
    </row>
    <row r="20787" spans="1:4" ht="12.75" customHeight="1" x14ac:dyDescent="0.2">
      <c r="B20787" s="11" t="s">
        <v>13</v>
      </c>
      <c r="C20787" s="17" t="s">
        <v>2602</v>
      </c>
      <c r="D20787" s="2"/>
    </row>
    <row r="20788" spans="1:4" ht="25.5" customHeight="1" x14ac:dyDescent="0.2">
      <c r="B20788" s="11" t="s">
        <v>2603</v>
      </c>
      <c r="C20788" s="17" t="s">
        <v>2971</v>
      </c>
      <c r="D20788" s="2"/>
    </row>
    <row r="20789" spans="1:4" ht="12.75" customHeight="1" x14ac:dyDescent="0.2">
      <c r="B20789" s="11" t="s">
        <v>2605</v>
      </c>
      <c r="C20789" s="17" t="s">
        <v>14</v>
      </c>
      <c r="D20789" s="2"/>
    </row>
    <row r="20790" spans="1:4" ht="12.75" customHeight="1" x14ac:dyDescent="0.2">
      <c r="B20790" s="11" t="s">
        <v>2606</v>
      </c>
      <c r="C20790" s="16" t="s">
        <v>19</v>
      </c>
      <c r="D20790" s="2"/>
    </row>
    <row r="20791" spans="1:4" ht="12.75" customHeight="1" x14ac:dyDescent="0.2">
      <c r="B20791" s="2"/>
      <c r="C20791" s="15"/>
      <c r="D20791" s="2"/>
    </row>
    <row r="20792" spans="1:4" ht="12.75" customHeight="1" x14ac:dyDescent="0.2">
      <c r="B20792" s="2"/>
      <c r="C20792" s="15"/>
      <c r="D20792" s="2"/>
    </row>
    <row r="20793" spans="1:4" ht="12.75" customHeight="1" x14ac:dyDescent="0.2">
      <c r="A20793" s="13" t="s">
        <v>5955</v>
      </c>
      <c r="C20793" s="12"/>
      <c r="D20793" s="2"/>
    </row>
    <row r="20794" spans="1:4" ht="12.75" customHeight="1" x14ac:dyDescent="0.2">
      <c r="A20794" s="11"/>
      <c r="B20794" s="2"/>
      <c r="C20794" s="15"/>
      <c r="D20794" s="2"/>
    </row>
    <row r="20795" spans="1:4" ht="12.75" customHeight="1" x14ac:dyDescent="0.2">
      <c r="B20795" s="11" t="s">
        <v>0</v>
      </c>
      <c r="C20795" s="17" t="s">
        <v>119</v>
      </c>
      <c r="D20795" s="2"/>
    </row>
    <row r="20796" spans="1:4" ht="12.75" customHeight="1" x14ac:dyDescent="0.2">
      <c r="B20796" s="11" t="s">
        <v>2599</v>
      </c>
      <c r="C20796" s="17" t="s">
        <v>5956</v>
      </c>
      <c r="D20796" s="2"/>
    </row>
    <row r="20797" spans="1:4" ht="25.5" customHeight="1" x14ac:dyDescent="0.2">
      <c r="B20797" s="11" t="s">
        <v>2600</v>
      </c>
      <c r="C20797" s="17" t="s">
        <v>5989</v>
      </c>
      <c r="D20797" s="2"/>
    </row>
    <row r="20798" spans="1:4" ht="25.5" customHeight="1" x14ac:dyDescent="0.2">
      <c r="B20798" s="11" t="s">
        <v>2601</v>
      </c>
      <c r="C20798" s="17"/>
      <c r="D20798" s="2"/>
    </row>
    <row r="20799" spans="1:4" ht="12.75" customHeight="1" x14ac:dyDescent="0.2">
      <c r="B20799" s="11" t="s">
        <v>16</v>
      </c>
      <c r="C20799" s="17"/>
      <c r="D20799" s="2"/>
    </row>
    <row r="20800" spans="1:4" ht="12.75" customHeight="1" x14ac:dyDescent="0.2">
      <c r="B20800" s="11" t="s">
        <v>13</v>
      </c>
      <c r="C20800" s="17" t="s">
        <v>2602</v>
      </c>
      <c r="D20800" s="2"/>
    </row>
    <row r="20801" spans="1:4" ht="25.5" customHeight="1" x14ac:dyDescent="0.2">
      <c r="B20801" s="11" t="s">
        <v>2603</v>
      </c>
      <c r="C20801" s="17" t="s">
        <v>2971</v>
      </c>
      <c r="D20801" s="2"/>
    </row>
    <row r="20802" spans="1:4" ht="12.75" customHeight="1" x14ac:dyDescent="0.2">
      <c r="B20802" s="11" t="s">
        <v>2605</v>
      </c>
      <c r="C20802" s="17" t="s">
        <v>14</v>
      </c>
      <c r="D20802" s="2"/>
    </row>
    <row r="20803" spans="1:4" ht="12.75" customHeight="1" x14ac:dyDescent="0.2">
      <c r="B20803" s="11" t="s">
        <v>2606</v>
      </c>
      <c r="C20803" s="16" t="s">
        <v>19</v>
      </c>
      <c r="D20803" s="2"/>
    </row>
    <row r="20804" spans="1:4" ht="12.75" customHeight="1" x14ac:dyDescent="0.2">
      <c r="B20804" s="2"/>
      <c r="C20804" s="15"/>
      <c r="D20804" s="2"/>
    </row>
    <row r="20805" spans="1:4" ht="12.75" customHeight="1" x14ac:dyDescent="0.2">
      <c r="B20805" s="2"/>
      <c r="C20805" s="15"/>
      <c r="D20805" s="2"/>
    </row>
    <row r="20806" spans="1:4" ht="12.75" customHeight="1" x14ac:dyDescent="0.2">
      <c r="A20806" s="13" t="s">
        <v>5958</v>
      </c>
      <c r="C20806" s="12"/>
      <c r="D20806" s="2"/>
    </row>
    <row r="20807" spans="1:4" ht="12.75" customHeight="1" x14ac:dyDescent="0.2">
      <c r="A20807" s="11"/>
      <c r="B20807" s="2"/>
      <c r="C20807" s="15"/>
      <c r="D20807" s="2"/>
    </row>
    <row r="20808" spans="1:4" ht="12.75" customHeight="1" x14ac:dyDescent="0.2">
      <c r="B20808" s="11" t="s">
        <v>0</v>
      </c>
      <c r="C20808" s="17" t="s">
        <v>119</v>
      </c>
      <c r="D20808" s="2"/>
    </row>
    <row r="20809" spans="1:4" ht="12.75" customHeight="1" x14ac:dyDescent="0.2">
      <c r="B20809" s="11" t="s">
        <v>2599</v>
      </c>
      <c r="C20809" s="17" t="s">
        <v>3503</v>
      </c>
      <c r="D20809" s="2"/>
    </row>
    <row r="20810" spans="1:4" ht="25.5" customHeight="1" x14ac:dyDescent="0.2">
      <c r="B20810" s="11" t="s">
        <v>2600</v>
      </c>
      <c r="C20810" s="17" t="s">
        <v>5990</v>
      </c>
      <c r="D20810" s="2"/>
    </row>
    <row r="20811" spans="1:4" ht="25.5" customHeight="1" x14ac:dyDescent="0.2">
      <c r="B20811" s="11" t="s">
        <v>2601</v>
      </c>
      <c r="C20811" s="17"/>
      <c r="D20811" s="2"/>
    </row>
    <row r="20812" spans="1:4" ht="12.75" customHeight="1" x14ac:dyDescent="0.2">
      <c r="B20812" s="11" t="s">
        <v>16</v>
      </c>
      <c r="C20812" s="17"/>
      <c r="D20812" s="2"/>
    </row>
    <row r="20813" spans="1:4" ht="12.75" customHeight="1" x14ac:dyDescent="0.2">
      <c r="B20813" s="11" t="s">
        <v>13</v>
      </c>
      <c r="C20813" s="17" t="s">
        <v>2644</v>
      </c>
      <c r="D20813" s="2"/>
    </row>
    <row r="20814" spans="1:4" ht="25.5" customHeight="1" x14ac:dyDescent="0.2">
      <c r="B20814" s="11" t="s">
        <v>2603</v>
      </c>
      <c r="C20814" s="17" t="s">
        <v>2971</v>
      </c>
      <c r="D20814" s="2"/>
    </row>
    <row r="20815" spans="1:4" ht="12.75" customHeight="1" x14ac:dyDescent="0.2">
      <c r="B20815" s="11" t="s">
        <v>2605</v>
      </c>
      <c r="C20815" s="17" t="s">
        <v>14</v>
      </c>
      <c r="D20815" s="2"/>
    </row>
    <row r="20816" spans="1:4" ht="12.75" customHeight="1" x14ac:dyDescent="0.2">
      <c r="B20816" s="11" t="s">
        <v>2606</v>
      </c>
      <c r="C20816" s="16" t="s">
        <v>19</v>
      </c>
      <c r="D20816" s="2"/>
    </row>
    <row r="20817" spans="1:4" ht="12.75" customHeight="1" x14ac:dyDescent="0.2">
      <c r="B20817" s="2"/>
      <c r="C20817" s="15"/>
      <c r="D20817" s="2"/>
    </row>
    <row r="20818" spans="1:4" ht="12.75" customHeight="1" x14ac:dyDescent="0.2">
      <c r="B20818" s="2"/>
      <c r="C20818" s="15"/>
      <c r="D20818" s="2"/>
    </row>
    <row r="20819" spans="1:4" ht="12.75" customHeight="1" x14ac:dyDescent="0.2">
      <c r="A20819" s="13" t="s">
        <v>5960</v>
      </c>
      <c r="C20819" s="12"/>
      <c r="D20819" s="2"/>
    </row>
    <row r="20820" spans="1:4" ht="12.75" customHeight="1" x14ac:dyDescent="0.2">
      <c r="A20820" s="11"/>
      <c r="B20820" s="2"/>
      <c r="C20820" s="15"/>
      <c r="D20820" s="2"/>
    </row>
    <row r="20821" spans="1:4" ht="12.75" customHeight="1" x14ac:dyDescent="0.2">
      <c r="B20821" s="11" t="s">
        <v>0</v>
      </c>
      <c r="C20821" s="17" t="s">
        <v>119</v>
      </c>
      <c r="D20821" s="2"/>
    </row>
    <row r="20822" spans="1:4" ht="12.75" customHeight="1" x14ac:dyDescent="0.2">
      <c r="B20822" s="11" t="s">
        <v>2599</v>
      </c>
      <c r="C20822" s="17" t="s">
        <v>5961</v>
      </c>
      <c r="D20822" s="2"/>
    </row>
    <row r="20823" spans="1:4" ht="25.5" customHeight="1" x14ac:dyDescent="0.2">
      <c r="B20823" s="11" t="s">
        <v>2600</v>
      </c>
      <c r="C20823" s="17" t="s">
        <v>5993</v>
      </c>
      <c r="D20823" s="2"/>
    </row>
    <row r="20824" spans="1:4" ht="25.5" customHeight="1" x14ac:dyDescent="0.2">
      <c r="B20824" s="11" t="s">
        <v>2601</v>
      </c>
      <c r="C20824" s="17"/>
      <c r="D20824" s="2"/>
    </row>
    <row r="20825" spans="1:4" ht="12.75" customHeight="1" x14ac:dyDescent="0.2">
      <c r="B20825" s="11" t="s">
        <v>16</v>
      </c>
      <c r="C20825" s="17"/>
      <c r="D20825" s="2"/>
    </row>
    <row r="20826" spans="1:4" ht="12.75" customHeight="1" x14ac:dyDescent="0.2">
      <c r="B20826" s="11" t="s">
        <v>13</v>
      </c>
      <c r="C20826" s="17" t="s">
        <v>2644</v>
      </c>
      <c r="D20826" s="2"/>
    </row>
    <row r="20827" spans="1:4" ht="25.5" customHeight="1" x14ac:dyDescent="0.2">
      <c r="B20827" s="11" t="s">
        <v>2603</v>
      </c>
      <c r="C20827" s="17" t="s">
        <v>2971</v>
      </c>
      <c r="D20827" s="2"/>
    </row>
    <row r="20828" spans="1:4" ht="12.75" customHeight="1" x14ac:dyDescent="0.2">
      <c r="B20828" s="11" t="s">
        <v>2605</v>
      </c>
      <c r="C20828" s="17" t="s">
        <v>14</v>
      </c>
      <c r="D20828" s="2"/>
    </row>
    <row r="20829" spans="1:4" ht="12.75" customHeight="1" x14ac:dyDescent="0.2">
      <c r="B20829" s="11" t="s">
        <v>2606</v>
      </c>
      <c r="C20829" s="16" t="s">
        <v>19</v>
      </c>
      <c r="D20829" s="2"/>
    </row>
    <row r="20830" spans="1:4" ht="12.75" customHeight="1" x14ac:dyDescent="0.2">
      <c r="B20830" s="2"/>
      <c r="C20830" s="15"/>
      <c r="D20830" s="2"/>
    </row>
    <row r="20831" spans="1:4" ht="12.75" customHeight="1" x14ac:dyDescent="0.2">
      <c r="B20831" s="2"/>
      <c r="C20831" s="15"/>
      <c r="D20831" s="2"/>
    </row>
    <row r="20832" spans="1:4" ht="12.75" customHeight="1" x14ac:dyDescent="0.2">
      <c r="A20832" s="13" t="s">
        <v>5994</v>
      </c>
      <c r="C20832" s="12"/>
    </row>
    <row r="20833" spans="1:4" ht="12.75" customHeight="1" x14ac:dyDescent="0.2">
      <c r="A20833" s="11"/>
      <c r="B20833" s="2"/>
      <c r="C20833" s="15"/>
      <c r="D20833" s="2"/>
    </row>
    <row r="20834" spans="1:4" ht="12.75" customHeight="1" x14ac:dyDescent="0.2">
      <c r="B20834" s="11" t="s">
        <v>0</v>
      </c>
      <c r="C20834" s="11" t="s">
        <v>119</v>
      </c>
    </row>
    <row r="20835" spans="1:4" ht="12.75" customHeight="1" x14ac:dyDescent="0.2">
      <c r="B20835" s="11" t="s">
        <v>2599</v>
      </c>
      <c r="C20835" s="11" t="s">
        <v>5995</v>
      </c>
    </row>
    <row r="20836" spans="1:4" ht="25.5" customHeight="1" x14ac:dyDescent="0.2">
      <c r="B20836" s="11" t="s">
        <v>2600</v>
      </c>
      <c r="C20836" s="11" t="s">
        <v>5996</v>
      </c>
    </row>
    <row r="20837" spans="1:4" ht="25.5" customHeight="1" x14ac:dyDescent="0.2">
      <c r="B20837" s="11" t="s">
        <v>2601</v>
      </c>
      <c r="C20837" s="11"/>
    </row>
    <row r="20838" spans="1:4" ht="12.75" customHeight="1" x14ac:dyDescent="0.2">
      <c r="B20838" s="11" t="s">
        <v>16</v>
      </c>
      <c r="C20838" s="11"/>
    </row>
    <row r="20839" spans="1:4" ht="12.75" customHeight="1" x14ac:dyDescent="0.2">
      <c r="B20839" s="11" t="s">
        <v>13</v>
      </c>
      <c r="C20839" s="11" t="s">
        <v>2602</v>
      </c>
    </row>
    <row r="20840" spans="1:4" ht="12.75" customHeight="1" x14ac:dyDescent="0.2">
      <c r="B20840" s="11" t="s">
        <v>2603</v>
      </c>
      <c r="C20840" s="11" t="s">
        <v>2604</v>
      </c>
    </row>
    <row r="20841" spans="1:4" ht="12.75" customHeight="1" x14ac:dyDescent="0.2">
      <c r="B20841" s="11" t="s">
        <v>2605</v>
      </c>
      <c r="C20841" s="11" t="s">
        <v>14</v>
      </c>
    </row>
    <row r="20842" spans="1:4" ht="12.75" customHeight="1" x14ac:dyDescent="0.2">
      <c r="B20842" s="11" t="s">
        <v>2606</v>
      </c>
      <c r="C20842" s="16" t="s">
        <v>44</v>
      </c>
      <c r="D20842" s="6" t="str">
        <f>HYPERLINK("javascript:void(0)","maxilla")</f>
        <v>maxilla</v>
      </c>
    </row>
    <row r="20843" spans="1:4" ht="12.75" customHeight="1" x14ac:dyDescent="0.2">
      <c r="C20843" s="16" t="s">
        <v>309</v>
      </c>
      <c r="D20843" s="6" t="str">
        <f>HYPERLINK("javascript:void(0)","kincs")</f>
        <v>kincs</v>
      </c>
    </row>
    <row r="20844" spans="1:4" ht="12.75" customHeight="1" x14ac:dyDescent="0.2">
      <c r="B20844" s="2"/>
      <c r="C20844" s="15"/>
      <c r="D20844" s="2"/>
    </row>
    <row r="20845" spans="1:4" ht="12.75" customHeight="1" x14ac:dyDescent="0.2">
      <c r="B20845" s="2"/>
      <c r="C20845" s="15"/>
      <c r="D20845" s="2"/>
    </row>
    <row r="20846" spans="1:4" ht="12.75" customHeight="1" x14ac:dyDescent="0.2">
      <c r="A20846" s="13" t="s">
        <v>5997</v>
      </c>
      <c r="C20846" s="12"/>
    </row>
    <row r="20847" spans="1:4" ht="12.75" customHeight="1" x14ac:dyDescent="0.2">
      <c r="A20847" s="11"/>
      <c r="B20847" s="2"/>
      <c r="C20847" s="15"/>
      <c r="D20847" s="2"/>
    </row>
    <row r="20848" spans="1:4" ht="12.75" customHeight="1" x14ac:dyDescent="0.2">
      <c r="B20848" s="11" t="s">
        <v>0</v>
      </c>
      <c r="C20848" s="11" t="s">
        <v>119</v>
      </c>
    </row>
    <row r="20849" spans="1:4" ht="12.75" customHeight="1" x14ac:dyDescent="0.2">
      <c r="B20849" s="11" t="s">
        <v>2599</v>
      </c>
      <c r="C20849" s="11" t="s">
        <v>5998</v>
      </c>
    </row>
    <row r="20850" spans="1:4" ht="25.5" customHeight="1" x14ac:dyDescent="0.2">
      <c r="B20850" s="11" t="s">
        <v>2600</v>
      </c>
      <c r="C20850" s="11" t="s">
        <v>5999</v>
      </c>
    </row>
    <row r="20851" spans="1:4" ht="25.5" customHeight="1" x14ac:dyDescent="0.2">
      <c r="B20851" s="11" t="s">
        <v>2601</v>
      </c>
      <c r="C20851" s="11"/>
    </row>
    <row r="20852" spans="1:4" ht="12.75" customHeight="1" x14ac:dyDescent="0.2">
      <c r="B20852" s="11" t="s">
        <v>16</v>
      </c>
      <c r="C20852" s="11"/>
    </row>
    <row r="20853" spans="1:4" ht="12.75" customHeight="1" x14ac:dyDescent="0.2">
      <c r="B20853" s="11" t="s">
        <v>13</v>
      </c>
      <c r="C20853" s="11" t="s">
        <v>2644</v>
      </c>
    </row>
    <row r="20854" spans="1:4" ht="12.75" customHeight="1" x14ac:dyDescent="0.2">
      <c r="B20854" s="11" t="s">
        <v>2603</v>
      </c>
      <c r="C20854" s="11" t="s">
        <v>2604</v>
      </c>
    </row>
    <row r="20855" spans="1:4" ht="12.75" customHeight="1" x14ac:dyDescent="0.2">
      <c r="B20855" s="11" t="s">
        <v>2605</v>
      </c>
      <c r="C20855" s="11" t="s">
        <v>24</v>
      </c>
    </row>
    <row r="20856" spans="1:4" ht="12.75" customHeight="1" x14ac:dyDescent="0.2">
      <c r="B20856" s="11" t="s">
        <v>2606</v>
      </c>
      <c r="C20856" s="16" t="s">
        <v>44</v>
      </c>
      <c r="D20856" s="6" t="str">
        <f>HYPERLINK("javascript:void(0)","gorillanyelv")</f>
        <v>gorillanyelv</v>
      </c>
    </row>
    <row r="20857" spans="1:4" ht="12.75" customHeight="1" x14ac:dyDescent="0.2">
      <c r="C20857" s="16" t="s">
        <v>56</v>
      </c>
      <c r="D20857" s="6" t="str">
        <f>HYPERLINK("javascript:void(0)","banánhéj")</f>
        <v>banánhéj</v>
      </c>
    </row>
    <row r="20858" spans="1:4" ht="12.75" customHeight="1" x14ac:dyDescent="0.2">
      <c r="C20858" s="16" t="s">
        <v>44</v>
      </c>
      <c r="D20858" s="6" t="str">
        <f>HYPERLINK("javascript:void(0)","kincs")</f>
        <v>kincs</v>
      </c>
    </row>
    <row r="20859" spans="1:4" ht="12.75" customHeight="1" x14ac:dyDescent="0.2">
      <c r="B20859" s="2"/>
      <c r="C20859" s="15"/>
      <c r="D20859" s="2"/>
    </row>
    <row r="20860" spans="1:4" ht="12.75" customHeight="1" x14ac:dyDescent="0.2">
      <c r="B20860" s="2"/>
      <c r="C20860" s="15"/>
      <c r="D20860" s="2"/>
    </row>
    <row r="20861" spans="1:4" ht="12.75" customHeight="1" x14ac:dyDescent="0.2">
      <c r="A20861" s="13" t="s">
        <v>6000</v>
      </c>
      <c r="C20861" s="12"/>
    </row>
    <row r="20862" spans="1:4" ht="12.75" customHeight="1" x14ac:dyDescent="0.2">
      <c r="A20862" s="11"/>
      <c r="B20862" s="2"/>
      <c r="C20862" s="15"/>
      <c r="D20862" s="2"/>
    </row>
    <row r="20863" spans="1:4" ht="12.75" customHeight="1" x14ac:dyDescent="0.2">
      <c r="B20863" s="11" t="s">
        <v>0</v>
      </c>
      <c r="C20863" s="11" t="s">
        <v>119</v>
      </c>
    </row>
    <row r="20864" spans="1:4" ht="12.75" customHeight="1" x14ac:dyDescent="0.2">
      <c r="B20864" s="11" t="s">
        <v>2599</v>
      </c>
      <c r="C20864" s="11" t="s">
        <v>6001</v>
      </c>
    </row>
    <row r="20865" spans="1:4" ht="25.5" customHeight="1" x14ac:dyDescent="0.2">
      <c r="B20865" s="11" t="s">
        <v>2600</v>
      </c>
      <c r="C20865" s="11" t="s">
        <v>6002</v>
      </c>
    </row>
    <row r="20866" spans="1:4" ht="25.5" customHeight="1" x14ac:dyDescent="0.2">
      <c r="B20866" s="11" t="s">
        <v>2601</v>
      </c>
      <c r="C20866" s="11"/>
    </row>
    <row r="20867" spans="1:4" ht="12.75" customHeight="1" x14ac:dyDescent="0.2">
      <c r="B20867" s="11" t="s">
        <v>16</v>
      </c>
      <c r="C20867" s="11"/>
    </row>
    <row r="20868" spans="1:4" ht="12.75" customHeight="1" x14ac:dyDescent="0.2">
      <c r="B20868" s="11" t="s">
        <v>13</v>
      </c>
      <c r="C20868" s="11" t="s">
        <v>2644</v>
      </c>
    </row>
    <row r="20869" spans="1:4" ht="12.75" customHeight="1" x14ac:dyDescent="0.2">
      <c r="B20869" s="11" t="s">
        <v>2603</v>
      </c>
      <c r="C20869" s="11" t="s">
        <v>2604</v>
      </c>
    </row>
    <row r="20870" spans="1:4" ht="12.75" customHeight="1" x14ac:dyDescent="0.2">
      <c r="B20870" s="11" t="s">
        <v>2605</v>
      </c>
      <c r="C20870" s="11" t="s">
        <v>24</v>
      </c>
    </row>
    <row r="20871" spans="1:4" ht="12.75" customHeight="1" x14ac:dyDescent="0.2">
      <c r="B20871" s="11" t="s">
        <v>2606</v>
      </c>
      <c r="C20871" s="16" t="s">
        <v>44</v>
      </c>
      <c r="D20871" s="6" t="str">
        <f>HYPERLINK("javascript:void(0)","ork aprító")</f>
        <v>ork aprító</v>
      </c>
    </row>
    <row r="20872" spans="1:4" ht="12.75" customHeight="1" x14ac:dyDescent="0.2">
      <c r="C20872" s="16" t="s">
        <v>98</v>
      </c>
      <c r="D20872" s="6" t="str">
        <f>HYPERLINK("javascript:void(0)","kincs")</f>
        <v>kincs</v>
      </c>
    </row>
    <row r="20873" spans="1:4" ht="12.75" customHeight="1" x14ac:dyDescent="0.2">
      <c r="B20873" s="2"/>
      <c r="C20873" s="15"/>
      <c r="D20873" s="2"/>
    </row>
    <row r="20874" spans="1:4" ht="12.75" customHeight="1" x14ac:dyDescent="0.2">
      <c r="B20874" s="2"/>
      <c r="C20874" s="15"/>
      <c r="D20874" s="2"/>
    </row>
    <row r="20875" spans="1:4" ht="12.75" customHeight="1" x14ac:dyDescent="0.2">
      <c r="A20875" s="13" t="s">
        <v>6004</v>
      </c>
      <c r="C20875" s="12"/>
    </row>
    <row r="20876" spans="1:4" ht="12.75" customHeight="1" x14ac:dyDescent="0.2">
      <c r="A20876" s="11"/>
      <c r="B20876" s="2"/>
      <c r="C20876" s="15"/>
      <c r="D20876" s="2"/>
    </row>
    <row r="20877" spans="1:4" ht="12.75" customHeight="1" x14ac:dyDescent="0.2">
      <c r="B20877" s="11" t="s">
        <v>0</v>
      </c>
      <c r="C20877" s="11" t="s">
        <v>119</v>
      </c>
    </row>
    <row r="20878" spans="1:4" ht="12.75" customHeight="1" x14ac:dyDescent="0.2">
      <c r="B20878" s="11" t="s">
        <v>2599</v>
      </c>
      <c r="C20878" s="11" t="s">
        <v>6005</v>
      </c>
    </row>
    <row r="20879" spans="1:4" ht="25.5" customHeight="1" x14ac:dyDescent="0.2">
      <c r="B20879" s="11" t="s">
        <v>2600</v>
      </c>
      <c r="C20879" s="11" t="s">
        <v>6006</v>
      </c>
    </row>
    <row r="20880" spans="1:4" ht="25.5" customHeight="1" x14ac:dyDescent="0.2">
      <c r="B20880" s="11" t="s">
        <v>2601</v>
      </c>
      <c r="C20880" s="11"/>
    </row>
    <row r="20881" spans="1:4" ht="12.75" customHeight="1" x14ac:dyDescent="0.2">
      <c r="B20881" s="11" t="s">
        <v>16</v>
      </c>
      <c r="C20881" s="11"/>
    </row>
    <row r="20882" spans="1:4" ht="12.75" customHeight="1" x14ac:dyDescent="0.2">
      <c r="B20882" s="11" t="s">
        <v>13</v>
      </c>
      <c r="C20882" s="11" t="s">
        <v>2644</v>
      </c>
    </row>
    <row r="20883" spans="1:4" ht="12.75" customHeight="1" x14ac:dyDescent="0.2">
      <c r="B20883" s="11" t="s">
        <v>2603</v>
      </c>
      <c r="C20883" s="11" t="s">
        <v>2604</v>
      </c>
    </row>
    <row r="20884" spans="1:4" ht="12.75" customHeight="1" x14ac:dyDescent="0.2">
      <c r="B20884" s="11" t="s">
        <v>2605</v>
      </c>
      <c r="C20884" s="11" t="s">
        <v>14</v>
      </c>
    </row>
    <row r="20885" spans="1:4" ht="12.75" customHeight="1" x14ac:dyDescent="0.2">
      <c r="B20885" s="11" t="s">
        <v>2606</v>
      </c>
      <c r="C20885" s="16" t="s">
        <v>98</v>
      </c>
      <c r="D20885" s="6" t="str">
        <f>HYPERLINK("javascript:void(0)","kincs")</f>
        <v>kincs</v>
      </c>
    </row>
    <row r="20886" spans="1:4" ht="12.75" customHeight="1" x14ac:dyDescent="0.2">
      <c r="C20886" s="16" t="s">
        <v>323</v>
      </c>
      <c r="D20886" s="6" t="str">
        <f>HYPERLINK("javascript:void(0)","goblinbatka")</f>
        <v>goblinbatka</v>
      </c>
    </row>
    <row r="20887" spans="1:4" ht="25.5" customHeight="1" x14ac:dyDescent="0.2">
      <c r="C20887" s="16" t="s">
        <v>44</v>
      </c>
      <c r="D20887" s="6" t="str">
        <f>HYPERLINK("javascript:void(0)","goblin shuriken")</f>
        <v>goblin shuriken</v>
      </c>
    </row>
    <row r="20888" spans="1:4" ht="12.75" customHeight="1" x14ac:dyDescent="0.2">
      <c r="B20888" s="2"/>
      <c r="C20888" s="15"/>
      <c r="D20888" s="2"/>
    </row>
    <row r="20889" spans="1:4" ht="12.75" customHeight="1" x14ac:dyDescent="0.2">
      <c r="B20889" s="2"/>
      <c r="C20889" s="15"/>
      <c r="D20889" s="2"/>
    </row>
    <row r="20890" spans="1:4" ht="12.75" customHeight="1" x14ac:dyDescent="0.2">
      <c r="A20890" s="13" t="s">
        <v>6007</v>
      </c>
      <c r="C20890" s="12"/>
    </row>
    <row r="20891" spans="1:4" ht="12.75" customHeight="1" x14ac:dyDescent="0.2">
      <c r="A20891" s="11"/>
      <c r="B20891" s="2"/>
      <c r="C20891" s="15"/>
      <c r="D20891" s="2"/>
    </row>
    <row r="20892" spans="1:4" ht="12.75" customHeight="1" x14ac:dyDescent="0.2">
      <c r="B20892" s="11" t="s">
        <v>0</v>
      </c>
      <c r="C20892" s="11" t="s">
        <v>119</v>
      </c>
    </row>
    <row r="20893" spans="1:4" ht="12.75" customHeight="1" x14ac:dyDescent="0.2">
      <c r="B20893" s="11" t="s">
        <v>2599</v>
      </c>
      <c r="C20893" s="11" t="s">
        <v>6008</v>
      </c>
    </row>
    <row r="20894" spans="1:4" ht="25.5" customHeight="1" x14ac:dyDescent="0.2">
      <c r="B20894" s="11" t="s">
        <v>2600</v>
      </c>
      <c r="C20894" s="11" t="s">
        <v>6009</v>
      </c>
    </row>
    <row r="20895" spans="1:4" ht="25.5" customHeight="1" x14ac:dyDescent="0.2">
      <c r="B20895" s="11" t="s">
        <v>2601</v>
      </c>
      <c r="C20895" s="11"/>
    </row>
    <row r="20896" spans="1:4" ht="12.75" customHeight="1" x14ac:dyDescent="0.2">
      <c r="B20896" s="11" t="s">
        <v>16</v>
      </c>
      <c r="C20896" s="11"/>
    </row>
    <row r="20897" spans="1:4" ht="12.75" customHeight="1" x14ac:dyDescent="0.2">
      <c r="B20897" s="11" t="s">
        <v>13</v>
      </c>
      <c r="C20897" s="11" t="s">
        <v>2602</v>
      </c>
    </row>
    <row r="20898" spans="1:4" ht="12.75" customHeight="1" x14ac:dyDescent="0.2">
      <c r="B20898" s="11" t="s">
        <v>2603</v>
      </c>
      <c r="C20898" s="11" t="s">
        <v>2604</v>
      </c>
    </row>
    <row r="20899" spans="1:4" ht="12.75" customHeight="1" x14ac:dyDescent="0.2">
      <c r="B20899" s="11" t="s">
        <v>2605</v>
      </c>
      <c r="C20899" s="11" t="s">
        <v>14</v>
      </c>
    </row>
    <row r="20900" spans="1:4" ht="12.75" customHeight="1" x14ac:dyDescent="0.2">
      <c r="B20900" s="11" t="s">
        <v>2606</v>
      </c>
      <c r="C20900" s="16" t="s">
        <v>57</v>
      </c>
      <c r="D20900" s="6" t="str">
        <f>HYPERLINK("javascript:void(0)","lepkeszárny")</f>
        <v>lepkeszárny</v>
      </c>
    </row>
    <row r="20901" spans="1:4" ht="12.75" customHeight="1" x14ac:dyDescent="0.2">
      <c r="C20901" s="16" t="s">
        <v>44</v>
      </c>
      <c r="D20901" s="6" t="str">
        <f>HYPERLINK("javascript:void(0)","vanesszin")</f>
        <v>vanesszin</v>
      </c>
    </row>
    <row r="20902" spans="1:4" ht="12.75" customHeight="1" x14ac:dyDescent="0.2">
      <c r="B20902" s="2"/>
      <c r="C20902" s="15"/>
      <c r="D20902" s="2"/>
    </row>
    <row r="20903" spans="1:4" ht="12.75" customHeight="1" x14ac:dyDescent="0.2">
      <c r="B20903" s="2"/>
      <c r="C20903" s="15"/>
      <c r="D20903" s="2"/>
    </row>
    <row r="20904" spans="1:4" ht="12.75" customHeight="1" x14ac:dyDescent="0.2">
      <c r="A20904" s="13" t="s">
        <v>6010</v>
      </c>
      <c r="C20904" s="12"/>
    </row>
    <row r="20905" spans="1:4" ht="12.75" customHeight="1" x14ac:dyDescent="0.2">
      <c r="A20905" s="11"/>
      <c r="B20905" s="2"/>
      <c r="C20905" s="15"/>
      <c r="D20905" s="2"/>
    </row>
    <row r="20906" spans="1:4" ht="12.75" customHeight="1" x14ac:dyDescent="0.2">
      <c r="B20906" s="11" t="s">
        <v>0</v>
      </c>
      <c r="C20906" s="11" t="s">
        <v>119</v>
      </c>
    </row>
    <row r="20907" spans="1:4" ht="12.75" customHeight="1" x14ac:dyDescent="0.2">
      <c r="B20907" s="11" t="s">
        <v>2599</v>
      </c>
      <c r="C20907" s="11" t="s">
        <v>4014</v>
      </c>
    </row>
    <row r="20908" spans="1:4" ht="25.5" customHeight="1" x14ac:dyDescent="0.2">
      <c r="B20908" s="11" t="s">
        <v>2600</v>
      </c>
      <c r="C20908" s="11" t="s">
        <v>6011</v>
      </c>
    </row>
    <row r="20909" spans="1:4" ht="25.5" customHeight="1" x14ac:dyDescent="0.2">
      <c r="B20909" s="11" t="s">
        <v>2601</v>
      </c>
      <c r="C20909" s="11"/>
    </row>
    <row r="20910" spans="1:4" ht="12.75" customHeight="1" x14ac:dyDescent="0.2">
      <c r="B20910" s="11" t="s">
        <v>16</v>
      </c>
      <c r="C20910" s="11"/>
    </row>
    <row r="20911" spans="1:4" ht="12.75" customHeight="1" x14ac:dyDescent="0.2">
      <c r="B20911" s="11" t="s">
        <v>13</v>
      </c>
      <c r="C20911" s="11" t="s">
        <v>2602</v>
      </c>
    </row>
    <row r="20912" spans="1:4" ht="12.75" customHeight="1" x14ac:dyDescent="0.2">
      <c r="B20912" s="11" t="s">
        <v>2603</v>
      </c>
      <c r="C20912" s="11" t="s">
        <v>2604</v>
      </c>
    </row>
    <row r="20913" spans="1:4" ht="12.75" customHeight="1" x14ac:dyDescent="0.2">
      <c r="B20913" s="11" t="s">
        <v>2605</v>
      </c>
      <c r="C20913" s="11" t="s">
        <v>24</v>
      </c>
    </row>
    <row r="20914" spans="1:4" ht="12.75" customHeight="1" x14ac:dyDescent="0.2">
      <c r="B20914" s="11" t="s">
        <v>2606</v>
      </c>
      <c r="C20914" s="16" t="s">
        <v>323</v>
      </c>
      <c r="D20914" s="6" t="str">
        <f>HYPERLINK("javascript:void(0)","arany")</f>
        <v>arany</v>
      </c>
    </row>
    <row r="20915" spans="1:4" ht="12.75" customHeight="1" x14ac:dyDescent="0.2">
      <c r="C20915" s="16" t="s">
        <v>56</v>
      </c>
      <c r="D20915" s="6" t="str">
        <f>HYPERLINK("javascript:void(0)","gyémánt")</f>
        <v>gyémánt</v>
      </c>
    </row>
    <row r="20916" spans="1:4" ht="12.75" customHeight="1" x14ac:dyDescent="0.2">
      <c r="C20916" s="16" t="s">
        <v>44</v>
      </c>
      <c r="D20916" s="6" t="str">
        <f>HYPERLINK("javascript:void(0)","merkantid")</f>
        <v>merkantid</v>
      </c>
    </row>
    <row r="20917" spans="1:4" ht="12.75" customHeight="1" x14ac:dyDescent="0.2">
      <c r="B20917" s="2"/>
      <c r="C20917" s="15"/>
      <c r="D20917" s="2"/>
    </row>
    <row r="20918" spans="1:4" ht="12.75" customHeight="1" x14ac:dyDescent="0.2">
      <c r="B20918" s="2"/>
      <c r="C20918" s="15"/>
      <c r="D20918" s="2"/>
    </row>
    <row r="20919" spans="1:4" ht="12.75" customHeight="1" x14ac:dyDescent="0.2">
      <c r="A20919" s="13" t="s">
        <v>6013</v>
      </c>
      <c r="C20919" s="12"/>
    </row>
    <row r="20920" spans="1:4" ht="12.75" customHeight="1" x14ac:dyDescent="0.2">
      <c r="A20920" s="11"/>
      <c r="B20920" s="2"/>
      <c r="C20920" s="15"/>
      <c r="D20920" s="2"/>
    </row>
    <row r="20921" spans="1:4" ht="12.75" customHeight="1" x14ac:dyDescent="0.2">
      <c r="B20921" s="11" t="s">
        <v>0</v>
      </c>
      <c r="C20921" s="11" t="s">
        <v>119</v>
      </c>
    </row>
    <row r="20922" spans="1:4" ht="12.75" customHeight="1" x14ac:dyDescent="0.2">
      <c r="B20922" s="11" t="s">
        <v>2599</v>
      </c>
      <c r="C20922" s="11" t="s">
        <v>828</v>
      </c>
    </row>
    <row r="20923" spans="1:4" ht="25.5" customHeight="1" x14ac:dyDescent="0.2">
      <c r="B20923" s="11" t="s">
        <v>2600</v>
      </c>
      <c r="C20923" s="11" t="s">
        <v>6015</v>
      </c>
    </row>
    <row r="20924" spans="1:4" ht="25.5" customHeight="1" x14ac:dyDescent="0.2">
      <c r="B20924" s="11" t="s">
        <v>2601</v>
      </c>
      <c r="C20924" s="11"/>
    </row>
    <row r="20925" spans="1:4" ht="12.75" customHeight="1" x14ac:dyDescent="0.2">
      <c r="B20925" s="11" t="s">
        <v>16</v>
      </c>
      <c r="C20925" s="11"/>
    </row>
    <row r="20926" spans="1:4" ht="12.75" customHeight="1" x14ac:dyDescent="0.2">
      <c r="B20926" s="11" t="s">
        <v>13</v>
      </c>
      <c r="C20926" s="11" t="s">
        <v>2602</v>
      </c>
    </row>
    <row r="20927" spans="1:4" ht="12.75" customHeight="1" x14ac:dyDescent="0.2">
      <c r="B20927" s="11" t="s">
        <v>2603</v>
      </c>
      <c r="C20927" s="11" t="s">
        <v>2604</v>
      </c>
    </row>
    <row r="20928" spans="1:4" ht="12.75" customHeight="1" x14ac:dyDescent="0.2">
      <c r="B20928" s="11" t="s">
        <v>2605</v>
      </c>
      <c r="C20928" s="11" t="s">
        <v>14</v>
      </c>
    </row>
    <row r="20929" spans="1:4" ht="12.75" customHeight="1" x14ac:dyDescent="0.2">
      <c r="B20929" s="11" t="s">
        <v>2606</v>
      </c>
      <c r="C20929" s="16" t="s">
        <v>44</v>
      </c>
      <c r="D20929" s="6" t="str">
        <f>HYPERLINK("javascript:void(0)","krokodilbőr")</f>
        <v>krokodilbőr</v>
      </c>
    </row>
    <row r="20930" spans="1:4" ht="12.75" customHeight="1" x14ac:dyDescent="0.2">
      <c r="C20930" s="16" t="s">
        <v>55</v>
      </c>
      <c r="D20930" s="6" t="str">
        <f>HYPERLINK("javascript:void(0)","fűrészfog")</f>
        <v>fűrészfog</v>
      </c>
    </row>
    <row r="20931" spans="1:4" ht="12.75" customHeight="1" x14ac:dyDescent="0.2">
      <c r="B20931" s="2"/>
      <c r="C20931" s="15"/>
      <c r="D20931" s="2"/>
    </row>
    <row r="20932" spans="1:4" ht="12.75" customHeight="1" x14ac:dyDescent="0.2">
      <c r="B20932" s="2"/>
      <c r="C20932" s="15"/>
      <c r="D20932" s="2"/>
    </row>
    <row r="20933" spans="1:4" ht="12.75" customHeight="1" x14ac:dyDescent="0.2">
      <c r="A20933" s="13" t="s">
        <v>6016</v>
      </c>
      <c r="C20933" s="12"/>
    </row>
    <row r="20934" spans="1:4" ht="12.75" customHeight="1" x14ac:dyDescent="0.2">
      <c r="A20934" s="11"/>
      <c r="B20934" s="2"/>
      <c r="C20934" s="15"/>
      <c r="D20934" s="2"/>
    </row>
    <row r="20935" spans="1:4" ht="12.75" customHeight="1" x14ac:dyDescent="0.2">
      <c r="B20935" s="11" t="s">
        <v>0</v>
      </c>
      <c r="C20935" s="11" t="s">
        <v>119</v>
      </c>
    </row>
    <row r="20936" spans="1:4" ht="12.75" customHeight="1" x14ac:dyDescent="0.2">
      <c r="B20936" s="11" t="s">
        <v>2599</v>
      </c>
      <c r="C20936" s="11" t="s">
        <v>1881</v>
      </c>
    </row>
    <row r="20937" spans="1:4" ht="25.5" customHeight="1" x14ac:dyDescent="0.2">
      <c r="B20937" s="11" t="s">
        <v>2600</v>
      </c>
      <c r="C20937" s="11" t="s">
        <v>6017</v>
      </c>
    </row>
    <row r="20938" spans="1:4" ht="25.5" customHeight="1" x14ac:dyDescent="0.2">
      <c r="B20938" s="11" t="s">
        <v>2601</v>
      </c>
      <c r="C20938" s="11"/>
    </row>
    <row r="20939" spans="1:4" ht="12.75" customHeight="1" x14ac:dyDescent="0.2">
      <c r="B20939" s="11" t="s">
        <v>16</v>
      </c>
      <c r="C20939" s="11"/>
    </row>
    <row r="20940" spans="1:4" ht="12.75" customHeight="1" x14ac:dyDescent="0.2">
      <c r="B20940" s="11" t="s">
        <v>13</v>
      </c>
      <c r="C20940" s="11" t="s">
        <v>2644</v>
      </c>
    </row>
    <row r="20941" spans="1:4" ht="12.75" customHeight="1" x14ac:dyDescent="0.2">
      <c r="B20941" s="11" t="s">
        <v>2603</v>
      </c>
      <c r="C20941" s="11" t="s">
        <v>2604</v>
      </c>
    </row>
    <row r="20942" spans="1:4" ht="12.75" customHeight="1" x14ac:dyDescent="0.2">
      <c r="B20942" s="11" t="s">
        <v>2605</v>
      </c>
      <c r="C20942" s="11" t="s">
        <v>24</v>
      </c>
    </row>
    <row r="20943" spans="1:4" ht="25.5" customHeight="1" x14ac:dyDescent="0.2">
      <c r="B20943" s="11" t="s">
        <v>2606</v>
      </c>
      <c r="C20943" s="16" t="s">
        <v>56</v>
      </c>
      <c r="D20943" s="6" t="str">
        <f>HYPERLINK("javascript:void(0)","méregzacskó")</f>
        <v>méregzacskó</v>
      </c>
    </row>
    <row r="20944" spans="1:4" ht="12.75" customHeight="1" x14ac:dyDescent="0.2">
      <c r="C20944" s="16" t="s">
        <v>44</v>
      </c>
      <c r="D20944" s="6" t="str">
        <f>HYPERLINK("javascript:void(0)","kígyócsörgő")</f>
        <v>kígyócsörgő</v>
      </c>
    </row>
    <row r="20945" spans="1:4" ht="12.75" customHeight="1" x14ac:dyDescent="0.2">
      <c r="B20945" s="2"/>
      <c r="C20945" s="15"/>
      <c r="D20945" s="2"/>
    </row>
    <row r="20946" spans="1:4" ht="12.75" customHeight="1" x14ac:dyDescent="0.2">
      <c r="B20946" s="2"/>
      <c r="C20946" s="15"/>
      <c r="D20946" s="2"/>
    </row>
    <row r="20947" spans="1:4" ht="12.75" customHeight="1" x14ac:dyDescent="0.2">
      <c r="A20947" s="13" t="s">
        <v>5986</v>
      </c>
      <c r="C20947" s="12"/>
      <c r="D20947" s="2"/>
    </row>
    <row r="20948" spans="1:4" ht="12.75" customHeight="1" x14ac:dyDescent="0.2">
      <c r="A20948" s="11"/>
      <c r="B20948" s="2"/>
      <c r="C20948" s="15"/>
      <c r="D20948" s="2"/>
    </row>
    <row r="20949" spans="1:4" ht="12.75" customHeight="1" x14ac:dyDescent="0.2">
      <c r="B20949" s="11" t="s">
        <v>0</v>
      </c>
      <c r="C20949" s="17" t="s">
        <v>119</v>
      </c>
      <c r="D20949" s="2"/>
    </row>
    <row r="20950" spans="1:4" ht="12.75" customHeight="1" x14ac:dyDescent="0.2">
      <c r="B20950" s="11" t="s">
        <v>2599</v>
      </c>
      <c r="C20950" s="17" t="s">
        <v>5987</v>
      </c>
      <c r="D20950" s="2"/>
    </row>
    <row r="20951" spans="1:4" ht="25.5" customHeight="1" x14ac:dyDescent="0.2">
      <c r="B20951" s="11" t="s">
        <v>2600</v>
      </c>
      <c r="C20951" s="17" t="s">
        <v>6018</v>
      </c>
      <c r="D20951" s="2"/>
    </row>
    <row r="20952" spans="1:4" ht="25.5" customHeight="1" x14ac:dyDescent="0.2">
      <c r="B20952" s="11" t="s">
        <v>2601</v>
      </c>
      <c r="C20952" s="17"/>
      <c r="D20952" s="2"/>
    </row>
    <row r="20953" spans="1:4" ht="12.75" customHeight="1" x14ac:dyDescent="0.2">
      <c r="B20953" s="11" t="s">
        <v>16</v>
      </c>
      <c r="C20953" s="17"/>
      <c r="D20953" s="2"/>
    </row>
    <row r="20954" spans="1:4" ht="12.75" customHeight="1" x14ac:dyDescent="0.2">
      <c r="B20954" s="11" t="s">
        <v>13</v>
      </c>
      <c r="C20954" s="17" t="s">
        <v>2602</v>
      </c>
      <c r="D20954" s="2"/>
    </row>
    <row r="20955" spans="1:4" ht="25.5" customHeight="1" x14ac:dyDescent="0.2">
      <c r="B20955" s="11" t="s">
        <v>2603</v>
      </c>
      <c r="C20955" s="17" t="s">
        <v>2971</v>
      </c>
      <c r="D20955" s="2"/>
    </row>
    <row r="20956" spans="1:4" ht="12.75" customHeight="1" x14ac:dyDescent="0.2">
      <c r="B20956" s="11" t="s">
        <v>2605</v>
      </c>
      <c r="C20956" s="17" t="s">
        <v>14</v>
      </c>
      <c r="D20956" s="2"/>
    </row>
    <row r="20957" spans="1:4" ht="12.75" customHeight="1" x14ac:dyDescent="0.2">
      <c r="B20957" s="11" t="s">
        <v>2606</v>
      </c>
      <c r="C20957" s="16" t="s">
        <v>19</v>
      </c>
      <c r="D20957" s="2"/>
    </row>
    <row r="20958" spans="1:4" ht="12.75" customHeight="1" x14ac:dyDescent="0.2">
      <c r="B20958" s="2"/>
      <c r="C20958" s="15"/>
      <c r="D20958" s="2"/>
    </row>
    <row r="20959" spans="1:4" ht="12.75" customHeight="1" x14ac:dyDescent="0.2">
      <c r="B20959" s="2"/>
      <c r="C20959" s="15"/>
      <c r="D20959" s="2"/>
    </row>
    <row r="20960" spans="1:4" ht="12.75" customHeight="1" x14ac:dyDescent="0.2">
      <c r="A20960" s="13" t="s">
        <v>5955</v>
      </c>
      <c r="C20960" s="12"/>
      <c r="D20960" s="2"/>
    </row>
    <row r="20961" spans="1:4" ht="12.75" customHeight="1" x14ac:dyDescent="0.2">
      <c r="A20961" s="11"/>
      <c r="B20961" s="2"/>
      <c r="C20961" s="15"/>
      <c r="D20961" s="2"/>
    </row>
    <row r="20962" spans="1:4" ht="12.75" customHeight="1" x14ac:dyDescent="0.2">
      <c r="B20962" s="11" t="s">
        <v>0</v>
      </c>
      <c r="C20962" s="17" t="s">
        <v>1196</v>
      </c>
      <c r="D20962" s="2"/>
    </row>
    <row r="20963" spans="1:4" ht="12.75" customHeight="1" x14ac:dyDescent="0.2">
      <c r="B20963" s="11" t="s">
        <v>2599</v>
      </c>
      <c r="C20963" s="17" t="s">
        <v>5956</v>
      </c>
      <c r="D20963" s="2"/>
    </row>
    <row r="20964" spans="1:4" ht="25.5" customHeight="1" x14ac:dyDescent="0.2">
      <c r="B20964" s="11" t="s">
        <v>2600</v>
      </c>
      <c r="C20964" s="17" t="s">
        <v>6019</v>
      </c>
      <c r="D20964" s="2"/>
    </row>
    <row r="20965" spans="1:4" ht="25.5" customHeight="1" x14ac:dyDescent="0.2">
      <c r="B20965" s="11" t="s">
        <v>2601</v>
      </c>
      <c r="C20965" s="17"/>
      <c r="D20965" s="2"/>
    </row>
    <row r="20966" spans="1:4" ht="12.75" customHeight="1" x14ac:dyDescent="0.2">
      <c r="B20966" s="11" t="s">
        <v>16</v>
      </c>
      <c r="C20966" s="17"/>
      <c r="D20966" s="2"/>
    </row>
    <row r="20967" spans="1:4" ht="12.75" customHeight="1" x14ac:dyDescent="0.2">
      <c r="B20967" s="11" t="s">
        <v>13</v>
      </c>
      <c r="C20967" s="17" t="s">
        <v>2602</v>
      </c>
      <c r="D20967" s="2"/>
    </row>
    <row r="20968" spans="1:4" ht="25.5" customHeight="1" x14ac:dyDescent="0.2">
      <c r="B20968" s="11" t="s">
        <v>2603</v>
      </c>
      <c r="C20968" s="17" t="s">
        <v>2971</v>
      </c>
      <c r="D20968" s="2"/>
    </row>
    <row r="20969" spans="1:4" ht="12.75" customHeight="1" x14ac:dyDescent="0.2">
      <c r="B20969" s="11" t="s">
        <v>2605</v>
      </c>
      <c r="C20969" s="17" t="s">
        <v>14</v>
      </c>
      <c r="D20969" s="2"/>
    </row>
    <row r="20970" spans="1:4" ht="12.75" customHeight="1" x14ac:dyDescent="0.2">
      <c r="B20970" s="11" t="s">
        <v>2606</v>
      </c>
      <c r="C20970" s="16" t="s">
        <v>19</v>
      </c>
      <c r="D20970" s="2"/>
    </row>
    <row r="20971" spans="1:4" ht="12.75" customHeight="1" x14ac:dyDescent="0.2">
      <c r="B20971" s="2"/>
      <c r="C20971" s="15"/>
      <c r="D20971" s="2"/>
    </row>
    <row r="20972" spans="1:4" ht="12.75" customHeight="1" x14ac:dyDescent="0.2">
      <c r="B20972" s="2"/>
      <c r="C20972" s="15"/>
      <c r="D20972" s="2"/>
    </row>
    <row r="20973" spans="1:4" ht="12.75" customHeight="1" x14ac:dyDescent="0.2">
      <c r="A20973" s="13" t="s">
        <v>5958</v>
      </c>
      <c r="C20973" s="12"/>
      <c r="D20973" s="2"/>
    </row>
    <row r="20974" spans="1:4" ht="12.75" customHeight="1" x14ac:dyDescent="0.2">
      <c r="A20974" s="11"/>
      <c r="B20974" s="2"/>
      <c r="C20974" s="15"/>
      <c r="D20974" s="2"/>
    </row>
    <row r="20975" spans="1:4" ht="12.75" customHeight="1" x14ac:dyDescent="0.2">
      <c r="B20975" s="11" t="s">
        <v>0</v>
      </c>
      <c r="C20975" s="17" t="s">
        <v>1196</v>
      </c>
      <c r="D20975" s="2"/>
    </row>
    <row r="20976" spans="1:4" ht="12.75" customHeight="1" x14ac:dyDescent="0.2">
      <c r="B20976" s="11" t="s">
        <v>2599</v>
      </c>
      <c r="C20976" s="17" t="s">
        <v>3503</v>
      </c>
      <c r="D20976" s="2"/>
    </row>
    <row r="20977" spans="1:4" ht="25.5" customHeight="1" x14ac:dyDescent="0.2">
      <c r="B20977" s="11" t="s">
        <v>2600</v>
      </c>
      <c r="C20977" s="17" t="s">
        <v>6020</v>
      </c>
      <c r="D20977" s="2"/>
    </row>
    <row r="20978" spans="1:4" ht="25.5" customHeight="1" x14ac:dyDescent="0.2">
      <c r="B20978" s="11" t="s">
        <v>2601</v>
      </c>
      <c r="C20978" s="17"/>
      <c r="D20978" s="2"/>
    </row>
    <row r="20979" spans="1:4" ht="12.75" customHeight="1" x14ac:dyDescent="0.2">
      <c r="B20979" s="11" t="s">
        <v>16</v>
      </c>
      <c r="C20979" s="17"/>
      <c r="D20979" s="2"/>
    </row>
    <row r="20980" spans="1:4" ht="12.75" customHeight="1" x14ac:dyDescent="0.2">
      <c r="B20980" s="11" t="s">
        <v>13</v>
      </c>
      <c r="C20980" s="17" t="s">
        <v>2644</v>
      </c>
      <c r="D20980" s="2"/>
    </row>
    <row r="20981" spans="1:4" ht="25.5" customHeight="1" x14ac:dyDescent="0.2">
      <c r="B20981" s="11" t="s">
        <v>2603</v>
      </c>
      <c r="C20981" s="17" t="s">
        <v>2971</v>
      </c>
      <c r="D20981" s="2"/>
    </row>
    <row r="20982" spans="1:4" ht="12.75" customHeight="1" x14ac:dyDescent="0.2">
      <c r="B20982" s="11" t="s">
        <v>2605</v>
      </c>
      <c r="C20982" s="17" t="s">
        <v>14</v>
      </c>
      <c r="D20982" s="2"/>
    </row>
    <row r="20983" spans="1:4" ht="12.75" customHeight="1" x14ac:dyDescent="0.2">
      <c r="B20983" s="11" t="s">
        <v>2606</v>
      </c>
      <c r="C20983" s="16" t="s">
        <v>19</v>
      </c>
      <c r="D20983" s="2"/>
    </row>
    <row r="20984" spans="1:4" ht="12.75" customHeight="1" x14ac:dyDescent="0.2">
      <c r="B20984" s="2"/>
      <c r="C20984" s="15"/>
      <c r="D20984" s="2"/>
    </row>
    <row r="20985" spans="1:4" ht="12.75" customHeight="1" x14ac:dyDescent="0.2">
      <c r="B20985" s="2"/>
      <c r="C20985" s="15"/>
      <c r="D20985" s="2"/>
    </row>
    <row r="20986" spans="1:4" ht="12.75" customHeight="1" x14ac:dyDescent="0.2">
      <c r="A20986" s="13" t="s">
        <v>5960</v>
      </c>
      <c r="C20986" s="12"/>
      <c r="D20986" s="2"/>
    </row>
    <row r="20987" spans="1:4" ht="12.75" customHeight="1" x14ac:dyDescent="0.2">
      <c r="A20987" s="11"/>
      <c r="B20987" s="2"/>
      <c r="C20987" s="15"/>
      <c r="D20987" s="2"/>
    </row>
    <row r="20988" spans="1:4" ht="12.75" customHeight="1" x14ac:dyDescent="0.2">
      <c r="B20988" s="11" t="s">
        <v>0</v>
      </c>
      <c r="C20988" s="17" t="s">
        <v>1196</v>
      </c>
      <c r="D20988" s="2"/>
    </row>
    <row r="20989" spans="1:4" ht="12.75" customHeight="1" x14ac:dyDescent="0.2">
      <c r="B20989" s="11" t="s">
        <v>2599</v>
      </c>
      <c r="C20989" s="17" t="s">
        <v>5961</v>
      </c>
      <c r="D20989" s="2"/>
    </row>
    <row r="20990" spans="1:4" ht="25.5" customHeight="1" x14ac:dyDescent="0.2">
      <c r="B20990" s="11" t="s">
        <v>2600</v>
      </c>
      <c r="C20990" s="17" t="s">
        <v>6022</v>
      </c>
      <c r="D20990" s="2"/>
    </row>
    <row r="20991" spans="1:4" ht="25.5" customHeight="1" x14ac:dyDescent="0.2">
      <c r="B20991" s="11" t="s">
        <v>2601</v>
      </c>
      <c r="C20991" s="17"/>
      <c r="D20991" s="2"/>
    </row>
    <row r="20992" spans="1:4" ht="12.75" customHeight="1" x14ac:dyDescent="0.2">
      <c r="B20992" s="11" t="s">
        <v>16</v>
      </c>
      <c r="C20992" s="17"/>
      <c r="D20992" s="2"/>
    </row>
    <row r="20993" spans="1:4" ht="12.75" customHeight="1" x14ac:dyDescent="0.2">
      <c r="B20993" s="11" t="s">
        <v>13</v>
      </c>
      <c r="C20993" s="17" t="s">
        <v>2644</v>
      </c>
      <c r="D20993" s="2"/>
    </row>
    <row r="20994" spans="1:4" ht="25.5" customHeight="1" x14ac:dyDescent="0.2">
      <c r="B20994" s="11" t="s">
        <v>2603</v>
      </c>
      <c r="C20994" s="17" t="s">
        <v>2971</v>
      </c>
      <c r="D20994" s="2"/>
    </row>
    <row r="20995" spans="1:4" ht="12.75" customHeight="1" x14ac:dyDescent="0.2">
      <c r="B20995" s="11" t="s">
        <v>2605</v>
      </c>
      <c r="C20995" s="17" t="s">
        <v>14</v>
      </c>
      <c r="D20995" s="2"/>
    </row>
    <row r="20996" spans="1:4" ht="12.75" customHeight="1" x14ac:dyDescent="0.2">
      <c r="B20996" s="11" t="s">
        <v>2606</v>
      </c>
      <c r="C20996" s="16" t="s">
        <v>19</v>
      </c>
      <c r="D20996" s="2"/>
    </row>
    <row r="20997" spans="1:4" ht="12.75" customHeight="1" x14ac:dyDescent="0.2">
      <c r="B20997" s="2"/>
      <c r="C20997" s="15"/>
      <c r="D20997" s="2"/>
    </row>
    <row r="20998" spans="1:4" ht="12.75" customHeight="1" x14ac:dyDescent="0.2">
      <c r="B20998" s="2"/>
      <c r="C20998" s="15"/>
      <c r="D20998" s="2"/>
    </row>
    <row r="20999" spans="1:4" ht="12.75" customHeight="1" x14ac:dyDescent="0.2">
      <c r="A20999" s="13" t="s">
        <v>6023</v>
      </c>
      <c r="C20999" s="12"/>
    </row>
    <row r="21000" spans="1:4" ht="12.75" customHeight="1" x14ac:dyDescent="0.2">
      <c r="A21000" s="11"/>
      <c r="B21000" s="2"/>
      <c r="C21000" s="15"/>
      <c r="D21000" s="2"/>
    </row>
    <row r="21001" spans="1:4" ht="12.75" customHeight="1" x14ac:dyDescent="0.2">
      <c r="B21001" s="11" t="s">
        <v>0</v>
      </c>
      <c r="C21001" s="11" t="s">
        <v>1196</v>
      </c>
    </row>
    <row r="21002" spans="1:4" ht="12.75" customHeight="1" x14ac:dyDescent="0.2">
      <c r="B21002" s="11" t="s">
        <v>2599</v>
      </c>
      <c r="C21002" s="11" t="s">
        <v>6024</v>
      </c>
    </row>
    <row r="21003" spans="1:4" ht="25.5" customHeight="1" x14ac:dyDescent="0.2">
      <c r="B21003" s="11" t="s">
        <v>2600</v>
      </c>
      <c r="C21003" s="11" t="s">
        <v>6025</v>
      </c>
    </row>
    <row r="21004" spans="1:4" ht="25.5" customHeight="1" x14ac:dyDescent="0.2">
      <c r="B21004" s="11" t="s">
        <v>2601</v>
      </c>
      <c r="C21004" s="11"/>
    </row>
    <row r="21005" spans="1:4" ht="12.75" customHeight="1" x14ac:dyDescent="0.2">
      <c r="B21005" s="11" t="s">
        <v>16</v>
      </c>
      <c r="C21005" s="11"/>
    </row>
    <row r="21006" spans="1:4" ht="12.75" customHeight="1" x14ac:dyDescent="0.2">
      <c r="B21006" s="11" t="s">
        <v>13</v>
      </c>
      <c r="C21006" s="11" t="s">
        <v>2602</v>
      </c>
    </row>
    <row r="21007" spans="1:4" ht="12.75" customHeight="1" x14ac:dyDescent="0.2">
      <c r="B21007" s="11" t="s">
        <v>2603</v>
      </c>
      <c r="C21007" s="11" t="s">
        <v>2604</v>
      </c>
    </row>
    <row r="21008" spans="1:4" ht="12.75" customHeight="1" x14ac:dyDescent="0.2">
      <c r="B21008" s="11" t="s">
        <v>2605</v>
      </c>
      <c r="C21008" s="11" t="s">
        <v>14</v>
      </c>
    </row>
    <row r="21009" spans="1:4" ht="12.75" customHeight="1" x14ac:dyDescent="0.2">
      <c r="B21009" s="11" t="s">
        <v>2606</v>
      </c>
      <c r="C21009" s="16" t="s">
        <v>98</v>
      </c>
      <c r="D21009" s="6" t="str">
        <f>HYPERLINK("javascript:void(0)","halcsont")</f>
        <v>halcsont</v>
      </c>
    </row>
    <row r="21010" spans="1:4" ht="12.75" customHeight="1" x14ac:dyDescent="0.2">
      <c r="C21010" s="16" t="s">
        <v>309</v>
      </c>
      <c r="D21010" s="6" t="str">
        <f>HYPERLINK("javascript:void(0)","kincs")</f>
        <v>kincs</v>
      </c>
    </row>
    <row r="21011" spans="1:4" ht="12.75" customHeight="1" x14ac:dyDescent="0.2">
      <c r="B21011" s="2"/>
      <c r="C21011" s="15"/>
      <c r="D21011" s="2"/>
    </row>
    <row r="21012" spans="1:4" ht="12.75" customHeight="1" x14ac:dyDescent="0.2">
      <c r="B21012" s="2"/>
      <c r="C21012" s="15"/>
      <c r="D21012" s="2"/>
    </row>
    <row r="21013" spans="1:4" ht="12.75" customHeight="1" x14ac:dyDescent="0.2">
      <c r="A21013" s="13" t="s">
        <v>6026</v>
      </c>
      <c r="C21013" s="12"/>
    </row>
    <row r="21014" spans="1:4" ht="12.75" customHeight="1" x14ac:dyDescent="0.2">
      <c r="A21014" s="11"/>
      <c r="B21014" s="2"/>
      <c r="C21014" s="15"/>
      <c r="D21014" s="2"/>
    </row>
    <row r="21015" spans="1:4" ht="12.75" customHeight="1" x14ac:dyDescent="0.2">
      <c r="B21015" s="11" t="s">
        <v>0</v>
      </c>
      <c r="C21015" s="11" t="s">
        <v>1196</v>
      </c>
    </row>
    <row r="21016" spans="1:4" ht="12.75" customHeight="1" x14ac:dyDescent="0.2">
      <c r="B21016" s="11" t="s">
        <v>2599</v>
      </c>
      <c r="C21016" s="11" t="s">
        <v>5967</v>
      </c>
    </row>
    <row r="21017" spans="1:4" ht="25.5" customHeight="1" x14ac:dyDescent="0.2">
      <c r="B21017" s="11" t="s">
        <v>2600</v>
      </c>
      <c r="C21017" s="11" t="s">
        <v>6027</v>
      </c>
    </row>
    <row r="21018" spans="1:4" ht="25.5" customHeight="1" x14ac:dyDescent="0.2">
      <c r="B21018" s="11" t="s">
        <v>2601</v>
      </c>
      <c r="C21018" s="11"/>
    </row>
    <row r="21019" spans="1:4" ht="12.75" customHeight="1" x14ac:dyDescent="0.2">
      <c r="B21019" s="11" t="s">
        <v>16</v>
      </c>
      <c r="C21019" s="11"/>
    </row>
    <row r="21020" spans="1:4" ht="12.75" customHeight="1" x14ac:dyDescent="0.2">
      <c r="B21020" s="11" t="s">
        <v>13</v>
      </c>
      <c r="C21020" s="11" t="s">
        <v>2602</v>
      </c>
    </row>
    <row r="21021" spans="1:4" ht="12.75" customHeight="1" x14ac:dyDescent="0.2">
      <c r="B21021" s="11" t="s">
        <v>2603</v>
      </c>
      <c r="C21021" s="11" t="s">
        <v>2604</v>
      </c>
    </row>
    <row r="21022" spans="1:4" ht="12.75" customHeight="1" x14ac:dyDescent="0.2">
      <c r="B21022" s="11" t="s">
        <v>2605</v>
      </c>
      <c r="C21022" s="11" t="s">
        <v>24</v>
      </c>
    </row>
    <row r="21023" spans="1:4" ht="12.75" customHeight="1" x14ac:dyDescent="0.2">
      <c r="B21023" s="11" t="s">
        <v>2606</v>
      </c>
      <c r="C21023" s="16" t="s">
        <v>44</v>
      </c>
      <c r="D21023" s="6" t="str">
        <f>HYPERLINK("javascript:void(0)","tuskótőr")</f>
        <v>tuskótőr</v>
      </c>
    </row>
    <row r="21024" spans="1:4" ht="12.75" customHeight="1" x14ac:dyDescent="0.2">
      <c r="C21024" s="16" t="s">
        <v>117</v>
      </c>
      <c r="D21024" s="6" t="str">
        <f>HYPERLINK("javascript:void(0)","kincs")</f>
        <v>kincs</v>
      </c>
    </row>
    <row r="21025" spans="1:4" ht="25.5" customHeight="1" x14ac:dyDescent="0.2">
      <c r="C21025" s="16" t="s">
        <v>44</v>
      </c>
      <c r="D21025" s="6" t="str">
        <f>HYPERLINK("javascript:void(0)","tuskójelvény")</f>
        <v>tuskójelvény</v>
      </c>
    </row>
    <row r="21026" spans="1:4" ht="12.75" customHeight="1" x14ac:dyDescent="0.2">
      <c r="B21026" s="2"/>
      <c r="C21026" s="15"/>
      <c r="D21026" s="2"/>
    </row>
    <row r="21027" spans="1:4" ht="12.75" customHeight="1" x14ac:dyDescent="0.2">
      <c r="B21027" s="2"/>
      <c r="C21027" s="15"/>
      <c r="D21027" s="2"/>
    </row>
    <row r="21028" spans="1:4" ht="12.75" customHeight="1" x14ac:dyDescent="0.2">
      <c r="A21028" s="13" t="s">
        <v>6030</v>
      </c>
      <c r="C21028" s="12"/>
    </row>
    <row r="21029" spans="1:4" ht="12.75" customHeight="1" x14ac:dyDescent="0.2">
      <c r="A21029" s="11"/>
      <c r="B21029" s="2"/>
      <c r="C21029" s="15"/>
      <c r="D21029" s="2"/>
    </row>
    <row r="21030" spans="1:4" ht="12.75" customHeight="1" x14ac:dyDescent="0.2">
      <c r="B21030" s="11" t="s">
        <v>0</v>
      </c>
      <c r="C21030" s="11" t="s">
        <v>1196</v>
      </c>
    </row>
    <row r="21031" spans="1:4" ht="12.75" customHeight="1" x14ac:dyDescent="0.2">
      <c r="B21031" s="11" t="s">
        <v>2599</v>
      </c>
      <c r="C21031" s="11" t="s">
        <v>2044</v>
      </c>
    </row>
    <row r="21032" spans="1:4" ht="25.5" customHeight="1" x14ac:dyDescent="0.2">
      <c r="B21032" s="11" t="s">
        <v>2600</v>
      </c>
      <c r="C21032" s="11" t="s">
        <v>6031</v>
      </c>
    </row>
    <row r="21033" spans="1:4" ht="25.5" customHeight="1" x14ac:dyDescent="0.2">
      <c r="B21033" s="11" t="s">
        <v>2601</v>
      </c>
      <c r="C21033" s="11"/>
    </row>
    <row r="21034" spans="1:4" ht="12.75" customHeight="1" x14ac:dyDescent="0.2">
      <c r="B21034" s="11" t="s">
        <v>16</v>
      </c>
      <c r="C21034" s="11"/>
    </row>
    <row r="21035" spans="1:4" ht="12.75" customHeight="1" x14ac:dyDescent="0.2">
      <c r="B21035" s="11" t="s">
        <v>13</v>
      </c>
      <c r="C21035" s="11" t="s">
        <v>2644</v>
      </c>
    </row>
    <row r="21036" spans="1:4" ht="12.75" customHeight="1" x14ac:dyDescent="0.2">
      <c r="B21036" s="11" t="s">
        <v>2603</v>
      </c>
      <c r="C21036" s="11" t="s">
        <v>2604</v>
      </c>
    </row>
    <row r="21037" spans="1:4" ht="12.75" customHeight="1" x14ac:dyDescent="0.2">
      <c r="B21037" s="11" t="s">
        <v>2605</v>
      </c>
      <c r="C21037" s="11" t="s">
        <v>24</v>
      </c>
    </row>
    <row r="21038" spans="1:4" ht="25.5" customHeight="1" x14ac:dyDescent="0.2">
      <c r="B21038" s="11" t="s">
        <v>2606</v>
      </c>
      <c r="C21038" s="16" t="s">
        <v>44</v>
      </c>
      <c r="D21038" s="6" t="str">
        <f>HYPERLINK("javascript:void(0)","ezüst láncing")</f>
        <v>ezüst láncing</v>
      </c>
    </row>
    <row r="21039" spans="1:4" ht="12.75" customHeight="1" x14ac:dyDescent="0.2">
      <c r="C21039" s="16" t="s">
        <v>98</v>
      </c>
      <c r="D21039" s="6" t="str">
        <f>HYPERLINK("javascript:void(0)","kincs")</f>
        <v>kincs</v>
      </c>
    </row>
    <row r="21040" spans="1:4" ht="12.75" customHeight="1" x14ac:dyDescent="0.2">
      <c r="B21040" s="2"/>
      <c r="C21040" s="15"/>
      <c r="D21040" s="2"/>
    </row>
    <row r="21041" spans="1:4" ht="12.75" customHeight="1" x14ac:dyDescent="0.2">
      <c r="B21041" s="2"/>
      <c r="C21041" s="15"/>
      <c r="D21041" s="2"/>
    </row>
    <row r="21042" spans="1:4" ht="12.75" customHeight="1" x14ac:dyDescent="0.2">
      <c r="A21042" s="13" t="s">
        <v>6032</v>
      </c>
      <c r="C21042" s="12"/>
    </row>
    <row r="21043" spans="1:4" ht="12.75" customHeight="1" x14ac:dyDescent="0.2">
      <c r="A21043" s="11"/>
      <c r="B21043" s="2"/>
      <c r="C21043" s="15"/>
      <c r="D21043" s="2"/>
    </row>
    <row r="21044" spans="1:4" ht="12.75" customHeight="1" x14ac:dyDescent="0.2">
      <c r="B21044" s="11" t="s">
        <v>0</v>
      </c>
      <c r="C21044" s="11" t="s">
        <v>1196</v>
      </c>
    </row>
    <row r="21045" spans="1:4" ht="12.75" customHeight="1" x14ac:dyDescent="0.2">
      <c r="B21045" s="11" t="s">
        <v>2599</v>
      </c>
      <c r="C21045" s="11" t="s">
        <v>6033</v>
      </c>
    </row>
    <row r="21046" spans="1:4" ht="25.5" customHeight="1" x14ac:dyDescent="0.2">
      <c r="B21046" s="11" t="s">
        <v>2600</v>
      </c>
      <c r="C21046" s="11" t="s">
        <v>6034</v>
      </c>
    </row>
    <row r="21047" spans="1:4" ht="25.5" customHeight="1" x14ac:dyDescent="0.2">
      <c r="B21047" s="11" t="s">
        <v>2601</v>
      </c>
      <c r="C21047" s="11"/>
    </row>
    <row r="21048" spans="1:4" ht="12.75" customHeight="1" x14ac:dyDescent="0.2">
      <c r="B21048" s="11" t="s">
        <v>16</v>
      </c>
      <c r="C21048" s="11"/>
    </row>
    <row r="21049" spans="1:4" ht="12.75" customHeight="1" x14ac:dyDescent="0.2">
      <c r="B21049" s="11" t="s">
        <v>13</v>
      </c>
      <c r="C21049" s="11" t="s">
        <v>2644</v>
      </c>
    </row>
    <row r="21050" spans="1:4" ht="12.75" customHeight="1" x14ac:dyDescent="0.2">
      <c r="B21050" s="11" t="s">
        <v>2603</v>
      </c>
      <c r="C21050" s="11" t="s">
        <v>2604</v>
      </c>
    </row>
    <row r="21051" spans="1:4" ht="12.75" customHeight="1" x14ac:dyDescent="0.2">
      <c r="B21051" s="11" t="s">
        <v>2605</v>
      </c>
      <c r="C21051" s="11" t="s">
        <v>14</v>
      </c>
    </row>
    <row r="21052" spans="1:4" ht="25.5" customHeight="1" x14ac:dyDescent="0.2">
      <c r="B21052" s="11" t="s">
        <v>2606</v>
      </c>
      <c r="C21052" s="16" t="s">
        <v>77</v>
      </c>
      <c r="D21052" s="6" t="str">
        <f>HYPERLINK("javascript:void(0)","varázsszálka")</f>
        <v>varázsszálka</v>
      </c>
    </row>
    <row r="21053" spans="1:4" ht="12.75" customHeight="1" x14ac:dyDescent="0.2">
      <c r="C21053" s="16" t="s">
        <v>67</v>
      </c>
      <c r="D21053" s="6" t="str">
        <f>HYPERLINK("javascript:void(0)","kincs")</f>
        <v>kincs</v>
      </c>
    </row>
    <row r="21054" spans="1:4" ht="12.75" customHeight="1" x14ac:dyDescent="0.2">
      <c r="B21054" s="2"/>
      <c r="C21054" s="15"/>
      <c r="D21054" s="2"/>
    </row>
    <row r="21055" spans="1:4" ht="12.75" customHeight="1" x14ac:dyDescent="0.2">
      <c r="B21055" s="2"/>
      <c r="C21055" s="15"/>
      <c r="D21055" s="2"/>
    </row>
    <row r="21056" spans="1:4" ht="12.75" customHeight="1" x14ac:dyDescent="0.2">
      <c r="A21056" s="13" t="s">
        <v>6035</v>
      </c>
      <c r="C21056" s="12"/>
    </row>
    <row r="21057" spans="1:4" ht="12.75" customHeight="1" x14ac:dyDescent="0.2">
      <c r="A21057" s="11"/>
      <c r="B21057" s="2"/>
      <c r="C21057" s="15"/>
      <c r="D21057" s="2"/>
    </row>
    <row r="21058" spans="1:4" ht="12.75" customHeight="1" x14ac:dyDescent="0.2">
      <c r="B21058" s="11" t="s">
        <v>0</v>
      </c>
      <c r="C21058" s="11" t="s">
        <v>1196</v>
      </c>
    </row>
    <row r="21059" spans="1:4" ht="12.75" customHeight="1" x14ac:dyDescent="0.2">
      <c r="B21059" s="11" t="s">
        <v>2599</v>
      </c>
      <c r="C21059" s="11" t="s">
        <v>6036</v>
      </c>
    </row>
    <row r="21060" spans="1:4" ht="25.5" customHeight="1" x14ac:dyDescent="0.2">
      <c r="B21060" s="11" t="s">
        <v>2600</v>
      </c>
      <c r="C21060" s="11" t="s">
        <v>6037</v>
      </c>
    </row>
    <row r="21061" spans="1:4" ht="25.5" customHeight="1" x14ac:dyDescent="0.2">
      <c r="B21061" s="11" t="s">
        <v>2601</v>
      </c>
      <c r="C21061" s="11"/>
    </row>
    <row r="21062" spans="1:4" ht="12.75" customHeight="1" x14ac:dyDescent="0.2">
      <c r="B21062" s="11" t="s">
        <v>16</v>
      </c>
      <c r="C21062" s="11"/>
    </row>
    <row r="21063" spans="1:4" ht="12.75" customHeight="1" x14ac:dyDescent="0.2">
      <c r="B21063" s="11" t="s">
        <v>13</v>
      </c>
      <c r="C21063" s="11" t="s">
        <v>2602</v>
      </c>
    </row>
    <row r="21064" spans="1:4" ht="12.75" customHeight="1" x14ac:dyDescent="0.2">
      <c r="B21064" s="11" t="s">
        <v>2603</v>
      </c>
      <c r="C21064" s="11" t="s">
        <v>2604</v>
      </c>
    </row>
    <row r="21065" spans="1:4" ht="12.75" customHeight="1" x14ac:dyDescent="0.2">
      <c r="B21065" s="11" t="s">
        <v>2605</v>
      </c>
      <c r="C21065" s="11" t="s">
        <v>14</v>
      </c>
    </row>
    <row r="21066" spans="1:4" ht="12.75" customHeight="1" x14ac:dyDescent="0.2">
      <c r="B21066" s="11" t="s">
        <v>2606</v>
      </c>
      <c r="C21066" s="16" t="s">
        <v>57</v>
      </c>
      <c r="D21066" s="6" t="str">
        <f>HYPERLINK("javascript:void(0)","egoplazma")</f>
        <v>egoplazma</v>
      </c>
    </row>
    <row r="21067" spans="1:4" ht="12.75" customHeight="1" x14ac:dyDescent="0.2">
      <c r="C21067" s="16" t="s">
        <v>44</v>
      </c>
      <c r="D21067" s="6" t="str">
        <f>HYPERLINK("javascript:void(0)","szellemláng")</f>
        <v>szellemláng</v>
      </c>
    </row>
    <row r="21068" spans="1:4" ht="12.75" customHeight="1" x14ac:dyDescent="0.2">
      <c r="B21068" s="2"/>
      <c r="C21068" s="15"/>
      <c r="D21068" s="2"/>
    </row>
    <row r="21069" spans="1:4" ht="12.75" customHeight="1" x14ac:dyDescent="0.2">
      <c r="B21069" s="2"/>
      <c r="C21069" s="15"/>
      <c r="D21069" s="2"/>
    </row>
    <row r="21070" spans="1:4" ht="12.75" customHeight="1" x14ac:dyDescent="0.2">
      <c r="A21070" s="13" t="s">
        <v>6038</v>
      </c>
      <c r="C21070" s="12"/>
    </row>
    <row r="21071" spans="1:4" ht="12.75" customHeight="1" x14ac:dyDescent="0.2">
      <c r="A21071" s="11"/>
      <c r="B21071" s="2"/>
      <c r="C21071" s="15"/>
      <c r="D21071" s="2"/>
    </row>
    <row r="21072" spans="1:4" ht="12.75" customHeight="1" x14ac:dyDescent="0.2">
      <c r="B21072" s="11" t="s">
        <v>0</v>
      </c>
      <c r="C21072" s="11" t="s">
        <v>1196</v>
      </c>
    </row>
    <row r="21073" spans="1:4" ht="12.75" customHeight="1" x14ac:dyDescent="0.2">
      <c r="B21073" s="11" t="s">
        <v>2599</v>
      </c>
      <c r="C21073" s="11" t="s">
        <v>6039</v>
      </c>
    </row>
    <row r="21074" spans="1:4" ht="25.5" customHeight="1" x14ac:dyDescent="0.2">
      <c r="B21074" s="11" t="s">
        <v>2600</v>
      </c>
      <c r="C21074" s="11" t="s">
        <v>6040</v>
      </c>
    </row>
    <row r="21075" spans="1:4" ht="25.5" customHeight="1" x14ac:dyDescent="0.2">
      <c r="B21075" s="11" t="s">
        <v>2601</v>
      </c>
      <c r="C21075" s="11"/>
    </row>
    <row r="21076" spans="1:4" ht="12.75" customHeight="1" x14ac:dyDescent="0.2">
      <c r="B21076" s="11" t="s">
        <v>16</v>
      </c>
      <c r="C21076" s="11"/>
    </row>
    <row r="21077" spans="1:4" ht="12.75" customHeight="1" x14ac:dyDescent="0.2">
      <c r="B21077" s="11" t="s">
        <v>13</v>
      </c>
      <c r="C21077" s="11" t="s">
        <v>2602</v>
      </c>
    </row>
    <row r="21078" spans="1:4" ht="12.75" customHeight="1" x14ac:dyDescent="0.2">
      <c r="B21078" s="11" t="s">
        <v>2603</v>
      </c>
      <c r="C21078" s="11" t="s">
        <v>2604</v>
      </c>
    </row>
    <row r="21079" spans="1:4" ht="12.75" customHeight="1" x14ac:dyDescent="0.2">
      <c r="B21079" s="11" t="s">
        <v>2605</v>
      </c>
      <c r="C21079" s="11" t="s">
        <v>24</v>
      </c>
    </row>
    <row r="21080" spans="1:4" ht="25.5" customHeight="1" x14ac:dyDescent="0.2">
      <c r="B21080" s="11" t="s">
        <v>2606</v>
      </c>
      <c r="C21080" s="16" t="s">
        <v>44</v>
      </c>
      <c r="D21080" s="6" t="str">
        <f>HYPERLINK("javascript:void(0)","elit-őr lándzsa")</f>
        <v>elit-őr lándzsa</v>
      </c>
    </row>
    <row r="21081" spans="1:4" ht="12.75" customHeight="1" x14ac:dyDescent="0.2">
      <c r="C21081" s="16" t="s">
        <v>1379</v>
      </c>
      <c r="D21081" s="6" t="str">
        <f>HYPERLINK("javascript:void(0)","ezüst")</f>
        <v>ezüst</v>
      </c>
    </row>
    <row r="21082" spans="1:4" ht="12.75" customHeight="1" x14ac:dyDescent="0.2">
      <c r="B21082" s="2"/>
      <c r="C21082" s="15"/>
      <c r="D21082" s="2"/>
    </row>
    <row r="21083" spans="1:4" ht="12.75" customHeight="1" x14ac:dyDescent="0.2">
      <c r="B21083" s="2"/>
      <c r="C21083" s="15"/>
      <c r="D21083" s="2"/>
    </row>
    <row r="21084" spans="1:4" ht="12.75" customHeight="1" x14ac:dyDescent="0.2">
      <c r="A21084" s="13" t="s">
        <v>6041</v>
      </c>
      <c r="C21084" s="12"/>
    </row>
    <row r="21085" spans="1:4" ht="12.75" customHeight="1" x14ac:dyDescent="0.2">
      <c r="A21085" s="11"/>
      <c r="B21085" s="2"/>
      <c r="C21085" s="15"/>
      <c r="D21085" s="2"/>
    </row>
    <row r="21086" spans="1:4" ht="12.75" customHeight="1" x14ac:dyDescent="0.2">
      <c r="B21086" s="11" t="s">
        <v>0</v>
      </c>
      <c r="C21086" s="11" t="s">
        <v>1196</v>
      </c>
    </row>
    <row r="21087" spans="1:4" ht="12.75" customHeight="1" x14ac:dyDescent="0.2">
      <c r="B21087" s="11" t="s">
        <v>2599</v>
      </c>
      <c r="C21087" s="11" t="s">
        <v>5982</v>
      </c>
    </row>
    <row r="21088" spans="1:4" ht="25.5" customHeight="1" x14ac:dyDescent="0.2">
      <c r="B21088" s="11" t="s">
        <v>2600</v>
      </c>
      <c r="C21088" s="11" t="s">
        <v>6042</v>
      </c>
    </row>
    <row r="21089" spans="1:4" ht="25.5" customHeight="1" x14ac:dyDescent="0.2">
      <c r="B21089" s="11" t="s">
        <v>2601</v>
      </c>
      <c r="C21089" s="11"/>
    </row>
    <row r="21090" spans="1:4" ht="12.75" customHeight="1" x14ac:dyDescent="0.2">
      <c r="B21090" s="11" t="s">
        <v>16</v>
      </c>
      <c r="C21090" s="11"/>
    </row>
    <row r="21091" spans="1:4" ht="12.75" customHeight="1" x14ac:dyDescent="0.2">
      <c r="B21091" s="11" t="s">
        <v>13</v>
      </c>
      <c r="C21091" s="11" t="s">
        <v>2644</v>
      </c>
    </row>
    <row r="21092" spans="1:4" ht="12.75" customHeight="1" x14ac:dyDescent="0.2">
      <c r="B21092" s="11" t="s">
        <v>2603</v>
      </c>
      <c r="C21092" s="11" t="s">
        <v>2604</v>
      </c>
    </row>
    <row r="21093" spans="1:4" ht="12.75" customHeight="1" x14ac:dyDescent="0.2">
      <c r="B21093" s="11" t="s">
        <v>2605</v>
      </c>
      <c r="C21093" s="11" t="s">
        <v>14</v>
      </c>
    </row>
    <row r="21094" spans="1:4" ht="25.5" customHeight="1" x14ac:dyDescent="0.2">
      <c r="B21094" s="11" t="s">
        <v>2606</v>
      </c>
      <c r="C21094" s="16" t="s">
        <v>44</v>
      </c>
      <c r="D21094" s="6" t="str">
        <f>HYPERLINK("javascript:void(0)","démonnyúlmáj")</f>
        <v>démonnyúlmáj</v>
      </c>
    </row>
    <row r="21095" spans="1:4" ht="25.5" customHeight="1" x14ac:dyDescent="0.2">
      <c r="C21095" s="16" t="s">
        <v>44</v>
      </c>
      <c r="D21095" s="6" t="str">
        <f>HYPERLINK("javascript:void(0)","démonzanza")</f>
        <v>démonzanza</v>
      </c>
    </row>
    <row r="21096" spans="1:4" ht="12.75" customHeight="1" x14ac:dyDescent="0.2">
      <c r="B21096" s="2"/>
      <c r="C21096" s="15"/>
      <c r="D21096" s="2"/>
    </row>
    <row r="21097" spans="1:4" ht="12.75" customHeight="1" x14ac:dyDescent="0.2">
      <c r="B21097" s="2"/>
      <c r="C21097" s="15"/>
      <c r="D21097" s="2"/>
    </row>
    <row r="21098" spans="1:4" ht="12.75" customHeight="1" x14ac:dyDescent="0.2">
      <c r="A21098" s="13" t="s">
        <v>6044</v>
      </c>
      <c r="C21098" s="12"/>
    </row>
    <row r="21099" spans="1:4" ht="12.75" customHeight="1" x14ac:dyDescent="0.2">
      <c r="A21099" s="11"/>
      <c r="B21099" s="2"/>
      <c r="C21099" s="15"/>
      <c r="D21099" s="2"/>
    </row>
    <row r="21100" spans="1:4" ht="12.75" customHeight="1" x14ac:dyDescent="0.2">
      <c r="B21100" s="11" t="s">
        <v>0</v>
      </c>
      <c r="C21100" s="11" t="s">
        <v>1196</v>
      </c>
    </row>
    <row r="21101" spans="1:4" ht="12.75" customHeight="1" x14ac:dyDescent="0.2">
      <c r="B21101" s="11" t="s">
        <v>2599</v>
      </c>
      <c r="C21101" s="11" t="s">
        <v>6045</v>
      </c>
    </row>
    <row r="21102" spans="1:4" ht="25.5" customHeight="1" x14ac:dyDescent="0.2">
      <c r="B21102" s="11" t="s">
        <v>2600</v>
      </c>
      <c r="C21102" s="11" t="s">
        <v>6046</v>
      </c>
    </row>
    <row r="21103" spans="1:4" ht="25.5" customHeight="1" x14ac:dyDescent="0.2">
      <c r="B21103" s="11" t="s">
        <v>2601</v>
      </c>
      <c r="C21103" s="11"/>
    </row>
    <row r="21104" spans="1:4" ht="12.75" customHeight="1" x14ac:dyDescent="0.2">
      <c r="B21104" s="11" t="s">
        <v>16</v>
      </c>
      <c r="C21104" s="11"/>
    </row>
    <row r="21105" spans="1:4" ht="12.75" customHeight="1" x14ac:dyDescent="0.2">
      <c r="B21105" s="11" t="s">
        <v>13</v>
      </c>
      <c r="C21105" s="11" t="s">
        <v>2644</v>
      </c>
    </row>
    <row r="21106" spans="1:4" ht="12.75" customHeight="1" x14ac:dyDescent="0.2">
      <c r="B21106" s="11" t="s">
        <v>2603</v>
      </c>
      <c r="C21106" s="11" t="s">
        <v>2604</v>
      </c>
    </row>
    <row r="21107" spans="1:4" ht="12.75" customHeight="1" x14ac:dyDescent="0.2">
      <c r="B21107" s="11" t="s">
        <v>2605</v>
      </c>
      <c r="C21107" s="11" t="s">
        <v>24</v>
      </c>
    </row>
    <row r="21108" spans="1:4" ht="12.75" customHeight="1" x14ac:dyDescent="0.2">
      <c r="B21108" s="11" t="s">
        <v>2606</v>
      </c>
      <c r="C21108" s="16" t="s">
        <v>55</v>
      </c>
      <c r="D21108" s="6" t="str">
        <f>HYPERLINK("javascript:void(0)","pegazustoll")</f>
        <v>pegazustoll</v>
      </c>
    </row>
    <row r="21109" spans="1:4" ht="12.75" customHeight="1" x14ac:dyDescent="0.2">
      <c r="C21109" s="16" t="s">
        <v>57</v>
      </c>
      <c r="D21109" s="6" t="str">
        <f>HYPERLINK("javascript:void(0)","légpatkó")</f>
        <v>légpatkó</v>
      </c>
    </row>
    <row r="21110" spans="1:4" ht="12.75" customHeight="1" x14ac:dyDescent="0.2">
      <c r="B21110" s="2"/>
      <c r="C21110" s="15"/>
      <c r="D21110" s="2"/>
    </row>
    <row r="21111" spans="1:4" ht="12.75" customHeight="1" x14ac:dyDescent="0.2">
      <c r="B21111" s="2"/>
      <c r="C21111" s="15"/>
      <c r="D21111" s="2"/>
    </row>
    <row r="21112" spans="1:4" ht="12.75" customHeight="1" x14ac:dyDescent="0.2">
      <c r="A21112" s="13" t="s">
        <v>5986</v>
      </c>
      <c r="C21112" s="12"/>
      <c r="D21112" s="2"/>
    </row>
    <row r="21113" spans="1:4" ht="12.75" customHeight="1" x14ac:dyDescent="0.2">
      <c r="A21113" s="11"/>
      <c r="B21113" s="2"/>
      <c r="C21113" s="15"/>
      <c r="D21113" s="2"/>
    </row>
    <row r="21114" spans="1:4" ht="12.75" customHeight="1" x14ac:dyDescent="0.2">
      <c r="B21114" s="11" t="s">
        <v>0</v>
      </c>
      <c r="C21114" s="17" t="s">
        <v>1196</v>
      </c>
      <c r="D21114" s="2"/>
    </row>
    <row r="21115" spans="1:4" ht="12.75" customHeight="1" x14ac:dyDescent="0.2">
      <c r="B21115" s="11" t="s">
        <v>2599</v>
      </c>
      <c r="C21115" s="17" t="s">
        <v>5987</v>
      </c>
      <c r="D21115" s="2"/>
    </row>
    <row r="21116" spans="1:4" ht="25.5" customHeight="1" x14ac:dyDescent="0.2">
      <c r="B21116" s="11" t="s">
        <v>2600</v>
      </c>
      <c r="C21116" s="17" t="s">
        <v>6047</v>
      </c>
      <c r="D21116" s="2"/>
    </row>
    <row r="21117" spans="1:4" ht="25.5" customHeight="1" x14ac:dyDescent="0.2">
      <c r="B21117" s="11" t="s">
        <v>2601</v>
      </c>
      <c r="C21117" s="17"/>
      <c r="D21117" s="2"/>
    </row>
    <row r="21118" spans="1:4" ht="12.75" customHeight="1" x14ac:dyDescent="0.2">
      <c r="B21118" s="11" t="s">
        <v>16</v>
      </c>
      <c r="C21118" s="17"/>
      <c r="D21118" s="2"/>
    </row>
    <row r="21119" spans="1:4" ht="12.75" customHeight="1" x14ac:dyDescent="0.2">
      <c r="B21119" s="11" t="s">
        <v>13</v>
      </c>
      <c r="C21119" s="17" t="s">
        <v>2602</v>
      </c>
      <c r="D21119" s="2"/>
    </row>
    <row r="21120" spans="1:4" ht="25.5" customHeight="1" x14ac:dyDescent="0.2">
      <c r="B21120" s="11" t="s">
        <v>2603</v>
      </c>
      <c r="C21120" s="17" t="s">
        <v>2971</v>
      </c>
      <c r="D21120" s="2"/>
    </row>
    <row r="21121" spans="1:4" ht="12.75" customHeight="1" x14ac:dyDescent="0.2">
      <c r="B21121" s="11" t="s">
        <v>2605</v>
      </c>
      <c r="C21121" s="17" t="s">
        <v>14</v>
      </c>
      <c r="D21121" s="2"/>
    </row>
    <row r="21122" spans="1:4" ht="12.75" customHeight="1" x14ac:dyDescent="0.2">
      <c r="B21122" s="11" t="s">
        <v>2606</v>
      </c>
      <c r="C21122" s="16" t="s">
        <v>19</v>
      </c>
      <c r="D21122" s="2"/>
    </row>
    <row r="21123" spans="1:4" ht="12.75" customHeight="1" x14ac:dyDescent="0.2">
      <c r="B21123" s="2"/>
      <c r="C21123" s="15"/>
      <c r="D21123" s="2"/>
    </row>
    <row r="21124" spans="1:4" ht="12.75" customHeight="1" x14ac:dyDescent="0.2">
      <c r="B21124" s="2"/>
      <c r="C21124" s="15"/>
      <c r="D21124" s="2"/>
    </row>
    <row r="21125" spans="1:4" ht="12.75" customHeight="1" x14ac:dyDescent="0.2">
      <c r="A21125" s="13" t="s">
        <v>5955</v>
      </c>
      <c r="C21125" s="12"/>
      <c r="D21125" s="2"/>
    </row>
    <row r="21126" spans="1:4" ht="12.75" customHeight="1" x14ac:dyDescent="0.2">
      <c r="A21126" s="11"/>
      <c r="B21126" s="2"/>
      <c r="C21126" s="15"/>
      <c r="D21126" s="2"/>
    </row>
    <row r="21127" spans="1:4" ht="12.75" customHeight="1" x14ac:dyDescent="0.2">
      <c r="B21127" s="11" t="s">
        <v>0</v>
      </c>
      <c r="C21127" s="17" t="s">
        <v>1207</v>
      </c>
      <c r="D21127" s="2"/>
    </row>
    <row r="21128" spans="1:4" ht="12.75" customHeight="1" x14ac:dyDescent="0.2">
      <c r="B21128" s="11" t="s">
        <v>2599</v>
      </c>
      <c r="C21128" s="17" t="s">
        <v>5956</v>
      </c>
      <c r="D21128" s="2"/>
    </row>
    <row r="21129" spans="1:4" ht="25.5" customHeight="1" x14ac:dyDescent="0.2">
      <c r="B21129" s="11" t="s">
        <v>2600</v>
      </c>
      <c r="C21129" s="17" t="s">
        <v>6048</v>
      </c>
      <c r="D21129" s="2"/>
    </row>
    <row r="21130" spans="1:4" ht="25.5" customHeight="1" x14ac:dyDescent="0.2">
      <c r="B21130" s="11" t="s">
        <v>2601</v>
      </c>
      <c r="C21130" s="17"/>
      <c r="D21130" s="2"/>
    </row>
    <row r="21131" spans="1:4" ht="12.75" customHeight="1" x14ac:dyDescent="0.2">
      <c r="B21131" s="11" t="s">
        <v>16</v>
      </c>
      <c r="C21131" s="17"/>
      <c r="D21131" s="2"/>
    </row>
    <row r="21132" spans="1:4" ht="12.75" customHeight="1" x14ac:dyDescent="0.2">
      <c r="B21132" s="11" t="s">
        <v>13</v>
      </c>
      <c r="C21132" s="17" t="s">
        <v>2602</v>
      </c>
      <c r="D21132" s="2"/>
    </row>
    <row r="21133" spans="1:4" ht="25.5" customHeight="1" x14ac:dyDescent="0.2">
      <c r="B21133" s="11" t="s">
        <v>2603</v>
      </c>
      <c r="C21133" s="17" t="s">
        <v>2971</v>
      </c>
      <c r="D21133" s="2"/>
    </row>
    <row r="21134" spans="1:4" ht="12.75" customHeight="1" x14ac:dyDescent="0.2">
      <c r="B21134" s="11" t="s">
        <v>2605</v>
      </c>
      <c r="C21134" s="17" t="s">
        <v>14</v>
      </c>
      <c r="D21134" s="2"/>
    </row>
    <row r="21135" spans="1:4" ht="12.75" customHeight="1" x14ac:dyDescent="0.2">
      <c r="B21135" s="11" t="s">
        <v>2606</v>
      </c>
      <c r="C21135" s="16" t="s">
        <v>19</v>
      </c>
      <c r="D21135" s="2"/>
    </row>
    <row r="21136" spans="1:4" ht="12.75" customHeight="1" x14ac:dyDescent="0.2">
      <c r="B21136" s="2"/>
      <c r="C21136" s="15"/>
      <c r="D21136" s="2"/>
    </row>
    <row r="21137" spans="1:4" ht="12.75" customHeight="1" x14ac:dyDescent="0.2">
      <c r="B21137" s="2"/>
      <c r="C21137" s="15"/>
      <c r="D21137" s="2"/>
    </row>
    <row r="21138" spans="1:4" ht="12.75" customHeight="1" x14ac:dyDescent="0.2">
      <c r="A21138" s="13" t="s">
        <v>5958</v>
      </c>
      <c r="C21138" s="12"/>
      <c r="D21138" s="2"/>
    </row>
    <row r="21139" spans="1:4" ht="12.75" customHeight="1" x14ac:dyDescent="0.2">
      <c r="A21139" s="11"/>
      <c r="B21139" s="2"/>
      <c r="C21139" s="15"/>
      <c r="D21139" s="2"/>
    </row>
    <row r="21140" spans="1:4" ht="12.75" customHeight="1" x14ac:dyDescent="0.2">
      <c r="B21140" s="11" t="s">
        <v>0</v>
      </c>
      <c r="C21140" s="17" t="s">
        <v>1207</v>
      </c>
      <c r="D21140" s="2"/>
    </row>
    <row r="21141" spans="1:4" ht="12.75" customHeight="1" x14ac:dyDescent="0.2">
      <c r="B21141" s="11" t="s">
        <v>2599</v>
      </c>
      <c r="C21141" s="17" t="s">
        <v>3503</v>
      </c>
      <c r="D21141" s="2"/>
    </row>
    <row r="21142" spans="1:4" ht="25.5" customHeight="1" x14ac:dyDescent="0.2">
      <c r="B21142" s="11" t="s">
        <v>2600</v>
      </c>
      <c r="C21142" s="17" t="s">
        <v>6049</v>
      </c>
      <c r="D21142" s="2"/>
    </row>
    <row r="21143" spans="1:4" ht="25.5" customHeight="1" x14ac:dyDescent="0.2">
      <c r="B21143" s="11" t="s">
        <v>2601</v>
      </c>
      <c r="C21143" s="17"/>
      <c r="D21143" s="2"/>
    </row>
    <row r="21144" spans="1:4" ht="12.75" customHeight="1" x14ac:dyDescent="0.2">
      <c r="B21144" s="11" t="s">
        <v>16</v>
      </c>
      <c r="C21144" s="17"/>
      <c r="D21144" s="2"/>
    </row>
    <row r="21145" spans="1:4" ht="12.75" customHeight="1" x14ac:dyDescent="0.2">
      <c r="B21145" s="11" t="s">
        <v>13</v>
      </c>
      <c r="C21145" s="17" t="s">
        <v>2644</v>
      </c>
      <c r="D21145" s="2"/>
    </row>
    <row r="21146" spans="1:4" ht="25.5" customHeight="1" x14ac:dyDescent="0.2">
      <c r="B21146" s="11" t="s">
        <v>2603</v>
      </c>
      <c r="C21146" s="17" t="s">
        <v>2971</v>
      </c>
      <c r="D21146" s="2"/>
    </row>
    <row r="21147" spans="1:4" ht="12.75" customHeight="1" x14ac:dyDescent="0.2">
      <c r="B21147" s="11" t="s">
        <v>2605</v>
      </c>
      <c r="C21147" s="17" t="s">
        <v>14</v>
      </c>
      <c r="D21147" s="2"/>
    </row>
    <row r="21148" spans="1:4" ht="12.75" customHeight="1" x14ac:dyDescent="0.2">
      <c r="B21148" s="11" t="s">
        <v>2606</v>
      </c>
      <c r="C21148" s="16" t="s">
        <v>19</v>
      </c>
      <c r="D21148" s="2"/>
    </row>
    <row r="21149" spans="1:4" ht="12.75" customHeight="1" x14ac:dyDescent="0.2">
      <c r="B21149" s="2"/>
      <c r="C21149" s="15"/>
      <c r="D21149" s="2"/>
    </row>
    <row r="21150" spans="1:4" ht="12.75" customHeight="1" x14ac:dyDescent="0.2">
      <c r="B21150" s="2"/>
      <c r="C21150" s="15"/>
      <c r="D21150" s="2"/>
    </row>
    <row r="21151" spans="1:4" ht="12.75" customHeight="1" x14ac:dyDescent="0.2">
      <c r="A21151" s="13" t="s">
        <v>5960</v>
      </c>
      <c r="C21151" s="12"/>
      <c r="D21151" s="2"/>
    </row>
    <row r="21152" spans="1:4" ht="12.75" customHeight="1" x14ac:dyDescent="0.2">
      <c r="A21152" s="11"/>
      <c r="B21152" s="2"/>
      <c r="C21152" s="15"/>
      <c r="D21152" s="2"/>
    </row>
    <row r="21153" spans="1:4" ht="12.75" customHeight="1" x14ac:dyDescent="0.2">
      <c r="B21153" s="11" t="s">
        <v>0</v>
      </c>
      <c r="C21153" s="17" t="s">
        <v>1207</v>
      </c>
      <c r="D21153" s="2"/>
    </row>
    <row r="21154" spans="1:4" ht="12.75" customHeight="1" x14ac:dyDescent="0.2">
      <c r="B21154" s="11" t="s">
        <v>2599</v>
      </c>
      <c r="C21154" s="17" t="s">
        <v>5961</v>
      </c>
      <c r="D21154" s="2"/>
    </row>
    <row r="21155" spans="1:4" ht="25.5" customHeight="1" x14ac:dyDescent="0.2">
      <c r="B21155" s="11" t="s">
        <v>2600</v>
      </c>
      <c r="C21155" s="17" t="s">
        <v>6050</v>
      </c>
      <c r="D21155" s="2"/>
    </row>
    <row r="21156" spans="1:4" ht="25.5" customHeight="1" x14ac:dyDescent="0.2">
      <c r="B21156" s="11" t="s">
        <v>2601</v>
      </c>
      <c r="C21156" s="17"/>
      <c r="D21156" s="2"/>
    </row>
    <row r="21157" spans="1:4" ht="12.75" customHeight="1" x14ac:dyDescent="0.2">
      <c r="B21157" s="11" t="s">
        <v>16</v>
      </c>
      <c r="C21157" s="17"/>
      <c r="D21157" s="2"/>
    </row>
    <row r="21158" spans="1:4" ht="12.75" customHeight="1" x14ac:dyDescent="0.2">
      <c r="B21158" s="11" t="s">
        <v>13</v>
      </c>
      <c r="C21158" s="17" t="s">
        <v>2644</v>
      </c>
      <c r="D21158" s="2"/>
    </row>
    <row r="21159" spans="1:4" ht="25.5" customHeight="1" x14ac:dyDescent="0.2">
      <c r="B21159" s="11" t="s">
        <v>2603</v>
      </c>
      <c r="C21159" s="17" t="s">
        <v>2971</v>
      </c>
      <c r="D21159" s="2"/>
    </row>
    <row r="21160" spans="1:4" ht="12.75" customHeight="1" x14ac:dyDescent="0.2">
      <c r="B21160" s="11" t="s">
        <v>2605</v>
      </c>
      <c r="C21160" s="17" t="s">
        <v>14</v>
      </c>
      <c r="D21160" s="2"/>
    </row>
    <row r="21161" spans="1:4" ht="12.75" customHeight="1" x14ac:dyDescent="0.2">
      <c r="B21161" s="11" t="s">
        <v>2606</v>
      </c>
      <c r="C21161" s="16" t="s">
        <v>19</v>
      </c>
      <c r="D21161" s="2"/>
    </row>
    <row r="21162" spans="1:4" ht="12.75" customHeight="1" x14ac:dyDescent="0.2">
      <c r="B21162" s="2"/>
      <c r="C21162" s="15"/>
      <c r="D21162" s="2"/>
    </row>
    <row r="21163" spans="1:4" ht="12.75" customHeight="1" x14ac:dyDescent="0.2">
      <c r="B21163" s="2"/>
      <c r="C21163" s="15"/>
      <c r="D21163" s="2"/>
    </row>
    <row r="21164" spans="1:4" ht="12.75" customHeight="1" x14ac:dyDescent="0.2">
      <c r="A21164" s="13" t="s">
        <v>6051</v>
      </c>
      <c r="C21164" s="12"/>
    </row>
    <row r="21165" spans="1:4" ht="12.75" customHeight="1" x14ac:dyDescent="0.2">
      <c r="A21165" s="11"/>
      <c r="B21165" s="2"/>
      <c r="C21165" s="15"/>
      <c r="D21165" s="2"/>
    </row>
    <row r="21166" spans="1:4" ht="12.75" customHeight="1" x14ac:dyDescent="0.2">
      <c r="B21166" s="11" t="s">
        <v>0</v>
      </c>
      <c r="C21166" s="11" t="s">
        <v>1207</v>
      </c>
    </row>
    <row r="21167" spans="1:4" ht="12.75" customHeight="1" x14ac:dyDescent="0.2">
      <c r="B21167" s="11" t="s">
        <v>2599</v>
      </c>
      <c r="C21167" s="11" t="s">
        <v>6052</v>
      </c>
    </row>
    <row r="21168" spans="1:4" ht="25.5" customHeight="1" x14ac:dyDescent="0.2">
      <c r="B21168" s="11" t="s">
        <v>2600</v>
      </c>
      <c r="C21168" s="11" t="s">
        <v>6053</v>
      </c>
    </row>
    <row r="21169" spans="1:4" ht="25.5" customHeight="1" x14ac:dyDescent="0.2">
      <c r="B21169" s="11" t="s">
        <v>2601</v>
      </c>
      <c r="C21169" s="11"/>
    </row>
    <row r="21170" spans="1:4" ht="12.75" customHeight="1" x14ac:dyDescent="0.2">
      <c r="B21170" s="11" t="s">
        <v>16</v>
      </c>
      <c r="C21170" s="11"/>
    </row>
    <row r="21171" spans="1:4" ht="12.75" customHeight="1" x14ac:dyDescent="0.2">
      <c r="B21171" s="11" t="s">
        <v>13</v>
      </c>
      <c r="C21171" s="11" t="s">
        <v>2602</v>
      </c>
    </row>
    <row r="21172" spans="1:4" ht="12.75" customHeight="1" x14ac:dyDescent="0.2">
      <c r="B21172" s="11" t="s">
        <v>2603</v>
      </c>
      <c r="C21172" s="11" t="s">
        <v>2604</v>
      </c>
    </row>
    <row r="21173" spans="1:4" ht="12.75" customHeight="1" x14ac:dyDescent="0.2">
      <c r="B21173" s="11" t="s">
        <v>2605</v>
      </c>
      <c r="C21173" s="11" t="s">
        <v>14</v>
      </c>
    </row>
    <row r="21174" spans="1:4" ht="12.75" customHeight="1" x14ac:dyDescent="0.2">
      <c r="B21174" s="11" t="s">
        <v>2606</v>
      </c>
      <c r="C21174" s="16" t="s">
        <v>44</v>
      </c>
      <c r="D21174" s="6" t="str">
        <f>HYPERLINK("javascript:void(0)","bikacsök")</f>
        <v>bikacsök</v>
      </c>
    </row>
    <row r="21175" spans="1:4" ht="12.75" customHeight="1" x14ac:dyDescent="0.2">
      <c r="C21175" s="16" t="s">
        <v>309</v>
      </c>
      <c r="D21175" s="6" t="str">
        <f>HYPERLINK("javascript:void(0)","kincs")</f>
        <v>kincs</v>
      </c>
    </row>
    <row r="21176" spans="1:4" ht="12.75" customHeight="1" x14ac:dyDescent="0.2">
      <c r="B21176" s="2"/>
      <c r="C21176" s="15"/>
      <c r="D21176" s="2"/>
    </row>
    <row r="21177" spans="1:4" ht="12.75" customHeight="1" x14ac:dyDescent="0.2">
      <c r="B21177" s="2"/>
      <c r="C21177" s="15"/>
      <c r="D21177" s="2"/>
    </row>
    <row r="21178" spans="1:4" ht="12.75" customHeight="1" x14ac:dyDescent="0.2">
      <c r="A21178" s="13" t="s">
        <v>6054</v>
      </c>
      <c r="C21178" s="12"/>
    </row>
    <row r="21179" spans="1:4" ht="12.75" customHeight="1" x14ac:dyDescent="0.2">
      <c r="A21179" s="11"/>
      <c r="B21179" s="2"/>
      <c r="C21179" s="15"/>
      <c r="D21179" s="2"/>
    </row>
    <row r="21180" spans="1:4" ht="12.75" customHeight="1" x14ac:dyDescent="0.2">
      <c r="B21180" s="11" t="s">
        <v>0</v>
      </c>
      <c r="C21180" s="11" t="s">
        <v>1207</v>
      </c>
    </row>
    <row r="21181" spans="1:4" ht="12.75" customHeight="1" x14ac:dyDescent="0.2">
      <c r="B21181" s="11" t="s">
        <v>2599</v>
      </c>
      <c r="C21181" s="11" t="s">
        <v>6055</v>
      </c>
    </row>
    <row r="21182" spans="1:4" ht="25.5" customHeight="1" x14ac:dyDescent="0.2">
      <c r="B21182" s="11" t="s">
        <v>2600</v>
      </c>
      <c r="C21182" s="11" t="s">
        <v>6056</v>
      </c>
    </row>
    <row r="21183" spans="1:4" ht="25.5" customHeight="1" x14ac:dyDescent="0.2">
      <c r="B21183" s="11" t="s">
        <v>2601</v>
      </c>
      <c r="C21183" s="11"/>
    </row>
    <row r="21184" spans="1:4" ht="12.75" customHeight="1" x14ac:dyDescent="0.2">
      <c r="B21184" s="11" t="s">
        <v>16</v>
      </c>
      <c r="C21184" s="11"/>
    </row>
    <row r="21185" spans="1:4" ht="12.75" customHeight="1" x14ac:dyDescent="0.2">
      <c r="B21185" s="11" t="s">
        <v>13</v>
      </c>
      <c r="C21185" s="11" t="s">
        <v>2644</v>
      </c>
    </row>
    <row r="21186" spans="1:4" ht="12.75" customHeight="1" x14ac:dyDescent="0.2">
      <c r="B21186" s="11" t="s">
        <v>2603</v>
      </c>
      <c r="C21186" s="11" t="s">
        <v>2604</v>
      </c>
    </row>
    <row r="21187" spans="1:4" ht="12.75" customHeight="1" x14ac:dyDescent="0.2">
      <c r="B21187" s="11" t="s">
        <v>2605</v>
      </c>
      <c r="C21187" s="11" t="s">
        <v>24</v>
      </c>
    </row>
    <row r="21188" spans="1:4" ht="12.75" customHeight="1" x14ac:dyDescent="0.2">
      <c r="B21188" s="11" t="s">
        <v>2606</v>
      </c>
      <c r="C21188" s="16" t="s">
        <v>56</v>
      </c>
      <c r="D21188" s="6" t="str">
        <f>HYPERLINK("javascript:void(0)","faunszarv")</f>
        <v>faunszarv</v>
      </c>
    </row>
    <row r="21189" spans="1:4" ht="12.75" customHeight="1" x14ac:dyDescent="0.2">
      <c r="C21189" s="16" t="s">
        <v>117</v>
      </c>
      <c r="D21189" s="6" t="str">
        <f>HYPERLINK("javascript:void(0)","kincs")</f>
        <v>kincs</v>
      </c>
    </row>
    <row r="21190" spans="1:4" ht="12.75" customHeight="1" x14ac:dyDescent="0.2">
      <c r="B21190" s="2"/>
      <c r="C21190" s="15"/>
      <c r="D21190" s="2"/>
    </row>
    <row r="21191" spans="1:4" ht="12.75" customHeight="1" x14ac:dyDescent="0.2">
      <c r="B21191" s="2"/>
      <c r="C21191" s="15"/>
      <c r="D21191" s="2"/>
    </row>
    <row r="21192" spans="1:4" ht="12.75" customHeight="1" x14ac:dyDescent="0.2">
      <c r="A21192" s="13" t="s">
        <v>6057</v>
      </c>
      <c r="C21192" s="12"/>
    </row>
    <row r="21193" spans="1:4" ht="12.75" customHeight="1" x14ac:dyDescent="0.2">
      <c r="A21193" s="11"/>
      <c r="B21193" s="2"/>
      <c r="C21193" s="15"/>
      <c r="D21193" s="2"/>
    </row>
    <row r="21194" spans="1:4" ht="12.75" customHeight="1" x14ac:dyDescent="0.2">
      <c r="B21194" s="11" t="s">
        <v>0</v>
      </c>
      <c r="C21194" s="11" t="s">
        <v>1207</v>
      </c>
    </row>
    <row r="21195" spans="1:4" ht="12.75" customHeight="1" x14ac:dyDescent="0.2">
      <c r="B21195" s="11" t="s">
        <v>2599</v>
      </c>
      <c r="C21195" s="11" t="s">
        <v>6058</v>
      </c>
    </row>
    <row r="21196" spans="1:4" ht="25.5" customHeight="1" x14ac:dyDescent="0.2">
      <c r="B21196" s="11" t="s">
        <v>2600</v>
      </c>
      <c r="C21196" s="11" t="s">
        <v>6059</v>
      </c>
    </row>
    <row r="21197" spans="1:4" ht="25.5" customHeight="1" x14ac:dyDescent="0.2">
      <c r="B21197" s="11" t="s">
        <v>2601</v>
      </c>
      <c r="C21197" s="11"/>
    </row>
    <row r="21198" spans="1:4" ht="12.75" customHeight="1" x14ac:dyDescent="0.2">
      <c r="B21198" s="11" t="s">
        <v>16</v>
      </c>
      <c r="C21198" s="11"/>
    </row>
    <row r="21199" spans="1:4" ht="12.75" customHeight="1" x14ac:dyDescent="0.2">
      <c r="B21199" s="11" t="s">
        <v>13</v>
      </c>
      <c r="C21199" s="11" t="s">
        <v>2644</v>
      </c>
    </row>
    <row r="21200" spans="1:4" ht="12.75" customHeight="1" x14ac:dyDescent="0.2">
      <c r="B21200" s="11" t="s">
        <v>2603</v>
      </c>
      <c r="C21200" s="11" t="s">
        <v>2604</v>
      </c>
    </row>
    <row r="21201" spans="1:4" ht="12.75" customHeight="1" x14ac:dyDescent="0.2">
      <c r="B21201" s="11" t="s">
        <v>2605</v>
      </c>
      <c r="C21201" s="11" t="s">
        <v>24</v>
      </c>
    </row>
    <row r="21202" spans="1:4" ht="25.5" customHeight="1" x14ac:dyDescent="0.2">
      <c r="B21202" s="11" t="s">
        <v>2606</v>
      </c>
      <c r="C21202" s="16" t="s">
        <v>56</v>
      </c>
      <c r="D21202" s="6" t="str">
        <f>HYPERLINK("javascript:void(0)","szellemszarv")</f>
        <v>szellemszarv</v>
      </c>
    </row>
    <row r="21203" spans="1:4" ht="12.75" customHeight="1" x14ac:dyDescent="0.2">
      <c r="B21203" s="2"/>
      <c r="C21203" s="15"/>
      <c r="D21203" s="2"/>
    </row>
    <row r="21204" spans="1:4" ht="12.75" customHeight="1" x14ac:dyDescent="0.2">
      <c r="B21204" s="2"/>
      <c r="C21204" s="15"/>
      <c r="D21204" s="2"/>
    </row>
    <row r="21205" spans="1:4" ht="12.75" customHeight="1" x14ac:dyDescent="0.2">
      <c r="A21205" s="13" t="s">
        <v>6060</v>
      </c>
      <c r="C21205" s="12"/>
    </row>
    <row r="21206" spans="1:4" ht="12.75" customHeight="1" x14ac:dyDescent="0.2">
      <c r="A21206" s="11"/>
      <c r="B21206" s="2"/>
      <c r="C21206" s="15"/>
      <c r="D21206" s="2"/>
    </row>
    <row r="21207" spans="1:4" ht="12.75" customHeight="1" x14ac:dyDescent="0.2">
      <c r="B21207" s="11" t="s">
        <v>0</v>
      </c>
      <c r="C21207" s="11" t="s">
        <v>1207</v>
      </c>
    </row>
    <row r="21208" spans="1:4" ht="12.75" customHeight="1" x14ac:dyDescent="0.2">
      <c r="B21208" s="11" t="s">
        <v>2599</v>
      </c>
      <c r="C21208" s="11" t="s">
        <v>1120</v>
      </c>
    </row>
    <row r="21209" spans="1:4" ht="25.5" customHeight="1" x14ac:dyDescent="0.2">
      <c r="B21209" s="11" t="s">
        <v>2600</v>
      </c>
      <c r="C21209" s="11" t="s">
        <v>6061</v>
      </c>
    </row>
    <row r="21210" spans="1:4" ht="25.5" customHeight="1" x14ac:dyDescent="0.2">
      <c r="B21210" s="11" t="s">
        <v>2601</v>
      </c>
      <c r="C21210" s="11"/>
    </row>
    <row r="21211" spans="1:4" ht="12.75" customHeight="1" x14ac:dyDescent="0.2">
      <c r="B21211" s="11" t="s">
        <v>16</v>
      </c>
      <c r="C21211" s="11"/>
    </row>
    <row r="21212" spans="1:4" ht="12.75" customHeight="1" x14ac:dyDescent="0.2">
      <c r="B21212" s="11" t="s">
        <v>13</v>
      </c>
      <c r="C21212" s="11" t="s">
        <v>2644</v>
      </c>
    </row>
    <row r="21213" spans="1:4" ht="12.75" customHeight="1" x14ac:dyDescent="0.2">
      <c r="B21213" s="11" t="s">
        <v>2603</v>
      </c>
      <c r="C21213" s="11" t="s">
        <v>2604</v>
      </c>
    </row>
    <row r="21214" spans="1:4" ht="12.75" customHeight="1" x14ac:dyDescent="0.2">
      <c r="B21214" s="11" t="s">
        <v>2605</v>
      </c>
      <c r="C21214" s="11" t="s">
        <v>14</v>
      </c>
    </row>
    <row r="21215" spans="1:4" ht="12.75" customHeight="1" x14ac:dyDescent="0.2">
      <c r="B21215" s="11" t="s">
        <v>2606</v>
      </c>
      <c r="C21215" s="16" t="s">
        <v>98</v>
      </c>
      <c r="D21215" s="6" t="str">
        <f>HYPERLINK("javascript:void(0)","kincs")</f>
        <v>kincs</v>
      </c>
    </row>
    <row r="21216" spans="1:4" ht="25.5" customHeight="1" x14ac:dyDescent="0.2">
      <c r="C21216" s="16" t="s">
        <v>44</v>
      </c>
      <c r="D21216" s="6" t="str">
        <f>HYPERLINK("javascript:void(0)","unikornisszarv")</f>
        <v>unikornisszarv</v>
      </c>
    </row>
    <row r="21217" spans="1:4" ht="12.75" customHeight="1" x14ac:dyDescent="0.2">
      <c r="B21217" s="2"/>
      <c r="C21217" s="15"/>
      <c r="D21217" s="2"/>
    </row>
    <row r="21218" spans="1:4" ht="12.75" customHeight="1" x14ac:dyDescent="0.2">
      <c r="B21218" s="2"/>
      <c r="C21218" s="15"/>
      <c r="D21218" s="2"/>
    </row>
    <row r="21219" spans="1:4" ht="12.75" customHeight="1" x14ac:dyDescent="0.2">
      <c r="A21219" s="13" t="s">
        <v>6062</v>
      </c>
      <c r="C21219" s="12"/>
    </row>
    <row r="21220" spans="1:4" ht="12.75" customHeight="1" x14ac:dyDescent="0.2">
      <c r="A21220" s="11"/>
      <c r="B21220" s="2"/>
      <c r="C21220" s="15"/>
      <c r="D21220" s="2"/>
    </row>
    <row r="21221" spans="1:4" ht="12.75" customHeight="1" x14ac:dyDescent="0.2">
      <c r="B21221" s="11" t="s">
        <v>0</v>
      </c>
      <c r="C21221" s="11" t="s">
        <v>1207</v>
      </c>
    </row>
    <row r="21222" spans="1:4" ht="12.75" customHeight="1" x14ac:dyDescent="0.2">
      <c r="B21222" s="11" t="s">
        <v>2599</v>
      </c>
      <c r="C21222" s="11" t="s">
        <v>6063</v>
      </c>
    </row>
    <row r="21223" spans="1:4" ht="25.5" customHeight="1" x14ac:dyDescent="0.2">
      <c r="B21223" s="11" t="s">
        <v>2600</v>
      </c>
      <c r="C21223" s="11" t="s">
        <v>6064</v>
      </c>
    </row>
    <row r="21224" spans="1:4" ht="25.5" customHeight="1" x14ac:dyDescent="0.2">
      <c r="B21224" s="11" t="s">
        <v>2601</v>
      </c>
      <c r="C21224" s="11"/>
    </row>
    <row r="21225" spans="1:4" ht="12.75" customHeight="1" x14ac:dyDescent="0.2">
      <c r="B21225" s="11" t="s">
        <v>16</v>
      </c>
      <c r="C21225" s="11"/>
    </row>
    <row r="21226" spans="1:4" ht="12.75" customHeight="1" x14ac:dyDescent="0.2">
      <c r="B21226" s="11" t="s">
        <v>13</v>
      </c>
      <c r="C21226" s="11" t="s">
        <v>2602</v>
      </c>
    </row>
    <row r="21227" spans="1:4" ht="12.75" customHeight="1" x14ac:dyDescent="0.2">
      <c r="B21227" s="11" t="s">
        <v>2603</v>
      </c>
      <c r="C21227" s="11" t="s">
        <v>2604</v>
      </c>
    </row>
    <row r="21228" spans="1:4" ht="12.75" customHeight="1" x14ac:dyDescent="0.2">
      <c r="B21228" s="11" t="s">
        <v>2605</v>
      </c>
      <c r="C21228" s="11" t="s">
        <v>14</v>
      </c>
    </row>
    <row r="21229" spans="1:4" ht="12.75" customHeight="1" x14ac:dyDescent="0.2">
      <c r="B21229" s="11" t="s">
        <v>2606</v>
      </c>
      <c r="C21229" s="16" t="s">
        <v>57</v>
      </c>
      <c r="D21229" s="6" t="str">
        <f>HYPERLINK("javascript:void(0)","patkányzsír")</f>
        <v>patkányzsír</v>
      </c>
    </row>
    <row r="21230" spans="1:4" ht="25.5" customHeight="1" x14ac:dyDescent="0.2">
      <c r="C21230" s="16" t="s">
        <v>44</v>
      </c>
      <c r="D21230" s="6" t="str">
        <f>HYPERLINK("javascript:void(0)","patkányfarok")</f>
        <v>patkányfarok</v>
      </c>
    </row>
    <row r="21231" spans="1:4" ht="12.75" customHeight="1" x14ac:dyDescent="0.2">
      <c r="B21231" s="2"/>
      <c r="C21231" s="15"/>
      <c r="D21231" s="2"/>
    </row>
    <row r="21232" spans="1:4" ht="12.75" customHeight="1" x14ac:dyDescent="0.2">
      <c r="B21232" s="2"/>
      <c r="C21232" s="15"/>
      <c r="D21232" s="2"/>
    </row>
    <row r="21233" spans="1:4" ht="12.75" customHeight="1" x14ac:dyDescent="0.2">
      <c r="A21233" s="13" t="s">
        <v>6065</v>
      </c>
      <c r="C21233" s="12"/>
    </row>
    <row r="21234" spans="1:4" ht="12.75" customHeight="1" x14ac:dyDescent="0.2">
      <c r="A21234" s="11"/>
      <c r="B21234" s="2"/>
      <c r="C21234" s="15"/>
      <c r="D21234" s="2"/>
    </row>
    <row r="21235" spans="1:4" ht="12.75" customHeight="1" x14ac:dyDescent="0.2">
      <c r="B21235" s="11" t="s">
        <v>0</v>
      </c>
      <c r="C21235" s="11" t="s">
        <v>1207</v>
      </c>
    </row>
    <row r="21236" spans="1:4" ht="12.75" customHeight="1" x14ac:dyDescent="0.2">
      <c r="B21236" s="11" t="s">
        <v>2599</v>
      </c>
      <c r="C21236" s="11" t="s">
        <v>538</v>
      </c>
    </row>
    <row r="21237" spans="1:4" ht="25.5" customHeight="1" x14ac:dyDescent="0.2">
      <c r="B21237" s="11" t="s">
        <v>2600</v>
      </c>
      <c r="C21237" s="11" t="s">
        <v>6066</v>
      </c>
    </row>
    <row r="21238" spans="1:4" ht="25.5" customHeight="1" x14ac:dyDescent="0.2">
      <c r="B21238" s="11" t="s">
        <v>2601</v>
      </c>
      <c r="C21238" s="11"/>
    </row>
    <row r="21239" spans="1:4" ht="12.75" customHeight="1" x14ac:dyDescent="0.2">
      <c r="B21239" s="11" t="s">
        <v>16</v>
      </c>
      <c r="C21239" s="11"/>
    </row>
    <row r="21240" spans="1:4" ht="12.75" customHeight="1" x14ac:dyDescent="0.2">
      <c r="B21240" s="11" t="s">
        <v>13</v>
      </c>
      <c r="C21240" s="11" t="s">
        <v>2602</v>
      </c>
    </row>
    <row r="21241" spans="1:4" ht="12.75" customHeight="1" x14ac:dyDescent="0.2">
      <c r="B21241" s="11" t="s">
        <v>2603</v>
      </c>
      <c r="C21241" s="11" t="s">
        <v>2604</v>
      </c>
    </row>
    <row r="21242" spans="1:4" ht="12.75" customHeight="1" x14ac:dyDescent="0.2">
      <c r="B21242" s="11" t="s">
        <v>2605</v>
      </c>
      <c r="C21242" s="11" t="s">
        <v>24</v>
      </c>
    </row>
    <row r="21243" spans="1:4" ht="25.5" customHeight="1" x14ac:dyDescent="0.2">
      <c r="B21243" s="11" t="s">
        <v>2606</v>
      </c>
      <c r="C21243" s="16" t="s">
        <v>44</v>
      </c>
      <c r="D21243" s="6" t="str">
        <f>HYPERLINK("javascript:void(0)","bulldogbendő")</f>
        <v>bulldogbendő</v>
      </c>
    </row>
    <row r="21244" spans="1:4" ht="12.75" customHeight="1" x14ac:dyDescent="0.2">
      <c r="C21244" s="16" t="s">
        <v>44</v>
      </c>
      <c r="D21244" s="6" t="str">
        <f>HYPERLINK("javascript:void(0)","kutyasíp")</f>
        <v>kutyasíp</v>
      </c>
    </row>
    <row r="21245" spans="1:4" ht="12.75" customHeight="1" x14ac:dyDescent="0.2">
      <c r="B21245" s="2"/>
      <c r="C21245" s="15"/>
      <c r="D21245" s="2"/>
    </row>
    <row r="21246" spans="1:4" ht="12.75" customHeight="1" x14ac:dyDescent="0.2">
      <c r="B21246" s="2"/>
      <c r="C21246" s="15"/>
      <c r="D21246" s="2"/>
    </row>
    <row r="21247" spans="1:4" ht="12.75" customHeight="1" x14ac:dyDescent="0.2">
      <c r="A21247" s="13" t="s">
        <v>6067</v>
      </c>
      <c r="C21247" s="12"/>
    </row>
    <row r="21248" spans="1:4" ht="12.75" customHeight="1" x14ac:dyDescent="0.2">
      <c r="A21248" s="11"/>
      <c r="B21248" s="2"/>
      <c r="C21248" s="15"/>
      <c r="D21248" s="2"/>
    </row>
    <row r="21249" spans="1:4" ht="12.75" customHeight="1" x14ac:dyDescent="0.2">
      <c r="B21249" s="11" t="s">
        <v>0</v>
      </c>
      <c r="C21249" s="11" t="s">
        <v>1207</v>
      </c>
    </row>
    <row r="21250" spans="1:4" ht="12.75" customHeight="1" x14ac:dyDescent="0.2">
      <c r="B21250" s="11" t="s">
        <v>2599</v>
      </c>
      <c r="C21250" s="11" t="s">
        <v>822</v>
      </c>
    </row>
    <row r="21251" spans="1:4" ht="25.5" customHeight="1" x14ac:dyDescent="0.2">
      <c r="B21251" s="11" t="s">
        <v>2600</v>
      </c>
      <c r="C21251" s="11" t="s">
        <v>6068</v>
      </c>
    </row>
    <row r="21252" spans="1:4" ht="25.5" customHeight="1" x14ac:dyDescent="0.2">
      <c r="B21252" s="11" t="s">
        <v>2601</v>
      </c>
      <c r="C21252" s="11"/>
    </row>
    <row r="21253" spans="1:4" ht="12.75" customHeight="1" x14ac:dyDescent="0.2">
      <c r="B21253" s="11" t="s">
        <v>16</v>
      </c>
      <c r="C21253" s="11"/>
    </row>
    <row r="21254" spans="1:4" ht="12.75" customHeight="1" x14ac:dyDescent="0.2">
      <c r="B21254" s="11" t="s">
        <v>13</v>
      </c>
      <c r="C21254" s="11" t="s">
        <v>2602</v>
      </c>
    </row>
    <row r="21255" spans="1:4" ht="12.75" customHeight="1" x14ac:dyDescent="0.2">
      <c r="B21255" s="11" t="s">
        <v>2603</v>
      </c>
      <c r="C21255" s="11" t="s">
        <v>2604</v>
      </c>
    </row>
    <row r="21256" spans="1:4" ht="12.75" customHeight="1" x14ac:dyDescent="0.2">
      <c r="B21256" s="11" t="s">
        <v>2605</v>
      </c>
      <c r="C21256" s="11" t="s">
        <v>14</v>
      </c>
    </row>
    <row r="21257" spans="1:4" ht="25.5" customHeight="1" x14ac:dyDescent="0.2">
      <c r="B21257" s="11" t="s">
        <v>2606</v>
      </c>
      <c r="C21257" s="16" t="s">
        <v>44</v>
      </c>
      <c r="D21257" s="6" t="str">
        <f>HYPERLINK("javascript:void(0)","törpe csatabalta")</f>
        <v>törpe csatabalta</v>
      </c>
    </row>
    <row r="21258" spans="1:4" ht="12.75" customHeight="1" x14ac:dyDescent="0.2">
      <c r="C21258" s="16" t="s">
        <v>1379</v>
      </c>
      <c r="D21258" s="6" t="str">
        <f>HYPERLINK("javascript:void(0)","ezüst")</f>
        <v>ezüst</v>
      </c>
    </row>
    <row r="21259" spans="1:4" ht="12.75" customHeight="1" x14ac:dyDescent="0.2">
      <c r="B21259" s="2"/>
      <c r="C21259" s="15"/>
      <c r="D21259" s="2"/>
    </row>
    <row r="21260" spans="1:4" ht="12.75" customHeight="1" x14ac:dyDescent="0.2">
      <c r="B21260" s="2"/>
      <c r="C21260" s="15"/>
      <c r="D21260" s="2"/>
    </row>
    <row r="21261" spans="1:4" ht="12.75" customHeight="1" x14ac:dyDescent="0.2">
      <c r="A21261" s="13" t="s">
        <v>6069</v>
      </c>
      <c r="C21261" s="12"/>
    </row>
    <row r="21262" spans="1:4" ht="12.75" customHeight="1" x14ac:dyDescent="0.2">
      <c r="A21262" s="11"/>
      <c r="B21262" s="2"/>
      <c r="C21262" s="15"/>
      <c r="D21262" s="2"/>
    </row>
    <row r="21263" spans="1:4" ht="12.75" customHeight="1" x14ac:dyDescent="0.2">
      <c r="B21263" s="11" t="s">
        <v>0</v>
      </c>
      <c r="C21263" s="11" t="s">
        <v>1207</v>
      </c>
    </row>
    <row r="21264" spans="1:4" ht="12.75" customHeight="1" x14ac:dyDescent="0.2">
      <c r="B21264" s="11" t="s">
        <v>2599</v>
      </c>
      <c r="C21264" s="11" t="s">
        <v>6070</v>
      </c>
    </row>
    <row r="21265" spans="1:4" ht="25.5" customHeight="1" x14ac:dyDescent="0.2">
      <c r="B21265" s="11" t="s">
        <v>2600</v>
      </c>
      <c r="C21265" s="11" t="s">
        <v>6071</v>
      </c>
    </row>
    <row r="21266" spans="1:4" ht="25.5" customHeight="1" x14ac:dyDescent="0.2">
      <c r="B21266" s="11" t="s">
        <v>2601</v>
      </c>
      <c r="C21266" s="11"/>
    </row>
    <row r="21267" spans="1:4" ht="12.75" customHeight="1" x14ac:dyDescent="0.2">
      <c r="B21267" s="11" t="s">
        <v>16</v>
      </c>
      <c r="C21267" s="11"/>
    </row>
    <row r="21268" spans="1:4" ht="12.75" customHeight="1" x14ac:dyDescent="0.2">
      <c r="B21268" s="11" t="s">
        <v>13</v>
      </c>
      <c r="C21268" s="11" t="s">
        <v>2644</v>
      </c>
    </row>
    <row r="21269" spans="1:4" ht="12.75" customHeight="1" x14ac:dyDescent="0.2">
      <c r="B21269" s="11" t="s">
        <v>2603</v>
      </c>
      <c r="C21269" s="11" t="s">
        <v>2604</v>
      </c>
    </row>
    <row r="21270" spans="1:4" ht="12.75" customHeight="1" x14ac:dyDescent="0.2">
      <c r="B21270" s="11" t="s">
        <v>2605</v>
      </c>
      <c r="C21270" s="11" t="s">
        <v>24</v>
      </c>
    </row>
    <row r="21271" spans="1:4" ht="25.5" customHeight="1" x14ac:dyDescent="0.2">
      <c r="B21271" s="11" t="s">
        <v>2606</v>
      </c>
      <c r="C21271" s="16" t="s">
        <v>44</v>
      </c>
      <c r="D21271" s="6" t="str">
        <f>HYPERLINK("javascript:void(0)","démongyapjú")</f>
        <v>démongyapjú</v>
      </c>
    </row>
    <row r="21272" spans="1:4" ht="25.5" customHeight="1" x14ac:dyDescent="0.2">
      <c r="C21272" s="16" t="s">
        <v>44</v>
      </c>
      <c r="D21272" s="6" t="str">
        <f>HYPERLINK("javascript:void(0)","démonzanza")</f>
        <v>démonzanza</v>
      </c>
    </row>
    <row r="21273" spans="1:4" ht="12.75" customHeight="1" x14ac:dyDescent="0.2">
      <c r="B21273" s="2"/>
      <c r="C21273" s="15"/>
      <c r="D21273" s="2"/>
    </row>
    <row r="21274" spans="1:4" ht="12.75" customHeight="1" x14ac:dyDescent="0.2">
      <c r="B21274" s="2"/>
      <c r="C21274" s="15"/>
      <c r="D21274" s="2"/>
    </row>
    <row r="21275" spans="1:4" ht="12.75" customHeight="1" x14ac:dyDescent="0.2">
      <c r="A21275" s="13" t="s">
        <v>5986</v>
      </c>
      <c r="C21275" s="12"/>
      <c r="D21275" s="2"/>
    </row>
    <row r="21276" spans="1:4" ht="12.75" customHeight="1" x14ac:dyDescent="0.2">
      <c r="A21276" s="11"/>
      <c r="B21276" s="2"/>
      <c r="C21276" s="15"/>
      <c r="D21276" s="2"/>
    </row>
    <row r="21277" spans="1:4" ht="12.75" customHeight="1" x14ac:dyDescent="0.2">
      <c r="B21277" s="11" t="s">
        <v>0</v>
      </c>
      <c r="C21277" s="17" t="s">
        <v>1207</v>
      </c>
      <c r="D21277" s="2"/>
    </row>
    <row r="21278" spans="1:4" ht="12.75" customHeight="1" x14ac:dyDescent="0.2">
      <c r="B21278" s="11" t="s">
        <v>2599</v>
      </c>
      <c r="C21278" s="17" t="s">
        <v>5987</v>
      </c>
      <c r="D21278" s="2"/>
    </row>
    <row r="21279" spans="1:4" ht="25.5" customHeight="1" x14ac:dyDescent="0.2">
      <c r="B21279" s="11" t="s">
        <v>2600</v>
      </c>
      <c r="C21279" s="17" t="s">
        <v>6072</v>
      </c>
      <c r="D21279" s="2"/>
    </row>
    <row r="21280" spans="1:4" ht="25.5" customHeight="1" x14ac:dyDescent="0.2">
      <c r="B21280" s="11" t="s">
        <v>2601</v>
      </c>
      <c r="C21280" s="17"/>
      <c r="D21280" s="2"/>
    </row>
    <row r="21281" spans="1:4" ht="12.75" customHeight="1" x14ac:dyDescent="0.2">
      <c r="B21281" s="11" t="s">
        <v>16</v>
      </c>
      <c r="C21281" s="17"/>
      <c r="D21281" s="2"/>
    </row>
    <row r="21282" spans="1:4" ht="12.75" customHeight="1" x14ac:dyDescent="0.2">
      <c r="B21282" s="11" t="s">
        <v>13</v>
      </c>
      <c r="C21282" s="17" t="s">
        <v>2602</v>
      </c>
      <c r="D21282" s="2"/>
    </row>
    <row r="21283" spans="1:4" ht="25.5" customHeight="1" x14ac:dyDescent="0.2">
      <c r="B21283" s="11" t="s">
        <v>2603</v>
      </c>
      <c r="C21283" s="17" t="s">
        <v>2971</v>
      </c>
      <c r="D21283" s="2"/>
    </row>
    <row r="21284" spans="1:4" ht="12.75" customHeight="1" x14ac:dyDescent="0.2">
      <c r="B21284" s="11" t="s">
        <v>2605</v>
      </c>
      <c r="C21284" s="17" t="s">
        <v>14</v>
      </c>
      <c r="D21284" s="2"/>
    </row>
    <row r="21285" spans="1:4" ht="12.75" customHeight="1" x14ac:dyDescent="0.2">
      <c r="B21285" s="11" t="s">
        <v>2606</v>
      </c>
      <c r="C21285" s="16" t="s">
        <v>19</v>
      </c>
      <c r="D21285" s="2"/>
    </row>
    <row r="21286" spans="1:4" ht="12.75" customHeight="1" x14ac:dyDescent="0.2">
      <c r="B21286" s="2"/>
      <c r="C21286" s="15"/>
      <c r="D21286" s="2"/>
    </row>
    <row r="21287" spans="1:4" ht="12.75" customHeight="1" x14ac:dyDescent="0.2">
      <c r="B21287" s="2"/>
      <c r="C21287" s="15"/>
      <c r="D21287" s="2"/>
    </row>
    <row r="21288" spans="1:4" ht="12.75" customHeight="1" x14ac:dyDescent="0.2">
      <c r="A21288" s="13" t="s">
        <v>5955</v>
      </c>
      <c r="C21288" s="12"/>
      <c r="D21288" s="2"/>
    </row>
    <row r="21289" spans="1:4" ht="12.75" customHeight="1" x14ac:dyDescent="0.2">
      <c r="A21289" s="11"/>
      <c r="B21289" s="2"/>
      <c r="C21289" s="15"/>
      <c r="D21289" s="2"/>
    </row>
    <row r="21290" spans="1:4" ht="12.75" customHeight="1" x14ac:dyDescent="0.2">
      <c r="B21290" s="11" t="s">
        <v>0</v>
      </c>
      <c r="C21290" s="17" t="s">
        <v>1213</v>
      </c>
      <c r="D21290" s="2"/>
    </row>
    <row r="21291" spans="1:4" ht="12.75" customHeight="1" x14ac:dyDescent="0.2">
      <c r="B21291" s="11" t="s">
        <v>2599</v>
      </c>
      <c r="C21291" s="17" t="s">
        <v>5956</v>
      </c>
      <c r="D21291" s="2"/>
    </row>
    <row r="21292" spans="1:4" ht="25.5" customHeight="1" x14ac:dyDescent="0.2">
      <c r="B21292" s="11" t="s">
        <v>2600</v>
      </c>
      <c r="C21292" s="17" t="s">
        <v>6074</v>
      </c>
      <c r="D21292" s="2"/>
    </row>
    <row r="21293" spans="1:4" ht="25.5" customHeight="1" x14ac:dyDescent="0.2">
      <c r="B21293" s="11" t="s">
        <v>2601</v>
      </c>
      <c r="C21293" s="17"/>
      <c r="D21293" s="2"/>
    </row>
    <row r="21294" spans="1:4" ht="12.75" customHeight="1" x14ac:dyDescent="0.2">
      <c r="B21294" s="11" t="s">
        <v>16</v>
      </c>
      <c r="C21294" s="17"/>
      <c r="D21294" s="2"/>
    </row>
    <row r="21295" spans="1:4" ht="12.75" customHeight="1" x14ac:dyDescent="0.2">
      <c r="B21295" s="11" t="s">
        <v>13</v>
      </c>
      <c r="C21295" s="17" t="s">
        <v>2602</v>
      </c>
      <c r="D21295" s="2"/>
    </row>
    <row r="21296" spans="1:4" ht="25.5" customHeight="1" x14ac:dyDescent="0.2">
      <c r="B21296" s="11" t="s">
        <v>2603</v>
      </c>
      <c r="C21296" s="17" t="s">
        <v>2971</v>
      </c>
      <c r="D21296" s="2"/>
    </row>
    <row r="21297" spans="1:4" ht="12.75" customHeight="1" x14ac:dyDescent="0.2">
      <c r="B21297" s="11" t="s">
        <v>2605</v>
      </c>
      <c r="C21297" s="17" t="s">
        <v>14</v>
      </c>
      <c r="D21297" s="2"/>
    </row>
    <row r="21298" spans="1:4" ht="12.75" customHeight="1" x14ac:dyDescent="0.2">
      <c r="B21298" s="11" t="s">
        <v>2606</v>
      </c>
      <c r="C21298" s="16" t="s">
        <v>19</v>
      </c>
      <c r="D21298" s="2"/>
    </row>
    <row r="21299" spans="1:4" ht="12.75" customHeight="1" x14ac:dyDescent="0.2">
      <c r="B21299" s="2"/>
      <c r="C21299" s="15"/>
      <c r="D21299" s="2"/>
    </row>
    <row r="21300" spans="1:4" ht="12.75" customHeight="1" x14ac:dyDescent="0.2">
      <c r="B21300" s="2"/>
      <c r="C21300" s="15"/>
      <c r="D21300" s="2"/>
    </row>
    <row r="21301" spans="1:4" ht="12.75" customHeight="1" x14ac:dyDescent="0.2">
      <c r="A21301" s="13" t="s">
        <v>5958</v>
      </c>
      <c r="C21301" s="12"/>
      <c r="D21301" s="2"/>
    </row>
    <row r="21302" spans="1:4" ht="12.75" customHeight="1" x14ac:dyDescent="0.2">
      <c r="A21302" s="11"/>
      <c r="B21302" s="2"/>
      <c r="C21302" s="15"/>
      <c r="D21302" s="2"/>
    </row>
    <row r="21303" spans="1:4" ht="12.75" customHeight="1" x14ac:dyDescent="0.2">
      <c r="B21303" s="11" t="s">
        <v>0</v>
      </c>
      <c r="C21303" s="17" t="s">
        <v>1213</v>
      </c>
      <c r="D21303" s="2"/>
    </row>
    <row r="21304" spans="1:4" ht="12.75" customHeight="1" x14ac:dyDescent="0.2">
      <c r="B21304" s="11" t="s">
        <v>2599</v>
      </c>
      <c r="C21304" s="17" t="s">
        <v>3503</v>
      </c>
      <c r="D21304" s="2"/>
    </row>
    <row r="21305" spans="1:4" ht="25.5" customHeight="1" x14ac:dyDescent="0.2">
      <c r="B21305" s="11" t="s">
        <v>2600</v>
      </c>
      <c r="C21305" s="17" t="s">
        <v>6075</v>
      </c>
      <c r="D21305" s="2"/>
    </row>
    <row r="21306" spans="1:4" ht="25.5" customHeight="1" x14ac:dyDescent="0.2">
      <c r="B21306" s="11" t="s">
        <v>2601</v>
      </c>
      <c r="C21306" s="17"/>
      <c r="D21306" s="2"/>
    </row>
    <row r="21307" spans="1:4" ht="12.75" customHeight="1" x14ac:dyDescent="0.2">
      <c r="B21307" s="11" t="s">
        <v>16</v>
      </c>
      <c r="C21307" s="17"/>
      <c r="D21307" s="2"/>
    </row>
    <row r="21308" spans="1:4" ht="12.75" customHeight="1" x14ac:dyDescent="0.2">
      <c r="B21308" s="11" t="s">
        <v>13</v>
      </c>
      <c r="C21308" s="17" t="s">
        <v>2644</v>
      </c>
      <c r="D21308" s="2"/>
    </row>
    <row r="21309" spans="1:4" ht="25.5" customHeight="1" x14ac:dyDescent="0.2">
      <c r="B21309" s="11" t="s">
        <v>2603</v>
      </c>
      <c r="C21309" s="17" t="s">
        <v>2971</v>
      </c>
      <c r="D21309" s="2"/>
    </row>
    <row r="21310" spans="1:4" ht="12.75" customHeight="1" x14ac:dyDescent="0.2">
      <c r="B21310" s="11" t="s">
        <v>2605</v>
      </c>
      <c r="C21310" s="17" t="s">
        <v>14</v>
      </c>
      <c r="D21310" s="2"/>
    </row>
    <row r="21311" spans="1:4" ht="12.75" customHeight="1" x14ac:dyDescent="0.2">
      <c r="B21311" s="11" t="s">
        <v>2606</v>
      </c>
      <c r="C21311" s="16" t="s">
        <v>19</v>
      </c>
      <c r="D21311" s="2"/>
    </row>
    <row r="21312" spans="1:4" ht="12.75" customHeight="1" x14ac:dyDescent="0.2">
      <c r="B21312" s="2"/>
      <c r="C21312" s="15"/>
      <c r="D21312" s="2"/>
    </row>
    <row r="21313" spans="1:4" ht="12.75" customHeight="1" x14ac:dyDescent="0.2">
      <c r="B21313" s="2"/>
      <c r="C21313" s="15"/>
      <c r="D21313" s="2"/>
    </row>
    <row r="21314" spans="1:4" ht="12.75" customHeight="1" x14ac:dyDescent="0.2">
      <c r="A21314" s="13" t="s">
        <v>5960</v>
      </c>
      <c r="C21314" s="12"/>
      <c r="D21314" s="2"/>
    </row>
    <row r="21315" spans="1:4" ht="12.75" customHeight="1" x14ac:dyDescent="0.2">
      <c r="A21315" s="11"/>
      <c r="B21315" s="2"/>
      <c r="C21315" s="15"/>
      <c r="D21315" s="2"/>
    </row>
    <row r="21316" spans="1:4" ht="12.75" customHeight="1" x14ac:dyDescent="0.2">
      <c r="B21316" s="11" t="s">
        <v>0</v>
      </c>
      <c r="C21316" s="17" t="s">
        <v>1213</v>
      </c>
      <c r="D21316" s="2"/>
    </row>
    <row r="21317" spans="1:4" ht="12.75" customHeight="1" x14ac:dyDescent="0.2">
      <c r="B21317" s="11" t="s">
        <v>2599</v>
      </c>
      <c r="C21317" s="17" t="s">
        <v>5961</v>
      </c>
      <c r="D21317" s="2"/>
    </row>
    <row r="21318" spans="1:4" ht="25.5" customHeight="1" x14ac:dyDescent="0.2">
      <c r="B21318" s="11" t="s">
        <v>2600</v>
      </c>
      <c r="C21318" s="17" t="s">
        <v>6076</v>
      </c>
      <c r="D21318" s="2"/>
    </row>
    <row r="21319" spans="1:4" ht="25.5" customHeight="1" x14ac:dyDescent="0.2">
      <c r="B21319" s="11" t="s">
        <v>2601</v>
      </c>
      <c r="C21319" s="17"/>
      <c r="D21319" s="2"/>
    </row>
    <row r="21320" spans="1:4" ht="12.75" customHeight="1" x14ac:dyDescent="0.2">
      <c r="B21320" s="11" t="s">
        <v>16</v>
      </c>
      <c r="C21320" s="17"/>
      <c r="D21320" s="2"/>
    </row>
    <row r="21321" spans="1:4" ht="12.75" customHeight="1" x14ac:dyDescent="0.2">
      <c r="B21321" s="11" t="s">
        <v>13</v>
      </c>
      <c r="C21321" s="17" t="s">
        <v>2644</v>
      </c>
      <c r="D21321" s="2"/>
    </row>
    <row r="21322" spans="1:4" ht="25.5" customHeight="1" x14ac:dyDescent="0.2">
      <c r="B21322" s="11" t="s">
        <v>2603</v>
      </c>
      <c r="C21322" s="17" t="s">
        <v>2971</v>
      </c>
      <c r="D21322" s="2"/>
    </row>
    <row r="21323" spans="1:4" ht="12.75" customHeight="1" x14ac:dyDescent="0.2">
      <c r="B21323" s="11" t="s">
        <v>2605</v>
      </c>
      <c r="C21323" s="17" t="s">
        <v>14</v>
      </c>
      <c r="D21323" s="2"/>
    </row>
    <row r="21324" spans="1:4" ht="12.75" customHeight="1" x14ac:dyDescent="0.2">
      <c r="B21324" s="11" t="s">
        <v>2606</v>
      </c>
      <c r="C21324" s="16" t="s">
        <v>19</v>
      </c>
      <c r="D21324" s="2"/>
    </row>
    <row r="21325" spans="1:4" ht="12.75" customHeight="1" x14ac:dyDescent="0.2">
      <c r="B21325" s="2"/>
      <c r="C21325" s="15"/>
      <c r="D21325" s="2"/>
    </row>
    <row r="21326" spans="1:4" ht="12.75" customHeight="1" x14ac:dyDescent="0.2">
      <c r="B21326" s="2"/>
      <c r="C21326" s="15"/>
      <c r="D21326" s="2"/>
    </row>
    <row r="21327" spans="1:4" ht="12.75" customHeight="1" x14ac:dyDescent="0.2">
      <c r="A21327" s="13" t="s">
        <v>6077</v>
      </c>
      <c r="C21327" s="12"/>
    </row>
    <row r="21328" spans="1:4" ht="12.75" customHeight="1" x14ac:dyDescent="0.2">
      <c r="A21328" s="11"/>
      <c r="B21328" s="2"/>
      <c r="C21328" s="15"/>
      <c r="D21328" s="2"/>
    </row>
    <row r="21329" spans="1:4" ht="12.75" customHeight="1" x14ac:dyDescent="0.2">
      <c r="B21329" s="11" t="s">
        <v>0</v>
      </c>
      <c r="C21329" s="11" t="s">
        <v>1213</v>
      </c>
    </row>
    <row r="21330" spans="1:4" ht="12.75" customHeight="1" x14ac:dyDescent="0.2">
      <c r="B21330" s="11" t="s">
        <v>2599</v>
      </c>
      <c r="C21330" s="11" t="s">
        <v>5660</v>
      </c>
    </row>
    <row r="21331" spans="1:4" ht="25.5" customHeight="1" x14ac:dyDescent="0.2">
      <c r="B21331" s="11" t="s">
        <v>2600</v>
      </c>
      <c r="C21331" s="11" t="s">
        <v>6078</v>
      </c>
    </row>
    <row r="21332" spans="1:4" ht="25.5" customHeight="1" x14ac:dyDescent="0.2">
      <c r="B21332" s="11" t="s">
        <v>2601</v>
      </c>
      <c r="C21332" s="11"/>
    </row>
    <row r="21333" spans="1:4" ht="12.75" customHeight="1" x14ac:dyDescent="0.2">
      <c r="B21333" s="11" t="s">
        <v>16</v>
      </c>
      <c r="C21333" s="11"/>
    </row>
    <row r="21334" spans="1:4" ht="12.75" customHeight="1" x14ac:dyDescent="0.2">
      <c r="B21334" s="11" t="s">
        <v>13</v>
      </c>
      <c r="C21334" s="11" t="s">
        <v>2602</v>
      </c>
    </row>
    <row r="21335" spans="1:4" ht="12.75" customHeight="1" x14ac:dyDescent="0.2">
      <c r="B21335" s="11" t="s">
        <v>2603</v>
      </c>
      <c r="C21335" s="11" t="s">
        <v>2604</v>
      </c>
    </row>
    <row r="21336" spans="1:4" ht="12.75" customHeight="1" x14ac:dyDescent="0.2">
      <c r="B21336" s="11" t="s">
        <v>2605</v>
      </c>
      <c r="C21336" s="11" t="s">
        <v>14</v>
      </c>
    </row>
    <row r="21337" spans="1:4" ht="12.75" customHeight="1" x14ac:dyDescent="0.2">
      <c r="B21337" s="11" t="s">
        <v>2606</v>
      </c>
      <c r="C21337" s="16" t="s">
        <v>67</v>
      </c>
      <c r="D21337" s="6" t="str">
        <f>HYPERLINK("javascript:void(0)","kincs")</f>
        <v>kincs</v>
      </c>
    </row>
    <row r="21338" spans="1:4" ht="12.75" customHeight="1" x14ac:dyDescent="0.2">
      <c r="B21338" s="2"/>
      <c r="C21338" s="15"/>
      <c r="D21338" s="2"/>
    </row>
    <row r="21339" spans="1:4" ht="12.75" customHeight="1" x14ac:dyDescent="0.2">
      <c r="B21339" s="2"/>
      <c r="C21339" s="15"/>
      <c r="D21339" s="2"/>
    </row>
    <row r="21340" spans="1:4" ht="12.75" customHeight="1" x14ac:dyDescent="0.2">
      <c r="A21340" s="13" t="s">
        <v>6079</v>
      </c>
      <c r="C21340" s="12"/>
    </row>
    <row r="21341" spans="1:4" ht="12.75" customHeight="1" x14ac:dyDescent="0.2">
      <c r="A21341" s="11"/>
      <c r="B21341" s="2"/>
      <c r="C21341" s="15"/>
      <c r="D21341" s="2"/>
    </row>
    <row r="21342" spans="1:4" ht="12.75" customHeight="1" x14ac:dyDescent="0.2">
      <c r="B21342" s="11" t="s">
        <v>0</v>
      </c>
      <c r="C21342" s="11" t="s">
        <v>1213</v>
      </c>
    </row>
    <row r="21343" spans="1:4" ht="12.75" customHeight="1" x14ac:dyDescent="0.2">
      <c r="B21343" s="11" t="s">
        <v>2599</v>
      </c>
      <c r="C21343" s="11" t="s">
        <v>5687</v>
      </c>
    </row>
    <row r="21344" spans="1:4" ht="25.5" customHeight="1" x14ac:dyDescent="0.2">
      <c r="B21344" s="11" t="s">
        <v>2600</v>
      </c>
      <c r="C21344" s="11" t="s">
        <v>6080</v>
      </c>
    </row>
    <row r="21345" spans="1:4" ht="25.5" customHeight="1" x14ac:dyDescent="0.2">
      <c r="B21345" s="11" t="s">
        <v>2601</v>
      </c>
      <c r="C21345" s="11"/>
    </row>
    <row r="21346" spans="1:4" ht="12.75" customHeight="1" x14ac:dyDescent="0.2">
      <c r="B21346" s="11" t="s">
        <v>16</v>
      </c>
      <c r="C21346" s="11"/>
    </row>
    <row r="21347" spans="1:4" ht="12.75" customHeight="1" x14ac:dyDescent="0.2">
      <c r="B21347" s="11" t="s">
        <v>13</v>
      </c>
      <c r="C21347" s="11" t="s">
        <v>2602</v>
      </c>
    </row>
    <row r="21348" spans="1:4" ht="12.75" customHeight="1" x14ac:dyDescent="0.2">
      <c r="B21348" s="11" t="s">
        <v>2603</v>
      </c>
      <c r="C21348" s="11" t="s">
        <v>2604</v>
      </c>
    </row>
    <row r="21349" spans="1:4" ht="12.75" customHeight="1" x14ac:dyDescent="0.2">
      <c r="B21349" s="11" t="s">
        <v>2605</v>
      </c>
      <c r="C21349" s="11" t="s">
        <v>14</v>
      </c>
    </row>
    <row r="21350" spans="1:4" ht="12.75" customHeight="1" x14ac:dyDescent="0.2">
      <c r="B21350" s="11" t="s">
        <v>2606</v>
      </c>
      <c r="C21350" s="16" t="s">
        <v>2309</v>
      </c>
      <c r="D21350" s="6" t="str">
        <f>HYPERLINK("javascript:void(0)","ezüst")</f>
        <v>ezüst</v>
      </c>
    </row>
    <row r="21351" spans="1:4" ht="12.75" customHeight="1" x14ac:dyDescent="0.2">
      <c r="C21351" s="16" t="s">
        <v>117</v>
      </c>
      <c r="D21351" s="6" t="str">
        <f>HYPERLINK("javascript:void(0)","kincs")</f>
        <v>kincs</v>
      </c>
    </row>
    <row r="21352" spans="1:4" ht="12.75" customHeight="1" x14ac:dyDescent="0.2">
      <c r="B21352" s="2"/>
      <c r="C21352" s="15"/>
      <c r="D21352" s="2"/>
    </row>
    <row r="21353" spans="1:4" ht="12.75" customHeight="1" x14ac:dyDescent="0.2">
      <c r="B21353" s="2"/>
      <c r="C21353" s="15"/>
      <c r="D21353" s="2"/>
    </row>
    <row r="21354" spans="1:4" ht="12.75" customHeight="1" x14ac:dyDescent="0.2">
      <c r="A21354" s="13" t="s">
        <v>6082</v>
      </c>
      <c r="C21354" s="12"/>
    </row>
    <row r="21355" spans="1:4" ht="12.75" customHeight="1" x14ac:dyDescent="0.2">
      <c r="A21355" s="11"/>
      <c r="B21355" s="2"/>
      <c r="C21355" s="15"/>
      <c r="D21355" s="2"/>
    </row>
    <row r="21356" spans="1:4" ht="12.75" customHeight="1" x14ac:dyDescent="0.2">
      <c r="B21356" s="11" t="s">
        <v>0</v>
      </c>
      <c r="C21356" s="11" t="s">
        <v>1213</v>
      </c>
    </row>
    <row r="21357" spans="1:4" ht="12.75" customHeight="1" x14ac:dyDescent="0.2">
      <c r="B21357" s="11" t="s">
        <v>2599</v>
      </c>
      <c r="C21357" s="11" t="s">
        <v>5684</v>
      </c>
    </row>
    <row r="21358" spans="1:4" ht="25.5" customHeight="1" x14ac:dyDescent="0.2">
      <c r="B21358" s="11" t="s">
        <v>2600</v>
      </c>
      <c r="C21358" s="11" t="s">
        <v>6083</v>
      </c>
    </row>
    <row r="21359" spans="1:4" ht="25.5" customHeight="1" x14ac:dyDescent="0.2">
      <c r="B21359" s="11" t="s">
        <v>2601</v>
      </c>
      <c r="C21359" s="11"/>
    </row>
    <row r="21360" spans="1:4" ht="12.75" customHeight="1" x14ac:dyDescent="0.2">
      <c r="B21360" s="11" t="s">
        <v>16</v>
      </c>
      <c r="C21360" s="11"/>
    </row>
    <row r="21361" spans="1:4" ht="12.75" customHeight="1" x14ac:dyDescent="0.2">
      <c r="B21361" s="11" t="s">
        <v>13</v>
      </c>
      <c r="C21361" s="11" t="s">
        <v>2602</v>
      </c>
    </row>
    <row r="21362" spans="1:4" ht="12.75" customHeight="1" x14ac:dyDescent="0.2">
      <c r="B21362" s="11" t="s">
        <v>2603</v>
      </c>
      <c r="C21362" s="11" t="s">
        <v>2604</v>
      </c>
    </row>
    <row r="21363" spans="1:4" ht="12.75" customHeight="1" x14ac:dyDescent="0.2">
      <c r="B21363" s="11" t="s">
        <v>2605</v>
      </c>
      <c r="C21363" s="11" t="s">
        <v>14</v>
      </c>
    </row>
    <row r="21364" spans="1:4" ht="12.75" customHeight="1" x14ac:dyDescent="0.2">
      <c r="B21364" s="11" t="s">
        <v>2606</v>
      </c>
      <c r="C21364" s="16" t="s">
        <v>67</v>
      </c>
      <c r="D21364" s="6" t="str">
        <f>HYPERLINK("javascript:void(0)","kincs")</f>
        <v>kincs</v>
      </c>
    </row>
    <row r="21365" spans="1:4" ht="25.5" customHeight="1" x14ac:dyDescent="0.2">
      <c r="C21365" s="16" t="s">
        <v>44</v>
      </c>
      <c r="D21365" s="6" t="str">
        <f>HYPERLINK("javascript:void(0)","szellemszurony")</f>
        <v>szellemszurony</v>
      </c>
    </row>
    <row r="21366" spans="1:4" ht="12.75" customHeight="1" x14ac:dyDescent="0.2">
      <c r="B21366" s="2"/>
      <c r="C21366" s="15"/>
      <c r="D21366" s="2"/>
    </row>
    <row r="21367" spans="1:4" ht="12.75" customHeight="1" x14ac:dyDescent="0.2">
      <c r="B21367" s="2"/>
      <c r="C21367" s="15"/>
      <c r="D21367" s="2"/>
    </row>
    <row r="21368" spans="1:4" ht="12.75" customHeight="1" x14ac:dyDescent="0.2">
      <c r="A21368" s="13" t="s">
        <v>6084</v>
      </c>
      <c r="C21368" s="12"/>
    </row>
    <row r="21369" spans="1:4" ht="12.75" customHeight="1" x14ac:dyDescent="0.2">
      <c r="A21369" s="11"/>
      <c r="B21369" s="2"/>
      <c r="C21369" s="15"/>
      <c r="D21369" s="2"/>
    </row>
    <row r="21370" spans="1:4" ht="12.75" customHeight="1" x14ac:dyDescent="0.2">
      <c r="B21370" s="11" t="s">
        <v>0</v>
      </c>
      <c r="C21370" s="11" t="s">
        <v>1213</v>
      </c>
    </row>
    <row r="21371" spans="1:4" ht="12.75" customHeight="1" x14ac:dyDescent="0.2">
      <c r="B21371" s="11" t="s">
        <v>2599</v>
      </c>
      <c r="C21371" s="11" t="s">
        <v>6085</v>
      </c>
    </row>
    <row r="21372" spans="1:4" ht="25.5" customHeight="1" x14ac:dyDescent="0.2">
      <c r="B21372" s="11" t="s">
        <v>2600</v>
      </c>
      <c r="C21372" s="11" t="s">
        <v>6086</v>
      </c>
    </row>
    <row r="21373" spans="1:4" ht="25.5" customHeight="1" x14ac:dyDescent="0.2">
      <c r="B21373" s="11" t="s">
        <v>2601</v>
      </c>
      <c r="C21373" s="11"/>
    </row>
    <row r="21374" spans="1:4" ht="12.75" customHeight="1" x14ac:dyDescent="0.2">
      <c r="B21374" s="11" t="s">
        <v>16</v>
      </c>
      <c r="C21374" s="11"/>
    </row>
    <row r="21375" spans="1:4" ht="12.75" customHeight="1" x14ac:dyDescent="0.2">
      <c r="B21375" s="11" t="s">
        <v>13</v>
      </c>
      <c r="C21375" s="11" t="s">
        <v>2602</v>
      </c>
    </row>
    <row r="21376" spans="1:4" ht="12.75" customHeight="1" x14ac:dyDescent="0.2">
      <c r="B21376" s="11" t="s">
        <v>2603</v>
      </c>
      <c r="C21376" s="11" t="s">
        <v>2604</v>
      </c>
    </row>
    <row r="21377" spans="1:4" ht="12.75" customHeight="1" x14ac:dyDescent="0.2">
      <c r="B21377" s="11" t="s">
        <v>2605</v>
      </c>
      <c r="C21377" s="11" t="s">
        <v>14</v>
      </c>
    </row>
    <row r="21378" spans="1:4" ht="25.5" customHeight="1" x14ac:dyDescent="0.2">
      <c r="B21378" s="11" t="s">
        <v>2606</v>
      </c>
      <c r="C21378" s="16" t="s">
        <v>55</v>
      </c>
      <c r="D21378" s="6" t="str">
        <f>HYPERLINK("javascript:void(0)","sárkánypikkely")</f>
        <v>sárkánypikkely</v>
      </c>
    </row>
    <row r="21379" spans="1:4" ht="25.5" customHeight="1" x14ac:dyDescent="0.2">
      <c r="C21379" s="16" t="s">
        <v>44</v>
      </c>
      <c r="D21379" s="6" t="str">
        <f>HYPERLINK("javascript:void(0)","sárkány szarv")</f>
        <v>sárkány szarv</v>
      </c>
    </row>
    <row r="21380" spans="1:4" ht="12.75" customHeight="1" x14ac:dyDescent="0.2">
      <c r="C21380" s="16" t="s">
        <v>44</v>
      </c>
      <c r="D21380" s="6" t="str">
        <f>HYPERLINK("javascript:void(0)","kincs")</f>
        <v>kincs</v>
      </c>
    </row>
    <row r="21381" spans="1:4" ht="25.5" customHeight="1" x14ac:dyDescent="0.2">
      <c r="C21381" s="16" t="s">
        <v>44</v>
      </c>
      <c r="D21381" s="6" t="str">
        <f>HYPERLINK("javascript:void(0)","sárkányzsák")</f>
        <v>sárkányzsák</v>
      </c>
    </row>
    <row r="21382" spans="1:4" ht="12.75" customHeight="1" x14ac:dyDescent="0.2">
      <c r="B21382" s="2"/>
      <c r="C21382" s="15"/>
      <c r="D21382" s="2"/>
    </row>
    <row r="21383" spans="1:4" ht="12.75" customHeight="1" x14ac:dyDescent="0.2">
      <c r="B21383" s="2"/>
      <c r="C21383" s="15"/>
      <c r="D21383" s="2"/>
    </row>
    <row r="21384" spans="1:4" ht="12.75" customHeight="1" x14ac:dyDescent="0.2">
      <c r="A21384" s="13" t="s">
        <v>6088</v>
      </c>
      <c r="C21384" s="12"/>
    </row>
    <row r="21385" spans="1:4" ht="12.75" customHeight="1" x14ac:dyDescent="0.2">
      <c r="A21385" s="11"/>
      <c r="B21385" s="2"/>
      <c r="C21385" s="15"/>
      <c r="D21385" s="2"/>
    </row>
    <row r="21386" spans="1:4" ht="12.75" customHeight="1" x14ac:dyDescent="0.2">
      <c r="B21386" s="11" t="s">
        <v>0</v>
      </c>
      <c r="C21386" s="11" t="s">
        <v>1213</v>
      </c>
    </row>
    <row r="21387" spans="1:4" ht="12.75" customHeight="1" x14ac:dyDescent="0.2">
      <c r="B21387" s="11" t="s">
        <v>2599</v>
      </c>
      <c r="C21387" s="11" t="s">
        <v>1127</v>
      </c>
    </row>
    <row r="21388" spans="1:4" ht="25.5" customHeight="1" x14ac:dyDescent="0.2">
      <c r="B21388" s="11" t="s">
        <v>2600</v>
      </c>
      <c r="C21388" s="11" t="s">
        <v>6089</v>
      </c>
    </row>
    <row r="21389" spans="1:4" ht="25.5" customHeight="1" x14ac:dyDescent="0.2">
      <c r="B21389" s="11" t="s">
        <v>2601</v>
      </c>
      <c r="C21389" s="11"/>
    </row>
    <row r="21390" spans="1:4" ht="12.75" customHeight="1" x14ac:dyDescent="0.2">
      <c r="B21390" s="11" t="s">
        <v>16</v>
      </c>
      <c r="C21390" s="11"/>
    </row>
    <row r="21391" spans="1:4" ht="12.75" customHeight="1" x14ac:dyDescent="0.2">
      <c r="B21391" s="11" t="s">
        <v>13</v>
      </c>
      <c r="C21391" s="11" t="s">
        <v>2644</v>
      </c>
    </row>
    <row r="21392" spans="1:4" ht="12.75" customHeight="1" x14ac:dyDescent="0.2">
      <c r="B21392" s="11" t="s">
        <v>2603</v>
      </c>
      <c r="C21392" s="11" t="s">
        <v>2604</v>
      </c>
    </row>
    <row r="21393" spans="1:4" ht="12.75" customHeight="1" x14ac:dyDescent="0.2">
      <c r="B21393" s="11" t="s">
        <v>2605</v>
      </c>
      <c r="C21393" s="11" t="s">
        <v>24</v>
      </c>
    </row>
    <row r="21394" spans="1:4" ht="12.75" customHeight="1" x14ac:dyDescent="0.2">
      <c r="B21394" s="11" t="s">
        <v>2606</v>
      </c>
      <c r="C21394" s="16" t="s">
        <v>6090</v>
      </c>
      <c r="D21394" s="6" t="str">
        <f>HYPERLINK("javascript:void(0)","ezüst")</f>
        <v>ezüst</v>
      </c>
    </row>
    <row r="21395" spans="1:4" ht="12.75" customHeight="1" x14ac:dyDescent="0.2">
      <c r="C21395" s="16" t="s">
        <v>77</v>
      </c>
      <c r="D21395" s="6" t="str">
        <f>HYPERLINK("javascript:void(0)","aquaakta")</f>
        <v>aquaakta</v>
      </c>
    </row>
    <row r="21396" spans="1:4" ht="12.75" customHeight="1" x14ac:dyDescent="0.2">
      <c r="B21396" s="2"/>
      <c r="C21396" s="15"/>
      <c r="D21396" s="2"/>
    </row>
    <row r="21397" spans="1:4" ht="12.75" customHeight="1" x14ac:dyDescent="0.2">
      <c r="B21397" s="2"/>
      <c r="C21397" s="15"/>
      <c r="D21397" s="2"/>
    </row>
    <row r="21398" spans="1:4" ht="12.75" customHeight="1" x14ac:dyDescent="0.2">
      <c r="A21398" s="13" t="s">
        <v>6094</v>
      </c>
      <c r="C21398" s="12"/>
    </row>
    <row r="21399" spans="1:4" ht="12.75" customHeight="1" x14ac:dyDescent="0.2">
      <c r="A21399" s="11"/>
      <c r="B21399" s="2"/>
      <c r="C21399" s="15"/>
      <c r="D21399" s="2"/>
    </row>
    <row r="21400" spans="1:4" ht="12.75" customHeight="1" x14ac:dyDescent="0.2">
      <c r="B21400" s="11" t="s">
        <v>0</v>
      </c>
      <c r="C21400" s="11" t="s">
        <v>1213</v>
      </c>
    </row>
    <row r="21401" spans="1:4" ht="12.75" customHeight="1" x14ac:dyDescent="0.2">
      <c r="B21401" s="11" t="s">
        <v>2599</v>
      </c>
      <c r="C21401" s="11" t="s">
        <v>6095</v>
      </c>
    </row>
    <row r="21402" spans="1:4" ht="25.5" customHeight="1" x14ac:dyDescent="0.2">
      <c r="B21402" s="11" t="s">
        <v>2600</v>
      </c>
      <c r="C21402" s="11" t="s">
        <v>6096</v>
      </c>
    </row>
    <row r="21403" spans="1:4" ht="25.5" customHeight="1" x14ac:dyDescent="0.2">
      <c r="B21403" s="11" t="s">
        <v>2601</v>
      </c>
      <c r="C21403" s="11"/>
    </row>
    <row r="21404" spans="1:4" ht="12.75" customHeight="1" x14ac:dyDescent="0.2">
      <c r="B21404" s="11" t="s">
        <v>16</v>
      </c>
      <c r="C21404" s="11"/>
    </row>
    <row r="21405" spans="1:4" ht="12.75" customHeight="1" x14ac:dyDescent="0.2">
      <c r="B21405" s="11" t="s">
        <v>13</v>
      </c>
      <c r="C21405" s="11" t="s">
        <v>2644</v>
      </c>
    </row>
    <row r="21406" spans="1:4" ht="12.75" customHeight="1" x14ac:dyDescent="0.2">
      <c r="B21406" s="11" t="s">
        <v>2603</v>
      </c>
      <c r="C21406" s="11" t="s">
        <v>2604</v>
      </c>
    </row>
    <row r="21407" spans="1:4" ht="12.75" customHeight="1" x14ac:dyDescent="0.2">
      <c r="B21407" s="11" t="s">
        <v>2605</v>
      </c>
      <c r="C21407" s="11" t="s">
        <v>24</v>
      </c>
    </row>
    <row r="21408" spans="1:4" ht="12.75" customHeight="1" x14ac:dyDescent="0.2">
      <c r="B21408" s="11" t="s">
        <v>2606</v>
      </c>
      <c r="C21408" s="16" t="s">
        <v>68</v>
      </c>
      <c r="D21408" s="6" t="str">
        <f>HYPERLINK("javascript:void(0)","démontoll")</f>
        <v>démontoll</v>
      </c>
    </row>
    <row r="21409" spans="1:4" ht="12.75" customHeight="1" x14ac:dyDescent="0.2">
      <c r="B21409" s="2"/>
      <c r="C21409" s="15"/>
      <c r="D21409" s="2"/>
    </row>
    <row r="21410" spans="1:4" ht="12.75" customHeight="1" x14ac:dyDescent="0.2">
      <c r="B21410" s="2"/>
      <c r="C21410" s="15"/>
      <c r="D21410" s="2"/>
    </row>
    <row r="21411" spans="1:4" ht="12.75" customHeight="1" x14ac:dyDescent="0.2">
      <c r="A21411" s="13" t="s">
        <v>6097</v>
      </c>
      <c r="C21411" s="12"/>
    </row>
    <row r="21412" spans="1:4" ht="12.75" customHeight="1" x14ac:dyDescent="0.2">
      <c r="A21412" s="11"/>
      <c r="B21412" s="2"/>
      <c r="C21412" s="15"/>
      <c r="D21412" s="2"/>
    </row>
    <row r="21413" spans="1:4" ht="12.75" customHeight="1" x14ac:dyDescent="0.2">
      <c r="B21413" s="11" t="s">
        <v>0</v>
      </c>
      <c r="C21413" s="11" t="s">
        <v>1213</v>
      </c>
    </row>
    <row r="21414" spans="1:4" ht="12.75" customHeight="1" x14ac:dyDescent="0.2">
      <c r="B21414" s="11" t="s">
        <v>2599</v>
      </c>
      <c r="C21414" s="11" t="s">
        <v>6098</v>
      </c>
    </row>
    <row r="21415" spans="1:4" ht="25.5" customHeight="1" x14ac:dyDescent="0.2">
      <c r="B21415" s="11" t="s">
        <v>2600</v>
      </c>
      <c r="C21415" s="11" t="s">
        <v>6099</v>
      </c>
    </row>
    <row r="21416" spans="1:4" ht="25.5" customHeight="1" x14ac:dyDescent="0.2">
      <c r="B21416" s="11" t="s">
        <v>2601</v>
      </c>
      <c r="C21416" s="11"/>
    </row>
    <row r="21417" spans="1:4" ht="12.75" customHeight="1" x14ac:dyDescent="0.2">
      <c r="B21417" s="11" t="s">
        <v>16</v>
      </c>
      <c r="C21417" s="11"/>
    </row>
    <row r="21418" spans="1:4" ht="12.75" customHeight="1" x14ac:dyDescent="0.2">
      <c r="B21418" s="11" t="s">
        <v>13</v>
      </c>
      <c r="C21418" s="11" t="s">
        <v>2644</v>
      </c>
    </row>
    <row r="21419" spans="1:4" ht="12.75" customHeight="1" x14ac:dyDescent="0.2">
      <c r="B21419" s="11" t="s">
        <v>2603</v>
      </c>
      <c r="C21419" s="11" t="s">
        <v>2604</v>
      </c>
    </row>
    <row r="21420" spans="1:4" ht="12.75" customHeight="1" x14ac:dyDescent="0.2">
      <c r="B21420" s="11" t="s">
        <v>2605</v>
      </c>
      <c r="C21420" s="11" t="s">
        <v>24</v>
      </c>
    </row>
    <row r="21421" spans="1:4" ht="25.5" customHeight="1" x14ac:dyDescent="0.2">
      <c r="B21421" s="11" t="s">
        <v>2606</v>
      </c>
      <c r="C21421" s="16" t="s">
        <v>56</v>
      </c>
      <c r="D21421" s="6" t="str">
        <f>HYPERLINK("javascript:void(0)","hidracél fejsze")</f>
        <v>hidracél fejsze</v>
      </c>
    </row>
    <row r="21422" spans="1:4" ht="12.75" customHeight="1" x14ac:dyDescent="0.2">
      <c r="C21422" s="16" t="s">
        <v>55</v>
      </c>
      <c r="D21422" s="6" t="str">
        <f>HYPERLINK("javascript:void(0)","kéreg")</f>
        <v>kéreg</v>
      </c>
    </row>
    <row r="21423" spans="1:4" ht="12.75" customHeight="1" x14ac:dyDescent="0.2">
      <c r="B21423" s="2"/>
      <c r="C21423" s="15"/>
      <c r="D21423" s="2"/>
    </row>
    <row r="21424" spans="1:4" ht="12.75" customHeight="1" x14ac:dyDescent="0.2">
      <c r="B21424" s="2"/>
      <c r="C21424" s="15"/>
      <c r="D21424" s="2"/>
    </row>
    <row r="21425" spans="1:4" ht="12.75" customHeight="1" x14ac:dyDescent="0.2">
      <c r="A21425" s="13" t="s">
        <v>6100</v>
      </c>
      <c r="C21425" s="12"/>
    </row>
    <row r="21426" spans="1:4" ht="12.75" customHeight="1" x14ac:dyDescent="0.2">
      <c r="A21426" s="11"/>
      <c r="B21426" s="2"/>
      <c r="C21426" s="15"/>
      <c r="D21426" s="2"/>
    </row>
    <row r="21427" spans="1:4" ht="12.75" customHeight="1" x14ac:dyDescent="0.2">
      <c r="B21427" s="11" t="s">
        <v>0</v>
      </c>
      <c r="C21427" s="11" t="s">
        <v>1213</v>
      </c>
    </row>
    <row r="21428" spans="1:4" ht="12.75" customHeight="1" x14ac:dyDescent="0.2">
      <c r="B21428" s="11" t="s">
        <v>2599</v>
      </c>
      <c r="C21428" s="11" t="s">
        <v>4052</v>
      </c>
    </row>
    <row r="21429" spans="1:4" ht="25.5" customHeight="1" x14ac:dyDescent="0.2">
      <c r="B21429" s="11" t="s">
        <v>2600</v>
      </c>
      <c r="C21429" s="11" t="s">
        <v>6101</v>
      </c>
    </row>
    <row r="21430" spans="1:4" ht="25.5" customHeight="1" x14ac:dyDescent="0.2">
      <c r="B21430" s="11" t="s">
        <v>2601</v>
      </c>
      <c r="C21430" s="11"/>
    </row>
    <row r="21431" spans="1:4" ht="12.75" customHeight="1" x14ac:dyDescent="0.2">
      <c r="B21431" s="11" t="s">
        <v>16</v>
      </c>
      <c r="C21431" s="11"/>
    </row>
    <row r="21432" spans="1:4" ht="12.75" customHeight="1" x14ac:dyDescent="0.2">
      <c r="B21432" s="11" t="s">
        <v>13</v>
      </c>
      <c r="C21432" s="11" t="s">
        <v>2644</v>
      </c>
    </row>
    <row r="21433" spans="1:4" ht="12.75" customHeight="1" x14ac:dyDescent="0.2">
      <c r="B21433" s="11" t="s">
        <v>2603</v>
      </c>
      <c r="C21433" s="11" t="s">
        <v>2604</v>
      </c>
    </row>
    <row r="21434" spans="1:4" ht="12.75" customHeight="1" x14ac:dyDescent="0.2">
      <c r="B21434" s="11" t="s">
        <v>2605</v>
      </c>
      <c r="C21434" s="11" t="s">
        <v>24</v>
      </c>
    </row>
    <row r="21435" spans="1:4" ht="12.75" customHeight="1" x14ac:dyDescent="0.2">
      <c r="B21435" s="11" t="s">
        <v>2606</v>
      </c>
      <c r="C21435" s="16" t="s">
        <v>44</v>
      </c>
      <c r="D21435" s="6" t="str">
        <f>HYPERLINK("javascript:void(0)","lombik")</f>
        <v>lombik</v>
      </c>
    </row>
    <row r="21436" spans="1:4" ht="12.75" customHeight="1" x14ac:dyDescent="0.2">
      <c r="B21436" s="2"/>
      <c r="C21436" s="15"/>
      <c r="D21436" s="2"/>
    </row>
    <row r="21437" spans="1:4" ht="12.75" customHeight="1" x14ac:dyDescent="0.2">
      <c r="B21437" s="2"/>
      <c r="C21437" s="15"/>
      <c r="D21437" s="2"/>
    </row>
    <row r="21438" spans="1:4" ht="12.75" customHeight="1" x14ac:dyDescent="0.2">
      <c r="A21438" s="13" t="s">
        <v>5986</v>
      </c>
      <c r="C21438" s="12"/>
      <c r="D21438" s="2"/>
    </row>
    <row r="21439" spans="1:4" ht="12.75" customHeight="1" x14ac:dyDescent="0.2">
      <c r="A21439" s="11"/>
      <c r="B21439" s="2"/>
      <c r="C21439" s="15"/>
      <c r="D21439" s="2"/>
    </row>
    <row r="21440" spans="1:4" ht="12.75" customHeight="1" x14ac:dyDescent="0.2">
      <c r="B21440" s="11" t="s">
        <v>0</v>
      </c>
      <c r="C21440" s="17" t="s">
        <v>1213</v>
      </c>
      <c r="D21440" s="2"/>
    </row>
    <row r="21441" spans="1:4" ht="12.75" customHeight="1" x14ac:dyDescent="0.2">
      <c r="B21441" s="11" t="s">
        <v>2599</v>
      </c>
      <c r="C21441" s="17" t="s">
        <v>5987</v>
      </c>
      <c r="D21441" s="2"/>
    </row>
    <row r="21442" spans="1:4" ht="25.5" customHeight="1" x14ac:dyDescent="0.2">
      <c r="B21442" s="11" t="s">
        <v>2600</v>
      </c>
      <c r="C21442" s="17" t="s">
        <v>6102</v>
      </c>
      <c r="D21442" s="2"/>
    </row>
    <row r="21443" spans="1:4" ht="25.5" customHeight="1" x14ac:dyDescent="0.2">
      <c r="B21443" s="11" t="s">
        <v>2601</v>
      </c>
      <c r="C21443" s="17"/>
      <c r="D21443" s="2"/>
    </row>
    <row r="21444" spans="1:4" ht="12.75" customHeight="1" x14ac:dyDescent="0.2">
      <c r="B21444" s="11" t="s">
        <v>16</v>
      </c>
      <c r="C21444" s="17"/>
      <c r="D21444" s="2"/>
    </row>
    <row r="21445" spans="1:4" ht="12.75" customHeight="1" x14ac:dyDescent="0.2">
      <c r="B21445" s="11" t="s">
        <v>13</v>
      </c>
      <c r="C21445" s="17" t="s">
        <v>2602</v>
      </c>
      <c r="D21445" s="2"/>
    </row>
    <row r="21446" spans="1:4" ht="25.5" customHeight="1" x14ac:dyDescent="0.2">
      <c r="B21446" s="11" t="s">
        <v>2603</v>
      </c>
      <c r="C21446" s="17" t="s">
        <v>2971</v>
      </c>
      <c r="D21446" s="2"/>
    </row>
    <row r="21447" spans="1:4" ht="12.75" customHeight="1" x14ac:dyDescent="0.2">
      <c r="B21447" s="11" t="s">
        <v>2605</v>
      </c>
      <c r="C21447" s="17" t="s">
        <v>14</v>
      </c>
      <c r="D21447" s="2"/>
    </row>
    <row r="21448" spans="1:4" ht="12.75" customHeight="1" x14ac:dyDescent="0.2">
      <c r="B21448" s="11" t="s">
        <v>2606</v>
      </c>
      <c r="C21448" s="16" t="s">
        <v>19</v>
      </c>
      <c r="D21448" s="2"/>
    </row>
    <row r="21449" spans="1:4" ht="12.75" customHeight="1" x14ac:dyDescent="0.2">
      <c r="B21449" s="2"/>
      <c r="C21449" s="15"/>
      <c r="D21449" s="2"/>
    </row>
    <row r="21450" spans="1:4" ht="12.75" customHeight="1" x14ac:dyDescent="0.2">
      <c r="B21450" s="2"/>
      <c r="C21450" s="15"/>
      <c r="D21450" s="2"/>
    </row>
    <row r="21451" spans="1:4" ht="12.75" customHeight="1" x14ac:dyDescent="0.2">
      <c r="A21451" s="13" t="s">
        <v>6103</v>
      </c>
      <c r="C21451" s="12"/>
      <c r="D21451" s="2"/>
    </row>
    <row r="21452" spans="1:4" ht="12.75" customHeight="1" x14ac:dyDescent="0.2">
      <c r="A21452" s="11"/>
      <c r="B21452" s="2"/>
      <c r="C21452" s="15"/>
      <c r="D21452" s="2"/>
    </row>
    <row r="21453" spans="1:4" ht="12.75" customHeight="1" x14ac:dyDescent="0.2">
      <c r="B21453" s="11" t="s">
        <v>0</v>
      </c>
      <c r="C21453" s="17" t="s">
        <v>230</v>
      </c>
      <c r="D21453" s="2"/>
    </row>
    <row r="21454" spans="1:4" ht="12.75" customHeight="1" x14ac:dyDescent="0.2">
      <c r="B21454" s="11" t="s">
        <v>2599</v>
      </c>
      <c r="C21454" s="17" t="s">
        <v>1977</v>
      </c>
      <c r="D21454" s="2"/>
    </row>
    <row r="21455" spans="1:4" ht="25.5" customHeight="1" x14ac:dyDescent="0.2">
      <c r="B21455" s="11" t="s">
        <v>2600</v>
      </c>
      <c r="C21455" s="17" t="s">
        <v>6104</v>
      </c>
      <c r="D21455" s="2"/>
    </row>
    <row r="21456" spans="1:4" ht="25.5" customHeight="1" x14ac:dyDescent="0.2">
      <c r="B21456" s="11" t="s">
        <v>2601</v>
      </c>
      <c r="C21456" s="17"/>
      <c r="D21456" s="2"/>
    </row>
    <row r="21457" spans="1:4" ht="12.75" customHeight="1" x14ac:dyDescent="0.2">
      <c r="B21457" s="11" t="s">
        <v>16</v>
      </c>
      <c r="C21457" s="17"/>
      <c r="D21457" s="2"/>
    </row>
    <row r="21458" spans="1:4" ht="12.75" customHeight="1" x14ac:dyDescent="0.2">
      <c r="B21458" s="11" t="s">
        <v>13</v>
      </c>
      <c r="C21458" s="17" t="s">
        <v>2602</v>
      </c>
      <c r="D21458" s="2"/>
    </row>
    <row r="21459" spans="1:4" ht="25.5" customHeight="1" x14ac:dyDescent="0.2">
      <c r="B21459" s="11" t="s">
        <v>2603</v>
      </c>
      <c r="C21459" s="17" t="s">
        <v>2971</v>
      </c>
      <c r="D21459" s="2"/>
    </row>
    <row r="21460" spans="1:4" ht="12.75" customHeight="1" x14ac:dyDescent="0.2">
      <c r="B21460" s="11" t="s">
        <v>2605</v>
      </c>
      <c r="C21460" s="17" t="s">
        <v>14</v>
      </c>
      <c r="D21460" s="2"/>
    </row>
    <row r="21461" spans="1:4" ht="12.75" customHeight="1" x14ac:dyDescent="0.2">
      <c r="B21461" s="11" t="s">
        <v>2606</v>
      </c>
      <c r="C21461" s="16" t="s">
        <v>19</v>
      </c>
      <c r="D21461" s="2"/>
    </row>
    <row r="21462" spans="1:4" ht="12.75" customHeight="1" x14ac:dyDescent="0.2">
      <c r="B21462" s="2"/>
      <c r="C21462" s="15"/>
      <c r="D21462" s="2"/>
    </row>
    <row r="21463" spans="1:4" ht="12.75" customHeight="1" x14ac:dyDescent="0.2">
      <c r="B21463" s="2"/>
      <c r="C21463" s="15"/>
      <c r="D21463" s="2"/>
    </row>
    <row r="21464" spans="1:4" ht="12.75" customHeight="1" x14ac:dyDescent="0.2">
      <c r="A21464" s="13" t="s">
        <v>6105</v>
      </c>
      <c r="C21464" s="12"/>
      <c r="D21464" s="2"/>
    </row>
    <row r="21465" spans="1:4" ht="12.75" customHeight="1" x14ac:dyDescent="0.2">
      <c r="A21465" s="11"/>
      <c r="B21465" s="2"/>
      <c r="C21465" s="15"/>
      <c r="D21465" s="2"/>
    </row>
    <row r="21466" spans="1:4" ht="12.75" customHeight="1" x14ac:dyDescent="0.2">
      <c r="B21466" s="11" t="s">
        <v>0</v>
      </c>
      <c r="C21466" s="17" t="s">
        <v>230</v>
      </c>
      <c r="D21466" s="2"/>
    </row>
    <row r="21467" spans="1:4" ht="12.75" customHeight="1" x14ac:dyDescent="0.2">
      <c r="B21467" s="11" t="s">
        <v>2599</v>
      </c>
      <c r="C21467" s="17" t="s">
        <v>3416</v>
      </c>
      <c r="D21467" s="2"/>
    </row>
    <row r="21468" spans="1:4" ht="25.5" customHeight="1" x14ac:dyDescent="0.2">
      <c r="B21468" s="11" t="s">
        <v>2600</v>
      </c>
      <c r="C21468" s="17" t="s">
        <v>6106</v>
      </c>
      <c r="D21468" s="2"/>
    </row>
    <row r="21469" spans="1:4" ht="25.5" customHeight="1" x14ac:dyDescent="0.2">
      <c r="B21469" s="11" t="s">
        <v>2601</v>
      </c>
      <c r="C21469" s="17"/>
      <c r="D21469" s="2"/>
    </row>
    <row r="21470" spans="1:4" ht="12.75" customHeight="1" x14ac:dyDescent="0.2">
      <c r="B21470" s="11" t="s">
        <v>16</v>
      </c>
      <c r="C21470" s="17"/>
      <c r="D21470" s="2"/>
    </row>
    <row r="21471" spans="1:4" ht="12.75" customHeight="1" x14ac:dyDescent="0.2">
      <c r="B21471" s="11" t="s">
        <v>13</v>
      </c>
      <c r="C21471" s="17" t="s">
        <v>2644</v>
      </c>
      <c r="D21471" s="2"/>
    </row>
    <row r="21472" spans="1:4" ht="25.5" customHeight="1" x14ac:dyDescent="0.2">
      <c r="B21472" s="11" t="s">
        <v>2603</v>
      </c>
      <c r="C21472" s="17" t="s">
        <v>2971</v>
      </c>
      <c r="D21472" s="2"/>
    </row>
    <row r="21473" spans="1:4" ht="12.75" customHeight="1" x14ac:dyDescent="0.2">
      <c r="B21473" s="11" t="s">
        <v>2605</v>
      </c>
      <c r="C21473" s="17" t="s">
        <v>14</v>
      </c>
      <c r="D21473" s="2"/>
    </row>
    <row r="21474" spans="1:4" ht="12.75" customHeight="1" x14ac:dyDescent="0.2">
      <c r="B21474" s="11" t="s">
        <v>2606</v>
      </c>
      <c r="C21474" s="16" t="s">
        <v>19</v>
      </c>
      <c r="D21474" s="2"/>
    </row>
    <row r="21475" spans="1:4" ht="12.75" customHeight="1" x14ac:dyDescent="0.2">
      <c r="B21475" s="2"/>
      <c r="C21475" s="15"/>
      <c r="D21475" s="2"/>
    </row>
    <row r="21476" spans="1:4" ht="12.75" customHeight="1" x14ac:dyDescent="0.2">
      <c r="B21476" s="2"/>
      <c r="C21476" s="15"/>
      <c r="D21476" s="2"/>
    </row>
    <row r="21477" spans="1:4" ht="12.75" customHeight="1" x14ac:dyDescent="0.2">
      <c r="A21477" s="13" t="s">
        <v>6108</v>
      </c>
      <c r="C21477" s="12"/>
      <c r="D21477" s="2"/>
    </row>
    <row r="21478" spans="1:4" ht="12.75" customHeight="1" x14ac:dyDescent="0.2">
      <c r="A21478" s="11"/>
      <c r="B21478" s="2"/>
      <c r="C21478" s="15"/>
      <c r="D21478" s="2"/>
    </row>
    <row r="21479" spans="1:4" ht="12.75" customHeight="1" x14ac:dyDescent="0.2">
      <c r="B21479" s="11" t="s">
        <v>0</v>
      </c>
      <c r="C21479" s="17" t="s">
        <v>230</v>
      </c>
      <c r="D21479" s="2"/>
    </row>
    <row r="21480" spans="1:4" ht="12.75" customHeight="1" x14ac:dyDescent="0.2">
      <c r="B21480" s="11" t="s">
        <v>2599</v>
      </c>
      <c r="C21480" s="17" t="s">
        <v>6111</v>
      </c>
      <c r="D21480" s="2"/>
    </row>
    <row r="21481" spans="1:4" ht="25.5" customHeight="1" x14ac:dyDescent="0.2">
      <c r="B21481" s="11" t="s">
        <v>2600</v>
      </c>
      <c r="C21481" s="17" t="s">
        <v>6112</v>
      </c>
      <c r="D21481" s="2"/>
    </row>
    <row r="21482" spans="1:4" ht="25.5" customHeight="1" x14ac:dyDescent="0.2">
      <c r="B21482" s="11" t="s">
        <v>2601</v>
      </c>
      <c r="C21482" s="17"/>
      <c r="D21482" s="2"/>
    </row>
    <row r="21483" spans="1:4" ht="12.75" customHeight="1" x14ac:dyDescent="0.2">
      <c r="B21483" s="11" t="s">
        <v>16</v>
      </c>
      <c r="C21483" s="17"/>
      <c r="D21483" s="2"/>
    </row>
    <row r="21484" spans="1:4" ht="12.75" customHeight="1" x14ac:dyDescent="0.2">
      <c r="B21484" s="11" t="s">
        <v>13</v>
      </c>
      <c r="C21484" s="17" t="s">
        <v>2644</v>
      </c>
      <c r="D21484" s="2"/>
    </row>
    <row r="21485" spans="1:4" ht="25.5" customHeight="1" x14ac:dyDescent="0.2">
      <c r="B21485" s="11" t="s">
        <v>2603</v>
      </c>
      <c r="C21485" s="17" t="s">
        <v>2971</v>
      </c>
      <c r="D21485" s="2"/>
    </row>
    <row r="21486" spans="1:4" ht="12.75" customHeight="1" x14ac:dyDescent="0.2">
      <c r="B21486" s="11" t="s">
        <v>2605</v>
      </c>
      <c r="C21486" s="17" t="s">
        <v>14</v>
      </c>
      <c r="D21486" s="2"/>
    </row>
    <row r="21487" spans="1:4" ht="12.75" customHeight="1" x14ac:dyDescent="0.2">
      <c r="B21487" s="11" t="s">
        <v>2606</v>
      </c>
      <c r="C21487" s="16" t="s">
        <v>19</v>
      </c>
      <c r="D21487" s="2"/>
    </row>
    <row r="21488" spans="1:4" ht="12.75" customHeight="1" x14ac:dyDescent="0.2">
      <c r="B21488" s="2"/>
      <c r="C21488" s="15"/>
      <c r="D21488" s="2"/>
    </row>
    <row r="21489" spans="1:4" ht="12.75" customHeight="1" x14ac:dyDescent="0.2">
      <c r="B21489" s="2"/>
      <c r="C21489" s="15"/>
      <c r="D21489" s="2"/>
    </row>
    <row r="21490" spans="1:4" ht="12.75" customHeight="1" x14ac:dyDescent="0.2">
      <c r="A21490" s="13" t="s">
        <v>6113</v>
      </c>
      <c r="C21490" s="12"/>
    </row>
    <row r="21491" spans="1:4" ht="12.75" customHeight="1" x14ac:dyDescent="0.2">
      <c r="A21491" s="11"/>
      <c r="B21491" s="2"/>
      <c r="C21491" s="15"/>
      <c r="D21491" s="2"/>
    </row>
    <row r="21492" spans="1:4" ht="12.75" customHeight="1" x14ac:dyDescent="0.2">
      <c r="B21492" s="11" t="s">
        <v>0</v>
      </c>
      <c r="C21492" s="11" t="s">
        <v>230</v>
      </c>
    </row>
    <row r="21493" spans="1:4" ht="12.75" customHeight="1" x14ac:dyDescent="0.2">
      <c r="B21493" s="11" t="s">
        <v>2599</v>
      </c>
      <c r="C21493" s="11" t="s">
        <v>5687</v>
      </c>
    </row>
    <row r="21494" spans="1:4" ht="25.5" customHeight="1" x14ac:dyDescent="0.2">
      <c r="B21494" s="11" t="s">
        <v>2600</v>
      </c>
      <c r="C21494" s="11" t="s">
        <v>6115</v>
      </c>
    </row>
    <row r="21495" spans="1:4" ht="25.5" customHeight="1" x14ac:dyDescent="0.2">
      <c r="B21495" s="11" t="s">
        <v>2601</v>
      </c>
      <c r="C21495" s="11"/>
    </row>
    <row r="21496" spans="1:4" ht="12.75" customHeight="1" x14ac:dyDescent="0.2">
      <c r="B21496" s="11" t="s">
        <v>16</v>
      </c>
      <c r="C21496" s="11"/>
    </row>
    <row r="21497" spans="1:4" ht="12.75" customHeight="1" x14ac:dyDescent="0.2">
      <c r="B21497" s="11" t="s">
        <v>13</v>
      </c>
      <c r="C21497" s="11" t="s">
        <v>2602</v>
      </c>
    </row>
    <row r="21498" spans="1:4" ht="12.75" customHeight="1" x14ac:dyDescent="0.2">
      <c r="B21498" s="11" t="s">
        <v>2603</v>
      </c>
      <c r="C21498" s="11" t="s">
        <v>2604</v>
      </c>
    </row>
    <row r="21499" spans="1:4" ht="12.75" customHeight="1" x14ac:dyDescent="0.2">
      <c r="B21499" s="11" t="s">
        <v>2605</v>
      </c>
      <c r="C21499" s="11" t="s">
        <v>14</v>
      </c>
    </row>
    <row r="21500" spans="1:4" ht="12.75" customHeight="1" x14ac:dyDescent="0.2">
      <c r="B21500" s="11" t="s">
        <v>2606</v>
      </c>
      <c r="C21500" s="16" t="s">
        <v>1389</v>
      </c>
      <c r="D21500" s="6" t="str">
        <f>HYPERLINK("javascript:void(0)","ezüst")</f>
        <v>ezüst</v>
      </c>
    </row>
    <row r="21501" spans="1:4" ht="12.75" customHeight="1" x14ac:dyDescent="0.2">
      <c r="C21501" s="16" t="s">
        <v>77</v>
      </c>
      <c r="D21501" s="6" t="str">
        <f>HYPERLINK("javascript:void(0)","kincs")</f>
        <v>kincs</v>
      </c>
    </row>
    <row r="21502" spans="1:4" ht="12.75" customHeight="1" x14ac:dyDescent="0.2">
      <c r="B21502" s="2"/>
      <c r="C21502" s="15"/>
      <c r="D21502" s="2"/>
    </row>
    <row r="21503" spans="1:4" ht="12.75" customHeight="1" x14ac:dyDescent="0.2">
      <c r="B21503" s="2"/>
      <c r="C21503" s="15"/>
      <c r="D21503" s="2"/>
    </row>
    <row r="21504" spans="1:4" ht="12.75" customHeight="1" x14ac:dyDescent="0.2">
      <c r="A21504" s="13" t="s">
        <v>6116</v>
      </c>
      <c r="C21504" s="12"/>
    </row>
    <row r="21505" spans="1:4" ht="12.75" customHeight="1" x14ac:dyDescent="0.2">
      <c r="A21505" s="11"/>
      <c r="B21505" s="2"/>
      <c r="C21505" s="15"/>
      <c r="D21505" s="2"/>
    </row>
    <row r="21506" spans="1:4" ht="12.75" customHeight="1" x14ac:dyDescent="0.2">
      <c r="B21506" s="11" t="s">
        <v>0</v>
      </c>
      <c r="C21506" s="11" t="s">
        <v>230</v>
      </c>
    </row>
    <row r="21507" spans="1:4" ht="12.75" customHeight="1" x14ac:dyDescent="0.2">
      <c r="B21507" s="11" t="s">
        <v>2599</v>
      </c>
      <c r="C21507" s="11" t="s">
        <v>3382</v>
      </c>
    </row>
    <row r="21508" spans="1:4" ht="25.5" customHeight="1" x14ac:dyDescent="0.2">
      <c r="B21508" s="11" t="s">
        <v>2600</v>
      </c>
      <c r="C21508" s="11" t="s">
        <v>6117</v>
      </c>
    </row>
    <row r="21509" spans="1:4" ht="25.5" customHeight="1" x14ac:dyDescent="0.2">
      <c r="B21509" s="11" t="s">
        <v>2601</v>
      </c>
      <c r="C21509" s="11"/>
    </row>
    <row r="21510" spans="1:4" ht="12.75" customHeight="1" x14ac:dyDescent="0.2">
      <c r="B21510" s="11" t="s">
        <v>16</v>
      </c>
      <c r="C21510" s="11"/>
    </row>
    <row r="21511" spans="1:4" ht="12.75" customHeight="1" x14ac:dyDescent="0.2">
      <c r="B21511" s="11" t="s">
        <v>13</v>
      </c>
      <c r="C21511" s="11" t="s">
        <v>2602</v>
      </c>
    </row>
    <row r="21512" spans="1:4" ht="12.75" customHeight="1" x14ac:dyDescent="0.2">
      <c r="B21512" s="11" t="s">
        <v>2603</v>
      </c>
      <c r="C21512" s="11" t="s">
        <v>2604</v>
      </c>
    </row>
    <row r="21513" spans="1:4" ht="12.75" customHeight="1" x14ac:dyDescent="0.2">
      <c r="B21513" s="11" t="s">
        <v>2605</v>
      </c>
      <c r="C21513" s="11" t="s">
        <v>14</v>
      </c>
    </row>
    <row r="21514" spans="1:4" ht="25.5" customHeight="1" x14ac:dyDescent="0.2">
      <c r="B21514" s="11" t="s">
        <v>2606</v>
      </c>
      <c r="C21514" s="16" t="s">
        <v>55</v>
      </c>
      <c r="D21514" s="6" t="str">
        <f>HYPERLINK("javascript:void(0)","sárkánypikkely")</f>
        <v>sárkánypikkely</v>
      </c>
    </row>
    <row r="21515" spans="1:4" ht="25.5" customHeight="1" x14ac:dyDescent="0.2">
      <c r="C21515" s="16" t="s">
        <v>44</v>
      </c>
      <c r="D21515" s="6" t="str">
        <f>HYPERLINK("javascript:void(0)","sárkány szarv")</f>
        <v>sárkány szarv</v>
      </c>
    </row>
    <row r="21516" spans="1:4" ht="12.75" customHeight="1" x14ac:dyDescent="0.2">
      <c r="C21516" s="16" t="s">
        <v>44</v>
      </c>
      <c r="D21516" s="6" t="str">
        <f>HYPERLINK("javascript:void(0)","kincs")</f>
        <v>kincs</v>
      </c>
    </row>
    <row r="21517" spans="1:4" ht="25.5" customHeight="1" x14ac:dyDescent="0.2">
      <c r="C21517" s="16" t="s">
        <v>44</v>
      </c>
      <c r="D21517" s="6" t="str">
        <f>HYPERLINK("javascript:void(0)","sárkányzsák")</f>
        <v>sárkányzsák</v>
      </c>
    </row>
    <row r="21518" spans="1:4" ht="12.75" customHeight="1" x14ac:dyDescent="0.2">
      <c r="B21518" s="2"/>
      <c r="C21518" s="15"/>
      <c r="D21518" s="2"/>
    </row>
    <row r="21519" spans="1:4" ht="12.75" customHeight="1" x14ac:dyDescent="0.2">
      <c r="B21519" s="2"/>
      <c r="C21519" s="15"/>
      <c r="D21519" s="2"/>
    </row>
    <row r="21520" spans="1:4" ht="12.75" customHeight="1" x14ac:dyDescent="0.2">
      <c r="A21520" s="13" t="s">
        <v>6118</v>
      </c>
      <c r="C21520" s="12"/>
    </row>
    <row r="21521" spans="1:4" ht="12.75" customHeight="1" x14ac:dyDescent="0.2">
      <c r="A21521" s="11"/>
      <c r="B21521" s="2"/>
      <c r="C21521" s="15"/>
      <c r="D21521" s="2"/>
    </row>
    <row r="21522" spans="1:4" ht="12.75" customHeight="1" x14ac:dyDescent="0.2">
      <c r="B21522" s="11" t="s">
        <v>0</v>
      </c>
      <c r="C21522" s="11" t="s">
        <v>230</v>
      </c>
    </row>
    <row r="21523" spans="1:4" ht="12.75" customHeight="1" x14ac:dyDescent="0.2">
      <c r="B21523" s="11" t="s">
        <v>2599</v>
      </c>
      <c r="C21523" s="11" t="s">
        <v>6119</v>
      </c>
    </row>
    <row r="21524" spans="1:4" ht="25.5" customHeight="1" x14ac:dyDescent="0.2">
      <c r="B21524" s="11" t="s">
        <v>2600</v>
      </c>
      <c r="C21524" s="11" t="s">
        <v>6120</v>
      </c>
    </row>
    <row r="21525" spans="1:4" ht="25.5" customHeight="1" x14ac:dyDescent="0.2">
      <c r="B21525" s="11" t="s">
        <v>2601</v>
      </c>
      <c r="C21525" s="11"/>
    </row>
    <row r="21526" spans="1:4" ht="12.75" customHeight="1" x14ac:dyDescent="0.2">
      <c r="B21526" s="11" t="s">
        <v>16</v>
      </c>
      <c r="C21526" s="11"/>
    </row>
    <row r="21527" spans="1:4" ht="12.75" customHeight="1" x14ac:dyDescent="0.2">
      <c r="B21527" s="11" t="s">
        <v>13</v>
      </c>
      <c r="C21527" s="11" t="s">
        <v>2602</v>
      </c>
    </row>
    <row r="21528" spans="1:4" ht="12.75" customHeight="1" x14ac:dyDescent="0.2">
      <c r="B21528" s="11" t="s">
        <v>2603</v>
      </c>
      <c r="C21528" s="11" t="s">
        <v>2604</v>
      </c>
    </row>
    <row r="21529" spans="1:4" ht="12.75" customHeight="1" x14ac:dyDescent="0.2">
      <c r="B21529" s="11" t="s">
        <v>2605</v>
      </c>
      <c r="C21529" s="11" t="s">
        <v>14</v>
      </c>
    </row>
    <row r="21530" spans="1:4" ht="12.75" customHeight="1" x14ac:dyDescent="0.2">
      <c r="B21530" s="11" t="s">
        <v>2606</v>
      </c>
      <c r="C21530" s="16" t="s">
        <v>67</v>
      </c>
      <c r="D21530" s="6" t="str">
        <f>HYPERLINK("javascript:void(0)","kincs")</f>
        <v>kincs</v>
      </c>
    </row>
    <row r="21531" spans="1:4" ht="25.5" customHeight="1" x14ac:dyDescent="0.2">
      <c r="C21531" s="16" t="s">
        <v>44</v>
      </c>
      <c r="D21531" s="6" t="str">
        <f>HYPERLINK("javascript:void(0)","szellemszurony")</f>
        <v>szellemszurony</v>
      </c>
    </row>
    <row r="21532" spans="1:4" ht="12.75" customHeight="1" x14ac:dyDescent="0.2">
      <c r="B21532" s="2"/>
      <c r="C21532" s="15"/>
      <c r="D21532" s="2"/>
    </row>
    <row r="21533" spans="1:4" ht="12.75" customHeight="1" x14ac:dyDescent="0.2">
      <c r="B21533" s="2"/>
      <c r="C21533" s="15"/>
      <c r="D21533" s="2"/>
    </row>
    <row r="21534" spans="1:4" ht="12.75" customHeight="1" x14ac:dyDescent="0.2">
      <c r="A21534" s="13" t="s">
        <v>6121</v>
      </c>
      <c r="C21534" s="12"/>
    </row>
    <row r="21535" spans="1:4" ht="12.75" customHeight="1" x14ac:dyDescent="0.2">
      <c r="A21535" s="11"/>
      <c r="B21535" s="2"/>
      <c r="C21535" s="15"/>
      <c r="D21535" s="2"/>
    </row>
    <row r="21536" spans="1:4" ht="12.75" customHeight="1" x14ac:dyDescent="0.2">
      <c r="B21536" s="11" t="s">
        <v>0</v>
      </c>
      <c r="C21536" s="11" t="s">
        <v>230</v>
      </c>
    </row>
    <row r="21537" spans="1:4" ht="12.75" customHeight="1" x14ac:dyDescent="0.2">
      <c r="B21537" s="11" t="s">
        <v>2599</v>
      </c>
      <c r="C21537" s="11" t="s">
        <v>5660</v>
      </c>
    </row>
    <row r="21538" spans="1:4" ht="25.5" customHeight="1" x14ac:dyDescent="0.2">
      <c r="B21538" s="11" t="s">
        <v>2600</v>
      </c>
      <c r="C21538" s="11" t="s">
        <v>6122</v>
      </c>
    </row>
    <row r="21539" spans="1:4" ht="25.5" customHeight="1" x14ac:dyDescent="0.2">
      <c r="B21539" s="11" t="s">
        <v>2601</v>
      </c>
      <c r="C21539" s="11"/>
    </row>
    <row r="21540" spans="1:4" ht="12.75" customHeight="1" x14ac:dyDescent="0.2">
      <c r="B21540" s="11" t="s">
        <v>16</v>
      </c>
      <c r="C21540" s="11"/>
    </row>
    <row r="21541" spans="1:4" ht="12.75" customHeight="1" x14ac:dyDescent="0.2">
      <c r="B21541" s="11" t="s">
        <v>13</v>
      </c>
      <c r="C21541" s="11" t="s">
        <v>2602</v>
      </c>
    </row>
    <row r="21542" spans="1:4" ht="12.75" customHeight="1" x14ac:dyDescent="0.2">
      <c r="B21542" s="11" t="s">
        <v>2603</v>
      </c>
      <c r="C21542" s="11" t="s">
        <v>2604</v>
      </c>
    </row>
    <row r="21543" spans="1:4" ht="12.75" customHeight="1" x14ac:dyDescent="0.2">
      <c r="B21543" s="11" t="s">
        <v>2605</v>
      </c>
      <c r="C21543" s="11" t="s">
        <v>14</v>
      </c>
    </row>
    <row r="21544" spans="1:4" ht="12.75" customHeight="1" x14ac:dyDescent="0.2">
      <c r="B21544" s="11" t="s">
        <v>2606</v>
      </c>
      <c r="C21544" s="16" t="s">
        <v>228</v>
      </c>
      <c r="D21544" s="6" t="str">
        <f>HYPERLINK("javascript:void(0)","kincs")</f>
        <v>kincs</v>
      </c>
    </row>
    <row r="21545" spans="1:4" ht="12.75" customHeight="1" x14ac:dyDescent="0.2">
      <c r="B21545" s="2"/>
      <c r="C21545" s="15"/>
      <c r="D21545" s="2"/>
    </row>
    <row r="21546" spans="1:4" ht="12.75" customHeight="1" x14ac:dyDescent="0.2">
      <c r="B21546" s="2"/>
      <c r="C21546" s="15"/>
      <c r="D21546" s="2"/>
    </row>
    <row r="21547" spans="1:4" ht="12.75" customHeight="1" x14ac:dyDescent="0.2">
      <c r="A21547" s="13" t="s">
        <v>6124</v>
      </c>
      <c r="C21547" s="12"/>
    </row>
    <row r="21548" spans="1:4" ht="12.75" customHeight="1" x14ac:dyDescent="0.2">
      <c r="A21548" s="11"/>
      <c r="B21548" s="2"/>
      <c r="C21548" s="15"/>
      <c r="D21548" s="2"/>
    </row>
    <row r="21549" spans="1:4" ht="12.75" customHeight="1" x14ac:dyDescent="0.2">
      <c r="B21549" s="11" t="s">
        <v>0</v>
      </c>
      <c r="C21549" s="11" t="s">
        <v>230</v>
      </c>
    </row>
    <row r="21550" spans="1:4" ht="12.75" customHeight="1" x14ac:dyDescent="0.2">
      <c r="B21550" s="11" t="s">
        <v>2599</v>
      </c>
      <c r="C21550" s="11" t="s">
        <v>426</v>
      </c>
    </row>
    <row r="21551" spans="1:4" ht="25.5" customHeight="1" x14ac:dyDescent="0.2">
      <c r="B21551" s="11" t="s">
        <v>2600</v>
      </c>
      <c r="C21551" s="11" t="s">
        <v>6125</v>
      </c>
    </row>
    <row r="21552" spans="1:4" ht="25.5" customHeight="1" x14ac:dyDescent="0.2">
      <c r="B21552" s="11" t="s">
        <v>2601</v>
      </c>
      <c r="C21552" s="11"/>
    </row>
    <row r="21553" spans="1:4" ht="12.75" customHeight="1" x14ac:dyDescent="0.2">
      <c r="B21553" s="11" t="s">
        <v>16</v>
      </c>
      <c r="C21553" s="11"/>
    </row>
    <row r="21554" spans="1:4" ht="12.75" customHeight="1" x14ac:dyDescent="0.2">
      <c r="B21554" s="11" t="s">
        <v>13</v>
      </c>
      <c r="C21554" s="11" t="s">
        <v>2644</v>
      </c>
    </row>
    <row r="21555" spans="1:4" ht="12.75" customHeight="1" x14ac:dyDescent="0.2">
      <c r="B21555" s="11" t="s">
        <v>2603</v>
      </c>
      <c r="C21555" s="11" t="s">
        <v>2604</v>
      </c>
    </row>
    <row r="21556" spans="1:4" ht="12.75" customHeight="1" x14ac:dyDescent="0.2">
      <c r="B21556" s="11" t="s">
        <v>2605</v>
      </c>
      <c r="C21556" s="11" t="s">
        <v>24</v>
      </c>
    </row>
    <row r="21557" spans="1:4" ht="12.75" customHeight="1" x14ac:dyDescent="0.2">
      <c r="B21557" s="11" t="s">
        <v>2606</v>
      </c>
      <c r="C21557" s="16" t="s">
        <v>57</v>
      </c>
      <c r="D21557" s="6" t="str">
        <f>HYPERLINK("javascript:void(0)","kikelet")</f>
        <v>kikelet</v>
      </c>
    </row>
    <row r="21558" spans="1:4" ht="12.75" customHeight="1" x14ac:dyDescent="0.2">
      <c r="B21558" s="2"/>
      <c r="C21558" s="15"/>
      <c r="D21558" s="2"/>
    </row>
    <row r="21559" spans="1:4" ht="12.75" customHeight="1" x14ac:dyDescent="0.2">
      <c r="B21559" s="2"/>
      <c r="C21559" s="15"/>
      <c r="D21559" s="2"/>
    </row>
    <row r="21560" spans="1:4" ht="12.75" customHeight="1" x14ac:dyDescent="0.2">
      <c r="A21560" s="13" t="s">
        <v>6126</v>
      </c>
      <c r="C21560" s="12"/>
    </row>
    <row r="21561" spans="1:4" ht="12.75" customHeight="1" x14ac:dyDescent="0.2">
      <c r="A21561" s="11"/>
      <c r="B21561" s="2"/>
      <c r="C21561" s="15"/>
      <c r="D21561" s="2"/>
    </row>
    <row r="21562" spans="1:4" ht="12.75" customHeight="1" x14ac:dyDescent="0.2">
      <c r="B21562" s="11" t="s">
        <v>0</v>
      </c>
      <c r="C21562" s="11" t="s">
        <v>230</v>
      </c>
    </row>
    <row r="21563" spans="1:4" ht="12.75" customHeight="1" x14ac:dyDescent="0.2">
      <c r="B21563" s="11" t="s">
        <v>2599</v>
      </c>
      <c r="C21563" s="11" t="s">
        <v>6127</v>
      </c>
    </row>
    <row r="21564" spans="1:4" ht="25.5" customHeight="1" x14ac:dyDescent="0.2">
      <c r="B21564" s="11" t="s">
        <v>2600</v>
      </c>
      <c r="C21564" s="11" t="s">
        <v>6128</v>
      </c>
    </row>
    <row r="21565" spans="1:4" ht="25.5" customHeight="1" x14ac:dyDescent="0.2">
      <c r="B21565" s="11" t="s">
        <v>2601</v>
      </c>
      <c r="C21565" s="11"/>
    </row>
    <row r="21566" spans="1:4" ht="12.75" customHeight="1" x14ac:dyDescent="0.2">
      <c r="B21566" s="11" t="s">
        <v>16</v>
      </c>
      <c r="C21566" s="11"/>
    </row>
    <row r="21567" spans="1:4" ht="12.75" customHeight="1" x14ac:dyDescent="0.2">
      <c r="B21567" s="11" t="s">
        <v>13</v>
      </c>
      <c r="C21567" s="11" t="s">
        <v>2644</v>
      </c>
    </row>
    <row r="21568" spans="1:4" ht="12.75" customHeight="1" x14ac:dyDescent="0.2">
      <c r="B21568" s="11" t="s">
        <v>2603</v>
      </c>
      <c r="C21568" s="11" t="s">
        <v>2604</v>
      </c>
    </row>
    <row r="21569" spans="1:4" ht="12.75" customHeight="1" x14ac:dyDescent="0.2">
      <c r="B21569" s="11" t="s">
        <v>2605</v>
      </c>
      <c r="C21569" s="11" t="s">
        <v>24</v>
      </c>
    </row>
    <row r="21570" spans="1:4" ht="12.75" customHeight="1" x14ac:dyDescent="0.2">
      <c r="B21570" s="11" t="s">
        <v>2606</v>
      </c>
      <c r="C21570" s="16" t="s">
        <v>77</v>
      </c>
      <c r="D21570" s="6" t="str">
        <f>HYPERLINK("javascript:void(0)","ectokinézis")</f>
        <v>ectokinézis</v>
      </c>
    </row>
    <row r="21571" spans="1:4" ht="12.75" customHeight="1" x14ac:dyDescent="0.2">
      <c r="B21571" s="2"/>
      <c r="C21571" s="15"/>
      <c r="D21571" s="2"/>
    </row>
    <row r="21572" spans="1:4" ht="12.75" customHeight="1" x14ac:dyDescent="0.2">
      <c r="B21572" s="2"/>
      <c r="C21572" s="15"/>
      <c r="D21572" s="2"/>
    </row>
    <row r="21573" spans="1:4" ht="12.75" customHeight="1" x14ac:dyDescent="0.2">
      <c r="A21573" s="13" t="s">
        <v>6129</v>
      </c>
      <c r="C21573" s="12"/>
    </row>
    <row r="21574" spans="1:4" ht="12.75" customHeight="1" x14ac:dyDescent="0.2">
      <c r="A21574" s="11"/>
      <c r="B21574" s="2"/>
      <c r="C21574" s="15"/>
      <c r="D21574" s="2"/>
    </row>
    <row r="21575" spans="1:4" ht="12.75" customHeight="1" x14ac:dyDescent="0.2">
      <c r="B21575" s="11" t="s">
        <v>0</v>
      </c>
      <c r="C21575" s="11" t="s">
        <v>230</v>
      </c>
    </row>
    <row r="21576" spans="1:4" ht="12.75" customHeight="1" x14ac:dyDescent="0.2">
      <c r="B21576" s="11" t="s">
        <v>2599</v>
      </c>
      <c r="C21576" s="11" t="s">
        <v>2702</v>
      </c>
    </row>
    <row r="21577" spans="1:4" ht="25.5" customHeight="1" x14ac:dyDescent="0.2">
      <c r="B21577" s="11" t="s">
        <v>2600</v>
      </c>
      <c r="C21577" s="11" t="s">
        <v>6130</v>
      </c>
    </row>
    <row r="21578" spans="1:4" ht="25.5" customHeight="1" x14ac:dyDescent="0.2">
      <c r="B21578" s="11" t="s">
        <v>2601</v>
      </c>
      <c r="C21578" s="11"/>
    </row>
    <row r="21579" spans="1:4" ht="12.75" customHeight="1" x14ac:dyDescent="0.2">
      <c r="B21579" s="11" t="s">
        <v>16</v>
      </c>
      <c r="C21579" s="11"/>
    </row>
    <row r="21580" spans="1:4" ht="12.75" customHeight="1" x14ac:dyDescent="0.2">
      <c r="B21580" s="11" t="s">
        <v>13</v>
      </c>
      <c r="C21580" s="11" t="s">
        <v>2644</v>
      </c>
    </row>
    <row r="21581" spans="1:4" ht="12.75" customHeight="1" x14ac:dyDescent="0.2">
      <c r="B21581" s="11" t="s">
        <v>2603</v>
      </c>
      <c r="C21581" s="11" t="s">
        <v>2604</v>
      </c>
    </row>
    <row r="21582" spans="1:4" ht="12.75" customHeight="1" x14ac:dyDescent="0.2">
      <c r="B21582" s="11" t="s">
        <v>2605</v>
      </c>
      <c r="C21582" s="11" t="s">
        <v>24</v>
      </c>
    </row>
    <row r="21583" spans="1:4" ht="12.75" customHeight="1" x14ac:dyDescent="0.2">
      <c r="B21583" s="11" t="s">
        <v>2606</v>
      </c>
      <c r="C21583" s="16" t="s">
        <v>44</v>
      </c>
      <c r="D21583" s="6" t="str">
        <f>HYPERLINK("javascript:void(0)","ellensúly")</f>
        <v>ellensúly</v>
      </c>
    </row>
    <row r="21584" spans="1:4" ht="12.75" customHeight="1" x14ac:dyDescent="0.2">
      <c r="B21584" s="2"/>
      <c r="C21584" s="15"/>
      <c r="D21584" s="2"/>
    </row>
    <row r="21585" spans="1:4" ht="12.75" customHeight="1" x14ac:dyDescent="0.2">
      <c r="B21585" s="2"/>
      <c r="C21585" s="15"/>
      <c r="D21585" s="2"/>
    </row>
    <row r="21586" spans="1:4" ht="12.75" customHeight="1" x14ac:dyDescent="0.2">
      <c r="A21586" s="13" t="s">
        <v>6131</v>
      </c>
      <c r="C21586" s="12"/>
    </row>
    <row r="21587" spans="1:4" ht="12.75" customHeight="1" x14ac:dyDescent="0.2">
      <c r="A21587" s="11"/>
      <c r="B21587" s="2"/>
      <c r="C21587" s="15"/>
      <c r="D21587" s="2"/>
    </row>
    <row r="21588" spans="1:4" ht="12.75" customHeight="1" x14ac:dyDescent="0.2">
      <c r="B21588" s="11" t="s">
        <v>0</v>
      </c>
      <c r="C21588" s="11" t="s">
        <v>230</v>
      </c>
    </row>
    <row r="21589" spans="1:4" ht="12.75" customHeight="1" x14ac:dyDescent="0.2">
      <c r="B21589" s="11" t="s">
        <v>2599</v>
      </c>
      <c r="C21589" s="11" t="s">
        <v>6132</v>
      </c>
    </row>
    <row r="21590" spans="1:4" ht="25.5" customHeight="1" x14ac:dyDescent="0.2">
      <c r="B21590" s="11" t="s">
        <v>2600</v>
      </c>
      <c r="C21590" s="11" t="s">
        <v>6134</v>
      </c>
    </row>
    <row r="21591" spans="1:4" ht="25.5" customHeight="1" x14ac:dyDescent="0.2">
      <c r="B21591" s="11" t="s">
        <v>2601</v>
      </c>
      <c r="C21591" s="11"/>
    </row>
    <row r="21592" spans="1:4" ht="12.75" customHeight="1" x14ac:dyDescent="0.2">
      <c r="B21592" s="11" t="s">
        <v>16</v>
      </c>
      <c r="C21592" s="11"/>
    </row>
    <row r="21593" spans="1:4" ht="12.75" customHeight="1" x14ac:dyDescent="0.2">
      <c r="B21593" s="11" t="s">
        <v>13</v>
      </c>
      <c r="C21593" s="11" t="s">
        <v>2644</v>
      </c>
    </row>
    <row r="21594" spans="1:4" ht="12.75" customHeight="1" x14ac:dyDescent="0.2">
      <c r="B21594" s="11" t="s">
        <v>2603</v>
      </c>
      <c r="C21594" s="11" t="s">
        <v>2604</v>
      </c>
    </row>
    <row r="21595" spans="1:4" ht="12.75" customHeight="1" x14ac:dyDescent="0.2">
      <c r="B21595" s="11" t="s">
        <v>2605</v>
      </c>
      <c r="C21595" s="11" t="s">
        <v>24</v>
      </c>
    </row>
    <row r="21596" spans="1:4" ht="12.75" customHeight="1" x14ac:dyDescent="0.2">
      <c r="B21596" s="11" t="s">
        <v>2606</v>
      </c>
      <c r="C21596" s="16" t="s">
        <v>44</v>
      </c>
      <c r="D21596" s="6" t="str">
        <f>HYPERLINK("javascript:void(0)","lombik")</f>
        <v>lombik</v>
      </c>
    </row>
    <row r="21597" spans="1:4" ht="12.75" customHeight="1" x14ac:dyDescent="0.2">
      <c r="B21597" s="2"/>
      <c r="C21597" s="15"/>
      <c r="D21597" s="2"/>
    </row>
    <row r="21598" spans="1:4" ht="12.75" customHeight="1" x14ac:dyDescent="0.2">
      <c r="B21598" s="2"/>
      <c r="C21598" s="15"/>
      <c r="D21598" s="2"/>
    </row>
    <row r="21599" spans="1:4" ht="12.75" customHeight="1" x14ac:dyDescent="0.2">
      <c r="A21599" s="13" t="s">
        <v>6135</v>
      </c>
      <c r="C21599" s="12"/>
      <c r="D21599" s="2"/>
    </row>
    <row r="21600" spans="1:4" ht="12.75" customHeight="1" x14ac:dyDescent="0.2">
      <c r="A21600" s="11"/>
      <c r="B21600" s="2"/>
      <c r="C21600" s="15"/>
      <c r="D21600" s="2"/>
    </row>
    <row r="21601" spans="1:4" ht="12.75" customHeight="1" x14ac:dyDescent="0.2">
      <c r="B21601" s="11" t="s">
        <v>0</v>
      </c>
      <c r="C21601" s="17" t="s">
        <v>230</v>
      </c>
      <c r="D21601" s="2"/>
    </row>
    <row r="21602" spans="1:4" ht="12.75" customHeight="1" x14ac:dyDescent="0.2">
      <c r="B21602" s="11" t="s">
        <v>2599</v>
      </c>
      <c r="C21602" s="17" t="s">
        <v>6136</v>
      </c>
      <c r="D21602" s="2"/>
    </row>
    <row r="21603" spans="1:4" ht="25.5" customHeight="1" x14ac:dyDescent="0.2">
      <c r="B21603" s="11" t="s">
        <v>2600</v>
      </c>
      <c r="C21603" s="17" t="s">
        <v>6137</v>
      </c>
      <c r="D21603" s="2"/>
    </row>
    <row r="21604" spans="1:4" ht="25.5" customHeight="1" x14ac:dyDescent="0.2">
      <c r="B21604" s="11" t="s">
        <v>2601</v>
      </c>
      <c r="C21604" s="17"/>
      <c r="D21604" s="2"/>
    </row>
    <row r="21605" spans="1:4" ht="12.75" customHeight="1" x14ac:dyDescent="0.2">
      <c r="B21605" s="11" t="s">
        <v>16</v>
      </c>
      <c r="C21605" s="17"/>
      <c r="D21605" s="2"/>
    </row>
    <row r="21606" spans="1:4" ht="12.75" customHeight="1" x14ac:dyDescent="0.2">
      <c r="B21606" s="11" t="s">
        <v>13</v>
      </c>
      <c r="C21606" s="17" t="s">
        <v>2602</v>
      </c>
      <c r="D21606" s="2"/>
    </row>
    <row r="21607" spans="1:4" ht="25.5" customHeight="1" x14ac:dyDescent="0.2">
      <c r="B21607" s="11" t="s">
        <v>2603</v>
      </c>
      <c r="C21607" s="17" t="s">
        <v>2971</v>
      </c>
      <c r="D21607" s="2"/>
    </row>
    <row r="21608" spans="1:4" ht="12.75" customHeight="1" x14ac:dyDescent="0.2">
      <c r="B21608" s="11" t="s">
        <v>2605</v>
      </c>
      <c r="C21608" s="17" t="s">
        <v>14</v>
      </c>
      <c r="D21608" s="2"/>
    </row>
    <row r="21609" spans="1:4" ht="12.75" customHeight="1" x14ac:dyDescent="0.2">
      <c r="B21609" s="11" t="s">
        <v>2606</v>
      </c>
      <c r="C21609" s="16" t="s">
        <v>19</v>
      </c>
      <c r="D21609" s="2"/>
    </row>
    <row r="21610" spans="1:4" ht="12.75" customHeight="1" x14ac:dyDescent="0.2">
      <c r="B21610" s="2"/>
      <c r="C21610" s="15"/>
      <c r="D21610" s="2"/>
    </row>
    <row r="21611" spans="1:4" ht="12.75" customHeight="1" x14ac:dyDescent="0.2">
      <c r="B21611" s="2"/>
      <c r="C21611" s="15"/>
      <c r="D21611" s="2"/>
    </row>
    <row r="21612" spans="1:4" ht="12.75" customHeight="1" x14ac:dyDescent="0.2">
      <c r="A21612" s="13" t="s">
        <v>6103</v>
      </c>
      <c r="C21612" s="12"/>
      <c r="D21612" s="2"/>
    </row>
    <row r="21613" spans="1:4" ht="12.75" customHeight="1" x14ac:dyDescent="0.2">
      <c r="A21613" s="11"/>
      <c r="B21613" s="2"/>
      <c r="C21613" s="15"/>
      <c r="D21613" s="2"/>
    </row>
    <row r="21614" spans="1:4" ht="12.75" customHeight="1" x14ac:dyDescent="0.2">
      <c r="B21614" s="11" t="s">
        <v>0</v>
      </c>
      <c r="C21614" s="17" t="s">
        <v>1230</v>
      </c>
      <c r="D21614" s="2"/>
    </row>
    <row r="21615" spans="1:4" ht="12.75" customHeight="1" x14ac:dyDescent="0.2">
      <c r="B21615" s="11" t="s">
        <v>2599</v>
      </c>
      <c r="C21615" s="17" t="s">
        <v>1977</v>
      </c>
      <c r="D21615" s="2"/>
    </row>
    <row r="21616" spans="1:4" ht="25.5" customHeight="1" x14ac:dyDescent="0.2">
      <c r="B21616" s="11" t="s">
        <v>2600</v>
      </c>
      <c r="C21616" s="17" t="s">
        <v>6138</v>
      </c>
      <c r="D21616" s="2"/>
    </row>
    <row r="21617" spans="1:4" ht="25.5" customHeight="1" x14ac:dyDescent="0.2">
      <c r="B21617" s="11" t="s">
        <v>2601</v>
      </c>
      <c r="C21617" s="17"/>
      <c r="D21617" s="2"/>
    </row>
    <row r="21618" spans="1:4" ht="12.75" customHeight="1" x14ac:dyDescent="0.2">
      <c r="B21618" s="11" t="s">
        <v>16</v>
      </c>
      <c r="C21618" s="17"/>
      <c r="D21618" s="2"/>
    </row>
    <row r="21619" spans="1:4" ht="12.75" customHeight="1" x14ac:dyDescent="0.2">
      <c r="B21619" s="11" t="s">
        <v>13</v>
      </c>
      <c r="C21619" s="17" t="s">
        <v>2602</v>
      </c>
      <c r="D21619" s="2"/>
    </row>
    <row r="21620" spans="1:4" ht="25.5" customHeight="1" x14ac:dyDescent="0.2">
      <c r="B21620" s="11" t="s">
        <v>2603</v>
      </c>
      <c r="C21620" s="17" t="s">
        <v>2971</v>
      </c>
      <c r="D21620" s="2"/>
    </row>
    <row r="21621" spans="1:4" ht="12.75" customHeight="1" x14ac:dyDescent="0.2">
      <c r="B21621" s="11" t="s">
        <v>2605</v>
      </c>
      <c r="C21621" s="17" t="s">
        <v>14</v>
      </c>
      <c r="D21621" s="2"/>
    </row>
    <row r="21622" spans="1:4" ht="12.75" customHeight="1" x14ac:dyDescent="0.2">
      <c r="B21622" s="11" t="s">
        <v>2606</v>
      </c>
      <c r="C21622" s="16" t="s">
        <v>19</v>
      </c>
      <c r="D21622" s="2"/>
    </row>
    <row r="21623" spans="1:4" ht="12.75" customHeight="1" x14ac:dyDescent="0.2">
      <c r="B21623" s="2"/>
      <c r="C21623" s="15"/>
      <c r="D21623" s="2"/>
    </row>
    <row r="21624" spans="1:4" ht="12.75" customHeight="1" x14ac:dyDescent="0.2">
      <c r="B21624" s="2"/>
      <c r="C21624" s="15"/>
      <c r="D21624" s="2"/>
    </row>
    <row r="21625" spans="1:4" ht="12.75" customHeight="1" x14ac:dyDescent="0.2">
      <c r="A21625" s="13" t="s">
        <v>6105</v>
      </c>
      <c r="C21625" s="12"/>
      <c r="D21625" s="2"/>
    </row>
    <row r="21626" spans="1:4" ht="12.75" customHeight="1" x14ac:dyDescent="0.2">
      <c r="A21626" s="11"/>
      <c r="B21626" s="2"/>
      <c r="C21626" s="15"/>
      <c r="D21626" s="2"/>
    </row>
    <row r="21627" spans="1:4" ht="12.75" customHeight="1" x14ac:dyDescent="0.2">
      <c r="B21627" s="11" t="s">
        <v>0</v>
      </c>
      <c r="C21627" s="17" t="s">
        <v>1230</v>
      </c>
      <c r="D21627" s="2"/>
    </row>
    <row r="21628" spans="1:4" ht="12.75" customHeight="1" x14ac:dyDescent="0.2">
      <c r="B21628" s="11" t="s">
        <v>2599</v>
      </c>
      <c r="C21628" s="17" t="s">
        <v>3416</v>
      </c>
      <c r="D21628" s="2"/>
    </row>
    <row r="21629" spans="1:4" ht="25.5" customHeight="1" x14ac:dyDescent="0.2">
      <c r="B21629" s="11" t="s">
        <v>2600</v>
      </c>
      <c r="C21629" s="17" t="s">
        <v>6139</v>
      </c>
      <c r="D21629" s="2"/>
    </row>
    <row r="21630" spans="1:4" ht="25.5" customHeight="1" x14ac:dyDescent="0.2">
      <c r="B21630" s="11" t="s">
        <v>2601</v>
      </c>
      <c r="C21630" s="17"/>
      <c r="D21630" s="2"/>
    </row>
    <row r="21631" spans="1:4" ht="12.75" customHeight="1" x14ac:dyDescent="0.2">
      <c r="B21631" s="11" t="s">
        <v>16</v>
      </c>
      <c r="C21631" s="17"/>
      <c r="D21631" s="2"/>
    </row>
    <row r="21632" spans="1:4" ht="12.75" customHeight="1" x14ac:dyDescent="0.2">
      <c r="B21632" s="11" t="s">
        <v>13</v>
      </c>
      <c r="C21632" s="17" t="s">
        <v>2644</v>
      </c>
      <c r="D21632" s="2"/>
    </row>
    <row r="21633" spans="1:4" ht="25.5" customHeight="1" x14ac:dyDescent="0.2">
      <c r="B21633" s="11" t="s">
        <v>2603</v>
      </c>
      <c r="C21633" s="17" t="s">
        <v>2971</v>
      </c>
      <c r="D21633" s="2"/>
    </row>
    <row r="21634" spans="1:4" ht="12.75" customHeight="1" x14ac:dyDescent="0.2">
      <c r="B21634" s="11" t="s">
        <v>2605</v>
      </c>
      <c r="C21634" s="17" t="s">
        <v>14</v>
      </c>
      <c r="D21634" s="2"/>
    </row>
    <row r="21635" spans="1:4" ht="12.75" customHeight="1" x14ac:dyDescent="0.2">
      <c r="B21635" s="11" t="s">
        <v>2606</v>
      </c>
      <c r="C21635" s="16" t="s">
        <v>19</v>
      </c>
      <c r="D21635" s="2"/>
    </row>
    <row r="21636" spans="1:4" ht="12.75" customHeight="1" x14ac:dyDescent="0.2">
      <c r="B21636" s="2"/>
      <c r="C21636" s="15"/>
      <c r="D21636" s="2"/>
    </row>
    <row r="21637" spans="1:4" ht="12.75" customHeight="1" x14ac:dyDescent="0.2">
      <c r="B21637" s="2"/>
      <c r="C21637" s="15"/>
      <c r="D21637" s="2"/>
    </row>
    <row r="21638" spans="1:4" ht="12.75" customHeight="1" x14ac:dyDescent="0.2">
      <c r="A21638" s="13" t="s">
        <v>6140</v>
      </c>
      <c r="C21638" s="12"/>
    </row>
    <row r="21639" spans="1:4" ht="12.75" customHeight="1" x14ac:dyDescent="0.2">
      <c r="A21639" s="11"/>
      <c r="B21639" s="2"/>
      <c r="C21639" s="15"/>
      <c r="D21639" s="2"/>
    </row>
    <row r="21640" spans="1:4" ht="12.75" customHeight="1" x14ac:dyDescent="0.2">
      <c r="B21640" s="11" t="s">
        <v>0</v>
      </c>
      <c r="C21640" s="11" t="s">
        <v>1230</v>
      </c>
    </row>
    <row r="21641" spans="1:4" ht="12.75" customHeight="1" x14ac:dyDescent="0.2">
      <c r="B21641" s="11" t="s">
        <v>2599</v>
      </c>
      <c r="C21641" s="11" t="s">
        <v>6141</v>
      </c>
    </row>
    <row r="21642" spans="1:4" ht="25.5" customHeight="1" x14ac:dyDescent="0.2">
      <c r="B21642" s="11" t="s">
        <v>2600</v>
      </c>
      <c r="C21642" s="11" t="s">
        <v>6142</v>
      </c>
    </row>
    <row r="21643" spans="1:4" ht="25.5" customHeight="1" x14ac:dyDescent="0.2">
      <c r="B21643" s="11" t="s">
        <v>2601</v>
      </c>
      <c r="C21643" s="11"/>
    </row>
    <row r="21644" spans="1:4" ht="12.75" customHeight="1" x14ac:dyDescent="0.2">
      <c r="B21644" s="11" t="s">
        <v>16</v>
      </c>
      <c r="C21644" s="11"/>
    </row>
    <row r="21645" spans="1:4" ht="12.75" customHeight="1" x14ac:dyDescent="0.2">
      <c r="B21645" s="11" t="s">
        <v>13</v>
      </c>
      <c r="C21645" s="11" t="s">
        <v>2644</v>
      </c>
    </row>
    <row r="21646" spans="1:4" ht="12.75" customHeight="1" x14ac:dyDescent="0.2">
      <c r="B21646" s="11" t="s">
        <v>2603</v>
      </c>
      <c r="C21646" s="11" t="s">
        <v>2604</v>
      </c>
    </row>
    <row r="21647" spans="1:4" ht="12.75" customHeight="1" x14ac:dyDescent="0.2">
      <c r="B21647" s="11" t="s">
        <v>2605</v>
      </c>
      <c r="C21647" s="11" t="s">
        <v>24</v>
      </c>
    </row>
    <row r="21648" spans="1:4" ht="12.75" customHeight="1" x14ac:dyDescent="0.2">
      <c r="B21648" s="11" t="s">
        <v>2606</v>
      </c>
      <c r="C21648" s="16" t="s">
        <v>57</v>
      </c>
      <c r="D21648" s="6" t="str">
        <f>HYPERLINK("javascript:void(0)","vízige")</f>
        <v>vízige</v>
      </c>
    </row>
    <row r="21649" spans="1:4" ht="12.75" customHeight="1" x14ac:dyDescent="0.2">
      <c r="C21649" s="16" t="s">
        <v>44</v>
      </c>
      <c r="D21649" s="6" t="str">
        <f>HYPERLINK("javascript:void(0)","rémkép")</f>
        <v>rémkép</v>
      </c>
    </row>
    <row r="21650" spans="1:4" ht="12.75" customHeight="1" x14ac:dyDescent="0.2">
      <c r="B21650" s="2"/>
      <c r="C21650" s="15"/>
      <c r="D21650" s="2"/>
    </row>
    <row r="21651" spans="1:4" ht="12.75" customHeight="1" x14ac:dyDescent="0.2">
      <c r="B21651" s="2"/>
      <c r="C21651" s="15"/>
      <c r="D21651" s="2"/>
    </row>
    <row r="21652" spans="1:4" ht="12.75" customHeight="1" x14ac:dyDescent="0.2">
      <c r="A21652" s="13" t="s">
        <v>6144</v>
      </c>
      <c r="C21652" s="12"/>
    </row>
    <row r="21653" spans="1:4" ht="12.75" customHeight="1" x14ac:dyDescent="0.2">
      <c r="A21653" s="11"/>
      <c r="B21653" s="2"/>
      <c r="C21653" s="15"/>
      <c r="D21653" s="2"/>
    </row>
    <row r="21654" spans="1:4" ht="12.75" customHeight="1" x14ac:dyDescent="0.2">
      <c r="B21654" s="11" t="s">
        <v>0</v>
      </c>
      <c r="C21654" s="11" t="s">
        <v>1230</v>
      </c>
    </row>
    <row r="21655" spans="1:4" ht="12.75" customHeight="1" x14ac:dyDescent="0.2">
      <c r="B21655" s="11" t="s">
        <v>2599</v>
      </c>
      <c r="C21655" s="11" t="s">
        <v>6145</v>
      </c>
    </row>
    <row r="21656" spans="1:4" ht="25.5" customHeight="1" x14ac:dyDescent="0.2">
      <c r="B21656" s="11" t="s">
        <v>2600</v>
      </c>
      <c r="C21656" s="11" t="s">
        <v>6146</v>
      </c>
    </row>
    <row r="21657" spans="1:4" ht="25.5" customHeight="1" x14ac:dyDescent="0.2">
      <c r="B21657" s="11" t="s">
        <v>2601</v>
      </c>
      <c r="C21657" s="11"/>
    </row>
    <row r="21658" spans="1:4" ht="12.75" customHeight="1" x14ac:dyDescent="0.2">
      <c r="B21658" s="11" t="s">
        <v>16</v>
      </c>
      <c r="C21658" s="11"/>
    </row>
    <row r="21659" spans="1:4" ht="12.75" customHeight="1" x14ac:dyDescent="0.2">
      <c r="B21659" s="11" t="s">
        <v>13</v>
      </c>
      <c r="C21659" s="11" t="s">
        <v>2602</v>
      </c>
    </row>
    <row r="21660" spans="1:4" ht="12.75" customHeight="1" x14ac:dyDescent="0.2">
      <c r="B21660" s="11" t="s">
        <v>2603</v>
      </c>
      <c r="C21660" s="11" t="s">
        <v>2604</v>
      </c>
    </row>
    <row r="21661" spans="1:4" ht="12.75" customHeight="1" x14ac:dyDescent="0.2">
      <c r="B21661" s="11" t="s">
        <v>2605</v>
      </c>
      <c r="C21661" s="11" t="s">
        <v>24</v>
      </c>
    </row>
    <row r="21662" spans="1:4" ht="25.5" customHeight="1" x14ac:dyDescent="0.2">
      <c r="B21662" s="11" t="s">
        <v>2606</v>
      </c>
      <c r="C21662" s="16" t="s">
        <v>77</v>
      </c>
      <c r="D21662" s="6" t="str">
        <f>HYPERLINK("javascript:void(0)","kígyópikkely")</f>
        <v>kígyópikkely</v>
      </c>
    </row>
    <row r="21663" spans="1:4" ht="12.75" customHeight="1" x14ac:dyDescent="0.2">
      <c r="C21663" s="16" t="s">
        <v>56</v>
      </c>
      <c r="D21663" s="6" t="str">
        <f>HYPERLINK("javascript:void(0)","méregfog")</f>
        <v>méregfog</v>
      </c>
    </row>
    <row r="21664" spans="1:4" ht="12.75" customHeight="1" x14ac:dyDescent="0.2">
      <c r="B21664" s="2"/>
      <c r="C21664" s="15"/>
      <c r="D21664" s="2"/>
    </row>
    <row r="21665" spans="1:4" ht="12.75" customHeight="1" x14ac:dyDescent="0.2">
      <c r="B21665" s="2"/>
      <c r="C21665" s="15"/>
      <c r="D21665" s="2"/>
    </row>
    <row r="21666" spans="1:4" ht="12.75" customHeight="1" x14ac:dyDescent="0.2">
      <c r="A21666" s="13" t="s">
        <v>6147</v>
      </c>
      <c r="C21666" s="12"/>
    </row>
    <row r="21667" spans="1:4" ht="12.75" customHeight="1" x14ac:dyDescent="0.2">
      <c r="A21667" s="11"/>
      <c r="B21667" s="2"/>
      <c r="C21667" s="15"/>
      <c r="D21667" s="2"/>
    </row>
    <row r="21668" spans="1:4" ht="12.75" customHeight="1" x14ac:dyDescent="0.2">
      <c r="B21668" s="11" t="s">
        <v>0</v>
      </c>
      <c r="C21668" s="11" t="s">
        <v>1230</v>
      </c>
    </row>
    <row r="21669" spans="1:4" ht="12.75" customHeight="1" x14ac:dyDescent="0.2">
      <c r="B21669" s="11" t="s">
        <v>2599</v>
      </c>
      <c r="C21669" s="11" t="s">
        <v>6148</v>
      </c>
    </row>
    <row r="21670" spans="1:4" ht="25.5" customHeight="1" x14ac:dyDescent="0.2">
      <c r="B21670" s="11" t="s">
        <v>2600</v>
      </c>
      <c r="C21670" s="11" t="s">
        <v>6149</v>
      </c>
    </row>
    <row r="21671" spans="1:4" ht="25.5" customHeight="1" x14ac:dyDescent="0.2">
      <c r="B21671" s="11" t="s">
        <v>2601</v>
      </c>
      <c r="C21671" s="11"/>
    </row>
    <row r="21672" spans="1:4" ht="12.75" customHeight="1" x14ac:dyDescent="0.2">
      <c r="B21672" s="11" t="s">
        <v>16</v>
      </c>
      <c r="C21672" s="11"/>
    </row>
    <row r="21673" spans="1:4" ht="12.75" customHeight="1" x14ac:dyDescent="0.2">
      <c r="B21673" s="11" t="s">
        <v>13</v>
      </c>
      <c r="C21673" s="11" t="s">
        <v>2644</v>
      </c>
    </row>
    <row r="21674" spans="1:4" ht="12.75" customHeight="1" x14ac:dyDescent="0.2">
      <c r="B21674" s="11" t="s">
        <v>2603</v>
      </c>
      <c r="C21674" s="11" t="s">
        <v>2604</v>
      </c>
    </row>
    <row r="21675" spans="1:4" ht="12.75" customHeight="1" x14ac:dyDescent="0.2">
      <c r="B21675" s="11" t="s">
        <v>2605</v>
      </c>
      <c r="C21675" s="11" t="s">
        <v>24</v>
      </c>
    </row>
    <row r="21676" spans="1:4" ht="12.75" customHeight="1" x14ac:dyDescent="0.2">
      <c r="B21676" s="11" t="s">
        <v>2606</v>
      </c>
      <c r="C21676" s="16" t="s">
        <v>67</v>
      </c>
      <c r="D21676" s="6" t="str">
        <f>HYPERLINK("javascript:void(0)","eledel")</f>
        <v>eledel</v>
      </c>
    </row>
    <row r="21677" spans="1:4" ht="12.75" customHeight="1" x14ac:dyDescent="0.2">
      <c r="B21677" s="2"/>
      <c r="C21677" s="15"/>
      <c r="D21677" s="2"/>
    </row>
    <row r="21678" spans="1:4" ht="12.75" customHeight="1" x14ac:dyDescent="0.2">
      <c r="B21678" s="2"/>
      <c r="C21678" s="15"/>
      <c r="D21678" s="2"/>
    </row>
    <row r="21679" spans="1:4" ht="12.75" customHeight="1" x14ac:dyDescent="0.2">
      <c r="A21679" s="13" t="s">
        <v>6151</v>
      </c>
      <c r="C21679" s="12"/>
    </row>
    <row r="21680" spans="1:4" ht="12.75" customHeight="1" x14ac:dyDescent="0.2">
      <c r="A21680" s="11"/>
      <c r="B21680" s="2"/>
      <c r="C21680" s="15"/>
      <c r="D21680" s="2"/>
    </row>
    <row r="21681" spans="1:4" ht="12.75" customHeight="1" x14ac:dyDescent="0.2">
      <c r="B21681" s="11" t="s">
        <v>0</v>
      </c>
      <c r="C21681" s="11" t="s">
        <v>1230</v>
      </c>
    </row>
    <row r="21682" spans="1:4" ht="12.75" customHeight="1" x14ac:dyDescent="0.2">
      <c r="B21682" s="11" t="s">
        <v>2599</v>
      </c>
      <c r="C21682" s="11" t="s">
        <v>2208</v>
      </c>
    </row>
    <row r="21683" spans="1:4" ht="25.5" customHeight="1" x14ac:dyDescent="0.2">
      <c r="B21683" s="11" t="s">
        <v>2600</v>
      </c>
      <c r="C21683" s="11" t="s">
        <v>6152</v>
      </c>
    </row>
    <row r="21684" spans="1:4" ht="25.5" customHeight="1" x14ac:dyDescent="0.2">
      <c r="B21684" s="11" t="s">
        <v>2601</v>
      </c>
      <c r="C21684" s="11"/>
    </row>
    <row r="21685" spans="1:4" ht="12.75" customHeight="1" x14ac:dyDescent="0.2">
      <c r="B21685" s="11" t="s">
        <v>16</v>
      </c>
      <c r="C21685" s="11"/>
    </row>
    <row r="21686" spans="1:4" ht="12.75" customHeight="1" x14ac:dyDescent="0.2">
      <c r="B21686" s="11" t="s">
        <v>13</v>
      </c>
      <c r="C21686" s="11" t="s">
        <v>2602</v>
      </c>
    </row>
    <row r="21687" spans="1:4" ht="12.75" customHeight="1" x14ac:dyDescent="0.2">
      <c r="B21687" s="11" t="s">
        <v>2603</v>
      </c>
      <c r="C21687" s="11" t="s">
        <v>2604</v>
      </c>
    </row>
    <row r="21688" spans="1:4" ht="12.75" customHeight="1" x14ac:dyDescent="0.2">
      <c r="B21688" s="11" t="s">
        <v>2605</v>
      </c>
      <c r="C21688" s="11" t="s">
        <v>24</v>
      </c>
    </row>
    <row r="21689" spans="1:4" ht="25.5" customHeight="1" x14ac:dyDescent="0.2">
      <c r="B21689" s="11" t="s">
        <v>2606</v>
      </c>
      <c r="C21689" s="16" t="s">
        <v>56</v>
      </c>
      <c r="D21689" s="6" t="str">
        <f>HYPERLINK("javascript:void(0)","idegen herkentyű")</f>
        <v>idegen herkentyű</v>
      </c>
    </row>
    <row r="21690" spans="1:4" ht="12.75" customHeight="1" x14ac:dyDescent="0.2">
      <c r="B21690" s="2"/>
      <c r="C21690" s="15"/>
      <c r="D21690" s="2"/>
    </row>
    <row r="21691" spans="1:4" ht="12.75" customHeight="1" x14ac:dyDescent="0.2">
      <c r="B21691" s="2"/>
      <c r="C21691" s="15"/>
      <c r="D21691" s="2"/>
    </row>
    <row r="21692" spans="1:4" ht="12.75" customHeight="1" x14ac:dyDescent="0.2">
      <c r="A21692" s="13" t="s">
        <v>6153</v>
      </c>
      <c r="C21692" s="12"/>
    </row>
    <row r="21693" spans="1:4" ht="12.75" customHeight="1" x14ac:dyDescent="0.2">
      <c r="A21693" s="11"/>
      <c r="B21693" s="2"/>
      <c r="C21693" s="15"/>
      <c r="D21693" s="2"/>
    </row>
    <row r="21694" spans="1:4" ht="12.75" customHeight="1" x14ac:dyDescent="0.2">
      <c r="B21694" s="11" t="s">
        <v>0</v>
      </c>
      <c r="C21694" s="11" t="s">
        <v>1230</v>
      </c>
    </row>
    <row r="21695" spans="1:4" ht="12.75" customHeight="1" x14ac:dyDescent="0.2">
      <c r="B21695" s="11" t="s">
        <v>2599</v>
      </c>
      <c r="C21695" s="11" t="s">
        <v>2720</v>
      </c>
    </row>
    <row r="21696" spans="1:4" ht="25.5" customHeight="1" x14ac:dyDescent="0.2">
      <c r="B21696" s="11" t="s">
        <v>2600</v>
      </c>
      <c r="C21696" s="11" t="s">
        <v>6154</v>
      </c>
    </row>
    <row r="21697" spans="1:4" ht="25.5" customHeight="1" x14ac:dyDescent="0.2">
      <c r="B21697" s="11" t="s">
        <v>2601</v>
      </c>
      <c r="C21697" s="11"/>
    </row>
    <row r="21698" spans="1:4" ht="12.75" customHeight="1" x14ac:dyDescent="0.2">
      <c r="B21698" s="11" t="s">
        <v>16</v>
      </c>
      <c r="C21698" s="11"/>
    </row>
    <row r="21699" spans="1:4" ht="12.75" customHeight="1" x14ac:dyDescent="0.2">
      <c r="B21699" s="11" t="s">
        <v>13</v>
      </c>
      <c r="C21699" s="11" t="s">
        <v>2644</v>
      </c>
    </row>
    <row r="21700" spans="1:4" ht="12.75" customHeight="1" x14ac:dyDescent="0.2">
      <c r="B21700" s="11" t="s">
        <v>2603</v>
      </c>
      <c r="C21700" s="11" t="s">
        <v>2604</v>
      </c>
    </row>
    <row r="21701" spans="1:4" ht="12.75" customHeight="1" x14ac:dyDescent="0.2">
      <c r="B21701" s="11" t="s">
        <v>2605</v>
      </c>
      <c r="C21701" s="11" t="s">
        <v>24</v>
      </c>
    </row>
    <row r="21702" spans="1:4" ht="25.5" customHeight="1" x14ac:dyDescent="0.2">
      <c r="B21702" s="11" t="s">
        <v>2606</v>
      </c>
      <c r="C21702" s="16" t="s">
        <v>56</v>
      </c>
      <c r="D21702" s="6" t="str">
        <f>HYPERLINK("javascript:void(0)","lélegző sarokkő")</f>
        <v>lélegző sarokkő</v>
      </c>
    </row>
    <row r="21703" spans="1:4" ht="12.75" customHeight="1" x14ac:dyDescent="0.2">
      <c r="C21703" s="16" t="s">
        <v>57</v>
      </c>
      <c r="D21703" s="6" t="str">
        <f>HYPERLINK("javascript:void(0)","nehézvíz")</f>
        <v>nehézvíz</v>
      </c>
    </row>
    <row r="21704" spans="1:4" ht="12.75" customHeight="1" x14ac:dyDescent="0.2">
      <c r="B21704" s="2"/>
      <c r="C21704" s="15"/>
      <c r="D21704" s="2"/>
    </row>
    <row r="21705" spans="1:4" ht="12.75" customHeight="1" x14ac:dyDescent="0.2">
      <c r="B21705" s="2"/>
      <c r="C21705" s="15"/>
      <c r="D21705" s="2"/>
    </row>
    <row r="21706" spans="1:4" ht="12.75" customHeight="1" x14ac:dyDescent="0.2">
      <c r="A21706" s="13" t="s">
        <v>6155</v>
      </c>
      <c r="C21706" s="12"/>
    </row>
    <row r="21707" spans="1:4" ht="12.75" customHeight="1" x14ac:dyDescent="0.2">
      <c r="A21707" s="11"/>
      <c r="B21707" s="2"/>
      <c r="C21707" s="15"/>
      <c r="D21707" s="2"/>
    </row>
    <row r="21708" spans="1:4" ht="12.75" customHeight="1" x14ac:dyDescent="0.2">
      <c r="B21708" s="11" t="s">
        <v>0</v>
      </c>
      <c r="C21708" s="11" t="s">
        <v>1230</v>
      </c>
    </row>
    <row r="21709" spans="1:4" ht="12.75" customHeight="1" x14ac:dyDescent="0.2">
      <c r="B21709" s="11" t="s">
        <v>2599</v>
      </c>
      <c r="C21709" s="11" t="s">
        <v>6156</v>
      </c>
    </row>
    <row r="21710" spans="1:4" ht="25.5" customHeight="1" x14ac:dyDescent="0.2">
      <c r="B21710" s="11" t="s">
        <v>2600</v>
      </c>
      <c r="C21710" s="11" t="s">
        <v>6157</v>
      </c>
    </row>
    <row r="21711" spans="1:4" ht="25.5" customHeight="1" x14ac:dyDescent="0.2">
      <c r="B21711" s="11" t="s">
        <v>2601</v>
      </c>
      <c r="C21711" s="11"/>
    </row>
    <row r="21712" spans="1:4" ht="12.75" customHeight="1" x14ac:dyDescent="0.2">
      <c r="B21712" s="11" t="s">
        <v>16</v>
      </c>
      <c r="C21712" s="11"/>
    </row>
    <row r="21713" spans="1:4" ht="12.75" customHeight="1" x14ac:dyDescent="0.2">
      <c r="B21713" s="11" t="s">
        <v>13</v>
      </c>
      <c r="C21713" s="11" t="s">
        <v>2644</v>
      </c>
    </row>
    <row r="21714" spans="1:4" ht="12.75" customHeight="1" x14ac:dyDescent="0.2">
      <c r="B21714" s="11" t="s">
        <v>2603</v>
      </c>
      <c r="C21714" s="11" t="s">
        <v>2604</v>
      </c>
    </row>
    <row r="21715" spans="1:4" ht="12.75" customHeight="1" x14ac:dyDescent="0.2">
      <c r="B21715" s="11" t="s">
        <v>2605</v>
      </c>
      <c r="C21715" s="11" t="s">
        <v>24</v>
      </c>
    </row>
    <row r="21716" spans="1:4" ht="12.75" customHeight="1" x14ac:dyDescent="0.2">
      <c r="B21716" s="11" t="s">
        <v>2606</v>
      </c>
      <c r="C21716" s="16" t="s">
        <v>44</v>
      </c>
      <c r="D21716" s="6" t="str">
        <f>HYPERLINK("javascript:void(0)","lombik")</f>
        <v>lombik</v>
      </c>
    </row>
    <row r="21717" spans="1:4" ht="12.75" customHeight="1" x14ac:dyDescent="0.2">
      <c r="B21717" s="2"/>
      <c r="C21717" s="15"/>
      <c r="D21717" s="2"/>
    </row>
    <row r="21718" spans="1:4" ht="12.75" customHeight="1" x14ac:dyDescent="0.2">
      <c r="B21718" s="2"/>
      <c r="C21718" s="15"/>
      <c r="D21718" s="2"/>
    </row>
    <row r="21719" spans="1:4" ht="12.75" customHeight="1" x14ac:dyDescent="0.2">
      <c r="A21719" s="13" t="s">
        <v>6108</v>
      </c>
      <c r="C21719" s="12"/>
      <c r="D21719" s="2"/>
    </row>
    <row r="21720" spans="1:4" ht="12.75" customHeight="1" x14ac:dyDescent="0.2">
      <c r="A21720" s="11"/>
      <c r="B21720" s="2"/>
      <c r="C21720" s="15"/>
      <c r="D21720" s="2"/>
    </row>
    <row r="21721" spans="1:4" ht="12.75" customHeight="1" x14ac:dyDescent="0.2">
      <c r="B21721" s="11" t="s">
        <v>0</v>
      </c>
      <c r="C21721" s="17" t="s">
        <v>1230</v>
      </c>
      <c r="D21721" s="2"/>
    </row>
    <row r="21722" spans="1:4" ht="12.75" customHeight="1" x14ac:dyDescent="0.2">
      <c r="B21722" s="11" t="s">
        <v>2599</v>
      </c>
      <c r="C21722" s="17" t="s">
        <v>6111</v>
      </c>
      <c r="D21722" s="2"/>
    </row>
    <row r="21723" spans="1:4" ht="25.5" customHeight="1" x14ac:dyDescent="0.2">
      <c r="B21723" s="11" t="s">
        <v>2600</v>
      </c>
      <c r="C21723" s="17" t="s">
        <v>6158</v>
      </c>
      <c r="D21723" s="2"/>
    </row>
    <row r="21724" spans="1:4" ht="25.5" customHeight="1" x14ac:dyDescent="0.2">
      <c r="B21724" s="11" t="s">
        <v>2601</v>
      </c>
      <c r="C21724" s="17"/>
      <c r="D21724" s="2"/>
    </row>
    <row r="21725" spans="1:4" ht="12.75" customHeight="1" x14ac:dyDescent="0.2">
      <c r="B21725" s="11" t="s">
        <v>16</v>
      </c>
      <c r="C21725" s="17"/>
      <c r="D21725" s="2"/>
    </row>
    <row r="21726" spans="1:4" ht="12.75" customHeight="1" x14ac:dyDescent="0.2">
      <c r="B21726" s="11" t="s">
        <v>13</v>
      </c>
      <c r="C21726" s="17" t="s">
        <v>2644</v>
      </c>
      <c r="D21726" s="2"/>
    </row>
    <row r="21727" spans="1:4" ht="25.5" customHeight="1" x14ac:dyDescent="0.2">
      <c r="B21727" s="11" t="s">
        <v>2603</v>
      </c>
      <c r="C21727" s="17" t="s">
        <v>2971</v>
      </c>
      <c r="D21727" s="2"/>
    </row>
    <row r="21728" spans="1:4" ht="12.75" customHeight="1" x14ac:dyDescent="0.2">
      <c r="B21728" s="11" t="s">
        <v>2605</v>
      </c>
      <c r="C21728" s="17" t="s">
        <v>14</v>
      </c>
      <c r="D21728" s="2"/>
    </row>
    <row r="21729" spans="1:4" ht="12.75" customHeight="1" x14ac:dyDescent="0.2">
      <c r="B21729" s="11" t="s">
        <v>2606</v>
      </c>
      <c r="C21729" s="16" t="s">
        <v>19</v>
      </c>
      <c r="D21729" s="2"/>
    </row>
    <row r="21730" spans="1:4" ht="12.75" customHeight="1" x14ac:dyDescent="0.2">
      <c r="B21730" s="2"/>
      <c r="C21730" s="15"/>
      <c r="D21730" s="2"/>
    </row>
    <row r="21731" spans="1:4" ht="12.75" customHeight="1" x14ac:dyDescent="0.2">
      <c r="B21731" s="2"/>
      <c r="C21731" s="15"/>
      <c r="D21731" s="2"/>
    </row>
    <row r="21732" spans="1:4" ht="12.75" customHeight="1" x14ac:dyDescent="0.2">
      <c r="A21732" s="13" t="s">
        <v>6135</v>
      </c>
      <c r="C21732" s="12"/>
      <c r="D21732" s="2"/>
    </row>
    <row r="21733" spans="1:4" ht="12.75" customHeight="1" x14ac:dyDescent="0.2">
      <c r="A21733" s="11"/>
      <c r="B21733" s="2"/>
      <c r="C21733" s="15"/>
      <c r="D21733" s="2"/>
    </row>
    <row r="21734" spans="1:4" ht="12.75" customHeight="1" x14ac:dyDescent="0.2">
      <c r="B21734" s="11" t="s">
        <v>0</v>
      </c>
      <c r="C21734" s="17" t="s">
        <v>1230</v>
      </c>
      <c r="D21734" s="2"/>
    </row>
    <row r="21735" spans="1:4" ht="12.75" customHeight="1" x14ac:dyDescent="0.2">
      <c r="B21735" s="11" t="s">
        <v>2599</v>
      </c>
      <c r="C21735" s="17" t="s">
        <v>6136</v>
      </c>
      <c r="D21735" s="2"/>
    </row>
    <row r="21736" spans="1:4" ht="25.5" customHeight="1" x14ac:dyDescent="0.2">
      <c r="B21736" s="11" t="s">
        <v>2600</v>
      </c>
      <c r="C21736" s="17" t="s">
        <v>6159</v>
      </c>
      <c r="D21736" s="2"/>
    </row>
    <row r="21737" spans="1:4" ht="25.5" customHeight="1" x14ac:dyDescent="0.2">
      <c r="B21737" s="11" t="s">
        <v>2601</v>
      </c>
      <c r="C21737" s="17"/>
      <c r="D21737" s="2"/>
    </row>
    <row r="21738" spans="1:4" ht="12.75" customHeight="1" x14ac:dyDescent="0.2">
      <c r="B21738" s="11" t="s">
        <v>16</v>
      </c>
      <c r="C21738" s="17"/>
      <c r="D21738" s="2"/>
    </row>
    <row r="21739" spans="1:4" ht="12.75" customHeight="1" x14ac:dyDescent="0.2">
      <c r="B21739" s="11" t="s">
        <v>13</v>
      </c>
      <c r="C21739" s="17" t="s">
        <v>2602</v>
      </c>
      <c r="D21739" s="2"/>
    </row>
    <row r="21740" spans="1:4" ht="25.5" customHeight="1" x14ac:dyDescent="0.2">
      <c r="B21740" s="11" t="s">
        <v>2603</v>
      </c>
      <c r="C21740" s="17" t="s">
        <v>2971</v>
      </c>
      <c r="D21740" s="2"/>
    </row>
    <row r="21741" spans="1:4" ht="12.75" customHeight="1" x14ac:dyDescent="0.2">
      <c r="B21741" s="11" t="s">
        <v>2605</v>
      </c>
      <c r="C21741" s="17" t="s">
        <v>14</v>
      </c>
      <c r="D21741" s="2"/>
    </row>
    <row r="21742" spans="1:4" ht="12.75" customHeight="1" x14ac:dyDescent="0.2">
      <c r="B21742" s="11" t="s">
        <v>2606</v>
      </c>
      <c r="C21742" s="16" t="s">
        <v>19</v>
      </c>
      <c r="D21742" s="2"/>
    </row>
    <row r="21743" spans="1:4" ht="12.75" customHeight="1" x14ac:dyDescent="0.2">
      <c r="B21743" s="2"/>
      <c r="C21743" s="15"/>
      <c r="D21743" s="2"/>
    </row>
    <row r="21744" spans="1:4" ht="12.75" customHeight="1" x14ac:dyDescent="0.2">
      <c r="B21744" s="2"/>
      <c r="C21744" s="15"/>
      <c r="D21744" s="2"/>
    </row>
    <row r="21745" spans="1:4" ht="12.75" customHeight="1" x14ac:dyDescent="0.2">
      <c r="A21745" s="13" t="s">
        <v>6103</v>
      </c>
      <c r="C21745" s="12"/>
      <c r="D21745" s="2"/>
    </row>
    <row r="21746" spans="1:4" ht="12.75" customHeight="1" x14ac:dyDescent="0.2">
      <c r="A21746" s="11"/>
      <c r="B21746" s="2"/>
      <c r="C21746" s="15"/>
      <c r="D21746" s="2"/>
    </row>
    <row r="21747" spans="1:4" ht="12.75" customHeight="1" x14ac:dyDescent="0.2">
      <c r="B21747" s="11" t="s">
        <v>0</v>
      </c>
      <c r="C21747" s="17" t="s">
        <v>330</v>
      </c>
      <c r="D21747" s="2"/>
    </row>
    <row r="21748" spans="1:4" ht="12.75" customHeight="1" x14ac:dyDescent="0.2">
      <c r="B21748" s="11" t="s">
        <v>2599</v>
      </c>
      <c r="C21748" s="17" t="s">
        <v>1977</v>
      </c>
      <c r="D21748" s="2"/>
    </row>
    <row r="21749" spans="1:4" ht="25.5" customHeight="1" x14ac:dyDescent="0.2">
      <c r="B21749" s="11" t="s">
        <v>2600</v>
      </c>
      <c r="C21749" s="17" t="s">
        <v>6160</v>
      </c>
      <c r="D21749" s="2"/>
    </row>
    <row r="21750" spans="1:4" ht="25.5" customHeight="1" x14ac:dyDescent="0.2">
      <c r="B21750" s="11" t="s">
        <v>2601</v>
      </c>
      <c r="C21750" s="17"/>
      <c r="D21750" s="2"/>
    </row>
    <row r="21751" spans="1:4" ht="12.75" customHeight="1" x14ac:dyDescent="0.2">
      <c r="B21751" s="11" t="s">
        <v>16</v>
      </c>
      <c r="C21751" s="17"/>
      <c r="D21751" s="2"/>
    </row>
    <row r="21752" spans="1:4" ht="12.75" customHeight="1" x14ac:dyDescent="0.2">
      <c r="B21752" s="11" t="s">
        <v>13</v>
      </c>
      <c r="C21752" s="17" t="s">
        <v>2602</v>
      </c>
      <c r="D21752" s="2"/>
    </row>
    <row r="21753" spans="1:4" ht="25.5" customHeight="1" x14ac:dyDescent="0.2">
      <c r="B21753" s="11" t="s">
        <v>2603</v>
      </c>
      <c r="C21753" s="17" t="s">
        <v>2971</v>
      </c>
      <c r="D21753" s="2"/>
    </row>
    <row r="21754" spans="1:4" ht="12.75" customHeight="1" x14ac:dyDescent="0.2">
      <c r="B21754" s="11" t="s">
        <v>2605</v>
      </c>
      <c r="C21754" s="17" t="s">
        <v>14</v>
      </c>
      <c r="D21754" s="2"/>
    </row>
    <row r="21755" spans="1:4" ht="12.75" customHeight="1" x14ac:dyDescent="0.2">
      <c r="B21755" s="11" t="s">
        <v>2606</v>
      </c>
      <c r="C21755" s="16" t="s">
        <v>19</v>
      </c>
      <c r="D21755" s="2"/>
    </row>
    <row r="21756" spans="1:4" ht="12.75" customHeight="1" x14ac:dyDescent="0.2">
      <c r="B21756" s="2"/>
      <c r="C21756" s="15"/>
      <c r="D21756" s="2"/>
    </row>
    <row r="21757" spans="1:4" ht="12.75" customHeight="1" x14ac:dyDescent="0.2">
      <c r="B21757" s="2"/>
      <c r="C21757" s="15"/>
      <c r="D21757" s="2"/>
    </row>
    <row r="21758" spans="1:4" ht="12.75" customHeight="1" x14ac:dyDescent="0.2">
      <c r="A21758" s="13" t="s">
        <v>6105</v>
      </c>
      <c r="C21758" s="12"/>
      <c r="D21758" s="2"/>
    </row>
    <row r="21759" spans="1:4" ht="12.75" customHeight="1" x14ac:dyDescent="0.2">
      <c r="A21759" s="11"/>
      <c r="B21759" s="2"/>
      <c r="C21759" s="15"/>
      <c r="D21759" s="2"/>
    </row>
    <row r="21760" spans="1:4" ht="12.75" customHeight="1" x14ac:dyDescent="0.2">
      <c r="B21760" s="11" t="s">
        <v>0</v>
      </c>
      <c r="C21760" s="17" t="s">
        <v>330</v>
      </c>
      <c r="D21760" s="2"/>
    </row>
    <row r="21761" spans="1:4" ht="12.75" customHeight="1" x14ac:dyDescent="0.2">
      <c r="B21761" s="11" t="s">
        <v>2599</v>
      </c>
      <c r="C21761" s="17" t="s">
        <v>3416</v>
      </c>
      <c r="D21761" s="2"/>
    </row>
    <row r="21762" spans="1:4" ht="25.5" customHeight="1" x14ac:dyDescent="0.2">
      <c r="B21762" s="11" t="s">
        <v>2600</v>
      </c>
      <c r="C21762" s="17" t="s">
        <v>6161</v>
      </c>
      <c r="D21762" s="2"/>
    </row>
    <row r="21763" spans="1:4" ht="25.5" customHeight="1" x14ac:dyDescent="0.2">
      <c r="B21763" s="11" t="s">
        <v>2601</v>
      </c>
      <c r="C21763" s="17"/>
      <c r="D21763" s="2"/>
    </row>
    <row r="21764" spans="1:4" ht="12.75" customHeight="1" x14ac:dyDescent="0.2">
      <c r="B21764" s="11" t="s">
        <v>16</v>
      </c>
      <c r="C21764" s="17"/>
      <c r="D21764" s="2"/>
    </row>
    <row r="21765" spans="1:4" ht="12.75" customHeight="1" x14ac:dyDescent="0.2">
      <c r="B21765" s="11" t="s">
        <v>13</v>
      </c>
      <c r="C21765" s="17" t="s">
        <v>2644</v>
      </c>
      <c r="D21765" s="2"/>
    </row>
    <row r="21766" spans="1:4" ht="25.5" customHeight="1" x14ac:dyDescent="0.2">
      <c r="B21766" s="11" t="s">
        <v>2603</v>
      </c>
      <c r="C21766" s="17" t="s">
        <v>2971</v>
      </c>
      <c r="D21766" s="2"/>
    </row>
    <row r="21767" spans="1:4" ht="12.75" customHeight="1" x14ac:dyDescent="0.2">
      <c r="B21767" s="11" t="s">
        <v>2605</v>
      </c>
      <c r="C21767" s="17" t="s">
        <v>14</v>
      </c>
      <c r="D21767" s="2"/>
    </row>
    <row r="21768" spans="1:4" ht="12.75" customHeight="1" x14ac:dyDescent="0.2">
      <c r="B21768" s="11" t="s">
        <v>2606</v>
      </c>
      <c r="C21768" s="16" t="s">
        <v>19</v>
      </c>
      <c r="D21768" s="2"/>
    </row>
    <row r="21769" spans="1:4" ht="12.75" customHeight="1" x14ac:dyDescent="0.2">
      <c r="B21769" s="2"/>
      <c r="C21769" s="15"/>
      <c r="D21769" s="2"/>
    </row>
    <row r="21770" spans="1:4" ht="12.75" customHeight="1" x14ac:dyDescent="0.2">
      <c r="B21770" s="2"/>
      <c r="C21770" s="15"/>
      <c r="D21770" s="2"/>
    </row>
    <row r="21771" spans="1:4" ht="12.75" customHeight="1" x14ac:dyDescent="0.2">
      <c r="A21771" s="13" t="s">
        <v>6162</v>
      </c>
      <c r="C21771" s="12"/>
    </row>
    <row r="21772" spans="1:4" ht="12.75" customHeight="1" x14ac:dyDescent="0.2">
      <c r="A21772" s="11"/>
      <c r="B21772" s="2"/>
      <c r="C21772" s="15"/>
      <c r="D21772" s="2"/>
    </row>
    <row r="21773" spans="1:4" ht="12.75" customHeight="1" x14ac:dyDescent="0.2">
      <c r="B21773" s="11" t="s">
        <v>0</v>
      </c>
      <c r="C21773" s="11" t="s">
        <v>330</v>
      </c>
    </row>
    <row r="21774" spans="1:4" ht="12.75" customHeight="1" x14ac:dyDescent="0.2">
      <c r="B21774" s="11" t="s">
        <v>2599</v>
      </c>
      <c r="C21774" s="11" t="s">
        <v>6163</v>
      </c>
    </row>
    <row r="21775" spans="1:4" ht="25.5" customHeight="1" x14ac:dyDescent="0.2">
      <c r="B21775" s="11" t="s">
        <v>2600</v>
      </c>
      <c r="C21775" s="11" t="s">
        <v>6164</v>
      </c>
    </row>
    <row r="21776" spans="1:4" ht="25.5" customHeight="1" x14ac:dyDescent="0.2">
      <c r="B21776" s="11" t="s">
        <v>2601</v>
      </c>
      <c r="C21776" s="11"/>
    </row>
    <row r="21777" spans="1:4" ht="12.75" customHeight="1" x14ac:dyDescent="0.2">
      <c r="B21777" s="11" t="s">
        <v>16</v>
      </c>
      <c r="C21777" s="11"/>
    </row>
    <row r="21778" spans="1:4" ht="12.75" customHeight="1" x14ac:dyDescent="0.2">
      <c r="B21778" s="11" t="s">
        <v>13</v>
      </c>
      <c r="C21778" s="11" t="s">
        <v>2644</v>
      </c>
    </row>
    <row r="21779" spans="1:4" ht="12.75" customHeight="1" x14ac:dyDescent="0.2">
      <c r="B21779" s="11" t="s">
        <v>2603</v>
      </c>
      <c r="C21779" s="11" t="s">
        <v>2604</v>
      </c>
    </row>
    <row r="21780" spans="1:4" ht="12.75" customHeight="1" x14ac:dyDescent="0.2">
      <c r="B21780" s="11" t="s">
        <v>2605</v>
      </c>
      <c r="C21780" s="11" t="s">
        <v>24</v>
      </c>
    </row>
    <row r="21781" spans="1:4" ht="12.75" customHeight="1" x14ac:dyDescent="0.2">
      <c r="B21781" s="11" t="s">
        <v>2606</v>
      </c>
      <c r="C21781" s="16" t="s">
        <v>55</v>
      </c>
      <c r="D21781" s="6" t="str">
        <f>HYPERLINK("javascript:void(0)","fatális hiba")</f>
        <v>fatális hiba</v>
      </c>
    </row>
    <row r="21782" spans="1:4" ht="12.75" customHeight="1" x14ac:dyDescent="0.2">
      <c r="B21782" s="2"/>
      <c r="C21782" s="15"/>
      <c r="D21782" s="2"/>
    </row>
    <row r="21783" spans="1:4" ht="12.75" customHeight="1" x14ac:dyDescent="0.2">
      <c r="B21783" s="2"/>
      <c r="C21783" s="15"/>
      <c r="D21783" s="2"/>
    </row>
    <row r="21784" spans="1:4" ht="12.75" customHeight="1" x14ac:dyDescent="0.2">
      <c r="A21784" s="13" t="s">
        <v>6165</v>
      </c>
      <c r="C21784" s="12"/>
    </row>
    <row r="21785" spans="1:4" ht="12.75" customHeight="1" x14ac:dyDescent="0.2">
      <c r="A21785" s="11"/>
      <c r="B21785" s="2"/>
      <c r="C21785" s="15"/>
      <c r="D21785" s="2"/>
    </row>
    <row r="21786" spans="1:4" ht="12.75" customHeight="1" x14ac:dyDescent="0.2">
      <c r="B21786" s="11" t="s">
        <v>0</v>
      </c>
      <c r="C21786" s="11" t="s">
        <v>330</v>
      </c>
    </row>
    <row r="21787" spans="1:4" ht="12.75" customHeight="1" x14ac:dyDescent="0.2">
      <c r="B21787" s="11" t="s">
        <v>2599</v>
      </c>
      <c r="C21787" s="11" t="s">
        <v>6166</v>
      </c>
    </row>
    <row r="21788" spans="1:4" ht="25.5" customHeight="1" x14ac:dyDescent="0.2">
      <c r="B21788" s="11" t="s">
        <v>2600</v>
      </c>
      <c r="C21788" s="11" t="s">
        <v>6167</v>
      </c>
    </row>
    <row r="21789" spans="1:4" ht="25.5" customHeight="1" x14ac:dyDescent="0.2">
      <c r="B21789" s="11" t="s">
        <v>2601</v>
      </c>
      <c r="C21789" s="11"/>
    </row>
    <row r="21790" spans="1:4" ht="12.75" customHeight="1" x14ac:dyDescent="0.2">
      <c r="B21790" s="11" t="s">
        <v>16</v>
      </c>
      <c r="C21790" s="11"/>
    </row>
    <row r="21791" spans="1:4" ht="12.75" customHeight="1" x14ac:dyDescent="0.2">
      <c r="B21791" s="11" t="s">
        <v>13</v>
      </c>
      <c r="C21791" s="11" t="s">
        <v>2644</v>
      </c>
    </row>
    <row r="21792" spans="1:4" ht="12.75" customHeight="1" x14ac:dyDescent="0.2">
      <c r="B21792" s="11" t="s">
        <v>2603</v>
      </c>
      <c r="C21792" s="11" t="s">
        <v>2604</v>
      </c>
    </row>
    <row r="21793" spans="1:4" ht="12.75" customHeight="1" x14ac:dyDescent="0.2">
      <c r="B21793" s="11" t="s">
        <v>2605</v>
      </c>
      <c r="C21793" s="11" t="s">
        <v>24</v>
      </c>
    </row>
    <row r="21794" spans="1:4" ht="25.5" customHeight="1" x14ac:dyDescent="0.2">
      <c r="B21794" s="11" t="s">
        <v>2606</v>
      </c>
      <c r="C21794" s="16" t="s">
        <v>57</v>
      </c>
      <c r="D21794" s="6" t="str">
        <f>HYPERLINK("javascript:void(0)","démonszárny")</f>
        <v>démonszárny</v>
      </c>
    </row>
    <row r="21795" spans="1:4" ht="12.75" customHeight="1" x14ac:dyDescent="0.2">
      <c r="B21795" s="2"/>
      <c r="C21795" s="15"/>
      <c r="D21795" s="2"/>
    </row>
    <row r="21796" spans="1:4" ht="12.75" customHeight="1" x14ac:dyDescent="0.2">
      <c r="B21796" s="2"/>
      <c r="C21796" s="15"/>
      <c r="D21796" s="2"/>
    </row>
    <row r="21797" spans="1:4" ht="12.75" customHeight="1" x14ac:dyDescent="0.2">
      <c r="A21797" s="13" t="s">
        <v>6069</v>
      </c>
      <c r="C21797" s="12"/>
    </row>
    <row r="21798" spans="1:4" ht="12.75" customHeight="1" x14ac:dyDescent="0.2">
      <c r="A21798" s="11"/>
      <c r="B21798" s="2"/>
      <c r="C21798" s="15"/>
      <c r="D21798" s="2"/>
    </row>
    <row r="21799" spans="1:4" ht="12.75" customHeight="1" x14ac:dyDescent="0.2">
      <c r="B21799" s="11" t="s">
        <v>0</v>
      </c>
      <c r="C21799" s="11" t="s">
        <v>330</v>
      </c>
    </row>
    <row r="21800" spans="1:4" ht="12.75" customHeight="1" x14ac:dyDescent="0.2">
      <c r="B21800" s="11" t="s">
        <v>2599</v>
      </c>
      <c r="C21800" s="11" t="s">
        <v>6168</v>
      </c>
    </row>
    <row r="21801" spans="1:4" ht="25.5" customHeight="1" x14ac:dyDescent="0.2">
      <c r="B21801" s="11" t="s">
        <v>2600</v>
      </c>
      <c r="C21801" s="11" t="s">
        <v>6169</v>
      </c>
    </row>
    <row r="21802" spans="1:4" ht="25.5" customHeight="1" x14ac:dyDescent="0.2">
      <c r="B21802" s="11" t="s">
        <v>2601</v>
      </c>
      <c r="C21802" s="11"/>
    </row>
    <row r="21803" spans="1:4" ht="12.75" customHeight="1" x14ac:dyDescent="0.2">
      <c r="B21803" s="11" t="s">
        <v>16</v>
      </c>
      <c r="C21803" s="11"/>
    </row>
    <row r="21804" spans="1:4" ht="12.75" customHeight="1" x14ac:dyDescent="0.2">
      <c r="B21804" s="11" t="s">
        <v>13</v>
      </c>
      <c r="C21804" s="11" t="s">
        <v>2644</v>
      </c>
    </row>
    <row r="21805" spans="1:4" ht="12.75" customHeight="1" x14ac:dyDescent="0.2">
      <c r="B21805" s="11" t="s">
        <v>2603</v>
      </c>
      <c r="C21805" s="11" t="s">
        <v>2604</v>
      </c>
    </row>
    <row r="21806" spans="1:4" ht="12.75" customHeight="1" x14ac:dyDescent="0.2">
      <c r="B21806" s="11" t="s">
        <v>2605</v>
      </c>
      <c r="C21806" s="11" t="s">
        <v>24</v>
      </c>
    </row>
    <row r="21807" spans="1:4" ht="12.75" customHeight="1" x14ac:dyDescent="0.2">
      <c r="B21807" s="11" t="s">
        <v>2606</v>
      </c>
      <c r="C21807" s="16" t="s">
        <v>56</v>
      </c>
      <c r="D21807" s="6" t="str">
        <f>HYPERLINK("javascript:void(0)","felhőgyapjú")</f>
        <v>felhőgyapjú</v>
      </c>
    </row>
    <row r="21808" spans="1:4" ht="12.75" customHeight="1" x14ac:dyDescent="0.2">
      <c r="B21808" s="2"/>
      <c r="C21808" s="15"/>
      <c r="D21808" s="2"/>
    </row>
    <row r="21809" spans="1:4" ht="12.75" customHeight="1" x14ac:dyDescent="0.2">
      <c r="B21809" s="2"/>
      <c r="C21809" s="15"/>
      <c r="D21809" s="2"/>
    </row>
    <row r="21810" spans="1:4" ht="12.75" customHeight="1" x14ac:dyDescent="0.2">
      <c r="A21810" s="13" t="s">
        <v>6170</v>
      </c>
      <c r="C21810" s="12"/>
      <c r="D21810" s="2"/>
    </row>
    <row r="21811" spans="1:4" ht="12.75" customHeight="1" x14ac:dyDescent="0.2">
      <c r="A21811" s="11"/>
      <c r="B21811" s="2"/>
      <c r="C21811" s="15"/>
      <c r="D21811" s="2"/>
    </row>
    <row r="21812" spans="1:4" ht="12.75" customHeight="1" x14ac:dyDescent="0.2">
      <c r="B21812" s="11" t="s">
        <v>0</v>
      </c>
      <c r="C21812" s="17" t="s">
        <v>330</v>
      </c>
      <c r="D21812" s="2"/>
    </row>
    <row r="21813" spans="1:4" ht="12.75" customHeight="1" x14ac:dyDescent="0.2">
      <c r="B21813" s="11" t="s">
        <v>2599</v>
      </c>
      <c r="C21813" s="17" t="s">
        <v>6171</v>
      </c>
      <c r="D21813" s="2"/>
    </row>
    <row r="21814" spans="1:4" ht="25.5" customHeight="1" x14ac:dyDescent="0.2">
      <c r="B21814" s="11" t="s">
        <v>2600</v>
      </c>
      <c r="C21814" s="17" t="s">
        <v>6172</v>
      </c>
      <c r="D21814" s="2"/>
    </row>
    <row r="21815" spans="1:4" ht="25.5" customHeight="1" x14ac:dyDescent="0.2">
      <c r="B21815" s="11" t="s">
        <v>2601</v>
      </c>
      <c r="C21815" s="17"/>
      <c r="D21815" s="2"/>
    </row>
    <row r="21816" spans="1:4" ht="12.75" customHeight="1" x14ac:dyDescent="0.2">
      <c r="B21816" s="11" t="s">
        <v>16</v>
      </c>
      <c r="C21816" s="17"/>
      <c r="D21816" s="2"/>
    </row>
    <row r="21817" spans="1:4" ht="12.75" customHeight="1" x14ac:dyDescent="0.2">
      <c r="B21817" s="11" t="s">
        <v>13</v>
      </c>
      <c r="C21817" s="17" t="s">
        <v>2602</v>
      </c>
      <c r="D21817" s="2"/>
    </row>
    <row r="21818" spans="1:4" ht="12.75" customHeight="1" x14ac:dyDescent="0.2">
      <c r="B21818" s="11" t="s">
        <v>2603</v>
      </c>
      <c r="C21818" s="17" t="s">
        <v>2604</v>
      </c>
      <c r="D21818" s="2"/>
    </row>
    <row r="21819" spans="1:4" ht="12.75" customHeight="1" x14ac:dyDescent="0.2">
      <c r="B21819" s="11" t="s">
        <v>2605</v>
      </c>
      <c r="C21819" s="17" t="s">
        <v>24</v>
      </c>
      <c r="D21819" s="2"/>
    </row>
    <row r="21820" spans="1:4" ht="12.75" customHeight="1" x14ac:dyDescent="0.2">
      <c r="B21820" s="11" t="s">
        <v>2606</v>
      </c>
      <c r="C21820" s="16" t="s">
        <v>19</v>
      </c>
      <c r="D21820" s="2"/>
    </row>
    <row r="21821" spans="1:4" ht="12.75" customHeight="1" x14ac:dyDescent="0.2">
      <c r="B21821" s="2"/>
      <c r="C21821" s="15"/>
      <c r="D21821" s="2"/>
    </row>
    <row r="21822" spans="1:4" ht="12.75" customHeight="1" x14ac:dyDescent="0.2">
      <c r="B21822" s="2"/>
      <c r="C21822" s="15"/>
      <c r="D21822" s="2"/>
    </row>
    <row r="21823" spans="1:4" ht="12.75" customHeight="1" x14ac:dyDescent="0.2">
      <c r="A21823" s="13" t="s">
        <v>6173</v>
      </c>
      <c r="C21823" s="12"/>
    </row>
    <row r="21824" spans="1:4" ht="12.75" customHeight="1" x14ac:dyDescent="0.2">
      <c r="A21824" s="11"/>
      <c r="B21824" s="2"/>
      <c r="C21824" s="15"/>
      <c r="D21824" s="2"/>
    </row>
    <row r="21825" spans="1:4" ht="12.75" customHeight="1" x14ac:dyDescent="0.2">
      <c r="B21825" s="11" t="s">
        <v>0</v>
      </c>
      <c r="C21825" s="11" t="s">
        <v>330</v>
      </c>
    </row>
    <row r="21826" spans="1:4" ht="12.75" customHeight="1" x14ac:dyDescent="0.2">
      <c r="B21826" s="11" t="s">
        <v>2599</v>
      </c>
      <c r="C21826" s="11" t="s">
        <v>504</v>
      </c>
    </row>
    <row r="21827" spans="1:4" ht="25.5" customHeight="1" x14ac:dyDescent="0.2">
      <c r="B21827" s="11" t="s">
        <v>2600</v>
      </c>
      <c r="C21827" s="11" t="s">
        <v>6174</v>
      </c>
    </row>
    <row r="21828" spans="1:4" ht="25.5" customHeight="1" x14ac:dyDescent="0.2">
      <c r="B21828" s="11" t="s">
        <v>2601</v>
      </c>
      <c r="C21828" s="11"/>
    </row>
    <row r="21829" spans="1:4" ht="12.75" customHeight="1" x14ac:dyDescent="0.2">
      <c r="B21829" s="11" t="s">
        <v>16</v>
      </c>
      <c r="C21829" s="11"/>
    </row>
    <row r="21830" spans="1:4" ht="12.75" customHeight="1" x14ac:dyDescent="0.2">
      <c r="B21830" s="11" t="s">
        <v>13</v>
      </c>
      <c r="C21830" s="11" t="s">
        <v>2602</v>
      </c>
    </row>
    <row r="21831" spans="1:4" ht="12.75" customHeight="1" x14ac:dyDescent="0.2">
      <c r="B21831" s="11" t="s">
        <v>2603</v>
      </c>
      <c r="C21831" s="11" t="s">
        <v>2604</v>
      </c>
    </row>
    <row r="21832" spans="1:4" ht="12.75" customHeight="1" x14ac:dyDescent="0.2">
      <c r="B21832" s="11" t="s">
        <v>2605</v>
      </c>
      <c r="C21832" s="11" t="s">
        <v>24</v>
      </c>
    </row>
    <row r="21833" spans="1:4" ht="25.5" customHeight="1" x14ac:dyDescent="0.2">
      <c r="B21833" s="11" t="s">
        <v>2606</v>
      </c>
      <c r="C21833" s="16" t="s">
        <v>44</v>
      </c>
      <c r="D21833" s="6" t="str">
        <f>HYPERLINK("javascript:void(0)","idegen ketyere")</f>
        <v>idegen ketyere</v>
      </c>
    </row>
    <row r="21834" spans="1:4" ht="12.75" customHeight="1" x14ac:dyDescent="0.2">
      <c r="B21834" s="2"/>
      <c r="C21834" s="15"/>
      <c r="D21834" s="2"/>
    </row>
    <row r="21835" spans="1:4" ht="12.75" customHeight="1" x14ac:dyDescent="0.2">
      <c r="B21835" s="2"/>
      <c r="C21835" s="15"/>
      <c r="D21835" s="2"/>
    </row>
    <row r="21836" spans="1:4" ht="12.75" customHeight="1" x14ac:dyDescent="0.2">
      <c r="A21836" s="13" t="s">
        <v>6175</v>
      </c>
      <c r="C21836" s="12"/>
    </row>
    <row r="21837" spans="1:4" ht="12.75" customHeight="1" x14ac:dyDescent="0.2">
      <c r="A21837" s="11"/>
      <c r="B21837" s="2"/>
      <c r="C21837" s="15"/>
      <c r="D21837" s="2"/>
    </row>
    <row r="21838" spans="1:4" ht="12.75" customHeight="1" x14ac:dyDescent="0.2">
      <c r="B21838" s="11" t="s">
        <v>0</v>
      </c>
      <c r="C21838" s="11" t="s">
        <v>330</v>
      </c>
    </row>
    <row r="21839" spans="1:4" ht="12.75" customHeight="1" x14ac:dyDescent="0.2">
      <c r="B21839" s="11" t="s">
        <v>2599</v>
      </c>
      <c r="C21839" s="11" t="s">
        <v>6176</v>
      </c>
    </row>
    <row r="21840" spans="1:4" ht="25.5" customHeight="1" x14ac:dyDescent="0.2">
      <c r="B21840" s="11" t="s">
        <v>2600</v>
      </c>
      <c r="C21840" s="11" t="s">
        <v>6177</v>
      </c>
    </row>
    <row r="21841" spans="1:4" ht="25.5" customHeight="1" x14ac:dyDescent="0.2">
      <c r="B21841" s="11" t="s">
        <v>2601</v>
      </c>
      <c r="C21841" s="11"/>
    </row>
    <row r="21842" spans="1:4" ht="12.75" customHeight="1" x14ac:dyDescent="0.2">
      <c r="B21842" s="11" t="s">
        <v>16</v>
      </c>
      <c r="C21842" s="11"/>
    </row>
    <row r="21843" spans="1:4" ht="12.75" customHeight="1" x14ac:dyDescent="0.2">
      <c r="B21843" s="11" t="s">
        <v>13</v>
      </c>
      <c r="C21843" s="11" t="s">
        <v>2644</v>
      </c>
    </row>
    <row r="21844" spans="1:4" ht="12.75" customHeight="1" x14ac:dyDescent="0.2">
      <c r="B21844" s="11" t="s">
        <v>2603</v>
      </c>
      <c r="C21844" s="11" t="s">
        <v>2604</v>
      </c>
    </row>
    <row r="21845" spans="1:4" ht="12.75" customHeight="1" x14ac:dyDescent="0.2">
      <c r="B21845" s="11" t="s">
        <v>2605</v>
      </c>
      <c r="C21845" s="11" t="s">
        <v>24</v>
      </c>
    </row>
    <row r="21846" spans="1:4" ht="12.75" customHeight="1" x14ac:dyDescent="0.2">
      <c r="B21846" s="11" t="s">
        <v>2606</v>
      </c>
      <c r="C21846" s="16" t="s">
        <v>56</v>
      </c>
      <c r="D21846" s="6" t="str">
        <f>HYPERLINK("javascript:void(0)","raszta")</f>
        <v>raszta</v>
      </c>
    </row>
    <row r="21847" spans="1:4" ht="12.75" customHeight="1" x14ac:dyDescent="0.2">
      <c r="B21847" s="2"/>
      <c r="C21847" s="15"/>
      <c r="D21847" s="2"/>
    </row>
    <row r="21848" spans="1:4" ht="12.75" customHeight="1" x14ac:dyDescent="0.2">
      <c r="B21848" s="2"/>
      <c r="C21848" s="15"/>
      <c r="D21848" s="2"/>
    </row>
    <row r="21849" spans="1:4" ht="12.75" customHeight="1" x14ac:dyDescent="0.2">
      <c r="A21849" s="13" t="s">
        <v>6108</v>
      </c>
      <c r="C21849" s="12"/>
      <c r="D21849" s="2"/>
    </row>
    <row r="21850" spans="1:4" ht="12.75" customHeight="1" x14ac:dyDescent="0.2">
      <c r="A21850" s="11"/>
      <c r="B21850" s="2"/>
      <c r="C21850" s="15"/>
      <c r="D21850" s="2"/>
    </row>
    <row r="21851" spans="1:4" ht="12.75" customHeight="1" x14ac:dyDescent="0.2">
      <c r="B21851" s="11" t="s">
        <v>0</v>
      </c>
      <c r="C21851" s="17" t="s">
        <v>330</v>
      </c>
      <c r="D21851" s="2"/>
    </row>
    <row r="21852" spans="1:4" ht="12.75" customHeight="1" x14ac:dyDescent="0.2">
      <c r="B21852" s="11" t="s">
        <v>2599</v>
      </c>
      <c r="C21852" s="17" t="s">
        <v>6111</v>
      </c>
      <c r="D21852" s="2"/>
    </row>
    <row r="21853" spans="1:4" ht="25.5" customHeight="1" x14ac:dyDescent="0.2">
      <c r="B21853" s="11" t="s">
        <v>2600</v>
      </c>
      <c r="C21853" s="17" t="s">
        <v>6178</v>
      </c>
      <c r="D21853" s="2"/>
    </row>
    <row r="21854" spans="1:4" ht="25.5" customHeight="1" x14ac:dyDescent="0.2">
      <c r="B21854" s="11" t="s">
        <v>2601</v>
      </c>
      <c r="C21854" s="17"/>
      <c r="D21854" s="2"/>
    </row>
    <row r="21855" spans="1:4" ht="12.75" customHeight="1" x14ac:dyDescent="0.2">
      <c r="B21855" s="11" t="s">
        <v>16</v>
      </c>
      <c r="C21855" s="17"/>
      <c r="D21855" s="2"/>
    </row>
    <row r="21856" spans="1:4" ht="12.75" customHeight="1" x14ac:dyDescent="0.2">
      <c r="B21856" s="11" t="s">
        <v>13</v>
      </c>
      <c r="C21856" s="17" t="s">
        <v>2644</v>
      </c>
      <c r="D21856" s="2"/>
    </row>
    <row r="21857" spans="1:4" ht="25.5" customHeight="1" x14ac:dyDescent="0.2">
      <c r="B21857" s="11" t="s">
        <v>2603</v>
      </c>
      <c r="C21857" s="17" t="s">
        <v>2971</v>
      </c>
      <c r="D21857" s="2"/>
    </row>
    <row r="21858" spans="1:4" ht="12.75" customHeight="1" x14ac:dyDescent="0.2">
      <c r="B21858" s="11" t="s">
        <v>2605</v>
      </c>
      <c r="C21858" s="17" t="s">
        <v>14</v>
      </c>
      <c r="D21858" s="2"/>
    </row>
    <row r="21859" spans="1:4" ht="12.75" customHeight="1" x14ac:dyDescent="0.2">
      <c r="B21859" s="11" t="s">
        <v>2606</v>
      </c>
      <c r="C21859" s="16" t="s">
        <v>19</v>
      </c>
      <c r="D21859" s="2"/>
    </row>
    <row r="21860" spans="1:4" ht="12.75" customHeight="1" x14ac:dyDescent="0.2">
      <c r="B21860" s="2"/>
      <c r="C21860" s="15"/>
      <c r="D21860" s="2"/>
    </row>
    <row r="21861" spans="1:4" ht="12.75" customHeight="1" x14ac:dyDescent="0.2">
      <c r="B21861" s="2"/>
      <c r="C21861" s="15"/>
      <c r="D21861" s="2"/>
    </row>
    <row r="21862" spans="1:4" ht="12.75" customHeight="1" x14ac:dyDescent="0.2">
      <c r="A21862" s="13" t="s">
        <v>6135</v>
      </c>
      <c r="C21862" s="12"/>
      <c r="D21862" s="2"/>
    </row>
    <row r="21863" spans="1:4" ht="12.75" customHeight="1" x14ac:dyDescent="0.2">
      <c r="A21863" s="11"/>
      <c r="B21863" s="2"/>
      <c r="C21863" s="15"/>
      <c r="D21863" s="2"/>
    </row>
    <row r="21864" spans="1:4" ht="12.75" customHeight="1" x14ac:dyDescent="0.2">
      <c r="B21864" s="11" t="s">
        <v>0</v>
      </c>
      <c r="C21864" s="17" t="s">
        <v>330</v>
      </c>
      <c r="D21864" s="2"/>
    </row>
    <row r="21865" spans="1:4" ht="12.75" customHeight="1" x14ac:dyDescent="0.2">
      <c r="B21865" s="11" t="s">
        <v>2599</v>
      </c>
      <c r="C21865" s="17" t="s">
        <v>6136</v>
      </c>
      <c r="D21865" s="2"/>
    </row>
    <row r="21866" spans="1:4" ht="25.5" customHeight="1" x14ac:dyDescent="0.2">
      <c r="B21866" s="11" t="s">
        <v>2600</v>
      </c>
      <c r="C21866" s="17" t="s">
        <v>6179</v>
      </c>
      <c r="D21866" s="2"/>
    </row>
    <row r="21867" spans="1:4" ht="25.5" customHeight="1" x14ac:dyDescent="0.2">
      <c r="B21867" s="11" t="s">
        <v>2601</v>
      </c>
      <c r="C21867" s="17"/>
      <c r="D21867" s="2"/>
    </row>
    <row r="21868" spans="1:4" ht="12.75" customHeight="1" x14ac:dyDescent="0.2">
      <c r="B21868" s="11" t="s">
        <v>16</v>
      </c>
      <c r="C21868" s="17"/>
      <c r="D21868" s="2"/>
    </row>
    <row r="21869" spans="1:4" ht="12.75" customHeight="1" x14ac:dyDescent="0.2">
      <c r="B21869" s="11" t="s">
        <v>13</v>
      </c>
      <c r="C21869" s="17" t="s">
        <v>2602</v>
      </c>
      <c r="D21869" s="2"/>
    </row>
    <row r="21870" spans="1:4" ht="25.5" customHeight="1" x14ac:dyDescent="0.2">
      <c r="B21870" s="11" t="s">
        <v>2603</v>
      </c>
      <c r="C21870" s="17" t="s">
        <v>2971</v>
      </c>
      <c r="D21870" s="2"/>
    </row>
    <row r="21871" spans="1:4" ht="12.75" customHeight="1" x14ac:dyDescent="0.2">
      <c r="B21871" s="11" t="s">
        <v>2605</v>
      </c>
      <c r="C21871" s="17" t="s">
        <v>14</v>
      </c>
      <c r="D21871" s="2"/>
    </row>
    <row r="21872" spans="1:4" ht="12.75" customHeight="1" x14ac:dyDescent="0.2">
      <c r="B21872" s="11" t="s">
        <v>2606</v>
      </c>
      <c r="C21872" s="16" t="s">
        <v>19</v>
      </c>
      <c r="D21872" s="2"/>
    </row>
    <row r="21873" spans="1:4" ht="12.75" customHeight="1" x14ac:dyDescent="0.2">
      <c r="B21873" s="2"/>
      <c r="C21873" s="15"/>
      <c r="D21873" s="2"/>
    </row>
    <row r="21874" spans="1:4" ht="12.75" customHeight="1" x14ac:dyDescent="0.2">
      <c r="B21874" s="2"/>
      <c r="C21874" s="15"/>
      <c r="D21874" s="2"/>
    </row>
    <row r="21875" spans="1:4" ht="12.75" customHeight="1" x14ac:dyDescent="0.2">
      <c r="A21875" s="13" t="s">
        <v>2962</v>
      </c>
      <c r="C21875" s="12"/>
    </row>
    <row r="21876" spans="1:4" ht="12.75" customHeight="1" x14ac:dyDescent="0.2">
      <c r="A21876" s="11"/>
      <c r="B21876" s="2"/>
      <c r="C21876" s="15"/>
      <c r="D21876" s="2"/>
    </row>
    <row r="21877" spans="1:4" ht="12.75" customHeight="1" x14ac:dyDescent="0.2">
      <c r="B21877" s="11" t="s">
        <v>0</v>
      </c>
      <c r="C21877" s="11" t="s">
        <v>330</v>
      </c>
    </row>
    <row r="21878" spans="1:4" ht="12.75" customHeight="1" x14ac:dyDescent="0.2">
      <c r="B21878" s="11" t="s">
        <v>2599</v>
      </c>
      <c r="C21878" s="11" t="s">
        <v>6180</v>
      </c>
    </row>
    <row r="21879" spans="1:4" ht="25.5" customHeight="1" x14ac:dyDescent="0.2">
      <c r="B21879" s="11" t="s">
        <v>2600</v>
      </c>
      <c r="C21879" s="11" t="s">
        <v>6181</v>
      </c>
    </row>
    <row r="21880" spans="1:4" ht="25.5" customHeight="1" x14ac:dyDescent="0.2">
      <c r="B21880" s="11" t="s">
        <v>2601</v>
      </c>
      <c r="C21880" s="11"/>
    </row>
    <row r="21881" spans="1:4" ht="12.75" customHeight="1" x14ac:dyDescent="0.2">
      <c r="B21881" s="11" t="s">
        <v>16</v>
      </c>
      <c r="C21881" s="11"/>
    </row>
    <row r="21882" spans="1:4" ht="12.75" customHeight="1" x14ac:dyDescent="0.2">
      <c r="B21882" s="11" t="s">
        <v>13</v>
      </c>
      <c r="C21882" s="11" t="s">
        <v>2644</v>
      </c>
    </row>
    <row r="21883" spans="1:4" ht="12.75" customHeight="1" x14ac:dyDescent="0.2">
      <c r="B21883" s="11" t="s">
        <v>2603</v>
      </c>
      <c r="C21883" s="11" t="s">
        <v>2965</v>
      </c>
    </row>
    <row r="21884" spans="1:4" ht="12.75" customHeight="1" x14ac:dyDescent="0.2">
      <c r="B21884" s="11" t="s">
        <v>2605</v>
      </c>
      <c r="C21884" s="11" t="s">
        <v>14</v>
      </c>
    </row>
    <row r="21885" spans="1:4" ht="12.75" customHeight="1" x14ac:dyDescent="0.2">
      <c r="B21885" s="11" t="s">
        <v>2606</v>
      </c>
      <c r="C21885" s="16" t="s">
        <v>44</v>
      </c>
      <c r="D21885" s="6" t="str">
        <f>HYPERLINK("javascript:void(0)","hínárgyöngy")</f>
        <v>hínárgyöngy</v>
      </c>
    </row>
    <row r="21886" spans="1:4" ht="25.5" customHeight="1" x14ac:dyDescent="0.2">
      <c r="C21886" s="16" t="s">
        <v>57</v>
      </c>
      <c r="D21886" s="6" t="str">
        <f>HYPERLINK("javascript:void(0)","harmatcsepp")</f>
        <v>harmatcsepp</v>
      </c>
    </row>
    <row r="21887" spans="1:4" ht="12.75" customHeight="1" x14ac:dyDescent="0.2">
      <c r="B21887" s="2"/>
      <c r="C21887" s="15"/>
      <c r="D21887" s="2"/>
    </row>
    <row r="21888" spans="1:4" ht="12.75" customHeight="1" x14ac:dyDescent="0.2">
      <c r="B21888" s="2"/>
      <c r="C21888" s="15"/>
      <c r="D21888" s="2"/>
    </row>
    <row r="21889" spans="1:4" ht="12.75" customHeight="1" x14ac:dyDescent="0.2">
      <c r="A21889" s="13" t="s">
        <v>6103</v>
      </c>
      <c r="C21889" s="12"/>
      <c r="D21889" s="2"/>
    </row>
    <row r="21890" spans="1:4" ht="12.75" customHeight="1" x14ac:dyDescent="0.2">
      <c r="A21890" s="11"/>
      <c r="B21890" s="2"/>
      <c r="C21890" s="15"/>
      <c r="D21890" s="2"/>
    </row>
    <row r="21891" spans="1:4" ht="12.75" customHeight="1" x14ac:dyDescent="0.2">
      <c r="B21891" s="11" t="s">
        <v>0</v>
      </c>
      <c r="C21891" s="17" t="s">
        <v>345</v>
      </c>
      <c r="D21891" s="2"/>
    </row>
    <row r="21892" spans="1:4" ht="12.75" customHeight="1" x14ac:dyDescent="0.2">
      <c r="B21892" s="11" t="s">
        <v>2599</v>
      </c>
      <c r="C21892" s="17" t="s">
        <v>1977</v>
      </c>
      <c r="D21892" s="2"/>
    </row>
    <row r="21893" spans="1:4" ht="25.5" customHeight="1" x14ac:dyDescent="0.2">
      <c r="B21893" s="11" t="s">
        <v>2600</v>
      </c>
      <c r="C21893" s="17" t="s">
        <v>6182</v>
      </c>
      <c r="D21893" s="2"/>
    </row>
    <row r="21894" spans="1:4" ht="25.5" customHeight="1" x14ac:dyDescent="0.2">
      <c r="B21894" s="11" t="s">
        <v>2601</v>
      </c>
      <c r="C21894" s="17"/>
      <c r="D21894" s="2"/>
    </row>
    <row r="21895" spans="1:4" ht="12.75" customHeight="1" x14ac:dyDescent="0.2">
      <c r="B21895" s="11" t="s">
        <v>16</v>
      </c>
      <c r="C21895" s="17"/>
      <c r="D21895" s="2"/>
    </row>
    <row r="21896" spans="1:4" ht="12.75" customHeight="1" x14ac:dyDescent="0.2">
      <c r="B21896" s="11" t="s">
        <v>13</v>
      </c>
      <c r="C21896" s="17" t="s">
        <v>2602</v>
      </c>
      <c r="D21896" s="2"/>
    </row>
    <row r="21897" spans="1:4" ht="25.5" customHeight="1" x14ac:dyDescent="0.2">
      <c r="B21897" s="11" t="s">
        <v>2603</v>
      </c>
      <c r="C21897" s="17" t="s">
        <v>2971</v>
      </c>
      <c r="D21897" s="2"/>
    </row>
    <row r="21898" spans="1:4" ht="12.75" customHeight="1" x14ac:dyDescent="0.2">
      <c r="B21898" s="11" t="s">
        <v>2605</v>
      </c>
      <c r="C21898" s="17" t="s">
        <v>14</v>
      </c>
      <c r="D21898" s="2"/>
    </row>
    <row r="21899" spans="1:4" ht="12.75" customHeight="1" x14ac:dyDescent="0.2">
      <c r="B21899" s="11" t="s">
        <v>2606</v>
      </c>
      <c r="C21899" s="16" t="s">
        <v>19</v>
      </c>
      <c r="D21899" s="2"/>
    </row>
    <row r="21900" spans="1:4" ht="12.75" customHeight="1" x14ac:dyDescent="0.2">
      <c r="B21900" s="2"/>
      <c r="C21900" s="15"/>
      <c r="D21900" s="2"/>
    </row>
    <row r="21901" spans="1:4" ht="12.75" customHeight="1" x14ac:dyDescent="0.2">
      <c r="B21901" s="2"/>
      <c r="C21901" s="15"/>
      <c r="D21901" s="2"/>
    </row>
    <row r="21902" spans="1:4" ht="12.75" customHeight="1" x14ac:dyDescent="0.2">
      <c r="A21902" s="13" t="s">
        <v>6105</v>
      </c>
      <c r="C21902" s="12"/>
      <c r="D21902" s="2"/>
    </row>
    <row r="21903" spans="1:4" ht="12.75" customHeight="1" x14ac:dyDescent="0.2">
      <c r="A21903" s="11"/>
      <c r="B21903" s="2"/>
      <c r="C21903" s="15"/>
      <c r="D21903" s="2"/>
    </row>
    <row r="21904" spans="1:4" ht="12.75" customHeight="1" x14ac:dyDescent="0.2">
      <c r="B21904" s="11" t="s">
        <v>0</v>
      </c>
      <c r="C21904" s="17" t="s">
        <v>345</v>
      </c>
      <c r="D21904" s="2"/>
    </row>
    <row r="21905" spans="1:4" ht="12.75" customHeight="1" x14ac:dyDescent="0.2">
      <c r="B21905" s="11" t="s">
        <v>2599</v>
      </c>
      <c r="C21905" s="17" t="s">
        <v>3416</v>
      </c>
      <c r="D21905" s="2"/>
    </row>
    <row r="21906" spans="1:4" ht="25.5" customHeight="1" x14ac:dyDescent="0.2">
      <c r="B21906" s="11" t="s">
        <v>2600</v>
      </c>
      <c r="C21906" s="17" t="s">
        <v>6183</v>
      </c>
      <c r="D21906" s="2"/>
    </row>
    <row r="21907" spans="1:4" ht="25.5" customHeight="1" x14ac:dyDescent="0.2">
      <c r="B21907" s="11" t="s">
        <v>2601</v>
      </c>
      <c r="C21907" s="17"/>
      <c r="D21907" s="2"/>
    </row>
    <row r="21908" spans="1:4" ht="12.75" customHeight="1" x14ac:dyDescent="0.2">
      <c r="B21908" s="11" t="s">
        <v>16</v>
      </c>
      <c r="C21908" s="17"/>
      <c r="D21908" s="2"/>
    </row>
    <row r="21909" spans="1:4" ht="12.75" customHeight="1" x14ac:dyDescent="0.2">
      <c r="B21909" s="11" t="s">
        <v>13</v>
      </c>
      <c r="C21909" s="17" t="s">
        <v>2644</v>
      </c>
      <c r="D21909" s="2"/>
    </row>
    <row r="21910" spans="1:4" ht="25.5" customHeight="1" x14ac:dyDescent="0.2">
      <c r="B21910" s="11" t="s">
        <v>2603</v>
      </c>
      <c r="C21910" s="17" t="s">
        <v>2971</v>
      </c>
      <c r="D21910" s="2"/>
    </row>
    <row r="21911" spans="1:4" ht="12.75" customHeight="1" x14ac:dyDescent="0.2">
      <c r="B21911" s="11" t="s">
        <v>2605</v>
      </c>
      <c r="C21911" s="17" t="s">
        <v>14</v>
      </c>
      <c r="D21911" s="2"/>
    </row>
    <row r="21912" spans="1:4" ht="12.75" customHeight="1" x14ac:dyDescent="0.2">
      <c r="B21912" s="11" t="s">
        <v>2606</v>
      </c>
      <c r="C21912" s="16" t="s">
        <v>19</v>
      </c>
      <c r="D21912" s="2"/>
    </row>
    <row r="21913" spans="1:4" ht="12.75" customHeight="1" x14ac:dyDescent="0.2">
      <c r="B21913" s="2"/>
      <c r="C21913" s="15"/>
      <c r="D21913" s="2"/>
    </row>
    <row r="21914" spans="1:4" ht="12.75" customHeight="1" x14ac:dyDescent="0.2">
      <c r="B21914" s="2"/>
      <c r="C21914" s="15"/>
      <c r="D21914" s="2"/>
    </row>
    <row r="21915" spans="1:4" ht="12.75" customHeight="1" x14ac:dyDescent="0.2">
      <c r="A21915" s="13" t="s">
        <v>6184</v>
      </c>
      <c r="C21915" s="12"/>
    </row>
    <row r="21916" spans="1:4" ht="12.75" customHeight="1" x14ac:dyDescent="0.2">
      <c r="A21916" s="11"/>
      <c r="B21916" s="2"/>
      <c r="C21916" s="15"/>
      <c r="D21916" s="2"/>
    </row>
    <row r="21917" spans="1:4" ht="12.75" customHeight="1" x14ac:dyDescent="0.2">
      <c r="B21917" s="11" t="s">
        <v>0</v>
      </c>
      <c r="C21917" s="11" t="s">
        <v>345</v>
      </c>
    </row>
    <row r="21918" spans="1:4" ht="12.75" customHeight="1" x14ac:dyDescent="0.2">
      <c r="B21918" s="11" t="s">
        <v>2599</v>
      </c>
      <c r="C21918" s="11" t="s">
        <v>6185</v>
      </c>
    </row>
    <row r="21919" spans="1:4" ht="25.5" customHeight="1" x14ac:dyDescent="0.2">
      <c r="B21919" s="11" t="s">
        <v>2600</v>
      </c>
      <c r="C21919" s="11" t="s">
        <v>6186</v>
      </c>
    </row>
    <row r="21920" spans="1:4" ht="25.5" customHeight="1" x14ac:dyDescent="0.2">
      <c r="B21920" s="11" t="s">
        <v>2601</v>
      </c>
      <c r="C21920" s="11"/>
    </row>
    <row r="21921" spans="1:4" ht="12.75" customHeight="1" x14ac:dyDescent="0.2">
      <c r="B21921" s="11" t="s">
        <v>16</v>
      </c>
      <c r="C21921" s="11"/>
    </row>
    <row r="21922" spans="1:4" ht="12.75" customHeight="1" x14ac:dyDescent="0.2">
      <c r="B21922" s="11" t="s">
        <v>13</v>
      </c>
      <c r="C21922" s="11" t="s">
        <v>2644</v>
      </c>
    </row>
    <row r="21923" spans="1:4" ht="12.75" customHeight="1" x14ac:dyDescent="0.2">
      <c r="B21923" s="11" t="s">
        <v>2603</v>
      </c>
      <c r="C21923" s="11" t="s">
        <v>2604</v>
      </c>
    </row>
    <row r="21924" spans="1:4" ht="12.75" customHeight="1" x14ac:dyDescent="0.2">
      <c r="B21924" s="11" t="s">
        <v>2605</v>
      </c>
      <c r="C21924" s="11" t="s">
        <v>24</v>
      </c>
    </row>
    <row r="21925" spans="1:4" ht="12.75" customHeight="1" x14ac:dyDescent="0.2">
      <c r="B21925" s="11" t="s">
        <v>2606</v>
      </c>
      <c r="C21925" s="16" t="s">
        <v>55</v>
      </c>
      <c r="D21925" s="6" t="str">
        <f>HYPERLINK("javascript:void(0)","patron")</f>
        <v>patron</v>
      </c>
    </row>
    <row r="21926" spans="1:4" ht="12.75" customHeight="1" x14ac:dyDescent="0.2">
      <c r="B21926" s="2"/>
      <c r="C21926" s="15"/>
      <c r="D21926" s="2"/>
    </row>
    <row r="21927" spans="1:4" ht="12.75" customHeight="1" x14ac:dyDescent="0.2">
      <c r="B21927" s="2"/>
      <c r="C21927" s="15"/>
      <c r="D21927" s="2"/>
    </row>
    <row r="21928" spans="1:4" ht="12.75" customHeight="1" x14ac:dyDescent="0.2">
      <c r="A21928" s="13" t="s">
        <v>6187</v>
      </c>
      <c r="C21928" s="12"/>
    </row>
    <row r="21929" spans="1:4" ht="12.75" customHeight="1" x14ac:dyDescent="0.2">
      <c r="A21929" s="11"/>
      <c r="B21929" s="2"/>
      <c r="C21929" s="15"/>
      <c r="D21929" s="2"/>
    </row>
    <row r="21930" spans="1:4" ht="12.75" customHeight="1" x14ac:dyDescent="0.2">
      <c r="B21930" s="11" t="s">
        <v>0</v>
      </c>
      <c r="C21930" s="11" t="s">
        <v>345</v>
      </c>
    </row>
    <row r="21931" spans="1:4" ht="12.75" customHeight="1" x14ac:dyDescent="0.2">
      <c r="B21931" s="11" t="s">
        <v>2599</v>
      </c>
      <c r="C21931" s="11" t="s">
        <v>2214</v>
      </c>
    </row>
    <row r="21932" spans="1:4" ht="25.5" customHeight="1" x14ac:dyDescent="0.2">
      <c r="B21932" s="11" t="s">
        <v>2600</v>
      </c>
      <c r="C21932" s="11" t="s">
        <v>6188</v>
      </c>
    </row>
    <row r="21933" spans="1:4" ht="25.5" customHeight="1" x14ac:dyDescent="0.2">
      <c r="B21933" s="11" t="s">
        <v>2601</v>
      </c>
      <c r="C21933" s="11"/>
    </row>
    <row r="21934" spans="1:4" ht="12.75" customHeight="1" x14ac:dyDescent="0.2">
      <c r="B21934" s="11" t="s">
        <v>16</v>
      </c>
      <c r="C21934" s="11"/>
    </row>
    <row r="21935" spans="1:4" ht="12.75" customHeight="1" x14ac:dyDescent="0.2">
      <c r="B21935" s="11" t="s">
        <v>13</v>
      </c>
      <c r="C21935" s="11" t="s">
        <v>2644</v>
      </c>
    </row>
    <row r="21936" spans="1:4" ht="12.75" customHeight="1" x14ac:dyDescent="0.2">
      <c r="B21936" s="11" t="s">
        <v>2603</v>
      </c>
      <c r="C21936" s="11" t="s">
        <v>2604</v>
      </c>
    </row>
    <row r="21937" spans="1:4" ht="12.75" customHeight="1" x14ac:dyDescent="0.2">
      <c r="B21937" s="11" t="s">
        <v>2605</v>
      </c>
      <c r="C21937" s="11" t="s">
        <v>14</v>
      </c>
    </row>
    <row r="21938" spans="1:4" ht="12.75" customHeight="1" x14ac:dyDescent="0.2">
      <c r="B21938" s="11" t="s">
        <v>2606</v>
      </c>
      <c r="C21938" s="16" t="s">
        <v>232</v>
      </c>
      <c r="D21938" s="6" t="str">
        <f>HYPERLINK("javascript:void(0)","napenergia")</f>
        <v>napenergia</v>
      </c>
    </row>
    <row r="21939" spans="1:4" ht="12.75" customHeight="1" x14ac:dyDescent="0.2">
      <c r="B21939" s="2"/>
      <c r="C21939" s="15"/>
      <c r="D21939" s="2"/>
    </row>
    <row r="21940" spans="1:4" ht="12.75" customHeight="1" x14ac:dyDescent="0.2">
      <c r="B21940" s="2"/>
      <c r="C21940" s="15"/>
      <c r="D21940" s="2"/>
    </row>
    <row r="21941" spans="1:4" ht="12.75" customHeight="1" x14ac:dyDescent="0.2">
      <c r="A21941" s="13" t="s">
        <v>6189</v>
      </c>
      <c r="C21941" s="12"/>
    </row>
    <row r="21942" spans="1:4" ht="12.75" customHeight="1" x14ac:dyDescent="0.2">
      <c r="A21942" s="11"/>
      <c r="B21942" s="2"/>
      <c r="C21942" s="15"/>
      <c r="D21942" s="2"/>
    </row>
    <row r="21943" spans="1:4" ht="12.75" customHeight="1" x14ac:dyDescent="0.2">
      <c r="B21943" s="11" t="s">
        <v>0</v>
      </c>
      <c r="C21943" s="11" t="s">
        <v>345</v>
      </c>
    </row>
    <row r="21944" spans="1:4" ht="12.75" customHeight="1" x14ac:dyDescent="0.2">
      <c r="B21944" s="11" t="s">
        <v>2599</v>
      </c>
      <c r="C21944" s="11" t="s">
        <v>3165</v>
      </c>
    </row>
    <row r="21945" spans="1:4" ht="25.5" customHeight="1" x14ac:dyDescent="0.2">
      <c r="B21945" s="11" t="s">
        <v>2600</v>
      </c>
      <c r="C21945" s="11" t="s">
        <v>6190</v>
      </c>
    </row>
    <row r="21946" spans="1:4" ht="25.5" customHeight="1" x14ac:dyDescent="0.2">
      <c r="B21946" s="11" t="s">
        <v>2601</v>
      </c>
      <c r="C21946" s="11"/>
    </row>
    <row r="21947" spans="1:4" ht="12.75" customHeight="1" x14ac:dyDescent="0.2">
      <c r="B21947" s="11" t="s">
        <v>16</v>
      </c>
      <c r="C21947" s="11"/>
    </row>
    <row r="21948" spans="1:4" ht="12.75" customHeight="1" x14ac:dyDescent="0.2">
      <c r="B21948" s="11" t="s">
        <v>13</v>
      </c>
      <c r="C21948" s="11" t="s">
        <v>2644</v>
      </c>
    </row>
    <row r="21949" spans="1:4" ht="12.75" customHeight="1" x14ac:dyDescent="0.2">
      <c r="B21949" s="11" t="s">
        <v>2603</v>
      </c>
      <c r="C21949" s="11" t="s">
        <v>2604</v>
      </c>
    </row>
    <row r="21950" spans="1:4" ht="12.75" customHeight="1" x14ac:dyDescent="0.2">
      <c r="B21950" s="11" t="s">
        <v>2605</v>
      </c>
      <c r="C21950" s="11" t="s">
        <v>24</v>
      </c>
    </row>
    <row r="21951" spans="1:4" ht="12.75" customHeight="1" x14ac:dyDescent="0.2">
      <c r="B21951" s="11" t="s">
        <v>2606</v>
      </c>
      <c r="C21951" s="16" t="s">
        <v>55</v>
      </c>
      <c r="D21951" s="6" t="str">
        <f>HYPERLINK("javascript:void(0)","lomb")</f>
        <v>lomb</v>
      </c>
    </row>
    <row r="21952" spans="1:4" ht="12.75" customHeight="1" x14ac:dyDescent="0.2">
      <c r="B21952" s="2"/>
      <c r="C21952" s="15"/>
      <c r="D21952" s="2"/>
    </row>
    <row r="21953" spans="1:4" ht="12.75" customHeight="1" x14ac:dyDescent="0.2">
      <c r="B21953" s="2"/>
      <c r="C21953" s="15"/>
      <c r="D21953" s="2"/>
    </row>
    <row r="21954" spans="1:4" ht="12.75" customHeight="1" x14ac:dyDescent="0.2">
      <c r="A21954" s="13" t="s">
        <v>6191</v>
      </c>
      <c r="C21954" s="12"/>
    </row>
    <row r="21955" spans="1:4" ht="12.75" customHeight="1" x14ac:dyDescent="0.2">
      <c r="A21955" s="11"/>
      <c r="B21955" s="2"/>
      <c r="C21955" s="15"/>
      <c r="D21955" s="2"/>
    </row>
    <row r="21956" spans="1:4" ht="12.75" customHeight="1" x14ac:dyDescent="0.2">
      <c r="B21956" s="11" t="s">
        <v>0</v>
      </c>
      <c r="C21956" s="11" t="s">
        <v>345</v>
      </c>
    </row>
    <row r="21957" spans="1:4" ht="12.75" customHeight="1" x14ac:dyDescent="0.2">
      <c r="B21957" s="11" t="s">
        <v>2599</v>
      </c>
      <c r="C21957" s="11" t="s">
        <v>6192</v>
      </c>
    </row>
    <row r="21958" spans="1:4" ht="25.5" customHeight="1" x14ac:dyDescent="0.2">
      <c r="B21958" s="11" t="s">
        <v>2600</v>
      </c>
      <c r="C21958" s="11" t="s">
        <v>6193</v>
      </c>
    </row>
    <row r="21959" spans="1:4" ht="25.5" customHeight="1" x14ac:dyDescent="0.2">
      <c r="B21959" s="11" t="s">
        <v>2601</v>
      </c>
      <c r="C21959" s="11"/>
    </row>
    <row r="21960" spans="1:4" ht="12.75" customHeight="1" x14ac:dyDescent="0.2">
      <c r="B21960" s="11" t="s">
        <v>16</v>
      </c>
      <c r="C21960" s="11"/>
    </row>
    <row r="21961" spans="1:4" ht="12.75" customHeight="1" x14ac:dyDescent="0.2">
      <c r="B21961" s="11" t="s">
        <v>13</v>
      </c>
      <c r="C21961" s="11" t="s">
        <v>2602</v>
      </c>
    </row>
    <row r="21962" spans="1:4" ht="12.75" customHeight="1" x14ac:dyDescent="0.2">
      <c r="B21962" s="11" t="s">
        <v>2603</v>
      </c>
      <c r="C21962" s="11" t="s">
        <v>2604</v>
      </c>
    </row>
    <row r="21963" spans="1:4" ht="12.75" customHeight="1" x14ac:dyDescent="0.2">
      <c r="B21963" s="11" t="s">
        <v>2605</v>
      </c>
      <c r="C21963" s="11" t="s">
        <v>24</v>
      </c>
    </row>
    <row r="21964" spans="1:4" ht="12.75" customHeight="1" x14ac:dyDescent="0.2">
      <c r="B21964" s="11" t="s">
        <v>2606</v>
      </c>
      <c r="C21964" s="16" t="s">
        <v>44</v>
      </c>
      <c r="D21964" s="6" t="str">
        <f>HYPERLINK("javascript:void(0)","aranypáncél")</f>
        <v>aranypáncél</v>
      </c>
    </row>
    <row r="21965" spans="1:4" ht="25.5" customHeight="1" x14ac:dyDescent="0.2">
      <c r="C21965" s="16" t="s">
        <v>44</v>
      </c>
      <c r="D21965" s="6" t="str">
        <f>HYPERLINK("javascript:void(0)","sodrony sisak")</f>
        <v>sodrony sisak</v>
      </c>
    </row>
    <row r="21966" spans="1:4" ht="12.75" customHeight="1" x14ac:dyDescent="0.2">
      <c r="C21966" s="16" t="s">
        <v>56</v>
      </c>
      <c r="D21966" s="6" t="str">
        <f>HYPERLINK("javascript:void(0)","undormány")</f>
        <v>undormány</v>
      </c>
    </row>
    <row r="21967" spans="1:4" ht="12.75" customHeight="1" x14ac:dyDescent="0.2">
      <c r="C21967" s="16" t="s">
        <v>44</v>
      </c>
      <c r="D21967" s="6" t="str">
        <f>HYPERLINK("javascript:void(0)","gyíkacél cs")</f>
        <v>gyíkacél cs</v>
      </c>
    </row>
    <row r="21968" spans="1:4" ht="12.75" customHeight="1" x14ac:dyDescent="0.2">
      <c r="C21968" s="16" t="s">
        <v>56</v>
      </c>
      <c r="D21968" s="6" t="str">
        <f>HYPERLINK("javascript:void(0)","elefántcsont")</f>
        <v>elefántcsont</v>
      </c>
    </row>
    <row r="21969" spans="1:4" ht="12.75" customHeight="1" x14ac:dyDescent="0.2">
      <c r="B21969" s="2"/>
      <c r="C21969" s="15"/>
      <c r="D21969" s="2"/>
    </row>
    <row r="21970" spans="1:4" ht="12.75" customHeight="1" x14ac:dyDescent="0.2">
      <c r="B21970" s="2"/>
      <c r="C21970" s="15"/>
      <c r="D21970" s="2"/>
    </row>
    <row r="21971" spans="1:4" ht="12.75" customHeight="1" x14ac:dyDescent="0.2">
      <c r="A21971" s="13" t="s">
        <v>6194</v>
      </c>
      <c r="C21971" s="12"/>
    </row>
    <row r="21972" spans="1:4" ht="12.75" customHeight="1" x14ac:dyDescent="0.2">
      <c r="A21972" s="11"/>
      <c r="B21972" s="2"/>
      <c r="C21972" s="15"/>
      <c r="D21972" s="2"/>
    </row>
    <row r="21973" spans="1:4" ht="12.75" customHeight="1" x14ac:dyDescent="0.2">
      <c r="B21973" s="11" t="s">
        <v>0</v>
      </c>
      <c r="C21973" s="11" t="s">
        <v>345</v>
      </c>
    </row>
    <row r="21974" spans="1:4" ht="12.75" customHeight="1" x14ac:dyDescent="0.2">
      <c r="B21974" s="11" t="s">
        <v>2599</v>
      </c>
      <c r="C21974" s="11" t="s">
        <v>1963</v>
      </c>
    </row>
    <row r="21975" spans="1:4" ht="25.5" customHeight="1" x14ac:dyDescent="0.2">
      <c r="B21975" s="11" t="s">
        <v>2600</v>
      </c>
      <c r="C21975" s="11" t="s">
        <v>6195</v>
      </c>
    </row>
    <row r="21976" spans="1:4" ht="25.5" customHeight="1" x14ac:dyDescent="0.2">
      <c r="B21976" s="11" t="s">
        <v>2601</v>
      </c>
      <c r="C21976" s="11"/>
    </row>
    <row r="21977" spans="1:4" ht="12.75" customHeight="1" x14ac:dyDescent="0.2">
      <c r="B21977" s="11" t="s">
        <v>16</v>
      </c>
      <c r="C21977" s="11"/>
    </row>
    <row r="21978" spans="1:4" ht="12.75" customHeight="1" x14ac:dyDescent="0.2">
      <c r="B21978" s="11" t="s">
        <v>13</v>
      </c>
      <c r="C21978" s="11" t="s">
        <v>2644</v>
      </c>
    </row>
    <row r="21979" spans="1:4" ht="12.75" customHeight="1" x14ac:dyDescent="0.2">
      <c r="B21979" s="11" t="s">
        <v>2603</v>
      </c>
      <c r="C21979" s="11" t="s">
        <v>2604</v>
      </c>
    </row>
    <row r="21980" spans="1:4" ht="12.75" customHeight="1" x14ac:dyDescent="0.2">
      <c r="B21980" s="11" t="s">
        <v>2605</v>
      </c>
      <c r="C21980" s="11" t="s">
        <v>24</v>
      </c>
    </row>
    <row r="21981" spans="1:4" ht="12.75" customHeight="1" x14ac:dyDescent="0.2">
      <c r="B21981" s="11" t="s">
        <v>2606</v>
      </c>
      <c r="C21981" s="16" t="s">
        <v>57</v>
      </c>
      <c r="D21981" s="6" t="str">
        <f>HYPERLINK("javascript:void(0)","píszkereszt")</f>
        <v>píszkereszt</v>
      </c>
    </row>
    <row r="21982" spans="1:4" ht="12.75" customHeight="1" x14ac:dyDescent="0.2">
      <c r="B21982" s="2"/>
      <c r="C21982" s="15"/>
      <c r="D21982" s="2"/>
    </row>
    <row r="21983" spans="1:4" ht="12.75" customHeight="1" x14ac:dyDescent="0.2">
      <c r="B21983" s="2"/>
      <c r="C21983" s="15"/>
      <c r="D21983" s="2"/>
    </row>
    <row r="21984" spans="1:4" ht="12.75" customHeight="1" x14ac:dyDescent="0.2">
      <c r="A21984" s="13" t="s">
        <v>6196</v>
      </c>
      <c r="C21984" s="12"/>
    </row>
    <row r="21985" spans="1:4" ht="12.75" customHeight="1" x14ac:dyDescent="0.2">
      <c r="A21985" s="11"/>
      <c r="B21985" s="2"/>
      <c r="C21985" s="15"/>
      <c r="D21985" s="2"/>
    </row>
    <row r="21986" spans="1:4" ht="12.75" customHeight="1" x14ac:dyDescent="0.2">
      <c r="B21986" s="11" t="s">
        <v>0</v>
      </c>
      <c r="C21986" s="11" t="s">
        <v>345</v>
      </c>
    </row>
    <row r="21987" spans="1:4" ht="12.75" customHeight="1" x14ac:dyDescent="0.2">
      <c r="B21987" s="11" t="s">
        <v>2599</v>
      </c>
      <c r="C21987" s="11" t="s">
        <v>6198</v>
      </c>
    </row>
    <row r="21988" spans="1:4" ht="25.5" customHeight="1" x14ac:dyDescent="0.2">
      <c r="B21988" s="11" t="s">
        <v>2600</v>
      </c>
      <c r="C21988" s="11" t="s">
        <v>6199</v>
      </c>
    </row>
    <row r="21989" spans="1:4" ht="25.5" customHeight="1" x14ac:dyDescent="0.2">
      <c r="B21989" s="11" t="s">
        <v>2601</v>
      </c>
      <c r="C21989" s="11"/>
    </row>
    <row r="21990" spans="1:4" ht="12.75" customHeight="1" x14ac:dyDescent="0.2">
      <c r="B21990" s="11" t="s">
        <v>16</v>
      </c>
      <c r="C21990" s="11"/>
    </row>
    <row r="21991" spans="1:4" ht="12.75" customHeight="1" x14ac:dyDescent="0.2">
      <c r="B21991" s="11" t="s">
        <v>13</v>
      </c>
      <c r="C21991" s="11" t="s">
        <v>2644</v>
      </c>
    </row>
    <row r="21992" spans="1:4" ht="12.75" customHeight="1" x14ac:dyDescent="0.2">
      <c r="B21992" s="11" t="s">
        <v>2603</v>
      </c>
      <c r="C21992" s="11" t="s">
        <v>2604</v>
      </c>
    </row>
    <row r="21993" spans="1:4" ht="12.75" customHeight="1" x14ac:dyDescent="0.2">
      <c r="B21993" s="11" t="s">
        <v>2605</v>
      </c>
      <c r="C21993" s="11" t="s">
        <v>24</v>
      </c>
    </row>
    <row r="21994" spans="1:4" ht="12.75" customHeight="1" x14ac:dyDescent="0.2">
      <c r="B21994" s="11" t="s">
        <v>2606</v>
      </c>
      <c r="C21994" s="16" t="s">
        <v>67</v>
      </c>
      <c r="D21994" s="6" t="str">
        <f>HYPERLINK("javascript:void(0)","kenyérhéj")</f>
        <v>kenyérhéj</v>
      </c>
    </row>
    <row r="21995" spans="1:4" ht="12.75" customHeight="1" x14ac:dyDescent="0.2">
      <c r="B21995" s="2"/>
      <c r="C21995" s="15"/>
      <c r="D21995" s="2"/>
    </row>
    <row r="21996" spans="1:4" ht="12.75" customHeight="1" x14ac:dyDescent="0.2">
      <c r="B21996" s="2"/>
      <c r="C21996" s="15"/>
      <c r="D21996" s="2"/>
    </row>
    <row r="21997" spans="1:4" ht="12.75" customHeight="1" x14ac:dyDescent="0.2">
      <c r="A21997" s="13" t="s">
        <v>6108</v>
      </c>
      <c r="C21997" s="12"/>
      <c r="D21997" s="2"/>
    </row>
    <row r="21998" spans="1:4" ht="12.75" customHeight="1" x14ac:dyDescent="0.2">
      <c r="A21998" s="11"/>
      <c r="B21998" s="2"/>
      <c r="C21998" s="15"/>
      <c r="D21998" s="2"/>
    </row>
    <row r="21999" spans="1:4" ht="12.75" customHeight="1" x14ac:dyDescent="0.2">
      <c r="B21999" s="11" t="s">
        <v>0</v>
      </c>
      <c r="C21999" s="17" t="s">
        <v>345</v>
      </c>
      <c r="D21999" s="2"/>
    </row>
    <row r="22000" spans="1:4" ht="12.75" customHeight="1" x14ac:dyDescent="0.2">
      <c r="B22000" s="11" t="s">
        <v>2599</v>
      </c>
      <c r="C22000" s="17" t="s">
        <v>6111</v>
      </c>
      <c r="D22000" s="2"/>
    </row>
    <row r="22001" spans="1:4" ht="25.5" customHeight="1" x14ac:dyDescent="0.2">
      <c r="B22001" s="11" t="s">
        <v>2600</v>
      </c>
      <c r="C22001" s="17" t="s">
        <v>6200</v>
      </c>
      <c r="D22001" s="2"/>
    </row>
    <row r="22002" spans="1:4" ht="25.5" customHeight="1" x14ac:dyDescent="0.2">
      <c r="B22002" s="11" t="s">
        <v>2601</v>
      </c>
      <c r="C22002" s="17"/>
      <c r="D22002" s="2"/>
    </row>
    <row r="22003" spans="1:4" ht="12.75" customHeight="1" x14ac:dyDescent="0.2">
      <c r="B22003" s="11" t="s">
        <v>16</v>
      </c>
      <c r="C22003" s="17"/>
      <c r="D22003" s="2"/>
    </row>
    <row r="22004" spans="1:4" ht="12.75" customHeight="1" x14ac:dyDescent="0.2">
      <c r="B22004" s="11" t="s">
        <v>13</v>
      </c>
      <c r="C22004" s="17" t="s">
        <v>2644</v>
      </c>
      <c r="D22004" s="2"/>
    </row>
    <row r="22005" spans="1:4" ht="25.5" customHeight="1" x14ac:dyDescent="0.2">
      <c r="B22005" s="11" t="s">
        <v>2603</v>
      </c>
      <c r="C22005" s="17" t="s">
        <v>2971</v>
      </c>
      <c r="D22005" s="2"/>
    </row>
    <row r="22006" spans="1:4" ht="12.75" customHeight="1" x14ac:dyDescent="0.2">
      <c r="B22006" s="11" t="s">
        <v>2605</v>
      </c>
      <c r="C22006" s="17" t="s">
        <v>14</v>
      </c>
      <c r="D22006" s="2"/>
    </row>
    <row r="22007" spans="1:4" ht="12.75" customHeight="1" x14ac:dyDescent="0.2">
      <c r="B22007" s="11" t="s">
        <v>2606</v>
      </c>
      <c r="C22007" s="16" t="s">
        <v>19</v>
      </c>
      <c r="D22007" s="2"/>
    </row>
    <row r="22008" spans="1:4" ht="12.75" customHeight="1" x14ac:dyDescent="0.2">
      <c r="B22008" s="2"/>
      <c r="C22008" s="15"/>
      <c r="D22008" s="2"/>
    </row>
    <row r="22009" spans="1:4" ht="12.75" customHeight="1" x14ac:dyDescent="0.2">
      <c r="B22009" s="2"/>
      <c r="C22009" s="15"/>
      <c r="D22009" s="2"/>
    </row>
    <row r="22010" spans="1:4" ht="12.75" customHeight="1" x14ac:dyDescent="0.2">
      <c r="A22010" s="13" t="s">
        <v>6135</v>
      </c>
      <c r="C22010" s="12"/>
      <c r="D22010" s="2"/>
    </row>
    <row r="22011" spans="1:4" ht="12.75" customHeight="1" x14ac:dyDescent="0.2">
      <c r="A22011" s="11"/>
      <c r="B22011" s="2"/>
      <c r="C22011" s="15"/>
      <c r="D22011" s="2"/>
    </row>
    <row r="22012" spans="1:4" ht="12.75" customHeight="1" x14ac:dyDescent="0.2">
      <c r="B22012" s="11" t="s">
        <v>0</v>
      </c>
      <c r="C22012" s="17" t="s">
        <v>345</v>
      </c>
      <c r="D22012" s="2"/>
    </row>
    <row r="22013" spans="1:4" ht="12.75" customHeight="1" x14ac:dyDescent="0.2">
      <c r="B22013" s="11" t="s">
        <v>2599</v>
      </c>
      <c r="C22013" s="17" t="s">
        <v>6136</v>
      </c>
      <c r="D22013" s="2"/>
    </row>
    <row r="22014" spans="1:4" ht="25.5" customHeight="1" x14ac:dyDescent="0.2">
      <c r="B22014" s="11" t="s">
        <v>2600</v>
      </c>
      <c r="C22014" s="17" t="s">
        <v>6201</v>
      </c>
      <c r="D22014" s="2"/>
    </row>
    <row r="22015" spans="1:4" ht="25.5" customHeight="1" x14ac:dyDescent="0.2">
      <c r="B22015" s="11" t="s">
        <v>2601</v>
      </c>
      <c r="C22015" s="17"/>
      <c r="D22015" s="2"/>
    </row>
    <row r="22016" spans="1:4" ht="12.75" customHeight="1" x14ac:dyDescent="0.2">
      <c r="B22016" s="11" t="s">
        <v>16</v>
      </c>
      <c r="C22016" s="17"/>
      <c r="D22016" s="2"/>
    </row>
    <row r="22017" spans="1:4" ht="12.75" customHeight="1" x14ac:dyDescent="0.2">
      <c r="B22017" s="11" t="s">
        <v>13</v>
      </c>
      <c r="C22017" s="17" t="s">
        <v>2602</v>
      </c>
      <c r="D22017" s="2"/>
    </row>
    <row r="22018" spans="1:4" ht="25.5" customHeight="1" x14ac:dyDescent="0.2">
      <c r="B22018" s="11" t="s">
        <v>2603</v>
      </c>
      <c r="C22018" s="17" t="s">
        <v>2971</v>
      </c>
      <c r="D22018" s="2"/>
    </row>
    <row r="22019" spans="1:4" ht="12.75" customHeight="1" x14ac:dyDescent="0.2">
      <c r="B22019" s="11" t="s">
        <v>2605</v>
      </c>
      <c r="C22019" s="17" t="s">
        <v>14</v>
      </c>
      <c r="D22019" s="2"/>
    </row>
    <row r="22020" spans="1:4" ht="12.75" customHeight="1" x14ac:dyDescent="0.2">
      <c r="B22020" s="11" t="s">
        <v>2606</v>
      </c>
      <c r="C22020" s="16" t="s">
        <v>19</v>
      </c>
      <c r="D22020" s="2"/>
    </row>
    <row r="22021" spans="1:4" ht="12.75" customHeight="1" x14ac:dyDescent="0.2">
      <c r="B22021" s="2"/>
      <c r="C22021" s="15"/>
      <c r="D22021" s="2"/>
    </row>
    <row r="22022" spans="1:4" ht="12.75" customHeight="1" x14ac:dyDescent="0.2">
      <c r="B22022" s="2"/>
      <c r="C22022" s="15"/>
      <c r="D22022" s="2"/>
    </row>
    <row r="22023" spans="1:4" ht="12.75" customHeight="1" x14ac:dyDescent="0.2">
      <c r="A22023" s="13" t="s">
        <v>6103</v>
      </c>
      <c r="C22023" s="12"/>
      <c r="D22023" s="2"/>
    </row>
    <row r="22024" spans="1:4" ht="12.75" customHeight="1" x14ac:dyDescent="0.2">
      <c r="A22024" s="11"/>
      <c r="B22024" s="2"/>
      <c r="C22024" s="15"/>
      <c r="D22024" s="2"/>
    </row>
    <row r="22025" spans="1:4" ht="12.75" customHeight="1" x14ac:dyDescent="0.2">
      <c r="B22025" s="11" t="s">
        <v>0</v>
      </c>
      <c r="C22025" s="17" t="s">
        <v>1252</v>
      </c>
      <c r="D22025" s="2"/>
    </row>
    <row r="22026" spans="1:4" ht="12.75" customHeight="1" x14ac:dyDescent="0.2">
      <c r="B22026" s="11" t="s">
        <v>2599</v>
      </c>
      <c r="C22026" s="17" t="s">
        <v>1977</v>
      </c>
      <c r="D22026" s="2"/>
    </row>
    <row r="22027" spans="1:4" ht="25.5" customHeight="1" x14ac:dyDescent="0.2">
      <c r="B22027" s="11" t="s">
        <v>2600</v>
      </c>
      <c r="C22027" s="17" t="s">
        <v>6202</v>
      </c>
      <c r="D22027" s="2"/>
    </row>
    <row r="22028" spans="1:4" ht="25.5" customHeight="1" x14ac:dyDescent="0.2">
      <c r="B22028" s="11" t="s">
        <v>2601</v>
      </c>
      <c r="C22028" s="17"/>
      <c r="D22028" s="2"/>
    </row>
    <row r="22029" spans="1:4" ht="12.75" customHeight="1" x14ac:dyDescent="0.2">
      <c r="B22029" s="11" t="s">
        <v>16</v>
      </c>
      <c r="C22029" s="17"/>
      <c r="D22029" s="2"/>
    </row>
    <row r="22030" spans="1:4" ht="12.75" customHeight="1" x14ac:dyDescent="0.2">
      <c r="B22030" s="11" t="s">
        <v>13</v>
      </c>
      <c r="C22030" s="17" t="s">
        <v>2602</v>
      </c>
      <c r="D22030" s="2"/>
    </row>
    <row r="22031" spans="1:4" ht="25.5" customHeight="1" x14ac:dyDescent="0.2">
      <c r="B22031" s="11" t="s">
        <v>2603</v>
      </c>
      <c r="C22031" s="17" t="s">
        <v>2971</v>
      </c>
      <c r="D22031" s="2"/>
    </row>
    <row r="22032" spans="1:4" ht="12.75" customHeight="1" x14ac:dyDescent="0.2">
      <c r="B22032" s="11" t="s">
        <v>2605</v>
      </c>
      <c r="C22032" s="17" t="s">
        <v>14</v>
      </c>
      <c r="D22032" s="2"/>
    </row>
    <row r="22033" spans="1:4" ht="12.75" customHeight="1" x14ac:dyDescent="0.2">
      <c r="B22033" s="11" t="s">
        <v>2606</v>
      </c>
      <c r="C22033" s="16" t="s">
        <v>19</v>
      </c>
      <c r="D22033" s="2"/>
    </row>
    <row r="22034" spans="1:4" ht="12.75" customHeight="1" x14ac:dyDescent="0.2">
      <c r="B22034" s="2"/>
      <c r="C22034" s="15"/>
      <c r="D22034" s="2"/>
    </row>
    <row r="22035" spans="1:4" ht="12.75" customHeight="1" x14ac:dyDescent="0.2">
      <c r="B22035" s="2"/>
      <c r="C22035" s="15"/>
      <c r="D22035" s="2"/>
    </row>
    <row r="22036" spans="1:4" ht="12.75" customHeight="1" x14ac:dyDescent="0.2">
      <c r="A22036" s="13" t="s">
        <v>6105</v>
      </c>
      <c r="C22036" s="12"/>
      <c r="D22036" s="2"/>
    </row>
    <row r="22037" spans="1:4" ht="12.75" customHeight="1" x14ac:dyDescent="0.2">
      <c r="A22037" s="11"/>
      <c r="B22037" s="2"/>
      <c r="C22037" s="15"/>
      <c r="D22037" s="2"/>
    </row>
    <row r="22038" spans="1:4" ht="12.75" customHeight="1" x14ac:dyDescent="0.2">
      <c r="B22038" s="11" t="s">
        <v>0</v>
      </c>
      <c r="C22038" s="17" t="s">
        <v>1252</v>
      </c>
      <c r="D22038" s="2"/>
    </row>
    <row r="22039" spans="1:4" ht="12.75" customHeight="1" x14ac:dyDescent="0.2">
      <c r="B22039" s="11" t="s">
        <v>2599</v>
      </c>
      <c r="C22039" s="17" t="s">
        <v>3416</v>
      </c>
      <c r="D22039" s="2"/>
    </row>
    <row r="22040" spans="1:4" ht="25.5" customHeight="1" x14ac:dyDescent="0.2">
      <c r="B22040" s="11" t="s">
        <v>2600</v>
      </c>
      <c r="C22040" s="17" t="s">
        <v>6203</v>
      </c>
      <c r="D22040" s="2"/>
    </row>
    <row r="22041" spans="1:4" ht="25.5" customHeight="1" x14ac:dyDescent="0.2">
      <c r="B22041" s="11" t="s">
        <v>2601</v>
      </c>
      <c r="C22041" s="17"/>
      <c r="D22041" s="2"/>
    </row>
    <row r="22042" spans="1:4" ht="12.75" customHeight="1" x14ac:dyDescent="0.2">
      <c r="B22042" s="11" t="s">
        <v>16</v>
      </c>
      <c r="C22042" s="17"/>
      <c r="D22042" s="2"/>
    </row>
    <row r="22043" spans="1:4" ht="12.75" customHeight="1" x14ac:dyDescent="0.2">
      <c r="B22043" s="11" t="s">
        <v>13</v>
      </c>
      <c r="C22043" s="17" t="s">
        <v>2644</v>
      </c>
      <c r="D22043" s="2"/>
    </row>
    <row r="22044" spans="1:4" ht="25.5" customHeight="1" x14ac:dyDescent="0.2">
      <c r="B22044" s="11" t="s">
        <v>2603</v>
      </c>
      <c r="C22044" s="17" t="s">
        <v>2971</v>
      </c>
      <c r="D22044" s="2"/>
    </row>
    <row r="22045" spans="1:4" ht="12.75" customHeight="1" x14ac:dyDescent="0.2">
      <c r="B22045" s="11" t="s">
        <v>2605</v>
      </c>
      <c r="C22045" s="17" t="s">
        <v>14</v>
      </c>
      <c r="D22045" s="2"/>
    </row>
    <row r="22046" spans="1:4" ht="12.75" customHeight="1" x14ac:dyDescent="0.2">
      <c r="B22046" s="11" t="s">
        <v>2606</v>
      </c>
      <c r="C22046" s="16" t="s">
        <v>19</v>
      </c>
      <c r="D22046" s="2"/>
    </row>
    <row r="22047" spans="1:4" ht="12.75" customHeight="1" x14ac:dyDescent="0.2">
      <c r="B22047" s="2"/>
      <c r="C22047" s="15"/>
      <c r="D22047" s="2"/>
    </row>
    <row r="22048" spans="1:4" ht="12.75" customHeight="1" x14ac:dyDescent="0.2">
      <c r="B22048" s="2"/>
      <c r="C22048" s="15"/>
      <c r="D22048" s="2"/>
    </row>
    <row r="22049" spans="1:4" ht="12.75" customHeight="1" x14ac:dyDescent="0.2">
      <c r="A22049" s="13" t="s">
        <v>6204</v>
      </c>
      <c r="C22049" s="12"/>
    </row>
    <row r="22050" spans="1:4" ht="12.75" customHeight="1" x14ac:dyDescent="0.2">
      <c r="A22050" s="11"/>
      <c r="B22050" s="2"/>
      <c r="C22050" s="15"/>
      <c r="D22050" s="2"/>
    </row>
    <row r="22051" spans="1:4" ht="12.75" customHeight="1" x14ac:dyDescent="0.2">
      <c r="B22051" s="11" t="s">
        <v>0</v>
      </c>
      <c r="C22051" s="11" t="s">
        <v>1252</v>
      </c>
    </row>
    <row r="22052" spans="1:4" ht="12.75" customHeight="1" x14ac:dyDescent="0.2">
      <c r="B22052" s="11" t="s">
        <v>2599</v>
      </c>
      <c r="C22052" s="11" t="s">
        <v>6205</v>
      </c>
    </row>
    <row r="22053" spans="1:4" ht="25.5" customHeight="1" x14ac:dyDescent="0.2">
      <c r="B22053" s="11" t="s">
        <v>2600</v>
      </c>
      <c r="C22053" s="11" t="s">
        <v>6206</v>
      </c>
    </row>
    <row r="22054" spans="1:4" ht="25.5" customHeight="1" x14ac:dyDescent="0.2">
      <c r="B22054" s="11" t="s">
        <v>2601</v>
      </c>
      <c r="C22054" s="11"/>
    </row>
    <row r="22055" spans="1:4" ht="12.75" customHeight="1" x14ac:dyDescent="0.2">
      <c r="B22055" s="11" t="s">
        <v>16</v>
      </c>
      <c r="C22055" s="11"/>
    </row>
    <row r="22056" spans="1:4" ht="12.75" customHeight="1" x14ac:dyDescent="0.2">
      <c r="B22056" s="11" t="s">
        <v>13</v>
      </c>
      <c r="C22056" s="11" t="s">
        <v>2644</v>
      </c>
    </row>
    <row r="22057" spans="1:4" ht="12.75" customHeight="1" x14ac:dyDescent="0.2">
      <c r="B22057" s="11" t="s">
        <v>2603</v>
      </c>
      <c r="C22057" s="11" t="s">
        <v>2604</v>
      </c>
    </row>
    <row r="22058" spans="1:4" ht="12.75" customHeight="1" x14ac:dyDescent="0.2">
      <c r="B22058" s="11" t="s">
        <v>2605</v>
      </c>
      <c r="C22058" s="11" t="s">
        <v>24</v>
      </c>
    </row>
    <row r="22059" spans="1:4" ht="12.75" customHeight="1" x14ac:dyDescent="0.2">
      <c r="B22059" s="11" t="s">
        <v>2606</v>
      </c>
      <c r="C22059" s="16" t="s">
        <v>55</v>
      </c>
      <c r="D22059" s="6" t="str">
        <f>HYPERLINK("javascript:void(0)","villanyóra")</f>
        <v>villanyóra</v>
      </c>
    </row>
    <row r="22060" spans="1:4" ht="12.75" customHeight="1" x14ac:dyDescent="0.2">
      <c r="B22060" s="2"/>
      <c r="C22060" s="15"/>
      <c r="D22060" s="2"/>
    </row>
    <row r="22061" spans="1:4" ht="12.75" customHeight="1" x14ac:dyDescent="0.2">
      <c r="B22061" s="2"/>
      <c r="C22061" s="15"/>
      <c r="D22061" s="2"/>
    </row>
    <row r="22062" spans="1:4" ht="12.75" customHeight="1" x14ac:dyDescent="0.2">
      <c r="A22062" s="13" t="s">
        <v>6207</v>
      </c>
      <c r="C22062" s="12"/>
    </row>
    <row r="22063" spans="1:4" ht="12.75" customHeight="1" x14ac:dyDescent="0.2">
      <c r="A22063" s="11"/>
      <c r="B22063" s="2"/>
      <c r="C22063" s="15"/>
      <c r="D22063" s="2"/>
    </row>
    <row r="22064" spans="1:4" ht="12.75" customHeight="1" x14ac:dyDescent="0.2">
      <c r="B22064" s="11" t="s">
        <v>0</v>
      </c>
      <c r="C22064" s="11" t="s">
        <v>1252</v>
      </c>
    </row>
    <row r="22065" spans="1:4" ht="12.75" customHeight="1" x14ac:dyDescent="0.2">
      <c r="B22065" s="11" t="s">
        <v>2599</v>
      </c>
      <c r="C22065" s="11" t="s">
        <v>2581</v>
      </c>
    </row>
    <row r="22066" spans="1:4" ht="25.5" customHeight="1" x14ac:dyDescent="0.2">
      <c r="B22066" s="11" t="s">
        <v>2600</v>
      </c>
      <c r="C22066" s="11" t="s">
        <v>6208</v>
      </c>
    </row>
    <row r="22067" spans="1:4" ht="25.5" customHeight="1" x14ac:dyDescent="0.2">
      <c r="B22067" s="11" t="s">
        <v>2601</v>
      </c>
      <c r="C22067" s="11"/>
    </row>
    <row r="22068" spans="1:4" ht="12.75" customHeight="1" x14ac:dyDescent="0.2">
      <c r="B22068" s="11" t="s">
        <v>16</v>
      </c>
      <c r="C22068" s="11"/>
    </row>
    <row r="22069" spans="1:4" ht="12.75" customHeight="1" x14ac:dyDescent="0.2">
      <c r="B22069" s="11" t="s">
        <v>13</v>
      </c>
      <c r="C22069" s="11" t="s">
        <v>2602</v>
      </c>
    </row>
    <row r="22070" spans="1:4" ht="12.75" customHeight="1" x14ac:dyDescent="0.2">
      <c r="B22070" s="11" t="s">
        <v>2603</v>
      </c>
      <c r="C22070" s="11" t="s">
        <v>2604</v>
      </c>
    </row>
    <row r="22071" spans="1:4" ht="12.75" customHeight="1" x14ac:dyDescent="0.2">
      <c r="B22071" s="11" t="s">
        <v>2605</v>
      </c>
      <c r="C22071" s="11" t="s">
        <v>24</v>
      </c>
    </row>
    <row r="22072" spans="1:4" ht="12.75" customHeight="1" x14ac:dyDescent="0.2">
      <c r="B22072" s="11" t="s">
        <v>2606</v>
      </c>
      <c r="C22072" s="16" t="s">
        <v>56</v>
      </c>
      <c r="D22072" s="6" t="str">
        <f>HYPERLINK("javascript:void(0)","bőrszárny")</f>
        <v>bőrszárny</v>
      </c>
    </row>
    <row r="22073" spans="1:4" ht="12.75" customHeight="1" x14ac:dyDescent="0.2">
      <c r="B22073" s="2"/>
      <c r="C22073" s="15"/>
      <c r="D22073" s="2"/>
    </row>
    <row r="22074" spans="1:4" ht="12.75" customHeight="1" x14ac:dyDescent="0.2">
      <c r="B22074" s="2"/>
      <c r="C22074" s="15"/>
      <c r="D22074" s="2"/>
    </row>
    <row r="22075" spans="1:4" ht="12.75" customHeight="1" x14ac:dyDescent="0.2">
      <c r="A22075" s="13" t="s">
        <v>6209</v>
      </c>
      <c r="C22075" s="12"/>
    </row>
    <row r="22076" spans="1:4" ht="12.75" customHeight="1" x14ac:dyDescent="0.2">
      <c r="A22076" s="11"/>
      <c r="B22076" s="2"/>
      <c r="C22076" s="15"/>
      <c r="D22076" s="2"/>
    </row>
    <row r="22077" spans="1:4" ht="12.75" customHeight="1" x14ac:dyDescent="0.2">
      <c r="B22077" s="11" t="s">
        <v>0</v>
      </c>
      <c r="C22077" s="11" t="s">
        <v>1252</v>
      </c>
    </row>
    <row r="22078" spans="1:4" ht="12.75" customHeight="1" x14ac:dyDescent="0.2">
      <c r="B22078" s="11" t="s">
        <v>2599</v>
      </c>
      <c r="C22078" s="11" t="s">
        <v>4283</v>
      </c>
    </row>
    <row r="22079" spans="1:4" ht="25.5" customHeight="1" x14ac:dyDescent="0.2">
      <c r="B22079" s="11" t="s">
        <v>2600</v>
      </c>
      <c r="C22079" s="11" t="s">
        <v>6210</v>
      </c>
    </row>
    <row r="22080" spans="1:4" ht="25.5" customHeight="1" x14ac:dyDescent="0.2">
      <c r="B22080" s="11" t="s">
        <v>2601</v>
      </c>
      <c r="C22080" s="11"/>
    </row>
    <row r="22081" spans="1:4" ht="12.75" customHeight="1" x14ac:dyDescent="0.2">
      <c r="B22081" s="11" t="s">
        <v>16</v>
      </c>
      <c r="C22081" s="11"/>
    </row>
    <row r="22082" spans="1:4" ht="12.75" customHeight="1" x14ac:dyDescent="0.2">
      <c r="B22082" s="11" t="s">
        <v>13</v>
      </c>
      <c r="C22082" s="11" t="s">
        <v>2644</v>
      </c>
    </row>
    <row r="22083" spans="1:4" ht="12.75" customHeight="1" x14ac:dyDescent="0.2">
      <c r="B22083" s="11" t="s">
        <v>2603</v>
      </c>
      <c r="C22083" s="11" t="s">
        <v>2604</v>
      </c>
    </row>
    <row r="22084" spans="1:4" ht="12.75" customHeight="1" x14ac:dyDescent="0.2">
      <c r="B22084" s="11" t="s">
        <v>2605</v>
      </c>
      <c r="C22084" s="11" t="s">
        <v>24</v>
      </c>
    </row>
    <row r="22085" spans="1:4" ht="12.75" customHeight="1" x14ac:dyDescent="0.2">
      <c r="B22085" s="11" t="s">
        <v>2606</v>
      </c>
      <c r="C22085" s="16" t="s">
        <v>57</v>
      </c>
      <c r="D22085" s="6" t="str">
        <f>HYPERLINK("javascript:void(0)","epicentrum")</f>
        <v>epicentrum</v>
      </c>
    </row>
    <row r="22086" spans="1:4" ht="12.75" customHeight="1" x14ac:dyDescent="0.2">
      <c r="B22086" s="2"/>
      <c r="C22086" s="15"/>
      <c r="D22086" s="2"/>
    </row>
    <row r="22087" spans="1:4" ht="12.75" customHeight="1" x14ac:dyDescent="0.2">
      <c r="B22087" s="2"/>
      <c r="C22087" s="15"/>
      <c r="D22087" s="2"/>
    </row>
    <row r="22088" spans="1:4" ht="12.75" customHeight="1" x14ac:dyDescent="0.2">
      <c r="A22088" s="13" t="s">
        <v>6211</v>
      </c>
      <c r="C22088" s="12"/>
    </row>
    <row r="22089" spans="1:4" ht="12.75" customHeight="1" x14ac:dyDescent="0.2">
      <c r="A22089" s="11"/>
      <c r="B22089" s="2"/>
      <c r="C22089" s="15"/>
      <c r="D22089" s="2"/>
    </row>
    <row r="22090" spans="1:4" ht="12.75" customHeight="1" x14ac:dyDescent="0.2">
      <c r="B22090" s="11" t="s">
        <v>0</v>
      </c>
      <c r="C22090" s="11" t="s">
        <v>1252</v>
      </c>
    </row>
    <row r="22091" spans="1:4" ht="12.75" customHeight="1" x14ac:dyDescent="0.2">
      <c r="B22091" s="11" t="s">
        <v>2599</v>
      </c>
      <c r="C22091" s="11" t="s">
        <v>6212</v>
      </c>
    </row>
    <row r="22092" spans="1:4" ht="25.5" customHeight="1" x14ac:dyDescent="0.2">
      <c r="B22092" s="11" t="s">
        <v>2600</v>
      </c>
      <c r="C22092" s="11" t="s">
        <v>6213</v>
      </c>
    </row>
    <row r="22093" spans="1:4" ht="25.5" customHeight="1" x14ac:dyDescent="0.2">
      <c r="B22093" s="11" t="s">
        <v>2601</v>
      </c>
      <c r="C22093" s="11"/>
    </row>
    <row r="22094" spans="1:4" ht="12.75" customHeight="1" x14ac:dyDescent="0.2">
      <c r="B22094" s="11" t="s">
        <v>16</v>
      </c>
      <c r="C22094" s="11"/>
    </row>
    <row r="22095" spans="1:4" ht="12.75" customHeight="1" x14ac:dyDescent="0.2">
      <c r="B22095" s="11" t="s">
        <v>13</v>
      </c>
      <c r="C22095" s="11" t="s">
        <v>2644</v>
      </c>
    </row>
    <row r="22096" spans="1:4" ht="12.75" customHeight="1" x14ac:dyDescent="0.2">
      <c r="B22096" s="11" t="s">
        <v>2603</v>
      </c>
      <c r="C22096" s="11" t="s">
        <v>2604</v>
      </c>
    </row>
    <row r="22097" spans="1:4" ht="12.75" customHeight="1" x14ac:dyDescent="0.2">
      <c r="B22097" s="11" t="s">
        <v>2605</v>
      </c>
      <c r="C22097" s="11" t="s">
        <v>24</v>
      </c>
    </row>
    <row r="22098" spans="1:4" ht="12.75" customHeight="1" x14ac:dyDescent="0.2">
      <c r="B22098" s="11" t="s">
        <v>2606</v>
      </c>
      <c r="C22098" s="16" t="s">
        <v>57</v>
      </c>
      <c r="D22098" s="6" t="str">
        <f>HYPERLINK("javascript:void(0)","úszó")</f>
        <v>úszó</v>
      </c>
    </row>
    <row r="22099" spans="1:4" ht="12.75" customHeight="1" x14ac:dyDescent="0.2">
      <c r="B22099" s="2"/>
      <c r="C22099" s="15"/>
      <c r="D22099" s="2"/>
    </row>
    <row r="22100" spans="1:4" ht="12.75" customHeight="1" x14ac:dyDescent="0.2">
      <c r="B22100" s="2"/>
      <c r="C22100" s="15"/>
      <c r="D22100" s="2"/>
    </row>
    <row r="22101" spans="1:4" ht="12.75" customHeight="1" x14ac:dyDescent="0.2">
      <c r="A22101" s="13" t="s">
        <v>6214</v>
      </c>
      <c r="C22101" s="12"/>
    </row>
    <row r="22102" spans="1:4" ht="12.75" customHeight="1" x14ac:dyDescent="0.2">
      <c r="A22102" s="11"/>
      <c r="B22102" s="2"/>
      <c r="C22102" s="15"/>
      <c r="D22102" s="2"/>
    </row>
    <row r="22103" spans="1:4" ht="12.75" customHeight="1" x14ac:dyDescent="0.2">
      <c r="B22103" s="11" t="s">
        <v>0</v>
      </c>
      <c r="C22103" s="11" t="s">
        <v>1252</v>
      </c>
    </row>
    <row r="22104" spans="1:4" ht="12.75" customHeight="1" x14ac:dyDescent="0.2">
      <c r="B22104" s="11" t="s">
        <v>2599</v>
      </c>
      <c r="C22104" s="11" t="s">
        <v>6215</v>
      </c>
    </row>
    <row r="22105" spans="1:4" ht="25.5" customHeight="1" x14ac:dyDescent="0.2">
      <c r="B22105" s="11" t="s">
        <v>2600</v>
      </c>
      <c r="C22105" s="11" t="s">
        <v>6216</v>
      </c>
    </row>
    <row r="22106" spans="1:4" ht="25.5" customHeight="1" x14ac:dyDescent="0.2">
      <c r="B22106" s="11" t="s">
        <v>2601</v>
      </c>
      <c r="C22106" s="11"/>
    </row>
    <row r="22107" spans="1:4" ht="12.75" customHeight="1" x14ac:dyDescent="0.2">
      <c r="B22107" s="11" t="s">
        <v>16</v>
      </c>
      <c r="C22107" s="11"/>
    </row>
    <row r="22108" spans="1:4" ht="12.75" customHeight="1" x14ac:dyDescent="0.2">
      <c r="B22108" s="11" t="s">
        <v>13</v>
      </c>
      <c r="C22108" s="11" t="s">
        <v>2644</v>
      </c>
    </row>
    <row r="22109" spans="1:4" ht="12.75" customHeight="1" x14ac:dyDescent="0.2">
      <c r="B22109" s="11" t="s">
        <v>2603</v>
      </c>
      <c r="C22109" s="11" t="s">
        <v>2604</v>
      </c>
    </row>
    <row r="22110" spans="1:4" ht="12.75" customHeight="1" x14ac:dyDescent="0.2">
      <c r="B22110" s="11" t="s">
        <v>2605</v>
      </c>
      <c r="C22110" s="11" t="s">
        <v>24</v>
      </c>
    </row>
    <row r="22111" spans="1:4" ht="25.5" customHeight="1" x14ac:dyDescent="0.2">
      <c r="B22111" s="11" t="s">
        <v>2606</v>
      </c>
      <c r="C22111" s="16" t="s">
        <v>44</v>
      </c>
      <c r="D22111" s="6" t="str">
        <f>HYPERLINK("javascript:void(0)","szén-hidragén")</f>
        <v>szén-hidragén</v>
      </c>
    </row>
    <row r="22112" spans="1:4" ht="12.75" customHeight="1" x14ac:dyDescent="0.2">
      <c r="C22112" s="16" t="s">
        <v>57</v>
      </c>
      <c r="D22112" s="6" t="str">
        <f>HYPERLINK("javascript:void(0)","eledel")</f>
        <v>eledel</v>
      </c>
    </row>
    <row r="22113" spans="1:4" ht="12.75" customHeight="1" x14ac:dyDescent="0.2">
      <c r="B22113" s="2"/>
      <c r="C22113" s="15"/>
      <c r="D22113" s="2"/>
    </row>
    <row r="22114" spans="1:4" ht="12.75" customHeight="1" x14ac:dyDescent="0.2">
      <c r="B22114" s="2"/>
      <c r="C22114" s="15"/>
      <c r="D22114" s="2"/>
    </row>
    <row r="22115" spans="1:4" ht="12.75" customHeight="1" x14ac:dyDescent="0.2">
      <c r="A22115" s="13" t="s">
        <v>6217</v>
      </c>
      <c r="C22115" s="12"/>
    </row>
    <row r="22116" spans="1:4" ht="12.75" customHeight="1" x14ac:dyDescent="0.2">
      <c r="A22116" s="11"/>
      <c r="B22116" s="2"/>
      <c r="C22116" s="15"/>
      <c r="D22116" s="2"/>
    </row>
    <row r="22117" spans="1:4" ht="12.75" customHeight="1" x14ac:dyDescent="0.2">
      <c r="B22117" s="11" t="s">
        <v>0</v>
      </c>
      <c r="C22117" s="11" t="s">
        <v>1252</v>
      </c>
    </row>
    <row r="22118" spans="1:4" ht="12.75" customHeight="1" x14ac:dyDescent="0.2">
      <c r="B22118" s="11" t="s">
        <v>2599</v>
      </c>
      <c r="C22118" s="11" t="s">
        <v>2482</v>
      </c>
    </row>
    <row r="22119" spans="1:4" ht="25.5" customHeight="1" x14ac:dyDescent="0.2">
      <c r="B22119" s="11" t="s">
        <v>2600</v>
      </c>
      <c r="C22119" s="11" t="s">
        <v>6218</v>
      </c>
    </row>
    <row r="22120" spans="1:4" ht="25.5" customHeight="1" x14ac:dyDescent="0.2">
      <c r="B22120" s="11" t="s">
        <v>2601</v>
      </c>
      <c r="C22120" s="11"/>
    </row>
    <row r="22121" spans="1:4" ht="12.75" customHeight="1" x14ac:dyDescent="0.2">
      <c r="B22121" s="11" t="s">
        <v>16</v>
      </c>
      <c r="C22121" s="11"/>
    </row>
    <row r="22122" spans="1:4" ht="12.75" customHeight="1" x14ac:dyDescent="0.2">
      <c r="B22122" s="11" t="s">
        <v>13</v>
      </c>
      <c r="C22122" s="11" t="s">
        <v>2644</v>
      </c>
    </row>
    <row r="22123" spans="1:4" ht="12.75" customHeight="1" x14ac:dyDescent="0.2">
      <c r="B22123" s="11" t="s">
        <v>2603</v>
      </c>
      <c r="C22123" s="11" t="s">
        <v>2604</v>
      </c>
    </row>
    <row r="22124" spans="1:4" ht="12.75" customHeight="1" x14ac:dyDescent="0.2">
      <c r="B22124" s="11" t="s">
        <v>2605</v>
      </c>
      <c r="C22124" s="11" t="s">
        <v>14</v>
      </c>
    </row>
    <row r="22125" spans="1:4" ht="12.75" customHeight="1" x14ac:dyDescent="0.2">
      <c r="B22125" s="11" t="s">
        <v>2606</v>
      </c>
      <c r="C22125" s="16" t="s">
        <v>55</v>
      </c>
      <c r="D22125" s="6" t="str">
        <f>HYPERLINK("javascript:void(0)","semmiség")</f>
        <v>semmiség</v>
      </c>
    </row>
    <row r="22126" spans="1:4" ht="12.75" customHeight="1" x14ac:dyDescent="0.2">
      <c r="B22126" s="2"/>
      <c r="C22126" s="15"/>
      <c r="D22126" s="2"/>
    </row>
    <row r="22127" spans="1:4" ht="12.75" customHeight="1" x14ac:dyDescent="0.2">
      <c r="B22127" s="2"/>
      <c r="C22127" s="15"/>
      <c r="D22127" s="2"/>
    </row>
    <row r="22128" spans="1:4" ht="12.75" customHeight="1" x14ac:dyDescent="0.2">
      <c r="A22128" s="13" t="s">
        <v>6108</v>
      </c>
      <c r="C22128" s="12"/>
      <c r="D22128" s="2"/>
    </row>
    <row r="22129" spans="1:4" ht="12.75" customHeight="1" x14ac:dyDescent="0.2">
      <c r="A22129" s="11"/>
      <c r="B22129" s="2"/>
      <c r="C22129" s="15"/>
      <c r="D22129" s="2"/>
    </row>
    <row r="22130" spans="1:4" ht="12.75" customHeight="1" x14ac:dyDescent="0.2">
      <c r="B22130" s="11" t="s">
        <v>0</v>
      </c>
      <c r="C22130" s="17" t="s">
        <v>1252</v>
      </c>
      <c r="D22130" s="2"/>
    </row>
    <row r="22131" spans="1:4" ht="12.75" customHeight="1" x14ac:dyDescent="0.2">
      <c r="B22131" s="11" t="s">
        <v>2599</v>
      </c>
      <c r="C22131" s="17" t="s">
        <v>6111</v>
      </c>
      <c r="D22131" s="2"/>
    </row>
    <row r="22132" spans="1:4" ht="25.5" customHeight="1" x14ac:dyDescent="0.2">
      <c r="B22132" s="11" t="s">
        <v>2600</v>
      </c>
      <c r="C22132" s="17" t="s">
        <v>6219</v>
      </c>
      <c r="D22132" s="2"/>
    </row>
    <row r="22133" spans="1:4" ht="25.5" customHeight="1" x14ac:dyDescent="0.2">
      <c r="B22133" s="11" t="s">
        <v>2601</v>
      </c>
      <c r="C22133" s="17"/>
      <c r="D22133" s="2"/>
    </row>
    <row r="22134" spans="1:4" ht="12.75" customHeight="1" x14ac:dyDescent="0.2">
      <c r="B22134" s="11" t="s">
        <v>16</v>
      </c>
      <c r="C22134" s="17"/>
      <c r="D22134" s="2"/>
    </row>
    <row r="22135" spans="1:4" ht="12.75" customHeight="1" x14ac:dyDescent="0.2">
      <c r="B22135" s="11" t="s">
        <v>13</v>
      </c>
      <c r="C22135" s="17" t="s">
        <v>2644</v>
      </c>
      <c r="D22135" s="2"/>
    </row>
    <row r="22136" spans="1:4" ht="25.5" customHeight="1" x14ac:dyDescent="0.2">
      <c r="B22136" s="11" t="s">
        <v>2603</v>
      </c>
      <c r="C22136" s="17" t="s">
        <v>2971</v>
      </c>
      <c r="D22136" s="2"/>
    </row>
    <row r="22137" spans="1:4" ht="12.75" customHeight="1" x14ac:dyDescent="0.2">
      <c r="B22137" s="11" t="s">
        <v>2605</v>
      </c>
      <c r="C22137" s="17" t="s">
        <v>14</v>
      </c>
      <c r="D22137" s="2"/>
    </row>
    <row r="22138" spans="1:4" ht="12.75" customHeight="1" x14ac:dyDescent="0.2">
      <c r="B22138" s="11" t="s">
        <v>2606</v>
      </c>
      <c r="C22138" s="16" t="s">
        <v>19</v>
      </c>
      <c r="D22138" s="2"/>
    </row>
    <row r="22139" spans="1:4" ht="12.75" customHeight="1" x14ac:dyDescent="0.2">
      <c r="B22139" s="2"/>
      <c r="C22139" s="15"/>
      <c r="D22139" s="2"/>
    </row>
    <row r="22140" spans="1:4" ht="12.75" customHeight="1" x14ac:dyDescent="0.2">
      <c r="B22140" s="2"/>
      <c r="C22140" s="15"/>
      <c r="D22140" s="2"/>
    </row>
    <row r="22141" spans="1:4" ht="12.75" customHeight="1" x14ac:dyDescent="0.2">
      <c r="A22141" s="13" t="s">
        <v>6135</v>
      </c>
      <c r="C22141" s="12"/>
      <c r="D22141" s="2"/>
    </row>
    <row r="22142" spans="1:4" ht="12.75" customHeight="1" x14ac:dyDescent="0.2">
      <c r="A22142" s="11"/>
      <c r="B22142" s="2"/>
      <c r="C22142" s="15"/>
      <c r="D22142" s="2"/>
    </row>
    <row r="22143" spans="1:4" ht="12.75" customHeight="1" x14ac:dyDescent="0.2">
      <c r="B22143" s="11" t="s">
        <v>0</v>
      </c>
      <c r="C22143" s="17" t="s">
        <v>1252</v>
      </c>
      <c r="D22143" s="2"/>
    </row>
    <row r="22144" spans="1:4" ht="12.75" customHeight="1" x14ac:dyDescent="0.2">
      <c r="B22144" s="11" t="s">
        <v>2599</v>
      </c>
      <c r="C22144" s="17" t="s">
        <v>6136</v>
      </c>
      <c r="D22144" s="2"/>
    </row>
    <row r="22145" spans="1:4" ht="25.5" customHeight="1" x14ac:dyDescent="0.2">
      <c r="B22145" s="11" t="s">
        <v>2600</v>
      </c>
      <c r="C22145" s="17" t="s">
        <v>6220</v>
      </c>
      <c r="D22145" s="2"/>
    </row>
    <row r="22146" spans="1:4" ht="25.5" customHeight="1" x14ac:dyDescent="0.2">
      <c r="B22146" s="11" t="s">
        <v>2601</v>
      </c>
      <c r="C22146" s="17"/>
      <c r="D22146" s="2"/>
    </row>
    <row r="22147" spans="1:4" ht="12.75" customHeight="1" x14ac:dyDescent="0.2">
      <c r="B22147" s="11" t="s">
        <v>16</v>
      </c>
      <c r="C22147" s="17"/>
      <c r="D22147" s="2"/>
    </row>
    <row r="22148" spans="1:4" ht="12.75" customHeight="1" x14ac:dyDescent="0.2">
      <c r="B22148" s="11" t="s">
        <v>13</v>
      </c>
      <c r="C22148" s="17" t="s">
        <v>2602</v>
      </c>
      <c r="D22148" s="2"/>
    </row>
    <row r="22149" spans="1:4" ht="25.5" customHeight="1" x14ac:dyDescent="0.2">
      <c r="B22149" s="11" t="s">
        <v>2603</v>
      </c>
      <c r="C22149" s="17" t="s">
        <v>2971</v>
      </c>
      <c r="D22149" s="2"/>
    </row>
    <row r="22150" spans="1:4" ht="12.75" customHeight="1" x14ac:dyDescent="0.2">
      <c r="B22150" s="11" t="s">
        <v>2605</v>
      </c>
      <c r="C22150" s="17" t="s">
        <v>14</v>
      </c>
      <c r="D22150" s="2"/>
    </row>
    <row r="22151" spans="1:4" ht="12.75" customHeight="1" x14ac:dyDescent="0.2">
      <c r="B22151" s="11" t="s">
        <v>2606</v>
      </c>
      <c r="C22151" s="16" t="s">
        <v>19</v>
      </c>
      <c r="D22151" s="2"/>
    </row>
    <row r="22152" spans="1:4" ht="12.75" customHeight="1" x14ac:dyDescent="0.2">
      <c r="B22152" s="2"/>
      <c r="C22152" s="15"/>
      <c r="D22152" s="2"/>
    </row>
    <row r="22153" spans="1:4" ht="12.75" customHeight="1" x14ac:dyDescent="0.2">
      <c r="B22153" s="2"/>
      <c r="C22153" s="15"/>
      <c r="D22153" s="2"/>
    </row>
    <row r="22154" spans="1:4" ht="12.75" customHeight="1" x14ac:dyDescent="0.2">
      <c r="A22154" s="13" t="s">
        <v>2782</v>
      </c>
      <c r="C22154" s="12"/>
    </row>
    <row r="22155" spans="1:4" ht="12.75" customHeight="1" x14ac:dyDescent="0.2">
      <c r="A22155" s="11"/>
      <c r="B22155" s="2"/>
      <c r="C22155" s="15"/>
      <c r="D22155" s="2"/>
    </row>
    <row r="22156" spans="1:4" ht="12.75" customHeight="1" x14ac:dyDescent="0.2">
      <c r="B22156" s="11" t="s">
        <v>0</v>
      </c>
      <c r="C22156" s="11" t="s">
        <v>1252</v>
      </c>
    </row>
    <row r="22157" spans="1:4" ht="12.75" customHeight="1" x14ac:dyDescent="0.2">
      <c r="B22157" s="11" t="s">
        <v>2599</v>
      </c>
      <c r="C22157" s="11" t="s">
        <v>6222</v>
      </c>
    </row>
    <row r="22158" spans="1:4" ht="25.5" customHeight="1" x14ac:dyDescent="0.2">
      <c r="B22158" s="11" t="s">
        <v>2600</v>
      </c>
      <c r="C22158" s="11" t="s">
        <v>6223</v>
      </c>
    </row>
    <row r="22159" spans="1:4" ht="25.5" customHeight="1" x14ac:dyDescent="0.2">
      <c r="B22159" s="11" t="s">
        <v>2601</v>
      </c>
      <c r="C22159" s="11"/>
    </row>
    <row r="22160" spans="1:4" ht="12.75" customHeight="1" x14ac:dyDescent="0.2">
      <c r="B22160" s="11" t="s">
        <v>16</v>
      </c>
      <c r="C22160" s="11"/>
    </row>
    <row r="22161" spans="1:4" ht="12.75" customHeight="1" x14ac:dyDescent="0.2">
      <c r="B22161" s="11" t="s">
        <v>13</v>
      </c>
      <c r="C22161" s="11" t="s">
        <v>2644</v>
      </c>
    </row>
    <row r="22162" spans="1:4" ht="12.75" customHeight="1" x14ac:dyDescent="0.2">
      <c r="B22162" s="11" t="s">
        <v>2603</v>
      </c>
      <c r="C22162" s="11" t="s">
        <v>2604</v>
      </c>
    </row>
    <row r="22163" spans="1:4" ht="12.75" customHeight="1" x14ac:dyDescent="0.2">
      <c r="B22163" s="11" t="s">
        <v>2605</v>
      </c>
      <c r="C22163" s="11" t="s">
        <v>14</v>
      </c>
    </row>
    <row r="22164" spans="1:4" ht="12.75" customHeight="1" x14ac:dyDescent="0.2">
      <c r="B22164" s="11" t="s">
        <v>2606</v>
      </c>
      <c r="C22164" s="16" t="s">
        <v>44</v>
      </c>
      <c r="D22164" s="6" t="str">
        <f>HYPERLINK("javascript:void(0)","alakváltókő")</f>
        <v>alakváltókő</v>
      </c>
    </row>
    <row r="22165" spans="1:4" ht="12.75" customHeight="1" x14ac:dyDescent="0.2">
      <c r="B22165" s="2"/>
      <c r="C22165" s="15"/>
      <c r="D22165" s="2"/>
    </row>
    <row r="22166" spans="1:4" ht="12.75" customHeight="1" x14ac:dyDescent="0.2">
      <c r="B22166" s="2"/>
      <c r="C22166" s="15"/>
      <c r="D22166" s="2"/>
    </row>
    <row r="22167" spans="1:4" ht="12.75" customHeight="1" x14ac:dyDescent="0.2">
      <c r="A22167" s="13" t="s">
        <v>6224</v>
      </c>
      <c r="C22167" s="12"/>
      <c r="D22167" s="2"/>
    </row>
    <row r="22168" spans="1:4" ht="12.75" customHeight="1" x14ac:dyDescent="0.2">
      <c r="A22168" s="11"/>
      <c r="B22168" s="2"/>
      <c r="C22168" s="15"/>
      <c r="D22168" s="2"/>
    </row>
    <row r="22169" spans="1:4" ht="12.75" customHeight="1" x14ac:dyDescent="0.2">
      <c r="B22169" s="11" t="s">
        <v>0</v>
      </c>
      <c r="C22169" s="17" t="s">
        <v>1263</v>
      </c>
      <c r="D22169" s="2"/>
    </row>
    <row r="22170" spans="1:4" ht="12.75" customHeight="1" x14ac:dyDescent="0.2">
      <c r="B22170" s="11" t="s">
        <v>2599</v>
      </c>
      <c r="C22170" s="17" t="s">
        <v>6225</v>
      </c>
      <c r="D22170" s="2"/>
    </row>
    <row r="22171" spans="1:4" ht="25.5" customHeight="1" x14ac:dyDescent="0.2">
      <c r="B22171" s="11" t="s">
        <v>2600</v>
      </c>
      <c r="C22171" s="17" t="s">
        <v>6226</v>
      </c>
      <c r="D22171" s="2"/>
    </row>
    <row r="22172" spans="1:4" ht="25.5" customHeight="1" x14ac:dyDescent="0.2">
      <c r="B22172" s="11" t="s">
        <v>2601</v>
      </c>
      <c r="C22172" s="17"/>
      <c r="D22172" s="2"/>
    </row>
    <row r="22173" spans="1:4" ht="12.75" customHeight="1" x14ac:dyDescent="0.2">
      <c r="B22173" s="11" t="s">
        <v>16</v>
      </c>
      <c r="C22173" s="17"/>
      <c r="D22173" s="2"/>
    </row>
    <row r="22174" spans="1:4" ht="12.75" customHeight="1" x14ac:dyDescent="0.2">
      <c r="B22174" s="11" t="s">
        <v>13</v>
      </c>
      <c r="C22174" s="17" t="s">
        <v>2602</v>
      </c>
      <c r="D22174" s="2"/>
    </row>
    <row r="22175" spans="1:4" ht="25.5" customHeight="1" x14ac:dyDescent="0.2">
      <c r="B22175" s="11" t="s">
        <v>2603</v>
      </c>
      <c r="C22175" s="17" t="s">
        <v>2971</v>
      </c>
      <c r="D22175" s="2"/>
    </row>
    <row r="22176" spans="1:4" ht="12.75" customHeight="1" x14ac:dyDescent="0.2">
      <c r="B22176" s="11" t="s">
        <v>2605</v>
      </c>
      <c r="C22176" s="17" t="s">
        <v>14</v>
      </c>
      <c r="D22176" s="2"/>
    </row>
    <row r="22177" spans="1:4" ht="12.75" customHeight="1" x14ac:dyDescent="0.2">
      <c r="B22177" s="11" t="s">
        <v>2606</v>
      </c>
      <c r="C22177" s="16" t="s">
        <v>19</v>
      </c>
      <c r="D22177" s="2"/>
    </row>
    <row r="22178" spans="1:4" ht="12.75" customHeight="1" x14ac:dyDescent="0.2">
      <c r="B22178" s="2"/>
      <c r="C22178" s="15"/>
      <c r="D22178" s="2"/>
    </row>
    <row r="22179" spans="1:4" ht="12.75" customHeight="1" x14ac:dyDescent="0.2">
      <c r="B22179" s="2"/>
      <c r="C22179" s="15"/>
      <c r="D22179" s="2"/>
    </row>
    <row r="22180" spans="1:4" ht="12.75" customHeight="1" x14ac:dyDescent="0.2">
      <c r="A22180" s="13" t="s">
        <v>6227</v>
      </c>
      <c r="C22180" s="12"/>
      <c r="D22180" s="2"/>
    </row>
    <row r="22181" spans="1:4" ht="12.75" customHeight="1" x14ac:dyDescent="0.2">
      <c r="A22181" s="11"/>
      <c r="B22181" s="2"/>
      <c r="C22181" s="15"/>
      <c r="D22181" s="2"/>
    </row>
    <row r="22182" spans="1:4" ht="12.75" customHeight="1" x14ac:dyDescent="0.2">
      <c r="B22182" s="11" t="s">
        <v>0</v>
      </c>
      <c r="C22182" s="17" t="s">
        <v>1263</v>
      </c>
      <c r="D22182" s="2"/>
    </row>
    <row r="22183" spans="1:4" ht="12.75" customHeight="1" x14ac:dyDescent="0.2">
      <c r="B22183" s="11" t="s">
        <v>2599</v>
      </c>
      <c r="C22183" s="17" t="s">
        <v>5569</v>
      </c>
      <c r="D22183" s="2"/>
    </row>
    <row r="22184" spans="1:4" ht="25.5" customHeight="1" x14ac:dyDescent="0.2">
      <c r="B22184" s="11" t="s">
        <v>2600</v>
      </c>
      <c r="C22184" s="17" t="s">
        <v>6228</v>
      </c>
      <c r="D22184" s="2"/>
    </row>
    <row r="22185" spans="1:4" ht="25.5" customHeight="1" x14ac:dyDescent="0.2">
      <c r="B22185" s="11" t="s">
        <v>2601</v>
      </c>
      <c r="C22185" s="17"/>
      <c r="D22185" s="2"/>
    </row>
    <row r="22186" spans="1:4" ht="12.75" customHeight="1" x14ac:dyDescent="0.2">
      <c r="B22186" s="11" t="s">
        <v>16</v>
      </c>
      <c r="C22186" s="17"/>
      <c r="D22186" s="2"/>
    </row>
    <row r="22187" spans="1:4" ht="12.75" customHeight="1" x14ac:dyDescent="0.2">
      <c r="B22187" s="11" t="s">
        <v>13</v>
      </c>
      <c r="C22187" s="17" t="s">
        <v>2644</v>
      </c>
      <c r="D22187" s="2"/>
    </row>
    <row r="22188" spans="1:4" ht="25.5" customHeight="1" x14ac:dyDescent="0.2">
      <c r="B22188" s="11" t="s">
        <v>2603</v>
      </c>
      <c r="C22188" s="17" t="s">
        <v>2971</v>
      </c>
      <c r="D22188" s="2"/>
    </row>
    <row r="22189" spans="1:4" ht="12.75" customHeight="1" x14ac:dyDescent="0.2">
      <c r="B22189" s="11" t="s">
        <v>2605</v>
      </c>
      <c r="C22189" s="17" t="s">
        <v>14</v>
      </c>
      <c r="D22189" s="2"/>
    </row>
    <row r="22190" spans="1:4" ht="12.75" customHeight="1" x14ac:dyDescent="0.2">
      <c r="B22190" s="11" t="s">
        <v>2606</v>
      </c>
      <c r="C22190" s="16" t="s">
        <v>19</v>
      </c>
      <c r="D22190" s="2"/>
    </row>
    <row r="22191" spans="1:4" ht="12.75" customHeight="1" x14ac:dyDescent="0.2">
      <c r="B22191" s="2"/>
      <c r="C22191" s="15"/>
      <c r="D22191" s="2"/>
    </row>
    <row r="22192" spans="1:4" ht="12.75" customHeight="1" x14ac:dyDescent="0.2">
      <c r="B22192" s="2"/>
      <c r="C22192" s="15"/>
      <c r="D22192" s="2"/>
    </row>
    <row r="22193" spans="1:4" ht="12.75" customHeight="1" x14ac:dyDescent="0.2">
      <c r="A22193" s="13" t="s">
        <v>6229</v>
      </c>
      <c r="C22193" s="12"/>
      <c r="D22193" s="2"/>
    </row>
    <row r="22194" spans="1:4" ht="12.75" customHeight="1" x14ac:dyDescent="0.2">
      <c r="A22194" s="11"/>
      <c r="B22194" s="2"/>
      <c r="C22194" s="15"/>
      <c r="D22194" s="2"/>
    </row>
    <row r="22195" spans="1:4" ht="12.75" customHeight="1" x14ac:dyDescent="0.2">
      <c r="B22195" s="11" t="s">
        <v>0</v>
      </c>
      <c r="C22195" s="17" t="s">
        <v>1263</v>
      </c>
      <c r="D22195" s="2"/>
    </row>
    <row r="22196" spans="1:4" ht="12.75" customHeight="1" x14ac:dyDescent="0.2">
      <c r="B22196" s="11" t="s">
        <v>2599</v>
      </c>
      <c r="C22196" s="17" t="s">
        <v>6230</v>
      </c>
      <c r="D22196" s="2"/>
    </row>
    <row r="22197" spans="1:4" ht="25.5" customHeight="1" x14ac:dyDescent="0.2">
      <c r="B22197" s="11" t="s">
        <v>2600</v>
      </c>
      <c r="C22197" s="17" t="s">
        <v>6231</v>
      </c>
      <c r="D22197" s="2"/>
    </row>
    <row r="22198" spans="1:4" ht="25.5" customHeight="1" x14ac:dyDescent="0.2">
      <c r="B22198" s="11" t="s">
        <v>2601</v>
      </c>
      <c r="C22198" s="17"/>
      <c r="D22198" s="2"/>
    </row>
    <row r="22199" spans="1:4" ht="12.75" customHeight="1" x14ac:dyDescent="0.2">
      <c r="B22199" s="11" t="s">
        <v>16</v>
      </c>
      <c r="C22199" s="17"/>
      <c r="D22199" s="2"/>
    </row>
    <row r="22200" spans="1:4" ht="12.75" customHeight="1" x14ac:dyDescent="0.2">
      <c r="B22200" s="11" t="s">
        <v>13</v>
      </c>
      <c r="C22200" s="17" t="s">
        <v>2644</v>
      </c>
      <c r="D22200" s="2"/>
    </row>
    <row r="22201" spans="1:4" ht="25.5" customHeight="1" x14ac:dyDescent="0.2">
      <c r="B22201" s="11" t="s">
        <v>2603</v>
      </c>
      <c r="C22201" s="17" t="s">
        <v>2971</v>
      </c>
      <c r="D22201" s="2"/>
    </row>
    <row r="22202" spans="1:4" ht="12.75" customHeight="1" x14ac:dyDescent="0.2">
      <c r="B22202" s="11" t="s">
        <v>2605</v>
      </c>
      <c r="C22202" s="17" t="s">
        <v>14</v>
      </c>
      <c r="D22202" s="2"/>
    </row>
    <row r="22203" spans="1:4" ht="12.75" customHeight="1" x14ac:dyDescent="0.2">
      <c r="B22203" s="11" t="s">
        <v>2606</v>
      </c>
      <c r="C22203" s="16" t="s">
        <v>19</v>
      </c>
      <c r="D22203" s="2"/>
    </row>
    <row r="22204" spans="1:4" ht="12.75" customHeight="1" x14ac:dyDescent="0.2">
      <c r="B22204" s="2"/>
      <c r="C22204" s="15"/>
      <c r="D22204" s="2"/>
    </row>
    <row r="22205" spans="1:4" ht="12.75" customHeight="1" x14ac:dyDescent="0.2">
      <c r="B22205" s="2"/>
      <c r="C22205" s="15"/>
      <c r="D22205" s="2"/>
    </row>
    <row r="22206" spans="1:4" ht="12.75" customHeight="1" x14ac:dyDescent="0.2">
      <c r="A22206" s="13" t="s">
        <v>6232</v>
      </c>
      <c r="C22206" s="12"/>
    </row>
    <row r="22207" spans="1:4" ht="12.75" customHeight="1" x14ac:dyDescent="0.2">
      <c r="A22207" s="11"/>
      <c r="B22207" s="2"/>
      <c r="C22207" s="15"/>
      <c r="D22207" s="2"/>
    </row>
    <row r="22208" spans="1:4" ht="12.75" customHeight="1" x14ac:dyDescent="0.2">
      <c r="B22208" s="11" t="s">
        <v>0</v>
      </c>
      <c r="C22208" s="11" t="s">
        <v>1263</v>
      </c>
    </row>
    <row r="22209" spans="1:4" ht="12.75" customHeight="1" x14ac:dyDescent="0.2">
      <c r="B22209" s="11" t="s">
        <v>2599</v>
      </c>
      <c r="C22209" s="11" t="s">
        <v>6233</v>
      </c>
    </row>
    <row r="22210" spans="1:4" ht="25.5" customHeight="1" x14ac:dyDescent="0.2">
      <c r="B22210" s="11" t="s">
        <v>2600</v>
      </c>
      <c r="C22210" s="11" t="s">
        <v>6234</v>
      </c>
    </row>
    <row r="22211" spans="1:4" ht="25.5" customHeight="1" x14ac:dyDescent="0.2">
      <c r="B22211" s="11" t="s">
        <v>2601</v>
      </c>
      <c r="C22211" s="11"/>
    </row>
    <row r="22212" spans="1:4" ht="12.75" customHeight="1" x14ac:dyDescent="0.2">
      <c r="B22212" s="11" t="s">
        <v>16</v>
      </c>
      <c r="C22212" s="11"/>
    </row>
    <row r="22213" spans="1:4" ht="12.75" customHeight="1" x14ac:dyDescent="0.2">
      <c r="B22213" s="11" t="s">
        <v>13</v>
      </c>
      <c r="C22213" s="11" t="s">
        <v>2644</v>
      </c>
    </row>
    <row r="22214" spans="1:4" ht="12.75" customHeight="1" x14ac:dyDescent="0.2">
      <c r="B22214" s="11" t="s">
        <v>2603</v>
      </c>
      <c r="C22214" s="11" t="s">
        <v>2604</v>
      </c>
    </row>
    <row r="22215" spans="1:4" ht="12.75" customHeight="1" x14ac:dyDescent="0.2">
      <c r="B22215" s="11" t="s">
        <v>2605</v>
      </c>
      <c r="C22215" s="11" t="s">
        <v>24</v>
      </c>
    </row>
    <row r="22216" spans="1:4" ht="12.75" customHeight="1" x14ac:dyDescent="0.2">
      <c r="B22216" s="11" t="s">
        <v>2606</v>
      </c>
      <c r="C22216" s="16" t="s">
        <v>102</v>
      </c>
      <c r="D22216" s="6" t="str">
        <f>HYPERLINK("javascript:void(0)","kincs")</f>
        <v>kincs</v>
      </c>
    </row>
    <row r="22217" spans="1:4" ht="12.75" customHeight="1" x14ac:dyDescent="0.2">
      <c r="C22217" s="16" t="s">
        <v>6235</v>
      </c>
      <c r="D22217" s="6" t="str">
        <f>HYPERLINK("javascript:void(0)","ezüst")</f>
        <v>ezüst</v>
      </c>
    </row>
    <row r="22218" spans="1:4" ht="12.75" customHeight="1" x14ac:dyDescent="0.2">
      <c r="B22218" s="2"/>
      <c r="C22218" s="15"/>
      <c r="D22218" s="2"/>
    </row>
    <row r="22219" spans="1:4" ht="12.75" customHeight="1" x14ac:dyDescent="0.2">
      <c r="B22219" s="2"/>
      <c r="C22219" s="15"/>
      <c r="D22219" s="2"/>
    </row>
    <row r="22220" spans="1:4" ht="12.75" customHeight="1" x14ac:dyDescent="0.2">
      <c r="A22220" s="13" t="s">
        <v>6236</v>
      </c>
      <c r="C22220" s="12"/>
    </row>
    <row r="22221" spans="1:4" ht="12.75" customHeight="1" x14ac:dyDescent="0.2">
      <c r="A22221" s="11"/>
      <c r="B22221" s="2"/>
      <c r="C22221" s="15"/>
      <c r="D22221" s="2"/>
    </row>
    <row r="22222" spans="1:4" ht="12.75" customHeight="1" x14ac:dyDescent="0.2">
      <c r="B22222" s="11" t="s">
        <v>0</v>
      </c>
      <c r="C22222" s="11" t="s">
        <v>1263</v>
      </c>
    </row>
    <row r="22223" spans="1:4" ht="12.75" customHeight="1" x14ac:dyDescent="0.2">
      <c r="B22223" s="11" t="s">
        <v>2599</v>
      </c>
      <c r="C22223" s="11" t="s">
        <v>6237</v>
      </c>
    </row>
    <row r="22224" spans="1:4" ht="25.5" customHeight="1" x14ac:dyDescent="0.2">
      <c r="B22224" s="11" t="s">
        <v>2600</v>
      </c>
      <c r="C22224" s="11" t="s">
        <v>6238</v>
      </c>
    </row>
    <row r="22225" spans="1:4" ht="25.5" customHeight="1" x14ac:dyDescent="0.2">
      <c r="B22225" s="11" t="s">
        <v>2601</v>
      </c>
      <c r="C22225" s="11"/>
    </row>
    <row r="22226" spans="1:4" ht="12.75" customHeight="1" x14ac:dyDescent="0.2">
      <c r="B22226" s="11" t="s">
        <v>16</v>
      </c>
      <c r="C22226" s="11"/>
    </row>
    <row r="22227" spans="1:4" ht="12.75" customHeight="1" x14ac:dyDescent="0.2">
      <c r="B22227" s="11" t="s">
        <v>13</v>
      </c>
      <c r="C22227" s="11" t="s">
        <v>2644</v>
      </c>
    </row>
    <row r="22228" spans="1:4" ht="12.75" customHeight="1" x14ac:dyDescent="0.2">
      <c r="B22228" s="11" t="s">
        <v>2603</v>
      </c>
      <c r="C22228" s="11" t="s">
        <v>2604</v>
      </c>
    </row>
    <row r="22229" spans="1:4" ht="12.75" customHeight="1" x14ac:dyDescent="0.2">
      <c r="B22229" s="11" t="s">
        <v>2605</v>
      </c>
      <c r="C22229" s="11" t="s">
        <v>24</v>
      </c>
    </row>
    <row r="22230" spans="1:4" ht="12.75" customHeight="1" x14ac:dyDescent="0.2">
      <c r="B22230" s="11" t="s">
        <v>2606</v>
      </c>
      <c r="C22230" s="16" t="s">
        <v>420</v>
      </c>
      <c r="D22230" s="6" t="str">
        <f>HYPERLINK("javascript:void(0)","kincs")</f>
        <v>kincs</v>
      </c>
    </row>
    <row r="22231" spans="1:4" ht="12.75" customHeight="1" x14ac:dyDescent="0.2">
      <c r="B22231" s="2"/>
      <c r="C22231" s="15"/>
      <c r="D22231" s="2"/>
    </row>
    <row r="22232" spans="1:4" ht="12.75" customHeight="1" x14ac:dyDescent="0.2">
      <c r="B22232" s="2"/>
      <c r="C22232" s="15"/>
      <c r="D22232" s="2"/>
    </row>
    <row r="22233" spans="1:4" ht="12.75" customHeight="1" x14ac:dyDescent="0.2">
      <c r="A22233" s="13" t="s">
        <v>6239</v>
      </c>
      <c r="C22233" s="12"/>
    </row>
    <row r="22234" spans="1:4" ht="12.75" customHeight="1" x14ac:dyDescent="0.2">
      <c r="A22234" s="11"/>
      <c r="B22234" s="2"/>
      <c r="C22234" s="15"/>
      <c r="D22234" s="2"/>
    </row>
    <row r="22235" spans="1:4" ht="12.75" customHeight="1" x14ac:dyDescent="0.2">
      <c r="B22235" s="11" t="s">
        <v>0</v>
      </c>
      <c r="C22235" s="11" t="s">
        <v>1263</v>
      </c>
    </row>
    <row r="22236" spans="1:4" ht="12.75" customHeight="1" x14ac:dyDescent="0.2">
      <c r="B22236" s="11" t="s">
        <v>2599</v>
      </c>
      <c r="C22236" s="11" t="s">
        <v>6240</v>
      </c>
    </row>
    <row r="22237" spans="1:4" ht="25.5" customHeight="1" x14ac:dyDescent="0.2">
      <c r="B22237" s="11" t="s">
        <v>2600</v>
      </c>
      <c r="C22237" s="11" t="s">
        <v>6241</v>
      </c>
    </row>
    <row r="22238" spans="1:4" ht="25.5" customHeight="1" x14ac:dyDescent="0.2">
      <c r="B22238" s="11" t="s">
        <v>2601</v>
      </c>
      <c r="C22238" s="11"/>
    </row>
    <row r="22239" spans="1:4" ht="12.75" customHeight="1" x14ac:dyDescent="0.2">
      <c r="B22239" s="11" t="s">
        <v>16</v>
      </c>
      <c r="C22239" s="11"/>
    </row>
    <row r="22240" spans="1:4" ht="12.75" customHeight="1" x14ac:dyDescent="0.2">
      <c r="B22240" s="11" t="s">
        <v>13</v>
      </c>
      <c r="C22240" s="11" t="s">
        <v>2644</v>
      </c>
    </row>
    <row r="22241" spans="1:4" ht="12.75" customHeight="1" x14ac:dyDescent="0.2">
      <c r="B22241" s="11" t="s">
        <v>2603</v>
      </c>
      <c r="C22241" s="11" t="s">
        <v>2604</v>
      </c>
    </row>
    <row r="22242" spans="1:4" ht="12.75" customHeight="1" x14ac:dyDescent="0.2">
      <c r="B22242" s="11" t="s">
        <v>2605</v>
      </c>
      <c r="C22242" s="11" t="s">
        <v>24</v>
      </c>
    </row>
    <row r="22243" spans="1:4" ht="12.75" customHeight="1" x14ac:dyDescent="0.2">
      <c r="B22243" s="11" t="s">
        <v>2606</v>
      </c>
      <c r="C22243" s="16" t="s">
        <v>67</v>
      </c>
      <c r="D22243" s="6" t="str">
        <f>HYPERLINK("javascript:void(0)","tollcsomó")</f>
        <v>tollcsomó</v>
      </c>
    </row>
    <row r="22244" spans="1:4" ht="12.75" customHeight="1" x14ac:dyDescent="0.2">
      <c r="B22244" s="2"/>
      <c r="C22244" s="15"/>
      <c r="D22244" s="2"/>
    </row>
    <row r="22245" spans="1:4" ht="12.75" customHeight="1" x14ac:dyDescent="0.2">
      <c r="B22245" s="2"/>
      <c r="C22245" s="15"/>
      <c r="D22245" s="2"/>
    </row>
    <row r="22246" spans="1:4" ht="12.75" customHeight="1" x14ac:dyDescent="0.2">
      <c r="A22246" s="13" t="s">
        <v>6242</v>
      </c>
      <c r="C22246" s="12"/>
    </row>
    <row r="22247" spans="1:4" ht="12.75" customHeight="1" x14ac:dyDescent="0.2">
      <c r="A22247" s="11"/>
      <c r="B22247" s="2"/>
      <c r="C22247" s="15"/>
      <c r="D22247" s="2"/>
    </row>
    <row r="22248" spans="1:4" ht="12.75" customHeight="1" x14ac:dyDescent="0.2">
      <c r="B22248" s="11" t="s">
        <v>0</v>
      </c>
      <c r="C22248" s="11" t="s">
        <v>1263</v>
      </c>
    </row>
    <row r="22249" spans="1:4" ht="12.75" customHeight="1" x14ac:dyDescent="0.2">
      <c r="B22249" s="11" t="s">
        <v>2599</v>
      </c>
      <c r="C22249" s="11" t="s">
        <v>570</v>
      </c>
    </row>
    <row r="22250" spans="1:4" ht="25.5" customHeight="1" x14ac:dyDescent="0.2">
      <c r="B22250" s="11" t="s">
        <v>2600</v>
      </c>
      <c r="C22250" s="11" t="s">
        <v>6243</v>
      </c>
    </row>
    <row r="22251" spans="1:4" ht="25.5" customHeight="1" x14ac:dyDescent="0.2">
      <c r="B22251" s="11" t="s">
        <v>2601</v>
      </c>
      <c r="C22251" s="11"/>
    </row>
    <row r="22252" spans="1:4" ht="12.75" customHeight="1" x14ac:dyDescent="0.2">
      <c r="B22252" s="11" t="s">
        <v>16</v>
      </c>
      <c r="C22252" s="11"/>
    </row>
    <row r="22253" spans="1:4" ht="12.75" customHeight="1" x14ac:dyDescent="0.2">
      <c r="B22253" s="11" t="s">
        <v>13</v>
      </c>
      <c r="C22253" s="11" t="s">
        <v>2644</v>
      </c>
    </row>
    <row r="22254" spans="1:4" ht="12.75" customHeight="1" x14ac:dyDescent="0.2">
      <c r="B22254" s="11" t="s">
        <v>2603</v>
      </c>
      <c r="C22254" s="11" t="s">
        <v>2604</v>
      </c>
    </row>
    <row r="22255" spans="1:4" ht="12.75" customHeight="1" x14ac:dyDescent="0.2">
      <c r="B22255" s="11" t="s">
        <v>2605</v>
      </c>
      <c r="C22255" s="11" t="s">
        <v>24</v>
      </c>
    </row>
    <row r="22256" spans="1:4" ht="12.75" customHeight="1" x14ac:dyDescent="0.2">
      <c r="B22256" s="11" t="s">
        <v>2606</v>
      </c>
      <c r="C22256" s="16" t="s">
        <v>77</v>
      </c>
      <c r="D22256" s="6" t="str">
        <f>HYPERLINK("javascript:void(0)","utóguta")</f>
        <v>utóguta</v>
      </c>
    </row>
    <row r="22257" spans="1:4" ht="12.75" customHeight="1" x14ac:dyDescent="0.2">
      <c r="B22257" s="2"/>
      <c r="C22257" s="15"/>
      <c r="D22257" s="2"/>
    </row>
    <row r="22258" spans="1:4" ht="12.75" customHeight="1" x14ac:dyDescent="0.2">
      <c r="B22258" s="2"/>
      <c r="C22258" s="15"/>
      <c r="D22258" s="2"/>
    </row>
    <row r="22259" spans="1:4" ht="12.75" customHeight="1" x14ac:dyDescent="0.2">
      <c r="A22259" s="13" t="s">
        <v>6244</v>
      </c>
      <c r="C22259" s="12"/>
    </row>
    <row r="22260" spans="1:4" ht="12.75" customHeight="1" x14ac:dyDescent="0.2">
      <c r="A22260" s="11"/>
      <c r="B22260" s="2"/>
      <c r="C22260" s="15"/>
      <c r="D22260" s="2"/>
    </row>
    <row r="22261" spans="1:4" ht="12.75" customHeight="1" x14ac:dyDescent="0.2">
      <c r="B22261" s="11" t="s">
        <v>0</v>
      </c>
      <c r="C22261" s="11" t="s">
        <v>1263</v>
      </c>
    </row>
    <row r="22262" spans="1:4" ht="12.75" customHeight="1" x14ac:dyDescent="0.2">
      <c r="B22262" s="11" t="s">
        <v>2599</v>
      </c>
      <c r="C22262" s="11" t="s">
        <v>6245</v>
      </c>
    </row>
    <row r="22263" spans="1:4" ht="25.5" customHeight="1" x14ac:dyDescent="0.2">
      <c r="B22263" s="11" t="s">
        <v>2600</v>
      </c>
      <c r="C22263" s="11" t="s">
        <v>6246</v>
      </c>
    </row>
    <row r="22264" spans="1:4" ht="25.5" customHeight="1" x14ac:dyDescent="0.2">
      <c r="B22264" s="11" t="s">
        <v>2601</v>
      </c>
      <c r="C22264" s="11"/>
    </row>
    <row r="22265" spans="1:4" ht="12.75" customHeight="1" x14ac:dyDescent="0.2">
      <c r="B22265" s="11" t="s">
        <v>16</v>
      </c>
      <c r="C22265" s="11"/>
    </row>
    <row r="22266" spans="1:4" ht="12.75" customHeight="1" x14ac:dyDescent="0.2">
      <c r="B22266" s="11" t="s">
        <v>13</v>
      </c>
      <c r="C22266" s="11" t="s">
        <v>2602</v>
      </c>
    </row>
    <row r="22267" spans="1:4" ht="12.75" customHeight="1" x14ac:dyDescent="0.2">
      <c r="B22267" s="11" t="s">
        <v>2603</v>
      </c>
      <c r="C22267" s="11" t="s">
        <v>2604</v>
      </c>
    </row>
    <row r="22268" spans="1:4" ht="12.75" customHeight="1" x14ac:dyDescent="0.2">
      <c r="B22268" s="11" t="s">
        <v>2605</v>
      </c>
      <c r="C22268" s="11" t="s">
        <v>24</v>
      </c>
    </row>
    <row r="22269" spans="1:4" ht="12.75" customHeight="1" x14ac:dyDescent="0.2">
      <c r="B22269" s="11" t="s">
        <v>2606</v>
      </c>
      <c r="C22269" s="16" t="s">
        <v>57</v>
      </c>
      <c r="D22269" s="6" t="str">
        <f>HYPERLINK("javascript:void(0)","roncogás")</f>
        <v>roncogás</v>
      </c>
    </row>
    <row r="22270" spans="1:4" ht="12.75" customHeight="1" x14ac:dyDescent="0.2">
      <c r="B22270" s="2"/>
      <c r="C22270" s="15"/>
      <c r="D22270" s="2"/>
    </row>
    <row r="22271" spans="1:4" ht="12.75" customHeight="1" x14ac:dyDescent="0.2">
      <c r="B22271" s="2"/>
      <c r="C22271" s="15"/>
      <c r="D22271" s="2"/>
    </row>
    <row r="22272" spans="1:4" ht="12.75" customHeight="1" x14ac:dyDescent="0.2">
      <c r="A22272" s="13" t="s">
        <v>6248</v>
      </c>
      <c r="C22272" s="12"/>
      <c r="D22272" s="2"/>
    </row>
    <row r="22273" spans="1:4" ht="12.75" customHeight="1" x14ac:dyDescent="0.2">
      <c r="A22273" s="11"/>
      <c r="B22273" s="2"/>
      <c r="C22273" s="15"/>
      <c r="D22273" s="2"/>
    </row>
    <row r="22274" spans="1:4" ht="12.75" customHeight="1" x14ac:dyDescent="0.2">
      <c r="B22274" s="11" t="s">
        <v>0</v>
      </c>
      <c r="C22274" s="17" t="s">
        <v>1263</v>
      </c>
      <c r="D22274" s="2"/>
    </row>
    <row r="22275" spans="1:4" ht="12.75" customHeight="1" x14ac:dyDescent="0.2">
      <c r="B22275" s="11" t="s">
        <v>2599</v>
      </c>
      <c r="C22275" s="17" t="s">
        <v>6249</v>
      </c>
      <c r="D22275" s="2"/>
    </row>
    <row r="22276" spans="1:4" ht="25.5" customHeight="1" x14ac:dyDescent="0.2">
      <c r="B22276" s="11" t="s">
        <v>2600</v>
      </c>
      <c r="C22276" s="17" t="s">
        <v>6250</v>
      </c>
      <c r="D22276" s="2"/>
    </row>
    <row r="22277" spans="1:4" ht="25.5" customHeight="1" x14ac:dyDescent="0.2">
      <c r="B22277" s="11" t="s">
        <v>2601</v>
      </c>
      <c r="C22277" s="17"/>
      <c r="D22277" s="2"/>
    </row>
    <row r="22278" spans="1:4" ht="12.75" customHeight="1" x14ac:dyDescent="0.2">
      <c r="B22278" s="11" t="s">
        <v>16</v>
      </c>
      <c r="C22278" s="17"/>
      <c r="D22278" s="2"/>
    </row>
    <row r="22279" spans="1:4" ht="12.75" customHeight="1" x14ac:dyDescent="0.2">
      <c r="B22279" s="11" t="s">
        <v>13</v>
      </c>
      <c r="C22279" s="17" t="s">
        <v>2602</v>
      </c>
      <c r="D22279" s="2"/>
    </row>
    <row r="22280" spans="1:4" ht="25.5" customHeight="1" x14ac:dyDescent="0.2">
      <c r="B22280" s="11" t="s">
        <v>2603</v>
      </c>
      <c r="C22280" s="17" t="s">
        <v>2971</v>
      </c>
      <c r="D22280" s="2"/>
    </row>
    <row r="22281" spans="1:4" ht="12.75" customHeight="1" x14ac:dyDescent="0.2">
      <c r="B22281" s="11" t="s">
        <v>2605</v>
      </c>
      <c r="C22281" s="17" t="s">
        <v>14</v>
      </c>
      <c r="D22281" s="2"/>
    </row>
    <row r="22282" spans="1:4" ht="12.75" customHeight="1" x14ac:dyDescent="0.2">
      <c r="B22282" s="11" t="s">
        <v>2606</v>
      </c>
      <c r="C22282" s="16" t="s">
        <v>19</v>
      </c>
      <c r="D22282" s="2"/>
    </row>
    <row r="22283" spans="1:4" ht="12.75" customHeight="1" x14ac:dyDescent="0.2">
      <c r="B22283" s="2"/>
      <c r="C22283" s="15"/>
      <c r="D22283" s="2"/>
    </row>
    <row r="22284" spans="1:4" ht="12.75" customHeight="1" x14ac:dyDescent="0.2">
      <c r="B22284" s="2"/>
      <c r="C22284" s="15"/>
      <c r="D22284" s="2"/>
    </row>
    <row r="22285" spans="1:4" ht="12.75" customHeight="1" x14ac:dyDescent="0.2">
      <c r="A22285" s="13" t="s">
        <v>6224</v>
      </c>
      <c r="C22285" s="12"/>
      <c r="D22285" s="2"/>
    </row>
    <row r="22286" spans="1:4" ht="12.75" customHeight="1" x14ac:dyDescent="0.2">
      <c r="A22286" s="11"/>
      <c r="B22286" s="2"/>
      <c r="C22286" s="15"/>
      <c r="D22286" s="2"/>
    </row>
    <row r="22287" spans="1:4" ht="12.75" customHeight="1" x14ac:dyDescent="0.2">
      <c r="B22287" s="11" t="s">
        <v>0</v>
      </c>
      <c r="C22287" s="17" t="s">
        <v>1270</v>
      </c>
      <c r="D22287" s="2"/>
    </row>
    <row r="22288" spans="1:4" ht="12.75" customHeight="1" x14ac:dyDescent="0.2">
      <c r="B22288" s="11" t="s">
        <v>2599</v>
      </c>
      <c r="C22288" s="17" t="s">
        <v>6225</v>
      </c>
      <c r="D22288" s="2"/>
    </row>
    <row r="22289" spans="1:4" ht="25.5" customHeight="1" x14ac:dyDescent="0.2">
      <c r="B22289" s="11" t="s">
        <v>2600</v>
      </c>
      <c r="C22289" s="17" t="s">
        <v>6251</v>
      </c>
      <c r="D22289" s="2"/>
    </row>
    <row r="22290" spans="1:4" ht="25.5" customHeight="1" x14ac:dyDescent="0.2">
      <c r="B22290" s="11" t="s">
        <v>2601</v>
      </c>
      <c r="C22290" s="17"/>
      <c r="D22290" s="2"/>
    </row>
    <row r="22291" spans="1:4" ht="12.75" customHeight="1" x14ac:dyDescent="0.2">
      <c r="B22291" s="11" t="s">
        <v>16</v>
      </c>
      <c r="C22291" s="17"/>
      <c r="D22291" s="2"/>
    </row>
    <row r="22292" spans="1:4" ht="12.75" customHeight="1" x14ac:dyDescent="0.2">
      <c r="B22292" s="11" t="s">
        <v>13</v>
      </c>
      <c r="C22292" s="17" t="s">
        <v>2602</v>
      </c>
      <c r="D22292" s="2"/>
    </row>
    <row r="22293" spans="1:4" ht="25.5" customHeight="1" x14ac:dyDescent="0.2">
      <c r="B22293" s="11" t="s">
        <v>2603</v>
      </c>
      <c r="C22293" s="17" t="s">
        <v>2971</v>
      </c>
      <c r="D22293" s="2"/>
    </row>
    <row r="22294" spans="1:4" ht="12.75" customHeight="1" x14ac:dyDescent="0.2">
      <c r="B22294" s="11" t="s">
        <v>2605</v>
      </c>
      <c r="C22294" s="17" t="s">
        <v>14</v>
      </c>
      <c r="D22294" s="2"/>
    </row>
    <row r="22295" spans="1:4" ht="12.75" customHeight="1" x14ac:dyDescent="0.2">
      <c r="B22295" s="11" t="s">
        <v>2606</v>
      </c>
      <c r="C22295" s="16" t="s">
        <v>19</v>
      </c>
      <c r="D22295" s="2"/>
    </row>
    <row r="22296" spans="1:4" ht="12.75" customHeight="1" x14ac:dyDescent="0.2">
      <c r="B22296" s="2"/>
      <c r="C22296" s="15"/>
      <c r="D22296" s="2"/>
    </row>
    <row r="22297" spans="1:4" ht="12.75" customHeight="1" x14ac:dyDescent="0.2">
      <c r="B22297" s="2"/>
      <c r="C22297" s="15"/>
      <c r="D22297" s="2"/>
    </row>
    <row r="22298" spans="1:4" ht="12.75" customHeight="1" x14ac:dyDescent="0.2">
      <c r="A22298" s="13" t="s">
        <v>6227</v>
      </c>
      <c r="C22298" s="12"/>
      <c r="D22298" s="2"/>
    </row>
    <row r="22299" spans="1:4" ht="12.75" customHeight="1" x14ac:dyDescent="0.2">
      <c r="A22299" s="11"/>
      <c r="B22299" s="2"/>
      <c r="C22299" s="15"/>
      <c r="D22299" s="2"/>
    </row>
    <row r="22300" spans="1:4" ht="12.75" customHeight="1" x14ac:dyDescent="0.2">
      <c r="B22300" s="11" t="s">
        <v>0</v>
      </c>
      <c r="C22300" s="17" t="s">
        <v>1270</v>
      </c>
      <c r="D22300" s="2"/>
    </row>
    <row r="22301" spans="1:4" ht="12.75" customHeight="1" x14ac:dyDescent="0.2">
      <c r="B22301" s="11" t="s">
        <v>2599</v>
      </c>
      <c r="C22301" s="17" t="s">
        <v>5569</v>
      </c>
      <c r="D22301" s="2"/>
    </row>
    <row r="22302" spans="1:4" ht="25.5" customHeight="1" x14ac:dyDescent="0.2">
      <c r="B22302" s="11" t="s">
        <v>2600</v>
      </c>
      <c r="C22302" s="17" t="s">
        <v>6252</v>
      </c>
      <c r="D22302" s="2"/>
    </row>
    <row r="22303" spans="1:4" ht="25.5" customHeight="1" x14ac:dyDescent="0.2">
      <c r="B22303" s="11" t="s">
        <v>2601</v>
      </c>
      <c r="C22303" s="17"/>
      <c r="D22303" s="2"/>
    </row>
    <row r="22304" spans="1:4" ht="12.75" customHeight="1" x14ac:dyDescent="0.2">
      <c r="B22304" s="11" t="s">
        <v>16</v>
      </c>
      <c r="C22304" s="17"/>
      <c r="D22304" s="2"/>
    </row>
    <row r="22305" spans="1:4" ht="12.75" customHeight="1" x14ac:dyDescent="0.2">
      <c r="B22305" s="11" t="s">
        <v>13</v>
      </c>
      <c r="C22305" s="17" t="s">
        <v>2644</v>
      </c>
      <c r="D22305" s="2"/>
    </row>
    <row r="22306" spans="1:4" ht="25.5" customHeight="1" x14ac:dyDescent="0.2">
      <c r="B22306" s="11" t="s">
        <v>2603</v>
      </c>
      <c r="C22306" s="17" t="s">
        <v>2971</v>
      </c>
      <c r="D22306" s="2"/>
    </row>
    <row r="22307" spans="1:4" ht="12.75" customHeight="1" x14ac:dyDescent="0.2">
      <c r="B22307" s="11" t="s">
        <v>2605</v>
      </c>
      <c r="C22307" s="17" t="s">
        <v>14</v>
      </c>
      <c r="D22307" s="2"/>
    </row>
    <row r="22308" spans="1:4" ht="12.75" customHeight="1" x14ac:dyDescent="0.2">
      <c r="B22308" s="11" t="s">
        <v>2606</v>
      </c>
      <c r="C22308" s="16" t="s">
        <v>19</v>
      </c>
      <c r="D22308" s="2"/>
    </row>
    <row r="22309" spans="1:4" ht="12.75" customHeight="1" x14ac:dyDescent="0.2">
      <c r="B22309" s="2"/>
      <c r="C22309" s="15"/>
      <c r="D22309" s="2"/>
    </row>
    <row r="22310" spans="1:4" ht="12.75" customHeight="1" x14ac:dyDescent="0.2">
      <c r="B22310" s="2"/>
      <c r="C22310" s="15"/>
      <c r="D22310" s="2"/>
    </row>
    <row r="22311" spans="1:4" ht="12.75" customHeight="1" x14ac:dyDescent="0.2">
      <c r="A22311" s="13" t="s">
        <v>6229</v>
      </c>
      <c r="C22311" s="12"/>
      <c r="D22311" s="2"/>
    </row>
    <row r="22312" spans="1:4" ht="12.75" customHeight="1" x14ac:dyDescent="0.2">
      <c r="A22312" s="11"/>
      <c r="B22312" s="2"/>
      <c r="C22312" s="15"/>
      <c r="D22312" s="2"/>
    </row>
    <row r="22313" spans="1:4" ht="12.75" customHeight="1" x14ac:dyDescent="0.2">
      <c r="B22313" s="11" t="s">
        <v>0</v>
      </c>
      <c r="C22313" s="17" t="s">
        <v>1270</v>
      </c>
      <c r="D22313" s="2"/>
    </row>
    <row r="22314" spans="1:4" ht="12.75" customHeight="1" x14ac:dyDescent="0.2">
      <c r="B22314" s="11" t="s">
        <v>2599</v>
      </c>
      <c r="C22314" s="17" t="s">
        <v>6230</v>
      </c>
      <c r="D22314" s="2"/>
    </row>
    <row r="22315" spans="1:4" ht="25.5" customHeight="1" x14ac:dyDescent="0.2">
      <c r="B22315" s="11" t="s">
        <v>2600</v>
      </c>
      <c r="C22315" s="17" t="s">
        <v>6253</v>
      </c>
      <c r="D22315" s="2"/>
    </row>
    <row r="22316" spans="1:4" ht="25.5" customHeight="1" x14ac:dyDescent="0.2">
      <c r="B22316" s="11" t="s">
        <v>2601</v>
      </c>
      <c r="C22316" s="17"/>
      <c r="D22316" s="2"/>
    </row>
    <row r="22317" spans="1:4" ht="12.75" customHeight="1" x14ac:dyDescent="0.2">
      <c r="B22317" s="11" t="s">
        <v>16</v>
      </c>
      <c r="C22317" s="17"/>
      <c r="D22317" s="2"/>
    </row>
    <row r="22318" spans="1:4" ht="12.75" customHeight="1" x14ac:dyDescent="0.2">
      <c r="B22318" s="11" t="s">
        <v>13</v>
      </c>
      <c r="C22318" s="17" t="s">
        <v>2644</v>
      </c>
      <c r="D22318" s="2"/>
    </row>
    <row r="22319" spans="1:4" ht="25.5" customHeight="1" x14ac:dyDescent="0.2">
      <c r="B22319" s="11" t="s">
        <v>2603</v>
      </c>
      <c r="C22319" s="17" t="s">
        <v>2971</v>
      </c>
      <c r="D22319" s="2"/>
    </row>
    <row r="22320" spans="1:4" ht="12.75" customHeight="1" x14ac:dyDescent="0.2">
      <c r="B22320" s="11" t="s">
        <v>2605</v>
      </c>
      <c r="C22320" s="17" t="s">
        <v>14</v>
      </c>
      <c r="D22320" s="2"/>
    </row>
    <row r="22321" spans="1:4" ht="12.75" customHeight="1" x14ac:dyDescent="0.2">
      <c r="B22321" s="11" t="s">
        <v>2606</v>
      </c>
      <c r="C22321" s="16" t="s">
        <v>19</v>
      </c>
      <c r="D22321" s="2"/>
    </row>
    <row r="22322" spans="1:4" ht="12.75" customHeight="1" x14ac:dyDescent="0.2">
      <c r="B22322" s="2"/>
      <c r="C22322" s="15"/>
      <c r="D22322" s="2"/>
    </row>
    <row r="22323" spans="1:4" ht="12.75" customHeight="1" x14ac:dyDescent="0.2">
      <c r="B22323" s="2"/>
      <c r="C22323" s="15"/>
      <c r="D22323" s="2"/>
    </row>
    <row r="22324" spans="1:4" ht="12.75" customHeight="1" x14ac:dyDescent="0.2">
      <c r="A22324" s="13" t="s">
        <v>6254</v>
      </c>
      <c r="C22324" s="12"/>
    </row>
    <row r="22325" spans="1:4" ht="12.75" customHeight="1" x14ac:dyDescent="0.2">
      <c r="A22325" s="11"/>
      <c r="B22325" s="2"/>
      <c r="C22325" s="15"/>
      <c r="D22325" s="2"/>
    </row>
    <row r="22326" spans="1:4" ht="12.75" customHeight="1" x14ac:dyDescent="0.2">
      <c r="B22326" s="11" t="s">
        <v>0</v>
      </c>
      <c r="C22326" s="11" t="s">
        <v>1270</v>
      </c>
    </row>
    <row r="22327" spans="1:4" ht="12.75" customHeight="1" x14ac:dyDescent="0.2">
      <c r="B22327" s="11" t="s">
        <v>2599</v>
      </c>
      <c r="C22327" s="11" t="s">
        <v>6255</v>
      </c>
    </row>
    <row r="22328" spans="1:4" ht="25.5" customHeight="1" x14ac:dyDescent="0.2">
      <c r="B22328" s="11" t="s">
        <v>2600</v>
      </c>
      <c r="C22328" s="11" t="s">
        <v>6256</v>
      </c>
    </row>
    <row r="22329" spans="1:4" ht="25.5" customHeight="1" x14ac:dyDescent="0.2">
      <c r="B22329" s="11" t="s">
        <v>2601</v>
      </c>
      <c r="C22329" s="11"/>
    </row>
    <row r="22330" spans="1:4" ht="12.75" customHeight="1" x14ac:dyDescent="0.2">
      <c r="B22330" s="11" t="s">
        <v>16</v>
      </c>
      <c r="C22330" s="11"/>
    </row>
    <row r="22331" spans="1:4" ht="12.75" customHeight="1" x14ac:dyDescent="0.2">
      <c r="B22331" s="11" t="s">
        <v>13</v>
      </c>
      <c r="C22331" s="11" t="s">
        <v>2602</v>
      </c>
    </row>
    <row r="22332" spans="1:4" ht="12.75" customHeight="1" x14ac:dyDescent="0.2">
      <c r="B22332" s="11" t="s">
        <v>2603</v>
      </c>
      <c r="C22332" s="11" t="s">
        <v>2604</v>
      </c>
    </row>
    <row r="22333" spans="1:4" ht="12.75" customHeight="1" x14ac:dyDescent="0.2">
      <c r="B22333" s="11" t="s">
        <v>2605</v>
      </c>
      <c r="C22333" s="11" t="s">
        <v>24</v>
      </c>
    </row>
    <row r="22334" spans="1:4" ht="12.75" customHeight="1" x14ac:dyDescent="0.2">
      <c r="B22334" s="11" t="s">
        <v>2606</v>
      </c>
      <c r="C22334" s="16" t="s">
        <v>102</v>
      </c>
      <c r="D22334" s="6" t="str">
        <f>HYPERLINK("javascript:void(0)","kincs")</f>
        <v>kincs</v>
      </c>
    </row>
    <row r="22335" spans="1:4" ht="12.75" customHeight="1" x14ac:dyDescent="0.2">
      <c r="B22335" s="2"/>
      <c r="C22335" s="15"/>
      <c r="D22335" s="2"/>
    </row>
    <row r="22336" spans="1:4" ht="12.75" customHeight="1" x14ac:dyDescent="0.2">
      <c r="B22336" s="2"/>
      <c r="C22336" s="15"/>
      <c r="D22336" s="2"/>
    </row>
    <row r="22337" spans="1:4" ht="12.75" customHeight="1" x14ac:dyDescent="0.2">
      <c r="A22337" s="13" t="s">
        <v>6257</v>
      </c>
      <c r="C22337" s="12"/>
    </row>
    <row r="22338" spans="1:4" ht="12.75" customHeight="1" x14ac:dyDescent="0.2">
      <c r="A22338" s="11"/>
      <c r="B22338" s="2"/>
      <c r="C22338" s="15"/>
      <c r="D22338" s="2"/>
    </row>
    <row r="22339" spans="1:4" ht="12.75" customHeight="1" x14ac:dyDescent="0.2">
      <c r="B22339" s="11" t="s">
        <v>0</v>
      </c>
      <c r="C22339" s="11" t="s">
        <v>1270</v>
      </c>
    </row>
    <row r="22340" spans="1:4" ht="12.75" customHeight="1" x14ac:dyDescent="0.2">
      <c r="B22340" s="11" t="s">
        <v>2599</v>
      </c>
      <c r="C22340" s="11" t="s">
        <v>6258</v>
      </c>
    </row>
    <row r="22341" spans="1:4" ht="25.5" customHeight="1" x14ac:dyDescent="0.2">
      <c r="B22341" s="11" t="s">
        <v>2600</v>
      </c>
      <c r="C22341" s="11" t="s">
        <v>6259</v>
      </c>
    </row>
    <row r="22342" spans="1:4" ht="25.5" customHeight="1" x14ac:dyDescent="0.2">
      <c r="B22342" s="11" t="s">
        <v>2601</v>
      </c>
      <c r="C22342" s="11"/>
    </row>
    <row r="22343" spans="1:4" ht="12.75" customHeight="1" x14ac:dyDescent="0.2">
      <c r="B22343" s="11" t="s">
        <v>16</v>
      </c>
      <c r="C22343" s="11"/>
    </row>
    <row r="22344" spans="1:4" ht="12.75" customHeight="1" x14ac:dyDescent="0.2">
      <c r="B22344" s="11" t="s">
        <v>13</v>
      </c>
      <c r="C22344" s="11" t="s">
        <v>2644</v>
      </c>
    </row>
    <row r="22345" spans="1:4" ht="12.75" customHeight="1" x14ac:dyDescent="0.2">
      <c r="B22345" s="11" t="s">
        <v>2603</v>
      </c>
      <c r="C22345" s="11" t="s">
        <v>2604</v>
      </c>
    </row>
    <row r="22346" spans="1:4" ht="12.75" customHeight="1" x14ac:dyDescent="0.2">
      <c r="B22346" s="11" t="s">
        <v>2605</v>
      </c>
      <c r="C22346" s="11" t="s">
        <v>24</v>
      </c>
    </row>
    <row r="22347" spans="1:4" ht="12.75" customHeight="1" x14ac:dyDescent="0.2">
      <c r="B22347" s="11" t="s">
        <v>2606</v>
      </c>
      <c r="C22347" s="16" t="s">
        <v>44</v>
      </c>
      <c r="D22347" s="6" t="str">
        <f>HYPERLINK("javascript:void(0)","szinapszis")</f>
        <v>szinapszis</v>
      </c>
    </row>
    <row r="22348" spans="1:4" ht="12.75" customHeight="1" x14ac:dyDescent="0.2">
      <c r="B22348" s="2"/>
      <c r="C22348" s="15"/>
      <c r="D22348" s="2"/>
    </row>
    <row r="22349" spans="1:4" ht="12.75" customHeight="1" x14ac:dyDescent="0.2">
      <c r="B22349" s="2"/>
      <c r="C22349" s="15"/>
      <c r="D22349" s="2"/>
    </row>
    <row r="22350" spans="1:4" ht="12.75" customHeight="1" x14ac:dyDescent="0.2">
      <c r="A22350" s="13" t="s">
        <v>6260</v>
      </c>
      <c r="C22350" s="12"/>
    </row>
    <row r="22351" spans="1:4" ht="12.75" customHeight="1" x14ac:dyDescent="0.2">
      <c r="A22351" s="11"/>
      <c r="B22351" s="2"/>
      <c r="C22351" s="15"/>
      <c r="D22351" s="2"/>
    </row>
    <row r="22352" spans="1:4" ht="12.75" customHeight="1" x14ac:dyDescent="0.2">
      <c r="B22352" s="11" t="s">
        <v>0</v>
      </c>
      <c r="C22352" s="11" t="s">
        <v>1270</v>
      </c>
    </row>
    <row r="22353" spans="1:4" ht="12.75" customHeight="1" x14ac:dyDescent="0.2">
      <c r="B22353" s="11" t="s">
        <v>2599</v>
      </c>
      <c r="C22353" s="11" t="s">
        <v>6261</v>
      </c>
    </row>
    <row r="22354" spans="1:4" ht="25.5" customHeight="1" x14ac:dyDescent="0.2">
      <c r="B22354" s="11" t="s">
        <v>2600</v>
      </c>
      <c r="C22354" s="11" t="s">
        <v>6262</v>
      </c>
    </row>
    <row r="22355" spans="1:4" ht="25.5" customHeight="1" x14ac:dyDescent="0.2">
      <c r="B22355" s="11" t="s">
        <v>2601</v>
      </c>
      <c r="C22355" s="11"/>
    </row>
    <row r="22356" spans="1:4" ht="12.75" customHeight="1" x14ac:dyDescent="0.2">
      <c r="B22356" s="11" t="s">
        <v>16</v>
      </c>
      <c r="C22356" s="11"/>
    </row>
    <row r="22357" spans="1:4" ht="12.75" customHeight="1" x14ac:dyDescent="0.2">
      <c r="B22357" s="11" t="s">
        <v>13</v>
      </c>
      <c r="C22357" s="11" t="s">
        <v>2644</v>
      </c>
    </row>
    <row r="22358" spans="1:4" ht="12.75" customHeight="1" x14ac:dyDescent="0.2">
      <c r="B22358" s="11" t="s">
        <v>2603</v>
      </c>
      <c r="C22358" s="11" t="s">
        <v>2604</v>
      </c>
    </row>
    <row r="22359" spans="1:4" ht="12.75" customHeight="1" x14ac:dyDescent="0.2">
      <c r="B22359" s="11" t="s">
        <v>2605</v>
      </c>
      <c r="C22359" s="11" t="s">
        <v>24</v>
      </c>
    </row>
    <row r="22360" spans="1:4" ht="25.5" customHeight="1" x14ac:dyDescent="0.2">
      <c r="B22360" s="11" t="s">
        <v>2606</v>
      </c>
      <c r="C22360" s="16" t="s">
        <v>56</v>
      </c>
      <c r="D22360" s="6" t="str">
        <f>HYPERLINK("javascript:void(0)","orrmányprém")</f>
        <v>orrmányprém</v>
      </c>
    </row>
    <row r="22361" spans="1:4" ht="12.75" customHeight="1" x14ac:dyDescent="0.2">
      <c r="B22361" s="2"/>
      <c r="C22361" s="15"/>
      <c r="D22361" s="2"/>
    </row>
    <row r="22362" spans="1:4" ht="12.75" customHeight="1" x14ac:dyDescent="0.2">
      <c r="B22362" s="2"/>
      <c r="C22362" s="15"/>
      <c r="D22362" s="2"/>
    </row>
    <row r="22363" spans="1:4" ht="12.75" customHeight="1" x14ac:dyDescent="0.2">
      <c r="A22363" s="13" t="s">
        <v>6263</v>
      </c>
      <c r="C22363" s="12"/>
    </row>
    <row r="22364" spans="1:4" ht="12.75" customHeight="1" x14ac:dyDescent="0.2">
      <c r="A22364" s="11"/>
      <c r="B22364" s="2"/>
      <c r="C22364" s="15"/>
      <c r="D22364" s="2"/>
    </row>
    <row r="22365" spans="1:4" ht="12.75" customHeight="1" x14ac:dyDescent="0.2">
      <c r="B22365" s="11" t="s">
        <v>0</v>
      </c>
      <c r="C22365" s="11" t="s">
        <v>1270</v>
      </c>
    </row>
    <row r="22366" spans="1:4" ht="12.75" customHeight="1" x14ac:dyDescent="0.2">
      <c r="B22366" s="11" t="s">
        <v>2599</v>
      </c>
      <c r="C22366" s="11" t="s">
        <v>6237</v>
      </c>
    </row>
    <row r="22367" spans="1:4" ht="25.5" customHeight="1" x14ac:dyDescent="0.2">
      <c r="B22367" s="11" t="s">
        <v>2600</v>
      </c>
      <c r="C22367" s="11" t="s">
        <v>6264</v>
      </c>
    </row>
    <row r="22368" spans="1:4" ht="25.5" customHeight="1" x14ac:dyDescent="0.2">
      <c r="B22368" s="11" t="s">
        <v>2601</v>
      </c>
      <c r="C22368" s="11"/>
    </row>
    <row r="22369" spans="1:4" ht="12.75" customHeight="1" x14ac:dyDescent="0.2">
      <c r="B22369" s="11" t="s">
        <v>16</v>
      </c>
      <c r="C22369" s="11"/>
    </row>
    <row r="22370" spans="1:4" ht="12.75" customHeight="1" x14ac:dyDescent="0.2">
      <c r="B22370" s="11" t="s">
        <v>13</v>
      </c>
      <c r="C22370" s="11" t="s">
        <v>2644</v>
      </c>
    </row>
    <row r="22371" spans="1:4" ht="12.75" customHeight="1" x14ac:dyDescent="0.2">
      <c r="B22371" s="11" t="s">
        <v>2603</v>
      </c>
      <c r="C22371" s="11" t="s">
        <v>2604</v>
      </c>
    </row>
    <row r="22372" spans="1:4" ht="12.75" customHeight="1" x14ac:dyDescent="0.2">
      <c r="B22372" s="11" t="s">
        <v>2605</v>
      </c>
      <c r="C22372" s="11" t="s">
        <v>24</v>
      </c>
    </row>
    <row r="22373" spans="1:4" ht="12.75" customHeight="1" x14ac:dyDescent="0.2">
      <c r="B22373" s="11" t="s">
        <v>2606</v>
      </c>
      <c r="C22373" s="16" t="s">
        <v>68</v>
      </c>
      <c r="D22373" s="6" t="str">
        <f>HYPERLINK("javascript:void(0)","kincs")</f>
        <v>kincs</v>
      </c>
    </row>
    <row r="22374" spans="1:4" ht="12.75" customHeight="1" x14ac:dyDescent="0.2">
      <c r="B22374" s="2"/>
      <c r="C22374" s="15"/>
      <c r="D22374" s="2"/>
    </row>
    <row r="22375" spans="1:4" ht="12.75" customHeight="1" x14ac:dyDescent="0.2">
      <c r="B22375" s="2"/>
      <c r="C22375" s="15"/>
      <c r="D22375" s="2"/>
    </row>
    <row r="22376" spans="1:4" ht="12.75" customHeight="1" x14ac:dyDescent="0.2">
      <c r="A22376" s="13" t="s">
        <v>6265</v>
      </c>
      <c r="C22376" s="12"/>
    </row>
    <row r="22377" spans="1:4" ht="12.75" customHeight="1" x14ac:dyDescent="0.2">
      <c r="A22377" s="11"/>
      <c r="B22377" s="2"/>
      <c r="C22377" s="15"/>
      <c r="D22377" s="2"/>
    </row>
    <row r="22378" spans="1:4" ht="12.75" customHeight="1" x14ac:dyDescent="0.2">
      <c r="B22378" s="11" t="s">
        <v>0</v>
      </c>
      <c r="C22378" s="11" t="s">
        <v>1270</v>
      </c>
    </row>
    <row r="22379" spans="1:4" ht="12.75" customHeight="1" x14ac:dyDescent="0.2">
      <c r="B22379" s="11" t="s">
        <v>2599</v>
      </c>
      <c r="C22379" s="11" t="s">
        <v>6266</v>
      </c>
    </row>
    <row r="22380" spans="1:4" ht="25.5" customHeight="1" x14ac:dyDescent="0.2">
      <c r="B22380" s="11" t="s">
        <v>2600</v>
      </c>
      <c r="C22380" s="11" t="s">
        <v>6267</v>
      </c>
    </row>
    <row r="22381" spans="1:4" ht="25.5" customHeight="1" x14ac:dyDescent="0.2">
      <c r="B22381" s="11" t="s">
        <v>2601</v>
      </c>
      <c r="C22381" s="11"/>
    </row>
    <row r="22382" spans="1:4" ht="12.75" customHeight="1" x14ac:dyDescent="0.2">
      <c r="B22382" s="11" t="s">
        <v>16</v>
      </c>
      <c r="C22382" s="11"/>
    </row>
    <row r="22383" spans="1:4" ht="12.75" customHeight="1" x14ac:dyDescent="0.2">
      <c r="B22383" s="11" t="s">
        <v>13</v>
      </c>
      <c r="C22383" s="11" t="s">
        <v>2644</v>
      </c>
    </row>
    <row r="22384" spans="1:4" ht="12.75" customHeight="1" x14ac:dyDescent="0.2">
      <c r="B22384" s="11" t="s">
        <v>2603</v>
      </c>
      <c r="C22384" s="11" t="s">
        <v>2604</v>
      </c>
    </row>
    <row r="22385" spans="1:4" ht="12.75" customHeight="1" x14ac:dyDescent="0.2">
      <c r="B22385" s="11" t="s">
        <v>2605</v>
      </c>
      <c r="C22385" s="11" t="s">
        <v>24</v>
      </c>
    </row>
    <row r="22386" spans="1:4" ht="25.5" customHeight="1" x14ac:dyDescent="0.2">
      <c r="B22386" s="11" t="s">
        <v>2606</v>
      </c>
      <c r="C22386" s="16" t="s">
        <v>56</v>
      </c>
      <c r="D22386" s="6" t="str">
        <f>HYPERLINK("javascript:void(0)","szimbiótahártya")</f>
        <v>szimbiótahártya</v>
      </c>
    </row>
    <row r="22387" spans="1:4" ht="12.75" customHeight="1" x14ac:dyDescent="0.2">
      <c r="B22387" s="2"/>
      <c r="C22387" s="15"/>
      <c r="D22387" s="2"/>
    </row>
    <row r="22388" spans="1:4" ht="12.75" customHeight="1" x14ac:dyDescent="0.2">
      <c r="B22388" s="2"/>
      <c r="C22388" s="15"/>
      <c r="D22388" s="2"/>
    </row>
    <row r="22389" spans="1:4" ht="12.75" customHeight="1" x14ac:dyDescent="0.2">
      <c r="A22389" s="13" t="s">
        <v>6248</v>
      </c>
      <c r="C22389" s="12"/>
      <c r="D22389" s="2"/>
    </row>
    <row r="22390" spans="1:4" ht="12.75" customHeight="1" x14ac:dyDescent="0.2">
      <c r="A22390" s="11"/>
      <c r="B22390" s="2"/>
      <c r="C22390" s="15"/>
      <c r="D22390" s="2"/>
    </row>
    <row r="22391" spans="1:4" ht="12.75" customHeight="1" x14ac:dyDescent="0.2">
      <c r="B22391" s="11" t="s">
        <v>0</v>
      </c>
      <c r="C22391" s="17" t="s">
        <v>1270</v>
      </c>
      <c r="D22391" s="2"/>
    </row>
    <row r="22392" spans="1:4" ht="12.75" customHeight="1" x14ac:dyDescent="0.2">
      <c r="B22392" s="11" t="s">
        <v>2599</v>
      </c>
      <c r="C22392" s="17" t="s">
        <v>6249</v>
      </c>
      <c r="D22392" s="2"/>
    </row>
    <row r="22393" spans="1:4" ht="25.5" customHeight="1" x14ac:dyDescent="0.2">
      <c r="B22393" s="11" t="s">
        <v>2600</v>
      </c>
      <c r="C22393" s="17" t="s">
        <v>6268</v>
      </c>
      <c r="D22393" s="2"/>
    </row>
    <row r="22394" spans="1:4" ht="25.5" customHeight="1" x14ac:dyDescent="0.2">
      <c r="B22394" s="11" t="s">
        <v>2601</v>
      </c>
      <c r="C22394" s="17"/>
      <c r="D22394" s="2"/>
    </row>
    <row r="22395" spans="1:4" ht="12.75" customHeight="1" x14ac:dyDescent="0.2">
      <c r="B22395" s="11" t="s">
        <v>16</v>
      </c>
      <c r="C22395" s="17"/>
      <c r="D22395" s="2"/>
    </row>
    <row r="22396" spans="1:4" ht="12.75" customHeight="1" x14ac:dyDescent="0.2">
      <c r="B22396" s="11" t="s">
        <v>13</v>
      </c>
      <c r="C22396" s="17" t="s">
        <v>2602</v>
      </c>
      <c r="D22396" s="2"/>
    </row>
    <row r="22397" spans="1:4" ht="25.5" customHeight="1" x14ac:dyDescent="0.2">
      <c r="B22397" s="11" t="s">
        <v>2603</v>
      </c>
      <c r="C22397" s="17" t="s">
        <v>2971</v>
      </c>
      <c r="D22397" s="2"/>
    </row>
    <row r="22398" spans="1:4" ht="12.75" customHeight="1" x14ac:dyDescent="0.2">
      <c r="B22398" s="11" t="s">
        <v>2605</v>
      </c>
      <c r="C22398" s="17" t="s">
        <v>14</v>
      </c>
      <c r="D22398" s="2"/>
    </row>
    <row r="22399" spans="1:4" ht="12.75" customHeight="1" x14ac:dyDescent="0.2">
      <c r="B22399" s="11" t="s">
        <v>2606</v>
      </c>
      <c r="C22399" s="16" t="s">
        <v>19</v>
      </c>
      <c r="D22399" s="2"/>
    </row>
    <row r="22400" spans="1:4" ht="12.75" customHeight="1" x14ac:dyDescent="0.2">
      <c r="B22400" s="2"/>
      <c r="C22400" s="15"/>
      <c r="D22400" s="2"/>
    </row>
    <row r="22401" spans="1:4" ht="12.75" customHeight="1" x14ac:dyDescent="0.2">
      <c r="B22401" s="2"/>
      <c r="C22401" s="15"/>
      <c r="D22401" s="2"/>
    </row>
    <row r="22402" spans="1:4" ht="12.75" customHeight="1" x14ac:dyDescent="0.2">
      <c r="A22402" s="13" t="s">
        <v>6224</v>
      </c>
      <c r="C22402" s="12"/>
      <c r="D22402" s="2"/>
    </row>
    <row r="22403" spans="1:4" ht="12.75" customHeight="1" x14ac:dyDescent="0.2">
      <c r="A22403" s="11"/>
      <c r="B22403" s="2"/>
      <c r="C22403" s="15"/>
      <c r="D22403" s="2"/>
    </row>
    <row r="22404" spans="1:4" ht="12.75" customHeight="1" x14ac:dyDescent="0.2">
      <c r="B22404" s="11" t="s">
        <v>0</v>
      </c>
      <c r="C22404" s="17" t="s">
        <v>143</v>
      </c>
      <c r="D22404" s="2"/>
    </row>
    <row r="22405" spans="1:4" ht="12.75" customHeight="1" x14ac:dyDescent="0.2">
      <c r="B22405" s="11" t="s">
        <v>2599</v>
      </c>
      <c r="C22405" s="17" t="s">
        <v>6225</v>
      </c>
      <c r="D22405" s="2"/>
    </row>
    <row r="22406" spans="1:4" ht="25.5" customHeight="1" x14ac:dyDescent="0.2">
      <c r="B22406" s="11" t="s">
        <v>2600</v>
      </c>
      <c r="C22406" s="17" t="s">
        <v>6269</v>
      </c>
      <c r="D22406" s="2"/>
    </row>
    <row r="22407" spans="1:4" ht="25.5" customHeight="1" x14ac:dyDescent="0.2">
      <c r="B22407" s="11" t="s">
        <v>2601</v>
      </c>
      <c r="C22407" s="17"/>
      <c r="D22407" s="2"/>
    </row>
    <row r="22408" spans="1:4" ht="12.75" customHeight="1" x14ac:dyDescent="0.2">
      <c r="B22408" s="11" t="s">
        <v>16</v>
      </c>
      <c r="C22408" s="17"/>
      <c r="D22408" s="2"/>
    </row>
    <row r="22409" spans="1:4" ht="12.75" customHeight="1" x14ac:dyDescent="0.2">
      <c r="B22409" s="11" t="s">
        <v>13</v>
      </c>
      <c r="C22409" s="17" t="s">
        <v>2602</v>
      </c>
      <c r="D22409" s="2"/>
    </row>
    <row r="22410" spans="1:4" ht="25.5" customHeight="1" x14ac:dyDescent="0.2">
      <c r="B22410" s="11" t="s">
        <v>2603</v>
      </c>
      <c r="C22410" s="17" t="s">
        <v>2971</v>
      </c>
      <c r="D22410" s="2"/>
    </row>
    <row r="22411" spans="1:4" ht="12.75" customHeight="1" x14ac:dyDescent="0.2">
      <c r="B22411" s="11" t="s">
        <v>2605</v>
      </c>
      <c r="C22411" s="17" t="s">
        <v>14</v>
      </c>
      <c r="D22411" s="2"/>
    </row>
    <row r="22412" spans="1:4" ht="12.75" customHeight="1" x14ac:dyDescent="0.2">
      <c r="B22412" s="11" t="s">
        <v>2606</v>
      </c>
      <c r="C22412" s="16" t="s">
        <v>19</v>
      </c>
      <c r="D22412" s="2"/>
    </row>
    <row r="22413" spans="1:4" ht="12.75" customHeight="1" x14ac:dyDescent="0.2">
      <c r="B22413" s="2"/>
      <c r="C22413" s="15"/>
      <c r="D22413" s="2"/>
    </row>
    <row r="22414" spans="1:4" ht="12.75" customHeight="1" x14ac:dyDescent="0.2">
      <c r="B22414" s="2"/>
      <c r="C22414" s="15"/>
      <c r="D22414" s="2"/>
    </row>
    <row r="22415" spans="1:4" ht="12.75" customHeight="1" x14ac:dyDescent="0.2">
      <c r="A22415" s="13" t="s">
        <v>6227</v>
      </c>
      <c r="C22415" s="12"/>
      <c r="D22415" s="2"/>
    </row>
    <row r="22416" spans="1:4" ht="12.75" customHeight="1" x14ac:dyDescent="0.2">
      <c r="A22416" s="11"/>
      <c r="B22416" s="2"/>
      <c r="C22416" s="15"/>
      <c r="D22416" s="2"/>
    </row>
    <row r="22417" spans="1:4" ht="12.75" customHeight="1" x14ac:dyDescent="0.2">
      <c r="B22417" s="11" t="s">
        <v>0</v>
      </c>
      <c r="C22417" s="17" t="s">
        <v>143</v>
      </c>
      <c r="D22417" s="2"/>
    </row>
    <row r="22418" spans="1:4" ht="12.75" customHeight="1" x14ac:dyDescent="0.2">
      <c r="B22418" s="11" t="s">
        <v>2599</v>
      </c>
      <c r="C22418" s="17" t="s">
        <v>5569</v>
      </c>
      <c r="D22418" s="2"/>
    </row>
    <row r="22419" spans="1:4" ht="25.5" customHeight="1" x14ac:dyDescent="0.2">
      <c r="B22419" s="11" t="s">
        <v>2600</v>
      </c>
      <c r="C22419" s="17" t="s">
        <v>6270</v>
      </c>
      <c r="D22419" s="2"/>
    </row>
    <row r="22420" spans="1:4" ht="25.5" customHeight="1" x14ac:dyDescent="0.2">
      <c r="B22420" s="11" t="s">
        <v>2601</v>
      </c>
      <c r="C22420" s="17"/>
      <c r="D22420" s="2"/>
    </row>
    <row r="22421" spans="1:4" ht="12.75" customHeight="1" x14ac:dyDescent="0.2">
      <c r="B22421" s="11" t="s">
        <v>16</v>
      </c>
      <c r="C22421" s="17"/>
      <c r="D22421" s="2"/>
    </row>
    <row r="22422" spans="1:4" ht="12.75" customHeight="1" x14ac:dyDescent="0.2">
      <c r="B22422" s="11" t="s">
        <v>13</v>
      </c>
      <c r="C22422" s="17" t="s">
        <v>2644</v>
      </c>
      <c r="D22422" s="2"/>
    </row>
    <row r="22423" spans="1:4" ht="25.5" customHeight="1" x14ac:dyDescent="0.2">
      <c r="B22423" s="11" t="s">
        <v>2603</v>
      </c>
      <c r="C22423" s="17" t="s">
        <v>2971</v>
      </c>
      <c r="D22423" s="2"/>
    </row>
    <row r="22424" spans="1:4" ht="12.75" customHeight="1" x14ac:dyDescent="0.2">
      <c r="B22424" s="11" t="s">
        <v>2605</v>
      </c>
      <c r="C22424" s="17" t="s">
        <v>14</v>
      </c>
      <c r="D22424" s="2"/>
    </row>
    <row r="22425" spans="1:4" ht="12.75" customHeight="1" x14ac:dyDescent="0.2">
      <c r="B22425" s="11" t="s">
        <v>2606</v>
      </c>
      <c r="C22425" s="16" t="s">
        <v>19</v>
      </c>
      <c r="D22425" s="2"/>
    </row>
    <row r="22426" spans="1:4" ht="12.75" customHeight="1" x14ac:dyDescent="0.2">
      <c r="B22426" s="2"/>
      <c r="C22426" s="15"/>
      <c r="D22426" s="2"/>
    </row>
    <row r="22427" spans="1:4" ht="12.75" customHeight="1" x14ac:dyDescent="0.2">
      <c r="B22427" s="2"/>
      <c r="C22427" s="15"/>
      <c r="D22427" s="2"/>
    </row>
    <row r="22428" spans="1:4" ht="12.75" customHeight="1" x14ac:dyDescent="0.2">
      <c r="A22428" s="13" t="s">
        <v>6229</v>
      </c>
      <c r="C22428" s="12"/>
      <c r="D22428" s="2"/>
    </row>
    <row r="22429" spans="1:4" ht="12.75" customHeight="1" x14ac:dyDescent="0.2">
      <c r="A22429" s="11"/>
      <c r="B22429" s="2"/>
      <c r="C22429" s="15"/>
      <c r="D22429" s="2"/>
    </row>
    <row r="22430" spans="1:4" ht="12.75" customHeight="1" x14ac:dyDescent="0.2">
      <c r="B22430" s="11" t="s">
        <v>0</v>
      </c>
      <c r="C22430" s="17" t="s">
        <v>143</v>
      </c>
      <c r="D22430" s="2"/>
    </row>
    <row r="22431" spans="1:4" ht="12.75" customHeight="1" x14ac:dyDescent="0.2">
      <c r="B22431" s="11" t="s">
        <v>2599</v>
      </c>
      <c r="C22431" s="17" t="s">
        <v>6230</v>
      </c>
      <c r="D22431" s="2"/>
    </row>
    <row r="22432" spans="1:4" ht="25.5" customHeight="1" x14ac:dyDescent="0.2">
      <c r="B22432" s="11" t="s">
        <v>2600</v>
      </c>
      <c r="C22432" s="17" t="s">
        <v>6271</v>
      </c>
      <c r="D22432" s="2"/>
    </row>
    <row r="22433" spans="1:4" ht="25.5" customHeight="1" x14ac:dyDescent="0.2">
      <c r="B22433" s="11" t="s">
        <v>2601</v>
      </c>
      <c r="C22433" s="17"/>
      <c r="D22433" s="2"/>
    </row>
    <row r="22434" spans="1:4" ht="12.75" customHeight="1" x14ac:dyDescent="0.2">
      <c r="B22434" s="11" t="s">
        <v>16</v>
      </c>
      <c r="C22434" s="17"/>
      <c r="D22434" s="2"/>
    </row>
    <row r="22435" spans="1:4" ht="12.75" customHeight="1" x14ac:dyDescent="0.2">
      <c r="B22435" s="11" t="s">
        <v>13</v>
      </c>
      <c r="C22435" s="17" t="s">
        <v>2644</v>
      </c>
      <c r="D22435" s="2"/>
    </row>
    <row r="22436" spans="1:4" ht="25.5" customHeight="1" x14ac:dyDescent="0.2">
      <c r="B22436" s="11" t="s">
        <v>2603</v>
      </c>
      <c r="C22436" s="17" t="s">
        <v>2971</v>
      </c>
      <c r="D22436" s="2"/>
    </row>
    <row r="22437" spans="1:4" ht="12.75" customHeight="1" x14ac:dyDescent="0.2">
      <c r="B22437" s="11" t="s">
        <v>2605</v>
      </c>
      <c r="C22437" s="17" t="s">
        <v>14</v>
      </c>
      <c r="D22437" s="2"/>
    </row>
    <row r="22438" spans="1:4" ht="12.75" customHeight="1" x14ac:dyDescent="0.2">
      <c r="B22438" s="11" t="s">
        <v>2606</v>
      </c>
      <c r="C22438" s="16" t="s">
        <v>19</v>
      </c>
      <c r="D22438" s="2"/>
    </row>
    <row r="22439" spans="1:4" ht="12.75" customHeight="1" x14ac:dyDescent="0.2">
      <c r="B22439" s="2"/>
      <c r="C22439" s="15"/>
      <c r="D22439" s="2"/>
    </row>
    <row r="22440" spans="1:4" ht="12.75" customHeight="1" x14ac:dyDescent="0.2">
      <c r="B22440" s="2"/>
      <c r="C22440" s="15"/>
      <c r="D22440" s="2"/>
    </row>
    <row r="22441" spans="1:4" ht="12.75" customHeight="1" x14ac:dyDescent="0.2">
      <c r="A22441" s="13" t="s">
        <v>6272</v>
      </c>
      <c r="C22441" s="12"/>
    </row>
    <row r="22442" spans="1:4" ht="12.75" customHeight="1" x14ac:dyDescent="0.2">
      <c r="A22442" s="11"/>
      <c r="B22442" s="2"/>
      <c r="C22442" s="15"/>
      <c r="D22442" s="2"/>
    </row>
    <row r="22443" spans="1:4" ht="12.75" customHeight="1" x14ac:dyDescent="0.2">
      <c r="B22443" s="11" t="s">
        <v>0</v>
      </c>
      <c r="C22443" s="11" t="s">
        <v>143</v>
      </c>
    </row>
    <row r="22444" spans="1:4" ht="12.75" customHeight="1" x14ac:dyDescent="0.2">
      <c r="B22444" s="11" t="s">
        <v>2599</v>
      </c>
      <c r="C22444" s="11" t="s">
        <v>3403</v>
      </c>
    </row>
    <row r="22445" spans="1:4" ht="25.5" customHeight="1" x14ac:dyDescent="0.2">
      <c r="B22445" s="11" t="s">
        <v>2600</v>
      </c>
      <c r="C22445" s="11" t="s">
        <v>6273</v>
      </c>
    </row>
    <row r="22446" spans="1:4" ht="25.5" customHeight="1" x14ac:dyDescent="0.2">
      <c r="B22446" s="11" t="s">
        <v>2601</v>
      </c>
      <c r="C22446" s="11"/>
    </row>
    <row r="22447" spans="1:4" ht="12.75" customHeight="1" x14ac:dyDescent="0.2">
      <c r="B22447" s="11" t="s">
        <v>16</v>
      </c>
      <c r="C22447" s="11"/>
    </row>
    <row r="22448" spans="1:4" ht="12.75" customHeight="1" x14ac:dyDescent="0.2">
      <c r="B22448" s="11" t="s">
        <v>13</v>
      </c>
      <c r="C22448" s="11" t="s">
        <v>2644</v>
      </c>
    </row>
    <row r="22449" spans="1:4" ht="12.75" customHeight="1" x14ac:dyDescent="0.2">
      <c r="B22449" s="11" t="s">
        <v>2603</v>
      </c>
      <c r="C22449" s="11" t="s">
        <v>2604</v>
      </c>
    </row>
    <row r="22450" spans="1:4" ht="12.75" customHeight="1" x14ac:dyDescent="0.2">
      <c r="B22450" s="11" t="s">
        <v>2605</v>
      </c>
      <c r="C22450" s="11" t="s">
        <v>14</v>
      </c>
    </row>
    <row r="22451" spans="1:4" ht="12.75" customHeight="1" x14ac:dyDescent="0.2">
      <c r="B22451" s="11" t="s">
        <v>2606</v>
      </c>
      <c r="C22451" s="16" t="s">
        <v>44</v>
      </c>
      <c r="D22451" s="6" t="str">
        <f>HYPERLINK("javascript:void(0)","ármánylat")</f>
        <v>ármánylat</v>
      </c>
    </row>
    <row r="22452" spans="1:4" ht="12.75" customHeight="1" x14ac:dyDescent="0.2">
      <c r="B22452" s="2"/>
      <c r="C22452" s="15"/>
      <c r="D22452" s="2"/>
    </row>
    <row r="22453" spans="1:4" ht="12.75" customHeight="1" x14ac:dyDescent="0.2">
      <c r="B22453" s="2"/>
      <c r="C22453" s="15"/>
      <c r="D22453" s="2"/>
    </row>
    <row r="22454" spans="1:4" ht="12.75" customHeight="1" x14ac:dyDescent="0.2">
      <c r="A22454" s="13" t="s">
        <v>6274</v>
      </c>
      <c r="C22454" s="12"/>
    </row>
    <row r="22455" spans="1:4" ht="12.75" customHeight="1" x14ac:dyDescent="0.2">
      <c r="A22455" s="11"/>
      <c r="B22455" s="2"/>
      <c r="C22455" s="15"/>
      <c r="D22455" s="2"/>
    </row>
    <row r="22456" spans="1:4" ht="12.75" customHeight="1" x14ac:dyDescent="0.2">
      <c r="B22456" s="11" t="s">
        <v>0</v>
      </c>
      <c r="C22456" s="11" t="s">
        <v>143</v>
      </c>
    </row>
    <row r="22457" spans="1:4" ht="12.75" customHeight="1" x14ac:dyDescent="0.2">
      <c r="B22457" s="11" t="s">
        <v>2599</v>
      </c>
      <c r="C22457" s="11" t="s">
        <v>6275</v>
      </c>
    </row>
    <row r="22458" spans="1:4" ht="25.5" customHeight="1" x14ac:dyDescent="0.2">
      <c r="B22458" s="11" t="s">
        <v>2600</v>
      </c>
      <c r="C22458" s="11" t="s">
        <v>6276</v>
      </c>
    </row>
    <row r="22459" spans="1:4" ht="25.5" customHeight="1" x14ac:dyDescent="0.2">
      <c r="B22459" s="11" t="s">
        <v>2601</v>
      </c>
      <c r="C22459" s="11"/>
    </row>
    <row r="22460" spans="1:4" ht="12.75" customHeight="1" x14ac:dyDescent="0.2">
      <c r="B22460" s="11" t="s">
        <v>16</v>
      </c>
      <c r="C22460" s="11"/>
    </row>
    <row r="22461" spans="1:4" ht="12.75" customHeight="1" x14ac:dyDescent="0.2">
      <c r="B22461" s="11" t="s">
        <v>13</v>
      </c>
      <c r="C22461" s="11" t="s">
        <v>2602</v>
      </c>
    </row>
    <row r="22462" spans="1:4" ht="12.75" customHeight="1" x14ac:dyDescent="0.2">
      <c r="B22462" s="11" t="s">
        <v>2603</v>
      </c>
      <c r="C22462" s="11" t="s">
        <v>2604</v>
      </c>
    </row>
    <row r="22463" spans="1:4" ht="12.75" customHeight="1" x14ac:dyDescent="0.2">
      <c r="B22463" s="11" t="s">
        <v>2605</v>
      </c>
      <c r="C22463" s="11" t="s">
        <v>14</v>
      </c>
    </row>
    <row r="22464" spans="1:4" ht="12.75" customHeight="1" x14ac:dyDescent="0.2">
      <c r="B22464" s="11" t="s">
        <v>2606</v>
      </c>
      <c r="C22464" s="16" t="s">
        <v>331</v>
      </c>
      <c r="D22464" s="6" t="str">
        <f>HYPERLINK("javascript:void(0)","kincs")</f>
        <v>kincs</v>
      </c>
    </row>
    <row r="22465" spans="1:4" ht="12.75" customHeight="1" x14ac:dyDescent="0.2">
      <c r="B22465" s="2"/>
      <c r="C22465" s="15"/>
      <c r="D22465" s="2"/>
    </row>
    <row r="22466" spans="1:4" ht="12.75" customHeight="1" x14ac:dyDescent="0.2">
      <c r="B22466" s="2"/>
      <c r="C22466" s="15"/>
      <c r="D22466" s="2"/>
    </row>
    <row r="22467" spans="1:4" ht="12.75" customHeight="1" x14ac:dyDescent="0.2">
      <c r="A22467" s="13" t="s">
        <v>6277</v>
      </c>
      <c r="C22467" s="12"/>
    </row>
    <row r="22468" spans="1:4" ht="12.75" customHeight="1" x14ac:dyDescent="0.2">
      <c r="A22468" s="11"/>
      <c r="B22468" s="2"/>
      <c r="C22468" s="15"/>
      <c r="D22468" s="2"/>
    </row>
    <row r="22469" spans="1:4" ht="12.75" customHeight="1" x14ac:dyDescent="0.2">
      <c r="B22469" s="11" t="s">
        <v>0</v>
      </c>
      <c r="C22469" s="11" t="s">
        <v>143</v>
      </c>
    </row>
    <row r="22470" spans="1:4" ht="12.75" customHeight="1" x14ac:dyDescent="0.2">
      <c r="B22470" s="11" t="s">
        <v>2599</v>
      </c>
      <c r="C22470" s="11" t="s">
        <v>6278</v>
      </c>
    </row>
    <row r="22471" spans="1:4" ht="25.5" customHeight="1" x14ac:dyDescent="0.2">
      <c r="B22471" s="11" t="s">
        <v>2600</v>
      </c>
      <c r="C22471" s="11" t="s">
        <v>6279</v>
      </c>
    </row>
    <row r="22472" spans="1:4" ht="25.5" customHeight="1" x14ac:dyDescent="0.2">
      <c r="B22472" s="11" t="s">
        <v>2601</v>
      </c>
      <c r="C22472" s="11"/>
    </row>
    <row r="22473" spans="1:4" ht="12.75" customHeight="1" x14ac:dyDescent="0.2">
      <c r="B22473" s="11" t="s">
        <v>16</v>
      </c>
      <c r="C22473" s="11"/>
    </row>
    <row r="22474" spans="1:4" ht="12.75" customHeight="1" x14ac:dyDescent="0.2">
      <c r="B22474" s="11" t="s">
        <v>13</v>
      </c>
      <c r="C22474" s="11" t="s">
        <v>2644</v>
      </c>
    </row>
    <row r="22475" spans="1:4" ht="12.75" customHeight="1" x14ac:dyDescent="0.2">
      <c r="B22475" s="11" t="s">
        <v>2603</v>
      </c>
      <c r="C22475" s="11" t="s">
        <v>2604</v>
      </c>
    </row>
    <row r="22476" spans="1:4" ht="12.75" customHeight="1" x14ac:dyDescent="0.2">
      <c r="B22476" s="11" t="s">
        <v>2605</v>
      </c>
      <c r="C22476" s="11" t="s">
        <v>14</v>
      </c>
    </row>
    <row r="22477" spans="1:4" ht="12.75" customHeight="1" x14ac:dyDescent="0.2">
      <c r="B22477" s="11" t="s">
        <v>2606</v>
      </c>
      <c r="C22477" s="16" t="s">
        <v>68</v>
      </c>
      <c r="D22477" s="6" t="str">
        <f>HYPERLINK("javascript:void(0)","kincs")</f>
        <v>kincs</v>
      </c>
    </row>
    <row r="22478" spans="1:4" ht="12.75" customHeight="1" x14ac:dyDescent="0.2">
      <c r="B22478" s="2"/>
      <c r="C22478" s="15"/>
      <c r="D22478" s="2"/>
    </row>
    <row r="22479" spans="1:4" ht="12.75" customHeight="1" x14ac:dyDescent="0.2">
      <c r="B22479" s="2"/>
      <c r="C22479" s="15"/>
      <c r="D22479" s="2"/>
    </row>
    <row r="22480" spans="1:4" ht="12.75" customHeight="1" x14ac:dyDescent="0.2">
      <c r="A22480" s="13" t="s">
        <v>6281</v>
      </c>
      <c r="C22480" s="12"/>
    </row>
    <row r="22481" spans="1:4" ht="12.75" customHeight="1" x14ac:dyDescent="0.2">
      <c r="A22481" s="11"/>
      <c r="B22481" s="2"/>
      <c r="C22481" s="15"/>
      <c r="D22481" s="2"/>
    </row>
    <row r="22482" spans="1:4" ht="12.75" customHeight="1" x14ac:dyDescent="0.2">
      <c r="B22482" s="11" t="s">
        <v>0</v>
      </c>
      <c r="C22482" s="11" t="s">
        <v>143</v>
      </c>
    </row>
    <row r="22483" spans="1:4" ht="12.75" customHeight="1" x14ac:dyDescent="0.2">
      <c r="B22483" s="11" t="s">
        <v>2599</v>
      </c>
      <c r="C22483" s="11" t="s">
        <v>6282</v>
      </c>
    </row>
    <row r="22484" spans="1:4" ht="25.5" customHeight="1" x14ac:dyDescent="0.2">
      <c r="B22484" s="11" t="s">
        <v>2600</v>
      </c>
      <c r="C22484" s="11" t="s">
        <v>6283</v>
      </c>
    </row>
    <row r="22485" spans="1:4" ht="25.5" customHeight="1" x14ac:dyDescent="0.2">
      <c r="B22485" s="11" t="s">
        <v>2601</v>
      </c>
      <c r="C22485" s="11"/>
    </row>
    <row r="22486" spans="1:4" ht="12.75" customHeight="1" x14ac:dyDescent="0.2">
      <c r="B22486" s="11" t="s">
        <v>16</v>
      </c>
      <c r="C22486" s="11"/>
    </row>
    <row r="22487" spans="1:4" ht="12.75" customHeight="1" x14ac:dyDescent="0.2">
      <c r="B22487" s="11" t="s">
        <v>13</v>
      </c>
      <c r="C22487" s="11" t="s">
        <v>2602</v>
      </c>
    </row>
    <row r="22488" spans="1:4" ht="12.75" customHeight="1" x14ac:dyDescent="0.2">
      <c r="B22488" s="11" t="s">
        <v>2603</v>
      </c>
      <c r="C22488" s="11" t="s">
        <v>2604</v>
      </c>
    </row>
    <row r="22489" spans="1:4" ht="12.75" customHeight="1" x14ac:dyDescent="0.2">
      <c r="B22489" s="11" t="s">
        <v>2605</v>
      </c>
      <c r="C22489" s="11" t="s">
        <v>14</v>
      </c>
    </row>
    <row r="22490" spans="1:4" ht="25.5" customHeight="1" x14ac:dyDescent="0.2">
      <c r="B22490" s="11" t="s">
        <v>2606</v>
      </c>
      <c r="C22490" s="16" t="s">
        <v>44</v>
      </c>
      <c r="D22490" s="6" t="str">
        <f>HYPERLINK("javascript:void(0)","pörgeszilánk")</f>
        <v>pörgeszilánk</v>
      </c>
    </row>
    <row r="22491" spans="1:4" ht="12.75" customHeight="1" x14ac:dyDescent="0.2">
      <c r="B22491" s="2"/>
      <c r="C22491" s="15"/>
      <c r="D22491" s="2"/>
    </row>
    <row r="22492" spans="1:4" ht="12.75" customHeight="1" x14ac:dyDescent="0.2">
      <c r="B22492" s="2"/>
      <c r="C22492" s="15"/>
      <c r="D22492" s="2"/>
    </row>
    <row r="22493" spans="1:4" ht="12.75" customHeight="1" x14ac:dyDescent="0.2">
      <c r="A22493" s="13" t="s">
        <v>6284</v>
      </c>
      <c r="C22493" s="12"/>
    </row>
    <row r="22494" spans="1:4" ht="12.75" customHeight="1" x14ac:dyDescent="0.2">
      <c r="A22494" s="11"/>
      <c r="B22494" s="2"/>
      <c r="C22494" s="15"/>
      <c r="D22494" s="2"/>
    </row>
    <row r="22495" spans="1:4" ht="12.75" customHeight="1" x14ac:dyDescent="0.2">
      <c r="B22495" s="11" t="s">
        <v>0</v>
      </c>
      <c r="C22495" s="11" t="s">
        <v>143</v>
      </c>
    </row>
    <row r="22496" spans="1:4" ht="12.75" customHeight="1" x14ac:dyDescent="0.2">
      <c r="B22496" s="11" t="s">
        <v>2599</v>
      </c>
      <c r="C22496" s="11" t="s">
        <v>2828</v>
      </c>
    </row>
    <row r="22497" spans="1:4" ht="25.5" customHeight="1" x14ac:dyDescent="0.2">
      <c r="B22497" s="11" t="s">
        <v>2600</v>
      </c>
      <c r="C22497" s="11" t="s">
        <v>6285</v>
      </c>
    </row>
    <row r="22498" spans="1:4" ht="25.5" customHeight="1" x14ac:dyDescent="0.2">
      <c r="B22498" s="11" t="s">
        <v>2601</v>
      </c>
      <c r="C22498" s="11"/>
    </row>
    <row r="22499" spans="1:4" ht="12.75" customHeight="1" x14ac:dyDescent="0.2">
      <c r="B22499" s="11" t="s">
        <v>16</v>
      </c>
      <c r="C22499" s="11"/>
    </row>
    <row r="22500" spans="1:4" ht="12.75" customHeight="1" x14ac:dyDescent="0.2">
      <c r="B22500" s="11" t="s">
        <v>13</v>
      </c>
      <c r="C22500" s="11" t="s">
        <v>2602</v>
      </c>
    </row>
    <row r="22501" spans="1:4" ht="12.75" customHeight="1" x14ac:dyDescent="0.2">
      <c r="B22501" s="11" t="s">
        <v>2603</v>
      </c>
      <c r="C22501" s="11" t="s">
        <v>2604</v>
      </c>
    </row>
    <row r="22502" spans="1:4" ht="12.75" customHeight="1" x14ac:dyDescent="0.2">
      <c r="B22502" s="11" t="s">
        <v>2605</v>
      </c>
      <c r="C22502" s="11" t="s">
        <v>24</v>
      </c>
    </row>
    <row r="22503" spans="1:4" ht="12.75" customHeight="1" x14ac:dyDescent="0.2">
      <c r="B22503" s="11" t="s">
        <v>2606</v>
      </c>
      <c r="C22503" s="16" t="s">
        <v>57</v>
      </c>
      <c r="D22503" s="6" t="str">
        <f>HYPERLINK("javascript:void(0)","tűzige")</f>
        <v>tűzige</v>
      </c>
    </row>
    <row r="22504" spans="1:4" ht="12.75" customHeight="1" x14ac:dyDescent="0.2">
      <c r="C22504" s="16" t="s">
        <v>56</v>
      </c>
      <c r="D22504" s="6" t="str">
        <f>HYPERLINK("javascript:void(0)","vízige")</f>
        <v>vízige</v>
      </c>
    </row>
    <row r="22505" spans="1:4" ht="12.75" customHeight="1" x14ac:dyDescent="0.2">
      <c r="C22505" s="16" t="s">
        <v>44</v>
      </c>
      <c r="D22505" s="6" t="str">
        <f>HYPERLINK("javascript:void(0)","rémkép")</f>
        <v>rémkép</v>
      </c>
    </row>
    <row r="22506" spans="1:4" ht="12.75" customHeight="1" x14ac:dyDescent="0.2">
      <c r="B22506" s="2"/>
      <c r="C22506" s="15"/>
      <c r="D22506" s="2"/>
    </row>
    <row r="22507" spans="1:4" ht="12.75" customHeight="1" x14ac:dyDescent="0.2">
      <c r="B22507" s="2"/>
      <c r="C22507" s="15"/>
      <c r="D22507" s="2"/>
    </row>
    <row r="22508" spans="1:4" ht="12.75" customHeight="1" x14ac:dyDescent="0.2">
      <c r="A22508" s="13" t="s">
        <v>6286</v>
      </c>
      <c r="C22508" s="12"/>
    </row>
    <row r="22509" spans="1:4" ht="12.75" customHeight="1" x14ac:dyDescent="0.2">
      <c r="A22509" s="11"/>
      <c r="B22509" s="2"/>
      <c r="C22509" s="15"/>
      <c r="D22509" s="2"/>
    </row>
    <row r="22510" spans="1:4" ht="12.75" customHeight="1" x14ac:dyDescent="0.2">
      <c r="B22510" s="11" t="s">
        <v>0</v>
      </c>
      <c r="C22510" s="11" t="s">
        <v>143</v>
      </c>
    </row>
    <row r="22511" spans="1:4" ht="12.75" customHeight="1" x14ac:dyDescent="0.2">
      <c r="B22511" s="11" t="s">
        <v>2599</v>
      </c>
      <c r="C22511" s="11" t="s">
        <v>6287</v>
      </c>
    </row>
    <row r="22512" spans="1:4" ht="25.5" customHeight="1" x14ac:dyDescent="0.2">
      <c r="B22512" s="11" t="s">
        <v>2600</v>
      </c>
      <c r="C22512" s="11" t="s">
        <v>6288</v>
      </c>
    </row>
    <row r="22513" spans="1:4" ht="25.5" customHeight="1" x14ac:dyDescent="0.2">
      <c r="B22513" s="11" t="s">
        <v>2601</v>
      </c>
      <c r="C22513" s="11"/>
    </row>
    <row r="22514" spans="1:4" ht="12.75" customHeight="1" x14ac:dyDescent="0.2">
      <c r="B22514" s="11" t="s">
        <v>16</v>
      </c>
      <c r="C22514" s="11"/>
    </row>
    <row r="22515" spans="1:4" ht="12.75" customHeight="1" x14ac:dyDescent="0.2">
      <c r="B22515" s="11" t="s">
        <v>13</v>
      </c>
      <c r="C22515" s="11" t="s">
        <v>2644</v>
      </c>
    </row>
    <row r="22516" spans="1:4" ht="12.75" customHeight="1" x14ac:dyDescent="0.2">
      <c r="B22516" s="11" t="s">
        <v>2603</v>
      </c>
      <c r="C22516" s="11" t="s">
        <v>2604</v>
      </c>
    </row>
    <row r="22517" spans="1:4" ht="12.75" customHeight="1" x14ac:dyDescent="0.2">
      <c r="B22517" s="11" t="s">
        <v>2605</v>
      </c>
      <c r="C22517" s="11" t="s">
        <v>24</v>
      </c>
    </row>
    <row r="22518" spans="1:4" ht="12.75" customHeight="1" x14ac:dyDescent="0.2">
      <c r="B22518" s="11" t="s">
        <v>2606</v>
      </c>
      <c r="C22518" s="16" t="s">
        <v>44</v>
      </c>
      <c r="D22518" s="6" t="str">
        <f>HYPERLINK("javascript:void(0)","medál")</f>
        <v>medál</v>
      </c>
    </row>
    <row r="22519" spans="1:4" ht="12.75" customHeight="1" x14ac:dyDescent="0.2">
      <c r="B22519" s="2"/>
      <c r="C22519" s="15"/>
      <c r="D22519" s="2"/>
    </row>
    <row r="22520" spans="1:4" ht="12.75" customHeight="1" x14ac:dyDescent="0.2">
      <c r="B22520" s="2"/>
      <c r="C22520" s="15"/>
      <c r="D22520" s="2"/>
    </row>
    <row r="22521" spans="1:4" ht="12.75" customHeight="1" x14ac:dyDescent="0.2">
      <c r="A22521" s="13" t="s">
        <v>6289</v>
      </c>
      <c r="C22521" s="12"/>
    </row>
    <row r="22522" spans="1:4" ht="12.75" customHeight="1" x14ac:dyDescent="0.2">
      <c r="A22522" s="11"/>
      <c r="B22522" s="2"/>
      <c r="C22522" s="15"/>
      <c r="D22522" s="2"/>
    </row>
    <row r="22523" spans="1:4" ht="12.75" customHeight="1" x14ac:dyDescent="0.2">
      <c r="B22523" s="11" t="s">
        <v>0</v>
      </c>
      <c r="C22523" s="11" t="s">
        <v>143</v>
      </c>
    </row>
    <row r="22524" spans="1:4" ht="12.75" customHeight="1" x14ac:dyDescent="0.2">
      <c r="B22524" s="11" t="s">
        <v>2599</v>
      </c>
      <c r="C22524" s="11" t="s">
        <v>5342</v>
      </c>
    </row>
    <row r="22525" spans="1:4" ht="25.5" customHeight="1" x14ac:dyDescent="0.2">
      <c r="B22525" s="11" t="s">
        <v>2600</v>
      </c>
      <c r="C22525" s="11" t="s">
        <v>6291</v>
      </c>
    </row>
    <row r="22526" spans="1:4" ht="25.5" customHeight="1" x14ac:dyDescent="0.2">
      <c r="B22526" s="11" t="s">
        <v>2601</v>
      </c>
      <c r="C22526" s="11"/>
    </row>
    <row r="22527" spans="1:4" ht="12.75" customHeight="1" x14ac:dyDescent="0.2">
      <c r="B22527" s="11" t="s">
        <v>16</v>
      </c>
      <c r="C22527" s="11"/>
    </row>
    <row r="22528" spans="1:4" ht="12.75" customHeight="1" x14ac:dyDescent="0.2">
      <c r="B22528" s="11" t="s">
        <v>13</v>
      </c>
      <c r="C22528" s="11" t="s">
        <v>2602</v>
      </c>
    </row>
    <row r="22529" spans="1:4" ht="12.75" customHeight="1" x14ac:dyDescent="0.2">
      <c r="B22529" s="11" t="s">
        <v>2603</v>
      </c>
      <c r="C22529" s="11" t="s">
        <v>2604</v>
      </c>
    </row>
    <row r="22530" spans="1:4" ht="12.75" customHeight="1" x14ac:dyDescent="0.2">
      <c r="B22530" s="11" t="s">
        <v>2605</v>
      </c>
      <c r="C22530" s="11" t="s">
        <v>24</v>
      </c>
    </row>
    <row r="22531" spans="1:4" ht="12.75" customHeight="1" x14ac:dyDescent="0.2">
      <c r="B22531" s="11" t="s">
        <v>2606</v>
      </c>
      <c r="C22531" s="16" t="s">
        <v>44</v>
      </c>
      <c r="D22531" s="6" t="str">
        <f>HYPERLINK("javascript:void(0)","okuláré")</f>
        <v>okuláré</v>
      </c>
    </row>
    <row r="22532" spans="1:4" ht="12.75" customHeight="1" x14ac:dyDescent="0.2">
      <c r="B22532" s="2"/>
      <c r="C22532" s="15"/>
      <c r="D22532" s="2"/>
    </row>
    <row r="22533" spans="1:4" ht="12.75" customHeight="1" x14ac:dyDescent="0.2">
      <c r="B22533" s="2"/>
      <c r="C22533" s="15"/>
      <c r="D22533" s="2"/>
    </row>
    <row r="22534" spans="1:4" ht="12.75" customHeight="1" x14ac:dyDescent="0.2">
      <c r="A22534" s="13" t="s">
        <v>6292</v>
      </c>
      <c r="C22534" s="12"/>
    </row>
    <row r="22535" spans="1:4" ht="12.75" customHeight="1" x14ac:dyDescent="0.2">
      <c r="A22535" s="11"/>
      <c r="B22535" s="2"/>
      <c r="C22535" s="15"/>
      <c r="D22535" s="2"/>
    </row>
    <row r="22536" spans="1:4" ht="12.75" customHeight="1" x14ac:dyDescent="0.2">
      <c r="B22536" s="11" t="s">
        <v>0</v>
      </c>
      <c r="C22536" s="11" t="s">
        <v>143</v>
      </c>
    </row>
    <row r="22537" spans="1:4" ht="12.75" customHeight="1" x14ac:dyDescent="0.2">
      <c r="B22537" s="11" t="s">
        <v>2599</v>
      </c>
      <c r="C22537" s="11" t="s">
        <v>6293</v>
      </c>
    </row>
    <row r="22538" spans="1:4" ht="25.5" customHeight="1" x14ac:dyDescent="0.2">
      <c r="B22538" s="11" t="s">
        <v>2600</v>
      </c>
      <c r="C22538" s="11" t="s">
        <v>6294</v>
      </c>
    </row>
    <row r="22539" spans="1:4" ht="25.5" customHeight="1" x14ac:dyDescent="0.2">
      <c r="B22539" s="11" t="s">
        <v>2601</v>
      </c>
      <c r="C22539" s="11"/>
    </row>
    <row r="22540" spans="1:4" ht="12.75" customHeight="1" x14ac:dyDescent="0.2">
      <c r="B22540" s="11" t="s">
        <v>16</v>
      </c>
      <c r="C22540" s="11"/>
    </row>
    <row r="22541" spans="1:4" ht="12.75" customHeight="1" x14ac:dyDescent="0.2">
      <c r="B22541" s="11" t="s">
        <v>13</v>
      </c>
      <c r="C22541" s="11" t="s">
        <v>2602</v>
      </c>
    </row>
    <row r="22542" spans="1:4" ht="12.75" customHeight="1" x14ac:dyDescent="0.2">
      <c r="B22542" s="11" t="s">
        <v>2603</v>
      </c>
      <c r="C22542" s="11" t="s">
        <v>2604</v>
      </c>
    </row>
    <row r="22543" spans="1:4" ht="12.75" customHeight="1" x14ac:dyDescent="0.2">
      <c r="B22543" s="11" t="s">
        <v>2605</v>
      </c>
      <c r="C22543" s="11" t="s">
        <v>24</v>
      </c>
    </row>
    <row r="22544" spans="1:4" ht="12.75" customHeight="1" x14ac:dyDescent="0.2">
      <c r="B22544" s="11" t="s">
        <v>2606</v>
      </c>
      <c r="C22544" s="16" t="s">
        <v>56</v>
      </c>
      <c r="D22544" s="6" t="str">
        <f>HYPERLINK("javascript:void(0)","szőrpenge")</f>
        <v>szőrpenge</v>
      </c>
    </row>
    <row r="22545" spans="1:4" ht="12.75" customHeight="1" x14ac:dyDescent="0.2">
      <c r="B22545" s="2"/>
      <c r="C22545" s="15"/>
      <c r="D22545" s="2"/>
    </row>
    <row r="22546" spans="1:4" ht="12.75" customHeight="1" x14ac:dyDescent="0.2">
      <c r="B22546" s="2"/>
      <c r="C22546" s="15"/>
      <c r="D22546" s="2"/>
    </row>
    <row r="22547" spans="1:4" ht="12.75" customHeight="1" x14ac:dyDescent="0.2">
      <c r="A22547" s="13" t="s">
        <v>6248</v>
      </c>
      <c r="C22547" s="12"/>
      <c r="D22547" s="2"/>
    </row>
    <row r="22548" spans="1:4" ht="12.75" customHeight="1" x14ac:dyDescent="0.2">
      <c r="A22548" s="11"/>
      <c r="B22548" s="2"/>
      <c r="C22548" s="15"/>
      <c r="D22548" s="2"/>
    </row>
    <row r="22549" spans="1:4" ht="12.75" customHeight="1" x14ac:dyDescent="0.2">
      <c r="B22549" s="11" t="s">
        <v>0</v>
      </c>
      <c r="C22549" s="17" t="s">
        <v>143</v>
      </c>
      <c r="D22549" s="2"/>
    </row>
    <row r="22550" spans="1:4" ht="12.75" customHeight="1" x14ac:dyDescent="0.2">
      <c r="B22550" s="11" t="s">
        <v>2599</v>
      </c>
      <c r="C22550" s="17" t="s">
        <v>6249</v>
      </c>
      <c r="D22550" s="2"/>
    </row>
    <row r="22551" spans="1:4" ht="25.5" customHeight="1" x14ac:dyDescent="0.2">
      <c r="B22551" s="11" t="s">
        <v>2600</v>
      </c>
      <c r="C22551" s="17" t="s">
        <v>6295</v>
      </c>
      <c r="D22551" s="2"/>
    </row>
    <row r="22552" spans="1:4" ht="25.5" customHeight="1" x14ac:dyDescent="0.2">
      <c r="B22552" s="11" t="s">
        <v>2601</v>
      </c>
      <c r="C22552" s="17"/>
      <c r="D22552" s="2"/>
    </row>
    <row r="22553" spans="1:4" ht="12.75" customHeight="1" x14ac:dyDescent="0.2">
      <c r="B22553" s="11" t="s">
        <v>16</v>
      </c>
      <c r="C22553" s="17"/>
      <c r="D22553" s="2"/>
    </row>
    <row r="22554" spans="1:4" ht="12.75" customHeight="1" x14ac:dyDescent="0.2">
      <c r="B22554" s="11" t="s">
        <v>13</v>
      </c>
      <c r="C22554" s="17" t="s">
        <v>2602</v>
      </c>
      <c r="D22554" s="2"/>
    </row>
    <row r="22555" spans="1:4" ht="25.5" customHeight="1" x14ac:dyDescent="0.2">
      <c r="B22555" s="11" t="s">
        <v>2603</v>
      </c>
      <c r="C22555" s="17" t="s">
        <v>2971</v>
      </c>
      <c r="D22555" s="2"/>
    </row>
    <row r="22556" spans="1:4" ht="12.75" customHeight="1" x14ac:dyDescent="0.2">
      <c r="B22556" s="11" t="s">
        <v>2605</v>
      </c>
      <c r="C22556" s="17" t="s">
        <v>14</v>
      </c>
      <c r="D22556" s="2"/>
    </row>
    <row r="22557" spans="1:4" ht="12.75" customHeight="1" x14ac:dyDescent="0.2">
      <c r="B22557" s="11" t="s">
        <v>2606</v>
      </c>
      <c r="C22557" s="16" t="s">
        <v>19</v>
      </c>
      <c r="D22557" s="2"/>
    </row>
    <row r="22558" spans="1:4" ht="12.75" customHeight="1" x14ac:dyDescent="0.2">
      <c r="B22558" s="2"/>
      <c r="C22558" s="15"/>
      <c r="D22558" s="2"/>
    </row>
    <row r="22559" spans="1:4" ht="12.75" customHeight="1" x14ac:dyDescent="0.2">
      <c r="B22559" s="2"/>
      <c r="C22559" s="15"/>
      <c r="D22559" s="2"/>
    </row>
    <row r="22560" spans="1:4" ht="12.75" customHeight="1" x14ac:dyDescent="0.2">
      <c r="A22560" s="13" t="s">
        <v>6224</v>
      </c>
      <c r="C22560" s="12"/>
      <c r="D22560" s="2"/>
    </row>
    <row r="22561" spans="1:4" ht="12.75" customHeight="1" x14ac:dyDescent="0.2">
      <c r="A22561" s="11"/>
      <c r="B22561" s="2"/>
      <c r="C22561" s="15"/>
      <c r="D22561" s="2"/>
    </row>
    <row r="22562" spans="1:4" ht="12.75" customHeight="1" x14ac:dyDescent="0.2">
      <c r="B22562" s="11" t="s">
        <v>0</v>
      </c>
      <c r="C22562" s="17" t="s">
        <v>1284</v>
      </c>
      <c r="D22562" s="2"/>
    </row>
    <row r="22563" spans="1:4" ht="12.75" customHeight="1" x14ac:dyDescent="0.2">
      <c r="B22563" s="11" t="s">
        <v>2599</v>
      </c>
      <c r="C22563" s="17" t="s">
        <v>6225</v>
      </c>
      <c r="D22563" s="2"/>
    </row>
    <row r="22564" spans="1:4" ht="25.5" customHeight="1" x14ac:dyDescent="0.2">
      <c r="B22564" s="11" t="s">
        <v>2600</v>
      </c>
      <c r="C22564" s="17" t="s">
        <v>6296</v>
      </c>
      <c r="D22564" s="2"/>
    </row>
    <row r="22565" spans="1:4" ht="25.5" customHeight="1" x14ac:dyDescent="0.2">
      <c r="B22565" s="11" t="s">
        <v>2601</v>
      </c>
      <c r="C22565" s="17"/>
      <c r="D22565" s="2"/>
    </row>
    <row r="22566" spans="1:4" ht="12.75" customHeight="1" x14ac:dyDescent="0.2">
      <c r="B22566" s="11" t="s">
        <v>16</v>
      </c>
      <c r="C22566" s="17"/>
      <c r="D22566" s="2"/>
    </row>
    <row r="22567" spans="1:4" ht="12.75" customHeight="1" x14ac:dyDescent="0.2">
      <c r="B22567" s="11" t="s">
        <v>13</v>
      </c>
      <c r="C22567" s="17" t="s">
        <v>2602</v>
      </c>
      <c r="D22567" s="2"/>
    </row>
    <row r="22568" spans="1:4" ht="25.5" customHeight="1" x14ac:dyDescent="0.2">
      <c r="B22568" s="11" t="s">
        <v>2603</v>
      </c>
      <c r="C22568" s="17" t="s">
        <v>2971</v>
      </c>
      <c r="D22568" s="2"/>
    </row>
    <row r="22569" spans="1:4" ht="12.75" customHeight="1" x14ac:dyDescent="0.2">
      <c r="B22569" s="11" t="s">
        <v>2605</v>
      </c>
      <c r="C22569" s="17" t="s">
        <v>14</v>
      </c>
      <c r="D22569" s="2"/>
    </row>
    <row r="22570" spans="1:4" ht="12.75" customHeight="1" x14ac:dyDescent="0.2">
      <c r="B22570" s="11" t="s">
        <v>2606</v>
      </c>
      <c r="C22570" s="16" t="s">
        <v>19</v>
      </c>
      <c r="D22570" s="2"/>
    </row>
    <row r="22571" spans="1:4" ht="12.75" customHeight="1" x14ac:dyDescent="0.2">
      <c r="B22571" s="2"/>
      <c r="C22571" s="15"/>
      <c r="D22571" s="2"/>
    </row>
    <row r="22572" spans="1:4" ht="12.75" customHeight="1" x14ac:dyDescent="0.2">
      <c r="B22572" s="2"/>
      <c r="C22572" s="15"/>
      <c r="D22572" s="2"/>
    </row>
    <row r="22573" spans="1:4" ht="12.75" customHeight="1" x14ac:dyDescent="0.2">
      <c r="A22573" s="13" t="s">
        <v>6227</v>
      </c>
      <c r="C22573" s="12"/>
      <c r="D22573" s="2"/>
    </row>
    <row r="22574" spans="1:4" ht="12.75" customHeight="1" x14ac:dyDescent="0.2">
      <c r="A22574" s="11"/>
      <c r="B22574" s="2"/>
      <c r="C22574" s="15"/>
      <c r="D22574" s="2"/>
    </row>
    <row r="22575" spans="1:4" ht="12.75" customHeight="1" x14ac:dyDescent="0.2">
      <c r="B22575" s="11" t="s">
        <v>0</v>
      </c>
      <c r="C22575" s="17" t="s">
        <v>1284</v>
      </c>
      <c r="D22575" s="2"/>
    </row>
    <row r="22576" spans="1:4" ht="12.75" customHeight="1" x14ac:dyDescent="0.2">
      <c r="B22576" s="11" t="s">
        <v>2599</v>
      </c>
      <c r="C22576" s="17" t="s">
        <v>5569</v>
      </c>
      <c r="D22576" s="2"/>
    </row>
    <row r="22577" spans="1:4" ht="25.5" customHeight="1" x14ac:dyDescent="0.2">
      <c r="B22577" s="11" t="s">
        <v>2600</v>
      </c>
      <c r="C22577" s="17" t="s">
        <v>6297</v>
      </c>
      <c r="D22577" s="2"/>
    </row>
    <row r="22578" spans="1:4" ht="25.5" customHeight="1" x14ac:dyDescent="0.2">
      <c r="B22578" s="11" t="s">
        <v>2601</v>
      </c>
      <c r="C22578" s="17"/>
      <c r="D22578" s="2"/>
    </row>
    <row r="22579" spans="1:4" ht="12.75" customHeight="1" x14ac:dyDescent="0.2">
      <c r="B22579" s="11" t="s">
        <v>16</v>
      </c>
      <c r="C22579" s="17"/>
      <c r="D22579" s="2"/>
    </row>
    <row r="22580" spans="1:4" ht="12.75" customHeight="1" x14ac:dyDescent="0.2">
      <c r="B22580" s="11" t="s">
        <v>13</v>
      </c>
      <c r="C22580" s="17" t="s">
        <v>2644</v>
      </c>
      <c r="D22580" s="2"/>
    </row>
    <row r="22581" spans="1:4" ht="25.5" customHeight="1" x14ac:dyDescent="0.2">
      <c r="B22581" s="11" t="s">
        <v>2603</v>
      </c>
      <c r="C22581" s="17" t="s">
        <v>2971</v>
      </c>
      <c r="D22581" s="2"/>
    </row>
    <row r="22582" spans="1:4" ht="12.75" customHeight="1" x14ac:dyDescent="0.2">
      <c r="B22582" s="11" t="s">
        <v>2605</v>
      </c>
      <c r="C22582" s="17" t="s">
        <v>14</v>
      </c>
      <c r="D22582" s="2"/>
    </row>
    <row r="22583" spans="1:4" ht="12.75" customHeight="1" x14ac:dyDescent="0.2">
      <c r="B22583" s="11" t="s">
        <v>2606</v>
      </c>
      <c r="C22583" s="16" t="s">
        <v>19</v>
      </c>
      <c r="D22583" s="2"/>
    </row>
    <row r="22584" spans="1:4" ht="12.75" customHeight="1" x14ac:dyDescent="0.2">
      <c r="B22584" s="2"/>
      <c r="C22584" s="15"/>
      <c r="D22584" s="2"/>
    </row>
    <row r="22585" spans="1:4" ht="12.75" customHeight="1" x14ac:dyDescent="0.2">
      <c r="B22585" s="2"/>
      <c r="C22585" s="15"/>
      <c r="D22585" s="2"/>
    </row>
    <row r="22586" spans="1:4" ht="12.75" customHeight="1" x14ac:dyDescent="0.2">
      <c r="A22586" s="13" t="s">
        <v>6229</v>
      </c>
      <c r="C22586" s="12"/>
      <c r="D22586" s="2"/>
    </row>
    <row r="22587" spans="1:4" ht="12.75" customHeight="1" x14ac:dyDescent="0.2">
      <c r="A22587" s="11"/>
      <c r="B22587" s="2"/>
      <c r="C22587" s="15"/>
      <c r="D22587" s="2"/>
    </row>
    <row r="22588" spans="1:4" ht="12.75" customHeight="1" x14ac:dyDescent="0.2">
      <c r="B22588" s="11" t="s">
        <v>0</v>
      </c>
      <c r="C22588" s="17" t="s">
        <v>1284</v>
      </c>
      <c r="D22588" s="2"/>
    </row>
    <row r="22589" spans="1:4" ht="12.75" customHeight="1" x14ac:dyDescent="0.2">
      <c r="B22589" s="11" t="s">
        <v>2599</v>
      </c>
      <c r="C22589" s="17" t="s">
        <v>6230</v>
      </c>
      <c r="D22589" s="2"/>
    </row>
    <row r="22590" spans="1:4" ht="25.5" customHeight="1" x14ac:dyDescent="0.2">
      <c r="B22590" s="11" t="s">
        <v>2600</v>
      </c>
      <c r="C22590" s="17" t="s">
        <v>6299</v>
      </c>
      <c r="D22590" s="2"/>
    </row>
    <row r="22591" spans="1:4" ht="25.5" customHeight="1" x14ac:dyDescent="0.2">
      <c r="B22591" s="11" t="s">
        <v>2601</v>
      </c>
      <c r="C22591" s="17"/>
      <c r="D22591" s="2"/>
    </row>
    <row r="22592" spans="1:4" ht="12.75" customHeight="1" x14ac:dyDescent="0.2">
      <c r="B22592" s="11" t="s">
        <v>16</v>
      </c>
      <c r="C22592" s="17"/>
      <c r="D22592" s="2"/>
    </row>
    <row r="22593" spans="1:4" ht="12.75" customHeight="1" x14ac:dyDescent="0.2">
      <c r="B22593" s="11" t="s">
        <v>13</v>
      </c>
      <c r="C22593" s="17" t="s">
        <v>2644</v>
      </c>
      <c r="D22593" s="2"/>
    </row>
    <row r="22594" spans="1:4" ht="25.5" customHeight="1" x14ac:dyDescent="0.2">
      <c r="B22594" s="11" t="s">
        <v>2603</v>
      </c>
      <c r="C22594" s="17" t="s">
        <v>2971</v>
      </c>
      <c r="D22594" s="2"/>
    </row>
    <row r="22595" spans="1:4" ht="12.75" customHeight="1" x14ac:dyDescent="0.2">
      <c r="B22595" s="11" t="s">
        <v>2605</v>
      </c>
      <c r="C22595" s="17" t="s">
        <v>14</v>
      </c>
      <c r="D22595" s="2"/>
    </row>
    <row r="22596" spans="1:4" ht="12.75" customHeight="1" x14ac:dyDescent="0.2">
      <c r="B22596" s="11" t="s">
        <v>2606</v>
      </c>
      <c r="C22596" s="16" t="s">
        <v>19</v>
      </c>
      <c r="D22596" s="2"/>
    </row>
    <row r="22597" spans="1:4" ht="12.75" customHeight="1" x14ac:dyDescent="0.2">
      <c r="B22597" s="2"/>
      <c r="C22597" s="15"/>
      <c r="D22597" s="2"/>
    </row>
    <row r="22598" spans="1:4" ht="12.75" customHeight="1" x14ac:dyDescent="0.2">
      <c r="B22598" s="2"/>
      <c r="C22598" s="15"/>
      <c r="D22598" s="2"/>
    </row>
    <row r="22599" spans="1:4" ht="12.75" customHeight="1" x14ac:dyDescent="0.2">
      <c r="A22599" s="13" t="s">
        <v>6300</v>
      </c>
      <c r="C22599" s="12"/>
    </row>
    <row r="22600" spans="1:4" ht="12.75" customHeight="1" x14ac:dyDescent="0.2">
      <c r="A22600" s="11"/>
      <c r="B22600" s="2"/>
      <c r="C22600" s="15"/>
      <c r="D22600" s="2"/>
    </row>
    <row r="22601" spans="1:4" ht="12.75" customHeight="1" x14ac:dyDescent="0.2">
      <c r="B22601" s="11" t="s">
        <v>0</v>
      </c>
      <c r="C22601" s="11" t="s">
        <v>1284</v>
      </c>
    </row>
    <row r="22602" spans="1:4" ht="12.75" customHeight="1" x14ac:dyDescent="0.2">
      <c r="B22602" s="11" t="s">
        <v>2599</v>
      </c>
      <c r="C22602" s="11" t="s">
        <v>6301</v>
      </c>
    </row>
    <row r="22603" spans="1:4" ht="25.5" customHeight="1" x14ac:dyDescent="0.2">
      <c r="B22603" s="11" t="s">
        <v>2600</v>
      </c>
      <c r="C22603" s="11" t="s">
        <v>6302</v>
      </c>
    </row>
    <row r="22604" spans="1:4" ht="25.5" customHeight="1" x14ac:dyDescent="0.2">
      <c r="B22604" s="11" t="s">
        <v>2601</v>
      </c>
      <c r="C22604" s="11"/>
    </row>
    <row r="22605" spans="1:4" ht="12.75" customHeight="1" x14ac:dyDescent="0.2">
      <c r="B22605" s="11" t="s">
        <v>16</v>
      </c>
      <c r="C22605" s="11"/>
    </row>
    <row r="22606" spans="1:4" ht="12.75" customHeight="1" x14ac:dyDescent="0.2">
      <c r="B22606" s="11" t="s">
        <v>13</v>
      </c>
      <c r="C22606" s="11" t="s">
        <v>2602</v>
      </c>
    </row>
    <row r="22607" spans="1:4" ht="12.75" customHeight="1" x14ac:dyDescent="0.2">
      <c r="B22607" s="11" t="s">
        <v>2603</v>
      </c>
      <c r="C22607" s="11" t="s">
        <v>2604</v>
      </c>
    </row>
    <row r="22608" spans="1:4" ht="12.75" customHeight="1" x14ac:dyDescent="0.2">
      <c r="B22608" s="11" t="s">
        <v>2605</v>
      </c>
      <c r="C22608" s="11" t="s">
        <v>14</v>
      </c>
    </row>
    <row r="22609" spans="1:4" ht="12.75" customHeight="1" x14ac:dyDescent="0.2">
      <c r="B22609" s="11" t="s">
        <v>2606</v>
      </c>
      <c r="C22609" s="16" t="s">
        <v>44</v>
      </c>
      <c r="D22609" s="6" t="str">
        <f>HYPERLINK("javascript:void(0)","keljfeljancsi")</f>
        <v>keljfeljancsi</v>
      </c>
    </row>
    <row r="22610" spans="1:4" ht="12.75" customHeight="1" x14ac:dyDescent="0.2">
      <c r="B22610" s="2"/>
      <c r="C22610" s="15"/>
      <c r="D22610" s="2"/>
    </row>
    <row r="22611" spans="1:4" ht="12.75" customHeight="1" x14ac:dyDescent="0.2">
      <c r="B22611" s="2"/>
      <c r="C22611" s="15"/>
      <c r="D22611" s="2"/>
    </row>
    <row r="22612" spans="1:4" ht="12.75" customHeight="1" x14ac:dyDescent="0.2">
      <c r="A22612" s="13" t="s">
        <v>6304</v>
      </c>
      <c r="C22612" s="12"/>
    </row>
    <row r="22613" spans="1:4" ht="12.75" customHeight="1" x14ac:dyDescent="0.2">
      <c r="A22613" s="11"/>
      <c r="B22613" s="2"/>
      <c r="C22613" s="15"/>
      <c r="D22613" s="2"/>
    </row>
    <row r="22614" spans="1:4" ht="12.75" customHeight="1" x14ac:dyDescent="0.2">
      <c r="B22614" s="11" t="s">
        <v>0</v>
      </c>
      <c r="C22614" s="11" t="s">
        <v>1284</v>
      </c>
    </row>
    <row r="22615" spans="1:4" ht="12.75" customHeight="1" x14ac:dyDescent="0.2">
      <c r="B22615" s="11" t="s">
        <v>2599</v>
      </c>
      <c r="C22615" s="11" t="s">
        <v>4512</v>
      </c>
    </row>
    <row r="22616" spans="1:4" ht="25.5" customHeight="1" x14ac:dyDescent="0.2">
      <c r="B22616" s="11" t="s">
        <v>2600</v>
      </c>
      <c r="C22616" s="11" t="s">
        <v>6305</v>
      </c>
    </row>
    <row r="22617" spans="1:4" ht="25.5" customHeight="1" x14ac:dyDescent="0.2">
      <c r="B22617" s="11" t="s">
        <v>2601</v>
      </c>
      <c r="C22617" s="11"/>
    </row>
    <row r="22618" spans="1:4" ht="12.75" customHeight="1" x14ac:dyDescent="0.2">
      <c r="B22618" s="11" t="s">
        <v>16</v>
      </c>
      <c r="C22618" s="11"/>
    </row>
    <row r="22619" spans="1:4" ht="12.75" customHeight="1" x14ac:dyDescent="0.2">
      <c r="B22619" s="11" t="s">
        <v>13</v>
      </c>
      <c r="C22619" s="11" t="s">
        <v>2644</v>
      </c>
    </row>
    <row r="22620" spans="1:4" ht="12.75" customHeight="1" x14ac:dyDescent="0.2">
      <c r="B22620" s="11" t="s">
        <v>2603</v>
      </c>
      <c r="C22620" s="11" t="s">
        <v>2604</v>
      </c>
    </row>
    <row r="22621" spans="1:4" ht="12.75" customHeight="1" x14ac:dyDescent="0.2">
      <c r="B22621" s="11" t="s">
        <v>2605</v>
      </c>
      <c r="C22621" s="11" t="s">
        <v>14</v>
      </c>
    </row>
    <row r="22622" spans="1:4" ht="12.75" customHeight="1" x14ac:dyDescent="0.2">
      <c r="B22622" s="11" t="s">
        <v>2606</v>
      </c>
      <c r="C22622" s="16" t="s">
        <v>67</v>
      </c>
      <c r="D22622" s="6" t="str">
        <f>HYPERLINK("javascript:void(0)","kincs")</f>
        <v>kincs</v>
      </c>
    </row>
    <row r="22623" spans="1:4" ht="12.75" customHeight="1" x14ac:dyDescent="0.2">
      <c r="B22623" s="2"/>
      <c r="C22623" s="15"/>
      <c r="D22623" s="2"/>
    </row>
    <row r="22624" spans="1:4" ht="12.75" customHeight="1" x14ac:dyDescent="0.2">
      <c r="B22624" s="2"/>
      <c r="C22624" s="15"/>
      <c r="D22624" s="2"/>
    </row>
    <row r="22625" spans="1:4" ht="12.75" customHeight="1" x14ac:dyDescent="0.2">
      <c r="A22625" s="13" t="s">
        <v>6306</v>
      </c>
      <c r="C22625" s="12"/>
    </row>
    <row r="22626" spans="1:4" ht="12.75" customHeight="1" x14ac:dyDescent="0.2">
      <c r="A22626" s="11"/>
      <c r="B22626" s="2"/>
      <c r="C22626" s="15"/>
      <c r="D22626" s="2"/>
    </row>
    <row r="22627" spans="1:4" ht="12.75" customHeight="1" x14ac:dyDescent="0.2">
      <c r="B22627" s="11" t="s">
        <v>0</v>
      </c>
      <c r="C22627" s="11" t="s">
        <v>1284</v>
      </c>
    </row>
    <row r="22628" spans="1:4" ht="12.75" customHeight="1" x14ac:dyDescent="0.2">
      <c r="B22628" s="11" t="s">
        <v>2599</v>
      </c>
      <c r="C22628" s="11" t="s">
        <v>586</v>
      </c>
    </row>
    <row r="22629" spans="1:4" ht="25.5" customHeight="1" x14ac:dyDescent="0.2">
      <c r="B22629" s="11" t="s">
        <v>2600</v>
      </c>
      <c r="C22629" s="11" t="s">
        <v>6307</v>
      </c>
    </row>
    <row r="22630" spans="1:4" ht="25.5" customHeight="1" x14ac:dyDescent="0.2">
      <c r="B22630" s="11" t="s">
        <v>2601</v>
      </c>
      <c r="C22630" s="11"/>
    </row>
    <row r="22631" spans="1:4" ht="12.75" customHeight="1" x14ac:dyDescent="0.2">
      <c r="B22631" s="11" t="s">
        <v>16</v>
      </c>
      <c r="C22631" s="11"/>
    </row>
    <row r="22632" spans="1:4" ht="12.75" customHeight="1" x14ac:dyDescent="0.2">
      <c r="B22632" s="11" t="s">
        <v>13</v>
      </c>
      <c r="C22632" s="11" t="s">
        <v>2644</v>
      </c>
    </row>
    <row r="22633" spans="1:4" ht="12.75" customHeight="1" x14ac:dyDescent="0.2">
      <c r="B22633" s="11" t="s">
        <v>2603</v>
      </c>
      <c r="C22633" s="11" t="s">
        <v>2604</v>
      </c>
    </row>
    <row r="22634" spans="1:4" ht="12.75" customHeight="1" x14ac:dyDescent="0.2">
      <c r="B22634" s="11" t="s">
        <v>2605</v>
      </c>
      <c r="C22634" s="11" t="s">
        <v>14</v>
      </c>
    </row>
    <row r="22635" spans="1:4" ht="12.75" customHeight="1" x14ac:dyDescent="0.2">
      <c r="B22635" s="11" t="s">
        <v>2606</v>
      </c>
      <c r="C22635" s="16" t="s">
        <v>232</v>
      </c>
      <c r="D22635" s="6" t="str">
        <f>HYPERLINK("javascript:void(0)","kincs")</f>
        <v>kincs</v>
      </c>
    </row>
    <row r="22636" spans="1:4" ht="12.75" customHeight="1" x14ac:dyDescent="0.2">
      <c r="B22636" s="2"/>
      <c r="C22636" s="15"/>
      <c r="D22636" s="2"/>
    </row>
    <row r="22637" spans="1:4" ht="12.75" customHeight="1" x14ac:dyDescent="0.2">
      <c r="B22637" s="2"/>
      <c r="C22637" s="15"/>
      <c r="D22637" s="2"/>
    </row>
    <row r="22638" spans="1:4" ht="12.75" customHeight="1" x14ac:dyDescent="0.2">
      <c r="A22638" s="13" t="s">
        <v>6308</v>
      </c>
      <c r="C22638" s="12"/>
    </row>
    <row r="22639" spans="1:4" ht="12.75" customHeight="1" x14ac:dyDescent="0.2">
      <c r="A22639" s="11"/>
      <c r="B22639" s="2"/>
      <c r="C22639" s="15"/>
      <c r="D22639" s="2"/>
    </row>
    <row r="22640" spans="1:4" ht="12.75" customHeight="1" x14ac:dyDescent="0.2">
      <c r="B22640" s="11" t="s">
        <v>0</v>
      </c>
      <c r="C22640" s="11" t="s">
        <v>1284</v>
      </c>
    </row>
    <row r="22641" spans="1:4" ht="12.75" customHeight="1" x14ac:dyDescent="0.2">
      <c r="B22641" s="11" t="s">
        <v>2599</v>
      </c>
      <c r="C22641" s="11" t="s">
        <v>6309</v>
      </c>
    </row>
    <row r="22642" spans="1:4" ht="25.5" customHeight="1" x14ac:dyDescent="0.2">
      <c r="B22642" s="11" t="s">
        <v>2600</v>
      </c>
      <c r="C22642" s="11" t="s">
        <v>6310</v>
      </c>
    </row>
    <row r="22643" spans="1:4" ht="25.5" customHeight="1" x14ac:dyDescent="0.2">
      <c r="B22643" s="11" t="s">
        <v>2601</v>
      </c>
      <c r="C22643" s="11"/>
    </row>
    <row r="22644" spans="1:4" ht="12.75" customHeight="1" x14ac:dyDescent="0.2">
      <c r="B22644" s="11" t="s">
        <v>16</v>
      </c>
      <c r="C22644" s="11"/>
    </row>
    <row r="22645" spans="1:4" ht="12.75" customHeight="1" x14ac:dyDescent="0.2">
      <c r="B22645" s="11" t="s">
        <v>13</v>
      </c>
      <c r="C22645" s="11" t="s">
        <v>2644</v>
      </c>
    </row>
    <row r="22646" spans="1:4" ht="12.75" customHeight="1" x14ac:dyDescent="0.2">
      <c r="B22646" s="11" t="s">
        <v>2603</v>
      </c>
      <c r="C22646" s="11" t="s">
        <v>2604</v>
      </c>
    </row>
    <row r="22647" spans="1:4" ht="12.75" customHeight="1" x14ac:dyDescent="0.2">
      <c r="B22647" s="11" t="s">
        <v>2605</v>
      </c>
      <c r="C22647" s="11" t="s">
        <v>24</v>
      </c>
    </row>
    <row r="22648" spans="1:4" ht="25.5" customHeight="1" x14ac:dyDescent="0.2">
      <c r="B22648" s="11" t="s">
        <v>2606</v>
      </c>
      <c r="C22648" s="16" t="s">
        <v>56</v>
      </c>
      <c r="D22648" s="6" t="str">
        <f>HYPERLINK("javascript:void(0)","lélegző sarokkő")</f>
        <v>lélegző sarokkő</v>
      </c>
    </row>
    <row r="22649" spans="1:4" ht="12.75" customHeight="1" x14ac:dyDescent="0.2">
      <c r="C22649" s="16" t="s">
        <v>44</v>
      </c>
      <c r="D22649" s="6" t="str">
        <f>HYPERLINK("javascript:void(0)","animátum")</f>
        <v>animátum</v>
      </c>
    </row>
    <row r="22650" spans="1:4" ht="12.75" customHeight="1" x14ac:dyDescent="0.2">
      <c r="B22650" s="2"/>
      <c r="C22650" s="15"/>
      <c r="D22650" s="2"/>
    </row>
    <row r="22651" spans="1:4" ht="12.75" customHeight="1" x14ac:dyDescent="0.2">
      <c r="B22651" s="2"/>
      <c r="C22651" s="15"/>
      <c r="D22651" s="2"/>
    </row>
    <row r="22652" spans="1:4" ht="12.75" customHeight="1" x14ac:dyDescent="0.2">
      <c r="A22652" s="13" t="s">
        <v>6311</v>
      </c>
      <c r="C22652" s="12"/>
    </row>
    <row r="22653" spans="1:4" ht="12.75" customHeight="1" x14ac:dyDescent="0.2">
      <c r="A22653" s="11"/>
      <c r="B22653" s="2"/>
      <c r="C22653" s="15"/>
      <c r="D22653" s="2"/>
    </row>
    <row r="22654" spans="1:4" ht="12.75" customHeight="1" x14ac:dyDescent="0.2">
      <c r="B22654" s="11" t="s">
        <v>0</v>
      </c>
      <c r="C22654" s="11" t="s">
        <v>1284</v>
      </c>
    </row>
    <row r="22655" spans="1:4" ht="12.75" customHeight="1" x14ac:dyDescent="0.2">
      <c r="B22655" s="11" t="s">
        <v>2599</v>
      </c>
      <c r="C22655" s="11" t="s">
        <v>2807</v>
      </c>
    </row>
    <row r="22656" spans="1:4" ht="25.5" customHeight="1" x14ac:dyDescent="0.2">
      <c r="B22656" s="11" t="s">
        <v>2600</v>
      </c>
      <c r="C22656" s="11" t="s">
        <v>6312</v>
      </c>
    </row>
    <row r="22657" spans="1:4" ht="25.5" customHeight="1" x14ac:dyDescent="0.2">
      <c r="B22657" s="11" t="s">
        <v>2601</v>
      </c>
      <c r="C22657" s="11"/>
    </row>
    <row r="22658" spans="1:4" ht="12.75" customHeight="1" x14ac:dyDescent="0.2">
      <c r="B22658" s="11" t="s">
        <v>16</v>
      </c>
      <c r="C22658" s="11"/>
    </row>
    <row r="22659" spans="1:4" ht="12.75" customHeight="1" x14ac:dyDescent="0.2">
      <c r="B22659" s="11" t="s">
        <v>13</v>
      </c>
      <c r="C22659" s="11" t="s">
        <v>2602</v>
      </c>
    </row>
    <row r="22660" spans="1:4" ht="12.75" customHeight="1" x14ac:dyDescent="0.2">
      <c r="B22660" s="11" t="s">
        <v>2603</v>
      </c>
      <c r="C22660" s="11" t="s">
        <v>2604</v>
      </c>
    </row>
    <row r="22661" spans="1:4" ht="12.75" customHeight="1" x14ac:dyDescent="0.2">
      <c r="B22661" s="11" t="s">
        <v>2605</v>
      </c>
      <c r="C22661" s="11" t="s">
        <v>24</v>
      </c>
    </row>
    <row r="22662" spans="1:4" ht="12.75" customHeight="1" x14ac:dyDescent="0.2">
      <c r="B22662" s="11" t="s">
        <v>2606</v>
      </c>
      <c r="C22662" s="16" t="s">
        <v>57</v>
      </c>
      <c r="D22662" s="6" t="str">
        <f>HYPERLINK("javascript:void(0)","tűzige")</f>
        <v>tűzige</v>
      </c>
    </row>
    <row r="22663" spans="1:4" ht="12.75" customHeight="1" x14ac:dyDescent="0.2">
      <c r="C22663" s="16" t="s">
        <v>56</v>
      </c>
      <c r="D22663" s="6" t="str">
        <f>HYPERLINK("javascript:void(0)","földige")</f>
        <v>földige</v>
      </c>
    </row>
    <row r="22664" spans="1:4" ht="12.75" customHeight="1" x14ac:dyDescent="0.2">
      <c r="C22664" s="16" t="s">
        <v>44</v>
      </c>
      <c r="D22664" s="6" t="str">
        <f>HYPERLINK("javascript:void(0)","rémkép")</f>
        <v>rémkép</v>
      </c>
    </row>
    <row r="22665" spans="1:4" ht="12.75" customHeight="1" x14ac:dyDescent="0.2">
      <c r="B22665" s="2"/>
      <c r="C22665" s="15"/>
      <c r="D22665" s="2"/>
    </row>
    <row r="22666" spans="1:4" ht="12.75" customHeight="1" x14ac:dyDescent="0.2">
      <c r="B22666" s="2"/>
      <c r="C22666" s="15"/>
      <c r="D22666" s="2"/>
    </row>
    <row r="22667" spans="1:4" ht="12.75" customHeight="1" x14ac:dyDescent="0.2">
      <c r="A22667" s="13" t="s">
        <v>6313</v>
      </c>
      <c r="C22667" s="12"/>
    </row>
    <row r="22668" spans="1:4" ht="12.75" customHeight="1" x14ac:dyDescent="0.2">
      <c r="A22668" s="11"/>
      <c r="B22668" s="2"/>
      <c r="C22668" s="15"/>
      <c r="D22668" s="2"/>
    </row>
    <row r="22669" spans="1:4" ht="12.75" customHeight="1" x14ac:dyDescent="0.2">
      <c r="B22669" s="11" t="s">
        <v>0</v>
      </c>
      <c r="C22669" s="11" t="s">
        <v>1284</v>
      </c>
    </row>
    <row r="22670" spans="1:4" ht="12.75" customHeight="1" x14ac:dyDescent="0.2">
      <c r="B22670" s="11" t="s">
        <v>2599</v>
      </c>
      <c r="C22670" s="11" t="s">
        <v>6314</v>
      </c>
    </row>
    <row r="22671" spans="1:4" ht="25.5" customHeight="1" x14ac:dyDescent="0.2">
      <c r="B22671" s="11" t="s">
        <v>2600</v>
      </c>
      <c r="C22671" s="11" t="s">
        <v>6315</v>
      </c>
    </row>
    <row r="22672" spans="1:4" ht="25.5" customHeight="1" x14ac:dyDescent="0.2">
      <c r="B22672" s="11" t="s">
        <v>2601</v>
      </c>
      <c r="C22672" s="11"/>
    </row>
    <row r="22673" spans="1:4" ht="12.75" customHeight="1" x14ac:dyDescent="0.2">
      <c r="B22673" s="11" t="s">
        <v>16</v>
      </c>
      <c r="C22673" s="11"/>
    </row>
    <row r="22674" spans="1:4" ht="12.75" customHeight="1" x14ac:dyDescent="0.2">
      <c r="B22674" s="11" t="s">
        <v>13</v>
      </c>
      <c r="C22674" s="11" t="s">
        <v>2602</v>
      </c>
    </row>
    <row r="22675" spans="1:4" ht="12.75" customHeight="1" x14ac:dyDescent="0.2">
      <c r="B22675" s="11" t="s">
        <v>2603</v>
      </c>
      <c r="C22675" s="11" t="s">
        <v>2604</v>
      </c>
    </row>
    <row r="22676" spans="1:4" ht="12.75" customHeight="1" x14ac:dyDescent="0.2">
      <c r="B22676" s="11" t="s">
        <v>2605</v>
      </c>
      <c r="C22676" s="11" t="s">
        <v>24</v>
      </c>
    </row>
    <row r="22677" spans="1:4" ht="12.75" customHeight="1" x14ac:dyDescent="0.2">
      <c r="B22677" s="11" t="s">
        <v>2606</v>
      </c>
      <c r="C22677" s="16" t="s">
        <v>44</v>
      </c>
      <c r="D22677" s="6" t="str">
        <f>HYPERLINK("javascript:void(0)","őrjöngés")</f>
        <v>őrjöngés</v>
      </c>
    </row>
    <row r="22678" spans="1:4" ht="12.75" customHeight="1" x14ac:dyDescent="0.2">
      <c r="B22678" s="2"/>
      <c r="C22678" s="15"/>
      <c r="D22678" s="2"/>
    </row>
    <row r="22679" spans="1:4" ht="12.75" customHeight="1" x14ac:dyDescent="0.2">
      <c r="B22679" s="2"/>
      <c r="C22679" s="15"/>
      <c r="D22679" s="2"/>
    </row>
    <row r="22680" spans="1:4" ht="12.75" customHeight="1" x14ac:dyDescent="0.2">
      <c r="A22680" s="13" t="s">
        <v>6316</v>
      </c>
      <c r="C22680" s="12"/>
    </row>
    <row r="22681" spans="1:4" ht="12.75" customHeight="1" x14ac:dyDescent="0.2">
      <c r="A22681" s="11"/>
      <c r="B22681" s="2"/>
      <c r="C22681" s="15"/>
      <c r="D22681" s="2"/>
    </row>
    <row r="22682" spans="1:4" ht="12.75" customHeight="1" x14ac:dyDescent="0.2">
      <c r="B22682" s="11" t="s">
        <v>0</v>
      </c>
      <c r="C22682" s="11" t="s">
        <v>1284</v>
      </c>
    </row>
    <row r="22683" spans="1:4" ht="12.75" customHeight="1" x14ac:dyDescent="0.2">
      <c r="B22683" s="11" t="s">
        <v>2599</v>
      </c>
      <c r="C22683" s="11" t="s">
        <v>2824</v>
      </c>
    </row>
    <row r="22684" spans="1:4" ht="25.5" customHeight="1" x14ac:dyDescent="0.2">
      <c r="B22684" s="11" t="s">
        <v>2600</v>
      </c>
      <c r="C22684" s="11" t="s">
        <v>6317</v>
      </c>
    </row>
    <row r="22685" spans="1:4" ht="25.5" customHeight="1" x14ac:dyDescent="0.2">
      <c r="B22685" s="11" t="s">
        <v>2601</v>
      </c>
      <c r="C22685" s="11"/>
    </row>
    <row r="22686" spans="1:4" ht="12.75" customHeight="1" x14ac:dyDescent="0.2">
      <c r="B22686" s="11" t="s">
        <v>16</v>
      </c>
      <c r="C22686" s="11"/>
    </row>
    <row r="22687" spans="1:4" ht="12.75" customHeight="1" x14ac:dyDescent="0.2">
      <c r="B22687" s="11" t="s">
        <v>13</v>
      </c>
      <c r="C22687" s="11" t="s">
        <v>2644</v>
      </c>
    </row>
    <row r="22688" spans="1:4" ht="12.75" customHeight="1" x14ac:dyDescent="0.2">
      <c r="B22688" s="11" t="s">
        <v>2603</v>
      </c>
      <c r="C22688" s="11" t="s">
        <v>2604</v>
      </c>
    </row>
    <row r="22689" spans="1:4" ht="12.75" customHeight="1" x14ac:dyDescent="0.2">
      <c r="B22689" s="11" t="s">
        <v>2605</v>
      </c>
      <c r="C22689" s="11" t="s">
        <v>24</v>
      </c>
    </row>
    <row r="22690" spans="1:4" ht="12.75" customHeight="1" x14ac:dyDescent="0.2">
      <c r="B22690" s="11" t="s">
        <v>2606</v>
      </c>
      <c r="C22690" s="16" t="s">
        <v>44</v>
      </c>
      <c r="D22690" s="6" t="str">
        <f>HYPERLINK("javascript:void(0)","szőrpenge")</f>
        <v>szőrpenge</v>
      </c>
    </row>
    <row r="22691" spans="1:4" ht="12.75" customHeight="1" x14ac:dyDescent="0.2">
      <c r="B22691" s="2"/>
      <c r="C22691" s="15"/>
      <c r="D22691" s="2"/>
    </row>
    <row r="22692" spans="1:4" ht="12.75" customHeight="1" x14ac:dyDescent="0.2">
      <c r="B22692" s="2"/>
      <c r="C22692" s="15"/>
      <c r="D22692" s="2"/>
    </row>
    <row r="22693" spans="1:4" ht="12.75" customHeight="1" x14ac:dyDescent="0.2">
      <c r="A22693" s="13" t="s">
        <v>6318</v>
      </c>
      <c r="C22693" s="12"/>
    </row>
    <row r="22694" spans="1:4" ht="12.75" customHeight="1" x14ac:dyDescent="0.2">
      <c r="A22694" s="11"/>
      <c r="B22694" s="2"/>
      <c r="C22694" s="15"/>
      <c r="D22694" s="2"/>
    </row>
    <row r="22695" spans="1:4" ht="12.75" customHeight="1" x14ac:dyDescent="0.2">
      <c r="B22695" s="11" t="s">
        <v>0</v>
      </c>
      <c r="C22695" s="11" t="s">
        <v>1284</v>
      </c>
    </row>
    <row r="22696" spans="1:4" ht="12.75" customHeight="1" x14ac:dyDescent="0.2">
      <c r="B22696" s="11" t="s">
        <v>2599</v>
      </c>
      <c r="C22696" s="11" t="s">
        <v>6320</v>
      </c>
    </row>
    <row r="22697" spans="1:4" ht="25.5" customHeight="1" x14ac:dyDescent="0.2">
      <c r="B22697" s="11" t="s">
        <v>2600</v>
      </c>
      <c r="C22697" s="11" t="s">
        <v>6321</v>
      </c>
    </row>
    <row r="22698" spans="1:4" ht="25.5" customHeight="1" x14ac:dyDescent="0.2">
      <c r="B22698" s="11" t="s">
        <v>2601</v>
      </c>
      <c r="C22698" s="11"/>
    </row>
    <row r="22699" spans="1:4" ht="12.75" customHeight="1" x14ac:dyDescent="0.2">
      <c r="B22699" s="11" t="s">
        <v>16</v>
      </c>
      <c r="C22699" s="11"/>
    </row>
    <row r="22700" spans="1:4" ht="12.75" customHeight="1" x14ac:dyDescent="0.2">
      <c r="B22700" s="11" t="s">
        <v>13</v>
      </c>
      <c r="C22700" s="11" t="s">
        <v>2644</v>
      </c>
    </row>
    <row r="22701" spans="1:4" ht="12.75" customHeight="1" x14ac:dyDescent="0.2">
      <c r="B22701" s="11" t="s">
        <v>2603</v>
      </c>
      <c r="C22701" s="11" t="s">
        <v>2604</v>
      </c>
    </row>
    <row r="22702" spans="1:4" ht="12.75" customHeight="1" x14ac:dyDescent="0.2">
      <c r="B22702" s="11" t="s">
        <v>2605</v>
      </c>
      <c r="C22702" s="11" t="s">
        <v>14</v>
      </c>
    </row>
    <row r="22703" spans="1:4" ht="12.75" customHeight="1" x14ac:dyDescent="0.2">
      <c r="B22703" s="11" t="s">
        <v>2606</v>
      </c>
      <c r="C22703" s="16" t="s">
        <v>44</v>
      </c>
      <c r="D22703" s="6" t="str">
        <f>HYPERLINK("javascript:void(0)","ércragacs")</f>
        <v>ércragacs</v>
      </c>
    </row>
    <row r="22704" spans="1:4" ht="12.75" customHeight="1" x14ac:dyDescent="0.2">
      <c r="C22704" s="16" t="s">
        <v>44</v>
      </c>
      <c r="D22704" s="6" t="str">
        <f>HYPERLINK("javascript:void(0)","ércrozsda")</f>
        <v>ércrozsda</v>
      </c>
    </row>
    <row r="22705" spans="1:4" ht="12.75" customHeight="1" x14ac:dyDescent="0.2">
      <c r="B22705" s="2"/>
      <c r="C22705" s="15"/>
      <c r="D22705" s="2"/>
    </row>
    <row r="22706" spans="1:4" ht="12.75" customHeight="1" x14ac:dyDescent="0.2">
      <c r="B22706" s="2"/>
      <c r="C22706" s="15"/>
      <c r="D22706" s="2"/>
    </row>
    <row r="22707" spans="1:4" ht="12.75" customHeight="1" x14ac:dyDescent="0.2">
      <c r="A22707" s="13" t="s">
        <v>6248</v>
      </c>
      <c r="C22707" s="12"/>
      <c r="D22707" s="2"/>
    </row>
    <row r="22708" spans="1:4" ht="12.75" customHeight="1" x14ac:dyDescent="0.2">
      <c r="A22708" s="11"/>
      <c r="B22708" s="2"/>
      <c r="C22708" s="15"/>
      <c r="D22708" s="2"/>
    </row>
    <row r="22709" spans="1:4" ht="12.75" customHeight="1" x14ac:dyDescent="0.2">
      <c r="B22709" s="11" t="s">
        <v>0</v>
      </c>
      <c r="C22709" s="17" t="s">
        <v>1284</v>
      </c>
      <c r="D22709" s="2"/>
    </row>
    <row r="22710" spans="1:4" ht="12.75" customHeight="1" x14ac:dyDescent="0.2">
      <c r="B22710" s="11" t="s">
        <v>2599</v>
      </c>
      <c r="C22710" s="17" t="s">
        <v>6249</v>
      </c>
      <c r="D22710" s="2"/>
    </row>
    <row r="22711" spans="1:4" ht="25.5" customHeight="1" x14ac:dyDescent="0.2">
      <c r="B22711" s="11" t="s">
        <v>2600</v>
      </c>
      <c r="C22711" s="17" t="s">
        <v>6322</v>
      </c>
      <c r="D22711" s="2"/>
    </row>
    <row r="22712" spans="1:4" ht="25.5" customHeight="1" x14ac:dyDescent="0.2">
      <c r="B22712" s="11" t="s">
        <v>2601</v>
      </c>
      <c r="C22712" s="17"/>
      <c r="D22712" s="2"/>
    </row>
    <row r="22713" spans="1:4" ht="12.75" customHeight="1" x14ac:dyDescent="0.2">
      <c r="B22713" s="11" t="s">
        <v>16</v>
      </c>
      <c r="C22713" s="17"/>
      <c r="D22713" s="2"/>
    </row>
    <row r="22714" spans="1:4" ht="12.75" customHeight="1" x14ac:dyDescent="0.2">
      <c r="B22714" s="11" t="s">
        <v>13</v>
      </c>
      <c r="C22714" s="17" t="s">
        <v>2602</v>
      </c>
      <c r="D22714" s="2"/>
    </row>
    <row r="22715" spans="1:4" ht="25.5" customHeight="1" x14ac:dyDescent="0.2">
      <c r="B22715" s="11" t="s">
        <v>2603</v>
      </c>
      <c r="C22715" s="17" t="s">
        <v>2971</v>
      </c>
      <c r="D22715" s="2"/>
    </row>
    <row r="22716" spans="1:4" ht="12.75" customHeight="1" x14ac:dyDescent="0.2">
      <c r="B22716" s="11" t="s">
        <v>2605</v>
      </c>
      <c r="C22716" s="17" t="s">
        <v>14</v>
      </c>
      <c r="D22716" s="2"/>
    </row>
    <row r="22717" spans="1:4" ht="12.75" customHeight="1" x14ac:dyDescent="0.2">
      <c r="B22717" s="11" t="s">
        <v>2606</v>
      </c>
      <c r="C22717" s="16" t="s">
        <v>19</v>
      </c>
      <c r="D22717" s="2"/>
    </row>
    <row r="22718" spans="1:4" ht="12.75" customHeight="1" x14ac:dyDescent="0.2">
      <c r="B22718" s="2"/>
      <c r="C22718" s="15"/>
      <c r="D22718" s="2"/>
    </row>
    <row r="22719" spans="1:4" ht="12.75" customHeight="1" x14ac:dyDescent="0.2">
      <c r="B22719" s="2"/>
      <c r="C22719" s="15"/>
      <c r="D22719" s="2"/>
    </row>
    <row r="22720" spans="1:4" ht="12.75" customHeight="1" x14ac:dyDescent="0.2">
      <c r="A22720" s="13" t="s">
        <v>6224</v>
      </c>
      <c r="C22720" s="12"/>
      <c r="D22720" s="2"/>
    </row>
    <row r="22721" spans="1:4" ht="12.75" customHeight="1" x14ac:dyDescent="0.2">
      <c r="A22721" s="11"/>
      <c r="B22721" s="2"/>
      <c r="C22721" s="15"/>
      <c r="D22721" s="2"/>
    </row>
    <row r="22722" spans="1:4" ht="12.75" customHeight="1" x14ac:dyDescent="0.2">
      <c r="B22722" s="11" t="s">
        <v>0</v>
      </c>
      <c r="C22722" s="17" t="s">
        <v>1294</v>
      </c>
      <c r="D22722" s="2"/>
    </row>
    <row r="22723" spans="1:4" ht="12.75" customHeight="1" x14ac:dyDescent="0.2">
      <c r="B22723" s="11" t="s">
        <v>2599</v>
      </c>
      <c r="C22723" s="17" t="s">
        <v>6225</v>
      </c>
      <c r="D22723" s="2"/>
    </row>
    <row r="22724" spans="1:4" ht="25.5" customHeight="1" x14ac:dyDescent="0.2">
      <c r="B22724" s="11" t="s">
        <v>2600</v>
      </c>
      <c r="C22724" s="17" t="s">
        <v>6323</v>
      </c>
      <c r="D22724" s="2"/>
    </row>
    <row r="22725" spans="1:4" ht="25.5" customHeight="1" x14ac:dyDescent="0.2">
      <c r="B22725" s="11" t="s">
        <v>2601</v>
      </c>
      <c r="C22725" s="17"/>
      <c r="D22725" s="2"/>
    </row>
    <row r="22726" spans="1:4" ht="12.75" customHeight="1" x14ac:dyDescent="0.2">
      <c r="B22726" s="11" t="s">
        <v>16</v>
      </c>
      <c r="C22726" s="17"/>
      <c r="D22726" s="2"/>
    </row>
    <row r="22727" spans="1:4" ht="12.75" customHeight="1" x14ac:dyDescent="0.2">
      <c r="B22727" s="11" t="s">
        <v>13</v>
      </c>
      <c r="C22727" s="17" t="s">
        <v>2602</v>
      </c>
      <c r="D22727" s="2"/>
    </row>
    <row r="22728" spans="1:4" ht="25.5" customHeight="1" x14ac:dyDescent="0.2">
      <c r="B22728" s="11" t="s">
        <v>2603</v>
      </c>
      <c r="C22728" s="17" t="s">
        <v>2971</v>
      </c>
      <c r="D22728" s="2"/>
    </row>
    <row r="22729" spans="1:4" ht="12.75" customHeight="1" x14ac:dyDescent="0.2">
      <c r="B22729" s="11" t="s">
        <v>2605</v>
      </c>
      <c r="C22729" s="17" t="s">
        <v>14</v>
      </c>
      <c r="D22729" s="2"/>
    </row>
    <row r="22730" spans="1:4" ht="12.75" customHeight="1" x14ac:dyDescent="0.2">
      <c r="B22730" s="11" t="s">
        <v>2606</v>
      </c>
      <c r="C22730" s="16" t="s">
        <v>19</v>
      </c>
      <c r="D22730" s="2"/>
    </row>
    <row r="22731" spans="1:4" ht="12.75" customHeight="1" x14ac:dyDescent="0.2">
      <c r="B22731" s="2"/>
      <c r="C22731" s="15"/>
      <c r="D22731" s="2"/>
    </row>
    <row r="22732" spans="1:4" ht="12.75" customHeight="1" x14ac:dyDescent="0.2">
      <c r="B22732" s="2"/>
      <c r="C22732" s="15"/>
      <c r="D22732" s="2"/>
    </row>
    <row r="22733" spans="1:4" ht="12.75" customHeight="1" x14ac:dyDescent="0.2">
      <c r="A22733" s="13" t="s">
        <v>6227</v>
      </c>
      <c r="C22733" s="12"/>
      <c r="D22733" s="2"/>
    </row>
    <row r="22734" spans="1:4" ht="12.75" customHeight="1" x14ac:dyDescent="0.2">
      <c r="A22734" s="11"/>
      <c r="B22734" s="2"/>
      <c r="C22734" s="15"/>
      <c r="D22734" s="2"/>
    </row>
    <row r="22735" spans="1:4" ht="12.75" customHeight="1" x14ac:dyDescent="0.2">
      <c r="B22735" s="11" t="s">
        <v>0</v>
      </c>
      <c r="C22735" s="17" t="s">
        <v>1294</v>
      </c>
      <c r="D22735" s="2"/>
    </row>
    <row r="22736" spans="1:4" ht="12.75" customHeight="1" x14ac:dyDescent="0.2">
      <c r="B22736" s="11" t="s">
        <v>2599</v>
      </c>
      <c r="C22736" s="17" t="s">
        <v>5569</v>
      </c>
      <c r="D22736" s="2"/>
    </row>
    <row r="22737" spans="1:4" ht="25.5" customHeight="1" x14ac:dyDescent="0.2">
      <c r="B22737" s="11" t="s">
        <v>2600</v>
      </c>
      <c r="C22737" s="17" t="s">
        <v>6324</v>
      </c>
      <c r="D22737" s="2"/>
    </row>
    <row r="22738" spans="1:4" ht="25.5" customHeight="1" x14ac:dyDescent="0.2">
      <c r="B22738" s="11" t="s">
        <v>2601</v>
      </c>
      <c r="C22738" s="17"/>
      <c r="D22738" s="2"/>
    </row>
    <row r="22739" spans="1:4" ht="12.75" customHeight="1" x14ac:dyDescent="0.2">
      <c r="B22739" s="11" t="s">
        <v>16</v>
      </c>
      <c r="C22739" s="17"/>
      <c r="D22739" s="2"/>
    </row>
    <row r="22740" spans="1:4" ht="12.75" customHeight="1" x14ac:dyDescent="0.2">
      <c r="B22740" s="11" t="s">
        <v>13</v>
      </c>
      <c r="C22740" s="17" t="s">
        <v>2644</v>
      </c>
      <c r="D22740" s="2"/>
    </row>
    <row r="22741" spans="1:4" ht="25.5" customHeight="1" x14ac:dyDescent="0.2">
      <c r="B22741" s="11" t="s">
        <v>2603</v>
      </c>
      <c r="C22741" s="17" t="s">
        <v>2971</v>
      </c>
      <c r="D22741" s="2"/>
    </row>
    <row r="22742" spans="1:4" ht="12.75" customHeight="1" x14ac:dyDescent="0.2">
      <c r="B22742" s="11" t="s">
        <v>2605</v>
      </c>
      <c r="C22742" s="17" t="s">
        <v>14</v>
      </c>
      <c r="D22742" s="2"/>
    </row>
    <row r="22743" spans="1:4" ht="12.75" customHeight="1" x14ac:dyDescent="0.2">
      <c r="B22743" s="11" t="s">
        <v>2606</v>
      </c>
      <c r="C22743" s="16" t="s">
        <v>19</v>
      </c>
      <c r="D22743" s="2"/>
    </row>
    <row r="22744" spans="1:4" ht="12.75" customHeight="1" x14ac:dyDescent="0.2">
      <c r="B22744" s="2"/>
      <c r="C22744" s="15"/>
      <c r="D22744" s="2"/>
    </row>
    <row r="22745" spans="1:4" ht="12.75" customHeight="1" x14ac:dyDescent="0.2">
      <c r="B22745" s="2"/>
      <c r="C22745" s="15"/>
      <c r="D22745" s="2"/>
    </row>
    <row r="22746" spans="1:4" ht="12.75" customHeight="1" x14ac:dyDescent="0.2">
      <c r="A22746" s="13" t="s">
        <v>6229</v>
      </c>
      <c r="C22746" s="12"/>
      <c r="D22746" s="2"/>
    </row>
    <row r="22747" spans="1:4" ht="12.75" customHeight="1" x14ac:dyDescent="0.2">
      <c r="A22747" s="11"/>
      <c r="B22747" s="2"/>
      <c r="C22747" s="15"/>
      <c r="D22747" s="2"/>
    </row>
    <row r="22748" spans="1:4" ht="12.75" customHeight="1" x14ac:dyDescent="0.2">
      <c r="B22748" s="11" t="s">
        <v>0</v>
      </c>
      <c r="C22748" s="17" t="s">
        <v>1294</v>
      </c>
      <c r="D22748" s="2"/>
    </row>
    <row r="22749" spans="1:4" ht="12.75" customHeight="1" x14ac:dyDescent="0.2">
      <c r="B22749" s="11" t="s">
        <v>2599</v>
      </c>
      <c r="C22749" s="17" t="s">
        <v>6230</v>
      </c>
      <c r="D22749" s="2"/>
    </row>
    <row r="22750" spans="1:4" ht="25.5" customHeight="1" x14ac:dyDescent="0.2">
      <c r="B22750" s="11" t="s">
        <v>2600</v>
      </c>
      <c r="C22750" s="17" t="s">
        <v>6325</v>
      </c>
      <c r="D22750" s="2"/>
    </row>
    <row r="22751" spans="1:4" ht="25.5" customHeight="1" x14ac:dyDescent="0.2">
      <c r="B22751" s="11" t="s">
        <v>2601</v>
      </c>
      <c r="C22751" s="17"/>
      <c r="D22751" s="2"/>
    </row>
    <row r="22752" spans="1:4" ht="12.75" customHeight="1" x14ac:dyDescent="0.2">
      <c r="B22752" s="11" t="s">
        <v>16</v>
      </c>
      <c r="C22752" s="17"/>
      <c r="D22752" s="2"/>
    </row>
    <row r="22753" spans="1:4" ht="12.75" customHeight="1" x14ac:dyDescent="0.2">
      <c r="B22753" s="11" t="s">
        <v>13</v>
      </c>
      <c r="C22753" s="17" t="s">
        <v>2644</v>
      </c>
      <c r="D22753" s="2"/>
    </row>
    <row r="22754" spans="1:4" ht="25.5" customHeight="1" x14ac:dyDescent="0.2">
      <c r="B22754" s="11" t="s">
        <v>2603</v>
      </c>
      <c r="C22754" s="17" t="s">
        <v>2971</v>
      </c>
      <c r="D22754" s="2"/>
    </row>
    <row r="22755" spans="1:4" ht="12.75" customHeight="1" x14ac:dyDescent="0.2">
      <c r="B22755" s="11" t="s">
        <v>2605</v>
      </c>
      <c r="C22755" s="17" t="s">
        <v>14</v>
      </c>
      <c r="D22755" s="2"/>
    </row>
    <row r="22756" spans="1:4" ht="12.75" customHeight="1" x14ac:dyDescent="0.2">
      <c r="B22756" s="11" t="s">
        <v>2606</v>
      </c>
      <c r="C22756" s="16" t="s">
        <v>19</v>
      </c>
      <c r="D22756" s="2"/>
    </row>
    <row r="22757" spans="1:4" ht="12.75" customHeight="1" x14ac:dyDescent="0.2">
      <c r="B22757" s="2"/>
      <c r="C22757" s="15"/>
      <c r="D22757" s="2"/>
    </row>
    <row r="22758" spans="1:4" ht="12.75" customHeight="1" x14ac:dyDescent="0.2">
      <c r="B22758" s="2"/>
      <c r="C22758" s="15"/>
      <c r="D22758" s="2"/>
    </row>
    <row r="22759" spans="1:4" ht="12.75" customHeight="1" x14ac:dyDescent="0.2">
      <c r="A22759" s="13" t="s">
        <v>6326</v>
      </c>
      <c r="C22759" s="12"/>
    </row>
    <row r="22760" spans="1:4" ht="12.75" customHeight="1" x14ac:dyDescent="0.2">
      <c r="A22760" s="11"/>
      <c r="B22760" s="2"/>
      <c r="C22760" s="15"/>
      <c r="D22760" s="2"/>
    </row>
    <row r="22761" spans="1:4" ht="12.75" customHeight="1" x14ac:dyDescent="0.2">
      <c r="B22761" s="11" t="s">
        <v>0</v>
      </c>
      <c r="C22761" s="11" t="s">
        <v>1294</v>
      </c>
    </row>
    <row r="22762" spans="1:4" ht="12.75" customHeight="1" x14ac:dyDescent="0.2">
      <c r="B22762" s="11" t="s">
        <v>2599</v>
      </c>
      <c r="C22762" s="11" t="s">
        <v>6327</v>
      </c>
    </row>
    <row r="22763" spans="1:4" ht="25.5" customHeight="1" x14ac:dyDescent="0.2">
      <c r="B22763" s="11" t="s">
        <v>2600</v>
      </c>
      <c r="C22763" s="11" t="s">
        <v>6328</v>
      </c>
    </row>
    <row r="22764" spans="1:4" ht="25.5" customHeight="1" x14ac:dyDescent="0.2">
      <c r="B22764" s="11" t="s">
        <v>2601</v>
      </c>
      <c r="C22764" s="11"/>
    </row>
    <row r="22765" spans="1:4" ht="12.75" customHeight="1" x14ac:dyDescent="0.2">
      <c r="B22765" s="11" t="s">
        <v>16</v>
      </c>
      <c r="C22765" s="11"/>
    </row>
    <row r="22766" spans="1:4" ht="12.75" customHeight="1" x14ac:dyDescent="0.2">
      <c r="B22766" s="11" t="s">
        <v>13</v>
      </c>
      <c r="C22766" s="11" t="s">
        <v>2602</v>
      </c>
    </row>
    <row r="22767" spans="1:4" ht="12.75" customHeight="1" x14ac:dyDescent="0.2">
      <c r="B22767" s="11" t="s">
        <v>2603</v>
      </c>
      <c r="C22767" s="11" t="s">
        <v>2604</v>
      </c>
    </row>
    <row r="22768" spans="1:4" ht="12.75" customHeight="1" x14ac:dyDescent="0.2">
      <c r="B22768" s="11" t="s">
        <v>2605</v>
      </c>
      <c r="C22768" s="11" t="s">
        <v>14</v>
      </c>
    </row>
    <row r="22769" spans="1:4" ht="12.75" customHeight="1" x14ac:dyDescent="0.2">
      <c r="B22769" s="11" t="s">
        <v>2606</v>
      </c>
      <c r="C22769" s="16" t="s">
        <v>232</v>
      </c>
      <c r="D22769" s="6" t="str">
        <f>HYPERLINK("javascript:void(0)","kincs")</f>
        <v>kincs</v>
      </c>
    </row>
    <row r="22770" spans="1:4" ht="12.75" customHeight="1" x14ac:dyDescent="0.2">
      <c r="B22770" s="2"/>
      <c r="C22770" s="15"/>
      <c r="D22770" s="2"/>
    </row>
    <row r="22771" spans="1:4" ht="12.75" customHeight="1" x14ac:dyDescent="0.2">
      <c r="B22771" s="2"/>
      <c r="C22771" s="15"/>
      <c r="D22771" s="2"/>
    </row>
    <row r="22772" spans="1:4" ht="12.75" customHeight="1" x14ac:dyDescent="0.2">
      <c r="A22772" s="13" t="s">
        <v>6330</v>
      </c>
      <c r="C22772" s="12"/>
    </row>
    <row r="22773" spans="1:4" ht="12.75" customHeight="1" x14ac:dyDescent="0.2">
      <c r="A22773" s="11"/>
      <c r="B22773" s="2"/>
      <c r="C22773" s="15"/>
      <c r="D22773" s="2"/>
    </row>
    <row r="22774" spans="1:4" ht="12.75" customHeight="1" x14ac:dyDescent="0.2">
      <c r="B22774" s="11" t="s">
        <v>0</v>
      </c>
      <c r="C22774" s="11" t="s">
        <v>1294</v>
      </c>
    </row>
    <row r="22775" spans="1:4" ht="12.75" customHeight="1" x14ac:dyDescent="0.2">
      <c r="B22775" s="11" t="s">
        <v>2599</v>
      </c>
      <c r="C22775" s="11" t="s">
        <v>6331</v>
      </c>
    </row>
    <row r="22776" spans="1:4" ht="25.5" customHeight="1" x14ac:dyDescent="0.2">
      <c r="B22776" s="11" t="s">
        <v>2600</v>
      </c>
      <c r="C22776" s="11" t="s">
        <v>6332</v>
      </c>
    </row>
    <row r="22777" spans="1:4" ht="25.5" customHeight="1" x14ac:dyDescent="0.2">
      <c r="B22777" s="11" t="s">
        <v>2601</v>
      </c>
      <c r="C22777" s="11"/>
    </row>
    <row r="22778" spans="1:4" ht="12.75" customHeight="1" x14ac:dyDescent="0.2">
      <c r="B22778" s="11" t="s">
        <v>16</v>
      </c>
      <c r="C22778" s="11"/>
    </row>
    <row r="22779" spans="1:4" ht="12.75" customHeight="1" x14ac:dyDescent="0.2">
      <c r="B22779" s="11" t="s">
        <v>13</v>
      </c>
      <c r="C22779" s="11" t="s">
        <v>2602</v>
      </c>
    </row>
    <row r="22780" spans="1:4" ht="12.75" customHeight="1" x14ac:dyDescent="0.2">
      <c r="B22780" s="11" t="s">
        <v>2603</v>
      </c>
      <c r="C22780" s="11" t="s">
        <v>2604</v>
      </c>
    </row>
    <row r="22781" spans="1:4" ht="12.75" customHeight="1" x14ac:dyDescent="0.2">
      <c r="B22781" s="11" t="s">
        <v>2605</v>
      </c>
      <c r="C22781" s="11" t="s">
        <v>14</v>
      </c>
    </row>
    <row r="22782" spans="1:4" ht="12.75" customHeight="1" x14ac:dyDescent="0.2">
      <c r="B22782" s="11" t="s">
        <v>2606</v>
      </c>
      <c r="C22782" s="16" t="s">
        <v>44</v>
      </c>
      <c r="D22782" s="6" t="str">
        <f>HYPERLINK("javascript:void(0)","csatapata")</f>
        <v>csatapata</v>
      </c>
    </row>
    <row r="22783" spans="1:4" ht="12.75" customHeight="1" x14ac:dyDescent="0.2">
      <c r="B22783" s="2"/>
      <c r="C22783" s="15"/>
      <c r="D22783" s="2"/>
    </row>
    <row r="22784" spans="1:4" ht="12.75" customHeight="1" x14ac:dyDescent="0.2">
      <c r="B22784" s="2"/>
      <c r="C22784" s="15"/>
      <c r="D22784" s="2"/>
    </row>
    <row r="22785" spans="1:4" ht="12.75" customHeight="1" x14ac:dyDescent="0.2">
      <c r="A22785" s="13" t="s">
        <v>6333</v>
      </c>
      <c r="C22785" s="12"/>
    </row>
    <row r="22786" spans="1:4" ht="12.75" customHeight="1" x14ac:dyDescent="0.2">
      <c r="A22786" s="11"/>
      <c r="B22786" s="2"/>
      <c r="C22786" s="15"/>
      <c r="D22786" s="2"/>
    </row>
    <row r="22787" spans="1:4" ht="12.75" customHeight="1" x14ac:dyDescent="0.2">
      <c r="B22787" s="11" t="s">
        <v>0</v>
      </c>
      <c r="C22787" s="11" t="s">
        <v>1294</v>
      </c>
    </row>
    <row r="22788" spans="1:4" ht="12.75" customHeight="1" x14ac:dyDescent="0.2">
      <c r="B22788" s="11" t="s">
        <v>2599</v>
      </c>
      <c r="C22788" s="11" t="s">
        <v>6334</v>
      </c>
    </row>
    <row r="22789" spans="1:4" ht="25.5" customHeight="1" x14ac:dyDescent="0.2">
      <c r="B22789" s="11" t="s">
        <v>2600</v>
      </c>
      <c r="C22789" s="11" t="s">
        <v>6335</v>
      </c>
    </row>
    <row r="22790" spans="1:4" ht="25.5" customHeight="1" x14ac:dyDescent="0.2">
      <c r="B22790" s="11" t="s">
        <v>2601</v>
      </c>
      <c r="C22790" s="11"/>
    </row>
    <row r="22791" spans="1:4" ht="12.75" customHeight="1" x14ac:dyDescent="0.2">
      <c r="B22791" s="11" t="s">
        <v>16</v>
      </c>
      <c r="C22791" s="11"/>
    </row>
    <row r="22792" spans="1:4" ht="12.75" customHeight="1" x14ac:dyDescent="0.2">
      <c r="B22792" s="11" t="s">
        <v>13</v>
      </c>
      <c r="C22792" s="11" t="s">
        <v>2644</v>
      </c>
    </row>
    <row r="22793" spans="1:4" ht="12.75" customHeight="1" x14ac:dyDescent="0.2">
      <c r="B22793" s="11" t="s">
        <v>2603</v>
      </c>
      <c r="C22793" s="11" t="s">
        <v>2604</v>
      </c>
    </row>
    <row r="22794" spans="1:4" ht="12.75" customHeight="1" x14ac:dyDescent="0.2">
      <c r="B22794" s="11" t="s">
        <v>2605</v>
      </c>
      <c r="C22794" s="11" t="s">
        <v>14</v>
      </c>
    </row>
    <row r="22795" spans="1:4" ht="12.75" customHeight="1" x14ac:dyDescent="0.2">
      <c r="B22795" s="11" t="s">
        <v>2606</v>
      </c>
      <c r="C22795" s="16" t="s">
        <v>77</v>
      </c>
      <c r="D22795" s="6" t="str">
        <f>HYPERLINK("javascript:void(0)","kincs")</f>
        <v>kincs</v>
      </c>
    </row>
    <row r="22796" spans="1:4" ht="12.75" customHeight="1" x14ac:dyDescent="0.2">
      <c r="B22796" s="2"/>
      <c r="C22796" s="15"/>
      <c r="D22796" s="2"/>
    </row>
    <row r="22797" spans="1:4" ht="12.75" customHeight="1" x14ac:dyDescent="0.2">
      <c r="B22797" s="2"/>
      <c r="C22797" s="15"/>
      <c r="D22797" s="2"/>
    </row>
    <row r="22798" spans="1:4" ht="12.75" customHeight="1" x14ac:dyDescent="0.2">
      <c r="A22798" s="13" t="s">
        <v>6336</v>
      </c>
      <c r="C22798" s="12"/>
    </row>
    <row r="22799" spans="1:4" ht="12.75" customHeight="1" x14ac:dyDescent="0.2">
      <c r="A22799" s="11"/>
      <c r="B22799" s="2"/>
      <c r="C22799" s="15"/>
      <c r="D22799" s="2"/>
    </row>
    <row r="22800" spans="1:4" ht="12.75" customHeight="1" x14ac:dyDescent="0.2">
      <c r="B22800" s="11" t="s">
        <v>0</v>
      </c>
      <c r="C22800" s="11" t="s">
        <v>1294</v>
      </c>
    </row>
    <row r="22801" spans="1:4" ht="12.75" customHeight="1" x14ac:dyDescent="0.2">
      <c r="B22801" s="11" t="s">
        <v>2599</v>
      </c>
      <c r="C22801" s="11" t="s">
        <v>6337</v>
      </c>
    </row>
    <row r="22802" spans="1:4" ht="25.5" customHeight="1" x14ac:dyDescent="0.2">
      <c r="B22802" s="11" t="s">
        <v>2600</v>
      </c>
      <c r="C22802" s="11" t="s">
        <v>6338</v>
      </c>
    </row>
    <row r="22803" spans="1:4" ht="25.5" customHeight="1" x14ac:dyDescent="0.2">
      <c r="B22803" s="11" t="s">
        <v>2601</v>
      </c>
      <c r="C22803" s="11"/>
    </row>
    <row r="22804" spans="1:4" ht="12.75" customHeight="1" x14ac:dyDescent="0.2">
      <c r="B22804" s="11" t="s">
        <v>16</v>
      </c>
      <c r="C22804" s="11"/>
    </row>
    <row r="22805" spans="1:4" ht="12.75" customHeight="1" x14ac:dyDescent="0.2">
      <c r="B22805" s="11" t="s">
        <v>13</v>
      </c>
      <c r="C22805" s="11" t="s">
        <v>2602</v>
      </c>
    </row>
    <row r="22806" spans="1:4" ht="12.75" customHeight="1" x14ac:dyDescent="0.2">
      <c r="B22806" s="11" t="s">
        <v>2603</v>
      </c>
      <c r="C22806" s="11" t="s">
        <v>2604</v>
      </c>
    </row>
    <row r="22807" spans="1:4" ht="12.75" customHeight="1" x14ac:dyDescent="0.2">
      <c r="B22807" s="11" t="s">
        <v>2605</v>
      </c>
      <c r="C22807" s="11" t="s">
        <v>14</v>
      </c>
    </row>
    <row r="22808" spans="1:4" ht="12.75" customHeight="1" x14ac:dyDescent="0.2">
      <c r="B22808" s="11" t="s">
        <v>2606</v>
      </c>
      <c r="C22808" s="16" t="s">
        <v>44</v>
      </c>
      <c r="D22808" s="6" t="str">
        <f>HYPERLINK("javascript:void(0)","szaloncukor")</f>
        <v>szaloncukor</v>
      </c>
    </row>
    <row r="22809" spans="1:4" ht="12.75" customHeight="1" x14ac:dyDescent="0.2">
      <c r="C22809" s="16" t="s">
        <v>56</v>
      </c>
      <c r="D22809" s="6" t="str">
        <f>HYPERLINK("javascript:void(0)","hullahó")</f>
        <v>hullahó</v>
      </c>
    </row>
    <row r="22810" spans="1:4" ht="12.75" customHeight="1" x14ac:dyDescent="0.2">
      <c r="B22810" s="2"/>
      <c r="C22810" s="15"/>
      <c r="D22810" s="2"/>
    </row>
    <row r="22811" spans="1:4" ht="12.75" customHeight="1" x14ac:dyDescent="0.2">
      <c r="B22811" s="2"/>
      <c r="C22811" s="15"/>
      <c r="D22811" s="2"/>
    </row>
    <row r="22812" spans="1:4" ht="12.75" customHeight="1" x14ac:dyDescent="0.2">
      <c r="A22812" s="13" t="s">
        <v>6339</v>
      </c>
      <c r="C22812" s="12"/>
    </row>
    <row r="22813" spans="1:4" ht="12.75" customHeight="1" x14ac:dyDescent="0.2">
      <c r="A22813" s="11"/>
      <c r="B22813" s="2"/>
      <c r="C22813" s="15"/>
      <c r="D22813" s="2"/>
    </row>
    <row r="22814" spans="1:4" ht="12.75" customHeight="1" x14ac:dyDescent="0.2">
      <c r="B22814" s="11" t="s">
        <v>0</v>
      </c>
      <c r="C22814" s="11" t="s">
        <v>1294</v>
      </c>
    </row>
    <row r="22815" spans="1:4" ht="12.75" customHeight="1" x14ac:dyDescent="0.2">
      <c r="B22815" s="11" t="s">
        <v>2599</v>
      </c>
      <c r="C22815" s="11" t="s">
        <v>175</v>
      </c>
    </row>
    <row r="22816" spans="1:4" ht="25.5" customHeight="1" x14ac:dyDescent="0.2">
      <c r="B22816" s="11" t="s">
        <v>2600</v>
      </c>
      <c r="C22816" s="11" t="s">
        <v>6340</v>
      </c>
    </row>
    <row r="22817" spans="1:4" ht="25.5" customHeight="1" x14ac:dyDescent="0.2">
      <c r="B22817" s="11" t="s">
        <v>2601</v>
      </c>
      <c r="C22817" s="11"/>
    </row>
    <row r="22818" spans="1:4" ht="12.75" customHeight="1" x14ac:dyDescent="0.2">
      <c r="B22818" s="11" t="s">
        <v>16</v>
      </c>
      <c r="C22818" s="11"/>
    </row>
    <row r="22819" spans="1:4" ht="12.75" customHeight="1" x14ac:dyDescent="0.2">
      <c r="B22819" s="11" t="s">
        <v>13</v>
      </c>
      <c r="C22819" s="11" t="s">
        <v>2602</v>
      </c>
    </row>
    <row r="22820" spans="1:4" ht="12.75" customHeight="1" x14ac:dyDescent="0.2">
      <c r="B22820" s="11" t="s">
        <v>2603</v>
      </c>
      <c r="C22820" s="11" t="s">
        <v>2604</v>
      </c>
    </row>
    <row r="22821" spans="1:4" ht="12.75" customHeight="1" x14ac:dyDescent="0.2">
      <c r="B22821" s="11" t="s">
        <v>2605</v>
      </c>
      <c r="C22821" s="11" t="s">
        <v>24</v>
      </c>
    </row>
    <row r="22822" spans="1:4" ht="12.75" customHeight="1" x14ac:dyDescent="0.2">
      <c r="B22822" s="11" t="s">
        <v>2606</v>
      </c>
      <c r="C22822" s="16" t="s">
        <v>44</v>
      </c>
      <c r="D22822" s="6" t="str">
        <f>HYPERLINK("javascript:void(0)","hódprizma")</f>
        <v>hódprizma</v>
      </c>
    </row>
    <row r="22823" spans="1:4" ht="12.75" customHeight="1" x14ac:dyDescent="0.2">
      <c r="B22823" s="2"/>
      <c r="C22823" s="15"/>
      <c r="D22823" s="2"/>
    </row>
    <row r="22824" spans="1:4" ht="12.75" customHeight="1" x14ac:dyDescent="0.2">
      <c r="B22824" s="2"/>
      <c r="C22824" s="15"/>
      <c r="D22824" s="2"/>
    </row>
    <row r="22825" spans="1:4" ht="12.75" customHeight="1" x14ac:dyDescent="0.2">
      <c r="A22825" s="13" t="s">
        <v>6341</v>
      </c>
      <c r="C22825" s="12"/>
    </row>
    <row r="22826" spans="1:4" ht="12.75" customHeight="1" x14ac:dyDescent="0.2">
      <c r="A22826" s="11"/>
      <c r="B22826" s="2"/>
      <c r="C22826" s="15"/>
      <c r="D22826" s="2"/>
    </row>
    <row r="22827" spans="1:4" ht="12.75" customHeight="1" x14ac:dyDescent="0.2">
      <c r="B22827" s="11" t="s">
        <v>0</v>
      </c>
      <c r="C22827" s="11" t="s">
        <v>1294</v>
      </c>
    </row>
    <row r="22828" spans="1:4" ht="12.75" customHeight="1" x14ac:dyDescent="0.2">
      <c r="B22828" s="11" t="s">
        <v>2599</v>
      </c>
      <c r="C22828" s="11" t="s">
        <v>6342</v>
      </c>
    </row>
    <row r="22829" spans="1:4" ht="25.5" customHeight="1" x14ac:dyDescent="0.2">
      <c r="B22829" s="11" t="s">
        <v>2600</v>
      </c>
      <c r="C22829" s="11" t="s">
        <v>6343</v>
      </c>
    </row>
    <row r="22830" spans="1:4" ht="25.5" customHeight="1" x14ac:dyDescent="0.2">
      <c r="B22830" s="11" t="s">
        <v>2601</v>
      </c>
      <c r="C22830" s="11"/>
    </row>
    <row r="22831" spans="1:4" ht="12.75" customHeight="1" x14ac:dyDescent="0.2">
      <c r="B22831" s="11" t="s">
        <v>16</v>
      </c>
      <c r="C22831" s="11"/>
    </row>
    <row r="22832" spans="1:4" ht="12.75" customHeight="1" x14ac:dyDescent="0.2">
      <c r="B22832" s="11" t="s">
        <v>13</v>
      </c>
      <c r="C22832" s="11" t="s">
        <v>2602</v>
      </c>
    </row>
    <row r="22833" spans="1:4" ht="12.75" customHeight="1" x14ac:dyDescent="0.2">
      <c r="B22833" s="11" t="s">
        <v>2603</v>
      </c>
      <c r="C22833" s="11" t="s">
        <v>2604</v>
      </c>
    </row>
    <row r="22834" spans="1:4" ht="12.75" customHeight="1" x14ac:dyDescent="0.2">
      <c r="B22834" s="11" t="s">
        <v>2605</v>
      </c>
      <c r="C22834" s="11" t="s">
        <v>24</v>
      </c>
    </row>
    <row r="22835" spans="1:4" ht="12.75" customHeight="1" x14ac:dyDescent="0.2">
      <c r="B22835" s="11" t="s">
        <v>2606</v>
      </c>
      <c r="C22835" s="16" t="s">
        <v>57</v>
      </c>
      <c r="D22835" s="6" t="str">
        <f>HYPERLINK("javascript:void(0)","vízige")</f>
        <v>vízige</v>
      </c>
    </row>
    <row r="22836" spans="1:4" ht="12.75" customHeight="1" x14ac:dyDescent="0.2">
      <c r="C22836" s="16" t="s">
        <v>56</v>
      </c>
      <c r="D22836" s="6" t="str">
        <f>HYPERLINK("javascript:void(0)","földige")</f>
        <v>földige</v>
      </c>
    </row>
    <row r="22837" spans="1:4" ht="12.75" customHeight="1" x14ac:dyDescent="0.2">
      <c r="C22837" s="16" t="s">
        <v>44</v>
      </c>
      <c r="D22837" s="6" t="str">
        <f>HYPERLINK("javascript:void(0)","rémkép")</f>
        <v>rémkép</v>
      </c>
    </row>
    <row r="22838" spans="1:4" ht="12.75" customHeight="1" x14ac:dyDescent="0.2">
      <c r="B22838" s="2"/>
      <c r="C22838" s="15"/>
      <c r="D22838" s="2"/>
    </row>
    <row r="22839" spans="1:4" ht="12.75" customHeight="1" x14ac:dyDescent="0.2">
      <c r="B22839" s="2"/>
      <c r="C22839" s="15"/>
      <c r="D22839" s="2"/>
    </row>
    <row r="22840" spans="1:4" ht="12.75" customHeight="1" x14ac:dyDescent="0.2">
      <c r="A22840" s="13" t="s">
        <v>6344</v>
      </c>
      <c r="C22840" s="12"/>
    </row>
    <row r="22841" spans="1:4" ht="12.75" customHeight="1" x14ac:dyDescent="0.2">
      <c r="A22841" s="11"/>
      <c r="B22841" s="2"/>
      <c r="C22841" s="15"/>
      <c r="D22841" s="2"/>
    </row>
    <row r="22842" spans="1:4" ht="12.75" customHeight="1" x14ac:dyDescent="0.2">
      <c r="B22842" s="11" t="s">
        <v>0</v>
      </c>
      <c r="C22842" s="11" t="s">
        <v>1294</v>
      </c>
    </row>
    <row r="22843" spans="1:4" ht="12.75" customHeight="1" x14ac:dyDescent="0.2">
      <c r="B22843" s="11" t="s">
        <v>2599</v>
      </c>
      <c r="C22843" s="11" t="s">
        <v>534</v>
      </c>
    </row>
    <row r="22844" spans="1:4" ht="25.5" customHeight="1" x14ac:dyDescent="0.2">
      <c r="B22844" s="11" t="s">
        <v>2600</v>
      </c>
      <c r="C22844" s="11" t="s">
        <v>6345</v>
      </c>
    </row>
    <row r="22845" spans="1:4" ht="25.5" customHeight="1" x14ac:dyDescent="0.2">
      <c r="B22845" s="11" t="s">
        <v>2601</v>
      </c>
      <c r="C22845" s="11"/>
    </row>
    <row r="22846" spans="1:4" ht="12.75" customHeight="1" x14ac:dyDescent="0.2">
      <c r="B22846" s="11" t="s">
        <v>16</v>
      </c>
      <c r="C22846" s="11"/>
    </row>
    <row r="22847" spans="1:4" ht="12.75" customHeight="1" x14ac:dyDescent="0.2">
      <c r="B22847" s="11" t="s">
        <v>13</v>
      </c>
      <c r="C22847" s="11" t="s">
        <v>2644</v>
      </c>
    </row>
    <row r="22848" spans="1:4" ht="12.75" customHeight="1" x14ac:dyDescent="0.2">
      <c r="B22848" s="11" t="s">
        <v>2603</v>
      </c>
      <c r="C22848" s="11" t="s">
        <v>2604</v>
      </c>
    </row>
    <row r="22849" spans="1:4" ht="12.75" customHeight="1" x14ac:dyDescent="0.2">
      <c r="B22849" s="11" t="s">
        <v>2605</v>
      </c>
      <c r="C22849" s="11" t="s">
        <v>24</v>
      </c>
    </row>
    <row r="22850" spans="1:4" ht="12.75" customHeight="1" x14ac:dyDescent="0.2">
      <c r="B22850" s="11" t="s">
        <v>2606</v>
      </c>
      <c r="C22850" s="16" t="s">
        <v>57</v>
      </c>
      <c r="D22850" s="6" t="str">
        <f>HYPERLINK("javascript:void(0)","térkép")</f>
        <v>térkép</v>
      </c>
    </row>
    <row r="22851" spans="1:4" ht="12.75" customHeight="1" x14ac:dyDescent="0.2">
      <c r="C22851" s="16" t="s">
        <v>57</v>
      </c>
      <c r="D22851" s="6" t="str">
        <f>HYPERLINK("javascript:void(0)","légzsák")</f>
        <v>légzsák</v>
      </c>
    </row>
    <row r="22852" spans="1:4" ht="12.75" customHeight="1" x14ac:dyDescent="0.2">
      <c r="C22852" s="16" t="s">
        <v>56</v>
      </c>
      <c r="D22852" s="6" t="str">
        <f>HYPERLINK("javascript:void(0)","kincs")</f>
        <v>kincs</v>
      </c>
    </row>
    <row r="22853" spans="1:4" ht="12.75" customHeight="1" x14ac:dyDescent="0.2">
      <c r="B22853" s="2"/>
      <c r="C22853" s="15"/>
      <c r="D22853" s="2"/>
    </row>
    <row r="22854" spans="1:4" ht="12.75" customHeight="1" x14ac:dyDescent="0.2">
      <c r="B22854" s="2"/>
      <c r="C22854" s="15"/>
      <c r="D22854" s="2"/>
    </row>
    <row r="22855" spans="1:4" ht="12.75" customHeight="1" x14ac:dyDescent="0.2">
      <c r="A22855" s="13" t="s">
        <v>6346</v>
      </c>
      <c r="C22855" s="12"/>
    </row>
    <row r="22856" spans="1:4" ht="12.75" customHeight="1" x14ac:dyDescent="0.2">
      <c r="A22856" s="11"/>
      <c r="B22856" s="2"/>
      <c r="C22856" s="15"/>
      <c r="D22856" s="2"/>
    </row>
    <row r="22857" spans="1:4" ht="12.75" customHeight="1" x14ac:dyDescent="0.2">
      <c r="B22857" s="11" t="s">
        <v>0</v>
      </c>
      <c r="C22857" s="11" t="s">
        <v>1294</v>
      </c>
    </row>
    <row r="22858" spans="1:4" ht="12.75" customHeight="1" x14ac:dyDescent="0.2">
      <c r="B22858" s="11" t="s">
        <v>2599</v>
      </c>
      <c r="C22858" s="11" t="s">
        <v>6347</v>
      </c>
    </row>
    <row r="22859" spans="1:4" ht="25.5" customHeight="1" x14ac:dyDescent="0.2">
      <c r="B22859" s="11" t="s">
        <v>2600</v>
      </c>
      <c r="C22859" s="11" t="s">
        <v>6348</v>
      </c>
    </row>
    <row r="22860" spans="1:4" ht="25.5" customHeight="1" x14ac:dyDescent="0.2">
      <c r="B22860" s="11" t="s">
        <v>2601</v>
      </c>
      <c r="C22860" s="11"/>
    </row>
    <row r="22861" spans="1:4" ht="12.75" customHeight="1" x14ac:dyDescent="0.2">
      <c r="B22861" s="11" t="s">
        <v>16</v>
      </c>
      <c r="C22861" s="11"/>
    </row>
    <row r="22862" spans="1:4" ht="12.75" customHeight="1" x14ac:dyDescent="0.2">
      <c r="B22862" s="11" t="s">
        <v>13</v>
      </c>
      <c r="C22862" s="11" t="s">
        <v>2644</v>
      </c>
    </row>
    <row r="22863" spans="1:4" ht="12.75" customHeight="1" x14ac:dyDescent="0.2">
      <c r="B22863" s="11" t="s">
        <v>2603</v>
      </c>
      <c r="C22863" s="11" t="s">
        <v>2604</v>
      </c>
    </row>
    <row r="22864" spans="1:4" ht="12.75" customHeight="1" x14ac:dyDescent="0.2">
      <c r="B22864" s="11" t="s">
        <v>2605</v>
      </c>
      <c r="C22864" s="11" t="s">
        <v>24</v>
      </c>
    </row>
    <row r="22865" spans="1:4" ht="12.75" customHeight="1" x14ac:dyDescent="0.2">
      <c r="B22865" s="11" t="s">
        <v>2606</v>
      </c>
      <c r="C22865" s="16" t="s">
        <v>44</v>
      </c>
      <c r="D22865" s="6" t="str">
        <f>HYPERLINK("javascript:void(0)","őrjöngés")</f>
        <v>őrjöngés</v>
      </c>
    </row>
    <row r="22866" spans="1:4" ht="12.75" customHeight="1" x14ac:dyDescent="0.2">
      <c r="B22866" s="2"/>
      <c r="C22866" s="15"/>
      <c r="D22866" s="2"/>
    </row>
    <row r="22867" spans="1:4" ht="12.75" customHeight="1" x14ac:dyDescent="0.2">
      <c r="B22867" s="2"/>
      <c r="C22867" s="15"/>
      <c r="D22867" s="2"/>
    </row>
    <row r="22868" spans="1:4" ht="12.75" customHeight="1" x14ac:dyDescent="0.2">
      <c r="A22868" s="13" t="s">
        <v>6248</v>
      </c>
      <c r="C22868" s="12"/>
      <c r="D22868" s="2"/>
    </row>
    <row r="22869" spans="1:4" ht="12.75" customHeight="1" x14ac:dyDescent="0.2">
      <c r="A22869" s="11"/>
      <c r="B22869" s="2"/>
      <c r="C22869" s="15"/>
      <c r="D22869" s="2"/>
    </row>
    <row r="22870" spans="1:4" ht="12.75" customHeight="1" x14ac:dyDescent="0.2">
      <c r="B22870" s="11" t="s">
        <v>0</v>
      </c>
      <c r="C22870" s="17" t="s">
        <v>1294</v>
      </c>
      <c r="D22870" s="2"/>
    </row>
    <row r="22871" spans="1:4" ht="12.75" customHeight="1" x14ac:dyDescent="0.2">
      <c r="B22871" s="11" t="s">
        <v>2599</v>
      </c>
      <c r="C22871" s="17" t="s">
        <v>6249</v>
      </c>
      <c r="D22871" s="2"/>
    </row>
    <row r="22872" spans="1:4" ht="25.5" customHeight="1" x14ac:dyDescent="0.2">
      <c r="B22872" s="11" t="s">
        <v>2600</v>
      </c>
      <c r="C22872" s="17" t="s">
        <v>6349</v>
      </c>
      <c r="D22872" s="2"/>
    </row>
    <row r="22873" spans="1:4" ht="25.5" customHeight="1" x14ac:dyDescent="0.2">
      <c r="B22873" s="11" t="s">
        <v>2601</v>
      </c>
      <c r="C22873" s="17"/>
      <c r="D22873" s="2"/>
    </row>
    <row r="22874" spans="1:4" ht="12.75" customHeight="1" x14ac:dyDescent="0.2">
      <c r="B22874" s="11" t="s">
        <v>16</v>
      </c>
      <c r="C22874" s="17"/>
      <c r="D22874" s="2"/>
    </row>
    <row r="22875" spans="1:4" ht="12.75" customHeight="1" x14ac:dyDescent="0.2">
      <c r="B22875" s="11" t="s">
        <v>13</v>
      </c>
      <c r="C22875" s="17" t="s">
        <v>2602</v>
      </c>
      <c r="D22875" s="2"/>
    </row>
    <row r="22876" spans="1:4" ht="25.5" customHeight="1" x14ac:dyDescent="0.2">
      <c r="B22876" s="11" t="s">
        <v>2603</v>
      </c>
      <c r="C22876" s="17" t="s">
        <v>2971</v>
      </c>
      <c r="D22876" s="2"/>
    </row>
    <row r="22877" spans="1:4" ht="12.75" customHeight="1" x14ac:dyDescent="0.2">
      <c r="B22877" s="11" t="s">
        <v>2605</v>
      </c>
      <c r="C22877" s="17" t="s">
        <v>14</v>
      </c>
      <c r="D22877" s="2"/>
    </row>
    <row r="22878" spans="1:4" ht="12.75" customHeight="1" x14ac:dyDescent="0.2">
      <c r="B22878" s="11" t="s">
        <v>2606</v>
      </c>
      <c r="C22878" s="16" t="s">
        <v>19</v>
      </c>
      <c r="D22878" s="2"/>
    </row>
    <row r="22879" spans="1:4" ht="12.75" customHeight="1" x14ac:dyDescent="0.2">
      <c r="B22879" s="2"/>
      <c r="C22879" s="15"/>
      <c r="D22879" s="2"/>
    </row>
    <row r="22880" spans="1:4" ht="12.75" customHeight="1" x14ac:dyDescent="0.2">
      <c r="B22880" s="2"/>
      <c r="C22880" s="15"/>
      <c r="D22880" s="2"/>
    </row>
    <row r="22881" spans="1:4" ht="12.75" customHeight="1" x14ac:dyDescent="0.2">
      <c r="A22881" s="13" t="s">
        <v>6351</v>
      </c>
      <c r="C22881" s="12"/>
      <c r="D22881" s="2"/>
    </row>
    <row r="22882" spans="1:4" ht="12.75" customHeight="1" x14ac:dyDescent="0.2">
      <c r="A22882" s="11"/>
      <c r="B22882" s="2"/>
      <c r="C22882" s="15"/>
      <c r="D22882" s="2"/>
    </row>
    <row r="22883" spans="1:4" ht="12.75" customHeight="1" x14ac:dyDescent="0.2">
      <c r="B22883" s="11" t="s">
        <v>0</v>
      </c>
      <c r="C22883" s="17" t="s">
        <v>242</v>
      </c>
      <c r="D22883" s="2"/>
    </row>
    <row r="22884" spans="1:4" ht="12.75" customHeight="1" x14ac:dyDescent="0.2">
      <c r="B22884" s="11" t="s">
        <v>2599</v>
      </c>
      <c r="C22884" s="17" t="s">
        <v>6352</v>
      </c>
      <c r="D22884" s="2"/>
    </row>
    <row r="22885" spans="1:4" ht="25.5" customHeight="1" x14ac:dyDescent="0.2">
      <c r="B22885" s="11" t="s">
        <v>2600</v>
      </c>
      <c r="C22885" s="17" t="s">
        <v>6353</v>
      </c>
      <c r="D22885" s="2"/>
    </row>
    <row r="22886" spans="1:4" ht="25.5" customHeight="1" x14ac:dyDescent="0.2">
      <c r="B22886" s="11" t="s">
        <v>2601</v>
      </c>
      <c r="C22886" s="17"/>
      <c r="D22886" s="2"/>
    </row>
    <row r="22887" spans="1:4" ht="12.75" customHeight="1" x14ac:dyDescent="0.2">
      <c r="B22887" s="11" t="s">
        <v>16</v>
      </c>
      <c r="C22887" s="17"/>
      <c r="D22887" s="2"/>
    </row>
    <row r="22888" spans="1:4" ht="12.75" customHeight="1" x14ac:dyDescent="0.2">
      <c r="B22888" s="11" t="s">
        <v>13</v>
      </c>
      <c r="C22888" s="17" t="s">
        <v>2644</v>
      </c>
      <c r="D22888" s="2"/>
    </row>
    <row r="22889" spans="1:4" ht="25.5" customHeight="1" x14ac:dyDescent="0.2">
      <c r="B22889" s="11" t="s">
        <v>2603</v>
      </c>
      <c r="C22889" s="17" t="s">
        <v>2971</v>
      </c>
      <c r="D22889" s="2"/>
    </row>
    <row r="22890" spans="1:4" ht="12.75" customHeight="1" x14ac:dyDescent="0.2">
      <c r="B22890" s="11" t="s">
        <v>2605</v>
      </c>
      <c r="C22890" s="17" t="s">
        <v>14</v>
      </c>
      <c r="D22890" s="2"/>
    </row>
    <row r="22891" spans="1:4" ht="12.75" customHeight="1" x14ac:dyDescent="0.2">
      <c r="B22891" s="11" t="s">
        <v>2606</v>
      </c>
      <c r="C22891" s="16" t="s">
        <v>19</v>
      </c>
      <c r="D22891" s="2"/>
    </row>
    <row r="22892" spans="1:4" ht="12.75" customHeight="1" x14ac:dyDescent="0.2">
      <c r="B22892" s="2"/>
      <c r="C22892" s="15"/>
      <c r="D22892" s="2"/>
    </row>
    <row r="22893" spans="1:4" ht="12.75" customHeight="1" x14ac:dyDescent="0.2">
      <c r="B22893" s="2"/>
      <c r="C22893" s="15"/>
      <c r="D22893" s="2"/>
    </row>
    <row r="22894" spans="1:4" ht="12.75" customHeight="1" x14ac:dyDescent="0.2">
      <c r="A22894" s="13" t="s">
        <v>6354</v>
      </c>
      <c r="C22894" s="12"/>
      <c r="D22894" s="2"/>
    </row>
    <row r="22895" spans="1:4" ht="12.75" customHeight="1" x14ac:dyDescent="0.2">
      <c r="A22895" s="11"/>
      <c r="B22895" s="2"/>
      <c r="C22895" s="15"/>
      <c r="D22895" s="2"/>
    </row>
    <row r="22896" spans="1:4" ht="12.75" customHeight="1" x14ac:dyDescent="0.2">
      <c r="B22896" s="11" t="s">
        <v>0</v>
      </c>
      <c r="C22896" s="17" t="s">
        <v>242</v>
      </c>
      <c r="D22896" s="2"/>
    </row>
    <row r="22897" spans="1:4" ht="12.75" customHeight="1" x14ac:dyDescent="0.2">
      <c r="B22897" s="11" t="s">
        <v>2599</v>
      </c>
      <c r="C22897" s="17" t="s">
        <v>6355</v>
      </c>
      <c r="D22897" s="2"/>
    </row>
    <row r="22898" spans="1:4" ht="25.5" customHeight="1" x14ac:dyDescent="0.2">
      <c r="B22898" s="11" t="s">
        <v>2600</v>
      </c>
      <c r="C22898" s="17" t="s">
        <v>6356</v>
      </c>
      <c r="D22898" s="2"/>
    </row>
    <row r="22899" spans="1:4" ht="25.5" customHeight="1" x14ac:dyDescent="0.2">
      <c r="B22899" s="11" t="s">
        <v>2601</v>
      </c>
      <c r="C22899" s="17"/>
      <c r="D22899" s="2"/>
    </row>
    <row r="22900" spans="1:4" ht="12.75" customHeight="1" x14ac:dyDescent="0.2">
      <c r="B22900" s="11" t="s">
        <v>16</v>
      </c>
      <c r="C22900" s="17"/>
      <c r="D22900" s="2"/>
    </row>
    <row r="22901" spans="1:4" ht="12.75" customHeight="1" x14ac:dyDescent="0.2">
      <c r="B22901" s="11" t="s">
        <v>13</v>
      </c>
      <c r="C22901" s="17" t="s">
        <v>2602</v>
      </c>
      <c r="D22901" s="2"/>
    </row>
    <row r="22902" spans="1:4" ht="25.5" customHeight="1" x14ac:dyDescent="0.2">
      <c r="B22902" s="11" t="s">
        <v>2603</v>
      </c>
      <c r="C22902" s="17" t="s">
        <v>2971</v>
      </c>
      <c r="D22902" s="2"/>
    </row>
    <row r="22903" spans="1:4" ht="12.75" customHeight="1" x14ac:dyDescent="0.2">
      <c r="B22903" s="11" t="s">
        <v>2605</v>
      </c>
      <c r="C22903" s="17" t="s">
        <v>14</v>
      </c>
      <c r="D22903" s="2"/>
    </row>
    <row r="22904" spans="1:4" ht="12.75" customHeight="1" x14ac:dyDescent="0.2">
      <c r="B22904" s="11" t="s">
        <v>2606</v>
      </c>
      <c r="C22904" s="16" t="s">
        <v>19</v>
      </c>
      <c r="D22904" s="2"/>
    </row>
    <row r="22905" spans="1:4" ht="12.75" customHeight="1" x14ac:dyDescent="0.2">
      <c r="B22905" s="2"/>
      <c r="C22905" s="15"/>
      <c r="D22905" s="2"/>
    </row>
    <row r="22906" spans="1:4" ht="12.75" customHeight="1" x14ac:dyDescent="0.2">
      <c r="B22906" s="2"/>
      <c r="C22906" s="15"/>
      <c r="D22906" s="2"/>
    </row>
    <row r="22907" spans="1:4" ht="12.75" customHeight="1" x14ac:dyDescent="0.2">
      <c r="A22907" s="13" t="s">
        <v>6357</v>
      </c>
      <c r="C22907" s="12"/>
      <c r="D22907" s="2"/>
    </row>
    <row r="22908" spans="1:4" ht="12.75" customHeight="1" x14ac:dyDescent="0.2">
      <c r="A22908" s="11"/>
      <c r="B22908" s="2"/>
      <c r="C22908" s="15"/>
      <c r="D22908" s="2"/>
    </row>
    <row r="22909" spans="1:4" ht="12.75" customHeight="1" x14ac:dyDescent="0.2">
      <c r="B22909" s="11" t="s">
        <v>0</v>
      </c>
      <c r="C22909" s="17" t="s">
        <v>242</v>
      </c>
      <c r="D22909" s="2"/>
    </row>
    <row r="22910" spans="1:4" ht="12.75" customHeight="1" x14ac:dyDescent="0.2">
      <c r="B22910" s="11" t="s">
        <v>2599</v>
      </c>
      <c r="C22910" s="17" t="s">
        <v>5597</v>
      </c>
      <c r="D22910" s="2"/>
    </row>
    <row r="22911" spans="1:4" ht="25.5" customHeight="1" x14ac:dyDescent="0.2">
      <c r="B22911" s="11" t="s">
        <v>2600</v>
      </c>
      <c r="C22911" s="17" t="s">
        <v>6358</v>
      </c>
      <c r="D22911" s="2"/>
    </row>
    <row r="22912" spans="1:4" ht="25.5" customHeight="1" x14ac:dyDescent="0.2">
      <c r="B22912" s="11" t="s">
        <v>2601</v>
      </c>
      <c r="C22912" s="17"/>
      <c r="D22912" s="2"/>
    </row>
    <row r="22913" spans="1:4" ht="12.75" customHeight="1" x14ac:dyDescent="0.2">
      <c r="B22913" s="11" t="s">
        <v>16</v>
      </c>
      <c r="C22913" s="17"/>
      <c r="D22913" s="2"/>
    </row>
    <row r="22914" spans="1:4" ht="12.75" customHeight="1" x14ac:dyDescent="0.2">
      <c r="B22914" s="11" t="s">
        <v>13</v>
      </c>
      <c r="C22914" s="17" t="s">
        <v>2644</v>
      </c>
      <c r="D22914" s="2"/>
    </row>
    <row r="22915" spans="1:4" ht="25.5" customHeight="1" x14ac:dyDescent="0.2">
      <c r="B22915" s="11" t="s">
        <v>2603</v>
      </c>
      <c r="C22915" s="17" t="s">
        <v>2971</v>
      </c>
      <c r="D22915" s="2"/>
    </row>
    <row r="22916" spans="1:4" ht="12.75" customHeight="1" x14ac:dyDescent="0.2">
      <c r="B22916" s="11" t="s">
        <v>2605</v>
      </c>
      <c r="C22916" s="17" t="s">
        <v>14</v>
      </c>
      <c r="D22916" s="2"/>
    </row>
    <row r="22917" spans="1:4" ht="12.75" customHeight="1" x14ac:dyDescent="0.2">
      <c r="B22917" s="11" t="s">
        <v>2606</v>
      </c>
      <c r="C22917" s="16" t="s">
        <v>19</v>
      </c>
      <c r="D22917" s="2"/>
    </row>
    <row r="22918" spans="1:4" ht="12.75" customHeight="1" x14ac:dyDescent="0.2">
      <c r="B22918" s="2"/>
      <c r="C22918" s="15"/>
      <c r="D22918" s="2"/>
    </row>
    <row r="22919" spans="1:4" ht="12.75" customHeight="1" x14ac:dyDescent="0.2">
      <c r="B22919" s="2"/>
      <c r="C22919" s="15"/>
      <c r="D22919" s="2"/>
    </row>
    <row r="22920" spans="1:4" ht="12.75" customHeight="1" x14ac:dyDescent="0.2">
      <c r="A22920" s="13" t="s">
        <v>6360</v>
      </c>
      <c r="C22920" s="12"/>
      <c r="D22920" s="2"/>
    </row>
    <row r="22921" spans="1:4" ht="12.75" customHeight="1" x14ac:dyDescent="0.2">
      <c r="A22921" s="11"/>
      <c r="B22921" s="2"/>
      <c r="C22921" s="15"/>
      <c r="D22921" s="2"/>
    </row>
    <row r="22922" spans="1:4" ht="12.75" customHeight="1" x14ac:dyDescent="0.2">
      <c r="B22922" s="11" t="s">
        <v>0</v>
      </c>
      <c r="C22922" s="17" t="s">
        <v>242</v>
      </c>
      <c r="D22922" s="2"/>
    </row>
    <row r="22923" spans="1:4" ht="12.75" customHeight="1" x14ac:dyDescent="0.2">
      <c r="B22923" s="11" t="s">
        <v>2599</v>
      </c>
      <c r="C22923" s="17" t="s">
        <v>6361</v>
      </c>
      <c r="D22923" s="2"/>
    </row>
    <row r="22924" spans="1:4" ht="25.5" customHeight="1" x14ac:dyDescent="0.2">
      <c r="B22924" s="11" t="s">
        <v>2600</v>
      </c>
      <c r="C22924" s="17" t="s">
        <v>6353</v>
      </c>
      <c r="D22924" s="2"/>
    </row>
    <row r="22925" spans="1:4" ht="25.5" customHeight="1" x14ac:dyDescent="0.2">
      <c r="B22925" s="11" t="s">
        <v>2601</v>
      </c>
      <c r="C22925" s="17"/>
      <c r="D22925" s="2"/>
    </row>
    <row r="22926" spans="1:4" ht="12.75" customHeight="1" x14ac:dyDescent="0.2">
      <c r="B22926" s="11" t="s">
        <v>16</v>
      </c>
      <c r="C22926" s="17"/>
      <c r="D22926" s="2"/>
    </row>
    <row r="22927" spans="1:4" ht="12.75" customHeight="1" x14ac:dyDescent="0.2">
      <c r="B22927" s="11" t="s">
        <v>13</v>
      </c>
      <c r="C22927" s="17" t="s">
        <v>2644</v>
      </c>
      <c r="D22927" s="2"/>
    </row>
    <row r="22928" spans="1:4" ht="25.5" customHeight="1" x14ac:dyDescent="0.2">
      <c r="B22928" s="11" t="s">
        <v>2603</v>
      </c>
      <c r="C22928" s="17" t="s">
        <v>2971</v>
      </c>
      <c r="D22928" s="2"/>
    </row>
    <row r="22929" spans="1:4" ht="12.75" customHeight="1" x14ac:dyDescent="0.2">
      <c r="B22929" s="11" t="s">
        <v>2605</v>
      </c>
      <c r="C22929" s="17" t="s">
        <v>14</v>
      </c>
      <c r="D22929" s="2"/>
    </row>
    <row r="22930" spans="1:4" ht="12.75" customHeight="1" x14ac:dyDescent="0.2">
      <c r="B22930" s="11" t="s">
        <v>2606</v>
      </c>
      <c r="C22930" s="16" t="s">
        <v>19</v>
      </c>
      <c r="D22930" s="2"/>
    </row>
    <row r="22931" spans="1:4" ht="12.75" customHeight="1" x14ac:dyDescent="0.2">
      <c r="B22931" s="2"/>
      <c r="C22931" s="15"/>
      <c r="D22931" s="2"/>
    </row>
    <row r="22932" spans="1:4" ht="12.75" customHeight="1" x14ac:dyDescent="0.2">
      <c r="B22932" s="2"/>
      <c r="C22932" s="15"/>
      <c r="D22932" s="2"/>
    </row>
    <row r="22933" spans="1:4" ht="12.75" customHeight="1" x14ac:dyDescent="0.2">
      <c r="A22933" s="13" t="s">
        <v>6362</v>
      </c>
      <c r="C22933" s="12"/>
    </row>
    <row r="22934" spans="1:4" ht="12.75" customHeight="1" x14ac:dyDescent="0.2">
      <c r="A22934" s="11"/>
      <c r="B22934" s="2"/>
      <c r="C22934" s="15"/>
      <c r="D22934" s="2"/>
    </row>
    <row r="22935" spans="1:4" ht="12.75" customHeight="1" x14ac:dyDescent="0.2">
      <c r="B22935" s="11" t="s">
        <v>0</v>
      </c>
      <c r="C22935" s="11" t="s">
        <v>242</v>
      </c>
    </row>
    <row r="22936" spans="1:4" ht="12.75" customHeight="1" x14ac:dyDescent="0.2">
      <c r="B22936" s="11" t="s">
        <v>2599</v>
      </c>
      <c r="C22936" s="11" t="s">
        <v>6363</v>
      </c>
    </row>
    <row r="22937" spans="1:4" ht="25.5" customHeight="1" x14ac:dyDescent="0.2">
      <c r="B22937" s="11" t="s">
        <v>2600</v>
      </c>
      <c r="C22937" s="11" t="s">
        <v>6364</v>
      </c>
    </row>
    <row r="22938" spans="1:4" ht="25.5" customHeight="1" x14ac:dyDescent="0.2">
      <c r="B22938" s="11" t="s">
        <v>2601</v>
      </c>
      <c r="C22938" s="11"/>
    </row>
    <row r="22939" spans="1:4" ht="12.75" customHeight="1" x14ac:dyDescent="0.2">
      <c r="B22939" s="11" t="s">
        <v>16</v>
      </c>
      <c r="C22939" s="11"/>
    </row>
    <row r="22940" spans="1:4" ht="12.75" customHeight="1" x14ac:dyDescent="0.2">
      <c r="B22940" s="11" t="s">
        <v>13</v>
      </c>
      <c r="C22940" s="11" t="s">
        <v>2644</v>
      </c>
    </row>
    <row r="22941" spans="1:4" ht="12.75" customHeight="1" x14ac:dyDescent="0.2">
      <c r="B22941" s="11" t="s">
        <v>2603</v>
      </c>
      <c r="C22941" s="11" t="s">
        <v>2604</v>
      </c>
    </row>
    <row r="22942" spans="1:4" ht="12.75" customHeight="1" x14ac:dyDescent="0.2">
      <c r="B22942" s="11" t="s">
        <v>2605</v>
      </c>
      <c r="C22942" s="11" t="s">
        <v>14</v>
      </c>
    </row>
    <row r="22943" spans="1:4" ht="12.75" customHeight="1" x14ac:dyDescent="0.2">
      <c r="B22943" s="11" t="s">
        <v>2606</v>
      </c>
      <c r="C22943" s="16" t="s">
        <v>6365</v>
      </c>
      <c r="D22943" s="6" t="str">
        <f>HYPERLINK("javascript:void(0)","ezüst")</f>
        <v>ezüst</v>
      </c>
    </row>
    <row r="22944" spans="1:4" ht="12.75" customHeight="1" x14ac:dyDescent="0.2">
      <c r="C22944" s="16" t="s">
        <v>44</v>
      </c>
      <c r="D22944" s="6" t="str">
        <f>HYPERLINK("javascript:void(0)","aqua dei")</f>
        <v>aqua dei</v>
      </c>
    </row>
    <row r="22945" spans="1:4" ht="12.75" customHeight="1" x14ac:dyDescent="0.2">
      <c r="B22945" s="2"/>
      <c r="C22945" s="15"/>
      <c r="D22945" s="2"/>
    </row>
    <row r="22946" spans="1:4" ht="12.75" customHeight="1" x14ac:dyDescent="0.2">
      <c r="B22946" s="2"/>
      <c r="C22946" s="15"/>
      <c r="D22946" s="2"/>
    </row>
    <row r="22947" spans="1:4" ht="12.75" customHeight="1" x14ac:dyDescent="0.2">
      <c r="A22947" s="13" t="s">
        <v>6366</v>
      </c>
      <c r="C22947" s="12"/>
    </row>
    <row r="22948" spans="1:4" ht="12.75" customHeight="1" x14ac:dyDescent="0.2">
      <c r="A22948" s="11"/>
      <c r="B22948" s="2"/>
      <c r="C22948" s="15"/>
      <c r="D22948" s="2"/>
    </row>
    <row r="22949" spans="1:4" ht="12.75" customHeight="1" x14ac:dyDescent="0.2">
      <c r="B22949" s="11" t="s">
        <v>0</v>
      </c>
      <c r="C22949" s="11" t="s">
        <v>242</v>
      </c>
    </row>
    <row r="22950" spans="1:4" ht="12.75" customHeight="1" x14ac:dyDescent="0.2">
      <c r="B22950" s="11" t="s">
        <v>2599</v>
      </c>
      <c r="C22950" s="11" t="s">
        <v>6367</v>
      </c>
    </row>
    <row r="22951" spans="1:4" ht="25.5" customHeight="1" x14ac:dyDescent="0.2">
      <c r="B22951" s="11" t="s">
        <v>2600</v>
      </c>
      <c r="C22951" s="11" t="s">
        <v>6368</v>
      </c>
    </row>
    <row r="22952" spans="1:4" ht="25.5" customHeight="1" x14ac:dyDescent="0.2">
      <c r="B22952" s="11" t="s">
        <v>2601</v>
      </c>
      <c r="C22952" s="11"/>
    </row>
    <row r="22953" spans="1:4" ht="12.75" customHeight="1" x14ac:dyDescent="0.2">
      <c r="B22953" s="11" t="s">
        <v>16</v>
      </c>
      <c r="C22953" s="11"/>
    </row>
    <row r="22954" spans="1:4" ht="12.75" customHeight="1" x14ac:dyDescent="0.2">
      <c r="B22954" s="11" t="s">
        <v>13</v>
      </c>
      <c r="C22954" s="11" t="s">
        <v>2602</v>
      </c>
    </row>
    <row r="22955" spans="1:4" ht="12.75" customHeight="1" x14ac:dyDescent="0.2">
      <c r="B22955" s="11" t="s">
        <v>2603</v>
      </c>
      <c r="C22955" s="11" t="s">
        <v>2604</v>
      </c>
    </row>
    <row r="22956" spans="1:4" ht="12.75" customHeight="1" x14ac:dyDescent="0.2">
      <c r="B22956" s="11" t="s">
        <v>2605</v>
      </c>
      <c r="C22956" s="11" t="s">
        <v>14</v>
      </c>
    </row>
    <row r="22957" spans="1:4" ht="12.75" customHeight="1" x14ac:dyDescent="0.2">
      <c r="B22957" s="11" t="s">
        <v>2606</v>
      </c>
      <c r="C22957" s="16" t="s">
        <v>55</v>
      </c>
      <c r="D22957" s="6" t="str">
        <f>HYPERLINK("javascript:void(0)","kincs")</f>
        <v>kincs</v>
      </c>
    </row>
    <row r="22958" spans="1:4" ht="12.75" customHeight="1" x14ac:dyDescent="0.2">
      <c r="B22958" s="2"/>
      <c r="C22958" s="15"/>
      <c r="D22958" s="2"/>
    </row>
    <row r="22959" spans="1:4" ht="12.75" customHeight="1" x14ac:dyDescent="0.2">
      <c r="B22959" s="2"/>
      <c r="C22959" s="15"/>
      <c r="D22959" s="2"/>
    </row>
    <row r="22960" spans="1:4" ht="12.75" customHeight="1" x14ac:dyDescent="0.2">
      <c r="A22960" s="13" t="s">
        <v>6369</v>
      </c>
      <c r="C22960" s="12"/>
    </row>
    <row r="22961" spans="1:4" ht="12.75" customHeight="1" x14ac:dyDescent="0.2">
      <c r="A22961" s="11"/>
      <c r="B22961" s="2"/>
      <c r="C22961" s="15"/>
      <c r="D22961" s="2"/>
    </row>
    <row r="22962" spans="1:4" ht="12.75" customHeight="1" x14ac:dyDescent="0.2">
      <c r="B22962" s="11" t="s">
        <v>0</v>
      </c>
      <c r="C22962" s="11" t="s">
        <v>242</v>
      </c>
    </row>
    <row r="22963" spans="1:4" ht="12.75" customHeight="1" x14ac:dyDescent="0.2">
      <c r="B22963" s="11" t="s">
        <v>2599</v>
      </c>
      <c r="C22963" s="11" t="s">
        <v>6370</v>
      </c>
    </row>
    <row r="22964" spans="1:4" ht="25.5" customHeight="1" x14ac:dyDescent="0.2">
      <c r="B22964" s="11" t="s">
        <v>2600</v>
      </c>
      <c r="C22964" s="11" t="s">
        <v>6372</v>
      </c>
    </row>
    <row r="22965" spans="1:4" ht="25.5" customHeight="1" x14ac:dyDescent="0.2">
      <c r="B22965" s="11" t="s">
        <v>2601</v>
      </c>
      <c r="C22965" s="11"/>
    </row>
    <row r="22966" spans="1:4" ht="12.75" customHeight="1" x14ac:dyDescent="0.2">
      <c r="B22966" s="11" t="s">
        <v>16</v>
      </c>
      <c r="C22966" s="11"/>
    </row>
    <row r="22967" spans="1:4" ht="12.75" customHeight="1" x14ac:dyDescent="0.2">
      <c r="B22967" s="11" t="s">
        <v>13</v>
      </c>
      <c r="C22967" s="11" t="s">
        <v>2602</v>
      </c>
    </row>
    <row r="22968" spans="1:4" ht="12.75" customHeight="1" x14ac:dyDescent="0.2">
      <c r="B22968" s="11" t="s">
        <v>2603</v>
      </c>
      <c r="C22968" s="11" t="s">
        <v>2604</v>
      </c>
    </row>
    <row r="22969" spans="1:4" ht="12.75" customHeight="1" x14ac:dyDescent="0.2">
      <c r="B22969" s="11" t="s">
        <v>2605</v>
      </c>
      <c r="C22969" s="11" t="s">
        <v>14</v>
      </c>
    </row>
    <row r="22970" spans="1:4" ht="12.75" customHeight="1" x14ac:dyDescent="0.2">
      <c r="B22970" s="11" t="s">
        <v>2606</v>
      </c>
      <c r="C22970" s="16" t="s">
        <v>331</v>
      </c>
      <c r="D22970" s="6" t="str">
        <f>HYPERLINK("javascript:void(0)","kincs")</f>
        <v>kincs</v>
      </c>
    </row>
    <row r="22971" spans="1:4" ht="12.75" customHeight="1" x14ac:dyDescent="0.2">
      <c r="B22971" s="2"/>
      <c r="C22971" s="15"/>
      <c r="D22971" s="2"/>
    </row>
    <row r="22972" spans="1:4" ht="12.75" customHeight="1" x14ac:dyDescent="0.2">
      <c r="B22972" s="2"/>
      <c r="C22972" s="15"/>
      <c r="D22972" s="2"/>
    </row>
    <row r="22973" spans="1:4" ht="12.75" customHeight="1" x14ac:dyDescent="0.2">
      <c r="A22973" s="13" t="s">
        <v>6373</v>
      </c>
      <c r="C22973" s="12"/>
    </row>
    <row r="22974" spans="1:4" ht="12.75" customHeight="1" x14ac:dyDescent="0.2">
      <c r="A22974" s="11"/>
      <c r="B22974" s="2"/>
      <c r="C22974" s="15"/>
      <c r="D22974" s="2"/>
    </row>
    <row r="22975" spans="1:4" ht="12.75" customHeight="1" x14ac:dyDescent="0.2">
      <c r="B22975" s="11" t="s">
        <v>0</v>
      </c>
      <c r="C22975" s="11" t="s">
        <v>242</v>
      </c>
    </row>
    <row r="22976" spans="1:4" ht="12.75" customHeight="1" x14ac:dyDescent="0.2">
      <c r="B22976" s="11" t="s">
        <v>2599</v>
      </c>
      <c r="C22976" s="11" t="s">
        <v>6374</v>
      </c>
    </row>
    <row r="22977" spans="1:4" ht="25.5" customHeight="1" x14ac:dyDescent="0.2">
      <c r="B22977" s="11" t="s">
        <v>2600</v>
      </c>
      <c r="C22977" s="11" t="s">
        <v>6375</v>
      </c>
    </row>
    <row r="22978" spans="1:4" ht="25.5" customHeight="1" x14ac:dyDescent="0.2">
      <c r="B22978" s="11" t="s">
        <v>2601</v>
      </c>
      <c r="C22978" s="11"/>
    </row>
    <row r="22979" spans="1:4" ht="12.75" customHeight="1" x14ac:dyDescent="0.2">
      <c r="B22979" s="11" t="s">
        <v>16</v>
      </c>
      <c r="C22979" s="11"/>
    </row>
    <row r="22980" spans="1:4" ht="12.75" customHeight="1" x14ac:dyDescent="0.2">
      <c r="B22980" s="11" t="s">
        <v>13</v>
      </c>
      <c r="C22980" s="11" t="s">
        <v>2602</v>
      </c>
    </row>
    <row r="22981" spans="1:4" ht="12.75" customHeight="1" x14ac:dyDescent="0.2">
      <c r="B22981" s="11" t="s">
        <v>2603</v>
      </c>
      <c r="C22981" s="11" t="s">
        <v>2604</v>
      </c>
    </row>
    <row r="22982" spans="1:4" ht="12.75" customHeight="1" x14ac:dyDescent="0.2">
      <c r="B22982" s="11" t="s">
        <v>2605</v>
      </c>
      <c r="C22982" s="11" t="s">
        <v>24</v>
      </c>
    </row>
    <row r="22983" spans="1:4" ht="12.75" customHeight="1" x14ac:dyDescent="0.2">
      <c r="B22983" s="11" t="s">
        <v>2606</v>
      </c>
      <c r="C22983" s="16" t="s">
        <v>44</v>
      </c>
      <c r="D22983" s="6" t="str">
        <f>HYPERLINK("javascript:void(0)","körömszem")</f>
        <v>körömszem</v>
      </c>
    </row>
    <row r="22984" spans="1:4" ht="12.75" customHeight="1" x14ac:dyDescent="0.2">
      <c r="B22984" s="2"/>
      <c r="C22984" s="15"/>
      <c r="D22984" s="2"/>
    </row>
    <row r="22985" spans="1:4" ht="12.75" customHeight="1" x14ac:dyDescent="0.2">
      <c r="B22985" s="2"/>
      <c r="C22985" s="15"/>
      <c r="D22985" s="2"/>
    </row>
    <row r="22986" spans="1:4" ht="12.75" customHeight="1" x14ac:dyDescent="0.2">
      <c r="A22986" s="13" t="s">
        <v>6376</v>
      </c>
      <c r="C22986" s="12"/>
    </row>
    <row r="22987" spans="1:4" ht="12.75" customHeight="1" x14ac:dyDescent="0.2">
      <c r="A22987" s="11"/>
      <c r="B22987" s="2"/>
      <c r="C22987" s="15"/>
      <c r="D22987" s="2"/>
    </row>
    <row r="22988" spans="1:4" ht="12.75" customHeight="1" x14ac:dyDescent="0.2">
      <c r="B22988" s="11" t="s">
        <v>0</v>
      </c>
      <c r="C22988" s="11" t="s">
        <v>242</v>
      </c>
    </row>
    <row r="22989" spans="1:4" ht="12.75" customHeight="1" x14ac:dyDescent="0.2">
      <c r="B22989" s="11" t="s">
        <v>2599</v>
      </c>
      <c r="C22989" s="11" t="s">
        <v>6377</v>
      </c>
    </row>
    <row r="22990" spans="1:4" ht="25.5" customHeight="1" x14ac:dyDescent="0.2">
      <c r="B22990" s="11" t="s">
        <v>2600</v>
      </c>
      <c r="C22990" s="11" t="s">
        <v>6378</v>
      </c>
    </row>
    <row r="22991" spans="1:4" ht="25.5" customHeight="1" x14ac:dyDescent="0.2">
      <c r="B22991" s="11" t="s">
        <v>2601</v>
      </c>
      <c r="C22991" s="11"/>
    </row>
    <row r="22992" spans="1:4" ht="12.75" customHeight="1" x14ac:dyDescent="0.2">
      <c r="B22992" s="11" t="s">
        <v>16</v>
      </c>
      <c r="C22992" s="11"/>
    </row>
    <row r="22993" spans="1:4" ht="12.75" customHeight="1" x14ac:dyDescent="0.2">
      <c r="B22993" s="11" t="s">
        <v>13</v>
      </c>
      <c r="C22993" s="11" t="s">
        <v>2644</v>
      </c>
    </row>
    <row r="22994" spans="1:4" ht="12.75" customHeight="1" x14ac:dyDescent="0.2">
      <c r="B22994" s="11" t="s">
        <v>2603</v>
      </c>
      <c r="C22994" s="11" t="s">
        <v>2604</v>
      </c>
    </row>
    <row r="22995" spans="1:4" ht="12.75" customHeight="1" x14ac:dyDescent="0.2">
      <c r="B22995" s="11" t="s">
        <v>2605</v>
      </c>
      <c r="C22995" s="11" t="s">
        <v>14</v>
      </c>
    </row>
    <row r="22996" spans="1:4" ht="12.75" customHeight="1" x14ac:dyDescent="0.2">
      <c r="B22996" s="11" t="s">
        <v>2606</v>
      </c>
      <c r="C22996" s="16" t="s">
        <v>57</v>
      </c>
      <c r="D22996" s="6" t="str">
        <f>HYPERLINK("javascript:void(0)","istenköröm")</f>
        <v>istenköröm</v>
      </c>
    </row>
    <row r="22997" spans="1:4" ht="12.75" customHeight="1" x14ac:dyDescent="0.2">
      <c r="C22997" s="16" t="s">
        <v>44</v>
      </c>
      <c r="D22997" s="6" t="str">
        <f>HYPERLINK("javascript:void(0)","regnum")</f>
        <v>regnum</v>
      </c>
    </row>
    <row r="22998" spans="1:4" ht="12.75" customHeight="1" x14ac:dyDescent="0.2">
      <c r="B22998" s="2"/>
      <c r="C22998" s="15"/>
      <c r="D22998" s="2"/>
    </row>
    <row r="22999" spans="1:4" ht="12.75" customHeight="1" x14ac:dyDescent="0.2">
      <c r="B22999" s="2"/>
      <c r="C22999" s="15"/>
      <c r="D22999" s="2"/>
    </row>
    <row r="23000" spans="1:4" ht="12.75" customHeight="1" x14ac:dyDescent="0.2">
      <c r="A23000" s="13" t="s">
        <v>6379</v>
      </c>
      <c r="C23000" s="12"/>
    </row>
    <row r="23001" spans="1:4" ht="12.75" customHeight="1" x14ac:dyDescent="0.2">
      <c r="A23001" s="11"/>
      <c r="B23001" s="2"/>
      <c r="C23001" s="15"/>
      <c r="D23001" s="2"/>
    </row>
    <row r="23002" spans="1:4" ht="12.75" customHeight="1" x14ac:dyDescent="0.2">
      <c r="B23002" s="11" t="s">
        <v>0</v>
      </c>
      <c r="C23002" s="11" t="s">
        <v>242</v>
      </c>
    </row>
    <row r="23003" spans="1:4" ht="12.75" customHeight="1" x14ac:dyDescent="0.2">
      <c r="B23003" s="11" t="s">
        <v>2599</v>
      </c>
      <c r="C23003" s="11" t="s">
        <v>940</v>
      </c>
    </row>
    <row r="23004" spans="1:4" ht="25.5" customHeight="1" x14ac:dyDescent="0.2">
      <c r="B23004" s="11" t="s">
        <v>2600</v>
      </c>
      <c r="C23004" s="11" t="s">
        <v>6380</v>
      </c>
    </row>
    <row r="23005" spans="1:4" ht="25.5" customHeight="1" x14ac:dyDescent="0.2">
      <c r="B23005" s="11" t="s">
        <v>2601</v>
      </c>
      <c r="C23005" s="11"/>
    </row>
    <row r="23006" spans="1:4" ht="12.75" customHeight="1" x14ac:dyDescent="0.2">
      <c r="B23006" s="11" t="s">
        <v>16</v>
      </c>
      <c r="C23006" s="11"/>
    </row>
    <row r="23007" spans="1:4" ht="12.75" customHeight="1" x14ac:dyDescent="0.2">
      <c r="B23007" s="11" t="s">
        <v>13</v>
      </c>
      <c r="C23007" s="11" t="s">
        <v>2602</v>
      </c>
    </row>
    <row r="23008" spans="1:4" ht="12.75" customHeight="1" x14ac:dyDescent="0.2">
      <c r="B23008" s="11" t="s">
        <v>2603</v>
      </c>
      <c r="C23008" s="11" t="s">
        <v>2604</v>
      </c>
    </row>
    <row r="23009" spans="1:4" ht="12.75" customHeight="1" x14ac:dyDescent="0.2">
      <c r="B23009" s="11" t="s">
        <v>2605</v>
      </c>
      <c r="C23009" s="11" t="s">
        <v>24</v>
      </c>
    </row>
    <row r="23010" spans="1:4" ht="12.75" customHeight="1" x14ac:dyDescent="0.2">
      <c r="B23010" s="11" t="s">
        <v>2606</v>
      </c>
      <c r="C23010" s="16" t="s">
        <v>44</v>
      </c>
      <c r="D23010" s="6" t="str">
        <f>HYPERLINK("javascript:void(0)","igazolvány")</f>
        <v>igazolvány</v>
      </c>
    </row>
    <row r="23011" spans="1:4" ht="12.75" customHeight="1" x14ac:dyDescent="0.2">
      <c r="B23011" s="2"/>
      <c r="C23011" s="15"/>
      <c r="D23011" s="2"/>
    </row>
    <row r="23012" spans="1:4" ht="12.75" customHeight="1" x14ac:dyDescent="0.2">
      <c r="B23012" s="2"/>
      <c r="C23012" s="15"/>
      <c r="D23012" s="2"/>
    </row>
    <row r="23013" spans="1:4" ht="12.75" customHeight="1" x14ac:dyDescent="0.2">
      <c r="A23013" s="13" t="s">
        <v>6381</v>
      </c>
      <c r="C23013" s="12"/>
    </row>
    <row r="23014" spans="1:4" ht="12.75" customHeight="1" x14ac:dyDescent="0.2">
      <c r="A23014" s="11"/>
      <c r="B23014" s="2"/>
      <c r="C23014" s="15"/>
      <c r="D23014" s="2"/>
    </row>
    <row r="23015" spans="1:4" ht="12.75" customHeight="1" x14ac:dyDescent="0.2">
      <c r="B23015" s="11" t="s">
        <v>0</v>
      </c>
      <c r="C23015" s="11" t="s">
        <v>242</v>
      </c>
    </row>
    <row r="23016" spans="1:4" ht="12.75" customHeight="1" x14ac:dyDescent="0.2">
      <c r="B23016" s="11" t="s">
        <v>2599</v>
      </c>
      <c r="C23016" s="11" t="s">
        <v>6382</v>
      </c>
    </row>
    <row r="23017" spans="1:4" ht="25.5" customHeight="1" x14ac:dyDescent="0.2">
      <c r="B23017" s="11" t="s">
        <v>2600</v>
      </c>
      <c r="C23017" s="11" t="s">
        <v>6383</v>
      </c>
    </row>
    <row r="23018" spans="1:4" ht="25.5" customHeight="1" x14ac:dyDescent="0.2">
      <c r="B23018" s="11" t="s">
        <v>2601</v>
      </c>
      <c r="C23018" s="11"/>
    </row>
    <row r="23019" spans="1:4" ht="12.75" customHeight="1" x14ac:dyDescent="0.2">
      <c r="B23019" s="11" t="s">
        <v>16</v>
      </c>
      <c r="C23019" s="11"/>
    </row>
    <row r="23020" spans="1:4" ht="12.75" customHeight="1" x14ac:dyDescent="0.2">
      <c r="B23020" s="11" t="s">
        <v>13</v>
      </c>
      <c r="C23020" s="11" t="s">
        <v>2602</v>
      </c>
    </row>
    <row r="23021" spans="1:4" ht="12.75" customHeight="1" x14ac:dyDescent="0.2">
      <c r="B23021" s="11" t="s">
        <v>2603</v>
      </c>
      <c r="C23021" s="11" t="s">
        <v>2604</v>
      </c>
    </row>
    <row r="23022" spans="1:4" ht="12.75" customHeight="1" x14ac:dyDescent="0.2">
      <c r="B23022" s="11" t="s">
        <v>2605</v>
      </c>
      <c r="C23022" s="11" t="s">
        <v>24</v>
      </c>
    </row>
    <row r="23023" spans="1:4" ht="12.75" customHeight="1" x14ac:dyDescent="0.2">
      <c r="B23023" s="11" t="s">
        <v>2606</v>
      </c>
      <c r="C23023" s="16" t="s">
        <v>56</v>
      </c>
      <c r="D23023" s="6" t="str">
        <f>HYPERLINK("javascript:void(0)","hidegige")</f>
        <v>hidegige</v>
      </c>
    </row>
    <row r="23024" spans="1:4" ht="12.75" customHeight="1" x14ac:dyDescent="0.2">
      <c r="C23024" s="16" t="s">
        <v>44</v>
      </c>
      <c r="D23024" s="6" t="str">
        <f>HYPERLINK("javascript:void(0)","rémkép")</f>
        <v>rémkép</v>
      </c>
    </row>
    <row r="23025" spans="1:4" ht="12.75" customHeight="1" x14ac:dyDescent="0.2">
      <c r="B23025" s="2"/>
      <c r="C23025" s="15"/>
      <c r="D23025" s="2"/>
    </row>
    <row r="23026" spans="1:4" ht="12.75" customHeight="1" x14ac:dyDescent="0.2">
      <c r="B23026" s="2"/>
      <c r="C23026" s="15"/>
      <c r="D23026" s="2"/>
    </row>
    <row r="23027" spans="1:4" ht="12.75" customHeight="1" x14ac:dyDescent="0.2">
      <c r="A23027" s="13" t="s">
        <v>6385</v>
      </c>
      <c r="C23027" s="12"/>
    </row>
    <row r="23028" spans="1:4" ht="12.75" customHeight="1" x14ac:dyDescent="0.2">
      <c r="A23028" s="11"/>
      <c r="B23028" s="2"/>
      <c r="C23028" s="15"/>
      <c r="D23028" s="2"/>
    </row>
    <row r="23029" spans="1:4" ht="12.75" customHeight="1" x14ac:dyDescent="0.2">
      <c r="B23029" s="11" t="s">
        <v>0</v>
      </c>
      <c r="C23029" s="11" t="s">
        <v>242</v>
      </c>
    </row>
    <row r="23030" spans="1:4" ht="12.75" customHeight="1" x14ac:dyDescent="0.2">
      <c r="B23030" s="11" t="s">
        <v>2599</v>
      </c>
      <c r="C23030" s="11" t="s">
        <v>6386</v>
      </c>
    </row>
    <row r="23031" spans="1:4" ht="25.5" customHeight="1" x14ac:dyDescent="0.2">
      <c r="B23031" s="11" t="s">
        <v>2600</v>
      </c>
      <c r="C23031" s="11" t="s">
        <v>6387</v>
      </c>
    </row>
    <row r="23032" spans="1:4" ht="25.5" customHeight="1" x14ac:dyDescent="0.2">
      <c r="B23032" s="11" t="s">
        <v>2601</v>
      </c>
      <c r="C23032" s="11"/>
    </row>
    <row r="23033" spans="1:4" ht="12.75" customHeight="1" x14ac:dyDescent="0.2">
      <c r="B23033" s="11" t="s">
        <v>16</v>
      </c>
      <c r="C23033" s="11"/>
    </row>
    <row r="23034" spans="1:4" ht="12.75" customHeight="1" x14ac:dyDescent="0.2">
      <c r="B23034" s="11" t="s">
        <v>13</v>
      </c>
      <c r="C23034" s="11" t="s">
        <v>2644</v>
      </c>
    </row>
    <row r="23035" spans="1:4" ht="12.75" customHeight="1" x14ac:dyDescent="0.2">
      <c r="B23035" s="11" t="s">
        <v>2603</v>
      </c>
      <c r="C23035" s="11" t="s">
        <v>2604</v>
      </c>
    </row>
    <row r="23036" spans="1:4" ht="12.75" customHeight="1" x14ac:dyDescent="0.2">
      <c r="B23036" s="11" t="s">
        <v>2605</v>
      </c>
      <c r="C23036" s="11" t="s">
        <v>24</v>
      </c>
    </row>
    <row r="23037" spans="1:4" ht="12.75" customHeight="1" x14ac:dyDescent="0.2">
      <c r="B23037" s="11" t="s">
        <v>2606</v>
      </c>
      <c r="C23037" s="16" t="s">
        <v>44</v>
      </c>
      <c r="D23037" s="6" t="str">
        <f>HYPERLINK("javascript:void(0)","félhód")</f>
        <v>félhód</v>
      </c>
    </row>
    <row r="23038" spans="1:4" ht="12.75" customHeight="1" x14ac:dyDescent="0.2">
      <c r="B23038" s="2"/>
      <c r="C23038" s="15"/>
      <c r="D23038" s="2"/>
    </row>
    <row r="23039" spans="1:4" ht="12.75" customHeight="1" x14ac:dyDescent="0.2">
      <c r="B23039" s="2"/>
      <c r="C23039" s="15"/>
      <c r="D23039" s="2"/>
    </row>
    <row r="23040" spans="1:4" ht="12.75" customHeight="1" x14ac:dyDescent="0.2">
      <c r="A23040" s="13" t="s">
        <v>2962</v>
      </c>
      <c r="C23040" s="12"/>
    </row>
    <row r="23041" spans="1:4" ht="12.75" customHeight="1" x14ac:dyDescent="0.2">
      <c r="A23041" s="11"/>
      <c r="B23041" s="2"/>
      <c r="C23041" s="15"/>
      <c r="D23041" s="2"/>
    </row>
    <row r="23042" spans="1:4" ht="12.75" customHeight="1" x14ac:dyDescent="0.2">
      <c r="B23042" s="11" t="s">
        <v>0</v>
      </c>
      <c r="C23042" s="11" t="s">
        <v>242</v>
      </c>
    </row>
    <row r="23043" spans="1:4" ht="12.75" customHeight="1" x14ac:dyDescent="0.2">
      <c r="B23043" s="11" t="s">
        <v>2599</v>
      </c>
      <c r="C23043" s="11" t="s">
        <v>686</v>
      </c>
    </row>
    <row r="23044" spans="1:4" ht="25.5" customHeight="1" x14ac:dyDescent="0.2">
      <c r="B23044" s="11" t="s">
        <v>2600</v>
      </c>
      <c r="C23044" s="11" t="s">
        <v>6388</v>
      </c>
    </row>
    <row r="23045" spans="1:4" ht="25.5" customHeight="1" x14ac:dyDescent="0.2">
      <c r="B23045" s="11" t="s">
        <v>2601</v>
      </c>
      <c r="C23045" s="11"/>
    </row>
    <row r="23046" spans="1:4" ht="12.75" customHeight="1" x14ac:dyDescent="0.2">
      <c r="B23046" s="11" t="s">
        <v>16</v>
      </c>
      <c r="C23046" s="11"/>
    </row>
    <row r="23047" spans="1:4" ht="12.75" customHeight="1" x14ac:dyDescent="0.2">
      <c r="B23047" s="11" t="s">
        <v>13</v>
      </c>
      <c r="C23047" s="11" t="s">
        <v>2644</v>
      </c>
    </row>
    <row r="23048" spans="1:4" ht="12.75" customHeight="1" x14ac:dyDescent="0.2">
      <c r="B23048" s="11" t="s">
        <v>2603</v>
      </c>
      <c r="C23048" s="11" t="s">
        <v>2965</v>
      </c>
    </row>
    <row r="23049" spans="1:4" ht="12.75" customHeight="1" x14ac:dyDescent="0.2">
      <c r="B23049" s="11" t="s">
        <v>2605</v>
      </c>
      <c r="C23049" s="11" t="s">
        <v>14</v>
      </c>
    </row>
    <row r="23050" spans="1:4" ht="12.75" customHeight="1" x14ac:dyDescent="0.2">
      <c r="B23050" s="11" t="s">
        <v>2606</v>
      </c>
      <c r="C23050" s="16" t="s">
        <v>44</v>
      </c>
      <c r="D23050" s="6" t="str">
        <f>HYPERLINK("javascript:void(0)","hínárgyöngy")</f>
        <v>hínárgyöngy</v>
      </c>
    </row>
    <row r="23051" spans="1:4" ht="25.5" customHeight="1" x14ac:dyDescent="0.2">
      <c r="C23051" s="16" t="s">
        <v>57</v>
      </c>
      <c r="D23051" s="6" t="str">
        <f>HYPERLINK("javascript:void(0)","harmatcsepp")</f>
        <v>harmatcsepp</v>
      </c>
    </row>
    <row r="23052" spans="1:4" ht="12.75" customHeight="1" x14ac:dyDescent="0.2">
      <c r="B23052" s="2"/>
      <c r="C23052" s="15"/>
      <c r="D23052" s="2"/>
    </row>
    <row r="23053" spans="1:4" ht="12.75" customHeight="1" x14ac:dyDescent="0.2">
      <c r="B23053" s="2"/>
      <c r="C23053" s="15"/>
      <c r="D23053" s="2"/>
    </row>
    <row r="23054" spans="1:4" ht="12.75" customHeight="1" x14ac:dyDescent="0.2">
      <c r="A23054" s="13" t="s">
        <v>6351</v>
      </c>
      <c r="C23054" s="12"/>
      <c r="D23054" s="2"/>
    </row>
    <row r="23055" spans="1:4" ht="12.75" customHeight="1" x14ac:dyDescent="0.2">
      <c r="A23055" s="11"/>
      <c r="B23055" s="2"/>
      <c r="C23055" s="15"/>
      <c r="D23055" s="2"/>
    </row>
    <row r="23056" spans="1:4" ht="12.75" customHeight="1" x14ac:dyDescent="0.2">
      <c r="B23056" s="11" t="s">
        <v>0</v>
      </c>
      <c r="C23056" s="17" t="s">
        <v>1308</v>
      </c>
      <c r="D23056" s="2"/>
    </row>
    <row r="23057" spans="1:4" ht="12.75" customHeight="1" x14ac:dyDescent="0.2">
      <c r="B23057" s="11" t="s">
        <v>2599</v>
      </c>
      <c r="C23057" s="17" t="s">
        <v>6352</v>
      </c>
      <c r="D23057" s="2"/>
    </row>
    <row r="23058" spans="1:4" ht="25.5" customHeight="1" x14ac:dyDescent="0.2">
      <c r="B23058" s="11" t="s">
        <v>2600</v>
      </c>
      <c r="C23058" s="17" t="s">
        <v>6389</v>
      </c>
      <c r="D23058" s="2"/>
    </row>
    <row r="23059" spans="1:4" ht="25.5" customHeight="1" x14ac:dyDescent="0.2">
      <c r="B23059" s="11" t="s">
        <v>2601</v>
      </c>
      <c r="C23059" s="17"/>
      <c r="D23059" s="2"/>
    </row>
    <row r="23060" spans="1:4" ht="12.75" customHeight="1" x14ac:dyDescent="0.2">
      <c r="B23060" s="11" t="s">
        <v>16</v>
      </c>
      <c r="C23060" s="17"/>
      <c r="D23060" s="2"/>
    </row>
    <row r="23061" spans="1:4" ht="12.75" customHeight="1" x14ac:dyDescent="0.2">
      <c r="B23061" s="11" t="s">
        <v>13</v>
      </c>
      <c r="C23061" s="17" t="s">
        <v>2644</v>
      </c>
      <c r="D23061" s="2"/>
    </row>
    <row r="23062" spans="1:4" ht="25.5" customHeight="1" x14ac:dyDescent="0.2">
      <c r="B23062" s="11" t="s">
        <v>2603</v>
      </c>
      <c r="C23062" s="17" t="s">
        <v>2971</v>
      </c>
      <c r="D23062" s="2"/>
    </row>
    <row r="23063" spans="1:4" ht="12.75" customHeight="1" x14ac:dyDescent="0.2">
      <c r="B23063" s="11" t="s">
        <v>2605</v>
      </c>
      <c r="C23063" s="17" t="s">
        <v>14</v>
      </c>
      <c r="D23063" s="2"/>
    </row>
    <row r="23064" spans="1:4" ht="12.75" customHeight="1" x14ac:dyDescent="0.2">
      <c r="B23064" s="11" t="s">
        <v>2606</v>
      </c>
      <c r="C23064" s="16" t="s">
        <v>19</v>
      </c>
      <c r="D23064" s="2"/>
    </row>
    <row r="23065" spans="1:4" ht="12.75" customHeight="1" x14ac:dyDescent="0.2">
      <c r="B23065" s="2"/>
      <c r="C23065" s="15"/>
      <c r="D23065" s="2"/>
    </row>
    <row r="23066" spans="1:4" ht="12.75" customHeight="1" x14ac:dyDescent="0.2">
      <c r="B23066" s="2"/>
      <c r="C23066" s="15"/>
      <c r="D23066" s="2"/>
    </row>
    <row r="23067" spans="1:4" ht="12.75" customHeight="1" x14ac:dyDescent="0.2">
      <c r="A23067" s="13" t="s">
        <v>6354</v>
      </c>
      <c r="C23067" s="12"/>
      <c r="D23067" s="2"/>
    </row>
    <row r="23068" spans="1:4" ht="12.75" customHeight="1" x14ac:dyDescent="0.2">
      <c r="A23068" s="11"/>
      <c r="B23068" s="2"/>
      <c r="C23068" s="15"/>
      <c r="D23068" s="2"/>
    </row>
    <row r="23069" spans="1:4" ht="12.75" customHeight="1" x14ac:dyDescent="0.2">
      <c r="B23069" s="11" t="s">
        <v>0</v>
      </c>
      <c r="C23069" s="17" t="s">
        <v>1308</v>
      </c>
      <c r="D23069" s="2"/>
    </row>
    <row r="23070" spans="1:4" ht="12.75" customHeight="1" x14ac:dyDescent="0.2">
      <c r="B23070" s="11" t="s">
        <v>2599</v>
      </c>
      <c r="C23070" s="17" t="s">
        <v>6355</v>
      </c>
      <c r="D23070" s="2"/>
    </row>
    <row r="23071" spans="1:4" ht="25.5" customHeight="1" x14ac:dyDescent="0.2">
      <c r="B23071" s="11" t="s">
        <v>2600</v>
      </c>
      <c r="C23071" s="17" t="s">
        <v>6390</v>
      </c>
      <c r="D23071" s="2"/>
    </row>
    <row r="23072" spans="1:4" ht="25.5" customHeight="1" x14ac:dyDescent="0.2">
      <c r="B23072" s="11" t="s">
        <v>2601</v>
      </c>
      <c r="C23072" s="17"/>
      <c r="D23072" s="2"/>
    </row>
    <row r="23073" spans="1:4" ht="12.75" customHeight="1" x14ac:dyDescent="0.2">
      <c r="B23073" s="11" t="s">
        <v>16</v>
      </c>
      <c r="C23073" s="17"/>
      <c r="D23073" s="2"/>
    </row>
    <row r="23074" spans="1:4" ht="12.75" customHeight="1" x14ac:dyDescent="0.2">
      <c r="B23074" s="11" t="s">
        <v>13</v>
      </c>
      <c r="C23074" s="17" t="s">
        <v>2602</v>
      </c>
      <c r="D23074" s="2"/>
    </row>
    <row r="23075" spans="1:4" ht="25.5" customHeight="1" x14ac:dyDescent="0.2">
      <c r="B23075" s="11" t="s">
        <v>2603</v>
      </c>
      <c r="C23075" s="17" t="s">
        <v>2971</v>
      </c>
      <c r="D23075" s="2"/>
    </row>
    <row r="23076" spans="1:4" ht="12.75" customHeight="1" x14ac:dyDescent="0.2">
      <c r="B23076" s="11" t="s">
        <v>2605</v>
      </c>
      <c r="C23076" s="17" t="s">
        <v>14</v>
      </c>
      <c r="D23076" s="2"/>
    </row>
    <row r="23077" spans="1:4" ht="12.75" customHeight="1" x14ac:dyDescent="0.2">
      <c r="B23077" s="11" t="s">
        <v>2606</v>
      </c>
      <c r="C23077" s="16" t="s">
        <v>19</v>
      </c>
      <c r="D23077" s="2"/>
    </row>
    <row r="23078" spans="1:4" ht="12.75" customHeight="1" x14ac:dyDescent="0.2">
      <c r="B23078" s="2"/>
      <c r="C23078" s="15"/>
      <c r="D23078" s="2"/>
    </row>
    <row r="23079" spans="1:4" ht="12.75" customHeight="1" x14ac:dyDescent="0.2">
      <c r="B23079" s="2"/>
      <c r="C23079" s="15"/>
      <c r="D23079" s="2"/>
    </row>
    <row r="23080" spans="1:4" ht="12.75" customHeight="1" x14ac:dyDescent="0.2">
      <c r="A23080" s="13" t="s">
        <v>6357</v>
      </c>
      <c r="C23080" s="12"/>
      <c r="D23080" s="2"/>
    </row>
    <row r="23081" spans="1:4" ht="12.75" customHeight="1" x14ac:dyDescent="0.2">
      <c r="A23081" s="11"/>
      <c r="B23081" s="2"/>
      <c r="C23081" s="15"/>
      <c r="D23081" s="2"/>
    </row>
    <row r="23082" spans="1:4" ht="12.75" customHeight="1" x14ac:dyDescent="0.2">
      <c r="B23082" s="11" t="s">
        <v>0</v>
      </c>
      <c r="C23082" s="17" t="s">
        <v>1308</v>
      </c>
      <c r="D23082" s="2"/>
    </row>
    <row r="23083" spans="1:4" ht="12.75" customHeight="1" x14ac:dyDescent="0.2">
      <c r="B23083" s="11" t="s">
        <v>2599</v>
      </c>
      <c r="C23083" s="17" t="s">
        <v>5597</v>
      </c>
      <c r="D23083" s="2"/>
    </row>
    <row r="23084" spans="1:4" ht="25.5" customHeight="1" x14ac:dyDescent="0.2">
      <c r="B23084" s="11" t="s">
        <v>2600</v>
      </c>
      <c r="C23084" s="17" t="s">
        <v>6391</v>
      </c>
      <c r="D23084" s="2"/>
    </row>
    <row r="23085" spans="1:4" ht="25.5" customHeight="1" x14ac:dyDescent="0.2">
      <c r="B23085" s="11" t="s">
        <v>2601</v>
      </c>
      <c r="C23085" s="17"/>
      <c r="D23085" s="2"/>
    </row>
    <row r="23086" spans="1:4" ht="12.75" customHeight="1" x14ac:dyDescent="0.2">
      <c r="B23086" s="11" t="s">
        <v>16</v>
      </c>
      <c r="C23086" s="17"/>
      <c r="D23086" s="2"/>
    </row>
    <row r="23087" spans="1:4" ht="12.75" customHeight="1" x14ac:dyDescent="0.2">
      <c r="B23087" s="11" t="s">
        <v>13</v>
      </c>
      <c r="C23087" s="17" t="s">
        <v>2644</v>
      </c>
      <c r="D23087" s="2"/>
    </row>
    <row r="23088" spans="1:4" ht="25.5" customHeight="1" x14ac:dyDescent="0.2">
      <c r="B23088" s="11" t="s">
        <v>2603</v>
      </c>
      <c r="C23088" s="17" t="s">
        <v>2971</v>
      </c>
      <c r="D23088" s="2"/>
    </row>
    <row r="23089" spans="1:4" ht="12.75" customHeight="1" x14ac:dyDescent="0.2">
      <c r="B23089" s="11" t="s">
        <v>2605</v>
      </c>
      <c r="C23089" s="17" t="s">
        <v>14</v>
      </c>
      <c r="D23089" s="2"/>
    </row>
    <row r="23090" spans="1:4" ht="12.75" customHeight="1" x14ac:dyDescent="0.2">
      <c r="B23090" s="11" t="s">
        <v>2606</v>
      </c>
      <c r="C23090" s="16" t="s">
        <v>19</v>
      </c>
      <c r="D23090" s="2"/>
    </row>
    <row r="23091" spans="1:4" ht="12.75" customHeight="1" x14ac:dyDescent="0.2">
      <c r="B23091" s="2"/>
      <c r="C23091" s="15"/>
      <c r="D23091" s="2"/>
    </row>
    <row r="23092" spans="1:4" ht="12.75" customHeight="1" x14ac:dyDescent="0.2">
      <c r="B23092" s="2"/>
      <c r="C23092" s="15"/>
      <c r="D23092" s="2"/>
    </row>
    <row r="23093" spans="1:4" ht="12.75" customHeight="1" x14ac:dyDescent="0.2">
      <c r="A23093" s="13" t="s">
        <v>6360</v>
      </c>
      <c r="C23093" s="12"/>
      <c r="D23093" s="2"/>
    </row>
    <row r="23094" spans="1:4" ht="12.75" customHeight="1" x14ac:dyDescent="0.2">
      <c r="A23094" s="11"/>
      <c r="B23094" s="2"/>
      <c r="C23094" s="15"/>
      <c r="D23094" s="2"/>
    </row>
    <row r="23095" spans="1:4" ht="12.75" customHeight="1" x14ac:dyDescent="0.2">
      <c r="B23095" s="11" t="s">
        <v>0</v>
      </c>
      <c r="C23095" s="17" t="s">
        <v>1308</v>
      </c>
      <c r="D23095" s="2"/>
    </row>
    <row r="23096" spans="1:4" ht="12.75" customHeight="1" x14ac:dyDescent="0.2">
      <c r="B23096" s="11" t="s">
        <v>2599</v>
      </c>
      <c r="C23096" s="17" t="s">
        <v>6361</v>
      </c>
      <c r="D23096" s="2"/>
    </row>
    <row r="23097" spans="1:4" ht="25.5" customHeight="1" x14ac:dyDescent="0.2">
      <c r="B23097" s="11" t="s">
        <v>2600</v>
      </c>
      <c r="C23097" s="17" t="s">
        <v>6392</v>
      </c>
      <c r="D23097" s="2"/>
    </row>
    <row r="23098" spans="1:4" ht="25.5" customHeight="1" x14ac:dyDescent="0.2">
      <c r="B23098" s="11" t="s">
        <v>2601</v>
      </c>
      <c r="C23098" s="17"/>
      <c r="D23098" s="2"/>
    </row>
    <row r="23099" spans="1:4" ht="12.75" customHeight="1" x14ac:dyDescent="0.2">
      <c r="B23099" s="11" t="s">
        <v>16</v>
      </c>
      <c r="C23099" s="17"/>
      <c r="D23099" s="2"/>
    </row>
    <row r="23100" spans="1:4" ht="12.75" customHeight="1" x14ac:dyDescent="0.2">
      <c r="B23100" s="11" t="s">
        <v>13</v>
      </c>
      <c r="C23100" s="17" t="s">
        <v>2644</v>
      </c>
      <c r="D23100" s="2"/>
    </row>
    <row r="23101" spans="1:4" ht="25.5" customHeight="1" x14ac:dyDescent="0.2">
      <c r="B23101" s="11" t="s">
        <v>2603</v>
      </c>
      <c r="C23101" s="17" t="s">
        <v>2971</v>
      </c>
      <c r="D23101" s="2"/>
    </row>
    <row r="23102" spans="1:4" ht="12.75" customHeight="1" x14ac:dyDescent="0.2">
      <c r="B23102" s="11" t="s">
        <v>2605</v>
      </c>
      <c r="C23102" s="17" t="s">
        <v>14</v>
      </c>
      <c r="D23102" s="2"/>
    </row>
    <row r="23103" spans="1:4" ht="12.75" customHeight="1" x14ac:dyDescent="0.2">
      <c r="B23103" s="11" t="s">
        <v>2606</v>
      </c>
      <c r="C23103" s="16" t="s">
        <v>19</v>
      </c>
      <c r="D23103" s="2"/>
    </row>
    <row r="23104" spans="1:4" ht="12.75" customHeight="1" x14ac:dyDescent="0.2">
      <c r="B23104" s="2"/>
      <c r="C23104" s="15"/>
      <c r="D23104" s="2"/>
    </row>
    <row r="23105" spans="1:4" ht="12.75" customHeight="1" x14ac:dyDescent="0.2">
      <c r="B23105" s="2"/>
      <c r="C23105" s="15"/>
      <c r="D23105" s="2"/>
    </row>
    <row r="23106" spans="1:4" ht="12.75" customHeight="1" x14ac:dyDescent="0.2">
      <c r="A23106" s="13" t="s">
        <v>6393</v>
      </c>
      <c r="C23106" s="12"/>
    </row>
    <row r="23107" spans="1:4" ht="12.75" customHeight="1" x14ac:dyDescent="0.2">
      <c r="A23107" s="11"/>
      <c r="B23107" s="2"/>
      <c r="C23107" s="15"/>
      <c r="D23107" s="2"/>
    </row>
    <row r="23108" spans="1:4" ht="12.75" customHeight="1" x14ac:dyDescent="0.2">
      <c r="B23108" s="11" t="s">
        <v>0</v>
      </c>
      <c r="C23108" s="11" t="s">
        <v>1308</v>
      </c>
    </row>
    <row r="23109" spans="1:4" ht="12.75" customHeight="1" x14ac:dyDescent="0.2">
      <c r="B23109" s="11" t="s">
        <v>2599</v>
      </c>
      <c r="C23109" s="11" t="s">
        <v>6394</v>
      </c>
    </row>
    <row r="23110" spans="1:4" ht="25.5" customHeight="1" x14ac:dyDescent="0.2">
      <c r="B23110" s="11" t="s">
        <v>2600</v>
      </c>
      <c r="C23110" s="11" t="s">
        <v>6395</v>
      </c>
    </row>
    <row r="23111" spans="1:4" ht="25.5" customHeight="1" x14ac:dyDescent="0.2">
      <c r="B23111" s="11" t="s">
        <v>2601</v>
      </c>
      <c r="C23111" s="11"/>
    </row>
    <row r="23112" spans="1:4" ht="12.75" customHeight="1" x14ac:dyDescent="0.2">
      <c r="B23112" s="11" t="s">
        <v>16</v>
      </c>
      <c r="C23112" s="11"/>
    </row>
    <row r="23113" spans="1:4" ht="12.75" customHeight="1" x14ac:dyDescent="0.2">
      <c r="B23113" s="11" t="s">
        <v>13</v>
      </c>
      <c r="C23113" s="11" t="s">
        <v>2644</v>
      </c>
    </row>
    <row r="23114" spans="1:4" ht="12.75" customHeight="1" x14ac:dyDescent="0.2">
      <c r="B23114" s="11" t="s">
        <v>2603</v>
      </c>
      <c r="C23114" s="11" t="s">
        <v>2604</v>
      </c>
    </row>
    <row r="23115" spans="1:4" ht="12.75" customHeight="1" x14ac:dyDescent="0.2">
      <c r="B23115" s="11" t="s">
        <v>2605</v>
      </c>
      <c r="C23115" s="11" t="s">
        <v>14</v>
      </c>
    </row>
    <row r="23116" spans="1:4" ht="12.75" customHeight="1" x14ac:dyDescent="0.2">
      <c r="B23116" s="11" t="s">
        <v>2606</v>
      </c>
      <c r="C23116" s="16" t="s">
        <v>77</v>
      </c>
      <c r="D23116" s="6" t="str">
        <f>HYPERLINK("javascript:void(0)","kaja")</f>
        <v>kaja</v>
      </c>
    </row>
    <row r="23117" spans="1:4" ht="12.75" customHeight="1" x14ac:dyDescent="0.2">
      <c r="C23117" s="16" t="s">
        <v>55</v>
      </c>
      <c r="D23117" s="6" t="str">
        <f>HYPERLINK("javascript:void(0)","abrak")</f>
        <v>abrak</v>
      </c>
    </row>
    <row r="23118" spans="1:4" ht="12.75" customHeight="1" x14ac:dyDescent="0.2">
      <c r="B23118" s="2"/>
      <c r="C23118" s="15"/>
      <c r="D23118" s="2"/>
    </row>
    <row r="23119" spans="1:4" ht="12.75" customHeight="1" x14ac:dyDescent="0.2">
      <c r="B23119" s="2"/>
      <c r="C23119" s="15"/>
      <c r="D23119" s="2"/>
    </row>
    <row r="23120" spans="1:4" ht="12.75" customHeight="1" x14ac:dyDescent="0.2">
      <c r="A23120" s="13" t="s">
        <v>6396</v>
      </c>
      <c r="C23120" s="12"/>
    </row>
    <row r="23121" spans="1:4" ht="12.75" customHeight="1" x14ac:dyDescent="0.2">
      <c r="A23121" s="11"/>
      <c r="B23121" s="2"/>
      <c r="C23121" s="15"/>
      <c r="D23121" s="2"/>
    </row>
    <row r="23122" spans="1:4" ht="12.75" customHeight="1" x14ac:dyDescent="0.2">
      <c r="B23122" s="11" t="s">
        <v>0</v>
      </c>
      <c r="C23122" s="11" t="s">
        <v>1308</v>
      </c>
    </row>
    <row r="23123" spans="1:4" ht="12.75" customHeight="1" x14ac:dyDescent="0.2">
      <c r="B23123" s="11" t="s">
        <v>2599</v>
      </c>
      <c r="C23123" s="11" t="s">
        <v>1016</v>
      </c>
    </row>
    <row r="23124" spans="1:4" ht="25.5" customHeight="1" x14ac:dyDescent="0.2">
      <c r="B23124" s="11" t="s">
        <v>2600</v>
      </c>
      <c r="C23124" s="11" t="s">
        <v>6397</v>
      </c>
    </row>
    <row r="23125" spans="1:4" ht="25.5" customHeight="1" x14ac:dyDescent="0.2">
      <c r="B23125" s="11" t="s">
        <v>2601</v>
      </c>
      <c r="C23125" s="11"/>
    </row>
    <row r="23126" spans="1:4" ht="12.75" customHeight="1" x14ac:dyDescent="0.2">
      <c r="B23126" s="11" t="s">
        <v>16</v>
      </c>
      <c r="C23126" s="11"/>
    </row>
    <row r="23127" spans="1:4" ht="12.75" customHeight="1" x14ac:dyDescent="0.2">
      <c r="B23127" s="11" t="s">
        <v>13</v>
      </c>
      <c r="C23127" s="11" t="s">
        <v>2644</v>
      </c>
    </row>
    <row r="23128" spans="1:4" ht="12.75" customHeight="1" x14ac:dyDescent="0.2">
      <c r="B23128" s="11" t="s">
        <v>2603</v>
      </c>
      <c r="C23128" s="11" t="s">
        <v>2604</v>
      </c>
    </row>
    <row r="23129" spans="1:4" ht="12.75" customHeight="1" x14ac:dyDescent="0.2">
      <c r="B23129" s="11" t="s">
        <v>2605</v>
      </c>
      <c r="C23129" s="11" t="s">
        <v>14</v>
      </c>
    </row>
    <row r="23130" spans="1:4" ht="12.75" customHeight="1" x14ac:dyDescent="0.2">
      <c r="B23130" s="11" t="s">
        <v>2606</v>
      </c>
      <c r="C23130" s="16" t="s">
        <v>44</v>
      </c>
      <c r="D23130" s="6" t="str">
        <f>HYPERLINK("javascript:void(0)","felhő-szkóp")</f>
        <v>felhő-szkóp</v>
      </c>
    </row>
    <row r="23131" spans="1:4" ht="12.75" customHeight="1" x14ac:dyDescent="0.2">
      <c r="B23131" s="2"/>
      <c r="C23131" s="15"/>
      <c r="D23131" s="2"/>
    </row>
    <row r="23132" spans="1:4" ht="12.75" customHeight="1" x14ac:dyDescent="0.2">
      <c r="B23132" s="2"/>
      <c r="C23132" s="15"/>
      <c r="D23132" s="2"/>
    </row>
    <row r="23133" spans="1:4" ht="12.75" customHeight="1" x14ac:dyDescent="0.2">
      <c r="A23133" s="13" t="s">
        <v>6398</v>
      </c>
      <c r="C23133" s="12"/>
    </row>
    <row r="23134" spans="1:4" ht="12.75" customHeight="1" x14ac:dyDescent="0.2">
      <c r="A23134" s="11"/>
      <c r="B23134" s="2"/>
      <c r="C23134" s="15"/>
      <c r="D23134" s="2"/>
    </row>
    <row r="23135" spans="1:4" ht="12.75" customHeight="1" x14ac:dyDescent="0.2">
      <c r="B23135" s="11" t="s">
        <v>0</v>
      </c>
      <c r="C23135" s="11" t="s">
        <v>1308</v>
      </c>
    </row>
    <row r="23136" spans="1:4" ht="12.75" customHeight="1" x14ac:dyDescent="0.2">
      <c r="B23136" s="11" t="s">
        <v>2599</v>
      </c>
      <c r="C23136" s="11" t="s">
        <v>3655</v>
      </c>
    </row>
    <row r="23137" spans="1:4" ht="25.5" customHeight="1" x14ac:dyDescent="0.2">
      <c r="B23137" s="11" t="s">
        <v>2600</v>
      </c>
      <c r="C23137" s="11" t="s">
        <v>6399</v>
      </c>
    </row>
    <row r="23138" spans="1:4" ht="25.5" customHeight="1" x14ac:dyDescent="0.2">
      <c r="B23138" s="11" t="s">
        <v>2601</v>
      </c>
      <c r="C23138" s="11"/>
    </row>
    <row r="23139" spans="1:4" ht="12.75" customHeight="1" x14ac:dyDescent="0.2">
      <c r="B23139" s="11" t="s">
        <v>16</v>
      </c>
      <c r="C23139" s="11"/>
    </row>
    <row r="23140" spans="1:4" ht="12.75" customHeight="1" x14ac:dyDescent="0.2">
      <c r="B23140" s="11" t="s">
        <v>13</v>
      </c>
      <c r="C23140" s="11" t="s">
        <v>2644</v>
      </c>
    </row>
    <row r="23141" spans="1:4" ht="12.75" customHeight="1" x14ac:dyDescent="0.2">
      <c r="B23141" s="11" t="s">
        <v>2603</v>
      </c>
      <c r="C23141" s="11" t="s">
        <v>2604</v>
      </c>
    </row>
    <row r="23142" spans="1:4" ht="12.75" customHeight="1" x14ac:dyDescent="0.2">
      <c r="B23142" s="11" t="s">
        <v>2605</v>
      </c>
      <c r="C23142" s="11" t="s">
        <v>14</v>
      </c>
    </row>
    <row r="23143" spans="1:4" ht="12.75" customHeight="1" x14ac:dyDescent="0.2">
      <c r="B23143" s="11" t="s">
        <v>2606</v>
      </c>
      <c r="C23143" s="16" t="s">
        <v>56</v>
      </c>
      <c r="D23143" s="6" t="str">
        <f>HYPERLINK("javascript:void(0)","aqua dei")</f>
        <v>aqua dei</v>
      </c>
    </row>
    <row r="23144" spans="1:4" ht="12.75" customHeight="1" x14ac:dyDescent="0.2">
      <c r="C23144" s="16" t="s">
        <v>44</v>
      </c>
      <c r="D23144" s="6" t="str">
        <f>HYPERLINK("javascript:void(0)","imamalom")</f>
        <v>imamalom</v>
      </c>
    </row>
    <row r="23145" spans="1:4" ht="12.75" customHeight="1" x14ac:dyDescent="0.2">
      <c r="B23145" s="2"/>
      <c r="C23145" s="15"/>
      <c r="D23145" s="2"/>
    </row>
    <row r="23146" spans="1:4" ht="12.75" customHeight="1" x14ac:dyDescent="0.2">
      <c r="B23146" s="2"/>
      <c r="C23146" s="15"/>
      <c r="D23146" s="2"/>
    </row>
    <row r="23147" spans="1:4" ht="12.75" customHeight="1" x14ac:dyDescent="0.2">
      <c r="A23147" s="13" t="s">
        <v>6400</v>
      </c>
      <c r="C23147" s="12"/>
    </row>
    <row r="23148" spans="1:4" ht="12.75" customHeight="1" x14ac:dyDescent="0.2">
      <c r="A23148" s="11"/>
      <c r="B23148" s="2"/>
      <c r="C23148" s="15"/>
      <c r="D23148" s="2"/>
    </row>
    <row r="23149" spans="1:4" ht="12.75" customHeight="1" x14ac:dyDescent="0.2">
      <c r="B23149" s="11" t="s">
        <v>0</v>
      </c>
      <c r="C23149" s="11" t="s">
        <v>1308</v>
      </c>
    </row>
    <row r="23150" spans="1:4" ht="12.75" customHeight="1" x14ac:dyDescent="0.2">
      <c r="B23150" s="11" t="s">
        <v>2599</v>
      </c>
      <c r="C23150" s="11" t="s">
        <v>742</v>
      </c>
    </row>
    <row r="23151" spans="1:4" ht="25.5" customHeight="1" x14ac:dyDescent="0.2">
      <c r="B23151" s="11" t="s">
        <v>2600</v>
      </c>
      <c r="C23151" s="11" t="s">
        <v>6401</v>
      </c>
    </row>
    <row r="23152" spans="1:4" ht="25.5" customHeight="1" x14ac:dyDescent="0.2">
      <c r="B23152" s="11" t="s">
        <v>2601</v>
      </c>
      <c r="C23152" s="11"/>
    </row>
    <row r="23153" spans="1:4" ht="12.75" customHeight="1" x14ac:dyDescent="0.2">
      <c r="B23153" s="11" t="s">
        <v>16</v>
      </c>
      <c r="C23153" s="11"/>
    </row>
    <row r="23154" spans="1:4" ht="12.75" customHeight="1" x14ac:dyDescent="0.2">
      <c r="B23154" s="11" t="s">
        <v>13</v>
      </c>
      <c r="C23154" s="11" t="s">
        <v>2602</v>
      </c>
    </row>
    <row r="23155" spans="1:4" ht="12.75" customHeight="1" x14ac:dyDescent="0.2">
      <c r="B23155" s="11" t="s">
        <v>2603</v>
      </c>
      <c r="C23155" s="11" t="s">
        <v>2604</v>
      </c>
    </row>
    <row r="23156" spans="1:4" ht="12.75" customHeight="1" x14ac:dyDescent="0.2">
      <c r="B23156" s="11" t="s">
        <v>2605</v>
      </c>
      <c r="C23156" s="11" t="s">
        <v>24</v>
      </c>
    </row>
    <row r="23157" spans="1:4" ht="12.75" customHeight="1" x14ac:dyDescent="0.2">
      <c r="B23157" s="11" t="s">
        <v>2606</v>
      </c>
      <c r="C23157" s="16" t="s">
        <v>3611</v>
      </c>
      <c r="D23157" s="6" t="str">
        <f>HYPERLINK("javascript:void(0)","goblinbatka")</f>
        <v>goblinbatka</v>
      </c>
    </row>
    <row r="23158" spans="1:4" ht="12.75" customHeight="1" x14ac:dyDescent="0.2">
      <c r="C23158" s="16" t="s">
        <v>44</v>
      </c>
      <c r="D23158" s="6" t="str">
        <f>HYPERLINK("javascript:void(0)","ócska nóta")</f>
        <v>ócska nóta</v>
      </c>
    </row>
    <row r="23159" spans="1:4" ht="12.75" customHeight="1" x14ac:dyDescent="0.2">
      <c r="B23159" s="2"/>
      <c r="C23159" s="15"/>
      <c r="D23159" s="2"/>
    </row>
    <row r="23160" spans="1:4" ht="12.75" customHeight="1" x14ac:dyDescent="0.2">
      <c r="B23160" s="2"/>
      <c r="C23160" s="15"/>
      <c r="D23160" s="2"/>
    </row>
    <row r="23161" spans="1:4" ht="12.75" customHeight="1" x14ac:dyDescent="0.2">
      <c r="A23161" s="13" t="s">
        <v>6403</v>
      </c>
      <c r="C23161" s="12"/>
    </row>
    <row r="23162" spans="1:4" ht="12.75" customHeight="1" x14ac:dyDescent="0.2">
      <c r="A23162" s="11"/>
      <c r="B23162" s="2"/>
      <c r="C23162" s="15"/>
      <c r="D23162" s="2"/>
    </row>
    <row r="23163" spans="1:4" ht="12.75" customHeight="1" x14ac:dyDescent="0.2">
      <c r="B23163" s="11" t="s">
        <v>0</v>
      </c>
      <c r="C23163" s="11" t="s">
        <v>1308</v>
      </c>
    </row>
    <row r="23164" spans="1:4" ht="12.75" customHeight="1" x14ac:dyDescent="0.2">
      <c r="B23164" s="11" t="s">
        <v>2599</v>
      </c>
      <c r="C23164" s="11" t="s">
        <v>2828</v>
      </c>
    </row>
    <row r="23165" spans="1:4" ht="25.5" customHeight="1" x14ac:dyDescent="0.2">
      <c r="B23165" s="11" t="s">
        <v>2600</v>
      </c>
      <c r="C23165" s="11" t="s">
        <v>6404</v>
      </c>
    </row>
    <row r="23166" spans="1:4" ht="25.5" customHeight="1" x14ac:dyDescent="0.2">
      <c r="B23166" s="11" t="s">
        <v>2601</v>
      </c>
      <c r="C23166" s="11"/>
    </row>
    <row r="23167" spans="1:4" ht="12.75" customHeight="1" x14ac:dyDescent="0.2">
      <c r="B23167" s="11" t="s">
        <v>16</v>
      </c>
      <c r="C23167" s="11"/>
    </row>
    <row r="23168" spans="1:4" ht="12.75" customHeight="1" x14ac:dyDescent="0.2">
      <c r="B23168" s="11" t="s">
        <v>13</v>
      </c>
      <c r="C23168" s="11" t="s">
        <v>2602</v>
      </c>
    </row>
    <row r="23169" spans="1:4" ht="12.75" customHeight="1" x14ac:dyDescent="0.2">
      <c r="B23169" s="11" t="s">
        <v>2603</v>
      </c>
      <c r="C23169" s="11" t="s">
        <v>2604</v>
      </c>
    </row>
    <row r="23170" spans="1:4" ht="12.75" customHeight="1" x14ac:dyDescent="0.2">
      <c r="B23170" s="11" t="s">
        <v>2605</v>
      </c>
      <c r="C23170" s="11" t="s">
        <v>24</v>
      </c>
    </row>
    <row r="23171" spans="1:4" ht="12.75" customHeight="1" x14ac:dyDescent="0.2">
      <c r="B23171" s="11" t="s">
        <v>2606</v>
      </c>
      <c r="C23171" s="16" t="s">
        <v>56</v>
      </c>
      <c r="D23171" s="6" t="str">
        <f>HYPERLINK("javascript:void(0)","melegige")</f>
        <v>melegige</v>
      </c>
    </row>
    <row r="23172" spans="1:4" ht="12.75" customHeight="1" x14ac:dyDescent="0.2">
      <c r="C23172" s="16" t="s">
        <v>44</v>
      </c>
      <c r="D23172" s="6" t="str">
        <f>HYPERLINK("javascript:void(0)","rémkép")</f>
        <v>rémkép</v>
      </c>
    </row>
    <row r="23173" spans="1:4" ht="12.75" customHeight="1" x14ac:dyDescent="0.2">
      <c r="B23173" s="2"/>
      <c r="C23173" s="15"/>
      <c r="D23173" s="2"/>
    </row>
    <row r="23174" spans="1:4" ht="12.75" customHeight="1" x14ac:dyDescent="0.2">
      <c r="B23174" s="2"/>
      <c r="C23174" s="15"/>
      <c r="D23174" s="2"/>
    </row>
    <row r="23175" spans="1:4" ht="12.75" customHeight="1" x14ac:dyDescent="0.2">
      <c r="A23175" s="13" t="s">
        <v>6405</v>
      </c>
      <c r="C23175" s="12"/>
    </row>
    <row r="23176" spans="1:4" ht="12.75" customHeight="1" x14ac:dyDescent="0.2">
      <c r="A23176" s="11"/>
      <c r="B23176" s="2"/>
      <c r="C23176" s="15"/>
      <c r="D23176" s="2"/>
    </row>
    <row r="23177" spans="1:4" ht="12.75" customHeight="1" x14ac:dyDescent="0.2">
      <c r="B23177" s="11" t="s">
        <v>0</v>
      </c>
      <c r="C23177" s="11" t="s">
        <v>1308</v>
      </c>
    </row>
    <row r="23178" spans="1:4" ht="12.75" customHeight="1" x14ac:dyDescent="0.2">
      <c r="B23178" s="11" t="s">
        <v>2599</v>
      </c>
      <c r="C23178" s="11" t="s">
        <v>6406</v>
      </c>
    </row>
    <row r="23179" spans="1:4" ht="25.5" customHeight="1" x14ac:dyDescent="0.2">
      <c r="B23179" s="11" t="s">
        <v>2600</v>
      </c>
      <c r="C23179" s="11" t="s">
        <v>6407</v>
      </c>
    </row>
    <row r="23180" spans="1:4" ht="25.5" customHeight="1" x14ac:dyDescent="0.2">
      <c r="B23180" s="11" t="s">
        <v>2601</v>
      </c>
      <c r="C23180" s="11"/>
    </row>
    <row r="23181" spans="1:4" ht="12.75" customHeight="1" x14ac:dyDescent="0.2">
      <c r="B23181" s="11" t="s">
        <v>16</v>
      </c>
      <c r="C23181" s="11"/>
    </row>
    <row r="23182" spans="1:4" ht="12.75" customHeight="1" x14ac:dyDescent="0.2">
      <c r="B23182" s="11" t="s">
        <v>13</v>
      </c>
      <c r="C23182" s="11" t="s">
        <v>2644</v>
      </c>
    </row>
    <row r="23183" spans="1:4" ht="12.75" customHeight="1" x14ac:dyDescent="0.2">
      <c r="B23183" s="11" t="s">
        <v>2603</v>
      </c>
      <c r="C23183" s="11" t="s">
        <v>2604</v>
      </c>
    </row>
    <row r="23184" spans="1:4" ht="12.75" customHeight="1" x14ac:dyDescent="0.2">
      <c r="B23184" s="11" t="s">
        <v>2605</v>
      </c>
      <c r="C23184" s="11" t="s">
        <v>24</v>
      </c>
    </row>
    <row r="23185" spans="1:4" ht="25.5" customHeight="1" x14ac:dyDescent="0.2">
      <c r="B23185" s="11" t="s">
        <v>2606</v>
      </c>
      <c r="C23185" s="16" t="s">
        <v>44</v>
      </c>
      <c r="D23185" s="6" t="str">
        <f>HYPERLINK("javascript:void(0)","gyomorgörcs")</f>
        <v>gyomorgörcs</v>
      </c>
    </row>
    <row r="23186" spans="1:4" ht="12.75" customHeight="1" x14ac:dyDescent="0.2">
      <c r="B23186" s="2"/>
      <c r="C23186" s="15"/>
      <c r="D23186" s="2"/>
    </row>
    <row r="23187" spans="1:4" ht="12.75" customHeight="1" x14ac:dyDescent="0.2">
      <c r="B23187" s="2"/>
      <c r="C23187" s="15"/>
      <c r="D23187" s="2"/>
    </row>
    <row r="23188" spans="1:4" ht="12.75" customHeight="1" x14ac:dyDescent="0.2">
      <c r="A23188" s="13" t="s">
        <v>6408</v>
      </c>
      <c r="C23188" s="12"/>
    </row>
    <row r="23189" spans="1:4" ht="12.75" customHeight="1" x14ac:dyDescent="0.2">
      <c r="A23189" s="11"/>
      <c r="B23189" s="2"/>
      <c r="C23189" s="15"/>
      <c r="D23189" s="2"/>
    </row>
    <row r="23190" spans="1:4" ht="12.75" customHeight="1" x14ac:dyDescent="0.2">
      <c r="B23190" s="11" t="s">
        <v>0</v>
      </c>
      <c r="C23190" s="11" t="s">
        <v>1308</v>
      </c>
    </row>
    <row r="23191" spans="1:4" ht="12.75" customHeight="1" x14ac:dyDescent="0.2">
      <c r="B23191" s="11" t="s">
        <v>2599</v>
      </c>
      <c r="C23191" s="11" t="s">
        <v>6409</v>
      </c>
    </row>
    <row r="23192" spans="1:4" ht="25.5" customHeight="1" x14ac:dyDescent="0.2">
      <c r="B23192" s="11" t="s">
        <v>2600</v>
      </c>
      <c r="C23192" s="11" t="s">
        <v>6410</v>
      </c>
    </row>
    <row r="23193" spans="1:4" ht="25.5" customHeight="1" x14ac:dyDescent="0.2">
      <c r="B23193" s="11" t="s">
        <v>2601</v>
      </c>
      <c r="C23193" s="11"/>
    </row>
    <row r="23194" spans="1:4" ht="12.75" customHeight="1" x14ac:dyDescent="0.2">
      <c r="B23194" s="11" t="s">
        <v>16</v>
      </c>
      <c r="C23194" s="11"/>
    </row>
    <row r="23195" spans="1:4" ht="12.75" customHeight="1" x14ac:dyDescent="0.2">
      <c r="B23195" s="11" t="s">
        <v>13</v>
      </c>
      <c r="C23195" s="11" t="s">
        <v>2602</v>
      </c>
    </row>
    <row r="23196" spans="1:4" ht="12.75" customHeight="1" x14ac:dyDescent="0.2">
      <c r="B23196" s="11" t="s">
        <v>2603</v>
      </c>
      <c r="C23196" s="11" t="s">
        <v>2604</v>
      </c>
    </row>
    <row r="23197" spans="1:4" ht="12.75" customHeight="1" x14ac:dyDescent="0.2">
      <c r="B23197" s="11" t="s">
        <v>2605</v>
      </c>
      <c r="C23197" s="11" t="s">
        <v>14</v>
      </c>
    </row>
    <row r="23198" spans="1:4" ht="12.75" customHeight="1" x14ac:dyDescent="0.2">
      <c r="B23198" s="11" t="s">
        <v>2606</v>
      </c>
      <c r="C23198" s="16" t="s">
        <v>44</v>
      </c>
      <c r="D23198" s="6" t="str">
        <f>HYPERLINK("javascript:void(0)","aqua dei")</f>
        <v>aqua dei</v>
      </c>
    </row>
    <row r="23199" spans="1:4" ht="12.75" customHeight="1" x14ac:dyDescent="0.2">
      <c r="C23199" s="16" t="s">
        <v>44</v>
      </c>
      <c r="D23199" s="6" t="str">
        <f>HYPERLINK("javascript:void(0)","regnum")</f>
        <v>regnum</v>
      </c>
    </row>
    <row r="23200" spans="1:4" ht="12.75" customHeight="1" x14ac:dyDescent="0.2">
      <c r="B23200" s="2"/>
      <c r="C23200" s="15"/>
      <c r="D23200" s="2"/>
    </row>
    <row r="23201" spans="1:4" ht="12.75" customHeight="1" x14ac:dyDescent="0.2">
      <c r="B23201" s="2"/>
      <c r="C23201" s="15"/>
      <c r="D23201" s="2"/>
    </row>
    <row r="23202" spans="1:4" ht="12.75" customHeight="1" x14ac:dyDescent="0.2">
      <c r="A23202" s="13" t="s">
        <v>6412</v>
      </c>
      <c r="C23202" s="12"/>
    </row>
    <row r="23203" spans="1:4" ht="12.75" customHeight="1" x14ac:dyDescent="0.2">
      <c r="A23203" s="11"/>
      <c r="B23203" s="2"/>
      <c r="C23203" s="15"/>
      <c r="D23203" s="2"/>
    </row>
    <row r="23204" spans="1:4" ht="12.75" customHeight="1" x14ac:dyDescent="0.2">
      <c r="B23204" s="11" t="s">
        <v>0</v>
      </c>
      <c r="C23204" s="11" t="s">
        <v>1308</v>
      </c>
    </row>
    <row r="23205" spans="1:4" ht="12.75" customHeight="1" x14ac:dyDescent="0.2">
      <c r="B23205" s="11" t="s">
        <v>2599</v>
      </c>
      <c r="C23205" s="11" t="s">
        <v>6413</v>
      </c>
    </row>
    <row r="23206" spans="1:4" ht="25.5" customHeight="1" x14ac:dyDescent="0.2">
      <c r="B23206" s="11" t="s">
        <v>2600</v>
      </c>
      <c r="C23206" s="11" t="s">
        <v>6414</v>
      </c>
    </row>
    <row r="23207" spans="1:4" ht="25.5" customHeight="1" x14ac:dyDescent="0.2">
      <c r="B23207" s="11" t="s">
        <v>2601</v>
      </c>
      <c r="C23207" s="11"/>
    </row>
    <row r="23208" spans="1:4" ht="12.75" customHeight="1" x14ac:dyDescent="0.2">
      <c r="B23208" s="11" t="s">
        <v>16</v>
      </c>
      <c r="C23208" s="11"/>
    </row>
    <row r="23209" spans="1:4" ht="12.75" customHeight="1" x14ac:dyDescent="0.2">
      <c r="B23209" s="11" t="s">
        <v>13</v>
      </c>
      <c r="C23209" s="11" t="s">
        <v>2602</v>
      </c>
    </row>
    <row r="23210" spans="1:4" ht="12.75" customHeight="1" x14ac:dyDescent="0.2">
      <c r="B23210" s="11" t="s">
        <v>2603</v>
      </c>
      <c r="C23210" s="11" t="s">
        <v>2604</v>
      </c>
    </row>
    <row r="23211" spans="1:4" ht="12.75" customHeight="1" x14ac:dyDescent="0.2">
      <c r="B23211" s="11" t="s">
        <v>2605</v>
      </c>
      <c r="C23211" s="11" t="s">
        <v>24</v>
      </c>
    </row>
    <row r="23212" spans="1:4" ht="25.5" customHeight="1" x14ac:dyDescent="0.2">
      <c r="B23212" s="11" t="s">
        <v>2606</v>
      </c>
      <c r="C23212" s="16" t="s">
        <v>44</v>
      </c>
      <c r="D23212" s="6" t="str">
        <f>HYPERLINK("javascript:void(0)","hódeszencia")</f>
        <v>hódeszencia</v>
      </c>
    </row>
    <row r="23213" spans="1:4" ht="12.75" customHeight="1" x14ac:dyDescent="0.2">
      <c r="B23213" s="2"/>
      <c r="C23213" s="15"/>
      <c r="D23213" s="2"/>
    </row>
    <row r="23214" spans="1:4" ht="12.75" customHeight="1" x14ac:dyDescent="0.2">
      <c r="B23214" s="2"/>
      <c r="C23214" s="15"/>
      <c r="D23214" s="2"/>
    </row>
    <row r="23215" spans="1:4" ht="12.75" customHeight="1" x14ac:dyDescent="0.2">
      <c r="A23215" s="13" t="s">
        <v>6351</v>
      </c>
      <c r="C23215" s="12"/>
      <c r="D23215" s="2"/>
    </row>
    <row r="23216" spans="1:4" ht="12.75" customHeight="1" x14ac:dyDescent="0.2">
      <c r="A23216" s="11"/>
      <c r="B23216" s="2"/>
      <c r="C23216" s="15"/>
      <c r="D23216" s="2"/>
    </row>
    <row r="23217" spans="1:4" ht="12.75" customHeight="1" x14ac:dyDescent="0.2">
      <c r="B23217" s="11" t="s">
        <v>0</v>
      </c>
      <c r="C23217" s="17" t="s">
        <v>361</v>
      </c>
      <c r="D23217" s="2"/>
    </row>
    <row r="23218" spans="1:4" ht="12.75" customHeight="1" x14ac:dyDescent="0.2">
      <c r="B23218" s="11" t="s">
        <v>2599</v>
      </c>
      <c r="C23218" s="17" t="s">
        <v>6352</v>
      </c>
      <c r="D23218" s="2"/>
    </row>
    <row r="23219" spans="1:4" ht="25.5" customHeight="1" x14ac:dyDescent="0.2">
      <c r="B23219" s="11" t="s">
        <v>2600</v>
      </c>
      <c r="C23219" s="17" t="s">
        <v>6415</v>
      </c>
      <c r="D23219" s="2"/>
    </row>
    <row r="23220" spans="1:4" ht="25.5" customHeight="1" x14ac:dyDescent="0.2">
      <c r="B23220" s="11" t="s">
        <v>2601</v>
      </c>
      <c r="C23220" s="17"/>
      <c r="D23220" s="2"/>
    </row>
    <row r="23221" spans="1:4" ht="12.75" customHeight="1" x14ac:dyDescent="0.2">
      <c r="B23221" s="11" t="s">
        <v>16</v>
      </c>
      <c r="C23221" s="17"/>
      <c r="D23221" s="2"/>
    </row>
    <row r="23222" spans="1:4" ht="12.75" customHeight="1" x14ac:dyDescent="0.2">
      <c r="B23222" s="11" t="s">
        <v>13</v>
      </c>
      <c r="C23222" s="17" t="s">
        <v>2644</v>
      </c>
      <c r="D23222" s="2"/>
    </row>
    <row r="23223" spans="1:4" ht="25.5" customHeight="1" x14ac:dyDescent="0.2">
      <c r="B23223" s="11" t="s">
        <v>2603</v>
      </c>
      <c r="C23223" s="17" t="s">
        <v>2971</v>
      </c>
      <c r="D23223" s="2"/>
    </row>
    <row r="23224" spans="1:4" ht="12.75" customHeight="1" x14ac:dyDescent="0.2">
      <c r="B23224" s="11" t="s">
        <v>2605</v>
      </c>
      <c r="C23224" s="17" t="s">
        <v>14</v>
      </c>
      <c r="D23224" s="2"/>
    </row>
    <row r="23225" spans="1:4" ht="12.75" customHeight="1" x14ac:dyDescent="0.2">
      <c r="B23225" s="11" t="s">
        <v>2606</v>
      </c>
      <c r="C23225" s="16" t="s">
        <v>19</v>
      </c>
      <c r="D23225" s="2"/>
    </row>
    <row r="23226" spans="1:4" ht="12.75" customHeight="1" x14ac:dyDescent="0.2">
      <c r="B23226" s="2"/>
      <c r="C23226" s="15"/>
      <c r="D23226" s="2"/>
    </row>
    <row r="23227" spans="1:4" ht="12.75" customHeight="1" x14ac:dyDescent="0.2">
      <c r="B23227" s="2"/>
      <c r="C23227" s="15"/>
      <c r="D23227" s="2"/>
    </row>
    <row r="23228" spans="1:4" ht="12.75" customHeight="1" x14ac:dyDescent="0.2">
      <c r="A23228" s="13" t="s">
        <v>6354</v>
      </c>
      <c r="C23228" s="12"/>
      <c r="D23228" s="2"/>
    </row>
    <row r="23229" spans="1:4" ht="12.75" customHeight="1" x14ac:dyDescent="0.2">
      <c r="A23229" s="11"/>
      <c r="B23229" s="2"/>
      <c r="C23229" s="15"/>
      <c r="D23229" s="2"/>
    </row>
    <row r="23230" spans="1:4" ht="12.75" customHeight="1" x14ac:dyDescent="0.2">
      <c r="B23230" s="11" t="s">
        <v>0</v>
      </c>
      <c r="C23230" s="17" t="s">
        <v>361</v>
      </c>
      <c r="D23230" s="2"/>
    </row>
    <row r="23231" spans="1:4" ht="12.75" customHeight="1" x14ac:dyDescent="0.2">
      <c r="B23231" s="11" t="s">
        <v>2599</v>
      </c>
      <c r="C23231" s="17" t="s">
        <v>6355</v>
      </c>
      <c r="D23231" s="2"/>
    </row>
    <row r="23232" spans="1:4" ht="25.5" customHeight="1" x14ac:dyDescent="0.2">
      <c r="B23232" s="11" t="s">
        <v>2600</v>
      </c>
      <c r="C23232" s="17" t="s">
        <v>6416</v>
      </c>
      <c r="D23232" s="2"/>
    </row>
    <row r="23233" spans="1:4" ht="25.5" customHeight="1" x14ac:dyDescent="0.2">
      <c r="B23233" s="11" t="s">
        <v>2601</v>
      </c>
      <c r="C23233" s="17"/>
      <c r="D23233" s="2"/>
    </row>
    <row r="23234" spans="1:4" ht="12.75" customHeight="1" x14ac:dyDescent="0.2">
      <c r="B23234" s="11" t="s">
        <v>16</v>
      </c>
      <c r="C23234" s="17"/>
      <c r="D23234" s="2"/>
    </row>
    <row r="23235" spans="1:4" ht="12.75" customHeight="1" x14ac:dyDescent="0.2">
      <c r="B23235" s="11" t="s">
        <v>13</v>
      </c>
      <c r="C23235" s="17" t="s">
        <v>2602</v>
      </c>
      <c r="D23235" s="2"/>
    </row>
    <row r="23236" spans="1:4" ht="25.5" customHeight="1" x14ac:dyDescent="0.2">
      <c r="B23236" s="11" t="s">
        <v>2603</v>
      </c>
      <c r="C23236" s="17" t="s">
        <v>2971</v>
      </c>
      <c r="D23236" s="2"/>
    </row>
    <row r="23237" spans="1:4" ht="12.75" customHeight="1" x14ac:dyDescent="0.2">
      <c r="B23237" s="11" t="s">
        <v>2605</v>
      </c>
      <c r="C23237" s="17" t="s">
        <v>14</v>
      </c>
      <c r="D23237" s="2"/>
    </row>
    <row r="23238" spans="1:4" ht="12.75" customHeight="1" x14ac:dyDescent="0.2">
      <c r="B23238" s="11" t="s">
        <v>2606</v>
      </c>
      <c r="C23238" s="16" t="s">
        <v>19</v>
      </c>
      <c r="D23238" s="2"/>
    </row>
    <row r="23239" spans="1:4" ht="12.75" customHeight="1" x14ac:dyDescent="0.2">
      <c r="B23239" s="2"/>
      <c r="C23239" s="15"/>
      <c r="D23239" s="2"/>
    </row>
    <row r="23240" spans="1:4" ht="12.75" customHeight="1" x14ac:dyDescent="0.2">
      <c r="B23240" s="2"/>
      <c r="C23240" s="15"/>
      <c r="D23240" s="2"/>
    </row>
    <row r="23241" spans="1:4" ht="12.75" customHeight="1" x14ac:dyDescent="0.2">
      <c r="A23241" s="13" t="s">
        <v>6357</v>
      </c>
      <c r="C23241" s="12"/>
      <c r="D23241" s="2"/>
    </row>
    <row r="23242" spans="1:4" ht="12.75" customHeight="1" x14ac:dyDescent="0.2">
      <c r="A23242" s="11"/>
      <c r="B23242" s="2"/>
      <c r="C23242" s="15"/>
      <c r="D23242" s="2"/>
    </row>
    <row r="23243" spans="1:4" ht="12.75" customHeight="1" x14ac:dyDescent="0.2">
      <c r="B23243" s="11" t="s">
        <v>0</v>
      </c>
      <c r="C23243" s="17" t="s">
        <v>361</v>
      </c>
      <c r="D23243" s="2"/>
    </row>
    <row r="23244" spans="1:4" ht="12.75" customHeight="1" x14ac:dyDescent="0.2">
      <c r="B23244" s="11" t="s">
        <v>2599</v>
      </c>
      <c r="C23244" s="17" t="s">
        <v>5597</v>
      </c>
      <c r="D23244" s="2"/>
    </row>
    <row r="23245" spans="1:4" ht="25.5" customHeight="1" x14ac:dyDescent="0.2">
      <c r="B23245" s="11" t="s">
        <v>2600</v>
      </c>
      <c r="C23245" s="17" t="s">
        <v>6417</v>
      </c>
      <c r="D23245" s="2"/>
    </row>
    <row r="23246" spans="1:4" ht="25.5" customHeight="1" x14ac:dyDescent="0.2">
      <c r="B23246" s="11" t="s">
        <v>2601</v>
      </c>
      <c r="C23246" s="17"/>
      <c r="D23246" s="2"/>
    </row>
    <row r="23247" spans="1:4" ht="12.75" customHeight="1" x14ac:dyDescent="0.2">
      <c r="B23247" s="11" t="s">
        <v>16</v>
      </c>
      <c r="C23247" s="17"/>
      <c r="D23247" s="2"/>
    </row>
    <row r="23248" spans="1:4" ht="12.75" customHeight="1" x14ac:dyDescent="0.2">
      <c r="B23248" s="11" t="s">
        <v>13</v>
      </c>
      <c r="C23248" s="17" t="s">
        <v>2644</v>
      </c>
      <c r="D23248" s="2"/>
    </row>
    <row r="23249" spans="1:4" ht="25.5" customHeight="1" x14ac:dyDescent="0.2">
      <c r="B23249" s="11" t="s">
        <v>2603</v>
      </c>
      <c r="C23249" s="17" t="s">
        <v>2971</v>
      </c>
      <c r="D23249" s="2"/>
    </row>
    <row r="23250" spans="1:4" ht="12.75" customHeight="1" x14ac:dyDescent="0.2">
      <c r="B23250" s="11" t="s">
        <v>2605</v>
      </c>
      <c r="C23250" s="17" t="s">
        <v>14</v>
      </c>
      <c r="D23250" s="2"/>
    </row>
    <row r="23251" spans="1:4" ht="12.75" customHeight="1" x14ac:dyDescent="0.2">
      <c r="B23251" s="11" t="s">
        <v>2606</v>
      </c>
      <c r="C23251" s="16" t="s">
        <v>19</v>
      </c>
      <c r="D23251" s="2"/>
    </row>
    <row r="23252" spans="1:4" ht="12.75" customHeight="1" x14ac:dyDescent="0.2">
      <c r="B23252" s="2"/>
      <c r="C23252" s="15"/>
      <c r="D23252" s="2"/>
    </row>
    <row r="23253" spans="1:4" ht="12.75" customHeight="1" x14ac:dyDescent="0.2">
      <c r="B23253" s="2"/>
      <c r="C23253" s="15"/>
      <c r="D23253" s="2"/>
    </row>
    <row r="23254" spans="1:4" ht="12.75" customHeight="1" x14ac:dyDescent="0.2">
      <c r="A23254" s="13" t="s">
        <v>6360</v>
      </c>
      <c r="C23254" s="12"/>
      <c r="D23254" s="2"/>
    </row>
    <row r="23255" spans="1:4" ht="12.75" customHeight="1" x14ac:dyDescent="0.2">
      <c r="A23255" s="11"/>
      <c r="B23255" s="2"/>
      <c r="C23255" s="15"/>
      <c r="D23255" s="2"/>
    </row>
    <row r="23256" spans="1:4" ht="12.75" customHeight="1" x14ac:dyDescent="0.2">
      <c r="B23256" s="11" t="s">
        <v>0</v>
      </c>
      <c r="C23256" s="17" t="s">
        <v>361</v>
      </c>
      <c r="D23256" s="2"/>
    </row>
    <row r="23257" spans="1:4" ht="12.75" customHeight="1" x14ac:dyDescent="0.2">
      <c r="B23257" s="11" t="s">
        <v>2599</v>
      </c>
      <c r="C23257" s="17" t="s">
        <v>6361</v>
      </c>
      <c r="D23257" s="2"/>
    </row>
    <row r="23258" spans="1:4" ht="25.5" customHeight="1" x14ac:dyDescent="0.2">
      <c r="B23258" s="11" t="s">
        <v>2600</v>
      </c>
      <c r="C23258" s="17" t="s">
        <v>6418</v>
      </c>
      <c r="D23258" s="2"/>
    </row>
    <row r="23259" spans="1:4" ht="25.5" customHeight="1" x14ac:dyDescent="0.2">
      <c r="B23259" s="11" t="s">
        <v>2601</v>
      </c>
      <c r="C23259" s="17"/>
      <c r="D23259" s="2"/>
    </row>
    <row r="23260" spans="1:4" ht="12.75" customHeight="1" x14ac:dyDescent="0.2">
      <c r="B23260" s="11" t="s">
        <v>16</v>
      </c>
      <c r="C23260" s="17"/>
      <c r="D23260" s="2"/>
    </row>
    <row r="23261" spans="1:4" ht="12.75" customHeight="1" x14ac:dyDescent="0.2">
      <c r="B23261" s="11" t="s">
        <v>13</v>
      </c>
      <c r="C23261" s="17" t="s">
        <v>2644</v>
      </c>
      <c r="D23261" s="2"/>
    </row>
    <row r="23262" spans="1:4" ht="25.5" customHeight="1" x14ac:dyDescent="0.2">
      <c r="B23262" s="11" t="s">
        <v>2603</v>
      </c>
      <c r="C23262" s="17" t="s">
        <v>2971</v>
      </c>
      <c r="D23262" s="2"/>
    </row>
    <row r="23263" spans="1:4" ht="12.75" customHeight="1" x14ac:dyDescent="0.2">
      <c r="B23263" s="11" t="s">
        <v>2605</v>
      </c>
      <c r="C23263" s="17" t="s">
        <v>14</v>
      </c>
      <c r="D23263" s="2"/>
    </row>
    <row r="23264" spans="1:4" ht="12.75" customHeight="1" x14ac:dyDescent="0.2">
      <c r="B23264" s="11" t="s">
        <v>2606</v>
      </c>
      <c r="C23264" s="16" t="s">
        <v>19</v>
      </c>
      <c r="D23264" s="2"/>
    </row>
    <row r="23265" spans="1:4" ht="12.75" customHeight="1" x14ac:dyDescent="0.2">
      <c r="B23265" s="2"/>
      <c r="C23265" s="15"/>
      <c r="D23265" s="2"/>
    </row>
    <row r="23266" spans="1:4" ht="12.75" customHeight="1" x14ac:dyDescent="0.2">
      <c r="B23266" s="2"/>
      <c r="C23266" s="15"/>
      <c r="D23266" s="2"/>
    </row>
    <row r="23267" spans="1:4" ht="12.75" customHeight="1" x14ac:dyDescent="0.2">
      <c r="A23267" s="13" t="s">
        <v>6419</v>
      </c>
      <c r="C23267" s="12"/>
    </row>
    <row r="23268" spans="1:4" ht="12.75" customHeight="1" x14ac:dyDescent="0.2">
      <c r="A23268" s="11"/>
      <c r="B23268" s="2"/>
      <c r="C23268" s="15"/>
      <c r="D23268" s="2"/>
    </row>
    <row r="23269" spans="1:4" ht="12.75" customHeight="1" x14ac:dyDescent="0.2">
      <c r="B23269" s="11" t="s">
        <v>0</v>
      </c>
      <c r="C23269" s="11" t="s">
        <v>361</v>
      </c>
    </row>
    <row r="23270" spans="1:4" ht="12.75" customHeight="1" x14ac:dyDescent="0.2">
      <c r="B23270" s="11" t="s">
        <v>2599</v>
      </c>
      <c r="C23270" s="11" t="s">
        <v>2807</v>
      </c>
    </row>
    <row r="23271" spans="1:4" ht="25.5" customHeight="1" x14ac:dyDescent="0.2">
      <c r="B23271" s="11" t="s">
        <v>2600</v>
      </c>
      <c r="C23271" s="11" t="s">
        <v>6420</v>
      </c>
    </row>
    <row r="23272" spans="1:4" ht="25.5" customHeight="1" x14ac:dyDescent="0.2">
      <c r="B23272" s="11" t="s">
        <v>2601</v>
      </c>
      <c r="C23272" s="11"/>
    </row>
    <row r="23273" spans="1:4" ht="12.75" customHeight="1" x14ac:dyDescent="0.2">
      <c r="B23273" s="11" t="s">
        <v>16</v>
      </c>
      <c r="C23273" s="11"/>
    </row>
    <row r="23274" spans="1:4" ht="12.75" customHeight="1" x14ac:dyDescent="0.2">
      <c r="B23274" s="11" t="s">
        <v>13</v>
      </c>
      <c r="C23274" s="11" t="s">
        <v>2644</v>
      </c>
    </row>
    <row r="23275" spans="1:4" ht="12.75" customHeight="1" x14ac:dyDescent="0.2">
      <c r="B23275" s="11" t="s">
        <v>2603</v>
      </c>
      <c r="C23275" s="11" t="s">
        <v>2604</v>
      </c>
    </row>
    <row r="23276" spans="1:4" ht="12.75" customHeight="1" x14ac:dyDescent="0.2">
      <c r="B23276" s="11" t="s">
        <v>2605</v>
      </c>
      <c r="C23276" s="11" t="s">
        <v>14</v>
      </c>
    </row>
    <row r="23277" spans="1:4" ht="12.75" customHeight="1" x14ac:dyDescent="0.2">
      <c r="B23277" s="11" t="s">
        <v>2606</v>
      </c>
      <c r="C23277" s="16" t="s">
        <v>44</v>
      </c>
      <c r="D23277" s="6" t="str">
        <f>HYPERLINK("javascript:void(0)","pajzskeret")</f>
        <v>pajzskeret</v>
      </c>
    </row>
    <row r="23278" spans="1:4" ht="12.75" customHeight="1" x14ac:dyDescent="0.2">
      <c r="B23278" s="2"/>
      <c r="C23278" s="15"/>
      <c r="D23278" s="2"/>
    </row>
    <row r="23279" spans="1:4" ht="12.75" customHeight="1" x14ac:dyDescent="0.2">
      <c r="B23279" s="2"/>
      <c r="C23279" s="15"/>
      <c r="D23279" s="2"/>
    </row>
    <row r="23280" spans="1:4" ht="12.75" customHeight="1" x14ac:dyDescent="0.2">
      <c r="A23280" s="13" t="s">
        <v>6421</v>
      </c>
      <c r="C23280" s="12"/>
    </row>
    <row r="23281" spans="1:4" ht="12.75" customHeight="1" x14ac:dyDescent="0.2">
      <c r="A23281" s="11"/>
      <c r="B23281" s="2"/>
      <c r="C23281" s="15"/>
      <c r="D23281" s="2"/>
    </row>
    <row r="23282" spans="1:4" ht="12.75" customHeight="1" x14ac:dyDescent="0.2">
      <c r="B23282" s="11" t="s">
        <v>0</v>
      </c>
      <c r="C23282" s="11" t="s">
        <v>361</v>
      </c>
    </row>
    <row r="23283" spans="1:4" ht="12.75" customHeight="1" x14ac:dyDescent="0.2">
      <c r="B23283" s="11" t="s">
        <v>2599</v>
      </c>
      <c r="C23283" s="11" t="s">
        <v>3410</v>
      </c>
    </row>
    <row r="23284" spans="1:4" ht="25.5" customHeight="1" x14ac:dyDescent="0.2">
      <c r="B23284" s="11" t="s">
        <v>2600</v>
      </c>
      <c r="C23284" s="11" t="s">
        <v>6422</v>
      </c>
    </row>
    <row r="23285" spans="1:4" ht="25.5" customHeight="1" x14ac:dyDescent="0.2">
      <c r="B23285" s="11" t="s">
        <v>2601</v>
      </c>
      <c r="C23285" s="11"/>
    </row>
    <row r="23286" spans="1:4" ht="12.75" customHeight="1" x14ac:dyDescent="0.2">
      <c r="B23286" s="11" t="s">
        <v>16</v>
      </c>
      <c r="C23286" s="11"/>
    </row>
    <row r="23287" spans="1:4" ht="12.75" customHeight="1" x14ac:dyDescent="0.2">
      <c r="B23287" s="11" t="s">
        <v>13</v>
      </c>
      <c r="C23287" s="11" t="s">
        <v>2644</v>
      </c>
    </row>
    <row r="23288" spans="1:4" ht="12.75" customHeight="1" x14ac:dyDescent="0.2">
      <c r="B23288" s="11" t="s">
        <v>2603</v>
      </c>
      <c r="C23288" s="11" t="s">
        <v>2604</v>
      </c>
    </row>
    <row r="23289" spans="1:4" ht="12.75" customHeight="1" x14ac:dyDescent="0.2">
      <c r="B23289" s="11" t="s">
        <v>2605</v>
      </c>
      <c r="C23289" s="11" t="s">
        <v>14</v>
      </c>
    </row>
    <row r="23290" spans="1:4" ht="12.75" customHeight="1" x14ac:dyDescent="0.2">
      <c r="B23290" s="11" t="s">
        <v>2606</v>
      </c>
      <c r="C23290" s="16" t="s">
        <v>44</v>
      </c>
      <c r="D23290" s="6" t="str">
        <f>HYPERLINK("javascript:void(0)","lélekkristály")</f>
        <v>lélekkristály</v>
      </c>
    </row>
    <row r="23291" spans="1:4" ht="12.75" customHeight="1" x14ac:dyDescent="0.2">
      <c r="B23291" s="2"/>
      <c r="C23291" s="15"/>
      <c r="D23291" s="2"/>
    </row>
    <row r="23292" spans="1:4" ht="12.75" customHeight="1" x14ac:dyDescent="0.2">
      <c r="B23292" s="2"/>
      <c r="C23292" s="15"/>
      <c r="D23292" s="2"/>
    </row>
    <row r="23293" spans="1:4" ht="12.75" customHeight="1" x14ac:dyDescent="0.2">
      <c r="A23293" s="13" t="s">
        <v>6423</v>
      </c>
      <c r="C23293" s="12"/>
    </row>
    <row r="23294" spans="1:4" ht="12.75" customHeight="1" x14ac:dyDescent="0.2">
      <c r="A23294" s="11"/>
      <c r="B23294" s="2"/>
      <c r="C23294" s="15"/>
      <c r="D23294" s="2"/>
    </row>
    <row r="23295" spans="1:4" ht="12.75" customHeight="1" x14ac:dyDescent="0.2">
      <c r="B23295" s="11" t="s">
        <v>0</v>
      </c>
      <c r="C23295" s="11" t="s">
        <v>361</v>
      </c>
    </row>
    <row r="23296" spans="1:4" ht="12.75" customHeight="1" x14ac:dyDescent="0.2">
      <c r="B23296" s="11" t="s">
        <v>2599</v>
      </c>
      <c r="C23296" s="11" t="s">
        <v>3705</v>
      </c>
    </row>
    <row r="23297" spans="1:4" ht="25.5" customHeight="1" x14ac:dyDescent="0.2">
      <c r="B23297" s="11" t="s">
        <v>2600</v>
      </c>
      <c r="C23297" s="11" t="s">
        <v>6424</v>
      </c>
    </row>
    <row r="23298" spans="1:4" ht="25.5" customHeight="1" x14ac:dyDescent="0.2">
      <c r="B23298" s="11" t="s">
        <v>2601</v>
      </c>
      <c r="C23298" s="11"/>
    </row>
    <row r="23299" spans="1:4" ht="12.75" customHeight="1" x14ac:dyDescent="0.2">
      <c r="B23299" s="11" t="s">
        <v>16</v>
      </c>
      <c r="C23299" s="11"/>
    </row>
    <row r="23300" spans="1:4" ht="12.75" customHeight="1" x14ac:dyDescent="0.2">
      <c r="B23300" s="11" t="s">
        <v>13</v>
      </c>
      <c r="C23300" s="11" t="s">
        <v>2602</v>
      </c>
    </row>
    <row r="23301" spans="1:4" ht="12.75" customHeight="1" x14ac:dyDescent="0.2">
      <c r="B23301" s="11" t="s">
        <v>2603</v>
      </c>
      <c r="C23301" s="11" t="s">
        <v>2604</v>
      </c>
    </row>
    <row r="23302" spans="1:4" ht="12.75" customHeight="1" x14ac:dyDescent="0.2">
      <c r="B23302" s="11" t="s">
        <v>2605</v>
      </c>
      <c r="C23302" s="11" t="s">
        <v>14</v>
      </c>
    </row>
    <row r="23303" spans="1:4" ht="12.75" customHeight="1" x14ac:dyDescent="0.2">
      <c r="B23303" s="11" t="s">
        <v>2606</v>
      </c>
      <c r="C23303" s="16" t="s">
        <v>44</v>
      </c>
      <c r="D23303" s="6" t="str">
        <f>HYPERLINK("javascript:void(0)","feslett háló")</f>
        <v>feslett háló</v>
      </c>
    </row>
    <row r="23304" spans="1:4" ht="12.75" customHeight="1" x14ac:dyDescent="0.2">
      <c r="B23304" s="2"/>
      <c r="C23304" s="15"/>
      <c r="D23304" s="2"/>
    </row>
    <row r="23305" spans="1:4" ht="12.75" customHeight="1" x14ac:dyDescent="0.2">
      <c r="B23305" s="2"/>
      <c r="C23305" s="15"/>
      <c r="D23305" s="2"/>
    </row>
    <row r="23306" spans="1:4" ht="12.75" customHeight="1" x14ac:dyDescent="0.2">
      <c r="A23306" s="13" t="s">
        <v>6425</v>
      </c>
      <c r="C23306" s="12"/>
    </row>
    <row r="23307" spans="1:4" ht="12.75" customHeight="1" x14ac:dyDescent="0.2">
      <c r="A23307" s="11"/>
      <c r="B23307" s="2"/>
      <c r="C23307" s="15"/>
      <c r="D23307" s="2"/>
    </row>
    <row r="23308" spans="1:4" ht="12.75" customHeight="1" x14ac:dyDescent="0.2">
      <c r="B23308" s="11" t="s">
        <v>0</v>
      </c>
      <c r="C23308" s="11" t="s">
        <v>361</v>
      </c>
    </row>
    <row r="23309" spans="1:4" ht="12.75" customHeight="1" x14ac:dyDescent="0.2">
      <c r="B23309" s="11" t="s">
        <v>2599</v>
      </c>
      <c r="C23309" s="11" t="s">
        <v>6426</v>
      </c>
    </row>
    <row r="23310" spans="1:4" ht="25.5" customHeight="1" x14ac:dyDescent="0.2">
      <c r="B23310" s="11" t="s">
        <v>2600</v>
      </c>
      <c r="C23310" s="11" t="s">
        <v>6427</v>
      </c>
    </row>
    <row r="23311" spans="1:4" ht="25.5" customHeight="1" x14ac:dyDescent="0.2">
      <c r="B23311" s="11" t="s">
        <v>2601</v>
      </c>
      <c r="C23311" s="11"/>
    </row>
    <row r="23312" spans="1:4" ht="12.75" customHeight="1" x14ac:dyDescent="0.2">
      <c r="B23312" s="11" t="s">
        <v>16</v>
      </c>
      <c r="C23312" s="11"/>
    </row>
    <row r="23313" spans="1:4" ht="12.75" customHeight="1" x14ac:dyDescent="0.2">
      <c r="B23313" s="11" t="s">
        <v>13</v>
      </c>
      <c r="C23313" s="11" t="s">
        <v>2602</v>
      </c>
    </row>
    <row r="23314" spans="1:4" ht="12.75" customHeight="1" x14ac:dyDescent="0.2">
      <c r="B23314" s="11" t="s">
        <v>2603</v>
      </c>
      <c r="C23314" s="11" t="s">
        <v>2604</v>
      </c>
    </row>
    <row r="23315" spans="1:4" ht="12.75" customHeight="1" x14ac:dyDescent="0.2">
      <c r="B23315" s="11" t="s">
        <v>2605</v>
      </c>
      <c r="C23315" s="11" t="s">
        <v>24</v>
      </c>
    </row>
    <row r="23316" spans="1:4" ht="12.75" customHeight="1" x14ac:dyDescent="0.2">
      <c r="B23316" s="11" t="s">
        <v>2606</v>
      </c>
      <c r="C23316" s="16" t="s">
        <v>44</v>
      </c>
      <c r="D23316" s="6" t="str">
        <f>HYPERLINK("javascript:void(0)","lábkarcsont")</f>
        <v>lábkarcsont</v>
      </c>
    </row>
    <row r="23317" spans="1:4" ht="12.75" customHeight="1" x14ac:dyDescent="0.2">
      <c r="B23317" s="2"/>
      <c r="C23317" s="15"/>
      <c r="D23317" s="2"/>
    </row>
    <row r="23318" spans="1:4" ht="12.75" customHeight="1" x14ac:dyDescent="0.2">
      <c r="B23318" s="2"/>
      <c r="C23318" s="15"/>
      <c r="D23318" s="2"/>
    </row>
    <row r="23319" spans="1:4" ht="12.75" customHeight="1" x14ac:dyDescent="0.2">
      <c r="A23319" s="13" t="s">
        <v>6428</v>
      </c>
      <c r="C23319" s="12"/>
    </row>
    <row r="23320" spans="1:4" ht="12.75" customHeight="1" x14ac:dyDescent="0.2">
      <c r="A23320" s="11"/>
      <c r="B23320" s="2"/>
      <c r="C23320" s="15"/>
      <c r="D23320" s="2"/>
    </row>
    <row r="23321" spans="1:4" ht="12.75" customHeight="1" x14ac:dyDescent="0.2">
      <c r="B23321" s="11" t="s">
        <v>0</v>
      </c>
      <c r="C23321" s="11" t="s">
        <v>361</v>
      </c>
    </row>
    <row r="23322" spans="1:4" ht="12.75" customHeight="1" x14ac:dyDescent="0.2">
      <c r="B23322" s="11" t="s">
        <v>2599</v>
      </c>
      <c r="C23322" s="11" t="s">
        <v>3111</v>
      </c>
    </row>
    <row r="23323" spans="1:4" ht="25.5" customHeight="1" x14ac:dyDescent="0.2">
      <c r="B23323" s="11" t="s">
        <v>2600</v>
      </c>
      <c r="C23323" s="11" t="s">
        <v>6429</v>
      </c>
    </row>
    <row r="23324" spans="1:4" ht="25.5" customHeight="1" x14ac:dyDescent="0.2">
      <c r="B23324" s="11" t="s">
        <v>2601</v>
      </c>
      <c r="C23324" s="11"/>
    </row>
    <row r="23325" spans="1:4" ht="12.75" customHeight="1" x14ac:dyDescent="0.2">
      <c r="B23325" s="11" t="s">
        <v>16</v>
      </c>
      <c r="C23325" s="11"/>
    </row>
    <row r="23326" spans="1:4" ht="12.75" customHeight="1" x14ac:dyDescent="0.2">
      <c r="B23326" s="11" t="s">
        <v>13</v>
      </c>
      <c r="C23326" s="11" t="s">
        <v>2602</v>
      </c>
    </row>
    <row r="23327" spans="1:4" ht="12.75" customHeight="1" x14ac:dyDescent="0.2">
      <c r="B23327" s="11" t="s">
        <v>2603</v>
      </c>
      <c r="C23327" s="11" t="s">
        <v>2604</v>
      </c>
    </row>
    <row r="23328" spans="1:4" ht="12.75" customHeight="1" x14ac:dyDescent="0.2">
      <c r="B23328" s="11" t="s">
        <v>2605</v>
      </c>
      <c r="C23328" s="11" t="s">
        <v>24</v>
      </c>
    </row>
    <row r="23329" spans="1:4" ht="12.75" customHeight="1" x14ac:dyDescent="0.2">
      <c r="B23329" s="11" t="s">
        <v>2606</v>
      </c>
      <c r="C23329" s="16" t="s">
        <v>309</v>
      </c>
      <c r="D23329" s="6" t="str">
        <f>HYPERLINK("javascript:void(0)","madártoll")</f>
        <v>madártoll</v>
      </c>
    </row>
    <row r="23330" spans="1:4" ht="12.75" customHeight="1" x14ac:dyDescent="0.2">
      <c r="C23330" s="16" t="s">
        <v>44</v>
      </c>
      <c r="D23330" s="6" t="str">
        <f>HYPERLINK("javascript:void(0)","tyúkszem")</f>
        <v>tyúkszem</v>
      </c>
    </row>
    <row r="23331" spans="1:4" ht="12.75" customHeight="1" x14ac:dyDescent="0.2">
      <c r="B23331" s="2"/>
      <c r="C23331" s="15"/>
      <c r="D23331" s="2"/>
    </row>
    <row r="23332" spans="1:4" ht="12.75" customHeight="1" x14ac:dyDescent="0.2">
      <c r="B23332" s="2"/>
      <c r="C23332" s="15"/>
      <c r="D23332" s="2"/>
    </row>
    <row r="23333" spans="1:4" ht="12.75" customHeight="1" x14ac:dyDescent="0.2">
      <c r="A23333" s="13" t="s">
        <v>6431</v>
      </c>
      <c r="C23333" s="12"/>
    </row>
    <row r="23334" spans="1:4" ht="12.75" customHeight="1" x14ac:dyDescent="0.2">
      <c r="A23334" s="11"/>
      <c r="B23334" s="2"/>
      <c r="C23334" s="15"/>
      <c r="D23334" s="2"/>
    </row>
    <row r="23335" spans="1:4" ht="12.75" customHeight="1" x14ac:dyDescent="0.2">
      <c r="B23335" s="11" t="s">
        <v>0</v>
      </c>
      <c r="C23335" s="11" t="s">
        <v>361</v>
      </c>
    </row>
    <row r="23336" spans="1:4" ht="12.75" customHeight="1" x14ac:dyDescent="0.2">
      <c r="B23336" s="11" t="s">
        <v>2599</v>
      </c>
      <c r="C23336" s="11" t="s">
        <v>1169</v>
      </c>
    </row>
    <row r="23337" spans="1:4" ht="25.5" customHeight="1" x14ac:dyDescent="0.2">
      <c r="B23337" s="11" t="s">
        <v>2600</v>
      </c>
      <c r="C23337" s="11" t="s">
        <v>6432</v>
      </c>
    </row>
    <row r="23338" spans="1:4" ht="25.5" customHeight="1" x14ac:dyDescent="0.2">
      <c r="B23338" s="11" t="s">
        <v>2601</v>
      </c>
      <c r="C23338" s="11"/>
    </row>
    <row r="23339" spans="1:4" ht="12.75" customHeight="1" x14ac:dyDescent="0.2">
      <c r="B23339" s="11" t="s">
        <v>16</v>
      </c>
      <c r="C23339" s="11"/>
    </row>
    <row r="23340" spans="1:4" ht="12.75" customHeight="1" x14ac:dyDescent="0.2">
      <c r="B23340" s="11" t="s">
        <v>13</v>
      </c>
      <c r="C23340" s="11" t="s">
        <v>2602</v>
      </c>
    </row>
    <row r="23341" spans="1:4" ht="12.75" customHeight="1" x14ac:dyDescent="0.2">
      <c r="B23341" s="11" t="s">
        <v>2603</v>
      </c>
      <c r="C23341" s="11" t="s">
        <v>2604</v>
      </c>
    </row>
    <row r="23342" spans="1:4" ht="12.75" customHeight="1" x14ac:dyDescent="0.2">
      <c r="B23342" s="11" t="s">
        <v>2605</v>
      </c>
      <c r="C23342" s="11" t="s">
        <v>24</v>
      </c>
    </row>
    <row r="23343" spans="1:4" ht="12.75" customHeight="1" x14ac:dyDescent="0.2">
      <c r="B23343" s="11" t="s">
        <v>2606</v>
      </c>
      <c r="C23343" s="16" t="s">
        <v>57</v>
      </c>
      <c r="D23343" s="6" t="str">
        <f>HYPERLINK("javascript:void(0)","gyöngy")</f>
        <v>gyöngy</v>
      </c>
    </row>
    <row r="23344" spans="1:4" ht="25.5" customHeight="1" x14ac:dyDescent="0.2">
      <c r="C23344" s="16" t="s">
        <v>55</v>
      </c>
      <c r="D23344" s="6" t="str">
        <f>HYPERLINK("javascript:void(0)","szúnyogszárny")</f>
        <v>szúnyogszárny</v>
      </c>
    </row>
    <row r="23345" spans="1:4" ht="12.75" customHeight="1" x14ac:dyDescent="0.2">
      <c r="B23345" s="2"/>
      <c r="C23345" s="15"/>
      <c r="D23345" s="2"/>
    </row>
    <row r="23346" spans="1:4" ht="12.75" customHeight="1" x14ac:dyDescent="0.2">
      <c r="B23346" s="2"/>
      <c r="C23346" s="15"/>
      <c r="D23346" s="2"/>
    </row>
    <row r="23347" spans="1:4" ht="12.75" customHeight="1" x14ac:dyDescent="0.2">
      <c r="A23347" s="13" t="s">
        <v>6433</v>
      </c>
      <c r="C23347" s="12"/>
    </row>
    <row r="23348" spans="1:4" ht="12.75" customHeight="1" x14ac:dyDescent="0.2">
      <c r="A23348" s="11"/>
      <c r="B23348" s="2"/>
      <c r="C23348" s="15"/>
      <c r="D23348" s="2"/>
    </row>
    <row r="23349" spans="1:4" ht="12.75" customHeight="1" x14ac:dyDescent="0.2">
      <c r="B23349" s="11" t="s">
        <v>0</v>
      </c>
      <c r="C23349" s="11" t="s">
        <v>361</v>
      </c>
    </row>
    <row r="23350" spans="1:4" ht="12.75" customHeight="1" x14ac:dyDescent="0.2">
      <c r="B23350" s="11" t="s">
        <v>2599</v>
      </c>
      <c r="C23350" s="11" t="s">
        <v>1127</v>
      </c>
    </row>
    <row r="23351" spans="1:4" ht="25.5" customHeight="1" x14ac:dyDescent="0.2">
      <c r="B23351" s="11" t="s">
        <v>2600</v>
      </c>
      <c r="C23351" s="11" t="s">
        <v>6434</v>
      </c>
    </row>
    <row r="23352" spans="1:4" ht="25.5" customHeight="1" x14ac:dyDescent="0.2">
      <c r="B23352" s="11" t="s">
        <v>2601</v>
      </c>
      <c r="C23352" s="11"/>
    </row>
    <row r="23353" spans="1:4" ht="12.75" customHeight="1" x14ac:dyDescent="0.2">
      <c r="B23353" s="11" t="s">
        <v>16</v>
      </c>
      <c r="C23353" s="11"/>
    </row>
    <row r="23354" spans="1:4" ht="12.75" customHeight="1" x14ac:dyDescent="0.2">
      <c r="B23354" s="11" t="s">
        <v>13</v>
      </c>
      <c r="C23354" s="11" t="s">
        <v>2602</v>
      </c>
    </row>
    <row r="23355" spans="1:4" ht="12.75" customHeight="1" x14ac:dyDescent="0.2">
      <c r="B23355" s="11" t="s">
        <v>2603</v>
      </c>
      <c r="C23355" s="11" t="s">
        <v>2604</v>
      </c>
    </row>
    <row r="23356" spans="1:4" ht="12.75" customHeight="1" x14ac:dyDescent="0.2">
      <c r="B23356" s="11" t="s">
        <v>2605</v>
      </c>
      <c r="C23356" s="11" t="s">
        <v>24</v>
      </c>
    </row>
    <row r="23357" spans="1:4" ht="12.75" customHeight="1" x14ac:dyDescent="0.2">
      <c r="B23357" s="11" t="s">
        <v>2606</v>
      </c>
      <c r="C23357" s="16" t="s">
        <v>44</v>
      </c>
      <c r="D23357" s="6" t="str">
        <f>HYPERLINK("javascript:void(0)","igeidő")</f>
        <v>igeidő</v>
      </c>
    </row>
    <row r="23358" spans="1:4" ht="12.75" customHeight="1" x14ac:dyDescent="0.2">
      <c r="C23358" s="16" t="s">
        <v>44</v>
      </c>
      <c r="D23358" s="6" t="str">
        <f>HYPERLINK("javascript:void(0)","rémkép")</f>
        <v>rémkép</v>
      </c>
    </row>
    <row r="23359" spans="1:4" ht="12.75" customHeight="1" x14ac:dyDescent="0.2">
      <c r="B23359" s="2"/>
      <c r="C23359" s="15"/>
      <c r="D23359" s="2"/>
    </row>
    <row r="23360" spans="1:4" ht="12.75" customHeight="1" x14ac:dyDescent="0.2">
      <c r="B23360" s="2"/>
      <c r="C23360" s="15"/>
      <c r="D23360" s="2"/>
    </row>
    <row r="23361" spans="1:4" ht="12.75" customHeight="1" x14ac:dyDescent="0.2">
      <c r="A23361" s="13" t="s">
        <v>6436</v>
      </c>
      <c r="C23361" s="12"/>
    </row>
    <row r="23362" spans="1:4" ht="12.75" customHeight="1" x14ac:dyDescent="0.2">
      <c r="A23362" s="11"/>
      <c r="B23362" s="2"/>
      <c r="C23362" s="15"/>
      <c r="D23362" s="2"/>
    </row>
    <row r="23363" spans="1:4" ht="12.75" customHeight="1" x14ac:dyDescent="0.2">
      <c r="B23363" s="11" t="s">
        <v>0</v>
      </c>
      <c r="C23363" s="11" t="s">
        <v>361</v>
      </c>
    </row>
    <row r="23364" spans="1:4" ht="12.75" customHeight="1" x14ac:dyDescent="0.2">
      <c r="B23364" s="11" t="s">
        <v>2599</v>
      </c>
      <c r="C23364" s="11" t="s">
        <v>6437</v>
      </c>
    </row>
    <row r="23365" spans="1:4" ht="25.5" customHeight="1" x14ac:dyDescent="0.2">
      <c r="B23365" s="11" t="s">
        <v>2600</v>
      </c>
      <c r="C23365" s="11" t="s">
        <v>6438</v>
      </c>
    </row>
    <row r="23366" spans="1:4" ht="25.5" customHeight="1" x14ac:dyDescent="0.2">
      <c r="B23366" s="11" t="s">
        <v>2601</v>
      </c>
      <c r="C23366" s="11"/>
    </row>
    <row r="23367" spans="1:4" ht="12.75" customHeight="1" x14ac:dyDescent="0.2">
      <c r="B23367" s="11" t="s">
        <v>16</v>
      </c>
      <c r="C23367" s="11"/>
    </row>
    <row r="23368" spans="1:4" ht="12.75" customHeight="1" x14ac:dyDescent="0.2">
      <c r="B23368" s="11" t="s">
        <v>13</v>
      </c>
      <c r="C23368" s="11" t="s">
        <v>2644</v>
      </c>
    </row>
    <row r="23369" spans="1:4" ht="12.75" customHeight="1" x14ac:dyDescent="0.2">
      <c r="B23369" s="11" t="s">
        <v>2603</v>
      </c>
      <c r="C23369" s="11" t="s">
        <v>2604</v>
      </c>
    </row>
    <row r="23370" spans="1:4" ht="12.75" customHeight="1" x14ac:dyDescent="0.2">
      <c r="B23370" s="11" t="s">
        <v>2605</v>
      </c>
      <c r="C23370" s="11" t="s">
        <v>14</v>
      </c>
    </row>
    <row r="23371" spans="1:4" ht="12.75" customHeight="1" x14ac:dyDescent="0.2">
      <c r="B23371" s="11" t="s">
        <v>2606</v>
      </c>
      <c r="C23371" s="16" t="s">
        <v>44</v>
      </c>
      <c r="D23371" s="6" t="str">
        <f>HYPERLINK("javascript:void(0)","aqua dei")</f>
        <v>aqua dei</v>
      </c>
    </row>
    <row r="23372" spans="1:4" ht="12.75" customHeight="1" x14ac:dyDescent="0.2">
      <c r="C23372" s="16" t="s">
        <v>44</v>
      </c>
      <c r="D23372" s="6" t="str">
        <f>HYPERLINK("javascript:void(0)","regnum")</f>
        <v>regnum</v>
      </c>
    </row>
    <row r="23373" spans="1:4" ht="12.75" customHeight="1" x14ac:dyDescent="0.2">
      <c r="B23373" s="2"/>
      <c r="C23373" s="15"/>
      <c r="D23373" s="2"/>
    </row>
    <row r="23374" spans="1:4" ht="12.75" customHeight="1" x14ac:dyDescent="0.2">
      <c r="B23374" s="2"/>
      <c r="C23374" s="15"/>
      <c r="D23374" s="2"/>
    </row>
    <row r="23375" spans="1:4" ht="12.75" customHeight="1" x14ac:dyDescent="0.2">
      <c r="A23375" s="13" t="s">
        <v>6351</v>
      </c>
      <c r="C23375" s="12"/>
      <c r="D23375" s="2"/>
    </row>
    <row r="23376" spans="1:4" ht="12.75" customHeight="1" x14ac:dyDescent="0.2">
      <c r="A23376" s="11"/>
      <c r="B23376" s="2"/>
      <c r="C23376" s="15"/>
      <c r="D23376" s="2"/>
    </row>
    <row r="23377" spans="1:4" ht="12.75" customHeight="1" x14ac:dyDescent="0.2">
      <c r="B23377" s="11" t="s">
        <v>0</v>
      </c>
      <c r="C23377" s="17" t="s">
        <v>1322</v>
      </c>
      <c r="D23377" s="2"/>
    </row>
    <row r="23378" spans="1:4" ht="12.75" customHeight="1" x14ac:dyDescent="0.2">
      <c r="B23378" s="11" t="s">
        <v>2599</v>
      </c>
      <c r="C23378" s="17" t="s">
        <v>6352</v>
      </c>
      <c r="D23378" s="2"/>
    </row>
    <row r="23379" spans="1:4" ht="25.5" customHeight="1" x14ac:dyDescent="0.2">
      <c r="B23379" s="11" t="s">
        <v>2600</v>
      </c>
      <c r="C23379" s="17" t="s">
        <v>6441</v>
      </c>
      <c r="D23379" s="2"/>
    </row>
    <row r="23380" spans="1:4" ht="25.5" customHeight="1" x14ac:dyDescent="0.2">
      <c r="B23380" s="11" t="s">
        <v>2601</v>
      </c>
      <c r="C23380" s="17"/>
      <c r="D23380" s="2"/>
    </row>
    <row r="23381" spans="1:4" ht="12.75" customHeight="1" x14ac:dyDescent="0.2">
      <c r="B23381" s="11" t="s">
        <v>16</v>
      </c>
      <c r="C23381" s="17"/>
      <c r="D23381" s="2"/>
    </row>
    <row r="23382" spans="1:4" ht="12.75" customHeight="1" x14ac:dyDescent="0.2">
      <c r="B23382" s="11" t="s">
        <v>13</v>
      </c>
      <c r="C23382" s="17" t="s">
        <v>2644</v>
      </c>
      <c r="D23382" s="2"/>
    </row>
    <row r="23383" spans="1:4" ht="25.5" customHeight="1" x14ac:dyDescent="0.2">
      <c r="B23383" s="11" t="s">
        <v>2603</v>
      </c>
      <c r="C23383" s="17" t="s">
        <v>2971</v>
      </c>
      <c r="D23383" s="2"/>
    </row>
    <row r="23384" spans="1:4" ht="12.75" customHeight="1" x14ac:dyDescent="0.2">
      <c r="B23384" s="11" t="s">
        <v>2605</v>
      </c>
      <c r="C23384" s="17" t="s">
        <v>14</v>
      </c>
      <c r="D23384" s="2"/>
    </row>
    <row r="23385" spans="1:4" ht="12.75" customHeight="1" x14ac:dyDescent="0.2">
      <c r="B23385" s="11" t="s">
        <v>2606</v>
      </c>
      <c r="C23385" s="16" t="s">
        <v>19</v>
      </c>
      <c r="D23385" s="2"/>
    </row>
    <row r="23386" spans="1:4" ht="12.75" customHeight="1" x14ac:dyDescent="0.2">
      <c r="B23386" s="2"/>
      <c r="C23386" s="15"/>
      <c r="D23386" s="2"/>
    </row>
    <row r="23387" spans="1:4" ht="12.75" customHeight="1" x14ac:dyDescent="0.2">
      <c r="B23387" s="2"/>
      <c r="C23387" s="15"/>
      <c r="D23387" s="2"/>
    </row>
    <row r="23388" spans="1:4" ht="12.75" customHeight="1" x14ac:dyDescent="0.2">
      <c r="A23388" s="13" t="s">
        <v>6354</v>
      </c>
      <c r="C23388" s="12"/>
      <c r="D23388" s="2"/>
    </row>
    <row r="23389" spans="1:4" ht="12.75" customHeight="1" x14ac:dyDescent="0.2">
      <c r="A23389" s="11"/>
      <c r="B23389" s="2"/>
      <c r="C23389" s="15"/>
      <c r="D23389" s="2"/>
    </row>
    <row r="23390" spans="1:4" ht="12.75" customHeight="1" x14ac:dyDescent="0.2">
      <c r="B23390" s="11" t="s">
        <v>0</v>
      </c>
      <c r="C23390" s="17" t="s">
        <v>1322</v>
      </c>
      <c r="D23390" s="2"/>
    </row>
    <row r="23391" spans="1:4" ht="12.75" customHeight="1" x14ac:dyDescent="0.2">
      <c r="B23391" s="11" t="s">
        <v>2599</v>
      </c>
      <c r="C23391" s="17" t="s">
        <v>6355</v>
      </c>
      <c r="D23391" s="2"/>
    </row>
    <row r="23392" spans="1:4" ht="25.5" customHeight="1" x14ac:dyDescent="0.2">
      <c r="B23392" s="11" t="s">
        <v>2600</v>
      </c>
      <c r="C23392" s="17" t="s">
        <v>6442</v>
      </c>
      <c r="D23392" s="2"/>
    </row>
    <row r="23393" spans="1:4" ht="25.5" customHeight="1" x14ac:dyDescent="0.2">
      <c r="B23393" s="11" t="s">
        <v>2601</v>
      </c>
      <c r="C23393" s="17"/>
      <c r="D23393" s="2"/>
    </row>
    <row r="23394" spans="1:4" ht="12.75" customHeight="1" x14ac:dyDescent="0.2">
      <c r="B23394" s="11" t="s">
        <v>16</v>
      </c>
      <c r="C23394" s="17"/>
      <c r="D23394" s="2"/>
    </row>
    <row r="23395" spans="1:4" ht="12.75" customHeight="1" x14ac:dyDescent="0.2">
      <c r="B23395" s="11" t="s">
        <v>13</v>
      </c>
      <c r="C23395" s="17" t="s">
        <v>2602</v>
      </c>
      <c r="D23395" s="2"/>
    </row>
    <row r="23396" spans="1:4" ht="25.5" customHeight="1" x14ac:dyDescent="0.2">
      <c r="B23396" s="11" t="s">
        <v>2603</v>
      </c>
      <c r="C23396" s="17" t="s">
        <v>2971</v>
      </c>
      <c r="D23396" s="2"/>
    </row>
    <row r="23397" spans="1:4" ht="12.75" customHeight="1" x14ac:dyDescent="0.2">
      <c r="B23397" s="11" t="s">
        <v>2605</v>
      </c>
      <c r="C23397" s="17" t="s">
        <v>14</v>
      </c>
      <c r="D23397" s="2"/>
    </row>
    <row r="23398" spans="1:4" ht="12.75" customHeight="1" x14ac:dyDescent="0.2">
      <c r="B23398" s="11" t="s">
        <v>2606</v>
      </c>
      <c r="C23398" s="16" t="s">
        <v>19</v>
      </c>
      <c r="D23398" s="2"/>
    </row>
    <row r="23399" spans="1:4" ht="12.75" customHeight="1" x14ac:dyDescent="0.2">
      <c r="B23399" s="2"/>
      <c r="C23399" s="15"/>
      <c r="D23399" s="2"/>
    </row>
    <row r="23400" spans="1:4" ht="12.75" customHeight="1" x14ac:dyDescent="0.2">
      <c r="B23400" s="2"/>
      <c r="C23400" s="15"/>
      <c r="D23400" s="2"/>
    </row>
    <row r="23401" spans="1:4" ht="12.75" customHeight="1" x14ac:dyDescent="0.2">
      <c r="A23401" s="13" t="s">
        <v>6357</v>
      </c>
      <c r="C23401" s="12"/>
      <c r="D23401" s="2"/>
    </row>
    <row r="23402" spans="1:4" ht="12.75" customHeight="1" x14ac:dyDescent="0.2">
      <c r="A23402" s="11"/>
      <c r="B23402" s="2"/>
      <c r="C23402" s="15"/>
      <c r="D23402" s="2"/>
    </row>
    <row r="23403" spans="1:4" ht="12.75" customHeight="1" x14ac:dyDescent="0.2">
      <c r="B23403" s="11" t="s">
        <v>0</v>
      </c>
      <c r="C23403" s="17" t="s">
        <v>1322</v>
      </c>
      <c r="D23403" s="2"/>
    </row>
    <row r="23404" spans="1:4" ht="12.75" customHeight="1" x14ac:dyDescent="0.2">
      <c r="B23404" s="11" t="s">
        <v>2599</v>
      </c>
      <c r="C23404" s="17" t="s">
        <v>5597</v>
      </c>
      <c r="D23404" s="2"/>
    </row>
    <row r="23405" spans="1:4" ht="25.5" customHeight="1" x14ac:dyDescent="0.2">
      <c r="B23405" s="11" t="s">
        <v>2600</v>
      </c>
      <c r="C23405" s="17" t="s">
        <v>6443</v>
      </c>
      <c r="D23405" s="2"/>
    </row>
    <row r="23406" spans="1:4" ht="25.5" customHeight="1" x14ac:dyDescent="0.2">
      <c r="B23406" s="11" t="s">
        <v>2601</v>
      </c>
      <c r="C23406" s="17"/>
      <c r="D23406" s="2"/>
    </row>
    <row r="23407" spans="1:4" ht="12.75" customHeight="1" x14ac:dyDescent="0.2">
      <c r="B23407" s="11" t="s">
        <v>16</v>
      </c>
      <c r="C23407" s="17"/>
      <c r="D23407" s="2"/>
    </row>
    <row r="23408" spans="1:4" ht="12.75" customHeight="1" x14ac:dyDescent="0.2">
      <c r="B23408" s="11" t="s">
        <v>13</v>
      </c>
      <c r="C23408" s="17" t="s">
        <v>2644</v>
      </c>
      <c r="D23408" s="2"/>
    </row>
    <row r="23409" spans="1:4" ht="25.5" customHeight="1" x14ac:dyDescent="0.2">
      <c r="B23409" s="11" t="s">
        <v>2603</v>
      </c>
      <c r="C23409" s="17" t="s">
        <v>2971</v>
      </c>
      <c r="D23409" s="2"/>
    </row>
    <row r="23410" spans="1:4" ht="12.75" customHeight="1" x14ac:dyDescent="0.2">
      <c r="B23410" s="11" t="s">
        <v>2605</v>
      </c>
      <c r="C23410" s="17" t="s">
        <v>14</v>
      </c>
      <c r="D23410" s="2"/>
    </row>
    <row r="23411" spans="1:4" ht="12.75" customHeight="1" x14ac:dyDescent="0.2">
      <c r="B23411" s="11" t="s">
        <v>2606</v>
      </c>
      <c r="C23411" s="16" t="s">
        <v>19</v>
      </c>
      <c r="D23411" s="2"/>
    </row>
    <row r="23412" spans="1:4" ht="12.75" customHeight="1" x14ac:dyDescent="0.2">
      <c r="B23412" s="2"/>
      <c r="C23412" s="15"/>
      <c r="D23412" s="2"/>
    </row>
    <row r="23413" spans="1:4" ht="12.75" customHeight="1" x14ac:dyDescent="0.2">
      <c r="B23413" s="2"/>
      <c r="C23413" s="15"/>
      <c r="D23413" s="2"/>
    </row>
    <row r="23414" spans="1:4" ht="12.75" customHeight="1" x14ac:dyDescent="0.2">
      <c r="A23414" s="13" t="s">
        <v>6360</v>
      </c>
      <c r="C23414" s="12"/>
      <c r="D23414" s="2"/>
    </row>
    <row r="23415" spans="1:4" ht="12.75" customHeight="1" x14ac:dyDescent="0.2">
      <c r="A23415" s="11"/>
      <c r="B23415" s="2"/>
      <c r="C23415" s="15"/>
      <c r="D23415" s="2"/>
    </row>
    <row r="23416" spans="1:4" ht="12.75" customHeight="1" x14ac:dyDescent="0.2">
      <c r="B23416" s="11" t="s">
        <v>0</v>
      </c>
      <c r="C23416" s="17" t="s">
        <v>1322</v>
      </c>
      <c r="D23416" s="2"/>
    </row>
    <row r="23417" spans="1:4" ht="12.75" customHeight="1" x14ac:dyDescent="0.2">
      <c r="B23417" s="11" t="s">
        <v>2599</v>
      </c>
      <c r="C23417" s="17" t="s">
        <v>6361</v>
      </c>
      <c r="D23417" s="2"/>
    </row>
    <row r="23418" spans="1:4" ht="25.5" customHeight="1" x14ac:dyDescent="0.2">
      <c r="B23418" s="11" t="s">
        <v>2600</v>
      </c>
      <c r="C23418" s="17" t="s">
        <v>6444</v>
      </c>
      <c r="D23418" s="2"/>
    </row>
    <row r="23419" spans="1:4" ht="25.5" customHeight="1" x14ac:dyDescent="0.2">
      <c r="B23419" s="11" t="s">
        <v>2601</v>
      </c>
      <c r="C23419" s="17"/>
      <c r="D23419" s="2"/>
    </row>
    <row r="23420" spans="1:4" ht="12.75" customHeight="1" x14ac:dyDescent="0.2">
      <c r="B23420" s="11" t="s">
        <v>16</v>
      </c>
      <c r="C23420" s="17"/>
      <c r="D23420" s="2"/>
    </row>
    <row r="23421" spans="1:4" ht="12.75" customHeight="1" x14ac:dyDescent="0.2">
      <c r="B23421" s="11" t="s">
        <v>13</v>
      </c>
      <c r="C23421" s="17" t="s">
        <v>2644</v>
      </c>
      <c r="D23421" s="2"/>
    </row>
    <row r="23422" spans="1:4" ht="25.5" customHeight="1" x14ac:dyDescent="0.2">
      <c r="B23422" s="11" t="s">
        <v>2603</v>
      </c>
      <c r="C23422" s="17" t="s">
        <v>2971</v>
      </c>
      <c r="D23422" s="2"/>
    </row>
    <row r="23423" spans="1:4" ht="12.75" customHeight="1" x14ac:dyDescent="0.2">
      <c r="B23423" s="11" t="s">
        <v>2605</v>
      </c>
      <c r="C23423" s="17" t="s">
        <v>14</v>
      </c>
      <c r="D23423" s="2"/>
    </row>
    <row r="23424" spans="1:4" ht="12.75" customHeight="1" x14ac:dyDescent="0.2">
      <c r="B23424" s="11" t="s">
        <v>2606</v>
      </c>
      <c r="C23424" s="16" t="s">
        <v>19</v>
      </c>
      <c r="D23424" s="2"/>
    </row>
    <row r="23425" spans="1:4" ht="12.75" customHeight="1" x14ac:dyDescent="0.2">
      <c r="B23425" s="2"/>
      <c r="C23425" s="15"/>
      <c r="D23425" s="2"/>
    </row>
    <row r="23426" spans="1:4" ht="12.75" customHeight="1" x14ac:dyDescent="0.2">
      <c r="B23426" s="2"/>
      <c r="C23426" s="15"/>
      <c r="D23426" s="2"/>
    </row>
    <row r="23427" spans="1:4" ht="12.75" customHeight="1" x14ac:dyDescent="0.2">
      <c r="A23427" s="13" t="s">
        <v>6445</v>
      </c>
      <c r="C23427" s="12"/>
    </row>
    <row r="23428" spans="1:4" ht="12.75" customHeight="1" x14ac:dyDescent="0.2">
      <c r="A23428" s="11"/>
      <c r="B23428" s="2"/>
      <c r="C23428" s="15"/>
      <c r="D23428" s="2"/>
    </row>
    <row r="23429" spans="1:4" ht="12.75" customHeight="1" x14ac:dyDescent="0.2">
      <c r="B23429" s="11" t="s">
        <v>0</v>
      </c>
      <c r="C23429" s="11" t="s">
        <v>1322</v>
      </c>
    </row>
    <row r="23430" spans="1:4" ht="12.75" customHeight="1" x14ac:dyDescent="0.2">
      <c r="B23430" s="11" t="s">
        <v>2599</v>
      </c>
      <c r="C23430" s="11" t="s">
        <v>2812</v>
      </c>
    </row>
    <row r="23431" spans="1:4" ht="25.5" customHeight="1" x14ac:dyDescent="0.2">
      <c r="B23431" s="11" t="s">
        <v>2600</v>
      </c>
      <c r="C23431" s="11" t="s">
        <v>6446</v>
      </c>
    </row>
    <row r="23432" spans="1:4" ht="25.5" customHeight="1" x14ac:dyDescent="0.2">
      <c r="B23432" s="11" t="s">
        <v>2601</v>
      </c>
      <c r="C23432" s="11"/>
    </row>
    <row r="23433" spans="1:4" ht="12.75" customHeight="1" x14ac:dyDescent="0.2">
      <c r="B23433" s="11" t="s">
        <v>16</v>
      </c>
      <c r="C23433" s="11"/>
    </row>
    <row r="23434" spans="1:4" ht="12.75" customHeight="1" x14ac:dyDescent="0.2">
      <c r="B23434" s="11" t="s">
        <v>13</v>
      </c>
      <c r="C23434" s="11" t="s">
        <v>2602</v>
      </c>
    </row>
    <row r="23435" spans="1:4" ht="12.75" customHeight="1" x14ac:dyDescent="0.2">
      <c r="B23435" s="11" t="s">
        <v>2603</v>
      </c>
      <c r="C23435" s="11" t="s">
        <v>2604</v>
      </c>
    </row>
    <row r="23436" spans="1:4" ht="12.75" customHeight="1" x14ac:dyDescent="0.2">
      <c r="B23436" s="11" t="s">
        <v>2605</v>
      </c>
      <c r="C23436" s="11" t="s">
        <v>14</v>
      </c>
    </row>
    <row r="23437" spans="1:4" ht="12.75" customHeight="1" x14ac:dyDescent="0.2">
      <c r="B23437" s="11" t="s">
        <v>2606</v>
      </c>
      <c r="C23437" s="16" t="s">
        <v>6447</v>
      </c>
      <c r="D23437" s="6" t="str">
        <f>HYPERLINK("javascript:void(0)","ezüst")</f>
        <v>ezüst</v>
      </c>
    </row>
    <row r="23438" spans="1:4" ht="12.75" customHeight="1" x14ac:dyDescent="0.2">
      <c r="C23438" s="16" t="s">
        <v>44</v>
      </c>
      <c r="D23438" s="6" t="str">
        <f>HYPERLINK("javascript:void(0)","sündörgés")</f>
        <v>sündörgés</v>
      </c>
    </row>
    <row r="23439" spans="1:4" ht="12.75" customHeight="1" x14ac:dyDescent="0.2">
      <c r="B23439" s="2"/>
      <c r="C23439" s="15"/>
      <c r="D23439" s="2"/>
    </row>
    <row r="23440" spans="1:4" ht="12.75" customHeight="1" x14ac:dyDescent="0.2">
      <c r="B23440" s="2"/>
      <c r="C23440" s="15"/>
      <c r="D23440" s="2"/>
    </row>
    <row r="23441" spans="1:4" ht="12.75" customHeight="1" x14ac:dyDescent="0.2">
      <c r="A23441" s="13" t="s">
        <v>6448</v>
      </c>
      <c r="C23441" s="12"/>
    </row>
    <row r="23442" spans="1:4" ht="12.75" customHeight="1" x14ac:dyDescent="0.2">
      <c r="A23442" s="11"/>
      <c r="B23442" s="2"/>
      <c r="C23442" s="15"/>
      <c r="D23442" s="2"/>
    </row>
    <row r="23443" spans="1:4" ht="12.75" customHeight="1" x14ac:dyDescent="0.2">
      <c r="B23443" s="11" t="s">
        <v>0</v>
      </c>
      <c r="C23443" s="11" t="s">
        <v>1322</v>
      </c>
    </row>
    <row r="23444" spans="1:4" ht="12.75" customHeight="1" x14ac:dyDescent="0.2">
      <c r="B23444" s="11" t="s">
        <v>2599</v>
      </c>
      <c r="C23444" s="11" t="s">
        <v>6278</v>
      </c>
    </row>
    <row r="23445" spans="1:4" ht="25.5" customHeight="1" x14ac:dyDescent="0.2">
      <c r="B23445" s="11" t="s">
        <v>2600</v>
      </c>
      <c r="C23445" s="11" t="s">
        <v>6449</v>
      </c>
    </row>
    <row r="23446" spans="1:4" ht="25.5" customHeight="1" x14ac:dyDescent="0.2">
      <c r="B23446" s="11" t="s">
        <v>2601</v>
      </c>
      <c r="C23446" s="11"/>
    </row>
    <row r="23447" spans="1:4" ht="12.75" customHeight="1" x14ac:dyDescent="0.2">
      <c r="B23447" s="11" t="s">
        <v>16</v>
      </c>
      <c r="C23447" s="11"/>
    </row>
    <row r="23448" spans="1:4" ht="12.75" customHeight="1" x14ac:dyDescent="0.2">
      <c r="B23448" s="11" t="s">
        <v>13</v>
      </c>
      <c r="C23448" s="11" t="s">
        <v>2602</v>
      </c>
    </row>
    <row r="23449" spans="1:4" ht="12.75" customHeight="1" x14ac:dyDescent="0.2">
      <c r="B23449" s="11" t="s">
        <v>2603</v>
      </c>
      <c r="C23449" s="11" t="s">
        <v>2604</v>
      </c>
    </row>
    <row r="23450" spans="1:4" ht="12.75" customHeight="1" x14ac:dyDescent="0.2">
      <c r="B23450" s="11" t="s">
        <v>2605</v>
      </c>
      <c r="C23450" s="11" t="s">
        <v>14</v>
      </c>
    </row>
    <row r="23451" spans="1:4" ht="25.5" customHeight="1" x14ac:dyDescent="0.2">
      <c r="B23451" s="11" t="s">
        <v>2606</v>
      </c>
      <c r="C23451" s="16" t="s">
        <v>44</v>
      </c>
      <c r="D23451" s="6" t="str">
        <f>HYPERLINK("javascript:void(0)","zászlóvászon")</f>
        <v>zászlóvászon</v>
      </c>
    </row>
    <row r="23452" spans="1:4" ht="12.75" customHeight="1" x14ac:dyDescent="0.2">
      <c r="B23452" s="2"/>
      <c r="C23452" s="15"/>
      <c r="D23452" s="2"/>
    </row>
    <row r="23453" spans="1:4" ht="12.75" customHeight="1" x14ac:dyDescent="0.2">
      <c r="B23453" s="2"/>
      <c r="C23453" s="15"/>
      <c r="D23453" s="2"/>
    </row>
    <row r="23454" spans="1:4" ht="12.75" customHeight="1" x14ac:dyDescent="0.2">
      <c r="A23454" s="13" t="s">
        <v>6450</v>
      </c>
      <c r="C23454" s="12"/>
    </row>
    <row r="23455" spans="1:4" ht="12.75" customHeight="1" x14ac:dyDescent="0.2">
      <c r="A23455" s="11"/>
      <c r="B23455" s="2"/>
      <c r="C23455" s="15"/>
      <c r="D23455" s="2"/>
    </row>
    <row r="23456" spans="1:4" ht="12.75" customHeight="1" x14ac:dyDescent="0.2">
      <c r="B23456" s="11" t="s">
        <v>0</v>
      </c>
      <c r="C23456" s="11" t="s">
        <v>1322</v>
      </c>
    </row>
    <row r="23457" spans="1:4" ht="12.75" customHeight="1" x14ac:dyDescent="0.2">
      <c r="B23457" s="11" t="s">
        <v>2599</v>
      </c>
      <c r="C23457" s="11" t="s">
        <v>3013</v>
      </c>
    </row>
    <row r="23458" spans="1:4" ht="25.5" customHeight="1" x14ac:dyDescent="0.2">
      <c r="B23458" s="11" t="s">
        <v>2600</v>
      </c>
      <c r="C23458" s="11" t="s">
        <v>6451</v>
      </c>
    </row>
    <row r="23459" spans="1:4" ht="25.5" customHeight="1" x14ac:dyDescent="0.2">
      <c r="B23459" s="11" t="s">
        <v>2601</v>
      </c>
      <c r="C23459" s="11"/>
    </row>
    <row r="23460" spans="1:4" ht="12.75" customHeight="1" x14ac:dyDescent="0.2">
      <c r="B23460" s="11" t="s">
        <v>16</v>
      </c>
      <c r="C23460" s="11"/>
    </row>
    <row r="23461" spans="1:4" ht="12.75" customHeight="1" x14ac:dyDescent="0.2">
      <c r="B23461" s="11" t="s">
        <v>13</v>
      </c>
      <c r="C23461" s="11" t="s">
        <v>2602</v>
      </c>
    </row>
    <row r="23462" spans="1:4" ht="12.75" customHeight="1" x14ac:dyDescent="0.2">
      <c r="B23462" s="11" t="s">
        <v>2603</v>
      </c>
      <c r="C23462" s="11" t="s">
        <v>2604</v>
      </c>
    </row>
    <row r="23463" spans="1:4" ht="12.75" customHeight="1" x14ac:dyDescent="0.2">
      <c r="B23463" s="11" t="s">
        <v>2605</v>
      </c>
      <c r="C23463" s="11" t="s">
        <v>14</v>
      </c>
    </row>
    <row r="23464" spans="1:4" ht="12.75" customHeight="1" x14ac:dyDescent="0.2">
      <c r="B23464" s="11" t="s">
        <v>2606</v>
      </c>
      <c r="C23464" s="16" t="s">
        <v>44</v>
      </c>
      <c r="D23464" s="6" t="str">
        <f>HYPERLINK("javascript:void(0)","kincs")</f>
        <v>kincs</v>
      </c>
    </row>
    <row r="23465" spans="1:4" ht="12.75" customHeight="1" x14ac:dyDescent="0.2">
      <c r="B23465" s="2"/>
      <c r="C23465" s="15"/>
      <c r="D23465" s="2"/>
    </row>
    <row r="23466" spans="1:4" ht="12.75" customHeight="1" x14ac:dyDescent="0.2">
      <c r="B23466" s="2"/>
      <c r="C23466" s="15"/>
      <c r="D23466" s="2"/>
    </row>
    <row r="23467" spans="1:4" ht="12.75" customHeight="1" x14ac:dyDescent="0.2">
      <c r="A23467" s="13" t="s">
        <v>6453</v>
      </c>
      <c r="C23467" s="12"/>
    </row>
    <row r="23468" spans="1:4" ht="12.75" customHeight="1" x14ac:dyDescent="0.2">
      <c r="A23468" s="11"/>
      <c r="B23468" s="2"/>
      <c r="C23468" s="15"/>
      <c r="D23468" s="2"/>
    </row>
    <row r="23469" spans="1:4" ht="12.75" customHeight="1" x14ac:dyDescent="0.2">
      <c r="B23469" s="11" t="s">
        <v>0</v>
      </c>
      <c r="C23469" s="11" t="s">
        <v>1322</v>
      </c>
    </row>
    <row r="23470" spans="1:4" ht="12.75" customHeight="1" x14ac:dyDescent="0.2">
      <c r="B23470" s="11" t="s">
        <v>2599</v>
      </c>
      <c r="C23470" s="11" t="s">
        <v>6454</v>
      </c>
    </row>
    <row r="23471" spans="1:4" ht="25.5" customHeight="1" x14ac:dyDescent="0.2">
      <c r="B23471" s="11" t="s">
        <v>2600</v>
      </c>
      <c r="C23471" s="11" t="s">
        <v>6455</v>
      </c>
    </row>
    <row r="23472" spans="1:4" ht="25.5" customHeight="1" x14ac:dyDescent="0.2">
      <c r="B23472" s="11" t="s">
        <v>2601</v>
      </c>
      <c r="C23472" s="11"/>
    </row>
    <row r="23473" spans="1:4" ht="12.75" customHeight="1" x14ac:dyDescent="0.2">
      <c r="B23473" s="11" t="s">
        <v>16</v>
      </c>
      <c r="C23473" s="11"/>
    </row>
    <row r="23474" spans="1:4" ht="12.75" customHeight="1" x14ac:dyDescent="0.2">
      <c r="B23474" s="11" t="s">
        <v>13</v>
      </c>
      <c r="C23474" s="11" t="s">
        <v>2602</v>
      </c>
    </row>
    <row r="23475" spans="1:4" ht="12.75" customHeight="1" x14ac:dyDescent="0.2">
      <c r="B23475" s="11" t="s">
        <v>2603</v>
      </c>
      <c r="C23475" s="11" t="s">
        <v>2604</v>
      </c>
    </row>
    <row r="23476" spans="1:4" ht="12.75" customHeight="1" x14ac:dyDescent="0.2">
      <c r="B23476" s="11" t="s">
        <v>2605</v>
      </c>
      <c r="C23476" s="11" t="s">
        <v>24</v>
      </c>
    </row>
    <row r="23477" spans="1:4" ht="12.75" customHeight="1" x14ac:dyDescent="0.2">
      <c r="B23477" s="11" t="s">
        <v>2606</v>
      </c>
      <c r="C23477" s="16" t="s">
        <v>44</v>
      </c>
      <c r="D23477" s="6" t="str">
        <f>HYPERLINK("javascript:void(0)","adattekercs")</f>
        <v>adattekercs</v>
      </c>
    </row>
    <row r="23478" spans="1:4" ht="12.75" customHeight="1" x14ac:dyDescent="0.2">
      <c r="B23478" s="2"/>
      <c r="C23478" s="15"/>
      <c r="D23478" s="2"/>
    </row>
    <row r="23479" spans="1:4" ht="12.75" customHeight="1" x14ac:dyDescent="0.2">
      <c r="B23479" s="2"/>
      <c r="C23479" s="15"/>
      <c r="D23479" s="2"/>
    </row>
    <row r="23480" spans="1:4" ht="12.75" customHeight="1" x14ac:dyDescent="0.2">
      <c r="A23480" s="13" t="s">
        <v>6456</v>
      </c>
      <c r="C23480" s="12"/>
    </row>
    <row r="23481" spans="1:4" ht="12.75" customHeight="1" x14ac:dyDescent="0.2">
      <c r="A23481" s="11"/>
      <c r="B23481" s="2"/>
      <c r="C23481" s="15"/>
      <c r="D23481" s="2"/>
    </row>
    <row r="23482" spans="1:4" ht="12.75" customHeight="1" x14ac:dyDescent="0.2">
      <c r="B23482" s="11" t="s">
        <v>0</v>
      </c>
      <c r="C23482" s="11" t="s">
        <v>1322</v>
      </c>
    </row>
    <row r="23483" spans="1:4" ht="12.75" customHeight="1" x14ac:dyDescent="0.2">
      <c r="B23483" s="11" t="s">
        <v>2599</v>
      </c>
      <c r="C23483" s="11" t="s">
        <v>1852</v>
      </c>
    </row>
    <row r="23484" spans="1:4" ht="25.5" customHeight="1" x14ac:dyDescent="0.2">
      <c r="B23484" s="11" t="s">
        <v>2600</v>
      </c>
      <c r="C23484" s="11" t="s">
        <v>6457</v>
      </c>
    </row>
    <row r="23485" spans="1:4" ht="25.5" customHeight="1" x14ac:dyDescent="0.2">
      <c r="B23485" s="11" t="s">
        <v>2601</v>
      </c>
      <c r="C23485" s="11"/>
    </row>
    <row r="23486" spans="1:4" ht="12.75" customHeight="1" x14ac:dyDescent="0.2">
      <c r="B23486" s="11" t="s">
        <v>16</v>
      </c>
      <c r="C23486" s="11"/>
    </row>
    <row r="23487" spans="1:4" ht="12.75" customHeight="1" x14ac:dyDescent="0.2">
      <c r="B23487" s="11" t="s">
        <v>13</v>
      </c>
      <c r="C23487" s="11" t="s">
        <v>2644</v>
      </c>
    </row>
    <row r="23488" spans="1:4" ht="12.75" customHeight="1" x14ac:dyDescent="0.2">
      <c r="B23488" s="11" t="s">
        <v>2603</v>
      </c>
      <c r="C23488" s="11" t="s">
        <v>2604</v>
      </c>
    </row>
    <row r="23489" spans="1:4" ht="12.75" customHeight="1" x14ac:dyDescent="0.2">
      <c r="B23489" s="11" t="s">
        <v>2605</v>
      </c>
      <c r="C23489" s="11" t="s">
        <v>24</v>
      </c>
    </row>
    <row r="23490" spans="1:4" ht="12.75" customHeight="1" x14ac:dyDescent="0.2">
      <c r="B23490" s="11" t="s">
        <v>2606</v>
      </c>
      <c r="C23490" s="16" t="s">
        <v>44</v>
      </c>
      <c r="D23490" s="6" t="str">
        <f>HYPERLINK("javascript:void(0)","vértócsa")</f>
        <v>vértócsa</v>
      </c>
    </row>
    <row r="23491" spans="1:4" ht="12.75" customHeight="1" x14ac:dyDescent="0.2">
      <c r="B23491" s="2"/>
      <c r="C23491" s="15"/>
      <c r="D23491" s="2"/>
    </row>
    <row r="23492" spans="1:4" ht="12.75" customHeight="1" x14ac:dyDescent="0.2">
      <c r="B23492" s="2"/>
      <c r="C23492" s="15"/>
      <c r="D23492" s="2"/>
    </row>
    <row r="23493" spans="1:4" ht="12.75" customHeight="1" x14ac:dyDescent="0.2">
      <c r="A23493" s="13" t="s">
        <v>6459</v>
      </c>
      <c r="C23493" s="12"/>
    </row>
    <row r="23494" spans="1:4" ht="12.75" customHeight="1" x14ac:dyDescent="0.2">
      <c r="A23494" s="11"/>
      <c r="B23494" s="2"/>
      <c r="C23494" s="15"/>
      <c r="D23494" s="2"/>
    </row>
    <row r="23495" spans="1:4" ht="12.75" customHeight="1" x14ac:dyDescent="0.2">
      <c r="B23495" s="11" t="s">
        <v>0</v>
      </c>
      <c r="C23495" s="11" t="s">
        <v>1322</v>
      </c>
    </row>
    <row r="23496" spans="1:4" ht="12.75" customHeight="1" x14ac:dyDescent="0.2">
      <c r="B23496" s="11" t="s">
        <v>2599</v>
      </c>
      <c r="C23496" s="11" t="s">
        <v>6460</v>
      </c>
    </row>
    <row r="23497" spans="1:4" ht="25.5" customHeight="1" x14ac:dyDescent="0.2">
      <c r="B23497" s="11" t="s">
        <v>2600</v>
      </c>
      <c r="C23497" s="11" t="s">
        <v>6193</v>
      </c>
    </row>
    <row r="23498" spans="1:4" ht="25.5" customHeight="1" x14ac:dyDescent="0.2">
      <c r="B23498" s="11" t="s">
        <v>2601</v>
      </c>
      <c r="C23498" s="11"/>
    </row>
    <row r="23499" spans="1:4" ht="12.75" customHeight="1" x14ac:dyDescent="0.2">
      <c r="B23499" s="11" t="s">
        <v>16</v>
      </c>
      <c r="C23499" s="11"/>
    </row>
    <row r="23500" spans="1:4" ht="12.75" customHeight="1" x14ac:dyDescent="0.2">
      <c r="B23500" s="11" t="s">
        <v>13</v>
      </c>
      <c r="C23500" s="11" t="s">
        <v>2644</v>
      </c>
    </row>
    <row r="23501" spans="1:4" ht="12.75" customHeight="1" x14ac:dyDescent="0.2">
      <c r="B23501" s="11" t="s">
        <v>2603</v>
      </c>
      <c r="C23501" s="11" t="s">
        <v>2604</v>
      </c>
    </row>
    <row r="23502" spans="1:4" ht="12.75" customHeight="1" x14ac:dyDescent="0.2">
      <c r="B23502" s="11" t="s">
        <v>2605</v>
      </c>
      <c r="C23502" s="11" t="s">
        <v>14</v>
      </c>
    </row>
    <row r="23503" spans="1:4" ht="12.75" customHeight="1" x14ac:dyDescent="0.2">
      <c r="B23503" s="11" t="s">
        <v>2606</v>
      </c>
      <c r="C23503" s="16" t="s">
        <v>44</v>
      </c>
      <c r="D23503" s="6" t="str">
        <f>HYPERLINK("javascript:void(0)","istenpenge")</f>
        <v>istenpenge</v>
      </c>
    </row>
    <row r="23504" spans="1:4" ht="12.75" customHeight="1" x14ac:dyDescent="0.2">
      <c r="C23504" s="16" t="s">
        <v>44</v>
      </c>
      <c r="D23504" s="6" t="str">
        <f>HYPERLINK("javascript:void(0)","regnum")</f>
        <v>regnum</v>
      </c>
    </row>
    <row r="23505" spans="1:4" ht="12.75" customHeight="1" x14ac:dyDescent="0.2">
      <c r="B23505" s="2"/>
      <c r="C23505" s="15"/>
      <c r="D23505" s="2"/>
    </row>
    <row r="23506" spans="1:4" ht="12.75" customHeight="1" x14ac:dyDescent="0.2">
      <c r="B23506" s="2"/>
      <c r="C23506" s="15"/>
      <c r="D23506" s="2"/>
    </row>
    <row r="23507" spans="1:4" ht="12.75" customHeight="1" x14ac:dyDescent="0.2">
      <c r="A23507" s="13" t="s">
        <v>6461</v>
      </c>
      <c r="C23507" s="12"/>
    </row>
    <row r="23508" spans="1:4" ht="12.75" customHeight="1" x14ac:dyDescent="0.2">
      <c r="A23508" s="11"/>
      <c r="B23508" s="2"/>
      <c r="C23508" s="15"/>
      <c r="D23508" s="2"/>
    </row>
    <row r="23509" spans="1:4" ht="12.75" customHeight="1" x14ac:dyDescent="0.2">
      <c r="B23509" s="11" t="s">
        <v>0</v>
      </c>
      <c r="C23509" s="11" t="s">
        <v>1322</v>
      </c>
    </row>
    <row r="23510" spans="1:4" ht="12.75" customHeight="1" x14ac:dyDescent="0.2">
      <c r="B23510" s="11" t="s">
        <v>2599</v>
      </c>
      <c r="C23510" s="11" t="s">
        <v>5569</v>
      </c>
    </row>
    <row r="23511" spans="1:4" ht="25.5" customHeight="1" x14ac:dyDescent="0.2">
      <c r="B23511" s="11" t="s">
        <v>2600</v>
      </c>
      <c r="C23511" s="11" t="s">
        <v>6462</v>
      </c>
    </row>
    <row r="23512" spans="1:4" ht="25.5" customHeight="1" x14ac:dyDescent="0.2">
      <c r="B23512" s="11" t="s">
        <v>2601</v>
      </c>
      <c r="C23512" s="11"/>
    </row>
    <row r="23513" spans="1:4" ht="12.75" customHeight="1" x14ac:dyDescent="0.2">
      <c r="B23513" s="11" t="s">
        <v>16</v>
      </c>
      <c r="C23513" s="11"/>
    </row>
    <row r="23514" spans="1:4" ht="12.75" customHeight="1" x14ac:dyDescent="0.2">
      <c r="B23514" s="11" t="s">
        <v>13</v>
      </c>
      <c r="C23514" s="11" t="s">
        <v>2602</v>
      </c>
    </row>
    <row r="23515" spans="1:4" ht="12.75" customHeight="1" x14ac:dyDescent="0.2">
      <c r="B23515" s="11" t="s">
        <v>2603</v>
      </c>
      <c r="C23515" s="11" t="s">
        <v>2604</v>
      </c>
    </row>
    <row r="23516" spans="1:4" ht="12.75" customHeight="1" x14ac:dyDescent="0.2">
      <c r="B23516" s="11" t="s">
        <v>2605</v>
      </c>
      <c r="C23516" s="11" t="s">
        <v>24</v>
      </c>
    </row>
    <row r="23517" spans="1:4" ht="12.75" customHeight="1" x14ac:dyDescent="0.2">
      <c r="B23517" s="11" t="s">
        <v>2606</v>
      </c>
      <c r="C23517" s="16" t="s">
        <v>44</v>
      </c>
      <c r="D23517" s="6" t="str">
        <f>HYPERLINK("javascript:void(0)","lábkarcsont")</f>
        <v>lábkarcsont</v>
      </c>
    </row>
    <row r="23518" spans="1:4" ht="12.75" customHeight="1" x14ac:dyDescent="0.2">
      <c r="B23518" s="2"/>
      <c r="C23518" s="15"/>
      <c r="D23518" s="2"/>
    </row>
    <row r="23519" spans="1:4" ht="12.75" customHeight="1" x14ac:dyDescent="0.2">
      <c r="B23519" s="2"/>
      <c r="C23519" s="15"/>
      <c r="D23519" s="2"/>
    </row>
    <row r="23520" spans="1:4" ht="12.75" customHeight="1" x14ac:dyDescent="0.2">
      <c r="A23520" s="13" t="s">
        <v>6463</v>
      </c>
      <c r="C23520" s="12"/>
    </row>
    <row r="23521" spans="1:4" ht="12.75" customHeight="1" x14ac:dyDescent="0.2">
      <c r="A23521" s="11"/>
      <c r="B23521" s="2"/>
      <c r="C23521" s="15"/>
      <c r="D23521" s="2"/>
    </row>
    <row r="23522" spans="1:4" ht="12.75" customHeight="1" x14ac:dyDescent="0.2">
      <c r="B23522" s="11" t="s">
        <v>0</v>
      </c>
      <c r="C23522" s="11" t="s">
        <v>1322</v>
      </c>
    </row>
    <row r="23523" spans="1:4" ht="12.75" customHeight="1" x14ac:dyDescent="0.2">
      <c r="B23523" s="11" t="s">
        <v>2599</v>
      </c>
      <c r="C23523" s="11" t="s">
        <v>6464</v>
      </c>
    </row>
    <row r="23524" spans="1:4" ht="25.5" customHeight="1" x14ac:dyDescent="0.2">
      <c r="B23524" s="11" t="s">
        <v>2600</v>
      </c>
      <c r="C23524" s="11" t="s">
        <v>6465</v>
      </c>
    </row>
    <row r="23525" spans="1:4" ht="25.5" customHeight="1" x14ac:dyDescent="0.2">
      <c r="B23525" s="11" t="s">
        <v>2601</v>
      </c>
      <c r="C23525" s="11"/>
    </row>
    <row r="23526" spans="1:4" ht="12.75" customHeight="1" x14ac:dyDescent="0.2">
      <c r="B23526" s="11" t="s">
        <v>16</v>
      </c>
      <c r="C23526" s="11"/>
    </row>
    <row r="23527" spans="1:4" ht="12.75" customHeight="1" x14ac:dyDescent="0.2">
      <c r="B23527" s="11" t="s">
        <v>13</v>
      </c>
      <c r="C23527" s="11" t="s">
        <v>2602</v>
      </c>
    </row>
    <row r="23528" spans="1:4" ht="12.75" customHeight="1" x14ac:dyDescent="0.2">
      <c r="B23528" s="11" t="s">
        <v>2603</v>
      </c>
      <c r="C23528" s="11" t="s">
        <v>2604</v>
      </c>
    </row>
    <row r="23529" spans="1:4" ht="12.75" customHeight="1" x14ac:dyDescent="0.2">
      <c r="B23529" s="11" t="s">
        <v>2605</v>
      </c>
      <c r="C23529" s="11" t="s">
        <v>24</v>
      </c>
    </row>
    <row r="23530" spans="1:4" ht="25.5" customHeight="1" x14ac:dyDescent="0.2">
      <c r="B23530" s="11" t="s">
        <v>2606</v>
      </c>
      <c r="C23530" s="16" t="s">
        <v>44</v>
      </c>
      <c r="D23530" s="6" t="str">
        <f>HYPERLINK("javascript:void(0)","exorcium draconum")</f>
        <v>exorcium draconum</v>
      </c>
    </row>
    <row r="23531" spans="1:4" ht="12.75" customHeight="1" x14ac:dyDescent="0.2">
      <c r="B23531" s="2"/>
      <c r="C23531" s="15"/>
      <c r="D23531" s="2"/>
    </row>
    <row r="23532" spans="1:4" ht="12.75" customHeight="1" x14ac:dyDescent="0.2">
      <c r="B23532" s="2"/>
      <c r="C23532" s="15"/>
      <c r="D23532" s="2"/>
    </row>
    <row r="23533" spans="1:4" ht="12.75" customHeight="1" x14ac:dyDescent="0.2">
      <c r="A23533" s="13" t="s">
        <v>6351</v>
      </c>
      <c r="C23533" s="12"/>
      <c r="D23533" s="2"/>
    </row>
    <row r="23534" spans="1:4" ht="12.75" customHeight="1" x14ac:dyDescent="0.2">
      <c r="A23534" s="11"/>
      <c r="B23534" s="2"/>
      <c r="C23534" s="15"/>
      <c r="D23534" s="2"/>
    </row>
    <row r="23535" spans="1:4" ht="12.75" customHeight="1" x14ac:dyDescent="0.2">
      <c r="B23535" s="11" t="s">
        <v>0</v>
      </c>
      <c r="C23535" s="17" t="s">
        <v>371</v>
      </c>
      <c r="D23535" s="2"/>
    </row>
    <row r="23536" spans="1:4" ht="12.75" customHeight="1" x14ac:dyDescent="0.2">
      <c r="B23536" s="11" t="s">
        <v>2599</v>
      </c>
      <c r="C23536" s="17" t="s">
        <v>6352</v>
      </c>
      <c r="D23536" s="2"/>
    </row>
    <row r="23537" spans="1:4" ht="25.5" customHeight="1" x14ac:dyDescent="0.2">
      <c r="B23537" s="11" t="s">
        <v>2600</v>
      </c>
      <c r="C23537" s="17" t="s">
        <v>6466</v>
      </c>
      <c r="D23537" s="2"/>
    </row>
    <row r="23538" spans="1:4" ht="25.5" customHeight="1" x14ac:dyDescent="0.2">
      <c r="B23538" s="11" t="s">
        <v>2601</v>
      </c>
      <c r="C23538" s="17"/>
      <c r="D23538" s="2"/>
    </row>
    <row r="23539" spans="1:4" ht="12.75" customHeight="1" x14ac:dyDescent="0.2">
      <c r="B23539" s="11" t="s">
        <v>16</v>
      </c>
      <c r="C23539" s="17"/>
      <c r="D23539" s="2"/>
    </row>
    <row r="23540" spans="1:4" ht="12.75" customHeight="1" x14ac:dyDescent="0.2">
      <c r="B23540" s="11" t="s">
        <v>13</v>
      </c>
      <c r="C23540" s="17" t="s">
        <v>2644</v>
      </c>
      <c r="D23540" s="2"/>
    </row>
    <row r="23541" spans="1:4" ht="25.5" customHeight="1" x14ac:dyDescent="0.2">
      <c r="B23541" s="11" t="s">
        <v>2603</v>
      </c>
      <c r="C23541" s="17" t="s">
        <v>2971</v>
      </c>
      <c r="D23541" s="2"/>
    </row>
    <row r="23542" spans="1:4" ht="12.75" customHeight="1" x14ac:dyDescent="0.2">
      <c r="B23542" s="11" t="s">
        <v>2605</v>
      </c>
      <c r="C23542" s="17" t="s">
        <v>14</v>
      </c>
      <c r="D23542" s="2"/>
    </row>
    <row r="23543" spans="1:4" ht="12.75" customHeight="1" x14ac:dyDescent="0.2">
      <c r="B23543" s="11" t="s">
        <v>2606</v>
      </c>
      <c r="C23543" s="16" t="s">
        <v>19</v>
      </c>
      <c r="D23543" s="2"/>
    </row>
    <row r="23544" spans="1:4" ht="12.75" customHeight="1" x14ac:dyDescent="0.2">
      <c r="B23544" s="2"/>
      <c r="C23544" s="15"/>
      <c r="D23544" s="2"/>
    </row>
    <row r="23545" spans="1:4" ht="12.75" customHeight="1" x14ac:dyDescent="0.2">
      <c r="B23545" s="2"/>
      <c r="C23545" s="15"/>
      <c r="D23545" s="2"/>
    </row>
    <row r="23546" spans="1:4" ht="12.75" customHeight="1" x14ac:dyDescent="0.2">
      <c r="A23546" s="13" t="s">
        <v>6354</v>
      </c>
      <c r="C23546" s="12"/>
      <c r="D23546" s="2"/>
    </row>
    <row r="23547" spans="1:4" ht="12.75" customHeight="1" x14ac:dyDescent="0.2">
      <c r="A23547" s="11"/>
      <c r="B23547" s="2"/>
      <c r="C23547" s="15"/>
      <c r="D23547" s="2"/>
    </row>
    <row r="23548" spans="1:4" ht="12.75" customHeight="1" x14ac:dyDescent="0.2">
      <c r="B23548" s="11" t="s">
        <v>0</v>
      </c>
      <c r="C23548" s="17" t="s">
        <v>371</v>
      </c>
      <c r="D23548" s="2"/>
    </row>
    <row r="23549" spans="1:4" ht="12.75" customHeight="1" x14ac:dyDescent="0.2">
      <c r="B23549" s="11" t="s">
        <v>2599</v>
      </c>
      <c r="C23549" s="17" t="s">
        <v>6355</v>
      </c>
      <c r="D23549" s="2"/>
    </row>
    <row r="23550" spans="1:4" ht="25.5" customHeight="1" x14ac:dyDescent="0.2">
      <c r="B23550" s="11" t="s">
        <v>2600</v>
      </c>
      <c r="C23550" s="17" t="s">
        <v>6467</v>
      </c>
      <c r="D23550" s="2"/>
    </row>
    <row r="23551" spans="1:4" ht="25.5" customHeight="1" x14ac:dyDescent="0.2">
      <c r="B23551" s="11" t="s">
        <v>2601</v>
      </c>
      <c r="C23551" s="17"/>
      <c r="D23551" s="2"/>
    </row>
    <row r="23552" spans="1:4" ht="12.75" customHeight="1" x14ac:dyDescent="0.2">
      <c r="B23552" s="11" t="s">
        <v>16</v>
      </c>
      <c r="C23552" s="17"/>
      <c r="D23552" s="2"/>
    </row>
    <row r="23553" spans="1:4" ht="12.75" customHeight="1" x14ac:dyDescent="0.2">
      <c r="B23553" s="11" t="s">
        <v>13</v>
      </c>
      <c r="C23553" s="17" t="s">
        <v>2602</v>
      </c>
      <c r="D23553" s="2"/>
    </row>
    <row r="23554" spans="1:4" ht="25.5" customHeight="1" x14ac:dyDescent="0.2">
      <c r="B23554" s="11" t="s">
        <v>2603</v>
      </c>
      <c r="C23554" s="17" t="s">
        <v>2971</v>
      </c>
      <c r="D23554" s="2"/>
    </row>
    <row r="23555" spans="1:4" ht="12.75" customHeight="1" x14ac:dyDescent="0.2">
      <c r="B23555" s="11" t="s">
        <v>2605</v>
      </c>
      <c r="C23555" s="17" t="s">
        <v>14</v>
      </c>
      <c r="D23555" s="2"/>
    </row>
    <row r="23556" spans="1:4" ht="12.75" customHeight="1" x14ac:dyDescent="0.2">
      <c r="B23556" s="11" t="s">
        <v>2606</v>
      </c>
      <c r="C23556" s="16" t="s">
        <v>19</v>
      </c>
      <c r="D23556" s="2"/>
    </row>
    <row r="23557" spans="1:4" ht="12.75" customHeight="1" x14ac:dyDescent="0.2">
      <c r="B23557" s="2"/>
      <c r="C23557" s="15"/>
      <c r="D23557" s="2"/>
    </row>
    <row r="23558" spans="1:4" ht="12.75" customHeight="1" x14ac:dyDescent="0.2">
      <c r="B23558" s="2"/>
      <c r="C23558" s="15"/>
      <c r="D23558" s="2"/>
    </row>
    <row r="23559" spans="1:4" ht="12.75" customHeight="1" x14ac:dyDescent="0.2">
      <c r="A23559" s="13" t="s">
        <v>6357</v>
      </c>
      <c r="C23559" s="12"/>
      <c r="D23559" s="2"/>
    </row>
    <row r="23560" spans="1:4" ht="12.75" customHeight="1" x14ac:dyDescent="0.2">
      <c r="A23560" s="11"/>
      <c r="B23560" s="2"/>
      <c r="C23560" s="15"/>
      <c r="D23560" s="2"/>
    </row>
    <row r="23561" spans="1:4" ht="12.75" customHeight="1" x14ac:dyDescent="0.2">
      <c r="B23561" s="11" t="s">
        <v>0</v>
      </c>
      <c r="C23561" s="17" t="s">
        <v>371</v>
      </c>
      <c r="D23561" s="2"/>
    </row>
    <row r="23562" spans="1:4" ht="12.75" customHeight="1" x14ac:dyDescent="0.2">
      <c r="B23562" s="11" t="s">
        <v>2599</v>
      </c>
      <c r="C23562" s="17" t="s">
        <v>5597</v>
      </c>
      <c r="D23562" s="2"/>
    </row>
    <row r="23563" spans="1:4" ht="25.5" customHeight="1" x14ac:dyDescent="0.2">
      <c r="B23563" s="11" t="s">
        <v>2600</v>
      </c>
      <c r="C23563" s="17" t="s">
        <v>6468</v>
      </c>
      <c r="D23563" s="2"/>
    </row>
    <row r="23564" spans="1:4" ht="25.5" customHeight="1" x14ac:dyDescent="0.2">
      <c r="B23564" s="11" t="s">
        <v>2601</v>
      </c>
      <c r="C23564" s="17"/>
      <c r="D23564" s="2"/>
    </row>
    <row r="23565" spans="1:4" ht="12.75" customHeight="1" x14ac:dyDescent="0.2">
      <c r="B23565" s="11" t="s">
        <v>16</v>
      </c>
      <c r="C23565" s="17"/>
      <c r="D23565" s="2"/>
    </row>
    <row r="23566" spans="1:4" ht="12.75" customHeight="1" x14ac:dyDescent="0.2">
      <c r="B23566" s="11" t="s">
        <v>13</v>
      </c>
      <c r="C23566" s="17" t="s">
        <v>2644</v>
      </c>
      <c r="D23566" s="2"/>
    </row>
    <row r="23567" spans="1:4" ht="25.5" customHeight="1" x14ac:dyDescent="0.2">
      <c r="B23567" s="11" t="s">
        <v>2603</v>
      </c>
      <c r="C23567" s="17" t="s">
        <v>2971</v>
      </c>
      <c r="D23567" s="2"/>
    </row>
    <row r="23568" spans="1:4" ht="12.75" customHeight="1" x14ac:dyDescent="0.2">
      <c r="B23568" s="11" t="s">
        <v>2605</v>
      </c>
      <c r="C23568" s="17" t="s">
        <v>14</v>
      </c>
      <c r="D23568" s="2"/>
    </row>
    <row r="23569" spans="1:4" ht="12.75" customHeight="1" x14ac:dyDescent="0.2">
      <c r="B23569" s="11" t="s">
        <v>2606</v>
      </c>
      <c r="C23569" s="16" t="s">
        <v>19</v>
      </c>
      <c r="D23569" s="2"/>
    </row>
    <row r="23570" spans="1:4" ht="12.75" customHeight="1" x14ac:dyDescent="0.2">
      <c r="B23570" s="2"/>
      <c r="C23570" s="15"/>
      <c r="D23570" s="2"/>
    </row>
    <row r="23571" spans="1:4" ht="12.75" customHeight="1" x14ac:dyDescent="0.2">
      <c r="B23571" s="2"/>
      <c r="C23571" s="15"/>
      <c r="D23571" s="2"/>
    </row>
    <row r="23572" spans="1:4" ht="12.75" customHeight="1" x14ac:dyDescent="0.2">
      <c r="A23572" s="13" t="s">
        <v>6360</v>
      </c>
      <c r="C23572" s="12"/>
      <c r="D23572" s="2"/>
    </row>
    <row r="23573" spans="1:4" ht="12.75" customHeight="1" x14ac:dyDescent="0.2">
      <c r="A23573" s="11"/>
      <c r="B23573" s="2"/>
      <c r="C23573" s="15"/>
      <c r="D23573" s="2"/>
    </row>
    <row r="23574" spans="1:4" ht="12.75" customHeight="1" x14ac:dyDescent="0.2">
      <c r="B23574" s="11" t="s">
        <v>0</v>
      </c>
      <c r="C23574" s="17" t="s">
        <v>371</v>
      </c>
      <c r="D23574" s="2"/>
    </row>
    <row r="23575" spans="1:4" ht="12.75" customHeight="1" x14ac:dyDescent="0.2">
      <c r="B23575" s="11" t="s">
        <v>2599</v>
      </c>
      <c r="C23575" s="17" t="s">
        <v>6361</v>
      </c>
      <c r="D23575" s="2"/>
    </row>
    <row r="23576" spans="1:4" ht="25.5" customHeight="1" x14ac:dyDescent="0.2">
      <c r="B23576" s="11" t="s">
        <v>2600</v>
      </c>
      <c r="C23576" s="17" t="s">
        <v>6469</v>
      </c>
      <c r="D23576" s="2"/>
    </row>
    <row r="23577" spans="1:4" ht="25.5" customHeight="1" x14ac:dyDescent="0.2">
      <c r="B23577" s="11" t="s">
        <v>2601</v>
      </c>
      <c r="C23577" s="17"/>
      <c r="D23577" s="2"/>
    </row>
    <row r="23578" spans="1:4" ht="12.75" customHeight="1" x14ac:dyDescent="0.2">
      <c r="B23578" s="11" t="s">
        <v>16</v>
      </c>
      <c r="C23578" s="17"/>
      <c r="D23578" s="2"/>
    </row>
    <row r="23579" spans="1:4" ht="12.75" customHeight="1" x14ac:dyDescent="0.2">
      <c r="B23579" s="11" t="s">
        <v>13</v>
      </c>
      <c r="C23579" s="17" t="s">
        <v>2644</v>
      </c>
      <c r="D23579" s="2"/>
    </row>
    <row r="23580" spans="1:4" ht="25.5" customHeight="1" x14ac:dyDescent="0.2">
      <c r="B23580" s="11" t="s">
        <v>2603</v>
      </c>
      <c r="C23580" s="17" t="s">
        <v>2971</v>
      </c>
      <c r="D23580" s="2"/>
    </row>
    <row r="23581" spans="1:4" ht="12.75" customHeight="1" x14ac:dyDescent="0.2">
      <c r="B23581" s="11" t="s">
        <v>2605</v>
      </c>
      <c r="C23581" s="17" t="s">
        <v>14</v>
      </c>
      <c r="D23581" s="2"/>
    </row>
    <row r="23582" spans="1:4" ht="12.75" customHeight="1" x14ac:dyDescent="0.2">
      <c r="B23582" s="11" t="s">
        <v>2606</v>
      </c>
      <c r="C23582" s="16" t="s">
        <v>19</v>
      </c>
      <c r="D23582" s="2"/>
    </row>
    <row r="23583" spans="1:4" ht="12.75" customHeight="1" x14ac:dyDescent="0.2">
      <c r="B23583" s="2"/>
      <c r="C23583" s="15"/>
      <c r="D23583" s="2"/>
    </row>
    <row r="23584" spans="1:4" ht="12.75" customHeight="1" x14ac:dyDescent="0.2">
      <c r="B23584" s="2"/>
      <c r="C23584" s="15"/>
      <c r="D23584" s="2"/>
    </row>
    <row r="23585" spans="1:4" ht="12.75" customHeight="1" x14ac:dyDescent="0.2">
      <c r="A23585" s="13" t="s">
        <v>6470</v>
      </c>
      <c r="C23585" s="12"/>
    </row>
    <row r="23586" spans="1:4" ht="12.75" customHeight="1" x14ac:dyDescent="0.2">
      <c r="A23586" s="11"/>
      <c r="B23586" s="2"/>
      <c r="C23586" s="15"/>
      <c r="D23586" s="2"/>
    </row>
    <row r="23587" spans="1:4" ht="12.75" customHeight="1" x14ac:dyDescent="0.2">
      <c r="B23587" s="11" t="s">
        <v>0</v>
      </c>
      <c r="C23587" s="11" t="s">
        <v>371</v>
      </c>
    </row>
    <row r="23588" spans="1:4" ht="12.75" customHeight="1" x14ac:dyDescent="0.2">
      <c r="B23588" s="11" t="s">
        <v>2599</v>
      </c>
      <c r="C23588" s="11" t="s">
        <v>6471</v>
      </c>
    </row>
    <row r="23589" spans="1:4" ht="25.5" customHeight="1" x14ac:dyDescent="0.2">
      <c r="B23589" s="11" t="s">
        <v>2600</v>
      </c>
      <c r="C23589" s="11" t="s">
        <v>6472</v>
      </c>
    </row>
    <row r="23590" spans="1:4" ht="25.5" customHeight="1" x14ac:dyDescent="0.2">
      <c r="B23590" s="11" t="s">
        <v>2601</v>
      </c>
      <c r="C23590" s="11"/>
    </row>
    <row r="23591" spans="1:4" ht="12.75" customHeight="1" x14ac:dyDescent="0.2">
      <c r="B23591" s="11" t="s">
        <v>16</v>
      </c>
      <c r="C23591" s="11"/>
    </row>
    <row r="23592" spans="1:4" ht="12.75" customHeight="1" x14ac:dyDescent="0.2">
      <c r="B23592" s="11" t="s">
        <v>13</v>
      </c>
      <c r="C23592" s="11" t="s">
        <v>2644</v>
      </c>
    </row>
    <row r="23593" spans="1:4" ht="12.75" customHeight="1" x14ac:dyDescent="0.2">
      <c r="B23593" s="11" t="s">
        <v>2603</v>
      </c>
      <c r="C23593" s="11" t="s">
        <v>2604</v>
      </c>
    </row>
    <row r="23594" spans="1:4" ht="12.75" customHeight="1" x14ac:dyDescent="0.2">
      <c r="B23594" s="11" t="s">
        <v>2605</v>
      </c>
      <c r="C23594" s="11" t="s">
        <v>14</v>
      </c>
    </row>
    <row r="23595" spans="1:4" ht="25.5" customHeight="1" x14ac:dyDescent="0.2">
      <c r="B23595" s="11" t="s">
        <v>2606</v>
      </c>
      <c r="C23595" s="16" t="s">
        <v>44</v>
      </c>
      <c r="D23595" s="6" t="str">
        <f>HYPERLINK("javascript:void(0)","szensz-gömb")</f>
        <v>szensz-gömb</v>
      </c>
    </row>
    <row r="23596" spans="1:4" ht="12.75" customHeight="1" x14ac:dyDescent="0.2">
      <c r="C23596" s="16" t="s">
        <v>67</v>
      </c>
      <c r="D23596" s="6" t="str">
        <f>HYPERLINK("javascript:void(0)","kincs")</f>
        <v>kincs</v>
      </c>
    </row>
    <row r="23597" spans="1:4" ht="12.75" customHeight="1" x14ac:dyDescent="0.2">
      <c r="B23597" s="2"/>
      <c r="C23597" s="15"/>
      <c r="D23597" s="2"/>
    </row>
    <row r="23598" spans="1:4" ht="12.75" customHeight="1" x14ac:dyDescent="0.2">
      <c r="B23598" s="2"/>
      <c r="C23598" s="15"/>
      <c r="D23598" s="2"/>
    </row>
    <row r="23599" spans="1:4" ht="12.75" customHeight="1" x14ac:dyDescent="0.2">
      <c r="A23599" s="13" t="s">
        <v>6473</v>
      </c>
      <c r="C23599" s="12"/>
    </row>
    <row r="23600" spans="1:4" ht="12.75" customHeight="1" x14ac:dyDescent="0.2">
      <c r="A23600" s="11"/>
      <c r="B23600" s="2"/>
      <c r="C23600" s="15"/>
      <c r="D23600" s="2"/>
    </row>
    <row r="23601" spans="1:4" ht="12.75" customHeight="1" x14ac:dyDescent="0.2">
      <c r="B23601" s="11" t="s">
        <v>0</v>
      </c>
      <c r="C23601" s="11" t="s">
        <v>371</v>
      </c>
    </row>
    <row r="23602" spans="1:4" ht="12.75" customHeight="1" x14ac:dyDescent="0.2">
      <c r="B23602" s="11" t="s">
        <v>2599</v>
      </c>
      <c r="C23602" s="11" t="s">
        <v>6474</v>
      </c>
    </row>
    <row r="23603" spans="1:4" ht="25.5" customHeight="1" x14ac:dyDescent="0.2">
      <c r="B23603" s="11" t="s">
        <v>2600</v>
      </c>
      <c r="C23603" s="11" t="s">
        <v>6475</v>
      </c>
    </row>
    <row r="23604" spans="1:4" ht="25.5" customHeight="1" x14ac:dyDescent="0.2">
      <c r="B23604" s="11" t="s">
        <v>2601</v>
      </c>
      <c r="C23604" s="11"/>
    </row>
    <row r="23605" spans="1:4" ht="12.75" customHeight="1" x14ac:dyDescent="0.2">
      <c r="B23605" s="11" t="s">
        <v>16</v>
      </c>
      <c r="C23605" s="11"/>
    </row>
    <row r="23606" spans="1:4" ht="12.75" customHeight="1" x14ac:dyDescent="0.2">
      <c r="B23606" s="11" t="s">
        <v>13</v>
      </c>
      <c r="C23606" s="11" t="s">
        <v>2602</v>
      </c>
    </row>
    <row r="23607" spans="1:4" ht="12.75" customHeight="1" x14ac:dyDescent="0.2">
      <c r="B23607" s="11" t="s">
        <v>2603</v>
      </c>
      <c r="C23607" s="11" t="s">
        <v>2604</v>
      </c>
    </row>
    <row r="23608" spans="1:4" ht="12.75" customHeight="1" x14ac:dyDescent="0.2">
      <c r="B23608" s="11" t="s">
        <v>2605</v>
      </c>
      <c r="C23608" s="11" t="s">
        <v>14</v>
      </c>
    </row>
    <row r="23609" spans="1:4" ht="12.75" customHeight="1" x14ac:dyDescent="0.2">
      <c r="B23609" s="11" t="s">
        <v>2606</v>
      </c>
      <c r="C23609" s="16" t="s">
        <v>44</v>
      </c>
      <c r="D23609" s="6" t="str">
        <f>HYPERLINK("javascript:void(0)","zsiger")</f>
        <v>zsiger</v>
      </c>
    </row>
    <row r="23610" spans="1:4" ht="12.75" customHeight="1" x14ac:dyDescent="0.2">
      <c r="B23610" s="2"/>
      <c r="C23610" s="15"/>
      <c r="D23610" s="2"/>
    </row>
    <row r="23611" spans="1:4" ht="12.75" customHeight="1" x14ac:dyDescent="0.2">
      <c r="B23611" s="2"/>
      <c r="C23611" s="15"/>
      <c r="D23611" s="2"/>
    </row>
    <row r="23612" spans="1:4" ht="12.75" customHeight="1" x14ac:dyDescent="0.2">
      <c r="A23612" s="13" t="s">
        <v>6476</v>
      </c>
      <c r="C23612" s="12"/>
    </row>
    <row r="23613" spans="1:4" ht="12.75" customHeight="1" x14ac:dyDescent="0.2">
      <c r="A23613" s="11"/>
      <c r="B23613" s="2"/>
      <c r="C23613" s="15"/>
      <c r="D23613" s="2"/>
    </row>
    <row r="23614" spans="1:4" ht="12.75" customHeight="1" x14ac:dyDescent="0.2">
      <c r="B23614" s="11" t="s">
        <v>0</v>
      </c>
      <c r="C23614" s="11" t="s">
        <v>371</v>
      </c>
    </row>
    <row r="23615" spans="1:4" ht="12.75" customHeight="1" x14ac:dyDescent="0.2">
      <c r="B23615" s="11" t="s">
        <v>2599</v>
      </c>
      <c r="C23615" s="11" t="s">
        <v>5619</v>
      </c>
    </row>
    <row r="23616" spans="1:4" ht="25.5" customHeight="1" x14ac:dyDescent="0.2">
      <c r="B23616" s="11" t="s">
        <v>2600</v>
      </c>
      <c r="C23616" s="11" t="s">
        <v>6477</v>
      </c>
    </row>
    <row r="23617" spans="1:4" ht="25.5" customHeight="1" x14ac:dyDescent="0.2">
      <c r="B23617" s="11" t="s">
        <v>2601</v>
      </c>
      <c r="C23617" s="11"/>
    </row>
    <row r="23618" spans="1:4" ht="12.75" customHeight="1" x14ac:dyDescent="0.2">
      <c r="B23618" s="11" t="s">
        <v>16</v>
      </c>
      <c r="C23618" s="11"/>
    </row>
    <row r="23619" spans="1:4" ht="12.75" customHeight="1" x14ac:dyDescent="0.2">
      <c r="B23619" s="11" t="s">
        <v>13</v>
      </c>
      <c r="C23619" s="11" t="s">
        <v>2644</v>
      </c>
    </row>
    <row r="23620" spans="1:4" ht="12.75" customHeight="1" x14ac:dyDescent="0.2">
      <c r="B23620" s="11" t="s">
        <v>2603</v>
      </c>
      <c r="C23620" s="11" t="s">
        <v>2604</v>
      </c>
    </row>
    <row r="23621" spans="1:4" ht="12.75" customHeight="1" x14ac:dyDescent="0.2">
      <c r="B23621" s="11" t="s">
        <v>2605</v>
      </c>
      <c r="C23621" s="11" t="s">
        <v>14</v>
      </c>
    </row>
    <row r="23622" spans="1:4" ht="12.75" customHeight="1" x14ac:dyDescent="0.2">
      <c r="B23622" s="11" t="s">
        <v>2606</v>
      </c>
      <c r="C23622" s="16" t="s">
        <v>142</v>
      </c>
      <c r="D23622" s="6" t="str">
        <f>HYPERLINK("javascript:void(0)","kincs")</f>
        <v>kincs</v>
      </c>
    </row>
    <row r="23623" spans="1:4" ht="12.75" customHeight="1" x14ac:dyDescent="0.2">
      <c r="B23623" s="2"/>
      <c r="C23623" s="15"/>
      <c r="D23623" s="2"/>
    </row>
    <row r="23624" spans="1:4" ht="12.75" customHeight="1" x14ac:dyDescent="0.2">
      <c r="B23624" s="2"/>
      <c r="C23624" s="15"/>
      <c r="D23624" s="2"/>
    </row>
    <row r="23625" spans="1:4" ht="12.75" customHeight="1" x14ac:dyDescent="0.2">
      <c r="A23625" s="13" t="s">
        <v>6478</v>
      </c>
      <c r="C23625" s="12"/>
    </row>
    <row r="23626" spans="1:4" ht="12.75" customHeight="1" x14ac:dyDescent="0.2">
      <c r="A23626" s="11"/>
      <c r="B23626" s="2"/>
      <c r="C23626" s="15"/>
      <c r="D23626" s="2"/>
    </row>
    <row r="23627" spans="1:4" ht="12.75" customHeight="1" x14ac:dyDescent="0.2">
      <c r="B23627" s="11" t="s">
        <v>0</v>
      </c>
      <c r="C23627" s="11" t="s">
        <v>371</v>
      </c>
    </row>
    <row r="23628" spans="1:4" ht="12.75" customHeight="1" x14ac:dyDescent="0.2">
      <c r="B23628" s="11" t="s">
        <v>2599</v>
      </c>
      <c r="C23628" s="11" t="s">
        <v>6479</v>
      </c>
    </row>
    <row r="23629" spans="1:4" ht="25.5" customHeight="1" x14ac:dyDescent="0.2">
      <c r="B23629" s="11" t="s">
        <v>2600</v>
      </c>
      <c r="C23629" s="11" t="s">
        <v>6480</v>
      </c>
    </row>
    <row r="23630" spans="1:4" ht="25.5" customHeight="1" x14ac:dyDescent="0.2">
      <c r="B23630" s="11" t="s">
        <v>2601</v>
      </c>
      <c r="C23630" s="11"/>
    </row>
    <row r="23631" spans="1:4" ht="12.75" customHeight="1" x14ac:dyDescent="0.2">
      <c r="B23631" s="11" t="s">
        <v>16</v>
      </c>
      <c r="C23631" s="11"/>
    </row>
    <row r="23632" spans="1:4" ht="12.75" customHeight="1" x14ac:dyDescent="0.2">
      <c r="B23632" s="11" t="s">
        <v>13</v>
      </c>
      <c r="C23632" s="11" t="s">
        <v>2644</v>
      </c>
    </row>
    <row r="23633" spans="1:4" ht="12.75" customHeight="1" x14ac:dyDescent="0.2">
      <c r="B23633" s="11" t="s">
        <v>2603</v>
      </c>
      <c r="C23633" s="11" t="s">
        <v>2604</v>
      </c>
    </row>
    <row r="23634" spans="1:4" ht="12.75" customHeight="1" x14ac:dyDescent="0.2">
      <c r="B23634" s="11" t="s">
        <v>2605</v>
      </c>
      <c r="C23634" s="11" t="s">
        <v>24</v>
      </c>
    </row>
    <row r="23635" spans="1:4" ht="12.75" customHeight="1" x14ac:dyDescent="0.2">
      <c r="B23635" s="11" t="s">
        <v>2606</v>
      </c>
      <c r="C23635" s="16" t="s">
        <v>44</v>
      </c>
      <c r="D23635" s="6" t="str">
        <f>HYPERLINK("javascript:void(0)","pánszarv")</f>
        <v>pánszarv</v>
      </c>
    </row>
    <row r="23636" spans="1:4" ht="12.75" customHeight="1" x14ac:dyDescent="0.2">
      <c r="B23636" s="2"/>
      <c r="C23636" s="15"/>
      <c r="D23636" s="2"/>
    </row>
    <row r="23637" spans="1:4" ht="12.75" customHeight="1" x14ac:dyDescent="0.2">
      <c r="B23637" s="2"/>
      <c r="C23637" s="15"/>
      <c r="D23637" s="2"/>
    </row>
    <row r="23638" spans="1:4" ht="12.75" customHeight="1" x14ac:dyDescent="0.2">
      <c r="A23638" s="13" t="s">
        <v>6481</v>
      </c>
      <c r="C23638" s="12"/>
    </row>
    <row r="23639" spans="1:4" ht="12.75" customHeight="1" x14ac:dyDescent="0.2">
      <c r="A23639" s="11"/>
      <c r="B23639" s="2"/>
      <c r="C23639" s="15"/>
      <c r="D23639" s="2"/>
    </row>
    <row r="23640" spans="1:4" ht="12.75" customHeight="1" x14ac:dyDescent="0.2">
      <c r="B23640" s="11" t="s">
        <v>0</v>
      </c>
      <c r="C23640" s="11" t="s">
        <v>371</v>
      </c>
    </row>
    <row r="23641" spans="1:4" ht="12.75" customHeight="1" x14ac:dyDescent="0.2">
      <c r="B23641" s="11" t="s">
        <v>2599</v>
      </c>
      <c r="C23641" s="11" t="s">
        <v>5174</v>
      </c>
    </row>
    <row r="23642" spans="1:4" ht="25.5" customHeight="1" x14ac:dyDescent="0.2">
      <c r="B23642" s="11" t="s">
        <v>2600</v>
      </c>
      <c r="C23642" s="11" t="s">
        <v>6482</v>
      </c>
    </row>
    <row r="23643" spans="1:4" ht="25.5" customHeight="1" x14ac:dyDescent="0.2">
      <c r="B23643" s="11" t="s">
        <v>2601</v>
      </c>
      <c r="C23643" s="11"/>
    </row>
    <row r="23644" spans="1:4" ht="12.75" customHeight="1" x14ac:dyDescent="0.2">
      <c r="B23644" s="11" t="s">
        <v>16</v>
      </c>
      <c r="C23644" s="11"/>
    </row>
    <row r="23645" spans="1:4" ht="12.75" customHeight="1" x14ac:dyDescent="0.2">
      <c r="B23645" s="11" t="s">
        <v>13</v>
      </c>
      <c r="C23645" s="11" t="s">
        <v>2602</v>
      </c>
    </row>
    <row r="23646" spans="1:4" ht="12.75" customHeight="1" x14ac:dyDescent="0.2">
      <c r="B23646" s="11" t="s">
        <v>2603</v>
      </c>
      <c r="C23646" s="11" t="s">
        <v>2604</v>
      </c>
    </row>
    <row r="23647" spans="1:4" ht="12.75" customHeight="1" x14ac:dyDescent="0.2">
      <c r="B23647" s="11" t="s">
        <v>2605</v>
      </c>
      <c r="C23647" s="11" t="s">
        <v>14</v>
      </c>
    </row>
    <row r="23648" spans="1:4" ht="12.75" customHeight="1" x14ac:dyDescent="0.2">
      <c r="B23648" s="11" t="s">
        <v>2606</v>
      </c>
      <c r="C23648" s="16" t="s">
        <v>44</v>
      </c>
      <c r="D23648" s="6" t="str">
        <f>HYPERLINK("javascript:void(0)","lángpehely")</f>
        <v>lángpehely</v>
      </c>
    </row>
    <row r="23649" spans="1:4" ht="12.75" customHeight="1" x14ac:dyDescent="0.2">
      <c r="B23649" s="2"/>
      <c r="C23649" s="15"/>
      <c r="D23649" s="2"/>
    </row>
    <row r="23650" spans="1:4" ht="12.75" customHeight="1" x14ac:dyDescent="0.2">
      <c r="B23650" s="2"/>
      <c r="C23650" s="15"/>
      <c r="D23650" s="2"/>
    </row>
    <row r="23651" spans="1:4" ht="12.75" customHeight="1" x14ac:dyDescent="0.2">
      <c r="A23651" s="13" t="s">
        <v>6483</v>
      </c>
      <c r="C23651" s="12"/>
    </row>
    <row r="23652" spans="1:4" ht="12.75" customHeight="1" x14ac:dyDescent="0.2">
      <c r="A23652" s="11"/>
      <c r="B23652" s="2"/>
      <c r="C23652" s="15"/>
      <c r="D23652" s="2"/>
    </row>
    <row r="23653" spans="1:4" ht="12.75" customHeight="1" x14ac:dyDescent="0.2">
      <c r="B23653" s="11" t="s">
        <v>0</v>
      </c>
      <c r="C23653" s="11" t="s">
        <v>371</v>
      </c>
    </row>
    <row r="23654" spans="1:4" ht="12.75" customHeight="1" x14ac:dyDescent="0.2">
      <c r="B23654" s="11" t="s">
        <v>2599</v>
      </c>
      <c r="C23654" s="11" t="s">
        <v>361</v>
      </c>
    </row>
    <row r="23655" spans="1:4" ht="25.5" customHeight="1" x14ac:dyDescent="0.2">
      <c r="B23655" s="11" t="s">
        <v>2600</v>
      </c>
      <c r="C23655" s="11" t="s">
        <v>6484</v>
      </c>
    </row>
    <row r="23656" spans="1:4" ht="25.5" customHeight="1" x14ac:dyDescent="0.2">
      <c r="B23656" s="11" t="s">
        <v>2601</v>
      </c>
      <c r="C23656" s="11"/>
    </row>
    <row r="23657" spans="1:4" ht="12.75" customHeight="1" x14ac:dyDescent="0.2">
      <c r="B23657" s="11" t="s">
        <v>16</v>
      </c>
      <c r="C23657" s="11"/>
    </row>
    <row r="23658" spans="1:4" ht="12.75" customHeight="1" x14ac:dyDescent="0.2">
      <c r="B23658" s="11" t="s">
        <v>13</v>
      </c>
      <c r="C23658" s="11" t="s">
        <v>2602</v>
      </c>
    </row>
    <row r="23659" spans="1:4" ht="12.75" customHeight="1" x14ac:dyDescent="0.2">
      <c r="B23659" s="11" t="s">
        <v>2603</v>
      </c>
      <c r="C23659" s="11" t="s">
        <v>2604</v>
      </c>
    </row>
    <row r="23660" spans="1:4" ht="12.75" customHeight="1" x14ac:dyDescent="0.2">
      <c r="B23660" s="11" t="s">
        <v>2605</v>
      </c>
      <c r="C23660" s="11" t="s">
        <v>24</v>
      </c>
    </row>
    <row r="23661" spans="1:4" ht="25.5" customHeight="1" x14ac:dyDescent="0.2">
      <c r="B23661" s="11" t="s">
        <v>2606</v>
      </c>
      <c r="C23661" s="16" t="s">
        <v>44</v>
      </c>
      <c r="D23661" s="6" t="str">
        <f>HYPERLINK("javascript:void(0)","idegen mütyüge")</f>
        <v>idegen mütyüge</v>
      </c>
    </row>
    <row r="23662" spans="1:4" ht="12.75" customHeight="1" x14ac:dyDescent="0.2">
      <c r="B23662" s="2"/>
      <c r="C23662" s="15"/>
      <c r="D23662" s="2"/>
    </row>
    <row r="23663" spans="1:4" ht="12.75" customHeight="1" x14ac:dyDescent="0.2">
      <c r="B23663" s="2"/>
      <c r="C23663" s="15"/>
      <c r="D23663" s="2"/>
    </row>
    <row r="23664" spans="1:4" ht="12.75" customHeight="1" x14ac:dyDescent="0.2">
      <c r="A23664" s="13" t="s">
        <v>6485</v>
      </c>
      <c r="C23664" s="12"/>
    </row>
    <row r="23665" spans="1:4" ht="12.75" customHeight="1" x14ac:dyDescent="0.2">
      <c r="A23665" s="11"/>
      <c r="B23665" s="2"/>
      <c r="C23665" s="15"/>
      <c r="D23665" s="2"/>
    </row>
    <row r="23666" spans="1:4" ht="12.75" customHeight="1" x14ac:dyDescent="0.2">
      <c r="B23666" s="11" t="s">
        <v>0</v>
      </c>
      <c r="C23666" s="11" t="s">
        <v>371</v>
      </c>
    </row>
    <row r="23667" spans="1:4" ht="12.75" customHeight="1" x14ac:dyDescent="0.2">
      <c r="B23667" s="11" t="s">
        <v>2599</v>
      </c>
      <c r="C23667" s="11" t="s">
        <v>6486</v>
      </c>
    </row>
    <row r="23668" spans="1:4" ht="25.5" customHeight="1" x14ac:dyDescent="0.2">
      <c r="B23668" s="11" t="s">
        <v>2600</v>
      </c>
      <c r="C23668" s="11" t="s">
        <v>6487</v>
      </c>
    </row>
    <row r="23669" spans="1:4" ht="25.5" customHeight="1" x14ac:dyDescent="0.2">
      <c r="B23669" s="11" t="s">
        <v>2601</v>
      </c>
      <c r="C23669" s="11"/>
    </row>
    <row r="23670" spans="1:4" ht="12.75" customHeight="1" x14ac:dyDescent="0.2">
      <c r="B23670" s="11" t="s">
        <v>16</v>
      </c>
      <c r="C23670" s="11"/>
    </row>
    <row r="23671" spans="1:4" ht="12.75" customHeight="1" x14ac:dyDescent="0.2">
      <c r="B23671" s="11" t="s">
        <v>13</v>
      </c>
      <c r="C23671" s="11" t="s">
        <v>2644</v>
      </c>
    </row>
    <row r="23672" spans="1:4" ht="12.75" customHeight="1" x14ac:dyDescent="0.2">
      <c r="B23672" s="11" t="s">
        <v>2603</v>
      </c>
      <c r="C23672" s="11" t="s">
        <v>2604</v>
      </c>
    </row>
    <row r="23673" spans="1:4" ht="12.75" customHeight="1" x14ac:dyDescent="0.2">
      <c r="B23673" s="11" t="s">
        <v>2605</v>
      </c>
      <c r="C23673" s="11" t="s">
        <v>24</v>
      </c>
    </row>
    <row r="23674" spans="1:4" ht="12.75" customHeight="1" x14ac:dyDescent="0.2">
      <c r="B23674" s="11" t="s">
        <v>2606</v>
      </c>
      <c r="C23674" s="16" t="s">
        <v>44</v>
      </c>
      <c r="D23674" s="6" t="str">
        <f>HYPERLINK("javascript:void(0)","homlokránc")</f>
        <v>homlokránc</v>
      </c>
    </row>
    <row r="23675" spans="1:4" ht="12.75" customHeight="1" x14ac:dyDescent="0.2">
      <c r="B23675" s="2"/>
      <c r="C23675" s="15"/>
      <c r="D23675" s="2"/>
    </row>
    <row r="23676" spans="1:4" ht="12.75" customHeight="1" x14ac:dyDescent="0.2">
      <c r="B23676" s="2"/>
      <c r="C23676" s="15"/>
      <c r="D23676" s="2"/>
    </row>
    <row r="23677" spans="1:4" ht="12.75" customHeight="1" x14ac:dyDescent="0.2">
      <c r="A23677" s="13" t="s">
        <v>6488</v>
      </c>
      <c r="C23677" s="12"/>
    </row>
    <row r="23678" spans="1:4" ht="12.75" customHeight="1" x14ac:dyDescent="0.2">
      <c r="A23678" s="11"/>
      <c r="B23678" s="2"/>
      <c r="C23678" s="15"/>
      <c r="D23678" s="2"/>
    </row>
    <row r="23679" spans="1:4" ht="12.75" customHeight="1" x14ac:dyDescent="0.2">
      <c r="B23679" s="11" t="s">
        <v>0</v>
      </c>
      <c r="C23679" s="11" t="s">
        <v>371</v>
      </c>
    </row>
    <row r="23680" spans="1:4" ht="12.75" customHeight="1" x14ac:dyDescent="0.2">
      <c r="B23680" s="11" t="s">
        <v>2599</v>
      </c>
      <c r="C23680" s="11" t="s">
        <v>6489</v>
      </c>
    </row>
    <row r="23681" spans="1:4" ht="25.5" customHeight="1" x14ac:dyDescent="0.2">
      <c r="B23681" s="11" t="s">
        <v>2600</v>
      </c>
      <c r="C23681" s="11" t="s">
        <v>6490</v>
      </c>
    </row>
    <row r="23682" spans="1:4" ht="25.5" customHeight="1" x14ac:dyDescent="0.2">
      <c r="B23682" s="11" t="s">
        <v>2601</v>
      </c>
      <c r="C23682" s="11"/>
    </row>
    <row r="23683" spans="1:4" ht="12.75" customHeight="1" x14ac:dyDescent="0.2">
      <c r="B23683" s="11" t="s">
        <v>16</v>
      </c>
      <c r="C23683" s="11"/>
    </row>
    <row r="23684" spans="1:4" ht="12.75" customHeight="1" x14ac:dyDescent="0.2">
      <c r="B23684" s="11" t="s">
        <v>13</v>
      </c>
      <c r="C23684" s="11" t="s">
        <v>2602</v>
      </c>
    </row>
    <row r="23685" spans="1:4" ht="12.75" customHeight="1" x14ac:dyDescent="0.2">
      <c r="B23685" s="11" t="s">
        <v>2603</v>
      </c>
      <c r="C23685" s="11" t="s">
        <v>2604</v>
      </c>
    </row>
    <row r="23686" spans="1:4" ht="12.75" customHeight="1" x14ac:dyDescent="0.2">
      <c r="B23686" s="11" t="s">
        <v>2605</v>
      </c>
      <c r="C23686" s="11" t="s">
        <v>24</v>
      </c>
    </row>
    <row r="23687" spans="1:4" ht="25.5" customHeight="1" x14ac:dyDescent="0.2">
      <c r="B23687" s="11" t="s">
        <v>2606</v>
      </c>
      <c r="C23687" s="16" t="s">
        <v>44</v>
      </c>
      <c r="D23687" s="6" t="str">
        <f>HYPERLINK("javascript:void(0)","exorcium draconum")</f>
        <v>exorcium draconum</v>
      </c>
    </row>
    <row r="23688" spans="1:4" ht="12.75" customHeight="1" x14ac:dyDescent="0.2">
      <c r="B23688" s="2"/>
      <c r="C23688" s="15"/>
      <c r="D23688" s="2"/>
    </row>
    <row r="23689" spans="1:4" ht="12.75" customHeight="1" x14ac:dyDescent="0.2">
      <c r="B23689" s="2"/>
      <c r="C23689" s="15"/>
      <c r="D23689" s="2"/>
    </row>
    <row r="23690" spans="1:4" ht="12.75" customHeight="1" x14ac:dyDescent="0.2">
      <c r="A23690" s="13" t="s">
        <v>2782</v>
      </c>
      <c r="C23690" s="12"/>
    </row>
    <row r="23691" spans="1:4" ht="12.75" customHeight="1" x14ac:dyDescent="0.2">
      <c r="A23691" s="11"/>
      <c r="B23691" s="2"/>
      <c r="C23691" s="15"/>
      <c r="D23691" s="2"/>
    </row>
    <row r="23692" spans="1:4" ht="12.75" customHeight="1" x14ac:dyDescent="0.2">
      <c r="B23692" s="11" t="s">
        <v>0</v>
      </c>
      <c r="C23692" s="11" t="s">
        <v>371</v>
      </c>
    </row>
    <row r="23693" spans="1:4" ht="12.75" customHeight="1" x14ac:dyDescent="0.2">
      <c r="B23693" s="11" t="s">
        <v>2599</v>
      </c>
      <c r="C23693" s="11" t="s">
        <v>4528</v>
      </c>
    </row>
    <row r="23694" spans="1:4" ht="25.5" customHeight="1" x14ac:dyDescent="0.2">
      <c r="B23694" s="11" t="s">
        <v>2600</v>
      </c>
      <c r="C23694" s="11" t="s">
        <v>6491</v>
      </c>
    </row>
    <row r="23695" spans="1:4" ht="25.5" customHeight="1" x14ac:dyDescent="0.2">
      <c r="B23695" s="11" t="s">
        <v>2601</v>
      </c>
      <c r="C23695" s="11"/>
    </row>
    <row r="23696" spans="1:4" ht="12.75" customHeight="1" x14ac:dyDescent="0.2">
      <c r="B23696" s="11" t="s">
        <v>16</v>
      </c>
      <c r="C23696" s="11"/>
    </row>
    <row r="23697" spans="1:4" ht="12.75" customHeight="1" x14ac:dyDescent="0.2">
      <c r="B23697" s="11" t="s">
        <v>13</v>
      </c>
      <c r="C23697" s="11" t="s">
        <v>2644</v>
      </c>
    </row>
    <row r="23698" spans="1:4" ht="12.75" customHeight="1" x14ac:dyDescent="0.2">
      <c r="B23698" s="11" t="s">
        <v>2603</v>
      </c>
      <c r="C23698" s="11" t="s">
        <v>2604</v>
      </c>
    </row>
    <row r="23699" spans="1:4" ht="12.75" customHeight="1" x14ac:dyDescent="0.2">
      <c r="B23699" s="11" t="s">
        <v>2605</v>
      </c>
      <c r="C23699" s="11" t="s">
        <v>14</v>
      </c>
    </row>
    <row r="23700" spans="1:4" ht="12.75" customHeight="1" x14ac:dyDescent="0.2">
      <c r="B23700" s="11" t="s">
        <v>2606</v>
      </c>
      <c r="C23700" s="16" t="s">
        <v>44</v>
      </c>
      <c r="D23700" s="6" t="str">
        <f>HYPERLINK("javascript:void(0)","alakváltókő")</f>
        <v>alakváltókő</v>
      </c>
    </row>
    <row r="23701" spans="1:4" ht="12.75" customHeight="1" x14ac:dyDescent="0.2">
      <c r="B23701" s="2"/>
      <c r="C23701" s="15"/>
      <c r="D23701" s="2"/>
    </row>
    <row r="23702" spans="1:4" ht="12.75" customHeight="1" x14ac:dyDescent="0.2">
      <c r="B23702" s="2"/>
      <c r="C23702" s="15"/>
      <c r="D23702" s="2"/>
    </row>
    <row r="23703" spans="1:4" ht="12.75" customHeight="1" x14ac:dyDescent="0.2">
      <c r="A23703" s="13" t="s">
        <v>6492</v>
      </c>
      <c r="C23703" s="12"/>
      <c r="D23703" s="2"/>
    </row>
    <row r="23704" spans="1:4" ht="12.75" customHeight="1" x14ac:dyDescent="0.2">
      <c r="A23704" s="11"/>
      <c r="B23704" s="2"/>
      <c r="C23704" s="15"/>
      <c r="D23704" s="2"/>
    </row>
    <row r="23705" spans="1:4" ht="12.75" customHeight="1" x14ac:dyDescent="0.2">
      <c r="B23705" s="11" t="s">
        <v>0</v>
      </c>
      <c r="C23705" s="17" t="s">
        <v>1342</v>
      </c>
      <c r="D23705" s="2"/>
    </row>
    <row r="23706" spans="1:4" ht="12.75" customHeight="1" x14ac:dyDescent="0.2">
      <c r="B23706" s="11" t="s">
        <v>2599</v>
      </c>
      <c r="C23706" s="17" t="s">
        <v>6493</v>
      </c>
      <c r="D23706" s="2"/>
    </row>
    <row r="23707" spans="1:4" ht="25.5" customHeight="1" x14ac:dyDescent="0.2">
      <c r="B23707" s="11" t="s">
        <v>2600</v>
      </c>
      <c r="C23707" s="17" t="s">
        <v>6494</v>
      </c>
      <c r="D23707" s="2"/>
    </row>
    <row r="23708" spans="1:4" ht="25.5" customHeight="1" x14ac:dyDescent="0.2">
      <c r="B23708" s="11" t="s">
        <v>2601</v>
      </c>
      <c r="C23708" s="17"/>
      <c r="D23708" s="2"/>
    </row>
    <row r="23709" spans="1:4" ht="12.75" customHeight="1" x14ac:dyDescent="0.2">
      <c r="B23709" s="11" t="s">
        <v>16</v>
      </c>
      <c r="C23709" s="17"/>
      <c r="D23709" s="2"/>
    </row>
    <row r="23710" spans="1:4" ht="12.75" customHeight="1" x14ac:dyDescent="0.2">
      <c r="B23710" s="11" t="s">
        <v>13</v>
      </c>
      <c r="C23710" s="17" t="s">
        <v>2602</v>
      </c>
      <c r="D23710" s="2"/>
    </row>
    <row r="23711" spans="1:4" ht="25.5" customHeight="1" x14ac:dyDescent="0.2">
      <c r="B23711" s="11" t="s">
        <v>2603</v>
      </c>
      <c r="C23711" s="17" t="s">
        <v>2971</v>
      </c>
      <c r="D23711" s="2"/>
    </row>
    <row r="23712" spans="1:4" ht="12.75" customHeight="1" x14ac:dyDescent="0.2">
      <c r="B23712" s="11" t="s">
        <v>2605</v>
      </c>
      <c r="C23712" s="17" t="s">
        <v>14</v>
      </c>
      <c r="D23712" s="2"/>
    </row>
    <row r="23713" spans="1:4" ht="12.75" customHeight="1" x14ac:dyDescent="0.2">
      <c r="B23713" s="11" t="s">
        <v>2606</v>
      </c>
      <c r="C23713" s="16" t="s">
        <v>19</v>
      </c>
      <c r="D23713" s="2"/>
    </row>
    <row r="23714" spans="1:4" ht="12.75" customHeight="1" x14ac:dyDescent="0.2">
      <c r="B23714" s="2"/>
      <c r="C23714" s="15"/>
      <c r="D23714" s="2"/>
    </row>
    <row r="23715" spans="1:4" ht="12.75" customHeight="1" x14ac:dyDescent="0.2">
      <c r="B23715" s="2"/>
      <c r="C23715" s="15"/>
      <c r="D23715" s="2"/>
    </row>
    <row r="23716" spans="1:4" ht="12.75" customHeight="1" x14ac:dyDescent="0.2">
      <c r="A23716" s="13" t="s">
        <v>6495</v>
      </c>
      <c r="C23716" s="12"/>
      <c r="D23716" s="2"/>
    </row>
    <row r="23717" spans="1:4" ht="12.75" customHeight="1" x14ac:dyDescent="0.2">
      <c r="A23717" s="11"/>
      <c r="B23717" s="2"/>
      <c r="C23717" s="15"/>
      <c r="D23717" s="2"/>
    </row>
    <row r="23718" spans="1:4" ht="12.75" customHeight="1" x14ac:dyDescent="0.2">
      <c r="B23718" s="11" t="s">
        <v>0</v>
      </c>
      <c r="C23718" s="17" t="s">
        <v>1342</v>
      </c>
      <c r="D23718" s="2"/>
    </row>
    <row r="23719" spans="1:4" ht="12.75" customHeight="1" x14ac:dyDescent="0.2">
      <c r="B23719" s="11" t="s">
        <v>2599</v>
      </c>
      <c r="C23719" s="17" t="s">
        <v>4365</v>
      </c>
      <c r="D23719" s="2"/>
    </row>
    <row r="23720" spans="1:4" ht="25.5" customHeight="1" x14ac:dyDescent="0.2">
      <c r="B23720" s="11" t="s">
        <v>2600</v>
      </c>
      <c r="C23720" s="17" t="s">
        <v>6496</v>
      </c>
      <c r="D23720" s="2"/>
    </row>
    <row r="23721" spans="1:4" ht="25.5" customHeight="1" x14ac:dyDescent="0.2">
      <c r="B23721" s="11" t="s">
        <v>2601</v>
      </c>
      <c r="C23721" s="17"/>
      <c r="D23721" s="2"/>
    </row>
    <row r="23722" spans="1:4" ht="12.75" customHeight="1" x14ac:dyDescent="0.2">
      <c r="B23722" s="11" t="s">
        <v>16</v>
      </c>
      <c r="C23722" s="17"/>
      <c r="D23722" s="2"/>
    </row>
    <row r="23723" spans="1:4" ht="12.75" customHeight="1" x14ac:dyDescent="0.2">
      <c r="B23723" s="11" t="s">
        <v>13</v>
      </c>
      <c r="C23723" s="17" t="s">
        <v>2644</v>
      </c>
      <c r="D23723" s="2"/>
    </row>
    <row r="23724" spans="1:4" ht="25.5" customHeight="1" x14ac:dyDescent="0.2">
      <c r="B23724" s="11" t="s">
        <v>2603</v>
      </c>
      <c r="C23724" s="17" t="s">
        <v>2971</v>
      </c>
      <c r="D23724" s="2"/>
    </row>
    <row r="23725" spans="1:4" ht="12.75" customHeight="1" x14ac:dyDescent="0.2">
      <c r="B23725" s="11" t="s">
        <v>2605</v>
      </c>
      <c r="C23725" s="17" t="s">
        <v>14</v>
      </c>
      <c r="D23725" s="2"/>
    </row>
    <row r="23726" spans="1:4" ht="12.75" customHeight="1" x14ac:dyDescent="0.2">
      <c r="B23726" s="11" t="s">
        <v>2606</v>
      </c>
      <c r="C23726" s="16" t="s">
        <v>19</v>
      </c>
      <c r="D23726" s="2"/>
    </row>
    <row r="23727" spans="1:4" ht="12.75" customHeight="1" x14ac:dyDescent="0.2">
      <c r="B23727" s="2"/>
      <c r="C23727" s="15"/>
      <c r="D23727" s="2"/>
    </row>
    <row r="23728" spans="1:4" ht="12.75" customHeight="1" x14ac:dyDescent="0.2">
      <c r="B23728" s="2"/>
      <c r="C23728" s="15"/>
      <c r="D23728" s="2"/>
    </row>
    <row r="23729" spans="1:4" ht="12.75" customHeight="1" x14ac:dyDescent="0.2">
      <c r="A23729" s="13" t="s">
        <v>6497</v>
      </c>
      <c r="C23729" s="12"/>
      <c r="D23729" s="2"/>
    </row>
    <row r="23730" spans="1:4" ht="12.75" customHeight="1" x14ac:dyDescent="0.2">
      <c r="A23730" s="11"/>
      <c r="B23730" s="2"/>
      <c r="C23730" s="15"/>
      <c r="D23730" s="2"/>
    </row>
    <row r="23731" spans="1:4" ht="12.75" customHeight="1" x14ac:dyDescent="0.2">
      <c r="B23731" s="11" t="s">
        <v>0</v>
      </c>
      <c r="C23731" s="17" t="s">
        <v>1342</v>
      </c>
      <c r="D23731" s="2"/>
    </row>
    <row r="23732" spans="1:4" ht="12.75" customHeight="1" x14ac:dyDescent="0.2">
      <c r="B23732" s="11" t="s">
        <v>2599</v>
      </c>
      <c r="C23732" s="17" t="s">
        <v>6498</v>
      </c>
      <c r="D23732" s="2"/>
    </row>
    <row r="23733" spans="1:4" ht="25.5" customHeight="1" x14ac:dyDescent="0.2">
      <c r="B23733" s="11" t="s">
        <v>2600</v>
      </c>
      <c r="C23733" s="17" t="s">
        <v>6499</v>
      </c>
      <c r="D23733" s="2"/>
    </row>
    <row r="23734" spans="1:4" ht="25.5" customHeight="1" x14ac:dyDescent="0.2">
      <c r="B23734" s="11" t="s">
        <v>2601</v>
      </c>
      <c r="C23734" s="17"/>
      <c r="D23734" s="2"/>
    </row>
    <row r="23735" spans="1:4" ht="12.75" customHeight="1" x14ac:dyDescent="0.2">
      <c r="B23735" s="11" t="s">
        <v>16</v>
      </c>
      <c r="C23735" s="17"/>
      <c r="D23735" s="2"/>
    </row>
    <row r="23736" spans="1:4" ht="12.75" customHeight="1" x14ac:dyDescent="0.2">
      <c r="B23736" s="11" t="s">
        <v>13</v>
      </c>
      <c r="C23736" s="17" t="s">
        <v>2602</v>
      </c>
      <c r="D23736" s="2"/>
    </row>
    <row r="23737" spans="1:4" ht="25.5" customHeight="1" x14ac:dyDescent="0.2">
      <c r="B23737" s="11" t="s">
        <v>2603</v>
      </c>
      <c r="C23737" s="17" t="s">
        <v>2971</v>
      </c>
      <c r="D23737" s="2"/>
    </row>
    <row r="23738" spans="1:4" ht="12.75" customHeight="1" x14ac:dyDescent="0.2">
      <c r="B23738" s="11" t="s">
        <v>2605</v>
      </c>
      <c r="C23738" s="17" t="s">
        <v>14</v>
      </c>
      <c r="D23738" s="2"/>
    </row>
    <row r="23739" spans="1:4" ht="12.75" customHeight="1" x14ac:dyDescent="0.2">
      <c r="B23739" s="11" t="s">
        <v>2606</v>
      </c>
      <c r="C23739" s="16" t="s">
        <v>19</v>
      </c>
      <c r="D23739" s="2"/>
    </row>
    <row r="23740" spans="1:4" ht="12.75" customHeight="1" x14ac:dyDescent="0.2">
      <c r="B23740" s="2"/>
      <c r="C23740" s="15"/>
      <c r="D23740" s="2"/>
    </row>
    <row r="23741" spans="1:4" ht="12.75" customHeight="1" x14ac:dyDescent="0.2">
      <c r="B23741" s="2"/>
      <c r="C23741" s="15"/>
      <c r="D23741" s="2"/>
    </row>
    <row r="23742" spans="1:4" ht="12.75" customHeight="1" x14ac:dyDescent="0.2">
      <c r="A23742" s="13" t="s">
        <v>6500</v>
      </c>
      <c r="C23742" s="12"/>
      <c r="D23742" s="2"/>
    </row>
    <row r="23743" spans="1:4" ht="12.75" customHeight="1" x14ac:dyDescent="0.2">
      <c r="A23743" s="11"/>
      <c r="B23743" s="2"/>
      <c r="C23743" s="15"/>
      <c r="D23743" s="2"/>
    </row>
    <row r="23744" spans="1:4" ht="12.75" customHeight="1" x14ac:dyDescent="0.2">
      <c r="B23744" s="11" t="s">
        <v>0</v>
      </c>
      <c r="C23744" s="17" t="s">
        <v>1342</v>
      </c>
      <c r="D23744" s="2"/>
    </row>
    <row r="23745" spans="1:4" ht="12.75" customHeight="1" x14ac:dyDescent="0.2">
      <c r="B23745" s="11" t="s">
        <v>2599</v>
      </c>
      <c r="C23745" s="17" t="s">
        <v>1904</v>
      </c>
      <c r="D23745" s="2"/>
    </row>
    <row r="23746" spans="1:4" ht="25.5" customHeight="1" x14ac:dyDescent="0.2">
      <c r="B23746" s="11" t="s">
        <v>2600</v>
      </c>
      <c r="C23746" s="17" t="s">
        <v>6501</v>
      </c>
      <c r="D23746" s="2"/>
    </row>
    <row r="23747" spans="1:4" ht="25.5" customHeight="1" x14ac:dyDescent="0.2">
      <c r="B23747" s="11" t="s">
        <v>2601</v>
      </c>
      <c r="C23747" s="17"/>
      <c r="D23747" s="2"/>
    </row>
    <row r="23748" spans="1:4" ht="12.75" customHeight="1" x14ac:dyDescent="0.2">
      <c r="B23748" s="11" t="s">
        <v>16</v>
      </c>
      <c r="C23748" s="17"/>
      <c r="D23748" s="2"/>
    </row>
    <row r="23749" spans="1:4" ht="12.75" customHeight="1" x14ac:dyDescent="0.2">
      <c r="B23749" s="11" t="s">
        <v>13</v>
      </c>
      <c r="C23749" s="17" t="s">
        <v>2644</v>
      </c>
      <c r="D23749" s="2"/>
    </row>
    <row r="23750" spans="1:4" ht="25.5" customHeight="1" x14ac:dyDescent="0.2">
      <c r="B23750" s="11" t="s">
        <v>2603</v>
      </c>
      <c r="C23750" s="17" t="s">
        <v>2971</v>
      </c>
      <c r="D23750" s="2"/>
    </row>
    <row r="23751" spans="1:4" ht="12.75" customHeight="1" x14ac:dyDescent="0.2">
      <c r="B23751" s="11" t="s">
        <v>2605</v>
      </c>
      <c r="C23751" s="17" t="s">
        <v>14</v>
      </c>
      <c r="D23751" s="2"/>
    </row>
    <row r="23752" spans="1:4" ht="12.75" customHeight="1" x14ac:dyDescent="0.2">
      <c r="B23752" s="11" t="s">
        <v>2606</v>
      </c>
      <c r="C23752" s="16" t="s">
        <v>19</v>
      </c>
      <c r="D23752" s="2"/>
    </row>
    <row r="23753" spans="1:4" ht="12.75" customHeight="1" x14ac:dyDescent="0.2">
      <c r="B23753" s="2"/>
      <c r="C23753" s="15"/>
      <c r="D23753" s="2"/>
    </row>
    <row r="23754" spans="1:4" ht="12.75" customHeight="1" x14ac:dyDescent="0.2">
      <c r="B23754" s="2"/>
      <c r="C23754" s="15"/>
      <c r="D23754" s="2"/>
    </row>
    <row r="23755" spans="1:4" ht="12.75" customHeight="1" x14ac:dyDescent="0.2">
      <c r="A23755" s="13" t="s">
        <v>6502</v>
      </c>
      <c r="C23755" s="12"/>
    </row>
    <row r="23756" spans="1:4" ht="12.75" customHeight="1" x14ac:dyDescent="0.2">
      <c r="A23756" s="11"/>
      <c r="B23756" s="2"/>
      <c r="C23756" s="15"/>
      <c r="D23756" s="2"/>
    </row>
    <row r="23757" spans="1:4" ht="12.75" customHeight="1" x14ac:dyDescent="0.2">
      <c r="B23757" s="11" t="s">
        <v>0</v>
      </c>
      <c r="C23757" s="11" t="s">
        <v>1342</v>
      </c>
    </row>
    <row r="23758" spans="1:4" ht="12.75" customHeight="1" x14ac:dyDescent="0.2">
      <c r="B23758" s="11" t="s">
        <v>2599</v>
      </c>
      <c r="C23758" s="11" t="s">
        <v>2485</v>
      </c>
    </row>
    <row r="23759" spans="1:4" ht="25.5" customHeight="1" x14ac:dyDescent="0.2">
      <c r="B23759" s="11" t="s">
        <v>2600</v>
      </c>
      <c r="C23759" s="11" t="s">
        <v>6503</v>
      </c>
    </row>
    <row r="23760" spans="1:4" ht="25.5" customHeight="1" x14ac:dyDescent="0.2">
      <c r="B23760" s="11" t="s">
        <v>2601</v>
      </c>
      <c r="C23760" s="11"/>
    </row>
    <row r="23761" spans="1:4" ht="12.75" customHeight="1" x14ac:dyDescent="0.2">
      <c r="B23761" s="11" t="s">
        <v>16</v>
      </c>
      <c r="C23761" s="11"/>
    </row>
    <row r="23762" spans="1:4" ht="12.75" customHeight="1" x14ac:dyDescent="0.2">
      <c r="B23762" s="11" t="s">
        <v>13</v>
      </c>
      <c r="C23762" s="11" t="s">
        <v>2602</v>
      </c>
    </row>
    <row r="23763" spans="1:4" ht="12.75" customHeight="1" x14ac:dyDescent="0.2">
      <c r="B23763" s="11" t="s">
        <v>2603</v>
      </c>
      <c r="C23763" s="11" t="s">
        <v>2604</v>
      </c>
    </row>
    <row r="23764" spans="1:4" ht="12.75" customHeight="1" x14ac:dyDescent="0.2">
      <c r="B23764" s="11" t="s">
        <v>2605</v>
      </c>
      <c r="C23764" s="11" t="s">
        <v>14</v>
      </c>
    </row>
    <row r="23765" spans="1:4" ht="25.5" customHeight="1" x14ac:dyDescent="0.2">
      <c r="B23765" s="11" t="s">
        <v>2606</v>
      </c>
      <c r="C23765" s="16" t="s">
        <v>44</v>
      </c>
      <c r="D23765" s="6" t="str">
        <f>HYPERLINK("javascript:void(0)","bolondgomba")</f>
        <v>bolondgomba</v>
      </c>
    </row>
    <row r="23766" spans="1:4" ht="12.75" customHeight="1" x14ac:dyDescent="0.2">
      <c r="B23766" s="2"/>
      <c r="C23766" s="15"/>
      <c r="D23766" s="2"/>
    </row>
    <row r="23767" spans="1:4" ht="12.75" customHeight="1" x14ac:dyDescent="0.2">
      <c r="B23767" s="2"/>
      <c r="C23767" s="15"/>
      <c r="D23767" s="2"/>
    </row>
    <row r="23768" spans="1:4" ht="12.75" customHeight="1" x14ac:dyDescent="0.2">
      <c r="A23768" s="13" t="s">
        <v>6504</v>
      </c>
      <c r="C23768" s="12"/>
    </row>
    <row r="23769" spans="1:4" ht="12.75" customHeight="1" x14ac:dyDescent="0.2">
      <c r="A23769" s="11"/>
      <c r="B23769" s="2"/>
      <c r="C23769" s="15"/>
      <c r="D23769" s="2"/>
    </row>
    <row r="23770" spans="1:4" ht="12.75" customHeight="1" x14ac:dyDescent="0.2">
      <c r="B23770" s="11" t="s">
        <v>0</v>
      </c>
      <c r="C23770" s="11" t="s">
        <v>1342</v>
      </c>
    </row>
    <row r="23771" spans="1:4" ht="12.75" customHeight="1" x14ac:dyDescent="0.2">
      <c r="B23771" s="11" t="s">
        <v>2599</v>
      </c>
      <c r="C23771" s="11" t="s">
        <v>3251</v>
      </c>
    </row>
    <row r="23772" spans="1:4" ht="25.5" customHeight="1" x14ac:dyDescent="0.2">
      <c r="B23772" s="11" t="s">
        <v>2600</v>
      </c>
      <c r="C23772" s="11" t="s">
        <v>6505</v>
      </c>
    </row>
    <row r="23773" spans="1:4" ht="25.5" customHeight="1" x14ac:dyDescent="0.2">
      <c r="B23773" s="11" t="s">
        <v>2601</v>
      </c>
      <c r="C23773" s="11"/>
    </row>
    <row r="23774" spans="1:4" ht="12.75" customHeight="1" x14ac:dyDescent="0.2">
      <c r="B23774" s="11" t="s">
        <v>16</v>
      </c>
      <c r="C23774" s="11"/>
    </row>
    <row r="23775" spans="1:4" ht="12.75" customHeight="1" x14ac:dyDescent="0.2">
      <c r="B23775" s="11" t="s">
        <v>13</v>
      </c>
      <c r="C23775" s="11" t="s">
        <v>2602</v>
      </c>
    </row>
    <row r="23776" spans="1:4" ht="12.75" customHeight="1" x14ac:dyDescent="0.2">
      <c r="B23776" s="11" t="s">
        <v>2603</v>
      </c>
      <c r="C23776" s="11" t="s">
        <v>2604</v>
      </c>
    </row>
    <row r="23777" spans="1:4" ht="12.75" customHeight="1" x14ac:dyDescent="0.2">
      <c r="B23777" s="11" t="s">
        <v>2605</v>
      </c>
      <c r="C23777" s="11" t="s">
        <v>14</v>
      </c>
    </row>
    <row r="23778" spans="1:4" ht="12.75" customHeight="1" x14ac:dyDescent="0.2">
      <c r="B23778" s="11" t="s">
        <v>2606</v>
      </c>
      <c r="C23778" s="16" t="s">
        <v>57</v>
      </c>
      <c r="D23778" s="6" t="str">
        <f>HYPERLINK("javascript:void(0)","pajszer")</f>
        <v>pajszer</v>
      </c>
    </row>
    <row r="23779" spans="1:4" ht="12.75" customHeight="1" x14ac:dyDescent="0.2">
      <c r="C23779" s="16" t="s">
        <v>44</v>
      </c>
      <c r="D23779" s="6" t="str">
        <f>HYPERLINK("javascript:void(0)","príma enyv")</f>
        <v>príma enyv</v>
      </c>
    </row>
    <row r="23780" spans="1:4" ht="12.75" customHeight="1" x14ac:dyDescent="0.2">
      <c r="B23780" s="2"/>
      <c r="C23780" s="15"/>
      <c r="D23780" s="2"/>
    </row>
    <row r="23781" spans="1:4" ht="12.75" customHeight="1" x14ac:dyDescent="0.2">
      <c r="B23781" s="2"/>
      <c r="C23781" s="15"/>
      <c r="D23781" s="2"/>
    </row>
    <row r="23782" spans="1:4" ht="12.75" customHeight="1" x14ac:dyDescent="0.2">
      <c r="A23782" s="13" t="s">
        <v>6506</v>
      </c>
      <c r="C23782" s="12"/>
    </row>
    <row r="23783" spans="1:4" ht="12.75" customHeight="1" x14ac:dyDescent="0.2">
      <c r="A23783" s="11"/>
      <c r="B23783" s="2"/>
      <c r="C23783" s="15"/>
      <c r="D23783" s="2"/>
    </row>
    <row r="23784" spans="1:4" ht="12.75" customHeight="1" x14ac:dyDescent="0.2">
      <c r="B23784" s="11" t="s">
        <v>0</v>
      </c>
      <c r="C23784" s="11" t="s">
        <v>1342</v>
      </c>
    </row>
    <row r="23785" spans="1:4" ht="12.75" customHeight="1" x14ac:dyDescent="0.2">
      <c r="B23785" s="11" t="s">
        <v>2599</v>
      </c>
      <c r="C23785" s="11" t="s">
        <v>2739</v>
      </c>
    </row>
    <row r="23786" spans="1:4" ht="25.5" customHeight="1" x14ac:dyDescent="0.2">
      <c r="B23786" s="11" t="s">
        <v>2600</v>
      </c>
      <c r="C23786" s="11" t="s">
        <v>6507</v>
      </c>
    </row>
    <row r="23787" spans="1:4" ht="25.5" customHeight="1" x14ac:dyDescent="0.2">
      <c r="B23787" s="11" t="s">
        <v>2601</v>
      </c>
      <c r="C23787" s="11"/>
    </row>
    <row r="23788" spans="1:4" ht="12.75" customHeight="1" x14ac:dyDescent="0.2">
      <c r="B23788" s="11" t="s">
        <v>16</v>
      </c>
      <c r="C23788" s="11"/>
    </row>
    <row r="23789" spans="1:4" ht="12.75" customHeight="1" x14ac:dyDescent="0.2">
      <c r="B23789" s="11" t="s">
        <v>13</v>
      </c>
      <c r="C23789" s="11" t="s">
        <v>2644</v>
      </c>
    </row>
    <row r="23790" spans="1:4" ht="12.75" customHeight="1" x14ac:dyDescent="0.2">
      <c r="B23790" s="11" t="s">
        <v>2603</v>
      </c>
      <c r="C23790" s="11" t="s">
        <v>2604</v>
      </c>
    </row>
    <row r="23791" spans="1:4" ht="12.75" customHeight="1" x14ac:dyDescent="0.2">
      <c r="B23791" s="11" t="s">
        <v>2605</v>
      </c>
      <c r="C23791" s="11" t="s">
        <v>14</v>
      </c>
    </row>
    <row r="23792" spans="1:4" ht="12.75" customHeight="1" x14ac:dyDescent="0.2">
      <c r="B23792" s="11" t="s">
        <v>2606</v>
      </c>
      <c r="C23792" s="16" t="s">
        <v>77</v>
      </c>
      <c r="D23792" s="6" t="str">
        <f>HYPERLINK("javascript:void(0)","kincs")</f>
        <v>kincs</v>
      </c>
    </row>
    <row r="23793" spans="1:4" ht="12.75" customHeight="1" x14ac:dyDescent="0.2">
      <c r="B23793" s="2"/>
      <c r="C23793" s="15"/>
      <c r="D23793" s="2"/>
    </row>
    <row r="23794" spans="1:4" ht="12.75" customHeight="1" x14ac:dyDescent="0.2">
      <c r="B23794" s="2"/>
      <c r="C23794" s="15"/>
      <c r="D23794" s="2"/>
    </row>
    <row r="23795" spans="1:4" ht="12.75" customHeight="1" x14ac:dyDescent="0.2">
      <c r="A23795" s="13" t="s">
        <v>6508</v>
      </c>
      <c r="C23795" s="12"/>
    </row>
    <row r="23796" spans="1:4" ht="12.75" customHeight="1" x14ac:dyDescent="0.2">
      <c r="A23796" s="11"/>
      <c r="B23796" s="2"/>
      <c r="C23796" s="15"/>
      <c r="D23796" s="2"/>
    </row>
    <row r="23797" spans="1:4" ht="12.75" customHeight="1" x14ac:dyDescent="0.2">
      <c r="B23797" s="11" t="s">
        <v>0</v>
      </c>
      <c r="C23797" s="11" t="s">
        <v>1342</v>
      </c>
    </row>
    <row r="23798" spans="1:4" ht="12.75" customHeight="1" x14ac:dyDescent="0.2">
      <c r="B23798" s="11" t="s">
        <v>2599</v>
      </c>
      <c r="C23798" s="11" t="s">
        <v>6509</v>
      </c>
    </row>
    <row r="23799" spans="1:4" ht="25.5" customHeight="1" x14ac:dyDescent="0.2">
      <c r="B23799" s="11" t="s">
        <v>2600</v>
      </c>
      <c r="C23799" s="11" t="s">
        <v>6510</v>
      </c>
    </row>
    <row r="23800" spans="1:4" ht="25.5" customHeight="1" x14ac:dyDescent="0.2">
      <c r="B23800" s="11" t="s">
        <v>2601</v>
      </c>
      <c r="C23800" s="11"/>
    </row>
    <row r="23801" spans="1:4" ht="12.75" customHeight="1" x14ac:dyDescent="0.2">
      <c r="B23801" s="11" t="s">
        <v>16</v>
      </c>
      <c r="C23801" s="11"/>
    </row>
    <row r="23802" spans="1:4" ht="12.75" customHeight="1" x14ac:dyDescent="0.2">
      <c r="B23802" s="11" t="s">
        <v>13</v>
      </c>
      <c r="C23802" s="11" t="s">
        <v>2602</v>
      </c>
    </row>
    <row r="23803" spans="1:4" ht="12.75" customHeight="1" x14ac:dyDescent="0.2">
      <c r="B23803" s="11" t="s">
        <v>2603</v>
      </c>
      <c r="C23803" s="11" t="s">
        <v>2604</v>
      </c>
    </row>
    <row r="23804" spans="1:4" ht="12.75" customHeight="1" x14ac:dyDescent="0.2">
      <c r="B23804" s="11" t="s">
        <v>2605</v>
      </c>
      <c r="C23804" s="11" t="s">
        <v>24</v>
      </c>
    </row>
    <row r="23805" spans="1:4" ht="12.75" customHeight="1" x14ac:dyDescent="0.2">
      <c r="B23805" s="11" t="s">
        <v>2606</v>
      </c>
      <c r="C23805" s="16" t="s">
        <v>44</v>
      </c>
      <c r="D23805" s="6" t="str">
        <f>HYPERLINK("javascript:void(0)","holtprizma")</f>
        <v>holtprizma</v>
      </c>
    </row>
    <row r="23806" spans="1:4" ht="12.75" customHeight="1" x14ac:dyDescent="0.2">
      <c r="B23806" s="2"/>
      <c r="C23806" s="15"/>
      <c r="D23806" s="2"/>
    </row>
    <row r="23807" spans="1:4" ht="12.75" customHeight="1" x14ac:dyDescent="0.2">
      <c r="B23807" s="2"/>
      <c r="C23807" s="15"/>
      <c r="D23807" s="2"/>
    </row>
    <row r="23808" spans="1:4" ht="12.75" customHeight="1" x14ac:dyDescent="0.2">
      <c r="A23808" s="13" t="s">
        <v>6511</v>
      </c>
      <c r="C23808" s="12"/>
    </row>
    <row r="23809" spans="1:4" ht="12.75" customHeight="1" x14ac:dyDescent="0.2">
      <c r="A23809" s="11"/>
      <c r="B23809" s="2"/>
      <c r="C23809" s="15"/>
      <c r="D23809" s="2"/>
    </row>
    <row r="23810" spans="1:4" ht="12.75" customHeight="1" x14ac:dyDescent="0.2">
      <c r="B23810" s="11" t="s">
        <v>0</v>
      </c>
      <c r="C23810" s="11" t="s">
        <v>1342</v>
      </c>
    </row>
    <row r="23811" spans="1:4" ht="12.75" customHeight="1" x14ac:dyDescent="0.2">
      <c r="B23811" s="11" t="s">
        <v>2599</v>
      </c>
      <c r="C23811" s="11" t="s">
        <v>2824</v>
      </c>
    </row>
    <row r="23812" spans="1:4" ht="25.5" customHeight="1" x14ac:dyDescent="0.2">
      <c r="B23812" s="11" t="s">
        <v>2600</v>
      </c>
      <c r="C23812" s="11" t="s">
        <v>6512</v>
      </c>
    </row>
    <row r="23813" spans="1:4" ht="25.5" customHeight="1" x14ac:dyDescent="0.2">
      <c r="B23813" s="11" t="s">
        <v>2601</v>
      </c>
      <c r="C23813" s="11"/>
    </row>
    <row r="23814" spans="1:4" ht="12.75" customHeight="1" x14ac:dyDescent="0.2">
      <c r="B23814" s="11" t="s">
        <v>16</v>
      </c>
      <c r="C23814" s="11"/>
    </row>
    <row r="23815" spans="1:4" ht="12.75" customHeight="1" x14ac:dyDescent="0.2">
      <c r="B23815" s="11" t="s">
        <v>13</v>
      </c>
      <c r="C23815" s="11" t="s">
        <v>2602</v>
      </c>
    </row>
    <row r="23816" spans="1:4" ht="12.75" customHeight="1" x14ac:dyDescent="0.2">
      <c r="B23816" s="11" t="s">
        <v>2603</v>
      </c>
      <c r="C23816" s="11" t="s">
        <v>2604</v>
      </c>
    </row>
    <row r="23817" spans="1:4" ht="12.75" customHeight="1" x14ac:dyDescent="0.2">
      <c r="B23817" s="11" t="s">
        <v>2605</v>
      </c>
      <c r="C23817" s="11" t="s">
        <v>24</v>
      </c>
    </row>
    <row r="23818" spans="1:4" ht="12.75" customHeight="1" x14ac:dyDescent="0.2">
      <c r="B23818" s="11" t="s">
        <v>2606</v>
      </c>
      <c r="C23818" s="16" t="s">
        <v>44</v>
      </c>
      <c r="D23818" s="6" t="str">
        <f>HYPERLINK("javascript:void(0)","kokszkeksz")</f>
        <v>kokszkeksz</v>
      </c>
    </row>
    <row r="23819" spans="1:4" ht="12.75" customHeight="1" x14ac:dyDescent="0.2">
      <c r="B23819" s="2"/>
      <c r="C23819" s="15"/>
      <c r="D23819" s="2"/>
    </row>
    <row r="23820" spans="1:4" ht="12.75" customHeight="1" x14ac:dyDescent="0.2">
      <c r="B23820" s="2"/>
      <c r="C23820" s="15"/>
      <c r="D23820" s="2"/>
    </row>
    <row r="23821" spans="1:4" ht="12.75" customHeight="1" x14ac:dyDescent="0.2">
      <c r="A23821" s="13" t="s">
        <v>6513</v>
      </c>
      <c r="C23821" s="12"/>
    </row>
    <row r="23822" spans="1:4" ht="12.75" customHeight="1" x14ac:dyDescent="0.2">
      <c r="A23822" s="11"/>
      <c r="B23822" s="2"/>
      <c r="C23822" s="15"/>
      <c r="D23822" s="2"/>
    </row>
    <row r="23823" spans="1:4" ht="12.75" customHeight="1" x14ac:dyDescent="0.2">
      <c r="B23823" s="11" t="s">
        <v>0</v>
      </c>
      <c r="C23823" s="11" t="s">
        <v>1342</v>
      </c>
    </row>
    <row r="23824" spans="1:4" ht="12.75" customHeight="1" x14ac:dyDescent="0.2">
      <c r="B23824" s="11" t="s">
        <v>2599</v>
      </c>
      <c r="C23824" s="11" t="s">
        <v>6514</v>
      </c>
    </row>
    <row r="23825" spans="1:4" ht="25.5" customHeight="1" x14ac:dyDescent="0.2">
      <c r="B23825" s="11" t="s">
        <v>2600</v>
      </c>
      <c r="C23825" s="11" t="s">
        <v>6515</v>
      </c>
    </row>
    <row r="23826" spans="1:4" ht="25.5" customHeight="1" x14ac:dyDescent="0.2">
      <c r="B23826" s="11" t="s">
        <v>2601</v>
      </c>
      <c r="C23826" s="11"/>
    </row>
    <row r="23827" spans="1:4" ht="12.75" customHeight="1" x14ac:dyDescent="0.2">
      <c r="B23827" s="11" t="s">
        <v>16</v>
      </c>
      <c r="C23827" s="11"/>
    </row>
    <row r="23828" spans="1:4" ht="12.75" customHeight="1" x14ac:dyDescent="0.2">
      <c r="B23828" s="11" t="s">
        <v>13</v>
      </c>
      <c r="C23828" s="11" t="s">
        <v>2644</v>
      </c>
    </row>
    <row r="23829" spans="1:4" ht="12.75" customHeight="1" x14ac:dyDescent="0.2">
      <c r="B23829" s="11" t="s">
        <v>2603</v>
      </c>
      <c r="C23829" s="11" t="s">
        <v>2604</v>
      </c>
    </row>
    <row r="23830" spans="1:4" ht="12.75" customHeight="1" x14ac:dyDescent="0.2">
      <c r="B23830" s="11" t="s">
        <v>2605</v>
      </c>
      <c r="C23830" s="11" t="s">
        <v>24</v>
      </c>
    </row>
    <row r="23831" spans="1:4" ht="12.75" customHeight="1" x14ac:dyDescent="0.2">
      <c r="B23831" s="11" t="s">
        <v>2606</v>
      </c>
      <c r="C23831" s="16" t="s">
        <v>44</v>
      </c>
      <c r="D23831" s="6" t="str">
        <f>HYPERLINK("javascript:void(0)","agydúc")</f>
        <v>agydúc</v>
      </c>
    </row>
    <row r="23832" spans="1:4" ht="12.75" customHeight="1" x14ac:dyDescent="0.2">
      <c r="B23832" s="2"/>
      <c r="C23832" s="15"/>
      <c r="D23832" s="2"/>
    </row>
    <row r="23833" spans="1:4" ht="12.75" customHeight="1" x14ac:dyDescent="0.2">
      <c r="B23833" s="2"/>
      <c r="C23833" s="15"/>
      <c r="D23833" s="2"/>
    </row>
    <row r="23834" spans="1:4" ht="12.75" customHeight="1" x14ac:dyDescent="0.2">
      <c r="A23834" s="13" t="s">
        <v>6516</v>
      </c>
      <c r="C23834" s="12"/>
    </row>
    <row r="23835" spans="1:4" ht="12.75" customHeight="1" x14ac:dyDescent="0.2">
      <c r="A23835" s="11"/>
      <c r="B23835" s="2"/>
      <c r="C23835" s="15"/>
      <c r="D23835" s="2"/>
    </row>
    <row r="23836" spans="1:4" ht="12.75" customHeight="1" x14ac:dyDescent="0.2">
      <c r="B23836" s="11" t="s">
        <v>0</v>
      </c>
      <c r="C23836" s="11" t="s">
        <v>1342</v>
      </c>
    </row>
    <row r="23837" spans="1:4" ht="12.75" customHeight="1" x14ac:dyDescent="0.2">
      <c r="B23837" s="11" t="s">
        <v>2599</v>
      </c>
      <c r="C23837" s="11" t="s">
        <v>6517</v>
      </c>
    </row>
    <row r="23838" spans="1:4" ht="25.5" customHeight="1" x14ac:dyDescent="0.2">
      <c r="B23838" s="11" t="s">
        <v>2600</v>
      </c>
      <c r="C23838" s="11" t="s">
        <v>6518</v>
      </c>
    </row>
    <row r="23839" spans="1:4" ht="25.5" customHeight="1" x14ac:dyDescent="0.2">
      <c r="B23839" s="11" t="s">
        <v>2601</v>
      </c>
      <c r="C23839" s="11"/>
    </row>
    <row r="23840" spans="1:4" ht="12.75" customHeight="1" x14ac:dyDescent="0.2">
      <c r="B23840" s="11" t="s">
        <v>16</v>
      </c>
      <c r="C23840" s="11"/>
    </row>
    <row r="23841" spans="1:4" ht="12.75" customHeight="1" x14ac:dyDescent="0.2">
      <c r="B23841" s="11" t="s">
        <v>13</v>
      </c>
      <c r="C23841" s="11" t="s">
        <v>2644</v>
      </c>
    </row>
    <row r="23842" spans="1:4" ht="12.75" customHeight="1" x14ac:dyDescent="0.2">
      <c r="B23842" s="11" t="s">
        <v>2603</v>
      </c>
      <c r="C23842" s="11" t="s">
        <v>2604</v>
      </c>
    </row>
    <row r="23843" spans="1:4" ht="12.75" customHeight="1" x14ac:dyDescent="0.2">
      <c r="B23843" s="11" t="s">
        <v>2605</v>
      </c>
      <c r="C23843" s="11" t="s">
        <v>14</v>
      </c>
    </row>
    <row r="23844" spans="1:4" ht="25.5" customHeight="1" x14ac:dyDescent="0.2">
      <c r="B23844" s="11" t="s">
        <v>2606</v>
      </c>
      <c r="C23844" s="16" t="s">
        <v>44</v>
      </c>
      <c r="D23844" s="6" t="str">
        <f>HYPERLINK("javascript:void(0)","haszontalanság")</f>
        <v>haszontalanság</v>
      </c>
    </row>
    <row r="23845" spans="1:4" ht="12.75" customHeight="1" x14ac:dyDescent="0.2">
      <c r="B23845" s="2"/>
      <c r="C23845" s="15"/>
      <c r="D23845" s="2"/>
    </row>
    <row r="23846" spans="1:4" ht="12.75" customHeight="1" x14ac:dyDescent="0.2">
      <c r="B23846" s="2"/>
      <c r="C23846" s="15"/>
      <c r="D23846" s="2"/>
    </row>
    <row r="23847" spans="1:4" ht="12.75" customHeight="1" x14ac:dyDescent="0.2">
      <c r="A23847" s="13" t="s">
        <v>6519</v>
      </c>
      <c r="C23847" s="12"/>
    </row>
    <row r="23848" spans="1:4" ht="12.75" customHeight="1" x14ac:dyDescent="0.2">
      <c r="A23848" s="11"/>
      <c r="B23848" s="2"/>
      <c r="C23848" s="15"/>
      <c r="D23848" s="2"/>
    </row>
    <row r="23849" spans="1:4" ht="12.75" customHeight="1" x14ac:dyDescent="0.2">
      <c r="B23849" s="11" t="s">
        <v>0</v>
      </c>
      <c r="C23849" s="11" t="s">
        <v>1342</v>
      </c>
    </row>
    <row r="23850" spans="1:4" ht="12.75" customHeight="1" x14ac:dyDescent="0.2">
      <c r="B23850" s="11" t="s">
        <v>2599</v>
      </c>
      <c r="C23850" s="11" t="s">
        <v>966</v>
      </c>
    </row>
    <row r="23851" spans="1:4" ht="25.5" customHeight="1" x14ac:dyDescent="0.2">
      <c r="B23851" s="11" t="s">
        <v>2600</v>
      </c>
      <c r="C23851" s="11" t="s">
        <v>6520</v>
      </c>
    </row>
    <row r="23852" spans="1:4" ht="25.5" customHeight="1" x14ac:dyDescent="0.2">
      <c r="B23852" s="11" t="s">
        <v>2601</v>
      </c>
      <c r="C23852" s="11"/>
    </row>
    <row r="23853" spans="1:4" ht="12.75" customHeight="1" x14ac:dyDescent="0.2">
      <c r="B23853" s="11" t="s">
        <v>16</v>
      </c>
      <c r="C23853" s="11"/>
    </row>
    <row r="23854" spans="1:4" ht="12.75" customHeight="1" x14ac:dyDescent="0.2">
      <c r="B23854" s="11" t="s">
        <v>13</v>
      </c>
      <c r="C23854" s="11" t="s">
        <v>2602</v>
      </c>
    </row>
    <row r="23855" spans="1:4" ht="12.75" customHeight="1" x14ac:dyDescent="0.2">
      <c r="B23855" s="11" t="s">
        <v>2603</v>
      </c>
      <c r="C23855" s="11" t="s">
        <v>2604</v>
      </c>
    </row>
    <row r="23856" spans="1:4" ht="12.75" customHeight="1" x14ac:dyDescent="0.2">
      <c r="B23856" s="11" t="s">
        <v>2605</v>
      </c>
      <c r="C23856" s="11" t="s">
        <v>24</v>
      </c>
    </row>
    <row r="23857" spans="1:4" ht="25.5" customHeight="1" x14ac:dyDescent="0.2">
      <c r="B23857" s="11" t="s">
        <v>2606</v>
      </c>
      <c r="C23857" s="16" t="s">
        <v>44</v>
      </c>
      <c r="D23857" s="6" t="str">
        <f>HYPERLINK("javascript:void(0)","exorcium draconum")</f>
        <v>exorcium draconum</v>
      </c>
    </row>
    <row r="23858" spans="1:4" ht="12.75" customHeight="1" x14ac:dyDescent="0.2">
      <c r="B23858" s="2"/>
      <c r="C23858" s="15"/>
      <c r="D23858" s="2"/>
    </row>
    <row r="23859" spans="1:4" ht="12.75" customHeight="1" x14ac:dyDescent="0.2">
      <c r="B23859" s="2"/>
      <c r="C23859" s="15"/>
      <c r="D23859" s="2"/>
    </row>
    <row r="23860" spans="1:4" ht="12.75" customHeight="1" x14ac:dyDescent="0.2">
      <c r="A23860" s="13" t="s">
        <v>6492</v>
      </c>
      <c r="C23860" s="12"/>
      <c r="D23860" s="2"/>
    </row>
    <row r="23861" spans="1:4" ht="12.75" customHeight="1" x14ac:dyDescent="0.2">
      <c r="A23861" s="11"/>
      <c r="B23861" s="2"/>
      <c r="C23861" s="15"/>
      <c r="D23861" s="2"/>
    </row>
    <row r="23862" spans="1:4" ht="12.75" customHeight="1" x14ac:dyDescent="0.2">
      <c r="B23862" s="11" t="s">
        <v>0</v>
      </c>
      <c r="C23862" s="17" t="s">
        <v>351</v>
      </c>
      <c r="D23862" s="2"/>
    </row>
    <row r="23863" spans="1:4" ht="12.75" customHeight="1" x14ac:dyDescent="0.2">
      <c r="B23863" s="11" t="s">
        <v>2599</v>
      </c>
      <c r="C23863" s="17" t="s">
        <v>6493</v>
      </c>
      <c r="D23863" s="2"/>
    </row>
    <row r="23864" spans="1:4" ht="25.5" customHeight="1" x14ac:dyDescent="0.2">
      <c r="B23864" s="11" t="s">
        <v>2600</v>
      </c>
      <c r="C23864" s="17" t="s">
        <v>6521</v>
      </c>
      <c r="D23864" s="2"/>
    </row>
    <row r="23865" spans="1:4" ht="25.5" customHeight="1" x14ac:dyDescent="0.2">
      <c r="B23865" s="11" t="s">
        <v>2601</v>
      </c>
      <c r="C23865" s="17"/>
      <c r="D23865" s="2"/>
    </row>
    <row r="23866" spans="1:4" ht="12.75" customHeight="1" x14ac:dyDescent="0.2">
      <c r="B23866" s="11" t="s">
        <v>16</v>
      </c>
      <c r="C23866" s="17"/>
      <c r="D23866" s="2"/>
    </row>
    <row r="23867" spans="1:4" ht="12.75" customHeight="1" x14ac:dyDescent="0.2">
      <c r="B23867" s="11" t="s">
        <v>13</v>
      </c>
      <c r="C23867" s="17" t="s">
        <v>2602</v>
      </c>
      <c r="D23867" s="2"/>
    </row>
    <row r="23868" spans="1:4" ht="25.5" customHeight="1" x14ac:dyDescent="0.2">
      <c r="B23868" s="11" t="s">
        <v>2603</v>
      </c>
      <c r="C23868" s="17" t="s">
        <v>2971</v>
      </c>
      <c r="D23868" s="2"/>
    </row>
    <row r="23869" spans="1:4" ht="12.75" customHeight="1" x14ac:dyDescent="0.2">
      <c r="B23869" s="11" t="s">
        <v>2605</v>
      </c>
      <c r="C23869" s="17" t="s">
        <v>14</v>
      </c>
      <c r="D23869" s="2"/>
    </row>
    <row r="23870" spans="1:4" ht="12.75" customHeight="1" x14ac:dyDescent="0.2">
      <c r="B23870" s="11" t="s">
        <v>2606</v>
      </c>
      <c r="C23870" s="16" t="s">
        <v>19</v>
      </c>
      <c r="D23870" s="2"/>
    </row>
    <row r="23871" spans="1:4" ht="12.75" customHeight="1" x14ac:dyDescent="0.2">
      <c r="B23871" s="2"/>
      <c r="C23871" s="15"/>
      <c r="D23871" s="2"/>
    </row>
    <row r="23872" spans="1:4" ht="12.75" customHeight="1" x14ac:dyDescent="0.2">
      <c r="B23872" s="2"/>
      <c r="C23872" s="15"/>
      <c r="D23872" s="2"/>
    </row>
    <row r="23873" spans="1:4" ht="12.75" customHeight="1" x14ac:dyDescent="0.2">
      <c r="A23873" s="13" t="s">
        <v>6495</v>
      </c>
      <c r="C23873" s="12"/>
      <c r="D23873" s="2"/>
    </row>
    <row r="23874" spans="1:4" ht="12.75" customHeight="1" x14ac:dyDescent="0.2">
      <c r="A23874" s="11"/>
      <c r="B23874" s="2"/>
      <c r="C23874" s="15"/>
      <c r="D23874" s="2"/>
    </row>
    <row r="23875" spans="1:4" ht="12.75" customHeight="1" x14ac:dyDescent="0.2">
      <c r="B23875" s="11" t="s">
        <v>0</v>
      </c>
      <c r="C23875" s="17" t="s">
        <v>351</v>
      </c>
      <c r="D23875" s="2"/>
    </row>
    <row r="23876" spans="1:4" ht="12.75" customHeight="1" x14ac:dyDescent="0.2">
      <c r="B23876" s="11" t="s">
        <v>2599</v>
      </c>
      <c r="C23876" s="17" t="s">
        <v>4365</v>
      </c>
      <c r="D23876" s="2"/>
    </row>
    <row r="23877" spans="1:4" ht="25.5" customHeight="1" x14ac:dyDescent="0.2">
      <c r="B23877" s="11" t="s">
        <v>2600</v>
      </c>
      <c r="C23877" s="17" t="s">
        <v>6522</v>
      </c>
      <c r="D23877" s="2"/>
    </row>
    <row r="23878" spans="1:4" ht="25.5" customHeight="1" x14ac:dyDescent="0.2">
      <c r="B23878" s="11" t="s">
        <v>2601</v>
      </c>
      <c r="C23878" s="17"/>
      <c r="D23878" s="2"/>
    </row>
    <row r="23879" spans="1:4" ht="12.75" customHeight="1" x14ac:dyDescent="0.2">
      <c r="B23879" s="11" t="s">
        <v>16</v>
      </c>
      <c r="C23879" s="17"/>
      <c r="D23879" s="2"/>
    </row>
    <row r="23880" spans="1:4" ht="12.75" customHeight="1" x14ac:dyDescent="0.2">
      <c r="B23880" s="11" t="s">
        <v>13</v>
      </c>
      <c r="C23880" s="17" t="s">
        <v>2644</v>
      </c>
      <c r="D23880" s="2"/>
    </row>
    <row r="23881" spans="1:4" ht="25.5" customHeight="1" x14ac:dyDescent="0.2">
      <c r="B23881" s="11" t="s">
        <v>2603</v>
      </c>
      <c r="C23881" s="17" t="s">
        <v>2971</v>
      </c>
      <c r="D23881" s="2"/>
    </row>
    <row r="23882" spans="1:4" ht="12.75" customHeight="1" x14ac:dyDescent="0.2">
      <c r="B23882" s="11" t="s">
        <v>2605</v>
      </c>
      <c r="C23882" s="17" t="s">
        <v>14</v>
      </c>
      <c r="D23882" s="2"/>
    </row>
    <row r="23883" spans="1:4" ht="12.75" customHeight="1" x14ac:dyDescent="0.2">
      <c r="B23883" s="11" t="s">
        <v>2606</v>
      </c>
      <c r="C23883" s="16" t="s">
        <v>19</v>
      </c>
      <c r="D23883" s="2"/>
    </row>
    <row r="23884" spans="1:4" ht="12.75" customHeight="1" x14ac:dyDescent="0.2">
      <c r="B23884" s="2"/>
      <c r="C23884" s="15"/>
      <c r="D23884" s="2"/>
    </row>
    <row r="23885" spans="1:4" ht="12.75" customHeight="1" x14ac:dyDescent="0.2">
      <c r="B23885" s="2"/>
      <c r="C23885" s="15"/>
      <c r="D23885" s="2"/>
    </row>
    <row r="23886" spans="1:4" ht="12.75" customHeight="1" x14ac:dyDescent="0.2">
      <c r="A23886" s="13" t="s">
        <v>6497</v>
      </c>
      <c r="C23886" s="12"/>
      <c r="D23886" s="2"/>
    </row>
    <row r="23887" spans="1:4" ht="12.75" customHeight="1" x14ac:dyDescent="0.2">
      <c r="A23887" s="11"/>
      <c r="B23887" s="2"/>
      <c r="C23887" s="15"/>
      <c r="D23887" s="2"/>
    </row>
    <row r="23888" spans="1:4" ht="12.75" customHeight="1" x14ac:dyDescent="0.2">
      <c r="B23888" s="11" t="s">
        <v>0</v>
      </c>
      <c r="C23888" s="17" t="s">
        <v>351</v>
      </c>
      <c r="D23888" s="2"/>
    </row>
    <row r="23889" spans="1:4" ht="12.75" customHeight="1" x14ac:dyDescent="0.2">
      <c r="B23889" s="11" t="s">
        <v>2599</v>
      </c>
      <c r="C23889" s="17" t="s">
        <v>6498</v>
      </c>
      <c r="D23889" s="2"/>
    </row>
    <row r="23890" spans="1:4" ht="25.5" customHeight="1" x14ac:dyDescent="0.2">
      <c r="B23890" s="11" t="s">
        <v>2600</v>
      </c>
      <c r="C23890" s="17" t="s">
        <v>6523</v>
      </c>
      <c r="D23890" s="2"/>
    </row>
    <row r="23891" spans="1:4" ht="25.5" customHeight="1" x14ac:dyDescent="0.2">
      <c r="B23891" s="11" t="s">
        <v>2601</v>
      </c>
      <c r="C23891" s="17"/>
      <c r="D23891" s="2"/>
    </row>
    <row r="23892" spans="1:4" ht="12.75" customHeight="1" x14ac:dyDescent="0.2">
      <c r="B23892" s="11" t="s">
        <v>16</v>
      </c>
      <c r="C23892" s="17"/>
      <c r="D23892" s="2"/>
    </row>
    <row r="23893" spans="1:4" ht="12.75" customHeight="1" x14ac:dyDescent="0.2">
      <c r="B23893" s="11" t="s">
        <v>13</v>
      </c>
      <c r="C23893" s="17" t="s">
        <v>2602</v>
      </c>
      <c r="D23893" s="2"/>
    </row>
    <row r="23894" spans="1:4" ht="25.5" customHeight="1" x14ac:dyDescent="0.2">
      <c r="B23894" s="11" t="s">
        <v>2603</v>
      </c>
      <c r="C23894" s="17" t="s">
        <v>2971</v>
      </c>
      <c r="D23894" s="2"/>
    </row>
    <row r="23895" spans="1:4" ht="12.75" customHeight="1" x14ac:dyDescent="0.2">
      <c r="B23895" s="11" t="s">
        <v>2605</v>
      </c>
      <c r="C23895" s="17" t="s">
        <v>14</v>
      </c>
      <c r="D23895" s="2"/>
    </row>
    <row r="23896" spans="1:4" ht="12.75" customHeight="1" x14ac:dyDescent="0.2">
      <c r="B23896" s="11" t="s">
        <v>2606</v>
      </c>
      <c r="C23896" s="16" t="s">
        <v>19</v>
      </c>
      <c r="D23896" s="2"/>
    </row>
    <row r="23897" spans="1:4" ht="12.75" customHeight="1" x14ac:dyDescent="0.2">
      <c r="B23897" s="2"/>
      <c r="C23897" s="15"/>
      <c r="D23897" s="2"/>
    </row>
    <row r="23898" spans="1:4" ht="12.75" customHeight="1" x14ac:dyDescent="0.2">
      <c r="B23898" s="2"/>
      <c r="C23898" s="15"/>
      <c r="D23898" s="2"/>
    </row>
    <row r="23899" spans="1:4" ht="12.75" customHeight="1" x14ac:dyDescent="0.2">
      <c r="A23899" s="13" t="s">
        <v>6500</v>
      </c>
      <c r="C23899" s="12"/>
      <c r="D23899" s="2"/>
    </row>
    <row r="23900" spans="1:4" ht="12.75" customHeight="1" x14ac:dyDescent="0.2">
      <c r="A23900" s="11"/>
      <c r="B23900" s="2"/>
      <c r="C23900" s="15"/>
      <c r="D23900" s="2"/>
    </row>
    <row r="23901" spans="1:4" ht="12.75" customHeight="1" x14ac:dyDescent="0.2">
      <c r="B23901" s="11" t="s">
        <v>0</v>
      </c>
      <c r="C23901" s="17" t="s">
        <v>351</v>
      </c>
      <c r="D23901" s="2"/>
    </row>
    <row r="23902" spans="1:4" ht="12.75" customHeight="1" x14ac:dyDescent="0.2">
      <c r="B23902" s="11" t="s">
        <v>2599</v>
      </c>
      <c r="C23902" s="17" t="s">
        <v>1904</v>
      </c>
      <c r="D23902" s="2"/>
    </row>
    <row r="23903" spans="1:4" ht="25.5" customHeight="1" x14ac:dyDescent="0.2">
      <c r="B23903" s="11" t="s">
        <v>2600</v>
      </c>
      <c r="C23903" s="17" t="s">
        <v>6524</v>
      </c>
      <c r="D23903" s="2"/>
    </row>
    <row r="23904" spans="1:4" ht="25.5" customHeight="1" x14ac:dyDescent="0.2">
      <c r="B23904" s="11" t="s">
        <v>2601</v>
      </c>
      <c r="C23904" s="17"/>
      <c r="D23904" s="2"/>
    </row>
    <row r="23905" spans="1:4" ht="12.75" customHeight="1" x14ac:dyDescent="0.2">
      <c r="B23905" s="11" t="s">
        <v>16</v>
      </c>
      <c r="C23905" s="17"/>
      <c r="D23905" s="2"/>
    </row>
    <row r="23906" spans="1:4" ht="12.75" customHeight="1" x14ac:dyDescent="0.2">
      <c r="B23906" s="11" t="s">
        <v>13</v>
      </c>
      <c r="C23906" s="17" t="s">
        <v>2644</v>
      </c>
      <c r="D23906" s="2"/>
    </row>
    <row r="23907" spans="1:4" ht="25.5" customHeight="1" x14ac:dyDescent="0.2">
      <c r="B23907" s="11" t="s">
        <v>2603</v>
      </c>
      <c r="C23907" s="17" t="s">
        <v>2971</v>
      </c>
      <c r="D23907" s="2"/>
    </row>
    <row r="23908" spans="1:4" ht="12.75" customHeight="1" x14ac:dyDescent="0.2">
      <c r="B23908" s="11" t="s">
        <v>2605</v>
      </c>
      <c r="C23908" s="17" t="s">
        <v>14</v>
      </c>
      <c r="D23908" s="2"/>
    </row>
    <row r="23909" spans="1:4" ht="12.75" customHeight="1" x14ac:dyDescent="0.2">
      <c r="B23909" s="11" t="s">
        <v>2606</v>
      </c>
      <c r="C23909" s="16" t="s">
        <v>19</v>
      </c>
      <c r="D23909" s="2"/>
    </row>
    <row r="23910" spans="1:4" ht="12.75" customHeight="1" x14ac:dyDescent="0.2">
      <c r="B23910" s="2"/>
      <c r="C23910" s="15"/>
      <c r="D23910" s="2"/>
    </row>
    <row r="23911" spans="1:4" ht="12.75" customHeight="1" x14ac:dyDescent="0.2">
      <c r="B23911" s="2"/>
      <c r="C23911" s="15"/>
      <c r="D23911" s="2"/>
    </row>
    <row r="23912" spans="1:4" ht="12.75" customHeight="1" x14ac:dyDescent="0.2">
      <c r="A23912" s="13" t="s">
        <v>6525</v>
      </c>
      <c r="C23912" s="12"/>
    </row>
    <row r="23913" spans="1:4" ht="12.75" customHeight="1" x14ac:dyDescent="0.2">
      <c r="A23913" s="11"/>
      <c r="B23913" s="2"/>
      <c r="C23913" s="15"/>
      <c r="D23913" s="2"/>
    </row>
    <row r="23914" spans="1:4" ht="12.75" customHeight="1" x14ac:dyDescent="0.2">
      <c r="B23914" s="11" t="s">
        <v>0</v>
      </c>
      <c r="C23914" s="11" t="s">
        <v>351</v>
      </c>
    </row>
    <row r="23915" spans="1:4" ht="12.75" customHeight="1" x14ac:dyDescent="0.2">
      <c r="B23915" s="11" t="s">
        <v>2599</v>
      </c>
      <c r="C23915" s="11" t="s">
        <v>4067</v>
      </c>
    </row>
    <row r="23916" spans="1:4" ht="25.5" customHeight="1" x14ac:dyDescent="0.2">
      <c r="B23916" s="11" t="s">
        <v>2600</v>
      </c>
      <c r="C23916" s="11" t="s">
        <v>6526</v>
      </c>
    </row>
    <row r="23917" spans="1:4" ht="25.5" customHeight="1" x14ac:dyDescent="0.2">
      <c r="B23917" s="11" t="s">
        <v>2601</v>
      </c>
      <c r="C23917" s="11"/>
    </row>
    <row r="23918" spans="1:4" ht="12.75" customHeight="1" x14ac:dyDescent="0.2">
      <c r="B23918" s="11" t="s">
        <v>16</v>
      </c>
      <c r="C23918" s="11"/>
    </row>
    <row r="23919" spans="1:4" ht="12.75" customHeight="1" x14ac:dyDescent="0.2">
      <c r="B23919" s="11" t="s">
        <v>13</v>
      </c>
      <c r="C23919" s="11" t="s">
        <v>2644</v>
      </c>
    </row>
    <row r="23920" spans="1:4" ht="12.75" customHeight="1" x14ac:dyDescent="0.2">
      <c r="B23920" s="11" t="s">
        <v>2603</v>
      </c>
      <c r="C23920" s="11" t="s">
        <v>2604</v>
      </c>
    </row>
    <row r="23921" spans="1:4" ht="12.75" customHeight="1" x14ac:dyDescent="0.2">
      <c r="B23921" s="11" t="s">
        <v>2605</v>
      </c>
      <c r="C23921" s="11" t="s">
        <v>14</v>
      </c>
    </row>
    <row r="23922" spans="1:4" ht="25.5" customHeight="1" x14ac:dyDescent="0.2">
      <c r="B23922" s="11" t="s">
        <v>2606</v>
      </c>
      <c r="C23922" s="16" t="s">
        <v>56</v>
      </c>
      <c r="D23922" s="6" t="str">
        <f>HYPERLINK("javascript:void(0)","lábszárcsont")</f>
        <v>lábszárcsont</v>
      </c>
    </row>
    <row r="23923" spans="1:4" ht="12.75" customHeight="1" x14ac:dyDescent="0.2">
      <c r="C23923" s="16" t="s">
        <v>44</v>
      </c>
      <c r="D23923" s="6" t="str">
        <f>HYPERLINK("javascript:void(0)","koponya")</f>
        <v>koponya</v>
      </c>
    </row>
    <row r="23924" spans="1:4" ht="12.75" customHeight="1" x14ac:dyDescent="0.2">
      <c r="C23924" s="16" t="s">
        <v>68</v>
      </c>
      <c r="D23924" s="6" t="str">
        <f>HYPERLINK("javascript:void(0)","halcsont")</f>
        <v>halcsont</v>
      </c>
    </row>
    <row r="23925" spans="1:4" ht="12.75" customHeight="1" x14ac:dyDescent="0.2">
      <c r="C23925" s="16" t="s">
        <v>44</v>
      </c>
      <c r="D23925" s="6" t="str">
        <f>HYPERLINK("javascript:void(0)","skivei bot")</f>
        <v>skivei bot</v>
      </c>
    </row>
    <row r="23926" spans="1:4" ht="12.75" customHeight="1" x14ac:dyDescent="0.2">
      <c r="B23926" s="2"/>
      <c r="C23926" s="15"/>
      <c r="D23926" s="2"/>
    </row>
    <row r="23927" spans="1:4" ht="12.75" customHeight="1" x14ac:dyDescent="0.2">
      <c r="B23927" s="2"/>
      <c r="C23927" s="15"/>
      <c r="D23927" s="2"/>
    </row>
    <row r="23928" spans="1:4" ht="12.75" customHeight="1" x14ac:dyDescent="0.2">
      <c r="A23928" s="13" t="s">
        <v>6527</v>
      </c>
      <c r="C23928" s="12"/>
    </row>
    <row r="23929" spans="1:4" ht="12.75" customHeight="1" x14ac:dyDescent="0.2">
      <c r="A23929" s="11"/>
      <c r="B23929" s="2"/>
      <c r="C23929" s="15"/>
      <c r="D23929" s="2"/>
    </row>
    <row r="23930" spans="1:4" ht="12.75" customHeight="1" x14ac:dyDescent="0.2">
      <c r="B23930" s="11" t="s">
        <v>0</v>
      </c>
      <c r="C23930" s="11" t="s">
        <v>351</v>
      </c>
    </row>
    <row r="23931" spans="1:4" ht="12.75" customHeight="1" x14ac:dyDescent="0.2">
      <c r="B23931" s="11" t="s">
        <v>2599</v>
      </c>
      <c r="C23931" s="11" t="s">
        <v>6528</v>
      </c>
    </row>
    <row r="23932" spans="1:4" ht="25.5" customHeight="1" x14ac:dyDescent="0.2">
      <c r="B23932" s="11" t="s">
        <v>2600</v>
      </c>
      <c r="C23932" s="11" t="s">
        <v>6529</v>
      </c>
    </row>
    <row r="23933" spans="1:4" ht="25.5" customHeight="1" x14ac:dyDescent="0.2">
      <c r="B23933" s="11" t="s">
        <v>2601</v>
      </c>
      <c r="C23933" s="11"/>
    </row>
    <row r="23934" spans="1:4" ht="12.75" customHeight="1" x14ac:dyDescent="0.2">
      <c r="B23934" s="11" t="s">
        <v>16</v>
      </c>
      <c r="C23934" s="11"/>
    </row>
    <row r="23935" spans="1:4" ht="12.75" customHeight="1" x14ac:dyDescent="0.2">
      <c r="B23935" s="11" t="s">
        <v>13</v>
      </c>
      <c r="C23935" s="11" t="s">
        <v>2602</v>
      </c>
    </row>
    <row r="23936" spans="1:4" ht="12.75" customHeight="1" x14ac:dyDescent="0.2">
      <c r="B23936" s="11" t="s">
        <v>2603</v>
      </c>
      <c r="C23936" s="11" t="s">
        <v>2604</v>
      </c>
    </row>
    <row r="23937" spans="1:4" ht="12.75" customHeight="1" x14ac:dyDescent="0.2">
      <c r="B23937" s="11" t="s">
        <v>2605</v>
      </c>
      <c r="C23937" s="11" t="s">
        <v>14</v>
      </c>
    </row>
    <row r="23938" spans="1:4" ht="12.75" customHeight="1" x14ac:dyDescent="0.2">
      <c r="B23938" s="11" t="s">
        <v>2606</v>
      </c>
      <c r="C23938" s="16" t="s">
        <v>44</v>
      </c>
      <c r="D23938" s="6" t="str">
        <f>HYPERLINK("javascript:void(0)","skalp")</f>
        <v>skalp</v>
      </c>
    </row>
    <row r="23939" spans="1:4" ht="12.75" customHeight="1" x14ac:dyDescent="0.2">
      <c r="B23939" s="2"/>
      <c r="C23939" s="15"/>
      <c r="D23939" s="2"/>
    </row>
    <row r="23940" spans="1:4" ht="12.75" customHeight="1" x14ac:dyDescent="0.2">
      <c r="B23940" s="2"/>
      <c r="C23940" s="15"/>
      <c r="D23940" s="2"/>
    </row>
    <row r="23941" spans="1:4" ht="12.75" customHeight="1" x14ac:dyDescent="0.2">
      <c r="A23941" s="13" t="s">
        <v>6530</v>
      </c>
      <c r="C23941" s="12"/>
    </row>
    <row r="23942" spans="1:4" ht="12.75" customHeight="1" x14ac:dyDescent="0.2">
      <c r="A23942" s="11"/>
      <c r="B23942" s="2"/>
      <c r="C23942" s="15"/>
      <c r="D23942" s="2"/>
    </row>
    <row r="23943" spans="1:4" ht="12.75" customHeight="1" x14ac:dyDescent="0.2">
      <c r="B23943" s="11" t="s">
        <v>0</v>
      </c>
      <c r="C23943" s="11" t="s">
        <v>351</v>
      </c>
    </row>
    <row r="23944" spans="1:4" ht="12.75" customHeight="1" x14ac:dyDescent="0.2">
      <c r="B23944" s="11" t="s">
        <v>2599</v>
      </c>
      <c r="C23944" s="11" t="s">
        <v>3637</v>
      </c>
    </row>
    <row r="23945" spans="1:4" ht="25.5" customHeight="1" x14ac:dyDescent="0.2">
      <c r="B23945" s="11" t="s">
        <v>2600</v>
      </c>
      <c r="C23945" s="11" t="s">
        <v>6531</v>
      </c>
    </row>
    <row r="23946" spans="1:4" ht="25.5" customHeight="1" x14ac:dyDescent="0.2">
      <c r="B23946" s="11" t="s">
        <v>2601</v>
      </c>
      <c r="C23946" s="11"/>
    </row>
    <row r="23947" spans="1:4" ht="12.75" customHeight="1" x14ac:dyDescent="0.2">
      <c r="B23947" s="11" t="s">
        <v>16</v>
      </c>
      <c r="C23947" s="11"/>
    </row>
    <row r="23948" spans="1:4" ht="12.75" customHeight="1" x14ac:dyDescent="0.2">
      <c r="B23948" s="11" t="s">
        <v>13</v>
      </c>
      <c r="C23948" s="11" t="s">
        <v>2602</v>
      </c>
    </row>
    <row r="23949" spans="1:4" ht="12.75" customHeight="1" x14ac:dyDescent="0.2">
      <c r="B23949" s="11" t="s">
        <v>2603</v>
      </c>
      <c r="C23949" s="11" t="s">
        <v>2604</v>
      </c>
    </row>
    <row r="23950" spans="1:4" ht="12.75" customHeight="1" x14ac:dyDescent="0.2">
      <c r="B23950" s="11" t="s">
        <v>2605</v>
      </c>
      <c r="C23950" s="11" t="s">
        <v>14</v>
      </c>
    </row>
    <row r="23951" spans="1:4" ht="12.75" customHeight="1" x14ac:dyDescent="0.2">
      <c r="B23951" s="11" t="s">
        <v>2606</v>
      </c>
      <c r="C23951" s="16" t="s">
        <v>139</v>
      </c>
      <c r="D23951" s="6" t="str">
        <f>HYPERLINK("javascript:void(0)","kincs")</f>
        <v>kincs</v>
      </c>
    </row>
    <row r="23952" spans="1:4" ht="12.75" customHeight="1" x14ac:dyDescent="0.2">
      <c r="B23952" s="2"/>
      <c r="C23952" s="15"/>
      <c r="D23952" s="2"/>
    </row>
    <row r="23953" spans="1:4" ht="12.75" customHeight="1" x14ac:dyDescent="0.2">
      <c r="B23953" s="2"/>
      <c r="C23953" s="15"/>
      <c r="D23953" s="2"/>
    </row>
    <row r="23954" spans="1:4" ht="12.75" customHeight="1" x14ac:dyDescent="0.2">
      <c r="A23954" s="13" t="s">
        <v>6532</v>
      </c>
      <c r="C23954" s="12"/>
    </row>
    <row r="23955" spans="1:4" ht="12.75" customHeight="1" x14ac:dyDescent="0.2">
      <c r="A23955" s="11"/>
      <c r="B23955" s="2"/>
      <c r="C23955" s="15"/>
      <c r="D23955" s="2"/>
    </row>
    <row r="23956" spans="1:4" ht="12.75" customHeight="1" x14ac:dyDescent="0.2">
      <c r="B23956" s="11" t="s">
        <v>0</v>
      </c>
      <c r="C23956" s="11" t="s">
        <v>351</v>
      </c>
    </row>
    <row r="23957" spans="1:4" ht="12.75" customHeight="1" x14ac:dyDescent="0.2">
      <c r="B23957" s="11" t="s">
        <v>2599</v>
      </c>
      <c r="C23957" s="11" t="s">
        <v>6533</v>
      </c>
    </row>
    <row r="23958" spans="1:4" ht="25.5" customHeight="1" x14ac:dyDescent="0.2">
      <c r="B23958" s="11" t="s">
        <v>2600</v>
      </c>
      <c r="C23958" s="11" t="s">
        <v>6534</v>
      </c>
    </row>
    <row r="23959" spans="1:4" ht="25.5" customHeight="1" x14ac:dyDescent="0.2">
      <c r="B23959" s="11" t="s">
        <v>2601</v>
      </c>
      <c r="C23959" s="11"/>
    </row>
    <row r="23960" spans="1:4" ht="12.75" customHeight="1" x14ac:dyDescent="0.2">
      <c r="B23960" s="11" t="s">
        <v>16</v>
      </c>
      <c r="C23960" s="11"/>
    </row>
    <row r="23961" spans="1:4" ht="12.75" customHeight="1" x14ac:dyDescent="0.2">
      <c r="B23961" s="11" t="s">
        <v>13</v>
      </c>
      <c r="C23961" s="11" t="s">
        <v>2644</v>
      </c>
    </row>
    <row r="23962" spans="1:4" ht="12.75" customHeight="1" x14ac:dyDescent="0.2">
      <c r="B23962" s="11" t="s">
        <v>2603</v>
      </c>
      <c r="C23962" s="11" t="s">
        <v>2604</v>
      </c>
    </row>
    <row r="23963" spans="1:4" ht="12.75" customHeight="1" x14ac:dyDescent="0.2">
      <c r="B23963" s="11" t="s">
        <v>2605</v>
      </c>
      <c r="C23963" s="11" t="s">
        <v>24</v>
      </c>
    </row>
    <row r="23964" spans="1:4" ht="12.75" customHeight="1" x14ac:dyDescent="0.2">
      <c r="B23964" s="11" t="s">
        <v>2606</v>
      </c>
      <c r="C23964" s="16" t="s">
        <v>44</v>
      </c>
      <c r="D23964" s="6" t="str">
        <f>HYPERLINK("javascript:void(0)","bélás")</f>
        <v>bélás</v>
      </c>
    </row>
    <row r="23965" spans="1:4" ht="12.75" customHeight="1" x14ac:dyDescent="0.2">
      <c r="B23965" s="2"/>
      <c r="C23965" s="15"/>
      <c r="D23965" s="2"/>
    </row>
    <row r="23966" spans="1:4" ht="12.75" customHeight="1" x14ac:dyDescent="0.2">
      <c r="B23966" s="2"/>
      <c r="C23966" s="15"/>
      <c r="D23966" s="2"/>
    </row>
    <row r="23967" spans="1:4" ht="12.75" customHeight="1" x14ac:dyDescent="0.2">
      <c r="A23967" s="13" t="s">
        <v>6535</v>
      </c>
      <c r="C23967" s="12"/>
    </row>
    <row r="23968" spans="1:4" ht="12.75" customHeight="1" x14ac:dyDescent="0.2">
      <c r="A23968" s="11"/>
      <c r="B23968" s="2"/>
      <c r="C23968" s="15"/>
      <c r="D23968" s="2"/>
    </row>
    <row r="23969" spans="1:4" ht="12.75" customHeight="1" x14ac:dyDescent="0.2">
      <c r="B23969" s="11" t="s">
        <v>0</v>
      </c>
      <c r="C23969" s="11" t="s">
        <v>351</v>
      </c>
    </row>
    <row r="23970" spans="1:4" ht="12.75" customHeight="1" x14ac:dyDescent="0.2">
      <c r="B23970" s="11" t="s">
        <v>2599</v>
      </c>
      <c r="C23970" s="11" t="s">
        <v>2812</v>
      </c>
    </row>
    <row r="23971" spans="1:4" ht="25.5" customHeight="1" x14ac:dyDescent="0.2">
      <c r="B23971" s="11" t="s">
        <v>2600</v>
      </c>
      <c r="C23971" s="11" t="s">
        <v>6536</v>
      </c>
    </row>
    <row r="23972" spans="1:4" ht="25.5" customHeight="1" x14ac:dyDescent="0.2">
      <c r="B23972" s="11" t="s">
        <v>2601</v>
      </c>
      <c r="C23972" s="11"/>
    </row>
    <row r="23973" spans="1:4" ht="12.75" customHeight="1" x14ac:dyDescent="0.2">
      <c r="B23973" s="11" t="s">
        <v>16</v>
      </c>
      <c r="C23973" s="11"/>
    </row>
    <row r="23974" spans="1:4" ht="12.75" customHeight="1" x14ac:dyDescent="0.2">
      <c r="B23974" s="11" t="s">
        <v>13</v>
      </c>
      <c r="C23974" s="11" t="s">
        <v>2644</v>
      </c>
    </row>
    <row r="23975" spans="1:4" ht="12.75" customHeight="1" x14ac:dyDescent="0.2">
      <c r="B23975" s="11" t="s">
        <v>2603</v>
      </c>
      <c r="C23975" s="11" t="s">
        <v>2604</v>
      </c>
    </row>
    <row r="23976" spans="1:4" ht="12.75" customHeight="1" x14ac:dyDescent="0.2">
      <c r="B23976" s="11" t="s">
        <v>2605</v>
      </c>
      <c r="C23976" s="11" t="s">
        <v>14</v>
      </c>
    </row>
    <row r="23977" spans="1:4" ht="12.75" customHeight="1" x14ac:dyDescent="0.2">
      <c r="B23977" s="11" t="s">
        <v>2606</v>
      </c>
      <c r="C23977" s="16" t="s">
        <v>44</v>
      </c>
      <c r="D23977" s="6" t="str">
        <f>HYPERLINK("javascript:void(0)","kopoltyú")</f>
        <v>kopoltyú</v>
      </c>
    </row>
    <row r="23978" spans="1:4" ht="12.75" customHeight="1" x14ac:dyDescent="0.2">
      <c r="B23978" s="2"/>
      <c r="C23978" s="15"/>
      <c r="D23978" s="2"/>
    </row>
    <row r="23979" spans="1:4" ht="12.75" customHeight="1" x14ac:dyDescent="0.2">
      <c r="B23979" s="2"/>
      <c r="C23979" s="15"/>
      <c r="D23979" s="2"/>
    </row>
    <row r="23980" spans="1:4" ht="12.75" customHeight="1" x14ac:dyDescent="0.2">
      <c r="A23980" s="13" t="s">
        <v>6537</v>
      </c>
      <c r="C23980" s="12"/>
    </row>
    <row r="23981" spans="1:4" ht="12.75" customHeight="1" x14ac:dyDescent="0.2">
      <c r="A23981" s="11"/>
      <c r="B23981" s="2"/>
      <c r="C23981" s="15"/>
      <c r="D23981" s="2"/>
    </row>
    <row r="23982" spans="1:4" ht="12.75" customHeight="1" x14ac:dyDescent="0.2">
      <c r="B23982" s="11" t="s">
        <v>0</v>
      </c>
      <c r="C23982" s="11" t="s">
        <v>351</v>
      </c>
    </row>
    <row r="23983" spans="1:4" ht="12.75" customHeight="1" x14ac:dyDescent="0.2">
      <c r="B23983" s="11" t="s">
        <v>2599</v>
      </c>
      <c r="C23983" s="11" t="s">
        <v>3344</v>
      </c>
    </row>
    <row r="23984" spans="1:4" ht="25.5" customHeight="1" x14ac:dyDescent="0.2">
      <c r="B23984" s="11" t="s">
        <v>2600</v>
      </c>
      <c r="C23984" s="11" t="s">
        <v>6538</v>
      </c>
    </row>
    <row r="23985" spans="1:4" ht="25.5" customHeight="1" x14ac:dyDescent="0.2">
      <c r="B23985" s="11" t="s">
        <v>2601</v>
      </c>
      <c r="C23985" s="11"/>
    </row>
    <row r="23986" spans="1:4" ht="12.75" customHeight="1" x14ac:dyDescent="0.2">
      <c r="B23986" s="11" t="s">
        <v>16</v>
      </c>
      <c r="C23986" s="11"/>
    </row>
    <row r="23987" spans="1:4" ht="12.75" customHeight="1" x14ac:dyDescent="0.2">
      <c r="B23987" s="11" t="s">
        <v>13</v>
      </c>
      <c r="C23987" s="11" t="s">
        <v>2602</v>
      </c>
    </row>
    <row r="23988" spans="1:4" ht="12.75" customHeight="1" x14ac:dyDescent="0.2">
      <c r="B23988" s="11" t="s">
        <v>2603</v>
      </c>
      <c r="C23988" s="11" t="s">
        <v>2604</v>
      </c>
    </row>
    <row r="23989" spans="1:4" ht="12.75" customHeight="1" x14ac:dyDescent="0.2">
      <c r="B23989" s="11" t="s">
        <v>2605</v>
      </c>
      <c r="C23989" s="11" t="s">
        <v>24</v>
      </c>
    </row>
    <row r="23990" spans="1:4" ht="12.75" customHeight="1" x14ac:dyDescent="0.2">
      <c r="B23990" s="11" t="s">
        <v>2606</v>
      </c>
      <c r="C23990" s="16" t="s">
        <v>44</v>
      </c>
      <c r="D23990" s="6" t="str">
        <f>HYPERLINK("javascript:void(0)","féreggyűrű")</f>
        <v>féreggyűrű</v>
      </c>
    </row>
    <row r="23991" spans="1:4" ht="12.75" customHeight="1" x14ac:dyDescent="0.2">
      <c r="B23991" s="2"/>
      <c r="C23991" s="15"/>
      <c r="D23991" s="2"/>
    </row>
    <row r="23992" spans="1:4" ht="12.75" customHeight="1" x14ac:dyDescent="0.2">
      <c r="B23992" s="2"/>
      <c r="C23992" s="15"/>
      <c r="D23992" s="2"/>
    </row>
    <row r="23993" spans="1:4" ht="12.75" customHeight="1" x14ac:dyDescent="0.2">
      <c r="A23993" s="13" t="s">
        <v>6539</v>
      </c>
      <c r="C23993" s="12"/>
    </row>
    <row r="23994" spans="1:4" ht="12.75" customHeight="1" x14ac:dyDescent="0.2">
      <c r="A23994" s="11"/>
      <c r="B23994" s="2"/>
      <c r="C23994" s="15"/>
      <c r="D23994" s="2"/>
    </row>
    <row r="23995" spans="1:4" ht="12.75" customHeight="1" x14ac:dyDescent="0.2">
      <c r="B23995" s="11" t="s">
        <v>0</v>
      </c>
      <c r="C23995" s="11" t="s">
        <v>351</v>
      </c>
    </row>
    <row r="23996" spans="1:4" ht="12.75" customHeight="1" x14ac:dyDescent="0.2">
      <c r="B23996" s="11" t="s">
        <v>2599</v>
      </c>
      <c r="C23996" s="11" t="s">
        <v>2557</v>
      </c>
    </row>
    <row r="23997" spans="1:4" ht="25.5" customHeight="1" x14ac:dyDescent="0.2">
      <c r="B23997" s="11" t="s">
        <v>2600</v>
      </c>
      <c r="C23997" s="11" t="s">
        <v>6540</v>
      </c>
    </row>
    <row r="23998" spans="1:4" ht="25.5" customHeight="1" x14ac:dyDescent="0.2">
      <c r="B23998" s="11" t="s">
        <v>2601</v>
      </c>
      <c r="C23998" s="11"/>
    </row>
    <row r="23999" spans="1:4" ht="12.75" customHeight="1" x14ac:dyDescent="0.2">
      <c r="B23999" s="11" t="s">
        <v>16</v>
      </c>
      <c r="C23999" s="11"/>
    </row>
    <row r="24000" spans="1:4" ht="12.75" customHeight="1" x14ac:dyDescent="0.2">
      <c r="B24000" s="11" t="s">
        <v>13</v>
      </c>
      <c r="C24000" s="11" t="s">
        <v>2602</v>
      </c>
    </row>
    <row r="24001" spans="1:4" ht="12.75" customHeight="1" x14ac:dyDescent="0.2">
      <c r="B24001" s="11" t="s">
        <v>2603</v>
      </c>
      <c r="C24001" s="11" t="s">
        <v>2604</v>
      </c>
    </row>
    <row r="24002" spans="1:4" ht="12.75" customHeight="1" x14ac:dyDescent="0.2">
      <c r="B24002" s="11" t="s">
        <v>2605</v>
      </c>
      <c r="C24002" s="11" t="s">
        <v>24</v>
      </c>
    </row>
    <row r="24003" spans="1:4" ht="12.75" customHeight="1" x14ac:dyDescent="0.2">
      <c r="B24003" s="11" t="s">
        <v>2606</v>
      </c>
      <c r="C24003" s="16" t="s">
        <v>44</v>
      </c>
      <c r="D24003" s="6" t="str">
        <f>HYPERLINK("javascript:void(0)","vérüreg")</f>
        <v>vérüreg</v>
      </c>
    </row>
    <row r="24004" spans="1:4" ht="12.75" customHeight="1" x14ac:dyDescent="0.2">
      <c r="B24004" s="2"/>
      <c r="C24004" s="15"/>
      <c r="D24004" s="2"/>
    </row>
    <row r="24005" spans="1:4" ht="12.75" customHeight="1" x14ac:dyDescent="0.2">
      <c r="B24005" s="2"/>
      <c r="C24005" s="15"/>
      <c r="D24005" s="2"/>
    </row>
    <row r="24006" spans="1:4" ht="12.75" customHeight="1" x14ac:dyDescent="0.2">
      <c r="A24006" s="13" t="s">
        <v>6541</v>
      </c>
      <c r="C24006" s="12"/>
    </row>
    <row r="24007" spans="1:4" ht="12.75" customHeight="1" x14ac:dyDescent="0.2">
      <c r="A24007" s="11"/>
      <c r="B24007" s="2"/>
      <c r="C24007" s="15"/>
      <c r="D24007" s="2"/>
    </row>
    <row r="24008" spans="1:4" ht="12.75" customHeight="1" x14ac:dyDescent="0.2">
      <c r="B24008" s="11" t="s">
        <v>0</v>
      </c>
      <c r="C24008" s="11" t="s">
        <v>351</v>
      </c>
    </row>
    <row r="24009" spans="1:4" ht="12.75" customHeight="1" x14ac:dyDescent="0.2">
      <c r="B24009" s="11" t="s">
        <v>2599</v>
      </c>
      <c r="C24009" s="11" t="s">
        <v>6542</v>
      </c>
    </row>
    <row r="24010" spans="1:4" ht="25.5" customHeight="1" x14ac:dyDescent="0.2">
      <c r="B24010" s="11" t="s">
        <v>2600</v>
      </c>
      <c r="C24010" s="11" t="s">
        <v>6543</v>
      </c>
    </row>
    <row r="24011" spans="1:4" ht="25.5" customHeight="1" x14ac:dyDescent="0.2">
      <c r="B24011" s="11" t="s">
        <v>2601</v>
      </c>
      <c r="C24011" s="11"/>
    </row>
    <row r="24012" spans="1:4" ht="12.75" customHeight="1" x14ac:dyDescent="0.2">
      <c r="B24012" s="11" t="s">
        <v>16</v>
      </c>
      <c r="C24012" s="11"/>
    </row>
    <row r="24013" spans="1:4" ht="12.75" customHeight="1" x14ac:dyDescent="0.2">
      <c r="B24013" s="11" t="s">
        <v>13</v>
      </c>
      <c r="C24013" s="11" t="s">
        <v>2602</v>
      </c>
    </row>
    <row r="24014" spans="1:4" ht="12.75" customHeight="1" x14ac:dyDescent="0.2">
      <c r="B24014" s="11" t="s">
        <v>2603</v>
      </c>
      <c r="C24014" s="11" t="s">
        <v>2604</v>
      </c>
    </row>
    <row r="24015" spans="1:4" ht="12.75" customHeight="1" x14ac:dyDescent="0.2">
      <c r="B24015" s="11" t="s">
        <v>2605</v>
      </c>
      <c r="C24015" s="11" t="s">
        <v>24</v>
      </c>
    </row>
    <row r="24016" spans="1:4" ht="12.75" customHeight="1" x14ac:dyDescent="0.2">
      <c r="B24016" s="11" t="s">
        <v>2606</v>
      </c>
      <c r="C24016" s="16" t="s">
        <v>44</v>
      </c>
      <c r="D24016" s="6" t="str">
        <f>HYPERLINK("javascript:void(0)","tükörgömb")</f>
        <v>tükörgömb</v>
      </c>
    </row>
    <row r="24017" spans="1:4" ht="12.75" customHeight="1" x14ac:dyDescent="0.2">
      <c r="B24017" s="2"/>
      <c r="C24017" s="15"/>
      <c r="D24017" s="2"/>
    </row>
    <row r="24018" spans="1:4" ht="12.75" customHeight="1" x14ac:dyDescent="0.2">
      <c r="B24018" s="2"/>
      <c r="C24018" s="15"/>
      <c r="D24018" s="2"/>
    </row>
    <row r="24019" spans="1:4" ht="12.75" customHeight="1" x14ac:dyDescent="0.2">
      <c r="A24019" s="13" t="s">
        <v>6492</v>
      </c>
      <c r="C24019" s="12"/>
      <c r="D24019" s="2"/>
    </row>
    <row r="24020" spans="1:4" ht="12.75" customHeight="1" x14ac:dyDescent="0.2">
      <c r="A24020" s="11"/>
      <c r="B24020" s="2"/>
      <c r="C24020" s="15"/>
      <c r="D24020" s="2"/>
    </row>
    <row r="24021" spans="1:4" ht="12.75" customHeight="1" x14ac:dyDescent="0.2">
      <c r="B24021" s="11" t="s">
        <v>0</v>
      </c>
      <c r="C24021" s="17" t="s">
        <v>1355</v>
      </c>
      <c r="D24021" s="2"/>
    </row>
    <row r="24022" spans="1:4" ht="12.75" customHeight="1" x14ac:dyDescent="0.2">
      <c r="B24022" s="11" t="s">
        <v>2599</v>
      </c>
      <c r="C24022" s="17" t="s">
        <v>6493</v>
      </c>
      <c r="D24022" s="2"/>
    </row>
    <row r="24023" spans="1:4" ht="25.5" customHeight="1" x14ac:dyDescent="0.2">
      <c r="B24023" s="11" t="s">
        <v>2600</v>
      </c>
      <c r="C24023" s="17" t="s">
        <v>6544</v>
      </c>
      <c r="D24023" s="2"/>
    </row>
    <row r="24024" spans="1:4" ht="25.5" customHeight="1" x14ac:dyDescent="0.2">
      <c r="B24024" s="11" t="s">
        <v>2601</v>
      </c>
      <c r="C24024" s="17"/>
      <c r="D24024" s="2"/>
    </row>
    <row r="24025" spans="1:4" ht="12.75" customHeight="1" x14ac:dyDescent="0.2">
      <c r="B24025" s="11" t="s">
        <v>16</v>
      </c>
      <c r="C24025" s="17"/>
      <c r="D24025" s="2"/>
    </row>
    <row r="24026" spans="1:4" ht="12.75" customHeight="1" x14ac:dyDescent="0.2">
      <c r="B24026" s="11" t="s">
        <v>13</v>
      </c>
      <c r="C24026" s="17" t="s">
        <v>2602</v>
      </c>
      <c r="D24026" s="2"/>
    </row>
    <row r="24027" spans="1:4" ht="25.5" customHeight="1" x14ac:dyDescent="0.2">
      <c r="B24027" s="11" t="s">
        <v>2603</v>
      </c>
      <c r="C24027" s="17" t="s">
        <v>2971</v>
      </c>
      <c r="D24027" s="2"/>
    </row>
    <row r="24028" spans="1:4" ht="12.75" customHeight="1" x14ac:dyDescent="0.2">
      <c r="B24028" s="11" t="s">
        <v>2605</v>
      </c>
      <c r="C24028" s="17" t="s">
        <v>14</v>
      </c>
      <c r="D24028" s="2"/>
    </row>
    <row r="24029" spans="1:4" ht="12.75" customHeight="1" x14ac:dyDescent="0.2">
      <c r="B24029" s="11" t="s">
        <v>2606</v>
      </c>
      <c r="C24029" s="16" t="s">
        <v>19</v>
      </c>
      <c r="D24029" s="2"/>
    </row>
    <row r="24030" spans="1:4" ht="12.75" customHeight="1" x14ac:dyDescent="0.2">
      <c r="B24030" s="2"/>
      <c r="C24030" s="15"/>
      <c r="D24030" s="2"/>
    </row>
    <row r="24031" spans="1:4" ht="12.75" customHeight="1" x14ac:dyDescent="0.2">
      <c r="B24031" s="2"/>
      <c r="C24031" s="15"/>
      <c r="D24031" s="2"/>
    </row>
    <row r="24032" spans="1:4" ht="12.75" customHeight="1" x14ac:dyDescent="0.2">
      <c r="A24032" s="13" t="s">
        <v>6495</v>
      </c>
      <c r="C24032" s="12"/>
      <c r="D24032" s="2"/>
    </row>
    <row r="24033" spans="1:4" ht="12.75" customHeight="1" x14ac:dyDescent="0.2">
      <c r="A24033" s="11"/>
      <c r="B24033" s="2"/>
      <c r="C24033" s="15"/>
      <c r="D24033" s="2"/>
    </row>
    <row r="24034" spans="1:4" ht="12.75" customHeight="1" x14ac:dyDescent="0.2">
      <c r="B24034" s="11" t="s">
        <v>0</v>
      </c>
      <c r="C24034" s="17" t="s">
        <v>1355</v>
      </c>
      <c r="D24034" s="2"/>
    </row>
    <row r="24035" spans="1:4" ht="12.75" customHeight="1" x14ac:dyDescent="0.2">
      <c r="B24035" s="11" t="s">
        <v>2599</v>
      </c>
      <c r="C24035" s="17" t="s">
        <v>4365</v>
      </c>
      <c r="D24035" s="2"/>
    </row>
    <row r="24036" spans="1:4" ht="25.5" customHeight="1" x14ac:dyDescent="0.2">
      <c r="B24036" s="11" t="s">
        <v>2600</v>
      </c>
      <c r="C24036" s="17" t="s">
        <v>6545</v>
      </c>
      <c r="D24036" s="2"/>
    </row>
    <row r="24037" spans="1:4" ht="25.5" customHeight="1" x14ac:dyDescent="0.2">
      <c r="B24037" s="11" t="s">
        <v>2601</v>
      </c>
      <c r="C24037" s="17"/>
      <c r="D24037" s="2"/>
    </row>
    <row r="24038" spans="1:4" ht="12.75" customHeight="1" x14ac:dyDescent="0.2">
      <c r="B24038" s="11" t="s">
        <v>16</v>
      </c>
      <c r="C24038" s="17"/>
      <c r="D24038" s="2"/>
    </row>
    <row r="24039" spans="1:4" ht="12.75" customHeight="1" x14ac:dyDescent="0.2">
      <c r="B24039" s="11" t="s">
        <v>13</v>
      </c>
      <c r="C24039" s="17" t="s">
        <v>2644</v>
      </c>
      <c r="D24039" s="2"/>
    </row>
    <row r="24040" spans="1:4" ht="25.5" customHeight="1" x14ac:dyDescent="0.2">
      <c r="B24040" s="11" t="s">
        <v>2603</v>
      </c>
      <c r="C24040" s="17" t="s">
        <v>2971</v>
      </c>
      <c r="D24040" s="2"/>
    </row>
    <row r="24041" spans="1:4" ht="12.75" customHeight="1" x14ac:dyDescent="0.2">
      <c r="B24041" s="11" t="s">
        <v>2605</v>
      </c>
      <c r="C24041" s="17" t="s">
        <v>14</v>
      </c>
      <c r="D24041" s="2"/>
    </row>
    <row r="24042" spans="1:4" ht="12.75" customHeight="1" x14ac:dyDescent="0.2">
      <c r="B24042" s="11" t="s">
        <v>2606</v>
      </c>
      <c r="C24042" s="16" t="s">
        <v>19</v>
      </c>
      <c r="D24042" s="2"/>
    </row>
    <row r="24043" spans="1:4" ht="12.75" customHeight="1" x14ac:dyDescent="0.2">
      <c r="B24043" s="2"/>
      <c r="C24043" s="15"/>
      <c r="D24043" s="2"/>
    </row>
    <row r="24044" spans="1:4" ht="12.75" customHeight="1" x14ac:dyDescent="0.2">
      <c r="B24044" s="2"/>
      <c r="C24044" s="15"/>
      <c r="D24044" s="2"/>
    </row>
    <row r="24045" spans="1:4" ht="12.75" customHeight="1" x14ac:dyDescent="0.2">
      <c r="A24045" s="13" t="s">
        <v>6497</v>
      </c>
      <c r="C24045" s="12"/>
      <c r="D24045" s="2"/>
    </row>
    <row r="24046" spans="1:4" ht="12.75" customHeight="1" x14ac:dyDescent="0.2">
      <c r="A24046" s="11"/>
      <c r="B24046" s="2"/>
      <c r="C24046" s="15"/>
      <c r="D24046" s="2"/>
    </row>
    <row r="24047" spans="1:4" ht="12.75" customHeight="1" x14ac:dyDescent="0.2">
      <c r="B24047" s="11" t="s">
        <v>0</v>
      </c>
      <c r="C24047" s="17" t="s">
        <v>1355</v>
      </c>
      <c r="D24047" s="2"/>
    </row>
    <row r="24048" spans="1:4" ht="12.75" customHeight="1" x14ac:dyDescent="0.2">
      <c r="B24048" s="11" t="s">
        <v>2599</v>
      </c>
      <c r="C24048" s="17" t="s">
        <v>6498</v>
      </c>
      <c r="D24048" s="2"/>
    </row>
    <row r="24049" spans="1:4" ht="25.5" customHeight="1" x14ac:dyDescent="0.2">
      <c r="B24049" s="11" t="s">
        <v>2600</v>
      </c>
      <c r="C24049" s="17" t="s">
        <v>6546</v>
      </c>
      <c r="D24049" s="2"/>
    </row>
    <row r="24050" spans="1:4" ht="25.5" customHeight="1" x14ac:dyDescent="0.2">
      <c r="B24050" s="11" t="s">
        <v>2601</v>
      </c>
      <c r="C24050" s="17"/>
      <c r="D24050" s="2"/>
    </row>
    <row r="24051" spans="1:4" ht="12.75" customHeight="1" x14ac:dyDescent="0.2">
      <c r="B24051" s="11" t="s">
        <v>16</v>
      </c>
      <c r="C24051" s="17"/>
      <c r="D24051" s="2"/>
    </row>
    <row r="24052" spans="1:4" ht="12.75" customHeight="1" x14ac:dyDescent="0.2">
      <c r="B24052" s="11" t="s">
        <v>13</v>
      </c>
      <c r="C24052" s="17" t="s">
        <v>2602</v>
      </c>
      <c r="D24052" s="2"/>
    </row>
    <row r="24053" spans="1:4" ht="25.5" customHeight="1" x14ac:dyDescent="0.2">
      <c r="B24053" s="11" t="s">
        <v>2603</v>
      </c>
      <c r="C24053" s="17" t="s">
        <v>2971</v>
      </c>
      <c r="D24053" s="2"/>
    </row>
    <row r="24054" spans="1:4" ht="12.75" customHeight="1" x14ac:dyDescent="0.2">
      <c r="B24054" s="11" t="s">
        <v>2605</v>
      </c>
      <c r="C24054" s="17" t="s">
        <v>14</v>
      </c>
      <c r="D24054" s="2"/>
    </row>
    <row r="24055" spans="1:4" ht="12.75" customHeight="1" x14ac:dyDescent="0.2">
      <c r="B24055" s="11" t="s">
        <v>2606</v>
      </c>
      <c r="C24055" s="16" t="s">
        <v>19</v>
      </c>
      <c r="D24055" s="2"/>
    </row>
    <row r="24056" spans="1:4" ht="12.75" customHeight="1" x14ac:dyDescent="0.2">
      <c r="B24056" s="2"/>
      <c r="C24056" s="15"/>
      <c r="D24056" s="2"/>
    </row>
    <row r="24057" spans="1:4" ht="12.75" customHeight="1" x14ac:dyDescent="0.2">
      <c r="B24057" s="2"/>
      <c r="C24057" s="15"/>
      <c r="D24057" s="2"/>
    </row>
    <row r="24058" spans="1:4" ht="12.75" customHeight="1" x14ac:dyDescent="0.2">
      <c r="A24058" s="13" t="s">
        <v>6500</v>
      </c>
      <c r="C24058" s="12"/>
      <c r="D24058" s="2"/>
    </row>
    <row r="24059" spans="1:4" ht="12.75" customHeight="1" x14ac:dyDescent="0.2">
      <c r="A24059" s="11"/>
      <c r="B24059" s="2"/>
      <c r="C24059" s="15"/>
      <c r="D24059" s="2"/>
    </row>
    <row r="24060" spans="1:4" ht="12.75" customHeight="1" x14ac:dyDescent="0.2">
      <c r="B24060" s="11" t="s">
        <v>0</v>
      </c>
      <c r="C24060" s="17" t="s">
        <v>1355</v>
      </c>
      <c r="D24060" s="2"/>
    </row>
    <row r="24061" spans="1:4" ht="12.75" customHeight="1" x14ac:dyDescent="0.2">
      <c r="B24061" s="11" t="s">
        <v>2599</v>
      </c>
      <c r="C24061" s="17" t="s">
        <v>1904</v>
      </c>
      <c r="D24061" s="2"/>
    </row>
    <row r="24062" spans="1:4" ht="25.5" customHeight="1" x14ac:dyDescent="0.2">
      <c r="B24062" s="11" t="s">
        <v>2600</v>
      </c>
      <c r="C24062" s="17" t="s">
        <v>6547</v>
      </c>
      <c r="D24062" s="2"/>
    </row>
    <row r="24063" spans="1:4" ht="25.5" customHeight="1" x14ac:dyDescent="0.2">
      <c r="B24063" s="11" t="s">
        <v>2601</v>
      </c>
      <c r="C24063" s="17"/>
      <c r="D24063" s="2"/>
    </row>
    <row r="24064" spans="1:4" ht="12.75" customHeight="1" x14ac:dyDescent="0.2">
      <c r="B24064" s="11" t="s">
        <v>16</v>
      </c>
      <c r="C24064" s="17"/>
      <c r="D24064" s="2"/>
    </row>
    <row r="24065" spans="1:4" ht="12.75" customHeight="1" x14ac:dyDescent="0.2">
      <c r="B24065" s="11" t="s">
        <v>13</v>
      </c>
      <c r="C24065" s="17" t="s">
        <v>2644</v>
      </c>
      <c r="D24065" s="2"/>
    </row>
    <row r="24066" spans="1:4" ht="25.5" customHeight="1" x14ac:dyDescent="0.2">
      <c r="B24066" s="11" t="s">
        <v>2603</v>
      </c>
      <c r="C24066" s="17" t="s">
        <v>2971</v>
      </c>
      <c r="D24066" s="2"/>
    </row>
    <row r="24067" spans="1:4" ht="12.75" customHeight="1" x14ac:dyDescent="0.2">
      <c r="B24067" s="11" t="s">
        <v>2605</v>
      </c>
      <c r="C24067" s="17" t="s">
        <v>14</v>
      </c>
      <c r="D24067" s="2"/>
    </row>
    <row r="24068" spans="1:4" ht="12.75" customHeight="1" x14ac:dyDescent="0.2">
      <c r="B24068" s="11" t="s">
        <v>2606</v>
      </c>
      <c r="C24068" s="16" t="s">
        <v>19</v>
      </c>
      <c r="D24068" s="2"/>
    </row>
    <row r="24069" spans="1:4" ht="12.75" customHeight="1" x14ac:dyDescent="0.2">
      <c r="B24069" s="2"/>
      <c r="C24069" s="15"/>
      <c r="D24069" s="2"/>
    </row>
    <row r="24070" spans="1:4" ht="12.75" customHeight="1" x14ac:dyDescent="0.2">
      <c r="B24070" s="2"/>
      <c r="C24070" s="15"/>
      <c r="D24070" s="2"/>
    </row>
    <row r="24071" spans="1:4" ht="12.75" customHeight="1" x14ac:dyDescent="0.2">
      <c r="A24071" s="13" t="s">
        <v>6548</v>
      </c>
      <c r="C24071" s="12"/>
    </row>
    <row r="24072" spans="1:4" ht="12.75" customHeight="1" x14ac:dyDescent="0.2">
      <c r="A24072" s="11"/>
      <c r="B24072" s="2"/>
      <c r="C24072" s="15"/>
      <c r="D24072" s="2"/>
    </row>
    <row r="24073" spans="1:4" ht="12.75" customHeight="1" x14ac:dyDescent="0.2">
      <c r="B24073" s="11" t="s">
        <v>0</v>
      </c>
      <c r="C24073" s="11" t="s">
        <v>1355</v>
      </c>
    </row>
    <row r="24074" spans="1:4" ht="12.75" customHeight="1" x14ac:dyDescent="0.2">
      <c r="B24074" s="11" t="s">
        <v>2599</v>
      </c>
      <c r="C24074" s="11" t="s">
        <v>6549</v>
      </c>
    </row>
    <row r="24075" spans="1:4" ht="25.5" customHeight="1" x14ac:dyDescent="0.2">
      <c r="B24075" s="11" t="s">
        <v>2600</v>
      </c>
      <c r="C24075" s="11" t="s">
        <v>6550</v>
      </c>
    </row>
    <row r="24076" spans="1:4" ht="25.5" customHeight="1" x14ac:dyDescent="0.2">
      <c r="B24076" s="11" t="s">
        <v>2601</v>
      </c>
      <c r="C24076" s="11"/>
    </row>
    <row r="24077" spans="1:4" ht="12.75" customHeight="1" x14ac:dyDescent="0.2">
      <c r="B24077" s="11" t="s">
        <v>16</v>
      </c>
      <c r="C24077" s="11"/>
    </row>
    <row r="24078" spans="1:4" ht="12.75" customHeight="1" x14ac:dyDescent="0.2">
      <c r="B24078" s="11" t="s">
        <v>13</v>
      </c>
      <c r="C24078" s="11" t="s">
        <v>2644</v>
      </c>
    </row>
    <row r="24079" spans="1:4" ht="12.75" customHeight="1" x14ac:dyDescent="0.2">
      <c r="B24079" s="11" t="s">
        <v>2603</v>
      </c>
      <c r="C24079" s="11" t="s">
        <v>2604</v>
      </c>
    </row>
    <row r="24080" spans="1:4" ht="12.75" customHeight="1" x14ac:dyDescent="0.2">
      <c r="B24080" s="11" t="s">
        <v>2605</v>
      </c>
      <c r="C24080" s="11" t="s">
        <v>14</v>
      </c>
    </row>
    <row r="24081" spans="1:4" ht="12.75" customHeight="1" x14ac:dyDescent="0.2">
      <c r="B24081" s="11" t="s">
        <v>2606</v>
      </c>
      <c r="C24081" s="16" t="s">
        <v>6551</v>
      </c>
      <c r="D24081" s="6" t="str">
        <f>HYPERLINK("javascript:void(0)","ezüst")</f>
        <v>ezüst</v>
      </c>
    </row>
    <row r="24082" spans="1:4" ht="12.75" customHeight="1" x14ac:dyDescent="0.2">
      <c r="C24082" s="16" t="s">
        <v>44</v>
      </c>
      <c r="D24082" s="6" t="str">
        <f>HYPERLINK("javascript:void(0)","aqua dei")</f>
        <v>aqua dei</v>
      </c>
    </row>
    <row r="24083" spans="1:4" ht="12.75" customHeight="1" x14ac:dyDescent="0.2">
      <c r="B24083" s="2"/>
      <c r="C24083" s="15"/>
      <c r="D24083" s="2"/>
    </row>
    <row r="24084" spans="1:4" ht="12.75" customHeight="1" x14ac:dyDescent="0.2">
      <c r="B24084" s="2"/>
      <c r="C24084" s="15"/>
      <c r="D24084" s="2"/>
    </row>
    <row r="24085" spans="1:4" ht="12.75" customHeight="1" x14ac:dyDescent="0.2">
      <c r="A24085" s="13" t="s">
        <v>6552</v>
      </c>
      <c r="C24085" s="12"/>
    </row>
    <row r="24086" spans="1:4" ht="12.75" customHeight="1" x14ac:dyDescent="0.2">
      <c r="A24086" s="11"/>
      <c r="B24086" s="2"/>
      <c r="C24086" s="15"/>
      <c r="D24086" s="2"/>
    </row>
    <row r="24087" spans="1:4" ht="12.75" customHeight="1" x14ac:dyDescent="0.2">
      <c r="B24087" s="11" t="s">
        <v>0</v>
      </c>
      <c r="C24087" s="11" t="s">
        <v>1355</v>
      </c>
    </row>
    <row r="24088" spans="1:4" ht="12.75" customHeight="1" x14ac:dyDescent="0.2">
      <c r="B24088" s="11" t="s">
        <v>2599</v>
      </c>
      <c r="C24088" s="11" t="s">
        <v>6553</v>
      </c>
    </row>
    <row r="24089" spans="1:4" ht="25.5" customHeight="1" x14ac:dyDescent="0.2">
      <c r="B24089" s="11" t="s">
        <v>2600</v>
      </c>
      <c r="C24089" s="11" t="s">
        <v>6554</v>
      </c>
    </row>
    <row r="24090" spans="1:4" ht="25.5" customHeight="1" x14ac:dyDescent="0.2">
      <c r="B24090" s="11" t="s">
        <v>2601</v>
      </c>
      <c r="C24090" s="11"/>
    </row>
    <row r="24091" spans="1:4" ht="12.75" customHeight="1" x14ac:dyDescent="0.2">
      <c r="B24091" s="11" t="s">
        <v>16</v>
      </c>
      <c r="C24091" s="11"/>
    </row>
    <row r="24092" spans="1:4" ht="12.75" customHeight="1" x14ac:dyDescent="0.2">
      <c r="B24092" s="11" t="s">
        <v>13</v>
      </c>
      <c r="C24092" s="11" t="s">
        <v>2602</v>
      </c>
    </row>
    <row r="24093" spans="1:4" ht="12.75" customHeight="1" x14ac:dyDescent="0.2">
      <c r="B24093" s="11" t="s">
        <v>2603</v>
      </c>
      <c r="C24093" s="11" t="s">
        <v>2604</v>
      </c>
    </row>
    <row r="24094" spans="1:4" ht="12.75" customHeight="1" x14ac:dyDescent="0.2">
      <c r="B24094" s="11" t="s">
        <v>2605</v>
      </c>
      <c r="C24094" s="11" t="s">
        <v>14</v>
      </c>
    </row>
    <row r="24095" spans="1:4" ht="12.75" customHeight="1" x14ac:dyDescent="0.2">
      <c r="B24095" s="11" t="s">
        <v>2606</v>
      </c>
      <c r="C24095" s="16" t="s">
        <v>44</v>
      </c>
      <c r="D24095" s="6" t="str">
        <f>HYPERLINK("javascript:void(0)","barbár firka")</f>
        <v>barbár firka</v>
      </c>
    </row>
    <row r="24096" spans="1:4" ht="12.75" customHeight="1" x14ac:dyDescent="0.2">
      <c r="B24096" s="2"/>
      <c r="C24096" s="15"/>
      <c r="D24096" s="2"/>
    </row>
    <row r="24097" spans="1:4" ht="12.75" customHeight="1" x14ac:dyDescent="0.2">
      <c r="B24097" s="2"/>
      <c r="C24097" s="15"/>
      <c r="D24097" s="2"/>
    </row>
    <row r="24098" spans="1:4" ht="12.75" customHeight="1" x14ac:dyDescent="0.2">
      <c r="A24098" s="13" t="s">
        <v>6555</v>
      </c>
      <c r="C24098" s="12"/>
    </row>
    <row r="24099" spans="1:4" ht="12.75" customHeight="1" x14ac:dyDescent="0.2">
      <c r="A24099" s="11"/>
      <c r="B24099" s="2"/>
      <c r="C24099" s="15"/>
      <c r="D24099" s="2"/>
    </row>
    <row r="24100" spans="1:4" ht="12.75" customHeight="1" x14ac:dyDescent="0.2">
      <c r="B24100" s="11" t="s">
        <v>0</v>
      </c>
      <c r="C24100" s="11" t="s">
        <v>1355</v>
      </c>
    </row>
    <row r="24101" spans="1:4" ht="12.75" customHeight="1" x14ac:dyDescent="0.2">
      <c r="B24101" s="11" t="s">
        <v>2599</v>
      </c>
      <c r="C24101" s="11" t="s">
        <v>5398</v>
      </c>
    </row>
    <row r="24102" spans="1:4" ht="25.5" customHeight="1" x14ac:dyDescent="0.2">
      <c r="B24102" s="11" t="s">
        <v>2600</v>
      </c>
      <c r="C24102" s="11" t="s">
        <v>6556</v>
      </c>
    </row>
    <row r="24103" spans="1:4" ht="25.5" customHeight="1" x14ac:dyDescent="0.2">
      <c r="B24103" s="11" t="s">
        <v>2601</v>
      </c>
      <c r="C24103" s="11"/>
    </row>
    <row r="24104" spans="1:4" ht="12.75" customHeight="1" x14ac:dyDescent="0.2">
      <c r="B24104" s="11" t="s">
        <v>16</v>
      </c>
      <c r="C24104" s="11"/>
    </row>
    <row r="24105" spans="1:4" ht="12.75" customHeight="1" x14ac:dyDescent="0.2">
      <c r="B24105" s="11" t="s">
        <v>13</v>
      </c>
      <c r="C24105" s="11" t="s">
        <v>2602</v>
      </c>
    </row>
    <row r="24106" spans="1:4" ht="12.75" customHeight="1" x14ac:dyDescent="0.2">
      <c r="B24106" s="11" t="s">
        <v>2603</v>
      </c>
      <c r="C24106" s="11" t="s">
        <v>2604</v>
      </c>
    </row>
    <row r="24107" spans="1:4" ht="12.75" customHeight="1" x14ac:dyDescent="0.2">
      <c r="B24107" s="11" t="s">
        <v>2605</v>
      </c>
      <c r="C24107" s="11" t="s">
        <v>14</v>
      </c>
    </row>
    <row r="24108" spans="1:4" ht="12.75" customHeight="1" x14ac:dyDescent="0.2">
      <c r="B24108" s="11" t="s">
        <v>2606</v>
      </c>
      <c r="C24108" s="16" t="s">
        <v>44</v>
      </c>
      <c r="D24108" s="6" t="str">
        <f>HYPERLINK("javascript:void(0)","csodaflaska")</f>
        <v>csodaflaska</v>
      </c>
    </row>
    <row r="24109" spans="1:4" ht="12.75" customHeight="1" x14ac:dyDescent="0.2">
      <c r="B24109" s="2"/>
      <c r="C24109" s="15"/>
      <c r="D24109" s="2"/>
    </row>
    <row r="24110" spans="1:4" ht="12.75" customHeight="1" x14ac:dyDescent="0.2">
      <c r="B24110" s="2"/>
      <c r="C24110" s="15"/>
      <c r="D24110" s="2"/>
    </row>
    <row r="24111" spans="1:4" ht="12.75" customHeight="1" x14ac:dyDescent="0.2">
      <c r="A24111" s="13" t="s">
        <v>6557</v>
      </c>
      <c r="C24111" s="12"/>
    </row>
    <row r="24112" spans="1:4" ht="12.75" customHeight="1" x14ac:dyDescent="0.2">
      <c r="A24112" s="11"/>
      <c r="B24112" s="2"/>
      <c r="C24112" s="15"/>
      <c r="D24112" s="2"/>
    </row>
    <row r="24113" spans="1:4" ht="12.75" customHeight="1" x14ac:dyDescent="0.2">
      <c r="B24113" s="11" t="s">
        <v>0</v>
      </c>
      <c r="C24113" s="11" t="s">
        <v>1355</v>
      </c>
    </row>
    <row r="24114" spans="1:4" ht="12.75" customHeight="1" x14ac:dyDescent="0.2">
      <c r="B24114" s="11" t="s">
        <v>2599</v>
      </c>
      <c r="C24114" s="11" t="s">
        <v>6558</v>
      </c>
    </row>
    <row r="24115" spans="1:4" ht="25.5" customHeight="1" x14ac:dyDescent="0.2">
      <c r="B24115" s="11" t="s">
        <v>2600</v>
      </c>
      <c r="C24115" s="11" t="s">
        <v>6559</v>
      </c>
    </row>
    <row r="24116" spans="1:4" ht="25.5" customHeight="1" x14ac:dyDescent="0.2">
      <c r="B24116" s="11" t="s">
        <v>2601</v>
      </c>
      <c r="C24116" s="11"/>
    </row>
    <row r="24117" spans="1:4" ht="12.75" customHeight="1" x14ac:dyDescent="0.2">
      <c r="B24117" s="11" t="s">
        <v>16</v>
      </c>
      <c r="C24117" s="11"/>
    </row>
    <row r="24118" spans="1:4" ht="12.75" customHeight="1" x14ac:dyDescent="0.2">
      <c r="B24118" s="11" t="s">
        <v>13</v>
      </c>
      <c r="C24118" s="11" t="s">
        <v>2602</v>
      </c>
    </row>
    <row r="24119" spans="1:4" ht="12.75" customHeight="1" x14ac:dyDescent="0.2">
      <c r="B24119" s="11" t="s">
        <v>2603</v>
      </c>
      <c r="C24119" s="11" t="s">
        <v>2604</v>
      </c>
    </row>
    <row r="24120" spans="1:4" ht="12.75" customHeight="1" x14ac:dyDescent="0.2">
      <c r="B24120" s="11" t="s">
        <v>2605</v>
      </c>
      <c r="C24120" s="11" t="s">
        <v>14</v>
      </c>
    </row>
    <row r="24121" spans="1:4" ht="25.5" customHeight="1" x14ac:dyDescent="0.2">
      <c r="B24121" s="11" t="s">
        <v>2606</v>
      </c>
      <c r="C24121" s="16" t="s">
        <v>44</v>
      </c>
      <c r="D24121" s="6" t="str">
        <f>HYPERLINK("javascript:void(0)","léghajóvászon")</f>
        <v>léghajóvászon</v>
      </c>
    </row>
    <row r="24122" spans="1:4" ht="12.75" customHeight="1" x14ac:dyDescent="0.2">
      <c r="B24122" s="2"/>
      <c r="C24122" s="15"/>
      <c r="D24122" s="2"/>
    </row>
    <row r="24123" spans="1:4" ht="12.75" customHeight="1" x14ac:dyDescent="0.2">
      <c r="B24123" s="2"/>
      <c r="C24123" s="15"/>
      <c r="D24123" s="2"/>
    </row>
    <row r="24124" spans="1:4" ht="12.75" customHeight="1" x14ac:dyDescent="0.2">
      <c r="A24124" s="13" t="s">
        <v>6560</v>
      </c>
      <c r="C24124" s="12"/>
    </row>
    <row r="24125" spans="1:4" ht="12.75" customHeight="1" x14ac:dyDescent="0.2">
      <c r="A24125" s="11"/>
      <c r="B24125" s="2"/>
      <c r="C24125" s="15"/>
      <c r="D24125" s="2"/>
    </row>
    <row r="24126" spans="1:4" ht="12.75" customHeight="1" x14ac:dyDescent="0.2">
      <c r="B24126" s="11" t="s">
        <v>0</v>
      </c>
      <c r="C24126" s="11" t="s">
        <v>1355</v>
      </c>
    </row>
    <row r="24127" spans="1:4" ht="12.75" customHeight="1" x14ac:dyDescent="0.2">
      <c r="B24127" s="11" t="s">
        <v>2599</v>
      </c>
      <c r="C24127" s="11" t="s">
        <v>1852</v>
      </c>
    </row>
    <row r="24128" spans="1:4" ht="25.5" customHeight="1" x14ac:dyDescent="0.2">
      <c r="B24128" s="11" t="s">
        <v>2600</v>
      </c>
      <c r="C24128" s="11" t="s">
        <v>6561</v>
      </c>
    </row>
    <row r="24129" spans="1:4" ht="25.5" customHeight="1" x14ac:dyDescent="0.2">
      <c r="B24129" s="11" t="s">
        <v>2601</v>
      </c>
      <c r="C24129" s="11"/>
    </row>
    <row r="24130" spans="1:4" ht="12.75" customHeight="1" x14ac:dyDescent="0.2">
      <c r="B24130" s="11" t="s">
        <v>16</v>
      </c>
      <c r="C24130" s="11"/>
    </row>
    <row r="24131" spans="1:4" ht="12.75" customHeight="1" x14ac:dyDescent="0.2">
      <c r="B24131" s="11" t="s">
        <v>13</v>
      </c>
      <c r="C24131" s="11" t="s">
        <v>2644</v>
      </c>
    </row>
    <row r="24132" spans="1:4" ht="12.75" customHeight="1" x14ac:dyDescent="0.2">
      <c r="B24132" s="11" t="s">
        <v>2603</v>
      </c>
      <c r="C24132" s="11" t="s">
        <v>2604</v>
      </c>
    </row>
    <row r="24133" spans="1:4" ht="12.75" customHeight="1" x14ac:dyDescent="0.2">
      <c r="B24133" s="11" t="s">
        <v>2605</v>
      </c>
      <c r="C24133" s="11" t="s">
        <v>24</v>
      </c>
    </row>
    <row r="24134" spans="1:4" ht="12.75" customHeight="1" x14ac:dyDescent="0.2">
      <c r="B24134" s="11" t="s">
        <v>2606</v>
      </c>
      <c r="C24134" s="16" t="s">
        <v>44</v>
      </c>
      <c r="D24134" s="6" t="str">
        <f>HYPERLINK("javascript:void(0)","lidérc érc")</f>
        <v>lidérc érc</v>
      </c>
    </row>
    <row r="24135" spans="1:4" ht="12.75" customHeight="1" x14ac:dyDescent="0.2">
      <c r="B24135" s="2"/>
      <c r="C24135" s="15"/>
      <c r="D24135" s="2"/>
    </row>
    <row r="24136" spans="1:4" ht="12.75" customHeight="1" x14ac:dyDescent="0.2">
      <c r="B24136" s="2"/>
      <c r="C24136" s="15"/>
      <c r="D24136" s="2"/>
    </row>
    <row r="24137" spans="1:4" ht="12.75" customHeight="1" x14ac:dyDescent="0.2">
      <c r="A24137" s="13" t="s">
        <v>6562</v>
      </c>
      <c r="C24137" s="12"/>
    </row>
    <row r="24138" spans="1:4" ht="12.75" customHeight="1" x14ac:dyDescent="0.2">
      <c r="A24138" s="11"/>
      <c r="B24138" s="2"/>
      <c r="C24138" s="15"/>
      <c r="D24138" s="2"/>
    </row>
    <row r="24139" spans="1:4" ht="12.75" customHeight="1" x14ac:dyDescent="0.2">
      <c r="B24139" s="11" t="s">
        <v>0</v>
      </c>
      <c r="C24139" s="11" t="s">
        <v>1355</v>
      </c>
    </row>
    <row r="24140" spans="1:4" ht="12.75" customHeight="1" x14ac:dyDescent="0.2">
      <c r="B24140" s="11" t="s">
        <v>2599</v>
      </c>
      <c r="C24140" s="11" t="s">
        <v>1582</v>
      </c>
    </row>
    <row r="24141" spans="1:4" ht="25.5" customHeight="1" x14ac:dyDescent="0.2">
      <c r="B24141" s="11" t="s">
        <v>2600</v>
      </c>
      <c r="C24141" s="11" t="s">
        <v>6563</v>
      </c>
    </row>
    <row r="24142" spans="1:4" ht="25.5" customHeight="1" x14ac:dyDescent="0.2">
      <c r="B24142" s="11" t="s">
        <v>2601</v>
      </c>
      <c r="C24142" s="11"/>
    </row>
    <row r="24143" spans="1:4" ht="12.75" customHeight="1" x14ac:dyDescent="0.2">
      <c r="B24143" s="11" t="s">
        <v>16</v>
      </c>
      <c r="C24143" s="11"/>
    </row>
    <row r="24144" spans="1:4" ht="12.75" customHeight="1" x14ac:dyDescent="0.2">
      <c r="B24144" s="11" t="s">
        <v>13</v>
      </c>
      <c r="C24144" s="11" t="s">
        <v>2602</v>
      </c>
    </row>
    <row r="24145" spans="1:4" ht="12.75" customHeight="1" x14ac:dyDescent="0.2">
      <c r="B24145" s="11" t="s">
        <v>2603</v>
      </c>
      <c r="C24145" s="11" t="s">
        <v>2604</v>
      </c>
    </row>
    <row r="24146" spans="1:4" ht="12.75" customHeight="1" x14ac:dyDescent="0.2">
      <c r="B24146" s="11" t="s">
        <v>2605</v>
      </c>
      <c r="C24146" s="11" t="s">
        <v>24</v>
      </c>
    </row>
    <row r="24147" spans="1:4" ht="25.5" customHeight="1" x14ac:dyDescent="0.2">
      <c r="B24147" s="11" t="s">
        <v>2606</v>
      </c>
      <c r="C24147" s="16" t="s">
        <v>44</v>
      </c>
      <c r="D24147" s="6" t="str">
        <f>HYPERLINK("javascript:void(0)","hőzöngcsörgő")</f>
        <v>hőzöngcsörgő</v>
      </c>
    </row>
    <row r="24148" spans="1:4" ht="12.75" customHeight="1" x14ac:dyDescent="0.2">
      <c r="B24148" s="2"/>
      <c r="C24148" s="15"/>
      <c r="D24148" s="2"/>
    </row>
    <row r="24149" spans="1:4" ht="12.75" customHeight="1" x14ac:dyDescent="0.2">
      <c r="B24149" s="2"/>
      <c r="C24149" s="15"/>
      <c r="D24149" s="2"/>
    </row>
    <row r="24150" spans="1:4" ht="12.75" customHeight="1" x14ac:dyDescent="0.2">
      <c r="A24150" s="13" t="s">
        <v>6564</v>
      </c>
      <c r="C24150" s="12"/>
    </row>
    <row r="24151" spans="1:4" ht="12.75" customHeight="1" x14ac:dyDescent="0.2">
      <c r="A24151" s="11"/>
      <c r="B24151" s="2"/>
      <c r="C24151" s="15"/>
      <c r="D24151" s="2"/>
    </row>
    <row r="24152" spans="1:4" ht="12.75" customHeight="1" x14ac:dyDescent="0.2">
      <c r="B24152" s="11" t="s">
        <v>0</v>
      </c>
      <c r="C24152" s="11" t="s">
        <v>1355</v>
      </c>
    </row>
    <row r="24153" spans="1:4" ht="12.75" customHeight="1" x14ac:dyDescent="0.2">
      <c r="B24153" s="11" t="s">
        <v>2599</v>
      </c>
      <c r="C24153" s="11" t="s">
        <v>2081</v>
      </c>
    </row>
    <row r="24154" spans="1:4" ht="25.5" customHeight="1" x14ac:dyDescent="0.2">
      <c r="B24154" s="11" t="s">
        <v>2600</v>
      </c>
      <c r="C24154" s="11" t="s">
        <v>6565</v>
      </c>
    </row>
    <row r="24155" spans="1:4" ht="25.5" customHeight="1" x14ac:dyDescent="0.2">
      <c r="B24155" s="11" t="s">
        <v>2601</v>
      </c>
      <c r="C24155" s="11"/>
    </row>
    <row r="24156" spans="1:4" ht="12.75" customHeight="1" x14ac:dyDescent="0.2">
      <c r="B24156" s="11" t="s">
        <v>16</v>
      </c>
      <c r="C24156" s="11"/>
    </row>
    <row r="24157" spans="1:4" ht="12.75" customHeight="1" x14ac:dyDescent="0.2">
      <c r="B24157" s="11" t="s">
        <v>13</v>
      </c>
      <c r="C24157" s="11" t="s">
        <v>2602</v>
      </c>
    </row>
    <row r="24158" spans="1:4" ht="12.75" customHeight="1" x14ac:dyDescent="0.2">
      <c r="B24158" s="11" t="s">
        <v>2603</v>
      </c>
      <c r="C24158" s="11" t="s">
        <v>2604</v>
      </c>
    </row>
    <row r="24159" spans="1:4" ht="12.75" customHeight="1" x14ac:dyDescent="0.2">
      <c r="B24159" s="11" t="s">
        <v>2605</v>
      </c>
      <c r="C24159" s="11" t="s">
        <v>24</v>
      </c>
    </row>
    <row r="24160" spans="1:4" ht="12.75" customHeight="1" x14ac:dyDescent="0.2">
      <c r="B24160" s="11" t="s">
        <v>2606</v>
      </c>
      <c r="C24160" s="16" t="s">
        <v>44</v>
      </c>
      <c r="D24160" s="6" t="str">
        <f>HYPERLINK("javascript:void(0)","tükörgömb")</f>
        <v>tükörgömb</v>
      </c>
    </row>
    <row r="24161" spans="1:4" ht="12.75" customHeight="1" x14ac:dyDescent="0.2">
      <c r="B24161" s="2"/>
      <c r="C24161" s="15"/>
      <c r="D24161" s="2"/>
    </row>
    <row r="24162" spans="1:4" ht="12.75" customHeight="1" x14ac:dyDescent="0.2">
      <c r="B24162" s="2"/>
      <c r="C24162" s="15"/>
      <c r="D24162" s="2"/>
    </row>
    <row r="24163" spans="1:4" ht="12.75" customHeight="1" x14ac:dyDescent="0.2">
      <c r="A24163" s="13" t="s">
        <v>6566</v>
      </c>
      <c r="C24163" s="12"/>
    </row>
    <row r="24164" spans="1:4" ht="12.75" customHeight="1" x14ac:dyDescent="0.2">
      <c r="A24164" s="11"/>
      <c r="B24164" s="2"/>
      <c r="C24164" s="15"/>
      <c r="D24164" s="2"/>
    </row>
    <row r="24165" spans="1:4" ht="12.75" customHeight="1" x14ac:dyDescent="0.2">
      <c r="B24165" s="11" t="s">
        <v>0</v>
      </c>
      <c r="C24165" s="11" t="s">
        <v>1355</v>
      </c>
    </row>
    <row r="24166" spans="1:4" ht="12.75" customHeight="1" x14ac:dyDescent="0.2">
      <c r="B24166" s="11" t="s">
        <v>2599</v>
      </c>
      <c r="C24166" s="11" t="s">
        <v>6567</v>
      </c>
    </row>
    <row r="24167" spans="1:4" ht="25.5" customHeight="1" x14ac:dyDescent="0.2">
      <c r="B24167" s="11" t="s">
        <v>2600</v>
      </c>
      <c r="C24167" s="11" t="s">
        <v>6568</v>
      </c>
    </row>
    <row r="24168" spans="1:4" ht="25.5" customHeight="1" x14ac:dyDescent="0.2">
      <c r="B24168" s="11" t="s">
        <v>2601</v>
      </c>
      <c r="C24168" s="11"/>
    </row>
    <row r="24169" spans="1:4" ht="12.75" customHeight="1" x14ac:dyDescent="0.2">
      <c r="B24169" s="11" t="s">
        <v>16</v>
      </c>
      <c r="C24169" s="11"/>
    </row>
    <row r="24170" spans="1:4" ht="12.75" customHeight="1" x14ac:dyDescent="0.2">
      <c r="B24170" s="11" t="s">
        <v>13</v>
      </c>
      <c r="C24170" s="11" t="s">
        <v>2644</v>
      </c>
    </row>
    <row r="24171" spans="1:4" ht="12.75" customHeight="1" x14ac:dyDescent="0.2">
      <c r="B24171" s="11" t="s">
        <v>2603</v>
      </c>
      <c r="C24171" s="11" t="s">
        <v>2604</v>
      </c>
    </row>
    <row r="24172" spans="1:4" ht="12.75" customHeight="1" x14ac:dyDescent="0.2">
      <c r="B24172" s="11" t="s">
        <v>2605</v>
      </c>
      <c r="C24172" s="11" t="s">
        <v>24</v>
      </c>
    </row>
    <row r="24173" spans="1:4" ht="25.5" customHeight="1" x14ac:dyDescent="0.2">
      <c r="B24173" s="11" t="s">
        <v>2606</v>
      </c>
      <c r="C24173" s="16" t="s">
        <v>44</v>
      </c>
      <c r="D24173" s="6" t="str">
        <f>HYPERLINK("javascript:void(0)","hamvadt tetem")</f>
        <v>hamvadt tetem</v>
      </c>
    </row>
    <row r="24174" spans="1:4" ht="12.75" customHeight="1" x14ac:dyDescent="0.2">
      <c r="B24174" s="2"/>
      <c r="C24174" s="15"/>
      <c r="D24174" s="2"/>
    </row>
    <row r="24175" spans="1:4" ht="12.75" customHeight="1" x14ac:dyDescent="0.2">
      <c r="B24175" s="2"/>
      <c r="C24175" s="15"/>
      <c r="D24175" s="2"/>
    </row>
    <row r="24176" spans="1:4" ht="12.75" customHeight="1" x14ac:dyDescent="0.2">
      <c r="A24176" s="13" t="s">
        <v>6569</v>
      </c>
      <c r="C24176" s="12"/>
    </row>
    <row r="24177" spans="1:4" ht="12.75" customHeight="1" x14ac:dyDescent="0.2">
      <c r="A24177" s="11"/>
      <c r="B24177" s="2"/>
      <c r="C24177" s="15"/>
      <c r="D24177" s="2"/>
    </row>
    <row r="24178" spans="1:4" ht="12.75" customHeight="1" x14ac:dyDescent="0.2">
      <c r="B24178" s="11" t="s">
        <v>0</v>
      </c>
      <c r="C24178" s="11" t="s">
        <v>1359</v>
      </c>
    </row>
    <row r="24179" spans="1:4" ht="12.75" customHeight="1" x14ac:dyDescent="0.2">
      <c r="B24179" s="11" t="s">
        <v>2599</v>
      </c>
      <c r="C24179" s="11" t="s">
        <v>6570</v>
      </c>
    </row>
    <row r="24180" spans="1:4" ht="25.5" customHeight="1" x14ac:dyDescent="0.2">
      <c r="B24180" s="11" t="s">
        <v>2600</v>
      </c>
      <c r="C24180" s="11" t="s">
        <v>6571</v>
      </c>
    </row>
    <row r="24181" spans="1:4" ht="25.5" customHeight="1" x14ac:dyDescent="0.2">
      <c r="B24181" s="11" t="s">
        <v>2601</v>
      </c>
      <c r="C24181" s="11"/>
    </row>
    <row r="24182" spans="1:4" ht="12.75" customHeight="1" x14ac:dyDescent="0.2">
      <c r="B24182" s="11" t="s">
        <v>16</v>
      </c>
      <c r="C24182" s="11"/>
    </row>
    <row r="24183" spans="1:4" ht="12.75" customHeight="1" x14ac:dyDescent="0.2">
      <c r="B24183" s="11" t="s">
        <v>13</v>
      </c>
      <c r="C24183" s="11" t="s">
        <v>2602</v>
      </c>
    </row>
    <row r="24184" spans="1:4" ht="12.75" customHeight="1" x14ac:dyDescent="0.2">
      <c r="B24184" s="11" t="s">
        <v>2603</v>
      </c>
      <c r="C24184" s="11" t="s">
        <v>2604</v>
      </c>
    </row>
    <row r="24185" spans="1:4" ht="12.75" customHeight="1" x14ac:dyDescent="0.2">
      <c r="B24185" s="11" t="s">
        <v>2605</v>
      </c>
      <c r="C24185" s="11" t="s">
        <v>24</v>
      </c>
    </row>
    <row r="24186" spans="1:4" ht="25.5" customHeight="1" x14ac:dyDescent="0.2">
      <c r="B24186" s="11" t="s">
        <v>2606</v>
      </c>
      <c r="C24186" s="16" t="s">
        <v>56</v>
      </c>
      <c r="D24186" s="6" t="str">
        <f>HYPERLINK("javascript:void(0)","szemgyöngy")</f>
        <v>szemgyöngy</v>
      </c>
    </row>
    <row r="24187" spans="1:4" ht="12.75" customHeight="1" x14ac:dyDescent="0.2">
      <c r="B24187" s="2"/>
      <c r="C24187" s="15"/>
      <c r="D24187" s="2"/>
    </row>
    <row r="24188" spans="1:4" ht="12.75" customHeight="1" x14ac:dyDescent="0.2">
      <c r="B24188" s="2"/>
      <c r="C24188" s="15"/>
      <c r="D24188" s="2"/>
    </row>
    <row r="24189" spans="1:4" ht="12.75" customHeight="1" x14ac:dyDescent="0.2">
      <c r="A24189" s="13" t="s">
        <v>6572</v>
      </c>
      <c r="C24189" s="12"/>
    </row>
    <row r="24190" spans="1:4" ht="12.75" customHeight="1" x14ac:dyDescent="0.2">
      <c r="A24190" s="11"/>
      <c r="B24190" s="2"/>
      <c r="C24190" s="15"/>
      <c r="D24190" s="2"/>
    </row>
    <row r="24191" spans="1:4" ht="12.75" customHeight="1" x14ac:dyDescent="0.2">
      <c r="B24191" s="11" t="s">
        <v>0</v>
      </c>
      <c r="C24191" s="11" t="s">
        <v>1359</v>
      </c>
    </row>
    <row r="24192" spans="1:4" ht="12.75" customHeight="1" x14ac:dyDescent="0.2">
      <c r="B24192" s="11" t="s">
        <v>2599</v>
      </c>
      <c r="C24192" s="11" t="s">
        <v>6573</v>
      </c>
    </row>
    <row r="24193" spans="1:4" ht="25.5" customHeight="1" x14ac:dyDescent="0.2">
      <c r="B24193" s="11" t="s">
        <v>2600</v>
      </c>
      <c r="C24193" s="11" t="s">
        <v>6574</v>
      </c>
    </row>
    <row r="24194" spans="1:4" ht="25.5" customHeight="1" x14ac:dyDescent="0.2">
      <c r="B24194" s="11" t="s">
        <v>2601</v>
      </c>
      <c r="C24194" s="11"/>
    </row>
    <row r="24195" spans="1:4" ht="12.75" customHeight="1" x14ac:dyDescent="0.2">
      <c r="B24195" s="11" t="s">
        <v>16</v>
      </c>
      <c r="C24195" s="11"/>
    </row>
    <row r="24196" spans="1:4" ht="12.75" customHeight="1" x14ac:dyDescent="0.2">
      <c r="B24196" s="11" t="s">
        <v>13</v>
      </c>
      <c r="C24196" s="11" t="s">
        <v>2644</v>
      </c>
    </row>
    <row r="24197" spans="1:4" ht="12.75" customHeight="1" x14ac:dyDescent="0.2">
      <c r="B24197" s="11" t="s">
        <v>2603</v>
      </c>
      <c r="C24197" s="11" t="s">
        <v>2604</v>
      </c>
    </row>
    <row r="24198" spans="1:4" ht="12.75" customHeight="1" x14ac:dyDescent="0.2">
      <c r="B24198" s="11" t="s">
        <v>2605</v>
      </c>
      <c r="C24198" s="11" t="s">
        <v>14</v>
      </c>
    </row>
    <row r="24199" spans="1:4" ht="12.75" customHeight="1" x14ac:dyDescent="0.2">
      <c r="B24199" s="11" t="s">
        <v>2606</v>
      </c>
      <c r="C24199" s="16" t="s">
        <v>44</v>
      </c>
      <c r="D24199" s="6" t="str">
        <f>HYPERLINK("javascript:void(0)","bajuszkötő")</f>
        <v>bajuszkötő</v>
      </c>
    </row>
    <row r="24200" spans="1:4" ht="12.75" customHeight="1" x14ac:dyDescent="0.2">
      <c r="B24200" s="2"/>
      <c r="C24200" s="15"/>
      <c r="D24200" s="2"/>
    </row>
    <row r="24201" spans="1:4" ht="12.75" customHeight="1" x14ac:dyDescent="0.2">
      <c r="B24201" s="2"/>
      <c r="C24201" s="15"/>
      <c r="D24201" s="2"/>
    </row>
    <row r="24202" spans="1:4" ht="12.75" customHeight="1" x14ac:dyDescent="0.2">
      <c r="A24202" s="13" t="s">
        <v>6575</v>
      </c>
      <c r="C24202" s="12"/>
    </row>
    <row r="24203" spans="1:4" ht="12.75" customHeight="1" x14ac:dyDescent="0.2">
      <c r="A24203" s="11"/>
      <c r="B24203" s="2"/>
      <c r="C24203" s="15"/>
      <c r="D24203" s="2"/>
    </row>
    <row r="24204" spans="1:4" ht="12.75" customHeight="1" x14ac:dyDescent="0.2">
      <c r="B24204" s="11" t="s">
        <v>0</v>
      </c>
      <c r="C24204" s="11" t="s">
        <v>1359</v>
      </c>
    </row>
    <row r="24205" spans="1:4" ht="12.75" customHeight="1" x14ac:dyDescent="0.2">
      <c r="B24205" s="11" t="s">
        <v>2599</v>
      </c>
      <c r="C24205" s="11" t="s">
        <v>6576</v>
      </c>
    </row>
    <row r="24206" spans="1:4" ht="25.5" customHeight="1" x14ac:dyDescent="0.2">
      <c r="B24206" s="11" t="s">
        <v>2600</v>
      </c>
      <c r="C24206" s="11" t="s">
        <v>6577</v>
      </c>
    </row>
    <row r="24207" spans="1:4" ht="25.5" customHeight="1" x14ac:dyDescent="0.2">
      <c r="B24207" s="11" t="s">
        <v>2601</v>
      </c>
      <c r="C24207" s="11"/>
    </row>
    <row r="24208" spans="1:4" ht="12.75" customHeight="1" x14ac:dyDescent="0.2">
      <c r="B24208" s="11" t="s">
        <v>16</v>
      </c>
      <c r="C24208" s="11"/>
    </row>
    <row r="24209" spans="1:4" ht="12.75" customHeight="1" x14ac:dyDescent="0.2">
      <c r="B24209" s="11" t="s">
        <v>13</v>
      </c>
      <c r="C24209" s="11" t="s">
        <v>2602</v>
      </c>
    </row>
    <row r="24210" spans="1:4" ht="12.75" customHeight="1" x14ac:dyDescent="0.2">
      <c r="B24210" s="11" t="s">
        <v>2603</v>
      </c>
      <c r="C24210" s="11" t="s">
        <v>2604</v>
      </c>
    </row>
    <row r="24211" spans="1:4" ht="12.75" customHeight="1" x14ac:dyDescent="0.2">
      <c r="B24211" s="11" t="s">
        <v>2605</v>
      </c>
      <c r="C24211" s="11" t="s">
        <v>24</v>
      </c>
    </row>
    <row r="24212" spans="1:4" ht="25.5" customHeight="1" x14ac:dyDescent="0.2">
      <c r="B24212" s="11" t="s">
        <v>2606</v>
      </c>
      <c r="C24212" s="16" t="s">
        <v>44</v>
      </c>
      <c r="D24212" s="6" t="str">
        <f>HYPERLINK("javascript:void(0)","gyíkacél tanto")</f>
        <v>gyíkacél tanto</v>
      </c>
    </row>
    <row r="24213" spans="1:4" ht="12.75" customHeight="1" x14ac:dyDescent="0.2">
      <c r="B24213" s="2"/>
      <c r="C24213" s="15"/>
      <c r="D24213" s="2"/>
    </row>
    <row r="24214" spans="1:4" ht="12.75" customHeight="1" x14ac:dyDescent="0.2">
      <c r="B24214" s="2"/>
      <c r="C24214" s="15"/>
      <c r="D24214" s="2"/>
    </row>
    <row r="24215" spans="1:4" ht="12.75" customHeight="1" x14ac:dyDescent="0.2">
      <c r="A24215" s="13" t="s">
        <v>6578</v>
      </c>
      <c r="C24215" s="12"/>
    </row>
    <row r="24216" spans="1:4" ht="12.75" customHeight="1" x14ac:dyDescent="0.2">
      <c r="A24216" s="11"/>
      <c r="B24216" s="2"/>
      <c r="C24216" s="15"/>
      <c r="D24216" s="2"/>
    </row>
    <row r="24217" spans="1:4" ht="12.75" customHeight="1" x14ac:dyDescent="0.2">
      <c r="B24217" s="11" t="s">
        <v>0</v>
      </c>
      <c r="C24217" s="11" t="s">
        <v>1359</v>
      </c>
    </row>
    <row r="24218" spans="1:4" ht="12.75" customHeight="1" x14ac:dyDescent="0.2">
      <c r="B24218" s="11" t="s">
        <v>2599</v>
      </c>
      <c r="C24218" s="11" t="s">
        <v>6579</v>
      </c>
    </row>
    <row r="24219" spans="1:4" ht="25.5" customHeight="1" x14ac:dyDescent="0.2">
      <c r="B24219" s="11" t="s">
        <v>2600</v>
      </c>
      <c r="C24219" s="11" t="s">
        <v>6580</v>
      </c>
    </row>
    <row r="24220" spans="1:4" ht="25.5" customHeight="1" x14ac:dyDescent="0.2">
      <c r="B24220" s="11" t="s">
        <v>2601</v>
      </c>
      <c r="C24220" s="11"/>
    </row>
    <row r="24221" spans="1:4" ht="12.75" customHeight="1" x14ac:dyDescent="0.2">
      <c r="B24221" s="11" t="s">
        <v>16</v>
      </c>
      <c r="C24221" s="11"/>
    </row>
    <row r="24222" spans="1:4" ht="12.75" customHeight="1" x14ac:dyDescent="0.2">
      <c r="B24222" s="11" t="s">
        <v>13</v>
      </c>
      <c r="C24222" s="11" t="s">
        <v>2644</v>
      </c>
    </row>
    <row r="24223" spans="1:4" ht="12.75" customHeight="1" x14ac:dyDescent="0.2">
      <c r="B24223" s="11" t="s">
        <v>2603</v>
      </c>
      <c r="C24223" s="11" t="s">
        <v>2604</v>
      </c>
    </row>
    <row r="24224" spans="1:4" ht="12.75" customHeight="1" x14ac:dyDescent="0.2">
      <c r="B24224" s="11" t="s">
        <v>2605</v>
      </c>
      <c r="C24224" s="11" t="s">
        <v>14</v>
      </c>
    </row>
    <row r="24225" spans="1:4" ht="12.75" customHeight="1" x14ac:dyDescent="0.2">
      <c r="B24225" s="11" t="s">
        <v>2606</v>
      </c>
      <c r="C24225" s="16" t="s">
        <v>56</v>
      </c>
      <c r="D24225" s="6" t="str">
        <f>HYPERLINK("javascript:void(0)","lábkarcsont")</f>
        <v>lábkarcsont</v>
      </c>
    </row>
    <row r="24226" spans="1:4" ht="12.75" customHeight="1" x14ac:dyDescent="0.2">
      <c r="B24226" s="2"/>
      <c r="C24226" s="15"/>
      <c r="D24226" s="2"/>
    </row>
    <row r="24227" spans="1:4" ht="12.75" customHeight="1" x14ac:dyDescent="0.2">
      <c r="B24227" s="2"/>
      <c r="C24227" s="15"/>
      <c r="D24227" s="2"/>
    </row>
    <row r="24228" spans="1:4" ht="12.75" customHeight="1" x14ac:dyDescent="0.2">
      <c r="A24228" s="13" t="s">
        <v>6581</v>
      </c>
      <c r="C24228" s="12"/>
    </row>
    <row r="24229" spans="1:4" ht="12.75" customHeight="1" x14ac:dyDescent="0.2">
      <c r="A24229" s="11"/>
      <c r="B24229" s="2"/>
      <c r="C24229" s="15"/>
      <c r="D24229" s="2"/>
    </row>
    <row r="24230" spans="1:4" ht="12.75" customHeight="1" x14ac:dyDescent="0.2">
      <c r="B24230" s="11" t="s">
        <v>0</v>
      </c>
      <c r="C24230" s="11" t="s">
        <v>1359</v>
      </c>
    </row>
    <row r="24231" spans="1:4" ht="12.75" customHeight="1" x14ac:dyDescent="0.2">
      <c r="B24231" s="11" t="s">
        <v>2599</v>
      </c>
      <c r="C24231" s="11" t="s">
        <v>6582</v>
      </c>
    </row>
    <row r="24232" spans="1:4" ht="25.5" customHeight="1" x14ac:dyDescent="0.2">
      <c r="B24232" s="11" t="s">
        <v>2600</v>
      </c>
      <c r="C24232" s="11" t="s">
        <v>6583</v>
      </c>
    </row>
    <row r="24233" spans="1:4" ht="25.5" customHeight="1" x14ac:dyDescent="0.2">
      <c r="B24233" s="11" t="s">
        <v>2601</v>
      </c>
      <c r="C24233" s="11"/>
    </row>
    <row r="24234" spans="1:4" ht="12.75" customHeight="1" x14ac:dyDescent="0.2">
      <c r="B24234" s="11" t="s">
        <v>16</v>
      </c>
      <c r="C24234" s="11"/>
    </row>
    <row r="24235" spans="1:4" ht="12.75" customHeight="1" x14ac:dyDescent="0.2">
      <c r="B24235" s="11" t="s">
        <v>13</v>
      </c>
      <c r="C24235" s="11" t="s">
        <v>2602</v>
      </c>
    </row>
    <row r="24236" spans="1:4" ht="12.75" customHeight="1" x14ac:dyDescent="0.2">
      <c r="B24236" s="11" t="s">
        <v>2603</v>
      </c>
      <c r="C24236" s="11" t="s">
        <v>2604</v>
      </c>
    </row>
    <row r="24237" spans="1:4" ht="12.75" customHeight="1" x14ac:dyDescent="0.2">
      <c r="B24237" s="11" t="s">
        <v>2605</v>
      </c>
      <c r="C24237" s="11" t="s">
        <v>14</v>
      </c>
    </row>
    <row r="24238" spans="1:4" ht="12.75" customHeight="1" x14ac:dyDescent="0.2">
      <c r="B24238" s="11" t="s">
        <v>2606</v>
      </c>
      <c r="C24238" s="16" t="s">
        <v>44</v>
      </c>
      <c r="D24238" s="6" t="str">
        <f>HYPERLINK("javascript:void(0)","kifordultság")</f>
        <v>kifordultság</v>
      </c>
    </row>
    <row r="24239" spans="1:4" ht="12.75" customHeight="1" x14ac:dyDescent="0.2">
      <c r="B24239" s="2"/>
      <c r="C24239" s="15"/>
      <c r="D24239" s="2"/>
    </row>
    <row r="24240" spans="1:4" ht="12.75" customHeight="1" x14ac:dyDescent="0.2">
      <c r="B24240" s="2"/>
      <c r="C24240" s="15"/>
      <c r="D24240" s="2"/>
    </row>
    <row r="24241" spans="1:4" ht="12.75" customHeight="1" x14ac:dyDescent="0.2">
      <c r="A24241" s="13" t="s">
        <v>6584</v>
      </c>
      <c r="C24241" s="12"/>
    </row>
    <row r="24242" spans="1:4" ht="12.75" customHeight="1" x14ac:dyDescent="0.2">
      <c r="A24242" s="11"/>
      <c r="B24242" s="2"/>
      <c r="C24242" s="15"/>
      <c r="D24242" s="2"/>
    </row>
    <row r="24243" spans="1:4" ht="12.75" customHeight="1" x14ac:dyDescent="0.2">
      <c r="B24243" s="11" t="s">
        <v>0</v>
      </c>
      <c r="C24243" s="11" t="s">
        <v>1359</v>
      </c>
    </row>
    <row r="24244" spans="1:4" ht="12.75" customHeight="1" x14ac:dyDescent="0.2">
      <c r="B24244" s="11" t="s">
        <v>2599</v>
      </c>
      <c r="C24244" s="11" t="s">
        <v>6585</v>
      </c>
    </row>
    <row r="24245" spans="1:4" ht="25.5" customHeight="1" x14ac:dyDescent="0.2">
      <c r="B24245" s="11" t="s">
        <v>2600</v>
      </c>
      <c r="C24245" s="11" t="s">
        <v>6586</v>
      </c>
    </row>
    <row r="24246" spans="1:4" ht="25.5" customHeight="1" x14ac:dyDescent="0.2">
      <c r="B24246" s="11" t="s">
        <v>2601</v>
      </c>
      <c r="C24246" s="11"/>
    </row>
    <row r="24247" spans="1:4" ht="12.75" customHeight="1" x14ac:dyDescent="0.2">
      <c r="B24247" s="11" t="s">
        <v>16</v>
      </c>
      <c r="C24247" s="11"/>
    </row>
    <row r="24248" spans="1:4" ht="12.75" customHeight="1" x14ac:dyDescent="0.2">
      <c r="B24248" s="11" t="s">
        <v>13</v>
      </c>
      <c r="C24248" s="11" t="s">
        <v>2644</v>
      </c>
    </row>
    <row r="24249" spans="1:4" ht="12.75" customHeight="1" x14ac:dyDescent="0.2">
      <c r="B24249" s="11" t="s">
        <v>2603</v>
      </c>
      <c r="C24249" s="11" t="s">
        <v>2604</v>
      </c>
    </row>
    <row r="24250" spans="1:4" ht="12.75" customHeight="1" x14ac:dyDescent="0.2">
      <c r="B24250" s="11" t="s">
        <v>2605</v>
      </c>
      <c r="C24250" s="11" t="s">
        <v>24</v>
      </c>
    </row>
    <row r="24251" spans="1:4" ht="12.75" customHeight="1" x14ac:dyDescent="0.2">
      <c r="B24251" s="11" t="s">
        <v>2606</v>
      </c>
      <c r="C24251" s="16" t="s">
        <v>55</v>
      </c>
      <c r="D24251" s="6" t="str">
        <f>HYPERLINK("javascript:void(0)","árnyékláb")</f>
        <v>árnyékláb</v>
      </c>
    </row>
    <row r="24252" spans="1:4" ht="12.75" customHeight="1" x14ac:dyDescent="0.2">
      <c r="B24252" s="2"/>
      <c r="C24252" s="15"/>
      <c r="D24252" s="2"/>
    </row>
    <row r="24253" spans="1:4" ht="12.75" customHeight="1" x14ac:dyDescent="0.2">
      <c r="B24253" s="2"/>
      <c r="C24253" s="15"/>
      <c r="D24253" s="2"/>
    </row>
    <row r="24254" spans="1:4" ht="12.75" customHeight="1" x14ac:dyDescent="0.2">
      <c r="A24254" s="13" t="s">
        <v>6587</v>
      </c>
      <c r="C24254" s="12"/>
    </row>
    <row r="24255" spans="1:4" ht="12.75" customHeight="1" x14ac:dyDescent="0.2">
      <c r="A24255" s="11"/>
      <c r="B24255" s="2"/>
      <c r="C24255" s="15"/>
      <c r="D24255" s="2"/>
    </row>
    <row r="24256" spans="1:4" ht="12.75" customHeight="1" x14ac:dyDescent="0.2">
      <c r="B24256" s="11" t="s">
        <v>0</v>
      </c>
      <c r="C24256" s="11" t="s">
        <v>1359</v>
      </c>
    </row>
    <row r="24257" spans="1:4" ht="12.75" customHeight="1" x14ac:dyDescent="0.2">
      <c r="B24257" s="11" t="s">
        <v>2599</v>
      </c>
      <c r="C24257" s="11" t="s">
        <v>6588</v>
      </c>
    </row>
    <row r="24258" spans="1:4" ht="25.5" customHeight="1" x14ac:dyDescent="0.2">
      <c r="B24258" s="11" t="s">
        <v>2600</v>
      </c>
      <c r="C24258" s="11" t="s">
        <v>6589</v>
      </c>
    </row>
    <row r="24259" spans="1:4" ht="25.5" customHeight="1" x14ac:dyDescent="0.2">
      <c r="B24259" s="11" t="s">
        <v>2601</v>
      </c>
      <c r="C24259" s="11"/>
    </row>
    <row r="24260" spans="1:4" ht="12.75" customHeight="1" x14ac:dyDescent="0.2">
      <c r="B24260" s="11" t="s">
        <v>16</v>
      </c>
      <c r="C24260" s="11"/>
    </row>
    <row r="24261" spans="1:4" ht="12.75" customHeight="1" x14ac:dyDescent="0.2">
      <c r="B24261" s="11" t="s">
        <v>13</v>
      </c>
      <c r="C24261" s="11" t="s">
        <v>2602</v>
      </c>
    </row>
    <row r="24262" spans="1:4" ht="12.75" customHeight="1" x14ac:dyDescent="0.2">
      <c r="B24262" s="11" t="s">
        <v>2603</v>
      </c>
      <c r="C24262" s="11" t="s">
        <v>2604</v>
      </c>
    </row>
    <row r="24263" spans="1:4" ht="12.75" customHeight="1" x14ac:dyDescent="0.2">
      <c r="B24263" s="11" t="s">
        <v>2605</v>
      </c>
      <c r="C24263" s="11" t="s">
        <v>14</v>
      </c>
    </row>
    <row r="24264" spans="1:4" ht="25.5" customHeight="1" x14ac:dyDescent="0.2">
      <c r="B24264" s="11" t="s">
        <v>2606</v>
      </c>
      <c r="C24264" s="16" t="s">
        <v>44</v>
      </c>
      <c r="D24264" s="6" t="str">
        <f>HYPERLINK("javascript:void(0)","kommunikációképtele")</f>
        <v>kommunikációképtele</v>
      </c>
    </row>
    <row r="24265" spans="1:4" ht="12.75" customHeight="1" x14ac:dyDescent="0.2">
      <c r="B24265" s="2"/>
      <c r="C24265" s="15"/>
      <c r="D24265" s="2"/>
    </row>
    <row r="24266" spans="1:4" ht="12.75" customHeight="1" x14ac:dyDescent="0.2">
      <c r="B24266" s="2"/>
      <c r="C24266" s="15"/>
      <c r="D24266" s="2"/>
    </row>
    <row r="24267" spans="1:4" ht="12.75" customHeight="1" x14ac:dyDescent="0.2">
      <c r="A24267" s="13" t="s">
        <v>6590</v>
      </c>
      <c r="C24267" s="12"/>
    </row>
    <row r="24268" spans="1:4" ht="12.75" customHeight="1" x14ac:dyDescent="0.2">
      <c r="A24268" s="11"/>
      <c r="B24268" s="2"/>
      <c r="C24268" s="15"/>
      <c r="D24268" s="2"/>
    </row>
    <row r="24269" spans="1:4" ht="12.75" customHeight="1" x14ac:dyDescent="0.2">
      <c r="B24269" s="11" t="s">
        <v>0</v>
      </c>
      <c r="C24269" s="11" t="s">
        <v>1359</v>
      </c>
    </row>
    <row r="24270" spans="1:4" ht="12.75" customHeight="1" x14ac:dyDescent="0.2">
      <c r="B24270" s="11" t="s">
        <v>2599</v>
      </c>
      <c r="C24270" s="11" t="s">
        <v>3341</v>
      </c>
    </row>
    <row r="24271" spans="1:4" ht="25.5" customHeight="1" x14ac:dyDescent="0.2">
      <c r="B24271" s="11" t="s">
        <v>2600</v>
      </c>
      <c r="C24271" s="11" t="s">
        <v>6591</v>
      </c>
    </row>
    <row r="24272" spans="1:4" ht="25.5" customHeight="1" x14ac:dyDescent="0.2">
      <c r="B24272" s="11" t="s">
        <v>2601</v>
      </c>
      <c r="C24272" s="11"/>
    </row>
    <row r="24273" spans="1:4" ht="12.75" customHeight="1" x14ac:dyDescent="0.2">
      <c r="B24273" s="11" t="s">
        <v>16</v>
      </c>
      <c r="C24273" s="11"/>
    </row>
    <row r="24274" spans="1:4" ht="12.75" customHeight="1" x14ac:dyDescent="0.2">
      <c r="B24274" s="11" t="s">
        <v>13</v>
      </c>
      <c r="C24274" s="11" t="s">
        <v>2644</v>
      </c>
    </row>
    <row r="24275" spans="1:4" ht="12.75" customHeight="1" x14ac:dyDescent="0.2">
      <c r="B24275" s="11" t="s">
        <v>2603</v>
      </c>
      <c r="C24275" s="11" t="s">
        <v>2604</v>
      </c>
    </row>
    <row r="24276" spans="1:4" ht="12.75" customHeight="1" x14ac:dyDescent="0.2">
      <c r="B24276" s="11" t="s">
        <v>2605</v>
      </c>
      <c r="C24276" s="11" t="s">
        <v>24</v>
      </c>
    </row>
    <row r="24277" spans="1:4" ht="12.75" customHeight="1" x14ac:dyDescent="0.2">
      <c r="B24277" s="11" t="s">
        <v>2606</v>
      </c>
      <c r="C24277" s="16" t="s">
        <v>56</v>
      </c>
      <c r="D24277" s="6" t="str">
        <f>HYPERLINK("javascript:void(0)","tejbeaprítás")</f>
        <v>tejbeaprítás</v>
      </c>
    </row>
    <row r="24278" spans="1:4" ht="12.75" customHeight="1" x14ac:dyDescent="0.2">
      <c r="B24278" s="2"/>
      <c r="C24278" s="15"/>
      <c r="D24278" s="2"/>
    </row>
    <row r="24279" spans="1:4" ht="12.75" customHeight="1" x14ac:dyDescent="0.2">
      <c r="B24279" s="2"/>
      <c r="C24279" s="15"/>
      <c r="D24279" s="2"/>
    </row>
    <row r="24280" spans="1:4" ht="12.75" customHeight="1" x14ac:dyDescent="0.2">
      <c r="A24280" s="13" t="s">
        <v>6492</v>
      </c>
      <c r="C24280" s="12"/>
      <c r="D24280" s="2"/>
    </row>
    <row r="24281" spans="1:4" ht="12.75" customHeight="1" x14ac:dyDescent="0.2">
      <c r="A24281" s="11"/>
      <c r="B24281" s="2"/>
      <c r="C24281" s="15"/>
      <c r="D24281" s="2"/>
    </row>
    <row r="24282" spans="1:4" ht="12.75" customHeight="1" x14ac:dyDescent="0.2">
      <c r="B24282" s="11" t="s">
        <v>0</v>
      </c>
      <c r="C24282" s="17" t="s">
        <v>1359</v>
      </c>
      <c r="D24282" s="2"/>
    </row>
    <row r="24283" spans="1:4" ht="12.75" customHeight="1" x14ac:dyDescent="0.2">
      <c r="B24283" s="11" t="s">
        <v>2599</v>
      </c>
      <c r="C24283" s="17" t="s">
        <v>6493</v>
      </c>
      <c r="D24283" s="2"/>
    </row>
    <row r="24284" spans="1:4" ht="25.5" customHeight="1" x14ac:dyDescent="0.2">
      <c r="B24284" s="11" t="s">
        <v>2600</v>
      </c>
      <c r="C24284" s="17" t="s">
        <v>6592</v>
      </c>
      <c r="D24284" s="2"/>
    </row>
    <row r="24285" spans="1:4" ht="25.5" customHeight="1" x14ac:dyDescent="0.2">
      <c r="B24285" s="11" t="s">
        <v>2601</v>
      </c>
      <c r="C24285" s="17"/>
      <c r="D24285" s="2"/>
    </row>
    <row r="24286" spans="1:4" ht="12.75" customHeight="1" x14ac:dyDescent="0.2">
      <c r="B24286" s="11" t="s">
        <v>16</v>
      </c>
      <c r="C24286" s="17"/>
      <c r="D24286" s="2"/>
    </row>
    <row r="24287" spans="1:4" ht="12.75" customHeight="1" x14ac:dyDescent="0.2">
      <c r="B24287" s="11" t="s">
        <v>13</v>
      </c>
      <c r="C24287" s="17" t="s">
        <v>2602</v>
      </c>
      <c r="D24287" s="2"/>
    </row>
    <row r="24288" spans="1:4" ht="12.75" customHeight="1" x14ac:dyDescent="0.2">
      <c r="B24288" s="11" t="s">
        <v>2603</v>
      </c>
      <c r="C24288" s="17" t="s">
        <v>128</v>
      </c>
      <c r="D24288" s="2"/>
    </row>
    <row r="24289" spans="1:4" ht="12.75" customHeight="1" x14ac:dyDescent="0.2">
      <c r="B24289" s="11" t="s">
        <v>2605</v>
      </c>
      <c r="C24289" s="17" t="s">
        <v>14</v>
      </c>
      <c r="D24289" s="2"/>
    </row>
    <row r="24290" spans="1:4" ht="12.75" customHeight="1" x14ac:dyDescent="0.2">
      <c r="B24290" s="11" t="s">
        <v>2606</v>
      </c>
      <c r="C24290" s="16" t="s">
        <v>19</v>
      </c>
      <c r="D24290" s="2"/>
    </row>
    <row r="24291" spans="1:4" ht="12.75" customHeight="1" x14ac:dyDescent="0.2">
      <c r="B24291" s="2"/>
      <c r="C24291" s="15"/>
      <c r="D24291" s="2"/>
    </row>
    <row r="24292" spans="1:4" ht="12.75" customHeight="1" x14ac:dyDescent="0.2">
      <c r="B24292" s="2"/>
      <c r="C24292" s="15"/>
      <c r="D24292" s="2"/>
    </row>
    <row r="24293" spans="1:4" ht="12.75" customHeight="1" x14ac:dyDescent="0.2">
      <c r="A24293" s="13" t="s">
        <v>6495</v>
      </c>
      <c r="C24293" s="12"/>
      <c r="D24293" s="2"/>
    </row>
    <row r="24294" spans="1:4" ht="12.75" customHeight="1" x14ac:dyDescent="0.2">
      <c r="A24294" s="11"/>
      <c r="B24294" s="2"/>
      <c r="C24294" s="15"/>
      <c r="D24294" s="2"/>
    </row>
    <row r="24295" spans="1:4" ht="12.75" customHeight="1" x14ac:dyDescent="0.2">
      <c r="B24295" s="11" t="s">
        <v>0</v>
      </c>
      <c r="C24295" s="17" t="s">
        <v>1359</v>
      </c>
      <c r="D24295" s="2"/>
    </row>
    <row r="24296" spans="1:4" ht="12.75" customHeight="1" x14ac:dyDescent="0.2">
      <c r="B24296" s="11" t="s">
        <v>2599</v>
      </c>
      <c r="C24296" s="17" t="s">
        <v>4365</v>
      </c>
      <c r="D24296" s="2"/>
    </row>
    <row r="24297" spans="1:4" ht="25.5" customHeight="1" x14ac:dyDescent="0.2">
      <c r="B24297" s="11" t="s">
        <v>2600</v>
      </c>
      <c r="C24297" s="17" t="s">
        <v>6593</v>
      </c>
      <c r="D24297" s="2"/>
    </row>
    <row r="24298" spans="1:4" ht="25.5" customHeight="1" x14ac:dyDescent="0.2">
      <c r="B24298" s="11" t="s">
        <v>2601</v>
      </c>
      <c r="C24298" s="17"/>
      <c r="D24298" s="2"/>
    </row>
    <row r="24299" spans="1:4" ht="12.75" customHeight="1" x14ac:dyDescent="0.2">
      <c r="B24299" s="11" t="s">
        <v>16</v>
      </c>
      <c r="C24299" s="17"/>
      <c r="D24299" s="2"/>
    </row>
    <row r="24300" spans="1:4" ht="12.75" customHeight="1" x14ac:dyDescent="0.2">
      <c r="B24300" s="11" t="s">
        <v>13</v>
      </c>
      <c r="C24300" s="17" t="s">
        <v>2644</v>
      </c>
      <c r="D24300" s="2"/>
    </row>
    <row r="24301" spans="1:4" ht="12.75" customHeight="1" x14ac:dyDescent="0.2">
      <c r="B24301" s="11" t="s">
        <v>2603</v>
      </c>
      <c r="C24301" s="17" t="s">
        <v>128</v>
      </c>
      <c r="D24301" s="2"/>
    </row>
    <row r="24302" spans="1:4" ht="12.75" customHeight="1" x14ac:dyDescent="0.2">
      <c r="B24302" s="11" t="s">
        <v>2605</v>
      </c>
      <c r="C24302" s="17" t="s">
        <v>14</v>
      </c>
      <c r="D24302" s="2"/>
    </row>
    <row r="24303" spans="1:4" ht="12.75" customHeight="1" x14ac:dyDescent="0.2">
      <c r="B24303" s="11" t="s">
        <v>2606</v>
      </c>
      <c r="C24303" s="16" t="s">
        <v>19</v>
      </c>
      <c r="D24303" s="2"/>
    </row>
    <row r="24304" spans="1:4" ht="12.75" customHeight="1" x14ac:dyDescent="0.2">
      <c r="B24304" s="2"/>
      <c r="C24304" s="15"/>
      <c r="D24304" s="2"/>
    </row>
    <row r="24305" spans="1:4" ht="12.75" customHeight="1" x14ac:dyDescent="0.2">
      <c r="B24305" s="2"/>
      <c r="C24305" s="15"/>
      <c r="D24305" s="2"/>
    </row>
    <row r="24306" spans="1:4" ht="12.75" customHeight="1" x14ac:dyDescent="0.2">
      <c r="A24306" s="13" t="s">
        <v>6497</v>
      </c>
      <c r="C24306" s="12"/>
      <c r="D24306" s="2"/>
    </row>
    <row r="24307" spans="1:4" ht="12.75" customHeight="1" x14ac:dyDescent="0.2">
      <c r="A24307" s="11"/>
      <c r="B24307" s="2"/>
      <c r="C24307" s="15"/>
      <c r="D24307" s="2"/>
    </row>
    <row r="24308" spans="1:4" ht="12.75" customHeight="1" x14ac:dyDescent="0.2">
      <c r="B24308" s="11" t="s">
        <v>0</v>
      </c>
      <c r="C24308" s="17" t="s">
        <v>1359</v>
      </c>
      <c r="D24308" s="2"/>
    </row>
    <row r="24309" spans="1:4" ht="12.75" customHeight="1" x14ac:dyDescent="0.2">
      <c r="B24309" s="11" t="s">
        <v>2599</v>
      </c>
      <c r="C24309" s="17" t="s">
        <v>6498</v>
      </c>
      <c r="D24309" s="2"/>
    </row>
    <row r="24310" spans="1:4" ht="25.5" customHeight="1" x14ac:dyDescent="0.2">
      <c r="B24310" s="11" t="s">
        <v>2600</v>
      </c>
      <c r="C24310" s="17" t="s">
        <v>6594</v>
      </c>
      <c r="D24310" s="2"/>
    </row>
    <row r="24311" spans="1:4" ht="25.5" customHeight="1" x14ac:dyDescent="0.2">
      <c r="B24311" s="11" t="s">
        <v>2601</v>
      </c>
      <c r="C24311" s="17"/>
      <c r="D24311" s="2"/>
    </row>
    <row r="24312" spans="1:4" ht="12.75" customHeight="1" x14ac:dyDescent="0.2">
      <c r="B24312" s="11" t="s">
        <v>16</v>
      </c>
      <c r="C24312" s="17"/>
      <c r="D24312" s="2"/>
    </row>
    <row r="24313" spans="1:4" ht="12.75" customHeight="1" x14ac:dyDescent="0.2">
      <c r="B24313" s="11" t="s">
        <v>13</v>
      </c>
      <c r="C24313" s="17" t="s">
        <v>2602</v>
      </c>
      <c r="D24313" s="2"/>
    </row>
    <row r="24314" spans="1:4" ht="12.75" customHeight="1" x14ac:dyDescent="0.2">
      <c r="B24314" s="11" t="s">
        <v>2603</v>
      </c>
      <c r="C24314" s="17" t="s">
        <v>128</v>
      </c>
      <c r="D24314" s="2"/>
    </row>
    <row r="24315" spans="1:4" ht="12.75" customHeight="1" x14ac:dyDescent="0.2">
      <c r="B24315" s="11" t="s">
        <v>2605</v>
      </c>
      <c r="C24315" s="17" t="s">
        <v>14</v>
      </c>
      <c r="D24315" s="2"/>
    </row>
    <row r="24316" spans="1:4" ht="12.75" customHeight="1" x14ac:dyDescent="0.2">
      <c r="B24316" s="11" t="s">
        <v>2606</v>
      </c>
      <c r="C24316" s="16" t="s">
        <v>19</v>
      </c>
      <c r="D24316" s="2"/>
    </row>
    <row r="24317" spans="1:4" ht="12.75" customHeight="1" x14ac:dyDescent="0.2">
      <c r="B24317" s="2"/>
      <c r="C24317" s="15"/>
      <c r="D24317" s="2"/>
    </row>
    <row r="24318" spans="1:4" ht="12.75" customHeight="1" x14ac:dyDescent="0.2">
      <c r="B24318" s="2"/>
      <c r="C24318" s="15"/>
      <c r="D24318" s="2"/>
    </row>
    <row r="24319" spans="1:4" ht="12.75" customHeight="1" x14ac:dyDescent="0.2">
      <c r="A24319" s="13" t="s">
        <v>6500</v>
      </c>
      <c r="C24319" s="12"/>
      <c r="D24319" s="2"/>
    </row>
    <row r="24320" spans="1:4" ht="12.75" customHeight="1" x14ac:dyDescent="0.2">
      <c r="A24320" s="11"/>
      <c r="B24320" s="2"/>
      <c r="C24320" s="15"/>
      <c r="D24320" s="2"/>
    </row>
    <row r="24321" spans="1:4" ht="12.75" customHeight="1" x14ac:dyDescent="0.2">
      <c r="B24321" s="11" t="s">
        <v>0</v>
      </c>
      <c r="C24321" s="17" t="s">
        <v>1359</v>
      </c>
      <c r="D24321" s="2"/>
    </row>
    <row r="24322" spans="1:4" ht="12.75" customHeight="1" x14ac:dyDescent="0.2">
      <c r="B24322" s="11" t="s">
        <v>2599</v>
      </c>
      <c r="C24322" s="17" t="s">
        <v>1904</v>
      </c>
      <c r="D24322" s="2"/>
    </row>
    <row r="24323" spans="1:4" ht="25.5" customHeight="1" x14ac:dyDescent="0.2">
      <c r="B24323" s="11" t="s">
        <v>2600</v>
      </c>
      <c r="C24323" s="17" t="s">
        <v>6595</v>
      </c>
      <c r="D24323" s="2"/>
    </row>
    <row r="24324" spans="1:4" ht="25.5" customHeight="1" x14ac:dyDescent="0.2">
      <c r="B24324" s="11" t="s">
        <v>2601</v>
      </c>
      <c r="C24324" s="17"/>
      <c r="D24324" s="2"/>
    </row>
    <row r="24325" spans="1:4" ht="12.75" customHeight="1" x14ac:dyDescent="0.2">
      <c r="B24325" s="11" t="s">
        <v>16</v>
      </c>
      <c r="C24325" s="17"/>
      <c r="D24325" s="2"/>
    </row>
    <row r="24326" spans="1:4" ht="12.75" customHeight="1" x14ac:dyDescent="0.2">
      <c r="B24326" s="11" t="s">
        <v>13</v>
      </c>
      <c r="C24326" s="17" t="s">
        <v>2644</v>
      </c>
      <c r="D24326" s="2"/>
    </row>
    <row r="24327" spans="1:4" ht="12.75" customHeight="1" x14ac:dyDescent="0.2">
      <c r="B24327" s="11" t="s">
        <v>2603</v>
      </c>
      <c r="C24327" s="17" t="s">
        <v>128</v>
      </c>
      <c r="D24327" s="2"/>
    </row>
    <row r="24328" spans="1:4" ht="12.75" customHeight="1" x14ac:dyDescent="0.2">
      <c r="B24328" s="11" t="s">
        <v>2605</v>
      </c>
      <c r="C24328" s="17" t="s">
        <v>14</v>
      </c>
      <c r="D24328" s="2"/>
    </row>
    <row r="24329" spans="1:4" ht="12.75" customHeight="1" x14ac:dyDescent="0.2">
      <c r="B24329" s="11" t="s">
        <v>2606</v>
      </c>
      <c r="C24329" s="16" t="s">
        <v>19</v>
      </c>
      <c r="D24329" s="2"/>
    </row>
    <row r="24330" spans="1:4" ht="12.75" customHeight="1" x14ac:dyDescent="0.2">
      <c r="B24330" s="2"/>
      <c r="C24330" s="15"/>
      <c r="D24330" s="2"/>
    </row>
    <row r="24331" spans="1:4" ht="12.75" customHeight="1" x14ac:dyDescent="0.2">
      <c r="B24331" s="2"/>
      <c r="C24331" s="15"/>
      <c r="D24331" s="2"/>
    </row>
    <row r="24332" spans="1:4" ht="12.75" customHeight="1" x14ac:dyDescent="0.2">
      <c r="A24332" s="13" t="s">
        <v>2962</v>
      </c>
      <c r="C24332" s="12"/>
    </row>
    <row r="24333" spans="1:4" ht="12.75" customHeight="1" x14ac:dyDescent="0.2">
      <c r="A24333" s="11"/>
      <c r="B24333" s="2"/>
      <c r="C24333" s="15"/>
      <c r="D24333" s="2"/>
    </row>
    <row r="24334" spans="1:4" ht="12.75" customHeight="1" x14ac:dyDescent="0.2">
      <c r="B24334" s="11" t="s">
        <v>0</v>
      </c>
      <c r="C24334" s="11" t="s">
        <v>1359</v>
      </c>
    </row>
    <row r="24335" spans="1:4" ht="12.75" customHeight="1" x14ac:dyDescent="0.2">
      <c r="B24335" s="11" t="s">
        <v>2599</v>
      </c>
      <c r="C24335" s="11" t="s">
        <v>6596</v>
      </c>
    </row>
    <row r="24336" spans="1:4" ht="25.5" customHeight="1" x14ac:dyDescent="0.2">
      <c r="B24336" s="11" t="s">
        <v>2600</v>
      </c>
      <c r="C24336" s="11" t="s">
        <v>6597</v>
      </c>
    </row>
    <row r="24337" spans="1:4" ht="25.5" customHeight="1" x14ac:dyDescent="0.2">
      <c r="B24337" s="11" t="s">
        <v>2601</v>
      </c>
      <c r="C24337" s="11"/>
    </row>
    <row r="24338" spans="1:4" ht="12.75" customHeight="1" x14ac:dyDescent="0.2">
      <c r="B24338" s="11" t="s">
        <v>16</v>
      </c>
      <c r="C24338" s="11"/>
    </row>
    <row r="24339" spans="1:4" ht="12.75" customHeight="1" x14ac:dyDescent="0.2">
      <c r="B24339" s="11" t="s">
        <v>13</v>
      </c>
      <c r="C24339" s="11" t="s">
        <v>2644</v>
      </c>
    </row>
    <row r="24340" spans="1:4" ht="12.75" customHeight="1" x14ac:dyDescent="0.2">
      <c r="B24340" s="11" t="s">
        <v>2603</v>
      </c>
      <c r="C24340" s="11" t="s">
        <v>2965</v>
      </c>
    </row>
    <row r="24341" spans="1:4" ht="12.75" customHeight="1" x14ac:dyDescent="0.2">
      <c r="B24341" s="11" t="s">
        <v>2605</v>
      </c>
      <c r="C24341" s="11" t="s">
        <v>14</v>
      </c>
    </row>
    <row r="24342" spans="1:4" ht="12.75" customHeight="1" x14ac:dyDescent="0.2">
      <c r="B24342" s="11" t="s">
        <v>2606</v>
      </c>
      <c r="C24342" s="16" t="s">
        <v>44</v>
      </c>
      <c r="D24342" s="6" t="str">
        <f>HYPERLINK("javascript:void(0)","hínárgyöngy")</f>
        <v>hínárgyöngy</v>
      </c>
    </row>
    <row r="24343" spans="1:4" ht="25.5" customHeight="1" x14ac:dyDescent="0.2">
      <c r="C24343" s="16" t="s">
        <v>57</v>
      </c>
      <c r="D24343" s="6" t="str">
        <f>HYPERLINK("javascript:void(0)","harmatcsepp")</f>
        <v>harmatcsepp</v>
      </c>
    </row>
    <row r="24344" spans="1:4" ht="12.75" customHeight="1" x14ac:dyDescent="0.2">
      <c r="B24344" s="2"/>
      <c r="C24344" s="15"/>
      <c r="D24344" s="2"/>
    </row>
    <row r="24345" spans="1:4" ht="12.75" customHeight="1" x14ac:dyDescent="0.2">
      <c r="B24345" s="2"/>
      <c r="C24345" s="15"/>
      <c r="D24345" s="2"/>
    </row>
    <row r="24346" spans="1:4" ht="12.75" customHeight="1" x14ac:dyDescent="0.2">
      <c r="A24346" s="13" t="s">
        <v>6598</v>
      </c>
      <c r="C24346" s="12"/>
    </row>
    <row r="24347" spans="1:4" ht="12.75" customHeight="1" x14ac:dyDescent="0.2">
      <c r="A24347" s="11"/>
      <c r="B24347" s="2"/>
      <c r="C24347" s="15"/>
      <c r="D24347" s="2"/>
    </row>
    <row r="24348" spans="1:4" ht="12.75" customHeight="1" x14ac:dyDescent="0.2">
      <c r="B24348" s="11" t="s">
        <v>0</v>
      </c>
      <c r="C24348" s="11" t="s">
        <v>1362</v>
      </c>
    </row>
    <row r="24349" spans="1:4" ht="12.75" customHeight="1" x14ac:dyDescent="0.2">
      <c r="B24349" s="11" t="s">
        <v>2599</v>
      </c>
      <c r="C24349" s="11" t="s">
        <v>6599</v>
      </c>
    </row>
    <row r="24350" spans="1:4" ht="25.5" customHeight="1" x14ac:dyDescent="0.2">
      <c r="B24350" s="11" t="s">
        <v>2600</v>
      </c>
      <c r="C24350" s="11" t="s">
        <v>6600</v>
      </c>
    </row>
    <row r="24351" spans="1:4" ht="25.5" customHeight="1" x14ac:dyDescent="0.2">
      <c r="B24351" s="11" t="s">
        <v>2601</v>
      </c>
      <c r="C24351" s="11"/>
    </row>
    <row r="24352" spans="1:4" ht="12.75" customHeight="1" x14ac:dyDescent="0.2">
      <c r="B24352" s="11" t="s">
        <v>16</v>
      </c>
      <c r="C24352" s="11"/>
    </row>
    <row r="24353" spans="1:4" ht="12.75" customHeight="1" x14ac:dyDescent="0.2">
      <c r="B24353" s="11" t="s">
        <v>13</v>
      </c>
      <c r="C24353" s="11" t="s">
        <v>2602</v>
      </c>
    </row>
    <row r="24354" spans="1:4" ht="12.75" customHeight="1" x14ac:dyDescent="0.2">
      <c r="B24354" s="11" t="s">
        <v>2603</v>
      </c>
      <c r="C24354" s="11" t="s">
        <v>2604</v>
      </c>
    </row>
    <row r="24355" spans="1:4" ht="12.75" customHeight="1" x14ac:dyDescent="0.2">
      <c r="B24355" s="11" t="s">
        <v>2605</v>
      </c>
      <c r="C24355" s="11" t="s">
        <v>14</v>
      </c>
    </row>
    <row r="24356" spans="1:4" ht="12.75" customHeight="1" x14ac:dyDescent="0.2">
      <c r="B24356" s="11" t="s">
        <v>2606</v>
      </c>
      <c r="C24356" s="16" t="s">
        <v>44</v>
      </c>
      <c r="D24356" s="6" t="str">
        <f>HYPERLINK("javascript:void(0)","bajuszkötő")</f>
        <v>bajuszkötő</v>
      </c>
    </row>
    <row r="24357" spans="1:4" ht="12.75" customHeight="1" x14ac:dyDescent="0.2">
      <c r="B24357" s="2"/>
      <c r="C24357" s="15"/>
      <c r="D24357" s="2"/>
    </row>
    <row r="24358" spans="1:4" ht="12.75" customHeight="1" x14ac:dyDescent="0.2">
      <c r="B24358" s="2"/>
      <c r="C24358" s="15"/>
      <c r="D24358" s="2"/>
    </row>
    <row r="24359" spans="1:4" ht="12.75" customHeight="1" x14ac:dyDescent="0.2">
      <c r="A24359" s="13" t="s">
        <v>6601</v>
      </c>
      <c r="C24359" s="12"/>
    </row>
    <row r="24360" spans="1:4" ht="12.75" customHeight="1" x14ac:dyDescent="0.2">
      <c r="A24360" s="11"/>
      <c r="B24360" s="2"/>
      <c r="C24360" s="15"/>
      <c r="D24360" s="2"/>
    </row>
    <row r="24361" spans="1:4" ht="12.75" customHeight="1" x14ac:dyDescent="0.2">
      <c r="B24361" s="11" t="s">
        <v>0</v>
      </c>
      <c r="C24361" s="11" t="s">
        <v>1362</v>
      </c>
    </row>
    <row r="24362" spans="1:4" ht="12.75" customHeight="1" x14ac:dyDescent="0.2">
      <c r="B24362" s="11" t="s">
        <v>2599</v>
      </c>
      <c r="C24362" s="11" t="s">
        <v>6602</v>
      </c>
    </row>
    <row r="24363" spans="1:4" ht="25.5" customHeight="1" x14ac:dyDescent="0.2">
      <c r="B24363" s="11" t="s">
        <v>2600</v>
      </c>
      <c r="C24363" s="11" t="s">
        <v>6603</v>
      </c>
    </row>
    <row r="24364" spans="1:4" ht="25.5" customHeight="1" x14ac:dyDescent="0.2">
      <c r="B24364" s="11" t="s">
        <v>2601</v>
      </c>
      <c r="C24364" s="11"/>
    </row>
    <row r="24365" spans="1:4" ht="12.75" customHeight="1" x14ac:dyDescent="0.2">
      <c r="B24365" s="11" t="s">
        <v>16</v>
      </c>
      <c r="C24365" s="11"/>
    </row>
    <row r="24366" spans="1:4" ht="12.75" customHeight="1" x14ac:dyDescent="0.2">
      <c r="B24366" s="11" t="s">
        <v>13</v>
      </c>
      <c r="C24366" s="11" t="s">
        <v>2644</v>
      </c>
    </row>
    <row r="24367" spans="1:4" ht="12.75" customHeight="1" x14ac:dyDescent="0.2">
      <c r="B24367" s="11" t="s">
        <v>2603</v>
      </c>
      <c r="C24367" s="11" t="s">
        <v>2604</v>
      </c>
    </row>
    <row r="24368" spans="1:4" ht="12.75" customHeight="1" x14ac:dyDescent="0.2">
      <c r="B24368" s="11" t="s">
        <v>2605</v>
      </c>
      <c r="C24368" s="11" t="s">
        <v>14</v>
      </c>
    </row>
    <row r="24369" spans="1:4" ht="12.75" customHeight="1" x14ac:dyDescent="0.2">
      <c r="B24369" s="11" t="s">
        <v>2606</v>
      </c>
      <c r="C24369" s="16" t="s">
        <v>44</v>
      </c>
      <c r="D24369" s="6" t="str">
        <f>HYPERLINK("javascript:void(0)","dobogás")</f>
        <v>dobogás</v>
      </c>
    </row>
    <row r="24370" spans="1:4" ht="12.75" customHeight="1" x14ac:dyDescent="0.2">
      <c r="B24370" s="2"/>
      <c r="C24370" s="15"/>
      <c r="D24370" s="2"/>
    </row>
    <row r="24371" spans="1:4" ht="12.75" customHeight="1" x14ac:dyDescent="0.2">
      <c r="B24371" s="2"/>
      <c r="C24371" s="15"/>
      <c r="D24371" s="2"/>
    </row>
    <row r="24372" spans="1:4" ht="12.75" customHeight="1" x14ac:dyDescent="0.2">
      <c r="A24372" s="13" t="s">
        <v>6604</v>
      </c>
      <c r="C24372" s="12"/>
      <c r="D24372" s="2"/>
    </row>
    <row r="24373" spans="1:4" ht="12.75" customHeight="1" x14ac:dyDescent="0.2">
      <c r="A24373" s="11"/>
      <c r="B24373" s="2"/>
      <c r="C24373" s="15"/>
      <c r="D24373" s="2"/>
    </row>
    <row r="24374" spans="1:4" ht="12.75" customHeight="1" x14ac:dyDescent="0.2">
      <c r="B24374" s="11" t="s">
        <v>0</v>
      </c>
      <c r="C24374" s="17" t="s">
        <v>1362</v>
      </c>
      <c r="D24374" s="2"/>
    </row>
    <row r="24375" spans="1:4" ht="12.75" customHeight="1" x14ac:dyDescent="0.2">
      <c r="B24375" s="11" t="s">
        <v>2599</v>
      </c>
      <c r="C24375" s="17" t="s">
        <v>6605</v>
      </c>
      <c r="D24375" s="2"/>
    </row>
    <row r="24376" spans="1:4" ht="25.5" customHeight="1" x14ac:dyDescent="0.2">
      <c r="B24376" s="11" t="s">
        <v>2600</v>
      </c>
      <c r="C24376" s="17" t="s">
        <v>6606</v>
      </c>
      <c r="D24376" s="2"/>
    </row>
    <row r="24377" spans="1:4" ht="25.5" customHeight="1" x14ac:dyDescent="0.2">
      <c r="B24377" s="11" t="s">
        <v>2601</v>
      </c>
      <c r="C24377" s="17"/>
      <c r="D24377" s="2"/>
    </row>
    <row r="24378" spans="1:4" ht="12.75" customHeight="1" x14ac:dyDescent="0.2">
      <c r="B24378" s="11" t="s">
        <v>16</v>
      </c>
      <c r="C24378" s="17"/>
      <c r="D24378" s="2"/>
    </row>
    <row r="24379" spans="1:4" ht="12.75" customHeight="1" x14ac:dyDescent="0.2">
      <c r="B24379" s="11" t="s">
        <v>13</v>
      </c>
      <c r="C24379" s="17" t="s">
        <v>2602</v>
      </c>
      <c r="D24379" s="2"/>
    </row>
    <row r="24380" spans="1:4" ht="12.75" customHeight="1" x14ac:dyDescent="0.2">
      <c r="B24380" s="11" t="s">
        <v>2603</v>
      </c>
      <c r="C24380" s="17" t="s">
        <v>2604</v>
      </c>
      <c r="D24380" s="2"/>
    </row>
    <row r="24381" spans="1:4" ht="12.75" customHeight="1" x14ac:dyDescent="0.2">
      <c r="B24381" s="11" t="s">
        <v>2605</v>
      </c>
      <c r="C24381" s="17" t="s">
        <v>24</v>
      </c>
      <c r="D24381" s="2"/>
    </row>
    <row r="24382" spans="1:4" ht="12.75" customHeight="1" x14ac:dyDescent="0.2">
      <c r="B24382" s="11" t="s">
        <v>2606</v>
      </c>
      <c r="C24382" s="16" t="s">
        <v>19</v>
      </c>
      <c r="D24382" s="2"/>
    </row>
    <row r="24383" spans="1:4" ht="12.75" customHeight="1" x14ac:dyDescent="0.2">
      <c r="B24383" s="2"/>
      <c r="C24383" s="15"/>
      <c r="D24383" s="2"/>
    </row>
    <row r="24384" spans="1:4" ht="12.75" customHeight="1" x14ac:dyDescent="0.2">
      <c r="B24384" s="2"/>
      <c r="C24384" s="15"/>
      <c r="D24384" s="2"/>
    </row>
    <row r="24385" spans="1:4" ht="12.75" customHeight="1" x14ac:dyDescent="0.2">
      <c r="A24385" s="13" t="s">
        <v>6607</v>
      </c>
      <c r="C24385" s="12"/>
    </row>
    <row r="24386" spans="1:4" ht="12.75" customHeight="1" x14ac:dyDescent="0.2">
      <c r="A24386" s="11"/>
      <c r="B24386" s="2"/>
      <c r="C24386" s="15"/>
      <c r="D24386" s="2"/>
    </row>
    <row r="24387" spans="1:4" ht="12.75" customHeight="1" x14ac:dyDescent="0.2">
      <c r="B24387" s="11" t="s">
        <v>0</v>
      </c>
      <c r="C24387" s="11" t="s">
        <v>1362</v>
      </c>
    </row>
    <row r="24388" spans="1:4" ht="12.75" customHeight="1" x14ac:dyDescent="0.2">
      <c r="B24388" s="11" t="s">
        <v>2599</v>
      </c>
      <c r="C24388" s="11" t="s">
        <v>6608</v>
      </c>
    </row>
    <row r="24389" spans="1:4" ht="25.5" customHeight="1" x14ac:dyDescent="0.2">
      <c r="B24389" s="11" t="s">
        <v>2600</v>
      </c>
      <c r="C24389" s="11" t="s">
        <v>6609</v>
      </c>
    </row>
    <row r="24390" spans="1:4" ht="25.5" customHeight="1" x14ac:dyDescent="0.2">
      <c r="B24390" s="11" t="s">
        <v>2601</v>
      </c>
      <c r="C24390" s="11"/>
    </row>
    <row r="24391" spans="1:4" ht="12.75" customHeight="1" x14ac:dyDescent="0.2">
      <c r="B24391" s="11" t="s">
        <v>16</v>
      </c>
      <c r="C24391" s="11"/>
    </row>
    <row r="24392" spans="1:4" ht="12.75" customHeight="1" x14ac:dyDescent="0.2">
      <c r="B24392" s="11" t="s">
        <v>13</v>
      </c>
      <c r="C24392" s="11" t="s">
        <v>2644</v>
      </c>
    </row>
    <row r="24393" spans="1:4" ht="12.75" customHeight="1" x14ac:dyDescent="0.2">
      <c r="B24393" s="11" t="s">
        <v>2603</v>
      </c>
      <c r="C24393" s="11" t="s">
        <v>2604</v>
      </c>
    </row>
    <row r="24394" spans="1:4" ht="12.75" customHeight="1" x14ac:dyDescent="0.2">
      <c r="B24394" s="11" t="s">
        <v>2605</v>
      </c>
      <c r="C24394" s="11" t="s">
        <v>14</v>
      </c>
    </row>
    <row r="24395" spans="1:4" ht="12.75" customHeight="1" x14ac:dyDescent="0.2">
      <c r="B24395" s="11" t="s">
        <v>2606</v>
      </c>
      <c r="C24395" s="16" t="s">
        <v>309</v>
      </c>
      <c r="D24395" s="6" t="str">
        <f>HYPERLINK("javascript:void(0)","kaja")</f>
        <v>kaja</v>
      </c>
    </row>
    <row r="24396" spans="1:4" ht="12.75" customHeight="1" x14ac:dyDescent="0.2">
      <c r="C24396" s="16" t="s">
        <v>44</v>
      </c>
      <c r="D24396" s="6" t="str">
        <f>HYPERLINK("javascript:void(0)","dínófog")</f>
        <v>dínófog</v>
      </c>
    </row>
    <row r="24397" spans="1:4" ht="12.75" customHeight="1" x14ac:dyDescent="0.2">
      <c r="B24397" s="2"/>
      <c r="C24397" s="15"/>
      <c r="D24397" s="2"/>
    </row>
    <row r="24398" spans="1:4" ht="12.75" customHeight="1" x14ac:dyDescent="0.2">
      <c r="B24398" s="2"/>
      <c r="C24398" s="15"/>
      <c r="D24398" s="2"/>
    </row>
    <row r="24399" spans="1:4" ht="12.75" customHeight="1" x14ac:dyDescent="0.2">
      <c r="A24399" s="13" t="s">
        <v>6610</v>
      </c>
      <c r="C24399" s="12"/>
    </row>
    <row r="24400" spans="1:4" ht="12.75" customHeight="1" x14ac:dyDescent="0.2">
      <c r="A24400" s="11"/>
      <c r="B24400" s="2"/>
      <c r="C24400" s="15"/>
      <c r="D24400" s="2"/>
    </row>
    <row r="24401" spans="1:4" ht="12.75" customHeight="1" x14ac:dyDescent="0.2">
      <c r="B24401" s="11" t="s">
        <v>0</v>
      </c>
      <c r="C24401" s="11" t="s">
        <v>1362</v>
      </c>
    </row>
    <row r="24402" spans="1:4" ht="12.75" customHeight="1" x14ac:dyDescent="0.2">
      <c r="B24402" s="11" t="s">
        <v>2599</v>
      </c>
      <c r="C24402" s="11" t="s">
        <v>6611</v>
      </c>
    </row>
    <row r="24403" spans="1:4" ht="25.5" customHeight="1" x14ac:dyDescent="0.2">
      <c r="B24403" s="11" t="s">
        <v>2600</v>
      </c>
      <c r="C24403" s="11" t="s">
        <v>6612</v>
      </c>
    </row>
    <row r="24404" spans="1:4" ht="25.5" customHeight="1" x14ac:dyDescent="0.2">
      <c r="B24404" s="11" t="s">
        <v>2601</v>
      </c>
      <c r="C24404" s="11"/>
    </row>
    <row r="24405" spans="1:4" ht="12.75" customHeight="1" x14ac:dyDescent="0.2">
      <c r="B24405" s="11" t="s">
        <v>16</v>
      </c>
      <c r="C24405" s="11"/>
    </row>
    <row r="24406" spans="1:4" ht="12.75" customHeight="1" x14ac:dyDescent="0.2">
      <c r="B24406" s="11" t="s">
        <v>13</v>
      </c>
      <c r="C24406" s="11" t="s">
        <v>2602</v>
      </c>
    </row>
    <row r="24407" spans="1:4" ht="12.75" customHeight="1" x14ac:dyDescent="0.2">
      <c r="B24407" s="11" t="s">
        <v>2603</v>
      </c>
      <c r="C24407" s="11" t="s">
        <v>2604</v>
      </c>
    </row>
    <row r="24408" spans="1:4" ht="12.75" customHeight="1" x14ac:dyDescent="0.2">
      <c r="B24408" s="11" t="s">
        <v>2605</v>
      </c>
      <c r="C24408" s="11" t="s">
        <v>24</v>
      </c>
    </row>
    <row r="24409" spans="1:4" ht="12.75" customHeight="1" x14ac:dyDescent="0.2">
      <c r="B24409" s="11" t="s">
        <v>2606</v>
      </c>
      <c r="C24409" s="16" t="s">
        <v>55</v>
      </c>
      <c r="D24409" s="6" t="str">
        <f>HYPERLINK("javascript:void(0)","árnyékláb")</f>
        <v>árnyékláb</v>
      </c>
    </row>
    <row r="24410" spans="1:4" ht="12.75" customHeight="1" x14ac:dyDescent="0.2">
      <c r="B24410" s="2"/>
      <c r="C24410" s="15"/>
      <c r="D24410" s="2"/>
    </row>
    <row r="24411" spans="1:4" ht="12.75" customHeight="1" x14ac:dyDescent="0.2">
      <c r="B24411" s="2"/>
      <c r="C24411" s="15"/>
      <c r="D24411" s="2"/>
    </row>
    <row r="24412" spans="1:4" ht="12.75" customHeight="1" x14ac:dyDescent="0.2">
      <c r="A24412" s="13" t="s">
        <v>6613</v>
      </c>
      <c r="C24412" s="12"/>
    </row>
    <row r="24413" spans="1:4" ht="12.75" customHeight="1" x14ac:dyDescent="0.2">
      <c r="A24413" s="11"/>
      <c r="B24413" s="2"/>
      <c r="C24413" s="15"/>
      <c r="D24413" s="2"/>
    </row>
    <row r="24414" spans="1:4" ht="12.75" customHeight="1" x14ac:dyDescent="0.2">
      <c r="B24414" s="11" t="s">
        <v>0</v>
      </c>
      <c r="C24414" s="11" t="s">
        <v>1362</v>
      </c>
    </row>
    <row r="24415" spans="1:4" ht="12.75" customHeight="1" x14ac:dyDescent="0.2">
      <c r="B24415" s="11" t="s">
        <v>2599</v>
      </c>
      <c r="C24415" s="11" t="s">
        <v>4154</v>
      </c>
    </row>
    <row r="24416" spans="1:4" ht="25.5" customHeight="1" x14ac:dyDescent="0.2">
      <c r="B24416" s="11" t="s">
        <v>2600</v>
      </c>
      <c r="C24416" s="11" t="s">
        <v>6614</v>
      </c>
    </row>
    <row r="24417" spans="1:4" ht="25.5" customHeight="1" x14ac:dyDescent="0.2">
      <c r="B24417" s="11" t="s">
        <v>2601</v>
      </c>
      <c r="C24417" s="11"/>
    </row>
    <row r="24418" spans="1:4" ht="12.75" customHeight="1" x14ac:dyDescent="0.2">
      <c r="B24418" s="11" t="s">
        <v>16</v>
      </c>
      <c r="C24418" s="11"/>
    </row>
    <row r="24419" spans="1:4" ht="12.75" customHeight="1" x14ac:dyDescent="0.2">
      <c r="B24419" s="11" t="s">
        <v>13</v>
      </c>
      <c r="C24419" s="11" t="s">
        <v>2644</v>
      </c>
    </row>
    <row r="24420" spans="1:4" ht="12.75" customHeight="1" x14ac:dyDescent="0.2">
      <c r="B24420" s="11" t="s">
        <v>2603</v>
      </c>
      <c r="C24420" s="11" t="s">
        <v>2604</v>
      </c>
    </row>
    <row r="24421" spans="1:4" ht="12.75" customHeight="1" x14ac:dyDescent="0.2">
      <c r="B24421" s="11" t="s">
        <v>2605</v>
      </c>
      <c r="C24421" s="11" t="s">
        <v>14</v>
      </c>
    </row>
    <row r="24422" spans="1:4" ht="25.5" customHeight="1" x14ac:dyDescent="0.2">
      <c r="B24422" s="11" t="s">
        <v>2606</v>
      </c>
      <c r="C24422" s="16" t="s">
        <v>44</v>
      </c>
      <c r="D24422" s="6" t="str">
        <f>HYPERLINK("javascript:void(0)","kommunikációképtele")</f>
        <v>kommunikációképtele</v>
      </c>
    </row>
    <row r="24423" spans="1:4" ht="12.75" customHeight="1" x14ac:dyDescent="0.2">
      <c r="B24423" s="2"/>
      <c r="C24423" s="15"/>
      <c r="D24423" s="2"/>
    </row>
    <row r="24424" spans="1:4" ht="12.75" customHeight="1" x14ac:dyDescent="0.2">
      <c r="B24424" s="2"/>
      <c r="C24424" s="15"/>
      <c r="D24424" s="2"/>
    </row>
    <row r="24425" spans="1:4" ht="12.75" customHeight="1" x14ac:dyDescent="0.2">
      <c r="A24425" s="13" t="s">
        <v>6615</v>
      </c>
      <c r="C24425" s="12"/>
    </row>
    <row r="24426" spans="1:4" ht="12.75" customHeight="1" x14ac:dyDescent="0.2">
      <c r="A24426" s="11"/>
      <c r="B24426" s="2"/>
      <c r="C24426" s="15"/>
      <c r="D24426" s="2"/>
    </row>
    <row r="24427" spans="1:4" ht="12.75" customHeight="1" x14ac:dyDescent="0.2">
      <c r="B24427" s="11" t="s">
        <v>0</v>
      </c>
      <c r="C24427" s="11" t="s">
        <v>1362</v>
      </c>
    </row>
    <row r="24428" spans="1:4" ht="12.75" customHeight="1" x14ac:dyDescent="0.2">
      <c r="B24428" s="11" t="s">
        <v>2599</v>
      </c>
      <c r="C24428" s="11" t="s">
        <v>6616</v>
      </c>
    </row>
    <row r="24429" spans="1:4" ht="25.5" customHeight="1" x14ac:dyDescent="0.2">
      <c r="B24429" s="11" t="s">
        <v>2600</v>
      </c>
      <c r="C24429" s="11" t="s">
        <v>6617</v>
      </c>
    </row>
    <row r="24430" spans="1:4" ht="25.5" customHeight="1" x14ac:dyDescent="0.2">
      <c r="B24430" s="11" t="s">
        <v>2601</v>
      </c>
      <c r="C24430" s="11"/>
    </row>
    <row r="24431" spans="1:4" ht="12.75" customHeight="1" x14ac:dyDescent="0.2">
      <c r="B24431" s="11" t="s">
        <v>16</v>
      </c>
      <c r="C24431" s="11"/>
    </row>
    <row r="24432" spans="1:4" ht="12.75" customHeight="1" x14ac:dyDescent="0.2">
      <c r="B24432" s="11" t="s">
        <v>13</v>
      </c>
      <c r="C24432" s="11" t="s">
        <v>2602</v>
      </c>
    </row>
    <row r="24433" spans="1:4" ht="12.75" customHeight="1" x14ac:dyDescent="0.2">
      <c r="B24433" s="11" t="s">
        <v>2603</v>
      </c>
      <c r="C24433" s="11" t="s">
        <v>2604</v>
      </c>
    </row>
    <row r="24434" spans="1:4" ht="12.75" customHeight="1" x14ac:dyDescent="0.2">
      <c r="B24434" s="11" t="s">
        <v>2605</v>
      </c>
      <c r="C24434" s="11" t="s">
        <v>24</v>
      </c>
    </row>
    <row r="24435" spans="1:4" ht="12.75" customHeight="1" x14ac:dyDescent="0.2">
      <c r="B24435" s="11" t="s">
        <v>2606</v>
      </c>
      <c r="C24435" s="16" t="s">
        <v>44</v>
      </c>
      <c r="D24435" s="6" t="str">
        <f>HYPERLINK("javascript:void(0)","kifordultság")</f>
        <v>kifordultság</v>
      </c>
    </row>
    <row r="24436" spans="1:4" ht="12.75" customHeight="1" x14ac:dyDescent="0.2">
      <c r="B24436" s="2"/>
      <c r="C24436" s="15"/>
      <c r="D24436" s="2"/>
    </row>
    <row r="24437" spans="1:4" ht="12.75" customHeight="1" x14ac:dyDescent="0.2">
      <c r="B24437" s="2"/>
      <c r="C24437" s="15"/>
      <c r="D24437" s="2"/>
    </row>
    <row r="24438" spans="1:4" ht="12.75" customHeight="1" x14ac:dyDescent="0.2">
      <c r="A24438" s="13" t="s">
        <v>6618</v>
      </c>
      <c r="C24438" s="12"/>
    </row>
    <row r="24439" spans="1:4" ht="12.75" customHeight="1" x14ac:dyDescent="0.2">
      <c r="A24439" s="11"/>
      <c r="B24439" s="2"/>
      <c r="C24439" s="15"/>
      <c r="D24439" s="2"/>
    </row>
    <row r="24440" spans="1:4" ht="12.75" customHeight="1" x14ac:dyDescent="0.2">
      <c r="B24440" s="11" t="s">
        <v>0</v>
      </c>
      <c r="C24440" s="11" t="s">
        <v>1362</v>
      </c>
    </row>
    <row r="24441" spans="1:4" ht="12.75" customHeight="1" x14ac:dyDescent="0.2">
      <c r="B24441" s="11" t="s">
        <v>2599</v>
      </c>
      <c r="C24441" s="11" t="s">
        <v>657</v>
      </c>
    </row>
    <row r="24442" spans="1:4" ht="25.5" customHeight="1" x14ac:dyDescent="0.2">
      <c r="B24442" s="11" t="s">
        <v>2600</v>
      </c>
      <c r="C24442" s="11" t="s">
        <v>6619</v>
      </c>
    </row>
    <row r="24443" spans="1:4" ht="25.5" customHeight="1" x14ac:dyDescent="0.2">
      <c r="B24443" s="11" t="s">
        <v>2601</v>
      </c>
      <c r="C24443" s="11"/>
    </row>
    <row r="24444" spans="1:4" ht="12.75" customHeight="1" x14ac:dyDescent="0.2">
      <c r="B24444" s="11" t="s">
        <v>16</v>
      </c>
      <c r="C24444" s="11"/>
    </row>
    <row r="24445" spans="1:4" ht="12.75" customHeight="1" x14ac:dyDescent="0.2">
      <c r="B24445" s="11" t="s">
        <v>13</v>
      </c>
      <c r="C24445" s="11" t="s">
        <v>2644</v>
      </c>
    </row>
    <row r="24446" spans="1:4" ht="12.75" customHeight="1" x14ac:dyDescent="0.2">
      <c r="B24446" s="11" t="s">
        <v>2603</v>
      </c>
      <c r="C24446" s="11" t="s">
        <v>2604</v>
      </c>
    </row>
    <row r="24447" spans="1:4" ht="12.75" customHeight="1" x14ac:dyDescent="0.2">
      <c r="B24447" s="11" t="s">
        <v>2605</v>
      </c>
      <c r="C24447" s="11" t="s">
        <v>24</v>
      </c>
    </row>
    <row r="24448" spans="1:4" ht="12.75" customHeight="1" x14ac:dyDescent="0.2">
      <c r="B24448" s="11" t="s">
        <v>2606</v>
      </c>
      <c r="C24448" s="16" t="s">
        <v>44</v>
      </c>
      <c r="D24448" s="6" t="str">
        <f>HYPERLINK("javascript:void(0)","savige")</f>
        <v>savige</v>
      </c>
    </row>
    <row r="24449" spans="1:4" ht="12.75" customHeight="1" x14ac:dyDescent="0.2">
      <c r="B24449" s="2"/>
      <c r="C24449" s="15"/>
      <c r="D24449" s="2"/>
    </row>
    <row r="24450" spans="1:4" ht="12.75" customHeight="1" x14ac:dyDescent="0.2">
      <c r="B24450" s="2"/>
      <c r="C24450" s="15"/>
      <c r="D24450" s="2"/>
    </row>
    <row r="24451" spans="1:4" ht="12.75" customHeight="1" x14ac:dyDescent="0.2">
      <c r="A24451" s="13" t="s">
        <v>6492</v>
      </c>
      <c r="C24451" s="12"/>
      <c r="D24451" s="2"/>
    </row>
    <row r="24452" spans="1:4" ht="12.75" customHeight="1" x14ac:dyDescent="0.2">
      <c r="A24452" s="11"/>
      <c r="B24452" s="2"/>
      <c r="C24452" s="15"/>
      <c r="D24452" s="2"/>
    </row>
    <row r="24453" spans="1:4" ht="12.75" customHeight="1" x14ac:dyDescent="0.2">
      <c r="B24453" s="11" t="s">
        <v>0</v>
      </c>
      <c r="C24453" s="17" t="s">
        <v>1362</v>
      </c>
      <c r="D24453" s="2"/>
    </row>
    <row r="24454" spans="1:4" ht="12.75" customHeight="1" x14ac:dyDescent="0.2">
      <c r="B24454" s="11" t="s">
        <v>2599</v>
      </c>
      <c r="C24454" s="17" t="s">
        <v>6493</v>
      </c>
      <c r="D24454" s="2"/>
    </row>
    <row r="24455" spans="1:4" ht="25.5" customHeight="1" x14ac:dyDescent="0.2">
      <c r="B24455" s="11" t="s">
        <v>2600</v>
      </c>
      <c r="C24455" s="17" t="s">
        <v>6620</v>
      </c>
      <c r="D24455" s="2"/>
    </row>
    <row r="24456" spans="1:4" ht="25.5" customHeight="1" x14ac:dyDescent="0.2">
      <c r="B24456" s="11" t="s">
        <v>2601</v>
      </c>
      <c r="C24456" s="17"/>
      <c r="D24456" s="2"/>
    </row>
    <row r="24457" spans="1:4" ht="12.75" customHeight="1" x14ac:dyDescent="0.2">
      <c r="B24457" s="11" t="s">
        <v>16</v>
      </c>
      <c r="C24457" s="17"/>
      <c r="D24457" s="2"/>
    </row>
    <row r="24458" spans="1:4" ht="12.75" customHeight="1" x14ac:dyDescent="0.2">
      <c r="B24458" s="11" t="s">
        <v>13</v>
      </c>
      <c r="C24458" s="17" t="s">
        <v>2602</v>
      </c>
      <c r="D24458" s="2"/>
    </row>
    <row r="24459" spans="1:4" ht="12.75" customHeight="1" x14ac:dyDescent="0.2">
      <c r="B24459" s="11" t="s">
        <v>2603</v>
      </c>
      <c r="C24459" s="17" t="s">
        <v>128</v>
      </c>
      <c r="D24459" s="2"/>
    </row>
    <row r="24460" spans="1:4" ht="12.75" customHeight="1" x14ac:dyDescent="0.2">
      <c r="B24460" s="11" t="s">
        <v>2605</v>
      </c>
      <c r="C24460" s="17" t="s">
        <v>14</v>
      </c>
      <c r="D24460" s="2"/>
    </row>
    <row r="24461" spans="1:4" ht="12.75" customHeight="1" x14ac:dyDescent="0.2">
      <c r="B24461" s="11" t="s">
        <v>2606</v>
      </c>
      <c r="C24461" s="16" t="s">
        <v>19</v>
      </c>
      <c r="D24461" s="2"/>
    </row>
    <row r="24462" spans="1:4" ht="12.75" customHeight="1" x14ac:dyDescent="0.2">
      <c r="B24462" s="2"/>
      <c r="C24462" s="15"/>
      <c r="D24462" s="2"/>
    </row>
    <row r="24463" spans="1:4" ht="12.75" customHeight="1" x14ac:dyDescent="0.2">
      <c r="B24463" s="2"/>
      <c r="C24463" s="15"/>
      <c r="D24463" s="2"/>
    </row>
    <row r="24464" spans="1:4" ht="12.75" customHeight="1" x14ac:dyDescent="0.2">
      <c r="A24464" s="13" t="s">
        <v>6495</v>
      </c>
      <c r="C24464" s="12"/>
      <c r="D24464" s="2"/>
    </row>
    <row r="24465" spans="1:4" ht="12.75" customHeight="1" x14ac:dyDescent="0.2">
      <c r="A24465" s="11"/>
      <c r="B24465" s="2"/>
      <c r="C24465" s="15"/>
      <c r="D24465" s="2"/>
    </row>
    <row r="24466" spans="1:4" ht="12.75" customHeight="1" x14ac:dyDescent="0.2">
      <c r="B24466" s="11" t="s">
        <v>0</v>
      </c>
      <c r="C24466" s="17" t="s">
        <v>1362</v>
      </c>
      <c r="D24466" s="2"/>
    </row>
    <row r="24467" spans="1:4" ht="12.75" customHeight="1" x14ac:dyDescent="0.2">
      <c r="B24467" s="11" t="s">
        <v>2599</v>
      </c>
      <c r="C24467" s="17" t="s">
        <v>4365</v>
      </c>
      <c r="D24467" s="2"/>
    </row>
    <row r="24468" spans="1:4" ht="25.5" customHeight="1" x14ac:dyDescent="0.2">
      <c r="B24468" s="11" t="s">
        <v>2600</v>
      </c>
      <c r="C24468" s="17" t="s">
        <v>6621</v>
      </c>
      <c r="D24468" s="2"/>
    </row>
    <row r="24469" spans="1:4" ht="25.5" customHeight="1" x14ac:dyDescent="0.2">
      <c r="B24469" s="11" t="s">
        <v>2601</v>
      </c>
      <c r="C24469" s="17"/>
      <c r="D24469" s="2"/>
    </row>
    <row r="24470" spans="1:4" ht="12.75" customHeight="1" x14ac:dyDescent="0.2">
      <c r="B24470" s="11" t="s">
        <v>16</v>
      </c>
      <c r="C24470" s="17"/>
      <c r="D24470" s="2"/>
    </row>
    <row r="24471" spans="1:4" ht="12.75" customHeight="1" x14ac:dyDescent="0.2">
      <c r="B24471" s="11" t="s">
        <v>13</v>
      </c>
      <c r="C24471" s="17" t="s">
        <v>2644</v>
      </c>
      <c r="D24471" s="2"/>
    </row>
    <row r="24472" spans="1:4" ht="12.75" customHeight="1" x14ac:dyDescent="0.2">
      <c r="B24472" s="11" t="s">
        <v>2603</v>
      </c>
      <c r="C24472" s="17" t="s">
        <v>128</v>
      </c>
      <c r="D24472" s="2"/>
    </row>
    <row r="24473" spans="1:4" ht="12.75" customHeight="1" x14ac:dyDescent="0.2">
      <c r="B24473" s="11" t="s">
        <v>2605</v>
      </c>
      <c r="C24473" s="17" t="s">
        <v>14</v>
      </c>
      <c r="D24473" s="2"/>
    </row>
    <row r="24474" spans="1:4" ht="12.75" customHeight="1" x14ac:dyDescent="0.2">
      <c r="B24474" s="11" t="s">
        <v>2606</v>
      </c>
      <c r="C24474" s="16" t="s">
        <v>19</v>
      </c>
      <c r="D24474" s="2"/>
    </row>
    <row r="24475" spans="1:4" ht="12.75" customHeight="1" x14ac:dyDescent="0.2">
      <c r="B24475" s="2"/>
      <c r="C24475" s="15"/>
      <c r="D24475" s="2"/>
    </row>
    <row r="24476" spans="1:4" ht="12.75" customHeight="1" x14ac:dyDescent="0.2">
      <c r="B24476" s="2"/>
      <c r="C24476" s="15"/>
      <c r="D24476" s="2"/>
    </row>
    <row r="24477" spans="1:4" ht="12.75" customHeight="1" x14ac:dyDescent="0.2">
      <c r="A24477" s="13" t="s">
        <v>6497</v>
      </c>
      <c r="C24477" s="12"/>
      <c r="D24477" s="2"/>
    </row>
    <row r="24478" spans="1:4" ht="12.75" customHeight="1" x14ac:dyDescent="0.2">
      <c r="A24478" s="11"/>
      <c r="B24478" s="2"/>
      <c r="C24478" s="15"/>
      <c r="D24478" s="2"/>
    </row>
    <row r="24479" spans="1:4" ht="12.75" customHeight="1" x14ac:dyDescent="0.2">
      <c r="B24479" s="11" t="s">
        <v>0</v>
      </c>
      <c r="C24479" s="17" t="s">
        <v>1362</v>
      </c>
      <c r="D24479" s="2"/>
    </row>
    <row r="24480" spans="1:4" ht="12.75" customHeight="1" x14ac:dyDescent="0.2">
      <c r="B24480" s="11" t="s">
        <v>2599</v>
      </c>
      <c r="C24480" s="17" t="s">
        <v>6498</v>
      </c>
      <c r="D24480" s="2"/>
    </row>
    <row r="24481" spans="1:4" ht="25.5" customHeight="1" x14ac:dyDescent="0.2">
      <c r="B24481" s="11" t="s">
        <v>2600</v>
      </c>
      <c r="C24481" s="17" t="s">
        <v>6622</v>
      </c>
      <c r="D24481" s="2"/>
    </row>
    <row r="24482" spans="1:4" ht="25.5" customHeight="1" x14ac:dyDescent="0.2">
      <c r="B24482" s="11" t="s">
        <v>2601</v>
      </c>
      <c r="C24482" s="17"/>
      <c r="D24482" s="2"/>
    </row>
    <row r="24483" spans="1:4" ht="12.75" customHeight="1" x14ac:dyDescent="0.2">
      <c r="B24483" s="11" t="s">
        <v>16</v>
      </c>
      <c r="C24483" s="17"/>
      <c r="D24483" s="2"/>
    </row>
    <row r="24484" spans="1:4" ht="12.75" customHeight="1" x14ac:dyDescent="0.2">
      <c r="B24484" s="11" t="s">
        <v>13</v>
      </c>
      <c r="C24484" s="17" t="s">
        <v>2602</v>
      </c>
      <c r="D24484" s="2"/>
    </row>
    <row r="24485" spans="1:4" ht="12.75" customHeight="1" x14ac:dyDescent="0.2">
      <c r="B24485" s="11" t="s">
        <v>2603</v>
      </c>
      <c r="C24485" s="17" t="s">
        <v>128</v>
      </c>
      <c r="D24485" s="2"/>
    </row>
    <row r="24486" spans="1:4" ht="12.75" customHeight="1" x14ac:dyDescent="0.2">
      <c r="B24486" s="11" t="s">
        <v>2605</v>
      </c>
      <c r="C24486" s="17" t="s">
        <v>14</v>
      </c>
      <c r="D24486" s="2"/>
    </row>
    <row r="24487" spans="1:4" ht="12.75" customHeight="1" x14ac:dyDescent="0.2">
      <c r="B24487" s="11" t="s">
        <v>2606</v>
      </c>
      <c r="C24487" s="16" t="s">
        <v>19</v>
      </c>
      <c r="D24487" s="2"/>
    </row>
    <row r="24488" spans="1:4" ht="12.75" customHeight="1" x14ac:dyDescent="0.2">
      <c r="B24488" s="2"/>
      <c r="C24488" s="15"/>
      <c r="D24488" s="2"/>
    </row>
    <row r="24489" spans="1:4" ht="12.75" customHeight="1" x14ac:dyDescent="0.2">
      <c r="B24489" s="2"/>
      <c r="C24489" s="15"/>
      <c r="D24489" s="2"/>
    </row>
    <row r="24490" spans="1:4" ht="12.75" customHeight="1" x14ac:dyDescent="0.2">
      <c r="A24490" s="13" t="s">
        <v>6500</v>
      </c>
      <c r="C24490" s="12"/>
      <c r="D24490" s="2"/>
    </row>
    <row r="24491" spans="1:4" ht="12.75" customHeight="1" x14ac:dyDescent="0.2">
      <c r="A24491" s="11"/>
      <c r="B24491" s="2"/>
      <c r="C24491" s="15"/>
      <c r="D24491" s="2"/>
    </row>
    <row r="24492" spans="1:4" ht="12.75" customHeight="1" x14ac:dyDescent="0.2">
      <c r="B24492" s="11" t="s">
        <v>0</v>
      </c>
      <c r="C24492" s="17" t="s">
        <v>1362</v>
      </c>
      <c r="D24492" s="2"/>
    </row>
    <row r="24493" spans="1:4" ht="12.75" customHeight="1" x14ac:dyDescent="0.2">
      <c r="B24493" s="11" t="s">
        <v>2599</v>
      </c>
      <c r="C24493" s="17" t="s">
        <v>1904</v>
      </c>
      <c r="D24493" s="2"/>
    </row>
    <row r="24494" spans="1:4" ht="25.5" customHeight="1" x14ac:dyDescent="0.2">
      <c r="B24494" s="11" t="s">
        <v>2600</v>
      </c>
      <c r="C24494" s="17" t="s">
        <v>6623</v>
      </c>
      <c r="D24494" s="2"/>
    </row>
    <row r="24495" spans="1:4" ht="25.5" customHeight="1" x14ac:dyDescent="0.2">
      <c r="B24495" s="11" t="s">
        <v>2601</v>
      </c>
      <c r="C24495" s="17"/>
      <c r="D24495" s="2"/>
    </row>
    <row r="24496" spans="1:4" ht="12.75" customHeight="1" x14ac:dyDescent="0.2">
      <c r="B24496" s="11" t="s">
        <v>16</v>
      </c>
      <c r="C24496" s="17"/>
      <c r="D24496" s="2"/>
    </row>
    <row r="24497" spans="1:4" ht="12.75" customHeight="1" x14ac:dyDescent="0.2">
      <c r="B24497" s="11" t="s">
        <v>13</v>
      </c>
      <c r="C24497" s="17" t="s">
        <v>2644</v>
      </c>
      <c r="D24497" s="2"/>
    </row>
    <row r="24498" spans="1:4" ht="12.75" customHeight="1" x14ac:dyDescent="0.2">
      <c r="B24498" s="11" t="s">
        <v>2603</v>
      </c>
      <c r="C24498" s="17" t="s">
        <v>128</v>
      </c>
      <c r="D24498" s="2"/>
    </row>
    <row r="24499" spans="1:4" ht="12.75" customHeight="1" x14ac:dyDescent="0.2">
      <c r="B24499" s="11" t="s">
        <v>2605</v>
      </c>
      <c r="C24499" s="17" t="s">
        <v>14</v>
      </c>
      <c r="D24499" s="2"/>
    </row>
    <row r="24500" spans="1:4" ht="12.75" customHeight="1" x14ac:dyDescent="0.2">
      <c r="B24500" s="11" t="s">
        <v>2606</v>
      </c>
      <c r="C24500" s="16" t="s">
        <v>19</v>
      </c>
      <c r="D24500" s="2"/>
    </row>
    <row r="24501" spans="1:4" ht="12.75" customHeight="1" x14ac:dyDescent="0.2">
      <c r="B24501" s="2"/>
      <c r="C24501" s="15"/>
      <c r="D24501" s="2"/>
    </row>
    <row r="24502" spans="1:4" ht="12.75" customHeight="1" x14ac:dyDescent="0.2">
      <c r="B24502" s="2"/>
      <c r="C24502" s="15"/>
      <c r="D24502" s="2"/>
    </row>
    <row r="24503" spans="1:4" ht="12.75" customHeight="1" x14ac:dyDescent="0.2">
      <c r="A24503" s="13" t="s">
        <v>6624</v>
      </c>
      <c r="C24503" s="12"/>
    </row>
    <row r="24504" spans="1:4" ht="12.75" customHeight="1" x14ac:dyDescent="0.2">
      <c r="A24504" s="11"/>
      <c r="B24504" s="2"/>
      <c r="C24504" s="15"/>
      <c r="D24504" s="2"/>
    </row>
    <row r="24505" spans="1:4" ht="12.75" customHeight="1" x14ac:dyDescent="0.2">
      <c r="B24505" s="11" t="s">
        <v>0</v>
      </c>
      <c r="C24505" s="11" t="s">
        <v>256</v>
      </c>
    </row>
    <row r="24506" spans="1:4" ht="12.75" customHeight="1" x14ac:dyDescent="0.2">
      <c r="B24506" s="11" t="s">
        <v>2599</v>
      </c>
      <c r="C24506" s="11" t="s">
        <v>570</v>
      </c>
    </row>
    <row r="24507" spans="1:4" ht="25.5" customHeight="1" x14ac:dyDescent="0.2">
      <c r="B24507" s="11" t="s">
        <v>2600</v>
      </c>
      <c r="C24507" s="11" t="s">
        <v>6625</v>
      </c>
    </row>
    <row r="24508" spans="1:4" ht="25.5" customHeight="1" x14ac:dyDescent="0.2">
      <c r="B24508" s="11" t="s">
        <v>2601</v>
      </c>
      <c r="C24508" s="11"/>
    </row>
    <row r="24509" spans="1:4" ht="12.75" customHeight="1" x14ac:dyDescent="0.2">
      <c r="B24509" s="11" t="s">
        <v>16</v>
      </c>
      <c r="C24509" s="11"/>
    </row>
    <row r="24510" spans="1:4" ht="12.75" customHeight="1" x14ac:dyDescent="0.2">
      <c r="B24510" s="11" t="s">
        <v>13</v>
      </c>
      <c r="C24510" s="11" t="s">
        <v>2602</v>
      </c>
    </row>
    <row r="24511" spans="1:4" ht="12.75" customHeight="1" x14ac:dyDescent="0.2">
      <c r="B24511" s="11" t="s">
        <v>2603</v>
      </c>
      <c r="C24511" s="11" t="s">
        <v>2604</v>
      </c>
    </row>
    <row r="24512" spans="1:4" ht="12.75" customHeight="1" x14ac:dyDescent="0.2">
      <c r="B24512" s="11" t="s">
        <v>2605</v>
      </c>
      <c r="C24512" s="11" t="s">
        <v>24</v>
      </c>
    </row>
    <row r="24513" spans="1:4" ht="12.75" customHeight="1" x14ac:dyDescent="0.2">
      <c r="B24513" s="11" t="s">
        <v>2606</v>
      </c>
      <c r="C24513" s="16" t="s">
        <v>44</v>
      </c>
      <c r="D24513" s="6" t="str">
        <f>HYPERLINK("javascript:void(0)","agyvihar")</f>
        <v>agyvihar</v>
      </c>
    </row>
    <row r="24514" spans="1:4" ht="12.75" customHeight="1" x14ac:dyDescent="0.2">
      <c r="B24514" s="2"/>
      <c r="C24514" s="15"/>
      <c r="D24514" s="2"/>
    </row>
    <row r="24515" spans="1:4" ht="12.75" customHeight="1" x14ac:dyDescent="0.2">
      <c r="B24515" s="2"/>
      <c r="C24515" s="15"/>
      <c r="D24515" s="2"/>
    </row>
    <row r="24516" spans="1:4" ht="12.75" customHeight="1" x14ac:dyDescent="0.2">
      <c r="A24516" s="13" t="s">
        <v>6626</v>
      </c>
      <c r="C24516" s="12"/>
    </row>
    <row r="24517" spans="1:4" ht="12.75" customHeight="1" x14ac:dyDescent="0.2">
      <c r="A24517" s="11"/>
      <c r="B24517" s="2"/>
      <c r="C24517" s="15"/>
      <c r="D24517" s="2"/>
    </row>
    <row r="24518" spans="1:4" ht="12.75" customHeight="1" x14ac:dyDescent="0.2">
      <c r="B24518" s="11" t="s">
        <v>0</v>
      </c>
      <c r="C24518" s="11" t="s">
        <v>256</v>
      </c>
    </row>
    <row r="24519" spans="1:4" ht="12.75" customHeight="1" x14ac:dyDescent="0.2">
      <c r="B24519" s="11" t="s">
        <v>2599</v>
      </c>
      <c r="C24519" s="11" t="s">
        <v>6627</v>
      </c>
    </row>
    <row r="24520" spans="1:4" ht="25.5" customHeight="1" x14ac:dyDescent="0.2">
      <c r="B24520" s="11" t="s">
        <v>2600</v>
      </c>
      <c r="C24520" s="11" t="s">
        <v>6628</v>
      </c>
    </row>
    <row r="24521" spans="1:4" ht="25.5" customHeight="1" x14ac:dyDescent="0.2">
      <c r="B24521" s="11" t="s">
        <v>2601</v>
      </c>
      <c r="C24521" s="11"/>
    </row>
    <row r="24522" spans="1:4" ht="12.75" customHeight="1" x14ac:dyDescent="0.2">
      <c r="B24522" s="11" t="s">
        <v>16</v>
      </c>
      <c r="C24522" s="11"/>
    </row>
    <row r="24523" spans="1:4" ht="12.75" customHeight="1" x14ac:dyDescent="0.2">
      <c r="B24523" s="11" t="s">
        <v>13</v>
      </c>
      <c r="C24523" s="11" t="s">
        <v>2644</v>
      </c>
    </row>
    <row r="24524" spans="1:4" ht="12.75" customHeight="1" x14ac:dyDescent="0.2">
      <c r="B24524" s="11" t="s">
        <v>2603</v>
      </c>
      <c r="C24524" s="11" t="s">
        <v>2604</v>
      </c>
    </row>
    <row r="24525" spans="1:4" ht="12.75" customHeight="1" x14ac:dyDescent="0.2">
      <c r="B24525" s="11" t="s">
        <v>2605</v>
      </c>
      <c r="C24525" s="11" t="s">
        <v>14</v>
      </c>
    </row>
    <row r="24526" spans="1:4" ht="25.5" customHeight="1" x14ac:dyDescent="0.2">
      <c r="B24526" s="11" t="s">
        <v>2606</v>
      </c>
      <c r="C24526" s="16" t="s">
        <v>57</v>
      </c>
      <c r="D24526" s="6" t="str">
        <f>HYPERLINK("javascript:void(0)","sztetoszkóp")</f>
        <v>sztetoszkóp</v>
      </c>
    </row>
    <row r="24527" spans="1:4" ht="12.75" customHeight="1" x14ac:dyDescent="0.2">
      <c r="B24527" s="2"/>
      <c r="C24527" s="15"/>
      <c r="D24527" s="2"/>
    </row>
    <row r="24528" spans="1:4" ht="12.75" customHeight="1" x14ac:dyDescent="0.2">
      <c r="B24528" s="2"/>
      <c r="C24528" s="15"/>
      <c r="D24528" s="2"/>
    </row>
    <row r="24529" spans="1:4" ht="12.75" customHeight="1" x14ac:dyDescent="0.2">
      <c r="A24529" s="13" t="s">
        <v>6629</v>
      </c>
      <c r="C24529" s="12"/>
    </row>
    <row r="24530" spans="1:4" ht="12.75" customHeight="1" x14ac:dyDescent="0.2">
      <c r="A24530" s="11"/>
      <c r="B24530" s="2"/>
      <c r="C24530" s="15"/>
      <c r="D24530" s="2"/>
    </row>
    <row r="24531" spans="1:4" ht="12.75" customHeight="1" x14ac:dyDescent="0.2">
      <c r="B24531" s="11" t="s">
        <v>0</v>
      </c>
      <c r="C24531" s="11" t="s">
        <v>256</v>
      </c>
    </row>
    <row r="24532" spans="1:4" ht="12.75" customHeight="1" x14ac:dyDescent="0.2">
      <c r="B24532" s="11" t="s">
        <v>2599</v>
      </c>
      <c r="C24532" s="11" t="s">
        <v>6630</v>
      </c>
    </row>
    <row r="24533" spans="1:4" ht="25.5" customHeight="1" x14ac:dyDescent="0.2">
      <c r="B24533" s="11" t="s">
        <v>2600</v>
      </c>
      <c r="C24533" s="11" t="s">
        <v>6631</v>
      </c>
    </row>
    <row r="24534" spans="1:4" ht="25.5" customHeight="1" x14ac:dyDescent="0.2">
      <c r="B24534" s="11" t="s">
        <v>2601</v>
      </c>
      <c r="C24534" s="11"/>
    </row>
    <row r="24535" spans="1:4" ht="12.75" customHeight="1" x14ac:dyDescent="0.2">
      <c r="B24535" s="11" t="s">
        <v>16</v>
      </c>
      <c r="C24535" s="11"/>
    </row>
    <row r="24536" spans="1:4" ht="12.75" customHeight="1" x14ac:dyDescent="0.2">
      <c r="B24536" s="11" t="s">
        <v>13</v>
      </c>
      <c r="C24536" s="11" t="s">
        <v>2602</v>
      </c>
    </row>
    <row r="24537" spans="1:4" ht="12.75" customHeight="1" x14ac:dyDescent="0.2">
      <c r="B24537" s="11" t="s">
        <v>2603</v>
      </c>
      <c r="C24537" s="11" t="s">
        <v>2604</v>
      </c>
    </row>
    <row r="24538" spans="1:4" ht="12.75" customHeight="1" x14ac:dyDescent="0.2">
      <c r="B24538" s="11" t="s">
        <v>2605</v>
      </c>
      <c r="C24538" s="11" t="s">
        <v>24</v>
      </c>
    </row>
    <row r="24539" spans="1:4" ht="25.5" customHeight="1" x14ac:dyDescent="0.2">
      <c r="B24539" s="11" t="s">
        <v>2606</v>
      </c>
      <c r="C24539" s="16" t="s">
        <v>44</v>
      </c>
      <c r="D24539" s="6" t="str">
        <f>HYPERLINK("javascript:void(0)","gyíkacél wakizasi")</f>
        <v>gyíkacél wakizasi</v>
      </c>
    </row>
    <row r="24540" spans="1:4" ht="12.75" customHeight="1" x14ac:dyDescent="0.2">
      <c r="B24540" s="2"/>
      <c r="C24540" s="15"/>
      <c r="D24540" s="2"/>
    </row>
    <row r="24541" spans="1:4" ht="12.75" customHeight="1" x14ac:dyDescent="0.2">
      <c r="B24541" s="2"/>
      <c r="C24541" s="15"/>
      <c r="D24541" s="2"/>
    </row>
    <row r="24542" spans="1:4" ht="12.75" customHeight="1" x14ac:dyDescent="0.2">
      <c r="A24542" s="13" t="s">
        <v>6632</v>
      </c>
      <c r="C24542" s="12"/>
    </row>
    <row r="24543" spans="1:4" ht="12.75" customHeight="1" x14ac:dyDescent="0.2">
      <c r="A24543" s="11"/>
      <c r="B24543" s="2"/>
      <c r="C24543" s="15"/>
      <c r="D24543" s="2"/>
    </row>
    <row r="24544" spans="1:4" ht="12.75" customHeight="1" x14ac:dyDescent="0.2">
      <c r="B24544" s="11" t="s">
        <v>0</v>
      </c>
      <c r="C24544" s="11" t="s">
        <v>256</v>
      </c>
    </row>
    <row r="24545" spans="1:4" ht="12.75" customHeight="1" x14ac:dyDescent="0.2">
      <c r="B24545" s="11" t="s">
        <v>2599</v>
      </c>
      <c r="C24545" s="11" t="s">
        <v>2208</v>
      </c>
    </row>
    <row r="24546" spans="1:4" ht="25.5" customHeight="1" x14ac:dyDescent="0.2">
      <c r="B24546" s="11" t="s">
        <v>2600</v>
      </c>
      <c r="C24546" s="11" t="s">
        <v>6633</v>
      </c>
    </row>
    <row r="24547" spans="1:4" ht="25.5" customHeight="1" x14ac:dyDescent="0.2">
      <c r="B24547" s="11" t="s">
        <v>2601</v>
      </c>
      <c r="C24547" s="11"/>
    </row>
    <row r="24548" spans="1:4" ht="12.75" customHeight="1" x14ac:dyDescent="0.2">
      <c r="B24548" s="11" t="s">
        <v>16</v>
      </c>
      <c r="C24548" s="11"/>
    </row>
    <row r="24549" spans="1:4" ht="12.75" customHeight="1" x14ac:dyDescent="0.2">
      <c r="B24549" s="11" t="s">
        <v>13</v>
      </c>
      <c r="C24549" s="11" t="s">
        <v>2644</v>
      </c>
    </row>
    <row r="24550" spans="1:4" ht="12.75" customHeight="1" x14ac:dyDescent="0.2">
      <c r="B24550" s="11" t="s">
        <v>2603</v>
      </c>
      <c r="C24550" s="11" t="s">
        <v>2604</v>
      </c>
    </row>
    <row r="24551" spans="1:4" ht="12.75" customHeight="1" x14ac:dyDescent="0.2">
      <c r="B24551" s="11" t="s">
        <v>2605</v>
      </c>
      <c r="C24551" s="11" t="s">
        <v>14</v>
      </c>
    </row>
    <row r="24552" spans="1:4" ht="12.75" customHeight="1" x14ac:dyDescent="0.2">
      <c r="B24552" s="11" t="s">
        <v>2606</v>
      </c>
      <c r="C24552" s="16" t="s">
        <v>44</v>
      </c>
      <c r="D24552" s="6" t="str">
        <f>HYPERLINK("javascript:void(0)","szórioff")</f>
        <v>szórioff</v>
      </c>
    </row>
    <row r="24553" spans="1:4" ht="12.75" customHeight="1" x14ac:dyDescent="0.2">
      <c r="B24553" s="2"/>
      <c r="C24553" s="15"/>
      <c r="D24553" s="2"/>
    </row>
    <row r="24554" spans="1:4" ht="12.75" customHeight="1" x14ac:dyDescent="0.2">
      <c r="B24554" s="2"/>
      <c r="C24554" s="15"/>
      <c r="D24554" s="2"/>
    </row>
    <row r="24555" spans="1:4" ht="12.75" customHeight="1" x14ac:dyDescent="0.2">
      <c r="A24555" s="13" t="s">
        <v>6634</v>
      </c>
      <c r="C24555" s="12"/>
    </row>
    <row r="24556" spans="1:4" ht="12.75" customHeight="1" x14ac:dyDescent="0.2">
      <c r="A24556" s="11"/>
      <c r="B24556" s="2"/>
      <c r="C24556" s="15"/>
      <c r="D24556" s="2"/>
    </row>
    <row r="24557" spans="1:4" ht="12.75" customHeight="1" x14ac:dyDescent="0.2">
      <c r="B24557" s="11" t="s">
        <v>0</v>
      </c>
      <c r="C24557" s="11" t="s">
        <v>256</v>
      </c>
    </row>
    <row r="24558" spans="1:4" ht="12.75" customHeight="1" x14ac:dyDescent="0.2">
      <c r="B24558" s="11" t="s">
        <v>2599</v>
      </c>
      <c r="C24558" s="11" t="s">
        <v>6039</v>
      </c>
    </row>
    <row r="24559" spans="1:4" ht="25.5" customHeight="1" x14ac:dyDescent="0.2">
      <c r="B24559" s="11" t="s">
        <v>2600</v>
      </c>
      <c r="C24559" s="11" t="s">
        <v>6635</v>
      </c>
    </row>
    <row r="24560" spans="1:4" ht="25.5" customHeight="1" x14ac:dyDescent="0.2">
      <c r="B24560" s="11" t="s">
        <v>2601</v>
      </c>
      <c r="C24560" s="11"/>
    </row>
    <row r="24561" spans="1:4" ht="12.75" customHeight="1" x14ac:dyDescent="0.2">
      <c r="B24561" s="11" t="s">
        <v>16</v>
      </c>
      <c r="C24561" s="11"/>
    </row>
    <row r="24562" spans="1:4" ht="12.75" customHeight="1" x14ac:dyDescent="0.2">
      <c r="B24562" s="11" t="s">
        <v>13</v>
      </c>
      <c r="C24562" s="11" t="s">
        <v>2602</v>
      </c>
    </row>
    <row r="24563" spans="1:4" ht="12.75" customHeight="1" x14ac:dyDescent="0.2">
      <c r="B24563" s="11" t="s">
        <v>2603</v>
      </c>
      <c r="C24563" s="11" t="s">
        <v>2604</v>
      </c>
    </row>
    <row r="24564" spans="1:4" ht="12.75" customHeight="1" x14ac:dyDescent="0.2">
      <c r="B24564" s="11" t="s">
        <v>2605</v>
      </c>
      <c r="C24564" s="11" t="s">
        <v>14</v>
      </c>
    </row>
    <row r="24565" spans="1:4" ht="12.75" customHeight="1" x14ac:dyDescent="0.2">
      <c r="B24565" s="11" t="s">
        <v>2606</v>
      </c>
      <c r="C24565" s="16" t="s">
        <v>56</v>
      </c>
      <c r="D24565" s="6" t="str">
        <f>HYPERLINK("javascript:void(0)","savige")</f>
        <v>savige</v>
      </c>
    </row>
    <row r="24566" spans="1:4" ht="12.75" customHeight="1" x14ac:dyDescent="0.2">
      <c r="B24566" s="2"/>
      <c r="C24566" s="15"/>
      <c r="D24566" s="2"/>
    </row>
    <row r="24567" spans="1:4" ht="12.75" customHeight="1" x14ac:dyDescent="0.2">
      <c r="B24567" s="2"/>
      <c r="C24567" s="15"/>
      <c r="D24567" s="2"/>
    </row>
    <row r="24568" spans="1:4" ht="12.75" customHeight="1" x14ac:dyDescent="0.2">
      <c r="A24568" s="13" t="s">
        <v>6636</v>
      </c>
      <c r="C24568" s="12"/>
    </row>
    <row r="24569" spans="1:4" ht="12.75" customHeight="1" x14ac:dyDescent="0.2">
      <c r="A24569" s="11"/>
      <c r="B24569" s="2"/>
      <c r="C24569" s="15"/>
      <c r="D24569" s="2"/>
    </row>
    <row r="24570" spans="1:4" ht="12.75" customHeight="1" x14ac:dyDescent="0.2">
      <c r="B24570" s="11" t="s">
        <v>0</v>
      </c>
      <c r="C24570" s="11" t="s">
        <v>256</v>
      </c>
    </row>
    <row r="24571" spans="1:4" ht="12.75" customHeight="1" x14ac:dyDescent="0.2">
      <c r="B24571" s="11" t="s">
        <v>2599</v>
      </c>
      <c r="C24571" s="11" t="s">
        <v>6637</v>
      </c>
    </row>
    <row r="24572" spans="1:4" ht="25.5" customHeight="1" x14ac:dyDescent="0.2">
      <c r="B24572" s="11" t="s">
        <v>2600</v>
      </c>
      <c r="C24572" s="11" t="s">
        <v>6638</v>
      </c>
    </row>
    <row r="24573" spans="1:4" ht="25.5" customHeight="1" x14ac:dyDescent="0.2">
      <c r="B24573" s="11" t="s">
        <v>2601</v>
      </c>
      <c r="C24573" s="11"/>
    </row>
    <row r="24574" spans="1:4" ht="12.75" customHeight="1" x14ac:dyDescent="0.2">
      <c r="B24574" s="11" t="s">
        <v>16</v>
      </c>
      <c r="C24574" s="11"/>
    </row>
    <row r="24575" spans="1:4" ht="12.75" customHeight="1" x14ac:dyDescent="0.2">
      <c r="B24575" s="11" t="s">
        <v>13</v>
      </c>
      <c r="C24575" s="11" t="s">
        <v>2644</v>
      </c>
    </row>
    <row r="24576" spans="1:4" ht="12.75" customHeight="1" x14ac:dyDescent="0.2">
      <c r="B24576" s="11" t="s">
        <v>2603</v>
      </c>
      <c r="C24576" s="11" t="s">
        <v>2604</v>
      </c>
    </row>
    <row r="24577" spans="1:4" ht="12.75" customHeight="1" x14ac:dyDescent="0.2">
      <c r="B24577" s="11" t="s">
        <v>2605</v>
      </c>
      <c r="C24577" s="11" t="s">
        <v>24</v>
      </c>
    </row>
    <row r="24578" spans="1:4" ht="12.75" customHeight="1" x14ac:dyDescent="0.2">
      <c r="B24578" s="11" t="s">
        <v>2606</v>
      </c>
      <c r="C24578" s="16" t="s">
        <v>55</v>
      </c>
      <c r="D24578" s="6" t="str">
        <f>HYPERLINK("javascript:void(0)","árnyékláb")</f>
        <v>árnyékláb</v>
      </c>
    </row>
    <row r="24579" spans="1:4" ht="12.75" customHeight="1" x14ac:dyDescent="0.2">
      <c r="B24579" s="2"/>
      <c r="C24579" s="15"/>
      <c r="D24579" s="2"/>
    </row>
    <row r="24580" spans="1:4" ht="12.75" customHeight="1" x14ac:dyDescent="0.2">
      <c r="B24580" s="2"/>
      <c r="C24580" s="15"/>
      <c r="D24580" s="2"/>
    </row>
    <row r="24581" spans="1:4" ht="12.75" customHeight="1" x14ac:dyDescent="0.2">
      <c r="A24581" s="13" t="s">
        <v>6639</v>
      </c>
      <c r="C24581" s="12"/>
    </row>
    <row r="24582" spans="1:4" ht="12.75" customHeight="1" x14ac:dyDescent="0.2">
      <c r="A24582" s="11"/>
      <c r="B24582" s="2"/>
      <c r="C24582" s="15"/>
      <c r="D24582" s="2"/>
    </row>
    <row r="24583" spans="1:4" ht="12.75" customHeight="1" x14ac:dyDescent="0.2">
      <c r="B24583" s="11" t="s">
        <v>0</v>
      </c>
      <c r="C24583" s="11" t="s">
        <v>256</v>
      </c>
    </row>
    <row r="24584" spans="1:4" ht="12.75" customHeight="1" x14ac:dyDescent="0.2">
      <c r="B24584" s="11" t="s">
        <v>2599</v>
      </c>
      <c r="C24584" s="11" t="s">
        <v>6640</v>
      </c>
    </row>
    <row r="24585" spans="1:4" ht="25.5" customHeight="1" x14ac:dyDescent="0.2">
      <c r="B24585" s="11" t="s">
        <v>2600</v>
      </c>
      <c r="C24585" s="11" t="s">
        <v>6641</v>
      </c>
    </row>
    <row r="24586" spans="1:4" ht="25.5" customHeight="1" x14ac:dyDescent="0.2">
      <c r="B24586" s="11" t="s">
        <v>2601</v>
      </c>
      <c r="C24586" s="11"/>
    </row>
    <row r="24587" spans="1:4" ht="12.75" customHeight="1" x14ac:dyDescent="0.2">
      <c r="B24587" s="11" t="s">
        <v>16</v>
      </c>
      <c r="C24587" s="11"/>
    </row>
    <row r="24588" spans="1:4" ht="12.75" customHeight="1" x14ac:dyDescent="0.2">
      <c r="B24588" s="11" t="s">
        <v>13</v>
      </c>
      <c r="C24588" s="11" t="s">
        <v>2602</v>
      </c>
    </row>
    <row r="24589" spans="1:4" ht="12.75" customHeight="1" x14ac:dyDescent="0.2">
      <c r="B24589" s="11" t="s">
        <v>2603</v>
      </c>
      <c r="C24589" s="11" t="s">
        <v>2604</v>
      </c>
    </row>
    <row r="24590" spans="1:4" ht="12.75" customHeight="1" x14ac:dyDescent="0.2">
      <c r="B24590" s="11" t="s">
        <v>2605</v>
      </c>
      <c r="C24590" s="11" t="s">
        <v>14</v>
      </c>
    </row>
    <row r="24591" spans="1:4" ht="25.5" customHeight="1" x14ac:dyDescent="0.2">
      <c r="B24591" s="11" t="s">
        <v>2606</v>
      </c>
      <c r="C24591" s="16" t="s">
        <v>44</v>
      </c>
      <c r="D24591" s="6" t="str">
        <f>HYPERLINK("javascript:void(0)","kommunikációképtele")</f>
        <v>kommunikációképtele</v>
      </c>
    </row>
    <row r="24592" spans="1:4" ht="12.75" customHeight="1" x14ac:dyDescent="0.2">
      <c r="B24592" s="2"/>
      <c r="C24592" s="15"/>
      <c r="D24592" s="2"/>
    </row>
    <row r="24593" spans="1:4" ht="12.75" customHeight="1" x14ac:dyDescent="0.2">
      <c r="B24593" s="2"/>
      <c r="C24593" s="15"/>
      <c r="D24593" s="2"/>
    </row>
    <row r="24594" spans="1:4" ht="12.75" customHeight="1" x14ac:dyDescent="0.2">
      <c r="A24594" s="13" t="s">
        <v>6642</v>
      </c>
      <c r="C24594" s="12"/>
    </row>
    <row r="24595" spans="1:4" ht="12.75" customHeight="1" x14ac:dyDescent="0.2">
      <c r="A24595" s="11"/>
      <c r="B24595" s="2"/>
      <c r="C24595" s="15"/>
      <c r="D24595" s="2"/>
    </row>
    <row r="24596" spans="1:4" ht="12.75" customHeight="1" x14ac:dyDescent="0.2">
      <c r="B24596" s="11" t="s">
        <v>0</v>
      </c>
      <c r="C24596" s="11" t="s">
        <v>256</v>
      </c>
    </row>
    <row r="24597" spans="1:4" ht="12.75" customHeight="1" x14ac:dyDescent="0.2">
      <c r="B24597" s="11" t="s">
        <v>2599</v>
      </c>
      <c r="C24597" s="11" t="s">
        <v>6643</v>
      </c>
    </row>
    <row r="24598" spans="1:4" ht="25.5" customHeight="1" x14ac:dyDescent="0.2">
      <c r="B24598" s="11" t="s">
        <v>2600</v>
      </c>
      <c r="C24598" s="11" t="s">
        <v>6644</v>
      </c>
    </row>
    <row r="24599" spans="1:4" ht="25.5" customHeight="1" x14ac:dyDescent="0.2">
      <c r="B24599" s="11" t="s">
        <v>2601</v>
      </c>
      <c r="C24599" s="11"/>
    </row>
    <row r="24600" spans="1:4" ht="12.75" customHeight="1" x14ac:dyDescent="0.2">
      <c r="B24600" s="11" t="s">
        <v>16</v>
      </c>
      <c r="C24600" s="11"/>
    </row>
    <row r="24601" spans="1:4" ht="12.75" customHeight="1" x14ac:dyDescent="0.2">
      <c r="B24601" s="11" t="s">
        <v>13</v>
      </c>
      <c r="C24601" s="11" t="s">
        <v>2644</v>
      </c>
    </row>
    <row r="24602" spans="1:4" ht="12.75" customHeight="1" x14ac:dyDescent="0.2">
      <c r="B24602" s="11" t="s">
        <v>2603</v>
      </c>
      <c r="C24602" s="11" t="s">
        <v>2604</v>
      </c>
    </row>
    <row r="24603" spans="1:4" ht="12.75" customHeight="1" x14ac:dyDescent="0.2">
      <c r="B24603" s="11" t="s">
        <v>2605</v>
      </c>
      <c r="C24603" s="11" t="s">
        <v>24</v>
      </c>
    </row>
    <row r="24604" spans="1:4" ht="12.75" customHeight="1" x14ac:dyDescent="0.2">
      <c r="B24604" s="11" t="s">
        <v>2606</v>
      </c>
      <c r="C24604" s="16" t="s">
        <v>56</v>
      </c>
      <c r="D24604" s="6" t="str">
        <f>HYPERLINK("javascript:void(0)","tejbeaprítás")</f>
        <v>tejbeaprítás</v>
      </c>
    </row>
    <row r="24605" spans="1:4" ht="12.75" customHeight="1" x14ac:dyDescent="0.2">
      <c r="B24605" s="2"/>
      <c r="C24605" s="15"/>
      <c r="D24605" s="2"/>
    </row>
    <row r="24606" spans="1:4" ht="12.75" customHeight="1" x14ac:dyDescent="0.2">
      <c r="B24606" s="2"/>
      <c r="C24606" s="15"/>
      <c r="D24606" s="2"/>
    </row>
    <row r="24607" spans="1:4" ht="12.75" customHeight="1" x14ac:dyDescent="0.2">
      <c r="A24607" s="13" t="s">
        <v>6645</v>
      </c>
      <c r="C24607" s="12"/>
      <c r="D24607" s="2"/>
    </row>
    <row r="24608" spans="1:4" ht="12.75" customHeight="1" x14ac:dyDescent="0.2">
      <c r="A24608" s="11"/>
      <c r="B24608" s="2"/>
      <c r="C24608" s="15"/>
      <c r="D24608" s="2"/>
    </row>
    <row r="24609" spans="1:4" ht="12.75" customHeight="1" x14ac:dyDescent="0.2">
      <c r="B24609" s="11" t="s">
        <v>0</v>
      </c>
      <c r="C24609" s="17" t="s">
        <v>256</v>
      </c>
      <c r="D24609" s="2"/>
    </row>
    <row r="24610" spans="1:4" ht="12.75" customHeight="1" x14ac:dyDescent="0.2">
      <c r="B24610" s="11" t="s">
        <v>2599</v>
      </c>
      <c r="C24610" s="17" t="s">
        <v>5660</v>
      </c>
      <c r="D24610" s="2"/>
    </row>
    <row r="24611" spans="1:4" ht="25.5" customHeight="1" x14ac:dyDescent="0.2">
      <c r="B24611" s="11" t="s">
        <v>2600</v>
      </c>
      <c r="C24611" s="17" t="s">
        <v>6646</v>
      </c>
      <c r="D24611" s="2"/>
    </row>
    <row r="24612" spans="1:4" ht="25.5" customHeight="1" x14ac:dyDescent="0.2">
      <c r="B24612" s="11" t="s">
        <v>2601</v>
      </c>
      <c r="C24612" s="17"/>
      <c r="D24612" s="2"/>
    </row>
    <row r="24613" spans="1:4" ht="12.75" customHeight="1" x14ac:dyDescent="0.2">
      <c r="B24613" s="11" t="s">
        <v>16</v>
      </c>
      <c r="C24613" s="17"/>
      <c r="D24613" s="2"/>
    </row>
    <row r="24614" spans="1:4" ht="12.75" customHeight="1" x14ac:dyDescent="0.2">
      <c r="B24614" s="11" t="s">
        <v>13</v>
      </c>
      <c r="C24614" s="17" t="s">
        <v>2602</v>
      </c>
      <c r="D24614" s="2"/>
    </row>
    <row r="24615" spans="1:4" ht="12.75" customHeight="1" x14ac:dyDescent="0.2">
      <c r="B24615" s="11" t="s">
        <v>2603</v>
      </c>
      <c r="C24615" s="17" t="s">
        <v>128</v>
      </c>
      <c r="D24615" s="2"/>
    </row>
    <row r="24616" spans="1:4" ht="12.75" customHeight="1" x14ac:dyDescent="0.2">
      <c r="B24616" s="11" t="s">
        <v>2605</v>
      </c>
      <c r="C24616" s="17" t="s">
        <v>14</v>
      </c>
      <c r="D24616" s="2"/>
    </row>
    <row r="24617" spans="1:4" ht="12.75" customHeight="1" x14ac:dyDescent="0.2">
      <c r="B24617" s="11" t="s">
        <v>2606</v>
      </c>
      <c r="C24617" s="16" t="s">
        <v>19</v>
      </c>
      <c r="D24617" s="2"/>
    </row>
    <row r="24618" spans="1:4" ht="12.75" customHeight="1" x14ac:dyDescent="0.2">
      <c r="B24618" s="2"/>
      <c r="C24618" s="15"/>
      <c r="D24618" s="2"/>
    </row>
    <row r="24619" spans="1:4" ht="12.75" customHeight="1" x14ac:dyDescent="0.2">
      <c r="B24619" s="2"/>
      <c r="C24619" s="15"/>
      <c r="D24619" s="2"/>
    </row>
    <row r="24620" spans="1:4" ht="12.75" customHeight="1" x14ac:dyDescent="0.2">
      <c r="A24620" s="13" t="s">
        <v>6647</v>
      </c>
      <c r="C24620" s="12"/>
      <c r="D24620" s="2"/>
    </row>
    <row r="24621" spans="1:4" ht="12.75" customHeight="1" x14ac:dyDescent="0.2">
      <c r="A24621" s="11"/>
      <c r="B24621" s="2"/>
      <c r="C24621" s="15"/>
      <c r="D24621" s="2"/>
    </row>
    <row r="24622" spans="1:4" ht="12.75" customHeight="1" x14ac:dyDescent="0.2">
      <c r="B24622" s="11" t="s">
        <v>0</v>
      </c>
      <c r="C24622" s="17" t="s">
        <v>256</v>
      </c>
      <c r="D24622" s="2"/>
    </row>
    <row r="24623" spans="1:4" ht="12.75" customHeight="1" x14ac:dyDescent="0.2">
      <c r="B24623" s="11" t="s">
        <v>2599</v>
      </c>
      <c r="C24623" s="17" t="s">
        <v>6648</v>
      </c>
      <c r="D24623" s="2"/>
    </row>
    <row r="24624" spans="1:4" ht="25.5" customHeight="1" x14ac:dyDescent="0.2">
      <c r="B24624" s="11" t="s">
        <v>2600</v>
      </c>
      <c r="C24624" s="17" t="s">
        <v>6649</v>
      </c>
      <c r="D24624" s="2"/>
    </row>
    <row r="24625" spans="1:4" ht="25.5" customHeight="1" x14ac:dyDescent="0.2">
      <c r="B24625" s="11" t="s">
        <v>2601</v>
      </c>
      <c r="C24625" s="17"/>
      <c r="D24625" s="2"/>
    </row>
    <row r="24626" spans="1:4" ht="12.75" customHeight="1" x14ac:dyDescent="0.2">
      <c r="B24626" s="11" t="s">
        <v>16</v>
      </c>
      <c r="C24626" s="17"/>
      <c r="D24626" s="2"/>
    </row>
    <row r="24627" spans="1:4" ht="12.75" customHeight="1" x14ac:dyDescent="0.2">
      <c r="B24627" s="11" t="s">
        <v>13</v>
      </c>
      <c r="C24627" s="17" t="s">
        <v>2644</v>
      </c>
      <c r="D24627" s="2"/>
    </row>
    <row r="24628" spans="1:4" ht="12.75" customHeight="1" x14ac:dyDescent="0.2">
      <c r="B24628" s="11" t="s">
        <v>2603</v>
      </c>
      <c r="C24628" s="17" t="s">
        <v>128</v>
      </c>
      <c r="D24628" s="2"/>
    </row>
    <row r="24629" spans="1:4" ht="12.75" customHeight="1" x14ac:dyDescent="0.2">
      <c r="B24629" s="11" t="s">
        <v>2605</v>
      </c>
      <c r="C24629" s="17" t="s">
        <v>14</v>
      </c>
      <c r="D24629" s="2"/>
    </row>
    <row r="24630" spans="1:4" ht="12.75" customHeight="1" x14ac:dyDescent="0.2">
      <c r="B24630" s="11" t="s">
        <v>2606</v>
      </c>
      <c r="C24630" s="16" t="s">
        <v>19</v>
      </c>
      <c r="D24630" s="2"/>
    </row>
    <row r="24631" spans="1:4" ht="12.75" customHeight="1" x14ac:dyDescent="0.2">
      <c r="B24631" s="2"/>
      <c r="C24631" s="15"/>
      <c r="D24631" s="2"/>
    </row>
    <row r="24632" spans="1:4" ht="12.75" customHeight="1" x14ac:dyDescent="0.2">
      <c r="B24632" s="2"/>
      <c r="C24632" s="15"/>
      <c r="D24632" s="2"/>
    </row>
    <row r="24633" spans="1:4" ht="12.75" customHeight="1" x14ac:dyDescent="0.2">
      <c r="A24633" s="13" t="s">
        <v>6650</v>
      </c>
      <c r="C24633" s="12"/>
      <c r="D24633" s="2"/>
    </row>
    <row r="24634" spans="1:4" ht="12.75" customHeight="1" x14ac:dyDescent="0.2">
      <c r="A24634" s="11"/>
      <c r="B24634" s="2"/>
      <c r="C24634" s="15"/>
      <c r="D24634" s="2"/>
    </row>
    <row r="24635" spans="1:4" ht="12.75" customHeight="1" x14ac:dyDescent="0.2">
      <c r="B24635" s="11" t="s">
        <v>0</v>
      </c>
      <c r="C24635" s="17" t="s">
        <v>256</v>
      </c>
      <c r="D24635" s="2"/>
    </row>
    <row r="24636" spans="1:4" ht="12.75" customHeight="1" x14ac:dyDescent="0.2">
      <c r="B24636" s="11" t="s">
        <v>2599</v>
      </c>
      <c r="C24636" s="17" t="s">
        <v>6327</v>
      </c>
      <c r="D24636" s="2"/>
    </row>
    <row r="24637" spans="1:4" ht="25.5" customHeight="1" x14ac:dyDescent="0.2">
      <c r="B24637" s="11" t="s">
        <v>2600</v>
      </c>
      <c r="C24637" s="17" t="s">
        <v>6651</v>
      </c>
      <c r="D24637" s="2"/>
    </row>
    <row r="24638" spans="1:4" ht="25.5" customHeight="1" x14ac:dyDescent="0.2">
      <c r="B24638" s="11" t="s">
        <v>2601</v>
      </c>
      <c r="C24638" s="17"/>
      <c r="D24638" s="2"/>
    </row>
    <row r="24639" spans="1:4" ht="12.75" customHeight="1" x14ac:dyDescent="0.2">
      <c r="B24639" s="11" t="s">
        <v>16</v>
      </c>
      <c r="C24639" s="17"/>
      <c r="D24639" s="2"/>
    </row>
    <row r="24640" spans="1:4" ht="12.75" customHeight="1" x14ac:dyDescent="0.2">
      <c r="B24640" s="11" t="s">
        <v>13</v>
      </c>
      <c r="C24640" s="17" t="s">
        <v>2602</v>
      </c>
      <c r="D24640" s="2"/>
    </row>
    <row r="24641" spans="1:4" ht="12.75" customHeight="1" x14ac:dyDescent="0.2">
      <c r="B24641" s="11" t="s">
        <v>2603</v>
      </c>
      <c r="C24641" s="17" t="s">
        <v>128</v>
      </c>
      <c r="D24641" s="2"/>
    </row>
    <row r="24642" spans="1:4" ht="12.75" customHeight="1" x14ac:dyDescent="0.2">
      <c r="B24642" s="11" t="s">
        <v>2605</v>
      </c>
      <c r="C24642" s="17" t="s">
        <v>14</v>
      </c>
      <c r="D24642" s="2"/>
    </row>
    <row r="24643" spans="1:4" ht="12.75" customHeight="1" x14ac:dyDescent="0.2">
      <c r="B24643" s="11" t="s">
        <v>2606</v>
      </c>
      <c r="C24643" s="16" t="s">
        <v>19</v>
      </c>
      <c r="D24643" s="2"/>
    </row>
    <row r="24644" spans="1:4" ht="12.75" customHeight="1" x14ac:dyDescent="0.2">
      <c r="B24644" s="2"/>
      <c r="C24644" s="15"/>
      <c r="D24644" s="2"/>
    </row>
    <row r="24645" spans="1:4" ht="12.75" customHeight="1" x14ac:dyDescent="0.2">
      <c r="B24645" s="2"/>
      <c r="C24645" s="15"/>
      <c r="D24645" s="2"/>
    </row>
    <row r="24646" spans="1:4" ht="12.75" customHeight="1" x14ac:dyDescent="0.2">
      <c r="A24646" s="13" t="s">
        <v>6652</v>
      </c>
      <c r="C24646" s="12"/>
    </row>
    <row r="24647" spans="1:4" ht="12.75" customHeight="1" x14ac:dyDescent="0.2">
      <c r="A24647" s="11"/>
      <c r="B24647" s="2"/>
      <c r="C24647" s="15"/>
      <c r="D24647" s="2"/>
    </row>
    <row r="24648" spans="1:4" ht="12.75" customHeight="1" x14ac:dyDescent="0.2">
      <c r="B24648" s="11" t="s">
        <v>0</v>
      </c>
      <c r="C24648" s="11" t="s">
        <v>146</v>
      </c>
    </row>
    <row r="24649" spans="1:4" ht="12.75" customHeight="1" x14ac:dyDescent="0.2">
      <c r="B24649" s="11" t="s">
        <v>2599</v>
      </c>
      <c r="C24649" s="11" t="s">
        <v>5857</v>
      </c>
    </row>
    <row r="24650" spans="1:4" ht="25.5" customHeight="1" x14ac:dyDescent="0.2">
      <c r="B24650" s="11" t="s">
        <v>2600</v>
      </c>
      <c r="C24650" s="11" t="s">
        <v>6653</v>
      </c>
    </row>
    <row r="24651" spans="1:4" ht="25.5" customHeight="1" x14ac:dyDescent="0.2">
      <c r="B24651" s="11" t="s">
        <v>2601</v>
      </c>
      <c r="C24651" s="11"/>
    </row>
    <row r="24652" spans="1:4" ht="12.75" customHeight="1" x14ac:dyDescent="0.2">
      <c r="B24652" s="11" t="s">
        <v>16</v>
      </c>
      <c r="C24652" s="11"/>
    </row>
    <row r="24653" spans="1:4" ht="12.75" customHeight="1" x14ac:dyDescent="0.2">
      <c r="B24653" s="11" t="s">
        <v>13</v>
      </c>
      <c r="C24653" s="11" t="s">
        <v>2602</v>
      </c>
    </row>
    <row r="24654" spans="1:4" ht="12.75" customHeight="1" x14ac:dyDescent="0.2">
      <c r="B24654" s="11" t="s">
        <v>2603</v>
      </c>
      <c r="C24654" s="11" t="s">
        <v>2604</v>
      </c>
    </row>
    <row r="24655" spans="1:4" ht="12.75" customHeight="1" x14ac:dyDescent="0.2">
      <c r="B24655" s="11" t="s">
        <v>2605</v>
      </c>
      <c r="C24655" s="11" t="s">
        <v>14</v>
      </c>
    </row>
    <row r="24656" spans="1:4" ht="12.75" customHeight="1" x14ac:dyDescent="0.2">
      <c r="B24656" s="11" t="s">
        <v>2606</v>
      </c>
      <c r="C24656" s="16" t="s">
        <v>44</v>
      </c>
      <c r="D24656" s="6" t="str">
        <f>HYPERLINK("javascript:void(0)","tábla")</f>
        <v>tábla</v>
      </c>
    </row>
    <row r="24657" spans="1:4" ht="12.75" customHeight="1" x14ac:dyDescent="0.2">
      <c r="B24657" s="2"/>
      <c r="C24657" s="15"/>
      <c r="D24657" s="2"/>
    </row>
    <row r="24658" spans="1:4" ht="12.75" customHeight="1" x14ac:dyDescent="0.2">
      <c r="B24658" s="2"/>
      <c r="C24658" s="15"/>
      <c r="D24658" s="2"/>
    </row>
    <row r="24659" spans="1:4" ht="12.75" customHeight="1" x14ac:dyDescent="0.2">
      <c r="A24659" s="13" t="s">
        <v>6654</v>
      </c>
      <c r="C24659" s="12"/>
    </row>
    <row r="24660" spans="1:4" ht="12.75" customHeight="1" x14ac:dyDescent="0.2">
      <c r="A24660" s="11"/>
      <c r="B24660" s="2"/>
      <c r="C24660" s="15"/>
      <c r="D24660" s="2"/>
    </row>
    <row r="24661" spans="1:4" ht="12.75" customHeight="1" x14ac:dyDescent="0.2">
      <c r="B24661" s="11" t="s">
        <v>0</v>
      </c>
      <c r="C24661" s="11" t="s">
        <v>146</v>
      </c>
    </row>
    <row r="24662" spans="1:4" ht="12.75" customHeight="1" x14ac:dyDescent="0.2">
      <c r="B24662" s="11" t="s">
        <v>2599</v>
      </c>
      <c r="C24662" s="11" t="s">
        <v>6655</v>
      </c>
    </row>
    <row r="24663" spans="1:4" ht="25.5" customHeight="1" x14ac:dyDescent="0.2">
      <c r="B24663" s="11" t="s">
        <v>2600</v>
      </c>
      <c r="C24663" s="11" t="s">
        <v>6656</v>
      </c>
    </row>
    <row r="24664" spans="1:4" ht="25.5" customHeight="1" x14ac:dyDescent="0.2">
      <c r="B24664" s="11" t="s">
        <v>2601</v>
      </c>
      <c r="C24664" s="11"/>
    </row>
    <row r="24665" spans="1:4" ht="12.75" customHeight="1" x14ac:dyDescent="0.2">
      <c r="B24665" s="11" t="s">
        <v>16</v>
      </c>
      <c r="C24665" s="11"/>
    </row>
    <row r="24666" spans="1:4" ht="12.75" customHeight="1" x14ac:dyDescent="0.2">
      <c r="B24666" s="11" t="s">
        <v>13</v>
      </c>
      <c r="C24666" s="11" t="s">
        <v>2644</v>
      </c>
    </row>
    <row r="24667" spans="1:4" ht="12.75" customHeight="1" x14ac:dyDescent="0.2">
      <c r="B24667" s="11" t="s">
        <v>2603</v>
      </c>
      <c r="C24667" s="11" t="s">
        <v>2604</v>
      </c>
    </row>
    <row r="24668" spans="1:4" ht="12.75" customHeight="1" x14ac:dyDescent="0.2">
      <c r="B24668" s="11" t="s">
        <v>2605</v>
      </c>
      <c r="C24668" s="11" t="s">
        <v>24</v>
      </c>
    </row>
    <row r="24669" spans="1:4" ht="12.75" customHeight="1" x14ac:dyDescent="0.2">
      <c r="B24669" s="11" t="s">
        <v>2606</v>
      </c>
      <c r="C24669" s="16" t="s">
        <v>44</v>
      </c>
      <c r="D24669" s="6" t="str">
        <f>HYPERLINK("javascript:void(0)","felhőszelet")</f>
        <v>felhőszelet</v>
      </c>
    </row>
    <row r="24670" spans="1:4" ht="12.75" customHeight="1" x14ac:dyDescent="0.2">
      <c r="B24670" s="2"/>
      <c r="C24670" s="15"/>
      <c r="D24670" s="2"/>
    </row>
    <row r="24671" spans="1:4" ht="12.75" customHeight="1" x14ac:dyDescent="0.2">
      <c r="B24671" s="2"/>
      <c r="C24671" s="15"/>
      <c r="D24671" s="2"/>
    </row>
    <row r="24672" spans="1:4" ht="12.75" customHeight="1" x14ac:dyDescent="0.2">
      <c r="A24672" s="13" t="s">
        <v>6657</v>
      </c>
      <c r="C24672" s="12"/>
    </row>
    <row r="24673" spans="1:4" ht="12.75" customHeight="1" x14ac:dyDescent="0.2">
      <c r="A24673" s="11"/>
      <c r="B24673" s="2"/>
      <c r="C24673" s="15"/>
      <c r="D24673" s="2"/>
    </row>
    <row r="24674" spans="1:4" ht="12.75" customHeight="1" x14ac:dyDescent="0.2">
      <c r="B24674" s="11" t="s">
        <v>0</v>
      </c>
      <c r="C24674" s="11" t="s">
        <v>146</v>
      </c>
    </row>
    <row r="24675" spans="1:4" ht="12.75" customHeight="1" x14ac:dyDescent="0.2">
      <c r="B24675" s="11" t="s">
        <v>2599</v>
      </c>
      <c r="C24675" s="11" t="s">
        <v>6658</v>
      </c>
    </row>
    <row r="24676" spans="1:4" ht="25.5" customHeight="1" x14ac:dyDescent="0.2">
      <c r="B24676" s="11" t="s">
        <v>2600</v>
      </c>
      <c r="C24676" s="11" t="s">
        <v>6659</v>
      </c>
    </row>
    <row r="24677" spans="1:4" ht="25.5" customHeight="1" x14ac:dyDescent="0.2">
      <c r="B24677" s="11" t="s">
        <v>2601</v>
      </c>
      <c r="C24677" s="11"/>
    </row>
    <row r="24678" spans="1:4" ht="12.75" customHeight="1" x14ac:dyDescent="0.2">
      <c r="B24678" s="11" t="s">
        <v>16</v>
      </c>
      <c r="C24678" s="11"/>
    </row>
    <row r="24679" spans="1:4" ht="12.75" customHeight="1" x14ac:dyDescent="0.2">
      <c r="B24679" s="11" t="s">
        <v>13</v>
      </c>
      <c r="C24679" s="11" t="s">
        <v>2602</v>
      </c>
    </row>
    <row r="24680" spans="1:4" ht="12.75" customHeight="1" x14ac:dyDescent="0.2">
      <c r="B24680" s="11" t="s">
        <v>2603</v>
      </c>
      <c r="C24680" s="11" t="s">
        <v>2604</v>
      </c>
    </row>
    <row r="24681" spans="1:4" ht="12.75" customHeight="1" x14ac:dyDescent="0.2">
      <c r="B24681" s="11" t="s">
        <v>2605</v>
      </c>
      <c r="C24681" s="11" t="s">
        <v>14</v>
      </c>
    </row>
    <row r="24682" spans="1:4" ht="12.75" customHeight="1" x14ac:dyDescent="0.2">
      <c r="B24682" s="11" t="s">
        <v>2606</v>
      </c>
      <c r="C24682" s="16" t="s">
        <v>6660</v>
      </c>
      <c r="D24682" s="6" t="str">
        <f>HYPERLINK("javascript:void(0)","rubin")</f>
        <v>rubin</v>
      </c>
    </row>
    <row r="24683" spans="1:4" ht="12.75" customHeight="1" x14ac:dyDescent="0.2">
      <c r="C24683" s="16" t="s">
        <v>56</v>
      </c>
      <c r="D24683" s="6" t="str">
        <f>HYPERLINK("javascript:void(0)","kocka")</f>
        <v>kocka</v>
      </c>
    </row>
    <row r="24684" spans="1:4" ht="12.75" customHeight="1" x14ac:dyDescent="0.2">
      <c r="B24684" s="2"/>
      <c r="C24684" s="15"/>
      <c r="D24684" s="2"/>
    </row>
    <row r="24685" spans="1:4" ht="12.75" customHeight="1" x14ac:dyDescent="0.2">
      <c r="B24685" s="2"/>
      <c r="C24685" s="15"/>
      <c r="D24685" s="2"/>
    </row>
    <row r="24686" spans="1:4" ht="12.75" customHeight="1" x14ac:dyDescent="0.2">
      <c r="A24686" s="13" t="s">
        <v>6661</v>
      </c>
      <c r="C24686" s="12"/>
    </row>
    <row r="24687" spans="1:4" ht="12.75" customHeight="1" x14ac:dyDescent="0.2">
      <c r="A24687" s="11"/>
      <c r="B24687" s="2"/>
      <c r="C24687" s="15"/>
      <c r="D24687" s="2"/>
    </row>
    <row r="24688" spans="1:4" ht="12.75" customHeight="1" x14ac:dyDescent="0.2">
      <c r="B24688" s="11" t="s">
        <v>0</v>
      </c>
      <c r="C24688" s="11" t="s">
        <v>146</v>
      </c>
    </row>
    <row r="24689" spans="1:4" ht="12.75" customHeight="1" x14ac:dyDescent="0.2">
      <c r="B24689" s="11" t="s">
        <v>2599</v>
      </c>
      <c r="C24689" s="11" t="s">
        <v>3166</v>
      </c>
    </row>
    <row r="24690" spans="1:4" ht="25.5" customHeight="1" x14ac:dyDescent="0.2">
      <c r="B24690" s="11" t="s">
        <v>2600</v>
      </c>
      <c r="C24690" s="11" t="s">
        <v>6662</v>
      </c>
    </row>
    <row r="24691" spans="1:4" ht="25.5" customHeight="1" x14ac:dyDescent="0.2">
      <c r="B24691" s="11" t="s">
        <v>2601</v>
      </c>
      <c r="C24691" s="11"/>
    </row>
    <row r="24692" spans="1:4" ht="12.75" customHeight="1" x14ac:dyDescent="0.2">
      <c r="B24692" s="11" t="s">
        <v>16</v>
      </c>
      <c r="C24692" s="11"/>
    </row>
    <row r="24693" spans="1:4" ht="12.75" customHeight="1" x14ac:dyDescent="0.2">
      <c r="B24693" s="11" t="s">
        <v>13</v>
      </c>
      <c r="C24693" s="11" t="s">
        <v>2644</v>
      </c>
    </row>
    <row r="24694" spans="1:4" ht="12.75" customHeight="1" x14ac:dyDescent="0.2">
      <c r="B24694" s="11" t="s">
        <v>2603</v>
      </c>
      <c r="C24694" s="11" t="s">
        <v>2604</v>
      </c>
    </row>
    <row r="24695" spans="1:4" ht="12.75" customHeight="1" x14ac:dyDescent="0.2">
      <c r="B24695" s="11" t="s">
        <v>2605</v>
      </c>
      <c r="C24695" s="11" t="s">
        <v>14</v>
      </c>
    </row>
    <row r="24696" spans="1:4" ht="12.75" customHeight="1" x14ac:dyDescent="0.2">
      <c r="B24696" s="11" t="s">
        <v>2606</v>
      </c>
      <c r="C24696" s="16" t="s">
        <v>280</v>
      </c>
      <c r="D24696" s="6" t="str">
        <f>HYPERLINK("javascript:void(0)","kaja")</f>
        <v>kaja</v>
      </c>
    </row>
    <row r="24697" spans="1:4" ht="12.75" customHeight="1" x14ac:dyDescent="0.2">
      <c r="C24697" s="16" t="s">
        <v>44</v>
      </c>
      <c r="D24697" s="6" t="str">
        <f>HYPERLINK("javascript:void(0)","dínófog")</f>
        <v>dínófog</v>
      </c>
    </row>
    <row r="24698" spans="1:4" ht="12.75" customHeight="1" x14ac:dyDescent="0.2">
      <c r="B24698" s="2"/>
      <c r="C24698" s="15"/>
      <c r="D24698" s="2"/>
    </row>
    <row r="24699" spans="1:4" ht="12.75" customHeight="1" x14ac:dyDescent="0.2">
      <c r="B24699" s="2"/>
      <c r="C24699" s="15"/>
      <c r="D24699" s="2"/>
    </row>
    <row r="24700" spans="1:4" ht="12.75" customHeight="1" x14ac:dyDescent="0.2">
      <c r="A24700" s="13" t="s">
        <v>6663</v>
      </c>
      <c r="C24700" s="12"/>
    </row>
    <row r="24701" spans="1:4" ht="12.75" customHeight="1" x14ac:dyDescent="0.2">
      <c r="A24701" s="11"/>
      <c r="B24701" s="2"/>
      <c r="C24701" s="15"/>
      <c r="D24701" s="2"/>
    </row>
    <row r="24702" spans="1:4" ht="12.75" customHeight="1" x14ac:dyDescent="0.2">
      <c r="B24702" s="11" t="s">
        <v>0</v>
      </c>
      <c r="C24702" s="11" t="s">
        <v>146</v>
      </c>
    </row>
    <row r="24703" spans="1:4" ht="12.75" customHeight="1" x14ac:dyDescent="0.2">
      <c r="B24703" s="11" t="s">
        <v>2599</v>
      </c>
      <c r="C24703" s="11" t="s">
        <v>6664</v>
      </c>
    </row>
    <row r="24704" spans="1:4" ht="25.5" customHeight="1" x14ac:dyDescent="0.2">
      <c r="B24704" s="11" t="s">
        <v>2600</v>
      </c>
      <c r="C24704" s="11" t="s">
        <v>6665</v>
      </c>
    </row>
    <row r="24705" spans="1:4" ht="25.5" customHeight="1" x14ac:dyDescent="0.2">
      <c r="B24705" s="11" t="s">
        <v>2601</v>
      </c>
      <c r="C24705" s="11"/>
    </row>
    <row r="24706" spans="1:4" ht="12.75" customHeight="1" x14ac:dyDescent="0.2">
      <c r="B24706" s="11" t="s">
        <v>16</v>
      </c>
      <c r="C24706" s="11"/>
    </row>
    <row r="24707" spans="1:4" ht="12.75" customHeight="1" x14ac:dyDescent="0.2">
      <c r="B24707" s="11" t="s">
        <v>13</v>
      </c>
      <c r="C24707" s="11" t="s">
        <v>2602</v>
      </c>
    </row>
    <row r="24708" spans="1:4" ht="12.75" customHeight="1" x14ac:dyDescent="0.2">
      <c r="B24708" s="11" t="s">
        <v>2603</v>
      </c>
      <c r="C24708" s="11" t="s">
        <v>2604</v>
      </c>
    </row>
    <row r="24709" spans="1:4" ht="12.75" customHeight="1" x14ac:dyDescent="0.2">
      <c r="B24709" s="11" t="s">
        <v>2605</v>
      </c>
      <c r="C24709" s="11" t="s">
        <v>24</v>
      </c>
    </row>
    <row r="24710" spans="1:4" ht="12.75" customHeight="1" x14ac:dyDescent="0.2">
      <c r="B24710" s="11" t="s">
        <v>2606</v>
      </c>
      <c r="C24710" s="16" t="s">
        <v>55</v>
      </c>
      <c r="D24710" s="6" t="str">
        <f>HYPERLINK("javascript:void(0)","árnyékláb")</f>
        <v>árnyékláb</v>
      </c>
    </row>
    <row r="24711" spans="1:4" ht="12.75" customHeight="1" x14ac:dyDescent="0.2">
      <c r="B24711" s="2"/>
      <c r="C24711" s="15"/>
      <c r="D24711" s="2"/>
    </row>
    <row r="24712" spans="1:4" ht="12.75" customHeight="1" x14ac:dyDescent="0.2">
      <c r="B24712" s="2"/>
      <c r="C24712" s="15"/>
      <c r="D24712" s="2"/>
    </row>
    <row r="24713" spans="1:4" ht="12.75" customHeight="1" x14ac:dyDescent="0.2">
      <c r="A24713" s="13" t="s">
        <v>6666</v>
      </c>
      <c r="C24713" s="12"/>
    </row>
    <row r="24714" spans="1:4" ht="12.75" customHeight="1" x14ac:dyDescent="0.2">
      <c r="A24714" s="11"/>
      <c r="B24714" s="2"/>
      <c r="C24714" s="15"/>
      <c r="D24714" s="2"/>
    </row>
    <row r="24715" spans="1:4" ht="12.75" customHeight="1" x14ac:dyDescent="0.2">
      <c r="B24715" s="11" t="s">
        <v>0</v>
      </c>
      <c r="C24715" s="11" t="s">
        <v>146</v>
      </c>
    </row>
    <row r="24716" spans="1:4" ht="12.75" customHeight="1" x14ac:dyDescent="0.2">
      <c r="B24716" s="11" t="s">
        <v>2599</v>
      </c>
      <c r="C24716" s="11" t="s">
        <v>6667</v>
      </c>
    </row>
    <row r="24717" spans="1:4" ht="25.5" customHeight="1" x14ac:dyDescent="0.2">
      <c r="B24717" s="11" t="s">
        <v>2600</v>
      </c>
      <c r="C24717" s="11" t="s">
        <v>6668</v>
      </c>
    </row>
    <row r="24718" spans="1:4" ht="25.5" x14ac:dyDescent="0.2">
      <c r="B24718" s="11" t="s">
        <v>2601</v>
      </c>
      <c r="C24718" s="11"/>
    </row>
    <row r="24719" spans="1:4" ht="12.75" customHeight="1" x14ac:dyDescent="0.2">
      <c r="B24719" s="11" t="s">
        <v>16</v>
      </c>
      <c r="C24719" s="11"/>
    </row>
    <row r="24720" spans="1:4" ht="12.75" customHeight="1" x14ac:dyDescent="0.2">
      <c r="B24720" s="11" t="s">
        <v>13</v>
      </c>
      <c r="C24720" s="11" t="s">
        <v>2644</v>
      </c>
    </row>
    <row r="24721" spans="1:4" ht="12.75" customHeight="1" x14ac:dyDescent="0.2">
      <c r="B24721" s="11" t="s">
        <v>2603</v>
      </c>
      <c r="C24721" s="11" t="s">
        <v>2604</v>
      </c>
    </row>
    <row r="24722" spans="1:4" ht="12.75" customHeight="1" x14ac:dyDescent="0.2">
      <c r="B24722" s="11" t="s">
        <v>2605</v>
      </c>
      <c r="C24722" s="11" t="s">
        <v>24</v>
      </c>
    </row>
    <row r="24723" spans="1:4" ht="12.75" customHeight="1" x14ac:dyDescent="0.2">
      <c r="B24723" s="11" t="s">
        <v>2606</v>
      </c>
      <c r="C24723" s="16" t="s">
        <v>56</v>
      </c>
      <c r="D24723" s="6" t="str">
        <f>HYPERLINK("javascript:void(0)","körhallgató")</f>
        <v>körhallgató</v>
      </c>
    </row>
    <row r="24724" spans="1:4" ht="12.75" customHeight="1" x14ac:dyDescent="0.2">
      <c r="B24724" s="2"/>
      <c r="C24724" s="15"/>
      <c r="D24724" s="2"/>
    </row>
    <row r="24725" spans="1:4" ht="12.75" customHeight="1" x14ac:dyDescent="0.2">
      <c r="B24725" s="2"/>
      <c r="C24725" s="15"/>
      <c r="D24725" s="2"/>
    </row>
    <row r="24726" spans="1:4" ht="12.75" customHeight="1" x14ac:dyDescent="0.2">
      <c r="A24726" s="13" t="s">
        <v>6669</v>
      </c>
      <c r="C24726" s="12"/>
    </row>
    <row r="24727" spans="1:4" ht="12.75" customHeight="1" x14ac:dyDescent="0.2">
      <c r="A24727" s="11"/>
      <c r="B24727" s="2"/>
      <c r="C24727" s="15"/>
      <c r="D24727" s="2"/>
    </row>
    <row r="24728" spans="1:4" ht="12.75" customHeight="1" x14ac:dyDescent="0.2">
      <c r="B24728" s="11" t="s">
        <v>0</v>
      </c>
      <c r="C24728" s="11" t="s">
        <v>146</v>
      </c>
    </row>
    <row r="24729" spans="1:4" ht="12.75" customHeight="1" x14ac:dyDescent="0.2">
      <c r="B24729" s="11" t="s">
        <v>2599</v>
      </c>
      <c r="C24729" s="11" t="s">
        <v>6670</v>
      </c>
    </row>
    <row r="24730" spans="1:4" ht="25.5" customHeight="1" x14ac:dyDescent="0.2">
      <c r="B24730" s="11" t="s">
        <v>2600</v>
      </c>
      <c r="C24730" s="11" t="s">
        <v>6671</v>
      </c>
    </row>
    <row r="24731" spans="1:4" ht="25.5" customHeight="1" x14ac:dyDescent="0.2">
      <c r="B24731" s="11" t="s">
        <v>2601</v>
      </c>
      <c r="C24731" s="11"/>
    </row>
    <row r="24732" spans="1:4" ht="12.75" customHeight="1" x14ac:dyDescent="0.2">
      <c r="B24732" s="11" t="s">
        <v>16</v>
      </c>
      <c r="C24732" s="11"/>
    </row>
    <row r="24733" spans="1:4" ht="12.75" customHeight="1" x14ac:dyDescent="0.2">
      <c r="B24733" s="11" t="s">
        <v>13</v>
      </c>
      <c r="C24733" s="11" t="s">
        <v>2602</v>
      </c>
    </row>
    <row r="24734" spans="1:4" ht="12.75" customHeight="1" x14ac:dyDescent="0.2">
      <c r="B24734" s="11" t="s">
        <v>2603</v>
      </c>
      <c r="C24734" s="11" t="s">
        <v>2604</v>
      </c>
    </row>
    <row r="24735" spans="1:4" ht="12.75" customHeight="1" x14ac:dyDescent="0.2">
      <c r="B24735" s="11" t="s">
        <v>2605</v>
      </c>
      <c r="C24735" s="11" t="s">
        <v>14</v>
      </c>
    </row>
    <row r="24736" spans="1:4" ht="25.5" customHeight="1" x14ac:dyDescent="0.2">
      <c r="B24736" s="11" t="s">
        <v>2606</v>
      </c>
      <c r="C24736" s="16" t="s">
        <v>44</v>
      </c>
      <c r="D24736" s="6" t="str">
        <f>HYPERLINK("javascript:void(0)","kommunikációképtele")</f>
        <v>kommunikációképtele</v>
      </c>
    </row>
    <row r="24737" spans="1:4" ht="12.75" customHeight="1" x14ac:dyDescent="0.2">
      <c r="B24737" s="2"/>
      <c r="C24737" s="15"/>
      <c r="D24737" s="2"/>
    </row>
    <row r="24738" spans="1:4" ht="12.75" customHeight="1" x14ac:dyDescent="0.2">
      <c r="B24738" s="2"/>
      <c r="C24738" s="15"/>
      <c r="D24738" s="2"/>
    </row>
    <row r="24739" spans="1:4" ht="12.75" customHeight="1" x14ac:dyDescent="0.2">
      <c r="A24739" s="13" t="s">
        <v>6672</v>
      </c>
      <c r="C24739" s="12"/>
    </row>
    <row r="24740" spans="1:4" ht="12.75" customHeight="1" x14ac:dyDescent="0.2">
      <c r="A24740" s="11"/>
      <c r="B24740" s="2"/>
      <c r="C24740" s="15"/>
      <c r="D24740" s="2"/>
    </row>
    <row r="24741" spans="1:4" ht="12.75" customHeight="1" x14ac:dyDescent="0.2">
      <c r="B24741" s="11" t="s">
        <v>0</v>
      </c>
      <c r="C24741" s="11" t="s">
        <v>146</v>
      </c>
    </row>
    <row r="24742" spans="1:4" ht="12.75" customHeight="1" x14ac:dyDescent="0.2">
      <c r="B24742" s="11" t="s">
        <v>2599</v>
      </c>
      <c r="C24742" s="11" t="s">
        <v>245</v>
      </c>
    </row>
    <row r="24743" spans="1:4" ht="25.5" customHeight="1" x14ac:dyDescent="0.2">
      <c r="B24743" s="11" t="s">
        <v>2600</v>
      </c>
      <c r="C24743" s="11" t="s">
        <v>6673</v>
      </c>
    </row>
    <row r="24744" spans="1:4" ht="25.5" customHeight="1" x14ac:dyDescent="0.2">
      <c r="B24744" s="11" t="s">
        <v>2601</v>
      </c>
      <c r="C24744" s="11"/>
    </row>
    <row r="24745" spans="1:4" ht="12.75" customHeight="1" x14ac:dyDescent="0.2">
      <c r="B24745" s="11" t="s">
        <v>16</v>
      </c>
      <c r="C24745" s="11"/>
    </row>
    <row r="24746" spans="1:4" ht="12.75" customHeight="1" x14ac:dyDescent="0.2">
      <c r="B24746" s="11" t="s">
        <v>13</v>
      </c>
      <c r="C24746" s="11" t="s">
        <v>2644</v>
      </c>
    </row>
    <row r="24747" spans="1:4" ht="12.75" customHeight="1" x14ac:dyDescent="0.2">
      <c r="B24747" s="11" t="s">
        <v>2603</v>
      </c>
      <c r="C24747" s="11" t="s">
        <v>2604</v>
      </c>
    </row>
    <row r="24748" spans="1:4" ht="12.75" customHeight="1" x14ac:dyDescent="0.2">
      <c r="B24748" s="11" t="s">
        <v>2605</v>
      </c>
      <c r="C24748" s="11" t="s">
        <v>24</v>
      </c>
    </row>
    <row r="24749" spans="1:4" ht="12.75" customHeight="1" x14ac:dyDescent="0.2">
      <c r="B24749" s="11" t="s">
        <v>2606</v>
      </c>
      <c r="C24749" s="16" t="s">
        <v>44</v>
      </c>
      <c r="D24749" s="6" t="str">
        <f>HYPERLINK("javascript:void(0)","jégige")</f>
        <v>jégige</v>
      </c>
    </row>
    <row r="24750" spans="1:4" ht="12.75" customHeight="1" x14ac:dyDescent="0.2">
      <c r="B24750" s="2"/>
      <c r="C24750" s="15"/>
      <c r="D24750" s="2"/>
    </row>
    <row r="24751" spans="1:4" ht="12.75" customHeight="1" x14ac:dyDescent="0.2">
      <c r="B24751" s="2"/>
      <c r="C24751" s="15"/>
      <c r="D24751" s="2"/>
    </row>
    <row r="24752" spans="1:4" ht="12.75" customHeight="1" x14ac:dyDescent="0.2">
      <c r="A24752" s="13" t="s">
        <v>6645</v>
      </c>
      <c r="C24752" s="12"/>
      <c r="D24752" s="2"/>
    </row>
    <row r="24753" spans="1:4" ht="12.75" customHeight="1" x14ac:dyDescent="0.2">
      <c r="A24753" s="11"/>
      <c r="B24753" s="2"/>
      <c r="C24753" s="15"/>
      <c r="D24753" s="2"/>
    </row>
    <row r="24754" spans="1:4" ht="12.75" customHeight="1" x14ac:dyDescent="0.2">
      <c r="B24754" s="11" t="s">
        <v>0</v>
      </c>
      <c r="C24754" s="17" t="s">
        <v>146</v>
      </c>
      <c r="D24754" s="2"/>
    </row>
    <row r="24755" spans="1:4" ht="12.75" customHeight="1" x14ac:dyDescent="0.2">
      <c r="B24755" s="11" t="s">
        <v>2599</v>
      </c>
      <c r="C24755" s="17" t="s">
        <v>5660</v>
      </c>
      <c r="D24755" s="2"/>
    </row>
    <row r="24756" spans="1:4" ht="25.5" customHeight="1" x14ac:dyDescent="0.2">
      <c r="B24756" s="11" t="s">
        <v>2600</v>
      </c>
      <c r="C24756" s="17" t="s">
        <v>6674</v>
      </c>
      <c r="D24756" s="2"/>
    </row>
    <row r="24757" spans="1:4" ht="25.5" customHeight="1" x14ac:dyDescent="0.2">
      <c r="B24757" s="11" t="s">
        <v>2601</v>
      </c>
      <c r="C24757" s="17"/>
      <c r="D24757" s="2"/>
    </row>
    <row r="24758" spans="1:4" ht="12.75" customHeight="1" x14ac:dyDescent="0.2">
      <c r="B24758" s="11" t="s">
        <v>16</v>
      </c>
      <c r="C24758" s="17"/>
      <c r="D24758" s="2"/>
    </row>
    <row r="24759" spans="1:4" ht="12.75" customHeight="1" x14ac:dyDescent="0.2">
      <c r="B24759" s="11" t="s">
        <v>13</v>
      </c>
      <c r="C24759" s="17" t="s">
        <v>2602</v>
      </c>
      <c r="D24759" s="2"/>
    </row>
    <row r="24760" spans="1:4" ht="12.75" customHeight="1" x14ac:dyDescent="0.2">
      <c r="B24760" s="11" t="s">
        <v>2603</v>
      </c>
      <c r="C24760" s="17" t="s">
        <v>128</v>
      </c>
      <c r="D24760" s="2"/>
    </row>
    <row r="24761" spans="1:4" ht="12.75" customHeight="1" x14ac:dyDescent="0.2">
      <c r="B24761" s="11" t="s">
        <v>2605</v>
      </c>
      <c r="C24761" s="17" t="s">
        <v>14</v>
      </c>
      <c r="D24761" s="2"/>
    </row>
    <row r="24762" spans="1:4" ht="12.75" customHeight="1" x14ac:dyDescent="0.2">
      <c r="B24762" s="11" t="s">
        <v>2606</v>
      </c>
      <c r="C24762" s="16" t="s">
        <v>19</v>
      </c>
      <c r="D24762" s="2"/>
    </row>
    <row r="24763" spans="1:4" ht="12.75" customHeight="1" x14ac:dyDescent="0.2">
      <c r="B24763" s="2"/>
      <c r="C24763" s="15"/>
      <c r="D24763" s="2"/>
    </row>
    <row r="24764" spans="1:4" ht="12.75" customHeight="1" x14ac:dyDescent="0.2">
      <c r="B24764" s="2"/>
      <c r="C24764" s="15"/>
      <c r="D24764" s="2"/>
    </row>
    <row r="24765" spans="1:4" ht="12.75" customHeight="1" x14ac:dyDescent="0.2">
      <c r="A24765" s="13" t="s">
        <v>6647</v>
      </c>
      <c r="C24765" s="12"/>
      <c r="D24765" s="2"/>
    </row>
    <row r="24766" spans="1:4" ht="12.75" customHeight="1" x14ac:dyDescent="0.2">
      <c r="A24766" s="11"/>
      <c r="B24766" s="2"/>
      <c r="C24766" s="15"/>
      <c r="D24766" s="2"/>
    </row>
    <row r="24767" spans="1:4" ht="12.75" customHeight="1" x14ac:dyDescent="0.2">
      <c r="B24767" s="11" t="s">
        <v>0</v>
      </c>
      <c r="C24767" s="17" t="s">
        <v>146</v>
      </c>
      <c r="D24767" s="2"/>
    </row>
    <row r="24768" spans="1:4" ht="12.75" customHeight="1" x14ac:dyDescent="0.2">
      <c r="B24768" s="11" t="s">
        <v>2599</v>
      </c>
      <c r="C24768" s="17" t="s">
        <v>6648</v>
      </c>
      <c r="D24768" s="2"/>
    </row>
    <row r="24769" spans="1:4" ht="25.5" customHeight="1" x14ac:dyDescent="0.2">
      <c r="B24769" s="11" t="s">
        <v>2600</v>
      </c>
      <c r="C24769" s="17" t="s">
        <v>6675</v>
      </c>
      <c r="D24769" s="2"/>
    </row>
    <row r="24770" spans="1:4" ht="25.5" customHeight="1" x14ac:dyDescent="0.2">
      <c r="B24770" s="11" t="s">
        <v>2601</v>
      </c>
      <c r="C24770" s="17"/>
      <c r="D24770" s="2"/>
    </row>
    <row r="24771" spans="1:4" ht="12.75" customHeight="1" x14ac:dyDescent="0.2">
      <c r="B24771" s="11" t="s">
        <v>16</v>
      </c>
      <c r="C24771" s="17"/>
      <c r="D24771" s="2"/>
    </row>
    <row r="24772" spans="1:4" ht="12.75" customHeight="1" x14ac:dyDescent="0.2">
      <c r="B24772" s="11" t="s">
        <v>13</v>
      </c>
      <c r="C24772" s="17" t="s">
        <v>2644</v>
      </c>
      <c r="D24772" s="2"/>
    </row>
    <row r="24773" spans="1:4" ht="12.75" customHeight="1" x14ac:dyDescent="0.2">
      <c r="B24773" s="11" t="s">
        <v>2603</v>
      </c>
      <c r="C24773" s="17" t="s">
        <v>128</v>
      </c>
      <c r="D24773" s="2"/>
    </row>
    <row r="24774" spans="1:4" ht="12.75" customHeight="1" x14ac:dyDescent="0.2">
      <c r="B24774" s="11" t="s">
        <v>2605</v>
      </c>
      <c r="C24774" s="17" t="s">
        <v>14</v>
      </c>
      <c r="D24774" s="2"/>
    </row>
    <row r="24775" spans="1:4" ht="12.75" customHeight="1" x14ac:dyDescent="0.2">
      <c r="B24775" s="11" t="s">
        <v>2606</v>
      </c>
      <c r="C24775" s="16" t="s">
        <v>19</v>
      </c>
      <c r="D24775" s="2"/>
    </row>
    <row r="24776" spans="1:4" ht="12.75" customHeight="1" x14ac:dyDescent="0.2">
      <c r="B24776" s="2"/>
      <c r="C24776" s="15"/>
      <c r="D24776" s="2"/>
    </row>
    <row r="24777" spans="1:4" ht="12.75" customHeight="1" x14ac:dyDescent="0.2">
      <c r="B24777" s="2"/>
      <c r="C24777" s="15"/>
      <c r="D24777" s="2"/>
    </row>
    <row r="24778" spans="1:4" ht="12.75" customHeight="1" x14ac:dyDescent="0.2">
      <c r="A24778" s="13" t="s">
        <v>6650</v>
      </c>
      <c r="C24778" s="12"/>
      <c r="D24778" s="2"/>
    </row>
    <row r="24779" spans="1:4" ht="12.75" customHeight="1" x14ac:dyDescent="0.2">
      <c r="A24779" s="11"/>
      <c r="B24779" s="2"/>
      <c r="C24779" s="15"/>
      <c r="D24779" s="2"/>
    </row>
    <row r="24780" spans="1:4" ht="12.75" customHeight="1" x14ac:dyDescent="0.2">
      <c r="B24780" s="11" t="s">
        <v>0</v>
      </c>
      <c r="C24780" s="17" t="s">
        <v>146</v>
      </c>
      <c r="D24780" s="2"/>
    </row>
    <row r="24781" spans="1:4" ht="12.75" customHeight="1" x14ac:dyDescent="0.2">
      <c r="B24781" s="11" t="s">
        <v>2599</v>
      </c>
      <c r="C24781" s="17" t="s">
        <v>6327</v>
      </c>
      <c r="D24781" s="2"/>
    </row>
    <row r="24782" spans="1:4" ht="25.5" customHeight="1" x14ac:dyDescent="0.2">
      <c r="B24782" s="11" t="s">
        <v>2600</v>
      </c>
      <c r="C24782" s="17" t="s">
        <v>6676</v>
      </c>
      <c r="D24782" s="2"/>
    </row>
    <row r="24783" spans="1:4" ht="25.5" customHeight="1" x14ac:dyDescent="0.2">
      <c r="B24783" s="11" t="s">
        <v>2601</v>
      </c>
      <c r="C24783" s="17"/>
      <c r="D24783" s="2"/>
    </row>
    <row r="24784" spans="1:4" ht="12.75" customHeight="1" x14ac:dyDescent="0.2">
      <c r="B24784" s="11" t="s">
        <v>16</v>
      </c>
      <c r="C24784" s="17"/>
      <c r="D24784" s="2"/>
    </row>
    <row r="24785" spans="1:4" ht="12.75" customHeight="1" x14ac:dyDescent="0.2">
      <c r="B24785" s="11" t="s">
        <v>13</v>
      </c>
      <c r="C24785" s="17" t="s">
        <v>2602</v>
      </c>
      <c r="D24785" s="2"/>
    </row>
    <row r="24786" spans="1:4" ht="12.75" customHeight="1" x14ac:dyDescent="0.2">
      <c r="B24786" s="11" t="s">
        <v>2603</v>
      </c>
      <c r="C24786" s="17" t="s">
        <v>128</v>
      </c>
      <c r="D24786" s="2"/>
    </row>
    <row r="24787" spans="1:4" ht="12.75" customHeight="1" x14ac:dyDescent="0.2">
      <c r="B24787" s="11" t="s">
        <v>2605</v>
      </c>
      <c r="C24787" s="17" t="s">
        <v>14</v>
      </c>
      <c r="D24787" s="2"/>
    </row>
    <row r="24788" spans="1:4" ht="12.75" customHeight="1" x14ac:dyDescent="0.2">
      <c r="B24788" s="11" t="s">
        <v>2606</v>
      </c>
      <c r="C24788" s="16" t="s">
        <v>19</v>
      </c>
      <c r="D24788" s="2"/>
    </row>
    <row r="24789" spans="1:4" ht="12.75" customHeight="1" x14ac:dyDescent="0.2">
      <c r="B24789" s="2"/>
      <c r="C24789" s="15"/>
      <c r="D24789" s="2"/>
    </row>
    <row r="24790" spans="1:4" ht="12.75" customHeight="1" x14ac:dyDescent="0.2">
      <c r="B24790" s="2"/>
      <c r="C24790" s="15"/>
      <c r="D24790" s="2"/>
    </row>
    <row r="24791" spans="1:4" ht="12.75" customHeight="1" x14ac:dyDescent="0.2">
      <c r="A24791" s="13" t="s">
        <v>6677</v>
      </c>
      <c r="C24791" s="12"/>
    </row>
    <row r="24792" spans="1:4" ht="12.75" customHeight="1" x14ac:dyDescent="0.2">
      <c r="A24792" s="11"/>
      <c r="B24792" s="2"/>
      <c r="C24792" s="15"/>
      <c r="D24792" s="2"/>
    </row>
    <row r="24793" spans="1:4" ht="12.75" customHeight="1" x14ac:dyDescent="0.2">
      <c r="B24793" s="11" t="s">
        <v>0</v>
      </c>
      <c r="C24793" s="11" t="s">
        <v>1373</v>
      </c>
    </row>
    <row r="24794" spans="1:4" ht="12.75" customHeight="1" x14ac:dyDescent="0.2">
      <c r="B24794" s="11" t="s">
        <v>2599</v>
      </c>
      <c r="C24794" s="11" t="s">
        <v>6678</v>
      </c>
    </row>
    <row r="24795" spans="1:4" ht="25.5" customHeight="1" x14ac:dyDescent="0.2">
      <c r="B24795" s="11" t="s">
        <v>2600</v>
      </c>
      <c r="C24795" s="11" t="s">
        <v>6679</v>
      </c>
    </row>
    <row r="24796" spans="1:4" ht="25.5" customHeight="1" x14ac:dyDescent="0.2">
      <c r="B24796" s="11" t="s">
        <v>2601</v>
      </c>
      <c r="C24796" s="11"/>
    </row>
    <row r="24797" spans="1:4" ht="12.75" customHeight="1" x14ac:dyDescent="0.2">
      <c r="B24797" s="11" t="s">
        <v>16</v>
      </c>
      <c r="C24797" s="11"/>
    </row>
    <row r="24798" spans="1:4" ht="12.75" customHeight="1" x14ac:dyDescent="0.2">
      <c r="B24798" s="11" t="s">
        <v>13</v>
      </c>
      <c r="C24798" s="11" t="s">
        <v>2602</v>
      </c>
    </row>
    <row r="24799" spans="1:4" ht="12.75" customHeight="1" x14ac:dyDescent="0.2">
      <c r="B24799" s="11" t="s">
        <v>2603</v>
      </c>
      <c r="C24799" s="11" t="s">
        <v>2604</v>
      </c>
    </row>
    <row r="24800" spans="1:4" ht="12.75" customHeight="1" x14ac:dyDescent="0.2">
      <c r="B24800" s="11" t="s">
        <v>2605</v>
      </c>
      <c r="C24800" s="11" t="s">
        <v>14</v>
      </c>
    </row>
    <row r="24801" spans="1:4" ht="12.75" customHeight="1" x14ac:dyDescent="0.2">
      <c r="B24801" s="11" t="s">
        <v>2606</v>
      </c>
      <c r="C24801" s="16" t="s">
        <v>44</v>
      </c>
      <c r="D24801" s="6" t="str">
        <f>HYPERLINK("javascript:void(0)","plecsni")</f>
        <v>plecsni</v>
      </c>
    </row>
    <row r="24802" spans="1:4" ht="12.75" customHeight="1" x14ac:dyDescent="0.2">
      <c r="B24802" s="2"/>
      <c r="C24802" s="15"/>
      <c r="D24802" s="2"/>
    </row>
    <row r="24803" spans="1:4" ht="12.75" customHeight="1" x14ac:dyDescent="0.2">
      <c r="B24803" s="2"/>
      <c r="C24803" s="15"/>
      <c r="D24803" s="2"/>
    </row>
    <row r="24804" spans="1:4" ht="12.75" customHeight="1" x14ac:dyDescent="0.2">
      <c r="A24804" s="13" t="s">
        <v>6680</v>
      </c>
      <c r="C24804" s="12"/>
      <c r="D24804" s="2"/>
    </row>
    <row r="24805" spans="1:4" ht="12.75" customHeight="1" x14ac:dyDescent="0.2">
      <c r="A24805" s="11"/>
      <c r="B24805" s="2"/>
      <c r="C24805" s="15"/>
      <c r="D24805" s="2"/>
    </row>
    <row r="24806" spans="1:4" ht="12.75" customHeight="1" x14ac:dyDescent="0.2">
      <c r="B24806" s="11" t="s">
        <v>0</v>
      </c>
      <c r="C24806" s="17" t="s">
        <v>1373</v>
      </c>
      <c r="D24806" s="2"/>
    </row>
    <row r="24807" spans="1:4" ht="12.75" customHeight="1" x14ac:dyDescent="0.2">
      <c r="B24807" s="11" t="s">
        <v>2599</v>
      </c>
      <c r="C24807" s="17" t="s">
        <v>6681</v>
      </c>
      <c r="D24807" s="2"/>
    </row>
    <row r="24808" spans="1:4" ht="25.5" customHeight="1" x14ac:dyDescent="0.2">
      <c r="B24808" s="11" t="s">
        <v>2600</v>
      </c>
      <c r="C24808" s="17" t="s">
        <v>6682</v>
      </c>
      <c r="D24808" s="2"/>
    </row>
    <row r="24809" spans="1:4" ht="25.5" customHeight="1" x14ac:dyDescent="0.2">
      <c r="B24809" s="11" t="s">
        <v>2601</v>
      </c>
      <c r="C24809" s="17"/>
      <c r="D24809" s="2"/>
    </row>
    <row r="24810" spans="1:4" ht="12.75" customHeight="1" x14ac:dyDescent="0.2">
      <c r="B24810" s="11" t="s">
        <v>16</v>
      </c>
      <c r="C24810" s="17"/>
      <c r="D24810" s="2"/>
    </row>
    <row r="24811" spans="1:4" ht="12.75" customHeight="1" x14ac:dyDescent="0.2">
      <c r="B24811" s="11" t="s">
        <v>13</v>
      </c>
      <c r="C24811" s="17" t="s">
        <v>2644</v>
      </c>
      <c r="D24811" s="2"/>
    </row>
    <row r="24812" spans="1:4" ht="12.75" customHeight="1" x14ac:dyDescent="0.2">
      <c r="B24812" s="11" t="s">
        <v>2603</v>
      </c>
      <c r="C24812" s="17" t="s">
        <v>2604</v>
      </c>
      <c r="D24812" s="2"/>
    </row>
    <row r="24813" spans="1:4" ht="12.75" customHeight="1" x14ac:dyDescent="0.2">
      <c r="B24813" s="11" t="s">
        <v>2605</v>
      </c>
      <c r="C24813" s="17" t="s">
        <v>14</v>
      </c>
      <c r="D24813" s="2"/>
    </row>
    <row r="24814" spans="1:4" ht="12.75" customHeight="1" x14ac:dyDescent="0.2">
      <c r="B24814" s="11" t="s">
        <v>2606</v>
      </c>
      <c r="C24814" s="16" t="s">
        <v>19</v>
      </c>
      <c r="D24814" s="2"/>
    </row>
    <row r="24815" spans="1:4" ht="12.75" customHeight="1" x14ac:dyDescent="0.2">
      <c r="B24815" s="2"/>
      <c r="C24815" s="15"/>
      <c r="D24815" s="2"/>
    </row>
    <row r="24816" spans="1:4" ht="12.75" customHeight="1" x14ac:dyDescent="0.2">
      <c r="B24816" s="2"/>
      <c r="C24816" s="15"/>
      <c r="D24816" s="2"/>
    </row>
    <row r="24817" spans="1:4" ht="12.75" customHeight="1" x14ac:dyDescent="0.2">
      <c r="A24817" s="13" t="s">
        <v>6683</v>
      </c>
      <c r="C24817" s="12"/>
    </row>
    <row r="24818" spans="1:4" ht="12.75" customHeight="1" x14ac:dyDescent="0.2">
      <c r="A24818" s="11"/>
      <c r="B24818" s="2"/>
      <c r="C24818" s="15"/>
      <c r="D24818" s="2"/>
    </row>
    <row r="24819" spans="1:4" ht="12.75" customHeight="1" x14ac:dyDescent="0.2">
      <c r="B24819" s="11" t="s">
        <v>0</v>
      </c>
      <c r="C24819" s="11" t="s">
        <v>1373</v>
      </c>
    </row>
    <row r="24820" spans="1:4" ht="12.75" customHeight="1" x14ac:dyDescent="0.2">
      <c r="B24820" s="11" t="s">
        <v>2599</v>
      </c>
      <c r="C24820" s="11" t="s">
        <v>6684</v>
      </c>
    </row>
    <row r="24821" spans="1:4" ht="25.5" customHeight="1" x14ac:dyDescent="0.2">
      <c r="B24821" s="11" t="s">
        <v>2600</v>
      </c>
      <c r="C24821" s="11" t="s">
        <v>6685</v>
      </c>
    </row>
    <row r="24822" spans="1:4" ht="25.5" customHeight="1" x14ac:dyDescent="0.2">
      <c r="B24822" s="11" t="s">
        <v>2601</v>
      </c>
      <c r="C24822" s="11"/>
    </row>
    <row r="24823" spans="1:4" ht="12.75" customHeight="1" x14ac:dyDescent="0.2">
      <c r="B24823" s="11" t="s">
        <v>16</v>
      </c>
      <c r="C24823" s="11"/>
    </row>
    <row r="24824" spans="1:4" ht="12.75" customHeight="1" x14ac:dyDescent="0.2">
      <c r="B24824" s="11" t="s">
        <v>13</v>
      </c>
      <c r="C24824" s="11" t="s">
        <v>2602</v>
      </c>
    </row>
    <row r="24825" spans="1:4" ht="12.75" customHeight="1" x14ac:dyDescent="0.2">
      <c r="B24825" s="11" t="s">
        <v>2603</v>
      </c>
      <c r="C24825" s="11" t="s">
        <v>2604</v>
      </c>
    </row>
    <row r="24826" spans="1:4" ht="12.75" customHeight="1" x14ac:dyDescent="0.2">
      <c r="B24826" s="11" t="s">
        <v>2605</v>
      </c>
      <c r="C24826" s="11" t="s">
        <v>24</v>
      </c>
    </row>
    <row r="24827" spans="1:4" ht="25.5" customHeight="1" x14ac:dyDescent="0.2">
      <c r="B24827" s="11" t="s">
        <v>2606</v>
      </c>
      <c r="C24827" s="16" t="s">
        <v>44</v>
      </c>
      <c r="D24827" s="6" t="str">
        <f>HYPERLINK("javascript:void(0)","gyíkacél katana")</f>
        <v>gyíkacél katana</v>
      </c>
    </row>
    <row r="24828" spans="1:4" ht="12.75" customHeight="1" x14ac:dyDescent="0.2">
      <c r="B24828" s="2"/>
      <c r="C24828" s="15"/>
      <c r="D24828" s="2"/>
    </row>
    <row r="24829" spans="1:4" ht="12.75" customHeight="1" x14ac:dyDescent="0.2">
      <c r="B24829" s="2"/>
      <c r="C24829" s="15"/>
      <c r="D24829" s="2"/>
    </row>
    <row r="24830" spans="1:4" ht="12.75" customHeight="1" x14ac:dyDescent="0.2">
      <c r="A24830" s="13" t="s">
        <v>6686</v>
      </c>
      <c r="C24830" s="12"/>
    </row>
    <row r="24831" spans="1:4" ht="12.75" customHeight="1" x14ac:dyDescent="0.2">
      <c r="A24831" s="11"/>
      <c r="B24831" s="2"/>
      <c r="C24831" s="15"/>
      <c r="D24831" s="2"/>
    </row>
    <row r="24832" spans="1:4" ht="12.75" customHeight="1" x14ac:dyDescent="0.2">
      <c r="B24832" s="11" t="s">
        <v>0</v>
      </c>
      <c r="C24832" s="11" t="s">
        <v>1373</v>
      </c>
    </row>
    <row r="24833" spans="1:4" ht="12.75" customHeight="1" x14ac:dyDescent="0.2">
      <c r="B24833" s="11" t="s">
        <v>2599</v>
      </c>
      <c r="C24833" s="11" t="s">
        <v>2676</v>
      </c>
    </row>
    <row r="24834" spans="1:4" ht="25.5" customHeight="1" x14ac:dyDescent="0.2">
      <c r="B24834" s="11" t="s">
        <v>2600</v>
      </c>
      <c r="C24834" s="11" t="s">
        <v>6687</v>
      </c>
    </row>
    <row r="24835" spans="1:4" ht="25.5" customHeight="1" x14ac:dyDescent="0.2">
      <c r="B24835" s="11" t="s">
        <v>2601</v>
      </c>
      <c r="C24835" s="11"/>
    </row>
    <row r="24836" spans="1:4" ht="12.75" customHeight="1" x14ac:dyDescent="0.2">
      <c r="B24836" s="11" t="s">
        <v>16</v>
      </c>
      <c r="C24836" s="11"/>
    </row>
    <row r="24837" spans="1:4" ht="12.75" customHeight="1" x14ac:dyDescent="0.2">
      <c r="B24837" s="11" t="s">
        <v>13</v>
      </c>
      <c r="C24837" s="11" t="s">
        <v>2644</v>
      </c>
    </row>
    <row r="24838" spans="1:4" ht="12.75" customHeight="1" x14ac:dyDescent="0.2">
      <c r="B24838" s="11" t="s">
        <v>2603</v>
      </c>
      <c r="C24838" s="11" t="s">
        <v>2604</v>
      </c>
    </row>
    <row r="24839" spans="1:4" ht="12.75" customHeight="1" x14ac:dyDescent="0.2">
      <c r="B24839" s="11" t="s">
        <v>2605</v>
      </c>
      <c r="C24839" s="11" t="s">
        <v>14</v>
      </c>
    </row>
    <row r="24840" spans="1:4" ht="12.75" customHeight="1" x14ac:dyDescent="0.2">
      <c r="B24840" s="11" t="s">
        <v>2606</v>
      </c>
      <c r="C24840" s="16" t="s">
        <v>44</v>
      </c>
      <c r="D24840" s="6" t="str">
        <f>HYPERLINK("javascript:void(0)","sarok")</f>
        <v>sarok</v>
      </c>
    </row>
    <row r="24841" spans="1:4" ht="12.75" customHeight="1" x14ac:dyDescent="0.2">
      <c r="B24841" s="2"/>
      <c r="C24841" s="15"/>
      <c r="D24841" s="2"/>
    </row>
    <row r="24842" spans="1:4" ht="12.75" customHeight="1" x14ac:dyDescent="0.2">
      <c r="B24842" s="2"/>
      <c r="C24842" s="15"/>
      <c r="D24842" s="2"/>
    </row>
    <row r="24843" spans="1:4" ht="12.75" customHeight="1" x14ac:dyDescent="0.2">
      <c r="A24843" s="13" t="s">
        <v>6688</v>
      </c>
      <c r="C24843" s="12"/>
    </row>
    <row r="24844" spans="1:4" ht="12.75" customHeight="1" x14ac:dyDescent="0.2">
      <c r="A24844" s="11"/>
      <c r="B24844" s="2"/>
      <c r="C24844" s="15"/>
      <c r="D24844" s="2"/>
    </row>
    <row r="24845" spans="1:4" ht="12.75" customHeight="1" x14ac:dyDescent="0.2">
      <c r="B24845" s="11" t="s">
        <v>0</v>
      </c>
      <c r="C24845" s="11" t="s">
        <v>1373</v>
      </c>
    </row>
    <row r="24846" spans="1:4" ht="12.75" customHeight="1" x14ac:dyDescent="0.2">
      <c r="B24846" s="11" t="s">
        <v>2599</v>
      </c>
      <c r="C24846" s="11" t="s">
        <v>6689</v>
      </c>
    </row>
    <row r="24847" spans="1:4" ht="25.5" customHeight="1" x14ac:dyDescent="0.2">
      <c r="B24847" s="11" t="s">
        <v>2600</v>
      </c>
      <c r="C24847" s="11" t="s">
        <v>6690</v>
      </c>
    </row>
    <row r="24848" spans="1:4" ht="25.5" customHeight="1" x14ac:dyDescent="0.2">
      <c r="B24848" s="11" t="s">
        <v>2601</v>
      </c>
      <c r="C24848" s="11"/>
    </row>
    <row r="24849" spans="1:4" ht="12.75" customHeight="1" x14ac:dyDescent="0.2">
      <c r="B24849" s="11" t="s">
        <v>16</v>
      </c>
      <c r="C24849" s="11"/>
    </row>
    <row r="24850" spans="1:4" ht="12.75" customHeight="1" x14ac:dyDescent="0.2">
      <c r="B24850" s="11" t="s">
        <v>13</v>
      </c>
      <c r="C24850" s="11" t="s">
        <v>2602</v>
      </c>
    </row>
    <row r="24851" spans="1:4" ht="12.75" customHeight="1" x14ac:dyDescent="0.2">
      <c r="B24851" s="11" t="s">
        <v>2603</v>
      </c>
      <c r="C24851" s="11" t="s">
        <v>2604</v>
      </c>
    </row>
    <row r="24852" spans="1:4" ht="12.75" customHeight="1" x14ac:dyDescent="0.2">
      <c r="B24852" s="11" t="s">
        <v>2605</v>
      </c>
      <c r="C24852" s="11" t="s">
        <v>24</v>
      </c>
    </row>
    <row r="24853" spans="1:4" ht="12.75" customHeight="1" x14ac:dyDescent="0.2">
      <c r="B24853" s="11" t="s">
        <v>2606</v>
      </c>
      <c r="C24853" s="16" t="s">
        <v>44</v>
      </c>
      <c r="D24853" s="6" t="str">
        <f>HYPERLINK("javascript:void(0)","olvadás")</f>
        <v>olvadás</v>
      </c>
    </row>
    <row r="24854" spans="1:4" ht="12.75" customHeight="1" x14ac:dyDescent="0.2">
      <c r="B24854" s="2"/>
      <c r="C24854" s="15"/>
      <c r="D24854" s="2"/>
    </row>
    <row r="24855" spans="1:4" ht="12.75" customHeight="1" x14ac:dyDescent="0.2">
      <c r="B24855" s="2"/>
      <c r="C24855" s="15"/>
      <c r="D24855" s="2"/>
    </row>
    <row r="24856" spans="1:4" ht="12.75" customHeight="1" x14ac:dyDescent="0.2">
      <c r="A24856" s="13" t="s">
        <v>6691</v>
      </c>
      <c r="C24856" s="12"/>
    </row>
    <row r="24857" spans="1:4" ht="12.75" customHeight="1" x14ac:dyDescent="0.2">
      <c r="A24857" s="11"/>
      <c r="B24857" s="2"/>
      <c r="C24857" s="15"/>
      <c r="D24857" s="2"/>
    </row>
    <row r="24858" spans="1:4" ht="12.75" customHeight="1" x14ac:dyDescent="0.2">
      <c r="B24858" s="11" t="s">
        <v>0</v>
      </c>
      <c r="C24858" s="11" t="s">
        <v>1373</v>
      </c>
    </row>
    <row r="24859" spans="1:4" ht="12.75" customHeight="1" x14ac:dyDescent="0.2">
      <c r="B24859" s="11" t="s">
        <v>2599</v>
      </c>
      <c r="C24859" s="11" t="s">
        <v>6692</v>
      </c>
    </row>
    <row r="24860" spans="1:4" ht="25.5" customHeight="1" x14ac:dyDescent="0.2">
      <c r="B24860" s="11" t="s">
        <v>2600</v>
      </c>
      <c r="C24860" s="11" t="s">
        <v>6693</v>
      </c>
    </row>
    <row r="24861" spans="1:4" ht="25.5" customHeight="1" x14ac:dyDescent="0.2">
      <c r="B24861" s="11" t="s">
        <v>2601</v>
      </c>
      <c r="C24861" s="11"/>
    </row>
    <row r="24862" spans="1:4" ht="12.75" customHeight="1" x14ac:dyDescent="0.2">
      <c r="B24862" s="11" t="s">
        <v>16</v>
      </c>
      <c r="C24862" s="11"/>
    </row>
    <row r="24863" spans="1:4" ht="12.75" customHeight="1" x14ac:dyDescent="0.2">
      <c r="B24863" s="11" t="s">
        <v>13</v>
      </c>
      <c r="C24863" s="11" t="s">
        <v>2644</v>
      </c>
    </row>
    <row r="24864" spans="1:4" ht="12.75" customHeight="1" x14ac:dyDescent="0.2">
      <c r="B24864" s="11" t="s">
        <v>2603</v>
      </c>
      <c r="C24864" s="11" t="s">
        <v>2604</v>
      </c>
    </row>
    <row r="24865" spans="1:4" ht="12.75" customHeight="1" x14ac:dyDescent="0.2">
      <c r="B24865" s="11" t="s">
        <v>2605</v>
      </c>
      <c r="C24865" s="11" t="s">
        <v>14</v>
      </c>
    </row>
    <row r="24866" spans="1:4" ht="12.75" customHeight="1" x14ac:dyDescent="0.2">
      <c r="B24866" s="11" t="s">
        <v>2606</v>
      </c>
      <c r="C24866" s="16" t="s">
        <v>55</v>
      </c>
      <c r="D24866" s="6" t="str">
        <f>HYPERLINK("javascript:void(0)","jégige")</f>
        <v>jégige</v>
      </c>
    </row>
    <row r="24867" spans="1:4" ht="12.75" customHeight="1" x14ac:dyDescent="0.2">
      <c r="B24867" s="2"/>
      <c r="C24867" s="15"/>
      <c r="D24867" s="2"/>
    </row>
    <row r="24868" spans="1:4" ht="12.75" customHeight="1" x14ac:dyDescent="0.2">
      <c r="B24868" s="2"/>
      <c r="C24868" s="15"/>
      <c r="D24868" s="2"/>
    </row>
    <row r="24869" spans="1:4" ht="12.75" customHeight="1" x14ac:dyDescent="0.2">
      <c r="A24869" s="13" t="s">
        <v>6694</v>
      </c>
      <c r="C24869" s="12"/>
    </row>
    <row r="24870" spans="1:4" ht="12.75" customHeight="1" x14ac:dyDescent="0.2">
      <c r="A24870" s="11"/>
      <c r="B24870" s="2"/>
      <c r="C24870" s="15"/>
      <c r="D24870" s="2"/>
    </row>
    <row r="24871" spans="1:4" ht="12.75" customHeight="1" x14ac:dyDescent="0.2">
      <c r="B24871" s="11" t="s">
        <v>0</v>
      </c>
      <c r="C24871" s="11" t="s">
        <v>1373</v>
      </c>
    </row>
    <row r="24872" spans="1:4" ht="12.75" customHeight="1" x14ac:dyDescent="0.2">
      <c r="B24872" s="11" t="s">
        <v>2599</v>
      </c>
      <c r="C24872" s="11" t="s">
        <v>6695</v>
      </c>
    </row>
    <row r="24873" spans="1:4" ht="25.5" customHeight="1" x14ac:dyDescent="0.2">
      <c r="B24873" s="11" t="s">
        <v>2600</v>
      </c>
      <c r="C24873" s="11" t="s">
        <v>6696</v>
      </c>
    </row>
    <row r="24874" spans="1:4" ht="25.5" customHeight="1" x14ac:dyDescent="0.2">
      <c r="B24874" s="11" t="s">
        <v>2601</v>
      </c>
      <c r="C24874" s="11"/>
    </row>
    <row r="24875" spans="1:4" ht="12.75" customHeight="1" x14ac:dyDescent="0.2">
      <c r="B24875" s="11" t="s">
        <v>16</v>
      </c>
      <c r="C24875" s="11"/>
    </row>
    <row r="24876" spans="1:4" ht="12.75" customHeight="1" x14ac:dyDescent="0.2">
      <c r="B24876" s="11" t="s">
        <v>13</v>
      </c>
      <c r="C24876" s="11" t="s">
        <v>2602</v>
      </c>
    </row>
    <row r="24877" spans="1:4" ht="12.75" customHeight="1" x14ac:dyDescent="0.2">
      <c r="B24877" s="11" t="s">
        <v>2603</v>
      </c>
      <c r="C24877" s="11" t="s">
        <v>2604</v>
      </c>
    </row>
    <row r="24878" spans="1:4" ht="12.75" customHeight="1" x14ac:dyDescent="0.2">
      <c r="B24878" s="11" t="s">
        <v>2605</v>
      </c>
      <c r="C24878" s="11" t="s">
        <v>24</v>
      </c>
    </row>
    <row r="24879" spans="1:4" ht="12.75" customHeight="1" x14ac:dyDescent="0.2">
      <c r="B24879" s="11" t="s">
        <v>2606</v>
      </c>
      <c r="C24879" s="16" t="s">
        <v>44</v>
      </c>
      <c r="D24879" s="6" t="str">
        <f>HYPERLINK("javascript:void(0)","védjegy")</f>
        <v>védjegy</v>
      </c>
    </row>
    <row r="24880" spans="1:4" ht="12.75" customHeight="1" x14ac:dyDescent="0.2">
      <c r="B24880" s="2"/>
      <c r="C24880" s="15"/>
      <c r="D24880" s="2"/>
    </row>
    <row r="24881" spans="1:4" ht="12.75" customHeight="1" x14ac:dyDescent="0.2">
      <c r="B24881" s="2"/>
      <c r="C24881" s="15"/>
      <c r="D24881" s="2"/>
    </row>
    <row r="24882" spans="1:4" ht="12.75" customHeight="1" x14ac:dyDescent="0.2">
      <c r="A24882" s="13" t="s">
        <v>6697</v>
      </c>
      <c r="C24882" s="12"/>
    </row>
    <row r="24883" spans="1:4" ht="12.75" customHeight="1" x14ac:dyDescent="0.2">
      <c r="A24883" s="11"/>
      <c r="B24883" s="2"/>
      <c r="C24883" s="15"/>
      <c r="D24883" s="2"/>
    </row>
    <row r="24884" spans="1:4" ht="12.75" customHeight="1" x14ac:dyDescent="0.2">
      <c r="B24884" s="11" t="s">
        <v>0</v>
      </c>
      <c r="C24884" s="11" t="s">
        <v>1373</v>
      </c>
    </row>
    <row r="24885" spans="1:4" ht="12.75" customHeight="1" x14ac:dyDescent="0.2">
      <c r="B24885" s="11" t="s">
        <v>2599</v>
      </c>
      <c r="C24885" s="11" t="s">
        <v>6698</v>
      </c>
    </row>
    <row r="24886" spans="1:4" ht="25.5" customHeight="1" x14ac:dyDescent="0.2">
      <c r="B24886" s="11" t="s">
        <v>2600</v>
      </c>
      <c r="C24886" s="11" t="s">
        <v>6699</v>
      </c>
    </row>
    <row r="24887" spans="1:4" ht="25.5" customHeight="1" x14ac:dyDescent="0.2">
      <c r="B24887" s="11" t="s">
        <v>2601</v>
      </c>
      <c r="C24887" s="11"/>
    </row>
    <row r="24888" spans="1:4" ht="12.75" customHeight="1" x14ac:dyDescent="0.2">
      <c r="B24888" s="11" t="s">
        <v>16</v>
      </c>
      <c r="C24888" s="11"/>
    </row>
    <row r="24889" spans="1:4" ht="12.75" customHeight="1" x14ac:dyDescent="0.2">
      <c r="B24889" s="11" t="s">
        <v>13</v>
      </c>
      <c r="C24889" s="11" t="s">
        <v>2644</v>
      </c>
    </row>
    <row r="24890" spans="1:4" ht="12.75" customHeight="1" x14ac:dyDescent="0.2">
      <c r="B24890" s="11" t="s">
        <v>2603</v>
      </c>
      <c r="C24890" s="11" t="s">
        <v>2604</v>
      </c>
    </row>
    <row r="24891" spans="1:4" ht="12.75" customHeight="1" x14ac:dyDescent="0.2">
      <c r="B24891" s="11" t="s">
        <v>2605</v>
      </c>
      <c r="C24891" s="11" t="s">
        <v>24</v>
      </c>
    </row>
    <row r="24892" spans="1:4" ht="12.75" customHeight="1" x14ac:dyDescent="0.2">
      <c r="B24892" s="11" t="s">
        <v>2606</v>
      </c>
      <c r="C24892" s="16" t="s">
        <v>44</v>
      </c>
      <c r="D24892" s="6" t="str">
        <f>HYPERLINK("javascript:void(0)","hiperzsír")</f>
        <v>hiperzsír</v>
      </c>
    </row>
    <row r="24893" spans="1:4" ht="12.75" customHeight="1" x14ac:dyDescent="0.2">
      <c r="C24893" s="16" t="s">
        <v>44</v>
      </c>
      <c r="D24893" s="6" t="str">
        <f>HYPERLINK("javascript:void(0)","pásztorbot")</f>
        <v>pásztorbot</v>
      </c>
    </row>
    <row r="24894" spans="1:4" ht="12.75" customHeight="1" x14ac:dyDescent="0.2">
      <c r="B24894" s="2"/>
      <c r="C24894" s="15"/>
      <c r="D24894" s="2"/>
    </row>
    <row r="24895" spans="1:4" ht="12.75" customHeight="1" x14ac:dyDescent="0.2">
      <c r="B24895" s="2"/>
      <c r="C24895" s="15"/>
      <c r="D24895" s="2"/>
    </row>
    <row r="24896" spans="1:4" ht="12.75" customHeight="1" x14ac:dyDescent="0.2">
      <c r="A24896" s="13" t="s">
        <v>6645</v>
      </c>
      <c r="C24896" s="12"/>
      <c r="D24896" s="2"/>
    </row>
    <row r="24897" spans="1:4" ht="12.75" customHeight="1" x14ac:dyDescent="0.2">
      <c r="A24897" s="11"/>
      <c r="B24897" s="2"/>
      <c r="C24897" s="15"/>
      <c r="D24897" s="2"/>
    </row>
    <row r="24898" spans="1:4" ht="12.75" customHeight="1" x14ac:dyDescent="0.2">
      <c r="B24898" s="11" t="s">
        <v>0</v>
      </c>
      <c r="C24898" s="17" t="s">
        <v>1373</v>
      </c>
      <c r="D24898" s="2"/>
    </row>
    <row r="24899" spans="1:4" ht="12.75" customHeight="1" x14ac:dyDescent="0.2">
      <c r="B24899" s="11" t="s">
        <v>2599</v>
      </c>
      <c r="C24899" s="17" t="s">
        <v>5660</v>
      </c>
      <c r="D24899" s="2"/>
    </row>
    <row r="24900" spans="1:4" ht="25.5" customHeight="1" x14ac:dyDescent="0.2">
      <c r="B24900" s="11" t="s">
        <v>2600</v>
      </c>
      <c r="C24900" s="17" t="s">
        <v>6700</v>
      </c>
      <c r="D24900" s="2"/>
    </row>
    <row r="24901" spans="1:4" ht="25.5" customHeight="1" x14ac:dyDescent="0.2">
      <c r="B24901" s="11" t="s">
        <v>2601</v>
      </c>
      <c r="C24901" s="17"/>
      <c r="D24901" s="2"/>
    </row>
    <row r="24902" spans="1:4" ht="12.75" customHeight="1" x14ac:dyDescent="0.2">
      <c r="B24902" s="11" t="s">
        <v>16</v>
      </c>
      <c r="C24902" s="17"/>
      <c r="D24902" s="2"/>
    </row>
    <row r="24903" spans="1:4" ht="12.75" customHeight="1" x14ac:dyDescent="0.2">
      <c r="B24903" s="11" t="s">
        <v>13</v>
      </c>
      <c r="C24903" s="17" t="s">
        <v>2602</v>
      </c>
      <c r="D24903" s="2"/>
    </row>
    <row r="24904" spans="1:4" ht="12.75" customHeight="1" x14ac:dyDescent="0.2">
      <c r="B24904" s="11" t="s">
        <v>2603</v>
      </c>
      <c r="C24904" s="17" t="s">
        <v>128</v>
      </c>
      <c r="D24904" s="2"/>
    </row>
    <row r="24905" spans="1:4" ht="12.75" customHeight="1" x14ac:dyDescent="0.2">
      <c r="B24905" s="11" t="s">
        <v>2605</v>
      </c>
      <c r="C24905" s="17" t="s">
        <v>14</v>
      </c>
      <c r="D24905" s="2"/>
    </row>
    <row r="24906" spans="1:4" ht="12.75" customHeight="1" x14ac:dyDescent="0.2">
      <c r="B24906" s="11" t="s">
        <v>2606</v>
      </c>
      <c r="C24906" s="16" t="s">
        <v>19</v>
      </c>
      <c r="D24906" s="2"/>
    </row>
    <row r="24907" spans="1:4" ht="12.75" customHeight="1" x14ac:dyDescent="0.2">
      <c r="B24907" s="2"/>
      <c r="C24907" s="15"/>
      <c r="D24907" s="2"/>
    </row>
    <row r="24908" spans="1:4" ht="12.75" customHeight="1" x14ac:dyDescent="0.2">
      <c r="B24908" s="2"/>
      <c r="C24908" s="15"/>
      <c r="D24908" s="2"/>
    </row>
    <row r="24909" spans="1:4" ht="12.75" customHeight="1" x14ac:dyDescent="0.2">
      <c r="A24909" s="13" t="s">
        <v>6647</v>
      </c>
      <c r="C24909" s="12"/>
      <c r="D24909" s="2"/>
    </row>
    <row r="24910" spans="1:4" ht="12.75" customHeight="1" x14ac:dyDescent="0.2">
      <c r="A24910" s="11"/>
      <c r="B24910" s="2"/>
      <c r="C24910" s="15"/>
      <c r="D24910" s="2"/>
    </row>
    <row r="24911" spans="1:4" ht="12.75" customHeight="1" x14ac:dyDescent="0.2">
      <c r="B24911" s="11" t="s">
        <v>0</v>
      </c>
      <c r="C24911" s="17" t="s">
        <v>1373</v>
      </c>
      <c r="D24911" s="2"/>
    </row>
    <row r="24912" spans="1:4" ht="12.75" customHeight="1" x14ac:dyDescent="0.2">
      <c r="B24912" s="11" t="s">
        <v>2599</v>
      </c>
      <c r="C24912" s="17" t="s">
        <v>6648</v>
      </c>
      <c r="D24912" s="2"/>
    </row>
    <row r="24913" spans="1:4" ht="25.5" customHeight="1" x14ac:dyDescent="0.2">
      <c r="B24913" s="11" t="s">
        <v>2600</v>
      </c>
      <c r="C24913" s="17" t="s">
        <v>6701</v>
      </c>
      <c r="D24913" s="2"/>
    </row>
    <row r="24914" spans="1:4" ht="25.5" customHeight="1" x14ac:dyDescent="0.2">
      <c r="B24914" s="11" t="s">
        <v>2601</v>
      </c>
      <c r="C24914" s="17"/>
      <c r="D24914" s="2"/>
    </row>
    <row r="24915" spans="1:4" ht="12.75" customHeight="1" x14ac:dyDescent="0.2">
      <c r="B24915" s="11" t="s">
        <v>16</v>
      </c>
      <c r="C24915" s="17"/>
      <c r="D24915" s="2"/>
    </row>
    <row r="24916" spans="1:4" ht="12.75" customHeight="1" x14ac:dyDescent="0.2">
      <c r="B24916" s="11" t="s">
        <v>13</v>
      </c>
      <c r="C24916" s="17" t="s">
        <v>2644</v>
      </c>
      <c r="D24916" s="2"/>
    </row>
    <row r="24917" spans="1:4" ht="12.75" customHeight="1" x14ac:dyDescent="0.2">
      <c r="B24917" s="11" t="s">
        <v>2603</v>
      </c>
      <c r="C24917" s="17" t="s">
        <v>128</v>
      </c>
      <c r="D24917" s="2"/>
    </row>
    <row r="24918" spans="1:4" ht="12.75" customHeight="1" x14ac:dyDescent="0.2">
      <c r="B24918" s="11" t="s">
        <v>2605</v>
      </c>
      <c r="C24918" s="17" t="s">
        <v>14</v>
      </c>
      <c r="D24918" s="2"/>
    </row>
    <row r="24919" spans="1:4" ht="12.75" customHeight="1" x14ac:dyDescent="0.2">
      <c r="B24919" s="11" t="s">
        <v>2606</v>
      </c>
      <c r="C24919" s="16" t="s">
        <v>19</v>
      </c>
      <c r="D24919" s="2"/>
    </row>
    <row r="24920" spans="1:4" ht="12.75" customHeight="1" x14ac:dyDescent="0.2">
      <c r="B24920" s="2"/>
      <c r="C24920" s="15"/>
      <c r="D24920" s="2"/>
    </row>
    <row r="24921" spans="1:4" ht="12.75" customHeight="1" x14ac:dyDescent="0.2">
      <c r="B24921" s="2"/>
      <c r="C24921" s="15"/>
      <c r="D24921" s="2"/>
    </row>
    <row r="24922" spans="1:4" ht="12.75" customHeight="1" x14ac:dyDescent="0.2">
      <c r="A24922" s="13" t="s">
        <v>6650</v>
      </c>
      <c r="C24922" s="12"/>
      <c r="D24922" s="2"/>
    </row>
    <row r="24923" spans="1:4" ht="12.75" customHeight="1" x14ac:dyDescent="0.2">
      <c r="A24923" s="11"/>
      <c r="B24923" s="2"/>
      <c r="C24923" s="15"/>
      <c r="D24923" s="2"/>
    </row>
    <row r="24924" spans="1:4" ht="12.75" customHeight="1" x14ac:dyDescent="0.2">
      <c r="B24924" s="11" t="s">
        <v>0</v>
      </c>
      <c r="C24924" s="17" t="s">
        <v>1373</v>
      </c>
      <c r="D24924" s="2"/>
    </row>
    <row r="24925" spans="1:4" ht="12.75" customHeight="1" x14ac:dyDescent="0.2">
      <c r="B24925" s="11" t="s">
        <v>2599</v>
      </c>
      <c r="C24925" s="17" t="s">
        <v>6327</v>
      </c>
      <c r="D24925" s="2"/>
    </row>
    <row r="24926" spans="1:4" ht="25.5" customHeight="1" x14ac:dyDescent="0.2">
      <c r="B24926" s="11" t="s">
        <v>2600</v>
      </c>
      <c r="C24926" s="17" t="s">
        <v>6702</v>
      </c>
      <c r="D24926" s="2"/>
    </row>
    <row r="24927" spans="1:4" ht="25.5" customHeight="1" x14ac:dyDescent="0.2">
      <c r="B24927" s="11" t="s">
        <v>2601</v>
      </c>
      <c r="C24927" s="17"/>
      <c r="D24927" s="2"/>
    </row>
    <row r="24928" spans="1:4" ht="12.75" customHeight="1" x14ac:dyDescent="0.2">
      <c r="B24928" s="11" t="s">
        <v>16</v>
      </c>
      <c r="C24928" s="17"/>
      <c r="D24928" s="2"/>
    </row>
    <row r="24929" spans="1:4" ht="12.75" customHeight="1" x14ac:dyDescent="0.2">
      <c r="B24929" s="11" t="s">
        <v>13</v>
      </c>
      <c r="C24929" s="17" t="s">
        <v>2602</v>
      </c>
      <c r="D24929" s="2"/>
    </row>
    <row r="24930" spans="1:4" ht="12.75" customHeight="1" x14ac:dyDescent="0.2">
      <c r="B24930" s="11" t="s">
        <v>2603</v>
      </c>
      <c r="C24930" s="17" t="s">
        <v>128</v>
      </c>
      <c r="D24930" s="2"/>
    </row>
    <row r="24931" spans="1:4" ht="12.75" customHeight="1" x14ac:dyDescent="0.2">
      <c r="B24931" s="11" t="s">
        <v>2605</v>
      </c>
      <c r="C24931" s="17" t="s">
        <v>14</v>
      </c>
      <c r="D24931" s="2"/>
    </row>
    <row r="24932" spans="1:4" ht="12.75" customHeight="1" x14ac:dyDescent="0.2">
      <c r="B24932" s="11" t="s">
        <v>2606</v>
      </c>
      <c r="C24932" s="16" t="s">
        <v>19</v>
      </c>
      <c r="D24932" s="2"/>
    </row>
    <row r="24933" spans="1:4" ht="12.75" customHeight="1" x14ac:dyDescent="0.2">
      <c r="B24933" s="2"/>
      <c r="C24933" s="15"/>
      <c r="D24933" s="2"/>
    </row>
    <row r="24934" spans="1:4" ht="12.75" customHeight="1" x14ac:dyDescent="0.2">
      <c r="B24934" s="2"/>
      <c r="C24934" s="15"/>
      <c r="D24934" s="2"/>
    </row>
    <row r="24935" spans="1:4" ht="12.75" customHeight="1" x14ac:dyDescent="0.2">
      <c r="A24935" s="13" t="s">
        <v>6703</v>
      </c>
      <c r="C24935" s="12"/>
    </row>
    <row r="24936" spans="1:4" ht="12.75" customHeight="1" x14ac:dyDescent="0.2">
      <c r="A24936" s="11"/>
      <c r="B24936" s="2"/>
      <c r="C24936" s="15"/>
      <c r="D24936" s="2"/>
    </row>
    <row r="24937" spans="1:4" ht="12.75" customHeight="1" x14ac:dyDescent="0.2">
      <c r="B24937" s="11" t="s">
        <v>0</v>
      </c>
      <c r="C24937" s="11" t="s">
        <v>1381</v>
      </c>
    </row>
    <row r="24938" spans="1:4" ht="12.75" customHeight="1" x14ac:dyDescent="0.2">
      <c r="B24938" s="11" t="s">
        <v>2599</v>
      </c>
      <c r="C24938" s="11" t="s">
        <v>6684</v>
      </c>
    </row>
    <row r="24939" spans="1:4" ht="25.5" customHeight="1" x14ac:dyDescent="0.2">
      <c r="B24939" s="11" t="s">
        <v>2600</v>
      </c>
      <c r="C24939" s="11" t="s">
        <v>6704</v>
      </c>
    </row>
    <row r="24940" spans="1:4" ht="25.5" customHeight="1" x14ac:dyDescent="0.2">
      <c r="B24940" s="11" t="s">
        <v>2601</v>
      </c>
      <c r="C24940" s="11"/>
    </row>
    <row r="24941" spans="1:4" ht="12.75" customHeight="1" x14ac:dyDescent="0.2">
      <c r="B24941" s="11" t="s">
        <v>16</v>
      </c>
      <c r="C24941" s="11"/>
    </row>
    <row r="24942" spans="1:4" ht="12.75" customHeight="1" x14ac:dyDescent="0.2">
      <c r="B24942" s="11" t="s">
        <v>13</v>
      </c>
      <c r="C24942" s="11" t="s">
        <v>2602</v>
      </c>
    </row>
    <row r="24943" spans="1:4" ht="12.75" customHeight="1" x14ac:dyDescent="0.2">
      <c r="B24943" s="11" t="s">
        <v>2603</v>
      </c>
      <c r="C24943" s="11" t="s">
        <v>2604</v>
      </c>
    </row>
    <row r="24944" spans="1:4" ht="12.75" customHeight="1" x14ac:dyDescent="0.2">
      <c r="B24944" s="11" t="s">
        <v>2605</v>
      </c>
      <c r="C24944" s="11" t="s">
        <v>14</v>
      </c>
    </row>
    <row r="24945" spans="1:4" ht="12.75" customHeight="1" x14ac:dyDescent="0.2">
      <c r="B24945" s="11" t="s">
        <v>2606</v>
      </c>
      <c r="C24945" s="16" t="s">
        <v>55</v>
      </c>
      <c r="D24945" s="6" t="str">
        <f>HYPERLINK("javascript:void(0)","istenköröm")</f>
        <v>istenköröm</v>
      </c>
    </row>
    <row r="24946" spans="1:4" ht="12.75" customHeight="1" x14ac:dyDescent="0.2">
      <c r="C24946" s="16" t="s">
        <v>56</v>
      </c>
      <c r="D24946" s="6" t="str">
        <f>HYPERLINK("javascript:void(0)","bikacsök")</f>
        <v>bikacsök</v>
      </c>
    </row>
    <row r="24947" spans="1:4" ht="12.75" customHeight="1" x14ac:dyDescent="0.2">
      <c r="B24947" s="2"/>
      <c r="C24947" s="15"/>
      <c r="D24947" s="2"/>
    </row>
    <row r="24948" spans="1:4" ht="12.75" customHeight="1" x14ac:dyDescent="0.2">
      <c r="B24948" s="2"/>
      <c r="C24948" s="15"/>
      <c r="D24948" s="2"/>
    </row>
    <row r="24949" spans="1:4" ht="12.75" customHeight="1" x14ac:dyDescent="0.2">
      <c r="A24949" s="13" t="s">
        <v>6705</v>
      </c>
      <c r="C24949" s="12"/>
    </row>
    <row r="24950" spans="1:4" ht="12.75" customHeight="1" x14ac:dyDescent="0.2">
      <c r="A24950" s="11"/>
      <c r="B24950" s="2"/>
      <c r="C24950" s="15"/>
      <c r="D24950" s="2"/>
    </row>
    <row r="24951" spans="1:4" ht="12.75" customHeight="1" x14ac:dyDescent="0.2">
      <c r="B24951" s="11" t="s">
        <v>0</v>
      </c>
      <c r="C24951" s="11" t="s">
        <v>1381</v>
      </c>
    </row>
    <row r="24952" spans="1:4" ht="12.75" customHeight="1" x14ac:dyDescent="0.2">
      <c r="B24952" s="11" t="s">
        <v>2599</v>
      </c>
      <c r="C24952" s="11" t="s">
        <v>2378</v>
      </c>
    </row>
    <row r="24953" spans="1:4" ht="25.5" customHeight="1" x14ac:dyDescent="0.2">
      <c r="B24953" s="11" t="s">
        <v>2600</v>
      </c>
      <c r="C24953" s="11" t="s">
        <v>6706</v>
      </c>
    </row>
    <row r="24954" spans="1:4" ht="25.5" customHeight="1" x14ac:dyDescent="0.2">
      <c r="B24954" s="11" t="s">
        <v>2601</v>
      </c>
      <c r="C24954" s="11"/>
    </row>
    <row r="24955" spans="1:4" ht="12.75" customHeight="1" x14ac:dyDescent="0.2">
      <c r="B24955" s="11" t="s">
        <v>16</v>
      </c>
      <c r="C24955" s="11"/>
    </row>
    <row r="24956" spans="1:4" ht="12.75" customHeight="1" x14ac:dyDescent="0.2">
      <c r="B24956" s="11" t="s">
        <v>13</v>
      </c>
      <c r="C24956" s="11" t="s">
        <v>2644</v>
      </c>
    </row>
    <row r="24957" spans="1:4" ht="12.75" customHeight="1" x14ac:dyDescent="0.2">
      <c r="B24957" s="11" t="s">
        <v>2603</v>
      </c>
      <c r="C24957" s="11" t="s">
        <v>2604</v>
      </c>
    </row>
    <row r="24958" spans="1:4" ht="12.75" customHeight="1" x14ac:dyDescent="0.2">
      <c r="B24958" s="11" t="s">
        <v>2605</v>
      </c>
      <c r="C24958" s="11" t="s">
        <v>14</v>
      </c>
    </row>
    <row r="24959" spans="1:4" ht="12.75" customHeight="1" x14ac:dyDescent="0.2">
      <c r="B24959" s="11" t="s">
        <v>2606</v>
      </c>
      <c r="C24959" s="16" t="s">
        <v>56</v>
      </c>
      <c r="D24959" s="6" t="str">
        <f>HYPERLINK("javascript:void(0)","gyűrű")</f>
        <v>gyűrű</v>
      </c>
    </row>
    <row r="24960" spans="1:4" ht="12.75" customHeight="1" x14ac:dyDescent="0.2">
      <c r="B24960" s="2"/>
      <c r="C24960" s="15"/>
      <c r="D24960" s="2"/>
    </row>
    <row r="24961" spans="1:4" ht="12.75" customHeight="1" x14ac:dyDescent="0.2">
      <c r="B24961" s="2"/>
      <c r="C24961" s="15"/>
      <c r="D24961" s="2"/>
    </row>
    <row r="24962" spans="1:4" ht="12.75" customHeight="1" x14ac:dyDescent="0.2">
      <c r="A24962" s="13" t="s">
        <v>6707</v>
      </c>
      <c r="C24962" s="12"/>
    </row>
    <row r="24963" spans="1:4" ht="12.75" customHeight="1" x14ac:dyDescent="0.2">
      <c r="A24963" s="11"/>
      <c r="B24963" s="2"/>
      <c r="C24963" s="15"/>
      <c r="D24963" s="2"/>
    </row>
    <row r="24964" spans="1:4" ht="12.75" customHeight="1" x14ac:dyDescent="0.2">
      <c r="B24964" s="11" t="s">
        <v>0</v>
      </c>
      <c r="C24964" s="11" t="s">
        <v>1381</v>
      </c>
    </row>
    <row r="24965" spans="1:4" ht="12.75" customHeight="1" x14ac:dyDescent="0.2">
      <c r="B24965" s="11" t="s">
        <v>2599</v>
      </c>
      <c r="C24965" s="11" t="s">
        <v>6708</v>
      </c>
    </row>
    <row r="24966" spans="1:4" ht="25.5" customHeight="1" x14ac:dyDescent="0.2">
      <c r="B24966" s="11" t="s">
        <v>2600</v>
      </c>
      <c r="C24966" s="11" t="s">
        <v>6709</v>
      </c>
    </row>
    <row r="24967" spans="1:4" ht="25.5" customHeight="1" x14ac:dyDescent="0.2">
      <c r="B24967" s="11" t="s">
        <v>2601</v>
      </c>
      <c r="C24967" s="11"/>
    </row>
    <row r="24968" spans="1:4" ht="12.75" customHeight="1" x14ac:dyDescent="0.2">
      <c r="B24968" s="11" t="s">
        <v>16</v>
      </c>
      <c r="C24968" s="11"/>
    </row>
    <row r="24969" spans="1:4" ht="12.75" customHeight="1" x14ac:dyDescent="0.2">
      <c r="B24969" s="11" t="s">
        <v>13</v>
      </c>
      <c r="C24969" s="11" t="s">
        <v>2602</v>
      </c>
    </row>
    <row r="24970" spans="1:4" ht="12.75" customHeight="1" x14ac:dyDescent="0.2">
      <c r="B24970" s="11" t="s">
        <v>2603</v>
      </c>
      <c r="C24970" s="11" t="s">
        <v>2604</v>
      </c>
    </row>
    <row r="24971" spans="1:4" ht="12.75" customHeight="1" x14ac:dyDescent="0.2">
      <c r="B24971" s="11" t="s">
        <v>2605</v>
      </c>
      <c r="C24971" s="11" t="s">
        <v>14</v>
      </c>
    </row>
    <row r="24972" spans="1:4" ht="12.75" customHeight="1" x14ac:dyDescent="0.2">
      <c r="B24972" s="11" t="s">
        <v>2606</v>
      </c>
      <c r="C24972" s="16" t="s">
        <v>44</v>
      </c>
      <c r="D24972" s="6" t="str">
        <f>HYPERLINK("javascript:void(0)","gumilepedő")</f>
        <v>gumilepedő</v>
      </c>
    </row>
    <row r="24973" spans="1:4" ht="12.75" customHeight="1" x14ac:dyDescent="0.2">
      <c r="B24973" s="2"/>
      <c r="C24973" s="15"/>
      <c r="D24973" s="2"/>
    </row>
    <row r="24974" spans="1:4" ht="12.75" customHeight="1" x14ac:dyDescent="0.2">
      <c r="B24974" s="2"/>
      <c r="C24974" s="15"/>
      <c r="D24974" s="2"/>
    </row>
    <row r="24975" spans="1:4" ht="12.75" customHeight="1" x14ac:dyDescent="0.2">
      <c r="A24975" s="13" t="s">
        <v>6710</v>
      </c>
      <c r="C24975" s="12"/>
    </row>
    <row r="24976" spans="1:4" ht="12.75" customHeight="1" x14ac:dyDescent="0.2">
      <c r="A24976" s="11"/>
      <c r="B24976" s="2"/>
      <c r="C24976" s="15"/>
      <c r="D24976" s="2"/>
    </row>
    <row r="24977" spans="1:4" ht="12.75" customHeight="1" x14ac:dyDescent="0.2">
      <c r="B24977" s="11" t="s">
        <v>0</v>
      </c>
      <c r="C24977" s="11" t="s">
        <v>1381</v>
      </c>
    </row>
    <row r="24978" spans="1:4" ht="12.75" customHeight="1" x14ac:dyDescent="0.2">
      <c r="B24978" s="11" t="s">
        <v>2599</v>
      </c>
      <c r="C24978" s="11" t="s">
        <v>4223</v>
      </c>
    </row>
    <row r="24979" spans="1:4" ht="25.5" customHeight="1" x14ac:dyDescent="0.2">
      <c r="B24979" s="11" t="s">
        <v>2600</v>
      </c>
      <c r="C24979" s="11" t="s">
        <v>6711</v>
      </c>
    </row>
    <row r="24980" spans="1:4" ht="25.5" customHeight="1" x14ac:dyDescent="0.2">
      <c r="B24980" s="11" t="s">
        <v>2601</v>
      </c>
      <c r="C24980" s="11"/>
    </row>
    <row r="24981" spans="1:4" ht="12.75" customHeight="1" x14ac:dyDescent="0.2">
      <c r="B24981" s="11" t="s">
        <v>16</v>
      </c>
      <c r="C24981" s="11"/>
    </row>
    <row r="24982" spans="1:4" ht="12.75" customHeight="1" x14ac:dyDescent="0.2">
      <c r="B24982" s="11" t="s">
        <v>13</v>
      </c>
      <c r="C24982" s="11" t="s">
        <v>2644</v>
      </c>
    </row>
    <row r="24983" spans="1:4" ht="12.75" customHeight="1" x14ac:dyDescent="0.2">
      <c r="B24983" s="11" t="s">
        <v>2603</v>
      </c>
      <c r="C24983" s="11" t="s">
        <v>2604</v>
      </c>
    </row>
    <row r="24984" spans="1:4" ht="12.75" customHeight="1" x14ac:dyDescent="0.2">
      <c r="B24984" s="11" t="s">
        <v>2605</v>
      </c>
      <c r="C24984" s="11" t="s">
        <v>14</v>
      </c>
    </row>
    <row r="24985" spans="1:4" ht="12.75" customHeight="1" x14ac:dyDescent="0.2">
      <c r="B24985" s="11" t="s">
        <v>2606</v>
      </c>
      <c r="C24985" s="16" t="s">
        <v>130</v>
      </c>
      <c r="D24985" s="6" t="str">
        <f>HYPERLINK("javascript:void(0)","kaja")</f>
        <v>kaja</v>
      </c>
    </row>
    <row r="24986" spans="1:4" ht="12.75" customHeight="1" x14ac:dyDescent="0.2">
      <c r="C24986" s="16" t="s">
        <v>56</v>
      </c>
      <c r="D24986" s="6" t="str">
        <f>HYPERLINK("javascript:void(0)","dínófog")</f>
        <v>dínófog</v>
      </c>
    </row>
    <row r="24987" spans="1:4" ht="12.75" customHeight="1" x14ac:dyDescent="0.2">
      <c r="B24987" s="2"/>
      <c r="C24987" s="15"/>
      <c r="D24987" s="2"/>
    </row>
    <row r="24988" spans="1:4" ht="12.75" customHeight="1" x14ac:dyDescent="0.2">
      <c r="B24988" s="2"/>
      <c r="C24988" s="15"/>
      <c r="D24988" s="2"/>
    </row>
    <row r="24989" spans="1:4" ht="12.75" customHeight="1" x14ac:dyDescent="0.2">
      <c r="A24989" s="13" t="s">
        <v>6712</v>
      </c>
      <c r="C24989" s="12"/>
    </row>
    <row r="24990" spans="1:4" ht="12.75" customHeight="1" x14ac:dyDescent="0.2">
      <c r="A24990" s="11"/>
      <c r="B24990" s="2"/>
      <c r="C24990" s="15"/>
      <c r="D24990" s="2"/>
    </row>
    <row r="24991" spans="1:4" ht="12.75" customHeight="1" x14ac:dyDescent="0.2">
      <c r="B24991" s="11" t="s">
        <v>0</v>
      </c>
      <c r="C24991" s="11" t="s">
        <v>1381</v>
      </c>
    </row>
    <row r="24992" spans="1:4" ht="12.75" customHeight="1" x14ac:dyDescent="0.2">
      <c r="B24992" s="11" t="s">
        <v>2599</v>
      </c>
      <c r="C24992" s="11" t="s">
        <v>6713</v>
      </c>
    </row>
    <row r="24993" spans="1:4" ht="25.5" customHeight="1" x14ac:dyDescent="0.2">
      <c r="B24993" s="11" t="s">
        <v>2600</v>
      </c>
      <c r="C24993" s="11" t="s">
        <v>6714</v>
      </c>
    </row>
    <row r="24994" spans="1:4" ht="25.5" customHeight="1" x14ac:dyDescent="0.2">
      <c r="B24994" s="11" t="s">
        <v>2601</v>
      </c>
      <c r="C24994" s="11"/>
    </row>
    <row r="24995" spans="1:4" ht="12.75" customHeight="1" x14ac:dyDescent="0.2">
      <c r="B24995" s="11" t="s">
        <v>16</v>
      </c>
      <c r="C24995" s="11"/>
    </row>
    <row r="24996" spans="1:4" ht="12.75" customHeight="1" x14ac:dyDescent="0.2">
      <c r="B24996" s="11" t="s">
        <v>13</v>
      </c>
      <c r="C24996" s="11" t="s">
        <v>2602</v>
      </c>
    </row>
    <row r="24997" spans="1:4" ht="12.75" customHeight="1" x14ac:dyDescent="0.2">
      <c r="B24997" s="11" t="s">
        <v>2603</v>
      </c>
      <c r="C24997" s="11" t="s">
        <v>2604</v>
      </c>
    </row>
    <row r="24998" spans="1:4" ht="12.75" customHeight="1" x14ac:dyDescent="0.2">
      <c r="B24998" s="11" t="s">
        <v>2605</v>
      </c>
      <c r="C24998" s="11" t="s">
        <v>24</v>
      </c>
    </row>
    <row r="24999" spans="1:4" ht="12.75" customHeight="1" x14ac:dyDescent="0.2">
      <c r="B24999" s="11" t="s">
        <v>2606</v>
      </c>
      <c r="C24999" s="16" t="s">
        <v>56</v>
      </c>
      <c r="D24999" s="6" t="str">
        <f>HYPERLINK("javascript:void(0)","nyújtózás")</f>
        <v>nyújtózás</v>
      </c>
    </row>
    <row r="25000" spans="1:4" ht="12.75" customHeight="1" x14ac:dyDescent="0.2">
      <c r="B25000" s="2"/>
      <c r="C25000" s="15"/>
      <c r="D25000" s="2"/>
    </row>
    <row r="25001" spans="1:4" ht="12.75" customHeight="1" x14ac:dyDescent="0.2">
      <c r="B25001" s="2"/>
      <c r="C25001" s="15"/>
      <c r="D25001" s="2"/>
    </row>
    <row r="25002" spans="1:4" ht="12.75" customHeight="1" x14ac:dyDescent="0.2">
      <c r="A25002" s="13" t="s">
        <v>6715</v>
      </c>
      <c r="C25002" s="12"/>
    </row>
    <row r="25003" spans="1:4" ht="12.75" customHeight="1" x14ac:dyDescent="0.2">
      <c r="A25003" s="11"/>
      <c r="B25003" s="2"/>
      <c r="C25003" s="15"/>
      <c r="D25003" s="2"/>
    </row>
    <row r="25004" spans="1:4" ht="12.75" customHeight="1" x14ac:dyDescent="0.2">
      <c r="B25004" s="11" t="s">
        <v>0</v>
      </c>
      <c r="C25004" s="11" t="s">
        <v>1381</v>
      </c>
    </row>
    <row r="25005" spans="1:4" ht="12.75" customHeight="1" x14ac:dyDescent="0.2">
      <c r="B25005" s="11" t="s">
        <v>2599</v>
      </c>
      <c r="C25005" s="11" t="s">
        <v>6716</v>
      </c>
    </row>
    <row r="25006" spans="1:4" ht="25.5" customHeight="1" x14ac:dyDescent="0.2">
      <c r="B25006" s="11" t="s">
        <v>2600</v>
      </c>
      <c r="C25006" s="11" t="s">
        <v>6717</v>
      </c>
    </row>
    <row r="25007" spans="1:4" ht="25.5" customHeight="1" x14ac:dyDescent="0.2">
      <c r="B25007" s="11" t="s">
        <v>2601</v>
      </c>
      <c r="C25007" s="11"/>
    </row>
    <row r="25008" spans="1:4" ht="12.75" customHeight="1" x14ac:dyDescent="0.2">
      <c r="B25008" s="11" t="s">
        <v>16</v>
      </c>
      <c r="C25008" s="11"/>
    </row>
    <row r="25009" spans="1:4" ht="12.75" customHeight="1" x14ac:dyDescent="0.2">
      <c r="B25009" s="11" t="s">
        <v>13</v>
      </c>
      <c r="C25009" s="11" t="s">
        <v>2644</v>
      </c>
    </row>
    <row r="25010" spans="1:4" ht="12.75" customHeight="1" x14ac:dyDescent="0.2">
      <c r="B25010" s="11" t="s">
        <v>2603</v>
      </c>
      <c r="C25010" s="11" t="s">
        <v>2604</v>
      </c>
    </row>
    <row r="25011" spans="1:4" ht="12.75" customHeight="1" x14ac:dyDescent="0.2">
      <c r="B25011" s="11" t="s">
        <v>2605</v>
      </c>
      <c r="C25011" s="11" t="s">
        <v>24</v>
      </c>
    </row>
    <row r="25012" spans="1:4" ht="12.75" customHeight="1" x14ac:dyDescent="0.2">
      <c r="B25012" s="11" t="s">
        <v>2606</v>
      </c>
      <c r="C25012" s="16" t="s">
        <v>44</v>
      </c>
      <c r="D25012" s="6" t="str">
        <f>HYPERLINK("javascript:void(0)","öbleny")</f>
        <v>öbleny</v>
      </c>
    </row>
    <row r="25013" spans="1:4" ht="12.75" customHeight="1" x14ac:dyDescent="0.2">
      <c r="B25013" s="2"/>
      <c r="C25013" s="15"/>
      <c r="D25013" s="2"/>
    </row>
    <row r="25014" spans="1:4" ht="12.75" customHeight="1" x14ac:dyDescent="0.2">
      <c r="B25014" s="2"/>
      <c r="C25014" s="15"/>
      <c r="D25014" s="2"/>
    </row>
    <row r="25015" spans="1:4" ht="12.75" customHeight="1" x14ac:dyDescent="0.2">
      <c r="A25015" s="13" t="s">
        <v>6718</v>
      </c>
      <c r="C25015" s="12"/>
    </row>
    <row r="25016" spans="1:4" ht="12.75" customHeight="1" x14ac:dyDescent="0.2">
      <c r="A25016" s="11"/>
      <c r="B25016" s="2"/>
      <c r="C25016" s="15"/>
      <c r="D25016" s="2"/>
    </row>
    <row r="25017" spans="1:4" ht="12.75" customHeight="1" x14ac:dyDescent="0.2">
      <c r="B25017" s="11" t="s">
        <v>0</v>
      </c>
      <c r="C25017" s="11" t="s">
        <v>1381</v>
      </c>
    </row>
    <row r="25018" spans="1:4" ht="12.75" customHeight="1" x14ac:dyDescent="0.2">
      <c r="B25018" s="11" t="s">
        <v>2599</v>
      </c>
      <c r="C25018" s="11" t="s">
        <v>6719</v>
      </c>
    </row>
    <row r="25019" spans="1:4" ht="25.5" customHeight="1" x14ac:dyDescent="0.2">
      <c r="B25019" s="11" t="s">
        <v>2600</v>
      </c>
      <c r="C25019" s="11" t="s">
        <v>6720</v>
      </c>
    </row>
    <row r="25020" spans="1:4" ht="25.5" customHeight="1" x14ac:dyDescent="0.2">
      <c r="B25020" s="11" t="s">
        <v>2601</v>
      </c>
      <c r="C25020" s="11"/>
    </row>
    <row r="25021" spans="1:4" ht="12.75" customHeight="1" x14ac:dyDescent="0.2">
      <c r="B25021" s="11" t="s">
        <v>16</v>
      </c>
      <c r="C25021" s="11"/>
    </row>
    <row r="25022" spans="1:4" ht="12.75" customHeight="1" x14ac:dyDescent="0.2">
      <c r="B25022" s="11" t="s">
        <v>13</v>
      </c>
      <c r="C25022" s="11" t="s">
        <v>2602</v>
      </c>
    </row>
    <row r="25023" spans="1:4" ht="12.75" customHeight="1" x14ac:dyDescent="0.2">
      <c r="B25023" s="11" t="s">
        <v>2603</v>
      </c>
      <c r="C25023" s="11" t="s">
        <v>2604</v>
      </c>
    </row>
    <row r="25024" spans="1:4" ht="12.75" customHeight="1" x14ac:dyDescent="0.2">
      <c r="B25024" s="11" t="s">
        <v>2605</v>
      </c>
      <c r="C25024" s="11" t="s">
        <v>24</v>
      </c>
    </row>
    <row r="25025" spans="1:4" ht="12.75" customHeight="1" x14ac:dyDescent="0.2">
      <c r="B25025" s="11" t="s">
        <v>2606</v>
      </c>
      <c r="C25025" s="16" t="s">
        <v>6721</v>
      </c>
      <c r="D25025" s="6" t="str">
        <f>HYPERLINK("javascript:void(0)","ezüst")</f>
        <v>ezüst</v>
      </c>
    </row>
    <row r="25026" spans="1:4" ht="12.75" customHeight="1" x14ac:dyDescent="0.2">
      <c r="B25026" s="2"/>
      <c r="C25026" s="15"/>
      <c r="D25026" s="2"/>
    </row>
    <row r="25027" spans="1:4" ht="12.75" customHeight="1" x14ac:dyDescent="0.2">
      <c r="B25027" s="2"/>
      <c r="C25027" s="15"/>
      <c r="D25027" s="2"/>
    </row>
    <row r="25028" spans="1:4" ht="12.75" customHeight="1" x14ac:dyDescent="0.2">
      <c r="A25028" s="13" t="s">
        <v>6722</v>
      </c>
      <c r="C25028" s="12"/>
    </row>
    <row r="25029" spans="1:4" ht="12.75" customHeight="1" x14ac:dyDescent="0.2">
      <c r="A25029" s="11"/>
      <c r="B25029" s="2"/>
      <c r="C25029" s="15"/>
      <c r="D25029" s="2"/>
    </row>
    <row r="25030" spans="1:4" ht="12.75" customHeight="1" x14ac:dyDescent="0.2">
      <c r="B25030" s="11" t="s">
        <v>0</v>
      </c>
      <c r="C25030" s="11" t="s">
        <v>1381</v>
      </c>
    </row>
    <row r="25031" spans="1:4" ht="12.75" customHeight="1" x14ac:dyDescent="0.2">
      <c r="B25031" s="11" t="s">
        <v>2599</v>
      </c>
      <c r="C25031" s="11" t="s">
        <v>6723</v>
      </c>
    </row>
    <row r="25032" spans="1:4" ht="25.5" customHeight="1" x14ac:dyDescent="0.2">
      <c r="B25032" s="11" t="s">
        <v>2600</v>
      </c>
      <c r="C25032" s="11" t="s">
        <v>6724</v>
      </c>
    </row>
    <row r="25033" spans="1:4" ht="25.5" customHeight="1" x14ac:dyDescent="0.2">
      <c r="B25033" s="11" t="s">
        <v>2601</v>
      </c>
      <c r="C25033" s="11"/>
    </row>
    <row r="25034" spans="1:4" ht="12.75" customHeight="1" x14ac:dyDescent="0.2">
      <c r="B25034" s="11" t="s">
        <v>16</v>
      </c>
      <c r="C25034" s="11"/>
    </row>
    <row r="25035" spans="1:4" ht="12.75" customHeight="1" x14ac:dyDescent="0.2">
      <c r="B25035" s="11" t="s">
        <v>13</v>
      </c>
      <c r="C25035" s="11" t="s">
        <v>2644</v>
      </c>
    </row>
    <row r="25036" spans="1:4" ht="12.75" customHeight="1" x14ac:dyDescent="0.2">
      <c r="B25036" s="11" t="s">
        <v>2603</v>
      </c>
      <c r="C25036" s="11" t="s">
        <v>2604</v>
      </c>
    </row>
    <row r="25037" spans="1:4" ht="12.75" customHeight="1" x14ac:dyDescent="0.2">
      <c r="B25037" s="11" t="s">
        <v>2605</v>
      </c>
      <c r="C25037" s="11" t="s">
        <v>24</v>
      </c>
    </row>
    <row r="25038" spans="1:4" ht="12.75" customHeight="1" x14ac:dyDescent="0.2">
      <c r="B25038" s="11" t="s">
        <v>2606</v>
      </c>
      <c r="C25038" s="16" t="s">
        <v>44</v>
      </c>
      <c r="D25038" s="6" t="str">
        <f>HYPERLINK("javascript:void(0)","árnyige")</f>
        <v>árnyige</v>
      </c>
    </row>
    <row r="25039" spans="1:4" ht="12.75" customHeight="1" x14ac:dyDescent="0.2">
      <c r="B25039" s="2"/>
      <c r="C25039" s="15"/>
      <c r="D25039" s="2"/>
    </row>
    <row r="25040" spans="1:4" ht="12.75" customHeight="1" x14ac:dyDescent="0.2">
      <c r="B25040" s="2"/>
      <c r="C25040" s="15"/>
      <c r="D25040" s="2"/>
    </row>
    <row r="25041" spans="1:4" ht="12.75" customHeight="1" x14ac:dyDescent="0.2">
      <c r="A25041" s="13" t="s">
        <v>6645</v>
      </c>
      <c r="C25041" s="12"/>
      <c r="D25041" s="2"/>
    </row>
    <row r="25042" spans="1:4" ht="12.75" customHeight="1" x14ac:dyDescent="0.2">
      <c r="A25042" s="11"/>
      <c r="B25042" s="2"/>
      <c r="C25042" s="15"/>
      <c r="D25042" s="2"/>
    </row>
    <row r="25043" spans="1:4" ht="12.75" customHeight="1" x14ac:dyDescent="0.2">
      <c r="B25043" s="11" t="s">
        <v>0</v>
      </c>
      <c r="C25043" s="17" t="s">
        <v>1381</v>
      </c>
      <c r="D25043" s="2"/>
    </row>
    <row r="25044" spans="1:4" ht="12.75" customHeight="1" x14ac:dyDescent="0.2">
      <c r="B25044" s="11" t="s">
        <v>2599</v>
      </c>
      <c r="C25044" s="17" t="s">
        <v>5660</v>
      </c>
      <c r="D25044" s="2"/>
    </row>
    <row r="25045" spans="1:4" ht="25.5" customHeight="1" x14ac:dyDescent="0.2">
      <c r="B25045" s="11" t="s">
        <v>2600</v>
      </c>
      <c r="C25045" s="17" t="s">
        <v>6725</v>
      </c>
      <c r="D25045" s="2"/>
    </row>
    <row r="25046" spans="1:4" ht="25.5" customHeight="1" x14ac:dyDescent="0.2">
      <c r="B25046" s="11" t="s">
        <v>2601</v>
      </c>
      <c r="C25046" s="17"/>
      <c r="D25046" s="2"/>
    </row>
    <row r="25047" spans="1:4" ht="12.75" customHeight="1" x14ac:dyDescent="0.2">
      <c r="B25047" s="11" t="s">
        <v>16</v>
      </c>
      <c r="C25047" s="17"/>
      <c r="D25047" s="2"/>
    </row>
    <row r="25048" spans="1:4" ht="12.75" customHeight="1" x14ac:dyDescent="0.2">
      <c r="B25048" s="11" t="s">
        <v>13</v>
      </c>
      <c r="C25048" s="17" t="s">
        <v>2602</v>
      </c>
      <c r="D25048" s="2"/>
    </row>
    <row r="25049" spans="1:4" ht="12.75" customHeight="1" x14ac:dyDescent="0.2">
      <c r="B25049" s="11" t="s">
        <v>2603</v>
      </c>
      <c r="C25049" s="17" t="s">
        <v>128</v>
      </c>
      <c r="D25049" s="2"/>
    </row>
    <row r="25050" spans="1:4" ht="12.75" customHeight="1" x14ac:dyDescent="0.2">
      <c r="B25050" s="11" t="s">
        <v>2605</v>
      </c>
      <c r="C25050" s="17" t="s">
        <v>14</v>
      </c>
      <c r="D25050" s="2"/>
    </row>
    <row r="25051" spans="1:4" ht="12.75" customHeight="1" x14ac:dyDescent="0.2">
      <c r="B25051" s="11" t="s">
        <v>2606</v>
      </c>
      <c r="C25051" s="16" t="s">
        <v>19</v>
      </c>
      <c r="D25051" s="2"/>
    </row>
    <row r="25052" spans="1:4" ht="12.75" customHeight="1" x14ac:dyDescent="0.2">
      <c r="B25052" s="2"/>
      <c r="C25052" s="15"/>
      <c r="D25052" s="2"/>
    </row>
    <row r="25053" spans="1:4" ht="12.75" customHeight="1" x14ac:dyDescent="0.2">
      <c r="B25053" s="2"/>
      <c r="C25053" s="15"/>
      <c r="D25053" s="2"/>
    </row>
    <row r="25054" spans="1:4" ht="12.75" customHeight="1" x14ac:dyDescent="0.2">
      <c r="A25054" s="13" t="s">
        <v>6647</v>
      </c>
      <c r="C25054" s="12"/>
      <c r="D25054" s="2"/>
    </row>
    <row r="25055" spans="1:4" ht="12.75" customHeight="1" x14ac:dyDescent="0.2">
      <c r="A25055" s="11"/>
      <c r="B25055" s="2"/>
      <c r="C25055" s="15"/>
      <c r="D25055" s="2"/>
    </row>
    <row r="25056" spans="1:4" ht="12.75" customHeight="1" x14ac:dyDescent="0.2">
      <c r="B25056" s="11" t="s">
        <v>0</v>
      </c>
      <c r="C25056" s="17" t="s">
        <v>1381</v>
      </c>
      <c r="D25056" s="2"/>
    </row>
    <row r="25057" spans="1:4" ht="12.75" customHeight="1" x14ac:dyDescent="0.2">
      <c r="B25057" s="11" t="s">
        <v>2599</v>
      </c>
      <c r="C25057" s="17" t="s">
        <v>6648</v>
      </c>
      <c r="D25057" s="2"/>
    </row>
    <row r="25058" spans="1:4" ht="25.5" customHeight="1" x14ac:dyDescent="0.2">
      <c r="B25058" s="11" t="s">
        <v>2600</v>
      </c>
      <c r="C25058" s="17" t="s">
        <v>6726</v>
      </c>
      <c r="D25058" s="2"/>
    </row>
    <row r="25059" spans="1:4" ht="25.5" customHeight="1" x14ac:dyDescent="0.2">
      <c r="B25059" s="11" t="s">
        <v>2601</v>
      </c>
      <c r="C25059" s="17"/>
      <c r="D25059" s="2"/>
    </row>
    <row r="25060" spans="1:4" ht="12.75" customHeight="1" x14ac:dyDescent="0.2">
      <c r="B25060" s="11" t="s">
        <v>16</v>
      </c>
      <c r="C25060" s="17"/>
      <c r="D25060" s="2"/>
    </row>
    <row r="25061" spans="1:4" ht="12.75" customHeight="1" x14ac:dyDescent="0.2">
      <c r="B25061" s="11" t="s">
        <v>13</v>
      </c>
      <c r="C25061" s="17" t="s">
        <v>2644</v>
      </c>
      <c r="D25061" s="2"/>
    </row>
    <row r="25062" spans="1:4" ht="12.75" customHeight="1" x14ac:dyDescent="0.2">
      <c r="B25062" s="11" t="s">
        <v>2603</v>
      </c>
      <c r="C25062" s="17" t="s">
        <v>128</v>
      </c>
      <c r="D25062" s="2"/>
    </row>
    <row r="25063" spans="1:4" ht="12.75" customHeight="1" x14ac:dyDescent="0.2">
      <c r="B25063" s="11" t="s">
        <v>2605</v>
      </c>
      <c r="C25063" s="17" t="s">
        <v>14</v>
      </c>
      <c r="D25063" s="2"/>
    </row>
    <row r="25064" spans="1:4" ht="12.75" customHeight="1" x14ac:dyDescent="0.2">
      <c r="B25064" s="11" t="s">
        <v>2606</v>
      </c>
      <c r="C25064" s="16" t="s">
        <v>19</v>
      </c>
      <c r="D25064" s="2"/>
    </row>
    <row r="25065" spans="1:4" ht="12.75" customHeight="1" x14ac:dyDescent="0.2">
      <c r="B25065" s="2"/>
      <c r="C25065" s="15"/>
      <c r="D25065" s="2"/>
    </row>
    <row r="25066" spans="1:4" ht="12.75" customHeight="1" x14ac:dyDescent="0.2">
      <c r="B25066" s="2"/>
      <c r="C25066" s="15"/>
      <c r="D25066" s="2"/>
    </row>
    <row r="25067" spans="1:4" ht="12.75" customHeight="1" x14ac:dyDescent="0.2">
      <c r="A25067" s="13" t="s">
        <v>6650</v>
      </c>
      <c r="C25067" s="12"/>
      <c r="D25067" s="2"/>
    </row>
    <row r="25068" spans="1:4" ht="12.75" customHeight="1" x14ac:dyDescent="0.2">
      <c r="A25068" s="11"/>
      <c r="B25068" s="2"/>
      <c r="C25068" s="15"/>
      <c r="D25068" s="2"/>
    </row>
    <row r="25069" spans="1:4" ht="12.75" customHeight="1" x14ac:dyDescent="0.2">
      <c r="B25069" s="11" t="s">
        <v>0</v>
      </c>
      <c r="C25069" s="17" t="s">
        <v>1381</v>
      </c>
      <c r="D25069" s="2"/>
    </row>
    <row r="25070" spans="1:4" ht="12.75" customHeight="1" x14ac:dyDescent="0.2">
      <c r="B25070" s="11" t="s">
        <v>2599</v>
      </c>
      <c r="C25070" s="17" t="s">
        <v>6327</v>
      </c>
      <c r="D25070" s="2"/>
    </row>
    <row r="25071" spans="1:4" ht="25.5" customHeight="1" x14ac:dyDescent="0.2">
      <c r="B25071" s="11" t="s">
        <v>2600</v>
      </c>
      <c r="C25071" s="17" t="s">
        <v>6727</v>
      </c>
      <c r="D25071" s="2"/>
    </row>
    <row r="25072" spans="1:4" ht="25.5" customHeight="1" x14ac:dyDescent="0.2">
      <c r="B25072" s="11" t="s">
        <v>2601</v>
      </c>
      <c r="C25072" s="17"/>
      <c r="D25072" s="2"/>
    </row>
    <row r="25073" spans="1:4" ht="12.75" customHeight="1" x14ac:dyDescent="0.2">
      <c r="B25073" s="11" t="s">
        <v>16</v>
      </c>
      <c r="C25073" s="17"/>
      <c r="D25073" s="2"/>
    </row>
    <row r="25074" spans="1:4" ht="12.75" customHeight="1" x14ac:dyDescent="0.2">
      <c r="B25074" s="11" t="s">
        <v>13</v>
      </c>
      <c r="C25074" s="17" t="s">
        <v>2602</v>
      </c>
      <c r="D25074" s="2"/>
    </row>
    <row r="25075" spans="1:4" ht="12.75" customHeight="1" x14ac:dyDescent="0.2">
      <c r="B25075" s="11" t="s">
        <v>2603</v>
      </c>
      <c r="C25075" s="17" t="s">
        <v>128</v>
      </c>
      <c r="D25075" s="2"/>
    </row>
    <row r="25076" spans="1:4" ht="12.75" customHeight="1" x14ac:dyDescent="0.2">
      <c r="B25076" s="11" t="s">
        <v>2605</v>
      </c>
      <c r="C25076" s="17" t="s">
        <v>14</v>
      </c>
      <c r="D25076" s="2"/>
    </row>
    <row r="25077" spans="1:4" ht="12.75" customHeight="1" x14ac:dyDescent="0.2">
      <c r="B25077" s="11" t="s">
        <v>2606</v>
      </c>
      <c r="C25077" s="16" t="s">
        <v>19</v>
      </c>
      <c r="D25077" s="2"/>
    </row>
    <row r="25078" spans="1:4" ht="12.75" customHeight="1" x14ac:dyDescent="0.2">
      <c r="B25078" s="2"/>
      <c r="C25078" s="15"/>
      <c r="D25078" s="2"/>
    </row>
    <row r="25079" spans="1:4" ht="12.75" customHeight="1" x14ac:dyDescent="0.2">
      <c r="B25079" s="2"/>
      <c r="C25079" s="15"/>
      <c r="D25079" s="2"/>
    </row>
    <row r="25080" spans="1:4" ht="12.75" customHeight="1" x14ac:dyDescent="0.2">
      <c r="A25080" s="13" t="s">
        <v>6728</v>
      </c>
      <c r="C25080" s="12"/>
    </row>
    <row r="25081" spans="1:4" ht="12.75" customHeight="1" x14ac:dyDescent="0.2">
      <c r="A25081" s="11"/>
      <c r="B25081" s="2"/>
      <c r="C25081" s="15"/>
      <c r="D25081" s="2"/>
    </row>
    <row r="25082" spans="1:4" ht="12.75" customHeight="1" x14ac:dyDescent="0.2">
      <c r="B25082" s="11" t="s">
        <v>0</v>
      </c>
      <c r="C25082" s="11" t="s">
        <v>1385</v>
      </c>
    </row>
    <row r="25083" spans="1:4" ht="12.75" customHeight="1" x14ac:dyDescent="0.2">
      <c r="B25083" s="11" t="s">
        <v>2599</v>
      </c>
      <c r="C25083" s="11" t="s">
        <v>6729</v>
      </c>
    </row>
    <row r="25084" spans="1:4" ht="25.5" customHeight="1" x14ac:dyDescent="0.2">
      <c r="B25084" s="11" t="s">
        <v>2600</v>
      </c>
      <c r="C25084" s="11" t="s">
        <v>6730</v>
      </c>
    </row>
    <row r="25085" spans="1:4" ht="25.5" customHeight="1" x14ac:dyDescent="0.2">
      <c r="B25085" s="11" t="s">
        <v>2601</v>
      </c>
      <c r="C25085" s="11"/>
    </row>
    <row r="25086" spans="1:4" ht="12.75" customHeight="1" x14ac:dyDescent="0.2">
      <c r="B25086" s="11" t="s">
        <v>16</v>
      </c>
      <c r="C25086" s="11"/>
    </row>
    <row r="25087" spans="1:4" ht="12.75" customHeight="1" x14ac:dyDescent="0.2">
      <c r="B25087" s="11" t="s">
        <v>13</v>
      </c>
      <c r="C25087" s="11" t="s">
        <v>2602</v>
      </c>
    </row>
    <row r="25088" spans="1:4" ht="12.75" customHeight="1" x14ac:dyDescent="0.2">
      <c r="B25088" s="11" t="s">
        <v>2603</v>
      </c>
      <c r="C25088" s="11" t="s">
        <v>2604</v>
      </c>
    </row>
    <row r="25089" spans="1:4" ht="12.75" customHeight="1" x14ac:dyDescent="0.2">
      <c r="B25089" s="11" t="s">
        <v>2605</v>
      </c>
      <c r="C25089" s="11" t="s">
        <v>24</v>
      </c>
    </row>
    <row r="25090" spans="1:4" ht="12.75" customHeight="1" x14ac:dyDescent="0.2">
      <c r="B25090" s="11" t="s">
        <v>2606</v>
      </c>
      <c r="C25090" s="16" t="s">
        <v>56</v>
      </c>
      <c r="D25090" s="6" t="str">
        <f>HYPERLINK("javascript:void(0)","cerka")</f>
        <v>cerka</v>
      </c>
    </row>
    <row r="25091" spans="1:4" ht="12.75" customHeight="1" x14ac:dyDescent="0.2">
      <c r="B25091" s="2"/>
      <c r="C25091" s="15"/>
      <c r="D25091" s="2"/>
    </row>
    <row r="25092" spans="1:4" ht="12.75" customHeight="1" x14ac:dyDescent="0.2">
      <c r="B25092" s="2"/>
      <c r="C25092" s="15"/>
      <c r="D25092" s="2"/>
    </row>
    <row r="25093" spans="1:4" ht="12.75" customHeight="1" x14ac:dyDescent="0.2">
      <c r="A25093" s="13" t="s">
        <v>6731</v>
      </c>
      <c r="C25093" s="12"/>
    </row>
    <row r="25094" spans="1:4" ht="12.75" customHeight="1" x14ac:dyDescent="0.2">
      <c r="A25094" s="11"/>
      <c r="B25094" s="2"/>
      <c r="C25094" s="15"/>
      <c r="D25094" s="2"/>
    </row>
    <row r="25095" spans="1:4" ht="12.75" customHeight="1" x14ac:dyDescent="0.2">
      <c r="B25095" s="11" t="s">
        <v>0</v>
      </c>
      <c r="C25095" s="11" t="s">
        <v>1385</v>
      </c>
    </row>
    <row r="25096" spans="1:4" ht="12.75" customHeight="1" x14ac:dyDescent="0.2">
      <c r="B25096" s="11" t="s">
        <v>2599</v>
      </c>
      <c r="C25096" s="11" t="s">
        <v>6732</v>
      </c>
    </row>
    <row r="25097" spans="1:4" ht="25.5" customHeight="1" x14ac:dyDescent="0.2">
      <c r="B25097" s="11" t="s">
        <v>2600</v>
      </c>
      <c r="C25097" s="11" t="s">
        <v>6733</v>
      </c>
    </row>
    <row r="25098" spans="1:4" ht="25.5" customHeight="1" x14ac:dyDescent="0.2">
      <c r="B25098" s="11" t="s">
        <v>2601</v>
      </c>
      <c r="C25098" s="11"/>
    </row>
    <row r="25099" spans="1:4" ht="12.75" customHeight="1" x14ac:dyDescent="0.2">
      <c r="B25099" s="11" t="s">
        <v>16</v>
      </c>
      <c r="C25099" s="11"/>
    </row>
    <row r="25100" spans="1:4" ht="12.75" customHeight="1" x14ac:dyDescent="0.2">
      <c r="B25100" s="11" t="s">
        <v>13</v>
      </c>
      <c r="C25100" s="11" t="s">
        <v>2644</v>
      </c>
    </row>
    <row r="25101" spans="1:4" ht="12.75" customHeight="1" x14ac:dyDescent="0.2">
      <c r="B25101" s="11" t="s">
        <v>2603</v>
      </c>
      <c r="C25101" s="11" t="s">
        <v>2604</v>
      </c>
    </row>
    <row r="25102" spans="1:4" ht="12.75" customHeight="1" x14ac:dyDescent="0.2">
      <c r="B25102" s="11" t="s">
        <v>2605</v>
      </c>
      <c r="C25102" s="11" t="s">
        <v>24</v>
      </c>
    </row>
    <row r="25103" spans="1:4" ht="12.75" customHeight="1" x14ac:dyDescent="0.2">
      <c r="B25103" s="11" t="s">
        <v>2606</v>
      </c>
      <c r="C25103" s="16" t="s">
        <v>56</v>
      </c>
      <c r="D25103" s="6" t="str">
        <f>HYPERLINK("javascript:void(0)","egoplazma")</f>
        <v>egoplazma</v>
      </c>
    </row>
    <row r="25104" spans="1:4" ht="12.75" customHeight="1" x14ac:dyDescent="0.2">
      <c r="C25104" s="16" t="s">
        <v>44</v>
      </c>
      <c r="D25104" s="6" t="str">
        <f>HYPERLINK("javascript:void(0)","koporsó")</f>
        <v>koporsó</v>
      </c>
    </row>
    <row r="25105" spans="1:4" ht="12.75" customHeight="1" x14ac:dyDescent="0.2">
      <c r="B25105" s="2"/>
      <c r="C25105" s="15"/>
      <c r="D25105" s="2"/>
    </row>
    <row r="25106" spans="1:4" ht="12.75" customHeight="1" x14ac:dyDescent="0.2">
      <c r="B25106" s="2"/>
      <c r="C25106" s="15"/>
      <c r="D25106" s="2"/>
    </row>
    <row r="25107" spans="1:4" ht="12.75" customHeight="1" x14ac:dyDescent="0.2">
      <c r="A25107" s="13" t="s">
        <v>6734</v>
      </c>
      <c r="C25107" s="12"/>
    </row>
    <row r="25108" spans="1:4" ht="12.75" customHeight="1" x14ac:dyDescent="0.2">
      <c r="A25108" s="11"/>
      <c r="B25108" s="2"/>
      <c r="C25108" s="15"/>
      <c r="D25108" s="2"/>
    </row>
    <row r="25109" spans="1:4" ht="12.75" customHeight="1" x14ac:dyDescent="0.2">
      <c r="B25109" s="11" t="s">
        <v>0</v>
      </c>
      <c r="C25109" s="11" t="s">
        <v>1385</v>
      </c>
    </row>
    <row r="25110" spans="1:4" ht="12.75" customHeight="1" x14ac:dyDescent="0.2">
      <c r="B25110" s="11" t="s">
        <v>2599</v>
      </c>
      <c r="C25110" s="11" t="s">
        <v>6735</v>
      </c>
    </row>
    <row r="25111" spans="1:4" ht="25.5" customHeight="1" x14ac:dyDescent="0.2">
      <c r="B25111" s="11" t="s">
        <v>2600</v>
      </c>
      <c r="C25111" s="11" t="s">
        <v>6736</v>
      </c>
    </row>
    <row r="25112" spans="1:4" ht="25.5" customHeight="1" x14ac:dyDescent="0.2">
      <c r="B25112" s="11" t="s">
        <v>2601</v>
      </c>
      <c r="C25112" s="11"/>
    </row>
    <row r="25113" spans="1:4" ht="12.75" customHeight="1" x14ac:dyDescent="0.2">
      <c r="B25113" s="11" t="s">
        <v>16</v>
      </c>
      <c r="C25113" s="11"/>
    </row>
    <row r="25114" spans="1:4" ht="12.75" customHeight="1" x14ac:dyDescent="0.2">
      <c r="B25114" s="11" t="s">
        <v>13</v>
      </c>
      <c r="C25114" s="11" t="s">
        <v>2602</v>
      </c>
    </row>
    <row r="25115" spans="1:4" ht="12.75" customHeight="1" x14ac:dyDescent="0.2">
      <c r="B25115" s="11" t="s">
        <v>2603</v>
      </c>
      <c r="C25115" s="11" t="s">
        <v>2604</v>
      </c>
    </row>
    <row r="25116" spans="1:4" ht="12.75" customHeight="1" x14ac:dyDescent="0.2">
      <c r="B25116" s="11" t="s">
        <v>2605</v>
      </c>
      <c r="C25116" s="11" t="s">
        <v>14</v>
      </c>
    </row>
    <row r="25117" spans="1:4" ht="12.75" customHeight="1" x14ac:dyDescent="0.2">
      <c r="B25117" s="11" t="s">
        <v>2606</v>
      </c>
      <c r="C25117" s="16" t="s">
        <v>57</v>
      </c>
      <c r="D25117" s="6" t="str">
        <f>HYPERLINK("javascript:void(0)","függérték")</f>
        <v>függérték</v>
      </c>
    </row>
    <row r="25118" spans="1:4" ht="12.75" customHeight="1" x14ac:dyDescent="0.2">
      <c r="B25118" s="2"/>
      <c r="C25118" s="15"/>
      <c r="D25118" s="2"/>
    </row>
    <row r="25119" spans="1:4" ht="12.75" customHeight="1" x14ac:dyDescent="0.2">
      <c r="B25119" s="2"/>
      <c r="C25119" s="15"/>
      <c r="D25119" s="2"/>
    </row>
    <row r="25120" spans="1:4" ht="12.75" customHeight="1" x14ac:dyDescent="0.2">
      <c r="A25120" s="13" t="s">
        <v>6737</v>
      </c>
      <c r="C25120" s="12"/>
    </row>
    <row r="25121" spans="1:4" ht="12.75" customHeight="1" x14ac:dyDescent="0.2">
      <c r="A25121" s="11"/>
      <c r="B25121" s="2"/>
      <c r="C25121" s="15"/>
      <c r="D25121" s="2"/>
    </row>
    <row r="25122" spans="1:4" ht="12.75" customHeight="1" x14ac:dyDescent="0.2">
      <c r="B25122" s="11" t="s">
        <v>0</v>
      </c>
      <c r="C25122" s="11" t="s">
        <v>1385</v>
      </c>
    </row>
    <row r="25123" spans="1:4" ht="12.75" customHeight="1" x14ac:dyDescent="0.2">
      <c r="B25123" s="11" t="s">
        <v>2599</v>
      </c>
      <c r="C25123" s="11" t="s">
        <v>51</v>
      </c>
    </row>
    <row r="25124" spans="1:4" ht="25.5" customHeight="1" x14ac:dyDescent="0.2">
      <c r="B25124" s="11" t="s">
        <v>2600</v>
      </c>
      <c r="C25124" s="11" t="s">
        <v>6738</v>
      </c>
    </row>
    <row r="25125" spans="1:4" ht="25.5" customHeight="1" x14ac:dyDescent="0.2">
      <c r="B25125" s="11" t="s">
        <v>2601</v>
      </c>
      <c r="C25125" s="11"/>
    </row>
    <row r="25126" spans="1:4" ht="12.75" customHeight="1" x14ac:dyDescent="0.2">
      <c r="B25126" s="11" t="s">
        <v>16</v>
      </c>
      <c r="C25126" s="11"/>
    </row>
    <row r="25127" spans="1:4" ht="12.75" customHeight="1" x14ac:dyDescent="0.2">
      <c r="B25127" s="11" t="s">
        <v>13</v>
      </c>
      <c r="C25127" s="11" t="s">
        <v>2644</v>
      </c>
    </row>
    <row r="25128" spans="1:4" ht="12.75" customHeight="1" x14ac:dyDescent="0.2">
      <c r="B25128" s="11" t="s">
        <v>2603</v>
      </c>
      <c r="C25128" s="11" t="s">
        <v>2604</v>
      </c>
    </row>
    <row r="25129" spans="1:4" ht="12.75" customHeight="1" x14ac:dyDescent="0.2">
      <c r="B25129" s="11" t="s">
        <v>2605</v>
      </c>
      <c r="C25129" s="11" t="s">
        <v>14</v>
      </c>
    </row>
    <row r="25130" spans="1:4" ht="12.75" customHeight="1" x14ac:dyDescent="0.2">
      <c r="B25130" s="11" t="s">
        <v>2606</v>
      </c>
      <c r="C25130" s="16" t="s">
        <v>44</v>
      </c>
      <c r="D25130" s="6" t="str">
        <f>HYPERLINK("javascript:void(0)","minta")</f>
        <v>minta</v>
      </c>
    </row>
    <row r="25131" spans="1:4" ht="12.75" customHeight="1" x14ac:dyDescent="0.2">
      <c r="B25131" s="2"/>
      <c r="C25131" s="15"/>
      <c r="D25131" s="2"/>
    </row>
    <row r="25132" spans="1:4" ht="12.75" customHeight="1" x14ac:dyDescent="0.2">
      <c r="B25132" s="2"/>
      <c r="C25132" s="15"/>
      <c r="D25132" s="2"/>
    </row>
    <row r="25133" spans="1:4" ht="12.75" customHeight="1" x14ac:dyDescent="0.2">
      <c r="A25133" s="13" t="s">
        <v>6739</v>
      </c>
      <c r="C25133" s="12"/>
    </row>
    <row r="25134" spans="1:4" ht="12.75" customHeight="1" x14ac:dyDescent="0.2">
      <c r="A25134" s="11"/>
      <c r="B25134" s="2"/>
      <c r="C25134" s="15"/>
      <c r="D25134" s="2"/>
    </row>
    <row r="25135" spans="1:4" ht="12.75" customHeight="1" x14ac:dyDescent="0.2">
      <c r="B25135" s="11" t="s">
        <v>0</v>
      </c>
      <c r="C25135" s="11" t="s">
        <v>1385</v>
      </c>
    </row>
    <row r="25136" spans="1:4" ht="12.75" customHeight="1" x14ac:dyDescent="0.2">
      <c r="B25136" s="11" t="s">
        <v>2599</v>
      </c>
      <c r="C25136" s="11" t="s">
        <v>5857</v>
      </c>
    </row>
    <row r="25137" spans="1:4" ht="25.5" customHeight="1" x14ac:dyDescent="0.2">
      <c r="B25137" s="11" t="s">
        <v>2600</v>
      </c>
      <c r="C25137" s="11" t="s">
        <v>6740</v>
      </c>
    </row>
    <row r="25138" spans="1:4" ht="25.5" customHeight="1" x14ac:dyDescent="0.2">
      <c r="B25138" s="11" t="s">
        <v>2601</v>
      </c>
      <c r="C25138" s="11"/>
    </row>
    <row r="25139" spans="1:4" ht="12.75" customHeight="1" x14ac:dyDescent="0.2">
      <c r="B25139" s="11" t="s">
        <v>16</v>
      </c>
      <c r="C25139" s="11"/>
    </row>
    <row r="25140" spans="1:4" ht="12.75" customHeight="1" x14ac:dyDescent="0.2">
      <c r="B25140" s="11" t="s">
        <v>13</v>
      </c>
      <c r="C25140" s="11" t="s">
        <v>2602</v>
      </c>
    </row>
    <row r="25141" spans="1:4" ht="12.75" customHeight="1" x14ac:dyDescent="0.2">
      <c r="B25141" s="11" t="s">
        <v>2603</v>
      </c>
      <c r="C25141" s="11" t="s">
        <v>2604</v>
      </c>
    </row>
    <row r="25142" spans="1:4" ht="12.75" customHeight="1" x14ac:dyDescent="0.2">
      <c r="B25142" s="11" t="s">
        <v>2605</v>
      </c>
      <c r="C25142" s="11" t="s">
        <v>24</v>
      </c>
    </row>
    <row r="25143" spans="1:4" ht="12.75" customHeight="1" x14ac:dyDescent="0.2">
      <c r="B25143" s="11" t="s">
        <v>2606</v>
      </c>
      <c r="C25143" s="16" t="s">
        <v>44</v>
      </c>
      <c r="D25143" s="6" t="str">
        <f>HYPERLINK("javascript:void(0)","cseppkő")</f>
        <v>cseppkő</v>
      </c>
    </row>
    <row r="25144" spans="1:4" ht="12.75" customHeight="1" x14ac:dyDescent="0.2">
      <c r="B25144" s="2"/>
      <c r="C25144" s="15"/>
      <c r="D25144" s="2"/>
    </row>
    <row r="25145" spans="1:4" ht="12.75" customHeight="1" x14ac:dyDescent="0.2">
      <c r="B25145" s="2"/>
      <c r="C25145" s="15"/>
      <c r="D25145" s="2"/>
    </row>
    <row r="25146" spans="1:4" ht="12.75" customHeight="1" x14ac:dyDescent="0.2">
      <c r="A25146" s="13" t="s">
        <v>6741</v>
      </c>
      <c r="C25146" s="12"/>
    </row>
    <row r="25147" spans="1:4" ht="12.75" customHeight="1" x14ac:dyDescent="0.2">
      <c r="A25147" s="11"/>
      <c r="B25147" s="2"/>
      <c r="C25147" s="15"/>
      <c r="D25147" s="2"/>
    </row>
    <row r="25148" spans="1:4" ht="12.75" customHeight="1" x14ac:dyDescent="0.2">
      <c r="B25148" s="11" t="s">
        <v>0</v>
      </c>
      <c r="C25148" s="11" t="s">
        <v>1385</v>
      </c>
    </row>
    <row r="25149" spans="1:4" ht="12.75" customHeight="1" x14ac:dyDescent="0.2">
      <c r="B25149" s="11" t="s">
        <v>2599</v>
      </c>
      <c r="C25149" s="11" t="s">
        <v>6742</v>
      </c>
    </row>
    <row r="25150" spans="1:4" ht="25.5" customHeight="1" x14ac:dyDescent="0.2">
      <c r="B25150" s="11" t="s">
        <v>2600</v>
      </c>
      <c r="C25150" s="11" t="s">
        <v>6743</v>
      </c>
    </row>
    <row r="25151" spans="1:4" ht="25.5" customHeight="1" x14ac:dyDescent="0.2">
      <c r="B25151" s="11" t="s">
        <v>2601</v>
      </c>
      <c r="C25151" s="11"/>
    </row>
    <row r="25152" spans="1:4" ht="12.75" customHeight="1" x14ac:dyDescent="0.2">
      <c r="B25152" s="11" t="s">
        <v>16</v>
      </c>
      <c r="C25152" s="11"/>
    </row>
    <row r="25153" spans="1:4" ht="12.75" customHeight="1" x14ac:dyDescent="0.2">
      <c r="B25153" s="11" t="s">
        <v>13</v>
      </c>
      <c r="C25153" s="11" t="s">
        <v>2644</v>
      </c>
    </row>
    <row r="25154" spans="1:4" ht="12.75" customHeight="1" x14ac:dyDescent="0.2">
      <c r="B25154" s="11" t="s">
        <v>2603</v>
      </c>
      <c r="C25154" s="11" t="s">
        <v>2604</v>
      </c>
    </row>
    <row r="25155" spans="1:4" ht="12.75" customHeight="1" x14ac:dyDescent="0.2">
      <c r="B25155" s="11" t="s">
        <v>2605</v>
      </c>
      <c r="C25155" s="11" t="s">
        <v>14</v>
      </c>
    </row>
    <row r="25156" spans="1:4" ht="12.75" customHeight="1" x14ac:dyDescent="0.2">
      <c r="B25156" s="11" t="s">
        <v>2606</v>
      </c>
      <c r="C25156" s="16" t="s">
        <v>55</v>
      </c>
      <c r="D25156" s="6" t="str">
        <f>HYPERLINK("javascript:void(0)","árnyige")</f>
        <v>árnyige</v>
      </c>
    </row>
    <row r="25157" spans="1:4" ht="12.75" customHeight="1" x14ac:dyDescent="0.2">
      <c r="B25157" s="2"/>
      <c r="C25157" s="15"/>
      <c r="D25157" s="2"/>
    </row>
    <row r="25158" spans="1:4" ht="12.75" customHeight="1" x14ac:dyDescent="0.2">
      <c r="B25158" s="2"/>
      <c r="C25158" s="15"/>
      <c r="D25158" s="2"/>
    </row>
    <row r="25159" spans="1:4" ht="12.75" customHeight="1" x14ac:dyDescent="0.2">
      <c r="A25159" s="13" t="s">
        <v>6744</v>
      </c>
      <c r="C25159" s="12"/>
    </row>
    <row r="25160" spans="1:4" ht="12.75" customHeight="1" x14ac:dyDescent="0.2">
      <c r="A25160" s="11"/>
      <c r="B25160" s="2"/>
      <c r="C25160" s="15"/>
      <c r="D25160" s="2"/>
    </row>
    <row r="25161" spans="1:4" ht="12.75" customHeight="1" x14ac:dyDescent="0.2">
      <c r="B25161" s="11" t="s">
        <v>0</v>
      </c>
      <c r="C25161" s="11" t="s">
        <v>1385</v>
      </c>
    </row>
    <row r="25162" spans="1:4" ht="12.75" customHeight="1" x14ac:dyDescent="0.2">
      <c r="B25162" s="11" t="s">
        <v>2599</v>
      </c>
      <c r="C25162" s="11" t="s">
        <v>6745</v>
      </c>
    </row>
    <row r="25163" spans="1:4" ht="25.5" customHeight="1" x14ac:dyDescent="0.2">
      <c r="B25163" s="11" t="s">
        <v>2600</v>
      </c>
      <c r="C25163" s="11" t="s">
        <v>6746</v>
      </c>
    </row>
    <row r="25164" spans="1:4" ht="25.5" customHeight="1" x14ac:dyDescent="0.2">
      <c r="B25164" s="11" t="s">
        <v>2601</v>
      </c>
      <c r="C25164" s="11"/>
    </row>
    <row r="25165" spans="1:4" ht="12.75" customHeight="1" x14ac:dyDescent="0.2">
      <c r="B25165" s="11" t="s">
        <v>16</v>
      </c>
      <c r="C25165" s="11"/>
    </row>
    <row r="25166" spans="1:4" ht="12.75" customHeight="1" x14ac:dyDescent="0.2">
      <c r="B25166" s="11" t="s">
        <v>13</v>
      </c>
      <c r="C25166" s="11" t="s">
        <v>2602</v>
      </c>
    </row>
    <row r="25167" spans="1:4" ht="12.75" customHeight="1" x14ac:dyDescent="0.2">
      <c r="B25167" s="11" t="s">
        <v>2603</v>
      </c>
      <c r="C25167" s="11" t="s">
        <v>2604</v>
      </c>
    </row>
    <row r="25168" spans="1:4" ht="12.75" customHeight="1" x14ac:dyDescent="0.2">
      <c r="B25168" s="11" t="s">
        <v>2605</v>
      </c>
      <c r="C25168" s="11" t="s">
        <v>14</v>
      </c>
    </row>
    <row r="25169" spans="1:4" ht="25.5" customHeight="1" x14ac:dyDescent="0.2">
      <c r="B25169" s="11" t="s">
        <v>2606</v>
      </c>
      <c r="C25169" s="16" t="s">
        <v>44</v>
      </c>
      <c r="D25169" s="6" t="str">
        <f>HYPERLINK("javascript:void(0)","reménytelenség")</f>
        <v>reménytelenség</v>
      </c>
    </row>
    <row r="25170" spans="1:4" ht="12.75" customHeight="1" x14ac:dyDescent="0.2">
      <c r="B25170" s="2"/>
      <c r="C25170" s="15"/>
      <c r="D25170" s="2"/>
    </row>
    <row r="25171" spans="1:4" ht="12.75" customHeight="1" x14ac:dyDescent="0.2">
      <c r="B25171" s="2"/>
      <c r="C25171" s="15"/>
      <c r="D25171" s="2"/>
    </row>
    <row r="25172" spans="1:4" ht="12.75" customHeight="1" x14ac:dyDescent="0.2">
      <c r="A25172" s="13" t="s">
        <v>6747</v>
      </c>
      <c r="C25172" s="12"/>
    </row>
    <row r="25173" spans="1:4" ht="12.75" customHeight="1" x14ac:dyDescent="0.2">
      <c r="A25173" s="11"/>
      <c r="B25173" s="2"/>
      <c r="C25173" s="15"/>
      <c r="D25173" s="2"/>
    </row>
    <row r="25174" spans="1:4" ht="12.75" customHeight="1" x14ac:dyDescent="0.2">
      <c r="B25174" s="11" t="s">
        <v>0</v>
      </c>
      <c r="C25174" s="11" t="s">
        <v>1385</v>
      </c>
    </row>
    <row r="25175" spans="1:4" ht="12.75" customHeight="1" x14ac:dyDescent="0.2">
      <c r="B25175" s="11" t="s">
        <v>2599</v>
      </c>
      <c r="C25175" s="11" t="s">
        <v>4274</v>
      </c>
    </row>
    <row r="25176" spans="1:4" ht="25.5" customHeight="1" x14ac:dyDescent="0.2">
      <c r="B25176" s="11" t="s">
        <v>2600</v>
      </c>
      <c r="C25176" s="11" t="s">
        <v>6748</v>
      </c>
    </row>
    <row r="25177" spans="1:4" ht="25.5" customHeight="1" x14ac:dyDescent="0.2">
      <c r="B25177" s="11" t="s">
        <v>2601</v>
      </c>
      <c r="C25177" s="11"/>
    </row>
    <row r="25178" spans="1:4" ht="12.75" customHeight="1" x14ac:dyDescent="0.2">
      <c r="B25178" s="11" t="s">
        <v>16</v>
      </c>
      <c r="C25178" s="11"/>
    </row>
    <row r="25179" spans="1:4" ht="12.75" customHeight="1" x14ac:dyDescent="0.2">
      <c r="B25179" s="11" t="s">
        <v>13</v>
      </c>
      <c r="C25179" s="11" t="s">
        <v>2644</v>
      </c>
    </row>
    <row r="25180" spans="1:4" ht="12.75" customHeight="1" x14ac:dyDescent="0.2">
      <c r="B25180" s="11" t="s">
        <v>2603</v>
      </c>
      <c r="C25180" s="11" t="s">
        <v>2604</v>
      </c>
    </row>
    <row r="25181" spans="1:4" ht="12.75" customHeight="1" x14ac:dyDescent="0.2">
      <c r="B25181" s="11" t="s">
        <v>2605</v>
      </c>
      <c r="C25181" s="11" t="s">
        <v>24</v>
      </c>
    </row>
    <row r="25182" spans="1:4" ht="12.75" customHeight="1" x14ac:dyDescent="0.2">
      <c r="B25182" s="11" t="s">
        <v>2606</v>
      </c>
      <c r="C25182" s="16" t="s">
        <v>271</v>
      </c>
      <c r="D25182" s="6" t="str">
        <f>HYPERLINK("javascript:void(0)","kaja")</f>
        <v>kaja</v>
      </c>
    </row>
    <row r="25183" spans="1:4" ht="12.75" customHeight="1" x14ac:dyDescent="0.2">
      <c r="C25183" s="16" t="s">
        <v>57</v>
      </c>
      <c r="D25183" s="6" t="str">
        <f>HYPERLINK("javascript:void(0)","dínófog")</f>
        <v>dínófog</v>
      </c>
    </row>
    <row r="25184" spans="1:4" ht="12.75" customHeight="1" x14ac:dyDescent="0.2">
      <c r="B25184" s="2"/>
      <c r="C25184" s="15"/>
      <c r="D25184" s="2"/>
    </row>
    <row r="25185" spans="1:4" ht="12.75" customHeight="1" x14ac:dyDescent="0.2">
      <c r="B25185" s="2"/>
      <c r="C25185" s="15"/>
      <c r="D25185" s="2"/>
    </row>
    <row r="25186" spans="1:4" ht="12.75" customHeight="1" x14ac:dyDescent="0.2">
      <c r="A25186" s="13" t="s">
        <v>6645</v>
      </c>
      <c r="C25186" s="12"/>
      <c r="D25186" s="2"/>
    </row>
    <row r="25187" spans="1:4" ht="12.75" customHeight="1" x14ac:dyDescent="0.2">
      <c r="A25187" s="11"/>
      <c r="B25187" s="2"/>
      <c r="C25187" s="15"/>
      <c r="D25187" s="2"/>
    </row>
    <row r="25188" spans="1:4" ht="12.75" customHeight="1" x14ac:dyDescent="0.2">
      <c r="B25188" s="11" t="s">
        <v>0</v>
      </c>
      <c r="C25188" s="17" t="s">
        <v>1385</v>
      </c>
      <c r="D25188" s="2"/>
    </row>
    <row r="25189" spans="1:4" ht="12.75" customHeight="1" x14ac:dyDescent="0.2">
      <c r="B25189" s="11" t="s">
        <v>2599</v>
      </c>
      <c r="C25189" s="17" t="s">
        <v>5660</v>
      </c>
      <c r="D25189" s="2"/>
    </row>
    <row r="25190" spans="1:4" ht="25.5" customHeight="1" x14ac:dyDescent="0.2">
      <c r="B25190" s="11" t="s">
        <v>2600</v>
      </c>
      <c r="C25190" s="17" t="s">
        <v>6749</v>
      </c>
      <c r="D25190" s="2"/>
    </row>
    <row r="25191" spans="1:4" ht="25.5" customHeight="1" x14ac:dyDescent="0.2">
      <c r="B25191" s="11" t="s">
        <v>2601</v>
      </c>
      <c r="C25191" s="17"/>
      <c r="D25191" s="2"/>
    </row>
    <row r="25192" spans="1:4" ht="12.75" customHeight="1" x14ac:dyDescent="0.2">
      <c r="B25192" s="11" t="s">
        <v>16</v>
      </c>
      <c r="C25192" s="17"/>
      <c r="D25192" s="2"/>
    </row>
    <row r="25193" spans="1:4" ht="12.75" customHeight="1" x14ac:dyDescent="0.2">
      <c r="B25193" s="11" t="s">
        <v>13</v>
      </c>
      <c r="C25193" s="17" t="s">
        <v>2602</v>
      </c>
      <c r="D25193" s="2"/>
    </row>
    <row r="25194" spans="1:4" ht="12.75" customHeight="1" x14ac:dyDescent="0.2">
      <c r="B25194" s="11" t="s">
        <v>2603</v>
      </c>
      <c r="C25194" s="17" t="s">
        <v>128</v>
      </c>
      <c r="D25194" s="2"/>
    </row>
    <row r="25195" spans="1:4" ht="12.75" customHeight="1" x14ac:dyDescent="0.2">
      <c r="B25195" s="11" t="s">
        <v>2605</v>
      </c>
      <c r="C25195" s="17" t="s">
        <v>14</v>
      </c>
      <c r="D25195" s="2"/>
    </row>
    <row r="25196" spans="1:4" ht="12.75" customHeight="1" x14ac:dyDescent="0.2">
      <c r="B25196" s="11" t="s">
        <v>2606</v>
      </c>
      <c r="C25196" s="16" t="s">
        <v>19</v>
      </c>
      <c r="D25196" s="2"/>
    </row>
    <row r="25197" spans="1:4" ht="12.75" customHeight="1" x14ac:dyDescent="0.2">
      <c r="B25197" s="2"/>
      <c r="C25197" s="15"/>
      <c r="D25197" s="2"/>
    </row>
    <row r="25198" spans="1:4" ht="12.75" customHeight="1" x14ac:dyDescent="0.2">
      <c r="B25198" s="2"/>
      <c r="C25198" s="15"/>
      <c r="D25198" s="2"/>
    </row>
    <row r="25199" spans="1:4" ht="12.75" customHeight="1" x14ac:dyDescent="0.2">
      <c r="A25199" s="13" t="s">
        <v>6647</v>
      </c>
      <c r="C25199" s="12"/>
      <c r="D25199" s="2"/>
    </row>
    <row r="25200" spans="1:4" ht="12.75" customHeight="1" x14ac:dyDescent="0.2">
      <c r="A25200" s="11"/>
      <c r="B25200" s="2"/>
      <c r="C25200" s="15"/>
      <c r="D25200" s="2"/>
    </row>
    <row r="25201" spans="1:4" ht="12.75" customHeight="1" x14ac:dyDescent="0.2">
      <c r="B25201" s="11" t="s">
        <v>0</v>
      </c>
      <c r="C25201" s="17" t="s">
        <v>1385</v>
      </c>
      <c r="D25201" s="2"/>
    </row>
    <row r="25202" spans="1:4" ht="12.75" customHeight="1" x14ac:dyDescent="0.2">
      <c r="B25202" s="11" t="s">
        <v>2599</v>
      </c>
      <c r="C25202" s="17" t="s">
        <v>6648</v>
      </c>
      <c r="D25202" s="2"/>
    </row>
    <row r="25203" spans="1:4" ht="25.5" customHeight="1" x14ac:dyDescent="0.2">
      <c r="B25203" s="11" t="s">
        <v>2600</v>
      </c>
      <c r="C25203" s="17" t="s">
        <v>6750</v>
      </c>
      <c r="D25203" s="2"/>
    </row>
    <row r="25204" spans="1:4" ht="25.5" customHeight="1" x14ac:dyDescent="0.2">
      <c r="B25204" s="11" t="s">
        <v>2601</v>
      </c>
      <c r="C25204" s="17"/>
      <c r="D25204" s="2"/>
    </row>
    <row r="25205" spans="1:4" ht="12.75" customHeight="1" x14ac:dyDescent="0.2">
      <c r="B25205" s="11" t="s">
        <v>16</v>
      </c>
      <c r="C25205" s="17"/>
      <c r="D25205" s="2"/>
    </row>
    <row r="25206" spans="1:4" ht="12.75" customHeight="1" x14ac:dyDescent="0.2">
      <c r="B25206" s="11" t="s">
        <v>13</v>
      </c>
      <c r="C25206" s="17" t="s">
        <v>2644</v>
      </c>
      <c r="D25206" s="2"/>
    </row>
    <row r="25207" spans="1:4" ht="12.75" customHeight="1" x14ac:dyDescent="0.2">
      <c r="B25207" s="11" t="s">
        <v>2603</v>
      </c>
      <c r="C25207" s="17" t="s">
        <v>128</v>
      </c>
      <c r="D25207" s="2"/>
    </row>
    <row r="25208" spans="1:4" ht="12.75" customHeight="1" x14ac:dyDescent="0.2">
      <c r="B25208" s="11" t="s">
        <v>2605</v>
      </c>
      <c r="C25208" s="17" t="s">
        <v>14</v>
      </c>
      <c r="D25208" s="2"/>
    </row>
    <row r="25209" spans="1:4" ht="12.75" customHeight="1" x14ac:dyDescent="0.2">
      <c r="B25209" s="11" t="s">
        <v>2606</v>
      </c>
      <c r="C25209" s="16" t="s">
        <v>19</v>
      </c>
      <c r="D25209" s="2"/>
    </row>
    <row r="25210" spans="1:4" ht="12.75" customHeight="1" x14ac:dyDescent="0.2">
      <c r="B25210" s="2"/>
      <c r="C25210" s="15"/>
      <c r="D25210" s="2"/>
    </row>
    <row r="25211" spans="1:4" ht="12.75" customHeight="1" x14ac:dyDescent="0.2">
      <c r="B25211" s="2"/>
      <c r="C25211" s="15"/>
      <c r="D25211" s="2"/>
    </row>
    <row r="25212" spans="1:4" ht="12.75" customHeight="1" x14ac:dyDescent="0.2">
      <c r="A25212" s="13" t="s">
        <v>6650</v>
      </c>
      <c r="C25212" s="12"/>
      <c r="D25212" s="2"/>
    </row>
    <row r="25213" spans="1:4" ht="12.75" customHeight="1" x14ac:dyDescent="0.2">
      <c r="A25213" s="11"/>
      <c r="B25213" s="2"/>
      <c r="C25213" s="15"/>
      <c r="D25213" s="2"/>
    </row>
    <row r="25214" spans="1:4" ht="12.75" customHeight="1" x14ac:dyDescent="0.2">
      <c r="B25214" s="11" t="s">
        <v>0</v>
      </c>
      <c r="C25214" s="17" t="s">
        <v>1385</v>
      </c>
      <c r="D25214" s="2"/>
    </row>
    <row r="25215" spans="1:4" ht="12.75" customHeight="1" x14ac:dyDescent="0.2">
      <c r="B25215" s="11" t="s">
        <v>2599</v>
      </c>
      <c r="C25215" s="17" t="s">
        <v>6327</v>
      </c>
      <c r="D25215" s="2"/>
    </row>
    <row r="25216" spans="1:4" ht="25.5" customHeight="1" x14ac:dyDescent="0.2">
      <c r="B25216" s="11" t="s">
        <v>2600</v>
      </c>
      <c r="C25216" s="17" t="s">
        <v>6751</v>
      </c>
      <c r="D25216" s="2"/>
    </row>
    <row r="25217" spans="1:4" ht="25.5" customHeight="1" x14ac:dyDescent="0.2">
      <c r="B25217" s="11" t="s">
        <v>2601</v>
      </c>
      <c r="C25217" s="17"/>
      <c r="D25217" s="2"/>
    </row>
    <row r="25218" spans="1:4" ht="12.75" customHeight="1" x14ac:dyDescent="0.2">
      <c r="B25218" s="11" t="s">
        <v>16</v>
      </c>
      <c r="C25218" s="17"/>
      <c r="D25218" s="2"/>
    </row>
    <row r="25219" spans="1:4" ht="12.75" customHeight="1" x14ac:dyDescent="0.2">
      <c r="B25219" s="11" t="s">
        <v>13</v>
      </c>
      <c r="C25219" s="17" t="s">
        <v>2602</v>
      </c>
      <c r="D25219" s="2"/>
    </row>
    <row r="25220" spans="1:4" ht="12.75" customHeight="1" x14ac:dyDescent="0.2">
      <c r="B25220" s="11" t="s">
        <v>2603</v>
      </c>
      <c r="C25220" s="17" t="s">
        <v>128</v>
      </c>
      <c r="D25220" s="2"/>
    </row>
    <row r="25221" spans="1:4" ht="12.75" customHeight="1" x14ac:dyDescent="0.2">
      <c r="B25221" s="11" t="s">
        <v>2605</v>
      </c>
      <c r="C25221" s="17" t="s">
        <v>14</v>
      </c>
      <c r="D25221" s="2"/>
    </row>
    <row r="25222" spans="1:4" ht="12.75" customHeight="1" x14ac:dyDescent="0.2">
      <c r="B25222" s="11" t="s">
        <v>2606</v>
      </c>
      <c r="C25222" s="16" t="s">
        <v>19</v>
      </c>
      <c r="D25222" s="2"/>
    </row>
    <row r="25223" spans="1:4" ht="12.75" customHeight="1" x14ac:dyDescent="0.2">
      <c r="B25223" s="2"/>
      <c r="C25223" s="15"/>
      <c r="D25223" s="2"/>
    </row>
    <row r="25224" spans="1:4" ht="12.75" customHeight="1" x14ac:dyDescent="0.2">
      <c r="B25224" s="2"/>
      <c r="C25224" s="15"/>
      <c r="D25224" s="2"/>
    </row>
    <row r="25225" spans="1:4" ht="12.75" customHeight="1" x14ac:dyDescent="0.2">
      <c r="A25225" s="13" t="s">
        <v>2782</v>
      </c>
      <c r="C25225" s="12"/>
    </row>
    <row r="25226" spans="1:4" ht="12.75" customHeight="1" x14ac:dyDescent="0.2">
      <c r="A25226" s="11"/>
      <c r="B25226" s="2"/>
      <c r="C25226" s="15"/>
      <c r="D25226" s="2"/>
    </row>
    <row r="25227" spans="1:4" ht="12.75" customHeight="1" x14ac:dyDescent="0.2">
      <c r="B25227" s="11" t="s">
        <v>0</v>
      </c>
      <c r="C25227" s="11" t="s">
        <v>1385</v>
      </c>
    </row>
    <row r="25228" spans="1:4" ht="12.75" customHeight="1" x14ac:dyDescent="0.2">
      <c r="B25228" s="11" t="s">
        <v>2599</v>
      </c>
      <c r="C25228" s="11" t="s">
        <v>4464</v>
      </c>
    </row>
    <row r="25229" spans="1:4" ht="25.5" customHeight="1" x14ac:dyDescent="0.2">
      <c r="B25229" s="11" t="s">
        <v>2600</v>
      </c>
      <c r="C25229" s="11" t="s">
        <v>6752</v>
      </c>
    </row>
    <row r="25230" spans="1:4" ht="25.5" customHeight="1" x14ac:dyDescent="0.2">
      <c r="B25230" s="11" t="s">
        <v>2601</v>
      </c>
      <c r="C25230" s="11"/>
    </row>
    <row r="25231" spans="1:4" ht="12.75" customHeight="1" x14ac:dyDescent="0.2">
      <c r="B25231" s="11" t="s">
        <v>16</v>
      </c>
      <c r="C25231" s="11"/>
    </row>
    <row r="25232" spans="1:4" ht="12.75" customHeight="1" x14ac:dyDescent="0.2">
      <c r="B25232" s="11" t="s">
        <v>13</v>
      </c>
      <c r="C25232" s="11" t="s">
        <v>2644</v>
      </c>
    </row>
    <row r="25233" spans="1:4" ht="12.75" customHeight="1" x14ac:dyDescent="0.2">
      <c r="B25233" s="11" t="s">
        <v>2603</v>
      </c>
      <c r="C25233" s="11" t="s">
        <v>2604</v>
      </c>
    </row>
    <row r="25234" spans="1:4" ht="12.75" customHeight="1" x14ac:dyDescent="0.2">
      <c r="B25234" s="11" t="s">
        <v>2605</v>
      </c>
      <c r="C25234" s="11" t="s">
        <v>14</v>
      </c>
    </row>
    <row r="25235" spans="1:4" ht="12.75" customHeight="1" x14ac:dyDescent="0.2">
      <c r="B25235" s="11" t="s">
        <v>2606</v>
      </c>
      <c r="C25235" s="16" t="s">
        <v>44</v>
      </c>
      <c r="D25235" s="6" t="str">
        <f>HYPERLINK("javascript:void(0)","alakváltókő")</f>
        <v>alakváltókő</v>
      </c>
    </row>
    <row r="25236" spans="1:4" ht="12.75" customHeight="1" x14ac:dyDescent="0.2">
      <c r="B25236" s="2"/>
      <c r="C25236" s="15"/>
      <c r="D25236" s="2"/>
    </row>
    <row r="25237" spans="1:4" ht="12.75" customHeight="1" x14ac:dyDescent="0.2">
      <c r="B25237" s="2"/>
      <c r="C25237" s="15"/>
      <c r="D25237" s="2"/>
    </row>
    <row r="25238" spans="1:4" ht="12.75" customHeight="1" x14ac:dyDescent="0.2">
      <c r="A25238" s="13" t="s">
        <v>6753</v>
      </c>
      <c r="C25238" s="12"/>
    </row>
    <row r="25239" spans="1:4" ht="12.75" customHeight="1" x14ac:dyDescent="0.2">
      <c r="A25239" s="11"/>
      <c r="B25239" s="2"/>
      <c r="C25239" s="15"/>
      <c r="D25239" s="2"/>
    </row>
    <row r="25240" spans="1:4" ht="12.75" customHeight="1" x14ac:dyDescent="0.2">
      <c r="B25240" s="11" t="s">
        <v>0</v>
      </c>
      <c r="C25240" s="11" t="s">
        <v>1390</v>
      </c>
    </row>
    <row r="25241" spans="1:4" ht="12.75" customHeight="1" x14ac:dyDescent="0.2">
      <c r="B25241" s="11" t="s">
        <v>2599</v>
      </c>
      <c r="C25241" s="11" t="s">
        <v>2103</v>
      </c>
    </row>
    <row r="25242" spans="1:4" ht="25.5" customHeight="1" x14ac:dyDescent="0.2">
      <c r="B25242" s="11" t="s">
        <v>2600</v>
      </c>
      <c r="C25242" s="11" t="s">
        <v>6754</v>
      </c>
    </row>
    <row r="25243" spans="1:4" ht="25.5" customHeight="1" x14ac:dyDescent="0.2">
      <c r="B25243" s="11" t="s">
        <v>2601</v>
      </c>
      <c r="C25243" s="11"/>
    </row>
    <row r="25244" spans="1:4" ht="12.75" customHeight="1" x14ac:dyDescent="0.2">
      <c r="B25244" s="11" t="s">
        <v>16</v>
      </c>
      <c r="C25244" s="11"/>
    </row>
    <row r="25245" spans="1:4" ht="12.75" customHeight="1" x14ac:dyDescent="0.2">
      <c r="B25245" s="11" t="s">
        <v>13</v>
      </c>
      <c r="C25245" s="11" t="s">
        <v>2602</v>
      </c>
    </row>
    <row r="25246" spans="1:4" ht="12.75" customHeight="1" x14ac:dyDescent="0.2">
      <c r="B25246" s="11" t="s">
        <v>2603</v>
      </c>
      <c r="C25246" s="11" t="s">
        <v>2604</v>
      </c>
    </row>
    <row r="25247" spans="1:4" ht="12.75" customHeight="1" x14ac:dyDescent="0.2">
      <c r="B25247" s="11" t="s">
        <v>2605</v>
      </c>
      <c r="C25247" s="11" t="s">
        <v>14</v>
      </c>
    </row>
    <row r="25248" spans="1:4" ht="25.5" customHeight="1" x14ac:dyDescent="0.2">
      <c r="B25248" s="11" t="s">
        <v>2606</v>
      </c>
      <c r="C25248" s="16" t="s">
        <v>55</v>
      </c>
      <c r="D25248" s="6" t="str">
        <f>HYPERLINK("javascript:void(0)","hagymapikkely")</f>
        <v>hagymapikkely</v>
      </c>
    </row>
    <row r="25249" spans="1:4" ht="12.75" customHeight="1" x14ac:dyDescent="0.2">
      <c r="B25249" s="2"/>
      <c r="C25249" s="15"/>
      <c r="D25249" s="2"/>
    </row>
    <row r="25250" spans="1:4" ht="12.75" customHeight="1" x14ac:dyDescent="0.2">
      <c r="B25250" s="2"/>
      <c r="C25250" s="15"/>
      <c r="D25250" s="2"/>
    </row>
    <row r="25251" spans="1:4" ht="12.75" customHeight="1" x14ac:dyDescent="0.2">
      <c r="A25251" s="13" t="s">
        <v>6755</v>
      </c>
      <c r="C25251" s="12"/>
    </row>
    <row r="25252" spans="1:4" ht="12.75" customHeight="1" x14ac:dyDescent="0.2">
      <c r="A25252" s="11"/>
      <c r="B25252" s="2"/>
      <c r="C25252" s="15"/>
      <c r="D25252" s="2"/>
    </row>
    <row r="25253" spans="1:4" ht="12.75" customHeight="1" x14ac:dyDescent="0.2">
      <c r="B25253" s="11" t="s">
        <v>0</v>
      </c>
      <c r="C25253" s="11" t="s">
        <v>1390</v>
      </c>
    </row>
    <row r="25254" spans="1:4" ht="12.75" customHeight="1" x14ac:dyDescent="0.2">
      <c r="B25254" s="11" t="s">
        <v>2599</v>
      </c>
      <c r="C25254" s="11" t="s">
        <v>6756</v>
      </c>
    </row>
    <row r="25255" spans="1:4" ht="25.5" customHeight="1" x14ac:dyDescent="0.2">
      <c r="B25255" s="11" t="s">
        <v>2600</v>
      </c>
      <c r="C25255" s="11" t="s">
        <v>6757</v>
      </c>
    </row>
    <row r="25256" spans="1:4" ht="25.5" customHeight="1" x14ac:dyDescent="0.2">
      <c r="B25256" s="11" t="s">
        <v>2601</v>
      </c>
      <c r="C25256" s="11"/>
    </row>
    <row r="25257" spans="1:4" ht="12.75" customHeight="1" x14ac:dyDescent="0.2">
      <c r="B25257" s="11" t="s">
        <v>16</v>
      </c>
      <c r="C25257" s="11"/>
    </row>
    <row r="25258" spans="1:4" ht="12.75" customHeight="1" x14ac:dyDescent="0.2">
      <c r="B25258" s="11" t="s">
        <v>13</v>
      </c>
      <c r="C25258" s="11" t="s">
        <v>2644</v>
      </c>
    </row>
    <row r="25259" spans="1:4" ht="12.75" customHeight="1" x14ac:dyDescent="0.2">
      <c r="B25259" s="11" t="s">
        <v>2603</v>
      </c>
      <c r="C25259" s="11" t="s">
        <v>2604</v>
      </c>
    </row>
    <row r="25260" spans="1:4" ht="12.75" customHeight="1" x14ac:dyDescent="0.2">
      <c r="B25260" s="11" t="s">
        <v>2605</v>
      </c>
      <c r="C25260" s="11" t="s">
        <v>14</v>
      </c>
    </row>
    <row r="25261" spans="1:4" ht="25.5" customHeight="1" x14ac:dyDescent="0.2">
      <c r="B25261" s="11" t="s">
        <v>2606</v>
      </c>
      <c r="C25261" s="16" t="s">
        <v>57</v>
      </c>
      <c r="D25261" s="6" t="str">
        <f>HYPERLINK("javascript:void(0)","unikornisszarv")</f>
        <v>unikornisszarv</v>
      </c>
    </row>
    <row r="25262" spans="1:4" ht="12.75" customHeight="1" x14ac:dyDescent="0.2">
      <c r="B25262" s="2"/>
      <c r="C25262" s="15"/>
      <c r="D25262" s="2"/>
    </row>
    <row r="25263" spans="1:4" ht="12.75" customHeight="1" x14ac:dyDescent="0.2">
      <c r="B25263" s="2"/>
      <c r="C25263" s="15"/>
      <c r="D25263" s="2"/>
    </row>
    <row r="25264" spans="1:4" ht="12.75" customHeight="1" x14ac:dyDescent="0.2">
      <c r="A25264" s="13" t="s">
        <v>6758</v>
      </c>
      <c r="C25264" s="12"/>
    </row>
    <row r="25265" spans="1:4" ht="12.75" customHeight="1" x14ac:dyDescent="0.2">
      <c r="A25265" s="11"/>
      <c r="B25265" s="2"/>
      <c r="C25265" s="15"/>
      <c r="D25265" s="2"/>
    </row>
    <row r="25266" spans="1:4" ht="12.75" customHeight="1" x14ac:dyDescent="0.2">
      <c r="B25266" s="11" t="s">
        <v>0</v>
      </c>
      <c r="C25266" s="11" t="s">
        <v>1390</v>
      </c>
    </row>
    <row r="25267" spans="1:4" ht="12.75" customHeight="1" x14ac:dyDescent="0.2">
      <c r="B25267" s="11" t="s">
        <v>2599</v>
      </c>
      <c r="C25267" s="11" t="s">
        <v>6759</v>
      </c>
    </row>
    <row r="25268" spans="1:4" ht="25.5" customHeight="1" x14ac:dyDescent="0.2">
      <c r="B25268" s="11" t="s">
        <v>2600</v>
      </c>
      <c r="C25268" s="11" t="s">
        <v>6760</v>
      </c>
    </row>
    <row r="25269" spans="1:4" ht="25.5" customHeight="1" x14ac:dyDescent="0.2">
      <c r="B25269" s="11" t="s">
        <v>2601</v>
      </c>
      <c r="C25269" s="11"/>
    </row>
    <row r="25270" spans="1:4" ht="12.75" customHeight="1" x14ac:dyDescent="0.2">
      <c r="B25270" s="11" t="s">
        <v>16</v>
      </c>
      <c r="C25270" s="11"/>
    </row>
    <row r="25271" spans="1:4" ht="12.75" customHeight="1" x14ac:dyDescent="0.2">
      <c r="B25271" s="11" t="s">
        <v>13</v>
      </c>
      <c r="C25271" s="11" t="s">
        <v>2602</v>
      </c>
    </row>
    <row r="25272" spans="1:4" ht="12.75" customHeight="1" x14ac:dyDescent="0.2">
      <c r="B25272" s="11" t="s">
        <v>2603</v>
      </c>
      <c r="C25272" s="11" t="s">
        <v>2604</v>
      </c>
    </row>
    <row r="25273" spans="1:4" ht="12.75" customHeight="1" x14ac:dyDescent="0.2">
      <c r="B25273" s="11" t="s">
        <v>2605</v>
      </c>
      <c r="C25273" s="11" t="s">
        <v>14</v>
      </c>
    </row>
    <row r="25274" spans="1:4" ht="12.75" customHeight="1" x14ac:dyDescent="0.2">
      <c r="B25274" s="11" t="s">
        <v>2606</v>
      </c>
      <c r="C25274" s="16" t="s">
        <v>44</v>
      </c>
      <c r="D25274" s="6" t="str">
        <f>HYPERLINK("javascript:void(0)","szigony")</f>
        <v>szigony</v>
      </c>
    </row>
    <row r="25275" spans="1:4" ht="12.75" customHeight="1" x14ac:dyDescent="0.2">
      <c r="B25275" s="2"/>
      <c r="C25275" s="15"/>
      <c r="D25275" s="2"/>
    </row>
    <row r="25276" spans="1:4" ht="12.75" customHeight="1" x14ac:dyDescent="0.2">
      <c r="B25276" s="2"/>
      <c r="C25276" s="15"/>
      <c r="D25276" s="2"/>
    </row>
    <row r="25277" spans="1:4" ht="12.75" customHeight="1" x14ac:dyDescent="0.2">
      <c r="A25277" s="13" t="s">
        <v>6761</v>
      </c>
      <c r="C25277" s="12"/>
    </row>
    <row r="25278" spans="1:4" ht="12.75" customHeight="1" x14ac:dyDescent="0.2">
      <c r="A25278" s="11"/>
      <c r="B25278" s="2"/>
      <c r="C25278" s="15"/>
      <c r="D25278" s="2"/>
    </row>
    <row r="25279" spans="1:4" ht="12.75" customHeight="1" x14ac:dyDescent="0.2">
      <c r="B25279" s="11" t="s">
        <v>0</v>
      </c>
      <c r="C25279" s="11" t="s">
        <v>1390</v>
      </c>
    </row>
    <row r="25280" spans="1:4" ht="12.75" customHeight="1" x14ac:dyDescent="0.2">
      <c r="B25280" s="11" t="s">
        <v>2599</v>
      </c>
      <c r="C25280" s="11" t="s">
        <v>2934</v>
      </c>
    </row>
    <row r="25281" spans="1:4" ht="25.5" customHeight="1" x14ac:dyDescent="0.2">
      <c r="B25281" s="11" t="s">
        <v>2600</v>
      </c>
      <c r="C25281" s="11" t="s">
        <v>6762</v>
      </c>
    </row>
    <row r="25282" spans="1:4" ht="25.5" customHeight="1" x14ac:dyDescent="0.2">
      <c r="B25282" s="11" t="s">
        <v>2601</v>
      </c>
      <c r="C25282" s="11"/>
    </row>
    <row r="25283" spans="1:4" ht="12.75" customHeight="1" x14ac:dyDescent="0.2">
      <c r="B25283" s="11" t="s">
        <v>16</v>
      </c>
      <c r="C25283" s="11"/>
    </row>
    <row r="25284" spans="1:4" ht="12.75" customHeight="1" x14ac:dyDescent="0.2">
      <c r="B25284" s="11" t="s">
        <v>13</v>
      </c>
      <c r="C25284" s="11" t="s">
        <v>2644</v>
      </c>
    </row>
    <row r="25285" spans="1:4" ht="12.75" customHeight="1" x14ac:dyDescent="0.2">
      <c r="B25285" s="11" t="s">
        <v>2603</v>
      </c>
      <c r="C25285" s="11" t="s">
        <v>2604</v>
      </c>
    </row>
    <row r="25286" spans="1:4" ht="12.75" customHeight="1" x14ac:dyDescent="0.2">
      <c r="B25286" s="11" t="s">
        <v>2605</v>
      </c>
      <c r="C25286" s="11" t="s">
        <v>14</v>
      </c>
    </row>
    <row r="25287" spans="1:4" ht="12.75" customHeight="1" x14ac:dyDescent="0.2">
      <c r="B25287" s="11" t="s">
        <v>2606</v>
      </c>
      <c r="C25287" s="16" t="s">
        <v>44</v>
      </c>
      <c r="D25287" s="6" t="str">
        <f>HYPERLINK("javascript:void(0)","fókaprém")</f>
        <v>fókaprém</v>
      </c>
    </row>
    <row r="25288" spans="1:4" ht="12.75" customHeight="1" x14ac:dyDescent="0.2">
      <c r="C25288" s="16" t="s">
        <v>44</v>
      </c>
      <c r="D25288" s="6" t="str">
        <f>HYPERLINK("javascript:void(0)","hiperzsír")</f>
        <v>hiperzsír</v>
      </c>
    </row>
    <row r="25289" spans="1:4" ht="12.75" customHeight="1" x14ac:dyDescent="0.2">
      <c r="B25289" s="2"/>
      <c r="C25289" s="15"/>
      <c r="D25289" s="2"/>
    </row>
    <row r="25290" spans="1:4" ht="12.75" customHeight="1" x14ac:dyDescent="0.2">
      <c r="B25290" s="2"/>
      <c r="C25290" s="15"/>
      <c r="D25290" s="2"/>
    </row>
    <row r="25291" spans="1:4" ht="12.75" customHeight="1" x14ac:dyDescent="0.2">
      <c r="A25291" s="13" t="s">
        <v>6763</v>
      </c>
      <c r="C25291" s="12"/>
    </row>
    <row r="25292" spans="1:4" ht="12.75" customHeight="1" x14ac:dyDescent="0.2">
      <c r="A25292" s="11"/>
      <c r="B25292" s="2"/>
      <c r="C25292" s="15"/>
      <c r="D25292" s="2"/>
    </row>
    <row r="25293" spans="1:4" ht="12.75" customHeight="1" x14ac:dyDescent="0.2">
      <c r="B25293" s="11" t="s">
        <v>0</v>
      </c>
      <c r="C25293" s="11" t="s">
        <v>1390</v>
      </c>
    </row>
    <row r="25294" spans="1:4" ht="12.75" customHeight="1" x14ac:dyDescent="0.2">
      <c r="B25294" s="11" t="s">
        <v>2599</v>
      </c>
      <c r="C25294" s="11" t="s">
        <v>6764</v>
      </c>
    </row>
    <row r="25295" spans="1:4" ht="25.5" customHeight="1" x14ac:dyDescent="0.2">
      <c r="B25295" s="11" t="s">
        <v>2600</v>
      </c>
      <c r="C25295" s="11" t="s">
        <v>6765</v>
      </c>
    </row>
    <row r="25296" spans="1:4" ht="25.5" customHeight="1" x14ac:dyDescent="0.2">
      <c r="B25296" s="11" t="s">
        <v>2601</v>
      </c>
      <c r="C25296" s="11"/>
    </row>
    <row r="25297" spans="1:4" ht="12.75" customHeight="1" x14ac:dyDescent="0.2">
      <c r="B25297" s="11" t="s">
        <v>16</v>
      </c>
      <c r="C25297" s="11"/>
    </row>
    <row r="25298" spans="1:4" ht="12.75" customHeight="1" x14ac:dyDescent="0.2">
      <c r="B25298" s="11" t="s">
        <v>13</v>
      </c>
      <c r="C25298" s="11" t="s">
        <v>2602</v>
      </c>
    </row>
    <row r="25299" spans="1:4" ht="12.75" customHeight="1" x14ac:dyDescent="0.2">
      <c r="B25299" s="11" t="s">
        <v>2603</v>
      </c>
      <c r="C25299" s="11" t="s">
        <v>2604</v>
      </c>
    </row>
    <row r="25300" spans="1:4" ht="12.75" customHeight="1" x14ac:dyDescent="0.2">
      <c r="B25300" s="11" t="s">
        <v>2605</v>
      </c>
      <c r="C25300" s="11" t="s">
        <v>24</v>
      </c>
    </row>
    <row r="25301" spans="1:4" ht="12.75" customHeight="1" x14ac:dyDescent="0.2">
      <c r="B25301" s="11" t="s">
        <v>2606</v>
      </c>
      <c r="C25301" s="16" t="s">
        <v>56</v>
      </c>
      <c r="D25301" s="6" t="str">
        <f>HYPERLINK("javascript:void(0)","regnum")</f>
        <v>regnum</v>
      </c>
    </row>
    <row r="25302" spans="1:4" ht="12.75" customHeight="1" x14ac:dyDescent="0.2">
      <c r="B25302" s="2"/>
      <c r="C25302" s="15"/>
      <c r="D25302" s="2"/>
    </row>
    <row r="25303" spans="1:4" ht="12.75" customHeight="1" x14ac:dyDescent="0.2">
      <c r="B25303" s="2"/>
      <c r="C25303" s="15"/>
      <c r="D25303" s="2"/>
    </row>
    <row r="25304" spans="1:4" ht="12.75" customHeight="1" x14ac:dyDescent="0.2">
      <c r="A25304" s="13" t="s">
        <v>6766</v>
      </c>
      <c r="C25304" s="12"/>
    </row>
    <row r="25305" spans="1:4" ht="12.75" customHeight="1" x14ac:dyDescent="0.2">
      <c r="A25305" s="11"/>
      <c r="B25305" s="2"/>
      <c r="C25305" s="15"/>
      <c r="D25305" s="2"/>
    </row>
    <row r="25306" spans="1:4" ht="12.75" customHeight="1" x14ac:dyDescent="0.2">
      <c r="B25306" s="11" t="s">
        <v>0</v>
      </c>
      <c r="C25306" s="11" t="s">
        <v>1390</v>
      </c>
    </row>
    <row r="25307" spans="1:4" ht="12.75" customHeight="1" x14ac:dyDescent="0.2">
      <c r="B25307" s="11" t="s">
        <v>2599</v>
      </c>
      <c r="C25307" s="11" t="s">
        <v>4896</v>
      </c>
    </row>
    <row r="25308" spans="1:4" ht="25.5" customHeight="1" x14ac:dyDescent="0.2">
      <c r="B25308" s="11" t="s">
        <v>2600</v>
      </c>
      <c r="C25308" s="11" t="s">
        <v>6767</v>
      </c>
    </row>
    <row r="25309" spans="1:4" ht="25.5" customHeight="1" x14ac:dyDescent="0.2">
      <c r="B25309" s="11" t="s">
        <v>2601</v>
      </c>
      <c r="C25309" s="11"/>
    </row>
    <row r="25310" spans="1:4" ht="12.75" customHeight="1" x14ac:dyDescent="0.2">
      <c r="B25310" s="11" t="s">
        <v>16</v>
      </c>
      <c r="C25310" s="11"/>
    </row>
    <row r="25311" spans="1:4" ht="12.75" customHeight="1" x14ac:dyDescent="0.2">
      <c r="B25311" s="11" t="s">
        <v>13</v>
      </c>
      <c r="C25311" s="11" t="s">
        <v>2644</v>
      </c>
    </row>
    <row r="25312" spans="1:4" ht="12.75" customHeight="1" x14ac:dyDescent="0.2">
      <c r="B25312" s="11" t="s">
        <v>2603</v>
      </c>
      <c r="C25312" s="11" t="s">
        <v>2604</v>
      </c>
    </row>
    <row r="25313" spans="1:4" ht="12.75" customHeight="1" x14ac:dyDescent="0.2">
      <c r="B25313" s="11" t="s">
        <v>2605</v>
      </c>
      <c r="C25313" s="11" t="s">
        <v>24</v>
      </c>
    </row>
    <row r="25314" spans="1:4" ht="12.75" customHeight="1" x14ac:dyDescent="0.2">
      <c r="B25314" s="11" t="s">
        <v>2606</v>
      </c>
      <c r="C25314" s="16" t="s">
        <v>44</v>
      </c>
      <c r="D25314" s="6" t="str">
        <f>HYPERLINK("javascript:void(0)","mütyür")</f>
        <v>mütyür</v>
      </c>
    </row>
    <row r="25315" spans="1:4" ht="12.75" customHeight="1" x14ac:dyDescent="0.2">
      <c r="B25315" s="2"/>
      <c r="C25315" s="15"/>
      <c r="D25315" s="2"/>
    </row>
    <row r="25316" spans="1:4" ht="12.75" customHeight="1" x14ac:dyDescent="0.2">
      <c r="B25316" s="2"/>
      <c r="C25316" s="15"/>
      <c r="D25316" s="2"/>
    </row>
    <row r="25317" spans="1:4" ht="12.75" customHeight="1" x14ac:dyDescent="0.2">
      <c r="A25317" s="13" t="s">
        <v>6768</v>
      </c>
      <c r="C25317" s="12"/>
    </row>
    <row r="25318" spans="1:4" ht="12.75" customHeight="1" x14ac:dyDescent="0.2">
      <c r="A25318" s="11"/>
      <c r="B25318" s="2"/>
      <c r="C25318" s="15"/>
      <c r="D25318" s="2"/>
    </row>
    <row r="25319" spans="1:4" ht="12.75" customHeight="1" x14ac:dyDescent="0.2">
      <c r="B25319" s="11" t="s">
        <v>0</v>
      </c>
      <c r="C25319" s="11" t="s">
        <v>1390</v>
      </c>
    </row>
    <row r="25320" spans="1:4" ht="12.75" customHeight="1" x14ac:dyDescent="0.2">
      <c r="B25320" s="11" t="s">
        <v>2599</v>
      </c>
      <c r="C25320" s="11" t="s">
        <v>6667</v>
      </c>
    </row>
    <row r="25321" spans="1:4" ht="25.5" customHeight="1" x14ac:dyDescent="0.2">
      <c r="B25321" s="11" t="s">
        <v>2600</v>
      </c>
      <c r="C25321" s="11" t="s">
        <v>6769</v>
      </c>
    </row>
    <row r="25322" spans="1:4" ht="25.5" customHeight="1" x14ac:dyDescent="0.2">
      <c r="B25322" s="11" t="s">
        <v>2601</v>
      </c>
      <c r="C25322" s="11"/>
    </row>
    <row r="25323" spans="1:4" ht="12.75" customHeight="1" x14ac:dyDescent="0.2">
      <c r="B25323" s="11" t="s">
        <v>16</v>
      </c>
      <c r="C25323" s="11"/>
    </row>
    <row r="25324" spans="1:4" ht="12.75" customHeight="1" x14ac:dyDescent="0.2">
      <c r="B25324" s="11" t="s">
        <v>13</v>
      </c>
      <c r="C25324" s="11" t="s">
        <v>2602</v>
      </c>
    </row>
    <row r="25325" spans="1:4" ht="12.75" customHeight="1" x14ac:dyDescent="0.2">
      <c r="B25325" s="11" t="s">
        <v>2603</v>
      </c>
      <c r="C25325" s="11" t="s">
        <v>2604</v>
      </c>
    </row>
    <row r="25326" spans="1:4" ht="12.75" customHeight="1" x14ac:dyDescent="0.2">
      <c r="B25326" s="11" t="s">
        <v>2605</v>
      </c>
      <c r="C25326" s="11" t="s">
        <v>24</v>
      </c>
    </row>
    <row r="25327" spans="1:4" ht="25.5" customHeight="1" x14ac:dyDescent="0.2">
      <c r="B25327" s="11" t="s">
        <v>2606</v>
      </c>
      <c r="C25327" s="16" t="s">
        <v>44</v>
      </c>
      <c r="D25327" s="6" t="str">
        <f>HYPERLINK("javascript:void(0)","állásfoglalás")</f>
        <v>állásfoglalás</v>
      </c>
    </row>
    <row r="25328" spans="1:4" ht="12.75" customHeight="1" x14ac:dyDescent="0.2">
      <c r="B25328" s="2"/>
      <c r="C25328" s="15"/>
      <c r="D25328" s="2"/>
    </row>
    <row r="25329" spans="1:4" ht="12.75" customHeight="1" x14ac:dyDescent="0.2">
      <c r="B25329" s="2"/>
      <c r="C25329" s="15"/>
      <c r="D25329" s="2"/>
    </row>
    <row r="25330" spans="1:4" ht="12.75" customHeight="1" x14ac:dyDescent="0.2">
      <c r="A25330" s="13" t="s">
        <v>6770</v>
      </c>
      <c r="C25330" s="12"/>
    </row>
    <row r="25331" spans="1:4" ht="12.75" customHeight="1" x14ac:dyDescent="0.2">
      <c r="A25331" s="11"/>
      <c r="B25331" s="2"/>
      <c r="C25331" s="15"/>
      <c r="D25331" s="2"/>
    </row>
    <row r="25332" spans="1:4" ht="12.75" customHeight="1" x14ac:dyDescent="0.2">
      <c r="B25332" s="11" t="s">
        <v>0</v>
      </c>
      <c r="C25332" s="11" t="s">
        <v>1390</v>
      </c>
    </row>
    <row r="25333" spans="1:4" ht="12.75" customHeight="1" x14ac:dyDescent="0.2">
      <c r="B25333" s="11" t="s">
        <v>2599</v>
      </c>
      <c r="C25333" s="11" t="s">
        <v>3844</v>
      </c>
    </row>
    <row r="25334" spans="1:4" ht="25.5" customHeight="1" x14ac:dyDescent="0.2">
      <c r="B25334" s="11" t="s">
        <v>2600</v>
      </c>
      <c r="C25334" s="11" t="s">
        <v>6771</v>
      </c>
    </row>
    <row r="25335" spans="1:4" ht="25.5" customHeight="1" x14ac:dyDescent="0.2">
      <c r="B25335" s="11" t="s">
        <v>2601</v>
      </c>
      <c r="C25335" s="11"/>
    </row>
    <row r="25336" spans="1:4" ht="12.75" customHeight="1" x14ac:dyDescent="0.2">
      <c r="B25336" s="11" t="s">
        <v>16</v>
      </c>
      <c r="C25336" s="11"/>
    </row>
    <row r="25337" spans="1:4" ht="12.75" customHeight="1" x14ac:dyDescent="0.2">
      <c r="B25337" s="11" t="s">
        <v>13</v>
      </c>
      <c r="C25337" s="11" t="s">
        <v>2644</v>
      </c>
    </row>
    <row r="25338" spans="1:4" ht="12.75" customHeight="1" x14ac:dyDescent="0.2">
      <c r="B25338" s="11" t="s">
        <v>2603</v>
      </c>
      <c r="C25338" s="11" t="s">
        <v>2604</v>
      </c>
    </row>
    <row r="25339" spans="1:4" ht="12.75" customHeight="1" x14ac:dyDescent="0.2">
      <c r="B25339" s="11" t="s">
        <v>2605</v>
      </c>
      <c r="C25339" s="11" t="s">
        <v>24</v>
      </c>
    </row>
    <row r="25340" spans="1:4" ht="12.75" customHeight="1" x14ac:dyDescent="0.2">
      <c r="B25340" s="11" t="s">
        <v>2606</v>
      </c>
      <c r="C25340" s="16" t="s">
        <v>44</v>
      </c>
      <c r="D25340" s="6" t="str">
        <f>HYPERLINK("javascript:void(0)","fényige")</f>
        <v>fényige</v>
      </c>
    </row>
    <row r="25341" spans="1:4" ht="12.75" customHeight="1" x14ac:dyDescent="0.2">
      <c r="B25341" s="2"/>
      <c r="C25341" s="15"/>
      <c r="D25341" s="2"/>
    </row>
    <row r="25342" spans="1:4" ht="12.75" customHeight="1" x14ac:dyDescent="0.2">
      <c r="B25342" s="2"/>
      <c r="C25342" s="15"/>
      <c r="D25342" s="2"/>
    </row>
    <row r="25343" spans="1:4" ht="12.75" customHeight="1" x14ac:dyDescent="0.2">
      <c r="A25343" s="13" t="s">
        <v>6772</v>
      </c>
      <c r="C25343" s="12"/>
      <c r="D25343" s="2"/>
    </row>
    <row r="25344" spans="1:4" ht="12.75" customHeight="1" x14ac:dyDescent="0.2">
      <c r="A25344" s="11"/>
      <c r="B25344" s="2"/>
      <c r="C25344" s="15"/>
      <c r="D25344" s="2"/>
    </row>
    <row r="25345" spans="1:4" ht="12.75" customHeight="1" x14ac:dyDescent="0.2">
      <c r="B25345" s="11" t="s">
        <v>0</v>
      </c>
      <c r="C25345" s="17" t="s">
        <v>1390</v>
      </c>
      <c r="D25345" s="2"/>
    </row>
    <row r="25346" spans="1:4" ht="12.75" customHeight="1" x14ac:dyDescent="0.2">
      <c r="B25346" s="11" t="s">
        <v>2599</v>
      </c>
      <c r="C25346" s="17" t="s">
        <v>6773</v>
      </c>
      <c r="D25346" s="2"/>
    </row>
    <row r="25347" spans="1:4" ht="25.5" customHeight="1" x14ac:dyDescent="0.2">
      <c r="B25347" s="11" t="s">
        <v>2600</v>
      </c>
      <c r="C25347" s="17" t="s">
        <v>6774</v>
      </c>
      <c r="D25347" s="2"/>
    </row>
    <row r="25348" spans="1:4" ht="25.5" customHeight="1" x14ac:dyDescent="0.2">
      <c r="B25348" s="11" t="s">
        <v>2601</v>
      </c>
      <c r="C25348" s="17"/>
      <c r="D25348" s="2"/>
    </row>
    <row r="25349" spans="1:4" ht="12.75" customHeight="1" x14ac:dyDescent="0.2">
      <c r="B25349" s="11" t="s">
        <v>16</v>
      </c>
      <c r="C25349" s="17"/>
      <c r="D25349" s="2"/>
    </row>
    <row r="25350" spans="1:4" ht="12.75" customHeight="1" x14ac:dyDescent="0.2">
      <c r="B25350" s="11" t="s">
        <v>13</v>
      </c>
      <c r="C25350" s="17" t="s">
        <v>2602</v>
      </c>
      <c r="D25350" s="2"/>
    </row>
    <row r="25351" spans="1:4" ht="12.75" customHeight="1" x14ac:dyDescent="0.2">
      <c r="B25351" s="11" t="s">
        <v>2603</v>
      </c>
      <c r="C25351" s="17" t="s">
        <v>128</v>
      </c>
      <c r="D25351" s="2"/>
    </row>
    <row r="25352" spans="1:4" ht="12.75" customHeight="1" x14ac:dyDescent="0.2">
      <c r="B25352" s="11" t="s">
        <v>2605</v>
      </c>
      <c r="C25352" s="17" t="s">
        <v>14</v>
      </c>
      <c r="D25352" s="2"/>
    </row>
    <row r="25353" spans="1:4" ht="12.75" customHeight="1" x14ac:dyDescent="0.2">
      <c r="B25353" s="11" t="s">
        <v>2606</v>
      </c>
      <c r="C25353" s="16" t="s">
        <v>19</v>
      </c>
      <c r="D25353" s="2"/>
    </row>
    <row r="25354" spans="1:4" ht="12.75" customHeight="1" x14ac:dyDescent="0.2">
      <c r="B25354" s="2"/>
      <c r="C25354" s="15"/>
      <c r="D25354" s="2"/>
    </row>
    <row r="25355" spans="1:4" ht="12.75" customHeight="1" x14ac:dyDescent="0.2">
      <c r="B25355" s="2"/>
      <c r="C25355" s="15"/>
      <c r="D25355" s="2"/>
    </row>
    <row r="25356" spans="1:4" ht="12.75" customHeight="1" x14ac:dyDescent="0.2">
      <c r="A25356" s="13" t="s">
        <v>6775</v>
      </c>
      <c r="C25356" s="12"/>
      <c r="D25356" s="2"/>
    </row>
    <row r="25357" spans="1:4" ht="12.75" customHeight="1" x14ac:dyDescent="0.2">
      <c r="A25357" s="11"/>
      <c r="B25357" s="2"/>
      <c r="C25357" s="15"/>
      <c r="D25357" s="2"/>
    </row>
    <row r="25358" spans="1:4" ht="12.75" customHeight="1" x14ac:dyDescent="0.2">
      <c r="B25358" s="11" t="s">
        <v>0</v>
      </c>
      <c r="C25358" s="17" t="s">
        <v>1390</v>
      </c>
      <c r="D25358" s="2"/>
    </row>
    <row r="25359" spans="1:4" ht="12.75" customHeight="1" x14ac:dyDescent="0.2">
      <c r="B25359" s="11" t="s">
        <v>2599</v>
      </c>
      <c r="C25359" s="17" t="s">
        <v>6776</v>
      </c>
      <c r="D25359" s="2"/>
    </row>
    <row r="25360" spans="1:4" ht="25.5" customHeight="1" x14ac:dyDescent="0.2">
      <c r="B25360" s="11" t="s">
        <v>2600</v>
      </c>
      <c r="C25360" s="17" t="s">
        <v>6777</v>
      </c>
      <c r="D25360" s="2"/>
    </row>
    <row r="25361" spans="1:4" ht="25.5" customHeight="1" x14ac:dyDescent="0.2">
      <c r="B25361" s="11" t="s">
        <v>2601</v>
      </c>
      <c r="C25361" s="17"/>
      <c r="D25361" s="2"/>
    </row>
    <row r="25362" spans="1:4" ht="12.75" customHeight="1" x14ac:dyDescent="0.2">
      <c r="B25362" s="11" t="s">
        <v>16</v>
      </c>
      <c r="C25362" s="17"/>
      <c r="D25362" s="2"/>
    </row>
    <row r="25363" spans="1:4" ht="12.75" customHeight="1" x14ac:dyDescent="0.2">
      <c r="B25363" s="11" t="s">
        <v>13</v>
      </c>
      <c r="C25363" s="17" t="s">
        <v>2644</v>
      </c>
      <c r="D25363" s="2"/>
    </row>
    <row r="25364" spans="1:4" ht="12.75" customHeight="1" x14ac:dyDescent="0.2">
      <c r="B25364" s="11" t="s">
        <v>2603</v>
      </c>
      <c r="C25364" s="17" t="s">
        <v>128</v>
      </c>
      <c r="D25364" s="2"/>
    </row>
    <row r="25365" spans="1:4" ht="12.75" customHeight="1" x14ac:dyDescent="0.2">
      <c r="B25365" s="11" t="s">
        <v>2605</v>
      </c>
      <c r="C25365" s="17" t="s">
        <v>14</v>
      </c>
      <c r="D25365" s="2"/>
    </row>
    <row r="25366" spans="1:4" ht="12.75" customHeight="1" x14ac:dyDescent="0.2">
      <c r="B25366" s="11" t="s">
        <v>2606</v>
      </c>
      <c r="C25366" s="16" t="s">
        <v>19</v>
      </c>
      <c r="D25366" s="2"/>
    </row>
    <row r="25367" spans="1:4" ht="12.75" customHeight="1" x14ac:dyDescent="0.2">
      <c r="B25367" s="2"/>
      <c r="C25367" s="15"/>
      <c r="D25367" s="2"/>
    </row>
    <row r="25368" spans="1:4" ht="12.75" customHeight="1" x14ac:dyDescent="0.2">
      <c r="B25368" s="2"/>
      <c r="C25368" s="15"/>
      <c r="D25368" s="2"/>
    </row>
    <row r="25369" spans="1:4" ht="12.75" customHeight="1" x14ac:dyDescent="0.2">
      <c r="A25369" s="13" t="s">
        <v>6778</v>
      </c>
      <c r="C25369" s="12"/>
    </row>
    <row r="25370" spans="1:4" ht="12.75" customHeight="1" x14ac:dyDescent="0.2">
      <c r="A25370" s="11"/>
      <c r="B25370" s="2"/>
      <c r="C25370" s="15"/>
      <c r="D25370" s="2"/>
    </row>
    <row r="25371" spans="1:4" ht="12.75" customHeight="1" x14ac:dyDescent="0.2">
      <c r="B25371" s="11" t="s">
        <v>0</v>
      </c>
      <c r="C25371" s="11" t="s">
        <v>411</v>
      </c>
    </row>
    <row r="25372" spans="1:4" ht="12.75" customHeight="1" x14ac:dyDescent="0.2">
      <c r="B25372" s="11" t="s">
        <v>2599</v>
      </c>
      <c r="C25372" s="11" t="s">
        <v>6779</v>
      </c>
    </row>
    <row r="25373" spans="1:4" ht="25.5" customHeight="1" x14ac:dyDescent="0.2">
      <c r="B25373" s="11" t="s">
        <v>2600</v>
      </c>
      <c r="C25373" s="11" t="s">
        <v>6780</v>
      </c>
    </row>
    <row r="25374" spans="1:4" ht="25.5" customHeight="1" x14ac:dyDescent="0.2">
      <c r="B25374" s="11" t="s">
        <v>2601</v>
      </c>
      <c r="C25374" s="11"/>
    </row>
    <row r="25375" spans="1:4" ht="12.75" customHeight="1" x14ac:dyDescent="0.2">
      <c r="B25375" s="11" t="s">
        <v>16</v>
      </c>
      <c r="C25375" s="11"/>
    </row>
    <row r="25376" spans="1:4" ht="12.75" customHeight="1" x14ac:dyDescent="0.2">
      <c r="B25376" s="11" t="s">
        <v>13</v>
      </c>
      <c r="C25376" s="11" t="s">
        <v>2602</v>
      </c>
    </row>
    <row r="25377" spans="1:4" ht="12.75" customHeight="1" x14ac:dyDescent="0.2">
      <c r="B25377" s="11" t="s">
        <v>2603</v>
      </c>
      <c r="C25377" s="11" t="s">
        <v>2604</v>
      </c>
    </row>
    <row r="25378" spans="1:4" ht="12.75" customHeight="1" x14ac:dyDescent="0.2">
      <c r="B25378" s="11" t="s">
        <v>2605</v>
      </c>
      <c r="C25378" s="11" t="s">
        <v>14</v>
      </c>
    </row>
    <row r="25379" spans="1:4" ht="12.75" customHeight="1" x14ac:dyDescent="0.2">
      <c r="B25379" s="11" t="s">
        <v>2606</v>
      </c>
      <c r="C25379" s="16" t="s">
        <v>55</v>
      </c>
      <c r="D25379" s="6" t="str">
        <f>HYPERLINK("javascript:void(0)","orr")</f>
        <v>orr</v>
      </c>
    </row>
    <row r="25380" spans="1:4" ht="12.75" customHeight="1" x14ac:dyDescent="0.2">
      <c r="C25380" s="16" t="s">
        <v>44</v>
      </c>
      <c r="D25380" s="6" t="str">
        <f>HYPERLINK("javascript:void(0)","undormány")</f>
        <v>undormány</v>
      </c>
    </row>
    <row r="25381" spans="1:4" ht="12.75" customHeight="1" x14ac:dyDescent="0.2">
      <c r="B25381" s="2"/>
      <c r="C25381" s="15"/>
      <c r="D25381" s="2"/>
    </row>
    <row r="25382" spans="1:4" ht="12.75" customHeight="1" x14ac:dyDescent="0.2">
      <c r="B25382" s="2"/>
      <c r="C25382" s="15"/>
      <c r="D25382" s="2"/>
    </row>
    <row r="25383" spans="1:4" ht="12.75" customHeight="1" x14ac:dyDescent="0.2">
      <c r="A25383" s="13" t="s">
        <v>6781</v>
      </c>
      <c r="C25383" s="12"/>
    </row>
    <row r="25384" spans="1:4" ht="12.75" customHeight="1" x14ac:dyDescent="0.2">
      <c r="A25384" s="11"/>
      <c r="B25384" s="2"/>
      <c r="C25384" s="15"/>
      <c r="D25384" s="2"/>
    </row>
    <row r="25385" spans="1:4" ht="12.75" customHeight="1" x14ac:dyDescent="0.2">
      <c r="B25385" s="11" t="s">
        <v>0</v>
      </c>
      <c r="C25385" s="11" t="s">
        <v>411</v>
      </c>
    </row>
    <row r="25386" spans="1:4" ht="12.75" customHeight="1" x14ac:dyDescent="0.2">
      <c r="B25386" s="11" t="s">
        <v>2599</v>
      </c>
      <c r="C25386" s="11" t="s">
        <v>6782</v>
      </c>
    </row>
    <row r="25387" spans="1:4" ht="25.5" customHeight="1" x14ac:dyDescent="0.2">
      <c r="B25387" s="11" t="s">
        <v>2600</v>
      </c>
      <c r="C25387" s="11" t="s">
        <v>6783</v>
      </c>
    </row>
    <row r="25388" spans="1:4" ht="25.5" customHeight="1" x14ac:dyDescent="0.2">
      <c r="B25388" s="11" t="s">
        <v>2601</v>
      </c>
      <c r="C25388" s="11"/>
    </row>
    <row r="25389" spans="1:4" ht="12.75" customHeight="1" x14ac:dyDescent="0.2">
      <c r="B25389" s="11" t="s">
        <v>16</v>
      </c>
      <c r="C25389" s="11"/>
    </row>
    <row r="25390" spans="1:4" ht="12.75" customHeight="1" x14ac:dyDescent="0.2">
      <c r="B25390" s="11" t="s">
        <v>13</v>
      </c>
      <c r="C25390" s="11" t="s">
        <v>2644</v>
      </c>
    </row>
    <row r="25391" spans="1:4" ht="12.75" customHeight="1" x14ac:dyDescent="0.2">
      <c r="B25391" s="11" t="s">
        <v>2603</v>
      </c>
      <c r="C25391" s="11" t="s">
        <v>2604</v>
      </c>
    </row>
    <row r="25392" spans="1:4" ht="12.75" customHeight="1" x14ac:dyDescent="0.2">
      <c r="B25392" s="11" t="s">
        <v>2605</v>
      </c>
      <c r="C25392" s="11" t="s">
        <v>24</v>
      </c>
    </row>
    <row r="25393" spans="1:4" ht="12.75" customHeight="1" x14ac:dyDescent="0.2">
      <c r="B25393" s="11" t="s">
        <v>2606</v>
      </c>
      <c r="C25393" s="16" t="s">
        <v>44</v>
      </c>
      <c r="D25393" s="6" t="str">
        <f>HYPERLINK("javascript:void(0)","tompor")</f>
        <v>tompor</v>
      </c>
    </row>
    <row r="25394" spans="1:4" ht="12.75" customHeight="1" x14ac:dyDescent="0.2">
      <c r="B25394" s="2"/>
      <c r="C25394" s="15"/>
      <c r="D25394" s="2"/>
    </row>
    <row r="25395" spans="1:4" ht="12.75" customHeight="1" x14ac:dyDescent="0.2">
      <c r="B25395" s="2"/>
      <c r="C25395" s="15"/>
      <c r="D25395" s="2"/>
    </row>
    <row r="25396" spans="1:4" ht="12.75" customHeight="1" x14ac:dyDescent="0.2">
      <c r="A25396" s="13" t="s">
        <v>6784</v>
      </c>
      <c r="C25396" s="12"/>
    </row>
    <row r="25397" spans="1:4" ht="12.75" customHeight="1" x14ac:dyDescent="0.2">
      <c r="A25397" s="11"/>
      <c r="B25397" s="2"/>
      <c r="C25397" s="15"/>
      <c r="D25397" s="2"/>
    </row>
    <row r="25398" spans="1:4" ht="12.75" customHeight="1" x14ac:dyDescent="0.2">
      <c r="B25398" s="11" t="s">
        <v>0</v>
      </c>
      <c r="C25398" s="11" t="s">
        <v>411</v>
      </c>
    </row>
    <row r="25399" spans="1:4" ht="12.75" customHeight="1" x14ac:dyDescent="0.2">
      <c r="B25399" s="11" t="s">
        <v>2599</v>
      </c>
      <c r="C25399" s="11" t="s">
        <v>6785</v>
      </c>
    </row>
    <row r="25400" spans="1:4" ht="25.5" customHeight="1" x14ac:dyDescent="0.2">
      <c r="B25400" s="11" t="s">
        <v>2600</v>
      </c>
      <c r="C25400" s="11" t="s">
        <v>6786</v>
      </c>
    </row>
    <row r="25401" spans="1:4" ht="25.5" customHeight="1" x14ac:dyDescent="0.2">
      <c r="B25401" s="11" t="s">
        <v>2601</v>
      </c>
      <c r="C25401" s="11"/>
    </row>
    <row r="25402" spans="1:4" ht="12.75" customHeight="1" x14ac:dyDescent="0.2">
      <c r="B25402" s="11" t="s">
        <v>16</v>
      </c>
      <c r="C25402" s="11"/>
    </row>
    <row r="25403" spans="1:4" ht="12.75" customHeight="1" x14ac:dyDescent="0.2">
      <c r="B25403" s="11" t="s">
        <v>13</v>
      </c>
      <c r="C25403" s="11" t="s">
        <v>2602</v>
      </c>
    </row>
    <row r="25404" spans="1:4" ht="12.75" customHeight="1" x14ac:dyDescent="0.2">
      <c r="B25404" s="11" t="s">
        <v>2603</v>
      </c>
      <c r="C25404" s="11" t="s">
        <v>2604</v>
      </c>
    </row>
    <row r="25405" spans="1:4" ht="12.75" customHeight="1" x14ac:dyDescent="0.2">
      <c r="B25405" s="11" t="s">
        <v>2605</v>
      </c>
      <c r="C25405" s="11" t="s">
        <v>14</v>
      </c>
    </row>
    <row r="25406" spans="1:4" ht="12.75" customHeight="1" x14ac:dyDescent="0.2">
      <c r="B25406" s="11" t="s">
        <v>2606</v>
      </c>
      <c r="C25406" s="16" t="s">
        <v>44</v>
      </c>
      <c r="D25406" s="6" t="str">
        <f>HYPERLINK("javascript:void(0)","átokige")</f>
        <v>átokige</v>
      </c>
    </row>
    <row r="25407" spans="1:4" ht="25.5" customHeight="1" x14ac:dyDescent="0.2">
      <c r="C25407" s="16" t="s">
        <v>44</v>
      </c>
      <c r="D25407" s="6" t="str">
        <f>HYPERLINK("javascript:void(0)","átokhordozó")</f>
        <v>átokhordozó</v>
      </c>
    </row>
    <row r="25408" spans="1:4" ht="12.75" customHeight="1" x14ac:dyDescent="0.2">
      <c r="B25408" s="2"/>
      <c r="C25408" s="15"/>
      <c r="D25408" s="2"/>
    </row>
    <row r="25409" spans="1:4" ht="12.75" customHeight="1" x14ac:dyDescent="0.2">
      <c r="B25409" s="2"/>
      <c r="C25409" s="15"/>
      <c r="D25409" s="2"/>
    </row>
    <row r="25410" spans="1:4" ht="12.75" customHeight="1" x14ac:dyDescent="0.2">
      <c r="A25410" s="13" t="s">
        <v>6787</v>
      </c>
      <c r="C25410" s="12"/>
    </row>
    <row r="25411" spans="1:4" ht="12.75" customHeight="1" x14ac:dyDescent="0.2">
      <c r="A25411" s="11"/>
      <c r="B25411" s="2"/>
      <c r="C25411" s="15"/>
      <c r="D25411" s="2"/>
    </row>
    <row r="25412" spans="1:4" ht="12.75" customHeight="1" x14ac:dyDescent="0.2">
      <c r="B25412" s="11" t="s">
        <v>0</v>
      </c>
      <c r="C25412" s="11" t="s">
        <v>411</v>
      </c>
    </row>
    <row r="25413" spans="1:4" ht="12.75" customHeight="1" x14ac:dyDescent="0.2">
      <c r="B25413" s="11" t="s">
        <v>2599</v>
      </c>
      <c r="C25413" s="11" t="s">
        <v>2669</v>
      </c>
    </row>
    <row r="25414" spans="1:4" ht="25.5" customHeight="1" x14ac:dyDescent="0.2">
      <c r="B25414" s="11" t="s">
        <v>2600</v>
      </c>
      <c r="C25414" s="11" t="s">
        <v>6788</v>
      </c>
    </row>
    <row r="25415" spans="1:4" ht="25.5" customHeight="1" x14ac:dyDescent="0.2">
      <c r="B25415" s="11" t="s">
        <v>2601</v>
      </c>
      <c r="C25415" s="11"/>
    </row>
    <row r="25416" spans="1:4" ht="12.75" customHeight="1" x14ac:dyDescent="0.2">
      <c r="B25416" s="11" t="s">
        <v>16</v>
      </c>
      <c r="C25416" s="11"/>
    </row>
    <row r="25417" spans="1:4" ht="12.75" customHeight="1" x14ac:dyDescent="0.2">
      <c r="B25417" s="11" t="s">
        <v>13</v>
      </c>
      <c r="C25417" s="11" t="s">
        <v>2644</v>
      </c>
    </row>
    <row r="25418" spans="1:4" ht="12.75" customHeight="1" x14ac:dyDescent="0.2">
      <c r="B25418" s="11" t="s">
        <v>2603</v>
      </c>
      <c r="C25418" s="11" t="s">
        <v>2604</v>
      </c>
    </row>
    <row r="25419" spans="1:4" ht="12.75" customHeight="1" x14ac:dyDescent="0.2">
      <c r="B25419" s="11" t="s">
        <v>2605</v>
      </c>
      <c r="C25419" s="11" t="s">
        <v>24</v>
      </c>
    </row>
    <row r="25420" spans="1:4" ht="25.5" customHeight="1" x14ac:dyDescent="0.2">
      <c r="B25420" s="11" t="s">
        <v>2606</v>
      </c>
      <c r="C25420" s="16" t="s">
        <v>56</v>
      </c>
      <c r="D25420" s="6" t="str">
        <f>HYPERLINK("javascript:void(0)","pengeszálka")</f>
        <v>pengeszálka</v>
      </c>
    </row>
    <row r="25421" spans="1:4" ht="12.75" customHeight="1" x14ac:dyDescent="0.2">
      <c r="B25421" s="2"/>
      <c r="C25421" s="15"/>
      <c r="D25421" s="2"/>
    </row>
    <row r="25422" spans="1:4" ht="12.75" customHeight="1" x14ac:dyDescent="0.2">
      <c r="B25422" s="2"/>
      <c r="C25422" s="15"/>
      <c r="D25422" s="2"/>
    </row>
    <row r="25423" spans="1:4" ht="12.75" customHeight="1" x14ac:dyDescent="0.2">
      <c r="A25423" s="13" t="s">
        <v>6789</v>
      </c>
      <c r="C25423" s="12"/>
    </row>
    <row r="25424" spans="1:4" ht="12.75" customHeight="1" x14ac:dyDescent="0.2">
      <c r="A25424" s="11"/>
      <c r="B25424" s="2"/>
      <c r="C25424" s="15"/>
      <c r="D25424" s="2"/>
    </row>
    <row r="25425" spans="1:4" ht="12.75" customHeight="1" x14ac:dyDescent="0.2">
      <c r="B25425" s="11" t="s">
        <v>0</v>
      </c>
      <c r="C25425" s="11" t="s">
        <v>411</v>
      </c>
    </row>
    <row r="25426" spans="1:4" ht="12.75" customHeight="1" x14ac:dyDescent="0.2">
      <c r="B25426" s="11" t="s">
        <v>2599</v>
      </c>
      <c r="C25426" s="11" t="s">
        <v>6756</v>
      </c>
    </row>
    <row r="25427" spans="1:4" ht="25.5" customHeight="1" x14ac:dyDescent="0.2">
      <c r="B25427" s="11" t="s">
        <v>2600</v>
      </c>
      <c r="C25427" s="11" t="s">
        <v>6790</v>
      </c>
    </row>
    <row r="25428" spans="1:4" ht="25.5" customHeight="1" x14ac:dyDescent="0.2">
      <c r="B25428" s="11" t="s">
        <v>2601</v>
      </c>
      <c r="C25428" s="11"/>
    </row>
    <row r="25429" spans="1:4" ht="12.75" customHeight="1" x14ac:dyDescent="0.2">
      <c r="B25429" s="11" t="s">
        <v>16</v>
      </c>
      <c r="C25429" s="11"/>
    </row>
    <row r="25430" spans="1:4" ht="12.75" customHeight="1" x14ac:dyDescent="0.2">
      <c r="B25430" s="11" t="s">
        <v>13</v>
      </c>
      <c r="C25430" s="11" t="s">
        <v>2602</v>
      </c>
    </row>
    <row r="25431" spans="1:4" ht="12.75" customHeight="1" x14ac:dyDescent="0.2">
      <c r="B25431" s="11" t="s">
        <v>2603</v>
      </c>
      <c r="C25431" s="11" t="s">
        <v>2604</v>
      </c>
    </row>
    <row r="25432" spans="1:4" ht="12.75" customHeight="1" x14ac:dyDescent="0.2">
      <c r="B25432" s="11" t="s">
        <v>2605</v>
      </c>
      <c r="C25432" s="11" t="s">
        <v>14</v>
      </c>
    </row>
    <row r="25433" spans="1:4" ht="12.75" customHeight="1" x14ac:dyDescent="0.2">
      <c r="B25433" s="11" t="s">
        <v>2606</v>
      </c>
      <c r="C25433" s="16" t="s">
        <v>56</v>
      </c>
      <c r="D25433" s="6" t="str">
        <f>HYPERLINK("javascript:void(0)","banánhéj")</f>
        <v>banánhéj</v>
      </c>
    </row>
    <row r="25434" spans="1:4" ht="12.75" customHeight="1" x14ac:dyDescent="0.2">
      <c r="B25434" s="2"/>
      <c r="C25434" s="15"/>
      <c r="D25434" s="2"/>
    </row>
    <row r="25435" spans="1:4" ht="12.75" customHeight="1" x14ac:dyDescent="0.2">
      <c r="B25435" s="2"/>
      <c r="C25435" s="15"/>
      <c r="D25435" s="2"/>
    </row>
    <row r="25436" spans="1:4" ht="12.75" customHeight="1" x14ac:dyDescent="0.2">
      <c r="A25436" s="13" t="s">
        <v>6791</v>
      </c>
      <c r="C25436" s="12"/>
    </row>
    <row r="25437" spans="1:4" ht="12.75" customHeight="1" x14ac:dyDescent="0.2">
      <c r="A25437" s="11"/>
      <c r="B25437" s="2"/>
      <c r="C25437" s="15"/>
      <c r="D25437" s="2"/>
    </row>
    <row r="25438" spans="1:4" ht="12.75" customHeight="1" x14ac:dyDescent="0.2">
      <c r="B25438" s="11" t="s">
        <v>0</v>
      </c>
      <c r="C25438" s="11" t="s">
        <v>411</v>
      </c>
    </row>
    <row r="25439" spans="1:4" ht="12.75" customHeight="1" x14ac:dyDescent="0.2">
      <c r="B25439" s="11" t="s">
        <v>2599</v>
      </c>
      <c r="C25439" s="11" t="s">
        <v>6792</v>
      </c>
    </row>
    <row r="25440" spans="1:4" ht="25.5" customHeight="1" x14ac:dyDescent="0.2">
      <c r="B25440" s="11" t="s">
        <v>2600</v>
      </c>
      <c r="C25440" s="11" t="s">
        <v>6793</v>
      </c>
    </row>
    <row r="25441" spans="1:4" ht="25.5" customHeight="1" x14ac:dyDescent="0.2">
      <c r="B25441" s="11" t="s">
        <v>2601</v>
      </c>
      <c r="C25441" s="11"/>
    </row>
    <row r="25442" spans="1:4" ht="12.75" customHeight="1" x14ac:dyDescent="0.2">
      <c r="B25442" s="11" t="s">
        <v>16</v>
      </c>
      <c r="C25442" s="11"/>
    </row>
    <row r="25443" spans="1:4" ht="12.75" customHeight="1" x14ac:dyDescent="0.2">
      <c r="B25443" s="11" t="s">
        <v>13</v>
      </c>
      <c r="C25443" s="11" t="s">
        <v>2644</v>
      </c>
    </row>
    <row r="25444" spans="1:4" ht="12.75" customHeight="1" x14ac:dyDescent="0.2">
      <c r="B25444" s="11" t="s">
        <v>2603</v>
      </c>
      <c r="C25444" s="11" t="s">
        <v>2604</v>
      </c>
    </row>
    <row r="25445" spans="1:4" ht="12.75" customHeight="1" x14ac:dyDescent="0.2">
      <c r="B25445" s="11" t="s">
        <v>2605</v>
      </c>
      <c r="C25445" s="11" t="s">
        <v>24</v>
      </c>
    </row>
    <row r="25446" spans="1:4" ht="25.5" customHeight="1" x14ac:dyDescent="0.2">
      <c r="B25446" s="11" t="s">
        <v>2606</v>
      </c>
      <c r="C25446" s="16" t="s">
        <v>44</v>
      </c>
      <c r="D25446" s="6" t="str">
        <f>HYPERLINK("javascript:void(0)","állásfoglalás")</f>
        <v>állásfoglalás</v>
      </c>
    </row>
    <row r="25447" spans="1:4" ht="12.75" customHeight="1" x14ac:dyDescent="0.2">
      <c r="B25447" s="2"/>
      <c r="C25447" s="15"/>
      <c r="D25447" s="2"/>
    </row>
    <row r="25448" spans="1:4" ht="12.75" customHeight="1" x14ac:dyDescent="0.2">
      <c r="B25448" s="2"/>
      <c r="C25448" s="15"/>
      <c r="D25448" s="2"/>
    </row>
    <row r="25449" spans="1:4" ht="12.75" customHeight="1" x14ac:dyDescent="0.2">
      <c r="A25449" s="13" t="s">
        <v>6794</v>
      </c>
      <c r="C25449" s="12"/>
    </row>
    <row r="25450" spans="1:4" ht="12.75" customHeight="1" x14ac:dyDescent="0.2">
      <c r="A25450" s="11"/>
      <c r="B25450" s="2"/>
      <c r="C25450" s="15"/>
      <c r="D25450" s="2"/>
    </row>
    <row r="25451" spans="1:4" ht="12.75" customHeight="1" x14ac:dyDescent="0.2">
      <c r="B25451" s="11" t="s">
        <v>0</v>
      </c>
      <c r="C25451" s="11" t="s">
        <v>411</v>
      </c>
    </row>
    <row r="25452" spans="1:4" ht="12.75" customHeight="1" x14ac:dyDescent="0.2">
      <c r="B25452" s="11" t="s">
        <v>2599</v>
      </c>
      <c r="C25452" s="11" t="s">
        <v>6795</v>
      </c>
    </row>
    <row r="25453" spans="1:4" ht="25.5" customHeight="1" x14ac:dyDescent="0.2">
      <c r="B25453" s="11" t="s">
        <v>2600</v>
      </c>
      <c r="C25453" s="11" t="s">
        <v>6796</v>
      </c>
    </row>
    <row r="25454" spans="1:4" ht="25.5" customHeight="1" x14ac:dyDescent="0.2">
      <c r="B25454" s="11" t="s">
        <v>2601</v>
      </c>
      <c r="C25454" s="11"/>
    </row>
    <row r="25455" spans="1:4" ht="12.75" customHeight="1" x14ac:dyDescent="0.2">
      <c r="B25455" s="11" t="s">
        <v>16</v>
      </c>
      <c r="C25455" s="11"/>
    </row>
    <row r="25456" spans="1:4" ht="12.75" customHeight="1" x14ac:dyDescent="0.2">
      <c r="B25456" s="11" t="s">
        <v>13</v>
      </c>
      <c r="C25456" s="11" t="s">
        <v>2602</v>
      </c>
    </row>
    <row r="25457" spans="1:4" ht="12.75" customHeight="1" x14ac:dyDescent="0.2">
      <c r="B25457" s="11" t="s">
        <v>2603</v>
      </c>
      <c r="C25457" s="11" t="s">
        <v>2604</v>
      </c>
    </row>
    <row r="25458" spans="1:4" ht="12.75" customHeight="1" x14ac:dyDescent="0.2">
      <c r="B25458" s="11" t="s">
        <v>2605</v>
      </c>
      <c r="C25458" s="11" t="s">
        <v>14</v>
      </c>
    </row>
    <row r="25459" spans="1:4" ht="12.75" customHeight="1" x14ac:dyDescent="0.2">
      <c r="B25459" s="11" t="s">
        <v>2606</v>
      </c>
      <c r="C25459" s="16" t="s">
        <v>55</v>
      </c>
      <c r="D25459" s="6" t="str">
        <f>HYPERLINK("javascript:void(0)","fényige")</f>
        <v>fényige</v>
      </c>
    </row>
    <row r="25460" spans="1:4" ht="12.75" customHeight="1" x14ac:dyDescent="0.2">
      <c r="B25460" s="2"/>
      <c r="C25460" s="15"/>
      <c r="D25460" s="2"/>
    </row>
    <row r="25461" spans="1:4" ht="12.75" customHeight="1" x14ac:dyDescent="0.2">
      <c r="B25461" s="2"/>
      <c r="C25461" s="15"/>
      <c r="D25461" s="2"/>
    </row>
    <row r="25462" spans="1:4" ht="12.75" customHeight="1" x14ac:dyDescent="0.2">
      <c r="A25462" s="13" t="s">
        <v>6797</v>
      </c>
      <c r="C25462" s="12"/>
    </row>
    <row r="25463" spans="1:4" ht="12.75" customHeight="1" x14ac:dyDescent="0.2">
      <c r="A25463" s="11"/>
      <c r="B25463" s="2"/>
      <c r="C25463" s="15"/>
      <c r="D25463" s="2"/>
    </row>
    <row r="25464" spans="1:4" ht="12.75" customHeight="1" x14ac:dyDescent="0.2">
      <c r="B25464" s="11" t="s">
        <v>0</v>
      </c>
      <c r="C25464" s="11" t="s">
        <v>411</v>
      </c>
    </row>
    <row r="25465" spans="1:4" ht="12.75" customHeight="1" x14ac:dyDescent="0.2">
      <c r="B25465" s="11" t="s">
        <v>2599</v>
      </c>
      <c r="C25465" s="11" t="s">
        <v>4858</v>
      </c>
    </row>
    <row r="25466" spans="1:4" ht="25.5" customHeight="1" x14ac:dyDescent="0.2">
      <c r="B25466" s="11" t="s">
        <v>2600</v>
      </c>
      <c r="C25466" s="11" t="s">
        <v>6798</v>
      </c>
    </row>
    <row r="25467" spans="1:4" ht="25.5" customHeight="1" x14ac:dyDescent="0.2">
      <c r="B25467" s="11" t="s">
        <v>2601</v>
      </c>
      <c r="C25467" s="11"/>
    </row>
    <row r="25468" spans="1:4" ht="12.75" customHeight="1" x14ac:dyDescent="0.2">
      <c r="B25468" s="11" t="s">
        <v>16</v>
      </c>
      <c r="C25468" s="11"/>
    </row>
    <row r="25469" spans="1:4" ht="12.75" customHeight="1" x14ac:dyDescent="0.2">
      <c r="B25469" s="11" t="s">
        <v>13</v>
      </c>
      <c r="C25469" s="11" t="s">
        <v>2644</v>
      </c>
    </row>
    <row r="25470" spans="1:4" ht="12.75" customHeight="1" x14ac:dyDescent="0.2">
      <c r="B25470" s="11" t="s">
        <v>2603</v>
      </c>
      <c r="C25470" s="11" t="s">
        <v>2604</v>
      </c>
    </row>
    <row r="25471" spans="1:4" ht="12.75" customHeight="1" x14ac:dyDescent="0.2">
      <c r="B25471" s="11" t="s">
        <v>2605</v>
      </c>
      <c r="C25471" s="11" t="s">
        <v>24</v>
      </c>
    </row>
    <row r="25472" spans="1:4" ht="12.75" customHeight="1" x14ac:dyDescent="0.2">
      <c r="B25472" s="11" t="s">
        <v>2606</v>
      </c>
      <c r="C25472" s="16" t="s">
        <v>323</v>
      </c>
      <c r="D25472" s="6" t="str">
        <f>HYPERLINK("javascript:void(0)","kaja")</f>
        <v>kaja</v>
      </c>
    </row>
    <row r="25473" spans="1:4" ht="12.75" customHeight="1" x14ac:dyDescent="0.2">
      <c r="C25473" s="16" t="s">
        <v>55</v>
      </c>
      <c r="D25473" s="6" t="str">
        <f>HYPERLINK("javascript:void(0)","dínófog")</f>
        <v>dínófog</v>
      </c>
    </row>
    <row r="25474" spans="1:4" ht="12.75" customHeight="1" x14ac:dyDescent="0.2">
      <c r="B25474" s="2"/>
      <c r="C25474" s="15"/>
      <c r="D25474" s="2"/>
    </row>
    <row r="25475" spans="1:4" ht="12.75" customHeight="1" x14ac:dyDescent="0.2">
      <c r="B25475" s="2"/>
      <c r="C25475" s="15"/>
      <c r="D25475" s="2"/>
    </row>
    <row r="25476" spans="1:4" ht="12.75" customHeight="1" x14ac:dyDescent="0.2">
      <c r="A25476" s="13" t="s">
        <v>6772</v>
      </c>
      <c r="C25476" s="12"/>
      <c r="D25476" s="2"/>
    </row>
    <row r="25477" spans="1:4" ht="12.75" customHeight="1" x14ac:dyDescent="0.2">
      <c r="A25477" s="11"/>
      <c r="B25477" s="2"/>
      <c r="C25477" s="15"/>
      <c r="D25477" s="2"/>
    </row>
    <row r="25478" spans="1:4" ht="12.75" customHeight="1" x14ac:dyDescent="0.2">
      <c r="B25478" s="11" t="s">
        <v>0</v>
      </c>
      <c r="C25478" s="17" t="s">
        <v>411</v>
      </c>
      <c r="D25478" s="2"/>
    </row>
    <row r="25479" spans="1:4" ht="12.75" customHeight="1" x14ac:dyDescent="0.2">
      <c r="B25479" s="11" t="s">
        <v>2599</v>
      </c>
      <c r="C25479" s="17" t="s">
        <v>6773</v>
      </c>
      <c r="D25479" s="2"/>
    </row>
    <row r="25480" spans="1:4" ht="25.5" customHeight="1" x14ac:dyDescent="0.2">
      <c r="B25480" s="11" t="s">
        <v>2600</v>
      </c>
      <c r="C25480" s="17" t="s">
        <v>6799</v>
      </c>
      <c r="D25480" s="2"/>
    </row>
    <row r="25481" spans="1:4" ht="25.5" customHeight="1" x14ac:dyDescent="0.2">
      <c r="B25481" s="11" t="s">
        <v>2601</v>
      </c>
      <c r="C25481" s="17"/>
      <c r="D25481" s="2"/>
    </row>
    <row r="25482" spans="1:4" ht="12.75" customHeight="1" x14ac:dyDescent="0.2">
      <c r="B25482" s="11" t="s">
        <v>16</v>
      </c>
      <c r="C25482" s="17"/>
      <c r="D25482" s="2"/>
    </row>
    <row r="25483" spans="1:4" ht="12.75" customHeight="1" x14ac:dyDescent="0.2">
      <c r="B25483" s="11" t="s">
        <v>13</v>
      </c>
      <c r="C25483" s="17" t="s">
        <v>2602</v>
      </c>
      <c r="D25483" s="2"/>
    </row>
    <row r="25484" spans="1:4" ht="12.75" customHeight="1" x14ac:dyDescent="0.2">
      <c r="B25484" s="11" t="s">
        <v>2603</v>
      </c>
      <c r="C25484" s="17" t="s">
        <v>128</v>
      </c>
      <c r="D25484" s="2"/>
    </row>
    <row r="25485" spans="1:4" ht="12.75" customHeight="1" x14ac:dyDescent="0.2">
      <c r="B25485" s="11" t="s">
        <v>2605</v>
      </c>
      <c r="C25485" s="17" t="s">
        <v>14</v>
      </c>
      <c r="D25485" s="2"/>
    </row>
    <row r="25486" spans="1:4" ht="12.75" customHeight="1" x14ac:dyDescent="0.2">
      <c r="B25486" s="11" t="s">
        <v>2606</v>
      </c>
      <c r="C25486" s="16" t="s">
        <v>19</v>
      </c>
      <c r="D25486" s="2"/>
    </row>
    <row r="25487" spans="1:4" ht="12.75" customHeight="1" x14ac:dyDescent="0.2">
      <c r="B25487" s="2"/>
      <c r="C25487" s="15"/>
      <c r="D25487" s="2"/>
    </row>
    <row r="25488" spans="1:4" ht="12.75" customHeight="1" x14ac:dyDescent="0.2">
      <c r="B25488" s="2"/>
      <c r="C25488" s="15"/>
      <c r="D25488" s="2"/>
    </row>
    <row r="25489" spans="1:4" ht="12.75" customHeight="1" x14ac:dyDescent="0.2">
      <c r="A25489" s="13" t="s">
        <v>6775</v>
      </c>
      <c r="C25489" s="12"/>
      <c r="D25489" s="2"/>
    </row>
    <row r="25490" spans="1:4" ht="12.75" customHeight="1" x14ac:dyDescent="0.2">
      <c r="A25490" s="11"/>
      <c r="B25490" s="2"/>
      <c r="C25490" s="15"/>
      <c r="D25490" s="2"/>
    </row>
    <row r="25491" spans="1:4" ht="12.75" customHeight="1" x14ac:dyDescent="0.2">
      <c r="B25491" s="11" t="s">
        <v>0</v>
      </c>
      <c r="C25491" s="17" t="s">
        <v>411</v>
      </c>
      <c r="D25491" s="2"/>
    </row>
    <row r="25492" spans="1:4" ht="12.75" customHeight="1" x14ac:dyDescent="0.2">
      <c r="B25492" s="11" t="s">
        <v>2599</v>
      </c>
      <c r="C25492" s="17" t="s">
        <v>6776</v>
      </c>
      <c r="D25492" s="2"/>
    </row>
    <row r="25493" spans="1:4" ht="25.5" customHeight="1" x14ac:dyDescent="0.2">
      <c r="B25493" s="11" t="s">
        <v>2600</v>
      </c>
      <c r="C25493" s="17" t="s">
        <v>6800</v>
      </c>
      <c r="D25493" s="2"/>
    </row>
    <row r="25494" spans="1:4" ht="25.5" customHeight="1" x14ac:dyDescent="0.2">
      <c r="B25494" s="11" t="s">
        <v>2601</v>
      </c>
      <c r="C25494" s="17"/>
      <c r="D25494" s="2"/>
    </row>
    <row r="25495" spans="1:4" ht="12.75" customHeight="1" x14ac:dyDescent="0.2">
      <c r="B25495" s="11" t="s">
        <v>16</v>
      </c>
      <c r="C25495" s="17"/>
      <c r="D25495" s="2"/>
    </row>
    <row r="25496" spans="1:4" ht="12.75" customHeight="1" x14ac:dyDescent="0.2">
      <c r="B25496" s="11" t="s">
        <v>13</v>
      </c>
      <c r="C25496" s="17" t="s">
        <v>2644</v>
      </c>
      <c r="D25496" s="2"/>
    </row>
    <row r="25497" spans="1:4" ht="12.75" customHeight="1" x14ac:dyDescent="0.2">
      <c r="B25497" s="11" t="s">
        <v>2603</v>
      </c>
      <c r="C25497" s="17" t="s">
        <v>128</v>
      </c>
      <c r="D25497" s="2"/>
    </row>
    <row r="25498" spans="1:4" ht="12.75" customHeight="1" x14ac:dyDescent="0.2">
      <c r="B25498" s="11" t="s">
        <v>2605</v>
      </c>
      <c r="C25498" s="17" t="s">
        <v>14</v>
      </c>
      <c r="D25498" s="2"/>
    </row>
    <row r="25499" spans="1:4" ht="12.75" customHeight="1" x14ac:dyDescent="0.2">
      <c r="B25499" s="11" t="s">
        <v>2606</v>
      </c>
      <c r="C25499" s="16" t="s">
        <v>19</v>
      </c>
      <c r="D25499" s="2"/>
    </row>
    <row r="25500" spans="1:4" ht="12.75" customHeight="1" x14ac:dyDescent="0.2">
      <c r="B25500" s="2"/>
      <c r="C25500" s="15"/>
      <c r="D25500" s="2"/>
    </row>
    <row r="25501" spans="1:4" ht="12.75" customHeight="1" x14ac:dyDescent="0.2">
      <c r="B25501" s="2"/>
      <c r="C25501" s="15"/>
      <c r="D25501" s="2"/>
    </row>
    <row r="25502" spans="1:4" ht="12.75" customHeight="1" x14ac:dyDescent="0.2">
      <c r="A25502" s="13" t="s">
        <v>2962</v>
      </c>
      <c r="C25502" s="12"/>
    </row>
    <row r="25503" spans="1:4" ht="12.75" customHeight="1" x14ac:dyDescent="0.2">
      <c r="A25503" s="11"/>
      <c r="B25503" s="2"/>
      <c r="C25503" s="15"/>
      <c r="D25503" s="2"/>
    </row>
    <row r="25504" spans="1:4" ht="12.75" customHeight="1" x14ac:dyDescent="0.2">
      <c r="B25504" s="11" t="s">
        <v>0</v>
      </c>
      <c r="C25504" s="11" t="s">
        <v>411</v>
      </c>
    </row>
    <row r="25505" spans="1:4" ht="12.75" customHeight="1" x14ac:dyDescent="0.2">
      <c r="B25505" s="11" t="s">
        <v>2599</v>
      </c>
      <c r="C25505" s="11" t="s">
        <v>6801</v>
      </c>
    </row>
    <row r="25506" spans="1:4" ht="25.5" customHeight="1" x14ac:dyDescent="0.2">
      <c r="B25506" s="11" t="s">
        <v>2600</v>
      </c>
      <c r="C25506" s="11" t="s">
        <v>6802</v>
      </c>
    </row>
    <row r="25507" spans="1:4" ht="25.5" customHeight="1" x14ac:dyDescent="0.2">
      <c r="B25507" s="11" t="s">
        <v>2601</v>
      </c>
      <c r="C25507" s="11"/>
    </row>
    <row r="25508" spans="1:4" ht="12.75" customHeight="1" x14ac:dyDescent="0.2">
      <c r="B25508" s="11" t="s">
        <v>16</v>
      </c>
      <c r="C25508" s="11"/>
    </row>
    <row r="25509" spans="1:4" ht="12.75" customHeight="1" x14ac:dyDescent="0.2">
      <c r="B25509" s="11" t="s">
        <v>13</v>
      </c>
      <c r="C25509" s="11" t="s">
        <v>2644</v>
      </c>
    </row>
    <row r="25510" spans="1:4" ht="12.75" customHeight="1" x14ac:dyDescent="0.2">
      <c r="B25510" s="11" t="s">
        <v>2603</v>
      </c>
      <c r="C25510" s="11" t="s">
        <v>2965</v>
      </c>
    </row>
    <row r="25511" spans="1:4" ht="12.75" customHeight="1" x14ac:dyDescent="0.2">
      <c r="B25511" s="11" t="s">
        <v>2605</v>
      </c>
      <c r="C25511" s="11" t="s">
        <v>14</v>
      </c>
    </row>
    <row r="25512" spans="1:4" ht="12.75" customHeight="1" x14ac:dyDescent="0.2">
      <c r="B25512" s="11" t="s">
        <v>2606</v>
      </c>
      <c r="C25512" s="16" t="s">
        <v>44</v>
      </c>
      <c r="D25512" s="6" t="str">
        <f>HYPERLINK("javascript:void(0)","hínárgyöngy")</f>
        <v>hínárgyöngy</v>
      </c>
    </row>
    <row r="25513" spans="1:4" ht="25.5" customHeight="1" x14ac:dyDescent="0.2">
      <c r="C25513" s="16" t="s">
        <v>57</v>
      </c>
      <c r="D25513" s="6" t="str">
        <f>HYPERLINK("javascript:void(0)","harmatcsepp")</f>
        <v>harmatcsepp</v>
      </c>
    </row>
    <row r="25514" spans="1:4" ht="12.75" customHeight="1" x14ac:dyDescent="0.2">
      <c r="B25514" s="2"/>
      <c r="C25514" s="15"/>
      <c r="D25514" s="2"/>
    </row>
    <row r="25515" spans="1:4" ht="12.75" customHeight="1" x14ac:dyDescent="0.2">
      <c r="B25515" s="2"/>
      <c r="C25515" s="15"/>
      <c r="D25515" s="2"/>
    </row>
    <row r="25516" spans="1:4" ht="12.75" customHeight="1" x14ac:dyDescent="0.2">
      <c r="A25516" s="13" t="s">
        <v>6803</v>
      </c>
      <c r="C25516" s="12"/>
    </row>
    <row r="25517" spans="1:4" ht="12.75" customHeight="1" x14ac:dyDescent="0.2">
      <c r="A25517" s="11"/>
      <c r="B25517" s="2"/>
      <c r="C25517" s="15"/>
      <c r="D25517" s="2"/>
    </row>
    <row r="25518" spans="1:4" ht="12.75" customHeight="1" x14ac:dyDescent="0.2">
      <c r="B25518" s="11" t="s">
        <v>0</v>
      </c>
      <c r="C25518" s="11" t="s">
        <v>1400</v>
      </c>
    </row>
    <row r="25519" spans="1:4" ht="12.75" customHeight="1" x14ac:dyDescent="0.2">
      <c r="B25519" s="11" t="s">
        <v>2599</v>
      </c>
      <c r="C25519" s="11" t="s">
        <v>4098</v>
      </c>
    </row>
    <row r="25520" spans="1:4" ht="25.5" customHeight="1" x14ac:dyDescent="0.2">
      <c r="B25520" s="11" t="s">
        <v>2600</v>
      </c>
      <c r="C25520" s="11" t="s">
        <v>6804</v>
      </c>
    </row>
    <row r="25521" spans="1:4" ht="25.5" customHeight="1" x14ac:dyDescent="0.2">
      <c r="B25521" s="11" t="s">
        <v>2601</v>
      </c>
      <c r="C25521" s="11"/>
    </row>
    <row r="25522" spans="1:4" ht="12.75" customHeight="1" x14ac:dyDescent="0.2">
      <c r="B25522" s="11" t="s">
        <v>16</v>
      </c>
      <c r="C25522" s="11"/>
    </row>
    <row r="25523" spans="1:4" ht="12.75" customHeight="1" x14ac:dyDescent="0.2">
      <c r="B25523" s="11" t="s">
        <v>13</v>
      </c>
      <c r="C25523" s="11" t="s">
        <v>2602</v>
      </c>
    </row>
    <row r="25524" spans="1:4" ht="12.75" customHeight="1" x14ac:dyDescent="0.2">
      <c r="B25524" s="11" t="s">
        <v>2603</v>
      </c>
      <c r="C25524" s="11" t="s">
        <v>2604</v>
      </c>
    </row>
    <row r="25525" spans="1:4" ht="12.75" customHeight="1" x14ac:dyDescent="0.2">
      <c r="B25525" s="11" t="s">
        <v>2605</v>
      </c>
      <c r="C25525" s="11" t="s">
        <v>14</v>
      </c>
    </row>
    <row r="25526" spans="1:4" ht="12.75" customHeight="1" x14ac:dyDescent="0.2">
      <c r="B25526" s="11" t="s">
        <v>2606</v>
      </c>
      <c r="C25526" s="16" t="s">
        <v>44</v>
      </c>
      <c r="D25526" s="6" t="str">
        <f>HYPERLINK("javascript:void(0)","lábkarcsont")</f>
        <v>lábkarcsont</v>
      </c>
    </row>
    <row r="25527" spans="1:4" ht="12.75" customHeight="1" x14ac:dyDescent="0.2">
      <c r="C25527" s="16" t="s">
        <v>44</v>
      </c>
      <c r="D25527" s="6" t="str">
        <f>HYPERLINK("javascript:void(0)","tartás")</f>
        <v>tartás</v>
      </c>
    </row>
    <row r="25528" spans="1:4" ht="12.75" customHeight="1" x14ac:dyDescent="0.2">
      <c r="B25528" s="2"/>
      <c r="C25528" s="15"/>
      <c r="D25528" s="2"/>
    </row>
    <row r="25529" spans="1:4" ht="12.75" customHeight="1" x14ac:dyDescent="0.2">
      <c r="B25529" s="2"/>
      <c r="C25529" s="15"/>
      <c r="D25529" s="2"/>
    </row>
    <row r="25530" spans="1:4" ht="12.75" customHeight="1" x14ac:dyDescent="0.2">
      <c r="A25530" s="13" t="s">
        <v>6805</v>
      </c>
      <c r="C25530" s="12"/>
    </row>
    <row r="25531" spans="1:4" ht="12.75" customHeight="1" x14ac:dyDescent="0.2">
      <c r="A25531" s="11"/>
      <c r="B25531" s="2"/>
      <c r="C25531" s="15"/>
      <c r="D25531" s="2"/>
    </row>
    <row r="25532" spans="1:4" ht="12.75" customHeight="1" x14ac:dyDescent="0.2">
      <c r="B25532" s="11" t="s">
        <v>0</v>
      </c>
      <c r="C25532" s="11" t="s">
        <v>1400</v>
      </c>
    </row>
    <row r="25533" spans="1:4" ht="12.75" customHeight="1" x14ac:dyDescent="0.2">
      <c r="B25533" s="11" t="s">
        <v>2599</v>
      </c>
      <c r="C25533" s="11" t="s">
        <v>6806</v>
      </c>
    </row>
    <row r="25534" spans="1:4" ht="25.5" customHeight="1" x14ac:dyDescent="0.2">
      <c r="B25534" s="11" t="s">
        <v>2600</v>
      </c>
      <c r="C25534" s="11" t="s">
        <v>6807</v>
      </c>
    </row>
    <row r="25535" spans="1:4" ht="25.5" customHeight="1" x14ac:dyDescent="0.2">
      <c r="B25535" s="11" t="s">
        <v>2601</v>
      </c>
      <c r="C25535" s="11"/>
    </row>
    <row r="25536" spans="1:4" ht="12.75" customHeight="1" x14ac:dyDescent="0.2">
      <c r="B25536" s="11" t="s">
        <v>16</v>
      </c>
      <c r="C25536" s="11"/>
    </row>
    <row r="25537" spans="1:4" ht="12.75" customHeight="1" x14ac:dyDescent="0.2">
      <c r="B25537" s="11" t="s">
        <v>13</v>
      </c>
      <c r="C25537" s="11" t="s">
        <v>2644</v>
      </c>
    </row>
    <row r="25538" spans="1:4" ht="12.75" customHeight="1" x14ac:dyDescent="0.2">
      <c r="B25538" s="11" t="s">
        <v>2603</v>
      </c>
      <c r="C25538" s="11" t="s">
        <v>2604</v>
      </c>
    </row>
    <row r="25539" spans="1:4" ht="12.75" customHeight="1" x14ac:dyDescent="0.2">
      <c r="B25539" s="11" t="s">
        <v>2605</v>
      </c>
      <c r="C25539" s="11" t="s">
        <v>14</v>
      </c>
    </row>
    <row r="25540" spans="1:4" ht="12.75" customHeight="1" x14ac:dyDescent="0.2">
      <c r="B25540" s="11" t="s">
        <v>2606</v>
      </c>
      <c r="C25540" s="16" t="s">
        <v>44</v>
      </c>
      <c r="D25540" s="6" t="str">
        <f>HYPERLINK("javascript:void(0)","térkép")</f>
        <v>térkép</v>
      </c>
    </row>
    <row r="25541" spans="1:4" ht="12.75" customHeight="1" x14ac:dyDescent="0.2">
      <c r="C25541" s="16" t="s">
        <v>44</v>
      </c>
      <c r="D25541" s="6" t="str">
        <f>HYPERLINK("javascript:void(0)","cerka")</f>
        <v>cerka</v>
      </c>
    </row>
    <row r="25542" spans="1:4" ht="12.75" customHeight="1" x14ac:dyDescent="0.2">
      <c r="C25542" s="16" t="s">
        <v>44</v>
      </c>
      <c r="D25542" s="6" t="str">
        <f>HYPERLINK("javascript:void(0)","iránytű")</f>
        <v>iránytű</v>
      </c>
    </row>
    <row r="25543" spans="1:4" ht="12.75" customHeight="1" x14ac:dyDescent="0.2">
      <c r="B25543" s="2"/>
      <c r="C25543" s="15"/>
      <c r="D25543" s="2"/>
    </row>
    <row r="25544" spans="1:4" ht="12.75" customHeight="1" x14ac:dyDescent="0.2">
      <c r="B25544" s="2"/>
      <c r="C25544" s="15"/>
      <c r="D25544" s="2"/>
    </row>
    <row r="25545" spans="1:4" ht="12.75" customHeight="1" x14ac:dyDescent="0.2">
      <c r="A25545" s="13" t="s">
        <v>6808</v>
      </c>
      <c r="C25545" s="12"/>
    </row>
    <row r="25546" spans="1:4" ht="12.75" customHeight="1" x14ac:dyDescent="0.2">
      <c r="A25546" s="11"/>
      <c r="B25546" s="2"/>
      <c r="C25546" s="15"/>
      <c r="D25546" s="2"/>
    </row>
    <row r="25547" spans="1:4" ht="12.75" customHeight="1" x14ac:dyDescent="0.2">
      <c r="B25547" s="11" t="s">
        <v>0</v>
      </c>
      <c r="C25547" s="11" t="s">
        <v>1400</v>
      </c>
    </row>
    <row r="25548" spans="1:4" ht="12.75" customHeight="1" x14ac:dyDescent="0.2">
      <c r="B25548" s="11" t="s">
        <v>2599</v>
      </c>
      <c r="C25548" s="11" t="s">
        <v>6809</v>
      </c>
    </row>
    <row r="25549" spans="1:4" ht="25.5" customHeight="1" x14ac:dyDescent="0.2">
      <c r="B25549" s="11" t="s">
        <v>2600</v>
      </c>
      <c r="C25549" s="11" t="s">
        <v>6810</v>
      </c>
    </row>
    <row r="25550" spans="1:4" ht="25.5" customHeight="1" x14ac:dyDescent="0.2">
      <c r="B25550" s="11" t="s">
        <v>2601</v>
      </c>
      <c r="C25550" s="11"/>
    </row>
    <row r="25551" spans="1:4" ht="12.75" customHeight="1" x14ac:dyDescent="0.2">
      <c r="B25551" s="11" t="s">
        <v>16</v>
      </c>
      <c r="C25551" s="11"/>
    </row>
    <row r="25552" spans="1:4" ht="12.75" customHeight="1" x14ac:dyDescent="0.2">
      <c r="B25552" s="11" t="s">
        <v>13</v>
      </c>
      <c r="C25552" s="11" t="s">
        <v>2602</v>
      </c>
    </row>
    <row r="25553" spans="1:4" ht="12.75" customHeight="1" x14ac:dyDescent="0.2">
      <c r="B25553" s="11" t="s">
        <v>2603</v>
      </c>
      <c r="C25553" s="11" t="s">
        <v>2604</v>
      </c>
    </row>
    <row r="25554" spans="1:4" ht="12.75" customHeight="1" x14ac:dyDescent="0.2">
      <c r="B25554" s="11" t="s">
        <v>2605</v>
      </c>
      <c r="C25554" s="11" t="s">
        <v>14</v>
      </c>
    </row>
    <row r="25555" spans="1:4" ht="25.5" customHeight="1" x14ac:dyDescent="0.2">
      <c r="B25555" s="11" t="s">
        <v>2606</v>
      </c>
      <c r="C25555" s="16" t="s">
        <v>56</v>
      </c>
      <c r="D25555" s="6" t="str">
        <f>HYPERLINK("javascript:void(0)","idegen szerkentyű")</f>
        <v>idegen szerkentyű</v>
      </c>
    </row>
    <row r="25556" spans="1:4" ht="12.75" customHeight="1" x14ac:dyDescent="0.2">
      <c r="C25556" s="16" t="s">
        <v>55</v>
      </c>
      <c r="D25556" s="6" t="str">
        <f>HYPERLINK("javascript:void(0)","kőfaragvány")</f>
        <v>kőfaragvány</v>
      </c>
    </row>
    <row r="25557" spans="1:4" ht="12.75" customHeight="1" x14ac:dyDescent="0.2">
      <c r="B25557" s="2"/>
      <c r="C25557" s="15"/>
      <c r="D25557" s="2"/>
    </row>
    <row r="25558" spans="1:4" ht="12.75" customHeight="1" x14ac:dyDescent="0.2">
      <c r="B25558" s="2"/>
      <c r="C25558" s="15"/>
      <c r="D25558" s="2"/>
    </row>
    <row r="25559" spans="1:4" ht="12.75" customHeight="1" x14ac:dyDescent="0.2">
      <c r="A25559" s="13" t="s">
        <v>6811</v>
      </c>
      <c r="C25559" s="12"/>
    </row>
    <row r="25560" spans="1:4" ht="12.75" customHeight="1" x14ac:dyDescent="0.2">
      <c r="A25560" s="11"/>
      <c r="B25560" s="2"/>
      <c r="C25560" s="15"/>
      <c r="D25560" s="2"/>
    </row>
    <row r="25561" spans="1:4" ht="12.75" customHeight="1" x14ac:dyDescent="0.2">
      <c r="B25561" s="11" t="s">
        <v>0</v>
      </c>
      <c r="C25561" s="11" t="s">
        <v>1400</v>
      </c>
    </row>
    <row r="25562" spans="1:4" ht="12.75" customHeight="1" x14ac:dyDescent="0.2">
      <c r="B25562" s="11" t="s">
        <v>2599</v>
      </c>
      <c r="C25562" s="11" t="s">
        <v>6812</v>
      </c>
    </row>
    <row r="25563" spans="1:4" ht="25.5" customHeight="1" x14ac:dyDescent="0.2">
      <c r="B25563" s="11" t="s">
        <v>2600</v>
      </c>
      <c r="C25563" s="11" t="s">
        <v>6813</v>
      </c>
    </row>
    <row r="25564" spans="1:4" ht="25.5" customHeight="1" x14ac:dyDescent="0.2">
      <c r="B25564" s="11" t="s">
        <v>2601</v>
      </c>
      <c r="C25564" s="11"/>
    </row>
    <row r="25565" spans="1:4" ht="12.75" customHeight="1" x14ac:dyDescent="0.2">
      <c r="B25565" s="11" t="s">
        <v>16</v>
      </c>
      <c r="C25565" s="11"/>
    </row>
    <row r="25566" spans="1:4" ht="12.75" customHeight="1" x14ac:dyDescent="0.2">
      <c r="B25566" s="11" t="s">
        <v>13</v>
      </c>
      <c r="C25566" s="11" t="s">
        <v>2644</v>
      </c>
    </row>
    <row r="25567" spans="1:4" ht="12.75" customHeight="1" x14ac:dyDescent="0.2">
      <c r="B25567" s="11" t="s">
        <v>2603</v>
      </c>
      <c r="C25567" s="11" t="s">
        <v>2604</v>
      </c>
    </row>
    <row r="25568" spans="1:4" ht="12.75" customHeight="1" x14ac:dyDescent="0.2">
      <c r="B25568" s="11" t="s">
        <v>2605</v>
      </c>
      <c r="C25568" s="11" t="s">
        <v>14</v>
      </c>
    </row>
    <row r="25569" spans="1:4" ht="12.75" customHeight="1" x14ac:dyDescent="0.2">
      <c r="B25569" s="11" t="s">
        <v>2606</v>
      </c>
      <c r="C25569" s="16" t="s">
        <v>56</v>
      </c>
      <c r="D25569" s="6" t="str">
        <f>HYPERLINK("javascript:void(0)","akasztó")</f>
        <v>akasztó</v>
      </c>
    </row>
    <row r="25570" spans="1:4" ht="12.75" customHeight="1" x14ac:dyDescent="0.2">
      <c r="B25570" s="2"/>
      <c r="C25570" s="15"/>
      <c r="D25570" s="2"/>
    </row>
    <row r="25571" spans="1:4" ht="12.75" customHeight="1" x14ac:dyDescent="0.2">
      <c r="B25571" s="2"/>
      <c r="C25571" s="15"/>
      <c r="D25571" s="2"/>
    </row>
    <row r="25572" spans="1:4" ht="12.75" customHeight="1" x14ac:dyDescent="0.2">
      <c r="A25572" s="13" t="s">
        <v>6814</v>
      </c>
      <c r="C25572" s="12"/>
    </row>
    <row r="25573" spans="1:4" ht="12.75" customHeight="1" x14ac:dyDescent="0.2">
      <c r="A25573" s="11"/>
      <c r="B25573" s="2"/>
      <c r="C25573" s="15"/>
      <c r="D25573" s="2"/>
    </row>
    <row r="25574" spans="1:4" ht="12.75" customHeight="1" x14ac:dyDescent="0.2">
      <c r="B25574" s="11" t="s">
        <v>0</v>
      </c>
      <c r="C25574" s="11" t="s">
        <v>1400</v>
      </c>
    </row>
    <row r="25575" spans="1:4" ht="12.75" customHeight="1" x14ac:dyDescent="0.2">
      <c r="B25575" s="11" t="s">
        <v>2599</v>
      </c>
      <c r="C25575" s="11" t="s">
        <v>6815</v>
      </c>
    </row>
    <row r="25576" spans="1:4" ht="25.5" customHeight="1" x14ac:dyDescent="0.2">
      <c r="B25576" s="11" t="s">
        <v>2600</v>
      </c>
      <c r="C25576" s="11" t="s">
        <v>6816</v>
      </c>
    </row>
    <row r="25577" spans="1:4" ht="25.5" customHeight="1" x14ac:dyDescent="0.2">
      <c r="B25577" s="11" t="s">
        <v>2601</v>
      </c>
      <c r="C25577" s="11"/>
    </row>
    <row r="25578" spans="1:4" ht="12.75" customHeight="1" x14ac:dyDescent="0.2">
      <c r="B25578" s="11" t="s">
        <v>16</v>
      </c>
      <c r="C25578" s="11"/>
    </row>
    <row r="25579" spans="1:4" ht="12.75" customHeight="1" x14ac:dyDescent="0.2">
      <c r="B25579" s="11" t="s">
        <v>13</v>
      </c>
      <c r="C25579" s="11" t="s">
        <v>2602</v>
      </c>
    </row>
    <row r="25580" spans="1:4" ht="12.75" customHeight="1" x14ac:dyDescent="0.2">
      <c r="B25580" s="11" t="s">
        <v>2603</v>
      </c>
      <c r="C25580" s="11" t="s">
        <v>2604</v>
      </c>
    </row>
    <row r="25581" spans="1:4" ht="12.75" customHeight="1" x14ac:dyDescent="0.2">
      <c r="B25581" s="11" t="s">
        <v>2605</v>
      </c>
      <c r="C25581" s="11" t="s">
        <v>24</v>
      </c>
    </row>
    <row r="25582" spans="1:4" ht="12.75" customHeight="1" x14ac:dyDescent="0.2">
      <c r="B25582" s="11" t="s">
        <v>2606</v>
      </c>
      <c r="C25582" s="16" t="s">
        <v>56</v>
      </c>
      <c r="D25582" s="6" t="str">
        <f>HYPERLINK("javascript:void(0)","regnum")</f>
        <v>regnum</v>
      </c>
    </row>
    <row r="25583" spans="1:4" ht="12.75" customHeight="1" x14ac:dyDescent="0.2">
      <c r="B25583" s="2"/>
      <c r="C25583" s="15"/>
      <c r="D25583" s="2"/>
    </row>
    <row r="25584" spans="1:4" ht="12.75" customHeight="1" x14ac:dyDescent="0.2">
      <c r="B25584" s="2"/>
      <c r="C25584" s="15"/>
      <c r="D25584" s="2"/>
    </row>
    <row r="25585" spans="1:4" ht="12.75" customHeight="1" x14ac:dyDescent="0.2">
      <c r="A25585" s="13" t="s">
        <v>6817</v>
      </c>
      <c r="C25585" s="12"/>
    </row>
    <row r="25586" spans="1:4" ht="12.75" customHeight="1" x14ac:dyDescent="0.2">
      <c r="A25586" s="11"/>
      <c r="B25586" s="2"/>
      <c r="C25586" s="15"/>
      <c r="D25586" s="2"/>
    </row>
    <row r="25587" spans="1:4" ht="12.75" customHeight="1" x14ac:dyDescent="0.2">
      <c r="B25587" s="11" t="s">
        <v>0</v>
      </c>
      <c r="C25587" s="11" t="s">
        <v>1400</v>
      </c>
    </row>
    <row r="25588" spans="1:4" ht="12.75" customHeight="1" x14ac:dyDescent="0.2">
      <c r="B25588" s="11" t="s">
        <v>2599</v>
      </c>
      <c r="C25588" s="11" t="s">
        <v>6818</v>
      </c>
    </row>
    <row r="25589" spans="1:4" ht="25.5" customHeight="1" x14ac:dyDescent="0.2">
      <c r="B25589" s="11" t="s">
        <v>2600</v>
      </c>
      <c r="C25589" s="11" t="s">
        <v>6819</v>
      </c>
    </row>
    <row r="25590" spans="1:4" ht="25.5" customHeight="1" x14ac:dyDescent="0.2">
      <c r="B25590" s="11" t="s">
        <v>2601</v>
      </c>
      <c r="C25590" s="11"/>
    </row>
    <row r="25591" spans="1:4" ht="12.75" customHeight="1" x14ac:dyDescent="0.2">
      <c r="B25591" s="11" t="s">
        <v>16</v>
      </c>
      <c r="C25591" s="11"/>
    </row>
    <row r="25592" spans="1:4" ht="12.75" customHeight="1" x14ac:dyDescent="0.2">
      <c r="B25592" s="11" t="s">
        <v>13</v>
      </c>
      <c r="C25592" s="11" t="s">
        <v>2644</v>
      </c>
    </row>
    <row r="25593" spans="1:4" ht="12.75" customHeight="1" x14ac:dyDescent="0.2">
      <c r="B25593" s="11" t="s">
        <v>2603</v>
      </c>
      <c r="C25593" s="11" t="s">
        <v>2604</v>
      </c>
    </row>
    <row r="25594" spans="1:4" ht="12.75" customHeight="1" x14ac:dyDescent="0.2">
      <c r="B25594" s="11" t="s">
        <v>2605</v>
      </c>
      <c r="C25594" s="11" t="s">
        <v>24</v>
      </c>
    </row>
    <row r="25595" spans="1:4" ht="12.75" customHeight="1" x14ac:dyDescent="0.2">
      <c r="B25595" s="11" t="s">
        <v>2606</v>
      </c>
      <c r="C25595" s="16" t="s">
        <v>44</v>
      </c>
      <c r="D25595" s="6" t="str">
        <f>HYPERLINK("javascript:void(0)","mütyür")</f>
        <v>mütyür</v>
      </c>
    </row>
    <row r="25596" spans="1:4" ht="12.75" customHeight="1" x14ac:dyDescent="0.2">
      <c r="B25596" s="2"/>
      <c r="C25596" s="15"/>
      <c r="D25596" s="2"/>
    </row>
    <row r="25597" spans="1:4" ht="12.75" customHeight="1" x14ac:dyDescent="0.2">
      <c r="B25597" s="2"/>
      <c r="C25597" s="15"/>
      <c r="D25597" s="2"/>
    </row>
    <row r="25598" spans="1:4" ht="12.75" customHeight="1" x14ac:dyDescent="0.2">
      <c r="A25598" s="13" t="s">
        <v>6820</v>
      </c>
      <c r="C25598" s="12"/>
    </row>
    <row r="25599" spans="1:4" ht="12.75" customHeight="1" x14ac:dyDescent="0.2">
      <c r="A25599" s="11"/>
      <c r="B25599" s="2"/>
      <c r="C25599" s="15"/>
      <c r="D25599" s="2"/>
    </row>
    <row r="25600" spans="1:4" ht="12.75" customHeight="1" x14ac:dyDescent="0.2">
      <c r="B25600" s="11" t="s">
        <v>0</v>
      </c>
      <c r="C25600" s="11" t="s">
        <v>1400</v>
      </c>
    </row>
    <row r="25601" spans="1:4" ht="12.75" customHeight="1" x14ac:dyDescent="0.2">
      <c r="B25601" s="11" t="s">
        <v>2599</v>
      </c>
      <c r="C25601" s="11" t="s">
        <v>6821</v>
      </c>
    </row>
    <row r="25602" spans="1:4" ht="25.5" customHeight="1" x14ac:dyDescent="0.2">
      <c r="B25602" s="11" t="s">
        <v>2600</v>
      </c>
      <c r="C25602" s="11" t="s">
        <v>6822</v>
      </c>
    </row>
    <row r="25603" spans="1:4" ht="25.5" customHeight="1" x14ac:dyDescent="0.2">
      <c r="B25603" s="11" t="s">
        <v>2601</v>
      </c>
      <c r="C25603" s="11"/>
    </row>
    <row r="25604" spans="1:4" ht="12.75" customHeight="1" x14ac:dyDescent="0.2">
      <c r="B25604" s="11" t="s">
        <v>16</v>
      </c>
      <c r="C25604" s="11"/>
    </row>
    <row r="25605" spans="1:4" ht="12.75" customHeight="1" x14ac:dyDescent="0.2">
      <c r="B25605" s="11" t="s">
        <v>13</v>
      </c>
      <c r="C25605" s="11" t="s">
        <v>2602</v>
      </c>
    </row>
    <row r="25606" spans="1:4" ht="12.75" customHeight="1" x14ac:dyDescent="0.2">
      <c r="B25606" s="11" t="s">
        <v>2603</v>
      </c>
      <c r="C25606" s="11" t="s">
        <v>2604</v>
      </c>
    </row>
    <row r="25607" spans="1:4" ht="12.75" customHeight="1" x14ac:dyDescent="0.2">
      <c r="B25607" s="11" t="s">
        <v>2605</v>
      </c>
      <c r="C25607" s="11" t="s">
        <v>24</v>
      </c>
    </row>
    <row r="25608" spans="1:4" ht="25.5" customHeight="1" x14ac:dyDescent="0.2">
      <c r="B25608" s="11" t="s">
        <v>2606</v>
      </c>
      <c r="C25608" s="16" t="s">
        <v>44</v>
      </c>
      <c r="D25608" s="6" t="str">
        <f>HYPERLINK("javascript:void(0)","állásfoglalás")</f>
        <v>állásfoglalás</v>
      </c>
    </row>
    <row r="25609" spans="1:4" ht="12.75" customHeight="1" x14ac:dyDescent="0.2">
      <c r="B25609" s="2"/>
      <c r="C25609" s="15"/>
      <c r="D25609" s="2"/>
    </row>
    <row r="25610" spans="1:4" ht="12.75" customHeight="1" x14ac:dyDescent="0.2">
      <c r="B25610" s="2"/>
      <c r="C25610" s="15"/>
      <c r="D25610" s="2"/>
    </row>
    <row r="25611" spans="1:4" ht="12.75" customHeight="1" x14ac:dyDescent="0.2">
      <c r="A25611" s="13" t="s">
        <v>6823</v>
      </c>
      <c r="C25611" s="12"/>
    </row>
    <row r="25612" spans="1:4" ht="12.75" customHeight="1" x14ac:dyDescent="0.2">
      <c r="A25612" s="11"/>
      <c r="B25612" s="2"/>
      <c r="C25612" s="15"/>
      <c r="D25612" s="2"/>
    </row>
    <row r="25613" spans="1:4" ht="12.75" customHeight="1" x14ac:dyDescent="0.2">
      <c r="B25613" s="11" t="s">
        <v>0</v>
      </c>
      <c r="C25613" s="11" t="s">
        <v>1400</v>
      </c>
    </row>
    <row r="25614" spans="1:4" ht="12.75" customHeight="1" x14ac:dyDescent="0.2">
      <c r="B25614" s="11" t="s">
        <v>2599</v>
      </c>
      <c r="C25614" s="11" t="s">
        <v>417</v>
      </c>
    </row>
    <row r="25615" spans="1:4" ht="25.5" customHeight="1" x14ac:dyDescent="0.2">
      <c r="B25615" s="11" t="s">
        <v>2600</v>
      </c>
      <c r="C25615" s="11" t="s">
        <v>6824</v>
      </c>
    </row>
    <row r="25616" spans="1:4" ht="25.5" customHeight="1" x14ac:dyDescent="0.2">
      <c r="B25616" s="11" t="s">
        <v>2601</v>
      </c>
      <c r="C25616" s="11"/>
    </row>
    <row r="25617" spans="1:4" ht="12.75" customHeight="1" x14ac:dyDescent="0.2">
      <c r="B25617" s="11" t="s">
        <v>16</v>
      </c>
      <c r="C25617" s="11"/>
    </row>
    <row r="25618" spans="1:4" ht="12.75" customHeight="1" x14ac:dyDescent="0.2">
      <c r="B25618" s="11" t="s">
        <v>13</v>
      </c>
      <c r="C25618" s="11" t="s">
        <v>2644</v>
      </c>
    </row>
    <row r="25619" spans="1:4" ht="12.75" customHeight="1" x14ac:dyDescent="0.2">
      <c r="B25619" s="11" t="s">
        <v>2603</v>
      </c>
      <c r="C25619" s="11" t="s">
        <v>2604</v>
      </c>
    </row>
    <row r="25620" spans="1:4" ht="12.75" customHeight="1" x14ac:dyDescent="0.2">
      <c r="B25620" s="11" t="s">
        <v>2605</v>
      </c>
      <c r="C25620" s="11" t="s">
        <v>24</v>
      </c>
    </row>
    <row r="25621" spans="1:4" ht="12.75" customHeight="1" x14ac:dyDescent="0.2">
      <c r="B25621" s="11" t="s">
        <v>2606</v>
      </c>
      <c r="C25621" s="16" t="s">
        <v>44</v>
      </c>
      <c r="D25621" s="6" t="str">
        <f>HYPERLINK("javascript:void(0)","ködige")</f>
        <v>ködige</v>
      </c>
    </row>
    <row r="25622" spans="1:4" ht="12.75" customHeight="1" x14ac:dyDescent="0.2">
      <c r="B25622" s="2"/>
      <c r="C25622" s="15"/>
      <c r="D25622" s="2"/>
    </row>
    <row r="25623" spans="1:4" ht="12.75" customHeight="1" x14ac:dyDescent="0.2">
      <c r="B25623" s="2"/>
      <c r="C25623" s="15"/>
      <c r="D25623" s="2"/>
    </row>
    <row r="25624" spans="1:4" ht="12.75" customHeight="1" x14ac:dyDescent="0.2">
      <c r="A25624" s="13" t="s">
        <v>6772</v>
      </c>
      <c r="C25624" s="12"/>
      <c r="D25624" s="2"/>
    </row>
    <row r="25625" spans="1:4" ht="12.75" customHeight="1" x14ac:dyDescent="0.2">
      <c r="A25625" s="11"/>
      <c r="B25625" s="2"/>
      <c r="C25625" s="15"/>
      <c r="D25625" s="2"/>
    </row>
    <row r="25626" spans="1:4" ht="12.75" customHeight="1" x14ac:dyDescent="0.2">
      <c r="B25626" s="11" t="s">
        <v>0</v>
      </c>
      <c r="C25626" s="17" t="s">
        <v>1400</v>
      </c>
      <c r="D25626" s="2"/>
    </row>
    <row r="25627" spans="1:4" ht="12.75" customHeight="1" x14ac:dyDescent="0.2">
      <c r="B25627" s="11" t="s">
        <v>2599</v>
      </c>
      <c r="C25627" s="17" t="s">
        <v>6773</v>
      </c>
      <c r="D25627" s="2"/>
    </row>
    <row r="25628" spans="1:4" ht="25.5" customHeight="1" x14ac:dyDescent="0.2">
      <c r="B25628" s="11" t="s">
        <v>2600</v>
      </c>
      <c r="C25628" s="17" t="s">
        <v>6825</v>
      </c>
      <c r="D25628" s="2"/>
    </row>
    <row r="25629" spans="1:4" ht="25.5" customHeight="1" x14ac:dyDescent="0.2">
      <c r="B25629" s="11" t="s">
        <v>2601</v>
      </c>
      <c r="C25629" s="17"/>
      <c r="D25629" s="2"/>
    </row>
    <row r="25630" spans="1:4" ht="12.75" customHeight="1" x14ac:dyDescent="0.2">
      <c r="B25630" s="11" t="s">
        <v>16</v>
      </c>
      <c r="C25630" s="17"/>
      <c r="D25630" s="2"/>
    </row>
    <row r="25631" spans="1:4" ht="12.75" customHeight="1" x14ac:dyDescent="0.2">
      <c r="B25631" s="11" t="s">
        <v>13</v>
      </c>
      <c r="C25631" s="17" t="s">
        <v>2602</v>
      </c>
      <c r="D25631" s="2"/>
    </row>
    <row r="25632" spans="1:4" ht="12.75" customHeight="1" x14ac:dyDescent="0.2">
      <c r="B25632" s="11" t="s">
        <v>2603</v>
      </c>
      <c r="C25632" s="17" t="s">
        <v>128</v>
      </c>
      <c r="D25632" s="2"/>
    </row>
    <row r="25633" spans="1:4" ht="12.75" customHeight="1" x14ac:dyDescent="0.2">
      <c r="B25633" s="11" t="s">
        <v>2605</v>
      </c>
      <c r="C25633" s="17" t="s">
        <v>14</v>
      </c>
      <c r="D25633" s="2"/>
    </row>
    <row r="25634" spans="1:4" ht="12.75" customHeight="1" x14ac:dyDescent="0.2">
      <c r="B25634" s="11" t="s">
        <v>2606</v>
      </c>
      <c r="C25634" s="16" t="s">
        <v>19</v>
      </c>
      <c r="D25634" s="2"/>
    </row>
    <row r="25635" spans="1:4" ht="12.75" customHeight="1" x14ac:dyDescent="0.2">
      <c r="B25635" s="2"/>
      <c r="C25635" s="15"/>
      <c r="D25635" s="2"/>
    </row>
    <row r="25636" spans="1:4" ht="12.75" customHeight="1" x14ac:dyDescent="0.2">
      <c r="B25636" s="2"/>
      <c r="C25636" s="15"/>
      <c r="D25636" s="2"/>
    </row>
    <row r="25637" spans="1:4" ht="12.75" customHeight="1" x14ac:dyDescent="0.2">
      <c r="A25637" s="13" t="s">
        <v>6775</v>
      </c>
      <c r="C25637" s="12"/>
      <c r="D25637" s="2"/>
    </row>
    <row r="25638" spans="1:4" ht="12.75" customHeight="1" x14ac:dyDescent="0.2">
      <c r="A25638" s="11"/>
      <c r="B25638" s="2"/>
      <c r="C25638" s="15"/>
      <c r="D25638" s="2"/>
    </row>
    <row r="25639" spans="1:4" ht="12.75" customHeight="1" x14ac:dyDescent="0.2">
      <c r="B25639" s="11" t="s">
        <v>0</v>
      </c>
      <c r="C25639" s="17" t="s">
        <v>1400</v>
      </c>
      <c r="D25639" s="2"/>
    </row>
    <row r="25640" spans="1:4" ht="12.75" customHeight="1" x14ac:dyDescent="0.2">
      <c r="B25640" s="11" t="s">
        <v>2599</v>
      </c>
      <c r="C25640" s="17" t="s">
        <v>6776</v>
      </c>
      <c r="D25640" s="2"/>
    </row>
    <row r="25641" spans="1:4" ht="25.5" customHeight="1" x14ac:dyDescent="0.2">
      <c r="B25641" s="11" t="s">
        <v>2600</v>
      </c>
      <c r="C25641" s="17" t="s">
        <v>6826</v>
      </c>
      <c r="D25641" s="2"/>
    </row>
    <row r="25642" spans="1:4" ht="25.5" customHeight="1" x14ac:dyDescent="0.2">
      <c r="B25642" s="11" t="s">
        <v>2601</v>
      </c>
      <c r="C25642" s="17"/>
      <c r="D25642" s="2"/>
    </row>
    <row r="25643" spans="1:4" ht="12.75" customHeight="1" x14ac:dyDescent="0.2">
      <c r="B25643" s="11" t="s">
        <v>16</v>
      </c>
      <c r="C25643" s="17"/>
      <c r="D25643" s="2"/>
    </row>
    <row r="25644" spans="1:4" ht="12.75" customHeight="1" x14ac:dyDescent="0.2">
      <c r="B25644" s="11" t="s">
        <v>13</v>
      </c>
      <c r="C25644" s="17" t="s">
        <v>2644</v>
      </c>
      <c r="D25644" s="2"/>
    </row>
    <row r="25645" spans="1:4" ht="12.75" customHeight="1" x14ac:dyDescent="0.2">
      <c r="B25645" s="11" t="s">
        <v>2603</v>
      </c>
      <c r="C25645" s="17" t="s">
        <v>128</v>
      </c>
      <c r="D25645" s="2"/>
    </row>
    <row r="25646" spans="1:4" ht="12.75" customHeight="1" x14ac:dyDescent="0.2">
      <c r="B25646" s="11" t="s">
        <v>2605</v>
      </c>
      <c r="C25646" s="17" t="s">
        <v>14</v>
      </c>
      <c r="D25646" s="2"/>
    </row>
    <row r="25647" spans="1:4" ht="12.75" customHeight="1" x14ac:dyDescent="0.2">
      <c r="B25647" s="11" t="s">
        <v>2606</v>
      </c>
      <c r="C25647" s="16" t="s">
        <v>19</v>
      </c>
      <c r="D25647" s="2"/>
    </row>
    <row r="25648" spans="1:4" ht="12.75" customHeight="1" x14ac:dyDescent="0.2">
      <c r="B25648" s="2"/>
      <c r="C25648" s="15"/>
      <c r="D25648" s="2"/>
    </row>
    <row r="25649" spans="1:4" ht="12.75" customHeight="1" x14ac:dyDescent="0.2">
      <c r="B25649" s="2"/>
      <c r="C25649" s="15"/>
      <c r="D25649" s="2"/>
    </row>
    <row r="25650" spans="1:4" ht="12.75" customHeight="1" x14ac:dyDescent="0.2">
      <c r="A25650" s="13" t="s">
        <v>6827</v>
      </c>
      <c r="C25650" s="12"/>
    </row>
    <row r="25651" spans="1:4" ht="12.75" customHeight="1" x14ac:dyDescent="0.2">
      <c r="A25651" s="11"/>
      <c r="B25651" s="2"/>
      <c r="C25651" s="15"/>
      <c r="D25651" s="2"/>
    </row>
    <row r="25652" spans="1:4" ht="12.75" customHeight="1" x14ac:dyDescent="0.2">
      <c r="B25652" s="11" t="s">
        <v>0</v>
      </c>
      <c r="C25652" s="11" t="s">
        <v>1406</v>
      </c>
    </row>
    <row r="25653" spans="1:4" ht="12.75" customHeight="1" x14ac:dyDescent="0.2">
      <c r="B25653" s="11" t="s">
        <v>2599</v>
      </c>
      <c r="C25653" s="11" t="s">
        <v>6828</v>
      </c>
    </row>
    <row r="25654" spans="1:4" ht="25.5" customHeight="1" x14ac:dyDescent="0.2">
      <c r="B25654" s="11" t="s">
        <v>2600</v>
      </c>
      <c r="C25654" s="11" t="s">
        <v>6829</v>
      </c>
    </row>
    <row r="25655" spans="1:4" ht="25.5" customHeight="1" x14ac:dyDescent="0.2">
      <c r="B25655" s="11" t="s">
        <v>2601</v>
      </c>
      <c r="C25655" s="11"/>
    </row>
    <row r="25656" spans="1:4" ht="12.75" customHeight="1" x14ac:dyDescent="0.2">
      <c r="B25656" s="11" t="s">
        <v>16</v>
      </c>
      <c r="C25656" s="11"/>
    </row>
    <row r="25657" spans="1:4" ht="12.75" customHeight="1" x14ac:dyDescent="0.2">
      <c r="B25657" s="11" t="s">
        <v>13</v>
      </c>
      <c r="C25657" s="11" t="s">
        <v>2602</v>
      </c>
    </row>
    <row r="25658" spans="1:4" ht="12.75" customHeight="1" x14ac:dyDescent="0.2">
      <c r="B25658" s="11" t="s">
        <v>2603</v>
      </c>
      <c r="C25658" s="11" t="s">
        <v>2604</v>
      </c>
    </row>
    <row r="25659" spans="1:4" ht="12.75" customHeight="1" x14ac:dyDescent="0.2">
      <c r="B25659" s="11" t="s">
        <v>2605</v>
      </c>
      <c r="C25659" s="11" t="s">
        <v>14</v>
      </c>
    </row>
    <row r="25660" spans="1:4" ht="25.5" customHeight="1" x14ac:dyDescent="0.2">
      <c r="B25660" s="11" t="s">
        <v>2606</v>
      </c>
      <c r="C25660" s="16" t="s">
        <v>44</v>
      </c>
      <c r="D25660" s="6" t="str">
        <f>HYPERLINK("javascript:void(0)","kihunyt glória")</f>
        <v>kihunyt glória</v>
      </c>
    </row>
    <row r="25661" spans="1:4" ht="25.5" customHeight="1" x14ac:dyDescent="0.2">
      <c r="C25661" s="16" t="s">
        <v>44</v>
      </c>
      <c r="D25661" s="6" t="str">
        <f>HYPERLINK("javascript:void(0)","sötét kereszt")</f>
        <v>sötét kereszt</v>
      </c>
    </row>
    <row r="25662" spans="1:4" ht="12.75" customHeight="1" x14ac:dyDescent="0.2">
      <c r="B25662" s="2"/>
      <c r="C25662" s="15"/>
      <c r="D25662" s="2"/>
    </row>
    <row r="25663" spans="1:4" ht="12.75" customHeight="1" x14ac:dyDescent="0.2">
      <c r="B25663" s="2"/>
      <c r="C25663" s="15"/>
      <c r="D25663" s="2"/>
    </row>
    <row r="25664" spans="1:4" ht="12.75" customHeight="1" x14ac:dyDescent="0.2">
      <c r="A25664" s="13" t="s">
        <v>6830</v>
      </c>
      <c r="C25664" s="12"/>
    </row>
    <row r="25665" spans="1:4" ht="12.75" customHeight="1" x14ac:dyDescent="0.2">
      <c r="A25665" s="11"/>
      <c r="B25665" s="2"/>
      <c r="C25665" s="15"/>
      <c r="D25665" s="2"/>
    </row>
    <row r="25666" spans="1:4" ht="12.75" customHeight="1" x14ac:dyDescent="0.2">
      <c r="B25666" s="11" t="s">
        <v>0</v>
      </c>
      <c r="C25666" s="11" t="s">
        <v>1406</v>
      </c>
    </row>
    <row r="25667" spans="1:4" ht="12.75" customHeight="1" x14ac:dyDescent="0.2">
      <c r="B25667" s="11" t="s">
        <v>2599</v>
      </c>
      <c r="C25667" s="11" t="s">
        <v>6809</v>
      </c>
    </row>
    <row r="25668" spans="1:4" ht="25.5" customHeight="1" x14ac:dyDescent="0.2">
      <c r="B25668" s="11" t="s">
        <v>2600</v>
      </c>
      <c r="C25668" s="11" t="s">
        <v>6831</v>
      </c>
    </row>
    <row r="25669" spans="1:4" ht="25.5" customHeight="1" x14ac:dyDescent="0.2">
      <c r="B25669" s="11" t="s">
        <v>2601</v>
      </c>
      <c r="C25669" s="11"/>
    </row>
    <row r="25670" spans="1:4" ht="12.75" customHeight="1" x14ac:dyDescent="0.2">
      <c r="B25670" s="11" t="s">
        <v>16</v>
      </c>
      <c r="C25670" s="11"/>
    </row>
    <row r="25671" spans="1:4" ht="12.75" customHeight="1" x14ac:dyDescent="0.2">
      <c r="B25671" s="11" t="s">
        <v>13</v>
      </c>
      <c r="C25671" s="11" t="s">
        <v>2644</v>
      </c>
    </row>
    <row r="25672" spans="1:4" ht="12.75" customHeight="1" x14ac:dyDescent="0.2">
      <c r="B25672" s="11" t="s">
        <v>2603</v>
      </c>
      <c r="C25672" s="11" t="s">
        <v>2604</v>
      </c>
    </row>
    <row r="25673" spans="1:4" ht="12.75" customHeight="1" x14ac:dyDescent="0.2">
      <c r="B25673" s="11" t="s">
        <v>2605</v>
      </c>
      <c r="C25673" s="11" t="s">
        <v>14</v>
      </c>
    </row>
    <row r="25674" spans="1:4" ht="12.75" customHeight="1" x14ac:dyDescent="0.2">
      <c r="B25674" s="11" t="s">
        <v>2606</v>
      </c>
      <c r="C25674" s="16" t="s">
        <v>44</v>
      </c>
      <c r="D25674" s="6" t="str">
        <f>HYPERLINK("javascript:void(0)","felhőszelet")</f>
        <v>felhőszelet</v>
      </c>
    </row>
    <row r="25675" spans="1:4" ht="12.75" customHeight="1" x14ac:dyDescent="0.2">
      <c r="C25675" s="16" t="s">
        <v>44</v>
      </c>
      <c r="D25675" s="6" t="str">
        <f>HYPERLINK("javascript:void(0)","nullgravita")</f>
        <v>nullgravita</v>
      </c>
    </row>
    <row r="25676" spans="1:4" ht="12.75" customHeight="1" x14ac:dyDescent="0.2">
      <c r="C25676" s="16" t="s">
        <v>56</v>
      </c>
      <c r="D25676" s="6" t="str">
        <f>HYPERLINK("javascript:void(0)","röpkavics")</f>
        <v>röpkavics</v>
      </c>
    </row>
    <row r="25677" spans="1:4" ht="12.75" customHeight="1" x14ac:dyDescent="0.2">
      <c r="B25677" s="2"/>
      <c r="C25677" s="15"/>
      <c r="D25677" s="2"/>
    </row>
    <row r="25678" spans="1:4" ht="12.75" customHeight="1" x14ac:dyDescent="0.2">
      <c r="B25678" s="2"/>
      <c r="C25678" s="15"/>
      <c r="D25678" s="2"/>
    </row>
    <row r="25679" spans="1:4" ht="12.75" customHeight="1" x14ac:dyDescent="0.2">
      <c r="A25679" s="13" t="s">
        <v>6832</v>
      </c>
      <c r="C25679" s="12"/>
    </row>
    <row r="25680" spans="1:4" ht="12.75" customHeight="1" x14ac:dyDescent="0.2">
      <c r="A25680" s="11"/>
      <c r="B25680" s="2"/>
      <c r="C25680" s="15"/>
      <c r="D25680" s="2"/>
    </row>
    <row r="25681" spans="1:4" ht="12.75" customHeight="1" x14ac:dyDescent="0.2">
      <c r="B25681" s="11" t="s">
        <v>0</v>
      </c>
      <c r="C25681" s="11" t="s">
        <v>1406</v>
      </c>
    </row>
    <row r="25682" spans="1:4" ht="12.75" customHeight="1" x14ac:dyDescent="0.2">
      <c r="B25682" s="11" t="s">
        <v>2599</v>
      </c>
      <c r="C25682" s="11" t="s">
        <v>6833</v>
      </c>
    </row>
    <row r="25683" spans="1:4" ht="25.5" customHeight="1" x14ac:dyDescent="0.2">
      <c r="B25683" s="11" t="s">
        <v>2600</v>
      </c>
      <c r="C25683" s="11" t="s">
        <v>6834</v>
      </c>
    </row>
    <row r="25684" spans="1:4" ht="25.5" customHeight="1" x14ac:dyDescent="0.2">
      <c r="B25684" s="11" t="s">
        <v>2601</v>
      </c>
      <c r="C25684" s="11"/>
    </row>
    <row r="25685" spans="1:4" ht="12.75" customHeight="1" x14ac:dyDescent="0.2">
      <c r="B25685" s="11" t="s">
        <v>16</v>
      </c>
      <c r="C25685" s="11"/>
    </row>
    <row r="25686" spans="1:4" ht="12.75" customHeight="1" x14ac:dyDescent="0.2">
      <c r="B25686" s="11" t="s">
        <v>13</v>
      </c>
      <c r="C25686" s="11" t="s">
        <v>2602</v>
      </c>
    </row>
    <row r="25687" spans="1:4" ht="12.75" customHeight="1" x14ac:dyDescent="0.2">
      <c r="B25687" s="11" t="s">
        <v>2603</v>
      </c>
      <c r="C25687" s="11" t="s">
        <v>2604</v>
      </c>
    </row>
    <row r="25688" spans="1:4" ht="12.75" customHeight="1" x14ac:dyDescent="0.2">
      <c r="B25688" s="11" t="s">
        <v>2605</v>
      </c>
      <c r="C25688" s="11" t="s">
        <v>14</v>
      </c>
    </row>
    <row r="25689" spans="1:4" ht="12.75" customHeight="1" x14ac:dyDescent="0.2">
      <c r="B25689" s="11" t="s">
        <v>2606</v>
      </c>
      <c r="C25689" s="16" t="s">
        <v>44</v>
      </c>
      <c r="D25689" s="6" t="str">
        <f>HYPERLINK("javascript:void(0)","átokige")</f>
        <v>átokige</v>
      </c>
    </row>
    <row r="25690" spans="1:4" ht="25.5" customHeight="1" x14ac:dyDescent="0.2">
      <c r="C25690" s="16" t="s">
        <v>44</v>
      </c>
      <c r="D25690" s="6" t="str">
        <f>HYPERLINK("javascript:void(0)","átokhordozó")</f>
        <v>átokhordozó</v>
      </c>
    </row>
    <row r="25691" spans="1:4" ht="12.75" customHeight="1" x14ac:dyDescent="0.2">
      <c r="B25691" s="2"/>
      <c r="C25691" s="15"/>
      <c r="D25691" s="2"/>
    </row>
    <row r="25692" spans="1:4" ht="12.75" customHeight="1" x14ac:dyDescent="0.2">
      <c r="B25692" s="2"/>
      <c r="C25692" s="15"/>
      <c r="D25692" s="2"/>
    </row>
    <row r="25693" spans="1:4" ht="12.75" customHeight="1" x14ac:dyDescent="0.2">
      <c r="A25693" s="13" t="s">
        <v>6835</v>
      </c>
      <c r="C25693" s="12"/>
    </row>
    <row r="25694" spans="1:4" ht="12.75" customHeight="1" x14ac:dyDescent="0.2">
      <c r="A25694" s="11"/>
      <c r="B25694" s="2"/>
      <c r="C25694" s="15"/>
      <c r="D25694" s="2"/>
    </row>
    <row r="25695" spans="1:4" ht="12.75" customHeight="1" x14ac:dyDescent="0.2">
      <c r="B25695" s="11" t="s">
        <v>0</v>
      </c>
      <c r="C25695" s="11" t="s">
        <v>1406</v>
      </c>
    </row>
    <row r="25696" spans="1:4" ht="12.75" customHeight="1" x14ac:dyDescent="0.2">
      <c r="B25696" s="11" t="s">
        <v>2599</v>
      </c>
      <c r="C25696" s="11" t="s">
        <v>543</v>
      </c>
    </row>
    <row r="25697" spans="1:4" ht="25.5" customHeight="1" x14ac:dyDescent="0.2">
      <c r="B25697" s="11" t="s">
        <v>2600</v>
      </c>
      <c r="C25697" s="11" t="s">
        <v>6836</v>
      </c>
    </row>
    <row r="25698" spans="1:4" ht="25.5" customHeight="1" x14ac:dyDescent="0.2">
      <c r="B25698" s="11" t="s">
        <v>2601</v>
      </c>
      <c r="C25698" s="11"/>
    </row>
    <row r="25699" spans="1:4" ht="12.75" customHeight="1" x14ac:dyDescent="0.2">
      <c r="B25699" s="11" t="s">
        <v>16</v>
      </c>
      <c r="C25699" s="11"/>
    </row>
    <row r="25700" spans="1:4" ht="12.75" customHeight="1" x14ac:dyDescent="0.2">
      <c r="B25700" s="11" t="s">
        <v>13</v>
      </c>
      <c r="C25700" s="11" t="s">
        <v>2644</v>
      </c>
    </row>
    <row r="25701" spans="1:4" ht="12.75" customHeight="1" x14ac:dyDescent="0.2">
      <c r="B25701" s="11" t="s">
        <v>2603</v>
      </c>
      <c r="C25701" s="11" t="s">
        <v>2604</v>
      </c>
    </row>
    <row r="25702" spans="1:4" ht="12.75" customHeight="1" x14ac:dyDescent="0.2">
      <c r="B25702" s="11" t="s">
        <v>2605</v>
      </c>
      <c r="C25702" s="11" t="s">
        <v>24</v>
      </c>
    </row>
    <row r="25703" spans="1:4" ht="25.5" customHeight="1" x14ac:dyDescent="0.2">
      <c r="B25703" s="11" t="s">
        <v>2606</v>
      </c>
      <c r="C25703" s="16" t="s">
        <v>44</v>
      </c>
      <c r="D25703" s="6" t="str">
        <f>HYPERLINK("javascript:void(0)","pengeszálka")</f>
        <v>pengeszálka</v>
      </c>
    </row>
    <row r="25704" spans="1:4" ht="12.75" customHeight="1" x14ac:dyDescent="0.2">
      <c r="B25704" s="2"/>
      <c r="C25704" s="15"/>
      <c r="D25704" s="2"/>
    </row>
    <row r="25705" spans="1:4" ht="12.75" customHeight="1" x14ac:dyDescent="0.2">
      <c r="B25705" s="2"/>
      <c r="C25705" s="15"/>
      <c r="D25705" s="2"/>
    </row>
    <row r="25706" spans="1:4" ht="12.75" customHeight="1" x14ac:dyDescent="0.2">
      <c r="A25706" s="13" t="s">
        <v>6837</v>
      </c>
      <c r="C25706" s="12"/>
    </row>
    <row r="25707" spans="1:4" ht="12.75" customHeight="1" x14ac:dyDescent="0.2">
      <c r="A25707" s="11"/>
      <c r="B25707" s="2"/>
      <c r="C25707" s="15"/>
      <c r="D25707" s="2"/>
    </row>
    <row r="25708" spans="1:4" ht="12.75" customHeight="1" x14ac:dyDescent="0.2">
      <c r="B25708" s="11" t="s">
        <v>0</v>
      </c>
      <c r="C25708" s="11" t="s">
        <v>1406</v>
      </c>
    </row>
    <row r="25709" spans="1:4" ht="12.75" customHeight="1" x14ac:dyDescent="0.2">
      <c r="B25709" s="11" t="s">
        <v>2599</v>
      </c>
      <c r="C25709" s="11" t="s">
        <v>6838</v>
      </c>
    </row>
    <row r="25710" spans="1:4" ht="25.5" customHeight="1" x14ac:dyDescent="0.2">
      <c r="B25710" s="11" t="s">
        <v>2600</v>
      </c>
      <c r="C25710" s="11" t="s">
        <v>6839</v>
      </c>
    </row>
    <row r="25711" spans="1:4" ht="25.5" customHeight="1" x14ac:dyDescent="0.2">
      <c r="B25711" s="11" t="s">
        <v>2601</v>
      </c>
      <c r="C25711" s="11"/>
    </row>
    <row r="25712" spans="1:4" ht="12.75" customHeight="1" x14ac:dyDescent="0.2">
      <c r="B25712" s="11" t="s">
        <v>16</v>
      </c>
      <c r="C25712" s="11"/>
    </row>
    <row r="25713" spans="1:4" ht="12.75" customHeight="1" x14ac:dyDescent="0.2">
      <c r="B25713" s="11" t="s">
        <v>13</v>
      </c>
      <c r="C25713" s="11" t="s">
        <v>2602</v>
      </c>
    </row>
    <row r="25714" spans="1:4" ht="12.75" customHeight="1" x14ac:dyDescent="0.2">
      <c r="B25714" s="11" t="s">
        <v>2603</v>
      </c>
      <c r="C25714" s="11" t="s">
        <v>2604</v>
      </c>
    </row>
    <row r="25715" spans="1:4" ht="12.75" customHeight="1" x14ac:dyDescent="0.2">
      <c r="B25715" s="11" t="s">
        <v>2605</v>
      </c>
      <c r="C25715" s="11" t="s">
        <v>24</v>
      </c>
    </row>
    <row r="25716" spans="1:4" ht="12.75" customHeight="1" x14ac:dyDescent="0.2">
      <c r="B25716" s="11" t="s">
        <v>2606</v>
      </c>
      <c r="C25716" s="16" t="s">
        <v>44</v>
      </c>
      <c r="D25716" s="6" t="str">
        <f>HYPERLINK("javascript:void(0)","pala")</f>
        <v>pala</v>
      </c>
    </row>
    <row r="25717" spans="1:4" ht="12.75" customHeight="1" x14ac:dyDescent="0.2">
      <c r="B25717" s="2"/>
      <c r="C25717" s="15"/>
      <c r="D25717" s="2"/>
    </row>
    <row r="25718" spans="1:4" ht="12.75" customHeight="1" x14ac:dyDescent="0.2">
      <c r="B25718" s="2"/>
      <c r="C25718" s="15"/>
      <c r="D25718" s="2"/>
    </row>
    <row r="25719" spans="1:4" ht="12.75" customHeight="1" x14ac:dyDescent="0.2">
      <c r="A25719" s="13" t="s">
        <v>6840</v>
      </c>
      <c r="C25719" s="12"/>
    </row>
    <row r="25720" spans="1:4" ht="12.75" customHeight="1" x14ac:dyDescent="0.2">
      <c r="A25720" s="11"/>
      <c r="B25720" s="2"/>
      <c r="C25720" s="15"/>
      <c r="D25720" s="2"/>
    </row>
    <row r="25721" spans="1:4" ht="12.75" customHeight="1" x14ac:dyDescent="0.2">
      <c r="B25721" s="11" t="s">
        <v>0</v>
      </c>
      <c r="C25721" s="11" t="s">
        <v>1406</v>
      </c>
    </row>
    <row r="25722" spans="1:4" ht="12.75" customHeight="1" x14ac:dyDescent="0.2">
      <c r="B25722" s="11" t="s">
        <v>2599</v>
      </c>
      <c r="C25722" s="11" t="s">
        <v>6708</v>
      </c>
    </row>
    <row r="25723" spans="1:4" ht="25.5" customHeight="1" x14ac:dyDescent="0.2">
      <c r="B25723" s="11" t="s">
        <v>2600</v>
      </c>
      <c r="C25723" s="11" t="s">
        <v>6841</v>
      </c>
    </row>
    <row r="25724" spans="1:4" ht="25.5" customHeight="1" x14ac:dyDescent="0.2">
      <c r="B25724" s="11" t="s">
        <v>2601</v>
      </c>
      <c r="C25724" s="11"/>
    </row>
    <row r="25725" spans="1:4" ht="12.75" customHeight="1" x14ac:dyDescent="0.2">
      <c r="B25725" s="11" t="s">
        <v>16</v>
      </c>
      <c r="C25725" s="11"/>
    </row>
    <row r="25726" spans="1:4" ht="12.75" customHeight="1" x14ac:dyDescent="0.2">
      <c r="B25726" s="11" t="s">
        <v>13</v>
      </c>
      <c r="C25726" s="11" t="s">
        <v>2644</v>
      </c>
    </row>
    <row r="25727" spans="1:4" ht="12.75" customHeight="1" x14ac:dyDescent="0.2">
      <c r="B25727" s="11" t="s">
        <v>2603</v>
      </c>
      <c r="C25727" s="11" t="s">
        <v>2604</v>
      </c>
    </row>
    <row r="25728" spans="1:4" ht="12.75" customHeight="1" x14ac:dyDescent="0.2">
      <c r="B25728" s="11" t="s">
        <v>2605</v>
      </c>
      <c r="C25728" s="11" t="s">
        <v>24</v>
      </c>
    </row>
    <row r="25729" spans="1:4" ht="25.5" customHeight="1" x14ac:dyDescent="0.2">
      <c r="B25729" s="11" t="s">
        <v>2606</v>
      </c>
      <c r="C25729" s="16" t="s">
        <v>44</v>
      </c>
      <c r="D25729" s="6" t="str">
        <f>HYPERLINK("javascript:void(0)","állásfoglalás")</f>
        <v>állásfoglalás</v>
      </c>
    </row>
    <row r="25730" spans="1:4" ht="12.75" customHeight="1" x14ac:dyDescent="0.2">
      <c r="B25730" s="2"/>
      <c r="C25730" s="15"/>
      <c r="D25730" s="2"/>
    </row>
    <row r="25731" spans="1:4" ht="12.75" customHeight="1" x14ac:dyDescent="0.2">
      <c r="B25731" s="2"/>
      <c r="C25731" s="15"/>
      <c r="D25731" s="2"/>
    </row>
    <row r="25732" spans="1:4" ht="12.75" customHeight="1" x14ac:dyDescent="0.2">
      <c r="A25732" s="13" t="s">
        <v>6842</v>
      </c>
      <c r="C25732" s="12"/>
    </row>
    <row r="25733" spans="1:4" ht="12.75" customHeight="1" x14ac:dyDescent="0.2">
      <c r="A25733" s="11"/>
      <c r="B25733" s="2"/>
      <c r="C25733" s="15"/>
      <c r="D25733" s="2"/>
    </row>
    <row r="25734" spans="1:4" ht="12.75" customHeight="1" x14ac:dyDescent="0.2">
      <c r="B25734" s="11" t="s">
        <v>0</v>
      </c>
      <c r="C25734" s="11" t="s">
        <v>1406</v>
      </c>
    </row>
    <row r="25735" spans="1:4" ht="12.75" customHeight="1" x14ac:dyDescent="0.2">
      <c r="B25735" s="11" t="s">
        <v>2599</v>
      </c>
      <c r="C25735" s="11" t="s">
        <v>6843</v>
      </c>
    </row>
    <row r="25736" spans="1:4" ht="25.5" customHeight="1" x14ac:dyDescent="0.2">
      <c r="B25736" s="11" t="s">
        <v>2600</v>
      </c>
      <c r="C25736" s="11" t="s">
        <v>6844</v>
      </c>
    </row>
    <row r="25737" spans="1:4" ht="25.5" customHeight="1" x14ac:dyDescent="0.2">
      <c r="B25737" s="11" t="s">
        <v>2601</v>
      </c>
      <c r="C25737" s="11"/>
    </row>
    <row r="25738" spans="1:4" ht="12.75" customHeight="1" x14ac:dyDescent="0.2">
      <c r="B25738" s="11" t="s">
        <v>16</v>
      </c>
      <c r="C25738" s="11"/>
    </row>
    <row r="25739" spans="1:4" ht="12.75" customHeight="1" x14ac:dyDescent="0.2">
      <c r="B25739" s="11" t="s">
        <v>13</v>
      </c>
      <c r="C25739" s="11" t="s">
        <v>2602</v>
      </c>
    </row>
    <row r="25740" spans="1:4" ht="12.75" customHeight="1" x14ac:dyDescent="0.2">
      <c r="B25740" s="11" t="s">
        <v>2603</v>
      </c>
      <c r="C25740" s="11" t="s">
        <v>2604</v>
      </c>
    </row>
    <row r="25741" spans="1:4" ht="12.75" customHeight="1" x14ac:dyDescent="0.2">
      <c r="B25741" s="11" t="s">
        <v>2605</v>
      </c>
      <c r="C25741" s="11" t="s">
        <v>14</v>
      </c>
    </row>
    <row r="25742" spans="1:4" ht="12.75" customHeight="1" x14ac:dyDescent="0.2">
      <c r="B25742" s="11" t="s">
        <v>2606</v>
      </c>
      <c r="C25742" s="16" t="s">
        <v>55</v>
      </c>
      <c r="D25742" s="6" t="str">
        <f>HYPERLINK("javascript:void(0)","ködige")</f>
        <v>ködige</v>
      </c>
    </row>
    <row r="25743" spans="1:4" ht="12.75" customHeight="1" x14ac:dyDescent="0.2">
      <c r="B25743" s="2"/>
      <c r="C25743" s="15"/>
      <c r="D25743" s="2"/>
    </row>
    <row r="25744" spans="1:4" ht="12.75" customHeight="1" x14ac:dyDescent="0.2">
      <c r="B25744" s="2"/>
      <c r="C25744" s="15"/>
      <c r="D25744" s="2"/>
    </row>
    <row r="25745" spans="1:4" ht="12.75" customHeight="1" x14ac:dyDescent="0.2">
      <c r="A25745" s="13" t="s">
        <v>6845</v>
      </c>
      <c r="C25745" s="12"/>
    </row>
    <row r="25746" spans="1:4" ht="12.75" customHeight="1" x14ac:dyDescent="0.2">
      <c r="A25746" s="11"/>
      <c r="B25746" s="2"/>
      <c r="C25746" s="15"/>
      <c r="D25746" s="2"/>
    </row>
    <row r="25747" spans="1:4" ht="12.75" customHeight="1" x14ac:dyDescent="0.2">
      <c r="B25747" s="11" t="s">
        <v>0</v>
      </c>
      <c r="C25747" s="11" t="s">
        <v>1406</v>
      </c>
    </row>
    <row r="25748" spans="1:4" ht="12.75" customHeight="1" x14ac:dyDescent="0.2">
      <c r="B25748" s="11" t="s">
        <v>2599</v>
      </c>
      <c r="C25748" s="11" t="s">
        <v>3861</v>
      </c>
    </row>
    <row r="25749" spans="1:4" ht="25.5" customHeight="1" x14ac:dyDescent="0.2">
      <c r="B25749" s="11" t="s">
        <v>2600</v>
      </c>
      <c r="C25749" s="11" t="s">
        <v>6846</v>
      </c>
    </row>
    <row r="25750" spans="1:4" ht="25.5" customHeight="1" x14ac:dyDescent="0.2">
      <c r="B25750" s="11" t="s">
        <v>2601</v>
      </c>
      <c r="C25750" s="11"/>
    </row>
    <row r="25751" spans="1:4" ht="12.75" customHeight="1" x14ac:dyDescent="0.2">
      <c r="B25751" s="11" t="s">
        <v>16</v>
      </c>
      <c r="C25751" s="11"/>
    </row>
    <row r="25752" spans="1:4" ht="12.75" customHeight="1" x14ac:dyDescent="0.2">
      <c r="B25752" s="11" t="s">
        <v>13</v>
      </c>
      <c r="C25752" s="11" t="s">
        <v>2644</v>
      </c>
    </row>
    <row r="25753" spans="1:4" ht="12.75" customHeight="1" x14ac:dyDescent="0.2">
      <c r="B25753" s="11" t="s">
        <v>2603</v>
      </c>
      <c r="C25753" s="11" t="s">
        <v>2604</v>
      </c>
    </row>
    <row r="25754" spans="1:4" ht="12.75" customHeight="1" x14ac:dyDescent="0.2">
      <c r="B25754" s="11" t="s">
        <v>2605</v>
      </c>
      <c r="C25754" s="11" t="s">
        <v>24</v>
      </c>
    </row>
    <row r="25755" spans="1:4" ht="12.75" customHeight="1" x14ac:dyDescent="0.2">
      <c r="B25755" s="11" t="s">
        <v>2606</v>
      </c>
      <c r="C25755" s="16" t="s">
        <v>63</v>
      </c>
      <c r="D25755" s="6" t="str">
        <f>HYPERLINK("javascript:void(0)","kaja")</f>
        <v>kaja</v>
      </c>
    </row>
    <row r="25756" spans="1:4" ht="12.75" customHeight="1" x14ac:dyDescent="0.2">
      <c r="C25756" s="16" t="s">
        <v>55</v>
      </c>
      <c r="D25756" s="6" t="str">
        <f>HYPERLINK("javascript:void(0)","dínófog")</f>
        <v>dínófog</v>
      </c>
    </row>
    <row r="25757" spans="1:4" ht="12.75" customHeight="1" x14ac:dyDescent="0.2">
      <c r="C25757" s="16" t="s">
        <v>56</v>
      </c>
      <c r="D25757" s="6" t="str">
        <f>HYPERLINK("javascript:void(0)","hukkantás")</f>
        <v>hukkantás</v>
      </c>
    </row>
    <row r="25758" spans="1:4" ht="12.75" customHeight="1" x14ac:dyDescent="0.2">
      <c r="B25758" s="2"/>
      <c r="C25758" s="15"/>
      <c r="D25758" s="2"/>
    </row>
    <row r="25759" spans="1:4" ht="12.75" customHeight="1" x14ac:dyDescent="0.2">
      <c r="B25759" s="2"/>
      <c r="C25759" s="15"/>
      <c r="D25759" s="2"/>
    </row>
    <row r="25760" spans="1:4" ht="12.75" customHeight="1" x14ac:dyDescent="0.2">
      <c r="A25760" s="13" t="s">
        <v>6772</v>
      </c>
      <c r="C25760" s="12"/>
      <c r="D25760" s="2"/>
    </row>
    <row r="25761" spans="1:4" ht="12.75" customHeight="1" x14ac:dyDescent="0.2">
      <c r="A25761" s="11"/>
      <c r="B25761" s="2"/>
      <c r="C25761" s="15"/>
      <c r="D25761" s="2"/>
    </row>
    <row r="25762" spans="1:4" ht="12.75" customHeight="1" x14ac:dyDescent="0.2">
      <c r="B25762" s="11" t="s">
        <v>0</v>
      </c>
      <c r="C25762" s="17" t="s">
        <v>1406</v>
      </c>
      <c r="D25762" s="2"/>
    </row>
    <row r="25763" spans="1:4" ht="12.75" customHeight="1" x14ac:dyDescent="0.2">
      <c r="B25763" s="11" t="s">
        <v>2599</v>
      </c>
      <c r="C25763" s="17" t="s">
        <v>6773</v>
      </c>
      <c r="D25763" s="2"/>
    </row>
    <row r="25764" spans="1:4" ht="25.5" customHeight="1" x14ac:dyDescent="0.2">
      <c r="B25764" s="11" t="s">
        <v>2600</v>
      </c>
      <c r="C25764" s="17" t="s">
        <v>6847</v>
      </c>
      <c r="D25764" s="2"/>
    </row>
    <row r="25765" spans="1:4" ht="25.5" customHeight="1" x14ac:dyDescent="0.2">
      <c r="B25765" s="11" t="s">
        <v>2601</v>
      </c>
      <c r="C25765" s="17"/>
      <c r="D25765" s="2"/>
    </row>
    <row r="25766" spans="1:4" ht="12.75" customHeight="1" x14ac:dyDescent="0.2">
      <c r="B25766" s="11" t="s">
        <v>16</v>
      </c>
      <c r="C25766" s="17"/>
      <c r="D25766" s="2"/>
    </row>
    <row r="25767" spans="1:4" ht="12.75" customHeight="1" x14ac:dyDescent="0.2">
      <c r="B25767" s="11" t="s">
        <v>13</v>
      </c>
      <c r="C25767" s="17" t="s">
        <v>2602</v>
      </c>
      <c r="D25767" s="2"/>
    </row>
    <row r="25768" spans="1:4" ht="12.75" customHeight="1" x14ac:dyDescent="0.2">
      <c r="B25768" s="11" t="s">
        <v>2603</v>
      </c>
      <c r="C25768" s="17" t="s">
        <v>128</v>
      </c>
      <c r="D25768" s="2"/>
    </row>
    <row r="25769" spans="1:4" ht="12.75" customHeight="1" x14ac:dyDescent="0.2">
      <c r="B25769" s="11" t="s">
        <v>2605</v>
      </c>
      <c r="C25769" s="17" t="s">
        <v>14</v>
      </c>
      <c r="D25769" s="2"/>
    </row>
    <row r="25770" spans="1:4" ht="12.75" customHeight="1" x14ac:dyDescent="0.2">
      <c r="B25770" s="11" t="s">
        <v>2606</v>
      </c>
      <c r="C25770" s="16" t="s">
        <v>19</v>
      </c>
      <c r="D25770" s="2"/>
    </row>
    <row r="25771" spans="1:4" ht="12.75" customHeight="1" x14ac:dyDescent="0.2">
      <c r="B25771" s="2"/>
      <c r="C25771" s="15"/>
      <c r="D25771" s="2"/>
    </row>
    <row r="25772" spans="1:4" ht="12.75" customHeight="1" x14ac:dyDescent="0.2">
      <c r="B25772" s="2"/>
      <c r="C25772" s="15"/>
      <c r="D25772" s="2"/>
    </row>
    <row r="25773" spans="1:4" ht="12.75" customHeight="1" x14ac:dyDescent="0.2">
      <c r="A25773" s="13" t="s">
        <v>6775</v>
      </c>
      <c r="C25773" s="12"/>
      <c r="D25773" s="2"/>
    </row>
    <row r="25774" spans="1:4" ht="12.75" customHeight="1" x14ac:dyDescent="0.2">
      <c r="A25774" s="11"/>
      <c r="B25774" s="2"/>
      <c r="C25774" s="15"/>
      <c r="D25774" s="2"/>
    </row>
    <row r="25775" spans="1:4" ht="12.75" customHeight="1" x14ac:dyDescent="0.2">
      <c r="B25775" s="11" t="s">
        <v>0</v>
      </c>
      <c r="C25775" s="17" t="s">
        <v>1406</v>
      </c>
      <c r="D25775" s="2"/>
    </row>
    <row r="25776" spans="1:4" ht="12.75" customHeight="1" x14ac:dyDescent="0.2">
      <c r="B25776" s="11" t="s">
        <v>2599</v>
      </c>
      <c r="C25776" s="17" t="s">
        <v>6776</v>
      </c>
      <c r="D25776" s="2"/>
    </row>
    <row r="25777" spans="1:4" ht="25.5" customHeight="1" x14ac:dyDescent="0.2">
      <c r="B25777" s="11" t="s">
        <v>2600</v>
      </c>
      <c r="C25777" s="17" t="s">
        <v>6848</v>
      </c>
      <c r="D25777" s="2"/>
    </row>
    <row r="25778" spans="1:4" ht="25.5" customHeight="1" x14ac:dyDescent="0.2">
      <c r="B25778" s="11" t="s">
        <v>2601</v>
      </c>
      <c r="C25778" s="17"/>
      <c r="D25778" s="2"/>
    </row>
    <row r="25779" spans="1:4" ht="12.75" customHeight="1" x14ac:dyDescent="0.2">
      <c r="B25779" s="11" t="s">
        <v>16</v>
      </c>
      <c r="C25779" s="17"/>
      <c r="D25779" s="2"/>
    </row>
    <row r="25780" spans="1:4" ht="12.75" customHeight="1" x14ac:dyDescent="0.2">
      <c r="B25780" s="11" t="s">
        <v>13</v>
      </c>
      <c r="C25780" s="17" t="s">
        <v>2644</v>
      </c>
      <c r="D25780" s="2"/>
    </row>
    <row r="25781" spans="1:4" ht="12.75" customHeight="1" x14ac:dyDescent="0.2">
      <c r="B25781" s="11" t="s">
        <v>2603</v>
      </c>
      <c r="C25781" s="17" t="s">
        <v>128</v>
      </c>
      <c r="D25781" s="2"/>
    </row>
    <row r="25782" spans="1:4" ht="12.75" customHeight="1" x14ac:dyDescent="0.2">
      <c r="B25782" s="11" t="s">
        <v>2605</v>
      </c>
      <c r="C25782" s="17" t="s">
        <v>14</v>
      </c>
      <c r="D25782" s="2"/>
    </row>
    <row r="25783" spans="1:4" ht="12.75" customHeight="1" x14ac:dyDescent="0.2">
      <c r="B25783" s="11" t="s">
        <v>2606</v>
      </c>
      <c r="C25783" s="16" t="s">
        <v>19</v>
      </c>
      <c r="D25783" s="2"/>
    </row>
    <row r="25784" spans="1:4" ht="12.75" customHeight="1" x14ac:dyDescent="0.2">
      <c r="B25784" s="2"/>
      <c r="C25784" s="15"/>
      <c r="D25784" s="2"/>
    </row>
    <row r="25785" spans="1:4" ht="12.75" customHeight="1" x14ac:dyDescent="0.2">
      <c r="B25785" s="2"/>
      <c r="C25785" s="15"/>
      <c r="D25785" s="2"/>
    </row>
    <row r="25786" spans="1:4" ht="12.75" customHeight="1" x14ac:dyDescent="0.2">
      <c r="A25786" s="13" t="s">
        <v>6849</v>
      </c>
      <c r="C25786" s="12"/>
    </row>
    <row r="25787" spans="1:4" ht="12.75" customHeight="1" x14ac:dyDescent="0.2">
      <c r="A25787" s="11"/>
      <c r="B25787" s="2"/>
      <c r="C25787" s="15"/>
      <c r="D25787" s="2"/>
    </row>
    <row r="25788" spans="1:4" ht="12.75" customHeight="1" x14ac:dyDescent="0.2">
      <c r="B25788" s="11" t="s">
        <v>0</v>
      </c>
      <c r="C25788" s="11" t="s">
        <v>1412</v>
      </c>
    </row>
    <row r="25789" spans="1:4" ht="12.75" customHeight="1" x14ac:dyDescent="0.2">
      <c r="B25789" s="11" t="s">
        <v>2599</v>
      </c>
      <c r="C25789" s="11" t="s">
        <v>6850</v>
      </c>
    </row>
    <row r="25790" spans="1:4" ht="25.5" customHeight="1" x14ac:dyDescent="0.2">
      <c r="B25790" s="11" t="s">
        <v>2600</v>
      </c>
      <c r="C25790" s="11" t="s">
        <v>6851</v>
      </c>
    </row>
    <row r="25791" spans="1:4" ht="25.5" customHeight="1" x14ac:dyDescent="0.2">
      <c r="B25791" s="11" t="s">
        <v>2601</v>
      </c>
      <c r="C25791" s="11"/>
    </row>
    <row r="25792" spans="1:4" ht="12.75" customHeight="1" x14ac:dyDescent="0.2">
      <c r="B25792" s="11" t="s">
        <v>16</v>
      </c>
      <c r="C25792" s="11"/>
    </row>
    <row r="25793" spans="1:4" ht="12.75" customHeight="1" x14ac:dyDescent="0.2">
      <c r="B25793" s="11" t="s">
        <v>13</v>
      </c>
      <c r="C25793" s="11" t="s">
        <v>2602</v>
      </c>
    </row>
    <row r="25794" spans="1:4" ht="12.75" customHeight="1" x14ac:dyDescent="0.2">
      <c r="B25794" s="11" t="s">
        <v>2603</v>
      </c>
      <c r="C25794" s="11" t="s">
        <v>2604</v>
      </c>
    </row>
    <row r="25795" spans="1:4" ht="12.75" customHeight="1" x14ac:dyDescent="0.2">
      <c r="B25795" s="11" t="s">
        <v>2605</v>
      </c>
      <c r="C25795" s="11" t="s">
        <v>14</v>
      </c>
    </row>
    <row r="25796" spans="1:4" ht="12.75" customHeight="1" x14ac:dyDescent="0.2">
      <c r="B25796" s="11" t="s">
        <v>2606</v>
      </c>
      <c r="C25796" s="16" t="s">
        <v>44</v>
      </c>
      <c r="D25796" s="6" t="str">
        <f>HYPERLINK("javascript:void(0)","taraj")</f>
        <v>taraj</v>
      </c>
    </row>
    <row r="25797" spans="1:4" ht="12.75" customHeight="1" x14ac:dyDescent="0.2">
      <c r="B25797" s="2"/>
      <c r="C25797" s="15"/>
      <c r="D25797" s="2"/>
    </row>
    <row r="25798" spans="1:4" ht="12.75" customHeight="1" x14ac:dyDescent="0.2">
      <c r="B25798" s="2"/>
      <c r="C25798" s="15"/>
      <c r="D25798" s="2"/>
    </row>
    <row r="25799" spans="1:4" ht="12.75" customHeight="1" x14ac:dyDescent="0.2">
      <c r="A25799" s="13" t="s">
        <v>6852</v>
      </c>
      <c r="C25799" s="12"/>
    </row>
    <row r="25800" spans="1:4" ht="12.75" customHeight="1" x14ac:dyDescent="0.2">
      <c r="A25800" s="11"/>
      <c r="B25800" s="2"/>
      <c r="C25800" s="15"/>
      <c r="D25800" s="2"/>
    </row>
    <row r="25801" spans="1:4" ht="12.75" customHeight="1" x14ac:dyDescent="0.2">
      <c r="B25801" s="11" t="s">
        <v>0</v>
      </c>
      <c r="C25801" s="11" t="s">
        <v>1412</v>
      </c>
    </row>
    <row r="25802" spans="1:4" ht="12.75" customHeight="1" x14ac:dyDescent="0.2">
      <c r="B25802" s="11" t="s">
        <v>2599</v>
      </c>
      <c r="C25802" s="11" t="s">
        <v>6853</v>
      </c>
    </row>
    <row r="25803" spans="1:4" ht="25.5" customHeight="1" x14ac:dyDescent="0.2">
      <c r="B25803" s="11" t="s">
        <v>2600</v>
      </c>
      <c r="C25803" s="11" t="s">
        <v>6854</v>
      </c>
    </row>
    <row r="25804" spans="1:4" ht="25.5" customHeight="1" x14ac:dyDescent="0.2">
      <c r="B25804" s="11" t="s">
        <v>2601</v>
      </c>
      <c r="C25804" s="11"/>
    </row>
    <row r="25805" spans="1:4" ht="12.75" customHeight="1" x14ac:dyDescent="0.2">
      <c r="B25805" s="11" t="s">
        <v>16</v>
      </c>
      <c r="C25805" s="11"/>
    </row>
    <row r="25806" spans="1:4" ht="12.75" customHeight="1" x14ac:dyDescent="0.2">
      <c r="B25806" s="11" t="s">
        <v>13</v>
      </c>
      <c r="C25806" s="11" t="s">
        <v>2644</v>
      </c>
    </row>
    <row r="25807" spans="1:4" ht="12.75" customHeight="1" x14ac:dyDescent="0.2">
      <c r="B25807" s="11" t="s">
        <v>2603</v>
      </c>
      <c r="C25807" s="11" t="s">
        <v>2604</v>
      </c>
    </row>
    <row r="25808" spans="1:4" ht="12.75" customHeight="1" x14ac:dyDescent="0.2">
      <c r="B25808" s="11" t="s">
        <v>2605</v>
      </c>
      <c r="C25808" s="11" t="s">
        <v>14</v>
      </c>
    </row>
    <row r="25809" spans="1:4" ht="12.75" customHeight="1" x14ac:dyDescent="0.2">
      <c r="B25809" s="11" t="s">
        <v>2606</v>
      </c>
      <c r="C25809" s="16" t="s">
        <v>56</v>
      </c>
      <c r="D25809" s="6" t="str">
        <f>HYPERLINK("javascript:void(0)","tőrpenge")</f>
        <v>tőrpenge</v>
      </c>
    </row>
    <row r="25810" spans="1:4" ht="12.75" customHeight="1" x14ac:dyDescent="0.2">
      <c r="C25810" s="16" t="s">
        <v>44</v>
      </c>
      <c r="D25810" s="6" t="str">
        <f>HYPERLINK("javascript:void(0)","szőrpenge")</f>
        <v>szőrpenge</v>
      </c>
    </row>
    <row r="25811" spans="1:4" ht="12.75" customHeight="1" x14ac:dyDescent="0.2">
      <c r="C25811" s="16" t="s">
        <v>44</v>
      </c>
      <c r="D25811" s="6" t="str">
        <f>HYPERLINK("javascript:void(0)","gyíkacél tőr")</f>
        <v>gyíkacél tőr</v>
      </c>
    </row>
    <row r="25812" spans="1:4" ht="12.75" customHeight="1" x14ac:dyDescent="0.2">
      <c r="B25812" s="2"/>
      <c r="C25812" s="15"/>
      <c r="D25812" s="2"/>
    </row>
    <row r="25813" spans="1:4" ht="12.75" customHeight="1" x14ac:dyDescent="0.2">
      <c r="B25813" s="2"/>
      <c r="C25813" s="15"/>
      <c r="D25813" s="2"/>
    </row>
    <row r="25814" spans="1:4" ht="12.75" customHeight="1" x14ac:dyDescent="0.2">
      <c r="A25814" s="13" t="s">
        <v>6855</v>
      </c>
      <c r="C25814" s="12"/>
    </row>
    <row r="25815" spans="1:4" ht="12.75" customHeight="1" x14ac:dyDescent="0.2">
      <c r="A25815" s="11"/>
      <c r="B25815" s="2"/>
      <c r="C25815" s="15"/>
      <c r="D25815" s="2"/>
    </row>
    <row r="25816" spans="1:4" ht="12.75" customHeight="1" x14ac:dyDescent="0.2">
      <c r="B25816" s="11" t="s">
        <v>0</v>
      </c>
      <c r="C25816" s="11" t="s">
        <v>1412</v>
      </c>
    </row>
    <row r="25817" spans="1:4" ht="12.75" customHeight="1" x14ac:dyDescent="0.2">
      <c r="B25817" s="11" t="s">
        <v>2599</v>
      </c>
      <c r="C25817" s="11" t="s">
        <v>6856</v>
      </c>
    </row>
    <row r="25818" spans="1:4" ht="25.5" customHeight="1" x14ac:dyDescent="0.2">
      <c r="B25818" s="11" t="s">
        <v>2600</v>
      </c>
      <c r="C25818" s="11" t="s">
        <v>6857</v>
      </c>
    </row>
    <row r="25819" spans="1:4" ht="25.5" customHeight="1" x14ac:dyDescent="0.2">
      <c r="B25819" s="11" t="s">
        <v>2601</v>
      </c>
      <c r="C25819" s="11"/>
    </row>
    <row r="25820" spans="1:4" ht="12.75" customHeight="1" x14ac:dyDescent="0.2">
      <c r="B25820" s="11" t="s">
        <v>16</v>
      </c>
      <c r="C25820" s="11"/>
    </row>
    <row r="25821" spans="1:4" ht="12.75" customHeight="1" x14ac:dyDescent="0.2">
      <c r="B25821" s="11" t="s">
        <v>13</v>
      </c>
      <c r="C25821" s="11" t="s">
        <v>2602</v>
      </c>
    </row>
    <row r="25822" spans="1:4" ht="12.75" customHeight="1" x14ac:dyDescent="0.2">
      <c r="B25822" s="11" t="s">
        <v>2603</v>
      </c>
      <c r="C25822" s="11" t="s">
        <v>2604</v>
      </c>
    </row>
    <row r="25823" spans="1:4" ht="12.75" customHeight="1" x14ac:dyDescent="0.2">
      <c r="B25823" s="11" t="s">
        <v>2605</v>
      </c>
      <c r="C25823" s="11" t="s">
        <v>14</v>
      </c>
    </row>
    <row r="25824" spans="1:4" ht="25.5" customHeight="1" x14ac:dyDescent="0.2">
      <c r="B25824" s="11" t="s">
        <v>2606</v>
      </c>
      <c r="C25824" s="16" t="s">
        <v>44</v>
      </c>
      <c r="D25824" s="6" t="str">
        <f>HYPERLINK("javascript:void(0)","kihunyt glória")</f>
        <v>kihunyt glória</v>
      </c>
    </row>
    <row r="25825" spans="1:4" ht="25.5" customHeight="1" x14ac:dyDescent="0.2">
      <c r="C25825" s="16" t="s">
        <v>44</v>
      </c>
      <c r="D25825" s="6" t="str">
        <f>HYPERLINK("javascript:void(0)","sötét kereszt")</f>
        <v>sötét kereszt</v>
      </c>
    </row>
    <row r="25826" spans="1:4" ht="12.75" customHeight="1" x14ac:dyDescent="0.2">
      <c r="B25826" s="2"/>
      <c r="C25826" s="15"/>
      <c r="D25826" s="2"/>
    </row>
    <row r="25827" spans="1:4" ht="12.75" customHeight="1" x14ac:dyDescent="0.2">
      <c r="B25827" s="2"/>
      <c r="C25827" s="15"/>
      <c r="D25827" s="2"/>
    </row>
    <row r="25828" spans="1:4" ht="12.75" customHeight="1" x14ac:dyDescent="0.2">
      <c r="A25828" s="13" t="s">
        <v>6858</v>
      </c>
      <c r="C25828" s="12"/>
    </row>
    <row r="25829" spans="1:4" ht="12.75" customHeight="1" x14ac:dyDescent="0.2">
      <c r="A25829" s="11"/>
      <c r="B25829" s="2"/>
      <c r="C25829" s="15"/>
      <c r="D25829" s="2"/>
    </row>
    <row r="25830" spans="1:4" ht="12.75" customHeight="1" x14ac:dyDescent="0.2">
      <c r="B25830" s="11" t="s">
        <v>0</v>
      </c>
      <c r="C25830" s="11" t="s">
        <v>1412</v>
      </c>
    </row>
    <row r="25831" spans="1:4" ht="12.75" customHeight="1" x14ac:dyDescent="0.2">
      <c r="B25831" s="11" t="s">
        <v>2599</v>
      </c>
      <c r="C25831" s="11" t="s">
        <v>6859</v>
      </c>
    </row>
    <row r="25832" spans="1:4" ht="25.5" customHeight="1" x14ac:dyDescent="0.2">
      <c r="B25832" s="11" t="s">
        <v>2600</v>
      </c>
      <c r="C25832" s="11" t="s">
        <v>6860</v>
      </c>
    </row>
    <row r="25833" spans="1:4" ht="25.5" customHeight="1" x14ac:dyDescent="0.2">
      <c r="B25833" s="11" t="s">
        <v>2601</v>
      </c>
      <c r="C25833" s="11"/>
    </row>
    <row r="25834" spans="1:4" ht="12.75" customHeight="1" x14ac:dyDescent="0.2">
      <c r="B25834" s="11" t="s">
        <v>16</v>
      </c>
      <c r="C25834" s="11"/>
    </row>
    <row r="25835" spans="1:4" ht="12.75" customHeight="1" x14ac:dyDescent="0.2">
      <c r="B25835" s="11" t="s">
        <v>13</v>
      </c>
      <c r="C25835" s="11" t="s">
        <v>2644</v>
      </c>
    </row>
    <row r="25836" spans="1:4" ht="12.75" customHeight="1" x14ac:dyDescent="0.2">
      <c r="B25836" s="11" t="s">
        <v>2603</v>
      </c>
      <c r="C25836" s="11" t="s">
        <v>2604</v>
      </c>
    </row>
    <row r="25837" spans="1:4" ht="12.75" customHeight="1" x14ac:dyDescent="0.2">
      <c r="B25837" s="11" t="s">
        <v>2605</v>
      </c>
      <c r="C25837" s="11" t="s">
        <v>14</v>
      </c>
    </row>
    <row r="25838" spans="1:4" ht="12.75" customHeight="1" x14ac:dyDescent="0.2">
      <c r="B25838" s="11" t="s">
        <v>2606</v>
      </c>
      <c r="C25838" s="16" t="s">
        <v>44</v>
      </c>
      <c r="D25838" s="6" t="str">
        <f>HYPERLINK("javascript:void(0)","kolomp")</f>
        <v>kolomp</v>
      </c>
    </row>
    <row r="25839" spans="1:4" ht="12.75" customHeight="1" x14ac:dyDescent="0.2">
      <c r="B25839" s="2"/>
      <c r="C25839" s="15"/>
      <c r="D25839" s="2"/>
    </row>
    <row r="25840" spans="1:4" ht="12.75" customHeight="1" x14ac:dyDescent="0.2">
      <c r="B25840" s="2"/>
      <c r="C25840" s="15"/>
      <c r="D25840" s="2"/>
    </row>
    <row r="25841" spans="1:4" ht="12.75" customHeight="1" x14ac:dyDescent="0.2">
      <c r="A25841" s="13" t="s">
        <v>6861</v>
      </c>
      <c r="C25841" s="12"/>
    </row>
    <row r="25842" spans="1:4" ht="12.75" customHeight="1" x14ac:dyDescent="0.2">
      <c r="A25842" s="11"/>
      <c r="B25842" s="2"/>
      <c r="C25842" s="15"/>
      <c r="D25842" s="2"/>
    </row>
    <row r="25843" spans="1:4" ht="12.75" customHeight="1" x14ac:dyDescent="0.2">
      <c r="B25843" s="11" t="s">
        <v>0</v>
      </c>
      <c r="C25843" s="11" t="s">
        <v>1412</v>
      </c>
    </row>
    <row r="25844" spans="1:4" ht="12.75" customHeight="1" x14ac:dyDescent="0.2">
      <c r="B25844" s="11" t="s">
        <v>2599</v>
      </c>
      <c r="C25844" s="11" t="s">
        <v>6862</v>
      </c>
    </row>
    <row r="25845" spans="1:4" ht="25.5" customHeight="1" x14ac:dyDescent="0.2">
      <c r="B25845" s="11" t="s">
        <v>2600</v>
      </c>
      <c r="C25845" s="11" t="s">
        <v>6863</v>
      </c>
    </row>
    <row r="25846" spans="1:4" ht="25.5" customHeight="1" x14ac:dyDescent="0.2">
      <c r="B25846" s="11" t="s">
        <v>2601</v>
      </c>
      <c r="C25846" s="11"/>
    </row>
    <row r="25847" spans="1:4" ht="12.75" customHeight="1" x14ac:dyDescent="0.2">
      <c r="B25847" s="11" t="s">
        <v>16</v>
      </c>
      <c r="C25847" s="11"/>
    </row>
    <row r="25848" spans="1:4" ht="12.75" customHeight="1" x14ac:dyDescent="0.2">
      <c r="B25848" s="11" t="s">
        <v>13</v>
      </c>
      <c r="C25848" s="11" t="s">
        <v>2602</v>
      </c>
    </row>
    <row r="25849" spans="1:4" ht="12.75" customHeight="1" x14ac:dyDescent="0.2">
      <c r="B25849" s="11" t="s">
        <v>2603</v>
      </c>
      <c r="C25849" s="11" t="s">
        <v>2604</v>
      </c>
    </row>
    <row r="25850" spans="1:4" ht="12.75" customHeight="1" x14ac:dyDescent="0.2">
      <c r="B25850" s="11" t="s">
        <v>2605</v>
      </c>
      <c r="C25850" s="11" t="s">
        <v>24</v>
      </c>
    </row>
    <row r="25851" spans="1:4" ht="12.75" customHeight="1" x14ac:dyDescent="0.2">
      <c r="B25851" s="11" t="s">
        <v>2606</v>
      </c>
      <c r="C25851" s="16" t="s">
        <v>56</v>
      </c>
      <c r="D25851" s="6" t="str">
        <f>HYPERLINK("javascript:void(0)","regnum")</f>
        <v>regnum</v>
      </c>
    </row>
    <row r="25852" spans="1:4" ht="12.75" customHeight="1" x14ac:dyDescent="0.2">
      <c r="B25852" s="2"/>
      <c r="C25852" s="15"/>
      <c r="D25852" s="2"/>
    </row>
    <row r="25853" spans="1:4" ht="12.75" customHeight="1" x14ac:dyDescent="0.2">
      <c r="B25853" s="2"/>
      <c r="C25853" s="15"/>
      <c r="D25853" s="2"/>
    </row>
    <row r="25854" spans="1:4" ht="12.75" customHeight="1" x14ac:dyDescent="0.2">
      <c r="A25854" s="13" t="s">
        <v>6864</v>
      </c>
      <c r="C25854" s="12"/>
    </row>
    <row r="25855" spans="1:4" ht="12.75" customHeight="1" x14ac:dyDescent="0.2">
      <c r="A25855" s="11"/>
      <c r="B25855" s="2"/>
      <c r="C25855" s="15"/>
      <c r="D25855" s="2"/>
    </row>
    <row r="25856" spans="1:4" ht="12.75" customHeight="1" x14ac:dyDescent="0.2">
      <c r="B25856" s="11" t="s">
        <v>0</v>
      </c>
      <c r="C25856" s="11" t="s">
        <v>1412</v>
      </c>
    </row>
    <row r="25857" spans="1:4" ht="12.75" customHeight="1" x14ac:dyDescent="0.2">
      <c r="B25857" s="11" t="s">
        <v>2599</v>
      </c>
      <c r="C25857" s="11" t="s">
        <v>6865</v>
      </c>
    </row>
    <row r="25858" spans="1:4" ht="25.5" customHeight="1" x14ac:dyDescent="0.2">
      <c r="B25858" s="11" t="s">
        <v>2600</v>
      </c>
      <c r="C25858" s="11" t="s">
        <v>6866</v>
      </c>
    </row>
    <row r="25859" spans="1:4" ht="25.5" customHeight="1" x14ac:dyDescent="0.2">
      <c r="B25859" s="11" t="s">
        <v>2601</v>
      </c>
      <c r="C25859" s="11"/>
    </row>
    <row r="25860" spans="1:4" ht="12.75" customHeight="1" x14ac:dyDescent="0.2">
      <c r="B25860" s="11" t="s">
        <v>16</v>
      </c>
      <c r="C25860" s="11"/>
    </row>
    <row r="25861" spans="1:4" ht="12.75" customHeight="1" x14ac:dyDescent="0.2">
      <c r="B25861" s="11" t="s">
        <v>13</v>
      </c>
      <c r="C25861" s="11" t="s">
        <v>2644</v>
      </c>
    </row>
    <row r="25862" spans="1:4" ht="12.75" customHeight="1" x14ac:dyDescent="0.2">
      <c r="B25862" s="11" t="s">
        <v>2603</v>
      </c>
      <c r="C25862" s="11" t="s">
        <v>2604</v>
      </c>
    </row>
    <row r="25863" spans="1:4" ht="12.75" customHeight="1" x14ac:dyDescent="0.2">
      <c r="B25863" s="11" t="s">
        <v>2605</v>
      </c>
      <c r="C25863" s="11" t="s">
        <v>24</v>
      </c>
    </row>
    <row r="25864" spans="1:4" ht="12.75" customHeight="1" x14ac:dyDescent="0.2">
      <c r="B25864" s="11" t="s">
        <v>2606</v>
      </c>
      <c r="C25864" s="16" t="s">
        <v>56</v>
      </c>
      <c r="D25864" s="6" t="str">
        <f>HYPERLINK("javascript:void(0)","mütyür")</f>
        <v>mütyür</v>
      </c>
    </row>
    <row r="25865" spans="1:4" ht="25.5" customHeight="1" x14ac:dyDescent="0.2">
      <c r="C25865" s="16" t="s">
        <v>44</v>
      </c>
      <c r="D25865" s="6" t="str">
        <f>HYPERLINK("javascript:void(0)","idegen szerkentyű")</f>
        <v>idegen szerkentyű</v>
      </c>
    </row>
    <row r="25866" spans="1:4" ht="12.75" customHeight="1" x14ac:dyDescent="0.2">
      <c r="B25866" s="2"/>
      <c r="C25866" s="15"/>
      <c r="D25866" s="2"/>
    </row>
    <row r="25867" spans="1:4" ht="12.75" customHeight="1" x14ac:dyDescent="0.2">
      <c r="B25867" s="2"/>
      <c r="C25867" s="15"/>
      <c r="D25867" s="2"/>
    </row>
    <row r="25868" spans="1:4" ht="12.75" customHeight="1" x14ac:dyDescent="0.2">
      <c r="A25868" s="13" t="s">
        <v>6867</v>
      </c>
      <c r="C25868" s="12"/>
    </row>
    <row r="25869" spans="1:4" ht="12.75" customHeight="1" x14ac:dyDescent="0.2">
      <c r="A25869" s="11"/>
      <c r="B25869" s="2"/>
      <c r="C25869" s="15"/>
      <c r="D25869" s="2"/>
    </row>
    <row r="25870" spans="1:4" ht="12.75" customHeight="1" x14ac:dyDescent="0.2">
      <c r="B25870" s="11" t="s">
        <v>0</v>
      </c>
      <c r="C25870" s="11" t="s">
        <v>1412</v>
      </c>
    </row>
    <row r="25871" spans="1:4" ht="12.75" customHeight="1" x14ac:dyDescent="0.2">
      <c r="B25871" s="11" t="s">
        <v>2599</v>
      </c>
      <c r="C25871" s="11" t="s">
        <v>6868</v>
      </c>
    </row>
    <row r="25872" spans="1:4" ht="25.5" customHeight="1" x14ac:dyDescent="0.2">
      <c r="B25872" s="11" t="s">
        <v>2600</v>
      </c>
      <c r="C25872" s="11" t="s">
        <v>6869</v>
      </c>
    </row>
    <row r="25873" spans="1:4" ht="25.5" customHeight="1" x14ac:dyDescent="0.2">
      <c r="B25873" s="11" t="s">
        <v>2601</v>
      </c>
      <c r="C25873" s="11"/>
    </row>
    <row r="25874" spans="1:4" ht="12.75" customHeight="1" x14ac:dyDescent="0.2">
      <c r="B25874" s="11" t="s">
        <v>16</v>
      </c>
      <c r="C25874" s="11"/>
    </row>
    <row r="25875" spans="1:4" ht="12.75" customHeight="1" x14ac:dyDescent="0.2">
      <c r="B25875" s="11" t="s">
        <v>13</v>
      </c>
      <c r="C25875" s="11" t="s">
        <v>2602</v>
      </c>
    </row>
    <row r="25876" spans="1:4" ht="12.75" customHeight="1" x14ac:dyDescent="0.2">
      <c r="B25876" s="11" t="s">
        <v>2603</v>
      </c>
      <c r="C25876" s="11" t="s">
        <v>2604</v>
      </c>
    </row>
    <row r="25877" spans="1:4" ht="12.75" customHeight="1" x14ac:dyDescent="0.2">
      <c r="B25877" s="11" t="s">
        <v>2605</v>
      </c>
      <c r="C25877" s="11" t="s">
        <v>24</v>
      </c>
    </row>
    <row r="25878" spans="1:4" ht="12.75" customHeight="1" x14ac:dyDescent="0.2">
      <c r="B25878" s="11" t="s">
        <v>2606</v>
      </c>
      <c r="C25878" s="16" t="s">
        <v>44</v>
      </c>
      <c r="D25878" s="6" t="str">
        <f>HYPERLINK("javascript:void(0)","lándzsa")</f>
        <v>lándzsa</v>
      </c>
    </row>
    <row r="25879" spans="1:4" ht="12.75" customHeight="1" x14ac:dyDescent="0.2">
      <c r="B25879" s="2"/>
      <c r="C25879" s="15"/>
      <c r="D25879" s="2"/>
    </row>
    <row r="25880" spans="1:4" ht="12.75" customHeight="1" x14ac:dyDescent="0.2">
      <c r="B25880" s="2"/>
      <c r="C25880" s="15"/>
      <c r="D25880" s="2"/>
    </row>
    <row r="25881" spans="1:4" ht="12.75" customHeight="1" x14ac:dyDescent="0.2">
      <c r="A25881" s="13" t="s">
        <v>6870</v>
      </c>
      <c r="C25881" s="12"/>
    </row>
    <row r="25882" spans="1:4" ht="12.75" customHeight="1" x14ac:dyDescent="0.2">
      <c r="A25882" s="11"/>
      <c r="B25882" s="2"/>
      <c r="C25882" s="15"/>
      <c r="D25882" s="2"/>
    </row>
    <row r="25883" spans="1:4" ht="12.75" customHeight="1" x14ac:dyDescent="0.2">
      <c r="B25883" s="11" t="s">
        <v>0</v>
      </c>
      <c r="C25883" s="11" t="s">
        <v>1412</v>
      </c>
    </row>
    <row r="25884" spans="1:4" ht="12.75" customHeight="1" x14ac:dyDescent="0.2">
      <c r="B25884" s="11" t="s">
        <v>2599</v>
      </c>
      <c r="C25884" s="11" t="s">
        <v>281</v>
      </c>
    </row>
    <row r="25885" spans="1:4" ht="25.5" customHeight="1" x14ac:dyDescent="0.2">
      <c r="B25885" s="11" t="s">
        <v>2600</v>
      </c>
      <c r="C25885" s="11" t="s">
        <v>6871</v>
      </c>
    </row>
    <row r="25886" spans="1:4" ht="25.5" customHeight="1" x14ac:dyDescent="0.2">
      <c r="B25886" s="11" t="s">
        <v>2601</v>
      </c>
      <c r="C25886" s="11"/>
    </row>
    <row r="25887" spans="1:4" ht="12.75" customHeight="1" x14ac:dyDescent="0.2">
      <c r="B25887" s="11" t="s">
        <v>16</v>
      </c>
      <c r="C25887" s="11"/>
    </row>
    <row r="25888" spans="1:4" ht="12.75" customHeight="1" x14ac:dyDescent="0.2">
      <c r="B25888" s="11" t="s">
        <v>13</v>
      </c>
      <c r="C25888" s="11" t="s">
        <v>2644</v>
      </c>
    </row>
    <row r="25889" spans="1:4" ht="12.75" customHeight="1" x14ac:dyDescent="0.2">
      <c r="B25889" s="11" t="s">
        <v>2603</v>
      </c>
      <c r="C25889" s="11" t="s">
        <v>2604</v>
      </c>
    </row>
    <row r="25890" spans="1:4" ht="12.75" customHeight="1" x14ac:dyDescent="0.2">
      <c r="B25890" s="11" t="s">
        <v>2605</v>
      </c>
      <c r="C25890" s="11" t="s">
        <v>24</v>
      </c>
    </row>
    <row r="25891" spans="1:4" ht="12.75" customHeight="1" x14ac:dyDescent="0.2">
      <c r="B25891" s="11" t="s">
        <v>2606</v>
      </c>
      <c r="C25891" s="16" t="s">
        <v>44</v>
      </c>
      <c r="D25891" s="6" t="str">
        <f>HYPERLINK("javascript:void(0)","ellenige")</f>
        <v>ellenige</v>
      </c>
    </row>
    <row r="25892" spans="1:4" ht="12.75" customHeight="1" x14ac:dyDescent="0.2">
      <c r="B25892" s="2"/>
      <c r="C25892" s="15"/>
      <c r="D25892" s="2"/>
    </row>
    <row r="25893" spans="1:4" ht="12.75" customHeight="1" x14ac:dyDescent="0.2">
      <c r="B25893" s="2"/>
      <c r="C25893" s="15"/>
      <c r="D25893" s="2"/>
    </row>
    <row r="25894" spans="1:4" ht="12.75" customHeight="1" x14ac:dyDescent="0.2">
      <c r="A25894" s="13" t="s">
        <v>6772</v>
      </c>
      <c r="C25894" s="12"/>
      <c r="D25894" s="2"/>
    </row>
    <row r="25895" spans="1:4" ht="12.75" customHeight="1" x14ac:dyDescent="0.2">
      <c r="A25895" s="11"/>
      <c r="B25895" s="2"/>
      <c r="C25895" s="15"/>
      <c r="D25895" s="2"/>
    </row>
    <row r="25896" spans="1:4" ht="12.75" customHeight="1" x14ac:dyDescent="0.2">
      <c r="B25896" s="11" t="s">
        <v>0</v>
      </c>
      <c r="C25896" s="17" t="s">
        <v>1412</v>
      </c>
      <c r="D25896" s="2"/>
    </row>
    <row r="25897" spans="1:4" ht="12.75" customHeight="1" x14ac:dyDescent="0.2">
      <c r="B25897" s="11" t="s">
        <v>2599</v>
      </c>
      <c r="C25897" s="17" t="s">
        <v>6773</v>
      </c>
      <c r="D25897" s="2"/>
    </row>
    <row r="25898" spans="1:4" ht="25.5" customHeight="1" x14ac:dyDescent="0.2">
      <c r="B25898" s="11" t="s">
        <v>2600</v>
      </c>
      <c r="C25898" s="17" t="s">
        <v>6872</v>
      </c>
      <c r="D25898" s="2"/>
    </row>
    <row r="25899" spans="1:4" ht="25.5" customHeight="1" x14ac:dyDescent="0.2">
      <c r="B25899" s="11" t="s">
        <v>2601</v>
      </c>
      <c r="C25899" s="17"/>
      <c r="D25899" s="2"/>
    </row>
    <row r="25900" spans="1:4" ht="12.75" customHeight="1" x14ac:dyDescent="0.2">
      <c r="B25900" s="11" t="s">
        <v>16</v>
      </c>
      <c r="C25900" s="17"/>
      <c r="D25900" s="2"/>
    </row>
    <row r="25901" spans="1:4" ht="12.75" customHeight="1" x14ac:dyDescent="0.2">
      <c r="B25901" s="11" t="s">
        <v>13</v>
      </c>
      <c r="C25901" s="17" t="s">
        <v>2602</v>
      </c>
      <c r="D25901" s="2"/>
    </row>
    <row r="25902" spans="1:4" ht="12.75" customHeight="1" x14ac:dyDescent="0.2">
      <c r="B25902" s="11" t="s">
        <v>2603</v>
      </c>
      <c r="C25902" s="17" t="s">
        <v>128</v>
      </c>
      <c r="D25902" s="2"/>
    </row>
    <row r="25903" spans="1:4" ht="12.75" customHeight="1" x14ac:dyDescent="0.2">
      <c r="B25903" s="11" t="s">
        <v>2605</v>
      </c>
      <c r="C25903" s="17" t="s">
        <v>14</v>
      </c>
      <c r="D25903" s="2"/>
    </row>
    <row r="25904" spans="1:4" ht="12.75" customHeight="1" x14ac:dyDescent="0.2">
      <c r="B25904" s="11" t="s">
        <v>2606</v>
      </c>
      <c r="C25904" s="16" t="s">
        <v>19</v>
      </c>
      <c r="D25904" s="2"/>
    </row>
    <row r="25905" spans="1:4" ht="12.75" customHeight="1" x14ac:dyDescent="0.2">
      <c r="B25905" s="2"/>
      <c r="C25905" s="15"/>
      <c r="D25905" s="2"/>
    </row>
    <row r="25906" spans="1:4" ht="12.75" customHeight="1" x14ac:dyDescent="0.2">
      <c r="B25906" s="2"/>
      <c r="C25906" s="15"/>
      <c r="D25906" s="2"/>
    </row>
    <row r="25907" spans="1:4" ht="12.75" customHeight="1" x14ac:dyDescent="0.2">
      <c r="A25907" s="13" t="s">
        <v>6775</v>
      </c>
      <c r="C25907" s="12"/>
      <c r="D25907" s="2"/>
    </row>
    <row r="25908" spans="1:4" ht="12.75" customHeight="1" x14ac:dyDescent="0.2">
      <c r="A25908" s="11"/>
      <c r="B25908" s="2"/>
      <c r="C25908" s="15"/>
      <c r="D25908" s="2"/>
    </row>
    <row r="25909" spans="1:4" ht="12.75" customHeight="1" x14ac:dyDescent="0.2">
      <c r="B25909" s="11" t="s">
        <v>0</v>
      </c>
      <c r="C25909" s="17" t="s">
        <v>1412</v>
      </c>
      <c r="D25909" s="2"/>
    </row>
    <row r="25910" spans="1:4" ht="12.75" customHeight="1" x14ac:dyDescent="0.2">
      <c r="B25910" s="11" t="s">
        <v>2599</v>
      </c>
      <c r="C25910" s="17" t="s">
        <v>6776</v>
      </c>
      <c r="D25910" s="2"/>
    </row>
    <row r="25911" spans="1:4" ht="25.5" customHeight="1" x14ac:dyDescent="0.2">
      <c r="B25911" s="11" t="s">
        <v>2600</v>
      </c>
      <c r="C25911" s="17" t="s">
        <v>6873</v>
      </c>
      <c r="D25911" s="2"/>
    </row>
    <row r="25912" spans="1:4" ht="25.5" customHeight="1" x14ac:dyDescent="0.2">
      <c r="B25912" s="11" t="s">
        <v>2601</v>
      </c>
      <c r="C25912" s="17"/>
      <c r="D25912" s="2"/>
    </row>
    <row r="25913" spans="1:4" ht="12.75" customHeight="1" x14ac:dyDescent="0.2">
      <c r="B25913" s="11" t="s">
        <v>16</v>
      </c>
      <c r="C25913" s="17"/>
      <c r="D25913" s="2"/>
    </row>
    <row r="25914" spans="1:4" ht="12.75" customHeight="1" x14ac:dyDescent="0.2">
      <c r="B25914" s="11" t="s">
        <v>13</v>
      </c>
      <c r="C25914" s="17" t="s">
        <v>2644</v>
      </c>
      <c r="D25914" s="2"/>
    </row>
    <row r="25915" spans="1:4" ht="12.75" customHeight="1" x14ac:dyDescent="0.2">
      <c r="B25915" s="11" t="s">
        <v>2603</v>
      </c>
      <c r="C25915" s="17" t="s">
        <v>128</v>
      </c>
      <c r="D25915" s="2"/>
    </row>
    <row r="25916" spans="1:4" ht="12.75" customHeight="1" x14ac:dyDescent="0.2">
      <c r="B25916" s="11" t="s">
        <v>2605</v>
      </c>
      <c r="C25916" s="17" t="s">
        <v>14</v>
      </c>
      <c r="D25916" s="2"/>
    </row>
    <row r="25917" spans="1:4" ht="12.75" customHeight="1" x14ac:dyDescent="0.2">
      <c r="B25917" s="11" t="s">
        <v>2606</v>
      </c>
      <c r="C25917" s="16" t="s">
        <v>19</v>
      </c>
      <c r="D25917" s="2"/>
    </row>
    <row r="25918" spans="1:4" ht="12.75" customHeight="1" x14ac:dyDescent="0.2">
      <c r="B25918" s="2"/>
      <c r="C25918" s="15"/>
      <c r="D25918" s="2"/>
    </row>
    <row r="25919" spans="1:4" ht="12.75" customHeight="1" x14ac:dyDescent="0.2">
      <c r="B25919" s="2"/>
      <c r="C25919" s="15"/>
      <c r="D25919" s="2"/>
    </row>
    <row r="25920" spans="1:4" ht="12.75" customHeight="1" x14ac:dyDescent="0.2">
      <c r="A25920" s="13" t="s">
        <v>6874</v>
      </c>
      <c r="C25920" s="12"/>
    </row>
    <row r="25921" spans="1:4" ht="12.75" customHeight="1" x14ac:dyDescent="0.2">
      <c r="A25921" s="11"/>
      <c r="B25921" s="2"/>
      <c r="C25921" s="15"/>
      <c r="D25921" s="2"/>
    </row>
    <row r="25922" spans="1:4" ht="12.75" customHeight="1" x14ac:dyDescent="0.2">
      <c r="B25922" s="11" t="s">
        <v>0</v>
      </c>
      <c r="C25922" s="11" t="s">
        <v>267</v>
      </c>
    </row>
    <row r="25923" spans="1:4" ht="12.75" customHeight="1" x14ac:dyDescent="0.2">
      <c r="B25923" s="11" t="s">
        <v>2599</v>
      </c>
      <c r="C25923" s="11" t="s">
        <v>6875</v>
      </c>
    </row>
    <row r="25924" spans="1:4" ht="25.5" customHeight="1" x14ac:dyDescent="0.2">
      <c r="B25924" s="11" t="s">
        <v>2600</v>
      </c>
      <c r="C25924" s="11" t="s">
        <v>6876</v>
      </c>
    </row>
    <row r="25925" spans="1:4" ht="25.5" customHeight="1" x14ac:dyDescent="0.2">
      <c r="B25925" s="11" t="s">
        <v>2601</v>
      </c>
      <c r="C25925" s="11"/>
    </row>
    <row r="25926" spans="1:4" ht="12.75" customHeight="1" x14ac:dyDescent="0.2">
      <c r="B25926" s="11" t="s">
        <v>16</v>
      </c>
      <c r="C25926" s="11"/>
    </row>
    <row r="25927" spans="1:4" ht="12.75" customHeight="1" x14ac:dyDescent="0.2">
      <c r="B25927" s="11" t="s">
        <v>13</v>
      </c>
      <c r="C25927" s="11" t="s">
        <v>2602</v>
      </c>
    </row>
    <row r="25928" spans="1:4" ht="12.75" customHeight="1" x14ac:dyDescent="0.2">
      <c r="B25928" s="11" t="s">
        <v>2603</v>
      </c>
      <c r="C25928" s="11" t="s">
        <v>2604</v>
      </c>
    </row>
    <row r="25929" spans="1:4" ht="12.75" customHeight="1" x14ac:dyDescent="0.2">
      <c r="B25929" s="11" t="s">
        <v>2605</v>
      </c>
      <c r="C25929" s="11" t="s">
        <v>14</v>
      </c>
    </row>
    <row r="25930" spans="1:4" ht="12.75" customHeight="1" x14ac:dyDescent="0.2">
      <c r="B25930" s="11" t="s">
        <v>2606</v>
      </c>
      <c r="C25930" s="16" t="s">
        <v>55</v>
      </c>
      <c r="D25930" s="6" t="str">
        <f>HYPERLINK("javascript:void(0)","hangjegy")</f>
        <v>hangjegy</v>
      </c>
    </row>
    <row r="25931" spans="1:4" ht="12.75" customHeight="1" x14ac:dyDescent="0.2">
      <c r="C25931" s="16" t="s">
        <v>56</v>
      </c>
      <c r="D25931" s="6" t="str">
        <f>HYPERLINK("javascript:void(0)","hangfogó")</f>
        <v>hangfogó</v>
      </c>
    </row>
    <row r="25932" spans="1:4" ht="12.75" customHeight="1" x14ac:dyDescent="0.2">
      <c r="B25932" s="2"/>
      <c r="C25932" s="15"/>
      <c r="D25932" s="2"/>
    </row>
    <row r="25933" spans="1:4" ht="12.75" customHeight="1" x14ac:dyDescent="0.2">
      <c r="B25933" s="2"/>
      <c r="C25933" s="15"/>
      <c r="D25933" s="2"/>
    </row>
    <row r="25934" spans="1:4" ht="12.75" customHeight="1" x14ac:dyDescent="0.2">
      <c r="A25934" s="13" t="s">
        <v>6877</v>
      </c>
      <c r="C25934" s="12"/>
    </row>
    <row r="25935" spans="1:4" ht="12.75" customHeight="1" x14ac:dyDescent="0.2">
      <c r="A25935" s="11"/>
      <c r="B25935" s="2"/>
      <c r="C25935" s="15"/>
      <c r="D25935" s="2"/>
    </row>
    <row r="25936" spans="1:4" ht="12.75" customHeight="1" x14ac:dyDescent="0.2">
      <c r="B25936" s="11" t="s">
        <v>0</v>
      </c>
      <c r="C25936" s="11" t="s">
        <v>267</v>
      </c>
    </row>
    <row r="25937" spans="1:4" ht="12.75" customHeight="1" x14ac:dyDescent="0.2">
      <c r="B25937" s="11" t="s">
        <v>2599</v>
      </c>
      <c r="C25937" s="11" t="s">
        <v>6878</v>
      </c>
    </row>
    <row r="25938" spans="1:4" ht="25.5" customHeight="1" x14ac:dyDescent="0.2">
      <c r="B25938" s="11" t="s">
        <v>2600</v>
      </c>
      <c r="C25938" s="11" t="s">
        <v>6879</v>
      </c>
    </row>
    <row r="25939" spans="1:4" ht="25.5" customHeight="1" x14ac:dyDescent="0.2">
      <c r="B25939" s="11" t="s">
        <v>2601</v>
      </c>
      <c r="C25939" s="11"/>
    </row>
    <row r="25940" spans="1:4" ht="12.75" customHeight="1" x14ac:dyDescent="0.2">
      <c r="B25940" s="11" t="s">
        <v>16</v>
      </c>
      <c r="C25940" s="11"/>
    </row>
    <row r="25941" spans="1:4" ht="12.75" customHeight="1" x14ac:dyDescent="0.2">
      <c r="B25941" s="11" t="s">
        <v>13</v>
      </c>
      <c r="C25941" s="11" t="s">
        <v>2644</v>
      </c>
    </row>
    <row r="25942" spans="1:4" ht="12.75" customHeight="1" x14ac:dyDescent="0.2">
      <c r="B25942" s="11" t="s">
        <v>2603</v>
      </c>
      <c r="C25942" s="11" t="s">
        <v>2604</v>
      </c>
    </row>
    <row r="25943" spans="1:4" ht="12.75" customHeight="1" x14ac:dyDescent="0.2">
      <c r="B25943" s="11" t="s">
        <v>2605</v>
      </c>
      <c r="C25943" s="11" t="s">
        <v>14</v>
      </c>
    </row>
    <row r="25944" spans="1:4" ht="25.5" customHeight="1" x14ac:dyDescent="0.2">
      <c r="B25944" s="11" t="s">
        <v>2606</v>
      </c>
      <c r="C25944" s="16" t="s">
        <v>44</v>
      </c>
      <c r="D25944" s="6" t="str">
        <f>HYPERLINK("javascript:void(0)","kihunyt glória")</f>
        <v>kihunyt glória</v>
      </c>
    </row>
    <row r="25945" spans="1:4" ht="25.5" customHeight="1" x14ac:dyDescent="0.2">
      <c r="C25945" s="16" t="s">
        <v>44</v>
      </c>
      <c r="D25945" s="6" t="str">
        <f>HYPERLINK("javascript:void(0)","sötét kereszt")</f>
        <v>sötét kereszt</v>
      </c>
    </row>
    <row r="25946" spans="1:4" ht="12.75" customHeight="1" x14ac:dyDescent="0.2">
      <c r="B25946" s="2"/>
      <c r="C25946" s="15"/>
      <c r="D25946" s="2"/>
    </row>
    <row r="25947" spans="1:4" ht="12.75" customHeight="1" x14ac:dyDescent="0.2">
      <c r="B25947" s="2"/>
      <c r="C25947" s="15"/>
      <c r="D25947" s="2"/>
    </row>
    <row r="25948" spans="1:4" ht="12.75" customHeight="1" x14ac:dyDescent="0.2">
      <c r="A25948" s="13" t="s">
        <v>6880</v>
      </c>
      <c r="C25948" s="12"/>
    </row>
    <row r="25949" spans="1:4" ht="12.75" customHeight="1" x14ac:dyDescent="0.2">
      <c r="A25949" s="11"/>
      <c r="B25949" s="2"/>
      <c r="C25949" s="15"/>
      <c r="D25949" s="2"/>
    </row>
    <row r="25950" spans="1:4" ht="12.75" customHeight="1" x14ac:dyDescent="0.2">
      <c r="B25950" s="11" t="s">
        <v>0</v>
      </c>
      <c r="C25950" s="11" t="s">
        <v>267</v>
      </c>
    </row>
    <row r="25951" spans="1:4" ht="12.75" customHeight="1" x14ac:dyDescent="0.2">
      <c r="B25951" s="11" t="s">
        <v>2599</v>
      </c>
      <c r="C25951" s="11" t="s">
        <v>6868</v>
      </c>
    </row>
    <row r="25952" spans="1:4" ht="25.5" customHeight="1" x14ac:dyDescent="0.2">
      <c r="B25952" s="11" t="s">
        <v>2600</v>
      </c>
      <c r="C25952" s="11" t="s">
        <v>6881</v>
      </c>
    </row>
    <row r="25953" spans="1:4" ht="25.5" customHeight="1" x14ac:dyDescent="0.2">
      <c r="B25953" s="11" t="s">
        <v>2601</v>
      </c>
      <c r="C25953" s="11"/>
    </row>
    <row r="25954" spans="1:4" ht="12.75" customHeight="1" x14ac:dyDescent="0.2">
      <c r="B25954" s="11" t="s">
        <v>16</v>
      </c>
      <c r="C25954" s="11"/>
    </row>
    <row r="25955" spans="1:4" ht="12.75" customHeight="1" x14ac:dyDescent="0.2">
      <c r="B25955" s="11" t="s">
        <v>13</v>
      </c>
      <c r="C25955" s="11" t="s">
        <v>2602</v>
      </c>
    </row>
    <row r="25956" spans="1:4" ht="12.75" customHeight="1" x14ac:dyDescent="0.2">
      <c r="B25956" s="11" t="s">
        <v>2603</v>
      </c>
      <c r="C25956" s="11" t="s">
        <v>2604</v>
      </c>
    </row>
    <row r="25957" spans="1:4" ht="12.75" customHeight="1" x14ac:dyDescent="0.2">
      <c r="B25957" s="11" t="s">
        <v>2605</v>
      </c>
      <c r="C25957" s="11" t="s">
        <v>14</v>
      </c>
    </row>
    <row r="25958" spans="1:4" ht="12.75" customHeight="1" x14ac:dyDescent="0.2">
      <c r="B25958" s="11" t="s">
        <v>2606</v>
      </c>
      <c r="C25958" s="16" t="s">
        <v>44</v>
      </c>
      <c r="D25958" s="6" t="str">
        <f>HYPERLINK("javascript:void(0)","átokige")</f>
        <v>átokige</v>
      </c>
    </row>
    <row r="25959" spans="1:4" ht="25.5" customHeight="1" x14ac:dyDescent="0.2">
      <c r="C25959" s="16" t="s">
        <v>44</v>
      </c>
      <c r="D25959" s="6" t="str">
        <f>HYPERLINK("javascript:void(0)","átokhordozó")</f>
        <v>átokhordozó</v>
      </c>
    </row>
    <row r="25960" spans="1:4" ht="25.5" customHeight="1" x14ac:dyDescent="0.2">
      <c r="C25960" s="16" t="s">
        <v>44</v>
      </c>
      <c r="D25960" s="6" t="str">
        <f>HYPERLINK("javascript:void(0)","kommunikációképt")</f>
        <v>kommunikációképt</v>
      </c>
    </row>
    <row r="25961" spans="1:4" ht="12.75" customHeight="1" x14ac:dyDescent="0.2">
      <c r="B25961" s="2"/>
      <c r="C25961" s="15"/>
      <c r="D25961" s="2"/>
    </row>
    <row r="25962" spans="1:4" ht="12.75" customHeight="1" x14ac:dyDescent="0.2">
      <c r="B25962" s="2"/>
      <c r="C25962" s="15"/>
      <c r="D25962" s="2"/>
    </row>
    <row r="25963" spans="1:4" ht="12.75" customHeight="1" x14ac:dyDescent="0.2">
      <c r="A25963" s="13" t="s">
        <v>6882</v>
      </c>
      <c r="C25963" s="12"/>
    </row>
    <row r="25964" spans="1:4" ht="12.75" customHeight="1" x14ac:dyDescent="0.2">
      <c r="A25964" s="11"/>
      <c r="B25964" s="2"/>
      <c r="C25964" s="15"/>
      <c r="D25964" s="2"/>
    </row>
    <row r="25965" spans="1:4" ht="12.75" customHeight="1" x14ac:dyDescent="0.2">
      <c r="B25965" s="11" t="s">
        <v>0</v>
      </c>
      <c r="C25965" s="11" t="s">
        <v>267</v>
      </c>
    </row>
    <row r="25966" spans="1:4" ht="12.75" customHeight="1" x14ac:dyDescent="0.2">
      <c r="B25966" s="11" t="s">
        <v>2599</v>
      </c>
      <c r="C25966" s="11" t="s">
        <v>618</v>
      </c>
    </row>
    <row r="25967" spans="1:4" ht="25.5" customHeight="1" x14ac:dyDescent="0.2">
      <c r="B25967" s="11" t="s">
        <v>2600</v>
      </c>
      <c r="C25967" s="11" t="s">
        <v>6883</v>
      </c>
    </row>
    <row r="25968" spans="1:4" ht="25.5" customHeight="1" x14ac:dyDescent="0.2">
      <c r="B25968" s="11" t="s">
        <v>2601</v>
      </c>
      <c r="C25968" s="11"/>
    </row>
    <row r="25969" spans="1:4" ht="12.75" customHeight="1" x14ac:dyDescent="0.2">
      <c r="B25969" s="11" t="s">
        <v>16</v>
      </c>
      <c r="C25969" s="11"/>
    </row>
    <row r="25970" spans="1:4" ht="12.75" customHeight="1" x14ac:dyDescent="0.2">
      <c r="B25970" s="11" t="s">
        <v>13</v>
      </c>
      <c r="C25970" s="11" t="s">
        <v>2644</v>
      </c>
    </row>
    <row r="25971" spans="1:4" ht="12.75" customHeight="1" x14ac:dyDescent="0.2">
      <c r="B25971" s="11" t="s">
        <v>2603</v>
      </c>
      <c r="C25971" s="11" t="s">
        <v>2604</v>
      </c>
    </row>
    <row r="25972" spans="1:4" ht="12.75" customHeight="1" x14ac:dyDescent="0.2">
      <c r="B25972" s="11" t="s">
        <v>2605</v>
      </c>
      <c r="C25972" s="11" t="s">
        <v>24</v>
      </c>
    </row>
    <row r="25973" spans="1:4" ht="25.5" customHeight="1" x14ac:dyDescent="0.2">
      <c r="B25973" s="11" t="s">
        <v>2606</v>
      </c>
      <c r="C25973" s="16" t="s">
        <v>44</v>
      </c>
      <c r="D25973" s="6" t="str">
        <f>HYPERLINK("javascript:void(0)","pengeszálka")</f>
        <v>pengeszálka</v>
      </c>
    </row>
    <row r="25974" spans="1:4" ht="12.75" customHeight="1" x14ac:dyDescent="0.2">
      <c r="B25974" s="2"/>
      <c r="C25974" s="15"/>
      <c r="D25974" s="2"/>
    </row>
    <row r="25975" spans="1:4" ht="12.75" customHeight="1" x14ac:dyDescent="0.2">
      <c r="B25975" s="2"/>
      <c r="C25975" s="15"/>
      <c r="D25975" s="2"/>
    </row>
    <row r="25976" spans="1:4" ht="12.75" customHeight="1" x14ac:dyDescent="0.2">
      <c r="A25976" s="13" t="s">
        <v>6884</v>
      </c>
      <c r="C25976" s="12"/>
    </row>
    <row r="25977" spans="1:4" ht="12.75" customHeight="1" x14ac:dyDescent="0.2">
      <c r="A25977" s="11"/>
      <c r="B25977" s="2"/>
      <c r="C25977" s="15"/>
      <c r="D25977" s="2"/>
    </row>
    <row r="25978" spans="1:4" ht="12.75" customHeight="1" x14ac:dyDescent="0.2">
      <c r="B25978" s="11" t="s">
        <v>0</v>
      </c>
      <c r="C25978" s="11" t="s">
        <v>267</v>
      </c>
    </row>
    <row r="25979" spans="1:4" ht="12.75" customHeight="1" x14ac:dyDescent="0.2">
      <c r="B25979" s="11" t="s">
        <v>2599</v>
      </c>
      <c r="C25979" s="11" t="s">
        <v>6885</v>
      </c>
    </row>
    <row r="25980" spans="1:4" ht="25.5" customHeight="1" x14ac:dyDescent="0.2">
      <c r="B25980" s="11" t="s">
        <v>2600</v>
      </c>
      <c r="C25980" s="11" t="s">
        <v>6886</v>
      </c>
    </row>
    <row r="25981" spans="1:4" ht="25.5" customHeight="1" x14ac:dyDescent="0.2">
      <c r="B25981" s="11" t="s">
        <v>2601</v>
      </c>
      <c r="C25981" s="11"/>
    </row>
    <row r="25982" spans="1:4" ht="12.75" customHeight="1" x14ac:dyDescent="0.2">
      <c r="B25982" s="11" t="s">
        <v>16</v>
      </c>
      <c r="C25982" s="11"/>
    </row>
    <row r="25983" spans="1:4" ht="12.75" customHeight="1" x14ac:dyDescent="0.2">
      <c r="B25983" s="11" t="s">
        <v>13</v>
      </c>
      <c r="C25983" s="11" t="s">
        <v>2602</v>
      </c>
    </row>
    <row r="25984" spans="1:4" ht="12.75" customHeight="1" x14ac:dyDescent="0.2">
      <c r="B25984" s="11" t="s">
        <v>2603</v>
      </c>
      <c r="C25984" s="11" t="s">
        <v>2604</v>
      </c>
    </row>
    <row r="25985" spans="1:4" ht="12.75" customHeight="1" x14ac:dyDescent="0.2">
      <c r="B25985" s="11" t="s">
        <v>2605</v>
      </c>
      <c r="C25985" s="11" t="s">
        <v>24</v>
      </c>
    </row>
    <row r="25986" spans="1:4" ht="12.75" customHeight="1" x14ac:dyDescent="0.2">
      <c r="B25986" s="11" t="s">
        <v>2606</v>
      </c>
      <c r="C25986" s="16" t="s">
        <v>44</v>
      </c>
      <c r="D25986" s="6" t="str">
        <f>HYPERLINK("javascript:void(0)","lámpás")</f>
        <v>lámpás</v>
      </c>
    </row>
    <row r="25987" spans="1:4" ht="12.75" customHeight="1" x14ac:dyDescent="0.2">
      <c r="C25987" s="16" t="s">
        <v>44</v>
      </c>
      <c r="D25987" s="6" t="str">
        <f>HYPERLINK("javascript:void(0)","fiola")</f>
        <v>fiola</v>
      </c>
    </row>
    <row r="25988" spans="1:4" ht="12.75" customHeight="1" x14ac:dyDescent="0.2">
      <c r="C25988" s="16" t="s">
        <v>44</v>
      </c>
      <c r="D25988" s="6" t="str">
        <f>HYPERLINK("javascript:void(0)","kívánság")</f>
        <v>kívánság</v>
      </c>
    </row>
    <row r="25989" spans="1:4" ht="12.75" customHeight="1" x14ac:dyDescent="0.2">
      <c r="B25989" s="2"/>
      <c r="C25989" s="15"/>
      <c r="D25989" s="2"/>
    </row>
    <row r="25990" spans="1:4" ht="12.75" customHeight="1" x14ac:dyDescent="0.2">
      <c r="B25990" s="2"/>
      <c r="C25990" s="15"/>
      <c r="D25990" s="2"/>
    </row>
    <row r="25991" spans="1:4" ht="12.75" customHeight="1" x14ac:dyDescent="0.2">
      <c r="A25991" s="13" t="s">
        <v>6887</v>
      </c>
      <c r="C25991" s="12"/>
    </row>
    <row r="25992" spans="1:4" ht="12.75" customHeight="1" x14ac:dyDescent="0.2">
      <c r="A25992" s="11"/>
      <c r="B25992" s="2"/>
      <c r="C25992" s="15"/>
      <c r="D25992" s="2"/>
    </row>
    <row r="25993" spans="1:4" ht="12.75" customHeight="1" x14ac:dyDescent="0.2">
      <c r="B25993" s="11" t="s">
        <v>0</v>
      </c>
      <c r="C25993" s="11" t="s">
        <v>267</v>
      </c>
    </row>
    <row r="25994" spans="1:4" ht="12.75" customHeight="1" x14ac:dyDescent="0.2">
      <c r="B25994" s="11" t="s">
        <v>2599</v>
      </c>
      <c r="C25994" s="11" t="s">
        <v>6862</v>
      </c>
    </row>
    <row r="25995" spans="1:4" ht="25.5" customHeight="1" x14ac:dyDescent="0.2">
      <c r="B25995" s="11" t="s">
        <v>2600</v>
      </c>
      <c r="C25995" s="11" t="s">
        <v>6888</v>
      </c>
    </row>
    <row r="25996" spans="1:4" ht="25.5" customHeight="1" x14ac:dyDescent="0.2">
      <c r="B25996" s="11" t="s">
        <v>2601</v>
      </c>
      <c r="C25996" s="11"/>
    </row>
    <row r="25997" spans="1:4" ht="12.75" customHeight="1" x14ac:dyDescent="0.2">
      <c r="B25997" s="11" t="s">
        <v>16</v>
      </c>
      <c r="C25997" s="11"/>
    </row>
    <row r="25998" spans="1:4" ht="12.75" customHeight="1" x14ac:dyDescent="0.2">
      <c r="B25998" s="11" t="s">
        <v>13</v>
      </c>
      <c r="C25998" s="11" t="s">
        <v>2644</v>
      </c>
    </row>
    <row r="25999" spans="1:4" ht="12.75" customHeight="1" x14ac:dyDescent="0.2">
      <c r="B25999" s="11" t="s">
        <v>2603</v>
      </c>
      <c r="C25999" s="11" t="s">
        <v>2604</v>
      </c>
    </row>
    <row r="26000" spans="1:4" ht="12.75" customHeight="1" x14ac:dyDescent="0.2">
      <c r="B26000" s="11" t="s">
        <v>2605</v>
      </c>
      <c r="C26000" s="11" t="s">
        <v>24</v>
      </c>
    </row>
    <row r="26001" spans="1:4" ht="25.5" customHeight="1" x14ac:dyDescent="0.2">
      <c r="B26001" s="11" t="s">
        <v>2606</v>
      </c>
      <c r="C26001" s="16" t="s">
        <v>44</v>
      </c>
      <c r="D26001" s="6" t="str">
        <f>HYPERLINK("javascript:void(0)","elit-őr lándzsa")</f>
        <v>elit-őr lándzsa</v>
      </c>
    </row>
    <row r="26002" spans="1:4" ht="12.75" customHeight="1" x14ac:dyDescent="0.2">
      <c r="C26002" s="16" t="s">
        <v>44</v>
      </c>
      <c r="D26002" s="6" t="str">
        <f>HYPERLINK("javascript:void(0)","rangjel")</f>
        <v>rangjel</v>
      </c>
    </row>
    <row r="26003" spans="1:4" ht="12.75" customHeight="1" x14ac:dyDescent="0.2">
      <c r="B26003" s="2"/>
      <c r="C26003" s="15"/>
      <c r="D26003" s="2"/>
    </row>
    <row r="26004" spans="1:4" ht="12.75" customHeight="1" x14ac:dyDescent="0.2">
      <c r="B26004" s="2"/>
      <c r="C26004" s="15"/>
      <c r="D26004" s="2"/>
    </row>
    <row r="26005" spans="1:4" ht="12.75" customHeight="1" x14ac:dyDescent="0.2">
      <c r="A26005" s="13" t="s">
        <v>6889</v>
      </c>
      <c r="C26005" s="12"/>
    </row>
    <row r="26006" spans="1:4" ht="12.75" customHeight="1" x14ac:dyDescent="0.2">
      <c r="A26006" s="11"/>
      <c r="B26006" s="2"/>
      <c r="C26006" s="15"/>
      <c r="D26006" s="2"/>
    </row>
    <row r="26007" spans="1:4" ht="12.75" customHeight="1" x14ac:dyDescent="0.2">
      <c r="B26007" s="11" t="s">
        <v>0</v>
      </c>
      <c r="C26007" s="11" t="s">
        <v>267</v>
      </c>
    </row>
    <row r="26008" spans="1:4" ht="12.75" customHeight="1" x14ac:dyDescent="0.2">
      <c r="B26008" s="11" t="s">
        <v>2599</v>
      </c>
      <c r="C26008" s="11" t="s">
        <v>1933</v>
      </c>
    </row>
    <row r="26009" spans="1:4" ht="25.5" customHeight="1" x14ac:dyDescent="0.2">
      <c r="B26009" s="11" t="s">
        <v>2600</v>
      </c>
      <c r="C26009" s="11" t="s">
        <v>6890</v>
      </c>
    </row>
    <row r="26010" spans="1:4" ht="25.5" customHeight="1" x14ac:dyDescent="0.2">
      <c r="B26010" s="11" t="s">
        <v>2601</v>
      </c>
      <c r="C26010" s="11"/>
    </row>
    <row r="26011" spans="1:4" ht="12.75" customHeight="1" x14ac:dyDescent="0.2">
      <c r="B26011" s="11" t="s">
        <v>16</v>
      </c>
      <c r="C26011" s="11"/>
    </row>
    <row r="26012" spans="1:4" ht="12.75" customHeight="1" x14ac:dyDescent="0.2">
      <c r="B26012" s="11" t="s">
        <v>13</v>
      </c>
      <c r="C26012" s="11" t="s">
        <v>2602</v>
      </c>
    </row>
    <row r="26013" spans="1:4" ht="12.75" customHeight="1" x14ac:dyDescent="0.2">
      <c r="B26013" s="11" t="s">
        <v>2603</v>
      </c>
      <c r="C26013" s="11" t="s">
        <v>2604</v>
      </c>
    </row>
    <row r="26014" spans="1:4" ht="12.75" customHeight="1" x14ac:dyDescent="0.2">
      <c r="B26014" s="11" t="s">
        <v>2605</v>
      </c>
      <c r="C26014" s="11" t="s">
        <v>14</v>
      </c>
    </row>
    <row r="26015" spans="1:4" ht="12.75" customHeight="1" x14ac:dyDescent="0.2">
      <c r="B26015" s="11" t="s">
        <v>2606</v>
      </c>
      <c r="C26015" s="16" t="s">
        <v>55</v>
      </c>
      <c r="D26015" s="6" t="str">
        <f>HYPERLINK("javascript:void(0)","ellenige")</f>
        <v>ellenige</v>
      </c>
    </row>
    <row r="26016" spans="1:4" ht="12.75" customHeight="1" x14ac:dyDescent="0.2">
      <c r="B26016" s="2"/>
      <c r="C26016" s="15"/>
      <c r="D26016" s="2"/>
    </row>
    <row r="26017" spans="1:4" ht="12.75" customHeight="1" x14ac:dyDescent="0.2">
      <c r="B26017" s="2"/>
      <c r="C26017" s="15"/>
      <c r="D26017" s="2"/>
    </row>
    <row r="26018" spans="1:4" ht="12.75" customHeight="1" x14ac:dyDescent="0.2">
      <c r="A26018" s="13" t="s">
        <v>6891</v>
      </c>
      <c r="C26018" s="12"/>
    </row>
    <row r="26019" spans="1:4" ht="12.75" customHeight="1" x14ac:dyDescent="0.2">
      <c r="A26019" s="11"/>
      <c r="B26019" s="2"/>
      <c r="C26019" s="15"/>
      <c r="D26019" s="2"/>
    </row>
    <row r="26020" spans="1:4" ht="12.75" customHeight="1" x14ac:dyDescent="0.2">
      <c r="B26020" s="11" t="s">
        <v>0</v>
      </c>
      <c r="C26020" s="11" t="s">
        <v>267</v>
      </c>
    </row>
    <row r="26021" spans="1:4" ht="12.75" customHeight="1" x14ac:dyDescent="0.2">
      <c r="B26021" s="11" t="s">
        <v>2599</v>
      </c>
      <c r="C26021" s="11" t="s">
        <v>6892</v>
      </c>
    </row>
    <row r="26022" spans="1:4" ht="25.5" customHeight="1" x14ac:dyDescent="0.2">
      <c r="B26022" s="11" t="s">
        <v>2600</v>
      </c>
      <c r="C26022" s="11" t="s">
        <v>6893</v>
      </c>
    </row>
    <row r="26023" spans="1:4" ht="25.5" customHeight="1" x14ac:dyDescent="0.2">
      <c r="B26023" s="11" t="s">
        <v>2601</v>
      </c>
      <c r="C26023" s="11"/>
    </row>
    <row r="26024" spans="1:4" ht="12.75" customHeight="1" x14ac:dyDescent="0.2">
      <c r="B26024" s="11" t="s">
        <v>16</v>
      </c>
      <c r="C26024" s="11"/>
    </row>
    <row r="26025" spans="1:4" ht="12.75" customHeight="1" x14ac:dyDescent="0.2">
      <c r="B26025" s="11" t="s">
        <v>13</v>
      </c>
      <c r="C26025" s="11" t="s">
        <v>2644</v>
      </c>
    </row>
    <row r="26026" spans="1:4" ht="12.75" customHeight="1" x14ac:dyDescent="0.2">
      <c r="B26026" s="11" t="s">
        <v>2603</v>
      </c>
      <c r="C26026" s="11" t="s">
        <v>2604</v>
      </c>
    </row>
    <row r="26027" spans="1:4" ht="12.75" customHeight="1" x14ac:dyDescent="0.2">
      <c r="B26027" s="11" t="s">
        <v>2605</v>
      </c>
      <c r="C26027" s="11" t="s">
        <v>24</v>
      </c>
    </row>
    <row r="26028" spans="1:4" ht="12.75" customHeight="1" x14ac:dyDescent="0.2">
      <c r="B26028" s="11" t="s">
        <v>2606</v>
      </c>
      <c r="C26028" s="16" t="s">
        <v>106</v>
      </c>
      <c r="D26028" s="6" t="str">
        <f>HYPERLINK("javascript:void(0)","kaja")</f>
        <v>kaja</v>
      </c>
    </row>
    <row r="26029" spans="1:4" ht="12.75" customHeight="1" x14ac:dyDescent="0.2">
      <c r="C26029" s="16" t="s">
        <v>232</v>
      </c>
      <c r="D26029" s="6" t="str">
        <f>HYPERLINK("javascript:void(0)","dínófog")</f>
        <v>dínófog</v>
      </c>
    </row>
    <row r="26030" spans="1:4" ht="12.75" customHeight="1" x14ac:dyDescent="0.2">
      <c r="C26030" s="16" t="s">
        <v>44</v>
      </c>
      <c r="D26030" s="6" t="str">
        <f>HYPERLINK("javascript:void(0)","darunyak")</f>
        <v>darunyak</v>
      </c>
    </row>
    <row r="26031" spans="1:4" ht="12.75" customHeight="1" x14ac:dyDescent="0.2">
      <c r="B26031" s="2"/>
      <c r="C26031" s="15"/>
      <c r="D26031" s="2"/>
    </row>
    <row r="26032" spans="1:4" ht="12.75" customHeight="1" x14ac:dyDescent="0.2">
      <c r="B26032" s="2"/>
      <c r="C26032" s="15"/>
      <c r="D26032" s="2"/>
    </row>
    <row r="26033" spans="1:4" ht="12.75" customHeight="1" x14ac:dyDescent="0.2">
      <c r="A26033" s="13" t="s">
        <v>6894</v>
      </c>
      <c r="C26033" s="12"/>
      <c r="D26033" s="2"/>
    </row>
    <row r="26034" spans="1:4" ht="12.75" customHeight="1" x14ac:dyDescent="0.2">
      <c r="A26034" s="11"/>
      <c r="B26034" s="2"/>
      <c r="C26034" s="15"/>
      <c r="D26034" s="2"/>
    </row>
    <row r="26035" spans="1:4" ht="12.75" customHeight="1" x14ac:dyDescent="0.2">
      <c r="B26035" s="11" t="s">
        <v>0</v>
      </c>
      <c r="C26035" s="17" t="s">
        <v>267</v>
      </c>
      <c r="D26035" s="2"/>
    </row>
    <row r="26036" spans="1:4" ht="12.75" customHeight="1" x14ac:dyDescent="0.2">
      <c r="B26036" s="11" t="s">
        <v>2599</v>
      </c>
      <c r="C26036" s="17" t="s">
        <v>6895</v>
      </c>
      <c r="D26036" s="2"/>
    </row>
    <row r="26037" spans="1:4" ht="25.5" customHeight="1" x14ac:dyDescent="0.2">
      <c r="B26037" s="11" t="s">
        <v>2600</v>
      </c>
      <c r="C26037" s="17" t="s">
        <v>6896</v>
      </c>
      <c r="D26037" s="2"/>
    </row>
    <row r="26038" spans="1:4" ht="25.5" customHeight="1" x14ac:dyDescent="0.2">
      <c r="B26038" s="11" t="s">
        <v>2601</v>
      </c>
      <c r="C26038" s="17"/>
      <c r="D26038" s="2"/>
    </row>
    <row r="26039" spans="1:4" ht="12.75" customHeight="1" x14ac:dyDescent="0.2">
      <c r="B26039" s="11" t="s">
        <v>16</v>
      </c>
      <c r="C26039" s="17"/>
      <c r="D26039" s="2"/>
    </row>
    <row r="26040" spans="1:4" ht="12.75" customHeight="1" x14ac:dyDescent="0.2">
      <c r="B26040" s="11" t="s">
        <v>13</v>
      </c>
      <c r="C26040" s="17" t="s">
        <v>2602</v>
      </c>
      <c r="D26040" s="2"/>
    </row>
    <row r="26041" spans="1:4" ht="12.75" customHeight="1" x14ac:dyDescent="0.2">
      <c r="B26041" s="11" t="s">
        <v>2603</v>
      </c>
      <c r="C26041" s="17" t="s">
        <v>128</v>
      </c>
      <c r="D26041" s="2"/>
    </row>
    <row r="26042" spans="1:4" ht="12.75" customHeight="1" x14ac:dyDescent="0.2">
      <c r="B26042" s="11" t="s">
        <v>2605</v>
      </c>
      <c r="C26042" s="17" t="s">
        <v>14</v>
      </c>
      <c r="D26042" s="2"/>
    </row>
    <row r="26043" spans="1:4" ht="12.75" customHeight="1" x14ac:dyDescent="0.2">
      <c r="B26043" s="11" t="s">
        <v>2606</v>
      </c>
      <c r="C26043" s="16" t="s">
        <v>19</v>
      </c>
      <c r="D26043" s="2"/>
    </row>
    <row r="26044" spans="1:4" ht="12.75" customHeight="1" x14ac:dyDescent="0.2">
      <c r="B26044" s="2"/>
      <c r="C26044" s="15"/>
      <c r="D26044" s="2"/>
    </row>
    <row r="26045" spans="1:4" ht="12.75" customHeight="1" x14ac:dyDescent="0.2">
      <c r="B26045" s="2"/>
      <c r="C26045" s="15"/>
      <c r="D26045" s="2"/>
    </row>
    <row r="26046" spans="1:4" ht="12.75" customHeight="1" x14ac:dyDescent="0.2">
      <c r="A26046" s="13" t="s">
        <v>6897</v>
      </c>
      <c r="C26046" s="12"/>
      <c r="D26046" s="2"/>
    </row>
    <row r="26047" spans="1:4" ht="12.75" customHeight="1" x14ac:dyDescent="0.2">
      <c r="A26047" s="11"/>
      <c r="B26047" s="2"/>
      <c r="C26047" s="15"/>
      <c r="D26047" s="2"/>
    </row>
    <row r="26048" spans="1:4" ht="12.75" customHeight="1" x14ac:dyDescent="0.2">
      <c r="B26048" s="11" t="s">
        <v>0</v>
      </c>
      <c r="C26048" s="17" t="s">
        <v>267</v>
      </c>
      <c r="D26048" s="2"/>
    </row>
    <row r="26049" spans="2:4" ht="12.75" customHeight="1" x14ac:dyDescent="0.2">
      <c r="B26049" s="11" t="s">
        <v>2599</v>
      </c>
      <c r="C26049" s="17" t="s">
        <v>6898</v>
      </c>
      <c r="D26049" s="2"/>
    </row>
    <row r="26050" spans="2:4" ht="25.5" customHeight="1" x14ac:dyDescent="0.2">
      <c r="B26050" s="11" t="s">
        <v>2600</v>
      </c>
      <c r="C26050" s="17" t="s">
        <v>6899</v>
      </c>
      <c r="D26050" s="2"/>
    </row>
    <row r="26051" spans="2:4" ht="25.5" customHeight="1" x14ac:dyDescent="0.2">
      <c r="B26051" s="11" t="s">
        <v>2601</v>
      </c>
      <c r="C26051" s="17"/>
      <c r="D26051" s="2"/>
    </row>
    <row r="26052" spans="2:4" ht="12.75" customHeight="1" x14ac:dyDescent="0.2">
      <c r="B26052" s="11" t="s">
        <v>16</v>
      </c>
      <c r="C26052" s="17"/>
      <c r="D26052" s="2"/>
    </row>
    <row r="26053" spans="2:4" ht="12.75" customHeight="1" x14ac:dyDescent="0.2">
      <c r="B26053" s="11" t="s">
        <v>13</v>
      </c>
      <c r="C26053" s="17" t="s">
        <v>2644</v>
      </c>
      <c r="D26053" s="2"/>
    </row>
    <row r="26054" spans="2:4" ht="12.75" customHeight="1" x14ac:dyDescent="0.2">
      <c r="B26054" s="11" t="s">
        <v>2603</v>
      </c>
      <c r="C26054" s="17" t="s">
        <v>128</v>
      </c>
      <c r="D26054" s="2"/>
    </row>
    <row r="26055" spans="2:4" ht="12.75" customHeight="1" x14ac:dyDescent="0.2">
      <c r="B26055" s="11" t="s">
        <v>2605</v>
      </c>
      <c r="C26055" s="17" t="s">
        <v>14</v>
      </c>
      <c r="D26055" s="2"/>
    </row>
    <row r="26056" spans="2:4" ht="12.75" customHeight="1" x14ac:dyDescent="0.2">
      <c r="B26056" s="11" t="s">
        <v>2606</v>
      </c>
      <c r="C26056" s="16" t="s">
        <v>19</v>
      </c>
      <c r="D26056" s="2"/>
    </row>
    <row r="26057" spans="2:4" ht="12.75" customHeight="1" x14ac:dyDescent="0.2">
      <c r="B26057" s="2"/>
      <c r="C26057" s="15"/>
      <c r="D2605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688"/>
  <sheetViews>
    <sheetView workbookViewId="0">
      <pane ySplit="1" topLeftCell="A55" activePane="bottomLeft" state="frozen"/>
      <selection pane="bottomLeft" activeCell="D55" sqref="D55"/>
    </sheetView>
  </sheetViews>
  <sheetFormatPr defaultColWidth="14.42578125" defaultRowHeight="15" customHeight="1" x14ac:dyDescent="0.2"/>
  <cols>
    <col min="1" max="1" width="22.28515625" customWidth="1"/>
    <col min="2" max="2" width="12.85546875" customWidth="1"/>
    <col min="3" max="3" width="13.28515625" customWidth="1"/>
    <col min="4" max="4" width="23.42578125" customWidth="1"/>
    <col min="5" max="5" width="4.7109375" customWidth="1"/>
    <col min="6" max="6" width="6" customWidth="1"/>
    <col min="7" max="7" width="8.5703125" customWidth="1"/>
    <col min="8" max="8" width="7.85546875" customWidth="1"/>
    <col min="9" max="9" width="9" customWidth="1"/>
    <col min="10" max="10" width="4.140625" customWidth="1"/>
    <col min="11" max="11" width="7.42578125" customWidth="1"/>
    <col min="12" max="12" width="4.140625" customWidth="1"/>
    <col min="13" max="13" width="9.140625" customWidth="1"/>
    <col min="14" max="14" width="4.140625" customWidth="1"/>
    <col min="15" max="18" width="9.140625" customWidth="1"/>
    <col min="19" max="26" width="8" customWidth="1"/>
  </cols>
  <sheetData>
    <row r="1" spans="1:18" ht="12.75" customHeight="1" x14ac:dyDescent="0.2">
      <c r="A1" s="7" t="s">
        <v>2431</v>
      </c>
      <c r="B1" s="7" t="s">
        <v>0</v>
      </c>
      <c r="C1" s="7" t="s">
        <v>2</v>
      </c>
      <c r="D1" s="7" t="s">
        <v>1840</v>
      </c>
      <c r="E1" s="7" t="s">
        <v>9</v>
      </c>
      <c r="F1" s="7" t="s">
        <v>11</v>
      </c>
      <c r="G1" s="7" t="s">
        <v>16</v>
      </c>
      <c r="H1" s="7" t="s">
        <v>17</v>
      </c>
      <c r="I1" s="7" t="s">
        <v>2432</v>
      </c>
      <c r="J1" s="7" t="s">
        <v>2433</v>
      </c>
      <c r="K1" s="7" t="s">
        <v>2434</v>
      </c>
      <c r="L1" s="7" t="s">
        <v>2433</v>
      </c>
      <c r="M1" s="7" t="s">
        <v>2435</v>
      </c>
      <c r="N1" s="7" t="s">
        <v>2433</v>
      </c>
      <c r="O1" s="7"/>
      <c r="P1" s="7"/>
      <c r="Q1" s="7"/>
      <c r="R1" s="7"/>
    </row>
    <row r="2" spans="1:18" ht="12.75" customHeight="1" x14ac:dyDescent="0.2">
      <c r="A2" s="7" t="s">
        <v>2436</v>
      </c>
      <c r="B2" s="8">
        <v>1</v>
      </c>
      <c r="C2" s="8" t="s">
        <v>2322</v>
      </c>
      <c r="D2" s="8">
        <v>20</v>
      </c>
      <c r="E2" s="9">
        <v>3</v>
      </c>
      <c r="F2" s="10">
        <v>25000</v>
      </c>
      <c r="G2" s="10" t="s">
        <v>19</v>
      </c>
      <c r="H2" s="10" t="s">
        <v>19</v>
      </c>
      <c r="I2" s="10" t="s">
        <v>19</v>
      </c>
      <c r="J2" s="10" t="s">
        <v>19</v>
      </c>
      <c r="K2" s="10" t="s">
        <v>19</v>
      </c>
      <c r="L2" s="10" t="s">
        <v>19</v>
      </c>
      <c r="M2" s="10" t="s">
        <v>19</v>
      </c>
      <c r="N2" s="10" t="s">
        <v>19</v>
      </c>
      <c r="O2" s="7"/>
      <c r="P2" s="7"/>
      <c r="Q2" s="7"/>
      <c r="R2" s="7"/>
    </row>
    <row r="3" spans="1:18" ht="12.75" customHeight="1" x14ac:dyDescent="0.2">
      <c r="A3" s="7" t="s">
        <v>2438</v>
      </c>
      <c r="B3" s="7">
        <v>1</v>
      </c>
      <c r="C3" s="8" t="s">
        <v>2322</v>
      </c>
      <c r="D3" s="7">
        <v>0</v>
      </c>
      <c r="E3" s="7">
        <v>0.2</v>
      </c>
      <c r="F3" s="7">
        <v>3</v>
      </c>
      <c r="G3" s="10" t="s">
        <v>19</v>
      </c>
      <c r="H3" s="10" t="s">
        <v>19</v>
      </c>
      <c r="I3" s="10" t="s">
        <v>19</v>
      </c>
      <c r="J3" s="10" t="s">
        <v>19</v>
      </c>
      <c r="K3" s="10" t="s">
        <v>19</v>
      </c>
      <c r="L3" s="10" t="s">
        <v>19</v>
      </c>
      <c r="M3" s="10" t="s">
        <v>19</v>
      </c>
      <c r="N3" s="10" t="s">
        <v>19</v>
      </c>
      <c r="O3" s="7"/>
      <c r="P3" s="7"/>
      <c r="Q3" s="7"/>
      <c r="R3" s="7"/>
    </row>
    <row r="4" spans="1:18" ht="12.75" customHeight="1" x14ac:dyDescent="0.2">
      <c r="A4" s="7" t="s">
        <v>2439</v>
      </c>
      <c r="B4" s="7">
        <v>3</v>
      </c>
      <c r="C4" s="8" t="s">
        <v>2322</v>
      </c>
      <c r="D4" s="7">
        <v>3</v>
      </c>
      <c r="E4" s="7">
        <v>7</v>
      </c>
      <c r="F4" s="7">
        <v>28</v>
      </c>
      <c r="G4" s="10" t="s">
        <v>19</v>
      </c>
      <c r="H4" s="10" t="s">
        <v>19</v>
      </c>
      <c r="I4" s="10" t="s">
        <v>19</v>
      </c>
      <c r="J4" s="10" t="s">
        <v>19</v>
      </c>
      <c r="K4" s="10" t="s">
        <v>19</v>
      </c>
      <c r="L4" s="10" t="s">
        <v>19</v>
      </c>
      <c r="M4" s="10" t="s">
        <v>19</v>
      </c>
      <c r="N4" s="10" t="s">
        <v>19</v>
      </c>
      <c r="O4" s="7"/>
      <c r="P4" s="7"/>
      <c r="Q4" s="7"/>
      <c r="R4" s="7"/>
    </row>
    <row r="5" spans="1:18" ht="12.75" customHeight="1" x14ac:dyDescent="0.2">
      <c r="A5" s="7" t="s">
        <v>2440</v>
      </c>
      <c r="B5" s="7">
        <v>5</v>
      </c>
      <c r="C5" s="8" t="s">
        <v>2322</v>
      </c>
      <c r="D5" s="7">
        <v>5</v>
      </c>
      <c r="E5" s="7">
        <v>10</v>
      </c>
      <c r="F5" s="7">
        <v>55</v>
      </c>
      <c r="G5" s="10" t="s">
        <v>19</v>
      </c>
      <c r="H5" s="10" t="s">
        <v>19</v>
      </c>
      <c r="I5" s="10" t="s">
        <v>19</v>
      </c>
      <c r="J5" s="10" t="s">
        <v>19</v>
      </c>
      <c r="K5" s="10" t="s">
        <v>19</v>
      </c>
      <c r="L5" s="10" t="s">
        <v>19</v>
      </c>
      <c r="M5" s="10" t="s">
        <v>19</v>
      </c>
      <c r="N5" s="10" t="s">
        <v>19</v>
      </c>
      <c r="O5" s="7"/>
      <c r="P5" s="7"/>
      <c r="Q5" s="7"/>
      <c r="R5" s="7"/>
    </row>
    <row r="6" spans="1:18" ht="12.75" customHeight="1" x14ac:dyDescent="0.2">
      <c r="A6" s="7" t="s">
        <v>2441</v>
      </c>
      <c r="B6" s="7">
        <v>7</v>
      </c>
      <c r="C6" s="8" t="s">
        <v>2322</v>
      </c>
      <c r="D6" s="7">
        <v>8</v>
      </c>
      <c r="E6" s="7">
        <v>6</v>
      </c>
      <c r="F6" s="7">
        <v>72</v>
      </c>
      <c r="G6" s="10" t="s">
        <v>19</v>
      </c>
      <c r="H6" s="10" t="s">
        <v>19</v>
      </c>
      <c r="I6" s="10" t="s">
        <v>19</v>
      </c>
      <c r="J6" s="10" t="s">
        <v>19</v>
      </c>
      <c r="K6" s="10" t="s">
        <v>19</v>
      </c>
      <c r="L6" s="10" t="s">
        <v>19</v>
      </c>
      <c r="M6" s="10" t="s">
        <v>19</v>
      </c>
      <c r="N6" s="10" t="s">
        <v>19</v>
      </c>
      <c r="O6" s="7"/>
      <c r="P6" s="7"/>
      <c r="Q6" s="7"/>
      <c r="R6" s="7"/>
    </row>
    <row r="7" spans="1:18" ht="12.75" customHeight="1" x14ac:dyDescent="0.2">
      <c r="A7" s="7" t="s">
        <v>2442</v>
      </c>
      <c r="B7" s="7">
        <v>10</v>
      </c>
      <c r="C7" s="8" t="s">
        <v>2322</v>
      </c>
      <c r="D7" s="7">
        <v>12</v>
      </c>
      <c r="E7" s="7">
        <v>3</v>
      </c>
      <c r="F7" s="7">
        <v>140</v>
      </c>
      <c r="G7" s="10" t="s">
        <v>19</v>
      </c>
      <c r="H7" s="10" t="s">
        <v>19</v>
      </c>
      <c r="I7" s="7" t="s">
        <v>2443</v>
      </c>
      <c r="J7" s="7">
        <v>6</v>
      </c>
      <c r="K7" s="7" t="s">
        <v>2444</v>
      </c>
      <c r="L7" s="7">
        <v>2</v>
      </c>
      <c r="M7" s="7" t="s">
        <v>2438</v>
      </c>
      <c r="N7" s="7">
        <v>1</v>
      </c>
      <c r="O7" s="7"/>
      <c r="P7" s="7"/>
      <c r="Q7" s="7"/>
      <c r="R7" s="7"/>
    </row>
    <row r="8" spans="1:18" ht="12.75" customHeight="1" x14ac:dyDescent="0.2">
      <c r="A8" s="7" t="s">
        <v>2445</v>
      </c>
      <c r="B8" s="7">
        <v>13</v>
      </c>
      <c r="C8" s="8" t="s">
        <v>2322</v>
      </c>
      <c r="D8" s="7">
        <v>14</v>
      </c>
      <c r="E8" s="7">
        <v>11</v>
      </c>
      <c r="F8" s="7">
        <v>268</v>
      </c>
      <c r="G8" s="10" t="s">
        <v>19</v>
      </c>
      <c r="H8" s="10" t="s">
        <v>19</v>
      </c>
      <c r="I8" s="7" t="s">
        <v>2446</v>
      </c>
      <c r="J8" s="7">
        <v>1</v>
      </c>
      <c r="K8" s="10" t="s">
        <v>2447</v>
      </c>
      <c r="L8" s="10">
        <v>10</v>
      </c>
      <c r="M8" s="7" t="s">
        <v>2448</v>
      </c>
      <c r="N8" s="7">
        <v>2</v>
      </c>
      <c r="O8" s="7"/>
      <c r="P8" s="7"/>
      <c r="Q8" s="7"/>
      <c r="R8" s="7"/>
    </row>
    <row r="9" spans="1:18" ht="12.75" customHeight="1" x14ac:dyDescent="0.2">
      <c r="A9" s="7" t="s">
        <v>2449</v>
      </c>
      <c r="B9" s="7">
        <v>16</v>
      </c>
      <c r="C9" s="8" t="s">
        <v>2322</v>
      </c>
      <c r="D9" s="7">
        <v>16</v>
      </c>
      <c r="E9" s="7">
        <v>2</v>
      </c>
      <c r="F9" s="7">
        <v>600</v>
      </c>
      <c r="G9" s="10" t="s">
        <v>19</v>
      </c>
      <c r="H9" s="10" t="s">
        <v>19</v>
      </c>
      <c r="I9" s="7" t="s">
        <v>2442</v>
      </c>
      <c r="J9" s="7">
        <v>1</v>
      </c>
      <c r="K9" s="7" t="s">
        <v>2450</v>
      </c>
      <c r="L9" s="7">
        <v>30</v>
      </c>
      <c r="M9" s="7" t="s">
        <v>2451</v>
      </c>
      <c r="N9" s="7">
        <v>1</v>
      </c>
      <c r="O9" s="7"/>
      <c r="P9" s="7"/>
      <c r="Q9" s="7"/>
      <c r="R9" s="7"/>
    </row>
    <row r="10" spans="1:18" ht="12.75" customHeight="1" x14ac:dyDescent="0.2">
      <c r="A10" s="7"/>
      <c r="B10" s="2"/>
      <c r="C10" s="2"/>
      <c r="D10" s="2"/>
      <c r="E10" s="7"/>
      <c r="F10" s="7"/>
      <c r="G10" s="9" t="s">
        <v>2322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2.75" customHeight="1" x14ac:dyDescent="0.2">
      <c r="A11" s="7"/>
      <c r="B11" s="2"/>
      <c r="C11" s="2"/>
      <c r="D11" s="2"/>
      <c r="E11" s="7"/>
      <c r="F11" s="7"/>
      <c r="G11" s="9" t="s">
        <v>2322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12.75" customHeight="1" x14ac:dyDescent="0.2">
      <c r="A12" s="2" t="s">
        <v>2452</v>
      </c>
      <c r="B12" s="7"/>
      <c r="C12" s="7"/>
      <c r="D12" s="7"/>
      <c r="E12" s="7"/>
      <c r="F12" s="7"/>
      <c r="G12" s="9" t="s">
        <v>2322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2.75" customHeight="1" x14ac:dyDescent="0.2">
      <c r="A13" s="7"/>
      <c r="B13" s="2"/>
      <c r="C13" s="2"/>
      <c r="D13" s="2"/>
      <c r="E13" s="7"/>
      <c r="F13" s="7"/>
      <c r="G13" s="9" t="s">
        <v>2322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12.75" customHeight="1" x14ac:dyDescent="0.2">
      <c r="A14" s="7"/>
      <c r="B14" s="2" t="s">
        <v>0</v>
      </c>
      <c r="C14" s="2" t="s">
        <v>90</v>
      </c>
      <c r="D14" s="2"/>
      <c r="E14" s="7"/>
      <c r="F14" s="7"/>
      <c r="G14" s="9" t="s">
        <v>2322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2.75" customHeight="1" x14ac:dyDescent="0.2">
      <c r="A15" s="7"/>
      <c r="B15" s="2" t="s">
        <v>2</v>
      </c>
      <c r="C15" s="2" t="s">
        <v>2322</v>
      </c>
      <c r="D15" s="2"/>
      <c r="E15" s="7"/>
      <c r="F15" s="7"/>
      <c r="G15" s="9" t="s">
        <v>2322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2.75" customHeight="1" x14ac:dyDescent="0.2">
      <c r="A16" s="7"/>
      <c r="B16" s="2" t="s">
        <v>1840</v>
      </c>
      <c r="C16" s="2" t="s">
        <v>92</v>
      </c>
      <c r="D16" s="2"/>
      <c r="E16" s="7"/>
      <c r="F16" s="7"/>
      <c r="G16" s="9" t="s">
        <v>2322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2.75" customHeight="1" x14ac:dyDescent="0.2">
      <c r="A17" s="7"/>
      <c r="B17" s="2" t="s">
        <v>9</v>
      </c>
      <c r="C17" s="2" t="s">
        <v>129</v>
      </c>
      <c r="D17" s="2"/>
      <c r="E17" s="7"/>
      <c r="F17" s="7"/>
      <c r="G17" s="9" t="s">
        <v>2322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12.75" customHeight="1" x14ac:dyDescent="0.2">
      <c r="A18" s="7"/>
      <c r="B18" s="2" t="s">
        <v>11</v>
      </c>
      <c r="C18" s="2" t="s">
        <v>2333</v>
      </c>
      <c r="D18" s="2"/>
      <c r="E18" s="7"/>
      <c r="F18" s="7"/>
      <c r="G18" s="9" t="s">
        <v>2322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2.75" customHeight="1" x14ac:dyDescent="0.2">
      <c r="A19" s="7"/>
      <c r="B19" s="2" t="s">
        <v>16</v>
      </c>
      <c r="C19" s="2"/>
      <c r="D19" s="2"/>
      <c r="E19" s="7"/>
      <c r="F19" s="7"/>
      <c r="G19" s="9" t="s">
        <v>2322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12.75" customHeight="1" x14ac:dyDescent="0.2">
      <c r="A20" s="7"/>
      <c r="B20" s="2" t="s">
        <v>17</v>
      </c>
      <c r="C20" s="2" t="s">
        <v>19</v>
      </c>
      <c r="D20" s="2"/>
      <c r="E20" s="7"/>
      <c r="F20" s="7"/>
      <c r="G20" s="9" t="s">
        <v>2322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2.75" customHeight="1" x14ac:dyDescent="0.2">
      <c r="A21" s="7"/>
      <c r="B21" s="2" t="s">
        <v>18</v>
      </c>
      <c r="C21" s="2" t="s">
        <v>55</v>
      </c>
      <c r="D21" s="2" t="str">
        <f>HYPERLINK("javascript:void(0)","láncsisak")</f>
        <v>láncsisak</v>
      </c>
      <c r="E21" s="7"/>
      <c r="F21" s="7"/>
      <c r="G21" s="9" t="s">
        <v>2322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2.75" customHeight="1" x14ac:dyDescent="0.2">
      <c r="A22" s="7"/>
      <c r="B22" s="2"/>
      <c r="C22" s="2" t="s">
        <v>57</v>
      </c>
      <c r="D22" s="2" t="str">
        <f>HYPERLINK("javascript:void(0)","arany")</f>
        <v>arany</v>
      </c>
      <c r="E22" s="7"/>
      <c r="F22" s="7"/>
      <c r="G22" s="9" t="s">
        <v>2322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2.75" customHeight="1" x14ac:dyDescent="0.2">
      <c r="A23" s="7"/>
      <c r="B23" s="2"/>
      <c r="C23" s="2" t="s">
        <v>77</v>
      </c>
      <c r="D23" s="2" t="str">
        <f>HYPERLINK("javascript:void(0)","patkányzsír")</f>
        <v>patkányzsír</v>
      </c>
      <c r="E23" s="7"/>
      <c r="F23" s="7"/>
      <c r="G23" s="9" t="s">
        <v>2322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12.75" customHeight="1" x14ac:dyDescent="0.2">
      <c r="A24" s="7"/>
      <c r="B24" s="2"/>
      <c r="C24" s="2"/>
      <c r="D24" s="2"/>
      <c r="E24" s="7"/>
      <c r="F24" s="7"/>
      <c r="G24" s="9" t="s">
        <v>2322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2.75" customHeight="1" x14ac:dyDescent="0.2">
      <c r="A25" s="7"/>
      <c r="B25" s="2"/>
      <c r="C25" s="2"/>
      <c r="D25" s="2"/>
      <c r="E25" s="7"/>
      <c r="F25" s="7"/>
      <c r="G25" s="9" t="s">
        <v>2322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2.75" customHeight="1" x14ac:dyDescent="0.2">
      <c r="A26" s="7"/>
      <c r="B26" s="2"/>
      <c r="C26" s="2"/>
      <c r="D26" s="2"/>
      <c r="E26" s="7"/>
      <c r="F26" s="7"/>
      <c r="G26" s="9" t="s">
        <v>2322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2.75" customHeight="1" x14ac:dyDescent="0.2">
      <c r="A27" s="7"/>
      <c r="B27" s="2"/>
      <c r="C27" s="2"/>
      <c r="D27" s="2"/>
      <c r="E27" s="7"/>
      <c r="F27" s="7"/>
      <c r="G27" s="9" t="s">
        <v>2322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2.75" customHeight="1" x14ac:dyDescent="0.2">
      <c r="A28" s="7"/>
      <c r="B28" s="2"/>
      <c r="C28" s="2"/>
      <c r="D28" s="2"/>
      <c r="E28" s="7"/>
      <c r="F28" s="7"/>
      <c r="G28" s="9" t="s">
        <v>2322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12.75" customHeight="1" x14ac:dyDescent="0.2">
      <c r="A29" s="2" t="s">
        <v>2456</v>
      </c>
      <c r="B29" s="7"/>
      <c r="C29" s="7"/>
      <c r="D29" s="2"/>
      <c r="E29" s="7"/>
      <c r="F29" s="7"/>
      <c r="G29" s="9" t="s">
        <v>2322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2.75" customHeight="1" x14ac:dyDescent="0.2">
      <c r="A30" s="7"/>
      <c r="B30" s="2"/>
      <c r="C30" s="2"/>
      <c r="D30" s="2"/>
      <c r="E30" s="7"/>
      <c r="F30" s="7"/>
      <c r="G30" s="9" t="s">
        <v>2322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2.75" customHeight="1" x14ac:dyDescent="0.2">
      <c r="A31" s="7"/>
      <c r="B31" s="2" t="s">
        <v>0</v>
      </c>
      <c r="C31" s="2" t="s">
        <v>90</v>
      </c>
      <c r="D31" s="2"/>
      <c r="E31" s="7"/>
      <c r="F31" s="7"/>
      <c r="G31" s="9" t="s">
        <v>2322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2.75" customHeight="1" x14ac:dyDescent="0.2">
      <c r="A32" s="7"/>
      <c r="B32" s="2" t="s">
        <v>2</v>
      </c>
      <c r="C32" s="2" t="s">
        <v>2322</v>
      </c>
      <c r="D32" s="2"/>
      <c r="E32" s="7"/>
      <c r="F32" s="7"/>
      <c r="G32" s="9" t="s">
        <v>2322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2.75" customHeight="1" x14ac:dyDescent="0.2">
      <c r="A33" s="7"/>
      <c r="B33" s="2" t="s">
        <v>1840</v>
      </c>
      <c r="C33" s="2" t="s">
        <v>100</v>
      </c>
      <c r="D33" s="2"/>
      <c r="E33" s="7"/>
      <c r="F33" s="7"/>
      <c r="G33" s="9" t="s">
        <v>2322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2.75" customHeight="1" x14ac:dyDescent="0.2">
      <c r="A34" s="7"/>
      <c r="B34" s="2" t="s">
        <v>9</v>
      </c>
      <c r="C34" s="2" t="s">
        <v>366</v>
      </c>
      <c r="D34" s="2"/>
      <c r="E34" s="7"/>
      <c r="F34" s="7"/>
      <c r="G34" s="9" t="s">
        <v>2322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2.75" customHeight="1" x14ac:dyDescent="0.2">
      <c r="A35" s="7"/>
      <c r="B35" s="2" t="s">
        <v>11</v>
      </c>
      <c r="C35" s="2" t="s">
        <v>2336</v>
      </c>
      <c r="D35" s="2"/>
      <c r="E35" s="7"/>
      <c r="F35" s="7"/>
      <c r="G35" s="9" t="s">
        <v>2322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2.75" customHeight="1" x14ac:dyDescent="0.2">
      <c r="A36" s="7"/>
      <c r="B36" s="2" t="s">
        <v>16</v>
      </c>
      <c r="C36" s="2"/>
      <c r="D36" s="2"/>
      <c r="E36" s="7"/>
      <c r="F36" s="7"/>
      <c r="G36" s="9" t="s">
        <v>2322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2.75" customHeight="1" x14ac:dyDescent="0.2">
      <c r="A37" s="7"/>
      <c r="B37" s="2" t="s">
        <v>17</v>
      </c>
      <c r="C37" s="2" t="s">
        <v>19</v>
      </c>
      <c r="D37" s="2"/>
      <c r="E37" s="7"/>
      <c r="F37" s="7"/>
      <c r="G37" s="9" t="s">
        <v>2322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2.75" customHeight="1" x14ac:dyDescent="0.2">
      <c r="A38" s="7"/>
      <c r="B38" s="2" t="s">
        <v>18</v>
      </c>
      <c r="C38" s="2" t="s">
        <v>19</v>
      </c>
      <c r="D38" s="2"/>
      <c r="E38" s="7"/>
      <c r="F38" s="7"/>
      <c r="G38" s="9" t="s">
        <v>2322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2.75" customHeight="1" x14ac:dyDescent="0.2">
      <c r="A39" s="7"/>
      <c r="B39" s="2"/>
      <c r="C39" s="2"/>
      <c r="D39" s="2"/>
      <c r="E39" s="7"/>
      <c r="F39" s="7"/>
      <c r="G39" s="9" t="s">
        <v>2322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2.75" customHeight="1" x14ac:dyDescent="0.2">
      <c r="A40" s="7"/>
      <c r="B40" s="2"/>
      <c r="C40" s="2"/>
      <c r="D40" s="2"/>
      <c r="E40" s="7"/>
      <c r="F40" s="7"/>
      <c r="G40" s="9" t="s">
        <v>2322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2.75" customHeight="1" x14ac:dyDescent="0.2">
      <c r="A41" s="7"/>
      <c r="B41" s="2"/>
      <c r="C41" s="2"/>
      <c r="D41" s="2"/>
      <c r="E41" s="7"/>
      <c r="F41" s="7"/>
      <c r="G41" s="9" t="s">
        <v>2322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2.75" customHeight="1" x14ac:dyDescent="0.2">
      <c r="A42" s="7"/>
      <c r="B42" s="2"/>
      <c r="C42" s="2"/>
      <c r="D42" s="2"/>
      <c r="E42" s="7"/>
      <c r="F42" s="7"/>
      <c r="G42" s="9" t="s">
        <v>2322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2.75" customHeight="1" x14ac:dyDescent="0.2">
      <c r="A43" s="7"/>
      <c r="B43" s="2"/>
      <c r="C43" s="2"/>
      <c r="D43" s="2"/>
      <c r="E43" s="7"/>
      <c r="F43" s="7"/>
      <c r="G43" s="9" t="s">
        <v>2322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2.75" customHeight="1" x14ac:dyDescent="0.2">
      <c r="A44" s="2" t="s">
        <v>2458</v>
      </c>
      <c r="B44" s="7"/>
      <c r="C44" s="7"/>
      <c r="D44" s="7"/>
      <c r="E44" s="7"/>
      <c r="F44" s="7"/>
      <c r="G44" s="9" t="s">
        <v>2322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2.75" customHeight="1" x14ac:dyDescent="0.2">
      <c r="A45" s="7"/>
      <c r="B45" s="2"/>
      <c r="C45" s="2"/>
      <c r="D45" s="2"/>
      <c r="E45" s="7"/>
      <c r="F45" s="7"/>
      <c r="G45" s="9" t="s">
        <v>2322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2.75" customHeight="1" x14ac:dyDescent="0.2">
      <c r="A46" s="7"/>
      <c r="B46" s="2" t="s">
        <v>0</v>
      </c>
      <c r="C46" s="2" t="s">
        <v>118</v>
      </c>
      <c r="D46" s="2"/>
      <c r="E46" s="7"/>
      <c r="F46" s="7"/>
      <c r="G46" s="9" t="s">
        <v>2322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2.75" customHeight="1" x14ac:dyDescent="0.2">
      <c r="A47" s="7"/>
      <c r="B47" s="2" t="s">
        <v>2</v>
      </c>
      <c r="C47" s="2" t="s">
        <v>2322</v>
      </c>
      <c r="D47" s="2"/>
      <c r="E47" s="7"/>
      <c r="F47" s="7"/>
      <c r="G47" s="9" t="s">
        <v>2322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2.75" customHeight="1" x14ac:dyDescent="0.2">
      <c r="A48" s="7"/>
      <c r="B48" s="2" t="s">
        <v>1840</v>
      </c>
      <c r="C48" s="2" t="s">
        <v>159</v>
      </c>
      <c r="D48" s="2"/>
      <c r="E48" s="7"/>
      <c r="F48" s="7"/>
      <c r="G48" s="9" t="s">
        <v>2322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2.75" customHeight="1" x14ac:dyDescent="0.2">
      <c r="A49" s="7"/>
      <c r="B49" s="2" t="s">
        <v>9</v>
      </c>
      <c r="C49" s="2" t="s">
        <v>75</v>
      </c>
      <c r="D49" s="2"/>
      <c r="E49" s="7"/>
      <c r="F49" s="7"/>
      <c r="G49" s="9" t="s">
        <v>2322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2.75" customHeight="1" x14ac:dyDescent="0.2">
      <c r="A50" s="7"/>
      <c r="B50" s="2" t="s">
        <v>11</v>
      </c>
      <c r="C50" s="2" t="s">
        <v>2337</v>
      </c>
      <c r="D50" s="2"/>
      <c r="E50" s="7"/>
      <c r="F50" s="7"/>
      <c r="G50" s="9" t="s">
        <v>2322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2.75" customHeight="1" x14ac:dyDescent="0.2">
      <c r="A51" s="7"/>
      <c r="B51" s="2" t="s">
        <v>16</v>
      </c>
      <c r="C51" s="2"/>
      <c r="D51" s="2"/>
      <c r="E51" s="7"/>
      <c r="F51" s="7"/>
      <c r="G51" s="9" t="s">
        <v>2322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2.75" customHeight="1" x14ac:dyDescent="0.2">
      <c r="A52" s="7"/>
      <c r="B52" s="2" t="s">
        <v>17</v>
      </c>
      <c r="C52" s="2" t="s">
        <v>19</v>
      </c>
      <c r="D52" s="2"/>
      <c r="E52" s="7"/>
      <c r="F52" s="7"/>
      <c r="G52" s="9" t="s">
        <v>2322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2.75" customHeight="1" x14ac:dyDescent="0.2">
      <c r="A53" s="7"/>
      <c r="B53" s="2" t="s">
        <v>18</v>
      </c>
      <c r="C53" s="2" t="s">
        <v>44</v>
      </c>
      <c r="D53" s="2" t="str">
        <f>HYPERLINK("javascript:void(0)","bőrpáncél")</f>
        <v>bőrpáncél</v>
      </c>
      <c r="E53" s="7"/>
      <c r="F53" s="7"/>
      <c r="G53" s="9" t="s">
        <v>2322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2.75" customHeight="1" x14ac:dyDescent="0.2">
      <c r="A54" s="7"/>
      <c r="B54" s="2"/>
      <c r="C54" s="2" t="s">
        <v>130</v>
      </c>
      <c r="D54" s="2" t="str">
        <f>HYPERLINK("javascript:void(0)","ezüst")</f>
        <v>ezüst</v>
      </c>
      <c r="E54" s="7"/>
      <c r="F54" s="7"/>
      <c r="G54" s="9" t="s">
        <v>2322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2.75" customHeight="1" x14ac:dyDescent="0.2">
      <c r="A55" s="7"/>
      <c r="B55" s="2"/>
      <c r="C55" s="2" t="s">
        <v>55</v>
      </c>
      <c r="D55" s="2" t="str">
        <f>HYPERLINK("javascript:void(0)","smaragd")</f>
        <v>smaragd</v>
      </c>
      <c r="E55" s="7"/>
      <c r="F55" s="7"/>
      <c r="G55" s="9" t="s">
        <v>2322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2.75" customHeight="1" x14ac:dyDescent="0.2">
      <c r="A56" s="7"/>
      <c r="B56" s="2"/>
      <c r="C56" s="2"/>
      <c r="D56" s="2"/>
      <c r="E56" s="7"/>
      <c r="F56" s="7"/>
      <c r="G56" s="9" t="s">
        <v>2322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2.75" customHeight="1" x14ac:dyDescent="0.2">
      <c r="A57" s="7"/>
      <c r="B57" s="2"/>
      <c r="C57" s="2"/>
      <c r="D57" s="2"/>
      <c r="E57" s="7"/>
      <c r="F57" s="7"/>
      <c r="G57" s="9" t="s">
        <v>2322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2.75" customHeight="1" x14ac:dyDescent="0.2">
      <c r="A58" s="7"/>
      <c r="B58" s="2"/>
      <c r="C58" s="2"/>
      <c r="D58" s="2"/>
      <c r="E58" s="7"/>
      <c r="F58" s="7"/>
      <c r="G58" s="9" t="s">
        <v>2322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2.75" customHeight="1" x14ac:dyDescent="0.2">
      <c r="A59" s="7"/>
      <c r="B59" s="2"/>
      <c r="C59" s="2"/>
      <c r="D59" s="2"/>
      <c r="E59" s="7"/>
      <c r="F59" s="7"/>
      <c r="G59" s="9" t="s">
        <v>2322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2.75" customHeight="1" x14ac:dyDescent="0.2">
      <c r="A60" s="7"/>
      <c r="B60" s="2"/>
      <c r="C60" s="2"/>
      <c r="D60" s="2"/>
      <c r="E60" s="7"/>
      <c r="F60" s="7"/>
      <c r="G60" s="9" t="s">
        <v>2322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2.75" customHeight="1" x14ac:dyDescent="0.2">
      <c r="A61" s="2" t="s">
        <v>2459</v>
      </c>
      <c r="B61" s="7"/>
      <c r="C61" s="7"/>
      <c r="D61" s="7"/>
      <c r="E61" s="7"/>
      <c r="F61" s="7"/>
      <c r="G61" s="9" t="s">
        <v>2322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2.75" customHeight="1" x14ac:dyDescent="0.2">
      <c r="A62" s="7"/>
      <c r="B62" s="2"/>
      <c r="C62" s="2"/>
      <c r="D62" s="2"/>
      <c r="E62" s="7"/>
      <c r="F62" s="7"/>
      <c r="G62" s="9" t="s">
        <v>2322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2.75" customHeight="1" x14ac:dyDescent="0.2">
      <c r="A63" s="7"/>
      <c r="B63" s="2" t="s">
        <v>0</v>
      </c>
      <c r="C63" s="2" t="s">
        <v>155</v>
      </c>
      <c r="D63" s="2"/>
      <c r="E63" s="7"/>
      <c r="F63" s="7"/>
      <c r="G63" s="9" t="s">
        <v>2322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2.75" customHeight="1" x14ac:dyDescent="0.2">
      <c r="A64" s="7"/>
      <c r="B64" s="2" t="s">
        <v>2</v>
      </c>
      <c r="C64" s="2" t="s">
        <v>2322</v>
      </c>
      <c r="D64" s="2"/>
      <c r="E64" s="7"/>
      <c r="F64" s="7"/>
      <c r="G64" s="9" t="s">
        <v>2322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2.75" customHeight="1" x14ac:dyDescent="0.2">
      <c r="A65" s="7"/>
      <c r="B65" s="2" t="s">
        <v>1840</v>
      </c>
      <c r="C65" s="2" t="s">
        <v>157</v>
      </c>
      <c r="D65" s="2"/>
      <c r="E65" s="7"/>
      <c r="F65" s="7"/>
      <c r="G65" s="9" t="s">
        <v>2322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2.75" customHeight="1" x14ac:dyDescent="0.2">
      <c r="A66" s="7"/>
      <c r="B66" s="2" t="s">
        <v>9</v>
      </c>
      <c r="C66" s="2" t="s">
        <v>511</v>
      </c>
      <c r="D66" s="2"/>
      <c r="E66" s="7"/>
      <c r="F66" s="7"/>
      <c r="G66" s="9" t="s">
        <v>2322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2.75" customHeight="1" x14ac:dyDescent="0.2">
      <c r="A67" s="7"/>
      <c r="B67" s="2" t="s">
        <v>11</v>
      </c>
      <c r="C67" s="2" t="s">
        <v>2340</v>
      </c>
      <c r="D67" s="2"/>
      <c r="E67" s="7"/>
      <c r="F67" s="7"/>
      <c r="G67" s="9" t="s">
        <v>2322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2.75" customHeight="1" x14ac:dyDescent="0.2">
      <c r="A68" s="7"/>
      <c r="B68" s="2" t="s">
        <v>16</v>
      </c>
      <c r="C68" s="2"/>
      <c r="D68" s="2"/>
      <c r="E68" s="7"/>
      <c r="F68" s="7"/>
      <c r="G68" s="9" t="s">
        <v>2322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2.75" customHeight="1" x14ac:dyDescent="0.2">
      <c r="A69" s="7"/>
      <c r="B69" s="2" t="s">
        <v>17</v>
      </c>
      <c r="C69" s="2" t="s">
        <v>19</v>
      </c>
      <c r="D69" s="2"/>
      <c r="E69" s="7"/>
      <c r="F69" s="7"/>
      <c r="G69" s="9" t="s">
        <v>2322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2.75" customHeight="1" x14ac:dyDescent="0.2">
      <c r="A70" s="7"/>
      <c r="B70" s="2" t="s">
        <v>18</v>
      </c>
      <c r="C70" s="2" t="s">
        <v>232</v>
      </c>
      <c r="D70" s="2" t="str">
        <f>HYPERLINK("javascript:void(0)","arany")</f>
        <v>arany</v>
      </c>
      <c r="E70" s="7"/>
      <c r="F70" s="7"/>
      <c r="G70" s="9" t="s">
        <v>2322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2.75" customHeight="1" x14ac:dyDescent="0.2">
      <c r="A71" s="7"/>
      <c r="B71" s="2"/>
      <c r="C71" s="2" t="s">
        <v>44</v>
      </c>
      <c r="D71" s="2" t="str">
        <f>HYPERLINK("javascript:void(0)","aranyláncing")</f>
        <v>aranyláncing</v>
      </c>
      <c r="E71" s="7"/>
      <c r="F71" s="7"/>
      <c r="G71" s="9" t="s">
        <v>2322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2.75" customHeight="1" x14ac:dyDescent="0.2">
      <c r="A72" s="7"/>
      <c r="B72" s="2"/>
      <c r="C72" s="2" t="s">
        <v>55</v>
      </c>
      <c r="D72" s="2" t="str">
        <f>HYPERLINK("javascript:void(0)","vasérc")</f>
        <v>vasérc</v>
      </c>
      <c r="E72" s="7"/>
      <c r="F72" s="7"/>
      <c r="G72" s="9" t="s">
        <v>2322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2.75" customHeight="1" x14ac:dyDescent="0.2">
      <c r="A73" s="7"/>
      <c r="B73" s="2"/>
      <c r="C73" s="2"/>
      <c r="D73" s="2"/>
      <c r="E73" s="7"/>
      <c r="F73" s="7"/>
      <c r="G73" s="9" t="s">
        <v>2322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2.75" customHeight="1" x14ac:dyDescent="0.2">
      <c r="A74" s="7"/>
      <c r="B74" s="2"/>
      <c r="C74" s="2"/>
      <c r="D74" s="2"/>
      <c r="E74" s="7"/>
      <c r="F74" s="7"/>
      <c r="G74" s="9" t="s">
        <v>2322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2.75" customHeight="1" x14ac:dyDescent="0.2">
      <c r="A75" s="7"/>
      <c r="B75" s="2"/>
      <c r="C75" s="2"/>
      <c r="D75" s="2"/>
      <c r="E75" s="7"/>
      <c r="F75" s="7"/>
      <c r="G75" s="9" t="s">
        <v>2322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2.75" customHeight="1" x14ac:dyDescent="0.2">
      <c r="A76" s="7"/>
      <c r="B76" s="2"/>
      <c r="C76" s="2"/>
      <c r="D76" s="2"/>
      <c r="E76" s="7"/>
      <c r="F76" s="7"/>
      <c r="G76" s="9" t="s">
        <v>2322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2.75" customHeight="1" x14ac:dyDescent="0.2">
      <c r="A77" s="7"/>
      <c r="B77" s="2"/>
      <c r="C77" s="2"/>
      <c r="D77" s="2"/>
      <c r="E77" s="7"/>
      <c r="F77" s="7"/>
      <c r="G77" s="9" t="s">
        <v>2322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2.75" customHeight="1" x14ac:dyDescent="0.2">
      <c r="A78" s="2" t="s">
        <v>2460</v>
      </c>
      <c r="B78" s="7"/>
      <c r="C78" s="7"/>
      <c r="D78" s="2"/>
      <c r="E78" s="7"/>
      <c r="F78" s="7"/>
      <c r="G78" s="9" t="s">
        <v>2322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2.75" customHeight="1" x14ac:dyDescent="0.2">
      <c r="A79" s="7"/>
      <c r="B79" s="2"/>
      <c r="C79" s="2"/>
      <c r="D79" s="2"/>
      <c r="E79" s="7"/>
      <c r="F79" s="7"/>
      <c r="G79" s="9" t="s">
        <v>2322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2.75" customHeight="1" x14ac:dyDescent="0.2">
      <c r="A80" s="7"/>
      <c r="B80" s="2" t="s">
        <v>0</v>
      </c>
      <c r="C80" s="2" t="s">
        <v>153</v>
      </c>
      <c r="D80" s="2"/>
      <c r="E80" s="7"/>
      <c r="F80" s="7"/>
      <c r="G80" s="9" t="s">
        <v>2322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2.75" customHeight="1" x14ac:dyDescent="0.2">
      <c r="A81" s="7"/>
      <c r="B81" s="2" t="s">
        <v>2</v>
      </c>
      <c r="C81" s="2" t="s">
        <v>2322</v>
      </c>
      <c r="D81" s="2"/>
      <c r="E81" s="7"/>
      <c r="F81" s="7"/>
      <c r="G81" s="9" t="s">
        <v>2322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2.75" customHeight="1" x14ac:dyDescent="0.2">
      <c r="A82" s="7"/>
      <c r="B82" s="2" t="s">
        <v>1840</v>
      </c>
      <c r="C82" s="2" t="s">
        <v>298</v>
      </c>
      <c r="D82" s="2"/>
      <c r="E82" s="7"/>
      <c r="F82" s="7"/>
      <c r="G82" s="9" t="s">
        <v>2322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2.75" customHeight="1" x14ac:dyDescent="0.2">
      <c r="A83" s="7"/>
      <c r="B83" s="2" t="s">
        <v>9</v>
      </c>
      <c r="C83" s="2" t="s">
        <v>42</v>
      </c>
      <c r="D83" s="2"/>
      <c r="E83" s="7"/>
      <c r="F83" s="7"/>
      <c r="G83" s="9" t="s">
        <v>2322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2.75" customHeight="1" x14ac:dyDescent="0.2">
      <c r="A84" s="7"/>
      <c r="B84" s="2" t="s">
        <v>11</v>
      </c>
      <c r="C84" s="2" t="s">
        <v>457</v>
      </c>
      <c r="D84" s="2"/>
      <c r="E84" s="7"/>
      <c r="F84" s="7"/>
      <c r="G84" s="9" t="s">
        <v>2322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2.75" customHeight="1" x14ac:dyDescent="0.2">
      <c r="A85" s="7"/>
      <c r="B85" s="2" t="s">
        <v>16</v>
      </c>
      <c r="C85" s="2"/>
      <c r="D85" s="2"/>
      <c r="E85" s="7"/>
      <c r="F85" s="7"/>
      <c r="G85" s="9" t="s">
        <v>2322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2.75" customHeight="1" x14ac:dyDescent="0.2">
      <c r="A86" s="7"/>
      <c r="B86" s="2" t="s">
        <v>17</v>
      </c>
      <c r="C86" s="2" t="s">
        <v>19</v>
      </c>
      <c r="D86" s="2"/>
      <c r="E86" s="7"/>
      <c r="F86" s="7"/>
      <c r="G86" s="9" t="s">
        <v>2322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2.75" customHeight="1" x14ac:dyDescent="0.2">
      <c r="A87" s="7"/>
      <c r="B87" s="2" t="s">
        <v>18</v>
      </c>
      <c r="C87" s="2" t="s">
        <v>19</v>
      </c>
      <c r="D87" s="2"/>
      <c r="E87" s="7"/>
      <c r="F87" s="7"/>
      <c r="G87" s="9" t="s">
        <v>2322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2.75" customHeight="1" x14ac:dyDescent="0.2">
      <c r="A88" s="7"/>
      <c r="B88" s="2"/>
      <c r="C88" s="2"/>
      <c r="D88" s="2"/>
      <c r="E88" s="7"/>
      <c r="F88" s="7"/>
      <c r="G88" s="9" t="s">
        <v>2322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2.75" customHeight="1" x14ac:dyDescent="0.2">
      <c r="A89" s="7"/>
      <c r="B89" s="2"/>
      <c r="C89" s="2"/>
      <c r="D89" s="2"/>
      <c r="E89" s="7"/>
      <c r="F89" s="7"/>
      <c r="G89" s="9" t="s">
        <v>2322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2.75" customHeight="1" x14ac:dyDescent="0.2">
      <c r="A90" s="7"/>
      <c r="B90" s="2"/>
      <c r="C90" s="2"/>
      <c r="D90" s="2"/>
      <c r="E90" s="7"/>
      <c r="F90" s="7"/>
      <c r="G90" s="9" t="s">
        <v>2322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2.75" customHeight="1" x14ac:dyDescent="0.2">
      <c r="A91" s="7"/>
      <c r="B91" s="2"/>
      <c r="C91" s="2"/>
      <c r="D91" s="2"/>
      <c r="E91" s="7"/>
      <c r="F91" s="7"/>
      <c r="G91" s="9" t="s">
        <v>2322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2.75" customHeight="1" x14ac:dyDescent="0.2">
      <c r="A92" s="7"/>
      <c r="B92" s="2"/>
      <c r="C92" s="2"/>
      <c r="D92" s="2"/>
      <c r="E92" s="7"/>
      <c r="F92" s="7"/>
      <c r="G92" s="9" t="s">
        <v>2322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2.75" customHeight="1" x14ac:dyDescent="0.2">
      <c r="A93" s="2" t="s">
        <v>2461</v>
      </c>
      <c r="B93" s="7"/>
      <c r="C93" s="7"/>
      <c r="D93" s="2"/>
      <c r="E93" s="7"/>
      <c r="F93" s="7"/>
      <c r="G93" s="9" t="s">
        <v>2322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2.75" customHeight="1" x14ac:dyDescent="0.2">
      <c r="A94" s="7"/>
      <c r="B94" s="2"/>
      <c r="C94" s="2"/>
      <c r="D94" s="2"/>
      <c r="E94" s="7"/>
      <c r="F94" s="7"/>
      <c r="G94" s="9" t="s">
        <v>2322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2.75" customHeight="1" x14ac:dyDescent="0.2">
      <c r="A95" s="7"/>
      <c r="B95" s="2" t="s">
        <v>0</v>
      </c>
      <c r="C95" s="2" t="s">
        <v>206</v>
      </c>
      <c r="D95" s="2"/>
      <c r="E95" s="7"/>
      <c r="F95" s="7"/>
      <c r="G95" s="9" t="s">
        <v>2322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2.75" customHeight="1" x14ac:dyDescent="0.2">
      <c r="A96" s="7"/>
      <c r="B96" s="2" t="s">
        <v>2</v>
      </c>
      <c r="C96" s="2" t="s">
        <v>2322</v>
      </c>
      <c r="D96" s="2"/>
      <c r="E96" s="7"/>
      <c r="F96" s="7"/>
      <c r="G96" s="9" t="s">
        <v>2322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2.75" customHeight="1" x14ac:dyDescent="0.2">
      <c r="A97" s="7"/>
      <c r="B97" s="2" t="s">
        <v>1840</v>
      </c>
      <c r="C97" s="2" t="s">
        <v>340</v>
      </c>
      <c r="D97" s="2"/>
      <c r="E97" s="7"/>
      <c r="F97" s="7"/>
      <c r="G97" s="9" t="s">
        <v>2322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2.75" customHeight="1" x14ac:dyDescent="0.2">
      <c r="A98" s="7"/>
      <c r="B98" s="2" t="s">
        <v>9</v>
      </c>
      <c r="C98" s="2" t="s">
        <v>962</v>
      </c>
      <c r="D98" s="2"/>
      <c r="E98" s="7"/>
      <c r="F98" s="7"/>
      <c r="G98" s="9" t="s">
        <v>2322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2.75" customHeight="1" x14ac:dyDescent="0.2">
      <c r="A99" s="7"/>
      <c r="B99" s="2" t="s">
        <v>11</v>
      </c>
      <c r="C99" s="2" t="s">
        <v>177</v>
      </c>
      <c r="D99" s="2"/>
      <c r="E99" s="7"/>
      <c r="F99" s="7"/>
      <c r="G99" s="9" t="s">
        <v>2322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2.75" customHeight="1" x14ac:dyDescent="0.2">
      <c r="A100" s="7"/>
      <c r="B100" s="2" t="s">
        <v>16</v>
      </c>
      <c r="C100" s="2"/>
      <c r="D100" s="2"/>
      <c r="E100" s="7"/>
      <c r="F100" s="7"/>
      <c r="G100" s="9" t="s">
        <v>2322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2.75" customHeight="1" x14ac:dyDescent="0.2">
      <c r="A101" s="7"/>
      <c r="B101" s="2" t="s">
        <v>17</v>
      </c>
      <c r="C101" s="2" t="s">
        <v>19</v>
      </c>
      <c r="D101" s="2"/>
      <c r="E101" s="7"/>
      <c r="F101" s="7"/>
      <c r="G101" s="9" t="s">
        <v>2322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2.75" customHeight="1" x14ac:dyDescent="0.2">
      <c r="A102" s="7"/>
      <c r="B102" s="2" t="s">
        <v>18</v>
      </c>
      <c r="C102" s="2" t="s">
        <v>19</v>
      </c>
      <c r="D102" s="2"/>
      <c r="E102" s="7"/>
      <c r="F102" s="7"/>
      <c r="G102" s="9" t="s">
        <v>2322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2.75" customHeight="1" x14ac:dyDescent="0.2">
      <c r="A103" s="7"/>
      <c r="B103" s="2"/>
      <c r="C103" s="2"/>
      <c r="D103" s="2"/>
      <c r="E103" s="7"/>
      <c r="F103" s="7"/>
      <c r="G103" s="9" t="s">
        <v>2322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2.75" customHeight="1" x14ac:dyDescent="0.2">
      <c r="A104" s="7"/>
      <c r="B104" s="2"/>
      <c r="C104" s="2"/>
      <c r="D104" s="2"/>
      <c r="E104" s="7"/>
      <c r="F104" s="7"/>
      <c r="G104" s="9" t="s">
        <v>2322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2.75" customHeight="1" x14ac:dyDescent="0.2">
      <c r="A105" s="7"/>
      <c r="B105" s="2"/>
      <c r="C105" s="2"/>
      <c r="D105" s="2"/>
      <c r="E105" s="7"/>
      <c r="F105" s="7"/>
      <c r="G105" s="9" t="s">
        <v>2322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2.75" customHeight="1" x14ac:dyDescent="0.2">
      <c r="A106" s="7"/>
      <c r="B106" s="2"/>
      <c r="C106" s="2"/>
      <c r="D106" s="2"/>
      <c r="E106" s="7"/>
      <c r="F106" s="7"/>
      <c r="G106" s="9" t="s">
        <v>2322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2.75" customHeight="1" x14ac:dyDescent="0.2">
      <c r="A107" s="7"/>
      <c r="B107" s="2"/>
      <c r="C107" s="2"/>
      <c r="D107" s="2"/>
      <c r="E107" s="7"/>
      <c r="F107" s="7"/>
      <c r="G107" s="9" t="s">
        <v>2322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2.75" customHeight="1" x14ac:dyDescent="0.2">
      <c r="A108" s="2" t="s">
        <v>2462</v>
      </c>
      <c r="B108" s="7"/>
      <c r="C108" s="7"/>
      <c r="D108" s="7"/>
      <c r="E108" s="7"/>
      <c r="F108" s="7"/>
      <c r="G108" s="9" t="s">
        <v>2322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2.75" customHeight="1" x14ac:dyDescent="0.2">
      <c r="A109" s="7"/>
      <c r="B109" s="2"/>
      <c r="C109" s="2"/>
      <c r="D109" s="2"/>
      <c r="E109" s="7"/>
      <c r="F109" s="7"/>
      <c r="G109" s="9" t="s">
        <v>2322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2.75" customHeight="1" x14ac:dyDescent="0.2">
      <c r="A110" s="7"/>
      <c r="B110" s="2" t="s">
        <v>0</v>
      </c>
      <c r="C110" s="2" t="s">
        <v>206</v>
      </c>
      <c r="D110" s="2"/>
      <c r="E110" s="7"/>
      <c r="F110" s="7"/>
      <c r="G110" s="9" t="s">
        <v>2322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2.75" customHeight="1" x14ac:dyDescent="0.2">
      <c r="A111" s="7"/>
      <c r="B111" s="2" t="s">
        <v>2</v>
      </c>
      <c r="C111" s="2" t="s">
        <v>2322</v>
      </c>
      <c r="D111" s="2"/>
      <c r="E111" s="7"/>
      <c r="F111" s="7"/>
      <c r="G111" s="9" t="s">
        <v>2322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2.75" customHeight="1" x14ac:dyDescent="0.2">
      <c r="A112" s="7"/>
      <c r="B112" s="2" t="s">
        <v>1840</v>
      </c>
      <c r="C112" s="2" t="s">
        <v>48</v>
      </c>
      <c r="D112" s="2"/>
      <c r="E112" s="7"/>
      <c r="F112" s="7"/>
      <c r="G112" s="9" t="s">
        <v>2322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2.75" customHeight="1" x14ac:dyDescent="0.2">
      <c r="A113" s="7"/>
      <c r="B113" s="2" t="s">
        <v>9</v>
      </c>
      <c r="C113" s="2" t="s">
        <v>93</v>
      </c>
      <c r="D113" s="2"/>
      <c r="E113" s="7"/>
      <c r="F113" s="7"/>
      <c r="G113" s="9" t="s">
        <v>2322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2.75" customHeight="1" x14ac:dyDescent="0.2">
      <c r="A114" s="7"/>
      <c r="B114" s="2" t="s">
        <v>11</v>
      </c>
      <c r="C114" s="2" t="s">
        <v>116</v>
      </c>
      <c r="D114" s="2"/>
      <c r="E114" s="7"/>
      <c r="F114" s="7"/>
      <c r="G114" s="9" t="s">
        <v>2322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2.75" customHeight="1" x14ac:dyDescent="0.2">
      <c r="A115" s="7"/>
      <c r="B115" s="2" t="s">
        <v>16</v>
      </c>
      <c r="C115" s="2"/>
      <c r="D115" s="2"/>
      <c r="E115" s="7"/>
      <c r="F115" s="7"/>
      <c r="G115" s="9" t="s">
        <v>2322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2.75" customHeight="1" x14ac:dyDescent="0.2">
      <c r="A116" s="7"/>
      <c r="B116" s="2" t="s">
        <v>17</v>
      </c>
      <c r="C116" s="2" t="s">
        <v>19</v>
      </c>
      <c r="D116" s="2"/>
      <c r="E116" s="7"/>
      <c r="F116" s="7"/>
      <c r="G116" s="9" t="s">
        <v>2322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2.75" customHeight="1" x14ac:dyDescent="0.2">
      <c r="A117" s="7"/>
      <c r="B117" s="2" t="s">
        <v>18</v>
      </c>
      <c r="C117" s="2" t="s">
        <v>196</v>
      </c>
      <c r="D117" s="2" t="str">
        <f>HYPERLINK("javascript:void(0)","varázsige")</f>
        <v>varázsige</v>
      </c>
      <c r="E117" s="7"/>
      <c r="F117" s="7"/>
      <c r="G117" s="9" t="s">
        <v>2322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2.75" customHeight="1" x14ac:dyDescent="0.2">
      <c r="A118" s="7"/>
      <c r="B118" s="2"/>
      <c r="C118" s="2" t="s">
        <v>193</v>
      </c>
      <c r="D118" s="2" t="str">
        <f>HYPERLINK("javascript:void(0)","vászoning")</f>
        <v>vászoning</v>
      </c>
      <c r="E118" s="7"/>
      <c r="F118" s="7"/>
      <c r="G118" s="9" t="s">
        <v>2322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2.75" customHeight="1" x14ac:dyDescent="0.2">
      <c r="A119" s="7"/>
      <c r="B119" s="2"/>
      <c r="C119" s="2" t="s">
        <v>68</v>
      </c>
      <c r="D119" s="2" t="str">
        <f>HYPERLINK("javascript:void(0)","szent szimbólum")</f>
        <v>szent szimbólum</v>
      </c>
      <c r="E119" s="7"/>
      <c r="F119" s="7"/>
      <c r="G119" s="9" t="s">
        <v>2322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2.75" customHeight="1" x14ac:dyDescent="0.2">
      <c r="A120" s="7"/>
      <c r="B120" s="2"/>
      <c r="C120" s="2"/>
      <c r="D120" s="2"/>
      <c r="E120" s="7"/>
      <c r="F120" s="7"/>
      <c r="G120" s="9" t="s">
        <v>2322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2.75" customHeight="1" x14ac:dyDescent="0.2">
      <c r="A121" s="7"/>
      <c r="B121" s="2"/>
      <c r="C121" s="2"/>
      <c r="D121" s="2"/>
      <c r="E121" s="7"/>
      <c r="F121" s="7"/>
      <c r="G121" s="9" t="s">
        <v>2322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2.75" customHeight="1" x14ac:dyDescent="0.2">
      <c r="A122" s="7"/>
      <c r="B122" s="2"/>
      <c r="C122" s="2"/>
      <c r="D122" s="2"/>
      <c r="E122" s="7"/>
      <c r="F122" s="7"/>
      <c r="G122" s="9" t="s">
        <v>2322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2.75" customHeight="1" x14ac:dyDescent="0.2">
      <c r="A123" s="7"/>
      <c r="B123" s="2"/>
      <c r="C123" s="2"/>
      <c r="D123" s="2"/>
      <c r="E123" s="7"/>
      <c r="F123" s="7"/>
      <c r="G123" s="9" t="s">
        <v>2322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2.75" customHeight="1" x14ac:dyDescent="0.2">
      <c r="A124" s="7"/>
      <c r="B124" s="2"/>
      <c r="C124" s="2"/>
      <c r="D124" s="2"/>
      <c r="E124" s="7"/>
      <c r="F124" s="7"/>
      <c r="G124" s="9" t="s">
        <v>2322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2.75" customHeight="1" x14ac:dyDescent="0.2">
      <c r="A125" s="2" t="s">
        <v>2465</v>
      </c>
      <c r="B125" s="7"/>
      <c r="C125" s="7"/>
      <c r="D125" s="7"/>
      <c r="E125" s="7"/>
      <c r="F125" s="7"/>
      <c r="G125" s="9" t="s">
        <v>2322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2.75" customHeight="1" x14ac:dyDescent="0.2">
      <c r="A126" s="7"/>
      <c r="B126" s="2"/>
      <c r="C126" s="2"/>
      <c r="D126" s="2"/>
      <c r="E126" s="7"/>
      <c r="F126" s="7"/>
      <c r="G126" s="9" t="s">
        <v>2322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2.75" customHeight="1" x14ac:dyDescent="0.2">
      <c r="A127" s="7"/>
      <c r="B127" s="2" t="s">
        <v>0</v>
      </c>
      <c r="C127" s="2" t="s">
        <v>221</v>
      </c>
      <c r="D127" s="2"/>
      <c r="E127" s="7"/>
      <c r="F127" s="7"/>
      <c r="G127" s="9" t="s">
        <v>2322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2.75" customHeight="1" x14ac:dyDescent="0.2">
      <c r="A128" s="7"/>
      <c r="B128" s="2" t="s">
        <v>2</v>
      </c>
      <c r="C128" s="2" t="s">
        <v>2322</v>
      </c>
      <c r="D128" s="2"/>
      <c r="E128" s="7"/>
      <c r="F128" s="7"/>
      <c r="G128" s="9" t="s">
        <v>2322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2.75" customHeight="1" x14ac:dyDescent="0.2">
      <c r="A129" s="7"/>
      <c r="B129" s="2" t="s">
        <v>1840</v>
      </c>
      <c r="C129" s="2" t="s">
        <v>385</v>
      </c>
      <c r="D129" s="2"/>
      <c r="E129" s="7"/>
      <c r="F129" s="7"/>
      <c r="G129" s="9" t="s">
        <v>2322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2.75" customHeight="1" x14ac:dyDescent="0.2">
      <c r="A130" s="7"/>
      <c r="B130" s="2" t="s">
        <v>9</v>
      </c>
      <c r="C130" s="2" t="s">
        <v>343</v>
      </c>
      <c r="D130" s="2"/>
      <c r="E130" s="7"/>
      <c r="F130" s="7"/>
      <c r="G130" s="9" t="s">
        <v>2322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2.75" customHeight="1" x14ac:dyDescent="0.2">
      <c r="A131" s="7"/>
      <c r="B131" s="2" t="s">
        <v>11</v>
      </c>
      <c r="C131" s="2" t="s">
        <v>89</v>
      </c>
      <c r="D131" s="2"/>
      <c r="E131" s="7"/>
      <c r="F131" s="7"/>
      <c r="G131" s="9" t="s">
        <v>2322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2.75" customHeight="1" x14ac:dyDescent="0.2">
      <c r="A132" s="7"/>
      <c r="B132" s="2" t="s">
        <v>16</v>
      </c>
      <c r="C132" s="2"/>
      <c r="D132" s="2"/>
      <c r="E132" s="7"/>
      <c r="F132" s="7"/>
      <c r="G132" s="9" t="s">
        <v>2322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2.75" customHeight="1" x14ac:dyDescent="0.2">
      <c r="A133" s="7"/>
      <c r="B133" s="2" t="s">
        <v>17</v>
      </c>
      <c r="C133" s="2" t="s">
        <v>19</v>
      </c>
      <c r="D133" s="2"/>
      <c r="E133" s="7"/>
      <c r="F133" s="7"/>
      <c r="G133" s="9" t="s">
        <v>2322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2.75" customHeight="1" x14ac:dyDescent="0.2">
      <c r="A134" s="7"/>
      <c r="B134" s="2" t="s">
        <v>18</v>
      </c>
      <c r="C134" s="2" t="s">
        <v>139</v>
      </c>
      <c r="D134" s="2" t="str">
        <f>HYPERLINK("javascript:void(0)","gyémánt")</f>
        <v>gyémánt</v>
      </c>
      <c r="E134" s="7"/>
      <c r="F134" s="7"/>
      <c r="G134" s="9" t="s">
        <v>2322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2.75" customHeight="1" x14ac:dyDescent="0.2">
      <c r="A135" s="7"/>
      <c r="B135" s="2"/>
      <c r="C135" s="2" t="s">
        <v>44</v>
      </c>
      <c r="D135" s="2" t="str">
        <f>HYPERLINK("javascript:void(0)","gyémánt láncing")</f>
        <v>gyémánt láncing</v>
      </c>
      <c r="E135" s="7"/>
      <c r="F135" s="7"/>
      <c r="G135" s="9" t="s">
        <v>2322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2.75" customHeight="1" x14ac:dyDescent="0.2">
      <c r="A136" s="7"/>
      <c r="B136" s="2"/>
      <c r="C136" s="2" t="s">
        <v>139</v>
      </c>
      <c r="D136" s="2" t="str">
        <f>HYPERLINK("javascript:void(0)","kallandra fog")</f>
        <v>kallandra fog</v>
      </c>
      <c r="E136" s="7"/>
      <c r="F136" s="7"/>
      <c r="G136" s="9" t="s">
        <v>2322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2.75" customHeight="1" x14ac:dyDescent="0.2">
      <c r="A137" s="7"/>
      <c r="B137" s="2"/>
      <c r="C137" s="2"/>
      <c r="D137" s="2"/>
      <c r="E137" s="7"/>
      <c r="F137" s="7"/>
      <c r="G137" s="9" t="s">
        <v>2322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2.75" customHeight="1" x14ac:dyDescent="0.2">
      <c r="A138" s="7"/>
      <c r="B138" s="2"/>
      <c r="C138" s="2"/>
      <c r="D138" s="2"/>
      <c r="E138" s="7"/>
      <c r="F138" s="7"/>
      <c r="G138" s="9" t="s">
        <v>2322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2.75" customHeight="1" x14ac:dyDescent="0.2">
      <c r="A139" s="7"/>
      <c r="B139" s="2"/>
      <c r="C139" s="2"/>
      <c r="D139" s="2"/>
      <c r="E139" s="7"/>
      <c r="F139" s="7"/>
      <c r="G139" s="9" t="s">
        <v>2322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2.75" customHeight="1" x14ac:dyDescent="0.2">
      <c r="A140" s="7"/>
      <c r="B140" s="2"/>
      <c r="C140" s="2"/>
      <c r="D140" s="2"/>
      <c r="E140" s="7"/>
      <c r="F140" s="7"/>
      <c r="G140" s="9" t="s">
        <v>2322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2.75" customHeight="1" x14ac:dyDescent="0.2">
      <c r="A141" s="7"/>
      <c r="B141" s="2"/>
      <c r="C141" s="2"/>
      <c r="D141" s="2"/>
      <c r="E141" s="7"/>
      <c r="F141" s="7"/>
      <c r="G141" s="9" t="s">
        <v>2322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2.75" customHeight="1" x14ac:dyDescent="0.2">
      <c r="A142" s="7" t="str">
        <f>HYPERLINK("javascript:void(0)","diszpropáncél")</f>
        <v>diszpropáncél</v>
      </c>
      <c r="B142" s="7"/>
      <c r="C142" s="7"/>
      <c r="D142" s="7"/>
      <c r="E142" s="7"/>
      <c r="F142" s="7"/>
      <c r="G142" s="9" t="s">
        <v>2322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2.75" customHeight="1" x14ac:dyDescent="0.2">
      <c r="A143" s="7"/>
      <c r="B143" s="2"/>
      <c r="C143" s="2"/>
      <c r="D143" s="2"/>
      <c r="E143" s="7"/>
      <c r="F143" s="7"/>
      <c r="G143" s="9" t="s">
        <v>2322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2.75" customHeight="1" x14ac:dyDescent="0.2">
      <c r="A144" s="7"/>
      <c r="B144" s="2" t="s">
        <v>0</v>
      </c>
      <c r="C144" s="2" t="s">
        <v>157</v>
      </c>
      <c r="D144" s="2"/>
      <c r="E144" s="7"/>
      <c r="F144" s="7"/>
      <c r="G144" s="9" t="s">
        <v>2322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2.75" customHeight="1" x14ac:dyDescent="0.2">
      <c r="A145" s="7"/>
      <c r="B145" s="2" t="s">
        <v>2</v>
      </c>
      <c r="C145" s="2" t="s">
        <v>2322</v>
      </c>
      <c r="D145" s="2"/>
      <c r="E145" s="7"/>
      <c r="F145" s="7"/>
      <c r="G145" s="9" t="s">
        <v>2322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2.75" customHeight="1" x14ac:dyDescent="0.2">
      <c r="A146" s="7"/>
      <c r="B146" s="2" t="s">
        <v>1840</v>
      </c>
      <c r="C146" s="2" t="s">
        <v>216</v>
      </c>
      <c r="D146" s="2"/>
      <c r="E146" s="7"/>
      <c r="F146" s="7"/>
      <c r="G146" s="9" t="s">
        <v>2322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2.75" customHeight="1" x14ac:dyDescent="0.2">
      <c r="A147" s="7"/>
      <c r="B147" s="2" t="s">
        <v>9</v>
      </c>
      <c r="C147" s="2" t="s">
        <v>124</v>
      </c>
      <c r="D147" s="2"/>
      <c r="E147" s="7"/>
      <c r="F147" s="7"/>
      <c r="G147" s="9" t="s">
        <v>2322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2.75" customHeight="1" x14ac:dyDescent="0.2">
      <c r="A148" s="7"/>
      <c r="B148" s="2" t="s">
        <v>11</v>
      </c>
      <c r="C148" s="2" t="s">
        <v>520</v>
      </c>
      <c r="D148" s="2"/>
      <c r="E148" s="7"/>
      <c r="F148" s="7"/>
      <c r="G148" s="9" t="s">
        <v>2322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2.75" customHeight="1" x14ac:dyDescent="0.2">
      <c r="A149" s="7"/>
      <c r="B149" s="2" t="s">
        <v>16</v>
      </c>
      <c r="C149" s="2"/>
      <c r="D149" s="2"/>
      <c r="E149" s="7"/>
      <c r="F149" s="7"/>
      <c r="G149" s="9" t="s">
        <v>2322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2.75" customHeight="1" x14ac:dyDescent="0.2">
      <c r="A150" s="7"/>
      <c r="B150" s="2" t="s">
        <v>17</v>
      </c>
      <c r="C150" s="2" t="s">
        <v>19</v>
      </c>
      <c r="D150" s="2"/>
      <c r="E150" s="7"/>
      <c r="F150" s="7"/>
      <c r="G150" s="9" t="s">
        <v>2322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2.75" customHeight="1" x14ac:dyDescent="0.2">
      <c r="A151" s="7"/>
      <c r="B151" s="2" t="s">
        <v>18</v>
      </c>
      <c r="C151" s="2" t="s">
        <v>139</v>
      </c>
      <c r="D151" s="2" t="str">
        <f>HYPERLINK("javascript:void(0)","diszprózium")</f>
        <v>diszprózium</v>
      </c>
      <c r="E151" s="7"/>
      <c r="F151" s="7"/>
      <c r="G151" s="9" t="s">
        <v>2322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2.75" customHeight="1" x14ac:dyDescent="0.2">
      <c r="A152" s="7"/>
      <c r="B152" s="2"/>
      <c r="C152" s="2" t="s">
        <v>44</v>
      </c>
      <c r="D152" s="2" t="str">
        <f>HYPERLINK("javascript:void(0)","gyémántpáncél")</f>
        <v>gyémántpáncél</v>
      </c>
      <c r="E152" s="7"/>
      <c r="F152" s="7"/>
      <c r="G152" s="9" t="s">
        <v>2322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2.75" customHeight="1" x14ac:dyDescent="0.2">
      <c r="A153" s="7"/>
      <c r="B153" s="2"/>
      <c r="C153" s="2" t="s">
        <v>98</v>
      </c>
      <c r="D153" s="2" t="str">
        <f>HYPERLINK("javascript:void(0)","sárkány izom")</f>
        <v>sárkány izom</v>
      </c>
      <c r="E153" s="7"/>
      <c r="F153" s="7"/>
      <c r="G153" s="9" t="s">
        <v>2322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2.75" customHeight="1" x14ac:dyDescent="0.2">
      <c r="A154" s="7"/>
      <c r="B154" s="2"/>
      <c r="C154" s="2"/>
      <c r="D154" s="2"/>
      <c r="E154" s="7"/>
      <c r="F154" s="7"/>
      <c r="G154" s="9" t="s">
        <v>2322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2.75" customHeight="1" x14ac:dyDescent="0.2">
      <c r="A155" s="7"/>
      <c r="B155" s="2"/>
      <c r="C155" s="2"/>
      <c r="D155" s="2"/>
      <c r="E155" s="7"/>
      <c r="F155" s="7"/>
      <c r="G155" s="9" t="s">
        <v>2322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2.75" customHeight="1" x14ac:dyDescent="0.2">
      <c r="A156" s="7"/>
      <c r="B156" s="2"/>
      <c r="C156" s="2"/>
      <c r="D156" s="2"/>
      <c r="E156" s="7"/>
      <c r="F156" s="7"/>
      <c r="G156" s="9" t="s">
        <v>2322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2.75" customHeight="1" x14ac:dyDescent="0.2">
      <c r="A157" s="7"/>
      <c r="B157" s="2"/>
      <c r="C157" s="2"/>
      <c r="D157" s="2"/>
      <c r="E157" s="7"/>
      <c r="F157" s="7"/>
      <c r="G157" s="9" t="s">
        <v>2322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2.75" customHeight="1" x14ac:dyDescent="0.2">
      <c r="A158" s="7"/>
      <c r="B158" s="2"/>
      <c r="C158" s="2"/>
      <c r="D158" s="2"/>
      <c r="E158" s="7"/>
      <c r="F158" s="7"/>
      <c r="G158" s="9" t="s">
        <v>2322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2.75" customHeight="1" x14ac:dyDescent="0.2">
      <c r="A159" s="7" t="str">
        <f>HYPERLINK("javascript:void(0)","sodrony boxeralsó")</f>
        <v>sodrony boxeralsó</v>
      </c>
      <c r="B159" s="7"/>
      <c r="C159" s="7"/>
      <c r="D159" s="2"/>
      <c r="E159" s="7"/>
      <c r="F159" s="7"/>
      <c r="G159" s="9" t="s">
        <v>2322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2.75" customHeight="1" x14ac:dyDescent="0.2">
      <c r="A160" s="7"/>
      <c r="B160" s="2"/>
      <c r="C160" s="2"/>
      <c r="D160" s="2"/>
      <c r="E160" s="7"/>
      <c r="F160" s="7"/>
      <c r="G160" s="9" t="s">
        <v>2322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2.75" customHeight="1" x14ac:dyDescent="0.2">
      <c r="A161" s="7"/>
      <c r="B161" s="2" t="s">
        <v>0</v>
      </c>
      <c r="C161" s="2" t="s">
        <v>41</v>
      </c>
      <c r="D161" s="2"/>
      <c r="E161" s="7"/>
      <c r="F161" s="7"/>
      <c r="G161" s="9" t="s">
        <v>2322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2.75" customHeight="1" x14ac:dyDescent="0.2">
      <c r="A162" s="7"/>
      <c r="B162" s="2" t="s">
        <v>2</v>
      </c>
      <c r="C162" s="2" t="s">
        <v>2322</v>
      </c>
      <c r="D162" s="2"/>
      <c r="E162" s="7"/>
      <c r="F162" s="7"/>
      <c r="G162" s="9" t="s">
        <v>2322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2.75" customHeight="1" x14ac:dyDescent="0.2">
      <c r="A163" s="7"/>
      <c r="B163" s="2" t="s">
        <v>1840</v>
      </c>
      <c r="C163" s="2" t="s">
        <v>58</v>
      </c>
      <c r="D163" s="2"/>
      <c r="E163" s="7"/>
      <c r="F163" s="7"/>
      <c r="G163" s="9" t="s">
        <v>2322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2.75" customHeight="1" x14ac:dyDescent="0.2">
      <c r="A164" s="7"/>
      <c r="B164" s="2" t="s">
        <v>9</v>
      </c>
      <c r="C164" s="2" t="s">
        <v>113</v>
      </c>
      <c r="D164" s="2"/>
      <c r="E164" s="7"/>
      <c r="F164" s="7"/>
      <c r="G164" s="9" t="s">
        <v>2322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2.75" customHeight="1" x14ac:dyDescent="0.2">
      <c r="A165" s="7"/>
      <c r="B165" s="2" t="s">
        <v>11</v>
      </c>
      <c r="C165" s="2" t="s">
        <v>685</v>
      </c>
      <c r="D165" s="2"/>
      <c r="E165" s="7"/>
      <c r="F165" s="7"/>
      <c r="G165" s="9" t="s">
        <v>2322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2.75" customHeight="1" x14ac:dyDescent="0.2">
      <c r="A166" s="7"/>
      <c r="B166" s="2" t="s">
        <v>16</v>
      </c>
      <c r="C166" s="2"/>
      <c r="D166" s="2"/>
      <c r="E166" s="7"/>
      <c r="F166" s="7"/>
      <c r="G166" s="9" t="s">
        <v>2322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2.75" customHeight="1" x14ac:dyDescent="0.2">
      <c r="A167" s="7"/>
      <c r="B167" s="2" t="s">
        <v>17</v>
      </c>
      <c r="C167" s="2" t="s">
        <v>19</v>
      </c>
      <c r="D167" s="2"/>
      <c r="E167" s="7"/>
      <c r="F167" s="7"/>
      <c r="G167" s="9" t="s">
        <v>2322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2.75" customHeight="1" x14ac:dyDescent="0.2">
      <c r="A168" s="7"/>
      <c r="B168" s="2" t="s">
        <v>18</v>
      </c>
      <c r="C168" s="2" t="s">
        <v>19</v>
      </c>
      <c r="D168" s="2"/>
      <c r="E168" s="7"/>
      <c r="F168" s="7"/>
      <c r="G168" s="9" t="s">
        <v>2322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2.75" customHeight="1" x14ac:dyDescent="0.2">
      <c r="A169" s="7"/>
      <c r="B169" s="2"/>
      <c r="C169" s="2"/>
      <c r="D169" s="2"/>
      <c r="E169" s="7"/>
      <c r="F169" s="7"/>
      <c r="G169" s="9" t="s">
        <v>2322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2.75" customHeight="1" x14ac:dyDescent="0.2">
      <c r="A170" s="7"/>
      <c r="B170" s="2"/>
      <c r="C170" s="2"/>
      <c r="D170" s="2"/>
      <c r="E170" s="7"/>
      <c r="F170" s="7"/>
      <c r="G170" s="9" t="s">
        <v>2322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2.75" customHeight="1" x14ac:dyDescent="0.2">
      <c r="A171" s="7"/>
      <c r="B171" s="2"/>
      <c r="C171" s="2"/>
      <c r="D171" s="2"/>
      <c r="E171" s="7"/>
      <c r="F171" s="7"/>
      <c r="G171" s="9" t="s">
        <v>2322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2.75" customHeight="1" x14ac:dyDescent="0.2">
      <c r="A172" s="7"/>
      <c r="B172" s="2"/>
      <c r="C172" s="2"/>
      <c r="D172" s="2"/>
      <c r="E172" s="7"/>
      <c r="F172" s="7"/>
      <c r="G172" s="9" t="s">
        <v>2322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2.75" customHeight="1" x14ac:dyDescent="0.2">
      <c r="A173" s="7"/>
      <c r="B173" s="2"/>
      <c r="C173" s="2"/>
      <c r="D173" s="2"/>
      <c r="E173" s="7"/>
      <c r="F173" s="7"/>
      <c r="G173" s="9" t="s">
        <v>2322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2.75" customHeight="1" x14ac:dyDescent="0.2">
      <c r="A174" s="7" t="str">
        <f>HYPERLINK("javascript:void(0)","kithpáncél")</f>
        <v>kithpáncél</v>
      </c>
      <c r="B174" s="7"/>
      <c r="C174" s="7"/>
      <c r="D174" s="7"/>
      <c r="E174" s="7"/>
      <c r="F174" s="7"/>
      <c r="G174" s="9" t="s">
        <v>2322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2.75" customHeight="1" x14ac:dyDescent="0.2">
      <c r="A175" s="7"/>
      <c r="B175" s="2"/>
      <c r="C175" s="2"/>
      <c r="D175" s="2"/>
      <c r="E175" s="7"/>
      <c r="F175" s="7"/>
      <c r="G175" s="9" t="s">
        <v>2322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2.75" customHeight="1" x14ac:dyDescent="0.2">
      <c r="A176" s="7"/>
      <c r="B176" s="2" t="s">
        <v>0</v>
      </c>
      <c r="C176" s="2" t="s">
        <v>260</v>
      </c>
      <c r="D176" s="2"/>
      <c r="E176" s="7"/>
      <c r="F176" s="7"/>
      <c r="G176" s="9" t="s">
        <v>2322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2.75" customHeight="1" x14ac:dyDescent="0.2">
      <c r="A177" s="7"/>
      <c r="B177" s="2" t="s">
        <v>2</v>
      </c>
      <c r="C177" s="2" t="s">
        <v>2322</v>
      </c>
      <c r="D177" s="2"/>
      <c r="E177" s="7"/>
      <c r="F177" s="7"/>
      <c r="G177" s="9" t="s">
        <v>2322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2.75" customHeight="1" x14ac:dyDescent="0.2">
      <c r="A178" s="7"/>
      <c r="B178" s="2" t="s">
        <v>1840</v>
      </c>
      <c r="C178" s="2" t="s">
        <v>167</v>
      </c>
      <c r="D178" s="2"/>
      <c r="E178" s="7"/>
      <c r="F178" s="7"/>
      <c r="G178" s="9" t="s">
        <v>2322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2.75" customHeight="1" x14ac:dyDescent="0.2">
      <c r="A179" s="7"/>
      <c r="B179" s="2" t="s">
        <v>9</v>
      </c>
      <c r="C179" s="2" t="s">
        <v>962</v>
      </c>
      <c r="D179" s="2"/>
      <c r="E179" s="7"/>
      <c r="F179" s="7"/>
      <c r="G179" s="9" t="s">
        <v>2322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2.75" customHeight="1" x14ac:dyDescent="0.2">
      <c r="A180" s="7"/>
      <c r="B180" s="2" t="s">
        <v>11</v>
      </c>
      <c r="C180" s="2" t="s">
        <v>551</v>
      </c>
      <c r="D180" s="2"/>
      <c r="E180" s="7"/>
      <c r="F180" s="7"/>
      <c r="G180" s="9" t="s">
        <v>2322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2.75" customHeight="1" x14ac:dyDescent="0.2">
      <c r="A181" s="7"/>
      <c r="B181" s="2" t="s">
        <v>16</v>
      </c>
      <c r="C181" s="2"/>
      <c r="D181" s="2"/>
      <c r="E181" s="7"/>
      <c r="F181" s="7"/>
      <c r="G181" s="9" t="s">
        <v>2322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2.75" customHeight="1" x14ac:dyDescent="0.2">
      <c r="A182" s="7"/>
      <c r="B182" s="2" t="s">
        <v>17</v>
      </c>
      <c r="C182" s="2" t="s">
        <v>19</v>
      </c>
      <c r="D182" s="2"/>
      <c r="E182" s="7"/>
      <c r="F182" s="7"/>
      <c r="G182" s="9" t="s">
        <v>2322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2.75" customHeight="1" x14ac:dyDescent="0.2">
      <c r="A183" s="7"/>
      <c r="B183" s="2" t="s">
        <v>18</v>
      </c>
      <c r="C183" s="2" t="s">
        <v>139</v>
      </c>
      <c r="D183" s="2" t="str">
        <f>HYPERLINK("javascript:void(0)","kithrill")</f>
        <v>kithrill</v>
      </c>
      <c r="E183" s="7"/>
      <c r="F183" s="7"/>
      <c r="G183" s="9" t="s">
        <v>2322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2.75" customHeight="1" x14ac:dyDescent="0.2">
      <c r="A184" s="7"/>
      <c r="B184" s="2"/>
      <c r="C184" s="2" t="s">
        <v>44</v>
      </c>
      <c r="D184" s="2" t="str">
        <f>HYPERLINK("javascript:void(0)","diszpropáncél")</f>
        <v>diszpropáncél</v>
      </c>
      <c r="E184" s="7"/>
      <c r="F184" s="7"/>
      <c r="G184" s="9" t="s">
        <v>2322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2.75" customHeight="1" x14ac:dyDescent="0.2">
      <c r="A185" s="7"/>
      <c r="B185" s="2"/>
      <c r="C185" s="2" t="s">
        <v>244</v>
      </c>
      <c r="D185" s="2" t="str">
        <f>HYPERLINK("javascript:void(0)","sárkány taréj")</f>
        <v>sárkány taréj</v>
      </c>
      <c r="E185" s="7"/>
      <c r="F185" s="7"/>
      <c r="G185" s="9" t="s">
        <v>2322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2.75" customHeight="1" x14ac:dyDescent="0.2">
      <c r="A186" s="7"/>
      <c r="B186" s="2"/>
      <c r="C186" s="2"/>
      <c r="D186" s="2"/>
      <c r="E186" s="7"/>
      <c r="F186" s="7"/>
      <c r="G186" s="9" t="s">
        <v>2322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2.75" customHeight="1" x14ac:dyDescent="0.2">
      <c r="A187" s="7"/>
      <c r="B187" s="2"/>
      <c r="C187" s="2"/>
      <c r="D187" s="2"/>
      <c r="E187" s="7"/>
      <c r="F187" s="7"/>
      <c r="G187" s="9" t="s">
        <v>2322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2.75" customHeight="1" x14ac:dyDescent="0.2">
      <c r="A188" s="7"/>
      <c r="B188" s="2"/>
      <c r="C188" s="2"/>
      <c r="D188" s="2"/>
      <c r="E188" s="7"/>
      <c r="F188" s="7"/>
      <c r="G188" s="9" t="s">
        <v>2322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2.75" customHeight="1" x14ac:dyDescent="0.2">
      <c r="A189" s="7"/>
      <c r="B189" s="2"/>
      <c r="C189" s="2"/>
      <c r="D189" s="2"/>
      <c r="E189" s="7"/>
      <c r="F189" s="7"/>
      <c r="G189" s="9" t="s">
        <v>2322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2.75" customHeight="1" x14ac:dyDescent="0.2">
      <c r="A190" s="7"/>
      <c r="B190" s="2"/>
      <c r="C190" s="2"/>
      <c r="D190" s="2"/>
      <c r="E190" s="7"/>
      <c r="F190" s="7"/>
      <c r="G190" s="9" t="s">
        <v>2322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2.75" customHeight="1" x14ac:dyDescent="0.2">
      <c r="A191" s="7" t="str">
        <f>HYPERLINK("javascript:void(0)","sárkányálló suba")</f>
        <v>sárkányálló suba</v>
      </c>
      <c r="B191" s="7"/>
      <c r="C191" s="7"/>
      <c r="D191" s="7"/>
      <c r="E191" s="7"/>
      <c r="F191" s="7"/>
      <c r="G191" s="9" t="s">
        <v>2322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2.75" customHeight="1" x14ac:dyDescent="0.2">
      <c r="A192" s="7"/>
      <c r="B192" s="2"/>
      <c r="C192" s="2"/>
      <c r="D192" s="2"/>
      <c r="E192" s="7"/>
      <c r="F192" s="7"/>
      <c r="G192" s="9" t="s">
        <v>2322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2.75" customHeight="1" x14ac:dyDescent="0.2">
      <c r="A193" s="7"/>
      <c r="B193" s="2" t="s">
        <v>0</v>
      </c>
      <c r="C193" s="2" t="s">
        <v>272</v>
      </c>
      <c r="D193" s="2"/>
      <c r="E193" s="7"/>
      <c r="F193" s="7"/>
      <c r="G193" s="9" t="s">
        <v>2322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2.75" customHeight="1" x14ac:dyDescent="0.2">
      <c r="A194" s="7"/>
      <c r="B194" s="2" t="s">
        <v>2</v>
      </c>
      <c r="C194" s="2" t="s">
        <v>2322</v>
      </c>
      <c r="D194" s="2"/>
      <c r="E194" s="7"/>
      <c r="F194" s="7"/>
      <c r="G194" s="9" t="s">
        <v>2322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2.75" customHeight="1" x14ac:dyDescent="0.2">
      <c r="A195" s="7"/>
      <c r="B195" s="2" t="s">
        <v>1840</v>
      </c>
      <c r="C195" s="2" t="s">
        <v>562</v>
      </c>
      <c r="D195" s="2"/>
      <c r="E195" s="7"/>
      <c r="F195" s="7"/>
      <c r="G195" s="9" t="s">
        <v>2322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2.75" customHeight="1" x14ac:dyDescent="0.2">
      <c r="A196" s="7"/>
      <c r="B196" s="2" t="s">
        <v>9</v>
      </c>
      <c r="C196" s="2" t="s">
        <v>135</v>
      </c>
      <c r="D196" s="2"/>
      <c r="E196" s="7"/>
      <c r="F196" s="7"/>
      <c r="G196" s="9" t="s">
        <v>2322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2.75" customHeight="1" x14ac:dyDescent="0.2">
      <c r="A197" s="7"/>
      <c r="B197" s="2" t="s">
        <v>11</v>
      </c>
      <c r="C197" s="2" t="s">
        <v>89</v>
      </c>
      <c r="D197" s="2"/>
      <c r="E197" s="7"/>
      <c r="F197" s="7"/>
      <c r="G197" s="9" t="s">
        <v>2322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2.75" customHeight="1" x14ac:dyDescent="0.2">
      <c r="A198" s="7"/>
      <c r="B198" s="2" t="s">
        <v>16</v>
      </c>
      <c r="C198" s="2"/>
      <c r="D198" s="2"/>
      <c r="E198" s="7"/>
      <c r="F198" s="7"/>
      <c r="G198" s="9" t="s">
        <v>2322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2.75" customHeight="1" x14ac:dyDescent="0.2">
      <c r="A199" s="7"/>
      <c r="B199" s="2" t="s">
        <v>17</v>
      </c>
      <c r="C199" s="2" t="s">
        <v>19</v>
      </c>
      <c r="D199" s="2"/>
      <c r="E199" s="7"/>
      <c r="F199" s="7"/>
      <c r="G199" s="9" t="s">
        <v>2322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2.75" customHeight="1" x14ac:dyDescent="0.2">
      <c r="A200" s="7"/>
      <c r="B200" s="2" t="s">
        <v>18</v>
      </c>
      <c r="C200" s="2" t="s">
        <v>139</v>
      </c>
      <c r="D200" s="2" t="str">
        <f>HYPERLINK("javascript:void(0)","sárkányfű")</f>
        <v>sárkányfű</v>
      </c>
      <c r="E200" s="7"/>
      <c r="F200" s="7"/>
      <c r="G200" s="9" t="s">
        <v>2322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2.75" customHeight="1" x14ac:dyDescent="0.2">
      <c r="A201" s="7"/>
      <c r="B201" s="2"/>
      <c r="C201" s="2" t="s">
        <v>56</v>
      </c>
      <c r="D201" s="2" t="str">
        <f>HYPERLINK("javascript:void(0)","sárkány izom")</f>
        <v>sárkány izom</v>
      </c>
      <c r="E201" s="7"/>
      <c r="F201" s="7"/>
      <c r="G201" s="9" t="s">
        <v>2322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2.75" customHeight="1" x14ac:dyDescent="0.2">
      <c r="A202" s="7"/>
      <c r="B202" s="2"/>
      <c r="C202" s="2" t="s">
        <v>77</v>
      </c>
      <c r="D202" s="2" t="str">
        <f>HYPERLINK("javascript:void(0)","sárkány szív")</f>
        <v>sárkány szív</v>
      </c>
      <c r="E202" s="7"/>
      <c r="F202" s="7"/>
      <c r="G202" s="9" t="s">
        <v>2322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2.75" customHeight="1" x14ac:dyDescent="0.2">
      <c r="A203" s="7"/>
      <c r="B203" s="2"/>
      <c r="C203" s="2"/>
      <c r="D203" s="2"/>
      <c r="E203" s="7"/>
      <c r="F203" s="7"/>
      <c r="G203" s="9" t="s">
        <v>2322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2.75" customHeight="1" x14ac:dyDescent="0.2">
      <c r="A204" s="7"/>
      <c r="B204" s="2"/>
      <c r="C204" s="2"/>
      <c r="D204" s="2"/>
      <c r="E204" s="7"/>
      <c r="F204" s="7"/>
      <c r="G204" s="9" t="s">
        <v>2322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2.75" customHeight="1" x14ac:dyDescent="0.2">
      <c r="A205" s="7"/>
      <c r="B205" s="2"/>
      <c r="C205" s="2"/>
      <c r="D205" s="2"/>
      <c r="E205" s="7"/>
      <c r="F205" s="7"/>
      <c r="G205" s="9" t="s">
        <v>2322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2.75" customHeight="1" x14ac:dyDescent="0.2">
      <c r="A206" s="7"/>
      <c r="B206" s="2"/>
      <c r="C206" s="2"/>
      <c r="D206" s="2"/>
      <c r="E206" s="7"/>
      <c r="F206" s="7"/>
      <c r="G206" s="9" t="s">
        <v>2322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2.75" customHeight="1" x14ac:dyDescent="0.2">
      <c r="A207" s="7"/>
      <c r="B207" s="2"/>
      <c r="C207" s="2"/>
      <c r="D207" s="2"/>
      <c r="E207" s="7"/>
      <c r="F207" s="7"/>
      <c r="G207" s="9" t="s">
        <v>2322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2.75" customHeight="1" x14ac:dyDescent="0.2">
      <c r="A208" s="7" t="str">
        <f>HYPERLINK("javascript:void(0)","centropáncél")</f>
        <v>centropáncél</v>
      </c>
      <c r="B208" s="7"/>
      <c r="C208" s="7"/>
      <c r="D208" s="7"/>
      <c r="E208" s="7"/>
      <c r="F208" s="7"/>
      <c r="G208" s="9" t="s">
        <v>2322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2.75" customHeight="1" x14ac:dyDescent="0.2">
      <c r="A209" s="7"/>
      <c r="B209" s="2"/>
      <c r="C209" s="2"/>
      <c r="D209" s="2"/>
      <c r="E209" s="7"/>
      <c r="F209" s="7"/>
      <c r="G209" s="9" t="s">
        <v>2322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2.75" customHeight="1" x14ac:dyDescent="0.2">
      <c r="A210" s="7"/>
      <c r="B210" s="2" t="s">
        <v>0</v>
      </c>
      <c r="C210" s="2" t="s">
        <v>284</v>
      </c>
      <c r="D210" s="2"/>
      <c r="E210" s="7"/>
      <c r="F210" s="7"/>
      <c r="G210" s="9" t="s">
        <v>2322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2.75" customHeight="1" x14ac:dyDescent="0.2">
      <c r="A211" s="7"/>
      <c r="B211" s="2" t="s">
        <v>2</v>
      </c>
      <c r="C211" s="2" t="s">
        <v>2322</v>
      </c>
      <c r="D211" s="2"/>
      <c r="E211" s="7"/>
      <c r="F211" s="7"/>
      <c r="G211" s="9" t="s">
        <v>2322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2.75" customHeight="1" x14ac:dyDescent="0.2">
      <c r="A212" s="7"/>
      <c r="B212" s="2" t="s">
        <v>1840</v>
      </c>
      <c r="C212" s="2" t="s">
        <v>219</v>
      </c>
      <c r="D212" s="2"/>
      <c r="E212" s="7"/>
      <c r="F212" s="7"/>
      <c r="G212" s="9" t="s">
        <v>2322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2.75" customHeight="1" x14ac:dyDescent="0.2">
      <c r="A213" s="7"/>
      <c r="B213" s="2" t="s">
        <v>9</v>
      </c>
      <c r="C213" s="2" t="s">
        <v>126</v>
      </c>
      <c r="D213" s="2"/>
      <c r="E213" s="7"/>
      <c r="F213" s="7"/>
      <c r="G213" s="9" t="s">
        <v>2322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2.75" customHeight="1" x14ac:dyDescent="0.2">
      <c r="A214" s="7"/>
      <c r="B214" s="2" t="s">
        <v>11</v>
      </c>
      <c r="C214" s="2" t="s">
        <v>519</v>
      </c>
      <c r="D214" s="2"/>
      <c r="E214" s="7"/>
      <c r="F214" s="7"/>
      <c r="G214" s="9" t="s">
        <v>2322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2.75" customHeight="1" x14ac:dyDescent="0.2">
      <c r="A215" s="7"/>
      <c r="B215" s="2" t="s">
        <v>16</v>
      </c>
      <c r="C215" s="2"/>
      <c r="D215" s="2"/>
      <c r="E215" s="7"/>
      <c r="F215" s="7"/>
      <c r="G215" s="9" t="s">
        <v>2322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2.75" customHeight="1" x14ac:dyDescent="0.2">
      <c r="A216" s="7"/>
      <c r="B216" s="2" t="s">
        <v>17</v>
      </c>
      <c r="C216" s="2" t="s">
        <v>19</v>
      </c>
      <c r="D216" s="2"/>
      <c r="E216" s="7"/>
      <c r="F216" s="7"/>
      <c r="G216" s="9" t="s">
        <v>2322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2.75" customHeight="1" x14ac:dyDescent="0.2">
      <c r="A217" s="7"/>
      <c r="B217" s="2" t="s">
        <v>18</v>
      </c>
      <c r="C217" s="2" t="s">
        <v>139</v>
      </c>
      <c r="D217" s="2" t="str">
        <f>HYPERLINK("javascript:void(0)","centrolium")</f>
        <v>centrolium</v>
      </c>
      <c r="E217" s="7"/>
      <c r="F217" s="7"/>
      <c r="G217" s="9" t="s">
        <v>2322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2.75" customHeight="1" x14ac:dyDescent="0.2">
      <c r="A218" s="7"/>
      <c r="B218" s="2"/>
      <c r="C218" s="2" t="s">
        <v>44</v>
      </c>
      <c r="D218" s="2" t="str">
        <f>HYPERLINK("javascript:void(0)","kithpáncél")</f>
        <v>kithpáncél</v>
      </c>
      <c r="E218" s="7"/>
      <c r="F218" s="7"/>
      <c r="G218" s="9" t="s">
        <v>2322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2.75" customHeight="1" x14ac:dyDescent="0.2">
      <c r="A219" s="7"/>
      <c r="B219" s="2"/>
      <c r="C219" s="2" t="s">
        <v>244</v>
      </c>
      <c r="D219" s="2" t="str">
        <f>HYPERLINK("javascript:void(0)","sárkány szem")</f>
        <v>sárkány szem</v>
      </c>
      <c r="E219" s="7"/>
      <c r="F219" s="7"/>
      <c r="G219" s="9" t="s">
        <v>2322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2.75" customHeight="1" x14ac:dyDescent="0.2">
      <c r="A220" s="7"/>
      <c r="B220" s="2"/>
      <c r="C220" s="2"/>
      <c r="D220" s="2"/>
      <c r="E220" s="7"/>
      <c r="F220" s="7"/>
      <c r="G220" s="9" t="s">
        <v>2322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2.75" customHeight="1" x14ac:dyDescent="0.2">
      <c r="A221" s="7"/>
      <c r="B221" s="2"/>
      <c r="C221" s="2"/>
      <c r="D221" s="2"/>
      <c r="E221" s="7"/>
      <c r="F221" s="7"/>
      <c r="G221" s="9" t="s">
        <v>2322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2.75" customHeight="1" x14ac:dyDescent="0.2">
      <c r="A222" s="7"/>
      <c r="B222" s="2"/>
      <c r="C222" s="2"/>
      <c r="D222" s="2"/>
      <c r="E222" s="7"/>
      <c r="F222" s="7"/>
      <c r="G222" s="9" t="s">
        <v>2322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2.75" customHeight="1" x14ac:dyDescent="0.2">
      <c r="A223" s="7"/>
      <c r="B223" s="2"/>
      <c r="C223" s="2"/>
      <c r="D223" s="2"/>
      <c r="E223" s="7"/>
      <c r="F223" s="7"/>
      <c r="G223" s="9" t="s">
        <v>2322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2.75" customHeight="1" x14ac:dyDescent="0.2">
      <c r="A224" s="7"/>
      <c r="B224" s="2"/>
      <c r="C224" s="2"/>
      <c r="D224" s="2"/>
      <c r="E224" s="7"/>
      <c r="F224" s="7"/>
      <c r="G224" s="9" t="s">
        <v>2322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2.75" customHeight="1" x14ac:dyDescent="0.2">
      <c r="A225" s="7" t="str">
        <f>HYPERLINK("javascript:void(0)","hiperpáncél")</f>
        <v>hiperpáncél</v>
      </c>
      <c r="B225" s="7"/>
      <c r="C225" s="7"/>
      <c r="D225" s="7"/>
      <c r="E225" s="7"/>
      <c r="F225" s="7"/>
      <c r="G225" s="9" t="s">
        <v>2322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2.75" customHeight="1" x14ac:dyDescent="0.2">
      <c r="A226" s="7"/>
      <c r="B226" s="2"/>
      <c r="C226" s="2"/>
      <c r="D226" s="2"/>
      <c r="E226" s="7"/>
      <c r="F226" s="7"/>
      <c r="G226" s="9" t="s">
        <v>2322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2.75" customHeight="1" x14ac:dyDescent="0.2">
      <c r="A227" s="7"/>
      <c r="B227" s="2" t="s">
        <v>0</v>
      </c>
      <c r="C227" s="2" t="s">
        <v>291</v>
      </c>
      <c r="D227" s="2"/>
      <c r="E227" s="7"/>
      <c r="F227" s="7"/>
      <c r="G227" s="9" t="s">
        <v>2322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2.75" customHeight="1" x14ac:dyDescent="0.2">
      <c r="A228" s="7"/>
      <c r="B228" s="2" t="s">
        <v>2</v>
      </c>
      <c r="C228" s="2" t="s">
        <v>2322</v>
      </c>
      <c r="D228" s="2"/>
      <c r="E228" s="7"/>
      <c r="F228" s="7"/>
      <c r="G228" s="9" t="s">
        <v>2322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2.75" customHeight="1" x14ac:dyDescent="0.2">
      <c r="A229" s="7"/>
      <c r="B229" s="2" t="s">
        <v>1840</v>
      </c>
      <c r="C229" s="2" t="s">
        <v>239</v>
      </c>
      <c r="D229" s="2"/>
      <c r="E229" s="7"/>
      <c r="F229" s="7"/>
      <c r="G229" s="9" t="s">
        <v>2322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2.75" customHeight="1" x14ac:dyDescent="0.2">
      <c r="A230" s="7"/>
      <c r="B230" s="2" t="s">
        <v>9</v>
      </c>
      <c r="C230" s="2" t="s">
        <v>200</v>
      </c>
      <c r="D230" s="2"/>
      <c r="E230" s="7"/>
      <c r="F230" s="7"/>
      <c r="G230" s="9" t="s">
        <v>2322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2.75" customHeight="1" x14ac:dyDescent="0.2">
      <c r="A231" s="7"/>
      <c r="B231" s="2" t="s">
        <v>11</v>
      </c>
      <c r="C231" s="2" t="s">
        <v>116</v>
      </c>
      <c r="D231" s="2"/>
      <c r="E231" s="7"/>
      <c r="F231" s="7"/>
      <c r="G231" s="9" t="s">
        <v>2322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2.75" customHeight="1" x14ac:dyDescent="0.2">
      <c r="A232" s="7"/>
      <c r="B232" s="2" t="s">
        <v>16</v>
      </c>
      <c r="C232" s="2"/>
      <c r="D232" s="2"/>
      <c r="E232" s="7"/>
      <c r="F232" s="7"/>
      <c r="G232" s="9" t="s">
        <v>2322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2.75" customHeight="1" x14ac:dyDescent="0.2">
      <c r="A233" s="7"/>
      <c r="B233" s="2" t="s">
        <v>17</v>
      </c>
      <c r="C233" s="2" t="s">
        <v>19</v>
      </c>
      <c r="D233" s="2"/>
      <c r="E233" s="7"/>
      <c r="F233" s="7"/>
      <c r="G233" s="9" t="s">
        <v>2322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2.75" customHeight="1" x14ac:dyDescent="0.2">
      <c r="A234" s="7"/>
      <c r="B234" s="2" t="s">
        <v>18</v>
      </c>
      <c r="C234" s="2" t="s">
        <v>139</v>
      </c>
      <c r="D234" s="2" t="str">
        <f>HYPERLINK("javascript:void(0)","hiperium")</f>
        <v>hiperium</v>
      </c>
      <c r="E234" s="7"/>
      <c r="F234" s="7"/>
      <c r="G234" s="9" t="s">
        <v>2322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2.75" customHeight="1" x14ac:dyDescent="0.2">
      <c r="A235" s="7"/>
      <c r="B235" s="2"/>
      <c r="C235" s="2" t="s">
        <v>44</v>
      </c>
      <c r="D235" s="2" t="str">
        <f>HYPERLINK("javascript:void(0)","centropáncél")</f>
        <v>centropáncél</v>
      </c>
      <c r="E235" s="7"/>
      <c r="F235" s="7"/>
      <c r="G235" s="9" t="s">
        <v>2322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2.75" customHeight="1" x14ac:dyDescent="0.2">
      <c r="A236" s="7"/>
      <c r="B236" s="2"/>
      <c r="C236" s="2" t="s">
        <v>244</v>
      </c>
      <c r="D236" s="2" t="str">
        <f>HYPERLINK("javascript:void(0)","sárkány szív")</f>
        <v>sárkány szív</v>
      </c>
      <c r="E236" s="7"/>
      <c r="F236" s="7"/>
      <c r="G236" s="9" t="s">
        <v>2322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2.75" customHeight="1" x14ac:dyDescent="0.2">
      <c r="A237" s="7"/>
      <c r="B237" s="2"/>
      <c r="C237" s="2"/>
      <c r="D237" s="2"/>
      <c r="E237" s="7"/>
      <c r="F237" s="7"/>
      <c r="G237" s="9" t="s">
        <v>2322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2.75" customHeight="1" x14ac:dyDescent="0.2">
      <c r="A238" s="7"/>
      <c r="B238" s="2"/>
      <c r="C238" s="2"/>
      <c r="D238" s="2"/>
      <c r="E238" s="7"/>
      <c r="F238" s="7"/>
      <c r="G238" s="9" t="s">
        <v>2322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2.75" customHeight="1" x14ac:dyDescent="0.2">
      <c r="A239" s="7"/>
      <c r="B239" s="2"/>
      <c r="C239" s="2"/>
      <c r="D239" s="2"/>
      <c r="E239" s="7"/>
      <c r="F239" s="7"/>
      <c r="G239" s="9" t="s">
        <v>2322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2.75" customHeight="1" x14ac:dyDescent="0.2">
      <c r="A240" s="7"/>
      <c r="B240" s="2"/>
      <c r="C240" s="2"/>
      <c r="D240" s="2"/>
      <c r="E240" s="7"/>
      <c r="F240" s="7"/>
      <c r="G240" s="9" t="s">
        <v>2322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2.75" customHeight="1" x14ac:dyDescent="0.2">
      <c r="A241" s="7"/>
      <c r="B241" s="2"/>
      <c r="C241" s="2"/>
      <c r="D241" s="2"/>
      <c r="E241" s="7"/>
      <c r="F241" s="7"/>
      <c r="G241" s="9" t="s">
        <v>2322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2.75" customHeight="1" x14ac:dyDescent="0.2">
      <c r="A242" s="7" t="str">
        <f>HYPERLINK("javascript:void(0)","bűzpáncél")</f>
        <v>bűzpáncél</v>
      </c>
      <c r="B242" s="7"/>
      <c r="C242" s="7"/>
      <c r="D242" s="7"/>
      <c r="E242" s="7"/>
      <c r="F242" s="7"/>
      <c r="G242" s="9" t="s">
        <v>2322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2.75" customHeight="1" x14ac:dyDescent="0.2">
      <c r="A243" s="7"/>
      <c r="B243" s="2"/>
      <c r="C243" s="2"/>
      <c r="D243" s="2"/>
      <c r="E243" s="7"/>
      <c r="F243" s="7"/>
      <c r="G243" s="9" t="s">
        <v>2322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2.75" customHeight="1" x14ac:dyDescent="0.2">
      <c r="A244" s="7"/>
      <c r="B244" s="2" t="s">
        <v>0</v>
      </c>
      <c r="C244" s="2" t="s">
        <v>298</v>
      </c>
      <c r="D244" s="2"/>
      <c r="E244" s="7"/>
      <c r="F244" s="7"/>
      <c r="G244" s="9" t="s">
        <v>2322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2.75" customHeight="1" x14ac:dyDescent="0.2">
      <c r="A245" s="7"/>
      <c r="B245" s="2" t="s">
        <v>2</v>
      </c>
      <c r="C245" s="2" t="s">
        <v>2322</v>
      </c>
      <c r="D245" s="2"/>
      <c r="E245" s="7"/>
      <c r="F245" s="7"/>
      <c r="G245" s="9" t="s">
        <v>2322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2.75" customHeight="1" x14ac:dyDescent="0.2">
      <c r="A246" s="7"/>
      <c r="B246" s="2" t="s">
        <v>1840</v>
      </c>
      <c r="C246" s="2" t="s">
        <v>65</v>
      </c>
      <c r="D246" s="2"/>
      <c r="E246" s="7"/>
      <c r="F246" s="7"/>
      <c r="G246" s="9" t="s">
        <v>2322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2.75" customHeight="1" x14ac:dyDescent="0.2">
      <c r="A247" s="7"/>
      <c r="B247" s="2" t="s">
        <v>9</v>
      </c>
      <c r="C247" s="2" t="s">
        <v>233</v>
      </c>
      <c r="D247" s="2"/>
      <c r="E247" s="7"/>
      <c r="F247" s="7"/>
      <c r="G247" s="9" t="s">
        <v>2322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2.75" customHeight="1" x14ac:dyDescent="0.2">
      <c r="A248" s="7"/>
      <c r="B248" s="2" t="s">
        <v>11</v>
      </c>
      <c r="C248" s="2" t="s">
        <v>152</v>
      </c>
      <c r="D248" s="2"/>
      <c r="E248" s="7"/>
      <c r="F248" s="7"/>
      <c r="G248" s="9" t="s">
        <v>2322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2.75" customHeight="1" x14ac:dyDescent="0.2">
      <c r="A249" s="7"/>
      <c r="B249" s="2" t="s">
        <v>16</v>
      </c>
      <c r="C249" s="2"/>
      <c r="D249" s="2"/>
      <c r="E249" s="7"/>
      <c r="F249" s="7"/>
      <c r="G249" s="9" t="s">
        <v>2322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2.75" customHeight="1" x14ac:dyDescent="0.2">
      <c r="A250" s="7"/>
      <c r="B250" s="2" t="s">
        <v>17</v>
      </c>
      <c r="C250" s="2" t="s">
        <v>19</v>
      </c>
      <c r="D250" s="2"/>
      <c r="E250" s="7"/>
      <c r="F250" s="7"/>
      <c r="G250" s="9" t="s">
        <v>2322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2.75" customHeight="1" x14ac:dyDescent="0.2">
      <c r="A251" s="7"/>
      <c r="B251" s="2" t="s">
        <v>18</v>
      </c>
      <c r="C251" s="2" t="s">
        <v>163</v>
      </c>
      <c r="D251" s="2" t="str">
        <f>HYPERLINK("javascript:void(0)","bűzmirigy")</f>
        <v>bűzmirigy</v>
      </c>
      <c r="E251" s="7"/>
      <c r="F251" s="7"/>
      <c r="G251" s="9" t="s">
        <v>2322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2.75" customHeight="1" x14ac:dyDescent="0.2">
      <c r="A252" s="7"/>
      <c r="B252" s="2"/>
      <c r="C252" s="2" t="s">
        <v>44</v>
      </c>
      <c r="D252" s="2" t="str">
        <f>HYPERLINK("javascript:void(0)","hiperpáncél")</f>
        <v>hiperpáncél</v>
      </c>
      <c r="E252" s="7"/>
      <c r="F252" s="7"/>
      <c r="G252" s="9" t="s">
        <v>2322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2.75" customHeight="1" x14ac:dyDescent="0.2">
      <c r="A253" s="7"/>
      <c r="B253" s="2"/>
      <c r="C253" s="2" t="s">
        <v>244</v>
      </c>
      <c r="D253" s="2" t="str">
        <f>HYPERLINK("javascript:void(0)","sárkány szarv")</f>
        <v>sárkány szarv</v>
      </c>
      <c r="E253" s="7"/>
      <c r="F253" s="7"/>
      <c r="G253" s="9" t="s">
        <v>2322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2.75" customHeight="1" x14ac:dyDescent="0.2">
      <c r="A254" s="7"/>
      <c r="B254" s="2"/>
      <c r="C254" s="2"/>
      <c r="D254" s="2"/>
      <c r="E254" s="7"/>
      <c r="F254" s="7"/>
      <c r="G254" s="9" t="s">
        <v>2322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2.75" customHeight="1" x14ac:dyDescent="0.2">
      <c r="A255" s="7"/>
      <c r="B255" s="2"/>
      <c r="C255" s="2"/>
      <c r="D255" s="2"/>
      <c r="E255" s="7"/>
      <c r="F255" s="7"/>
      <c r="G255" s="9" t="s">
        <v>2322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2.75" customHeight="1" x14ac:dyDescent="0.2">
      <c r="A256" s="7"/>
      <c r="B256" s="2"/>
      <c r="C256" s="2"/>
      <c r="D256" s="2"/>
      <c r="E256" s="7"/>
      <c r="F256" s="7"/>
      <c r="G256" s="9" t="s">
        <v>2322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2.75" customHeight="1" x14ac:dyDescent="0.2">
      <c r="A257" s="7"/>
      <c r="B257" s="2"/>
      <c r="C257" s="2"/>
      <c r="D257" s="2"/>
      <c r="E257" s="7"/>
      <c r="F257" s="7"/>
      <c r="G257" s="9" t="s">
        <v>2322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2.75" customHeight="1" x14ac:dyDescent="0.2">
      <c r="A258" s="7"/>
      <c r="B258" s="2"/>
      <c r="C258" s="2"/>
      <c r="D258" s="2"/>
      <c r="E258" s="7"/>
      <c r="F258" s="7"/>
      <c r="G258" s="9" t="s">
        <v>2322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2.75" customHeight="1" x14ac:dyDescent="0.2">
      <c r="A259" s="7" t="str">
        <f>HYPERLINK("javascript:void(0)","plazmapáncél")</f>
        <v>plazmapáncél</v>
      </c>
      <c r="B259" s="7"/>
      <c r="C259" s="7"/>
      <c r="D259" s="7"/>
      <c r="E259" s="7"/>
      <c r="F259" s="7"/>
      <c r="G259" s="9" t="s">
        <v>2322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2.75" customHeight="1" x14ac:dyDescent="0.2">
      <c r="A260" s="7"/>
      <c r="B260" s="2"/>
      <c r="C260" s="2"/>
      <c r="D260" s="2"/>
      <c r="E260" s="7"/>
      <c r="F260" s="7"/>
      <c r="G260" s="9" t="s">
        <v>2322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2.75" customHeight="1" x14ac:dyDescent="0.2">
      <c r="A261" s="7"/>
      <c r="B261" s="2" t="s">
        <v>0</v>
      </c>
      <c r="C261" s="2" t="s">
        <v>187</v>
      </c>
      <c r="D261" s="2"/>
      <c r="E261" s="7"/>
      <c r="F261" s="7"/>
      <c r="G261" s="9" t="s">
        <v>2322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2.75" customHeight="1" x14ac:dyDescent="0.2">
      <c r="A262" s="7"/>
      <c r="B262" s="2" t="s">
        <v>2</v>
      </c>
      <c r="C262" s="2" t="s">
        <v>2322</v>
      </c>
      <c r="D262" s="2"/>
      <c r="E262" s="7"/>
      <c r="F262" s="7"/>
      <c r="G262" s="9" t="s">
        <v>2322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2.75" customHeight="1" x14ac:dyDescent="0.2">
      <c r="A263" s="7"/>
      <c r="B263" s="2" t="s">
        <v>1840</v>
      </c>
      <c r="C263" s="2" t="s">
        <v>728</v>
      </c>
      <c r="D263" s="2"/>
      <c r="E263" s="7"/>
      <c r="F263" s="7"/>
      <c r="G263" s="9" t="s">
        <v>2322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2.75" customHeight="1" x14ac:dyDescent="0.2">
      <c r="A264" s="7"/>
      <c r="B264" s="2" t="s">
        <v>9</v>
      </c>
      <c r="C264" s="2" t="s">
        <v>169</v>
      </c>
      <c r="D264" s="2"/>
      <c r="E264" s="7"/>
      <c r="F264" s="7"/>
      <c r="G264" s="9" t="s">
        <v>2322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2.75" customHeight="1" x14ac:dyDescent="0.2">
      <c r="A265" s="7"/>
      <c r="B265" s="2" t="s">
        <v>11</v>
      </c>
      <c r="C265" s="2" t="s">
        <v>162</v>
      </c>
      <c r="D265" s="2"/>
      <c r="E265" s="7"/>
      <c r="F265" s="7"/>
      <c r="G265" s="9" t="s">
        <v>2322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2.75" customHeight="1" x14ac:dyDescent="0.2">
      <c r="A266" s="7"/>
      <c r="B266" s="2" t="s">
        <v>16</v>
      </c>
      <c r="C266" s="2"/>
      <c r="D266" s="2"/>
      <c r="E266" s="7"/>
      <c r="F266" s="7"/>
      <c r="G266" s="9" t="s">
        <v>2322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2.75" customHeight="1" x14ac:dyDescent="0.2">
      <c r="A267" s="7"/>
      <c r="B267" s="2" t="s">
        <v>17</v>
      </c>
      <c r="C267" s="2" t="s">
        <v>19</v>
      </c>
      <c r="D267" s="2"/>
      <c r="E267" s="7"/>
      <c r="F267" s="7"/>
      <c r="G267" s="9" t="s">
        <v>2322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2.75" customHeight="1" x14ac:dyDescent="0.2">
      <c r="A268" s="7"/>
      <c r="B268" s="2" t="s">
        <v>18</v>
      </c>
      <c r="C268" s="2" t="s">
        <v>139</v>
      </c>
      <c r="D268" s="2" t="str">
        <f>HYPERLINK("javascript:void(0)","membránplazma")</f>
        <v>membránplazma</v>
      </c>
      <c r="E268" s="7"/>
      <c r="F268" s="7"/>
      <c r="G268" s="9" t="s">
        <v>2322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2.75" customHeight="1" x14ac:dyDescent="0.2">
      <c r="A269" s="7"/>
      <c r="B269" s="2"/>
      <c r="C269" s="2" t="s">
        <v>44</v>
      </c>
      <c r="D269" s="2" t="str">
        <f>HYPERLINK("javascript:void(0)","bűzpáncél")</f>
        <v>bűzpáncél</v>
      </c>
      <c r="E269" s="7"/>
      <c r="F269" s="7"/>
      <c r="G269" s="9" t="s">
        <v>2322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2.75" customHeight="1" x14ac:dyDescent="0.2">
      <c r="A270" s="7"/>
      <c r="B270" s="2"/>
      <c r="C270" s="2" t="s">
        <v>67</v>
      </c>
      <c r="D270" s="2" t="str">
        <f>HYPERLINK("javascript:void(0)","sejtmag")</f>
        <v>sejtmag</v>
      </c>
      <c r="E270" s="7"/>
      <c r="F270" s="7"/>
      <c r="G270" s="9" t="s">
        <v>2322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2.75" customHeight="1" x14ac:dyDescent="0.2">
      <c r="A271" s="7"/>
      <c r="B271" s="2"/>
      <c r="C271" s="2"/>
      <c r="D271" s="2"/>
      <c r="E271" s="7"/>
      <c r="F271" s="7"/>
      <c r="G271" s="9" t="s">
        <v>2322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2.75" customHeight="1" x14ac:dyDescent="0.2">
      <c r="A272" s="7"/>
      <c r="B272" s="2"/>
      <c r="C272" s="2"/>
      <c r="D272" s="2"/>
      <c r="E272" s="7"/>
      <c r="F272" s="7"/>
      <c r="G272" s="9" t="s">
        <v>2322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2.75" customHeight="1" x14ac:dyDescent="0.2">
      <c r="A273" s="7"/>
      <c r="B273" s="2"/>
      <c r="C273" s="2"/>
      <c r="D273" s="2"/>
      <c r="E273" s="7"/>
      <c r="F273" s="7"/>
      <c r="G273" s="9" t="s">
        <v>2322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2.75" customHeight="1" x14ac:dyDescent="0.2">
      <c r="A274" s="7"/>
      <c r="B274" s="2"/>
      <c r="C274" s="2"/>
      <c r="D274" s="2"/>
      <c r="E274" s="7"/>
      <c r="F274" s="7"/>
      <c r="G274" s="9" t="s">
        <v>2322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2.75" customHeight="1" x14ac:dyDescent="0.2">
      <c r="A275" s="7"/>
      <c r="B275" s="2"/>
      <c r="C275" s="2"/>
      <c r="D275" s="2"/>
      <c r="E275" s="7"/>
      <c r="F275" s="7"/>
      <c r="G275" s="9" t="s">
        <v>2322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2.75" customHeight="1" x14ac:dyDescent="0.2">
      <c r="A276" s="7" t="str">
        <f>HYPERLINK("javascript:void(0)","körömpáncél")</f>
        <v>körömpáncél</v>
      </c>
      <c r="B276" s="7"/>
      <c r="C276" s="7"/>
      <c r="D276" s="7"/>
      <c r="E276" s="7"/>
      <c r="F276" s="7"/>
      <c r="G276" s="9" t="s">
        <v>2322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2.75" customHeight="1" x14ac:dyDescent="0.2">
      <c r="A277" s="7"/>
      <c r="B277" s="2"/>
      <c r="C277" s="2"/>
      <c r="D277" s="2"/>
      <c r="E277" s="7"/>
      <c r="F277" s="7"/>
      <c r="G277" s="9" t="s">
        <v>2322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2.75" customHeight="1" x14ac:dyDescent="0.2">
      <c r="A278" s="7"/>
      <c r="B278" s="2" t="s">
        <v>0</v>
      </c>
      <c r="C278" s="2" t="s">
        <v>107</v>
      </c>
      <c r="D278" s="2"/>
      <c r="E278" s="7"/>
      <c r="F278" s="7"/>
      <c r="G278" s="9" t="s">
        <v>2322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2.75" customHeight="1" x14ac:dyDescent="0.2">
      <c r="A279" s="7"/>
      <c r="B279" s="2" t="s">
        <v>2</v>
      </c>
      <c r="C279" s="2" t="s">
        <v>2322</v>
      </c>
      <c r="D279" s="2"/>
      <c r="E279" s="7"/>
      <c r="F279" s="7"/>
      <c r="G279" s="9" t="s">
        <v>2322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2.75" customHeight="1" x14ac:dyDescent="0.2">
      <c r="A280" s="7"/>
      <c r="B280" s="2" t="s">
        <v>1840</v>
      </c>
      <c r="C280" s="2" t="s">
        <v>773</v>
      </c>
      <c r="D280" s="2"/>
      <c r="E280" s="7"/>
      <c r="F280" s="7"/>
      <c r="G280" s="9" t="s">
        <v>2322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2.75" customHeight="1" x14ac:dyDescent="0.2">
      <c r="A281" s="7"/>
      <c r="B281" s="2" t="s">
        <v>9</v>
      </c>
      <c r="C281" s="2" t="s">
        <v>1255</v>
      </c>
      <c r="D281" s="2"/>
      <c r="E281" s="7"/>
      <c r="F281" s="7"/>
      <c r="G281" s="9" t="s">
        <v>2322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2.75" customHeight="1" x14ac:dyDescent="0.2">
      <c r="A282" s="7"/>
      <c r="B282" s="2" t="s">
        <v>11</v>
      </c>
      <c r="C282" s="2" t="s">
        <v>191</v>
      </c>
      <c r="D282" s="2"/>
      <c r="E282" s="7"/>
      <c r="F282" s="7"/>
      <c r="G282" s="9" t="s">
        <v>2322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2.75" customHeight="1" x14ac:dyDescent="0.2">
      <c r="A283" s="7"/>
      <c r="B283" s="2" t="s">
        <v>16</v>
      </c>
      <c r="C283" s="2"/>
      <c r="D283" s="2"/>
      <c r="E283" s="7"/>
      <c r="F283" s="7"/>
      <c r="G283" s="9" t="s">
        <v>2322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2.75" customHeight="1" x14ac:dyDescent="0.2">
      <c r="A284" s="7"/>
      <c r="B284" s="2" t="s">
        <v>17</v>
      </c>
      <c r="C284" s="2" t="s">
        <v>19</v>
      </c>
      <c r="D284" s="2"/>
      <c r="E284" s="7"/>
      <c r="F284" s="7"/>
      <c r="G284" s="9" t="s">
        <v>2322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2.75" customHeight="1" x14ac:dyDescent="0.2">
      <c r="A285" s="7"/>
      <c r="B285" s="2" t="s">
        <v>18</v>
      </c>
      <c r="C285" s="2" t="s">
        <v>139</v>
      </c>
      <c r="D285" s="2" t="str">
        <f>HYPERLINK("javascript:void(0)","mágusköpeny")</f>
        <v>mágusköpeny</v>
      </c>
      <c r="E285" s="7"/>
      <c r="F285" s="7"/>
      <c r="G285" s="9" t="s">
        <v>2322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2.75" customHeight="1" x14ac:dyDescent="0.2">
      <c r="A286" s="7"/>
      <c r="B286" s="2"/>
      <c r="C286" s="2" t="s">
        <v>494</v>
      </c>
      <c r="D286" s="2" t="str">
        <f>HYPERLINK("javascript:void(0)","gigaköröm")</f>
        <v>gigaköröm</v>
      </c>
      <c r="E286" s="7"/>
      <c r="F286" s="7"/>
      <c r="G286" s="9" t="s">
        <v>2322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2.75" customHeight="1" x14ac:dyDescent="0.2">
      <c r="A287" s="7"/>
      <c r="B287" s="2"/>
      <c r="C287" s="2" t="s">
        <v>44</v>
      </c>
      <c r="D287" s="2" t="str">
        <f>HYPERLINK("javascript:void(0)","plazmapáncél")</f>
        <v>plazmapáncél</v>
      </c>
      <c r="E287" s="7"/>
      <c r="F287" s="7"/>
      <c r="G287" s="9" t="s">
        <v>2322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2.75" customHeight="1" x14ac:dyDescent="0.2">
      <c r="A288" s="7"/>
      <c r="B288" s="2"/>
      <c r="C288" s="2"/>
      <c r="D288" s="2"/>
      <c r="E288" s="7"/>
      <c r="F288" s="7"/>
      <c r="G288" s="9" t="s">
        <v>2322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2.75" customHeight="1" x14ac:dyDescent="0.2">
      <c r="A289" s="7"/>
      <c r="B289" s="2"/>
      <c r="C289" s="2"/>
      <c r="D289" s="2"/>
      <c r="E289" s="7"/>
      <c r="F289" s="7"/>
      <c r="G289" s="9" t="s">
        <v>2322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2.75" customHeight="1" x14ac:dyDescent="0.2">
      <c r="A290" s="7"/>
      <c r="B290" s="2"/>
      <c r="C290" s="2"/>
      <c r="D290" s="2"/>
      <c r="E290" s="7"/>
      <c r="F290" s="7"/>
      <c r="G290" s="9" t="s">
        <v>2322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2.75" customHeight="1" x14ac:dyDescent="0.2">
      <c r="A291" s="7"/>
      <c r="B291" s="2"/>
      <c r="C291" s="2"/>
      <c r="D291" s="2"/>
      <c r="E291" s="7"/>
      <c r="F291" s="7"/>
      <c r="G291" s="9" t="s">
        <v>2322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2.75" customHeight="1" x14ac:dyDescent="0.2">
      <c r="A292" s="7"/>
      <c r="B292" s="2"/>
      <c r="C292" s="2"/>
      <c r="D292" s="2"/>
      <c r="E292" s="7"/>
      <c r="F292" s="7"/>
      <c r="G292" s="9" t="s">
        <v>2322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2.75" customHeight="1" x14ac:dyDescent="0.2">
      <c r="A293" s="7" t="str">
        <f>HYPERLINK("javascript:void(0)","gyíkacél mellény")</f>
        <v>gyíkacél mellény</v>
      </c>
      <c r="B293" s="7"/>
      <c r="C293" s="7"/>
      <c r="D293" s="7"/>
      <c r="E293" s="7"/>
      <c r="F293" s="7"/>
      <c r="G293" s="9" t="s">
        <v>2322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2.75" customHeight="1" x14ac:dyDescent="0.2">
      <c r="A294" s="7"/>
      <c r="B294" s="2"/>
      <c r="C294" s="2"/>
      <c r="D294" s="2"/>
      <c r="E294" s="7"/>
      <c r="F294" s="7"/>
      <c r="G294" s="9" t="s">
        <v>2322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2.75" customHeight="1" x14ac:dyDescent="0.2">
      <c r="A295" s="7"/>
      <c r="B295" s="2" t="s">
        <v>0</v>
      </c>
      <c r="C295" s="2" t="s">
        <v>107</v>
      </c>
      <c r="D295" s="2"/>
      <c r="E295" s="7"/>
      <c r="F295" s="7"/>
      <c r="G295" s="9" t="s">
        <v>2322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2.75" customHeight="1" x14ac:dyDescent="0.2">
      <c r="A296" s="7"/>
      <c r="B296" s="2" t="s">
        <v>2</v>
      </c>
      <c r="C296" s="2" t="s">
        <v>2322</v>
      </c>
      <c r="D296" s="2"/>
      <c r="E296" s="7"/>
      <c r="F296" s="7"/>
      <c r="G296" s="9" t="s">
        <v>2322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2.75" customHeight="1" x14ac:dyDescent="0.2">
      <c r="A297" s="7"/>
      <c r="B297" s="2" t="s">
        <v>1840</v>
      </c>
      <c r="C297" s="2" t="s">
        <v>719</v>
      </c>
      <c r="D297" s="2"/>
      <c r="E297" s="7"/>
      <c r="F297" s="7"/>
      <c r="G297" s="9" t="s">
        <v>2322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2.75" customHeight="1" x14ac:dyDescent="0.2">
      <c r="A298" s="7"/>
      <c r="B298" s="2" t="s">
        <v>9</v>
      </c>
      <c r="C298" s="2" t="s">
        <v>198</v>
      </c>
      <c r="D298" s="2"/>
      <c r="E298" s="7"/>
      <c r="F298" s="7"/>
      <c r="G298" s="9" t="s">
        <v>2322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2.75" customHeight="1" x14ac:dyDescent="0.2">
      <c r="A299" s="7"/>
      <c r="B299" s="2" t="s">
        <v>11</v>
      </c>
      <c r="C299" s="2" t="s">
        <v>279</v>
      </c>
      <c r="D299" s="2"/>
      <c r="E299" s="7"/>
      <c r="F299" s="7"/>
      <c r="G299" s="9" t="s">
        <v>2322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2.75" customHeight="1" x14ac:dyDescent="0.2">
      <c r="A300" s="7"/>
      <c r="B300" s="2" t="s">
        <v>16</v>
      </c>
      <c r="C300" s="2"/>
      <c r="D300" s="2"/>
      <c r="E300" s="7"/>
      <c r="F300" s="7"/>
      <c r="G300" s="9" t="s">
        <v>2322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2.75" customHeight="1" x14ac:dyDescent="0.2">
      <c r="A301" s="7"/>
      <c r="B301" s="2" t="s">
        <v>17</v>
      </c>
      <c r="C301" s="2" t="s">
        <v>19</v>
      </c>
      <c r="D301" s="2"/>
      <c r="E301" s="7"/>
      <c r="F301" s="7"/>
      <c r="G301" s="9" t="s">
        <v>2322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2.75" customHeight="1" x14ac:dyDescent="0.2">
      <c r="A302" s="7"/>
      <c r="B302" s="2" t="s">
        <v>18</v>
      </c>
      <c r="C302" s="2" t="s">
        <v>280</v>
      </c>
      <c r="D302" s="2" t="str">
        <f>HYPERLINK("javascript:void(0)","szent szimbólum")</f>
        <v>szent szimbólum</v>
      </c>
      <c r="E302" s="7"/>
      <c r="F302" s="7"/>
      <c r="G302" s="9" t="s">
        <v>2322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2.75" customHeight="1" x14ac:dyDescent="0.2">
      <c r="A303" s="7"/>
      <c r="B303" s="2"/>
      <c r="C303" s="2" t="s">
        <v>280</v>
      </c>
      <c r="D303" s="2" t="str">
        <f>HYPERLINK("javascript:void(0)","portgyűrű")</f>
        <v>portgyűrű</v>
      </c>
      <c r="E303" s="7"/>
      <c r="F303" s="7"/>
      <c r="G303" s="9" t="s">
        <v>2322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2.75" customHeight="1" x14ac:dyDescent="0.2">
      <c r="A304" s="7"/>
      <c r="B304" s="2"/>
      <c r="C304" s="2" t="s">
        <v>1379</v>
      </c>
      <c r="D304" s="2" t="str">
        <f>HYPERLINK("javascript:void(0)","goblinbatka")</f>
        <v>goblinbatka</v>
      </c>
      <c r="E304" s="7"/>
      <c r="F304" s="7"/>
      <c r="G304" s="9" t="s">
        <v>2322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2.75" customHeight="1" x14ac:dyDescent="0.2">
      <c r="A305" s="7"/>
      <c r="B305" s="2"/>
      <c r="C305" s="2"/>
      <c r="D305" s="2"/>
      <c r="E305" s="7"/>
      <c r="F305" s="7"/>
      <c r="G305" s="9" t="s">
        <v>2322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2.75" customHeight="1" x14ac:dyDescent="0.2">
      <c r="A306" s="7"/>
      <c r="B306" s="2"/>
      <c r="C306" s="2"/>
      <c r="D306" s="2"/>
      <c r="E306" s="7"/>
      <c r="F306" s="7"/>
      <c r="G306" s="9" t="s">
        <v>2322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2.75" customHeight="1" x14ac:dyDescent="0.2">
      <c r="A307" s="7"/>
      <c r="B307" s="2"/>
      <c r="C307" s="2"/>
      <c r="D307" s="2"/>
      <c r="E307" s="7"/>
      <c r="F307" s="7"/>
      <c r="G307" s="9" t="s">
        <v>2322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2.75" customHeight="1" x14ac:dyDescent="0.2">
      <c r="A308" s="7"/>
      <c r="B308" s="2"/>
      <c r="C308" s="2"/>
      <c r="D308" s="2"/>
      <c r="E308" s="7"/>
      <c r="F308" s="7"/>
      <c r="G308" s="9" t="s">
        <v>2322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2.75" customHeight="1" x14ac:dyDescent="0.2">
      <c r="A309" s="7"/>
      <c r="B309" s="2"/>
      <c r="C309" s="2"/>
      <c r="D309" s="2"/>
      <c r="E309" s="7"/>
      <c r="F309" s="7"/>
      <c r="G309" s="9" t="s">
        <v>2322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2.75" customHeight="1" x14ac:dyDescent="0.2">
      <c r="A310" s="7" t="str">
        <f>HYPERLINK("javascript:void(0)","könnyű csillámköpeny")</f>
        <v>könnyű csillámköpeny</v>
      </c>
      <c r="B310" s="7"/>
      <c r="C310" s="7"/>
      <c r="D310" s="7"/>
      <c r="E310" s="7"/>
      <c r="F310" s="7"/>
      <c r="G310" s="9" t="s">
        <v>2322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2.75" customHeight="1" x14ac:dyDescent="0.2">
      <c r="A311" s="7"/>
      <c r="B311" s="2"/>
      <c r="C311" s="2"/>
      <c r="D311" s="2"/>
      <c r="E311" s="7"/>
      <c r="F311" s="7"/>
      <c r="G311" s="9" t="s">
        <v>2322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2.75" customHeight="1" x14ac:dyDescent="0.2">
      <c r="A312" s="7"/>
      <c r="B312" s="2" t="s">
        <v>0</v>
      </c>
      <c r="C312" s="2" t="s">
        <v>107</v>
      </c>
      <c r="D312" s="2"/>
      <c r="E312" s="7"/>
      <c r="F312" s="7"/>
      <c r="G312" s="9" t="s">
        <v>2322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2.75" customHeight="1" x14ac:dyDescent="0.2">
      <c r="A313" s="7"/>
      <c r="B313" s="2" t="s">
        <v>2</v>
      </c>
      <c r="C313" s="2" t="s">
        <v>2322</v>
      </c>
      <c r="D313" s="2"/>
      <c r="E313" s="7"/>
      <c r="F313" s="7"/>
      <c r="G313" s="9" t="s">
        <v>2322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2.75" customHeight="1" x14ac:dyDescent="0.2">
      <c r="A314" s="7"/>
      <c r="B314" s="2" t="s">
        <v>1840</v>
      </c>
      <c r="C314" s="2" t="s">
        <v>937</v>
      </c>
      <c r="D314" s="2"/>
      <c r="E314" s="7"/>
      <c r="F314" s="7"/>
      <c r="G314" s="9" t="s">
        <v>2322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2.75" customHeight="1" x14ac:dyDescent="0.2">
      <c r="A315" s="7"/>
      <c r="B315" s="2" t="s">
        <v>9</v>
      </c>
      <c r="C315" s="2" t="s">
        <v>2354</v>
      </c>
      <c r="D315" s="2"/>
      <c r="E315" s="7"/>
      <c r="F315" s="7"/>
      <c r="G315" s="9" t="s">
        <v>2322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2.75" customHeight="1" x14ac:dyDescent="0.2">
      <c r="A316" s="7"/>
      <c r="B316" s="2" t="s">
        <v>11</v>
      </c>
      <c r="C316" s="2" t="s">
        <v>289</v>
      </c>
      <c r="D316" s="2"/>
      <c r="E316" s="7"/>
      <c r="F316" s="7"/>
      <c r="G316" s="9" t="s">
        <v>2322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2.75" customHeight="1" x14ac:dyDescent="0.2">
      <c r="A317" s="7"/>
      <c r="B317" s="2" t="s">
        <v>16</v>
      </c>
      <c r="C317" s="2"/>
      <c r="D317" s="2"/>
      <c r="E317" s="7"/>
      <c r="F317" s="7"/>
      <c r="G317" s="9" t="s">
        <v>2322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2.75" customHeight="1" x14ac:dyDescent="0.2">
      <c r="A318" s="7"/>
      <c r="B318" s="2" t="s">
        <v>17</v>
      </c>
      <c r="C318" s="2" t="s">
        <v>19</v>
      </c>
      <c r="D318" s="2"/>
      <c r="E318" s="7"/>
      <c r="F318" s="7"/>
      <c r="G318" s="9" t="s">
        <v>2322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2.75" customHeight="1" x14ac:dyDescent="0.2">
      <c r="A319" s="7"/>
      <c r="B319" s="2" t="s">
        <v>18</v>
      </c>
      <c r="C319" s="2" t="s">
        <v>139</v>
      </c>
      <c r="D319" s="2" t="str">
        <f>HYPERLINK("javascript:void(0)","sárkányálló suba")</f>
        <v>sárkányálló suba</v>
      </c>
      <c r="E319" s="7"/>
      <c r="F319" s="7"/>
      <c r="G319" s="9" t="s">
        <v>2322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2.75" customHeight="1" x14ac:dyDescent="0.2">
      <c r="A320" s="7"/>
      <c r="B320" s="2"/>
      <c r="C320" s="2" t="s">
        <v>57</v>
      </c>
      <c r="D320" s="2" t="str">
        <f>HYPERLINK("javascript:void(0)","csillámgöb")</f>
        <v>csillámgöb</v>
      </c>
      <c r="E320" s="7"/>
      <c r="F320" s="7"/>
      <c r="G320" s="9" t="s">
        <v>2322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2.75" customHeight="1" x14ac:dyDescent="0.2">
      <c r="A321" s="7"/>
      <c r="B321" s="2"/>
      <c r="C321" s="2" t="s">
        <v>44</v>
      </c>
      <c r="D321" s="2" t="str">
        <f>HYPERLINK("javascript:void(0)","ezüstpáncél")</f>
        <v>ezüstpáncél</v>
      </c>
      <c r="E321" s="7"/>
      <c r="F321" s="7"/>
      <c r="G321" s="9" t="s">
        <v>2322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2.75" customHeight="1" x14ac:dyDescent="0.2">
      <c r="A322" s="7"/>
      <c r="B322" s="2"/>
      <c r="C322" s="2"/>
      <c r="D322" s="2"/>
      <c r="E322" s="7"/>
      <c r="F322" s="7"/>
      <c r="G322" s="9" t="s">
        <v>2322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2.75" customHeight="1" x14ac:dyDescent="0.2">
      <c r="A323" s="7"/>
      <c r="B323" s="2"/>
      <c r="C323" s="2"/>
      <c r="D323" s="2"/>
      <c r="E323" s="7"/>
      <c r="F323" s="7"/>
      <c r="G323" s="9" t="s">
        <v>2322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2.75" customHeight="1" x14ac:dyDescent="0.2">
      <c r="A324" s="7"/>
      <c r="B324" s="2"/>
      <c r="C324" s="2"/>
      <c r="D324" s="2"/>
      <c r="E324" s="7"/>
      <c r="F324" s="7"/>
      <c r="G324" s="9" t="s">
        <v>2322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2.75" customHeight="1" x14ac:dyDescent="0.2">
      <c r="A325" s="7"/>
      <c r="B325" s="2"/>
      <c r="C325" s="2"/>
      <c r="D325" s="2"/>
      <c r="E325" s="7"/>
      <c r="F325" s="7"/>
      <c r="G325" s="9" t="s">
        <v>2322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2.75" customHeight="1" x14ac:dyDescent="0.2">
      <c r="A326" s="7"/>
      <c r="B326" s="2"/>
      <c r="C326" s="2"/>
      <c r="D326" s="2"/>
      <c r="E326" s="7"/>
      <c r="F326" s="7"/>
      <c r="G326" s="9" t="s">
        <v>2322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2.75" customHeight="1" x14ac:dyDescent="0.2">
      <c r="A327" s="7" t="str">
        <f>HYPERLINK("javascript:void(0)","szélpáncél")</f>
        <v>szélpáncél</v>
      </c>
      <c r="B327" s="7"/>
      <c r="C327" s="7"/>
      <c r="D327" s="7"/>
      <c r="E327" s="7"/>
      <c r="F327" s="7"/>
      <c r="G327" s="9" t="s">
        <v>2322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2.75" customHeight="1" x14ac:dyDescent="0.2">
      <c r="A328" s="7"/>
      <c r="B328" s="2"/>
      <c r="C328" s="2"/>
      <c r="D328" s="2"/>
      <c r="E328" s="7"/>
      <c r="F328" s="7"/>
      <c r="G328" s="9" t="s">
        <v>2322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2.75" customHeight="1" x14ac:dyDescent="0.2">
      <c r="A329" s="7"/>
      <c r="B329" s="2" t="s">
        <v>0</v>
      </c>
      <c r="C329" s="2" t="s">
        <v>324</v>
      </c>
      <c r="D329" s="2"/>
      <c r="E329" s="7"/>
      <c r="F329" s="7"/>
      <c r="G329" s="9" t="s">
        <v>2322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2.75" customHeight="1" x14ac:dyDescent="0.2">
      <c r="A330" s="7"/>
      <c r="B330" s="2" t="s">
        <v>2</v>
      </c>
      <c r="C330" s="2" t="s">
        <v>2322</v>
      </c>
      <c r="D330" s="2"/>
      <c r="E330" s="7"/>
      <c r="F330" s="7"/>
      <c r="G330" s="9" t="s">
        <v>2322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2.75" customHeight="1" x14ac:dyDescent="0.2">
      <c r="A331" s="7"/>
      <c r="B331" s="2" t="s">
        <v>1840</v>
      </c>
      <c r="C331" s="2" t="s">
        <v>302</v>
      </c>
      <c r="D331" s="2"/>
      <c r="E331" s="7"/>
      <c r="F331" s="7"/>
      <c r="G331" s="9" t="s">
        <v>2322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2.75" customHeight="1" x14ac:dyDescent="0.2">
      <c r="A332" s="7"/>
      <c r="B332" s="2" t="s">
        <v>9</v>
      </c>
      <c r="C332" s="2" t="s">
        <v>704</v>
      </c>
      <c r="D332" s="2"/>
      <c r="E332" s="7"/>
      <c r="F332" s="7"/>
      <c r="G332" s="9" t="s">
        <v>2322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2.75" customHeight="1" x14ac:dyDescent="0.2">
      <c r="A333" s="7"/>
      <c r="B333" s="2" t="s">
        <v>11</v>
      </c>
      <c r="C333" s="2" t="s">
        <v>243</v>
      </c>
      <c r="D333" s="2"/>
      <c r="E333" s="7"/>
      <c r="F333" s="7"/>
      <c r="G333" s="9" t="s">
        <v>2322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2.75" customHeight="1" x14ac:dyDescent="0.2">
      <c r="A334" s="7"/>
      <c r="B334" s="2" t="s">
        <v>16</v>
      </c>
      <c r="C334" s="2"/>
      <c r="D334" s="2"/>
      <c r="E334" s="7"/>
      <c r="F334" s="7"/>
      <c r="G334" s="9" t="s">
        <v>2322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2.75" customHeight="1" x14ac:dyDescent="0.2">
      <c r="A335" s="7"/>
      <c r="B335" s="2" t="s">
        <v>17</v>
      </c>
      <c r="C335" s="2" t="s">
        <v>19</v>
      </c>
      <c r="D335" s="2"/>
      <c r="E335" s="7"/>
      <c r="F335" s="7"/>
      <c r="G335" s="9" t="s">
        <v>2322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2.75" customHeight="1" x14ac:dyDescent="0.2">
      <c r="A336" s="7"/>
      <c r="B336" s="2" t="s">
        <v>18</v>
      </c>
      <c r="C336" s="2" t="s">
        <v>117</v>
      </c>
      <c r="D336" s="2" t="str">
        <f>HYPERLINK("javascript:void(0)","sárkányálló suba")</f>
        <v>sárkányálló suba</v>
      </c>
      <c r="E336" s="7"/>
      <c r="F336" s="7"/>
      <c r="G336" s="9" t="s">
        <v>2322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2.75" customHeight="1" x14ac:dyDescent="0.2">
      <c r="A337" s="7"/>
      <c r="B337" s="2"/>
      <c r="C337" s="2" t="s">
        <v>77</v>
      </c>
      <c r="D337" s="2" t="str">
        <f>HYPERLINK("javascript:void(0)","kompózium")</f>
        <v>kompózium</v>
      </c>
      <c r="E337" s="7"/>
      <c r="F337" s="7"/>
      <c r="G337" s="9" t="s">
        <v>2322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2.75" customHeight="1" x14ac:dyDescent="0.2">
      <c r="A338" s="7"/>
      <c r="B338" s="2"/>
      <c r="C338" s="2" t="s">
        <v>756</v>
      </c>
      <c r="D338" s="2" t="str">
        <f>HYPERLINK("javascript:void(0)","légige")</f>
        <v>légige</v>
      </c>
      <c r="E338" s="7"/>
      <c r="F338" s="7"/>
      <c r="G338" s="9" t="s">
        <v>2322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2.75" customHeight="1" x14ac:dyDescent="0.2">
      <c r="A339" s="7"/>
      <c r="B339" s="2"/>
      <c r="C339" s="2"/>
      <c r="D339" s="2"/>
      <c r="E339" s="7"/>
      <c r="F339" s="7"/>
      <c r="G339" s="9" t="s">
        <v>2322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2.75" customHeight="1" x14ac:dyDescent="0.2">
      <c r="A340" s="7"/>
      <c r="B340" s="2"/>
      <c r="C340" s="2"/>
      <c r="D340" s="2"/>
      <c r="E340" s="7"/>
      <c r="F340" s="7"/>
      <c r="G340" s="9" t="s">
        <v>2322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2.75" customHeight="1" x14ac:dyDescent="0.2">
      <c r="A341" s="7"/>
      <c r="B341" s="2"/>
      <c r="C341" s="2"/>
      <c r="D341" s="2"/>
      <c r="E341" s="7"/>
      <c r="F341" s="7"/>
      <c r="G341" s="9" t="s">
        <v>2322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2.75" customHeight="1" x14ac:dyDescent="0.2">
      <c r="A342" s="7"/>
      <c r="B342" s="2"/>
      <c r="C342" s="2"/>
      <c r="D342" s="2"/>
      <c r="E342" s="7"/>
      <c r="F342" s="7"/>
      <c r="G342" s="9" t="s">
        <v>2322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2.75" customHeight="1" x14ac:dyDescent="0.2">
      <c r="A343" s="7"/>
      <c r="B343" s="2"/>
      <c r="C343" s="2"/>
      <c r="D343" s="2"/>
      <c r="E343" s="7"/>
      <c r="F343" s="7"/>
      <c r="G343" s="9" t="s">
        <v>2322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2.75" customHeight="1" x14ac:dyDescent="0.2">
      <c r="A344" s="7" t="str">
        <f>HYPERLINK("javascript:void(0)","lángpáncél")</f>
        <v>lángpáncél</v>
      </c>
      <c r="B344" s="7"/>
      <c r="C344" s="7"/>
      <c r="D344" s="7"/>
      <c r="E344" s="7"/>
      <c r="F344" s="7"/>
      <c r="G344" s="9" t="s">
        <v>2322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2.75" customHeight="1" x14ac:dyDescent="0.2">
      <c r="A345" s="7"/>
      <c r="B345" s="2"/>
      <c r="C345" s="2"/>
      <c r="D345" s="2"/>
      <c r="E345" s="7"/>
      <c r="F345" s="7"/>
      <c r="G345" s="9" t="s">
        <v>2322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2.75" customHeight="1" x14ac:dyDescent="0.2">
      <c r="A346" s="7"/>
      <c r="B346" s="2" t="s">
        <v>0</v>
      </c>
      <c r="C346" s="2" t="s">
        <v>324</v>
      </c>
      <c r="D346" s="2"/>
      <c r="E346" s="7"/>
      <c r="F346" s="7"/>
      <c r="G346" s="9" t="s">
        <v>2322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2.75" customHeight="1" x14ac:dyDescent="0.2">
      <c r="A347" s="7"/>
      <c r="B347" s="2" t="s">
        <v>2</v>
      </c>
      <c r="C347" s="2" t="s">
        <v>2322</v>
      </c>
      <c r="D347" s="2"/>
      <c r="E347" s="7"/>
      <c r="F347" s="7"/>
      <c r="G347" s="9" t="s">
        <v>2322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2.75" customHeight="1" x14ac:dyDescent="0.2">
      <c r="A348" s="7"/>
      <c r="B348" s="2" t="s">
        <v>1840</v>
      </c>
      <c r="C348" s="2" t="s">
        <v>255</v>
      </c>
      <c r="D348" s="2"/>
      <c r="E348" s="7"/>
      <c r="F348" s="7"/>
      <c r="G348" s="9" t="s">
        <v>2322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2.75" customHeight="1" x14ac:dyDescent="0.2">
      <c r="A349" s="7"/>
      <c r="B349" s="2" t="s">
        <v>9</v>
      </c>
      <c r="C349" s="2" t="s">
        <v>36</v>
      </c>
      <c r="D349" s="2"/>
      <c r="E349" s="7"/>
      <c r="F349" s="7"/>
      <c r="G349" s="9" t="s">
        <v>2322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2.75" customHeight="1" x14ac:dyDescent="0.2">
      <c r="A350" s="7"/>
      <c r="B350" s="2" t="s">
        <v>11</v>
      </c>
      <c r="C350" s="2" t="s">
        <v>2358</v>
      </c>
      <c r="D350" s="2"/>
      <c r="E350" s="7"/>
      <c r="F350" s="7"/>
      <c r="G350" s="9" t="s">
        <v>2322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2.75" customHeight="1" x14ac:dyDescent="0.2">
      <c r="A351" s="7"/>
      <c r="B351" s="2" t="s">
        <v>16</v>
      </c>
      <c r="C351" s="2"/>
      <c r="D351" s="2"/>
      <c r="E351" s="7"/>
      <c r="F351" s="7"/>
      <c r="G351" s="9" t="s">
        <v>2322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2.75" customHeight="1" x14ac:dyDescent="0.2">
      <c r="A352" s="7"/>
      <c r="B352" s="2" t="s">
        <v>17</v>
      </c>
      <c r="C352" s="2" t="s">
        <v>19</v>
      </c>
      <c r="D352" s="2"/>
      <c r="E352" s="7"/>
      <c r="F352" s="7"/>
      <c r="G352" s="9" t="s">
        <v>2322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2.75" customHeight="1" x14ac:dyDescent="0.2">
      <c r="A353" s="7"/>
      <c r="B353" s="2" t="s">
        <v>18</v>
      </c>
      <c r="C353" s="2" t="s">
        <v>117</v>
      </c>
      <c r="D353" s="2" t="str">
        <f>HYPERLINK("javascript:void(0)","sodrony boxeralsó")</f>
        <v>sodrony boxeralsó</v>
      </c>
      <c r="E353" s="7"/>
      <c r="F353" s="7"/>
      <c r="G353" s="9" t="s">
        <v>2322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2.75" customHeight="1" x14ac:dyDescent="0.2">
      <c r="A354" s="7"/>
      <c r="B354" s="2"/>
      <c r="C354" s="2" t="s">
        <v>77</v>
      </c>
      <c r="D354" s="2" t="str">
        <f>HYPERLINK("javascript:void(0)","kompózium")</f>
        <v>kompózium</v>
      </c>
      <c r="E354" s="7"/>
      <c r="F354" s="7"/>
      <c r="G354" s="9" t="s">
        <v>2322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2.75" customHeight="1" x14ac:dyDescent="0.2">
      <c r="A355" s="7"/>
      <c r="B355" s="2"/>
      <c r="C355" s="2" t="s">
        <v>756</v>
      </c>
      <c r="D355" s="2" t="str">
        <f>HYPERLINK("javascript:void(0)","tűzige")</f>
        <v>tűzige</v>
      </c>
      <c r="E355" s="7"/>
      <c r="F355" s="7"/>
      <c r="G355" s="9" t="s">
        <v>2322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2.75" customHeight="1" x14ac:dyDescent="0.2">
      <c r="A356" s="7"/>
      <c r="B356" s="2"/>
      <c r="C356" s="2"/>
      <c r="D356" s="2"/>
      <c r="E356" s="7"/>
      <c r="F356" s="7"/>
      <c r="G356" s="9" t="s">
        <v>2322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2.75" customHeight="1" x14ac:dyDescent="0.2">
      <c r="A357" s="7"/>
      <c r="B357" s="2"/>
      <c r="C357" s="2"/>
      <c r="D357" s="2"/>
      <c r="E357" s="7"/>
      <c r="F357" s="7"/>
      <c r="G357" s="9" t="s">
        <v>2322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2.75" customHeight="1" x14ac:dyDescent="0.2">
      <c r="A358" s="7"/>
      <c r="B358" s="2"/>
      <c r="C358" s="2"/>
      <c r="D358" s="2"/>
      <c r="E358" s="7"/>
      <c r="F358" s="7"/>
      <c r="G358" s="9" t="s">
        <v>2322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2.75" customHeight="1" x14ac:dyDescent="0.2">
      <c r="A359" s="7"/>
      <c r="B359" s="2"/>
      <c r="C359" s="2"/>
      <c r="D359" s="2"/>
      <c r="E359" s="7"/>
      <c r="F359" s="7"/>
      <c r="G359" s="9" t="s">
        <v>2322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2.75" customHeight="1" x14ac:dyDescent="0.2">
      <c r="A360" s="7"/>
      <c r="B360" s="2"/>
      <c r="C360" s="2"/>
      <c r="D360" s="2"/>
      <c r="E360" s="7"/>
      <c r="F360" s="7"/>
      <c r="G360" s="9" t="s">
        <v>2322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2.75" customHeight="1" x14ac:dyDescent="0.2">
      <c r="A361" s="7" t="str">
        <f>HYPERLINK("javascript:void(0)","jégpáncél")</f>
        <v>jégpáncél</v>
      </c>
      <c r="B361" s="7"/>
      <c r="C361" s="7"/>
      <c r="D361" s="7"/>
      <c r="E361" s="7"/>
      <c r="F361" s="7"/>
      <c r="G361" s="9" t="s">
        <v>2322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2.75" customHeight="1" x14ac:dyDescent="0.2">
      <c r="A362" s="7"/>
      <c r="B362" s="2"/>
      <c r="C362" s="2"/>
      <c r="D362" s="2"/>
      <c r="E362" s="7"/>
      <c r="F362" s="7"/>
      <c r="G362" s="9" t="s">
        <v>2322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2.75" customHeight="1" x14ac:dyDescent="0.2">
      <c r="A363" s="7"/>
      <c r="B363" s="2" t="s">
        <v>0</v>
      </c>
      <c r="C363" s="2" t="s">
        <v>324</v>
      </c>
      <c r="D363" s="2"/>
      <c r="E363" s="7"/>
      <c r="F363" s="7"/>
      <c r="G363" s="9" t="s">
        <v>2322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2.75" customHeight="1" x14ac:dyDescent="0.2">
      <c r="A364" s="7"/>
      <c r="B364" s="2" t="s">
        <v>2</v>
      </c>
      <c r="C364" s="2" t="s">
        <v>2322</v>
      </c>
      <c r="D364" s="2"/>
      <c r="E364" s="7"/>
      <c r="F364" s="7"/>
      <c r="G364" s="9" t="s">
        <v>2322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2.75" customHeight="1" x14ac:dyDescent="0.2">
      <c r="A365" s="7"/>
      <c r="B365" s="2" t="s">
        <v>1840</v>
      </c>
      <c r="C365" s="2" t="s">
        <v>255</v>
      </c>
      <c r="D365" s="2"/>
      <c r="E365" s="7"/>
      <c r="F365" s="7"/>
      <c r="G365" s="9" t="s">
        <v>2322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2.75" customHeight="1" x14ac:dyDescent="0.2">
      <c r="A366" s="7"/>
      <c r="B366" s="2" t="s">
        <v>9</v>
      </c>
      <c r="C366" s="2" t="s">
        <v>135</v>
      </c>
      <c r="D366" s="2"/>
      <c r="E366" s="7"/>
      <c r="F366" s="7"/>
      <c r="G366" s="9" t="s">
        <v>2322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2.75" customHeight="1" x14ac:dyDescent="0.2">
      <c r="A367" s="7"/>
      <c r="B367" s="2" t="s">
        <v>11</v>
      </c>
      <c r="C367" s="2" t="s">
        <v>259</v>
      </c>
      <c r="D367" s="2"/>
      <c r="E367" s="7"/>
      <c r="F367" s="7"/>
      <c r="G367" s="9" t="s">
        <v>2322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2.75" customHeight="1" x14ac:dyDescent="0.2">
      <c r="A368" s="7"/>
      <c r="B368" s="2" t="s">
        <v>16</v>
      </c>
      <c r="C368" s="2"/>
      <c r="D368" s="2"/>
      <c r="E368" s="7"/>
      <c r="F368" s="7"/>
      <c r="G368" s="9" t="s">
        <v>2322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2.75" customHeight="1" x14ac:dyDescent="0.2">
      <c r="A369" s="7"/>
      <c r="B369" s="2" t="s">
        <v>17</v>
      </c>
      <c r="C369" s="2" t="s">
        <v>19</v>
      </c>
      <c r="D369" s="2"/>
      <c r="E369" s="7"/>
      <c r="F369" s="7"/>
      <c r="G369" s="9" t="s">
        <v>2322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2.75" customHeight="1" x14ac:dyDescent="0.2">
      <c r="A370" s="7"/>
      <c r="B370" s="2" t="s">
        <v>18</v>
      </c>
      <c r="C370" s="2" t="s">
        <v>117</v>
      </c>
      <c r="D370" s="2" t="str">
        <f>HYPERLINK("javascript:void(0)","rubin láncing")</f>
        <v>rubin láncing</v>
      </c>
      <c r="E370" s="7"/>
      <c r="F370" s="7"/>
      <c r="G370" s="9" t="s">
        <v>2322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2.75" customHeight="1" x14ac:dyDescent="0.2">
      <c r="A371" s="7"/>
      <c r="B371" s="2"/>
      <c r="C371" s="2" t="s">
        <v>77</v>
      </c>
      <c r="D371" s="2" t="str">
        <f>HYPERLINK("javascript:void(0)","kompózium")</f>
        <v>kompózium</v>
      </c>
      <c r="E371" s="7"/>
      <c r="F371" s="7"/>
      <c r="G371" s="9" t="s">
        <v>2322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2.75" customHeight="1" x14ac:dyDescent="0.2">
      <c r="A372" s="7"/>
      <c r="B372" s="2"/>
      <c r="C372" s="2" t="s">
        <v>756</v>
      </c>
      <c r="D372" s="2" t="str">
        <f>HYPERLINK("javascript:void(0)","vízige")</f>
        <v>vízige</v>
      </c>
      <c r="E372" s="7"/>
      <c r="F372" s="7"/>
      <c r="G372" s="9" t="s">
        <v>2322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2.75" customHeight="1" x14ac:dyDescent="0.2">
      <c r="A373" s="7"/>
      <c r="B373" s="2"/>
      <c r="C373" s="2"/>
      <c r="D373" s="2"/>
      <c r="E373" s="7"/>
      <c r="F373" s="7"/>
      <c r="G373" s="9" t="s">
        <v>2322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2.75" customHeight="1" x14ac:dyDescent="0.2">
      <c r="A374" s="7"/>
      <c r="B374" s="2"/>
      <c r="C374" s="2"/>
      <c r="D374" s="2"/>
      <c r="E374" s="7"/>
      <c r="F374" s="7"/>
      <c r="G374" s="9" t="s">
        <v>2322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2.75" customHeight="1" x14ac:dyDescent="0.2">
      <c r="A375" s="7"/>
      <c r="B375" s="2"/>
      <c r="C375" s="2"/>
      <c r="D375" s="2"/>
      <c r="E375" s="7"/>
      <c r="F375" s="7"/>
      <c r="G375" s="9" t="s">
        <v>2322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2.75" customHeight="1" x14ac:dyDescent="0.2">
      <c r="A376" s="7"/>
      <c r="B376" s="2"/>
      <c r="C376" s="2"/>
      <c r="D376" s="2"/>
      <c r="E376" s="7"/>
      <c r="F376" s="7"/>
      <c r="G376" s="9" t="s">
        <v>2322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2.75" customHeight="1" x14ac:dyDescent="0.2">
      <c r="A377" s="7"/>
      <c r="B377" s="2"/>
      <c r="C377" s="2"/>
      <c r="D377" s="2"/>
      <c r="E377" s="7"/>
      <c r="F377" s="7"/>
      <c r="G377" s="9" t="s">
        <v>2322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2.75" customHeight="1" x14ac:dyDescent="0.2">
      <c r="A378" s="7" t="str">
        <f>HYPERLINK("javascript:void(0)","gránitpáncél")</f>
        <v>gránitpáncél</v>
      </c>
      <c r="B378" s="7"/>
      <c r="C378" s="7"/>
      <c r="D378" s="7"/>
      <c r="E378" s="7"/>
      <c r="F378" s="7"/>
      <c r="G378" s="9" t="s">
        <v>2322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2.75" customHeight="1" x14ac:dyDescent="0.2">
      <c r="A379" s="7"/>
      <c r="B379" s="2"/>
      <c r="C379" s="2"/>
      <c r="D379" s="2"/>
      <c r="E379" s="7"/>
      <c r="F379" s="7"/>
      <c r="G379" s="9" t="s">
        <v>2322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2.75" customHeight="1" x14ac:dyDescent="0.2">
      <c r="A380" s="7"/>
      <c r="B380" s="2" t="s">
        <v>0</v>
      </c>
      <c r="C380" s="2" t="s">
        <v>324</v>
      </c>
      <c r="D380" s="2"/>
      <c r="E380" s="7"/>
      <c r="F380" s="7"/>
      <c r="G380" s="9" t="s">
        <v>2322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2.75" customHeight="1" x14ac:dyDescent="0.2">
      <c r="A381" s="7"/>
      <c r="B381" s="2" t="s">
        <v>2</v>
      </c>
      <c r="C381" s="2" t="s">
        <v>2322</v>
      </c>
      <c r="D381" s="2"/>
      <c r="E381" s="7"/>
      <c r="F381" s="7"/>
      <c r="G381" s="9" t="s">
        <v>2322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2.75" customHeight="1" x14ac:dyDescent="0.2">
      <c r="A382" s="7"/>
      <c r="B382" s="2" t="s">
        <v>1840</v>
      </c>
      <c r="C382" s="2" t="s">
        <v>281</v>
      </c>
      <c r="D382" s="2"/>
      <c r="E382" s="7"/>
      <c r="F382" s="7"/>
      <c r="G382" s="9" t="s">
        <v>2322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2.75" customHeight="1" x14ac:dyDescent="0.2">
      <c r="A383" s="7"/>
      <c r="B383" s="2" t="s">
        <v>9</v>
      </c>
      <c r="C383" s="2" t="s">
        <v>236</v>
      </c>
      <c r="D383" s="2"/>
      <c r="E383" s="7"/>
      <c r="F383" s="7"/>
      <c r="G383" s="9" t="s">
        <v>2322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2.75" customHeight="1" x14ac:dyDescent="0.2">
      <c r="A384" s="7"/>
      <c r="B384" s="2" t="s">
        <v>11</v>
      </c>
      <c r="C384" s="2" t="s">
        <v>2361</v>
      </c>
      <c r="D384" s="2"/>
      <c r="E384" s="7"/>
      <c r="F384" s="7"/>
      <c r="G384" s="9" t="s">
        <v>2322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2.75" customHeight="1" x14ac:dyDescent="0.2">
      <c r="A385" s="7"/>
      <c r="B385" s="2" t="s">
        <v>16</v>
      </c>
      <c r="C385" s="2"/>
      <c r="D385" s="2"/>
      <c r="E385" s="7"/>
      <c r="F385" s="7"/>
      <c r="G385" s="9" t="s">
        <v>2322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2.75" customHeight="1" x14ac:dyDescent="0.2">
      <c r="A386" s="7"/>
      <c r="B386" s="2" t="s">
        <v>17</v>
      </c>
      <c r="C386" s="2" t="s">
        <v>19</v>
      </c>
      <c r="D386" s="2"/>
      <c r="E386" s="7"/>
      <c r="F386" s="7"/>
      <c r="G386" s="9" t="s">
        <v>2322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2.75" customHeight="1" x14ac:dyDescent="0.2">
      <c r="A387" s="7"/>
      <c r="B387" s="2" t="s">
        <v>18</v>
      </c>
      <c r="C387" s="2" t="s">
        <v>117</v>
      </c>
      <c r="D387" s="2" t="str">
        <f>HYPERLINK("javascript:void(0)","smaragd láncing")</f>
        <v>smaragd láncing</v>
      </c>
      <c r="E387" s="7"/>
      <c r="F387" s="7"/>
      <c r="G387" s="9" t="s">
        <v>2322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2.75" customHeight="1" x14ac:dyDescent="0.2">
      <c r="A388" s="7"/>
      <c r="B388" s="2"/>
      <c r="C388" s="2" t="s">
        <v>77</v>
      </c>
      <c r="D388" s="2" t="str">
        <f>HYPERLINK("javascript:void(0)","kompózium")</f>
        <v>kompózium</v>
      </c>
      <c r="E388" s="7"/>
      <c r="F388" s="7"/>
      <c r="G388" s="9" t="s">
        <v>2322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2.75" customHeight="1" x14ac:dyDescent="0.2">
      <c r="A389" s="7"/>
      <c r="B389" s="2"/>
      <c r="C389" s="2" t="s">
        <v>756</v>
      </c>
      <c r="D389" s="2" t="str">
        <f>HYPERLINK("javascript:void(0)","földige")</f>
        <v>földige</v>
      </c>
      <c r="E389" s="7"/>
      <c r="F389" s="7"/>
      <c r="G389" s="9" t="s">
        <v>2322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2.75" customHeight="1" x14ac:dyDescent="0.2">
      <c r="A390" s="7"/>
      <c r="B390" s="2"/>
      <c r="C390" s="2"/>
      <c r="D390" s="2"/>
      <c r="E390" s="7"/>
      <c r="F390" s="7"/>
      <c r="G390" s="9" t="s">
        <v>2322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2.75" customHeight="1" x14ac:dyDescent="0.2">
      <c r="A391" s="7"/>
      <c r="B391" s="2"/>
      <c r="C391" s="2"/>
      <c r="D391" s="2"/>
      <c r="E391" s="7"/>
      <c r="F391" s="7"/>
      <c r="G391" s="9" t="s">
        <v>2322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2.75" customHeight="1" x14ac:dyDescent="0.2">
      <c r="A392" s="7"/>
      <c r="B392" s="2"/>
      <c r="C392" s="2"/>
      <c r="D392" s="2"/>
      <c r="E392" s="7"/>
      <c r="F392" s="7"/>
      <c r="G392" s="9" t="s">
        <v>2322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2.75" customHeight="1" x14ac:dyDescent="0.2">
      <c r="A393" s="7"/>
      <c r="B393" s="2"/>
      <c r="C393" s="2"/>
      <c r="D393" s="2"/>
      <c r="E393" s="7"/>
      <c r="F393" s="7"/>
      <c r="G393" s="9" t="s">
        <v>2322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2.75" customHeight="1" x14ac:dyDescent="0.2">
      <c r="A394" s="7"/>
      <c r="B394" s="2"/>
      <c r="C394" s="2"/>
      <c r="D394" s="2"/>
      <c r="E394" s="7"/>
      <c r="F394" s="7"/>
      <c r="G394" s="9" t="s">
        <v>2322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2.75" customHeight="1" x14ac:dyDescent="0.2">
      <c r="A395" s="7" t="str">
        <f>HYPERLINK("javascript:void(0)","sárpáncél")</f>
        <v>sárpáncél</v>
      </c>
      <c r="B395" s="7"/>
      <c r="C395" s="7"/>
      <c r="D395" s="7"/>
      <c r="E395" s="7"/>
      <c r="F395" s="7"/>
      <c r="G395" s="9" t="s">
        <v>2322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2.75" customHeight="1" x14ac:dyDescent="0.2">
      <c r="A396" s="7"/>
      <c r="B396" s="2"/>
      <c r="C396" s="2"/>
      <c r="D396" s="2"/>
      <c r="E396" s="7"/>
      <c r="F396" s="7"/>
      <c r="G396" s="9" t="s">
        <v>2322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2.75" customHeight="1" x14ac:dyDescent="0.2">
      <c r="A397" s="7"/>
      <c r="B397" s="2" t="s">
        <v>0</v>
      </c>
      <c r="C397" s="2" t="s">
        <v>178</v>
      </c>
      <c r="D397" s="2"/>
      <c r="E397" s="7"/>
      <c r="F397" s="7"/>
      <c r="G397" s="9" t="s">
        <v>2322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2.75" customHeight="1" x14ac:dyDescent="0.2">
      <c r="A398" s="7"/>
      <c r="B398" s="2" t="s">
        <v>2</v>
      </c>
      <c r="C398" s="2" t="s">
        <v>2322</v>
      </c>
      <c r="D398" s="2"/>
      <c r="E398" s="7"/>
      <c r="F398" s="7"/>
      <c r="G398" s="9" t="s">
        <v>2322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2.75" customHeight="1" x14ac:dyDescent="0.2">
      <c r="A399" s="7"/>
      <c r="B399" s="2" t="s">
        <v>1840</v>
      </c>
      <c r="C399" s="2" t="s">
        <v>883</v>
      </c>
      <c r="D399" s="2"/>
      <c r="E399" s="7"/>
      <c r="F399" s="7"/>
      <c r="G399" s="9" t="s">
        <v>2322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2.75" customHeight="1" x14ac:dyDescent="0.2">
      <c r="A400" s="7"/>
      <c r="B400" s="2" t="s">
        <v>9</v>
      </c>
      <c r="C400" s="2" t="s">
        <v>200</v>
      </c>
      <c r="D400" s="2"/>
      <c r="E400" s="7"/>
      <c r="F400" s="7"/>
      <c r="G400" s="9" t="s">
        <v>2322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2.75" customHeight="1" x14ac:dyDescent="0.2">
      <c r="A401" s="7"/>
      <c r="B401" s="2" t="s">
        <v>11</v>
      </c>
      <c r="C401" s="2" t="s">
        <v>289</v>
      </c>
      <c r="D401" s="2"/>
      <c r="E401" s="7"/>
      <c r="F401" s="7"/>
      <c r="G401" s="9" t="s">
        <v>2322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2.75" customHeight="1" x14ac:dyDescent="0.2">
      <c r="A402" s="7"/>
      <c r="B402" s="2" t="s">
        <v>16</v>
      </c>
      <c r="C402" s="2"/>
      <c r="D402" s="2"/>
      <c r="E402" s="7"/>
      <c r="F402" s="7"/>
      <c r="G402" s="9" t="s">
        <v>2322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2.75" customHeight="1" x14ac:dyDescent="0.2">
      <c r="A403" s="7"/>
      <c r="B403" s="2" t="s">
        <v>17</v>
      </c>
      <c r="C403" s="2" t="s">
        <v>19</v>
      </c>
      <c r="D403" s="2"/>
      <c r="E403" s="7"/>
      <c r="F403" s="7"/>
      <c r="G403" s="9" t="s">
        <v>2322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2.75" customHeight="1" x14ac:dyDescent="0.2">
      <c r="A404" s="7"/>
      <c r="B404" s="2" t="s">
        <v>18</v>
      </c>
      <c r="C404" s="2" t="s">
        <v>44</v>
      </c>
      <c r="D404" s="2" t="str">
        <f>HYPERLINK("javascript:void(0)","jégpáncél")</f>
        <v>jégpáncél</v>
      </c>
      <c r="E404" s="7"/>
      <c r="F404" s="7"/>
      <c r="G404" s="9" t="s">
        <v>2322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2.75" customHeight="1" x14ac:dyDescent="0.2">
      <c r="A405" s="7"/>
      <c r="B405" s="2"/>
      <c r="C405" s="2" t="s">
        <v>44</v>
      </c>
      <c r="D405" s="2" t="str">
        <f>HYPERLINK("javascript:void(0)","gránitpáncél")</f>
        <v>gránitpáncél</v>
      </c>
      <c r="E405" s="7"/>
      <c r="F405" s="7"/>
      <c r="G405" s="9" t="s">
        <v>2322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2.75" customHeight="1" x14ac:dyDescent="0.2">
      <c r="A406" s="7"/>
      <c r="B406" s="2"/>
      <c r="C406" s="2" t="s">
        <v>232</v>
      </c>
      <c r="D406" s="2" t="str">
        <f>HYPERLINK("javascript:void(0)","hiperzsír")</f>
        <v>hiperzsír</v>
      </c>
      <c r="E406" s="7"/>
      <c r="F406" s="7"/>
      <c r="G406" s="9" t="s">
        <v>2322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2.75" customHeight="1" x14ac:dyDescent="0.2">
      <c r="A407" s="7"/>
      <c r="B407" s="2"/>
      <c r="C407" s="2"/>
      <c r="D407" s="2"/>
      <c r="E407" s="7"/>
      <c r="F407" s="7"/>
      <c r="G407" s="9" t="s">
        <v>2322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2.75" customHeight="1" x14ac:dyDescent="0.2">
      <c r="A408" s="7"/>
      <c r="B408" s="2"/>
      <c r="C408" s="2"/>
      <c r="D408" s="2"/>
      <c r="E408" s="7"/>
      <c r="F408" s="7"/>
      <c r="G408" s="9" t="s">
        <v>2322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2.75" customHeight="1" x14ac:dyDescent="0.2">
      <c r="A409" s="7"/>
      <c r="B409" s="2"/>
      <c r="C409" s="2"/>
      <c r="D409" s="2"/>
      <c r="E409" s="7"/>
      <c r="F409" s="7"/>
      <c r="G409" s="9" t="s">
        <v>2322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2.75" customHeight="1" x14ac:dyDescent="0.2">
      <c r="A410" s="7"/>
      <c r="B410" s="2"/>
      <c r="C410" s="2"/>
      <c r="D410" s="2"/>
      <c r="E410" s="7"/>
      <c r="F410" s="7"/>
      <c r="G410" s="9" t="s">
        <v>2322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2.75" customHeight="1" x14ac:dyDescent="0.2">
      <c r="A411" s="7"/>
      <c r="B411" s="2"/>
      <c r="C411" s="2"/>
      <c r="D411" s="2"/>
      <c r="E411" s="7"/>
      <c r="F411" s="7"/>
      <c r="G411" s="9" t="s">
        <v>2322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2.75" customHeight="1" x14ac:dyDescent="0.2">
      <c r="A412" s="7" t="str">
        <f>HYPERLINK("javascript:void(0)","gőzpáncél")</f>
        <v>gőzpáncél</v>
      </c>
      <c r="B412" s="7"/>
      <c r="C412" s="7"/>
      <c r="D412" s="7"/>
      <c r="E412" s="7"/>
      <c r="F412" s="7"/>
      <c r="G412" s="9" t="s">
        <v>2322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2.75" customHeight="1" x14ac:dyDescent="0.2">
      <c r="A413" s="7"/>
      <c r="B413" s="2"/>
      <c r="C413" s="2"/>
      <c r="D413" s="2"/>
      <c r="E413" s="7"/>
      <c r="F413" s="7"/>
      <c r="G413" s="9" t="s">
        <v>2322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2.75" customHeight="1" x14ac:dyDescent="0.2">
      <c r="A414" s="7"/>
      <c r="B414" s="2" t="s">
        <v>0</v>
      </c>
      <c r="C414" s="2" t="s">
        <v>178</v>
      </c>
      <c r="D414" s="2"/>
      <c r="E414" s="7"/>
      <c r="F414" s="7"/>
      <c r="G414" s="9" t="s">
        <v>2322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2.75" customHeight="1" x14ac:dyDescent="0.2">
      <c r="A415" s="7"/>
      <c r="B415" s="2" t="s">
        <v>2</v>
      </c>
      <c r="C415" s="2" t="s">
        <v>2322</v>
      </c>
      <c r="D415" s="2"/>
      <c r="E415" s="7"/>
      <c r="F415" s="7"/>
      <c r="G415" s="9" t="s">
        <v>2322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2.75" customHeight="1" x14ac:dyDescent="0.2">
      <c r="A416" s="7"/>
      <c r="B416" s="2" t="s">
        <v>1840</v>
      </c>
      <c r="C416" s="2" t="s">
        <v>874</v>
      </c>
      <c r="D416" s="2"/>
      <c r="E416" s="7"/>
      <c r="F416" s="7"/>
      <c r="G416" s="9" t="s">
        <v>2322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2.75" customHeight="1" x14ac:dyDescent="0.2">
      <c r="A417" s="7"/>
      <c r="B417" s="2" t="s">
        <v>9</v>
      </c>
      <c r="C417" s="2" t="s">
        <v>53</v>
      </c>
      <c r="D417" s="2"/>
      <c r="E417" s="7"/>
      <c r="F417" s="7"/>
      <c r="G417" s="9" t="s">
        <v>2322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2.75" customHeight="1" x14ac:dyDescent="0.2">
      <c r="A418" s="7"/>
      <c r="B418" s="2" t="s">
        <v>11</v>
      </c>
      <c r="C418" s="2" t="s">
        <v>289</v>
      </c>
      <c r="D418" s="2"/>
      <c r="E418" s="7"/>
      <c r="F418" s="7"/>
      <c r="G418" s="9" t="s">
        <v>2322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2.75" customHeight="1" x14ac:dyDescent="0.2">
      <c r="A419" s="7"/>
      <c r="B419" s="2" t="s">
        <v>16</v>
      </c>
      <c r="C419" s="2"/>
      <c r="D419" s="2"/>
      <c r="E419" s="7"/>
      <c r="F419" s="7"/>
      <c r="G419" s="9" t="s">
        <v>2322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2.75" customHeight="1" x14ac:dyDescent="0.2">
      <c r="A420" s="7"/>
      <c r="B420" s="2" t="s">
        <v>17</v>
      </c>
      <c r="C420" s="2" t="s">
        <v>19</v>
      </c>
      <c r="D420" s="2"/>
      <c r="E420" s="7"/>
      <c r="F420" s="7"/>
      <c r="G420" s="9" t="s">
        <v>2322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2.75" customHeight="1" x14ac:dyDescent="0.2">
      <c r="A421" s="7"/>
      <c r="B421" s="2" t="s">
        <v>18</v>
      </c>
      <c r="C421" s="2" t="s">
        <v>44</v>
      </c>
      <c r="D421" s="2" t="str">
        <f>HYPERLINK("javascript:void(0)","szélpáncél")</f>
        <v>szélpáncél</v>
      </c>
      <c r="E421" s="7"/>
      <c r="F421" s="7"/>
      <c r="G421" s="9" t="s">
        <v>2322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2.75" customHeight="1" x14ac:dyDescent="0.2">
      <c r="A422" s="7"/>
      <c r="B422" s="2"/>
      <c r="C422" s="2" t="s">
        <v>44</v>
      </c>
      <c r="D422" s="2" t="str">
        <f>HYPERLINK("javascript:void(0)","lángpáncél")</f>
        <v>lángpáncél</v>
      </c>
      <c r="E422" s="7"/>
      <c r="F422" s="7"/>
      <c r="G422" s="9" t="s">
        <v>2322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2.75" customHeight="1" x14ac:dyDescent="0.2">
      <c r="A423" s="7"/>
      <c r="B423" s="2"/>
      <c r="C423" s="2" t="s">
        <v>232</v>
      </c>
      <c r="D423" s="2" t="str">
        <f>HYPERLINK("javascript:void(0)","hiperzsír")</f>
        <v>hiperzsír</v>
      </c>
      <c r="E423" s="7"/>
      <c r="F423" s="7"/>
      <c r="G423" s="9" t="s">
        <v>2322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2.75" customHeight="1" x14ac:dyDescent="0.2">
      <c r="A424" s="7"/>
      <c r="B424" s="2"/>
      <c r="C424" s="2"/>
      <c r="D424" s="2"/>
      <c r="E424" s="7"/>
      <c r="F424" s="7"/>
      <c r="G424" s="9" t="s">
        <v>2322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2.75" customHeight="1" x14ac:dyDescent="0.2">
      <c r="A425" s="7"/>
      <c r="B425" s="2"/>
      <c r="C425" s="2"/>
      <c r="D425" s="2"/>
      <c r="E425" s="7"/>
      <c r="F425" s="7"/>
      <c r="G425" s="9" t="s">
        <v>2322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2.75" customHeight="1" x14ac:dyDescent="0.2">
      <c r="A426" s="7"/>
      <c r="B426" s="2"/>
      <c r="C426" s="2"/>
      <c r="D426" s="2"/>
      <c r="E426" s="7"/>
      <c r="F426" s="7"/>
      <c r="G426" s="9" t="s">
        <v>2322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2.75" customHeight="1" x14ac:dyDescent="0.2">
      <c r="A427" s="7"/>
      <c r="B427" s="2"/>
      <c r="C427" s="2"/>
      <c r="D427" s="2"/>
      <c r="E427" s="7"/>
      <c r="F427" s="7"/>
      <c r="G427" s="9" t="s">
        <v>2322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2.75" customHeight="1" x14ac:dyDescent="0.2">
      <c r="A428" s="7"/>
      <c r="B428" s="2"/>
      <c r="C428" s="2"/>
      <c r="D428" s="2"/>
      <c r="E428" s="7"/>
      <c r="F428" s="7"/>
      <c r="G428" s="9" t="s">
        <v>2322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2.75" customHeight="1" x14ac:dyDescent="0.2">
      <c r="A429" s="7" t="str">
        <f>HYPERLINK("javascript:void(0)","magmapáncél")</f>
        <v>magmapáncél</v>
      </c>
      <c r="B429" s="7"/>
      <c r="C429" s="7"/>
      <c r="D429" s="7"/>
      <c r="E429" s="7"/>
      <c r="F429" s="7"/>
      <c r="G429" s="9" t="s">
        <v>2322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2.75" customHeight="1" x14ac:dyDescent="0.2">
      <c r="A430" s="7"/>
      <c r="B430" s="2"/>
      <c r="C430" s="2"/>
      <c r="D430" s="2"/>
      <c r="E430" s="7"/>
      <c r="F430" s="7"/>
      <c r="G430" s="9" t="s">
        <v>2322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2.75" customHeight="1" x14ac:dyDescent="0.2">
      <c r="A431" s="7"/>
      <c r="B431" s="2" t="s">
        <v>0</v>
      </c>
      <c r="C431" s="2" t="s">
        <v>178</v>
      </c>
      <c r="D431" s="2"/>
      <c r="E431" s="7"/>
      <c r="F431" s="7"/>
      <c r="G431" s="9" t="s">
        <v>2322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2.75" customHeight="1" x14ac:dyDescent="0.2">
      <c r="A432" s="7"/>
      <c r="B432" s="2" t="s">
        <v>2</v>
      </c>
      <c r="C432" s="2" t="s">
        <v>2322</v>
      </c>
      <c r="D432" s="2"/>
      <c r="E432" s="7"/>
      <c r="F432" s="7"/>
      <c r="G432" s="9" t="s">
        <v>2322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2.75" customHeight="1" x14ac:dyDescent="0.2">
      <c r="A433" s="7"/>
      <c r="B433" s="2" t="s">
        <v>1840</v>
      </c>
      <c r="C433" s="2" t="s">
        <v>896</v>
      </c>
      <c r="D433" s="2"/>
      <c r="E433" s="7"/>
      <c r="F433" s="7"/>
      <c r="G433" s="9" t="s">
        <v>2322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2.75" customHeight="1" x14ac:dyDescent="0.2">
      <c r="A434" s="7"/>
      <c r="B434" s="2" t="s">
        <v>9</v>
      </c>
      <c r="C434" s="2" t="s">
        <v>2364</v>
      </c>
      <c r="D434" s="2"/>
      <c r="E434" s="7"/>
      <c r="F434" s="7"/>
      <c r="G434" s="9" t="s">
        <v>2322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2.75" customHeight="1" x14ac:dyDescent="0.2">
      <c r="A435" s="7"/>
      <c r="B435" s="2" t="s">
        <v>11</v>
      </c>
      <c r="C435" s="2" t="s">
        <v>289</v>
      </c>
      <c r="D435" s="2"/>
      <c r="E435" s="7"/>
      <c r="F435" s="7"/>
      <c r="G435" s="9" t="s">
        <v>2322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2.75" customHeight="1" x14ac:dyDescent="0.2">
      <c r="A436" s="7"/>
      <c r="B436" s="2" t="s">
        <v>16</v>
      </c>
      <c r="C436" s="2"/>
      <c r="D436" s="2"/>
      <c r="E436" s="7"/>
      <c r="F436" s="7"/>
      <c r="G436" s="9" t="s">
        <v>2322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2.75" customHeight="1" x14ac:dyDescent="0.2">
      <c r="A437" s="7"/>
      <c r="B437" s="2" t="s">
        <v>17</v>
      </c>
      <c r="C437" s="2" t="s">
        <v>19</v>
      </c>
      <c r="D437" s="2"/>
      <c r="E437" s="7"/>
      <c r="F437" s="7"/>
      <c r="G437" s="9" t="s">
        <v>2322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2.75" customHeight="1" x14ac:dyDescent="0.2">
      <c r="A438" s="7"/>
      <c r="B438" s="2" t="s">
        <v>18</v>
      </c>
      <c r="C438" s="2" t="s">
        <v>44</v>
      </c>
      <c r="D438" s="2" t="str">
        <f>HYPERLINK("javascript:void(0)","lángpáncél")</f>
        <v>lángpáncél</v>
      </c>
      <c r="E438" s="7"/>
      <c r="F438" s="7"/>
      <c r="G438" s="9" t="s">
        <v>2322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2.75" customHeight="1" x14ac:dyDescent="0.2">
      <c r="A439" s="7"/>
      <c r="B439" s="2"/>
      <c r="C439" s="2" t="s">
        <v>44</v>
      </c>
      <c r="D439" s="2" t="str">
        <f>HYPERLINK("javascript:void(0)","gránitpáncél")</f>
        <v>gránitpáncél</v>
      </c>
      <c r="E439" s="7"/>
      <c r="F439" s="7"/>
      <c r="G439" s="9" t="s">
        <v>2322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2.75" customHeight="1" x14ac:dyDescent="0.2">
      <c r="A440" s="7"/>
      <c r="B440" s="2"/>
      <c r="C440" s="2" t="s">
        <v>232</v>
      </c>
      <c r="D440" s="2" t="str">
        <f>HYPERLINK("javascript:void(0)","hiperzsír")</f>
        <v>hiperzsír</v>
      </c>
      <c r="E440" s="7"/>
      <c r="F440" s="7"/>
      <c r="G440" s="9" t="s">
        <v>2322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2.75" customHeight="1" x14ac:dyDescent="0.2">
      <c r="A441" s="7"/>
      <c r="B441" s="2"/>
      <c r="C441" s="2"/>
      <c r="D441" s="2"/>
      <c r="E441" s="7"/>
      <c r="F441" s="7"/>
      <c r="G441" s="9" t="s">
        <v>2322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2.75" customHeight="1" x14ac:dyDescent="0.2">
      <c r="A442" s="7"/>
      <c r="B442" s="2"/>
      <c r="C442" s="2"/>
      <c r="D442" s="2"/>
      <c r="E442" s="7"/>
      <c r="F442" s="7"/>
      <c r="G442" s="9" t="s">
        <v>2322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2.75" customHeight="1" x14ac:dyDescent="0.2">
      <c r="A443" s="7"/>
      <c r="B443" s="2"/>
      <c r="C443" s="2"/>
      <c r="D443" s="2"/>
      <c r="E443" s="7"/>
      <c r="F443" s="7"/>
      <c r="G443" s="9" t="s">
        <v>2322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2.75" customHeight="1" x14ac:dyDescent="0.2">
      <c r="A444" s="7"/>
      <c r="B444" s="2"/>
      <c r="C444" s="2"/>
      <c r="D444" s="2"/>
      <c r="E444" s="7"/>
      <c r="F444" s="7"/>
      <c r="G444" s="9" t="s">
        <v>2322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2.75" customHeight="1" x14ac:dyDescent="0.2">
      <c r="A445" s="7"/>
      <c r="B445" s="2"/>
      <c r="C445" s="2"/>
      <c r="D445" s="2"/>
      <c r="E445" s="7"/>
      <c r="F445" s="7"/>
      <c r="G445" s="9" t="s">
        <v>2322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2.75" customHeight="1" x14ac:dyDescent="0.2">
      <c r="A446" s="7" t="str">
        <f>HYPERLINK("javascript:void(0)","dérpáncél")</f>
        <v>dérpáncél</v>
      </c>
      <c r="B446" s="7"/>
      <c r="C446" s="7"/>
      <c r="D446" s="7"/>
      <c r="E446" s="7"/>
      <c r="F446" s="7"/>
      <c r="G446" s="9" t="s">
        <v>2322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2.75" customHeight="1" x14ac:dyDescent="0.2">
      <c r="A447" s="7"/>
      <c r="B447" s="2"/>
      <c r="C447" s="2"/>
      <c r="D447" s="2"/>
      <c r="E447" s="7"/>
      <c r="F447" s="7"/>
      <c r="G447" s="9" t="s">
        <v>2322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2.75" customHeight="1" x14ac:dyDescent="0.2">
      <c r="A448" s="7"/>
      <c r="B448" s="2" t="s">
        <v>0</v>
      </c>
      <c r="C448" s="2" t="s">
        <v>178</v>
      </c>
      <c r="D448" s="2"/>
      <c r="E448" s="7"/>
      <c r="F448" s="7"/>
      <c r="G448" s="9" t="s">
        <v>2322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2.75" customHeight="1" x14ac:dyDescent="0.2">
      <c r="A449" s="7"/>
      <c r="B449" s="2" t="s">
        <v>2</v>
      </c>
      <c r="C449" s="2" t="s">
        <v>2322</v>
      </c>
      <c r="D449" s="2"/>
      <c r="E449" s="7"/>
      <c r="F449" s="7"/>
      <c r="G449" s="9" t="s">
        <v>2322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2.75" customHeight="1" x14ac:dyDescent="0.2">
      <c r="A450" s="7"/>
      <c r="B450" s="2" t="s">
        <v>1840</v>
      </c>
      <c r="C450" s="2" t="s">
        <v>883</v>
      </c>
      <c r="D450" s="2"/>
      <c r="E450" s="7"/>
      <c r="F450" s="7"/>
      <c r="G450" s="9" t="s">
        <v>2322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2.75" customHeight="1" x14ac:dyDescent="0.2">
      <c r="A451" s="7"/>
      <c r="B451" s="2" t="s">
        <v>9</v>
      </c>
      <c r="C451" s="2" t="s">
        <v>84</v>
      </c>
      <c r="D451" s="2"/>
      <c r="E451" s="7"/>
      <c r="F451" s="7"/>
      <c r="G451" s="9" t="s">
        <v>2322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2.75" customHeight="1" x14ac:dyDescent="0.2">
      <c r="A452" s="7"/>
      <c r="B452" s="2" t="s">
        <v>11</v>
      </c>
      <c r="C452" s="2" t="s">
        <v>289</v>
      </c>
      <c r="D452" s="2"/>
      <c r="E452" s="7"/>
      <c r="F452" s="7"/>
      <c r="G452" s="9" t="s">
        <v>2322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2.75" customHeight="1" x14ac:dyDescent="0.2">
      <c r="A453" s="7"/>
      <c r="B453" s="2" t="s">
        <v>16</v>
      </c>
      <c r="C453" s="2"/>
      <c r="D453" s="2"/>
      <c r="E453" s="7"/>
      <c r="F453" s="7"/>
      <c r="G453" s="9" t="s">
        <v>2322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2.75" customHeight="1" x14ac:dyDescent="0.2">
      <c r="A454" s="7"/>
      <c r="B454" s="2" t="s">
        <v>17</v>
      </c>
      <c r="C454" s="2" t="s">
        <v>19</v>
      </c>
      <c r="D454" s="2"/>
      <c r="E454" s="7"/>
      <c r="F454" s="7"/>
      <c r="G454" s="9" t="s">
        <v>2322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2.75" customHeight="1" x14ac:dyDescent="0.2">
      <c r="A455" s="7"/>
      <c r="B455" s="2" t="s">
        <v>18</v>
      </c>
      <c r="C455" s="2" t="s">
        <v>44</v>
      </c>
      <c r="D455" s="2" t="str">
        <f>HYPERLINK("javascript:void(0)","szélpáncél")</f>
        <v>szélpáncél</v>
      </c>
      <c r="E455" s="7"/>
      <c r="F455" s="7"/>
      <c r="G455" s="9" t="s">
        <v>2322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2.75" customHeight="1" x14ac:dyDescent="0.2">
      <c r="A456" s="7"/>
      <c r="B456" s="2"/>
      <c r="C456" s="2" t="s">
        <v>44</v>
      </c>
      <c r="D456" s="2" t="str">
        <f>HYPERLINK("javascript:void(0)","jégpáncél")</f>
        <v>jégpáncél</v>
      </c>
      <c r="E456" s="7"/>
      <c r="F456" s="7"/>
      <c r="G456" s="9" t="s">
        <v>2322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2.75" customHeight="1" x14ac:dyDescent="0.2">
      <c r="A457" s="7"/>
      <c r="B457" s="2"/>
      <c r="C457" s="2" t="s">
        <v>232</v>
      </c>
      <c r="D457" s="2" t="str">
        <f>HYPERLINK("javascript:void(0)","hiperzsír")</f>
        <v>hiperzsír</v>
      </c>
      <c r="E457" s="7"/>
      <c r="F457" s="7"/>
      <c r="G457" s="9" t="s">
        <v>2322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2.75" customHeight="1" x14ac:dyDescent="0.2">
      <c r="A458" s="7"/>
      <c r="B458" s="2"/>
      <c r="C458" s="2"/>
      <c r="D458" s="2"/>
      <c r="E458" s="7"/>
      <c r="F458" s="7"/>
      <c r="G458" s="9" t="s">
        <v>2322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2.75" customHeight="1" x14ac:dyDescent="0.2">
      <c r="A459" s="7"/>
      <c r="B459" s="2"/>
      <c r="C459" s="2"/>
      <c r="D459" s="2"/>
      <c r="E459" s="7"/>
      <c r="F459" s="7"/>
      <c r="G459" s="9" t="s">
        <v>2322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2.75" customHeight="1" x14ac:dyDescent="0.2">
      <c r="A460" s="7"/>
      <c r="B460" s="2"/>
      <c r="C460" s="2"/>
      <c r="D460" s="2"/>
      <c r="E460" s="7"/>
      <c r="F460" s="7"/>
      <c r="G460" s="9" t="s">
        <v>2322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2.75" customHeight="1" x14ac:dyDescent="0.2">
      <c r="A461" s="7"/>
      <c r="B461" s="2"/>
      <c r="C461" s="2"/>
      <c r="D461" s="2"/>
      <c r="E461" s="7"/>
      <c r="F461" s="7"/>
      <c r="G461" s="9" t="s">
        <v>2322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2.75" customHeight="1" x14ac:dyDescent="0.2">
      <c r="A462" s="7"/>
      <c r="B462" s="2"/>
      <c r="C462" s="2"/>
      <c r="D462" s="2"/>
      <c r="E462" s="7"/>
      <c r="F462" s="7"/>
      <c r="G462" s="9" t="s">
        <v>2322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2.75" customHeight="1" x14ac:dyDescent="0.2">
      <c r="A463" s="7" t="str">
        <f>HYPERLINK("javascript:void(0)","vörös elemipáncél")</f>
        <v>vörös elemipáncél</v>
      </c>
      <c r="B463" s="7"/>
      <c r="C463" s="7"/>
      <c r="D463" s="7"/>
      <c r="E463" s="7"/>
      <c r="F463" s="7"/>
      <c r="G463" s="9" t="s">
        <v>2322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2.75" customHeight="1" x14ac:dyDescent="0.2">
      <c r="A464" s="7"/>
      <c r="B464" s="2"/>
      <c r="C464" s="2"/>
      <c r="D464" s="2"/>
      <c r="E464" s="7"/>
      <c r="F464" s="7"/>
      <c r="G464" s="9" t="s">
        <v>2322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2.75" customHeight="1" x14ac:dyDescent="0.2">
      <c r="A465" s="7"/>
      <c r="B465" s="2" t="s">
        <v>0</v>
      </c>
      <c r="C465" s="2" t="s">
        <v>340</v>
      </c>
      <c r="D465" s="2"/>
      <c r="E465" s="7"/>
      <c r="F465" s="7"/>
      <c r="G465" s="9" t="s">
        <v>2322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2.75" customHeight="1" x14ac:dyDescent="0.2">
      <c r="A466" s="7"/>
      <c r="B466" s="2" t="s">
        <v>2</v>
      </c>
      <c r="C466" s="2" t="s">
        <v>2322</v>
      </c>
      <c r="D466" s="2"/>
      <c r="E466" s="7"/>
      <c r="F466" s="7"/>
      <c r="G466" s="9" t="s">
        <v>2322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2.75" customHeight="1" x14ac:dyDescent="0.2">
      <c r="A467" s="7"/>
      <c r="B467" s="2" t="s">
        <v>1840</v>
      </c>
      <c r="C467" s="2" t="s">
        <v>190</v>
      </c>
      <c r="D467" s="2"/>
      <c r="E467" s="7"/>
      <c r="F467" s="7"/>
      <c r="G467" s="9" t="s">
        <v>2322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2.75" customHeight="1" x14ac:dyDescent="0.2">
      <c r="A468" s="7"/>
      <c r="B468" s="2" t="s">
        <v>9</v>
      </c>
      <c r="C468" s="2" t="s">
        <v>374</v>
      </c>
      <c r="D468" s="2"/>
      <c r="E468" s="7"/>
      <c r="F468" s="7"/>
      <c r="G468" s="9" t="s">
        <v>2322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2.75" customHeight="1" x14ac:dyDescent="0.2">
      <c r="A469" s="7"/>
      <c r="B469" s="2" t="s">
        <v>11</v>
      </c>
      <c r="C469" s="2" t="s">
        <v>307</v>
      </c>
      <c r="D469" s="2"/>
      <c r="E469" s="7"/>
      <c r="F469" s="7"/>
      <c r="G469" s="9" t="s">
        <v>2322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2.75" customHeight="1" x14ac:dyDescent="0.2">
      <c r="A470" s="7"/>
      <c r="B470" s="2" t="s">
        <v>16</v>
      </c>
      <c r="C470" s="2"/>
      <c r="D470" s="2"/>
      <c r="E470" s="7"/>
      <c r="F470" s="7"/>
      <c r="G470" s="9" t="s">
        <v>2322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2.75" customHeight="1" x14ac:dyDescent="0.2">
      <c r="A471" s="7"/>
      <c r="B471" s="2" t="s">
        <v>17</v>
      </c>
      <c r="C471" s="2" t="s">
        <v>19</v>
      </c>
      <c r="D471" s="2"/>
      <c r="E471" s="7"/>
      <c r="F471" s="7"/>
      <c r="G471" s="9" t="s">
        <v>2322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2.75" customHeight="1" x14ac:dyDescent="0.2">
      <c r="A472" s="7"/>
      <c r="B472" s="2" t="s">
        <v>18</v>
      </c>
      <c r="C472" s="2" t="s">
        <v>44</v>
      </c>
      <c r="D472" s="2" t="str">
        <f>HYPERLINK("javascript:void(0)","gőzpáncél")</f>
        <v>gőzpáncél</v>
      </c>
      <c r="E472" s="7"/>
      <c r="F472" s="7"/>
      <c r="G472" s="9" t="s">
        <v>2322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2.75" customHeight="1" x14ac:dyDescent="0.2">
      <c r="A473" s="7"/>
      <c r="B473" s="2"/>
      <c r="C473" s="2" t="s">
        <v>44</v>
      </c>
      <c r="D473" s="2" t="str">
        <f>HYPERLINK("javascript:void(0)","magmapáncél")</f>
        <v>magmapáncél</v>
      </c>
      <c r="E473" s="7"/>
      <c r="F473" s="7"/>
      <c r="G473" s="9" t="s">
        <v>2322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2.75" customHeight="1" x14ac:dyDescent="0.2">
      <c r="A474" s="7"/>
      <c r="B474" s="2"/>
      <c r="C474" s="2" t="s">
        <v>163</v>
      </c>
      <c r="D474" s="2" t="str">
        <f>HYPERLINK("javascript:void(0)","melegige")</f>
        <v>melegige</v>
      </c>
      <c r="E474" s="7"/>
      <c r="F474" s="7"/>
      <c r="G474" s="9" t="s">
        <v>2322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2.75" customHeight="1" x14ac:dyDescent="0.2">
      <c r="A475" s="7"/>
      <c r="B475" s="2"/>
      <c r="C475" s="2"/>
      <c r="D475" s="2"/>
      <c r="E475" s="7"/>
      <c r="F475" s="7"/>
      <c r="G475" s="9" t="s">
        <v>2322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2.75" customHeight="1" x14ac:dyDescent="0.2">
      <c r="A476" s="7"/>
      <c r="B476" s="2"/>
      <c r="C476" s="2"/>
      <c r="D476" s="2"/>
      <c r="E476" s="7"/>
      <c r="F476" s="7"/>
      <c r="G476" s="9" t="s">
        <v>2322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2.75" customHeight="1" x14ac:dyDescent="0.2">
      <c r="A477" s="7"/>
      <c r="B477" s="2"/>
      <c r="C477" s="2"/>
      <c r="D477" s="2"/>
      <c r="E477" s="7"/>
      <c r="F477" s="7"/>
      <c r="G477" s="9" t="s">
        <v>2322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2.75" customHeight="1" x14ac:dyDescent="0.2">
      <c r="A478" s="7"/>
      <c r="B478" s="2"/>
      <c r="C478" s="2"/>
      <c r="D478" s="2"/>
      <c r="E478" s="7"/>
      <c r="F478" s="7"/>
      <c r="G478" s="9" t="s">
        <v>2322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2.75" customHeight="1" x14ac:dyDescent="0.2">
      <c r="A479" s="7"/>
      <c r="B479" s="2"/>
      <c r="C479" s="2"/>
      <c r="D479" s="2"/>
      <c r="E479" s="7"/>
      <c r="F479" s="7"/>
      <c r="G479" s="9" t="s">
        <v>2322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2.75" customHeight="1" x14ac:dyDescent="0.2">
      <c r="A480" s="7" t="str">
        <f>HYPERLINK("javascript:void(0)","kék elemipáncél")</f>
        <v>kék elemipáncél</v>
      </c>
      <c r="B480" s="7"/>
      <c r="C480" s="7"/>
      <c r="D480" s="7"/>
      <c r="E480" s="7"/>
      <c r="F480" s="7"/>
      <c r="G480" s="9" t="s">
        <v>2322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2.75" customHeight="1" x14ac:dyDescent="0.2">
      <c r="A481" s="7"/>
      <c r="B481" s="2"/>
      <c r="C481" s="2"/>
      <c r="D481" s="2"/>
      <c r="E481" s="7"/>
      <c r="F481" s="7"/>
      <c r="G481" s="9" t="s">
        <v>2322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2.75" customHeight="1" x14ac:dyDescent="0.2">
      <c r="A482" s="7"/>
      <c r="B482" s="2" t="s">
        <v>0</v>
      </c>
      <c r="C482" s="2" t="s">
        <v>340</v>
      </c>
      <c r="D482" s="2"/>
      <c r="E482" s="7"/>
      <c r="F482" s="7"/>
      <c r="G482" s="9" t="s">
        <v>2322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2.75" customHeight="1" x14ac:dyDescent="0.2">
      <c r="A483" s="7"/>
      <c r="B483" s="2" t="s">
        <v>2</v>
      </c>
      <c r="C483" s="2" t="s">
        <v>2322</v>
      </c>
      <c r="D483" s="2"/>
      <c r="E483" s="7"/>
      <c r="F483" s="7"/>
      <c r="G483" s="9" t="s">
        <v>2322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2.75" customHeight="1" x14ac:dyDescent="0.2">
      <c r="A484" s="7"/>
      <c r="B484" s="2" t="s">
        <v>1840</v>
      </c>
      <c r="C484" s="2" t="s">
        <v>953</v>
      </c>
      <c r="D484" s="2"/>
      <c r="E484" s="7"/>
      <c r="F484" s="7"/>
      <c r="G484" s="9" t="s">
        <v>2322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2.75" customHeight="1" x14ac:dyDescent="0.2">
      <c r="A485" s="7"/>
      <c r="B485" s="2" t="s">
        <v>9</v>
      </c>
      <c r="C485" s="2" t="s">
        <v>262</v>
      </c>
      <c r="D485" s="2"/>
      <c r="E485" s="7"/>
      <c r="F485" s="7"/>
      <c r="G485" s="9" t="s">
        <v>2322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2.75" customHeight="1" x14ac:dyDescent="0.2">
      <c r="A486" s="7"/>
      <c r="B486" s="2" t="s">
        <v>11</v>
      </c>
      <c r="C486" s="2" t="s">
        <v>307</v>
      </c>
      <c r="D486" s="2"/>
      <c r="E486" s="7"/>
      <c r="F486" s="7"/>
      <c r="G486" s="9" t="s">
        <v>2322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2.75" customHeight="1" x14ac:dyDescent="0.2">
      <c r="A487" s="7"/>
      <c r="B487" s="2" t="s">
        <v>16</v>
      </c>
      <c r="C487" s="2"/>
      <c r="D487" s="2"/>
      <c r="E487" s="7"/>
      <c r="F487" s="7"/>
      <c r="G487" s="9" t="s">
        <v>2322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2.75" customHeight="1" x14ac:dyDescent="0.2">
      <c r="A488" s="7"/>
      <c r="B488" s="2" t="s">
        <v>17</v>
      </c>
      <c r="C488" s="2" t="s">
        <v>19</v>
      </c>
      <c r="D488" s="2"/>
      <c r="E488" s="7"/>
      <c r="F488" s="7"/>
      <c r="G488" s="9" t="s">
        <v>2322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2.75" customHeight="1" x14ac:dyDescent="0.2">
      <c r="A489" s="7"/>
      <c r="B489" s="2" t="s">
        <v>18</v>
      </c>
      <c r="C489" s="2" t="s">
        <v>44</v>
      </c>
      <c r="D489" s="2" t="str">
        <f>HYPERLINK("javascript:void(0)","sárpáncél")</f>
        <v>sárpáncél</v>
      </c>
      <c r="E489" s="7"/>
      <c r="F489" s="7"/>
      <c r="G489" s="9" t="s">
        <v>2322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2.75" customHeight="1" x14ac:dyDescent="0.2">
      <c r="A490" s="7"/>
      <c r="B490" s="2"/>
      <c r="C490" s="2" t="s">
        <v>44</v>
      </c>
      <c r="D490" s="2" t="str">
        <f>HYPERLINK("javascript:void(0)","dérpáncél")</f>
        <v>dérpáncél</v>
      </c>
      <c r="E490" s="7"/>
      <c r="F490" s="7"/>
      <c r="G490" s="9" t="s">
        <v>2322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2.75" customHeight="1" x14ac:dyDescent="0.2">
      <c r="A491" s="7"/>
      <c r="B491" s="2"/>
      <c r="C491" s="2" t="s">
        <v>163</v>
      </c>
      <c r="D491" s="2" t="str">
        <f>HYPERLINK("javascript:void(0)","hidegige")</f>
        <v>hidegige</v>
      </c>
      <c r="E491" s="7"/>
      <c r="F491" s="7"/>
      <c r="G491" s="9" t="s">
        <v>2322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2.75" customHeight="1" x14ac:dyDescent="0.2">
      <c r="A492" s="7"/>
      <c r="B492" s="2"/>
      <c r="C492" s="2"/>
      <c r="D492" s="2"/>
      <c r="E492" s="7"/>
      <c r="F492" s="7"/>
      <c r="G492" s="9" t="s">
        <v>2322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2.75" customHeight="1" x14ac:dyDescent="0.2">
      <c r="A493" s="7"/>
      <c r="B493" s="2"/>
      <c r="C493" s="2"/>
      <c r="D493" s="2"/>
      <c r="E493" s="7"/>
      <c r="F493" s="7"/>
      <c r="G493" s="9" t="s">
        <v>2322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2.75" customHeight="1" x14ac:dyDescent="0.2">
      <c r="A494" s="7"/>
      <c r="B494" s="2"/>
      <c r="C494" s="2"/>
      <c r="D494" s="2"/>
      <c r="E494" s="7"/>
      <c r="F494" s="7"/>
      <c r="G494" s="9" t="s">
        <v>2322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2.75" customHeight="1" x14ac:dyDescent="0.2">
      <c r="A495" s="7"/>
      <c r="B495" s="2"/>
      <c r="C495" s="2"/>
      <c r="D495" s="2"/>
      <c r="E495" s="7"/>
      <c r="F495" s="7"/>
      <c r="G495" s="9" t="s">
        <v>2322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2.75" customHeight="1" x14ac:dyDescent="0.2">
      <c r="A496" s="7"/>
      <c r="B496" s="2"/>
      <c r="C496" s="2"/>
      <c r="D496" s="2"/>
      <c r="E496" s="7"/>
      <c r="F496" s="7"/>
      <c r="G496" s="9" t="s">
        <v>2322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2.75" customHeight="1" x14ac:dyDescent="0.2">
      <c r="A497" s="7" t="str">
        <f>HYPERLINK("javascript:void(0)","vértcső")</f>
        <v>vértcső</v>
      </c>
      <c r="B497" s="7"/>
      <c r="C497" s="7"/>
      <c r="D497" s="7"/>
      <c r="E497" s="7"/>
      <c r="F497" s="7"/>
      <c r="G497" s="9" t="s">
        <v>2322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2.75" customHeight="1" x14ac:dyDescent="0.2">
      <c r="A498" s="7"/>
      <c r="B498" s="2"/>
      <c r="C498" s="2"/>
      <c r="D498" s="2"/>
      <c r="E498" s="7"/>
      <c r="F498" s="7"/>
      <c r="G498" s="9" t="s">
        <v>2322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2.75" customHeight="1" x14ac:dyDescent="0.2">
      <c r="A499" s="7"/>
      <c r="B499" s="2" t="s">
        <v>0</v>
      </c>
      <c r="C499" s="2" t="s">
        <v>340</v>
      </c>
      <c r="D499" s="2"/>
      <c r="E499" s="7"/>
      <c r="F499" s="7"/>
      <c r="G499" s="9" t="s">
        <v>2322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2.75" customHeight="1" x14ac:dyDescent="0.2">
      <c r="A500" s="7"/>
      <c r="B500" s="2" t="s">
        <v>2</v>
      </c>
      <c r="C500" s="2" t="s">
        <v>2322</v>
      </c>
      <c r="D500" s="2"/>
      <c r="E500" s="7"/>
      <c r="F500" s="7"/>
      <c r="G500" s="9" t="s">
        <v>2322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2.75" customHeight="1" x14ac:dyDescent="0.2">
      <c r="A501" s="7"/>
      <c r="B501" s="2" t="s">
        <v>1840</v>
      </c>
      <c r="C501" s="2" t="s">
        <v>115</v>
      </c>
      <c r="D501" s="2"/>
      <c r="E501" s="7"/>
      <c r="F501" s="7"/>
      <c r="G501" s="9" t="s">
        <v>2322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2.75" customHeight="1" x14ac:dyDescent="0.2">
      <c r="A502" s="7"/>
      <c r="B502" s="2" t="s">
        <v>9</v>
      </c>
      <c r="C502" s="2" t="s">
        <v>42</v>
      </c>
      <c r="D502" s="2"/>
      <c r="E502" s="7"/>
      <c r="F502" s="7"/>
      <c r="G502" s="9" t="s">
        <v>2322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2.75" customHeight="1" x14ac:dyDescent="0.2">
      <c r="A503" s="7"/>
      <c r="B503" s="2" t="s">
        <v>11</v>
      </c>
      <c r="C503" s="2" t="s">
        <v>152</v>
      </c>
      <c r="D503" s="2"/>
      <c r="E503" s="7"/>
      <c r="F503" s="7"/>
      <c r="G503" s="9" t="s">
        <v>2322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2.75" customHeight="1" x14ac:dyDescent="0.2">
      <c r="A504" s="7"/>
      <c r="B504" s="2" t="s">
        <v>16</v>
      </c>
      <c r="C504" s="2"/>
      <c r="D504" s="2"/>
      <c r="E504" s="7"/>
      <c r="F504" s="7"/>
      <c r="G504" s="9" t="s">
        <v>2322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2.75" customHeight="1" x14ac:dyDescent="0.2">
      <c r="A505" s="7"/>
      <c r="B505" s="2" t="s">
        <v>17</v>
      </c>
      <c r="C505" s="2" t="s">
        <v>19</v>
      </c>
      <c r="D505" s="2"/>
      <c r="E505" s="7"/>
      <c r="F505" s="7"/>
      <c r="G505" s="9" t="s">
        <v>2322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2.75" customHeight="1" x14ac:dyDescent="0.2">
      <c r="A506" s="7"/>
      <c r="B506" s="2" t="s">
        <v>18</v>
      </c>
      <c r="C506" s="2" t="s">
        <v>57</v>
      </c>
      <c r="D506" s="2" t="str">
        <f>HYPERLINK("javascript:void(0)","spiritusz")</f>
        <v>spiritusz</v>
      </c>
      <c r="E506" s="7"/>
      <c r="F506" s="7"/>
      <c r="G506" s="9" t="s">
        <v>2322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2.75" customHeight="1" x14ac:dyDescent="0.2">
      <c r="A507" s="7"/>
      <c r="B507" s="2"/>
      <c r="C507" s="2" t="s">
        <v>44</v>
      </c>
      <c r="D507" s="2" t="str">
        <f>HYPERLINK("javascript:void(0)","képcső")</f>
        <v>képcső</v>
      </c>
      <c r="E507" s="7"/>
      <c r="F507" s="7"/>
      <c r="G507" s="9" t="s">
        <v>2322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2.75" customHeight="1" x14ac:dyDescent="0.2">
      <c r="A508" s="7"/>
      <c r="B508" s="2"/>
      <c r="C508" s="2" t="s">
        <v>77</v>
      </c>
      <c r="D508" s="2" t="str">
        <f>HYPERLINK("javascript:void(0)","mágusköpeny")</f>
        <v>mágusköpeny</v>
      </c>
      <c r="E508" s="7"/>
      <c r="F508" s="7"/>
      <c r="G508" s="9" t="s">
        <v>2322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2.75" customHeight="1" x14ac:dyDescent="0.2">
      <c r="A509" s="7"/>
      <c r="B509" s="2"/>
      <c r="C509" s="2"/>
      <c r="D509" s="2"/>
      <c r="E509" s="7"/>
      <c r="F509" s="7"/>
      <c r="G509" s="9" t="s">
        <v>2322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2.75" customHeight="1" x14ac:dyDescent="0.2">
      <c r="A510" s="7"/>
      <c r="B510" s="2"/>
      <c r="C510" s="2"/>
      <c r="D510" s="2"/>
      <c r="E510" s="7"/>
      <c r="F510" s="7"/>
      <c r="G510" s="9" t="s">
        <v>2322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2.75" customHeight="1" x14ac:dyDescent="0.2">
      <c r="A511" s="7"/>
      <c r="B511" s="2"/>
      <c r="C511" s="2"/>
      <c r="D511" s="2"/>
      <c r="E511" s="7"/>
      <c r="F511" s="7"/>
      <c r="G511" s="9" t="s">
        <v>2322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2.75" customHeight="1" x14ac:dyDescent="0.2">
      <c r="A512" s="7"/>
      <c r="B512" s="2"/>
      <c r="C512" s="2"/>
      <c r="D512" s="2"/>
      <c r="E512" s="7"/>
      <c r="F512" s="7"/>
      <c r="G512" s="9" t="s">
        <v>2322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2.75" customHeight="1" x14ac:dyDescent="0.2">
      <c r="A513" s="7"/>
      <c r="B513" s="2"/>
      <c r="C513" s="2"/>
      <c r="D513" s="2"/>
      <c r="E513" s="7"/>
      <c r="F513" s="7"/>
      <c r="G513" s="9" t="s">
        <v>2322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2.75" customHeight="1" x14ac:dyDescent="0.2">
      <c r="A514" s="7" t="str">
        <f>HYPERLINK("javascript:void(0)","varázspáncél")</f>
        <v>varázspáncél</v>
      </c>
      <c r="B514" s="7"/>
      <c r="C514" s="7"/>
      <c r="D514" s="7"/>
      <c r="E514" s="7"/>
      <c r="F514" s="7"/>
      <c r="G514" s="9" t="s">
        <v>2322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2.75" customHeight="1" x14ac:dyDescent="0.2">
      <c r="A515" s="7"/>
      <c r="B515" s="2"/>
      <c r="C515" s="2"/>
      <c r="D515" s="2"/>
      <c r="E515" s="7"/>
      <c r="F515" s="7"/>
      <c r="G515" s="9" t="s">
        <v>2322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2.75" customHeight="1" x14ac:dyDescent="0.2">
      <c r="A516" s="7"/>
      <c r="B516" s="2" t="s">
        <v>0</v>
      </c>
      <c r="C516" s="2" t="s">
        <v>353</v>
      </c>
      <c r="D516" s="2"/>
      <c r="E516" s="7"/>
      <c r="F516" s="7"/>
      <c r="G516" s="9" t="s">
        <v>2322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2.75" customHeight="1" x14ac:dyDescent="0.2">
      <c r="A517" s="7"/>
      <c r="B517" s="2" t="s">
        <v>2</v>
      </c>
      <c r="C517" s="2" t="s">
        <v>2322</v>
      </c>
      <c r="D517" s="2"/>
      <c r="E517" s="7"/>
      <c r="F517" s="7"/>
      <c r="G517" s="9" t="s">
        <v>2322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2.75" customHeight="1" x14ac:dyDescent="0.2">
      <c r="A518" s="7"/>
      <c r="B518" s="2" t="s">
        <v>1840</v>
      </c>
      <c r="C518" s="2" t="s">
        <v>999</v>
      </c>
      <c r="D518" s="2"/>
      <c r="E518" s="7"/>
      <c r="F518" s="7"/>
      <c r="G518" s="9" t="s">
        <v>2322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2.75" customHeight="1" x14ac:dyDescent="0.2">
      <c r="A519" s="7"/>
      <c r="B519" s="2" t="s">
        <v>9</v>
      </c>
      <c r="C519" s="2" t="s">
        <v>75</v>
      </c>
      <c r="D519" s="2"/>
      <c r="E519" s="7"/>
      <c r="F519" s="7"/>
      <c r="G519" s="9" t="s">
        <v>2322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2.75" customHeight="1" x14ac:dyDescent="0.2">
      <c r="A520" s="7"/>
      <c r="B520" s="2" t="s">
        <v>11</v>
      </c>
      <c r="C520" s="2" t="s">
        <v>321</v>
      </c>
      <c r="D520" s="2"/>
      <c r="E520" s="7"/>
      <c r="F520" s="7"/>
      <c r="G520" s="9" t="s">
        <v>2322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2.75" customHeight="1" x14ac:dyDescent="0.2">
      <c r="A521" s="7"/>
      <c r="B521" s="2" t="s">
        <v>16</v>
      </c>
      <c r="C521" s="2"/>
      <c r="D521" s="2"/>
      <c r="E521" s="7"/>
      <c r="F521" s="7"/>
      <c r="G521" s="9" t="s">
        <v>2322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2.75" customHeight="1" x14ac:dyDescent="0.2">
      <c r="A522" s="7"/>
      <c r="B522" s="2" t="s">
        <v>17</v>
      </c>
      <c r="C522" s="2" t="s">
        <v>19</v>
      </c>
      <c r="D522" s="2"/>
      <c r="E522" s="7"/>
      <c r="F522" s="7"/>
      <c r="G522" s="9" t="s">
        <v>2322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2.75" customHeight="1" x14ac:dyDescent="0.2">
      <c r="A523" s="7"/>
      <c r="B523" s="2" t="s">
        <v>18</v>
      </c>
      <c r="C523" s="2" t="s">
        <v>44</v>
      </c>
      <c r="D523" s="2" t="str">
        <f>HYPERLINK("javascript:void(0)","vörös elemipáncél")</f>
        <v>vörös elemipáncél</v>
      </c>
      <c r="E523" s="7"/>
      <c r="F523" s="7"/>
      <c r="G523" s="9" t="s">
        <v>2322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2.75" customHeight="1" x14ac:dyDescent="0.2">
      <c r="A524" s="7"/>
      <c r="B524" s="2"/>
      <c r="C524" s="2" t="s">
        <v>44</v>
      </c>
      <c r="D524" s="2" t="str">
        <f>HYPERLINK("javascript:void(0)","kék elemipáncél")</f>
        <v>kék elemipáncél</v>
      </c>
      <c r="E524" s="7"/>
      <c r="F524" s="7"/>
      <c r="G524" s="9" t="s">
        <v>2322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2.75" customHeight="1" x14ac:dyDescent="0.2">
      <c r="A525" s="7"/>
      <c r="B525" s="2"/>
      <c r="C525" s="2" t="s">
        <v>382</v>
      </c>
      <c r="D525" s="2" t="str">
        <f>HYPERLINK("javascript:void(0)","varázsige")</f>
        <v>varázsige</v>
      </c>
      <c r="E525" s="7"/>
      <c r="F525" s="7"/>
      <c r="G525" s="9" t="s">
        <v>2322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2.75" customHeight="1" x14ac:dyDescent="0.2">
      <c r="A526" s="7"/>
      <c r="B526" s="2"/>
      <c r="C526" s="2"/>
      <c r="D526" s="2"/>
      <c r="E526" s="7"/>
      <c r="F526" s="7"/>
      <c r="G526" s="9" t="s">
        <v>2322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2.75" customHeight="1" x14ac:dyDescent="0.2">
      <c r="A527" s="7"/>
      <c r="B527" s="2"/>
      <c r="C527" s="2"/>
      <c r="D527" s="2"/>
      <c r="E527" s="7"/>
      <c r="F527" s="7"/>
      <c r="G527" s="9" t="s">
        <v>2322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2.75" customHeight="1" x14ac:dyDescent="0.2">
      <c r="A528" s="7"/>
      <c r="B528" s="2"/>
      <c r="C528" s="2"/>
      <c r="D528" s="2"/>
      <c r="E528" s="7"/>
      <c r="F528" s="7"/>
      <c r="G528" s="9" t="s">
        <v>2322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2.75" customHeight="1" x14ac:dyDescent="0.2">
      <c r="A529" s="7"/>
      <c r="B529" s="2"/>
      <c r="C529" s="2"/>
      <c r="D529" s="2"/>
      <c r="E529" s="7"/>
      <c r="F529" s="7"/>
      <c r="G529" s="9" t="s">
        <v>2322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2.75" customHeight="1" x14ac:dyDescent="0.2">
      <c r="A530" s="7"/>
      <c r="B530" s="2"/>
      <c r="C530" s="2"/>
      <c r="D530" s="2"/>
      <c r="E530" s="7"/>
      <c r="F530" s="7"/>
      <c r="G530" s="9" t="s">
        <v>2322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2.75" customHeight="1" x14ac:dyDescent="0.2">
      <c r="A531" s="7" t="str">
        <f>HYPERLINK("javascript:void(0)","animált páncél")</f>
        <v>animált páncél</v>
      </c>
      <c r="B531" s="7"/>
      <c r="C531" s="7"/>
      <c r="D531" s="7"/>
      <c r="E531" s="7"/>
      <c r="F531" s="7"/>
      <c r="G531" s="9" t="s">
        <v>2322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2.75" customHeight="1" x14ac:dyDescent="0.2">
      <c r="A532" s="7"/>
      <c r="B532" s="2"/>
      <c r="C532" s="2"/>
      <c r="D532" s="2"/>
      <c r="E532" s="7"/>
      <c r="F532" s="7"/>
      <c r="G532" s="9" t="s">
        <v>2322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2.75" customHeight="1" x14ac:dyDescent="0.2">
      <c r="A533" s="7"/>
      <c r="B533" s="2" t="s">
        <v>0</v>
      </c>
      <c r="C533" s="2" t="s">
        <v>274</v>
      </c>
      <c r="D533" s="2"/>
      <c r="E533" s="7"/>
      <c r="F533" s="7"/>
      <c r="G533" s="9" t="s">
        <v>2322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2.75" customHeight="1" x14ac:dyDescent="0.2">
      <c r="A534" s="7"/>
      <c r="B534" s="2" t="s">
        <v>2</v>
      </c>
      <c r="C534" s="2" t="s">
        <v>2322</v>
      </c>
      <c r="D534" s="2"/>
      <c r="E534" s="7"/>
      <c r="F534" s="7"/>
      <c r="G534" s="9" t="s">
        <v>2322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2.75" customHeight="1" x14ac:dyDescent="0.2">
      <c r="A535" s="7"/>
      <c r="B535" s="2" t="s">
        <v>1840</v>
      </c>
      <c r="C535" s="2" t="s">
        <v>1060</v>
      </c>
      <c r="D535" s="2"/>
      <c r="E535" s="7"/>
      <c r="F535" s="7"/>
      <c r="G535" s="9" t="s">
        <v>2322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2.75" customHeight="1" x14ac:dyDescent="0.2">
      <c r="A536" s="7"/>
      <c r="B536" s="2" t="s">
        <v>9</v>
      </c>
      <c r="C536" s="2" t="s">
        <v>124</v>
      </c>
      <c r="D536" s="2"/>
      <c r="E536" s="7"/>
      <c r="F536" s="7"/>
      <c r="G536" s="9" t="s">
        <v>2322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2.75" customHeight="1" x14ac:dyDescent="0.2">
      <c r="A537" s="7"/>
      <c r="B537" s="2" t="s">
        <v>11</v>
      </c>
      <c r="C537" s="2" t="s">
        <v>339</v>
      </c>
      <c r="D537" s="2"/>
      <c r="E537" s="7"/>
      <c r="F537" s="7"/>
      <c r="G537" s="9" t="s">
        <v>2322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2.75" customHeight="1" x14ac:dyDescent="0.2">
      <c r="A538" s="7"/>
      <c r="B538" s="2" t="s">
        <v>16</v>
      </c>
      <c r="C538" s="2"/>
      <c r="D538" s="2"/>
      <c r="E538" s="7"/>
      <c r="F538" s="7"/>
      <c r="G538" s="9" t="s">
        <v>2322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2.75" customHeight="1" x14ac:dyDescent="0.2">
      <c r="A539" s="7"/>
      <c r="B539" s="2" t="s">
        <v>17</v>
      </c>
      <c r="C539" s="2" t="s">
        <v>19</v>
      </c>
      <c r="D539" s="2"/>
      <c r="E539" s="7"/>
      <c r="F539" s="7"/>
      <c r="G539" s="9" t="s">
        <v>2322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2.75" customHeight="1" x14ac:dyDescent="0.2">
      <c r="A540" s="7"/>
      <c r="B540" s="2" t="s">
        <v>18</v>
      </c>
      <c r="C540" s="2" t="s">
        <v>44</v>
      </c>
      <c r="D540" s="2" t="str">
        <f>HYPERLINK("javascript:void(0)","körömpáncél")</f>
        <v>körömpáncél</v>
      </c>
      <c r="E540" s="7"/>
      <c r="F540" s="7"/>
      <c r="G540" s="9" t="s">
        <v>2322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2.75" customHeight="1" x14ac:dyDescent="0.2">
      <c r="A541" s="7"/>
      <c r="B541" s="2"/>
      <c r="C541" s="2" t="s">
        <v>44</v>
      </c>
      <c r="D541" s="2" t="str">
        <f>HYPERLINK("javascript:void(0)","varázspáncél")</f>
        <v>varázspáncél</v>
      </c>
      <c r="E541" s="7"/>
      <c r="F541" s="7"/>
      <c r="G541" s="9" t="s">
        <v>2322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2.75" customHeight="1" x14ac:dyDescent="0.2">
      <c r="A542" s="7"/>
      <c r="B542" s="2"/>
      <c r="C542" s="2" t="s">
        <v>68</v>
      </c>
      <c r="D542" s="2" t="str">
        <f>HYPERLINK("javascript:void(0)","nekroige")</f>
        <v>nekroige</v>
      </c>
      <c r="E542" s="7"/>
      <c r="F542" s="7"/>
      <c r="G542" s="9" t="s">
        <v>2322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2.75" customHeight="1" x14ac:dyDescent="0.2">
      <c r="A543" s="7"/>
      <c r="B543" s="2"/>
      <c r="C543" s="2"/>
      <c r="D543" s="2"/>
      <c r="E543" s="7"/>
      <c r="F543" s="7"/>
      <c r="G543" s="9" t="s">
        <v>2322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2.75" customHeight="1" x14ac:dyDescent="0.2">
      <c r="A544" s="7"/>
      <c r="B544" s="2"/>
      <c r="C544" s="2"/>
      <c r="D544" s="2"/>
      <c r="E544" s="7"/>
      <c r="F544" s="7"/>
      <c r="G544" s="9" t="s">
        <v>2322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2.75" customHeight="1" x14ac:dyDescent="0.2">
      <c r="A545" s="7"/>
      <c r="B545" s="2"/>
      <c r="C545" s="2"/>
      <c r="D545" s="2"/>
      <c r="E545" s="7"/>
      <c r="F545" s="7"/>
      <c r="G545" s="9" t="s">
        <v>2322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2.75" customHeight="1" x14ac:dyDescent="0.2">
      <c r="A546" s="7"/>
      <c r="B546" s="2"/>
      <c r="C546" s="2"/>
      <c r="D546" s="2"/>
      <c r="E546" s="7"/>
      <c r="F546" s="7"/>
      <c r="G546" s="9" t="s">
        <v>2322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2.75" customHeight="1" x14ac:dyDescent="0.2">
      <c r="A547" s="7"/>
      <c r="B547" s="2"/>
      <c r="C547" s="2"/>
      <c r="D547" s="2"/>
      <c r="E547" s="7"/>
      <c r="F547" s="7"/>
      <c r="G547" s="9" t="s">
        <v>2322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2.75" customHeight="1" x14ac:dyDescent="0.2">
      <c r="A548" s="7" t="str">
        <f>HYPERLINK("javascript:void(0)","gyíkacél ködmön")</f>
        <v>gyíkacél ködmön</v>
      </c>
      <c r="B548" s="7"/>
      <c r="C548" s="7"/>
      <c r="D548" s="7"/>
      <c r="E548" s="7"/>
      <c r="F548" s="7"/>
      <c r="G548" s="9" t="s">
        <v>2322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2.75" customHeight="1" x14ac:dyDescent="0.2">
      <c r="A549" s="7"/>
      <c r="B549" s="2"/>
      <c r="C549" s="2"/>
      <c r="D549" s="2"/>
      <c r="E549" s="7"/>
      <c r="F549" s="7"/>
      <c r="G549" s="9" t="s">
        <v>2322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2.75" customHeight="1" x14ac:dyDescent="0.2">
      <c r="A550" s="7"/>
      <c r="B550" s="2" t="s">
        <v>0</v>
      </c>
      <c r="C550" s="2" t="s">
        <v>274</v>
      </c>
      <c r="D550" s="2"/>
      <c r="E550" s="7"/>
      <c r="F550" s="7"/>
      <c r="G550" s="9" t="s">
        <v>2322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2.75" customHeight="1" x14ac:dyDescent="0.2">
      <c r="A551" s="7"/>
      <c r="B551" s="2" t="s">
        <v>2</v>
      </c>
      <c r="C551" s="2" t="s">
        <v>2322</v>
      </c>
      <c r="D551" s="2"/>
      <c r="E551" s="7"/>
      <c r="F551" s="7"/>
      <c r="G551" s="9" t="s">
        <v>2322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2.75" customHeight="1" x14ac:dyDescent="0.2">
      <c r="A552" s="7"/>
      <c r="B552" s="2" t="s">
        <v>1840</v>
      </c>
      <c r="C552" s="2" t="s">
        <v>978</v>
      </c>
      <c r="D552" s="2"/>
      <c r="E552" s="7"/>
      <c r="F552" s="7"/>
      <c r="G552" s="9" t="s">
        <v>2322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2.75" customHeight="1" x14ac:dyDescent="0.2">
      <c r="A553" s="7"/>
      <c r="B553" s="2" t="s">
        <v>9</v>
      </c>
      <c r="C553" s="2" t="s">
        <v>377</v>
      </c>
      <c r="D553" s="2"/>
      <c r="E553" s="7"/>
      <c r="F553" s="7"/>
      <c r="G553" s="9" t="s">
        <v>2322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2.75" customHeight="1" x14ac:dyDescent="0.2">
      <c r="A554" s="7"/>
      <c r="B554" s="2" t="s">
        <v>11</v>
      </c>
      <c r="C554" s="2" t="s">
        <v>295</v>
      </c>
      <c r="D554" s="2"/>
      <c r="E554" s="7"/>
      <c r="F554" s="7"/>
      <c r="G554" s="9" t="s">
        <v>2322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2.75" customHeight="1" x14ac:dyDescent="0.2">
      <c r="A555" s="7"/>
      <c r="B555" s="2" t="s">
        <v>16</v>
      </c>
      <c r="C555" s="2"/>
      <c r="D555" s="2"/>
      <c r="E555" s="7"/>
      <c r="F555" s="7"/>
      <c r="G555" s="9" t="s">
        <v>2322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2.75" customHeight="1" x14ac:dyDescent="0.2">
      <c r="A556" s="7"/>
      <c r="B556" s="2" t="s">
        <v>17</v>
      </c>
      <c r="C556" s="2" t="s">
        <v>19</v>
      </c>
      <c r="D556" s="2"/>
      <c r="E556" s="7"/>
      <c r="F556" s="7"/>
      <c r="G556" s="9" t="s">
        <v>2322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2.75" customHeight="1" x14ac:dyDescent="0.2">
      <c r="A557" s="7"/>
      <c r="B557" s="2" t="s">
        <v>18</v>
      </c>
      <c r="C557" s="2" t="s">
        <v>280</v>
      </c>
      <c r="D557" s="2" t="str">
        <f>HYPERLINK("javascript:void(0)","szent szimbólum")</f>
        <v>szent szimbólum</v>
      </c>
      <c r="E557" s="7"/>
      <c r="F557" s="7"/>
      <c r="G557" s="9" t="s">
        <v>2322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2.75" customHeight="1" x14ac:dyDescent="0.2">
      <c r="A558" s="7"/>
      <c r="B558" s="2"/>
      <c r="C558" s="2" t="s">
        <v>1379</v>
      </c>
      <c r="D558" s="2" t="str">
        <f>HYPERLINK("javascript:void(0)","goblinbatka")</f>
        <v>goblinbatka</v>
      </c>
      <c r="E558" s="7"/>
      <c r="F558" s="7"/>
      <c r="G558" s="9" t="s">
        <v>2322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2.75" customHeight="1" x14ac:dyDescent="0.2">
      <c r="A559" s="7"/>
      <c r="B559" s="2"/>
      <c r="C559" s="2" t="s">
        <v>280</v>
      </c>
      <c r="D559" s="2" t="str">
        <f>HYPERLINK("javascript:void(0)","portgyűrű")</f>
        <v>portgyűrű</v>
      </c>
      <c r="E559" s="7"/>
      <c r="F559" s="7"/>
      <c r="G559" s="9" t="s">
        <v>2322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2.75" customHeight="1" x14ac:dyDescent="0.2">
      <c r="A560" s="7"/>
      <c r="B560" s="2"/>
      <c r="C560" s="2"/>
      <c r="D560" s="2"/>
      <c r="E560" s="7"/>
      <c r="F560" s="7"/>
      <c r="G560" s="9" t="s">
        <v>2322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2.75" customHeight="1" x14ac:dyDescent="0.2">
      <c r="A561" s="7"/>
      <c r="B561" s="2"/>
      <c r="C561" s="2"/>
      <c r="D561" s="2"/>
      <c r="E561" s="7"/>
      <c r="F561" s="7"/>
      <c r="G561" s="9" t="s">
        <v>2322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2.75" customHeight="1" x14ac:dyDescent="0.2">
      <c r="A562" s="7"/>
      <c r="B562" s="2"/>
      <c r="C562" s="2"/>
      <c r="D562" s="2"/>
      <c r="E562" s="7"/>
      <c r="F562" s="7"/>
      <c r="G562" s="9" t="s">
        <v>2322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2.75" customHeight="1" x14ac:dyDescent="0.2">
      <c r="A563" s="7"/>
      <c r="B563" s="2"/>
      <c r="C563" s="2"/>
      <c r="D563" s="2"/>
      <c r="E563" s="7"/>
      <c r="F563" s="7"/>
      <c r="G563" s="9" t="s">
        <v>2322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2.75" customHeight="1" x14ac:dyDescent="0.2">
      <c r="A564" s="7"/>
      <c r="B564" s="2"/>
      <c r="C564" s="2"/>
      <c r="D564" s="2"/>
      <c r="E564" s="7"/>
      <c r="F564" s="7"/>
      <c r="G564" s="9" t="s">
        <v>2322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2.75" customHeight="1" x14ac:dyDescent="0.2">
      <c r="A565" s="7" t="str">
        <f>HYPERLINK("javascript:void(0)","közepes csillámköpeny")</f>
        <v>közepes csillámköpeny</v>
      </c>
      <c r="B565" s="7"/>
      <c r="C565" s="7"/>
      <c r="D565" s="7"/>
      <c r="E565" s="7"/>
      <c r="F565" s="7"/>
      <c r="G565" s="9" t="s">
        <v>2322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2.75" customHeight="1" x14ac:dyDescent="0.2">
      <c r="A566" s="7"/>
      <c r="B566" s="2"/>
      <c r="C566" s="2"/>
      <c r="D566" s="2"/>
      <c r="E566" s="7"/>
      <c r="F566" s="7"/>
      <c r="G566" s="9" t="s">
        <v>2322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2.75" customHeight="1" x14ac:dyDescent="0.2">
      <c r="A567" s="7"/>
      <c r="B567" s="2" t="s">
        <v>0</v>
      </c>
      <c r="C567" s="2" t="s">
        <v>274</v>
      </c>
      <c r="D567" s="2"/>
      <c r="E567" s="7"/>
      <c r="F567" s="7"/>
      <c r="G567" s="9" t="s">
        <v>2322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2.75" customHeight="1" x14ac:dyDescent="0.2">
      <c r="A568" s="7"/>
      <c r="B568" s="2" t="s">
        <v>2</v>
      </c>
      <c r="C568" s="2" t="s">
        <v>2322</v>
      </c>
      <c r="D568" s="2"/>
      <c r="E568" s="7"/>
      <c r="F568" s="7"/>
      <c r="G568" s="9" t="s">
        <v>2322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2.75" customHeight="1" x14ac:dyDescent="0.2">
      <c r="A569" s="7"/>
      <c r="B569" s="2" t="s">
        <v>1840</v>
      </c>
      <c r="C569" s="2" t="s">
        <v>1213</v>
      </c>
      <c r="D569" s="2"/>
      <c r="E569" s="7"/>
      <c r="F569" s="7"/>
      <c r="G569" s="9" t="s">
        <v>2322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2.75" customHeight="1" x14ac:dyDescent="0.2">
      <c r="A570" s="7"/>
      <c r="B570" s="2" t="s">
        <v>9</v>
      </c>
      <c r="C570" s="2" t="s">
        <v>1517</v>
      </c>
      <c r="D570" s="2"/>
      <c r="E570" s="7"/>
      <c r="F570" s="7"/>
      <c r="G570" s="9" t="s">
        <v>2322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2.75" customHeight="1" x14ac:dyDescent="0.2">
      <c r="A571" s="7"/>
      <c r="B571" s="2" t="s">
        <v>11</v>
      </c>
      <c r="C571" s="2" t="s">
        <v>360</v>
      </c>
      <c r="D571" s="2"/>
      <c r="E571" s="7"/>
      <c r="F571" s="7"/>
      <c r="G571" s="9" t="s">
        <v>2322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2.75" customHeight="1" x14ac:dyDescent="0.2">
      <c r="A572" s="7"/>
      <c r="B572" s="2" t="s">
        <v>16</v>
      </c>
      <c r="C572" s="2"/>
      <c r="D572" s="2"/>
      <c r="E572" s="7"/>
      <c r="F572" s="7"/>
      <c r="G572" s="9" t="s">
        <v>2322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2.75" customHeight="1" x14ac:dyDescent="0.2">
      <c r="A573" s="7"/>
      <c r="B573" s="2" t="s">
        <v>17</v>
      </c>
      <c r="C573" s="2" t="s">
        <v>19</v>
      </c>
      <c r="D573" s="2"/>
      <c r="E573" s="7"/>
      <c r="F573" s="7"/>
      <c r="G573" s="9" t="s">
        <v>2322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2.75" customHeight="1" x14ac:dyDescent="0.2">
      <c r="A574" s="7"/>
      <c r="B574" s="2" t="s">
        <v>18</v>
      </c>
      <c r="C574" s="2" t="s">
        <v>57</v>
      </c>
      <c r="D574" s="2" t="str">
        <f>HYPERLINK("javascript:void(0)","csillámgöb")</f>
        <v>csillámgöb</v>
      </c>
      <c r="E574" s="7"/>
      <c r="F574" s="7"/>
      <c r="G574" s="9" t="s">
        <v>2322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2.75" customHeight="1" x14ac:dyDescent="0.2">
      <c r="A575" s="7"/>
      <c r="B575" s="2"/>
      <c r="C575" s="2" t="s">
        <v>44</v>
      </c>
      <c r="D575" s="2" t="str">
        <f>HYPERLINK("javascript:void(0)","könnyű csillámköpeny")</f>
        <v>könnyű csillámköpeny</v>
      </c>
      <c r="E575" s="7"/>
      <c r="F575" s="7"/>
      <c r="G575" s="9" t="s">
        <v>2322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2.75" customHeight="1" x14ac:dyDescent="0.2">
      <c r="A576" s="7"/>
      <c r="B576" s="2"/>
      <c r="C576" s="2" t="s">
        <v>139</v>
      </c>
      <c r="D576" s="2" t="str">
        <f>HYPERLINK("javascript:void(0)","rubin láncing")</f>
        <v>rubin láncing</v>
      </c>
      <c r="E576" s="7"/>
      <c r="F576" s="7"/>
      <c r="G576" s="9" t="s">
        <v>2322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2.75" customHeight="1" x14ac:dyDescent="0.2">
      <c r="A577" s="7"/>
      <c r="B577" s="2"/>
      <c r="C577" s="2"/>
      <c r="D577" s="2"/>
      <c r="E577" s="7"/>
      <c r="F577" s="7"/>
      <c r="G577" s="9" t="s">
        <v>2322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2.75" customHeight="1" x14ac:dyDescent="0.2">
      <c r="A578" s="7"/>
      <c r="B578" s="2"/>
      <c r="C578" s="2"/>
      <c r="D578" s="2"/>
      <c r="E578" s="7"/>
      <c r="F578" s="7"/>
      <c r="G578" s="9" t="s">
        <v>2322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2.75" customHeight="1" x14ac:dyDescent="0.2">
      <c r="A579" s="7"/>
      <c r="B579" s="2"/>
      <c r="C579" s="2"/>
      <c r="D579" s="2"/>
      <c r="E579" s="7"/>
      <c r="F579" s="7"/>
      <c r="G579" s="9" t="s">
        <v>2322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2.75" customHeight="1" x14ac:dyDescent="0.2">
      <c r="A580" s="7"/>
      <c r="B580" s="2"/>
      <c r="C580" s="2"/>
      <c r="D580" s="2"/>
      <c r="E580" s="7"/>
      <c r="F580" s="7"/>
      <c r="G580" s="9" t="s">
        <v>2322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2.75" customHeight="1" x14ac:dyDescent="0.2">
      <c r="A581" s="7"/>
      <c r="B581" s="2"/>
      <c r="C581" s="2"/>
      <c r="D581" s="2"/>
      <c r="E581" s="7"/>
      <c r="F581" s="7"/>
      <c r="G581" s="9" t="s">
        <v>2322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2.75" customHeight="1" x14ac:dyDescent="0.2">
      <c r="A582" s="7" t="str">
        <f>HYPERLINK("javascript:void(0)","ezüst mellvért")</f>
        <v>ezüst mellvért</v>
      </c>
      <c r="B582" s="7"/>
      <c r="C582" s="7"/>
      <c r="D582" s="7"/>
      <c r="E582" s="7"/>
      <c r="F582" s="7"/>
      <c r="G582" s="9" t="s">
        <v>2322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2.75" customHeight="1" x14ac:dyDescent="0.2">
      <c r="A583" s="7"/>
      <c r="B583" s="2"/>
      <c r="C583" s="2"/>
      <c r="D583" s="2"/>
      <c r="E583" s="7"/>
      <c r="F583" s="7"/>
      <c r="G583" s="9" t="s">
        <v>2322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2.75" customHeight="1" x14ac:dyDescent="0.2">
      <c r="A584" s="7"/>
      <c r="B584" s="2" t="s">
        <v>0</v>
      </c>
      <c r="C584" s="2" t="s">
        <v>52</v>
      </c>
      <c r="D584" s="2"/>
      <c r="E584" s="7"/>
      <c r="F584" s="7"/>
      <c r="G584" s="9" t="s">
        <v>2322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2.75" customHeight="1" x14ac:dyDescent="0.2">
      <c r="A585" s="7"/>
      <c r="B585" s="2" t="s">
        <v>2</v>
      </c>
      <c r="C585" s="2" t="s">
        <v>2322</v>
      </c>
      <c r="D585" s="2"/>
      <c r="E585" s="7"/>
      <c r="F585" s="7"/>
      <c r="G585" s="9" t="s">
        <v>2322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2.75" customHeight="1" x14ac:dyDescent="0.2">
      <c r="A586" s="7"/>
      <c r="B586" s="2" t="s">
        <v>1840</v>
      </c>
      <c r="C586" s="2" t="s">
        <v>1114</v>
      </c>
      <c r="D586" s="2"/>
      <c r="E586" s="7"/>
      <c r="F586" s="7"/>
      <c r="G586" s="9" t="s">
        <v>2322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2.75" customHeight="1" x14ac:dyDescent="0.2">
      <c r="A587" s="7"/>
      <c r="B587" s="2" t="s">
        <v>9</v>
      </c>
      <c r="C587" s="2" t="s">
        <v>129</v>
      </c>
      <c r="D587" s="2"/>
      <c r="E587" s="7"/>
      <c r="F587" s="7"/>
      <c r="G587" s="9" t="s">
        <v>2322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2.75" customHeight="1" x14ac:dyDescent="0.2">
      <c r="A588" s="7"/>
      <c r="B588" s="2" t="s">
        <v>11</v>
      </c>
      <c r="C588" s="2" t="s">
        <v>368</v>
      </c>
      <c r="D588" s="2"/>
      <c r="E588" s="7"/>
      <c r="F588" s="7"/>
      <c r="G588" s="9" t="s">
        <v>2322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2.75" customHeight="1" x14ac:dyDescent="0.2">
      <c r="A589" s="7"/>
      <c r="B589" s="2" t="s">
        <v>16</v>
      </c>
      <c r="C589" s="2"/>
      <c r="D589" s="2"/>
      <c r="E589" s="7"/>
      <c r="F589" s="7"/>
      <c r="G589" s="9" t="s">
        <v>2322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2.75" customHeight="1" x14ac:dyDescent="0.2">
      <c r="A590" s="7"/>
      <c r="B590" s="2" t="s">
        <v>17</v>
      </c>
      <c r="C590" s="2" t="s">
        <v>19</v>
      </c>
      <c r="D590" s="2"/>
      <c r="E590" s="7"/>
      <c r="F590" s="7"/>
      <c r="G590" s="9" t="s">
        <v>2322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2.75" customHeight="1" x14ac:dyDescent="0.2">
      <c r="A591" s="7"/>
      <c r="B591" s="2" t="s">
        <v>18</v>
      </c>
      <c r="C591" s="2" t="s">
        <v>67</v>
      </c>
      <c r="D591" s="2" t="str">
        <f>HYPERLINK("javascript:void(0)","ezüströg")</f>
        <v>ezüströg</v>
      </c>
      <c r="E591" s="7"/>
      <c r="F591" s="7"/>
      <c r="G591" s="9" t="s">
        <v>2322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2.75" customHeight="1" x14ac:dyDescent="0.2">
      <c r="A592" s="7"/>
      <c r="B592" s="2"/>
      <c r="C592" s="2" t="s">
        <v>265</v>
      </c>
      <c r="D592" s="2" t="str">
        <f>HYPERLINK("javascript:void(0)","rémszem")</f>
        <v>rémszem</v>
      </c>
      <c r="E592" s="7"/>
      <c r="F592" s="7"/>
      <c r="G592" s="9" t="s">
        <v>2322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2.75" customHeight="1" x14ac:dyDescent="0.2">
      <c r="A593" s="7"/>
      <c r="B593" s="2"/>
      <c r="C593" s="2" t="s">
        <v>232</v>
      </c>
      <c r="D593" s="2" t="str">
        <f>HYPERLINK("javascript:void(0)","kígyócsörgő")</f>
        <v>kígyócsörgő</v>
      </c>
      <c r="E593" s="7"/>
      <c r="F593" s="7"/>
      <c r="G593" s="9" t="s">
        <v>2322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2.75" customHeight="1" x14ac:dyDescent="0.2">
      <c r="A594" s="7"/>
      <c r="B594" s="2"/>
      <c r="C594" s="2"/>
      <c r="D594" s="2"/>
      <c r="E594" s="7"/>
      <c r="F594" s="7"/>
      <c r="G594" s="9" t="s">
        <v>2322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2.75" customHeight="1" x14ac:dyDescent="0.2">
      <c r="A595" s="7"/>
      <c r="B595" s="2"/>
      <c r="C595" s="2"/>
      <c r="D595" s="2"/>
      <c r="E595" s="7"/>
      <c r="F595" s="7"/>
      <c r="G595" s="9" t="s">
        <v>2322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2.75" customHeight="1" x14ac:dyDescent="0.2">
      <c r="A596" s="7"/>
      <c r="B596" s="2"/>
      <c r="C596" s="2"/>
      <c r="D596" s="2"/>
      <c r="E596" s="7"/>
      <c r="F596" s="7"/>
      <c r="G596" s="9" t="s">
        <v>2322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2.75" customHeight="1" x14ac:dyDescent="0.2">
      <c r="A597" s="7"/>
      <c r="B597" s="2"/>
      <c r="C597" s="2"/>
      <c r="D597" s="2"/>
      <c r="E597" s="7"/>
      <c r="F597" s="7"/>
      <c r="G597" s="9" t="s">
        <v>2322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2.75" customHeight="1" x14ac:dyDescent="0.2">
      <c r="A598" s="7"/>
      <c r="B598" s="2"/>
      <c r="C598" s="2"/>
      <c r="D598" s="2"/>
      <c r="E598" s="7"/>
      <c r="F598" s="7"/>
      <c r="G598" s="9" t="s">
        <v>2322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2.75" customHeight="1" x14ac:dyDescent="0.2">
      <c r="A599" s="7" t="str">
        <f>HYPERLINK("javascript:void(0)","réz mellvért")</f>
        <v>réz mellvért</v>
      </c>
      <c r="B599" s="7"/>
      <c r="C599" s="7"/>
      <c r="D599" s="7"/>
      <c r="E599" s="7"/>
      <c r="F599" s="7"/>
      <c r="G599" s="9" t="s">
        <v>2322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2.75" customHeight="1" x14ac:dyDescent="0.2">
      <c r="A600" s="7"/>
      <c r="B600" s="2"/>
      <c r="C600" s="2"/>
      <c r="D600" s="2"/>
      <c r="E600" s="7"/>
      <c r="F600" s="7"/>
      <c r="G600" s="9" t="s">
        <v>2322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2.75" customHeight="1" x14ac:dyDescent="0.2">
      <c r="A601" s="7"/>
      <c r="B601" s="2" t="s">
        <v>0</v>
      </c>
      <c r="C601" s="2" t="s">
        <v>385</v>
      </c>
      <c r="D601" s="2"/>
      <c r="E601" s="7"/>
      <c r="F601" s="7"/>
      <c r="G601" s="9" t="s">
        <v>2322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2.75" customHeight="1" x14ac:dyDescent="0.2">
      <c r="A602" s="7"/>
      <c r="B602" s="2" t="s">
        <v>2</v>
      </c>
      <c r="C602" s="2" t="s">
        <v>2322</v>
      </c>
      <c r="D602" s="2"/>
      <c r="E602" s="7"/>
      <c r="F602" s="7"/>
      <c r="G602" s="9" t="s">
        <v>2322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2.75" customHeight="1" x14ac:dyDescent="0.2">
      <c r="A603" s="7"/>
      <c r="B603" s="2" t="s">
        <v>1840</v>
      </c>
      <c r="C603" s="2" t="s">
        <v>1165</v>
      </c>
      <c r="D603" s="2"/>
      <c r="E603" s="7"/>
      <c r="F603" s="7"/>
      <c r="G603" s="9" t="s">
        <v>2322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2.75" customHeight="1" x14ac:dyDescent="0.2">
      <c r="A604" s="7"/>
      <c r="B604" s="2" t="s">
        <v>9</v>
      </c>
      <c r="C604" s="2" t="s">
        <v>131</v>
      </c>
      <c r="D604" s="2"/>
      <c r="E604" s="7"/>
      <c r="F604" s="7"/>
      <c r="G604" s="9" t="s">
        <v>2322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2.75" customHeight="1" x14ac:dyDescent="0.2">
      <c r="A605" s="7"/>
      <c r="B605" s="2" t="s">
        <v>11</v>
      </c>
      <c r="C605" s="2" t="s">
        <v>381</v>
      </c>
      <c r="D605" s="2"/>
      <c r="E605" s="7"/>
      <c r="F605" s="7"/>
      <c r="G605" s="9" t="s">
        <v>2322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2.75" customHeight="1" x14ac:dyDescent="0.2">
      <c r="A606" s="7"/>
      <c r="B606" s="2" t="s">
        <v>16</v>
      </c>
      <c r="C606" s="2"/>
      <c r="D606" s="2"/>
      <c r="E606" s="7"/>
      <c r="F606" s="7"/>
      <c r="G606" s="9" t="s">
        <v>2322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2.75" customHeight="1" x14ac:dyDescent="0.2">
      <c r="A607" s="7"/>
      <c r="B607" s="2" t="s">
        <v>17</v>
      </c>
      <c r="C607" s="2" t="s">
        <v>19</v>
      </c>
      <c r="D607" s="2"/>
      <c r="E607" s="7"/>
      <c r="F607" s="7"/>
      <c r="G607" s="9" t="s">
        <v>2322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2.75" customHeight="1" x14ac:dyDescent="0.2">
      <c r="A608" s="7"/>
      <c r="B608" s="2" t="s">
        <v>18</v>
      </c>
      <c r="C608" s="2" t="s">
        <v>44</v>
      </c>
      <c r="D608" s="2" t="str">
        <f>HYPERLINK("javascript:void(0)","ezüst mellvért")</f>
        <v>ezüst mellvért</v>
      </c>
      <c r="E608" s="7"/>
      <c r="F608" s="7"/>
      <c r="G608" s="9" t="s">
        <v>2322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2.75" customHeight="1" x14ac:dyDescent="0.2">
      <c r="A609" s="7"/>
      <c r="B609" s="2"/>
      <c r="C609" s="2" t="s">
        <v>67</v>
      </c>
      <c r="D609" s="2" t="str">
        <f>HYPERLINK("javascript:void(0)","rézrög")</f>
        <v>rézrög</v>
      </c>
      <c r="E609" s="7"/>
      <c r="F609" s="7"/>
      <c r="G609" s="9" t="s">
        <v>2322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2.75" customHeight="1" x14ac:dyDescent="0.2">
      <c r="A610" s="7"/>
      <c r="B610" s="2"/>
      <c r="C610" s="2" t="s">
        <v>68</v>
      </c>
      <c r="D610" s="2" t="str">
        <f>HYPERLINK("javascript:void(0)","démonfog")</f>
        <v>démonfog</v>
      </c>
      <c r="E610" s="7"/>
      <c r="F610" s="7"/>
      <c r="G610" s="9" t="s">
        <v>2322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2.75" customHeight="1" x14ac:dyDescent="0.2">
      <c r="A611" s="7"/>
      <c r="B611" s="2"/>
      <c r="C611" s="2"/>
      <c r="D611" s="2"/>
      <c r="E611" s="7"/>
      <c r="F611" s="7"/>
      <c r="G611" s="9" t="s">
        <v>2322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2.75" customHeight="1" x14ac:dyDescent="0.2">
      <c r="A612" s="7"/>
      <c r="B612" s="2"/>
      <c r="C612" s="2"/>
      <c r="D612" s="2"/>
      <c r="E612" s="7"/>
      <c r="F612" s="7"/>
      <c r="G612" s="9" t="s">
        <v>2322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2.75" customHeight="1" x14ac:dyDescent="0.2">
      <c r="A613" s="7"/>
      <c r="B613" s="2"/>
      <c r="C613" s="2"/>
      <c r="D613" s="2"/>
      <c r="E613" s="7"/>
      <c r="F613" s="7"/>
      <c r="G613" s="9" t="s">
        <v>2322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2.75" customHeight="1" x14ac:dyDescent="0.2">
      <c r="A614" s="7"/>
      <c r="B614" s="2"/>
      <c r="C614" s="2"/>
      <c r="D614" s="2"/>
      <c r="E614" s="7"/>
      <c r="F614" s="7"/>
      <c r="G614" s="9" t="s">
        <v>2322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2.75" customHeight="1" x14ac:dyDescent="0.2">
      <c r="A615" s="7"/>
      <c r="B615" s="2"/>
      <c r="C615" s="2"/>
      <c r="D615" s="2"/>
      <c r="E615" s="7"/>
      <c r="F615" s="7"/>
      <c r="G615" s="9" t="s">
        <v>2322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2.75" customHeight="1" x14ac:dyDescent="0.2">
      <c r="A616" s="7" t="str">
        <f>HYPERLINK("javascript:void(0)","arany mellvért")</f>
        <v>arany mellvért</v>
      </c>
      <c r="B616" s="7"/>
      <c r="C616" s="7"/>
      <c r="D616" s="7"/>
      <c r="E616" s="7"/>
      <c r="F616" s="7"/>
      <c r="G616" s="9" t="s">
        <v>2322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2.75" customHeight="1" x14ac:dyDescent="0.2">
      <c r="A617" s="7"/>
      <c r="B617" s="2"/>
      <c r="C617" s="2"/>
      <c r="D617" s="2"/>
      <c r="E617" s="7"/>
      <c r="F617" s="7"/>
      <c r="G617" s="9" t="s">
        <v>2322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2.75" customHeight="1" x14ac:dyDescent="0.2">
      <c r="A618" s="7"/>
      <c r="B618" s="2" t="s">
        <v>0</v>
      </c>
      <c r="C618" s="2" t="s">
        <v>392</v>
      </c>
      <c r="D618" s="2"/>
      <c r="E618" s="7"/>
      <c r="F618" s="7"/>
      <c r="G618" s="9" t="s">
        <v>2322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2.75" customHeight="1" x14ac:dyDescent="0.2">
      <c r="A619" s="7"/>
      <c r="B619" s="2" t="s">
        <v>2</v>
      </c>
      <c r="C619" s="2" t="s">
        <v>2322</v>
      </c>
      <c r="D619" s="2"/>
      <c r="E619" s="7"/>
      <c r="F619" s="7"/>
      <c r="G619" s="9" t="s">
        <v>2322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2.75" customHeight="1" x14ac:dyDescent="0.2">
      <c r="A620" s="7"/>
      <c r="B620" s="2" t="s">
        <v>1840</v>
      </c>
      <c r="C620" s="2" t="s">
        <v>230</v>
      </c>
      <c r="D620" s="2"/>
      <c r="E620" s="7"/>
      <c r="F620" s="7"/>
      <c r="G620" s="9" t="s">
        <v>2322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2.75" customHeight="1" x14ac:dyDescent="0.2">
      <c r="A621" s="7"/>
      <c r="B621" s="2" t="s">
        <v>9</v>
      </c>
      <c r="C621" s="2" t="s">
        <v>124</v>
      </c>
      <c r="D621" s="2"/>
      <c r="E621" s="7"/>
      <c r="F621" s="7"/>
      <c r="G621" s="9" t="s">
        <v>2322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2.75" customHeight="1" x14ac:dyDescent="0.2">
      <c r="A622" s="7"/>
      <c r="B622" s="2" t="s">
        <v>11</v>
      </c>
      <c r="C622" s="2" t="s">
        <v>397</v>
      </c>
      <c r="D622" s="2"/>
      <c r="E622" s="7"/>
      <c r="F622" s="7"/>
      <c r="G622" s="9" t="s">
        <v>2322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2.75" customHeight="1" x14ac:dyDescent="0.2">
      <c r="A623" s="7"/>
      <c r="B623" s="2" t="s">
        <v>16</v>
      </c>
      <c r="C623" s="2"/>
      <c r="D623" s="2"/>
      <c r="E623" s="7"/>
      <c r="F623" s="7"/>
      <c r="G623" s="9" t="s">
        <v>2322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2.75" customHeight="1" x14ac:dyDescent="0.2">
      <c r="A624" s="7"/>
      <c r="B624" s="2" t="s">
        <v>17</v>
      </c>
      <c r="C624" s="2" t="s">
        <v>19</v>
      </c>
      <c r="D624" s="2"/>
      <c r="E624" s="7"/>
      <c r="F624" s="7"/>
      <c r="G624" s="9" t="s">
        <v>2322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2.75" customHeight="1" x14ac:dyDescent="0.2">
      <c r="A625" s="7"/>
      <c r="B625" s="2" t="s">
        <v>18</v>
      </c>
      <c r="C625" s="2" t="s">
        <v>44</v>
      </c>
      <c r="D625" s="2" t="str">
        <f>HYPERLINK("javascript:void(0)","arany előlap")</f>
        <v>arany előlap</v>
      </c>
      <c r="E625" s="7"/>
      <c r="F625" s="7"/>
      <c r="G625" s="9" t="s">
        <v>2322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2.75" customHeight="1" x14ac:dyDescent="0.2">
      <c r="A626" s="7"/>
      <c r="B626" s="2"/>
      <c r="C626" s="2" t="s">
        <v>44</v>
      </c>
      <c r="D626" s="2" t="str">
        <f>HYPERLINK("javascript:void(0)","réz mellvért")</f>
        <v>réz mellvért</v>
      </c>
      <c r="E626" s="7"/>
      <c r="F626" s="7"/>
      <c r="G626" s="9" t="s">
        <v>2322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2.75" customHeight="1" x14ac:dyDescent="0.2">
      <c r="A627" s="7"/>
      <c r="B627" s="2"/>
      <c r="C627" s="2" t="s">
        <v>44</v>
      </c>
      <c r="D627" s="2" t="str">
        <f>HYPERLINK("javascript:void(0)","animált páncél")</f>
        <v>animált páncél</v>
      </c>
      <c r="E627" s="7"/>
      <c r="F627" s="7"/>
      <c r="G627" s="9" t="s">
        <v>2322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2.75" customHeight="1" x14ac:dyDescent="0.2">
      <c r="A628" s="7"/>
      <c r="B628" s="2"/>
      <c r="C628" s="2"/>
      <c r="D628" s="2"/>
      <c r="E628" s="7"/>
      <c r="F628" s="7"/>
      <c r="G628" s="9" t="s">
        <v>2322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2.75" customHeight="1" x14ac:dyDescent="0.2">
      <c r="A629" s="7"/>
      <c r="B629" s="2"/>
      <c r="C629" s="2"/>
      <c r="D629" s="2"/>
      <c r="E629" s="7"/>
      <c r="F629" s="7"/>
      <c r="G629" s="9" t="s">
        <v>2322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2.75" customHeight="1" x14ac:dyDescent="0.2">
      <c r="A630" s="7"/>
      <c r="B630" s="2"/>
      <c r="C630" s="2"/>
      <c r="D630" s="2"/>
      <c r="E630" s="7"/>
      <c r="F630" s="7"/>
      <c r="G630" s="9" t="s">
        <v>2322</v>
      </c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2.75" customHeight="1" x14ac:dyDescent="0.2">
      <c r="A631" s="7"/>
      <c r="B631" s="2"/>
      <c r="C631" s="2"/>
      <c r="D631" s="2"/>
      <c r="E631" s="7"/>
      <c r="F631" s="7"/>
      <c r="G631" s="9" t="s">
        <v>2322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2.75" customHeight="1" x14ac:dyDescent="0.2">
      <c r="A632" s="7"/>
      <c r="B632" s="2"/>
      <c r="C632" s="2"/>
      <c r="D632" s="2"/>
      <c r="E632" s="7"/>
      <c r="F632" s="7"/>
      <c r="G632" s="9" t="s">
        <v>2322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2.75" customHeight="1" x14ac:dyDescent="0.2">
      <c r="A633" s="7" t="str">
        <f>HYPERLINK("javascript:void(0)","bronz mellvért")</f>
        <v>bronz mellvért</v>
      </c>
      <c r="B633" s="7"/>
      <c r="C633" s="7"/>
      <c r="D633" s="7"/>
      <c r="E633" s="7"/>
      <c r="F633" s="7"/>
      <c r="G633" s="9" t="s">
        <v>2322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2.75" customHeight="1" x14ac:dyDescent="0.2">
      <c r="A634" s="7"/>
      <c r="B634" s="2"/>
      <c r="C634" s="2"/>
      <c r="D634" s="2"/>
      <c r="E634" s="7"/>
      <c r="F634" s="7"/>
      <c r="G634" s="9" t="s">
        <v>2322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2.75" customHeight="1" x14ac:dyDescent="0.2">
      <c r="A635" s="7"/>
      <c r="B635" s="2" t="s">
        <v>0</v>
      </c>
      <c r="C635" s="2" t="s">
        <v>192</v>
      </c>
      <c r="D635" s="2"/>
      <c r="E635" s="7"/>
      <c r="F635" s="7"/>
      <c r="G635" s="9" t="s">
        <v>2322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2.75" customHeight="1" x14ac:dyDescent="0.2">
      <c r="A636" s="7"/>
      <c r="B636" s="2" t="s">
        <v>2</v>
      </c>
      <c r="C636" s="2" t="s">
        <v>2322</v>
      </c>
      <c r="D636" s="2"/>
      <c r="E636" s="7"/>
      <c r="F636" s="7"/>
      <c r="G636" s="9" t="s">
        <v>2322</v>
      </c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2.75" customHeight="1" x14ac:dyDescent="0.2">
      <c r="A637" s="7"/>
      <c r="B637" s="2" t="s">
        <v>1840</v>
      </c>
      <c r="C637" s="2" t="s">
        <v>1270</v>
      </c>
      <c r="D637" s="2"/>
      <c r="E637" s="7"/>
      <c r="F637" s="7"/>
      <c r="G637" s="9" t="s">
        <v>2322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2.75" customHeight="1" x14ac:dyDescent="0.2">
      <c r="A638" s="7"/>
      <c r="B638" s="2" t="s">
        <v>9</v>
      </c>
      <c r="C638" s="2" t="s">
        <v>75</v>
      </c>
      <c r="D638" s="2"/>
      <c r="E638" s="7"/>
      <c r="F638" s="7"/>
      <c r="G638" s="9" t="s">
        <v>2322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2.75" customHeight="1" x14ac:dyDescent="0.2">
      <c r="A639" s="7"/>
      <c r="B639" s="2" t="s">
        <v>11</v>
      </c>
      <c r="C639" s="2" t="s">
        <v>414</v>
      </c>
      <c r="D639" s="2"/>
      <c r="E639" s="7"/>
      <c r="F639" s="7"/>
      <c r="G639" s="9" t="s">
        <v>2322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2.75" customHeight="1" x14ac:dyDescent="0.2">
      <c r="A640" s="7"/>
      <c r="B640" s="2" t="s">
        <v>16</v>
      </c>
      <c r="C640" s="2"/>
      <c r="D640" s="2"/>
      <c r="E640" s="7"/>
      <c r="F640" s="7"/>
      <c r="G640" s="9" t="s">
        <v>2322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2.75" customHeight="1" x14ac:dyDescent="0.2">
      <c r="A641" s="7"/>
      <c r="B641" s="2" t="s">
        <v>17</v>
      </c>
      <c r="C641" s="2" t="s">
        <v>19</v>
      </c>
      <c r="D641" s="2"/>
      <c r="E641" s="7"/>
      <c r="F641" s="7"/>
      <c r="G641" s="9" t="s">
        <v>2322</v>
      </c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2.75" customHeight="1" x14ac:dyDescent="0.2">
      <c r="A642" s="7"/>
      <c r="B642" s="2" t="s">
        <v>18</v>
      </c>
      <c r="C642" s="2" t="s">
        <v>67</v>
      </c>
      <c r="D642" s="2" t="str">
        <f>HYPERLINK("javascript:void(0)","bronzrög")</f>
        <v>bronzrög</v>
      </c>
      <c r="E642" s="7"/>
      <c r="F642" s="7"/>
      <c r="G642" s="9" t="s">
        <v>2322</v>
      </c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2.75" customHeight="1" x14ac:dyDescent="0.2">
      <c r="A643" s="7"/>
      <c r="B643" s="2"/>
      <c r="C643" s="2" t="s">
        <v>290</v>
      </c>
      <c r="D643" s="2" t="str">
        <f>HYPERLINK("javascript:void(0)","lámpás")</f>
        <v>lámpás</v>
      </c>
      <c r="E643" s="7"/>
      <c r="F643" s="7"/>
      <c r="G643" s="9" t="s">
        <v>2322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2.75" customHeight="1" x14ac:dyDescent="0.2">
      <c r="A644" s="7"/>
      <c r="B644" s="2"/>
      <c r="C644" s="2" t="s">
        <v>369</v>
      </c>
      <c r="D644" s="2" t="str">
        <f>HYPERLINK("javascript:void(0)","mantüske")</f>
        <v>mantüske</v>
      </c>
      <c r="E644" s="7"/>
      <c r="F644" s="7"/>
      <c r="G644" s="9" t="s">
        <v>2322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2.75" customHeight="1" x14ac:dyDescent="0.2">
      <c r="A645" s="7"/>
      <c r="B645" s="2"/>
      <c r="C645" s="2"/>
      <c r="D645" s="2"/>
      <c r="E645" s="7"/>
      <c r="F645" s="7"/>
      <c r="G645" s="9" t="s">
        <v>2322</v>
      </c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2.75" customHeight="1" x14ac:dyDescent="0.2">
      <c r="A646" s="7"/>
      <c r="B646" s="2"/>
      <c r="C646" s="2"/>
      <c r="D646" s="2"/>
      <c r="E646" s="7"/>
      <c r="F646" s="7"/>
      <c r="G646" s="9" t="s">
        <v>2322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2.75" customHeight="1" x14ac:dyDescent="0.2">
      <c r="A647" s="7"/>
      <c r="B647" s="2"/>
      <c r="C647" s="2"/>
      <c r="D647" s="2"/>
      <c r="E647" s="7"/>
      <c r="F647" s="7"/>
      <c r="G647" s="9" t="s">
        <v>2322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2.75" customHeight="1" x14ac:dyDescent="0.2">
      <c r="A648" s="7"/>
      <c r="B648" s="2"/>
      <c r="C648" s="2"/>
      <c r="D648" s="2"/>
      <c r="E648" s="7"/>
      <c r="F648" s="7"/>
      <c r="G648" s="9" t="s">
        <v>2322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2.75" customHeight="1" x14ac:dyDescent="0.2">
      <c r="A649" s="7"/>
      <c r="B649" s="2"/>
      <c r="C649" s="2"/>
      <c r="D649" s="2"/>
      <c r="E649" s="7"/>
      <c r="F649" s="7"/>
      <c r="G649" s="9" t="s">
        <v>2322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2.75" customHeight="1" x14ac:dyDescent="0.2">
      <c r="A650" s="7" t="str">
        <f>HYPERLINK("javascript:void(0)","vas mellvért")</f>
        <v>vas mellvért</v>
      </c>
      <c r="B650" s="7"/>
      <c r="C650" s="7"/>
      <c r="D650" s="7"/>
      <c r="E650" s="7"/>
      <c r="F650" s="7"/>
      <c r="G650" s="9" t="s">
        <v>2322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2.75" customHeight="1" x14ac:dyDescent="0.2">
      <c r="A651" s="7"/>
      <c r="B651" s="2"/>
      <c r="C651" s="2"/>
      <c r="D651" s="2"/>
      <c r="E651" s="7"/>
      <c r="F651" s="7"/>
      <c r="G651" s="9" t="s">
        <v>2322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2.75" customHeight="1" x14ac:dyDescent="0.2">
      <c r="A652" s="7"/>
      <c r="B652" s="2" t="s">
        <v>0</v>
      </c>
      <c r="C652" s="2" t="s">
        <v>115</v>
      </c>
      <c r="D652" s="2"/>
      <c r="E652" s="7"/>
      <c r="F652" s="7"/>
      <c r="G652" s="9" t="s">
        <v>2322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2.75" customHeight="1" x14ac:dyDescent="0.2">
      <c r="A653" s="7"/>
      <c r="B653" s="2" t="s">
        <v>2</v>
      </c>
      <c r="C653" s="2" t="s">
        <v>2322</v>
      </c>
      <c r="D653" s="2"/>
      <c r="E653" s="7"/>
      <c r="F653" s="7"/>
      <c r="G653" s="9" t="s">
        <v>2322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2.75" customHeight="1" x14ac:dyDescent="0.2">
      <c r="A654" s="7"/>
      <c r="B654" s="2" t="s">
        <v>1840</v>
      </c>
      <c r="C654" s="2" t="s">
        <v>361</v>
      </c>
      <c r="D654" s="2"/>
      <c r="E654" s="7"/>
      <c r="F654" s="7"/>
      <c r="G654" s="9" t="s">
        <v>2322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2.75" customHeight="1" x14ac:dyDescent="0.2">
      <c r="A655" s="7"/>
      <c r="B655" s="2" t="s">
        <v>9</v>
      </c>
      <c r="C655" s="2" t="s">
        <v>131</v>
      </c>
      <c r="D655" s="2"/>
      <c r="E655" s="7"/>
      <c r="F655" s="7"/>
      <c r="G655" s="9" t="s">
        <v>2322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2.75" customHeight="1" x14ac:dyDescent="0.2">
      <c r="A656" s="7"/>
      <c r="B656" s="2" t="s">
        <v>11</v>
      </c>
      <c r="C656" s="2" t="s">
        <v>427</v>
      </c>
      <c r="D656" s="2"/>
      <c r="E656" s="7"/>
      <c r="F656" s="7"/>
      <c r="G656" s="9" t="s">
        <v>2322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2.75" customHeight="1" x14ac:dyDescent="0.2">
      <c r="A657" s="7"/>
      <c r="B657" s="2" t="s">
        <v>16</v>
      </c>
      <c r="C657" s="2"/>
      <c r="D657" s="2"/>
      <c r="E657" s="7"/>
      <c r="F657" s="7"/>
      <c r="G657" s="9" t="s">
        <v>2322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2.75" customHeight="1" x14ac:dyDescent="0.2">
      <c r="A658" s="7"/>
      <c r="B658" s="2" t="s">
        <v>17</v>
      </c>
      <c r="C658" s="2" t="s">
        <v>19</v>
      </c>
      <c r="D658" s="2"/>
      <c r="E658" s="7"/>
      <c r="F658" s="7"/>
      <c r="G658" s="9" t="s">
        <v>2322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2.75" customHeight="1" x14ac:dyDescent="0.2">
      <c r="A659" s="7"/>
      <c r="B659" s="2" t="s">
        <v>18</v>
      </c>
      <c r="C659" s="2" t="s">
        <v>44</v>
      </c>
      <c r="D659" s="2" t="str">
        <f>HYPERLINK("javascript:void(0)","arany mellvért")</f>
        <v>arany mellvért</v>
      </c>
      <c r="E659" s="7"/>
      <c r="F659" s="7"/>
      <c r="G659" s="9" t="s">
        <v>2322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2.75" customHeight="1" x14ac:dyDescent="0.2">
      <c r="A660" s="7"/>
      <c r="B660" s="2"/>
      <c r="C660" s="2" t="s">
        <v>44</v>
      </c>
      <c r="D660" s="2" t="str">
        <f>HYPERLINK("javascript:void(0)","bronz mellvért")</f>
        <v>bronz mellvért</v>
      </c>
      <c r="E660" s="7"/>
      <c r="F660" s="7"/>
      <c r="G660" s="9" t="s">
        <v>2322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2.75" customHeight="1" x14ac:dyDescent="0.2">
      <c r="A661" s="7"/>
      <c r="B661" s="2"/>
      <c r="C661" s="2" t="s">
        <v>44</v>
      </c>
      <c r="D661" s="2" t="str">
        <f>HYPERLINK("javascript:void(0)","vas előlap")</f>
        <v>vas előlap</v>
      </c>
      <c r="E661" s="7"/>
      <c r="F661" s="7"/>
      <c r="G661" s="9" t="s">
        <v>2322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2.75" customHeight="1" x14ac:dyDescent="0.2">
      <c r="A662" s="7"/>
      <c r="B662" s="2"/>
      <c r="C662" s="2"/>
      <c r="D662" s="2"/>
      <c r="E662" s="7"/>
      <c r="F662" s="7"/>
      <c r="G662" s="9" t="s">
        <v>2322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2.75" customHeight="1" x14ac:dyDescent="0.2">
      <c r="A663" s="7"/>
      <c r="B663" s="2"/>
      <c r="C663" s="2"/>
      <c r="D663" s="2"/>
      <c r="E663" s="7"/>
      <c r="F663" s="7"/>
      <c r="G663" s="9" t="s">
        <v>2322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2.75" customHeight="1" x14ac:dyDescent="0.2">
      <c r="A664" s="7"/>
      <c r="B664" s="2"/>
      <c r="C664" s="2"/>
      <c r="D664" s="2"/>
      <c r="E664" s="7"/>
      <c r="F664" s="7"/>
      <c r="G664" s="9" t="s">
        <v>2322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2.75" customHeight="1" x14ac:dyDescent="0.2">
      <c r="A665" s="7"/>
      <c r="B665" s="2"/>
      <c r="C665" s="2"/>
      <c r="D665" s="2"/>
      <c r="E665" s="7"/>
      <c r="F665" s="7"/>
      <c r="G665" s="9" t="s">
        <v>2322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2.75" customHeight="1" x14ac:dyDescent="0.2">
      <c r="A666" s="7"/>
      <c r="B666" s="2"/>
      <c r="C666" s="2"/>
      <c r="D666" s="2"/>
      <c r="E666" s="7"/>
      <c r="F666" s="7"/>
      <c r="G666" s="9" t="s">
        <v>2322</v>
      </c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2.75" customHeight="1" x14ac:dyDescent="0.2">
      <c r="A667" s="7" t="str">
        <f>HYPERLINK("javascript:void(0)","gyíkacél zubbony")</f>
        <v>gyíkacél zubbony</v>
      </c>
      <c r="B667" s="7"/>
      <c r="C667" s="7"/>
      <c r="D667" s="7"/>
      <c r="E667" s="7"/>
      <c r="F667" s="7"/>
      <c r="G667" s="9" t="s">
        <v>2322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2.75" customHeight="1" x14ac:dyDescent="0.2">
      <c r="A668" s="7"/>
      <c r="B668" s="2"/>
      <c r="C668" s="2"/>
      <c r="D668" s="2"/>
      <c r="E668" s="7"/>
      <c r="F668" s="7"/>
      <c r="G668" s="9" t="s">
        <v>2322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2.75" customHeight="1" x14ac:dyDescent="0.2">
      <c r="A669" s="7"/>
      <c r="B669" s="2" t="s">
        <v>0</v>
      </c>
      <c r="C669" s="2" t="s">
        <v>115</v>
      </c>
      <c r="D669" s="2"/>
      <c r="E669" s="7"/>
      <c r="F669" s="7"/>
      <c r="G669" s="9" t="s">
        <v>2322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2.75" customHeight="1" x14ac:dyDescent="0.2">
      <c r="A670" s="7"/>
      <c r="B670" s="2" t="s">
        <v>2</v>
      </c>
      <c r="C670" s="2" t="s">
        <v>2322</v>
      </c>
      <c r="D670" s="2"/>
      <c r="E670" s="7"/>
      <c r="F670" s="7"/>
      <c r="G670" s="9" t="s">
        <v>2322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2.75" customHeight="1" x14ac:dyDescent="0.2">
      <c r="A671" s="7"/>
      <c r="B671" s="2" t="s">
        <v>1840</v>
      </c>
      <c r="C671" s="2" t="s">
        <v>345</v>
      </c>
      <c r="D671" s="2"/>
      <c r="E671" s="7"/>
      <c r="F671" s="7"/>
      <c r="G671" s="9" t="s">
        <v>2322</v>
      </c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2.75" customHeight="1" x14ac:dyDescent="0.2">
      <c r="A672" s="7"/>
      <c r="B672" s="2" t="s">
        <v>9</v>
      </c>
      <c r="C672" s="2" t="s">
        <v>250</v>
      </c>
      <c r="D672" s="2"/>
      <c r="E672" s="7"/>
      <c r="F672" s="7"/>
      <c r="G672" s="9" t="s">
        <v>2322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2.75" customHeight="1" x14ac:dyDescent="0.2">
      <c r="A673" s="7"/>
      <c r="B673" s="2" t="s">
        <v>11</v>
      </c>
      <c r="C673" s="2" t="s">
        <v>315</v>
      </c>
      <c r="D673" s="2"/>
      <c r="E673" s="7"/>
      <c r="F673" s="7"/>
      <c r="G673" s="9" t="s">
        <v>2322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2.75" customHeight="1" x14ac:dyDescent="0.2">
      <c r="A674" s="7"/>
      <c r="B674" s="2" t="s">
        <v>16</v>
      </c>
      <c r="C674" s="2"/>
      <c r="D674" s="2"/>
      <c r="E674" s="7"/>
      <c r="F674" s="7"/>
      <c r="G674" s="9" t="s">
        <v>2322</v>
      </c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2.75" customHeight="1" x14ac:dyDescent="0.2">
      <c r="A675" s="7"/>
      <c r="B675" s="2" t="s">
        <v>17</v>
      </c>
      <c r="C675" s="2" t="s">
        <v>19</v>
      </c>
      <c r="D675" s="2"/>
      <c r="E675" s="7"/>
      <c r="F675" s="7"/>
      <c r="G675" s="9" t="s">
        <v>2322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2.75" customHeight="1" x14ac:dyDescent="0.2">
      <c r="A676" s="7"/>
      <c r="B676" s="2" t="s">
        <v>18</v>
      </c>
      <c r="C676" s="2" t="s">
        <v>280</v>
      </c>
      <c r="D676" s="2" t="str">
        <f>HYPERLINK("javascript:void(0)","portgyűrű")</f>
        <v>portgyűrű</v>
      </c>
      <c r="E676" s="7"/>
      <c r="F676" s="7"/>
      <c r="G676" s="9" t="s">
        <v>2322</v>
      </c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2.75" customHeight="1" x14ac:dyDescent="0.2">
      <c r="A677" s="7"/>
      <c r="B677" s="2"/>
      <c r="C677" s="2" t="s">
        <v>280</v>
      </c>
      <c r="D677" s="2" t="str">
        <f>HYPERLINK("javascript:void(0)","szent szimbólum")</f>
        <v>szent szimbólum</v>
      </c>
      <c r="E677" s="7"/>
      <c r="F677" s="7"/>
      <c r="G677" s="9" t="s">
        <v>2322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2.75" customHeight="1" x14ac:dyDescent="0.2">
      <c r="A678" s="7"/>
      <c r="B678" s="2"/>
      <c r="C678" s="2" t="s">
        <v>1379</v>
      </c>
      <c r="D678" s="2" t="str">
        <f>HYPERLINK("javascript:void(0)","goblinbatka")</f>
        <v>goblinbatka</v>
      </c>
      <c r="E678" s="7"/>
      <c r="F678" s="7"/>
      <c r="G678" s="9" t="s">
        <v>2322</v>
      </c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2.75" customHeight="1" x14ac:dyDescent="0.2">
      <c r="A679" s="7"/>
      <c r="B679" s="2"/>
      <c r="C679" s="2"/>
      <c r="D679" s="2"/>
      <c r="E679" s="7"/>
      <c r="F679" s="7"/>
      <c r="G679" s="9" t="s">
        <v>2322</v>
      </c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2.75" customHeight="1" x14ac:dyDescent="0.2">
      <c r="A680" s="7"/>
      <c r="B680" s="2"/>
      <c r="C680" s="2"/>
      <c r="D680" s="2"/>
      <c r="E680" s="7"/>
      <c r="F680" s="7"/>
      <c r="G680" s="9" t="s">
        <v>2322</v>
      </c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2.75" customHeight="1" x14ac:dyDescent="0.2">
      <c r="A681" s="7"/>
      <c r="B681" s="2"/>
      <c r="C681" s="2"/>
      <c r="D681" s="2"/>
      <c r="E681" s="7"/>
      <c r="F681" s="7"/>
      <c r="G681" s="9" t="s">
        <v>2322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2.75" customHeight="1" x14ac:dyDescent="0.2">
      <c r="A682" s="7"/>
      <c r="B682" s="2"/>
      <c r="C682" s="2"/>
      <c r="D682" s="2"/>
      <c r="E682" s="7"/>
      <c r="F682" s="7"/>
      <c r="G682" s="9" t="s">
        <v>2322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2.75" customHeight="1" x14ac:dyDescent="0.2">
      <c r="A683" s="7"/>
      <c r="B683" s="2"/>
      <c r="C683" s="2"/>
      <c r="D683" s="2"/>
      <c r="E683" s="7"/>
      <c r="F683" s="7"/>
      <c r="G683" s="9" t="s">
        <v>2322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2.75" customHeight="1" x14ac:dyDescent="0.2">
      <c r="A684" s="7" t="str">
        <f>HYPERLINK("javascript:void(0)","csillámmellény")</f>
        <v>csillámmellény</v>
      </c>
      <c r="B684" s="7"/>
      <c r="C684" s="7"/>
      <c r="D684" s="7"/>
      <c r="E684" s="7"/>
      <c r="F684" s="7"/>
      <c r="G684" s="9" t="s">
        <v>2322</v>
      </c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2.75" customHeight="1" x14ac:dyDescent="0.2">
      <c r="A685" s="7"/>
      <c r="B685" s="2"/>
      <c r="C685" s="2"/>
      <c r="D685" s="2"/>
      <c r="E685" s="7"/>
      <c r="F685" s="7"/>
      <c r="G685" s="9" t="s">
        <v>2322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2.75" customHeight="1" x14ac:dyDescent="0.2">
      <c r="A686" s="7"/>
      <c r="B686" s="2" t="s">
        <v>0</v>
      </c>
      <c r="C686" s="2" t="s">
        <v>115</v>
      </c>
      <c r="D686" s="2"/>
      <c r="E686" s="7"/>
      <c r="F686" s="7"/>
      <c r="G686" s="9" t="s">
        <v>2322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2.75" customHeight="1" x14ac:dyDescent="0.2">
      <c r="A687" s="7"/>
      <c r="B687" s="2" t="s">
        <v>2</v>
      </c>
      <c r="C687" s="2" t="s">
        <v>2322</v>
      </c>
      <c r="D687" s="2"/>
      <c r="E687" s="7"/>
      <c r="F687" s="7"/>
      <c r="G687" s="9" t="s">
        <v>2322</v>
      </c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2.75" customHeight="1" x14ac:dyDescent="0.2">
      <c r="A688" s="7"/>
      <c r="B688" s="2" t="s">
        <v>1840</v>
      </c>
      <c r="C688" s="2" t="s">
        <v>1422</v>
      </c>
      <c r="D688" s="2"/>
      <c r="E688" s="7"/>
      <c r="F688" s="7"/>
      <c r="G688" s="9" t="s">
        <v>2322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2.75" customHeight="1" x14ac:dyDescent="0.2">
      <c r="A689" s="7"/>
      <c r="B689" s="2" t="s">
        <v>9</v>
      </c>
      <c r="C689" s="2" t="s">
        <v>464</v>
      </c>
      <c r="D689" s="2"/>
      <c r="E689" s="7"/>
      <c r="F689" s="7"/>
      <c r="G689" s="9" t="s">
        <v>2322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2.75" customHeight="1" x14ac:dyDescent="0.2">
      <c r="A690" s="7"/>
      <c r="B690" s="2" t="s">
        <v>11</v>
      </c>
      <c r="C690" s="2" t="s">
        <v>427</v>
      </c>
      <c r="D690" s="2"/>
      <c r="E690" s="7"/>
      <c r="F690" s="7"/>
      <c r="G690" s="9" t="s">
        <v>2322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2.75" customHeight="1" x14ac:dyDescent="0.2">
      <c r="A691" s="7"/>
      <c r="B691" s="2" t="s">
        <v>16</v>
      </c>
      <c r="C691" s="2"/>
      <c r="D691" s="2"/>
      <c r="E691" s="7"/>
      <c r="F691" s="7"/>
      <c r="G691" s="9" t="s">
        <v>2322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2.75" customHeight="1" x14ac:dyDescent="0.2">
      <c r="A692" s="7"/>
      <c r="B692" s="2" t="s">
        <v>17</v>
      </c>
      <c r="C692" s="2" t="s">
        <v>19</v>
      </c>
      <c r="D692" s="2"/>
      <c r="E692" s="7"/>
      <c r="F692" s="7"/>
      <c r="G692" s="9" t="s">
        <v>2322</v>
      </c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2.75" customHeight="1" x14ac:dyDescent="0.2">
      <c r="A693" s="7"/>
      <c r="B693" s="2" t="s">
        <v>18</v>
      </c>
      <c r="C693" s="2" t="s">
        <v>44</v>
      </c>
      <c r="D693" s="2" t="str">
        <f>HYPERLINK("javascript:void(0)","közepes csillámköpeny")</f>
        <v>közepes csillámköpeny</v>
      </c>
      <c r="E693" s="7"/>
      <c r="F693" s="7"/>
      <c r="G693" s="9" t="s">
        <v>2322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2.75" customHeight="1" x14ac:dyDescent="0.2">
      <c r="A694" s="7"/>
      <c r="B694" s="2"/>
      <c r="C694" s="2" t="s">
        <v>57</v>
      </c>
      <c r="D694" s="2" t="str">
        <f>HYPERLINK("javascript:void(0)","csillámgöb")</f>
        <v>csillámgöb</v>
      </c>
      <c r="E694" s="7"/>
      <c r="F694" s="7"/>
      <c r="G694" s="9" t="s">
        <v>2322</v>
      </c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2.75" customHeight="1" x14ac:dyDescent="0.2">
      <c r="A695" s="7"/>
      <c r="B695" s="2"/>
      <c r="C695" s="2" t="s">
        <v>44</v>
      </c>
      <c r="D695" s="2" t="str">
        <f>HYPERLINK("javascript:void(0)","aranypáncél")</f>
        <v>aranypáncél</v>
      </c>
      <c r="E695" s="7"/>
      <c r="F695" s="7"/>
      <c r="G695" s="9" t="s">
        <v>2322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2.75" customHeight="1" x14ac:dyDescent="0.2">
      <c r="A696" s="7"/>
      <c r="B696" s="2"/>
      <c r="C696" s="2"/>
      <c r="D696" s="2"/>
      <c r="E696" s="7"/>
      <c r="F696" s="7"/>
      <c r="G696" s="9" t="s">
        <v>2322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2.75" customHeight="1" x14ac:dyDescent="0.2">
      <c r="A697" s="7"/>
      <c r="B697" s="2"/>
      <c r="C697" s="2"/>
      <c r="D697" s="2"/>
      <c r="E697" s="7"/>
      <c r="F697" s="7"/>
      <c r="G697" s="9" t="s">
        <v>2322</v>
      </c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2.75" customHeight="1" x14ac:dyDescent="0.2">
      <c r="A698" s="7"/>
      <c r="B698" s="2"/>
      <c r="C698" s="2"/>
      <c r="D698" s="2"/>
      <c r="E698" s="7"/>
      <c r="F698" s="7"/>
      <c r="G698" s="9" t="s">
        <v>2322</v>
      </c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2.75" customHeight="1" x14ac:dyDescent="0.2">
      <c r="A699" s="7"/>
      <c r="B699" s="2"/>
      <c r="C699" s="2"/>
      <c r="D699" s="2"/>
      <c r="E699" s="7"/>
      <c r="F699" s="7"/>
      <c r="G699" s="9" t="s">
        <v>2322</v>
      </c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2.75" customHeight="1" x14ac:dyDescent="0.2">
      <c r="A700" s="7"/>
      <c r="B700" s="2"/>
      <c r="C700" s="2"/>
      <c r="D700" s="2"/>
      <c r="E700" s="7"/>
      <c r="F700" s="7"/>
      <c r="G700" s="9" t="s">
        <v>2322</v>
      </c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2.75" customHeight="1" x14ac:dyDescent="0.2">
      <c r="A701" s="7" t="str">
        <f>HYPERLINK("javascript:void(0)","opál mellvért")</f>
        <v>opál mellvért</v>
      </c>
      <c r="B701" s="7"/>
      <c r="C701" s="7"/>
      <c r="D701" s="7"/>
      <c r="E701" s="7"/>
      <c r="F701" s="7"/>
      <c r="G701" s="9" t="s">
        <v>2322</v>
      </c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2.75" customHeight="1" x14ac:dyDescent="0.2">
      <c r="A702" s="7"/>
      <c r="B702" s="2"/>
      <c r="C702" s="2"/>
      <c r="D702" s="2"/>
      <c r="E702" s="7"/>
      <c r="F702" s="7"/>
      <c r="G702" s="9" t="s">
        <v>2322</v>
      </c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2.75" customHeight="1" x14ac:dyDescent="0.2">
      <c r="A703" s="7"/>
      <c r="B703" s="2" t="s">
        <v>0</v>
      </c>
      <c r="C703" s="2" t="s">
        <v>417</v>
      </c>
      <c r="D703" s="2"/>
      <c r="E703" s="7"/>
      <c r="F703" s="7"/>
      <c r="G703" s="9" t="s">
        <v>2322</v>
      </c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2.75" customHeight="1" x14ac:dyDescent="0.2">
      <c r="A704" s="7"/>
      <c r="B704" s="2" t="s">
        <v>2</v>
      </c>
      <c r="C704" s="2" t="s">
        <v>2322</v>
      </c>
      <c r="D704" s="2"/>
      <c r="E704" s="7"/>
      <c r="F704" s="7"/>
      <c r="G704" s="9" t="s">
        <v>2322</v>
      </c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2.75" customHeight="1" x14ac:dyDescent="0.2">
      <c r="A705" s="7"/>
      <c r="B705" s="2" t="s">
        <v>1840</v>
      </c>
      <c r="C705" s="2" t="s">
        <v>1359</v>
      </c>
      <c r="D705" s="2"/>
      <c r="E705" s="7"/>
      <c r="F705" s="7"/>
      <c r="G705" s="9" t="s">
        <v>2322</v>
      </c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2.75" customHeight="1" x14ac:dyDescent="0.2">
      <c r="A706" s="7"/>
      <c r="B706" s="2" t="s">
        <v>9</v>
      </c>
      <c r="C706" s="2" t="s">
        <v>36</v>
      </c>
      <c r="D706" s="2"/>
      <c r="E706" s="7"/>
      <c r="F706" s="7"/>
      <c r="G706" s="9" t="s">
        <v>2322</v>
      </c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2.75" customHeight="1" x14ac:dyDescent="0.2">
      <c r="A707" s="7"/>
      <c r="B707" s="2" t="s">
        <v>11</v>
      </c>
      <c r="C707" s="2" t="s">
        <v>437</v>
      </c>
      <c r="D707" s="2"/>
      <c r="E707" s="7"/>
      <c r="F707" s="7"/>
      <c r="G707" s="9" t="s">
        <v>2322</v>
      </c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2.75" customHeight="1" x14ac:dyDescent="0.2">
      <c r="A708" s="7"/>
      <c r="B708" s="2" t="s">
        <v>16</v>
      </c>
      <c r="C708" s="2"/>
      <c r="D708" s="2"/>
      <c r="E708" s="7"/>
      <c r="F708" s="7"/>
      <c r="G708" s="9" t="s">
        <v>2322</v>
      </c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2.75" customHeight="1" x14ac:dyDescent="0.2">
      <c r="A709" s="7"/>
      <c r="B709" s="2" t="s">
        <v>17</v>
      </c>
      <c r="C709" s="2" t="s">
        <v>19</v>
      </c>
      <c r="D709" s="2"/>
      <c r="E709" s="7"/>
      <c r="F709" s="7"/>
      <c r="G709" s="9" t="s">
        <v>2322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2.75" customHeight="1" x14ac:dyDescent="0.2">
      <c r="A710" s="7"/>
      <c r="B710" s="2" t="s">
        <v>18</v>
      </c>
      <c r="C710" s="2" t="s">
        <v>44</v>
      </c>
      <c r="D710" s="2" t="str">
        <f>HYPERLINK("javascript:void(0)","vas mellvért")</f>
        <v>vas mellvért</v>
      </c>
      <c r="E710" s="7"/>
      <c r="F710" s="7"/>
      <c r="G710" s="9" t="s">
        <v>2322</v>
      </c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2.75" customHeight="1" x14ac:dyDescent="0.2">
      <c r="A711" s="7"/>
      <c r="B711" s="2"/>
      <c r="C711" s="2" t="s">
        <v>309</v>
      </c>
      <c r="D711" s="2" t="str">
        <f>HYPERLINK("javascript:void(0)","főnixtoll")</f>
        <v>főnixtoll</v>
      </c>
      <c r="E711" s="7"/>
      <c r="F711" s="7"/>
      <c r="G711" s="9" t="s">
        <v>2322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2.75" customHeight="1" x14ac:dyDescent="0.2">
      <c r="A712" s="7"/>
      <c r="B712" s="2"/>
      <c r="C712" s="2" t="s">
        <v>98</v>
      </c>
      <c r="D712" s="2" t="str">
        <f>HYPERLINK("javascript:void(0)","kocka")</f>
        <v>kocka</v>
      </c>
      <c r="E712" s="7"/>
      <c r="F712" s="7"/>
      <c r="G712" s="9" t="s">
        <v>2322</v>
      </c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2.75" customHeight="1" x14ac:dyDescent="0.2">
      <c r="A713" s="7"/>
      <c r="B713" s="2"/>
      <c r="C713" s="2"/>
      <c r="D713" s="2"/>
      <c r="E713" s="7"/>
      <c r="F713" s="7"/>
      <c r="G713" s="9" t="s">
        <v>2322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2.75" customHeight="1" x14ac:dyDescent="0.2">
      <c r="A714" s="7"/>
      <c r="B714" s="2"/>
      <c r="C714" s="2"/>
      <c r="D714" s="2"/>
      <c r="E714" s="7"/>
      <c r="F714" s="7"/>
      <c r="G714" s="9" t="s">
        <v>2322</v>
      </c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2.75" customHeight="1" x14ac:dyDescent="0.2">
      <c r="A715" s="7"/>
      <c r="B715" s="2"/>
      <c r="C715" s="2"/>
      <c r="D715" s="2"/>
      <c r="E715" s="7"/>
      <c r="F715" s="7"/>
      <c r="G715" s="9" t="s">
        <v>2322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2.75" customHeight="1" x14ac:dyDescent="0.2">
      <c r="A716" s="7"/>
      <c r="B716" s="2"/>
      <c r="C716" s="2"/>
      <c r="D716" s="2"/>
      <c r="E716" s="7"/>
      <c r="F716" s="7"/>
      <c r="G716" s="9" t="s">
        <v>2322</v>
      </c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2.75" customHeight="1" x14ac:dyDescent="0.2">
      <c r="A717" s="7"/>
      <c r="B717" s="2"/>
      <c r="C717" s="2"/>
      <c r="D717" s="2"/>
      <c r="E717" s="7"/>
      <c r="F717" s="7"/>
      <c r="G717" s="9" t="s">
        <v>2322</v>
      </c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2.75" customHeight="1" x14ac:dyDescent="0.2">
      <c r="A718" s="7" t="str">
        <f>HYPERLINK("javascript:void(0)","hidracél mellvért")</f>
        <v>hidracél mellvért</v>
      </c>
      <c r="B718" s="7"/>
      <c r="C718" s="7"/>
      <c r="D718" s="7"/>
      <c r="E718" s="7"/>
      <c r="F718" s="7"/>
      <c r="G718" s="9" t="s">
        <v>2322</v>
      </c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2.75" customHeight="1" x14ac:dyDescent="0.2">
      <c r="A719" s="7"/>
      <c r="B719" s="2"/>
      <c r="C719" s="2"/>
      <c r="D719" s="2"/>
      <c r="E719" s="7"/>
      <c r="F719" s="7"/>
      <c r="G719" s="9" t="s">
        <v>2322</v>
      </c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2.75" customHeight="1" x14ac:dyDescent="0.2">
      <c r="A720" s="7"/>
      <c r="B720" s="2" t="s">
        <v>0</v>
      </c>
      <c r="C720" s="2" t="s">
        <v>216</v>
      </c>
      <c r="D720" s="2"/>
      <c r="E720" s="7"/>
      <c r="F720" s="7"/>
      <c r="G720" s="9" t="s">
        <v>2322</v>
      </c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2.75" customHeight="1" x14ac:dyDescent="0.2">
      <c r="A721" s="7"/>
      <c r="B721" s="2" t="s">
        <v>2</v>
      </c>
      <c r="C721" s="2" t="s">
        <v>2322</v>
      </c>
      <c r="D721" s="2"/>
      <c r="E721" s="7"/>
      <c r="F721" s="7"/>
      <c r="G721" s="9" t="s">
        <v>2322</v>
      </c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2.75" customHeight="1" x14ac:dyDescent="0.2">
      <c r="A722" s="7"/>
      <c r="B722" s="2" t="s">
        <v>1840</v>
      </c>
      <c r="C722" s="2" t="s">
        <v>1385</v>
      </c>
      <c r="D722" s="2"/>
      <c r="E722" s="7"/>
      <c r="F722" s="7"/>
      <c r="G722" s="9" t="s">
        <v>2322</v>
      </c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2.75" customHeight="1" x14ac:dyDescent="0.2">
      <c r="A723" s="7"/>
      <c r="B723" s="2" t="s">
        <v>9</v>
      </c>
      <c r="C723" s="2" t="s">
        <v>374</v>
      </c>
      <c r="D723" s="2"/>
      <c r="E723" s="7"/>
      <c r="F723" s="7"/>
      <c r="G723" s="9" t="s">
        <v>2322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2.75" customHeight="1" x14ac:dyDescent="0.2">
      <c r="A724" s="7"/>
      <c r="B724" s="2" t="s">
        <v>11</v>
      </c>
      <c r="C724" s="2" t="s">
        <v>447</v>
      </c>
      <c r="D724" s="2"/>
      <c r="E724" s="7"/>
      <c r="F724" s="7"/>
      <c r="G724" s="9" t="s">
        <v>2322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2.75" customHeight="1" x14ac:dyDescent="0.2">
      <c r="A725" s="7"/>
      <c r="B725" s="2" t="s">
        <v>16</v>
      </c>
      <c r="C725" s="2"/>
      <c r="D725" s="2"/>
      <c r="E725" s="7"/>
      <c r="F725" s="7"/>
      <c r="G725" s="9" t="s">
        <v>2322</v>
      </c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2.75" customHeight="1" x14ac:dyDescent="0.2">
      <c r="A726" s="7"/>
      <c r="B726" s="2" t="s">
        <v>17</v>
      </c>
      <c r="C726" s="2" t="s">
        <v>19</v>
      </c>
      <c r="D726" s="2"/>
      <c r="E726" s="7"/>
      <c r="F726" s="7"/>
      <c r="G726" s="9" t="s">
        <v>2322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2.75" customHeight="1" x14ac:dyDescent="0.2">
      <c r="A727" s="7"/>
      <c r="B727" s="2" t="s">
        <v>18</v>
      </c>
      <c r="C727" s="2" t="s">
        <v>280</v>
      </c>
      <c r="D727" s="2" t="str">
        <f>HYPERLINK("javascript:void(0)","szén-hidragén")</f>
        <v>szén-hidragén</v>
      </c>
      <c r="E727" s="7"/>
      <c r="F727" s="7"/>
      <c r="G727" s="9" t="s">
        <v>2322</v>
      </c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2.75" customHeight="1" x14ac:dyDescent="0.2">
      <c r="A728" s="7"/>
      <c r="B728" s="2"/>
      <c r="C728" s="2" t="s">
        <v>139</v>
      </c>
      <c r="D728" s="2" t="str">
        <f>HYPERLINK("javascript:void(0)","csáphárító")</f>
        <v>csáphárító</v>
      </c>
      <c r="E728" s="7"/>
      <c r="F728" s="7"/>
      <c r="G728" s="9" t="s">
        <v>2322</v>
      </c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2.75" customHeight="1" x14ac:dyDescent="0.2">
      <c r="A729" s="7"/>
      <c r="B729" s="2"/>
      <c r="C729" s="2" t="s">
        <v>68</v>
      </c>
      <c r="D729" s="2" t="str">
        <f>HYPERLINK("javascript:void(0)","portgyűrű")</f>
        <v>portgyűrű</v>
      </c>
      <c r="E729" s="7"/>
      <c r="F729" s="7"/>
      <c r="G729" s="9" t="s">
        <v>2322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2.75" customHeight="1" x14ac:dyDescent="0.2">
      <c r="A730" s="7"/>
      <c r="B730" s="2"/>
      <c r="C730" s="2"/>
      <c r="D730" s="2"/>
      <c r="E730" s="7"/>
      <c r="F730" s="7"/>
      <c r="G730" s="9" t="s">
        <v>2322</v>
      </c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2.75" customHeight="1" x14ac:dyDescent="0.2">
      <c r="A731" s="7"/>
      <c r="B731" s="2"/>
      <c r="C731" s="2"/>
      <c r="D731" s="2"/>
      <c r="E731" s="7"/>
      <c r="F731" s="7"/>
      <c r="G731" s="9" t="s">
        <v>2322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2.75" customHeight="1" x14ac:dyDescent="0.2">
      <c r="A732" s="7"/>
      <c r="B732" s="2"/>
      <c r="C732" s="2"/>
      <c r="D732" s="2"/>
      <c r="E732" s="7"/>
      <c r="F732" s="7"/>
      <c r="G732" s="9" t="s">
        <v>2322</v>
      </c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2.75" customHeight="1" x14ac:dyDescent="0.2">
      <c r="A733" s="7"/>
      <c r="B733" s="2"/>
      <c r="C733" s="2"/>
      <c r="D733" s="2"/>
      <c r="E733" s="7"/>
      <c r="F733" s="7"/>
      <c r="G733" s="9" t="s">
        <v>2322</v>
      </c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2.75" customHeight="1" x14ac:dyDescent="0.2">
      <c r="A734" s="7"/>
      <c r="B734" s="2"/>
      <c r="C734" s="2"/>
      <c r="D734" s="2"/>
      <c r="E734" s="7"/>
      <c r="F734" s="7"/>
      <c r="G734" s="9" t="s">
        <v>2322</v>
      </c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2.75" customHeight="1" x14ac:dyDescent="0.2">
      <c r="A735" s="7" t="str">
        <f>HYPERLINK("javascript:void(0)","smaragd mellvért")</f>
        <v>smaragd mellvért</v>
      </c>
      <c r="B735" s="7"/>
      <c r="C735" s="7"/>
      <c r="D735" s="7"/>
      <c r="E735" s="7"/>
      <c r="F735" s="7"/>
      <c r="G735" s="9" t="s">
        <v>2322</v>
      </c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2.75" customHeight="1" x14ac:dyDescent="0.2">
      <c r="A736" s="7"/>
      <c r="B736" s="2"/>
      <c r="C736" s="2"/>
      <c r="D736" s="2"/>
      <c r="E736" s="7"/>
      <c r="F736" s="7"/>
      <c r="G736" s="9" t="s">
        <v>2322</v>
      </c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2.75" customHeight="1" x14ac:dyDescent="0.2">
      <c r="A737" s="7"/>
      <c r="B737" s="2" t="s">
        <v>0</v>
      </c>
      <c r="C737" s="2" t="s">
        <v>435</v>
      </c>
      <c r="D737" s="2"/>
      <c r="E737" s="7"/>
      <c r="F737" s="7"/>
      <c r="G737" s="9" t="s">
        <v>2322</v>
      </c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2.75" customHeight="1" x14ac:dyDescent="0.2">
      <c r="A738" s="7"/>
      <c r="B738" s="2" t="s">
        <v>2</v>
      </c>
      <c r="C738" s="2" t="s">
        <v>2322</v>
      </c>
      <c r="D738" s="2"/>
      <c r="E738" s="7"/>
      <c r="F738" s="7"/>
      <c r="G738" s="9" t="s">
        <v>2322</v>
      </c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2.75" customHeight="1" x14ac:dyDescent="0.2">
      <c r="A739" s="7"/>
      <c r="B739" s="2" t="s">
        <v>1840</v>
      </c>
      <c r="C739" s="2" t="s">
        <v>267</v>
      </c>
      <c r="D739" s="2"/>
      <c r="E739" s="7"/>
      <c r="F739" s="7"/>
      <c r="G739" s="9" t="s">
        <v>2322</v>
      </c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2.75" customHeight="1" x14ac:dyDescent="0.2">
      <c r="A740" s="7"/>
      <c r="B740" s="2" t="s">
        <v>9</v>
      </c>
      <c r="C740" s="2" t="s">
        <v>124</v>
      </c>
      <c r="D740" s="2"/>
      <c r="E740" s="7"/>
      <c r="F740" s="7"/>
      <c r="G740" s="9" t="s">
        <v>2322</v>
      </c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2.75" customHeight="1" x14ac:dyDescent="0.2">
      <c r="A741" s="7"/>
      <c r="B741" s="2" t="s">
        <v>11</v>
      </c>
      <c r="C741" s="2" t="s">
        <v>453</v>
      </c>
      <c r="D741" s="2"/>
      <c r="E741" s="7"/>
      <c r="F741" s="7"/>
      <c r="G741" s="9" t="s">
        <v>2322</v>
      </c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2.75" customHeight="1" x14ac:dyDescent="0.2">
      <c r="A742" s="7"/>
      <c r="B742" s="2" t="s">
        <v>16</v>
      </c>
      <c r="C742" s="2"/>
      <c r="D742" s="2"/>
      <c r="E742" s="7"/>
      <c r="F742" s="7"/>
      <c r="G742" s="9" t="s">
        <v>2322</v>
      </c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2.75" customHeight="1" x14ac:dyDescent="0.2">
      <c r="A743" s="7"/>
      <c r="B743" s="2" t="s">
        <v>17</v>
      </c>
      <c r="C743" s="2" t="s">
        <v>19</v>
      </c>
      <c r="D743" s="2"/>
      <c r="E743" s="7"/>
      <c r="F743" s="7"/>
      <c r="G743" s="9" t="s">
        <v>2322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2.75" customHeight="1" x14ac:dyDescent="0.2">
      <c r="A744" s="7"/>
      <c r="B744" s="2" t="s">
        <v>18</v>
      </c>
      <c r="C744" s="2" t="s">
        <v>44</v>
      </c>
      <c r="D744" s="2" t="str">
        <f>HYPERLINK("javascript:void(0)","opál mellvért")</f>
        <v>opál mellvért</v>
      </c>
      <c r="E744" s="7"/>
      <c r="F744" s="7"/>
      <c r="G744" s="9" t="s">
        <v>2322</v>
      </c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2.75" customHeight="1" x14ac:dyDescent="0.2">
      <c r="A745" s="7"/>
      <c r="B745" s="2"/>
      <c r="C745" s="2" t="s">
        <v>44</v>
      </c>
      <c r="D745" s="2" t="str">
        <f>HYPERLINK("javascript:void(0)","hidracél mellvért")</f>
        <v>hidracél mellvért</v>
      </c>
      <c r="E745" s="7"/>
      <c r="F745" s="7"/>
      <c r="G745" s="9" t="s">
        <v>2322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2.75" customHeight="1" x14ac:dyDescent="0.2">
      <c r="A746" s="7"/>
      <c r="B746" s="2"/>
      <c r="C746" s="2" t="s">
        <v>44</v>
      </c>
      <c r="D746" s="2" t="str">
        <f>HYPERLINK("javascript:void(0)","smaragd előlap")</f>
        <v>smaragd előlap</v>
      </c>
      <c r="E746" s="7"/>
      <c r="F746" s="7"/>
      <c r="G746" s="9" t="s">
        <v>2322</v>
      </c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2.75" customHeight="1" x14ac:dyDescent="0.2">
      <c r="A747" s="7"/>
      <c r="B747" s="2"/>
      <c r="C747" s="2"/>
      <c r="D747" s="2"/>
      <c r="E747" s="7"/>
      <c r="F747" s="7"/>
      <c r="G747" s="9" t="s">
        <v>2322</v>
      </c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2.75" customHeight="1" x14ac:dyDescent="0.2">
      <c r="A748" s="7"/>
      <c r="B748" s="2"/>
      <c r="C748" s="2"/>
      <c r="D748" s="2"/>
      <c r="E748" s="7"/>
      <c r="F748" s="7"/>
      <c r="G748" s="9" t="s">
        <v>2322</v>
      </c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2.75" customHeight="1" x14ac:dyDescent="0.2">
      <c r="A749" s="7"/>
      <c r="B749" s="2"/>
      <c r="C749" s="2"/>
      <c r="D749" s="2"/>
      <c r="E749" s="7"/>
      <c r="F749" s="7"/>
      <c r="G749" s="9" t="s">
        <v>2322</v>
      </c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2.75" customHeight="1" x14ac:dyDescent="0.2">
      <c r="A750" s="7"/>
      <c r="B750" s="2"/>
      <c r="C750" s="2"/>
      <c r="D750" s="2"/>
      <c r="E750" s="7"/>
      <c r="F750" s="7"/>
      <c r="G750" s="9" t="s">
        <v>2322</v>
      </c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2.75" customHeight="1" x14ac:dyDescent="0.2">
      <c r="A751" s="7"/>
      <c r="B751" s="2"/>
      <c r="C751" s="2"/>
      <c r="D751" s="2"/>
      <c r="E751" s="7"/>
      <c r="F751" s="7"/>
      <c r="G751" s="9" t="s">
        <v>2322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2.75" customHeight="1" x14ac:dyDescent="0.2">
      <c r="A752" s="7" t="str">
        <f>HYPERLINK("javascript:void(0)","rubin mellvért")</f>
        <v>rubin mellvért</v>
      </c>
      <c r="B752" s="7"/>
      <c r="C752" s="7"/>
      <c r="D752" s="7"/>
      <c r="E752" s="7"/>
      <c r="F752" s="7"/>
      <c r="G752" s="9" t="s">
        <v>2322</v>
      </c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2.75" customHeight="1" x14ac:dyDescent="0.2">
      <c r="A753" s="7"/>
      <c r="B753" s="2"/>
      <c r="C753" s="2"/>
      <c r="D753" s="2"/>
      <c r="E753" s="7"/>
      <c r="F753" s="7"/>
      <c r="G753" s="9" t="s">
        <v>2322</v>
      </c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2.75" customHeight="1" x14ac:dyDescent="0.2">
      <c r="A754" s="7"/>
      <c r="B754" s="2" t="s">
        <v>0</v>
      </c>
      <c r="C754" s="2" t="s">
        <v>47</v>
      </c>
      <c r="D754" s="2"/>
      <c r="E754" s="7"/>
      <c r="F754" s="7"/>
      <c r="G754" s="9" t="s">
        <v>2322</v>
      </c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2.75" customHeight="1" x14ac:dyDescent="0.2">
      <c r="A755" s="7"/>
      <c r="B755" s="2" t="s">
        <v>2</v>
      </c>
      <c r="C755" s="2" t="s">
        <v>2322</v>
      </c>
      <c r="D755" s="2"/>
      <c r="E755" s="7"/>
      <c r="F755" s="7"/>
      <c r="G755" s="9" t="s">
        <v>2322</v>
      </c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2.75" customHeight="1" x14ac:dyDescent="0.2">
      <c r="A756" s="7"/>
      <c r="B756" s="2" t="s">
        <v>1840</v>
      </c>
      <c r="C756" s="2" t="s">
        <v>364</v>
      </c>
      <c r="D756" s="2"/>
      <c r="E756" s="7"/>
      <c r="F756" s="7"/>
      <c r="G756" s="9" t="s">
        <v>2322</v>
      </c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2.75" customHeight="1" x14ac:dyDescent="0.2">
      <c r="A757" s="7"/>
      <c r="B757" s="2" t="s">
        <v>9</v>
      </c>
      <c r="C757" s="2" t="s">
        <v>36</v>
      </c>
      <c r="D757" s="2"/>
      <c r="E757" s="7"/>
      <c r="F757" s="7"/>
      <c r="G757" s="9" t="s">
        <v>2322</v>
      </c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2.75" customHeight="1" x14ac:dyDescent="0.2">
      <c r="A758" s="7"/>
      <c r="B758" s="2" t="s">
        <v>11</v>
      </c>
      <c r="C758" s="2" t="s">
        <v>465</v>
      </c>
      <c r="D758" s="2"/>
      <c r="E758" s="7"/>
      <c r="F758" s="7"/>
      <c r="G758" s="9" t="s">
        <v>2322</v>
      </c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2.75" customHeight="1" x14ac:dyDescent="0.2">
      <c r="A759" s="7"/>
      <c r="B759" s="2" t="s">
        <v>16</v>
      </c>
      <c r="C759" s="2"/>
      <c r="D759" s="2"/>
      <c r="E759" s="7"/>
      <c r="F759" s="7"/>
      <c r="G759" s="9" t="s">
        <v>2322</v>
      </c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2.75" customHeight="1" x14ac:dyDescent="0.2">
      <c r="A760" s="7"/>
      <c r="B760" s="2" t="s">
        <v>17</v>
      </c>
      <c r="C760" s="2" t="s">
        <v>19</v>
      </c>
      <c r="D760" s="2"/>
      <c r="E760" s="7"/>
      <c r="F760" s="7"/>
      <c r="G760" s="9" t="s">
        <v>2322</v>
      </c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2.75" customHeight="1" x14ac:dyDescent="0.2">
      <c r="A761" s="7"/>
      <c r="B761" s="2" t="s">
        <v>18</v>
      </c>
      <c r="C761" s="2" t="s">
        <v>44</v>
      </c>
      <c r="D761" s="2" t="str">
        <f>HYPERLINK("javascript:void(0)","smaragd mellvért")</f>
        <v>smaragd mellvért</v>
      </c>
      <c r="E761" s="7"/>
      <c r="F761" s="7"/>
      <c r="G761" s="9" t="s">
        <v>2322</v>
      </c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2.75" customHeight="1" x14ac:dyDescent="0.2">
      <c r="A762" s="7"/>
      <c r="B762" s="2"/>
      <c r="C762" s="2" t="s">
        <v>68</v>
      </c>
      <c r="D762" s="2" t="str">
        <f>HYPERLINK("javascript:void(0)","göb")</f>
        <v>göb</v>
      </c>
      <c r="E762" s="7"/>
      <c r="F762" s="7"/>
      <c r="G762" s="9" t="s">
        <v>2322</v>
      </c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2.75" customHeight="1" x14ac:dyDescent="0.2">
      <c r="A763" s="7"/>
      <c r="B763" s="2"/>
      <c r="C763" s="2" t="s">
        <v>244</v>
      </c>
      <c r="D763" s="2" t="str">
        <f>HYPERLINK("javascript:void(0)","kocka")</f>
        <v>kocka</v>
      </c>
      <c r="E763" s="7"/>
      <c r="F763" s="7"/>
      <c r="G763" s="9" t="s">
        <v>2322</v>
      </c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2.75" customHeight="1" x14ac:dyDescent="0.2">
      <c r="A764" s="7"/>
      <c r="B764" s="2"/>
      <c r="C764" s="2"/>
      <c r="D764" s="2"/>
      <c r="E764" s="7"/>
      <c r="F764" s="7"/>
      <c r="G764" s="9" t="s">
        <v>2322</v>
      </c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2.75" customHeight="1" x14ac:dyDescent="0.2">
      <c r="A765" s="7"/>
      <c r="B765" s="2"/>
      <c r="C765" s="2"/>
      <c r="D765" s="2"/>
      <c r="E765" s="7"/>
      <c r="F765" s="7"/>
      <c r="G765" s="9" t="s">
        <v>2322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2.75" customHeight="1" x14ac:dyDescent="0.2">
      <c r="A766" s="7"/>
      <c r="B766" s="2"/>
      <c r="C766" s="2"/>
      <c r="D766" s="2"/>
      <c r="E766" s="7"/>
      <c r="F766" s="7"/>
      <c r="G766" s="9" t="s">
        <v>2322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2.75" customHeight="1" x14ac:dyDescent="0.2">
      <c r="A767" s="7"/>
      <c r="B767" s="2"/>
      <c r="C767" s="2"/>
      <c r="D767" s="2"/>
      <c r="E767" s="7"/>
      <c r="F767" s="7"/>
      <c r="G767" s="9" t="s">
        <v>2322</v>
      </c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2.75" customHeight="1" x14ac:dyDescent="0.2">
      <c r="A768" s="7"/>
      <c r="B768" s="2"/>
      <c r="C768" s="2"/>
      <c r="D768" s="2"/>
      <c r="E768" s="7"/>
      <c r="F768" s="7"/>
      <c r="G768" s="9" t="s">
        <v>2322</v>
      </c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2.75" customHeight="1" x14ac:dyDescent="0.2">
      <c r="A769" s="7" t="str">
        <f>HYPERLINK("javascript:void(0)","démonacél mellvért")</f>
        <v>démonacél mellvért</v>
      </c>
      <c r="B769" s="7"/>
      <c r="C769" s="7"/>
      <c r="D769" s="7"/>
      <c r="E769" s="7"/>
      <c r="F769" s="7"/>
      <c r="G769" s="9" t="s">
        <v>2322</v>
      </c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2.75" customHeight="1" x14ac:dyDescent="0.2">
      <c r="A770" s="7"/>
      <c r="B770" s="2"/>
      <c r="C770" s="2"/>
      <c r="D770" s="2"/>
      <c r="E770" s="7"/>
      <c r="F770" s="7"/>
      <c r="G770" s="9" t="s">
        <v>2322</v>
      </c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2.75" customHeight="1" x14ac:dyDescent="0.2">
      <c r="A771" s="7"/>
      <c r="B771" s="2" t="s">
        <v>0</v>
      </c>
      <c r="C771" s="2" t="s">
        <v>127</v>
      </c>
      <c r="D771" s="2"/>
      <c r="E771" s="7"/>
      <c r="F771" s="7"/>
      <c r="G771" s="9" t="s">
        <v>2322</v>
      </c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2.75" customHeight="1" x14ac:dyDescent="0.2">
      <c r="A772" s="7"/>
      <c r="B772" s="2" t="s">
        <v>2</v>
      </c>
      <c r="C772" s="2" t="s">
        <v>2322</v>
      </c>
      <c r="D772" s="2"/>
      <c r="E772" s="7"/>
      <c r="F772" s="7"/>
      <c r="G772" s="9" t="s">
        <v>2322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2.75" customHeight="1" x14ac:dyDescent="0.2">
      <c r="A773" s="7"/>
      <c r="B773" s="2" t="s">
        <v>1840</v>
      </c>
      <c r="C773" s="2" t="s">
        <v>2389</v>
      </c>
      <c r="D773" s="2"/>
      <c r="E773" s="7"/>
      <c r="F773" s="7"/>
      <c r="G773" s="9" t="s">
        <v>2322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2.75" customHeight="1" x14ac:dyDescent="0.2">
      <c r="A774" s="7"/>
      <c r="B774" s="2" t="s">
        <v>9</v>
      </c>
      <c r="C774" s="2" t="s">
        <v>374</v>
      </c>
      <c r="D774" s="2"/>
      <c r="E774" s="7"/>
      <c r="F774" s="7"/>
      <c r="G774" s="9" t="s">
        <v>2322</v>
      </c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2.75" customHeight="1" x14ac:dyDescent="0.2">
      <c r="A775" s="7"/>
      <c r="B775" s="2" t="s">
        <v>11</v>
      </c>
      <c r="C775" s="2" t="s">
        <v>470</v>
      </c>
      <c r="D775" s="2"/>
      <c r="E775" s="7"/>
      <c r="F775" s="7"/>
      <c r="G775" s="9" t="s">
        <v>2322</v>
      </c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2.75" customHeight="1" x14ac:dyDescent="0.2">
      <c r="A776" s="7"/>
      <c r="B776" s="2" t="s">
        <v>16</v>
      </c>
      <c r="C776" s="2"/>
      <c r="D776" s="2"/>
      <c r="E776" s="7"/>
      <c r="F776" s="7"/>
      <c r="G776" s="9" t="s">
        <v>2322</v>
      </c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2.75" customHeight="1" x14ac:dyDescent="0.2">
      <c r="A777" s="7"/>
      <c r="B777" s="2" t="s">
        <v>17</v>
      </c>
      <c r="C777" s="2" t="s">
        <v>19</v>
      </c>
      <c r="D777" s="2"/>
      <c r="E777" s="7"/>
      <c r="F777" s="7"/>
      <c r="G777" s="9" t="s">
        <v>2322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2.75" customHeight="1" x14ac:dyDescent="0.2">
      <c r="A778" s="7"/>
      <c r="B778" s="2" t="s">
        <v>18</v>
      </c>
      <c r="C778" s="2" t="s">
        <v>797</v>
      </c>
      <c r="D778" s="2" t="str">
        <f>HYPERLINK("javascript:void(0)","démonzanza")</f>
        <v>démonzanza</v>
      </c>
      <c r="E778" s="7"/>
      <c r="F778" s="7"/>
      <c r="G778" s="9" t="s">
        <v>2322</v>
      </c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2.75" customHeight="1" x14ac:dyDescent="0.2">
      <c r="A779" s="7"/>
      <c r="B779" s="2"/>
      <c r="C779" s="2" t="s">
        <v>98</v>
      </c>
      <c r="D779" s="2" t="str">
        <f>HYPERLINK("javascript:void(0)","vari amulett")</f>
        <v>vari amulett</v>
      </c>
      <c r="E779" s="7"/>
      <c r="F779" s="7"/>
      <c r="G779" s="9" t="s">
        <v>2322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2.75" customHeight="1" x14ac:dyDescent="0.2">
      <c r="A780" s="7"/>
      <c r="B780" s="2"/>
      <c r="C780" s="2" t="s">
        <v>139</v>
      </c>
      <c r="D780" s="2" t="str">
        <f>HYPERLINK("javascript:void(0)","portgyűrű")</f>
        <v>portgyűrű</v>
      </c>
      <c r="E780" s="7"/>
      <c r="F780" s="7"/>
      <c r="G780" s="9" t="s">
        <v>2322</v>
      </c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2.75" customHeight="1" x14ac:dyDescent="0.2">
      <c r="A781" s="7"/>
      <c r="B781" s="2"/>
      <c r="C781" s="2"/>
      <c r="D781" s="2"/>
      <c r="E781" s="7"/>
      <c r="F781" s="7"/>
      <c r="G781" s="9" t="s">
        <v>2322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2.75" customHeight="1" x14ac:dyDescent="0.2">
      <c r="A782" s="7"/>
      <c r="B782" s="2"/>
      <c r="C782" s="2"/>
      <c r="D782" s="2"/>
      <c r="E782" s="7"/>
      <c r="F782" s="7"/>
      <c r="G782" s="9" t="s">
        <v>2322</v>
      </c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2.75" customHeight="1" x14ac:dyDescent="0.2">
      <c r="A783" s="7"/>
      <c r="B783" s="2"/>
      <c r="C783" s="2"/>
      <c r="D783" s="2"/>
      <c r="E783" s="7"/>
      <c r="F783" s="7"/>
      <c r="G783" s="9" t="s">
        <v>2322</v>
      </c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2.75" customHeight="1" x14ac:dyDescent="0.2">
      <c r="A784" s="7"/>
      <c r="B784" s="2"/>
      <c r="C784" s="2"/>
      <c r="D784" s="2"/>
      <c r="E784" s="7"/>
      <c r="F784" s="7"/>
      <c r="G784" s="9" t="s">
        <v>2322</v>
      </c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2.75" customHeight="1" x14ac:dyDescent="0.2">
      <c r="A785" s="7"/>
      <c r="B785" s="2"/>
      <c r="C785" s="2"/>
      <c r="D785" s="2"/>
      <c r="E785" s="7"/>
      <c r="F785" s="7"/>
      <c r="G785" s="9" t="s">
        <v>2322</v>
      </c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2.75" customHeight="1" x14ac:dyDescent="0.2">
      <c r="A786" s="7" t="str">
        <f>HYPERLINK("javascript:void(0)","gyíkacél egyenruha")</f>
        <v>gyíkacél egyenruha</v>
      </c>
      <c r="B786" s="7"/>
      <c r="C786" s="7"/>
      <c r="D786" s="7"/>
      <c r="E786" s="7"/>
      <c r="F786" s="7"/>
      <c r="G786" s="9" t="s">
        <v>2322</v>
      </c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2.75" customHeight="1" x14ac:dyDescent="0.2">
      <c r="A787" s="7"/>
      <c r="B787" s="2"/>
      <c r="C787" s="2"/>
      <c r="D787" s="2"/>
      <c r="E787" s="7"/>
      <c r="F787" s="7"/>
      <c r="G787" s="9" t="s">
        <v>2322</v>
      </c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2.75" customHeight="1" x14ac:dyDescent="0.2">
      <c r="A788" s="7"/>
      <c r="B788" s="2" t="s">
        <v>0</v>
      </c>
      <c r="C788" s="2" t="s">
        <v>127</v>
      </c>
      <c r="D788" s="2"/>
      <c r="E788" s="7"/>
      <c r="F788" s="7"/>
      <c r="G788" s="9" t="s">
        <v>2322</v>
      </c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2.75" customHeight="1" x14ac:dyDescent="0.2">
      <c r="A789" s="7"/>
      <c r="B789" s="2" t="s">
        <v>2</v>
      </c>
      <c r="C789" s="2" t="s">
        <v>2322</v>
      </c>
      <c r="D789" s="2"/>
      <c r="E789" s="7"/>
      <c r="F789" s="7"/>
      <c r="G789" s="9" t="s">
        <v>2322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2.75" customHeight="1" x14ac:dyDescent="0.2">
      <c r="A790" s="7"/>
      <c r="B790" s="2" t="s">
        <v>1840</v>
      </c>
      <c r="C790" s="2" t="s">
        <v>383</v>
      </c>
      <c r="D790" s="2"/>
      <c r="E790" s="7"/>
      <c r="F790" s="7"/>
      <c r="G790" s="9" t="s">
        <v>2322</v>
      </c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2.75" customHeight="1" x14ac:dyDescent="0.2">
      <c r="A791" s="7"/>
      <c r="B791" s="2" t="s">
        <v>9</v>
      </c>
      <c r="C791" s="2" t="s">
        <v>236</v>
      </c>
      <c r="D791" s="2"/>
      <c r="E791" s="7"/>
      <c r="F791" s="7"/>
      <c r="G791" s="9" t="s">
        <v>2322</v>
      </c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2.75" customHeight="1" x14ac:dyDescent="0.2">
      <c r="A792" s="7"/>
      <c r="B792" s="2" t="s">
        <v>11</v>
      </c>
      <c r="C792" s="2" t="s">
        <v>329</v>
      </c>
      <c r="D792" s="2"/>
      <c r="E792" s="7"/>
      <c r="F792" s="7"/>
      <c r="G792" s="9" t="s">
        <v>2322</v>
      </c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2.75" customHeight="1" x14ac:dyDescent="0.2">
      <c r="A793" s="7"/>
      <c r="B793" s="2" t="s">
        <v>16</v>
      </c>
      <c r="C793" s="2"/>
      <c r="D793" s="2"/>
      <c r="E793" s="7"/>
      <c r="F793" s="7"/>
      <c r="G793" s="9" t="s">
        <v>2322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2.75" customHeight="1" x14ac:dyDescent="0.2">
      <c r="A794" s="7"/>
      <c r="B794" s="2" t="s">
        <v>17</v>
      </c>
      <c r="C794" s="2" t="s">
        <v>19</v>
      </c>
      <c r="D794" s="2"/>
      <c r="E794" s="7"/>
      <c r="F794" s="7"/>
      <c r="G794" s="9" t="s">
        <v>2322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2.75" customHeight="1" x14ac:dyDescent="0.2">
      <c r="A795" s="7"/>
      <c r="B795" s="2" t="s">
        <v>18</v>
      </c>
      <c r="C795" s="2" t="s">
        <v>280</v>
      </c>
      <c r="D795" s="2" t="str">
        <f>HYPERLINK("javascript:void(0)","portgyűrű")</f>
        <v>portgyűrű</v>
      </c>
      <c r="E795" s="7"/>
      <c r="F795" s="7"/>
      <c r="G795" s="9" t="s">
        <v>2322</v>
      </c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2.75" customHeight="1" x14ac:dyDescent="0.2">
      <c r="A796" s="7"/>
      <c r="B796" s="2"/>
      <c r="C796" s="2" t="s">
        <v>1379</v>
      </c>
      <c r="D796" s="2" t="str">
        <f>HYPERLINK("javascript:void(0)","goblinbatka")</f>
        <v>goblinbatka</v>
      </c>
      <c r="E796" s="7"/>
      <c r="F796" s="7"/>
      <c r="G796" s="9" t="s">
        <v>2322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2.75" customHeight="1" x14ac:dyDescent="0.2">
      <c r="A797" s="7"/>
      <c r="B797" s="2"/>
      <c r="C797" s="2" t="s">
        <v>280</v>
      </c>
      <c r="D797" s="2" t="str">
        <f>HYPERLINK("javascript:void(0)","szent szimbólum")</f>
        <v>szent szimbólum</v>
      </c>
      <c r="E797" s="7"/>
      <c r="F797" s="7"/>
      <c r="G797" s="9" t="s">
        <v>2322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2.75" customHeight="1" x14ac:dyDescent="0.2">
      <c r="A798" s="7"/>
      <c r="B798" s="2"/>
      <c r="C798" s="2"/>
      <c r="D798" s="2"/>
      <c r="E798" s="7"/>
      <c r="F798" s="7"/>
      <c r="G798" s="9" t="s">
        <v>2322</v>
      </c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2.75" customHeight="1" x14ac:dyDescent="0.2">
      <c r="A799" s="7"/>
      <c r="B799" s="2"/>
      <c r="C799" s="2"/>
      <c r="D799" s="2"/>
      <c r="E799" s="7"/>
      <c r="F799" s="7"/>
      <c r="G799" s="9" t="s">
        <v>2322</v>
      </c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2.75" customHeight="1" x14ac:dyDescent="0.2">
      <c r="A800" s="7"/>
      <c r="B800" s="2"/>
      <c r="C800" s="2"/>
      <c r="D800" s="2"/>
      <c r="E800" s="7"/>
      <c r="F800" s="7"/>
      <c r="G800" s="9" t="s">
        <v>2322</v>
      </c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2.75" customHeight="1" x14ac:dyDescent="0.2">
      <c r="A801" s="7"/>
      <c r="B801" s="2"/>
      <c r="C801" s="2"/>
      <c r="D801" s="2"/>
      <c r="E801" s="7"/>
      <c r="F801" s="7"/>
      <c r="G801" s="9" t="s">
        <v>2322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2.75" customHeight="1" x14ac:dyDescent="0.2">
      <c r="A802" s="7"/>
      <c r="B802" s="2"/>
      <c r="C802" s="2"/>
      <c r="D802" s="2"/>
      <c r="E802" s="7"/>
      <c r="F802" s="7"/>
      <c r="G802" s="9" t="s">
        <v>2322</v>
      </c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2.75" customHeight="1" x14ac:dyDescent="0.2">
      <c r="A803" s="7" t="str">
        <f>HYPERLINK("javascript:void(0)","mellényes csillámköpeny")</f>
        <v>mellényes csillámköpeny</v>
      </c>
      <c r="B803" s="7"/>
      <c r="C803" s="7"/>
      <c r="D803" s="7"/>
      <c r="E803" s="7"/>
      <c r="F803" s="7"/>
      <c r="G803" s="9" t="s">
        <v>2322</v>
      </c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2.75" customHeight="1" x14ac:dyDescent="0.2">
      <c r="A804" s="7"/>
      <c r="B804" s="2"/>
      <c r="C804" s="2"/>
      <c r="D804" s="2"/>
      <c r="E804" s="7"/>
      <c r="F804" s="7"/>
      <c r="G804" s="9" t="s">
        <v>2322</v>
      </c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2.75" customHeight="1" x14ac:dyDescent="0.2">
      <c r="A805" s="7"/>
      <c r="B805" s="2" t="s">
        <v>0</v>
      </c>
      <c r="C805" s="2" t="s">
        <v>127</v>
      </c>
      <c r="D805" s="2"/>
      <c r="E805" s="7"/>
      <c r="F805" s="7"/>
      <c r="G805" s="9" t="s">
        <v>2322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2.75" customHeight="1" x14ac:dyDescent="0.2">
      <c r="A806" s="7"/>
      <c r="B806" s="2" t="s">
        <v>2</v>
      </c>
      <c r="C806" s="2" t="s">
        <v>2322</v>
      </c>
      <c r="D806" s="2"/>
      <c r="E806" s="7"/>
      <c r="F806" s="7"/>
      <c r="G806" s="9" t="s">
        <v>2322</v>
      </c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2.75" customHeight="1" x14ac:dyDescent="0.2">
      <c r="A807" s="7"/>
      <c r="B807" s="2" t="s">
        <v>1840</v>
      </c>
      <c r="C807" s="2" t="s">
        <v>1770</v>
      </c>
      <c r="D807" s="2"/>
      <c r="E807" s="7"/>
      <c r="F807" s="7"/>
      <c r="G807" s="9" t="s">
        <v>2322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2.75" customHeight="1" x14ac:dyDescent="0.2">
      <c r="A808" s="7"/>
      <c r="B808" s="2" t="s">
        <v>9</v>
      </c>
      <c r="C808" s="2" t="s">
        <v>1433</v>
      </c>
      <c r="D808" s="2"/>
      <c r="E808" s="7"/>
      <c r="F808" s="7"/>
      <c r="G808" s="9" t="s">
        <v>2322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2.75" customHeight="1" x14ac:dyDescent="0.2">
      <c r="A809" s="7"/>
      <c r="B809" s="2" t="s">
        <v>11</v>
      </c>
      <c r="C809" s="2" t="s">
        <v>470</v>
      </c>
      <c r="D809" s="2"/>
      <c r="E809" s="7"/>
      <c r="F809" s="7"/>
      <c r="G809" s="9" t="s">
        <v>2322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2.75" customHeight="1" x14ac:dyDescent="0.2">
      <c r="A810" s="7"/>
      <c r="B810" s="2" t="s">
        <v>16</v>
      </c>
      <c r="C810" s="2"/>
      <c r="D810" s="2"/>
      <c r="E810" s="7"/>
      <c r="F810" s="7"/>
      <c r="G810" s="9" t="s">
        <v>2322</v>
      </c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2.75" customHeight="1" x14ac:dyDescent="0.2">
      <c r="A811" s="7"/>
      <c r="B811" s="2" t="s">
        <v>17</v>
      </c>
      <c r="C811" s="2" t="s">
        <v>19</v>
      </c>
      <c r="D811" s="2"/>
      <c r="E811" s="7"/>
      <c r="F811" s="7"/>
      <c r="G811" s="9" t="s">
        <v>2322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2.75" customHeight="1" x14ac:dyDescent="0.2">
      <c r="A812" s="7"/>
      <c r="B812" s="2" t="s">
        <v>18</v>
      </c>
      <c r="C812" s="2" t="s">
        <v>57</v>
      </c>
      <c r="D812" s="2" t="str">
        <f>HYPERLINK("javascript:void(0)","csillámgöb")</f>
        <v>csillámgöb</v>
      </c>
      <c r="E812" s="7"/>
      <c r="F812" s="7"/>
      <c r="G812" s="9" t="s">
        <v>2322</v>
      </c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2.75" customHeight="1" x14ac:dyDescent="0.2">
      <c r="A813" s="7"/>
      <c r="B813" s="2"/>
      <c r="C813" s="2" t="s">
        <v>44</v>
      </c>
      <c r="D813" s="2" t="str">
        <f>HYPERLINK("javascript:void(0)","csillámmellény")</f>
        <v>csillámmellény</v>
      </c>
      <c r="E813" s="7"/>
      <c r="F813" s="7"/>
      <c r="G813" s="9" t="s">
        <v>2322</v>
      </c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2.75" customHeight="1" x14ac:dyDescent="0.2">
      <c r="A814" s="7"/>
      <c r="B814" s="2"/>
      <c r="C814" s="2" t="s">
        <v>280</v>
      </c>
      <c r="D814" s="2" t="str">
        <f>HYPERLINK("javascript:void(0)","gyémántkarika")</f>
        <v>gyémántkarika</v>
      </c>
      <c r="E814" s="7"/>
      <c r="F814" s="7"/>
      <c r="G814" s="9" t="s">
        <v>2322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2.75" customHeight="1" x14ac:dyDescent="0.2">
      <c r="A815" s="7"/>
      <c r="B815" s="2"/>
      <c r="C815" s="2"/>
      <c r="D815" s="2"/>
      <c r="E815" s="7"/>
      <c r="F815" s="7"/>
      <c r="G815" s="9" t="s">
        <v>2322</v>
      </c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2.75" customHeight="1" x14ac:dyDescent="0.2">
      <c r="A816" s="7"/>
      <c r="B816" s="2"/>
      <c r="C816" s="2"/>
      <c r="D816" s="2"/>
      <c r="E816" s="7"/>
      <c r="F816" s="7"/>
      <c r="G816" s="9" t="s">
        <v>2322</v>
      </c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2.75" customHeight="1" x14ac:dyDescent="0.2">
      <c r="A817" s="7"/>
      <c r="B817" s="2"/>
      <c r="C817" s="2"/>
      <c r="D817" s="2"/>
      <c r="E817" s="7"/>
      <c r="F817" s="7"/>
      <c r="G817" s="9" t="s">
        <v>2322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2.75" customHeight="1" x14ac:dyDescent="0.2">
      <c r="A818" s="7"/>
      <c r="B818" s="2"/>
      <c r="C818" s="2"/>
      <c r="D818" s="2"/>
      <c r="E818" s="7"/>
      <c r="F818" s="7"/>
      <c r="G818" s="9" t="s">
        <v>2322</v>
      </c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2.75" customHeight="1" x14ac:dyDescent="0.2">
      <c r="A819" s="7"/>
      <c r="B819" s="2"/>
      <c r="C819" s="2"/>
      <c r="D819" s="2"/>
      <c r="E819" s="7"/>
      <c r="F819" s="7"/>
      <c r="G819" s="9" t="s">
        <v>2322</v>
      </c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2.75" customHeight="1" x14ac:dyDescent="0.2">
      <c r="A820" s="7" t="str">
        <f>HYPERLINK("javascript:void(0)","gyémánt mellvért")</f>
        <v>gyémánt mellvért</v>
      </c>
      <c r="B820" s="7"/>
      <c r="C820" s="7"/>
      <c r="D820" s="7"/>
      <c r="E820" s="7"/>
      <c r="F820" s="7"/>
      <c r="G820" s="9" t="s">
        <v>2322</v>
      </c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2.75" customHeight="1" x14ac:dyDescent="0.2">
      <c r="A821" s="7"/>
      <c r="B821" s="2"/>
      <c r="C821" s="2"/>
      <c r="D821" s="2"/>
      <c r="E821" s="7"/>
      <c r="F821" s="7"/>
      <c r="G821" s="9" t="s">
        <v>2322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2.75" customHeight="1" x14ac:dyDescent="0.2">
      <c r="A822" s="7"/>
      <c r="B822" s="2" t="s">
        <v>0</v>
      </c>
      <c r="C822" s="2" t="s">
        <v>204</v>
      </c>
      <c r="D822" s="2"/>
      <c r="E822" s="7"/>
      <c r="F822" s="7"/>
      <c r="G822" s="9" t="s">
        <v>2322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2.75" customHeight="1" x14ac:dyDescent="0.2">
      <c r="A823" s="7"/>
      <c r="B823" s="2" t="s">
        <v>2</v>
      </c>
      <c r="C823" s="2" t="s">
        <v>2322</v>
      </c>
      <c r="D823" s="2"/>
      <c r="E823" s="7"/>
      <c r="F823" s="7"/>
      <c r="G823" s="9" t="s">
        <v>2322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2.75" customHeight="1" x14ac:dyDescent="0.2">
      <c r="A824" s="7"/>
      <c r="B824" s="2" t="s">
        <v>1840</v>
      </c>
      <c r="C824" s="2" t="s">
        <v>2395</v>
      </c>
      <c r="D824" s="2"/>
      <c r="E824" s="7"/>
      <c r="F824" s="7"/>
      <c r="G824" s="9" t="s">
        <v>2322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2.75" customHeight="1" x14ac:dyDescent="0.2">
      <c r="A825" s="7"/>
      <c r="B825" s="2" t="s">
        <v>9</v>
      </c>
      <c r="C825" s="2" t="s">
        <v>30</v>
      </c>
      <c r="D825" s="2"/>
      <c r="E825" s="7"/>
      <c r="F825" s="7"/>
      <c r="G825" s="9" t="s">
        <v>2322</v>
      </c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2.75" customHeight="1" x14ac:dyDescent="0.2">
      <c r="A826" s="7"/>
      <c r="B826" s="2" t="s">
        <v>11</v>
      </c>
      <c r="C826" s="2" t="s">
        <v>483</v>
      </c>
      <c r="D826" s="2"/>
      <c r="E826" s="7"/>
      <c r="F826" s="7"/>
      <c r="G826" s="9" t="s">
        <v>2322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2.75" customHeight="1" x14ac:dyDescent="0.2">
      <c r="A827" s="7"/>
      <c r="B827" s="2" t="s">
        <v>16</v>
      </c>
      <c r="C827" s="2"/>
      <c r="D827" s="2"/>
      <c r="E827" s="7"/>
      <c r="F827" s="7"/>
      <c r="G827" s="9" t="s">
        <v>2322</v>
      </c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2.75" customHeight="1" x14ac:dyDescent="0.2">
      <c r="A828" s="7"/>
      <c r="B828" s="2" t="s">
        <v>17</v>
      </c>
      <c r="C828" s="2" t="s">
        <v>19</v>
      </c>
      <c r="D828" s="2"/>
      <c r="E828" s="7"/>
      <c r="F828" s="7"/>
      <c r="G828" s="9" t="s">
        <v>2322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2.75" customHeight="1" x14ac:dyDescent="0.2">
      <c r="A829" s="7"/>
      <c r="B829" s="2" t="s">
        <v>18</v>
      </c>
      <c r="C829" s="2" t="s">
        <v>44</v>
      </c>
      <c r="D829" s="2" t="str">
        <f>HYPERLINK("javascript:void(0)","rubin mellvért")</f>
        <v>rubin mellvért</v>
      </c>
      <c r="E829" s="7"/>
      <c r="F829" s="7"/>
      <c r="G829" s="9" t="s">
        <v>2322</v>
      </c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2.75" customHeight="1" x14ac:dyDescent="0.2">
      <c r="A830" s="7"/>
      <c r="B830" s="2"/>
      <c r="C830" s="2" t="s">
        <v>44</v>
      </c>
      <c r="D830" s="2" t="str">
        <f>HYPERLINK("javascript:void(0)","démonacél mellvért")</f>
        <v>démonacél mellvért</v>
      </c>
      <c r="E830" s="7"/>
      <c r="F830" s="7"/>
      <c r="G830" s="9" t="s">
        <v>2322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2.75" customHeight="1" x14ac:dyDescent="0.2">
      <c r="A831" s="7"/>
      <c r="B831" s="2"/>
      <c r="C831" s="2" t="s">
        <v>44</v>
      </c>
      <c r="D831" s="2" t="str">
        <f>HYPERLINK("javascript:void(0)","gyémánt előlap")</f>
        <v>gyémánt előlap</v>
      </c>
      <c r="E831" s="7"/>
      <c r="F831" s="7"/>
      <c r="G831" s="9" t="s">
        <v>2322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2.75" customHeight="1" x14ac:dyDescent="0.2">
      <c r="A832" s="7"/>
      <c r="B832" s="2"/>
      <c r="C832" s="2"/>
      <c r="D832" s="2"/>
      <c r="E832" s="7"/>
      <c r="F832" s="7"/>
      <c r="G832" s="9" t="s">
        <v>2322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2.75" customHeight="1" x14ac:dyDescent="0.2">
      <c r="A833" s="7"/>
      <c r="B833" s="2"/>
      <c r="C833" s="2"/>
      <c r="D833" s="2"/>
      <c r="E833" s="7"/>
      <c r="F833" s="7"/>
      <c r="G833" s="9" t="s">
        <v>2322</v>
      </c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2.75" customHeight="1" x14ac:dyDescent="0.2">
      <c r="A834" s="7"/>
      <c r="B834" s="2"/>
      <c r="C834" s="2"/>
      <c r="D834" s="2"/>
      <c r="E834" s="7"/>
      <c r="F834" s="7"/>
      <c r="G834" s="9" t="s">
        <v>2322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2.75" customHeight="1" x14ac:dyDescent="0.2">
      <c r="A835" s="7"/>
      <c r="B835" s="2"/>
      <c r="C835" s="2"/>
      <c r="D835" s="2"/>
      <c r="E835" s="7"/>
      <c r="F835" s="7"/>
      <c r="G835" s="9" t="s">
        <v>2322</v>
      </c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2.75" customHeight="1" x14ac:dyDescent="0.2">
      <c r="A836" s="7"/>
      <c r="B836" s="2"/>
      <c r="C836" s="2"/>
      <c r="D836" s="2"/>
      <c r="E836" s="7"/>
      <c r="F836" s="7"/>
      <c r="G836" s="9" t="s">
        <v>2322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2.75" customHeight="1" x14ac:dyDescent="0.2">
      <c r="A837" s="7" t="str">
        <f>HYPERLINK("javascript:void(0)","dracoacél mellvért")</f>
        <v>dracoacél mellvért</v>
      </c>
      <c r="B837" s="7"/>
      <c r="C837" s="7"/>
      <c r="D837" s="7"/>
      <c r="E837" s="7"/>
      <c r="F837" s="7"/>
      <c r="G837" s="9" t="s">
        <v>2322</v>
      </c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2.75" customHeight="1" x14ac:dyDescent="0.2">
      <c r="A838" s="7"/>
      <c r="B838" s="2"/>
      <c r="C838" s="2"/>
      <c r="D838" s="2"/>
      <c r="E838" s="7"/>
      <c r="F838" s="7"/>
      <c r="G838" s="9" t="s">
        <v>2322</v>
      </c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2.75" customHeight="1" x14ac:dyDescent="0.2">
      <c r="A839" s="7"/>
      <c r="B839" s="2" t="s">
        <v>0</v>
      </c>
      <c r="C839" s="2" t="s">
        <v>468</v>
      </c>
      <c r="D839" s="2"/>
      <c r="E839" s="7"/>
      <c r="F839" s="7"/>
      <c r="G839" s="9" t="s">
        <v>2322</v>
      </c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2.75" customHeight="1" x14ac:dyDescent="0.2">
      <c r="A840" s="7"/>
      <c r="B840" s="2" t="s">
        <v>2</v>
      </c>
      <c r="C840" s="2" t="s">
        <v>2322</v>
      </c>
      <c r="D840" s="2"/>
      <c r="E840" s="7"/>
      <c r="F840" s="7"/>
      <c r="G840" s="9" t="s">
        <v>2322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2.75" customHeight="1" x14ac:dyDescent="0.2">
      <c r="A841" s="7"/>
      <c r="B841" s="2" t="s">
        <v>1840</v>
      </c>
      <c r="C841" s="2" t="s">
        <v>2206</v>
      </c>
      <c r="D841" s="2"/>
      <c r="E841" s="7"/>
      <c r="F841" s="7"/>
      <c r="G841" s="9" t="s">
        <v>2322</v>
      </c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2.75" customHeight="1" x14ac:dyDescent="0.2">
      <c r="A842" s="7"/>
      <c r="B842" s="2" t="s">
        <v>9</v>
      </c>
      <c r="C842" s="2" t="s">
        <v>200</v>
      </c>
      <c r="D842" s="2"/>
      <c r="E842" s="7"/>
      <c r="F842" s="7"/>
      <c r="G842" s="9" t="s">
        <v>2322</v>
      </c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2.75" customHeight="1" x14ac:dyDescent="0.2">
      <c r="A843" s="7"/>
      <c r="B843" s="2" t="s">
        <v>11</v>
      </c>
      <c r="C843" s="2" t="s">
        <v>488</v>
      </c>
      <c r="D843" s="2"/>
      <c r="E843" s="7"/>
      <c r="F843" s="7"/>
      <c r="G843" s="9" t="s">
        <v>2322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2.75" customHeight="1" x14ac:dyDescent="0.2">
      <c r="A844" s="7"/>
      <c r="B844" s="2" t="s">
        <v>16</v>
      </c>
      <c r="C844" s="2"/>
      <c r="D844" s="2"/>
      <c r="E844" s="7"/>
      <c r="F844" s="7"/>
      <c r="G844" s="9" t="s">
        <v>2322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2.75" customHeight="1" x14ac:dyDescent="0.2">
      <c r="A845" s="7"/>
      <c r="B845" s="2" t="s">
        <v>17</v>
      </c>
      <c r="C845" s="2" t="s">
        <v>19</v>
      </c>
      <c r="D845" s="2"/>
      <c r="E845" s="7"/>
      <c r="F845" s="7"/>
      <c r="G845" s="9" t="s">
        <v>2322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2.75" customHeight="1" x14ac:dyDescent="0.2">
      <c r="A846" s="7"/>
      <c r="B846" s="2" t="s">
        <v>18</v>
      </c>
      <c r="C846" s="2" t="s">
        <v>44</v>
      </c>
      <c r="D846" s="2" t="str">
        <f>HYPERLINK("javascript:void(0)","gyémánt mellvért")</f>
        <v>gyémánt mellvért</v>
      </c>
      <c r="E846" s="7"/>
      <c r="F846" s="7"/>
      <c r="G846" s="9" t="s">
        <v>2322</v>
      </c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2.75" customHeight="1" x14ac:dyDescent="0.2">
      <c r="A847" s="7"/>
      <c r="B847" s="2"/>
      <c r="C847" s="2" t="s">
        <v>68</v>
      </c>
      <c r="D847" s="2" t="str">
        <f>HYPERLINK("javascript:void(0)","csigaház")</f>
        <v>csigaház</v>
      </c>
      <c r="E847" s="7"/>
      <c r="F847" s="7"/>
      <c r="G847" s="9" t="s">
        <v>2322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2.75" customHeight="1" x14ac:dyDescent="0.2">
      <c r="A848" s="7"/>
      <c r="B848" s="2"/>
      <c r="C848" s="2" t="s">
        <v>269</v>
      </c>
      <c r="D848" s="2" t="str">
        <f>HYPERLINK("javascript:void(0)","esztétikum")</f>
        <v>esztétikum</v>
      </c>
      <c r="E848" s="7"/>
      <c r="F848" s="7"/>
      <c r="G848" s="9" t="s">
        <v>2322</v>
      </c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2.75" customHeight="1" x14ac:dyDescent="0.2">
      <c r="A849" s="7"/>
      <c r="B849" s="2"/>
      <c r="C849" s="2"/>
      <c r="D849" s="2"/>
      <c r="E849" s="7"/>
      <c r="F849" s="7"/>
      <c r="G849" s="9" t="s">
        <v>2322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2.75" customHeight="1" x14ac:dyDescent="0.2">
      <c r="A850" s="7"/>
      <c r="B850" s="2"/>
      <c r="C850" s="2"/>
      <c r="D850" s="2"/>
      <c r="E850" s="7"/>
      <c r="F850" s="7"/>
      <c r="G850" s="9" t="s">
        <v>2322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2.75" customHeight="1" x14ac:dyDescent="0.2">
      <c r="A851" s="7"/>
      <c r="B851" s="2"/>
      <c r="C851" s="2"/>
      <c r="D851" s="2"/>
      <c r="E851" s="7"/>
      <c r="F851" s="7"/>
      <c r="G851" s="9" t="s">
        <v>2322</v>
      </c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2.75" customHeight="1" x14ac:dyDescent="0.2">
      <c r="A852" s="7"/>
      <c r="B852" s="2"/>
      <c r="C852" s="2"/>
      <c r="D852" s="2"/>
      <c r="E852" s="7"/>
      <c r="F852" s="7"/>
      <c r="G852" s="9" t="s">
        <v>2322</v>
      </c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2.75" customHeight="1" x14ac:dyDescent="0.2">
      <c r="A853" s="7"/>
      <c r="B853" s="2"/>
      <c r="C853" s="2"/>
      <c r="D853" s="2"/>
      <c r="E853" s="7"/>
      <c r="F853" s="7"/>
      <c r="G853" s="9" t="s">
        <v>2322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2.75" customHeight="1" x14ac:dyDescent="0.2">
      <c r="A854" s="7" t="str">
        <f>HYPERLINK("javascript:void(0)","diszpro mellvért")</f>
        <v>diszpro mellvért</v>
      </c>
      <c r="B854" s="7"/>
      <c r="C854" s="7"/>
      <c r="D854" s="7"/>
      <c r="E854" s="7"/>
      <c r="F854" s="7"/>
      <c r="G854" s="9" t="s">
        <v>2322</v>
      </c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2.75" customHeight="1" x14ac:dyDescent="0.2">
      <c r="A855" s="7"/>
      <c r="B855" s="2"/>
      <c r="C855" s="2"/>
      <c r="D855" s="2"/>
      <c r="E855" s="7"/>
      <c r="F855" s="7"/>
      <c r="G855" s="9" t="s">
        <v>2322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2.75" customHeight="1" x14ac:dyDescent="0.2">
      <c r="A856" s="7"/>
      <c r="B856" s="2" t="s">
        <v>0</v>
      </c>
      <c r="C856" s="2" t="s">
        <v>213</v>
      </c>
      <c r="D856" s="2"/>
      <c r="E856" s="7"/>
      <c r="F856" s="7"/>
      <c r="G856" s="9" t="s">
        <v>2322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2.75" customHeight="1" x14ac:dyDescent="0.2">
      <c r="A857" s="7"/>
      <c r="B857" s="2" t="s">
        <v>2</v>
      </c>
      <c r="C857" s="2" t="s">
        <v>2322</v>
      </c>
      <c r="D857" s="2"/>
      <c r="E857" s="7"/>
      <c r="F857" s="7"/>
      <c r="G857" s="9" t="s">
        <v>2322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2.75" customHeight="1" x14ac:dyDescent="0.2">
      <c r="A858" s="7"/>
      <c r="B858" s="2" t="s">
        <v>1840</v>
      </c>
      <c r="C858" s="2" t="s">
        <v>175</v>
      </c>
      <c r="D858" s="2"/>
      <c r="E858" s="7"/>
      <c r="F858" s="7"/>
      <c r="G858" s="9" t="s">
        <v>2322</v>
      </c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2.75" customHeight="1" x14ac:dyDescent="0.2">
      <c r="A859" s="7"/>
      <c r="B859" s="2" t="s">
        <v>9</v>
      </c>
      <c r="C859" s="2" t="s">
        <v>374</v>
      </c>
      <c r="D859" s="2"/>
      <c r="E859" s="7"/>
      <c r="F859" s="7"/>
      <c r="G859" s="9" t="s">
        <v>2322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2.75" customHeight="1" x14ac:dyDescent="0.2">
      <c r="A860" s="7"/>
      <c r="B860" s="2" t="s">
        <v>11</v>
      </c>
      <c r="C860" s="2" t="s">
        <v>497</v>
      </c>
      <c r="D860" s="2"/>
      <c r="E860" s="7"/>
      <c r="F860" s="7"/>
      <c r="G860" s="9" t="s">
        <v>2322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2.75" customHeight="1" x14ac:dyDescent="0.2">
      <c r="A861" s="7"/>
      <c r="B861" s="2" t="s">
        <v>16</v>
      </c>
      <c r="C861" s="2"/>
      <c r="D861" s="2"/>
      <c r="E861" s="7"/>
      <c r="F861" s="7"/>
      <c r="G861" s="9" t="s">
        <v>2322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2.75" customHeight="1" x14ac:dyDescent="0.2">
      <c r="A862" s="7"/>
      <c r="B862" s="2" t="s">
        <v>17</v>
      </c>
      <c r="C862" s="2" t="s">
        <v>19</v>
      </c>
      <c r="D862" s="2"/>
      <c r="E862" s="7"/>
      <c r="F862" s="7"/>
      <c r="G862" s="9" t="s">
        <v>2322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2.75" customHeight="1" x14ac:dyDescent="0.2">
      <c r="A863" s="7"/>
      <c r="B863" s="2" t="s">
        <v>18</v>
      </c>
      <c r="C863" s="2" t="s">
        <v>1085</v>
      </c>
      <c r="D863" s="2" t="str">
        <f>HYPERLINK("javascript:void(0)","diszprózium")</f>
        <v>diszprózium</v>
      </c>
      <c r="E863" s="7"/>
      <c r="F863" s="7"/>
      <c r="G863" s="9" t="s">
        <v>2322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2.75" customHeight="1" x14ac:dyDescent="0.2">
      <c r="A864" s="7"/>
      <c r="B864" s="2"/>
      <c r="C864" s="2" t="s">
        <v>68</v>
      </c>
      <c r="D864" s="2" t="str">
        <f>HYPERLINK("javascript:void(0)","istenköröm")</f>
        <v>istenköröm</v>
      </c>
      <c r="E864" s="7"/>
      <c r="F864" s="7"/>
      <c r="G864" s="9" t="s">
        <v>2322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2.75" customHeight="1" x14ac:dyDescent="0.2">
      <c r="A865" s="7"/>
      <c r="B865" s="2"/>
      <c r="C865" s="2" t="s">
        <v>117</v>
      </c>
      <c r="D865" s="2" t="str">
        <f>HYPERLINK("javascript:void(0)","hordócsap")</f>
        <v>hordócsap</v>
      </c>
      <c r="E865" s="7"/>
      <c r="F865" s="7"/>
      <c r="G865" s="9" t="s">
        <v>2322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2.75" customHeight="1" x14ac:dyDescent="0.2">
      <c r="A866" s="7"/>
      <c r="B866" s="2"/>
      <c r="C866" s="2"/>
      <c r="D866" s="2"/>
      <c r="E866" s="7"/>
      <c r="F866" s="7"/>
      <c r="G866" s="9" t="s">
        <v>2322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2.75" customHeight="1" x14ac:dyDescent="0.2">
      <c r="A867" s="7"/>
      <c r="B867" s="2"/>
      <c r="C867" s="2"/>
      <c r="D867" s="2"/>
      <c r="E867" s="7"/>
      <c r="F867" s="7"/>
      <c r="G867" s="9" t="s">
        <v>2322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2.75" customHeight="1" x14ac:dyDescent="0.2">
      <c r="A868" s="7"/>
      <c r="B868" s="2"/>
      <c r="C868" s="2"/>
      <c r="D868" s="2"/>
      <c r="E868" s="7"/>
      <c r="F868" s="7"/>
      <c r="G868" s="9" t="s">
        <v>2322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2.75" customHeight="1" x14ac:dyDescent="0.2">
      <c r="A869" s="7"/>
      <c r="B869" s="2"/>
      <c r="C869" s="2"/>
      <c r="D869" s="2"/>
      <c r="E869" s="7"/>
      <c r="F869" s="7"/>
      <c r="G869" s="9" t="s">
        <v>2322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2.75" customHeight="1" x14ac:dyDescent="0.2">
      <c r="A870" s="7"/>
      <c r="B870" s="2"/>
      <c r="C870" s="2"/>
      <c r="D870" s="2"/>
      <c r="E870" s="7"/>
      <c r="F870" s="7"/>
      <c r="G870" s="9" t="s">
        <v>2322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2.75" customHeight="1" x14ac:dyDescent="0.2">
      <c r="A871" s="7" t="str">
        <f>HYPERLINK("javascript:void(0)","kithrill mellvért")</f>
        <v>kithrill mellvért</v>
      </c>
      <c r="B871" s="7"/>
      <c r="C871" s="7"/>
      <c r="D871" s="7"/>
      <c r="E871" s="7"/>
      <c r="F871" s="7"/>
      <c r="G871" s="9" t="s">
        <v>2322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2.75" customHeight="1" x14ac:dyDescent="0.2">
      <c r="A872" s="7"/>
      <c r="B872" s="2"/>
      <c r="C872" s="2"/>
      <c r="D872" s="2"/>
      <c r="E872" s="7"/>
      <c r="F872" s="7"/>
      <c r="G872" s="9" t="s">
        <v>2322</v>
      </c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2.75" customHeight="1" x14ac:dyDescent="0.2">
      <c r="A873" s="7"/>
      <c r="B873" s="2" t="s">
        <v>0</v>
      </c>
      <c r="C873" s="2" t="s">
        <v>58</v>
      </c>
      <c r="D873" s="2"/>
      <c r="E873" s="7"/>
      <c r="F873" s="7"/>
      <c r="G873" s="9" t="s">
        <v>2322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2.75" customHeight="1" x14ac:dyDescent="0.2">
      <c r="A874" s="7"/>
      <c r="B874" s="2" t="s">
        <v>2</v>
      </c>
      <c r="C874" s="2" t="s">
        <v>2322</v>
      </c>
      <c r="D874" s="2"/>
      <c r="E874" s="7"/>
      <c r="F874" s="7"/>
      <c r="G874" s="9" t="s">
        <v>2322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2.75" customHeight="1" x14ac:dyDescent="0.2">
      <c r="A875" s="7"/>
      <c r="B875" s="2" t="s">
        <v>1840</v>
      </c>
      <c r="C875" s="2" t="s">
        <v>2397</v>
      </c>
      <c r="D875" s="2"/>
      <c r="E875" s="7"/>
      <c r="F875" s="7"/>
      <c r="G875" s="9" t="s">
        <v>2322</v>
      </c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2.75" customHeight="1" x14ac:dyDescent="0.2">
      <c r="A876" s="7"/>
      <c r="B876" s="2" t="s">
        <v>9</v>
      </c>
      <c r="C876" s="2" t="s">
        <v>135</v>
      </c>
      <c r="D876" s="2"/>
      <c r="E876" s="7"/>
      <c r="F876" s="7"/>
      <c r="G876" s="9" t="s">
        <v>2322</v>
      </c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2.75" customHeight="1" x14ac:dyDescent="0.2">
      <c r="A877" s="7"/>
      <c r="B877" s="2" t="s">
        <v>11</v>
      </c>
      <c r="C877" s="2" t="s">
        <v>501</v>
      </c>
      <c r="D877" s="2"/>
      <c r="E877" s="7"/>
      <c r="F877" s="7"/>
      <c r="G877" s="9" t="s">
        <v>2322</v>
      </c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2.75" customHeight="1" x14ac:dyDescent="0.2">
      <c r="A878" s="7"/>
      <c r="B878" s="2" t="s">
        <v>16</v>
      </c>
      <c r="C878" s="2"/>
      <c r="D878" s="2"/>
      <c r="E878" s="7"/>
      <c r="F878" s="7"/>
      <c r="G878" s="9" t="s">
        <v>2322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2.75" customHeight="1" x14ac:dyDescent="0.2">
      <c r="A879" s="7"/>
      <c r="B879" s="2" t="s">
        <v>17</v>
      </c>
      <c r="C879" s="2" t="s">
        <v>19</v>
      </c>
      <c r="D879" s="2"/>
      <c r="E879" s="7"/>
      <c r="F879" s="7"/>
      <c r="G879" s="9" t="s">
        <v>2322</v>
      </c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2.75" customHeight="1" x14ac:dyDescent="0.2">
      <c r="A880" s="7"/>
      <c r="B880" s="2" t="s">
        <v>18</v>
      </c>
      <c r="C880" s="2" t="s">
        <v>44</v>
      </c>
      <c r="D880" s="2" t="str">
        <f>HYPERLINK("javascript:void(0)","dracoacél mellvért")</f>
        <v>dracoacél mellvért</v>
      </c>
      <c r="E880" s="7"/>
      <c r="F880" s="7"/>
      <c r="G880" s="9" t="s">
        <v>2322</v>
      </c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2.75" customHeight="1" x14ac:dyDescent="0.2">
      <c r="A881" s="7"/>
      <c r="B881" s="2"/>
      <c r="C881" s="2" t="s">
        <v>44</v>
      </c>
      <c r="D881" s="2" t="str">
        <f>HYPERLINK("javascript:void(0)","diszpro mellvért")</f>
        <v>diszpro mellvért</v>
      </c>
      <c r="E881" s="7"/>
      <c r="F881" s="7"/>
      <c r="G881" s="9" t="s">
        <v>2322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2.75" customHeight="1" x14ac:dyDescent="0.2">
      <c r="A882" s="7"/>
      <c r="B882" s="2"/>
      <c r="C882" s="2" t="s">
        <v>44</v>
      </c>
      <c r="D882" s="2" t="str">
        <f>HYPERLINK("javascript:void(0)","kithrill előlap")</f>
        <v>kithrill előlap</v>
      </c>
      <c r="E882" s="7"/>
      <c r="F882" s="7"/>
      <c r="G882" s="9" t="s">
        <v>2322</v>
      </c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2.75" customHeight="1" x14ac:dyDescent="0.2">
      <c r="A883" s="7"/>
      <c r="B883" s="2"/>
      <c r="C883" s="2"/>
      <c r="D883" s="2"/>
      <c r="E883" s="7"/>
      <c r="F883" s="7"/>
      <c r="G883" s="9" t="s">
        <v>2322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2.75" customHeight="1" x14ac:dyDescent="0.2">
      <c r="A884" s="7"/>
      <c r="B884" s="2"/>
      <c r="C884" s="2"/>
      <c r="D884" s="2"/>
      <c r="E884" s="7"/>
      <c r="F884" s="7"/>
      <c r="G884" s="9" t="s">
        <v>2322</v>
      </c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2.75" customHeight="1" x14ac:dyDescent="0.2">
      <c r="A885" s="7"/>
      <c r="B885" s="2"/>
      <c r="C885" s="2"/>
      <c r="D885" s="2"/>
      <c r="E885" s="7"/>
      <c r="F885" s="7"/>
      <c r="G885" s="9" t="s">
        <v>2322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2.75" customHeight="1" x14ac:dyDescent="0.2">
      <c r="A886" s="7"/>
      <c r="B886" s="2"/>
      <c r="C886" s="2"/>
      <c r="D886" s="2"/>
      <c r="E886" s="7"/>
      <c r="F886" s="7"/>
      <c r="G886" s="9" t="s">
        <v>2322</v>
      </c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12.75" customHeight="1" x14ac:dyDescent="0.2">
      <c r="A887" s="7"/>
      <c r="B887" s="2"/>
      <c r="C887" s="2"/>
      <c r="D887" s="2"/>
      <c r="E887" s="7"/>
      <c r="F887" s="7"/>
      <c r="G887" s="9" t="s">
        <v>2322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2.75" customHeight="1" x14ac:dyDescent="0.2">
      <c r="A888" s="7" t="str">
        <f>HYPERLINK("javascript:void(0)","kithrill előlap")</f>
        <v>kithrill előlap</v>
      </c>
      <c r="B888" s="7"/>
      <c r="C888" s="7"/>
      <c r="D888" s="7"/>
      <c r="E888" s="7"/>
      <c r="F888" s="7"/>
      <c r="G888" s="9" t="s">
        <v>2322</v>
      </c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2.75" customHeight="1" x14ac:dyDescent="0.2">
      <c r="A889" s="7"/>
      <c r="B889" s="2"/>
      <c r="C889" s="2"/>
      <c r="D889" s="2"/>
      <c r="E889" s="7"/>
      <c r="F889" s="7"/>
      <c r="G889" s="9" t="s">
        <v>2322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2.75" customHeight="1" x14ac:dyDescent="0.2">
      <c r="A890" s="7"/>
      <c r="B890" s="2" t="s">
        <v>0</v>
      </c>
      <c r="C890" s="2" t="s">
        <v>58</v>
      </c>
      <c r="D890" s="2"/>
      <c r="E890" s="7"/>
      <c r="F890" s="7"/>
      <c r="G890" s="9" t="s">
        <v>2322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2.75" customHeight="1" x14ac:dyDescent="0.2">
      <c r="A891" s="7"/>
      <c r="B891" s="2" t="s">
        <v>2</v>
      </c>
      <c r="C891" s="2" t="s">
        <v>2322</v>
      </c>
      <c r="D891" s="2"/>
      <c r="E891" s="7"/>
      <c r="F891" s="7"/>
      <c r="G891" s="9" t="s">
        <v>2322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2.75" customHeight="1" x14ac:dyDescent="0.2">
      <c r="A892" s="7"/>
      <c r="B892" s="2" t="s">
        <v>1840</v>
      </c>
      <c r="C892" s="2" t="s">
        <v>35</v>
      </c>
      <c r="D892" s="2"/>
      <c r="E892" s="7"/>
      <c r="F892" s="7"/>
      <c r="G892" s="9" t="s">
        <v>2322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2.75" customHeight="1" x14ac:dyDescent="0.2">
      <c r="A893" s="7"/>
      <c r="B893" s="2" t="s">
        <v>9</v>
      </c>
      <c r="C893" s="2" t="s">
        <v>79</v>
      </c>
      <c r="D893" s="2"/>
      <c r="E893" s="7"/>
      <c r="F893" s="7"/>
      <c r="G893" s="9" t="s">
        <v>2322</v>
      </c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2.75" customHeight="1" x14ac:dyDescent="0.2">
      <c r="A894" s="7"/>
      <c r="B894" s="2" t="s">
        <v>11</v>
      </c>
      <c r="C894" s="2" t="s">
        <v>339</v>
      </c>
      <c r="D894" s="2"/>
      <c r="E894" s="7"/>
      <c r="F894" s="7"/>
      <c r="G894" s="9" t="s">
        <v>2322</v>
      </c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2.75" customHeight="1" x14ac:dyDescent="0.2">
      <c r="A895" s="7"/>
      <c r="B895" s="2" t="s">
        <v>16</v>
      </c>
      <c r="C895" s="2"/>
      <c r="D895" s="2"/>
      <c r="E895" s="7"/>
      <c r="F895" s="7"/>
      <c r="G895" s="9" t="s">
        <v>2322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2.75" customHeight="1" x14ac:dyDescent="0.2">
      <c r="A896" s="7"/>
      <c r="B896" s="2" t="s">
        <v>17</v>
      </c>
      <c r="C896" s="2" t="s">
        <v>19</v>
      </c>
      <c r="D896" s="2"/>
      <c r="E896" s="7"/>
      <c r="F896" s="7"/>
      <c r="G896" s="9" t="s">
        <v>2322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2.75" customHeight="1" x14ac:dyDescent="0.2">
      <c r="A897" s="7"/>
      <c r="B897" s="2" t="s">
        <v>18</v>
      </c>
      <c r="C897" s="2" t="s">
        <v>1085</v>
      </c>
      <c r="D897" s="2" t="str">
        <f>HYPERLINK("javascript:void(0)","kithrill")</f>
        <v>kithrill</v>
      </c>
      <c r="E897" s="7"/>
      <c r="F897" s="7"/>
      <c r="G897" s="9" t="s">
        <v>2322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2.75" customHeight="1" x14ac:dyDescent="0.2">
      <c r="A898" s="7"/>
      <c r="B898" s="2"/>
      <c r="C898" s="2" t="s">
        <v>68</v>
      </c>
      <c r="D898" s="2" t="str">
        <f>HYPERLINK("javascript:void(0)","vérrög")</f>
        <v>vérrög</v>
      </c>
      <c r="E898" s="7"/>
      <c r="F898" s="7"/>
      <c r="G898" s="9" t="s">
        <v>2322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2.75" customHeight="1" x14ac:dyDescent="0.2">
      <c r="A899" s="7"/>
      <c r="B899" s="2"/>
      <c r="C899" s="2" t="s">
        <v>98</v>
      </c>
      <c r="D899" s="2" t="str">
        <f>HYPERLINK("javascript:void(0)","spóra")</f>
        <v>spóra</v>
      </c>
      <c r="E899" s="7"/>
      <c r="F899" s="7"/>
      <c r="G899" s="9" t="s">
        <v>2322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2.75" customHeight="1" x14ac:dyDescent="0.2">
      <c r="A900" s="7"/>
      <c r="B900" s="2"/>
      <c r="C900" s="2"/>
      <c r="D900" s="2"/>
      <c r="E900" s="7"/>
      <c r="F900" s="7"/>
      <c r="G900" s="9" t="s">
        <v>2322</v>
      </c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2.75" customHeight="1" x14ac:dyDescent="0.2">
      <c r="A901" s="7"/>
      <c r="B901" s="2"/>
      <c r="C901" s="2"/>
      <c r="D901" s="2"/>
      <c r="E901" s="7"/>
      <c r="F901" s="7"/>
      <c r="G901" s="9" t="s">
        <v>2322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2.75" customHeight="1" x14ac:dyDescent="0.2">
      <c r="A902" s="7"/>
      <c r="B902" s="2"/>
      <c r="C902" s="2"/>
      <c r="D902" s="2"/>
      <c r="E902" s="7"/>
      <c r="F902" s="7"/>
      <c r="G902" s="9" t="s">
        <v>2322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2.75" customHeight="1" x14ac:dyDescent="0.2">
      <c r="A903" s="7"/>
      <c r="B903" s="2"/>
      <c r="C903" s="2"/>
      <c r="D903" s="2"/>
      <c r="E903" s="7"/>
      <c r="F903" s="7"/>
      <c r="G903" s="9" t="s">
        <v>2322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2.75" customHeight="1" x14ac:dyDescent="0.2">
      <c r="A904" s="7"/>
      <c r="B904" s="2"/>
      <c r="C904" s="2"/>
      <c r="D904" s="2"/>
      <c r="E904" s="7"/>
      <c r="F904" s="7"/>
      <c r="G904" s="9" t="s">
        <v>2322</v>
      </c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12.75" customHeight="1" x14ac:dyDescent="0.2">
      <c r="A905" s="7" t="str">
        <f>HYPERLINK("javascript:void(0)","centro mellvért")</f>
        <v>centro mellvért</v>
      </c>
      <c r="B905" s="7"/>
      <c r="C905" s="7"/>
      <c r="D905" s="7"/>
      <c r="E905" s="7"/>
      <c r="F905" s="7"/>
      <c r="G905" s="9" t="s">
        <v>2322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2.75" customHeight="1" x14ac:dyDescent="0.2">
      <c r="A906" s="7"/>
      <c r="B906" s="2"/>
      <c r="C906" s="2"/>
      <c r="D906" s="2"/>
      <c r="E906" s="7"/>
      <c r="F906" s="7"/>
      <c r="G906" s="9" t="s">
        <v>2322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2.75" customHeight="1" x14ac:dyDescent="0.2">
      <c r="A907" s="7"/>
      <c r="B907" s="2" t="s">
        <v>0</v>
      </c>
      <c r="C907" s="2" t="s">
        <v>134</v>
      </c>
      <c r="D907" s="2"/>
      <c r="E907" s="7"/>
      <c r="F907" s="7"/>
      <c r="G907" s="9" t="s">
        <v>2322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2.75" customHeight="1" x14ac:dyDescent="0.2">
      <c r="A908" s="7"/>
      <c r="B908" s="2" t="s">
        <v>2</v>
      </c>
      <c r="C908" s="2" t="s">
        <v>2322</v>
      </c>
      <c r="D908" s="2"/>
      <c r="E908" s="7"/>
      <c r="F908" s="7"/>
      <c r="G908" s="9" t="s">
        <v>2322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2.75" customHeight="1" x14ac:dyDescent="0.2">
      <c r="A909" s="7"/>
      <c r="B909" s="2" t="s">
        <v>1840</v>
      </c>
      <c r="C909" s="2" t="s">
        <v>432</v>
      </c>
      <c r="D909" s="2"/>
      <c r="E909" s="7"/>
      <c r="F909" s="7"/>
      <c r="G909" s="9" t="s">
        <v>2322</v>
      </c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12.75" customHeight="1" x14ac:dyDescent="0.2">
      <c r="A910" s="7"/>
      <c r="B910" s="2" t="s">
        <v>9</v>
      </c>
      <c r="C910" s="2" t="s">
        <v>306</v>
      </c>
      <c r="D910" s="2"/>
      <c r="E910" s="7"/>
      <c r="F910" s="7"/>
      <c r="G910" s="9" t="s">
        <v>2322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2.75" customHeight="1" x14ac:dyDescent="0.2">
      <c r="A911" s="7"/>
      <c r="B911" s="2" t="s">
        <v>11</v>
      </c>
      <c r="C911" s="2" t="s">
        <v>514</v>
      </c>
      <c r="D911" s="2"/>
      <c r="E911" s="7"/>
      <c r="F911" s="7"/>
      <c r="G911" s="9" t="s">
        <v>2322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2.75" customHeight="1" x14ac:dyDescent="0.2">
      <c r="A912" s="7"/>
      <c r="B912" s="2" t="s">
        <v>16</v>
      </c>
      <c r="C912" s="2"/>
      <c r="D912" s="2"/>
      <c r="E912" s="7"/>
      <c r="F912" s="7"/>
      <c r="G912" s="9" t="s">
        <v>2322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2.75" customHeight="1" x14ac:dyDescent="0.2">
      <c r="A913" s="7"/>
      <c r="B913" s="2" t="s">
        <v>17</v>
      </c>
      <c r="C913" s="2" t="s">
        <v>19</v>
      </c>
      <c r="D913" s="2"/>
      <c r="E913" s="7"/>
      <c r="F913" s="7"/>
      <c r="G913" s="9" t="s">
        <v>2322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2.75" customHeight="1" x14ac:dyDescent="0.2">
      <c r="A914" s="7"/>
      <c r="B914" s="2" t="s">
        <v>18</v>
      </c>
      <c r="C914" s="2" t="s">
        <v>44</v>
      </c>
      <c r="D914" s="2" t="str">
        <f>HYPERLINK("javascript:void(0)","kithrill mellvért")</f>
        <v>kithrill mellvért</v>
      </c>
      <c r="E914" s="7"/>
      <c r="F914" s="7"/>
      <c r="G914" s="9" t="s">
        <v>2322</v>
      </c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2.75" customHeight="1" x14ac:dyDescent="0.2">
      <c r="A915" s="7"/>
      <c r="B915" s="2"/>
      <c r="C915" s="2" t="s">
        <v>163</v>
      </c>
      <c r="D915" s="2" t="str">
        <f>HYPERLINK("javascript:void(0)","centrolium")</f>
        <v>centrolium</v>
      </c>
      <c r="E915" s="7"/>
      <c r="F915" s="7"/>
      <c r="G915" s="9" t="s">
        <v>2322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12.75" customHeight="1" x14ac:dyDescent="0.2">
      <c r="A916" s="7"/>
      <c r="B916" s="2"/>
      <c r="C916" s="2" t="s">
        <v>68</v>
      </c>
      <c r="D916" s="2" t="str">
        <f>HYPERLINK("javascript:void(0)","űrlap")</f>
        <v>űrlap</v>
      </c>
      <c r="E916" s="7"/>
      <c r="F916" s="7"/>
      <c r="G916" s="9" t="s">
        <v>2322</v>
      </c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2.75" customHeight="1" x14ac:dyDescent="0.2">
      <c r="A917" s="7"/>
      <c r="B917" s="2"/>
      <c r="C917" s="2"/>
      <c r="D917" s="2"/>
      <c r="E917" s="7"/>
      <c r="F917" s="7"/>
      <c r="G917" s="9" t="s">
        <v>2322</v>
      </c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2.75" customHeight="1" x14ac:dyDescent="0.2">
      <c r="A918" s="7"/>
      <c r="B918" s="2"/>
      <c r="C918" s="2"/>
      <c r="D918" s="2"/>
      <c r="E918" s="7"/>
      <c r="F918" s="7"/>
      <c r="G918" s="9" t="s">
        <v>2322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2.75" customHeight="1" x14ac:dyDescent="0.2">
      <c r="A919" s="7"/>
      <c r="B919" s="2"/>
      <c r="C919" s="2"/>
      <c r="D919" s="2"/>
      <c r="E919" s="7"/>
      <c r="F919" s="7"/>
      <c r="G919" s="9" t="s">
        <v>2322</v>
      </c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2.75" customHeight="1" x14ac:dyDescent="0.2">
      <c r="A920" s="7"/>
      <c r="B920" s="2"/>
      <c r="C920" s="2"/>
      <c r="D920" s="2"/>
      <c r="E920" s="7"/>
      <c r="F920" s="7"/>
      <c r="G920" s="9" t="s">
        <v>2322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2.75" customHeight="1" x14ac:dyDescent="0.2">
      <c r="A921" s="7"/>
      <c r="B921" s="2"/>
      <c r="C921" s="2"/>
      <c r="D921" s="2"/>
      <c r="E921" s="7"/>
      <c r="F921" s="7"/>
      <c r="G921" s="9" t="s">
        <v>2322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12.75" customHeight="1" x14ac:dyDescent="0.2">
      <c r="A922" s="7" t="str">
        <f>HYPERLINK("javascript:void(0)","rotor sisakdísz")</f>
        <v>rotor sisakdísz</v>
      </c>
      <c r="B922" s="7"/>
      <c r="C922" s="7"/>
      <c r="D922" s="7"/>
      <c r="E922" s="7"/>
      <c r="F922" s="7"/>
      <c r="G922" s="9" t="s">
        <v>2322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2.75" customHeight="1" x14ac:dyDescent="0.2">
      <c r="A923" s="7"/>
      <c r="B923" s="2"/>
      <c r="C923" s="2"/>
      <c r="D923" s="2"/>
      <c r="E923" s="7"/>
      <c r="F923" s="7"/>
      <c r="G923" s="9" t="s">
        <v>2322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2.75" customHeight="1" x14ac:dyDescent="0.2">
      <c r="A924" s="7"/>
      <c r="B924" s="2" t="s">
        <v>0</v>
      </c>
      <c r="C924" s="2" t="s">
        <v>134</v>
      </c>
      <c r="D924" s="2"/>
      <c r="E924" s="7"/>
      <c r="F924" s="7"/>
      <c r="G924" s="9" t="s">
        <v>2322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2.75" customHeight="1" x14ac:dyDescent="0.2">
      <c r="A925" s="7"/>
      <c r="B925" s="2" t="s">
        <v>2</v>
      </c>
      <c r="C925" s="2" t="s">
        <v>2322</v>
      </c>
      <c r="D925" s="2"/>
      <c r="E925" s="7"/>
      <c r="F925" s="7"/>
      <c r="G925" s="9" t="s">
        <v>2322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2.75" customHeight="1" x14ac:dyDescent="0.2">
      <c r="A926" s="7"/>
      <c r="B926" s="2" t="s">
        <v>1840</v>
      </c>
      <c r="C926" s="2" t="s">
        <v>206</v>
      </c>
      <c r="D926" s="2"/>
      <c r="E926" s="7"/>
      <c r="F926" s="7"/>
      <c r="G926" s="9" t="s">
        <v>2322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2.75" customHeight="1" x14ac:dyDescent="0.2">
      <c r="A927" s="7"/>
      <c r="B927" s="2" t="s">
        <v>9</v>
      </c>
      <c r="C927" s="2" t="s">
        <v>84</v>
      </c>
      <c r="D927" s="2"/>
      <c r="E927" s="7"/>
      <c r="F927" s="7"/>
      <c r="G927" s="9" t="s">
        <v>2322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2.75" customHeight="1" x14ac:dyDescent="0.2">
      <c r="A928" s="7"/>
      <c r="B928" s="2" t="s">
        <v>11</v>
      </c>
      <c r="C928" s="2" t="s">
        <v>368</v>
      </c>
      <c r="D928" s="2"/>
      <c r="E928" s="7"/>
      <c r="F928" s="7"/>
      <c r="G928" s="9" t="s">
        <v>2322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12.75" customHeight="1" x14ac:dyDescent="0.2">
      <c r="A929" s="7"/>
      <c r="B929" s="2" t="s">
        <v>16</v>
      </c>
      <c r="C929" s="2"/>
      <c r="D929" s="2"/>
      <c r="E929" s="7"/>
      <c r="F929" s="7"/>
      <c r="G929" s="9" t="s">
        <v>2322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2.75" customHeight="1" x14ac:dyDescent="0.2">
      <c r="A930" s="7"/>
      <c r="B930" s="2" t="s">
        <v>17</v>
      </c>
      <c r="C930" s="2" t="s">
        <v>19</v>
      </c>
      <c r="D930" s="2"/>
      <c r="E930" s="7"/>
      <c r="F930" s="7"/>
      <c r="G930" s="9" t="s">
        <v>2322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2.75" customHeight="1" x14ac:dyDescent="0.2">
      <c r="A931" s="7"/>
      <c r="B931" s="2" t="s">
        <v>18</v>
      </c>
      <c r="C931" s="2" t="s">
        <v>67</v>
      </c>
      <c r="D931" s="2" t="str">
        <f>HYPERLINK("javascript:void(0)","rotorlapát")</f>
        <v>rotorlapát</v>
      </c>
      <c r="E931" s="7"/>
      <c r="F931" s="7"/>
      <c r="G931" s="9" t="s">
        <v>2322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2.75" customHeight="1" x14ac:dyDescent="0.2">
      <c r="A932" s="7"/>
      <c r="B932" s="2"/>
      <c r="C932" s="2" t="s">
        <v>193</v>
      </c>
      <c r="D932" s="2" t="str">
        <f>HYPERLINK("javascript:void(0)","sudár")</f>
        <v>sudár</v>
      </c>
      <c r="E932" s="7"/>
      <c r="F932" s="7"/>
      <c r="G932" s="9" t="s">
        <v>2322</v>
      </c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12.75" customHeight="1" x14ac:dyDescent="0.2">
      <c r="A933" s="7"/>
      <c r="B933" s="2"/>
      <c r="C933" s="2" t="s">
        <v>117</v>
      </c>
      <c r="D933" s="2" t="str">
        <f>HYPERLINK("javascript:void(0)","malacorr")</f>
        <v>malacorr</v>
      </c>
      <c r="E933" s="7"/>
      <c r="F933" s="7"/>
      <c r="G933" s="9" t="s">
        <v>2322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2.75" customHeight="1" x14ac:dyDescent="0.2">
      <c r="A934" s="7"/>
      <c r="B934" s="2"/>
      <c r="C934" s="2"/>
      <c r="D934" s="2"/>
      <c r="E934" s="7"/>
      <c r="F934" s="7"/>
      <c r="G934" s="9" t="s">
        <v>2322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2.75" customHeight="1" x14ac:dyDescent="0.2">
      <c r="A935" s="7"/>
      <c r="B935" s="2"/>
      <c r="C935" s="2"/>
      <c r="D935" s="2"/>
      <c r="E935" s="7"/>
      <c r="F935" s="7"/>
      <c r="G935" s="9" t="s">
        <v>2322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2.75" customHeight="1" x14ac:dyDescent="0.2">
      <c r="A936" s="7"/>
      <c r="B936" s="2"/>
      <c r="C936" s="2"/>
      <c r="D936" s="2"/>
      <c r="E936" s="7"/>
      <c r="F936" s="7"/>
      <c r="G936" s="9" t="s">
        <v>2322</v>
      </c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2.75" customHeight="1" x14ac:dyDescent="0.2">
      <c r="A937" s="7"/>
      <c r="B937" s="2"/>
      <c r="C937" s="2"/>
      <c r="D937" s="2"/>
      <c r="E937" s="7"/>
      <c r="F937" s="7"/>
      <c r="G937" s="9" t="s">
        <v>2322</v>
      </c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2.75" customHeight="1" x14ac:dyDescent="0.2">
      <c r="A938" s="7"/>
      <c r="B938" s="2"/>
      <c r="C938" s="2"/>
      <c r="D938" s="2"/>
      <c r="E938" s="7"/>
      <c r="F938" s="7"/>
      <c r="G938" s="9" t="s">
        <v>2322</v>
      </c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2.75" customHeight="1" x14ac:dyDescent="0.2">
      <c r="A939" s="7" t="str">
        <f>HYPERLINK("javascript:void(0)","gyíkacél mellvért")</f>
        <v>gyíkacél mellvért</v>
      </c>
      <c r="B939" s="7"/>
      <c r="C939" s="7"/>
      <c r="D939" s="7"/>
      <c r="E939" s="7"/>
      <c r="F939" s="7"/>
      <c r="G939" s="9" t="s">
        <v>2322</v>
      </c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2.75" customHeight="1" x14ac:dyDescent="0.2">
      <c r="A940" s="7"/>
      <c r="B940" s="2"/>
      <c r="C940" s="2"/>
      <c r="D940" s="2"/>
      <c r="E940" s="7"/>
      <c r="F940" s="7"/>
      <c r="G940" s="9" t="s">
        <v>2322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2.75" customHeight="1" x14ac:dyDescent="0.2">
      <c r="A941" s="7"/>
      <c r="B941" s="2" t="s">
        <v>0</v>
      </c>
      <c r="C941" s="2" t="s">
        <v>134</v>
      </c>
      <c r="D941" s="2"/>
      <c r="E941" s="7"/>
      <c r="F941" s="7"/>
      <c r="G941" s="9" t="s">
        <v>2322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2.75" customHeight="1" x14ac:dyDescent="0.2">
      <c r="A942" s="7"/>
      <c r="B942" s="2" t="s">
        <v>2</v>
      </c>
      <c r="C942" s="2" t="s">
        <v>2322</v>
      </c>
      <c r="D942" s="2"/>
      <c r="E942" s="7"/>
      <c r="F942" s="7"/>
      <c r="G942" s="9" t="s">
        <v>2322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2.75" customHeight="1" x14ac:dyDescent="0.2">
      <c r="A943" s="7"/>
      <c r="B943" s="2" t="s">
        <v>1840</v>
      </c>
      <c r="C943" s="2" t="s">
        <v>399</v>
      </c>
      <c r="D943" s="2"/>
      <c r="E943" s="7"/>
      <c r="F943" s="7"/>
      <c r="G943" s="9" t="s">
        <v>2322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2.75" customHeight="1" x14ac:dyDescent="0.2">
      <c r="A944" s="7"/>
      <c r="B944" s="2" t="s">
        <v>9</v>
      </c>
      <c r="C944" s="2" t="s">
        <v>262</v>
      </c>
      <c r="D944" s="2"/>
      <c r="E944" s="7"/>
      <c r="F944" s="7"/>
      <c r="G944" s="9" t="s">
        <v>2322</v>
      </c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2.75" customHeight="1" x14ac:dyDescent="0.2">
      <c r="A945" s="7"/>
      <c r="B945" s="2" t="s">
        <v>11</v>
      </c>
      <c r="C945" s="2" t="s">
        <v>350</v>
      </c>
      <c r="D945" s="2"/>
      <c r="E945" s="7"/>
      <c r="F945" s="7"/>
      <c r="G945" s="9" t="s">
        <v>2322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2.75" customHeight="1" x14ac:dyDescent="0.2">
      <c r="A946" s="7"/>
      <c r="B946" s="2" t="s">
        <v>16</v>
      </c>
      <c r="C946" s="2"/>
      <c r="D946" s="2"/>
      <c r="E946" s="7"/>
      <c r="F946" s="7"/>
      <c r="G946" s="9" t="s">
        <v>2322</v>
      </c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2.75" customHeight="1" x14ac:dyDescent="0.2">
      <c r="A947" s="7"/>
      <c r="B947" s="2" t="s">
        <v>17</v>
      </c>
      <c r="C947" s="2" t="s">
        <v>19</v>
      </c>
      <c r="D947" s="2"/>
      <c r="E947" s="7"/>
      <c r="F947" s="7"/>
      <c r="G947" s="9" t="s">
        <v>2322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2.75" customHeight="1" x14ac:dyDescent="0.2">
      <c r="A948" s="7"/>
      <c r="B948" s="2" t="s">
        <v>18</v>
      </c>
      <c r="C948" s="2" t="s">
        <v>1379</v>
      </c>
      <c r="D948" s="2" t="str">
        <f>HYPERLINK("javascript:void(0)","goblinbatka")</f>
        <v>goblinbatka</v>
      </c>
      <c r="E948" s="7"/>
      <c r="F948" s="7"/>
      <c r="G948" s="9" t="s">
        <v>2322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12.75" customHeight="1" x14ac:dyDescent="0.2">
      <c r="A949" s="7"/>
      <c r="B949" s="2"/>
      <c r="C949" s="2" t="s">
        <v>280</v>
      </c>
      <c r="D949" s="2" t="str">
        <f>HYPERLINK("javascript:void(0)","portgyűrű")</f>
        <v>portgyűrű</v>
      </c>
      <c r="E949" s="7"/>
      <c r="F949" s="7"/>
      <c r="G949" s="9" t="s">
        <v>2322</v>
      </c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2.75" customHeight="1" x14ac:dyDescent="0.2">
      <c r="A950" s="7"/>
      <c r="B950" s="2"/>
      <c r="C950" s="2" t="s">
        <v>280</v>
      </c>
      <c r="D950" s="2" t="str">
        <f>HYPERLINK("javascript:void(0)","szent szimbólum")</f>
        <v>szent szimbólum</v>
      </c>
      <c r="E950" s="7"/>
      <c r="F950" s="7"/>
      <c r="G950" s="9" t="s">
        <v>2322</v>
      </c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2.75" customHeight="1" x14ac:dyDescent="0.2">
      <c r="A951" s="7"/>
      <c r="B951" s="2"/>
      <c r="C951" s="2"/>
      <c r="D951" s="2"/>
      <c r="E951" s="7"/>
      <c r="F951" s="7"/>
      <c r="G951" s="9" t="s">
        <v>2322</v>
      </c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2.75" customHeight="1" x14ac:dyDescent="0.2">
      <c r="A952" s="7"/>
      <c r="B952" s="2"/>
      <c r="C952" s="2"/>
      <c r="D952" s="2"/>
      <c r="E952" s="7"/>
      <c r="F952" s="7"/>
      <c r="G952" s="9" t="s">
        <v>2322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2.75" customHeight="1" x14ac:dyDescent="0.2">
      <c r="A953" s="7"/>
      <c r="B953" s="2"/>
      <c r="C953" s="2"/>
      <c r="D953" s="2"/>
      <c r="E953" s="7"/>
      <c r="F953" s="7"/>
      <c r="G953" s="9" t="s">
        <v>2322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2.75" customHeight="1" x14ac:dyDescent="0.2">
      <c r="A954" s="7"/>
      <c r="B954" s="2"/>
      <c r="C954" s="2"/>
      <c r="D954" s="2"/>
      <c r="E954" s="7"/>
      <c r="F954" s="7"/>
      <c r="G954" s="9" t="s">
        <v>2322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2.75" customHeight="1" x14ac:dyDescent="0.2">
      <c r="A955" s="7"/>
      <c r="B955" s="2"/>
      <c r="C955" s="2"/>
      <c r="D955" s="2"/>
      <c r="E955" s="7"/>
      <c r="F955" s="7"/>
      <c r="G955" s="9" t="s">
        <v>2322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2.75" customHeight="1" x14ac:dyDescent="0.2">
      <c r="A956" s="7" t="str">
        <f>HYPERLINK("javascript:void(0)","csillámos felleghajtó")</f>
        <v>csillámos felleghajtó</v>
      </c>
      <c r="B956" s="7"/>
      <c r="C956" s="7"/>
      <c r="D956" s="7"/>
      <c r="E956" s="7"/>
      <c r="F956" s="7"/>
      <c r="G956" s="9" t="s">
        <v>2322</v>
      </c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2.75" customHeight="1" x14ac:dyDescent="0.2">
      <c r="A957" s="7"/>
      <c r="B957" s="2"/>
      <c r="C957" s="2"/>
      <c r="D957" s="2"/>
      <c r="E957" s="7"/>
      <c r="F957" s="7"/>
      <c r="G957" s="9" t="s">
        <v>2322</v>
      </c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2.75" customHeight="1" x14ac:dyDescent="0.2">
      <c r="A958" s="7"/>
      <c r="B958" s="2" t="s">
        <v>0</v>
      </c>
      <c r="C958" s="2" t="s">
        <v>134</v>
      </c>
      <c r="D958" s="2"/>
      <c r="E958" s="7"/>
      <c r="F958" s="7"/>
      <c r="G958" s="9" t="s">
        <v>2322</v>
      </c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2.75" customHeight="1" x14ac:dyDescent="0.2">
      <c r="A959" s="7"/>
      <c r="B959" s="2" t="s">
        <v>2</v>
      </c>
      <c r="C959" s="2" t="s">
        <v>2322</v>
      </c>
      <c r="D959" s="2"/>
      <c r="E959" s="7"/>
      <c r="F959" s="7"/>
      <c r="G959" s="9" t="s">
        <v>2322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2.75" customHeight="1" x14ac:dyDescent="0.2">
      <c r="A960" s="7"/>
      <c r="B960" s="2" t="s">
        <v>1840</v>
      </c>
      <c r="C960" s="2" t="s">
        <v>1788</v>
      </c>
      <c r="D960" s="2"/>
      <c r="E960" s="7"/>
      <c r="F960" s="7"/>
      <c r="G960" s="9" t="s">
        <v>2322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2.75" customHeight="1" x14ac:dyDescent="0.2">
      <c r="A961" s="7"/>
      <c r="B961" s="2" t="s">
        <v>9</v>
      </c>
      <c r="C961" s="2" t="s">
        <v>2402</v>
      </c>
      <c r="D961" s="2"/>
      <c r="E961" s="7"/>
      <c r="F961" s="7"/>
      <c r="G961" s="9" t="s">
        <v>2322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2.75" customHeight="1" x14ac:dyDescent="0.2">
      <c r="A962" s="7"/>
      <c r="B962" s="2" t="s">
        <v>11</v>
      </c>
      <c r="C962" s="2" t="s">
        <v>514</v>
      </c>
      <c r="D962" s="2"/>
      <c r="E962" s="7"/>
      <c r="F962" s="7"/>
      <c r="G962" s="9" t="s">
        <v>2322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2.75" customHeight="1" x14ac:dyDescent="0.2">
      <c r="A963" s="7"/>
      <c r="B963" s="2" t="s">
        <v>16</v>
      </c>
      <c r="C963" s="2"/>
      <c r="D963" s="2"/>
      <c r="E963" s="7"/>
      <c r="F963" s="7"/>
      <c r="G963" s="9" t="s">
        <v>2322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2.75" customHeight="1" x14ac:dyDescent="0.2">
      <c r="A964" s="7"/>
      <c r="B964" s="2" t="s">
        <v>17</v>
      </c>
      <c r="C964" s="2" t="s">
        <v>19</v>
      </c>
      <c r="D964" s="2"/>
      <c r="E964" s="7"/>
      <c r="F964" s="7"/>
      <c r="G964" s="9" t="s">
        <v>2322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12.75" customHeight="1" x14ac:dyDescent="0.2">
      <c r="A965" s="7"/>
      <c r="B965" s="2" t="s">
        <v>18</v>
      </c>
      <c r="C965" s="2" t="s">
        <v>57</v>
      </c>
      <c r="D965" s="2" t="str">
        <f>HYPERLINK("javascript:void(0)","csillámgöb")</f>
        <v>csillámgöb</v>
      </c>
      <c r="E965" s="7"/>
      <c r="F965" s="7"/>
      <c r="G965" s="9" t="s">
        <v>2322</v>
      </c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2.75" customHeight="1" x14ac:dyDescent="0.2">
      <c r="A966" s="7"/>
      <c r="B966" s="2"/>
      <c r="C966" s="2" t="s">
        <v>44</v>
      </c>
      <c r="D966" s="2" t="str">
        <f>HYPERLINK("javascript:void(0)","mellényes csillámköpeny")</f>
        <v>mellényes csillámköpeny</v>
      </c>
      <c r="E966" s="7"/>
      <c r="F966" s="7"/>
      <c r="G966" s="9" t="s">
        <v>2322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2.75" customHeight="1" x14ac:dyDescent="0.2">
      <c r="A967" s="7"/>
      <c r="B967" s="2"/>
      <c r="C967" s="2" t="s">
        <v>280</v>
      </c>
      <c r="D967" s="2" t="str">
        <f>HYPERLINK("javascript:void(0)","vászoning")</f>
        <v>vászoning</v>
      </c>
      <c r="E967" s="7"/>
      <c r="F967" s="7"/>
      <c r="G967" s="9" t="s">
        <v>2322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2.75" customHeight="1" x14ac:dyDescent="0.2">
      <c r="A968" s="7"/>
      <c r="B968" s="2"/>
      <c r="C968" s="2"/>
      <c r="D968" s="2"/>
      <c r="E968" s="7"/>
      <c r="F968" s="7"/>
      <c r="G968" s="9" t="s">
        <v>2322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2.75" customHeight="1" x14ac:dyDescent="0.2">
      <c r="A969" s="7"/>
      <c r="B969" s="2"/>
      <c r="C969" s="2"/>
      <c r="D969" s="2"/>
      <c r="E969" s="7"/>
      <c r="F969" s="7"/>
      <c r="G969" s="9" t="s">
        <v>2322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12.75" customHeight="1" x14ac:dyDescent="0.2">
      <c r="A970" s="7"/>
      <c r="B970" s="2"/>
      <c r="C970" s="2"/>
      <c r="D970" s="2"/>
      <c r="E970" s="7"/>
      <c r="F970" s="7"/>
      <c r="G970" s="9" t="s">
        <v>2322</v>
      </c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2.75" customHeight="1" x14ac:dyDescent="0.2">
      <c r="A971" s="7"/>
      <c r="B971" s="2"/>
      <c r="C971" s="2"/>
      <c r="D971" s="2"/>
      <c r="E971" s="7"/>
      <c r="F971" s="7"/>
      <c r="G971" s="9" t="s">
        <v>2322</v>
      </c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2.75" customHeight="1" x14ac:dyDescent="0.2">
      <c r="A972" s="7"/>
      <c r="B972" s="2"/>
      <c r="C972" s="2"/>
      <c r="D972" s="2"/>
      <c r="E972" s="7"/>
      <c r="F972" s="7"/>
      <c r="G972" s="9" t="s">
        <v>2322</v>
      </c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2.75" customHeight="1" x14ac:dyDescent="0.2">
      <c r="A973" s="7" t="str">
        <f>HYPERLINK("javascript:void(0)","hiperium mellvért")</f>
        <v>hiperium mellvért</v>
      </c>
      <c r="B973" s="7"/>
      <c r="C973" s="7"/>
      <c r="D973" s="7"/>
      <c r="E973" s="7"/>
      <c r="F973" s="7"/>
      <c r="G973" s="9" t="s">
        <v>2322</v>
      </c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2.75" customHeight="1" x14ac:dyDescent="0.2">
      <c r="A974" s="7"/>
      <c r="B974" s="2"/>
      <c r="C974" s="2"/>
      <c r="D974" s="2"/>
      <c r="E974" s="7"/>
      <c r="F974" s="7"/>
      <c r="G974" s="9" t="s">
        <v>2322</v>
      </c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2.75" customHeight="1" x14ac:dyDescent="0.2">
      <c r="A975" s="7"/>
      <c r="B975" s="2" t="s">
        <v>0</v>
      </c>
      <c r="C975" s="2" t="s">
        <v>376</v>
      </c>
      <c r="D975" s="2"/>
      <c r="E975" s="7"/>
      <c r="F975" s="7"/>
      <c r="G975" s="9" t="s">
        <v>2322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2.75" customHeight="1" x14ac:dyDescent="0.2">
      <c r="A976" s="7"/>
      <c r="B976" s="2" t="s">
        <v>2</v>
      </c>
      <c r="C976" s="2" t="s">
        <v>2322</v>
      </c>
      <c r="D976" s="2"/>
      <c r="E976" s="7"/>
      <c r="F976" s="7"/>
      <c r="G976" s="9" t="s">
        <v>2322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12.75" customHeight="1" x14ac:dyDescent="0.2">
      <c r="A977" s="7"/>
      <c r="B977" s="2" t="s">
        <v>1840</v>
      </c>
      <c r="C977" s="2" t="s">
        <v>426</v>
      </c>
      <c r="D977" s="2"/>
      <c r="E977" s="7"/>
      <c r="F977" s="7"/>
      <c r="G977" s="9" t="s">
        <v>2322</v>
      </c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2.75" customHeight="1" x14ac:dyDescent="0.2">
      <c r="A978" s="7"/>
      <c r="B978" s="2" t="s">
        <v>9</v>
      </c>
      <c r="C978" s="2" t="s">
        <v>200</v>
      </c>
      <c r="D978" s="2"/>
      <c r="E978" s="7"/>
      <c r="F978" s="7"/>
      <c r="G978" s="9" t="s">
        <v>2322</v>
      </c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2.75" customHeight="1" x14ac:dyDescent="0.2">
      <c r="A979" s="7"/>
      <c r="B979" s="2" t="s">
        <v>11</v>
      </c>
      <c r="C979" s="2" t="s">
        <v>523</v>
      </c>
      <c r="D979" s="2"/>
      <c r="E979" s="7"/>
      <c r="F979" s="7"/>
      <c r="G979" s="9" t="s">
        <v>2322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12.75" customHeight="1" x14ac:dyDescent="0.2">
      <c r="A980" s="7"/>
      <c r="B980" s="2" t="s">
        <v>16</v>
      </c>
      <c r="C980" s="2"/>
      <c r="D980" s="2"/>
      <c r="E980" s="7"/>
      <c r="F980" s="7"/>
      <c r="G980" s="9" t="s">
        <v>2322</v>
      </c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2.75" customHeight="1" x14ac:dyDescent="0.2">
      <c r="A981" s="7"/>
      <c r="B981" s="2" t="s">
        <v>17</v>
      </c>
      <c r="C981" s="2" t="s">
        <v>19</v>
      </c>
      <c r="D981" s="2"/>
      <c r="E981" s="7"/>
      <c r="F981" s="7"/>
      <c r="G981" s="9" t="s">
        <v>2322</v>
      </c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2.75" customHeight="1" x14ac:dyDescent="0.2">
      <c r="A982" s="7"/>
      <c r="B982" s="2" t="s">
        <v>18</v>
      </c>
      <c r="C982" s="2" t="s">
        <v>163</v>
      </c>
      <c r="D982" s="2" t="str">
        <f>HYPERLINK("javascript:void(0)","csontszilánk")</f>
        <v>csontszilánk</v>
      </c>
      <c r="E982" s="7"/>
      <c r="F982" s="7"/>
      <c r="G982" s="9" t="s">
        <v>2322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2.75" customHeight="1" x14ac:dyDescent="0.2">
      <c r="A983" s="7"/>
      <c r="B983" s="2"/>
      <c r="C983" s="2" t="s">
        <v>117</v>
      </c>
      <c r="D983" s="2" t="str">
        <f>HYPERLINK("javascript:void(0)","istenköröm")</f>
        <v>istenköröm</v>
      </c>
      <c r="E983" s="7"/>
      <c r="F983" s="7"/>
      <c r="G983" s="9" t="s">
        <v>2322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2.75" customHeight="1" x14ac:dyDescent="0.2">
      <c r="A984" s="7"/>
      <c r="B984" s="2"/>
      <c r="C984" s="2" t="s">
        <v>369</v>
      </c>
      <c r="D984" s="2" t="str">
        <f>HYPERLINK("javascript:void(0)","sudár")</f>
        <v>sudár</v>
      </c>
      <c r="E984" s="7"/>
      <c r="F984" s="7"/>
      <c r="G984" s="9" t="s">
        <v>2322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2.75" customHeight="1" x14ac:dyDescent="0.2">
      <c r="A985" s="7"/>
      <c r="B985" s="2"/>
      <c r="C985" s="2"/>
      <c r="D985" s="2"/>
      <c r="E985" s="7"/>
      <c r="F985" s="7"/>
      <c r="G985" s="9" t="s">
        <v>2322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2.75" customHeight="1" x14ac:dyDescent="0.2">
      <c r="A986" s="7"/>
      <c r="B986" s="2"/>
      <c r="C986" s="2"/>
      <c r="D986" s="2"/>
      <c r="E986" s="7"/>
      <c r="F986" s="7"/>
      <c r="G986" s="9" t="s">
        <v>2322</v>
      </c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2.75" customHeight="1" x14ac:dyDescent="0.2">
      <c r="A987" s="7"/>
      <c r="B987" s="2"/>
      <c r="C987" s="2"/>
      <c r="D987" s="2"/>
      <c r="E987" s="7"/>
      <c r="F987" s="7"/>
      <c r="G987" s="9" t="s">
        <v>2322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2.75" customHeight="1" x14ac:dyDescent="0.2">
      <c r="A988" s="7"/>
      <c r="B988" s="2"/>
      <c r="C988" s="2"/>
      <c r="D988" s="2"/>
      <c r="E988" s="7"/>
      <c r="F988" s="7"/>
      <c r="G988" s="9" t="s">
        <v>2322</v>
      </c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12.75" customHeight="1" x14ac:dyDescent="0.2">
      <c r="A989" s="7"/>
      <c r="B989" s="2"/>
      <c r="C989" s="2"/>
      <c r="D989" s="2"/>
      <c r="E989" s="7"/>
      <c r="F989" s="7"/>
      <c r="G989" s="9" t="s">
        <v>2322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2.75" customHeight="1" x14ac:dyDescent="0.2">
      <c r="A990" s="7" t="str">
        <f>HYPERLINK("javascript:void(0)","kompózium mellvért")</f>
        <v>kompózium mellvért</v>
      </c>
      <c r="B990" s="7"/>
      <c r="C990" s="7"/>
      <c r="D990" s="7"/>
      <c r="E990" s="7"/>
      <c r="F990" s="7"/>
      <c r="G990" s="9" t="s">
        <v>2322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2.75" customHeight="1" x14ac:dyDescent="0.2">
      <c r="A991" s="7"/>
      <c r="B991" s="2"/>
      <c r="C991" s="2"/>
      <c r="D991" s="2"/>
      <c r="E991" s="7"/>
      <c r="F991" s="7"/>
      <c r="G991" s="9" t="s">
        <v>2322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2.75" customHeight="1" x14ac:dyDescent="0.2">
      <c r="A992" s="7"/>
      <c r="B992" s="2" t="s">
        <v>0</v>
      </c>
      <c r="C992" s="2" t="s">
        <v>60</v>
      </c>
      <c r="D992" s="2"/>
      <c r="E992" s="7"/>
      <c r="F992" s="7"/>
      <c r="G992" s="9" t="s">
        <v>2322</v>
      </c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ht="12.75" customHeight="1" x14ac:dyDescent="0.2">
      <c r="A993" s="7"/>
      <c r="B993" s="2" t="s">
        <v>2</v>
      </c>
      <c r="C993" s="2" t="s">
        <v>2322</v>
      </c>
      <c r="D993" s="2"/>
      <c r="E993" s="7"/>
      <c r="F993" s="7"/>
      <c r="G993" s="9" t="s">
        <v>2322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 ht="12.75" customHeight="1" x14ac:dyDescent="0.2">
      <c r="A994" s="7"/>
      <c r="B994" s="2" t="s">
        <v>1840</v>
      </c>
      <c r="C994" s="2" t="s">
        <v>496</v>
      </c>
      <c r="D994" s="2"/>
      <c r="E994" s="7"/>
      <c r="F994" s="7"/>
      <c r="G994" s="9" t="s">
        <v>2322</v>
      </c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ht="12.75" customHeight="1" x14ac:dyDescent="0.2">
      <c r="A995" s="7"/>
      <c r="B995" s="2" t="s">
        <v>9</v>
      </c>
      <c r="C995" s="2" t="s">
        <v>233</v>
      </c>
      <c r="D995" s="2"/>
      <c r="E995" s="7"/>
      <c r="F995" s="7"/>
      <c r="G995" s="9" t="s">
        <v>2322</v>
      </c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12.75" customHeight="1" x14ac:dyDescent="0.2">
      <c r="A996" s="7"/>
      <c r="B996" s="2" t="s">
        <v>11</v>
      </c>
      <c r="C996" s="2" t="s">
        <v>536</v>
      </c>
      <c r="D996" s="2"/>
      <c r="E996" s="7"/>
      <c r="F996" s="7"/>
      <c r="G996" s="9" t="s">
        <v>2322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12.75" customHeight="1" x14ac:dyDescent="0.2">
      <c r="A997" s="7"/>
      <c r="B997" s="2" t="s">
        <v>16</v>
      </c>
      <c r="C997" s="2"/>
      <c r="D997" s="2"/>
      <c r="E997" s="7"/>
      <c r="F997" s="7"/>
      <c r="G997" s="9" t="s">
        <v>2322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ht="12.75" customHeight="1" x14ac:dyDescent="0.2">
      <c r="A998" s="7"/>
      <c r="B998" s="2" t="s">
        <v>17</v>
      </c>
      <c r="C998" s="2" t="s">
        <v>19</v>
      </c>
      <c r="D998" s="2"/>
      <c r="E998" s="7"/>
      <c r="F998" s="7"/>
      <c r="G998" s="9" t="s">
        <v>2322</v>
      </c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spans="1:18" ht="12.75" customHeight="1" x14ac:dyDescent="0.2">
      <c r="A999" s="7"/>
      <c r="B999" s="2" t="s">
        <v>18</v>
      </c>
      <c r="C999" s="2" t="s">
        <v>44</v>
      </c>
      <c r="D999" s="2" t="str">
        <f>HYPERLINK("javascript:void(0)","centro mellvért")</f>
        <v>centro mellvért</v>
      </c>
      <c r="E999" s="7"/>
      <c r="F999" s="7"/>
      <c r="G999" s="9" t="s">
        <v>2322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spans="1:18" ht="12.75" customHeight="1" x14ac:dyDescent="0.2">
      <c r="A1000" s="7"/>
      <c r="B1000" s="2"/>
      <c r="C1000" s="2" t="s">
        <v>44</v>
      </c>
      <c r="D1000" s="2" t="str">
        <f>HYPERLINK("javascript:void(0)","hiperium mellvért")</f>
        <v>hiperium mellvért</v>
      </c>
      <c r="E1000" s="7"/>
      <c r="F1000" s="7"/>
      <c r="G1000" s="9" t="s">
        <v>2322</v>
      </c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  <row r="1001" spans="1:18" ht="12.75" customHeight="1" x14ac:dyDescent="0.2">
      <c r="A1001" s="7"/>
      <c r="B1001" s="2"/>
      <c r="C1001" s="2" t="s">
        <v>44</v>
      </c>
      <c r="D1001" s="2" t="str">
        <f>HYPERLINK("javascript:void(0)","kompózium előlap")</f>
        <v>kompózium előlap</v>
      </c>
      <c r="E1001" s="7"/>
      <c r="F1001" s="7"/>
      <c r="G1001" s="9" t="s">
        <v>2322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</row>
    <row r="1002" spans="1:18" ht="12.75" customHeight="1" x14ac:dyDescent="0.2">
      <c r="A1002" s="7"/>
      <c r="B1002" s="2"/>
      <c r="C1002" s="2"/>
      <c r="D1002" s="2"/>
      <c r="E1002" s="7"/>
      <c r="F1002" s="7"/>
      <c r="G1002" s="9" t="s">
        <v>2322</v>
      </c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</row>
    <row r="1003" spans="1:18" ht="12.75" customHeight="1" x14ac:dyDescent="0.2">
      <c r="A1003" s="7"/>
      <c r="B1003" s="2"/>
      <c r="C1003" s="2"/>
      <c r="D1003" s="2"/>
      <c r="E1003" s="7"/>
      <c r="F1003" s="7"/>
      <c r="G1003" s="9" t="s">
        <v>2322</v>
      </c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</row>
    <row r="1004" spans="1:18" ht="12.75" customHeight="1" x14ac:dyDescent="0.2">
      <c r="A1004" s="7"/>
      <c r="B1004" s="2"/>
      <c r="C1004" s="2"/>
      <c r="D1004" s="2"/>
      <c r="E1004" s="7"/>
      <c r="F1004" s="7"/>
      <c r="G1004" s="9" t="s">
        <v>2322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</row>
    <row r="1005" spans="1:18" ht="12.75" customHeight="1" x14ac:dyDescent="0.2">
      <c r="A1005" s="7"/>
      <c r="B1005" s="2"/>
      <c r="C1005" s="2"/>
      <c r="D1005" s="2"/>
      <c r="E1005" s="7"/>
      <c r="F1005" s="7"/>
      <c r="G1005" s="9" t="s">
        <v>2322</v>
      </c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</row>
    <row r="1006" spans="1:18" ht="12.75" customHeight="1" x14ac:dyDescent="0.2">
      <c r="A1006" s="7"/>
      <c r="B1006" s="2"/>
      <c r="C1006" s="2"/>
      <c r="D1006" s="2"/>
      <c r="E1006" s="7"/>
      <c r="F1006" s="7"/>
      <c r="G1006" s="9" t="s">
        <v>2322</v>
      </c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</row>
    <row r="1007" spans="1:18" ht="12.75" customHeight="1" x14ac:dyDescent="0.2">
      <c r="A1007" s="7" t="str">
        <f>HYPERLINK("javascript:void(0)","kompózium előlap")</f>
        <v>kompózium előlap</v>
      </c>
      <c r="B1007" s="7"/>
      <c r="C1007" s="7"/>
      <c r="D1007" s="7"/>
      <c r="E1007" s="7"/>
      <c r="F1007" s="7"/>
      <c r="G1007" s="9" t="s">
        <v>2322</v>
      </c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</row>
    <row r="1008" spans="1:18" ht="12.75" customHeight="1" x14ac:dyDescent="0.2">
      <c r="A1008" s="7"/>
      <c r="B1008" s="2"/>
      <c r="C1008" s="2"/>
      <c r="D1008" s="2"/>
      <c r="E1008" s="7"/>
      <c r="F1008" s="7"/>
      <c r="G1008" s="9" t="s">
        <v>2322</v>
      </c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</row>
    <row r="1009" spans="1:18" ht="12.75" customHeight="1" x14ac:dyDescent="0.2">
      <c r="A1009" s="7"/>
      <c r="B1009" s="2" t="s">
        <v>0</v>
      </c>
      <c r="C1009" s="2" t="s">
        <v>60</v>
      </c>
      <c r="D1009" s="2"/>
      <c r="E1009" s="7"/>
      <c r="F1009" s="7"/>
      <c r="G1009" s="9" t="s">
        <v>2322</v>
      </c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</row>
    <row r="1010" spans="1:18" ht="12.75" customHeight="1" x14ac:dyDescent="0.2">
      <c r="A1010" s="7"/>
      <c r="B1010" s="2" t="s">
        <v>2</v>
      </c>
      <c r="C1010" s="2" t="s">
        <v>2322</v>
      </c>
      <c r="D1010" s="2"/>
      <c r="E1010" s="7"/>
      <c r="F1010" s="7"/>
      <c r="G1010" s="9" t="s">
        <v>2322</v>
      </c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</row>
    <row r="1011" spans="1:18" ht="12.75" customHeight="1" x14ac:dyDescent="0.2">
      <c r="A1011" s="7"/>
      <c r="B1011" s="2" t="s">
        <v>1840</v>
      </c>
      <c r="C1011" s="2" t="s">
        <v>157</v>
      </c>
      <c r="D1011" s="2"/>
      <c r="E1011" s="7"/>
      <c r="F1011" s="7"/>
      <c r="G1011" s="9" t="s">
        <v>2322</v>
      </c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</row>
    <row r="1012" spans="1:18" ht="12.75" customHeight="1" x14ac:dyDescent="0.2">
      <c r="A1012" s="7"/>
      <c r="B1012" s="2" t="s">
        <v>9</v>
      </c>
      <c r="C1012" s="2" t="s">
        <v>84</v>
      </c>
      <c r="D1012" s="2"/>
      <c r="E1012" s="7"/>
      <c r="F1012" s="7"/>
      <c r="G1012" s="9" t="s">
        <v>2322</v>
      </c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</row>
    <row r="1013" spans="1:18" ht="12.75" customHeight="1" x14ac:dyDescent="0.2">
      <c r="A1013" s="7"/>
      <c r="B1013" s="2" t="s">
        <v>11</v>
      </c>
      <c r="C1013" s="2" t="s">
        <v>368</v>
      </c>
      <c r="D1013" s="2"/>
      <c r="E1013" s="7"/>
      <c r="F1013" s="7"/>
      <c r="G1013" s="9" t="s">
        <v>2322</v>
      </c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</row>
    <row r="1014" spans="1:18" ht="12.75" customHeight="1" x14ac:dyDescent="0.2">
      <c r="A1014" s="7"/>
      <c r="B1014" s="2" t="s">
        <v>16</v>
      </c>
      <c r="C1014" s="2"/>
      <c r="D1014" s="2"/>
      <c r="E1014" s="7"/>
      <c r="F1014" s="7"/>
      <c r="G1014" s="9" t="s">
        <v>2322</v>
      </c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</row>
    <row r="1015" spans="1:18" ht="12.75" customHeight="1" x14ac:dyDescent="0.2">
      <c r="A1015" s="7"/>
      <c r="B1015" s="2" t="s">
        <v>17</v>
      </c>
      <c r="C1015" s="2" t="s">
        <v>19</v>
      </c>
      <c r="D1015" s="2"/>
      <c r="E1015" s="7"/>
      <c r="F1015" s="7"/>
      <c r="G1015" s="9" t="s">
        <v>2322</v>
      </c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</row>
    <row r="1016" spans="1:18" ht="12.75" customHeight="1" x14ac:dyDescent="0.2">
      <c r="A1016" s="7"/>
      <c r="B1016" s="2" t="s">
        <v>18</v>
      </c>
      <c r="C1016" s="2" t="s">
        <v>77</v>
      </c>
      <c r="D1016" s="2" t="str">
        <f>HYPERLINK("javascript:void(0)","kompózium")</f>
        <v>kompózium</v>
      </c>
      <c r="E1016" s="7"/>
      <c r="F1016" s="7"/>
      <c r="G1016" s="9" t="s">
        <v>2322</v>
      </c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</row>
    <row r="1017" spans="1:18" ht="12.75" customHeight="1" x14ac:dyDescent="0.2">
      <c r="A1017" s="7"/>
      <c r="B1017" s="2"/>
      <c r="C1017" s="2" t="s">
        <v>142</v>
      </c>
      <c r="D1017" s="2" t="str">
        <f>HYPERLINK("javascript:void(0)","igeidő")</f>
        <v>igeidő</v>
      </c>
      <c r="E1017" s="7"/>
      <c r="F1017" s="7"/>
      <c r="G1017" s="9" t="s">
        <v>2322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</row>
    <row r="1018" spans="1:18" ht="12.75" customHeight="1" x14ac:dyDescent="0.2">
      <c r="A1018" s="7"/>
      <c r="B1018" s="2"/>
      <c r="C1018" s="2" t="s">
        <v>117</v>
      </c>
      <c r="D1018" s="2" t="str">
        <f>HYPERLINK("javascript:void(0)","rozsdalap")</f>
        <v>rozsdalap</v>
      </c>
      <c r="E1018" s="7"/>
      <c r="F1018" s="7"/>
      <c r="G1018" s="9" t="s">
        <v>2322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</row>
    <row r="1019" spans="1:18" ht="12.75" customHeight="1" x14ac:dyDescent="0.2">
      <c r="A1019" s="7"/>
      <c r="B1019" s="2"/>
      <c r="C1019" s="2"/>
      <c r="D1019" s="2"/>
      <c r="E1019" s="7"/>
      <c r="F1019" s="7"/>
      <c r="G1019" s="9" t="s">
        <v>2322</v>
      </c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</row>
    <row r="1020" spans="1:18" ht="12.75" customHeight="1" x14ac:dyDescent="0.2">
      <c r="A1020" s="7"/>
      <c r="B1020" s="2"/>
      <c r="C1020" s="2"/>
      <c r="D1020" s="2"/>
      <c r="E1020" s="7"/>
      <c r="F1020" s="7"/>
      <c r="G1020" s="9" t="s">
        <v>2322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</row>
    <row r="1021" spans="1:18" ht="12.75" customHeight="1" x14ac:dyDescent="0.2">
      <c r="A1021" s="7"/>
      <c r="B1021" s="2"/>
      <c r="C1021" s="2"/>
      <c r="D1021" s="2"/>
      <c r="E1021" s="7"/>
      <c r="F1021" s="7"/>
      <c r="G1021" s="9" t="s">
        <v>2322</v>
      </c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</row>
    <row r="1022" spans="1:18" ht="12.75" customHeight="1" x14ac:dyDescent="0.2">
      <c r="A1022" s="7"/>
      <c r="B1022" s="2"/>
      <c r="C1022" s="2"/>
      <c r="D1022" s="2"/>
      <c r="E1022" s="7"/>
      <c r="F1022" s="7"/>
      <c r="G1022" s="9" t="s">
        <v>2322</v>
      </c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</row>
    <row r="1023" spans="1:18" ht="12.75" customHeight="1" x14ac:dyDescent="0.2">
      <c r="A1023" s="7"/>
      <c r="B1023" s="2"/>
      <c r="C1023" s="2"/>
      <c r="D1023" s="2"/>
      <c r="E1023" s="7"/>
      <c r="F1023" s="7"/>
      <c r="G1023" s="9" t="s">
        <v>2322</v>
      </c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</row>
    <row r="1024" spans="1:18" ht="12.75" customHeight="1" x14ac:dyDescent="0.2">
      <c r="A1024" s="7" t="str">
        <f>HYPERLINK("javascript:void(0)","elfacél mellvért")</f>
        <v>elfacél mellvért</v>
      </c>
      <c r="B1024" s="7"/>
      <c r="C1024" s="7"/>
      <c r="D1024" s="7"/>
      <c r="E1024" s="7"/>
      <c r="F1024" s="7"/>
      <c r="G1024" s="9" t="s">
        <v>2322</v>
      </c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</row>
    <row r="1025" spans="1:18" ht="12.75" customHeight="1" x14ac:dyDescent="0.2">
      <c r="A1025" s="7"/>
      <c r="B1025" s="2"/>
      <c r="C1025" s="2"/>
      <c r="D1025" s="2"/>
      <c r="E1025" s="7"/>
      <c r="F1025" s="7"/>
      <c r="G1025" s="9" t="s">
        <v>2322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</row>
    <row r="1026" spans="1:18" ht="12.75" customHeight="1" x14ac:dyDescent="0.2">
      <c r="A1026" s="7"/>
      <c r="B1026" s="2" t="s">
        <v>0</v>
      </c>
      <c r="C1026" s="2" t="s">
        <v>167</v>
      </c>
      <c r="D1026" s="2"/>
      <c r="E1026" s="7"/>
      <c r="F1026" s="7"/>
      <c r="G1026" s="9" t="s">
        <v>2322</v>
      </c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</row>
    <row r="1027" spans="1:18" ht="12.75" customHeight="1" x14ac:dyDescent="0.2">
      <c r="A1027" s="7"/>
      <c r="B1027" s="2" t="s">
        <v>2</v>
      </c>
      <c r="C1027" s="2" t="s">
        <v>2322</v>
      </c>
      <c r="D1027" s="2"/>
      <c r="E1027" s="7"/>
      <c r="F1027" s="7"/>
      <c r="G1027" s="9" t="s">
        <v>2322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</row>
    <row r="1028" spans="1:18" ht="12.75" customHeight="1" x14ac:dyDescent="0.2">
      <c r="A1028" s="7"/>
      <c r="B1028" s="2" t="s">
        <v>1840</v>
      </c>
      <c r="C1028" s="2" t="s">
        <v>482</v>
      </c>
      <c r="D1028" s="2"/>
      <c r="E1028" s="7"/>
      <c r="F1028" s="7"/>
      <c r="G1028" s="9" t="s">
        <v>2322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</row>
    <row r="1029" spans="1:18" ht="12.75" customHeight="1" x14ac:dyDescent="0.2">
      <c r="A1029" s="7"/>
      <c r="B1029" s="2" t="s">
        <v>9</v>
      </c>
      <c r="C1029" s="2" t="s">
        <v>172</v>
      </c>
      <c r="D1029" s="2"/>
      <c r="E1029" s="7"/>
      <c r="F1029" s="7"/>
      <c r="G1029" s="9" t="s">
        <v>2322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</row>
    <row r="1030" spans="1:18" ht="12.75" customHeight="1" x14ac:dyDescent="0.2">
      <c r="A1030" s="7"/>
      <c r="B1030" s="2" t="s">
        <v>11</v>
      </c>
      <c r="C1030" s="2" t="s">
        <v>542</v>
      </c>
      <c r="D1030" s="2"/>
      <c r="E1030" s="7"/>
      <c r="F1030" s="7"/>
      <c r="G1030" s="9" t="s">
        <v>2322</v>
      </c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</row>
    <row r="1031" spans="1:18" ht="12.75" customHeight="1" x14ac:dyDescent="0.2">
      <c r="A1031" s="7"/>
      <c r="B1031" s="2" t="s">
        <v>16</v>
      </c>
      <c r="C1031" s="2"/>
      <c r="D1031" s="2"/>
      <c r="E1031" s="7"/>
      <c r="F1031" s="7"/>
      <c r="G1031" s="9" t="s">
        <v>2322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</row>
    <row r="1032" spans="1:18" ht="12.75" customHeight="1" x14ac:dyDescent="0.2">
      <c r="A1032" s="7"/>
      <c r="B1032" s="2" t="s">
        <v>17</v>
      </c>
      <c r="C1032" s="2" t="s">
        <v>19</v>
      </c>
      <c r="D1032" s="2"/>
      <c r="E1032" s="7"/>
      <c r="F1032" s="7"/>
      <c r="G1032" s="9" t="s">
        <v>2322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</row>
    <row r="1033" spans="1:18" ht="12.75" customHeight="1" x14ac:dyDescent="0.2">
      <c r="A1033" s="7"/>
      <c r="B1033" s="2" t="s">
        <v>18</v>
      </c>
      <c r="C1033" s="2" t="s">
        <v>44</v>
      </c>
      <c r="D1033" s="2" t="str">
        <f>HYPERLINK("javascript:void(0)","kompózium mellvért")</f>
        <v>kompózium mellvért</v>
      </c>
      <c r="E1033" s="7"/>
      <c r="F1033" s="7"/>
      <c r="G1033" s="9" t="s">
        <v>2322</v>
      </c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</row>
    <row r="1034" spans="1:18" ht="12.75" customHeight="1" x14ac:dyDescent="0.2">
      <c r="A1034" s="7"/>
      <c r="B1034" s="2"/>
      <c r="C1034" s="2" t="s">
        <v>244</v>
      </c>
      <c r="D1034" s="2" t="str">
        <f>HYPERLINK("javascript:void(0)","hörcsögagyar")</f>
        <v>hörcsögagyar</v>
      </c>
      <c r="E1034" s="7"/>
      <c r="F1034" s="7"/>
      <c r="G1034" s="9" t="s">
        <v>2322</v>
      </c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</row>
    <row r="1035" spans="1:18" ht="12.75" customHeight="1" x14ac:dyDescent="0.2">
      <c r="A1035" s="7"/>
      <c r="B1035" s="2"/>
      <c r="C1035" s="2" t="s">
        <v>290</v>
      </c>
      <c r="D1035" s="2" t="str">
        <f>HYPERLINK("javascript:void(0)","rotorlapát")</f>
        <v>rotorlapát</v>
      </c>
      <c r="E1035" s="7"/>
      <c r="F1035" s="7"/>
      <c r="G1035" s="9" t="s">
        <v>2322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</row>
    <row r="1036" spans="1:18" ht="12.75" customHeight="1" x14ac:dyDescent="0.2">
      <c r="A1036" s="7"/>
      <c r="B1036" s="2"/>
      <c r="C1036" s="2"/>
      <c r="D1036" s="2"/>
      <c r="E1036" s="7"/>
      <c r="F1036" s="7"/>
      <c r="G1036" s="9" t="s">
        <v>2322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</row>
    <row r="1037" spans="1:18" ht="12.75" customHeight="1" x14ac:dyDescent="0.2">
      <c r="A1037" s="7"/>
      <c r="B1037" s="2"/>
      <c r="C1037" s="2"/>
      <c r="D1037" s="2"/>
      <c r="E1037" s="7"/>
      <c r="F1037" s="7"/>
      <c r="G1037" s="9" t="s">
        <v>2322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</row>
    <row r="1038" spans="1:18" ht="12.75" customHeight="1" x14ac:dyDescent="0.2">
      <c r="A1038" s="7"/>
      <c r="B1038" s="2"/>
      <c r="C1038" s="2"/>
      <c r="D1038" s="2"/>
      <c r="E1038" s="7"/>
      <c r="F1038" s="7"/>
      <c r="G1038" s="9" t="s">
        <v>2322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</row>
    <row r="1039" spans="1:18" ht="12.75" customHeight="1" x14ac:dyDescent="0.2">
      <c r="A1039" s="7"/>
      <c r="B1039" s="2"/>
      <c r="C1039" s="2"/>
      <c r="D1039" s="2"/>
      <c r="E1039" s="7"/>
      <c r="F1039" s="7"/>
      <c r="G1039" s="9" t="s">
        <v>2322</v>
      </c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</row>
    <row r="1040" spans="1:18" ht="12.75" customHeight="1" x14ac:dyDescent="0.2">
      <c r="A1040" s="7"/>
      <c r="B1040" s="2"/>
      <c r="C1040" s="2"/>
      <c r="D1040" s="2"/>
      <c r="E1040" s="7"/>
      <c r="F1040" s="7"/>
      <c r="G1040" s="9" t="s">
        <v>2322</v>
      </c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</row>
    <row r="1041" spans="1:18" ht="12.75" customHeight="1" x14ac:dyDescent="0.2">
      <c r="A1041" s="7" t="str">
        <f>HYPERLINK("javascript:void(0)","óriásacél mellvért")</f>
        <v>óriásacél mellvért</v>
      </c>
      <c r="B1041" s="7"/>
      <c r="C1041" s="7"/>
      <c r="D1041" s="7"/>
      <c r="E1041" s="7"/>
      <c r="F1041" s="7"/>
      <c r="G1041" s="9" t="s">
        <v>2322</v>
      </c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</row>
    <row r="1042" spans="1:18" ht="12.75" customHeight="1" x14ac:dyDescent="0.2">
      <c r="A1042" s="7"/>
      <c r="B1042" s="2"/>
      <c r="C1042" s="2"/>
      <c r="D1042" s="2"/>
      <c r="E1042" s="7"/>
      <c r="F1042" s="7"/>
      <c r="G1042" s="9" t="s">
        <v>2322</v>
      </c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</row>
    <row r="1043" spans="1:18" ht="12.75" customHeight="1" x14ac:dyDescent="0.2">
      <c r="A1043" s="7"/>
      <c r="B1043" s="2" t="s">
        <v>0</v>
      </c>
      <c r="C1043" s="2" t="s">
        <v>532</v>
      </c>
      <c r="D1043" s="2"/>
      <c r="E1043" s="7"/>
      <c r="F1043" s="7"/>
      <c r="G1043" s="9" t="s">
        <v>2322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</row>
    <row r="1044" spans="1:18" ht="12.75" customHeight="1" x14ac:dyDescent="0.2">
      <c r="A1044" s="7"/>
      <c r="B1044" s="2" t="s">
        <v>2</v>
      </c>
      <c r="C1044" s="2" t="s">
        <v>2322</v>
      </c>
      <c r="D1044" s="2"/>
      <c r="E1044" s="7"/>
      <c r="F1044" s="7"/>
      <c r="G1044" s="9" t="s">
        <v>2322</v>
      </c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</row>
    <row r="1045" spans="1:18" ht="12.75" customHeight="1" x14ac:dyDescent="0.2">
      <c r="A1045" s="7"/>
      <c r="B1045" s="2" t="s">
        <v>1840</v>
      </c>
      <c r="C1045" s="2" t="s">
        <v>2407</v>
      </c>
      <c r="D1045" s="2"/>
      <c r="E1045" s="7"/>
      <c r="F1045" s="7"/>
      <c r="G1045" s="9" t="s">
        <v>2322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</row>
    <row r="1046" spans="1:18" ht="12.75" customHeight="1" x14ac:dyDescent="0.2">
      <c r="A1046" s="7"/>
      <c r="B1046" s="2" t="s">
        <v>9</v>
      </c>
      <c r="C1046" s="2" t="s">
        <v>129</v>
      </c>
      <c r="D1046" s="2"/>
      <c r="E1046" s="7"/>
      <c r="F1046" s="7"/>
      <c r="G1046" s="9" t="s">
        <v>2322</v>
      </c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</row>
    <row r="1047" spans="1:18" ht="12.75" customHeight="1" x14ac:dyDescent="0.2">
      <c r="A1047" s="7"/>
      <c r="B1047" s="2" t="s">
        <v>11</v>
      </c>
      <c r="C1047" s="2" t="s">
        <v>552</v>
      </c>
      <c r="D1047" s="2"/>
      <c r="E1047" s="7"/>
      <c r="F1047" s="7"/>
      <c r="G1047" s="9" t="s">
        <v>2322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</row>
    <row r="1048" spans="1:18" ht="12.75" customHeight="1" x14ac:dyDescent="0.2">
      <c r="A1048" s="7"/>
      <c r="B1048" s="2" t="s">
        <v>16</v>
      </c>
      <c r="C1048" s="2"/>
      <c r="D1048" s="2"/>
      <c r="E1048" s="7"/>
      <c r="F1048" s="7"/>
      <c r="G1048" s="9" t="s">
        <v>2322</v>
      </c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</row>
    <row r="1049" spans="1:18" ht="12.75" customHeight="1" x14ac:dyDescent="0.2">
      <c r="A1049" s="7"/>
      <c r="B1049" s="2" t="s">
        <v>17</v>
      </c>
      <c r="C1049" s="2" t="s">
        <v>19</v>
      </c>
      <c r="D1049" s="2"/>
      <c r="E1049" s="7"/>
      <c r="F1049" s="7"/>
      <c r="G1049" s="9" t="s">
        <v>2322</v>
      </c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</row>
    <row r="1050" spans="1:18" ht="12.75" customHeight="1" x14ac:dyDescent="0.2">
      <c r="A1050" s="7"/>
      <c r="B1050" s="2" t="s">
        <v>18</v>
      </c>
      <c r="C1050" s="2" t="s">
        <v>68</v>
      </c>
      <c r="D1050" s="2" t="str">
        <f>HYPERLINK("javascript:void(0)","imázs")</f>
        <v>imázs</v>
      </c>
      <c r="E1050" s="7"/>
      <c r="F1050" s="7"/>
      <c r="G1050" s="9" t="s">
        <v>2322</v>
      </c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</row>
    <row r="1051" spans="1:18" ht="12.75" customHeight="1" x14ac:dyDescent="0.2">
      <c r="A1051" s="7"/>
      <c r="B1051" s="2"/>
      <c r="C1051" s="2" t="s">
        <v>382</v>
      </c>
      <c r="D1051" s="2" t="str">
        <f>HYPERLINK("javascript:void(0)","csontszilánk")</f>
        <v>csontszilánk</v>
      </c>
      <c r="E1051" s="7"/>
      <c r="F1051" s="7"/>
      <c r="G1051" s="9" t="s">
        <v>2322</v>
      </c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</row>
    <row r="1052" spans="1:18" ht="12.75" customHeight="1" x14ac:dyDescent="0.2">
      <c r="A1052" s="7"/>
      <c r="B1052" s="2"/>
      <c r="C1052" s="2" t="s">
        <v>98</v>
      </c>
      <c r="D1052" s="2" t="str">
        <f>HYPERLINK("javascript:void(0)","csigaház")</f>
        <v>csigaház</v>
      </c>
      <c r="E1052" s="7"/>
      <c r="F1052" s="7"/>
      <c r="G1052" s="9" t="s">
        <v>2322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</row>
    <row r="1053" spans="1:18" ht="12.75" customHeight="1" x14ac:dyDescent="0.2">
      <c r="A1053" s="7"/>
      <c r="B1053" s="2"/>
      <c r="C1053" s="2"/>
      <c r="D1053" s="2"/>
      <c r="E1053" s="7"/>
      <c r="F1053" s="7"/>
      <c r="G1053" s="9" t="s">
        <v>2322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</row>
    <row r="1054" spans="1:18" ht="12.75" customHeight="1" x14ac:dyDescent="0.2">
      <c r="A1054" s="7"/>
      <c r="B1054" s="2"/>
      <c r="C1054" s="2"/>
      <c r="D1054" s="2"/>
      <c r="E1054" s="7"/>
      <c r="F1054" s="7"/>
      <c r="G1054" s="9" t="s">
        <v>2322</v>
      </c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</row>
    <row r="1055" spans="1:18" ht="12.75" customHeight="1" x14ac:dyDescent="0.2">
      <c r="A1055" s="7"/>
      <c r="B1055" s="2"/>
      <c r="C1055" s="2"/>
      <c r="D1055" s="2"/>
      <c r="E1055" s="7"/>
      <c r="F1055" s="7"/>
      <c r="G1055" s="9" t="s">
        <v>2322</v>
      </c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</row>
    <row r="1056" spans="1:18" ht="12.75" customHeight="1" x14ac:dyDescent="0.2">
      <c r="A1056" s="7"/>
      <c r="B1056" s="2"/>
      <c r="C1056" s="2"/>
      <c r="D1056" s="2"/>
      <c r="E1056" s="7"/>
      <c r="F1056" s="7"/>
      <c r="G1056" s="9" t="s">
        <v>2322</v>
      </c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</row>
    <row r="1057" spans="1:18" ht="12.75" customHeight="1" x14ac:dyDescent="0.2">
      <c r="A1057" s="7"/>
      <c r="B1057" s="2"/>
      <c r="C1057" s="2"/>
      <c r="D1057" s="2"/>
      <c r="E1057" s="7"/>
      <c r="F1057" s="7"/>
      <c r="G1057" s="9" t="s">
        <v>2322</v>
      </c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</row>
    <row r="1058" spans="1:18" ht="12.75" customHeight="1" x14ac:dyDescent="0.2">
      <c r="A1058" s="7" t="str">
        <f>HYPERLINK("javascript:void(0)","kentacél mellvért")</f>
        <v>kentacél mellvért</v>
      </c>
      <c r="B1058" s="7"/>
      <c r="C1058" s="7"/>
      <c r="D1058" s="7"/>
      <c r="E1058" s="7"/>
      <c r="F1058" s="7"/>
      <c r="G1058" s="9" t="s">
        <v>2322</v>
      </c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</row>
    <row r="1059" spans="1:18" ht="12.75" customHeight="1" x14ac:dyDescent="0.2">
      <c r="A1059" s="7"/>
      <c r="B1059" s="2"/>
      <c r="C1059" s="2"/>
      <c r="D1059" s="2"/>
      <c r="E1059" s="7"/>
      <c r="F1059" s="7"/>
      <c r="G1059" s="9" t="s">
        <v>2322</v>
      </c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</row>
    <row r="1060" spans="1:18" ht="12.75" customHeight="1" x14ac:dyDescent="0.2">
      <c r="A1060" s="7"/>
      <c r="B1060" s="2" t="s">
        <v>0</v>
      </c>
      <c r="C1060" s="2" t="s">
        <v>223</v>
      </c>
      <c r="D1060" s="2"/>
      <c r="E1060" s="7"/>
      <c r="F1060" s="7"/>
      <c r="G1060" s="9" t="s">
        <v>2322</v>
      </c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</row>
    <row r="1061" spans="1:18" ht="12.75" customHeight="1" x14ac:dyDescent="0.2">
      <c r="A1061" s="7"/>
      <c r="B1061" s="2" t="s">
        <v>2</v>
      </c>
      <c r="C1061" s="2" t="s">
        <v>2322</v>
      </c>
      <c r="D1061" s="2"/>
      <c r="E1061" s="7"/>
      <c r="F1061" s="7"/>
      <c r="G1061" s="9" t="s">
        <v>2322</v>
      </c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</row>
    <row r="1062" spans="1:18" ht="12.75" customHeight="1" x14ac:dyDescent="0.2">
      <c r="A1062" s="7"/>
      <c r="B1062" s="2" t="s">
        <v>1840</v>
      </c>
      <c r="C1062" s="2" t="s">
        <v>2409</v>
      </c>
      <c r="D1062" s="2"/>
      <c r="E1062" s="7"/>
      <c r="F1062" s="7"/>
      <c r="G1062" s="9" t="s">
        <v>2322</v>
      </c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</row>
    <row r="1063" spans="1:18" ht="12.75" customHeight="1" x14ac:dyDescent="0.2">
      <c r="A1063" s="7"/>
      <c r="B1063" s="2" t="s">
        <v>9</v>
      </c>
      <c r="C1063" s="2" t="s">
        <v>210</v>
      </c>
      <c r="D1063" s="2"/>
      <c r="E1063" s="7"/>
      <c r="F1063" s="7"/>
      <c r="G1063" s="9" t="s">
        <v>2322</v>
      </c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</row>
    <row r="1064" spans="1:18" ht="12.75" customHeight="1" x14ac:dyDescent="0.2">
      <c r="A1064" s="7"/>
      <c r="B1064" s="2" t="s">
        <v>11</v>
      </c>
      <c r="C1064" s="2" t="s">
        <v>566</v>
      </c>
      <c r="D1064" s="2"/>
      <c r="E1064" s="7"/>
      <c r="F1064" s="7"/>
      <c r="G1064" s="9" t="s">
        <v>2322</v>
      </c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</row>
    <row r="1065" spans="1:18" ht="12.75" customHeight="1" x14ac:dyDescent="0.2">
      <c r="A1065" s="7"/>
      <c r="B1065" s="2" t="s">
        <v>16</v>
      </c>
      <c r="C1065" s="2"/>
      <c r="D1065" s="2"/>
      <c r="E1065" s="7"/>
      <c r="F1065" s="7"/>
      <c r="G1065" s="9" t="s">
        <v>2322</v>
      </c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</row>
    <row r="1066" spans="1:18" ht="12.75" customHeight="1" x14ac:dyDescent="0.2">
      <c r="A1066" s="7"/>
      <c r="B1066" s="2" t="s">
        <v>17</v>
      </c>
      <c r="C1066" s="2" t="s">
        <v>19</v>
      </c>
      <c r="D1066" s="2"/>
      <c r="E1066" s="7"/>
      <c r="F1066" s="7"/>
      <c r="G1066" s="9" t="s">
        <v>2322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</row>
    <row r="1067" spans="1:18" ht="12.75" customHeight="1" x14ac:dyDescent="0.2">
      <c r="A1067" s="7"/>
      <c r="B1067" s="2" t="s">
        <v>18</v>
      </c>
      <c r="C1067" s="2" t="s">
        <v>44</v>
      </c>
      <c r="D1067" s="2" t="str">
        <f>HYPERLINK("javascript:void(0)","elfacél mellvért")</f>
        <v>elfacél mellvért</v>
      </c>
      <c r="E1067" s="7"/>
      <c r="F1067" s="7"/>
      <c r="G1067" s="9" t="s">
        <v>2322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</row>
    <row r="1068" spans="1:18" ht="12.75" customHeight="1" x14ac:dyDescent="0.2">
      <c r="A1068" s="7"/>
      <c r="B1068" s="2"/>
      <c r="C1068" s="2" t="s">
        <v>44</v>
      </c>
      <c r="D1068" s="2" t="str">
        <f>HYPERLINK("javascript:void(0)","óriásacél mellvért")</f>
        <v>óriásacél mellvért</v>
      </c>
      <c r="E1068" s="7"/>
      <c r="F1068" s="7"/>
      <c r="G1068" s="9" t="s">
        <v>2322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</row>
    <row r="1069" spans="1:18" ht="12.75" customHeight="1" x14ac:dyDescent="0.2">
      <c r="A1069" s="7"/>
      <c r="B1069" s="2"/>
      <c r="C1069" s="2" t="s">
        <v>44</v>
      </c>
      <c r="D1069" s="2" t="str">
        <f>HYPERLINK("javascript:void(0)","kentacél előlap")</f>
        <v>kentacél előlap</v>
      </c>
      <c r="E1069" s="7"/>
      <c r="F1069" s="7"/>
      <c r="G1069" s="9" t="s">
        <v>2322</v>
      </c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</row>
    <row r="1070" spans="1:18" ht="12.75" customHeight="1" x14ac:dyDescent="0.2">
      <c r="A1070" s="7"/>
      <c r="B1070" s="2"/>
      <c r="C1070" s="2"/>
      <c r="D1070" s="2"/>
      <c r="E1070" s="7"/>
      <c r="F1070" s="7"/>
      <c r="G1070" s="9" t="s">
        <v>2322</v>
      </c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</row>
    <row r="1071" spans="1:18" ht="12.75" customHeight="1" x14ac:dyDescent="0.2">
      <c r="A1071" s="7"/>
      <c r="B1071" s="2"/>
      <c r="C1071" s="2"/>
      <c r="D1071" s="2"/>
      <c r="E1071" s="7"/>
      <c r="F1071" s="7"/>
      <c r="G1071" s="9" t="s">
        <v>2322</v>
      </c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</row>
    <row r="1072" spans="1:18" ht="12.75" customHeight="1" x14ac:dyDescent="0.2">
      <c r="A1072" s="7"/>
      <c r="B1072" s="2"/>
      <c r="C1072" s="2"/>
      <c r="D1072" s="2"/>
      <c r="E1072" s="7"/>
      <c r="F1072" s="7"/>
      <c r="G1072" s="9" t="s">
        <v>2322</v>
      </c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</row>
    <row r="1073" spans="1:18" ht="12.75" customHeight="1" x14ac:dyDescent="0.2">
      <c r="A1073" s="7"/>
      <c r="B1073" s="2"/>
      <c r="C1073" s="2"/>
      <c r="D1073" s="2"/>
      <c r="E1073" s="7"/>
      <c r="F1073" s="7"/>
      <c r="G1073" s="9" t="s">
        <v>2322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</row>
    <row r="1074" spans="1:18" ht="12.75" customHeight="1" x14ac:dyDescent="0.2">
      <c r="A1074" s="7"/>
      <c r="B1074" s="2"/>
      <c r="C1074" s="2"/>
      <c r="D1074" s="2"/>
      <c r="E1074" s="7"/>
      <c r="F1074" s="7"/>
      <c r="G1074" s="9" t="s">
        <v>2322</v>
      </c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</row>
    <row r="1075" spans="1:18" ht="12.75" customHeight="1" x14ac:dyDescent="0.2">
      <c r="A1075" s="7" t="str">
        <f>HYPERLINK("javascript:void(0)","kentacél előlap")</f>
        <v>kentacél előlap</v>
      </c>
      <c r="B1075" s="7"/>
      <c r="C1075" s="7"/>
      <c r="D1075" s="7"/>
      <c r="E1075" s="7"/>
      <c r="F1075" s="7"/>
      <c r="G1075" s="9" t="s">
        <v>2322</v>
      </c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</row>
    <row r="1076" spans="1:18" ht="12.75" customHeight="1" x14ac:dyDescent="0.2">
      <c r="A1076" s="7"/>
      <c r="B1076" s="2"/>
      <c r="C1076" s="2"/>
      <c r="D1076" s="2"/>
      <c r="E1076" s="7"/>
      <c r="F1076" s="7"/>
      <c r="G1076" s="9" t="s">
        <v>2322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</row>
    <row r="1077" spans="1:18" ht="12.75" customHeight="1" x14ac:dyDescent="0.2">
      <c r="A1077" s="7"/>
      <c r="B1077" s="2" t="s">
        <v>0</v>
      </c>
      <c r="C1077" s="2" t="s">
        <v>223</v>
      </c>
      <c r="D1077" s="2"/>
      <c r="E1077" s="7"/>
      <c r="F1077" s="7"/>
      <c r="G1077" s="9" t="s">
        <v>2322</v>
      </c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</row>
    <row r="1078" spans="1:18" ht="12.75" customHeight="1" x14ac:dyDescent="0.2">
      <c r="A1078" s="7"/>
      <c r="B1078" s="2" t="s">
        <v>2</v>
      </c>
      <c r="C1078" s="2" t="s">
        <v>2322</v>
      </c>
      <c r="D1078" s="2"/>
      <c r="E1078" s="7"/>
      <c r="F1078" s="7"/>
      <c r="G1078" s="9" t="s">
        <v>2322</v>
      </c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</row>
    <row r="1079" spans="1:18" ht="12.75" customHeight="1" x14ac:dyDescent="0.2">
      <c r="A1079" s="7"/>
      <c r="B1079" s="2" t="s">
        <v>1840</v>
      </c>
      <c r="C1079" s="2" t="s">
        <v>260</v>
      </c>
      <c r="D1079" s="2"/>
      <c r="E1079" s="7"/>
      <c r="F1079" s="7"/>
      <c r="G1079" s="9" t="s">
        <v>2322</v>
      </c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</row>
    <row r="1080" spans="1:18" ht="12.75" customHeight="1" x14ac:dyDescent="0.2">
      <c r="A1080" s="7"/>
      <c r="B1080" s="2" t="s">
        <v>9</v>
      </c>
      <c r="C1080" s="2" t="s">
        <v>79</v>
      </c>
      <c r="D1080" s="2"/>
      <c r="E1080" s="7"/>
      <c r="F1080" s="7"/>
      <c r="G1080" s="9" t="s">
        <v>2322</v>
      </c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</row>
    <row r="1081" spans="1:18" ht="12.75" customHeight="1" x14ac:dyDescent="0.2">
      <c r="A1081" s="7"/>
      <c r="B1081" s="2" t="s">
        <v>11</v>
      </c>
      <c r="C1081" s="2" t="s">
        <v>368</v>
      </c>
      <c r="D1081" s="2"/>
      <c r="E1081" s="7"/>
      <c r="F1081" s="7"/>
      <c r="G1081" s="9" t="s">
        <v>2322</v>
      </c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</row>
    <row r="1082" spans="1:18" ht="12.75" customHeight="1" x14ac:dyDescent="0.2">
      <c r="A1082" s="7"/>
      <c r="B1082" s="2" t="s">
        <v>16</v>
      </c>
      <c r="C1082" s="2"/>
      <c r="D1082" s="2"/>
      <c r="E1082" s="7"/>
      <c r="F1082" s="7"/>
      <c r="G1082" s="9" t="s">
        <v>2322</v>
      </c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</row>
    <row r="1083" spans="1:18" ht="12.75" customHeight="1" x14ac:dyDescent="0.2">
      <c r="A1083" s="7"/>
      <c r="B1083" s="2" t="s">
        <v>17</v>
      </c>
      <c r="C1083" s="2" t="s">
        <v>19</v>
      </c>
      <c r="D1083" s="2"/>
      <c r="E1083" s="7"/>
      <c r="F1083" s="7"/>
      <c r="G1083" s="9" t="s">
        <v>2322</v>
      </c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</row>
    <row r="1084" spans="1:18" ht="12.75" customHeight="1" x14ac:dyDescent="0.2">
      <c r="A1084" s="7"/>
      <c r="B1084" s="2" t="s">
        <v>18</v>
      </c>
      <c r="C1084" s="2" t="s">
        <v>398</v>
      </c>
      <c r="D1084" s="2" t="str">
        <f>HYPERLINK("javascript:void(0)","fotogén")</f>
        <v>fotogén</v>
      </c>
      <c r="E1084" s="7"/>
      <c r="F1084" s="7"/>
      <c r="G1084" s="9" t="s">
        <v>2322</v>
      </c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</row>
    <row r="1085" spans="1:18" ht="12.75" customHeight="1" x14ac:dyDescent="0.2">
      <c r="A1085" s="7"/>
      <c r="B1085" s="2"/>
      <c r="C1085" s="2" t="s">
        <v>327</v>
      </c>
      <c r="D1085" s="2" t="str">
        <f>HYPERLINK("javascript:void(0)","horog")</f>
        <v>horog</v>
      </c>
      <c r="E1085" s="7"/>
      <c r="F1085" s="7"/>
      <c r="G1085" s="9" t="s">
        <v>2322</v>
      </c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</row>
    <row r="1086" spans="1:18" ht="12.75" customHeight="1" x14ac:dyDescent="0.2">
      <c r="A1086" s="7"/>
      <c r="B1086" s="2"/>
      <c r="C1086" s="2" t="s">
        <v>98</v>
      </c>
      <c r="D1086" s="2" t="str">
        <f>HYPERLINK("javascript:void(0)","manókoponya")</f>
        <v>manókoponya</v>
      </c>
      <c r="E1086" s="7"/>
      <c r="F1086" s="7"/>
      <c r="G1086" s="9" t="s">
        <v>2322</v>
      </c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</row>
    <row r="1087" spans="1:18" ht="12.75" customHeight="1" x14ac:dyDescent="0.2">
      <c r="A1087" s="7"/>
      <c r="B1087" s="2"/>
      <c r="C1087" s="2"/>
      <c r="D1087" s="2"/>
      <c r="E1087" s="7"/>
      <c r="F1087" s="7"/>
      <c r="G1087" s="9" t="s">
        <v>2322</v>
      </c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</row>
    <row r="1088" spans="1:18" ht="12.75" customHeight="1" x14ac:dyDescent="0.2">
      <c r="A1088" s="7"/>
      <c r="B1088" s="2"/>
      <c r="C1088" s="2"/>
      <c r="D1088" s="2"/>
      <c r="E1088" s="7"/>
      <c r="F1088" s="7"/>
      <c r="G1088" s="9" t="s">
        <v>2322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</row>
    <row r="1089" spans="1:18" ht="12.75" customHeight="1" x14ac:dyDescent="0.2">
      <c r="A1089" s="7"/>
      <c r="B1089" s="2"/>
      <c r="C1089" s="2"/>
      <c r="D1089" s="2"/>
      <c r="E1089" s="7"/>
      <c r="F1089" s="7"/>
      <c r="G1089" s="9" t="s">
        <v>2322</v>
      </c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</row>
    <row r="1090" spans="1:18" ht="12.75" customHeight="1" x14ac:dyDescent="0.2">
      <c r="A1090" s="7"/>
      <c r="B1090" s="2"/>
      <c r="C1090" s="2"/>
      <c r="D1090" s="2"/>
      <c r="E1090" s="7"/>
      <c r="F1090" s="7"/>
      <c r="G1090" s="9" t="s">
        <v>2322</v>
      </c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</row>
    <row r="1091" spans="1:18" ht="12.75" customHeight="1" x14ac:dyDescent="0.2">
      <c r="A1091" s="7"/>
      <c r="B1091" s="2"/>
      <c r="C1091" s="2"/>
      <c r="D1091" s="2"/>
      <c r="E1091" s="7"/>
      <c r="F1091" s="7"/>
      <c r="G1091" s="9" t="s">
        <v>2322</v>
      </c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</row>
    <row r="1092" spans="1:18" ht="12.75" customHeight="1" x14ac:dyDescent="0.2">
      <c r="A1092" s="7" t="str">
        <f>HYPERLINK("javascript:void(0)","gyíkacél páncél")</f>
        <v>gyíkacél páncél</v>
      </c>
      <c r="B1092" s="7"/>
      <c r="C1092" s="7"/>
      <c r="D1092" s="7"/>
      <c r="E1092" s="7"/>
      <c r="F1092" s="7"/>
      <c r="G1092" s="9" t="s">
        <v>2322</v>
      </c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</row>
    <row r="1093" spans="1:18" ht="12.75" customHeight="1" x14ac:dyDescent="0.2">
      <c r="A1093" s="7"/>
      <c r="B1093" s="2"/>
      <c r="C1093" s="2"/>
      <c r="D1093" s="2"/>
      <c r="E1093" s="7"/>
      <c r="F1093" s="7"/>
      <c r="G1093" s="9" t="s">
        <v>2322</v>
      </c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</row>
    <row r="1094" spans="1:18" ht="12.75" customHeight="1" x14ac:dyDescent="0.2">
      <c r="A1094" s="7"/>
      <c r="B1094" s="2" t="s">
        <v>0</v>
      </c>
      <c r="C1094" s="2" t="s">
        <v>223</v>
      </c>
      <c r="D1094" s="2"/>
      <c r="E1094" s="7"/>
      <c r="F1094" s="7"/>
      <c r="G1094" s="9" t="s">
        <v>2322</v>
      </c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</row>
    <row r="1095" spans="1:18" ht="12.75" customHeight="1" x14ac:dyDescent="0.2">
      <c r="A1095" s="7"/>
      <c r="B1095" s="2" t="s">
        <v>2</v>
      </c>
      <c r="C1095" s="2" t="s">
        <v>2322</v>
      </c>
      <c r="D1095" s="2"/>
      <c r="E1095" s="7"/>
      <c r="F1095" s="7"/>
      <c r="G1095" s="9" t="s">
        <v>2322</v>
      </c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</row>
    <row r="1096" spans="1:18" ht="12.75" customHeight="1" x14ac:dyDescent="0.2">
      <c r="A1096" s="7"/>
      <c r="B1096" s="2" t="s">
        <v>1840</v>
      </c>
      <c r="C1096" s="2" t="s">
        <v>482</v>
      </c>
      <c r="D1096" s="2"/>
      <c r="E1096" s="7"/>
      <c r="F1096" s="7"/>
      <c r="G1096" s="9" t="s">
        <v>2322</v>
      </c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</row>
    <row r="1097" spans="1:18" ht="12.75" customHeight="1" x14ac:dyDescent="0.2">
      <c r="A1097" s="7"/>
      <c r="B1097" s="2" t="s">
        <v>9</v>
      </c>
      <c r="C1097" s="2" t="s">
        <v>300</v>
      </c>
      <c r="D1097" s="2"/>
      <c r="E1097" s="7"/>
      <c r="F1097" s="7"/>
      <c r="G1097" s="9" t="s">
        <v>2322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</row>
    <row r="1098" spans="1:18" ht="12.75" customHeight="1" x14ac:dyDescent="0.2">
      <c r="A1098" s="7"/>
      <c r="B1098" s="2" t="s">
        <v>11</v>
      </c>
      <c r="C1098" s="2" t="s">
        <v>368</v>
      </c>
      <c r="D1098" s="2"/>
      <c r="E1098" s="7"/>
      <c r="F1098" s="7"/>
      <c r="G1098" s="9" t="s">
        <v>2322</v>
      </c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</row>
    <row r="1099" spans="1:18" ht="12.75" customHeight="1" x14ac:dyDescent="0.2">
      <c r="A1099" s="7"/>
      <c r="B1099" s="2" t="s">
        <v>16</v>
      </c>
      <c r="C1099" s="2"/>
      <c r="D1099" s="2"/>
      <c r="E1099" s="7"/>
      <c r="F1099" s="7"/>
      <c r="G1099" s="9" t="s">
        <v>2322</v>
      </c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</row>
    <row r="1100" spans="1:18" ht="12.75" customHeight="1" x14ac:dyDescent="0.2">
      <c r="A1100" s="7"/>
      <c r="B1100" s="2" t="s">
        <v>17</v>
      </c>
      <c r="C1100" s="2" t="s">
        <v>19</v>
      </c>
      <c r="D1100" s="2"/>
      <c r="E1100" s="7"/>
      <c r="F1100" s="7"/>
      <c r="G1100" s="9" t="s">
        <v>2322</v>
      </c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</row>
    <row r="1101" spans="1:18" ht="12.75" customHeight="1" x14ac:dyDescent="0.2">
      <c r="A1101" s="7"/>
      <c r="B1101" s="2" t="s">
        <v>18</v>
      </c>
      <c r="C1101" s="2" t="s">
        <v>1379</v>
      </c>
      <c r="D1101" s="2" t="str">
        <f>HYPERLINK("javascript:void(0)","goblinbatka")</f>
        <v>goblinbatka</v>
      </c>
      <c r="E1101" s="7"/>
      <c r="F1101" s="7"/>
      <c r="G1101" s="9" t="s">
        <v>2322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</row>
    <row r="1102" spans="1:18" ht="12.75" customHeight="1" x14ac:dyDescent="0.2">
      <c r="A1102" s="7"/>
      <c r="B1102" s="2"/>
      <c r="C1102" s="2" t="s">
        <v>280</v>
      </c>
      <c r="D1102" s="2" t="str">
        <f>HYPERLINK("javascript:void(0)","szent szimbólum")</f>
        <v>szent szimbólum</v>
      </c>
      <c r="E1102" s="7"/>
      <c r="F1102" s="7"/>
      <c r="G1102" s="9" t="s">
        <v>2322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</row>
    <row r="1103" spans="1:18" ht="12.75" customHeight="1" x14ac:dyDescent="0.2">
      <c r="A1103" s="7"/>
      <c r="B1103" s="2"/>
      <c r="C1103" s="2" t="s">
        <v>280</v>
      </c>
      <c r="D1103" s="2" t="str">
        <f>HYPERLINK("javascript:void(0)","portgyűrű")</f>
        <v>portgyűrű</v>
      </c>
      <c r="E1103" s="7"/>
      <c r="F1103" s="7"/>
      <c r="G1103" s="9" t="s">
        <v>2322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</row>
    <row r="1104" spans="1:18" ht="12.75" customHeight="1" x14ac:dyDescent="0.2">
      <c r="A1104" s="7"/>
      <c r="B1104" s="2"/>
      <c r="C1104" s="2"/>
      <c r="D1104" s="2"/>
      <c r="E1104" s="7"/>
      <c r="F1104" s="7"/>
      <c r="G1104" s="9" t="s">
        <v>2322</v>
      </c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</row>
    <row r="1105" spans="1:18" ht="12.75" customHeight="1" x14ac:dyDescent="0.2">
      <c r="A1105" s="7"/>
      <c r="B1105" s="2"/>
      <c r="C1105" s="2"/>
      <c r="D1105" s="2"/>
      <c r="E1105" s="7"/>
      <c r="F1105" s="7"/>
      <c r="G1105" s="9" t="s">
        <v>2322</v>
      </c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</row>
    <row r="1106" spans="1:18" ht="12.75" customHeight="1" x14ac:dyDescent="0.2">
      <c r="A1106" s="7"/>
      <c r="B1106" s="2"/>
      <c r="C1106" s="2"/>
      <c r="D1106" s="2"/>
      <c r="E1106" s="7"/>
      <c r="F1106" s="7"/>
      <c r="G1106" s="9" t="s">
        <v>2322</v>
      </c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</row>
    <row r="1107" spans="1:18" ht="12.75" customHeight="1" x14ac:dyDescent="0.2">
      <c r="A1107" s="7"/>
      <c r="B1107" s="2"/>
      <c r="C1107" s="2"/>
      <c r="D1107" s="2"/>
      <c r="E1107" s="7"/>
      <c r="F1107" s="7"/>
      <c r="G1107" s="9" t="s">
        <v>2322</v>
      </c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</row>
    <row r="1108" spans="1:18" ht="12.75" customHeight="1" x14ac:dyDescent="0.2">
      <c r="A1108" s="7"/>
      <c r="B1108" s="2"/>
      <c r="C1108" s="2"/>
      <c r="D1108" s="2"/>
      <c r="E1108" s="7"/>
      <c r="F1108" s="7"/>
      <c r="G1108" s="9" t="s">
        <v>2322</v>
      </c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</row>
    <row r="1109" spans="1:18" ht="12.75" customHeight="1" x14ac:dyDescent="0.2">
      <c r="A1109" s="7" t="str">
        <f>HYPERLINK("javascript:void(0)","csillámos kispáncél")</f>
        <v>csillámos kispáncél</v>
      </c>
      <c r="B1109" s="7"/>
      <c r="C1109" s="7"/>
      <c r="D1109" s="7"/>
      <c r="E1109" s="7"/>
      <c r="F1109" s="7"/>
      <c r="G1109" s="9" t="s">
        <v>2322</v>
      </c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</row>
    <row r="1110" spans="1:18" ht="12.75" customHeight="1" x14ac:dyDescent="0.2">
      <c r="A1110" s="7"/>
      <c r="B1110" s="2"/>
      <c r="C1110" s="2"/>
      <c r="D1110" s="2"/>
      <c r="E1110" s="7"/>
      <c r="F1110" s="7"/>
      <c r="G1110" s="9" t="s">
        <v>2322</v>
      </c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</row>
    <row r="1111" spans="1:18" ht="12.75" customHeight="1" x14ac:dyDescent="0.2">
      <c r="A1111" s="7"/>
      <c r="B1111" s="2" t="s">
        <v>0</v>
      </c>
      <c r="C1111" s="2" t="s">
        <v>223</v>
      </c>
      <c r="D1111" s="2"/>
      <c r="E1111" s="7"/>
      <c r="F1111" s="7"/>
      <c r="G1111" s="9" t="s">
        <v>2322</v>
      </c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</row>
    <row r="1112" spans="1:18" ht="12.75" customHeight="1" x14ac:dyDescent="0.2">
      <c r="A1112" s="7"/>
      <c r="B1112" s="2" t="s">
        <v>2</v>
      </c>
      <c r="C1112" s="2" t="s">
        <v>2322</v>
      </c>
      <c r="D1112" s="2"/>
      <c r="E1112" s="7"/>
      <c r="F1112" s="7"/>
      <c r="G1112" s="9" t="s">
        <v>2322</v>
      </c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</row>
    <row r="1113" spans="1:18" ht="12.75" customHeight="1" x14ac:dyDescent="0.2">
      <c r="A1113" s="7"/>
      <c r="B1113" s="2" t="s">
        <v>1840</v>
      </c>
      <c r="C1113" s="2" t="s">
        <v>2413</v>
      </c>
      <c r="D1113" s="2"/>
      <c r="E1113" s="7"/>
      <c r="F1113" s="7"/>
      <c r="G1113" s="9" t="s">
        <v>2322</v>
      </c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</row>
    <row r="1114" spans="1:18" ht="12.75" customHeight="1" x14ac:dyDescent="0.2">
      <c r="A1114" s="7"/>
      <c r="B1114" s="2" t="s">
        <v>9</v>
      </c>
      <c r="C1114" s="2" t="s">
        <v>2360</v>
      </c>
      <c r="D1114" s="2"/>
      <c r="E1114" s="7"/>
      <c r="F1114" s="7"/>
      <c r="G1114" s="9" t="s">
        <v>2322</v>
      </c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</row>
    <row r="1115" spans="1:18" ht="12.75" customHeight="1" x14ac:dyDescent="0.2">
      <c r="A1115" s="7"/>
      <c r="B1115" s="2" t="s">
        <v>11</v>
      </c>
      <c r="C1115" s="2" t="s">
        <v>566</v>
      </c>
      <c r="D1115" s="2"/>
      <c r="E1115" s="7"/>
      <c r="F1115" s="7"/>
      <c r="G1115" s="9" t="s">
        <v>2322</v>
      </c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</row>
    <row r="1116" spans="1:18" ht="12.75" customHeight="1" x14ac:dyDescent="0.2">
      <c r="A1116" s="7"/>
      <c r="B1116" s="2" t="s">
        <v>16</v>
      </c>
      <c r="C1116" s="2"/>
      <c r="D1116" s="2"/>
      <c r="E1116" s="7"/>
      <c r="F1116" s="7"/>
      <c r="G1116" s="9" t="s">
        <v>2322</v>
      </c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</row>
    <row r="1117" spans="1:18" ht="12.75" customHeight="1" x14ac:dyDescent="0.2">
      <c r="A1117" s="7"/>
      <c r="B1117" s="2" t="s">
        <v>17</v>
      </c>
      <c r="C1117" s="2" t="s">
        <v>19</v>
      </c>
      <c r="D1117" s="2"/>
      <c r="E1117" s="7"/>
      <c r="F1117" s="7"/>
      <c r="G1117" s="9" t="s">
        <v>2322</v>
      </c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</row>
    <row r="1118" spans="1:18" ht="12.75" customHeight="1" x14ac:dyDescent="0.2">
      <c r="A1118" s="7"/>
      <c r="B1118" s="2" t="s">
        <v>18</v>
      </c>
      <c r="C1118" s="2" t="s">
        <v>57</v>
      </c>
      <c r="D1118" s="2" t="str">
        <f>HYPERLINK("javascript:void(0)","csillámgöb")</f>
        <v>csillámgöb</v>
      </c>
      <c r="E1118" s="7"/>
      <c r="F1118" s="7"/>
      <c r="G1118" s="9" t="s">
        <v>2322</v>
      </c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</row>
    <row r="1119" spans="1:18" ht="12.75" customHeight="1" x14ac:dyDescent="0.2">
      <c r="A1119" s="7"/>
      <c r="B1119" s="2"/>
      <c r="C1119" s="2" t="s">
        <v>44</v>
      </c>
      <c r="D1119" s="2" t="str">
        <f>HYPERLINK("javascript:void(0)","csillámos felleghajtó")</f>
        <v>csillámos felleghajtó</v>
      </c>
      <c r="E1119" s="7"/>
      <c r="F1119" s="7"/>
      <c r="G1119" s="9" t="s">
        <v>2322</v>
      </c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</row>
    <row r="1120" spans="1:18" ht="12.75" customHeight="1" x14ac:dyDescent="0.2">
      <c r="A1120" s="7"/>
      <c r="B1120" s="2"/>
      <c r="C1120" s="2" t="s">
        <v>163</v>
      </c>
      <c r="D1120" s="2" t="str">
        <f>HYPERLINK("javascript:void(0)","szent szimbólum")</f>
        <v>szent szimbólum</v>
      </c>
      <c r="E1120" s="7"/>
      <c r="F1120" s="7"/>
      <c r="G1120" s="9" t="s">
        <v>2322</v>
      </c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</row>
    <row r="1121" spans="1:18" ht="12.75" customHeight="1" x14ac:dyDescent="0.2">
      <c r="A1121" s="7"/>
      <c r="B1121" s="2"/>
      <c r="C1121" s="2"/>
      <c r="D1121" s="2"/>
      <c r="E1121" s="7"/>
      <c r="F1121" s="7"/>
      <c r="G1121" s="9" t="s">
        <v>2322</v>
      </c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</row>
    <row r="1122" spans="1:18" ht="12.75" customHeight="1" x14ac:dyDescent="0.2">
      <c r="A1122" s="7"/>
      <c r="B1122" s="2"/>
      <c r="C1122" s="2"/>
      <c r="D1122" s="2"/>
      <c r="E1122" s="7"/>
      <c r="F1122" s="7"/>
      <c r="G1122" s="9" t="s">
        <v>2322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</row>
    <row r="1123" spans="1:18" ht="12.75" customHeight="1" x14ac:dyDescent="0.2">
      <c r="A1123" s="7"/>
      <c r="B1123" s="2"/>
      <c r="C1123" s="2"/>
      <c r="D1123" s="2"/>
      <c r="E1123" s="7"/>
      <c r="F1123" s="7"/>
      <c r="G1123" s="9" t="s">
        <v>2322</v>
      </c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</row>
    <row r="1124" spans="1:18" ht="12.75" customHeight="1" x14ac:dyDescent="0.2">
      <c r="A1124" s="7"/>
      <c r="B1124" s="2"/>
      <c r="C1124" s="2"/>
      <c r="D1124" s="2"/>
      <c r="E1124" s="7"/>
      <c r="F1124" s="7"/>
      <c r="G1124" s="9" t="s">
        <v>2322</v>
      </c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</row>
    <row r="1125" spans="1:18" ht="12.75" customHeight="1" x14ac:dyDescent="0.2">
      <c r="A1125" s="7"/>
      <c r="B1125" s="2"/>
      <c r="C1125" s="2"/>
      <c r="D1125" s="2"/>
      <c r="E1125" s="7"/>
      <c r="F1125" s="7"/>
      <c r="G1125" s="9" t="s">
        <v>2322</v>
      </c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</row>
    <row r="1126" spans="1:18" ht="12.75" customHeight="1" x14ac:dyDescent="0.2">
      <c r="A1126" s="7" t="str">
        <f>HYPERLINK("javascript:void(0)","mengorni mellvért")</f>
        <v>mengorni mellvért</v>
      </c>
      <c r="B1126" s="7"/>
      <c r="C1126" s="7"/>
      <c r="D1126" s="7"/>
      <c r="E1126" s="7"/>
      <c r="F1126" s="7"/>
      <c r="G1126" s="9" t="s">
        <v>2322</v>
      </c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</row>
    <row r="1127" spans="1:18" ht="12.75" customHeight="1" x14ac:dyDescent="0.2">
      <c r="A1127" s="7"/>
      <c r="B1127" s="2"/>
      <c r="C1127" s="2"/>
      <c r="D1127" s="2"/>
      <c r="E1127" s="7"/>
      <c r="F1127" s="7"/>
      <c r="G1127" s="9" t="s">
        <v>2322</v>
      </c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</row>
    <row r="1128" spans="1:18" ht="12.75" customHeight="1" x14ac:dyDescent="0.2">
      <c r="A1128" s="7"/>
      <c r="B1128" s="2" t="s">
        <v>0</v>
      </c>
      <c r="C1128" s="2" t="s">
        <v>229</v>
      </c>
      <c r="D1128" s="2"/>
      <c r="E1128" s="7"/>
      <c r="F1128" s="7"/>
      <c r="G1128" s="9" t="s">
        <v>2322</v>
      </c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</row>
    <row r="1129" spans="1:18" ht="12.75" customHeight="1" x14ac:dyDescent="0.2">
      <c r="A1129" s="7"/>
      <c r="B1129" s="2" t="s">
        <v>2</v>
      </c>
      <c r="C1129" s="2" t="s">
        <v>2322</v>
      </c>
      <c r="D1129" s="2"/>
      <c r="E1129" s="7"/>
      <c r="F1129" s="7"/>
      <c r="G1129" s="9" t="s">
        <v>2322</v>
      </c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</row>
    <row r="1130" spans="1:18" ht="12.75" customHeight="1" x14ac:dyDescent="0.2">
      <c r="A1130" s="7"/>
      <c r="B1130" s="2" t="s">
        <v>1840</v>
      </c>
      <c r="C1130" s="2" t="s">
        <v>1805</v>
      </c>
      <c r="D1130" s="2"/>
      <c r="E1130" s="7"/>
      <c r="F1130" s="7"/>
      <c r="G1130" s="9" t="s">
        <v>2322</v>
      </c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</row>
    <row r="1131" spans="1:18" ht="12.75" customHeight="1" x14ac:dyDescent="0.2">
      <c r="A1131" s="7"/>
      <c r="B1131" s="2" t="s">
        <v>9</v>
      </c>
      <c r="C1131" s="2" t="s">
        <v>464</v>
      </c>
      <c r="D1131" s="2"/>
      <c r="E1131" s="7"/>
      <c r="F1131" s="7"/>
      <c r="G1131" s="9" t="s">
        <v>2322</v>
      </c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</row>
    <row r="1132" spans="1:18" ht="12.75" customHeight="1" x14ac:dyDescent="0.2">
      <c r="A1132" s="7"/>
      <c r="B1132" s="2" t="s">
        <v>11</v>
      </c>
      <c r="C1132" s="2" t="s">
        <v>587</v>
      </c>
      <c r="D1132" s="2"/>
      <c r="E1132" s="7"/>
      <c r="F1132" s="7"/>
      <c r="G1132" s="9" t="s">
        <v>2322</v>
      </c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</row>
    <row r="1133" spans="1:18" ht="12.75" customHeight="1" x14ac:dyDescent="0.2">
      <c r="A1133" s="7"/>
      <c r="B1133" s="2" t="s">
        <v>16</v>
      </c>
      <c r="C1133" s="2"/>
      <c r="D1133" s="2"/>
      <c r="E1133" s="7"/>
      <c r="F1133" s="7"/>
      <c r="G1133" s="9" t="s">
        <v>2322</v>
      </c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</row>
    <row r="1134" spans="1:18" ht="12.75" customHeight="1" x14ac:dyDescent="0.2">
      <c r="A1134" s="7"/>
      <c r="B1134" s="2" t="s">
        <v>17</v>
      </c>
      <c r="C1134" s="2" t="s">
        <v>19</v>
      </c>
      <c r="D1134" s="2"/>
      <c r="E1134" s="7"/>
      <c r="F1134" s="7"/>
      <c r="G1134" s="9" t="s">
        <v>2322</v>
      </c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</row>
    <row r="1135" spans="1:18" ht="12.75" customHeight="1" x14ac:dyDescent="0.2">
      <c r="A1135" s="7"/>
      <c r="B1135" s="2" t="s">
        <v>18</v>
      </c>
      <c r="C1135" s="2" t="s">
        <v>44</v>
      </c>
      <c r="D1135" s="2" t="str">
        <f>HYPERLINK("javascript:void(0)","kentacél mellvért")</f>
        <v>kentacél mellvért</v>
      </c>
      <c r="E1135" s="7"/>
      <c r="F1135" s="7"/>
      <c r="G1135" s="9" t="s">
        <v>2322</v>
      </c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</row>
    <row r="1136" spans="1:18" ht="12.75" customHeight="1" x14ac:dyDescent="0.2">
      <c r="A1136" s="7"/>
      <c r="B1136" s="2"/>
      <c r="C1136" s="2" t="s">
        <v>68</v>
      </c>
      <c r="D1136" s="2" t="str">
        <f>HYPERLINK("javascript:void(0)","hacuka")</f>
        <v>hacuka</v>
      </c>
      <c r="E1136" s="7"/>
      <c r="F1136" s="7"/>
      <c r="G1136" s="9" t="s">
        <v>2322</v>
      </c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</row>
    <row r="1137" spans="1:18" ht="12.75" customHeight="1" x14ac:dyDescent="0.2">
      <c r="A1137" s="7"/>
      <c r="B1137" s="2"/>
      <c r="C1137" s="2" t="s">
        <v>309</v>
      </c>
      <c r="D1137" s="2" t="str">
        <f>HYPERLINK("javascript:void(0)","rotorlapát")</f>
        <v>rotorlapát</v>
      </c>
      <c r="E1137" s="7"/>
      <c r="F1137" s="7"/>
      <c r="G1137" s="9" t="s">
        <v>2322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</row>
    <row r="1138" spans="1:18" ht="12.75" customHeight="1" x14ac:dyDescent="0.2">
      <c r="A1138" s="7"/>
      <c r="B1138" s="2"/>
      <c r="C1138" s="2"/>
      <c r="D1138" s="2"/>
      <c r="E1138" s="7"/>
      <c r="F1138" s="7"/>
      <c r="G1138" s="9" t="s">
        <v>2322</v>
      </c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</row>
    <row r="1139" spans="1:18" ht="12.75" customHeight="1" x14ac:dyDescent="0.2">
      <c r="A1139" s="7"/>
      <c r="B1139" s="2"/>
      <c r="C1139" s="2"/>
      <c r="D1139" s="2"/>
      <c r="E1139" s="7"/>
      <c r="F1139" s="7"/>
      <c r="G1139" s="9" t="s">
        <v>2322</v>
      </c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</row>
    <row r="1140" spans="1:18" ht="12.75" customHeight="1" x14ac:dyDescent="0.2">
      <c r="A1140" s="7"/>
      <c r="B1140" s="2"/>
      <c r="C1140" s="2"/>
      <c r="D1140" s="2"/>
      <c r="E1140" s="7"/>
      <c r="F1140" s="7"/>
      <c r="G1140" s="9" t="s">
        <v>2322</v>
      </c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</row>
    <row r="1141" spans="1:18" ht="12.75" customHeight="1" x14ac:dyDescent="0.2">
      <c r="A1141" s="7"/>
      <c r="B1141" s="2"/>
      <c r="C1141" s="2"/>
      <c r="D1141" s="2"/>
      <c r="E1141" s="7"/>
      <c r="F1141" s="7"/>
      <c r="G1141" s="9" t="s">
        <v>2322</v>
      </c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</row>
    <row r="1142" spans="1:18" ht="12.75" customHeight="1" x14ac:dyDescent="0.2">
      <c r="A1142" s="7"/>
      <c r="B1142" s="2"/>
      <c r="C1142" s="2"/>
      <c r="D1142" s="2"/>
      <c r="E1142" s="7"/>
      <c r="F1142" s="7"/>
      <c r="G1142" s="9" t="s">
        <v>2322</v>
      </c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</row>
    <row r="1143" spans="1:18" ht="12.75" customHeight="1" x14ac:dyDescent="0.2">
      <c r="A1143" s="7" t="str">
        <f>HYPERLINK("javascript:void(0)","uszonytaréj")</f>
        <v>uszonytaréj</v>
      </c>
      <c r="B1143" s="7"/>
      <c r="C1143" s="7"/>
      <c r="D1143" s="7"/>
      <c r="E1143" s="7"/>
      <c r="F1143" s="7"/>
      <c r="G1143" s="9" t="s">
        <v>2322</v>
      </c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</row>
    <row r="1144" spans="1:18" ht="12.75" customHeight="1" x14ac:dyDescent="0.2">
      <c r="A1144" s="7"/>
      <c r="B1144" s="2"/>
      <c r="C1144" s="2"/>
      <c r="D1144" s="2"/>
      <c r="E1144" s="7"/>
      <c r="F1144" s="7"/>
      <c r="G1144" s="9" t="s">
        <v>2322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</row>
    <row r="1145" spans="1:18" ht="12.75" customHeight="1" x14ac:dyDescent="0.2">
      <c r="A1145" s="7"/>
      <c r="B1145" s="2" t="s">
        <v>0</v>
      </c>
      <c r="C1145" s="2" t="s">
        <v>229</v>
      </c>
      <c r="D1145" s="2"/>
      <c r="E1145" s="7"/>
      <c r="F1145" s="7"/>
      <c r="G1145" s="9" t="s">
        <v>2322</v>
      </c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</row>
    <row r="1146" spans="1:18" ht="12.75" customHeight="1" x14ac:dyDescent="0.2">
      <c r="A1146" s="7"/>
      <c r="B1146" s="2" t="s">
        <v>2</v>
      </c>
      <c r="C1146" s="2" t="s">
        <v>2322</v>
      </c>
      <c r="D1146" s="2"/>
      <c r="E1146" s="7"/>
      <c r="F1146" s="7"/>
      <c r="G1146" s="9" t="s">
        <v>2322</v>
      </c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</row>
    <row r="1147" spans="1:18" ht="12.75" customHeight="1" x14ac:dyDescent="0.2">
      <c r="A1147" s="7"/>
      <c r="B1147" s="2" t="s">
        <v>1840</v>
      </c>
      <c r="C1147" s="2" t="s">
        <v>272</v>
      </c>
      <c r="D1147" s="2"/>
      <c r="E1147" s="7"/>
      <c r="F1147" s="7"/>
      <c r="G1147" s="9" t="s">
        <v>2322</v>
      </c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</row>
    <row r="1148" spans="1:18" ht="12.75" customHeight="1" x14ac:dyDescent="0.2">
      <c r="A1148" s="7"/>
      <c r="B1148" s="2" t="s">
        <v>9</v>
      </c>
      <c r="C1148" s="2" t="s">
        <v>27</v>
      </c>
      <c r="D1148" s="2"/>
      <c r="E1148" s="7"/>
      <c r="F1148" s="7"/>
      <c r="G1148" s="9" t="s">
        <v>2322</v>
      </c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</row>
    <row r="1149" spans="1:18" ht="12.75" customHeight="1" x14ac:dyDescent="0.2">
      <c r="A1149" s="7"/>
      <c r="B1149" s="2" t="s">
        <v>11</v>
      </c>
      <c r="C1149" s="2" t="s">
        <v>368</v>
      </c>
      <c r="D1149" s="2"/>
      <c r="E1149" s="7"/>
      <c r="F1149" s="7"/>
      <c r="G1149" s="9" t="s">
        <v>2322</v>
      </c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</row>
    <row r="1150" spans="1:18" ht="12.75" customHeight="1" x14ac:dyDescent="0.2">
      <c r="A1150" s="7"/>
      <c r="B1150" s="2" t="s">
        <v>16</v>
      </c>
      <c r="C1150" s="2"/>
      <c r="D1150" s="2"/>
      <c r="E1150" s="7"/>
      <c r="F1150" s="7"/>
      <c r="G1150" s="9" t="s">
        <v>2322</v>
      </c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</row>
    <row r="1151" spans="1:18" ht="12.75" customHeight="1" x14ac:dyDescent="0.2">
      <c r="A1151" s="7"/>
      <c r="B1151" s="2" t="s">
        <v>17</v>
      </c>
      <c r="C1151" s="2" t="s">
        <v>19</v>
      </c>
      <c r="D1151" s="2"/>
      <c r="E1151" s="7"/>
      <c r="F1151" s="7"/>
      <c r="G1151" s="9" t="s">
        <v>2322</v>
      </c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</row>
    <row r="1152" spans="1:18" ht="12.75" customHeight="1" x14ac:dyDescent="0.2">
      <c r="A1152" s="7"/>
      <c r="B1152" s="2" t="s">
        <v>18</v>
      </c>
      <c r="C1152" s="2" t="s">
        <v>77</v>
      </c>
      <c r="D1152" s="2" t="str">
        <f>HYPERLINK("javascript:void(0)","uszony")</f>
        <v>uszony</v>
      </c>
      <c r="E1152" s="7"/>
      <c r="F1152" s="7"/>
      <c r="G1152" s="9" t="s">
        <v>2322</v>
      </c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</row>
    <row r="1153" spans="1:18" ht="12.75" customHeight="1" x14ac:dyDescent="0.2">
      <c r="A1153" s="7"/>
      <c r="B1153" s="2"/>
      <c r="C1153" s="2" t="s">
        <v>163</v>
      </c>
      <c r="D1153" s="2" t="str">
        <f>HYPERLINK("javascript:void(0)","morfige")</f>
        <v>morfige</v>
      </c>
      <c r="E1153" s="7"/>
      <c r="F1153" s="7"/>
      <c r="G1153" s="9" t="s">
        <v>2322</v>
      </c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</row>
    <row r="1154" spans="1:18" ht="12.75" customHeight="1" x14ac:dyDescent="0.2">
      <c r="A1154" s="7"/>
      <c r="B1154" s="2"/>
      <c r="C1154" s="2" t="s">
        <v>98</v>
      </c>
      <c r="D1154" s="2" t="str">
        <f>HYPERLINK("javascript:void(0)","űrlap")</f>
        <v>űrlap</v>
      </c>
      <c r="E1154" s="7"/>
      <c r="F1154" s="7"/>
      <c r="G1154" s="9" t="s">
        <v>2322</v>
      </c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</row>
    <row r="1155" spans="1:18" ht="12.75" customHeight="1" x14ac:dyDescent="0.2">
      <c r="A1155" s="7"/>
      <c r="B1155" s="2"/>
      <c r="C1155" s="2"/>
      <c r="D1155" s="2"/>
      <c r="E1155" s="7"/>
      <c r="F1155" s="7"/>
      <c r="G1155" s="9" t="s">
        <v>2322</v>
      </c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</row>
    <row r="1156" spans="1:18" ht="12.75" customHeight="1" x14ac:dyDescent="0.2">
      <c r="A1156" s="7"/>
      <c r="B1156" s="2"/>
      <c r="C1156" s="2"/>
      <c r="D1156" s="2"/>
      <c r="E1156" s="7"/>
      <c r="F1156" s="7"/>
      <c r="G1156" s="9" t="s">
        <v>2322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</row>
    <row r="1157" spans="1:18" ht="12.75" customHeight="1" x14ac:dyDescent="0.2">
      <c r="A1157" s="7"/>
      <c r="B1157" s="2"/>
      <c r="C1157" s="2"/>
      <c r="D1157" s="2"/>
      <c r="E1157" s="7"/>
      <c r="F1157" s="7"/>
      <c r="G1157" s="9" t="s">
        <v>2322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</row>
    <row r="1158" spans="1:18" ht="12.75" customHeight="1" x14ac:dyDescent="0.2">
      <c r="A1158" s="7"/>
      <c r="B1158" s="2"/>
      <c r="C1158" s="2"/>
      <c r="D1158" s="2"/>
      <c r="E1158" s="7"/>
      <c r="F1158" s="7"/>
      <c r="G1158" s="9" t="s">
        <v>2322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</row>
    <row r="1159" spans="1:18" ht="12.75" customHeight="1" x14ac:dyDescent="0.2">
      <c r="A1159" s="7"/>
      <c r="B1159" s="2"/>
      <c r="C1159" s="2"/>
      <c r="D1159" s="2"/>
      <c r="E1159" s="7"/>
      <c r="F1159" s="7"/>
      <c r="G1159" s="9" t="s">
        <v>2322</v>
      </c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</row>
    <row r="1160" spans="1:18" ht="12.75" customHeight="1" x14ac:dyDescent="0.2">
      <c r="A1160" s="7" t="str">
        <f>HYPERLINK("javascript:void(0)","skivei mellvért")</f>
        <v>skivei mellvért</v>
      </c>
      <c r="B1160" s="7"/>
      <c r="C1160" s="7"/>
      <c r="D1160" s="7"/>
      <c r="E1160" s="7"/>
      <c r="F1160" s="7"/>
      <c r="G1160" s="9" t="s">
        <v>2322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</row>
    <row r="1161" spans="1:18" ht="12.75" customHeight="1" x14ac:dyDescent="0.2">
      <c r="A1161" s="7"/>
      <c r="B1161" s="2"/>
      <c r="C1161" s="2"/>
      <c r="D1161" s="2"/>
      <c r="E1161" s="7"/>
      <c r="F1161" s="7"/>
      <c r="G1161" s="9" t="s">
        <v>2322</v>
      </c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</row>
    <row r="1162" spans="1:18" ht="12.75" customHeight="1" x14ac:dyDescent="0.2">
      <c r="A1162" s="7"/>
      <c r="B1162" s="2" t="s">
        <v>0</v>
      </c>
      <c r="C1162" s="2" t="s">
        <v>562</v>
      </c>
      <c r="D1162" s="2"/>
      <c r="E1162" s="7"/>
      <c r="F1162" s="7"/>
      <c r="G1162" s="9" t="s">
        <v>2322</v>
      </c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</row>
    <row r="1163" spans="1:18" ht="12.75" customHeight="1" x14ac:dyDescent="0.2">
      <c r="A1163" s="7"/>
      <c r="B1163" s="2" t="s">
        <v>2</v>
      </c>
      <c r="C1163" s="2" t="s">
        <v>2322</v>
      </c>
      <c r="D1163" s="2"/>
      <c r="E1163" s="7"/>
      <c r="F1163" s="7"/>
      <c r="G1163" s="9" t="s">
        <v>2322</v>
      </c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</row>
    <row r="1164" spans="1:18" ht="12.75" customHeight="1" x14ac:dyDescent="0.2">
      <c r="A1164" s="7"/>
      <c r="B1164" s="2" t="s">
        <v>1840</v>
      </c>
      <c r="C1164" s="2" t="s">
        <v>2415</v>
      </c>
      <c r="D1164" s="2"/>
      <c r="E1164" s="7"/>
      <c r="F1164" s="7"/>
      <c r="G1164" s="9" t="s">
        <v>2322</v>
      </c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</row>
    <row r="1165" spans="1:18" ht="12.75" customHeight="1" x14ac:dyDescent="0.2">
      <c r="A1165" s="7"/>
      <c r="B1165" s="2" t="s">
        <v>9</v>
      </c>
      <c r="C1165" s="2" t="s">
        <v>374</v>
      </c>
      <c r="D1165" s="2"/>
      <c r="E1165" s="7"/>
      <c r="F1165" s="7"/>
      <c r="G1165" s="9" t="s">
        <v>2322</v>
      </c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</row>
    <row r="1166" spans="1:18" ht="12.75" customHeight="1" x14ac:dyDescent="0.2">
      <c r="A1166" s="7"/>
      <c r="B1166" s="2" t="s">
        <v>11</v>
      </c>
      <c r="C1166" s="2" t="s">
        <v>603</v>
      </c>
      <c r="D1166" s="2"/>
      <c r="E1166" s="7"/>
      <c r="F1166" s="7"/>
      <c r="G1166" s="9" t="s">
        <v>2322</v>
      </c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</row>
    <row r="1167" spans="1:18" ht="12.75" customHeight="1" x14ac:dyDescent="0.2">
      <c r="A1167" s="7"/>
      <c r="B1167" s="2" t="s">
        <v>16</v>
      </c>
      <c r="C1167" s="2"/>
      <c r="D1167" s="2"/>
      <c r="E1167" s="7"/>
      <c r="F1167" s="7"/>
      <c r="G1167" s="9" t="s">
        <v>2322</v>
      </c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</row>
    <row r="1168" spans="1:18" ht="12.75" customHeight="1" x14ac:dyDescent="0.2">
      <c r="A1168" s="7"/>
      <c r="B1168" s="2" t="s">
        <v>17</v>
      </c>
      <c r="C1168" s="2" t="s">
        <v>19</v>
      </c>
      <c r="D1168" s="2"/>
      <c r="E1168" s="7"/>
      <c r="F1168" s="7"/>
      <c r="G1168" s="9" t="s">
        <v>2322</v>
      </c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</row>
    <row r="1169" spans="1:18" ht="12.75" customHeight="1" x14ac:dyDescent="0.2">
      <c r="A1169" s="7"/>
      <c r="B1169" s="2" t="s">
        <v>18</v>
      </c>
      <c r="C1169" s="2" t="s">
        <v>68</v>
      </c>
      <c r="D1169" s="2" t="str">
        <f>HYPERLINK("javascript:void(0)","trolltartó")</f>
        <v>trolltartó</v>
      </c>
      <c r="E1169" s="7"/>
      <c r="F1169" s="7"/>
      <c r="G1169" s="9" t="s">
        <v>2322</v>
      </c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</row>
    <row r="1170" spans="1:18" ht="12.75" customHeight="1" x14ac:dyDescent="0.2">
      <c r="A1170" s="7"/>
      <c r="B1170" s="2"/>
      <c r="C1170" s="2" t="s">
        <v>117</v>
      </c>
      <c r="D1170" s="2" t="str">
        <f>HYPERLINK("javascript:void(0)","dimenzióforgács")</f>
        <v>dimenzióforgács</v>
      </c>
      <c r="E1170" s="7"/>
      <c r="F1170" s="7"/>
      <c r="G1170" s="9" t="s">
        <v>2322</v>
      </c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</row>
    <row r="1171" spans="1:18" ht="12.75" customHeight="1" x14ac:dyDescent="0.2">
      <c r="A1171" s="7"/>
      <c r="B1171" s="2"/>
      <c r="C1171" s="2" t="s">
        <v>382</v>
      </c>
      <c r="D1171" s="2" t="str">
        <f>HYPERLINK("javascript:void(0)","morfige")</f>
        <v>morfige</v>
      </c>
      <c r="E1171" s="7"/>
      <c r="F1171" s="7"/>
      <c r="G1171" s="9" t="s">
        <v>2322</v>
      </c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</row>
    <row r="1172" spans="1:18" ht="12.75" customHeight="1" x14ac:dyDescent="0.2">
      <c r="A1172" s="7"/>
      <c r="B1172" s="2"/>
      <c r="C1172" s="2"/>
      <c r="D1172" s="2"/>
      <c r="E1172" s="7"/>
      <c r="F1172" s="7"/>
      <c r="G1172" s="9" t="s">
        <v>2322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</row>
    <row r="1173" spans="1:18" ht="12.75" customHeight="1" x14ac:dyDescent="0.2">
      <c r="A1173" s="7"/>
      <c r="B1173" s="2"/>
      <c r="C1173" s="2"/>
      <c r="D1173" s="2"/>
      <c r="E1173" s="7"/>
      <c r="F1173" s="7"/>
      <c r="G1173" s="9" t="s">
        <v>2322</v>
      </c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</row>
    <row r="1174" spans="1:18" ht="12.75" customHeight="1" x14ac:dyDescent="0.2">
      <c r="A1174" s="7"/>
      <c r="B1174" s="2"/>
      <c r="C1174" s="2"/>
      <c r="D1174" s="2"/>
      <c r="E1174" s="7"/>
      <c r="F1174" s="7"/>
      <c r="G1174" s="9" t="s">
        <v>2322</v>
      </c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</row>
    <row r="1175" spans="1:18" ht="12.75" customHeight="1" x14ac:dyDescent="0.2">
      <c r="A1175" s="7"/>
      <c r="B1175" s="2"/>
      <c r="C1175" s="2"/>
      <c r="D1175" s="2"/>
      <c r="E1175" s="7"/>
      <c r="F1175" s="7"/>
      <c r="G1175" s="9" t="s">
        <v>2322</v>
      </c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</row>
    <row r="1176" spans="1:18" ht="12.75" customHeight="1" x14ac:dyDescent="0.2">
      <c r="A1176" s="7"/>
      <c r="B1176" s="2"/>
      <c r="C1176" s="2"/>
      <c r="D1176" s="2"/>
      <c r="E1176" s="7"/>
      <c r="F1176" s="7"/>
      <c r="G1176" s="9" t="s">
        <v>2322</v>
      </c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</row>
    <row r="1177" spans="1:18" ht="12.75" customHeight="1" x14ac:dyDescent="0.2">
      <c r="A1177" s="7" t="str">
        <f>HYPERLINK("javascript:void(0)","hipertalp")</f>
        <v>hipertalp</v>
      </c>
      <c r="B1177" s="7"/>
      <c r="C1177" s="7"/>
      <c r="D1177" s="7"/>
      <c r="E1177" s="7"/>
      <c r="F1177" s="7"/>
      <c r="G1177" s="9" t="s">
        <v>2322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</row>
    <row r="1178" spans="1:18" ht="12.75" customHeight="1" x14ac:dyDescent="0.2">
      <c r="A1178" s="7"/>
      <c r="B1178" s="2"/>
      <c r="C1178" s="2"/>
      <c r="D1178" s="2"/>
      <c r="E1178" s="7"/>
      <c r="F1178" s="7"/>
      <c r="G1178" s="9" t="s">
        <v>2322</v>
      </c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</row>
    <row r="1179" spans="1:18" ht="12.75" customHeight="1" x14ac:dyDescent="0.2">
      <c r="A1179" s="7"/>
      <c r="B1179" s="2" t="s">
        <v>0</v>
      </c>
      <c r="C1179" s="2" t="s">
        <v>562</v>
      </c>
      <c r="D1179" s="2"/>
      <c r="E1179" s="7"/>
      <c r="F1179" s="7"/>
      <c r="G1179" s="9" t="s">
        <v>2322</v>
      </c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</row>
    <row r="1180" spans="1:18" ht="12.75" customHeight="1" x14ac:dyDescent="0.2">
      <c r="A1180" s="7"/>
      <c r="B1180" s="2" t="s">
        <v>2</v>
      </c>
      <c r="C1180" s="2" t="s">
        <v>2322</v>
      </c>
      <c r="D1180" s="2"/>
      <c r="E1180" s="7"/>
      <c r="F1180" s="7"/>
      <c r="G1180" s="9" t="s">
        <v>2322</v>
      </c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</row>
    <row r="1181" spans="1:18" ht="12.75" customHeight="1" x14ac:dyDescent="0.2">
      <c r="A1181" s="7"/>
      <c r="B1181" s="2" t="s">
        <v>1840</v>
      </c>
      <c r="C1181" s="2" t="s">
        <v>284</v>
      </c>
      <c r="D1181" s="2"/>
      <c r="E1181" s="7"/>
      <c r="F1181" s="7"/>
      <c r="G1181" s="9" t="s">
        <v>2322</v>
      </c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</row>
    <row r="1182" spans="1:18" ht="12.75" customHeight="1" x14ac:dyDescent="0.2">
      <c r="A1182" s="7"/>
      <c r="B1182" s="2" t="s">
        <v>9</v>
      </c>
      <c r="C1182" s="2" t="s">
        <v>27</v>
      </c>
      <c r="D1182" s="2"/>
      <c r="E1182" s="7"/>
      <c r="F1182" s="7"/>
      <c r="G1182" s="9" t="s">
        <v>2322</v>
      </c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</row>
    <row r="1183" spans="1:18" ht="12.75" customHeight="1" x14ac:dyDescent="0.2">
      <c r="A1183" s="7"/>
      <c r="B1183" s="2" t="s">
        <v>11</v>
      </c>
      <c r="C1183" s="2" t="s">
        <v>368</v>
      </c>
      <c r="D1183" s="2"/>
      <c r="E1183" s="7"/>
      <c r="F1183" s="7"/>
      <c r="G1183" s="9" t="s">
        <v>2322</v>
      </c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</row>
    <row r="1184" spans="1:18" ht="12.75" customHeight="1" x14ac:dyDescent="0.2">
      <c r="A1184" s="7"/>
      <c r="B1184" s="2" t="s">
        <v>16</v>
      </c>
      <c r="C1184" s="2"/>
      <c r="D1184" s="2"/>
      <c r="E1184" s="7"/>
      <c r="F1184" s="7"/>
      <c r="G1184" s="9" t="s">
        <v>2322</v>
      </c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</row>
    <row r="1185" spans="1:18" ht="12.75" customHeight="1" x14ac:dyDescent="0.2">
      <c r="A1185" s="7"/>
      <c r="B1185" s="2" t="s">
        <v>17</v>
      </c>
      <c r="C1185" s="2" t="s">
        <v>19</v>
      </c>
      <c r="D1185" s="2"/>
      <c r="E1185" s="7"/>
      <c r="F1185" s="7"/>
      <c r="G1185" s="9" t="s">
        <v>2322</v>
      </c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</row>
    <row r="1186" spans="1:18" ht="12.75" customHeight="1" x14ac:dyDescent="0.2">
      <c r="A1186" s="7"/>
      <c r="B1186" s="2" t="s">
        <v>18</v>
      </c>
      <c r="C1186" s="2" t="s">
        <v>67</v>
      </c>
      <c r="D1186" s="2" t="str">
        <f>HYPERLINK("javascript:void(0)","rémszarv")</f>
        <v>rémszarv</v>
      </c>
      <c r="E1186" s="7"/>
      <c r="F1186" s="7"/>
      <c r="G1186" s="9" t="s">
        <v>2322</v>
      </c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</row>
    <row r="1187" spans="1:18" ht="12.75" customHeight="1" x14ac:dyDescent="0.2">
      <c r="A1187" s="7"/>
      <c r="B1187" s="2"/>
      <c r="C1187" s="2" t="s">
        <v>193</v>
      </c>
      <c r="D1187" s="2" t="str">
        <f>HYPERLINK("javascript:void(0)","kacat")</f>
        <v>kacat</v>
      </c>
      <c r="E1187" s="7"/>
      <c r="F1187" s="7"/>
      <c r="G1187" s="9" t="s">
        <v>2322</v>
      </c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</row>
    <row r="1188" spans="1:18" ht="12.75" customHeight="1" x14ac:dyDescent="0.2">
      <c r="A1188" s="7"/>
      <c r="B1188" s="2"/>
      <c r="C1188" s="2" t="s">
        <v>193</v>
      </c>
      <c r="D1188" s="2" t="str">
        <f>HYPERLINK("javascript:void(0)","hörcsögagyar")</f>
        <v>hörcsögagyar</v>
      </c>
      <c r="E1188" s="7"/>
      <c r="F1188" s="7"/>
      <c r="G1188" s="9" t="s">
        <v>2322</v>
      </c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</row>
    <row r="1189" spans="1:18" ht="12.75" customHeight="1" x14ac:dyDescent="0.2">
      <c r="A1189" s="7"/>
      <c r="B1189" s="2"/>
      <c r="C1189" s="2"/>
      <c r="D1189" s="2"/>
      <c r="E1189" s="7"/>
      <c r="F1189" s="7"/>
      <c r="G1189" s="9" t="s">
        <v>2322</v>
      </c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</row>
    <row r="1190" spans="1:18" ht="12.75" customHeight="1" x14ac:dyDescent="0.2">
      <c r="A1190" s="7"/>
      <c r="B1190" s="2"/>
      <c r="C1190" s="2"/>
      <c r="D1190" s="2"/>
      <c r="E1190" s="7"/>
      <c r="F1190" s="7"/>
      <c r="G1190" s="9" t="s">
        <v>2322</v>
      </c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</row>
    <row r="1191" spans="1:18" ht="12.75" customHeight="1" x14ac:dyDescent="0.2">
      <c r="A1191" s="7"/>
      <c r="B1191" s="2"/>
      <c r="C1191" s="2"/>
      <c r="D1191" s="2"/>
      <c r="E1191" s="7"/>
      <c r="F1191" s="7"/>
      <c r="G1191" s="9" t="s">
        <v>2322</v>
      </c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</row>
    <row r="1192" spans="1:18" ht="12.75" customHeight="1" x14ac:dyDescent="0.2">
      <c r="A1192" s="7"/>
      <c r="B1192" s="2"/>
      <c r="C1192" s="2"/>
      <c r="D1192" s="2"/>
      <c r="E1192" s="7"/>
      <c r="F1192" s="7"/>
      <c r="G1192" s="9" t="s">
        <v>2322</v>
      </c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</row>
    <row r="1193" spans="1:18" ht="12.75" customHeight="1" x14ac:dyDescent="0.2">
      <c r="A1193" s="7"/>
      <c r="B1193" s="2"/>
      <c r="C1193" s="2"/>
      <c r="D1193" s="2"/>
      <c r="E1193" s="7"/>
      <c r="F1193" s="7"/>
      <c r="G1193" s="9" t="s">
        <v>2322</v>
      </c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</row>
    <row r="1194" spans="1:18" ht="12.75" customHeight="1" x14ac:dyDescent="0.2">
      <c r="A1194" s="7" t="str">
        <f>HYPERLINK("javascript:void(0)","rimföldi mellvért")</f>
        <v>rimföldi mellvért</v>
      </c>
      <c r="B1194" s="7"/>
      <c r="C1194" s="7"/>
      <c r="D1194" s="7"/>
      <c r="E1194" s="7"/>
      <c r="F1194" s="7"/>
      <c r="G1194" s="9" t="s">
        <v>2322</v>
      </c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</row>
    <row r="1195" spans="1:18" ht="12.75" customHeight="1" x14ac:dyDescent="0.2">
      <c r="A1195" s="7"/>
      <c r="B1195" s="2"/>
      <c r="C1195" s="2"/>
      <c r="D1195" s="2"/>
      <c r="E1195" s="7"/>
      <c r="F1195" s="7"/>
      <c r="G1195" s="9" t="s">
        <v>2322</v>
      </c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</row>
    <row r="1196" spans="1:18" ht="12.75" customHeight="1" x14ac:dyDescent="0.2">
      <c r="A1196" s="7"/>
      <c r="B1196" s="2" t="s">
        <v>0</v>
      </c>
      <c r="C1196" s="2" t="s">
        <v>575</v>
      </c>
      <c r="D1196" s="2"/>
      <c r="E1196" s="7"/>
      <c r="F1196" s="7"/>
      <c r="G1196" s="9" t="s">
        <v>2322</v>
      </c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</row>
    <row r="1197" spans="1:18" ht="12.75" customHeight="1" x14ac:dyDescent="0.2">
      <c r="A1197" s="7"/>
      <c r="B1197" s="2" t="s">
        <v>2</v>
      </c>
      <c r="C1197" s="2" t="s">
        <v>2322</v>
      </c>
      <c r="D1197" s="2"/>
      <c r="E1197" s="7"/>
      <c r="F1197" s="7"/>
      <c r="G1197" s="9" t="s">
        <v>2322</v>
      </c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</row>
    <row r="1198" spans="1:18" ht="12.75" customHeight="1" x14ac:dyDescent="0.2">
      <c r="A1198" s="7"/>
      <c r="B1198" s="2" t="s">
        <v>1840</v>
      </c>
      <c r="C1198" s="2" t="s">
        <v>517</v>
      </c>
      <c r="D1198" s="2"/>
      <c r="E1198" s="7"/>
      <c r="F1198" s="7"/>
      <c r="G1198" s="9" t="s">
        <v>2322</v>
      </c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</row>
    <row r="1199" spans="1:18" ht="12.75" customHeight="1" x14ac:dyDescent="0.2">
      <c r="A1199" s="7"/>
      <c r="B1199" s="2" t="s">
        <v>9</v>
      </c>
      <c r="C1199" s="2" t="s">
        <v>464</v>
      </c>
      <c r="D1199" s="2"/>
      <c r="E1199" s="7"/>
      <c r="F1199" s="7"/>
      <c r="G1199" s="9" t="s">
        <v>2322</v>
      </c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</row>
    <row r="1200" spans="1:18" ht="12.75" customHeight="1" x14ac:dyDescent="0.2">
      <c r="A1200" s="7"/>
      <c r="B1200" s="2" t="s">
        <v>11</v>
      </c>
      <c r="C1200" s="2" t="s">
        <v>625</v>
      </c>
      <c r="D1200" s="2"/>
      <c r="E1200" s="7"/>
      <c r="F1200" s="7"/>
      <c r="G1200" s="9" t="s">
        <v>2322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</row>
    <row r="1201" spans="1:18" ht="12.75" customHeight="1" x14ac:dyDescent="0.2">
      <c r="A1201" s="7"/>
      <c r="B1201" s="2" t="s">
        <v>16</v>
      </c>
      <c r="C1201" s="2"/>
      <c r="D1201" s="2"/>
      <c r="E1201" s="7"/>
      <c r="F1201" s="7"/>
      <c r="G1201" s="9" t="s">
        <v>2322</v>
      </c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</row>
    <row r="1202" spans="1:18" ht="12.75" customHeight="1" x14ac:dyDescent="0.2">
      <c r="A1202" s="7"/>
      <c r="B1202" s="2" t="s">
        <v>17</v>
      </c>
      <c r="C1202" s="2" t="s">
        <v>19</v>
      </c>
      <c r="D1202" s="2"/>
      <c r="E1202" s="7"/>
      <c r="F1202" s="7"/>
      <c r="G1202" s="9" t="s">
        <v>2322</v>
      </c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</row>
    <row r="1203" spans="1:18" ht="12.75" customHeight="1" x14ac:dyDescent="0.2">
      <c r="A1203" s="7"/>
      <c r="B1203" s="2" t="s">
        <v>18</v>
      </c>
      <c r="C1203" s="2" t="s">
        <v>44</v>
      </c>
      <c r="D1203" s="2" t="str">
        <f>HYPERLINK("javascript:void(0)","mengorni mellvért")</f>
        <v>mengorni mellvért</v>
      </c>
      <c r="E1203" s="7"/>
      <c r="F1203" s="7"/>
      <c r="G1203" s="9" t="s">
        <v>2322</v>
      </c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</row>
    <row r="1204" spans="1:18" ht="12.75" customHeight="1" x14ac:dyDescent="0.2">
      <c r="A1204" s="7"/>
      <c r="B1204" s="2"/>
      <c r="C1204" s="2" t="s">
        <v>44</v>
      </c>
      <c r="D1204" s="2" t="str">
        <f>HYPERLINK("javascript:void(0)","skivei mellvért")</f>
        <v>skivei mellvért</v>
      </c>
      <c r="E1204" s="7"/>
      <c r="F1204" s="7"/>
      <c r="G1204" s="9" t="s">
        <v>2322</v>
      </c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</row>
    <row r="1205" spans="1:18" ht="12.75" customHeight="1" x14ac:dyDescent="0.2">
      <c r="A1205" s="7"/>
      <c r="B1205" s="2"/>
      <c r="C1205" s="2" t="s">
        <v>44</v>
      </c>
      <c r="D1205" s="2" t="str">
        <f>HYPERLINK("javascript:void(0)","rimföldi előlap")</f>
        <v>rimföldi előlap</v>
      </c>
      <c r="E1205" s="7"/>
      <c r="F1205" s="7"/>
      <c r="G1205" s="9" t="s">
        <v>2322</v>
      </c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</row>
    <row r="1206" spans="1:18" ht="12.75" customHeight="1" x14ac:dyDescent="0.2">
      <c r="A1206" s="7"/>
      <c r="B1206" s="2"/>
      <c r="C1206" s="2"/>
      <c r="D1206" s="2"/>
      <c r="E1206" s="7"/>
      <c r="F1206" s="7"/>
      <c r="G1206" s="9" t="s">
        <v>2322</v>
      </c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</row>
    <row r="1207" spans="1:18" ht="12.75" customHeight="1" x14ac:dyDescent="0.2">
      <c r="A1207" s="7"/>
      <c r="B1207" s="2"/>
      <c r="C1207" s="2"/>
      <c r="D1207" s="2"/>
      <c r="E1207" s="7"/>
      <c r="F1207" s="7"/>
      <c r="G1207" s="9" t="s">
        <v>2322</v>
      </c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</row>
    <row r="1208" spans="1:18" ht="12.75" customHeight="1" x14ac:dyDescent="0.2">
      <c r="A1208" s="7"/>
      <c r="B1208" s="2"/>
      <c r="C1208" s="2"/>
      <c r="D1208" s="2"/>
      <c r="E1208" s="7"/>
      <c r="F1208" s="7"/>
      <c r="G1208" s="9" t="s">
        <v>2322</v>
      </c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</row>
    <row r="1209" spans="1:18" ht="12.75" customHeight="1" x14ac:dyDescent="0.2">
      <c r="A1209" s="7"/>
      <c r="B1209" s="2"/>
      <c r="C1209" s="2"/>
      <c r="D1209" s="2"/>
      <c r="E1209" s="7"/>
      <c r="F1209" s="7"/>
      <c r="G1209" s="9" t="s">
        <v>2322</v>
      </c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</row>
    <row r="1210" spans="1:18" ht="12.75" customHeight="1" x14ac:dyDescent="0.2">
      <c r="A1210" s="7"/>
      <c r="B1210" s="2"/>
      <c r="C1210" s="2"/>
      <c r="D1210" s="2"/>
      <c r="E1210" s="7"/>
      <c r="F1210" s="7"/>
      <c r="G1210" s="9" t="s">
        <v>2322</v>
      </c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</row>
    <row r="1211" spans="1:18" ht="12.75" customHeight="1" x14ac:dyDescent="0.2">
      <c r="A1211" s="7" t="str">
        <f>HYPERLINK("javascript:void(0)","rimföldi előlap")</f>
        <v>rimföldi előlap</v>
      </c>
      <c r="B1211" s="7"/>
      <c r="C1211" s="7"/>
      <c r="D1211" s="7"/>
      <c r="E1211" s="7"/>
      <c r="F1211" s="7"/>
      <c r="G1211" s="9" t="s">
        <v>2322</v>
      </c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</row>
    <row r="1212" spans="1:18" ht="12.75" customHeight="1" x14ac:dyDescent="0.2">
      <c r="A1212" s="7"/>
      <c r="B1212" s="2"/>
      <c r="C1212" s="2"/>
      <c r="D1212" s="2"/>
      <c r="E1212" s="7"/>
      <c r="F1212" s="7"/>
      <c r="G1212" s="9" t="s">
        <v>2322</v>
      </c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</row>
    <row r="1213" spans="1:18" ht="12.75" customHeight="1" x14ac:dyDescent="0.2">
      <c r="A1213" s="7"/>
      <c r="B1213" s="2" t="s">
        <v>0</v>
      </c>
      <c r="C1213" s="2" t="s">
        <v>575</v>
      </c>
      <c r="D1213" s="2"/>
      <c r="E1213" s="7"/>
      <c r="F1213" s="7"/>
      <c r="G1213" s="9" t="s">
        <v>2322</v>
      </c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</row>
    <row r="1214" spans="1:18" ht="12.75" customHeight="1" x14ac:dyDescent="0.2">
      <c r="A1214" s="7"/>
      <c r="B1214" s="2" t="s">
        <v>2</v>
      </c>
      <c r="C1214" s="2" t="s">
        <v>2322</v>
      </c>
      <c r="D1214" s="2"/>
      <c r="E1214" s="7"/>
      <c r="F1214" s="7"/>
      <c r="G1214" s="9" t="s">
        <v>2322</v>
      </c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</row>
    <row r="1215" spans="1:18" ht="12.75" customHeight="1" x14ac:dyDescent="0.2">
      <c r="A1215" s="7"/>
      <c r="B1215" s="2" t="s">
        <v>1840</v>
      </c>
      <c r="C1215" s="2" t="s">
        <v>107</v>
      </c>
      <c r="D1215" s="2"/>
      <c r="E1215" s="7"/>
      <c r="F1215" s="7"/>
      <c r="G1215" s="9" t="s">
        <v>2322</v>
      </c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</row>
    <row r="1216" spans="1:18" ht="12.75" customHeight="1" x14ac:dyDescent="0.2">
      <c r="A1216" s="7"/>
      <c r="B1216" s="2" t="s">
        <v>9</v>
      </c>
      <c r="C1216" s="2" t="s">
        <v>42</v>
      </c>
      <c r="D1216" s="2"/>
      <c r="E1216" s="7"/>
      <c r="F1216" s="7"/>
      <c r="G1216" s="9" t="s">
        <v>2322</v>
      </c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</row>
    <row r="1217" spans="1:18" ht="12.75" customHeight="1" x14ac:dyDescent="0.2">
      <c r="A1217" s="7"/>
      <c r="B1217" s="2" t="s">
        <v>11</v>
      </c>
      <c r="C1217" s="2" t="s">
        <v>368</v>
      </c>
      <c r="D1217" s="2"/>
      <c r="E1217" s="7"/>
      <c r="F1217" s="7"/>
      <c r="G1217" s="9" t="s">
        <v>2322</v>
      </c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</row>
    <row r="1218" spans="1:18" ht="12.75" customHeight="1" x14ac:dyDescent="0.2">
      <c r="A1218" s="7"/>
      <c r="B1218" s="2" t="s">
        <v>16</v>
      </c>
      <c r="C1218" s="2"/>
      <c r="D1218" s="2"/>
      <c r="E1218" s="7"/>
      <c r="F1218" s="7"/>
      <c r="G1218" s="9" t="s">
        <v>2322</v>
      </c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</row>
    <row r="1219" spans="1:18" ht="12.75" customHeight="1" x14ac:dyDescent="0.2">
      <c r="A1219" s="7"/>
      <c r="B1219" s="2" t="s">
        <v>17</v>
      </c>
      <c r="C1219" s="2" t="s">
        <v>19</v>
      </c>
      <c r="D1219" s="2"/>
      <c r="E1219" s="7"/>
      <c r="F1219" s="7"/>
      <c r="G1219" s="9" t="s">
        <v>2322</v>
      </c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</row>
    <row r="1220" spans="1:18" ht="12.75" customHeight="1" x14ac:dyDescent="0.2">
      <c r="A1220" s="7"/>
      <c r="B1220" s="2" t="s">
        <v>18</v>
      </c>
      <c r="C1220" s="2" t="s">
        <v>68</v>
      </c>
      <c r="D1220" s="2" t="str">
        <f>HYPERLINK("javascript:void(0)","mechodron")</f>
        <v>mechodron</v>
      </c>
      <c r="E1220" s="7"/>
      <c r="F1220" s="7"/>
      <c r="G1220" s="9" t="s">
        <v>2322</v>
      </c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</row>
    <row r="1221" spans="1:18" ht="12.75" customHeight="1" x14ac:dyDescent="0.2">
      <c r="A1221" s="7"/>
      <c r="B1221" s="2"/>
      <c r="C1221" s="2" t="s">
        <v>117</v>
      </c>
      <c r="D1221" s="2" t="str">
        <f>HYPERLINK("javascript:void(0)","imázs")</f>
        <v>imázs</v>
      </c>
      <c r="E1221" s="7"/>
      <c r="F1221" s="7"/>
      <c r="G1221" s="9" t="s">
        <v>2322</v>
      </c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</row>
    <row r="1222" spans="1:18" ht="12.75" customHeight="1" x14ac:dyDescent="0.2">
      <c r="A1222" s="7"/>
      <c r="B1222" s="2"/>
      <c r="C1222" s="2" t="s">
        <v>382</v>
      </c>
      <c r="D1222" s="2" t="str">
        <f>HYPERLINK("javascript:void(0)","morfige")</f>
        <v>morfige</v>
      </c>
      <c r="E1222" s="7"/>
      <c r="F1222" s="7"/>
      <c r="G1222" s="9" t="s">
        <v>2322</v>
      </c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</row>
    <row r="1223" spans="1:18" ht="12.75" customHeight="1" x14ac:dyDescent="0.2">
      <c r="A1223" s="7"/>
      <c r="B1223" s="2"/>
      <c r="C1223" s="2"/>
      <c r="D1223" s="2"/>
      <c r="E1223" s="7"/>
      <c r="F1223" s="7"/>
      <c r="G1223" s="9" t="s">
        <v>2322</v>
      </c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</row>
    <row r="1224" spans="1:18" ht="12.75" customHeight="1" x14ac:dyDescent="0.2">
      <c r="A1224" s="7"/>
      <c r="B1224" s="2"/>
      <c r="C1224" s="2"/>
      <c r="D1224" s="2"/>
      <c r="E1224" s="7"/>
      <c r="F1224" s="7"/>
      <c r="G1224" s="9" t="s">
        <v>2322</v>
      </c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</row>
    <row r="1225" spans="1:18" ht="12.75" customHeight="1" x14ac:dyDescent="0.2">
      <c r="A1225" s="7"/>
      <c r="B1225" s="2"/>
      <c r="C1225" s="2"/>
      <c r="D1225" s="2"/>
      <c r="E1225" s="7"/>
      <c r="F1225" s="7"/>
      <c r="G1225" s="9" t="s">
        <v>2322</v>
      </c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</row>
    <row r="1226" spans="1:18" ht="12.75" customHeight="1" x14ac:dyDescent="0.2">
      <c r="A1226" s="7"/>
      <c r="B1226" s="2"/>
      <c r="C1226" s="2"/>
      <c r="D1226" s="2"/>
      <c r="E1226" s="7"/>
      <c r="F1226" s="7"/>
      <c r="G1226" s="9" t="s">
        <v>2322</v>
      </c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</row>
    <row r="1227" spans="1:18" ht="12.75" customHeight="1" x14ac:dyDescent="0.2">
      <c r="A1227" s="7"/>
      <c r="B1227" s="2"/>
      <c r="C1227" s="2"/>
      <c r="D1227" s="2"/>
      <c r="E1227" s="7"/>
      <c r="F1227" s="7"/>
      <c r="G1227" s="9" t="s">
        <v>2322</v>
      </c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</row>
    <row r="1228" spans="1:18" ht="12.75" customHeight="1" x14ac:dyDescent="0.2">
      <c r="A1228" s="7" t="str">
        <f>HYPERLINK("javascript:void(0)","parszi mellvért")</f>
        <v>parszi mellvért</v>
      </c>
      <c r="B1228" s="7"/>
      <c r="C1228" s="7"/>
      <c r="D1228" s="7"/>
      <c r="E1228" s="7"/>
      <c r="F1228" s="7"/>
      <c r="G1228" s="9" t="s">
        <v>2322</v>
      </c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</row>
    <row r="1229" spans="1:18" ht="12.75" customHeight="1" x14ac:dyDescent="0.2">
      <c r="A1229" s="7"/>
      <c r="B1229" s="2"/>
      <c r="C1229" s="2"/>
      <c r="D1229" s="2"/>
      <c r="E1229" s="7"/>
      <c r="F1229" s="7"/>
      <c r="G1229" s="9" t="s">
        <v>2322</v>
      </c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</row>
    <row r="1230" spans="1:18" ht="12.75" customHeight="1" x14ac:dyDescent="0.2">
      <c r="A1230" s="7"/>
      <c r="B1230" s="2" t="s">
        <v>0</v>
      </c>
      <c r="C1230" s="2" t="s">
        <v>585</v>
      </c>
      <c r="D1230" s="2"/>
      <c r="E1230" s="7"/>
      <c r="F1230" s="7"/>
      <c r="G1230" s="9" t="s">
        <v>2322</v>
      </c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</row>
    <row r="1231" spans="1:18" ht="12.75" customHeight="1" x14ac:dyDescent="0.2">
      <c r="A1231" s="7"/>
      <c r="B1231" s="2" t="s">
        <v>2</v>
      </c>
      <c r="C1231" s="2" t="s">
        <v>2322</v>
      </c>
      <c r="D1231" s="2"/>
      <c r="E1231" s="7"/>
      <c r="F1231" s="7"/>
      <c r="G1231" s="9" t="s">
        <v>2322</v>
      </c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</row>
    <row r="1232" spans="1:18" ht="12.75" customHeight="1" x14ac:dyDescent="0.2">
      <c r="A1232" s="7"/>
      <c r="B1232" s="2" t="s">
        <v>1840</v>
      </c>
      <c r="C1232" s="2" t="s">
        <v>2418</v>
      </c>
      <c r="D1232" s="2"/>
      <c r="E1232" s="7"/>
      <c r="F1232" s="7"/>
      <c r="G1232" s="9" t="s">
        <v>2322</v>
      </c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</row>
    <row r="1233" spans="1:18" ht="12.75" customHeight="1" x14ac:dyDescent="0.2">
      <c r="A1233" s="7"/>
      <c r="B1233" s="2" t="s">
        <v>9</v>
      </c>
      <c r="C1233" s="2" t="s">
        <v>374</v>
      </c>
      <c r="D1233" s="2"/>
      <c r="E1233" s="7"/>
      <c r="F1233" s="7"/>
      <c r="G1233" s="9" t="s">
        <v>2322</v>
      </c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</row>
    <row r="1234" spans="1:18" ht="12.75" customHeight="1" x14ac:dyDescent="0.2">
      <c r="A1234" s="7"/>
      <c r="B1234" s="2" t="s">
        <v>11</v>
      </c>
      <c r="C1234" s="2" t="s">
        <v>645</v>
      </c>
      <c r="D1234" s="2"/>
      <c r="E1234" s="7"/>
      <c r="F1234" s="7"/>
      <c r="G1234" s="9" t="s">
        <v>2322</v>
      </c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</row>
    <row r="1235" spans="1:18" ht="12.75" customHeight="1" x14ac:dyDescent="0.2">
      <c r="A1235" s="7"/>
      <c r="B1235" s="2" t="s">
        <v>16</v>
      </c>
      <c r="C1235" s="2"/>
      <c r="D1235" s="2"/>
      <c r="E1235" s="7"/>
      <c r="F1235" s="7"/>
      <c r="G1235" s="9" t="s">
        <v>2322</v>
      </c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</row>
    <row r="1236" spans="1:18" ht="12.75" customHeight="1" x14ac:dyDescent="0.2">
      <c r="A1236" s="7"/>
      <c r="B1236" s="2" t="s">
        <v>17</v>
      </c>
      <c r="C1236" s="2" t="s">
        <v>19</v>
      </c>
      <c r="D1236" s="2"/>
      <c r="E1236" s="7"/>
      <c r="F1236" s="7"/>
      <c r="G1236" s="9" t="s">
        <v>2322</v>
      </c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</row>
    <row r="1237" spans="1:18" ht="12.75" customHeight="1" x14ac:dyDescent="0.2">
      <c r="A1237" s="7"/>
      <c r="B1237" s="2" t="s">
        <v>18</v>
      </c>
      <c r="C1237" s="2" t="s">
        <v>44</v>
      </c>
      <c r="D1237" s="2" t="str">
        <f>HYPERLINK("javascript:void(0)","rimföldi mellvért")</f>
        <v>rimföldi mellvért</v>
      </c>
      <c r="E1237" s="7"/>
      <c r="F1237" s="7"/>
      <c r="G1237" s="9" t="s">
        <v>2322</v>
      </c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</row>
    <row r="1238" spans="1:18" ht="12.75" customHeight="1" x14ac:dyDescent="0.2">
      <c r="A1238" s="7"/>
      <c r="B1238" s="2"/>
      <c r="C1238" s="2" t="s">
        <v>68</v>
      </c>
      <c r="D1238" s="2" t="str">
        <f>HYPERLINK("javascript:void(0)","torokgyík")</f>
        <v>torokgyík</v>
      </c>
      <c r="E1238" s="7"/>
      <c r="F1238" s="7"/>
      <c r="G1238" s="9" t="s">
        <v>2322</v>
      </c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</row>
    <row r="1239" spans="1:18" ht="12.75" customHeight="1" x14ac:dyDescent="0.2">
      <c r="A1239" s="7"/>
      <c r="B1239" s="2"/>
      <c r="C1239" s="2" t="s">
        <v>474</v>
      </c>
      <c r="D1239" s="2" t="str">
        <f>HYPERLINK("javascript:void(0)","homokóra")</f>
        <v>homokóra</v>
      </c>
      <c r="E1239" s="7"/>
      <c r="F1239" s="7"/>
      <c r="G1239" s="9" t="s">
        <v>2322</v>
      </c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</row>
    <row r="1240" spans="1:18" ht="12.75" customHeight="1" x14ac:dyDescent="0.2">
      <c r="A1240" s="7"/>
      <c r="B1240" s="2"/>
      <c r="C1240" s="2"/>
      <c r="D1240" s="2"/>
      <c r="E1240" s="7"/>
      <c r="F1240" s="7"/>
      <c r="G1240" s="9" t="s">
        <v>2322</v>
      </c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</row>
    <row r="1241" spans="1:18" ht="12.75" customHeight="1" x14ac:dyDescent="0.2">
      <c r="A1241" s="7"/>
      <c r="B1241" s="2"/>
      <c r="C1241" s="2"/>
      <c r="D1241" s="2"/>
      <c r="E1241" s="7"/>
      <c r="F1241" s="7"/>
      <c r="G1241" s="9" t="s">
        <v>2322</v>
      </c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</row>
    <row r="1242" spans="1:18" ht="12.75" customHeight="1" x14ac:dyDescent="0.2">
      <c r="A1242" s="7"/>
      <c r="B1242" s="2"/>
      <c r="C1242" s="2"/>
      <c r="D1242" s="2"/>
      <c r="E1242" s="7"/>
      <c r="F1242" s="7"/>
      <c r="G1242" s="9" t="s">
        <v>2322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</row>
    <row r="1243" spans="1:18" ht="12.75" customHeight="1" x14ac:dyDescent="0.2">
      <c r="A1243" s="7"/>
      <c r="B1243" s="2"/>
      <c r="C1243" s="2"/>
      <c r="D1243" s="2"/>
      <c r="E1243" s="7"/>
      <c r="F1243" s="7"/>
      <c r="G1243" s="9" t="s">
        <v>2322</v>
      </c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</row>
    <row r="1244" spans="1:18" ht="12.75" customHeight="1" x14ac:dyDescent="0.2">
      <c r="A1244" s="7"/>
      <c r="B1244" s="2"/>
      <c r="C1244" s="2"/>
      <c r="D1244" s="2"/>
      <c r="E1244" s="7"/>
      <c r="F1244" s="7"/>
      <c r="G1244" s="9" t="s">
        <v>2322</v>
      </c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</row>
    <row r="1245" spans="1:18" ht="12.75" customHeight="1" x14ac:dyDescent="0.2">
      <c r="A1245" s="7" t="str">
        <f>HYPERLINK("javascript:void(0)","wendír mellvért")</f>
        <v>wendír mellvért</v>
      </c>
      <c r="B1245" s="7"/>
      <c r="C1245" s="7"/>
      <c r="D1245" s="7"/>
      <c r="E1245" s="7"/>
      <c r="F1245" s="7"/>
      <c r="G1245" s="9" t="s">
        <v>2322</v>
      </c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</row>
    <row r="1246" spans="1:18" ht="12.75" customHeight="1" x14ac:dyDescent="0.2">
      <c r="A1246" s="7"/>
      <c r="B1246" s="2"/>
      <c r="C1246" s="2"/>
      <c r="D1246" s="2"/>
      <c r="E1246" s="7"/>
      <c r="F1246" s="7"/>
      <c r="G1246" s="9" t="s">
        <v>2322</v>
      </c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</row>
    <row r="1247" spans="1:18" ht="12.75" customHeight="1" x14ac:dyDescent="0.2">
      <c r="A1247" s="7"/>
      <c r="B1247" s="2" t="s">
        <v>0</v>
      </c>
      <c r="C1247" s="2" t="s">
        <v>151</v>
      </c>
      <c r="D1247" s="2"/>
      <c r="E1247" s="7"/>
      <c r="F1247" s="7"/>
      <c r="G1247" s="9" t="s">
        <v>2322</v>
      </c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</row>
    <row r="1248" spans="1:18" ht="12.75" customHeight="1" x14ac:dyDescent="0.2">
      <c r="A1248" s="7"/>
      <c r="B1248" s="2" t="s">
        <v>2</v>
      </c>
      <c r="C1248" s="2" t="s">
        <v>2322</v>
      </c>
      <c r="D1248" s="2"/>
      <c r="E1248" s="7"/>
      <c r="F1248" s="7"/>
      <c r="G1248" s="9" t="s">
        <v>2322</v>
      </c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</row>
    <row r="1249" spans="1:18" ht="12.75" customHeight="1" x14ac:dyDescent="0.2">
      <c r="A1249" s="7"/>
      <c r="B1249" s="2" t="s">
        <v>1840</v>
      </c>
      <c r="C1249" s="2" t="s">
        <v>2420</v>
      </c>
      <c r="D1249" s="2"/>
      <c r="E1249" s="7"/>
      <c r="F1249" s="7"/>
      <c r="G1249" s="9" t="s">
        <v>2322</v>
      </c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</row>
    <row r="1250" spans="1:18" ht="12.75" customHeight="1" x14ac:dyDescent="0.2">
      <c r="A1250" s="7"/>
      <c r="B1250" s="2" t="s">
        <v>9</v>
      </c>
      <c r="C1250" s="2" t="s">
        <v>124</v>
      </c>
      <c r="D1250" s="2"/>
      <c r="E1250" s="7"/>
      <c r="F1250" s="7"/>
      <c r="G1250" s="9" t="s">
        <v>2322</v>
      </c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</row>
    <row r="1251" spans="1:18" ht="12.75" customHeight="1" x14ac:dyDescent="0.2">
      <c r="A1251" s="7"/>
      <c r="B1251" s="2" t="s">
        <v>11</v>
      </c>
      <c r="C1251" s="2" t="s">
        <v>660</v>
      </c>
      <c r="D1251" s="2"/>
      <c r="E1251" s="7"/>
      <c r="F1251" s="7"/>
      <c r="G1251" s="9" t="s">
        <v>2322</v>
      </c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</row>
    <row r="1252" spans="1:18" ht="12.75" customHeight="1" x14ac:dyDescent="0.2">
      <c r="A1252" s="7"/>
      <c r="B1252" s="2" t="s">
        <v>16</v>
      </c>
      <c r="C1252" s="2"/>
      <c r="D1252" s="2"/>
      <c r="E1252" s="7"/>
      <c r="F1252" s="7"/>
      <c r="G1252" s="9" t="s">
        <v>2322</v>
      </c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</row>
    <row r="1253" spans="1:18" ht="12.75" customHeight="1" x14ac:dyDescent="0.2">
      <c r="A1253" s="7"/>
      <c r="B1253" s="2" t="s">
        <v>17</v>
      </c>
      <c r="C1253" s="2" t="s">
        <v>19</v>
      </c>
      <c r="D1253" s="2"/>
      <c r="E1253" s="7"/>
      <c r="F1253" s="7"/>
      <c r="G1253" s="9" t="s">
        <v>2322</v>
      </c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</row>
    <row r="1254" spans="1:18" ht="12.75" customHeight="1" x14ac:dyDescent="0.2">
      <c r="A1254" s="7"/>
      <c r="B1254" s="2" t="s">
        <v>18</v>
      </c>
      <c r="C1254" s="2" t="s">
        <v>68</v>
      </c>
      <c r="D1254" s="2" t="str">
        <f>HYPERLINK("javascript:void(0)","kispárna")</f>
        <v>kispárna</v>
      </c>
      <c r="E1254" s="7"/>
      <c r="F1254" s="7"/>
      <c r="G1254" s="9" t="s">
        <v>2322</v>
      </c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</row>
    <row r="1255" spans="1:18" ht="12.75" customHeight="1" x14ac:dyDescent="0.2">
      <c r="A1255" s="7"/>
      <c r="B1255" s="2"/>
      <c r="C1255" s="2" t="s">
        <v>309</v>
      </c>
      <c r="D1255" s="2" t="str">
        <f>HYPERLINK("javascript:void(0)","rémszarv")</f>
        <v>rémszarv</v>
      </c>
      <c r="E1255" s="7"/>
      <c r="F1255" s="7"/>
      <c r="G1255" s="9" t="s">
        <v>2322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</row>
    <row r="1256" spans="1:18" ht="12.75" customHeight="1" x14ac:dyDescent="0.2">
      <c r="A1256" s="7"/>
      <c r="B1256" s="2"/>
      <c r="C1256" s="2" t="s">
        <v>382</v>
      </c>
      <c r="D1256" s="2" t="str">
        <f>HYPERLINK("javascript:void(0)","morfige")</f>
        <v>morfige</v>
      </c>
      <c r="E1256" s="7"/>
      <c r="F1256" s="7"/>
      <c r="G1256" s="9" t="s">
        <v>2322</v>
      </c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</row>
    <row r="1257" spans="1:18" ht="12.75" customHeight="1" x14ac:dyDescent="0.2">
      <c r="A1257" s="7"/>
      <c r="B1257" s="2"/>
      <c r="C1257" s="2"/>
      <c r="D1257" s="2"/>
      <c r="E1257" s="7"/>
      <c r="F1257" s="7"/>
      <c r="G1257" s="9" t="s">
        <v>2322</v>
      </c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</row>
    <row r="1258" spans="1:18" ht="12.75" customHeight="1" x14ac:dyDescent="0.2">
      <c r="A1258" s="7"/>
      <c r="B1258" s="2"/>
      <c r="C1258" s="2"/>
      <c r="D1258" s="2"/>
      <c r="E1258" s="7"/>
      <c r="F1258" s="7"/>
      <c r="G1258" s="9" t="s">
        <v>2322</v>
      </c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</row>
    <row r="1259" spans="1:18" ht="12.75" customHeight="1" x14ac:dyDescent="0.2">
      <c r="A1259" s="7"/>
      <c r="B1259" s="2"/>
      <c r="C1259" s="2"/>
      <c r="D1259" s="2"/>
      <c r="E1259" s="7"/>
      <c r="F1259" s="7"/>
      <c r="G1259" s="9" t="s">
        <v>2322</v>
      </c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</row>
    <row r="1260" spans="1:18" ht="12.75" customHeight="1" x14ac:dyDescent="0.2">
      <c r="A1260" s="7"/>
      <c r="B1260" s="2"/>
      <c r="C1260" s="2"/>
      <c r="D1260" s="2"/>
      <c r="E1260" s="7"/>
      <c r="F1260" s="7"/>
      <c r="G1260" s="9" t="s">
        <v>2322</v>
      </c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</row>
    <row r="1261" spans="1:18" ht="12.75" customHeight="1" x14ac:dyDescent="0.2">
      <c r="A1261" s="7"/>
      <c r="B1261" s="2"/>
      <c r="C1261" s="2"/>
      <c r="D1261" s="2"/>
      <c r="E1261" s="7"/>
      <c r="F1261" s="7"/>
      <c r="G1261" s="9" t="s">
        <v>2322</v>
      </c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</row>
    <row r="1262" spans="1:18" ht="12.75" customHeight="1" x14ac:dyDescent="0.2">
      <c r="A1262" s="7" t="str">
        <f>HYPERLINK("javascript:void(0)","csillámos kisvért")</f>
        <v>csillámos kisvért</v>
      </c>
      <c r="B1262" s="7"/>
      <c r="C1262" s="7"/>
      <c r="D1262" s="7"/>
      <c r="E1262" s="7"/>
      <c r="F1262" s="7"/>
      <c r="G1262" s="9" t="s">
        <v>2322</v>
      </c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</row>
    <row r="1263" spans="1:18" ht="12.75" customHeight="1" x14ac:dyDescent="0.2">
      <c r="A1263" s="7"/>
      <c r="B1263" s="2"/>
      <c r="C1263" s="2"/>
      <c r="D1263" s="2"/>
      <c r="E1263" s="7"/>
      <c r="F1263" s="7"/>
      <c r="G1263" s="9" t="s">
        <v>2322</v>
      </c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</row>
    <row r="1264" spans="1:18" ht="12.75" customHeight="1" x14ac:dyDescent="0.2">
      <c r="A1264" s="7"/>
      <c r="B1264" s="2" t="s">
        <v>0</v>
      </c>
      <c r="C1264" s="2" t="s">
        <v>151</v>
      </c>
      <c r="D1264" s="2"/>
      <c r="E1264" s="7"/>
      <c r="F1264" s="7"/>
      <c r="G1264" s="9" t="s">
        <v>2322</v>
      </c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</row>
    <row r="1265" spans="1:18" ht="12.75" customHeight="1" x14ac:dyDescent="0.2">
      <c r="A1265" s="7"/>
      <c r="B1265" s="2" t="s">
        <v>2</v>
      </c>
      <c r="C1265" s="2" t="s">
        <v>2322</v>
      </c>
      <c r="D1265" s="2"/>
      <c r="E1265" s="7"/>
      <c r="F1265" s="7"/>
      <c r="G1265" s="9" t="s">
        <v>2322</v>
      </c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</row>
    <row r="1266" spans="1:18" ht="12.75" customHeight="1" x14ac:dyDescent="0.2">
      <c r="A1266" s="7"/>
      <c r="B1266" s="2" t="s">
        <v>1840</v>
      </c>
      <c r="C1266" s="2" t="s">
        <v>2422</v>
      </c>
      <c r="D1266" s="2"/>
      <c r="E1266" s="7"/>
      <c r="F1266" s="7"/>
      <c r="G1266" s="9" t="s">
        <v>2322</v>
      </c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</row>
    <row r="1267" spans="1:18" ht="12.75" customHeight="1" x14ac:dyDescent="0.2">
      <c r="A1267" s="7"/>
      <c r="B1267" s="2" t="s">
        <v>9</v>
      </c>
      <c r="C1267" s="2" t="s">
        <v>1568</v>
      </c>
      <c r="D1267" s="2"/>
      <c r="E1267" s="7"/>
      <c r="F1267" s="7"/>
      <c r="G1267" s="9" t="s">
        <v>2322</v>
      </c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</row>
    <row r="1268" spans="1:18" ht="12.75" customHeight="1" x14ac:dyDescent="0.2">
      <c r="A1268" s="7"/>
      <c r="B1268" s="2" t="s">
        <v>11</v>
      </c>
      <c r="C1268" s="2" t="s">
        <v>660</v>
      </c>
      <c r="D1268" s="2"/>
      <c r="E1268" s="7"/>
      <c r="F1268" s="7"/>
      <c r="G1268" s="9" t="s">
        <v>2322</v>
      </c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</row>
    <row r="1269" spans="1:18" ht="12.75" customHeight="1" x14ac:dyDescent="0.2">
      <c r="A1269" s="7"/>
      <c r="B1269" s="2" t="s">
        <v>16</v>
      </c>
      <c r="C1269" s="2"/>
      <c r="D1269" s="2"/>
      <c r="E1269" s="7"/>
      <c r="F1269" s="7"/>
      <c r="G1269" s="9" t="s">
        <v>2322</v>
      </c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</row>
    <row r="1270" spans="1:18" ht="12.75" customHeight="1" x14ac:dyDescent="0.2">
      <c r="A1270" s="7"/>
      <c r="B1270" s="2" t="s">
        <v>17</v>
      </c>
      <c r="C1270" s="2" t="s">
        <v>19</v>
      </c>
      <c r="D1270" s="2"/>
      <c r="E1270" s="7"/>
      <c r="F1270" s="7"/>
      <c r="G1270" s="9" t="s">
        <v>2322</v>
      </c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</row>
    <row r="1271" spans="1:18" ht="12.75" customHeight="1" x14ac:dyDescent="0.2">
      <c r="A1271" s="7"/>
      <c r="B1271" s="2" t="s">
        <v>18</v>
      </c>
      <c r="C1271" s="2" t="s">
        <v>57</v>
      </c>
      <c r="D1271" s="2" t="str">
        <f>HYPERLINK("javascript:void(0)","csillámgöb")</f>
        <v>csillámgöb</v>
      </c>
      <c r="E1271" s="7"/>
      <c r="F1271" s="7"/>
      <c r="G1271" s="9" t="s">
        <v>2322</v>
      </c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</row>
    <row r="1272" spans="1:18" ht="12.75" customHeight="1" x14ac:dyDescent="0.2">
      <c r="A1272" s="7"/>
      <c r="B1272" s="2"/>
      <c r="C1272" s="2" t="s">
        <v>44</v>
      </c>
      <c r="D1272" s="2" t="str">
        <f>HYPERLINK("javascript:void(0)","csillámos kispáncél")</f>
        <v>csillámos kispáncél</v>
      </c>
      <c r="E1272" s="7"/>
      <c r="F1272" s="7"/>
      <c r="G1272" s="9" t="s">
        <v>2322</v>
      </c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</row>
    <row r="1273" spans="1:18" ht="12.75" customHeight="1" x14ac:dyDescent="0.2">
      <c r="A1273" s="7"/>
      <c r="B1273" s="2"/>
      <c r="C1273" s="2" t="s">
        <v>163</v>
      </c>
      <c r="D1273" s="2" t="str">
        <f>HYPERLINK("javascript:void(0)","szent szimbólum")</f>
        <v>szent szimbólum</v>
      </c>
      <c r="E1273" s="7"/>
      <c r="F1273" s="7"/>
      <c r="G1273" s="9" t="s">
        <v>2322</v>
      </c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</row>
    <row r="1274" spans="1:18" ht="12.75" customHeight="1" x14ac:dyDescent="0.2">
      <c r="A1274" s="7"/>
      <c r="B1274" s="2"/>
      <c r="C1274" s="2"/>
      <c r="D1274" s="2"/>
      <c r="E1274" s="7"/>
      <c r="F1274" s="7"/>
      <c r="G1274" s="9" t="s">
        <v>2322</v>
      </c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</row>
    <row r="1275" spans="1:18" ht="12.75" customHeight="1" x14ac:dyDescent="0.2">
      <c r="A1275" s="7"/>
      <c r="B1275" s="2"/>
      <c r="C1275" s="2"/>
      <c r="D1275" s="2"/>
      <c r="E1275" s="7"/>
      <c r="F1275" s="7"/>
      <c r="G1275" s="9" t="s">
        <v>2322</v>
      </c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</row>
    <row r="1276" spans="1:18" ht="12.75" customHeight="1" x14ac:dyDescent="0.2">
      <c r="A1276" s="7"/>
      <c r="B1276" s="2"/>
      <c r="C1276" s="2"/>
      <c r="D1276" s="2"/>
      <c r="E1276" s="7"/>
      <c r="F1276" s="7"/>
      <c r="G1276" s="9" t="s">
        <v>2322</v>
      </c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</row>
    <row r="1277" spans="1:18" ht="12.75" customHeight="1" x14ac:dyDescent="0.2">
      <c r="A1277" s="7"/>
      <c r="B1277" s="2"/>
      <c r="C1277" s="2"/>
      <c r="D1277" s="2"/>
      <c r="E1277" s="7"/>
      <c r="F1277" s="7"/>
      <c r="G1277" s="9" t="s">
        <v>2322</v>
      </c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</row>
    <row r="1278" spans="1:18" ht="12.75" customHeight="1" x14ac:dyDescent="0.2">
      <c r="A1278" s="7"/>
      <c r="B1278" s="2"/>
      <c r="C1278" s="2"/>
      <c r="D1278" s="2"/>
      <c r="E1278" s="7"/>
      <c r="F1278" s="7"/>
      <c r="G1278" s="9" t="s">
        <v>2322</v>
      </c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</row>
    <row r="1279" spans="1:18" ht="12.75" customHeight="1" x14ac:dyDescent="0.2">
      <c r="A1279" s="7" t="str">
        <f>HYPERLINK("javascript:void(0)","artini mellvért")</f>
        <v>artini mellvért</v>
      </c>
      <c r="B1279" s="7"/>
      <c r="C1279" s="7"/>
      <c r="D1279" s="7"/>
      <c r="E1279" s="7"/>
      <c r="F1279" s="7"/>
      <c r="G1279" s="9" t="s">
        <v>2322</v>
      </c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</row>
    <row r="1280" spans="1:18" ht="12.75" customHeight="1" x14ac:dyDescent="0.2">
      <c r="A1280" s="7"/>
      <c r="B1280" s="2"/>
      <c r="C1280" s="2"/>
      <c r="D1280" s="2"/>
      <c r="E1280" s="7"/>
      <c r="F1280" s="7"/>
      <c r="G1280" s="9" t="s">
        <v>2322</v>
      </c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</row>
    <row r="1281" spans="1:18" ht="12.75" customHeight="1" x14ac:dyDescent="0.2">
      <c r="A1281" s="7"/>
      <c r="B1281" s="2" t="s">
        <v>0</v>
      </c>
      <c r="C1281" s="2" t="s">
        <v>219</v>
      </c>
      <c r="D1281" s="2"/>
      <c r="E1281" s="7"/>
      <c r="F1281" s="7"/>
      <c r="G1281" s="9" t="s">
        <v>2322</v>
      </c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</row>
    <row r="1282" spans="1:18" ht="12.75" customHeight="1" x14ac:dyDescent="0.2">
      <c r="A1282" s="7"/>
      <c r="B1282" s="2" t="s">
        <v>2</v>
      </c>
      <c r="C1282" s="2" t="s">
        <v>2322</v>
      </c>
      <c r="D1282" s="2"/>
      <c r="E1282" s="7"/>
      <c r="F1282" s="7"/>
      <c r="G1282" s="9" t="s">
        <v>2322</v>
      </c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</row>
    <row r="1283" spans="1:18" ht="12.75" customHeight="1" x14ac:dyDescent="0.2">
      <c r="A1283" s="7"/>
      <c r="B1283" s="2" t="s">
        <v>1840</v>
      </c>
      <c r="C1283" s="2" t="s">
        <v>2423</v>
      </c>
      <c r="D1283" s="2"/>
      <c r="E1283" s="7"/>
      <c r="F1283" s="7"/>
      <c r="G1283" s="9" t="s">
        <v>2322</v>
      </c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</row>
    <row r="1284" spans="1:18" ht="12.75" customHeight="1" x14ac:dyDescent="0.2">
      <c r="A1284" s="7"/>
      <c r="B1284" s="2" t="s">
        <v>9</v>
      </c>
      <c r="C1284" s="2" t="s">
        <v>962</v>
      </c>
      <c r="D1284" s="2"/>
      <c r="E1284" s="7"/>
      <c r="F1284" s="7"/>
      <c r="G1284" s="9" t="s">
        <v>2322</v>
      </c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</row>
    <row r="1285" spans="1:18" ht="12.75" customHeight="1" x14ac:dyDescent="0.2">
      <c r="A1285" s="7"/>
      <c r="B1285" s="2" t="s">
        <v>11</v>
      </c>
      <c r="C1285" s="2" t="s">
        <v>674</v>
      </c>
      <c r="D1285" s="2"/>
      <c r="E1285" s="7"/>
      <c r="F1285" s="7"/>
      <c r="G1285" s="9" t="s">
        <v>2322</v>
      </c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</row>
    <row r="1286" spans="1:18" ht="12.75" customHeight="1" x14ac:dyDescent="0.2">
      <c r="A1286" s="7"/>
      <c r="B1286" s="2" t="s">
        <v>16</v>
      </c>
      <c r="C1286" s="2"/>
      <c r="D1286" s="2"/>
      <c r="E1286" s="7"/>
      <c r="F1286" s="7"/>
      <c r="G1286" s="9" t="s">
        <v>2322</v>
      </c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</row>
    <row r="1287" spans="1:18" ht="12.75" customHeight="1" x14ac:dyDescent="0.2">
      <c r="A1287" s="7"/>
      <c r="B1287" s="2" t="s">
        <v>17</v>
      </c>
      <c r="C1287" s="2" t="s">
        <v>19</v>
      </c>
      <c r="D1287" s="2"/>
      <c r="E1287" s="7"/>
      <c r="F1287" s="7"/>
      <c r="G1287" s="9" t="s">
        <v>2322</v>
      </c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</row>
    <row r="1288" spans="1:18" ht="12.75" customHeight="1" x14ac:dyDescent="0.2">
      <c r="A1288" s="7"/>
      <c r="B1288" s="2" t="s">
        <v>18</v>
      </c>
      <c r="C1288" s="2" t="s">
        <v>44</v>
      </c>
      <c r="D1288" s="2" t="str">
        <f>HYPERLINK("javascript:void(0)","wendír mellvért")</f>
        <v>wendír mellvért</v>
      </c>
      <c r="E1288" s="7"/>
      <c r="F1288" s="7"/>
      <c r="G1288" s="9" t="s">
        <v>2322</v>
      </c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</row>
    <row r="1289" spans="1:18" ht="12.75" customHeight="1" x14ac:dyDescent="0.2">
      <c r="A1289" s="7"/>
      <c r="B1289" s="2"/>
      <c r="C1289" s="2" t="s">
        <v>44</v>
      </c>
      <c r="D1289" s="2" t="str">
        <f>HYPERLINK("javascript:void(0)","parszi mellvért")</f>
        <v>parszi mellvért</v>
      </c>
      <c r="E1289" s="7"/>
      <c r="F1289" s="7"/>
      <c r="G1289" s="9" t="s">
        <v>2322</v>
      </c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</row>
    <row r="1290" spans="1:18" ht="12.75" customHeight="1" x14ac:dyDescent="0.2">
      <c r="A1290" s="7"/>
      <c r="B1290" s="2"/>
      <c r="C1290" s="2" t="s">
        <v>44</v>
      </c>
      <c r="D1290" s="2" t="str">
        <f>HYPERLINK("javascript:void(0)","artini előlap")</f>
        <v>artini előlap</v>
      </c>
      <c r="E1290" s="7"/>
      <c r="F1290" s="7"/>
      <c r="G1290" s="9" t="s">
        <v>2322</v>
      </c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</row>
    <row r="1291" spans="1:18" ht="12.75" customHeight="1" x14ac:dyDescent="0.2">
      <c r="A1291" s="7"/>
      <c r="B1291" s="2"/>
      <c r="C1291" s="2"/>
      <c r="D1291" s="2"/>
      <c r="E1291" s="7"/>
      <c r="F1291" s="7"/>
      <c r="G1291" s="9" t="s">
        <v>2322</v>
      </c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</row>
    <row r="1292" spans="1:18" ht="12.75" customHeight="1" x14ac:dyDescent="0.2">
      <c r="A1292" s="7"/>
      <c r="B1292" s="2"/>
      <c r="C1292" s="2"/>
      <c r="D1292" s="2"/>
      <c r="E1292" s="7"/>
      <c r="F1292" s="7"/>
      <c r="G1292" s="9" t="s">
        <v>2322</v>
      </c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</row>
    <row r="1293" spans="1:18" ht="12.75" customHeight="1" x14ac:dyDescent="0.2">
      <c r="A1293" s="7"/>
      <c r="B1293" s="2"/>
      <c r="C1293" s="2"/>
      <c r="D1293" s="2"/>
      <c r="E1293" s="7"/>
      <c r="F1293" s="7"/>
      <c r="G1293" s="9" t="s">
        <v>2322</v>
      </c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</row>
    <row r="1294" spans="1:18" ht="12.75" customHeight="1" x14ac:dyDescent="0.2">
      <c r="A1294" s="7"/>
      <c r="B1294" s="2"/>
      <c r="C1294" s="2"/>
      <c r="D1294" s="2"/>
      <c r="E1294" s="7"/>
      <c r="F1294" s="7"/>
      <c r="G1294" s="9" t="s">
        <v>2322</v>
      </c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</row>
    <row r="1295" spans="1:18" ht="12.75" customHeight="1" x14ac:dyDescent="0.2">
      <c r="A1295" s="7"/>
      <c r="B1295" s="2"/>
      <c r="C1295" s="2"/>
      <c r="D1295" s="2"/>
      <c r="E1295" s="7"/>
      <c r="F1295" s="7"/>
      <c r="G1295" s="9" t="s">
        <v>2322</v>
      </c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</row>
    <row r="1296" spans="1:18" ht="12.75" customHeight="1" x14ac:dyDescent="0.2">
      <c r="A1296" s="7" t="str">
        <f>HYPERLINK("javascript:void(0)","artini előlap")</f>
        <v>artini előlap</v>
      </c>
      <c r="B1296" s="7"/>
      <c r="C1296" s="7"/>
      <c r="D1296" s="7"/>
      <c r="E1296" s="7"/>
      <c r="F1296" s="7"/>
      <c r="G1296" s="9" t="s">
        <v>2322</v>
      </c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</row>
    <row r="1297" spans="1:18" ht="12.75" customHeight="1" x14ac:dyDescent="0.2">
      <c r="A1297" s="7"/>
      <c r="B1297" s="2"/>
      <c r="C1297" s="2"/>
      <c r="D1297" s="2"/>
      <c r="E1297" s="7"/>
      <c r="F1297" s="7"/>
      <c r="G1297" s="9" t="s">
        <v>2322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</row>
    <row r="1298" spans="1:18" ht="12.75" customHeight="1" x14ac:dyDescent="0.2">
      <c r="A1298" s="7"/>
      <c r="B1298" s="2" t="s">
        <v>0</v>
      </c>
      <c r="C1298" s="2" t="s">
        <v>219</v>
      </c>
      <c r="D1298" s="2"/>
      <c r="E1298" s="7"/>
      <c r="F1298" s="7"/>
      <c r="G1298" s="9" t="s">
        <v>2322</v>
      </c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</row>
    <row r="1299" spans="1:18" ht="12.75" customHeight="1" x14ac:dyDescent="0.2">
      <c r="A1299" s="7"/>
      <c r="B1299" s="2" t="s">
        <v>2</v>
      </c>
      <c r="C1299" s="2" t="s">
        <v>2322</v>
      </c>
      <c r="D1299" s="2"/>
      <c r="E1299" s="7"/>
      <c r="F1299" s="7"/>
      <c r="G1299" s="9" t="s">
        <v>2322</v>
      </c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</row>
    <row r="1300" spans="1:18" ht="12.75" customHeight="1" x14ac:dyDescent="0.2">
      <c r="A1300" s="7"/>
      <c r="B1300" s="2" t="s">
        <v>1840</v>
      </c>
      <c r="C1300" s="2" t="s">
        <v>340</v>
      </c>
      <c r="D1300" s="2"/>
      <c r="E1300" s="7"/>
      <c r="F1300" s="7"/>
      <c r="G1300" s="9" t="s">
        <v>2322</v>
      </c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</row>
    <row r="1301" spans="1:18" ht="12.75" customHeight="1" x14ac:dyDescent="0.2">
      <c r="A1301" s="7"/>
      <c r="B1301" s="2" t="s">
        <v>9</v>
      </c>
      <c r="C1301" s="2" t="s">
        <v>42</v>
      </c>
      <c r="D1301" s="2"/>
      <c r="E1301" s="7"/>
      <c r="F1301" s="7"/>
      <c r="G1301" s="9" t="s">
        <v>2322</v>
      </c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</row>
    <row r="1302" spans="1:18" ht="12.75" customHeight="1" x14ac:dyDescent="0.2">
      <c r="A1302" s="7"/>
      <c r="B1302" s="2" t="s">
        <v>11</v>
      </c>
      <c r="C1302" s="2" t="s">
        <v>368</v>
      </c>
      <c r="D1302" s="2"/>
      <c r="E1302" s="7"/>
      <c r="F1302" s="7"/>
      <c r="G1302" s="9" t="s">
        <v>2322</v>
      </c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</row>
    <row r="1303" spans="1:18" ht="12.75" customHeight="1" x14ac:dyDescent="0.2">
      <c r="A1303" s="7"/>
      <c r="B1303" s="2" t="s">
        <v>16</v>
      </c>
      <c r="C1303" s="2"/>
      <c r="D1303" s="2"/>
      <c r="E1303" s="7"/>
      <c r="F1303" s="7"/>
      <c r="G1303" s="9" t="s">
        <v>2322</v>
      </c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</row>
    <row r="1304" spans="1:18" ht="12.75" customHeight="1" x14ac:dyDescent="0.2">
      <c r="A1304" s="7"/>
      <c r="B1304" s="2" t="s">
        <v>17</v>
      </c>
      <c r="C1304" s="2" t="s">
        <v>19</v>
      </c>
      <c r="D1304" s="2"/>
      <c r="E1304" s="7"/>
      <c r="F1304" s="7"/>
      <c r="G1304" s="9" t="s">
        <v>2322</v>
      </c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</row>
    <row r="1305" spans="1:18" ht="12.75" customHeight="1" x14ac:dyDescent="0.2">
      <c r="A1305" s="7"/>
      <c r="B1305" s="2" t="s">
        <v>18</v>
      </c>
      <c r="C1305" s="2" t="s">
        <v>163</v>
      </c>
      <c r="D1305" s="2" t="str">
        <f>HYPERLINK("javascript:void(0)","nukleon")</f>
        <v>nukleon</v>
      </c>
      <c r="E1305" s="7"/>
      <c r="F1305" s="7"/>
      <c r="G1305" s="9" t="s">
        <v>2322</v>
      </c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</row>
    <row r="1306" spans="1:18" ht="12.75" customHeight="1" x14ac:dyDescent="0.2">
      <c r="A1306" s="7"/>
      <c r="B1306" s="2"/>
      <c r="C1306" s="2" t="s">
        <v>67</v>
      </c>
      <c r="D1306" s="2" t="str">
        <f>HYPERLINK("javascript:void(0)","mechodron")</f>
        <v>mechodron</v>
      </c>
      <c r="E1306" s="7"/>
      <c r="F1306" s="7"/>
      <c r="G1306" s="9" t="s">
        <v>2322</v>
      </c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</row>
    <row r="1307" spans="1:18" ht="12.75" customHeight="1" x14ac:dyDescent="0.2">
      <c r="A1307" s="7"/>
      <c r="B1307" s="2"/>
      <c r="C1307" s="2" t="s">
        <v>139</v>
      </c>
      <c r="D1307" s="2" t="str">
        <f>HYPERLINK("javascript:void(0)","dimenzióforgács")</f>
        <v>dimenzióforgács</v>
      </c>
      <c r="E1307" s="7"/>
      <c r="F1307" s="7"/>
      <c r="G1307" s="9" t="s">
        <v>2322</v>
      </c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</row>
    <row r="1308" spans="1:18" ht="12.75" customHeight="1" x14ac:dyDescent="0.2">
      <c r="A1308" s="7"/>
      <c r="B1308" s="2"/>
      <c r="C1308" s="2"/>
      <c r="D1308" s="2"/>
      <c r="E1308" s="7"/>
      <c r="F1308" s="7"/>
      <c r="G1308" s="9" t="s">
        <v>2322</v>
      </c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</row>
    <row r="1309" spans="1:18" ht="12.75" customHeight="1" x14ac:dyDescent="0.2">
      <c r="A1309" s="7"/>
      <c r="B1309" s="2"/>
      <c r="C1309" s="2"/>
      <c r="D1309" s="2"/>
      <c r="E1309" s="7"/>
      <c r="F1309" s="7"/>
      <c r="G1309" s="9" t="s">
        <v>2322</v>
      </c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</row>
    <row r="1310" spans="1:18" ht="12.75" customHeight="1" x14ac:dyDescent="0.2">
      <c r="A1310" s="7"/>
      <c r="B1310" s="2"/>
      <c r="C1310" s="2"/>
      <c r="D1310" s="2"/>
      <c r="E1310" s="7"/>
      <c r="F1310" s="7"/>
      <c r="G1310" s="9" t="s">
        <v>2322</v>
      </c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</row>
    <row r="1311" spans="1:18" ht="12.75" customHeight="1" x14ac:dyDescent="0.2">
      <c r="A1311" s="7"/>
      <c r="B1311" s="2"/>
      <c r="C1311" s="2"/>
      <c r="D1311" s="2"/>
      <c r="E1311" s="7"/>
      <c r="F1311" s="7"/>
      <c r="G1311" s="9" t="s">
        <v>2322</v>
      </c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</row>
    <row r="1312" spans="1:18" ht="12.75" customHeight="1" x14ac:dyDescent="0.2">
      <c r="A1312" s="7"/>
      <c r="B1312" s="2"/>
      <c r="C1312" s="2"/>
      <c r="D1312" s="2"/>
      <c r="E1312" s="7"/>
      <c r="F1312" s="7"/>
      <c r="G1312" s="9" t="s">
        <v>2322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</row>
    <row r="1313" spans="1:18" ht="12.75" customHeight="1" x14ac:dyDescent="0.2">
      <c r="A1313" s="7" t="str">
        <f>HYPERLINK("javascript:void(0)","thordi mellvért")</f>
        <v>thordi mellvért</v>
      </c>
      <c r="B1313" s="7"/>
      <c r="C1313" s="7"/>
      <c r="D1313" s="7"/>
      <c r="E1313" s="7"/>
      <c r="F1313" s="7"/>
      <c r="G1313" s="9" t="s">
        <v>2322</v>
      </c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</row>
    <row r="1314" spans="1:18" ht="12.75" customHeight="1" x14ac:dyDescent="0.2">
      <c r="A1314" s="7"/>
      <c r="B1314" s="2"/>
      <c r="C1314" s="2"/>
      <c r="D1314" s="2"/>
      <c r="E1314" s="7"/>
      <c r="F1314" s="7"/>
      <c r="G1314" s="9" t="s">
        <v>2322</v>
      </c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</row>
    <row r="1315" spans="1:18" ht="12.75" customHeight="1" x14ac:dyDescent="0.2">
      <c r="A1315" s="7"/>
      <c r="B1315" s="2" t="s">
        <v>0</v>
      </c>
      <c r="C1315" s="2" t="s">
        <v>613</v>
      </c>
      <c r="D1315" s="2"/>
      <c r="E1315" s="7"/>
      <c r="F1315" s="7"/>
      <c r="G1315" s="9" t="s">
        <v>2322</v>
      </c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</row>
    <row r="1316" spans="1:18" ht="12.75" customHeight="1" x14ac:dyDescent="0.2">
      <c r="A1316" s="7"/>
      <c r="B1316" s="2" t="s">
        <v>2</v>
      </c>
      <c r="C1316" s="2" t="s">
        <v>2322</v>
      </c>
      <c r="D1316" s="2"/>
      <c r="E1316" s="7"/>
      <c r="F1316" s="7"/>
      <c r="G1316" s="9" t="s">
        <v>2322</v>
      </c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</row>
    <row r="1317" spans="1:18" ht="12.75" customHeight="1" x14ac:dyDescent="0.2">
      <c r="A1317" s="7"/>
      <c r="B1317" s="2" t="s">
        <v>1840</v>
      </c>
      <c r="C1317" s="2" t="s">
        <v>2425</v>
      </c>
      <c r="D1317" s="2"/>
      <c r="E1317" s="7"/>
      <c r="F1317" s="7"/>
      <c r="G1317" s="9" t="s">
        <v>2322</v>
      </c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</row>
    <row r="1318" spans="1:18" ht="12.75" customHeight="1" x14ac:dyDescent="0.2">
      <c r="A1318" s="7"/>
      <c r="B1318" s="2" t="s">
        <v>9</v>
      </c>
      <c r="C1318" s="2" t="s">
        <v>135</v>
      </c>
      <c r="D1318" s="2"/>
      <c r="E1318" s="7"/>
      <c r="F1318" s="7"/>
      <c r="G1318" s="9" t="s">
        <v>2322</v>
      </c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</row>
    <row r="1319" spans="1:18" ht="12.75" customHeight="1" x14ac:dyDescent="0.2">
      <c r="A1319" s="7"/>
      <c r="B1319" s="2" t="s">
        <v>11</v>
      </c>
      <c r="C1319" s="2" t="s">
        <v>684</v>
      </c>
      <c r="D1319" s="2"/>
      <c r="E1319" s="7"/>
      <c r="F1319" s="7"/>
      <c r="G1319" s="9" t="s">
        <v>2322</v>
      </c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</row>
    <row r="1320" spans="1:18" ht="12.75" customHeight="1" x14ac:dyDescent="0.2">
      <c r="A1320" s="7"/>
      <c r="B1320" s="2" t="s">
        <v>16</v>
      </c>
      <c r="C1320" s="2"/>
      <c r="D1320" s="2"/>
      <c r="E1320" s="7"/>
      <c r="F1320" s="7"/>
      <c r="G1320" s="9" t="s">
        <v>2322</v>
      </c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</row>
    <row r="1321" spans="1:18" ht="12.75" customHeight="1" x14ac:dyDescent="0.2">
      <c r="A1321" s="7"/>
      <c r="B1321" s="2" t="s">
        <v>17</v>
      </c>
      <c r="C1321" s="2" t="s">
        <v>19</v>
      </c>
      <c r="D1321" s="2"/>
      <c r="E1321" s="7"/>
      <c r="F1321" s="7"/>
      <c r="G1321" s="9" t="s">
        <v>2322</v>
      </c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</row>
    <row r="1322" spans="1:18" ht="12.75" customHeight="1" x14ac:dyDescent="0.2">
      <c r="A1322" s="7"/>
      <c r="B1322" s="2" t="s">
        <v>18</v>
      </c>
      <c r="C1322" s="2" t="s">
        <v>44</v>
      </c>
      <c r="D1322" s="2" t="str">
        <f>HYPERLINK("javascript:void(0)","artini mellvért")</f>
        <v>artini mellvért</v>
      </c>
      <c r="E1322" s="7"/>
      <c r="F1322" s="7"/>
      <c r="G1322" s="9" t="s">
        <v>2322</v>
      </c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</row>
    <row r="1323" spans="1:18" ht="12.75" customHeight="1" x14ac:dyDescent="0.2">
      <c r="A1323" s="7"/>
      <c r="B1323" s="2"/>
      <c r="C1323" s="2" t="s">
        <v>1997</v>
      </c>
      <c r="D1323" s="2" t="str">
        <f>HYPERLINK("javascript:void(0)","hangjegy")</f>
        <v>hangjegy</v>
      </c>
      <c r="E1323" s="7"/>
      <c r="F1323" s="7"/>
      <c r="G1323" s="9" t="s">
        <v>2322</v>
      </c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</row>
    <row r="1324" spans="1:18" ht="12.75" customHeight="1" x14ac:dyDescent="0.2">
      <c r="A1324" s="7"/>
      <c r="B1324" s="2"/>
      <c r="C1324" s="2" t="s">
        <v>309</v>
      </c>
      <c r="D1324" s="2" t="str">
        <f>HYPERLINK("javascript:void(0)","mechodron")</f>
        <v>mechodron</v>
      </c>
      <c r="E1324" s="7"/>
      <c r="F1324" s="7"/>
      <c r="G1324" s="9" t="s">
        <v>2322</v>
      </c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</row>
    <row r="1325" spans="1:18" ht="12.75" customHeight="1" x14ac:dyDescent="0.2">
      <c r="A1325" s="7"/>
      <c r="B1325" s="2"/>
      <c r="C1325" s="2"/>
      <c r="D1325" s="2"/>
      <c r="E1325" s="7"/>
      <c r="F1325" s="7"/>
      <c r="G1325" s="9" t="s">
        <v>2322</v>
      </c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</row>
    <row r="1326" spans="1:18" ht="12.75" customHeight="1" x14ac:dyDescent="0.2">
      <c r="A1326" s="7"/>
      <c r="B1326" s="2"/>
      <c r="C1326" s="2"/>
      <c r="D1326" s="2"/>
      <c r="E1326" s="7"/>
      <c r="F1326" s="7"/>
      <c r="G1326" s="9" t="s">
        <v>2322</v>
      </c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</row>
    <row r="1327" spans="1:18" ht="12.75" customHeight="1" x14ac:dyDescent="0.2">
      <c r="A1327" s="7"/>
      <c r="B1327" s="2"/>
      <c r="C1327" s="2"/>
      <c r="D1327" s="2"/>
      <c r="E1327" s="7"/>
      <c r="F1327" s="7"/>
      <c r="G1327" s="9" t="s">
        <v>2322</v>
      </c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</row>
    <row r="1328" spans="1:18" ht="12.75" customHeight="1" x14ac:dyDescent="0.2">
      <c r="A1328" s="7"/>
      <c r="B1328" s="2"/>
      <c r="C1328" s="2"/>
      <c r="D1328" s="2"/>
      <c r="E1328" s="7"/>
      <c r="F1328" s="7"/>
      <c r="G1328" s="9" t="s">
        <v>2322</v>
      </c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</row>
    <row r="1329" spans="1:18" ht="12.75" customHeight="1" x14ac:dyDescent="0.2">
      <c r="A1329" s="7"/>
      <c r="B1329" s="2"/>
      <c r="C1329" s="2"/>
      <c r="D1329" s="2"/>
      <c r="E1329" s="7"/>
      <c r="F1329" s="7"/>
      <c r="G1329" s="9" t="s">
        <v>2322</v>
      </c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</row>
    <row r="1330" spans="1:18" ht="12.75" customHeight="1" x14ac:dyDescent="0.2">
      <c r="A1330" s="7" t="str">
        <f>HYPERLINK("javascript:void(0)","fotoacél mellvért")</f>
        <v>fotoacél mellvért</v>
      </c>
      <c r="B1330" s="7"/>
      <c r="C1330" s="7"/>
      <c r="D1330" s="7"/>
      <c r="E1330" s="7"/>
      <c r="F1330" s="7"/>
      <c r="G1330" s="9" t="s">
        <v>2322</v>
      </c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</row>
    <row r="1331" spans="1:18" ht="12.75" customHeight="1" x14ac:dyDescent="0.2">
      <c r="A1331" s="7"/>
      <c r="B1331" s="2"/>
      <c r="C1331" s="2"/>
      <c r="D1331" s="2"/>
      <c r="E1331" s="7"/>
      <c r="F1331" s="7"/>
      <c r="G1331" s="9" t="s">
        <v>2322</v>
      </c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</row>
    <row r="1332" spans="1:18" ht="12.75" customHeight="1" x14ac:dyDescent="0.2">
      <c r="A1332" s="7"/>
      <c r="B1332" s="2" t="s">
        <v>0</v>
      </c>
      <c r="C1332" s="2" t="s">
        <v>248</v>
      </c>
      <c r="D1332" s="2"/>
      <c r="E1332" s="7"/>
      <c r="F1332" s="7"/>
      <c r="G1332" s="9" t="s">
        <v>2322</v>
      </c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</row>
    <row r="1333" spans="1:18" ht="12.75" customHeight="1" x14ac:dyDescent="0.2">
      <c r="A1333" s="7"/>
      <c r="B1333" s="2" t="s">
        <v>2</v>
      </c>
      <c r="C1333" s="2" t="s">
        <v>2322</v>
      </c>
      <c r="D1333" s="2"/>
      <c r="E1333" s="7"/>
      <c r="F1333" s="7"/>
      <c r="G1333" s="9" t="s">
        <v>2322</v>
      </c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</row>
    <row r="1334" spans="1:18" ht="12.75" customHeight="1" x14ac:dyDescent="0.2">
      <c r="A1334" s="7"/>
      <c r="B1334" s="2" t="s">
        <v>1840</v>
      </c>
      <c r="C1334" s="2" t="s">
        <v>2426</v>
      </c>
      <c r="D1334" s="2"/>
      <c r="E1334" s="7"/>
      <c r="F1334" s="7"/>
      <c r="G1334" s="9" t="s">
        <v>2322</v>
      </c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</row>
    <row r="1335" spans="1:18" ht="12.75" customHeight="1" x14ac:dyDescent="0.2">
      <c r="A1335" s="7"/>
      <c r="B1335" s="2" t="s">
        <v>9</v>
      </c>
      <c r="C1335" s="2" t="s">
        <v>306</v>
      </c>
      <c r="D1335" s="2"/>
      <c r="E1335" s="7"/>
      <c r="F1335" s="7"/>
      <c r="G1335" s="9" t="s">
        <v>2322</v>
      </c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</row>
    <row r="1336" spans="1:18" ht="12.75" customHeight="1" x14ac:dyDescent="0.2">
      <c r="A1336" s="7"/>
      <c r="B1336" s="2" t="s">
        <v>11</v>
      </c>
      <c r="C1336" s="2" t="s">
        <v>702</v>
      </c>
      <c r="D1336" s="2"/>
      <c r="E1336" s="7"/>
      <c r="F1336" s="7"/>
      <c r="G1336" s="9" t="s">
        <v>2322</v>
      </c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</row>
    <row r="1337" spans="1:18" ht="12.75" customHeight="1" x14ac:dyDescent="0.2">
      <c r="A1337" s="7"/>
      <c r="B1337" s="2" t="s">
        <v>16</v>
      </c>
      <c r="C1337" s="2"/>
      <c r="D1337" s="2"/>
      <c r="E1337" s="7"/>
      <c r="F1337" s="7"/>
      <c r="G1337" s="9" t="s">
        <v>2322</v>
      </c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</row>
    <row r="1338" spans="1:18" ht="12.75" customHeight="1" x14ac:dyDescent="0.2">
      <c r="A1338" s="7"/>
      <c r="B1338" s="2" t="s">
        <v>17</v>
      </c>
      <c r="C1338" s="2" t="s">
        <v>19</v>
      </c>
      <c r="D1338" s="2"/>
      <c r="E1338" s="7"/>
      <c r="F1338" s="7"/>
      <c r="G1338" s="9" t="s">
        <v>2322</v>
      </c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</row>
    <row r="1339" spans="1:18" ht="12.75" customHeight="1" x14ac:dyDescent="0.2">
      <c r="A1339" s="7"/>
      <c r="B1339" s="2" t="s">
        <v>18</v>
      </c>
      <c r="C1339" s="2" t="s">
        <v>68</v>
      </c>
      <c r="D1339" s="2" t="str">
        <f>HYPERLINK("javascript:void(0)","tudásmorzsa")</f>
        <v>tudásmorzsa</v>
      </c>
      <c r="E1339" s="7"/>
      <c r="F1339" s="7"/>
      <c r="G1339" s="9" t="s">
        <v>2322</v>
      </c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</row>
    <row r="1340" spans="1:18" ht="12.75" customHeight="1" x14ac:dyDescent="0.2">
      <c r="A1340" s="7"/>
      <c r="B1340" s="2"/>
      <c r="C1340" s="2" t="s">
        <v>117</v>
      </c>
      <c r="D1340" s="2" t="str">
        <f>HYPERLINK("javascript:void(0)","kispárna")</f>
        <v>kispárna</v>
      </c>
      <c r="E1340" s="7"/>
      <c r="F1340" s="7"/>
      <c r="G1340" s="9" t="s">
        <v>2322</v>
      </c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</row>
    <row r="1341" spans="1:18" ht="12.75" customHeight="1" x14ac:dyDescent="0.2">
      <c r="A1341" s="7"/>
      <c r="B1341" s="2"/>
      <c r="C1341" s="2" t="s">
        <v>280</v>
      </c>
      <c r="D1341" s="2" t="str">
        <f>HYPERLINK("javascript:void(0)","dimenzióforgács")</f>
        <v>dimenzióforgács</v>
      </c>
      <c r="E1341" s="7"/>
      <c r="F1341" s="7"/>
      <c r="G1341" s="9" t="s">
        <v>2322</v>
      </c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</row>
    <row r="1342" spans="1:18" ht="12.75" customHeight="1" x14ac:dyDescent="0.2">
      <c r="A1342" s="7"/>
      <c r="B1342" s="2"/>
      <c r="C1342" s="2"/>
      <c r="D1342" s="2"/>
      <c r="E1342" s="7"/>
      <c r="F1342" s="7"/>
      <c r="G1342" s="9" t="s">
        <v>2322</v>
      </c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</row>
    <row r="1343" spans="1:18" ht="12.75" customHeight="1" x14ac:dyDescent="0.2">
      <c r="A1343" s="7"/>
      <c r="B1343" s="2"/>
      <c r="C1343" s="2"/>
      <c r="D1343" s="2"/>
      <c r="E1343" s="7"/>
      <c r="F1343" s="7"/>
      <c r="G1343" s="9" t="s">
        <v>2322</v>
      </c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</row>
    <row r="1344" spans="1:18" ht="12.75" customHeight="1" x14ac:dyDescent="0.2">
      <c r="A1344" s="7"/>
      <c r="B1344" s="2"/>
      <c r="C1344" s="2"/>
      <c r="D1344" s="2"/>
      <c r="E1344" s="7"/>
      <c r="F1344" s="7"/>
      <c r="G1344" s="9" t="s">
        <v>2322</v>
      </c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</row>
    <row r="1345" spans="1:18" ht="12.75" customHeight="1" x14ac:dyDescent="0.2">
      <c r="A1345" s="7"/>
      <c r="B1345" s="2"/>
      <c r="C1345" s="2"/>
      <c r="D1345" s="2"/>
      <c r="E1345" s="7"/>
      <c r="F1345" s="7"/>
      <c r="G1345" s="9" t="s">
        <v>2322</v>
      </c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</row>
    <row r="1346" spans="1:18" ht="12.75" customHeight="1" x14ac:dyDescent="0.2">
      <c r="A1346" s="7"/>
      <c r="B1346" s="2"/>
      <c r="C1346" s="2"/>
      <c r="D1346" s="2"/>
      <c r="E1346" s="7"/>
      <c r="F1346" s="7"/>
      <c r="G1346" s="9" t="s">
        <v>2322</v>
      </c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</row>
    <row r="1347" spans="1:18" ht="12.75" customHeight="1" x14ac:dyDescent="0.2">
      <c r="A1347" s="7" t="str">
        <f>HYPERLINK("javascript:void(0)","magnetoacél mellvért")</f>
        <v>magnetoacél mellvért</v>
      </c>
      <c r="B1347" s="7"/>
      <c r="C1347" s="7"/>
      <c r="D1347" s="7"/>
      <c r="E1347" s="7"/>
      <c r="F1347" s="7"/>
      <c r="G1347" s="9" t="s">
        <v>2322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</row>
    <row r="1348" spans="1:18" ht="12.75" customHeight="1" x14ac:dyDescent="0.2">
      <c r="A1348" s="7"/>
      <c r="B1348" s="2"/>
      <c r="C1348" s="2"/>
      <c r="D1348" s="2"/>
      <c r="E1348" s="7"/>
      <c r="F1348" s="7"/>
      <c r="G1348" s="9" t="s">
        <v>2322</v>
      </c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</row>
    <row r="1349" spans="1:18" ht="12.75" customHeight="1" x14ac:dyDescent="0.2">
      <c r="A1349" s="7"/>
      <c r="B1349" s="2" t="s">
        <v>0</v>
      </c>
      <c r="C1349" s="2" t="s">
        <v>635</v>
      </c>
      <c r="D1349" s="2"/>
      <c r="E1349" s="7"/>
      <c r="F1349" s="7"/>
      <c r="G1349" s="9" t="s">
        <v>2322</v>
      </c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</row>
    <row r="1350" spans="1:18" ht="12.75" customHeight="1" x14ac:dyDescent="0.2">
      <c r="A1350" s="7"/>
      <c r="B1350" s="2" t="s">
        <v>2</v>
      </c>
      <c r="C1350" s="2" t="s">
        <v>2322</v>
      </c>
      <c r="D1350" s="2"/>
      <c r="E1350" s="7"/>
      <c r="F1350" s="7"/>
      <c r="G1350" s="9" t="s">
        <v>2322</v>
      </c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</row>
    <row r="1351" spans="1:18" ht="12.75" customHeight="1" x14ac:dyDescent="0.2">
      <c r="A1351" s="7"/>
      <c r="B1351" s="2" t="s">
        <v>1840</v>
      </c>
      <c r="C1351" s="2" t="s">
        <v>1814</v>
      </c>
      <c r="D1351" s="2"/>
      <c r="E1351" s="7"/>
      <c r="F1351" s="7"/>
      <c r="G1351" s="9" t="s">
        <v>2322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</row>
    <row r="1352" spans="1:18" ht="12.75" customHeight="1" x14ac:dyDescent="0.2">
      <c r="A1352" s="7"/>
      <c r="B1352" s="2" t="s">
        <v>9</v>
      </c>
      <c r="C1352" s="2" t="s">
        <v>200</v>
      </c>
      <c r="D1352" s="2"/>
      <c r="E1352" s="7"/>
      <c r="F1352" s="7"/>
      <c r="G1352" s="9" t="s">
        <v>2322</v>
      </c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</row>
    <row r="1353" spans="1:18" ht="12.75" customHeight="1" x14ac:dyDescent="0.2">
      <c r="A1353" s="7"/>
      <c r="B1353" s="2" t="s">
        <v>11</v>
      </c>
      <c r="C1353" s="2" t="s">
        <v>722</v>
      </c>
      <c r="D1353" s="2"/>
      <c r="E1353" s="7"/>
      <c r="F1353" s="7"/>
      <c r="G1353" s="9" t="s">
        <v>2322</v>
      </c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</row>
    <row r="1354" spans="1:18" ht="12.75" customHeight="1" x14ac:dyDescent="0.2">
      <c r="A1354" s="7"/>
      <c r="B1354" s="2" t="s">
        <v>16</v>
      </c>
      <c r="C1354" s="2"/>
      <c r="D1354" s="2"/>
      <c r="E1354" s="7"/>
      <c r="F1354" s="7"/>
      <c r="G1354" s="9" t="s">
        <v>2322</v>
      </c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</row>
    <row r="1355" spans="1:18" ht="12.75" customHeight="1" x14ac:dyDescent="0.2">
      <c r="A1355" s="7"/>
      <c r="B1355" s="2" t="s">
        <v>17</v>
      </c>
      <c r="C1355" s="2" t="s">
        <v>19</v>
      </c>
      <c r="D1355" s="2"/>
      <c r="E1355" s="7"/>
      <c r="F1355" s="7"/>
      <c r="G1355" s="9" t="s">
        <v>2322</v>
      </c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</row>
    <row r="1356" spans="1:18" ht="12.75" customHeight="1" x14ac:dyDescent="0.2">
      <c r="A1356" s="7"/>
      <c r="B1356" s="2" t="s">
        <v>18</v>
      </c>
      <c r="C1356" s="2" t="s">
        <v>44</v>
      </c>
      <c r="D1356" s="2" t="str">
        <f>HYPERLINK("javascript:void(0)","thordi mellvért")</f>
        <v>thordi mellvért</v>
      </c>
      <c r="E1356" s="7"/>
      <c r="F1356" s="7"/>
      <c r="G1356" s="9" t="s">
        <v>2322</v>
      </c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</row>
    <row r="1357" spans="1:18" ht="12.75" customHeight="1" x14ac:dyDescent="0.2">
      <c r="A1357" s="7"/>
      <c r="B1357" s="2"/>
      <c r="C1357" s="2" t="s">
        <v>44</v>
      </c>
      <c r="D1357" s="2" t="str">
        <f>HYPERLINK("javascript:void(0)","fotoacél mellvért")</f>
        <v>fotoacél mellvért</v>
      </c>
      <c r="E1357" s="7"/>
      <c r="F1357" s="7"/>
      <c r="G1357" s="9" t="s">
        <v>2322</v>
      </c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</row>
    <row r="1358" spans="1:18" ht="12.75" customHeight="1" x14ac:dyDescent="0.2">
      <c r="A1358" s="7"/>
      <c r="B1358" s="2"/>
      <c r="C1358" s="2" t="s">
        <v>44</v>
      </c>
      <c r="D1358" s="2" t="str">
        <f>HYPERLINK("javascript:void(0)","magnetoacél előlap")</f>
        <v>magnetoacél előlap</v>
      </c>
      <c r="E1358" s="7"/>
      <c r="F1358" s="7"/>
      <c r="G1358" s="9" t="s">
        <v>2322</v>
      </c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</row>
    <row r="1359" spans="1:18" ht="12.75" customHeight="1" x14ac:dyDescent="0.2">
      <c r="A1359" s="7"/>
      <c r="B1359" s="2"/>
      <c r="C1359" s="2"/>
      <c r="D1359" s="2"/>
      <c r="E1359" s="7"/>
      <c r="F1359" s="7"/>
      <c r="G1359" s="9" t="s">
        <v>2322</v>
      </c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</row>
    <row r="1360" spans="1:18" ht="12.75" customHeight="1" x14ac:dyDescent="0.2">
      <c r="A1360" s="7"/>
      <c r="B1360" s="2"/>
      <c r="C1360" s="2"/>
      <c r="D1360" s="2"/>
      <c r="E1360" s="7"/>
      <c r="F1360" s="7"/>
      <c r="G1360" s="9" t="s">
        <v>2322</v>
      </c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</row>
    <row r="1361" spans="1:18" ht="12.75" customHeight="1" x14ac:dyDescent="0.2">
      <c r="A1361" s="7"/>
      <c r="B1361" s="2"/>
      <c r="C1361" s="2"/>
      <c r="D1361" s="2"/>
      <c r="E1361" s="7"/>
      <c r="F1361" s="7"/>
      <c r="G1361" s="9" t="s">
        <v>2322</v>
      </c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</row>
    <row r="1362" spans="1:18" ht="12.75" customHeight="1" x14ac:dyDescent="0.2">
      <c r="A1362" s="7"/>
      <c r="B1362" s="2"/>
      <c r="C1362" s="2"/>
      <c r="D1362" s="2"/>
      <c r="E1362" s="7"/>
      <c r="F1362" s="7"/>
      <c r="G1362" s="9" t="s">
        <v>2322</v>
      </c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</row>
    <row r="1363" spans="1:18" ht="12.75" customHeight="1" x14ac:dyDescent="0.2">
      <c r="A1363" s="7"/>
      <c r="B1363" s="2"/>
      <c r="C1363" s="2"/>
      <c r="D1363" s="2"/>
      <c r="E1363" s="7"/>
      <c r="F1363" s="7"/>
      <c r="G1363" s="9" t="s">
        <v>2322</v>
      </c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</row>
    <row r="1364" spans="1:18" ht="12.75" customHeight="1" x14ac:dyDescent="0.2">
      <c r="A1364" s="7" t="str">
        <f>HYPERLINK("javascript:void(0)","helioacél mellvért")</f>
        <v>helioacél mellvért</v>
      </c>
      <c r="B1364" s="7"/>
      <c r="C1364" s="7"/>
      <c r="D1364" s="7"/>
      <c r="E1364" s="7"/>
      <c r="F1364" s="7"/>
      <c r="G1364" s="9" t="s">
        <v>2322</v>
      </c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</row>
    <row r="1365" spans="1:18" ht="12.75" customHeight="1" x14ac:dyDescent="0.2">
      <c r="A1365" s="7"/>
      <c r="B1365" s="2"/>
      <c r="C1365" s="2"/>
      <c r="D1365" s="2"/>
      <c r="E1365" s="7"/>
      <c r="F1365" s="7"/>
      <c r="G1365" s="9" t="s">
        <v>2322</v>
      </c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</row>
    <row r="1366" spans="1:18" ht="12.75" customHeight="1" x14ac:dyDescent="0.2">
      <c r="A1366" s="7"/>
      <c r="B1366" s="2" t="s">
        <v>0</v>
      </c>
      <c r="C1366" s="2" t="s">
        <v>239</v>
      </c>
      <c r="D1366" s="2"/>
      <c r="E1366" s="7"/>
      <c r="F1366" s="7"/>
      <c r="G1366" s="9" t="s">
        <v>2322</v>
      </c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</row>
    <row r="1367" spans="1:18" ht="12.75" customHeight="1" x14ac:dyDescent="0.2">
      <c r="A1367" s="7"/>
      <c r="B1367" s="2" t="s">
        <v>2</v>
      </c>
      <c r="C1367" s="2" t="s">
        <v>2322</v>
      </c>
      <c r="D1367" s="2"/>
      <c r="E1367" s="7"/>
      <c r="F1367" s="7"/>
      <c r="G1367" s="9" t="s">
        <v>2322</v>
      </c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</row>
    <row r="1368" spans="1:18" ht="12.75" customHeight="1" x14ac:dyDescent="0.2">
      <c r="A1368" s="7"/>
      <c r="B1368" s="2" t="s">
        <v>1840</v>
      </c>
      <c r="C1368" s="2" t="s">
        <v>2427</v>
      </c>
      <c r="D1368" s="2"/>
      <c r="E1368" s="7"/>
      <c r="F1368" s="7"/>
      <c r="G1368" s="9" t="s">
        <v>2322</v>
      </c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</row>
    <row r="1369" spans="1:18" ht="12.75" customHeight="1" x14ac:dyDescent="0.2">
      <c r="A1369" s="7"/>
      <c r="B1369" s="2" t="s">
        <v>9</v>
      </c>
      <c r="C1369" s="2" t="s">
        <v>172</v>
      </c>
      <c r="D1369" s="2"/>
      <c r="E1369" s="7"/>
      <c r="F1369" s="7"/>
      <c r="G1369" s="9" t="s">
        <v>2322</v>
      </c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</row>
    <row r="1370" spans="1:18" ht="12.75" customHeight="1" x14ac:dyDescent="0.2">
      <c r="A1370" s="7"/>
      <c r="B1370" s="2" t="s">
        <v>11</v>
      </c>
      <c r="C1370" s="2" t="s">
        <v>739</v>
      </c>
      <c r="D1370" s="2"/>
      <c r="E1370" s="7"/>
      <c r="F1370" s="7"/>
      <c r="G1370" s="9" t="s">
        <v>2322</v>
      </c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</row>
    <row r="1371" spans="1:18" ht="12.75" customHeight="1" x14ac:dyDescent="0.2">
      <c r="A1371" s="7"/>
      <c r="B1371" s="2" t="s">
        <v>16</v>
      </c>
      <c r="C1371" s="2"/>
      <c r="D1371" s="2"/>
      <c r="E1371" s="7"/>
      <c r="F1371" s="7"/>
      <c r="G1371" s="9" t="s">
        <v>2322</v>
      </c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</row>
    <row r="1372" spans="1:18" ht="12.75" customHeight="1" x14ac:dyDescent="0.2">
      <c r="A1372" s="7"/>
      <c r="B1372" s="2" t="s">
        <v>17</v>
      </c>
      <c r="C1372" s="2" t="s">
        <v>19</v>
      </c>
      <c r="D1372" s="2"/>
      <c r="E1372" s="7"/>
      <c r="F1372" s="7"/>
      <c r="G1372" s="9" t="s">
        <v>2322</v>
      </c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</row>
    <row r="1373" spans="1:18" ht="12.75" customHeight="1" x14ac:dyDescent="0.2">
      <c r="A1373" s="7"/>
      <c r="B1373" s="2" t="s">
        <v>18</v>
      </c>
      <c r="C1373" s="2" t="s">
        <v>44</v>
      </c>
      <c r="D1373" s="2" t="str">
        <f>HYPERLINK("javascript:void(0)","magnetoacél mellvért")</f>
        <v>magnetoacél mellvért</v>
      </c>
      <c r="E1373" s="7"/>
      <c r="F1373" s="7"/>
      <c r="G1373" s="9" t="s">
        <v>2322</v>
      </c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</row>
    <row r="1374" spans="1:18" ht="12.75" customHeight="1" x14ac:dyDescent="0.2">
      <c r="A1374" s="7"/>
      <c r="B1374" s="2"/>
      <c r="C1374" s="2" t="s">
        <v>68</v>
      </c>
      <c r="D1374" s="2" t="str">
        <f>HYPERLINK("javascript:void(0)","kárópikkely")</f>
        <v>kárópikkely</v>
      </c>
      <c r="E1374" s="7"/>
      <c r="F1374" s="7"/>
      <c r="G1374" s="9" t="s">
        <v>2322</v>
      </c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</row>
    <row r="1375" spans="1:18" ht="12.75" customHeight="1" x14ac:dyDescent="0.2">
      <c r="A1375" s="7"/>
      <c r="B1375" s="2"/>
      <c r="C1375" s="2" t="s">
        <v>130</v>
      </c>
      <c r="D1375" s="2" t="str">
        <f>HYPERLINK("javascript:void(0)","ámbra")</f>
        <v>ámbra</v>
      </c>
      <c r="E1375" s="7"/>
      <c r="F1375" s="7"/>
      <c r="G1375" s="9" t="s">
        <v>2322</v>
      </c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</row>
    <row r="1376" spans="1:18" ht="12.75" customHeight="1" x14ac:dyDescent="0.2">
      <c r="A1376" s="7"/>
      <c r="B1376" s="2"/>
      <c r="C1376" s="2"/>
      <c r="D1376" s="2"/>
      <c r="E1376" s="7"/>
      <c r="F1376" s="7"/>
      <c r="G1376" s="9" t="s">
        <v>2322</v>
      </c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</row>
    <row r="1377" spans="1:18" ht="12.75" customHeight="1" x14ac:dyDescent="0.2">
      <c r="A1377" s="7"/>
      <c r="B1377" s="2"/>
      <c r="C1377" s="2"/>
      <c r="D1377" s="2"/>
      <c r="E1377" s="7"/>
      <c r="F1377" s="7"/>
      <c r="G1377" s="9" t="s">
        <v>2322</v>
      </c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</row>
    <row r="1378" spans="1:18" ht="12.75" customHeight="1" x14ac:dyDescent="0.2">
      <c r="A1378" s="7"/>
      <c r="B1378" s="2"/>
      <c r="C1378" s="2"/>
      <c r="D1378" s="2"/>
      <c r="E1378" s="7"/>
      <c r="F1378" s="7"/>
      <c r="G1378" s="9" t="s">
        <v>2322</v>
      </c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</row>
    <row r="1379" spans="1:18" ht="12.75" customHeight="1" x14ac:dyDescent="0.2">
      <c r="A1379" s="7"/>
      <c r="B1379" s="2"/>
      <c r="C1379" s="2"/>
      <c r="D1379" s="2"/>
      <c r="E1379" s="7"/>
      <c r="F1379" s="7"/>
      <c r="G1379" s="9" t="s">
        <v>2322</v>
      </c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</row>
    <row r="1380" spans="1:18" ht="12.75" customHeight="1" x14ac:dyDescent="0.2">
      <c r="A1380" s="7"/>
      <c r="B1380" s="2"/>
      <c r="C1380" s="2"/>
      <c r="D1380" s="2"/>
      <c r="E1380" s="7"/>
      <c r="F1380" s="7"/>
      <c r="G1380" s="9" t="s">
        <v>2322</v>
      </c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</row>
    <row r="1381" spans="1:18" ht="12.75" customHeight="1" x14ac:dyDescent="0.2">
      <c r="A1381" s="7" t="str">
        <f>HYPERLINK("javascript:void(0)","pikkelyrostély")</f>
        <v>pikkelyrostély</v>
      </c>
      <c r="B1381" s="7"/>
      <c r="C1381" s="7"/>
      <c r="D1381" s="7"/>
      <c r="E1381" s="7"/>
      <c r="F1381" s="7"/>
      <c r="G1381" s="9" t="s">
        <v>2322</v>
      </c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</row>
    <row r="1382" spans="1:18" ht="12.75" customHeight="1" x14ac:dyDescent="0.2">
      <c r="A1382" s="7"/>
      <c r="B1382" s="2"/>
      <c r="C1382" s="2"/>
      <c r="D1382" s="2"/>
      <c r="E1382" s="7"/>
      <c r="F1382" s="7"/>
      <c r="G1382" s="9" t="s">
        <v>2322</v>
      </c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</row>
    <row r="1383" spans="1:18" ht="12.75" customHeight="1" x14ac:dyDescent="0.2">
      <c r="A1383" s="7"/>
      <c r="B1383" s="2" t="s">
        <v>0</v>
      </c>
      <c r="C1383" s="2" t="s">
        <v>239</v>
      </c>
      <c r="D1383" s="2"/>
      <c r="E1383" s="7"/>
      <c r="F1383" s="7"/>
      <c r="G1383" s="9" t="s">
        <v>2322</v>
      </c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</row>
    <row r="1384" spans="1:18" ht="12.75" customHeight="1" x14ac:dyDescent="0.2">
      <c r="A1384" s="7"/>
      <c r="B1384" s="2" t="s">
        <v>2</v>
      </c>
      <c r="C1384" s="2" t="s">
        <v>2322</v>
      </c>
      <c r="D1384" s="2"/>
      <c r="E1384" s="7"/>
      <c r="F1384" s="7"/>
      <c r="G1384" s="9" t="s">
        <v>2322</v>
      </c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</row>
    <row r="1385" spans="1:18" ht="12.75" customHeight="1" x14ac:dyDescent="0.2">
      <c r="A1385" s="7"/>
      <c r="B1385" s="2" t="s">
        <v>1840</v>
      </c>
      <c r="C1385" s="2" t="s">
        <v>52</v>
      </c>
      <c r="D1385" s="2"/>
      <c r="E1385" s="7"/>
      <c r="F1385" s="7"/>
      <c r="G1385" s="9" t="s">
        <v>2322</v>
      </c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</row>
    <row r="1386" spans="1:18" ht="12.75" customHeight="1" x14ac:dyDescent="0.2">
      <c r="A1386" s="7"/>
      <c r="B1386" s="2" t="s">
        <v>9</v>
      </c>
      <c r="C1386" s="2" t="s">
        <v>42</v>
      </c>
      <c r="D1386" s="2"/>
      <c r="E1386" s="7"/>
      <c r="F1386" s="7"/>
      <c r="G1386" s="9" t="s">
        <v>2322</v>
      </c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</row>
    <row r="1387" spans="1:18" ht="12.75" customHeight="1" x14ac:dyDescent="0.2">
      <c r="A1387" s="7"/>
      <c r="B1387" s="2" t="s">
        <v>11</v>
      </c>
      <c r="C1387" s="2" t="s">
        <v>368</v>
      </c>
      <c r="D1387" s="2"/>
      <c r="E1387" s="7"/>
      <c r="F1387" s="7"/>
      <c r="G1387" s="9" t="s">
        <v>2322</v>
      </c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</row>
    <row r="1388" spans="1:18" ht="12.75" customHeight="1" x14ac:dyDescent="0.2">
      <c r="A1388" s="7"/>
      <c r="B1388" s="2" t="s">
        <v>16</v>
      </c>
      <c r="C1388" s="2"/>
      <c r="D1388" s="2"/>
      <c r="E1388" s="7"/>
      <c r="F1388" s="7"/>
      <c r="G1388" s="9" t="s">
        <v>2322</v>
      </c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</row>
    <row r="1389" spans="1:18" ht="12.75" customHeight="1" x14ac:dyDescent="0.2">
      <c r="A1389" s="7"/>
      <c r="B1389" s="2" t="s">
        <v>17</v>
      </c>
      <c r="C1389" s="2" t="s">
        <v>19</v>
      </c>
      <c r="D1389" s="2"/>
      <c r="E1389" s="7"/>
      <c r="F1389" s="7"/>
      <c r="G1389" s="9" t="s">
        <v>2322</v>
      </c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</row>
    <row r="1390" spans="1:18" ht="12.75" customHeight="1" x14ac:dyDescent="0.2">
      <c r="A1390" s="7"/>
      <c r="B1390" s="2" t="s">
        <v>18</v>
      </c>
      <c r="C1390" s="2" t="s">
        <v>77</v>
      </c>
      <c r="D1390" s="2" t="str">
        <f>HYPERLINK("javascript:void(0)","kárópikkely")</f>
        <v>kárópikkely</v>
      </c>
      <c r="E1390" s="7"/>
      <c r="F1390" s="7"/>
      <c r="G1390" s="9" t="s">
        <v>2322</v>
      </c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</row>
    <row r="1391" spans="1:18" ht="12.75" customHeight="1" x14ac:dyDescent="0.2">
      <c r="A1391" s="7"/>
      <c r="B1391" s="2"/>
      <c r="C1391" s="2" t="s">
        <v>139</v>
      </c>
      <c r="D1391" s="2" t="str">
        <f>HYPERLINK("javascript:void(0)","kispárna")</f>
        <v>kispárna</v>
      </c>
      <c r="E1391" s="7"/>
      <c r="F1391" s="7"/>
      <c r="G1391" s="9" t="s">
        <v>2322</v>
      </c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</row>
    <row r="1392" spans="1:18" ht="12.75" customHeight="1" x14ac:dyDescent="0.2">
      <c r="A1392" s="7"/>
      <c r="B1392" s="2"/>
      <c r="C1392" s="2" t="s">
        <v>369</v>
      </c>
      <c r="D1392" s="2" t="str">
        <f>HYPERLINK("javascript:void(0)","mechodron")</f>
        <v>mechodron</v>
      </c>
      <c r="E1392" s="7"/>
      <c r="F1392" s="7"/>
      <c r="G1392" s="9" t="s">
        <v>2322</v>
      </c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</row>
    <row r="1393" spans="1:18" ht="12.75" customHeight="1" x14ac:dyDescent="0.2">
      <c r="A1393" s="7"/>
      <c r="B1393" s="2"/>
      <c r="C1393" s="2"/>
      <c r="D1393" s="2"/>
      <c r="E1393" s="7"/>
      <c r="F1393" s="7"/>
      <c r="G1393" s="9" t="s">
        <v>2322</v>
      </c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</row>
    <row r="1394" spans="1:18" ht="12.75" customHeight="1" x14ac:dyDescent="0.2">
      <c r="A1394" s="7"/>
      <c r="B1394" s="2"/>
      <c r="C1394" s="2"/>
      <c r="D1394" s="2"/>
      <c r="E1394" s="7"/>
      <c r="F1394" s="7"/>
      <c r="G1394" s="9" t="s">
        <v>2322</v>
      </c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</row>
    <row r="1395" spans="1:18" ht="12.75" customHeight="1" x14ac:dyDescent="0.2">
      <c r="A1395" s="7"/>
      <c r="B1395" s="2"/>
      <c r="C1395" s="2"/>
      <c r="D1395" s="2"/>
      <c r="E1395" s="7"/>
      <c r="F1395" s="7"/>
      <c r="G1395" s="9" t="s">
        <v>2322</v>
      </c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</row>
    <row r="1396" spans="1:18" ht="12.75" customHeight="1" x14ac:dyDescent="0.2">
      <c r="A1396" s="7"/>
      <c r="B1396" s="2"/>
      <c r="C1396" s="2"/>
      <c r="D1396" s="2"/>
      <c r="E1396" s="7"/>
      <c r="F1396" s="7"/>
      <c r="G1396" s="9" t="s">
        <v>2322</v>
      </c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</row>
    <row r="1397" spans="1:18" ht="12.75" customHeight="1" x14ac:dyDescent="0.2">
      <c r="A1397" s="7"/>
      <c r="B1397" s="2"/>
      <c r="C1397" s="2"/>
      <c r="D1397" s="2"/>
      <c r="E1397" s="7"/>
      <c r="F1397" s="7"/>
      <c r="G1397" s="9" t="s">
        <v>2322</v>
      </c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</row>
    <row r="1398" spans="1:18" ht="12.75" customHeight="1" x14ac:dyDescent="0.2">
      <c r="A1398" s="7" t="str">
        <f>HYPERLINK("javascript:void(0)","csillámló elfpáncél")</f>
        <v>csillámló elfpáncél</v>
      </c>
      <c r="B1398" s="7"/>
      <c r="C1398" s="7"/>
      <c r="D1398" s="7"/>
      <c r="E1398" s="7"/>
      <c r="F1398" s="7"/>
      <c r="G1398" s="9" t="s">
        <v>2322</v>
      </c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</row>
    <row r="1399" spans="1:18" ht="12.75" customHeight="1" x14ac:dyDescent="0.2">
      <c r="A1399" s="7"/>
      <c r="B1399" s="2"/>
      <c r="C1399" s="2"/>
      <c r="D1399" s="2"/>
      <c r="E1399" s="7"/>
      <c r="F1399" s="7"/>
      <c r="G1399" s="9" t="s">
        <v>2322</v>
      </c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</row>
    <row r="1400" spans="1:18" ht="12.75" customHeight="1" x14ac:dyDescent="0.2">
      <c r="A1400" s="7"/>
      <c r="B1400" s="2" t="s">
        <v>0</v>
      </c>
      <c r="C1400" s="2" t="s">
        <v>239</v>
      </c>
      <c r="D1400" s="2"/>
      <c r="E1400" s="7"/>
      <c r="F1400" s="7"/>
      <c r="G1400" s="9" t="s">
        <v>2322</v>
      </c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</row>
    <row r="1401" spans="1:18" ht="12.75" customHeight="1" x14ac:dyDescent="0.2">
      <c r="A1401" s="7"/>
      <c r="B1401" s="2" t="s">
        <v>2</v>
      </c>
      <c r="C1401" s="2" t="s">
        <v>2322</v>
      </c>
      <c r="D1401" s="2"/>
      <c r="E1401" s="7"/>
      <c r="F1401" s="7"/>
      <c r="G1401" s="9" t="s">
        <v>2322</v>
      </c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</row>
    <row r="1402" spans="1:18" ht="12.75" customHeight="1" x14ac:dyDescent="0.2">
      <c r="A1402" s="7"/>
      <c r="B1402" s="2" t="s">
        <v>1840</v>
      </c>
      <c r="C1402" s="2" t="s">
        <v>2428</v>
      </c>
      <c r="D1402" s="2"/>
      <c r="E1402" s="7"/>
      <c r="F1402" s="7"/>
      <c r="G1402" s="9" t="s">
        <v>2322</v>
      </c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</row>
    <row r="1403" spans="1:18" ht="12.75" customHeight="1" x14ac:dyDescent="0.2">
      <c r="A1403" s="7"/>
      <c r="B1403" s="2" t="s">
        <v>9</v>
      </c>
      <c r="C1403" s="2" t="s">
        <v>2056</v>
      </c>
      <c r="D1403" s="2"/>
      <c r="E1403" s="7"/>
      <c r="F1403" s="7"/>
      <c r="G1403" s="9" t="s">
        <v>2322</v>
      </c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</row>
    <row r="1404" spans="1:18" ht="12.75" customHeight="1" x14ac:dyDescent="0.2">
      <c r="A1404" s="7"/>
      <c r="B1404" s="2" t="s">
        <v>11</v>
      </c>
      <c r="C1404" s="2" t="s">
        <v>739</v>
      </c>
      <c r="D1404" s="2"/>
      <c r="E1404" s="7"/>
      <c r="F1404" s="7"/>
      <c r="G1404" s="9" t="s">
        <v>2322</v>
      </c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</row>
    <row r="1405" spans="1:18" ht="12.75" customHeight="1" x14ac:dyDescent="0.2">
      <c r="A1405" s="7"/>
      <c r="B1405" s="2" t="s">
        <v>16</v>
      </c>
      <c r="C1405" s="2"/>
      <c r="D1405" s="2"/>
      <c r="E1405" s="7"/>
      <c r="F1405" s="7"/>
      <c r="G1405" s="9" t="s">
        <v>2322</v>
      </c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</row>
    <row r="1406" spans="1:18" ht="12.75" customHeight="1" x14ac:dyDescent="0.2">
      <c r="A1406" s="7"/>
      <c r="B1406" s="2" t="s">
        <v>17</v>
      </c>
      <c r="C1406" s="2" t="s">
        <v>19</v>
      </c>
      <c r="D1406" s="2"/>
      <c r="E1406" s="7"/>
      <c r="F1406" s="7"/>
      <c r="G1406" s="9" t="s">
        <v>2322</v>
      </c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</row>
    <row r="1407" spans="1:18" ht="12.75" customHeight="1" x14ac:dyDescent="0.2">
      <c r="A1407" s="7"/>
      <c r="B1407" s="2" t="s">
        <v>18</v>
      </c>
      <c r="C1407" s="2" t="s">
        <v>57</v>
      </c>
      <c r="D1407" s="2" t="str">
        <f>HYPERLINK("javascript:void(0)","csillámgöb")</f>
        <v>csillámgöb</v>
      </c>
      <c r="E1407" s="7"/>
      <c r="F1407" s="7"/>
      <c r="G1407" s="9" t="s">
        <v>2322</v>
      </c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</row>
    <row r="1408" spans="1:18" ht="12.75" customHeight="1" x14ac:dyDescent="0.2">
      <c r="A1408" s="7"/>
      <c r="B1408" s="2"/>
      <c r="C1408" s="2" t="s">
        <v>44</v>
      </c>
      <c r="D1408" s="2" t="str">
        <f>HYPERLINK("javascript:void(0)","csillámos kisvért")</f>
        <v>csillámos kisvért</v>
      </c>
      <c r="E1408" s="7"/>
      <c r="F1408" s="7"/>
      <c r="G1408" s="9" t="s">
        <v>2322</v>
      </c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</row>
    <row r="1409" spans="1:18" ht="12.75" customHeight="1" x14ac:dyDescent="0.2">
      <c r="A1409" s="7"/>
      <c r="B1409" s="2"/>
      <c r="C1409" s="2" t="s">
        <v>1536</v>
      </c>
      <c r="D1409" s="2" t="str">
        <f>HYPERLINK("javascript:void(0)","ámbra")</f>
        <v>ámbra</v>
      </c>
      <c r="E1409" s="7"/>
      <c r="F1409" s="7"/>
      <c r="G1409" s="9" t="s">
        <v>2322</v>
      </c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</row>
    <row r="1410" spans="1:18" ht="12.75" customHeight="1" x14ac:dyDescent="0.2">
      <c r="A1410" s="7"/>
      <c r="B1410" s="2"/>
      <c r="C1410" s="2"/>
      <c r="D1410" s="2"/>
      <c r="E1410" s="7"/>
      <c r="F1410" s="7"/>
      <c r="G1410" s="9" t="s">
        <v>2322</v>
      </c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</row>
    <row r="1411" spans="1:18" ht="12.75" customHeight="1" x14ac:dyDescent="0.2">
      <c r="A1411" s="7"/>
      <c r="B1411" s="2"/>
      <c r="C1411" s="2"/>
      <c r="D1411" s="2"/>
      <c r="E1411" s="7"/>
      <c r="F1411" s="7"/>
      <c r="G1411" s="9" t="s">
        <v>2322</v>
      </c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</row>
    <row r="1412" spans="1:18" ht="12.75" customHeight="1" x14ac:dyDescent="0.2">
      <c r="A1412" s="7"/>
      <c r="B1412" s="2"/>
      <c r="C1412" s="2"/>
      <c r="D1412" s="2"/>
      <c r="E1412" s="7"/>
      <c r="F1412" s="7"/>
      <c r="G1412" s="9" t="s">
        <v>2322</v>
      </c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</row>
    <row r="1413" spans="1:18" ht="12.75" customHeight="1" x14ac:dyDescent="0.2">
      <c r="A1413" s="7"/>
      <c r="B1413" s="2"/>
      <c r="C1413" s="2"/>
      <c r="D1413" s="2"/>
      <c r="E1413" s="7"/>
      <c r="F1413" s="7"/>
      <c r="G1413" s="9" t="s">
        <v>2322</v>
      </c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</row>
    <row r="1414" spans="1:18" ht="12.75" customHeight="1" x14ac:dyDescent="0.2">
      <c r="A1414" s="7"/>
      <c r="B1414" s="2"/>
      <c r="C1414" s="2"/>
      <c r="D1414" s="2"/>
      <c r="E1414" s="7"/>
      <c r="F1414" s="7"/>
      <c r="G1414" s="9" t="s">
        <v>2322</v>
      </c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</row>
    <row r="1415" spans="1:18" ht="12.75" customHeight="1" x14ac:dyDescent="0.2">
      <c r="A1415" s="7" t="str">
        <f>HYPERLINK("javascript:void(0)","rúna mellvért")</f>
        <v>rúna mellvért</v>
      </c>
      <c r="B1415" s="7"/>
      <c r="C1415" s="7"/>
      <c r="D1415" s="7"/>
      <c r="E1415" s="7"/>
      <c r="F1415" s="7"/>
      <c r="G1415" s="9" t="s">
        <v>2322</v>
      </c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</row>
    <row r="1416" spans="1:18" ht="12.75" customHeight="1" x14ac:dyDescent="0.2">
      <c r="A1416" s="7"/>
      <c r="B1416" s="2"/>
      <c r="C1416" s="2"/>
      <c r="D1416" s="2"/>
      <c r="E1416" s="7"/>
      <c r="F1416" s="7"/>
      <c r="G1416" s="9" t="s">
        <v>2322</v>
      </c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</row>
    <row r="1417" spans="1:18" ht="12.75" customHeight="1" x14ac:dyDescent="0.2">
      <c r="A1417" s="7"/>
      <c r="B1417" s="2" t="s">
        <v>0</v>
      </c>
      <c r="C1417" s="2" t="s">
        <v>651</v>
      </c>
      <c r="D1417" s="2"/>
      <c r="E1417" s="7"/>
      <c r="F1417" s="7"/>
      <c r="G1417" s="9" t="s">
        <v>2322</v>
      </c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</row>
    <row r="1418" spans="1:18" ht="12.75" customHeight="1" x14ac:dyDescent="0.2">
      <c r="A1418" s="7"/>
      <c r="B1418" s="2" t="s">
        <v>2</v>
      </c>
      <c r="C1418" s="2" t="s">
        <v>2322</v>
      </c>
      <c r="D1418" s="2"/>
      <c r="E1418" s="7"/>
      <c r="F1418" s="7"/>
      <c r="G1418" s="9" t="s">
        <v>2322</v>
      </c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</row>
    <row r="1419" spans="1:18" ht="12.75" customHeight="1" x14ac:dyDescent="0.2">
      <c r="A1419" s="7"/>
      <c r="B1419" s="2" t="s">
        <v>1840</v>
      </c>
      <c r="C1419" s="2" t="s">
        <v>2429</v>
      </c>
      <c r="D1419" s="2"/>
      <c r="E1419" s="7"/>
      <c r="F1419" s="7"/>
      <c r="G1419" s="9" t="s">
        <v>2322</v>
      </c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</row>
    <row r="1420" spans="1:18" ht="12.75" customHeight="1" x14ac:dyDescent="0.2">
      <c r="A1420" s="7"/>
      <c r="B1420" s="2" t="s">
        <v>9</v>
      </c>
      <c r="C1420" s="2" t="s">
        <v>200</v>
      </c>
      <c r="D1420" s="2"/>
      <c r="E1420" s="7"/>
      <c r="F1420" s="7"/>
      <c r="G1420" s="9" t="s">
        <v>2322</v>
      </c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</row>
    <row r="1421" spans="1:18" ht="12.75" customHeight="1" x14ac:dyDescent="0.2">
      <c r="A1421" s="7"/>
      <c r="B1421" s="2" t="s">
        <v>11</v>
      </c>
      <c r="C1421" s="2" t="s">
        <v>754</v>
      </c>
      <c r="D1421" s="2"/>
      <c r="E1421" s="7"/>
      <c r="F1421" s="7"/>
      <c r="G1421" s="9" t="s">
        <v>2322</v>
      </c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</row>
    <row r="1422" spans="1:18" ht="12.75" customHeight="1" x14ac:dyDescent="0.2">
      <c r="A1422" s="7"/>
      <c r="B1422" s="2" t="s">
        <v>16</v>
      </c>
      <c r="C1422" s="2"/>
      <c r="D1422" s="2"/>
      <c r="E1422" s="7"/>
      <c r="F1422" s="7"/>
      <c r="G1422" s="9" t="s">
        <v>2322</v>
      </c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</row>
    <row r="1423" spans="1:18" ht="12.75" customHeight="1" x14ac:dyDescent="0.2">
      <c r="A1423" s="7"/>
      <c r="B1423" s="2" t="s">
        <v>17</v>
      </c>
      <c r="C1423" s="2" t="s">
        <v>19</v>
      </c>
      <c r="D1423" s="2"/>
      <c r="E1423" s="7"/>
      <c r="F1423" s="7"/>
      <c r="G1423" s="9" t="s">
        <v>2322</v>
      </c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</row>
    <row r="1424" spans="1:18" ht="12.75" customHeight="1" x14ac:dyDescent="0.2">
      <c r="A1424" s="7"/>
      <c r="B1424" s="2" t="s">
        <v>18</v>
      </c>
      <c r="C1424" s="2" t="s">
        <v>68</v>
      </c>
      <c r="D1424" s="2" t="str">
        <f>HYPERLINK("javascript:void(0)","rúna")</f>
        <v>rúna</v>
      </c>
      <c r="E1424" s="7"/>
      <c r="F1424" s="7"/>
      <c r="G1424" s="9" t="s">
        <v>2322</v>
      </c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</row>
    <row r="1425" spans="1:18" ht="12.75" customHeight="1" x14ac:dyDescent="0.2">
      <c r="A1425" s="7"/>
      <c r="B1425" s="2"/>
      <c r="C1425" s="2" t="s">
        <v>117</v>
      </c>
      <c r="D1425" s="2" t="str">
        <f>HYPERLINK("javascript:void(0)","gigacsáp")</f>
        <v>gigacsáp</v>
      </c>
      <c r="E1425" s="7"/>
      <c r="F1425" s="7"/>
      <c r="G1425" s="9" t="s">
        <v>2322</v>
      </c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</row>
    <row r="1426" spans="1:18" ht="12.75" customHeight="1" x14ac:dyDescent="0.2">
      <c r="A1426" s="7"/>
      <c r="B1426" s="2"/>
      <c r="C1426" s="2" t="s">
        <v>244</v>
      </c>
      <c r="D1426" s="2" t="str">
        <f>HYPERLINK("javascript:void(0)","uszony")</f>
        <v>uszony</v>
      </c>
      <c r="E1426" s="7"/>
      <c r="F1426" s="7"/>
      <c r="G1426" s="9" t="s">
        <v>2322</v>
      </c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</row>
    <row r="1427" spans="1:18" ht="12.75" customHeight="1" x14ac:dyDescent="0.2">
      <c r="A1427" s="7"/>
      <c r="B1427" s="2"/>
      <c r="C1427" s="2"/>
      <c r="D1427" s="2"/>
      <c r="E1427" s="7"/>
      <c r="F1427" s="7"/>
      <c r="G1427" s="9" t="s">
        <v>2322</v>
      </c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</row>
    <row r="1428" spans="1:18" ht="12.75" customHeight="1" x14ac:dyDescent="0.2">
      <c r="A1428" s="7"/>
      <c r="B1428" s="2"/>
      <c r="C1428" s="2"/>
      <c r="D1428" s="2"/>
      <c r="E1428" s="7"/>
      <c r="F1428" s="7"/>
      <c r="G1428" s="9" t="s">
        <v>2322</v>
      </c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</row>
    <row r="1429" spans="1:18" ht="12.75" customHeight="1" x14ac:dyDescent="0.2">
      <c r="A1429" s="7"/>
      <c r="B1429" s="2"/>
      <c r="C1429" s="2"/>
      <c r="D1429" s="2"/>
      <c r="E1429" s="7"/>
      <c r="F1429" s="7"/>
      <c r="G1429" s="9" t="s">
        <v>2322</v>
      </c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</row>
    <row r="1430" spans="1:18" ht="12.75" customHeight="1" x14ac:dyDescent="0.2">
      <c r="A1430" s="7"/>
      <c r="B1430" s="2"/>
      <c r="C1430" s="2"/>
      <c r="D1430" s="2"/>
      <c r="E1430" s="7"/>
      <c r="F1430" s="7"/>
      <c r="G1430" s="9" t="s">
        <v>2322</v>
      </c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</row>
    <row r="1431" spans="1:18" ht="12.75" customHeight="1" x14ac:dyDescent="0.2">
      <c r="A1431" s="7"/>
      <c r="B1431" s="2"/>
      <c r="C1431" s="2"/>
      <c r="D1431" s="2"/>
      <c r="E1431" s="7"/>
      <c r="F1431" s="7"/>
      <c r="G1431" s="9" t="s">
        <v>2322</v>
      </c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</row>
    <row r="1432" spans="1:18" ht="12.75" customHeight="1" x14ac:dyDescent="0.2">
      <c r="A1432" s="7" t="str">
        <f>HYPERLINK("javascript:void(0)","hypnoacél mellvért")</f>
        <v>hypnoacél mellvért</v>
      </c>
      <c r="B1432" s="7"/>
      <c r="C1432" s="7"/>
      <c r="D1432" s="7"/>
      <c r="E1432" s="7"/>
      <c r="F1432" s="7"/>
      <c r="G1432" s="9" t="s">
        <v>2322</v>
      </c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</row>
    <row r="1433" spans="1:18" ht="12.75" customHeight="1" x14ac:dyDescent="0.2">
      <c r="A1433" s="7"/>
      <c r="B1433" s="2"/>
      <c r="C1433" s="2"/>
      <c r="D1433" s="2"/>
      <c r="E1433" s="7"/>
      <c r="F1433" s="7"/>
      <c r="G1433" s="9" t="s">
        <v>2322</v>
      </c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</row>
    <row r="1434" spans="1:18" ht="12.75" customHeight="1" x14ac:dyDescent="0.2">
      <c r="A1434" s="7"/>
      <c r="B1434" s="2" t="s">
        <v>0</v>
      </c>
      <c r="C1434" s="2" t="s">
        <v>69</v>
      </c>
      <c r="D1434" s="2"/>
      <c r="E1434" s="7"/>
      <c r="F1434" s="7"/>
      <c r="G1434" s="9" t="s">
        <v>2322</v>
      </c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</row>
    <row r="1435" spans="1:18" ht="12.75" customHeight="1" x14ac:dyDescent="0.2">
      <c r="A1435" s="7"/>
      <c r="B1435" s="2" t="s">
        <v>2</v>
      </c>
      <c r="C1435" s="2" t="s">
        <v>2322</v>
      </c>
      <c r="D1435" s="2"/>
      <c r="E1435" s="7"/>
      <c r="F1435" s="7"/>
      <c r="G1435" s="9" t="s">
        <v>2322</v>
      </c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</row>
    <row r="1436" spans="1:18" ht="12.75" customHeight="1" x14ac:dyDescent="0.2">
      <c r="A1436" s="7"/>
      <c r="B1436" s="2" t="s">
        <v>1840</v>
      </c>
      <c r="C1436" s="2" t="s">
        <v>2430</v>
      </c>
      <c r="D1436" s="2"/>
      <c r="E1436" s="7"/>
      <c r="F1436" s="7"/>
      <c r="G1436" s="9" t="s">
        <v>2322</v>
      </c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</row>
    <row r="1437" spans="1:18" ht="12.75" customHeight="1" x14ac:dyDescent="0.2">
      <c r="A1437" s="7"/>
      <c r="B1437" s="2" t="s">
        <v>9</v>
      </c>
      <c r="C1437" s="2" t="s">
        <v>172</v>
      </c>
      <c r="D1437" s="2"/>
      <c r="E1437" s="7"/>
      <c r="F1437" s="7"/>
      <c r="G1437" s="9" t="s">
        <v>2322</v>
      </c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</row>
    <row r="1438" spans="1:18" ht="12.75" customHeight="1" x14ac:dyDescent="0.2">
      <c r="A1438" s="7"/>
      <c r="B1438" s="2" t="s">
        <v>11</v>
      </c>
      <c r="C1438" s="2" t="s">
        <v>770</v>
      </c>
      <c r="D1438" s="2"/>
      <c r="E1438" s="7"/>
      <c r="F1438" s="7"/>
      <c r="G1438" s="9" t="s">
        <v>2322</v>
      </c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</row>
    <row r="1439" spans="1:18" ht="12.75" customHeight="1" x14ac:dyDescent="0.2">
      <c r="A1439" s="7"/>
      <c r="B1439" s="2" t="s">
        <v>16</v>
      </c>
      <c r="C1439" s="2"/>
      <c r="D1439" s="2"/>
      <c r="E1439" s="7"/>
      <c r="F1439" s="7"/>
      <c r="G1439" s="9" t="s">
        <v>2322</v>
      </c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</row>
    <row r="1440" spans="1:18" ht="12.75" customHeight="1" x14ac:dyDescent="0.2">
      <c r="A1440" s="7"/>
      <c r="B1440" s="2" t="s">
        <v>17</v>
      </c>
      <c r="C1440" s="2" t="s">
        <v>19</v>
      </c>
      <c r="D1440" s="2"/>
      <c r="E1440" s="7"/>
      <c r="F1440" s="7"/>
      <c r="G1440" s="9" t="s">
        <v>2322</v>
      </c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</row>
    <row r="1441" spans="1:18" ht="12.75" customHeight="1" x14ac:dyDescent="0.2">
      <c r="A1441" s="7"/>
      <c r="B1441" s="2" t="s">
        <v>18</v>
      </c>
      <c r="C1441" s="2" t="s">
        <v>44</v>
      </c>
      <c r="D1441" s="2" t="str">
        <f>HYPERLINK("javascript:void(0)","helioacél mellvért")</f>
        <v>helioacél mellvért</v>
      </c>
      <c r="E1441" s="7"/>
      <c r="F1441" s="7"/>
      <c r="G1441" s="9" t="s">
        <v>2322</v>
      </c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</row>
    <row r="1442" spans="1:18" ht="12.75" customHeight="1" x14ac:dyDescent="0.2">
      <c r="A1442" s="7"/>
      <c r="B1442" s="2"/>
      <c r="C1442" s="2" t="s">
        <v>44</v>
      </c>
      <c r="D1442" s="2" t="str">
        <f>HYPERLINK("javascript:void(0)","rúna mellvért")</f>
        <v>rúna mellvért</v>
      </c>
      <c r="E1442" s="7"/>
      <c r="F1442" s="7"/>
      <c r="G1442" s="9" t="s">
        <v>2322</v>
      </c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</row>
    <row r="1443" spans="1:18" ht="12.75" customHeight="1" x14ac:dyDescent="0.2">
      <c r="A1443" s="7"/>
      <c r="B1443" s="2"/>
      <c r="C1443" s="2" t="s">
        <v>44</v>
      </c>
      <c r="D1443" s="2" t="str">
        <f>HYPERLINK("javascript:void(0)","hypnoacél előlap")</f>
        <v>hypnoacél előlap</v>
      </c>
      <c r="E1443" s="7"/>
      <c r="F1443" s="7"/>
      <c r="G1443" s="9" t="s">
        <v>2322</v>
      </c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</row>
    <row r="1444" spans="1:18" ht="12.75" customHeight="1" x14ac:dyDescent="0.2">
      <c r="A1444" s="7"/>
      <c r="B1444" s="2"/>
      <c r="C1444" s="2"/>
      <c r="D1444" s="2"/>
      <c r="E1444" s="7"/>
      <c r="F1444" s="7"/>
      <c r="G1444" s="9" t="s">
        <v>2322</v>
      </c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</row>
    <row r="1445" spans="1:18" ht="12.75" customHeight="1" x14ac:dyDescent="0.2">
      <c r="A1445" s="7"/>
      <c r="B1445" s="2"/>
      <c r="C1445" s="2"/>
      <c r="D1445" s="2"/>
      <c r="E1445" s="7"/>
      <c r="F1445" s="7"/>
      <c r="G1445" s="9" t="s">
        <v>2322</v>
      </c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</row>
    <row r="1446" spans="1:18" ht="12.75" customHeight="1" x14ac:dyDescent="0.2">
      <c r="A1446" s="7"/>
      <c r="B1446" s="2"/>
      <c r="C1446" s="2"/>
      <c r="D1446" s="2"/>
      <c r="E1446" s="7"/>
      <c r="F1446" s="7"/>
      <c r="G1446" s="9" t="s">
        <v>2322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</row>
    <row r="1447" spans="1:18" ht="12.75" customHeight="1" x14ac:dyDescent="0.2">
      <c r="A1447" s="7"/>
      <c r="B1447" s="2"/>
      <c r="C1447" s="2"/>
      <c r="D1447" s="2"/>
      <c r="E1447" s="7"/>
      <c r="F1447" s="7"/>
      <c r="G1447" s="9" t="s">
        <v>2322</v>
      </c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</row>
    <row r="1448" spans="1:18" ht="12.75" customHeight="1" x14ac:dyDescent="0.2">
      <c r="A1448" s="7"/>
      <c r="B1448" s="2"/>
      <c r="C1448" s="2"/>
      <c r="D1448" s="2"/>
      <c r="E1448" s="7"/>
      <c r="F1448" s="7"/>
      <c r="G1448" s="9" t="s">
        <v>2322</v>
      </c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</row>
    <row r="1449" spans="1:18" ht="12.75" customHeight="1" x14ac:dyDescent="0.2">
      <c r="A1449" s="7" t="str">
        <f>HYPERLINK("javascript:void(0)","fotoacél talp")</f>
        <v>fotoacél talp</v>
      </c>
      <c r="B1449" s="7"/>
      <c r="C1449" s="7"/>
      <c r="D1449" s="7"/>
      <c r="E1449" s="7"/>
      <c r="F1449" s="7"/>
      <c r="G1449" s="9" t="s">
        <v>2322</v>
      </c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</row>
    <row r="1450" spans="1:18" ht="12.75" customHeight="1" x14ac:dyDescent="0.2">
      <c r="A1450" s="7"/>
      <c r="B1450" s="2"/>
      <c r="C1450" s="2"/>
      <c r="D1450" s="2"/>
      <c r="E1450" s="7"/>
      <c r="F1450" s="7"/>
      <c r="G1450" s="9" t="s">
        <v>2322</v>
      </c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</row>
    <row r="1451" spans="1:18" ht="12.75" customHeight="1" x14ac:dyDescent="0.2">
      <c r="A1451" s="7"/>
      <c r="B1451" s="2" t="s">
        <v>0</v>
      </c>
      <c r="C1451" s="2" t="s">
        <v>69</v>
      </c>
      <c r="D1451" s="2"/>
      <c r="E1451" s="7"/>
      <c r="F1451" s="7"/>
      <c r="G1451" s="9" t="s">
        <v>2322</v>
      </c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</row>
    <row r="1452" spans="1:18" ht="12.75" customHeight="1" x14ac:dyDescent="0.2">
      <c r="A1452" s="7"/>
      <c r="B1452" s="2" t="s">
        <v>2</v>
      </c>
      <c r="C1452" s="2" t="s">
        <v>2322</v>
      </c>
      <c r="D1452" s="2"/>
      <c r="E1452" s="7"/>
      <c r="F1452" s="7"/>
      <c r="G1452" s="9" t="s">
        <v>2322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</row>
    <row r="1453" spans="1:18" ht="12.75" customHeight="1" x14ac:dyDescent="0.2">
      <c r="A1453" s="7"/>
      <c r="B1453" s="2" t="s">
        <v>1840</v>
      </c>
      <c r="C1453" s="2" t="s">
        <v>52</v>
      </c>
      <c r="D1453" s="2"/>
      <c r="E1453" s="7"/>
      <c r="F1453" s="7"/>
      <c r="G1453" s="9" t="s">
        <v>2322</v>
      </c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</row>
    <row r="1454" spans="1:18" ht="12.75" customHeight="1" x14ac:dyDescent="0.2">
      <c r="A1454" s="7"/>
      <c r="B1454" s="2" t="s">
        <v>9</v>
      </c>
      <c r="C1454" s="2" t="s">
        <v>42</v>
      </c>
      <c r="D1454" s="2"/>
      <c r="E1454" s="7"/>
      <c r="F1454" s="7"/>
      <c r="G1454" s="9" t="s">
        <v>2322</v>
      </c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</row>
    <row r="1455" spans="1:18" ht="12.75" customHeight="1" x14ac:dyDescent="0.2">
      <c r="A1455" s="7"/>
      <c r="B1455" s="2" t="s">
        <v>11</v>
      </c>
      <c r="C1455" s="2" t="s">
        <v>368</v>
      </c>
      <c r="D1455" s="2"/>
      <c r="E1455" s="7"/>
      <c r="F1455" s="7"/>
      <c r="G1455" s="9" t="s">
        <v>2322</v>
      </c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</row>
    <row r="1456" spans="1:18" ht="12.75" customHeight="1" x14ac:dyDescent="0.2">
      <c r="A1456" s="7"/>
      <c r="B1456" s="2" t="s">
        <v>16</v>
      </c>
      <c r="C1456" s="2"/>
      <c r="D1456" s="2"/>
      <c r="E1456" s="7"/>
      <c r="F1456" s="7"/>
      <c r="G1456" s="9" t="s">
        <v>2322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</row>
    <row r="1457" spans="1:18" ht="12.75" customHeight="1" x14ac:dyDescent="0.2">
      <c r="A1457" s="7"/>
      <c r="B1457" s="2" t="s">
        <v>17</v>
      </c>
      <c r="C1457" s="2" t="s">
        <v>19</v>
      </c>
      <c r="D1457" s="2"/>
      <c r="E1457" s="7"/>
      <c r="F1457" s="7"/>
      <c r="G1457" s="9" t="s">
        <v>2322</v>
      </c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</row>
    <row r="1458" spans="1:18" ht="12.75" customHeight="1" x14ac:dyDescent="0.2">
      <c r="A1458" s="7"/>
      <c r="B1458" s="2" t="s">
        <v>18</v>
      </c>
      <c r="C1458" s="2" t="s">
        <v>280</v>
      </c>
      <c r="D1458" s="2" t="str">
        <f>HYPERLINK("javascript:void(0)","fotogén")</f>
        <v>fotogén</v>
      </c>
      <c r="E1458" s="7"/>
      <c r="F1458" s="7"/>
      <c r="G1458" s="9" t="s">
        <v>2322</v>
      </c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</row>
    <row r="1459" spans="1:18" ht="12.75" customHeight="1" x14ac:dyDescent="0.2">
      <c r="A1459" s="7"/>
      <c r="B1459" s="2"/>
      <c r="C1459" s="2" t="s">
        <v>139</v>
      </c>
      <c r="D1459" s="2" t="str">
        <f>HYPERLINK("javascript:void(0)","elemi köpet")</f>
        <v>elemi köpet</v>
      </c>
      <c r="E1459" s="7"/>
      <c r="F1459" s="7"/>
      <c r="G1459" s="9" t="s">
        <v>2322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</row>
    <row r="1460" spans="1:18" ht="12.75" customHeight="1" x14ac:dyDescent="0.2">
      <c r="A1460" s="7"/>
      <c r="B1460" s="2"/>
      <c r="C1460" s="2" t="s">
        <v>117</v>
      </c>
      <c r="D1460" s="2" t="str">
        <f>HYPERLINK("javascript:void(0)","tudásmorzsa")</f>
        <v>tudásmorzsa</v>
      </c>
      <c r="E1460" s="7"/>
      <c r="F1460" s="7"/>
      <c r="G1460" s="9" t="s">
        <v>2322</v>
      </c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</row>
    <row r="1461" spans="1:18" ht="12.75" customHeight="1" x14ac:dyDescent="0.2">
      <c r="A1461" s="7"/>
      <c r="B1461" s="2"/>
      <c r="C1461" s="2"/>
      <c r="D1461" s="2"/>
      <c r="E1461" s="7"/>
      <c r="F1461" s="7"/>
      <c r="G1461" s="9" t="s">
        <v>2322</v>
      </c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</row>
    <row r="1462" spans="1:18" ht="12.75" customHeight="1" x14ac:dyDescent="0.2">
      <c r="A1462" s="7"/>
      <c r="B1462" s="2"/>
      <c r="C1462" s="2"/>
      <c r="D1462" s="2"/>
      <c r="E1462" s="7"/>
      <c r="F1462" s="7"/>
      <c r="G1462" s="9" t="s">
        <v>2322</v>
      </c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</row>
    <row r="1463" spans="1:18" ht="12.75" customHeight="1" x14ac:dyDescent="0.2">
      <c r="A1463" s="7"/>
      <c r="B1463" s="2"/>
      <c r="C1463" s="2"/>
      <c r="D1463" s="2"/>
      <c r="E1463" s="7"/>
      <c r="F1463" s="7"/>
      <c r="G1463" s="9" t="s">
        <v>2322</v>
      </c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</row>
    <row r="1464" spans="1:18" ht="12.75" customHeight="1" x14ac:dyDescent="0.2">
      <c r="A1464" s="7"/>
      <c r="B1464" s="2"/>
      <c r="C1464" s="2"/>
      <c r="D1464" s="2"/>
      <c r="E1464" s="7"/>
      <c r="F1464" s="7"/>
      <c r="G1464" s="9" t="s">
        <v>2322</v>
      </c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</row>
    <row r="1465" spans="1:18" ht="12.75" customHeight="1" x14ac:dyDescent="0.2">
      <c r="A1465" s="7"/>
      <c r="B1465" s="2"/>
      <c r="C1465" s="2"/>
      <c r="D1465" s="2"/>
      <c r="E1465" s="7"/>
      <c r="F1465" s="7"/>
      <c r="G1465" s="9" t="s">
        <v>2322</v>
      </c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</row>
    <row r="1466" spans="1:18" ht="12.75" customHeight="1" x14ac:dyDescent="0.2">
      <c r="A1466" s="7" t="str">
        <f>HYPERLINK("javascript:void(0)","éjsötét mellvért")</f>
        <v>éjsötét mellvért</v>
      </c>
      <c r="B1466" s="7"/>
      <c r="C1466" s="7"/>
      <c r="D1466" s="7"/>
      <c r="E1466" s="7"/>
      <c r="F1466" s="7"/>
      <c r="G1466" s="9" t="s">
        <v>2322</v>
      </c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</row>
    <row r="1467" spans="1:18" ht="12.75" customHeight="1" x14ac:dyDescent="0.2">
      <c r="A1467" s="7"/>
      <c r="B1467" s="2"/>
      <c r="C1467" s="2"/>
      <c r="D1467" s="2"/>
      <c r="E1467" s="7"/>
      <c r="F1467" s="7"/>
      <c r="G1467" s="9" t="s">
        <v>2322</v>
      </c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</row>
    <row r="1468" spans="1:18" ht="12.75" customHeight="1" x14ac:dyDescent="0.2">
      <c r="A1468" s="7"/>
      <c r="B1468" s="2" t="s">
        <v>0</v>
      </c>
      <c r="C1468" s="2" t="s">
        <v>245</v>
      </c>
      <c r="D1468" s="2"/>
      <c r="E1468" s="7"/>
      <c r="F1468" s="7"/>
      <c r="G1468" s="9" t="s">
        <v>2322</v>
      </c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</row>
    <row r="1469" spans="1:18" ht="12.75" customHeight="1" x14ac:dyDescent="0.2">
      <c r="A1469" s="7"/>
      <c r="B1469" s="2" t="s">
        <v>2</v>
      </c>
      <c r="C1469" s="2" t="s">
        <v>2322</v>
      </c>
      <c r="D1469" s="2"/>
      <c r="E1469" s="7"/>
      <c r="F1469" s="7"/>
      <c r="G1469" s="9" t="s">
        <v>2322</v>
      </c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</row>
    <row r="1470" spans="1:18" ht="12.75" customHeight="1" x14ac:dyDescent="0.2">
      <c r="A1470" s="7"/>
      <c r="B1470" s="2" t="s">
        <v>1840</v>
      </c>
      <c r="C1470" s="2" t="s">
        <v>543</v>
      </c>
      <c r="D1470" s="2"/>
      <c r="E1470" s="7"/>
      <c r="F1470" s="7"/>
      <c r="G1470" s="9" t="s">
        <v>2322</v>
      </c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</row>
    <row r="1471" spans="1:18" ht="12.75" customHeight="1" x14ac:dyDescent="0.2">
      <c r="A1471" s="7"/>
      <c r="B1471" s="2" t="s">
        <v>9</v>
      </c>
      <c r="C1471" s="2" t="s">
        <v>374</v>
      </c>
      <c r="D1471" s="2"/>
      <c r="E1471" s="7"/>
      <c r="F1471" s="7"/>
      <c r="G1471" s="9" t="s">
        <v>2322</v>
      </c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</row>
    <row r="1472" spans="1:18" ht="12.75" customHeight="1" x14ac:dyDescent="0.2">
      <c r="A1472" s="7"/>
      <c r="B1472" s="2" t="s">
        <v>11</v>
      </c>
      <c r="C1472" s="2" t="s">
        <v>779</v>
      </c>
      <c r="D1472" s="2"/>
      <c r="E1472" s="7"/>
      <c r="F1472" s="7"/>
      <c r="G1472" s="9" t="s">
        <v>2322</v>
      </c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</row>
    <row r="1473" spans="1:18" ht="12.75" customHeight="1" x14ac:dyDescent="0.2">
      <c r="A1473" s="7"/>
      <c r="B1473" s="2" t="s">
        <v>16</v>
      </c>
      <c r="C1473" s="2"/>
      <c r="D1473" s="2"/>
      <c r="E1473" s="7"/>
      <c r="F1473" s="7"/>
      <c r="G1473" s="9" t="s">
        <v>2322</v>
      </c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</row>
    <row r="1474" spans="1:18" ht="12.75" customHeight="1" x14ac:dyDescent="0.2">
      <c r="A1474" s="7"/>
      <c r="B1474" s="2" t="s">
        <v>17</v>
      </c>
      <c r="C1474" s="2" t="s">
        <v>19</v>
      </c>
      <c r="D1474" s="2"/>
      <c r="E1474" s="7"/>
      <c r="F1474" s="7"/>
      <c r="G1474" s="9" t="s">
        <v>2322</v>
      </c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</row>
    <row r="1475" spans="1:18" ht="12.75" customHeight="1" x14ac:dyDescent="0.2">
      <c r="A1475" s="7"/>
      <c r="B1475" s="2" t="s">
        <v>18</v>
      </c>
      <c r="C1475" s="2" t="s">
        <v>44</v>
      </c>
      <c r="D1475" s="2" t="str">
        <f>HYPERLINK("javascript:void(0)","hypnoacél mellvért")</f>
        <v>hypnoacél mellvért</v>
      </c>
      <c r="E1475" s="7"/>
      <c r="F1475" s="7"/>
      <c r="G1475" s="9" t="s">
        <v>2322</v>
      </c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</row>
    <row r="1476" spans="1:18" ht="12.75" customHeight="1" x14ac:dyDescent="0.2">
      <c r="A1476" s="7"/>
      <c r="B1476" s="2"/>
      <c r="C1476" s="2" t="s">
        <v>68</v>
      </c>
      <c r="D1476" s="2" t="str">
        <f>HYPERLINK("javascript:void(0)","éjfény")</f>
        <v>éjfény</v>
      </c>
      <c r="E1476" s="7"/>
      <c r="F1476" s="7"/>
      <c r="G1476" s="9" t="s">
        <v>2322</v>
      </c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</row>
    <row r="1477" spans="1:18" ht="12.75" customHeight="1" x14ac:dyDescent="0.2">
      <c r="A1477" s="7"/>
      <c r="B1477" s="2"/>
      <c r="C1477" s="2" t="s">
        <v>117</v>
      </c>
      <c r="D1477" s="2" t="str">
        <f>HYPERLINK("javascript:void(0)","tudásmorzsa")</f>
        <v>tudásmorzsa</v>
      </c>
      <c r="E1477" s="7"/>
      <c r="F1477" s="7"/>
      <c r="G1477" s="9" t="s">
        <v>2322</v>
      </c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</row>
    <row r="1478" spans="1:18" ht="12.75" customHeight="1" x14ac:dyDescent="0.2">
      <c r="A1478" s="7"/>
      <c r="B1478" s="2"/>
      <c r="C1478" s="2"/>
      <c r="D1478" s="2"/>
      <c r="E1478" s="7"/>
      <c r="F1478" s="7"/>
      <c r="G1478" s="9" t="s">
        <v>2322</v>
      </c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</row>
    <row r="1479" spans="1:18" ht="12.75" customHeight="1" x14ac:dyDescent="0.2">
      <c r="A1479" s="7"/>
      <c r="B1479" s="2"/>
      <c r="C1479" s="2"/>
      <c r="D1479" s="2"/>
      <c r="E1479" s="7"/>
      <c r="F1479" s="7"/>
      <c r="G1479" s="9" t="s">
        <v>2322</v>
      </c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</row>
    <row r="1480" spans="1:18" ht="12.75" customHeight="1" x14ac:dyDescent="0.2">
      <c r="A1480" s="7"/>
      <c r="B1480" s="2"/>
      <c r="C1480" s="2"/>
      <c r="D1480" s="2"/>
      <c r="E1480" s="7"/>
      <c r="F1480" s="7"/>
      <c r="G1480" s="9" t="s">
        <v>2322</v>
      </c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</row>
    <row r="1481" spans="1:18" ht="12.75" customHeight="1" x14ac:dyDescent="0.2">
      <c r="A1481" s="7"/>
      <c r="B1481" s="2"/>
      <c r="C1481" s="2"/>
      <c r="D1481" s="2"/>
      <c r="E1481" s="7"/>
      <c r="F1481" s="7"/>
      <c r="G1481" s="9" t="s">
        <v>2322</v>
      </c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</row>
    <row r="1482" spans="1:18" ht="12.75" customHeight="1" x14ac:dyDescent="0.2">
      <c r="A1482" s="7"/>
      <c r="B1482" s="2"/>
      <c r="C1482" s="2"/>
      <c r="D1482" s="2"/>
      <c r="E1482" s="7"/>
      <c r="F1482" s="7"/>
      <c r="G1482" s="9" t="s">
        <v>2322</v>
      </c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</row>
    <row r="1483" spans="1:18" ht="12.75" customHeight="1" x14ac:dyDescent="0.2">
      <c r="A1483" s="7" t="str">
        <f>HYPERLINK("javascript:void(0)","inverz mellvért")</f>
        <v>inverz mellvért</v>
      </c>
      <c r="B1483" s="7"/>
      <c r="C1483" s="7"/>
      <c r="D1483" s="7"/>
      <c r="E1483" s="7"/>
      <c r="F1483" s="7"/>
      <c r="G1483" s="9" t="s">
        <v>2322</v>
      </c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</row>
    <row r="1484" spans="1:18" ht="12.75" customHeight="1" x14ac:dyDescent="0.2">
      <c r="A1484" s="7"/>
      <c r="B1484" s="2"/>
      <c r="C1484" s="2"/>
      <c r="D1484" s="2"/>
      <c r="E1484" s="7"/>
      <c r="F1484" s="7"/>
      <c r="G1484" s="9" t="s">
        <v>2322</v>
      </c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</row>
    <row r="1485" spans="1:18" ht="12.75" customHeight="1" x14ac:dyDescent="0.2">
      <c r="A1485" s="7"/>
      <c r="B1485" s="2" t="s">
        <v>0</v>
      </c>
      <c r="C1485" s="2" t="s">
        <v>671</v>
      </c>
      <c r="D1485" s="2"/>
      <c r="E1485" s="7"/>
      <c r="F1485" s="7"/>
      <c r="G1485" s="9" t="s">
        <v>2322</v>
      </c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</row>
    <row r="1486" spans="1:18" ht="12.75" customHeight="1" x14ac:dyDescent="0.2">
      <c r="A1486" s="7"/>
      <c r="B1486" s="2" t="s">
        <v>2</v>
      </c>
      <c r="C1486" s="2" t="s">
        <v>2322</v>
      </c>
      <c r="D1486" s="2"/>
      <c r="E1486" s="7"/>
      <c r="F1486" s="7"/>
      <c r="G1486" s="9" t="s">
        <v>2322</v>
      </c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</row>
    <row r="1487" spans="1:18" ht="12.75" customHeight="1" x14ac:dyDescent="0.2">
      <c r="A1487" s="7"/>
      <c r="B1487" s="2" t="s">
        <v>1840</v>
      </c>
      <c r="C1487" s="2" t="s">
        <v>2437</v>
      </c>
      <c r="D1487" s="2"/>
      <c r="E1487" s="7"/>
      <c r="F1487" s="7"/>
      <c r="G1487" s="9" t="s">
        <v>2322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</row>
    <row r="1488" spans="1:18" ht="12.75" customHeight="1" x14ac:dyDescent="0.2">
      <c r="A1488" s="7"/>
      <c r="B1488" s="2" t="s">
        <v>9</v>
      </c>
      <c r="C1488" s="2" t="s">
        <v>124</v>
      </c>
      <c r="D1488" s="2"/>
      <c r="E1488" s="7"/>
      <c r="F1488" s="7"/>
      <c r="G1488" s="9" t="s">
        <v>2322</v>
      </c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</row>
    <row r="1489" spans="1:18" ht="12.75" customHeight="1" x14ac:dyDescent="0.2">
      <c r="A1489" s="7"/>
      <c r="B1489" s="2" t="s">
        <v>11</v>
      </c>
      <c r="C1489" s="2" t="s">
        <v>793</v>
      </c>
      <c r="D1489" s="2"/>
      <c r="E1489" s="7"/>
      <c r="F1489" s="7"/>
      <c r="G1489" s="9" t="s">
        <v>2322</v>
      </c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</row>
    <row r="1490" spans="1:18" ht="12.75" customHeight="1" x14ac:dyDescent="0.2">
      <c r="A1490" s="7"/>
      <c r="B1490" s="2" t="s">
        <v>16</v>
      </c>
      <c r="C1490" s="2"/>
      <c r="D1490" s="2"/>
      <c r="E1490" s="7"/>
      <c r="F1490" s="7"/>
      <c r="G1490" s="9" t="s">
        <v>2322</v>
      </c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</row>
    <row r="1491" spans="1:18" ht="12.75" customHeight="1" x14ac:dyDescent="0.2">
      <c r="A1491" s="7"/>
      <c r="B1491" s="2" t="s">
        <v>17</v>
      </c>
      <c r="C1491" s="2" t="s">
        <v>19</v>
      </c>
      <c r="D1491" s="2"/>
      <c r="E1491" s="7"/>
      <c r="F1491" s="7"/>
      <c r="G1491" s="9" t="s">
        <v>2322</v>
      </c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</row>
    <row r="1492" spans="1:18" ht="12.75" customHeight="1" x14ac:dyDescent="0.2">
      <c r="A1492" s="7"/>
      <c r="B1492" s="2" t="s">
        <v>18</v>
      </c>
      <c r="C1492" s="2" t="s">
        <v>68</v>
      </c>
      <c r="D1492" s="2" t="str">
        <f>HYPERLINK("javascript:void(0)","negatívum")</f>
        <v>negatívum</v>
      </c>
      <c r="E1492" s="7"/>
      <c r="F1492" s="7"/>
      <c r="G1492" s="9" t="s">
        <v>2322</v>
      </c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</row>
    <row r="1493" spans="1:18" ht="12.75" customHeight="1" x14ac:dyDescent="0.2">
      <c r="A1493" s="7"/>
      <c r="B1493" s="2"/>
      <c r="C1493" s="2" t="s">
        <v>756</v>
      </c>
      <c r="D1493" s="2" t="str">
        <f>HYPERLINK("javascript:void(0)","ragya")</f>
        <v>ragya</v>
      </c>
      <c r="E1493" s="7"/>
      <c r="F1493" s="7"/>
      <c r="G1493" s="9" t="s">
        <v>2322</v>
      </c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</row>
    <row r="1494" spans="1:18" ht="12.75" customHeight="1" x14ac:dyDescent="0.2">
      <c r="A1494" s="7"/>
      <c r="B1494" s="2"/>
      <c r="C1494" s="2" t="s">
        <v>98</v>
      </c>
      <c r="D1494" s="2" t="str">
        <f>HYPERLINK("javascript:void(0)","vasorr")</f>
        <v>vasorr</v>
      </c>
      <c r="E1494" s="7"/>
      <c r="F1494" s="7"/>
      <c r="G1494" s="9" t="s">
        <v>2322</v>
      </c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</row>
    <row r="1495" spans="1:18" ht="12.75" customHeight="1" x14ac:dyDescent="0.2">
      <c r="A1495" s="7"/>
      <c r="B1495" s="2"/>
      <c r="C1495" s="2"/>
      <c r="D1495" s="2"/>
      <c r="E1495" s="7"/>
      <c r="F1495" s="7"/>
      <c r="G1495" s="9" t="s">
        <v>2322</v>
      </c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</row>
    <row r="1496" spans="1:18" ht="12.75" customHeight="1" x14ac:dyDescent="0.2">
      <c r="A1496" s="7"/>
      <c r="B1496" s="2"/>
      <c r="C1496" s="2"/>
      <c r="D1496" s="2"/>
      <c r="E1496" s="7"/>
      <c r="F1496" s="7"/>
      <c r="G1496" s="9" t="s">
        <v>2322</v>
      </c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</row>
    <row r="1497" spans="1:18" ht="12.75" customHeight="1" x14ac:dyDescent="0.2">
      <c r="A1497" s="7"/>
      <c r="B1497" s="2"/>
      <c r="C1497" s="2"/>
      <c r="D1497" s="2"/>
      <c r="E1497" s="7"/>
      <c r="F1497" s="7"/>
      <c r="G1497" s="9" t="s">
        <v>2322</v>
      </c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</row>
    <row r="1498" spans="1:18" ht="12.75" customHeight="1" x14ac:dyDescent="0.2">
      <c r="A1498" s="7"/>
      <c r="B1498" s="2"/>
      <c r="C1498" s="2"/>
      <c r="D1498" s="2"/>
      <c r="E1498" s="7"/>
      <c r="F1498" s="7"/>
      <c r="G1498" s="9" t="s">
        <v>2322</v>
      </c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</row>
    <row r="1499" spans="1:18" ht="12.75" customHeight="1" x14ac:dyDescent="0.2">
      <c r="A1499" s="7"/>
      <c r="B1499" s="2"/>
      <c r="C1499" s="2"/>
      <c r="D1499" s="2"/>
      <c r="E1499" s="7"/>
      <c r="F1499" s="7"/>
      <c r="G1499" s="9" t="s">
        <v>2322</v>
      </c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</row>
    <row r="1500" spans="1:18" ht="12.75" customHeight="1" x14ac:dyDescent="0.2">
      <c r="A1500" s="7" t="str">
        <f>HYPERLINK("javascript:void(0)","fényes talp")</f>
        <v>fényes talp</v>
      </c>
      <c r="B1500" s="7"/>
      <c r="C1500" s="7"/>
      <c r="D1500" s="7"/>
      <c r="E1500" s="7"/>
      <c r="F1500" s="7"/>
      <c r="G1500" s="9" t="s">
        <v>2322</v>
      </c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</row>
    <row r="1501" spans="1:18" ht="12.75" customHeight="1" x14ac:dyDescent="0.2">
      <c r="A1501" s="7"/>
      <c r="B1501" s="2"/>
      <c r="C1501" s="2"/>
      <c r="D1501" s="2"/>
      <c r="E1501" s="7"/>
      <c r="F1501" s="7"/>
      <c r="G1501" s="9" t="s">
        <v>2322</v>
      </c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</row>
    <row r="1502" spans="1:18" ht="12.75" customHeight="1" x14ac:dyDescent="0.2">
      <c r="A1502" s="7"/>
      <c r="B1502" s="2" t="s">
        <v>0</v>
      </c>
      <c r="C1502" s="2" t="s">
        <v>671</v>
      </c>
      <c r="D1502" s="2"/>
      <c r="E1502" s="7"/>
      <c r="F1502" s="7"/>
      <c r="G1502" s="9" t="s">
        <v>2322</v>
      </c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</row>
    <row r="1503" spans="1:18" ht="12.75" customHeight="1" x14ac:dyDescent="0.2">
      <c r="A1503" s="7"/>
      <c r="B1503" s="2" t="s">
        <v>2</v>
      </c>
      <c r="C1503" s="2" t="s">
        <v>2322</v>
      </c>
      <c r="D1503" s="2"/>
      <c r="E1503" s="7"/>
      <c r="F1503" s="7"/>
      <c r="G1503" s="9" t="s">
        <v>2322</v>
      </c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</row>
    <row r="1504" spans="1:18" ht="12.75" customHeight="1" x14ac:dyDescent="0.2">
      <c r="A1504" s="7"/>
      <c r="B1504" s="2" t="s">
        <v>1840</v>
      </c>
      <c r="C1504" s="2" t="s">
        <v>52</v>
      </c>
      <c r="D1504" s="2"/>
      <c r="E1504" s="7"/>
      <c r="F1504" s="7"/>
      <c r="G1504" s="9" t="s">
        <v>2322</v>
      </c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</row>
    <row r="1505" spans="1:18" ht="12.75" customHeight="1" x14ac:dyDescent="0.2">
      <c r="A1505" s="7"/>
      <c r="B1505" s="2" t="s">
        <v>9</v>
      </c>
      <c r="C1505" s="2" t="s">
        <v>42</v>
      </c>
      <c r="D1505" s="2"/>
      <c r="E1505" s="7"/>
      <c r="F1505" s="7"/>
      <c r="G1505" s="9" t="s">
        <v>2322</v>
      </c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</row>
    <row r="1506" spans="1:18" ht="12.75" customHeight="1" x14ac:dyDescent="0.2">
      <c r="A1506" s="7"/>
      <c r="B1506" s="2" t="s">
        <v>11</v>
      </c>
      <c r="C1506" s="2" t="s">
        <v>368</v>
      </c>
      <c r="D1506" s="2"/>
      <c r="E1506" s="7"/>
      <c r="F1506" s="7"/>
      <c r="G1506" s="9" t="s">
        <v>2322</v>
      </c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</row>
    <row r="1507" spans="1:18" ht="12.75" customHeight="1" x14ac:dyDescent="0.2">
      <c r="A1507" s="7"/>
      <c r="B1507" s="2" t="s">
        <v>16</v>
      </c>
      <c r="C1507" s="2"/>
      <c r="D1507" s="2"/>
      <c r="E1507" s="7"/>
      <c r="F1507" s="7"/>
      <c r="G1507" s="9" t="s">
        <v>2322</v>
      </c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</row>
    <row r="1508" spans="1:18" ht="12.75" customHeight="1" x14ac:dyDescent="0.2">
      <c r="A1508" s="7"/>
      <c r="B1508" s="2" t="s">
        <v>17</v>
      </c>
      <c r="C1508" s="2" t="s">
        <v>19</v>
      </c>
      <c r="D1508" s="2"/>
      <c r="E1508" s="7"/>
      <c r="F1508" s="7"/>
      <c r="G1508" s="9" t="s">
        <v>2322</v>
      </c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</row>
    <row r="1509" spans="1:18" ht="12.75" customHeight="1" x14ac:dyDescent="0.2">
      <c r="A1509" s="7"/>
      <c r="B1509" s="2" t="s">
        <v>18</v>
      </c>
      <c r="C1509" s="2" t="s">
        <v>77</v>
      </c>
      <c r="D1509" s="2" t="str">
        <f>HYPERLINK("javascript:void(0)","lux")</f>
        <v>lux</v>
      </c>
      <c r="E1509" s="7"/>
      <c r="F1509" s="7"/>
      <c r="G1509" s="9" t="s">
        <v>2322</v>
      </c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</row>
    <row r="1510" spans="1:18" ht="12.75" customHeight="1" x14ac:dyDescent="0.2">
      <c r="A1510" s="7"/>
      <c r="B1510" s="2"/>
      <c r="C1510" s="2" t="s">
        <v>67</v>
      </c>
      <c r="D1510" s="2" t="str">
        <f>HYPERLINK("javascript:void(0)","istenpenge")</f>
        <v>istenpenge</v>
      </c>
      <c r="E1510" s="7"/>
      <c r="F1510" s="7"/>
      <c r="G1510" s="9" t="s">
        <v>2322</v>
      </c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</row>
    <row r="1511" spans="1:18" ht="12.75" customHeight="1" x14ac:dyDescent="0.2">
      <c r="A1511" s="7"/>
      <c r="B1511" s="2"/>
      <c r="C1511" s="2" t="s">
        <v>130</v>
      </c>
      <c r="D1511" s="2" t="str">
        <f>HYPERLINK("javascript:void(0)","nukleon")</f>
        <v>nukleon</v>
      </c>
      <c r="E1511" s="7"/>
      <c r="F1511" s="7"/>
      <c r="G1511" s="9" t="s">
        <v>2322</v>
      </c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</row>
    <row r="1512" spans="1:18" ht="12.75" customHeight="1" x14ac:dyDescent="0.2">
      <c r="A1512" s="7"/>
      <c r="B1512" s="2"/>
      <c r="C1512" s="2"/>
      <c r="D1512" s="2"/>
      <c r="E1512" s="7"/>
      <c r="F1512" s="7"/>
      <c r="G1512" s="9" t="s">
        <v>2322</v>
      </c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</row>
    <row r="1513" spans="1:18" ht="12.75" customHeight="1" x14ac:dyDescent="0.2">
      <c r="A1513" s="7"/>
      <c r="B1513" s="2"/>
      <c r="C1513" s="2"/>
      <c r="D1513" s="2"/>
      <c r="E1513" s="7"/>
      <c r="F1513" s="7"/>
      <c r="G1513" s="9" t="s">
        <v>2322</v>
      </c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</row>
    <row r="1514" spans="1:18" ht="12.75" customHeight="1" x14ac:dyDescent="0.2">
      <c r="A1514" s="7"/>
      <c r="B1514" s="2"/>
      <c r="C1514" s="2"/>
      <c r="D1514" s="2"/>
      <c r="E1514" s="7"/>
      <c r="F1514" s="7"/>
      <c r="G1514" s="9" t="s">
        <v>2322</v>
      </c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</row>
    <row r="1515" spans="1:18" ht="12.75" customHeight="1" x14ac:dyDescent="0.2">
      <c r="A1515" s="7"/>
      <c r="B1515" s="2"/>
      <c r="C1515" s="2"/>
      <c r="D1515" s="2"/>
      <c r="E1515" s="7"/>
      <c r="F1515" s="7"/>
      <c r="G1515" s="9" t="s">
        <v>2322</v>
      </c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</row>
    <row r="1516" spans="1:18" ht="12.75" customHeight="1" x14ac:dyDescent="0.2">
      <c r="A1516" s="7"/>
      <c r="B1516" s="2"/>
      <c r="C1516" s="2"/>
      <c r="D1516" s="2"/>
      <c r="E1516" s="7"/>
      <c r="F1516" s="7"/>
      <c r="G1516" s="9" t="s">
        <v>2322</v>
      </c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</row>
    <row r="1517" spans="1:18" ht="12.75" customHeight="1" x14ac:dyDescent="0.2">
      <c r="A1517" s="7" t="str">
        <f>HYPERLINK("javascript:void(0)","szőrmente")</f>
        <v>szőrmente</v>
      </c>
      <c r="B1517" s="7"/>
      <c r="C1517" s="7"/>
      <c r="D1517" s="7"/>
      <c r="E1517" s="7"/>
      <c r="F1517" s="7"/>
      <c r="G1517" s="9" t="s">
        <v>2322</v>
      </c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</row>
    <row r="1518" spans="1:18" ht="12.75" customHeight="1" x14ac:dyDescent="0.2">
      <c r="A1518" s="7"/>
      <c r="B1518" s="2"/>
      <c r="C1518" s="2"/>
      <c r="D1518" s="2"/>
      <c r="E1518" s="7"/>
      <c r="F1518" s="7"/>
      <c r="G1518" s="9" t="s">
        <v>2322</v>
      </c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</row>
    <row r="1519" spans="1:18" ht="12.75" customHeight="1" x14ac:dyDescent="0.2">
      <c r="A1519" s="7"/>
      <c r="B1519" s="2" t="s">
        <v>0</v>
      </c>
      <c r="C1519" s="2" t="s">
        <v>65</v>
      </c>
      <c r="D1519" s="2"/>
      <c r="E1519" s="7"/>
      <c r="F1519" s="7"/>
      <c r="G1519" s="9" t="s">
        <v>2322</v>
      </c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</row>
    <row r="1520" spans="1:18" ht="12.75" customHeight="1" x14ac:dyDescent="0.2">
      <c r="A1520" s="7"/>
      <c r="B1520" s="2" t="s">
        <v>2</v>
      </c>
      <c r="C1520" s="2" t="s">
        <v>2322</v>
      </c>
      <c r="D1520" s="2"/>
      <c r="E1520" s="7"/>
      <c r="F1520" s="7"/>
      <c r="G1520" s="9" t="s">
        <v>2322</v>
      </c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</row>
    <row r="1521" spans="1:18" ht="12.75" customHeight="1" x14ac:dyDescent="0.2">
      <c r="A1521" s="7"/>
      <c r="B1521" s="2" t="s">
        <v>1840</v>
      </c>
      <c r="C1521" s="2" t="s">
        <v>2453</v>
      </c>
      <c r="D1521" s="2"/>
      <c r="E1521" s="7"/>
      <c r="F1521" s="7"/>
      <c r="G1521" s="9" t="s">
        <v>2322</v>
      </c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</row>
    <row r="1522" spans="1:18" ht="12.75" customHeight="1" x14ac:dyDescent="0.2">
      <c r="A1522" s="7"/>
      <c r="B1522" s="2" t="s">
        <v>9</v>
      </c>
      <c r="C1522" s="2" t="s">
        <v>441</v>
      </c>
      <c r="D1522" s="2"/>
      <c r="E1522" s="7"/>
      <c r="F1522" s="7"/>
      <c r="G1522" s="9" t="s">
        <v>2322</v>
      </c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</row>
    <row r="1523" spans="1:18" ht="12.75" customHeight="1" x14ac:dyDescent="0.2">
      <c r="A1523" s="7"/>
      <c r="B1523" s="2" t="s">
        <v>11</v>
      </c>
      <c r="C1523" s="2" t="s">
        <v>817</v>
      </c>
      <c r="D1523" s="2"/>
      <c r="E1523" s="7"/>
      <c r="F1523" s="7"/>
      <c r="G1523" s="9" t="s">
        <v>2322</v>
      </c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</row>
    <row r="1524" spans="1:18" ht="12.75" customHeight="1" x14ac:dyDescent="0.2">
      <c r="A1524" s="7"/>
      <c r="B1524" s="2" t="s">
        <v>16</v>
      </c>
      <c r="C1524" s="2"/>
      <c r="D1524" s="2"/>
      <c r="E1524" s="7"/>
      <c r="F1524" s="7"/>
      <c r="G1524" s="9" t="s">
        <v>2322</v>
      </c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</row>
    <row r="1525" spans="1:18" ht="12.75" customHeight="1" x14ac:dyDescent="0.2">
      <c r="A1525" s="7"/>
      <c r="B1525" s="2" t="s">
        <v>17</v>
      </c>
      <c r="C1525" s="2" t="s">
        <v>19</v>
      </c>
      <c r="D1525" s="2"/>
      <c r="E1525" s="7"/>
      <c r="F1525" s="7"/>
      <c r="G1525" s="9" t="s">
        <v>2322</v>
      </c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</row>
    <row r="1526" spans="1:18" ht="12.75" customHeight="1" x14ac:dyDescent="0.2">
      <c r="A1526" s="7"/>
      <c r="B1526" s="2" t="s">
        <v>18</v>
      </c>
      <c r="C1526" s="2" t="s">
        <v>44</v>
      </c>
      <c r="D1526" s="2" t="str">
        <f>HYPERLINK("javascript:void(0)","éjsötét mellvért")</f>
        <v>éjsötét mellvért</v>
      </c>
      <c r="E1526" s="7"/>
      <c r="F1526" s="7"/>
      <c r="G1526" s="9" t="s">
        <v>2322</v>
      </c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</row>
    <row r="1527" spans="1:18" ht="12.75" customHeight="1" x14ac:dyDescent="0.2">
      <c r="A1527" s="7"/>
      <c r="B1527" s="2"/>
      <c r="C1527" s="2" t="s">
        <v>44</v>
      </c>
      <c r="D1527" s="2" t="str">
        <f>HYPERLINK("javascript:void(0)","inverz mellvért")</f>
        <v>inverz mellvért</v>
      </c>
      <c r="E1527" s="7"/>
      <c r="F1527" s="7"/>
      <c r="G1527" s="9" t="s">
        <v>2322</v>
      </c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</row>
    <row r="1528" spans="1:18" ht="12.75" customHeight="1" x14ac:dyDescent="0.2">
      <c r="A1528" s="7"/>
      <c r="B1528" s="2"/>
      <c r="C1528" s="2" t="s">
        <v>44</v>
      </c>
      <c r="D1528" s="2" t="str">
        <f>HYPERLINK("javascript:void(0)","bundabélés")</f>
        <v>bundabélés</v>
      </c>
      <c r="E1528" s="7"/>
      <c r="F1528" s="7"/>
      <c r="G1528" s="9" t="s">
        <v>2322</v>
      </c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</row>
    <row r="1529" spans="1:18" ht="12.75" customHeight="1" x14ac:dyDescent="0.2">
      <c r="A1529" s="7"/>
      <c r="B1529" s="2"/>
      <c r="C1529" s="2"/>
      <c r="D1529" s="2"/>
      <c r="E1529" s="7"/>
      <c r="F1529" s="7"/>
      <c r="G1529" s="9" t="s">
        <v>2322</v>
      </c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</row>
    <row r="1530" spans="1:18" ht="12.75" customHeight="1" x14ac:dyDescent="0.2">
      <c r="A1530" s="7"/>
      <c r="B1530" s="2"/>
      <c r="C1530" s="2"/>
      <c r="D1530" s="2"/>
      <c r="E1530" s="7"/>
      <c r="F1530" s="7"/>
      <c r="G1530" s="9" t="s">
        <v>2322</v>
      </c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</row>
    <row r="1531" spans="1:18" ht="12.75" customHeight="1" x14ac:dyDescent="0.2">
      <c r="A1531" s="7"/>
      <c r="B1531" s="2"/>
      <c r="C1531" s="2"/>
      <c r="D1531" s="2"/>
      <c r="E1531" s="7"/>
      <c r="F1531" s="7"/>
      <c r="G1531" s="9" t="s">
        <v>2322</v>
      </c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</row>
    <row r="1532" spans="1:18" ht="12.75" customHeight="1" x14ac:dyDescent="0.2">
      <c r="A1532" s="7"/>
      <c r="B1532" s="2"/>
      <c r="C1532" s="2"/>
      <c r="D1532" s="2"/>
      <c r="E1532" s="7"/>
      <c r="F1532" s="7"/>
      <c r="G1532" s="9" t="s">
        <v>2322</v>
      </c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</row>
    <row r="1533" spans="1:18" ht="12.75" customHeight="1" x14ac:dyDescent="0.2">
      <c r="A1533" s="7"/>
      <c r="B1533" s="2"/>
      <c r="C1533" s="2"/>
      <c r="D1533" s="2"/>
      <c r="E1533" s="7"/>
      <c r="F1533" s="7"/>
      <c r="G1533" s="9" t="s">
        <v>2322</v>
      </c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</row>
    <row r="1534" spans="1:18" ht="12.75" customHeight="1" x14ac:dyDescent="0.2">
      <c r="A1534" s="7" t="str">
        <f>HYPERLINK("javascript:void(0)","csillámló démonpáncél")</f>
        <v>csillámló démonpáncél</v>
      </c>
      <c r="B1534" s="7"/>
      <c r="C1534" s="7"/>
      <c r="D1534" s="7"/>
      <c r="E1534" s="7"/>
      <c r="F1534" s="7"/>
      <c r="G1534" s="9" t="s">
        <v>2322</v>
      </c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</row>
    <row r="1535" spans="1:18" ht="12.75" customHeight="1" x14ac:dyDescent="0.2">
      <c r="A1535" s="7"/>
      <c r="B1535" s="2"/>
      <c r="C1535" s="2"/>
      <c r="D1535" s="2"/>
      <c r="E1535" s="7"/>
      <c r="F1535" s="7"/>
      <c r="G1535" s="9" t="s">
        <v>2322</v>
      </c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</row>
    <row r="1536" spans="1:18" ht="12.75" customHeight="1" x14ac:dyDescent="0.2">
      <c r="A1536" s="7"/>
      <c r="B1536" s="2" t="s">
        <v>0</v>
      </c>
      <c r="C1536" s="2" t="s">
        <v>65</v>
      </c>
      <c r="D1536" s="2"/>
      <c r="E1536" s="7"/>
      <c r="F1536" s="7"/>
      <c r="G1536" s="9" t="s">
        <v>2322</v>
      </c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</row>
    <row r="1537" spans="1:18" ht="12.75" customHeight="1" x14ac:dyDescent="0.2">
      <c r="A1537" s="7"/>
      <c r="B1537" s="2" t="s">
        <v>2</v>
      </c>
      <c r="C1537" s="2" t="s">
        <v>2322</v>
      </c>
      <c r="D1537" s="2"/>
      <c r="E1537" s="7"/>
      <c r="F1537" s="7"/>
      <c r="G1537" s="9" t="s">
        <v>2322</v>
      </c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</row>
    <row r="1538" spans="1:18" ht="12.75" customHeight="1" x14ac:dyDescent="0.2">
      <c r="A1538" s="7"/>
      <c r="B1538" s="2" t="s">
        <v>1840</v>
      </c>
      <c r="C1538" s="2" t="s">
        <v>2454</v>
      </c>
      <c r="D1538" s="2"/>
      <c r="E1538" s="7"/>
      <c r="F1538" s="7"/>
      <c r="G1538" s="9" t="s">
        <v>2322</v>
      </c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</row>
    <row r="1539" spans="1:18" ht="12.75" customHeight="1" x14ac:dyDescent="0.2">
      <c r="A1539" s="7"/>
      <c r="B1539" s="2" t="s">
        <v>9</v>
      </c>
      <c r="C1539" s="2" t="s">
        <v>2455</v>
      </c>
      <c r="D1539" s="2"/>
      <c r="E1539" s="7"/>
      <c r="F1539" s="7"/>
      <c r="G1539" s="9" t="s">
        <v>2322</v>
      </c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</row>
    <row r="1540" spans="1:18" ht="12.75" customHeight="1" x14ac:dyDescent="0.2">
      <c r="A1540" s="7"/>
      <c r="B1540" s="2" t="s">
        <v>11</v>
      </c>
      <c r="C1540" s="2" t="s">
        <v>817</v>
      </c>
      <c r="D1540" s="2"/>
      <c r="E1540" s="7"/>
      <c r="F1540" s="7"/>
      <c r="G1540" s="9" t="s">
        <v>2322</v>
      </c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</row>
    <row r="1541" spans="1:18" ht="12.75" customHeight="1" x14ac:dyDescent="0.2">
      <c r="A1541" s="7"/>
      <c r="B1541" s="2" t="s">
        <v>16</v>
      </c>
      <c r="C1541" s="2"/>
      <c r="D1541" s="2"/>
      <c r="E1541" s="7"/>
      <c r="F1541" s="7"/>
      <c r="G1541" s="9" t="s">
        <v>2322</v>
      </c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</row>
    <row r="1542" spans="1:18" ht="12.75" customHeight="1" x14ac:dyDescent="0.2">
      <c r="A1542" s="7"/>
      <c r="B1542" s="2" t="s">
        <v>17</v>
      </c>
      <c r="C1542" s="2" t="s">
        <v>19</v>
      </c>
      <c r="D1542" s="2"/>
      <c r="E1542" s="7"/>
      <c r="F1542" s="7"/>
      <c r="G1542" s="9" t="s">
        <v>2322</v>
      </c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</row>
    <row r="1543" spans="1:18" ht="12.75" customHeight="1" x14ac:dyDescent="0.2">
      <c r="A1543" s="7"/>
      <c r="B1543" s="2" t="s">
        <v>18</v>
      </c>
      <c r="C1543" s="2" t="s">
        <v>57</v>
      </c>
      <c r="D1543" s="2" t="str">
        <f>HYPERLINK("javascript:void(0)","csillámgöb")</f>
        <v>csillámgöb</v>
      </c>
      <c r="E1543" s="7"/>
      <c r="F1543" s="7"/>
      <c r="G1543" s="9" t="s">
        <v>2322</v>
      </c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</row>
    <row r="1544" spans="1:18" ht="12.75" customHeight="1" x14ac:dyDescent="0.2">
      <c r="A1544" s="7"/>
      <c r="B1544" s="2"/>
      <c r="C1544" s="2" t="s">
        <v>44</v>
      </c>
      <c r="D1544" s="2" t="str">
        <f>HYPERLINK("javascript:void(0)","csillámló elfpáncél")</f>
        <v>csillámló elfpáncél</v>
      </c>
      <c r="E1544" s="7"/>
      <c r="F1544" s="7"/>
      <c r="G1544" s="9" t="s">
        <v>2322</v>
      </c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</row>
    <row r="1545" spans="1:18" ht="12.75" customHeight="1" x14ac:dyDescent="0.2">
      <c r="A1545" s="7"/>
      <c r="B1545" s="2"/>
      <c r="C1545" s="2" t="s">
        <v>296</v>
      </c>
      <c r="D1545" s="2" t="str">
        <f>HYPERLINK("javascript:void(0)","mágnes")</f>
        <v>mágnes</v>
      </c>
      <c r="E1545" s="7"/>
      <c r="F1545" s="7"/>
      <c r="G1545" s="9" t="s">
        <v>2322</v>
      </c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</row>
    <row r="1546" spans="1:18" ht="12.75" customHeight="1" x14ac:dyDescent="0.2">
      <c r="A1546" s="7"/>
      <c r="B1546" s="2"/>
      <c r="C1546" s="2"/>
      <c r="D1546" s="2"/>
      <c r="E1546" s="7"/>
      <c r="F1546" s="7"/>
      <c r="G1546" s="9" t="s">
        <v>2322</v>
      </c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</row>
    <row r="1547" spans="1:18" ht="12.75" customHeight="1" x14ac:dyDescent="0.2">
      <c r="A1547" s="7"/>
      <c r="B1547" s="2"/>
      <c r="C1547" s="2"/>
      <c r="D1547" s="2"/>
      <c r="E1547" s="7"/>
      <c r="F1547" s="7"/>
      <c r="G1547" s="9" t="s">
        <v>2322</v>
      </c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</row>
    <row r="1548" spans="1:18" ht="12.75" customHeight="1" x14ac:dyDescent="0.2">
      <c r="A1548" s="7"/>
      <c r="B1548" s="2"/>
      <c r="C1548" s="2"/>
      <c r="D1548" s="2"/>
      <c r="E1548" s="7"/>
      <c r="F1548" s="7"/>
      <c r="G1548" s="9" t="s">
        <v>2322</v>
      </c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</row>
    <row r="1549" spans="1:18" ht="12.75" customHeight="1" x14ac:dyDescent="0.2">
      <c r="A1549" s="7"/>
      <c r="B1549" s="2"/>
      <c r="C1549" s="2"/>
      <c r="D1549" s="2"/>
      <c r="E1549" s="7"/>
      <c r="F1549" s="7"/>
      <c r="G1549" s="9" t="s">
        <v>2322</v>
      </c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</row>
    <row r="1550" spans="1:18" ht="12.75" customHeight="1" x14ac:dyDescent="0.2">
      <c r="A1550" s="7"/>
      <c r="B1550" s="2"/>
      <c r="C1550" s="2"/>
      <c r="D1550" s="2"/>
      <c r="E1550" s="7"/>
      <c r="F1550" s="7"/>
      <c r="G1550" s="9" t="s">
        <v>2322</v>
      </c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</row>
    <row r="1551" spans="1:18" ht="12.75" customHeight="1" x14ac:dyDescent="0.2">
      <c r="A1551" s="7" t="str">
        <f>HYPERLINK("javascript:void(0)","teljes rézvért")</f>
        <v>teljes rézvért</v>
      </c>
      <c r="B1551" s="7"/>
      <c r="C1551" s="7"/>
      <c r="D1551" s="7"/>
      <c r="E1551" s="7"/>
      <c r="F1551" s="7"/>
      <c r="G1551" s="9" t="s">
        <v>2322</v>
      </c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</row>
    <row r="1552" spans="1:18" ht="12.75" customHeight="1" x14ac:dyDescent="0.2">
      <c r="A1552" s="7"/>
      <c r="B1552" s="2"/>
      <c r="C1552" s="2"/>
      <c r="D1552" s="2"/>
      <c r="E1552" s="7"/>
      <c r="F1552" s="7"/>
      <c r="G1552" s="9" t="s">
        <v>2322</v>
      </c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</row>
    <row r="1553" spans="1:18" ht="12.75" customHeight="1" x14ac:dyDescent="0.2">
      <c r="A1553" s="7"/>
      <c r="B1553" s="2" t="s">
        <v>0</v>
      </c>
      <c r="C1553" s="2" t="s">
        <v>680</v>
      </c>
      <c r="D1553" s="2"/>
      <c r="E1553" s="7"/>
      <c r="F1553" s="7"/>
      <c r="G1553" s="9" t="s">
        <v>2322</v>
      </c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</row>
    <row r="1554" spans="1:18" ht="12.75" customHeight="1" x14ac:dyDescent="0.2">
      <c r="A1554" s="7"/>
      <c r="B1554" s="2" t="s">
        <v>2</v>
      </c>
      <c r="C1554" s="2" t="s">
        <v>2322</v>
      </c>
      <c r="D1554" s="2"/>
      <c r="E1554" s="7"/>
      <c r="F1554" s="7"/>
      <c r="G1554" s="9" t="s">
        <v>2322</v>
      </c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</row>
    <row r="1555" spans="1:18" ht="12.75" customHeight="1" x14ac:dyDescent="0.2">
      <c r="A1555" s="7"/>
      <c r="B1555" s="2" t="s">
        <v>1840</v>
      </c>
      <c r="C1555" s="2" t="s">
        <v>2457</v>
      </c>
      <c r="D1555" s="2"/>
      <c r="E1555" s="7"/>
      <c r="F1555" s="7"/>
      <c r="G1555" s="9" t="s">
        <v>2322</v>
      </c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</row>
    <row r="1556" spans="1:18" ht="12.75" customHeight="1" x14ac:dyDescent="0.2">
      <c r="A1556" s="7"/>
      <c r="B1556" s="2" t="s">
        <v>9</v>
      </c>
      <c r="C1556" s="2" t="s">
        <v>200</v>
      </c>
      <c r="D1556" s="2"/>
      <c r="E1556" s="7"/>
      <c r="F1556" s="7"/>
      <c r="G1556" s="9" t="s">
        <v>2322</v>
      </c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</row>
    <row r="1557" spans="1:18" ht="12.75" customHeight="1" x14ac:dyDescent="0.2">
      <c r="A1557" s="7"/>
      <c r="B1557" s="2" t="s">
        <v>11</v>
      </c>
      <c r="C1557" s="2" t="s">
        <v>835</v>
      </c>
      <c r="D1557" s="2"/>
      <c r="E1557" s="7"/>
      <c r="F1557" s="7"/>
      <c r="G1557" s="9" t="s">
        <v>2322</v>
      </c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</row>
    <row r="1558" spans="1:18" ht="12.75" customHeight="1" x14ac:dyDescent="0.2">
      <c r="A1558" s="7"/>
      <c r="B1558" s="2" t="s">
        <v>16</v>
      </c>
      <c r="C1558" s="2"/>
      <c r="D1558" s="2"/>
      <c r="E1558" s="7"/>
      <c r="F1558" s="7"/>
      <c r="G1558" s="9" t="s">
        <v>2322</v>
      </c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</row>
    <row r="1559" spans="1:18" ht="12.75" customHeight="1" x14ac:dyDescent="0.2">
      <c r="A1559" s="7"/>
      <c r="B1559" s="2" t="s">
        <v>17</v>
      </c>
      <c r="C1559" s="2" t="s">
        <v>19</v>
      </c>
      <c r="D1559" s="2"/>
      <c r="E1559" s="7"/>
      <c r="F1559" s="7"/>
      <c r="G1559" s="9" t="s">
        <v>2322</v>
      </c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</row>
    <row r="1560" spans="1:18" ht="12.75" customHeight="1" x14ac:dyDescent="0.2">
      <c r="A1560" s="7"/>
      <c r="B1560" s="2" t="s">
        <v>18</v>
      </c>
      <c r="C1560" s="2" t="s">
        <v>44</v>
      </c>
      <c r="D1560" s="2" t="str">
        <f>HYPERLINK("javascript:void(0)","szőrmente")</f>
        <v>szőrmente</v>
      </c>
      <c r="E1560" s="7"/>
      <c r="F1560" s="7"/>
      <c r="G1560" s="9" t="s">
        <v>2322</v>
      </c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</row>
    <row r="1561" spans="1:18" ht="12.75" customHeight="1" x14ac:dyDescent="0.2">
      <c r="A1561" s="7"/>
      <c r="B1561" s="2"/>
      <c r="C1561" s="2" t="s">
        <v>68</v>
      </c>
      <c r="D1561" s="2" t="str">
        <f>HYPERLINK("javascript:void(0)","fúrófej")</f>
        <v>fúrófej</v>
      </c>
      <c r="E1561" s="7"/>
      <c r="F1561" s="7"/>
      <c r="G1561" s="9" t="s">
        <v>2322</v>
      </c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</row>
    <row r="1562" spans="1:18" ht="12.75" customHeight="1" x14ac:dyDescent="0.2">
      <c r="A1562" s="7"/>
      <c r="B1562" s="2"/>
      <c r="C1562" s="2" t="s">
        <v>68</v>
      </c>
      <c r="D1562" s="2" t="str">
        <f>HYPERLINK("javascript:void(0)","rézrög")</f>
        <v>rézrög</v>
      </c>
      <c r="E1562" s="7"/>
      <c r="F1562" s="7"/>
      <c r="G1562" s="9" t="s">
        <v>2322</v>
      </c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</row>
    <row r="1563" spans="1:18" ht="12.75" customHeight="1" x14ac:dyDescent="0.2">
      <c r="A1563" s="7"/>
      <c r="B1563" s="2"/>
      <c r="C1563" s="2"/>
      <c r="D1563" s="2"/>
      <c r="E1563" s="7"/>
      <c r="F1563" s="7"/>
      <c r="G1563" s="9" t="s">
        <v>2322</v>
      </c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</row>
    <row r="1564" spans="1:18" ht="12.75" customHeight="1" x14ac:dyDescent="0.2">
      <c r="A1564" s="7"/>
      <c r="B1564" s="2"/>
      <c r="C1564" s="2"/>
      <c r="D1564" s="2"/>
      <c r="E1564" s="7"/>
      <c r="F1564" s="7"/>
      <c r="G1564" s="9" t="s">
        <v>2322</v>
      </c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</row>
    <row r="1565" spans="1:18" ht="12.75" customHeight="1" x14ac:dyDescent="0.2">
      <c r="A1565" s="7"/>
      <c r="B1565" s="2"/>
      <c r="C1565" s="2"/>
      <c r="D1565" s="2"/>
      <c r="E1565" s="7"/>
      <c r="F1565" s="7"/>
      <c r="G1565" s="9" t="s">
        <v>2322</v>
      </c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</row>
    <row r="1566" spans="1:18" ht="12.75" customHeight="1" x14ac:dyDescent="0.2">
      <c r="A1566" s="7"/>
      <c r="B1566" s="2"/>
      <c r="C1566" s="2"/>
      <c r="D1566" s="2"/>
      <c r="E1566" s="7"/>
      <c r="F1566" s="7"/>
      <c r="G1566" s="9" t="s">
        <v>2322</v>
      </c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</row>
    <row r="1567" spans="1:18" ht="12.75" customHeight="1" x14ac:dyDescent="0.2">
      <c r="A1567" s="7"/>
      <c r="B1567" s="2"/>
      <c r="C1567" s="2"/>
      <c r="D1567" s="2"/>
      <c r="E1567" s="7"/>
      <c r="F1567" s="7"/>
      <c r="G1567" s="9" t="s">
        <v>2322</v>
      </c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</row>
    <row r="1568" spans="1:18" ht="12.75" customHeight="1" x14ac:dyDescent="0.2">
      <c r="A1568" s="7" t="str">
        <f>HYPERLINK("javascript:void(0)","fényes rostély")</f>
        <v>fényes rostély</v>
      </c>
      <c r="B1568" s="7"/>
      <c r="C1568" s="7"/>
      <c r="D1568" s="7"/>
      <c r="E1568" s="7"/>
      <c r="F1568" s="7"/>
      <c r="G1568" s="9" t="s">
        <v>2322</v>
      </c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</row>
    <row r="1569" spans="1:18" ht="12.75" customHeight="1" x14ac:dyDescent="0.2">
      <c r="A1569" s="7"/>
      <c r="B1569" s="2"/>
      <c r="C1569" s="2"/>
      <c r="D1569" s="2"/>
      <c r="E1569" s="7"/>
      <c r="F1569" s="7"/>
      <c r="G1569" s="9" t="s">
        <v>2322</v>
      </c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</row>
    <row r="1570" spans="1:18" ht="12.75" customHeight="1" x14ac:dyDescent="0.2">
      <c r="A1570" s="7"/>
      <c r="B1570" s="2" t="s">
        <v>0</v>
      </c>
      <c r="C1570" s="2" t="s">
        <v>680</v>
      </c>
      <c r="D1570" s="2"/>
      <c r="E1570" s="7"/>
      <c r="F1570" s="7"/>
      <c r="G1570" s="9" t="s">
        <v>2322</v>
      </c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</row>
    <row r="1571" spans="1:18" ht="12.75" customHeight="1" x14ac:dyDescent="0.2">
      <c r="A1571" s="7"/>
      <c r="B1571" s="2" t="s">
        <v>2</v>
      </c>
      <c r="C1571" s="2" t="s">
        <v>2322</v>
      </c>
      <c r="D1571" s="2"/>
      <c r="E1571" s="7"/>
      <c r="F1571" s="7"/>
      <c r="G1571" s="9" t="s">
        <v>2322</v>
      </c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</row>
    <row r="1572" spans="1:18" ht="12.75" customHeight="1" x14ac:dyDescent="0.2">
      <c r="A1572" s="7"/>
      <c r="B1572" s="2" t="s">
        <v>1840</v>
      </c>
      <c r="C1572" s="2" t="s">
        <v>52</v>
      </c>
      <c r="D1572" s="2"/>
      <c r="E1572" s="7"/>
      <c r="F1572" s="7"/>
      <c r="G1572" s="9" t="s">
        <v>2322</v>
      </c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</row>
    <row r="1573" spans="1:18" ht="12.75" customHeight="1" x14ac:dyDescent="0.2">
      <c r="A1573" s="7"/>
      <c r="B1573" s="2" t="s">
        <v>9</v>
      </c>
      <c r="C1573" s="2" t="s">
        <v>42</v>
      </c>
      <c r="D1573" s="2"/>
      <c r="E1573" s="7"/>
      <c r="F1573" s="7"/>
      <c r="G1573" s="9" t="s">
        <v>2322</v>
      </c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</row>
    <row r="1574" spans="1:18" ht="12.75" customHeight="1" x14ac:dyDescent="0.2">
      <c r="A1574" s="7"/>
      <c r="B1574" s="2" t="s">
        <v>11</v>
      </c>
      <c r="C1574" s="2" t="s">
        <v>368</v>
      </c>
      <c r="D1574" s="2"/>
      <c r="E1574" s="7"/>
      <c r="F1574" s="7"/>
      <c r="G1574" s="9" t="s">
        <v>2322</v>
      </c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</row>
    <row r="1575" spans="1:18" ht="12.75" customHeight="1" x14ac:dyDescent="0.2">
      <c r="A1575" s="7"/>
      <c r="B1575" s="2" t="s">
        <v>16</v>
      </c>
      <c r="C1575" s="2"/>
      <c r="D1575" s="2"/>
      <c r="E1575" s="7"/>
      <c r="F1575" s="7"/>
      <c r="G1575" s="9" t="s">
        <v>2322</v>
      </c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</row>
    <row r="1576" spans="1:18" ht="12.75" customHeight="1" x14ac:dyDescent="0.2">
      <c r="A1576" s="7"/>
      <c r="B1576" s="2" t="s">
        <v>17</v>
      </c>
      <c r="C1576" s="2" t="s">
        <v>19</v>
      </c>
      <c r="D1576" s="2"/>
      <c r="E1576" s="7"/>
      <c r="F1576" s="7"/>
      <c r="G1576" s="9" t="s">
        <v>2322</v>
      </c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</row>
    <row r="1577" spans="1:18" ht="12.75" customHeight="1" x14ac:dyDescent="0.2">
      <c r="A1577" s="7"/>
      <c r="B1577" s="2" t="s">
        <v>18</v>
      </c>
      <c r="C1577" s="2" t="s">
        <v>77</v>
      </c>
      <c r="D1577" s="2" t="str">
        <f>HYPERLINK("javascript:void(0)","fúrófej")</f>
        <v>fúrófej</v>
      </c>
      <c r="E1577" s="7"/>
      <c r="F1577" s="7"/>
      <c r="G1577" s="9" t="s">
        <v>2322</v>
      </c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</row>
    <row r="1578" spans="1:18" ht="12.75" customHeight="1" x14ac:dyDescent="0.2">
      <c r="A1578" s="7"/>
      <c r="B1578" s="2"/>
      <c r="C1578" s="2" t="s">
        <v>67</v>
      </c>
      <c r="D1578" s="2" t="str">
        <f>HYPERLINK("javascript:void(0)","rúna")</f>
        <v>rúna</v>
      </c>
      <c r="E1578" s="7"/>
      <c r="F1578" s="7"/>
      <c r="G1578" s="9" t="s">
        <v>2322</v>
      </c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</row>
    <row r="1579" spans="1:18" ht="12.75" customHeight="1" x14ac:dyDescent="0.2">
      <c r="A1579" s="7"/>
      <c r="B1579" s="2"/>
      <c r="C1579" s="2" t="s">
        <v>193</v>
      </c>
      <c r="D1579" s="2" t="str">
        <f>HYPERLINK("javascript:void(0)","kispárna")</f>
        <v>kispárna</v>
      </c>
      <c r="E1579" s="7"/>
      <c r="F1579" s="7"/>
      <c r="G1579" s="9" t="s">
        <v>2322</v>
      </c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</row>
    <row r="1580" spans="1:18" ht="12.75" customHeight="1" x14ac:dyDescent="0.2">
      <c r="A1580" s="7"/>
      <c r="B1580" s="2"/>
      <c r="C1580" s="2"/>
      <c r="D1580" s="2"/>
      <c r="E1580" s="7"/>
      <c r="F1580" s="7"/>
      <c r="G1580" s="9" t="s">
        <v>2322</v>
      </c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</row>
    <row r="1581" spans="1:18" ht="12.75" customHeight="1" x14ac:dyDescent="0.2">
      <c r="A1581" s="7"/>
      <c r="B1581" s="2"/>
      <c r="C1581" s="2"/>
      <c r="D1581" s="2"/>
      <c r="E1581" s="7"/>
      <c r="F1581" s="7"/>
      <c r="G1581" s="9" t="s">
        <v>2322</v>
      </c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</row>
    <row r="1582" spans="1:18" ht="12.75" customHeight="1" x14ac:dyDescent="0.2">
      <c r="A1582" s="7"/>
      <c r="B1582" s="2"/>
      <c r="C1582" s="2"/>
      <c r="D1582" s="2"/>
      <c r="E1582" s="7"/>
      <c r="F1582" s="7"/>
      <c r="G1582" s="9" t="s">
        <v>2322</v>
      </c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</row>
    <row r="1583" spans="1:18" ht="12.75" customHeight="1" x14ac:dyDescent="0.2">
      <c r="A1583" s="7"/>
      <c r="B1583" s="2"/>
      <c r="C1583" s="2"/>
      <c r="D1583" s="2"/>
      <c r="E1583" s="7"/>
      <c r="F1583" s="7"/>
      <c r="G1583" s="9" t="s">
        <v>2322</v>
      </c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</row>
    <row r="1584" spans="1:18" ht="12.75" customHeight="1" x14ac:dyDescent="0.2">
      <c r="A1584" s="7"/>
      <c r="B1584" s="2"/>
      <c r="C1584" s="2"/>
      <c r="D1584" s="2"/>
      <c r="E1584" s="7"/>
      <c r="F1584" s="7"/>
      <c r="G1584" s="9" t="s">
        <v>2322</v>
      </c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</row>
    <row r="1585" spans="1:18" ht="12.75" customHeight="1" x14ac:dyDescent="0.2">
      <c r="A1585" s="7" t="str">
        <f>HYPERLINK("javascript:void(0)","teljes bronzvért")</f>
        <v>teljes bronzvért</v>
      </c>
      <c r="B1585" s="7"/>
      <c r="C1585" s="7"/>
      <c r="D1585" s="7"/>
      <c r="E1585" s="7"/>
      <c r="F1585" s="7"/>
      <c r="G1585" s="9" t="s">
        <v>2322</v>
      </c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</row>
    <row r="1586" spans="1:18" ht="12.75" customHeight="1" x14ac:dyDescent="0.2">
      <c r="A1586" s="7"/>
      <c r="B1586" s="2"/>
      <c r="C1586" s="2"/>
      <c r="D1586" s="2"/>
      <c r="E1586" s="7"/>
      <c r="F1586" s="7"/>
      <c r="G1586" s="9" t="s">
        <v>2322</v>
      </c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</row>
    <row r="1587" spans="1:18" ht="12.75" customHeight="1" x14ac:dyDescent="0.2">
      <c r="A1587" s="7"/>
      <c r="B1587" s="2" t="s">
        <v>0</v>
      </c>
      <c r="C1587" s="2" t="s">
        <v>690</v>
      </c>
      <c r="D1587" s="2"/>
      <c r="E1587" s="7"/>
      <c r="F1587" s="7"/>
      <c r="G1587" s="9" t="s">
        <v>2322</v>
      </c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</row>
    <row r="1588" spans="1:18" ht="12.75" customHeight="1" x14ac:dyDescent="0.2">
      <c r="A1588" s="7"/>
      <c r="B1588" s="2" t="s">
        <v>2</v>
      </c>
      <c r="C1588" s="2" t="s">
        <v>2322</v>
      </c>
      <c r="D1588" s="2"/>
      <c r="E1588" s="7"/>
      <c r="F1588" s="7"/>
      <c r="G1588" s="9" t="s">
        <v>2322</v>
      </c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</row>
    <row r="1589" spans="1:18" ht="12.75" customHeight="1" x14ac:dyDescent="0.2">
      <c r="A1589" s="7"/>
      <c r="B1589" s="2" t="s">
        <v>1840</v>
      </c>
      <c r="C1589" s="2" t="s">
        <v>2243</v>
      </c>
      <c r="D1589" s="2"/>
      <c r="E1589" s="7"/>
      <c r="F1589" s="7"/>
      <c r="G1589" s="9" t="s">
        <v>2322</v>
      </c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</row>
    <row r="1590" spans="1:18" ht="12.75" customHeight="1" x14ac:dyDescent="0.2">
      <c r="A1590" s="7"/>
      <c r="B1590" s="2" t="s">
        <v>9</v>
      </c>
      <c r="C1590" s="2" t="s">
        <v>113</v>
      </c>
      <c r="D1590" s="2"/>
      <c r="E1590" s="7"/>
      <c r="F1590" s="7"/>
      <c r="G1590" s="9" t="s">
        <v>2322</v>
      </c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</row>
    <row r="1591" spans="1:18" ht="12.75" customHeight="1" x14ac:dyDescent="0.2">
      <c r="A1591" s="7"/>
      <c r="B1591" s="2" t="s">
        <v>11</v>
      </c>
      <c r="C1591" s="2" t="s">
        <v>856</v>
      </c>
      <c r="D1591" s="2"/>
      <c r="E1591" s="7"/>
      <c r="F1591" s="7"/>
      <c r="G1591" s="9" t="s">
        <v>2322</v>
      </c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</row>
    <row r="1592" spans="1:18" ht="12.75" customHeight="1" x14ac:dyDescent="0.2">
      <c r="A1592" s="7"/>
      <c r="B1592" s="2" t="s">
        <v>16</v>
      </c>
      <c r="C1592" s="2"/>
      <c r="D1592" s="2"/>
      <c r="E1592" s="7"/>
      <c r="F1592" s="7"/>
      <c r="G1592" s="9" t="s">
        <v>2322</v>
      </c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</row>
    <row r="1593" spans="1:18" ht="12.75" customHeight="1" x14ac:dyDescent="0.2">
      <c r="A1593" s="7"/>
      <c r="B1593" s="2" t="s">
        <v>17</v>
      </c>
      <c r="C1593" s="2" t="s">
        <v>19</v>
      </c>
      <c r="D1593" s="2"/>
      <c r="E1593" s="7"/>
      <c r="F1593" s="7"/>
      <c r="G1593" s="9" t="s">
        <v>2322</v>
      </c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</row>
    <row r="1594" spans="1:18" ht="12.75" customHeight="1" x14ac:dyDescent="0.2">
      <c r="A1594" s="7"/>
      <c r="B1594" s="2" t="s">
        <v>18</v>
      </c>
      <c r="C1594" s="2" t="s">
        <v>68</v>
      </c>
      <c r="D1594" s="2" t="str">
        <f>HYPERLINK("javascript:void(0)","hőgolyó")</f>
        <v>hőgolyó</v>
      </c>
      <c r="E1594" s="7"/>
      <c r="F1594" s="7"/>
      <c r="G1594" s="9" t="s">
        <v>2322</v>
      </c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</row>
    <row r="1595" spans="1:18" ht="12.75" customHeight="1" x14ac:dyDescent="0.2">
      <c r="A1595" s="7"/>
      <c r="B1595" s="2"/>
      <c r="C1595" s="2" t="s">
        <v>117</v>
      </c>
      <c r="D1595" s="2" t="str">
        <f>HYPERLINK("javascript:void(0)","negatívum")</f>
        <v>negatívum</v>
      </c>
      <c r="E1595" s="7"/>
      <c r="F1595" s="7"/>
      <c r="G1595" s="9" t="s">
        <v>2322</v>
      </c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</row>
    <row r="1596" spans="1:18" ht="12.75" customHeight="1" x14ac:dyDescent="0.2">
      <c r="A1596" s="7"/>
      <c r="B1596" s="2"/>
      <c r="C1596" s="2" t="s">
        <v>232</v>
      </c>
      <c r="D1596" s="2" t="str">
        <f>HYPERLINK("javascript:void(0)","bronzrög")</f>
        <v>bronzrög</v>
      </c>
      <c r="E1596" s="7"/>
      <c r="F1596" s="7"/>
      <c r="G1596" s="9" t="s">
        <v>2322</v>
      </c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</row>
    <row r="1597" spans="1:18" ht="12.75" customHeight="1" x14ac:dyDescent="0.2">
      <c r="A1597" s="7"/>
      <c r="B1597" s="2"/>
      <c r="C1597" s="2"/>
      <c r="D1597" s="2"/>
      <c r="E1597" s="7"/>
      <c r="F1597" s="7"/>
      <c r="G1597" s="9" t="s">
        <v>2322</v>
      </c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</row>
    <row r="1598" spans="1:18" ht="12.75" customHeight="1" x14ac:dyDescent="0.2">
      <c r="A1598" s="7"/>
      <c r="B1598" s="2"/>
      <c r="C1598" s="2"/>
      <c r="D1598" s="2"/>
      <c r="E1598" s="7"/>
      <c r="F1598" s="7"/>
      <c r="G1598" s="9" t="s">
        <v>2322</v>
      </c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</row>
    <row r="1599" spans="1:18" ht="12.75" customHeight="1" x14ac:dyDescent="0.2">
      <c r="A1599" s="7"/>
      <c r="B1599" s="2"/>
      <c r="C1599" s="2"/>
      <c r="D1599" s="2"/>
      <c r="E1599" s="7"/>
      <c r="F1599" s="7"/>
      <c r="G1599" s="9" t="s">
        <v>2322</v>
      </c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</row>
    <row r="1600" spans="1:18" ht="12.75" customHeight="1" x14ac:dyDescent="0.2">
      <c r="A1600" s="7"/>
      <c r="B1600" s="2"/>
      <c r="C1600" s="2"/>
      <c r="D1600" s="2"/>
      <c r="E1600" s="7"/>
      <c r="F1600" s="7"/>
      <c r="G1600" s="9" t="s">
        <v>2322</v>
      </c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</row>
    <row r="1601" spans="1:18" ht="12.75" customHeight="1" x14ac:dyDescent="0.2">
      <c r="A1601" s="7"/>
      <c r="B1601" s="2"/>
      <c r="C1601" s="2"/>
      <c r="D1601" s="2"/>
      <c r="E1601" s="7"/>
      <c r="F1601" s="7"/>
      <c r="G1601" s="9" t="s">
        <v>2322</v>
      </c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</row>
    <row r="1602" spans="1:18" ht="12.75" customHeight="1" x14ac:dyDescent="0.2">
      <c r="A1602" s="7" t="str">
        <f>HYPERLINK("javascript:void(0)","teljes vasvért")</f>
        <v>teljes vasvért</v>
      </c>
      <c r="B1602" s="7"/>
      <c r="C1602" s="7"/>
      <c r="D1602" s="7"/>
      <c r="E1602" s="7"/>
      <c r="F1602" s="7"/>
      <c r="G1602" s="9" t="s">
        <v>2322</v>
      </c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</row>
    <row r="1603" spans="1:18" ht="12.75" customHeight="1" x14ac:dyDescent="0.2">
      <c r="A1603" s="7"/>
      <c r="B1603" s="2"/>
      <c r="C1603" s="2"/>
      <c r="D1603" s="2"/>
      <c r="E1603" s="7"/>
      <c r="F1603" s="7"/>
      <c r="G1603" s="9" t="s">
        <v>2322</v>
      </c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</row>
    <row r="1604" spans="1:18" ht="12.75" customHeight="1" x14ac:dyDescent="0.2">
      <c r="A1604" s="7"/>
      <c r="B1604" s="2" t="s">
        <v>0</v>
      </c>
      <c r="C1604" s="2" t="s">
        <v>699</v>
      </c>
      <c r="D1604" s="2"/>
      <c r="E1604" s="7"/>
      <c r="F1604" s="7"/>
      <c r="G1604" s="9" t="s">
        <v>2322</v>
      </c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</row>
    <row r="1605" spans="1:18" ht="12.75" customHeight="1" x14ac:dyDescent="0.2">
      <c r="A1605" s="7"/>
      <c r="B1605" s="2" t="s">
        <v>2</v>
      </c>
      <c r="C1605" s="2" t="s">
        <v>2322</v>
      </c>
      <c r="D1605" s="2"/>
      <c r="E1605" s="7"/>
      <c r="F1605" s="7"/>
      <c r="G1605" s="9" t="s">
        <v>2322</v>
      </c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</row>
    <row r="1606" spans="1:18" ht="12.75" customHeight="1" x14ac:dyDescent="0.2">
      <c r="A1606" s="7"/>
      <c r="B1606" s="2" t="s">
        <v>1840</v>
      </c>
      <c r="C1606" s="2" t="s">
        <v>285</v>
      </c>
      <c r="D1606" s="2"/>
      <c r="E1606" s="7"/>
      <c r="F1606" s="7"/>
      <c r="G1606" s="9" t="s">
        <v>2322</v>
      </c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</row>
    <row r="1607" spans="1:18" ht="12.75" customHeight="1" x14ac:dyDescent="0.2">
      <c r="A1607" s="7"/>
      <c r="B1607" s="2" t="s">
        <v>9</v>
      </c>
      <c r="C1607" s="2" t="s">
        <v>233</v>
      </c>
      <c r="D1607" s="2"/>
      <c r="E1607" s="7"/>
      <c r="F1607" s="7"/>
      <c r="G1607" s="9" t="s">
        <v>2322</v>
      </c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</row>
    <row r="1608" spans="1:18" ht="12.75" customHeight="1" x14ac:dyDescent="0.2">
      <c r="A1608" s="7"/>
      <c r="B1608" s="2" t="s">
        <v>11</v>
      </c>
      <c r="C1608" s="2" t="s">
        <v>879</v>
      </c>
      <c r="D1608" s="2"/>
      <c r="E1608" s="7"/>
      <c r="F1608" s="7"/>
      <c r="G1608" s="9" t="s">
        <v>2322</v>
      </c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</row>
    <row r="1609" spans="1:18" ht="12.75" customHeight="1" x14ac:dyDescent="0.2">
      <c r="A1609" s="7"/>
      <c r="B1609" s="2" t="s">
        <v>16</v>
      </c>
      <c r="C1609" s="2"/>
      <c r="D1609" s="2"/>
      <c r="E1609" s="7"/>
      <c r="F1609" s="7"/>
      <c r="G1609" s="9" t="s">
        <v>2322</v>
      </c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</row>
    <row r="1610" spans="1:18" ht="12.75" customHeight="1" x14ac:dyDescent="0.2">
      <c r="A1610" s="7"/>
      <c r="B1610" s="2" t="s">
        <v>17</v>
      </c>
      <c r="C1610" s="2" t="s">
        <v>19</v>
      </c>
      <c r="D1610" s="2"/>
      <c r="E1610" s="7"/>
      <c r="F1610" s="7"/>
      <c r="G1610" s="9" t="s">
        <v>2322</v>
      </c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</row>
    <row r="1611" spans="1:18" ht="12.75" customHeight="1" x14ac:dyDescent="0.2">
      <c r="A1611" s="7"/>
      <c r="B1611" s="2" t="s">
        <v>18</v>
      </c>
      <c r="C1611" s="2" t="s">
        <v>44</v>
      </c>
      <c r="D1611" s="2" t="str">
        <f>HYPERLINK("javascript:void(0)","teljes rézvért")</f>
        <v>teljes rézvért</v>
      </c>
      <c r="E1611" s="7"/>
      <c r="F1611" s="7"/>
      <c r="G1611" s="9" t="s">
        <v>2322</v>
      </c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</row>
    <row r="1612" spans="1:18" ht="12.75" customHeight="1" x14ac:dyDescent="0.2">
      <c r="A1612" s="7"/>
      <c r="B1612" s="2"/>
      <c r="C1612" s="2" t="s">
        <v>44</v>
      </c>
      <c r="D1612" s="2" t="str">
        <f>HYPERLINK("javascript:void(0)","teljes bronzvért")</f>
        <v>teljes bronzvért</v>
      </c>
      <c r="E1612" s="7"/>
      <c r="F1612" s="7"/>
      <c r="G1612" s="9" t="s">
        <v>2322</v>
      </c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</row>
    <row r="1613" spans="1:18" ht="12.75" customHeight="1" x14ac:dyDescent="0.2">
      <c r="A1613" s="7"/>
      <c r="B1613" s="2"/>
      <c r="C1613" s="2" t="s">
        <v>44</v>
      </c>
      <c r="D1613" s="2" t="str">
        <f>HYPERLINK("javascript:void(0)","vas páncéllemez")</f>
        <v>vas páncéllemez</v>
      </c>
      <c r="E1613" s="7"/>
      <c r="F1613" s="7"/>
      <c r="G1613" s="9" t="s">
        <v>2322</v>
      </c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</row>
    <row r="1614" spans="1:18" ht="12.75" customHeight="1" x14ac:dyDescent="0.2">
      <c r="A1614" s="7"/>
      <c r="B1614" s="2"/>
      <c r="C1614" s="2"/>
      <c r="D1614" s="2"/>
      <c r="E1614" s="7"/>
      <c r="F1614" s="7"/>
      <c r="G1614" s="9" t="s">
        <v>2322</v>
      </c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</row>
    <row r="1615" spans="1:18" ht="12.75" customHeight="1" x14ac:dyDescent="0.2">
      <c r="A1615" s="7"/>
      <c r="B1615" s="2"/>
      <c r="C1615" s="2"/>
      <c r="D1615" s="2"/>
      <c r="E1615" s="7"/>
      <c r="F1615" s="7"/>
      <c r="G1615" s="9" t="s">
        <v>2322</v>
      </c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</row>
    <row r="1616" spans="1:18" ht="12.75" customHeight="1" x14ac:dyDescent="0.2">
      <c r="A1616" s="7"/>
      <c r="B1616" s="2"/>
      <c r="C1616" s="2"/>
      <c r="D1616" s="2"/>
      <c r="E1616" s="7"/>
      <c r="F1616" s="7"/>
      <c r="G1616" s="9" t="s">
        <v>2322</v>
      </c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</row>
    <row r="1617" spans="1:18" ht="12.75" customHeight="1" x14ac:dyDescent="0.2">
      <c r="A1617" s="7"/>
      <c r="B1617" s="2"/>
      <c r="C1617" s="2"/>
      <c r="D1617" s="2"/>
      <c r="E1617" s="7"/>
      <c r="F1617" s="7"/>
      <c r="G1617" s="9" t="s">
        <v>2322</v>
      </c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</row>
    <row r="1618" spans="1:18" ht="12.75" customHeight="1" x14ac:dyDescent="0.2">
      <c r="A1618" s="7"/>
      <c r="B1618" s="2"/>
      <c r="C1618" s="2"/>
      <c r="D1618" s="2"/>
      <c r="E1618" s="7"/>
      <c r="F1618" s="7"/>
      <c r="G1618" s="9" t="s">
        <v>2322</v>
      </c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</row>
    <row r="1619" spans="1:18" ht="12.75" customHeight="1" x14ac:dyDescent="0.2">
      <c r="A1619" s="7" t="str">
        <f>HYPERLINK("javascript:void(0)","hypnoacél talp")</f>
        <v>hypnoacél talp</v>
      </c>
      <c r="B1619" s="7"/>
      <c r="C1619" s="7"/>
      <c r="D1619" s="7"/>
      <c r="E1619" s="7"/>
      <c r="F1619" s="7"/>
      <c r="G1619" s="9" t="s">
        <v>2322</v>
      </c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</row>
    <row r="1620" spans="1:18" ht="12.75" customHeight="1" x14ac:dyDescent="0.2">
      <c r="A1620" s="7"/>
      <c r="B1620" s="2"/>
      <c r="C1620" s="2"/>
      <c r="D1620" s="2"/>
      <c r="E1620" s="7"/>
      <c r="F1620" s="7"/>
      <c r="G1620" s="9" t="s">
        <v>2322</v>
      </c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</row>
    <row r="1621" spans="1:18" ht="12.75" customHeight="1" x14ac:dyDescent="0.2">
      <c r="A1621" s="7"/>
      <c r="B1621" s="2" t="s">
        <v>0</v>
      </c>
      <c r="C1621" s="2" t="s">
        <v>699</v>
      </c>
      <c r="D1621" s="2"/>
      <c r="E1621" s="7"/>
      <c r="F1621" s="7"/>
      <c r="G1621" s="9" t="s">
        <v>2322</v>
      </c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</row>
    <row r="1622" spans="1:18" ht="12.75" customHeight="1" x14ac:dyDescent="0.2">
      <c r="A1622" s="7"/>
      <c r="B1622" s="2" t="s">
        <v>2</v>
      </c>
      <c r="C1622" s="2" t="s">
        <v>2322</v>
      </c>
      <c r="D1622" s="2"/>
      <c r="E1622" s="7"/>
      <c r="F1622" s="7"/>
      <c r="G1622" s="9" t="s">
        <v>2322</v>
      </c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</row>
    <row r="1623" spans="1:18" ht="12.75" customHeight="1" x14ac:dyDescent="0.2">
      <c r="A1623" s="7"/>
      <c r="B1623" s="2" t="s">
        <v>1840</v>
      </c>
      <c r="C1623" s="2" t="s">
        <v>417</v>
      </c>
      <c r="D1623" s="2"/>
      <c r="E1623" s="7"/>
      <c r="F1623" s="7"/>
      <c r="G1623" s="9" t="s">
        <v>2322</v>
      </c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</row>
    <row r="1624" spans="1:18" ht="12.75" customHeight="1" x14ac:dyDescent="0.2">
      <c r="A1624" s="7"/>
      <c r="B1624" s="2" t="s">
        <v>9</v>
      </c>
      <c r="C1624" s="2" t="s">
        <v>42</v>
      </c>
      <c r="D1624" s="2"/>
      <c r="E1624" s="7"/>
      <c r="F1624" s="7"/>
      <c r="G1624" s="9" t="s">
        <v>2322</v>
      </c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</row>
    <row r="1625" spans="1:18" ht="12.75" customHeight="1" x14ac:dyDescent="0.2">
      <c r="A1625" s="7"/>
      <c r="B1625" s="2" t="s">
        <v>11</v>
      </c>
      <c r="C1625" s="2" t="s">
        <v>368</v>
      </c>
      <c r="D1625" s="2"/>
      <c r="E1625" s="7"/>
      <c r="F1625" s="7"/>
      <c r="G1625" s="9" t="s">
        <v>2322</v>
      </c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</row>
    <row r="1626" spans="1:18" ht="12.75" customHeight="1" x14ac:dyDescent="0.2">
      <c r="A1626" s="7"/>
      <c r="B1626" s="2" t="s">
        <v>16</v>
      </c>
      <c r="C1626" s="2"/>
      <c r="D1626" s="2"/>
      <c r="E1626" s="7"/>
      <c r="F1626" s="7"/>
      <c r="G1626" s="9" t="s">
        <v>2322</v>
      </c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</row>
    <row r="1627" spans="1:18" ht="12.75" customHeight="1" x14ac:dyDescent="0.2">
      <c r="A1627" s="7"/>
      <c r="B1627" s="2" t="s">
        <v>17</v>
      </c>
      <c r="C1627" s="2" t="s">
        <v>19</v>
      </c>
      <c r="D1627" s="2"/>
      <c r="E1627" s="7"/>
      <c r="F1627" s="7"/>
      <c r="G1627" s="9" t="s">
        <v>2322</v>
      </c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</row>
    <row r="1628" spans="1:18" ht="12.75" customHeight="1" x14ac:dyDescent="0.2">
      <c r="A1628" s="7"/>
      <c r="B1628" s="2" t="s">
        <v>18</v>
      </c>
      <c r="C1628" s="2" t="s">
        <v>139</v>
      </c>
      <c r="D1628" s="2" t="str">
        <f>HYPERLINK("javascript:void(0)","harmatcsepp")</f>
        <v>harmatcsepp</v>
      </c>
      <c r="E1628" s="7"/>
      <c r="F1628" s="7"/>
      <c r="G1628" s="9" t="s">
        <v>2322</v>
      </c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</row>
    <row r="1629" spans="1:18" ht="12.75" customHeight="1" x14ac:dyDescent="0.2">
      <c r="A1629" s="7"/>
      <c r="B1629" s="2"/>
      <c r="C1629" s="2" t="s">
        <v>117</v>
      </c>
      <c r="D1629" s="2" t="str">
        <f>HYPERLINK("javascript:void(0)","hypnogén")</f>
        <v>hypnogén</v>
      </c>
      <c r="E1629" s="7"/>
      <c r="F1629" s="7"/>
      <c r="G1629" s="9" t="s">
        <v>2322</v>
      </c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</row>
    <row r="1630" spans="1:18" ht="12.75" customHeight="1" x14ac:dyDescent="0.2">
      <c r="A1630" s="7"/>
      <c r="B1630" s="2"/>
      <c r="C1630" s="2" t="s">
        <v>382</v>
      </c>
      <c r="D1630" s="2" t="str">
        <f>HYPERLINK("javascript:void(0)","kispárna")</f>
        <v>kispárna</v>
      </c>
      <c r="E1630" s="7"/>
      <c r="F1630" s="7"/>
      <c r="G1630" s="9" t="s">
        <v>2322</v>
      </c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</row>
    <row r="1631" spans="1:18" ht="12.75" customHeight="1" x14ac:dyDescent="0.2">
      <c r="A1631" s="7"/>
      <c r="B1631" s="2"/>
      <c r="C1631" s="2"/>
      <c r="D1631" s="2"/>
      <c r="E1631" s="7"/>
      <c r="F1631" s="7"/>
      <c r="G1631" s="9" t="s">
        <v>2322</v>
      </c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</row>
    <row r="1632" spans="1:18" ht="12.75" customHeight="1" x14ac:dyDescent="0.2">
      <c r="A1632" s="7"/>
      <c r="B1632" s="2"/>
      <c r="C1632" s="2"/>
      <c r="D1632" s="2"/>
      <c r="E1632" s="7"/>
      <c r="F1632" s="7"/>
      <c r="G1632" s="9" t="s">
        <v>2322</v>
      </c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</row>
    <row r="1633" spans="1:18" ht="12.75" customHeight="1" x14ac:dyDescent="0.2">
      <c r="A1633" s="7"/>
      <c r="B1633" s="2"/>
      <c r="C1633" s="2"/>
      <c r="D1633" s="2"/>
      <c r="E1633" s="7"/>
      <c r="F1633" s="7"/>
      <c r="G1633" s="9" t="s">
        <v>2322</v>
      </c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</row>
    <row r="1634" spans="1:18" ht="12.75" customHeight="1" x14ac:dyDescent="0.2">
      <c r="A1634" s="7"/>
      <c r="B1634" s="2"/>
      <c r="C1634" s="2"/>
      <c r="D1634" s="2"/>
      <c r="E1634" s="7"/>
      <c r="F1634" s="7"/>
      <c r="G1634" s="9" t="s">
        <v>2322</v>
      </c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</row>
    <row r="1635" spans="1:18" ht="12.75" customHeight="1" x14ac:dyDescent="0.2">
      <c r="A1635" s="7"/>
      <c r="B1635" s="2"/>
      <c r="C1635" s="2"/>
      <c r="D1635" s="2"/>
      <c r="E1635" s="7"/>
      <c r="F1635" s="7"/>
      <c r="G1635" s="9" t="s">
        <v>2322</v>
      </c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</row>
    <row r="1636" spans="1:18" ht="12.75" customHeight="1" x14ac:dyDescent="0.2">
      <c r="A1636" s="7" t="str">
        <f>HYPERLINK("javascript:void(0)","teljes ezüstvért")</f>
        <v>teljes ezüstvért</v>
      </c>
      <c r="B1636" s="7"/>
      <c r="C1636" s="7"/>
      <c r="D1636" s="7"/>
      <c r="E1636" s="7"/>
      <c r="F1636" s="7"/>
      <c r="G1636" s="9" t="s">
        <v>2322</v>
      </c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</row>
    <row r="1637" spans="1:18" ht="12.75" customHeight="1" x14ac:dyDescent="0.2">
      <c r="A1637" s="7"/>
      <c r="B1637" s="2"/>
      <c r="C1637" s="2"/>
      <c r="D1637" s="2"/>
      <c r="E1637" s="7"/>
      <c r="F1637" s="7"/>
      <c r="G1637" s="9" t="s">
        <v>2322</v>
      </c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</row>
    <row r="1638" spans="1:18" ht="12.75" customHeight="1" x14ac:dyDescent="0.2">
      <c r="A1638" s="7"/>
      <c r="B1638" s="2" t="s">
        <v>0</v>
      </c>
      <c r="C1638" s="2" t="s">
        <v>709</v>
      </c>
      <c r="D1638" s="2"/>
      <c r="E1638" s="7"/>
      <c r="F1638" s="7"/>
      <c r="G1638" s="9" t="s">
        <v>2322</v>
      </c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</row>
    <row r="1639" spans="1:18" ht="12.75" customHeight="1" x14ac:dyDescent="0.2">
      <c r="A1639" s="7"/>
      <c r="B1639" s="2" t="s">
        <v>2</v>
      </c>
      <c r="C1639" s="2" t="s">
        <v>2322</v>
      </c>
      <c r="D1639" s="2"/>
      <c r="E1639" s="7"/>
      <c r="F1639" s="7"/>
      <c r="G1639" s="9" t="s">
        <v>2322</v>
      </c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</row>
    <row r="1640" spans="1:18" ht="12.75" customHeight="1" x14ac:dyDescent="0.2">
      <c r="A1640" s="7"/>
      <c r="B1640" s="2" t="s">
        <v>1840</v>
      </c>
      <c r="C1640" s="2" t="s">
        <v>2283</v>
      </c>
      <c r="D1640" s="2"/>
      <c r="E1640" s="7"/>
      <c r="F1640" s="7"/>
      <c r="G1640" s="9" t="s">
        <v>2322</v>
      </c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</row>
    <row r="1641" spans="1:18" ht="12.75" customHeight="1" x14ac:dyDescent="0.2">
      <c r="A1641" s="7"/>
      <c r="B1641" s="2" t="s">
        <v>9</v>
      </c>
      <c r="C1641" s="2" t="s">
        <v>1986</v>
      </c>
      <c r="D1641" s="2"/>
      <c r="E1641" s="7"/>
      <c r="F1641" s="7"/>
      <c r="G1641" s="9" t="s">
        <v>2322</v>
      </c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</row>
    <row r="1642" spans="1:18" ht="12.75" customHeight="1" x14ac:dyDescent="0.2">
      <c r="A1642" s="7"/>
      <c r="B1642" s="2" t="s">
        <v>11</v>
      </c>
      <c r="C1642" s="2" t="s">
        <v>901</v>
      </c>
      <c r="D1642" s="2"/>
      <c r="E1642" s="7"/>
      <c r="F1642" s="7"/>
      <c r="G1642" s="9" t="s">
        <v>2322</v>
      </c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</row>
    <row r="1643" spans="1:18" ht="12.75" customHeight="1" x14ac:dyDescent="0.2">
      <c r="A1643" s="7"/>
      <c r="B1643" s="2" t="s">
        <v>16</v>
      </c>
      <c r="C1643" s="2"/>
      <c r="D1643" s="2"/>
      <c r="E1643" s="7"/>
      <c r="F1643" s="7"/>
      <c r="G1643" s="9" t="s">
        <v>2322</v>
      </c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</row>
    <row r="1644" spans="1:18" ht="12.75" customHeight="1" x14ac:dyDescent="0.2">
      <c r="A1644" s="7"/>
      <c r="B1644" s="2" t="s">
        <v>17</v>
      </c>
      <c r="C1644" s="2" t="s">
        <v>19</v>
      </c>
      <c r="D1644" s="2"/>
      <c r="E1644" s="7"/>
      <c r="F1644" s="7"/>
      <c r="G1644" s="9" t="s">
        <v>2322</v>
      </c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</row>
    <row r="1645" spans="1:18" ht="12.75" customHeight="1" x14ac:dyDescent="0.2">
      <c r="A1645" s="7"/>
      <c r="B1645" s="2" t="s">
        <v>18</v>
      </c>
      <c r="C1645" s="2" t="s">
        <v>44</v>
      </c>
      <c r="D1645" s="2" t="str">
        <f>HYPERLINK("javascript:void(0)","teljes vasvért")</f>
        <v>teljes vasvért</v>
      </c>
      <c r="E1645" s="7"/>
      <c r="F1645" s="7"/>
      <c r="G1645" s="9" t="s">
        <v>2322</v>
      </c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</row>
    <row r="1646" spans="1:18" ht="12.75" customHeight="1" x14ac:dyDescent="0.2">
      <c r="A1646" s="7"/>
      <c r="B1646" s="2"/>
      <c r="C1646" s="2" t="s">
        <v>232</v>
      </c>
      <c r="D1646" s="2" t="str">
        <f>HYPERLINK("javascript:void(0)","ezüströg")</f>
        <v>ezüströg</v>
      </c>
      <c r="E1646" s="7"/>
      <c r="F1646" s="7"/>
      <c r="G1646" s="9" t="s">
        <v>2322</v>
      </c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</row>
    <row r="1647" spans="1:18" ht="12.75" customHeight="1" x14ac:dyDescent="0.2">
      <c r="A1647" s="7"/>
      <c r="B1647" s="2"/>
      <c r="C1647" s="2" t="s">
        <v>68</v>
      </c>
      <c r="D1647" s="2" t="str">
        <f>HYPERLINK("javascript:void(0)","fókaprém")</f>
        <v>fókaprém</v>
      </c>
      <c r="E1647" s="7"/>
      <c r="F1647" s="7"/>
      <c r="G1647" s="9" t="s">
        <v>2322</v>
      </c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</row>
    <row r="1648" spans="1:18" ht="12.75" customHeight="1" x14ac:dyDescent="0.2">
      <c r="A1648" s="7"/>
      <c r="B1648" s="2"/>
      <c r="C1648" s="2"/>
      <c r="D1648" s="2"/>
      <c r="E1648" s="7"/>
      <c r="F1648" s="7"/>
      <c r="G1648" s="9" t="s">
        <v>2322</v>
      </c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</row>
    <row r="1649" spans="1:18" ht="12.75" customHeight="1" x14ac:dyDescent="0.2">
      <c r="A1649" s="7"/>
      <c r="B1649" s="2"/>
      <c r="C1649" s="2"/>
      <c r="D1649" s="2"/>
      <c r="E1649" s="7"/>
      <c r="F1649" s="7"/>
      <c r="G1649" s="9" t="s">
        <v>2322</v>
      </c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</row>
    <row r="1650" spans="1:18" ht="12.75" customHeight="1" x14ac:dyDescent="0.2">
      <c r="A1650" s="7"/>
      <c r="B1650" s="2"/>
      <c r="C1650" s="2"/>
      <c r="D1650" s="2"/>
      <c r="E1650" s="7"/>
      <c r="F1650" s="7"/>
      <c r="G1650" s="9" t="s">
        <v>2322</v>
      </c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</row>
    <row r="1651" spans="1:18" ht="12.75" customHeight="1" x14ac:dyDescent="0.2">
      <c r="A1651" s="7"/>
      <c r="B1651" s="2"/>
      <c r="C1651" s="2"/>
      <c r="D1651" s="2"/>
      <c r="E1651" s="7"/>
      <c r="F1651" s="7"/>
      <c r="G1651" s="9" t="s">
        <v>2322</v>
      </c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</row>
    <row r="1652" spans="1:18" ht="12.75" customHeight="1" x14ac:dyDescent="0.2">
      <c r="A1652" s="7"/>
      <c r="B1652" s="2"/>
      <c r="C1652" s="2"/>
      <c r="D1652" s="2"/>
      <c r="E1652" s="7"/>
      <c r="F1652" s="7"/>
      <c r="G1652" s="9" t="s">
        <v>2322</v>
      </c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</row>
    <row r="1653" spans="1:18" ht="12.75" customHeight="1" x14ac:dyDescent="0.2">
      <c r="A1653" s="7" t="str">
        <f>HYPERLINK("javascript:void(0)","teljes aranyvért")</f>
        <v>teljes aranyvért</v>
      </c>
      <c r="B1653" s="7"/>
      <c r="C1653" s="7"/>
      <c r="D1653" s="7"/>
      <c r="E1653" s="7"/>
      <c r="F1653" s="7"/>
      <c r="G1653" s="9" t="s">
        <v>2322</v>
      </c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</row>
    <row r="1654" spans="1:18" ht="12.75" customHeight="1" x14ac:dyDescent="0.2">
      <c r="A1654" s="7"/>
      <c r="B1654" s="2"/>
      <c r="C1654" s="2"/>
      <c r="D1654" s="2"/>
      <c r="E1654" s="7"/>
      <c r="F1654" s="7"/>
      <c r="G1654" s="9" t="s">
        <v>2322</v>
      </c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</row>
    <row r="1655" spans="1:18" ht="12.75" customHeight="1" x14ac:dyDescent="0.2">
      <c r="A1655" s="7"/>
      <c r="B1655" s="2" t="s">
        <v>0</v>
      </c>
      <c r="C1655" s="2" t="s">
        <v>719</v>
      </c>
      <c r="D1655" s="2"/>
      <c r="E1655" s="7"/>
      <c r="F1655" s="7"/>
      <c r="G1655" s="9" t="s">
        <v>2322</v>
      </c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</row>
    <row r="1656" spans="1:18" ht="12.75" customHeight="1" x14ac:dyDescent="0.2">
      <c r="A1656" s="7"/>
      <c r="B1656" s="2" t="s">
        <v>2</v>
      </c>
      <c r="C1656" s="2" t="s">
        <v>2322</v>
      </c>
      <c r="D1656" s="2"/>
      <c r="E1656" s="7"/>
      <c r="F1656" s="7"/>
      <c r="G1656" s="9" t="s">
        <v>2322</v>
      </c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</row>
    <row r="1657" spans="1:18" ht="12.75" customHeight="1" x14ac:dyDescent="0.2">
      <c r="A1657" s="7"/>
      <c r="B1657" s="2" t="s">
        <v>1840</v>
      </c>
      <c r="C1657" s="2" t="s">
        <v>2463</v>
      </c>
      <c r="D1657" s="2"/>
      <c r="E1657" s="7"/>
      <c r="F1657" s="7"/>
      <c r="G1657" s="9" t="s">
        <v>2322</v>
      </c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</row>
    <row r="1658" spans="1:18" ht="12.75" customHeight="1" x14ac:dyDescent="0.2">
      <c r="A1658" s="7"/>
      <c r="B1658" s="2" t="s">
        <v>9</v>
      </c>
      <c r="C1658" s="2" t="s">
        <v>2464</v>
      </c>
      <c r="D1658" s="2"/>
      <c r="E1658" s="7"/>
      <c r="F1658" s="7"/>
      <c r="G1658" s="9" t="s">
        <v>2322</v>
      </c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</row>
    <row r="1659" spans="1:18" ht="12.75" customHeight="1" x14ac:dyDescent="0.2">
      <c r="A1659" s="7"/>
      <c r="B1659" s="2" t="s">
        <v>11</v>
      </c>
      <c r="C1659" s="2" t="s">
        <v>917</v>
      </c>
      <c r="D1659" s="2"/>
      <c r="E1659" s="7"/>
      <c r="F1659" s="7"/>
      <c r="G1659" s="9" t="s">
        <v>2322</v>
      </c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</row>
    <row r="1660" spans="1:18" ht="12.75" customHeight="1" x14ac:dyDescent="0.2">
      <c r="A1660" s="7"/>
      <c r="B1660" s="2" t="s">
        <v>16</v>
      </c>
      <c r="C1660" s="2"/>
      <c r="D1660" s="2"/>
      <c r="E1660" s="7"/>
      <c r="F1660" s="7"/>
      <c r="G1660" s="9" t="s">
        <v>2322</v>
      </c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</row>
    <row r="1661" spans="1:18" ht="12.75" customHeight="1" x14ac:dyDescent="0.2">
      <c r="A1661" s="7"/>
      <c r="B1661" s="2" t="s">
        <v>17</v>
      </c>
      <c r="C1661" s="2" t="s">
        <v>19</v>
      </c>
      <c r="D1661" s="2"/>
      <c r="E1661" s="7"/>
      <c r="F1661" s="7"/>
      <c r="G1661" s="9" t="s">
        <v>2322</v>
      </c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</row>
    <row r="1662" spans="1:18" ht="12.75" customHeight="1" x14ac:dyDescent="0.2">
      <c r="A1662" s="7"/>
      <c r="B1662" s="2" t="s">
        <v>18</v>
      </c>
      <c r="C1662" s="2" t="s">
        <v>232</v>
      </c>
      <c r="D1662" s="2" t="str">
        <f>HYPERLINK("javascript:void(0)","aranyrög")</f>
        <v>aranyrög</v>
      </c>
      <c r="E1662" s="7"/>
      <c r="F1662" s="7"/>
      <c r="G1662" s="9" t="s">
        <v>2322</v>
      </c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</row>
    <row r="1663" spans="1:18" ht="12.75" customHeight="1" x14ac:dyDescent="0.2">
      <c r="A1663" s="7"/>
      <c r="B1663" s="2"/>
      <c r="C1663" s="2" t="s">
        <v>68</v>
      </c>
      <c r="D1663" s="2" t="str">
        <f>HYPERLINK("javascript:void(0)","teleportige")</f>
        <v>teleportige</v>
      </c>
      <c r="E1663" s="7"/>
      <c r="F1663" s="7"/>
      <c r="G1663" s="9" t="s">
        <v>2322</v>
      </c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</row>
    <row r="1664" spans="1:18" ht="12.75" customHeight="1" x14ac:dyDescent="0.2">
      <c r="A1664" s="7"/>
      <c r="B1664" s="2"/>
      <c r="C1664" s="2" t="s">
        <v>117</v>
      </c>
      <c r="D1664" s="2" t="str">
        <f>HYPERLINK("javascript:void(0)","hőgolyó")</f>
        <v>hőgolyó</v>
      </c>
      <c r="E1664" s="7"/>
      <c r="F1664" s="7"/>
      <c r="G1664" s="9" t="s">
        <v>2322</v>
      </c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</row>
    <row r="1665" spans="1:18" ht="12.75" customHeight="1" x14ac:dyDescent="0.2">
      <c r="A1665" s="7"/>
      <c r="B1665" s="2"/>
      <c r="C1665" s="2"/>
      <c r="D1665" s="2"/>
      <c r="E1665" s="7"/>
      <c r="F1665" s="7"/>
      <c r="G1665" s="9" t="s">
        <v>2322</v>
      </c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</row>
    <row r="1666" spans="1:18" ht="12.75" customHeight="1" x14ac:dyDescent="0.2">
      <c r="A1666" s="7"/>
      <c r="B1666" s="2"/>
      <c r="C1666" s="2"/>
      <c r="D1666" s="2"/>
      <c r="E1666" s="7"/>
      <c r="F1666" s="7"/>
      <c r="G1666" s="9" t="s">
        <v>2322</v>
      </c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</row>
    <row r="1667" spans="1:18" ht="12.75" customHeight="1" x14ac:dyDescent="0.2">
      <c r="A1667" s="7"/>
      <c r="B1667" s="2"/>
      <c r="C1667" s="2"/>
      <c r="D1667" s="2"/>
      <c r="E1667" s="7"/>
      <c r="F1667" s="7"/>
      <c r="G1667" s="9" t="s">
        <v>2322</v>
      </c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</row>
    <row r="1668" spans="1:18" ht="12.75" customHeight="1" x14ac:dyDescent="0.2">
      <c r="A1668" s="7"/>
      <c r="B1668" s="2"/>
      <c r="C1668" s="2"/>
      <c r="D1668" s="2"/>
      <c r="E1668" s="7"/>
      <c r="F1668" s="7"/>
      <c r="G1668" s="9" t="s">
        <v>2322</v>
      </c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</row>
    <row r="1669" spans="1:18" ht="12.75" customHeight="1" x14ac:dyDescent="0.2">
      <c r="A1669" s="7"/>
      <c r="B1669" s="2"/>
      <c r="C1669" s="2"/>
      <c r="D1669" s="2"/>
      <c r="E1669" s="7"/>
      <c r="F1669" s="7"/>
      <c r="G1669" s="9" t="s">
        <v>2322</v>
      </c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</row>
    <row r="1670" spans="1:18" ht="12.75" customHeight="1" x14ac:dyDescent="0.2">
      <c r="A1670" s="7" t="str">
        <f>HYPERLINK("javascript:void(0)","réztalp")</f>
        <v>réztalp</v>
      </c>
      <c r="B1670" s="7"/>
      <c r="C1670" s="7"/>
      <c r="D1670" s="7"/>
      <c r="E1670" s="7"/>
      <c r="F1670" s="7"/>
      <c r="G1670" s="9" t="s">
        <v>2322</v>
      </c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</row>
    <row r="1671" spans="1:18" ht="12.75" customHeight="1" x14ac:dyDescent="0.2">
      <c r="A1671" s="7"/>
      <c r="B1671" s="2"/>
      <c r="C1671" s="2"/>
      <c r="D1671" s="2"/>
      <c r="E1671" s="7"/>
      <c r="F1671" s="7"/>
      <c r="G1671" s="9" t="s">
        <v>2322</v>
      </c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</row>
    <row r="1672" spans="1:18" ht="12.75" customHeight="1" x14ac:dyDescent="0.2">
      <c r="A1672" s="7"/>
      <c r="B1672" s="2" t="s">
        <v>0</v>
      </c>
      <c r="C1672" s="2" t="s">
        <v>719</v>
      </c>
      <c r="D1672" s="2"/>
      <c r="E1672" s="7"/>
      <c r="F1672" s="7"/>
      <c r="G1672" s="9" t="s">
        <v>2322</v>
      </c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</row>
    <row r="1673" spans="1:18" ht="12.75" customHeight="1" x14ac:dyDescent="0.2">
      <c r="A1673" s="7"/>
      <c r="B1673" s="2" t="s">
        <v>2</v>
      </c>
      <c r="C1673" s="2" t="s">
        <v>2322</v>
      </c>
      <c r="D1673" s="2"/>
      <c r="E1673" s="7"/>
      <c r="F1673" s="7"/>
      <c r="G1673" s="9" t="s">
        <v>2322</v>
      </c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</row>
    <row r="1674" spans="1:18" ht="12.75" customHeight="1" x14ac:dyDescent="0.2">
      <c r="A1674" s="7"/>
      <c r="B1674" s="2" t="s">
        <v>1840</v>
      </c>
      <c r="C1674" s="2" t="s">
        <v>417</v>
      </c>
      <c r="D1674" s="2"/>
      <c r="E1674" s="7"/>
      <c r="F1674" s="7"/>
      <c r="G1674" s="9" t="s">
        <v>2322</v>
      </c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</row>
    <row r="1675" spans="1:18" ht="12.75" customHeight="1" x14ac:dyDescent="0.2">
      <c r="A1675" s="7"/>
      <c r="B1675" s="2" t="s">
        <v>9</v>
      </c>
      <c r="C1675" s="2" t="s">
        <v>42</v>
      </c>
      <c r="D1675" s="2"/>
      <c r="E1675" s="7"/>
      <c r="F1675" s="7"/>
      <c r="G1675" s="9" t="s">
        <v>2322</v>
      </c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</row>
    <row r="1676" spans="1:18" ht="12.75" customHeight="1" x14ac:dyDescent="0.2">
      <c r="A1676" s="7"/>
      <c r="B1676" s="2" t="s">
        <v>11</v>
      </c>
      <c r="C1676" s="2" t="s">
        <v>368</v>
      </c>
      <c r="D1676" s="2"/>
      <c r="E1676" s="7"/>
      <c r="F1676" s="7"/>
      <c r="G1676" s="9" t="s">
        <v>2322</v>
      </c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</row>
    <row r="1677" spans="1:18" ht="12.75" customHeight="1" x14ac:dyDescent="0.2">
      <c r="A1677" s="7"/>
      <c r="B1677" s="2" t="s">
        <v>16</v>
      </c>
      <c r="C1677" s="2"/>
      <c r="D1677" s="2"/>
      <c r="E1677" s="7"/>
      <c r="F1677" s="7"/>
      <c r="G1677" s="9" t="s">
        <v>2322</v>
      </c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</row>
    <row r="1678" spans="1:18" ht="12.75" customHeight="1" x14ac:dyDescent="0.2">
      <c r="A1678" s="7"/>
      <c r="B1678" s="2" t="s">
        <v>17</v>
      </c>
      <c r="C1678" s="2" t="s">
        <v>19</v>
      </c>
      <c r="D1678" s="2"/>
      <c r="E1678" s="7"/>
      <c r="F1678" s="7"/>
      <c r="G1678" s="9" t="s">
        <v>2322</v>
      </c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</row>
    <row r="1679" spans="1:18" ht="12.75" customHeight="1" x14ac:dyDescent="0.2">
      <c r="A1679" s="7"/>
      <c r="B1679" s="2" t="s">
        <v>18</v>
      </c>
      <c r="C1679" s="2" t="s">
        <v>77</v>
      </c>
      <c r="D1679" s="2" t="str">
        <f>HYPERLINK("javascript:void(0)","rézrög")</f>
        <v>rézrög</v>
      </c>
      <c r="E1679" s="7"/>
      <c r="F1679" s="7"/>
      <c r="G1679" s="9" t="s">
        <v>2322</v>
      </c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</row>
    <row r="1680" spans="1:18" ht="12.75" customHeight="1" x14ac:dyDescent="0.2">
      <c r="A1680" s="7"/>
      <c r="B1680" s="2"/>
      <c r="C1680" s="2" t="s">
        <v>77</v>
      </c>
      <c r="D1680" s="2" t="str">
        <f>HYPERLINK("javascript:void(0)","nagylemez")</f>
        <v>nagylemez</v>
      </c>
      <c r="E1680" s="7"/>
      <c r="F1680" s="7"/>
      <c r="G1680" s="9" t="s">
        <v>2322</v>
      </c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</row>
    <row r="1681" spans="1:18" ht="12.75" customHeight="1" x14ac:dyDescent="0.2">
      <c r="A1681" s="7"/>
      <c r="B1681" s="2"/>
      <c r="C1681" s="2" t="s">
        <v>117</v>
      </c>
      <c r="D1681" s="2" t="str">
        <f>HYPERLINK("javascript:void(0)","negatívum")</f>
        <v>negatívum</v>
      </c>
      <c r="E1681" s="7"/>
      <c r="F1681" s="7"/>
      <c r="G1681" s="9" t="s">
        <v>2322</v>
      </c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</row>
    <row r="1682" spans="1:18" ht="12.75" customHeight="1" x14ac:dyDescent="0.2">
      <c r="A1682" s="7"/>
      <c r="B1682" s="2"/>
      <c r="C1682" s="2"/>
      <c r="D1682" s="2"/>
      <c r="E1682" s="7"/>
      <c r="F1682" s="7"/>
      <c r="G1682" s="9" t="s">
        <v>2322</v>
      </c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</row>
    <row r="1683" spans="1:18" ht="12.75" customHeight="1" x14ac:dyDescent="0.2">
      <c r="A1683" s="7"/>
      <c r="B1683" s="2"/>
      <c r="C1683" s="2"/>
      <c r="D1683" s="2"/>
      <c r="E1683" s="7"/>
      <c r="F1683" s="7"/>
      <c r="G1683" s="9" t="s">
        <v>2322</v>
      </c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</row>
    <row r="1684" spans="1:18" ht="12.75" customHeight="1" x14ac:dyDescent="0.2">
      <c r="A1684" s="7"/>
      <c r="B1684" s="2"/>
      <c r="C1684" s="2"/>
      <c r="D1684" s="2"/>
      <c r="E1684" s="7"/>
      <c r="F1684" s="7"/>
      <c r="G1684" s="9" t="s">
        <v>2322</v>
      </c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</row>
    <row r="1685" spans="1:18" ht="12.75" customHeight="1" x14ac:dyDescent="0.2">
      <c r="A1685" s="7"/>
      <c r="B1685" s="2"/>
      <c r="C1685" s="2"/>
      <c r="D1685" s="2"/>
      <c r="E1685" s="7"/>
      <c r="F1685" s="7"/>
      <c r="G1685" s="9" t="s">
        <v>2322</v>
      </c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</row>
    <row r="1686" spans="1:18" ht="12.75" customHeight="1" x14ac:dyDescent="0.2">
      <c r="A1686" s="7"/>
      <c r="B1686" s="2"/>
      <c r="C1686" s="2"/>
      <c r="D1686" s="2"/>
      <c r="E1686" s="7"/>
      <c r="F1686" s="7"/>
      <c r="G1686" s="9" t="s">
        <v>2322</v>
      </c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</row>
    <row r="1687" spans="1:18" ht="12.75" customHeight="1" x14ac:dyDescent="0.2">
      <c r="A1687" s="7" t="str">
        <f>HYPERLINK("javascript:void(0)","csillámló sárkánypáncél")</f>
        <v>csillámló sárkánypáncél</v>
      </c>
      <c r="B1687" s="7"/>
      <c r="C1687" s="7"/>
      <c r="D1687" s="7"/>
      <c r="E1687" s="7"/>
      <c r="F1687" s="7"/>
      <c r="G1687" s="9" t="s">
        <v>2322</v>
      </c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</row>
    <row r="1688" spans="1:18" ht="12.75" customHeight="1" x14ac:dyDescent="0.2">
      <c r="A1688" s="7"/>
      <c r="B1688" s="2"/>
      <c r="C1688" s="2"/>
      <c r="D1688" s="2"/>
      <c r="E1688" s="7"/>
      <c r="F1688" s="7"/>
      <c r="G1688" s="9" t="s">
        <v>2322</v>
      </c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</row>
    <row r="1689" spans="1:18" ht="12.75" customHeight="1" x14ac:dyDescent="0.2">
      <c r="A1689" s="7"/>
      <c r="B1689" s="2" t="s">
        <v>0</v>
      </c>
      <c r="C1689" s="2" t="s">
        <v>719</v>
      </c>
      <c r="D1689" s="2"/>
      <c r="E1689" s="7"/>
      <c r="F1689" s="7"/>
      <c r="G1689" s="9" t="s">
        <v>2322</v>
      </c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</row>
    <row r="1690" spans="1:18" ht="12.75" customHeight="1" x14ac:dyDescent="0.2">
      <c r="A1690" s="7"/>
      <c r="B1690" s="2" t="s">
        <v>2</v>
      </c>
      <c r="C1690" s="2" t="s">
        <v>2322</v>
      </c>
      <c r="D1690" s="2"/>
      <c r="E1690" s="7"/>
      <c r="F1690" s="7"/>
      <c r="G1690" s="9" t="s">
        <v>2322</v>
      </c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</row>
    <row r="1691" spans="1:18" ht="12.75" customHeight="1" x14ac:dyDescent="0.2">
      <c r="A1691" s="7"/>
      <c r="B1691" s="2" t="s">
        <v>1840</v>
      </c>
      <c r="C1691" s="2" t="s">
        <v>2280</v>
      </c>
      <c r="D1691" s="2"/>
      <c r="E1691" s="7"/>
      <c r="F1691" s="7"/>
      <c r="G1691" s="9" t="s">
        <v>2322</v>
      </c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</row>
    <row r="1692" spans="1:18" ht="12.75" customHeight="1" x14ac:dyDescent="0.2">
      <c r="A1692" s="7"/>
      <c r="B1692" s="2" t="s">
        <v>9</v>
      </c>
      <c r="C1692" s="2" t="s">
        <v>2155</v>
      </c>
      <c r="D1692" s="2"/>
      <c r="E1692" s="7"/>
      <c r="F1692" s="7"/>
      <c r="G1692" s="9" t="s">
        <v>2322</v>
      </c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</row>
    <row r="1693" spans="1:18" ht="12.75" customHeight="1" x14ac:dyDescent="0.2">
      <c r="A1693" s="7"/>
      <c r="B1693" s="2" t="s">
        <v>11</v>
      </c>
      <c r="C1693" s="2" t="s">
        <v>917</v>
      </c>
      <c r="D1693" s="2"/>
      <c r="E1693" s="7"/>
      <c r="F1693" s="7"/>
      <c r="G1693" s="9" t="s">
        <v>2322</v>
      </c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</row>
    <row r="1694" spans="1:18" ht="12.75" customHeight="1" x14ac:dyDescent="0.2">
      <c r="A1694" s="7"/>
      <c r="B1694" s="2" t="s">
        <v>16</v>
      </c>
      <c r="C1694" s="2"/>
      <c r="D1694" s="2"/>
      <c r="E1694" s="7"/>
      <c r="F1694" s="7"/>
      <c r="G1694" s="9" t="s">
        <v>2322</v>
      </c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</row>
    <row r="1695" spans="1:18" ht="12.75" customHeight="1" x14ac:dyDescent="0.2">
      <c r="A1695" s="7"/>
      <c r="B1695" s="2" t="s">
        <v>17</v>
      </c>
      <c r="C1695" s="2" t="s">
        <v>19</v>
      </c>
      <c r="D1695" s="2"/>
      <c r="E1695" s="7"/>
      <c r="F1695" s="7"/>
      <c r="G1695" s="9" t="s">
        <v>2322</v>
      </c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</row>
    <row r="1696" spans="1:18" ht="12.75" customHeight="1" x14ac:dyDescent="0.2">
      <c r="A1696" s="7"/>
      <c r="B1696" s="2" t="s">
        <v>18</v>
      </c>
      <c r="C1696" s="2" t="s">
        <v>57</v>
      </c>
      <c r="D1696" s="2" t="str">
        <f>HYPERLINK("javascript:void(0)","csillámgöb")</f>
        <v>csillámgöb</v>
      </c>
      <c r="E1696" s="7"/>
      <c r="F1696" s="7"/>
      <c r="G1696" s="9" t="s">
        <v>2322</v>
      </c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</row>
    <row r="1697" spans="1:18" ht="12.75" customHeight="1" x14ac:dyDescent="0.2">
      <c r="A1697" s="7"/>
      <c r="B1697" s="2"/>
      <c r="C1697" s="2" t="s">
        <v>44</v>
      </c>
      <c r="D1697" s="2" t="str">
        <f>HYPERLINK("javascript:void(0)","csillámló démonpáncél")</f>
        <v>csillámló démonpáncél</v>
      </c>
      <c r="E1697" s="7"/>
      <c r="F1697" s="7"/>
      <c r="G1697" s="9" t="s">
        <v>2322</v>
      </c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</row>
    <row r="1698" spans="1:18" ht="12.75" customHeight="1" x14ac:dyDescent="0.2">
      <c r="A1698" s="7"/>
      <c r="B1698" s="2"/>
      <c r="C1698" s="2" t="s">
        <v>786</v>
      </c>
      <c r="D1698" s="2" t="str">
        <f>HYPERLINK("javascript:void(0)","trolltartó")</f>
        <v>trolltartó</v>
      </c>
      <c r="E1698" s="7"/>
      <c r="F1698" s="7"/>
      <c r="G1698" s="9" t="s">
        <v>2322</v>
      </c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</row>
    <row r="1699" spans="1:18" ht="12.75" customHeight="1" x14ac:dyDescent="0.2">
      <c r="A1699" s="7"/>
      <c r="B1699" s="2"/>
      <c r="C1699" s="2"/>
      <c r="D1699" s="2"/>
      <c r="E1699" s="7"/>
      <c r="F1699" s="7"/>
      <c r="G1699" s="9" t="s">
        <v>2322</v>
      </c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</row>
    <row r="1700" spans="1:18" ht="12.75" customHeight="1" x14ac:dyDescent="0.2">
      <c r="A1700" s="7"/>
      <c r="B1700" s="2"/>
      <c r="C1700" s="2"/>
      <c r="D1700" s="2"/>
      <c r="E1700" s="7"/>
      <c r="F1700" s="7"/>
      <c r="G1700" s="9" t="s">
        <v>2322</v>
      </c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</row>
    <row r="1701" spans="1:18" ht="12.75" customHeight="1" x14ac:dyDescent="0.2">
      <c r="A1701" s="7"/>
      <c r="B1701" s="2"/>
      <c r="C1701" s="2"/>
      <c r="D1701" s="2"/>
      <c r="E1701" s="7"/>
      <c r="F1701" s="7"/>
      <c r="G1701" s="9" t="s">
        <v>2322</v>
      </c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</row>
    <row r="1702" spans="1:18" ht="12.75" customHeight="1" x14ac:dyDescent="0.2">
      <c r="A1702" s="7"/>
      <c r="B1702" s="2"/>
      <c r="C1702" s="2"/>
      <c r="D1702" s="2"/>
      <c r="E1702" s="7"/>
      <c r="F1702" s="7"/>
      <c r="G1702" s="9" t="s">
        <v>2322</v>
      </c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</row>
    <row r="1703" spans="1:18" ht="12.75" customHeight="1" x14ac:dyDescent="0.2">
      <c r="A1703" s="7"/>
      <c r="B1703" s="2"/>
      <c r="C1703" s="2"/>
      <c r="D1703" s="2"/>
      <c r="E1703" s="7"/>
      <c r="F1703" s="7"/>
      <c r="G1703" s="9" t="s">
        <v>2322</v>
      </c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</row>
    <row r="1704" spans="1:18" ht="12.75" customHeight="1" x14ac:dyDescent="0.2">
      <c r="A1704" s="7" t="str">
        <f>HYPERLINK("javascript:void(0)","teljes smaragdvért")</f>
        <v>teljes smaragdvért</v>
      </c>
      <c r="B1704" s="7"/>
      <c r="C1704" s="7"/>
      <c r="D1704" s="7"/>
      <c r="E1704" s="7"/>
      <c r="F1704" s="7"/>
      <c r="G1704" s="9" t="s">
        <v>2322</v>
      </c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</row>
    <row r="1705" spans="1:18" ht="12.75" customHeight="1" x14ac:dyDescent="0.2">
      <c r="A1705" s="7"/>
      <c r="B1705" s="2"/>
      <c r="C1705" s="2"/>
      <c r="D1705" s="2"/>
      <c r="E1705" s="7"/>
      <c r="F1705" s="7"/>
      <c r="G1705" s="9" t="s">
        <v>2322</v>
      </c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</row>
    <row r="1706" spans="1:18" ht="12.75" customHeight="1" x14ac:dyDescent="0.2">
      <c r="A1706" s="7"/>
      <c r="B1706" s="2" t="s">
        <v>0</v>
      </c>
      <c r="C1706" s="2" t="s">
        <v>728</v>
      </c>
      <c r="D1706" s="2"/>
      <c r="E1706" s="7"/>
      <c r="F1706" s="7"/>
      <c r="G1706" s="9" t="s">
        <v>2322</v>
      </c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</row>
    <row r="1707" spans="1:18" ht="12.75" customHeight="1" x14ac:dyDescent="0.2">
      <c r="A1707" s="7"/>
      <c r="B1707" s="2" t="s">
        <v>2</v>
      </c>
      <c r="C1707" s="2" t="s">
        <v>2322</v>
      </c>
      <c r="D1707" s="2"/>
      <c r="E1707" s="7"/>
      <c r="F1707" s="7"/>
      <c r="G1707" s="9" t="s">
        <v>2322</v>
      </c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</row>
    <row r="1708" spans="1:18" ht="12.75" customHeight="1" x14ac:dyDescent="0.2">
      <c r="A1708" s="7"/>
      <c r="B1708" s="2" t="s">
        <v>1840</v>
      </c>
      <c r="C1708" s="2" t="s">
        <v>2466</v>
      </c>
      <c r="D1708" s="2"/>
      <c r="E1708" s="7"/>
      <c r="F1708" s="7"/>
      <c r="G1708" s="9" t="s">
        <v>2322</v>
      </c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</row>
    <row r="1709" spans="1:18" ht="12.75" customHeight="1" x14ac:dyDescent="0.2">
      <c r="A1709" s="7"/>
      <c r="B1709" s="2" t="s">
        <v>9</v>
      </c>
      <c r="C1709" s="2" t="s">
        <v>1991</v>
      </c>
      <c r="D1709" s="2"/>
      <c r="E1709" s="7"/>
      <c r="F1709" s="7"/>
      <c r="G1709" s="9" t="s">
        <v>2322</v>
      </c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</row>
    <row r="1710" spans="1:18" ht="12.75" customHeight="1" x14ac:dyDescent="0.2">
      <c r="A1710" s="7"/>
      <c r="B1710" s="2" t="s">
        <v>11</v>
      </c>
      <c r="C1710" s="2" t="s">
        <v>939</v>
      </c>
      <c r="D1710" s="2"/>
      <c r="E1710" s="7"/>
      <c r="F1710" s="7"/>
      <c r="G1710" s="9" t="s">
        <v>2322</v>
      </c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</row>
    <row r="1711" spans="1:18" ht="12.75" customHeight="1" x14ac:dyDescent="0.2">
      <c r="A1711" s="7"/>
      <c r="B1711" s="2" t="s">
        <v>16</v>
      </c>
      <c r="C1711" s="2"/>
      <c r="D1711" s="2"/>
      <c r="E1711" s="7"/>
      <c r="F1711" s="7"/>
      <c r="G1711" s="9" t="s">
        <v>2322</v>
      </c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</row>
    <row r="1712" spans="1:18" ht="12.75" customHeight="1" x14ac:dyDescent="0.2">
      <c r="A1712" s="7"/>
      <c r="B1712" s="2" t="s">
        <v>17</v>
      </c>
      <c r="C1712" s="2" t="s">
        <v>19</v>
      </c>
      <c r="D1712" s="2"/>
      <c r="E1712" s="7"/>
      <c r="F1712" s="7"/>
      <c r="G1712" s="9" t="s">
        <v>2322</v>
      </c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</row>
    <row r="1713" spans="1:18" ht="12.75" customHeight="1" x14ac:dyDescent="0.2">
      <c r="A1713" s="7"/>
      <c r="B1713" s="2" t="s">
        <v>18</v>
      </c>
      <c r="C1713" s="2" t="s">
        <v>44</v>
      </c>
      <c r="D1713" s="2" t="str">
        <f>HYPERLINK("javascript:void(0)","teljes ezüstvért")</f>
        <v>teljes ezüstvért</v>
      </c>
      <c r="E1713" s="7"/>
      <c r="F1713" s="7"/>
      <c r="G1713" s="9" t="s">
        <v>2322</v>
      </c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</row>
    <row r="1714" spans="1:18" ht="12.75" customHeight="1" x14ac:dyDescent="0.2">
      <c r="A1714" s="7"/>
      <c r="B1714" s="2"/>
      <c r="C1714" s="2" t="s">
        <v>44</v>
      </c>
      <c r="D1714" s="2" t="str">
        <f>HYPERLINK("javascript:void(0)","teljes aranyvért")</f>
        <v>teljes aranyvért</v>
      </c>
      <c r="E1714" s="7"/>
      <c r="F1714" s="7"/>
      <c r="G1714" s="9" t="s">
        <v>2322</v>
      </c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</row>
    <row r="1715" spans="1:18" ht="12.75" customHeight="1" x14ac:dyDescent="0.2">
      <c r="A1715" s="7"/>
      <c r="B1715" s="2"/>
      <c r="C1715" s="2" t="s">
        <v>44</v>
      </c>
      <c r="D1715" s="2" t="str">
        <f>HYPERLINK("javascript:void(0)","smaragd vállap")</f>
        <v>smaragd vállap</v>
      </c>
      <c r="E1715" s="7"/>
      <c r="F1715" s="7"/>
      <c r="G1715" s="9" t="s">
        <v>2322</v>
      </c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</row>
    <row r="1716" spans="1:18" ht="12.75" customHeight="1" x14ac:dyDescent="0.2">
      <c r="A1716" s="7"/>
      <c r="B1716" s="2"/>
      <c r="C1716" s="2"/>
      <c r="D1716" s="2"/>
      <c r="E1716" s="7"/>
      <c r="F1716" s="7"/>
      <c r="G1716" s="9" t="s">
        <v>2322</v>
      </c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</row>
    <row r="1717" spans="1:18" ht="12.75" customHeight="1" x14ac:dyDescent="0.2">
      <c r="A1717" s="7"/>
      <c r="B1717" s="2"/>
      <c r="C1717" s="2"/>
      <c r="D1717" s="2"/>
      <c r="E1717" s="7"/>
      <c r="F1717" s="7"/>
      <c r="G1717" s="9" t="s">
        <v>2322</v>
      </c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</row>
    <row r="1718" spans="1:18" ht="12.75" customHeight="1" x14ac:dyDescent="0.2">
      <c r="A1718" s="7"/>
      <c r="B1718" s="2"/>
      <c r="C1718" s="2"/>
      <c r="D1718" s="2"/>
      <c r="E1718" s="7"/>
      <c r="F1718" s="7"/>
      <c r="G1718" s="9" t="s">
        <v>2322</v>
      </c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</row>
    <row r="1719" spans="1:18" ht="12.75" customHeight="1" x14ac:dyDescent="0.2">
      <c r="A1719" s="7"/>
      <c r="B1719" s="2"/>
      <c r="C1719" s="2"/>
      <c r="D1719" s="2"/>
      <c r="E1719" s="7"/>
      <c r="F1719" s="7"/>
      <c r="G1719" s="9" t="s">
        <v>2322</v>
      </c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</row>
    <row r="1720" spans="1:18" ht="12.75" customHeight="1" x14ac:dyDescent="0.2">
      <c r="A1720" s="7"/>
      <c r="B1720" s="2"/>
      <c r="C1720" s="2"/>
      <c r="D1720" s="2"/>
      <c r="E1720" s="7"/>
      <c r="F1720" s="7"/>
      <c r="G1720" s="9" t="s">
        <v>2322</v>
      </c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</row>
    <row r="1721" spans="1:18" ht="12.75" customHeight="1" x14ac:dyDescent="0.2">
      <c r="A1721" s="7" t="str">
        <f>HYPERLINK("javascript:void(0)","teljes rubinvért")</f>
        <v>teljes rubinvért</v>
      </c>
      <c r="B1721" s="7"/>
      <c r="C1721" s="7"/>
      <c r="D1721" s="7"/>
      <c r="E1721" s="7"/>
      <c r="F1721" s="7"/>
      <c r="G1721" s="9" t="s">
        <v>2322</v>
      </c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</row>
    <row r="1722" spans="1:18" ht="12.75" customHeight="1" x14ac:dyDescent="0.2">
      <c r="A1722" s="7"/>
      <c r="B1722" s="2"/>
      <c r="C1722" s="2"/>
      <c r="D1722" s="2"/>
      <c r="E1722" s="7"/>
      <c r="F1722" s="7"/>
      <c r="G1722" s="9" t="s">
        <v>2322</v>
      </c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</row>
    <row r="1723" spans="1:18" ht="12.75" customHeight="1" x14ac:dyDescent="0.2">
      <c r="A1723" s="7"/>
      <c r="B1723" s="2" t="s">
        <v>0</v>
      </c>
      <c r="C1723" s="2" t="s">
        <v>78</v>
      </c>
      <c r="D1723" s="2"/>
      <c r="E1723" s="7"/>
      <c r="F1723" s="7"/>
      <c r="G1723" s="9" t="s">
        <v>2322</v>
      </c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</row>
    <row r="1724" spans="1:18" ht="12.75" customHeight="1" x14ac:dyDescent="0.2">
      <c r="A1724" s="7"/>
      <c r="B1724" s="2" t="s">
        <v>2</v>
      </c>
      <c r="C1724" s="2" t="s">
        <v>2322</v>
      </c>
      <c r="D1724" s="2"/>
      <c r="E1724" s="7"/>
      <c r="F1724" s="7"/>
      <c r="G1724" s="9" t="s">
        <v>2322</v>
      </c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</row>
    <row r="1725" spans="1:18" ht="12.75" customHeight="1" x14ac:dyDescent="0.2">
      <c r="A1725" s="7"/>
      <c r="B1725" s="2" t="s">
        <v>1840</v>
      </c>
      <c r="C1725" s="2" t="s">
        <v>2467</v>
      </c>
      <c r="D1725" s="2"/>
      <c r="E1725" s="7"/>
      <c r="F1725" s="7"/>
      <c r="G1725" s="9" t="s">
        <v>2322</v>
      </c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</row>
    <row r="1726" spans="1:18" ht="12.75" customHeight="1" x14ac:dyDescent="0.2">
      <c r="A1726" s="7"/>
      <c r="B1726" s="2" t="s">
        <v>9</v>
      </c>
      <c r="C1726" s="2" t="s">
        <v>2080</v>
      </c>
      <c r="D1726" s="2"/>
      <c r="E1726" s="7"/>
      <c r="F1726" s="7"/>
      <c r="G1726" s="9" t="s">
        <v>2322</v>
      </c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</row>
    <row r="1727" spans="1:18" ht="12.75" customHeight="1" x14ac:dyDescent="0.2">
      <c r="A1727" s="7"/>
      <c r="B1727" s="2" t="s">
        <v>11</v>
      </c>
      <c r="C1727" s="2" t="s">
        <v>956</v>
      </c>
      <c r="D1727" s="2"/>
      <c r="E1727" s="7"/>
      <c r="F1727" s="7"/>
      <c r="G1727" s="9" t="s">
        <v>2322</v>
      </c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</row>
    <row r="1728" spans="1:18" ht="12.75" customHeight="1" x14ac:dyDescent="0.2">
      <c r="A1728" s="7"/>
      <c r="B1728" s="2" t="s">
        <v>16</v>
      </c>
      <c r="C1728" s="2"/>
      <c r="D1728" s="2"/>
      <c r="E1728" s="7"/>
      <c r="F1728" s="7"/>
      <c r="G1728" s="9" t="s">
        <v>2322</v>
      </c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</row>
    <row r="1729" spans="1:18" ht="12.75" customHeight="1" x14ac:dyDescent="0.2">
      <c r="A1729" s="7"/>
      <c r="B1729" s="2" t="s">
        <v>17</v>
      </c>
      <c r="C1729" s="2" t="s">
        <v>19</v>
      </c>
      <c r="D1729" s="2"/>
      <c r="E1729" s="7"/>
      <c r="F1729" s="7"/>
      <c r="G1729" s="9" t="s">
        <v>2322</v>
      </c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</row>
    <row r="1730" spans="1:18" ht="12.75" customHeight="1" x14ac:dyDescent="0.2">
      <c r="A1730" s="7"/>
      <c r="B1730" s="2" t="s">
        <v>18</v>
      </c>
      <c r="C1730" s="2" t="s">
        <v>44</v>
      </c>
      <c r="D1730" s="2" t="str">
        <f>HYPERLINK("javascript:void(0)","teljes smaragdvért")</f>
        <v>teljes smaragdvért</v>
      </c>
      <c r="E1730" s="7"/>
      <c r="F1730" s="7"/>
      <c r="G1730" s="9" t="s">
        <v>2322</v>
      </c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</row>
    <row r="1731" spans="1:18" ht="12.75" customHeight="1" x14ac:dyDescent="0.2">
      <c r="A1731" s="7"/>
      <c r="B1731" s="2"/>
      <c r="C1731" s="2" t="s">
        <v>68</v>
      </c>
      <c r="D1731" s="2" t="str">
        <f>HYPERLINK("javascript:void(0)","hátszarv")</f>
        <v>hátszarv</v>
      </c>
      <c r="E1731" s="7"/>
      <c r="F1731" s="7"/>
      <c r="G1731" s="9" t="s">
        <v>2322</v>
      </c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</row>
    <row r="1732" spans="1:18" ht="12.75" customHeight="1" x14ac:dyDescent="0.2">
      <c r="A1732" s="7"/>
      <c r="B1732" s="2"/>
      <c r="C1732" s="2" t="s">
        <v>98</v>
      </c>
      <c r="D1732" s="2" t="str">
        <f>HYPERLINK("javascript:void(0)","negatívum")</f>
        <v>negatívum</v>
      </c>
      <c r="E1732" s="7"/>
      <c r="F1732" s="7"/>
      <c r="G1732" s="9" t="s">
        <v>2322</v>
      </c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</row>
    <row r="1733" spans="1:18" ht="12.75" customHeight="1" x14ac:dyDescent="0.2">
      <c r="A1733" s="7"/>
      <c r="B1733" s="2"/>
      <c r="C1733" s="2"/>
      <c r="D1733" s="2"/>
      <c r="E1733" s="7"/>
      <c r="F1733" s="7"/>
      <c r="G1733" s="9" t="s">
        <v>2322</v>
      </c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</row>
    <row r="1734" spans="1:18" ht="12.75" customHeight="1" x14ac:dyDescent="0.2">
      <c r="A1734" s="7"/>
      <c r="B1734" s="2"/>
      <c r="C1734" s="2"/>
      <c r="D1734" s="2"/>
      <c r="E1734" s="7"/>
      <c r="F1734" s="7"/>
      <c r="G1734" s="9" t="s">
        <v>2322</v>
      </c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</row>
    <row r="1735" spans="1:18" ht="12.75" customHeight="1" x14ac:dyDescent="0.2">
      <c r="A1735" s="7"/>
      <c r="B1735" s="2"/>
      <c r="C1735" s="2"/>
      <c r="D1735" s="2"/>
      <c r="E1735" s="7"/>
      <c r="F1735" s="7"/>
      <c r="G1735" s="9" t="s">
        <v>2322</v>
      </c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</row>
    <row r="1736" spans="1:18" ht="12.75" customHeight="1" x14ac:dyDescent="0.2">
      <c r="A1736" s="7"/>
      <c r="B1736" s="2"/>
      <c r="C1736" s="2"/>
      <c r="D1736" s="2"/>
      <c r="E1736" s="7"/>
      <c r="F1736" s="7"/>
      <c r="G1736" s="9" t="s">
        <v>2322</v>
      </c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</row>
    <row r="1737" spans="1:18" ht="12.75" customHeight="1" x14ac:dyDescent="0.2">
      <c r="A1737" s="7"/>
      <c r="B1737" s="2"/>
      <c r="C1737" s="2"/>
      <c r="D1737" s="2"/>
      <c r="E1737" s="7"/>
      <c r="F1737" s="7"/>
      <c r="G1737" s="9" t="s">
        <v>2322</v>
      </c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</row>
    <row r="1738" spans="1:18" ht="12.75" customHeight="1" x14ac:dyDescent="0.2">
      <c r="A1738" s="7" t="str">
        <f>HYPERLINK("javascript:void(0)","serte rostély")</f>
        <v>serte rostély</v>
      </c>
      <c r="B1738" s="7"/>
      <c r="C1738" s="7"/>
      <c r="D1738" s="7"/>
      <c r="E1738" s="7"/>
      <c r="F1738" s="7"/>
      <c r="G1738" s="9" t="s">
        <v>2322</v>
      </c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</row>
    <row r="1739" spans="1:18" ht="12.75" customHeight="1" x14ac:dyDescent="0.2">
      <c r="A1739" s="7"/>
      <c r="B1739" s="2"/>
      <c r="C1739" s="2"/>
      <c r="D1739" s="2"/>
      <c r="E1739" s="7"/>
      <c r="F1739" s="7"/>
      <c r="G1739" s="9" t="s">
        <v>2322</v>
      </c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</row>
    <row r="1740" spans="1:18" ht="12.75" customHeight="1" x14ac:dyDescent="0.2">
      <c r="A1740" s="7"/>
      <c r="B1740" s="2" t="s">
        <v>0</v>
      </c>
      <c r="C1740" s="2" t="s">
        <v>78</v>
      </c>
      <c r="D1740" s="2"/>
      <c r="E1740" s="7"/>
      <c r="F1740" s="7"/>
      <c r="G1740" s="9" t="s">
        <v>2322</v>
      </c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</row>
    <row r="1741" spans="1:18" ht="12.75" customHeight="1" x14ac:dyDescent="0.2">
      <c r="A1741" s="7"/>
      <c r="B1741" s="2" t="s">
        <v>2</v>
      </c>
      <c r="C1741" s="2" t="s">
        <v>2322</v>
      </c>
      <c r="D1741" s="2"/>
      <c r="E1741" s="7"/>
      <c r="F1741" s="7"/>
      <c r="G1741" s="9" t="s">
        <v>2322</v>
      </c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</row>
    <row r="1742" spans="1:18" ht="12.75" customHeight="1" x14ac:dyDescent="0.2">
      <c r="A1742" s="7"/>
      <c r="B1742" s="2" t="s">
        <v>1840</v>
      </c>
      <c r="C1742" s="2" t="s">
        <v>417</v>
      </c>
      <c r="D1742" s="2"/>
      <c r="E1742" s="7"/>
      <c r="F1742" s="7"/>
      <c r="G1742" s="9" t="s">
        <v>2322</v>
      </c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</row>
    <row r="1743" spans="1:18" ht="12.75" customHeight="1" x14ac:dyDescent="0.2">
      <c r="A1743" s="7"/>
      <c r="B1743" s="2" t="s">
        <v>9</v>
      </c>
      <c r="C1743" s="2" t="s">
        <v>42</v>
      </c>
      <c r="D1743" s="2"/>
      <c r="E1743" s="7"/>
      <c r="F1743" s="7"/>
      <c r="G1743" s="9" t="s">
        <v>2322</v>
      </c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</row>
    <row r="1744" spans="1:18" ht="12.75" customHeight="1" x14ac:dyDescent="0.2">
      <c r="A1744" s="7"/>
      <c r="B1744" s="2" t="s">
        <v>11</v>
      </c>
      <c r="C1744" s="2" t="s">
        <v>368</v>
      </c>
      <c r="D1744" s="2"/>
      <c r="E1744" s="7"/>
      <c r="F1744" s="7"/>
      <c r="G1744" s="9" t="s">
        <v>2322</v>
      </c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</row>
    <row r="1745" spans="1:18" ht="12.75" customHeight="1" x14ac:dyDescent="0.2">
      <c r="A1745" s="7"/>
      <c r="B1745" s="2" t="s">
        <v>16</v>
      </c>
      <c r="C1745" s="2"/>
      <c r="D1745" s="2"/>
      <c r="E1745" s="7"/>
      <c r="F1745" s="7"/>
      <c r="G1745" s="9" t="s">
        <v>2322</v>
      </c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</row>
    <row r="1746" spans="1:18" ht="12.75" customHeight="1" x14ac:dyDescent="0.2">
      <c r="A1746" s="7"/>
      <c r="B1746" s="2" t="s">
        <v>17</v>
      </c>
      <c r="C1746" s="2" t="s">
        <v>19</v>
      </c>
      <c r="D1746" s="2"/>
      <c r="E1746" s="7"/>
      <c r="F1746" s="7"/>
      <c r="G1746" s="9" t="s">
        <v>2322</v>
      </c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</row>
    <row r="1747" spans="1:18" ht="12.75" customHeight="1" x14ac:dyDescent="0.2">
      <c r="A1747" s="7"/>
      <c r="B1747" s="2" t="s">
        <v>18</v>
      </c>
      <c r="C1747" s="2" t="s">
        <v>309</v>
      </c>
      <c r="D1747" s="2" t="str">
        <f>HYPERLINK("javascript:void(0)","serte")</f>
        <v>serte</v>
      </c>
      <c r="E1747" s="7"/>
      <c r="F1747" s="7"/>
      <c r="G1747" s="9" t="s">
        <v>2322</v>
      </c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</row>
    <row r="1748" spans="1:18" ht="12.75" customHeight="1" x14ac:dyDescent="0.2">
      <c r="A1748" s="7"/>
      <c r="B1748" s="2"/>
      <c r="C1748" s="2" t="s">
        <v>163</v>
      </c>
      <c r="D1748" s="2" t="str">
        <f>HYPERLINK("javascript:void(0)","pamacsprém")</f>
        <v>pamacsprém</v>
      </c>
      <c r="E1748" s="7"/>
      <c r="F1748" s="7"/>
      <c r="G1748" s="9" t="s">
        <v>2322</v>
      </c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</row>
    <row r="1749" spans="1:18" ht="12.75" customHeight="1" x14ac:dyDescent="0.2">
      <c r="A1749" s="7"/>
      <c r="B1749" s="2"/>
      <c r="C1749" s="2" t="s">
        <v>382</v>
      </c>
      <c r="D1749" s="2" t="str">
        <f>HYPERLINK("javascript:void(0)","kispárna")</f>
        <v>kispárna</v>
      </c>
      <c r="E1749" s="7"/>
      <c r="F1749" s="7"/>
      <c r="G1749" s="9" t="s">
        <v>2322</v>
      </c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</row>
    <row r="1750" spans="1:18" ht="12.75" customHeight="1" x14ac:dyDescent="0.2">
      <c r="A1750" s="7"/>
      <c r="B1750" s="2"/>
      <c r="C1750" s="2"/>
      <c r="D1750" s="2"/>
      <c r="E1750" s="7"/>
      <c r="F1750" s="7"/>
      <c r="G1750" s="9" t="s">
        <v>2322</v>
      </c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</row>
    <row r="1751" spans="1:18" ht="12.75" customHeight="1" x14ac:dyDescent="0.2">
      <c r="A1751" s="7"/>
      <c r="B1751" s="2"/>
      <c r="C1751" s="2"/>
      <c r="D1751" s="2"/>
      <c r="E1751" s="7"/>
      <c r="F1751" s="7"/>
      <c r="G1751" s="9" t="s">
        <v>2322</v>
      </c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</row>
    <row r="1752" spans="1:18" ht="12.75" customHeight="1" x14ac:dyDescent="0.2">
      <c r="A1752" s="7"/>
      <c r="B1752" s="2"/>
      <c r="C1752" s="2"/>
      <c r="D1752" s="2"/>
      <c r="E1752" s="7"/>
      <c r="F1752" s="7"/>
      <c r="G1752" s="9" t="s">
        <v>2322</v>
      </c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</row>
    <row r="1753" spans="1:18" ht="12.75" customHeight="1" x14ac:dyDescent="0.2">
      <c r="A1753" s="7"/>
      <c r="B1753" s="2"/>
      <c r="C1753" s="2"/>
      <c r="D1753" s="2"/>
      <c r="E1753" s="7"/>
      <c r="F1753" s="7"/>
      <c r="G1753" s="9" t="s">
        <v>2322</v>
      </c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</row>
    <row r="1754" spans="1:18" ht="12.75" customHeight="1" x14ac:dyDescent="0.2">
      <c r="A1754" s="7"/>
      <c r="B1754" s="2"/>
      <c r="C1754" s="2"/>
      <c r="D1754" s="2"/>
      <c r="E1754" s="7"/>
      <c r="F1754" s="7"/>
      <c r="G1754" s="9" t="s">
        <v>2322</v>
      </c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</row>
    <row r="1755" spans="1:18" ht="12.75" customHeight="1" x14ac:dyDescent="0.2">
      <c r="A1755" s="7" t="str">
        <f>HYPERLINK("javascript:void(0)","teljes gyémántvért")</f>
        <v>teljes gyémántvért</v>
      </c>
      <c r="B1755" s="7"/>
      <c r="C1755" s="7"/>
      <c r="D1755" s="7"/>
      <c r="E1755" s="7"/>
      <c r="F1755" s="7"/>
      <c r="G1755" s="9" t="s">
        <v>2322</v>
      </c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</row>
    <row r="1756" spans="1:18" ht="12.75" customHeight="1" x14ac:dyDescent="0.2">
      <c r="A1756" s="7"/>
      <c r="B1756" s="2"/>
      <c r="C1756" s="2"/>
      <c r="D1756" s="2"/>
      <c r="E1756" s="7"/>
      <c r="F1756" s="7"/>
      <c r="G1756" s="9" t="s">
        <v>2322</v>
      </c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</row>
    <row r="1757" spans="1:18" ht="12.75" customHeight="1" x14ac:dyDescent="0.2">
      <c r="A1757" s="7"/>
      <c r="B1757" s="2" t="s">
        <v>0</v>
      </c>
      <c r="C1757" s="2" t="s">
        <v>73</v>
      </c>
      <c r="D1757" s="2"/>
      <c r="E1757" s="7"/>
      <c r="F1757" s="7"/>
      <c r="G1757" s="9" t="s">
        <v>2322</v>
      </c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</row>
    <row r="1758" spans="1:18" ht="12.75" customHeight="1" x14ac:dyDescent="0.2">
      <c r="A1758" s="7"/>
      <c r="B1758" s="2" t="s">
        <v>2</v>
      </c>
      <c r="C1758" s="2" t="s">
        <v>2322</v>
      </c>
      <c r="D1758" s="2"/>
      <c r="E1758" s="7"/>
      <c r="F1758" s="7"/>
      <c r="G1758" s="9" t="s">
        <v>2322</v>
      </c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</row>
    <row r="1759" spans="1:18" ht="12.75" customHeight="1" x14ac:dyDescent="0.2">
      <c r="A1759" s="7"/>
      <c r="B1759" s="2" t="s">
        <v>1840</v>
      </c>
      <c r="C1759" s="2" t="s">
        <v>2468</v>
      </c>
      <c r="D1759" s="2"/>
      <c r="E1759" s="7"/>
      <c r="F1759" s="7"/>
      <c r="G1759" s="9" t="s">
        <v>2322</v>
      </c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</row>
    <row r="1760" spans="1:18" ht="12.75" customHeight="1" x14ac:dyDescent="0.2">
      <c r="A1760" s="7"/>
      <c r="B1760" s="2" t="s">
        <v>9</v>
      </c>
      <c r="C1760" s="2" t="s">
        <v>1503</v>
      </c>
      <c r="D1760" s="2"/>
      <c r="E1760" s="7"/>
      <c r="F1760" s="7"/>
      <c r="G1760" s="9" t="s">
        <v>2322</v>
      </c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</row>
    <row r="1761" spans="1:18" ht="12.75" customHeight="1" x14ac:dyDescent="0.2">
      <c r="A1761" s="7"/>
      <c r="B1761" s="2" t="s">
        <v>11</v>
      </c>
      <c r="C1761" s="2" t="s">
        <v>973</v>
      </c>
      <c r="D1761" s="2"/>
      <c r="E1761" s="7"/>
      <c r="F1761" s="7"/>
      <c r="G1761" s="9" t="s">
        <v>2322</v>
      </c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</row>
    <row r="1762" spans="1:18" ht="12.75" customHeight="1" x14ac:dyDescent="0.2">
      <c r="A1762" s="7"/>
      <c r="B1762" s="2" t="s">
        <v>16</v>
      </c>
      <c r="C1762" s="2"/>
      <c r="D1762" s="2"/>
      <c r="E1762" s="7"/>
      <c r="F1762" s="7"/>
      <c r="G1762" s="9" t="s">
        <v>2322</v>
      </c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</row>
    <row r="1763" spans="1:18" ht="12.75" customHeight="1" x14ac:dyDescent="0.2">
      <c r="A1763" s="7"/>
      <c r="B1763" s="2" t="s">
        <v>17</v>
      </c>
      <c r="C1763" s="2" t="s">
        <v>19</v>
      </c>
      <c r="D1763" s="2"/>
      <c r="E1763" s="7"/>
      <c r="F1763" s="7"/>
      <c r="G1763" s="9" t="s">
        <v>2322</v>
      </c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</row>
    <row r="1764" spans="1:18" ht="12.75" customHeight="1" x14ac:dyDescent="0.2">
      <c r="A1764" s="7"/>
      <c r="B1764" s="2" t="s">
        <v>18</v>
      </c>
      <c r="C1764" s="2" t="s">
        <v>323</v>
      </c>
      <c r="D1764" s="2" t="str">
        <f>HYPERLINK("javascript:void(0)","gyémánt")</f>
        <v>gyémánt</v>
      </c>
      <c r="E1764" s="7"/>
      <c r="F1764" s="7"/>
      <c r="G1764" s="9" t="s">
        <v>2322</v>
      </c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</row>
    <row r="1765" spans="1:18" ht="12.75" customHeight="1" x14ac:dyDescent="0.2">
      <c r="A1765" s="7"/>
      <c r="B1765" s="2"/>
      <c r="C1765" s="2" t="s">
        <v>117</v>
      </c>
      <c r="D1765" s="2" t="str">
        <f>HYPERLINK("javascript:void(0)","nagylemez")</f>
        <v>nagylemez</v>
      </c>
      <c r="E1765" s="7"/>
      <c r="F1765" s="7"/>
      <c r="G1765" s="9" t="s">
        <v>2322</v>
      </c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</row>
    <row r="1766" spans="1:18" ht="12.75" customHeight="1" x14ac:dyDescent="0.2">
      <c r="A1766" s="7"/>
      <c r="B1766" s="2"/>
      <c r="C1766" s="2" t="s">
        <v>420</v>
      </c>
      <c r="D1766" s="2" t="str">
        <f>HYPERLINK("javascript:void(0)","orr")</f>
        <v>orr</v>
      </c>
      <c r="E1766" s="7"/>
      <c r="F1766" s="7"/>
      <c r="G1766" s="9" t="s">
        <v>2322</v>
      </c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</row>
    <row r="1767" spans="1:18" ht="12.75" customHeight="1" x14ac:dyDescent="0.2">
      <c r="A1767" s="7"/>
      <c r="B1767" s="2"/>
      <c r="C1767" s="2"/>
      <c r="D1767" s="2"/>
      <c r="E1767" s="7"/>
      <c r="F1767" s="7"/>
      <c r="G1767" s="9" t="s">
        <v>2322</v>
      </c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</row>
    <row r="1768" spans="1:18" ht="12.75" customHeight="1" x14ac:dyDescent="0.2">
      <c r="A1768" s="7"/>
      <c r="B1768" s="2"/>
      <c r="C1768" s="2"/>
      <c r="D1768" s="2"/>
      <c r="E1768" s="7"/>
      <c r="F1768" s="7"/>
      <c r="G1768" s="9" t="s">
        <v>2322</v>
      </c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</row>
    <row r="1769" spans="1:18" ht="12.75" customHeight="1" x14ac:dyDescent="0.2">
      <c r="A1769" s="7"/>
      <c r="B1769" s="2"/>
      <c r="C1769" s="2"/>
      <c r="D1769" s="2"/>
      <c r="E1769" s="7"/>
      <c r="F1769" s="7"/>
      <c r="G1769" s="9" t="s">
        <v>2322</v>
      </c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</row>
    <row r="1770" spans="1:18" ht="12.75" customHeight="1" x14ac:dyDescent="0.2">
      <c r="A1770" s="7"/>
      <c r="B1770" s="2"/>
      <c r="C1770" s="2"/>
      <c r="D1770" s="2"/>
      <c r="E1770" s="7"/>
      <c r="F1770" s="7"/>
      <c r="G1770" s="9" t="s">
        <v>2322</v>
      </c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</row>
    <row r="1771" spans="1:18" ht="12.75" customHeight="1" x14ac:dyDescent="0.2">
      <c r="A1771" s="7"/>
      <c r="B1771" s="2"/>
      <c r="C1771" s="2"/>
      <c r="D1771" s="2"/>
      <c r="E1771" s="7"/>
      <c r="F1771" s="7"/>
      <c r="G1771" s="9" t="s">
        <v>2322</v>
      </c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</row>
    <row r="1772" spans="1:18" ht="12.75" customHeight="1" x14ac:dyDescent="0.2">
      <c r="A1772" s="7" t="str">
        <f>HYPERLINK("javascript:void(0)","teljes diszprovért")</f>
        <v>teljes diszprovért</v>
      </c>
      <c r="B1772" s="7"/>
      <c r="C1772" s="7"/>
      <c r="D1772" s="7"/>
      <c r="E1772" s="7"/>
      <c r="F1772" s="7"/>
      <c r="G1772" s="9" t="s">
        <v>2322</v>
      </c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</row>
    <row r="1773" spans="1:18" ht="12.75" customHeight="1" x14ac:dyDescent="0.2">
      <c r="A1773" s="7"/>
      <c r="B1773" s="2"/>
      <c r="C1773" s="2"/>
      <c r="D1773" s="2"/>
      <c r="E1773" s="7"/>
      <c r="F1773" s="7"/>
      <c r="G1773" s="9" t="s">
        <v>2322</v>
      </c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</row>
    <row r="1774" spans="1:18" ht="12.75" customHeight="1" x14ac:dyDescent="0.2">
      <c r="A1774" s="7"/>
      <c r="B1774" s="2" t="s">
        <v>0</v>
      </c>
      <c r="C1774" s="2" t="s">
        <v>275</v>
      </c>
      <c r="D1774" s="2"/>
      <c r="E1774" s="7"/>
      <c r="F1774" s="7"/>
      <c r="G1774" s="9" t="s">
        <v>2322</v>
      </c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</row>
    <row r="1775" spans="1:18" ht="12.75" customHeight="1" x14ac:dyDescent="0.2">
      <c r="A1775" s="7"/>
      <c r="B1775" s="2" t="s">
        <v>2</v>
      </c>
      <c r="C1775" s="2" t="s">
        <v>2322</v>
      </c>
      <c r="D1775" s="2"/>
      <c r="E1775" s="7"/>
      <c r="F1775" s="7"/>
      <c r="G1775" s="9" t="s">
        <v>2322</v>
      </c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</row>
    <row r="1776" spans="1:18" ht="12.75" customHeight="1" x14ac:dyDescent="0.2">
      <c r="A1776" s="7"/>
      <c r="B1776" s="2" t="s">
        <v>1840</v>
      </c>
      <c r="C1776" s="2" t="s">
        <v>2469</v>
      </c>
      <c r="D1776" s="2"/>
      <c r="E1776" s="7"/>
      <c r="F1776" s="7"/>
      <c r="G1776" s="9" t="s">
        <v>2322</v>
      </c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</row>
    <row r="1777" spans="1:18" ht="12.75" customHeight="1" x14ac:dyDescent="0.2">
      <c r="A1777" s="7"/>
      <c r="B1777" s="2" t="s">
        <v>9</v>
      </c>
      <c r="C1777" s="2" t="s">
        <v>2470</v>
      </c>
      <c r="D1777" s="2"/>
      <c r="E1777" s="7"/>
      <c r="F1777" s="7"/>
      <c r="G1777" s="9" t="s">
        <v>2322</v>
      </c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</row>
    <row r="1778" spans="1:18" ht="12.75" customHeight="1" x14ac:dyDescent="0.2">
      <c r="A1778" s="7"/>
      <c r="B1778" s="2" t="s">
        <v>11</v>
      </c>
      <c r="C1778" s="2" t="s">
        <v>993</v>
      </c>
      <c r="D1778" s="2"/>
      <c r="E1778" s="7"/>
      <c r="F1778" s="7"/>
      <c r="G1778" s="9" t="s">
        <v>2322</v>
      </c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</row>
    <row r="1779" spans="1:18" ht="12.75" customHeight="1" x14ac:dyDescent="0.2">
      <c r="A1779" s="7"/>
      <c r="B1779" s="2" t="s">
        <v>16</v>
      </c>
      <c r="C1779" s="2"/>
      <c r="D1779" s="2"/>
      <c r="E1779" s="7"/>
      <c r="F1779" s="7"/>
      <c r="G1779" s="9" t="s">
        <v>2322</v>
      </c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</row>
    <row r="1780" spans="1:18" ht="12.75" customHeight="1" x14ac:dyDescent="0.2">
      <c r="A1780" s="7"/>
      <c r="B1780" s="2" t="s">
        <v>17</v>
      </c>
      <c r="C1780" s="2" t="s">
        <v>19</v>
      </c>
      <c r="D1780" s="2"/>
      <c r="E1780" s="7"/>
      <c r="F1780" s="7"/>
      <c r="G1780" s="9" t="s">
        <v>2322</v>
      </c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</row>
    <row r="1781" spans="1:18" ht="12.75" customHeight="1" x14ac:dyDescent="0.2">
      <c r="A1781" s="7"/>
      <c r="B1781" s="2" t="s">
        <v>18</v>
      </c>
      <c r="C1781" s="2" t="s">
        <v>44</v>
      </c>
      <c r="D1781" s="2" t="str">
        <f>HYPERLINK("javascript:void(0)","teljes rubinvért")</f>
        <v>teljes rubinvért</v>
      </c>
      <c r="E1781" s="7"/>
      <c r="F1781" s="7"/>
      <c r="G1781" s="9" t="s">
        <v>2322</v>
      </c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</row>
    <row r="1782" spans="1:18" ht="12.75" customHeight="1" x14ac:dyDescent="0.2">
      <c r="A1782" s="7"/>
      <c r="B1782" s="2"/>
      <c r="C1782" s="2" t="s">
        <v>44</v>
      </c>
      <c r="D1782" s="2" t="str">
        <f>HYPERLINK("javascript:void(0)","teljes gyémántvért")</f>
        <v>teljes gyémántvért</v>
      </c>
      <c r="E1782" s="7"/>
      <c r="F1782" s="7"/>
      <c r="G1782" s="9" t="s">
        <v>2322</v>
      </c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</row>
    <row r="1783" spans="1:18" ht="12.75" customHeight="1" x14ac:dyDescent="0.2">
      <c r="A1783" s="7"/>
      <c r="B1783" s="2"/>
      <c r="C1783" s="2" t="s">
        <v>44</v>
      </c>
      <c r="D1783" s="2" t="str">
        <f>HYPERLINK("javascript:void(0)","diszpro vállap")</f>
        <v>diszpro vállap</v>
      </c>
      <c r="E1783" s="7"/>
      <c r="F1783" s="7"/>
      <c r="G1783" s="9" t="s">
        <v>2322</v>
      </c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</row>
    <row r="1784" spans="1:18" ht="12.75" customHeight="1" x14ac:dyDescent="0.2">
      <c r="A1784" s="7"/>
      <c r="B1784" s="2"/>
      <c r="C1784" s="2"/>
      <c r="D1784" s="2"/>
      <c r="E1784" s="7"/>
      <c r="F1784" s="7"/>
      <c r="G1784" s="9" t="s">
        <v>2322</v>
      </c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</row>
    <row r="1785" spans="1:18" ht="12.75" customHeight="1" x14ac:dyDescent="0.2">
      <c r="A1785" s="7"/>
      <c r="B1785" s="2"/>
      <c r="C1785" s="2"/>
      <c r="D1785" s="2"/>
      <c r="E1785" s="7"/>
      <c r="F1785" s="7"/>
      <c r="G1785" s="9" t="s">
        <v>2322</v>
      </c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</row>
    <row r="1786" spans="1:18" ht="12.75" customHeight="1" x14ac:dyDescent="0.2">
      <c r="A1786" s="7"/>
      <c r="B1786" s="2"/>
      <c r="C1786" s="2"/>
      <c r="D1786" s="2"/>
      <c r="E1786" s="7"/>
      <c r="F1786" s="7"/>
      <c r="G1786" s="9" t="s">
        <v>2322</v>
      </c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</row>
    <row r="1787" spans="1:18" ht="12.75" customHeight="1" x14ac:dyDescent="0.2">
      <c r="A1787" s="7"/>
      <c r="B1787" s="2"/>
      <c r="C1787" s="2"/>
      <c r="D1787" s="2"/>
      <c r="E1787" s="7"/>
      <c r="F1787" s="7"/>
      <c r="G1787" s="9" t="s">
        <v>2322</v>
      </c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</row>
    <row r="1788" spans="1:18" ht="12.75" customHeight="1" x14ac:dyDescent="0.2">
      <c r="A1788" s="7"/>
      <c r="B1788" s="2"/>
      <c r="C1788" s="2"/>
      <c r="D1788" s="2"/>
      <c r="E1788" s="7"/>
      <c r="F1788" s="7"/>
      <c r="G1788" s="9" t="s">
        <v>2322</v>
      </c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</row>
    <row r="1789" spans="1:18" ht="12.75" customHeight="1" x14ac:dyDescent="0.2">
      <c r="A1789" s="7" t="str">
        <f>HYPERLINK("javascript:void(0)","diszpro vállap")</f>
        <v>diszpro vállap</v>
      </c>
      <c r="B1789" s="7"/>
      <c r="C1789" s="7"/>
      <c r="D1789" s="7"/>
      <c r="E1789" s="7"/>
      <c r="F1789" s="7"/>
      <c r="G1789" s="9" t="s">
        <v>2322</v>
      </c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</row>
    <row r="1790" spans="1:18" ht="12.75" customHeight="1" x14ac:dyDescent="0.2">
      <c r="A1790" s="7"/>
      <c r="B1790" s="2"/>
      <c r="C1790" s="2"/>
      <c r="D1790" s="2"/>
      <c r="E1790" s="7"/>
      <c r="F1790" s="7"/>
      <c r="G1790" s="9" t="s">
        <v>2322</v>
      </c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</row>
    <row r="1791" spans="1:18" ht="12.75" customHeight="1" x14ac:dyDescent="0.2">
      <c r="A1791" s="7"/>
      <c r="B1791" s="2" t="s">
        <v>0</v>
      </c>
      <c r="C1791" s="2" t="s">
        <v>275</v>
      </c>
      <c r="D1791" s="2"/>
      <c r="E1791" s="7"/>
      <c r="F1791" s="7"/>
      <c r="G1791" s="9" t="s">
        <v>2322</v>
      </c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</row>
    <row r="1792" spans="1:18" ht="12.75" customHeight="1" x14ac:dyDescent="0.2">
      <c r="A1792" s="7"/>
      <c r="B1792" s="2" t="s">
        <v>2</v>
      </c>
      <c r="C1792" s="2" t="s">
        <v>2322</v>
      </c>
      <c r="D1792" s="2"/>
      <c r="E1792" s="7"/>
      <c r="F1792" s="7"/>
      <c r="G1792" s="9" t="s">
        <v>2322</v>
      </c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</row>
    <row r="1793" spans="1:18" ht="12.75" customHeight="1" x14ac:dyDescent="0.2">
      <c r="A1793" s="7"/>
      <c r="B1793" s="2" t="s">
        <v>1840</v>
      </c>
      <c r="C1793" s="2" t="s">
        <v>417</v>
      </c>
      <c r="D1793" s="2"/>
      <c r="E1793" s="7"/>
      <c r="F1793" s="7"/>
      <c r="G1793" s="9" t="s">
        <v>2322</v>
      </c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</row>
    <row r="1794" spans="1:18" ht="12.75" customHeight="1" x14ac:dyDescent="0.2">
      <c r="A1794" s="7"/>
      <c r="B1794" s="2" t="s">
        <v>9</v>
      </c>
      <c r="C1794" s="2" t="s">
        <v>42</v>
      </c>
      <c r="D1794" s="2"/>
      <c r="E1794" s="7"/>
      <c r="F1794" s="7"/>
      <c r="G1794" s="9" t="s">
        <v>2322</v>
      </c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</row>
    <row r="1795" spans="1:18" ht="12.75" customHeight="1" x14ac:dyDescent="0.2">
      <c r="A1795" s="7"/>
      <c r="B1795" s="2" t="s">
        <v>11</v>
      </c>
      <c r="C1795" s="2" t="s">
        <v>368</v>
      </c>
      <c r="D1795" s="2"/>
      <c r="E1795" s="7"/>
      <c r="F1795" s="7"/>
      <c r="G1795" s="9" t="s">
        <v>2322</v>
      </c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</row>
    <row r="1796" spans="1:18" ht="12.75" customHeight="1" x14ac:dyDescent="0.2">
      <c r="A1796" s="7"/>
      <c r="B1796" s="2" t="s">
        <v>16</v>
      </c>
      <c r="C1796" s="2"/>
      <c r="D1796" s="2"/>
      <c r="E1796" s="7"/>
      <c r="F1796" s="7"/>
      <c r="G1796" s="9" t="s">
        <v>2322</v>
      </c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</row>
    <row r="1797" spans="1:18" ht="12.75" customHeight="1" x14ac:dyDescent="0.2">
      <c r="A1797" s="7"/>
      <c r="B1797" s="2" t="s">
        <v>17</v>
      </c>
      <c r="C1797" s="2" t="s">
        <v>19</v>
      </c>
      <c r="D1797" s="2"/>
      <c r="E1797" s="7"/>
      <c r="F1797" s="7"/>
      <c r="G1797" s="9" t="s">
        <v>2322</v>
      </c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</row>
    <row r="1798" spans="1:18" ht="12.75" customHeight="1" x14ac:dyDescent="0.2">
      <c r="A1798" s="7"/>
      <c r="B1798" s="2" t="s">
        <v>18</v>
      </c>
      <c r="C1798" s="2" t="s">
        <v>280</v>
      </c>
      <c r="D1798" s="2" t="str">
        <f>HYPERLINK("javascript:void(0)","diszprózium")</f>
        <v>diszprózium</v>
      </c>
      <c r="E1798" s="7"/>
      <c r="F1798" s="7"/>
      <c r="G1798" s="9" t="s">
        <v>2322</v>
      </c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</row>
    <row r="1799" spans="1:18" ht="12.75" customHeight="1" x14ac:dyDescent="0.2">
      <c r="A1799" s="7"/>
      <c r="B1799" s="2"/>
      <c r="C1799" s="2" t="s">
        <v>117</v>
      </c>
      <c r="D1799" s="2" t="str">
        <f>HYPERLINK("javascript:void(0)","szabo-penge")</f>
        <v>szabo-penge</v>
      </c>
      <c r="E1799" s="7"/>
      <c r="F1799" s="7"/>
      <c r="G1799" s="9" t="s">
        <v>2322</v>
      </c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</row>
    <row r="1800" spans="1:18" ht="12.75" customHeight="1" x14ac:dyDescent="0.2">
      <c r="A1800" s="7"/>
      <c r="B1800" s="2"/>
      <c r="C1800" s="2" t="s">
        <v>68</v>
      </c>
      <c r="D1800" s="2" t="str">
        <f>HYPERLINK("javascript:void(0)","brummogás")</f>
        <v>brummogás</v>
      </c>
      <c r="E1800" s="7"/>
      <c r="F1800" s="7"/>
      <c r="G1800" s="9" t="s">
        <v>2322</v>
      </c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</row>
    <row r="1801" spans="1:18" ht="12.75" customHeight="1" x14ac:dyDescent="0.2">
      <c r="A1801" s="7"/>
      <c r="B1801" s="2"/>
      <c r="C1801" s="2"/>
      <c r="D1801" s="2"/>
      <c r="E1801" s="7"/>
      <c r="F1801" s="7"/>
      <c r="G1801" s="9" t="s">
        <v>2322</v>
      </c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</row>
    <row r="1802" spans="1:18" ht="12.75" customHeight="1" x14ac:dyDescent="0.2">
      <c r="A1802" s="7"/>
      <c r="B1802" s="2"/>
      <c r="C1802" s="2"/>
      <c r="D1802" s="2"/>
      <c r="E1802" s="7"/>
      <c r="F1802" s="7"/>
      <c r="G1802" s="9" t="s">
        <v>2322</v>
      </c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</row>
    <row r="1803" spans="1:18" ht="12.75" customHeight="1" x14ac:dyDescent="0.2">
      <c r="A1803" s="7"/>
      <c r="B1803" s="2"/>
      <c r="C1803" s="2"/>
      <c r="D1803" s="2"/>
      <c r="E1803" s="7"/>
      <c r="F1803" s="7"/>
      <c r="G1803" s="9" t="s">
        <v>2322</v>
      </c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</row>
    <row r="1804" spans="1:18" ht="12.75" customHeight="1" x14ac:dyDescent="0.2">
      <c r="A1804" s="7"/>
      <c r="B1804" s="2"/>
      <c r="C1804" s="2"/>
      <c r="D1804" s="2"/>
      <c r="E1804" s="7"/>
      <c r="F1804" s="7"/>
      <c r="G1804" s="9" t="s">
        <v>2322</v>
      </c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</row>
    <row r="1805" spans="1:18" ht="12.75" customHeight="1" x14ac:dyDescent="0.2">
      <c r="A1805" s="7"/>
      <c r="B1805" s="2"/>
      <c r="C1805" s="2"/>
      <c r="D1805" s="2"/>
      <c r="E1805" s="7"/>
      <c r="F1805" s="7"/>
      <c r="G1805" s="9" t="s">
        <v>2322</v>
      </c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</row>
    <row r="1806" spans="1:18" ht="12.75" customHeight="1" x14ac:dyDescent="0.2">
      <c r="A1806" s="7" t="str">
        <f>HYPERLINK("javascript:void(0)","teljes kithrillvért")</f>
        <v>teljes kithrillvért</v>
      </c>
      <c r="B1806" s="7"/>
      <c r="C1806" s="7"/>
      <c r="D1806" s="7"/>
      <c r="E1806" s="7"/>
      <c r="F1806" s="7"/>
      <c r="G1806" s="9" t="s">
        <v>2322</v>
      </c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</row>
    <row r="1807" spans="1:18" ht="12.75" customHeight="1" x14ac:dyDescent="0.2">
      <c r="A1807" s="7"/>
      <c r="B1807" s="2"/>
      <c r="C1807" s="2"/>
      <c r="D1807" s="2"/>
      <c r="E1807" s="7"/>
      <c r="F1807" s="7"/>
      <c r="G1807" s="9" t="s">
        <v>2322</v>
      </c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</row>
    <row r="1808" spans="1:18" ht="12.75" customHeight="1" x14ac:dyDescent="0.2">
      <c r="A1808" s="7"/>
      <c r="B1808" s="2" t="s">
        <v>0</v>
      </c>
      <c r="C1808" s="2" t="s">
        <v>161</v>
      </c>
      <c r="D1808" s="2"/>
      <c r="E1808" s="7"/>
      <c r="F1808" s="7"/>
      <c r="G1808" s="9" t="s">
        <v>2322</v>
      </c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</row>
    <row r="1809" spans="1:18" ht="12.75" customHeight="1" x14ac:dyDescent="0.2">
      <c r="A1809" s="7"/>
      <c r="B1809" s="2" t="s">
        <v>2</v>
      </c>
      <c r="C1809" s="2" t="s">
        <v>2322</v>
      </c>
      <c r="D1809" s="2"/>
      <c r="E1809" s="7"/>
      <c r="F1809" s="7"/>
      <c r="G1809" s="9" t="s">
        <v>2322</v>
      </c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</row>
    <row r="1810" spans="1:18" ht="12.75" customHeight="1" x14ac:dyDescent="0.2">
      <c r="A1810" s="7"/>
      <c r="B1810" s="2" t="s">
        <v>1840</v>
      </c>
      <c r="C1810" s="2" t="s">
        <v>2471</v>
      </c>
      <c r="D1810" s="2"/>
      <c r="E1810" s="7"/>
      <c r="F1810" s="7"/>
      <c r="G1810" s="9" t="s">
        <v>2322</v>
      </c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</row>
    <row r="1811" spans="1:18" ht="12.75" customHeight="1" x14ac:dyDescent="0.2">
      <c r="A1811" s="7"/>
      <c r="B1811" s="2" t="s">
        <v>9</v>
      </c>
      <c r="C1811" s="2" t="s">
        <v>1152</v>
      </c>
      <c r="D1811" s="2"/>
      <c r="E1811" s="7"/>
      <c r="F1811" s="7"/>
      <c r="G1811" s="9" t="s">
        <v>2322</v>
      </c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</row>
    <row r="1812" spans="1:18" ht="12.75" customHeight="1" x14ac:dyDescent="0.2">
      <c r="A1812" s="7"/>
      <c r="B1812" s="2" t="s">
        <v>11</v>
      </c>
      <c r="C1812" s="2" t="s">
        <v>1015</v>
      </c>
      <c r="D1812" s="2"/>
      <c r="E1812" s="7"/>
      <c r="F1812" s="7"/>
      <c r="G1812" s="9" t="s">
        <v>2322</v>
      </c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</row>
    <row r="1813" spans="1:18" ht="12.75" customHeight="1" x14ac:dyDescent="0.2">
      <c r="A1813" s="7"/>
      <c r="B1813" s="2" t="s">
        <v>16</v>
      </c>
      <c r="C1813" s="2"/>
      <c r="D1813" s="2"/>
      <c r="E1813" s="7"/>
      <c r="F1813" s="7"/>
      <c r="G1813" s="9" t="s">
        <v>2322</v>
      </c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</row>
    <row r="1814" spans="1:18" ht="12.75" customHeight="1" x14ac:dyDescent="0.2">
      <c r="A1814" s="7"/>
      <c r="B1814" s="2" t="s">
        <v>17</v>
      </c>
      <c r="C1814" s="2" t="s">
        <v>19</v>
      </c>
      <c r="D1814" s="2"/>
      <c r="E1814" s="7"/>
      <c r="F1814" s="7"/>
      <c r="G1814" s="9" t="s">
        <v>2322</v>
      </c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</row>
    <row r="1815" spans="1:18" ht="12.75" customHeight="1" x14ac:dyDescent="0.2">
      <c r="A1815" s="7"/>
      <c r="B1815" s="2" t="s">
        <v>18</v>
      </c>
      <c r="C1815" s="2" t="s">
        <v>44</v>
      </c>
      <c r="D1815" s="2" t="str">
        <f>HYPERLINK("javascript:void(0)","teljes diszprovért")</f>
        <v>teljes diszprovért</v>
      </c>
      <c r="E1815" s="7"/>
      <c r="F1815" s="7"/>
      <c r="G1815" s="9" t="s">
        <v>2322</v>
      </c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</row>
    <row r="1816" spans="1:18" ht="12.75" customHeight="1" x14ac:dyDescent="0.2">
      <c r="A1816" s="7"/>
      <c r="B1816" s="2"/>
      <c r="C1816" s="2" t="s">
        <v>68</v>
      </c>
      <c r="D1816" s="2" t="str">
        <f>HYPERLINK("javascript:void(0)","vaskarima")</f>
        <v>vaskarima</v>
      </c>
      <c r="E1816" s="7"/>
      <c r="F1816" s="7"/>
      <c r="G1816" s="9" t="s">
        <v>2322</v>
      </c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</row>
    <row r="1817" spans="1:18" ht="12.75" customHeight="1" x14ac:dyDescent="0.2">
      <c r="A1817" s="7"/>
      <c r="B1817" s="2"/>
      <c r="C1817" s="2" t="s">
        <v>193</v>
      </c>
      <c r="D1817" s="2" t="str">
        <f>HYPERLINK("javascript:void(0)","bázispár")</f>
        <v>bázispár</v>
      </c>
      <c r="E1817" s="7"/>
      <c r="F1817" s="7"/>
      <c r="G1817" s="9" t="s">
        <v>2322</v>
      </c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</row>
    <row r="1818" spans="1:18" ht="12.75" customHeight="1" x14ac:dyDescent="0.2">
      <c r="A1818" s="7"/>
      <c r="B1818" s="2"/>
      <c r="C1818" s="2"/>
      <c r="D1818" s="2"/>
      <c r="E1818" s="7"/>
      <c r="F1818" s="7"/>
      <c r="G1818" s="9" t="s">
        <v>2322</v>
      </c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</row>
    <row r="1819" spans="1:18" ht="12.75" customHeight="1" x14ac:dyDescent="0.2">
      <c r="A1819" s="7"/>
      <c r="B1819" s="2"/>
      <c r="C1819" s="2"/>
      <c r="D1819" s="2"/>
      <c r="E1819" s="7"/>
      <c r="F1819" s="7"/>
      <c r="G1819" s="9" t="s">
        <v>2322</v>
      </c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</row>
    <row r="1820" spans="1:18" ht="12.75" customHeight="1" x14ac:dyDescent="0.2">
      <c r="A1820" s="7"/>
      <c r="B1820" s="2"/>
      <c r="C1820" s="2"/>
      <c r="D1820" s="2"/>
      <c r="E1820" s="7"/>
      <c r="F1820" s="7"/>
      <c r="G1820" s="9" t="s">
        <v>2322</v>
      </c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</row>
    <row r="1821" spans="1:18" ht="12.75" customHeight="1" x14ac:dyDescent="0.2">
      <c r="A1821" s="7"/>
      <c r="B1821" s="2"/>
      <c r="C1821" s="2"/>
      <c r="D1821" s="2"/>
      <c r="E1821" s="7"/>
      <c r="F1821" s="7"/>
      <c r="G1821" s="9" t="s">
        <v>2322</v>
      </c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</row>
    <row r="1822" spans="1:18" ht="12.75" customHeight="1" x14ac:dyDescent="0.2">
      <c r="A1822" s="7"/>
      <c r="B1822" s="2"/>
      <c r="C1822" s="2"/>
      <c r="D1822" s="2"/>
      <c r="E1822" s="7"/>
      <c r="F1822" s="7"/>
      <c r="G1822" s="9" t="s">
        <v>2322</v>
      </c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</row>
    <row r="1823" spans="1:18" ht="12.75" customHeight="1" x14ac:dyDescent="0.2">
      <c r="A1823" s="7" t="str">
        <f>HYPERLINK("javascript:void(0)","csillámló kristálypáncél")</f>
        <v>csillámló kristálypáncél</v>
      </c>
      <c r="B1823" s="7"/>
      <c r="C1823" s="7"/>
      <c r="D1823" s="7"/>
      <c r="E1823" s="7"/>
      <c r="F1823" s="7"/>
      <c r="G1823" s="9" t="s">
        <v>2322</v>
      </c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</row>
    <row r="1824" spans="1:18" ht="12.75" customHeight="1" x14ac:dyDescent="0.2">
      <c r="A1824" s="7"/>
      <c r="B1824" s="2"/>
      <c r="C1824" s="2"/>
      <c r="D1824" s="2"/>
      <c r="E1824" s="7"/>
      <c r="F1824" s="7"/>
      <c r="G1824" s="9" t="s">
        <v>2322</v>
      </c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</row>
    <row r="1825" spans="1:18" ht="12.75" customHeight="1" x14ac:dyDescent="0.2">
      <c r="A1825" s="7"/>
      <c r="B1825" s="2" t="s">
        <v>0</v>
      </c>
      <c r="C1825" s="2" t="s">
        <v>161</v>
      </c>
      <c r="D1825" s="2"/>
      <c r="E1825" s="7"/>
      <c r="F1825" s="7"/>
      <c r="G1825" s="9" t="s">
        <v>2322</v>
      </c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</row>
    <row r="1826" spans="1:18" ht="12.75" customHeight="1" x14ac:dyDescent="0.2">
      <c r="A1826" s="7"/>
      <c r="B1826" s="2" t="s">
        <v>2</v>
      </c>
      <c r="C1826" s="2" t="s">
        <v>2322</v>
      </c>
      <c r="D1826" s="2"/>
      <c r="E1826" s="7"/>
      <c r="F1826" s="7"/>
      <c r="G1826" s="9" t="s">
        <v>2322</v>
      </c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</row>
    <row r="1827" spans="1:18" ht="12.75" customHeight="1" x14ac:dyDescent="0.2">
      <c r="A1827" s="7"/>
      <c r="B1827" s="2" t="s">
        <v>1840</v>
      </c>
      <c r="C1827" s="2" t="s">
        <v>2472</v>
      </c>
      <c r="D1827" s="2"/>
      <c r="E1827" s="7"/>
      <c r="F1827" s="7"/>
      <c r="G1827" s="9" t="s">
        <v>2322</v>
      </c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</row>
    <row r="1828" spans="1:18" ht="12.75" customHeight="1" x14ac:dyDescent="0.2">
      <c r="A1828" s="7"/>
      <c r="B1828" s="2" t="s">
        <v>9</v>
      </c>
      <c r="C1828" s="2" t="s">
        <v>1433</v>
      </c>
      <c r="D1828" s="2"/>
      <c r="E1828" s="7"/>
      <c r="F1828" s="7"/>
      <c r="G1828" s="9" t="s">
        <v>2322</v>
      </c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</row>
    <row r="1829" spans="1:18" ht="12.75" customHeight="1" x14ac:dyDescent="0.2">
      <c r="A1829" s="7"/>
      <c r="B1829" s="2" t="s">
        <v>11</v>
      </c>
      <c r="C1829" s="2" t="s">
        <v>1015</v>
      </c>
      <c r="D1829" s="2"/>
      <c r="E1829" s="7"/>
      <c r="F1829" s="7"/>
      <c r="G1829" s="9" t="s">
        <v>2322</v>
      </c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</row>
    <row r="1830" spans="1:18" ht="12.75" customHeight="1" x14ac:dyDescent="0.2">
      <c r="A1830" s="7"/>
      <c r="B1830" s="2" t="s">
        <v>16</v>
      </c>
      <c r="C1830" s="2"/>
      <c r="D1830" s="2"/>
      <c r="E1830" s="7"/>
      <c r="F1830" s="7"/>
      <c r="G1830" s="9" t="s">
        <v>2322</v>
      </c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</row>
    <row r="1831" spans="1:18" ht="12.75" customHeight="1" x14ac:dyDescent="0.2">
      <c r="A1831" s="7"/>
      <c r="B1831" s="2" t="s">
        <v>17</v>
      </c>
      <c r="C1831" s="2" t="s">
        <v>19</v>
      </c>
      <c r="D1831" s="2"/>
      <c r="E1831" s="7"/>
      <c r="F1831" s="7"/>
      <c r="G1831" s="9" t="s">
        <v>2322</v>
      </c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</row>
    <row r="1832" spans="1:18" ht="12.75" customHeight="1" x14ac:dyDescent="0.2">
      <c r="A1832" s="7"/>
      <c r="B1832" s="2" t="s">
        <v>18</v>
      </c>
      <c r="C1832" s="2" t="s">
        <v>57</v>
      </c>
      <c r="D1832" s="2" t="str">
        <f>HYPERLINK("javascript:void(0)","csillámgöb")</f>
        <v>csillámgöb</v>
      </c>
      <c r="E1832" s="7"/>
      <c r="F1832" s="7"/>
      <c r="G1832" s="9" t="s">
        <v>2322</v>
      </c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</row>
    <row r="1833" spans="1:18" ht="12.75" customHeight="1" x14ac:dyDescent="0.2">
      <c r="A1833" s="7"/>
      <c r="B1833" s="2"/>
      <c r="C1833" s="2" t="s">
        <v>44</v>
      </c>
      <c r="D1833" s="2" t="str">
        <f>HYPERLINK("javascript:void(0)","csillámló sárkánypáncél")</f>
        <v>csillámló sárkánypáncél</v>
      </c>
      <c r="E1833" s="7"/>
      <c r="F1833" s="7"/>
      <c r="G1833" s="9" t="s">
        <v>2322</v>
      </c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</row>
    <row r="1834" spans="1:18" ht="12.75" customHeight="1" x14ac:dyDescent="0.2">
      <c r="A1834" s="7"/>
      <c r="B1834" s="2"/>
      <c r="C1834" s="2" t="s">
        <v>988</v>
      </c>
      <c r="D1834" s="2" t="str">
        <f>HYPERLINK("javascript:void(0)","nekroige")</f>
        <v>nekroige</v>
      </c>
      <c r="E1834" s="7"/>
      <c r="F1834" s="7"/>
      <c r="G1834" s="9" t="s">
        <v>2322</v>
      </c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</row>
    <row r="1835" spans="1:18" ht="12.75" customHeight="1" x14ac:dyDescent="0.2">
      <c r="A1835" s="7"/>
      <c r="B1835" s="2"/>
      <c r="C1835" s="2"/>
      <c r="D1835" s="2"/>
      <c r="E1835" s="7"/>
      <c r="F1835" s="7"/>
      <c r="G1835" s="9" t="s">
        <v>2322</v>
      </c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</row>
    <row r="1836" spans="1:18" ht="12.75" customHeight="1" x14ac:dyDescent="0.2">
      <c r="A1836" s="7"/>
      <c r="B1836" s="2"/>
      <c r="C1836" s="2"/>
      <c r="D1836" s="2"/>
      <c r="E1836" s="7"/>
      <c r="F1836" s="7"/>
      <c r="G1836" s="9" t="s">
        <v>2322</v>
      </c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</row>
    <row r="1837" spans="1:18" ht="12.75" customHeight="1" x14ac:dyDescent="0.2">
      <c r="A1837" s="7"/>
      <c r="B1837" s="2"/>
      <c r="C1837" s="2"/>
      <c r="D1837" s="2"/>
      <c r="E1837" s="7"/>
      <c r="F1837" s="7"/>
      <c r="G1837" s="9" t="s">
        <v>2322</v>
      </c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</row>
    <row r="1838" spans="1:18" ht="12.75" customHeight="1" x14ac:dyDescent="0.2">
      <c r="A1838" s="7"/>
      <c r="B1838" s="2"/>
      <c r="C1838" s="2"/>
      <c r="D1838" s="2"/>
      <c r="E1838" s="7"/>
      <c r="F1838" s="7"/>
      <c r="G1838" s="9" t="s">
        <v>2322</v>
      </c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</row>
    <row r="1839" spans="1:18" ht="12.75" customHeight="1" x14ac:dyDescent="0.2">
      <c r="A1839" s="7"/>
      <c r="B1839" s="2"/>
      <c r="C1839" s="2"/>
      <c r="D1839" s="2"/>
      <c r="E1839" s="7"/>
      <c r="F1839" s="7"/>
      <c r="G1839" s="9" t="s">
        <v>2322</v>
      </c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</row>
    <row r="1840" spans="1:18" ht="12.75" customHeight="1" x14ac:dyDescent="0.2">
      <c r="A1840" s="7" t="str">
        <f>HYPERLINK("javascript:void(0)","teljes centrovért")</f>
        <v>teljes centrovért</v>
      </c>
      <c r="B1840" s="7"/>
      <c r="C1840" s="7"/>
      <c r="D1840" s="7"/>
      <c r="E1840" s="7"/>
      <c r="F1840" s="7"/>
      <c r="G1840" s="9" t="s">
        <v>2322</v>
      </c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</row>
    <row r="1841" spans="1:18" ht="12.75" customHeight="1" x14ac:dyDescent="0.2">
      <c r="A1841" s="7"/>
      <c r="B1841" s="2"/>
      <c r="C1841" s="2"/>
      <c r="D1841" s="2"/>
      <c r="E1841" s="7"/>
      <c r="F1841" s="7"/>
      <c r="G1841" s="9" t="s">
        <v>2322</v>
      </c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</row>
    <row r="1842" spans="1:18" ht="12.75" customHeight="1" x14ac:dyDescent="0.2">
      <c r="A1842" s="7"/>
      <c r="B1842" s="2" t="s">
        <v>0</v>
      </c>
      <c r="C1842" s="2" t="s">
        <v>253</v>
      </c>
      <c r="D1842" s="2"/>
      <c r="E1842" s="7"/>
      <c r="F1842" s="7"/>
      <c r="G1842" s="9" t="s">
        <v>2322</v>
      </c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</row>
    <row r="1843" spans="1:18" ht="12.75" customHeight="1" x14ac:dyDescent="0.2">
      <c r="A1843" s="7"/>
      <c r="B1843" s="2" t="s">
        <v>2</v>
      </c>
      <c r="C1843" s="2" t="s">
        <v>2322</v>
      </c>
      <c r="D1843" s="2"/>
      <c r="E1843" s="7"/>
      <c r="F1843" s="7"/>
      <c r="G1843" s="9" t="s">
        <v>2322</v>
      </c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</row>
    <row r="1844" spans="1:18" ht="12.75" customHeight="1" x14ac:dyDescent="0.2">
      <c r="A1844" s="7"/>
      <c r="B1844" s="2" t="s">
        <v>1840</v>
      </c>
      <c r="C1844" s="2" t="s">
        <v>2473</v>
      </c>
      <c r="D1844" s="2"/>
      <c r="E1844" s="7"/>
      <c r="F1844" s="7"/>
      <c r="G1844" s="9" t="s">
        <v>2322</v>
      </c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</row>
    <row r="1845" spans="1:18" ht="12.75" customHeight="1" x14ac:dyDescent="0.2">
      <c r="A1845" s="7"/>
      <c r="B1845" s="2" t="s">
        <v>9</v>
      </c>
      <c r="C1845" s="2" t="s">
        <v>42</v>
      </c>
      <c r="D1845" s="2"/>
      <c r="E1845" s="7"/>
      <c r="F1845" s="7"/>
      <c r="G1845" s="9" t="s">
        <v>2322</v>
      </c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</row>
    <row r="1846" spans="1:18" ht="12.75" customHeight="1" x14ac:dyDescent="0.2">
      <c r="A1846" s="7"/>
      <c r="B1846" s="2" t="s">
        <v>11</v>
      </c>
      <c r="C1846" s="2" t="s">
        <v>1035</v>
      </c>
      <c r="D1846" s="2"/>
      <c r="E1846" s="7"/>
      <c r="F1846" s="7"/>
      <c r="G1846" s="9" t="s">
        <v>2322</v>
      </c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</row>
    <row r="1847" spans="1:18" ht="12.75" customHeight="1" x14ac:dyDescent="0.2">
      <c r="A1847" s="7"/>
      <c r="B1847" s="2" t="s">
        <v>16</v>
      </c>
      <c r="C1847" s="2"/>
      <c r="D1847" s="2"/>
      <c r="E1847" s="7"/>
      <c r="F1847" s="7"/>
      <c r="G1847" s="9" t="s">
        <v>2322</v>
      </c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</row>
    <row r="1848" spans="1:18" ht="12.75" customHeight="1" x14ac:dyDescent="0.2">
      <c r="A1848" s="7"/>
      <c r="B1848" s="2" t="s">
        <v>17</v>
      </c>
      <c r="C1848" s="2" t="s">
        <v>19</v>
      </c>
      <c r="D1848" s="2"/>
      <c r="E1848" s="7"/>
      <c r="F1848" s="7"/>
      <c r="G1848" s="9" t="s">
        <v>2322</v>
      </c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</row>
    <row r="1849" spans="1:18" ht="12.75" customHeight="1" x14ac:dyDescent="0.2">
      <c r="A1849" s="7"/>
      <c r="B1849" s="2" t="s">
        <v>18</v>
      </c>
      <c r="C1849" s="2" t="s">
        <v>280</v>
      </c>
      <c r="D1849" s="2" t="str">
        <f>HYPERLINK("javascript:void(0)","centrolium")</f>
        <v>centrolium</v>
      </c>
      <c r="E1849" s="7"/>
      <c r="F1849" s="7"/>
      <c r="G1849" s="9" t="s">
        <v>2322</v>
      </c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</row>
    <row r="1850" spans="1:18" ht="12.75" customHeight="1" x14ac:dyDescent="0.2">
      <c r="A1850" s="7"/>
      <c r="B1850" s="2"/>
      <c r="C1850" s="2" t="s">
        <v>163</v>
      </c>
      <c r="D1850" s="2" t="str">
        <f>HYPERLINK("javascript:void(0)","törmelék")</f>
        <v>törmelék</v>
      </c>
      <c r="E1850" s="7"/>
      <c r="F1850" s="7"/>
      <c r="G1850" s="9" t="s">
        <v>2322</v>
      </c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</row>
    <row r="1851" spans="1:18" ht="12.75" customHeight="1" x14ac:dyDescent="0.2">
      <c r="A1851" s="7"/>
      <c r="B1851" s="2"/>
      <c r="C1851" s="2" t="s">
        <v>382</v>
      </c>
      <c r="D1851" s="2" t="str">
        <f>HYPERLINK("javascript:void(0)","orr")</f>
        <v>orr</v>
      </c>
      <c r="E1851" s="7"/>
      <c r="F1851" s="7"/>
      <c r="G1851" s="9" t="s">
        <v>2322</v>
      </c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</row>
    <row r="1852" spans="1:18" ht="12.75" customHeight="1" x14ac:dyDescent="0.2">
      <c r="A1852" s="7"/>
      <c r="B1852" s="2"/>
      <c r="C1852" s="2"/>
      <c r="D1852" s="2"/>
      <c r="E1852" s="7"/>
      <c r="F1852" s="7"/>
      <c r="G1852" s="9" t="s">
        <v>2322</v>
      </c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</row>
    <row r="1853" spans="1:18" ht="12.75" customHeight="1" x14ac:dyDescent="0.2">
      <c r="A1853" s="7"/>
      <c r="B1853" s="2"/>
      <c r="C1853" s="2"/>
      <c r="D1853" s="2"/>
      <c r="E1853" s="7"/>
      <c r="F1853" s="7"/>
      <c r="G1853" s="9" t="s">
        <v>2322</v>
      </c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</row>
    <row r="1854" spans="1:18" ht="12.75" customHeight="1" x14ac:dyDescent="0.2">
      <c r="A1854" s="7"/>
      <c r="B1854" s="2"/>
      <c r="C1854" s="2"/>
      <c r="D1854" s="2"/>
      <c r="E1854" s="7"/>
      <c r="F1854" s="7"/>
      <c r="G1854" s="9" t="s">
        <v>2322</v>
      </c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</row>
    <row r="1855" spans="1:18" ht="12.75" customHeight="1" x14ac:dyDescent="0.2">
      <c r="A1855" s="7"/>
      <c r="B1855" s="2"/>
      <c r="C1855" s="2"/>
      <c r="D1855" s="2"/>
      <c r="E1855" s="7"/>
      <c r="F1855" s="7"/>
      <c r="G1855" s="9" t="s">
        <v>2322</v>
      </c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</row>
    <row r="1856" spans="1:18" ht="12.75" customHeight="1" x14ac:dyDescent="0.2">
      <c r="A1856" s="7"/>
      <c r="B1856" s="2"/>
      <c r="C1856" s="2"/>
      <c r="D1856" s="2"/>
      <c r="E1856" s="7"/>
      <c r="F1856" s="7"/>
      <c r="G1856" s="9" t="s">
        <v>2322</v>
      </c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</row>
    <row r="1857" spans="1:18" ht="12.75" customHeight="1" x14ac:dyDescent="0.2">
      <c r="A1857" s="7" t="str">
        <f>HYPERLINK("javascript:void(0)","rubin fűző")</f>
        <v>rubin fűző</v>
      </c>
      <c r="B1857" s="7"/>
      <c r="C1857" s="7"/>
      <c r="D1857" s="7"/>
      <c r="E1857" s="7"/>
      <c r="F1857" s="7"/>
      <c r="G1857" s="9" t="s">
        <v>2322</v>
      </c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</row>
    <row r="1858" spans="1:18" ht="12.75" customHeight="1" x14ac:dyDescent="0.2">
      <c r="A1858" s="7"/>
      <c r="B1858" s="2"/>
      <c r="C1858" s="2"/>
      <c r="D1858" s="2"/>
      <c r="E1858" s="7"/>
      <c r="F1858" s="7"/>
      <c r="G1858" s="9" t="s">
        <v>2322</v>
      </c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</row>
    <row r="1859" spans="1:18" ht="12.75" customHeight="1" x14ac:dyDescent="0.2">
      <c r="A1859" s="7"/>
      <c r="B1859" s="2" t="s">
        <v>0</v>
      </c>
      <c r="C1859" s="2" t="s">
        <v>253</v>
      </c>
      <c r="D1859" s="2"/>
      <c r="E1859" s="7"/>
      <c r="F1859" s="7"/>
      <c r="G1859" s="9" t="s">
        <v>2322</v>
      </c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</row>
    <row r="1860" spans="1:18" ht="12.75" customHeight="1" x14ac:dyDescent="0.2">
      <c r="A1860" s="7"/>
      <c r="B1860" s="2" t="s">
        <v>2</v>
      </c>
      <c r="C1860" s="2" t="s">
        <v>2322</v>
      </c>
      <c r="D1860" s="2"/>
      <c r="E1860" s="7"/>
      <c r="F1860" s="7"/>
      <c r="G1860" s="9" t="s">
        <v>2322</v>
      </c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</row>
    <row r="1861" spans="1:18" ht="12.75" customHeight="1" x14ac:dyDescent="0.2">
      <c r="A1861" s="7"/>
      <c r="B1861" s="2" t="s">
        <v>1840</v>
      </c>
      <c r="C1861" s="2" t="s">
        <v>417</v>
      </c>
      <c r="D1861" s="2"/>
      <c r="E1861" s="7"/>
      <c r="F1861" s="7"/>
      <c r="G1861" s="9" t="s">
        <v>2322</v>
      </c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</row>
    <row r="1862" spans="1:18" ht="12.75" customHeight="1" x14ac:dyDescent="0.2">
      <c r="A1862" s="7"/>
      <c r="B1862" s="2" t="s">
        <v>9</v>
      </c>
      <c r="C1862" s="2" t="s">
        <v>42</v>
      </c>
      <c r="D1862" s="2"/>
      <c r="E1862" s="7"/>
      <c r="F1862" s="7"/>
      <c r="G1862" s="9" t="s">
        <v>2322</v>
      </c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</row>
    <row r="1863" spans="1:18" ht="12.75" customHeight="1" x14ac:dyDescent="0.2">
      <c r="A1863" s="7"/>
      <c r="B1863" s="2" t="s">
        <v>11</v>
      </c>
      <c r="C1863" s="2" t="s">
        <v>368</v>
      </c>
      <c r="D1863" s="2"/>
      <c r="E1863" s="7"/>
      <c r="F1863" s="7"/>
      <c r="G1863" s="9" t="s">
        <v>2322</v>
      </c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</row>
    <row r="1864" spans="1:18" ht="12.75" customHeight="1" x14ac:dyDescent="0.2">
      <c r="A1864" s="7"/>
      <c r="B1864" s="2" t="s">
        <v>16</v>
      </c>
      <c r="C1864" s="2"/>
      <c r="D1864" s="2"/>
      <c r="E1864" s="7"/>
      <c r="F1864" s="7"/>
      <c r="G1864" s="9" t="s">
        <v>2322</v>
      </c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</row>
    <row r="1865" spans="1:18" ht="12.75" customHeight="1" x14ac:dyDescent="0.2">
      <c r="A1865" s="7"/>
      <c r="B1865" s="2" t="s">
        <v>17</v>
      </c>
      <c r="C1865" s="2" t="s">
        <v>19</v>
      </c>
      <c r="D1865" s="2"/>
      <c r="E1865" s="7"/>
      <c r="F1865" s="7"/>
      <c r="G1865" s="9" t="s">
        <v>2322</v>
      </c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</row>
    <row r="1866" spans="1:18" ht="12.75" customHeight="1" x14ac:dyDescent="0.2">
      <c r="A1866" s="7"/>
      <c r="B1866" s="2" t="s">
        <v>18</v>
      </c>
      <c r="C1866" s="2" t="s">
        <v>323</v>
      </c>
      <c r="D1866" s="2" t="str">
        <f>HYPERLINK("javascript:void(0)","rubin")</f>
        <v>rubin</v>
      </c>
      <c r="E1866" s="7"/>
      <c r="F1866" s="7"/>
      <c r="G1866" s="9" t="s">
        <v>2322</v>
      </c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</row>
    <row r="1867" spans="1:18" ht="12.75" customHeight="1" x14ac:dyDescent="0.2">
      <c r="A1867" s="7"/>
      <c r="B1867" s="2"/>
      <c r="C1867" s="2" t="s">
        <v>139</v>
      </c>
      <c r="D1867" s="2" t="str">
        <f>HYPERLINK("javascript:void(0)","vitorla")</f>
        <v>vitorla</v>
      </c>
      <c r="E1867" s="7"/>
      <c r="F1867" s="7"/>
      <c r="G1867" s="9" t="s">
        <v>2322</v>
      </c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</row>
    <row r="1868" spans="1:18" ht="12.75" customHeight="1" x14ac:dyDescent="0.2">
      <c r="A1868" s="7"/>
      <c r="B1868" s="2"/>
      <c r="C1868" s="2" t="s">
        <v>98</v>
      </c>
      <c r="D1868" s="2" t="str">
        <f>HYPERLINK("javascript:void(0)","fókaprém")</f>
        <v>fókaprém</v>
      </c>
      <c r="E1868" s="7"/>
      <c r="F1868" s="7"/>
      <c r="G1868" s="9" t="s">
        <v>2322</v>
      </c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</row>
    <row r="1869" spans="1:18" ht="12.75" customHeight="1" x14ac:dyDescent="0.2">
      <c r="A1869" s="7"/>
      <c r="B1869" s="2"/>
      <c r="C1869" s="2"/>
      <c r="D1869" s="2"/>
      <c r="E1869" s="7"/>
      <c r="F1869" s="7"/>
      <c r="G1869" s="9" t="s">
        <v>2322</v>
      </c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</row>
    <row r="1870" spans="1:18" ht="12.75" customHeight="1" x14ac:dyDescent="0.2">
      <c r="A1870" s="7"/>
      <c r="B1870" s="2"/>
      <c r="C1870" s="2"/>
      <c r="D1870" s="2"/>
      <c r="E1870" s="7"/>
      <c r="F1870" s="7"/>
      <c r="G1870" s="9" t="s">
        <v>2322</v>
      </c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</row>
    <row r="1871" spans="1:18" ht="12.75" customHeight="1" x14ac:dyDescent="0.2">
      <c r="A1871" s="7"/>
      <c r="B1871" s="2"/>
      <c r="C1871" s="2"/>
      <c r="D1871" s="2"/>
      <c r="E1871" s="7"/>
      <c r="F1871" s="7"/>
      <c r="G1871" s="9" t="s">
        <v>2322</v>
      </c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</row>
    <row r="1872" spans="1:18" ht="12.75" customHeight="1" x14ac:dyDescent="0.2">
      <c r="A1872" s="7"/>
      <c r="B1872" s="2"/>
      <c r="C1872" s="2"/>
      <c r="D1872" s="2"/>
      <c r="E1872" s="7"/>
      <c r="F1872" s="7"/>
      <c r="G1872" s="9" t="s">
        <v>2322</v>
      </c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</row>
    <row r="1873" spans="1:18" ht="12.75" customHeight="1" x14ac:dyDescent="0.2">
      <c r="A1873" s="7"/>
      <c r="B1873" s="2"/>
      <c r="C1873" s="2"/>
      <c r="D1873" s="2"/>
      <c r="E1873" s="7"/>
      <c r="F1873" s="7"/>
      <c r="G1873" s="9" t="s">
        <v>2322</v>
      </c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</row>
    <row r="1874" spans="1:18" ht="12.75" customHeight="1" x14ac:dyDescent="0.2">
      <c r="A1874" s="7" t="str">
        <f>HYPERLINK("javascript:void(0)","teljes hipervért")</f>
        <v>teljes hipervért</v>
      </c>
      <c r="B1874" s="7"/>
      <c r="C1874" s="7"/>
      <c r="D1874" s="7"/>
      <c r="E1874" s="7"/>
      <c r="F1874" s="7"/>
      <c r="G1874" s="9" t="s">
        <v>2322</v>
      </c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</row>
    <row r="1875" spans="1:18" ht="12.75" customHeight="1" x14ac:dyDescent="0.2">
      <c r="A1875" s="7"/>
      <c r="B1875" s="2"/>
      <c r="C1875" s="2"/>
      <c r="D1875" s="2"/>
      <c r="E1875" s="7"/>
      <c r="F1875" s="7"/>
      <c r="G1875" s="9" t="s">
        <v>2322</v>
      </c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</row>
    <row r="1876" spans="1:18" ht="12.75" customHeight="1" x14ac:dyDescent="0.2">
      <c r="A1876" s="7"/>
      <c r="B1876" s="2" t="s">
        <v>0</v>
      </c>
      <c r="C1876" s="2" t="s">
        <v>773</v>
      </c>
      <c r="D1876" s="2"/>
      <c r="E1876" s="7"/>
      <c r="F1876" s="7"/>
      <c r="G1876" s="9" t="s">
        <v>2322</v>
      </c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</row>
    <row r="1877" spans="1:18" ht="12.75" customHeight="1" x14ac:dyDescent="0.2">
      <c r="A1877" s="7"/>
      <c r="B1877" s="2" t="s">
        <v>2</v>
      </c>
      <c r="C1877" s="2" t="s">
        <v>2322</v>
      </c>
      <c r="D1877" s="2"/>
      <c r="E1877" s="7"/>
      <c r="F1877" s="7"/>
      <c r="G1877" s="9" t="s">
        <v>2322</v>
      </c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</row>
    <row r="1878" spans="1:18" ht="12.75" customHeight="1" x14ac:dyDescent="0.2">
      <c r="A1878" s="7"/>
      <c r="B1878" s="2" t="s">
        <v>1840</v>
      </c>
      <c r="C1878" s="2" t="s">
        <v>2474</v>
      </c>
      <c r="D1878" s="2"/>
      <c r="E1878" s="7"/>
      <c r="F1878" s="7"/>
      <c r="G1878" s="9" t="s">
        <v>2322</v>
      </c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</row>
    <row r="1879" spans="1:18" ht="12.75" customHeight="1" x14ac:dyDescent="0.2">
      <c r="A1879" s="7"/>
      <c r="B1879" s="2" t="s">
        <v>9</v>
      </c>
      <c r="C1879" s="2" t="s">
        <v>2475</v>
      </c>
      <c r="D1879" s="2"/>
      <c r="E1879" s="7"/>
      <c r="F1879" s="7"/>
      <c r="G1879" s="9" t="s">
        <v>2322</v>
      </c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</row>
    <row r="1880" spans="1:18" ht="12.75" customHeight="1" x14ac:dyDescent="0.2">
      <c r="A1880" s="7"/>
      <c r="B1880" s="2" t="s">
        <v>11</v>
      </c>
      <c r="C1880" s="2" t="s">
        <v>1055</v>
      </c>
      <c r="D1880" s="2"/>
      <c r="E1880" s="7"/>
      <c r="F1880" s="7"/>
      <c r="G1880" s="9" t="s">
        <v>2322</v>
      </c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</row>
    <row r="1881" spans="1:18" ht="12.75" customHeight="1" x14ac:dyDescent="0.2">
      <c r="A1881" s="7"/>
      <c r="B1881" s="2" t="s">
        <v>16</v>
      </c>
      <c r="C1881" s="2"/>
      <c r="D1881" s="2"/>
      <c r="E1881" s="7"/>
      <c r="F1881" s="7"/>
      <c r="G1881" s="9" t="s">
        <v>2322</v>
      </c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</row>
    <row r="1882" spans="1:18" ht="12.75" customHeight="1" x14ac:dyDescent="0.2">
      <c r="A1882" s="7"/>
      <c r="B1882" s="2" t="s">
        <v>17</v>
      </c>
      <c r="C1882" s="2" t="s">
        <v>19</v>
      </c>
      <c r="D1882" s="2"/>
      <c r="E1882" s="7"/>
      <c r="F1882" s="7"/>
      <c r="G1882" s="9" t="s">
        <v>2322</v>
      </c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</row>
    <row r="1883" spans="1:18" ht="12.75" customHeight="1" x14ac:dyDescent="0.2">
      <c r="A1883" s="7"/>
      <c r="B1883" s="2" t="s">
        <v>18</v>
      </c>
      <c r="C1883" s="2" t="s">
        <v>44</v>
      </c>
      <c r="D1883" s="2" t="str">
        <f>HYPERLINK("javascript:void(0)","teljes centrovért")</f>
        <v>teljes centrovért</v>
      </c>
      <c r="E1883" s="7"/>
      <c r="F1883" s="7"/>
      <c r="G1883" s="9" t="s">
        <v>2322</v>
      </c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</row>
    <row r="1884" spans="1:18" ht="12.75" customHeight="1" x14ac:dyDescent="0.2">
      <c r="A1884" s="7"/>
      <c r="B1884" s="2"/>
      <c r="C1884" s="2" t="s">
        <v>44</v>
      </c>
      <c r="D1884" s="2" t="str">
        <f>HYPERLINK("javascript:void(0)","teljes kithrillvért")</f>
        <v>teljes kithrillvért</v>
      </c>
      <c r="E1884" s="7"/>
      <c r="F1884" s="7"/>
      <c r="G1884" s="9" t="s">
        <v>2322</v>
      </c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</row>
    <row r="1885" spans="1:18" ht="12.75" customHeight="1" x14ac:dyDescent="0.2">
      <c r="A1885" s="7"/>
      <c r="B1885" s="2"/>
      <c r="C1885" s="2" t="s">
        <v>44</v>
      </c>
      <c r="D1885" s="2" t="str">
        <f>HYPERLINK("javascript:void(0)","hiper vállap")</f>
        <v>hiper vállap</v>
      </c>
      <c r="E1885" s="7"/>
      <c r="F1885" s="7"/>
      <c r="G1885" s="9" t="s">
        <v>2322</v>
      </c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</row>
    <row r="1886" spans="1:18" ht="12.75" customHeight="1" x14ac:dyDescent="0.2">
      <c r="A1886" s="7"/>
      <c r="B1886" s="2"/>
      <c r="C1886" s="2"/>
      <c r="D1886" s="2"/>
      <c r="E1886" s="7"/>
      <c r="F1886" s="7"/>
      <c r="G1886" s="9" t="s">
        <v>2322</v>
      </c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</row>
    <row r="1887" spans="1:18" ht="12.75" customHeight="1" x14ac:dyDescent="0.2">
      <c r="A1887" s="7"/>
      <c r="B1887" s="2"/>
      <c r="C1887" s="2"/>
      <c r="D1887" s="2"/>
      <c r="E1887" s="7"/>
      <c r="F1887" s="7"/>
      <c r="G1887" s="9" t="s">
        <v>2322</v>
      </c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</row>
    <row r="1888" spans="1:18" ht="12.75" customHeight="1" x14ac:dyDescent="0.2">
      <c r="A1888" s="7"/>
      <c r="B1888" s="2"/>
      <c r="C1888" s="2"/>
      <c r="D1888" s="2"/>
      <c r="E1888" s="7"/>
      <c r="F1888" s="7"/>
      <c r="G1888" s="9" t="s">
        <v>2322</v>
      </c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</row>
    <row r="1889" spans="1:18" ht="12.75" customHeight="1" x14ac:dyDescent="0.2">
      <c r="A1889" s="7"/>
      <c r="B1889" s="2"/>
      <c r="C1889" s="2"/>
      <c r="D1889" s="2"/>
      <c r="E1889" s="7"/>
      <c r="F1889" s="7"/>
      <c r="G1889" s="9" t="s">
        <v>2322</v>
      </c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</row>
    <row r="1890" spans="1:18" ht="12.75" customHeight="1" x14ac:dyDescent="0.2">
      <c r="A1890" s="7"/>
      <c r="B1890" s="2"/>
      <c r="C1890" s="2"/>
      <c r="D1890" s="2"/>
      <c r="E1890" s="7"/>
      <c r="F1890" s="7"/>
      <c r="G1890" s="9" t="s">
        <v>2322</v>
      </c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</row>
    <row r="1891" spans="1:18" ht="12.75" customHeight="1" x14ac:dyDescent="0.2">
      <c r="A1891" s="7" t="str">
        <f>HYPERLINK("javascript:void(0)","teljes hidracélvért")</f>
        <v>teljes hidracélvért</v>
      </c>
      <c r="B1891" s="7"/>
      <c r="C1891" s="7"/>
      <c r="D1891" s="7"/>
      <c r="E1891" s="7"/>
      <c r="F1891" s="7"/>
      <c r="G1891" s="9" t="s">
        <v>2322</v>
      </c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</row>
    <row r="1892" spans="1:18" ht="12.75" customHeight="1" x14ac:dyDescent="0.2">
      <c r="A1892" s="7"/>
      <c r="B1892" s="2"/>
      <c r="C1892" s="2"/>
      <c r="D1892" s="2"/>
      <c r="E1892" s="7"/>
      <c r="F1892" s="7"/>
      <c r="G1892" s="9" t="s">
        <v>2322</v>
      </c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</row>
    <row r="1893" spans="1:18" ht="12.75" customHeight="1" x14ac:dyDescent="0.2">
      <c r="A1893" s="7"/>
      <c r="B1893" s="2" t="s">
        <v>0</v>
      </c>
      <c r="C1893" s="2" t="s">
        <v>776</v>
      </c>
      <c r="D1893" s="2"/>
      <c r="E1893" s="7"/>
      <c r="F1893" s="7"/>
      <c r="G1893" s="9" t="s">
        <v>2322</v>
      </c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</row>
    <row r="1894" spans="1:18" ht="12.75" customHeight="1" x14ac:dyDescent="0.2">
      <c r="A1894" s="7"/>
      <c r="B1894" s="2" t="s">
        <v>2</v>
      </c>
      <c r="C1894" s="2" t="s">
        <v>2322</v>
      </c>
      <c r="D1894" s="2"/>
      <c r="E1894" s="7"/>
      <c r="F1894" s="7"/>
      <c r="G1894" s="9" t="s">
        <v>2322</v>
      </c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</row>
    <row r="1895" spans="1:18" ht="12.75" customHeight="1" x14ac:dyDescent="0.2">
      <c r="A1895" s="7"/>
      <c r="B1895" s="2" t="s">
        <v>1840</v>
      </c>
      <c r="C1895" s="2" t="s">
        <v>611</v>
      </c>
      <c r="D1895" s="2"/>
      <c r="E1895" s="7"/>
      <c r="F1895" s="7"/>
      <c r="G1895" s="9" t="s">
        <v>2322</v>
      </c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</row>
    <row r="1896" spans="1:18" ht="12.75" customHeight="1" x14ac:dyDescent="0.2">
      <c r="A1896" s="7"/>
      <c r="B1896" s="2" t="s">
        <v>9</v>
      </c>
      <c r="C1896" s="2" t="s">
        <v>1324</v>
      </c>
      <c r="D1896" s="2"/>
      <c r="E1896" s="7"/>
      <c r="F1896" s="7"/>
      <c r="G1896" s="9" t="s">
        <v>2322</v>
      </c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</row>
    <row r="1897" spans="1:18" ht="12.75" customHeight="1" x14ac:dyDescent="0.2">
      <c r="A1897" s="7"/>
      <c r="B1897" s="2" t="s">
        <v>11</v>
      </c>
      <c r="C1897" s="2" t="s">
        <v>1071</v>
      </c>
      <c r="D1897" s="2"/>
      <c r="E1897" s="7"/>
      <c r="F1897" s="7"/>
      <c r="G1897" s="9" t="s">
        <v>2322</v>
      </c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</row>
    <row r="1898" spans="1:18" ht="12.75" customHeight="1" x14ac:dyDescent="0.2">
      <c r="A1898" s="7"/>
      <c r="B1898" s="2" t="s">
        <v>16</v>
      </c>
      <c r="C1898" s="2"/>
      <c r="D1898" s="2"/>
      <c r="E1898" s="7"/>
      <c r="F1898" s="7"/>
      <c r="G1898" s="9" t="s">
        <v>2322</v>
      </c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</row>
    <row r="1899" spans="1:18" ht="12.75" customHeight="1" x14ac:dyDescent="0.2">
      <c r="A1899" s="7"/>
      <c r="B1899" s="2" t="s">
        <v>17</v>
      </c>
      <c r="C1899" s="2" t="s">
        <v>19</v>
      </c>
      <c r="D1899" s="2"/>
      <c r="E1899" s="7"/>
      <c r="F1899" s="7"/>
      <c r="G1899" s="9" t="s">
        <v>2322</v>
      </c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</row>
    <row r="1900" spans="1:18" ht="12.75" customHeight="1" x14ac:dyDescent="0.2">
      <c r="A1900" s="7"/>
      <c r="B1900" s="2" t="s">
        <v>18</v>
      </c>
      <c r="C1900" s="2" t="s">
        <v>44</v>
      </c>
      <c r="D1900" s="2" t="str">
        <f>HYPERLINK("javascript:void(0)","teljes hipervért")</f>
        <v>teljes hipervért</v>
      </c>
      <c r="E1900" s="7"/>
      <c r="F1900" s="7"/>
      <c r="G1900" s="9" t="s">
        <v>2322</v>
      </c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</row>
    <row r="1901" spans="1:18" ht="12.75" customHeight="1" x14ac:dyDescent="0.2">
      <c r="A1901" s="7"/>
      <c r="B1901" s="2"/>
      <c r="C1901" s="2" t="s">
        <v>163</v>
      </c>
      <c r="D1901" s="2" t="str">
        <f>HYPERLINK("javascript:void(0)","hagymapikkely")</f>
        <v>hagymapikkely</v>
      </c>
      <c r="E1901" s="7"/>
      <c r="F1901" s="7"/>
      <c r="G1901" s="9" t="s">
        <v>2322</v>
      </c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</row>
    <row r="1902" spans="1:18" ht="12.75" customHeight="1" x14ac:dyDescent="0.2">
      <c r="A1902" s="7"/>
      <c r="B1902" s="2"/>
      <c r="C1902" s="2" t="s">
        <v>280</v>
      </c>
      <c r="D1902" s="2" t="str">
        <f>HYPERLINK("javascript:void(0)","szén-hidragén")</f>
        <v>szén-hidragén</v>
      </c>
      <c r="E1902" s="7"/>
      <c r="F1902" s="7"/>
      <c r="G1902" s="9" t="s">
        <v>2322</v>
      </c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</row>
    <row r="1903" spans="1:18" ht="12.75" customHeight="1" x14ac:dyDescent="0.2">
      <c r="A1903" s="7"/>
      <c r="B1903" s="2"/>
      <c r="C1903" s="2"/>
      <c r="D1903" s="2"/>
      <c r="E1903" s="7"/>
      <c r="F1903" s="7"/>
      <c r="G1903" s="9" t="s">
        <v>2322</v>
      </c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</row>
    <row r="1904" spans="1:18" ht="12.75" customHeight="1" x14ac:dyDescent="0.2">
      <c r="A1904" s="7"/>
      <c r="B1904" s="2"/>
      <c r="C1904" s="2"/>
      <c r="D1904" s="2"/>
      <c r="E1904" s="7"/>
      <c r="F1904" s="7"/>
      <c r="G1904" s="9" t="s">
        <v>2322</v>
      </c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</row>
    <row r="1905" spans="1:18" ht="12.75" customHeight="1" x14ac:dyDescent="0.2">
      <c r="A1905" s="7"/>
      <c r="B1905" s="2"/>
      <c r="C1905" s="2"/>
      <c r="D1905" s="2"/>
      <c r="E1905" s="7"/>
      <c r="F1905" s="7"/>
      <c r="G1905" s="9" t="s">
        <v>2322</v>
      </c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</row>
    <row r="1906" spans="1:18" ht="12.75" customHeight="1" x14ac:dyDescent="0.2">
      <c r="A1906" s="7"/>
      <c r="B1906" s="2"/>
      <c r="C1906" s="2"/>
      <c r="D1906" s="2"/>
      <c r="E1906" s="7"/>
      <c r="F1906" s="7"/>
      <c r="G1906" s="9" t="s">
        <v>2322</v>
      </c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</row>
    <row r="1907" spans="1:18" ht="12.75" customHeight="1" x14ac:dyDescent="0.2">
      <c r="A1907" s="7"/>
      <c r="B1907" s="2"/>
      <c r="C1907" s="2"/>
      <c r="D1907" s="2"/>
      <c r="E1907" s="7"/>
      <c r="F1907" s="7"/>
      <c r="G1907" s="9" t="s">
        <v>2322</v>
      </c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</row>
    <row r="1908" spans="1:18" ht="12.75" customHeight="1" x14ac:dyDescent="0.2">
      <c r="A1908" s="7" t="str">
        <f>HYPERLINK("javascript:void(0)","izzó rostély")</f>
        <v>izzó rostély</v>
      </c>
      <c r="B1908" s="7"/>
      <c r="C1908" s="7"/>
      <c r="D1908" s="7"/>
      <c r="E1908" s="7"/>
      <c r="F1908" s="7"/>
      <c r="G1908" s="9" t="s">
        <v>2322</v>
      </c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</row>
    <row r="1909" spans="1:18" ht="12.75" customHeight="1" x14ac:dyDescent="0.2">
      <c r="A1909" s="7"/>
      <c r="B1909" s="2"/>
      <c r="C1909" s="2"/>
      <c r="D1909" s="2"/>
      <c r="E1909" s="7"/>
      <c r="F1909" s="7"/>
      <c r="G1909" s="9" t="s">
        <v>2322</v>
      </c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</row>
    <row r="1910" spans="1:18" ht="12.75" customHeight="1" x14ac:dyDescent="0.2">
      <c r="A1910" s="7"/>
      <c r="B1910" s="2" t="s">
        <v>0</v>
      </c>
      <c r="C1910" s="2" t="s">
        <v>776</v>
      </c>
      <c r="D1910" s="2"/>
      <c r="E1910" s="7"/>
      <c r="F1910" s="7"/>
      <c r="G1910" s="9" t="s">
        <v>2322</v>
      </c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</row>
    <row r="1911" spans="1:18" ht="12.75" customHeight="1" x14ac:dyDescent="0.2">
      <c r="A1911" s="7"/>
      <c r="B1911" s="2" t="s">
        <v>2</v>
      </c>
      <c r="C1911" s="2" t="s">
        <v>2322</v>
      </c>
      <c r="D1911" s="2"/>
      <c r="E1911" s="7"/>
      <c r="F1911" s="7"/>
      <c r="G1911" s="9" t="s">
        <v>2322</v>
      </c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</row>
    <row r="1912" spans="1:18" ht="12.75" customHeight="1" x14ac:dyDescent="0.2">
      <c r="A1912" s="7"/>
      <c r="B1912" s="2" t="s">
        <v>1840</v>
      </c>
      <c r="C1912" s="2" t="s">
        <v>417</v>
      </c>
      <c r="D1912" s="2"/>
      <c r="E1912" s="7"/>
      <c r="F1912" s="7"/>
      <c r="G1912" s="9" t="s">
        <v>2322</v>
      </c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</row>
    <row r="1913" spans="1:18" ht="12.75" customHeight="1" x14ac:dyDescent="0.2">
      <c r="A1913" s="7"/>
      <c r="B1913" s="2" t="s">
        <v>9</v>
      </c>
      <c r="C1913" s="2" t="s">
        <v>42</v>
      </c>
      <c r="D1913" s="2"/>
      <c r="E1913" s="7"/>
      <c r="F1913" s="7"/>
      <c r="G1913" s="9" t="s">
        <v>2322</v>
      </c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</row>
    <row r="1914" spans="1:18" ht="12.75" customHeight="1" x14ac:dyDescent="0.2">
      <c r="A1914" s="7"/>
      <c r="B1914" s="2" t="s">
        <v>11</v>
      </c>
      <c r="C1914" s="2" t="s">
        <v>368</v>
      </c>
      <c r="D1914" s="2"/>
      <c r="E1914" s="7"/>
      <c r="F1914" s="7"/>
      <c r="G1914" s="9" t="s">
        <v>2322</v>
      </c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</row>
    <row r="1915" spans="1:18" ht="12.75" customHeight="1" x14ac:dyDescent="0.2">
      <c r="A1915" s="7"/>
      <c r="B1915" s="2" t="s">
        <v>16</v>
      </c>
      <c r="C1915" s="2"/>
      <c r="D1915" s="2"/>
      <c r="E1915" s="7"/>
      <c r="F1915" s="7"/>
      <c r="G1915" s="9" t="s">
        <v>2322</v>
      </c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</row>
    <row r="1916" spans="1:18" ht="12.75" customHeight="1" x14ac:dyDescent="0.2">
      <c r="A1916" s="7"/>
      <c r="B1916" s="2" t="s">
        <v>17</v>
      </c>
      <c r="C1916" s="2" t="s">
        <v>19</v>
      </c>
      <c r="D1916" s="2"/>
      <c r="E1916" s="7"/>
      <c r="F1916" s="7"/>
      <c r="G1916" s="9" t="s">
        <v>2322</v>
      </c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</row>
    <row r="1917" spans="1:18" ht="12.75" customHeight="1" x14ac:dyDescent="0.2">
      <c r="A1917" s="7"/>
      <c r="B1917" s="2" t="s">
        <v>18</v>
      </c>
      <c r="C1917" s="2" t="s">
        <v>77</v>
      </c>
      <c r="D1917" s="2" t="str">
        <f>HYPERLINK("javascript:void(0)","sárkányzsák")</f>
        <v>sárkányzsák</v>
      </c>
      <c r="E1917" s="7"/>
      <c r="F1917" s="7"/>
      <c r="G1917" s="9" t="s">
        <v>2322</v>
      </c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</row>
    <row r="1918" spans="1:18" ht="12.75" customHeight="1" x14ac:dyDescent="0.2">
      <c r="A1918" s="7"/>
      <c r="B1918" s="2"/>
      <c r="C1918" s="2" t="s">
        <v>117</v>
      </c>
      <c r="D1918" s="2" t="str">
        <f>HYPERLINK("javascript:void(0)","térszelet")</f>
        <v>térszelet</v>
      </c>
      <c r="E1918" s="7"/>
      <c r="F1918" s="7"/>
      <c r="G1918" s="9" t="s">
        <v>2322</v>
      </c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</row>
    <row r="1919" spans="1:18" ht="12.75" customHeight="1" x14ac:dyDescent="0.2">
      <c r="A1919" s="7"/>
      <c r="B1919" s="2"/>
      <c r="C1919" s="2" t="s">
        <v>106</v>
      </c>
      <c r="D1919" s="2" t="str">
        <f>HYPERLINK("javascript:void(0)","ámbra")</f>
        <v>ámbra</v>
      </c>
      <c r="E1919" s="7"/>
      <c r="F1919" s="7"/>
      <c r="G1919" s="9" t="s">
        <v>2322</v>
      </c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</row>
    <row r="1920" spans="1:18" ht="12.75" customHeight="1" x14ac:dyDescent="0.2">
      <c r="A1920" s="7"/>
      <c r="B1920" s="2"/>
      <c r="C1920" s="2"/>
      <c r="D1920" s="2"/>
      <c r="E1920" s="7"/>
      <c r="F1920" s="7"/>
      <c r="G1920" s="9" t="s">
        <v>2322</v>
      </c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</row>
    <row r="1921" spans="1:18" ht="12.75" customHeight="1" x14ac:dyDescent="0.2">
      <c r="A1921" s="7"/>
      <c r="B1921" s="2"/>
      <c r="C1921" s="2"/>
      <c r="D1921" s="2"/>
      <c r="E1921" s="7"/>
      <c r="F1921" s="7"/>
      <c r="G1921" s="9" t="s">
        <v>2322</v>
      </c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</row>
    <row r="1922" spans="1:18" ht="12.75" customHeight="1" x14ac:dyDescent="0.2">
      <c r="A1922" s="7"/>
      <c r="B1922" s="2"/>
      <c r="C1922" s="2"/>
      <c r="D1922" s="2"/>
      <c r="E1922" s="7"/>
      <c r="F1922" s="7"/>
      <c r="G1922" s="9" t="s">
        <v>2322</v>
      </c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</row>
    <row r="1923" spans="1:18" ht="12.75" customHeight="1" x14ac:dyDescent="0.2">
      <c r="A1923" s="7"/>
      <c r="B1923" s="2"/>
      <c r="C1923" s="2"/>
      <c r="D1923" s="2"/>
      <c r="E1923" s="7"/>
      <c r="F1923" s="7"/>
      <c r="G1923" s="9" t="s">
        <v>2322</v>
      </c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</row>
    <row r="1924" spans="1:18" ht="12.75" customHeight="1" x14ac:dyDescent="0.2">
      <c r="A1924" s="7"/>
      <c r="B1924" s="2"/>
      <c r="C1924" s="2"/>
      <c r="D1924" s="2"/>
      <c r="E1924" s="7"/>
      <c r="F1924" s="7"/>
      <c r="G1924" s="9" t="s">
        <v>2322</v>
      </c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</row>
    <row r="1925" spans="1:18" ht="12.75" customHeight="1" x14ac:dyDescent="0.2">
      <c r="A1925" s="7" t="str">
        <f>HYPERLINK("javascript:void(0)","teljes démonvért")</f>
        <v>teljes démonvért</v>
      </c>
      <c r="B1925" s="7"/>
      <c r="C1925" s="7"/>
      <c r="D1925" s="7"/>
      <c r="E1925" s="7"/>
      <c r="F1925" s="7"/>
      <c r="G1925" s="9" t="s">
        <v>2322</v>
      </c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</row>
    <row r="1926" spans="1:18" ht="12.75" customHeight="1" x14ac:dyDescent="0.2">
      <c r="A1926" s="7"/>
      <c r="B1926" s="2"/>
      <c r="C1926" s="2"/>
      <c r="D1926" s="2"/>
      <c r="E1926" s="7"/>
      <c r="F1926" s="7"/>
      <c r="G1926" s="9" t="s">
        <v>2322</v>
      </c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</row>
    <row r="1927" spans="1:18" ht="12.75" customHeight="1" x14ac:dyDescent="0.2">
      <c r="A1927" s="7"/>
      <c r="B1927" s="2" t="s">
        <v>0</v>
      </c>
      <c r="C1927" s="2" t="s">
        <v>782</v>
      </c>
      <c r="D1927" s="2"/>
      <c r="E1927" s="7"/>
      <c r="F1927" s="7"/>
      <c r="G1927" s="9" t="s">
        <v>2322</v>
      </c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</row>
    <row r="1928" spans="1:18" ht="12.75" customHeight="1" x14ac:dyDescent="0.2">
      <c r="A1928" s="7"/>
      <c r="B1928" s="2" t="s">
        <v>2</v>
      </c>
      <c r="C1928" s="2" t="s">
        <v>2322</v>
      </c>
      <c r="D1928" s="2"/>
      <c r="E1928" s="7"/>
      <c r="F1928" s="7"/>
      <c r="G1928" s="9" t="s">
        <v>2322</v>
      </c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</row>
    <row r="1929" spans="1:18" ht="12.75" customHeight="1" x14ac:dyDescent="0.2">
      <c r="A1929" s="7"/>
      <c r="B1929" s="2" t="s">
        <v>1840</v>
      </c>
      <c r="C1929" s="2" t="s">
        <v>2476</v>
      </c>
      <c r="D1929" s="2"/>
      <c r="E1929" s="7"/>
      <c r="F1929" s="7"/>
      <c r="G1929" s="9" t="s">
        <v>2322</v>
      </c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</row>
    <row r="1930" spans="1:18" ht="12.75" customHeight="1" x14ac:dyDescent="0.2">
      <c r="A1930" s="7"/>
      <c r="B1930" s="2" t="s">
        <v>9</v>
      </c>
      <c r="C1930" s="2" t="s">
        <v>916</v>
      </c>
      <c r="D1930" s="2"/>
      <c r="E1930" s="7"/>
      <c r="F1930" s="7"/>
      <c r="G1930" s="9" t="s">
        <v>2322</v>
      </c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</row>
    <row r="1931" spans="1:18" ht="12.75" customHeight="1" x14ac:dyDescent="0.2">
      <c r="A1931" s="7"/>
      <c r="B1931" s="2" t="s">
        <v>11</v>
      </c>
      <c r="C1931" s="2" t="s">
        <v>1090</v>
      </c>
      <c r="D1931" s="2"/>
      <c r="E1931" s="7"/>
      <c r="F1931" s="7"/>
      <c r="G1931" s="9" t="s">
        <v>2322</v>
      </c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</row>
    <row r="1932" spans="1:18" ht="12.75" customHeight="1" x14ac:dyDescent="0.2">
      <c r="A1932" s="7"/>
      <c r="B1932" s="2" t="s">
        <v>16</v>
      </c>
      <c r="C1932" s="2"/>
      <c r="D1932" s="2"/>
      <c r="E1932" s="7"/>
      <c r="F1932" s="7"/>
      <c r="G1932" s="9" t="s">
        <v>2322</v>
      </c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</row>
    <row r="1933" spans="1:18" ht="12.75" customHeight="1" x14ac:dyDescent="0.2">
      <c r="A1933" s="7"/>
      <c r="B1933" s="2" t="s">
        <v>17</v>
      </c>
      <c r="C1933" s="2" t="s">
        <v>19</v>
      </c>
      <c r="D1933" s="2"/>
      <c r="E1933" s="7"/>
      <c r="F1933" s="7"/>
      <c r="G1933" s="9" t="s">
        <v>2322</v>
      </c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</row>
    <row r="1934" spans="1:18" ht="12.75" customHeight="1" x14ac:dyDescent="0.2">
      <c r="A1934" s="7"/>
      <c r="B1934" s="2" t="s">
        <v>18</v>
      </c>
      <c r="C1934" s="2" t="s">
        <v>212</v>
      </c>
      <c r="D1934" s="2" t="str">
        <f>HYPERLINK("javascript:void(0)","démonzanza")</f>
        <v>démonzanza</v>
      </c>
      <c r="E1934" s="7"/>
      <c r="F1934" s="7"/>
      <c r="G1934" s="9" t="s">
        <v>2322</v>
      </c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</row>
    <row r="1935" spans="1:18" ht="12.75" customHeight="1" x14ac:dyDescent="0.2">
      <c r="A1935" s="7"/>
      <c r="B1935" s="2"/>
      <c r="C1935" s="2" t="s">
        <v>290</v>
      </c>
      <c r="D1935" s="2" t="str">
        <f>HYPERLINK("javascript:void(0)","bigapata")</f>
        <v>bigapata</v>
      </c>
      <c r="E1935" s="7"/>
      <c r="F1935" s="7"/>
      <c r="G1935" s="9" t="s">
        <v>2322</v>
      </c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</row>
    <row r="1936" spans="1:18" ht="12.75" customHeight="1" x14ac:dyDescent="0.2">
      <c r="A1936" s="7"/>
      <c r="B1936" s="2"/>
      <c r="C1936" s="2" t="s">
        <v>184</v>
      </c>
      <c r="D1936" s="2" t="str">
        <f>HYPERLINK("javascript:void(0)","törmelék")</f>
        <v>törmelék</v>
      </c>
      <c r="E1936" s="7"/>
      <c r="F1936" s="7"/>
      <c r="G1936" s="9" t="s">
        <v>2322</v>
      </c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</row>
    <row r="1937" spans="1:18" ht="12.75" customHeight="1" x14ac:dyDescent="0.2">
      <c r="A1937" s="7"/>
      <c r="B1937" s="2"/>
      <c r="C1937" s="2"/>
      <c r="D1937" s="2"/>
      <c r="E1937" s="7"/>
      <c r="F1937" s="7"/>
      <c r="G1937" s="9" t="s">
        <v>2322</v>
      </c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</row>
    <row r="1938" spans="1:18" ht="12.75" customHeight="1" x14ac:dyDescent="0.2">
      <c r="A1938" s="7"/>
      <c r="B1938" s="2"/>
      <c r="C1938" s="2"/>
      <c r="D1938" s="2"/>
      <c r="E1938" s="7"/>
      <c r="F1938" s="7"/>
      <c r="G1938" s="9" t="s">
        <v>2322</v>
      </c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</row>
    <row r="1939" spans="1:18" ht="12.75" customHeight="1" x14ac:dyDescent="0.2">
      <c r="A1939" s="7"/>
      <c r="B1939" s="2"/>
      <c r="C1939" s="2"/>
      <c r="D1939" s="2"/>
      <c r="E1939" s="7"/>
      <c r="F1939" s="7"/>
      <c r="G1939" s="9" t="s">
        <v>2322</v>
      </c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</row>
    <row r="1940" spans="1:18" ht="12.75" customHeight="1" x14ac:dyDescent="0.2">
      <c r="A1940" s="7"/>
      <c r="B1940" s="2"/>
      <c r="C1940" s="2"/>
      <c r="D1940" s="2"/>
      <c r="E1940" s="7"/>
      <c r="F1940" s="7"/>
      <c r="G1940" s="9" t="s">
        <v>2322</v>
      </c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</row>
    <row r="1941" spans="1:18" ht="12.75" customHeight="1" x14ac:dyDescent="0.2">
      <c r="A1941" s="7"/>
      <c r="B1941" s="2"/>
      <c r="C1941" s="2"/>
      <c r="D1941" s="2"/>
      <c r="E1941" s="7"/>
      <c r="F1941" s="7"/>
      <c r="G1941" s="9" t="s">
        <v>2322</v>
      </c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</row>
    <row r="1942" spans="1:18" ht="12.75" customHeight="1" x14ac:dyDescent="0.2">
      <c r="A1942" s="7" t="str">
        <f>HYPERLINK("javascript:void(0)","kithrill fűző")</f>
        <v>kithrill fűző</v>
      </c>
      <c r="B1942" s="7"/>
      <c r="C1942" s="7"/>
      <c r="D1942" s="7"/>
      <c r="E1942" s="7"/>
      <c r="F1942" s="7"/>
      <c r="G1942" s="9" t="s">
        <v>2322</v>
      </c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</row>
    <row r="1943" spans="1:18" ht="12.75" customHeight="1" x14ac:dyDescent="0.2">
      <c r="A1943" s="7"/>
      <c r="B1943" s="2"/>
      <c r="C1943" s="2"/>
      <c r="D1943" s="2"/>
      <c r="E1943" s="7"/>
      <c r="F1943" s="7"/>
      <c r="G1943" s="9" t="s">
        <v>2322</v>
      </c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</row>
    <row r="1944" spans="1:18" ht="12.75" customHeight="1" x14ac:dyDescent="0.2">
      <c r="A1944" s="7"/>
      <c r="B1944" s="2" t="s">
        <v>0</v>
      </c>
      <c r="C1944" s="2" t="s">
        <v>782</v>
      </c>
      <c r="D1944" s="2"/>
      <c r="E1944" s="7"/>
      <c r="F1944" s="7"/>
      <c r="G1944" s="9" t="s">
        <v>2322</v>
      </c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</row>
    <row r="1945" spans="1:18" ht="12.75" customHeight="1" x14ac:dyDescent="0.2">
      <c r="A1945" s="7"/>
      <c r="B1945" s="2" t="s">
        <v>2</v>
      </c>
      <c r="C1945" s="2" t="s">
        <v>2322</v>
      </c>
      <c r="D1945" s="2"/>
      <c r="E1945" s="7"/>
      <c r="F1945" s="7"/>
      <c r="G1945" s="9" t="s">
        <v>2322</v>
      </c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</row>
    <row r="1946" spans="1:18" ht="12.75" customHeight="1" x14ac:dyDescent="0.2">
      <c r="A1946" s="7"/>
      <c r="B1946" s="2" t="s">
        <v>1840</v>
      </c>
      <c r="C1946" s="2" t="s">
        <v>417</v>
      </c>
      <c r="D1946" s="2"/>
      <c r="E1946" s="7"/>
      <c r="F1946" s="7"/>
      <c r="G1946" s="9" t="s">
        <v>2322</v>
      </c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</row>
    <row r="1947" spans="1:18" ht="12.75" customHeight="1" x14ac:dyDescent="0.2">
      <c r="A1947" s="7"/>
      <c r="B1947" s="2" t="s">
        <v>9</v>
      </c>
      <c r="C1947" s="2" t="s">
        <v>42</v>
      </c>
      <c r="D1947" s="2"/>
      <c r="E1947" s="7"/>
      <c r="F1947" s="7"/>
      <c r="G1947" s="9" t="s">
        <v>2322</v>
      </c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</row>
    <row r="1948" spans="1:18" ht="12.75" customHeight="1" x14ac:dyDescent="0.2">
      <c r="A1948" s="7"/>
      <c r="B1948" s="2" t="s">
        <v>11</v>
      </c>
      <c r="C1948" s="2" t="s">
        <v>368</v>
      </c>
      <c r="D1948" s="2"/>
      <c r="E1948" s="7"/>
      <c r="F1948" s="7"/>
      <c r="G1948" s="9" t="s">
        <v>2322</v>
      </c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</row>
    <row r="1949" spans="1:18" ht="12.75" customHeight="1" x14ac:dyDescent="0.2">
      <c r="A1949" s="7"/>
      <c r="B1949" s="2" t="s">
        <v>16</v>
      </c>
      <c r="C1949" s="2"/>
      <c r="D1949" s="2"/>
      <c r="E1949" s="7"/>
      <c r="F1949" s="7"/>
      <c r="G1949" s="9" t="s">
        <v>2322</v>
      </c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</row>
    <row r="1950" spans="1:18" ht="12.75" customHeight="1" x14ac:dyDescent="0.2">
      <c r="A1950" s="7"/>
      <c r="B1950" s="2" t="s">
        <v>17</v>
      </c>
      <c r="C1950" s="2" t="s">
        <v>19</v>
      </c>
      <c r="D1950" s="2"/>
      <c r="E1950" s="7"/>
      <c r="F1950" s="7"/>
      <c r="G1950" s="9" t="s">
        <v>2322</v>
      </c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</row>
    <row r="1951" spans="1:18" ht="12.75" customHeight="1" x14ac:dyDescent="0.2">
      <c r="A1951" s="7"/>
      <c r="B1951" s="2" t="s">
        <v>18</v>
      </c>
      <c r="C1951" s="2" t="s">
        <v>403</v>
      </c>
      <c r="D1951" s="2" t="str">
        <f>HYPERLINK("javascript:void(0)","kithrill")</f>
        <v>kithrill</v>
      </c>
      <c r="E1951" s="7"/>
      <c r="F1951" s="7"/>
      <c r="G1951" s="9" t="s">
        <v>2322</v>
      </c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</row>
    <row r="1952" spans="1:18" ht="12.75" customHeight="1" x14ac:dyDescent="0.2">
      <c r="A1952" s="7"/>
      <c r="B1952" s="2"/>
      <c r="C1952" s="2" t="s">
        <v>67</v>
      </c>
      <c r="D1952" s="2" t="str">
        <f>HYPERLINK("javascript:void(0)","aszályige")</f>
        <v>aszályige</v>
      </c>
      <c r="E1952" s="7"/>
      <c r="F1952" s="7"/>
      <c r="G1952" s="9" t="s">
        <v>2322</v>
      </c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</row>
    <row r="1953" spans="1:18" ht="12.75" customHeight="1" x14ac:dyDescent="0.2">
      <c r="A1953" s="7"/>
      <c r="B1953" s="2"/>
      <c r="C1953" s="2" t="s">
        <v>280</v>
      </c>
      <c r="D1953" s="2" t="str">
        <f>HYPERLINK("javascript:void(0)","lux")</f>
        <v>lux</v>
      </c>
      <c r="E1953" s="7"/>
      <c r="F1953" s="7"/>
      <c r="G1953" s="9" t="s">
        <v>2322</v>
      </c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</row>
    <row r="1954" spans="1:18" ht="12.75" customHeight="1" x14ac:dyDescent="0.2">
      <c r="A1954" s="7"/>
      <c r="B1954" s="2"/>
      <c r="C1954" s="2"/>
      <c r="D1954" s="2"/>
      <c r="E1954" s="7"/>
      <c r="F1954" s="7"/>
      <c r="G1954" s="9" t="s">
        <v>2322</v>
      </c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</row>
    <row r="1955" spans="1:18" ht="12.75" customHeight="1" x14ac:dyDescent="0.2">
      <c r="A1955" s="7"/>
      <c r="B1955" s="2"/>
      <c r="C1955" s="2"/>
      <c r="D1955" s="2"/>
      <c r="E1955" s="7"/>
      <c r="F1955" s="7"/>
      <c r="G1955" s="9" t="s">
        <v>2322</v>
      </c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</row>
    <row r="1956" spans="1:18" ht="12.75" customHeight="1" x14ac:dyDescent="0.2">
      <c r="A1956" s="7"/>
      <c r="B1956" s="2"/>
      <c r="C1956" s="2"/>
      <c r="D1956" s="2"/>
      <c r="E1956" s="7"/>
      <c r="F1956" s="7"/>
      <c r="G1956" s="9" t="s">
        <v>2322</v>
      </c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</row>
    <row r="1957" spans="1:18" ht="12.75" customHeight="1" x14ac:dyDescent="0.2">
      <c r="A1957" s="7"/>
      <c r="B1957" s="2"/>
      <c r="C1957" s="2"/>
      <c r="D1957" s="2"/>
      <c r="E1957" s="7"/>
      <c r="F1957" s="7"/>
      <c r="G1957" s="9" t="s">
        <v>2322</v>
      </c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</row>
    <row r="1958" spans="1:18" ht="12.75" customHeight="1" x14ac:dyDescent="0.2">
      <c r="A1958" s="7"/>
      <c r="B1958" s="2"/>
      <c r="C1958" s="2"/>
      <c r="D1958" s="2"/>
      <c r="E1958" s="7"/>
      <c r="F1958" s="7"/>
      <c r="G1958" s="9" t="s">
        <v>2322</v>
      </c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</row>
    <row r="1959" spans="1:18" ht="12.75" customHeight="1" x14ac:dyDescent="0.2">
      <c r="A1959" s="7" t="str">
        <f>HYPERLINK("javascript:void(0)","dracoacél vállap")</f>
        <v>dracoacél vállap</v>
      </c>
      <c r="B1959" s="7"/>
      <c r="C1959" s="7"/>
      <c r="D1959" s="7"/>
      <c r="E1959" s="7"/>
      <c r="F1959" s="7"/>
      <c r="G1959" s="9" t="s">
        <v>2322</v>
      </c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</row>
    <row r="1960" spans="1:18" ht="12.75" customHeight="1" x14ac:dyDescent="0.2">
      <c r="A1960" s="7"/>
      <c r="B1960" s="2"/>
      <c r="C1960" s="2"/>
      <c r="D1960" s="2"/>
      <c r="E1960" s="7"/>
      <c r="F1960" s="7"/>
      <c r="G1960" s="9" t="s">
        <v>2322</v>
      </c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</row>
    <row r="1961" spans="1:18" ht="12.75" customHeight="1" x14ac:dyDescent="0.2">
      <c r="A1961" s="7"/>
      <c r="B1961" s="2" t="s">
        <v>0</v>
      </c>
      <c r="C1961" s="2" t="s">
        <v>782</v>
      </c>
      <c r="D1961" s="2"/>
      <c r="E1961" s="7"/>
      <c r="F1961" s="7"/>
      <c r="G1961" s="9" t="s">
        <v>2322</v>
      </c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</row>
    <row r="1962" spans="1:18" ht="12.75" customHeight="1" x14ac:dyDescent="0.2">
      <c r="A1962" s="7"/>
      <c r="B1962" s="2" t="s">
        <v>2</v>
      </c>
      <c r="C1962" s="2" t="s">
        <v>2322</v>
      </c>
      <c r="D1962" s="2"/>
      <c r="E1962" s="7"/>
      <c r="F1962" s="7"/>
      <c r="G1962" s="9" t="s">
        <v>2322</v>
      </c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</row>
    <row r="1963" spans="1:18" ht="12.75" customHeight="1" x14ac:dyDescent="0.2">
      <c r="A1963" s="7"/>
      <c r="B1963" s="2" t="s">
        <v>1840</v>
      </c>
      <c r="C1963" s="2" t="s">
        <v>115</v>
      </c>
      <c r="D1963" s="2"/>
      <c r="E1963" s="7"/>
      <c r="F1963" s="7"/>
      <c r="G1963" s="9" t="s">
        <v>2322</v>
      </c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</row>
    <row r="1964" spans="1:18" ht="12.75" customHeight="1" x14ac:dyDescent="0.2">
      <c r="A1964" s="7"/>
      <c r="B1964" s="2" t="s">
        <v>9</v>
      </c>
      <c r="C1964" s="2" t="s">
        <v>42</v>
      </c>
      <c r="D1964" s="2"/>
      <c r="E1964" s="7"/>
      <c r="F1964" s="7"/>
      <c r="G1964" s="9" t="s">
        <v>2322</v>
      </c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</row>
    <row r="1965" spans="1:18" ht="12.75" customHeight="1" x14ac:dyDescent="0.2">
      <c r="A1965" s="7"/>
      <c r="B1965" s="2" t="s">
        <v>11</v>
      </c>
      <c r="C1965" s="2" t="s">
        <v>2477</v>
      </c>
      <c r="D1965" s="2"/>
      <c r="E1965" s="7"/>
      <c r="F1965" s="7"/>
      <c r="G1965" s="9" t="s">
        <v>2322</v>
      </c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</row>
    <row r="1966" spans="1:18" ht="12.75" customHeight="1" x14ac:dyDescent="0.2">
      <c r="A1966" s="7"/>
      <c r="B1966" s="2" t="s">
        <v>16</v>
      </c>
      <c r="C1966" s="2"/>
      <c r="D1966" s="2"/>
      <c r="E1966" s="7"/>
      <c r="F1966" s="7"/>
      <c r="G1966" s="9" t="s">
        <v>2322</v>
      </c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</row>
    <row r="1967" spans="1:18" ht="12.75" customHeight="1" x14ac:dyDescent="0.2">
      <c r="A1967" s="7"/>
      <c r="B1967" s="2" t="s">
        <v>17</v>
      </c>
      <c r="C1967" s="2" t="s">
        <v>19</v>
      </c>
      <c r="D1967" s="2"/>
      <c r="E1967" s="7"/>
      <c r="F1967" s="7"/>
      <c r="G1967" s="9" t="s">
        <v>2322</v>
      </c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</row>
    <row r="1968" spans="1:18" ht="12.75" customHeight="1" x14ac:dyDescent="0.2">
      <c r="A1968" s="7"/>
      <c r="B1968" s="2" t="s">
        <v>18</v>
      </c>
      <c r="C1968" s="2" t="s">
        <v>139</v>
      </c>
      <c r="D1968" s="2" t="str">
        <f>HYPERLINK("javascript:void(0)","gránitrög")</f>
        <v>gránitrög</v>
      </c>
      <c r="E1968" s="7"/>
      <c r="F1968" s="7"/>
      <c r="G1968" s="9" t="s">
        <v>2322</v>
      </c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</row>
    <row r="1969" spans="1:18" ht="12.75" customHeight="1" x14ac:dyDescent="0.2">
      <c r="A1969" s="7"/>
      <c r="B1969" s="2"/>
      <c r="C1969" s="2" t="s">
        <v>132</v>
      </c>
      <c r="D1969" s="2" t="str">
        <f>HYPERLINK("javascript:void(0)","wattacsomó")</f>
        <v>wattacsomó</v>
      </c>
      <c r="E1969" s="7"/>
      <c r="F1969" s="7"/>
      <c r="G1969" s="9" t="s">
        <v>2322</v>
      </c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</row>
    <row r="1970" spans="1:18" ht="12.75" customHeight="1" x14ac:dyDescent="0.2">
      <c r="A1970" s="7"/>
      <c r="B1970" s="2"/>
      <c r="C1970" s="2" t="s">
        <v>68</v>
      </c>
      <c r="D1970" s="2" t="str">
        <f>HYPERLINK("javascript:void(0)","ikerkristály")</f>
        <v>ikerkristály</v>
      </c>
      <c r="E1970" s="7"/>
      <c r="F1970" s="7"/>
      <c r="G1970" s="9" t="s">
        <v>2322</v>
      </c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</row>
    <row r="1971" spans="1:18" ht="12.75" customHeight="1" x14ac:dyDescent="0.2">
      <c r="A1971" s="7"/>
      <c r="B1971" s="2"/>
      <c r="C1971" s="2"/>
      <c r="D1971" s="2"/>
      <c r="E1971" s="7"/>
      <c r="F1971" s="7"/>
      <c r="G1971" s="9" t="s">
        <v>2322</v>
      </c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</row>
    <row r="1972" spans="1:18" ht="12.75" customHeight="1" x14ac:dyDescent="0.2">
      <c r="A1972" s="7"/>
      <c r="B1972" s="2"/>
      <c r="C1972" s="2"/>
      <c r="D1972" s="2"/>
      <c r="E1972" s="7"/>
      <c r="F1972" s="7"/>
      <c r="G1972" s="9" t="s">
        <v>2322</v>
      </c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</row>
    <row r="1973" spans="1:18" ht="12.75" customHeight="1" x14ac:dyDescent="0.2">
      <c r="A1973" s="7"/>
      <c r="B1973" s="2"/>
      <c r="C1973" s="2"/>
      <c r="D1973" s="2"/>
      <c r="E1973" s="7"/>
      <c r="F1973" s="7"/>
      <c r="G1973" s="9" t="s">
        <v>2322</v>
      </c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</row>
    <row r="1974" spans="1:18" ht="12.75" customHeight="1" x14ac:dyDescent="0.2">
      <c r="A1974" s="7"/>
      <c r="B1974" s="2"/>
      <c r="C1974" s="2"/>
      <c r="D1974" s="2"/>
      <c r="E1974" s="7"/>
      <c r="F1974" s="7"/>
      <c r="G1974" s="9" t="s">
        <v>2322</v>
      </c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</row>
    <row r="1975" spans="1:18" ht="12.75" customHeight="1" x14ac:dyDescent="0.2">
      <c r="A1975" s="7"/>
      <c r="B1975" s="2"/>
      <c r="C1975" s="2"/>
      <c r="D1975" s="2"/>
      <c r="E1975" s="7"/>
      <c r="F1975" s="7"/>
      <c r="G1975" s="9" t="s">
        <v>2322</v>
      </c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</row>
    <row r="1976" spans="1:18" ht="12.75" customHeight="1" x14ac:dyDescent="0.2">
      <c r="A1976" s="7" t="str">
        <f>HYPERLINK("javascript:void(0)","teljes sárkányvért")</f>
        <v>teljes sárkányvért</v>
      </c>
      <c r="B1976" s="7"/>
      <c r="C1976" s="7"/>
      <c r="D1976" s="7"/>
      <c r="E1976" s="7"/>
      <c r="F1976" s="7"/>
      <c r="G1976" s="9" t="s">
        <v>2322</v>
      </c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</row>
    <row r="1977" spans="1:18" ht="12.75" customHeight="1" x14ac:dyDescent="0.2">
      <c r="A1977" s="7"/>
      <c r="B1977" s="2"/>
      <c r="C1977" s="2"/>
      <c r="D1977" s="2"/>
      <c r="E1977" s="7"/>
      <c r="F1977" s="7"/>
      <c r="G1977" s="9" t="s">
        <v>2322</v>
      </c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</row>
    <row r="1978" spans="1:18" ht="12.75" customHeight="1" x14ac:dyDescent="0.2">
      <c r="A1978" s="7"/>
      <c r="B1978" s="2" t="s">
        <v>0</v>
      </c>
      <c r="C1978" s="2" t="s">
        <v>790</v>
      </c>
      <c r="D1978" s="2"/>
      <c r="E1978" s="7"/>
      <c r="F1978" s="7"/>
      <c r="G1978" s="9" t="s">
        <v>2322</v>
      </c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</row>
    <row r="1979" spans="1:18" ht="12.75" customHeight="1" x14ac:dyDescent="0.2">
      <c r="A1979" s="7"/>
      <c r="B1979" s="2" t="s">
        <v>2</v>
      </c>
      <c r="C1979" s="2" t="s">
        <v>2322</v>
      </c>
      <c r="D1979" s="2"/>
      <c r="E1979" s="7"/>
      <c r="F1979" s="7"/>
      <c r="G1979" s="9" t="s">
        <v>2322</v>
      </c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</row>
    <row r="1980" spans="1:18" ht="12.75" customHeight="1" x14ac:dyDescent="0.2">
      <c r="A1980" s="7"/>
      <c r="B1980" s="2" t="s">
        <v>1840</v>
      </c>
      <c r="C1980" s="2" t="s">
        <v>2478</v>
      </c>
      <c r="D1980" s="2"/>
      <c r="E1980" s="7"/>
      <c r="F1980" s="7"/>
      <c r="G1980" s="9" t="s">
        <v>2322</v>
      </c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</row>
    <row r="1981" spans="1:18" ht="12.75" customHeight="1" x14ac:dyDescent="0.2">
      <c r="A1981" s="7"/>
      <c r="B1981" s="2" t="s">
        <v>9</v>
      </c>
      <c r="C1981" s="2" t="s">
        <v>2379</v>
      </c>
      <c r="D1981" s="2"/>
      <c r="E1981" s="7"/>
      <c r="F1981" s="7"/>
      <c r="G1981" s="9" t="s">
        <v>2322</v>
      </c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</row>
    <row r="1982" spans="1:18" ht="12.75" customHeight="1" x14ac:dyDescent="0.2">
      <c r="A1982" s="7"/>
      <c r="B1982" s="2" t="s">
        <v>11</v>
      </c>
      <c r="C1982" s="2" t="s">
        <v>1105</v>
      </c>
      <c r="D1982" s="2"/>
      <c r="E1982" s="7"/>
      <c r="F1982" s="7"/>
      <c r="G1982" s="9" t="s">
        <v>2322</v>
      </c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</row>
    <row r="1983" spans="1:18" ht="12.75" customHeight="1" x14ac:dyDescent="0.2">
      <c r="A1983" s="7"/>
      <c r="B1983" s="2" t="s">
        <v>16</v>
      </c>
      <c r="C1983" s="2"/>
      <c r="D1983" s="2"/>
      <c r="E1983" s="7"/>
      <c r="F1983" s="7"/>
      <c r="G1983" s="9" t="s">
        <v>2322</v>
      </c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</row>
    <row r="1984" spans="1:18" ht="12.75" customHeight="1" x14ac:dyDescent="0.2">
      <c r="A1984" s="7"/>
      <c r="B1984" s="2" t="s">
        <v>17</v>
      </c>
      <c r="C1984" s="2" t="s">
        <v>19</v>
      </c>
      <c r="D1984" s="2"/>
      <c r="E1984" s="7"/>
      <c r="F1984" s="7"/>
      <c r="G1984" s="9" t="s">
        <v>2322</v>
      </c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</row>
    <row r="1985" spans="1:18" ht="12.75" customHeight="1" x14ac:dyDescent="0.2">
      <c r="A1985" s="7"/>
      <c r="B1985" s="2" t="s">
        <v>18</v>
      </c>
      <c r="C1985" s="2" t="s">
        <v>44</v>
      </c>
      <c r="D1985" s="2" t="str">
        <f>HYPERLINK("javascript:void(0)","teljes démonvért")</f>
        <v>teljes démonvért</v>
      </c>
      <c r="E1985" s="7"/>
      <c r="F1985" s="7"/>
      <c r="G1985" s="9" t="s">
        <v>2322</v>
      </c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</row>
    <row r="1986" spans="1:18" ht="12.75" customHeight="1" x14ac:dyDescent="0.2">
      <c r="A1986" s="7"/>
      <c r="B1986" s="2"/>
      <c r="C1986" s="2" t="s">
        <v>44</v>
      </c>
      <c r="D1986" s="2" t="str">
        <f>HYPERLINK("javascript:void(0)","teljes hidracélvért")</f>
        <v>teljes hidracélvért</v>
      </c>
      <c r="E1986" s="7"/>
      <c r="F1986" s="7"/>
      <c r="G1986" s="9" t="s">
        <v>2322</v>
      </c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</row>
    <row r="1987" spans="1:18" ht="12.75" customHeight="1" x14ac:dyDescent="0.2">
      <c r="A1987" s="7"/>
      <c r="B1987" s="2"/>
      <c r="C1987" s="2" t="s">
        <v>44</v>
      </c>
      <c r="D1987" s="2" t="str">
        <f>HYPERLINK("javascript:void(0)","dracoacél vállap")</f>
        <v>dracoacél vállap</v>
      </c>
      <c r="E1987" s="7"/>
      <c r="F1987" s="7"/>
      <c r="G1987" s="9" t="s">
        <v>2322</v>
      </c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</row>
    <row r="1988" spans="1:18" ht="12.75" customHeight="1" x14ac:dyDescent="0.2">
      <c r="A1988" s="7"/>
      <c r="B1988" s="2"/>
      <c r="C1988" s="2"/>
      <c r="D1988" s="2"/>
      <c r="E1988" s="7"/>
      <c r="F1988" s="7"/>
      <c r="G1988" s="9" t="s">
        <v>2322</v>
      </c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</row>
    <row r="1989" spans="1:18" ht="12.75" customHeight="1" x14ac:dyDescent="0.2">
      <c r="A1989" s="7"/>
      <c r="B1989" s="2"/>
      <c r="C1989" s="2"/>
      <c r="D1989" s="2"/>
      <c r="E1989" s="7"/>
      <c r="F1989" s="7"/>
      <c r="G1989" s="9" t="s">
        <v>2322</v>
      </c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</row>
    <row r="1990" spans="1:18" ht="12.75" customHeight="1" x14ac:dyDescent="0.2">
      <c r="A1990" s="7"/>
      <c r="B1990" s="2"/>
      <c r="C1990" s="2"/>
      <c r="D1990" s="2"/>
      <c r="E1990" s="7"/>
      <c r="F1990" s="7"/>
      <c r="G1990" s="9" t="s">
        <v>2322</v>
      </c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</row>
    <row r="1991" spans="1:18" ht="12.75" customHeight="1" x14ac:dyDescent="0.2">
      <c r="A1991" s="7"/>
      <c r="B1991" s="2"/>
      <c r="C1991" s="2"/>
      <c r="D1991" s="2"/>
      <c r="E1991" s="7"/>
      <c r="F1991" s="7"/>
      <c r="G1991" s="9" t="s">
        <v>2322</v>
      </c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</row>
    <row r="1992" spans="1:18" ht="12.75" customHeight="1" x14ac:dyDescent="0.2">
      <c r="A1992" s="7"/>
      <c r="B1992" s="2"/>
      <c r="C1992" s="2"/>
      <c r="D1992" s="2"/>
      <c r="E1992" s="7"/>
      <c r="F1992" s="7"/>
      <c r="G1992" s="9" t="s">
        <v>2322</v>
      </c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</row>
    <row r="1993" spans="1:18" ht="12.75" customHeight="1" x14ac:dyDescent="0.2">
      <c r="A1993" s="7" t="str">
        <f>HYPERLINK("javascript:void(0)","csillámló orkpáncél")</f>
        <v>csillámló orkpáncél</v>
      </c>
      <c r="B1993" s="7"/>
      <c r="C1993" s="7"/>
      <c r="D1993" s="7"/>
      <c r="E1993" s="7"/>
      <c r="F1993" s="7"/>
      <c r="G1993" s="9" t="s">
        <v>2322</v>
      </c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</row>
    <row r="1994" spans="1:18" ht="12.75" customHeight="1" x14ac:dyDescent="0.2">
      <c r="A1994" s="7"/>
      <c r="B1994" s="2"/>
      <c r="C1994" s="2"/>
      <c r="D1994" s="2"/>
      <c r="E1994" s="7"/>
      <c r="F1994" s="7"/>
      <c r="G1994" s="9" t="s">
        <v>2322</v>
      </c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</row>
    <row r="1995" spans="1:18" ht="12.75" customHeight="1" x14ac:dyDescent="0.2">
      <c r="A1995" s="7"/>
      <c r="B1995" s="2" t="s">
        <v>0</v>
      </c>
      <c r="C1995" s="2" t="s">
        <v>790</v>
      </c>
      <c r="D1995" s="2"/>
      <c r="E1995" s="7"/>
      <c r="F1995" s="7"/>
      <c r="G1995" s="9" t="s">
        <v>2322</v>
      </c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</row>
    <row r="1996" spans="1:18" ht="12.75" customHeight="1" x14ac:dyDescent="0.2">
      <c r="A1996" s="7"/>
      <c r="B1996" s="2" t="s">
        <v>2</v>
      </c>
      <c r="C1996" s="2" t="s">
        <v>2322</v>
      </c>
      <c r="D1996" s="2"/>
      <c r="E1996" s="7"/>
      <c r="F1996" s="7"/>
      <c r="G1996" s="9" t="s">
        <v>2322</v>
      </c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</row>
    <row r="1997" spans="1:18" ht="12.75" customHeight="1" x14ac:dyDescent="0.2">
      <c r="A1997" s="7"/>
      <c r="B1997" s="2" t="s">
        <v>1840</v>
      </c>
      <c r="C1997" s="2" t="s">
        <v>2479</v>
      </c>
      <c r="D1997" s="2"/>
      <c r="E1997" s="7"/>
      <c r="F1997" s="7"/>
      <c r="G1997" s="9" t="s">
        <v>2322</v>
      </c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</row>
    <row r="1998" spans="1:18" ht="12.75" customHeight="1" x14ac:dyDescent="0.2">
      <c r="A1998" s="7"/>
      <c r="B1998" s="2" t="s">
        <v>9</v>
      </c>
      <c r="C1998" s="2" t="s">
        <v>2480</v>
      </c>
      <c r="D1998" s="2"/>
      <c r="E1998" s="7"/>
      <c r="F1998" s="7"/>
      <c r="G1998" s="9" t="s">
        <v>2322</v>
      </c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</row>
    <row r="1999" spans="1:18" ht="12.75" customHeight="1" x14ac:dyDescent="0.2">
      <c r="A1999" s="7"/>
      <c r="B1999" s="2" t="s">
        <v>11</v>
      </c>
      <c r="C1999" s="2" t="s">
        <v>1105</v>
      </c>
      <c r="D1999" s="2"/>
      <c r="E1999" s="7"/>
      <c r="F1999" s="7"/>
      <c r="G1999" s="9" t="s">
        <v>2322</v>
      </c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</row>
    <row r="2000" spans="1:18" ht="12.75" customHeight="1" x14ac:dyDescent="0.2">
      <c r="A2000" s="7"/>
      <c r="B2000" s="2" t="s">
        <v>16</v>
      </c>
      <c r="C2000" s="2"/>
      <c r="D2000" s="2"/>
      <c r="E2000" s="7"/>
      <c r="F2000" s="7"/>
      <c r="G2000" s="9" t="s">
        <v>2322</v>
      </c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</row>
    <row r="2001" spans="1:18" ht="12.75" customHeight="1" x14ac:dyDescent="0.2">
      <c r="A2001" s="7"/>
      <c r="B2001" s="2" t="s">
        <v>17</v>
      </c>
      <c r="C2001" s="2" t="s">
        <v>19</v>
      </c>
      <c r="D2001" s="2"/>
      <c r="E2001" s="7"/>
      <c r="F2001" s="7"/>
      <c r="G2001" s="9" t="s">
        <v>2322</v>
      </c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</row>
    <row r="2002" spans="1:18" ht="12.75" customHeight="1" x14ac:dyDescent="0.2">
      <c r="A2002" s="7"/>
      <c r="B2002" s="2" t="s">
        <v>18</v>
      </c>
      <c r="C2002" s="2" t="s">
        <v>57</v>
      </c>
      <c r="D2002" s="2" t="str">
        <f>HYPERLINK("javascript:void(0)","csillámgöb")</f>
        <v>csillámgöb</v>
      </c>
      <c r="E2002" s="7"/>
      <c r="F2002" s="7"/>
      <c r="G2002" s="9" t="s">
        <v>2322</v>
      </c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</row>
    <row r="2003" spans="1:18" ht="12.75" customHeight="1" x14ac:dyDescent="0.2">
      <c r="A2003" s="7"/>
      <c r="B2003" s="2"/>
      <c r="C2003" s="2" t="s">
        <v>44</v>
      </c>
      <c r="D2003" s="2" t="str">
        <f>HYPERLINK("javascript:void(0)","csillámló kristálypáncél")</f>
        <v>csillámló kristálypáncél</v>
      </c>
      <c r="E2003" s="7"/>
      <c r="F2003" s="7"/>
      <c r="G2003" s="9" t="s">
        <v>2322</v>
      </c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</row>
    <row r="2004" spans="1:18" ht="12.75" customHeight="1" x14ac:dyDescent="0.2">
      <c r="A2004" s="7"/>
      <c r="B2004" s="2"/>
      <c r="C2004" s="2" t="s">
        <v>780</v>
      </c>
      <c r="D2004" s="2" t="str">
        <f>HYPERLINK("javascript:void(0)","sejtmag")</f>
        <v>sejtmag</v>
      </c>
      <c r="E2004" s="7"/>
      <c r="F2004" s="7"/>
      <c r="G2004" s="9" t="s">
        <v>2322</v>
      </c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</row>
    <row r="2005" spans="1:18" ht="12.75" customHeight="1" x14ac:dyDescent="0.2">
      <c r="A2005" s="7"/>
      <c r="B2005" s="2"/>
      <c r="C2005" s="2"/>
      <c r="D2005" s="2"/>
      <c r="E2005" s="7"/>
      <c r="F2005" s="7"/>
      <c r="G2005" s="9" t="s">
        <v>2322</v>
      </c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</row>
    <row r="2006" spans="1:18" ht="12.75" customHeight="1" x14ac:dyDescent="0.2">
      <c r="A2006" s="7"/>
      <c r="B2006" s="2"/>
      <c r="C2006" s="2"/>
      <c r="D2006" s="2"/>
      <c r="E2006" s="7"/>
      <c r="F2006" s="7"/>
      <c r="G2006" s="9" t="s">
        <v>2322</v>
      </c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</row>
    <row r="2007" spans="1:18" ht="12.75" customHeight="1" x14ac:dyDescent="0.2">
      <c r="A2007" s="7"/>
      <c r="B2007" s="2"/>
      <c r="C2007" s="2"/>
      <c r="D2007" s="2"/>
      <c r="E2007" s="7"/>
      <c r="F2007" s="7"/>
      <c r="G2007" s="9" t="s">
        <v>2322</v>
      </c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</row>
    <row r="2008" spans="1:18" ht="12.75" customHeight="1" x14ac:dyDescent="0.2">
      <c r="A2008" s="7"/>
      <c r="B2008" s="2"/>
      <c r="C2008" s="2"/>
      <c r="D2008" s="2"/>
      <c r="E2008" s="7"/>
      <c r="F2008" s="7"/>
      <c r="G2008" s="9" t="s">
        <v>2322</v>
      </c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</row>
    <row r="2009" spans="1:18" ht="12.75" customHeight="1" x14ac:dyDescent="0.2">
      <c r="A2009" s="7"/>
      <c r="B2009" s="2"/>
      <c r="C2009" s="2"/>
      <c r="D2009" s="2"/>
      <c r="E2009" s="7"/>
      <c r="F2009" s="7"/>
      <c r="G2009" s="9" t="s">
        <v>2322</v>
      </c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</row>
    <row r="2010" spans="1:18" ht="12.75" customHeight="1" x14ac:dyDescent="0.2">
      <c r="A2010" s="7" t="str">
        <f>HYPERLINK("javascript:void(0)","teljes átokvért")</f>
        <v>teljes átokvért</v>
      </c>
      <c r="B2010" s="7"/>
      <c r="C2010" s="7"/>
      <c r="D2010" s="7"/>
      <c r="E2010" s="7"/>
      <c r="F2010" s="7"/>
      <c r="G2010" s="9" t="s">
        <v>2322</v>
      </c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</row>
    <row r="2011" spans="1:18" ht="12.75" customHeight="1" x14ac:dyDescent="0.2">
      <c r="A2011" s="7"/>
      <c r="B2011" s="2"/>
      <c r="C2011" s="2"/>
      <c r="D2011" s="2"/>
      <c r="E2011" s="7"/>
      <c r="F2011" s="7"/>
      <c r="G2011" s="9" t="s">
        <v>2322</v>
      </c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</row>
    <row r="2012" spans="1:18" ht="12.75" customHeight="1" x14ac:dyDescent="0.2">
      <c r="A2012" s="7"/>
      <c r="B2012" s="2" t="s">
        <v>0</v>
      </c>
      <c r="C2012" s="2" t="s">
        <v>83</v>
      </c>
      <c r="D2012" s="2"/>
      <c r="E2012" s="7"/>
      <c r="F2012" s="7"/>
      <c r="G2012" s="9" t="s">
        <v>2322</v>
      </c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</row>
    <row r="2013" spans="1:18" ht="12.75" customHeight="1" x14ac:dyDescent="0.2">
      <c r="A2013" s="7"/>
      <c r="B2013" s="2" t="s">
        <v>2</v>
      </c>
      <c r="C2013" s="2" t="s">
        <v>2322</v>
      </c>
      <c r="D2013" s="2"/>
      <c r="E2013" s="7"/>
      <c r="F2013" s="7"/>
      <c r="G2013" s="9" t="s">
        <v>2322</v>
      </c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</row>
    <row r="2014" spans="1:18" ht="12.75" customHeight="1" x14ac:dyDescent="0.2">
      <c r="A2014" s="7"/>
      <c r="B2014" s="2" t="s">
        <v>1840</v>
      </c>
      <c r="C2014" s="2" t="s">
        <v>2481</v>
      </c>
      <c r="D2014" s="2"/>
      <c r="E2014" s="7"/>
      <c r="F2014" s="7"/>
      <c r="G2014" s="9" t="s">
        <v>2322</v>
      </c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</row>
    <row r="2015" spans="1:18" ht="12.75" customHeight="1" x14ac:dyDescent="0.2">
      <c r="A2015" s="7"/>
      <c r="B2015" s="2" t="s">
        <v>9</v>
      </c>
      <c r="C2015" s="2" t="s">
        <v>1973</v>
      </c>
      <c r="D2015" s="2"/>
      <c r="E2015" s="7"/>
      <c r="F2015" s="7"/>
      <c r="G2015" s="9" t="s">
        <v>2322</v>
      </c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</row>
    <row r="2016" spans="1:18" ht="12.75" customHeight="1" x14ac:dyDescent="0.2">
      <c r="A2016" s="7"/>
      <c r="B2016" s="2" t="s">
        <v>11</v>
      </c>
      <c r="C2016" s="2" t="s">
        <v>1125</v>
      </c>
      <c r="D2016" s="2"/>
      <c r="E2016" s="7"/>
      <c r="F2016" s="7"/>
      <c r="G2016" s="9" t="s">
        <v>2322</v>
      </c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</row>
    <row r="2017" spans="1:18" ht="12.75" customHeight="1" x14ac:dyDescent="0.2">
      <c r="A2017" s="7"/>
      <c r="B2017" s="2" t="s">
        <v>16</v>
      </c>
      <c r="C2017" s="2"/>
      <c r="D2017" s="2"/>
      <c r="E2017" s="7"/>
      <c r="F2017" s="7"/>
      <c r="G2017" s="9" t="s">
        <v>2322</v>
      </c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</row>
    <row r="2018" spans="1:18" ht="12.75" customHeight="1" x14ac:dyDescent="0.2">
      <c r="A2018" s="7"/>
      <c r="B2018" s="2" t="s">
        <v>17</v>
      </c>
      <c r="C2018" s="2" t="s">
        <v>19</v>
      </c>
      <c r="D2018" s="2"/>
      <c r="E2018" s="7"/>
      <c r="F2018" s="7"/>
      <c r="G2018" s="9" t="s">
        <v>2322</v>
      </c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</row>
    <row r="2019" spans="1:18" ht="12.75" customHeight="1" x14ac:dyDescent="0.2">
      <c r="A2019" s="7"/>
      <c r="B2019" s="2" t="s">
        <v>18</v>
      </c>
      <c r="C2019" s="2" t="s">
        <v>44</v>
      </c>
      <c r="D2019" s="2" t="str">
        <f>HYPERLINK("javascript:void(0)","teljes sárkányvért")</f>
        <v>teljes sárkányvért</v>
      </c>
      <c r="E2019" s="7"/>
      <c r="F2019" s="7"/>
      <c r="G2019" s="9" t="s">
        <v>2322</v>
      </c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</row>
    <row r="2020" spans="1:18" ht="12.75" customHeight="1" x14ac:dyDescent="0.2">
      <c r="A2020" s="7"/>
      <c r="B2020" s="2"/>
      <c r="C2020" s="2" t="s">
        <v>244</v>
      </c>
      <c r="D2020" s="2" t="str">
        <f>HYPERLINK("javascript:void(0)","átokige")</f>
        <v>átokige</v>
      </c>
      <c r="E2020" s="7"/>
      <c r="F2020" s="7"/>
      <c r="G2020" s="9" t="s">
        <v>2322</v>
      </c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</row>
    <row r="2021" spans="1:18" ht="12.75" customHeight="1" x14ac:dyDescent="0.2">
      <c r="A2021" s="7"/>
      <c r="B2021" s="2"/>
      <c r="C2021" s="2" t="s">
        <v>1844</v>
      </c>
      <c r="D2021" s="2" t="str">
        <f>HYPERLINK("javascript:void(0)","kincs")</f>
        <v>kincs</v>
      </c>
      <c r="E2021" s="7"/>
      <c r="F2021" s="7"/>
      <c r="G2021" s="9" t="s">
        <v>2322</v>
      </c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</row>
    <row r="2022" spans="1:18" ht="12.75" customHeight="1" x14ac:dyDescent="0.2">
      <c r="A2022" s="7"/>
      <c r="B2022" s="2"/>
      <c r="C2022" s="2"/>
      <c r="D2022" s="2"/>
      <c r="E2022" s="7"/>
      <c r="F2022" s="7"/>
      <c r="G2022" s="9" t="s">
        <v>2322</v>
      </c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</row>
    <row r="2023" spans="1:18" ht="12.75" customHeight="1" x14ac:dyDescent="0.2">
      <c r="A2023" s="7"/>
      <c r="B2023" s="2"/>
      <c r="C2023" s="2"/>
      <c r="D2023" s="2"/>
      <c r="E2023" s="7"/>
      <c r="F2023" s="7"/>
      <c r="G2023" s="9" t="s">
        <v>2322</v>
      </c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</row>
    <row r="2024" spans="1:18" ht="12.75" customHeight="1" x14ac:dyDescent="0.2">
      <c r="A2024" s="7"/>
      <c r="B2024" s="2"/>
      <c r="C2024" s="2"/>
      <c r="D2024" s="2"/>
      <c r="E2024" s="7"/>
      <c r="F2024" s="7"/>
      <c r="G2024" s="9" t="s">
        <v>2322</v>
      </c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</row>
    <row r="2025" spans="1:18" ht="12.75" customHeight="1" x14ac:dyDescent="0.2">
      <c r="A2025" s="7"/>
      <c r="B2025" s="2"/>
      <c r="C2025" s="2"/>
      <c r="D2025" s="2"/>
      <c r="E2025" s="7"/>
      <c r="F2025" s="7"/>
      <c r="G2025" s="9" t="s">
        <v>2322</v>
      </c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</row>
    <row r="2026" spans="1:18" ht="12.75" customHeight="1" x14ac:dyDescent="0.2">
      <c r="A2026" s="7"/>
      <c r="B2026" s="2"/>
      <c r="C2026" s="2"/>
      <c r="D2026" s="2"/>
      <c r="E2026" s="7"/>
      <c r="F2026" s="7"/>
      <c r="G2026" s="9" t="s">
        <v>2322</v>
      </c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</row>
    <row r="2027" spans="1:18" ht="12.75" customHeight="1" x14ac:dyDescent="0.2">
      <c r="A2027" s="7" t="str">
        <f>HYPERLINK("javascript:void(0)","teljes grafitvért")</f>
        <v>teljes grafitvért</v>
      </c>
      <c r="B2027" s="7"/>
      <c r="C2027" s="7"/>
      <c r="D2027" s="7"/>
      <c r="E2027" s="7"/>
      <c r="F2027" s="7"/>
      <c r="G2027" s="9" t="s">
        <v>2322</v>
      </c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</row>
    <row r="2028" spans="1:18" ht="12.75" customHeight="1" x14ac:dyDescent="0.2">
      <c r="A2028" s="7"/>
      <c r="B2028" s="2"/>
      <c r="C2028" s="2"/>
      <c r="D2028" s="2"/>
      <c r="E2028" s="7"/>
      <c r="F2028" s="7"/>
      <c r="G2028" s="9" t="s">
        <v>2322</v>
      </c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</row>
    <row r="2029" spans="1:18" ht="12.75" customHeight="1" x14ac:dyDescent="0.2">
      <c r="A2029" s="7"/>
      <c r="B2029" s="2" t="s">
        <v>0</v>
      </c>
      <c r="C2029" s="2" t="s">
        <v>302</v>
      </c>
      <c r="D2029" s="2"/>
      <c r="E2029" s="7"/>
      <c r="F2029" s="7"/>
      <c r="G2029" s="9" t="s">
        <v>2322</v>
      </c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</row>
    <row r="2030" spans="1:18" ht="12.75" customHeight="1" x14ac:dyDescent="0.2">
      <c r="A2030" s="7"/>
      <c r="B2030" s="2" t="s">
        <v>2</v>
      </c>
      <c r="C2030" s="2" t="s">
        <v>2322</v>
      </c>
      <c r="D2030" s="2"/>
      <c r="E2030" s="7"/>
      <c r="F2030" s="7"/>
      <c r="G2030" s="9" t="s">
        <v>2322</v>
      </c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</row>
    <row r="2031" spans="1:18" ht="12.75" customHeight="1" x14ac:dyDescent="0.2">
      <c r="A2031" s="7"/>
      <c r="B2031" s="2" t="s">
        <v>1840</v>
      </c>
      <c r="C2031" s="2" t="s">
        <v>2482</v>
      </c>
      <c r="D2031" s="2"/>
      <c r="E2031" s="7"/>
      <c r="F2031" s="7"/>
      <c r="G2031" s="9" t="s">
        <v>2322</v>
      </c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</row>
    <row r="2032" spans="1:18" ht="12.75" customHeight="1" x14ac:dyDescent="0.2">
      <c r="A2032" s="7"/>
      <c r="B2032" s="2" t="s">
        <v>9</v>
      </c>
      <c r="C2032" s="2" t="s">
        <v>306</v>
      </c>
      <c r="D2032" s="2"/>
      <c r="E2032" s="7"/>
      <c r="F2032" s="7"/>
      <c r="G2032" s="9" t="s">
        <v>2322</v>
      </c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</row>
    <row r="2033" spans="1:18" ht="12.75" customHeight="1" x14ac:dyDescent="0.2">
      <c r="A2033" s="7"/>
      <c r="B2033" s="2" t="s">
        <v>11</v>
      </c>
      <c r="C2033" s="2" t="s">
        <v>1145</v>
      </c>
      <c r="D2033" s="2"/>
      <c r="E2033" s="7"/>
      <c r="F2033" s="7"/>
      <c r="G2033" s="9" t="s">
        <v>2322</v>
      </c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</row>
    <row r="2034" spans="1:18" ht="12.75" customHeight="1" x14ac:dyDescent="0.2">
      <c r="A2034" s="7"/>
      <c r="B2034" s="2" t="s">
        <v>16</v>
      </c>
      <c r="C2034" s="2"/>
      <c r="D2034" s="2"/>
      <c r="E2034" s="7"/>
      <c r="F2034" s="7"/>
      <c r="G2034" s="9" t="s">
        <v>2322</v>
      </c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</row>
    <row r="2035" spans="1:18" ht="12.75" customHeight="1" x14ac:dyDescent="0.2">
      <c r="A2035" s="7"/>
      <c r="B2035" s="2" t="s">
        <v>17</v>
      </c>
      <c r="C2035" s="2" t="s">
        <v>19</v>
      </c>
      <c r="D2035" s="2"/>
      <c r="E2035" s="7"/>
      <c r="F2035" s="7"/>
      <c r="G2035" s="9" t="s">
        <v>2322</v>
      </c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</row>
    <row r="2036" spans="1:18" ht="12.75" customHeight="1" x14ac:dyDescent="0.2">
      <c r="A2036" s="7"/>
      <c r="B2036" s="2" t="s">
        <v>18</v>
      </c>
      <c r="C2036" s="2" t="s">
        <v>193</v>
      </c>
      <c r="D2036" s="2" t="str">
        <f>HYPERLINK("javascript:void(0)","gránitrög")</f>
        <v>gránitrög</v>
      </c>
      <c r="E2036" s="7"/>
      <c r="F2036" s="7"/>
      <c r="G2036" s="9" t="s">
        <v>2322</v>
      </c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</row>
    <row r="2037" spans="1:18" ht="12.75" customHeight="1" x14ac:dyDescent="0.2">
      <c r="A2037" s="7"/>
      <c r="B2037" s="2"/>
      <c r="C2037" s="2" t="s">
        <v>244</v>
      </c>
      <c r="D2037" s="2" t="str">
        <f>HYPERLINK("javascript:void(0)","cerka")</f>
        <v>cerka</v>
      </c>
      <c r="E2037" s="7"/>
      <c r="F2037" s="7"/>
      <c r="G2037" s="9" t="s">
        <v>2322</v>
      </c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</row>
    <row r="2038" spans="1:18" ht="12.75" customHeight="1" x14ac:dyDescent="0.2">
      <c r="A2038" s="7"/>
      <c r="B2038" s="2"/>
      <c r="C2038" s="2" t="s">
        <v>772</v>
      </c>
      <c r="D2038" s="2" t="str">
        <f>HYPERLINK("javascript:void(0)","aszályige")</f>
        <v>aszályige</v>
      </c>
      <c r="E2038" s="7"/>
      <c r="F2038" s="7"/>
      <c r="G2038" s="9" t="s">
        <v>2322</v>
      </c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</row>
    <row r="2039" spans="1:18" ht="12.75" customHeight="1" x14ac:dyDescent="0.2">
      <c r="A2039" s="7"/>
      <c r="B2039" s="2"/>
      <c r="C2039" s="2"/>
      <c r="D2039" s="2"/>
      <c r="E2039" s="7"/>
      <c r="F2039" s="7"/>
      <c r="G2039" s="9" t="s">
        <v>2322</v>
      </c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</row>
    <row r="2040" spans="1:18" ht="12.75" customHeight="1" x14ac:dyDescent="0.2">
      <c r="A2040" s="7"/>
      <c r="B2040" s="2"/>
      <c r="C2040" s="2"/>
      <c r="D2040" s="2"/>
      <c r="E2040" s="7"/>
      <c r="F2040" s="7"/>
      <c r="G2040" s="9" t="s">
        <v>2322</v>
      </c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</row>
    <row r="2041" spans="1:18" ht="12.75" customHeight="1" x14ac:dyDescent="0.2">
      <c r="A2041" s="7"/>
      <c r="B2041" s="2"/>
      <c r="C2041" s="2"/>
      <c r="D2041" s="2"/>
      <c r="E2041" s="7"/>
      <c r="F2041" s="7"/>
      <c r="G2041" s="9" t="s">
        <v>2322</v>
      </c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</row>
    <row r="2042" spans="1:18" ht="12.75" customHeight="1" x14ac:dyDescent="0.2">
      <c r="A2042" s="7"/>
      <c r="B2042" s="2"/>
      <c r="C2042" s="2"/>
      <c r="D2042" s="2"/>
      <c r="E2042" s="7"/>
      <c r="F2042" s="7"/>
      <c r="G2042" s="9" t="s">
        <v>2322</v>
      </c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</row>
    <row r="2043" spans="1:18" ht="12.75" customHeight="1" x14ac:dyDescent="0.2">
      <c r="A2043" s="7"/>
      <c r="B2043" s="2"/>
      <c r="C2043" s="2"/>
      <c r="D2043" s="2"/>
      <c r="E2043" s="7"/>
      <c r="F2043" s="7"/>
      <c r="G2043" s="9" t="s">
        <v>2322</v>
      </c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</row>
    <row r="2044" spans="1:18" ht="12.75" customHeight="1" x14ac:dyDescent="0.2">
      <c r="A2044" s="7" t="str">
        <f>HYPERLINK("javascript:void(0)","teljes húrvért")</f>
        <v>teljes húrvért</v>
      </c>
      <c r="B2044" s="7"/>
      <c r="C2044" s="7"/>
      <c r="D2044" s="7"/>
      <c r="E2044" s="7"/>
      <c r="F2044" s="7"/>
      <c r="G2044" s="9" t="s">
        <v>2322</v>
      </c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</row>
    <row r="2045" spans="1:18" ht="12.75" customHeight="1" x14ac:dyDescent="0.2">
      <c r="A2045" s="7"/>
      <c r="B2045" s="2"/>
      <c r="C2045" s="2"/>
      <c r="D2045" s="2"/>
      <c r="E2045" s="7"/>
      <c r="F2045" s="7"/>
      <c r="G2045" s="9" t="s">
        <v>2322</v>
      </c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</row>
    <row r="2046" spans="1:18" ht="12.75" customHeight="1" x14ac:dyDescent="0.2">
      <c r="A2046" s="7"/>
      <c r="B2046" s="2" t="s">
        <v>0</v>
      </c>
      <c r="C2046" s="2" t="s">
        <v>255</v>
      </c>
      <c r="D2046" s="2"/>
      <c r="E2046" s="7"/>
      <c r="F2046" s="7"/>
      <c r="G2046" s="9" t="s">
        <v>2322</v>
      </c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</row>
    <row r="2047" spans="1:18" ht="12.75" customHeight="1" x14ac:dyDescent="0.2">
      <c r="A2047" s="7"/>
      <c r="B2047" s="2" t="s">
        <v>2</v>
      </c>
      <c r="C2047" s="2" t="s">
        <v>2322</v>
      </c>
      <c r="D2047" s="2"/>
      <c r="E2047" s="7"/>
      <c r="F2047" s="7"/>
      <c r="G2047" s="9" t="s">
        <v>2322</v>
      </c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</row>
    <row r="2048" spans="1:18" ht="12.75" customHeight="1" x14ac:dyDescent="0.2">
      <c r="A2048" s="7"/>
      <c r="B2048" s="2" t="s">
        <v>1840</v>
      </c>
      <c r="C2048" s="2" t="s">
        <v>318</v>
      </c>
      <c r="D2048" s="2"/>
      <c r="E2048" s="7"/>
      <c r="F2048" s="7"/>
      <c r="G2048" s="9" t="s">
        <v>2322</v>
      </c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</row>
    <row r="2049" spans="1:18" ht="12.75" customHeight="1" x14ac:dyDescent="0.2">
      <c r="A2049" s="7"/>
      <c r="B2049" s="2" t="s">
        <v>9</v>
      </c>
      <c r="C2049" s="2" t="s">
        <v>1584</v>
      </c>
      <c r="D2049" s="2"/>
      <c r="E2049" s="7"/>
      <c r="F2049" s="7"/>
      <c r="G2049" s="9" t="s">
        <v>2322</v>
      </c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</row>
    <row r="2050" spans="1:18" ht="12.75" customHeight="1" x14ac:dyDescent="0.2">
      <c r="A2050" s="7"/>
      <c r="B2050" s="2" t="s">
        <v>11</v>
      </c>
      <c r="C2050" s="2" t="s">
        <v>1159</v>
      </c>
      <c r="D2050" s="2"/>
      <c r="E2050" s="7"/>
      <c r="F2050" s="7"/>
      <c r="G2050" s="9" t="s">
        <v>2322</v>
      </c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</row>
    <row r="2051" spans="1:18" ht="12.75" customHeight="1" x14ac:dyDescent="0.2">
      <c r="A2051" s="7"/>
      <c r="B2051" s="2" t="s">
        <v>16</v>
      </c>
      <c r="C2051" s="2"/>
      <c r="D2051" s="2"/>
      <c r="E2051" s="7"/>
      <c r="F2051" s="7"/>
      <c r="G2051" s="9" t="s">
        <v>2322</v>
      </c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</row>
    <row r="2052" spans="1:18" ht="12.75" customHeight="1" x14ac:dyDescent="0.2">
      <c r="A2052" s="7"/>
      <c r="B2052" s="2" t="s">
        <v>17</v>
      </c>
      <c r="C2052" s="2" t="s">
        <v>19</v>
      </c>
      <c r="D2052" s="2"/>
      <c r="E2052" s="7"/>
      <c r="F2052" s="7"/>
      <c r="G2052" s="9" t="s">
        <v>2322</v>
      </c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</row>
    <row r="2053" spans="1:18" ht="12.75" customHeight="1" x14ac:dyDescent="0.2">
      <c r="A2053" s="7"/>
      <c r="B2053" s="2" t="s">
        <v>18</v>
      </c>
      <c r="C2053" s="2" t="s">
        <v>44</v>
      </c>
      <c r="D2053" s="2" t="str">
        <f>HYPERLINK("javascript:void(0)","teljes grafitvért")</f>
        <v>teljes grafitvért</v>
      </c>
      <c r="E2053" s="7"/>
      <c r="F2053" s="7"/>
      <c r="G2053" s="9" t="s">
        <v>2322</v>
      </c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</row>
    <row r="2054" spans="1:18" ht="12.75" customHeight="1" x14ac:dyDescent="0.2">
      <c r="A2054" s="7"/>
      <c r="B2054" s="2"/>
      <c r="C2054" s="2" t="s">
        <v>44</v>
      </c>
      <c r="D2054" s="2" t="str">
        <f>HYPERLINK("javascript:void(0)","húrmellény")</f>
        <v>húrmellény</v>
      </c>
      <c r="E2054" s="7"/>
      <c r="F2054" s="7"/>
      <c r="G2054" s="9" t="s">
        <v>2322</v>
      </c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</row>
    <row r="2055" spans="1:18" ht="12.75" customHeight="1" x14ac:dyDescent="0.2">
      <c r="A2055" s="7"/>
      <c r="B2055" s="2"/>
      <c r="C2055" s="2" t="s">
        <v>44</v>
      </c>
      <c r="D2055" s="2" t="str">
        <f>HYPERLINK("javascript:void(0)","teljes átokvért")</f>
        <v>teljes átokvért</v>
      </c>
      <c r="E2055" s="7"/>
      <c r="F2055" s="7"/>
      <c r="G2055" s="9" t="s">
        <v>2322</v>
      </c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</row>
    <row r="2056" spans="1:18" ht="12.75" customHeight="1" x14ac:dyDescent="0.2">
      <c r="A2056" s="7"/>
      <c r="B2056" s="2"/>
      <c r="C2056" s="2"/>
      <c r="D2056" s="2"/>
      <c r="E2056" s="7"/>
      <c r="F2056" s="7"/>
      <c r="G2056" s="9" t="s">
        <v>2322</v>
      </c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</row>
    <row r="2057" spans="1:18" ht="12.75" customHeight="1" x14ac:dyDescent="0.2">
      <c r="A2057" s="7"/>
      <c r="B2057" s="2"/>
      <c r="C2057" s="2"/>
      <c r="D2057" s="2"/>
      <c r="E2057" s="7"/>
      <c r="F2057" s="7"/>
      <c r="G2057" s="9" t="s">
        <v>2322</v>
      </c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</row>
    <row r="2058" spans="1:18" ht="12.75" customHeight="1" x14ac:dyDescent="0.2">
      <c r="A2058" s="7"/>
      <c r="B2058" s="2"/>
      <c r="C2058" s="2"/>
      <c r="D2058" s="2"/>
      <c r="E2058" s="7"/>
      <c r="F2058" s="7"/>
      <c r="G2058" s="9" t="s">
        <v>2322</v>
      </c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</row>
    <row r="2059" spans="1:18" ht="12.75" customHeight="1" x14ac:dyDescent="0.2">
      <c r="A2059" s="7"/>
      <c r="B2059" s="2"/>
      <c r="C2059" s="2"/>
      <c r="D2059" s="2"/>
      <c r="E2059" s="7"/>
      <c r="F2059" s="7"/>
      <c r="G2059" s="9" t="s">
        <v>2322</v>
      </c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</row>
    <row r="2060" spans="1:18" ht="12.75" customHeight="1" x14ac:dyDescent="0.2">
      <c r="A2060" s="7"/>
      <c r="B2060" s="2"/>
      <c r="C2060" s="2"/>
      <c r="D2060" s="2"/>
      <c r="E2060" s="7"/>
      <c r="F2060" s="7"/>
      <c r="G2060" s="9" t="s">
        <v>2322</v>
      </c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</row>
    <row r="2061" spans="1:18" ht="12.75" customHeight="1" x14ac:dyDescent="0.2">
      <c r="A2061" s="7" t="str">
        <f>HYPERLINK("javascript:void(0)","húrmellény")</f>
        <v>húrmellény</v>
      </c>
      <c r="B2061" s="7"/>
      <c r="C2061" s="7"/>
      <c r="D2061" s="7"/>
      <c r="E2061" s="7"/>
      <c r="F2061" s="7"/>
      <c r="G2061" s="9" t="s">
        <v>2322</v>
      </c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</row>
    <row r="2062" spans="1:18" ht="12.75" customHeight="1" x14ac:dyDescent="0.2">
      <c r="A2062" s="7"/>
      <c r="B2062" s="2"/>
      <c r="C2062" s="2"/>
      <c r="D2062" s="2"/>
      <c r="E2062" s="7"/>
      <c r="F2062" s="7"/>
      <c r="G2062" s="9" t="s">
        <v>2322</v>
      </c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</row>
    <row r="2063" spans="1:18" ht="12.75" customHeight="1" x14ac:dyDescent="0.2">
      <c r="A2063" s="7"/>
      <c r="B2063" s="2" t="s">
        <v>0</v>
      </c>
      <c r="C2063" s="2" t="s">
        <v>255</v>
      </c>
      <c r="D2063" s="2"/>
      <c r="E2063" s="7"/>
      <c r="F2063" s="7"/>
      <c r="G2063" s="9" t="s">
        <v>2322</v>
      </c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</row>
    <row r="2064" spans="1:18" ht="12.75" customHeight="1" x14ac:dyDescent="0.2">
      <c r="A2064" s="7"/>
      <c r="B2064" s="2" t="s">
        <v>2</v>
      </c>
      <c r="C2064" s="2" t="s">
        <v>2322</v>
      </c>
      <c r="D2064" s="2"/>
      <c r="E2064" s="7"/>
      <c r="F2064" s="7"/>
      <c r="G2064" s="9" t="s">
        <v>2322</v>
      </c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</row>
    <row r="2065" spans="1:18" ht="12.75" customHeight="1" x14ac:dyDescent="0.2">
      <c r="A2065" s="7"/>
      <c r="B2065" s="2" t="s">
        <v>1840</v>
      </c>
      <c r="C2065" s="2" t="s">
        <v>115</v>
      </c>
      <c r="D2065" s="2"/>
      <c r="E2065" s="7"/>
      <c r="F2065" s="7"/>
      <c r="G2065" s="9" t="s">
        <v>2322</v>
      </c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</row>
    <row r="2066" spans="1:18" ht="12.75" customHeight="1" x14ac:dyDescent="0.2">
      <c r="A2066" s="7"/>
      <c r="B2066" s="2" t="s">
        <v>9</v>
      </c>
      <c r="C2066" s="2" t="s">
        <v>42</v>
      </c>
      <c r="D2066" s="2"/>
      <c r="E2066" s="7"/>
      <c r="F2066" s="7"/>
      <c r="G2066" s="9" t="s">
        <v>2322</v>
      </c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</row>
    <row r="2067" spans="1:18" ht="12.75" customHeight="1" x14ac:dyDescent="0.2">
      <c r="A2067" s="7"/>
      <c r="B2067" s="2" t="s">
        <v>11</v>
      </c>
      <c r="C2067" s="2" t="s">
        <v>2483</v>
      </c>
      <c r="D2067" s="2"/>
      <c r="E2067" s="7"/>
      <c r="F2067" s="7"/>
      <c r="G2067" s="9" t="s">
        <v>2322</v>
      </c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</row>
    <row r="2068" spans="1:18" ht="12.75" customHeight="1" x14ac:dyDescent="0.2">
      <c r="A2068" s="7"/>
      <c r="B2068" s="2" t="s">
        <v>16</v>
      </c>
      <c r="C2068" s="2"/>
      <c r="D2068" s="2"/>
      <c r="E2068" s="7"/>
      <c r="F2068" s="7"/>
      <c r="G2068" s="9" t="s">
        <v>2322</v>
      </c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</row>
    <row r="2069" spans="1:18" ht="12.75" customHeight="1" x14ac:dyDescent="0.2">
      <c r="A2069" s="7"/>
      <c r="B2069" s="2" t="s">
        <v>17</v>
      </c>
      <c r="C2069" s="2" t="s">
        <v>19</v>
      </c>
      <c r="D2069" s="2"/>
      <c r="E2069" s="7"/>
      <c r="F2069" s="7"/>
      <c r="G2069" s="9" t="s">
        <v>2322</v>
      </c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</row>
    <row r="2070" spans="1:18" ht="12.75" customHeight="1" x14ac:dyDescent="0.2">
      <c r="A2070" s="7"/>
      <c r="B2070" s="2" t="s">
        <v>18</v>
      </c>
      <c r="C2070" s="2" t="s">
        <v>67</v>
      </c>
      <c r="D2070" s="2" t="str">
        <f>HYPERLINK("javascript:void(0)","zanzahúr")</f>
        <v>zanzahúr</v>
      </c>
      <c r="E2070" s="7"/>
      <c r="F2070" s="7"/>
      <c r="G2070" s="9" t="s">
        <v>2322</v>
      </c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</row>
    <row r="2071" spans="1:18" ht="12.75" customHeight="1" x14ac:dyDescent="0.2">
      <c r="A2071" s="7"/>
      <c r="B2071" s="2"/>
      <c r="C2071" s="2" t="s">
        <v>132</v>
      </c>
      <c r="D2071" s="2" t="str">
        <f>HYPERLINK("javascript:void(0)","csapdaszeg")</f>
        <v>csapdaszeg</v>
      </c>
      <c r="E2071" s="7"/>
      <c r="F2071" s="7"/>
      <c r="G2071" s="9" t="s">
        <v>2322</v>
      </c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</row>
    <row r="2072" spans="1:18" ht="12.75" customHeight="1" x14ac:dyDescent="0.2">
      <c r="A2072" s="7"/>
      <c r="B2072" s="2"/>
      <c r="C2072" s="2" t="s">
        <v>280</v>
      </c>
      <c r="D2072" s="2" t="str">
        <f>HYPERLINK("javascript:void(0)","hörcsögagyar")</f>
        <v>hörcsögagyar</v>
      </c>
      <c r="E2072" s="7"/>
      <c r="F2072" s="7"/>
      <c r="G2072" s="9" t="s">
        <v>2322</v>
      </c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</row>
    <row r="2073" spans="1:18" ht="12.75" customHeight="1" x14ac:dyDescent="0.2">
      <c r="A2073" s="7"/>
      <c r="B2073" s="2"/>
      <c r="C2073" s="2"/>
      <c r="D2073" s="2"/>
      <c r="E2073" s="7"/>
      <c r="F2073" s="7"/>
      <c r="G2073" s="9" t="s">
        <v>2322</v>
      </c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</row>
    <row r="2074" spans="1:18" ht="12.75" customHeight="1" x14ac:dyDescent="0.2">
      <c r="A2074" s="7"/>
      <c r="B2074" s="2"/>
      <c r="C2074" s="2"/>
      <c r="D2074" s="2"/>
      <c r="E2074" s="7"/>
      <c r="F2074" s="7"/>
      <c r="G2074" s="9" t="s">
        <v>2322</v>
      </c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</row>
    <row r="2075" spans="1:18" ht="12.75" customHeight="1" x14ac:dyDescent="0.2">
      <c r="A2075" s="7"/>
      <c r="B2075" s="2"/>
      <c r="C2075" s="2"/>
      <c r="D2075" s="2"/>
      <c r="E2075" s="7"/>
      <c r="F2075" s="7"/>
      <c r="G2075" s="9" t="s">
        <v>2322</v>
      </c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</row>
    <row r="2076" spans="1:18" ht="12.75" customHeight="1" x14ac:dyDescent="0.2">
      <c r="A2076" s="7"/>
      <c r="B2076" s="2"/>
      <c r="C2076" s="2"/>
      <c r="D2076" s="2"/>
      <c r="E2076" s="7"/>
      <c r="F2076" s="7"/>
      <c r="G2076" s="9" t="s">
        <v>2322</v>
      </c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</row>
    <row r="2077" spans="1:18" ht="12.75" customHeight="1" x14ac:dyDescent="0.2">
      <c r="A2077" s="7"/>
      <c r="B2077" s="2"/>
      <c r="C2077" s="2"/>
      <c r="D2077" s="2"/>
      <c r="E2077" s="7"/>
      <c r="F2077" s="7"/>
      <c r="G2077" s="9" t="s">
        <v>2322</v>
      </c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</row>
    <row r="2078" spans="1:18" ht="12.75" customHeight="1" x14ac:dyDescent="0.2">
      <c r="A2078" s="7" t="str">
        <f>HYPERLINK("javascript:void(0)","teljes elfacélvért")</f>
        <v>teljes elfacélvért</v>
      </c>
      <c r="B2078" s="7"/>
      <c r="C2078" s="7"/>
      <c r="D2078" s="7"/>
      <c r="E2078" s="7"/>
      <c r="F2078" s="7"/>
      <c r="G2078" s="9" t="s">
        <v>2322</v>
      </c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</row>
    <row r="2079" spans="1:18" ht="12.75" customHeight="1" x14ac:dyDescent="0.2">
      <c r="A2079" s="7"/>
      <c r="B2079" s="2"/>
      <c r="C2079" s="2"/>
      <c r="D2079" s="2"/>
      <c r="E2079" s="7"/>
      <c r="F2079" s="7"/>
      <c r="G2079" s="9" t="s">
        <v>2322</v>
      </c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</row>
    <row r="2080" spans="1:18" ht="12.75" customHeight="1" x14ac:dyDescent="0.2">
      <c r="A2080" s="7"/>
      <c r="B2080" s="2" t="s">
        <v>0</v>
      </c>
      <c r="C2080" s="2" t="s">
        <v>281</v>
      </c>
      <c r="D2080" s="2"/>
      <c r="E2080" s="7"/>
      <c r="F2080" s="7"/>
      <c r="G2080" s="9" t="s">
        <v>2322</v>
      </c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</row>
    <row r="2081" spans="1:18" ht="12.75" customHeight="1" x14ac:dyDescent="0.2">
      <c r="A2081" s="7"/>
      <c r="B2081" s="2" t="s">
        <v>2</v>
      </c>
      <c r="C2081" s="2" t="s">
        <v>2322</v>
      </c>
      <c r="D2081" s="2"/>
      <c r="E2081" s="7"/>
      <c r="F2081" s="7"/>
      <c r="G2081" s="9" t="s">
        <v>2322</v>
      </c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</row>
    <row r="2082" spans="1:18" ht="12.75" customHeight="1" x14ac:dyDescent="0.2">
      <c r="A2082" s="7"/>
      <c r="B2082" s="2" t="s">
        <v>1840</v>
      </c>
      <c r="C2082" s="2" t="s">
        <v>2484</v>
      </c>
      <c r="D2082" s="2"/>
      <c r="E2082" s="7"/>
      <c r="F2082" s="7"/>
      <c r="G2082" s="9" t="s">
        <v>2322</v>
      </c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</row>
    <row r="2083" spans="1:18" ht="12.75" customHeight="1" x14ac:dyDescent="0.2">
      <c r="A2083" s="7"/>
      <c r="B2083" s="2" t="s">
        <v>9</v>
      </c>
      <c r="C2083" s="2" t="s">
        <v>1167</v>
      </c>
      <c r="D2083" s="2"/>
      <c r="E2083" s="7"/>
      <c r="F2083" s="7"/>
      <c r="G2083" s="9" t="s">
        <v>2322</v>
      </c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</row>
    <row r="2084" spans="1:18" ht="12.75" customHeight="1" x14ac:dyDescent="0.2">
      <c r="A2084" s="7"/>
      <c r="B2084" s="2" t="s">
        <v>11</v>
      </c>
      <c r="C2084" s="2" t="s">
        <v>1177</v>
      </c>
      <c r="D2084" s="2"/>
      <c r="E2084" s="7"/>
      <c r="F2084" s="7"/>
      <c r="G2084" s="9" t="s">
        <v>2322</v>
      </c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</row>
    <row r="2085" spans="1:18" ht="12.75" customHeight="1" x14ac:dyDescent="0.2">
      <c r="A2085" s="7"/>
      <c r="B2085" s="2" t="s">
        <v>16</v>
      </c>
      <c r="C2085" s="2"/>
      <c r="D2085" s="2"/>
      <c r="E2085" s="7"/>
      <c r="F2085" s="7"/>
      <c r="G2085" s="9" t="s">
        <v>2322</v>
      </c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</row>
    <row r="2086" spans="1:18" ht="12.75" customHeight="1" x14ac:dyDescent="0.2">
      <c r="A2086" s="7"/>
      <c r="B2086" s="2" t="s">
        <v>17</v>
      </c>
      <c r="C2086" s="2" t="s">
        <v>19</v>
      </c>
      <c r="D2086" s="2"/>
      <c r="E2086" s="7"/>
      <c r="F2086" s="7"/>
      <c r="G2086" s="9" t="s">
        <v>2322</v>
      </c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</row>
    <row r="2087" spans="1:18" ht="12.75" customHeight="1" x14ac:dyDescent="0.2">
      <c r="A2087" s="7"/>
      <c r="B2087" s="2" t="s">
        <v>18</v>
      </c>
      <c r="C2087" s="2" t="s">
        <v>67</v>
      </c>
      <c r="D2087" s="2" t="str">
        <f>HYPERLINK("javascript:void(0)","cerka")</f>
        <v>cerka</v>
      </c>
      <c r="E2087" s="7"/>
      <c r="F2087" s="7"/>
      <c r="G2087" s="9" t="s">
        <v>2322</v>
      </c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</row>
    <row r="2088" spans="1:18" ht="12.75" customHeight="1" x14ac:dyDescent="0.2">
      <c r="A2088" s="7"/>
      <c r="B2088" s="2"/>
      <c r="C2088" s="2" t="s">
        <v>244</v>
      </c>
      <c r="D2088" s="2" t="str">
        <f>HYPERLINK("javascript:void(0)","kígyóborda")</f>
        <v>kígyóborda</v>
      </c>
      <c r="E2088" s="7"/>
      <c r="F2088" s="7"/>
      <c r="G2088" s="9" t="s">
        <v>2322</v>
      </c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</row>
    <row r="2089" spans="1:18" ht="12.75" customHeight="1" x14ac:dyDescent="0.2">
      <c r="A2089" s="7"/>
      <c r="B2089" s="2"/>
      <c r="C2089" s="2" t="s">
        <v>44</v>
      </c>
      <c r="D2089" s="2" t="str">
        <f>HYPERLINK("javascript:void(0)","teljes húrvért")</f>
        <v>teljes húrvért</v>
      </c>
      <c r="E2089" s="7"/>
      <c r="F2089" s="7"/>
      <c r="G2089" s="9" t="s">
        <v>2322</v>
      </c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</row>
    <row r="2090" spans="1:18" ht="12.75" customHeight="1" x14ac:dyDescent="0.2">
      <c r="A2090" s="7"/>
      <c r="B2090" s="2"/>
      <c r="C2090" s="2"/>
      <c r="D2090" s="2"/>
      <c r="E2090" s="7"/>
      <c r="F2090" s="7"/>
      <c r="G2090" s="9" t="s">
        <v>2322</v>
      </c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</row>
    <row r="2091" spans="1:18" ht="12.75" customHeight="1" x14ac:dyDescent="0.2">
      <c r="A2091" s="7"/>
      <c r="B2091" s="2"/>
      <c r="C2091" s="2"/>
      <c r="D2091" s="2"/>
      <c r="E2091" s="7"/>
      <c r="F2091" s="7"/>
      <c r="G2091" s="9" t="s">
        <v>2322</v>
      </c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</row>
    <row r="2092" spans="1:18" ht="12.75" customHeight="1" x14ac:dyDescent="0.2">
      <c r="A2092" s="7"/>
      <c r="B2092" s="2"/>
      <c r="C2092" s="2"/>
      <c r="D2092" s="2"/>
      <c r="E2092" s="7"/>
      <c r="F2092" s="7"/>
      <c r="G2092" s="9" t="s">
        <v>2322</v>
      </c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</row>
    <row r="2093" spans="1:18" ht="12.75" customHeight="1" x14ac:dyDescent="0.2">
      <c r="A2093" s="7"/>
      <c r="B2093" s="2"/>
      <c r="C2093" s="2"/>
      <c r="D2093" s="2"/>
      <c r="E2093" s="7"/>
      <c r="F2093" s="7"/>
      <c r="G2093" s="9" t="s">
        <v>2322</v>
      </c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</row>
    <row r="2094" spans="1:18" ht="12.75" customHeight="1" x14ac:dyDescent="0.2">
      <c r="A2094" s="7"/>
      <c r="B2094" s="2"/>
      <c r="C2094" s="2"/>
      <c r="D2094" s="2"/>
      <c r="E2094" s="7"/>
      <c r="F2094" s="7"/>
      <c r="G2094" s="9" t="s">
        <v>2322</v>
      </c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</row>
    <row r="2095" spans="1:18" ht="12.75" customHeight="1" x14ac:dyDescent="0.2">
      <c r="A2095" s="7" t="str">
        <f>HYPERLINK("javascript:void(0)","teljes gránitvért")</f>
        <v>teljes gránitvért</v>
      </c>
      <c r="B2095" s="7"/>
      <c r="C2095" s="7"/>
      <c r="D2095" s="7"/>
      <c r="E2095" s="7"/>
      <c r="F2095" s="7"/>
      <c r="G2095" s="9" t="s">
        <v>2322</v>
      </c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</row>
    <row r="2096" spans="1:18" ht="12.75" customHeight="1" x14ac:dyDescent="0.2">
      <c r="A2096" s="7"/>
      <c r="B2096" s="2"/>
      <c r="C2096" s="2"/>
      <c r="D2096" s="2"/>
      <c r="E2096" s="7"/>
      <c r="F2096" s="7"/>
      <c r="G2096" s="9" t="s">
        <v>2322</v>
      </c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</row>
    <row r="2097" spans="1:18" ht="12.75" customHeight="1" x14ac:dyDescent="0.2">
      <c r="A2097" s="7"/>
      <c r="B2097" s="2" t="s">
        <v>0</v>
      </c>
      <c r="C2097" s="2" t="s">
        <v>181</v>
      </c>
      <c r="D2097" s="2"/>
      <c r="E2097" s="7"/>
      <c r="F2097" s="7"/>
      <c r="G2097" s="9" t="s">
        <v>2322</v>
      </c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</row>
    <row r="2098" spans="1:18" ht="12.75" customHeight="1" x14ac:dyDescent="0.2">
      <c r="A2098" s="7"/>
      <c r="B2098" s="2" t="s">
        <v>2</v>
      </c>
      <c r="C2098" s="2" t="s">
        <v>2322</v>
      </c>
      <c r="D2098" s="2"/>
      <c r="E2098" s="7"/>
      <c r="F2098" s="7"/>
      <c r="G2098" s="9" t="s">
        <v>2322</v>
      </c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</row>
    <row r="2099" spans="1:18" ht="12.75" customHeight="1" x14ac:dyDescent="0.2">
      <c r="A2099" s="7"/>
      <c r="B2099" s="2" t="s">
        <v>1840</v>
      </c>
      <c r="C2099" s="2" t="s">
        <v>2485</v>
      </c>
      <c r="D2099" s="2"/>
      <c r="E2099" s="7"/>
      <c r="F2099" s="7"/>
      <c r="G2099" s="9" t="s">
        <v>2322</v>
      </c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</row>
    <row r="2100" spans="1:18" ht="12.75" customHeight="1" x14ac:dyDescent="0.2">
      <c r="A2100" s="7"/>
      <c r="B2100" s="2" t="s">
        <v>9</v>
      </c>
      <c r="C2100" s="2" t="s">
        <v>2360</v>
      </c>
      <c r="D2100" s="2"/>
      <c r="E2100" s="7"/>
      <c r="F2100" s="7"/>
      <c r="G2100" s="9" t="s">
        <v>2322</v>
      </c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</row>
    <row r="2101" spans="1:18" ht="12.75" customHeight="1" x14ac:dyDescent="0.2">
      <c r="A2101" s="7"/>
      <c r="B2101" s="2" t="s">
        <v>11</v>
      </c>
      <c r="C2101" s="2" t="s">
        <v>1354</v>
      </c>
      <c r="D2101" s="2"/>
      <c r="E2101" s="7"/>
      <c r="F2101" s="7"/>
      <c r="G2101" s="9" t="s">
        <v>2322</v>
      </c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</row>
    <row r="2102" spans="1:18" ht="12.75" customHeight="1" x14ac:dyDescent="0.2">
      <c r="A2102" s="7"/>
      <c r="B2102" s="2" t="s">
        <v>16</v>
      </c>
      <c r="C2102" s="2"/>
      <c r="D2102" s="2"/>
      <c r="E2102" s="7"/>
      <c r="F2102" s="7"/>
      <c r="G2102" s="9" t="s">
        <v>2322</v>
      </c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</row>
    <row r="2103" spans="1:18" ht="12.75" customHeight="1" x14ac:dyDescent="0.2">
      <c r="A2103" s="7"/>
      <c r="B2103" s="2" t="s">
        <v>17</v>
      </c>
      <c r="C2103" s="2" t="s">
        <v>19</v>
      </c>
      <c r="D2103" s="2"/>
      <c r="E2103" s="7"/>
      <c r="F2103" s="7"/>
      <c r="G2103" s="9" t="s">
        <v>2322</v>
      </c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</row>
    <row r="2104" spans="1:18" ht="12.75" customHeight="1" x14ac:dyDescent="0.2">
      <c r="A2104" s="7"/>
      <c r="B2104" s="2" t="s">
        <v>18</v>
      </c>
      <c r="C2104" s="2" t="s">
        <v>139</v>
      </c>
      <c r="D2104" s="2" t="str">
        <f>HYPERLINK("javascript:void(0)","átokige")</f>
        <v>átokige</v>
      </c>
      <c r="E2104" s="7"/>
      <c r="F2104" s="7"/>
      <c r="G2104" s="9" t="s">
        <v>2322</v>
      </c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</row>
    <row r="2105" spans="1:18" ht="12.75" customHeight="1" x14ac:dyDescent="0.2">
      <c r="A2105" s="7"/>
      <c r="B2105" s="2"/>
      <c r="C2105" s="2" t="s">
        <v>132</v>
      </c>
      <c r="D2105" s="2" t="str">
        <f>HYPERLINK("javascript:void(0)","magmacsepp")</f>
        <v>magmacsepp</v>
      </c>
      <c r="E2105" s="7"/>
      <c r="F2105" s="7"/>
      <c r="G2105" s="9" t="s">
        <v>2322</v>
      </c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</row>
    <row r="2106" spans="1:18" ht="12.75" customHeight="1" x14ac:dyDescent="0.2">
      <c r="A2106" s="7"/>
      <c r="B2106" s="2"/>
      <c r="C2106" s="2" t="s">
        <v>240</v>
      </c>
      <c r="D2106" s="2" t="str">
        <f>HYPERLINK("javascript:void(0)","sárkányzsák")</f>
        <v>sárkányzsák</v>
      </c>
      <c r="E2106" s="7"/>
      <c r="F2106" s="7"/>
      <c r="G2106" s="9" t="s">
        <v>2322</v>
      </c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</row>
    <row r="2107" spans="1:18" ht="12.75" customHeight="1" x14ac:dyDescent="0.2">
      <c r="A2107" s="7"/>
      <c r="B2107" s="2"/>
      <c r="C2107" s="2"/>
      <c r="D2107" s="2"/>
      <c r="E2107" s="7"/>
      <c r="F2107" s="7"/>
      <c r="G2107" s="9" t="s">
        <v>2322</v>
      </c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</row>
    <row r="2108" spans="1:18" ht="12.75" customHeight="1" x14ac:dyDescent="0.2">
      <c r="A2108" s="7"/>
      <c r="B2108" s="2"/>
      <c r="C2108" s="2"/>
      <c r="D2108" s="2"/>
      <c r="E2108" s="7"/>
      <c r="F2108" s="7"/>
      <c r="G2108" s="9" t="s">
        <v>2322</v>
      </c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</row>
    <row r="2109" spans="1:18" ht="12.75" customHeight="1" x14ac:dyDescent="0.2">
      <c r="A2109" s="7"/>
      <c r="B2109" s="2"/>
      <c r="C2109" s="2"/>
      <c r="D2109" s="2"/>
      <c r="E2109" s="7"/>
      <c r="F2109" s="7"/>
      <c r="G2109" s="9" t="s">
        <v>2322</v>
      </c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</row>
    <row r="2110" spans="1:18" ht="12.75" customHeight="1" x14ac:dyDescent="0.2">
      <c r="A2110" s="7"/>
      <c r="B2110" s="2"/>
      <c r="C2110" s="2"/>
      <c r="D2110" s="2"/>
      <c r="E2110" s="7"/>
      <c r="F2110" s="7"/>
      <c r="G2110" s="9" t="s">
        <v>2322</v>
      </c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</row>
    <row r="2111" spans="1:18" ht="12.75" customHeight="1" x14ac:dyDescent="0.2">
      <c r="A2111" s="7"/>
      <c r="B2111" s="2"/>
      <c r="C2111" s="2"/>
      <c r="D2111" s="2"/>
      <c r="E2111" s="7"/>
      <c r="F2111" s="7"/>
      <c r="G2111" s="9" t="s">
        <v>2322</v>
      </c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</row>
    <row r="2112" spans="1:18" ht="12.75" customHeight="1" x14ac:dyDescent="0.2">
      <c r="A2112" s="7" t="str">
        <f>HYPERLINK("javascript:void(0)","csillámló óriáspáncél")</f>
        <v>csillámló óriáspáncél</v>
      </c>
      <c r="B2112" s="7"/>
      <c r="C2112" s="7"/>
      <c r="D2112" s="7"/>
      <c r="E2112" s="7"/>
      <c r="F2112" s="7"/>
      <c r="G2112" s="9" t="s">
        <v>2322</v>
      </c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</row>
    <row r="2113" spans="1:18" ht="12.75" customHeight="1" x14ac:dyDescent="0.2">
      <c r="A2113" s="7"/>
      <c r="B2113" s="2"/>
      <c r="C2113" s="2"/>
      <c r="D2113" s="2"/>
      <c r="E2113" s="7"/>
      <c r="F2113" s="7"/>
      <c r="G2113" s="9" t="s">
        <v>2322</v>
      </c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</row>
    <row r="2114" spans="1:18" ht="12.75" customHeight="1" x14ac:dyDescent="0.2">
      <c r="A2114" s="7"/>
      <c r="B2114" s="2" t="s">
        <v>0</v>
      </c>
      <c r="C2114" s="2" t="s">
        <v>181</v>
      </c>
      <c r="D2114" s="2"/>
      <c r="E2114" s="7"/>
      <c r="F2114" s="7"/>
      <c r="G2114" s="9" t="s">
        <v>2322</v>
      </c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</row>
    <row r="2115" spans="1:18" ht="12.75" customHeight="1" x14ac:dyDescent="0.2">
      <c r="A2115" s="7"/>
      <c r="B2115" s="2" t="s">
        <v>2</v>
      </c>
      <c r="C2115" s="2" t="s">
        <v>2322</v>
      </c>
      <c r="D2115" s="2"/>
      <c r="E2115" s="7"/>
      <c r="F2115" s="7"/>
      <c r="G2115" s="9" t="s">
        <v>2322</v>
      </c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</row>
    <row r="2116" spans="1:18" ht="12.75" customHeight="1" x14ac:dyDescent="0.2">
      <c r="A2116" s="7"/>
      <c r="B2116" s="2" t="s">
        <v>1840</v>
      </c>
      <c r="C2116" s="2" t="s">
        <v>325</v>
      </c>
      <c r="D2116" s="2"/>
      <c r="E2116" s="7"/>
      <c r="F2116" s="7"/>
      <c r="G2116" s="9" t="s">
        <v>2322</v>
      </c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</row>
    <row r="2117" spans="1:18" ht="12.75" customHeight="1" x14ac:dyDescent="0.2">
      <c r="A2117" s="7"/>
      <c r="B2117" s="2" t="s">
        <v>9</v>
      </c>
      <c r="C2117" s="2" t="s">
        <v>2486</v>
      </c>
      <c r="D2117" s="2"/>
      <c r="E2117" s="7"/>
      <c r="F2117" s="7"/>
      <c r="G2117" s="9" t="s">
        <v>2322</v>
      </c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</row>
    <row r="2118" spans="1:18" ht="12.75" customHeight="1" x14ac:dyDescent="0.2">
      <c r="A2118" s="7"/>
      <c r="B2118" s="2" t="s">
        <v>11</v>
      </c>
      <c r="C2118" s="2" t="s">
        <v>1354</v>
      </c>
      <c r="D2118" s="2"/>
      <c r="E2118" s="7"/>
      <c r="F2118" s="7"/>
      <c r="G2118" s="9" t="s">
        <v>2322</v>
      </c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</row>
    <row r="2119" spans="1:18" ht="12.75" customHeight="1" x14ac:dyDescent="0.2">
      <c r="A2119" s="7"/>
      <c r="B2119" s="2" t="s">
        <v>16</v>
      </c>
      <c r="C2119" s="2"/>
      <c r="D2119" s="2"/>
      <c r="E2119" s="7"/>
      <c r="F2119" s="7"/>
      <c r="G2119" s="9" t="s">
        <v>2322</v>
      </c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</row>
    <row r="2120" spans="1:18" ht="12.75" customHeight="1" x14ac:dyDescent="0.2">
      <c r="A2120" s="7"/>
      <c r="B2120" s="2" t="s">
        <v>17</v>
      </c>
      <c r="C2120" s="2" t="s">
        <v>19</v>
      </c>
      <c r="D2120" s="2"/>
      <c r="E2120" s="7"/>
      <c r="F2120" s="7"/>
      <c r="G2120" s="9" t="s">
        <v>2322</v>
      </c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</row>
    <row r="2121" spans="1:18" ht="12.75" customHeight="1" x14ac:dyDescent="0.2">
      <c r="A2121" s="7"/>
      <c r="B2121" s="2" t="s">
        <v>18</v>
      </c>
      <c r="C2121" s="2" t="s">
        <v>57</v>
      </c>
      <c r="D2121" s="2" t="str">
        <f>HYPERLINK("javascript:void(0)","csillámgöb")</f>
        <v>csillámgöb</v>
      </c>
      <c r="E2121" s="7"/>
      <c r="F2121" s="7"/>
      <c r="G2121" s="9" t="s">
        <v>2322</v>
      </c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</row>
    <row r="2122" spans="1:18" ht="12.75" customHeight="1" x14ac:dyDescent="0.2">
      <c r="A2122" s="7"/>
      <c r="B2122" s="2"/>
      <c r="C2122" s="2" t="s">
        <v>44</v>
      </c>
      <c r="D2122" s="2" t="str">
        <f>HYPERLINK("javascript:void(0)","csillámló orkpáncél")</f>
        <v>csillámló orkpáncél</v>
      </c>
      <c r="E2122" s="7"/>
      <c r="F2122" s="7"/>
      <c r="G2122" s="9" t="s">
        <v>2322</v>
      </c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</row>
    <row r="2123" spans="1:18" ht="12.75" customHeight="1" x14ac:dyDescent="0.2">
      <c r="A2123" s="7"/>
      <c r="B2123" s="2"/>
      <c r="C2123" s="2" t="s">
        <v>309</v>
      </c>
      <c r="D2123" s="2" t="str">
        <f>HYPERLINK("javascript:void(0)","robbanófej")</f>
        <v>robbanófej</v>
      </c>
      <c r="E2123" s="7"/>
      <c r="F2123" s="7"/>
      <c r="G2123" s="9" t="s">
        <v>2322</v>
      </c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</row>
    <row r="2124" spans="1:18" ht="12.75" customHeight="1" x14ac:dyDescent="0.2">
      <c r="A2124" s="7"/>
      <c r="B2124" s="2"/>
      <c r="C2124" s="2"/>
      <c r="D2124" s="2"/>
      <c r="E2124" s="7"/>
      <c r="F2124" s="7"/>
      <c r="G2124" s="9" t="s">
        <v>2322</v>
      </c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</row>
    <row r="2125" spans="1:18" ht="12.75" customHeight="1" x14ac:dyDescent="0.2">
      <c r="A2125" s="7"/>
      <c r="B2125" s="2"/>
      <c r="C2125" s="2"/>
      <c r="D2125" s="2"/>
      <c r="E2125" s="7"/>
      <c r="F2125" s="7"/>
      <c r="G2125" s="9" t="s">
        <v>2322</v>
      </c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</row>
    <row r="2126" spans="1:18" ht="12.75" customHeight="1" x14ac:dyDescent="0.2">
      <c r="A2126" s="7"/>
      <c r="B2126" s="2"/>
      <c r="C2126" s="2"/>
      <c r="D2126" s="2"/>
      <c r="E2126" s="7"/>
      <c r="F2126" s="7"/>
      <c r="G2126" s="9" t="s">
        <v>2322</v>
      </c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</row>
    <row r="2127" spans="1:18" ht="12.75" customHeight="1" x14ac:dyDescent="0.2">
      <c r="A2127" s="7"/>
      <c r="B2127" s="2"/>
      <c r="C2127" s="2"/>
      <c r="D2127" s="2"/>
      <c r="E2127" s="7"/>
      <c r="F2127" s="7"/>
      <c r="G2127" s="9" t="s">
        <v>2322</v>
      </c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</row>
    <row r="2128" spans="1:18" ht="12.75" customHeight="1" x14ac:dyDescent="0.2">
      <c r="A2128" s="7"/>
      <c r="B2128" s="2"/>
      <c r="C2128" s="2"/>
      <c r="D2128" s="2"/>
      <c r="E2128" s="7"/>
      <c r="F2128" s="7"/>
      <c r="G2128" s="9" t="s">
        <v>2322</v>
      </c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</row>
    <row r="2129" spans="1:18" ht="12.75" customHeight="1" x14ac:dyDescent="0.2">
      <c r="A2129" s="7" t="str">
        <f>HYPERLINK("javascript:void(0)","teljes óriásacélvért")</f>
        <v>teljes óriásacélvért</v>
      </c>
      <c r="B2129" s="7"/>
      <c r="C2129" s="7"/>
      <c r="D2129" s="7"/>
      <c r="E2129" s="7"/>
      <c r="F2129" s="7"/>
      <c r="G2129" s="9" t="s">
        <v>2322</v>
      </c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</row>
    <row r="2130" spans="1:18" ht="12.75" customHeight="1" x14ac:dyDescent="0.2">
      <c r="A2130" s="7"/>
      <c r="B2130" s="2"/>
      <c r="C2130" s="2"/>
      <c r="D2130" s="2"/>
      <c r="E2130" s="7"/>
      <c r="F2130" s="7"/>
      <c r="G2130" s="9" t="s">
        <v>2322</v>
      </c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</row>
    <row r="2131" spans="1:18" ht="12.75" customHeight="1" x14ac:dyDescent="0.2">
      <c r="A2131" s="7"/>
      <c r="B2131" s="2" t="s">
        <v>0</v>
      </c>
      <c r="C2131" s="2" t="s">
        <v>853</v>
      </c>
      <c r="D2131" s="2"/>
      <c r="E2131" s="7"/>
      <c r="F2131" s="7"/>
      <c r="G2131" s="9" t="s">
        <v>2322</v>
      </c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</row>
    <row r="2132" spans="1:18" ht="12.75" customHeight="1" x14ac:dyDescent="0.2">
      <c r="A2132" s="7"/>
      <c r="B2132" s="2" t="s">
        <v>2</v>
      </c>
      <c r="C2132" s="2" t="s">
        <v>2322</v>
      </c>
      <c r="D2132" s="2"/>
      <c r="E2132" s="7"/>
      <c r="F2132" s="7"/>
      <c r="G2132" s="9" t="s">
        <v>2322</v>
      </c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</row>
    <row r="2133" spans="1:18" ht="12.75" customHeight="1" x14ac:dyDescent="0.2">
      <c r="A2133" s="7"/>
      <c r="B2133" s="2" t="s">
        <v>1840</v>
      </c>
      <c r="C2133" s="2" t="s">
        <v>2487</v>
      </c>
      <c r="D2133" s="2"/>
      <c r="E2133" s="7"/>
      <c r="F2133" s="7"/>
      <c r="G2133" s="9" t="s">
        <v>2322</v>
      </c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</row>
    <row r="2134" spans="1:18" ht="12.75" customHeight="1" x14ac:dyDescent="0.2">
      <c r="A2134" s="7"/>
      <c r="B2134" s="2" t="s">
        <v>9</v>
      </c>
      <c r="C2134" s="2" t="s">
        <v>233</v>
      </c>
      <c r="D2134" s="2"/>
      <c r="E2134" s="7"/>
      <c r="F2134" s="7"/>
      <c r="G2134" s="9" t="s">
        <v>2322</v>
      </c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</row>
    <row r="2135" spans="1:18" ht="12.75" customHeight="1" x14ac:dyDescent="0.2">
      <c r="A2135" s="7"/>
      <c r="B2135" s="2" t="s">
        <v>11</v>
      </c>
      <c r="C2135" s="2" t="s">
        <v>1190</v>
      </c>
      <c r="D2135" s="2"/>
      <c r="E2135" s="7"/>
      <c r="F2135" s="7"/>
      <c r="G2135" s="9" t="s">
        <v>2322</v>
      </c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</row>
    <row r="2136" spans="1:18" ht="12.75" customHeight="1" x14ac:dyDescent="0.2">
      <c r="A2136" s="7"/>
      <c r="B2136" s="2" t="s">
        <v>16</v>
      </c>
      <c r="C2136" s="2"/>
      <c r="D2136" s="2"/>
      <c r="E2136" s="7"/>
      <c r="F2136" s="7"/>
      <c r="G2136" s="9" t="s">
        <v>2322</v>
      </c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</row>
    <row r="2137" spans="1:18" ht="12.75" customHeight="1" x14ac:dyDescent="0.2">
      <c r="A2137" s="7"/>
      <c r="B2137" s="2" t="s">
        <v>17</v>
      </c>
      <c r="C2137" s="2" t="s">
        <v>19</v>
      </c>
      <c r="D2137" s="2"/>
      <c r="E2137" s="7"/>
      <c r="F2137" s="7"/>
      <c r="G2137" s="9" t="s">
        <v>2322</v>
      </c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</row>
    <row r="2138" spans="1:18" ht="12.75" customHeight="1" x14ac:dyDescent="0.2">
      <c r="A2138" s="7"/>
      <c r="B2138" s="2" t="s">
        <v>18</v>
      </c>
      <c r="C2138" s="2" t="s">
        <v>44</v>
      </c>
      <c r="D2138" s="2" t="str">
        <f>HYPERLINK("javascript:void(0)","óriáscsatt")</f>
        <v>óriáscsatt</v>
      </c>
      <c r="E2138" s="7"/>
      <c r="F2138" s="7"/>
      <c r="G2138" s="9" t="s">
        <v>2322</v>
      </c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</row>
    <row r="2139" spans="1:18" ht="12.75" customHeight="1" x14ac:dyDescent="0.2">
      <c r="A2139" s="7"/>
      <c r="B2139" s="2"/>
      <c r="C2139" s="2" t="s">
        <v>44</v>
      </c>
      <c r="D2139" s="2" t="str">
        <f>HYPERLINK("javascript:void(0)","teljes elfacélvért")</f>
        <v>teljes elfacélvért</v>
      </c>
      <c r="E2139" s="7"/>
      <c r="F2139" s="7"/>
      <c r="G2139" s="9" t="s">
        <v>2322</v>
      </c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</row>
    <row r="2140" spans="1:18" ht="12.75" customHeight="1" x14ac:dyDescent="0.2">
      <c r="A2140" s="7"/>
      <c r="B2140" s="2"/>
      <c r="C2140" s="2" t="s">
        <v>44</v>
      </c>
      <c r="D2140" s="2" t="str">
        <f>HYPERLINK("javascript:void(0)","teljes gránitvért")</f>
        <v>teljes gránitvért</v>
      </c>
      <c r="E2140" s="7"/>
      <c r="F2140" s="7"/>
      <c r="G2140" s="9" t="s">
        <v>2322</v>
      </c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</row>
    <row r="2141" spans="1:18" ht="12.75" customHeight="1" x14ac:dyDescent="0.2">
      <c r="A2141" s="7"/>
      <c r="B2141" s="2"/>
      <c r="C2141" s="2"/>
      <c r="D2141" s="2"/>
      <c r="E2141" s="7"/>
      <c r="F2141" s="7"/>
      <c r="G2141" s="9" t="s">
        <v>2322</v>
      </c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</row>
    <row r="2142" spans="1:18" ht="12.75" customHeight="1" x14ac:dyDescent="0.2">
      <c r="A2142" s="7"/>
      <c r="B2142" s="2"/>
      <c r="C2142" s="2"/>
      <c r="D2142" s="2"/>
      <c r="E2142" s="7"/>
      <c r="F2142" s="7"/>
      <c r="G2142" s="9" t="s">
        <v>2322</v>
      </c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</row>
    <row r="2143" spans="1:18" ht="12.75" customHeight="1" x14ac:dyDescent="0.2">
      <c r="A2143" s="7"/>
      <c r="B2143" s="2"/>
      <c r="C2143" s="2"/>
      <c r="D2143" s="2"/>
      <c r="E2143" s="7"/>
      <c r="F2143" s="7"/>
      <c r="G2143" s="9" t="s">
        <v>2322</v>
      </c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</row>
    <row r="2144" spans="1:18" ht="12.75" customHeight="1" x14ac:dyDescent="0.2">
      <c r="A2144" s="7"/>
      <c r="B2144" s="2"/>
      <c r="C2144" s="2"/>
      <c r="D2144" s="2"/>
      <c r="E2144" s="7"/>
      <c r="F2144" s="7"/>
      <c r="G2144" s="9" t="s">
        <v>2322</v>
      </c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</row>
    <row r="2145" spans="1:18" ht="12.75" customHeight="1" x14ac:dyDescent="0.2">
      <c r="A2145" s="7"/>
      <c r="B2145" s="2"/>
      <c r="C2145" s="2"/>
      <c r="D2145" s="2"/>
      <c r="E2145" s="7"/>
      <c r="F2145" s="7"/>
      <c r="G2145" s="9" t="s">
        <v>2322</v>
      </c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</row>
    <row r="2146" spans="1:18" ht="12.75" customHeight="1" x14ac:dyDescent="0.2">
      <c r="A2146" s="7" t="str">
        <f>HYPERLINK("javascript:void(0)","óriáscsatt")</f>
        <v>óriáscsatt</v>
      </c>
      <c r="B2146" s="7"/>
      <c r="C2146" s="7"/>
      <c r="D2146" s="7"/>
      <c r="E2146" s="7"/>
      <c r="F2146" s="7"/>
      <c r="G2146" s="9" t="s">
        <v>2322</v>
      </c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</row>
    <row r="2147" spans="1:18" ht="12.75" customHeight="1" x14ac:dyDescent="0.2">
      <c r="A2147" s="7"/>
      <c r="B2147" s="2"/>
      <c r="C2147" s="2"/>
      <c r="D2147" s="2"/>
      <c r="E2147" s="7"/>
      <c r="F2147" s="7"/>
      <c r="G2147" s="9" t="s">
        <v>2322</v>
      </c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</row>
    <row r="2148" spans="1:18" ht="12.75" customHeight="1" x14ac:dyDescent="0.2">
      <c r="A2148" s="7"/>
      <c r="B2148" s="2" t="s">
        <v>0</v>
      </c>
      <c r="C2148" s="2" t="s">
        <v>853</v>
      </c>
      <c r="D2148" s="2"/>
      <c r="E2148" s="7"/>
      <c r="F2148" s="7"/>
      <c r="G2148" s="9" t="s">
        <v>2322</v>
      </c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</row>
    <row r="2149" spans="1:18" ht="12.75" customHeight="1" x14ac:dyDescent="0.2">
      <c r="A2149" s="7"/>
      <c r="B2149" s="2" t="s">
        <v>2</v>
      </c>
      <c r="C2149" s="2" t="s">
        <v>2322</v>
      </c>
      <c r="D2149" s="2"/>
      <c r="E2149" s="7"/>
      <c r="F2149" s="7"/>
      <c r="G2149" s="9" t="s">
        <v>2322</v>
      </c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</row>
    <row r="2150" spans="1:18" ht="12.75" customHeight="1" x14ac:dyDescent="0.2">
      <c r="A2150" s="7"/>
      <c r="B2150" s="2" t="s">
        <v>1840</v>
      </c>
      <c r="C2150" s="2" t="s">
        <v>115</v>
      </c>
      <c r="D2150" s="2"/>
      <c r="E2150" s="7"/>
      <c r="F2150" s="7"/>
      <c r="G2150" s="9" t="s">
        <v>2322</v>
      </c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</row>
    <row r="2151" spans="1:18" ht="12.75" customHeight="1" x14ac:dyDescent="0.2">
      <c r="A2151" s="7"/>
      <c r="B2151" s="2" t="s">
        <v>9</v>
      </c>
      <c r="C2151" s="2" t="s">
        <v>42</v>
      </c>
      <c r="D2151" s="2"/>
      <c r="E2151" s="7"/>
      <c r="F2151" s="7"/>
      <c r="G2151" s="9" t="s">
        <v>2322</v>
      </c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</row>
    <row r="2152" spans="1:18" ht="12.75" customHeight="1" x14ac:dyDescent="0.2">
      <c r="A2152" s="7"/>
      <c r="B2152" s="2" t="s">
        <v>11</v>
      </c>
      <c r="C2152" s="2" t="s">
        <v>2488</v>
      </c>
      <c r="D2152" s="2"/>
      <c r="E2152" s="7"/>
      <c r="F2152" s="7"/>
      <c r="G2152" s="9" t="s">
        <v>2322</v>
      </c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</row>
    <row r="2153" spans="1:18" ht="12.75" customHeight="1" x14ac:dyDescent="0.2">
      <c r="A2153" s="7"/>
      <c r="B2153" s="2" t="s">
        <v>16</v>
      </c>
      <c r="C2153" s="2"/>
      <c r="D2153" s="2"/>
      <c r="E2153" s="7"/>
      <c r="F2153" s="7"/>
      <c r="G2153" s="9" t="s">
        <v>2322</v>
      </c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</row>
    <row r="2154" spans="1:18" ht="12.75" customHeight="1" x14ac:dyDescent="0.2">
      <c r="A2154" s="7"/>
      <c r="B2154" s="2" t="s">
        <v>17</v>
      </c>
      <c r="C2154" s="2" t="s">
        <v>19</v>
      </c>
      <c r="D2154" s="2"/>
      <c r="E2154" s="7"/>
      <c r="F2154" s="7"/>
      <c r="G2154" s="9" t="s">
        <v>2322</v>
      </c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</row>
    <row r="2155" spans="1:18" ht="12.75" customHeight="1" x14ac:dyDescent="0.2">
      <c r="A2155" s="7"/>
      <c r="B2155" s="2" t="s">
        <v>18</v>
      </c>
      <c r="C2155" s="2" t="s">
        <v>67</v>
      </c>
      <c r="D2155" s="2" t="str">
        <f>HYPERLINK("javascript:void(0)","démonamulett")</f>
        <v>démonamulett</v>
      </c>
      <c r="E2155" s="7"/>
      <c r="F2155" s="7"/>
      <c r="G2155" s="9" t="s">
        <v>2322</v>
      </c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</row>
    <row r="2156" spans="1:18" ht="12.75" customHeight="1" x14ac:dyDescent="0.2">
      <c r="A2156" s="7"/>
      <c r="B2156" s="2"/>
      <c r="C2156" s="2" t="s">
        <v>67</v>
      </c>
      <c r="D2156" s="2" t="str">
        <f>HYPERLINK("javascript:void(0)","monsztabéklyó")</f>
        <v>monsztabéklyó</v>
      </c>
      <c r="E2156" s="7"/>
      <c r="F2156" s="7"/>
      <c r="G2156" s="9" t="s">
        <v>2322</v>
      </c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</row>
    <row r="2157" spans="1:18" ht="12.75" customHeight="1" x14ac:dyDescent="0.2">
      <c r="A2157" s="7"/>
      <c r="B2157" s="2"/>
      <c r="C2157" s="2" t="s">
        <v>269</v>
      </c>
      <c r="D2157" s="2" t="str">
        <f>HYPERLINK("javascript:void(0)","csapdaszeg")</f>
        <v>csapdaszeg</v>
      </c>
      <c r="E2157" s="7"/>
      <c r="F2157" s="7"/>
      <c r="G2157" s="9" t="s">
        <v>2322</v>
      </c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</row>
    <row r="2158" spans="1:18" ht="12.75" customHeight="1" x14ac:dyDescent="0.2">
      <c r="A2158" s="7"/>
      <c r="B2158" s="2"/>
      <c r="C2158" s="2"/>
      <c r="D2158" s="2"/>
      <c r="E2158" s="7"/>
      <c r="F2158" s="7"/>
      <c r="G2158" s="9" t="s">
        <v>2322</v>
      </c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</row>
    <row r="2159" spans="1:18" ht="12.75" customHeight="1" x14ac:dyDescent="0.2">
      <c r="A2159" s="7"/>
      <c r="B2159" s="2"/>
      <c r="C2159" s="2"/>
      <c r="D2159" s="2"/>
      <c r="E2159" s="7"/>
      <c r="F2159" s="7"/>
      <c r="G2159" s="9" t="s">
        <v>2322</v>
      </c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</row>
    <row r="2160" spans="1:18" ht="12.75" customHeight="1" x14ac:dyDescent="0.2">
      <c r="A2160" s="7"/>
      <c r="B2160" s="2"/>
      <c r="C2160" s="2"/>
      <c r="D2160" s="2"/>
      <c r="E2160" s="7"/>
      <c r="F2160" s="7"/>
      <c r="G2160" s="9" t="s">
        <v>2322</v>
      </c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</row>
    <row r="2161" spans="1:18" ht="12.75" customHeight="1" x14ac:dyDescent="0.2">
      <c r="A2161" s="7"/>
      <c r="B2161" s="2"/>
      <c r="C2161" s="2"/>
      <c r="D2161" s="2"/>
      <c r="E2161" s="7"/>
      <c r="F2161" s="7"/>
      <c r="G2161" s="9" t="s">
        <v>2322</v>
      </c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</row>
    <row r="2162" spans="1:18" ht="12.75" customHeight="1" x14ac:dyDescent="0.2">
      <c r="A2162" s="7"/>
      <c r="B2162" s="2"/>
      <c r="C2162" s="2"/>
      <c r="D2162" s="2"/>
      <c r="E2162" s="7"/>
      <c r="F2162" s="7"/>
      <c r="G2162" s="9" t="s">
        <v>2322</v>
      </c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</row>
    <row r="2163" spans="1:18" ht="12.75" customHeight="1" x14ac:dyDescent="0.2">
      <c r="A2163" s="7" t="str">
        <f>HYPERLINK("javascript:void(0)","teljes kentacélvért")</f>
        <v>teljes kentacélvért</v>
      </c>
      <c r="B2163" s="7"/>
      <c r="C2163" s="7"/>
      <c r="D2163" s="7"/>
      <c r="E2163" s="7"/>
      <c r="F2163" s="7"/>
      <c r="G2163" s="9" t="s">
        <v>2322</v>
      </c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</row>
    <row r="2164" spans="1:18" ht="12.75" customHeight="1" x14ac:dyDescent="0.2">
      <c r="A2164" s="7"/>
      <c r="B2164" s="2"/>
      <c r="C2164" s="2"/>
      <c r="D2164" s="2"/>
      <c r="E2164" s="7"/>
      <c r="F2164" s="7"/>
      <c r="G2164" s="9" t="s">
        <v>2322</v>
      </c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</row>
    <row r="2165" spans="1:18" ht="12.75" customHeight="1" x14ac:dyDescent="0.2">
      <c r="A2165" s="7"/>
      <c r="B2165" s="2" t="s">
        <v>0</v>
      </c>
      <c r="C2165" s="2" t="s">
        <v>862</v>
      </c>
      <c r="D2165" s="2"/>
      <c r="E2165" s="7"/>
      <c r="F2165" s="7"/>
      <c r="G2165" s="9" t="s">
        <v>2322</v>
      </c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</row>
    <row r="2166" spans="1:18" ht="12.75" customHeight="1" x14ac:dyDescent="0.2">
      <c r="A2166" s="7"/>
      <c r="B2166" s="2" t="s">
        <v>2</v>
      </c>
      <c r="C2166" s="2" t="s">
        <v>2322</v>
      </c>
      <c r="D2166" s="2"/>
      <c r="E2166" s="7"/>
      <c r="F2166" s="7"/>
      <c r="G2166" s="9" t="s">
        <v>2322</v>
      </c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</row>
    <row r="2167" spans="1:18" ht="12.75" customHeight="1" x14ac:dyDescent="0.2">
      <c r="A2167" s="7"/>
      <c r="B2167" s="2" t="s">
        <v>1840</v>
      </c>
      <c r="C2167" s="2" t="s">
        <v>2489</v>
      </c>
      <c r="D2167" s="2"/>
      <c r="E2167" s="7"/>
      <c r="F2167" s="7"/>
      <c r="G2167" s="9" t="s">
        <v>2322</v>
      </c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</row>
    <row r="2168" spans="1:18" ht="12.75" customHeight="1" x14ac:dyDescent="0.2">
      <c r="A2168" s="7"/>
      <c r="B2168" s="2" t="s">
        <v>9</v>
      </c>
      <c r="C2168" s="2" t="s">
        <v>2490</v>
      </c>
      <c r="D2168" s="2"/>
      <c r="E2168" s="7"/>
      <c r="F2168" s="7"/>
      <c r="G2168" s="9" t="s">
        <v>2322</v>
      </c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</row>
    <row r="2169" spans="1:18" ht="12.75" customHeight="1" x14ac:dyDescent="0.2">
      <c r="A2169" s="7"/>
      <c r="B2169" s="2" t="s">
        <v>11</v>
      </c>
      <c r="C2169" s="2" t="s">
        <v>1372</v>
      </c>
      <c r="D2169" s="2"/>
      <c r="E2169" s="7"/>
      <c r="F2169" s="7"/>
      <c r="G2169" s="9" t="s">
        <v>2322</v>
      </c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</row>
    <row r="2170" spans="1:18" ht="12.75" customHeight="1" x14ac:dyDescent="0.2">
      <c r="A2170" s="7"/>
      <c r="B2170" s="2" t="s">
        <v>16</v>
      </c>
      <c r="C2170" s="2"/>
      <c r="D2170" s="2"/>
      <c r="E2170" s="7"/>
      <c r="F2170" s="7"/>
      <c r="G2170" s="9" t="s">
        <v>2322</v>
      </c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</row>
    <row r="2171" spans="1:18" ht="12.75" customHeight="1" x14ac:dyDescent="0.2">
      <c r="A2171" s="7"/>
      <c r="B2171" s="2" t="s">
        <v>17</v>
      </c>
      <c r="C2171" s="2" t="s">
        <v>19</v>
      </c>
      <c r="D2171" s="2"/>
      <c r="E2171" s="7"/>
      <c r="F2171" s="7"/>
      <c r="G2171" s="9" t="s">
        <v>2322</v>
      </c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</row>
    <row r="2172" spans="1:18" ht="12.75" customHeight="1" x14ac:dyDescent="0.2">
      <c r="A2172" s="7"/>
      <c r="B2172" s="2" t="s">
        <v>18</v>
      </c>
      <c r="C2172" s="2" t="s">
        <v>44</v>
      </c>
      <c r="D2172" s="2" t="str">
        <f>HYPERLINK("javascript:void(0)","teljes óriásacélvért")</f>
        <v>teljes óriásacélvért</v>
      </c>
      <c r="E2172" s="7"/>
      <c r="F2172" s="7"/>
      <c r="G2172" s="9" t="s">
        <v>2322</v>
      </c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</row>
    <row r="2173" spans="1:18" ht="12.75" customHeight="1" x14ac:dyDescent="0.2">
      <c r="A2173" s="7"/>
      <c r="B2173" s="2"/>
      <c r="C2173" s="2" t="s">
        <v>68</v>
      </c>
      <c r="D2173" s="2" t="str">
        <f>HYPERLINK("javascript:void(0)","managöb")</f>
        <v>managöb</v>
      </c>
      <c r="E2173" s="7"/>
      <c r="F2173" s="7"/>
      <c r="G2173" s="9" t="s">
        <v>2322</v>
      </c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</row>
    <row r="2174" spans="1:18" ht="12.75" customHeight="1" x14ac:dyDescent="0.2">
      <c r="A2174" s="7"/>
      <c r="B2174" s="2"/>
      <c r="C2174" s="2" t="s">
        <v>132</v>
      </c>
      <c r="D2174" s="2" t="str">
        <f>HYPERLINK("javascript:void(0)","bigapata")</f>
        <v>bigapata</v>
      </c>
      <c r="E2174" s="7"/>
      <c r="F2174" s="7"/>
      <c r="G2174" s="9" t="s">
        <v>2322</v>
      </c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</row>
    <row r="2175" spans="1:18" ht="12.75" customHeight="1" x14ac:dyDescent="0.2">
      <c r="A2175" s="7"/>
      <c r="B2175" s="2"/>
      <c r="C2175" s="2"/>
      <c r="D2175" s="2"/>
      <c r="E2175" s="7"/>
      <c r="F2175" s="7"/>
      <c r="G2175" s="9" t="s">
        <v>2322</v>
      </c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</row>
    <row r="2176" spans="1:18" ht="12.75" customHeight="1" x14ac:dyDescent="0.2">
      <c r="A2176" s="7"/>
      <c r="B2176" s="2"/>
      <c r="C2176" s="2"/>
      <c r="D2176" s="2"/>
      <c r="E2176" s="7"/>
      <c r="F2176" s="7"/>
      <c r="G2176" s="9" t="s">
        <v>2322</v>
      </c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</row>
    <row r="2177" spans="1:18" ht="12.75" customHeight="1" x14ac:dyDescent="0.2">
      <c r="A2177" s="7"/>
      <c r="B2177" s="2"/>
      <c r="C2177" s="2"/>
      <c r="D2177" s="2"/>
      <c r="E2177" s="7"/>
      <c r="F2177" s="7"/>
      <c r="G2177" s="9" t="s">
        <v>2322</v>
      </c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</row>
    <row r="2178" spans="1:18" ht="12.75" customHeight="1" x14ac:dyDescent="0.2">
      <c r="A2178" s="7"/>
      <c r="B2178" s="2"/>
      <c r="C2178" s="2"/>
      <c r="D2178" s="2"/>
      <c r="E2178" s="7"/>
      <c r="F2178" s="7"/>
      <c r="G2178" s="9" t="s">
        <v>2322</v>
      </c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</row>
    <row r="2179" spans="1:18" ht="12.75" customHeight="1" x14ac:dyDescent="0.2">
      <c r="A2179" s="7"/>
      <c r="B2179" s="2"/>
      <c r="C2179" s="2"/>
      <c r="D2179" s="2"/>
      <c r="E2179" s="7"/>
      <c r="F2179" s="7"/>
      <c r="G2179" s="9" t="s">
        <v>2322</v>
      </c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</row>
    <row r="2180" spans="1:18" ht="12.75" customHeight="1" x14ac:dyDescent="0.2">
      <c r="A2180" s="7" t="str">
        <f>HYPERLINK("javascript:void(0)","teljes ernyővért")</f>
        <v>teljes ernyővért</v>
      </c>
      <c r="B2180" s="7"/>
      <c r="C2180" s="7"/>
      <c r="D2180" s="7"/>
      <c r="E2180" s="7"/>
      <c r="F2180" s="7"/>
      <c r="G2180" s="9" t="s">
        <v>2322</v>
      </c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</row>
    <row r="2181" spans="1:18" ht="12.75" customHeight="1" x14ac:dyDescent="0.2">
      <c r="A2181" s="7"/>
      <c r="B2181" s="2"/>
      <c r="C2181" s="2"/>
      <c r="D2181" s="2"/>
      <c r="E2181" s="7"/>
      <c r="F2181" s="7"/>
      <c r="G2181" s="9" t="s">
        <v>2322</v>
      </c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</row>
    <row r="2182" spans="1:18" ht="12.75" customHeight="1" x14ac:dyDescent="0.2">
      <c r="A2182" s="7"/>
      <c r="B2182" s="2" t="s">
        <v>0</v>
      </c>
      <c r="C2182" s="2" t="s">
        <v>874</v>
      </c>
      <c r="D2182" s="2"/>
      <c r="E2182" s="7"/>
      <c r="F2182" s="7"/>
      <c r="G2182" s="9" t="s">
        <v>2322</v>
      </c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</row>
    <row r="2183" spans="1:18" ht="12.75" customHeight="1" x14ac:dyDescent="0.2">
      <c r="A2183" s="7"/>
      <c r="B2183" s="2" t="s">
        <v>2</v>
      </c>
      <c r="C2183" s="2" t="s">
        <v>2322</v>
      </c>
      <c r="D2183" s="2"/>
      <c r="E2183" s="7"/>
      <c r="F2183" s="7"/>
      <c r="G2183" s="9" t="s">
        <v>2322</v>
      </c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</row>
    <row r="2184" spans="1:18" ht="12.75" customHeight="1" x14ac:dyDescent="0.2">
      <c r="A2184" s="7"/>
      <c r="B2184" s="2" t="s">
        <v>1840</v>
      </c>
      <c r="C2184" s="2" t="s">
        <v>2491</v>
      </c>
      <c r="D2184" s="2"/>
      <c r="E2184" s="7"/>
      <c r="F2184" s="7"/>
      <c r="G2184" s="9" t="s">
        <v>2322</v>
      </c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</row>
    <row r="2185" spans="1:18" ht="12.75" customHeight="1" x14ac:dyDescent="0.2">
      <c r="A2185" s="7"/>
      <c r="B2185" s="2" t="s">
        <v>9</v>
      </c>
      <c r="C2185" s="2" t="s">
        <v>2492</v>
      </c>
      <c r="D2185" s="2"/>
      <c r="E2185" s="7"/>
      <c r="F2185" s="7"/>
      <c r="G2185" s="9" t="s">
        <v>2322</v>
      </c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</row>
    <row r="2186" spans="1:18" ht="12.75" customHeight="1" x14ac:dyDescent="0.2">
      <c r="A2186" s="7"/>
      <c r="B2186" s="2" t="s">
        <v>11</v>
      </c>
      <c r="C2186" s="2" t="s">
        <v>1443</v>
      </c>
      <c r="D2186" s="2"/>
      <c r="E2186" s="7"/>
      <c r="F2186" s="7"/>
      <c r="G2186" s="9" t="s">
        <v>2322</v>
      </c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</row>
    <row r="2187" spans="1:18" ht="12.75" customHeight="1" x14ac:dyDescent="0.2">
      <c r="A2187" s="7"/>
      <c r="B2187" s="2" t="s">
        <v>16</v>
      </c>
      <c r="C2187" s="2"/>
      <c r="D2187" s="2"/>
      <c r="E2187" s="7"/>
      <c r="F2187" s="7"/>
      <c r="G2187" s="9" t="s">
        <v>2322</v>
      </c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</row>
    <row r="2188" spans="1:18" ht="12.75" customHeight="1" x14ac:dyDescent="0.2">
      <c r="A2188" s="7"/>
      <c r="B2188" s="2" t="s">
        <v>17</v>
      </c>
      <c r="C2188" s="2" t="s">
        <v>19</v>
      </c>
      <c r="D2188" s="2"/>
      <c r="E2188" s="7"/>
      <c r="F2188" s="7"/>
      <c r="G2188" s="9" t="s">
        <v>2322</v>
      </c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</row>
    <row r="2189" spans="1:18" ht="12.75" customHeight="1" x14ac:dyDescent="0.2">
      <c r="A2189" s="7"/>
      <c r="B2189" s="2" t="s">
        <v>18</v>
      </c>
      <c r="C2189" s="2" t="s">
        <v>269</v>
      </c>
      <c r="D2189" s="2" t="str">
        <f>HYPERLINK("javascript:void(0)","porszőr")</f>
        <v>porszőr</v>
      </c>
      <c r="E2189" s="7"/>
      <c r="F2189" s="7"/>
      <c r="G2189" s="9" t="s">
        <v>2322</v>
      </c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</row>
    <row r="2190" spans="1:18" ht="12.75" customHeight="1" x14ac:dyDescent="0.2">
      <c r="A2190" s="7"/>
      <c r="B2190" s="2"/>
      <c r="C2190" s="2" t="s">
        <v>331</v>
      </c>
      <c r="D2190" s="2" t="str">
        <f>HYPERLINK("javascript:void(0)","ejtőernyő")</f>
        <v>ejtőernyő</v>
      </c>
      <c r="E2190" s="7"/>
      <c r="F2190" s="7"/>
      <c r="G2190" s="9" t="s">
        <v>2322</v>
      </c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</row>
    <row r="2191" spans="1:18" ht="12.75" customHeight="1" x14ac:dyDescent="0.2">
      <c r="A2191" s="7"/>
      <c r="B2191" s="2"/>
      <c r="C2191" s="2" t="s">
        <v>228</v>
      </c>
      <c r="D2191" s="2" t="str">
        <f>HYPERLINK("javascript:void(0)","csapdaszeg")</f>
        <v>csapdaszeg</v>
      </c>
      <c r="E2191" s="7"/>
      <c r="F2191" s="7"/>
      <c r="G2191" s="9" t="s">
        <v>2322</v>
      </c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</row>
    <row r="2192" spans="1:18" ht="12.75" customHeight="1" x14ac:dyDescent="0.2">
      <c r="A2192" s="7"/>
      <c r="B2192" s="2"/>
      <c r="C2192" s="2"/>
      <c r="D2192" s="2"/>
      <c r="E2192" s="7"/>
      <c r="F2192" s="7"/>
      <c r="G2192" s="9" t="s">
        <v>2322</v>
      </c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</row>
    <row r="2193" spans="1:18" ht="12.75" customHeight="1" x14ac:dyDescent="0.2">
      <c r="A2193" s="7"/>
      <c r="B2193" s="2"/>
      <c r="C2193" s="2"/>
      <c r="D2193" s="2"/>
      <c r="E2193" s="7"/>
      <c r="F2193" s="7"/>
      <c r="G2193" s="9" t="s">
        <v>2322</v>
      </c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</row>
    <row r="2194" spans="1:18" ht="12.75" customHeight="1" x14ac:dyDescent="0.2">
      <c r="A2194" s="7"/>
      <c r="B2194" s="2"/>
      <c r="C2194" s="2"/>
      <c r="D2194" s="2"/>
      <c r="E2194" s="7"/>
      <c r="F2194" s="7"/>
      <c r="G2194" s="9" t="s">
        <v>2322</v>
      </c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</row>
    <row r="2195" spans="1:18" ht="12.75" customHeight="1" x14ac:dyDescent="0.2">
      <c r="A2195" s="7"/>
      <c r="B2195" s="2"/>
      <c r="C2195" s="2"/>
      <c r="D2195" s="2"/>
      <c r="E2195" s="7"/>
      <c r="F2195" s="7"/>
      <c r="G2195" s="9" t="s">
        <v>2322</v>
      </c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</row>
    <row r="2196" spans="1:18" ht="12.75" customHeight="1" x14ac:dyDescent="0.2">
      <c r="A2196" s="7"/>
      <c r="B2196" s="2"/>
      <c r="C2196" s="2"/>
      <c r="D2196" s="2"/>
      <c r="E2196" s="7"/>
      <c r="F2196" s="7"/>
      <c r="G2196" s="9" t="s">
        <v>2322</v>
      </c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</row>
    <row r="2197" spans="1:18" ht="12.75" customHeight="1" x14ac:dyDescent="0.2">
      <c r="A2197" s="7" t="str">
        <f>HYPERLINK("javascript:void(0)","teljes fotoacélvért")</f>
        <v>teljes fotoacélvért</v>
      </c>
      <c r="B2197" s="7"/>
      <c r="C2197" s="7"/>
      <c r="D2197" s="7"/>
      <c r="E2197" s="7"/>
      <c r="F2197" s="7"/>
      <c r="G2197" s="9" t="s">
        <v>2322</v>
      </c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</row>
    <row r="2198" spans="1:18" ht="12.75" customHeight="1" x14ac:dyDescent="0.2">
      <c r="A2198" s="7"/>
      <c r="B2198" s="2"/>
      <c r="C2198" s="2"/>
      <c r="D2198" s="2"/>
      <c r="E2198" s="7"/>
      <c r="F2198" s="7"/>
      <c r="G2198" s="9" t="s">
        <v>2322</v>
      </c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</row>
    <row r="2199" spans="1:18" ht="12.75" customHeight="1" x14ac:dyDescent="0.2">
      <c r="A2199" s="7"/>
      <c r="B2199" s="2" t="s">
        <v>0</v>
      </c>
      <c r="C2199" s="2" t="s">
        <v>883</v>
      </c>
      <c r="D2199" s="2"/>
      <c r="E2199" s="7"/>
      <c r="F2199" s="7"/>
      <c r="G2199" s="9" t="s">
        <v>2322</v>
      </c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</row>
    <row r="2200" spans="1:18" ht="12.75" customHeight="1" x14ac:dyDescent="0.2">
      <c r="A2200" s="7"/>
      <c r="B2200" s="2" t="s">
        <v>2</v>
      </c>
      <c r="C2200" s="2" t="s">
        <v>2322</v>
      </c>
      <c r="D2200" s="2"/>
      <c r="E2200" s="7"/>
      <c r="F2200" s="7"/>
      <c r="G2200" s="9" t="s">
        <v>2322</v>
      </c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</row>
    <row r="2201" spans="1:18" ht="12.75" customHeight="1" x14ac:dyDescent="0.2">
      <c r="A2201" s="7"/>
      <c r="B2201" s="2" t="s">
        <v>1840</v>
      </c>
      <c r="C2201" s="2" t="s">
        <v>2493</v>
      </c>
      <c r="D2201" s="2"/>
      <c r="E2201" s="7"/>
      <c r="F2201" s="7"/>
      <c r="G2201" s="9" t="s">
        <v>2322</v>
      </c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</row>
    <row r="2202" spans="1:18" ht="12.75" customHeight="1" x14ac:dyDescent="0.2">
      <c r="A2202" s="7"/>
      <c r="B2202" s="2" t="s">
        <v>9</v>
      </c>
      <c r="C2202" s="2" t="s">
        <v>2058</v>
      </c>
      <c r="D2202" s="2"/>
      <c r="E2202" s="7"/>
      <c r="F2202" s="7"/>
      <c r="G2202" s="9" t="s">
        <v>2322</v>
      </c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</row>
    <row r="2203" spans="1:18" ht="12.75" customHeight="1" x14ac:dyDescent="0.2">
      <c r="A2203" s="7"/>
      <c r="B2203" s="2" t="s">
        <v>11</v>
      </c>
      <c r="C2203" s="2" t="s">
        <v>1528</v>
      </c>
      <c r="D2203" s="2"/>
      <c r="E2203" s="7"/>
      <c r="F2203" s="7"/>
      <c r="G2203" s="9" t="s">
        <v>2322</v>
      </c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</row>
    <row r="2204" spans="1:18" ht="12.75" customHeight="1" x14ac:dyDescent="0.2">
      <c r="A2204" s="7"/>
      <c r="B2204" s="2" t="s">
        <v>16</v>
      </c>
      <c r="C2204" s="2"/>
      <c r="D2204" s="2"/>
      <c r="E2204" s="7"/>
      <c r="F2204" s="7"/>
      <c r="G2204" s="9" t="s">
        <v>2322</v>
      </c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</row>
    <row r="2205" spans="1:18" ht="12.75" customHeight="1" x14ac:dyDescent="0.2">
      <c r="A2205" s="7"/>
      <c r="B2205" s="2" t="s">
        <v>17</v>
      </c>
      <c r="C2205" s="2" t="s">
        <v>19</v>
      </c>
      <c r="D2205" s="2"/>
      <c r="E2205" s="7"/>
      <c r="F2205" s="7"/>
      <c r="G2205" s="9" t="s">
        <v>2322</v>
      </c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</row>
    <row r="2206" spans="1:18" ht="12.75" customHeight="1" x14ac:dyDescent="0.2">
      <c r="A2206" s="7"/>
      <c r="B2206" s="2" t="s">
        <v>18</v>
      </c>
      <c r="C2206" s="2" t="s">
        <v>44</v>
      </c>
      <c r="D2206" s="2" t="str">
        <f>HYPERLINK("javascript:void(0)","teljes kentacélvért")</f>
        <v>teljes kentacélvért</v>
      </c>
      <c r="E2206" s="7"/>
      <c r="F2206" s="7"/>
      <c r="G2206" s="9" t="s">
        <v>2322</v>
      </c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</row>
    <row r="2207" spans="1:18" ht="12.75" customHeight="1" x14ac:dyDescent="0.2">
      <c r="A2207" s="7"/>
      <c r="B2207" s="2"/>
      <c r="C2207" s="2" t="s">
        <v>44</v>
      </c>
      <c r="D2207" s="2" t="str">
        <f>HYPERLINK("javascript:void(0)","teljes ernyővért")</f>
        <v>teljes ernyővért</v>
      </c>
      <c r="E2207" s="7"/>
      <c r="F2207" s="7"/>
      <c r="G2207" s="9" t="s">
        <v>2322</v>
      </c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</row>
    <row r="2208" spans="1:18" ht="12.75" customHeight="1" x14ac:dyDescent="0.2">
      <c r="A2208" s="7"/>
      <c r="B2208" s="2"/>
      <c r="C2208" s="2" t="s">
        <v>44</v>
      </c>
      <c r="D2208" s="2" t="str">
        <f>HYPERLINK("javascript:void(0)","fotonbélés")</f>
        <v>fotonbélés</v>
      </c>
      <c r="E2208" s="7"/>
      <c r="F2208" s="7"/>
      <c r="G2208" s="9" t="s">
        <v>2322</v>
      </c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</row>
    <row r="2209" spans="1:18" ht="12.75" customHeight="1" x14ac:dyDescent="0.2">
      <c r="A2209" s="7"/>
      <c r="B2209" s="2"/>
      <c r="C2209" s="2"/>
      <c r="D2209" s="2"/>
      <c r="E2209" s="7"/>
      <c r="F2209" s="7"/>
      <c r="G2209" s="9" t="s">
        <v>2322</v>
      </c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</row>
    <row r="2210" spans="1:18" ht="12.75" customHeight="1" x14ac:dyDescent="0.2">
      <c r="A2210" s="7"/>
      <c r="B2210" s="2"/>
      <c r="C2210" s="2"/>
      <c r="D2210" s="2"/>
      <c r="E2210" s="7"/>
      <c r="F2210" s="7"/>
      <c r="G2210" s="9" t="s">
        <v>2322</v>
      </c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</row>
    <row r="2211" spans="1:18" ht="12.75" customHeight="1" x14ac:dyDescent="0.2">
      <c r="A2211" s="7"/>
      <c r="B2211" s="2"/>
      <c r="C2211" s="2"/>
      <c r="D2211" s="2"/>
      <c r="E2211" s="7"/>
      <c r="F2211" s="7"/>
      <c r="G2211" s="9" t="s">
        <v>2322</v>
      </c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</row>
    <row r="2212" spans="1:18" ht="12.75" customHeight="1" x14ac:dyDescent="0.2">
      <c r="A2212" s="7"/>
      <c r="B2212" s="2"/>
      <c r="C2212" s="2"/>
      <c r="D2212" s="2"/>
      <c r="E2212" s="7"/>
      <c r="F2212" s="7"/>
      <c r="G2212" s="9" t="s">
        <v>2322</v>
      </c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</row>
    <row r="2213" spans="1:18" ht="12.75" customHeight="1" x14ac:dyDescent="0.2">
      <c r="A2213" s="7"/>
      <c r="B2213" s="2"/>
      <c r="C2213" s="2"/>
      <c r="D2213" s="2"/>
      <c r="E2213" s="7"/>
      <c r="F2213" s="7"/>
      <c r="G2213" s="9" t="s">
        <v>2322</v>
      </c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</row>
    <row r="2214" spans="1:18" ht="12.75" customHeight="1" x14ac:dyDescent="0.2">
      <c r="A2214" s="7" t="str">
        <f>HYPERLINK("javascript:void(0)","fotonbélés")</f>
        <v>fotonbélés</v>
      </c>
      <c r="B2214" s="7"/>
      <c r="C2214" s="7"/>
      <c r="D2214" s="7"/>
      <c r="E2214" s="7"/>
      <c r="F2214" s="7"/>
      <c r="G2214" s="9" t="s">
        <v>2322</v>
      </c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</row>
    <row r="2215" spans="1:18" ht="12.75" customHeight="1" x14ac:dyDescent="0.2">
      <c r="A2215" s="7"/>
      <c r="B2215" s="2"/>
      <c r="C2215" s="2"/>
      <c r="D2215" s="2"/>
      <c r="E2215" s="7"/>
      <c r="F2215" s="7"/>
      <c r="G2215" s="9" t="s">
        <v>2322</v>
      </c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</row>
    <row r="2216" spans="1:18" ht="12.75" customHeight="1" x14ac:dyDescent="0.2">
      <c r="A2216" s="7"/>
      <c r="B2216" s="2" t="s">
        <v>0</v>
      </c>
      <c r="C2216" s="2" t="s">
        <v>883</v>
      </c>
      <c r="D2216" s="2"/>
      <c r="E2216" s="7"/>
      <c r="F2216" s="7"/>
      <c r="G2216" s="9" t="s">
        <v>2322</v>
      </c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</row>
    <row r="2217" spans="1:18" ht="12.75" customHeight="1" x14ac:dyDescent="0.2">
      <c r="A2217" s="7"/>
      <c r="B2217" s="2" t="s">
        <v>2</v>
      </c>
      <c r="C2217" s="2" t="s">
        <v>2322</v>
      </c>
      <c r="D2217" s="2"/>
      <c r="E2217" s="7"/>
      <c r="F2217" s="7"/>
      <c r="G2217" s="9" t="s">
        <v>2322</v>
      </c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</row>
    <row r="2218" spans="1:18" ht="12.75" customHeight="1" x14ac:dyDescent="0.2">
      <c r="A2218" s="7"/>
      <c r="B2218" s="2" t="s">
        <v>1840</v>
      </c>
      <c r="C2218" s="2" t="s">
        <v>115</v>
      </c>
      <c r="D2218" s="2"/>
      <c r="E2218" s="7"/>
      <c r="F2218" s="7"/>
      <c r="G2218" s="9" t="s">
        <v>2322</v>
      </c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</row>
    <row r="2219" spans="1:18" ht="12.75" customHeight="1" x14ac:dyDescent="0.2">
      <c r="A2219" s="7"/>
      <c r="B2219" s="2" t="s">
        <v>9</v>
      </c>
      <c r="C2219" s="2" t="s">
        <v>172</v>
      </c>
      <c r="D2219" s="2"/>
      <c r="E2219" s="7"/>
      <c r="F2219" s="7"/>
      <c r="G2219" s="9" t="s">
        <v>2322</v>
      </c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</row>
    <row r="2220" spans="1:18" ht="12.75" customHeight="1" x14ac:dyDescent="0.2">
      <c r="A2220" s="7"/>
      <c r="B2220" s="2" t="s">
        <v>11</v>
      </c>
      <c r="C2220" s="2" t="s">
        <v>2494</v>
      </c>
      <c r="D2220" s="2"/>
      <c r="E2220" s="7"/>
      <c r="F2220" s="7"/>
      <c r="G2220" s="9" t="s">
        <v>2322</v>
      </c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</row>
    <row r="2221" spans="1:18" ht="12.75" customHeight="1" x14ac:dyDescent="0.2">
      <c r="A2221" s="7"/>
      <c r="B2221" s="2" t="s">
        <v>16</v>
      </c>
      <c r="C2221" s="2"/>
      <c r="D2221" s="2"/>
      <c r="E2221" s="7"/>
      <c r="F2221" s="7"/>
      <c r="G2221" s="9" t="s">
        <v>2322</v>
      </c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</row>
    <row r="2222" spans="1:18" ht="12.75" customHeight="1" x14ac:dyDescent="0.2">
      <c r="A2222" s="7"/>
      <c r="B2222" s="2" t="s">
        <v>17</v>
      </c>
      <c r="C2222" s="2" t="s">
        <v>19</v>
      </c>
      <c r="D2222" s="2"/>
      <c r="E2222" s="7"/>
      <c r="F2222" s="7"/>
      <c r="G2222" s="9" t="s">
        <v>2322</v>
      </c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</row>
    <row r="2223" spans="1:18" ht="12.75" customHeight="1" x14ac:dyDescent="0.2">
      <c r="A2223" s="7"/>
      <c r="B2223" s="2" t="s">
        <v>18</v>
      </c>
      <c r="C2223" s="2" t="s">
        <v>68</v>
      </c>
      <c r="D2223" s="2" t="str">
        <f>HYPERLINK("javascript:void(0)","habléc")</f>
        <v>habléc</v>
      </c>
      <c r="E2223" s="7"/>
      <c r="F2223" s="7"/>
      <c r="G2223" s="9" t="s">
        <v>2322</v>
      </c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</row>
    <row r="2224" spans="1:18" ht="12.75" customHeight="1" x14ac:dyDescent="0.2">
      <c r="A2224" s="7"/>
      <c r="B2224" s="2"/>
      <c r="C2224" s="2" t="s">
        <v>98</v>
      </c>
      <c r="D2224" s="2" t="str">
        <f>HYPERLINK("javascript:void(0)","lidérclámpás")</f>
        <v>lidérclámpás</v>
      </c>
      <c r="E2224" s="7"/>
      <c r="F2224" s="7"/>
      <c r="G2224" s="9" t="s">
        <v>2322</v>
      </c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</row>
    <row r="2225" spans="1:18" ht="12.75" customHeight="1" x14ac:dyDescent="0.2">
      <c r="A2225" s="7"/>
      <c r="B2225" s="2"/>
      <c r="C2225" s="2" t="s">
        <v>244</v>
      </c>
      <c r="D2225" s="2" t="str">
        <f>HYPERLINK("javascript:void(0)","térszelet")</f>
        <v>térszelet</v>
      </c>
      <c r="E2225" s="7"/>
      <c r="F2225" s="7"/>
      <c r="G2225" s="9" t="s">
        <v>2322</v>
      </c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</row>
    <row r="2226" spans="1:18" ht="12.75" customHeight="1" x14ac:dyDescent="0.2">
      <c r="A2226" s="7"/>
      <c r="B2226" s="2"/>
      <c r="C2226" s="2"/>
      <c r="D2226" s="2"/>
      <c r="E2226" s="7"/>
      <c r="F2226" s="7"/>
      <c r="G2226" s="9" t="s">
        <v>2322</v>
      </c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</row>
    <row r="2227" spans="1:18" ht="12.75" customHeight="1" x14ac:dyDescent="0.2">
      <c r="A2227" s="7"/>
      <c r="B2227" s="2"/>
      <c r="C2227" s="2"/>
      <c r="D2227" s="2"/>
      <c r="E2227" s="7"/>
      <c r="F2227" s="7"/>
      <c r="G2227" s="9" t="s">
        <v>2322</v>
      </c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</row>
    <row r="2228" spans="1:18" ht="12.75" customHeight="1" x14ac:dyDescent="0.2">
      <c r="A2228" s="7"/>
      <c r="B2228" s="2"/>
      <c r="C2228" s="2"/>
      <c r="D2228" s="2"/>
      <c r="E2228" s="7"/>
      <c r="F2228" s="7"/>
      <c r="G2228" s="9" t="s">
        <v>2322</v>
      </c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</row>
    <row r="2229" spans="1:18" ht="12.75" customHeight="1" x14ac:dyDescent="0.2">
      <c r="A2229" s="7"/>
      <c r="B2229" s="2"/>
      <c r="C2229" s="2"/>
      <c r="D2229" s="2"/>
      <c r="E2229" s="7"/>
      <c r="F2229" s="7"/>
      <c r="G2229" s="9" t="s">
        <v>2322</v>
      </c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</row>
    <row r="2230" spans="1:18" ht="12.75" customHeight="1" x14ac:dyDescent="0.2">
      <c r="A2230" s="7"/>
      <c r="B2230" s="2"/>
      <c r="C2230" s="2"/>
      <c r="D2230" s="2"/>
      <c r="E2230" s="7"/>
      <c r="F2230" s="7"/>
      <c r="G2230" s="9" t="s">
        <v>2322</v>
      </c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</row>
    <row r="2231" spans="1:18" ht="12.75" customHeight="1" x14ac:dyDescent="0.2">
      <c r="A2231" s="7" t="str">
        <f>HYPERLINK("javascript:void(0)","teljes atomvért")</f>
        <v>teljes atomvért</v>
      </c>
      <c r="B2231" s="7"/>
      <c r="C2231" s="7"/>
      <c r="D2231" s="7"/>
      <c r="E2231" s="7"/>
      <c r="F2231" s="7"/>
      <c r="G2231" s="9" t="s">
        <v>2322</v>
      </c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</row>
    <row r="2232" spans="1:18" ht="12.75" customHeight="1" x14ac:dyDescent="0.2">
      <c r="A2232" s="7"/>
      <c r="B2232" s="2"/>
      <c r="C2232" s="2"/>
      <c r="D2232" s="2"/>
      <c r="E2232" s="7"/>
      <c r="F2232" s="7"/>
      <c r="G2232" s="9" t="s">
        <v>2322</v>
      </c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</row>
    <row r="2233" spans="1:18" ht="12.75" customHeight="1" x14ac:dyDescent="0.2">
      <c r="A2233" s="7"/>
      <c r="B2233" s="2" t="s">
        <v>0</v>
      </c>
      <c r="C2233" s="2" t="s">
        <v>896</v>
      </c>
      <c r="D2233" s="2"/>
      <c r="E2233" s="7"/>
      <c r="F2233" s="7"/>
      <c r="G2233" s="9" t="s">
        <v>2322</v>
      </c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</row>
    <row r="2234" spans="1:18" ht="12.75" customHeight="1" x14ac:dyDescent="0.2">
      <c r="A2234" s="7"/>
      <c r="B2234" s="2" t="s">
        <v>2</v>
      </c>
      <c r="C2234" s="2" t="s">
        <v>2322</v>
      </c>
      <c r="D2234" s="2"/>
      <c r="E2234" s="7"/>
      <c r="F2234" s="7"/>
      <c r="G2234" s="9" t="s">
        <v>2322</v>
      </c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</row>
    <row r="2235" spans="1:18" ht="12.75" customHeight="1" x14ac:dyDescent="0.2">
      <c r="A2235" s="7"/>
      <c r="B2235" s="2" t="s">
        <v>1840</v>
      </c>
      <c r="C2235" s="2" t="s">
        <v>2495</v>
      </c>
      <c r="D2235" s="2"/>
      <c r="E2235" s="7"/>
      <c r="F2235" s="7"/>
      <c r="G2235" s="9" t="s">
        <v>2322</v>
      </c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</row>
    <row r="2236" spans="1:18" ht="12.75" customHeight="1" x14ac:dyDescent="0.2">
      <c r="A2236" s="7"/>
      <c r="B2236" s="2" t="s">
        <v>9</v>
      </c>
      <c r="C2236" s="2" t="s">
        <v>1595</v>
      </c>
      <c r="D2236" s="2"/>
      <c r="E2236" s="7"/>
      <c r="F2236" s="7"/>
      <c r="G2236" s="9" t="s">
        <v>2322</v>
      </c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</row>
    <row r="2237" spans="1:18" ht="12.75" customHeight="1" x14ac:dyDescent="0.2">
      <c r="A2237" s="7"/>
      <c r="B2237" s="2" t="s">
        <v>11</v>
      </c>
      <c r="C2237" s="2" t="s">
        <v>1451</v>
      </c>
      <c r="D2237" s="2"/>
      <c r="E2237" s="7"/>
      <c r="F2237" s="7"/>
      <c r="G2237" s="9" t="s">
        <v>2322</v>
      </c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</row>
    <row r="2238" spans="1:18" ht="12.75" customHeight="1" x14ac:dyDescent="0.2">
      <c r="A2238" s="7"/>
      <c r="B2238" s="2" t="s">
        <v>16</v>
      </c>
      <c r="C2238" s="2"/>
      <c r="D2238" s="2"/>
      <c r="E2238" s="7"/>
      <c r="F2238" s="7"/>
      <c r="G2238" s="9" t="s">
        <v>2322</v>
      </c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</row>
    <row r="2239" spans="1:18" ht="12.75" customHeight="1" x14ac:dyDescent="0.2">
      <c r="A2239" s="7"/>
      <c r="B2239" s="2" t="s">
        <v>17</v>
      </c>
      <c r="C2239" s="2" t="s">
        <v>19</v>
      </c>
      <c r="D2239" s="2"/>
      <c r="E2239" s="7"/>
      <c r="F2239" s="7"/>
      <c r="G2239" s="9" t="s">
        <v>2322</v>
      </c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</row>
    <row r="2240" spans="1:18" ht="12.75" customHeight="1" x14ac:dyDescent="0.2">
      <c r="A2240" s="7"/>
      <c r="B2240" s="2" t="s">
        <v>18</v>
      </c>
      <c r="C2240" s="2" t="s">
        <v>68</v>
      </c>
      <c r="D2240" s="2" t="str">
        <f>HYPERLINK("javascript:void(0)","molekula")</f>
        <v>molekula</v>
      </c>
      <c r="E2240" s="7"/>
      <c r="F2240" s="7"/>
      <c r="G2240" s="9" t="s">
        <v>2322</v>
      </c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</row>
    <row r="2241" spans="1:18" ht="12.75" customHeight="1" x14ac:dyDescent="0.2">
      <c r="A2241" s="7"/>
      <c r="B2241" s="2"/>
      <c r="C2241" s="2" t="s">
        <v>44</v>
      </c>
      <c r="D2241" s="2" t="str">
        <f>HYPERLINK("javascript:void(0)","teljes fotoacélvért")</f>
        <v>teljes fotoacélvért</v>
      </c>
      <c r="E2241" s="7"/>
      <c r="F2241" s="7"/>
      <c r="G2241" s="9" t="s">
        <v>2322</v>
      </c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</row>
    <row r="2242" spans="1:18" ht="12.75" customHeight="1" x14ac:dyDescent="0.2">
      <c r="A2242" s="7"/>
      <c r="B2242" s="2"/>
      <c r="C2242" s="2" t="s">
        <v>244</v>
      </c>
      <c r="D2242" s="2" t="str">
        <f>HYPERLINK("javascript:void(0)","zanzahúr")</f>
        <v>zanzahúr</v>
      </c>
      <c r="E2242" s="7"/>
      <c r="F2242" s="7"/>
      <c r="G2242" s="9" t="s">
        <v>2322</v>
      </c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</row>
    <row r="2243" spans="1:18" ht="12.75" customHeight="1" x14ac:dyDescent="0.2">
      <c r="A2243" s="7"/>
      <c r="B2243" s="2"/>
      <c r="C2243" s="2"/>
      <c r="D2243" s="2"/>
      <c r="E2243" s="7"/>
      <c r="F2243" s="7"/>
      <c r="G2243" s="9" t="s">
        <v>2322</v>
      </c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</row>
    <row r="2244" spans="1:18" ht="12.75" customHeight="1" x14ac:dyDescent="0.2">
      <c r="A2244" s="7"/>
      <c r="B2244" s="2"/>
      <c r="C2244" s="2"/>
      <c r="D2244" s="2"/>
      <c r="E2244" s="7"/>
      <c r="F2244" s="7"/>
      <c r="G2244" s="9" t="s">
        <v>2322</v>
      </c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</row>
    <row r="2245" spans="1:18" ht="12.75" customHeight="1" x14ac:dyDescent="0.2">
      <c r="A2245" s="7"/>
      <c r="B2245" s="2"/>
      <c r="C2245" s="2"/>
      <c r="D2245" s="2"/>
      <c r="E2245" s="7"/>
      <c r="F2245" s="7"/>
      <c r="G2245" s="9" t="s">
        <v>2322</v>
      </c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</row>
    <row r="2246" spans="1:18" ht="12.75" customHeight="1" x14ac:dyDescent="0.2">
      <c r="A2246" s="7"/>
      <c r="B2246" s="2"/>
      <c r="C2246" s="2"/>
      <c r="D2246" s="2"/>
      <c r="E2246" s="7"/>
      <c r="F2246" s="7"/>
      <c r="G2246" s="9" t="s">
        <v>2322</v>
      </c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</row>
    <row r="2247" spans="1:18" ht="12.75" customHeight="1" x14ac:dyDescent="0.2">
      <c r="A2247" s="7"/>
      <c r="B2247" s="2"/>
      <c r="C2247" s="2"/>
      <c r="D2247" s="2"/>
      <c r="E2247" s="7"/>
      <c r="F2247" s="7"/>
      <c r="G2247" s="9" t="s">
        <v>2322</v>
      </c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</row>
    <row r="2248" spans="1:18" ht="12.75" customHeight="1" x14ac:dyDescent="0.2">
      <c r="A2248" s="7" t="str">
        <f>HYPERLINK("javascript:void(0)","csillámló sziklapáncél")</f>
        <v>csillámló sziklapáncél</v>
      </c>
      <c r="B2248" s="7"/>
      <c r="C2248" s="7"/>
      <c r="D2248" s="7"/>
      <c r="E2248" s="7"/>
      <c r="F2248" s="7"/>
      <c r="G2248" s="9" t="s">
        <v>2322</v>
      </c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</row>
    <row r="2249" spans="1:18" ht="12.75" customHeight="1" x14ac:dyDescent="0.2">
      <c r="A2249" s="7"/>
      <c r="B2249" s="2"/>
      <c r="C2249" s="2"/>
      <c r="D2249" s="2"/>
      <c r="E2249" s="7"/>
      <c r="F2249" s="7"/>
      <c r="G2249" s="9" t="s">
        <v>2322</v>
      </c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</row>
    <row r="2250" spans="1:18" ht="12.75" customHeight="1" x14ac:dyDescent="0.2">
      <c r="A2250" s="7"/>
      <c r="B2250" s="2" t="s">
        <v>0</v>
      </c>
      <c r="C2250" s="2" t="s">
        <v>896</v>
      </c>
      <c r="D2250" s="2"/>
      <c r="E2250" s="7"/>
      <c r="F2250" s="7"/>
      <c r="G2250" s="9" t="s">
        <v>2322</v>
      </c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</row>
    <row r="2251" spans="1:18" ht="12.75" customHeight="1" x14ac:dyDescent="0.2">
      <c r="A2251" s="7"/>
      <c r="B2251" s="2" t="s">
        <v>2</v>
      </c>
      <c r="C2251" s="2" t="s">
        <v>2322</v>
      </c>
      <c r="D2251" s="2"/>
      <c r="E2251" s="7"/>
      <c r="F2251" s="7"/>
      <c r="G2251" s="9" t="s">
        <v>2322</v>
      </c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</row>
    <row r="2252" spans="1:18" ht="12.75" customHeight="1" x14ac:dyDescent="0.2">
      <c r="A2252" s="7"/>
      <c r="B2252" s="2" t="s">
        <v>1840</v>
      </c>
      <c r="C2252" s="2" t="s">
        <v>1850</v>
      </c>
      <c r="D2252" s="2"/>
      <c r="E2252" s="7"/>
      <c r="F2252" s="7"/>
      <c r="G2252" s="9" t="s">
        <v>2322</v>
      </c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</row>
    <row r="2253" spans="1:18" ht="12.75" customHeight="1" x14ac:dyDescent="0.2">
      <c r="A2253" s="7"/>
      <c r="B2253" s="2" t="s">
        <v>9</v>
      </c>
      <c r="C2253" s="2" t="s">
        <v>816</v>
      </c>
      <c r="D2253" s="2"/>
      <c r="E2253" s="7"/>
      <c r="F2253" s="7"/>
      <c r="G2253" s="9" t="s">
        <v>2322</v>
      </c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</row>
    <row r="2254" spans="1:18" ht="12.75" customHeight="1" x14ac:dyDescent="0.2">
      <c r="A2254" s="7"/>
      <c r="B2254" s="2" t="s">
        <v>11</v>
      </c>
      <c r="C2254" s="2" t="s">
        <v>1451</v>
      </c>
      <c r="D2254" s="2"/>
      <c r="E2254" s="7"/>
      <c r="F2254" s="7"/>
      <c r="G2254" s="9" t="s">
        <v>2322</v>
      </c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</row>
    <row r="2255" spans="1:18" ht="12.75" customHeight="1" x14ac:dyDescent="0.2">
      <c r="A2255" s="7"/>
      <c r="B2255" s="2" t="s">
        <v>16</v>
      </c>
      <c r="C2255" s="2"/>
      <c r="D2255" s="2"/>
      <c r="E2255" s="7"/>
      <c r="F2255" s="7"/>
      <c r="G2255" s="9" t="s">
        <v>2322</v>
      </c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</row>
    <row r="2256" spans="1:18" ht="12.75" customHeight="1" x14ac:dyDescent="0.2">
      <c r="A2256" s="7"/>
      <c r="B2256" s="2" t="s">
        <v>17</v>
      </c>
      <c r="C2256" s="2" t="s">
        <v>19</v>
      </c>
      <c r="D2256" s="2"/>
      <c r="E2256" s="7"/>
      <c r="F2256" s="7"/>
      <c r="G2256" s="9" t="s">
        <v>2322</v>
      </c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</row>
    <row r="2257" spans="1:18" ht="12.75" customHeight="1" x14ac:dyDescent="0.2">
      <c r="A2257" s="7"/>
      <c r="B2257" s="2" t="s">
        <v>18</v>
      </c>
      <c r="C2257" s="2" t="s">
        <v>57</v>
      </c>
      <c r="D2257" s="2" t="str">
        <f>HYPERLINK("javascript:void(0)","csillámgöb")</f>
        <v>csillámgöb</v>
      </c>
      <c r="E2257" s="7"/>
      <c r="F2257" s="7"/>
      <c r="G2257" s="9" t="s">
        <v>2322</v>
      </c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</row>
    <row r="2258" spans="1:18" ht="12.75" customHeight="1" x14ac:dyDescent="0.2">
      <c r="A2258" s="7"/>
      <c r="B2258" s="2"/>
      <c r="C2258" s="2" t="s">
        <v>44</v>
      </c>
      <c r="D2258" s="2" t="str">
        <f>HYPERLINK("javascript:void(0)","csillámló óriáspáncél")</f>
        <v>csillámló óriáspáncél</v>
      </c>
      <c r="E2258" s="7"/>
      <c r="F2258" s="7"/>
      <c r="G2258" s="9" t="s">
        <v>2322</v>
      </c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</row>
    <row r="2259" spans="1:18" ht="12.75" customHeight="1" x14ac:dyDescent="0.2">
      <c r="A2259" s="7"/>
      <c r="B2259" s="2"/>
      <c r="C2259" s="2" t="s">
        <v>265</v>
      </c>
      <c r="D2259" s="2" t="str">
        <f>HYPERLINK("javascript:void(0)","földige")</f>
        <v>földige</v>
      </c>
      <c r="E2259" s="7"/>
      <c r="F2259" s="7"/>
      <c r="G2259" s="9" t="s">
        <v>2322</v>
      </c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</row>
    <row r="2260" spans="1:18" ht="12.75" customHeight="1" x14ac:dyDescent="0.2">
      <c r="A2260" s="7"/>
      <c r="B2260" s="2"/>
      <c r="C2260" s="2"/>
      <c r="D2260" s="2"/>
      <c r="E2260" s="7"/>
      <c r="F2260" s="7"/>
      <c r="G2260" s="9" t="s">
        <v>2322</v>
      </c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</row>
    <row r="2261" spans="1:18" ht="12.75" customHeight="1" x14ac:dyDescent="0.2">
      <c r="A2261" s="7"/>
      <c r="B2261" s="2"/>
      <c r="C2261" s="2"/>
      <c r="D2261" s="2"/>
      <c r="E2261" s="7"/>
      <c r="F2261" s="7"/>
      <c r="G2261" s="9" t="s">
        <v>2322</v>
      </c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</row>
    <row r="2262" spans="1:18" ht="12.75" customHeight="1" x14ac:dyDescent="0.2">
      <c r="A2262" s="7"/>
      <c r="B2262" s="2"/>
      <c r="C2262" s="2"/>
      <c r="D2262" s="2"/>
      <c r="E2262" s="7"/>
      <c r="F2262" s="7"/>
      <c r="G2262" s="9" t="s">
        <v>2322</v>
      </c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</row>
    <row r="2263" spans="1:18" ht="12.75" customHeight="1" x14ac:dyDescent="0.2">
      <c r="A2263" s="7"/>
      <c r="B2263" s="2"/>
      <c r="C2263" s="2"/>
      <c r="D2263" s="2"/>
      <c r="E2263" s="7"/>
      <c r="F2263" s="7"/>
      <c r="G2263" s="9" t="s">
        <v>2322</v>
      </c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</row>
    <row r="2264" spans="1:18" ht="12.75" customHeight="1" x14ac:dyDescent="0.2">
      <c r="A2264" s="7"/>
      <c r="B2264" s="2"/>
      <c r="C2264" s="2"/>
      <c r="D2264" s="2"/>
      <c r="E2264" s="7"/>
      <c r="F2264" s="7"/>
      <c r="G2264" s="9" t="s">
        <v>2322</v>
      </c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</row>
    <row r="2265" spans="1:18" ht="12.75" customHeight="1" x14ac:dyDescent="0.2">
      <c r="A2265" s="7" t="str">
        <f>HYPERLINK("javascript:void(0)","pálhacuka")</f>
        <v>pálhacuka</v>
      </c>
      <c r="B2265" s="7"/>
      <c r="C2265" s="7"/>
      <c r="D2265" s="7"/>
      <c r="E2265" s="7"/>
      <c r="F2265" s="7"/>
      <c r="G2265" s="9" t="s">
        <v>2322</v>
      </c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</row>
    <row r="2266" spans="1:18" ht="12.75" customHeight="1" x14ac:dyDescent="0.2">
      <c r="A2266" s="7"/>
      <c r="B2266" s="2"/>
      <c r="C2266" s="2"/>
      <c r="D2266" s="2"/>
      <c r="E2266" s="7"/>
      <c r="F2266" s="7"/>
      <c r="G2266" s="9" t="s">
        <v>2322</v>
      </c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</row>
    <row r="2267" spans="1:18" ht="12.75" customHeight="1" x14ac:dyDescent="0.2">
      <c r="A2267" s="7"/>
      <c r="B2267" s="2" t="s">
        <v>0</v>
      </c>
      <c r="C2267" s="2" t="s">
        <v>905</v>
      </c>
      <c r="D2267" s="2"/>
      <c r="E2267" s="7"/>
      <c r="F2267" s="7"/>
      <c r="G2267" s="9" t="s">
        <v>2322</v>
      </c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</row>
    <row r="2268" spans="1:18" ht="12.75" customHeight="1" x14ac:dyDescent="0.2">
      <c r="A2268" s="7"/>
      <c r="B2268" s="2" t="s">
        <v>2</v>
      </c>
      <c r="C2268" s="2" t="s">
        <v>2322</v>
      </c>
      <c r="D2268" s="2"/>
      <c r="E2268" s="7"/>
      <c r="F2268" s="7"/>
      <c r="G2268" s="9" t="s">
        <v>2322</v>
      </c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</row>
    <row r="2269" spans="1:18" ht="12.75" customHeight="1" x14ac:dyDescent="0.2">
      <c r="A2269" s="7"/>
      <c r="B2269" s="2" t="s">
        <v>1840</v>
      </c>
      <c r="C2269" s="2" t="s">
        <v>2496</v>
      </c>
      <c r="D2269" s="2"/>
      <c r="E2269" s="7"/>
      <c r="F2269" s="7"/>
      <c r="G2269" s="9" t="s">
        <v>2322</v>
      </c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</row>
    <row r="2270" spans="1:18" ht="12.75" customHeight="1" x14ac:dyDescent="0.2">
      <c r="A2270" s="7"/>
      <c r="B2270" s="2" t="s">
        <v>9</v>
      </c>
      <c r="C2270" s="2" t="s">
        <v>2497</v>
      </c>
      <c r="D2270" s="2"/>
      <c r="E2270" s="7"/>
      <c r="F2270" s="7"/>
      <c r="G2270" s="9" t="s">
        <v>2322</v>
      </c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</row>
    <row r="2271" spans="1:18" ht="12.75" customHeight="1" x14ac:dyDescent="0.2">
      <c r="A2271" s="7"/>
      <c r="B2271" s="2" t="s">
        <v>11</v>
      </c>
      <c r="C2271" s="2" t="s">
        <v>1628</v>
      </c>
      <c r="D2271" s="2"/>
      <c r="E2271" s="7"/>
      <c r="F2271" s="7"/>
      <c r="G2271" s="9" t="s">
        <v>2322</v>
      </c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</row>
    <row r="2272" spans="1:18" ht="12.75" customHeight="1" x14ac:dyDescent="0.2">
      <c r="A2272" s="7"/>
      <c r="B2272" s="2" t="s">
        <v>16</v>
      </c>
      <c r="C2272" s="2"/>
      <c r="D2272" s="2"/>
      <c r="E2272" s="7"/>
      <c r="F2272" s="7"/>
      <c r="G2272" s="9" t="s">
        <v>2322</v>
      </c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</row>
    <row r="2273" spans="1:18" ht="12.75" customHeight="1" x14ac:dyDescent="0.2">
      <c r="A2273" s="7"/>
      <c r="B2273" s="2" t="s">
        <v>17</v>
      </c>
      <c r="C2273" s="2" t="s">
        <v>19</v>
      </c>
      <c r="D2273" s="2"/>
      <c r="E2273" s="7"/>
      <c r="F2273" s="7"/>
      <c r="G2273" s="9" t="s">
        <v>2322</v>
      </c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</row>
    <row r="2274" spans="1:18" ht="12.75" customHeight="1" x14ac:dyDescent="0.2">
      <c r="A2274" s="7"/>
      <c r="B2274" s="2" t="s">
        <v>18</v>
      </c>
      <c r="C2274" s="2" t="s">
        <v>117</v>
      </c>
      <c r="D2274" s="2" t="str">
        <f>HYPERLINK("javascript:void(0)","démonamulett")</f>
        <v>démonamulett</v>
      </c>
      <c r="E2274" s="7"/>
      <c r="F2274" s="7"/>
      <c r="G2274" s="9" t="s">
        <v>2322</v>
      </c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</row>
    <row r="2275" spans="1:18" ht="12.75" customHeight="1" x14ac:dyDescent="0.2">
      <c r="A2275" s="7"/>
      <c r="B2275" s="2"/>
      <c r="C2275" s="2" t="s">
        <v>269</v>
      </c>
      <c r="D2275" s="2" t="str">
        <f>HYPERLINK("javascript:void(0)","pálha")</f>
        <v>pálha</v>
      </c>
      <c r="E2275" s="7"/>
      <c r="F2275" s="7"/>
      <c r="G2275" s="9" t="s">
        <v>2322</v>
      </c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</row>
    <row r="2276" spans="1:18" ht="12.75" customHeight="1" x14ac:dyDescent="0.2">
      <c r="A2276" s="7"/>
      <c r="B2276" s="2"/>
      <c r="C2276" s="2" t="s">
        <v>98</v>
      </c>
      <c r="D2276" s="2" t="str">
        <f>HYPERLINK("javascript:void(0)","dobókocka")</f>
        <v>dobókocka</v>
      </c>
      <c r="E2276" s="7"/>
      <c r="F2276" s="7"/>
      <c r="G2276" s="9" t="s">
        <v>2322</v>
      </c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</row>
    <row r="2277" spans="1:18" ht="12.75" customHeight="1" x14ac:dyDescent="0.2">
      <c r="A2277" s="7"/>
      <c r="B2277" s="2"/>
      <c r="C2277" s="2"/>
      <c r="D2277" s="2"/>
      <c r="E2277" s="7"/>
      <c r="F2277" s="7"/>
      <c r="G2277" s="9" t="s">
        <v>2322</v>
      </c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</row>
    <row r="2278" spans="1:18" ht="12.75" customHeight="1" x14ac:dyDescent="0.2">
      <c r="A2278" s="7"/>
      <c r="B2278" s="2"/>
      <c r="C2278" s="2"/>
      <c r="D2278" s="2"/>
      <c r="E2278" s="7"/>
      <c r="F2278" s="7"/>
      <c r="G2278" s="9" t="s">
        <v>2322</v>
      </c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</row>
    <row r="2279" spans="1:18" ht="12.75" customHeight="1" x14ac:dyDescent="0.2">
      <c r="A2279" s="7"/>
      <c r="B2279" s="2"/>
      <c r="C2279" s="2"/>
      <c r="D2279" s="2"/>
      <c r="E2279" s="7"/>
      <c r="F2279" s="7"/>
      <c r="G2279" s="9" t="s">
        <v>2322</v>
      </c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</row>
    <row r="2280" spans="1:18" ht="12.75" customHeight="1" x14ac:dyDescent="0.2">
      <c r="A2280" s="7"/>
      <c r="B2280" s="2"/>
      <c r="C2280" s="2"/>
      <c r="D2280" s="2"/>
      <c r="E2280" s="7"/>
      <c r="F2280" s="7"/>
      <c r="G2280" s="9" t="s">
        <v>2322</v>
      </c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</row>
    <row r="2281" spans="1:18" ht="12.75" customHeight="1" x14ac:dyDescent="0.2">
      <c r="A2281" s="7"/>
      <c r="B2281" s="2"/>
      <c r="C2281" s="2"/>
      <c r="D2281" s="2"/>
      <c r="E2281" s="7"/>
      <c r="F2281" s="7"/>
      <c r="G2281" s="9" t="s">
        <v>2322</v>
      </c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</row>
    <row r="2282" spans="1:18" ht="12.75" customHeight="1" x14ac:dyDescent="0.2">
      <c r="A2282" s="7" t="str">
        <f>HYPERLINK("javascript:void(0)","teljes kriptonvért")</f>
        <v>teljes kriptonvért</v>
      </c>
      <c r="B2282" s="7"/>
      <c r="C2282" s="7"/>
      <c r="D2282" s="7"/>
      <c r="E2282" s="7"/>
      <c r="F2282" s="7"/>
      <c r="G2282" s="9" t="s">
        <v>2322</v>
      </c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</row>
    <row r="2283" spans="1:18" ht="12.75" customHeight="1" x14ac:dyDescent="0.2">
      <c r="A2283" s="7"/>
      <c r="B2283" s="2"/>
      <c r="C2283" s="2"/>
      <c r="D2283" s="2"/>
      <c r="E2283" s="7"/>
      <c r="F2283" s="7"/>
      <c r="G2283" s="9" t="s">
        <v>2322</v>
      </c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</row>
    <row r="2284" spans="1:18" ht="12.75" customHeight="1" x14ac:dyDescent="0.2">
      <c r="A2284" s="7"/>
      <c r="B2284" s="2" t="s">
        <v>0</v>
      </c>
      <c r="C2284" s="2" t="s">
        <v>319</v>
      </c>
      <c r="D2284" s="2"/>
      <c r="E2284" s="7"/>
      <c r="F2284" s="7"/>
      <c r="G2284" s="9" t="s">
        <v>2322</v>
      </c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</row>
    <row r="2285" spans="1:18" ht="12.75" customHeight="1" x14ac:dyDescent="0.2">
      <c r="A2285" s="7"/>
      <c r="B2285" s="2" t="s">
        <v>2</v>
      </c>
      <c r="C2285" s="2" t="s">
        <v>2322</v>
      </c>
      <c r="D2285" s="2"/>
      <c r="E2285" s="7"/>
      <c r="F2285" s="7"/>
      <c r="G2285" s="9" t="s">
        <v>2322</v>
      </c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</row>
    <row r="2286" spans="1:18" ht="12.75" customHeight="1" x14ac:dyDescent="0.2">
      <c r="A2286" s="7"/>
      <c r="B2286" s="2" t="s">
        <v>1840</v>
      </c>
      <c r="C2286" s="2" t="s">
        <v>2498</v>
      </c>
      <c r="D2286" s="2"/>
      <c r="E2286" s="7"/>
      <c r="F2286" s="7"/>
      <c r="G2286" s="9" t="s">
        <v>2322</v>
      </c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</row>
    <row r="2287" spans="1:18" ht="12.75" customHeight="1" x14ac:dyDescent="0.2">
      <c r="A2287" s="7"/>
      <c r="B2287" s="2" t="s">
        <v>9</v>
      </c>
      <c r="C2287" s="2" t="s">
        <v>2499</v>
      </c>
      <c r="D2287" s="2"/>
      <c r="E2287" s="7"/>
      <c r="F2287" s="7"/>
      <c r="G2287" s="9" t="s">
        <v>2322</v>
      </c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</row>
    <row r="2288" spans="1:18" ht="12.75" customHeight="1" x14ac:dyDescent="0.2">
      <c r="A2288" s="7"/>
      <c r="B2288" s="2" t="s">
        <v>11</v>
      </c>
      <c r="C2288" s="2" t="s">
        <v>1459</v>
      </c>
      <c r="D2288" s="2"/>
      <c r="E2288" s="7"/>
      <c r="F2288" s="7"/>
      <c r="G2288" s="9" t="s">
        <v>2322</v>
      </c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</row>
    <row r="2289" spans="1:18" ht="12.75" customHeight="1" x14ac:dyDescent="0.2">
      <c r="A2289" s="7"/>
      <c r="B2289" s="2" t="s">
        <v>16</v>
      </c>
      <c r="C2289" s="2"/>
      <c r="D2289" s="2"/>
      <c r="E2289" s="7"/>
      <c r="F2289" s="7"/>
      <c r="G2289" s="9" t="s">
        <v>2322</v>
      </c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</row>
    <row r="2290" spans="1:18" ht="12.75" customHeight="1" x14ac:dyDescent="0.2">
      <c r="A2290" s="7"/>
      <c r="B2290" s="2" t="s">
        <v>17</v>
      </c>
      <c r="C2290" s="2" t="s">
        <v>19</v>
      </c>
      <c r="D2290" s="2"/>
      <c r="E2290" s="7"/>
      <c r="F2290" s="7"/>
      <c r="G2290" s="9" t="s">
        <v>2322</v>
      </c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</row>
    <row r="2291" spans="1:18" ht="12.75" customHeight="1" x14ac:dyDescent="0.2">
      <c r="A2291" s="7"/>
      <c r="B2291" s="2" t="s">
        <v>18</v>
      </c>
      <c r="C2291" s="2" t="s">
        <v>44</v>
      </c>
      <c r="D2291" s="2" t="str">
        <f>HYPERLINK("javascript:void(0)","kriptonbélés")</f>
        <v>kriptonbélés</v>
      </c>
      <c r="E2291" s="7"/>
      <c r="F2291" s="7"/>
      <c r="G2291" s="9" t="s">
        <v>2322</v>
      </c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</row>
    <row r="2292" spans="1:18" ht="12.75" customHeight="1" x14ac:dyDescent="0.2">
      <c r="A2292" s="7"/>
      <c r="B2292" s="2"/>
      <c r="C2292" s="2" t="s">
        <v>44</v>
      </c>
      <c r="D2292" s="2" t="str">
        <f>HYPERLINK("javascript:void(0)","pálhacuka")</f>
        <v>pálhacuka</v>
      </c>
      <c r="E2292" s="7"/>
      <c r="F2292" s="7"/>
      <c r="G2292" s="9" t="s">
        <v>2322</v>
      </c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</row>
    <row r="2293" spans="1:18" ht="12.75" customHeight="1" x14ac:dyDescent="0.2">
      <c r="A2293" s="7"/>
      <c r="B2293" s="2"/>
      <c r="C2293" s="2" t="s">
        <v>44</v>
      </c>
      <c r="D2293" s="2" t="str">
        <f>HYPERLINK("javascript:void(0)","teljes atomvért")</f>
        <v>teljes atomvért</v>
      </c>
      <c r="E2293" s="7"/>
      <c r="F2293" s="7"/>
      <c r="G2293" s="9" t="s">
        <v>2322</v>
      </c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</row>
    <row r="2294" spans="1:18" ht="12.75" customHeight="1" x14ac:dyDescent="0.2">
      <c r="A2294" s="7"/>
      <c r="B2294" s="2"/>
      <c r="C2294" s="2"/>
      <c r="D2294" s="2"/>
      <c r="E2294" s="7"/>
      <c r="F2294" s="7"/>
      <c r="G2294" s="9" t="s">
        <v>2322</v>
      </c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</row>
    <row r="2295" spans="1:18" ht="12.75" customHeight="1" x14ac:dyDescent="0.2">
      <c r="A2295" s="7"/>
      <c r="B2295" s="2"/>
      <c r="C2295" s="2"/>
      <c r="D2295" s="2"/>
      <c r="E2295" s="7"/>
      <c r="F2295" s="7"/>
      <c r="G2295" s="9" t="s">
        <v>2322</v>
      </c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</row>
    <row r="2296" spans="1:18" ht="12.75" customHeight="1" x14ac:dyDescent="0.2">
      <c r="A2296" s="7"/>
      <c r="B2296" s="2"/>
      <c r="C2296" s="2"/>
      <c r="D2296" s="2"/>
      <c r="E2296" s="7"/>
      <c r="F2296" s="7"/>
      <c r="G2296" s="9" t="s">
        <v>2322</v>
      </c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</row>
    <row r="2297" spans="1:18" ht="12.75" customHeight="1" x14ac:dyDescent="0.2">
      <c r="A2297" s="7"/>
      <c r="B2297" s="2"/>
      <c r="C2297" s="2"/>
      <c r="D2297" s="2"/>
      <c r="E2297" s="7"/>
      <c r="F2297" s="7"/>
      <c r="G2297" s="9" t="s">
        <v>2322</v>
      </c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</row>
    <row r="2298" spans="1:18" ht="12.75" customHeight="1" x14ac:dyDescent="0.2">
      <c r="A2298" s="7"/>
      <c r="B2298" s="2"/>
      <c r="C2298" s="2"/>
      <c r="D2298" s="2"/>
      <c r="E2298" s="7"/>
      <c r="F2298" s="7"/>
      <c r="G2298" s="9" t="s">
        <v>2322</v>
      </c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</row>
    <row r="2299" spans="1:18" ht="12.75" customHeight="1" x14ac:dyDescent="0.2">
      <c r="A2299" s="7" t="str">
        <f>HYPERLINK("javascript:void(0)","kriptonbélés")</f>
        <v>kriptonbélés</v>
      </c>
      <c r="B2299" s="7"/>
      <c r="C2299" s="7"/>
      <c r="D2299" s="7"/>
      <c r="E2299" s="7"/>
      <c r="F2299" s="7"/>
      <c r="G2299" s="9" t="s">
        <v>2322</v>
      </c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</row>
    <row r="2300" spans="1:18" ht="12.75" customHeight="1" x14ac:dyDescent="0.2">
      <c r="A2300" s="7"/>
      <c r="B2300" s="2"/>
      <c r="C2300" s="2"/>
      <c r="D2300" s="2"/>
      <c r="E2300" s="7"/>
      <c r="F2300" s="7"/>
      <c r="G2300" s="9" t="s">
        <v>2322</v>
      </c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</row>
    <row r="2301" spans="1:18" ht="12.75" customHeight="1" x14ac:dyDescent="0.2">
      <c r="A2301" s="7"/>
      <c r="B2301" s="2" t="s">
        <v>0</v>
      </c>
      <c r="C2301" s="2" t="s">
        <v>319</v>
      </c>
      <c r="D2301" s="2"/>
      <c r="E2301" s="7"/>
      <c r="F2301" s="7"/>
      <c r="G2301" s="9" t="s">
        <v>2322</v>
      </c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</row>
    <row r="2302" spans="1:18" ht="12.75" customHeight="1" x14ac:dyDescent="0.2">
      <c r="A2302" s="7"/>
      <c r="B2302" s="2" t="s">
        <v>2</v>
      </c>
      <c r="C2302" s="2" t="s">
        <v>2322</v>
      </c>
      <c r="D2302" s="2"/>
      <c r="E2302" s="7"/>
      <c r="F2302" s="7"/>
      <c r="G2302" s="9" t="s">
        <v>2322</v>
      </c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</row>
    <row r="2303" spans="1:18" ht="12.75" customHeight="1" x14ac:dyDescent="0.2">
      <c r="A2303" s="7"/>
      <c r="B2303" s="2" t="s">
        <v>1840</v>
      </c>
      <c r="C2303" s="2" t="s">
        <v>115</v>
      </c>
      <c r="D2303" s="2"/>
      <c r="E2303" s="7"/>
      <c r="F2303" s="7"/>
      <c r="G2303" s="9" t="s">
        <v>2322</v>
      </c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</row>
    <row r="2304" spans="1:18" ht="12.75" customHeight="1" x14ac:dyDescent="0.2">
      <c r="A2304" s="7"/>
      <c r="B2304" s="2" t="s">
        <v>9</v>
      </c>
      <c r="C2304" s="2" t="s">
        <v>172</v>
      </c>
      <c r="D2304" s="2"/>
      <c r="E2304" s="7"/>
      <c r="F2304" s="7"/>
      <c r="G2304" s="9" t="s">
        <v>2322</v>
      </c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</row>
    <row r="2305" spans="1:18" ht="12.75" customHeight="1" x14ac:dyDescent="0.2">
      <c r="A2305" s="7"/>
      <c r="B2305" s="2" t="s">
        <v>11</v>
      </c>
      <c r="C2305" s="2" t="s">
        <v>2494</v>
      </c>
      <c r="D2305" s="2"/>
      <c r="E2305" s="7"/>
      <c r="F2305" s="7"/>
      <c r="G2305" s="9" t="s">
        <v>2322</v>
      </c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</row>
    <row r="2306" spans="1:18" ht="12.75" customHeight="1" x14ac:dyDescent="0.2">
      <c r="A2306" s="7"/>
      <c r="B2306" s="2" t="s">
        <v>16</v>
      </c>
      <c r="C2306" s="2"/>
      <c r="D2306" s="2"/>
      <c r="E2306" s="7"/>
      <c r="F2306" s="7"/>
      <c r="G2306" s="9" t="s">
        <v>2322</v>
      </c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</row>
    <row r="2307" spans="1:18" ht="12.75" customHeight="1" x14ac:dyDescent="0.2">
      <c r="A2307" s="7"/>
      <c r="B2307" s="2" t="s">
        <v>17</v>
      </c>
      <c r="C2307" s="2" t="s">
        <v>19</v>
      </c>
      <c r="D2307" s="2"/>
      <c r="E2307" s="7"/>
      <c r="F2307" s="7"/>
      <c r="G2307" s="9" t="s">
        <v>2322</v>
      </c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</row>
    <row r="2308" spans="1:18" ht="12.75" customHeight="1" x14ac:dyDescent="0.2">
      <c r="A2308" s="7"/>
      <c r="B2308" s="2" t="s">
        <v>18</v>
      </c>
      <c r="C2308" s="2" t="s">
        <v>68</v>
      </c>
      <c r="D2308" s="2" t="str">
        <f>HYPERLINK("javascript:void(0)","valkript")</f>
        <v>valkript</v>
      </c>
      <c r="E2308" s="7"/>
      <c r="F2308" s="7"/>
      <c r="G2308" s="9" t="s">
        <v>2322</v>
      </c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</row>
    <row r="2309" spans="1:18" ht="12.75" customHeight="1" x14ac:dyDescent="0.2">
      <c r="A2309" s="7"/>
      <c r="B2309" s="2"/>
      <c r="C2309" s="2" t="s">
        <v>132</v>
      </c>
      <c r="D2309" s="2" t="str">
        <f>HYPERLINK("javascript:void(0)","ejtőernyő")</f>
        <v>ejtőernyő</v>
      </c>
      <c r="E2309" s="7"/>
      <c r="F2309" s="7"/>
      <c r="G2309" s="9" t="s">
        <v>2322</v>
      </c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</row>
    <row r="2310" spans="1:18" ht="12.75" customHeight="1" x14ac:dyDescent="0.2">
      <c r="A2310" s="7"/>
      <c r="B2310" s="2"/>
      <c r="C2310" s="2" t="s">
        <v>228</v>
      </c>
      <c r="D2310" s="2" t="str">
        <f>HYPERLINK("javascript:void(0)","brummogás")</f>
        <v>brummogás</v>
      </c>
      <c r="E2310" s="7"/>
      <c r="F2310" s="7"/>
      <c r="G2310" s="9" t="s">
        <v>2322</v>
      </c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</row>
    <row r="2311" spans="1:18" ht="12.75" customHeight="1" x14ac:dyDescent="0.2">
      <c r="A2311" s="7"/>
      <c r="B2311" s="2"/>
      <c r="C2311" s="2"/>
      <c r="D2311" s="2"/>
      <c r="E2311" s="7"/>
      <c r="F2311" s="7"/>
      <c r="G2311" s="9" t="s">
        <v>2322</v>
      </c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</row>
    <row r="2312" spans="1:18" ht="12.75" customHeight="1" x14ac:dyDescent="0.2">
      <c r="A2312" s="7"/>
      <c r="B2312" s="2"/>
      <c r="C2312" s="2"/>
      <c r="D2312" s="2"/>
      <c r="E2312" s="7"/>
      <c r="F2312" s="7"/>
      <c r="G2312" s="9" t="s">
        <v>2322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</row>
    <row r="2313" spans="1:18" ht="12.75" customHeight="1" x14ac:dyDescent="0.2">
      <c r="A2313" s="7"/>
      <c r="B2313" s="2"/>
      <c r="C2313" s="2"/>
      <c r="D2313" s="2"/>
      <c r="E2313" s="7"/>
      <c r="F2313" s="7"/>
      <c r="G2313" s="9" t="s">
        <v>2322</v>
      </c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</row>
    <row r="2314" spans="1:18" ht="12.75" customHeight="1" x14ac:dyDescent="0.2">
      <c r="A2314" s="7"/>
      <c r="B2314" s="2"/>
      <c r="C2314" s="2"/>
      <c r="D2314" s="2"/>
      <c r="E2314" s="7"/>
      <c r="F2314" s="7"/>
      <c r="G2314" s="9" t="s">
        <v>2322</v>
      </c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</row>
    <row r="2315" spans="1:18" ht="12.75" customHeight="1" x14ac:dyDescent="0.2">
      <c r="A2315" s="7"/>
      <c r="B2315" s="2"/>
      <c r="C2315" s="2"/>
      <c r="D2315" s="2"/>
      <c r="E2315" s="7"/>
      <c r="F2315" s="7"/>
      <c r="G2315" s="9" t="s">
        <v>2322</v>
      </c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</row>
    <row r="2316" spans="1:18" ht="12.75" customHeight="1" x14ac:dyDescent="0.2">
      <c r="A2316" s="7" t="str">
        <f>HYPERLINK("javascript:void(0)","teljes angyalvért")</f>
        <v>teljes angyalvért</v>
      </c>
      <c r="B2316" s="7"/>
      <c r="C2316" s="7"/>
      <c r="D2316" s="7"/>
      <c r="E2316" s="7"/>
      <c r="F2316" s="7"/>
      <c r="G2316" s="9" t="s">
        <v>2322</v>
      </c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</row>
    <row r="2317" spans="1:18" ht="12.75" customHeight="1" x14ac:dyDescent="0.2">
      <c r="A2317" s="7"/>
      <c r="B2317" s="2"/>
      <c r="C2317" s="2"/>
      <c r="D2317" s="2"/>
      <c r="E2317" s="7"/>
      <c r="F2317" s="7"/>
      <c r="G2317" s="9" t="s">
        <v>2322</v>
      </c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</row>
    <row r="2318" spans="1:18" ht="12.75" customHeight="1" x14ac:dyDescent="0.2">
      <c r="A2318" s="7"/>
      <c r="B2318" s="2" t="s">
        <v>0</v>
      </c>
      <c r="C2318" s="2" t="s">
        <v>926</v>
      </c>
      <c r="D2318" s="2"/>
      <c r="E2318" s="7"/>
      <c r="F2318" s="7"/>
      <c r="G2318" s="9" t="s">
        <v>2322</v>
      </c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</row>
    <row r="2319" spans="1:18" ht="12.75" customHeight="1" x14ac:dyDescent="0.2">
      <c r="A2319" s="7"/>
      <c r="B2319" s="2" t="s">
        <v>2</v>
      </c>
      <c r="C2319" s="2" t="s">
        <v>2322</v>
      </c>
      <c r="D2319" s="2"/>
      <c r="E2319" s="7"/>
      <c r="F2319" s="7"/>
      <c r="G2319" s="9" t="s">
        <v>2322</v>
      </c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</row>
    <row r="2320" spans="1:18" ht="12.75" customHeight="1" x14ac:dyDescent="0.2">
      <c r="A2320" s="7"/>
      <c r="B2320" s="2" t="s">
        <v>1840</v>
      </c>
      <c r="C2320" s="2" t="s">
        <v>2500</v>
      </c>
      <c r="D2320" s="2"/>
      <c r="E2320" s="7"/>
      <c r="F2320" s="7"/>
      <c r="G2320" s="9" t="s">
        <v>2322</v>
      </c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</row>
    <row r="2321" spans="1:18" ht="12.75" customHeight="1" x14ac:dyDescent="0.2">
      <c r="A2321" s="7"/>
      <c r="B2321" s="2" t="s">
        <v>9</v>
      </c>
      <c r="C2321" s="2" t="s">
        <v>1524</v>
      </c>
      <c r="D2321" s="2"/>
      <c r="E2321" s="7"/>
      <c r="F2321" s="7"/>
      <c r="G2321" s="9" t="s">
        <v>2322</v>
      </c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</row>
    <row r="2322" spans="1:18" ht="12.75" customHeight="1" x14ac:dyDescent="0.2">
      <c r="A2322" s="7"/>
      <c r="B2322" s="2" t="s">
        <v>11</v>
      </c>
      <c r="C2322" s="2" t="s">
        <v>1199</v>
      </c>
      <c r="D2322" s="2"/>
      <c r="E2322" s="7"/>
      <c r="F2322" s="7"/>
      <c r="G2322" s="9" t="s">
        <v>2322</v>
      </c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</row>
    <row r="2323" spans="1:18" ht="12.75" customHeight="1" x14ac:dyDescent="0.2">
      <c r="A2323" s="7"/>
      <c r="B2323" s="2" t="s">
        <v>16</v>
      </c>
      <c r="C2323" s="2"/>
      <c r="D2323" s="2"/>
      <c r="E2323" s="7"/>
      <c r="F2323" s="7"/>
      <c r="G2323" s="9" t="s">
        <v>2322</v>
      </c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</row>
    <row r="2324" spans="1:18" ht="12.75" customHeight="1" x14ac:dyDescent="0.2">
      <c r="A2324" s="7"/>
      <c r="B2324" s="2" t="s">
        <v>17</v>
      </c>
      <c r="C2324" s="2" t="s">
        <v>19</v>
      </c>
      <c r="D2324" s="2"/>
      <c r="E2324" s="7"/>
      <c r="F2324" s="7"/>
      <c r="G2324" s="9" t="s">
        <v>2322</v>
      </c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</row>
    <row r="2325" spans="1:18" ht="12.75" customHeight="1" x14ac:dyDescent="0.2">
      <c r="A2325" s="7"/>
      <c r="B2325" s="2" t="s">
        <v>18</v>
      </c>
      <c r="C2325" s="2" t="s">
        <v>244</v>
      </c>
      <c r="D2325" s="2" t="str">
        <f>HYPERLINK("javascript:void(0)","angyalhaj")</f>
        <v>angyalhaj</v>
      </c>
      <c r="E2325" s="7"/>
      <c r="F2325" s="7"/>
      <c r="G2325" s="9" t="s">
        <v>2322</v>
      </c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</row>
    <row r="2326" spans="1:18" ht="12.75" customHeight="1" x14ac:dyDescent="0.2">
      <c r="A2326" s="7"/>
      <c r="B2326" s="2"/>
      <c r="C2326" s="2" t="s">
        <v>44</v>
      </c>
      <c r="D2326" s="2" t="str">
        <f>HYPERLINK("javascript:void(0)","teljes kriptonvért")</f>
        <v>teljes kriptonvért</v>
      </c>
      <c r="E2326" s="7"/>
      <c r="F2326" s="7"/>
      <c r="G2326" s="9" t="s">
        <v>2322</v>
      </c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</row>
    <row r="2327" spans="1:18" ht="12.75" customHeight="1" x14ac:dyDescent="0.2">
      <c r="A2327" s="7"/>
      <c r="B2327" s="2"/>
      <c r="C2327" s="2" t="s">
        <v>132</v>
      </c>
      <c r="D2327" s="2" t="str">
        <f>HYPERLINK("javascript:void(0)","lidérclámpás")</f>
        <v>lidérclámpás</v>
      </c>
      <c r="E2327" s="7"/>
      <c r="F2327" s="7"/>
      <c r="G2327" s="9" t="s">
        <v>2322</v>
      </c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</row>
    <row r="2328" spans="1:18" ht="12.75" customHeight="1" x14ac:dyDescent="0.2">
      <c r="A2328" s="7"/>
      <c r="B2328" s="2"/>
      <c r="C2328" s="2"/>
      <c r="D2328" s="2"/>
      <c r="E2328" s="7"/>
      <c r="F2328" s="7"/>
      <c r="G2328" s="9" t="s">
        <v>2322</v>
      </c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</row>
    <row r="2329" spans="1:18" ht="12.75" customHeight="1" x14ac:dyDescent="0.2">
      <c r="A2329" s="7"/>
      <c r="B2329" s="2"/>
      <c r="C2329" s="2"/>
      <c r="D2329" s="2"/>
      <c r="E2329" s="7"/>
      <c r="F2329" s="7"/>
      <c r="G2329" s="9" t="s">
        <v>2322</v>
      </c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</row>
    <row r="2330" spans="1:18" ht="12.75" customHeight="1" x14ac:dyDescent="0.2">
      <c r="A2330" s="7"/>
      <c r="B2330" s="2"/>
      <c r="C2330" s="2"/>
      <c r="D2330" s="2"/>
      <c r="E2330" s="7"/>
      <c r="F2330" s="7"/>
      <c r="G2330" s="9" t="s">
        <v>2322</v>
      </c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</row>
    <row r="2331" spans="1:18" ht="12.75" customHeight="1" x14ac:dyDescent="0.2">
      <c r="A2331" s="7"/>
      <c r="B2331" s="2"/>
      <c r="C2331" s="2"/>
      <c r="D2331" s="2"/>
      <c r="E2331" s="7"/>
      <c r="F2331" s="7"/>
      <c r="G2331" s="9" t="s">
        <v>2322</v>
      </c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</row>
    <row r="2332" spans="1:18" ht="12.75" customHeight="1" x14ac:dyDescent="0.2">
      <c r="A2332" s="7"/>
      <c r="B2332" s="2"/>
      <c r="C2332" s="2"/>
      <c r="D2332" s="2"/>
      <c r="E2332" s="7"/>
      <c r="F2332" s="7"/>
      <c r="G2332" s="9" t="s">
        <v>2322</v>
      </c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</row>
    <row r="2333" spans="1:18" ht="12.75" customHeight="1" x14ac:dyDescent="0.2">
      <c r="A2333" s="7" t="str">
        <f>HYPERLINK("javascript:void(0)","rozmárpáncél")</f>
        <v>rozmárpáncél</v>
      </c>
      <c r="B2333" s="7"/>
      <c r="C2333" s="7"/>
      <c r="D2333" s="7"/>
      <c r="E2333" s="7"/>
      <c r="F2333" s="7"/>
      <c r="G2333" s="9" t="s">
        <v>2322</v>
      </c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</row>
    <row r="2334" spans="1:18" ht="12.75" customHeight="1" x14ac:dyDescent="0.2">
      <c r="A2334" s="7"/>
      <c r="B2334" s="2"/>
      <c r="C2334" s="2"/>
      <c r="D2334" s="2"/>
      <c r="E2334" s="7"/>
      <c r="F2334" s="7"/>
      <c r="G2334" s="9" t="s">
        <v>2322</v>
      </c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</row>
    <row r="2335" spans="1:18" ht="12.75" customHeight="1" x14ac:dyDescent="0.2">
      <c r="A2335" s="7"/>
      <c r="B2335" s="2" t="s">
        <v>0</v>
      </c>
      <c r="C2335" s="2" t="s">
        <v>937</v>
      </c>
      <c r="D2335" s="2"/>
      <c r="E2335" s="7"/>
      <c r="F2335" s="7"/>
      <c r="G2335" s="9" t="s">
        <v>2322</v>
      </c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</row>
    <row r="2336" spans="1:18" ht="12.75" customHeight="1" x14ac:dyDescent="0.2">
      <c r="A2336" s="7"/>
      <c r="B2336" s="2" t="s">
        <v>2</v>
      </c>
      <c r="C2336" s="2" t="s">
        <v>2322</v>
      </c>
      <c r="D2336" s="2"/>
      <c r="E2336" s="7"/>
      <c r="F2336" s="7"/>
      <c r="G2336" s="9" t="s">
        <v>2322</v>
      </c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</row>
    <row r="2337" spans="1:18" ht="12.75" customHeight="1" x14ac:dyDescent="0.2">
      <c r="A2337" s="7"/>
      <c r="B2337" s="2" t="s">
        <v>1840</v>
      </c>
      <c r="C2337" s="2" t="s">
        <v>2501</v>
      </c>
      <c r="D2337" s="2"/>
      <c r="E2337" s="7"/>
      <c r="F2337" s="7"/>
      <c r="G2337" s="9" t="s">
        <v>2322</v>
      </c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</row>
    <row r="2338" spans="1:18" ht="12.75" customHeight="1" x14ac:dyDescent="0.2">
      <c r="A2338" s="7"/>
      <c r="B2338" s="2" t="s">
        <v>9</v>
      </c>
      <c r="C2338" s="2" t="s">
        <v>724</v>
      </c>
      <c r="D2338" s="2"/>
      <c r="E2338" s="7"/>
      <c r="F2338" s="7"/>
      <c r="G2338" s="9" t="s">
        <v>2322</v>
      </c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</row>
    <row r="2339" spans="1:18" ht="12.75" customHeight="1" x14ac:dyDescent="0.2">
      <c r="A2339" s="7"/>
      <c r="B2339" s="2" t="s">
        <v>11</v>
      </c>
      <c r="C2339" s="2" t="s">
        <v>1472</v>
      </c>
      <c r="D2339" s="2"/>
      <c r="E2339" s="7"/>
      <c r="F2339" s="7"/>
      <c r="G2339" s="9" t="s">
        <v>2322</v>
      </c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</row>
    <row r="2340" spans="1:18" ht="12.75" customHeight="1" x14ac:dyDescent="0.2">
      <c r="A2340" s="7"/>
      <c r="B2340" s="2" t="s">
        <v>16</v>
      </c>
      <c r="C2340" s="2"/>
      <c r="D2340" s="2"/>
      <c r="E2340" s="7"/>
      <c r="F2340" s="7"/>
      <c r="G2340" s="9" t="s">
        <v>2322</v>
      </c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</row>
    <row r="2341" spans="1:18" ht="12.75" customHeight="1" x14ac:dyDescent="0.2">
      <c r="A2341" s="7"/>
      <c r="B2341" s="2" t="s">
        <v>17</v>
      </c>
      <c r="C2341" s="2" t="s">
        <v>19</v>
      </c>
      <c r="D2341" s="2"/>
      <c r="E2341" s="7"/>
      <c r="F2341" s="7"/>
      <c r="G2341" s="9" t="s">
        <v>2322</v>
      </c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</row>
    <row r="2342" spans="1:18" ht="12.75" customHeight="1" x14ac:dyDescent="0.2">
      <c r="A2342" s="7"/>
      <c r="B2342" s="2" t="s">
        <v>18</v>
      </c>
      <c r="C2342" s="2" t="s">
        <v>67</v>
      </c>
      <c r="D2342" s="2" t="str">
        <f>HYPERLINK("javascript:void(0)","rozmáragyar")</f>
        <v>rozmáragyar</v>
      </c>
      <c r="E2342" s="7"/>
      <c r="F2342" s="7"/>
      <c r="G2342" s="9" t="s">
        <v>2322</v>
      </c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</row>
    <row r="2343" spans="1:18" ht="12.75" customHeight="1" x14ac:dyDescent="0.2">
      <c r="A2343" s="7"/>
      <c r="B2343" s="2"/>
      <c r="C2343" s="2" t="s">
        <v>139</v>
      </c>
      <c r="D2343" s="2" t="str">
        <f>HYPERLINK("javascript:void(0)","csapdaszeg")</f>
        <v>csapdaszeg</v>
      </c>
      <c r="E2343" s="7"/>
      <c r="F2343" s="7"/>
      <c r="G2343" s="9" t="s">
        <v>2322</v>
      </c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</row>
    <row r="2344" spans="1:18" ht="12.75" customHeight="1" x14ac:dyDescent="0.2">
      <c r="A2344" s="7"/>
      <c r="B2344" s="2"/>
      <c r="C2344" s="2" t="s">
        <v>244</v>
      </c>
      <c r="D2344" s="2" t="str">
        <f>HYPERLINK("javascript:void(0)","banánhéj")</f>
        <v>banánhéj</v>
      </c>
      <c r="E2344" s="7"/>
      <c r="F2344" s="7"/>
      <c r="G2344" s="9" t="s">
        <v>2322</v>
      </c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</row>
    <row r="2345" spans="1:18" ht="12.75" customHeight="1" x14ac:dyDescent="0.2">
      <c r="A2345" s="7"/>
      <c r="B2345" s="2"/>
      <c r="C2345" s="2"/>
      <c r="D2345" s="2"/>
      <c r="E2345" s="7"/>
      <c r="F2345" s="7"/>
      <c r="G2345" s="9" t="s">
        <v>2322</v>
      </c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</row>
    <row r="2346" spans="1:18" ht="12.75" customHeight="1" x14ac:dyDescent="0.2">
      <c r="A2346" s="7"/>
      <c r="B2346" s="2"/>
      <c r="C2346" s="2"/>
      <c r="D2346" s="2"/>
      <c r="E2346" s="7"/>
      <c r="F2346" s="7"/>
      <c r="G2346" s="9" t="s">
        <v>2322</v>
      </c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</row>
    <row r="2347" spans="1:18" ht="12.75" customHeight="1" x14ac:dyDescent="0.2">
      <c r="A2347" s="7"/>
      <c r="B2347" s="2"/>
      <c r="C2347" s="2"/>
      <c r="D2347" s="2"/>
      <c r="E2347" s="7"/>
      <c r="F2347" s="7"/>
      <c r="G2347" s="9" t="s">
        <v>2322</v>
      </c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</row>
    <row r="2348" spans="1:18" ht="12.75" customHeight="1" x14ac:dyDescent="0.2">
      <c r="A2348" s="7"/>
      <c r="B2348" s="2"/>
      <c r="C2348" s="2"/>
      <c r="D2348" s="2"/>
      <c r="E2348" s="7"/>
      <c r="F2348" s="7"/>
      <c r="G2348" s="9" t="s">
        <v>2322</v>
      </c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</row>
    <row r="2349" spans="1:18" ht="12.75" customHeight="1" x14ac:dyDescent="0.2">
      <c r="A2349" s="7"/>
      <c r="B2349" s="2"/>
      <c r="C2349" s="2"/>
      <c r="D2349" s="2"/>
      <c r="E2349" s="7"/>
      <c r="F2349" s="7"/>
      <c r="G2349" s="9" t="s">
        <v>2322</v>
      </c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</row>
    <row r="2350" spans="1:18" ht="12.75" customHeight="1" x14ac:dyDescent="0.2">
      <c r="A2350" s="7" t="str">
        <f>HYPERLINK("javascript:void(0)","teljes pálhavért")</f>
        <v>teljes pálhavért</v>
      </c>
      <c r="B2350" s="7"/>
      <c r="C2350" s="7"/>
      <c r="D2350" s="7"/>
      <c r="E2350" s="7"/>
      <c r="F2350" s="7"/>
      <c r="G2350" s="9" t="s">
        <v>2322</v>
      </c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</row>
    <row r="2351" spans="1:18" ht="12.75" customHeight="1" x14ac:dyDescent="0.2">
      <c r="A2351" s="7"/>
      <c r="B2351" s="2"/>
      <c r="C2351" s="2"/>
      <c r="D2351" s="2"/>
      <c r="E2351" s="7"/>
      <c r="F2351" s="7"/>
      <c r="G2351" s="9" t="s">
        <v>2322</v>
      </c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</row>
    <row r="2352" spans="1:18" ht="12.75" customHeight="1" x14ac:dyDescent="0.2">
      <c r="A2352" s="7"/>
      <c r="B2352" s="2" t="s">
        <v>0</v>
      </c>
      <c r="C2352" s="2" t="s">
        <v>190</v>
      </c>
      <c r="D2352" s="2"/>
      <c r="E2352" s="7"/>
      <c r="F2352" s="7"/>
      <c r="G2352" s="9" t="s">
        <v>2322</v>
      </c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</row>
    <row r="2353" spans="1:18" ht="12.75" customHeight="1" x14ac:dyDescent="0.2">
      <c r="A2353" s="7"/>
      <c r="B2353" s="2" t="s">
        <v>2</v>
      </c>
      <c r="C2353" s="2" t="s">
        <v>2322</v>
      </c>
      <c r="D2353" s="2"/>
      <c r="E2353" s="7"/>
      <c r="F2353" s="7"/>
      <c r="G2353" s="9" t="s">
        <v>2322</v>
      </c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</row>
    <row r="2354" spans="1:18" ht="12.75" customHeight="1" x14ac:dyDescent="0.2">
      <c r="A2354" s="7"/>
      <c r="B2354" s="2" t="s">
        <v>1840</v>
      </c>
      <c r="C2354" s="2" t="s">
        <v>2502</v>
      </c>
      <c r="D2354" s="2"/>
      <c r="E2354" s="7"/>
      <c r="F2354" s="7"/>
      <c r="G2354" s="9" t="s">
        <v>2322</v>
      </c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</row>
    <row r="2355" spans="1:18" ht="12.75" customHeight="1" x14ac:dyDescent="0.2">
      <c r="A2355" s="7"/>
      <c r="B2355" s="2" t="s">
        <v>9</v>
      </c>
      <c r="C2355" s="2" t="s">
        <v>834</v>
      </c>
      <c r="D2355" s="2"/>
      <c r="E2355" s="7"/>
      <c r="F2355" s="7"/>
      <c r="G2355" s="9" t="s">
        <v>2322</v>
      </c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</row>
    <row r="2356" spans="1:18" ht="12.75" customHeight="1" x14ac:dyDescent="0.2">
      <c r="A2356" s="7"/>
      <c r="B2356" s="2" t="s">
        <v>11</v>
      </c>
      <c r="C2356" s="2" t="s">
        <v>1560</v>
      </c>
      <c r="D2356" s="2"/>
      <c r="E2356" s="7"/>
      <c r="F2356" s="7"/>
      <c r="G2356" s="9" t="s">
        <v>2322</v>
      </c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</row>
    <row r="2357" spans="1:18" ht="12.75" customHeight="1" x14ac:dyDescent="0.2">
      <c r="A2357" s="7"/>
      <c r="B2357" s="2" t="s">
        <v>16</v>
      </c>
      <c r="C2357" s="2"/>
      <c r="D2357" s="2"/>
      <c r="E2357" s="7"/>
      <c r="F2357" s="7"/>
      <c r="G2357" s="9" t="s">
        <v>2322</v>
      </c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</row>
    <row r="2358" spans="1:18" ht="12.75" customHeight="1" x14ac:dyDescent="0.2">
      <c r="A2358" s="7"/>
      <c r="B2358" s="2" t="s">
        <v>17</v>
      </c>
      <c r="C2358" s="2" t="s">
        <v>19</v>
      </c>
      <c r="D2358" s="2"/>
      <c r="E2358" s="7"/>
      <c r="F2358" s="7"/>
      <c r="G2358" s="9" t="s">
        <v>2322</v>
      </c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</row>
    <row r="2359" spans="1:18" ht="12.75" customHeight="1" x14ac:dyDescent="0.2">
      <c r="A2359" s="7"/>
      <c r="B2359" s="2" t="s">
        <v>18</v>
      </c>
      <c r="C2359" s="2" t="s">
        <v>44</v>
      </c>
      <c r="D2359" s="2" t="str">
        <f>HYPERLINK("javascript:void(0)","rozmárpáncél")</f>
        <v>rozmárpáncél</v>
      </c>
      <c r="E2359" s="7"/>
      <c r="F2359" s="7"/>
      <c r="G2359" s="9" t="s">
        <v>2322</v>
      </c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</row>
    <row r="2360" spans="1:18" ht="12.75" customHeight="1" x14ac:dyDescent="0.2">
      <c r="A2360" s="7"/>
      <c r="B2360" s="2"/>
      <c r="C2360" s="2" t="s">
        <v>44</v>
      </c>
      <c r="D2360" s="2" t="str">
        <f>HYPERLINK("javascript:void(0)","teljes angyalvért")</f>
        <v>teljes angyalvért</v>
      </c>
      <c r="E2360" s="7"/>
      <c r="F2360" s="7"/>
      <c r="G2360" s="9" t="s">
        <v>2322</v>
      </c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</row>
    <row r="2361" spans="1:18" ht="12.75" customHeight="1" x14ac:dyDescent="0.2">
      <c r="A2361" s="7"/>
      <c r="B2361" s="2"/>
      <c r="C2361" s="2" t="s">
        <v>44</v>
      </c>
      <c r="D2361" s="2" t="str">
        <f>HYPERLINK("javascript:void(0)","pálhamellény")</f>
        <v>pálhamellény</v>
      </c>
      <c r="E2361" s="7"/>
      <c r="F2361" s="7"/>
      <c r="G2361" s="9" t="s">
        <v>2322</v>
      </c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</row>
    <row r="2362" spans="1:18" ht="12.75" customHeight="1" x14ac:dyDescent="0.2">
      <c r="A2362" s="7"/>
      <c r="B2362" s="2"/>
      <c r="C2362" s="2"/>
      <c r="D2362" s="2"/>
      <c r="E2362" s="7"/>
      <c r="F2362" s="7"/>
      <c r="G2362" s="9" t="s">
        <v>2322</v>
      </c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</row>
    <row r="2363" spans="1:18" ht="12.75" customHeight="1" x14ac:dyDescent="0.2">
      <c r="A2363" s="7"/>
      <c r="B2363" s="2"/>
      <c r="C2363" s="2"/>
      <c r="D2363" s="2"/>
      <c r="E2363" s="7"/>
      <c r="F2363" s="7"/>
      <c r="G2363" s="9" t="s">
        <v>2322</v>
      </c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</row>
    <row r="2364" spans="1:18" ht="12.75" customHeight="1" x14ac:dyDescent="0.2">
      <c r="A2364" s="7"/>
      <c r="B2364" s="2"/>
      <c r="C2364" s="2"/>
      <c r="D2364" s="2"/>
      <c r="E2364" s="7"/>
      <c r="F2364" s="7"/>
      <c r="G2364" s="9" t="s">
        <v>2322</v>
      </c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</row>
    <row r="2365" spans="1:18" ht="12.75" customHeight="1" x14ac:dyDescent="0.2">
      <c r="A2365" s="7"/>
      <c r="B2365" s="2"/>
      <c r="C2365" s="2"/>
      <c r="D2365" s="2"/>
      <c r="E2365" s="7"/>
      <c r="F2365" s="7"/>
      <c r="G2365" s="9" t="s">
        <v>2322</v>
      </c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</row>
    <row r="2366" spans="1:18" ht="12.75" customHeight="1" x14ac:dyDescent="0.2">
      <c r="A2366" s="7"/>
      <c r="B2366" s="2"/>
      <c r="C2366" s="2"/>
      <c r="D2366" s="2"/>
      <c r="E2366" s="7"/>
      <c r="F2366" s="7"/>
      <c r="G2366" s="9" t="s">
        <v>2322</v>
      </c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</row>
    <row r="2367" spans="1:18" ht="12.75" customHeight="1" x14ac:dyDescent="0.2">
      <c r="A2367" s="7" t="str">
        <f>HYPERLINK("javascript:void(0)","pálhamellény")</f>
        <v>pálhamellény</v>
      </c>
      <c r="B2367" s="7"/>
      <c r="C2367" s="7"/>
      <c r="D2367" s="7"/>
      <c r="E2367" s="7"/>
      <c r="F2367" s="7"/>
      <c r="G2367" s="9" t="s">
        <v>2322</v>
      </c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</row>
    <row r="2368" spans="1:18" ht="12.75" customHeight="1" x14ac:dyDescent="0.2">
      <c r="A2368" s="7"/>
      <c r="B2368" s="2"/>
      <c r="C2368" s="2"/>
      <c r="D2368" s="2"/>
      <c r="E2368" s="7"/>
      <c r="F2368" s="7"/>
      <c r="G2368" s="9" t="s">
        <v>2322</v>
      </c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</row>
    <row r="2369" spans="1:18" ht="12.75" customHeight="1" x14ac:dyDescent="0.2">
      <c r="A2369" s="7"/>
      <c r="B2369" s="2" t="s">
        <v>0</v>
      </c>
      <c r="C2369" s="2" t="s">
        <v>190</v>
      </c>
      <c r="D2369" s="2"/>
      <c r="E2369" s="7"/>
      <c r="F2369" s="7"/>
      <c r="G2369" s="9" t="s">
        <v>2322</v>
      </c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</row>
    <row r="2370" spans="1:18" ht="12.75" customHeight="1" x14ac:dyDescent="0.2">
      <c r="A2370" s="7"/>
      <c r="B2370" s="2" t="s">
        <v>2</v>
      </c>
      <c r="C2370" s="2" t="s">
        <v>2322</v>
      </c>
      <c r="D2370" s="2"/>
      <c r="E2370" s="7"/>
      <c r="F2370" s="7"/>
      <c r="G2370" s="9" t="s">
        <v>2322</v>
      </c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</row>
    <row r="2371" spans="1:18" ht="12.75" customHeight="1" x14ac:dyDescent="0.2">
      <c r="A2371" s="7"/>
      <c r="B2371" s="2" t="s">
        <v>1840</v>
      </c>
      <c r="C2371" s="2" t="s">
        <v>216</v>
      </c>
      <c r="D2371" s="2"/>
      <c r="E2371" s="7"/>
      <c r="F2371" s="7"/>
      <c r="G2371" s="9" t="s">
        <v>2322</v>
      </c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</row>
    <row r="2372" spans="1:18" ht="12.75" customHeight="1" x14ac:dyDescent="0.2">
      <c r="A2372" s="7"/>
      <c r="B2372" s="2" t="s">
        <v>9</v>
      </c>
      <c r="C2372" s="2" t="s">
        <v>172</v>
      </c>
      <c r="D2372" s="2"/>
      <c r="E2372" s="7"/>
      <c r="F2372" s="7"/>
      <c r="G2372" s="9" t="s">
        <v>2322</v>
      </c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</row>
    <row r="2373" spans="1:18" ht="12.75" customHeight="1" x14ac:dyDescent="0.2">
      <c r="A2373" s="7"/>
      <c r="B2373" s="2" t="s">
        <v>11</v>
      </c>
      <c r="C2373" s="2" t="s">
        <v>2503</v>
      </c>
      <c r="D2373" s="2"/>
      <c r="E2373" s="7"/>
      <c r="F2373" s="7"/>
      <c r="G2373" s="9" t="s">
        <v>2322</v>
      </c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</row>
    <row r="2374" spans="1:18" ht="12.75" customHeight="1" x14ac:dyDescent="0.2">
      <c r="A2374" s="7"/>
      <c r="B2374" s="2" t="s">
        <v>16</v>
      </c>
      <c r="C2374" s="2"/>
      <c r="D2374" s="2"/>
      <c r="E2374" s="7"/>
      <c r="F2374" s="7"/>
      <c r="G2374" s="9" t="s">
        <v>2322</v>
      </c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</row>
    <row r="2375" spans="1:18" ht="12.75" customHeight="1" x14ac:dyDescent="0.2">
      <c r="A2375" s="7"/>
      <c r="B2375" s="2" t="s">
        <v>17</v>
      </c>
      <c r="C2375" s="2" t="s">
        <v>19</v>
      </c>
      <c r="D2375" s="2"/>
      <c r="E2375" s="7"/>
      <c r="F2375" s="7"/>
      <c r="G2375" s="9" t="s">
        <v>2322</v>
      </c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</row>
    <row r="2376" spans="1:18" ht="12.75" customHeight="1" x14ac:dyDescent="0.2">
      <c r="A2376" s="7"/>
      <c r="B2376" s="2" t="s">
        <v>18</v>
      </c>
      <c r="C2376" s="2" t="s">
        <v>68</v>
      </c>
      <c r="D2376" s="2" t="str">
        <f>HYPERLINK("javascript:void(0)","mogorv")</f>
        <v>mogorv</v>
      </c>
      <c r="E2376" s="7"/>
      <c r="F2376" s="7"/>
      <c r="G2376" s="9" t="s">
        <v>2322</v>
      </c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</row>
    <row r="2377" spans="1:18" ht="12.75" customHeight="1" x14ac:dyDescent="0.2">
      <c r="A2377" s="7"/>
      <c r="B2377" s="2"/>
      <c r="C2377" s="2" t="s">
        <v>244</v>
      </c>
      <c r="D2377" s="2" t="str">
        <f>HYPERLINK("javascript:void(0)","pálha")</f>
        <v>pálha</v>
      </c>
      <c r="E2377" s="7"/>
      <c r="F2377" s="7"/>
      <c r="G2377" s="9" t="s">
        <v>2322</v>
      </c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</row>
    <row r="2378" spans="1:18" ht="12.75" customHeight="1" x14ac:dyDescent="0.2">
      <c r="A2378" s="7"/>
      <c r="B2378" s="2"/>
      <c r="C2378" s="2" t="s">
        <v>244</v>
      </c>
      <c r="D2378" s="2" t="str">
        <f>HYPERLINK("javascript:void(0)","banánhéj")</f>
        <v>banánhéj</v>
      </c>
      <c r="E2378" s="7"/>
      <c r="F2378" s="7"/>
      <c r="G2378" s="9" t="s">
        <v>2322</v>
      </c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</row>
    <row r="2379" spans="1:18" ht="12.75" customHeight="1" x14ac:dyDescent="0.2">
      <c r="A2379" s="7"/>
      <c r="B2379" s="2"/>
      <c r="C2379" s="2"/>
      <c r="D2379" s="2"/>
      <c r="E2379" s="7"/>
      <c r="F2379" s="7"/>
      <c r="G2379" s="9" t="s">
        <v>2322</v>
      </c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</row>
    <row r="2380" spans="1:18" ht="12.75" customHeight="1" x14ac:dyDescent="0.2">
      <c r="A2380" s="7"/>
      <c r="B2380" s="2"/>
      <c r="C2380" s="2"/>
      <c r="D2380" s="2"/>
      <c r="E2380" s="7"/>
      <c r="F2380" s="7"/>
      <c r="G2380" s="9" t="s">
        <v>2322</v>
      </c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</row>
    <row r="2381" spans="1:18" ht="12.75" customHeight="1" x14ac:dyDescent="0.2">
      <c r="A2381" s="7"/>
      <c r="B2381" s="2"/>
      <c r="C2381" s="2"/>
      <c r="D2381" s="2"/>
      <c r="E2381" s="7"/>
      <c r="F2381" s="7"/>
      <c r="G2381" s="9" t="s">
        <v>2322</v>
      </c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</row>
    <row r="2382" spans="1:18" ht="12.75" customHeight="1" x14ac:dyDescent="0.2">
      <c r="A2382" s="7"/>
      <c r="B2382" s="2"/>
      <c r="C2382" s="2"/>
      <c r="D2382" s="2"/>
      <c r="E2382" s="7"/>
      <c r="F2382" s="7"/>
      <c r="G2382" s="9" t="s">
        <v>2322</v>
      </c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</row>
    <row r="2383" spans="1:18" ht="12.75" customHeight="1" x14ac:dyDescent="0.2">
      <c r="A2383" s="7"/>
      <c r="B2383" s="2"/>
      <c r="C2383" s="2"/>
      <c r="D2383" s="2"/>
      <c r="E2383" s="7"/>
      <c r="F2383" s="7"/>
      <c r="G2383" s="9" t="s">
        <v>2322</v>
      </c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</row>
    <row r="2384" spans="1:18" ht="12.75" customHeight="1" x14ac:dyDescent="0.2">
      <c r="A2384" s="7" t="str">
        <f>HYPERLINK("javascript:void(0)","csillámos légvért")</f>
        <v>csillámos légvért</v>
      </c>
      <c r="B2384" s="7"/>
      <c r="C2384" s="7"/>
      <c r="D2384" s="7"/>
      <c r="E2384" s="7"/>
      <c r="F2384" s="7"/>
      <c r="G2384" s="9" t="s">
        <v>2322</v>
      </c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</row>
    <row r="2385" spans="1:18" ht="12.75" customHeight="1" x14ac:dyDescent="0.2">
      <c r="A2385" s="7"/>
      <c r="B2385" s="2"/>
      <c r="C2385" s="2"/>
      <c r="D2385" s="2"/>
      <c r="E2385" s="7"/>
      <c r="F2385" s="7"/>
      <c r="G2385" s="9" t="s">
        <v>2322</v>
      </c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</row>
    <row r="2386" spans="1:18" ht="12.75" customHeight="1" x14ac:dyDescent="0.2">
      <c r="A2386" s="7"/>
      <c r="B2386" s="2" t="s">
        <v>0</v>
      </c>
      <c r="C2386" s="2" t="s">
        <v>190</v>
      </c>
      <c r="D2386" s="2"/>
      <c r="E2386" s="7"/>
      <c r="F2386" s="7"/>
      <c r="G2386" s="9" t="s">
        <v>2322</v>
      </c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</row>
    <row r="2387" spans="1:18" ht="12.75" customHeight="1" x14ac:dyDescent="0.2">
      <c r="A2387" s="7"/>
      <c r="B2387" s="2" t="s">
        <v>2</v>
      </c>
      <c r="C2387" s="2" t="s">
        <v>2322</v>
      </c>
      <c r="D2387" s="2"/>
      <c r="E2387" s="7"/>
      <c r="F2387" s="7"/>
      <c r="G2387" s="9" t="s">
        <v>2322</v>
      </c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</row>
    <row r="2388" spans="1:18" ht="12.75" customHeight="1" x14ac:dyDescent="0.2">
      <c r="A2388" s="7"/>
      <c r="B2388" s="2" t="s">
        <v>1840</v>
      </c>
      <c r="C2388" s="2" t="s">
        <v>641</v>
      </c>
      <c r="D2388" s="2"/>
      <c r="E2388" s="7"/>
      <c r="F2388" s="7"/>
      <c r="G2388" s="9" t="s">
        <v>2322</v>
      </c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</row>
    <row r="2389" spans="1:18" ht="12.75" customHeight="1" x14ac:dyDescent="0.2">
      <c r="A2389" s="7"/>
      <c r="B2389" s="2" t="s">
        <v>9</v>
      </c>
      <c r="C2389" s="2" t="s">
        <v>1286</v>
      </c>
      <c r="D2389" s="2"/>
      <c r="E2389" s="7"/>
      <c r="F2389" s="7"/>
      <c r="G2389" s="9" t="s">
        <v>2322</v>
      </c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</row>
    <row r="2390" spans="1:18" ht="12.75" customHeight="1" x14ac:dyDescent="0.2">
      <c r="A2390" s="7"/>
      <c r="B2390" s="2" t="s">
        <v>11</v>
      </c>
      <c r="C2390" s="2" t="s">
        <v>1560</v>
      </c>
      <c r="D2390" s="2"/>
      <c r="E2390" s="7"/>
      <c r="F2390" s="7"/>
      <c r="G2390" s="9" t="s">
        <v>2322</v>
      </c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</row>
    <row r="2391" spans="1:18" ht="12.75" customHeight="1" x14ac:dyDescent="0.2">
      <c r="A2391" s="7"/>
      <c r="B2391" s="2" t="s">
        <v>16</v>
      </c>
      <c r="C2391" s="2"/>
      <c r="D2391" s="2"/>
      <c r="E2391" s="7"/>
      <c r="F2391" s="7"/>
      <c r="G2391" s="9" t="s">
        <v>2322</v>
      </c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</row>
    <row r="2392" spans="1:18" ht="12.75" customHeight="1" x14ac:dyDescent="0.2">
      <c r="A2392" s="7"/>
      <c r="B2392" s="2" t="s">
        <v>17</v>
      </c>
      <c r="C2392" s="2" t="s">
        <v>19</v>
      </c>
      <c r="D2392" s="2"/>
      <c r="E2392" s="7"/>
      <c r="F2392" s="7"/>
      <c r="G2392" s="9" t="s">
        <v>2322</v>
      </c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</row>
    <row r="2393" spans="1:18" ht="12.75" customHeight="1" x14ac:dyDescent="0.2">
      <c r="A2393" s="7"/>
      <c r="B2393" s="2" t="s">
        <v>18</v>
      </c>
      <c r="C2393" s="2" t="s">
        <v>57</v>
      </c>
      <c r="D2393" s="2" t="str">
        <f>HYPERLINK("javascript:void(0)","csillámgöb")</f>
        <v>csillámgöb</v>
      </c>
      <c r="E2393" s="7"/>
      <c r="F2393" s="7"/>
      <c r="G2393" s="9" t="s">
        <v>2322</v>
      </c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</row>
    <row r="2394" spans="1:18" ht="12.75" customHeight="1" x14ac:dyDescent="0.2">
      <c r="A2394" s="7"/>
      <c r="B2394" s="2"/>
      <c r="C2394" s="2" t="s">
        <v>44</v>
      </c>
      <c r="D2394" s="2" t="str">
        <f>HYPERLINK("javascript:void(0)","csillámló sziklapáncél")</f>
        <v>csillámló sziklapáncél</v>
      </c>
      <c r="E2394" s="7"/>
      <c r="F2394" s="7"/>
      <c r="G2394" s="9" t="s">
        <v>2322</v>
      </c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</row>
    <row r="2395" spans="1:18" ht="12.75" customHeight="1" x14ac:dyDescent="0.2">
      <c r="A2395" s="7"/>
      <c r="B2395" s="2"/>
      <c r="C2395" s="2" t="s">
        <v>756</v>
      </c>
      <c r="D2395" s="2" t="str">
        <f>HYPERLINK("javascript:void(0)","spiritusz")</f>
        <v>spiritusz</v>
      </c>
      <c r="E2395" s="7"/>
      <c r="F2395" s="7"/>
      <c r="G2395" s="9" t="s">
        <v>2322</v>
      </c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</row>
    <row r="2396" spans="1:18" ht="12.75" customHeight="1" x14ac:dyDescent="0.2">
      <c r="A2396" s="7"/>
      <c r="B2396" s="2"/>
      <c r="C2396" s="2"/>
      <c r="D2396" s="2"/>
      <c r="E2396" s="7"/>
      <c r="F2396" s="7"/>
      <c r="G2396" s="9" t="s">
        <v>2322</v>
      </c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</row>
    <row r="2397" spans="1:18" ht="12.75" customHeight="1" x14ac:dyDescent="0.2">
      <c r="A2397" s="7"/>
      <c r="B2397" s="2"/>
      <c r="C2397" s="2"/>
      <c r="D2397" s="2"/>
      <c r="E2397" s="7"/>
      <c r="F2397" s="7"/>
      <c r="G2397" s="9" t="s">
        <v>2322</v>
      </c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</row>
    <row r="2398" spans="1:18" ht="12.75" customHeight="1" x14ac:dyDescent="0.2">
      <c r="A2398" s="7"/>
      <c r="B2398" s="2"/>
      <c r="C2398" s="2"/>
      <c r="D2398" s="2"/>
      <c r="E2398" s="7"/>
      <c r="F2398" s="7"/>
      <c r="G2398" s="9" t="s">
        <v>2322</v>
      </c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</row>
    <row r="2399" spans="1:18" ht="12.75" customHeight="1" x14ac:dyDescent="0.2">
      <c r="A2399" s="7"/>
      <c r="B2399" s="2"/>
      <c r="C2399" s="2"/>
      <c r="D2399" s="2"/>
      <c r="E2399" s="7"/>
      <c r="F2399" s="7"/>
      <c r="G2399" s="9" t="s">
        <v>2322</v>
      </c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</row>
    <row r="2400" spans="1:18" ht="12.75" customHeight="1" x14ac:dyDescent="0.2">
      <c r="A2400" s="7"/>
      <c r="B2400" s="2"/>
      <c r="C2400" s="2"/>
      <c r="D2400" s="2"/>
      <c r="E2400" s="7"/>
      <c r="F2400" s="7"/>
      <c r="G2400" s="9" t="s">
        <v>2322</v>
      </c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</row>
    <row r="2401" spans="1:18" ht="12.75" customHeight="1" x14ac:dyDescent="0.2">
      <c r="A2401" s="7" t="str">
        <f>HYPERLINK("javascript:void(0)","üvegmellvéd")</f>
        <v>üvegmellvéd</v>
      </c>
      <c r="B2401" s="7"/>
      <c r="C2401" s="7"/>
      <c r="D2401" s="7"/>
      <c r="E2401" s="7"/>
      <c r="F2401" s="7"/>
      <c r="G2401" s="9" t="s">
        <v>2322</v>
      </c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</row>
    <row r="2402" spans="1:18" ht="12.75" customHeight="1" x14ac:dyDescent="0.2">
      <c r="A2402" s="7"/>
      <c r="B2402" s="2"/>
      <c r="C2402" s="2"/>
      <c r="D2402" s="2"/>
      <c r="E2402" s="7"/>
      <c r="F2402" s="7"/>
      <c r="G2402" s="9" t="s">
        <v>2322</v>
      </c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</row>
    <row r="2403" spans="1:18" ht="12.75" customHeight="1" x14ac:dyDescent="0.2">
      <c r="A2403" s="7"/>
      <c r="B2403" s="2" t="s">
        <v>0</v>
      </c>
      <c r="C2403" s="2" t="s">
        <v>953</v>
      </c>
      <c r="D2403" s="2"/>
      <c r="E2403" s="7"/>
      <c r="F2403" s="7"/>
      <c r="G2403" s="9" t="s">
        <v>2322</v>
      </c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</row>
    <row r="2404" spans="1:18" ht="12.75" customHeight="1" x14ac:dyDescent="0.2">
      <c r="A2404" s="7"/>
      <c r="B2404" s="2" t="s">
        <v>2</v>
      </c>
      <c r="C2404" s="2" t="s">
        <v>2322</v>
      </c>
      <c r="D2404" s="2"/>
      <c r="E2404" s="7"/>
      <c r="F2404" s="7"/>
      <c r="G2404" s="9" t="s">
        <v>2322</v>
      </c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</row>
    <row r="2405" spans="1:18" ht="12.75" customHeight="1" x14ac:dyDescent="0.2">
      <c r="A2405" s="7"/>
      <c r="B2405" s="2" t="s">
        <v>1840</v>
      </c>
      <c r="C2405" s="2" t="s">
        <v>338</v>
      </c>
      <c r="D2405" s="2"/>
      <c r="E2405" s="7"/>
      <c r="F2405" s="7"/>
      <c r="G2405" s="9" t="s">
        <v>2322</v>
      </c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</row>
    <row r="2406" spans="1:18" ht="12.75" customHeight="1" x14ac:dyDescent="0.2">
      <c r="A2406" s="7"/>
      <c r="B2406" s="2" t="s">
        <v>9</v>
      </c>
      <c r="C2406" s="2" t="s">
        <v>2455</v>
      </c>
      <c r="D2406" s="2"/>
      <c r="E2406" s="7"/>
      <c r="F2406" s="7"/>
      <c r="G2406" s="9" t="s">
        <v>2322</v>
      </c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</row>
    <row r="2407" spans="1:18" ht="12.75" customHeight="1" x14ac:dyDescent="0.2">
      <c r="A2407" s="7"/>
      <c r="B2407" s="2" t="s">
        <v>11</v>
      </c>
      <c r="C2407" s="2" t="s">
        <v>1477</v>
      </c>
      <c r="D2407" s="2"/>
      <c r="E2407" s="7"/>
      <c r="F2407" s="7"/>
      <c r="G2407" s="9" t="s">
        <v>2322</v>
      </c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</row>
    <row r="2408" spans="1:18" ht="12.75" customHeight="1" x14ac:dyDescent="0.2">
      <c r="A2408" s="7"/>
      <c r="B2408" s="2" t="s">
        <v>16</v>
      </c>
      <c r="C2408" s="2"/>
      <c r="D2408" s="2"/>
      <c r="E2408" s="7"/>
      <c r="F2408" s="7"/>
      <c r="G2408" s="9" t="s">
        <v>2322</v>
      </c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</row>
    <row r="2409" spans="1:18" ht="12.75" customHeight="1" x14ac:dyDescent="0.2">
      <c r="A2409" s="7"/>
      <c r="B2409" s="2" t="s">
        <v>17</v>
      </c>
      <c r="C2409" s="2" t="s">
        <v>19</v>
      </c>
      <c r="D2409" s="2"/>
      <c r="E2409" s="7"/>
      <c r="F2409" s="7"/>
      <c r="G2409" s="9" t="s">
        <v>2322</v>
      </c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</row>
    <row r="2410" spans="1:18" ht="12.75" customHeight="1" x14ac:dyDescent="0.2">
      <c r="A2410" s="7"/>
      <c r="B2410" s="2" t="s">
        <v>18</v>
      </c>
      <c r="C2410" s="2" t="s">
        <v>44</v>
      </c>
      <c r="D2410" s="2" t="str">
        <f>HYPERLINK("javascript:void(0)","teljes pálhavért")</f>
        <v>teljes pálhavért</v>
      </c>
      <c r="E2410" s="7"/>
      <c r="F2410" s="7"/>
      <c r="G2410" s="9" t="s">
        <v>2322</v>
      </c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</row>
    <row r="2411" spans="1:18" ht="12.75" customHeight="1" x14ac:dyDescent="0.2">
      <c r="A2411" s="7"/>
      <c r="B2411" s="2"/>
      <c r="C2411" s="2" t="s">
        <v>98</v>
      </c>
      <c r="D2411" s="2" t="str">
        <f>HYPERLINK("javascript:void(0)","cerka")</f>
        <v>cerka</v>
      </c>
      <c r="E2411" s="7"/>
      <c r="F2411" s="7"/>
      <c r="G2411" s="9" t="s">
        <v>2322</v>
      </c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</row>
    <row r="2412" spans="1:18" ht="12.75" customHeight="1" x14ac:dyDescent="0.2">
      <c r="A2412" s="7"/>
      <c r="B2412" s="2"/>
      <c r="C2412" s="2" t="s">
        <v>331</v>
      </c>
      <c r="D2412" s="2" t="str">
        <f>HYPERLINK("javascript:void(0)","fiola")</f>
        <v>fiola</v>
      </c>
      <c r="E2412" s="7"/>
      <c r="F2412" s="7"/>
      <c r="G2412" s="9" t="s">
        <v>2322</v>
      </c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</row>
    <row r="2413" spans="1:18" ht="12.75" customHeight="1" x14ac:dyDescent="0.2">
      <c r="A2413" s="7"/>
      <c r="B2413" s="2"/>
      <c r="C2413" s="2"/>
      <c r="D2413" s="2"/>
      <c r="E2413" s="7"/>
      <c r="F2413" s="7"/>
      <c r="G2413" s="9" t="s">
        <v>2322</v>
      </c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</row>
    <row r="2414" spans="1:18" ht="12.75" customHeight="1" x14ac:dyDescent="0.2">
      <c r="A2414" s="7"/>
      <c r="B2414" s="2"/>
      <c r="C2414" s="2"/>
      <c r="D2414" s="2"/>
      <c r="E2414" s="7"/>
      <c r="F2414" s="7"/>
      <c r="G2414" s="9" t="s">
        <v>2322</v>
      </c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</row>
    <row r="2415" spans="1:18" ht="12.75" customHeight="1" x14ac:dyDescent="0.2">
      <c r="A2415" s="7"/>
      <c r="B2415" s="2"/>
      <c r="C2415" s="2"/>
      <c r="D2415" s="2"/>
      <c r="E2415" s="7"/>
      <c r="F2415" s="7"/>
      <c r="G2415" s="9" t="s">
        <v>2322</v>
      </c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</row>
    <row r="2416" spans="1:18" ht="12.75" customHeight="1" x14ac:dyDescent="0.2">
      <c r="A2416" s="7"/>
      <c r="B2416" s="2"/>
      <c r="C2416" s="2"/>
      <c r="D2416" s="2"/>
      <c r="E2416" s="7"/>
      <c r="F2416" s="7"/>
      <c r="G2416" s="9" t="s">
        <v>2322</v>
      </c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</row>
    <row r="2417" spans="1:18" ht="12.75" customHeight="1" x14ac:dyDescent="0.2">
      <c r="A2417" s="7"/>
      <c r="B2417" s="2"/>
      <c r="C2417" s="2"/>
      <c r="D2417" s="2"/>
      <c r="E2417" s="7"/>
      <c r="F2417" s="7"/>
      <c r="G2417" s="9" t="s">
        <v>2322</v>
      </c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</row>
    <row r="2418" spans="1:18" ht="12.75" customHeight="1" x14ac:dyDescent="0.2">
      <c r="A2418" s="7" t="str">
        <f>HYPERLINK("javascript:void(0)","teljes szélvért")</f>
        <v>teljes szélvért</v>
      </c>
      <c r="B2418" s="7"/>
      <c r="C2418" s="7"/>
      <c r="D2418" s="7"/>
      <c r="E2418" s="7"/>
      <c r="F2418" s="7"/>
      <c r="G2418" s="9" t="s">
        <v>2322</v>
      </c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</row>
    <row r="2419" spans="1:18" ht="12.75" customHeight="1" x14ac:dyDescent="0.2">
      <c r="A2419" s="7"/>
      <c r="B2419" s="2"/>
      <c r="C2419" s="2"/>
      <c r="D2419" s="2"/>
      <c r="E2419" s="7"/>
      <c r="F2419" s="7"/>
      <c r="G2419" s="9" t="s">
        <v>2322</v>
      </c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</row>
    <row r="2420" spans="1:18" ht="12.75" customHeight="1" x14ac:dyDescent="0.2">
      <c r="A2420" s="7"/>
      <c r="B2420" s="2" t="s">
        <v>0</v>
      </c>
      <c r="C2420" s="2" t="s">
        <v>293</v>
      </c>
      <c r="D2420" s="2"/>
      <c r="E2420" s="7"/>
      <c r="F2420" s="7"/>
      <c r="G2420" s="9" t="s">
        <v>2322</v>
      </c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</row>
    <row r="2421" spans="1:18" ht="12.75" customHeight="1" x14ac:dyDescent="0.2">
      <c r="A2421" s="7"/>
      <c r="B2421" s="2" t="s">
        <v>2</v>
      </c>
      <c r="C2421" s="2" t="s">
        <v>2322</v>
      </c>
      <c r="D2421" s="2"/>
      <c r="E2421" s="7"/>
      <c r="F2421" s="7"/>
      <c r="G2421" s="9" t="s">
        <v>2322</v>
      </c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</row>
    <row r="2422" spans="1:18" ht="12.75" customHeight="1" x14ac:dyDescent="0.2">
      <c r="A2422" s="7"/>
      <c r="B2422" s="2" t="s">
        <v>1840</v>
      </c>
      <c r="C2422" s="2" t="s">
        <v>2504</v>
      </c>
      <c r="D2422" s="2"/>
      <c r="E2422" s="7"/>
      <c r="F2422" s="7"/>
      <c r="G2422" s="9" t="s">
        <v>2322</v>
      </c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</row>
    <row r="2423" spans="1:18" ht="12.75" customHeight="1" x14ac:dyDescent="0.2">
      <c r="A2423" s="7"/>
      <c r="B2423" s="2" t="s">
        <v>9</v>
      </c>
      <c r="C2423" s="2" t="s">
        <v>1340</v>
      </c>
      <c r="D2423" s="2"/>
      <c r="E2423" s="7"/>
      <c r="F2423" s="7"/>
      <c r="G2423" s="9" t="s">
        <v>2322</v>
      </c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</row>
    <row r="2424" spans="1:18" ht="12.75" customHeight="1" x14ac:dyDescent="0.2">
      <c r="A2424" s="7"/>
      <c r="B2424" s="2" t="s">
        <v>11</v>
      </c>
      <c r="C2424" s="2" t="s">
        <v>1216</v>
      </c>
      <c r="D2424" s="2"/>
      <c r="E2424" s="7"/>
      <c r="F2424" s="7"/>
      <c r="G2424" s="9" t="s">
        <v>2322</v>
      </c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</row>
    <row r="2425" spans="1:18" ht="12.75" customHeight="1" x14ac:dyDescent="0.2">
      <c r="A2425" s="7"/>
      <c r="B2425" s="2" t="s">
        <v>16</v>
      </c>
      <c r="C2425" s="2"/>
      <c r="D2425" s="2"/>
      <c r="E2425" s="7"/>
      <c r="F2425" s="7"/>
      <c r="G2425" s="9" t="s">
        <v>2322</v>
      </c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</row>
    <row r="2426" spans="1:18" ht="12.75" customHeight="1" x14ac:dyDescent="0.2">
      <c r="A2426" s="7"/>
      <c r="B2426" s="2" t="s">
        <v>17</v>
      </c>
      <c r="C2426" s="2" t="s">
        <v>19</v>
      </c>
      <c r="D2426" s="2"/>
      <c r="E2426" s="7"/>
      <c r="F2426" s="7"/>
      <c r="G2426" s="9" t="s">
        <v>2322</v>
      </c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</row>
    <row r="2427" spans="1:18" ht="12.75" customHeight="1" x14ac:dyDescent="0.2">
      <c r="A2427" s="7"/>
      <c r="B2427" s="2" t="s">
        <v>18</v>
      </c>
      <c r="C2427" s="2" t="s">
        <v>67</v>
      </c>
      <c r="D2427" s="2" t="str">
        <f>HYPERLINK("javascript:void(0)","képszél")</f>
        <v>képszél</v>
      </c>
      <c r="E2427" s="7"/>
      <c r="F2427" s="7"/>
      <c r="G2427" s="9" t="s">
        <v>2322</v>
      </c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</row>
    <row r="2428" spans="1:18" ht="12.75" customHeight="1" x14ac:dyDescent="0.2">
      <c r="A2428" s="7"/>
      <c r="B2428" s="2"/>
      <c r="C2428" s="2" t="s">
        <v>132</v>
      </c>
      <c r="D2428" s="2" t="str">
        <f>HYPERLINK("javascript:void(0)","hídpenge")</f>
        <v>hídpenge</v>
      </c>
      <c r="E2428" s="7"/>
      <c r="F2428" s="7"/>
      <c r="G2428" s="9" t="s">
        <v>2322</v>
      </c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</row>
    <row r="2429" spans="1:18" ht="12.75" customHeight="1" x14ac:dyDescent="0.2">
      <c r="A2429" s="7"/>
      <c r="B2429" s="2"/>
      <c r="C2429" s="2" t="s">
        <v>269</v>
      </c>
      <c r="D2429" s="2" t="str">
        <f>HYPERLINK("javascript:void(0)","pálha")</f>
        <v>pálha</v>
      </c>
      <c r="E2429" s="7"/>
      <c r="F2429" s="7"/>
      <c r="G2429" s="9" t="s">
        <v>2322</v>
      </c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</row>
    <row r="2430" spans="1:18" ht="12.75" customHeight="1" x14ac:dyDescent="0.2">
      <c r="A2430" s="7"/>
      <c r="B2430" s="2"/>
      <c r="C2430" s="2"/>
      <c r="D2430" s="2"/>
      <c r="E2430" s="7"/>
      <c r="F2430" s="7"/>
      <c r="G2430" s="9" t="s">
        <v>2322</v>
      </c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</row>
    <row r="2431" spans="1:18" ht="12.75" customHeight="1" x14ac:dyDescent="0.2">
      <c r="A2431" s="7"/>
      <c r="B2431" s="2"/>
      <c r="C2431" s="2"/>
      <c r="D2431" s="2"/>
      <c r="E2431" s="7"/>
      <c r="F2431" s="7"/>
      <c r="G2431" s="9" t="s">
        <v>2322</v>
      </c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</row>
    <row r="2432" spans="1:18" ht="12.75" customHeight="1" x14ac:dyDescent="0.2">
      <c r="A2432" s="7"/>
      <c r="B2432" s="2"/>
      <c r="C2432" s="2"/>
      <c r="D2432" s="2"/>
      <c r="E2432" s="7"/>
      <c r="F2432" s="7"/>
      <c r="G2432" s="9" t="s">
        <v>2322</v>
      </c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</row>
    <row r="2433" spans="1:18" ht="12.75" customHeight="1" x14ac:dyDescent="0.2">
      <c r="A2433" s="7"/>
      <c r="B2433" s="2"/>
      <c r="C2433" s="2"/>
      <c r="D2433" s="2"/>
      <c r="E2433" s="7"/>
      <c r="F2433" s="7"/>
      <c r="G2433" s="9" t="s">
        <v>2322</v>
      </c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</row>
    <row r="2434" spans="1:18" ht="12.75" customHeight="1" x14ac:dyDescent="0.2">
      <c r="A2434" s="7"/>
      <c r="B2434" s="2"/>
      <c r="C2434" s="2"/>
      <c r="D2434" s="2"/>
      <c r="E2434" s="7"/>
      <c r="F2434" s="7"/>
      <c r="G2434" s="9" t="s">
        <v>2322</v>
      </c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</row>
    <row r="2435" spans="1:18" ht="12.75" customHeight="1" x14ac:dyDescent="0.2">
      <c r="A2435" s="7" t="str">
        <f>HYPERLINK("javascript:void(0)","csillámpáncél")</f>
        <v>csillámpáncél</v>
      </c>
      <c r="B2435" s="7"/>
      <c r="C2435" s="7"/>
      <c r="D2435" s="7"/>
      <c r="E2435" s="7"/>
      <c r="F2435" s="7"/>
      <c r="G2435" s="9" t="s">
        <v>2322</v>
      </c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</row>
    <row r="2436" spans="1:18" ht="12.75" customHeight="1" x14ac:dyDescent="0.2">
      <c r="A2436" s="7"/>
      <c r="B2436" s="2"/>
      <c r="C2436" s="2"/>
      <c r="D2436" s="2"/>
      <c r="E2436" s="7"/>
      <c r="F2436" s="7"/>
      <c r="G2436" s="9" t="s">
        <v>2322</v>
      </c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</row>
    <row r="2437" spans="1:18" ht="12.75" customHeight="1" x14ac:dyDescent="0.2">
      <c r="A2437" s="7"/>
      <c r="B2437" s="2" t="s">
        <v>0</v>
      </c>
      <c r="C2437" s="2" t="s">
        <v>968</v>
      </c>
      <c r="D2437" s="2"/>
      <c r="E2437" s="7"/>
      <c r="F2437" s="7"/>
      <c r="G2437" s="9" t="s">
        <v>2322</v>
      </c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</row>
    <row r="2438" spans="1:18" ht="12.75" customHeight="1" x14ac:dyDescent="0.2">
      <c r="A2438" s="7"/>
      <c r="B2438" s="2" t="s">
        <v>2</v>
      </c>
      <c r="C2438" s="2" t="s">
        <v>2322</v>
      </c>
      <c r="D2438" s="2"/>
      <c r="E2438" s="7"/>
      <c r="F2438" s="7"/>
      <c r="G2438" s="9" t="s">
        <v>2322</v>
      </c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</row>
    <row r="2439" spans="1:18" ht="12.75" customHeight="1" x14ac:dyDescent="0.2">
      <c r="A2439" s="7"/>
      <c r="B2439" s="2" t="s">
        <v>1840</v>
      </c>
      <c r="C2439" s="2" t="s">
        <v>2505</v>
      </c>
      <c r="D2439" s="2"/>
      <c r="E2439" s="7"/>
      <c r="F2439" s="7"/>
      <c r="G2439" s="9" t="s">
        <v>2322</v>
      </c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</row>
    <row r="2440" spans="1:18" ht="12.75" customHeight="1" x14ac:dyDescent="0.2">
      <c r="A2440" s="7"/>
      <c r="B2440" s="2" t="s">
        <v>9</v>
      </c>
      <c r="C2440" s="2" t="s">
        <v>753</v>
      </c>
      <c r="D2440" s="2"/>
      <c r="E2440" s="7"/>
      <c r="F2440" s="7"/>
      <c r="G2440" s="9" t="s">
        <v>2322</v>
      </c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</row>
    <row r="2441" spans="1:18" ht="12.75" customHeight="1" x14ac:dyDescent="0.2">
      <c r="A2441" s="7"/>
      <c r="B2441" s="2" t="s">
        <v>11</v>
      </c>
      <c r="C2441" s="2" t="s">
        <v>1488</v>
      </c>
      <c r="D2441" s="2"/>
      <c r="E2441" s="7"/>
      <c r="F2441" s="7"/>
      <c r="G2441" s="9" t="s">
        <v>2322</v>
      </c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</row>
    <row r="2442" spans="1:18" ht="12.75" customHeight="1" x14ac:dyDescent="0.2">
      <c r="A2442" s="7"/>
      <c r="B2442" s="2" t="s">
        <v>16</v>
      </c>
      <c r="C2442" s="2"/>
      <c r="D2442" s="2"/>
      <c r="E2442" s="7"/>
      <c r="F2442" s="7"/>
      <c r="G2442" s="9" t="s">
        <v>2322</v>
      </c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</row>
    <row r="2443" spans="1:18" ht="12.75" customHeight="1" x14ac:dyDescent="0.2">
      <c r="A2443" s="7"/>
      <c r="B2443" s="2" t="s">
        <v>17</v>
      </c>
      <c r="C2443" s="2" t="s">
        <v>19</v>
      </c>
      <c r="D2443" s="2"/>
      <c r="E2443" s="7"/>
      <c r="F2443" s="7"/>
      <c r="G2443" s="9" t="s">
        <v>2322</v>
      </c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</row>
    <row r="2444" spans="1:18" ht="12.75" customHeight="1" x14ac:dyDescent="0.2">
      <c r="A2444" s="7"/>
      <c r="B2444" s="2" t="s">
        <v>18</v>
      </c>
      <c r="C2444" s="2" t="s">
        <v>44</v>
      </c>
      <c r="D2444" s="2" t="str">
        <f>HYPERLINK("javascript:void(0)","teljes szélvért")</f>
        <v>teljes szélvért</v>
      </c>
      <c r="E2444" s="7"/>
      <c r="F2444" s="7"/>
      <c r="G2444" s="9" t="s">
        <v>2322</v>
      </c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</row>
    <row r="2445" spans="1:18" ht="12.75" customHeight="1" x14ac:dyDescent="0.2">
      <c r="A2445" s="7"/>
      <c r="B2445" s="2"/>
      <c r="C2445" s="2" t="s">
        <v>44</v>
      </c>
      <c r="D2445" s="2" t="str">
        <f>HYPERLINK("javascript:void(0)","üvegmellvéd")</f>
        <v>üvegmellvéd</v>
      </c>
      <c r="E2445" s="7"/>
      <c r="F2445" s="7"/>
      <c r="G2445" s="9" t="s">
        <v>2322</v>
      </c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</row>
    <row r="2446" spans="1:18" ht="12.75" customHeight="1" x14ac:dyDescent="0.2">
      <c r="A2446" s="7"/>
      <c r="B2446" s="2"/>
      <c r="C2446" s="2" t="s">
        <v>44</v>
      </c>
      <c r="D2446" s="2" t="str">
        <f>HYPERLINK("javascript:void(0)","ékes csillámöv")</f>
        <v>ékes csillámöv</v>
      </c>
      <c r="E2446" s="7"/>
      <c r="F2446" s="7"/>
      <c r="G2446" s="9" t="s">
        <v>2322</v>
      </c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</row>
    <row r="2447" spans="1:18" ht="12.75" customHeight="1" x14ac:dyDescent="0.2">
      <c r="A2447" s="7"/>
      <c r="B2447" s="2"/>
      <c r="C2447" s="2"/>
      <c r="D2447" s="2"/>
      <c r="E2447" s="7"/>
      <c r="F2447" s="7"/>
      <c r="G2447" s="9" t="s">
        <v>2322</v>
      </c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</row>
    <row r="2448" spans="1:18" ht="12.75" customHeight="1" x14ac:dyDescent="0.2">
      <c r="A2448" s="7"/>
      <c r="B2448" s="2"/>
      <c r="C2448" s="2"/>
      <c r="D2448" s="2"/>
      <c r="E2448" s="7"/>
      <c r="F2448" s="7"/>
      <c r="G2448" s="9" t="s">
        <v>2322</v>
      </c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</row>
    <row r="2449" spans="1:18" ht="12.75" customHeight="1" x14ac:dyDescent="0.2">
      <c r="A2449" s="7"/>
      <c r="B2449" s="2"/>
      <c r="C2449" s="2"/>
      <c r="D2449" s="2"/>
      <c r="E2449" s="7"/>
      <c r="F2449" s="7"/>
      <c r="G2449" s="9" t="s">
        <v>2322</v>
      </c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</row>
    <row r="2450" spans="1:18" ht="12.75" customHeight="1" x14ac:dyDescent="0.2">
      <c r="A2450" s="7"/>
      <c r="B2450" s="2"/>
      <c r="C2450" s="2"/>
      <c r="D2450" s="2"/>
      <c r="E2450" s="7"/>
      <c r="F2450" s="7"/>
      <c r="G2450" s="9" t="s">
        <v>2322</v>
      </c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</row>
    <row r="2451" spans="1:18" ht="12.75" customHeight="1" x14ac:dyDescent="0.2">
      <c r="A2451" s="7"/>
      <c r="B2451" s="2"/>
      <c r="C2451" s="2"/>
      <c r="D2451" s="2"/>
      <c r="E2451" s="7"/>
      <c r="F2451" s="7"/>
      <c r="G2451" s="9" t="s">
        <v>2322</v>
      </c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</row>
    <row r="2452" spans="1:18" ht="12.75" customHeight="1" x14ac:dyDescent="0.2">
      <c r="A2452" s="7" t="str">
        <f>HYPERLINK("javascript:void(0)","ékes csillámöv")</f>
        <v>ékes csillámöv</v>
      </c>
      <c r="B2452" s="7"/>
      <c r="C2452" s="7"/>
      <c r="D2452" s="7"/>
      <c r="E2452" s="7"/>
      <c r="F2452" s="7"/>
      <c r="G2452" s="9" t="s">
        <v>2322</v>
      </c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</row>
    <row r="2453" spans="1:18" ht="12.75" customHeight="1" x14ac:dyDescent="0.2">
      <c r="A2453" s="7"/>
      <c r="B2453" s="2"/>
      <c r="C2453" s="2"/>
      <c r="D2453" s="2"/>
      <c r="E2453" s="7"/>
      <c r="F2453" s="7"/>
      <c r="G2453" s="9" t="s">
        <v>2322</v>
      </c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</row>
    <row r="2454" spans="1:18" ht="12.75" customHeight="1" x14ac:dyDescent="0.2">
      <c r="A2454" s="7"/>
      <c r="B2454" s="2" t="s">
        <v>0</v>
      </c>
      <c r="C2454" s="2" t="s">
        <v>968</v>
      </c>
      <c r="D2454" s="2"/>
      <c r="E2454" s="7"/>
      <c r="F2454" s="7"/>
      <c r="G2454" s="9" t="s">
        <v>2322</v>
      </c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</row>
    <row r="2455" spans="1:18" ht="12.75" customHeight="1" x14ac:dyDescent="0.2">
      <c r="A2455" s="7"/>
      <c r="B2455" s="2" t="s">
        <v>2</v>
      </c>
      <c r="C2455" s="2" t="s">
        <v>2322</v>
      </c>
      <c r="D2455" s="2"/>
      <c r="E2455" s="7"/>
      <c r="F2455" s="7"/>
      <c r="G2455" s="9" t="s">
        <v>2322</v>
      </c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</row>
    <row r="2456" spans="1:18" ht="12.75" customHeight="1" x14ac:dyDescent="0.2">
      <c r="A2456" s="7"/>
      <c r="B2456" s="2" t="s">
        <v>1840</v>
      </c>
      <c r="C2456" s="2" t="s">
        <v>435</v>
      </c>
      <c r="D2456" s="2"/>
      <c r="E2456" s="7"/>
      <c r="F2456" s="7"/>
      <c r="G2456" s="9" t="s">
        <v>2322</v>
      </c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</row>
    <row r="2457" spans="1:18" ht="12.75" customHeight="1" x14ac:dyDescent="0.2">
      <c r="A2457" s="7"/>
      <c r="B2457" s="2" t="s">
        <v>9</v>
      </c>
      <c r="C2457" s="2" t="s">
        <v>172</v>
      </c>
      <c r="D2457" s="2"/>
      <c r="E2457" s="7"/>
      <c r="F2457" s="7"/>
      <c r="G2457" s="9" t="s">
        <v>2322</v>
      </c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</row>
    <row r="2458" spans="1:18" ht="12.75" customHeight="1" x14ac:dyDescent="0.2">
      <c r="A2458" s="7"/>
      <c r="B2458" s="2" t="s">
        <v>11</v>
      </c>
      <c r="C2458" s="2" t="s">
        <v>2506</v>
      </c>
      <c r="D2458" s="2"/>
      <c r="E2458" s="7"/>
      <c r="F2458" s="7"/>
      <c r="G2458" s="9" t="s">
        <v>2322</v>
      </c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</row>
    <row r="2459" spans="1:18" ht="12.75" customHeight="1" x14ac:dyDescent="0.2">
      <c r="A2459" s="7"/>
      <c r="B2459" s="2" t="s">
        <v>16</v>
      </c>
      <c r="C2459" s="2"/>
      <c r="D2459" s="2"/>
      <c r="E2459" s="7"/>
      <c r="F2459" s="7"/>
      <c r="G2459" s="9" t="s">
        <v>2322</v>
      </c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</row>
    <row r="2460" spans="1:18" ht="12.75" customHeight="1" x14ac:dyDescent="0.2">
      <c r="A2460" s="7"/>
      <c r="B2460" s="2" t="s">
        <v>17</v>
      </c>
      <c r="C2460" s="2" t="s">
        <v>19</v>
      </c>
      <c r="D2460" s="2"/>
      <c r="E2460" s="7"/>
      <c r="F2460" s="7"/>
      <c r="G2460" s="9" t="s">
        <v>2322</v>
      </c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</row>
    <row r="2461" spans="1:18" ht="12.75" customHeight="1" x14ac:dyDescent="0.2">
      <c r="A2461" s="7"/>
      <c r="B2461" s="2" t="s">
        <v>18</v>
      </c>
      <c r="C2461" s="2" t="s">
        <v>67</v>
      </c>
      <c r="D2461" s="2" t="str">
        <f>HYPERLINK("javascript:void(0)","lékék")</f>
        <v>lékék</v>
      </c>
      <c r="E2461" s="7"/>
      <c r="F2461" s="7"/>
      <c r="G2461" s="9" t="s">
        <v>2322</v>
      </c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</row>
    <row r="2462" spans="1:18" ht="12.75" customHeight="1" x14ac:dyDescent="0.2">
      <c r="A2462" s="7"/>
      <c r="B2462" s="2"/>
      <c r="C2462" s="2" t="s">
        <v>331</v>
      </c>
      <c r="D2462" s="2" t="str">
        <f>HYPERLINK("javascript:void(0)","dobókocka")</f>
        <v>dobókocka</v>
      </c>
      <c r="E2462" s="7"/>
      <c r="F2462" s="7"/>
      <c r="G2462" s="9" t="s">
        <v>2322</v>
      </c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</row>
    <row r="2463" spans="1:18" ht="12.75" customHeight="1" x14ac:dyDescent="0.2">
      <c r="A2463" s="7"/>
      <c r="B2463" s="2"/>
      <c r="C2463" s="2" t="s">
        <v>102</v>
      </c>
      <c r="D2463" s="2" t="str">
        <f>HYPERLINK("javascript:void(0)","ikerkristály")</f>
        <v>ikerkristály</v>
      </c>
      <c r="E2463" s="7"/>
      <c r="F2463" s="7"/>
      <c r="G2463" s="9" t="s">
        <v>2322</v>
      </c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</row>
    <row r="2464" spans="1:18" ht="12.75" customHeight="1" x14ac:dyDescent="0.2">
      <c r="A2464" s="7"/>
      <c r="B2464" s="2"/>
      <c r="C2464" s="2"/>
      <c r="D2464" s="2"/>
      <c r="E2464" s="7"/>
      <c r="F2464" s="7"/>
      <c r="G2464" s="9" t="s">
        <v>2322</v>
      </c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</row>
    <row r="2465" spans="1:18" ht="12.75" customHeight="1" x14ac:dyDescent="0.2">
      <c r="A2465" s="7"/>
      <c r="B2465" s="2"/>
      <c r="C2465" s="2"/>
      <c r="D2465" s="2"/>
      <c r="E2465" s="7"/>
      <c r="F2465" s="7"/>
      <c r="G2465" s="9" t="s">
        <v>2322</v>
      </c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</row>
    <row r="2466" spans="1:18" ht="12.75" customHeight="1" x14ac:dyDescent="0.2">
      <c r="A2466" s="7"/>
      <c r="B2466" s="2"/>
      <c r="C2466" s="2"/>
      <c r="D2466" s="2"/>
      <c r="E2466" s="7"/>
      <c r="F2466" s="7"/>
      <c r="G2466" s="9" t="s">
        <v>2322</v>
      </c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</row>
    <row r="2467" spans="1:18" ht="12.75" customHeight="1" x14ac:dyDescent="0.2">
      <c r="A2467" s="7"/>
      <c r="B2467" s="2"/>
      <c r="C2467" s="2"/>
      <c r="D2467" s="2"/>
      <c r="E2467" s="7"/>
      <c r="F2467" s="7"/>
      <c r="G2467" s="9" t="s">
        <v>2322</v>
      </c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</row>
    <row r="2468" spans="1:18" ht="12.75" customHeight="1" x14ac:dyDescent="0.2">
      <c r="A2468" s="7"/>
      <c r="B2468" s="2"/>
      <c r="C2468" s="2"/>
      <c r="D2468" s="2"/>
      <c r="E2468" s="7"/>
      <c r="F2468" s="7"/>
      <c r="G2468" s="9" t="s">
        <v>2322</v>
      </c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</row>
    <row r="2469" spans="1:18" ht="12.75" customHeight="1" x14ac:dyDescent="0.2">
      <c r="A2469" s="7" t="str">
        <f>HYPERLINK("javascript:void(0)","csillámvért")</f>
        <v>csillámvért</v>
      </c>
      <c r="B2469" s="7"/>
      <c r="C2469" s="7"/>
      <c r="D2469" s="7"/>
      <c r="E2469" s="7"/>
      <c r="F2469" s="7"/>
      <c r="G2469" s="9" t="s">
        <v>2322</v>
      </c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</row>
    <row r="2470" spans="1:18" ht="12.75" customHeight="1" x14ac:dyDescent="0.2">
      <c r="A2470" s="7"/>
      <c r="B2470" s="2"/>
      <c r="C2470" s="2"/>
      <c r="D2470" s="2"/>
      <c r="E2470" s="7"/>
      <c r="F2470" s="7"/>
      <c r="G2470" s="9" t="s">
        <v>2322</v>
      </c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</row>
    <row r="2471" spans="1:18" ht="12.75" customHeight="1" x14ac:dyDescent="0.2">
      <c r="A2471" s="7"/>
      <c r="B2471" s="2" t="s">
        <v>0</v>
      </c>
      <c r="C2471" s="2" t="s">
        <v>978</v>
      </c>
      <c r="D2471" s="2"/>
      <c r="E2471" s="7"/>
      <c r="F2471" s="7"/>
      <c r="G2471" s="9" t="s">
        <v>2322</v>
      </c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</row>
    <row r="2472" spans="1:18" ht="12.75" customHeight="1" x14ac:dyDescent="0.2">
      <c r="A2472" s="7"/>
      <c r="B2472" s="2" t="s">
        <v>2</v>
      </c>
      <c r="C2472" s="2" t="s">
        <v>2322</v>
      </c>
      <c r="D2472" s="2"/>
      <c r="E2472" s="7"/>
      <c r="F2472" s="7"/>
      <c r="G2472" s="9" t="s">
        <v>2322</v>
      </c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</row>
    <row r="2473" spans="1:18" ht="12.75" customHeight="1" x14ac:dyDescent="0.2">
      <c r="A2473" s="7"/>
      <c r="B2473" s="2" t="s">
        <v>1840</v>
      </c>
      <c r="C2473" s="2" t="s">
        <v>2507</v>
      </c>
      <c r="D2473" s="2"/>
      <c r="E2473" s="7"/>
      <c r="F2473" s="7"/>
      <c r="G2473" s="9" t="s">
        <v>2322</v>
      </c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</row>
    <row r="2474" spans="1:18" ht="12.75" customHeight="1" x14ac:dyDescent="0.2">
      <c r="A2474" s="7"/>
      <c r="B2474" s="2" t="s">
        <v>9</v>
      </c>
      <c r="C2474" s="2" t="s">
        <v>573</v>
      </c>
      <c r="D2474" s="2"/>
      <c r="E2474" s="7"/>
      <c r="F2474" s="7"/>
      <c r="G2474" s="9" t="s">
        <v>2322</v>
      </c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</row>
    <row r="2475" spans="1:18" ht="12.75" customHeight="1" x14ac:dyDescent="0.2">
      <c r="A2475" s="7"/>
      <c r="B2475" s="2" t="s">
        <v>11</v>
      </c>
      <c r="C2475" s="2" t="s">
        <v>1657</v>
      </c>
      <c r="D2475" s="2"/>
      <c r="E2475" s="7"/>
      <c r="F2475" s="7"/>
      <c r="G2475" s="9" t="s">
        <v>2322</v>
      </c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</row>
    <row r="2476" spans="1:18" ht="12.75" customHeight="1" x14ac:dyDescent="0.2">
      <c r="A2476" s="7"/>
      <c r="B2476" s="2" t="s">
        <v>16</v>
      </c>
      <c r="C2476" s="2"/>
      <c r="D2476" s="2"/>
      <c r="E2476" s="7"/>
      <c r="F2476" s="7"/>
      <c r="G2476" s="9" t="s">
        <v>2322</v>
      </c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</row>
    <row r="2477" spans="1:18" ht="12.75" customHeight="1" x14ac:dyDescent="0.2">
      <c r="A2477" s="7"/>
      <c r="B2477" s="2" t="s">
        <v>17</v>
      </c>
      <c r="C2477" s="2" t="s">
        <v>19</v>
      </c>
      <c r="D2477" s="2"/>
      <c r="E2477" s="7"/>
      <c r="F2477" s="7"/>
      <c r="G2477" s="9" t="s">
        <v>2322</v>
      </c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</row>
    <row r="2478" spans="1:18" ht="12.75" customHeight="1" x14ac:dyDescent="0.2">
      <c r="A2478" s="7"/>
      <c r="B2478" s="2" t="s">
        <v>18</v>
      </c>
      <c r="C2478" s="2" t="s">
        <v>331</v>
      </c>
      <c r="D2478" s="2" t="str">
        <f>HYPERLINK("javascript:void(0)","antiige")</f>
        <v>antiige</v>
      </c>
      <c r="E2478" s="7"/>
      <c r="F2478" s="7"/>
      <c r="G2478" s="9" t="s">
        <v>2322</v>
      </c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</row>
    <row r="2479" spans="1:18" ht="12.75" customHeight="1" x14ac:dyDescent="0.2">
      <c r="A2479" s="7"/>
      <c r="B2479" s="2"/>
      <c r="C2479" s="2" t="s">
        <v>44</v>
      </c>
      <c r="D2479" s="2" t="str">
        <f>HYPERLINK("javascript:void(0)","csillámpáncél")</f>
        <v>csillámpáncél</v>
      </c>
      <c r="E2479" s="7"/>
      <c r="F2479" s="7"/>
      <c r="G2479" s="9" t="s">
        <v>2322</v>
      </c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</row>
    <row r="2480" spans="1:18" ht="12.75" customHeight="1" x14ac:dyDescent="0.2">
      <c r="A2480" s="7"/>
      <c r="B2480" s="2"/>
      <c r="C2480" s="2" t="s">
        <v>331</v>
      </c>
      <c r="D2480" s="2" t="str">
        <f>HYPERLINK("javascript:void(0)","valkript")</f>
        <v>valkript</v>
      </c>
      <c r="E2480" s="7"/>
      <c r="F2480" s="7"/>
      <c r="G2480" s="9" t="s">
        <v>2322</v>
      </c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</row>
    <row r="2481" spans="1:18" ht="12.75" customHeight="1" x14ac:dyDescent="0.2">
      <c r="A2481" s="7"/>
      <c r="B2481" s="2"/>
      <c r="C2481" s="2"/>
      <c r="D2481" s="2"/>
      <c r="E2481" s="7"/>
      <c r="F2481" s="7"/>
      <c r="G2481" s="9" t="s">
        <v>2322</v>
      </c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</row>
    <row r="2482" spans="1:18" ht="12.75" customHeight="1" x14ac:dyDescent="0.2">
      <c r="A2482" s="7"/>
      <c r="B2482" s="2"/>
      <c r="C2482" s="2"/>
      <c r="D2482" s="2"/>
      <c r="E2482" s="7"/>
      <c r="F2482" s="7"/>
      <c r="G2482" s="9" t="s">
        <v>2322</v>
      </c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</row>
    <row r="2483" spans="1:18" ht="12.75" customHeight="1" x14ac:dyDescent="0.2">
      <c r="A2483" s="7"/>
      <c r="B2483" s="2"/>
      <c r="C2483" s="2"/>
      <c r="D2483" s="2"/>
      <c r="E2483" s="7"/>
      <c r="F2483" s="7"/>
      <c r="G2483" s="9" t="s">
        <v>2322</v>
      </c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</row>
    <row r="2484" spans="1:18" ht="12.75" customHeight="1" x14ac:dyDescent="0.2">
      <c r="A2484" s="7"/>
      <c r="B2484" s="2"/>
      <c r="C2484" s="2"/>
      <c r="D2484" s="2"/>
      <c r="E2484" s="7"/>
      <c r="F2484" s="7"/>
      <c r="G2484" s="9" t="s">
        <v>2322</v>
      </c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</row>
    <row r="2485" spans="1:18" ht="12.75" customHeight="1" x14ac:dyDescent="0.2">
      <c r="A2485" s="7"/>
      <c r="B2485" s="2"/>
      <c r="C2485" s="2"/>
      <c r="D2485" s="2"/>
      <c r="E2485" s="7"/>
      <c r="F2485" s="7"/>
      <c r="G2485" s="9" t="s">
        <v>2322</v>
      </c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</row>
    <row r="2486" spans="1:18" ht="12.75" customHeight="1" x14ac:dyDescent="0.2">
      <c r="A2486" s="7" t="str">
        <f>HYPERLINK("javascript:void(0)","csáppáncél")</f>
        <v>csáppáncél</v>
      </c>
      <c r="B2486" s="7"/>
      <c r="C2486" s="7"/>
      <c r="D2486" s="7"/>
      <c r="E2486" s="7"/>
      <c r="F2486" s="7"/>
      <c r="G2486" s="9" t="s">
        <v>2322</v>
      </c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</row>
    <row r="2487" spans="1:18" ht="12.75" customHeight="1" x14ac:dyDescent="0.2">
      <c r="A2487" s="7"/>
      <c r="B2487" s="2"/>
      <c r="C2487" s="2"/>
      <c r="D2487" s="2"/>
      <c r="E2487" s="7"/>
      <c r="F2487" s="7"/>
      <c r="G2487" s="9" t="s">
        <v>2322</v>
      </c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</row>
    <row r="2488" spans="1:18" ht="12.75" customHeight="1" x14ac:dyDescent="0.2">
      <c r="A2488" s="7"/>
      <c r="B2488" s="2" t="s">
        <v>0</v>
      </c>
      <c r="C2488" s="2" t="s">
        <v>87</v>
      </c>
      <c r="D2488" s="2"/>
      <c r="E2488" s="7"/>
      <c r="F2488" s="7"/>
      <c r="G2488" s="9" t="s">
        <v>2322</v>
      </c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</row>
    <row r="2489" spans="1:18" ht="12.75" customHeight="1" x14ac:dyDescent="0.2">
      <c r="A2489" s="7"/>
      <c r="B2489" s="2" t="s">
        <v>2</v>
      </c>
      <c r="C2489" s="2" t="s">
        <v>2322</v>
      </c>
      <c r="D2489" s="2"/>
      <c r="E2489" s="7"/>
      <c r="F2489" s="7"/>
      <c r="G2489" s="9" t="s">
        <v>2322</v>
      </c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</row>
    <row r="2490" spans="1:18" ht="12.75" customHeight="1" x14ac:dyDescent="0.2">
      <c r="A2490" s="7"/>
      <c r="B2490" s="2" t="s">
        <v>1840</v>
      </c>
      <c r="C2490" s="2" t="s">
        <v>2508</v>
      </c>
      <c r="D2490" s="2"/>
      <c r="E2490" s="7"/>
      <c r="F2490" s="7"/>
      <c r="G2490" s="9" t="s">
        <v>2322</v>
      </c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</row>
    <row r="2491" spans="1:18" ht="12.75" customHeight="1" x14ac:dyDescent="0.2">
      <c r="A2491" s="7"/>
      <c r="B2491" s="2" t="s">
        <v>9</v>
      </c>
      <c r="C2491" s="2" t="s">
        <v>200</v>
      </c>
      <c r="D2491" s="2"/>
      <c r="E2491" s="7"/>
      <c r="F2491" s="7"/>
      <c r="G2491" s="9" t="s">
        <v>2322</v>
      </c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</row>
    <row r="2492" spans="1:18" ht="12.75" customHeight="1" x14ac:dyDescent="0.2">
      <c r="A2492" s="7"/>
      <c r="B2492" s="2" t="s">
        <v>11</v>
      </c>
      <c r="C2492" s="2" t="s">
        <v>1500</v>
      </c>
      <c r="D2492" s="2"/>
      <c r="E2492" s="7"/>
      <c r="F2492" s="7"/>
      <c r="G2492" s="9" t="s">
        <v>2322</v>
      </c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</row>
    <row r="2493" spans="1:18" ht="12.75" customHeight="1" x14ac:dyDescent="0.2">
      <c r="A2493" s="7"/>
      <c r="B2493" s="2" t="s">
        <v>16</v>
      </c>
      <c r="C2493" s="2"/>
      <c r="D2493" s="2"/>
      <c r="E2493" s="7"/>
      <c r="F2493" s="7"/>
      <c r="G2493" s="9" t="s">
        <v>2322</v>
      </c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</row>
    <row r="2494" spans="1:18" ht="12.75" customHeight="1" x14ac:dyDescent="0.2">
      <c r="A2494" s="7"/>
      <c r="B2494" s="2" t="s">
        <v>17</v>
      </c>
      <c r="C2494" s="2" t="s">
        <v>19</v>
      </c>
      <c r="D2494" s="2"/>
      <c r="E2494" s="7"/>
      <c r="F2494" s="7"/>
      <c r="G2494" s="9" t="s">
        <v>2322</v>
      </c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</row>
    <row r="2495" spans="1:18" ht="12.75" customHeight="1" x14ac:dyDescent="0.2">
      <c r="A2495" s="7"/>
      <c r="B2495" s="2" t="s">
        <v>18</v>
      </c>
      <c r="C2495" s="2" t="s">
        <v>117</v>
      </c>
      <c r="D2495" s="2" t="str">
        <f>HYPERLINK("javascript:void(0)","monsztabéklyó")</f>
        <v>monsztabéklyó</v>
      </c>
      <c r="E2495" s="7"/>
      <c r="F2495" s="7"/>
      <c r="G2495" s="9" t="s">
        <v>2322</v>
      </c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</row>
    <row r="2496" spans="1:18" ht="12.75" customHeight="1" x14ac:dyDescent="0.2">
      <c r="A2496" s="7"/>
      <c r="B2496" s="2"/>
      <c r="C2496" s="2" t="s">
        <v>228</v>
      </c>
      <c r="D2496" s="2" t="str">
        <f>HYPERLINK("javascript:void(0)","pálha")</f>
        <v>pálha</v>
      </c>
      <c r="E2496" s="7"/>
      <c r="F2496" s="7"/>
      <c r="G2496" s="9" t="s">
        <v>2322</v>
      </c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</row>
    <row r="2497" spans="1:18" ht="12.75" customHeight="1" x14ac:dyDescent="0.2">
      <c r="A2497" s="7"/>
      <c r="B2497" s="2"/>
      <c r="C2497" s="2" t="s">
        <v>102</v>
      </c>
      <c r="D2497" s="2" t="str">
        <f>HYPERLINK("javascript:void(0)","fülcsáp")</f>
        <v>fülcsáp</v>
      </c>
      <c r="E2497" s="7"/>
      <c r="F2497" s="7"/>
      <c r="G2497" s="9" t="s">
        <v>2322</v>
      </c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</row>
    <row r="2498" spans="1:18" ht="12.75" customHeight="1" x14ac:dyDescent="0.2">
      <c r="A2498" s="7"/>
      <c r="B2498" s="2"/>
      <c r="C2498" s="2"/>
      <c r="D2498" s="2"/>
      <c r="E2498" s="7"/>
      <c r="F2498" s="7"/>
      <c r="G2498" s="9" t="s">
        <v>2322</v>
      </c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</row>
    <row r="2499" spans="1:18" ht="12.75" customHeight="1" x14ac:dyDescent="0.2">
      <c r="A2499" s="7"/>
      <c r="B2499" s="2"/>
      <c r="C2499" s="2"/>
      <c r="D2499" s="2"/>
      <c r="E2499" s="7"/>
      <c r="F2499" s="7"/>
      <c r="G2499" s="9" t="s">
        <v>2322</v>
      </c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</row>
    <row r="2500" spans="1:18" ht="12.75" customHeight="1" x14ac:dyDescent="0.2">
      <c r="A2500" s="7"/>
      <c r="B2500" s="2"/>
      <c r="C2500" s="2"/>
      <c r="D2500" s="2"/>
      <c r="E2500" s="7"/>
      <c r="F2500" s="7"/>
      <c r="G2500" s="9" t="s">
        <v>2322</v>
      </c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</row>
    <row r="2501" spans="1:18" ht="12.75" customHeight="1" x14ac:dyDescent="0.2">
      <c r="A2501" s="7"/>
      <c r="B2501" s="2"/>
      <c r="C2501" s="2"/>
      <c r="D2501" s="2"/>
      <c r="E2501" s="7"/>
      <c r="F2501" s="7"/>
      <c r="G2501" s="9" t="s">
        <v>2322</v>
      </c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</row>
    <row r="2502" spans="1:18" ht="12.75" customHeight="1" x14ac:dyDescent="0.2">
      <c r="A2502" s="7"/>
      <c r="B2502" s="2"/>
      <c r="C2502" s="2"/>
      <c r="D2502" s="2"/>
      <c r="E2502" s="7"/>
      <c r="F2502" s="7"/>
      <c r="G2502" s="9" t="s">
        <v>2322</v>
      </c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</row>
    <row r="2503" spans="1:18" ht="12.75" customHeight="1" x14ac:dyDescent="0.2">
      <c r="A2503" s="7" t="str">
        <f>HYPERLINK("javascript:void(0)","csillámló yetipáncél")</f>
        <v>csillámló yetipáncél</v>
      </c>
      <c r="B2503" s="7"/>
      <c r="C2503" s="7"/>
      <c r="D2503" s="7"/>
      <c r="E2503" s="7"/>
      <c r="F2503" s="7"/>
      <c r="G2503" s="9" t="s">
        <v>2322</v>
      </c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</row>
    <row r="2504" spans="1:18" ht="12.75" customHeight="1" x14ac:dyDescent="0.2">
      <c r="A2504" s="7"/>
      <c r="B2504" s="2"/>
      <c r="C2504" s="2"/>
      <c r="D2504" s="2"/>
      <c r="E2504" s="7"/>
      <c r="F2504" s="7"/>
      <c r="G2504" s="9" t="s">
        <v>2322</v>
      </c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</row>
    <row r="2505" spans="1:18" ht="12.75" customHeight="1" x14ac:dyDescent="0.2">
      <c r="A2505" s="7"/>
      <c r="B2505" s="2" t="s">
        <v>0</v>
      </c>
      <c r="C2505" s="2" t="s">
        <v>87</v>
      </c>
      <c r="D2505" s="2"/>
      <c r="E2505" s="7"/>
      <c r="F2505" s="7"/>
      <c r="G2505" s="9" t="s">
        <v>2322</v>
      </c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</row>
    <row r="2506" spans="1:18" ht="12.75" customHeight="1" x14ac:dyDescent="0.2">
      <c r="A2506" s="7"/>
      <c r="B2506" s="2" t="s">
        <v>2</v>
      </c>
      <c r="C2506" s="2" t="s">
        <v>2322</v>
      </c>
      <c r="D2506" s="2"/>
      <c r="E2506" s="7"/>
      <c r="F2506" s="7"/>
      <c r="G2506" s="9" t="s">
        <v>2322</v>
      </c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</row>
    <row r="2507" spans="1:18" ht="12.75" customHeight="1" x14ac:dyDescent="0.2">
      <c r="A2507" s="7"/>
      <c r="B2507" s="2" t="s">
        <v>1840</v>
      </c>
      <c r="C2507" s="2" t="s">
        <v>661</v>
      </c>
      <c r="D2507" s="2"/>
      <c r="E2507" s="7"/>
      <c r="F2507" s="7"/>
      <c r="G2507" s="9" t="s">
        <v>2322</v>
      </c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</row>
    <row r="2508" spans="1:18" ht="12.75" customHeight="1" x14ac:dyDescent="0.2">
      <c r="A2508" s="7"/>
      <c r="B2508" s="2" t="s">
        <v>9</v>
      </c>
      <c r="C2508" s="2" t="s">
        <v>2509</v>
      </c>
      <c r="D2508" s="2"/>
      <c r="E2508" s="7"/>
      <c r="F2508" s="7"/>
      <c r="G2508" s="9" t="s">
        <v>2322</v>
      </c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</row>
    <row r="2509" spans="1:18" ht="12.75" customHeight="1" x14ac:dyDescent="0.2">
      <c r="A2509" s="7"/>
      <c r="B2509" s="2" t="s">
        <v>11</v>
      </c>
      <c r="C2509" s="2" t="s">
        <v>1500</v>
      </c>
      <c r="D2509" s="2"/>
      <c r="E2509" s="7"/>
      <c r="F2509" s="7"/>
      <c r="G2509" s="9" t="s">
        <v>2322</v>
      </c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</row>
    <row r="2510" spans="1:18" ht="12.75" customHeight="1" x14ac:dyDescent="0.2">
      <c r="A2510" s="7"/>
      <c r="B2510" s="2" t="s">
        <v>16</v>
      </c>
      <c r="C2510" s="2"/>
      <c r="D2510" s="2"/>
      <c r="E2510" s="7"/>
      <c r="F2510" s="7"/>
      <c r="G2510" s="9" t="s">
        <v>2322</v>
      </c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</row>
    <row r="2511" spans="1:18" ht="12.75" customHeight="1" x14ac:dyDescent="0.2">
      <c r="A2511" s="7"/>
      <c r="B2511" s="2" t="s">
        <v>17</v>
      </c>
      <c r="C2511" s="2" t="s">
        <v>19</v>
      </c>
      <c r="D2511" s="2"/>
      <c r="E2511" s="7"/>
      <c r="F2511" s="7"/>
      <c r="G2511" s="9" t="s">
        <v>2322</v>
      </c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</row>
    <row r="2512" spans="1:18" ht="12.75" customHeight="1" x14ac:dyDescent="0.2">
      <c r="A2512" s="7"/>
      <c r="B2512" s="2" t="s">
        <v>18</v>
      </c>
      <c r="C2512" s="2" t="s">
        <v>57</v>
      </c>
      <c r="D2512" s="2" t="str">
        <f>HYPERLINK("javascript:void(0)","csillámgöb")</f>
        <v>csillámgöb</v>
      </c>
      <c r="E2512" s="7"/>
      <c r="F2512" s="7"/>
      <c r="G2512" s="9" t="s">
        <v>2322</v>
      </c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</row>
    <row r="2513" spans="1:18" ht="12.75" customHeight="1" x14ac:dyDescent="0.2">
      <c r="A2513" s="7"/>
      <c r="B2513" s="2"/>
      <c r="C2513" s="2" t="s">
        <v>44</v>
      </c>
      <c r="D2513" s="2" t="str">
        <f>HYPERLINK("javascript:void(0)","csillámos légvért")</f>
        <v>csillámos légvért</v>
      </c>
      <c r="E2513" s="7"/>
      <c r="F2513" s="7"/>
      <c r="G2513" s="9" t="s">
        <v>2322</v>
      </c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</row>
    <row r="2514" spans="1:18" ht="12.75" customHeight="1" x14ac:dyDescent="0.2">
      <c r="A2514" s="7"/>
      <c r="B2514" s="2"/>
      <c r="C2514" s="2" t="s">
        <v>1536</v>
      </c>
      <c r="D2514" s="2" t="str">
        <f>HYPERLINK("javascript:void(0)","ördögpihe")</f>
        <v>ördögpihe</v>
      </c>
      <c r="E2514" s="7"/>
      <c r="F2514" s="7"/>
      <c r="G2514" s="9" t="s">
        <v>2322</v>
      </c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</row>
    <row r="2515" spans="1:18" ht="12.75" customHeight="1" x14ac:dyDescent="0.2">
      <c r="A2515" s="7"/>
      <c r="B2515" s="2"/>
      <c r="C2515" s="2"/>
      <c r="D2515" s="2"/>
      <c r="E2515" s="7"/>
      <c r="F2515" s="7"/>
      <c r="G2515" s="9" t="s">
        <v>2322</v>
      </c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</row>
    <row r="2516" spans="1:18" ht="12.75" customHeight="1" x14ac:dyDescent="0.2">
      <c r="A2516" s="7"/>
      <c r="B2516" s="2"/>
      <c r="C2516" s="2"/>
      <c r="D2516" s="2"/>
      <c r="E2516" s="7"/>
      <c r="F2516" s="7"/>
      <c r="G2516" s="9" t="s">
        <v>2322</v>
      </c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</row>
    <row r="2517" spans="1:18" ht="12.75" customHeight="1" x14ac:dyDescent="0.2">
      <c r="A2517" s="7"/>
      <c r="B2517" s="2"/>
      <c r="C2517" s="2"/>
      <c r="D2517" s="2"/>
      <c r="E2517" s="7"/>
      <c r="F2517" s="7"/>
      <c r="G2517" s="9" t="s">
        <v>2322</v>
      </c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</row>
    <row r="2518" spans="1:18" ht="12.75" customHeight="1" x14ac:dyDescent="0.2">
      <c r="A2518" s="7"/>
      <c r="B2518" s="2"/>
      <c r="C2518" s="2"/>
      <c r="D2518" s="2"/>
      <c r="E2518" s="7"/>
      <c r="F2518" s="7"/>
      <c r="G2518" s="9" t="s">
        <v>2322</v>
      </c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</row>
    <row r="2519" spans="1:18" ht="12.75" customHeight="1" x14ac:dyDescent="0.2">
      <c r="A2519" s="7"/>
      <c r="B2519" s="2"/>
      <c r="C2519" s="2"/>
      <c r="D2519" s="2"/>
      <c r="E2519" s="7"/>
      <c r="F2519" s="7"/>
      <c r="G2519" s="9" t="s">
        <v>2322</v>
      </c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</row>
    <row r="2520" spans="1:18" ht="12.75" customHeight="1" x14ac:dyDescent="0.2">
      <c r="A2520" s="7" t="str">
        <f>HYPERLINK("javascript:void(0)","teljes élvért")</f>
        <v>teljes élvért</v>
      </c>
      <c r="B2520" s="7"/>
      <c r="C2520" s="7"/>
      <c r="D2520" s="7"/>
      <c r="E2520" s="7"/>
      <c r="F2520" s="7"/>
      <c r="G2520" s="9" t="s">
        <v>2322</v>
      </c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</row>
    <row r="2521" spans="1:18" ht="12.75" customHeight="1" x14ac:dyDescent="0.2">
      <c r="A2521" s="7"/>
      <c r="B2521" s="2"/>
      <c r="C2521" s="2"/>
      <c r="D2521" s="2"/>
      <c r="E2521" s="7"/>
      <c r="F2521" s="7"/>
      <c r="G2521" s="9" t="s">
        <v>2322</v>
      </c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</row>
    <row r="2522" spans="1:18" ht="12.75" customHeight="1" x14ac:dyDescent="0.2">
      <c r="A2522" s="7"/>
      <c r="B2522" s="2" t="s">
        <v>0</v>
      </c>
      <c r="C2522" s="2" t="s">
        <v>999</v>
      </c>
      <c r="D2522" s="2"/>
      <c r="E2522" s="7"/>
      <c r="F2522" s="7"/>
      <c r="G2522" s="9" t="s">
        <v>2322</v>
      </c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</row>
    <row r="2523" spans="1:18" ht="12.75" customHeight="1" x14ac:dyDescent="0.2">
      <c r="A2523" s="7"/>
      <c r="B2523" s="2" t="s">
        <v>2</v>
      </c>
      <c r="C2523" s="2" t="s">
        <v>2322</v>
      </c>
      <c r="D2523" s="2"/>
      <c r="E2523" s="7"/>
      <c r="F2523" s="7"/>
      <c r="G2523" s="9" t="s">
        <v>2322</v>
      </c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</row>
    <row r="2524" spans="1:18" ht="12.75" customHeight="1" x14ac:dyDescent="0.2">
      <c r="A2524" s="7"/>
      <c r="B2524" s="2" t="s">
        <v>1840</v>
      </c>
      <c r="C2524" s="2" t="s">
        <v>2510</v>
      </c>
      <c r="D2524" s="2"/>
      <c r="E2524" s="7"/>
      <c r="F2524" s="7"/>
      <c r="G2524" s="9" t="s">
        <v>2322</v>
      </c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</row>
    <row r="2525" spans="1:18" ht="12.75" customHeight="1" x14ac:dyDescent="0.2">
      <c r="A2525" s="7"/>
      <c r="B2525" s="2" t="s">
        <v>9</v>
      </c>
      <c r="C2525" s="2" t="s">
        <v>1108</v>
      </c>
      <c r="D2525" s="2"/>
      <c r="E2525" s="7"/>
      <c r="F2525" s="7"/>
      <c r="G2525" s="9" t="s">
        <v>2322</v>
      </c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</row>
    <row r="2526" spans="1:18" ht="12.75" customHeight="1" x14ac:dyDescent="0.2">
      <c r="A2526" s="7"/>
      <c r="B2526" s="2" t="s">
        <v>11</v>
      </c>
      <c r="C2526" s="2" t="s">
        <v>839</v>
      </c>
      <c r="D2526" s="2"/>
      <c r="E2526" s="7"/>
      <c r="F2526" s="7"/>
      <c r="G2526" s="9" t="s">
        <v>2322</v>
      </c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</row>
    <row r="2527" spans="1:18" ht="12.75" customHeight="1" x14ac:dyDescent="0.2">
      <c r="A2527" s="7"/>
      <c r="B2527" s="2" t="s">
        <v>16</v>
      </c>
      <c r="C2527" s="2"/>
      <c r="D2527" s="2"/>
      <c r="E2527" s="7"/>
      <c r="F2527" s="7"/>
      <c r="G2527" s="9" t="s">
        <v>2322</v>
      </c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</row>
    <row r="2528" spans="1:18" ht="12.75" customHeight="1" x14ac:dyDescent="0.2">
      <c r="A2528" s="7"/>
      <c r="B2528" s="2" t="s">
        <v>17</v>
      </c>
      <c r="C2528" s="2" t="s">
        <v>19</v>
      </c>
      <c r="D2528" s="2"/>
      <c r="E2528" s="7"/>
      <c r="F2528" s="7"/>
      <c r="G2528" s="9" t="s">
        <v>2322</v>
      </c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</row>
    <row r="2529" spans="1:18" ht="12.75" customHeight="1" x14ac:dyDescent="0.2">
      <c r="A2529" s="7"/>
      <c r="B2529" s="2" t="s">
        <v>18</v>
      </c>
      <c r="C2529" s="2" t="s">
        <v>44</v>
      </c>
      <c r="D2529" s="2" t="str">
        <f>HYPERLINK("javascript:void(0)","csáppáncél")</f>
        <v>csáppáncél</v>
      </c>
      <c r="E2529" s="7"/>
      <c r="F2529" s="7"/>
      <c r="G2529" s="9" t="s">
        <v>2322</v>
      </c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</row>
    <row r="2530" spans="1:18" ht="12.75" customHeight="1" x14ac:dyDescent="0.2">
      <c r="A2530" s="7"/>
      <c r="B2530" s="2"/>
      <c r="C2530" s="2" t="s">
        <v>44</v>
      </c>
      <c r="D2530" s="2" t="str">
        <f>HYPERLINK("javascript:void(0)","csillámvért")</f>
        <v>csillámvért</v>
      </c>
      <c r="E2530" s="7"/>
      <c r="F2530" s="7"/>
      <c r="G2530" s="9" t="s">
        <v>2322</v>
      </c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</row>
    <row r="2531" spans="1:18" ht="12.75" customHeight="1" x14ac:dyDescent="0.2">
      <c r="A2531" s="7"/>
      <c r="B2531" s="2"/>
      <c r="C2531" s="2" t="s">
        <v>44</v>
      </c>
      <c r="D2531" s="2" t="str">
        <f>HYPERLINK("javascript:void(0)","élbélés")</f>
        <v>élbélés</v>
      </c>
      <c r="E2531" s="7"/>
      <c r="F2531" s="7"/>
      <c r="G2531" s="9" t="s">
        <v>2322</v>
      </c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</row>
    <row r="2532" spans="1:18" ht="12.75" customHeight="1" x14ac:dyDescent="0.2">
      <c r="A2532" s="7"/>
      <c r="B2532" s="2"/>
      <c r="C2532" s="2"/>
      <c r="D2532" s="2"/>
      <c r="E2532" s="7"/>
      <c r="F2532" s="7"/>
      <c r="G2532" s="9" t="s">
        <v>2322</v>
      </c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</row>
    <row r="2533" spans="1:18" ht="12.75" customHeight="1" x14ac:dyDescent="0.2">
      <c r="A2533" s="7"/>
      <c r="B2533" s="2"/>
      <c r="C2533" s="2"/>
      <c r="D2533" s="2"/>
      <c r="E2533" s="7"/>
      <c r="F2533" s="7"/>
      <c r="G2533" s="9" t="s">
        <v>2322</v>
      </c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</row>
    <row r="2534" spans="1:18" ht="12.75" customHeight="1" x14ac:dyDescent="0.2">
      <c r="A2534" s="7"/>
      <c r="B2534" s="2"/>
      <c r="C2534" s="2"/>
      <c r="D2534" s="2"/>
      <c r="E2534" s="7"/>
      <c r="F2534" s="7"/>
      <c r="G2534" s="9" t="s">
        <v>2322</v>
      </c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</row>
    <row r="2535" spans="1:18" ht="12.75" customHeight="1" x14ac:dyDescent="0.2">
      <c r="A2535" s="7"/>
      <c r="B2535" s="2"/>
      <c r="C2535" s="2"/>
      <c r="D2535" s="2"/>
      <c r="E2535" s="7"/>
      <c r="F2535" s="7"/>
      <c r="G2535" s="9" t="s">
        <v>2322</v>
      </c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</row>
    <row r="2536" spans="1:18" ht="12.75" customHeight="1" x14ac:dyDescent="0.2">
      <c r="A2536" s="7"/>
      <c r="B2536" s="2"/>
      <c r="C2536" s="2"/>
      <c r="D2536" s="2"/>
      <c r="E2536" s="7"/>
      <c r="F2536" s="7"/>
      <c r="G2536" s="9" t="s">
        <v>2322</v>
      </c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</row>
    <row r="2537" spans="1:18" ht="12.75" customHeight="1" x14ac:dyDescent="0.2">
      <c r="A2537" s="7" t="str">
        <f>HYPERLINK("javascript:void(0)","élbélés")</f>
        <v>élbélés</v>
      </c>
      <c r="B2537" s="7"/>
      <c r="C2537" s="7"/>
      <c r="D2537" s="7"/>
      <c r="E2537" s="7"/>
      <c r="F2537" s="7"/>
      <c r="G2537" s="9" t="s">
        <v>2322</v>
      </c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</row>
    <row r="2538" spans="1:18" ht="12.75" customHeight="1" x14ac:dyDescent="0.2">
      <c r="A2538" s="7"/>
      <c r="B2538" s="2"/>
      <c r="C2538" s="2"/>
      <c r="D2538" s="2"/>
      <c r="E2538" s="7"/>
      <c r="F2538" s="7"/>
      <c r="G2538" s="9" t="s">
        <v>2322</v>
      </c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</row>
    <row r="2539" spans="1:18" ht="12.75" customHeight="1" x14ac:dyDescent="0.2">
      <c r="A2539" s="7"/>
      <c r="B2539" s="2" t="s">
        <v>0</v>
      </c>
      <c r="C2539" s="2" t="s">
        <v>999</v>
      </c>
      <c r="D2539" s="2"/>
      <c r="E2539" s="7"/>
      <c r="F2539" s="7"/>
      <c r="G2539" s="9" t="s">
        <v>2322</v>
      </c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</row>
    <row r="2540" spans="1:18" ht="12.75" customHeight="1" x14ac:dyDescent="0.2">
      <c r="A2540" s="7"/>
      <c r="B2540" s="2" t="s">
        <v>2</v>
      </c>
      <c r="C2540" s="2" t="s">
        <v>2322</v>
      </c>
      <c r="D2540" s="2"/>
      <c r="E2540" s="7"/>
      <c r="F2540" s="7"/>
      <c r="G2540" s="9" t="s">
        <v>2322</v>
      </c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</row>
    <row r="2541" spans="1:18" ht="12.75" customHeight="1" x14ac:dyDescent="0.2">
      <c r="A2541" s="7"/>
      <c r="B2541" s="2" t="s">
        <v>1840</v>
      </c>
      <c r="C2541" s="2" t="s">
        <v>435</v>
      </c>
      <c r="D2541" s="2"/>
      <c r="E2541" s="7"/>
      <c r="F2541" s="7"/>
      <c r="G2541" s="9" t="s">
        <v>2322</v>
      </c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</row>
    <row r="2542" spans="1:18" ht="12.75" customHeight="1" x14ac:dyDescent="0.2">
      <c r="A2542" s="7"/>
      <c r="B2542" s="2" t="s">
        <v>9</v>
      </c>
      <c r="C2542" s="2" t="s">
        <v>172</v>
      </c>
      <c r="D2542" s="2"/>
      <c r="E2542" s="7"/>
      <c r="F2542" s="7"/>
      <c r="G2542" s="9" t="s">
        <v>2322</v>
      </c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</row>
    <row r="2543" spans="1:18" ht="12.75" customHeight="1" x14ac:dyDescent="0.2">
      <c r="A2543" s="7"/>
      <c r="B2543" s="2" t="s">
        <v>11</v>
      </c>
      <c r="C2543" s="2" t="s">
        <v>2506</v>
      </c>
      <c r="D2543" s="2"/>
      <c r="E2543" s="7"/>
      <c r="F2543" s="7"/>
      <c r="G2543" s="9" t="s">
        <v>2322</v>
      </c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</row>
    <row r="2544" spans="1:18" ht="12.75" customHeight="1" x14ac:dyDescent="0.2">
      <c r="A2544" s="7"/>
      <c r="B2544" s="2" t="s">
        <v>16</v>
      </c>
      <c r="C2544" s="2"/>
      <c r="D2544" s="2"/>
      <c r="E2544" s="7"/>
      <c r="F2544" s="7"/>
      <c r="G2544" s="9" t="s">
        <v>2322</v>
      </c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</row>
    <row r="2545" spans="1:18" ht="12.75" customHeight="1" x14ac:dyDescent="0.2">
      <c r="A2545" s="7"/>
      <c r="B2545" s="2" t="s">
        <v>17</v>
      </c>
      <c r="C2545" s="2" t="s">
        <v>19</v>
      </c>
      <c r="D2545" s="2"/>
      <c r="E2545" s="7"/>
      <c r="F2545" s="7"/>
      <c r="G2545" s="9" t="s">
        <v>2322</v>
      </c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</row>
    <row r="2546" spans="1:18" ht="12.75" customHeight="1" x14ac:dyDescent="0.2">
      <c r="A2546" s="7"/>
      <c r="B2546" s="2" t="s">
        <v>18</v>
      </c>
      <c r="C2546" s="2" t="s">
        <v>67</v>
      </c>
      <c r="D2546" s="2" t="str">
        <f>HYPERLINK("javascript:void(0)","négyél")</f>
        <v>négyél</v>
      </c>
      <c r="E2546" s="7"/>
      <c r="F2546" s="7"/>
      <c r="G2546" s="9" t="s">
        <v>2322</v>
      </c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</row>
    <row r="2547" spans="1:18" ht="12.75" customHeight="1" x14ac:dyDescent="0.2">
      <c r="A2547" s="7"/>
      <c r="B2547" s="2"/>
      <c r="C2547" s="2" t="s">
        <v>420</v>
      </c>
      <c r="D2547" s="2" t="str">
        <f>HYPERLINK("javascript:void(0)","angyalhaj")</f>
        <v>angyalhaj</v>
      </c>
      <c r="E2547" s="7"/>
      <c r="F2547" s="7"/>
      <c r="G2547" s="9" t="s">
        <v>2322</v>
      </c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</row>
    <row r="2548" spans="1:18" ht="12.75" customHeight="1" x14ac:dyDescent="0.2">
      <c r="A2548" s="7"/>
      <c r="B2548" s="2"/>
      <c r="C2548" s="2" t="s">
        <v>420</v>
      </c>
      <c r="D2548" s="2" t="str">
        <f>HYPERLINK("javascript:void(0)","ördögpihe")</f>
        <v>ördögpihe</v>
      </c>
      <c r="E2548" s="7"/>
      <c r="F2548" s="7"/>
      <c r="G2548" s="9" t="s">
        <v>2322</v>
      </c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</row>
    <row r="2549" spans="1:18" ht="12.75" customHeight="1" x14ac:dyDescent="0.2">
      <c r="A2549" s="7"/>
      <c r="B2549" s="2"/>
      <c r="C2549" s="2"/>
      <c r="D2549" s="2"/>
      <c r="E2549" s="7"/>
      <c r="F2549" s="7"/>
      <c r="G2549" s="9" t="s">
        <v>2322</v>
      </c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</row>
    <row r="2550" spans="1:18" ht="12.75" customHeight="1" x14ac:dyDescent="0.2">
      <c r="A2550" s="7"/>
      <c r="B2550" s="2"/>
      <c r="C2550" s="2"/>
      <c r="D2550" s="2"/>
      <c r="E2550" s="7"/>
      <c r="F2550" s="7"/>
      <c r="G2550" s="9" t="s">
        <v>2322</v>
      </c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</row>
    <row r="2551" spans="1:18" ht="12.75" customHeight="1" x14ac:dyDescent="0.2">
      <c r="A2551" s="7"/>
      <c r="B2551" s="2"/>
      <c r="C2551" s="2"/>
      <c r="D2551" s="2"/>
      <c r="E2551" s="7"/>
      <c r="F2551" s="7"/>
      <c r="G2551" s="9" t="s">
        <v>2322</v>
      </c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</row>
    <row r="2552" spans="1:18" ht="12.75" customHeight="1" x14ac:dyDescent="0.2">
      <c r="A2552" s="7"/>
      <c r="B2552" s="2"/>
      <c r="C2552" s="2"/>
      <c r="D2552" s="2"/>
      <c r="E2552" s="7"/>
      <c r="F2552" s="7"/>
      <c r="G2552" s="9" t="s">
        <v>2322</v>
      </c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</row>
    <row r="2553" spans="1:18" ht="12.75" customHeight="1" x14ac:dyDescent="0.2">
      <c r="A2553" s="7"/>
      <c r="B2553" s="2"/>
      <c r="C2553" s="2"/>
      <c r="D2553" s="2"/>
      <c r="E2553" s="7"/>
      <c r="F2553" s="7"/>
      <c r="G2553" s="9" t="s">
        <v>2322</v>
      </c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</row>
    <row r="2554" spans="1:18" ht="12.75" customHeight="1" x14ac:dyDescent="0.2">
      <c r="A2554" s="7" t="str">
        <f>HYPERLINK("javascript:void(0)","ködpáncél")</f>
        <v>ködpáncél</v>
      </c>
      <c r="B2554" s="7"/>
      <c r="C2554" s="7"/>
      <c r="D2554" s="7"/>
      <c r="E2554" s="7"/>
      <c r="F2554" s="7"/>
      <c r="G2554" s="9" t="s">
        <v>2322</v>
      </c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</row>
    <row r="2555" spans="1:18" ht="12.75" customHeight="1" x14ac:dyDescent="0.2">
      <c r="A2555" s="7"/>
      <c r="B2555" s="2"/>
      <c r="C2555" s="2"/>
      <c r="D2555" s="2"/>
      <c r="E2555" s="7"/>
      <c r="F2555" s="7"/>
      <c r="G2555" s="9" t="s">
        <v>2322</v>
      </c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</row>
    <row r="2556" spans="1:18" ht="12.75" customHeight="1" x14ac:dyDescent="0.2">
      <c r="A2556" s="7"/>
      <c r="B2556" s="2" t="s">
        <v>0</v>
      </c>
      <c r="C2556" s="2" t="s">
        <v>1012</v>
      </c>
      <c r="D2556" s="2"/>
      <c r="E2556" s="7"/>
      <c r="F2556" s="7"/>
      <c r="G2556" s="9" t="s">
        <v>2322</v>
      </c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</row>
    <row r="2557" spans="1:18" ht="12.75" customHeight="1" x14ac:dyDescent="0.2">
      <c r="A2557" s="7"/>
      <c r="B2557" s="2" t="s">
        <v>2</v>
      </c>
      <c r="C2557" s="2" t="s">
        <v>2322</v>
      </c>
      <c r="D2557" s="2"/>
      <c r="E2557" s="7"/>
      <c r="F2557" s="7"/>
      <c r="G2557" s="9" t="s">
        <v>2322</v>
      </c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</row>
    <row r="2558" spans="1:18" ht="12.75" customHeight="1" x14ac:dyDescent="0.2">
      <c r="A2558" s="7"/>
      <c r="B2558" s="2" t="s">
        <v>1840</v>
      </c>
      <c r="C2558" s="2" t="s">
        <v>348</v>
      </c>
      <c r="D2558" s="2"/>
      <c r="E2558" s="7"/>
      <c r="F2558" s="7"/>
      <c r="G2558" s="9" t="s">
        <v>2322</v>
      </c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</row>
    <row r="2559" spans="1:18" ht="12.75" customHeight="1" x14ac:dyDescent="0.2">
      <c r="A2559" s="7"/>
      <c r="B2559" s="2" t="s">
        <v>9</v>
      </c>
      <c r="C2559" s="2" t="s">
        <v>2511</v>
      </c>
      <c r="D2559" s="2"/>
      <c r="E2559" s="7"/>
      <c r="F2559" s="7"/>
      <c r="G2559" s="9" t="s">
        <v>2322</v>
      </c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</row>
    <row r="2560" spans="1:18" ht="12.75" customHeight="1" x14ac:dyDescent="0.2">
      <c r="A2560" s="7"/>
      <c r="B2560" s="2" t="s">
        <v>11</v>
      </c>
      <c r="C2560" s="2" t="s">
        <v>1509</v>
      </c>
      <c r="D2560" s="2"/>
      <c r="E2560" s="7"/>
      <c r="F2560" s="7"/>
      <c r="G2560" s="9" t="s">
        <v>2322</v>
      </c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</row>
    <row r="2561" spans="1:18" ht="12.75" customHeight="1" x14ac:dyDescent="0.2">
      <c r="A2561" s="7"/>
      <c r="B2561" s="2" t="s">
        <v>16</v>
      </c>
      <c r="C2561" s="2"/>
      <c r="D2561" s="2"/>
      <c r="E2561" s="7"/>
      <c r="F2561" s="7"/>
      <c r="G2561" s="9" t="s">
        <v>2322</v>
      </c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</row>
    <row r="2562" spans="1:18" ht="12.75" customHeight="1" x14ac:dyDescent="0.2">
      <c r="A2562" s="7"/>
      <c r="B2562" s="2" t="s">
        <v>17</v>
      </c>
      <c r="C2562" s="2" t="s">
        <v>19</v>
      </c>
      <c r="D2562" s="2"/>
      <c r="E2562" s="7"/>
      <c r="F2562" s="7"/>
      <c r="G2562" s="9" t="s">
        <v>2322</v>
      </c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</row>
    <row r="2563" spans="1:18" ht="12.75" customHeight="1" x14ac:dyDescent="0.2">
      <c r="A2563" s="7"/>
      <c r="B2563" s="2" t="s">
        <v>18</v>
      </c>
      <c r="C2563" s="2" t="s">
        <v>265</v>
      </c>
      <c r="D2563" s="2" t="str">
        <f>HYPERLINK("javascript:void(0)","ködpikkely")</f>
        <v>ködpikkely</v>
      </c>
      <c r="E2563" s="7"/>
      <c r="F2563" s="7"/>
      <c r="G2563" s="9" t="s">
        <v>2322</v>
      </c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</row>
    <row r="2564" spans="1:18" ht="12.75" customHeight="1" x14ac:dyDescent="0.2">
      <c r="A2564" s="7"/>
      <c r="B2564" s="2"/>
      <c r="C2564" s="2" t="s">
        <v>228</v>
      </c>
      <c r="D2564" s="2" t="str">
        <f>HYPERLINK("javascript:void(0)","kártyalap")</f>
        <v>kártyalap</v>
      </c>
      <c r="E2564" s="7"/>
      <c r="F2564" s="7"/>
      <c r="G2564" s="9" t="s">
        <v>2322</v>
      </c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</row>
    <row r="2565" spans="1:18" ht="12.75" customHeight="1" x14ac:dyDescent="0.2">
      <c r="A2565" s="7"/>
      <c r="B2565" s="2"/>
      <c r="C2565" s="2" t="s">
        <v>44</v>
      </c>
      <c r="D2565" s="2" t="str">
        <f>HYPERLINK("javascript:void(0)","teljes élvért")</f>
        <v>teljes élvért</v>
      </c>
      <c r="E2565" s="7"/>
      <c r="F2565" s="7"/>
      <c r="G2565" s="9" t="s">
        <v>2322</v>
      </c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</row>
    <row r="2566" spans="1:18" ht="12.75" customHeight="1" x14ac:dyDescent="0.2">
      <c r="A2566" s="7"/>
      <c r="B2566" s="2"/>
      <c r="C2566" s="2"/>
      <c r="D2566" s="2"/>
      <c r="E2566" s="7"/>
      <c r="F2566" s="7"/>
      <c r="G2566" s="9" t="s">
        <v>2322</v>
      </c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</row>
    <row r="2567" spans="1:18" ht="12.75" customHeight="1" x14ac:dyDescent="0.2">
      <c r="A2567" s="7"/>
      <c r="B2567" s="2"/>
      <c r="C2567" s="2"/>
      <c r="D2567" s="2"/>
      <c r="E2567" s="7"/>
      <c r="F2567" s="7"/>
      <c r="G2567" s="9" t="s">
        <v>2322</v>
      </c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</row>
    <row r="2568" spans="1:18" ht="12.75" customHeight="1" x14ac:dyDescent="0.2">
      <c r="A2568" s="7"/>
      <c r="B2568" s="2"/>
      <c r="C2568" s="2"/>
      <c r="D2568" s="2"/>
      <c r="E2568" s="7"/>
      <c r="F2568" s="7"/>
      <c r="G2568" s="9" t="s">
        <v>2322</v>
      </c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</row>
    <row r="2569" spans="1:18" ht="12.75" customHeight="1" x14ac:dyDescent="0.2">
      <c r="A2569" s="7"/>
      <c r="B2569" s="2"/>
      <c r="C2569" s="2"/>
      <c r="D2569" s="2"/>
      <c r="E2569" s="7"/>
      <c r="F2569" s="7"/>
      <c r="G2569" s="9" t="s">
        <v>2322</v>
      </c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</row>
    <row r="2570" spans="1:18" ht="12.75" customHeight="1" x14ac:dyDescent="0.2">
      <c r="A2570" s="7"/>
      <c r="B2570" s="2"/>
      <c r="C2570" s="2"/>
      <c r="D2570" s="2"/>
      <c r="E2570" s="7"/>
      <c r="F2570" s="7"/>
      <c r="G2570" s="9" t="s">
        <v>2322</v>
      </c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</row>
    <row r="2571" spans="1:18" ht="12.75" customHeight="1" x14ac:dyDescent="0.2">
      <c r="A2571" s="7" t="str">
        <f>HYPERLINK("javascript:void(0)","gólempáncél")</f>
        <v>gólempáncél</v>
      </c>
      <c r="B2571" s="7"/>
      <c r="C2571" s="7"/>
      <c r="D2571" s="7"/>
      <c r="E2571" s="7"/>
      <c r="F2571" s="7"/>
      <c r="G2571" s="9" t="s">
        <v>2322</v>
      </c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</row>
    <row r="2572" spans="1:18" ht="12.75" customHeight="1" x14ac:dyDescent="0.2">
      <c r="A2572" s="7"/>
      <c r="B2572" s="2"/>
      <c r="C2572" s="2"/>
      <c r="D2572" s="2"/>
      <c r="E2572" s="7"/>
      <c r="F2572" s="7"/>
      <c r="G2572" s="9" t="s">
        <v>2322</v>
      </c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</row>
    <row r="2573" spans="1:18" ht="12.75" customHeight="1" x14ac:dyDescent="0.2">
      <c r="A2573" s="7"/>
      <c r="B2573" s="2" t="s">
        <v>0</v>
      </c>
      <c r="C2573" s="2" t="s">
        <v>91</v>
      </c>
      <c r="D2573" s="2"/>
      <c r="E2573" s="7"/>
      <c r="F2573" s="7"/>
      <c r="G2573" s="9" t="s">
        <v>2322</v>
      </c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</row>
    <row r="2574" spans="1:18" ht="12.75" customHeight="1" x14ac:dyDescent="0.2">
      <c r="A2574" s="7"/>
      <c r="B2574" s="2" t="s">
        <v>2</v>
      </c>
      <c r="C2574" s="2" t="s">
        <v>2322</v>
      </c>
      <c r="D2574" s="2"/>
      <c r="E2574" s="7"/>
      <c r="F2574" s="7"/>
      <c r="G2574" s="9" t="s">
        <v>2322</v>
      </c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</row>
    <row r="2575" spans="1:18" ht="12.75" customHeight="1" x14ac:dyDescent="0.2">
      <c r="A2575" s="7"/>
      <c r="B2575" s="2" t="s">
        <v>1840</v>
      </c>
      <c r="C2575" s="2" t="s">
        <v>2512</v>
      </c>
      <c r="D2575" s="2"/>
      <c r="E2575" s="7"/>
      <c r="F2575" s="7"/>
      <c r="G2575" s="9" t="s">
        <v>2322</v>
      </c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</row>
    <row r="2576" spans="1:18" ht="12.75" customHeight="1" x14ac:dyDescent="0.2">
      <c r="A2576" s="7"/>
      <c r="B2576" s="2" t="s">
        <v>9</v>
      </c>
      <c r="C2576" s="2" t="s">
        <v>2102</v>
      </c>
      <c r="D2576" s="2"/>
      <c r="E2576" s="7"/>
      <c r="F2576" s="7"/>
      <c r="G2576" s="9" t="s">
        <v>2322</v>
      </c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</row>
    <row r="2577" spans="1:18" ht="12.75" customHeight="1" x14ac:dyDescent="0.2">
      <c r="A2577" s="7"/>
      <c r="B2577" s="2" t="s">
        <v>11</v>
      </c>
      <c r="C2577" s="2" t="s">
        <v>1674</v>
      </c>
      <c r="D2577" s="2"/>
      <c r="E2577" s="7"/>
      <c r="F2577" s="7"/>
      <c r="G2577" s="9" t="s">
        <v>2322</v>
      </c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</row>
    <row r="2578" spans="1:18" ht="12.75" customHeight="1" x14ac:dyDescent="0.2">
      <c r="A2578" s="7"/>
      <c r="B2578" s="2" t="s">
        <v>16</v>
      </c>
      <c r="C2578" s="2"/>
      <c r="D2578" s="2"/>
      <c r="E2578" s="7"/>
      <c r="F2578" s="7"/>
      <c r="G2578" s="9" t="s">
        <v>2322</v>
      </c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</row>
    <row r="2579" spans="1:18" ht="12.75" customHeight="1" x14ac:dyDescent="0.2">
      <c r="A2579" s="7"/>
      <c r="B2579" s="2" t="s">
        <v>17</v>
      </c>
      <c r="C2579" s="2" t="s">
        <v>19</v>
      </c>
      <c r="D2579" s="2"/>
      <c r="E2579" s="7"/>
      <c r="F2579" s="7"/>
      <c r="G2579" s="9" t="s">
        <v>2322</v>
      </c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</row>
    <row r="2580" spans="1:18" ht="12.75" customHeight="1" x14ac:dyDescent="0.2">
      <c r="A2580" s="7"/>
      <c r="B2580" s="2" t="s">
        <v>18</v>
      </c>
      <c r="C2580" s="2" t="s">
        <v>309</v>
      </c>
      <c r="D2580" s="2" t="str">
        <f>HYPERLINK("javascript:void(0)","ködpikkely")</f>
        <v>ködpikkely</v>
      </c>
      <c r="E2580" s="7"/>
      <c r="F2580" s="7"/>
      <c r="G2580" s="9" t="s">
        <v>2322</v>
      </c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</row>
    <row r="2581" spans="1:18" ht="12.75" customHeight="1" x14ac:dyDescent="0.2">
      <c r="A2581" s="7"/>
      <c r="B2581" s="2"/>
      <c r="C2581" s="2" t="s">
        <v>244</v>
      </c>
      <c r="D2581" s="2" t="str">
        <f>HYPERLINK("javascript:void(0)","monsztabéklyó")</f>
        <v>monsztabéklyó</v>
      </c>
      <c r="E2581" s="7"/>
      <c r="F2581" s="7"/>
      <c r="G2581" s="9" t="s">
        <v>2322</v>
      </c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</row>
    <row r="2582" spans="1:18" ht="12.75" customHeight="1" x14ac:dyDescent="0.2">
      <c r="A2582" s="7"/>
      <c r="B2582" s="2"/>
      <c r="C2582" s="2" t="s">
        <v>67</v>
      </c>
      <c r="D2582" s="2" t="str">
        <f>HYPERLINK("javascript:void(0)","gólemamulett")</f>
        <v>gólemamulett</v>
      </c>
      <c r="E2582" s="7"/>
      <c r="F2582" s="7"/>
      <c r="G2582" s="9" t="s">
        <v>2322</v>
      </c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</row>
    <row r="2583" spans="1:18" ht="12.75" customHeight="1" x14ac:dyDescent="0.2">
      <c r="A2583" s="7"/>
      <c r="B2583" s="2"/>
      <c r="C2583" s="2"/>
      <c r="D2583" s="2"/>
      <c r="E2583" s="7"/>
      <c r="F2583" s="7"/>
      <c r="G2583" s="9" t="s">
        <v>2322</v>
      </c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</row>
    <row r="2584" spans="1:18" ht="12.75" customHeight="1" x14ac:dyDescent="0.2">
      <c r="A2584" s="7"/>
      <c r="B2584" s="2"/>
      <c r="C2584" s="2"/>
      <c r="D2584" s="2"/>
      <c r="E2584" s="7"/>
      <c r="F2584" s="7"/>
      <c r="G2584" s="9" t="s">
        <v>2322</v>
      </c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</row>
    <row r="2585" spans="1:18" ht="12.75" customHeight="1" x14ac:dyDescent="0.2">
      <c r="A2585" s="7"/>
      <c r="B2585" s="2"/>
      <c r="C2585" s="2"/>
      <c r="D2585" s="2"/>
      <c r="E2585" s="7"/>
      <c r="F2585" s="7"/>
      <c r="G2585" s="9" t="s">
        <v>2322</v>
      </c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</row>
    <row r="2586" spans="1:18" ht="12.75" customHeight="1" x14ac:dyDescent="0.2">
      <c r="A2586" s="7"/>
      <c r="B2586" s="2"/>
      <c r="C2586" s="2"/>
      <c r="D2586" s="2"/>
      <c r="E2586" s="7"/>
      <c r="F2586" s="7"/>
      <c r="G2586" s="9" t="s">
        <v>2322</v>
      </c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</row>
    <row r="2587" spans="1:18" ht="12.75" customHeight="1" x14ac:dyDescent="0.2">
      <c r="A2587" s="7"/>
      <c r="B2587" s="2"/>
      <c r="C2587" s="2"/>
      <c r="D2587" s="2"/>
      <c r="E2587" s="7"/>
      <c r="F2587" s="7"/>
      <c r="G2587" s="9" t="s">
        <v>2322</v>
      </c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</row>
    <row r="2588" spans="1:18" ht="12.75" customHeight="1" x14ac:dyDescent="0.2">
      <c r="A2588" s="7" t="str">
        <f>HYPERLINK("javascript:void(0)","teljes gólemvért")</f>
        <v>teljes gólemvért</v>
      </c>
      <c r="B2588" s="7"/>
      <c r="C2588" s="7"/>
      <c r="D2588" s="7"/>
      <c r="E2588" s="7"/>
      <c r="F2588" s="7"/>
      <c r="G2588" s="9" t="s">
        <v>2322</v>
      </c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</row>
    <row r="2589" spans="1:18" ht="12.75" customHeight="1" x14ac:dyDescent="0.2">
      <c r="A2589" s="7"/>
      <c r="B2589" s="2"/>
      <c r="C2589" s="2"/>
      <c r="D2589" s="2"/>
      <c r="E2589" s="7"/>
      <c r="F2589" s="7"/>
      <c r="G2589" s="9" t="s">
        <v>2322</v>
      </c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</row>
    <row r="2590" spans="1:18" ht="12.75" customHeight="1" x14ac:dyDescent="0.2">
      <c r="A2590" s="7"/>
      <c r="B2590" s="2" t="s">
        <v>0</v>
      </c>
      <c r="C2590" s="2" t="s">
        <v>1032</v>
      </c>
      <c r="D2590" s="2"/>
      <c r="E2590" s="7"/>
      <c r="F2590" s="7"/>
      <c r="G2590" s="9" t="s">
        <v>2322</v>
      </c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</row>
    <row r="2591" spans="1:18" ht="12.75" customHeight="1" x14ac:dyDescent="0.2">
      <c r="A2591" s="7"/>
      <c r="B2591" s="2" t="s">
        <v>2</v>
      </c>
      <c r="C2591" s="2" t="s">
        <v>2322</v>
      </c>
      <c r="D2591" s="2"/>
      <c r="E2591" s="7"/>
      <c r="F2591" s="7"/>
      <c r="G2591" s="9" t="s">
        <v>2322</v>
      </c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</row>
    <row r="2592" spans="1:18" ht="12.75" customHeight="1" x14ac:dyDescent="0.2">
      <c r="A2592" s="7"/>
      <c r="B2592" s="2" t="s">
        <v>1840</v>
      </c>
      <c r="C2592" s="2" t="s">
        <v>2513</v>
      </c>
      <c r="D2592" s="2"/>
      <c r="E2592" s="7"/>
      <c r="F2592" s="7"/>
      <c r="G2592" s="9" t="s">
        <v>2322</v>
      </c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</row>
    <row r="2593" spans="1:18" ht="12.75" customHeight="1" x14ac:dyDescent="0.2">
      <c r="A2593" s="7"/>
      <c r="B2593" s="2" t="s">
        <v>9</v>
      </c>
      <c r="C2593" s="2" t="s">
        <v>2287</v>
      </c>
      <c r="D2593" s="2"/>
      <c r="E2593" s="7"/>
      <c r="F2593" s="7"/>
      <c r="G2593" s="9" t="s">
        <v>2322</v>
      </c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</row>
    <row r="2594" spans="1:18" ht="12.75" customHeight="1" x14ac:dyDescent="0.2">
      <c r="A2594" s="7"/>
      <c r="B2594" s="2" t="s">
        <v>11</v>
      </c>
      <c r="C2594" s="2" t="s">
        <v>1520</v>
      </c>
      <c r="D2594" s="2"/>
      <c r="E2594" s="7"/>
      <c r="F2594" s="7"/>
      <c r="G2594" s="9" t="s">
        <v>2322</v>
      </c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</row>
    <row r="2595" spans="1:18" ht="12.75" customHeight="1" x14ac:dyDescent="0.2">
      <c r="A2595" s="7"/>
      <c r="B2595" s="2" t="s">
        <v>16</v>
      </c>
      <c r="C2595" s="2"/>
      <c r="D2595" s="2"/>
      <c r="E2595" s="7"/>
      <c r="F2595" s="7"/>
      <c r="G2595" s="9" t="s">
        <v>2322</v>
      </c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</row>
    <row r="2596" spans="1:18" ht="12.75" customHeight="1" x14ac:dyDescent="0.2">
      <c r="A2596" s="7"/>
      <c r="B2596" s="2" t="s">
        <v>17</v>
      </c>
      <c r="C2596" s="2" t="s">
        <v>19</v>
      </c>
      <c r="D2596" s="2"/>
      <c r="E2596" s="7"/>
      <c r="F2596" s="7"/>
      <c r="G2596" s="9" t="s">
        <v>2322</v>
      </c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</row>
    <row r="2597" spans="1:18" ht="12.75" customHeight="1" x14ac:dyDescent="0.2">
      <c r="A2597" s="7"/>
      <c r="B2597" s="2" t="s">
        <v>18</v>
      </c>
      <c r="C2597" s="2" t="s">
        <v>44</v>
      </c>
      <c r="D2597" s="2" t="str">
        <f>HYPERLINK("javascript:void(0)","ködpáncél")</f>
        <v>ködpáncél</v>
      </c>
      <c r="E2597" s="7"/>
      <c r="F2597" s="7"/>
      <c r="G2597" s="9" t="s">
        <v>2322</v>
      </c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</row>
    <row r="2598" spans="1:18" ht="12.75" customHeight="1" x14ac:dyDescent="0.2">
      <c r="A2598" s="7"/>
      <c r="B2598" s="2"/>
      <c r="C2598" s="2" t="s">
        <v>44</v>
      </c>
      <c r="D2598" s="2" t="str">
        <f>HYPERLINK("javascript:void(0)","jelmellény")</f>
        <v>jelmellény</v>
      </c>
      <c r="E2598" s="7"/>
      <c r="F2598" s="7"/>
      <c r="G2598" s="9" t="s">
        <v>2322</v>
      </c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</row>
    <row r="2599" spans="1:18" ht="12.75" customHeight="1" x14ac:dyDescent="0.2">
      <c r="A2599" s="7"/>
      <c r="B2599" s="2"/>
      <c r="C2599" s="2" t="s">
        <v>44</v>
      </c>
      <c r="D2599" s="2" t="str">
        <f>HYPERLINK("javascript:void(0)","gólempáncél")</f>
        <v>gólempáncél</v>
      </c>
      <c r="E2599" s="7"/>
      <c r="F2599" s="7"/>
      <c r="G2599" s="9" t="s">
        <v>2322</v>
      </c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</row>
    <row r="2600" spans="1:18" ht="12.75" customHeight="1" x14ac:dyDescent="0.2">
      <c r="A2600" s="7"/>
      <c r="B2600" s="2"/>
      <c r="C2600" s="2"/>
      <c r="D2600" s="2"/>
      <c r="E2600" s="7"/>
      <c r="F2600" s="7"/>
      <c r="G2600" s="9" t="s">
        <v>2322</v>
      </c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</row>
    <row r="2601" spans="1:18" ht="12.75" customHeight="1" x14ac:dyDescent="0.2">
      <c r="A2601" s="7"/>
      <c r="B2601" s="2"/>
      <c r="C2601" s="2"/>
      <c r="D2601" s="2"/>
      <c r="E2601" s="7"/>
      <c r="F2601" s="7"/>
      <c r="G2601" s="9" t="s">
        <v>2322</v>
      </c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</row>
    <row r="2602" spans="1:18" ht="12.75" customHeight="1" x14ac:dyDescent="0.2">
      <c r="A2602" s="7"/>
      <c r="B2602" s="2"/>
      <c r="C2602" s="2"/>
      <c r="D2602" s="2"/>
      <c r="E2602" s="7"/>
      <c r="F2602" s="7"/>
      <c r="G2602" s="9" t="s">
        <v>2322</v>
      </c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</row>
    <row r="2603" spans="1:18" ht="12.75" customHeight="1" x14ac:dyDescent="0.2">
      <c r="A2603" s="7"/>
      <c r="B2603" s="2"/>
      <c r="C2603" s="2"/>
      <c r="D2603" s="2"/>
      <c r="E2603" s="7"/>
      <c r="F2603" s="7"/>
      <c r="G2603" s="9" t="s">
        <v>2322</v>
      </c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</row>
    <row r="2604" spans="1:18" ht="12.75" customHeight="1" x14ac:dyDescent="0.2">
      <c r="A2604" s="7"/>
      <c r="B2604" s="2"/>
      <c r="C2604" s="2"/>
      <c r="D2604" s="2"/>
      <c r="E2604" s="7"/>
      <c r="F2604" s="7"/>
      <c r="G2604" s="9" t="s">
        <v>2322</v>
      </c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</row>
    <row r="2605" spans="1:18" ht="12.75" customHeight="1" x14ac:dyDescent="0.2">
      <c r="A2605" s="7" t="str">
        <f>HYPERLINK("javascript:void(0)","jelmellény")</f>
        <v>jelmellény</v>
      </c>
      <c r="B2605" s="7"/>
      <c r="C2605" s="7"/>
      <c r="D2605" s="7"/>
      <c r="E2605" s="7"/>
      <c r="F2605" s="7"/>
      <c r="G2605" s="9" t="s">
        <v>2322</v>
      </c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</row>
    <row r="2606" spans="1:18" ht="12.75" customHeight="1" x14ac:dyDescent="0.2">
      <c r="A2606" s="7"/>
      <c r="B2606" s="2"/>
      <c r="C2606" s="2"/>
      <c r="D2606" s="2"/>
      <c r="E2606" s="7"/>
      <c r="F2606" s="7"/>
      <c r="G2606" s="9" t="s">
        <v>2322</v>
      </c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</row>
    <row r="2607" spans="1:18" ht="12.75" customHeight="1" x14ac:dyDescent="0.2">
      <c r="A2607" s="7"/>
      <c r="B2607" s="2" t="s">
        <v>0</v>
      </c>
      <c r="C2607" s="2" t="s">
        <v>1032</v>
      </c>
      <c r="D2607" s="2"/>
      <c r="E2607" s="7"/>
      <c r="F2607" s="7"/>
      <c r="G2607" s="9" t="s">
        <v>2322</v>
      </c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</row>
    <row r="2608" spans="1:18" ht="12.75" customHeight="1" x14ac:dyDescent="0.2">
      <c r="A2608" s="7"/>
      <c r="B2608" s="2" t="s">
        <v>2</v>
      </c>
      <c r="C2608" s="2" t="s">
        <v>2322</v>
      </c>
      <c r="D2608" s="2"/>
      <c r="E2608" s="7"/>
      <c r="F2608" s="7"/>
      <c r="G2608" s="9" t="s">
        <v>2322</v>
      </c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</row>
    <row r="2609" spans="1:18" ht="12.75" customHeight="1" x14ac:dyDescent="0.2">
      <c r="A2609" s="7"/>
      <c r="B2609" s="2" t="s">
        <v>1840</v>
      </c>
      <c r="C2609" s="2" t="s">
        <v>213</v>
      </c>
      <c r="D2609" s="2"/>
      <c r="E2609" s="7"/>
      <c r="F2609" s="7"/>
      <c r="G2609" s="9" t="s">
        <v>2322</v>
      </c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</row>
    <row r="2610" spans="1:18" ht="12.75" customHeight="1" x14ac:dyDescent="0.2">
      <c r="A2610" s="7"/>
      <c r="B2610" s="2" t="s">
        <v>9</v>
      </c>
      <c r="C2610" s="2" t="s">
        <v>172</v>
      </c>
      <c r="D2610" s="2"/>
      <c r="E2610" s="7"/>
      <c r="F2610" s="7"/>
      <c r="G2610" s="9" t="s">
        <v>2322</v>
      </c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</row>
    <row r="2611" spans="1:18" ht="12.75" customHeight="1" x14ac:dyDescent="0.2">
      <c r="A2611" s="7"/>
      <c r="B2611" s="2" t="s">
        <v>11</v>
      </c>
      <c r="C2611" s="2" t="s">
        <v>2506</v>
      </c>
      <c r="D2611" s="2"/>
      <c r="E2611" s="7"/>
      <c r="F2611" s="7"/>
      <c r="G2611" s="9" t="s">
        <v>2322</v>
      </c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</row>
    <row r="2612" spans="1:18" ht="12.75" customHeight="1" x14ac:dyDescent="0.2">
      <c r="A2612" s="7"/>
      <c r="B2612" s="2" t="s">
        <v>16</v>
      </c>
      <c r="C2612" s="2"/>
      <c r="D2612" s="2"/>
      <c r="E2612" s="7"/>
      <c r="F2612" s="7"/>
      <c r="G2612" s="9" t="s">
        <v>2322</v>
      </c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</row>
    <row r="2613" spans="1:18" ht="12.75" customHeight="1" x14ac:dyDescent="0.2">
      <c r="A2613" s="7"/>
      <c r="B2613" s="2" t="s">
        <v>17</v>
      </c>
      <c r="C2613" s="2" t="s">
        <v>19</v>
      </c>
      <c r="D2613" s="2"/>
      <c r="E2613" s="7"/>
      <c r="F2613" s="7"/>
      <c r="G2613" s="9" t="s">
        <v>2322</v>
      </c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</row>
    <row r="2614" spans="1:18" ht="12.75" customHeight="1" x14ac:dyDescent="0.2">
      <c r="A2614" s="7"/>
      <c r="B2614" s="2" t="s">
        <v>18</v>
      </c>
      <c r="C2614" s="2" t="s">
        <v>331</v>
      </c>
      <c r="D2614" s="2" t="str">
        <f>HYPERLINK("javascript:void(0)","békítő")</f>
        <v>békítő</v>
      </c>
      <c r="E2614" s="7"/>
      <c r="F2614" s="7"/>
      <c r="G2614" s="9" t="s">
        <v>2322</v>
      </c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</row>
    <row r="2615" spans="1:18" ht="12.75" customHeight="1" x14ac:dyDescent="0.2">
      <c r="A2615" s="7"/>
      <c r="B2615" s="2"/>
      <c r="C2615" s="2" t="s">
        <v>403</v>
      </c>
      <c r="D2615" s="2" t="str">
        <f>HYPERLINK("javascript:void(0)","pálha")</f>
        <v>pálha</v>
      </c>
      <c r="E2615" s="7"/>
      <c r="F2615" s="7"/>
      <c r="G2615" s="9" t="s">
        <v>2322</v>
      </c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</row>
    <row r="2616" spans="1:18" ht="12.75" customHeight="1" x14ac:dyDescent="0.2">
      <c r="A2616" s="7"/>
      <c r="B2616" s="2"/>
      <c r="C2616" s="2" t="s">
        <v>244</v>
      </c>
      <c r="D2616" s="2" t="str">
        <f>HYPERLINK("javascript:void(0)","orrkarika")</f>
        <v>orrkarika</v>
      </c>
      <c r="E2616" s="7"/>
      <c r="F2616" s="7"/>
      <c r="G2616" s="9" t="s">
        <v>2322</v>
      </c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</row>
    <row r="2617" spans="1:18" ht="12.75" customHeight="1" x14ac:dyDescent="0.2">
      <c r="A2617" s="7"/>
      <c r="B2617" s="2"/>
      <c r="C2617" s="2"/>
      <c r="D2617" s="2"/>
      <c r="E2617" s="7"/>
      <c r="F2617" s="7"/>
      <c r="G2617" s="9" t="s">
        <v>2322</v>
      </c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</row>
    <row r="2618" spans="1:18" ht="12.75" customHeight="1" x14ac:dyDescent="0.2">
      <c r="A2618" s="7"/>
      <c r="B2618" s="2"/>
      <c r="C2618" s="2"/>
      <c r="D2618" s="2"/>
      <c r="E2618" s="7"/>
      <c r="F2618" s="7"/>
      <c r="G2618" s="9" t="s">
        <v>2322</v>
      </c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</row>
    <row r="2619" spans="1:18" ht="12.75" customHeight="1" x14ac:dyDescent="0.2">
      <c r="A2619" s="7"/>
      <c r="B2619" s="2"/>
      <c r="C2619" s="2"/>
      <c r="D2619" s="2"/>
      <c r="E2619" s="7"/>
      <c r="F2619" s="7"/>
      <c r="G2619" s="9" t="s">
        <v>2322</v>
      </c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</row>
    <row r="2620" spans="1:18" ht="12.75" customHeight="1" x14ac:dyDescent="0.2">
      <c r="A2620" s="7"/>
      <c r="B2620" s="2"/>
      <c r="C2620" s="2"/>
      <c r="D2620" s="2"/>
      <c r="E2620" s="7"/>
      <c r="F2620" s="7"/>
      <c r="G2620" s="9" t="s">
        <v>2322</v>
      </c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</row>
    <row r="2621" spans="1:18" ht="12.75" customHeight="1" x14ac:dyDescent="0.2">
      <c r="A2621" s="7"/>
      <c r="B2621" s="2"/>
      <c r="C2621" s="2"/>
      <c r="D2621" s="2"/>
      <c r="E2621" s="7"/>
      <c r="F2621" s="7"/>
      <c r="G2621" s="9" t="s">
        <v>2322</v>
      </c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</row>
    <row r="2622" spans="1:18" ht="12.75" customHeight="1" x14ac:dyDescent="0.2">
      <c r="A2622" s="7" t="str">
        <f>HYPERLINK("javascript:void(0)","dobpáncél")</f>
        <v>dobpáncél</v>
      </c>
      <c r="B2622" s="7"/>
      <c r="C2622" s="7"/>
      <c r="D2622" s="7"/>
      <c r="E2622" s="7"/>
      <c r="F2622" s="7"/>
      <c r="G2622" s="9" t="s">
        <v>2322</v>
      </c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</row>
    <row r="2623" spans="1:18" ht="12.75" customHeight="1" x14ac:dyDescent="0.2">
      <c r="A2623" s="7"/>
      <c r="B2623" s="2"/>
      <c r="C2623" s="2"/>
      <c r="D2623" s="2"/>
      <c r="E2623" s="7"/>
      <c r="F2623" s="7"/>
      <c r="G2623" s="9" t="s">
        <v>2322</v>
      </c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</row>
    <row r="2624" spans="1:18" ht="12.75" customHeight="1" x14ac:dyDescent="0.2">
      <c r="A2624" s="7"/>
      <c r="B2624" s="2" t="s">
        <v>0</v>
      </c>
      <c r="C2624" s="2" t="s">
        <v>99</v>
      </c>
      <c r="D2624" s="2"/>
      <c r="E2624" s="7"/>
      <c r="F2624" s="7"/>
      <c r="G2624" s="9" t="s">
        <v>2322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</row>
    <row r="2625" spans="1:18" ht="12.75" customHeight="1" x14ac:dyDescent="0.2">
      <c r="A2625" s="7"/>
      <c r="B2625" s="2" t="s">
        <v>2</v>
      </c>
      <c r="C2625" s="2" t="s">
        <v>2322</v>
      </c>
      <c r="D2625" s="2"/>
      <c r="E2625" s="7"/>
      <c r="F2625" s="7"/>
      <c r="G2625" s="9" t="s">
        <v>2322</v>
      </c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</row>
    <row r="2626" spans="1:18" ht="12.75" customHeight="1" x14ac:dyDescent="0.2">
      <c r="A2626" s="7"/>
      <c r="B2626" s="2" t="s">
        <v>1840</v>
      </c>
      <c r="C2626" s="2" t="s">
        <v>2514</v>
      </c>
      <c r="D2626" s="2"/>
      <c r="E2626" s="7"/>
      <c r="F2626" s="7"/>
      <c r="G2626" s="9" t="s">
        <v>2322</v>
      </c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</row>
    <row r="2627" spans="1:18" ht="12.75" customHeight="1" x14ac:dyDescent="0.2">
      <c r="A2627" s="7"/>
      <c r="B2627" s="2" t="s">
        <v>9</v>
      </c>
      <c r="C2627" s="2" t="s">
        <v>113</v>
      </c>
      <c r="D2627" s="2"/>
      <c r="E2627" s="7"/>
      <c r="F2627" s="7"/>
      <c r="G2627" s="9" t="s">
        <v>2322</v>
      </c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</row>
    <row r="2628" spans="1:18" ht="12.75" customHeight="1" x14ac:dyDescent="0.2">
      <c r="A2628" s="7"/>
      <c r="B2628" s="2" t="s">
        <v>11</v>
      </c>
      <c r="C2628" s="2" t="s">
        <v>2160</v>
      </c>
      <c r="D2628" s="2"/>
      <c r="E2628" s="7"/>
      <c r="F2628" s="7"/>
      <c r="G2628" s="9" t="s">
        <v>2322</v>
      </c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</row>
    <row r="2629" spans="1:18" ht="12.75" customHeight="1" x14ac:dyDescent="0.2">
      <c r="A2629" s="7"/>
      <c r="B2629" s="2" t="s">
        <v>16</v>
      </c>
      <c r="C2629" s="2"/>
      <c r="D2629" s="2"/>
      <c r="E2629" s="7"/>
      <c r="F2629" s="7"/>
      <c r="G2629" s="9" t="s">
        <v>2322</v>
      </c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</row>
    <row r="2630" spans="1:18" ht="12.75" customHeight="1" x14ac:dyDescent="0.2">
      <c r="A2630" s="7"/>
      <c r="B2630" s="2" t="s">
        <v>17</v>
      </c>
      <c r="C2630" s="2" t="s">
        <v>19</v>
      </c>
      <c r="D2630" s="2"/>
      <c r="E2630" s="7"/>
      <c r="F2630" s="7"/>
      <c r="G2630" s="9" t="s">
        <v>2322</v>
      </c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</row>
    <row r="2631" spans="1:18" ht="12.75" customHeight="1" x14ac:dyDescent="0.2">
      <c r="A2631" s="7"/>
      <c r="B2631" s="2" t="s">
        <v>18</v>
      </c>
      <c r="C2631" s="2" t="s">
        <v>44</v>
      </c>
      <c r="D2631" s="2" t="str">
        <f>HYPERLINK("javascript:void(0)","teljes gólemvért")</f>
        <v>teljes gólemvért</v>
      </c>
      <c r="E2631" s="7"/>
      <c r="F2631" s="7"/>
      <c r="G2631" s="9" t="s">
        <v>2322</v>
      </c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</row>
    <row r="2632" spans="1:18" ht="12.75" customHeight="1" x14ac:dyDescent="0.2">
      <c r="A2632" s="7"/>
      <c r="B2632" s="2"/>
      <c r="C2632" s="2" t="s">
        <v>98</v>
      </c>
      <c r="D2632" s="2" t="str">
        <f>HYPERLINK("javascript:void(0)","kártyalap")</f>
        <v>kártyalap</v>
      </c>
      <c r="E2632" s="7"/>
      <c r="F2632" s="7"/>
      <c r="G2632" s="9" t="s">
        <v>2322</v>
      </c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</row>
    <row r="2633" spans="1:18" ht="12.75" customHeight="1" x14ac:dyDescent="0.2">
      <c r="A2633" s="7"/>
      <c r="B2633" s="2"/>
      <c r="C2633" s="2" t="s">
        <v>265</v>
      </c>
      <c r="D2633" s="2" t="str">
        <f>HYPERLINK("javascript:void(0)","dobverő")</f>
        <v>dobverő</v>
      </c>
      <c r="E2633" s="7"/>
      <c r="F2633" s="7"/>
      <c r="G2633" s="9" t="s">
        <v>2322</v>
      </c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</row>
    <row r="2634" spans="1:18" ht="12.75" customHeight="1" x14ac:dyDescent="0.2">
      <c r="A2634" s="7"/>
      <c r="B2634" s="2"/>
      <c r="C2634" s="2"/>
      <c r="D2634" s="2"/>
      <c r="E2634" s="7"/>
      <c r="F2634" s="7"/>
      <c r="G2634" s="9" t="s">
        <v>2322</v>
      </c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</row>
    <row r="2635" spans="1:18" ht="12.75" customHeight="1" x14ac:dyDescent="0.2">
      <c r="A2635" s="7"/>
      <c r="B2635" s="2"/>
      <c r="C2635" s="2"/>
      <c r="D2635" s="2"/>
      <c r="E2635" s="7"/>
      <c r="F2635" s="7"/>
      <c r="G2635" s="9" t="s">
        <v>2322</v>
      </c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</row>
    <row r="2636" spans="1:18" ht="12.75" customHeight="1" x14ac:dyDescent="0.2">
      <c r="A2636" s="7"/>
      <c r="B2636" s="2"/>
      <c r="C2636" s="2"/>
      <c r="D2636" s="2"/>
      <c r="E2636" s="7"/>
      <c r="F2636" s="7"/>
      <c r="G2636" s="9" t="s">
        <v>2322</v>
      </c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</row>
    <row r="2637" spans="1:18" ht="12.75" customHeight="1" x14ac:dyDescent="0.2">
      <c r="A2637" s="7"/>
      <c r="B2637" s="2"/>
      <c r="C2637" s="2"/>
      <c r="D2637" s="2"/>
      <c r="E2637" s="7"/>
      <c r="F2637" s="7"/>
      <c r="G2637" s="9" t="s">
        <v>2322</v>
      </c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</row>
    <row r="2638" spans="1:18" ht="12.75" customHeight="1" x14ac:dyDescent="0.2">
      <c r="A2638" s="7"/>
      <c r="B2638" s="2"/>
      <c r="C2638" s="2"/>
      <c r="D2638" s="2"/>
      <c r="E2638" s="7"/>
      <c r="F2638" s="7"/>
      <c r="G2638" s="9" t="s">
        <v>2322</v>
      </c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</row>
    <row r="2639" spans="1:18" ht="12.75" customHeight="1" x14ac:dyDescent="0.2">
      <c r="A2639" s="7" t="str">
        <f>HYPERLINK("javascript:void(0)","csillámló kompozitpáncél")</f>
        <v>csillámló kompozitpáncél</v>
      </c>
      <c r="B2639" s="7"/>
      <c r="C2639" s="7"/>
      <c r="D2639" s="7"/>
      <c r="E2639" s="7"/>
      <c r="F2639" s="7"/>
      <c r="G2639" s="9" t="s">
        <v>2322</v>
      </c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</row>
    <row r="2640" spans="1:18" ht="12.75" customHeight="1" x14ac:dyDescent="0.2">
      <c r="A2640" s="7"/>
      <c r="B2640" s="2"/>
      <c r="C2640" s="2"/>
      <c r="D2640" s="2"/>
      <c r="E2640" s="7"/>
      <c r="F2640" s="7"/>
      <c r="G2640" s="9" t="s">
        <v>2322</v>
      </c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</row>
    <row r="2641" spans="1:18" ht="12.75" customHeight="1" x14ac:dyDescent="0.2">
      <c r="A2641" s="7"/>
      <c r="B2641" s="2" t="s">
        <v>0</v>
      </c>
      <c r="C2641" s="2" t="s">
        <v>99</v>
      </c>
      <c r="D2641" s="2"/>
      <c r="E2641" s="7"/>
      <c r="F2641" s="7"/>
      <c r="G2641" s="9" t="s">
        <v>2322</v>
      </c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</row>
    <row r="2642" spans="1:18" ht="12.75" customHeight="1" x14ac:dyDescent="0.2">
      <c r="A2642" s="7"/>
      <c r="B2642" s="2" t="s">
        <v>2</v>
      </c>
      <c r="C2642" s="2" t="s">
        <v>2322</v>
      </c>
      <c r="D2642" s="2"/>
      <c r="E2642" s="7"/>
      <c r="F2642" s="7"/>
      <c r="G2642" s="9" t="s">
        <v>2322</v>
      </c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</row>
    <row r="2643" spans="1:18" ht="12.75" customHeight="1" x14ac:dyDescent="0.2">
      <c r="A2643" s="7"/>
      <c r="B2643" s="2" t="s">
        <v>1840</v>
      </c>
      <c r="C2643" s="2" t="s">
        <v>1857</v>
      </c>
      <c r="D2643" s="2"/>
      <c r="E2643" s="7"/>
      <c r="F2643" s="7"/>
      <c r="G2643" s="9" t="s">
        <v>2322</v>
      </c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</row>
    <row r="2644" spans="1:18" ht="12.75" customHeight="1" x14ac:dyDescent="0.2">
      <c r="A2644" s="7"/>
      <c r="B2644" s="2" t="s">
        <v>9</v>
      </c>
      <c r="C2644" s="2" t="s">
        <v>1286</v>
      </c>
      <c r="D2644" s="2"/>
      <c r="E2644" s="7"/>
      <c r="F2644" s="7"/>
      <c r="G2644" s="9" t="s">
        <v>2322</v>
      </c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</row>
    <row r="2645" spans="1:18" ht="12.75" customHeight="1" x14ac:dyDescent="0.2">
      <c r="A2645" s="7"/>
      <c r="B2645" s="2" t="s">
        <v>11</v>
      </c>
      <c r="C2645" s="2" t="s">
        <v>2160</v>
      </c>
      <c r="D2645" s="2"/>
      <c r="E2645" s="7"/>
      <c r="F2645" s="7"/>
      <c r="G2645" s="9" t="s">
        <v>2322</v>
      </c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</row>
    <row r="2646" spans="1:18" ht="12.75" customHeight="1" x14ac:dyDescent="0.2">
      <c r="A2646" s="7"/>
      <c r="B2646" s="2" t="s">
        <v>16</v>
      </c>
      <c r="C2646" s="2"/>
      <c r="D2646" s="2"/>
      <c r="E2646" s="7"/>
      <c r="F2646" s="7"/>
      <c r="G2646" s="9" t="s">
        <v>2322</v>
      </c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</row>
    <row r="2647" spans="1:18" ht="12.75" customHeight="1" x14ac:dyDescent="0.2">
      <c r="A2647" s="7"/>
      <c r="B2647" s="2" t="s">
        <v>17</v>
      </c>
      <c r="C2647" s="2" t="s">
        <v>19</v>
      </c>
      <c r="D2647" s="2"/>
      <c r="E2647" s="7"/>
      <c r="F2647" s="7"/>
      <c r="G2647" s="9" t="s">
        <v>2322</v>
      </c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</row>
    <row r="2648" spans="1:18" ht="12.75" customHeight="1" x14ac:dyDescent="0.2">
      <c r="A2648" s="7"/>
      <c r="B2648" s="2" t="s">
        <v>18</v>
      </c>
      <c r="C2648" s="2" t="s">
        <v>57</v>
      </c>
      <c r="D2648" s="2" t="str">
        <f>HYPERLINK("javascript:void(0)","csillámgöb")</f>
        <v>csillámgöb</v>
      </c>
      <c r="E2648" s="7"/>
      <c r="F2648" s="7"/>
      <c r="G2648" s="9" t="s">
        <v>2322</v>
      </c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</row>
    <row r="2649" spans="1:18" ht="12.75" customHeight="1" x14ac:dyDescent="0.2">
      <c r="A2649" s="7"/>
      <c r="B2649" s="2"/>
      <c r="C2649" s="2" t="s">
        <v>44</v>
      </c>
      <c r="D2649" s="2" t="str">
        <f>HYPERLINK("javascript:void(0)","csillámló yetipáncél")</f>
        <v>csillámló yetipáncél</v>
      </c>
      <c r="E2649" s="7"/>
      <c r="F2649" s="7"/>
      <c r="G2649" s="9" t="s">
        <v>2322</v>
      </c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</row>
    <row r="2650" spans="1:18" ht="12.75" customHeight="1" x14ac:dyDescent="0.2">
      <c r="A2650" s="7"/>
      <c r="B2650" s="2"/>
      <c r="C2650" s="2" t="s">
        <v>193</v>
      </c>
      <c r="D2650" s="2" t="str">
        <f>HYPERLINK("javascript:void(0)","vérrög")</f>
        <v>vérrög</v>
      </c>
      <c r="E2650" s="7"/>
      <c r="F2650" s="7"/>
      <c r="G2650" s="9" t="s">
        <v>2322</v>
      </c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</row>
    <row r="2651" spans="1:18" ht="12.75" customHeight="1" x14ac:dyDescent="0.2">
      <c r="A2651" s="7"/>
      <c r="B2651" s="2"/>
      <c r="C2651" s="2"/>
      <c r="D2651" s="2"/>
      <c r="E2651" s="7"/>
      <c r="F2651" s="7"/>
      <c r="G2651" s="9" t="s">
        <v>2322</v>
      </c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</row>
    <row r="2652" spans="1:18" ht="12.75" customHeight="1" x14ac:dyDescent="0.2">
      <c r="A2652" s="7"/>
      <c r="B2652" s="2"/>
      <c r="C2652" s="2"/>
      <c r="D2652" s="2"/>
      <c r="E2652" s="7"/>
      <c r="F2652" s="7"/>
      <c r="G2652" s="9" t="s">
        <v>2322</v>
      </c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</row>
    <row r="2653" spans="1:18" ht="12.75" customHeight="1" x14ac:dyDescent="0.2">
      <c r="A2653" s="7"/>
      <c r="B2653" s="2"/>
      <c r="C2653" s="2"/>
      <c r="D2653" s="2"/>
      <c r="E2653" s="7"/>
      <c r="F2653" s="7"/>
      <c r="G2653" s="9" t="s">
        <v>2322</v>
      </c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</row>
    <row r="2654" spans="1:18" ht="12.75" customHeight="1" x14ac:dyDescent="0.2">
      <c r="A2654" s="7"/>
      <c r="B2654" s="2"/>
      <c r="C2654" s="2"/>
      <c r="D2654" s="2"/>
      <c r="E2654" s="7"/>
      <c r="F2654" s="7"/>
      <c r="G2654" s="9" t="s">
        <v>2322</v>
      </c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</row>
    <row r="2655" spans="1:18" ht="12.75" customHeight="1" x14ac:dyDescent="0.2">
      <c r="A2655" s="7"/>
      <c r="B2655" s="2"/>
      <c r="C2655" s="2"/>
      <c r="D2655" s="2"/>
      <c r="E2655" s="7"/>
      <c r="F2655" s="7"/>
      <c r="G2655" s="9" t="s">
        <v>2322</v>
      </c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</row>
    <row r="2656" spans="1:18" ht="12.75" customHeight="1" x14ac:dyDescent="0.2">
      <c r="A2656" s="7" t="str">
        <f>HYPERLINK("javascript:void(0)","pántpáncél")</f>
        <v>pántpáncél</v>
      </c>
      <c r="B2656" s="7"/>
      <c r="C2656" s="7"/>
      <c r="D2656" s="7"/>
      <c r="E2656" s="7"/>
      <c r="F2656" s="7"/>
      <c r="G2656" s="9" t="s">
        <v>2322</v>
      </c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</row>
    <row r="2657" spans="1:18" ht="12.75" customHeight="1" x14ac:dyDescent="0.2">
      <c r="A2657" s="7"/>
      <c r="B2657" s="2"/>
      <c r="C2657" s="2"/>
      <c r="D2657" s="2"/>
      <c r="E2657" s="7"/>
      <c r="F2657" s="7"/>
      <c r="G2657" s="9" t="s">
        <v>2322</v>
      </c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</row>
    <row r="2658" spans="1:18" ht="12.75" customHeight="1" x14ac:dyDescent="0.2">
      <c r="A2658" s="7"/>
      <c r="B2658" s="2" t="s">
        <v>0</v>
      </c>
      <c r="C2658" s="2" t="s">
        <v>341</v>
      </c>
      <c r="D2658" s="2"/>
      <c r="E2658" s="7"/>
      <c r="F2658" s="7"/>
      <c r="G2658" s="9" t="s">
        <v>2322</v>
      </c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</row>
    <row r="2659" spans="1:18" ht="12.75" customHeight="1" x14ac:dyDescent="0.2">
      <c r="A2659" s="7"/>
      <c r="B2659" s="2" t="s">
        <v>2</v>
      </c>
      <c r="C2659" s="2" t="s">
        <v>2322</v>
      </c>
      <c r="D2659" s="2"/>
      <c r="E2659" s="7"/>
      <c r="F2659" s="7"/>
      <c r="G2659" s="9" t="s">
        <v>2322</v>
      </c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</row>
    <row r="2660" spans="1:18" ht="12.75" customHeight="1" x14ac:dyDescent="0.2">
      <c r="A2660" s="7"/>
      <c r="B2660" s="2" t="s">
        <v>1840</v>
      </c>
      <c r="C2660" s="2" t="s">
        <v>2515</v>
      </c>
      <c r="D2660" s="2"/>
      <c r="E2660" s="7"/>
      <c r="F2660" s="7"/>
      <c r="G2660" s="9" t="s">
        <v>2322</v>
      </c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</row>
    <row r="2661" spans="1:18" ht="12.75" customHeight="1" x14ac:dyDescent="0.2">
      <c r="A2661" s="7"/>
      <c r="B2661" s="2" t="s">
        <v>9</v>
      </c>
      <c r="C2661" s="2" t="s">
        <v>2049</v>
      </c>
      <c r="D2661" s="2"/>
      <c r="E2661" s="7"/>
      <c r="F2661" s="7"/>
      <c r="G2661" s="9" t="s">
        <v>2322</v>
      </c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</row>
    <row r="2662" spans="1:18" ht="12.75" customHeight="1" x14ac:dyDescent="0.2">
      <c r="A2662" s="7"/>
      <c r="B2662" s="2" t="s">
        <v>11</v>
      </c>
      <c r="C2662" s="2" t="s">
        <v>1029</v>
      </c>
      <c r="D2662" s="2"/>
      <c r="E2662" s="7"/>
      <c r="F2662" s="7"/>
      <c r="G2662" s="9" t="s">
        <v>2322</v>
      </c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</row>
    <row r="2663" spans="1:18" ht="12.75" customHeight="1" x14ac:dyDescent="0.2">
      <c r="A2663" s="7"/>
      <c r="B2663" s="2" t="s">
        <v>16</v>
      </c>
      <c r="C2663" s="2"/>
      <c r="D2663" s="2"/>
      <c r="E2663" s="7"/>
      <c r="F2663" s="7"/>
      <c r="G2663" s="9" t="s">
        <v>2322</v>
      </c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</row>
    <row r="2664" spans="1:18" ht="12.75" customHeight="1" x14ac:dyDescent="0.2">
      <c r="A2664" s="7"/>
      <c r="B2664" s="2" t="s">
        <v>17</v>
      </c>
      <c r="C2664" s="2" t="s">
        <v>19</v>
      </c>
      <c r="D2664" s="2"/>
      <c r="E2664" s="7"/>
      <c r="F2664" s="7"/>
      <c r="G2664" s="9" t="s">
        <v>2322</v>
      </c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</row>
    <row r="2665" spans="1:18" ht="12.75" customHeight="1" x14ac:dyDescent="0.2">
      <c r="A2665" s="7"/>
      <c r="B2665" s="2" t="s">
        <v>18</v>
      </c>
      <c r="C2665" s="2" t="s">
        <v>244</v>
      </c>
      <c r="D2665" s="2" t="str">
        <f>HYPERLINK("javascript:void(0)","cingulum")</f>
        <v>cingulum</v>
      </c>
      <c r="E2665" s="7"/>
      <c r="F2665" s="7"/>
      <c r="G2665" s="9" t="s">
        <v>2322</v>
      </c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</row>
    <row r="2666" spans="1:18" ht="12.75" customHeight="1" x14ac:dyDescent="0.2">
      <c r="A2666" s="7"/>
      <c r="B2666" s="2"/>
      <c r="C2666" s="2" t="s">
        <v>290</v>
      </c>
      <c r="D2666" s="2" t="str">
        <f>HYPERLINK("javascript:void(0)","fülcsáp")</f>
        <v>fülcsáp</v>
      </c>
      <c r="E2666" s="7"/>
      <c r="F2666" s="7"/>
      <c r="G2666" s="9" t="s">
        <v>2322</v>
      </c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</row>
    <row r="2667" spans="1:18" ht="12.75" customHeight="1" x14ac:dyDescent="0.2">
      <c r="A2667" s="7"/>
      <c r="B2667" s="2"/>
      <c r="C2667" s="2" t="s">
        <v>786</v>
      </c>
      <c r="D2667" s="2" t="str">
        <f>HYPERLINK("javascript:void(0)","ködpikkely")</f>
        <v>ködpikkely</v>
      </c>
      <c r="E2667" s="7"/>
      <c r="F2667" s="7"/>
      <c r="G2667" s="9" t="s">
        <v>2322</v>
      </c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</row>
    <row r="2668" spans="1:18" ht="12.75" customHeight="1" x14ac:dyDescent="0.2">
      <c r="A2668" s="7"/>
      <c r="B2668" s="2"/>
      <c r="C2668" s="2"/>
      <c r="D2668" s="2"/>
      <c r="E2668" s="7"/>
      <c r="F2668" s="7"/>
      <c r="G2668" s="9" t="s">
        <v>2322</v>
      </c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</row>
    <row r="2669" spans="1:18" ht="12.75" customHeight="1" x14ac:dyDescent="0.2">
      <c r="A2669" s="7"/>
      <c r="B2669" s="2"/>
      <c r="C2669" s="2"/>
      <c r="D2669" s="2"/>
      <c r="E2669" s="7"/>
      <c r="F2669" s="7"/>
      <c r="G2669" s="9" t="s">
        <v>2322</v>
      </c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</row>
    <row r="2670" spans="1:18" ht="12.75" customHeight="1" x14ac:dyDescent="0.2">
      <c r="A2670" s="7"/>
      <c r="B2670" s="2"/>
      <c r="C2670" s="2"/>
      <c r="D2670" s="2"/>
      <c r="E2670" s="7"/>
      <c r="F2670" s="7"/>
      <c r="G2670" s="9" t="s">
        <v>2322</v>
      </c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</row>
    <row r="2671" spans="1:18" ht="12.75" customHeight="1" x14ac:dyDescent="0.2">
      <c r="A2671" s="7"/>
      <c r="B2671" s="2"/>
      <c r="C2671" s="2"/>
      <c r="D2671" s="2"/>
      <c r="E2671" s="7"/>
      <c r="F2671" s="7"/>
      <c r="G2671" s="9" t="s">
        <v>2322</v>
      </c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</row>
    <row r="2672" spans="1:18" ht="12.75" customHeight="1" x14ac:dyDescent="0.2">
      <c r="A2672" s="7"/>
      <c r="B2672" s="2"/>
      <c r="C2672" s="2"/>
      <c r="D2672" s="2"/>
      <c r="E2672" s="7"/>
      <c r="F2672" s="7"/>
      <c r="G2672" s="9" t="s">
        <v>2322</v>
      </c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</row>
    <row r="2673" spans="1:18" ht="12.75" customHeight="1" x14ac:dyDescent="0.2">
      <c r="A2673" s="7" t="str">
        <f>HYPERLINK("javascript:void(0)","lélekpáncél")</f>
        <v>lélekpáncél</v>
      </c>
      <c r="B2673" s="7"/>
      <c r="C2673" s="7"/>
      <c r="D2673" s="7"/>
      <c r="E2673" s="7"/>
      <c r="F2673" s="7"/>
      <c r="G2673" s="9" t="s">
        <v>2322</v>
      </c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</row>
    <row r="2674" spans="1:18" ht="12.75" customHeight="1" x14ac:dyDescent="0.2">
      <c r="A2674" s="7"/>
      <c r="B2674" s="2"/>
      <c r="C2674" s="2"/>
      <c r="D2674" s="2"/>
      <c r="E2674" s="7"/>
      <c r="F2674" s="7"/>
      <c r="G2674" s="9" t="s">
        <v>2322</v>
      </c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</row>
    <row r="2675" spans="1:18" ht="12.75" customHeight="1" x14ac:dyDescent="0.2">
      <c r="A2675" s="7"/>
      <c r="B2675" s="2" t="s">
        <v>0</v>
      </c>
      <c r="C2675" s="2" t="s">
        <v>1060</v>
      </c>
      <c r="D2675" s="2"/>
      <c r="E2675" s="7"/>
      <c r="F2675" s="7"/>
      <c r="G2675" s="9" t="s">
        <v>2322</v>
      </c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</row>
    <row r="2676" spans="1:18" ht="12.75" customHeight="1" x14ac:dyDescent="0.2">
      <c r="A2676" s="7"/>
      <c r="B2676" s="2" t="s">
        <v>2</v>
      </c>
      <c r="C2676" s="2" t="s">
        <v>2322</v>
      </c>
      <c r="D2676" s="2"/>
      <c r="E2676" s="7"/>
      <c r="F2676" s="7"/>
      <c r="G2676" s="9" t="s">
        <v>2322</v>
      </c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</row>
    <row r="2677" spans="1:18" ht="12.75" customHeight="1" x14ac:dyDescent="0.2">
      <c r="A2677" s="7"/>
      <c r="B2677" s="2" t="s">
        <v>1840</v>
      </c>
      <c r="C2677" s="2" t="s">
        <v>359</v>
      </c>
      <c r="D2677" s="2"/>
      <c r="E2677" s="7"/>
      <c r="F2677" s="7"/>
      <c r="G2677" s="9" t="s">
        <v>2322</v>
      </c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</row>
    <row r="2678" spans="1:18" ht="12.75" customHeight="1" x14ac:dyDescent="0.2">
      <c r="A2678" s="7"/>
      <c r="B2678" s="2" t="s">
        <v>9</v>
      </c>
      <c r="C2678" s="2" t="s">
        <v>210</v>
      </c>
      <c r="D2678" s="2"/>
      <c r="E2678" s="7"/>
      <c r="F2678" s="7"/>
      <c r="G2678" s="9" t="s">
        <v>2322</v>
      </c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</row>
    <row r="2679" spans="1:18" ht="12.75" customHeight="1" x14ac:dyDescent="0.2">
      <c r="A2679" s="7"/>
      <c r="B2679" s="2" t="s">
        <v>11</v>
      </c>
      <c r="C2679" s="2" t="s">
        <v>2164</v>
      </c>
      <c r="D2679" s="2"/>
      <c r="E2679" s="7"/>
      <c r="F2679" s="7"/>
      <c r="G2679" s="9" t="s">
        <v>2322</v>
      </c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</row>
    <row r="2680" spans="1:18" ht="12.75" customHeight="1" x14ac:dyDescent="0.2">
      <c r="A2680" s="7"/>
      <c r="B2680" s="2" t="s">
        <v>16</v>
      </c>
      <c r="C2680" s="2"/>
      <c r="D2680" s="2"/>
      <c r="E2680" s="7"/>
      <c r="F2680" s="7"/>
      <c r="G2680" s="9" t="s">
        <v>2322</v>
      </c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</row>
    <row r="2681" spans="1:18" ht="12.75" customHeight="1" x14ac:dyDescent="0.2">
      <c r="A2681" s="7"/>
      <c r="B2681" s="2" t="s">
        <v>17</v>
      </c>
      <c r="C2681" s="2" t="s">
        <v>19</v>
      </c>
      <c r="D2681" s="2"/>
      <c r="E2681" s="7"/>
      <c r="F2681" s="7"/>
      <c r="G2681" s="9" t="s">
        <v>2322</v>
      </c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</row>
    <row r="2682" spans="1:18" ht="12.75" customHeight="1" x14ac:dyDescent="0.2">
      <c r="A2682" s="7"/>
      <c r="B2682" s="2" t="s">
        <v>18</v>
      </c>
      <c r="C2682" s="2" t="s">
        <v>44</v>
      </c>
      <c r="D2682" s="2" t="str">
        <f>HYPERLINK("javascript:void(0)","pántpáncél")</f>
        <v>pántpáncél</v>
      </c>
      <c r="E2682" s="7"/>
      <c r="F2682" s="7"/>
      <c r="G2682" s="9" t="s">
        <v>2322</v>
      </c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</row>
    <row r="2683" spans="1:18" ht="12.75" customHeight="1" x14ac:dyDescent="0.2">
      <c r="A2683" s="7"/>
      <c r="B2683" s="2"/>
      <c r="C2683" s="2" t="s">
        <v>44</v>
      </c>
      <c r="D2683" s="2" t="str">
        <f>HYPERLINK("javascript:void(0)","dobpáncél")</f>
        <v>dobpáncél</v>
      </c>
      <c r="E2683" s="7"/>
      <c r="F2683" s="7"/>
      <c r="G2683" s="9" t="s">
        <v>2322</v>
      </c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</row>
    <row r="2684" spans="1:18" ht="12.75" customHeight="1" x14ac:dyDescent="0.2">
      <c r="A2684" s="7"/>
      <c r="B2684" s="2"/>
      <c r="C2684" s="2" t="s">
        <v>44</v>
      </c>
      <c r="D2684" s="2" t="str">
        <f>HYPERLINK("javascript:void(0)","lélekmellény")</f>
        <v>lélekmellény</v>
      </c>
      <c r="E2684" s="7"/>
      <c r="F2684" s="7"/>
      <c r="G2684" s="9" t="s">
        <v>2322</v>
      </c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</row>
    <row r="2685" spans="1:18" ht="12.75" customHeight="1" x14ac:dyDescent="0.2">
      <c r="A2685" s="7"/>
      <c r="B2685" s="2"/>
      <c r="C2685" s="2"/>
      <c r="D2685" s="2"/>
      <c r="E2685" s="7"/>
      <c r="F2685" s="7"/>
      <c r="G2685" s="9" t="s">
        <v>2322</v>
      </c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</row>
    <row r="2686" spans="1:18" ht="12.75" customHeight="1" x14ac:dyDescent="0.2">
      <c r="A2686" s="7"/>
      <c r="B2686" s="2"/>
      <c r="C2686" s="2"/>
      <c r="D2686" s="2"/>
      <c r="E2686" s="7"/>
      <c r="F2686" s="7"/>
      <c r="G2686" s="9" t="s">
        <v>2322</v>
      </c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</row>
    <row r="2687" spans="1:18" ht="12.75" customHeight="1" x14ac:dyDescent="0.2">
      <c r="A2687" s="7"/>
      <c r="B2687" s="2"/>
      <c r="C2687" s="2"/>
      <c r="D2687" s="2"/>
      <c r="E2687" s="7"/>
      <c r="F2687" s="7"/>
      <c r="G2687" s="9" t="s">
        <v>2322</v>
      </c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</row>
    <row r="2688" spans="1:18" ht="12.75" customHeight="1" x14ac:dyDescent="0.2">
      <c r="A2688" s="7"/>
      <c r="B2688" s="2"/>
      <c r="C2688" s="2"/>
      <c r="D2688" s="2"/>
      <c r="E2688" s="7"/>
      <c r="F2688" s="7"/>
      <c r="G2688" s="9" t="s">
        <v>2322</v>
      </c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</row>
    <row r="2689" spans="1:18" ht="12.75" customHeight="1" x14ac:dyDescent="0.2">
      <c r="A2689" s="7"/>
      <c r="B2689" s="2"/>
      <c r="C2689" s="2"/>
      <c r="D2689" s="2"/>
      <c r="E2689" s="7"/>
      <c r="F2689" s="7"/>
      <c r="G2689" s="9" t="s">
        <v>2322</v>
      </c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</row>
    <row r="2690" spans="1:18" ht="12.75" customHeight="1" x14ac:dyDescent="0.2">
      <c r="A2690" s="7" t="str">
        <f>HYPERLINK("javascript:void(0)","lélekmellény")</f>
        <v>lélekmellény</v>
      </c>
      <c r="B2690" s="7"/>
      <c r="C2690" s="7"/>
      <c r="D2690" s="7"/>
      <c r="E2690" s="7"/>
      <c r="F2690" s="7"/>
      <c r="G2690" s="9" t="s">
        <v>2322</v>
      </c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</row>
    <row r="2691" spans="1:18" ht="12.75" customHeight="1" x14ac:dyDescent="0.2">
      <c r="A2691" s="7"/>
      <c r="B2691" s="2"/>
      <c r="C2691" s="2"/>
      <c r="D2691" s="2"/>
      <c r="E2691" s="7"/>
      <c r="F2691" s="7"/>
      <c r="G2691" s="9" t="s">
        <v>2322</v>
      </c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</row>
    <row r="2692" spans="1:18" ht="12.75" customHeight="1" x14ac:dyDescent="0.2">
      <c r="A2692" s="7"/>
      <c r="B2692" s="2" t="s">
        <v>0</v>
      </c>
      <c r="C2692" s="2" t="s">
        <v>1060</v>
      </c>
      <c r="D2692" s="2"/>
      <c r="E2692" s="7"/>
      <c r="F2692" s="7"/>
      <c r="G2692" s="9" t="s">
        <v>2322</v>
      </c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</row>
    <row r="2693" spans="1:18" ht="12.75" customHeight="1" x14ac:dyDescent="0.2">
      <c r="A2693" s="7"/>
      <c r="B2693" s="2" t="s">
        <v>2</v>
      </c>
      <c r="C2693" s="2" t="s">
        <v>2322</v>
      </c>
      <c r="D2693" s="2"/>
      <c r="E2693" s="7"/>
      <c r="F2693" s="7"/>
      <c r="G2693" s="9" t="s">
        <v>2322</v>
      </c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</row>
    <row r="2694" spans="1:18" ht="12.75" customHeight="1" x14ac:dyDescent="0.2">
      <c r="A2694" s="7"/>
      <c r="B2694" s="2" t="s">
        <v>1840</v>
      </c>
      <c r="C2694" s="2" t="s">
        <v>223</v>
      </c>
      <c r="D2694" s="2"/>
      <c r="E2694" s="7"/>
      <c r="F2694" s="7"/>
      <c r="G2694" s="9" t="s">
        <v>2322</v>
      </c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</row>
    <row r="2695" spans="1:18" ht="12.75" customHeight="1" x14ac:dyDescent="0.2">
      <c r="A2695" s="7"/>
      <c r="B2695" s="2" t="s">
        <v>9</v>
      </c>
      <c r="C2695" s="2" t="s">
        <v>172</v>
      </c>
      <c r="D2695" s="2"/>
      <c r="E2695" s="7"/>
      <c r="F2695" s="7"/>
      <c r="G2695" s="9" t="s">
        <v>2322</v>
      </c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</row>
    <row r="2696" spans="1:18" ht="12.75" customHeight="1" x14ac:dyDescent="0.2">
      <c r="A2696" s="7"/>
      <c r="B2696" s="2" t="s">
        <v>11</v>
      </c>
      <c r="C2696" s="2" t="s">
        <v>2516</v>
      </c>
      <c r="D2696" s="2"/>
      <c r="E2696" s="7"/>
      <c r="F2696" s="7"/>
      <c r="G2696" s="9" t="s">
        <v>2322</v>
      </c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</row>
    <row r="2697" spans="1:18" ht="12.75" customHeight="1" x14ac:dyDescent="0.2">
      <c r="A2697" s="7"/>
      <c r="B2697" s="2" t="s">
        <v>16</v>
      </c>
      <c r="C2697" s="2"/>
      <c r="D2697" s="2"/>
      <c r="E2697" s="7"/>
      <c r="F2697" s="7"/>
      <c r="G2697" s="9" t="s">
        <v>2322</v>
      </c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</row>
    <row r="2698" spans="1:18" ht="12.75" customHeight="1" x14ac:dyDescent="0.2">
      <c r="A2698" s="7"/>
      <c r="B2698" s="2" t="s">
        <v>17</v>
      </c>
      <c r="C2698" s="2" t="s">
        <v>19</v>
      </c>
      <c r="D2698" s="2"/>
      <c r="E2698" s="7"/>
      <c r="F2698" s="7"/>
      <c r="G2698" s="9" t="s">
        <v>2322</v>
      </c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</row>
    <row r="2699" spans="1:18" ht="12.75" customHeight="1" x14ac:dyDescent="0.2">
      <c r="A2699" s="7"/>
      <c r="B2699" s="2" t="s">
        <v>18</v>
      </c>
      <c r="C2699" s="2" t="s">
        <v>244</v>
      </c>
      <c r="D2699" s="2" t="str">
        <f>HYPERLINK("javascript:void(0)","lélekfodor")</f>
        <v>lélekfodor</v>
      </c>
      <c r="E2699" s="7"/>
      <c r="F2699" s="7"/>
      <c r="G2699" s="9" t="s">
        <v>2322</v>
      </c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</row>
    <row r="2700" spans="1:18" ht="12.75" customHeight="1" x14ac:dyDescent="0.2">
      <c r="A2700" s="7"/>
      <c r="B2700" s="2"/>
      <c r="C2700" s="2" t="s">
        <v>420</v>
      </c>
      <c r="D2700" s="2" t="str">
        <f>HYPERLINK("javascript:void(0)","ködpikkely")</f>
        <v>ködpikkely</v>
      </c>
      <c r="E2700" s="7"/>
      <c r="F2700" s="7"/>
      <c r="G2700" s="9" t="s">
        <v>2322</v>
      </c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</row>
    <row r="2701" spans="1:18" ht="12.75" customHeight="1" x14ac:dyDescent="0.2">
      <c r="A2701" s="7"/>
      <c r="B2701" s="2"/>
      <c r="C2701" s="2" t="s">
        <v>163</v>
      </c>
      <c r="D2701" s="2" t="str">
        <f>HYPERLINK("javascript:void(0)","pálha")</f>
        <v>pálha</v>
      </c>
      <c r="E2701" s="7"/>
      <c r="F2701" s="7"/>
      <c r="G2701" s="9" t="s">
        <v>2322</v>
      </c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</row>
    <row r="2702" spans="1:18" ht="12.75" customHeight="1" x14ac:dyDescent="0.2">
      <c r="A2702" s="7"/>
      <c r="B2702" s="2"/>
      <c r="C2702" s="2"/>
      <c r="D2702" s="2"/>
      <c r="E2702" s="7"/>
      <c r="F2702" s="7"/>
      <c r="G2702" s="9" t="s">
        <v>2322</v>
      </c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</row>
    <row r="2703" spans="1:18" ht="12.75" customHeight="1" x14ac:dyDescent="0.2">
      <c r="A2703" s="7"/>
      <c r="B2703" s="2"/>
      <c r="C2703" s="2"/>
      <c r="D2703" s="2"/>
      <c r="E2703" s="7"/>
      <c r="F2703" s="7"/>
      <c r="G2703" s="9" t="s">
        <v>2322</v>
      </c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</row>
    <row r="2704" spans="1:18" ht="12.75" customHeight="1" x14ac:dyDescent="0.2">
      <c r="A2704" s="7"/>
      <c r="B2704" s="2"/>
      <c r="C2704" s="2"/>
      <c r="D2704" s="2"/>
      <c r="E2704" s="7"/>
      <c r="F2704" s="7"/>
      <c r="G2704" s="9" t="s">
        <v>2322</v>
      </c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</row>
    <row r="2705" spans="1:18" ht="12.75" customHeight="1" x14ac:dyDescent="0.2">
      <c r="A2705" s="7"/>
      <c r="B2705" s="2"/>
      <c r="C2705" s="2"/>
      <c r="D2705" s="2"/>
      <c r="E2705" s="7"/>
      <c r="F2705" s="7"/>
      <c r="G2705" s="9" t="s">
        <v>2322</v>
      </c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</row>
    <row r="2706" spans="1:18" ht="12.75" customHeight="1" x14ac:dyDescent="0.2">
      <c r="A2706" s="7"/>
      <c r="B2706" s="2"/>
      <c r="C2706" s="2"/>
      <c r="D2706" s="2"/>
      <c r="E2706" s="7"/>
      <c r="F2706" s="7"/>
      <c r="G2706" s="9" t="s">
        <v>2322</v>
      </c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</row>
    <row r="2707" spans="1:18" ht="12.75" customHeight="1" x14ac:dyDescent="0.2">
      <c r="A2707" s="7" t="str">
        <f>HYPERLINK("javascript:void(0)","lélekvért")</f>
        <v>lélekvért</v>
      </c>
      <c r="B2707" s="7"/>
      <c r="C2707" s="7"/>
      <c r="D2707" s="7"/>
      <c r="E2707" s="7"/>
      <c r="F2707" s="7"/>
      <c r="G2707" s="9" t="s">
        <v>2322</v>
      </c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</row>
    <row r="2708" spans="1:18" ht="12.75" customHeight="1" x14ac:dyDescent="0.2">
      <c r="A2708" s="7"/>
      <c r="B2708" s="2"/>
      <c r="C2708" s="2"/>
      <c r="D2708" s="2"/>
      <c r="E2708" s="7"/>
      <c r="F2708" s="7"/>
      <c r="G2708" s="9" t="s">
        <v>2322</v>
      </c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</row>
    <row r="2709" spans="1:18" ht="12.75" customHeight="1" x14ac:dyDescent="0.2">
      <c r="A2709" s="7"/>
      <c r="B2709" s="2" t="s">
        <v>0</v>
      </c>
      <c r="C2709" s="2" t="s">
        <v>95</v>
      </c>
      <c r="D2709" s="2"/>
      <c r="E2709" s="7"/>
      <c r="F2709" s="7"/>
      <c r="G2709" s="9" t="s">
        <v>2322</v>
      </c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</row>
    <row r="2710" spans="1:18" ht="12.75" customHeight="1" x14ac:dyDescent="0.2">
      <c r="A2710" s="7"/>
      <c r="B2710" s="2" t="s">
        <v>2</v>
      </c>
      <c r="C2710" s="2" t="s">
        <v>2322</v>
      </c>
      <c r="D2710" s="2"/>
      <c r="E2710" s="7"/>
      <c r="F2710" s="7"/>
      <c r="G2710" s="9" t="s">
        <v>2322</v>
      </c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</row>
    <row r="2711" spans="1:18" ht="12.75" customHeight="1" x14ac:dyDescent="0.2">
      <c r="A2711" s="7"/>
      <c r="B2711" s="2" t="s">
        <v>1840</v>
      </c>
      <c r="C2711" s="2" t="s">
        <v>1854</v>
      </c>
      <c r="D2711" s="2"/>
      <c r="E2711" s="7"/>
      <c r="F2711" s="7"/>
      <c r="G2711" s="9" t="s">
        <v>2322</v>
      </c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</row>
    <row r="2712" spans="1:18" ht="12.75" customHeight="1" x14ac:dyDescent="0.2">
      <c r="A2712" s="7"/>
      <c r="B2712" s="2" t="s">
        <v>9</v>
      </c>
      <c r="C2712" s="2" t="s">
        <v>1481</v>
      </c>
      <c r="D2712" s="2"/>
      <c r="E2712" s="7"/>
      <c r="F2712" s="7"/>
      <c r="G2712" s="9" t="s">
        <v>2322</v>
      </c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</row>
    <row r="2713" spans="1:18" ht="12.75" customHeight="1" x14ac:dyDescent="0.2">
      <c r="A2713" s="7"/>
      <c r="B2713" s="2" t="s">
        <v>11</v>
      </c>
      <c r="C2713" s="2" t="s">
        <v>1544</v>
      </c>
      <c r="D2713" s="2"/>
      <c r="E2713" s="7"/>
      <c r="F2713" s="7"/>
      <c r="G2713" s="9" t="s">
        <v>2322</v>
      </c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</row>
    <row r="2714" spans="1:18" ht="12.75" customHeight="1" x14ac:dyDescent="0.2">
      <c r="A2714" s="7"/>
      <c r="B2714" s="2" t="s">
        <v>16</v>
      </c>
      <c r="C2714" s="2"/>
      <c r="D2714" s="2"/>
      <c r="E2714" s="7"/>
      <c r="F2714" s="7"/>
      <c r="G2714" s="9" t="s">
        <v>2322</v>
      </c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</row>
    <row r="2715" spans="1:18" ht="12.75" customHeight="1" x14ac:dyDescent="0.2">
      <c r="A2715" s="7"/>
      <c r="B2715" s="2" t="s">
        <v>17</v>
      </c>
      <c r="C2715" s="2" t="s">
        <v>19</v>
      </c>
      <c r="D2715" s="2"/>
      <c r="E2715" s="7"/>
      <c r="F2715" s="7"/>
      <c r="G2715" s="9" t="s">
        <v>2322</v>
      </c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</row>
    <row r="2716" spans="1:18" ht="12.75" customHeight="1" x14ac:dyDescent="0.2">
      <c r="A2716" s="7"/>
      <c r="B2716" s="2" t="s">
        <v>18</v>
      </c>
      <c r="C2716" s="2" t="s">
        <v>139</v>
      </c>
      <c r="D2716" s="2" t="str">
        <f>HYPERLINK("javascript:void(0)","dobkarika")</f>
        <v>dobkarika</v>
      </c>
      <c r="E2716" s="7"/>
      <c r="F2716" s="7"/>
      <c r="G2716" s="9" t="s">
        <v>2322</v>
      </c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</row>
    <row r="2717" spans="1:18" ht="12.75" customHeight="1" x14ac:dyDescent="0.2">
      <c r="A2717" s="7"/>
      <c r="B2717" s="2"/>
      <c r="C2717" s="2" t="s">
        <v>269</v>
      </c>
      <c r="D2717" s="2" t="str">
        <f>HYPERLINK("javascript:void(0)","zászlórúd")</f>
        <v>zászlórúd</v>
      </c>
      <c r="E2717" s="7"/>
      <c r="F2717" s="7"/>
      <c r="G2717" s="9" t="s">
        <v>2322</v>
      </c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</row>
    <row r="2718" spans="1:18" ht="12.75" customHeight="1" x14ac:dyDescent="0.2">
      <c r="A2718" s="7"/>
      <c r="B2718" s="2"/>
      <c r="C2718" s="2" t="s">
        <v>44</v>
      </c>
      <c r="D2718" s="2" t="str">
        <f>HYPERLINK("javascript:void(0)","lélekpáncél")</f>
        <v>lélekpáncél</v>
      </c>
      <c r="E2718" s="7"/>
      <c r="F2718" s="7"/>
      <c r="G2718" s="9" t="s">
        <v>2322</v>
      </c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</row>
    <row r="2719" spans="1:18" ht="12.75" customHeight="1" x14ac:dyDescent="0.2">
      <c r="A2719" s="7"/>
      <c r="B2719" s="2"/>
      <c r="C2719" s="2"/>
      <c r="D2719" s="2"/>
      <c r="E2719" s="7"/>
      <c r="F2719" s="7"/>
      <c r="G2719" s="9" t="s">
        <v>2322</v>
      </c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</row>
    <row r="2720" spans="1:18" ht="12.75" customHeight="1" x14ac:dyDescent="0.2">
      <c r="A2720" s="7"/>
      <c r="B2720" s="2"/>
      <c r="C2720" s="2"/>
      <c r="D2720" s="2"/>
      <c r="E2720" s="7"/>
      <c r="F2720" s="7"/>
      <c r="G2720" s="9" t="s">
        <v>2322</v>
      </c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</row>
    <row r="2721" spans="1:18" ht="12.75" customHeight="1" x14ac:dyDescent="0.2">
      <c r="A2721" s="7"/>
      <c r="B2721" s="2"/>
      <c r="C2721" s="2"/>
      <c r="D2721" s="2"/>
      <c r="E2721" s="7"/>
      <c r="F2721" s="7"/>
      <c r="G2721" s="9" t="s">
        <v>2322</v>
      </c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</row>
    <row r="2722" spans="1:18" ht="12.75" customHeight="1" x14ac:dyDescent="0.2">
      <c r="A2722" s="7"/>
      <c r="B2722" s="2"/>
      <c r="C2722" s="2"/>
      <c r="D2722" s="2"/>
      <c r="E2722" s="7"/>
      <c r="F2722" s="7"/>
      <c r="G2722" s="9" t="s">
        <v>2322</v>
      </c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</row>
    <row r="2723" spans="1:18" ht="12.75" customHeight="1" x14ac:dyDescent="0.2">
      <c r="A2723" s="7"/>
      <c r="B2723" s="2"/>
      <c r="C2723" s="2"/>
      <c r="D2723" s="2"/>
      <c r="E2723" s="7"/>
      <c r="F2723" s="7"/>
      <c r="G2723" s="9" t="s">
        <v>2322</v>
      </c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</row>
    <row r="2724" spans="1:18" ht="12.75" customHeight="1" x14ac:dyDescent="0.2">
      <c r="A2724" s="7" t="str">
        <f>HYPERLINK("javascript:void(0)","suhanóvért")</f>
        <v>suhanóvért</v>
      </c>
      <c r="B2724" s="7"/>
      <c r="C2724" s="7"/>
      <c r="D2724" s="7"/>
      <c r="E2724" s="7"/>
      <c r="F2724" s="7"/>
      <c r="G2724" s="9" t="s">
        <v>2322</v>
      </c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</row>
    <row r="2725" spans="1:18" ht="12.75" customHeight="1" x14ac:dyDescent="0.2">
      <c r="A2725" s="7"/>
      <c r="B2725" s="2"/>
      <c r="C2725" s="2"/>
      <c r="D2725" s="2"/>
      <c r="E2725" s="7"/>
      <c r="F2725" s="7"/>
      <c r="G2725" s="9" t="s">
        <v>2322</v>
      </c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</row>
    <row r="2726" spans="1:18" ht="12.75" customHeight="1" x14ac:dyDescent="0.2">
      <c r="A2726" s="7"/>
      <c r="B2726" s="2" t="s">
        <v>0</v>
      </c>
      <c r="C2726" s="2" t="s">
        <v>336</v>
      </c>
      <c r="D2726" s="2"/>
      <c r="E2726" s="7"/>
      <c r="F2726" s="7"/>
      <c r="G2726" s="9" t="s">
        <v>2322</v>
      </c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</row>
    <row r="2727" spans="1:18" ht="12.75" customHeight="1" x14ac:dyDescent="0.2">
      <c r="A2727" s="7"/>
      <c r="B2727" s="2" t="s">
        <v>2</v>
      </c>
      <c r="C2727" s="2" t="s">
        <v>2322</v>
      </c>
      <c r="D2727" s="2"/>
      <c r="E2727" s="7"/>
      <c r="F2727" s="7"/>
      <c r="G2727" s="9" t="s">
        <v>2322</v>
      </c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</row>
    <row r="2728" spans="1:18" ht="12.75" customHeight="1" x14ac:dyDescent="0.2">
      <c r="A2728" s="7"/>
      <c r="B2728" s="2" t="s">
        <v>1840</v>
      </c>
      <c r="C2728" s="2" t="s">
        <v>2517</v>
      </c>
      <c r="D2728" s="2"/>
      <c r="E2728" s="7"/>
      <c r="F2728" s="7"/>
      <c r="G2728" s="9" t="s">
        <v>2322</v>
      </c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</row>
    <row r="2729" spans="1:18" ht="12.75" customHeight="1" x14ac:dyDescent="0.2">
      <c r="A2729" s="7"/>
      <c r="B2729" s="2" t="s">
        <v>9</v>
      </c>
      <c r="C2729" s="2" t="s">
        <v>1454</v>
      </c>
      <c r="D2729" s="2"/>
      <c r="E2729" s="7"/>
      <c r="F2729" s="7"/>
      <c r="G2729" s="9" t="s">
        <v>2322</v>
      </c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</row>
    <row r="2730" spans="1:18" ht="12.75" customHeight="1" x14ac:dyDescent="0.2">
      <c r="A2730" s="7"/>
      <c r="B2730" s="2" t="s">
        <v>11</v>
      </c>
      <c r="C2730" s="2" t="s">
        <v>2175</v>
      </c>
      <c r="D2730" s="2"/>
      <c r="E2730" s="7"/>
      <c r="F2730" s="7"/>
      <c r="G2730" s="9" t="s">
        <v>2322</v>
      </c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</row>
    <row r="2731" spans="1:18" ht="12.75" customHeight="1" x14ac:dyDescent="0.2">
      <c r="A2731" s="7"/>
      <c r="B2731" s="2" t="s">
        <v>16</v>
      </c>
      <c r="C2731" s="2"/>
      <c r="D2731" s="2"/>
      <c r="E2731" s="7"/>
      <c r="F2731" s="7"/>
      <c r="G2731" s="9" t="s">
        <v>2322</v>
      </c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</row>
    <row r="2732" spans="1:18" ht="12.75" customHeight="1" x14ac:dyDescent="0.2">
      <c r="A2732" s="7"/>
      <c r="B2732" s="2" t="s">
        <v>17</v>
      </c>
      <c r="C2732" s="2" t="s">
        <v>19</v>
      </c>
      <c r="D2732" s="2"/>
      <c r="E2732" s="7"/>
      <c r="F2732" s="7"/>
      <c r="G2732" s="9" t="s">
        <v>2322</v>
      </c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</row>
    <row r="2733" spans="1:18" ht="12.75" customHeight="1" x14ac:dyDescent="0.2">
      <c r="A2733" s="7"/>
      <c r="B2733" s="2" t="s">
        <v>18</v>
      </c>
      <c r="C2733" s="2" t="s">
        <v>244</v>
      </c>
      <c r="D2733" s="2" t="str">
        <f>HYPERLINK("javascript:void(0)","suhanás")</f>
        <v>suhanás</v>
      </c>
      <c r="E2733" s="7"/>
      <c r="F2733" s="7"/>
      <c r="G2733" s="9" t="s">
        <v>2322</v>
      </c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</row>
    <row r="2734" spans="1:18" ht="12.75" customHeight="1" x14ac:dyDescent="0.2">
      <c r="A2734" s="7"/>
      <c r="B2734" s="2"/>
      <c r="C2734" s="2" t="s">
        <v>403</v>
      </c>
      <c r="D2734" s="2" t="str">
        <f>HYPERLINK("javascript:void(0)","nekroige")</f>
        <v>nekroige</v>
      </c>
      <c r="E2734" s="7"/>
      <c r="F2734" s="7"/>
      <c r="G2734" s="9" t="s">
        <v>2322</v>
      </c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</row>
    <row r="2735" spans="1:18" ht="12.75" customHeight="1" x14ac:dyDescent="0.2">
      <c r="A2735" s="7"/>
      <c r="B2735" s="2"/>
      <c r="C2735" s="2" t="s">
        <v>780</v>
      </c>
      <c r="D2735" s="2" t="str">
        <f>HYPERLINK("javascript:void(0)","lélekfodor")</f>
        <v>lélekfodor</v>
      </c>
      <c r="E2735" s="7"/>
      <c r="F2735" s="7"/>
      <c r="G2735" s="9" t="s">
        <v>2322</v>
      </c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</row>
    <row r="2736" spans="1:18" ht="12.75" customHeight="1" x14ac:dyDescent="0.2">
      <c r="A2736" s="7"/>
      <c r="B2736" s="2"/>
      <c r="C2736" s="2"/>
      <c r="D2736" s="2"/>
      <c r="E2736" s="7"/>
      <c r="F2736" s="7"/>
      <c r="G2736" s="9" t="s">
        <v>2322</v>
      </c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</row>
    <row r="2737" spans="1:18" ht="12.75" customHeight="1" x14ac:dyDescent="0.2">
      <c r="A2737" s="7"/>
      <c r="B2737" s="2"/>
      <c r="C2737" s="2"/>
      <c r="D2737" s="2"/>
      <c r="E2737" s="7"/>
      <c r="F2737" s="7"/>
      <c r="G2737" s="9" t="s">
        <v>2322</v>
      </c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</row>
    <row r="2738" spans="1:18" ht="12.75" customHeight="1" x14ac:dyDescent="0.2">
      <c r="A2738" s="7"/>
      <c r="B2738" s="2"/>
      <c r="C2738" s="2"/>
      <c r="D2738" s="2"/>
      <c r="E2738" s="7"/>
      <c r="F2738" s="7"/>
      <c r="G2738" s="9" t="s">
        <v>2322</v>
      </c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</row>
    <row r="2739" spans="1:18" ht="12.75" customHeight="1" x14ac:dyDescent="0.2">
      <c r="A2739" s="7"/>
      <c r="B2739" s="2"/>
      <c r="C2739" s="2"/>
      <c r="D2739" s="2"/>
      <c r="E2739" s="7"/>
      <c r="F2739" s="7"/>
      <c r="G2739" s="9" t="s">
        <v>2322</v>
      </c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</row>
    <row r="2740" spans="1:18" ht="12.75" customHeight="1" x14ac:dyDescent="0.2">
      <c r="A2740" s="7"/>
      <c r="B2740" s="2"/>
      <c r="C2740" s="2"/>
      <c r="D2740" s="2"/>
      <c r="E2740" s="7"/>
      <c r="F2740" s="7"/>
      <c r="G2740" s="9" t="s">
        <v>2322</v>
      </c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</row>
    <row r="2741" spans="1:18" ht="12.75" customHeight="1" x14ac:dyDescent="0.2">
      <c r="A2741" s="7" t="str">
        <f>HYPERLINK("javascript:void(0)","tüskepáncél")</f>
        <v>tüskepáncél</v>
      </c>
      <c r="B2741" s="7"/>
      <c r="C2741" s="7"/>
      <c r="D2741" s="7"/>
      <c r="E2741" s="7"/>
      <c r="F2741" s="7"/>
      <c r="G2741" s="9" t="s">
        <v>2322</v>
      </c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</row>
    <row r="2742" spans="1:18" ht="12.75" customHeight="1" x14ac:dyDescent="0.2">
      <c r="A2742" s="7"/>
      <c r="B2742" s="2"/>
      <c r="C2742" s="2"/>
      <c r="D2742" s="2"/>
      <c r="E2742" s="7"/>
      <c r="F2742" s="7"/>
      <c r="G2742" s="9" t="s">
        <v>2322</v>
      </c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</row>
    <row r="2743" spans="1:18" ht="12.75" customHeight="1" x14ac:dyDescent="0.2">
      <c r="A2743" s="7"/>
      <c r="B2743" s="2" t="s">
        <v>0</v>
      </c>
      <c r="C2743" s="2" t="s">
        <v>347</v>
      </c>
      <c r="D2743" s="2"/>
      <c r="E2743" s="7"/>
      <c r="F2743" s="7"/>
      <c r="G2743" s="9" t="s">
        <v>2322</v>
      </c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</row>
    <row r="2744" spans="1:18" ht="12.75" customHeight="1" x14ac:dyDescent="0.2">
      <c r="A2744" s="7"/>
      <c r="B2744" s="2" t="s">
        <v>2</v>
      </c>
      <c r="C2744" s="2" t="s">
        <v>2322</v>
      </c>
      <c r="D2744" s="2"/>
      <c r="E2744" s="7"/>
      <c r="F2744" s="7"/>
      <c r="G2744" s="9" t="s">
        <v>2322</v>
      </c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</row>
    <row r="2745" spans="1:18" ht="12.75" customHeight="1" x14ac:dyDescent="0.2">
      <c r="A2745" s="7"/>
      <c r="B2745" s="2" t="s">
        <v>1840</v>
      </c>
      <c r="C2745" s="2" t="s">
        <v>2518</v>
      </c>
      <c r="D2745" s="2"/>
      <c r="E2745" s="7"/>
      <c r="F2745" s="7"/>
      <c r="G2745" s="9" t="s">
        <v>2322</v>
      </c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</row>
    <row r="2746" spans="1:18" ht="12.75" customHeight="1" x14ac:dyDescent="0.2">
      <c r="A2746" s="7"/>
      <c r="B2746" s="2" t="s">
        <v>9</v>
      </c>
      <c r="C2746" s="2" t="s">
        <v>2155</v>
      </c>
      <c r="D2746" s="2"/>
      <c r="E2746" s="7"/>
      <c r="F2746" s="7"/>
      <c r="G2746" s="9" t="s">
        <v>2322</v>
      </c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</row>
    <row r="2747" spans="1:18" ht="12.75" customHeight="1" x14ac:dyDescent="0.2">
      <c r="A2747" s="7"/>
      <c r="B2747" s="2" t="s">
        <v>11</v>
      </c>
      <c r="C2747" s="2" t="s">
        <v>1553</v>
      </c>
      <c r="D2747" s="2"/>
      <c r="E2747" s="7"/>
      <c r="F2747" s="7"/>
      <c r="G2747" s="9" t="s">
        <v>2322</v>
      </c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</row>
    <row r="2748" spans="1:18" ht="12.75" customHeight="1" x14ac:dyDescent="0.2">
      <c r="A2748" s="7"/>
      <c r="B2748" s="2" t="s">
        <v>16</v>
      </c>
      <c r="C2748" s="2"/>
      <c r="D2748" s="2"/>
      <c r="E2748" s="7"/>
      <c r="F2748" s="7"/>
      <c r="G2748" s="9" t="s">
        <v>2322</v>
      </c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</row>
    <row r="2749" spans="1:18" ht="12.75" customHeight="1" x14ac:dyDescent="0.2">
      <c r="A2749" s="7"/>
      <c r="B2749" s="2" t="s">
        <v>17</v>
      </c>
      <c r="C2749" s="2" t="s">
        <v>19</v>
      </c>
      <c r="D2749" s="2"/>
      <c r="E2749" s="7"/>
      <c r="F2749" s="7"/>
      <c r="G2749" s="9" t="s">
        <v>2322</v>
      </c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</row>
    <row r="2750" spans="1:18" ht="12.75" customHeight="1" x14ac:dyDescent="0.2">
      <c r="A2750" s="7"/>
      <c r="B2750" s="2" t="s">
        <v>18</v>
      </c>
      <c r="C2750" s="2" t="s">
        <v>44</v>
      </c>
      <c r="D2750" s="2" t="str">
        <f>HYPERLINK("javascript:void(0)","lélekvért")</f>
        <v>lélekvért</v>
      </c>
      <c r="E2750" s="7"/>
      <c r="F2750" s="7"/>
      <c r="G2750" s="9" t="s">
        <v>2322</v>
      </c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</row>
    <row r="2751" spans="1:18" ht="12.75" customHeight="1" x14ac:dyDescent="0.2">
      <c r="A2751" s="7"/>
      <c r="B2751" s="2"/>
      <c r="C2751" s="2" t="s">
        <v>44</v>
      </c>
      <c r="D2751" s="2" t="str">
        <f>HYPERLINK("javascript:void(0)","suhanóvért")</f>
        <v>suhanóvért</v>
      </c>
      <c r="E2751" s="7"/>
      <c r="F2751" s="7"/>
      <c r="G2751" s="9" t="s">
        <v>2322</v>
      </c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</row>
    <row r="2752" spans="1:18" ht="12.75" customHeight="1" x14ac:dyDescent="0.2">
      <c r="A2752" s="7"/>
      <c r="B2752" s="2"/>
      <c r="C2752" s="2" t="s">
        <v>44</v>
      </c>
      <c r="D2752" s="2" t="str">
        <f>HYPERLINK("javascript:void(0)","tüskebélés")</f>
        <v>tüskebélés</v>
      </c>
      <c r="E2752" s="7"/>
      <c r="F2752" s="7"/>
      <c r="G2752" s="9" t="s">
        <v>2322</v>
      </c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</row>
    <row r="2753" spans="1:18" ht="12.75" customHeight="1" x14ac:dyDescent="0.2">
      <c r="A2753" s="7"/>
      <c r="B2753" s="2"/>
      <c r="C2753" s="2"/>
      <c r="D2753" s="2"/>
      <c r="E2753" s="7"/>
      <c r="F2753" s="7"/>
      <c r="G2753" s="9" t="s">
        <v>2322</v>
      </c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</row>
    <row r="2754" spans="1:18" ht="12.75" customHeight="1" x14ac:dyDescent="0.2">
      <c r="A2754" s="7"/>
      <c r="B2754" s="2"/>
      <c r="C2754" s="2"/>
      <c r="D2754" s="2"/>
      <c r="E2754" s="7"/>
      <c r="F2754" s="7"/>
      <c r="G2754" s="9" t="s">
        <v>2322</v>
      </c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</row>
    <row r="2755" spans="1:18" ht="12.75" customHeight="1" x14ac:dyDescent="0.2">
      <c r="A2755" s="7"/>
      <c r="B2755" s="2"/>
      <c r="C2755" s="2"/>
      <c r="D2755" s="2"/>
      <c r="E2755" s="7"/>
      <c r="F2755" s="7"/>
      <c r="G2755" s="9" t="s">
        <v>2322</v>
      </c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</row>
    <row r="2756" spans="1:18" ht="12.75" customHeight="1" x14ac:dyDescent="0.2">
      <c r="A2756" s="7"/>
      <c r="B2756" s="2"/>
      <c r="C2756" s="2"/>
      <c r="D2756" s="2"/>
      <c r="E2756" s="7"/>
      <c r="F2756" s="7"/>
      <c r="G2756" s="9" t="s">
        <v>2322</v>
      </c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</row>
    <row r="2757" spans="1:18" ht="12.75" customHeight="1" x14ac:dyDescent="0.2">
      <c r="A2757" s="7"/>
      <c r="B2757" s="2"/>
      <c r="C2757" s="2"/>
      <c r="D2757" s="2"/>
      <c r="E2757" s="7"/>
      <c r="F2757" s="7"/>
      <c r="G2757" s="9" t="s">
        <v>2322</v>
      </c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</row>
    <row r="2758" spans="1:18" ht="12.75" customHeight="1" x14ac:dyDescent="0.2">
      <c r="A2758" s="7" t="str">
        <f>HYPERLINK("javascript:void(0)","tüskebélés")</f>
        <v>tüskebélés</v>
      </c>
      <c r="B2758" s="7"/>
      <c r="C2758" s="7"/>
      <c r="D2758" s="7"/>
      <c r="E2758" s="7"/>
      <c r="F2758" s="7"/>
      <c r="G2758" s="9" t="s">
        <v>2322</v>
      </c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</row>
    <row r="2759" spans="1:18" ht="12.75" customHeight="1" x14ac:dyDescent="0.2">
      <c r="A2759" s="7"/>
      <c r="B2759" s="2"/>
      <c r="C2759" s="2"/>
      <c r="D2759" s="2"/>
      <c r="E2759" s="7"/>
      <c r="F2759" s="7"/>
      <c r="G2759" s="9" t="s">
        <v>2322</v>
      </c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</row>
    <row r="2760" spans="1:18" ht="12.75" customHeight="1" x14ac:dyDescent="0.2">
      <c r="A2760" s="7"/>
      <c r="B2760" s="2" t="s">
        <v>0</v>
      </c>
      <c r="C2760" s="2" t="s">
        <v>347</v>
      </c>
      <c r="D2760" s="2"/>
      <c r="E2760" s="7"/>
      <c r="F2760" s="7"/>
      <c r="G2760" s="9" t="s">
        <v>2322</v>
      </c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</row>
    <row r="2761" spans="1:18" ht="12.75" customHeight="1" x14ac:dyDescent="0.2">
      <c r="A2761" s="7"/>
      <c r="B2761" s="2" t="s">
        <v>2</v>
      </c>
      <c r="C2761" s="2" t="s">
        <v>2322</v>
      </c>
      <c r="D2761" s="2"/>
      <c r="E2761" s="7"/>
      <c r="F2761" s="7"/>
      <c r="G2761" s="9" t="s">
        <v>2322</v>
      </c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</row>
    <row r="2762" spans="1:18" ht="12.75" customHeight="1" x14ac:dyDescent="0.2">
      <c r="A2762" s="7"/>
      <c r="B2762" s="2" t="s">
        <v>1840</v>
      </c>
      <c r="C2762" s="2" t="s">
        <v>239</v>
      </c>
      <c r="D2762" s="2"/>
      <c r="E2762" s="7"/>
      <c r="F2762" s="7"/>
      <c r="G2762" s="9" t="s">
        <v>2322</v>
      </c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</row>
    <row r="2763" spans="1:18" ht="12.75" customHeight="1" x14ac:dyDescent="0.2">
      <c r="A2763" s="7"/>
      <c r="B2763" s="2" t="s">
        <v>9</v>
      </c>
      <c r="C2763" s="2" t="s">
        <v>172</v>
      </c>
      <c r="D2763" s="2"/>
      <c r="E2763" s="7"/>
      <c r="F2763" s="7"/>
      <c r="G2763" s="9" t="s">
        <v>2322</v>
      </c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</row>
    <row r="2764" spans="1:18" ht="12.75" customHeight="1" x14ac:dyDescent="0.2">
      <c r="A2764" s="7"/>
      <c r="B2764" s="2" t="s">
        <v>11</v>
      </c>
      <c r="C2764" s="2" t="s">
        <v>2519</v>
      </c>
      <c r="D2764" s="2"/>
      <c r="E2764" s="7"/>
      <c r="F2764" s="7"/>
      <c r="G2764" s="9" t="s">
        <v>2322</v>
      </c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</row>
    <row r="2765" spans="1:18" ht="12.75" customHeight="1" x14ac:dyDescent="0.2">
      <c r="A2765" s="7"/>
      <c r="B2765" s="2" t="s">
        <v>16</v>
      </c>
      <c r="C2765" s="2"/>
      <c r="D2765" s="2"/>
      <c r="E2765" s="7"/>
      <c r="F2765" s="7"/>
      <c r="G2765" s="9" t="s">
        <v>2322</v>
      </c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</row>
    <row r="2766" spans="1:18" ht="12.75" customHeight="1" x14ac:dyDescent="0.2">
      <c r="A2766" s="7"/>
      <c r="B2766" s="2" t="s">
        <v>17</v>
      </c>
      <c r="C2766" s="2" t="s">
        <v>19</v>
      </c>
      <c r="D2766" s="2"/>
      <c r="E2766" s="7"/>
      <c r="F2766" s="7"/>
      <c r="G2766" s="9" t="s">
        <v>2322</v>
      </c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</row>
    <row r="2767" spans="1:18" ht="12.75" customHeight="1" x14ac:dyDescent="0.2">
      <c r="A2767" s="7"/>
      <c r="B2767" s="2" t="s">
        <v>18</v>
      </c>
      <c r="C2767" s="2" t="s">
        <v>327</v>
      </c>
      <c r="D2767" s="2" t="str">
        <f>HYPERLINK("javascript:void(0)","csatatüske")</f>
        <v>csatatüske</v>
      </c>
      <c r="E2767" s="7"/>
      <c r="F2767" s="7"/>
      <c r="G2767" s="9" t="s">
        <v>2322</v>
      </c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</row>
    <row r="2768" spans="1:18" ht="12.75" customHeight="1" x14ac:dyDescent="0.2">
      <c r="A2768" s="7"/>
      <c r="B2768" s="2"/>
      <c r="C2768" s="2" t="s">
        <v>269</v>
      </c>
      <c r="D2768" s="2" t="str">
        <f>HYPERLINK("javascript:void(0)","dobverő")</f>
        <v>dobverő</v>
      </c>
      <c r="E2768" s="7"/>
      <c r="F2768" s="7"/>
      <c r="G2768" s="9" t="s">
        <v>2322</v>
      </c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</row>
    <row r="2769" spans="1:18" ht="12.75" customHeight="1" x14ac:dyDescent="0.2">
      <c r="A2769" s="7"/>
      <c r="B2769" s="2"/>
      <c r="C2769" s="2" t="s">
        <v>244</v>
      </c>
      <c r="D2769" s="2" t="str">
        <f>HYPERLINK("javascript:void(0)","térszelet")</f>
        <v>térszelet</v>
      </c>
      <c r="E2769" s="7"/>
      <c r="F2769" s="7"/>
      <c r="G2769" s="9" t="s">
        <v>2322</v>
      </c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</row>
    <row r="2770" spans="1:18" ht="12.75" customHeight="1" x14ac:dyDescent="0.2">
      <c r="A2770" s="7"/>
      <c r="B2770" s="2"/>
      <c r="C2770" s="2"/>
      <c r="D2770" s="2"/>
      <c r="E2770" s="7"/>
      <c r="F2770" s="7"/>
      <c r="G2770" s="9" t="s">
        <v>2322</v>
      </c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</row>
    <row r="2771" spans="1:18" ht="12.75" customHeight="1" x14ac:dyDescent="0.2">
      <c r="A2771" s="7"/>
      <c r="B2771" s="2"/>
      <c r="C2771" s="2"/>
      <c r="D2771" s="2"/>
      <c r="E2771" s="7"/>
      <c r="F2771" s="7"/>
      <c r="G2771" s="9" t="s">
        <v>2322</v>
      </c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</row>
    <row r="2772" spans="1:18" ht="12.75" customHeight="1" x14ac:dyDescent="0.2">
      <c r="A2772" s="7"/>
      <c r="B2772" s="2"/>
      <c r="C2772" s="2"/>
      <c r="D2772" s="2"/>
      <c r="E2772" s="7"/>
      <c r="F2772" s="7"/>
      <c r="G2772" s="9" t="s">
        <v>2322</v>
      </c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</row>
    <row r="2773" spans="1:18" ht="12.75" customHeight="1" x14ac:dyDescent="0.2">
      <c r="A2773" s="7"/>
      <c r="B2773" s="2"/>
      <c r="C2773" s="2"/>
      <c r="D2773" s="2"/>
      <c r="E2773" s="7"/>
      <c r="F2773" s="7"/>
      <c r="G2773" s="9" t="s">
        <v>2322</v>
      </c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</row>
    <row r="2774" spans="1:18" ht="12.75" customHeight="1" x14ac:dyDescent="0.2">
      <c r="A2774" s="7"/>
      <c r="B2774" s="2"/>
      <c r="C2774" s="2"/>
      <c r="D2774" s="2"/>
      <c r="E2774" s="7"/>
      <c r="F2774" s="7"/>
      <c r="G2774" s="9" t="s">
        <v>2322</v>
      </c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</row>
    <row r="2775" spans="1:18" ht="12.75" customHeight="1" x14ac:dyDescent="0.2">
      <c r="A2775" s="7" t="str">
        <f>HYPERLINK("javascript:void(0)","csillámló patinapáncél")</f>
        <v>csillámló patinapáncél</v>
      </c>
      <c r="B2775" s="7"/>
      <c r="C2775" s="7"/>
      <c r="D2775" s="7"/>
      <c r="E2775" s="7"/>
      <c r="F2775" s="7"/>
      <c r="G2775" s="9" t="s">
        <v>2322</v>
      </c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</row>
    <row r="2776" spans="1:18" ht="12.75" customHeight="1" x14ac:dyDescent="0.2">
      <c r="A2776" s="7"/>
      <c r="B2776" s="2"/>
      <c r="C2776" s="2"/>
      <c r="D2776" s="2"/>
      <c r="E2776" s="7"/>
      <c r="F2776" s="7"/>
      <c r="G2776" s="9" t="s">
        <v>2322</v>
      </c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</row>
    <row r="2777" spans="1:18" ht="12.75" customHeight="1" x14ac:dyDescent="0.2">
      <c r="A2777" s="7"/>
      <c r="B2777" s="2" t="s">
        <v>0</v>
      </c>
      <c r="C2777" s="2" t="s">
        <v>347</v>
      </c>
      <c r="D2777" s="2"/>
      <c r="E2777" s="7"/>
      <c r="F2777" s="7"/>
      <c r="G2777" s="9" t="s">
        <v>2322</v>
      </c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</row>
    <row r="2778" spans="1:18" ht="12.75" customHeight="1" x14ac:dyDescent="0.2">
      <c r="A2778" s="7"/>
      <c r="B2778" s="2" t="s">
        <v>2</v>
      </c>
      <c r="C2778" s="2" t="s">
        <v>2322</v>
      </c>
      <c r="D2778" s="2"/>
      <c r="E2778" s="7"/>
      <c r="F2778" s="7"/>
      <c r="G2778" s="9" t="s">
        <v>2322</v>
      </c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</row>
    <row r="2779" spans="1:18" ht="12.75" customHeight="1" x14ac:dyDescent="0.2">
      <c r="A2779" s="7"/>
      <c r="B2779" s="2" t="s">
        <v>1840</v>
      </c>
      <c r="C2779" s="2" t="s">
        <v>365</v>
      </c>
      <c r="D2779" s="2"/>
      <c r="E2779" s="7"/>
      <c r="F2779" s="7"/>
      <c r="G2779" s="9" t="s">
        <v>2322</v>
      </c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</row>
    <row r="2780" spans="1:18" ht="12.75" customHeight="1" x14ac:dyDescent="0.2">
      <c r="A2780" s="7"/>
      <c r="B2780" s="2" t="s">
        <v>9</v>
      </c>
      <c r="C2780" s="2" t="s">
        <v>2520</v>
      </c>
      <c r="D2780" s="2"/>
      <c r="E2780" s="7"/>
      <c r="F2780" s="7"/>
      <c r="G2780" s="9" t="s">
        <v>2322</v>
      </c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</row>
    <row r="2781" spans="1:18" ht="12.75" customHeight="1" x14ac:dyDescent="0.2">
      <c r="A2781" s="7"/>
      <c r="B2781" s="2" t="s">
        <v>11</v>
      </c>
      <c r="C2781" s="2" t="s">
        <v>1553</v>
      </c>
      <c r="D2781" s="2"/>
      <c r="E2781" s="7"/>
      <c r="F2781" s="7"/>
      <c r="G2781" s="9" t="s">
        <v>2322</v>
      </c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</row>
    <row r="2782" spans="1:18" ht="12.75" customHeight="1" x14ac:dyDescent="0.2">
      <c r="A2782" s="7"/>
      <c r="B2782" s="2" t="s">
        <v>16</v>
      </c>
      <c r="C2782" s="2"/>
      <c r="D2782" s="2"/>
      <c r="E2782" s="7"/>
      <c r="F2782" s="7"/>
      <c r="G2782" s="9" t="s">
        <v>2322</v>
      </c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</row>
    <row r="2783" spans="1:18" ht="12.75" customHeight="1" x14ac:dyDescent="0.2">
      <c r="A2783" s="7"/>
      <c r="B2783" s="2" t="s">
        <v>17</v>
      </c>
      <c r="C2783" s="2" t="s">
        <v>19</v>
      </c>
      <c r="D2783" s="2"/>
      <c r="E2783" s="7"/>
      <c r="F2783" s="7"/>
      <c r="G2783" s="9" t="s">
        <v>2322</v>
      </c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</row>
    <row r="2784" spans="1:18" ht="12.75" customHeight="1" x14ac:dyDescent="0.2">
      <c r="A2784" s="7"/>
      <c r="B2784" s="2" t="s">
        <v>18</v>
      </c>
      <c r="C2784" s="2" t="s">
        <v>57</v>
      </c>
      <c r="D2784" s="2" t="str">
        <f>HYPERLINK("javascript:void(0)","csillámgöb")</f>
        <v>csillámgöb</v>
      </c>
      <c r="E2784" s="7"/>
      <c r="F2784" s="7"/>
      <c r="G2784" s="9" t="s">
        <v>2322</v>
      </c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</row>
    <row r="2785" spans="1:18" ht="12.75" customHeight="1" x14ac:dyDescent="0.2">
      <c r="A2785" s="7"/>
      <c r="B2785" s="2"/>
      <c r="C2785" s="2" t="s">
        <v>44</v>
      </c>
      <c r="D2785" s="2" t="str">
        <f>HYPERLINK("javascript:void(0)","csillámló kompozitpáncél")</f>
        <v>csillámló kompozitpáncél</v>
      </c>
      <c r="E2785" s="7"/>
      <c r="F2785" s="7"/>
      <c r="G2785" s="9" t="s">
        <v>2322</v>
      </c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</row>
    <row r="2786" spans="1:18" ht="12.75" customHeight="1" x14ac:dyDescent="0.2">
      <c r="A2786" s="7"/>
      <c r="B2786" s="2"/>
      <c r="C2786" s="2" t="s">
        <v>327</v>
      </c>
      <c r="D2786" s="2" t="str">
        <f>HYPERLINK("javascript:void(0)","csapdaszeg")</f>
        <v>csapdaszeg</v>
      </c>
      <c r="E2786" s="7"/>
      <c r="F2786" s="7"/>
      <c r="G2786" s="9" t="s">
        <v>2322</v>
      </c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</row>
    <row r="2787" spans="1:18" ht="12.75" customHeight="1" x14ac:dyDescent="0.2">
      <c r="A2787" s="7"/>
      <c r="B2787" s="2"/>
      <c r="C2787" s="2"/>
      <c r="D2787" s="2"/>
      <c r="E2787" s="7"/>
      <c r="F2787" s="7"/>
      <c r="G2787" s="9" t="s">
        <v>2322</v>
      </c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</row>
    <row r="2788" spans="1:18" ht="12.75" customHeight="1" x14ac:dyDescent="0.2">
      <c r="A2788" s="7"/>
      <c r="B2788" s="2"/>
      <c r="C2788" s="2"/>
      <c r="D2788" s="2"/>
      <c r="E2788" s="7"/>
      <c r="F2788" s="7"/>
      <c r="G2788" s="9" t="s">
        <v>2322</v>
      </c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</row>
    <row r="2789" spans="1:18" ht="12.75" customHeight="1" x14ac:dyDescent="0.2">
      <c r="A2789" s="7"/>
      <c r="B2789" s="2"/>
      <c r="C2789" s="2"/>
      <c r="D2789" s="2"/>
      <c r="E2789" s="7"/>
      <c r="F2789" s="7"/>
      <c r="G2789" s="9" t="s">
        <v>2322</v>
      </c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</row>
    <row r="2790" spans="1:18" ht="12.75" customHeight="1" x14ac:dyDescent="0.2">
      <c r="A2790" s="7"/>
      <c r="B2790" s="2"/>
      <c r="C2790" s="2"/>
      <c r="D2790" s="2"/>
      <c r="E2790" s="7"/>
      <c r="F2790" s="7"/>
      <c r="G2790" s="9" t="s">
        <v>2322</v>
      </c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</row>
    <row r="2791" spans="1:18" ht="12.75" customHeight="1" x14ac:dyDescent="0.2">
      <c r="A2791" s="7"/>
      <c r="B2791" s="2"/>
      <c r="C2791" s="2"/>
      <c r="D2791" s="2"/>
      <c r="E2791" s="7"/>
      <c r="F2791" s="7"/>
      <c r="G2791" s="9" t="s">
        <v>2322</v>
      </c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</row>
    <row r="2792" spans="1:18" ht="12.75" customHeight="1" x14ac:dyDescent="0.2">
      <c r="A2792" s="7" t="str">
        <f>HYPERLINK("javascript:void(0)","gyűrüsvért")</f>
        <v>gyűrüsvért</v>
      </c>
      <c r="B2792" s="7"/>
      <c r="C2792" s="7"/>
      <c r="D2792" s="7"/>
      <c r="E2792" s="7"/>
      <c r="F2792" s="7"/>
      <c r="G2792" s="9" t="s">
        <v>2322</v>
      </c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</row>
    <row r="2793" spans="1:18" ht="12.75" customHeight="1" x14ac:dyDescent="0.2">
      <c r="A2793" s="7"/>
      <c r="B2793" s="2"/>
      <c r="C2793" s="2"/>
      <c r="D2793" s="2"/>
      <c r="E2793" s="7"/>
      <c r="F2793" s="7"/>
      <c r="G2793" s="9" t="s">
        <v>2322</v>
      </c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</row>
    <row r="2794" spans="1:18" ht="12.75" customHeight="1" x14ac:dyDescent="0.2">
      <c r="A2794" s="7"/>
      <c r="B2794" s="2" t="s">
        <v>0</v>
      </c>
      <c r="C2794" s="2" t="s">
        <v>312</v>
      </c>
      <c r="D2794" s="2"/>
      <c r="E2794" s="7"/>
      <c r="F2794" s="7"/>
      <c r="G2794" s="9" t="s">
        <v>2322</v>
      </c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</row>
    <row r="2795" spans="1:18" ht="12.75" customHeight="1" x14ac:dyDescent="0.2">
      <c r="A2795" s="7"/>
      <c r="B2795" s="2" t="s">
        <v>2</v>
      </c>
      <c r="C2795" s="2" t="s">
        <v>2322</v>
      </c>
      <c r="D2795" s="2"/>
      <c r="E2795" s="7"/>
      <c r="F2795" s="7"/>
      <c r="G2795" s="9" t="s">
        <v>2322</v>
      </c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</row>
    <row r="2796" spans="1:18" ht="12.75" customHeight="1" x14ac:dyDescent="0.2">
      <c r="A2796" s="7"/>
      <c r="B2796" s="2" t="s">
        <v>1840</v>
      </c>
      <c r="C2796" s="2" t="s">
        <v>2521</v>
      </c>
      <c r="D2796" s="2"/>
      <c r="E2796" s="7"/>
      <c r="F2796" s="7"/>
      <c r="G2796" s="9" t="s">
        <v>2322</v>
      </c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</row>
    <row r="2797" spans="1:18" ht="12.75" customHeight="1" x14ac:dyDescent="0.2">
      <c r="A2797" s="7"/>
      <c r="B2797" s="2" t="s">
        <v>9</v>
      </c>
      <c r="C2797" s="2" t="s">
        <v>958</v>
      </c>
      <c r="D2797" s="2"/>
      <c r="E2797" s="7"/>
      <c r="F2797" s="7"/>
      <c r="G2797" s="9" t="s">
        <v>2322</v>
      </c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</row>
    <row r="2798" spans="1:18" ht="12.75" customHeight="1" x14ac:dyDescent="0.2">
      <c r="A2798" s="7"/>
      <c r="B2798" s="2" t="s">
        <v>11</v>
      </c>
      <c r="C2798" s="2" t="s">
        <v>1040</v>
      </c>
      <c r="D2798" s="2"/>
      <c r="E2798" s="7"/>
      <c r="F2798" s="7"/>
      <c r="G2798" s="9" t="s">
        <v>2322</v>
      </c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</row>
    <row r="2799" spans="1:18" ht="12.75" customHeight="1" x14ac:dyDescent="0.2">
      <c r="A2799" s="7"/>
      <c r="B2799" s="2" t="s">
        <v>16</v>
      </c>
      <c r="C2799" s="2"/>
      <c r="D2799" s="2"/>
      <c r="E2799" s="7"/>
      <c r="F2799" s="7"/>
      <c r="G2799" s="9" t="s">
        <v>2322</v>
      </c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</row>
    <row r="2800" spans="1:18" ht="12.75" customHeight="1" x14ac:dyDescent="0.2">
      <c r="A2800" s="7"/>
      <c r="B2800" s="2" t="s">
        <v>17</v>
      </c>
      <c r="C2800" s="2" t="s">
        <v>19</v>
      </c>
      <c r="D2800" s="2"/>
      <c r="E2800" s="7"/>
      <c r="F2800" s="7"/>
      <c r="G2800" s="9" t="s">
        <v>2322</v>
      </c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</row>
    <row r="2801" spans="1:18" ht="12.75" customHeight="1" x14ac:dyDescent="0.2">
      <c r="A2801" s="7"/>
      <c r="B2801" s="2" t="s">
        <v>18</v>
      </c>
      <c r="C2801" s="2" t="s">
        <v>894</v>
      </c>
      <c r="D2801" s="2" t="str">
        <f>HYPERLINK("javascript:void(0)","patkányfarok")</f>
        <v>patkányfarok</v>
      </c>
      <c r="E2801" s="7"/>
      <c r="F2801" s="7"/>
      <c r="G2801" s="9" t="s">
        <v>2322</v>
      </c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</row>
    <row r="2802" spans="1:18" ht="12.75" customHeight="1" x14ac:dyDescent="0.2">
      <c r="A2802" s="7"/>
      <c r="B2802" s="2"/>
      <c r="C2802" s="2" t="s">
        <v>44</v>
      </c>
      <c r="D2802" s="2" t="str">
        <f>HYPERLINK("javascript:void(0)","tüskepáncél")</f>
        <v>tüskepáncél</v>
      </c>
      <c r="E2802" s="7"/>
      <c r="F2802" s="7"/>
      <c r="G2802" s="9" t="s">
        <v>2322</v>
      </c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</row>
    <row r="2803" spans="1:18" ht="12.75" customHeight="1" x14ac:dyDescent="0.2">
      <c r="A2803" s="7"/>
      <c r="B2803" s="2"/>
      <c r="C2803" s="2" t="s">
        <v>772</v>
      </c>
      <c r="D2803" s="2" t="str">
        <f>HYPERLINK("javascript:void(0)","cingulum")</f>
        <v>cingulum</v>
      </c>
      <c r="E2803" s="7"/>
      <c r="F2803" s="7"/>
      <c r="G2803" s="9" t="s">
        <v>2322</v>
      </c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</row>
    <row r="2804" spans="1:18" ht="12.75" customHeight="1" x14ac:dyDescent="0.2">
      <c r="A2804" s="7"/>
      <c r="B2804" s="2"/>
      <c r="C2804" s="2"/>
      <c r="D2804" s="2"/>
      <c r="E2804" s="7"/>
      <c r="F2804" s="7"/>
      <c r="G2804" s="9" t="s">
        <v>2322</v>
      </c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</row>
    <row r="2805" spans="1:18" ht="12.75" customHeight="1" x14ac:dyDescent="0.2">
      <c r="A2805" s="7"/>
      <c r="B2805" s="2"/>
      <c r="C2805" s="2"/>
      <c r="D2805" s="2"/>
      <c r="E2805" s="7"/>
      <c r="F2805" s="7"/>
      <c r="G2805" s="9" t="s">
        <v>2322</v>
      </c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</row>
    <row r="2806" spans="1:18" ht="12.75" customHeight="1" x14ac:dyDescent="0.2">
      <c r="A2806" s="7"/>
      <c r="B2806" s="2"/>
      <c r="C2806" s="2"/>
      <c r="D2806" s="2"/>
      <c r="E2806" s="7"/>
      <c r="F2806" s="7"/>
      <c r="G2806" s="9" t="s">
        <v>2322</v>
      </c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</row>
    <row r="2807" spans="1:18" ht="12.75" customHeight="1" x14ac:dyDescent="0.2">
      <c r="A2807" s="7"/>
      <c r="B2807" s="2"/>
      <c r="C2807" s="2"/>
      <c r="D2807" s="2"/>
      <c r="E2807" s="7"/>
      <c r="F2807" s="7"/>
      <c r="G2807" s="9" t="s">
        <v>2322</v>
      </c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</row>
    <row r="2808" spans="1:18" ht="12.75" customHeight="1" x14ac:dyDescent="0.2">
      <c r="A2808" s="7"/>
      <c r="B2808" s="2"/>
      <c r="C2808" s="2"/>
      <c r="D2808" s="2"/>
      <c r="E2808" s="7"/>
      <c r="F2808" s="7"/>
      <c r="G2808" s="9" t="s">
        <v>2322</v>
      </c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</row>
    <row r="2809" spans="1:18" ht="12.75" customHeight="1" x14ac:dyDescent="0.2">
      <c r="A2809" s="7" t="str">
        <f>HYPERLINK("javascript:void(0)","méregpáncél")</f>
        <v>méregpáncél</v>
      </c>
      <c r="B2809" s="7"/>
      <c r="C2809" s="7"/>
      <c r="D2809" s="7"/>
      <c r="E2809" s="7"/>
      <c r="F2809" s="7"/>
      <c r="G2809" s="9" t="s">
        <v>2322</v>
      </c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</row>
    <row r="2810" spans="1:18" ht="12.75" customHeight="1" x14ac:dyDescent="0.2">
      <c r="A2810" s="7"/>
      <c r="B2810" s="2"/>
      <c r="C2810" s="2"/>
      <c r="D2810" s="2"/>
      <c r="E2810" s="7"/>
      <c r="F2810" s="7"/>
      <c r="G2810" s="9" t="s">
        <v>2322</v>
      </c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</row>
    <row r="2811" spans="1:18" ht="12.75" customHeight="1" x14ac:dyDescent="0.2">
      <c r="A2811" s="7"/>
      <c r="B2811" s="2" t="s">
        <v>0</v>
      </c>
      <c r="C2811" s="2" t="s">
        <v>305</v>
      </c>
      <c r="D2811" s="2"/>
      <c r="E2811" s="7"/>
      <c r="F2811" s="7"/>
      <c r="G2811" s="9" t="s">
        <v>2322</v>
      </c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</row>
    <row r="2812" spans="1:18" ht="12.75" customHeight="1" x14ac:dyDescent="0.2">
      <c r="A2812" s="7"/>
      <c r="B2812" s="2" t="s">
        <v>2</v>
      </c>
      <c r="C2812" s="2" t="s">
        <v>2322</v>
      </c>
      <c r="D2812" s="2"/>
      <c r="E2812" s="7"/>
      <c r="F2812" s="7"/>
      <c r="G2812" s="9" t="s">
        <v>2322</v>
      </c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</row>
    <row r="2813" spans="1:18" ht="12.75" customHeight="1" x14ac:dyDescent="0.2">
      <c r="A2813" s="7"/>
      <c r="B2813" s="2" t="s">
        <v>1840</v>
      </c>
      <c r="C2813" s="2" t="s">
        <v>2522</v>
      </c>
      <c r="D2813" s="2"/>
      <c r="E2813" s="7"/>
      <c r="F2813" s="7"/>
      <c r="G2813" s="9" t="s">
        <v>2322</v>
      </c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</row>
    <row r="2814" spans="1:18" ht="12.75" customHeight="1" x14ac:dyDescent="0.2">
      <c r="A2814" s="7"/>
      <c r="B2814" s="2" t="s">
        <v>9</v>
      </c>
      <c r="C2814" s="2" t="s">
        <v>2523</v>
      </c>
      <c r="D2814" s="2"/>
      <c r="E2814" s="7"/>
      <c r="F2814" s="7"/>
      <c r="G2814" s="9" t="s">
        <v>2322</v>
      </c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</row>
    <row r="2815" spans="1:18" ht="12.75" customHeight="1" x14ac:dyDescent="0.2">
      <c r="A2815" s="7"/>
      <c r="B2815" s="2" t="s">
        <v>11</v>
      </c>
      <c r="C2815" s="2" t="s">
        <v>1565</v>
      </c>
      <c r="D2815" s="2"/>
      <c r="E2815" s="7"/>
      <c r="F2815" s="7"/>
      <c r="G2815" s="9" t="s">
        <v>2322</v>
      </c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</row>
    <row r="2816" spans="1:18" ht="12.75" customHeight="1" x14ac:dyDescent="0.2">
      <c r="A2816" s="7"/>
      <c r="B2816" s="2" t="s">
        <v>16</v>
      </c>
      <c r="C2816" s="2"/>
      <c r="D2816" s="2"/>
      <c r="E2816" s="7"/>
      <c r="F2816" s="7"/>
      <c r="G2816" s="9" t="s">
        <v>2322</v>
      </c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</row>
    <row r="2817" spans="1:18" ht="12.75" customHeight="1" x14ac:dyDescent="0.2">
      <c r="A2817" s="7"/>
      <c r="B2817" s="2" t="s">
        <v>17</v>
      </c>
      <c r="C2817" s="2" t="s">
        <v>19</v>
      </c>
      <c r="D2817" s="2"/>
      <c r="E2817" s="7"/>
      <c r="F2817" s="7"/>
      <c r="G2817" s="9" t="s">
        <v>2322</v>
      </c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</row>
    <row r="2818" spans="1:18" ht="12.75" customHeight="1" x14ac:dyDescent="0.2">
      <c r="A2818" s="7"/>
      <c r="B2818" s="2" t="s">
        <v>18</v>
      </c>
      <c r="C2818" s="2" t="s">
        <v>296</v>
      </c>
      <c r="D2818" s="2" t="str">
        <f>HYPERLINK("javascript:void(0)","méregcsepp")</f>
        <v>méregcsepp</v>
      </c>
      <c r="E2818" s="7"/>
      <c r="F2818" s="7"/>
      <c r="G2818" s="9" t="s">
        <v>2322</v>
      </c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</row>
    <row r="2819" spans="1:18" ht="12.75" customHeight="1" x14ac:dyDescent="0.2">
      <c r="A2819" s="7"/>
      <c r="B2819" s="2"/>
      <c r="C2819" s="2" t="s">
        <v>296</v>
      </c>
      <c r="D2819" s="2" t="str">
        <f>HYPERLINK("javascript:void(0)","szikracsóva")</f>
        <v>szikracsóva</v>
      </c>
      <c r="E2819" s="7"/>
      <c r="F2819" s="7"/>
      <c r="G2819" s="9" t="s">
        <v>2322</v>
      </c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</row>
    <row r="2820" spans="1:18" ht="12.75" customHeight="1" x14ac:dyDescent="0.2">
      <c r="A2820" s="7"/>
      <c r="B2820" s="2"/>
      <c r="C2820" s="2" t="s">
        <v>1536</v>
      </c>
      <c r="D2820" s="2" t="str">
        <f>HYPERLINK("javascript:void(0)","pillepikkely")</f>
        <v>pillepikkely</v>
      </c>
      <c r="E2820" s="7"/>
      <c r="F2820" s="7"/>
      <c r="G2820" s="9" t="s">
        <v>2322</v>
      </c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</row>
    <row r="2821" spans="1:18" ht="12.75" customHeight="1" x14ac:dyDescent="0.2">
      <c r="A2821" s="7"/>
      <c r="B2821" s="2"/>
      <c r="C2821" s="2"/>
      <c r="D2821" s="2"/>
      <c r="E2821" s="7"/>
      <c r="F2821" s="7"/>
      <c r="G2821" s="9" t="s">
        <v>2322</v>
      </c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</row>
    <row r="2822" spans="1:18" ht="12.75" customHeight="1" x14ac:dyDescent="0.2">
      <c r="A2822" s="7"/>
      <c r="B2822" s="2"/>
      <c r="C2822" s="2"/>
      <c r="D2822" s="2"/>
      <c r="E2822" s="7"/>
      <c r="F2822" s="7"/>
      <c r="G2822" s="9" t="s">
        <v>2322</v>
      </c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</row>
    <row r="2823" spans="1:18" ht="12.75" customHeight="1" x14ac:dyDescent="0.2">
      <c r="A2823" s="7"/>
      <c r="B2823" s="2"/>
      <c r="C2823" s="2"/>
      <c r="D2823" s="2"/>
      <c r="E2823" s="7"/>
      <c r="F2823" s="7"/>
      <c r="G2823" s="9" t="s">
        <v>2322</v>
      </c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</row>
    <row r="2824" spans="1:18" ht="12.75" customHeight="1" x14ac:dyDescent="0.2">
      <c r="A2824" s="7"/>
      <c r="B2824" s="2"/>
      <c r="C2824" s="2"/>
      <c r="D2824" s="2"/>
      <c r="E2824" s="7"/>
      <c r="F2824" s="7"/>
      <c r="G2824" s="9" t="s">
        <v>2322</v>
      </c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</row>
    <row r="2825" spans="1:18" ht="12.75" customHeight="1" x14ac:dyDescent="0.2">
      <c r="A2825" s="7"/>
      <c r="B2825" s="2"/>
      <c r="C2825" s="2"/>
      <c r="D2825" s="2"/>
      <c r="E2825" s="7"/>
      <c r="F2825" s="7"/>
      <c r="G2825" s="9" t="s">
        <v>2322</v>
      </c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</row>
    <row r="2826" spans="1:18" ht="12.75" customHeight="1" x14ac:dyDescent="0.2">
      <c r="A2826" s="7" t="str">
        <f>HYPERLINK("javascript:void(0)","csontvért")</f>
        <v>csontvért</v>
      </c>
      <c r="B2826" s="7"/>
      <c r="C2826" s="7"/>
      <c r="D2826" s="7"/>
      <c r="E2826" s="7"/>
      <c r="F2826" s="7"/>
      <c r="G2826" s="9" t="s">
        <v>2322</v>
      </c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</row>
    <row r="2827" spans="1:18" ht="12.75" customHeight="1" x14ac:dyDescent="0.2">
      <c r="A2827" s="7"/>
      <c r="B2827" s="2"/>
      <c r="C2827" s="2"/>
      <c r="D2827" s="2"/>
      <c r="E2827" s="7"/>
      <c r="F2827" s="7"/>
      <c r="G2827" s="9" t="s">
        <v>2322</v>
      </c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</row>
    <row r="2828" spans="1:18" ht="12.75" customHeight="1" x14ac:dyDescent="0.2">
      <c r="A2828" s="7"/>
      <c r="B2828" s="2" t="s">
        <v>0</v>
      </c>
      <c r="C2828" s="2" t="s">
        <v>1114</v>
      </c>
      <c r="D2828" s="2"/>
      <c r="E2828" s="7"/>
      <c r="F2828" s="7"/>
      <c r="G2828" s="9" t="s">
        <v>2322</v>
      </c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</row>
    <row r="2829" spans="1:18" ht="12.75" customHeight="1" x14ac:dyDescent="0.2">
      <c r="A2829" s="7"/>
      <c r="B2829" s="2" t="s">
        <v>2</v>
      </c>
      <c r="C2829" s="2" t="s">
        <v>2322</v>
      </c>
      <c r="D2829" s="2"/>
      <c r="E2829" s="7"/>
      <c r="F2829" s="7"/>
      <c r="G2829" s="9" t="s">
        <v>2322</v>
      </c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</row>
    <row r="2830" spans="1:18" ht="12.75" customHeight="1" x14ac:dyDescent="0.2">
      <c r="A2830" s="7"/>
      <c r="B2830" s="2" t="s">
        <v>1840</v>
      </c>
      <c r="C2830" s="2" t="s">
        <v>2524</v>
      </c>
      <c r="D2830" s="2"/>
      <c r="E2830" s="7"/>
      <c r="F2830" s="7"/>
      <c r="G2830" s="9" t="s">
        <v>2322</v>
      </c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</row>
    <row r="2831" spans="1:18" ht="12.75" customHeight="1" x14ac:dyDescent="0.2">
      <c r="A2831" s="7"/>
      <c r="B2831" s="2" t="s">
        <v>9</v>
      </c>
      <c r="C2831" s="2" t="s">
        <v>2354</v>
      </c>
      <c r="D2831" s="2"/>
      <c r="E2831" s="7"/>
      <c r="F2831" s="7"/>
      <c r="G2831" s="9" t="s">
        <v>2322</v>
      </c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</row>
    <row r="2832" spans="1:18" ht="12.75" customHeight="1" x14ac:dyDescent="0.2">
      <c r="A2832" s="7"/>
      <c r="B2832" s="2" t="s">
        <v>11</v>
      </c>
      <c r="C2832" s="2" t="s">
        <v>2190</v>
      </c>
      <c r="D2832" s="2"/>
      <c r="E2832" s="7"/>
      <c r="F2832" s="7"/>
      <c r="G2832" s="9" t="s">
        <v>2322</v>
      </c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</row>
    <row r="2833" spans="1:18" ht="12.75" customHeight="1" x14ac:dyDescent="0.2">
      <c r="A2833" s="7"/>
      <c r="B2833" s="2" t="s">
        <v>16</v>
      </c>
      <c r="C2833" s="2"/>
      <c r="D2833" s="2"/>
      <c r="E2833" s="7"/>
      <c r="F2833" s="7"/>
      <c r="G2833" s="9" t="s">
        <v>2322</v>
      </c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</row>
    <row r="2834" spans="1:18" ht="12.75" customHeight="1" x14ac:dyDescent="0.2">
      <c r="A2834" s="7"/>
      <c r="B2834" s="2" t="s">
        <v>17</v>
      </c>
      <c r="C2834" s="2" t="s">
        <v>19</v>
      </c>
      <c r="D2834" s="2"/>
      <c r="E2834" s="7"/>
      <c r="F2834" s="7"/>
      <c r="G2834" s="9" t="s">
        <v>2322</v>
      </c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</row>
    <row r="2835" spans="1:18" ht="12.75" customHeight="1" x14ac:dyDescent="0.2">
      <c r="A2835" s="7"/>
      <c r="B2835" s="2" t="s">
        <v>18</v>
      </c>
      <c r="C2835" s="2" t="s">
        <v>44</v>
      </c>
      <c r="D2835" s="2" t="str">
        <f>HYPERLINK("javascript:void(0)","gyűrüsvért")</f>
        <v>gyűrüsvért</v>
      </c>
      <c r="E2835" s="7"/>
      <c r="F2835" s="7"/>
      <c r="G2835" s="9" t="s">
        <v>2322</v>
      </c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</row>
    <row r="2836" spans="1:18" ht="12.75" customHeight="1" x14ac:dyDescent="0.2">
      <c r="A2836" s="7"/>
      <c r="B2836" s="2"/>
      <c r="C2836" s="2" t="s">
        <v>44</v>
      </c>
      <c r="D2836" s="2" t="str">
        <f>HYPERLINK("javascript:void(0)","méregpáncél")</f>
        <v>méregpáncél</v>
      </c>
      <c r="E2836" s="7"/>
      <c r="F2836" s="7"/>
      <c r="G2836" s="9" t="s">
        <v>2322</v>
      </c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</row>
    <row r="2837" spans="1:18" ht="12.75" customHeight="1" x14ac:dyDescent="0.2">
      <c r="A2837" s="7"/>
      <c r="B2837" s="2"/>
      <c r="C2837" s="2" t="s">
        <v>44</v>
      </c>
      <c r="D2837" s="2" t="str">
        <f>HYPERLINK("javascript:void(0)","csontmellény")</f>
        <v>csontmellény</v>
      </c>
      <c r="E2837" s="7"/>
      <c r="F2837" s="7"/>
      <c r="G2837" s="9" t="s">
        <v>2322</v>
      </c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</row>
    <row r="2838" spans="1:18" ht="12.75" customHeight="1" x14ac:dyDescent="0.2">
      <c r="A2838" s="7"/>
      <c r="B2838" s="2"/>
      <c r="C2838" s="2"/>
      <c r="D2838" s="2"/>
      <c r="E2838" s="7"/>
      <c r="F2838" s="7"/>
      <c r="G2838" s="9" t="s">
        <v>2322</v>
      </c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</row>
    <row r="2839" spans="1:18" ht="12.75" customHeight="1" x14ac:dyDescent="0.2">
      <c r="A2839" s="7"/>
      <c r="B2839" s="2"/>
      <c r="C2839" s="2"/>
      <c r="D2839" s="2"/>
      <c r="E2839" s="7"/>
      <c r="F2839" s="7"/>
      <c r="G2839" s="9" t="s">
        <v>2322</v>
      </c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</row>
    <row r="2840" spans="1:18" ht="12.75" customHeight="1" x14ac:dyDescent="0.2">
      <c r="A2840" s="7"/>
      <c r="B2840" s="2"/>
      <c r="C2840" s="2"/>
      <c r="D2840" s="2"/>
      <c r="E2840" s="7"/>
      <c r="F2840" s="7"/>
      <c r="G2840" s="9" t="s">
        <v>2322</v>
      </c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</row>
    <row r="2841" spans="1:18" ht="12.75" customHeight="1" x14ac:dyDescent="0.2">
      <c r="A2841" s="7"/>
      <c r="B2841" s="2"/>
      <c r="C2841" s="2"/>
      <c r="D2841" s="2"/>
      <c r="E2841" s="7"/>
      <c r="F2841" s="7"/>
      <c r="G2841" s="9" t="s">
        <v>2322</v>
      </c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</row>
    <row r="2842" spans="1:18" ht="12.75" customHeight="1" x14ac:dyDescent="0.2">
      <c r="A2842" s="7"/>
      <c r="B2842" s="2"/>
      <c r="C2842" s="2"/>
      <c r="D2842" s="2"/>
      <c r="E2842" s="7"/>
      <c r="F2842" s="7"/>
      <c r="G2842" s="9" t="s">
        <v>2322</v>
      </c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</row>
    <row r="2843" spans="1:18" ht="12.75" customHeight="1" x14ac:dyDescent="0.2">
      <c r="A2843" s="7" t="str">
        <f>HYPERLINK("javascript:void(0)","csontmellény")</f>
        <v>csontmellény</v>
      </c>
      <c r="B2843" s="7"/>
      <c r="C2843" s="7"/>
      <c r="D2843" s="7"/>
      <c r="E2843" s="7"/>
      <c r="F2843" s="7"/>
      <c r="G2843" s="9" t="s">
        <v>2322</v>
      </c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</row>
    <row r="2844" spans="1:18" ht="12.75" customHeight="1" x14ac:dyDescent="0.2">
      <c r="A2844" s="7"/>
      <c r="B2844" s="2"/>
      <c r="C2844" s="2"/>
      <c r="D2844" s="2"/>
      <c r="E2844" s="7"/>
      <c r="F2844" s="7"/>
      <c r="G2844" s="9" t="s">
        <v>2322</v>
      </c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</row>
    <row r="2845" spans="1:18" ht="12.75" customHeight="1" x14ac:dyDescent="0.2">
      <c r="A2845" s="7"/>
      <c r="B2845" s="2" t="s">
        <v>0</v>
      </c>
      <c r="C2845" s="2" t="s">
        <v>1114</v>
      </c>
      <c r="D2845" s="2"/>
      <c r="E2845" s="7"/>
      <c r="F2845" s="7"/>
      <c r="G2845" s="9" t="s">
        <v>2322</v>
      </c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</row>
    <row r="2846" spans="1:18" ht="12.75" customHeight="1" x14ac:dyDescent="0.2">
      <c r="A2846" s="7"/>
      <c r="B2846" s="2" t="s">
        <v>2</v>
      </c>
      <c r="C2846" s="2" t="s">
        <v>2322</v>
      </c>
      <c r="D2846" s="2"/>
      <c r="E2846" s="7"/>
      <c r="F2846" s="7"/>
      <c r="G2846" s="9" t="s">
        <v>2322</v>
      </c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</row>
    <row r="2847" spans="1:18" ht="12.75" customHeight="1" x14ac:dyDescent="0.2">
      <c r="A2847" s="7"/>
      <c r="B2847" s="2" t="s">
        <v>1840</v>
      </c>
      <c r="C2847" s="2" t="s">
        <v>671</v>
      </c>
      <c r="D2847" s="2"/>
      <c r="E2847" s="7"/>
      <c r="F2847" s="7"/>
      <c r="G2847" s="9" t="s">
        <v>2322</v>
      </c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</row>
    <row r="2848" spans="1:18" ht="12.75" customHeight="1" x14ac:dyDescent="0.2">
      <c r="A2848" s="7"/>
      <c r="B2848" s="2" t="s">
        <v>9</v>
      </c>
      <c r="C2848" s="2" t="s">
        <v>172</v>
      </c>
      <c r="D2848" s="2"/>
      <c r="E2848" s="7"/>
      <c r="F2848" s="7"/>
      <c r="G2848" s="9" t="s">
        <v>2322</v>
      </c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</row>
    <row r="2849" spans="1:18" ht="12.75" customHeight="1" x14ac:dyDescent="0.2">
      <c r="A2849" s="7"/>
      <c r="B2849" s="2" t="s">
        <v>11</v>
      </c>
      <c r="C2849" s="2" t="s">
        <v>866</v>
      </c>
      <c r="D2849" s="2"/>
      <c r="E2849" s="7"/>
      <c r="F2849" s="7"/>
      <c r="G2849" s="9" t="s">
        <v>2322</v>
      </c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</row>
    <row r="2850" spans="1:18" ht="12.75" customHeight="1" x14ac:dyDescent="0.2">
      <c r="A2850" s="7"/>
      <c r="B2850" s="2" t="s">
        <v>16</v>
      </c>
      <c r="C2850" s="2"/>
      <c r="D2850" s="2"/>
      <c r="E2850" s="7"/>
      <c r="F2850" s="7"/>
      <c r="G2850" s="9" t="s">
        <v>2322</v>
      </c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</row>
    <row r="2851" spans="1:18" ht="12.75" customHeight="1" x14ac:dyDescent="0.2">
      <c r="A2851" s="7"/>
      <c r="B2851" s="2" t="s">
        <v>17</v>
      </c>
      <c r="C2851" s="2" t="s">
        <v>19</v>
      </c>
      <c r="D2851" s="2"/>
      <c r="E2851" s="7"/>
      <c r="F2851" s="7"/>
      <c r="G2851" s="9" t="s">
        <v>2322</v>
      </c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</row>
    <row r="2852" spans="1:18" ht="12.75" customHeight="1" x14ac:dyDescent="0.2">
      <c r="A2852" s="7"/>
      <c r="B2852" s="2" t="s">
        <v>18</v>
      </c>
      <c r="C2852" s="2" t="s">
        <v>228</v>
      </c>
      <c r="D2852" s="2" t="str">
        <f>HYPERLINK("javascript:void(0)","bőrcsont")</f>
        <v>bőrcsont</v>
      </c>
      <c r="E2852" s="7"/>
      <c r="F2852" s="7"/>
      <c r="G2852" s="9" t="s">
        <v>2322</v>
      </c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</row>
    <row r="2853" spans="1:18" ht="12.75" customHeight="1" x14ac:dyDescent="0.2">
      <c r="A2853" s="7"/>
      <c r="B2853" s="2"/>
      <c r="C2853" s="2" t="s">
        <v>894</v>
      </c>
      <c r="D2853" s="2" t="str">
        <f>HYPERLINK("javascript:void(0)","dobverő")</f>
        <v>dobverő</v>
      </c>
      <c r="E2853" s="7"/>
      <c r="F2853" s="7"/>
      <c r="G2853" s="9" t="s">
        <v>2322</v>
      </c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</row>
    <row r="2854" spans="1:18" ht="12.75" customHeight="1" x14ac:dyDescent="0.2">
      <c r="A2854" s="7"/>
      <c r="B2854" s="2"/>
      <c r="C2854" s="2" t="s">
        <v>296</v>
      </c>
      <c r="D2854" s="2" t="str">
        <f>HYPERLINK("javascript:void(0)","fiola")</f>
        <v>fiola</v>
      </c>
      <c r="E2854" s="7"/>
      <c r="F2854" s="7"/>
      <c r="G2854" s="9" t="s">
        <v>2322</v>
      </c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</row>
    <row r="2855" spans="1:18" ht="12.75" customHeight="1" x14ac:dyDescent="0.2">
      <c r="A2855" s="7"/>
      <c r="B2855" s="2"/>
      <c r="C2855" s="2"/>
      <c r="D2855" s="2"/>
      <c r="E2855" s="7"/>
      <c r="F2855" s="7"/>
      <c r="G2855" s="9" t="s">
        <v>2322</v>
      </c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</row>
    <row r="2856" spans="1:18" ht="12.75" customHeight="1" x14ac:dyDescent="0.2">
      <c r="A2856" s="7"/>
      <c r="B2856" s="2"/>
      <c r="C2856" s="2"/>
      <c r="D2856" s="2"/>
      <c r="E2856" s="7"/>
      <c r="F2856" s="7"/>
      <c r="G2856" s="9" t="s">
        <v>2322</v>
      </c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</row>
    <row r="2857" spans="1:18" ht="12.75" customHeight="1" x14ac:dyDescent="0.2">
      <c r="A2857" s="7"/>
      <c r="B2857" s="2"/>
      <c r="C2857" s="2"/>
      <c r="D2857" s="2"/>
      <c r="E2857" s="7"/>
      <c r="F2857" s="7"/>
      <c r="G2857" s="9" t="s">
        <v>2322</v>
      </c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</row>
    <row r="2858" spans="1:18" ht="12.75" customHeight="1" x14ac:dyDescent="0.2">
      <c r="A2858" s="7"/>
      <c r="B2858" s="2"/>
      <c r="C2858" s="2"/>
      <c r="D2858" s="2"/>
      <c r="E2858" s="7"/>
      <c r="F2858" s="7"/>
      <c r="G2858" s="9" t="s">
        <v>2322</v>
      </c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</row>
    <row r="2859" spans="1:18" ht="12.75" customHeight="1" x14ac:dyDescent="0.2">
      <c r="A2859" s="7"/>
      <c r="B2859" s="2"/>
      <c r="C2859" s="2"/>
      <c r="D2859" s="2"/>
      <c r="E2859" s="7"/>
      <c r="F2859" s="7"/>
      <c r="G2859" s="9" t="s">
        <v>2322</v>
      </c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</row>
    <row r="2860" spans="1:18" ht="12.75" customHeight="1" x14ac:dyDescent="0.2">
      <c r="A2860" s="7" t="str">
        <f>HYPERLINK("javascript:void(0)","tövispáncél")</f>
        <v>tövispáncél</v>
      </c>
      <c r="B2860" s="7"/>
      <c r="C2860" s="7"/>
      <c r="D2860" s="7"/>
      <c r="E2860" s="7"/>
      <c r="F2860" s="7"/>
      <c r="G2860" s="9" t="s">
        <v>2322</v>
      </c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</row>
    <row r="2861" spans="1:18" ht="12.75" customHeight="1" x14ac:dyDescent="0.2">
      <c r="A2861" s="7"/>
      <c r="B2861" s="2"/>
      <c r="C2861" s="2"/>
      <c r="D2861" s="2"/>
      <c r="E2861" s="7"/>
      <c r="F2861" s="7"/>
      <c r="G2861" s="9" t="s">
        <v>2322</v>
      </c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</row>
    <row r="2862" spans="1:18" ht="12.75" customHeight="1" x14ac:dyDescent="0.2">
      <c r="A2862" s="7"/>
      <c r="B2862" s="2" t="s">
        <v>0</v>
      </c>
      <c r="C2862" s="2" t="s">
        <v>356</v>
      </c>
      <c r="D2862" s="2"/>
      <c r="E2862" s="7"/>
      <c r="F2862" s="7"/>
      <c r="G2862" s="9" t="s">
        <v>2322</v>
      </c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</row>
    <row r="2863" spans="1:18" ht="12.75" customHeight="1" x14ac:dyDescent="0.2">
      <c r="A2863" s="7"/>
      <c r="B2863" s="2" t="s">
        <v>2</v>
      </c>
      <c r="C2863" s="2" t="s">
        <v>2322</v>
      </c>
      <c r="D2863" s="2"/>
      <c r="E2863" s="7"/>
      <c r="F2863" s="7"/>
      <c r="G2863" s="9" t="s">
        <v>2322</v>
      </c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</row>
    <row r="2864" spans="1:18" ht="12.75" customHeight="1" x14ac:dyDescent="0.2">
      <c r="A2864" s="7"/>
      <c r="B2864" s="2" t="s">
        <v>1840</v>
      </c>
      <c r="C2864" s="2" t="s">
        <v>2525</v>
      </c>
      <c r="D2864" s="2"/>
      <c r="E2864" s="7"/>
      <c r="F2864" s="7"/>
      <c r="G2864" s="9" t="s">
        <v>2322</v>
      </c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</row>
    <row r="2865" spans="1:18" ht="12.75" customHeight="1" x14ac:dyDescent="0.2">
      <c r="A2865" s="7"/>
      <c r="B2865" s="2" t="s">
        <v>9</v>
      </c>
      <c r="C2865" s="2" t="s">
        <v>2526</v>
      </c>
      <c r="D2865" s="2"/>
      <c r="E2865" s="7"/>
      <c r="F2865" s="7"/>
      <c r="G2865" s="9" t="s">
        <v>2322</v>
      </c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</row>
    <row r="2866" spans="1:18" ht="12.75" customHeight="1" x14ac:dyDescent="0.2">
      <c r="A2866" s="7"/>
      <c r="B2866" s="2" t="s">
        <v>11</v>
      </c>
      <c r="C2866" s="2" t="s">
        <v>1577</v>
      </c>
      <c r="D2866" s="2"/>
      <c r="E2866" s="7"/>
      <c r="F2866" s="7"/>
      <c r="G2866" s="9" t="s">
        <v>2322</v>
      </c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</row>
    <row r="2867" spans="1:18" ht="12.75" customHeight="1" x14ac:dyDescent="0.2">
      <c r="A2867" s="7"/>
      <c r="B2867" s="2" t="s">
        <v>16</v>
      </c>
      <c r="C2867" s="2"/>
      <c r="D2867" s="2"/>
      <c r="E2867" s="7"/>
      <c r="F2867" s="7"/>
      <c r="G2867" s="9" t="s">
        <v>2322</v>
      </c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</row>
    <row r="2868" spans="1:18" ht="12.75" customHeight="1" x14ac:dyDescent="0.2">
      <c r="A2868" s="7"/>
      <c r="B2868" s="2" t="s">
        <v>17</v>
      </c>
      <c r="C2868" s="2" t="s">
        <v>19</v>
      </c>
      <c r="D2868" s="2"/>
      <c r="E2868" s="7"/>
      <c r="F2868" s="7"/>
      <c r="G2868" s="9" t="s">
        <v>2322</v>
      </c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</row>
    <row r="2869" spans="1:18" ht="12.75" customHeight="1" x14ac:dyDescent="0.2">
      <c r="A2869" s="7"/>
      <c r="B2869" s="2" t="s">
        <v>18</v>
      </c>
      <c r="C2869" s="2" t="s">
        <v>936</v>
      </c>
      <c r="D2869" s="2" t="str">
        <f>HYPERLINK("javascript:void(0)","fügetövis")</f>
        <v>fügetövis</v>
      </c>
      <c r="E2869" s="7"/>
      <c r="F2869" s="7"/>
      <c r="G2869" s="9" t="s">
        <v>2322</v>
      </c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</row>
    <row r="2870" spans="1:18" ht="12.75" customHeight="1" x14ac:dyDescent="0.2">
      <c r="A2870" s="7"/>
      <c r="B2870" s="2"/>
      <c r="C2870" s="2" t="s">
        <v>44</v>
      </c>
      <c r="D2870" s="2" t="str">
        <f>HYPERLINK("javascript:void(0)","csontvért")</f>
        <v>csontvért</v>
      </c>
      <c r="E2870" s="7"/>
      <c r="F2870" s="7"/>
      <c r="G2870" s="9" t="s">
        <v>2322</v>
      </c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</row>
    <row r="2871" spans="1:18" ht="12.75" customHeight="1" x14ac:dyDescent="0.2">
      <c r="A2871" s="7"/>
      <c r="B2871" s="2"/>
      <c r="C2871" s="2" t="s">
        <v>98</v>
      </c>
      <c r="D2871" s="2" t="str">
        <f>HYPERLINK("javascript:void(0)","lexikon")</f>
        <v>lexikon</v>
      </c>
      <c r="E2871" s="7"/>
      <c r="F2871" s="7"/>
      <c r="G2871" s="9" t="s">
        <v>2322</v>
      </c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</row>
    <row r="2872" spans="1:18" ht="12.75" customHeight="1" x14ac:dyDescent="0.2">
      <c r="A2872" s="7"/>
      <c r="B2872" s="2"/>
      <c r="C2872" s="2"/>
      <c r="D2872" s="2"/>
      <c r="E2872" s="7"/>
      <c r="F2872" s="7"/>
      <c r="G2872" s="9" t="s">
        <v>2322</v>
      </c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</row>
    <row r="2873" spans="1:18" ht="12.75" customHeight="1" x14ac:dyDescent="0.2">
      <c r="A2873" s="7"/>
      <c r="B2873" s="2"/>
      <c r="C2873" s="2"/>
      <c r="D2873" s="2"/>
      <c r="E2873" s="7"/>
      <c r="F2873" s="7"/>
      <c r="G2873" s="9" t="s">
        <v>2322</v>
      </c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</row>
    <row r="2874" spans="1:18" ht="12.75" customHeight="1" x14ac:dyDescent="0.2">
      <c r="A2874" s="7"/>
      <c r="B2874" s="2"/>
      <c r="C2874" s="2"/>
      <c r="D2874" s="2"/>
      <c r="E2874" s="7"/>
      <c r="F2874" s="7"/>
      <c r="G2874" s="9" t="s">
        <v>2322</v>
      </c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</row>
    <row r="2875" spans="1:18" ht="12.75" customHeight="1" x14ac:dyDescent="0.2">
      <c r="A2875" s="7"/>
      <c r="B2875" s="2"/>
      <c r="C2875" s="2"/>
      <c r="D2875" s="2"/>
      <c r="E2875" s="7"/>
      <c r="F2875" s="7"/>
      <c r="G2875" s="9" t="s">
        <v>2322</v>
      </c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</row>
    <row r="2876" spans="1:18" ht="12.75" customHeight="1" x14ac:dyDescent="0.2">
      <c r="A2876" s="7"/>
      <c r="B2876" s="2"/>
      <c r="C2876" s="2"/>
      <c r="D2876" s="2"/>
      <c r="E2876" s="7"/>
      <c r="F2876" s="7"/>
      <c r="G2876" s="9" t="s">
        <v>2322</v>
      </c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</row>
    <row r="2877" spans="1:18" ht="12.75" customHeight="1" x14ac:dyDescent="0.2">
      <c r="A2877" s="7" t="str">
        <f>HYPERLINK("javascript:void(0)","tuskóvért")</f>
        <v>tuskóvért</v>
      </c>
      <c r="B2877" s="7"/>
      <c r="C2877" s="7"/>
      <c r="D2877" s="7"/>
      <c r="E2877" s="7"/>
      <c r="F2877" s="7"/>
      <c r="G2877" s="9" t="s">
        <v>2322</v>
      </c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</row>
    <row r="2878" spans="1:18" ht="12.75" customHeight="1" x14ac:dyDescent="0.2">
      <c r="A2878" s="7"/>
      <c r="B2878" s="2"/>
      <c r="C2878" s="2"/>
      <c r="D2878" s="2"/>
      <c r="E2878" s="7"/>
      <c r="F2878" s="7"/>
      <c r="G2878" s="9" t="s">
        <v>2322</v>
      </c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</row>
    <row r="2879" spans="1:18" ht="12.75" customHeight="1" x14ac:dyDescent="0.2">
      <c r="A2879" s="7"/>
      <c r="B2879" s="2" t="s">
        <v>0</v>
      </c>
      <c r="C2879" s="2" t="s">
        <v>110</v>
      </c>
      <c r="D2879" s="2"/>
      <c r="E2879" s="7"/>
      <c r="F2879" s="7"/>
      <c r="G2879" s="9" t="s">
        <v>2322</v>
      </c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</row>
    <row r="2880" spans="1:18" ht="12.75" customHeight="1" x14ac:dyDescent="0.2">
      <c r="A2880" s="7"/>
      <c r="B2880" s="2" t="s">
        <v>2</v>
      </c>
      <c r="C2880" s="2" t="s">
        <v>2322</v>
      </c>
      <c r="D2880" s="2"/>
      <c r="E2880" s="7"/>
      <c r="F2880" s="7"/>
      <c r="G2880" s="9" t="s">
        <v>2322</v>
      </c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</row>
    <row r="2881" spans="1:18" ht="12.75" customHeight="1" x14ac:dyDescent="0.2">
      <c r="A2881" s="7"/>
      <c r="B2881" s="2" t="s">
        <v>1840</v>
      </c>
      <c r="C2881" s="2" t="s">
        <v>372</v>
      </c>
      <c r="D2881" s="2"/>
      <c r="E2881" s="7"/>
      <c r="F2881" s="7"/>
      <c r="G2881" s="9" t="s">
        <v>2322</v>
      </c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</row>
    <row r="2882" spans="1:18" ht="12.75" customHeight="1" x14ac:dyDescent="0.2">
      <c r="A2882" s="7"/>
      <c r="B2882" s="2" t="s">
        <v>9</v>
      </c>
      <c r="C2882" s="2" t="s">
        <v>2527</v>
      </c>
      <c r="D2882" s="2"/>
      <c r="E2882" s="7"/>
      <c r="F2882" s="7"/>
      <c r="G2882" s="9" t="s">
        <v>2322</v>
      </c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</row>
    <row r="2883" spans="1:18" ht="12.75" customHeight="1" x14ac:dyDescent="0.2">
      <c r="A2883" s="7"/>
      <c r="B2883" s="2" t="s">
        <v>11</v>
      </c>
      <c r="C2883" s="2" t="s">
        <v>2201</v>
      </c>
      <c r="D2883" s="2"/>
      <c r="E2883" s="7"/>
      <c r="F2883" s="7"/>
      <c r="G2883" s="9" t="s">
        <v>2322</v>
      </c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</row>
    <row r="2884" spans="1:18" ht="12.75" customHeight="1" x14ac:dyDescent="0.2">
      <c r="A2884" s="7"/>
      <c r="B2884" s="2" t="s">
        <v>16</v>
      </c>
      <c r="C2884" s="2"/>
      <c r="D2884" s="2"/>
      <c r="E2884" s="7"/>
      <c r="F2884" s="7"/>
      <c r="G2884" s="9" t="s">
        <v>2322</v>
      </c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</row>
    <row r="2885" spans="1:18" ht="12.75" customHeight="1" x14ac:dyDescent="0.2">
      <c r="A2885" s="7"/>
      <c r="B2885" s="2" t="s">
        <v>17</v>
      </c>
      <c r="C2885" s="2" t="s">
        <v>19</v>
      </c>
      <c r="D2885" s="2"/>
      <c r="E2885" s="7"/>
      <c r="F2885" s="7"/>
      <c r="G2885" s="9" t="s">
        <v>2322</v>
      </c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</row>
    <row r="2886" spans="1:18" ht="12.75" customHeight="1" x14ac:dyDescent="0.2">
      <c r="A2886" s="7"/>
      <c r="B2886" s="2" t="s">
        <v>18</v>
      </c>
      <c r="C2886" s="2" t="s">
        <v>240</v>
      </c>
      <c r="D2886" s="2" t="str">
        <f>HYPERLINK("javascript:void(0)","tuskójelvény")</f>
        <v>tuskójelvény</v>
      </c>
      <c r="E2886" s="7"/>
      <c r="F2886" s="7"/>
      <c r="G2886" s="9" t="s">
        <v>2322</v>
      </c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</row>
    <row r="2887" spans="1:18" ht="12.75" customHeight="1" x14ac:dyDescent="0.2">
      <c r="A2887" s="7"/>
      <c r="B2887" s="2"/>
      <c r="C2887" s="2" t="s">
        <v>2528</v>
      </c>
      <c r="D2887" s="2" t="str">
        <f>HYPERLINK("javascript:void(0)","vámpírherbium")</f>
        <v>vámpírherbium</v>
      </c>
      <c r="E2887" s="7"/>
      <c r="F2887" s="7"/>
      <c r="G2887" s="9" t="s">
        <v>2322</v>
      </c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</row>
    <row r="2888" spans="1:18" ht="12.75" customHeight="1" x14ac:dyDescent="0.2">
      <c r="A2888" s="7"/>
      <c r="B2888" s="2"/>
      <c r="C2888" s="2" t="s">
        <v>988</v>
      </c>
      <c r="D2888" s="2" t="str">
        <f>HYPERLINK("javascript:void(0)","fügetövis")</f>
        <v>fügetövis</v>
      </c>
      <c r="E2888" s="7"/>
      <c r="F2888" s="7"/>
      <c r="G2888" s="9" t="s">
        <v>2322</v>
      </c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</row>
    <row r="2889" spans="1:18" ht="12.75" customHeight="1" x14ac:dyDescent="0.2">
      <c r="A2889" s="7"/>
      <c r="B2889" s="2"/>
      <c r="C2889" s="2"/>
      <c r="D2889" s="2"/>
      <c r="E2889" s="7"/>
      <c r="F2889" s="7"/>
      <c r="G2889" s="9" t="s">
        <v>2322</v>
      </c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</row>
    <row r="2890" spans="1:18" ht="12.75" customHeight="1" x14ac:dyDescent="0.2">
      <c r="A2890" s="7"/>
      <c r="B2890" s="2"/>
      <c r="C2890" s="2"/>
      <c r="D2890" s="2"/>
      <c r="E2890" s="7"/>
      <c r="F2890" s="7"/>
      <c r="G2890" s="9" t="s">
        <v>2322</v>
      </c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</row>
    <row r="2891" spans="1:18" ht="12.75" customHeight="1" x14ac:dyDescent="0.2">
      <c r="A2891" s="7"/>
      <c r="B2891" s="2"/>
      <c r="C2891" s="2"/>
      <c r="D2891" s="2"/>
      <c r="E2891" s="7"/>
      <c r="F2891" s="7"/>
      <c r="G2891" s="9" t="s">
        <v>2322</v>
      </c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</row>
    <row r="2892" spans="1:18" ht="12.75" customHeight="1" x14ac:dyDescent="0.2">
      <c r="A2892" s="7"/>
      <c r="B2892" s="2"/>
      <c r="C2892" s="2"/>
      <c r="D2892" s="2"/>
      <c r="E2892" s="7"/>
      <c r="F2892" s="7"/>
      <c r="G2892" s="9" t="s">
        <v>2322</v>
      </c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</row>
    <row r="2893" spans="1:18" ht="12.75" customHeight="1" x14ac:dyDescent="0.2">
      <c r="A2893" s="7"/>
      <c r="B2893" s="2"/>
      <c r="C2893" s="2"/>
      <c r="D2893" s="2"/>
      <c r="E2893" s="7"/>
      <c r="F2893" s="7"/>
      <c r="G2893" s="9" t="s">
        <v>2322</v>
      </c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</row>
    <row r="2894" spans="1:18" ht="12.75" customHeight="1" x14ac:dyDescent="0.2">
      <c r="A2894" s="7" t="str">
        <f>HYPERLINK("javascript:void(0)","csillámló trollpáncél")</f>
        <v>csillámló trollpáncél</v>
      </c>
      <c r="B2894" s="7"/>
      <c r="C2894" s="7"/>
      <c r="D2894" s="7"/>
      <c r="E2894" s="7"/>
      <c r="F2894" s="7"/>
      <c r="G2894" s="9" t="s">
        <v>2322</v>
      </c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</row>
    <row r="2895" spans="1:18" ht="12.75" customHeight="1" x14ac:dyDescent="0.2">
      <c r="A2895" s="7"/>
      <c r="B2895" s="2"/>
      <c r="C2895" s="2"/>
      <c r="D2895" s="2"/>
      <c r="E2895" s="7"/>
      <c r="F2895" s="7"/>
      <c r="G2895" s="9" t="s">
        <v>2322</v>
      </c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</row>
    <row r="2896" spans="1:18" ht="12.75" customHeight="1" x14ac:dyDescent="0.2">
      <c r="A2896" s="7"/>
      <c r="B2896" s="2" t="s">
        <v>0</v>
      </c>
      <c r="C2896" s="2" t="s">
        <v>110</v>
      </c>
      <c r="D2896" s="2"/>
      <c r="E2896" s="7"/>
      <c r="F2896" s="7"/>
      <c r="G2896" s="9" t="s">
        <v>2322</v>
      </c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</row>
    <row r="2897" spans="1:18" ht="12.75" customHeight="1" x14ac:dyDescent="0.2">
      <c r="A2897" s="7"/>
      <c r="B2897" s="2" t="s">
        <v>2</v>
      </c>
      <c r="C2897" s="2" t="s">
        <v>2322</v>
      </c>
      <c r="D2897" s="2"/>
      <c r="E2897" s="7"/>
      <c r="F2897" s="7"/>
      <c r="G2897" s="9" t="s">
        <v>2322</v>
      </c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</row>
    <row r="2898" spans="1:18" ht="12.75" customHeight="1" x14ac:dyDescent="0.2">
      <c r="A2898" s="7"/>
      <c r="B2898" s="2" t="s">
        <v>1840</v>
      </c>
      <c r="C2898" s="2" t="s">
        <v>2529</v>
      </c>
      <c r="D2898" s="2"/>
      <c r="E2898" s="7"/>
      <c r="F2898" s="7"/>
      <c r="G2898" s="9" t="s">
        <v>2322</v>
      </c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</row>
    <row r="2899" spans="1:18" ht="12.75" customHeight="1" x14ac:dyDescent="0.2">
      <c r="A2899" s="7"/>
      <c r="B2899" s="2" t="s">
        <v>9</v>
      </c>
      <c r="C2899" s="2" t="s">
        <v>2530</v>
      </c>
      <c r="D2899" s="2"/>
      <c r="E2899" s="7"/>
      <c r="F2899" s="7"/>
      <c r="G2899" s="9" t="s">
        <v>2322</v>
      </c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</row>
    <row r="2900" spans="1:18" ht="12.75" customHeight="1" x14ac:dyDescent="0.2">
      <c r="A2900" s="7"/>
      <c r="B2900" s="2" t="s">
        <v>11</v>
      </c>
      <c r="C2900" s="2" t="s">
        <v>2201</v>
      </c>
      <c r="D2900" s="2"/>
      <c r="E2900" s="7"/>
      <c r="F2900" s="7"/>
      <c r="G2900" s="9" t="s">
        <v>2322</v>
      </c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</row>
    <row r="2901" spans="1:18" ht="12.75" customHeight="1" x14ac:dyDescent="0.2">
      <c r="A2901" s="7"/>
      <c r="B2901" s="2" t="s">
        <v>16</v>
      </c>
      <c r="C2901" s="2"/>
      <c r="D2901" s="2"/>
      <c r="E2901" s="7"/>
      <c r="F2901" s="7"/>
      <c r="G2901" s="9" t="s">
        <v>2322</v>
      </c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</row>
    <row r="2902" spans="1:18" ht="12.75" customHeight="1" x14ac:dyDescent="0.2">
      <c r="A2902" s="7"/>
      <c r="B2902" s="2" t="s">
        <v>17</v>
      </c>
      <c r="C2902" s="2" t="s">
        <v>19</v>
      </c>
      <c r="D2902" s="2"/>
      <c r="E2902" s="7"/>
      <c r="F2902" s="7"/>
      <c r="G2902" s="9" t="s">
        <v>2322</v>
      </c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</row>
    <row r="2903" spans="1:18" ht="12.75" customHeight="1" x14ac:dyDescent="0.2">
      <c r="A2903" s="7"/>
      <c r="B2903" s="2" t="s">
        <v>18</v>
      </c>
      <c r="C2903" s="2" t="s">
        <v>57</v>
      </c>
      <c r="D2903" s="2" t="str">
        <f>HYPERLINK("javascript:void(0)","csillámgöb")</f>
        <v>csillámgöb</v>
      </c>
      <c r="E2903" s="7"/>
      <c r="F2903" s="7"/>
      <c r="G2903" s="9" t="s">
        <v>2322</v>
      </c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</row>
    <row r="2904" spans="1:18" ht="12.75" customHeight="1" x14ac:dyDescent="0.2">
      <c r="A2904" s="7"/>
      <c r="B2904" s="2"/>
      <c r="C2904" s="2" t="s">
        <v>44</v>
      </c>
      <c r="D2904" s="2" t="str">
        <f>HYPERLINK("javascript:void(0)","csillámló patinapáncél")</f>
        <v>csillámló patinapáncél</v>
      </c>
      <c r="E2904" s="7"/>
      <c r="F2904" s="7"/>
      <c r="G2904" s="9" t="s">
        <v>2322</v>
      </c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</row>
    <row r="2905" spans="1:18" ht="12.75" customHeight="1" x14ac:dyDescent="0.2">
      <c r="A2905" s="7"/>
      <c r="B2905" s="2"/>
      <c r="C2905" s="2" t="s">
        <v>1494</v>
      </c>
      <c r="D2905" s="2" t="str">
        <f>HYPERLINK("javascript:void(0)","vitorla")</f>
        <v>vitorla</v>
      </c>
      <c r="E2905" s="7"/>
      <c r="F2905" s="7"/>
      <c r="G2905" s="9" t="s">
        <v>2322</v>
      </c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</row>
    <row r="2906" spans="1:18" ht="12.75" customHeight="1" x14ac:dyDescent="0.2">
      <c r="A2906" s="7"/>
      <c r="B2906" s="2"/>
      <c r="C2906" s="2"/>
      <c r="D2906" s="2"/>
      <c r="E2906" s="7"/>
      <c r="F2906" s="7"/>
      <c r="G2906" s="9" t="s">
        <v>2322</v>
      </c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</row>
    <row r="2907" spans="1:18" ht="12.75" customHeight="1" x14ac:dyDescent="0.2">
      <c r="A2907" s="7"/>
      <c r="B2907" s="2"/>
      <c r="C2907" s="2"/>
      <c r="D2907" s="2"/>
      <c r="E2907" s="7"/>
      <c r="F2907" s="7"/>
      <c r="G2907" s="9" t="s">
        <v>2322</v>
      </c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</row>
    <row r="2908" spans="1:18" ht="12.75" customHeight="1" x14ac:dyDescent="0.2">
      <c r="A2908" s="7"/>
      <c r="B2908" s="2"/>
      <c r="C2908" s="2"/>
      <c r="D2908" s="2"/>
      <c r="E2908" s="7"/>
      <c r="F2908" s="7"/>
      <c r="G2908" s="9" t="s">
        <v>2322</v>
      </c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</row>
    <row r="2909" spans="1:18" ht="12.75" customHeight="1" x14ac:dyDescent="0.2">
      <c r="A2909" s="7"/>
      <c r="B2909" s="2"/>
      <c r="C2909" s="2"/>
      <c r="D2909" s="2"/>
      <c r="E2909" s="7"/>
      <c r="F2909" s="7"/>
      <c r="G2909" s="9" t="s">
        <v>2322</v>
      </c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</row>
    <row r="2910" spans="1:18" ht="12.75" customHeight="1" x14ac:dyDescent="0.2">
      <c r="A2910" s="7"/>
      <c r="B2910" s="2"/>
      <c r="C2910" s="2"/>
      <c r="D2910" s="2"/>
      <c r="E2910" s="7"/>
      <c r="F2910" s="7"/>
      <c r="G2910" s="9" t="s">
        <v>2322</v>
      </c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</row>
    <row r="2911" spans="1:18" ht="12.75" customHeight="1" x14ac:dyDescent="0.2">
      <c r="A2911" s="7" t="str">
        <f>HYPERLINK("javascript:void(0)","zombipáncél")</f>
        <v>zombipáncél</v>
      </c>
      <c r="B2911" s="7"/>
      <c r="C2911" s="7"/>
      <c r="D2911" s="7"/>
      <c r="E2911" s="7"/>
      <c r="F2911" s="7"/>
      <c r="G2911" s="9" t="s">
        <v>2322</v>
      </c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</row>
    <row r="2912" spans="1:18" ht="12.75" customHeight="1" x14ac:dyDescent="0.2">
      <c r="A2912" s="7"/>
      <c r="B2912" s="2"/>
      <c r="C2912" s="2"/>
      <c r="D2912" s="2"/>
      <c r="E2912" s="7"/>
      <c r="F2912" s="7"/>
      <c r="G2912" s="9" t="s">
        <v>2322</v>
      </c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</row>
    <row r="2913" spans="1:18" ht="12.75" customHeight="1" x14ac:dyDescent="0.2">
      <c r="A2913" s="7"/>
      <c r="B2913" s="2" t="s">
        <v>0</v>
      </c>
      <c r="C2913" s="2" t="s">
        <v>1142</v>
      </c>
      <c r="D2913" s="2"/>
      <c r="E2913" s="7"/>
      <c r="F2913" s="7"/>
      <c r="G2913" s="9" t="s">
        <v>2322</v>
      </c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</row>
    <row r="2914" spans="1:18" ht="12.75" customHeight="1" x14ac:dyDescent="0.2">
      <c r="A2914" s="7"/>
      <c r="B2914" s="2" t="s">
        <v>2</v>
      </c>
      <c r="C2914" s="2" t="s">
        <v>2322</v>
      </c>
      <c r="D2914" s="2"/>
      <c r="E2914" s="7"/>
      <c r="F2914" s="7"/>
      <c r="G2914" s="9" t="s">
        <v>2322</v>
      </c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</row>
    <row r="2915" spans="1:18" ht="12.75" customHeight="1" x14ac:dyDescent="0.2">
      <c r="A2915" s="7"/>
      <c r="B2915" s="2" t="s">
        <v>1840</v>
      </c>
      <c r="C2915" s="2" t="s">
        <v>2531</v>
      </c>
      <c r="D2915" s="2"/>
      <c r="E2915" s="7"/>
      <c r="F2915" s="7"/>
      <c r="G2915" s="9" t="s">
        <v>2322</v>
      </c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</row>
    <row r="2916" spans="1:18" ht="12.75" customHeight="1" x14ac:dyDescent="0.2">
      <c r="A2916" s="7"/>
      <c r="B2916" s="2" t="s">
        <v>9</v>
      </c>
      <c r="C2916" s="2" t="s">
        <v>707</v>
      </c>
      <c r="D2916" s="2"/>
      <c r="E2916" s="7"/>
      <c r="F2916" s="7"/>
      <c r="G2916" s="9" t="s">
        <v>2322</v>
      </c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</row>
    <row r="2917" spans="1:18" ht="12.75" customHeight="1" x14ac:dyDescent="0.2">
      <c r="A2917" s="7"/>
      <c r="B2917" s="2" t="s">
        <v>11</v>
      </c>
      <c r="C2917" s="2" t="s">
        <v>1047</v>
      </c>
      <c r="D2917" s="2"/>
      <c r="E2917" s="7"/>
      <c r="F2917" s="7"/>
      <c r="G2917" s="9" t="s">
        <v>2322</v>
      </c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</row>
    <row r="2918" spans="1:18" ht="12.75" customHeight="1" x14ac:dyDescent="0.2">
      <c r="A2918" s="7"/>
      <c r="B2918" s="2" t="s">
        <v>16</v>
      </c>
      <c r="C2918" s="2"/>
      <c r="D2918" s="2"/>
      <c r="E2918" s="7"/>
      <c r="F2918" s="7"/>
      <c r="G2918" s="9" t="s">
        <v>2322</v>
      </c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</row>
    <row r="2919" spans="1:18" ht="12.75" customHeight="1" x14ac:dyDescent="0.2">
      <c r="A2919" s="7"/>
      <c r="B2919" s="2" t="s">
        <v>17</v>
      </c>
      <c r="C2919" s="2" t="s">
        <v>19</v>
      </c>
      <c r="D2919" s="2"/>
      <c r="E2919" s="7"/>
      <c r="F2919" s="7"/>
      <c r="G2919" s="9" t="s">
        <v>2322</v>
      </c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</row>
    <row r="2920" spans="1:18" ht="12.75" customHeight="1" x14ac:dyDescent="0.2">
      <c r="A2920" s="7"/>
      <c r="B2920" s="2" t="s">
        <v>18</v>
      </c>
      <c r="C2920" s="2" t="s">
        <v>44</v>
      </c>
      <c r="D2920" s="2" t="str">
        <f>HYPERLINK("javascript:void(0)","tuskóvért")</f>
        <v>tuskóvért</v>
      </c>
      <c r="E2920" s="7"/>
      <c r="F2920" s="7"/>
      <c r="G2920" s="9" t="s">
        <v>2322</v>
      </c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</row>
    <row r="2921" spans="1:18" ht="12.75" customHeight="1" x14ac:dyDescent="0.2">
      <c r="A2921" s="7"/>
      <c r="B2921" s="2"/>
      <c r="C2921" s="2" t="s">
        <v>44</v>
      </c>
      <c r="D2921" s="2" t="str">
        <f>HYPERLINK("javascript:void(0)","tövispáncél")</f>
        <v>tövispáncél</v>
      </c>
      <c r="E2921" s="7"/>
      <c r="F2921" s="7"/>
      <c r="G2921" s="9" t="s">
        <v>2322</v>
      </c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</row>
    <row r="2922" spans="1:18" ht="12.75" customHeight="1" x14ac:dyDescent="0.2">
      <c r="A2922" s="7"/>
      <c r="B2922" s="2"/>
      <c r="C2922" s="2" t="s">
        <v>44</v>
      </c>
      <c r="D2922" s="2" t="str">
        <f>HYPERLINK("javascript:void(0)","életmellény")</f>
        <v>életmellény</v>
      </c>
      <c r="E2922" s="7"/>
      <c r="F2922" s="7"/>
      <c r="G2922" s="9" t="s">
        <v>2322</v>
      </c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</row>
    <row r="2923" spans="1:18" ht="12.75" customHeight="1" x14ac:dyDescent="0.2">
      <c r="A2923" s="7"/>
      <c r="B2923" s="2"/>
      <c r="C2923" s="2"/>
      <c r="D2923" s="2"/>
      <c r="E2923" s="7"/>
      <c r="F2923" s="7"/>
      <c r="G2923" s="9" t="s">
        <v>2322</v>
      </c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</row>
    <row r="2924" spans="1:18" ht="12.75" customHeight="1" x14ac:dyDescent="0.2">
      <c r="A2924" s="7"/>
      <c r="B2924" s="2"/>
      <c r="C2924" s="2"/>
      <c r="D2924" s="2"/>
      <c r="E2924" s="7"/>
      <c r="F2924" s="7"/>
      <c r="G2924" s="9" t="s">
        <v>2322</v>
      </c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</row>
    <row r="2925" spans="1:18" ht="12.75" customHeight="1" x14ac:dyDescent="0.2">
      <c r="A2925" s="7"/>
      <c r="B2925" s="2"/>
      <c r="C2925" s="2"/>
      <c r="D2925" s="2"/>
      <c r="E2925" s="7"/>
      <c r="F2925" s="7"/>
      <c r="G2925" s="9" t="s">
        <v>2322</v>
      </c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</row>
    <row r="2926" spans="1:18" ht="12.75" customHeight="1" x14ac:dyDescent="0.2">
      <c r="A2926" s="7"/>
      <c r="B2926" s="2"/>
      <c r="C2926" s="2"/>
      <c r="D2926" s="2"/>
      <c r="E2926" s="7"/>
      <c r="F2926" s="7"/>
      <c r="G2926" s="9" t="s">
        <v>2322</v>
      </c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</row>
    <row r="2927" spans="1:18" ht="12.75" customHeight="1" x14ac:dyDescent="0.2">
      <c r="A2927" s="7"/>
      <c r="B2927" s="2"/>
      <c r="C2927" s="2"/>
      <c r="D2927" s="2"/>
      <c r="E2927" s="7"/>
      <c r="F2927" s="7"/>
      <c r="G2927" s="9" t="s">
        <v>2322</v>
      </c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</row>
    <row r="2928" spans="1:18" ht="12.75" customHeight="1" x14ac:dyDescent="0.2">
      <c r="A2928" s="7" t="str">
        <f>HYPERLINK("javascript:void(0)","életmellény")</f>
        <v>életmellény</v>
      </c>
      <c r="B2928" s="7"/>
      <c r="C2928" s="7"/>
      <c r="D2928" s="7"/>
      <c r="E2928" s="7"/>
      <c r="F2928" s="7"/>
      <c r="G2928" s="9" t="s">
        <v>2322</v>
      </c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</row>
    <row r="2929" spans="1:18" ht="12.75" customHeight="1" x14ac:dyDescent="0.2">
      <c r="A2929" s="7"/>
      <c r="B2929" s="2"/>
      <c r="C2929" s="2"/>
      <c r="D2929" s="2"/>
      <c r="E2929" s="7"/>
      <c r="F2929" s="7"/>
      <c r="G2929" s="9" t="s">
        <v>2322</v>
      </c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</row>
    <row r="2930" spans="1:18" ht="12.75" customHeight="1" x14ac:dyDescent="0.2">
      <c r="A2930" s="7"/>
      <c r="B2930" s="2" t="s">
        <v>0</v>
      </c>
      <c r="C2930" s="2" t="s">
        <v>1142</v>
      </c>
      <c r="D2930" s="2"/>
      <c r="E2930" s="7"/>
      <c r="F2930" s="7"/>
      <c r="G2930" s="9" t="s">
        <v>2322</v>
      </c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</row>
    <row r="2931" spans="1:18" ht="12.75" customHeight="1" x14ac:dyDescent="0.2">
      <c r="A2931" s="7"/>
      <c r="B2931" s="2" t="s">
        <v>2</v>
      </c>
      <c r="C2931" s="2" t="s">
        <v>2322</v>
      </c>
      <c r="D2931" s="2"/>
      <c r="E2931" s="7"/>
      <c r="F2931" s="7"/>
      <c r="G2931" s="9" t="s">
        <v>2322</v>
      </c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</row>
    <row r="2932" spans="1:18" ht="12.75" customHeight="1" x14ac:dyDescent="0.2">
      <c r="A2932" s="7"/>
      <c r="B2932" s="2" t="s">
        <v>1840</v>
      </c>
      <c r="C2932" s="2" t="s">
        <v>690</v>
      </c>
      <c r="D2932" s="2"/>
      <c r="E2932" s="7"/>
      <c r="F2932" s="7"/>
      <c r="G2932" s="9" t="s">
        <v>2322</v>
      </c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</row>
    <row r="2933" spans="1:18" ht="12.75" customHeight="1" x14ac:dyDescent="0.2">
      <c r="A2933" s="7"/>
      <c r="B2933" s="2" t="s">
        <v>9</v>
      </c>
      <c r="C2933" s="2" t="s">
        <v>2464</v>
      </c>
      <c r="D2933" s="2"/>
      <c r="E2933" s="7"/>
      <c r="F2933" s="7"/>
      <c r="G2933" s="9" t="s">
        <v>2322</v>
      </c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</row>
    <row r="2934" spans="1:18" ht="12.75" customHeight="1" x14ac:dyDescent="0.2">
      <c r="A2934" s="7"/>
      <c r="B2934" s="2" t="s">
        <v>11</v>
      </c>
      <c r="C2934" s="2" t="s">
        <v>866</v>
      </c>
      <c r="D2934" s="2"/>
      <c r="E2934" s="7"/>
      <c r="F2934" s="7"/>
      <c r="G2934" s="9" t="s">
        <v>2322</v>
      </c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</row>
    <row r="2935" spans="1:18" ht="12.75" customHeight="1" x14ac:dyDescent="0.2">
      <c r="A2935" s="7"/>
      <c r="B2935" s="2" t="s">
        <v>16</v>
      </c>
      <c r="C2935" s="2"/>
      <c r="D2935" s="2"/>
      <c r="E2935" s="7"/>
      <c r="F2935" s="7"/>
      <c r="G2935" s="9" t="s">
        <v>2322</v>
      </c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</row>
    <row r="2936" spans="1:18" ht="12.75" customHeight="1" x14ac:dyDescent="0.2">
      <c r="A2936" s="7"/>
      <c r="B2936" s="2" t="s">
        <v>17</v>
      </c>
      <c r="C2936" s="2" t="s">
        <v>19</v>
      </c>
      <c r="D2936" s="2"/>
      <c r="E2936" s="7"/>
      <c r="F2936" s="7"/>
      <c r="G2936" s="9" t="s">
        <v>2322</v>
      </c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</row>
    <row r="2937" spans="1:18" ht="12.75" customHeight="1" x14ac:dyDescent="0.2">
      <c r="A2937" s="7"/>
      <c r="B2937" s="2" t="s">
        <v>18</v>
      </c>
      <c r="C2937" s="2" t="s">
        <v>269</v>
      </c>
      <c r="D2937" s="2" t="str">
        <f>HYPERLINK("javascript:void(0)","életkristály")</f>
        <v>életkristály</v>
      </c>
      <c r="E2937" s="7"/>
      <c r="F2937" s="7"/>
      <c r="G2937" s="9" t="s">
        <v>2322</v>
      </c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</row>
    <row r="2938" spans="1:18" ht="12.75" customHeight="1" x14ac:dyDescent="0.2">
      <c r="A2938" s="7"/>
      <c r="B2938" s="2"/>
      <c r="C2938" s="2" t="s">
        <v>894</v>
      </c>
      <c r="D2938" s="2" t="str">
        <f>HYPERLINK("javascript:void(0)","cingulum")</f>
        <v>cingulum</v>
      </c>
      <c r="E2938" s="7"/>
      <c r="F2938" s="7"/>
      <c r="G2938" s="9" t="s">
        <v>2322</v>
      </c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</row>
    <row r="2939" spans="1:18" ht="12.75" customHeight="1" x14ac:dyDescent="0.2">
      <c r="A2939" s="7"/>
      <c r="B2939" s="2"/>
      <c r="C2939" s="2" t="s">
        <v>988</v>
      </c>
      <c r="D2939" s="2" t="str">
        <f>HYPERLINK("javascript:void(0)","rozmáragyar")</f>
        <v>rozmáragyar</v>
      </c>
      <c r="E2939" s="7"/>
      <c r="F2939" s="7"/>
      <c r="G2939" s="9" t="s">
        <v>2322</v>
      </c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</row>
    <row r="2940" spans="1:18" ht="12.75" customHeight="1" x14ac:dyDescent="0.2">
      <c r="A2940" s="7"/>
      <c r="B2940" s="2"/>
      <c r="C2940" s="2"/>
      <c r="D2940" s="2"/>
      <c r="E2940" s="7"/>
      <c r="F2940" s="7"/>
      <c r="G2940" s="9" t="s">
        <v>2322</v>
      </c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</row>
    <row r="2941" spans="1:18" ht="12.75" customHeight="1" x14ac:dyDescent="0.2">
      <c r="A2941" s="7"/>
      <c r="B2941" s="2"/>
      <c r="C2941" s="2"/>
      <c r="D2941" s="2"/>
      <c r="E2941" s="7"/>
      <c r="F2941" s="7"/>
      <c r="G2941" s="9" t="s">
        <v>2322</v>
      </c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</row>
    <row r="2942" spans="1:18" ht="12.75" customHeight="1" x14ac:dyDescent="0.2">
      <c r="A2942" s="7"/>
      <c r="B2942" s="2"/>
      <c r="C2942" s="2"/>
      <c r="D2942" s="2"/>
      <c r="E2942" s="7"/>
      <c r="F2942" s="7"/>
      <c r="G2942" s="9" t="s">
        <v>2322</v>
      </c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</row>
    <row r="2943" spans="1:18" ht="12.75" customHeight="1" x14ac:dyDescent="0.2">
      <c r="A2943" s="7"/>
      <c r="B2943" s="2"/>
      <c r="C2943" s="2"/>
      <c r="D2943" s="2"/>
      <c r="E2943" s="7"/>
      <c r="F2943" s="7"/>
      <c r="G2943" s="9" t="s">
        <v>2322</v>
      </c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</row>
    <row r="2944" spans="1:18" ht="12.75" customHeight="1" x14ac:dyDescent="0.2">
      <c r="A2944" s="7"/>
      <c r="B2944" s="2"/>
      <c r="C2944" s="2"/>
      <c r="D2944" s="2"/>
      <c r="E2944" s="7"/>
      <c r="F2944" s="7"/>
      <c r="G2944" s="9" t="s">
        <v>2322</v>
      </c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</row>
    <row r="2945" spans="1:18" ht="12.75" customHeight="1" x14ac:dyDescent="0.2">
      <c r="A2945" s="7" t="str">
        <f>HYPERLINK("javascript:void(0)","kitinvért")</f>
        <v>kitinvért</v>
      </c>
      <c r="B2945" s="7"/>
      <c r="C2945" s="7"/>
      <c r="D2945" s="7"/>
      <c r="E2945" s="7"/>
      <c r="F2945" s="7"/>
      <c r="G2945" s="9" t="s">
        <v>2322</v>
      </c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</row>
    <row r="2946" spans="1:18" ht="12.75" customHeight="1" x14ac:dyDescent="0.2">
      <c r="A2946" s="7"/>
      <c r="B2946" s="2"/>
      <c r="C2946" s="2"/>
      <c r="D2946" s="2"/>
      <c r="E2946" s="7"/>
      <c r="F2946" s="7"/>
      <c r="G2946" s="9" t="s">
        <v>2322</v>
      </c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</row>
    <row r="2947" spans="1:18" ht="12.75" customHeight="1" x14ac:dyDescent="0.2">
      <c r="A2947" s="7"/>
      <c r="B2947" s="2" t="s">
        <v>0</v>
      </c>
      <c r="C2947" s="2" t="s">
        <v>103</v>
      </c>
      <c r="D2947" s="2"/>
      <c r="E2947" s="7"/>
      <c r="F2947" s="7"/>
      <c r="G2947" s="9" t="s">
        <v>2322</v>
      </c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</row>
    <row r="2948" spans="1:18" ht="12.75" customHeight="1" x14ac:dyDescent="0.2">
      <c r="A2948" s="7"/>
      <c r="B2948" s="2" t="s">
        <v>2</v>
      </c>
      <c r="C2948" s="2" t="s">
        <v>2322</v>
      </c>
      <c r="D2948" s="2"/>
      <c r="E2948" s="7"/>
      <c r="F2948" s="7"/>
      <c r="G2948" s="9" t="s">
        <v>2322</v>
      </c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</row>
    <row r="2949" spans="1:18" ht="12.75" customHeight="1" x14ac:dyDescent="0.2">
      <c r="A2949" s="7"/>
      <c r="B2949" s="2" t="s">
        <v>1840</v>
      </c>
      <c r="C2949" s="2" t="s">
        <v>2532</v>
      </c>
      <c r="D2949" s="2"/>
      <c r="E2949" s="7"/>
      <c r="F2949" s="7"/>
      <c r="G2949" s="9" t="s">
        <v>2322</v>
      </c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</row>
    <row r="2950" spans="1:18" ht="12.75" customHeight="1" x14ac:dyDescent="0.2">
      <c r="A2950" s="7"/>
      <c r="B2950" s="2" t="s">
        <v>9</v>
      </c>
      <c r="C2950" s="2" t="s">
        <v>573</v>
      </c>
      <c r="D2950" s="2"/>
      <c r="E2950" s="7"/>
      <c r="F2950" s="7"/>
      <c r="G2950" s="9" t="s">
        <v>2322</v>
      </c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</row>
    <row r="2951" spans="1:18" ht="12.75" customHeight="1" x14ac:dyDescent="0.2">
      <c r="A2951" s="7"/>
      <c r="B2951" s="2" t="s">
        <v>11</v>
      </c>
      <c r="C2951" s="2" t="s">
        <v>2210</v>
      </c>
      <c r="D2951" s="2"/>
      <c r="E2951" s="7"/>
      <c r="F2951" s="7"/>
      <c r="G2951" s="9" t="s">
        <v>2322</v>
      </c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</row>
    <row r="2952" spans="1:18" ht="12.75" customHeight="1" x14ac:dyDescent="0.2">
      <c r="A2952" s="7"/>
      <c r="B2952" s="2" t="s">
        <v>16</v>
      </c>
      <c r="C2952" s="2"/>
      <c r="D2952" s="2"/>
      <c r="E2952" s="7"/>
      <c r="F2952" s="7"/>
      <c r="G2952" s="9" t="s">
        <v>2322</v>
      </c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</row>
    <row r="2953" spans="1:18" ht="12.75" customHeight="1" x14ac:dyDescent="0.2">
      <c r="A2953" s="7"/>
      <c r="B2953" s="2" t="s">
        <v>17</v>
      </c>
      <c r="C2953" s="2" t="s">
        <v>19</v>
      </c>
      <c r="D2953" s="2"/>
      <c r="E2953" s="7"/>
      <c r="F2953" s="7"/>
      <c r="G2953" s="9" t="s">
        <v>2322</v>
      </c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</row>
    <row r="2954" spans="1:18" ht="12.75" customHeight="1" x14ac:dyDescent="0.2">
      <c r="A2954" s="7"/>
      <c r="B2954" s="2" t="s">
        <v>18</v>
      </c>
      <c r="C2954" s="2" t="s">
        <v>1113</v>
      </c>
      <c r="D2954" s="2" t="str">
        <f>HYPERLINK("javascript:void(0)","kitintüske")</f>
        <v>kitintüske</v>
      </c>
      <c r="E2954" s="7"/>
      <c r="F2954" s="7"/>
      <c r="G2954" s="9" t="s">
        <v>2322</v>
      </c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</row>
    <row r="2955" spans="1:18" ht="12.75" customHeight="1" x14ac:dyDescent="0.2">
      <c r="A2955" s="7"/>
      <c r="B2955" s="2"/>
      <c r="C2955" s="2" t="s">
        <v>988</v>
      </c>
      <c r="D2955" s="2" t="str">
        <f>HYPERLINK("javascript:void(0)","kispárna")</f>
        <v>kispárna</v>
      </c>
      <c r="E2955" s="7"/>
      <c r="F2955" s="7"/>
      <c r="G2955" s="9" t="s">
        <v>2322</v>
      </c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</row>
    <row r="2956" spans="1:18" ht="12.75" customHeight="1" x14ac:dyDescent="0.2">
      <c r="A2956" s="7"/>
      <c r="B2956" s="2"/>
      <c r="C2956" s="2" t="s">
        <v>44</v>
      </c>
      <c r="D2956" s="2" t="str">
        <f>HYPERLINK("javascript:void(0)","zombipáncél")</f>
        <v>zombipáncél</v>
      </c>
      <c r="E2956" s="7"/>
      <c r="F2956" s="7"/>
      <c r="G2956" s="9" t="s">
        <v>2322</v>
      </c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</row>
    <row r="2957" spans="1:18" ht="12.75" customHeight="1" x14ac:dyDescent="0.2">
      <c r="A2957" s="7"/>
      <c r="B2957" s="2"/>
      <c r="C2957" s="2"/>
      <c r="D2957" s="2"/>
      <c r="E2957" s="7"/>
      <c r="F2957" s="7"/>
      <c r="G2957" s="9" t="s">
        <v>2322</v>
      </c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</row>
    <row r="2958" spans="1:18" ht="12.75" customHeight="1" x14ac:dyDescent="0.2">
      <c r="A2958" s="7"/>
      <c r="B2958" s="2"/>
      <c r="C2958" s="2"/>
      <c r="D2958" s="2"/>
      <c r="E2958" s="7"/>
      <c r="F2958" s="7"/>
      <c r="G2958" s="9" t="s">
        <v>2322</v>
      </c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</row>
    <row r="2959" spans="1:18" ht="12.75" customHeight="1" x14ac:dyDescent="0.2">
      <c r="A2959" s="7"/>
      <c r="B2959" s="2"/>
      <c r="C2959" s="2"/>
      <c r="D2959" s="2"/>
      <c r="E2959" s="7"/>
      <c r="F2959" s="7"/>
      <c r="G2959" s="9" t="s">
        <v>2322</v>
      </c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</row>
    <row r="2960" spans="1:18" ht="12.75" customHeight="1" x14ac:dyDescent="0.2">
      <c r="A2960" s="7"/>
      <c r="B2960" s="2"/>
      <c r="C2960" s="2"/>
      <c r="D2960" s="2"/>
      <c r="E2960" s="7"/>
      <c r="F2960" s="7"/>
      <c r="G2960" s="9" t="s">
        <v>2322</v>
      </c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</row>
    <row r="2961" spans="1:18" ht="12.75" customHeight="1" x14ac:dyDescent="0.2">
      <c r="A2961" s="7"/>
      <c r="B2961" s="2"/>
      <c r="C2961" s="2"/>
      <c r="D2961" s="2"/>
      <c r="E2961" s="7"/>
      <c r="F2961" s="7"/>
      <c r="G2961" s="9" t="s">
        <v>2322</v>
      </c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</row>
    <row r="2962" spans="1:18" ht="12.75" customHeight="1" x14ac:dyDescent="0.2">
      <c r="A2962" s="7" t="str">
        <f>HYPERLINK("javascript:void(0)","kalmárpáncél")</f>
        <v>kalmárpáncél</v>
      </c>
      <c r="B2962" s="7"/>
      <c r="C2962" s="7"/>
      <c r="D2962" s="7"/>
      <c r="E2962" s="7"/>
      <c r="F2962" s="7"/>
      <c r="G2962" s="9" t="s">
        <v>2322</v>
      </c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</row>
    <row r="2963" spans="1:18" ht="12.75" customHeight="1" x14ac:dyDescent="0.2">
      <c r="A2963" s="7"/>
      <c r="B2963" s="2"/>
      <c r="C2963" s="2"/>
      <c r="D2963" s="2"/>
      <c r="E2963" s="7"/>
      <c r="F2963" s="7"/>
      <c r="G2963" s="9" t="s">
        <v>2322</v>
      </c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</row>
    <row r="2964" spans="1:18" ht="12.75" customHeight="1" x14ac:dyDescent="0.2">
      <c r="A2964" s="7"/>
      <c r="B2964" s="2" t="s">
        <v>0</v>
      </c>
      <c r="C2964" s="2" t="s">
        <v>112</v>
      </c>
      <c r="D2964" s="2"/>
      <c r="E2964" s="7"/>
      <c r="F2964" s="7"/>
      <c r="G2964" s="9" t="s">
        <v>2322</v>
      </c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</row>
    <row r="2965" spans="1:18" ht="12.75" customHeight="1" x14ac:dyDescent="0.2">
      <c r="A2965" s="7"/>
      <c r="B2965" s="2" t="s">
        <v>2</v>
      </c>
      <c r="C2965" s="2" t="s">
        <v>2322</v>
      </c>
      <c r="D2965" s="2"/>
      <c r="E2965" s="7"/>
      <c r="F2965" s="7"/>
      <c r="G2965" s="9" t="s">
        <v>2322</v>
      </c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</row>
    <row r="2966" spans="1:18" ht="12.75" customHeight="1" x14ac:dyDescent="0.2">
      <c r="A2966" s="7"/>
      <c r="B2966" s="2" t="s">
        <v>1840</v>
      </c>
      <c r="C2966" s="2" t="s">
        <v>2533</v>
      </c>
      <c r="D2966" s="2"/>
      <c r="E2966" s="7"/>
      <c r="F2966" s="7"/>
      <c r="G2966" s="9" t="s">
        <v>2322</v>
      </c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</row>
    <row r="2967" spans="1:18" ht="12.75" customHeight="1" x14ac:dyDescent="0.2">
      <c r="A2967" s="7"/>
      <c r="B2967" s="2" t="s">
        <v>9</v>
      </c>
      <c r="C2967" s="2" t="s">
        <v>36</v>
      </c>
      <c r="D2967" s="2"/>
      <c r="E2967" s="7"/>
      <c r="F2967" s="7"/>
      <c r="G2967" s="9" t="s">
        <v>2322</v>
      </c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</row>
    <row r="2968" spans="1:18" ht="12.75" customHeight="1" x14ac:dyDescent="0.2">
      <c r="A2968" s="7"/>
      <c r="B2968" s="2" t="s">
        <v>11</v>
      </c>
      <c r="C2968" s="2" t="s">
        <v>1607</v>
      </c>
      <c r="D2968" s="2"/>
      <c r="E2968" s="7"/>
      <c r="F2968" s="7"/>
      <c r="G2968" s="9" t="s">
        <v>2322</v>
      </c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</row>
    <row r="2969" spans="1:18" ht="12.75" customHeight="1" x14ac:dyDescent="0.2">
      <c r="A2969" s="7"/>
      <c r="B2969" s="2" t="s">
        <v>16</v>
      </c>
      <c r="C2969" s="2"/>
      <c r="D2969" s="2"/>
      <c r="E2969" s="7"/>
      <c r="F2969" s="7"/>
      <c r="G2969" s="9" t="s">
        <v>2322</v>
      </c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</row>
    <row r="2970" spans="1:18" ht="12.75" customHeight="1" x14ac:dyDescent="0.2">
      <c r="A2970" s="7"/>
      <c r="B2970" s="2" t="s">
        <v>17</v>
      </c>
      <c r="C2970" s="2" t="s">
        <v>19</v>
      </c>
      <c r="D2970" s="2"/>
      <c r="E2970" s="7"/>
      <c r="F2970" s="7"/>
      <c r="G2970" s="9" t="s">
        <v>2322</v>
      </c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</row>
    <row r="2971" spans="1:18" ht="12.75" customHeight="1" x14ac:dyDescent="0.2">
      <c r="A2971" s="7"/>
      <c r="B2971" s="2" t="s">
        <v>18</v>
      </c>
      <c r="C2971" s="2" t="s">
        <v>780</v>
      </c>
      <c r="D2971" s="2" t="str">
        <f>HYPERLINK("javascript:void(0)","merkantid")</f>
        <v>merkantid</v>
      </c>
      <c r="E2971" s="7"/>
      <c r="F2971" s="7"/>
      <c r="G2971" s="9" t="s">
        <v>2322</v>
      </c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</row>
    <row r="2972" spans="1:18" ht="12.75" customHeight="1" x14ac:dyDescent="0.2">
      <c r="A2972" s="7"/>
      <c r="B2972" s="2"/>
      <c r="C2972" s="2" t="s">
        <v>163</v>
      </c>
      <c r="D2972" s="2" t="str">
        <f>HYPERLINK("javascript:void(0)","mágusköpeny")</f>
        <v>mágusköpeny</v>
      </c>
      <c r="E2972" s="7"/>
      <c r="F2972" s="7"/>
      <c r="G2972" s="9" t="s">
        <v>2322</v>
      </c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</row>
    <row r="2973" spans="1:18" ht="12.75" customHeight="1" x14ac:dyDescent="0.2">
      <c r="A2973" s="7"/>
      <c r="B2973" s="2"/>
      <c r="C2973" s="2" t="s">
        <v>780</v>
      </c>
      <c r="D2973" s="2" t="str">
        <f>HYPERLINK("javascript:void(0)","méregcsepp")</f>
        <v>méregcsepp</v>
      </c>
      <c r="E2973" s="7"/>
      <c r="F2973" s="7"/>
      <c r="G2973" s="9" t="s">
        <v>2322</v>
      </c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</row>
    <row r="2974" spans="1:18" ht="12.75" customHeight="1" x14ac:dyDescent="0.2">
      <c r="A2974" s="7"/>
      <c r="B2974" s="2"/>
      <c r="C2974" s="2"/>
      <c r="D2974" s="2"/>
      <c r="E2974" s="7"/>
      <c r="F2974" s="7"/>
      <c r="G2974" s="9" t="s">
        <v>2322</v>
      </c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</row>
    <row r="2975" spans="1:18" ht="12.75" customHeight="1" x14ac:dyDescent="0.2">
      <c r="A2975" s="7"/>
      <c r="B2975" s="2"/>
      <c r="C2975" s="2"/>
      <c r="D2975" s="2"/>
      <c r="E2975" s="7"/>
      <c r="F2975" s="7"/>
      <c r="G2975" s="9" t="s">
        <v>2322</v>
      </c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</row>
    <row r="2976" spans="1:18" ht="12.75" customHeight="1" x14ac:dyDescent="0.2">
      <c r="A2976" s="7"/>
      <c r="B2976" s="2"/>
      <c r="C2976" s="2"/>
      <c r="D2976" s="2"/>
      <c r="E2976" s="7"/>
      <c r="F2976" s="7"/>
      <c r="G2976" s="9" t="s">
        <v>2322</v>
      </c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</row>
    <row r="2977" spans="1:18" ht="12.75" customHeight="1" x14ac:dyDescent="0.2">
      <c r="A2977" s="7"/>
      <c r="B2977" s="2"/>
      <c r="C2977" s="2"/>
      <c r="D2977" s="2"/>
      <c r="E2977" s="7"/>
      <c r="F2977" s="7"/>
      <c r="G2977" s="9" t="s">
        <v>2322</v>
      </c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</row>
    <row r="2978" spans="1:18" ht="12.75" customHeight="1" x14ac:dyDescent="0.2">
      <c r="A2978" s="7"/>
      <c r="B2978" s="2"/>
      <c r="C2978" s="2"/>
      <c r="D2978" s="2"/>
      <c r="E2978" s="7"/>
      <c r="F2978" s="7"/>
      <c r="G2978" s="9" t="s">
        <v>2322</v>
      </c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</row>
    <row r="2979" spans="1:18" ht="12.75" customHeight="1" x14ac:dyDescent="0.2">
      <c r="A2979" s="7" t="str">
        <f>HYPERLINK("javascript:void(0)","légpáncél")</f>
        <v>légpáncél</v>
      </c>
      <c r="B2979" s="7"/>
      <c r="C2979" s="7"/>
      <c r="D2979" s="7"/>
      <c r="E2979" s="7"/>
      <c r="F2979" s="7"/>
      <c r="G2979" s="9" t="s">
        <v>2322</v>
      </c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</row>
    <row r="2980" spans="1:18" ht="12.75" customHeight="1" x14ac:dyDescent="0.2">
      <c r="A2980" s="7"/>
      <c r="B2980" s="2"/>
      <c r="C2980" s="2"/>
      <c r="D2980" s="2"/>
      <c r="E2980" s="7"/>
      <c r="F2980" s="7"/>
      <c r="G2980" s="9" t="s">
        <v>2322</v>
      </c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</row>
    <row r="2981" spans="1:18" ht="12.75" customHeight="1" x14ac:dyDescent="0.2">
      <c r="A2981" s="7"/>
      <c r="B2981" s="2" t="s">
        <v>0</v>
      </c>
      <c r="C2981" s="2" t="s">
        <v>1165</v>
      </c>
      <c r="D2981" s="2"/>
      <c r="E2981" s="7"/>
      <c r="F2981" s="7"/>
      <c r="G2981" s="9" t="s">
        <v>2322</v>
      </c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</row>
    <row r="2982" spans="1:18" ht="12.75" customHeight="1" x14ac:dyDescent="0.2">
      <c r="A2982" s="7"/>
      <c r="B2982" s="2" t="s">
        <v>2</v>
      </c>
      <c r="C2982" s="2" t="s">
        <v>2322</v>
      </c>
      <c r="D2982" s="2"/>
      <c r="E2982" s="7"/>
      <c r="F2982" s="7"/>
      <c r="G2982" s="9" t="s">
        <v>2322</v>
      </c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</row>
    <row r="2983" spans="1:18" ht="12.75" customHeight="1" x14ac:dyDescent="0.2">
      <c r="A2983" s="7"/>
      <c r="B2983" s="2" t="s">
        <v>1840</v>
      </c>
      <c r="C2983" s="2" t="s">
        <v>2534</v>
      </c>
      <c r="D2983" s="2"/>
      <c r="E2983" s="7"/>
      <c r="F2983" s="7"/>
      <c r="G2983" s="9" t="s">
        <v>2322</v>
      </c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</row>
    <row r="2984" spans="1:18" ht="12.75" customHeight="1" x14ac:dyDescent="0.2">
      <c r="A2984" s="7"/>
      <c r="B2984" s="2" t="s">
        <v>9</v>
      </c>
      <c r="C2984" s="2" t="s">
        <v>665</v>
      </c>
      <c r="D2984" s="2"/>
      <c r="E2984" s="7"/>
      <c r="F2984" s="7"/>
      <c r="G2984" s="9" t="s">
        <v>2322</v>
      </c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</row>
    <row r="2985" spans="1:18" ht="12.75" customHeight="1" x14ac:dyDescent="0.2">
      <c r="A2985" s="7"/>
      <c r="B2985" s="2" t="s">
        <v>11</v>
      </c>
      <c r="C2985" s="2" t="s">
        <v>2218</v>
      </c>
      <c r="D2985" s="2"/>
      <c r="E2985" s="7"/>
      <c r="F2985" s="7"/>
      <c r="G2985" s="9" t="s">
        <v>2322</v>
      </c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</row>
    <row r="2986" spans="1:18" ht="12.75" customHeight="1" x14ac:dyDescent="0.2">
      <c r="A2986" s="7"/>
      <c r="B2986" s="2" t="s">
        <v>16</v>
      </c>
      <c r="C2986" s="2"/>
      <c r="D2986" s="2"/>
      <c r="E2986" s="7"/>
      <c r="F2986" s="7"/>
      <c r="G2986" s="9" t="s">
        <v>2322</v>
      </c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</row>
    <row r="2987" spans="1:18" ht="12.75" customHeight="1" x14ac:dyDescent="0.2">
      <c r="A2987" s="7"/>
      <c r="B2987" s="2" t="s">
        <v>17</v>
      </c>
      <c r="C2987" s="2" t="s">
        <v>19</v>
      </c>
      <c r="D2987" s="2"/>
      <c r="E2987" s="7"/>
      <c r="F2987" s="7"/>
      <c r="G2987" s="9" t="s">
        <v>2322</v>
      </c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</row>
    <row r="2988" spans="1:18" ht="12.75" customHeight="1" x14ac:dyDescent="0.2">
      <c r="A2988" s="7"/>
      <c r="B2988" s="2" t="s">
        <v>18</v>
      </c>
      <c r="C2988" s="2" t="s">
        <v>44</v>
      </c>
      <c r="D2988" s="2" t="str">
        <f>HYPERLINK("javascript:void(0)","kitinvért")</f>
        <v>kitinvért</v>
      </c>
      <c r="E2988" s="7"/>
      <c r="F2988" s="7"/>
      <c r="G2988" s="9" t="s">
        <v>2322</v>
      </c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</row>
    <row r="2989" spans="1:18" ht="12.75" customHeight="1" x14ac:dyDescent="0.2">
      <c r="A2989" s="7"/>
      <c r="B2989" s="2"/>
      <c r="C2989" s="2" t="s">
        <v>44</v>
      </c>
      <c r="D2989" s="2" t="str">
        <f>HYPERLINK("javascript:void(0)","légmellény")</f>
        <v>légmellény</v>
      </c>
      <c r="E2989" s="7"/>
      <c r="F2989" s="7"/>
      <c r="G2989" s="9" t="s">
        <v>2322</v>
      </c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</row>
    <row r="2990" spans="1:18" ht="12.75" customHeight="1" x14ac:dyDescent="0.2">
      <c r="A2990" s="7"/>
      <c r="B2990" s="2"/>
      <c r="C2990" s="2" t="s">
        <v>44</v>
      </c>
      <c r="D2990" s="2" t="str">
        <f>HYPERLINK("javascript:void(0)","kalmárpáncél")</f>
        <v>kalmárpáncél</v>
      </c>
      <c r="E2990" s="7"/>
      <c r="F2990" s="7"/>
      <c r="G2990" s="9" t="s">
        <v>2322</v>
      </c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</row>
    <row r="2991" spans="1:18" ht="12.75" customHeight="1" x14ac:dyDescent="0.2">
      <c r="A2991" s="7"/>
      <c r="B2991" s="2"/>
      <c r="C2991" s="2"/>
      <c r="D2991" s="2"/>
      <c r="E2991" s="7"/>
      <c r="F2991" s="7"/>
      <c r="G2991" s="9" t="s">
        <v>2322</v>
      </c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</row>
    <row r="2992" spans="1:18" ht="12.75" customHeight="1" x14ac:dyDescent="0.2">
      <c r="A2992" s="7"/>
      <c r="B2992" s="2"/>
      <c r="C2992" s="2"/>
      <c r="D2992" s="2"/>
      <c r="E2992" s="7"/>
      <c r="F2992" s="7"/>
      <c r="G2992" s="9" t="s">
        <v>2322</v>
      </c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</row>
    <row r="2993" spans="1:18" ht="12.75" customHeight="1" x14ac:dyDescent="0.2">
      <c r="A2993" s="7"/>
      <c r="B2993" s="2"/>
      <c r="C2993" s="2"/>
      <c r="D2993" s="2"/>
      <c r="E2993" s="7"/>
      <c r="F2993" s="7"/>
      <c r="G2993" s="9" t="s">
        <v>2322</v>
      </c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</row>
    <row r="2994" spans="1:18" ht="12.75" customHeight="1" x14ac:dyDescent="0.2">
      <c r="A2994" s="7"/>
      <c r="B2994" s="2"/>
      <c r="C2994" s="2"/>
      <c r="D2994" s="2"/>
      <c r="E2994" s="7"/>
      <c r="F2994" s="7"/>
      <c r="G2994" s="9" t="s">
        <v>2322</v>
      </c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</row>
    <row r="2995" spans="1:18" ht="12.75" customHeight="1" x14ac:dyDescent="0.2">
      <c r="A2995" s="7"/>
      <c r="B2995" s="2"/>
      <c r="C2995" s="2"/>
      <c r="D2995" s="2"/>
      <c r="E2995" s="7"/>
      <c r="F2995" s="7"/>
      <c r="G2995" s="9" t="s">
        <v>2322</v>
      </c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</row>
    <row r="2996" spans="1:18" ht="12.75" customHeight="1" x14ac:dyDescent="0.2">
      <c r="A2996" s="7" t="str">
        <f>HYPERLINK("javascript:void(0)","légmellény")</f>
        <v>légmellény</v>
      </c>
      <c r="B2996" s="7"/>
      <c r="C2996" s="7"/>
      <c r="D2996" s="7"/>
      <c r="E2996" s="7"/>
      <c r="F2996" s="7"/>
      <c r="G2996" s="9" t="s">
        <v>2322</v>
      </c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</row>
    <row r="2997" spans="1:18" ht="12.75" customHeight="1" x14ac:dyDescent="0.2">
      <c r="A2997" s="7"/>
      <c r="B2997" s="2"/>
      <c r="C2997" s="2"/>
      <c r="D2997" s="2"/>
      <c r="E2997" s="7"/>
      <c r="F2997" s="7"/>
      <c r="G2997" s="9" t="s">
        <v>2322</v>
      </c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</row>
    <row r="2998" spans="1:18" ht="12.75" customHeight="1" x14ac:dyDescent="0.2">
      <c r="A2998" s="7"/>
      <c r="B2998" s="2" t="s">
        <v>0</v>
      </c>
      <c r="C2998" s="2" t="s">
        <v>1165</v>
      </c>
      <c r="D2998" s="2"/>
      <c r="E2998" s="7"/>
      <c r="F2998" s="7"/>
      <c r="G2998" s="9" t="s">
        <v>2322</v>
      </c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</row>
    <row r="2999" spans="1:18" ht="12.75" customHeight="1" x14ac:dyDescent="0.2">
      <c r="A2999" s="7"/>
      <c r="B2999" s="2" t="s">
        <v>2</v>
      </c>
      <c r="C2999" s="2" t="s">
        <v>2322</v>
      </c>
      <c r="D2999" s="2"/>
      <c r="E2999" s="7"/>
      <c r="F2999" s="7"/>
      <c r="G2999" s="9" t="s">
        <v>2322</v>
      </c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</row>
    <row r="3000" spans="1:18" ht="12.75" customHeight="1" x14ac:dyDescent="0.2">
      <c r="A3000" s="7"/>
      <c r="B3000" s="2" t="s">
        <v>1840</v>
      </c>
      <c r="C3000" s="2" t="s">
        <v>253</v>
      </c>
      <c r="D3000" s="2"/>
      <c r="E3000" s="7"/>
      <c r="F3000" s="7"/>
      <c r="G3000" s="9" t="s">
        <v>2322</v>
      </c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</row>
    <row r="3001" spans="1:18" ht="12.75" customHeight="1" x14ac:dyDescent="0.2">
      <c r="A3001" s="7"/>
      <c r="B3001" s="2" t="s">
        <v>9</v>
      </c>
      <c r="C3001" s="2" t="s">
        <v>2535</v>
      </c>
      <c r="D3001" s="2"/>
      <c r="E3001" s="7"/>
      <c r="F3001" s="7"/>
      <c r="G3001" s="9" t="s">
        <v>2322</v>
      </c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</row>
    <row r="3002" spans="1:18" ht="12.75" customHeight="1" x14ac:dyDescent="0.2">
      <c r="A3002" s="7"/>
      <c r="B3002" s="2" t="s">
        <v>11</v>
      </c>
      <c r="C3002" s="2" t="s">
        <v>2536</v>
      </c>
      <c r="D3002" s="2"/>
      <c r="E3002" s="7"/>
      <c r="F3002" s="7"/>
      <c r="G3002" s="9" t="s">
        <v>2322</v>
      </c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</row>
    <row r="3003" spans="1:18" ht="12.75" customHeight="1" x14ac:dyDescent="0.2">
      <c r="A3003" s="7"/>
      <c r="B3003" s="2" t="s">
        <v>16</v>
      </c>
      <c r="C3003" s="2"/>
      <c r="D3003" s="2"/>
      <c r="E3003" s="7"/>
      <c r="F3003" s="7"/>
      <c r="G3003" s="9" t="s">
        <v>2322</v>
      </c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</row>
    <row r="3004" spans="1:18" ht="12.75" customHeight="1" x14ac:dyDescent="0.2">
      <c r="A3004" s="7"/>
      <c r="B3004" s="2" t="s">
        <v>17</v>
      </c>
      <c r="C3004" s="2" t="s">
        <v>19</v>
      </c>
      <c r="D3004" s="2"/>
      <c r="E3004" s="7"/>
      <c r="F3004" s="7"/>
      <c r="G3004" s="9" t="s">
        <v>2322</v>
      </c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</row>
    <row r="3005" spans="1:18" ht="12.75" customHeight="1" x14ac:dyDescent="0.2">
      <c r="A3005" s="7"/>
      <c r="B3005" s="2" t="s">
        <v>18</v>
      </c>
      <c r="C3005" s="2" t="s">
        <v>756</v>
      </c>
      <c r="D3005" s="2" t="str">
        <f>HYPERLINK("javascript:void(0)","légpatkó")</f>
        <v>légpatkó</v>
      </c>
      <c r="E3005" s="7"/>
      <c r="F3005" s="7"/>
      <c r="G3005" s="9" t="s">
        <v>2322</v>
      </c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</row>
    <row r="3006" spans="1:18" ht="12.75" customHeight="1" x14ac:dyDescent="0.2">
      <c r="A3006" s="7"/>
      <c r="B3006" s="2"/>
      <c r="C3006" s="2" t="s">
        <v>809</v>
      </c>
      <c r="D3006" s="2" t="str">
        <f>HYPERLINK("javascript:void(0)","patkányfarok")</f>
        <v>patkányfarok</v>
      </c>
      <c r="E3006" s="7"/>
      <c r="F3006" s="7"/>
      <c r="G3006" s="9" t="s">
        <v>2322</v>
      </c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</row>
    <row r="3007" spans="1:18" ht="12.75" customHeight="1" x14ac:dyDescent="0.2">
      <c r="A3007" s="7"/>
      <c r="B3007" s="2"/>
      <c r="C3007" s="2" t="s">
        <v>296</v>
      </c>
      <c r="D3007" s="2" t="str">
        <f>HYPERLINK("javascript:void(0)","hidegige")</f>
        <v>hidegige</v>
      </c>
      <c r="E3007" s="7"/>
      <c r="F3007" s="7"/>
      <c r="G3007" s="9" t="s">
        <v>2322</v>
      </c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</row>
    <row r="3008" spans="1:18" ht="12.75" customHeight="1" x14ac:dyDescent="0.2">
      <c r="A3008" s="7"/>
      <c r="B3008" s="2"/>
      <c r="C3008" s="2"/>
      <c r="D3008" s="2"/>
      <c r="E3008" s="7"/>
      <c r="F3008" s="7"/>
      <c r="G3008" s="9" t="s">
        <v>2322</v>
      </c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</row>
    <row r="3009" spans="1:18" ht="12.75" customHeight="1" x14ac:dyDescent="0.2">
      <c r="A3009" s="7"/>
      <c r="B3009" s="2"/>
      <c r="C3009" s="2"/>
      <c r="D3009" s="2"/>
      <c r="E3009" s="7"/>
      <c r="F3009" s="7"/>
      <c r="G3009" s="9" t="s">
        <v>2322</v>
      </c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</row>
    <row r="3010" spans="1:18" ht="12.75" customHeight="1" x14ac:dyDescent="0.2">
      <c r="A3010" s="7"/>
      <c r="B3010" s="2"/>
      <c r="C3010" s="2"/>
      <c r="D3010" s="2"/>
      <c r="E3010" s="7"/>
      <c r="F3010" s="7"/>
      <c r="G3010" s="9" t="s">
        <v>2322</v>
      </c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</row>
    <row r="3011" spans="1:18" ht="12.75" customHeight="1" x14ac:dyDescent="0.2">
      <c r="A3011" s="7"/>
      <c r="B3011" s="2"/>
      <c r="C3011" s="2"/>
      <c r="D3011" s="2"/>
      <c r="E3011" s="7"/>
      <c r="F3011" s="7"/>
      <c r="G3011" s="9" t="s">
        <v>2322</v>
      </c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</row>
    <row r="3012" spans="1:18" ht="12.75" customHeight="1" x14ac:dyDescent="0.2">
      <c r="A3012" s="7"/>
      <c r="B3012" s="2"/>
      <c r="C3012" s="2"/>
      <c r="D3012" s="2"/>
      <c r="E3012" s="7"/>
      <c r="F3012" s="7"/>
      <c r="G3012" s="9" t="s">
        <v>2322</v>
      </c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</row>
    <row r="3013" spans="1:18" ht="12.75" customHeight="1" x14ac:dyDescent="0.2">
      <c r="A3013" s="7" t="str">
        <f>HYPERLINK("javascript:void(0)","csillámló pengepáncél")</f>
        <v>csillámló pengepáncél</v>
      </c>
      <c r="B3013" s="7"/>
      <c r="C3013" s="7"/>
      <c r="D3013" s="7"/>
      <c r="E3013" s="7"/>
      <c r="F3013" s="7"/>
      <c r="G3013" s="9" t="s">
        <v>2322</v>
      </c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</row>
    <row r="3014" spans="1:18" ht="12.75" customHeight="1" x14ac:dyDescent="0.2">
      <c r="A3014" s="7"/>
      <c r="B3014" s="2"/>
      <c r="C3014" s="2"/>
      <c r="D3014" s="2"/>
      <c r="E3014" s="7"/>
      <c r="F3014" s="7"/>
      <c r="G3014" s="9" t="s">
        <v>2322</v>
      </c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</row>
    <row r="3015" spans="1:18" ht="12.75" customHeight="1" x14ac:dyDescent="0.2">
      <c r="A3015" s="7"/>
      <c r="B3015" s="2" t="s">
        <v>0</v>
      </c>
      <c r="C3015" s="2" t="s">
        <v>1174</v>
      </c>
      <c r="D3015" s="2"/>
      <c r="E3015" s="7"/>
      <c r="F3015" s="7"/>
      <c r="G3015" s="9" t="s">
        <v>2322</v>
      </c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</row>
    <row r="3016" spans="1:18" ht="12.75" customHeight="1" x14ac:dyDescent="0.2">
      <c r="A3016" s="7"/>
      <c r="B3016" s="2" t="s">
        <v>2</v>
      </c>
      <c r="C3016" s="2" t="s">
        <v>2322</v>
      </c>
      <c r="D3016" s="2"/>
      <c r="E3016" s="7"/>
      <c r="F3016" s="7"/>
      <c r="G3016" s="9" t="s">
        <v>2322</v>
      </c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</row>
    <row r="3017" spans="1:18" ht="12.75" customHeight="1" x14ac:dyDescent="0.2">
      <c r="A3017" s="7"/>
      <c r="B3017" s="2" t="s">
        <v>1840</v>
      </c>
      <c r="C3017" s="2" t="s">
        <v>2537</v>
      </c>
      <c r="D3017" s="2"/>
      <c r="E3017" s="7"/>
      <c r="F3017" s="7"/>
      <c r="G3017" s="9" t="s">
        <v>2322</v>
      </c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</row>
    <row r="3018" spans="1:18" ht="12.75" customHeight="1" x14ac:dyDescent="0.2">
      <c r="A3018" s="7"/>
      <c r="B3018" s="2" t="s">
        <v>9</v>
      </c>
      <c r="C3018" s="2" t="s">
        <v>113</v>
      </c>
      <c r="D3018" s="2"/>
      <c r="E3018" s="7"/>
      <c r="F3018" s="7"/>
      <c r="G3018" s="9" t="s">
        <v>2322</v>
      </c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</row>
    <row r="3019" spans="1:18" ht="12.75" customHeight="1" x14ac:dyDescent="0.2">
      <c r="A3019" s="7"/>
      <c r="B3019" s="2" t="s">
        <v>11</v>
      </c>
      <c r="C3019" s="2" t="s">
        <v>2222</v>
      </c>
      <c r="D3019" s="2"/>
      <c r="E3019" s="7"/>
      <c r="F3019" s="7"/>
      <c r="G3019" s="9" t="s">
        <v>2322</v>
      </c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</row>
    <row r="3020" spans="1:18" ht="12.75" customHeight="1" x14ac:dyDescent="0.2">
      <c r="A3020" s="7"/>
      <c r="B3020" s="2" t="s">
        <v>16</v>
      </c>
      <c r="C3020" s="2"/>
      <c r="D3020" s="2"/>
      <c r="E3020" s="7"/>
      <c r="F3020" s="7"/>
      <c r="G3020" s="9" t="s">
        <v>2322</v>
      </c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</row>
    <row r="3021" spans="1:18" ht="12.75" customHeight="1" x14ac:dyDescent="0.2">
      <c r="A3021" s="7"/>
      <c r="B3021" s="2" t="s">
        <v>17</v>
      </c>
      <c r="C3021" s="2" t="s">
        <v>19</v>
      </c>
      <c r="D3021" s="2"/>
      <c r="E3021" s="7"/>
      <c r="F3021" s="7"/>
      <c r="G3021" s="9" t="s">
        <v>2322</v>
      </c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</row>
    <row r="3022" spans="1:18" ht="12.75" customHeight="1" x14ac:dyDescent="0.2">
      <c r="A3022" s="7"/>
      <c r="B3022" s="2" t="s">
        <v>18</v>
      </c>
      <c r="C3022" s="2" t="s">
        <v>57</v>
      </c>
      <c r="D3022" s="2" t="str">
        <f>HYPERLINK("javascript:void(0)","csillámgöb")</f>
        <v>csillámgöb</v>
      </c>
      <c r="E3022" s="7"/>
      <c r="F3022" s="7"/>
      <c r="G3022" s="9" t="s">
        <v>2322</v>
      </c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</row>
    <row r="3023" spans="1:18" ht="12.75" customHeight="1" x14ac:dyDescent="0.2">
      <c r="A3023" s="7"/>
      <c r="B3023" s="2"/>
      <c r="C3023" s="2" t="s">
        <v>44</v>
      </c>
      <c r="D3023" s="2" t="str">
        <f>HYPERLINK("javascript:void(0)","csillámló trollpáncél")</f>
        <v>csillámló trollpáncél</v>
      </c>
      <c r="E3023" s="7"/>
      <c r="F3023" s="7"/>
      <c r="G3023" s="9" t="s">
        <v>2322</v>
      </c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</row>
    <row r="3024" spans="1:18" ht="12.75" customHeight="1" x14ac:dyDescent="0.2">
      <c r="A3024" s="7"/>
      <c r="B3024" s="2"/>
      <c r="C3024" s="2" t="s">
        <v>163</v>
      </c>
      <c r="D3024" s="2" t="str">
        <f>HYPERLINK("javascript:void(0)","hídpenge")</f>
        <v>hídpenge</v>
      </c>
      <c r="E3024" s="7"/>
      <c r="F3024" s="7"/>
      <c r="G3024" s="9" t="s">
        <v>2322</v>
      </c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</row>
    <row r="3025" spans="1:18" ht="12.75" customHeight="1" x14ac:dyDescent="0.2">
      <c r="A3025" s="7"/>
      <c r="B3025" s="2"/>
      <c r="C3025" s="2"/>
      <c r="D3025" s="2"/>
      <c r="E3025" s="7"/>
      <c r="F3025" s="7"/>
      <c r="G3025" s="9" t="s">
        <v>2322</v>
      </c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</row>
    <row r="3026" spans="1:18" ht="12.75" customHeight="1" x14ac:dyDescent="0.2">
      <c r="A3026" s="7"/>
      <c r="B3026" s="2"/>
      <c r="C3026" s="2"/>
      <c r="D3026" s="2"/>
      <c r="E3026" s="7"/>
      <c r="F3026" s="7"/>
      <c r="G3026" s="9" t="s">
        <v>2322</v>
      </c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</row>
    <row r="3027" spans="1:18" ht="12.75" customHeight="1" x14ac:dyDescent="0.2">
      <c r="A3027" s="7"/>
      <c r="B3027" s="2"/>
      <c r="C3027" s="2"/>
      <c r="D3027" s="2"/>
      <c r="E3027" s="7"/>
      <c r="F3027" s="7"/>
      <c r="G3027" s="9" t="s">
        <v>2322</v>
      </c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</row>
    <row r="3028" spans="1:18" ht="12.75" customHeight="1" x14ac:dyDescent="0.2">
      <c r="A3028" s="7"/>
      <c r="B3028" s="2"/>
      <c r="C3028" s="2"/>
      <c r="D3028" s="2"/>
      <c r="E3028" s="7"/>
      <c r="F3028" s="7"/>
      <c r="G3028" s="9" t="s">
        <v>2322</v>
      </c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</row>
    <row r="3029" spans="1:18" ht="12.75" customHeight="1" x14ac:dyDescent="0.2">
      <c r="A3029" s="7"/>
      <c r="B3029" s="2"/>
      <c r="C3029" s="2"/>
      <c r="D3029" s="2"/>
      <c r="E3029" s="7"/>
      <c r="F3029" s="7"/>
      <c r="G3029" s="9" t="s">
        <v>2322</v>
      </c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</row>
    <row r="3030" spans="1:18" ht="12.75" customHeight="1" x14ac:dyDescent="0.2">
      <c r="A3030" s="7" t="str">
        <f>HYPERLINK("javascript:void(0)","légvért")</f>
        <v>légvért</v>
      </c>
      <c r="B3030" s="7"/>
      <c r="C3030" s="7"/>
      <c r="D3030" s="7"/>
      <c r="E3030" s="7"/>
      <c r="F3030" s="7"/>
      <c r="G3030" s="9" t="s">
        <v>2322</v>
      </c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</row>
    <row r="3031" spans="1:18" ht="12.75" customHeight="1" x14ac:dyDescent="0.2">
      <c r="A3031" s="7"/>
      <c r="B3031" s="2"/>
      <c r="C3031" s="2"/>
      <c r="D3031" s="2"/>
      <c r="E3031" s="7"/>
      <c r="F3031" s="7"/>
      <c r="G3031" s="9" t="s">
        <v>2322</v>
      </c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</row>
    <row r="3032" spans="1:18" ht="12.75" customHeight="1" x14ac:dyDescent="0.2">
      <c r="A3032" s="7"/>
      <c r="B3032" s="2" t="s">
        <v>0</v>
      </c>
      <c r="C3032" s="2" t="s">
        <v>1174</v>
      </c>
      <c r="D3032" s="2"/>
      <c r="E3032" s="7"/>
      <c r="F3032" s="7"/>
      <c r="G3032" s="9" t="s">
        <v>2322</v>
      </c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</row>
    <row r="3033" spans="1:18" ht="12.75" customHeight="1" x14ac:dyDescent="0.2">
      <c r="A3033" s="7"/>
      <c r="B3033" s="2" t="s">
        <v>2</v>
      </c>
      <c r="C3033" s="2" t="s">
        <v>2322</v>
      </c>
      <c r="D3033" s="2"/>
      <c r="E3033" s="7"/>
      <c r="F3033" s="7"/>
      <c r="G3033" s="9" t="s">
        <v>2322</v>
      </c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</row>
    <row r="3034" spans="1:18" ht="12.75" customHeight="1" x14ac:dyDescent="0.2">
      <c r="A3034" s="7"/>
      <c r="B3034" s="2" t="s">
        <v>1840</v>
      </c>
      <c r="C3034" s="2" t="s">
        <v>2538</v>
      </c>
      <c r="D3034" s="2"/>
      <c r="E3034" s="7"/>
      <c r="F3034" s="7"/>
      <c r="G3034" s="9" t="s">
        <v>2322</v>
      </c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</row>
    <row r="3035" spans="1:18" ht="12.75" customHeight="1" x14ac:dyDescent="0.2">
      <c r="A3035" s="7"/>
      <c r="B3035" s="2" t="s">
        <v>9</v>
      </c>
      <c r="C3035" s="2" t="s">
        <v>2229</v>
      </c>
      <c r="D3035" s="2"/>
      <c r="E3035" s="7"/>
      <c r="F3035" s="7"/>
      <c r="G3035" s="9" t="s">
        <v>2322</v>
      </c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</row>
    <row r="3036" spans="1:18" ht="12.75" customHeight="1" x14ac:dyDescent="0.2">
      <c r="A3036" s="7"/>
      <c r="B3036" s="2" t="s">
        <v>11</v>
      </c>
      <c r="C3036" s="2" t="s">
        <v>2222</v>
      </c>
      <c r="D3036" s="2"/>
      <c r="E3036" s="7"/>
      <c r="F3036" s="7"/>
      <c r="G3036" s="9" t="s">
        <v>2322</v>
      </c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</row>
    <row r="3037" spans="1:18" ht="12.75" customHeight="1" x14ac:dyDescent="0.2">
      <c r="A3037" s="7"/>
      <c r="B3037" s="2" t="s">
        <v>16</v>
      </c>
      <c r="C3037" s="2"/>
      <c r="D3037" s="2"/>
      <c r="E3037" s="7"/>
      <c r="F3037" s="7"/>
      <c r="G3037" s="9" t="s">
        <v>2322</v>
      </c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</row>
    <row r="3038" spans="1:18" ht="12.75" customHeight="1" x14ac:dyDescent="0.2">
      <c r="A3038" s="7"/>
      <c r="B3038" s="2" t="s">
        <v>17</v>
      </c>
      <c r="C3038" s="2" t="s">
        <v>19</v>
      </c>
      <c r="D3038" s="2"/>
      <c r="E3038" s="7"/>
      <c r="F3038" s="7"/>
      <c r="G3038" s="9" t="s">
        <v>2322</v>
      </c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</row>
    <row r="3039" spans="1:18" ht="12.75" customHeight="1" x14ac:dyDescent="0.2">
      <c r="A3039" s="7"/>
      <c r="B3039" s="2" t="s">
        <v>18</v>
      </c>
      <c r="C3039" s="2" t="s">
        <v>780</v>
      </c>
      <c r="D3039" s="2" t="str">
        <f>HYPERLINK("javascript:void(0)","faunszarv")</f>
        <v>faunszarv</v>
      </c>
      <c r="E3039" s="7"/>
      <c r="F3039" s="7"/>
      <c r="G3039" s="9" t="s">
        <v>2322</v>
      </c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</row>
    <row r="3040" spans="1:18" ht="12.75" customHeight="1" x14ac:dyDescent="0.2">
      <c r="A3040" s="7"/>
      <c r="B3040" s="2"/>
      <c r="C3040" s="2" t="s">
        <v>44</v>
      </c>
      <c r="D3040" s="2" t="str">
        <f>HYPERLINK("javascript:void(0)","légpáncél")</f>
        <v>légpáncél</v>
      </c>
      <c r="E3040" s="7"/>
      <c r="F3040" s="7"/>
      <c r="G3040" s="9" t="s">
        <v>2322</v>
      </c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</row>
    <row r="3041" spans="1:18" ht="12.75" customHeight="1" x14ac:dyDescent="0.2">
      <c r="A3041" s="7"/>
      <c r="B3041" s="2"/>
      <c r="C3041" s="2" t="s">
        <v>809</v>
      </c>
      <c r="D3041" s="2" t="str">
        <f>HYPERLINK("javascript:void(0)","zombiszem")</f>
        <v>zombiszem</v>
      </c>
      <c r="E3041" s="7"/>
      <c r="F3041" s="7"/>
      <c r="G3041" s="9" t="s">
        <v>2322</v>
      </c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</row>
    <row r="3042" spans="1:18" ht="12.75" customHeight="1" x14ac:dyDescent="0.2">
      <c r="A3042" s="7"/>
      <c r="B3042" s="2"/>
      <c r="C3042" s="2"/>
      <c r="D3042" s="2"/>
      <c r="E3042" s="7"/>
      <c r="F3042" s="7"/>
      <c r="G3042" s="9" t="s">
        <v>2322</v>
      </c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</row>
    <row r="3043" spans="1:18" ht="12.75" customHeight="1" x14ac:dyDescent="0.2">
      <c r="A3043" s="7"/>
      <c r="B3043" s="2"/>
      <c r="C3043" s="2"/>
      <c r="D3043" s="2"/>
      <c r="E3043" s="7"/>
      <c r="F3043" s="7"/>
      <c r="G3043" s="9" t="s">
        <v>2322</v>
      </c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</row>
    <row r="3044" spans="1:18" ht="12.75" customHeight="1" x14ac:dyDescent="0.2">
      <c r="A3044" s="7"/>
      <c r="B3044" s="2"/>
      <c r="C3044" s="2"/>
      <c r="D3044" s="2"/>
      <c r="E3044" s="7"/>
      <c r="F3044" s="7"/>
      <c r="G3044" s="9" t="s">
        <v>2322</v>
      </c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</row>
    <row r="3045" spans="1:18" ht="12.75" customHeight="1" x14ac:dyDescent="0.2">
      <c r="A3045" s="7"/>
      <c r="B3045" s="2"/>
      <c r="C3045" s="2"/>
      <c r="D3045" s="2"/>
      <c r="E3045" s="7"/>
      <c r="F3045" s="7"/>
      <c r="G3045" s="9" t="s">
        <v>2322</v>
      </c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</row>
    <row r="3046" spans="1:18" ht="12.75" customHeight="1" x14ac:dyDescent="0.2">
      <c r="A3046" s="7"/>
      <c r="B3046" s="2"/>
      <c r="C3046" s="2"/>
      <c r="D3046" s="2"/>
      <c r="E3046" s="7"/>
      <c r="F3046" s="7"/>
      <c r="G3046" s="9" t="s">
        <v>2322</v>
      </c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</row>
    <row r="3047" spans="1:18" ht="12.75" customHeight="1" x14ac:dyDescent="0.2">
      <c r="A3047" s="7" t="str">
        <f>HYPERLINK("javascript:void(0)","lángvért")</f>
        <v>lángvért</v>
      </c>
      <c r="B3047" s="7"/>
      <c r="C3047" s="7"/>
      <c r="D3047" s="7"/>
      <c r="E3047" s="7"/>
      <c r="F3047" s="7"/>
      <c r="G3047" s="9" t="s">
        <v>2322</v>
      </c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</row>
    <row r="3048" spans="1:18" ht="12.75" customHeight="1" x14ac:dyDescent="0.2">
      <c r="A3048" s="7"/>
      <c r="B3048" s="2"/>
      <c r="C3048" s="2"/>
      <c r="D3048" s="2"/>
      <c r="E3048" s="7"/>
      <c r="F3048" s="7"/>
      <c r="G3048" s="9" t="s">
        <v>2322</v>
      </c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</row>
    <row r="3049" spans="1:18" ht="12.75" customHeight="1" x14ac:dyDescent="0.2">
      <c r="A3049" s="7"/>
      <c r="B3049" s="2" t="s">
        <v>0</v>
      </c>
      <c r="C3049" s="2" t="s">
        <v>119</v>
      </c>
      <c r="D3049" s="2"/>
      <c r="E3049" s="7"/>
      <c r="F3049" s="7"/>
      <c r="G3049" s="9" t="s">
        <v>2322</v>
      </c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</row>
    <row r="3050" spans="1:18" ht="12.75" customHeight="1" x14ac:dyDescent="0.2">
      <c r="A3050" s="7"/>
      <c r="B3050" s="2" t="s">
        <v>2</v>
      </c>
      <c r="C3050" s="2" t="s">
        <v>2322</v>
      </c>
      <c r="D3050" s="2"/>
      <c r="E3050" s="7"/>
      <c r="F3050" s="7"/>
      <c r="G3050" s="9" t="s">
        <v>2322</v>
      </c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</row>
    <row r="3051" spans="1:18" ht="12.75" customHeight="1" x14ac:dyDescent="0.2">
      <c r="A3051" s="7"/>
      <c r="B3051" s="2" t="s">
        <v>1840</v>
      </c>
      <c r="C3051" s="2" t="s">
        <v>2539</v>
      </c>
      <c r="D3051" s="2"/>
      <c r="E3051" s="7"/>
      <c r="F3051" s="7"/>
      <c r="G3051" s="9" t="s">
        <v>2322</v>
      </c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</row>
    <row r="3052" spans="1:18" ht="12.75" customHeight="1" x14ac:dyDescent="0.2">
      <c r="A3052" s="7"/>
      <c r="B3052" s="2" t="s">
        <v>9</v>
      </c>
      <c r="C3052" s="2" t="s">
        <v>42</v>
      </c>
      <c r="D3052" s="2"/>
      <c r="E3052" s="7"/>
      <c r="F3052" s="7"/>
      <c r="G3052" s="9" t="s">
        <v>2322</v>
      </c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</row>
    <row r="3053" spans="1:18" ht="12.75" customHeight="1" x14ac:dyDescent="0.2">
      <c r="A3053" s="7"/>
      <c r="B3053" s="2" t="s">
        <v>11</v>
      </c>
      <c r="C3053" s="2" t="s">
        <v>2540</v>
      </c>
      <c r="D3053" s="2"/>
      <c r="E3053" s="7"/>
      <c r="F3053" s="7"/>
      <c r="G3053" s="9" t="s">
        <v>2322</v>
      </c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</row>
    <row r="3054" spans="1:18" ht="12.75" customHeight="1" x14ac:dyDescent="0.2">
      <c r="A3054" s="7"/>
      <c r="B3054" s="2" t="s">
        <v>16</v>
      </c>
      <c r="C3054" s="2"/>
      <c r="D3054" s="2"/>
      <c r="E3054" s="7"/>
      <c r="F3054" s="7"/>
      <c r="G3054" s="9" t="s">
        <v>2322</v>
      </c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</row>
    <row r="3055" spans="1:18" ht="12.75" customHeight="1" x14ac:dyDescent="0.2">
      <c r="A3055" s="7"/>
      <c r="B3055" s="2" t="s">
        <v>17</v>
      </c>
      <c r="C3055" s="2" t="s">
        <v>19</v>
      </c>
      <c r="D3055" s="2"/>
      <c r="E3055" s="7"/>
      <c r="F3055" s="7"/>
      <c r="G3055" s="9" t="s">
        <v>2322</v>
      </c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</row>
    <row r="3056" spans="1:18" ht="12.75" customHeight="1" x14ac:dyDescent="0.2">
      <c r="A3056" s="7"/>
      <c r="B3056" s="2" t="s">
        <v>18</v>
      </c>
      <c r="C3056" s="2" t="s">
        <v>68</v>
      </c>
      <c r="D3056" s="2" t="str">
        <f>HYPERLINK("javascript:void(0)","szellemláng")</f>
        <v>szellemláng</v>
      </c>
      <c r="E3056" s="7"/>
      <c r="F3056" s="7"/>
      <c r="G3056" s="9" t="s">
        <v>2322</v>
      </c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</row>
    <row r="3057" spans="1:18" ht="12.75" customHeight="1" x14ac:dyDescent="0.2">
      <c r="A3057" s="7"/>
      <c r="B3057" s="2"/>
      <c r="C3057" s="2" t="s">
        <v>44</v>
      </c>
      <c r="D3057" s="2" t="str">
        <f>HYPERLINK("javascript:void(0)","légvért")</f>
        <v>légvért</v>
      </c>
      <c r="E3057" s="7"/>
      <c r="F3057" s="7"/>
      <c r="G3057" s="9" t="s">
        <v>2322</v>
      </c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</row>
    <row r="3058" spans="1:18" ht="12.75" customHeight="1" x14ac:dyDescent="0.2">
      <c r="A3058" s="7"/>
      <c r="B3058" s="2"/>
      <c r="C3058" s="2" t="s">
        <v>57</v>
      </c>
      <c r="D3058" s="2" t="str">
        <f>HYPERLINK("javascript:void(0)","kéreg")</f>
        <v>kéreg</v>
      </c>
      <c r="E3058" s="7"/>
      <c r="F3058" s="7"/>
      <c r="G3058" s="9" t="s">
        <v>2322</v>
      </c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</row>
    <row r="3059" spans="1:18" ht="12.75" customHeight="1" x14ac:dyDescent="0.2">
      <c r="A3059" s="7"/>
      <c r="B3059" s="2"/>
      <c r="C3059" s="2"/>
      <c r="D3059" s="2"/>
      <c r="E3059" s="7"/>
      <c r="F3059" s="7"/>
      <c r="G3059" s="9" t="s">
        <v>2322</v>
      </c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</row>
    <row r="3060" spans="1:18" ht="12.75" customHeight="1" x14ac:dyDescent="0.2">
      <c r="A3060" s="7"/>
      <c r="B3060" s="2"/>
      <c r="C3060" s="2"/>
      <c r="D3060" s="2"/>
      <c r="E3060" s="7"/>
      <c r="F3060" s="7"/>
      <c r="G3060" s="9" t="s">
        <v>2322</v>
      </c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</row>
    <row r="3061" spans="1:18" ht="12.75" customHeight="1" x14ac:dyDescent="0.2">
      <c r="A3061" s="7"/>
      <c r="B3061" s="2"/>
      <c r="C3061" s="2"/>
      <c r="D3061" s="2"/>
      <c r="E3061" s="7"/>
      <c r="F3061" s="7"/>
      <c r="G3061" s="9" t="s">
        <v>2322</v>
      </c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</row>
    <row r="3062" spans="1:18" ht="12.75" customHeight="1" x14ac:dyDescent="0.2">
      <c r="A3062" s="7"/>
      <c r="B3062" s="2"/>
      <c r="C3062" s="2"/>
      <c r="D3062" s="2"/>
      <c r="E3062" s="7"/>
      <c r="F3062" s="7"/>
      <c r="G3062" s="9" t="s">
        <v>2322</v>
      </c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</row>
    <row r="3063" spans="1:18" ht="12.75" customHeight="1" x14ac:dyDescent="0.2">
      <c r="A3063" s="7"/>
      <c r="B3063" s="2"/>
      <c r="C3063" s="2"/>
      <c r="D3063" s="2"/>
      <c r="E3063" s="7"/>
      <c r="F3063" s="7"/>
      <c r="G3063" s="9" t="s">
        <v>2322</v>
      </c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</row>
    <row r="3064" spans="1:18" ht="12.75" customHeight="1" x14ac:dyDescent="0.2">
      <c r="A3064" s="7" t="str">
        <f>HYPERLINK("javascript:void(0)","nehézvért")</f>
        <v>nehézvért</v>
      </c>
      <c r="B3064" s="7"/>
      <c r="C3064" s="7"/>
      <c r="D3064" s="7"/>
      <c r="E3064" s="7"/>
      <c r="F3064" s="7"/>
      <c r="G3064" s="9" t="s">
        <v>2322</v>
      </c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</row>
    <row r="3065" spans="1:18" ht="12.75" customHeight="1" x14ac:dyDescent="0.2">
      <c r="A3065" s="7"/>
      <c r="B3065" s="2"/>
      <c r="C3065" s="2"/>
      <c r="D3065" s="2"/>
      <c r="E3065" s="7"/>
      <c r="F3065" s="7"/>
      <c r="G3065" s="9" t="s">
        <v>2322</v>
      </c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</row>
    <row r="3066" spans="1:18" ht="12.75" customHeight="1" x14ac:dyDescent="0.2">
      <c r="A3066" s="7"/>
      <c r="B3066" s="2" t="s">
        <v>0</v>
      </c>
      <c r="C3066" s="2" t="s">
        <v>1196</v>
      </c>
      <c r="D3066" s="2"/>
      <c r="E3066" s="7"/>
      <c r="F3066" s="7"/>
      <c r="G3066" s="9" t="s">
        <v>2322</v>
      </c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</row>
    <row r="3067" spans="1:18" ht="12.75" customHeight="1" x14ac:dyDescent="0.2">
      <c r="A3067" s="7"/>
      <c r="B3067" s="2" t="s">
        <v>2</v>
      </c>
      <c r="C3067" s="2" t="s">
        <v>2322</v>
      </c>
      <c r="D3067" s="2"/>
      <c r="E3067" s="7"/>
      <c r="F3067" s="7"/>
      <c r="G3067" s="9" t="s">
        <v>2322</v>
      </c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</row>
    <row r="3068" spans="1:18" ht="12.75" customHeight="1" x14ac:dyDescent="0.2">
      <c r="A3068" s="7"/>
      <c r="B3068" s="2" t="s">
        <v>1840</v>
      </c>
      <c r="C3068" s="2" t="s">
        <v>2541</v>
      </c>
      <c r="D3068" s="2"/>
      <c r="E3068" s="7"/>
      <c r="F3068" s="7"/>
      <c r="G3068" s="9" t="s">
        <v>2322</v>
      </c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</row>
    <row r="3069" spans="1:18" ht="12.75" customHeight="1" x14ac:dyDescent="0.2">
      <c r="A3069" s="7"/>
      <c r="B3069" s="2" t="s">
        <v>9</v>
      </c>
      <c r="C3069" s="2" t="s">
        <v>1255</v>
      </c>
      <c r="D3069" s="2"/>
      <c r="E3069" s="7"/>
      <c r="F3069" s="7"/>
      <c r="G3069" s="9" t="s">
        <v>2322</v>
      </c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</row>
    <row r="3070" spans="1:18" ht="12.75" customHeight="1" x14ac:dyDescent="0.2">
      <c r="A3070" s="7"/>
      <c r="B3070" s="2" t="s">
        <v>11</v>
      </c>
      <c r="C3070" s="2" t="s">
        <v>2542</v>
      </c>
      <c r="D3070" s="2"/>
      <c r="E3070" s="7"/>
      <c r="F3070" s="7"/>
      <c r="G3070" s="9" t="s">
        <v>2322</v>
      </c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</row>
    <row r="3071" spans="1:18" ht="12.75" customHeight="1" x14ac:dyDescent="0.2">
      <c r="A3071" s="7"/>
      <c r="B3071" s="2" t="s">
        <v>16</v>
      </c>
      <c r="C3071" s="2"/>
      <c r="D3071" s="2"/>
      <c r="E3071" s="7"/>
      <c r="F3071" s="7"/>
      <c r="G3071" s="9" t="s">
        <v>2322</v>
      </c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</row>
    <row r="3072" spans="1:18" ht="12.75" customHeight="1" x14ac:dyDescent="0.2">
      <c r="A3072" s="7"/>
      <c r="B3072" s="2" t="s">
        <v>17</v>
      </c>
      <c r="C3072" s="2" t="s">
        <v>19</v>
      </c>
      <c r="D3072" s="2"/>
      <c r="E3072" s="7"/>
      <c r="F3072" s="7"/>
      <c r="G3072" s="9" t="s">
        <v>2322</v>
      </c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</row>
    <row r="3073" spans="1:18" ht="12.75" customHeight="1" x14ac:dyDescent="0.2">
      <c r="A3073" s="7"/>
      <c r="B3073" s="2" t="s">
        <v>18</v>
      </c>
      <c r="C3073" s="2" t="s">
        <v>117</v>
      </c>
      <c r="D3073" s="2" t="str">
        <f>HYPERLINK("javascript:void(0)","nehézvíz")</f>
        <v>nehézvíz</v>
      </c>
      <c r="E3073" s="7"/>
      <c r="F3073" s="7"/>
      <c r="G3073" s="9" t="s">
        <v>2322</v>
      </c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</row>
    <row r="3074" spans="1:18" ht="12.75" customHeight="1" x14ac:dyDescent="0.2">
      <c r="A3074" s="7"/>
      <c r="B3074" s="2"/>
      <c r="C3074" s="2" t="s">
        <v>68</v>
      </c>
      <c r="D3074" s="2" t="str">
        <f>HYPERLINK("javascript:void(0)","kígyópikkely")</f>
        <v>kígyópikkely</v>
      </c>
      <c r="E3074" s="7"/>
      <c r="F3074" s="7"/>
      <c r="G3074" s="9" t="s">
        <v>2322</v>
      </c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</row>
    <row r="3075" spans="1:18" ht="12.75" customHeight="1" x14ac:dyDescent="0.2">
      <c r="A3075" s="7"/>
      <c r="B3075" s="2"/>
      <c r="C3075" s="2" t="s">
        <v>67</v>
      </c>
      <c r="D3075" s="2" t="str">
        <f>HYPERLINK("javascript:void(0)","lombik")</f>
        <v>lombik</v>
      </c>
      <c r="E3075" s="7"/>
      <c r="F3075" s="7"/>
      <c r="G3075" s="9" t="s">
        <v>2322</v>
      </c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</row>
    <row r="3076" spans="1:18" ht="12.75" customHeight="1" x14ac:dyDescent="0.2">
      <c r="A3076" s="7"/>
      <c r="B3076" s="2"/>
      <c r="C3076" s="2"/>
      <c r="D3076" s="2"/>
      <c r="E3076" s="7"/>
      <c r="F3076" s="7"/>
      <c r="G3076" s="9" t="s">
        <v>2322</v>
      </c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</row>
    <row r="3077" spans="1:18" ht="12.75" customHeight="1" x14ac:dyDescent="0.2">
      <c r="A3077" s="7"/>
      <c r="B3077" s="2"/>
      <c r="C3077" s="2"/>
      <c r="D3077" s="2"/>
      <c r="E3077" s="7"/>
      <c r="F3077" s="7"/>
      <c r="G3077" s="9" t="s">
        <v>2322</v>
      </c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</row>
    <row r="3078" spans="1:18" ht="12.75" customHeight="1" x14ac:dyDescent="0.2">
      <c r="A3078" s="7"/>
      <c r="B3078" s="2"/>
      <c r="C3078" s="2"/>
      <c r="D3078" s="2"/>
      <c r="E3078" s="7"/>
      <c r="F3078" s="7"/>
      <c r="G3078" s="9" t="s">
        <v>2322</v>
      </c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</row>
    <row r="3079" spans="1:18" ht="12.75" customHeight="1" x14ac:dyDescent="0.2">
      <c r="A3079" s="7"/>
      <c r="B3079" s="2"/>
      <c r="C3079" s="2"/>
      <c r="D3079" s="2"/>
      <c r="E3079" s="7"/>
      <c r="F3079" s="7"/>
      <c r="G3079" s="9" t="s">
        <v>2322</v>
      </c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</row>
    <row r="3080" spans="1:18" ht="12.75" customHeight="1" x14ac:dyDescent="0.2">
      <c r="A3080" s="7"/>
      <c r="B3080" s="2"/>
      <c r="C3080" s="2"/>
      <c r="D3080" s="2"/>
      <c r="E3080" s="7"/>
      <c r="F3080" s="7"/>
      <c r="G3080" s="9" t="s">
        <v>2322</v>
      </c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</row>
    <row r="3081" spans="1:18" ht="12.75" customHeight="1" x14ac:dyDescent="0.2">
      <c r="A3081" s="7" t="str">
        <f>HYPERLINK("javascript:void(0)","idegen előlap")</f>
        <v>idegen előlap</v>
      </c>
      <c r="B3081" s="7"/>
      <c r="C3081" s="7"/>
      <c r="D3081" s="7"/>
      <c r="E3081" s="7"/>
      <c r="F3081" s="7"/>
      <c r="G3081" s="9" t="s">
        <v>2322</v>
      </c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</row>
    <row r="3082" spans="1:18" ht="12.75" customHeight="1" x14ac:dyDescent="0.2">
      <c r="A3082" s="7"/>
      <c r="B3082" s="2"/>
      <c r="C3082" s="2"/>
      <c r="D3082" s="2"/>
      <c r="E3082" s="7"/>
      <c r="F3082" s="7"/>
      <c r="G3082" s="9" t="s">
        <v>2322</v>
      </c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</row>
    <row r="3083" spans="1:18" ht="12.75" customHeight="1" x14ac:dyDescent="0.2">
      <c r="A3083" s="7"/>
      <c r="B3083" s="2" t="s">
        <v>0</v>
      </c>
      <c r="C3083" s="2" t="s">
        <v>1207</v>
      </c>
      <c r="D3083" s="2"/>
      <c r="E3083" s="7"/>
      <c r="F3083" s="7"/>
      <c r="G3083" s="9" t="s">
        <v>2322</v>
      </c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</row>
    <row r="3084" spans="1:18" ht="12.75" customHeight="1" x14ac:dyDescent="0.2">
      <c r="A3084" s="7"/>
      <c r="B3084" s="2" t="s">
        <v>2</v>
      </c>
      <c r="C3084" s="2" t="s">
        <v>2322</v>
      </c>
      <c r="D3084" s="2"/>
      <c r="E3084" s="7"/>
      <c r="F3084" s="7"/>
      <c r="G3084" s="9" t="s">
        <v>2322</v>
      </c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</row>
    <row r="3085" spans="1:18" ht="12.75" customHeight="1" x14ac:dyDescent="0.2">
      <c r="A3085" s="7"/>
      <c r="B3085" s="2" t="s">
        <v>1840</v>
      </c>
      <c r="C3085" s="2" t="s">
        <v>151</v>
      </c>
      <c r="D3085" s="2"/>
      <c r="E3085" s="7"/>
      <c r="F3085" s="7"/>
      <c r="G3085" s="9" t="s">
        <v>2322</v>
      </c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</row>
    <row r="3086" spans="1:18" ht="12.75" customHeight="1" x14ac:dyDescent="0.2">
      <c r="A3086" s="7"/>
      <c r="B3086" s="2" t="s">
        <v>9</v>
      </c>
      <c r="C3086" s="2" t="s">
        <v>53</v>
      </c>
      <c r="D3086" s="2"/>
      <c r="E3086" s="7"/>
      <c r="F3086" s="7"/>
      <c r="G3086" s="9" t="s">
        <v>2322</v>
      </c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</row>
    <row r="3087" spans="1:18" ht="12.75" customHeight="1" x14ac:dyDescent="0.2">
      <c r="A3087" s="7"/>
      <c r="B3087" s="2" t="s">
        <v>11</v>
      </c>
      <c r="C3087" s="2" t="s">
        <v>1075</v>
      </c>
      <c r="D3087" s="2"/>
      <c r="E3087" s="7"/>
      <c r="F3087" s="7"/>
      <c r="G3087" s="9" t="s">
        <v>2322</v>
      </c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</row>
    <row r="3088" spans="1:18" ht="12.75" customHeight="1" x14ac:dyDescent="0.2">
      <c r="A3088" s="7"/>
      <c r="B3088" s="2" t="s">
        <v>16</v>
      </c>
      <c r="C3088" s="2"/>
      <c r="D3088" s="2"/>
      <c r="E3088" s="7"/>
      <c r="F3088" s="7"/>
      <c r="G3088" s="9" t="s">
        <v>2322</v>
      </c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</row>
    <row r="3089" spans="1:18" ht="12.75" customHeight="1" x14ac:dyDescent="0.2">
      <c r="A3089" s="7"/>
      <c r="B3089" s="2" t="s">
        <v>17</v>
      </c>
      <c r="C3089" s="2" t="s">
        <v>19</v>
      </c>
      <c r="D3089" s="2"/>
      <c r="E3089" s="7"/>
      <c r="F3089" s="7"/>
      <c r="G3089" s="9" t="s">
        <v>2322</v>
      </c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</row>
    <row r="3090" spans="1:18" ht="12.75" customHeight="1" x14ac:dyDescent="0.2">
      <c r="A3090" s="7"/>
      <c r="B3090" s="2" t="s">
        <v>18</v>
      </c>
      <c r="C3090" s="2" t="s">
        <v>117</v>
      </c>
      <c r="D3090" s="2" t="str">
        <f>HYPERLINK("javascript:void(0)","idegen herkentyű")</f>
        <v>idegen herkentyű</v>
      </c>
      <c r="E3090" s="7"/>
      <c r="F3090" s="7"/>
      <c r="G3090" s="9" t="s">
        <v>2322</v>
      </c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</row>
    <row r="3091" spans="1:18" ht="12.75" customHeight="1" x14ac:dyDescent="0.2">
      <c r="A3091" s="7"/>
      <c r="B3091" s="2"/>
      <c r="C3091" s="2" t="s">
        <v>132</v>
      </c>
      <c r="D3091" s="2" t="str">
        <f>HYPERLINK("javascript:void(0)","idegen ketyere")</f>
        <v>idegen ketyere</v>
      </c>
      <c r="E3091" s="7"/>
      <c r="F3091" s="7"/>
      <c r="G3091" s="9" t="s">
        <v>2322</v>
      </c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</row>
    <row r="3092" spans="1:18" ht="12.75" customHeight="1" x14ac:dyDescent="0.2">
      <c r="A3092" s="7"/>
      <c r="B3092" s="2"/>
      <c r="C3092" s="2" t="s">
        <v>67</v>
      </c>
      <c r="D3092" s="2" t="str">
        <f>HYPERLINK("javascript:void(0)","méregfog")</f>
        <v>méregfog</v>
      </c>
      <c r="E3092" s="7"/>
      <c r="F3092" s="7"/>
      <c r="G3092" s="9" t="s">
        <v>2322</v>
      </c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</row>
    <row r="3093" spans="1:18" ht="12.75" customHeight="1" x14ac:dyDescent="0.2">
      <c r="A3093" s="7"/>
      <c r="B3093" s="2"/>
      <c r="C3093" s="2"/>
      <c r="D3093" s="2"/>
      <c r="E3093" s="7"/>
      <c r="F3093" s="7"/>
      <c r="G3093" s="9" t="s">
        <v>2322</v>
      </c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</row>
    <row r="3094" spans="1:18" ht="12.75" customHeight="1" x14ac:dyDescent="0.2">
      <c r="A3094" s="7"/>
      <c r="B3094" s="2"/>
      <c r="C3094" s="2"/>
      <c r="D3094" s="2"/>
      <c r="E3094" s="7"/>
      <c r="F3094" s="7"/>
      <c r="G3094" s="9" t="s">
        <v>2322</v>
      </c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</row>
    <row r="3095" spans="1:18" ht="12.75" customHeight="1" x14ac:dyDescent="0.2">
      <c r="A3095" s="7"/>
      <c r="B3095" s="2"/>
      <c r="C3095" s="2"/>
      <c r="D3095" s="2"/>
      <c r="E3095" s="7"/>
      <c r="F3095" s="7"/>
      <c r="G3095" s="9" t="s">
        <v>2322</v>
      </c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</row>
    <row r="3096" spans="1:18" ht="12.75" customHeight="1" x14ac:dyDescent="0.2">
      <c r="A3096" s="7"/>
      <c r="B3096" s="2"/>
      <c r="C3096" s="2"/>
      <c r="D3096" s="2"/>
      <c r="E3096" s="7"/>
      <c r="F3096" s="7"/>
      <c r="G3096" s="9" t="s">
        <v>2322</v>
      </c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</row>
    <row r="3097" spans="1:18" ht="12.75" customHeight="1" x14ac:dyDescent="0.2">
      <c r="A3097" s="7"/>
      <c r="B3097" s="2"/>
      <c r="C3097" s="2"/>
      <c r="D3097" s="2"/>
      <c r="E3097" s="7"/>
      <c r="F3097" s="7"/>
      <c r="G3097" s="9" t="s">
        <v>2322</v>
      </c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</row>
    <row r="3098" spans="1:18" ht="12.75" customHeight="1" x14ac:dyDescent="0.2">
      <c r="A3098" s="7" t="str">
        <f>HYPERLINK("javascript:void(0)","idegen teljes vért")</f>
        <v>idegen teljes vért</v>
      </c>
      <c r="B3098" s="7"/>
      <c r="C3098" s="7"/>
      <c r="D3098" s="7"/>
      <c r="E3098" s="7"/>
      <c r="F3098" s="7"/>
      <c r="G3098" s="9" t="s">
        <v>2322</v>
      </c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</row>
    <row r="3099" spans="1:18" ht="12.75" customHeight="1" x14ac:dyDescent="0.2">
      <c r="A3099" s="7"/>
      <c r="B3099" s="2"/>
      <c r="C3099" s="2"/>
      <c r="D3099" s="2"/>
      <c r="E3099" s="7"/>
      <c r="F3099" s="7"/>
      <c r="G3099" s="9" t="s">
        <v>2322</v>
      </c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</row>
    <row r="3100" spans="1:18" ht="12.75" customHeight="1" x14ac:dyDescent="0.2">
      <c r="A3100" s="7"/>
      <c r="B3100" s="2" t="s">
        <v>0</v>
      </c>
      <c r="C3100" s="2" t="s">
        <v>1207</v>
      </c>
      <c r="D3100" s="2"/>
      <c r="E3100" s="7"/>
      <c r="F3100" s="7"/>
      <c r="G3100" s="9" t="s">
        <v>2322</v>
      </c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</row>
    <row r="3101" spans="1:18" ht="12.75" customHeight="1" x14ac:dyDescent="0.2">
      <c r="A3101" s="7"/>
      <c r="B3101" s="2" t="s">
        <v>2</v>
      </c>
      <c r="C3101" s="2" t="s">
        <v>2322</v>
      </c>
      <c r="D3101" s="2"/>
      <c r="E3101" s="7"/>
      <c r="F3101" s="7"/>
      <c r="G3101" s="9" t="s">
        <v>2322</v>
      </c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</row>
    <row r="3102" spans="1:18" ht="12.75" customHeight="1" x14ac:dyDescent="0.2">
      <c r="A3102" s="7"/>
      <c r="B3102" s="2" t="s">
        <v>1840</v>
      </c>
      <c r="C3102" s="2" t="s">
        <v>2543</v>
      </c>
      <c r="D3102" s="2"/>
      <c r="E3102" s="7"/>
      <c r="F3102" s="7"/>
      <c r="G3102" s="9" t="s">
        <v>2322</v>
      </c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</row>
    <row r="3103" spans="1:18" ht="12.75" customHeight="1" x14ac:dyDescent="0.2">
      <c r="A3103" s="7"/>
      <c r="B3103" s="2" t="s">
        <v>9</v>
      </c>
      <c r="C3103" s="2" t="s">
        <v>93</v>
      </c>
      <c r="D3103" s="2"/>
      <c r="E3103" s="7"/>
      <c r="F3103" s="7"/>
      <c r="G3103" s="9" t="s">
        <v>2322</v>
      </c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</row>
    <row r="3104" spans="1:18" ht="12.75" customHeight="1" x14ac:dyDescent="0.2">
      <c r="A3104" s="7"/>
      <c r="B3104" s="2" t="s">
        <v>11</v>
      </c>
      <c r="C3104" s="2" t="s">
        <v>2544</v>
      </c>
      <c r="D3104" s="2"/>
      <c r="E3104" s="7"/>
      <c r="F3104" s="7"/>
      <c r="G3104" s="9" t="s">
        <v>2322</v>
      </c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</row>
    <row r="3105" spans="1:18" ht="12.75" customHeight="1" x14ac:dyDescent="0.2">
      <c r="A3105" s="7"/>
      <c r="B3105" s="2" t="s">
        <v>16</v>
      </c>
      <c r="C3105" s="2"/>
      <c r="D3105" s="2"/>
      <c r="E3105" s="7"/>
      <c r="F3105" s="7"/>
      <c r="G3105" s="9" t="s">
        <v>2322</v>
      </c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</row>
    <row r="3106" spans="1:18" ht="12.75" customHeight="1" x14ac:dyDescent="0.2">
      <c r="A3106" s="7"/>
      <c r="B3106" s="2" t="s">
        <v>17</v>
      </c>
      <c r="C3106" s="2" t="s">
        <v>19</v>
      </c>
      <c r="D3106" s="2"/>
      <c r="E3106" s="7"/>
      <c r="F3106" s="7"/>
      <c r="G3106" s="9" t="s">
        <v>2322</v>
      </c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</row>
    <row r="3107" spans="1:18" ht="12.75" customHeight="1" x14ac:dyDescent="0.2">
      <c r="A3107" s="7"/>
      <c r="B3107" s="2" t="s">
        <v>18</v>
      </c>
      <c r="C3107" s="2" t="s">
        <v>44</v>
      </c>
      <c r="D3107" s="2" t="str">
        <f>HYPERLINK("javascript:void(0)","idegen előlap")</f>
        <v>idegen előlap</v>
      </c>
      <c r="E3107" s="7"/>
      <c r="F3107" s="7"/>
      <c r="G3107" s="9" t="s">
        <v>2322</v>
      </c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</row>
    <row r="3108" spans="1:18" ht="12.75" customHeight="1" x14ac:dyDescent="0.2">
      <c r="A3108" s="7"/>
      <c r="B3108" s="2"/>
      <c r="C3108" s="2" t="s">
        <v>44</v>
      </c>
      <c r="D3108" s="2" t="str">
        <f>HYPERLINK("javascript:void(0)","nehézvért")</f>
        <v>nehézvért</v>
      </c>
      <c r="E3108" s="7"/>
      <c r="F3108" s="7"/>
      <c r="G3108" s="9" t="s">
        <v>2322</v>
      </c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</row>
    <row r="3109" spans="1:18" ht="12.75" customHeight="1" x14ac:dyDescent="0.2">
      <c r="A3109" s="7"/>
      <c r="B3109" s="2"/>
      <c r="C3109" s="2" t="s">
        <v>232</v>
      </c>
      <c r="D3109" s="2" t="str">
        <f>HYPERLINK("javascript:void(0)","fatális hiba")</f>
        <v>fatális hiba</v>
      </c>
      <c r="E3109" s="7"/>
      <c r="F3109" s="7"/>
      <c r="G3109" s="9" t="s">
        <v>2322</v>
      </c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</row>
    <row r="3110" spans="1:18" ht="12.75" customHeight="1" x14ac:dyDescent="0.2">
      <c r="A3110" s="7"/>
      <c r="B3110" s="2"/>
      <c r="C3110" s="2"/>
      <c r="D3110" s="2"/>
      <c r="E3110" s="7"/>
      <c r="F3110" s="7"/>
      <c r="G3110" s="9" t="s">
        <v>2322</v>
      </c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</row>
    <row r="3111" spans="1:18" ht="12.75" customHeight="1" x14ac:dyDescent="0.2">
      <c r="A3111" s="7"/>
      <c r="B3111" s="2"/>
      <c r="C3111" s="2"/>
      <c r="D3111" s="2"/>
      <c r="E3111" s="7"/>
      <c r="F3111" s="7"/>
      <c r="G3111" s="9" t="s">
        <v>2322</v>
      </c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</row>
    <row r="3112" spans="1:18" ht="12.75" customHeight="1" x14ac:dyDescent="0.2">
      <c r="A3112" s="7"/>
      <c r="B3112" s="2"/>
      <c r="C3112" s="2"/>
      <c r="D3112" s="2"/>
      <c r="E3112" s="7"/>
      <c r="F3112" s="7"/>
      <c r="G3112" s="9" t="s">
        <v>2322</v>
      </c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</row>
    <row r="3113" spans="1:18" ht="12.75" customHeight="1" x14ac:dyDescent="0.2">
      <c r="A3113" s="7"/>
      <c r="B3113" s="2"/>
      <c r="C3113" s="2"/>
      <c r="D3113" s="2"/>
      <c r="E3113" s="7"/>
      <c r="F3113" s="7"/>
      <c r="G3113" s="9" t="s">
        <v>2322</v>
      </c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</row>
    <row r="3114" spans="1:18" ht="12.75" customHeight="1" x14ac:dyDescent="0.2">
      <c r="A3114" s="7"/>
      <c r="B3114" s="2"/>
      <c r="C3114" s="2"/>
      <c r="D3114" s="2"/>
      <c r="E3114" s="7"/>
      <c r="F3114" s="7"/>
      <c r="G3114" s="9" t="s">
        <v>2322</v>
      </c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</row>
    <row r="3115" spans="1:18" ht="12.75" customHeight="1" x14ac:dyDescent="0.2">
      <c r="A3115" s="7" t="str">
        <f>HYPERLINK("javascript:void(0)","elefántvért")</f>
        <v>elefántvért</v>
      </c>
      <c r="B3115" s="7"/>
      <c r="C3115" s="7"/>
      <c r="D3115" s="7"/>
      <c r="E3115" s="7"/>
      <c r="F3115" s="7"/>
      <c r="G3115" s="9" t="s">
        <v>2322</v>
      </c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</row>
    <row r="3116" spans="1:18" ht="12.75" customHeight="1" x14ac:dyDescent="0.2">
      <c r="A3116" s="7"/>
      <c r="B3116" s="2"/>
      <c r="C3116" s="2"/>
      <c r="D3116" s="2"/>
      <c r="E3116" s="7"/>
      <c r="F3116" s="7"/>
      <c r="G3116" s="9" t="s">
        <v>2322</v>
      </c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</row>
    <row r="3117" spans="1:18" ht="12.75" customHeight="1" x14ac:dyDescent="0.2">
      <c r="A3117" s="7"/>
      <c r="B3117" s="2" t="s">
        <v>0</v>
      </c>
      <c r="C3117" s="2" t="s">
        <v>1213</v>
      </c>
      <c r="D3117" s="2"/>
      <c r="E3117" s="7"/>
      <c r="F3117" s="7"/>
      <c r="G3117" s="9" t="s">
        <v>2322</v>
      </c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</row>
    <row r="3118" spans="1:18" ht="12.75" customHeight="1" x14ac:dyDescent="0.2">
      <c r="A3118" s="7"/>
      <c r="B3118" s="2" t="s">
        <v>2</v>
      </c>
      <c r="C3118" s="2" t="s">
        <v>2322</v>
      </c>
      <c r="D3118" s="2"/>
      <c r="E3118" s="7"/>
      <c r="F3118" s="7"/>
      <c r="G3118" s="9" t="s">
        <v>2322</v>
      </c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</row>
    <row r="3119" spans="1:18" ht="12.75" customHeight="1" x14ac:dyDescent="0.2">
      <c r="A3119" s="7"/>
      <c r="B3119" s="2" t="s">
        <v>1840</v>
      </c>
      <c r="C3119" s="2" t="s">
        <v>2543</v>
      </c>
      <c r="D3119" s="2"/>
      <c r="E3119" s="7"/>
      <c r="F3119" s="7"/>
      <c r="G3119" s="9" t="s">
        <v>2322</v>
      </c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</row>
    <row r="3120" spans="1:18" ht="12.75" customHeight="1" x14ac:dyDescent="0.2">
      <c r="A3120" s="7"/>
      <c r="B3120" s="2" t="s">
        <v>9</v>
      </c>
      <c r="C3120" s="2" t="s">
        <v>366</v>
      </c>
      <c r="D3120" s="2"/>
      <c r="E3120" s="7"/>
      <c r="F3120" s="7"/>
      <c r="G3120" s="9" t="s">
        <v>2322</v>
      </c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</row>
    <row r="3121" spans="1:18" ht="12.75" customHeight="1" x14ac:dyDescent="0.2">
      <c r="A3121" s="7"/>
      <c r="B3121" s="2" t="s">
        <v>11</v>
      </c>
      <c r="C3121" s="2" t="s">
        <v>2545</v>
      </c>
      <c r="D3121" s="2"/>
      <c r="E3121" s="7"/>
      <c r="F3121" s="7"/>
      <c r="G3121" s="9" t="s">
        <v>2322</v>
      </c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</row>
    <row r="3122" spans="1:18" ht="12.75" customHeight="1" x14ac:dyDescent="0.2">
      <c r="A3122" s="7"/>
      <c r="B3122" s="2" t="s">
        <v>16</v>
      </c>
      <c r="C3122" s="2"/>
      <c r="D3122" s="2"/>
      <c r="E3122" s="7"/>
      <c r="F3122" s="7"/>
      <c r="G3122" s="9" t="s">
        <v>2322</v>
      </c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</row>
    <row r="3123" spans="1:18" ht="12.75" customHeight="1" x14ac:dyDescent="0.2">
      <c r="A3123" s="7"/>
      <c r="B3123" s="2" t="s">
        <v>17</v>
      </c>
      <c r="C3123" s="2" t="s">
        <v>19</v>
      </c>
      <c r="D3123" s="2"/>
      <c r="E3123" s="7"/>
      <c r="F3123" s="7"/>
      <c r="G3123" s="9" t="s">
        <v>2322</v>
      </c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</row>
    <row r="3124" spans="1:18" ht="12.75" customHeight="1" x14ac:dyDescent="0.2">
      <c r="A3124" s="7"/>
      <c r="B3124" s="2" t="s">
        <v>18</v>
      </c>
      <c r="C3124" s="2" t="s">
        <v>55</v>
      </c>
      <c r="D3124" s="2" t="str">
        <f>HYPERLINK("javascript:void(0)","elefántcsont")</f>
        <v>elefántcsont</v>
      </c>
      <c r="E3124" s="7"/>
      <c r="F3124" s="7"/>
      <c r="G3124" s="9" t="s">
        <v>2322</v>
      </c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</row>
    <row r="3125" spans="1:18" ht="12.75" customHeight="1" x14ac:dyDescent="0.2">
      <c r="A3125" s="7"/>
      <c r="B3125" s="2"/>
      <c r="C3125" s="2" t="s">
        <v>44</v>
      </c>
      <c r="D3125" s="2" t="str">
        <f>HYPERLINK("javascript:void(0)","idegen teljes vért")</f>
        <v>idegen teljes vért</v>
      </c>
      <c r="E3125" s="7"/>
      <c r="F3125" s="7"/>
      <c r="G3125" s="9" t="s">
        <v>2322</v>
      </c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</row>
    <row r="3126" spans="1:18" ht="12.75" customHeight="1" x14ac:dyDescent="0.2">
      <c r="A3126" s="7"/>
      <c r="B3126" s="2"/>
      <c r="C3126" s="2" t="s">
        <v>68</v>
      </c>
      <c r="D3126" s="2" t="str">
        <f>HYPERLINK("javascript:void(0)","píszkereszt")</f>
        <v>píszkereszt</v>
      </c>
      <c r="E3126" s="7"/>
      <c r="F3126" s="7"/>
      <c r="G3126" s="9" t="s">
        <v>2322</v>
      </c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</row>
    <row r="3127" spans="1:18" ht="12.75" customHeight="1" x14ac:dyDescent="0.2">
      <c r="A3127" s="7"/>
      <c r="B3127" s="2"/>
      <c r="C3127" s="2"/>
      <c r="D3127" s="2"/>
      <c r="E3127" s="7"/>
      <c r="F3127" s="7"/>
      <c r="G3127" s="9" t="s">
        <v>2322</v>
      </c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</row>
    <row r="3128" spans="1:18" ht="12.75" customHeight="1" x14ac:dyDescent="0.2">
      <c r="A3128" s="7"/>
      <c r="B3128" s="2"/>
      <c r="C3128" s="2"/>
      <c r="D3128" s="2"/>
      <c r="E3128" s="7"/>
      <c r="F3128" s="7"/>
      <c r="G3128" s="9" t="s">
        <v>2322</v>
      </c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</row>
    <row r="3129" spans="1:18" ht="12.75" customHeight="1" x14ac:dyDescent="0.2">
      <c r="A3129" s="7"/>
      <c r="B3129" s="2"/>
      <c r="C3129" s="2"/>
      <c r="D3129" s="2"/>
      <c r="E3129" s="7"/>
      <c r="F3129" s="7"/>
      <c r="G3129" s="9" t="s">
        <v>2322</v>
      </c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</row>
    <row r="3130" spans="1:18" ht="12.75" customHeight="1" x14ac:dyDescent="0.2">
      <c r="A3130" s="7"/>
      <c r="B3130" s="2"/>
      <c r="C3130" s="2"/>
      <c r="D3130" s="2"/>
      <c r="E3130" s="7"/>
      <c r="F3130" s="7"/>
      <c r="G3130" s="9" t="s">
        <v>2322</v>
      </c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</row>
    <row r="3131" spans="1:18" ht="12.75" customHeight="1" x14ac:dyDescent="0.2">
      <c r="A3131" s="7"/>
      <c r="B3131" s="2"/>
      <c r="C3131" s="2"/>
      <c r="D3131" s="2"/>
      <c r="E3131" s="7"/>
      <c r="F3131" s="7"/>
      <c r="G3131" s="9" t="s">
        <v>2322</v>
      </c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</row>
    <row r="3132" spans="1:18" ht="12.75" customHeight="1" x14ac:dyDescent="0.2">
      <c r="A3132" s="7" t="str">
        <f>HYPERLINK("javascript:void(0)","csillámló manópáncél")</f>
        <v>csillámló manópáncél</v>
      </c>
      <c r="B3132" s="7"/>
      <c r="C3132" s="7"/>
      <c r="D3132" s="7"/>
      <c r="E3132" s="7"/>
      <c r="F3132" s="7"/>
      <c r="G3132" s="9" t="s">
        <v>2322</v>
      </c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</row>
    <row r="3133" spans="1:18" ht="12.75" customHeight="1" x14ac:dyDescent="0.2">
      <c r="A3133" s="7"/>
      <c r="B3133" s="2"/>
      <c r="C3133" s="2"/>
      <c r="D3133" s="2"/>
      <c r="E3133" s="7"/>
      <c r="F3133" s="7"/>
      <c r="G3133" s="9" t="s">
        <v>2322</v>
      </c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</row>
    <row r="3134" spans="1:18" ht="12.75" customHeight="1" x14ac:dyDescent="0.2">
      <c r="A3134" s="7"/>
      <c r="B3134" s="2" t="s">
        <v>0</v>
      </c>
      <c r="C3134" s="2" t="s">
        <v>230</v>
      </c>
      <c r="D3134" s="2"/>
      <c r="E3134" s="7"/>
      <c r="F3134" s="7"/>
      <c r="G3134" s="9" t="s">
        <v>2322</v>
      </c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</row>
    <row r="3135" spans="1:18" ht="12.75" customHeight="1" x14ac:dyDescent="0.2">
      <c r="A3135" s="7"/>
      <c r="B3135" s="2" t="s">
        <v>2</v>
      </c>
      <c r="C3135" s="2" t="s">
        <v>2322</v>
      </c>
      <c r="D3135" s="2"/>
      <c r="E3135" s="7"/>
      <c r="F3135" s="7"/>
      <c r="G3135" s="9" t="s">
        <v>2322</v>
      </c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</row>
    <row r="3136" spans="1:18" ht="12.75" customHeight="1" x14ac:dyDescent="0.2">
      <c r="A3136" s="7"/>
      <c r="B3136" s="2" t="s">
        <v>1840</v>
      </c>
      <c r="C3136" s="2" t="s">
        <v>2546</v>
      </c>
      <c r="D3136" s="2"/>
      <c r="E3136" s="7"/>
      <c r="F3136" s="7"/>
      <c r="G3136" s="9" t="s">
        <v>2322</v>
      </c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</row>
    <row r="3137" spans="1:18" ht="12.75" customHeight="1" x14ac:dyDescent="0.2">
      <c r="A3137" s="7"/>
      <c r="B3137" s="2" t="s">
        <v>9</v>
      </c>
      <c r="C3137" s="2" t="s">
        <v>2547</v>
      </c>
      <c r="D3137" s="2"/>
      <c r="E3137" s="7"/>
      <c r="F3137" s="7"/>
      <c r="G3137" s="9" t="s">
        <v>2322</v>
      </c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</row>
    <row r="3138" spans="1:18" ht="12.75" customHeight="1" x14ac:dyDescent="0.2">
      <c r="A3138" s="7"/>
      <c r="B3138" s="2" t="s">
        <v>11</v>
      </c>
      <c r="C3138" s="2" t="s">
        <v>2542</v>
      </c>
      <c r="D3138" s="2"/>
      <c r="E3138" s="7"/>
      <c r="F3138" s="7"/>
      <c r="G3138" s="9" t="s">
        <v>2322</v>
      </c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</row>
    <row r="3139" spans="1:18" ht="12.75" customHeight="1" x14ac:dyDescent="0.2">
      <c r="A3139" s="7"/>
      <c r="B3139" s="2" t="s">
        <v>16</v>
      </c>
      <c r="C3139" s="2"/>
      <c r="D3139" s="2"/>
      <c r="E3139" s="7"/>
      <c r="F3139" s="7"/>
      <c r="G3139" s="9" t="s">
        <v>2322</v>
      </c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</row>
    <row r="3140" spans="1:18" ht="12.75" customHeight="1" x14ac:dyDescent="0.2">
      <c r="A3140" s="7"/>
      <c r="B3140" s="2" t="s">
        <v>17</v>
      </c>
      <c r="C3140" s="2" t="s">
        <v>19</v>
      </c>
      <c r="D3140" s="2"/>
      <c r="E3140" s="7"/>
      <c r="F3140" s="7"/>
      <c r="G3140" s="9" t="s">
        <v>2322</v>
      </c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</row>
    <row r="3141" spans="1:18" ht="12.75" customHeight="1" x14ac:dyDescent="0.2">
      <c r="A3141" s="7"/>
      <c r="B3141" s="2" t="s">
        <v>18</v>
      </c>
      <c r="C3141" s="2" t="s">
        <v>57</v>
      </c>
      <c r="D3141" s="2" t="str">
        <f>HYPERLINK("javascript:void(0)","csillámgöb")</f>
        <v>csillámgöb</v>
      </c>
      <c r="E3141" s="7"/>
      <c r="F3141" s="7"/>
      <c r="G3141" s="9" t="s">
        <v>2322</v>
      </c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</row>
    <row r="3142" spans="1:18" ht="12.75" customHeight="1" x14ac:dyDescent="0.2">
      <c r="A3142" s="7"/>
      <c r="B3142" s="2"/>
      <c r="C3142" s="2" t="s">
        <v>44</v>
      </c>
      <c r="D3142" s="2" t="str">
        <f>HYPERLINK("javascript:void(0)","csillámló pengepáncél")</f>
        <v>csillámló pengepáncél</v>
      </c>
      <c r="E3142" s="7"/>
      <c r="F3142" s="7"/>
      <c r="G3142" s="9" t="s">
        <v>2322</v>
      </c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</row>
    <row r="3143" spans="1:18" ht="12.75" customHeight="1" x14ac:dyDescent="0.2">
      <c r="A3143" s="7"/>
      <c r="B3143" s="2"/>
      <c r="C3143" s="2" t="s">
        <v>2140</v>
      </c>
      <c r="D3143" s="2" t="str">
        <f>HYPERLINK("javascript:void(0)","uszony")</f>
        <v>uszony</v>
      </c>
      <c r="E3143" s="7"/>
      <c r="F3143" s="7"/>
      <c r="G3143" s="9" t="s">
        <v>2322</v>
      </c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</row>
    <row r="3144" spans="1:18" ht="12.75" customHeight="1" x14ac:dyDescent="0.2">
      <c r="A3144" s="7"/>
      <c r="B3144" s="2"/>
      <c r="C3144" s="2"/>
      <c r="D3144" s="2"/>
      <c r="E3144" s="7"/>
      <c r="F3144" s="7"/>
      <c r="G3144" s="9" t="s">
        <v>2322</v>
      </c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</row>
    <row r="3145" spans="1:18" ht="12.75" customHeight="1" x14ac:dyDescent="0.2">
      <c r="A3145" s="7"/>
      <c r="B3145" s="2"/>
      <c r="C3145" s="2"/>
      <c r="D3145" s="2"/>
      <c r="E3145" s="7"/>
      <c r="F3145" s="7"/>
      <c r="G3145" s="9" t="s">
        <v>2322</v>
      </c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</row>
    <row r="3146" spans="1:18" ht="12.75" customHeight="1" x14ac:dyDescent="0.2">
      <c r="A3146" s="7"/>
      <c r="B3146" s="2"/>
      <c r="C3146" s="2"/>
      <c r="D3146" s="2"/>
      <c r="E3146" s="7"/>
      <c r="F3146" s="7"/>
      <c r="G3146" s="9" t="s">
        <v>2322</v>
      </c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</row>
    <row r="3147" spans="1:18" ht="12.75" customHeight="1" x14ac:dyDescent="0.2">
      <c r="A3147" s="7"/>
      <c r="B3147" s="2"/>
      <c r="C3147" s="2"/>
      <c r="D3147" s="2"/>
      <c r="E3147" s="7"/>
      <c r="F3147" s="7"/>
      <c r="G3147" s="9" t="s">
        <v>2322</v>
      </c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</row>
    <row r="3148" spans="1:18" ht="12.75" customHeight="1" x14ac:dyDescent="0.2">
      <c r="A3148" s="7"/>
      <c r="B3148" s="2"/>
      <c r="C3148" s="2"/>
      <c r="D3148" s="2"/>
      <c r="E3148" s="7"/>
      <c r="F3148" s="7"/>
      <c r="G3148" s="9" t="s">
        <v>2322</v>
      </c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</row>
    <row r="3149" spans="1:18" ht="12.75" customHeight="1" x14ac:dyDescent="0.2">
      <c r="A3149" s="7" t="str">
        <f>HYPERLINK("javascript:void(0)","lombos páncél")</f>
        <v>lombos páncél</v>
      </c>
      <c r="B3149" s="7"/>
      <c r="C3149" s="7"/>
      <c r="D3149" s="7"/>
      <c r="E3149" s="7"/>
      <c r="F3149" s="7"/>
      <c r="G3149" s="9" t="s">
        <v>2322</v>
      </c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</row>
    <row r="3150" spans="1:18" ht="12.75" customHeight="1" x14ac:dyDescent="0.2">
      <c r="A3150" s="7"/>
      <c r="B3150" s="2"/>
      <c r="C3150" s="2"/>
      <c r="D3150" s="2"/>
      <c r="E3150" s="7"/>
      <c r="F3150" s="7"/>
      <c r="G3150" s="9" t="s">
        <v>2322</v>
      </c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</row>
    <row r="3151" spans="1:18" ht="12.75" customHeight="1" x14ac:dyDescent="0.2">
      <c r="A3151" s="7"/>
      <c r="B3151" s="2" t="s">
        <v>0</v>
      </c>
      <c r="C3151" s="2" t="s">
        <v>230</v>
      </c>
      <c r="D3151" s="2"/>
      <c r="E3151" s="7"/>
      <c r="F3151" s="7"/>
      <c r="G3151" s="9" t="s">
        <v>2322</v>
      </c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</row>
    <row r="3152" spans="1:18" ht="12.75" customHeight="1" x14ac:dyDescent="0.2">
      <c r="A3152" s="7"/>
      <c r="B3152" s="2" t="s">
        <v>2</v>
      </c>
      <c r="C3152" s="2" t="s">
        <v>2322</v>
      </c>
      <c r="D3152" s="2"/>
      <c r="E3152" s="7"/>
      <c r="F3152" s="7"/>
      <c r="G3152" s="9" t="s">
        <v>2322</v>
      </c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</row>
    <row r="3153" spans="1:18" ht="12.75" customHeight="1" x14ac:dyDescent="0.2">
      <c r="A3153" s="7"/>
      <c r="B3153" s="2" t="s">
        <v>1840</v>
      </c>
      <c r="C3153" s="2" t="s">
        <v>2548</v>
      </c>
      <c r="D3153" s="2"/>
      <c r="E3153" s="7"/>
      <c r="F3153" s="7"/>
      <c r="G3153" s="9" t="s">
        <v>2322</v>
      </c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</row>
    <row r="3154" spans="1:18" ht="12.75" customHeight="1" x14ac:dyDescent="0.2">
      <c r="A3154" s="7"/>
      <c r="B3154" s="2" t="s">
        <v>9</v>
      </c>
      <c r="C3154" s="2" t="s">
        <v>2549</v>
      </c>
      <c r="D3154" s="2"/>
      <c r="E3154" s="7"/>
      <c r="F3154" s="7"/>
      <c r="G3154" s="9" t="s">
        <v>2322</v>
      </c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</row>
    <row r="3155" spans="1:18" ht="12.75" customHeight="1" x14ac:dyDescent="0.2">
      <c r="A3155" s="7"/>
      <c r="B3155" s="2" t="s">
        <v>11</v>
      </c>
      <c r="C3155" s="2" t="s">
        <v>2252</v>
      </c>
      <c r="D3155" s="2"/>
      <c r="E3155" s="7"/>
      <c r="F3155" s="7"/>
      <c r="G3155" s="9" t="s">
        <v>2322</v>
      </c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</row>
    <row r="3156" spans="1:18" ht="12.75" customHeight="1" x14ac:dyDescent="0.2">
      <c r="A3156" s="7"/>
      <c r="B3156" s="2" t="s">
        <v>16</v>
      </c>
      <c r="C3156" s="2"/>
      <c r="D3156" s="2"/>
      <c r="E3156" s="7"/>
      <c r="F3156" s="7"/>
      <c r="G3156" s="9" t="s">
        <v>2322</v>
      </c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</row>
    <row r="3157" spans="1:18" ht="12.75" customHeight="1" x14ac:dyDescent="0.2">
      <c r="A3157" s="7"/>
      <c r="B3157" s="2" t="s">
        <v>17</v>
      </c>
      <c r="C3157" s="2" t="s">
        <v>19</v>
      </c>
      <c r="D3157" s="2"/>
      <c r="E3157" s="7"/>
      <c r="F3157" s="7"/>
      <c r="G3157" s="9" t="s">
        <v>2322</v>
      </c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</row>
    <row r="3158" spans="1:18" ht="12.75" customHeight="1" x14ac:dyDescent="0.2">
      <c r="A3158" s="7"/>
      <c r="B3158" s="2" t="s">
        <v>18</v>
      </c>
      <c r="C3158" s="2" t="s">
        <v>269</v>
      </c>
      <c r="D3158" s="2" t="str">
        <f>HYPERLINK("javascript:void(0)","lomb")</f>
        <v>lomb</v>
      </c>
      <c r="E3158" s="7"/>
      <c r="F3158" s="7"/>
      <c r="G3158" s="9" t="s">
        <v>2322</v>
      </c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</row>
    <row r="3159" spans="1:18" ht="12.75" customHeight="1" x14ac:dyDescent="0.2">
      <c r="A3159" s="7"/>
      <c r="B3159" s="2"/>
      <c r="C3159" s="2" t="s">
        <v>265</v>
      </c>
      <c r="D3159" s="2" t="str">
        <f>HYPERLINK("javascript:void(0)","patron")</f>
        <v>patron</v>
      </c>
      <c r="E3159" s="7"/>
      <c r="F3159" s="7"/>
      <c r="G3159" s="9" t="s">
        <v>2322</v>
      </c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</row>
    <row r="3160" spans="1:18" ht="12.75" customHeight="1" x14ac:dyDescent="0.2">
      <c r="A3160" s="7"/>
      <c r="B3160" s="2"/>
      <c r="C3160" s="2" t="s">
        <v>44</v>
      </c>
      <c r="D3160" s="2" t="str">
        <f>HYPERLINK("javascript:void(0)","elefántvért")</f>
        <v>elefántvért</v>
      </c>
      <c r="E3160" s="7"/>
      <c r="F3160" s="7"/>
      <c r="G3160" s="9" t="s">
        <v>2322</v>
      </c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</row>
    <row r="3161" spans="1:18" ht="12.75" customHeight="1" x14ac:dyDescent="0.2">
      <c r="A3161" s="7"/>
      <c r="B3161" s="2"/>
      <c r="C3161" s="2"/>
      <c r="D3161" s="2"/>
      <c r="E3161" s="7"/>
      <c r="F3161" s="7"/>
      <c r="G3161" s="9" t="s">
        <v>2322</v>
      </c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</row>
    <row r="3162" spans="1:18" ht="12.75" customHeight="1" x14ac:dyDescent="0.2">
      <c r="A3162" s="7"/>
      <c r="B3162" s="2"/>
      <c r="C3162" s="2"/>
      <c r="D3162" s="2"/>
      <c r="E3162" s="7"/>
      <c r="F3162" s="7"/>
      <c r="G3162" s="9" t="s">
        <v>2322</v>
      </c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</row>
    <row r="3163" spans="1:18" ht="12.75" customHeight="1" x14ac:dyDescent="0.2">
      <c r="A3163" s="7"/>
      <c r="B3163" s="2"/>
      <c r="C3163" s="2"/>
      <c r="D3163" s="2"/>
      <c r="E3163" s="7"/>
      <c r="F3163" s="7"/>
      <c r="G3163" s="9" t="s">
        <v>2322</v>
      </c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</row>
    <row r="3164" spans="1:18" ht="12.75" customHeight="1" x14ac:dyDescent="0.2">
      <c r="A3164" s="7"/>
      <c r="B3164" s="2"/>
      <c r="C3164" s="2"/>
      <c r="D3164" s="2"/>
      <c r="E3164" s="7"/>
      <c r="F3164" s="7"/>
      <c r="G3164" s="9" t="s">
        <v>2322</v>
      </c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</row>
    <row r="3165" spans="1:18" ht="12.75" customHeight="1" x14ac:dyDescent="0.2">
      <c r="A3165" s="7"/>
      <c r="B3165" s="2"/>
      <c r="C3165" s="2"/>
      <c r="D3165" s="2"/>
      <c r="E3165" s="7"/>
      <c r="F3165" s="7"/>
      <c r="G3165" s="9" t="s">
        <v>2322</v>
      </c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</row>
    <row r="3166" spans="1:18" ht="12.75" customHeight="1" x14ac:dyDescent="0.2">
      <c r="A3166" s="7" t="str">
        <f>HYPERLINK("javascript:void(0)","haragmellény")</f>
        <v>haragmellény</v>
      </c>
      <c r="B3166" s="7"/>
      <c r="C3166" s="7"/>
      <c r="D3166" s="7"/>
      <c r="E3166" s="7"/>
      <c r="F3166" s="7"/>
      <c r="G3166" s="9" t="s">
        <v>2322</v>
      </c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</row>
    <row r="3167" spans="1:18" ht="12.75" customHeight="1" x14ac:dyDescent="0.2">
      <c r="A3167" s="7"/>
      <c r="B3167" s="2"/>
      <c r="C3167" s="2"/>
      <c r="D3167" s="2"/>
      <c r="E3167" s="7"/>
      <c r="F3167" s="7"/>
      <c r="G3167" s="9" t="s">
        <v>2322</v>
      </c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</row>
    <row r="3168" spans="1:18" ht="12.75" customHeight="1" x14ac:dyDescent="0.2">
      <c r="A3168" s="7"/>
      <c r="B3168" s="2" t="s">
        <v>0</v>
      </c>
      <c r="C3168" s="2" t="s">
        <v>1230</v>
      </c>
      <c r="D3168" s="2"/>
      <c r="E3168" s="7"/>
      <c r="F3168" s="7"/>
      <c r="G3168" s="9" t="s">
        <v>2322</v>
      </c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</row>
    <row r="3169" spans="1:18" ht="12.75" customHeight="1" x14ac:dyDescent="0.2">
      <c r="A3169" s="7"/>
      <c r="B3169" s="2" t="s">
        <v>2</v>
      </c>
      <c r="C3169" s="2" t="s">
        <v>2322</v>
      </c>
      <c r="D3169" s="2"/>
      <c r="E3169" s="7"/>
      <c r="F3169" s="7"/>
      <c r="G3169" s="9" t="s">
        <v>2322</v>
      </c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</row>
    <row r="3170" spans="1:18" ht="12.75" customHeight="1" x14ac:dyDescent="0.2">
      <c r="A3170" s="7"/>
      <c r="B3170" s="2" t="s">
        <v>1840</v>
      </c>
      <c r="C3170" s="2" t="s">
        <v>697</v>
      </c>
      <c r="D3170" s="2"/>
      <c r="E3170" s="7"/>
      <c r="F3170" s="7"/>
      <c r="G3170" s="9" t="s">
        <v>2322</v>
      </c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</row>
    <row r="3171" spans="1:18" ht="12.75" customHeight="1" x14ac:dyDescent="0.2">
      <c r="A3171" s="7"/>
      <c r="B3171" s="2" t="s">
        <v>9</v>
      </c>
      <c r="C3171" s="2" t="s">
        <v>2549</v>
      </c>
      <c r="D3171" s="2"/>
      <c r="E3171" s="7"/>
      <c r="F3171" s="7"/>
      <c r="G3171" s="9" t="s">
        <v>2322</v>
      </c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</row>
    <row r="3172" spans="1:18" ht="12.75" customHeight="1" x14ac:dyDescent="0.2">
      <c r="A3172" s="7"/>
      <c r="B3172" s="2" t="s">
        <v>11</v>
      </c>
      <c r="C3172" s="2" t="s">
        <v>1075</v>
      </c>
      <c r="D3172" s="2"/>
      <c r="E3172" s="7"/>
      <c r="F3172" s="7"/>
      <c r="G3172" s="9" t="s">
        <v>2322</v>
      </c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</row>
    <row r="3173" spans="1:18" ht="12.75" customHeight="1" x14ac:dyDescent="0.2">
      <c r="A3173" s="7"/>
      <c r="B3173" s="2" t="s">
        <v>16</v>
      </c>
      <c r="C3173" s="2"/>
      <c r="D3173" s="2"/>
      <c r="E3173" s="7"/>
      <c r="F3173" s="7"/>
      <c r="G3173" s="9" t="s">
        <v>2322</v>
      </c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</row>
    <row r="3174" spans="1:18" ht="12.75" customHeight="1" x14ac:dyDescent="0.2">
      <c r="A3174" s="7"/>
      <c r="B3174" s="2" t="s">
        <v>17</v>
      </c>
      <c r="C3174" s="2" t="s">
        <v>19</v>
      </c>
      <c r="D3174" s="2"/>
      <c r="E3174" s="7"/>
      <c r="F3174" s="7"/>
      <c r="G3174" s="9" t="s">
        <v>2322</v>
      </c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</row>
    <row r="3175" spans="1:18" ht="12.75" customHeight="1" x14ac:dyDescent="0.2">
      <c r="A3175" s="7"/>
      <c r="B3175" s="2" t="s">
        <v>18</v>
      </c>
      <c r="C3175" s="2" t="s">
        <v>44</v>
      </c>
      <c r="D3175" s="2" t="str">
        <f>HYPERLINK("javascript:void(0)","lombos páncél")</f>
        <v>lombos páncél</v>
      </c>
      <c r="E3175" s="7"/>
      <c r="F3175" s="7"/>
      <c r="G3175" s="9" t="s">
        <v>2322</v>
      </c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</row>
    <row r="3176" spans="1:18" ht="12.75" customHeight="1" x14ac:dyDescent="0.2">
      <c r="A3176" s="7"/>
      <c r="B3176" s="2"/>
      <c r="C3176" s="2" t="s">
        <v>55</v>
      </c>
      <c r="D3176" s="2" t="str">
        <f>HYPERLINK("javascript:void(0)","roncogás")</f>
        <v>roncogás</v>
      </c>
      <c r="E3176" s="7"/>
      <c r="F3176" s="7"/>
      <c r="G3176" s="9" t="s">
        <v>2322</v>
      </c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</row>
    <row r="3177" spans="1:18" ht="12.75" customHeight="1" x14ac:dyDescent="0.2">
      <c r="A3177" s="7"/>
      <c r="B3177" s="2"/>
      <c r="C3177" s="2" t="s">
        <v>68</v>
      </c>
      <c r="D3177" s="2" t="str">
        <f>HYPERLINK("javascript:void(0)","bőrszárny")</f>
        <v>bőrszárny</v>
      </c>
      <c r="E3177" s="7"/>
      <c r="F3177" s="7"/>
      <c r="G3177" s="9" t="s">
        <v>2322</v>
      </c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</row>
    <row r="3178" spans="1:18" ht="12.75" customHeight="1" x14ac:dyDescent="0.2">
      <c r="A3178" s="7"/>
      <c r="B3178" s="2"/>
      <c r="C3178" s="2"/>
      <c r="D3178" s="2"/>
      <c r="E3178" s="7"/>
      <c r="F3178" s="7"/>
      <c r="G3178" s="9" t="s">
        <v>2322</v>
      </c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</row>
    <row r="3179" spans="1:18" ht="12.75" customHeight="1" x14ac:dyDescent="0.2">
      <c r="A3179" s="7"/>
      <c r="B3179" s="2"/>
      <c r="C3179" s="2"/>
      <c r="D3179" s="2"/>
      <c r="E3179" s="7"/>
      <c r="F3179" s="7"/>
      <c r="G3179" s="9" t="s">
        <v>2322</v>
      </c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</row>
    <row r="3180" spans="1:18" ht="12.75" customHeight="1" x14ac:dyDescent="0.2">
      <c r="A3180" s="7"/>
      <c r="B3180" s="2"/>
      <c r="C3180" s="2"/>
      <c r="D3180" s="2"/>
      <c r="E3180" s="7"/>
      <c r="F3180" s="7"/>
      <c r="G3180" s="9" t="s">
        <v>2322</v>
      </c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</row>
    <row r="3181" spans="1:18" ht="12.75" customHeight="1" x14ac:dyDescent="0.2">
      <c r="A3181" s="7"/>
      <c r="B3181" s="2"/>
      <c r="C3181" s="2"/>
      <c r="D3181" s="2"/>
      <c r="E3181" s="7"/>
      <c r="F3181" s="7"/>
      <c r="G3181" s="9" t="s">
        <v>2322</v>
      </c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</row>
    <row r="3182" spans="1:18" ht="12.75" customHeight="1" x14ac:dyDescent="0.2">
      <c r="A3182" s="7"/>
      <c r="B3182" s="2"/>
      <c r="C3182" s="2"/>
      <c r="D3182" s="2"/>
      <c r="E3182" s="7"/>
      <c r="F3182" s="7"/>
      <c r="G3182" s="9" t="s">
        <v>2322</v>
      </c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</row>
    <row r="3183" spans="1:18" ht="12.75" customHeight="1" x14ac:dyDescent="0.2">
      <c r="A3183" s="7" t="str">
        <f>HYPERLINK("javascript:void(0)","szines prémzeke")</f>
        <v>szines prémzeke</v>
      </c>
      <c r="B3183" s="7"/>
      <c r="C3183" s="7"/>
      <c r="D3183" s="7"/>
      <c r="E3183" s="7"/>
      <c r="F3183" s="7"/>
      <c r="G3183" s="9" t="s">
        <v>2322</v>
      </c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</row>
    <row r="3184" spans="1:18" ht="12.75" customHeight="1" x14ac:dyDescent="0.2">
      <c r="A3184" s="7"/>
      <c r="B3184" s="2"/>
      <c r="C3184" s="2"/>
      <c r="D3184" s="2"/>
      <c r="E3184" s="7"/>
      <c r="F3184" s="7"/>
      <c r="G3184" s="9" t="s">
        <v>2322</v>
      </c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</row>
    <row r="3185" spans="1:18" ht="12.75" customHeight="1" x14ac:dyDescent="0.2">
      <c r="A3185" s="7"/>
      <c r="B3185" s="2" t="s">
        <v>0</v>
      </c>
      <c r="C3185" s="2" t="s">
        <v>330</v>
      </c>
      <c r="D3185" s="2"/>
      <c r="E3185" s="7"/>
      <c r="F3185" s="7"/>
      <c r="G3185" s="9" t="s">
        <v>2322</v>
      </c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</row>
    <row r="3186" spans="1:18" ht="12.75" customHeight="1" x14ac:dyDescent="0.2">
      <c r="A3186" s="7"/>
      <c r="B3186" s="2" t="s">
        <v>2</v>
      </c>
      <c r="C3186" s="2" t="s">
        <v>2322</v>
      </c>
      <c r="D3186" s="2"/>
      <c r="E3186" s="7"/>
      <c r="F3186" s="7"/>
      <c r="G3186" s="9" t="s">
        <v>2322</v>
      </c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</row>
    <row r="3187" spans="1:18" ht="12.75" customHeight="1" x14ac:dyDescent="0.2">
      <c r="A3187" s="7"/>
      <c r="B3187" s="2" t="s">
        <v>1840</v>
      </c>
      <c r="C3187" s="2" t="s">
        <v>2550</v>
      </c>
      <c r="D3187" s="2"/>
      <c r="E3187" s="7"/>
      <c r="F3187" s="7"/>
      <c r="G3187" s="9" t="s">
        <v>2322</v>
      </c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</row>
    <row r="3188" spans="1:18" ht="12.75" customHeight="1" x14ac:dyDescent="0.2">
      <c r="A3188" s="7"/>
      <c r="B3188" s="2" t="s">
        <v>9</v>
      </c>
      <c r="C3188" s="2" t="s">
        <v>2551</v>
      </c>
      <c r="D3188" s="2"/>
      <c r="E3188" s="7"/>
      <c r="F3188" s="7"/>
      <c r="G3188" s="9" t="s">
        <v>2322</v>
      </c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</row>
    <row r="3189" spans="1:18" ht="12.75" customHeight="1" x14ac:dyDescent="0.2">
      <c r="A3189" s="7"/>
      <c r="B3189" s="2" t="s">
        <v>11</v>
      </c>
      <c r="C3189" s="2" t="s">
        <v>1083</v>
      </c>
      <c r="D3189" s="2"/>
      <c r="E3189" s="7"/>
      <c r="F3189" s="7"/>
      <c r="G3189" s="9" t="s">
        <v>2322</v>
      </c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</row>
    <row r="3190" spans="1:18" ht="12.75" customHeight="1" x14ac:dyDescent="0.2">
      <c r="A3190" s="7"/>
      <c r="B3190" s="2" t="s">
        <v>16</v>
      </c>
      <c r="C3190" s="2"/>
      <c r="D3190" s="2"/>
      <c r="E3190" s="7"/>
      <c r="F3190" s="7"/>
      <c r="G3190" s="9" t="s">
        <v>2322</v>
      </c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</row>
    <row r="3191" spans="1:18" ht="12.75" customHeight="1" x14ac:dyDescent="0.2">
      <c r="A3191" s="7"/>
      <c r="B3191" s="2" t="s">
        <v>17</v>
      </c>
      <c r="C3191" s="2" t="s">
        <v>19</v>
      </c>
      <c r="D3191" s="2"/>
      <c r="E3191" s="7"/>
      <c r="F3191" s="7"/>
      <c r="G3191" s="9" t="s">
        <v>2322</v>
      </c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</row>
    <row r="3192" spans="1:18" ht="12.75" customHeight="1" x14ac:dyDescent="0.2">
      <c r="A3192" s="7"/>
      <c r="B3192" s="2" t="s">
        <v>18</v>
      </c>
      <c r="C3192" s="2" t="s">
        <v>67</v>
      </c>
      <c r="D3192" s="2" t="str">
        <f>HYPERLINK("javascript:void(0)","szinapszis")</f>
        <v>szinapszis</v>
      </c>
      <c r="E3192" s="7"/>
      <c r="F3192" s="7"/>
      <c r="G3192" s="9" t="s">
        <v>2322</v>
      </c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</row>
    <row r="3193" spans="1:18" ht="12.75" customHeight="1" x14ac:dyDescent="0.2">
      <c r="A3193" s="7"/>
      <c r="B3193" s="2"/>
      <c r="C3193" s="2" t="s">
        <v>228</v>
      </c>
      <c r="D3193" s="2" t="str">
        <f>HYPERLINK("javascript:void(0)","orrmányprém")</f>
        <v>orrmányprém</v>
      </c>
      <c r="E3193" s="7"/>
      <c r="F3193" s="7"/>
      <c r="G3193" s="9" t="s">
        <v>2322</v>
      </c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</row>
    <row r="3194" spans="1:18" ht="12.75" customHeight="1" x14ac:dyDescent="0.2">
      <c r="A3194" s="7"/>
      <c r="B3194" s="2"/>
      <c r="C3194" s="2" t="s">
        <v>44</v>
      </c>
      <c r="D3194" s="2" t="str">
        <f>HYPERLINK("javascript:void(0)","haragmellény")</f>
        <v>haragmellény</v>
      </c>
      <c r="E3194" s="7"/>
      <c r="F3194" s="7"/>
      <c r="G3194" s="9" t="s">
        <v>2322</v>
      </c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</row>
    <row r="3195" spans="1:18" ht="12.75" customHeight="1" x14ac:dyDescent="0.2">
      <c r="A3195" s="7"/>
      <c r="B3195" s="2"/>
      <c r="C3195" s="2"/>
      <c r="D3195" s="2"/>
      <c r="E3195" s="7"/>
      <c r="F3195" s="7"/>
      <c r="G3195" s="9" t="s">
        <v>2322</v>
      </c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</row>
    <row r="3196" spans="1:18" ht="12.75" customHeight="1" x14ac:dyDescent="0.2">
      <c r="A3196" s="7"/>
      <c r="B3196" s="2"/>
      <c r="C3196" s="2"/>
      <c r="D3196" s="2"/>
      <c r="E3196" s="7"/>
      <c r="F3196" s="7"/>
      <c r="G3196" s="9" t="s">
        <v>2322</v>
      </c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</row>
    <row r="3197" spans="1:18" ht="12.75" customHeight="1" x14ac:dyDescent="0.2">
      <c r="A3197" s="7"/>
      <c r="B3197" s="2"/>
      <c r="C3197" s="2"/>
      <c r="D3197" s="2"/>
      <c r="E3197" s="7"/>
      <c r="F3197" s="7"/>
      <c r="G3197" s="9" t="s">
        <v>2322</v>
      </c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</row>
    <row r="3198" spans="1:18" ht="12.75" customHeight="1" x14ac:dyDescent="0.2">
      <c r="A3198" s="7"/>
      <c r="B3198" s="2"/>
      <c r="C3198" s="2"/>
      <c r="D3198" s="2"/>
      <c r="E3198" s="7"/>
      <c r="F3198" s="7"/>
      <c r="G3198" s="9" t="s">
        <v>2322</v>
      </c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</row>
    <row r="3199" spans="1:18" ht="12.75" customHeight="1" x14ac:dyDescent="0.2">
      <c r="A3199" s="7"/>
      <c r="B3199" s="2"/>
      <c r="C3199" s="2"/>
      <c r="D3199" s="2"/>
      <c r="E3199" s="7"/>
      <c r="F3199" s="7"/>
      <c r="G3199" s="9" t="s">
        <v>2322</v>
      </c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</row>
    <row r="3200" spans="1:18" ht="12.75" customHeight="1" x14ac:dyDescent="0.2">
      <c r="A3200" s="7" t="str">
        <f>HYPERLINK("javascript:void(0)","párnázott mellvért")</f>
        <v>párnázott mellvért</v>
      </c>
      <c r="B3200" s="7"/>
      <c r="C3200" s="7"/>
      <c r="D3200" s="7"/>
      <c r="E3200" s="7"/>
      <c r="F3200" s="7"/>
      <c r="G3200" s="9" t="s">
        <v>2322</v>
      </c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</row>
    <row r="3201" spans="1:18" ht="12.75" customHeight="1" x14ac:dyDescent="0.2">
      <c r="A3201" s="7"/>
      <c r="B3201" s="2"/>
      <c r="C3201" s="2"/>
      <c r="D3201" s="2"/>
      <c r="E3201" s="7"/>
      <c r="F3201" s="7"/>
      <c r="G3201" s="9" t="s">
        <v>2322</v>
      </c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</row>
    <row r="3202" spans="1:18" ht="12.75" customHeight="1" x14ac:dyDescent="0.2">
      <c r="A3202" s="7"/>
      <c r="B3202" s="2" t="s">
        <v>0</v>
      </c>
      <c r="C3202" s="2" t="s">
        <v>345</v>
      </c>
      <c r="D3202" s="2"/>
      <c r="E3202" s="7"/>
      <c r="F3202" s="7"/>
      <c r="G3202" s="9" t="s">
        <v>2322</v>
      </c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</row>
    <row r="3203" spans="1:18" ht="12.75" customHeight="1" x14ac:dyDescent="0.2">
      <c r="A3203" s="7"/>
      <c r="B3203" s="2" t="s">
        <v>2</v>
      </c>
      <c r="C3203" s="2" t="s">
        <v>2322</v>
      </c>
      <c r="D3203" s="2"/>
      <c r="E3203" s="7"/>
      <c r="F3203" s="7"/>
      <c r="G3203" s="9" t="s">
        <v>2322</v>
      </c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</row>
    <row r="3204" spans="1:18" ht="12.75" customHeight="1" x14ac:dyDescent="0.2">
      <c r="A3204" s="7"/>
      <c r="B3204" s="2" t="s">
        <v>1840</v>
      </c>
      <c r="C3204" s="2" t="s">
        <v>703</v>
      </c>
      <c r="D3204" s="2"/>
      <c r="E3204" s="7"/>
      <c r="F3204" s="7"/>
      <c r="G3204" s="9" t="s">
        <v>2322</v>
      </c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</row>
    <row r="3205" spans="1:18" ht="12.75" customHeight="1" x14ac:dyDescent="0.2">
      <c r="A3205" s="7"/>
      <c r="B3205" s="2" t="s">
        <v>9</v>
      </c>
      <c r="C3205" s="2" t="s">
        <v>169</v>
      </c>
      <c r="D3205" s="2"/>
      <c r="E3205" s="7"/>
      <c r="F3205" s="7"/>
      <c r="G3205" s="9" t="s">
        <v>2322</v>
      </c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</row>
    <row r="3206" spans="1:18" ht="12.75" customHeight="1" x14ac:dyDescent="0.2">
      <c r="A3206" s="7"/>
      <c r="B3206" s="2" t="s">
        <v>11</v>
      </c>
      <c r="C3206" s="2" t="s">
        <v>2270</v>
      </c>
      <c r="D3206" s="2"/>
      <c r="E3206" s="7"/>
      <c r="F3206" s="7"/>
      <c r="G3206" s="9" t="s">
        <v>2322</v>
      </c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</row>
    <row r="3207" spans="1:18" ht="12.75" customHeight="1" x14ac:dyDescent="0.2">
      <c r="A3207" s="7"/>
      <c r="B3207" s="2" t="s">
        <v>16</v>
      </c>
      <c r="C3207" s="2"/>
      <c r="D3207" s="2"/>
      <c r="E3207" s="7"/>
      <c r="F3207" s="7"/>
      <c r="G3207" s="9" t="s">
        <v>2322</v>
      </c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</row>
    <row r="3208" spans="1:18" ht="12.75" customHeight="1" x14ac:dyDescent="0.2">
      <c r="A3208" s="7"/>
      <c r="B3208" s="2" t="s">
        <v>17</v>
      </c>
      <c r="C3208" s="2" t="s">
        <v>19</v>
      </c>
      <c r="D3208" s="2"/>
      <c r="E3208" s="7"/>
      <c r="F3208" s="7"/>
      <c r="G3208" s="9" t="s">
        <v>2322</v>
      </c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</row>
    <row r="3209" spans="1:18" ht="12.75" customHeight="1" x14ac:dyDescent="0.2">
      <c r="A3209" s="7"/>
      <c r="B3209" s="2" t="s">
        <v>18</v>
      </c>
      <c r="C3209" s="2" t="s">
        <v>44</v>
      </c>
      <c r="D3209" s="2" t="str">
        <f>HYPERLINK("javascript:void(0)","szines prémzeke")</f>
        <v>szines prémzeke</v>
      </c>
      <c r="E3209" s="7"/>
      <c r="F3209" s="7"/>
      <c r="G3209" s="9" t="s">
        <v>2322</v>
      </c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</row>
    <row r="3210" spans="1:18" ht="12.75" customHeight="1" x14ac:dyDescent="0.2">
      <c r="A3210" s="7"/>
      <c r="B3210" s="2"/>
      <c r="C3210" s="2" t="s">
        <v>894</v>
      </c>
      <c r="D3210" s="2" t="str">
        <f>HYPERLINK("javascript:void(0)","tollcsomó")</f>
        <v>tollcsomó</v>
      </c>
      <c r="E3210" s="7"/>
      <c r="F3210" s="7"/>
      <c r="G3210" s="9" t="s">
        <v>2322</v>
      </c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</row>
    <row r="3211" spans="1:18" ht="12.75" customHeight="1" x14ac:dyDescent="0.2">
      <c r="A3211" s="7"/>
      <c r="B3211" s="2"/>
      <c r="C3211" s="2" t="s">
        <v>196</v>
      </c>
      <c r="D3211" s="2" t="str">
        <f>HYPERLINK("javascript:void(0)","orrmányprém")</f>
        <v>orrmányprém</v>
      </c>
      <c r="E3211" s="7"/>
      <c r="F3211" s="7"/>
      <c r="G3211" s="9" t="s">
        <v>2322</v>
      </c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</row>
    <row r="3212" spans="1:18" ht="12.75" customHeight="1" x14ac:dyDescent="0.2">
      <c r="A3212" s="7"/>
      <c r="B3212" s="2"/>
      <c r="C3212" s="2"/>
      <c r="D3212" s="2"/>
      <c r="E3212" s="7"/>
      <c r="F3212" s="7"/>
      <c r="G3212" s="9" t="s">
        <v>2322</v>
      </c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</row>
    <row r="3213" spans="1:18" ht="12.75" customHeight="1" x14ac:dyDescent="0.2">
      <c r="A3213" s="7"/>
      <c r="B3213" s="2"/>
      <c r="C3213" s="2"/>
      <c r="D3213" s="2"/>
      <c r="E3213" s="7"/>
      <c r="F3213" s="7"/>
      <c r="G3213" s="9" t="s">
        <v>2322</v>
      </c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</row>
    <row r="3214" spans="1:18" ht="12.75" customHeight="1" x14ac:dyDescent="0.2">
      <c r="A3214" s="7"/>
      <c r="B3214" s="2"/>
      <c r="C3214" s="2"/>
      <c r="D3214" s="2"/>
      <c r="E3214" s="7"/>
      <c r="F3214" s="7"/>
      <c r="G3214" s="9" t="s">
        <v>2322</v>
      </c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</row>
    <row r="3215" spans="1:18" ht="12.75" customHeight="1" x14ac:dyDescent="0.2">
      <c r="A3215" s="7"/>
      <c r="B3215" s="2"/>
      <c r="C3215" s="2"/>
      <c r="D3215" s="2"/>
      <c r="E3215" s="7"/>
      <c r="F3215" s="7"/>
      <c r="G3215" s="9" t="s">
        <v>2322</v>
      </c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</row>
    <row r="3216" spans="1:18" ht="12.75" customHeight="1" x14ac:dyDescent="0.2">
      <c r="A3216" s="7"/>
      <c r="B3216" s="2"/>
      <c r="C3216" s="2"/>
      <c r="D3216" s="2"/>
      <c r="E3216" s="7"/>
      <c r="F3216" s="7"/>
      <c r="G3216" s="9" t="s">
        <v>2322</v>
      </c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</row>
    <row r="3217" spans="1:18" ht="12.75" customHeight="1" x14ac:dyDescent="0.2">
      <c r="A3217" s="7" t="str">
        <f>HYPERLINK("javascript:void(0)","bélelt mellvért")</f>
        <v>bélelt mellvért</v>
      </c>
      <c r="B3217" s="7"/>
      <c r="C3217" s="7"/>
      <c r="D3217" s="7"/>
      <c r="E3217" s="7"/>
      <c r="F3217" s="7"/>
      <c r="G3217" s="9" t="s">
        <v>2322</v>
      </c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</row>
    <row r="3218" spans="1:18" ht="12.75" customHeight="1" x14ac:dyDescent="0.2">
      <c r="A3218" s="7"/>
      <c r="B3218" s="2"/>
      <c r="C3218" s="2"/>
      <c r="D3218" s="2"/>
      <c r="E3218" s="7"/>
      <c r="F3218" s="7"/>
      <c r="G3218" s="9" t="s">
        <v>2322</v>
      </c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</row>
    <row r="3219" spans="1:18" ht="12.75" customHeight="1" x14ac:dyDescent="0.2">
      <c r="A3219" s="7"/>
      <c r="B3219" s="2" t="s">
        <v>0</v>
      </c>
      <c r="C3219" s="2" t="s">
        <v>1252</v>
      </c>
      <c r="D3219" s="2"/>
      <c r="E3219" s="7"/>
      <c r="F3219" s="7"/>
      <c r="G3219" s="9" t="s">
        <v>2322</v>
      </c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</row>
    <row r="3220" spans="1:18" ht="12.75" customHeight="1" x14ac:dyDescent="0.2">
      <c r="A3220" s="7"/>
      <c r="B3220" s="2" t="s">
        <v>2</v>
      </c>
      <c r="C3220" s="2" t="s">
        <v>2322</v>
      </c>
      <c r="D3220" s="2"/>
      <c r="E3220" s="7"/>
      <c r="F3220" s="7"/>
      <c r="G3220" s="9" t="s">
        <v>2322</v>
      </c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</row>
    <row r="3221" spans="1:18" ht="12.75" customHeight="1" x14ac:dyDescent="0.2">
      <c r="A3221" s="7"/>
      <c r="B3221" s="2" t="s">
        <v>1840</v>
      </c>
      <c r="C3221" s="2" t="s">
        <v>2552</v>
      </c>
      <c r="D3221" s="2"/>
      <c r="E3221" s="7"/>
      <c r="F3221" s="7"/>
      <c r="G3221" s="9" t="s">
        <v>2322</v>
      </c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</row>
    <row r="3222" spans="1:18" ht="12.75" customHeight="1" x14ac:dyDescent="0.2">
      <c r="A3222" s="7"/>
      <c r="B3222" s="2" t="s">
        <v>9</v>
      </c>
      <c r="C3222" s="2" t="s">
        <v>200</v>
      </c>
      <c r="D3222" s="2"/>
      <c r="E3222" s="7"/>
      <c r="F3222" s="7"/>
      <c r="G3222" s="9" t="s">
        <v>2322</v>
      </c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</row>
    <row r="3223" spans="1:18" ht="12.75" customHeight="1" x14ac:dyDescent="0.2">
      <c r="A3223" s="7"/>
      <c r="B3223" s="2" t="s">
        <v>11</v>
      </c>
      <c r="C3223" s="2" t="s">
        <v>2553</v>
      </c>
      <c r="D3223" s="2"/>
      <c r="E3223" s="7"/>
      <c r="F3223" s="7"/>
      <c r="G3223" s="9" t="s">
        <v>2322</v>
      </c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</row>
    <row r="3224" spans="1:18" ht="12.75" customHeight="1" x14ac:dyDescent="0.2">
      <c r="A3224" s="7"/>
      <c r="B3224" s="2" t="s">
        <v>16</v>
      </c>
      <c r="C3224" s="2"/>
      <c r="D3224" s="2"/>
      <c r="E3224" s="7"/>
      <c r="F3224" s="7"/>
      <c r="G3224" s="9" t="s">
        <v>2322</v>
      </c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</row>
    <row r="3225" spans="1:18" ht="12.75" customHeight="1" x14ac:dyDescent="0.2">
      <c r="A3225" s="7"/>
      <c r="B3225" s="2" t="s">
        <v>17</v>
      </c>
      <c r="C3225" s="2" t="s">
        <v>19</v>
      </c>
      <c r="D3225" s="2"/>
      <c r="E3225" s="7"/>
      <c r="F3225" s="7"/>
      <c r="G3225" s="9" t="s">
        <v>2322</v>
      </c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</row>
    <row r="3226" spans="1:18" ht="12.75" customHeight="1" x14ac:dyDescent="0.2">
      <c r="A3226" s="7"/>
      <c r="B3226" s="2" t="s">
        <v>18</v>
      </c>
      <c r="C3226" s="2" t="s">
        <v>44</v>
      </c>
      <c r="D3226" s="2" t="str">
        <f>HYPERLINK("javascript:void(0)","párnázott mellvért")</f>
        <v>párnázott mellvért</v>
      </c>
      <c r="E3226" s="7"/>
      <c r="F3226" s="7"/>
      <c r="G3226" s="9" t="s">
        <v>2322</v>
      </c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</row>
    <row r="3227" spans="1:18" ht="12.75" customHeight="1" x14ac:dyDescent="0.2">
      <c r="A3227" s="7"/>
      <c r="B3227" s="2"/>
      <c r="C3227" s="2" t="s">
        <v>196</v>
      </c>
      <c r="D3227" s="2" t="str">
        <f>HYPERLINK("javascript:void(0)","szőrpenge")</f>
        <v>szőrpenge</v>
      </c>
      <c r="E3227" s="7"/>
      <c r="F3227" s="7"/>
      <c r="G3227" s="9" t="s">
        <v>2322</v>
      </c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</row>
    <row r="3228" spans="1:18" ht="12.75" customHeight="1" x14ac:dyDescent="0.2">
      <c r="A3228" s="7"/>
      <c r="B3228" s="2"/>
      <c r="C3228" s="2" t="s">
        <v>98</v>
      </c>
      <c r="D3228" s="2" t="str">
        <f>HYPERLINK("javascript:void(0)","raszta")</f>
        <v>raszta</v>
      </c>
      <c r="E3228" s="7"/>
      <c r="F3228" s="7"/>
      <c r="G3228" s="9" t="s">
        <v>2322</v>
      </c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</row>
    <row r="3229" spans="1:18" ht="12.75" customHeight="1" x14ac:dyDescent="0.2">
      <c r="A3229" s="7"/>
      <c r="B3229" s="2"/>
      <c r="C3229" s="2"/>
      <c r="D3229" s="2"/>
      <c r="E3229" s="7"/>
      <c r="F3229" s="7"/>
      <c r="G3229" s="9" t="s">
        <v>2322</v>
      </c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</row>
    <row r="3230" spans="1:18" ht="12.75" customHeight="1" x14ac:dyDescent="0.2">
      <c r="A3230" s="7"/>
      <c r="B3230" s="2"/>
      <c r="C3230" s="2"/>
      <c r="D3230" s="2"/>
      <c r="E3230" s="7"/>
      <c r="F3230" s="7"/>
      <c r="G3230" s="9" t="s">
        <v>2322</v>
      </c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</row>
    <row r="3231" spans="1:18" ht="12.75" customHeight="1" x14ac:dyDescent="0.2">
      <c r="A3231" s="7"/>
      <c r="B3231" s="2"/>
      <c r="C3231" s="2"/>
      <c r="D3231" s="2"/>
      <c r="E3231" s="7"/>
      <c r="F3231" s="7"/>
      <c r="G3231" s="9" t="s">
        <v>2322</v>
      </c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</row>
    <row r="3232" spans="1:18" ht="12.75" customHeight="1" x14ac:dyDescent="0.2">
      <c r="A3232" s="7"/>
      <c r="B3232" s="2"/>
      <c r="C3232" s="2"/>
      <c r="D3232" s="2"/>
      <c r="E3232" s="7"/>
      <c r="F3232" s="7"/>
      <c r="G3232" s="9" t="s">
        <v>2322</v>
      </c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</row>
    <row r="3233" spans="1:18" ht="12.75" customHeight="1" x14ac:dyDescent="0.2">
      <c r="A3233" s="7"/>
      <c r="B3233" s="2"/>
      <c r="C3233" s="2"/>
      <c r="D3233" s="2"/>
      <c r="E3233" s="7"/>
      <c r="F3233" s="7"/>
      <c r="G3233" s="9" t="s">
        <v>2322</v>
      </c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</row>
    <row r="3234" spans="1:18" ht="12.75" customHeight="1" x14ac:dyDescent="0.2">
      <c r="A3234" s="7" t="str">
        <f>HYPERLINK("javascript:void(0)","animált mellvért")</f>
        <v>animált mellvért</v>
      </c>
      <c r="B3234" s="7"/>
      <c r="C3234" s="7"/>
      <c r="D3234" s="7"/>
      <c r="E3234" s="7"/>
      <c r="F3234" s="7"/>
      <c r="G3234" s="9" t="s">
        <v>2322</v>
      </c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</row>
    <row r="3235" spans="1:18" ht="12.75" customHeight="1" x14ac:dyDescent="0.2">
      <c r="A3235" s="7"/>
      <c r="B3235" s="2"/>
      <c r="C3235" s="2"/>
      <c r="D3235" s="2"/>
      <c r="E3235" s="7"/>
      <c r="F3235" s="7"/>
      <c r="G3235" s="9" t="s">
        <v>2322</v>
      </c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</row>
    <row r="3236" spans="1:18" ht="12.75" customHeight="1" x14ac:dyDescent="0.2">
      <c r="A3236" s="7"/>
      <c r="B3236" s="2" t="s">
        <v>0</v>
      </c>
      <c r="C3236" s="2" t="s">
        <v>1263</v>
      </c>
      <c r="D3236" s="2"/>
      <c r="E3236" s="7"/>
      <c r="F3236" s="7"/>
      <c r="G3236" s="9" t="s">
        <v>2322</v>
      </c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</row>
    <row r="3237" spans="1:18" ht="12.75" customHeight="1" x14ac:dyDescent="0.2">
      <c r="A3237" s="7"/>
      <c r="B3237" s="2" t="s">
        <v>2</v>
      </c>
      <c r="C3237" s="2" t="s">
        <v>2322</v>
      </c>
      <c r="D3237" s="2"/>
      <c r="E3237" s="7"/>
      <c r="F3237" s="7"/>
      <c r="G3237" s="9" t="s">
        <v>2322</v>
      </c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</row>
    <row r="3238" spans="1:18" ht="12.75" customHeight="1" x14ac:dyDescent="0.2">
      <c r="A3238" s="7"/>
      <c r="B3238" s="2" t="s">
        <v>1840</v>
      </c>
      <c r="C3238" s="2" t="s">
        <v>2554</v>
      </c>
      <c r="D3238" s="2"/>
      <c r="E3238" s="7"/>
      <c r="F3238" s="7"/>
      <c r="G3238" s="9" t="s">
        <v>2322</v>
      </c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</row>
    <row r="3239" spans="1:18" ht="12.75" customHeight="1" x14ac:dyDescent="0.2">
      <c r="A3239" s="7"/>
      <c r="B3239" s="2" t="s">
        <v>9</v>
      </c>
      <c r="C3239" s="2" t="s">
        <v>75</v>
      </c>
      <c r="D3239" s="2"/>
      <c r="E3239" s="7"/>
      <c r="F3239" s="7"/>
      <c r="G3239" s="9" t="s">
        <v>2322</v>
      </c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</row>
    <row r="3240" spans="1:18" ht="12.75" customHeight="1" x14ac:dyDescent="0.2">
      <c r="A3240" s="7"/>
      <c r="B3240" s="2" t="s">
        <v>11</v>
      </c>
      <c r="C3240" s="2" t="s">
        <v>2278</v>
      </c>
      <c r="D3240" s="2"/>
      <c r="E3240" s="7"/>
      <c r="F3240" s="7"/>
      <c r="G3240" s="9" t="s">
        <v>2322</v>
      </c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</row>
    <row r="3241" spans="1:18" ht="12.75" customHeight="1" x14ac:dyDescent="0.2">
      <c r="A3241" s="7"/>
      <c r="B3241" s="2" t="s">
        <v>16</v>
      </c>
      <c r="C3241" s="2"/>
      <c r="D3241" s="2"/>
      <c r="E3241" s="7"/>
      <c r="F3241" s="7"/>
      <c r="G3241" s="9" t="s">
        <v>2322</v>
      </c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</row>
    <row r="3242" spans="1:18" ht="12.75" customHeight="1" x14ac:dyDescent="0.2">
      <c r="A3242" s="7"/>
      <c r="B3242" s="2" t="s">
        <v>17</v>
      </c>
      <c r="C3242" s="2" t="s">
        <v>19</v>
      </c>
      <c r="D3242" s="2"/>
      <c r="E3242" s="7"/>
      <c r="F3242" s="7"/>
      <c r="G3242" s="9" t="s">
        <v>2322</v>
      </c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</row>
    <row r="3243" spans="1:18" ht="12.75" customHeight="1" x14ac:dyDescent="0.2">
      <c r="A3243" s="7"/>
      <c r="B3243" s="2" t="s">
        <v>18</v>
      </c>
      <c r="C3243" s="2" t="s">
        <v>77</v>
      </c>
      <c r="D3243" s="2" t="str">
        <f>HYPERLINK("javascript:void(0)","animátum")</f>
        <v>animátum</v>
      </c>
      <c r="E3243" s="7"/>
      <c r="F3243" s="7"/>
      <c r="G3243" s="9" t="s">
        <v>2322</v>
      </c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</row>
    <row r="3244" spans="1:18" ht="12.75" customHeight="1" x14ac:dyDescent="0.2">
      <c r="A3244" s="7"/>
      <c r="B3244" s="2"/>
      <c r="C3244" s="2" t="s">
        <v>331</v>
      </c>
      <c r="D3244" s="2" t="str">
        <f>HYPERLINK("javascript:void(0)","ármánylat")</f>
        <v>ármánylat</v>
      </c>
      <c r="E3244" s="7"/>
      <c r="F3244" s="7"/>
      <c r="G3244" s="9" t="s">
        <v>2322</v>
      </c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</row>
    <row r="3245" spans="1:18" ht="12.75" customHeight="1" x14ac:dyDescent="0.2">
      <c r="A3245" s="7"/>
      <c r="B3245" s="2"/>
      <c r="C3245" s="2" t="s">
        <v>296</v>
      </c>
      <c r="D3245" s="2" t="str">
        <f>HYPERLINK("javascript:void(0)","rémkép")</f>
        <v>rémkép</v>
      </c>
      <c r="E3245" s="7"/>
      <c r="F3245" s="7"/>
      <c r="G3245" s="9" t="s">
        <v>2322</v>
      </c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</row>
    <row r="3246" spans="1:18" ht="12.75" customHeight="1" x14ac:dyDescent="0.2">
      <c r="A3246" s="7"/>
      <c r="B3246" s="2"/>
      <c r="C3246" s="2"/>
      <c r="D3246" s="2"/>
      <c r="E3246" s="7"/>
      <c r="F3246" s="7"/>
      <c r="G3246" s="9" t="s">
        <v>2322</v>
      </c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</row>
    <row r="3247" spans="1:18" ht="12.75" customHeight="1" x14ac:dyDescent="0.2">
      <c r="A3247" s="7"/>
      <c r="B3247" s="2"/>
      <c r="C3247" s="2"/>
      <c r="D3247" s="2"/>
      <c r="E3247" s="7"/>
      <c r="F3247" s="7"/>
      <c r="G3247" s="9" t="s">
        <v>2322</v>
      </c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</row>
    <row r="3248" spans="1:18" ht="12.75" customHeight="1" x14ac:dyDescent="0.2">
      <c r="A3248" s="7"/>
      <c r="B3248" s="2"/>
      <c r="C3248" s="2"/>
      <c r="D3248" s="2"/>
      <c r="E3248" s="7"/>
      <c r="F3248" s="7"/>
      <c r="G3248" s="9" t="s">
        <v>2322</v>
      </c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</row>
    <row r="3249" spans="1:18" ht="12.75" customHeight="1" x14ac:dyDescent="0.2">
      <c r="A3249" s="7"/>
      <c r="B3249" s="2"/>
      <c r="C3249" s="2"/>
      <c r="D3249" s="2"/>
      <c r="E3249" s="7"/>
      <c r="F3249" s="7"/>
      <c r="G3249" s="9" t="s">
        <v>2322</v>
      </c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</row>
    <row r="3250" spans="1:18" ht="12.75" customHeight="1" x14ac:dyDescent="0.2">
      <c r="A3250" s="7"/>
      <c r="B3250" s="2"/>
      <c r="C3250" s="2"/>
      <c r="D3250" s="2"/>
      <c r="E3250" s="7"/>
      <c r="F3250" s="7"/>
      <c r="G3250" s="9" t="s">
        <v>2322</v>
      </c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</row>
    <row r="3251" spans="1:18" ht="12.75" customHeight="1" x14ac:dyDescent="0.2">
      <c r="A3251" s="7" t="str">
        <f>HYPERLINK("javascript:void(0)","szellempáncél")</f>
        <v>szellempáncél</v>
      </c>
      <c r="B3251" s="7"/>
      <c r="C3251" s="7"/>
      <c r="D3251" s="7"/>
      <c r="E3251" s="7"/>
      <c r="F3251" s="7"/>
      <c r="G3251" s="9" t="s">
        <v>2322</v>
      </c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</row>
    <row r="3252" spans="1:18" ht="12.75" customHeight="1" x14ac:dyDescent="0.2">
      <c r="A3252" s="7"/>
      <c r="B3252" s="2"/>
      <c r="C3252" s="2"/>
      <c r="D3252" s="2"/>
      <c r="E3252" s="7"/>
      <c r="F3252" s="7"/>
      <c r="G3252" s="9" t="s">
        <v>2322</v>
      </c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</row>
    <row r="3253" spans="1:18" ht="12.75" customHeight="1" x14ac:dyDescent="0.2">
      <c r="A3253" s="7"/>
      <c r="B3253" s="2" t="s">
        <v>0</v>
      </c>
      <c r="C3253" s="2" t="s">
        <v>1270</v>
      </c>
      <c r="D3253" s="2"/>
      <c r="E3253" s="7"/>
      <c r="F3253" s="7"/>
      <c r="G3253" s="9" t="s">
        <v>2322</v>
      </c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</row>
    <row r="3254" spans="1:18" ht="12.75" customHeight="1" x14ac:dyDescent="0.2">
      <c r="A3254" s="7"/>
      <c r="B3254" s="2" t="s">
        <v>2</v>
      </c>
      <c r="C3254" s="2" t="s">
        <v>2322</v>
      </c>
      <c r="D3254" s="2"/>
      <c r="E3254" s="7"/>
      <c r="F3254" s="7"/>
      <c r="G3254" s="9" t="s">
        <v>2322</v>
      </c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</row>
    <row r="3255" spans="1:18" ht="12.75" customHeight="1" x14ac:dyDescent="0.2">
      <c r="A3255" s="7"/>
      <c r="B3255" s="2" t="s">
        <v>1840</v>
      </c>
      <c r="C3255" s="2" t="s">
        <v>2555</v>
      </c>
      <c r="D3255" s="2"/>
      <c r="E3255" s="7"/>
      <c r="F3255" s="7"/>
      <c r="G3255" s="9" t="s">
        <v>2322</v>
      </c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</row>
    <row r="3256" spans="1:18" ht="12.75" customHeight="1" x14ac:dyDescent="0.2">
      <c r="A3256" s="7"/>
      <c r="B3256" s="2" t="s">
        <v>9</v>
      </c>
      <c r="C3256" s="2" t="s">
        <v>135</v>
      </c>
      <c r="D3256" s="2"/>
      <c r="E3256" s="7"/>
      <c r="F3256" s="7"/>
      <c r="G3256" s="9" t="s">
        <v>2322</v>
      </c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</row>
    <row r="3257" spans="1:18" ht="12.75" customHeight="1" x14ac:dyDescent="0.2">
      <c r="A3257" s="7"/>
      <c r="B3257" s="2" t="s">
        <v>11</v>
      </c>
      <c r="C3257" s="2" t="s">
        <v>2556</v>
      </c>
      <c r="D3257" s="2"/>
      <c r="E3257" s="7"/>
      <c r="F3257" s="7"/>
      <c r="G3257" s="9" t="s">
        <v>2322</v>
      </c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</row>
    <row r="3258" spans="1:18" ht="12.75" customHeight="1" x14ac:dyDescent="0.2">
      <c r="A3258" s="7"/>
      <c r="B3258" s="2" t="s">
        <v>16</v>
      </c>
      <c r="C3258" s="2"/>
      <c r="D3258" s="2"/>
      <c r="E3258" s="7"/>
      <c r="F3258" s="7"/>
      <c r="G3258" s="9" t="s">
        <v>2322</v>
      </c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</row>
    <row r="3259" spans="1:18" ht="12.75" customHeight="1" x14ac:dyDescent="0.2">
      <c r="A3259" s="7"/>
      <c r="B3259" s="2" t="s">
        <v>17</v>
      </c>
      <c r="C3259" s="2" t="s">
        <v>19</v>
      </c>
      <c r="D3259" s="2"/>
      <c r="E3259" s="7"/>
      <c r="F3259" s="7"/>
      <c r="G3259" s="9" t="s">
        <v>2322</v>
      </c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</row>
    <row r="3260" spans="1:18" ht="12.75" customHeight="1" x14ac:dyDescent="0.2">
      <c r="A3260" s="7"/>
      <c r="B3260" s="2" t="s">
        <v>18</v>
      </c>
      <c r="C3260" s="2" t="s">
        <v>44</v>
      </c>
      <c r="D3260" s="2" t="str">
        <f>HYPERLINK("javascript:void(0)","bélelt mellvért")</f>
        <v>bélelt mellvért</v>
      </c>
      <c r="E3260" s="7"/>
      <c r="F3260" s="7"/>
      <c r="G3260" s="9" t="s">
        <v>2322</v>
      </c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</row>
    <row r="3261" spans="1:18" ht="12.75" customHeight="1" x14ac:dyDescent="0.2">
      <c r="A3261" s="7"/>
      <c r="B3261" s="2"/>
      <c r="C3261" s="2" t="s">
        <v>44</v>
      </c>
      <c r="D3261" s="2" t="str">
        <f>HYPERLINK("javascript:void(0)","animált mellvért")</f>
        <v>animált mellvért</v>
      </c>
      <c r="E3261" s="7"/>
      <c r="F3261" s="7"/>
      <c r="G3261" s="9" t="s">
        <v>2322</v>
      </c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</row>
    <row r="3262" spans="1:18" ht="12.75" customHeight="1" x14ac:dyDescent="0.2">
      <c r="A3262" s="7"/>
      <c r="B3262" s="2"/>
      <c r="C3262" s="2" t="s">
        <v>269</v>
      </c>
      <c r="D3262" s="2" t="str">
        <f>HYPERLINK("javascript:void(0)","faunszarv")</f>
        <v>faunszarv</v>
      </c>
      <c r="E3262" s="7"/>
      <c r="F3262" s="7"/>
      <c r="G3262" s="9" t="s">
        <v>2322</v>
      </c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</row>
    <row r="3263" spans="1:18" ht="12.75" customHeight="1" x14ac:dyDescent="0.2">
      <c r="A3263" s="7"/>
      <c r="B3263" s="2"/>
      <c r="C3263" s="2"/>
      <c r="D3263" s="2"/>
      <c r="E3263" s="7"/>
      <c r="F3263" s="7"/>
      <c r="G3263" s="9" t="s">
        <v>2322</v>
      </c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</row>
    <row r="3264" spans="1:18" ht="12.75" customHeight="1" x14ac:dyDescent="0.2">
      <c r="A3264" s="7"/>
      <c r="B3264" s="2"/>
      <c r="C3264" s="2"/>
      <c r="D3264" s="2"/>
      <c r="E3264" s="7"/>
      <c r="F3264" s="7"/>
      <c r="G3264" s="9" t="s">
        <v>2322</v>
      </c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</row>
    <row r="3265" spans="1:18" ht="12.75" customHeight="1" x14ac:dyDescent="0.2">
      <c r="A3265" s="7"/>
      <c r="B3265" s="2"/>
      <c r="C3265" s="2"/>
      <c r="D3265" s="2"/>
      <c r="E3265" s="7"/>
      <c r="F3265" s="7"/>
      <c r="G3265" s="9" t="s">
        <v>2322</v>
      </c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</row>
    <row r="3266" spans="1:18" ht="12.75" customHeight="1" x14ac:dyDescent="0.2">
      <c r="A3266" s="7"/>
      <c r="B3266" s="2"/>
      <c r="C3266" s="2"/>
      <c r="D3266" s="2"/>
      <c r="E3266" s="7"/>
      <c r="F3266" s="7"/>
      <c r="G3266" s="9" t="s">
        <v>2322</v>
      </c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</row>
    <row r="3267" spans="1:18" ht="12.75" customHeight="1" x14ac:dyDescent="0.2">
      <c r="A3267" s="7"/>
      <c r="B3267" s="2"/>
      <c r="C3267" s="2"/>
      <c r="D3267" s="2"/>
      <c r="E3267" s="7"/>
      <c r="F3267" s="7"/>
      <c r="G3267" s="9" t="s">
        <v>2322</v>
      </c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</row>
    <row r="3268" spans="1:18" ht="12.75" customHeight="1" x14ac:dyDescent="0.2">
      <c r="A3268" s="7" t="str">
        <f>HYPERLINK("javascript:void(0)","hódaljpánt")</f>
        <v>hódaljpánt</v>
      </c>
      <c r="B3268" s="7"/>
      <c r="C3268" s="7"/>
      <c r="D3268" s="7"/>
      <c r="E3268" s="7"/>
      <c r="F3268" s="7"/>
      <c r="G3268" s="9" t="s">
        <v>2322</v>
      </c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</row>
    <row r="3269" spans="1:18" ht="12.75" customHeight="1" x14ac:dyDescent="0.2">
      <c r="A3269" s="7"/>
      <c r="B3269" s="2"/>
      <c r="C3269" s="2"/>
      <c r="D3269" s="2"/>
      <c r="E3269" s="7"/>
      <c r="F3269" s="7"/>
      <c r="G3269" s="9" t="s">
        <v>2322</v>
      </c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</row>
    <row r="3270" spans="1:18" ht="12.75" customHeight="1" x14ac:dyDescent="0.2">
      <c r="A3270" s="7"/>
      <c r="B3270" s="2" t="s">
        <v>0</v>
      </c>
      <c r="C3270" s="2" t="s">
        <v>143</v>
      </c>
      <c r="D3270" s="2"/>
      <c r="E3270" s="7"/>
      <c r="F3270" s="7"/>
      <c r="G3270" s="9" t="s">
        <v>2322</v>
      </c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</row>
    <row r="3271" spans="1:18" ht="12.75" customHeight="1" x14ac:dyDescent="0.2">
      <c r="A3271" s="7"/>
      <c r="B3271" s="2" t="s">
        <v>2</v>
      </c>
      <c r="C3271" s="2" t="s">
        <v>2322</v>
      </c>
      <c r="D3271" s="2"/>
      <c r="E3271" s="7"/>
      <c r="F3271" s="7"/>
      <c r="G3271" s="9" t="s">
        <v>2322</v>
      </c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</row>
    <row r="3272" spans="1:18" ht="12.75" customHeight="1" x14ac:dyDescent="0.2">
      <c r="A3272" s="7"/>
      <c r="B3272" s="2" t="s">
        <v>1840</v>
      </c>
      <c r="C3272" s="2" t="s">
        <v>2557</v>
      </c>
      <c r="D3272" s="2"/>
      <c r="E3272" s="7"/>
      <c r="F3272" s="7"/>
      <c r="G3272" s="9" t="s">
        <v>2322</v>
      </c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</row>
    <row r="3273" spans="1:18" ht="12.75" customHeight="1" x14ac:dyDescent="0.2">
      <c r="A3273" s="7"/>
      <c r="B3273" s="2" t="s">
        <v>9</v>
      </c>
      <c r="C3273" s="2" t="s">
        <v>1670</v>
      </c>
      <c r="D3273" s="2"/>
      <c r="E3273" s="7"/>
      <c r="F3273" s="7"/>
      <c r="G3273" s="9" t="s">
        <v>2322</v>
      </c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</row>
    <row r="3274" spans="1:18" ht="12.75" customHeight="1" x14ac:dyDescent="0.2">
      <c r="A3274" s="7"/>
      <c r="B3274" s="2" t="s">
        <v>11</v>
      </c>
      <c r="C3274" s="2" t="s">
        <v>1109</v>
      </c>
      <c r="D3274" s="2"/>
      <c r="E3274" s="7"/>
      <c r="F3274" s="7"/>
      <c r="G3274" s="9" t="s">
        <v>2322</v>
      </c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</row>
    <row r="3275" spans="1:18" ht="12.75" customHeight="1" x14ac:dyDescent="0.2">
      <c r="A3275" s="7"/>
      <c r="B3275" s="2" t="s">
        <v>16</v>
      </c>
      <c r="C3275" s="2"/>
      <c r="D3275" s="2"/>
      <c r="E3275" s="7"/>
      <c r="F3275" s="7"/>
      <c r="G3275" s="9" t="s">
        <v>2322</v>
      </c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</row>
    <row r="3276" spans="1:18" ht="12.75" customHeight="1" x14ac:dyDescent="0.2">
      <c r="A3276" s="7"/>
      <c r="B3276" s="2" t="s">
        <v>17</v>
      </c>
      <c r="C3276" s="2" t="s">
        <v>19</v>
      </c>
      <c r="D3276" s="2"/>
      <c r="E3276" s="7"/>
      <c r="F3276" s="7"/>
      <c r="G3276" s="9" t="s">
        <v>2322</v>
      </c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</row>
    <row r="3277" spans="1:18" ht="12.75" customHeight="1" x14ac:dyDescent="0.2">
      <c r="A3277" s="7"/>
      <c r="B3277" s="2" t="s">
        <v>18</v>
      </c>
      <c r="C3277" s="2" t="s">
        <v>44</v>
      </c>
      <c r="D3277" s="2" t="str">
        <f>HYPERLINK("javascript:void(0)","szellempáncél")</f>
        <v>szellempáncél</v>
      </c>
      <c r="E3277" s="7"/>
      <c r="F3277" s="7"/>
      <c r="G3277" s="9" t="s">
        <v>2322</v>
      </c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</row>
    <row r="3278" spans="1:18" ht="12.75" customHeight="1" x14ac:dyDescent="0.2">
      <c r="A3278" s="7"/>
      <c r="B3278" s="2"/>
      <c r="C3278" s="2" t="s">
        <v>331</v>
      </c>
      <c r="D3278" s="2" t="str">
        <f>HYPERLINK("javascript:void(0)","félhód")</f>
        <v>félhód</v>
      </c>
      <c r="E3278" s="7"/>
      <c r="F3278" s="7"/>
      <c r="G3278" s="9" t="s">
        <v>2322</v>
      </c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</row>
    <row r="3279" spans="1:18" ht="12.75" customHeight="1" x14ac:dyDescent="0.2">
      <c r="A3279" s="7"/>
      <c r="B3279" s="2"/>
      <c r="C3279" s="2" t="s">
        <v>68</v>
      </c>
      <c r="D3279" s="2" t="str">
        <f>HYPERLINK("javascript:void(0)","igazolvány")</f>
        <v>igazolvány</v>
      </c>
      <c r="E3279" s="7"/>
      <c r="F3279" s="7"/>
      <c r="G3279" s="9" t="s">
        <v>2322</v>
      </c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</row>
    <row r="3280" spans="1:18" ht="12.75" customHeight="1" x14ac:dyDescent="0.2">
      <c r="A3280" s="7"/>
      <c r="B3280" s="2"/>
      <c r="C3280" s="2"/>
      <c r="D3280" s="2"/>
      <c r="E3280" s="7"/>
      <c r="F3280" s="7"/>
      <c r="G3280" s="9" t="s">
        <v>2322</v>
      </c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</row>
    <row r="3281" spans="1:18" ht="12.75" customHeight="1" x14ac:dyDescent="0.2">
      <c r="A3281" s="7"/>
      <c r="B3281" s="2"/>
      <c r="C3281" s="2"/>
      <c r="D3281" s="2"/>
      <c r="E3281" s="7"/>
      <c r="F3281" s="7"/>
      <c r="G3281" s="9" t="s">
        <v>2322</v>
      </c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</row>
    <row r="3282" spans="1:18" ht="12.75" customHeight="1" x14ac:dyDescent="0.2">
      <c r="A3282" s="7"/>
      <c r="B3282" s="2"/>
      <c r="C3282" s="2"/>
      <c r="D3282" s="2"/>
      <c r="E3282" s="7"/>
      <c r="F3282" s="7"/>
      <c r="G3282" s="9" t="s">
        <v>2322</v>
      </c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</row>
    <row r="3283" spans="1:18" ht="12.75" customHeight="1" x14ac:dyDescent="0.2">
      <c r="A3283" s="7"/>
      <c r="B3283" s="2"/>
      <c r="C3283" s="2"/>
      <c r="D3283" s="2"/>
      <c r="E3283" s="7"/>
      <c r="F3283" s="7"/>
      <c r="G3283" s="9" t="s">
        <v>2322</v>
      </c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</row>
    <row r="3284" spans="1:18" ht="12.75" customHeight="1" x14ac:dyDescent="0.2">
      <c r="A3284" s="7"/>
      <c r="B3284" s="2"/>
      <c r="C3284" s="2"/>
      <c r="D3284" s="2"/>
      <c r="E3284" s="7"/>
      <c r="F3284" s="7"/>
      <c r="G3284" s="9" t="s">
        <v>2322</v>
      </c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</row>
    <row r="3285" spans="1:18" ht="12.75" customHeight="1" x14ac:dyDescent="0.2">
      <c r="A3285" s="7" t="str">
        <f>HYPERLINK("javascript:void(0)","kockás hasfal")</f>
        <v>kockás hasfal</v>
      </c>
      <c r="B3285" s="7"/>
      <c r="C3285" s="7"/>
      <c r="D3285" s="7"/>
      <c r="E3285" s="7"/>
      <c r="F3285" s="7"/>
      <c r="G3285" s="9" t="s">
        <v>2322</v>
      </c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</row>
    <row r="3286" spans="1:18" ht="12.75" customHeight="1" x14ac:dyDescent="0.2">
      <c r="A3286" s="7"/>
      <c r="B3286" s="2"/>
      <c r="C3286" s="2"/>
      <c r="D3286" s="2"/>
      <c r="E3286" s="7"/>
      <c r="F3286" s="7"/>
      <c r="G3286" s="9" t="s">
        <v>2322</v>
      </c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</row>
    <row r="3287" spans="1:18" ht="12.75" customHeight="1" x14ac:dyDescent="0.2">
      <c r="A3287" s="7"/>
      <c r="B3287" s="2" t="s">
        <v>0</v>
      </c>
      <c r="C3287" s="2" t="s">
        <v>1284</v>
      </c>
      <c r="D3287" s="2"/>
      <c r="E3287" s="7"/>
      <c r="F3287" s="7"/>
      <c r="G3287" s="9" t="s">
        <v>2322</v>
      </c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</row>
    <row r="3288" spans="1:18" ht="12.75" customHeight="1" x14ac:dyDescent="0.2">
      <c r="A3288" s="7"/>
      <c r="B3288" s="2" t="s">
        <v>2</v>
      </c>
      <c r="C3288" s="2" t="s">
        <v>2322</v>
      </c>
      <c r="D3288" s="2"/>
      <c r="E3288" s="7"/>
      <c r="F3288" s="7"/>
      <c r="G3288" s="9" t="s">
        <v>2322</v>
      </c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</row>
    <row r="3289" spans="1:18" ht="12.75" customHeight="1" x14ac:dyDescent="0.2">
      <c r="A3289" s="7"/>
      <c r="B3289" s="2" t="s">
        <v>1840</v>
      </c>
      <c r="C3289" s="2" t="s">
        <v>2558</v>
      </c>
      <c r="D3289" s="2"/>
      <c r="E3289" s="7"/>
      <c r="F3289" s="7"/>
      <c r="G3289" s="9" t="s">
        <v>2322</v>
      </c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</row>
    <row r="3290" spans="1:18" ht="12.75" customHeight="1" x14ac:dyDescent="0.2">
      <c r="A3290" s="7"/>
      <c r="B3290" s="2" t="s">
        <v>9</v>
      </c>
      <c r="C3290" s="2" t="s">
        <v>131</v>
      </c>
      <c r="D3290" s="2"/>
      <c r="E3290" s="7"/>
      <c r="F3290" s="7"/>
      <c r="G3290" s="9" t="s">
        <v>2322</v>
      </c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</row>
    <row r="3291" spans="1:18" ht="12.75" customHeight="1" x14ac:dyDescent="0.2">
      <c r="A3291" s="7"/>
      <c r="B3291" s="2" t="s">
        <v>11</v>
      </c>
      <c r="C3291" s="2" t="s">
        <v>2559</v>
      </c>
      <c r="D3291" s="2"/>
      <c r="E3291" s="7"/>
      <c r="F3291" s="7"/>
      <c r="G3291" s="9" t="s">
        <v>2322</v>
      </c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</row>
    <row r="3292" spans="1:18" ht="12.75" customHeight="1" x14ac:dyDescent="0.2">
      <c r="A3292" s="7"/>
      <c r="B3292" s="2" t="s">
        <v>16</v>
      </c>
      <c r="C3292" s="2"/>
      <c r="D3292" s="2"/>
      <c r="E3292" s="7"/>
      <c r="F3292" s="7"/>
      <c r="G3292" s="9" t="s">
        <v>2322</v>
      </c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</row>
    <row r="3293" spans="1:18" ht="12.75" customHeight="1" x14ac:dyDescent="0.2">
      <c r="A3293" s="7"/>
      <c r="B3293" s="2" t="s">
        <v>17</v>
      </c>
      <c r="C3293" s="2" t="s">
        <v>19</v>
      </c>
      <c r="D3293" s="2"/>
      <c r="E3293" s="7"/>
      <c r="F3293" s="7"/>
      <c r="G3293" s="9" t="s">
        <v>2322</v>
      </c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</row>
    <row r="3294" spans="1:18" ht="12.75" customHeight="1" x14ac:dyDescent="0.2">
      <c r="A3294" s="7"/>
      <c r="B3294" s="2" t="s">
        <v>18</v>
      </c>
      <c r="C3294" s="2" t="s">
        <v>67</v>
      </c>
      <c r="D3294" s="2" t="str">
        <f>HYPERLINK("javascript:void(0)","gyomorgörcs")</f>
        <v>gyomorgörcs</v>
      </c>
      <c r="E3294" s="7"/>
      <c r="F3294" s="7"/>
      <c r="G3294" s="9" t="s">
        <v>2322</v>
      </c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</row>
    <row r="3295" spans="1:18" ht="12.75" customHeight="1" x14ac:dyDescent="0.2">
      <c r="A3295" s="7"/>
      <c r="B3295" s="2"/>
      <c r="C3295" s="2" t="s">
        <v>296</v>
      </c>
      <c r="D3295" s="2" t="str">
        <f>HYPERLINK("javascript:void(0)","kocka")</f>
        <v>kocka</v>
      </c>
      <c r="E3295" s="7"/>
      <c r="F3295" s="7"/>
      <c r="G3295" s="9" t="s">
        <v>2322</v>
      </c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</row>
    <row r="3296" spans="1:18" ht="12.75" customHeight="1" x14ac:dyDescent="0.2">
      <c r="A3296" s="7"/>
      <c r="B3296" s="2"/>
      <c r="C3296" s="2" t="s">
        <v>142</v>
      </c>
      <c r="D3296" s="2" t="str">
        <f>HYPERLINK("javascript:void(0)","melegige")</f>
        <v>melegige</v>
      </c>
      <c r="E3296" s="7"/>
      <c r="F3296" s="7"/>
      <c r="G3296" s="9" t="s">
        <v>2322</v>
      </c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</row>
    <row r="3297" spans="1:18" ht="12.75" customHeight="1" x14ac:dyDescent="0.2">
      <c r="A3297" s="7"/>
      <c r="B3297" s="2"/>
      <c r="C3297" s="2"/>
      <c r="D3297" s="2"/>
      <c r="E3297" s="7"/>
      <c r="F3297" s="7"/>
      <c r="G3297" s="9" t="s">
        <v>2322</v>
      </c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</row>
    <row r="3298" spans="1:18" ht="12.75" customHeight="1" x14ac:dyDescent="0.2">
      <c r="A3298" s="7"/>
      <c r="B3298" s="2"/>
      <c r="C3298" s="2"/>
      <c r="D3298" s="2"/>
      <c r="E3298" s="7"/>
      <c r="F3298" s="7"/>
      <c r="G3298" s="9" t="s">
        <v>2322</v>
      </c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</row>
    <row r="3299" spans="1:18" ht="12.75" customHeight="1" x14ac:dyDescent="0.2">
      <c r="A3299" s="7"/>
      <c r="B3299" s="2"/>
      <c r="C3299" s="2"/>
      <c r="D3299" s="2"/>
      <c r="E3299" s="7"/>
      <c r="F3299" s="7"/>
      <c r="G3299" s="9" t="s">
        <v>2322</v>
      </c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</row>
    <row r="3300" spans="1:18" ht="12.75" customHeight="1" x14ac:dyDescent="0.2">
      <c r="A3300" s="7"/>
      <c r="B3300" s="2"/>
      <c r="C3300" s="2"/>
      <c r="D3300" s="2"/>
      <c r="E3300" s="7"/>
      <c r="F3300" s="7"/>
      <c r="G3300" s="9" t="s">
        <v>2322</v>
      </c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</row>
    <row r="3301" spans="1:18" ht="12.75" customHeight="1" x14ac:dyDescent="0.2">
      <c r="A3301" s="7"/>
      <c r="B3301" s="2"/>
      <c r="C3301" s="2"/>
      <c r="D3301" s="2"/>
      <c r="E3301" s="7"/>
      <c r="F3301" s="7"/>
      <c r="G3301" s="9" t="s">
        <v>2322</v>
      </c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</row>
    <row r="3302" spans="1:18" ht="12.75" customHeight="1" x14ac:dyDescent="0.2">
      <c r="A3302" s="7" t="str">
        <f>HYPERLINK("javascript:void(0)","vértmell")</f>
        <v>vértmell</v>
      </c>
      <c r="B3302" s="7"/>
      <c r="C3302" s="7"/>
      <c r="D3302" s="7"/>
      <c r="E3302" s="7"/>
      <c r="F3302" s="7"/>
      <c r="G3302" s="9" t="s">
        <v>2322</v>
      </c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</row>
    <row r="3303" spans="1:18" ht="12.75" customHeight="1" x14ac:dyDescent="0.2">
      <c r="A3303" s="7"/>
      <c r="B3303" s="2"/>
      <c r="C3303" s="2"/>
      <c r="D3303" s="2"/>
      <c r="E3303" s="7"/>
      <c r="F3303" s="7"/>
      <c r="G3303" s="9" t="s">
        <v>2322</v>
      </c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</row>
    <row r="3304" spans="1:18" ht="12.75" customHeight="1" x14ac:dyDescent="0.2">
      <c r="A3304" s="7"/>
      <c r="B3304" s="2" t="s">
        <v>0</v>
      </c>
      <c r="C3304" s="2" t="s">
        <v>1294</v>
      </c>
      <c r="D3304" s="2"/>
      <c r="E3304" s="7"/>
      <c r="F3304" s="7"/>
      <c r="G3304" s="9" t="s">
        <v>2322</v>
      </c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</row>
    <row r="3305" spans="1:18" ht="12.75" customHeight="1" x14ac:dyDescent="0.2">
      <c r="A3305" s="7"/>
      <c r="B3305" s="2" t="s">
        <v>2</v>
      </c>
      <c r="C3305" s="2" t="s">
        <v>2322</v>
      </c>
      <c r="D3305" s="2"/>
      <c r="E3305" s="7"/>
      <c r="F3305" s="7"/>
      <c r="G3305" s="9" t="s">
        <v>2322</v>
      </c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</row>
    <row r="3306" spans="1:18" ht="12.75" customHeight="1" x14ac:dyDescent="0.2">
      <c r="A3306" s="7"/>
      <c r="B3306" s="2" t="s">
        <v>1840</v>
      </c>
      <c r="C3306" s="2" t="s">
        <v>2560</v>
      </c>
      <c r="D3306" s="2"/>
      <c r="E3306" s="7"/>
      <c r="F3306" s="7"/>
      <c r="G3306" s="9" t="s">
        <v>2322</v>
      </c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</row>
    <row r="3307" spans="1:18" ht="12.75" customHeight="1" x14ac:dyDescent="0.2">
      <c r="A3307" s="7"/>
      <c r="B3307" s="2" t="s">
        <v>9</v>
      </c>
      <c r="C3307" s="2" t="s">
        <v>1689</v>
      </c>
      <c r="D3307" s="2"/>
      <c r="E3307" s="7"/>
      <c r="F3307" s="7"/>
      <c r="G3307" s="9" t="s">
        <v>2322</v>
      </c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</row>
    <row r="3308" spans="1:18" ht="12.75" customHeight="1" x14ac:dyDescent="0.2">
      <c r="A3308" s="7"/>
      <c r="B3308" s="2" t="s">
        <v>11</v>
      </c>
      <c r="C3308" s="2" t="s">
        <v>2561</v>
      </c>
      <c r="D3308" s="2"/>
      <c r="E3308" s="7"/>
      <c r="F3308" s="7"/>
      <c r="G3308" s="9" t="s">
        <v>2322</v>
      </c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</row>
    <row r="3309" spans="1:18" ht="12.75" customHeight="1" x14ac:dyDescent="0.2">
      <c r="A3309" s="7"/>
      <c r="B3309" s="2" t="s">
        <v>16</v>
      </c>
      <c r="C3309" s="2"/>
      <c r="D3309" s="2"/>
      <c r="E3309" s="7"/>
      <c r="F3309" s="7"/>
      <c r="G3309" s="9" t="s">
        <v>2322</v>
      </c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</row>
    <row r="3310" spans="1:18" ht="12.75" customHeight="1" x14ac:dyDescent="0.2">
      <c r="A3310" s="7"/>
      <c r="B3310" s="2" t="s">
        <v>17</v>
      </c>
      <c r="C3310" s="2" t="s">
        <v>19</v>
      </c>
      <c r="D3310" s="2"/>
      <c r="E3310" s="7"/>
      <c r="F3310" s="7"/>
      <c r="G3310" s="9" t="s">
        <v>2322</v>
      </c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</row>
    <row r="3311" spans="1:18" ht="12.75" customHeight="1" x14ac:dyDescent="0.2">
      <c r="A3311" s="7"/>
      <c r="B3311" s="2" t="s">
        <v>18</v>
      </c>
      <c r="C3311" s="2" t="s">
        <v>44</v>
      </c>
      <c r="D3311" s="2" t="str">
        <f>HYPERLINK("javascript:void(0)","hódaljpánt")</f>
        <v>hódaljpánt</v>
      </c>
      <c r="E3311" s="7"/>
      <c r="F3311" s="7"/>
      <c r="G3311" s="9" t="s">
        <v>2322</v>
      </c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</row>
    <row r="3312" spans="1:18" ht="12.75" customHeight="1" x14ac:dyDescent="0.2">
      <c r="A3312" s="7"/>
      <c r="B3312" s="2"/>
      <c r="C3312" s="2" t="s">
        <v>44</v>
      </c>
      <c r="D3312" s="2" t="str">
        <f>HYPERLINK("javascript:void(0)","kockás hasfal")</f>
        <v>kockás hasfal</v>
      </c>
      <c r="E3312" s="7"/>
      <c r="F3312" s="7"/>
      <c r="G3312" s="9" t="s">
        <v>2322</v>
      </c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</row>
    <row r="3313" spans="1:18" ht="12.75" customHeight="1" x14ac:dyDescent="0.2">
      <c r="A3313" s="7"/>
      <c r="B3313" s="2"/>
      <c r="C3313" s="2" t="s">
        <v>68</v>
      </c>
      <c r="D3313" s="2" t="str">
        <f>HYPERLINK("javascript:void(0)","lábkarcsont")</f>
        <v>lábkarcsont</v>
      </c>
      <c r="E3313" s="7"/>
      <c r="F3313" s="7"/>
      <c r="G3313" s="9" t="s">
        <v>2322</v>
      </c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</row>
    <row r="3314" spans="1:18" ht="12.75" customHeight="1" x14ac:dyDescent="0.2">
      <c r="A3314" s="7"/>
      <c r="B3314" s="2"/>
      <c r="C3314" s="2"/>
      <c r="D3314" s="2"/>
      <c r="E3314" s="7"/>
      <c r="F3314" s="7"/>
      <c r="G3314" s="9" t="s">
        <v>2322</v>
      </c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</row>
    <row r="3315" spans="1:18" ht="12.75" customHeight="1" x14ac:dyDescent="0.2">
      <c r="A3315" s="7"/>
      <c r="B3315" s="2"/>
      <c r="C3315" s="2"/>
      <c r="D3315" s="2"/>
      <c r="E3315" s="7"/>
      <c r="F3315" s="7"/>
      <c r="G3315" s="9" t="s">
        <v>2322</v>
      </c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</row>
    <row r="3316" spans="1:18" ht="12.75" customHeight="1" x14ac:dyDescent="0.2">
      <c r="A3316" s="7"/>
      <c r="B3316" s="2"/>
      <c r="C3316" s="2"/>
      <c r="D3316" s="2"/>
      <c r="E3316" s="7"/>
      <c r="F3316" s="7"/>
      <c r="G3316" s="9" t="s">
        <v>2322</v>
      </c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</row>
    <row r="3317" spans="1:18" ht="12.75" customHeight="1" x14ac:dyDescent="0.2">
      <c r="A3317" s="7"/>
      <c r="B3317" s="2"/>
      <c r="C3317" s="2"/>
      <c r="D3317" s="2"/>
      <c r="E3317" s="7"/>
      <c r="F3317" s="7"/>
      <c r="G3317" s="9" t="s">
        <v>2322</v>
      </c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</row>
    <row r="3318" spans="1:18" ht="12.75" customHeight="1" x14ac:dyDescent="0.2">
      <c r="A3318" s="7"/>
      <c r="B3318" s="2"/>
      <c r="C3318" s="2"/>
      <c r="D3318" s="2"/>
      <c r="E3318" s="7"/>
      <c r="F3318" s="7"/>
      <c r="G3318" s="9" t="s">
        <v>2322</v>
      </c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</row>
    <row r="3319" spans="1:18" ht="12.75" customHeight="1" x14ac:dyDescent="0.2">
      <c r="A3319" s="7" t="str">
        <f>HYPERLINK("javascript:void(0)","tolvajpáncél")</f>
        <v>tolvajpáncél</v>
      </c>
      <c r="B3319" s="7"/>
      <c r="C3319" s="7"/>
      <c r="D3319" s="7"/>
      <c r="E3319" s="7"/>
      <c r="F3319" s="7"/>
      <c r="G3319" s="9" t="s">
        <v>2322</v>
      </c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</row>
    <row r="3320" spans="1:18" ht="12.75" customHeight="1" x14ac:dyDescent="0.2">
      <c r="A3320" s="7"/>
      <c r="B3320" s="2"/>
      <c r="C3320" s="2"/>
      <c r="D3320" s="2"/>
      <c r="E3320" s="7"/>
      <c r="F3320" s="7"/>
      <c r="G3320" s="9" t="s">
        <v>2322</v>
      </c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</row>
    <row r="3321" spans="1:18" ht="12.75" customHeight="1" x14ac:dyDescent="0.2">
      <c r="A3321" s="7"/>
      <c r="B3321" s="2" t="s">
        <v>0</v>
      </c>
      <c r="C3321" s="2" t="s">
        <v>242</v>
      </c>
      <c r="D3321" s="2"/>
      <c r="E3321" s="7"/>
      <c r="F3321" s="7"/>
      <c r="G3321" s="9" t="s">
        <v>2322</v>
      </c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</row>
    <row r="3322" spans="1:18" ht="12.75" customHeight="1" x14ac:dyDescent="0.2">
      <c r="A3322" s="7"/>
      <c r="B3322" s="2" t="s">
        <v>2</v>
      </c>
      <c r="C3322" s="2" t="s">
        <v>2322</v>
      </c>
      <c r="D3322" s="2"/>
      <c r="E3322" s="7"/>
      <c r="F3322" s="7"/>
      <c r="G3322" s="9" t="s">
        <v>2322</v>
      </c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</row>
    <row r="3323" spans="1:18" ht="12.75" customHeight="1" x14ac:dyDescent="0.2">
      <c r="A3323" s="7"/>
      <c r="B3323" s="2" t="s">
        <v>1840</v>
      </c>
      <c r="C3323" s="2" t="s">
        <v>1870</v>
      </c>
      <c r="D3323" s="2"/>
      <c r="E3323" s="7"/>
      <c r="F3323" s="7"/>
      <c r="G3323" s="9" t="s">
        <v>2322</v>
      </c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</row>
    <row r="3324" spans="1:18" ht="12.75" customHeight="1" x14ac:dyDescent="0.2">
      <c r="A3324" s="7"/>
      <c r="B3324" s="2" t="s">
        <v>9</v>
      </c>
      <c r="C3324" s="2" t="s">
        <v>2562</v>
      </c>
      <c r="D3324" s="2"/>
      <c r="E3324" s="7"/>
      <c r="F3324" s="7"/>
      <c r="G3324" s="9" t="s">
        <v>2322</v>
      </c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</row>
    <row r="3325" spans="1:18" ht="12.75" customHeight="1" x14ac:dyDescent="0.2">
      <c r="A3325" s="7"/>
      <c r="B3325" s="2" t="s">
        <v>11</v>
      </c>
      <c r="C3325" s="2" t="s">
        <v>2563</v>
      </c>
      <c r="D3325" s="2"/>
      <c r="E3325" s="7"/>
      <c r="F3325" s="7"/>
      <c r="G3325" s="9" t="s">
        <v>2322</v>
      </c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</row>
    <row r="3326" spans="1:18" ht="12.75" customHeight="1" x14ac:dyDescent="0.2">
      <c r="A3326" s="7"/>
      <c r="B3326" s="2" t="s">
        <v>16</v>
      </c>
      <c r="C3326" s="2"/>
      <c r="D3326" s="2"/>
      <c r="E3326" s="7"/>
      <c r="F3326" s="7"/>
      <c r="G3326" s="9" t="s">
        <v>2322</v>
      </c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</row>
    <row r="3327" spans="1:18" ht="12.75" customHeight="1" x14ac:dyDescent="0.2">
      <c r="A3327" s="7"/>
      <c r="B3327" s="2" t="s">
        <v>17</v>
      </c>
      <c r="C3327" s="2" t="s">
        <v>19</v>
      </c>
      <c r="D3327" s="2"/>
      <c r="E3327" s="7"/>
      <c r="F3327" s="7"/>
      <c r="G3327" s="9" t="s">
        <v>2322</v>
      </c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</row>
    <row r="3328" spans="1:18" ht="12.75" customHeight="1" x14ac:dyDescent="0.2">
      <c r="A3328" s="7"/>
      <c r="B3328" s="2" t="s">
        <v>18</v>
      </c>
      <c r="C3328" s="2" t="s">
        <v>44</v>
      </c>
      <c r="D3328" s="2" t="str">
        <f>HYPERLINK("javascript:void(0)","vértmell")</f>
        <v>vértmell</v>
      </c>
      <c r="E3328" s="7"/>
      <c r="F3328" s="7"/>
      <c r="G3328" s="9" t="s">
        <v>2322</v>
      </c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</row>
    <row r="3329" spans="1:18" ht="12.75" customHeight="1" x14ac:dyDescent="0.2">
      <c r="A3329" s="7"/>
      <c r="B3329" s="2"/>
      <c r="C3329" s="2" t="s">
        <v>67</v>
      </c>
      <c r="D3329" s="2" t="str">
        <f>HYPERLINK("javascript:void(0)","idegen mütyüge")</f>
        <v>idegen mütyüge</v>
      </c>
      <c r="E3329" s="7"/>
      <c r="F3329" s="7"/>
      <c r="G3329" s="9" t="s">
        <v>2322</v>
      </c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</row>
    <row r="3330" spans="1:18" ht="12.75" customHeight="1" x14ac:dyDescent="0.2">
      <c r="A3330" s="7"/>
      <c r="B3330" s="2"/>
      <c r="C3330" s="2" t="s">
        <v>98</v>
      </c>
      <c r="D3330" s="2" t="str">
        <f>HYPERLINK("javascript:void(0)","ármánylat")</f>
        <v>ármánylat</v>
      </c>
      <c r="E3330" s="7"/>
      <c r="F3330" s="7"/>
      <c r="G3330" s="9" t="s">
        <v>2322</v>
      </c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</row>
    <row r="3331" spans="1:18" ht="12.75" customHeight="1" x14ac:dyDescent="0.2">
      <c r="A3331" s="7"/>
      <c r="B3331" s="2"/>
      <c r="C3331" s="2"/>
      <c r="D3331" s="2"/>
      <c r="E3331" s="7"/>
      <c r="F3331" s="7"/>
      <c r="G3331" s="9" t="s">
        <v>2322</v>
      </c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</row>
    <row r="3332" spans="1:18" ht="12.75" customHeight="1" x14ac:dyDescent="0.2">
      <c r="A3332" s="7"/>
      <c r="B3332" s="2"/>
      <c r="C3332" s="2"/>
      <c r="D3332" s="2"/>
      <c r="E3332" s="7"/>
      <c r="F3332" s="7"/>
      <c r="G3332" s="9" t="s">
        <v>2322</v>
      </c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</row>
    <row r="3333" spans="1:18" ht="12.75" customHeight="1" x14ac:dyDescent="0.2">
      <c r="A3333" s="7"/>
      <c r="B3333" s="2"/>
      <c r="C3333" s="2"/>
      <c r="D3333" s="2"/>
      <c r="E3333" s="7"/>
      <c r="F3333" s="7"/>
      <c r="G3333" s="9" t="s">
        <v>2322</v>
      </c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</row>
    <row r="3334" spans="1:18" ht="12.75" customHeight="1" x14ac:dyDescent="0.2">
      <c r="A3334" s="7"/>
      <c r="B3334" s="2"/>
      <c r="C3334" s="2"/>
      <c r="D3334" s="2"/>
      <c r="E3334" s="7"/>
      <c r="F3334" s="7"/>
      <c r="G3334" s="9" t="s">
        <v>2322</v>
      </c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</row>
    <row r="3335" spans="1:18" ht="12.75" customHeight="1" x14ac:dyDescent="0.2">
      <c r="A3335" s="7"/>
      <c r="B3335" s="2"/>
      <c r="C3335" s="2"/>
      <c r="D3335" s="2"/>
      <c r="E3335" s="7"/>
      <c r="F3335" s="7"/>
      <c r="G3335" s="9" t="s">
        <v>2322</v>
      </c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</row>
    <row r="3336" spans="1:18" ht="12.75" customHeight="1" x14ac:dyDescent="0.2">
      <c r="A3336" s="7" t="str">
        <f>HYPERLINK("javascript:void(0)","teljes hasvért")</f>
        <v>teljes hasvért</v>
      </c>
      <c r="B3336" s="7"/>
      <c r="C3336" s="7"/>
      <c r="D3336" s="7"/>
      <c r="E3336" s="7"/>
      <c r="F3336" s="7"/>
      <c r="G3336" s="9" t="s">
        <v>2322</v>
      </c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</row>
    <row r="3337" spans="1:18" ht="12.75" customHeight="1" x14ac:dyDescent="0.2">
      <c r="A3337" s="7"/>
      <c r="B3337" s="2"/>
      <c r="C3337" s="2"/>
      <c r="D3337" s="2"/>
      <c r="E3337" s="7"/>
      <c r="F3337" s="7"/>
      <c r="G3337" s="9" t="s">
        <v>2322</v>
      </c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</row>
    <row r="3338" spans="1:18" ht="12.75" customHeight="1" x14ac:dyDescent="0.2">
      <c r="A3338" s="7"/>
      <c r="B3338" s="2" t="s">
        <v>0</v>
      </c>
      <c r="C3338" s="2" t="s">
        <v>1308</v>
      </c>
      <c r="D3338" s="2"/>
      <c r="E3338" s="7"/>
      <c r="F3338" s="7"/>
      <c r="G3338" s="9" t="s">
        <v>2322</v>
      </c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</row>
    <row r="3339" spans="1:18" ht="12.75" customHeight="1" x14ac:dyDescent="0.2">
      <c r="A3339" s="7"/>
      <c r="B3339" s="2" t="s">
        <v>2</v>
      </c>
      <c r="C3339" s="2" t="s">
        <v>2322</v>
      </c>
      <c r="D3339" s="2"/>
      <c r="E3339" s="7"/>
      <c r="F3339" s="7"/>
      <c r="G3339" s="9" t="s">
        <v>2322</v>
      </c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</row>
    <row r="3340" spans="1:18" ht="12.75" customHeight="1" x14ac:dyDescent="0.2">
      <c r="A3340" s="7"/>
      <c r="B3340" s="2" t="s">
        <v>1840</v>
      </c>
      <c r="C3340" s="2" t="s">
        <v>2564</v>
      </c>
      <c r="D3340" s="2"/>
      <c r="E3340" s="7"/>
      <c r="F3340" s="7"/>
      <c r="G3340" s="9" t="s">
        <v>2322</v>
      </c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</row>
    <row r="3341" spans="1:18" ht="12.75" customHeight="1" x14ac:dyDescent="0.2">
      <c r="A3341" s="7"/>
      <c r="B3341" s="2" t="s">
        <v>9</v>
      </c>
      <c r="C3341" s="2" t="s">
        <v>1693</v>
      </c>
      <c r="D3341" s="2"/>
      <c r="E3341" s="7"/>
      <c r="F3341" s="7"/>
      <c r="G3341" s="9" t="s">
        <v>2322</v>
      </c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</row>
    <row r="3342" spans="1:18" ht="12.75" customHeight="1" x14ac:dyDescent="0.2">
      <c r="A3342" s="7"/>
      <c r="B3342" s="2" t="s">
        <v>11</v>
      </c>
      <c r="C3342" s="2" t="s">
        <v>2565</v>
      </c>
      <c r="D3342" s="2"/>
      <c r="E3342" s="7"/>
      <c r="F3342" s="7"/>
      <c r="G3342" s="9" t="s">
        <v>2322</v>
      </c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</row>
    <row r="3343" spans="1:18" ht="12.75" customHeight="1" x14ac:dyDescent="0.2">
      <c r="A3343" s="7"/>
      <c r="B3343" s="2" t="s">
        <v>16</v>
      </c>
      <c r="C3343" s="2"/>
      <c r="D3343" s="2"/>
      <c r="E3343" s="7"/>
      <c r="F3343" s="7"/>
      <c r="G3343" s="9" t="s">
        <v>2322</v>
      </c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</row>
    <row r="3344" spans="1:18" ht="12.75" customHeight="1" x14ac:dyDescent="0.2">
      <c r="A3344" s="7"/>
      <c r="B3344" s="2" t="s">
        <v>17</v>
      </c>
      <c r="C3344" s="2" t="s">
        <v>19</v>
      </c>
      <c r="D3344" s="2"/>
      <c r="E3344" s="7"/>
      <c r="F3344" s="7"/>
      <c r="G3344" s="9" t="s">
        <v>2322</v>
      </c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</row>
    <row r="3345" spans="1:18" ht="12.75" customHeight="1" x14ac:dyDescent="0.2">
      <c r="A3345" s="7"/>
      <c r="B3345" s="2" t="s">
        <v>18</v>
      </c>
      <c r="C3345" s="2" t="s">
        <v>117</v>
      </c>
      <c r="D3345" s="2" t="str">
        <f>HYPERLINK("javascript:void(0)","gyomorgörcs")</f>
        <v>gyomorgörcs</v>
      </c>
      <c r="E3345" s="7"/>
      <c r="F3345" s="7"/>
      <c r="G3345" s="9" t="s">
        <v>2322</v>
      </c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</row>
    <row r="3346" spans="1:18" ht="12.75" customHeight="1" x14ac:dyDescent="0.2">
      <c r="A3346" s="7"/>
      <c r="B3346" s="2"/>
      <c r="C3346" s="2" t="s">
        <v>68</v>
      </c>
      <c r="D3346" s="2" t="str">
        <f>HYPERLINK("javascript:void(0)","zsiger")</f>
        <v>zsiger</v>
      </c>
      <c r="E3346" s="7"/>
      <c r="F3346" s="7"/>
      <c r="G3346" s="9" t="s">
        <v>2322</v>
      </c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</row>
    <row r="3347" spans="1:18" ht="12.75" customHeight="1" x14ac:dyDescent="0.2">
      <c r="A3347" s="7"/>
      <c r="B3347" s="2"/>
      <c r="C3347" s="2" t="s">
        <v>132</v>
      </c>
      <c r="D3347" s="2" t="str">
        <f>HYPERLINK("javascript:void(0)","lábkarcsont")</f>
        <v>lábkarcsont</v>
      </c>
      <c r="E3347" s="7"/>
      <c r="F3347" s="7"/>
      <c r="G3347" s="9" t="s">
        <v>2322</v>
      </c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</row>
    <row r="3348" spans="1:18" ht="12.75" customHeight="1" x14ac:dyDescent="0.2">
      <c r="A3348" s="7"/>
      <c r="B3348" s="2"/>
      <c r="C3348" s="2"/>
      <c r="D3348" s="2"/>
      <c r="E3348" s="7"/>
      <c r="F3348" s="7"/>
      <c r="G3348" s="9" t="s">
        <v>2322</v>
      </c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</row>
    <row r="3349" spans="1:18" ht="12.75" customHeight="1" x14ac:dyDescent="0.2">
      <c r="A3349" s="7"/>
      <c r="B3349" s="2"/>
      <c r="C3349" s="2"/>
      <c r="D3349" s="2"/>
      <c r="E3349" s="7"/>
      <c r="F3349" s="7"/>
      <c r="G3349" s="9" t="s">
        <v>2322</v>
      </c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</row>
    <row r="3350" spans="1:18" ht="12.75" customHeight="1" x14ac:dyDescent="0.2">
      <c r="A3350" s="7"/>
      <c r="B3350" s="2"/>
      <c r="C3350" s="2"/>
      <c r="D3350" s="2"/>
      <c r="E3350" s="7"/>
      <c r="F3350" s="7"/>
      <c r="G3350" s="9" t="s">
        <v>2322</v>
      </c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</row>
    <row r="3351" spans="1:18" ht="12.75" customHeight="1" x14ac:dyDescent="0.2">
      <c r="A3351" s="7"/>
      <c r="B3351" s="2"/>
      <c r="C3351" s="2"/>
      <c r="D3351" s="2"/>
      <c r="E3351" s="7"/>
      <c r="F3351" s="7"/>
      <c r="G3351" s="9" t="s">
        <v>2322</v>
      </c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</row>
    <row r="3352" spans="1:18" ht="12.75" customHeight="1" x14ac:dyDescent="0.2">
      <c r="A3352" s="7"/>
      <c r="B3352" s="2"/>
      <c r="C3352" s="2"/>
      <c r="D3352" s="2"/>
      <c r="E3352" s="7"/>
      <c r="F3352" s="7"/>
      <c r="G3352" s="9" t="s">
        <v>2322</v>
      </c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</row>
    <row r="3353" spans="1:18" ht="12.75" customHeight="1" x14ac:dyDescent="0.2">
      <c r="A3353" s="7" t="str">
        <f>HYPERLINK("javascript:void(0)","felfújt hólyagvért")</f>
        <v>felfújt hólyagvért</v>
      </c>
      <c r="B3353" s="7"/>
      <c r="C3353" s="7"/>
      <c r="D3353" s="7"/>
      <c r="E3353" s="7"/>
      <c r="F3353" s="7"/>
      <c r="G3353" s="9" t="s">
        <v>2322</v>
      </c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</row>
    <row r="3354" spans="1:18" ht="12.75" customHeight="1" x14ac:dyDescent="0.2">
      <c r="A3354" s="7"/>
      <c r="B3354" s="2"/>
      <c r="C3354" s="2"/>
      <c r="D3354" s="2"/>
      <c r="E3354" s="7"/>
      <c r="F3354" s="7"/>
      <c r="G3354" s="9" t="s">
        <v>2322</v>
      </c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</row>
    <row r="3355" spans="1:18" ht="12.75" customHeight="1" x14ac:dyDescent="0.2">
      <c r="A3355" s="7"/>
      <c r="B3355" s="2" t="s">
        <v>0</v>
      </c>
      <c r="C3355" s="2" t="s">
        <v>361</v>
      </c>
      <c r="D3355" s="2"/>
      <c r="E3355" s="7"/>
      <c r="F3355" s="7"/>
      <c r="G3355" s="9" t="s">
        <v>2322</v>
      </c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</row>
    <row r="3356" spans="1:18" ht="12.75" customHeight="1" x14ac:dyDescent="0.2">
      <c r="A3356" s="7"/>
      <c r="B3356" s="2" t="s">
        <v>2</v>
      </c>
      <c r="C3356" s="2" t="s">
        <v>2322</v>
      </c>
      <c r="D3356" s="2"/>
      <c r="E3356" s="7"/>
      <c r="F3356" s="7"/>
      <c r="G3356" s="9" t="s">
        <v>2322</v>
      </c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</row>
    <row r="3357" spans="1:18" ht="12.75" customHeight="1" x14ac:dyDescent="0.2">
      <c r="A3357" s="7"/>
      <c r="B3357" s="2" t="s">
        <v>1840</v>
      </c>
      <c r="C3357" s="2" t="s">
        <v>2566</v>
      </c>
      <c r="D3357" s="2"/>
      <c r="E3357" s="7"/>
      <c r="F3357" s="7"/>
      <c r="G3357" s="9" t="s">
        <v>2322</v>
      </c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</row>
    <row r="3358" spans="1:18" ht="12.75" customHeight="1" x14ac:dyDescent="0.2">
      <c r="A3358" s="7"/>
      <c r="B3358" s="2" t="s">
        <v>9</v>
      </c>
      <c r="C3358" s="2" t="s">
        <v>2567</v>
      </c>
      <c r="D3358" s="2"/>
      <c r="E3358" s="7"/>
      <c r="F3358" s="7"/>
      <c r="G3358" s="9" t="s">
        <v>2322</v>
      </c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</row>
    <row r="3359" spans="1:18" ht="12.75" customHeight="1" x14ac:dyDescent="0.2">
      <c r="A3359" s="7"/>
      <c r="B3359" s="2" t="s">
        <v>11</v>
      </c>
      <c r="C3359" s="2" t="s">
        <v>1141</v>
      </c>
      <c r="D3359" s="2"/>
      <c r="E3359" s="7"/>
      <c r="F3359" s="7"/>
      <c r="G3359" s="9" t="s">
        <v>2322</v>
      </c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</row>
    <row r="3360" spans="1:18" ht="12.75" customHeight="1" x14ac:dyDescent="0.2">
      <c r="A3360" s="7"/>
      <c r="B3360" s="2" t="s">
        <v>16</v>
      </c>
      <c r="C3360" s="2"/>
      <c r="D3360" s="2"/>
      <c r="E3360" s="7"/>
      <c r="F3360" s="7"/>
      <c r="G3360" s="9" t="s">
        <v>2322</v>
      </c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</row>
    <row r="3361" spans="1:18" ht="12.75" customHeight="1" x14ac:dyDescent="0.2">
      <c r="A3361" s="7"/>
      <c r="B3361" s="2" t="s">
        <v>17</v>
      </c>
      <c r="C3361" s="2" t="s">
        <v>19</v>
      </c>
      <c r="D3361" s="2"/>
      <c r="E3361" s="7"/>
      <c r="F3361" s="7"/>
      <c r="G3361" s="9" t="s">
        <v>2322</v>
      </c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</row>
    <row r="3362" spans="1:18" ht="12.75" customHeight="1" x14ac:dyDescent="0.2">
      <c r="A3362" s="7"/>
      <c r="B3362" s="2" t="s">
        <v>18</v>
      </c>
      <c r="C3362" s="2" t="s">
        <v>44</v>
      </c>
      <c r="D3362" s="2" t="str">
        <f>HYPERLINK("javascript:void(0)","tolvajpáncél")</f>
        <v>tolvajpáncél</v>
      </c>
      <c r="E3362" s="7"/>
      <c r="F3362" s="7"/>
      <c r="G3362" s="9" t="s">
        <v>2322</v>
      </c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</row>
    <row r="3363" spans="1:18" ht="12.75" customHeight="1" x14ac:dyDescent="0.2">
      <c r="A3363" s="7"/>
      <c r="B3363" s="2"/>
      <c r="C3363" s="2" t="s">
        <v>44</v>
      </c>
      <c r="D3363" s="2" t="str">
        <f>HYPERLINK("javascript:void(0)","teljes hasvért")</f>
        <v>teljes hasvért</v>
      </c>
      <c r="E3363" s="7"/>
      <c r="F3363" s="7"/>
      <c r="G3363" s="9" t="s">
        <v>2322</v>
      </c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</row>
    <row r="3364" spans="1:18" ht="12.75" customHeight="1" x14ac:dyDescent="0.2">
      <c r="A3364" s="7"/>
      <c r="B3364" s="2"/>
      <c r="C3364" s="2" t="s">
        <v>196</v>
      </c>
      <c r="D3364" s="2" t="str">
        <f>HYPERLINK("javascript:void(0)","kokszkeksz")</f>
        <v>kokszkeksz</v>
      </c>
      <c r="E3364" s="7"/>
      <c r="F3364" s="7"/>
      <c r="G3364" s="9" t="s">
        <v>2322</v>
      </c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</row>
    <row r="3365" spans="1:18" ht="12.75" customHeight="1" x14ac:dyDescent="0.2">
      <c r="A3365" s="7"/>
      <c r="B3365" s="2"/>
      <c r="C3365" s="2"/>
      <c r="D3365" s="2"/>
      <c r="E3365" s="7"/>
      <c r="F3365" s="7"/>
      <c r="G3365" s="9" t="s">
        <v>2322</v>
      </c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</row>
    <row r="3366" spans="1:18" ht="12.75" customHeight="1" x14ac:dyDescent="0.2">
      <c r="A3366" s="7"/>
      <c r="B3366" s="2"/>
      <c r="C3366" s="2"/>
      <c r="D3366" s="2"/>
      <c r="E3366" s="7"/>
      <c r="F3366" s="7"/>
      <c r="G3366" s="9" t="s">
        <v>2322</v>
      </c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</row>
    <row r="3367" spans="1:18" ht="12.75" customHeight="1" x14ac:dyDescent="0.2">
      <c r="A3367" s="7"/>
      <c r="B3367" s="2"/>
      <c r="C3367" s="2"/>
      <c r="D3367" s="2"/>
      <c r="E3367" s="7"/>
      <c r="F3367" s="7"/>
      <c r="G3367" s="9" t="s">
        <v>2322</v>
      </c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</row>
    <row r="3368" spans="1:18" ht="12.75" customHeight="1" x14ac:dyDescent="0.2">
      <c r="A3368" s="7"/>
      <c r="B3368" s="2"/>
      <c r="C3368" s="2"/>
      <c r="D3368" s="2"/>
      <c r="E3368" s="7"/>
      <c r="F3368" s="7"/>
      <c r="G3368" s="9" t="s">
        <v>2322</v>
      </c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</row>
    <row r="3369" spans="1:18" ht="12.75" customHeight="1" x14ac:dyDescent="0.2">
      <c r="A3369" s="7"/>
      <c r="B3369" s="2"/>
      <c r="C3369" s="2"/>
      <c r="D3369" s="2"/>
      <c r="E3369" s="7"/>
      <c r="F3369" s="7"/>
      <c r="G3369" s="9" t="s">
        <v>2322</v>
      </c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</row>
    <row r="3370" spans="1:18" ht="12.75" customHeight="1" x14ac:dyDescent="0.2">
      <c r="A3370" s="7" t="str">
        <f>HYPERLINK("javascript:void(0)","kétéltű páncél")</f>
        <v>kétéltű páncél</v>
      </c>
      <c r="B3370" s="7"/>
      <c r="C3370" s="7"/>
      <c r="D3370" s="7"/>
      <c r="E3370" s="7"/>
      <c r="F3370" s="7"/>
      <c r="G3370" s="9" t="s">
        <v>2322</v>
      </c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</row>
    <row r="3371" spans="1:18" ht="12.75" customHeight="1" x14ac:dyDescent="0.2">
      <c r="A3371" s="7"/>
      <c r="B3371" s="2"/>
      <c r="C3371" s="2"/>
      <c r="D3371" s="2"/>
      <c r="E3371" s="7"/>
      <c r="F3371" s="7"/>
      <c r="G3371" s="9" t="s">
        <v>2322</v>
      </c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</row>
    <row r="3372" spans="1:18" ht="12.75" customHeight="1" x14ac:dyDescent="0.2">
      <c r="A3372" s="7"/>
      <c r="B3372" s="2" t="s">
        <v>0</v>
      </c>
      <c r="C3372" s="2" t="s">
        <v>1322</v>
      </c>
      <c r="D3372" s="2"/>
      <c r="E3372" s="7"/>
      <c r="F3372" s="7"/>
      <c r="G3372" s="9" t="s">
        <v>2322</v>
      </c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</row>
    <row r="3373" spans="1:18" ht="12.75" customHeight="1" x14ac:dyDescent="0.2">
      <c r="A3373" s="7"/>
      <c r="B3373" s="2" t="s">
        <v>2</v>
      </c>
      <c r="C3373" s="2" t="s">
        <v>2322</v>
      </c>
      <c r="D3373" s="2"/>
      <c r="E3373" s="7"/>
      <c r="F3373" s="7"/>
      <c r="G3373" s="9" t="s">
        <v>2322</v>
      </c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</row>
    <row r="3374" spans="1:18" ht="12.75" customHeight="1" x14ac:dyDescent="0.2">
      <c r="A3374" s="7"/>
      <c r="B3374" s="2" t="s">
        <v>1840</v>
      </c>
      <c r="C3374" s="2" t="s">
        <v>717</v>
      </c>
      <c r="D3374" s="2"/>
      <c r="E3374" s="7"/>
      <c r="F3374" s="7"/>
      <c r="G3374" s="9" t="s">
        <v>2322</v>
      </c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</row>
    <row r="3375" spans="1:18" ht="12.75" customHeight="1" x14ac:dyDescent="0.2">
      <c r="A3375" s="7"/>
      <c r="B3375" s="2" t="s">
        <v>9</v>
      </c>
      <c r="C3375" s="2" t="s">
        <v>2568</v>
      </c>
      <c r="D3375" s="2"/>
      <c r="E3375" s="7"/>
      <c r="F3375" s="7"/>
      <c r="G3375" s="9" t="s">
        <v>2322</v>
      </c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</row>
    <row r="3376" spans="1:18" ht="12.75" customHeight="1" x14ac:dyDescent="0.2">
      <c r="A3376" s="7"/>
      <c r="B3376" s="2" t="s">
        <v>11</v>
      </c>
      <c r="C3376" s="2" t="s">
        <v>2569</v>
      </c>
      <c r="D3376" s="2"/>
      <c r="E3376" s="7"/>
      <c r="F3376" s="7"/>
      <c r="G3376" s="9" t="s">
        <v>2322</v>
      </c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</row>
    <row r="3377" spans="1:18" ht="12.75" customHeight="1" x14ac:dyDescent="0.2">
      <c r="A3377" s="7"/>
      <c r="B3377" s="2" t="s">
        <v>16</v>
      </c>
      <c r="C3377" s="2"/>
      <c r="D3377" s="2"/>
      <c r="E3377" s="7"/>
      <c r="F3377" s="7"/>
      <c r="G3377" s="9" t="s">
        <v>2322</v>
      </c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</row>
    <row r="3378" spans="1:18" ht="12.75" customHeight="1" x14ac:dyDescent="0.2">
      <c r="A3378" s="7"/>
      <c r="B3378" s="2" t="s">
        <v>17</v>
      </c>
      <c r="C3378" s="2" t="s">
        <v>19</v>
      </c>
      <c r="D3378" s="2"/>
      <c r="E3378" s="7"/>
      <c r="F3378" s="7"/>
      <c r="G3378" s="9" t="s">
        <v>2322</v>
      </c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</row>
    <row r="3379" spans="1:18" ht="12.75" customHeight="1" x14ac:dyDescent="0.2">
      <c r="A3379" s="7"/>
      <c r="B3379" s="2" t="s">
        <v>18</v>
      </c>
      <c r="C3379" s="2" t="s">
        <v>44</v>
      </c>
      <c r="D3379" s="2" t="str">
        <f>HYPERLINK("javascript:void(0)","felfújt hólyagvért")</f>
        <v>felfújt hólyagvért</v>
      </c>
      <c r="E3379" s="7"/>
      <c r="F3379" s="7"/>
      <c r="G3379" s="9" t="s">
        <v>2322</v>
      </c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</row>
    <row r="3380" spans="1:18" ht="12.75" customHeight="1" x14ac:dyDescent="0.2">
      <c r="A3380" s="7"/>
      <c r="B3380" s="2"/>
      <c r="C3380" s="2" t="s">
        <v>102</v>
      </c>
      <c r="D3380" s="2" t="str">
        <f>HYPERLINK("javascript:void(0)","vérüreg")</f>
        <v>vérüreg</v>
      </c>
      <c r="E3380" s="7"/>
      <c r="F3380" s="7"/>
      <c r="G3380" s="9" t="s">
        <v>2322</v>
      </c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</row>
    <row r="3381" spans="1:18" ht="12.75" customHeight="1" x14ac:dyDescent="0.2">
      <c r="A3381" s="7"/>
      <c r="B3381" s="2"/>
      <c r="C3381" s="2" t="s">
        <v>196</v>
      </c>
      <c r="D3381" s="2" t="str">
        <f>HYPERLINK("javascript:void(0)","kopoltyú")</f>
        <v>kopoltyú</v>
      </c>
      <c r="E3381" s="7"/>
      <c r="F3381" s="7"/>
      <c r="G3381" s="9" t="s">
        <v>2322</v>
      </c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</row>
    <row r="3382" spans="1:18" ht="12.75" customHeight="1" x14ac:dyDescent="0.2">
      <c r="A3382" s="7"/>
      <c r="B3382" s="2"/>
      <c r="C3382" s="2"/>
      <c r="D3382" s="2"/>
      <c r="E3382" s="7"/>
      <c r="F3382" s="7"/>
      <c r="G3382" s="9" t="s">
        <v>2322</v>
      </c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</row>
    <row r="3383" spans="1:18" ht="12.75" customHeight="1" x14ac:dyDescent="0.2">
      <c r="A3383" s="7"/>
      <c r="B3383" s="2"/>
      <c r="C3383" s="2"/>
      <c r="D3383" s="2"/>
      <c r="E3383" s="7"/>
      <c r="F3383" s="7"/>
      <c r="G3383" s="9" t="s">
        <v>2322</v>
      </c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</row>
    <row r="3384" spans="1:18" ht="12.75" customHeight="1" x14ac:dyDescent="0.2">
      <c r="A3384" s="7"/>
      <c r="B3384" s="2"/>
      <c r="C3384" s="2"/>
      <c r="D3384" s="2"/>
      <c r="E3384" s="7"/>
      <c r="F3384" s="7"/>
      <c r="G3384" s="9" t="s">
        <v>2322</v>
      </c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</row>
    <row r="3385" spans="1:18" ht="12.75" customHeight="1" x14ac:dyDescent="0.2">
      <c r="A3385" s="7"/>
      <c r="B3385" s="2"/>
      <c r="C3385" s="2"/>
      <c r="D3385" s="2"/>
      <c r="E3385" s="7"/>
      <c r="F3385" s="7"/>
      <c r="G3385" s="9" t="s">
        <v>2322</v>
      </c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</row>
    <row r="3386" spans="1:18" ht="12.75" customHeight="1" x14ac:dyDescent="0.2">
      <c r="A3386" s="7"/>
      <c r="B3386" s="2"/>
      <c r="C3386" s="2"/>
      <c r="D3386" s="2"/>
      <c r="E3386" s="7"/>
      <c r="F3386" s="7"/>
      <c r="G3386" s="9" t="s">
        <v>2322</v>
      </c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</row>
    <row r="3387" spans="1:18" ht="12.75" customHeight="1" x14ac:dyDescent="0.2">
      <c r="A3387" s="7" t="str">
        <f>HYPERLINK("javascript:void(0)","barbárpáncél")</f>
        <v>barbárpáncél</v>
      </c>
      <c r="B3387" s="7"/>
      <c r="C3387" s="7"/>
      <c r="D3387" s="7"/>
      <c r="E3387" s="7"/>
      <c r="F3387" s="7"/>
      <c r="G3387" s="9" t="s">
        <v>2322</v>
      </c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</row>
    <row r="3388" spans="1:18" ht="12.75" customHeight="1" x14ac:dyDescent="0.2">
      <c r="A3388" s="7"/>
      <c r="B3388" s="2"/>
      <c r="C3388" s="2"/>
      <c r="D3388" s="2"/>
      <c r="E3388" s="7"/>
      <c r="F3388" s="7"/>
      <c r="G3388" s="9" t="s">
        <v>2322</v>
      </c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</row>
    <row r="3389" spans="1:18" ht="12.75" customHeight="1" x14ac:dyDescent="0.2">
      <c r="A3389" s="7"/>
      <c r="B3389" s="2" t="s">
        <v>0</v>
      </c>
      <c r="C3389" s="2" t="s">
        <v>371</v>
      </c>
      <c r="D3389" s="2"/>
      <c r="E3389" s="7"/>
      <c r="F3389" s="7"/>
      <c r="G3389" s="9" t="s">
        <v>2322</v>
      </c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</row>
    <row r="3390" spans="1:18" ht="12.75" customHeight="1" x14ac:dyDescent="0.2">
      <c r="A3390" s="7"/>
      <c r="B3390" s="2" t="s">
        <v>2</v>
      </c>
      <c r="C3390" s="2" t="s">
        <v>2322</v>
      </c>
      <c r="D3390" s="2"/>
      <c r="E3390" s="7"/>
      <c r="F3390" s="7"/>
      <c r="G3390" s="9" t="s">
        <v>2322</v>
      </c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</row>
    <row r="3391" spans="1:18" ht="12.75" customHeight="1" x14ac:dyDescent="0.2">
      <c r="A3391" s="7"/>
      <c r="B3391" s="2" t="s">
        <v>1840</v>
      </c>
      <c r="C3391" s="2" t="s">
        <v>2570</v>
      </c>
      <c r="D3391" s="2"/>
      <c r="E3391" s="7"/>
      <c r="F3391" s="7"/>
      <c r="G3391" s="9" t="s">
        <v>2322</v>
      </c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</row>
    <row r="3392" spans="1:18" ht="12.75" customHeight="1" x14ac:dyDescent="0.2">
      <c r="A3392" s="7"/>
      <c r="B3392" s="2" t="s">
        <v>9</v>
      </c>
      <c r="C3392" s="2" t="s">
        <v>1729</v>
      </c>
      <c r="D3392" s="2"/>
      <c r="E3392" s="7"/>
      <c r="F3392" s="7"/>
      <c r="G3392" s="9" t="s">
        <v>2322</v>
      </c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</row>
    <row r="3393" spans="1:18" ht="12.75" customHeight="1" x14ac:dyDescent="0.2">
      <c r="A3393" s="7"/>
      <c r="B3393" s="2" t="s">
        <v>11</v>
      </c>
      <c r="C3393" s="2" t="s">
        <v>2571</v>
      </c>
      <c r="D3393" s="2"/>
      <c r="E3393" s="7"/>
      <c r="F3393" s="7"/>
      <c r="G3393" s="9" t="s">
        <v>2322</v>
      </c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</row>
    <row r="3394" spans="1:18" ht="12.75" customHeight="1" x14ac:dyDescent="0.2">
      <c r="A3394" s="7"/>
      <c r="B3394" s="2" t="s">
        <v>16</v>
      </c>
      <c r="C3394" s="2"/>
      <c r="D3394" s="2"/>
      <c r="E3394" s="7"/>
      <c r="F3394" s="7"/>
      <c r="G3394" s="9" t="s">
        <v>2322</v>
      </c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</row>
    <row r="3395" spans="1:18" ht="12.75" customHeight="1" x14ac:dyDescent="0.2">
      <c r="A3395" s="7"/>
      <c r="B3395" s="2" t="s">
        <v>17</v>
      </c>
      <c r="C3395" s="2" t="s">
        <v>19</v>
      </c>
      <c r="D3395" s="2"/>
      <c r="E3395" s="7"/>
      <c r="F3395" s="7"/>
      <c r="G3395" s="9" t="s">
        <v>2322</v>
      </c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</row>
    <row r="3396" spans="1:18" ht="12.75" customHeight="1" x14ac:dyDescent="0.2">
      <c r="A3396" s="7"/>
      <c r="B3396" s="2" t="s">
        <v>18</v>
      </c>
      <c r="C3396" s="2" t="s">
        <v>68</v>
      </c>
      <c r="D3396" s="2" t="str">
        <f>HYPERLINK("javascript:void(0)","barbár firka")</f>
        <v>barbár firka</v>
      </c>
      <c r="E3396" s="7"/>
      <c r="F3396" s="7"/>
      <c r="G3396" s="9" t="s">
        <v>2322</v>
      </c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</row>
    <row r="3397" spans="1:18" ht="12.75" customHeight="1" x14ac:dyDescent="0.2">
      <c r="A3397" s="7"/>
      <c r="B3397" s="2"/>
      <c r="C3397" s="2" t="s">
        <v>77</v>
      </c>
      <c r="D3397" s="2" t="str">
        <f>HYPERLINK("javascript:void(0)","hőzöngcsörgő")</f>
        <v>hőzöngcsörgő</v>
      </c>
      <c r="E3397" s="7"/>
      <c r="F3397" s="7"/>
      <c r="G3397" s="9" t="s">
        <v>2322</v>
      </c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</row>
    <row r="3398" spans="1:18" ht="12.75" customHeight="1" x14ac:dyDescent="0.2">
      <c r="A3398" s="7"/>
      <c r="B3398" s="2"/>
      <c r="C3398" s="2" t="s">
        <v>102</v>
      </c>
      <c r="D3398" s="2" t="str">
        <f>HYPERLINK("javascript:void(0)","hamvadt tetem")</f>
        <v>hamvadt tetem</v>
      </c>
      <c r="E3398" s="7"/>
      <c r="F3398" s="7"/>
      <c r="G3398" s="9" t="s">
        <v>2322</v>
      </c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</row>
    <row r="3399" spans="1:18" ht="12.75" customHeight="1" x14ac:dyDescent="0.2">
      <c r="A3399" s="7"/>
      <c r="B3399" s="2"/>
      <c r="C3399" s="2"/>
      <c r="D3399" s="2"/>
      <c r="E3399" s="7"/>
      <c r="F3399" s="7"/>
      <c r="G3399" s="9" t="s">
        <v>2322</v>
      </c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</row>
    <row r="3400" spans="1:18" ht="12.75" customHeight="1" x14ac:dyDescent="0.2">
      <c r="A3400" s="7"/>
      <c r="B3400" s="2"/>
      <c r="C3400" s="2"/>
      <c r="D3400" s="2"/>
      <c r="E3400" s="7"/>
      <c r="F3400" s="7"/>
      <c r="G3400" s="9" t="s">
        <v>2322</v>
      </c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</row>
    <row r="3401" spans="1:18" ht="12.75" customHeight="1" x14ac:dyDescent="0.2">
      <c r="A3401" s="7"/>
      <c r="B3401" s="2"/>
      <c r="C3401" s="2"/>
      <c r="D3401" s="2"/>
      <c r="E3401" s="7"/>
      <c r="F3401" s="7"/>
      <c r="G3401" s="9" t="s">
        <v>2322</v>
      </c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</row>
    <row r="3402" spans="1:18" ht="12.75" customHeight="1" x14ac:dyDescent="0.2">
      <c r="A3402" s="7"/>
      <c r="B3402" s="2"/>
      <c r="C3402" s="2"/>
      <c r="D3402" s="2"/>
      <c r="E3402" s="7"/>
      <c r="F3402" s="7"/>
      <c r="G3402" s="9" t="s">
        <v>2322</v>
      </c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</row>
    <row r="3403" spans="1:18" ht="12.75" customHeight="1" x14ac:dyDescent="0.2">
      <c r="A3403" s="7"/>
      <c r="B3403" s="2"/>
      <c r="C3403" s="2"/>
      <c r="D3403" s="2"/>
      <c r="E3403" s="7"/>
      <c r="F3403" s="7"/>
      <c r="G3403" s="9" t="s">
        <v>2322</v>
      </c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</row>
    <row r="3404" spans="1:18" ht="12.75" customHeight="1" x14ac:dyDescent="0.2">
      <c r="A3404" s="7" t="str">
        <f>HYPERLINK("javascript:void(0)","piros mellvért")</f>
        <v>piros mellvért</v>
      </c>
      <c r="B3404" s="7"/>
      <c r="C3404" s="7"/>
      <c r="D3404" s="7"/>
      <c r="E3404" s="7"/>
      <c r="F3404" s="7"/>
      <c r="G3404" s="9" t="s">
        <v>2322</v>
      </c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</row>
    <row r="3405" spans="1:18" ht="12.75" customHeight="1" x14ac:dyDescent="0.2">
      <c r="A3405" s="7"/>
      <c r="B3405" s="2"/>
      <c r="C3405" s="2"/>
      <c r="D3405" s="2"/>
      <c r="E3405" s="7"/>
      <c r="F3405" s="7"/>
      <c r="G3405" s="9" t="s">
        <v>2322</v>
      </c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</row>
    <row r="3406" spans="1:18" ht="12.75" customHeight="1" x14ac:dyDescent="0.2">
      <c r="A3406" s="7"/>
      <c r="B3406" s="2" t="s">
        <v>0</v>
      </c>
      <c r="C3406" s="2" t="s">
        <v>1342</v>
      </c>
      <c r="D3406" s="2"/>
      <c r="E3406" s="7"/>
      <c r="F3406" s="7"/>
      <c r="G3406" s="9" t="s">
        <v>2322</v>
      </c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</row>
    <row r="3407" spans="1:18" ht="12.75" customHeight="1" x14ac:dyDescent="0.2">
      <c r="A3407" s="7"/>
      <c r="B3407" s="2" t="s">
        <v>2</v>
      </c>
      <c r="C3407" s="2" t="s">
        <v>2322</v>
      </c>
      <c r="D3407" s="2"/>
      <c r="E3407" s="7"/>
      <c r="F3407" s="7"/>
      <c r="G3407" s="9" t="s">
        <v>2322</v>
      </c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</row>
    <row r="3408" spans="1:18" ht="12.75" customHeight="1" x14ac:dyDescent="0.2">
      <c r="A3408" s="7"/>
      <c r="B3408" s="2" t="s">
        <v>1840</v>
      </c>
      <c r="C3408" s="2" t="s">
        <v>726</v>
      </c>
      <c r="D3408" s="2"/>
      <c r="E3408" s="7"/>
      <c r="F3408" s="7"/>
      <c r="G3408" s="9" t="s">
        <v>2322</v>
      </c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</row>
    <row r="3409" spans="1:18" ht="12.75" customHeight="1" x14ac:dyDescent="0.2">
      <c r="A3409" s="7"/>
      <c r="B3409" s="2" t="s">
        <v>9</v>
      </c>
      <c r="C3409" s="2" t="s">
        <v>2572</v>
      </c>
      <c r="D3409" s="2"/>
      <c r="E3409" s="7"/>
      <c r="F3409" s="7"/>
      <c r="G3409" s="9" t="s">
        <v>2322</v>
      </c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</row>
    <row r="3410" spans="1:18" ht="12.75" customHeight="1" x14ac:dyDescent="0.2">
      <c r="A3410" s="7"/>
      <c r="B3410" s="2" t="s">
        <v>11</v>
      </c>
      <c r="C3410" s="2" t="s">
        <v>1163</v>
      </c>
      <c r="D3410" s="2"/>
      <c r="E3410" s="7"/>
      <c r="F3410" s="7"/>
      <c r="G3410" s="9" t="s">
        <v>2322</v>
      </c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</row>
    <row r="3411" spans="1:18" ht="12.75" customHeight="1" x14ac:dyDescent="0.2">
      <c r="A3411" s="7"/>
      <c r="B3411" s="2" t="s">
        <v>16</v>
      </c>
      <c r="C3411" s="2"/>
      <c r="D3411" s="2"/>
      <c r="E3411" s="7"/>
      <c r="F3411" s="7"/>
      <c r="G3411" s="9" t="s">
        <v>2322</v>
      </c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</row>
    <row r="3412" spans="1:18" ht="12.75" customHeight="1" x14ac:dyDescent="0.2">
      <c r="A3412" s="7"/>
      <c r="B3412" s="2" t="s">
        <v>17</v>
      </c>
      <c r="C3412" s="2" t="s">
        <v>19</v>
      </c>
      <c r="D3412" s="2"/>
      <c r="E3412" s="7"/>
      <c r="F3412" s="7"/>
      <c r="G3412" s="9" t="s">
        <v>2322</v>
      </c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</row>
    <row r="3413" spans="1:18" ht="12.75" customHeight="1" x14ac:dyDescent="0.2">
      <c r="A3413" s="7"/>
      <c r="B3413" s="2" t="s">
        <v>18</v>
      </c>
      <c r="C3413" s="2" t="s">
        <v>44</v>
      </c>
      <c r="D3413" s="2" t="str">
        <f>HYPERLINK("javascript:void(0)","kétéltű páncél")</f>
        <v>kétéltű páncél</v>
      </c>
      <c r="E3413" s="7"/>
      <c r="F3413" s="7"/>
      <c r="G3413" s="9" t="s">
        <v>2322</v>
      </c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</row>
    <row r="3414" spans="1:18" ht="12.75" customHeight="1" x14ac:dyDescent="0.2">
      <c r="A3414" s="7"/>
      <c r="B3414" s="2"/>
      <c r="C3414" s="2" t="s">
        <v>44</v>
      </c>
      <c r="D3414" s="2" t="str">
        <f>HYPERLINK("javascript:void(0)","barbárpáncél")</f>
        <v>barbárpáncél</v>
      </c>
      <c r="E3414" s="7"/>
      <c r="F3414" s="7"/>
      <c r="G3414" s="9" t="s">
        <v>2322</v>
      </c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</row>
    <row r="3415" spans="1:18" ht="12.75" customHeight="1" x14ac:dyDescent="0.2">
      <c r="A3415" s="7"/>
      <c r="B3415" s="2"/>
      <c r="C3415" s="2" t="s">
        <v>67</v>
      </c>
      <c r="D3415" s="2" t="str">
        <f>HYPERLINK("javascript:void(0)","kommunikációképtelenség")</f>
        <v>kommunikációképtelenség</v>
      </c>
      <c r="E3415" s="7"/>
      <c r="F3415" s="7"/>
      <c r="G3415" s="9" t="s">
        <v>2322</v>
      </c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</row>
    <row r="3416" spans="1:18" ht="12.75" customHeight="1" x14ac:dyDescent="0.2">
      <c r="A3416" s="7"/>
      <c r="B3416" s="2"/>
      <c r="C3416" s="2"/>
      <c r="D3416" s="2"/>
      <c r="E3416" s="7"/>
      <c r="F3416" s="7"/>
      <c r="G3416" s="9" t="s">
        <v>2322</v>
      </c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</row>
    <row r="3417" spans="1:18" ht="12.75" customHeight="1" x14ac:dyDescent="0.2">
      <c r="A3417" s="7"/>
      <c r="B3417" s="2"/>
      <c r="C3417" s="2"/>
      <c r="D3417" s="2"/>
      <c r="E3417" s="7"/>
      <c r="F3417" s="7"/>
      <c r="G3417" s="9" t="s">
        <v>2322</v>
      </c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</row>
    <row r="3418" spans="1:18" ht="12.75" customHeight="1" x14ac:dyDescent="0.2">
      <c r="A3418" s="7"/>
      <c r="B3418" s="2"/>
      <c r="C3418" s="2"/>
      <c r="D3418" s="2"/>
      <c r="E3418" s="7"/>
      <c r="F3418" s="7"/>
      <c r="G3418" s="9" t="s">
        <v>2322</v>
      </c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</row>
    <row r="3419" spans="1:18" ht="12.75" customHeight="1" x14ac:dyDescent="0.2">
      <c r="A3419" s="7"/>
      <c r="B3419" s="2"/>
      <c r="C3419" s="2"/>
      <c r="D3419" s="2"/>
      <c r="E3419" s="7"/>
      <c r="F3419" s="7"/>
      <c r="G3419" s="9" t="s">
        <v>2322</v>
      </c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</row>
    <row r="3420" spans="1:18" ht="12.75" customHeight="1" x14ac:dyDescent="0.2">
      <c r="A3420" s="7"/>
      <c r="B3420" s="2"/>
      <c r="C3420" s="2"/>
      <c r="D3420" s="2"/>
      <c r="E3420" s="7"/>
      <c r="F3420" s="7"/>
      <c r="G3420" s="9" t="s">
        <v>2322</v>
      </c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</row>
    <row r="3421" spans="1:18" ht="12.75" customHeight="1" x14ac:dyDescent="0.2">
      <c r="A3421" s="7" t="str">
        <f>HYPERLINK("javascript:void(0)","savas esőkabát")</f>
        <v>savas esőkabát</v>
      </c>
      <c r="B3421" s="7"/>
      <c r="C3421" s="7"/>
      <c r="D3421" s="7"/>
      <c r="E3421" s="7"/>
      <c r="F3421" s="7"/>
      <c r="G3421" s="9" t="s">
        <v>2322</v>
      </c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</row>
    <row r="3422" spans="1:18" ht="12.75" customHeight="1" x14ac:dyDescent="0.2">
      <c r="A3422" s="7"/>
      <c r="B3422" s="2"/>
      <c r="C3422" s="2"/>
      <c r="D3422" s="2"/>
      <c r="E3422" s="7"/>
      <c r="F3422" s="7"/>
      <c r="G3422" s="9" t="s">
        <v>2322</v>
      </c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</row>
    <row r="3423" spans="1:18" ht="12.75" customHeight="1" x14ac:dyDescent="0.2">
      <c r="A3423" s="7"/>
      <c r="B3423" s="2" t="s">
        <v>0</v>
      </c>
      <c r="C3423" s="2" t="s">
        <v>351</v>
      </c>
      <c r="D3423" s="2"/>
      <c r="E3423" s="7"/>
      <c r="F3423" s="7"/>
      <c r="G3423" s="9" t="s">
        <v>2322</v>
      </c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</row>
    <row r="3424" spans="1:18" ht="12.75" customHeight="1" x14ac:dyDescent="0.2">
      <c r="A3424" s="7"/>
      <c r="B3424" s="2" t="s">
        <v>2</v>
      </c>
      <c r="C3424" s="2" t="s">
        <v>2322</v>
      </c>
      <c r="D3424" s="2"/>
      <c r="E3424" s="7"/>
      <c r="F3424" s="7"/>
      <c r="G3424" s="9" t="s">
        <v>2322</v>
      </c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</row>
    <row r="3425" spans="1:18" ht="12.75" customHeight="1" x14ac:dyDescent="0.2">
      <c r="A3425" s="7"/>
      <c r="B3425" s="2" t="s">
        <v>1840</v>
      </c>
      <c r="C3425" s="2" t="s">
        <v>2573</v>
      </c>
      <c r="D3425" s="2"/>
      <c r="E3425" s="7"/>
      <c r="F3425" s="7"/>
      <c r="G3425" s="9" t="s">
        <v>2322</v>
      </c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</row>
    <row r="3426" spans="1:18" ht="12.75" customHeight="1" x14ac:dyDescent="0.2">
      <c r="A3426" s="7"/>
      <c r="B3426" s="2" t="s">
        <v>9</v>
      </c>
      <c r="C3426" s="2" t="s">
        <v>2568</v>
      </c>
      <c r="D3426" s="2"/>
      <c r="E3426" s="7"/>
      <c r="F3426" s="7"/>
      <c r="G3426" s="9" t="s">
        <v>2322</v>
      </c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</row>
    <row r="3427" spans="1:18" ht="12.75" customHeight="1" x14ac:dyDescent="0.2">
      <c r="A3427" s="7"/>
      <c r="B3427" s="2" t="s">
        <v>11</v>
      </c>
      <c r="C3427" s="2" t="s">
        <v>1180</v>
      </c>
      <c r="D3427" s="2"/>
      <c r="E3427" s="7"/>
      <c r="F3427" s="7"/>
      <c r="G3427" s="9" t="s">
        <v>2322</v>
      </c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</row>
    <row r="3428" spans="1:18" ht="12.75" customHeight="1" x14ac:dyDescent="0.2">
      <c r="A3428" s="7"/>
      <c r="B3428" s="2" t="s">
        <v>16</v>
      </c>
      <c r="C3428" s="2"/>
      <c r="D3428" s="2"/>
      <c r="E3428" s="7"/>
      <c r="F3428" s="7"/>
      <c r="G3428" s="9" t="s">
        <v>2322</v>
      </c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</row>
    <row r="3429" spans="1:18" ht="12.75" customHeight="1" x14ac:dyDescent="0.2">
      <c r="A3429" s="7"/>
      <c r="B3429" s="2" t="s">
        <v>17</v>
      </c>
      <c r="C3429" s="2" t="s">
        <v>19</v>
      </c>
      <c r="D3429" s="2"/>
      <c r="E3429" s="7"/>
      <c r="F3429" s="7"/>
      <c r="G3429" s="9" t="s">
        <v>2322</v>
      </c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</row>
    <row r="3430" spans="1:18" ht="12.75" customHeight="1" x14ac:dyDescent="0.2">
      <c r="A3430" s="7"/>
      <c r="B3430" s="2" t="s">
        <v>18</v>
      </c>
      <c r="C3430" s="2" t="s">
        <v>44</v>
      </c>
      <c r="D3430" s="2" t="str">
        <f>HYPERLINK("javascript:void(0)","piros mellvért")</f>
        <v>piros mellvért</v>
      </c>
      <c r="E3430" s="7"/>
      <c r="F3430" s="7"/>
      <c r="G3430" s="9" t="s">
        <v>2322</v>
      </c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</row>
    <row r="3431" spans="1:18" ht="12.75" customHeight="1" x14ac:dyDescent="0.2">
      <c r="A3431" s="7"/>
      <c r="B3431" s="2"/>
      <c r="C3431" s="2" t="s">
        <v>67</v>
      </c>
      <c r="D3431" s="2" t="str">
        <f>HYPERLINK("javascript:void(0)","savige")</f>
        <v>savige</v>
      </c>
      <c r="E3431" s="7"/>
      <c r="F3431" s="7"/>
      <c r="G3431" s="9" t="s">
        <v>2322</v>
      </c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</row>
    <row r="3432" spans="1:18" ht="12.75" customHeight="1" x14ac:dyDescent="0.2">
      <c r="A3432" s="7"/>
      <c r="B3432" s="2"/>
      <c r="C3432" s="2" t="s">
        <v>77</v>
      </c>
      <c r="D3432" s="2" t="str">
        <f>HYPERLINK("javascript:void(0)","dobogás")</f>
        <v>dobogás</v>
      </c>
      <c r="E3432" s="7"/>
      <c r="F3432" s="7"/>
      <c r="G3432" s="9" t="s">
        <v>2322</v>
      </c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</row>
    <row r="3433" spans="1:18" ht="12.75" customHeight="1" x14ac:dyDescent="0.2">
      <c r="A3433" s="7"/>
      <c r="B3433" s="2"/>
      <c r="C3433" s="2"/>
      <c r="D3433" s="2"/>
      <c r="E3433" s="7"/>
      <c r="F3433" s="7"/>
      <c r="G3433" s="9" t="s">
        <v>2322</v>
      </c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</row>
    <row r="3434" spans="1:18" ht="12.75" customHeight="1" x14ac:dyDescent="0.2">
      <c r="A3434" s="7"/>
      <c r="B3434" s="2"/>
      <c r="C3434" s="2"/>
      <c r="D3434" s="2"/>
      <c r="E3434" s="7"/>
      <c r="F3434" s="7"/>
      <c r="G3434" s="9" t="s">
        <v>2322</v>
      </c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</row>
    <row r="3435" spans="1:18" ht="12.75" customHeight="1" x14ac:dyDescent="0.2">
      <c r="A3435" s="7"/>
      <c r="B3435" s="2"/>
      <c r="C3435" s="2"/>
      <c r="D3435" s="2"/>
      <c r="E3435" s="7"/>
      <c r="F3435" s="7"/>
      <c r="G3435" s="9" t="s">
        <v>2322</v>
      </c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</row>
    <row r="3436" spans="1:18" ht="12.75" customHeight="1" x14ac:dyDescent="0.2">
      <c r="A3436" s="7"/>
      <c r="B3436" s="2"/>
      <c r="C3436" s="2"/>
      <c r="D3436" s="2"/>
      <c r="E3436" s="7"/>
      <c r="F3436" s="7"/>
      <c r="G3436" s="9" t="s">
        <v>2322</v>
      </c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</row>
    <row r="3437" spans="1:18" ht="12.75" customHeight="1" x14ac:dyDescent="0.2">
      <c r="A3437" s="7"/>
      <c r="B3437" s="2"/>
      <c r="C3437" s="2"/>
      <c r="D3437" s="2"/>
      <c r="E3437" s="7"/>
      <c r="F3437" s="7"/>
      <c r="G3437" s="9" t="s">
        <v>2322</v>
      </c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</row>
    <row r="3438" spans="1:18" ht="12.75" customHeight="1" x14ac:dyDescent="0.2">
      <c r="A3438" s="7" t="str">
        <f>HYPERLINK("javascript:void(0)","viharpáncél")</f>
        <v>viharpáncél</v>
      </c>
      <c r="B3438" s="7"/>
      <c r="C3438" s="7"/>
      <c r="D3438" s="7"/>
      <c r="E3438" s="7"/>
      <c r="F3438" s="7"/>
      <c r="G3438" s="9" t="s">
        <v>2322</v>
      </c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</row>
    <row r="3439" spans="1:18" ht="12.75" customHeight="1" x14ac:dyDescent="0.2">
      <c r="A3439" s="7"/>
      <c r="B3439" s="2"/>
      <c r="C3439" s="2"/>
      <c r="D3439" s="2"/>
      <c r="E3439" s="7"/>
      <c r="F3439" s="7"/>
      <c r="G3439" s="9" t="s">
        <v>2322</v>
      </c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</row>
    <row r="3440" spans="1:18" ht="12.75" customHeight="1" x14ac:dyDescent="0.2">
      <c r="A3440" s="7"/>
      <c r="B3440" s="2" t="s">
        <v>0</v>
      </c>
      <c r="C3440" s="2" t="s">
        <v>1355</v>
      </c>
      <c r="D3440" s="2"/>
      <c r="E3440" s="7"/>
      <c r="F3440" s="7"/>
      <c r="G3440" s="9" t="s">
        <v>2322</v>
      </c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</row>
    <row r="3441" spans="1:18" ht="12.75" customHeight="1" x14ac:dyDescent="0.2">
      <c r="A3441" s="7"/>
      <c r="B3441" s="2" t="s">
        <v>2</v>
      </c>
      <c r="C3441" s="2" t="s">
        <v>2322</v>
      </c>
      <c r="D3441" s="2"/>
      <c r="E3441" s="7"/>
      <c r="F3441" s="7"/>
      <c r="G3441" s="9" t="s">
        <v>2322</v>
      </c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</row>
    <row r="3442" spans="1:18" ht="12.75" customHeight="1" x14ac:dyDescent="0.2">
      <c r="A3442" s="7"/>
      <c r="B3442" s="2" t="s">
        <v>1840</v>
      </c>
      <c r="C3442" s="2" t="s">
        <v>2574</v>
      </c>
      <c r="D3442" s="2"/>
      <c r="E3442" s="7"/>
      <c r="F3442" s="7"/>
      <c r="G3442" s="9" t="s">
        <v>2322</v>
      </c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</row>
    <row r="3443" spans="1:18" ht="12.75" customHeight="1" x14ac:dyDescent="0.2">
      <c r="A3443" s="7"/>
      <c r="B3443" s="2" t="s">
        <v>9</v>
      </c>
      <c r="C3443" s="2" t="s">
        <v>2492</v>
      </c>
      <c r="D3443" s="2"/>
      <c r="E3443" s="7"/>
      <c r="F3443" s="7"/>
      <c r="G3443" s="9" t="s">
        <v>2322</v>
      </c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</row>
    <row r="3444" spans="1:18" ht="12.75" customHeight="1" x14ac:dyDescent="0.2">
      <c r="A3444" s="7"/>
      <c r="B3444" s="2" t="s">
        <v>11</v>
      </c>
      <c r="C3444" s="2" t="s">
        <v>1203</v>
      </c>
      <c r="D3444" s="2"/>
      <c r="E3444" s="7"/>
      <c r="F3444" s="7"/>
      <c r="G3444" s="9" t="s">
        <v>2322</v>
      </c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</row>
    <row r="3445" spans="1:18" ht="12.75" customHeight="1" x14ac:dyDescent="0.2">
      <c r="A3445" s="7"/>
      <c r="B3445" s="2" t="s">
        <v>16</v>
      </c>
      <c r="C3445" s="2"/>
      <c r="D3445" s="2"/>
      <c r="E3445" s="7"/>
      <c r="F3445" s="7"/>
      <c r="G3445" s="9" t="s">
        <v>2322</v>
      </c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</row>
    <row r="3446" spans="1:18" ht="12.75" customHeight="1" x14ac:dyDescent="0.2">
      <c r="A3446" s="7"/>
      <c r="B3446" s="2" t="s">
        <v>17</v>
      </c>
      <c r="C3446" s="2" t="s">
        <v>19</v>
      </c>
      <c r="D3446" s="2"/>
      <c r="E3446" s="7"/>
      <c r="F3446" s="7"/>
      <c r="G3446" s="9" t="s">
        <v>2322</v>
      </c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</row>
    <row r="3447" spans="1:18" ht="12.75" customHeight="1" x14ac:dyDescent="0.2">
      <c r="A3447" s="7"/>
      <c r="B3447" s="2" t="s">
        <v>18</v>
      </c>
      <c r="C3447" s="2" t="s">
        <v>232</v>
      </c>
      <c r="D3447" s="2" t="str">
        <f>HYPERLINK("javascript:void(0)","agyvihar")</f>
        <v>agyvihar</v>
      </c>
      <c r="E3447" s="7"/>
      <c r="F3447" s="7"/>
      <c r="G3447" s="9" t="s">
        <v>2322</v>
      </c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</row>
    <row r="3448" spans="1:18" ht="12.75" customHeight="1" x14ac:dyDescent="0.2">
      <c r="A3448" s="7"/>
      <c r="B3448" s="2"/>
      <c r="C3448" s="2" t="s">
        <v>132</v>
      </c>
      <c r="D3448" s="2" t="str">
        <f>HYPERLINK("javascript:void(0)","savige")</f>
        <v>savige</v>
      </c>
      <c r="E3448" s="7"/>
      <c r="F3448" s="7"/>
      <c r="G3448" s="9" t="s">
        <v>2322</v>
      </c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</row>
    <row r="3449" spans="1:18" ht="12.75" customHeight="1" x14ac:dyDescent="0.2">
      <c r="A3449" s="7"/>
      <c r="B3449" s="2"/>
      <c r="C3449" s="2" t="s">
        <v>68</v>
      </c>
      <c r="D3449" s="2" t="str">
        <f>HYPERLINK("javascript:void(0)","kártyalap")</f>
        <v>kártyalap</v>
      </c>
      <c r="E3449" s="7"/>
      <c r="F3449" s="7"/>
      <c r="G3449" s="9" t="s">
        <v>2322</v>
      </c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</row>
    <row r="3450" spans="1:18" ht="12.75" customHeight="1" x14ac:dyDescent="0.2">
      <c r="A3450" s="7"/>
      <c r="B3450" s="2"/>
      <c r="C3450" s="2"/>
      <c r="D3450" s="2"/>
      <c r="E3450" s="7"/>
      <c r="F3450" s="7"/>
      <c r="G3450" s="9" t="s">
        <v>2322</v>
      </c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</row>
    <row r="3451" spans="1:18" ht="12.75" customHeight="1" x14ac:dyDescent="0.2">
      <c r="A3451" s="7"/>
      <c r="B3451" s="2"/>
      <c r="C3451" s="2"/>
      <c r="D3451" s="2"/>
      <c r="E3451" s="7"/>
      <c r="F3451" s="7"/>
      <c r="G3451" s="9" t="s">
        <v>2322</v>
      </c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</row>
    <row r="3452" spans="1:18" ht="12.75" customHeight="1" x14ac:dyDescent="0.2">
      <c r="A3452" s="7"/>
      <c r="B3452" s="2"/>
      <c r="C3452" s="2"/>
      <c r="D3452" s="2"/>
      <c r="E3452" s="7"/>
      <c r="F3452" s="7"/>
      <c r="G3452" s="9" t="s">
        <v>2322</v>
      </c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</row>
    <row r="3453" spans="1:18" ht="12.75" customHeight="1" x14ac:dyDescent="0.2">
      <c r="A3453" s="7"/>
      <c r="B3453" s="2"/>
      <c r="C3453" s="2"/>
      <c r="D3453" s="2"/>
      <c r="E3453" s="7"/>
      <c r="F3453" s="7"/>
      <c r="G3453" s="9" t="s">
        <v>2322</v>
      </c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</row>
    <row r="3454" spans="1:18" ht="12.75" customHeight="1" x14ac:dyDescent="0.2">
      <c r="A3454" s="7"/>
      <c r="B3454" s="2"/>
      <c r="C3454" s="2"/>
      <c r="D3454" s="2"/>
      <c r="E3454" s="7"/>
      <c r="F3454" s="7"/>
      <c r="G3454" s="9" t="s">
        <v>2322</v>
      </c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</row>
    <row r="3455" spans="1:18" ht="12.75" customHeight="1" x14ac:dyDescent="0.2">
      <c r="A3455" s="7" t="str">
        <f>HYPERLINK("javascript:void(0)","felhősuba")</f>
        <v>felhősuba</v>
      </c>
      <c r="B3455" s="7"/>
      <c r="C3455" s="7"/>
      <c r="D3455" s="7"/>
      <c r="E3455" s="7"/>
      <c r="F3455" s="7"/>
      <c r="G3455" s="9" t="s">
        <v>2322</v>
      </c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</row>
    <row r="3456" spans="1:18" ht="12.75" customHeight="1" x14ac:dyDescent="0.2">
      <c r="A3456" s="7"/>
      <c r="B3456" s="2"/>
      <c r="C3456" s="2"/>
      <c r="D3456" s="2"/>
      <c r="E3456" s="7"/>
      <c r="F3456" s="7"/>
      <c r="G3456" s="9" t="s">
        <v>2322</v>
      </c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</row>
    <row r="3457" spans="1:18" ht="12.75" customHeight="1" x14ac:dyDescent="0.2">
      <c r="A3457" s="7"/>
      <c r="B3457" s="2" t="s">
        <v>0</v>
      </c>
      <c r="C3457" s="2" t="s">
        <v>1359</v>
      </c>
      <c r="D3457" s="2"/>
      <c r="E3457" s="7"/>
      <c r="F3457" s="7"/>
      <c r="G3457" s="9" t="s">
        <v>2322</v>
      </c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</row>
    <row r="3458" spans="1:18" ht="12.75" customHeight="1" x14ac:dyDescent="0.2">
      <c r="A3458" s="7"/>
      <c r="B3458" s="2" t="s">
        <v>2</v>
      </c>
      <c r="C3458" s="2" t="s">
        <v>2322</v>
      </c>
      <c r="D3458" s="2"/>
      <c r="E3458" s="7"/>
      <c r="F3458" s="7"/>
      <c r="G3458" s="9" t="s">
        <v>2322</v>
      </c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</row>
    <row r="3459" spans="1:18" ht="12.75" customHeight="1" x14ac:dyDescent="0.2">
      <c r="A3459" s="7"/>
      <c r="B3459" s="2" t="s">
        <v>1840</v>
      </c>
      <c r="C3459" s="2" t="s">
        <v>2575</v>
      </c>
      <c r="D3459" s="2"/>
      <c r="E3459" s="7"/>
      <c r="F3459" s="7"/>
      <c r="G3459" s="9" t="s">
        <v>2322</v>
      </c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</row>
    <row r="3460" spans="1:18" ht="12.75" customHeight="1" x14ac:dyDescent="0.2">
      <c r="A3460" s="7"/>
      <c r="B3460" s="2" t="s">
        <v>9</v>
      </c>
      <c r="C3460" s="2" t="s">
        <v>2576</v>
      </c>
      <c r="D3460" s="2"/>
      <c r="E3460" s="7"/>
      <c r="F3460" s="7"/>
      <c r="G3460" s="9" t="s">
        <v>2322</v>
      </c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</row>
    <row r="3461" spans="1:18" ht="12.75" customHeight="1" x14ac:dyDescent="0.2">
      <c r="A3461" s="7"/>
      <c r="B3461" s="2" t="s">
        <v>11</v>
      </c>
      <c r="C3461" s="2" t="s">
        <v>1235</v>
      </c>
      <c r="D3461" s="2"/>
      <c r="E3461" s="7"/>
      <c r="F3461" s="7"/>
      <c r="G3461" s="9" t="s">
        <v>2322</v>
      </c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</row>
    <row r="3462" spans="1:18" ht="12.75" customHeight="1" x14ac:dyDescent="0.2">
      <c r="A3462" s="7"/>
      <c r="B3462" s="2" t="s">
        <v>16</v>
      </c>
      <c r="C3462" s="2"/>
      <c r="D3462" s="2"/>
      <c r="E3462" s="7"/>
      <c r="F3462" s="7"/>
      <c r="G3462" s="9" t="s">
        <v>2322</v>
      </c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</row>
    <row r="3463" spans="1:18" ht="12.75" customHeight="1" x14ac:dyDescent="0.2">
      <c r="A3463" s="7"/>
      <c r="B3463" s="2" t="s">
        <v>17</v>
      </c>
      <c r="C3463" s="2" t="s">
        <v>19</v>
      </c>
      <c r="D3463" s="2"/>
      <c r="E3463" s="7"/>
      <c r="F3463" s="7"/>
      <c r="G3463" s="9" t="s">
        <v>2322</v>
      </c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</row>
    <row r="3464" spans="1:18" ht="12.75" customHeight="1" x14ac:dyDescent="0.2">
      <c r="A3464" s="7"/>
      <c r="B3464" s="2" t="s">
        <v>18</v>
      </c>
      <c r="C3464" s="2" t="s">
        <v>44</v>
      </c>
      <c r="D3464" s="2" t="str">
        <f>HYPERLINK("javascript:void(0)","savas esőkabát")</f>
        <v>savas esőkabát</v>
      </c>
      <c r="E3464" s="7"/>
      <c r="F3464" s="7"/>
      <c r="G3464" s="9" t="s">
        <v>2322</v>
      </c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</row>
    <row r="3465" spans="1:18" ht="12.75" customHeight="1" x14ac:dyDescent="0.2">
      <c r="A3465" s="7"/>
      <c r="B3465" s="2"/>
      <c r="C3465" s="2" t="s">
        <v>44</v>
      </c>
      <c r="D3465" s="2" t="str">
        <f>HYPERLINK("javascript:void(0)","viharpáncél")</f>
        <v>viharpáncél</v>
      </c>
      <c r="E3465" s="7"/>
      <c r="F3465" s="7"/>
      <c r="G3465" s="9" t="s">
        <v>2322</v>
      </c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</row>
    <row r="3466" spans="1:18" ht="12.75" customHeight="1" x14ac:dyDescent="0.2">
      <c r="A3466" s="7"/>
      <c r="B3466" s="2"/>
      <c r="C3466" s="2" t="s">
        <v>67</v>
      </c>
      <c r="D3466" s="2" t="str">
        <f>HYPERLINK("javascript:void(0)","felhőszelet")</f>
        <v>felhőszelet</v>
      </c>
      <c r="E3466" s="7"/>
      <c r="F3466" s="7"/>
      <c r="G3466" s="9" t="s">
        <v>2322</v>
      </c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</row>
    <row r="3467" spans="1:18" ht="12.75" customHeight="1" x14ac:dyDescent="0.2">
      <c r="A3467" s="7"/>
      <c r="B3467" s="2"/>
      <c r="C3467" s="2"/>
      <c r="D3467" s="2"/>
      <c r="E3467" s="7"/>
      <c r="F3467" s="7"/>
      <c r="G3467" s="9" t="s">
        <v>2322</v>
      </c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</row>
    <row r="3468" spans="1:18" ht="12.75" customHeight="1" x14ac:dyDescent="0.2">
      <c r="A3468" s="7"/>
      <c r="B3468" s="2"/>
      <c r="C3468" s="2"/>
      <c r="D3468" s="2"/>
      <c r="E3468" s="7"/>
      <c r="F3468" s="7"/>
      <c r="G3468" s="9" t="s">
        <v>2322</v>
      </c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</row>
    <row r="3469" spans="1:18" ht="12.75" customHeight="1" x14ac:dyDescent="0.2">
      <c r="A3469" s="7"/>
      <c r="B3469" s="2"/>
      <c r="C3469" s="2"/>
      <c r="D3469" s="2"/>
      <c r="E3469" s="7"/>
      <c r="F3469" s="7"/>
      <c r="G3469" s="9" t="s">
        <v>2322</v>
      </c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</row>
    <row r="3470" spans="1:18" ht="12.75" customHeight="1" x14ac:dyDescent="0.2">
      <c r="A3470" s="7"/>
      <c r="B3470" s="2"/>
      <c r="C3470" s="2"/>
      <c r="D3470" s="2"/>
      <c r="E3470" s="7"/>
      <c r="F3470" s="7"/>
      <c r="G3470" s="9" t="s">
        <v>2322</v>
      </c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</row>
    <row r="3471" spans="1:18" ht="12.75" customHeight="1" x14ac:dyDescent="0.2">
      <c r="A3471" s="7"/>
      <c r="B3471" s="2"/>
      <c r="C3471" s="2"/>
      <c r="D3471" s="2"/>
      <c r="E3471" s="7"/>
      <c r="F3471" s="7"/>
      <c r="G3471" s="9" t="s">
        <v>2322</v>
      </c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</row>
    <row r="3472" spans="1:18" ht="12.75" customHeight="1" x14ac:dyDescent="0.2">
      <c r="A3472" s="7" t="str">
        <f>HYPERLINK("javascript:void(0)","védett mellvéd")</f>
        <v>védett mellvéd</v>
      </c>
      <c r="B3472" s="7"/>
      <c r="C3472" s="7"/>
      <c r="D3472" s="7"/>
      <c r="E3472" s="7"/>
      <c r="F3472" s="7"/>
      <c r="G3472" s="9" t="s">
        <v>2322</v>
      </c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</row>
    <row r="3473" spans="1:18" ht="12.75" customHeight="1" x14ac:dyDescent="0.2">
      <c r="A3473" s="7"/>
      <c r="B3473" s="2"/>
      <c r="C3473" s="2"/>
      <c r="D3473" s="2"/>
      <c r="E3473" s="7"/>
      <c r="F3473" s="7"/>
      <c r="G3473" s="9" t="s">
        <v>2322</v>
      </c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</row>
    <row r="3474" spans="1:18" ht="12.75" customHeight="1" x14ac:dyDescent="0.2">
      <c r="A3474" s="7"/>
      <c r="B3474" s="2" t="s">
        <v>0</v>
      </c>
      <c r="C3474" s="2" t="s">
        <v>1362</v>
      </c>
      <c r="D3474" s="2"/>
      <c r="E3474" s="7"/>
      <c r="F3474" s="7"/>
      <c r="G3474" s="9" t="s">
        <v>2322</v>
      </c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</row>
    <row r="3475" spans="1:18" ht="12.75" customHeight="1" x14ac:dyDescent="0.2">
      <c r="A3475" s="7"/>
      <c r="B3475" s="2" t="s">
        <v>2</v>
      </c>
      <c r="C3475" s="2" t="s">
        <v>2322</v>
      </c>
      <c r="D3475" s="2"/>
      <c r="E3475" s="7"/>
      <c r="F3475" s="7"/>
      <c r="G3475" s="9" t="s">
        <v>2322</v>
      </c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</row>
    <row r="3476" spans="1:18" ht="12.75" customHeight="1" x14ac:dyDescent="0.2">
      <c r="A3476" s="7"/>
      <c r="B3476" s="2" t="s">
        <v>1840</v>
      </c>
      <c r="C3476" s="2" t="s">
        <v>2577</v>
      </c>
      <c r="D3476" s="2"/>
      <c r="E3476" s="7"/>
      <c r="F3476" s="7"/>
      <c r="G3476" s="9" t="s">
        <v>2322</v>
      </c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</row>
    <row r="3477" spans="1:18" ht="12.75" customHeight="1" x14ac:dyDescent="0.2">
      <c r="A3477" s="7"/>
      <c r="B3477" s="2" t="s">
        <v>9</v>
      </c>
      <c r="C3477" s="2" t="s">
        <v>2490</v>
      </c>
      <c r="D3477" s="2"/>
      <c r="E3477" s="7"/>
      <c r="F3477" s="7"/>
      <c r="G3477" s="9" t="s">
        <v>2322</v>
      </c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</row>
    <row r="3478" spans="1:18" ht="12.75" customHeight="1" x14ac:dyDescent="0.2">
      <c r="A3478" s="7"/>
      <c r="B3478" s="2" t="s">
        <v>11</v>
      </c>
      <c r="C3478" s="2" t="s">
        <v>1248</v>
      </c>
      <c r="D3478" s="2"/>
      <c r="E3478" s="7"/>
      <c r="F3478" s="7"/>
      <c r="G3478" s="9" t="s">
        <v>2322</v>
      </c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</row>
    <row r="3479" spans="1:18" ht="12.75" customHeight="1" x14ac:dyDescent="0.2">
      <c r="A3479" s="7"/>
      <c r="B3479" s="2" t="s">
        <v>16</v>
      </c>
      <c r="C3479" s="2"/>
      <c r="D3479" s="2"/>
      <c r="E3479" s="7"/>
      <c r="F3479" s="7"/>
      <c r="G3479" s="9" t="s">
        <v>2322</v>
      </c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</row>
    <row r="3480" spans="1:18" ht="12.75" customHeight="1" x14ac:dyDescent="0.2">
      <c r="A3480" s="7"/>
      <c r="B3480" s="2" t="s">
        <v>17</v>
      </c>
      <c r="C3480" s="2" t="s">
        <v>19</v>
      </c>
      <c r="D3480" s="2"/>
      <c r="E3480" s="7"/>
      <c r="F3480" s="7"/>
      <c r="G3480" s="9" t="s">
        <v>2322</v>
      </c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</row>
    <row r="3481" spans="1:18" ht="12.75" customHeight="1" x14ac:dyDescent="0.2">
      <c r="A3481" s="7"/>
      <c r="B3481" s="2" t="s">
        <v>18</v>
      </c>
      <c r="C3481" s="2" t="s">
        <v>44</v>
      </c>
      <c r="D3481" s="2" t="str">
        <f>HYPERLINK("javascript:void(0)","felhősuba")</f>
        <v>felhősuba</v>
      </c>
      <c r="E3481" s="7"/>
      <c r="F3481" s="7"/>
      <c r="G3481" s="9" t="s">
        <v>2322</v>
      </c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</row>
    <row r="3482" spans="1:18" ht="12.75" customHeight="1" x14ac:dyDescent="0.2">
      <c r="A3482" s="7"/>
      <c r="B3482" s="2"/>
      <c r="C3482" s="2" t="s">
        <v>232</v>
      </c>
      <c r="D3482" s="2" t="str">
        <f>HYPERLINK("javascript:void(0)","védjegy")</f>
        <v>védjegy</v>
      </c>
      <c r="E3482" s="7"/>
      <c r="F3482" s="7"/>
      <c r="G3482" s="9" t="s">
        <v>2322</v>
      </c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</row>
    <row r="3483" spans="1:18" ht="12.75" customHeight="1" x14ac:dyDescent="0.2">
      <c r="A3483" s="7"/>
      <c r="B3483" s="2"/>
      <c r="C3483" s="2" t="s">
        <v>382</v>
      </c>
      <c r="D3483" s="2" t="str">
        <f>HYPERLINK("javascript:void(0)","jégige")</f>
        <v>jégige</v>
      </c>
      <c r="E3483" s="7"/>
      <c r="F3483" s="7"/>
      <c r="G3483" s="9" t="s">
        <v>2322</v>
      </c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</row>
    <row r="3484" spans="1:18" ht="12.75" customHeight="1" x14ac:dyDescent="0.2">
      <c r="A3484" s="7"/>
      <c r="B3484" s="2"/>
      <c r="C3484" s="2"/>
      <c r="D3484" s="2"/>
      <c r="E3484" s="7"/>
      <c r="F3484" s="7"/>
      <c r="G3484" s="9" t="s">
        <v>2322</v>
      </c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</row>
    <row r="3485" spans="1:18" ht="12.75" customHeight="1" x14ac:dyDescent="0.2">
      <c r="A3485" s="7"/>
      <c r="B3485" s="2"/>
      <c r="C3485" s="2"/>
      <c r="D3485" s="2"/>
      <c r="E3485" s="7"/>
      <c r="F3485" s="7"/>
      <c r="G3485" s="9" t="s">
        <v>2322</v>
      </c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</row>
    <row r="3486" spans="1:18" ht="12.75" customHeight="1" x14ac:dyDescent="0.2">
      <c r="A3486" s="7"/>
      <c r="B3486" s="2"/>
      <c r="C3486" s="2"/>
      <c r="D3486" s="2"/>
      <c r="E3486" s="7"/>
      <c r="F3486" s="7"/>
      <c r="G3486" s="9" t="s">
        <v>2322</v>
      </c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</row>
    <row r="3487" spans="1:18" ht="12.75" customHeight="1" x14ac:dyDescent="0.2">
      <c r="A3487" s="7"/>
      <c r="B3487" s="2"/>
      <c r="C3487" s="2"/>
      <c r="D3487" s="2"/>
      <c r="E3487" s="7"/>
      <c r="F3487" s="7"/>
      <c r="G3487" s="9" t="s">
        <v>2322</v>
      </c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</row>
    <row r="3488" spans="1:18" ht="12.75" customHeight="1" x14ac:dyDescent="0.2">
      <c r="A3488" s="7"/>
      <c r="B3488" s="2"/>
      <c r="C3488" s="2"/>
      <c r="D3488" s="2"/>
      <c r="E3488" s="7"/>
      <c r="F3488" s="7"/>
      <c r="G3488" s="9" t="s">
        <v>2322</v>
      </c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</row>
    <row r="3489" spans="1:18" ht="12.75" customHeight="1" x14ac:dyDescent="0.2">
      <c r="A3489" s="7" t="str">
        <f>HYPERLINK("javascript:void(0)","nyálláncing")</f>
        <v>nyálláncing</v>
      </c>
      <c r="B3489" s="7"/>
      <c r="C3489" s="7"/>
      <c r="D3489" s="7"/>
      <c r="E3489" s="7"/>
      <c r="F3489" s="7"/>
      <c r="G3489" s="9" t="s">
        <v>2322</v>
      </c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</row>
    <row r="3490" spans="1:18" ht="12.75" customHeight="1" x14ac:dyDescent="0.2">
      <c r="A3490" s="7"/>
      <c r="B3490" s="2"/>
      <c r="C3490" s="2"/>
      <c r="D3490" s="2"/>
      <c r="E3490" s="7"/>
      <c r="F3490" s="7"/>
      <c r="G3490" s="9" t="s">
        <v>2322</v>
      </c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</row>
    <row r="3491" spans="1:18" ht="12.75" customHeight="1" x14ac:dyDescent="0.2">
      <c r="A3491" s="7"/>
      <c r="B3491" s="2" t="s">
        <v>0</v>
      </c>
      <c r="C3491" s="2" t="s">
        <v>256</v>
      </c>
      <c r="D3491" s="2"/>
      <c r="E3491" s="7"/>
      <c r="F3491" s="7"/>
      <c r="G3491" s="9" t="s">
        <v>2322</v>
      </c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</row>
    <row r="3492" spans="1:18" ht="12.75" customHeight="1" x14ac:dyDescent="0.2">
      <c r="A3492" s="7"/>
      <c r="B3492" s="2" t="s">
        <v>2</v>
      </c>
      <c r="C3492" s="2" t="s">
        <v>2322</v>
      </c>
      <c r="D3492" s="2"/>
      <c r="E3492" s="7"/>
      <c r="F3492" s="7"/>
      <c r="G3492" s="9" t="s">
        <v>2322</v>
      </c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</row>
    <row r="3493" spans="1:18" ht="12.75" customHeight="1" x14ac:dyDescent="0.2">
      <c r="A3493" s="7"/>
      <c r="B3493" s="2" t="s">
        <v>1840</v>
      </c>
      <c r="C3493" s="2" t="s">
        <v>2578</v>
      </c>
      <c r="D3493" s="2"/>
      <c r="E3493" s="7"/>
      <c r="F3493" s="7"/>
      <c r="G3493" s="9" t="s">
        <v>2322</v>
      </c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</row>
    <row r="3494" spans="1:18" ht="12.75" customHeight="1" x14ac:dyDescent="0.2">
      <c r="A3494" s="7"/>
      <c r="B3494" s="2" t="s">
        <v>9</v>
      </c>
      <c r="C3494" s="2" t="s">
        <v>2579</v>
      </c>
      <c r="D3494" s="2"/>
      <c r="E3494" s="7"/>
      <c r="F3494" s="7"/>
      <c r="G3494" s="9" t="s">
        <v>2322</v>
      </c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</row>
    <row r="3495" spans="1:18" ht="12.75" customHeight="1" x14ac:dyDescent="0.2">
      <c r="A3495" s="7"/>
      <c r="B3495" s="2" t="s">
        <v>11</v>
      </c>
      <c r="C3495" s="2" t="s">
        <v>1269</v>
      </c>
      <c r="D3495" s="2"/>
      <c r="E3495" s="7"/>
      <c r="F3495" s="7"/>
      <c r="G3495" s="9" t="s">
        <v>2322</v>
      </c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</row>
    <row r="3496" spans="1:18" ht="12.75" customHeight="1" x14ac:dyDescent="0.2">
      <c r="A3496" s="7"/>
      <c r="B3496" s="2" t="s">
        <v>16</v>
      </c>
      <c r="C3496" s="2"/>
      <c r="D3496" s="2"/>
      <c r="E3496" s="7"/>
      <c r="F3496" s="7"/>
      <c r="G3496" s="9" t="s">
        <v>2322</v>
      </c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</row>
    <row r="3497" spans="1:18" ht="12.75" customHeight="1" x14ac:dyDescent="0.2">
      <c r="A3497" s="7"/>
      <c r="B3497" s="2" t="s">
        <v>17</v>
      </c>
      <c r="C3497" s="2" t="s">
        <v>19</v>
      </c>
      <c r="D3497" s="2"/>
      <c r="E3497" s="7"/>
      <c r="F3497" s="7"/>
      <c r="G3497" s="9" t="s">
        <v>2322</v>
      </c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</row>
    <row r="3498" spans="1:18" ht="12.75" customHeight="1" x14ac:dyDescent="0.2">
      <c r="A3498" s="7"/>
      <c r="B3498" s="2" t="s">
        <v>18</v>
      </c>
      <c r="C3498" s="2" t="s">
        <v>280</v>
      </c>
      <c r="D3498" s="2" t="str">
        <f>HYPERLINK("javascript:void(0)","dadacsiganyál")</f>
        <v>dadacsiganyál</v>
      </c>
      <c r="E3498" s="7"/>
      <c r="F3498" s="7"/>
      <c r="G3498" s="9" t="s">
        <v>2322</v>
      </c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</row>
    <row r="3499" spans="1:18" ht="12.75" customHeight="1" x14ac:dyDescent="0.2">
      <c r="A3499" s="7"/>
      <c r="B3499" s="2"/>
      <c r="C3499" s="2" t="s">
        <v>142</v>
      </c>
      <c r="D3499" s="2" t="str">
        <f>HYPERLINK("javascript:void(0)","gumilepedő")</f>
        <v>gumilepedő</v>
      </c>
      <c r="E3499" s="7"/>
      <c r="F3499" s="7"/>
      <c r="G3499" s="9" t="s">
        <v>2322</v>
      </c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</row>
    <row r="3500" spans="1:18" ht="12.75" customHeight="1" x14ac:dyDescent="0.2">
      <c r="A3500" s="7"/>
      <c r="B3500" s="2"/>
      <c r="C3500" s="2" t="s">
        <v>68</v>
      </c>
      <c r="D3500" s="2" t="str">
        <f>HYPERLINK("javascript:void(0)","fiola")</f>
        <v>fiola</v>
      </c>
      <c r="E3500" s="7"/>
      <c r="F3500" s="7"/>
      <c r="G3500" s="9" t="s">
        <v>2322</v>
      </c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</row>
    <row r="3501" spans="1:18" ht="12.75" customHeight="1" x14ac:dyDescent="0.2">
      <c r="A3501" s="7"/>
      <c r="B3501" s="2"/>
      <c r="C3501" s="2"/>
      <c r="D3501" s="2"/>
      <c r="E3501" s="7"/>
      <c r="F3501" s="7"/>
      <c r="G3501" s="9" t="s">
        <v>2322</v>
      </c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</row>
    <row r="3502" spans="1:18" ht="12.75" customHeight="1" x14ac:dyDescent="0.2">
      <c r="A3502" s="7"/>
      <c r="B3502" s="2"/>
      <c r="C3502" s="2"/>
      <c r="D3502" s="2"/>
      <c r="E3502" s="7"/>
      <c r="F3502" s="7"/>
      <c r="G3502" s="9" t="s">
        <v>2322</v>
      </c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</row>
    <row r="3503" spans="1:18" ht="12.75" customHeight="1" x14ac:dyDescent="0.2">
      <c r="A3503" s="7"/>
      <c r="B3503" s="2"/>
      <c r="C3503" s="2"/>
      <c r="D3503" s="2"/>
      <c r="E3503" s="7"/>
      <c r="F3503" s="7"/>
      <c r="G3503" s="9" t="s">
        <v>2322</v>
      </c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</row>
    <row r="3504" spans="1:18" ht="12.75" customHeight="1" x14ac:dyDescent="0.2">
      <c r="A3504" s="7"/>
      <c r="B3504" s="2"/>
      <c r="C3504" s="2"/>
      <c r="D3504" s="2"/>
      <c r="E3504" s="7"/>
      <c r="F3504" s="7"/>
      <c r="G3504" s="9" t="s">
        <v>2322</v>
      </c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</row>
    <row r="3505" spans="1:18" ht="12.75" customHeight="1" x14ac:dyDescent="0.2">
      <c r="A3505" s="7"/>
      <c r="B3505" s="2"/>
      <c r="C3505" s="2"/>
      <c r="D3505" s="2"/>
      <c r="E3505" s="7"/>
      <c r="F3505" s="7"/>
      <c r="G3505" s="9" t="s">
        <v>2322</v>
      </c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</row>
    <row r="3506" spans="1:18" ht="12.75" customHeight="1" x14ac:dyDescent="0.2">
      <c r="A3506" s="7" t="str">
        <f>HYPERLINK("javascript:void(0)","függő láncing")</f>
        <v>függő láncing</v>
      </c>
      <c r="B3506" s="7"/>
      <c r="C3506" s="7"/>
      <c r="D3506" s="7"/>
      <c r="E3506" s="7"/>
      <c r="F3506" s="7"/>
      <c r="G3506" s="9" t="s">
        <v>2322</v>
      </c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</row>
    <row r="3507" spans="1:18" ht="12.75" customHeight="1" x14ac:dyDescent="0.2">
      <c r="A3507" s="7"/>
      <c r="B3507" s="2"/>
      <c r="C3507" s="2"/>
      <c r="D3507" s="2"/>
      <c r="E3507" s="7"/>
      <c r="F3507" s="7"/>
      <c r="G3507" s="9" t="s">
        <v>2322</v>
      </c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</row>
    <row r="3508" spans="1:18" ht="12.75" customHeight="1" x14ac:dyDescent="0.2">
      <c r="A3508" s="7"/>
      <c r="B3508" s="2" t="s">
        <v>0</v>
      </c>
      <c r="C3508" s="2" t="s">
        <v>146</v>
      </c>
      <c r="D3508" s="2"/>
      <c r="E3508" s="7"/>
      <c r="F3508" s="7"/>
      <c r="G3508" s="9" t="s">
        <v>2322</v>
      </c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</row>
    <row r="3509" spans="1:18" ht="12.75" customHeight="1" x14ac:dyDescent="0.2">
      <c r="A3509" s="7"/>
      <c r="B3509" s="2" t="s">
        <v>2</v>
      </c>
      <c r="C3509" s="2" t="s">
        <v>2322</v>
      </c>
      <c r="D3509" s="2"/>
      <c r="E3509" s="7"/>
      <c r="F3509" s="7"/>
      <c r="G3509" s="9" t="s">
        <v>2322</v>
      </c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</row>
    <row r="3510" spans="1:18" ht="12.75" customHeight="1" x14ac:dyDescent="0.2">
      <c r="A3510" s="7"/>
      <c r="B3510" s="2" t="s">
        <v>1840</v>
      </c>
      <c r="C3510" s="2" t="s">
        <v>2580</v>
      </c>
      <c r="D3510" s="2"/>
      <c r="E3510" s="7"/>
      <c r="F3510" s="7"/>
      <c r="G3510" s="9" t="s">
        <v>2322</v>
      </c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</row>
    <row r="3511" spans="1:18" ht="12.75" customHeight="1" x14ac:dyDescent="0.2">
      <c r="A3511" s="7"/>
      <c r="B3511" s="2" t="s">
        <v>9</v>
      </c>
      <c r="C3511" s="2" t="s">
        <v>343</v>
      </c>
      <c r="D3511" s="2"/>
      <c r="E3511" s="7"/>
      <c r="F3511" s="7"/>
      <c r="G3511" s="9" t="s">
        <v>2322</v>
      </c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</row>
    <row r="3512" spans="1:18" ht="12.75" customHeight="1" x14ac:dyDescent="0.2">
      <c r="A3512" s="7"/>
      <c r="B3512" s="2" t="s">
        <v>11</v>
      </c>
      <c r="C3512" s="2" t="s">
        <v>1283</v>
      </c>
      <c r="D3512" s="2"/>
      <c r="E3512" s="7"/>
      <c r="F3512" s="7"/>
      <c r="G3512" s="9" t="s">
        <v>2322</v>
      </c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</row>
    <row r="3513" spans="1:18" ht="12.75" customHeight="1" x14ac:dyDescent="0.2">
      <c r="A3513" s="7"/>
      <c r="B3513" s="2" t="s">
        <v>16</v>
      </c>
      <c r="C3513" s="2"/>
      <c r="D3513" s="2"/>
      <c r="E3513" s="7"/>
      <c r="F3513" s="7"/>
      <c r="G3513" s="9" t="s">
        <v>2322</v>
      </c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</row>
    <row r="3514" spans="1:18" ht="12.75" customHeight="1" x14ac:dyDescent="0.2">
      <c r="A3514" s="7"/>
      <c r="B3514" s="2" t="s">
        <v>17</v>
      </c>
      <c r="C3514" s="2" t="s">
        <v>19</v>
      </c>
      <c r="D3514" s="2"/>
      <c r="E3514" s="7"/>
      <c r="F3514" s="7"/>
      <c r="G3514" s="9" t="s">
        <v>2322</v>
      </c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</row>
    <row r="3515" spans="1:18" ht="12.75" customHeight="1" x14ac:dyDescent="0.2">
      <c r="A3515" s="7"/>
      <c r="B3515" s="2" t="s">
        <v>18</v>
      </c>
      <c r="C3515" s="2" t="s">
        <v>44</v>
      </c>
      <c r="D3515" s="2" t="str">
        <f>HYPERLINK("javascript:void(0)","védett mellvéd")</f>
        <v>védett mellvéd</v>
      </c>
      <c r="E3515" s="7"/>
      <c r="F3515" s="7"/>
      <c r="G3515" s="9" t="s">
        <v>2322</v>
      </c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</row>
    <row r="3516" spans="1:18" ht="12.75" customHeight="1" x14ac:dyDescent="0.2">
      <c r="A3516" s="7"/>
      <c r="B3516" s="2"/>
      <c r="C3516" s="2" t="s">
        <v>44</v>
      </c>
      <c r="D3516" s="2" t="str">
        <f>HYPERLINK("javascript:void(0)","nyálláncing")</f>
        <v>nyálláncing</v>
      </c>
      <c r="E3516" s="7"/>
      <c r="F3516" s="7"/>
      <c r="G3516" s="9" t="s">
        <v>2322</v>
      </c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</row>
    <row r="3517" spans="1:18" ht="12.75" customHeight="1" x14ac:dyDescent="0.2">
      <c r="A3517" s="7"/>
      <c r="B3517" s="2"/>
      <c r="C3517" s="2" t="s">
        <v>193</v>
      </c>
      <c r="D3517" s="2" t="str">
        <f>HYPERLINK("javascript:void(0)","függérték")</f>
        <v>függérték</v>
      </c>
      <c r="E3517" s="7"/>
      <c r="F3517" s="7"/>
      <c r="G3517" s="9" t="s">
        <v>2322</v>
      </c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</row>
    <row r="3518" spans="1:18" ht="12.75" customHeight="1" x14ac:dyDescent="0.2">
      <c r="A3518" s="7"/>
      <c r="B3518" s="2"/>
      <c r="C3518" s="2"/>
      <c r="D3518" s="2"/>
      <c r="E3518" s="7"/>
      <c r="F3518" s="7"/>
      <c r="G3518" s="9" t="s">
        <v>2322</v>
      </c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</row>
    <row r="3519" spans="1:18" ht="12.75" customHeight="1" x14ac:dyDescent="0.2">
      <c r="A3519" s="7"/>
      <c r="B3519" s="2"/>
      <c r="C3519" s="2"/>
      <c r="D3519" s="2"/>
      <c r="E3519" s="7"/>
      <c r="F3519" s="7"/>
      <c r="G3519" s="9" t="s">
        <v>2322</v>
      </c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</row>
    <row r="3520" spans="1:18" ht="12.75" customHeight="1" x14ac:dyDescent="0.2">
      <c r="A3520" s="7"/>
      <c r="B3520" s="2"/>
      <c r="C3520" s="2"/>
      <c r="D3520" s="2"/>
      <c r="E3520" s="7"/>
      <c r="F3520" s="7"/>
      <c r="G3520" s="9" t="s">
        <v>2322</v>
      </c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</row>
    <row r="3521" spans="1:18" ht="12.75" customHeight="1" x14ac:dyDescent="0.2">
      <c r="A3521" s="7"/>
      <c r="B3521" s="2"/>
      <c r="C3521" s="2"/>
      <c r="D3521" s="2"/>
      <c r="E3521" s="7"/>
      <c r="F3521" s="7"/>
      <c r="G3521" s="9" t="s">
        <v>2322</v>
      </c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</row>
    <row r="3522" spans="1:18" ht="12.75" customHeight="1" x14ac:dyDescent="0.2">
      <c r="A3522" s="7"/>
      <c r="B3522" s="2"/>
      <c r="C3522" s="2"/>
      <c r="D3522" s="2"/>
      <c r="E3522" s="7"/>
      <c r="F3522" s="7"/>
      <c r="G3522" s="9" t="s">
        <v>2322</v>
      </c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</row>
    <row r="3523" spans="1:18" ht="12.75" customHeight="1" x14ac:dyDescent="0.2">
      <c r="A3523" s="7" t="str">
        <f>HYPERLINK("javascript:void(0)","ezüst zeke")</f>
        <v>ezüst zeke</v>
      </c>
      <c r="B3523" s="7"/>
      <c r="C3523" s="7"/>
      <c r="D3523" s="7"/>
      <c r="E3523" s="7"/>
      <c r="F3523" s="7"/>
      <c r="G3523" s="9" t="s">
        <v>2322</v>
      </c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</row>
    <row r="3524" spans="1:18" ht="12.75" customHeight="1" x14ac:dyDescent="0.2">
      <c r="A3524" s="7"/>
      <c r="B3524" s="2"/>
      <c r="C3524" s="2"/>
      <c r="D3524" s="2"/>
      <c r="E3524" s="7"/>
      <c r="F3524" s="7"/>
      <c r="G3524" s="9" t="s">
        <v>2322</v>
      </c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</row>
    <row r="3525" spans="1:18" ht="12.75" customHeight="1" x14ac:dyDescent="0.2">
      <c r="A3525" s="7"/>
      <c r="B3525" s="2" t="s">
        <v>0</v>
      </c>
      <c r="C3525" s="2" t="s">
        <v>1373</v>
      </c>
      <c r="D3525" s="2"/>
      <c r="E3525" s="7"/>
      <c r="F3525" s="7"/>
      <c r="G3525" s="9" t="s">
        <v>2322</v>
      </c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</row>
    <row r="3526" spans="1:18" ht="12.75" customHeight="1" x14ac:dyDescent="0.2">
      <c r="A3526" s="7"/>
      <c r="B3526" s="2" t="s">
        <v>2</v>
      </c>
      <c r="C3526" s="2" t="s">
        <v>2322</v>
      </c>
      <c r="D3526" s="2"/>
      <c r="E3526" s="7"/>
      <c r="F3526" s="7"/>
      <c r="G3526" s="9" t="s">
        <v>2322</v>
      </c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</row>
    <row r="3527" spans="1:18" ht="12.75" customHeight="1" x14ac:dyDescent="0.2">
      <c r="A3527" s="7"/>
      <c r="B3527" s="2" t="s">
        <v>1840</v>
      </c>
      <c r="C3527" s="2" t="s">
        <v>2581</v>
      </c>
      <c r="D3527" s="2"/>
      <c r="E3527" s="7"/>
      <c r="F3527" s="7"/>
      <c r="G3527" s="9" t="s">
        <v>2322</v>
      </c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</row>
    <row r="3528" spans="1:18" ht="12.75" customHeight="1" x14ac:dyDescent="0.2">
      <c r="A3528" s="7"/>
      <c r="B3528" s="2" t="s">
        <v>9</v>
      </c>
      <c r="C3528" s="2" t="s">
        <v>1612</v>
      </c>
      <c r="D3528" s="2"/>
      <c r="E3528" s="7"/>
      <c r="F3528" s="7"/>
      <c r="G3528" s="9" t="s">
        <v>2322</v>
      </c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</row>
    <row r="3529" spans="1:18" ht="12.75" customHeight="1" x14ac:dyDescent="0.2">
      <c r="A3529" s="7"/>
      <c r="B3529" s="2" t="s">
        <v>11</v>
      </c>
      <c r="C3529" s="2" t="s">
        <v>1298</v>
      </c>
      <c r="D3529" s="2"/>
      <c r="E3529" s="7"/>
      <c r="F3529" s="7"/>
      <c r="G3529" s="9" t="s">
        <v>2322</v>
      </c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</row>
    <row r="3530" spans="1:18" ht="12.75" customHeight="1" x14ac:dyDescent="0.2">
      <c r="A3530" s="7"/>
      <c r="B3530" s="2" t="s">
        <v>16</v>
      </c>
      <c r="C3530" s="2"/>
      <c r="D3530" s="2"/>
      <c r="E3530" s="7"/>
      <c r="F3530" s="7"/>
      <c r="G3530" s="9" t="s">
        <v>2322</v>
      </c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</row>
    <row r="3531" spans="1:18" ht="12.75" customHeight="1" x14ac:dyDescent="0.2">
      <c r="A3531" s="7"/>
      <c r="B3531" s="2" t="s">
        <v>17</v>
      </c>
      <c r="C3531" s="2" t="s">
        <v>19</v>
      </c>
      <c r="D3531" s="2"/>
      <c r="E3531" s="7"/>
      <c r="F3531" s="7"/>
      <c r="G3531" s="9" t="s">
        <v>2322</v>
      </c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</row>
    <row r="3532" spans="1:18" ht="12.75" customHeight="1" x14ac:dyDescent="0.2">
      <c r="A3532" s="7"/>
      <c r="B3532" s="2" t="s">
        <v>18</v>
      </c>
      <c r="C3532" s="2" t="s">
        <v>44</v>
      </c>
      <c r="D3532" s="2" t="str">
        <f>HYPERLINK("javascript:void(0)","függő láncing")</f>
        <v>függő láncing</v>
      </c>
      <c r="E3532" s="7"/>
      <c r="F3532" s="7"/>
      <c r="G3532" s="9" t="s">
        <v>2322</v>
      </c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</row>
    <row r="3533" spans="1:18" ht="12.75" customHeight="1" x14ac:dyDescent="0.2">
      <c r="A3533" s="7"/>
      <c r="B3533" s="2"/>
      <c r="C3533" s="2" t="s">
        <v>331</v>
      </c>
      <c r="D3533" s="2" t="str">
        <f>HYPERLINK("javascript:void(0)","állásfoglalás")</f>
        <v>állásfoglalás</v>
      </c>
      <c r="E3533" s="7"/>
      <c r="F3533" s="7"/>
      <c r="G3533" s="9" t="s">
        <v>2322</v>
      </c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</row>
    <row r="3534" spans="1:18" ht="12.75" customHeight="1" x14ac:dyDescent="0.2">
      <c r="A3534" s="7"/>
      <c r="B3534" s="2"/>
      <c r="C3534" s="2" t="s">
        <v>280</v>
      </c>
      <c r="D3534" s="2" t="str">
        <f>HYPERLINK("javascript:void(0)","kommunikációképtelenség")</f>
        <v>kommunikációképtelenség</v>
      </c>
      <c r="E3534" s="7"/>
      <c r="F3534" s="7"/>
      <c r="G3534" s="9" t="s">
        <v>2322</v>
      </c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</row>
    <row r="3535" spans="1:18" ht="12.75" customHeight="1" x14ac:dyDescent="0.2">
      <c r="A3535" s="7"/>
      <c r="B3535" s="2"/>
      <c r="C3535" s="2"/>
      <c r="D3535" s="2"/>
      <c r="E3535" s="7"/>
      <c r="F3535" s="7"/>
      <c r="G3535" s="9" t="s">
        <v>2322</v>
      </c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</row>
    <row r="3536" spans="1:18" ht="12.75" customHeight="1" x14ac:dyDescent="0.2">
      <c r="A3536" s="7"/>
      <c r="B3536" s="2"/>
      <c r="C3536" s="2"/>
      <c r="D3536" s="2"/>
      <c r="E3536" s="7"/>
      <c r="F3536" s="7"/>
      <c r="G3536" s="9" t="s">
        <v>2322</v>
      </c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</row>
    <row r="3537" spans="1:18" ht="12.75" customHeight="1" x14ac:dyDescent="0.2">
      <c r="A3537" s="7"/>
      <c r="B3537" s="2"/>
      <c r="C3537" s="2"/>
      <c r="D3537" s="2"/>
      <c r="E3537" s="7"/>
      <c r="F3537" s="7"/>
      <c r="G3537" s="9" t="s">
        <v>2322</v>
      </c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</row>
    <row r="3538" spans="1:18" ht="12.75" customHeight="1" x14ac:dyDescent="0.2">
      <c r="A3538" s="7"/>
      <c r="B3538" s="2"/>
      <c r="C3538" s="2"/>
      <c r="D3538" s="2"/>
      <c r="E3538" s="7"/>
      <c r="F3538" s="7"/>
      <c r="G3538" s="9" t="s">
        <v>2322</v>
      </c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</row>
    <row r="3539" spans="1:18" ht="12.75" customHeight="1" x14ac:dyDescent="0.2">
      <c r="A3539" s="7"/>
      <c r="B3539" s="2"/>
      <c r="C3539" s="2"/>
      <c r="D3539" s="2"/>
      <c r="E3539" s="7"/>
      <c r="F3539" s="7"/>
      <c r="G3539" s="9" t="s">
        <v>2322</v>
      </c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</row>
    <row r="3540" spans="1:18" ht="12.75" customHeight="1" x14ac:dyDescent="0.2">
      <c r="A3540" s="7" t="str">
        <f>HYPERLINK("javascript:void(0)","arany zeke")</f>
        <v>arany zeke</v>
      </c>
      <c r="B3540" s="7"/>
      <c r="C3540" s="7"/>
      <c r="D3540" s="7"/>
      <c r="E3540" s="7"/>
      <c r="F3540" s="7"/>
      <c r="G3540" s="9" t="s">
        <v>2322</v>
      </c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</row>
    <row r="3541" spans="1:18" ht="12.75" customHeight="1" x14ac:dyDescent="0.2">
      <c r="A3541" s="7"/>
      <c r="B3541" s="2"/>
      <c r="C3541" s="2"/>
      <c r="D3541" s="2"/>
      <c r="E3541" s="7"/>
      <c r="F3541" s="7"/>
      <c r="G3541" s="9" t="s">
        <v>2322</v>
      </c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</row>
    <row r="3542" spans="1:18" ht="12.75" customHeight="1" x14ac:dyDescent="0.2">
      <c r="A3542" s="7"/>
      <c r="B3542" s="2" t="s">
        <v>0</v>
      </c>
      <c r="C3542" s="2" t="s">
        <v>1381</v>
      </c>
      <c r="D3542" s="2"/>
      <c r="E3542" s="7"/>
      <c r="F3542" s="7"/>
      <c r="G3542" s="9" t="s">
        <v>2322</v>
      </c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</row>
    <row r="3543" spans="1:18" ht="12.75" customHeight="1" x14ac:dyDescent="0.2">
      <c r="A3543" s="7"/>
      <c r="B3543" s="2" t="s">
        <v>2</v>
      </c>
      <c r="C3543" s="2" t="s">
        <v>2322</v>
      </c>
      <c r="D3543" s="2"/>
      <c r="E3543" s="7"/>
      <c r="F3543" s="7"/>
      <c r="G3543" s="9" t="s">
        <v>2322</v>
      </c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</row>
    <row r="3544" spans="1:18" ht="12.75" customHeight="1" x14ac:dyDescent="0.2">
      <c r="A3544" s="7"/>
      <c r="B3544" s="2" t="s">
        <v>1840</v>
      </c>
      <c r="C3544" s="2" t="s">
        <v>2582</v>
      </c>
      <c r="D3544" s="2"/>
      <c r="E3544" s="7"/>
      <c r="F3544" s="7"/>
      <c r="G3544" s="9" t="s">
        <v>2322</v>
      </c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</row>
    <row r="3545" spans="1:18" ht="12.75" customHeight="1" x14ac:dyDescent="0.2">
      <c r="A3545" s="7"/>
      <c r="B3545" s="2" t="s">
        <v>9</v>
      </c>
      <c r="C3545" s="2" t="s">
        <v>2583</v>
      </c>
      <c r="D3545" s="2"/>
      <c r="E3545" s="7"/>
      <c r="F3545" s="7"/>
      <c r="G3545" s="9" t="s">
        <v>2322</v>
      </c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</row>
    <row r="3546" spans="1:18" ht="12.75" customHeight="1" x14ac:dyDescent="0.2">
      <c r="A3546" s="7"/>
      <c r="B3546" s="2" t="s">
        <v>11</v>
      </c>
      <c r="C3546" s="2" t="s">
        <v>1312</v>
      </c>
      <c r="D3546" s="2"/>
      <c r="E3546" s="7"/>
      <c r="F3546" s="7"/>
      <c r="G3546" s="9" t="s">
        <v>2322</v>
      </c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</row>
    <row r="3547" spans="1:18" ht="12.75" customHeight="1" x14ac:dyDescent="0.2">
      <c r="A3547" s="7"/>
      <c r="B3547" s="2" t="s">
        <v>16</v>
      </c>
      <c r="C3547" s="2"/>
      <c r="D3547" s="2"/>
      <c r="E3547" s="7"/>
      <c r="F3547" s="7"/>
      <c r="G3547" s="9" t="s">
        <v>2322</v>
      </c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</row>
    <row r="3548" spans="1:18" ht="12.75" customHeight="1" x14ac:dyDescent="0.2">
      <c r="A3548" s="7"/>
      <c r="B3548" s="2" t="s">
        <v>17</v>
      </c>
      <c r="C3548" s="2" t="s">
        <v>19</v>
      </c>
      <c r="D3548" s="2"/>
      <c r="E3548" s="7"/>
      <c r="F3548" s="7"/>
      <c r="G3548" s="9" t="s">
        <v>2322</v>
      </c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</row>
    <row r="3549" spans="1:18" ht="12.75" customHeight="1" x14ac:dyDescent="0.2">
      <c r="A3549" s="7"/>
      <c r="B3549" s="2" t="s">
        <v>18</v>
      </c>
      <c r="C3549" s="2" t="s">
        <v>331</v>
      </c>
      <c r="D3549" s="2" t="str">
        <f>HYPERLINK("javascript:void(0)","átokhordozó")</f>
        <v>átokhordozó</v>
      </c>
      <c r="E3549" s="7"/>
      <c r="F3549" s="7"/>
      <c r="G3549" s="9" t="s">
        <v>2322</v>
      </c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</row>
    <row r="3550" spans="1:18" ht="12.75" customHeight="1" x14ac:dyDescent="0.2">
      <c r="A3550" s="7"/>
      <c r="B3550" s="2"/>
      <c r="C3550" s="2" t="s">
        <v>132</v>
      </c>
      <c r="D3550" s="2" t="str">
        <f>HYPERLINK("javascript:void(0)","dobogás")</f>
        <v>dobogás</v>
      </c>
      <c r="E3550" s="7"/>
      <c r="F3550" s="7"/>
      <c r="G3550" s="9" t="s">
        <v>2322</v>
      </c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</row>
    <row r="3551" spans="1:18" ht="12.75" customHeight="1" x14ac:dyDescent="0.2">
      <c r="A3551" s="7"/>
      <c r="B3551" s="2"/>
      <c r="C3551" s="2" t="s">
        <v>296</v>
      </c>
      <c r="D3551" s="2" t="str">
        <f>HYPERLINK("javascript:void(0)","bajuszkötő")</f>
        <v>bajuszkötő</v>
      </c>
      <c r="E3551" s="7"/>
      <c r="F3551" s="7"/>
      <c r="G3551" s="9" t="s">
        <v>2322</v>
      </c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</row>
    <row r="3552" spans="1:18" ht="12.75" customHeight="1" x14ac:dyDescent="0.2">
      <c r="A3552" s="7"/>
      <c r="B3552" s="2"/>
      <c r="C3552" s="2"/>
      <c r="D3552" s="2"/>
      <c r="E3552" s="7"/>
      <c r="F3552" s="7"/>
      <c r="G3552" s="9" t="s">
        <v>2322</v>
      </c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</row>
    <row r="3553" spans="1:18" ht="12.75" customHeight="1" x14ac:dyDescent="0.2">
      <c r="A3553" s="7"/>
      <c r="B3553" s="2"/>
      <c r="C3553" s="2"/>
      <c r="D3553" s="2"/>
      <c r="E3553" s="7"/>
      <c r="F3553" s="7"/>
      <c r="G3553" s="9" t="s">
        <v>2322</v>
      </c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</row>
    <row r="3554" spans="1:18" ht="12.75" customHeight="1" x14ac:dyDescent="0.2">
      <c r="A3554" s="7"/>
      <c r="B3554" s="2"/>
      <c r="C3554" s="2"/>
      <c r="D3554" s="2"/>
      <c r="E3554" s="7"/>
      <c r="F3554" s="7"/>
      <c r="G3554" s="9" t="s">
        <v>2322</v>
      </c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</row>
    <row r="3555" spans="1:18" ht="12.75" customHeight="1" x14ac:dyDescent="0.2">
      <c r="A3555" s="7"/>
      <c r="B3555" s="2"/>
      <c r="C3555" s="2"/>
      <c r="D3555" s="2"/>
      <c r="E3555" s="7"/>
      <c r="F3555" s="7"/>
      <c r="G3555" s="9" t="s">
        <v>2322</v>
      </c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</row>
    <row r="3556" spans="1:18" ht="12.75" customHeight="1" x14ac:dyDescent="0.2">
      <c r="A3556" s="7"/>
      <c r="B3556" s="2"/>
      <c r="C3556" s="2"/>
      <c r="D3556" s="2"/>
      <c r="E3556" s="7"/>
      <c r="F3556" s="7"/>
      <c r="G3556" s="9" t="s">
        <v>2322</v>
      </c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</row>
    <row r="3557" spans="1:18" ht="12.75" customHeight="1" x14ac:dyDescent="0.2">
      <c r="A3557" s="7" t="str">
        <f>HYPERLINK("javascript:void(0)","opál zeke")</f>
        <v>opál zeke</v>
      </c>
      <c r="B3557" s="7"/>
      <c r="C3557" s="7"/>
      <c r="D3557" s="7"/>
      <c r="E3557" s="7"/>
      <c r="F3557" s="7"/>
      <c r="G3557" s="9" t="s">
        <v>2322</v>
      </c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</row>
    <row r="3558" spans="1:18" ht="12.75" customHeight="1" x14ac:dyDescent="0.2">
      <c r="A3558" s="7"/>
      <c r="B3558" s="2"/>
      <c r="C3558" s="2"/>
      <c r="D3558" s="2"/>
      <c r="E3558" s="7"/>
      <c r="F3558" s="7"/>
      <c r="G3558" s="9" t="s">
        <v>2322</v>
      </c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</row>
    <row r="3559" spans="1:18" ht="12.75" customHeight="1" x14ac:dyDescent="0.2">
      <c r="A3559" s="7"/>
      <c r="B3559" s="2" t="s">
        <v>0</v>
      </c>
      <c r="C3559" s="2" t="s">
        <v>1385</v>
      </c>
      <c r="D3559" s="2"/>
      <c r="E3559" s="7"/>
      <c r="F3559" s="7"/>
      <c r="G3559" s="9" t="s">
        <v>2322</v>
      </c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</row>
    <row r="3560" spans="1:18" ht="12.75" customHeight="1" x14ac:dyDescent="0.2">
      <c r="A3560" s="7"/>
      <c r="B3560" s="2" t="s">
        <v>2</v>
      </c>
      <c r="C3560" s="2" t="s">
        <v>2322</v>
      </c>
      <c r="D3560" s="2"/>
      <c r="E3560" s="7"/>
      <c r="F3560" s="7"/>
      <c r="G3560" s="9" t="s">
        <v>2322</v>
      </c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</row>
    <row r="3561" spans="1:18" ht="12.75" customHeight="1" x14ac:dyDescent="0.2">
      <c r="A3561" s="7"/>
      <c r="B3561" s="2" t="s">
        <v>1840</v>
      </c>
      <c r="C3561" s="2" t="s">
        <v>2584</v>
      </c>
      <c r="D3561" s="2"/>
      <c r="E3561" s="7"/>
      <c r="F3561" s="7"/>
      <c r="G3561" s="9" t="s">
        <v>2322</v>
      </c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</row>
    <row r="3562" spans="1:18" ht="12.75" customHeight="1" x14ac:dyDescent="0.2">
      <c r="A3562" s="7"/>
      <c r="B3562" s="2" t="s">
        <v>9</v>
      </c>
      <c r="C3562" s="2" t="s">
        <v>1454</v>
      </c>
      <c r="D3562" s="2"/>
      <c r="E3562" s="7"/>
      <c r="F3562" s="7"/>
      <c r="G3562" s="9" t="s">
        <v>2322</v>
      </c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</row>
    <row r="3563" spans="1:18" ht="12.75" customHeight="1" x14ac:dyDescent="0.2">
      <c r="A3563" s="7"/>
      <c r="B3563" s="2" t="s">
        <v>11</v>
      </c>
      <c r="C3563" s="2" t="s">
        <v>1329</v>
      </c>
      <c r="D3563" s="2"/>
      <c r="E3563" s="7"/>
      <c r="F3563" s="7"/>
      <c r="G3563" s="9" t="s">
        <v>2322</v>
      </c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</row>
    <row r="3564" spans="1:18" ht="12.75" customHeight="1" x14ac:dyDescent="0.2">
      <c r="A3564" s="7"/>
      <c r="B3564" s="2" t="s">
        <v>16</v>
      </c>
      <c r="C3564" s="2"/>
      <c r="D3564" s="2"/>
      <c r="E3564" s="7"/>
      <c r="F3564" s="7"/>
      <c r="G3564" s="9" t="s">
        <v>2322</v>
      </c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</row>
    <row r="3565" spans="1:18" ht="12.75" customHeight="1" x14ac:dyDescent="0.2">
      <c r="A3565" s="7"/>
      <c r="B3565" s="2" t="s">
        <v>17</v>
      </c>
      <c r="C3565" s="2" t="s">
        <v>19</v>
      </c>
      <c r="D3565" s="2"/>
      <c r="E3565" s="7"/>
      <c r="F3565" s="7"/>
      <c r="G3565" s="9" t="s">
        <v>2322</v>
      </c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</row>
    <row r="3566" spans="1:18" ht="12.75" customHeight="1" x14ac:dyDescent="0.2">
      <c r="A3566" s="7"/>
      <c r="B3566" s="2" t="s">
        <v>18</v>
      </c>
      <c r="C3566" s="2" t="s">
        <v>44</v>
      </c>
      <c r="D3566" s="2" t="str">
        <f>HYPERLINK("javascript:void(0)","ezüst zeke")</f>
        <v>ezüst zeke</v>
      </c>
      <c r="E3566" s="7"/>
      <c r="F3566" s="7"/>
      <c r="G3566" s="9" t="s">
        <v>2322</v>
      </c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</row>
    <row r="3567" spans="1:18" ht="12.75" customHeight="1" x14ac:dyDescent="0.2">
      <c r="A3567" s="7"/>
      <c r="B3567" s="2"/>
      <c r="C3567" s="2" t="s">
        <v>44</v>
      </c>
      <c r="D3567" s="2" t="str">
        <f>HYPERLINK("javascript:void(0)","arany zeke")</f>
        <v>arany zeke</v>
      </c>
      <c r="E3567" s="7"/>
      <c r="F3567" s="7"/>
      <c r="G3567" s="9" t="s">
        <v>2322</v>
      </c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</row>
    <row r="3568" spans="1:18" ht="12.75" customHeight="1" x14ac:dyDescent="0.2">
      <c r="A3568" s="7"/>
      <c r="B3568" s="2"/>
      <c r="C3568" s="2" t="s">
        <v>98</v>
      </c>
      <c r="D3568" s="2" t="str">
        <f>HYPERLINK("javascript:void(0)","ködige")</f>
        <v>ködige</v>
      </c>
      <c r="E3568" s="7"/>
      <c r="F3568" s="7"/>
      <c r="G3568" s="9" t="s">
        <v>2322</v>
      </c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</row>
    <row r="3569" spans="1:18" ht="12.75" customHeight="1" x14ac:dyDescent="0.2">
      <c r="A3569" s="7"/>
      <c r="B3569" s="2"/>
      <c r="C3569" s="2"/>
      <c r="D3569" s="2"/>
      <c r="E3569" s="7"/>
      <c r="F3569" s="7"/>
      <c r="G3569" s="9" t="s">
        <v>2322</v>
      </c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</row>
    <row r="3570" spans="1:18" ht="12.75" customHeight="1" x14ac:dyDescent="0.2">
      <c r="A3570" s="7"/>
      <c r="B3570" s="2"/>
      <c r="C3570" s="2"/>
      <c r="D3570" s="2"/>
      <c r="E3570" s="7"/>
      <c r="F3570" s="7"/>
      <c r="G3570" s="9" t="s">
        <v>2322</v>
      </c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</row>
    <row r="3571" spans="1:18" ht="12.75" customHeight="1" x14ac:dyDescent="0.2">
      <c r="A3571" s="7"/>
      <c r="B3571" s="2"/>
      <c r="C3571" s="2"/>
      <c r="D3571" s="2"/>
      <c r="E3571" s="7"/>
      <c r="F3571" s="7"/>
      <c r="G3571" s="9" t="s">
        <v>2322</v>
      </c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</row>
    <row r="3572" spans="1:18" ht="12.75" customHeight="1" x14ac:dyDescent="0.2">
      <c r="A3572" s="7"/>
      <c r="B3572" s="2"/>
      <c r="C3572" s="2"/>
      <c r="D3572" s="2"/>
      <c r="E3572" s="7"/>
      <c r="F3572" s="7"/>
      <c r="G3572" s="9" t="s">
        <v>2322</v>
      </c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</row>
    <row r="3573" spans="1:18" ht="12.75" customHeight="1" x14ac:dyDescent="0.2">
      <c r="A3573" s="7"/>
      <c r="B3573" s="2"/>
      <c r="C3573" s="2"/>
      <c r="D3573" s="2"/>
      <c r="E3573" s="7"/>
      <c r="F3573" s="7"/>
      <c r="G3573" s="9" t="s">
        <v>2322</v>
      </c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</row>
    <row r="3574" spans="1:18" ht="12.75" customHeight="1" x14ac:dyDescent="0.2">
      <c r="A3574" s="7" t="str">
        <f>HYPERLINK("javascript:void(0)","jáspis zeke")</f>
        <v>jáspis zeke</v>
      </c>
      <c r="B3574" s="7"/>
      <c r="C3574" s="7"/>
      <c r="D3574" s="7"/>
      <c r="E3574" s="7"/>
      <c r="F3574" s="7"/>
      <c r="G3574" s="9" t="s">
        <v>2322</v>
      </c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</row>
    <row r="3575" spans="1:18" ht="12.75" customHeight="1" x14ac:dyDescent="0.2">
      <c r="A3575" s="7"/>
      <c r="B3575" s="2"/>
      <c r="C3575" s="2"/>
      <c r="D3575" s="2"/>
      <c r="E3575" s="7"/>
      <c r="F3575" s="7"/>
      <c r="G3575" s="9" t="s">
        <v>2322</v>
      </c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</row>
    <row r="3576" spans="1:18" ht="12.75" customHeight="1" x14ac:dyDescent="0.2">
      <c r="A3576" s="7"/>
      <c r="B3576" s="2" t="s">
        <v>0</v>
      </c>
      <c r="C3576" s="2" t="s">
        <v>1390</v>
      </c>
      <c r="D3576" s="2"/>
      <c r="E3576" s="7"/>
      <c r="F3576" s="7"/>
      <c r="G3576" s="9" t="s">
        <v>2322</v>
      </c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</row>
    <row r="3577" spans="1:18" ht="12.75" customHeight="1" x14ac:dyDescent="0.2">
      <c r="A3577" s="7"/>
      <c r="B3577" s="2" t="s">
        <v>2</v>
      </c>
      <c r="C3577" s="2" t="s">
        <v>2322</v>
      </c>
      <c r="D3577" s="2"/>
      <c r="E3577" s="7"/>
      <c r="F3577" s="7"/>
      <c r="G3577" s="9" t="s">
        <v>2322</v>
      </c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</row>
    <row r="3578" spans="1:18" ht="12.75" customHeight="1" x14ac:dyDescent="0.2">
      <c r="A3578" s="7"/>
      <c r="B3578" s="2" t="s">
        <v>1840</v>
      </c>
      <c r="C3578" s="2" t="s">
        <v>2585</v>
      </c>
      <c r="D3578" s="2"/>
      <c r="E3578" s="7"/>
      <c r="F3578" s="7"/>
      <c r="G3578" s="9" t="s">
        <v>2322</v>
      </c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</row>
    <row r="3579" spans="1:18" ht="12.75" customHeight="1" x14ac:dyDescent="0.2">
      <c r="A3579" s="7"/>
      <c r="B3579" s="2" t="s">
        <v>9</v>
      </c>
      <c r="C3579" s="2" t="s">
        <v>1324</v>
      </c>
      <c r="D3579" s="2"/>
      <c r="E3579" s="7"/>
      <c r="F3579" s="7"/>
      <c r="G3579" s="9" t="s">
        <v>2322</v>
      </c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</row>
    <row r="3580" spans="1:18" ht="12.75" customHeight="1" x14ac:dyDescent="0.2">
      <c r="A3580" s="7"/>
      <c r="B3580" s="2" t="s">
        <v>11</v>
      </c>
      <c r="C3580" s="2" t="s">
        <v>1347</v>
      </c>
      <c r="D3580" s="2"/>
      <c r="E3580" s="7"/>
      <c r="F3580" s="7"/>
      <c r="G3580" s="9" t="s">
        <v>2322</v>
      </c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</row>
    <row r="3581" spans="1:18" ht="12.75" customHeight="1" x14ac:dyDescent="0.2">
      <c r="A3581" s="7"/>
      <c r="B3581" s="2" t="s">
        <v>16</v>
      </c>
      <c r="C3581" s="2"/>
      <c r="D3581" s="2"/>
      <c r="E3581" s="7"/>
      <c r="F3581" s="7"/>
      <c r="G3581" s="9" t="s">
        <v>2322</v>
      </c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</row>
    <row r="3582" spans="1:18" ht="12.75" customHeight="1" x14ac:dyDescent="0.2">
      <c r="A3582" s="7"/>
      <c r="B3582" s="2" t="s">
        <v>17</v>
      </c>
      <c r="C3582" s="2" t="s">
        <v>19</v>
      </c>
      <c r="D3582" s="2"/>
      <c r="E3582" s="7"/>
      <c r="F3582" s="7"/>
      <c r="G3582" s="9" t="s">
        <v>2322</v>
      </c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</row>
    <row r="3583" spans="1:18" ht="12.75" customHeight="1" x14ac:dyDescent="0.2">
      <c r="A3583" s="7"/>
      <c r="B3583" s="2" t="s">
        <v>18</v>
      </c>
      <c r="C3583" s="2" t="s">
        <v>44</v>
      </c>
      <c r="D3583" s="2" t="str">
        <f>HYPERLINK("javascript:void(0)","opál zeke")</f>
        <v>opál zeke</v>
      </c>
      <c r="E3583" s="7"/>
      <c r="F3583" s="7"/>
      <c r="G3583" s="9" t="s">
        <v>2322</v>
      </c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</row>
    <row r="3584" spans="1:18" ht="12.75" customHeight="1" x14ac:dyDescent="0.2">
      <c r="A3584" s="7"/>
      <c r="B3584" s="2"/>
      <c r="C3584" s="2" t="s">
        <v>98</v>
      </c>
      <c r="D3584" s="2" t="str">
        <f>HYPERLINK("javascript:void(0)","pala")</f>
        <v>pala</v>
      </c>
      <c r="E3584" s="7"/>
      <c r="F3584" s="7"/>
      <c r="G3584" s="9" t="s">
        <v>2322</v>
      </c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</row>
    <row r="3585" spans="1:18" ht="12.75" customHeight="1" x14ac:dyDescent="0.2">
      <c r="A3585" s="7"/>
      <c r="B3585" s="2"/>
      <c r="C3585" s="2" t="s">
        <v>163</v>
      </c>
      <c r="D3585" s="2" t="str">
        <f>HYPERLINK("javascript:void(0)","kocka")</f>
        <v>kocka</v>
      </c>
      <c r="E3585" s="7"/>
      <c r="F3585" s="7"/>
      <c r="G3585" s="9" t="s">
        <v>2322</v>
      </c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</row>
    <row r="3586" spans="1:18" ht="12.75" customHeight="1" x14ac:dyDescent="0.2">
      <c r="A3586" s="7"/>
      <c r="B3586" s="2"/>
      <c r="C3586" s="2"/>
      <c r="D3586" s="2"/>
      <c r="E3586" s="7"/>
      <c r="F3586" s="7"/>
      <c r="G3586" s="9" t="s">
        <v>2322</v>
      </c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</row>
    <row r="3587" spans="1:18" ht="12.75" customHeight="1" x14ac:dyDescent="0.2">
      <c r="A3587" s="7"/>
      <c r="B3587" s="2"/>
      <c r="C3587" s="2"/>
      <c r="D3587" s="2"/>
      <c r="E3587" s="7"/>
      <c r="F3587" s="7"/>
      <c r="G3587" s="9" t="s">
        <v>2322</v>
      </c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</row>
    <row r="3588" spans="1:18" ht="12.75" customHeight="1" x14ac:dyDescent="0.2">
      <c r="A3588" s="7"/>
      <c r="B3588" s="2"/>
      <c r="C3588" s="2"/>
      <c r="D3588" s="2"/>
      <c r="E3588" s="7"/>
      <c r="F3588" s="7"/>
      <c r="G3588" s="9" t="s">
        <v>2322</v>
      </c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</row>
    <row r="3589" spans="1:18" ht="12.75" customHeight="1" x14ac:dyDescent="0.2">
      <c r="A3589" s="7"/>
      <c r="B3589" s="2"/>
      <c r="C3589" s="2"/>
      <c r="D3589" s="2"/>
      <c r="E3589" s="7"/>
      <c r="F3589" s="7"/>
      <c r="G3589" s="9" t="s">
        <v>2322</v>
      </c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</row>
    <row r="3590" spans="1:18" ht="12.75" customHeight="1" x14ac:dyDescent="0.2">
      <c r="A3590" s="7"/>
      <c r="B3590" s="2"/>
      <c r="C3590" s="2"/>
      <c r="D3590" s="2"/>
      <c r="E3590" s="7"/>
      <c r="F3590" s="7"/>
      <c r="G3590" s="9" t="s">
        <v>2322</v>
      </c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</row>
    <row r="3591" spans="1:18" ht="12.75" customHeight="1" x14ac:dyDescent="0.2">
      <c r="A3591" s="7" t="str">
        <f>HYPERLINK("javascript:void(0)","smaragd zeke")</f>
        <v>smaragd zeke</v>
      </c>
      <c r="B3591" s="7"/>
      <c r="C3591" s="7"/>
      <c r="D3591" s="7"/>
      <c r="E3591" s="7"/>
      <c r="F3591" s="7"/>
      <c r="G3591" s="9" t="s">
        <v>2322</v>
      </c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</row>
    <row r="3592" spans="1:18" ht="12.75" customHeight="1" x14ac:dyDescent="0.2">
      <c r="A3592" s="7"/>
      <c r="B3592" s="2"/>
      <c r="C3592" s="2"/>
      <c r="D3592" s="2"/>
      <c r="E3592" s="7"/>
      <c r="F3592" s="7"/>
      <c r="G3592" s="9" t="s">
        <v>2322</v>
      </c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</row>
    <row r="3593" spans="1:18" ht="12.75" customHeight="1" x14ac:dyDescent="0.2">
      <c r="A3593" s="7"/>
      <c r="B3593" s="2" t="s">
        <v>0</v>
      </c>
      <c r="C3593" s="2" t="s">
        <v>411</v>
      </c>
      <c r="D3593" s="2"/>
      <c r="E3593" s="7"/>
      <c r="F3593" s="7"/>
      <c r="G3593" s="9" t="s">
        <v>2322</v>
      </c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</row>
    <row r="3594" spans="1:18" ht="12.75" customHeight="1" x14ac:dyDescent="0.2">
      <c r="A3594" s="7"/>
      <c r="B3594" s="2" t="s">
        <v>2</v>
      </c>
      <c r="C3594" s="2" t="s">
        <v>2322</v>
      </c>
      <c r="D3594" s="2"/>
      <c r="E3594" s="7"/>
      <c r="F3594" s="7"/>
      <c r="G3594" s="9" t="s">
        <v>2322</v>
      </c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</row>
    <row r="3595" spans="1:18" ht="12.75" customHeight="1" x14ac:dyDescent="0.2">
      <c r="A3595" s="7"/>
      <c r="B3595" s="2" t="s">
        <v>1840</v>
      </c>
      <c r="C3595" s="2" t="s">
        <v>1881</v>
      </c>
      <c r="D3595" s="2"/>
      <c r="E3595" s="7"/>
      <c r="F3595" s="7"/>
      <c r="G3595" s="9" t="s">
        <v>2322</v>
      </c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</row>
    <row r="3596" spans="1:18" ht="12.75" customHeight="1" x14ac:dyDescent="0.2">
      <c r="A3596" s="7"/>
      <c r="B3596" s="2" t="s">
        <v>9</v>
      </c>
      <c r="C3596" s="2" t="s">
        <v>1562</v>
      </c>
      <c r="D3596" s="2"/>
      <c r="E3596" s="7"/>
      <c r="F3596" s="7"/>
      <c r="G3596" s="9" t="s">
        <v>2322</v>
      </c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</row>
    <row r="3597" spans="1:18" ht="12.75" customHeight="1" x14ac:dyDescent="0.2">
      <c r="A3597" s="7"/>
      <c r="B3597" s="2" t="s">
        <v>11</v>
      </c>
      <c r="C3597" s="2" t="s">
        <v>1425</v>
      </c>
      <c r="D3597" s="2"/>
      <c r="E3597" s="7"/>
      <c r="F3597" s="7"/>
      <c r="G3597" s="9" t="s">
        <v>2322</v>
      </c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</row>
    <row r="3598" spans="1:18" ht="12.75" customHeight="1" x14ac:dyDescent="0.2">
      <c r="A3598" s="7"/>
      <c r="B3598" s="2" t="s">
        <v>16</v>
      </c>
      <c r="C3598" s="2"/>
      <c r="D3598" s="2"/>
      <c r="E3598" s="7"/>
      <c r="F3598" s="7"/>
      <c r="G3598" s="9" t="s">
        <v>2322</v>
      </c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</row>
    <row r="3599" spans="1:18" ht="12.75" customHeight="1" x14ac:dyDescent="0.2">
      <c r="A3599" s="7"/>
      <c r="B3599" s="2" t="s">
        <v>17</v>
      </c>
      <c r="C3599" s="2" t="s">
        <v>19</v>
      </c>
      <c r="D3599" s="2"/>
      <c r="E3599" s="7"/>
      <c r="F3599" s="7"/>
      <c r="G3599" s="9" t="s">
        <v>2322</v>
      </c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</row>
    <row r="3600" spans="1:18" ht="12.75" customHeight="1" x14ac:dyDescent="0.2">
      <c r="A3600" s="7"/>
      <c r="B3600" s="2" t="s">
        <v>18</v>
      </c>
      <c r="C3600" s="2" t="s">
        <v>67</v>
      </c>
      <c r="D3600" s="2" t="str">
        <f>HYPERLINK("javascript:void(0)","kolomp")</f>
        <v>kolomp</v>
      </c>
      <c r="E3600" s="7"/>
      <c r="F3600" s="7"/>
      <c r="G3600" s="9" t="s">
        <v>2322</v>
      </c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</row>
    <row r="3601" spans="1:18" ht="12.75" customHeight="1" x14ac:dyDescent="0.2">
      <c r="A3601" s="7"/>
      <c r="B3601" s="2"/>
      <c r="C3601" s="2" t="s">
        <v>142</v>
      </c>
      <c r="D3601" s="2" t="str">
        <f>HYPERLINK("javascript:void(0)","pásztorbot")</f>
        <v>pásztorbot</v>
      </c>
      <c r="E3601" s="7"/>
      <c r="F3601" s="7"/>
      <c r="G3601" s="9" t="s">
        <v>2322</v>
      </c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</row>
    <row r="3602" spans="1:18" ht="12.75" customHeight="1" x14ac:dyDescent="0.2">
      <c r="A3602" s="7"/>
      <c r="B3602" s="2"/>
      <c r="C3602" s="2" t="s">
        <v>280</v>
      </c>
      <c r="D3602" s="2" t="str">
        <f>HYPERLINK("javascript:void(0)","jégige")</f>
        <v>jégige</v>
      </c>
      <c r="E3602" s="7"/>
      <c r="F3602" s="7"/>
      <c r="G3602" s="9" t="s">
        <v>2322</v>
      </c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</row>
    <row r="3603" spans="1:18" ht="12.75" customHeight="1" x14ac:dyDescent="0.2">
      <c r="A3603" s="7"/>
      <c r="B3603" s="2"/>
      <c r="C3603" s="2"/>
      <c r="D3603" s="2"/>
      <c r="E3603" s="7"/>
      <c r="F3603" s="7"/>
      <c r="G3603" s="9" t="s">
        <v>2322</v>
      </c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</row>
    <row r="3604" spans="1:18" ht="12.75" customHeight="1" x14ac:dyDescent="0.2">
      <c r="A3604" s="7"/>
      <c r="B3604" s="2"/>
      <c r="C3604" s="2"/>
      <c r="D3604" s="2"/>
      <c r="E3604" s="7"/>
      <c r="F3604" s="7"/>
      <c r="G3604" s="9" t="s">
        <v>2322</v>
      </c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</row>
    <row r="3605" spans="1:18" ht="12.75" customHeight="1" x14ac:dyDescent="0.2">
      <c r="A3605" s="7"/>
      <c r="B3605" s="2"/>
      <c r="C3605" s="2"/>
      <c r="D3605" s="2"/>
      <c r="E3605" s="7"/>
      <c r="F3605" s="7"/>
      <c r="G3605" s="9" t="s">
        <v>2322</v>
      </c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</row>
    <row r="3606" spans="1:18" ht="12.75" customHeight="1" x14ac:dyDescent="0.2">
      <c r="A3606" s="7"/>
      <c r="B3606" s="2"/>
      <c r="C3606" s="2"/>
      <c r="D3606" s="2"/>
      <c r="E3606" s="7"/>
      <c r="F3606" s="7"/>
      <c r="G3606" s="9" t="s">
        <v>2322</v>
      </c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</row>
    <row r="3607" spans="1:18" ht="12.75" customHeight="1" x14ac:dyDescent="0.2">
      <c r="A3607" s="7"/>
      <c r="B3607" s="2"/>
      <c r="C3607" s="2"/>
      <c r="D3607" s="2"/>
      <c r="E3607" s="7"/>
      <c r="F3607" s="7"/>
      <c r="G3607" s="9" t="s">
        <v>2322</v>
      </c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</row>
    <row r="3608" spans="1:18" ht="12.75" customHeight="1" x14ac:dyDescent="0.2">
      <c r="A3608" s="7" t="str">
        <f>HYPERLINK("javascript:void(0)","rubin zeke")</f>
        <v>rubin zeke</v>
      </c>
      <c r="B3608" s="7"/>
      <c r="C3608" s="7"/>
      <c r="D3608" s="7"/>
      <c r="E3608" s="7"/>
      <c r="F3608" s="7"/>
      <c r="G3608" s="9" t="s">
        <v>2322</v>
      </c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</row>
    <row r="3609" spans="1:18" ht="12.75" customHeight="1" x14ac:dyDescent="0.2">
      <c r="A3609" s="7"/>
      <c r="B3609" s="2"/>
      <c r="C3609" s="2"/>
      <c r="D3609" s="2"/>
      <c r="E3609" s="7"/>
      <c r="F3609" s="7"/>
      <c r="G3609" s="9" t="s">
        <v>2322</v>
      </c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</row>
    <row r="3610" spans="1:18" ht="12.75" customHeight="1" x14ac:dyDescent="0.2">
      <c r="A3610" s="7"/>
      <c r="B3610" s="2" t="s">
        <v>0</v>
      </c>
      <c r="C3610" s="2" t="s">
        <v>1400</v>
      </c>
      <c r="D3610" s="2"/>
      <c r="E3610" s="7"/>
      <c r="F3610" s="7"/>
      <c r="G3610" s="9" t="s">
        <v>2322</v>
      </c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</row>
    <row r="3611" spans="1:18" ht="12.75" customHeight="1" x14ac:dyDescent="0.2">
      <c r="A3611" s="7"/>
      <c r="B3611" s="2" t="s">
        <v>2</v>
      </c>
      <c r="C3611" s="2" t="s">
        <v>2322</v>
      </c>
      <c r="D3611" s="2"/>
      <c r="E3611" s="7"/>
      <c r="F3611" s="7"/>
      <c r="G3611" s="9" t="s">
        <v>2322</v>
      </c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</row>
    <row r="3612" spans="1:18" ht="12.75" customHeight="1" x14ac:dyDescent="0.2">
      <c r="A3612" s="7"/>
      <c r="B3612" s="2" t="s">
        <v>1840</v>
      </c>
      <c r="C3612" s="2" t="s">
        <v>2586</v>
      </c>
      <c r="D3612" s="2"/>
      <c r="E3612" s="7"/>
      <c r="F3612" s="7"/>
      <c r="G3612" s="9" t="s">
        <v>2322</v>
      </c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</row>
    <row r="3613" spans="1:18" ht="12.75" customHeight="1" x14ac:dyDescent="0.2">
      <c r="A3613" s="7"/>
      <c r="B3613" s="2" t="s">
        <v>9</v>
      </c>
      <c r="C3613" s="2" t="s">
        <v>2118</v>
      </c>
      <c r="D3613" s="2"/>
      <c r="E3613" s="7"/>
      <c r="F3613" s="7"/>
      <c r="G3613" s="9" t="s">
        <v>2322</v>
      </c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</row>
    <row r="3614" spans="1:18" ht="12.75" customHeight="1" x14ac:dyDescent="0.2">
      <c r="A3614" s="7"/>
      <c r="B3614" s="2" t="s">
        <v>11</v>
      </c>
      <c r="C3614" s="2" t="s">
        <v>2587</v>
      </c>
      <c r="D3614" s="2"/>
      <c r="E3614" s="7"/>
      <c r="F3614" s="7"/>
      <c r="G3614" s="9" t="s">
        <v>2322</v>
      </c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</row>
    <row r="3615" spans="1:18" ht="12.75" customHeight="1" x14ac:dyDescent="0.2">
      <c r="A3615" s="7"/>
      <c r="B3615" s="2" t="s">
        <v>16</v>
      </c>
      <c r="C3615" s="2"/>
      <c r="D3615" s="2"/>
      <c r="E3615" s="7"/>
      <c r="F3615" s="7"/>
      <c r="G3615" s="9" t="s">
        <v>2322</v>
      </c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</row>
    <row r="3616" spans="1:18" ht="12.75" customHeight="1" x14ac:dyDescent="0.2">
      <c r="A3616" s="7"/>
      <c r="B3616" s="2" t="s">
        <v>17</v>
      </c>
      <c r="C3616" s="2" t="s">
        <v>19</v>
      </c>
      <c r="D3616" s="2"/>
      <c r="E3616" s="7"/>
      <c r="F3616" s="7"/>
      <c r="G3616" s="9" t="s">
        <v>2322</v>
      </c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</row>
    <row r="3617" spans="1:18" ht="12.75" customHeight="1" x14ac:dyDescent="0.2">
      <c r="A3617" s="7"/>
      <c r="B3617" s="2" t="s">
        <v>18</v>
      </c>
      <c r="C3617" s="2" t="s">
        <v>44</v>
      </c>
      <c r="D3617" s="2" t="str">
        <f>HYPERLINK("javascript:void(0)","jáspis zeke")</f>
        <v>jáspis zeke</v>
      </c>
      <c r="E3617" s="7"/>
      <c r="F3617" s="7"/>
      <c r="G3617" s="9" t="s">
        <v>2322</v>
      </c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</row>
    <row r="3618" spans="1:18" ht="12.75" customHeight="1" x14ac:dyDescent="0.2">
      <c r="A3618" s="7"/>
      <c r="B3618" s="2"/>
      <c r="C3618" s="2" t="s">
        <v>44</v>
      </c>
      <c r="D3618" s="2" t="str">
        <f>HYPERLINK("javascript:void(0)","smaragd zeke")</f>
        <v>smaragd zeke</v>
      </c>
      <c r="E3618" s="7"/>
      <c r="F3618" s="7"/>
      <c r="G3618" s="9" t="s">
        <v>2322</v>
      </c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</row>
    <row r="3619" spans="1:18" ht="12.75" customHeight="1" x14ac:dyDescent="0.2">
      <c r="A3619" s="7"/>
      <c r="B3619" s="2"/>
      <c r="C3619" s="2" t="s">
        <v>139</v>
      </c>
      <c r="D3619" s="2" t="str">
        <f>HYPERLINK("javascript:void(0)","hangfogó")</f>
        <v>hangfogó</v>
      </c>
      <c r="E3619" s="7"/>
      <c r="F3619" s="7"/>
      <c r="G3619" s="9" t="s">
        <v>2322</v>
      </c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</row>
    <row r="3620" spans="1:18" ht="12.75" customHeight="1" x14ac:dyDescent="0.2">
      <c r="A3620" s="7"/>
      <c r="B3620" s="2"/>
      <c r="C3620" s="2"/>
      <c r="D3620" s="2"/>
      <c r="E3620" s="7"/>
      <c r="F3620" s="7"/>
      <c r="G3620" s="9" t="s">
        <v>2322</v>
      </c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</row>
    <row r="3621" spans="1:18" ht="12.75" customHeight="1" x14ac:dyDescent="0.2">
      <c r="A3621" s="7"/>
      <c r="B3621" s="2"/>
      <c r="C3621" s="2"/>
      <c r="D3621" s="2"/>
      <c r="E3621" s="7"/>
      <c r="F3621" s="7"/>
      <c r="G3621" s="9" t="s">
        <v>2322</v>
      </c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</row>
    <row r="3622" spans="1:18" ht="12.75" customHeight="1" x14ac:dyDescent="0.2">
      <c r="A3622" s="7"/>
      <c r="B3622" s="2"/>
      <c r="C3622" s="2"/>
      <c r="D3622" s="2"/>
      <c r="E3622" s="7"/>
      <c r="F3622" s="7"/>
      <c r="G3622" s="9" t="s">
        <v>2322</v>
      </c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</row>
    <row r="3623" spans="1:18" ht="12.75" customHeight="1" x14ac:dyDescent="0.2">
      <c r="A3623" s="7"/>
      <c r="B3623" s="2"/>
      <c r="C3623" s="2"/>
      <c r="D3623" s="2"/>
      <c r="E3623" s="7"/>
      <c r="F3623" s="7"/>
      <c r="G3623" s="9" t="s">
        <v>2322</v>
      </c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</row>
    <row r="3624" spans="1:18" ht="12.75" customHeight="1" x14ac:dyDescent="0.2">
      <c r="A3624" s="7"/>
      <c r="B3624" s="2"/>
      <c r="C3624" s="2"/>
      <c r="D3624" s="2"/>
      <c r="E3624" s="7"/>
      <c r="F3624" s="7"/>
      <c r="G3624" s="9" t="s">
        <v>2322</v>
      </c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</row>
    <row r="3625" spans="1:18" ht="12.75" customHeight="1" x14ac:dyDescent="0.2">
      <c r="A3625" s="7" t="str">
        <f>HYPERLINK("javascript:void(0)","gyöngy zeke")</f>
        <v>gyöngy zeke</v>
      </c>
      <c r="B3625" s="7"/>
      <c r="C3625" s="7"/>
      <c r="D3625" s="7"/>
      <c r="E3625" s="7"/>
      <c r="F3625" s="7"/>
      <c r="G3625" s="9" t="s">
        <v>2322</v>
      </c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</row>
    <row r="3626" spans="1:18" ht="12.75" customHeight="1" x14ac:dyDescent="0.2">
      <c r="A3626" s="7"/>
      <c r="B3626" s="2"/>
      <c r="C3626" s="2"/>
      <c r="D3626" s="2"/>
      <c r="E3626" s="7"/>
      <c r="F3626" s="7"/>
      <c r="G3626" s="9" t="s">
        <v>2322</v>
      </c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</row>
    <row r="3627" spans="1:18" ht="12.75" customHeight="1" x14ac:dyDescent="0.2">
      <c r="A3627" s="7"/>
      <c r="B3627" s="2" t="s">
        <v>0</v>
      </c>
      <c r="C3627" s="2" t="s">
        <v>1406</v>
      </c>
      <c r="D3627" s="2"/>
      <c r="E3627" s="7"/>
      <c r="F3627" s="7"/>
      <c r="G3627" s="9" t="s">
        <v>2322</v>
      </c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</row>
    <row r="3628" spans="1:18" ht="12.75" customHeight="1" x14ac:dyDescent="0.2">
      <c r="A3628" s="7"/>
      <c r="B3628" s="2" t="s">
        <v>2</v>
      </c>
      <c r="C3628" s="2" t="s">
        <v>2322</v>
      </c>
      <c r="D3628" s="2"/>
      <c r="E3628" s="7"/>
      <c r="F3628" s="7"/>
      <c r="G3628" s="9" t="s">
        <v>2322</v>
      </c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</row>
    <row r="3629" spans="1:18" ht="12.75" customHeight="1" x14ac:dyDescent="0.2">
      <c r="A3629" s="7"/>
      <c r="B3629" s="2" t="s">
        <v>1840</v>
      </c>
      <c r="C3629" s="2" t="s">
        <v>747</v>
      </c>
      <c r="D3629" s="2"/>
      <c r="E3629" s="7"/>
      <c r="F3629" s="7"/>
      <c r="G3629" s="9" t="s">
        <v>2322</v>
      </c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</row>
    <row r="3630" spans="1:18" ht="12.75" customHeight="1" x14ac:dyDescent="0.2">
      <c r="A3630" s="7"/>
      <c r="B3630" s="2" t="s">
        <v>9</v>
      </c>
      <c r="C3630" s="2" t="s">
        <v>913</v>
      </c>
      <c r="D3630" s="2"/>
      <c r="E3630" s="7"/>
      <c r="F3630" s="7"/>
      <c r="G3630" s="9" t="s">
        <v>2322</v>
      </c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</row>
    <row r="3631" spans="1:18" ht="12.75" customHeight="1" x14ac:dyDescent="0.2">
      <c r="A3631" s="7"/>
      <c r="B3631" s="2" t="s">
        <v>11</v>
      </c>
      <c r="C3631" s="2" t="s">
        <v>2588</v>
      </c>
      <c r="D3631" s="2"/>
      <c r="E3631" s="7"/>
      <c r="F3631" s="7"/>
      <c r="G3631" s="9" t="s">
        <v>2322</v>
      </c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</row>
    <row r="3632" spans="1:18" ht="12.75" customHeight="1" x14ac:dyDescent="0.2">
      <c r="A3632" s="7"/>
      <c r="B3632" s="2" t="s">
        <v>16</v>
      </c>
      <c r="C3632" s="2"/>
      <c r="D3632" s="2"/>
      <c r="E3632" s="7"/>
      <c r="F3632" s="7"/>
      <c r="G3632" s="9" t="s">
        <v>2322</v>
      </c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</row>
    <row r="3633" spans="1:18" ht="12.75" customHeight="1" x14ac:dyDescent="0.2">
      <c r="A3633" s="7"/>
      <c r="B3633" s="2" t="s">
        <v>17</v>
      </c>
      <c r="C3633" s="2" t="s">
        <v>19</v>
      </c>
      <c r="D3633" s="2"/>
      <c r="E3633" s="7"/>
      <c r="F3633" s="7"/>
      <c r="G3633" s="9" t="s">
        <v>2322</v>
      </c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</row>
    <row r="3634" spans="1:18" ht="12.75" customHeight="1" x14ac:dyDescent="0.2">
      <c r="A3634" s="7"/>
      <c r="B3634" s="2" t="s">
        <v>18</v>
      </c>
      <c r="C3634" s="2" t="s">
        <v>44</v>
      </c>
      <c r="D3634" s="2" t="str">
        <f>HYPERLINK("javascript:void(0)","rubin zeke")</f>
        <v>rubin zeke</v>
      </c>
      <c r="E3634" s="7"/>
      <c r="F3634" s="7"/>
      <c r="G3634" s="9" t="s">
        <v>2322</v>
      </c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</row>
    <row r="3635" spans="1:18" ht="12.75" customHeight="1" x14ac:dyDescent="0.2">
      <c r="A3635" s="7"/>
      <c r="B3635" s="2"/>
      <c r="C3635" s="2" t="s">
        <v>117</v>
      </c>
      <c r="D3635" s="2" t="str">
        <f>HYPERLINK("javascript:void(0)","animált ige")</f>
        <v>animált ige</v>
      </c>
      <c r="E3635" s="7"/>
      <c r="F3635" s="7"/>
      <c r="G3635" s="9" t="s">
        <v>2322</v>
      </c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</row>
    <row r="3636" spans="1:18" ht="12.75" customHeight="1" x14ac:dyDescent="0.2">
      <c r="A3636" s="7"/>
      <c r="B3636" s="2"/>
      <c r="C3636" s="2" t="s">
        <v>193</v>
      </c>
      <c r="D3636" s="2" t="str">
        <f>HYPERLINK("javascript:void(0)","gumilepedő")</f>
        <v>gumilepedő</v>
      </c>
      <c r="E3636" s="7"/>
      <c r="F3636" s="7"/>
      <c r="G3636" s="9" t="s">
        <v>2322</v>
      </c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</row>
    <row r="3637" spans="1:18" ht="12.75" customHeight="1" x14ac:dyDescent="0.2">
      <c r="A3637" s="7"/>
      <c r="B3637" s="2"/>
      <c r="C3637" s="2"/>
      <c r="D3637" s="2"/>
      <c r="E3637" s="7"/>
      <c r="F3637" s="7"/>
      <c r="G3637" s="9" t="s">
        <v>2322</v>
      </c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</row>
    <row r="3638" spans="1:18" ht="12.75" customHeight="1" x14ac:dyDescent="0.2">
      <c r="A3638" s="7"/>
      <c r="B3638" s="2"/>
      <c r="C3638" s="2"/>
      <c r="D3638" s="2"/>
      <c r="E3638" s="7"/>
      <c r="F3638" s="7"/>
      <c r="G3638" s="9" t="s">
        <v>2322</v>
      </c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</row>
    <row r="3639" spans="1:18" ht="12.75" customHeight="1" x14ac:dyDescent="0.2">
      <c r="A3639" s="7"/>
      <c r="B3639" s="2"/>
      <c r="C3639" s="2"/>
      <c r="D3639" s="2"/>
      <c r="E3639" s="7"/>
      <c r="F3639" s="7"/>
      <c r="G3639" s="9" t="s">
        <v>2322</v>
      </c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</row>
    <row r="3640" spans="1:18" ht="12.75" customHeight="1" x14ac:dyDescent="0.2">
      <c r="A3640" s="7"/>
      <c r="B3640" s="2"/>
      <c r="C3640" s="2"/>
      <c r="D3640" s="2"/>
      <c r="E3640" s="7"/>
      <c r="F3640" s="7"/>
      <c r="G3640" s="9" t="s">
        <v>2322</v>
      </c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</row>
    <row r="3641" spans="1:18" ht="12.75" customHeight="1" x14ac:dyDescent="0.2">
      <c r="A3641" s="7"/>
      <c r="B3641" s="2"/>
      <c r="C3641" s="2"/>
      <c r="D3641" s="2"/>
      <c r="E3641" s="7"/>
      <c r="F3641" s="7"/>
      <c r="G3641" s="9" t="s">
        <v>2322</v>
      </c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</row>
    <row r="3642" spans="1:18" ht="12.75" customHeight="1" x14ac:dyDescent="0.2">
      <c r="A3642" s="7" t="str">
        <f>HYPERLINK("javascript:void(0)","bronz zeke")</f>
        <v>bronz zeke</v>
      </c>
      <c r="B3642" s="7"/>
      <c r="C3642" s="7"/>
      <c r="D3642" s="7"/>
      <c r="E3642" s="7"/>
      <c r="F3642" s="7"/>
      <c r="G3642" s="9" t="s">
        <v>2322</v>
      </c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</row>
    <row r="3643" spans="1:18" ht="12.75" customHeight="1" x14ac:dyDescent="0.2">
      <c r="A3643" s="7"/>
      <c r="B3643" s="2"/>
      <c r="C3643" s="2"/>
      <c r="D3643" s="2"/>
      <c r="E3643" s="7"/>
      <c r="F3643" s="7"/>
      <c r="G3643" s="9" t="s">
        <v>2322</v>
      </c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</row>
    <row r="3644" spans="1:18" ht="12.75" customHeight="1" x14ac:dyDescent="0.2">
      <c r="A3644" s="7"/>
      <c r="B3644" s="2" t="s">
        <v>0</v>
      </c>
      <c r="C3644" s="2" t="s">
        <v>1412</v>
      </c>
      <c r="D3644" s="2"/>
      <c r="E3644" s="7"/>
      <c r="F3644" s="7"/>
      <c r="G3644" s="9" t="s">
        <v>2322</v>
      </c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</row>
    <row r="3645" spans="1:18" ht="12.75" customHeight="1" x14ac:dyDescent="0.2">
      <c r="A3645" s="7"/>
      <c r="B3645" s="2" t="s">
        <v>2</v>
      </c>
      <c r="C3645" s="2" t="s">
        <v>2322</v>
      </c>
      <c r="D3645" s="2"/>
      <c r="E3645" s="7"/>
      <c r="F3645" s="7"/>
      <c r="G3645" s="9" t="s">
        <v>2322</v>
      </c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</row>
    <row r="3646" spans="1:18" ht="12.75" customHeight="1" x14ac:dyDescent="0.2">
      <c r="A3646" s="7"/>
      <c r="B3646" s="2" t="s">
        <v>1840</v>
      </c>
      <c r="C3646" s="2" t="s">
        <v>2589</v>
      </c>
      <c r="D3646" s="2"/>
      <c r="E3646" s="7"/>
      <c r="F3646" s="7"/>
      <c r="G3646" s="9" t="s">
        <v>2322</v>
      </c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</row>
    <row r="3647" spans="1:18" ht="12.75" customHeight="1" x14ac:dyDescent="0.2">
      <c r="A3647" s="7"/>
      <c r="B3647" s="2" t="s">
        <v>9</v>
      </c>
      <c r="C3647" s="2" t="s">
        <v>1279</v>
      </c>
      <c r="D3647" s="2"/>
      <c r="E3647" s="7"/>
      <c r="F3647" s="7"/>
      <c r="G3647" s="9" t="s">
        <v>2322</v>
      </c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</row>
    <row r="3648" spans="1:18" ht="12.75" customHeight="1" x14ac:dyDescent="0.2">
      <c r="A3648" s="7"/>
      <c r="B3648" s="2" t="s">
        <v>11</v>
      </c>
      <c r="C3648" s="2" t="s">
        <v>2590</v>
      </c>
      <c r="D3648" s="2"/>
      <c r="E3648" s="7"/>
      <c r="F3648" s="7"/>
      <c r="G3648" s="9" t="s">
        <v>2322</v>
      </c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</row>
    <row r="3649" spans="1:18" ht="12.75" customHeight="1" x14ac:dyDescent="0.2">
      <c r="A3649" s="7"/>
      <c r="B3649" s="2" t="s">
        <v>16</v>
      </c>
      <c r="C3649" s="2"/>
      <c r="D3649" s="2"/>
      <c r="E3649" s="7"/>
      <c r="F3649" s="7"/>
      <c r="G3649" s="9" t="s">
        <v>2322</v>
      </c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</row>
    <row r="3650" spans="1:18" ht="12.75" customHeight="1" x14ac:dyDescent="0.2">
      <c r="A3650" s="7"/>
      <c r="B3650" s="2" t="s">
        <v>17</v>
      </c>
      <c r="C3650" s="2" t="s">
        <v>19</v>
      </c>
      <c r="D3650" s="2"/>
      <c r="E3650" s="7"/>
      <c r="F3650" s="7"/>
      <c r="G3650" s="9" t="s">
        <v>2322</v>
      </c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</row>
    <row r="3651" spans="1:18" ht="12.75" customHeight="1" x14ac:dyDescent="0.2">
      <c r="A3651" s="7"/>
      <c r="B3651" s="2" t="s">
        <v>18</v>
      </c>
      <c r="C3651" s="2" t="s">
        <v>117</v>
      </c>
      <c r="D3651" s="2" t="str">
        <f>HYPERLINK("javascript:void(0)","torzító")</f>
        <v>torzító</v>
      </c>
      <c r="E3651" s="7"/>
      <c r="F3651" s="7"/>
      <c r="G3651" s="9" t="s">
        <v>2322</v>
      </c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</row>
    <row r="3652" spans="1:18" ht="12.75" customHeight="1" x14ac:dyDescent="0.2">
      <c r="A3652" s="7"/>
      <c r="B3652" s="2"/>
      <c r="C3652" s="2" t="s">
        <v>398</v>
      </c>
      <c r="D3652" s="2" t="str">
        <f>HYPERLINK("javascript:void(0)","pengeszálka")</f>
        <v>pengeszálka</v>
      </c>
      <c r="E3652" s="7"/>
      <c r="F3652" s="7"/>
      <c r="G3652" s="9" t="s">
        <v>2322</v>
      </c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</row>
    <row r="3653" spans="1:18" ht="12.75" customHeight="1" x14ac:dyDescent="0.2">
      <c r="A3653" s="7"/>
      <c r="B3653" s="2"/>
      <c r="C3653" s="2" t="s">
        <v>130</v>
      </c>
      <c r="D3653" s="2" t="str">
        <f>HYPERLINK("javascript:void(0)","függérték")</f>
        <v>függérték</v>
      </c>
      <c r="E3653" s="7"/>
      <c r="F3653" s="7"/>
      <c r="G3653" s="9" t="s">
        <v>2322</v>
      </c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</row>
    <row r="3654" spans="1:18" ht="12.75" customHeight="1" x14ac:dyDescent="0.2">
      <c r="A3654" s="7"/>
      <c r="B3654" s="2"/>
      <c r="C3654" s="2"/>
      <c r="D3654" s="2"/>
      <c r="E3654" s="7"/>
      <c r="F3654" s="7"/>
      <c r="G3654" s="9" t="s">
        <v>2322</v>
      </c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</row>
    <row r="3655" spans="1:18" ht="12.75" customHeight="1" x14ac:dyDescent="0.2">
      <c r="A3655" s="7"/>
      <c r="B3655" s="2"/>
      <c r="C3655" s="2"/>
      <c r="D3655" s="2"/>
      <c r="E3655" s="7"/>
      <c r="F3655" s="7"/>
      <c r="G3655" s="9" t="s">
        <v>2322</v>
      </c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</row>
    <row r="3656" spans="1:18" ht="12.75" customHeight="1" x14ac:dyDescent="0.2">
      <c r="A3656" s="7"/>
      <c r="B3656" s="2"/>
      <c r="C3656" s="2"/>
      <c r="D3656" s="2"/>
      <c r="E3656" s="7"/>
      <c r="F3656" s="7"/>
      <c r="G3656" s="9" t="s">
        <v>2322</v>
      </c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</row>
    <row r="3657" spans="1:18" ht="12.75" customHeight="1" x14ac:dyDescent="0.2">
      <c r="A3657" s="7"/>
      <c r="B3657" s="2"/>
      <c r="C3657" s="2"/>
      <c r="D3657" s="2"/>
      <c r="E3657" s="7"/>
      <c r="F3657" s="7"/>
      <c r="G3657" s="9" t="s">
        <v>2322</v>
      </c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</row>
    <row r="3658" spans="1:18" ht="12.75" customHeight="1" x14ac:dyDescent="0.2">
      <c r="A3658" s="7"/>
      <c r="B3658" s="2"/>
      <c r="C3658" s="2"/>
      <c r="D3658" s="2"/>
      <c r="E3658" s="7"/>
      <c r="F3658" s="7"/>
      <c r="G3658" s="9" t="s">
        <v>2322</v>
      </c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</row>
    <row r="3659" spans="1:18" ht="12.75" customHeight="1" x14ac:dyDescent="0.2">
      <c r="A3659" s="7" t="str">
        <f>HYPERLINK("javascript:void(0)","réz zeke")</f>
        <v>réz zeke</v>
      </c>
      <c r="B3659" s="7"/>
      <c r="C3659" s="7"/>
      <c r="D3659" s="7"/>
      <c r="E3659" s="7"/>
      <c r="F3659" s="7"/>
      <c r="G3659" s="9" t="s">
        <v>2322</v>
      </c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</row>
    <row r="3660" spans="1:18" ht="12.75" customHeight="1" x14ac:dyDescent="0.2">
      <c r="A3660" s="7"/>
      <c r="B3660" s="2"/>
      <c r="C3660" s="2"/>
      <c r="D3660" s="2"/>
      <c r="E3660" s="7"/>
      <c r="F3660" s="7"/>
      <c r="G3660" s="9" t="s">
        <v>2322</v>
      </c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</row>
    <row r="3661" spans="1:18" ht="12.75" customHeight="1" x14ac:dyDescent="0.2">
      <c r="A3661" s="7"/>
      <c r="B3661" s="2" t="s">
        <v>0</v>
      </c>
      <c r="C3661" s="2" t="s">
        <v>267</v>
      </c>
      <c r="D3661" s="2"/>
      <c r="E3661" s="7"/>
      <c r="F3661" s="7"/>
      <c r="G3661" s="9" t="s">
        <v>2322</v>
      </c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</row>
    <row r="3662" spans="1:18" ht="12.75" customHeight="1" x14ac:dyDescent="0.2">
      <c r="A3662" s="7"/>
      <c r="B3662" s="2" t="s">
        <v>2</v>
      </c>
      <c r="C3662" s="2" t="s">
        <v>2322</v>
      </c>
      <c r="D3662" s="2"/>
      <c r="E3662" s="7"/>
      <c r="F3662" s="7"/>
      <c r="G3662" s="9" t="s">
        <v>2322</v>
      </c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</row>
    <row r="3663" spans="1:18" ht="12.75" customHeight="1" x14ac:dyDescent="0.2">
      <c r="A3663" s="7"/>
      <c r="B3663" s="2" t="s">
        <v>1840</v>
      </c>
      <c r="C3663" s="2" t="s">
        <v>1892</v>
      </c>
      <c r="D3663" s="2"/>
      <c r="E3663" s="7"/>
      <c r="F3663" s="7"/>
      <c r="G3663" s="9" t="s">
        <v>2322</v>
      </c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</row>
    <row r="3664" spans="1:18" ht="12.75" customHeight="1" x14ac:dyDescent="0.2">
      <c r="A3664" s="7"/>
      <c r="B3664" s="2" t="s">
        <v>9</v>
      </c>
      <c r="C3664" s="2" t="s">
        <v>985</v>
      </c>
      <c r="D3664" s="2"/>
      <c r="E3664" s="7"/>
      <c r="F3664" s="7"/>
      <c r="G3664" s="9" t="s">
        <v>2322</v>
      </c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</row>
    <row r="3665" spans="1:18" ht="12.75" customHeight="1" x14ac:dyDescent="0.2">
      <c r="A3665" s="7"/>
      <c r="B3665" s="2" t="s">
        <v>11</v>
      </c>
      <c r="C3665" s="2" t="s">
        <v>2591</v>
      </c>
      <c r="D3665" s="2"/>
      <c r="E3665" s="7"/>
      <c r="F3665" s="7"/>
      <c r="G3665" s="9" t="s">
        <v>2322</v>
      </c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</row>
    <row r="3666" spans="1:18" ht="12.75" customHeight="1" x14ac:dyDescent="0.2">
      <c r="A3666" s="7"/>
      <c r="B3666" s="2" t="s">
        <v>16</v>
      </c>
      <c r="C3666" s="2"/>
      <c r="D3666" s="2"/>
      <c r="E3666" s="7"/>
      <c r="F3666" s="7"/>
      <c r="G3666" s="9" t="s">
        <v>2322</v>
      </c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</row>
    <row r="3667" spans="1:18" ht="12.75" customHeight="1" x14ac:dyDescent="0.2">
      <c r="A3667" s="7"/>
      <c r="B3667" s="2" t="s">
        <v>17</v>
      </c>
      <c r="C3667" s="2" t="s">
        <v>19</v>
      </c>
      <c r="D3667" s="2"/>
      <c r="E3667" s="7"/>
      <c r="F3667" s="7"/>
      <c r="G3667" s="9" t="s">
        <v>2322</v>
      </c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</row>
    <row r="3668" spans="1:18" ht="12.75" customHeight="1" x14ac:dyDescent="0.2">
      <c r="A3668" s="7"/>
      <c r="B3668" s="2" t="s">
        <v>18</v>
      </c>
      <c r="C3668" s="2" t="s">
        <v>44</v>
      </c>
      <c r="D3668" s="2" t="str">
        <f>HYPERLINK("javascript:void(0)","gyöngy zeke")</f>
        <v>gyöngy zeke</v>
      </c>
      <c r="E3668" s="7"/>
      <c r="F3668" s="7"/>
      <c r="G3668" s="9" t="s">
        <v>2322</v>
      </c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</row>
    <row r="3669" spans="1:18" ht="12.75" customHeight="1" x14ac:dyDescent="0.2">
      <c r="A3669" s="7"/>
      <c r="B3669" s="2"/>
      <c r="C3669" s="2" t="s">
        <v>44</v>
      </c>
      <c r="D3669" s="2" t="str">
        <f>HYPERLINK("javascript:void(0)","bronz zeke")</f>
        <v>bronz zeke</v>
      </c>
      <c r="E3669" s="7"/>
      <c r="F3669" s="7"/>
      <c r="G3669" s="9" t="s">
        <v>2322</v>
      </c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</row>
    <row r="3670" spans="1:18" ht="12.75" customHeight="1" x14ac:dyDescent="0.2">
      <c r="A3670" s="7"/>
      <c r="B3670" s="2"/>
      <c r="C3670" s="2" t="s">
        <v>196</v>
      </c>
      <c r="D3670" s="2" t="str">
        <f>HYPERLINK("javascript:void(0)","massza")</f>
        <v>massza</v>
      </c>
      <c r="E3670" s="7"/>
      <c r="F3670" s="7"/>
      <c r="G3670" s="9" t="s">
        <v>2322</v>
      </c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</row>
    <row r="3671" spans="1:18" ht="12.75" customHeight="1" x14ac:dyDescent="0.2">
      <c r="A3671" s="7"/>
      <c r="B3671" s="2"/>
      <c r="C3671" s="2"/>
      <c r="D3671" s="2"/>
      <c r="E3671" s="7"/>
      <c r="F3671" s="7"/>
      <c r="G3671" s="9" t="s">
        <v>2322</v>
      </c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</row>
    <row r="3672" spans="1:18" ht="12.75" customHeight="1" x14ac:dyDescent="0.2">
      <c r="A3672" s="7"/>
      <c r="B3672" s="2"/>
      <c r="C3672" s="2"/>
      <c r="D3672" s="2"/>
      <c r="E3672" s="7"/>
      <c r="F3672" s="7"/>
      <c r="G3672" s="9" t="s">
        <v>2322</v>
      </c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</row>
    <row r="3673" spans="1:18" ht="12.75" customHeight="1" x14ac:dyDescent="0.2">
      <c r="A3673" s="7"/>
      <c r="B3673" s="2"/>
      <c r="C3673" s="2"/>
      <c r="D3673" s="2"/>
      <c r="E3673" s="7"/>
      <c r="F3673" s="7"/>
      <c r="G3673" s="9" t="s">
        <v>2322</v>
      </c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</row>
    <row r="3674" spans="1:18" ht="12.75" customHeight="1" x14ac:dyDescent="0.2">
      <c r="A3674" s="7"/>
      <c r="B3674" s="2"/>
      <c r="C3674" s="2"/>
      <c r="D3674" s="2"/>
      <c r="E3674" s="7"/>
      <c r="F3674" s="7"/>
      <c r="G3674" s="9" t="s">
        <v>2322</v>
      </c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</row>
    <row r="3675" spans="1:18" ht="12.75" customHeight="1" x14ac:dyDescent="0.2">
      <c r="A3675" s="7"/>
      <c r="B3675" s="2"/>
      <c r="C3675" s="2"/>
      <c r="D3675" s="2"/>
      <c r="E3675" s="7"/>
      <c r="F3675" s="7"/>
      <c r="G3675" s="9" t="s">
        <v>2322</v>
      </c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</row>
    <row r="3676" spans="1:18" ht="12.75" customHeight="1" x14ac:dyDescent="0.2">
      <c r="A3676" s="7" t="str">
        <f>HYPERLINK("javascript:void(0)","vas zeke")</f>
        <v>vas zeke</v>
      </c>
      <c r="B3676" s="7"/>
      <c r="C3676" s="7"/>
      <c r="D3676" s="7"/>
      <c r="E3676" s="7"/>
      <c r="F3676" s="7"/>
      <c r="G3676" s="9" t="s">
        <v>2322</v>
      </c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</row>
    <row r="3677" spans="1:18" ht="12.75" customHeight="1" x14ac:dyDescent="0.2">
      <c r="A3677" s="7"/>
      <c r="B3677" s="2"/>
      <c r="C3677" s="2"/>
      <c r="D3677" s="2"/>
      <c r="E3677" s="7"/>
      <c r="F3677" s="7"/>
      <c r="G3677" s="9" t="s">
        <v>2322</v>
      </c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</row>
    <row r="3678" spans="1:18" ht="12.75" customHeight="1" x14ac:dyDescent="0.2">
      <c r="A3678" s="7"/>
      <c r="B3678" s="2" t="s">
        <v>0</v>
      </c>
      <c r="C3678" s="2" t="s">
        <v>1422</v>
      </c>
      <c r="D3678" s="2"/>
      <c r="E3678" s="7"/>
      <c r="F3678" s="7"/>
      <c r="G3678" s="9" t="s">
        <v>2322</v>
      </c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</row>
    <row r="3679" spans="1:18" ht="12.75" customHeight="1" x14ac:dyDescent="0.2">
      <c r="A3679" s="7"/>
      <c r="B3679" s="2" t="s">
        <v>2</v>
      </c>
      <c r="C3679" s="2" t="s">
        <v>2322</v>
      </c>
      <c r="D3679" s="2"/>
      <c r="E3679" s="7"/>
      <c r="F3679" s="7"/>
      <c r="G3679" s="9" t="s">
        <v>2322</v>
      </c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</row>
    <row r="3680" spans="1:18" ht="12.75" customHeight="1" x14ac:dyDescent="0.2">
      <c r="A3680" s="7"/>
      <c r="B3680" s="2" t="s">
        <v>1840</v>
      </c>
      <c r="C3680" s="2" t="s">
        <v>2592</v>
      </c>
      <c r="D3680" s="2"/>
      <c r="E3680" s="7"/>
      <c r="F3680" s="7"/>
      <c r="G3680" s="9" t="s">
        <v>2322</v>
      </c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</row>
    <row r="3681" spans="1:18" ht="12.75" customHeight="1" x14ac:dyDescent="0.2">
      <c r="A3681" s="7"/>
      <c r="B3681" s="2" t="s">
        <v>9</v>
      </c>
      <c r="C3681" s="2" t="s">
        <v>2572</v>
      </c>
      <c r="D3681" s="2"/>
      <c r="E3681" s="7"/>
      <c r="F3681" s="7"/>
      <c r="G3681" s="9" t="s">
        <v>2322</v>
      </c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</row>
    <row r="3682" spans="1:18" ht="12.75" customHeight="1" x14ac:dyDescent="0.2">
      <c r="A3682" s="7"/>
      <c r="B3682" s="2" t="s">
        <v>11</v>
      </c>
      <c r="C3682" s="2" t="s">
        <v>2593</v>
      </c>
      <c r="D3682" s="2"/>
      <c r="E3682" s="7"/>
      <c r="F3682" s="7"/>
      <c r="G3682" s="9" t="s">
        <v>2322</v>
      </c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</row>
    <row r="3683" spans="1:18" ht="12.75" customHeight="1" x14ac:dyDescent="0.2">
      <c r="A3683" s="7"/>
      <c r="B3683" s="2" t="s">
        <v>16</v>
      </c>
      <c r="C3683" s="2"/>
      <c r="D3683" s="2"/>
      <c r="E3683" s="7"/>
      <c r="F3683" s="7"/>
      <c r="G3683" s="9" t="s">
        <v>2322</v>
      </c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</row>
    <row r="3684" spans="1:18" ht="12.75" customHeight="1" x14ac:dyDescent="0.2">
      <c r="A3684" s="7"/>
      <c r="B3684" s="2" t="s">
        <v>17</v>
      </c>
      <c r="C3684" s="2" t="s">
        <v>19</v>
      </c>
      <c r="D3684" s="2"/>
      <c r="E3684" s="7"/>
      <c r="F3684" s="7"/>
      <c r="G3684" s="9" t="s">
        <v>2322</v>
      </c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</row>
    <row r="3685" spans="1:18" ht="12.75" customHeight="1" x14ac:dyDescent="0.2">
      <c r="A3685" s="7"/>
      <c r="B3685" s="2" t="s">
        <v>18</v>
      </c>
      <c r="C3685" s="2" t="s">
        <v>44</v>
      </c>
      <c r="D3685" s="2" t="str">
        <f>HYPERLINK("javascript:void(0)","réz zeke")</f>
        <v>réz zeke</v>
      </c>
      <c r="E3685" s="7"/>
      <c r="F3685" s="7"/>
      <c r="G3685" s="9" t="s">
        <v>2322</v>
      </c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</row>
    <row r="3686" spans="1:18" ht="12.75" customHeight="1" x14ac:dyDescent="0.2">
      <c r="A3686" s="7"/>
      <c r="B3686" s="2"/>
      <c r="C3686" s="2" t="s">
        <v>196</v>
      </c>
      <c r="D3686" s="2" t="str">
        <f>HYPERLINK("javascript:void(0)","szívóka")</f>
        <v>szívóka</v>
      </c>
      <c r="E3686" s="7"/>
      <c r="F3686" s="7"/>
      <c r="G3686" s="9" t="s">
        <v>2322</v>
      </c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</row>
    <row r="3687" spans="1:18" ht="12.75" customHeight="1" x14ac:dyDescent="0.2">
      <c r="A3687" s="7"/>
      <c r="B3687" s="2"/>
      <c r="C3687" s="2" t="s">
        <v>398</v>
      </c>
      <c r="D3687" s="2" t="str">
        <f>HYPERLINK("javascript:void(0)","monsztaige")</f>
        <v>monsztaige</v>
      </c>
      <c r="E3687" s="7"/>
      <c r="F3687" s="7"/>
      <c r="G3687" s="9" t="s">
        <v>2322</v>
      </c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</row>
    <row r="3688" spans="1:18" ht="12.75" customHeight="1" x14ac:dyDescent="0.2">
      <c r="A3688" s="7"/>
      <c r="B3688" s="2"/>
      <c r="C3688" s="2"/>
      <c r="D3688" s="2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021"/>
  <sheetViews>
    <sheetView tabSelected="1" topLeftCell="A2144" workbookViewId="0">
      <selection activeCell="D2162" sqref="D2162"/>
    </sheetView>
  </sheetViews>
  <sheetFormatPr defaultColWidth="14.42578125" defaultRowHeight="15" customHeight="1" x14ac:dyDescent="0.2"/>
  <cols>
    <col min="1" max="1" width="18.28515625" customWidth="1"/>
    <col min="2" max="2" width="12.85546875" customWidth="1"/>
    <col min="3" max="3" width="9.140625" customWidth="1"/>
    <col min="4" max="4" width="18.7109375" customWidth="1"/>
    <col min="5" max="26" width="8" customWidth="1"/>
  </cols>
  <sheetData>
    <row r="1" spans="1:4" ht="12.75" customHeight="1" x14ac:dyDescent="0.2">
      <c r="A1" s="22" t="str">
        <f>HYPERLINK("javascript:void(0)","gyémánt láncing")</f>
        <v>gyémánt láncing</v>
      </c>
      <c r="B1" s="21"/>
      <c r="C1" s="21"/>
      <c r="D1" s="7"/>
    </row>
    <row r="2" spans="1:4" ht="12.75" customHeight="1" x14ac:dyDescent="0.2">
      <c r="A2" s="20"/>
      <c r="B2" s="2"/>
      <c r="C2" s="7"/>
      <c r="D2" s="7"/>
    </row>
    <row r="3" spans="1:4" ht="12.75" customHeight="1" x14ac:dyDescent="0.2">
      <c r="A3" s="21"/>
      <c r="B3" s="3" t="s">
        <v>0</v>
      </c>
      <c r="C3" s="9">
        <v>1</v>
      </c>
      <c r="D3" s="7"/>
    </row>
    <row r="4" spans="1:4" ht="12.75" customHeight="1" x14ac:dyDescent="0.2">
      <c r="A4" s="21"/>
      <c r="B4" s="3" t="s">
        <v>2</v>
      </c>
      <c r="C4" s="9" t="s">
        <v>2322</v>
      </c>
      <c r="D4" s="7"/>
    </row>
    <row r="5" spans="1:4" ht="12.75" customHeight="1" x14ac:dyDescent="0.2">
      <c r="A5" s="21"/>
      <c r="B5" s="3" t="s">
        <v>1840</v>
      </c>
      <c r="C5" s="9">
        <v>20</v>
      </c>
      <c r="D5" s="7"/>
    </row>
    <row r="6" spans="1:4" ht="12.75" customHeight="1" x14ac:dyDescent="0.2">
      <c r="A6" s="21"/>
      <c r="B6" s="3" t="s">
        <v>9</v>
      </c>
      <c r="C6" s="9" t="s">
        <v>129</v>
      </c>
      <c r="D6" s="7"/>
    </row>
    <row r="7" spans="1:4" ht="25.5" customHeight="1" x14ac:dyDescent="0.2">
      <c r="A7" s="21"/>
      <c r="B7" s="3" t="s">
        <v>11</v>
      </c>
      <c r="C7" s="9" t="s">
        <v>227</v>
      </c>
      <c r="D7" s="7"/>
    </row>
    <row r="8" spans="1:4" ht="12.75" customHeight="1" x14ac:dyDescent="0.2">
      <c r="A8" s="21"/>
      <c r="B8" s="3" t="s">
        <v>16</v>
      </c>
      <c r="C8" s="9"/>
      <c r="D8" s="7"/>
    </row>
    <row r="9" spans="1:4" ht="12.75" customHeight="1" x14ac:dyDescent="0.2">
      <c r="A9" s="21"/>
      <c r="B9" s="3" t="s">
        <v>17</v>
      </c>
      <c r="C9" s="9" t="s">
        <v>19</v>
      </c>
      <c r="D9" s="7"/>
    </row>
    <row r="10" spans="1:4" ht="12.75" customHeight="1" x14ac:dyDescent="0.2">
      <c r="A10" s="21"/>
      <c r="B10" s="3" t="s">
        <v>18</v>
      </c>
      <c r="C10" s="8" t="s">
        <v>19</v>
      </c>
      <c r="D10" s="7"/>
    </row>
    <row r="11" spans="1:4" ht="12.75" customHeight="1" x14ac:dyDescent="0.2">
      <c r="A11" s="21"/>
      <c r="B11" s="2"/>
      <c r="C11" s="7"/>
      <c r="D11" s="7"/>
    </row>
    <row r="12" spans="1:4" ht="12.75" customHeight="1" x14ac:dyDescent="0.2">
      <c r="A12" s="21"/>
      <c r="B12" s="2"/>
      <c r="C12" s="7"/>
      <c r="D12" s="7"/>
    </row>
    <row r="13" spans="1:4" ht="12.75" customHeight="1" x14ac:dyDescent="0.2">
      <c r="A13" s="21"/>
      <c r="B13" s="2"/>
      <c r="C13" s="7"/>
      <c r="D13" s="7"/>
    </row>
    <row r="14" spans="1:4" ht="12.75" customHeight="1" x14ac:dyDescent="0.2">
      <c r="A14" s="21"/>
      <c r="B14" s="2"/>
      <c r="C14" s="7"/>
      <c r="D14" s="7"/>
    </row>
    <row r="15" spans="1:4" ht="12.75" customHeight="1" x14ac:dyDescent="0.2">
      <c r="A15" s="5"/>
      <c r="B15" s="2"/>
      <c r="C15" s="7"/>
      <c r="D15" s="7"/>
    </row>
    <row r="16" spans="1:4" ht="12.75" customHeight="1" x14ac:dyDescent="0.2">
      <c r="A16" s="22" t="str">
        <f>HYPERLINK("javascript:void(0)","vászoning")</f>
        <v>vászoning</v>
      </c>
      <c r="B16" s="21"/>
      <c r="C16" s="21"/>
      <c r="D16" s="7"/>
    </row>
    <row r="17" spans="1:4" ht="12.75" customHeight="1" x14ac:dyDescent="0.2">
      <c r="A17" s="20"/>
      <c r="B17" s="2"/>
      <c r="C17" s="7"/>
      <c r="D17" s="7"/>
    </row>
    <row r="18" spans="1:4" ht="12.75" customHeight="1" x14ac:dyDescent="0.2">
      <c r="A18" s="21"/>
      <c r="B18" s="3" t="s">
        <v>0</v>
      </c>
      <c r="C18" s="9">
        <v>1</v>
      </c>
      <c r="D18" s="7"/>
    </row>
    <row r="19" spans="1:4" ht="12.75" customHeight="1" x14ac:dyDescent="0.2">
      <c r="A19" s="21"/>
      <c r="B19" s="3" t="s">
        <v>2</v>
      </c>
      <c r="C19" s="9" t="s">
        <v>2322</v>
      </c>
      <c r="D19" s="7"/>
    </row>
    <row r="20" spans="1:4" ht="12.75" customHeight="1" x14ac:dyDescent="0.2">
      <c r="A20" s="21"/>
      <c r="B20" s="3" t="s">
        <v>1840</v>
      </c>
      <c r="C20" s="9">
        <v>0</v>
      </c>
      <c r="D20" s="7"/>
    </row>
    <row r="21" spans="1:4" ht="12.75" customHeight="1" x14ac:dyDescent="0.2">
      <c r="A21" s="21"/>
      <c r="B21" s="3" t="s">
        <v>9</v>
      </c>
      <c r="C21" s="9" t="s">
        <v>53</v>
      </c>
      <c r="D21" s="7"/>
    </row>
    <row r="22" spans="1:4" ht="12.75" customHeight="1" x14ac:dyDescent="0.2">
      <c r="A22" s="21"/>
      <c r="B22" s="3" t="s">
        <v>11</v>
      </c>
      <c r="C22" s="9" t="s">
        <v>1571</v>
      </c>
      <c r="D22" s="7"/>
    </row>
    <row r="23" spans="1:4" ht="12.75" customHeight="1" x14ac:dyDescent="0.2">
      <c r="A23" s="21"/>
      <c r="B23" s="3" t="s">
        <v>16</v>
      </c>
      <c r="C23" s="9"/>
      <c r="D23" s="7"/>
    </row>
    <row r="24" spans="1:4" ht="12.75" customHeight="1" x14ac:dyDescent="0.2">
      <c r="A24" s="21"/>
      <c r="B24" s="3" t="s">
        <v>17</v>
      </c>
      <c r="C24" s="9" t="s">
        <v>19</v>
      </c>
      <c r="D24" s="7"/>
    </row>
    <row r="25" spans="1:4" ht="12.75" customHeight="1" x14ac:dyDescent="0.2">
      <c r="A25" s="21"/>
      <c r="B25" s="3" t="s">
        <v>18</v>
      </c>
      <c r="C25" s="8" t="s">
        <v>19</v>
      </c>
      <c r="D25" s="7"/>
    </row>
    <row r="26" spans="1:4" ht="12.75" customHeight="1" x14ac:dyDescent="0.2">
      <c r="A26" s="21"/>
      <c r="B26" s="2"/>
      <c r="C26" s="7"/>
      <c r="D26" s="7"/>
    </row>
    <row r="27" spans="1:4" ht="12.75" customHeight="1" x14ac:dyDescent="0.2">
      <c r="A27" s="21"/>
      <c r="B27" s="2"/>
      <c r="C27" s="7"/>
      <c r="D27" s="7"/>
    </row>
    <row r="28" spans="1:4" ht="12.75" customHeight="1" x14ac:dyDescent="0.2">
      <c r="A28" s="21"/>
      <c r="B28" s="2"/>
      <c r="C28" s="7"/>
      <c r="D28" s="7"/>
    </row>
    <row r="29" spans="1:4" ht="12.75" customHeight="1" x14ac:dyDescent="0.2">
      <c r="A29" s="21"/>
      <c r="B29" s="2"/>
      <c r="C29" s="7"/>
      <c r="D29" s="7"/>
    </row>
    <row r="30" spans="1:4" ht="12.75" customHeight="1" x14ac:dyDescent="0.2">
      <c r="A30" s="5"/>
      <c r="B30" s="2"/>
      <c r="C30" s="7"/>
      <c r="D30" s="7"/>
    </row>
    <row r="31" spans="1:4" ht="12.75" customHeight="1" x14ac:dyDescent="0.2">
      <c r="A31" s="22" t="str">
        <f>HYPERLINK("javascript:void(0)","managlória")</f>
        <v>managlória</v>
      </c>
      <c r="B31" s="21"/>
      <c r="C31" s="21"/>
      <c r="D31" s="21"/>
    </row>
    <row r="32" spans="1:4" ht="12.75" customHeight="1" x14ac:dyDescent="0.2">
      <c r="A32" s="20"/>
      <c r="B32" s="2"/>
      <c r="C32" s="7"/>
      <c r="D32" s="7"/>
    </row>
    <row r="33" spans="1:4" ht="12.75" customHeight="1" x14ac:dyDescent="0.2">
      <c r="A33" s="21"/>
      <c r="B33" s="3" t="s">
        <v>0</v>
      </c>
      <c r="C33" s="23">
        <v>1</v>
      </c>
      <c r="D33" s="21"/>
    </row>
    <row r="34" spans="1:4" ht="12.75" customHeight="1" x14ac:dyDescent="0.2">
      <c r="A34" s="21"/>
      <c r="B34" s="3" t="s">
        <v>2</v>
      </c>
      <c r="C34" s="23"/>
      <c r="D34" s="21"/>
    </row>
    <row r="35" spans="1:4" ht="12.75" customHeight="1" x14ac:dyDescent="0.2">
      <c r="A35" s="21"/>
      <c r="B35" s="3" t="s">
        <v>1840</v>
      </c>
      <c r="C35" s="23">
        <v>0</v>
      </c>
      <c r="D35" s="21"/>
    </row>
    <row r="36" spans="1:4" ht="12.75" customHeight="1" x14ac:dyDescent="0.2">
      <c r="A36" s="21"/>
      <c r="B36" s="3" t="s">
        <v>9</v>
      </c>
      <c r="C36" s="23" t="s">
        <v>27</v>
      </c>
      <c r="D36" s="21"/>
    </row>
    <row r="37" spans="1:4" ht="12.75" customHeight="1" x14ac:dyDescent="0.2">
      <c r="A37" s="21"/>
      <c r="B37" s="3" t="s">
        <v>11</v>
      </c>
      <c r="C37" s="23" t="s">
        <v>395</v>
      </c>
      <c r="D37" s="21"/>
    </row>
    <row r="38" spans="1:4" ht="12.75" customHeight="1" x14ac:dyDescent="0.2">
      <c r="A38" s="21"/>
      <c r="B38" s="3" t="s">
        <v>16</v>
      </c>
      <c r="C38" s="23"/>
      <c r="D38" s="21"/>
    </row>
    <row r="39" spans="1:4" ht="12.75" customHeight="1" x14ac:dyDescent="0.2">
      <c r="A39" s="21"/>
      <c r="B39" s="3" t="s">
        <v>17</v>
      </c>
      <c r="C39" s="23" t="s">
        <v>19</v>
      </c>
      <c r="D39" s="21"/>
    </row>
    <row r="40" spans="1:4" ht="12.75" customHeight="1" x14ac:dyDescent="0.2">
      <c r="A40" s="21"/>
      <c r="B40" s="20" t="s">
        <v>18</v>
      </c>
      <c r="C40" s="8" t="s">
        <v>44</v>
      </c>
      <c r="D40" s="1" t="str">
        <f>HYPERLINK("javascript:void(0)","kihunyt glória")</f>
        <v>kihunyt glória</v>
      </c>
    </row>
    <row r="41" spans="1:4" ht="12.75" customHeight="1" x14ac:dyDescent="0.2">
      <c r="A41" s="21"/>
      <c r="B41" s="21"/>
      <c r="C41" s="8" t="s">
        <v>290</v>
      </c>
      <c r="D41" s="1" t="str">
        <f>HYPERLINK("javascript:void(0)","mézbalzsam")</f>
        <v>mézbalzsam</v>
      </c>
    </row>
    <row r="42" spans="1:4" ht="12.75" customHeight="1" x14ac:dyDescent="0.2">
      <c r="A42" s="21"/>
      <c r="B42" s="21"/>
      <c r="C42" s="8" t="s">
        <v>139</v>
      </c>
      <c r="D42" s="1" t="str">
        <f>HYPERLINK("javascript:void(0)","pegazustoll")</f>
        <v>pegazustoll</v>
      </c>
    </row>
    <row r="43" spans="1:4" ht="12.75" customHeight="1" x14ac:dyDescent="0.2">
      <c r="A43" s="21"/>
      <c r="B43" s="2"/>
      <c r="C43" s="7"/>
      <c r="D43" s="7"/>
    </row>
    <row r="44" spans="1:4" ht="12.75" customHeight="1" x14ac:dyDescent="0.2">
      <c r="A44" s="21"/>
      <c r="B44" s="2"/>
      <c r="C44" s="7"/>
      <c r="D44" s="7"/>
    </row>
    <row r="45" spans="1:4" ht="12.75" customHeight="1" x14ac:dyDescent="0.2">
      <c r="A45" s="21"/>
      <c r="B45" s="2"/>
      <c r="C45" s="7"/>
      <c r="D45" s="7"/>
    </row>
    <row r="46" spans="1:4" ht="12.75" customHeight="1" x14ac:dyDescent="0.2">
      <c r="A46" s="21"/>
      <c r="B46" s="2"/>
      <c r="C46" s="7"/>
      <c r="D46" s="7"/>
    </row>
    <row r="47" spans="1:4" ht="12.75" customHeight="1" x14ac:dyDescent="0.2">
      <c r="A47" s="5"/>
      <c r="B47" s="2"/>
      <c r="C47" s="7"/>
      <c r="D47" s="7"/>
    </row>
    <row r="48" spans="1:4" ht="12.75" customHeight="1" x14ac:dyDescent="0.2">
      <c r="A48" s="22" t="str">
        <f>HYPERLINK("javascript:void(0)","antigrav bigyó")</f>
        <v>antigrav bigyó</v>
      </c>
      <c r="B48" s="21"/>
      <c r="C48" s="21"/>
      <c r="D48" s="21"/>
    </row>
    <row r="49" spans="1:4" ht="12.75" customHeight="1" x14ac:dyDescent="0.2">
      <c r="A49" s="20"/>
      <c r="B49" s="2"/>
      <c r="C49" s="7"/>
      <c r="D49" s="7"/>
    </row>
    <row r="50" spans="1:4" ht="12.75" customHeight="1" x14ac:dyDescent="0.2">
      <c r="A50" s="21"/>
      <c r="B50" s="3" t="s">
        <v>0</v>
      </c>
      <c r="C50" s="23">
        <v>1</v>
      </c>
      <c r="D50" s="21"/>
    </row>
    <row r="51" spans="1:4" ht="12.75" customHeight="1" x14ac:dyDescent="0.2">
      <c r="A51" s="21"/>
      <c r="B51" s="3" t="s">
        <v>2</v>
      </c>
      <c r="C51" s="23" t="s">
        <v>1839</v>
      </c>
      <c r="D51" s="21"/>
    </row>
    <row r="52" spans="1:4" ht="12.75" customHeight="1" x14ac:dyDescent="0.2">
      <c r="A52" s="21"/>
      <c r="B52" s="3" t="s">
        <v>1840</v>
      </c>
      <c r="C52" s="23">
        <v>0</v>
      </c>
      <c r="D52" s="21"/>
    </row>
    <row r="53" spans="1:4" ht="12.75" customHeight="1" x14ac:dyDescent="0.2">
      <c r="A53" s="21"/>
      <c r="B53" s="3" t="s">
        <v>9</v>
      </c>
      <c r="C53" s="23" t="s">
        <v>1841</v>
      </c>
      <c r="D53" s="21"/>
    </row>
    <row r="54" spans="1:4" ht="12.75" customHeight="1" x14ac:dyDescent="0.2">
      <c r="A54" s="21"/>
      <c r="B54" s="3" t="s">
        <v>11</v>
      </c>
      <c r="C54" s="23" t="s">
        <v>23</v>
      </c>
      <c r="D54" s="21"/>
    </row>
    <row r="55" spans="1:4" ht="12.75" customHeight="1" x14ac:dyDescent="0.2">
      <c r="A55" s="21"/>
      <c r="B55" s="3" t="s">
        <v>16</v>
      </c>
      <c r="C55" s="23"/>
      <c r="D55" s="21"/>
    </row>
    <row r="56" spans="1:4" ht="12.75" customHeight="1" x14ac:dyDescent="0.2">
      <c r="A56" s="21"/>
      <c r="B56" s="3" t="s">
        <v>17</v>
      </c>
      <c r="C56" s="23" t="s">
        <v>19</v>
      </c>
      <c r="D56" s="21"/>
    </row>
    <row r="57" spans="1:4" ht="12.75" customHeight="1" x14ac:dyDescent="0.2">
      <c r="A57" s="21"/>
      <c r="B57" s="20" t="s">
        <v>18</v>
      </c>
      <c r="C57" s="8" t="s">
        <v>44</v>
      </c>
      <c r="D57" s="1" t="str">
        <f>HYPERLINK("javascript:void(0)","idegen szerkentyű")</f>
        <v>idegen szerkentyű</v>
      </c>
    </row>
    <row r="58" spans="1:4" ht="12.75" customHeight="1" x14ac:dyDescent="0.2">
      <c r="A58" s="21"/>
      <c r="B58" s="21"/>
      <c r="C58" s="8" t="s">
        <v>44</v>
      </c>
      <c r="D58" s="1" t="str">
        <f>HYPERLINK("javascript:void(0)","idegen kütyü")</f>
        <v>idegen kütyü</v>
      </c>
    </row>
    <row r="59" spans="1:4" ht="12.75" customHeight="1" x14ac:dyDescent="0.2">
      <c r="A59" s="21"/>
      <c r="B59" s="21"/>
      <c r="C59" s="8" t="s">
        <v>44</v>
      </c>
      <c r="D59" s="1" t="str">
        <f>HYPERLINK("javascript:void(0)","idegen bizgentyű")</f>
        <v>idegen bizgentyű</v>
      </c>
    </row>
    <row r="60" spans="1:4" ht="12.75" customHeight="1" x14ac:dyDescent="0.2">
      <c r="A60" s="21"/>
      <c r="B60" s="2"/>
      <c r="C60" s="7"/>
      <c r="D60" s="7"/>
    </row>
    <row r="61" spans="1:4" ht="12.75" customHeight="1" x14ac:dyDescent="0.2">
      <c r="A61" s="21"/>
      <c r="B61" s="2"/>
      <c r="C61" s="7"/>
      <c r="D61" s="7"/>
    </row>
    <row r="62" spans="1:4" ht="12.75" customHeight="1" x14ac:dyDescent="0.2">
      <c r="A62" s="21"/>
      <c r="B62" s="2"/>
      <c r="C62" s="7"/>
      <c r="D62" s="7"/>
    </row>
    <row r="63" spans="1:4" ht="12.75" customHeight="1" x14ac:dyDescent="0.2">
      <c r="A63" s="21"/>
      <c r="B63" s="2"/>
      <c r="C63" s="7"/>
      <c r="D63" s="7"/>
    </row>
    <row r="64" spans="1:4" ht="12.75" customHeight="1" x14ac:dyDescent="0.2">
      <c r="A64" s="5"/>
      <c r="B64" s="2"/>
      <c r="C64" s="7"/>
      <c r="D64" s="7"/>
    </row>
    <row r="65" spans="1:4" ht="12.75" customHeight="1" x14ac:dyDescent="0.2">
      <c r="A65" s="22" t="str">
        <f>HYPERLINK("javascript:void(0)","háztoldalék")</f>
        <v>háztoldalék</v>
      </c>
      <c r="B65" s="21"/>
      <c r="C65" s="21"/>
      <c r="D65" s="21"/>
    </row>
    <row r="66" spans="1:4" ht="12.75" customHeight="1" x14ac:dyDescent="0.2">
      <c r="A66" s="20"/>
      <c r="B66" s="2"/>
      <c r="C66" s="7"/>
      <c r="D66" s="7"/>
    </row>
    <row r="67" spans="1:4" ht="12.75" customHeight="1" x14ac:dyDescent="0.2">
      <c r="A67" s="21"/>
      <c r="B67" s="3" t="s">
        <v>0</v>
      </c>
      <c r="C67" s="23" t="s">
        <v>1</v>
      </c>
      <c r="D67" s="21"/>
    </row>
    <row r="68" spans="1:4" ht="12.75" customHeight="1" x14ac:dyDescent="0.2">
      <c r="A68" s="21"/>
      <c r="B68" s="3" t="s">
        <v>2</v>
      </c>
      <c r="C68" s="23" t="s">
        <v>1839</v>
      </c>
      <c r="D68" s="21"/>
    </row>
    <row r="69" spans="1:4" ht="12.75" customHeight="1" x14ac:dyDescent="0.2">
      <c r="A69" s="21"/>
      <c r="B69" s="3" t="s">
        <v>1840</v>
      </c>
      <c r="C69" s="23" t="s">
        <v>21</v>
      </c>
      <c r="D69" s="21"/>
    </row>
    <row r="70" spans="1:4" ht="12.75" customHeight="1" x14ac:dyDescent="0.2">
      <c r="A70" s="21"/>
      <c r="B70" s="3" t="s">
        <v>9</v>
      </c>
      <c r="C70" s="23" t="s">
        <v>250</v>
      </c>
      <c r="D70" s="21"/>
    </row>
    <row r="71" spans="1:4" ht="12.75" customHeight="1" x14ac:dyDescent="0.2">
      <c r="A71" s="21"/>
      <c r="B71" s="3" t="s">
        <v>11</v>
      </c>
      <c r="C71" s="23" t="s">
        <v>486</v>
      </c>
      <c r="D71" s="21"/>
    </row>
    <row r="72" spans="1:4" ht="12.75" customHeight="1" x14ac:dyDescent="0.2">
      <c r="A72" s="21"/>
      <c r="B72" s="3" t="s">
        <v>16</v>
      </c>
      <c r="C72" s="23"/>
      <c r="D72" s="21"/>
    </row>
    <row r="73" spans="1:4" ht="12.75" customHeight="1" x14ac:dyDescent="0.2">
      <c r="A73" s="21"/>
      <c r="B73" s="3" t="s">
        <v>17</v>
      </c>
      <c r="C73" s="23" t="s">
        <v>19</v>
      </c>
      <c r="D73" s="21"/>
    </row>
    <row r="74" spans="1:4" ht="12.75" customHeight="1" x14ac:dyDescent="0.2">
      <c r="A74" s="21"/>
      <c r="B74" s="20" t="s">
        <v>18</v>
      </c>
      <c r="C74" s="8" t="s">
        <v>1844</v>
      </c>
      <c r="D74" s="1" t="str">
        <f>HYPERLINK("javascript:void(0)","ezüst")</f>
        <v>ezüst</v>
      </c>
    </row>
    <row r="75" spans="1:4" ht="12.75" customHeight="1" x14ac:dyDescent="0.2">
      <c r="A75" s="21"/>
      <c r="B75" s="21"/>
      <c r="C75" s="8" t="s">
        <v>44</v>
      </c>
      <c r="D75" s="1" t="str">
        <f>HYPERLINK("javascript:void(0)","lélegző sarokkő")</f>
        <v>lélegző sarokkő</v>
      </c>
    </row>
    <row r="76" spans="1:4" ht="12.75" customHeight="1" x14ac:dyDescent="0.2">
      <c r="A76" s="21"/>
      <c r="B76" s="21"/>
      <c r="C76" s="8" t="s">
        <v>44</v>
      </c>
      <c r="D76" s="1" t="str">
        <f>HYPERLINK("javascript:void(0)","kompózium")</f>
        <v>kompózium</v>
      </c>
    </row>
    <row r="77" spans="1:4" ht="12.75" customHeight="1" x14ac:dyDescent="0.2">
      <c r="A77" s="21"/>
      <c r="B77" s="2"/>
      <c r="C77" s="7"/>
      <c r="D77" s="7"/>
    </row>
    <row r="78" spans="1:4" ht="12.75" customHeight="1" x14ac:dyDescent="0.2">
      <c r="A78" s="21"/>
      <c r="B78" s="2"/>
      <c r="C78" s="7"/>
      <c r="D78" s="7"/>
    </row>
    <row r="79" spans="1:4" ht="12.75" customHeight="1" x14ac:dyDescent="0.2">
      <c r="A79" s="21"/>
      <c r="B79" s="2"/>
      <c r="C79" s="7"/>
      <c r="D79" s="7"/>
    </row>
    <row r="80" spans="1:4" ht="12.75" customHeight="1" x14ac:dyDescent="0.2">
      <c r="A80" s="21"/>
      <c r="B80" s="2"/>
      <c r="C80" s="7"/>
      <c r="D80" s="7"/>
    </row>
    <row r="81" spans="1:4" ht="12.75" customHeight="1" x14ac:dyDescent="0.2">
      <c r="A81" s="5"/>
      <c r="B81" s="2"/>
      <c r="C81" s="7"/>
      <c r="D81" s="7"/>
    </row>
    <row r="82" spans="1:4" ht="12.75" customHeight="1" x14ac:dyDescent="0.2">
      <c r="A82" s="22" t="str">
        <f>HYPERLINK("javascript:void(0)","átokvédő pajzsocska")</f>
        <v>átokvédő pajzsocska</v>
      </c>
      <c r="B82" s="21"/>
      <c r="C82" s="21"/>
      <c r="D82" s="21"/>
    </row>
    <row r="83" spans="1:4" ht="12.75" customHeight="1" x14ac:dyDescent="0.2">
      <c r="A83" s="20"/>
      <c r="B83" s="2"/>
      <c r="C83" s="7"/>
      <c r="D83" s="7"/>
    </row>
    <row r="84" spans="1:4" ht="12.75" customHeight="1" x14ac:dyDescent="0.2">
      <c r="A84" s="21"/>
      <c r="B84" s="3" t="s">
        <v>0</v>
      </c>
      <c r="C84" s="23" t="s">
        <v>1</v>
      </c>
      <c r="D84" s="21"/>
    </row>
    <row r="85" spans="1:4" ht="12.75" customHeight="1" x14ac:dyDescent="0.2">
      <c r="A85" s="21"/>
      <c r="B85" s="3" t="s">
        <v>2</v>
      </c>
      <c r="C85" s="23" t="s">
        <v>1839</v>
      </c>
      <c r="D85" s="21"/>
    </row>
    <row r="86" spans="1:4" ht="12.75" customHeight="1" x14ac:dyDescent="0.2">
      <c r="A86" s="21"/>
      <c r="B86" s="3" t="s">
        <v>1840</v>
      </c>
      <c r="C86" s="23" t="s">
        <v>51</v>
      </c>
      <c r="D86" s="21"/>
    </row>
    <row r="87" spans="1:4" ht="12.75" customHeight="1" x14ac:dyDescent="0.2">
      <c r="A87" s="21"/>
      <c r="B87" s="3" t="s">
        <v>9</v>
      </c>
      <c r="C87" s="23" t="s">
        <v>704</v>
      </c>
      <c r="D87" s="21"/>
    </row>
    <row r="88" spans="1:4" ht="12.75" customHeight="1" x14ac:dyDescent="0.2">
      <c r="A88" s="21"/>
      <c r="B88" s="3" t="s">
        <v>11</v>
      </c>
      <c r="C88" s="23" t="s">
        <v>23</v>
      </c>
      <c r="D88" s="21"/>
    </row>
    <row r="89" spans="1:4" ht="12.75" customHeight="1" x14ac:dyDescent="0.2">
      <c r="A89" s="21"/>
      <c r="B89" s="3" t="s">
        <v>16</v>
      </c>
      <c r="C89" s="23"/>
      <c r="D89" s="21"/>
    </row>
    <row r="90" spans="1:4" ht="12.75" customHeight="1" x14ac:dyDescent="0.2">
      <c r="A90" s="21"/>
      <c r="B90" s="3" t="s">
        <v>17</v>
      </c>
      <c r="C90" s="23" t="s">
        <v>19</v>
      </c>
      <c r="D90" s="21"/>
    </row>
    <row r="91" spans="1:4" ht="12.75" customHeight="1" x14ac:dyDescent="0.2">
      <c r="A91" s="21"/>
      <c r="B91" s="20" t="s">
        <v>18</v>
      </c>
      <c r="C91" s="8" t="s">
        <v>44</v>
      </c>
      <c r="D91" s="1" t="str">
        <f>HYPERLINK("javascript:void(0)","átokesszencia")</f>
        <v>átokesszencia</v>
      </c>
    </row>
    <row r="92" spans="1:4" ht="12.75" customHeight="1" x14ac:dyDescent="0.2">
      <c r="A92" s="21"/>
      <c r="B92" s="21"/>
      <c r="C92" s="8" t="s">
        <v>44</v>
      </c>
      <c r="D92" s="1" t="str">
        <f>HYPERLINK("javascript:void(0)","nappajzs")</f>
        <v>nappajzs</v>
      </c>
    </row>
    <row r="93" spans="1:4" ht="12.75" customHeight="1" x14ac:dyDescent="0.2">
      <c r="A93" s="21"/>
      <c r="B93" s="21"/>
      <c r="C93" s="8" t="s">
        <v>44</v>
      </c>
      <c r="D93" s="1" t="str">
        <f>HYPERLINK("javascript:void(0)","varázsfogpiszkáló")</f>
        <v>varázsfogpiszkáló</v>
      </c>
    </row>
    <row r="94" spans="1:4" ht="12.75" customHeight="1" x14ac:dyDescent="0.2">
      <c r="A94" s="21"/>
      <c r="B94" s="2"/>
      <c r="C94" s="7"/>
      <c r="D94" s="7"/>
    </row>
    <row r="95" spans="1:4" ht="12.75" customHeight="1" x14ac:dyDescent="0.2">
      <c r="A95" s="21"/>
      <c r="B95" s="2"/>
      <c r="C95" s="7"/>
      <c r="D95" s="7"/>
    </row>
    <row r="96" spans="1:4" ht="12.75" customHeight="1" x14ac:dyDescent="0.2">
      <c r="A96" s="21"/>
      <c r="B96" s="2"/>
      <c r="C96" s="7"/>
      <c r="D96" s="7"/>
    </row>
    <row r="97" spans="1:4" ht="12.75" customHeight="1" x14ac:dyDescent="0.2">
      <c r="A97" s="21"/>
      <c r="B97" s="2"/>
      <c r="C97" s="7"/>
      <c r="D97" s="7"/>
    </row>
    <row r="98" spans="1:4" ht="12.75" customHeight="1" x14ac:dyDescent="0.2">
      <c r="A98" s="5"/>
      <c r="B98" s="2"/>
      <c r="C98" s="7"/>
      <c r="D98" s="7"/>
    </row>
    <row r="99" spans="1:4" ht="12.75" customHeight="1" x14ac:dyDescent="0.2">
      <c r="A99" s="22" t="str">
        <f>HYPERLINK("javascript:void(0)","alváz")</f>
        <v>alváz</v>
      </c>
      <c r="B99" s="21"/>
      <c r="C99" s="21"/>
      <c r="D99" s="21"/>
    </row>
    <row r="100" spans="1:4" ht="12.75" customHeight="1" x14ac:dyDescent="0.2">
      <c r="A100" s="20"/>
      <c r="B100" s="2"/>
      <c r="C100" s="7"/>
      <c r="D100" s="7"/>
    </row>
    <row r="101" spans="1:4" ht="12.75" customHeight="1" x14ac:dyDescent="0.2">
      <c r="A101" s="21"/>
      <c r="B101" s="3" t="s">
        <v>0</v>
      </c>
      <c r="C101" s="23" t="s">
        <v>1</v>
      </c>
      <c r="D101" s="21"/>
    </row>
    <row r="102" spans="1:4" ht="12.75" customHeight="1" x14ac:dyDescent="0.2">
      <c r="A102" s="21"/>
      <c r="B102" s="3" t="s">
        <v>2</v>
      </c>
      <c r="C102" s="23" t="s">
        <v>1839</v>
      </c>
      <c r="D102" s="21"/>
    </row>
    <row r="103" spans="1:4" ht="12.75" customHeight="1" x14ac:dyDescent="0.2">
      <c r="A103" s="21"/>
      <c r="B103" s="3" t="s">
        <v>1840</v>
      </c>
      <c r="C103" s="23" t="s">
        <v>21</v>
      </c>
      <c r="D103" s="21"/>
    </row>
    <row r="104" spans="1:4" ht="12.75" customHeight="1" x14ac:dyDescent="0.2">
      <c r="A104" s="21"/>
      <c r="B104" s="3" t="s">
        <v>9</v>
      </c>
      <c r="C104" s="23" t="s">
        <v>250</v>
      </c>
      <c r="D104" s="21"/>
    </row>
    <row r="105" spans="1:4" ht="12.75" customHeight="1" x14ac:dyDescent="0.2">
      <c r="A105" s="21"/>
      <c r="B105" s="3" t="s">
        <v>11</v>
      </c>
      <c r="C105" s="23" t="s">
        <v>1084</v>
      </c>
      <c r="D105" s="21"/>
    </row>
    <row r="106" spans="1:4" ht="12.75" customHeight="1" x14ac:dyDescent="0.2">
      <c r="A106" s="21"/>
      <c r="B106" s="3" t="s">
        <v>16</v>
      </c>
      <c r="C106" s="23"/>
      <c r="D106" s="21"/>
    </row>
    <row r="107" spans="1:4" ht="12.75" customHeight="1" x14ac:dyDescent="0.2">
      <c r="A107" s="21"/>
      <c r="B107" s="3" t="s">
        <v>17</v>
      </c>
      <c r="C107" s="23" t="s">
        <v>19</v>
      </c>
      <c r="D107" s="21"/>
    </row>
    <row r="108" spans="1:4" ht="12.75" customHeight="1" x14ac:dyDescent="0.2">
      <c r="A108" s="21"/>
      <c r="B108" s="20" t="s">
        <v>18</v>
      </c>
      <c r="C108" s="8" t="s">
        <v>55</v>
      </c>
      <c r="D108" s="1" t="str">
        <f>HYPERLINK("javascript:void(0)","skivei bot")</f>
        <v>skivei bot</v>
      </c>
    </row>
    <row r="109" spans="1:4" ht="12.75" customHeight="1" x14ac:dyDescent="0.2">
      <c r="A109" s="21"/>
      <c r="B109" s="21"/>
      <c r="C109" s="8" t="s">
        <v>139</v>
      </c>
      <c r="D109" s="1" t="str">
        <f>HYPERLINK("javascript:void(0)","ércragacs")</f>
        <v>ércragacs</v>
      </c>
    </row>
    <row r="110" spans="1:4" ht="12.75" customHeight="1" x14ac:dyDescent="0.2">
      <c r="A110" s="21"/>
      <c r="B110" s="21"/>
      <c r="C110" s="8" t="s">
        <v>67</v>
      </c>
      <c r="D110" s="1" t="str">
        <f>HYPERLINK("javascript:void(0)","lepkeszárny")</f>
        <v>lepkeszárny</v>
      </c>
    </row>
    <row r="111" spans="1:4" ht="12.75" customHeight="1" x14ac:dyDescent="0.2">
      <c r="A111" s="21"/>
      <c r="B111" s="2"/>
      <c r="C111" s="7"/>
      <c r="D111" s="7"/>
    </row>
    <row r="112" spans="1:4" ht="12.75" customHeight="1" x14ac:dyDescent="0.2">
      <c r="A112" s="21"/>
      <c r="B112" s="2"/>
      <c r="C112" s="7"/>
      <c r="D112" s="7"/>
    </row>
    <row r="113" spans="1:4" ht="12.75" customHeight="1" x14ac:dyDescent="0.2">
      <c r="A113" s="21"/>
      <c r="B113" s="2"/>
      <c r="C113" s="7"/>
      <c r="D113" s="7"/>
    </row>
    <row r="114" spans="1:4" ht="12.75" customHeight="1" x14ac:dyDescent="0.2">
      <c r="A114" s="21"/>
      <c r="B114" s="2"/>
      <c r="C114" s="7"/>
      <c r="D114" s="7"/>
    </row>
    <row r="115" spans="1:4" ht="12.75" customHeight="1" x14ac:dyDescent="0.2">
      <c r="A115" s="5"/>
      <c r="B115" s="2"/>
      <c r="C115" s="7"/>
      <c r="D115" s="7"/>
    </row>
    <row r="116" spans="1:4" ht="12.75" customHeight="1" x14ac:dyDescent="0.2">
      <c r="A116" s="22" t="str">
        <f>HYPERLINK("javascript:void(0)","felváz")</f>
        <v>felváz</v>
      </c>
      <c r="B116" s="21"/>
      <c r="C116" s="21"/>
      <c r="D116" s="21"/>
    </row>
    <row r="117" spans="1:4" ht="12.75" customHeight="1" x14ac:dyDescent="0.2">
      <c r="A117" s="20"/>
      <c r="B117" s="2"/>
      <c r="C117" s="7"/>
      <c r="D117" s="7"/>
    </row>
    <row r="118" spans="1:4" ht="12.75" customHeight="1" x14ac:dyDescent="0.2">
      <c r="A118" s="21"/>
      <c r="B118" s="3" t="s">
        <v>0</v>
      </c>
      <c r="C118" s="23" t="s">
        <v>1</v>
      </c>
      <c r="D118" s="21"/>
    </row>
    <row r="119" spans="1:4" ht="12.75" customHeight="1" x14ac:dyDescent="0.2">
      <c r="A119" s="21"/>
      <c r="B119" s="3" t="s">
        <v>2</v>
      </c>
      <c r="C119" s="23" t="s">
        <v>1839</v>
      </c>
      <c r="D119" s="21"/>
    </row>
    <row r="120" spans="1:4" ht="12.75" customHeight="1" x14ac:dyDescent="0.2">
      <c r="A120" s="21"/>
      <c r="B120" s="3" t="s">
        <v>1840</v>
      </c>
      <c r="C120" s="23" t="s">
        <v>21</v>
      </c>
      <c r="D120" s="21"/>
    </row>
    <row r="121" spans="1:4" ht="12.75" customHeight="1" x14ac:dyDescent="0.2">
      <c r="A121" s="21"/>
      <c r="B121" s="3" t="s">
        <v>9</v>
      </c>
      <c r="C121" s="23" t="s">
        <v>1824</v>
      </c>
      <c r="D121" s="21"/>
    </row>
    <row r="122" spans="1:4" ht="12.75" customHeight="1" x14ac:dyDescent="0.2">
      <c r="A122" s="21"/>
      <c r="B122" s="3" t="s">
        <v>11</v>
      </c>
      <c r="C122" s="23" t="s">
        <v>530</v>
      </c>
      <c r="D122" s="21"/>
    </row>
    <row r="123" spans="1:4" ht="12.75" customHeight="1" x14ac:dyDescent="0.2">
      <c r="A123" s="21"/>
      <c r="B123" s="3" t="s">
        <v>16</v>
      </c>
      <c r="C123" s="23"/>
      <c r="D123" s="21"/>
    </row>
    <row r="124" spans="1:4" ht="12.75" customHeight="1" x14ac:dyDescent="0.2">
      <c r="A124" s="21"/>
      <c r="B124" s="3" t="s">
        <v>17</v>
      </c>
      <c r="C124" s="23" t="s">
        <v>19</v>
      </c>
      <c r="D124" s="21"/>
    </row>
    <row r="125" spans="1:4" ht="12.75" customHeight="1" x14ac:dyDescent="0.2">
      <c r="A125" s="21"/>
      <c r="B125" s="20" t="s">
        <v>18</v>
      </c>
      <c r="C125" s="8" t="s">
        <v>106</v>
      </c>
      <c r="D125" s="1" t="str">
        <f>HYPERLINK("javascript:void(0)","madártoll")</f>
        <v>madártoll</v>
      </c>
    </row>
    <row r="126" spans="1:4" ht="12.75" customHeight="1" x14ac:dyDescent="0.2">
      <c r="A126" s="21"/>
      <c r="B126" s="21"/>
      <c r="C126" s="8" t="s">
        <v>57</v>
      </c>
      <c r="D126" s="1" t="str">
        <f>HYPERLINK("javascript:void(0)","dadacsiganyál")</f>
        <v>dadacsiganyál</v>
      </c>
    </row>
    <row r="127" spans="1:4" ht="12.75" customHeight="1" x14ac:dyDescent="0.2">
      <c r="A127" s="21"/>
      <c r="B127" s="21"/>
      <c r="C127" s="8" t="s">
        <v>44</v>
      </c>
      <c r="D127" s="1" t="str">
        <f>HYPERLINK("javascript:void(0)","alváz")</f>
        <v>alváz</v>
      </c>
    </row>
    <row r="128" spans="1:4" ht="12.75" customHeight="1" x14ac:dyDescent="0.2">
      <c r="A128" s="21"/>
      <c r="B128" s="2"/>
      <c r="C128" s="7"/>
      <c r="D128" s="7"/>
    </row>
    <row r="129" spans="1:4" ht="12.75" customHeight="1" x14ac:dyDescent="0.2">
      <c r="A129" s="21"/>
      <c r="B129" s="2"/>
      <c r="C129" s="7"/>
      <c r="D129" s="7"/>
    </row>
    <row r="130" spans="1:4" ht="12.75" customHeight="1" x14ac:dyDescent="0.2">
      <c r="A130" s="21"/>
      <c r="B130" s="2"/>
      <c r="C130" s="7"/>
      <c r="D130" s="7"/>
    </row>
    <row r="131" spans="1:4" ht="12.75" customHeight="1" x14ac:dyDescent="0.2">
      <c r="A131" s="21"/>
      <c r="B131" s="2"/>
      <c r="C131" s="7"/>
      <c r="D131" s="7"/>
    </row>
    <row r="132" spans="1:4" ht="12.75" customHeight="1" x14ac:dyDescent="0.2">
      <c r="A132" s="5"/>
      <c r="B132" s="2"/>
      <c r="C132" s="7"/>
      <c r="D132" s="7"/>
    </row>
    <row r="133" spans="1:4" ht="12.75" customHeight="1" x14ac:dyDescent="0.2">
      <c r="A133" s="22" t="str">
        <f>HYPERLINK("javascript:void(0)","csalimadár")</f>
        <v>csalimadár</v>
      </c>
      <c r="B133" s="21"/>
      <c r="C133" s="21"/>
      <c r="D133" s="21"/>
    </row>
    <row r="134" spans="1:4" ht="12.75" customHeight="1" x14ac:dyDescent="0.2">
      <c r="A134" s="20"/>
      <c r="B134" s="2"/>
      <c r="C134" s="7"/>
      <c r="D134" s="7"/>
    </row>
    <row r="135" spans="1:4" ht="12.75" customHeight="1" x14ac:dyDescent="0.2">
      <c r="A135" s="21"/>
      <c r="B135" s="3" t="s">
        <v>0</v>
      </c>
      <c r="C135" s="23" t="s">
        <v>1</v>
      </c>
      <c r="D135" s="21"/>
    </row>
    <row r="136" spans="1:4" ht="12.75" customHeight="1" x14ac:dyDescent="0.2">
      <c r="A136" s="21"/>
      <c r="B136" s="3" t="s">
        <v>2</v>
      </c>
      <c r="C136" s="23" t="s">
        <v>1839</v>
      </c>
      <c r="D136" s="21"/>
    </row>
    <row r="137" spans="1:4" ht="12.75" customHeight="1" x14ac:dyDescent="0.2">
      <c r="A137" s="21"/>
      <c r="B137" s="3" t="s">
        <v>1840</v>
      </c>
      <c r="C137" s="23" t="s">
        <v>21</v>
      </c>
      <c r="D137" s="21"/>
    </row>
    <row r="138" spans="1:4" ht="12.75" customHeight="1" x14ac:dyDescent="0.2">
      <c r="A138" s="21"/>
      <c r="B138" s="3" t="s">
        <v>9</v>
      </c>
      <c r="C138" s="23" t="s">
        <v>131</v>
      </c>
      <c r="D138" s="21"/>
    </row>
    <row r="139" spans="1:4" ht="12.75" customHeight="1" x14ac:dyDescent="0.2">
      <c r="A139" s="21"/>
      <c r="B139" s="3" t="s">
        <v>11</v>
      </c>
      <c r="C139" s="23" t="s">
        <v>23</v>
      </c>
      <c r="D139" s="21"/>
    </row>
    <row r="140" spans="1:4" ht="12.75" customHeight="1" x14ac:dyDescent="0.2">
      <c r="A140" s="21"/>
      <c r="B140" s="3" t="s">
        <v>16</v>
      </c>
      <c r="C140" s="23"/>
      <c r="D140" s="21"/>
    </row>
    <row r="141" spans="1:4" ht="12.75" customHeight="1" x14ac:dyDescent="0.2">
      <c r="A141" s="21"/>
      <c r="B141" s="3" t="s">
        <v>17</v>
      </c>
      <c r="C141" s="23" t="s">
        <v>19</v>
      </c>
      <c r="D141" s="21"/>
    </row>
    <row r="142" spans="1:4" ht="12.75" customHeight="1" x14ac:dyDescent="0.2">
      <c r="A142" s="21"/>
      <c r="B142" s="20" t="s">
        <v>18</v>
      </c>
      <c r="C142" s="8" t="s">
        <v>44</v>
      </c>
      <c r="D142" s="1" t="str">
        <f>HYPERLINK("javascript:void(0)","felváz")</f>
        <v>felváz</v>
      </c>
    </row>
    <row r="143" spans="1:4" ht="12.75" customHeight="1" x14ac:dyDescent="0.2">
      <c r="A143" s="21"/>
      <c r="B143" s="21"/>
      <c r="C143" s="8" t="s">
        <v>44</v>
      </c>
      <c r="D143" s="1" t="str">
        <f>HYPERLINK("javascript:void(0)","átokesszencia")</f>
        <v>átokesszencia</v>
      </c>
    </row>
    <row r="144" spans="1:4" ht="12.75" customHeight="1" x14ac:dyDescent="0.2">
      <c r="A144" s="21"/>
      <c r="B144" s="21"/>
      <c r="C144" s="8" t="s">
        <v>44</v>
      </c>
      <c r="D144" s="1" t="str">
        <f>HYPERLINK("javascript:void(0)","dadacsiganyál")</f>
        <v>dadacsiganyál</v>
      </c>
    </row>
    <row r="145" spans="1:4" ht="12.75" customHeight="1" x14ac:dyDescent="0.2">
      <c r="A145" s="21"/>
      <c r="B145" s="2"/>
      <c r="C145" s="7"/>
      <c r="D145" s="7"/>
    </row>
    <row r="146" spans="1:4" ht="12.75" customHeight="1" x14ac:dyDescent="0.2">
      <c r="A146" s="21"/>
      <c r="B146" s="2"/>
      <c r="C146" s="7"/>
      <c r="D146" s="7"/>
    </row>
    <row r="147" spans="1:4" ht="12.75" customHeight="1" x14ac:dyDescent="0.2">
      <c r="A147" s="21"/>
      <c r="B147" s="2"/>
      <c r="C147" s="7"/>
      <c r="D147" s="7"/>
    </row>
    <row r="148" spans="1:4" ht="12.75" customHeight="1" x14ac:dyDescent="0.2">
      <c r="A148" s="21"/>
      <c r="B148" s="2"/>
      <c r="C148" s="7"/>
      <c r="D148" s="7"/>
    </row>
    <row r="149" spans="1:4" ht="12.75" customHeight="1" x14ac:dyDescent="0.2">
      <c r="A149" s="5"/>
      <c r="B149" s="2"/>
      <c r="C149" s="7"/>
      <c r="D149" s="7"/>
    </row>
    <row r="150" spans="1:4" ht="12.75" customHeight="1" x14ac:dyDescent="0.2">
      <c r="A150" s="22" t="str">
        <f>HYPERLINK("javascript:void(0)","Palimadár")</f>
        <v>Palimadár</v>
      </c>
      <c r="B150" s="21"/>
      <c r="C150" s="21"/>
      <c r="D150" s="21"/>
    </row>
    <row r="151" spans="1:4" ht="12.75" customHeight="1" x14ac:dyDescent="0.2">
      <c r="A151" s="20"/>
      <c r="B151" s="2"/>
      <c r="C151" s="7"/>
      <c r="D151" s="7"/>
    </row>
    <row r="152" spans="1:4" ht="12.75" customHeight="1" x14ac:dyDescent="0.2">
      <c r="A152" s="21"/>
      <c r="B152" s="3" t="s">
        <v>0</v>
      </c>
      <c r="C152" s="23" t="s">
        <v>1</v>
      </c>
      <c r="D152" s="21"/>
    </row>
    <row r="153" spans="1:4" ht="12.75" customHeight="1" x14ac:dyDescent="0.2">
      <c r="A153" s="21"/>
      <c r="B153" s="3" t="s">
        <v>2</v>
      </c>
      <c r="C153" s="23" t="s">
        <v>1839</v>
      </c>
      <c r="D153" s="21"/>
    </row>
    <row r="154" spans="1:4" ht="12.75" customHeight="1" x14ac:dyDescent="0.2">
      <c r="A154" s="21"/>
      <c r="B154" s="3" t="s">
        <v>1840</v>
      </c>
      <c r="C154" s="23" t="s">
        <v>21</v>
      </c>
      <c r="D154" s="21"/>
    </row>
    <row r="155" spans="1:4" ht="12.75" customHeight="1" x14ac:dyDescent="0.2">
      <c r="A155" s="21"/>
      <c r="B155" s="3" t="s">
        <v>9</v>
      </c>
      <c r="C155" s="23" t="s">
        <v>27</v>
      </c>
      <c r="D155" s="21"/>
    </row>
    <row r="156" spans="1:4" ht="12.75" customHeight="1" x14ac:dyDescent="0.2">
      <c r="A156" s="21"/>
      <c r="B156" s="3" t="s">
        <v>11</v>
      </c>
      <c r="C156" s="23" t="s">
        <v>23</v>
      </c>
      <c r="D156" s="21"/>
    </row>
    <row r="157" spans="1:4" ht="12.75" customHeight="1" x14ac:dyDescent="0.2">
      <c r="A157" s="21"/>
      <c r="B157" s="3" t="s">
        <v>16</v>
      </c>
      <c r="C157" s="23"/>
      <c r="D157" s="21"/>
    </row>
    <row r="158" spans="1:4" ht="12.75" customHeight="1" x14ac:dyDescent="0.2">
      <c r="A158" s="21"/>
      <c r="B158" s="3" t="s">
        <v>17</v>
      </c>
      <c r="C158" s="23" t="s">
        <v>19</v>
      </c>
      <c r="D158" s="21"/>
    </row>
    <row r="159" spans="1:4" ht="12.75" customHeight="1" x14ac:dyDescent="0.2">
      <c r="A159" s="21"/>
      <c r="B159" s="20" t="s">
        <v>18</v>
      </c>
      <c r="C159" s="8" t="s">
        <v>44</v>
      </c>
      <c r="D159" s="1" t="str">
        <f>HYPERLINK("javascript:void(0)","csalimadár")</f>
        <v>csalimadár</v>
      </c>
    </row>
    <row r="160" spans="1:4" ht="12.75" customHeight="1" x14ac:dyDescent="0.2">
      <c r="A160" s="21"/>
      <c r="B160" s="21"/>
      <c r="C160" s="8" t="s">
        <v>193</v>
      </c>
      <c r="D160" s="1" t="str">
        <f>HYPERLINK("javascript:void(0)","ércragacs")</f>
        <v>ércragacs</v>
      </c>
    </row>
    <row r="161" spans="1:4" ht="12.75" customHeight="1" x14ac:dyDescent="0.2">
      <c r="A161" s="21"/>
      <c r="B161" s="21"/>
      <c r="C161" s="8" t="s">
        <v>44</v>
      </c>
      <c r="D161" s="1" t="str">
        <f>HYPERLINK("javascript:void(0)","fülpenge")</f>
        <v>fülpenge</v>
      </c>
    </row>
    <row r="162" spans="1:4" ht="12.75" customHeight="1" x14ac:dyDescent="0.2">
      <c r="A162" s="21"/>
      <c r="B162" s="2"/>
      <c r="C162" s="7"/>
      <c r="D162" s="7"/>
    </row>
    <row r="163" spans="1:4" ht="12.75" customHeight="1" x14ac:dyDescent="0.2">
      <c r="A163" s="21"/>
      <c r="B163" s="2"/>
      <c r="C163" s="7"/>
      <c r="D163" s="7"/>
    </row>
    <row r="164" spans="1:4" ht="12.75" customHeight="1" x14ac:dyDescent="0.2">
      <c r="A164" s="21"/>
      <c r="B164" s="2"/>
      <c r="C164" s="7"/>
      <c r="D164" s="7"/>
    </row>
    <row r="165" spans="1:4" ht="12.75" customHeight="1" x14ac:dyDescent="0.2">
      <c r="A165" s="21"/>
      <c r="B165" s="2"/>
      <c r="C165" s="7"/>
      <c r="D165" s="7"/>
    </row>
    <row r="166" spans="1:4" ht="12.75" customHeight="1" x14ac:dyDescent="0.2">
      <c r="A166" s="5"/>
      <c r="B166" s="2"/>
      <c r="C166" s="7"/>
      <c r="D166" s="7"/>
    </row>
    <row r="167" spans="1:4" ht="12.75" customHeight="1" x14ac:dyDescent="0.2">
      <c r="A167" s="22" t="str">
        <f>HYPERLINK("javascript:void(0)","varázsgolyó")</f>
        <v>varázsgolyó</v>
      </c>
      <c r="B167" s="21"/>
      <c r="C167" s="21"/>
      <c r="D167" s="21"/>
    </row>
    <row r="168" spans="1:4" ht="12.75" customHeight="1" x14ac:dyDescent="0.2">
      <c r="A168" s="20"/>
      <c r="B168" s="2"/>
      <c r="C168" s="7"/>
      <c r="D168" s="7"/>
    </row>
    <row r="169" spans="1:4" ht="12.75" customHeight="1" x14ac:dyDescent="0.2">
      <c r="A169" s="21"/>
      <c r="B169" s="3" t="s">
        <v>0</v>
      </c>
      <c r="C169" s="23" t="s">
        <v>1</v>
      </c>
      <c r="D169" s="21"/>
    </row>
    <row r="170" spans="1:4" ht="12.75" customHeight="1" x14ac:dyDescent="0.2">
      <c r="A170" s="21"/>
      <c r="B170" s="3" t="s">
        <v>2</v>
      </c>
      <c r="C170" s="23" t="s">
        <v>1839</v>
      </c>
      <c r="D170" s="21"/>
    </row>
    <row r="171" spans="1:4" ht="12.75" customHeight="1" x14ac:dyDescent="0.2">
      <c r="A171" s="21"/>
      <c r="B171" s="3" t="s">
        <v>1840</v>
      </c>
      <c r="C171" s="23" t="s">
        <v>21</v>
      </c>
      <c r="D171" s="21"/>
    </row>
    <row r="172" spans="1:4" ht="12.75" customHeight="1" x14ac:dyDescent="0.2">
      <c r="A172" s="21"/>
      <c r="B172" s="3" t="s">
        <v>9</v>
      </c>
      <c r="C172" s="23" t="s">
        <v>404</v>
      </c>
      <c r="D172" s="21"/>
    </row>
    <row r="173" spans="1:4" ht="12.75" customHeight="1" x14ac:dyDescent="0.2">
      <c r="A173" s="21"/>
      <c r="B173" s="3" t="s">
        <v>11</v>
      </c>
      <c r="C173" s="23" t="s">
        <v>1849</v>
      </c>
      <c r="D173" s="21"/>
    </row>
    <row r="174" spans="1:4" ht="12.75" customHeight="1" x14ac:dyDescent="0.2">
      <c r="A174" s="21"/>
      <c r="B174" s="3" t="s">
        <v>16</v>
      </c>
      <c r="C174" s="23"/>
      <c r="D174" s="21"/>
    </row>
    <row r="175" spans="1:4" ht="12.75" customHeight="1" x14ac:dyDescent="0.2">
      <c r="A175" s="21"/>
      <c r="B175" s="3" t="s">
        <v>17</v>
      </c>
      <c r="C175" s="23" t="s">
        <v>19</v>
      </c>
      <c r="D175" s="21"/>
    </row>
    <row r="176" spans="1:4" ht="12.75" customHeight="1" x14ac:dyDescent="0.2">
      <c r="A176" s="21"/>
      <c r="B176" s="20" t="s">
        <v>18</v>
      </c>
      <c r="C176" s="8" t="s">
        <v>44</v>
      </c>
      <c r="D176" s="1" t="str">
        <f>HYPERLINK("javascript:void(0)","varázsrög")</f>
        <v>varázsrög</v>
      </c>
    </row>
    <row r="177" spans="1:4" ht="12.75" customHeight="1" x14ac:dyDescent="0.2">
      <c r="A177" s="21"/>
      <c r="B177" s="21"/>
      <c r="C177" s="8" t="s">
        <v>56</v>
      </c>
      <c r="D177" s="1" t="str">
        <f>HYPERLINK("javascript:void(0)","kincs")</f>
        <v>kincs</v>
      </c>
    </row>
    <row r="178" spans="1:4" ht="12.75" customHeight="1" x14ac:dyDescent="0.2">
      <c r="A178" s="21"/>
      <c r="B178" s="21"/>
      <c r="C178" s="8" t="s">
        <v>44</v>
      </c>
      <c r="D178" s="1" t="str">
        <f>HYPERLINK("javascript:void(0)","gyémánt")</f>
        <v>gyémánt</v>
      </c>
    </row>
    <row r="179" spans="1:4" ht="12.75" customHeight="1" x14ac:dyDescent="0.2">
      <c r="A179" s="21"/>
      <c r="B179" s="2"/>
      <c r="C179" s="7"/>
      <c r="D179" s="7"/>
    </row>
    <row r="180" spans="1:4" ht="12.75" customHeight="1" x14ac:dyDescent="0.2">
      <c r="A180" s="21"/>
      <c r="B180" s="2"/>
      <c r="C180" s="7"/>
      <c r="D180" s="7"/>
    </row>
    <row r="181" spans="1:4" ht="12.75" customHeight="1" x14ac:dyDescent="0.2">
      <c r="A181" s="21"/>
      <c r="B181" s="2"/>
      <c r="C181" s="7"/>
      <c r="D181" s="7"/>
    </row>
    <row r="182" spans="1:4" ht="12.75" customHeight="1" x14ac:dyDescent="0.2">
      <c r="A182" s="21"/>
      <c r="B182" s="2"/>
      <c r="C182" s="7"/>
      <c r="D182" s="7"/>
    </row>
    <row r="183" spans="1:4" ht="12.75" customHeight="1" x14ac:dyDescent="0.2">
      <c r="A183" s="5"/>
      <c r="B183" s="2"/>
      <c r="C183" s="7"/>
      <c r="D183" s="7"/>
    </row>
    <row r="184" spans="1:4" ht="12.75" customHeight="1" x14ac:dyDescent="0.2">
      <c r="A184" s="22" t="str">
        <f>HYPERLINK("javascript:void(0)","csillámló törpepajzs")</f>
        <v>csillámló törpepajzs</v>
      </c>
      <c r="B184" s="21"/>
      <c r="C184" s="21"/>
      <c r="D184" s="7"/>
    </row>
    <row r="185" spans="1:4" ht="12.75" customHeight="1" x14ac:dyDescent="0.2">
      <c r="A185" s="20"/>
      <c r="B185" s="2"/>
      <c r="C185" s="7"/>
      <c r="D185" s="7"/>
    </row>
    <row r="186" spans="1:4" ht="12.75" customHeight="1" x14ac:dyDescent="0.2">
      <c r="A186" s="21"/>
      <c r="B186" s="3" t="s">
        <v>0</v>
      </c>
      <c r="C186" s="9" t="s">
        <v>1</v>
      </c>
      <c r="D186" s="7"/>
    </row>
    <row r="187" spans="1:4" ht="12.75" customHeight="1" x14ac:dyDescent="0.2">
      <c r="A187" s="21"/>
      <c r="B187" s="3" t="s">
        <v>2</v>
      </c>
      <c r="C187" s="9" t="s">
        <v>1839</v>
      </c>
      <c r="D187" s="7"/>
    </row>
    <row r="188" spans="1:4" ht="12.75" customHeight="1" x14ac:dyDescent="0.2">
      <c r="A188" s="21"/>
      <c r="B188" s="3" t="s">
        <v>1840</v>
      </c>
      <c r="C188" s="9" t="s">
        <v>1852</v>
      </c>
      <c r="D188" s="7"/>
    </row>
    <row r="189" spans="1:4" ht="12.75" customHeight="1" x14ac:dyDescent="0.2">
      <c r="A189" s="21"/>
      <c r="B189" s="3" t="s">
        <v>9</v>
      </c>
      <c r="C189" s="9" t="s">
        <v>404</v>
      </c>
      <c r="D189" s="7"/>
    </row>
    <row r="190" spans="1:4" ht="12.75" customHeight="1" x14ac:dyDescent="0.2">
      <c r="A190" s="21"/>
      <c r="B190" s="3" t="s">
        <v>11</v>
      </c>
      <c r="C190" s="9" t="s">
        <v>23</v>
      </c>
      <c r="D190" s="7"/>
    </row>
    <row r="191" spans="1:4" ht="12.75" customHeight="1" x14ac:dyDescent="0.2">
      <c r="A191" s="21"/>
      <c r="B191" s="3" t="s">
        <v>16</v>
      </c>
      <c r="C191" s="9"/>
      <c r="D191" s="7"/>
    </row>
    <row r="192" spans="1:4" ht="12.75" customHeight="1" x14ac:dyDescent="0.2">
      <c r="A192" s="21"/>
      <c r="B192" s="3" t="s">
        <v>17</v>
      </c>
      <c r="C192" s="9" t="s">
        <v>19</v>
      </c>
      <c r="D192" s="7"/>
    </row>
    <row r="193" spans="1:4" ht="12.75" customHeight="1" x14ac:dyDescent="0.2">
      <c r="A193" s="21"/>
      <c r="B193" s="3" t="s">
        <v>18</v>
      </c>
      <c r="C193" s="8" t="s">
        <v>19</v>
      </c>
      <c r="D193" s="7"/>
    </row>
    <row r="194" spans="1:4" ht="12.75" customHeight="1" x14ac:dyDescent="0.2">
      <c r="A194" s="21"/>
      <c r="B194" s="2"/>
      <c r="C194" s="7"/>
      <c r="D194" s="7"/>
    </row>
    <row r="195" spans="1:4" ht="12.75" customHeight="1" x14ac:dyDescent="0.2">
      <c r="A195" s="21"/>
      <c r="B195" s="2"/>
      <c r="C195" s="7"/>
      <c r="D195" s="7"/>
    </row>
    <row r="196" spans="1:4" ht="12.75" customHeight="1" x14ac:dyDescent="0.2">
      <c r="A196" s="21"/>
      <c r="B196" s="2"/>
      <c r="C196" s="7"/>
      <c r="D196" s="7"/>
    </row>
    <row r="197" spans="1:4" ht="12.75" customHeight="1" x14ac:dyDescent="0.2">
      <c r="A197" s="21"/>
      <c r="B197" s="2"/>
      <c r="C197" s="7"/>
      <c r="D197" s="7"/>
    </row>
    <row r="198" spans="1:4" ht="12.75" customHeight="1" x14ac:dyDescent="0.2">
      <c r="A198" s="5"/>
      <c r="B198" s="2"/>
      <c r="C198" s="7"/>
      <c r="D198" s="7"/>
    </row>
    <row r="199" spans="1:4" ht="12.75" customHeight="1" x14ac:dyDescent="0.2">
      <c r="A199" s="22" t="str">
        <f>HYPERLINK("javascript:void(0)","rézsisak")</f>
        <v>rézsisak</v>
      </c>
      <c r="B199" s="21"/>
      <c r="C199" s="21"/>
      <c r="D199" s="7"/>
    </row>
    <row r="200" spans="1:4" ht="12.75" customHeight="1" x14ac:dyDescent="0.2">
      <c r="A200" s="20"/>
      <c r="B200" s="2"/>
      <c r="C200" s="7"/>
      <c r="D200" s="7"/>
    </row>
    <row r="201" spans="1:4" ht="12.75" customHeight="1" x14ac:dyDescent="0.2">
      <c r="A201" s="21"/>
      <c r="B201" s="3" t="s">
        <v>0</v>
      </c>
      <c r="C201" s="9" t="s">
        <v>25</v>
      </c>
      <c r="D201" s="7"/>
    </row>
    <row r="202" spans="1:4" ht="12.75" customHeight="1" x14ac:dyDescent="0.2">
      <c r="A202" s="21"/>
      <c r="B202" s="3" t="s">
        <v>2</v>
      </c>
      <c r="C202" s="9"/>
      <c r="D202" s="7"/>
    </row>
    <row r="203" spans="1:4" ht="12.75" customHeight="1" x14ac:dyDescent="0.2">
      <c r="A203" s="21"/>
      <c r="B203" s="3" t="s">
        <v>1840</v>
      </c>
      <c r="C203" s="9" t="s">
        <v>25</v>
      </c>
      <c r="D203" s="7"/>
    </row>
    <row r="204" spans="1:4" ht="12.75" customHeight="1" x14ac:dyDescent="0.2">
      <c r="A204" s="21"/>
      <c r="B204" s="3" t="s">
        <v>9</v>
      </c>
      <c r="C204" s="9" t="s">
        <v>374</v>
      </c>
      <c r="D204" s="7"/>
    </row>
    <row r="205" spans="1:4" ht="12.75" customHeight="1" x14ac:dyDescent="0.2">
      <c r="A205" s="21"/>
      <c r="B205" s="3" t="s">
        <v>11</v>
      </c>
      <c r="C205" s="9" t="s">
        <v>12</v>
      </c>
      <c r="D205" s="7"/>
    </row>
    <row r="206" spans="1:4" ht="12.75" customHeight="1" x14ac:dyDescent="0.2">
      <c r="A206" s="21"/>
      <c r="B206" s="3" t="s">
        <v>16</v>
      </c>
      <c r="C206" s="9"/>
      <c r="D206" s="7"/>
    </row>
    <row r="207" spans="1:4" ht="12.75" customHeight="1" x14ac:dyDescent="0.2">
      <c r="A207" s="21"/>
      <c r="B207" s="3" t="s">
        <v>17</v>
      </c>
      <c r="C207" s="9" t="s">
        <v>19</v>
      </c>
      <c r="D207" s="7"/>
    </row>
    <row r="208" spans="1:4" ht="12.75" customHeight="1" x14ac:dyDescent="0.2">
      <c r="A208" s="21"/>
      <c r="B208" s="3" t="s">
        <v>18</v>
      </c>
      <c r="C208" s="8" t="s">
        <v>19</v>
      </c>
      <c r="D208" s="7"/>
    </row>
    <row r="209" spans="1:4" ht="12.75" customHeight="1" x14ac:dyDescent="0.2">
      <c r="A209" s="21"/>
      <c r="B209" s="2"/>
      <c r="C209" s="7"/>
      <c r="D209" s="7"/>
    </row>
    <row r="210" spans="1:4" ht="12.75" customHeight="1" x14ac:dyDescent="0.2">
      <c r="A210" s="21"/>
      <c r="B210" s="2"/>
      <c r="C210" s="7"/>
      <c r="D210" s="7"/>
    </row>
    <row r="211" spans="1:4" ht="12.75" customHeight="1" x14ac:dyDescent="0.2">
      <c r="A211" s="21"/>
      <c r="B211" s="2"/>
      <c r="C211" s="7"/>
      <c r="D211" s="7"/>
    </row>
    <row r="212" spans="1:4" ht="12.75" customHeight="1" x14ac:dyDescent="0.2">
      <c r="A212" s="21"/>
      <c r="B212" s="2"/>
      <c r="C212" s="7"/>
      <c r="D212" s="7"/>
    </row>
    <row r="213" spans="1:4" ht="12.75" customHeight="1" x14ac:dyDescent="0.2">
      <c r="A213" s="5"/>
      <c r="B213" s="2"/>
      <c r="C213" s="7"/>
      <c r="D213" s="7"/>
    </row>
    <row r="214" spans="1:4" ht="12.75" customHeight="1" x14ac:dyDescent="0.2">
      <c r="A214" s="22" t="str">
        <f>HYPERLINK("javascript:void(0)","surranó")</f>
        <v>surranó</v>
      </c>
      <c r="B214" s="21"/>
      <c r="C214" s="21"/>
      <c r="D214" s="7"/>
    </row>
    <row r="215" spans="1:4" ht="12.75" customHeight="1" x14ac:dyDescent="0.2">
      <c r="A215" s="20"/>
      <c r="B215" s="2"/>
      <c r="C215" s="7"/>
      <c r="D215" s="7"/>
    </row>
    <row r="216" spans="1:4" ht="12.75" customHeight="1" x14ac:dyDescent="0.2">
      <c r="A216" s="21"/>
      <c r="B216" s="3" t="s">
        <v>0</v>
      </c>
      <c r="C216" s="9" t="s">
        <v>25</v>
      </c>
      <c r="D216" s="7"/>
    </row>
    <row r="217" spans="1:4" ht="12.75" customHeight="1" x14ac:dyDescent="0.2">
      <c r="A217" s="21"/>
      <c r="B217" s="3" t="s">
        <v>2</v>
      </c>
      <c r="C217" s="9"/>
      <c r="D217" s="7"/>
    </row>
    <row r="218" spans="1:4" ht="12.75" customHeight="1" x14ac:dyDescent="0.2">
      <c r="A218" s="21"/>
      <c r="B218" s="3" t="s">
        <v>1840</v>
      </c>
      <c r="C218" s="9" t="s">
        <v>1</v>
      </c>
      <c r="D218" s="7"/>
    </row>
    <row r="219" spans="1:4" ht="12.75" customHeight="1" x14ac:dyDescent="0.2">
      <c r="A219" s="21"/>
      <c r="B219" s="3" t="s">
        <v>9</v>
      </c>
      <c r="C219" s="9" t="s">
        <v>27</v>
      </c>
      <c r="D219" s="7"/>
    </row>
    <row r="220" spans="1:4" ht="12.75" customHeight="1" x14ac:dyDescent="0.2">
      <c r="A220" s="21"/>
      <c r="B220" s="3" t="s">
        <v>11</v>
      </c>
      <c r="C220" s="9" t="s">
        <v>12</v>
      </c>
      <c r="D220" s="7"/>
    </row>
    <row r="221" spans="1:4" ht="12.75" customHeight="1" x14ac:dyDescent="0.2">
      <c r="A221" s="21"/>
      <c r="B221" s="3" t="s">
        <v>16</v>
      </c>
      <c r="C221" s="9"/>
      <c r="D221" s="7"/>
    </row>
    <row r="222" spans="1:4" ht="12.75" customHeight="1" x14ac:dyDescent="0.2">
      <c r="A222" s="21"/>
      <c r="B222" s="3" t="s">
        <v>17</v>
      </c>
      <c r="C222" s="9" t="s">
        <v>19</v>
      </c>
      <c r="D222" s="7"/>
    </row>
    <row r="223" spans="1:4" ht="12.75" customHeight="1" x14ac:dyDescent="0.2">
      <c r="A223" s="21"/>
      <c r="B223" s="3" t="s">
        <v>18</v>
      </c>
      <c r="C223" s="8" t="s">
        <v>19</v>
      </c>
      <c r="D223" s="7"/>
    </row>
    <row r="224" spans="1:4" ht="12.75" customHeight="1" x14ac:dyDescent="0.2">
      <c r="A224" s="21"/>
      <c r="B224" s="2"/>
      <c r="C224" s="7"/>
      <c r="D224" s="7"/>
    </row>
    <row r="225" spans="1:4" ht="12.75" customHeight="1" x14ac:dyDescent="0.2">
      <c r="A225" s="21"/>
      <c r="B225" s="2"/>
      <c r="C225" s="7"/>
      <c r="D225" s="7"/>
    </row>
    <row r="226" spans="1:4" ht="12.75" customHeight="1" x14ac:dyDescent="0.2">
      <c r="A226" s="21"/>
      <c r="B226" s="2"/>
      <c r="C226" s="7"/>
      <c r="D226" s="7"/>
    </row>
    <row r="227" spans="1:4" ht="12.75" customHeight="1" x14ac:dyDescent="0.2">
      <c r="A227" s="21"/>
      <c r="B227" s="2"/>
      <c r="C227" s="7"/>
      <c r="D227" s="7"/>
    </row>
    <row r="228" spans="1:4" ht="12.75" customHeight="1" x14ac:dyDescent="0.2">
      <c r="A228" s="5"/>
      <c r="B228" s="2"/>
      <c r="C228" s="7"/>
      <c r="D228" s="7"/>
    </row>
    <row r="229" spans="1:4" ht="12.75" customHeight="1" x14ac:dyDescent="0.2">
      <c r="A229" s="22" t="str">
        <f>HYPERLINK("javascript:void(0)","ezüströg")</f>
        <v>ezüströg</v>
      </c>
      <c r="B229" s="21"/>
      <c r="C229" s="21"/>
      <c r="D229" s="21"/>
    </row>
    <row r="230" spans="1:4" ht="12.75" customHeight="1" x14ac:dyDescent="0.2">
      <c r="A230" s="20"/>
      <c r="B230" s="2"/>
      <c r="C230" s="7"/>
      <c r="D230" s="7"/>
    </row>
    <row r="231" spans="1:4" ht="12.75" customHeight="1" x14ac:dyDescent="0.2">
      <c r="A231" s="21"/>
      <c r="B231" s="3" t="s">
        <v>0</v>
      </c>
      <c r="C231" s="23" t="s">
        <v>25</v>
      </c>
      <c r="D231" s="21"/>
    </row>
    <row r="232" spans="1:4" ht="12.75" customHeight="1" x14ac:dyDescent="0.2">
      <c r="A232" s="21"/>
      <c r="B232" s="3" t="s">
        <v>2</v>
      </c>
      <c r="C232" s="23" t="s">
        <v>1839</v>
      </c>
      <c r="D232" s="21"/>
    </row>
    <row r="233" spans="1:4" ht="12.75" customHeight="1" x14ac:dyDescent="0.2">
      <c r="A233" s="21"/>
      <c r="B233" s="3" t="s">
        <v>1840</v>
      </c>
      <c r="C233" s="23" t="s">
        <v>21</v>
      </c>
      <c r="D233" s="21"/>
    </row>
    <row r="234" spans="1:4" ht="12.75" customHeight="1" x14ac:dyDescent="0.2">
      <c r="A234" s="21"/>
      <c r="B234" s="3" t="s">
        <v>9</v>
      </c>
      <c r="C234" s="23" t="s">
        <v>42</v>
      </c>
      <c r="D234" s="21"/>
    </row>
    <row r="235" spans="1:4" ht="12.75" customHeight="1" x14ac:dyDescent="0.2">
      <c r="A235" s="21"/>
      <c r="B235" s="3" t="s">
        <v>11</v>
      </c>
      <c r="C235" s="23" t="s">
        <v>486</v>
      </c>
      <c r="D235" s="21"/>
    </row>
    <row r="236" spans="1:4" ht="12.75" customHeight="1" x14ac:dyDescent="0.2">
      <c r="A236" s="21"/>
      <c r="B236" s="3" t="s">
        <v>16</v>
      </c>
      <c r="C236" s="23"/>
      <c r="D236" s="21"/>
    </row>
    <row r="237" spans="1:4" ht="12.75" customHeight="1" x14ac:dyDescent="0.2">
      <c r="A237" s="21"/>
      <c r="B237" s="3" t="s">
        <v>17</v>
      </c>
      <c r="C237" s="23" t="s">
        <v>19</v>
      </c>
      <c r="D237" s="21"/>
    </row>
    <row r="238" spans="1:4" ht="12.75" customHeight="1" x14ac:dyDescent="0.2">
      <c r="A238" s="21"/>
      <c r="B238" s="20" t="s">
        <v>18</v>
      </c>
      <c r="C238" s="8" t="s">
        <v>1844</v>
      </c>
      <c r="D238" s="1" t="str">
        <f>HYPERLINK("javascript:void(0)","ezüst")</f>
        <v>ezüst</v>
      </c>
    </row>
    <row r="239" spans="1:4" ht="12.75" customHeight="1" x14ac:dyDescent="0.2">
      <c r="A239" s="21"/>
      <c r="B239" s="21"/>
      <c r="C239" s="8" t="s">
        <v>193</v>
      </c>
      <c r="D239" s="1" t="str">
        <f>HYPERLINK("javascript:void(0)","vasérc")</f>
        <v>vasérc</v>
      </c>
    </row>
    <row r="240" spans="1:4" ht="12.75" customHeight="1" x14ac:dyDescent="0.2">
      <c r="A240" s="21"/>
      <c r="B240" s="21"/>
      <c r="C240" s="8" t="s">
        <v>193</v>
      </c>
      <c r="D240" s="1" t="str">
        <f>HYPERLINK("javascript:void(0)","rézérc")</f>
        <v>rézérc</v>
      </c>
    </row>
    <row r="241" spans="1:4" ht="12.75" customHeight="1" x14ac:dyDescent="0.2">
      <c r="A241" s="21"/>
      <c r="B241" s="2"/>
      <c r="C241" s="7"/>
      <c r="D241" s="7"/>
    </row>
    <row r="242" spans="1:4" ht="12.75" customHeight="1" x14ac:dyDescent="0.2">
      <c r="A242" s="21"/>
      <c r="B242" s="2"/>
      <c r="C242" s="7"/>
      <c r="D242" s="7"/>
    </row>
    <row r="243" spans="1:4" ht="12.75" customHeight="1" x14ac:dyDescent="0.2">
      <c r="A243" s="21"/>
      <c r="B243" s="2"/>
      <c r="C243" s="7"/>
      <c r="D243" s="7"/>
    </row>
    <row r="244" spans="1:4" ht="12.75" customHeight="1" x14ac:dyDescent="0.2">
      <c r="A244" s="21"/>
      <c r="B244" s="2"/>
      <c r="C244" s="7"/>
      <c r="D244" s="7"/>
    </row>
    <row r="245" spans="1:4" ht="12.75" customHeight="1" x14ac:dyDescent="0.2">
      <c r="A245" s="5"/>
      <c r="B245" s="2"/>
      <c r="C245" s="7"/>
      <c r="D245" s="7"/>
    </row>
    <row r="246" spans="1:4" ht="12.75" customHeight="1" x14ac:dyDescent="0.2">
      <c r="A246" s="22" t="str">
        <f>HYPERLINK("javascript:void(0)","építőkő")</f>
        <v>építőkő</v>
      </c>
      <c r="B246" s="21"/>
      <c r="C246" s="21"/>
      <c r="D246" s="21"/>
    </row>
    <row r="247" spans="1:4" ht="12.75" customHeight="1" x14ac:dyDescent="0.2">
      <c r="A247" s="20"/>
      <c r="B247" s="2"/>
      <c r="C247" s="7"/>
      <c r="D247" s="7"/>
    </row>
    <row r="248" spans="1:4" ht="12.75" customHeight="1" x14ac:dyDescent="0.2">
      <c r="A248" s="21"/>
      <c r="B248" s="3" t="s">
        <v>0</v>
      </c>
      <c r="C248" s="23" t="s">
        <v>25</v>
      </c>
      <c r="D248" s="21"/>
    </row>
    <row r="249" spans="1:4" ht="12.75" customHeight="1" x14ac:dyDescent="0.2">
      <c r="A249" s="21"/>
      <c r="B249" s="3" t="s">
        <v>2</v>
      </c>
      <c r="C249" s="23" t="s">
        <v>1839</v>
      </c>
      <c r="D249" s="21"/>
    </row>
    <row r="250" spans="1:4" ht="12.75" customHeight="1" x14ac:dyDescent="0.2">
      <c r="A250" s="21"/>
      <c r="B250" s="3" t="s">
        <v>1840</v>
      </c>
      <c r="C250" s="23" t="s">
        <v>21</v>
      </c>
      <c r="D250" s="21"/>
    </row>
    <row r="251" spans="1:4" ht="12.75" customHeight="1" x14ac:dyDescent="0.2">
      <c r="A251" s="21"/>
      <c r="B251" s="3" t="s">
        <v>9</v>
      </c>
      <c r="C251" s="23" t="s">
        <v>42</v>
      </c>
      <c r="D251" s="21"/>
    </row>
    <row r="252" spans="1:4" ht="12.75" customHeight="1" x14ac:dyDescent="0.2">
      <c r="A252" s="21"/>
      <c r="B252" s="3" t="s">
        <v>11</v>
      </c>
      <c r="C252" s="23" t="s">
        <v>23</v>
      </c>
      <c r="D252" s="21"/>
    </row>
    <row r="253" spans="1:4" ht="12.75" customHeight="1" x14ac:dyDescent="0.2">
      <c r="A253" s="21"/>
      <c r="B253" s="3" t="s">
        <v>16</v>
      </c>
      <c r="C253" s="23"/>
      <c r="D253" s="21"/>
    </row>
    <row r="254" spans="1:4" ht="12.75" customHeight="1" x14ac:dyDescent="0.2">
      <c r="A254" s="21"/>
      <c r="B254" s="3" t="s">
        <v>17</v>
      </c>
      <c r="C254" s="23" t="s">
        <v>19</v>
      </c>
      <c r="D254" s="21"/>
    </row>
    <row r="255" spans="1:4" ht="12.75" customHeight="1" x14ac:dyDescent="0.2">
      <c r="A255" s="21"/>
      <c r="B255" s="20" t="s">
        <v>18</v>
      </c>
      <c r="C255" s="8" t="s">
        <v>44</v>
      </c>
      <c r="D255" s="1" t="str">
        <f>HYPERLINK("javascript:void(0)","gyémántszeg")</f>
        <v>gyémántszeg</v>
      </c>
    </row>
    <row r="256" spans="1:4" ht="12.75" customHeight="1" x14ac:dyDescent="0.2">
      <c r="A256" s="21"/>
      <c r="B256" s="21"/>
      <c r="C256" s="8" t="s">
        <v>44</v>
      </c>
      <c r="D256" s="1" t="str">
        <f>HYPERLINK("javascript:void(0)","ércragacs")</f>
        <v>ércragacs</v>
      </c>
    </row>
    <row r="257" spans="1:4" ht="12.75" customHeight="1" x14ac:dyDescent="0.2">
      <c r="A257" s="21"/>
      <c r="B257" s="21"/>
      <c r="C257" s="8" t="s">
        <v>44</v>
      </c>
      <c r="D257" s="1" t="str">
        <f>HYPERLINK("javascript:void(0)","varázsrög")</f>
        <v>varázsrög</v>
      </c>
    </row>
    <row r="258" spans="1:4" ht="12.75" customHeight="1" x14ac:dyDescent="0.2">
      <c r="A258" s="21"/>
      <c r="B258" s="2"/>
      <c r="C258" s="7"/>
      <c r="D258" s="7"/>
    </row>
    <row r="259" spans="1:4" ht="12.75" customHeight="1" x14ac:dyDescent="0.2">
      <c r="A259" s="21"/>
      <c r="B259" s="2"/>
      <c r="C259" s="7"/>
      <c r="D259" s="7"/>
    </row>
    <row r="260" spans="1:4" ht="12.75" customHeight="1" x14ac:dyDescent="0.2">
      <c r="A260" s="21"/>
      <c r="B260" s="2"/>
      <c r="C260" s="7"/>
      <c r="D260" s="7"/>
    </row>
    <row r="261" spans="1:4" ht="12.75" customHeight="1" x14ac:dyDescent="0.2">
      <c r="A261" s="21"/>
      <c r="B261" s="2"/>
      <c r="C261" s="7"/>
      <c r="D261" s="7"/>
    </row>
    <row r="262" spans="1:4" ht="12.75" customHeight="1" x14ac:dyDescent="0.2">
      <c r="A262" s="5"/>
      <c r="B262" s="2"/>
      <c r="C262" s="7"/>
      <c r="D262" s="7"/>
    </row>
    <row r="263" spans="1:4" ht="12.75" customHeight="1" x14ac:dyDescent="0.2">
      <c r="A263" s="22" t="str">
        <f>HYPERLINK("javascript:void(0)","rézpáncél")</f>
        <v>rézpáncél</v>
      </c>
      <c r="B263" s="21"/>
      <c r="C263" s="21"/>
      <c r="D263" s="7"/>
    </row>
    <row r="264" spans="1:4" ht="12.75" customHeight="1" x14ac:dyDescent="0.2">
      <c r="A264" s="20"/>
      <c r="B264" s="2"/>
      <c r="C264" s="7"/>
      <c r="D264" s="7"/>
    </row>
    <row r="265" spans="1:4" ht="12.75" customHeight="1" x14ac:dyDescent="0.2">
      <c r="A265" s="21"/>
      <c r="B265" s="3" t="s">
        <v>0</v>
      </c>
      <c r="C265" s="9" t="s">
        <v>29</v>
      </c>
      <c r="D265" s="7"/>
    </row>
    <row r="266" spans="1:4" ht="12.75" customHeight="1" x14ac:dyDescent="0.2">
      <c r="A266" s="21"/>
      <c r="B266" s="3" t="s">
        <v>2</v>
      </c>
      <c r="C266" s="9" t="s">
        <v>2322</v>
      </c>
      <c r="D266" s="7"/>
    </row>
    <row r="267" spans="1:4" ht="12.75" customHeight="1" x14ac:dyDescent="0.2">
      <c r="A267" s="21"/>
      <c r="B267" s="3" t="s">
        <v>1840</v>
      </c>
      <c r="C267" s="9" t="s">
        <v>29</v>
      </c>
      <c r="D267" s="7"/>
    </row>
    <row r="268" spans="1:4" ht="12.75" customHeight="1" x14ac:dyDescent="0.2">
      <c r="A268" s="21"/>
      <c r="B268" s="3" t="s">
        <v>9</v>
      </c>
      <c r="C268" s="9" t="s">
        <v>249</v>
      </c>
      <c r="D268" s="7"/>
    </row>
    <row r="269" spans="1:4" ht="12.75" customHeight="1" x14ac:dyDescent="0.2">
      <c r="A269" s="21"/>
      <c r="B269" s="3" t="s">
        <v>11</v>
      </c>
      <c r="C269" s="9" t="s">
        <v>2324</v>
      </c>
      <c r="D269" s="7"/>
    </row>
    <row r="270" spans="1:4" ht="12.75" customHeight="1" x14ac:dyDescent="0.2">
      <c r="A270" s="21"/>
      <c r="B270" s="3" t="s">
        <v>16</v>
      </c>
      <c r="C270" s="9"/>
      <c r="D270" s="7"/>
    </row>
    <row r="271" spans="1:4" ht="12.75" customHeight="1" x14ac:dyDescent="0.2">
      <c r="A271" s="21"/>
      <c r="B271" s="3" t="s">
        <v>17</v>
      </c>
      <c r="C271" s="9" t="s">
        <v>19</v>
      </c>
      <c r="D271" s="7"/>
    </row>
    <row r="272" spans="1:4" ht="12.75" customHeight="1" x14ac:dyDescent="0.2">
      <c r="A272" s="21"/>
      <c r="B272" s="3" t="s">
        <v>18</v>
      </c>
      <c r="C272" s="8" t="s">
        <v>19</v>
      </c>
      <c r="D272" s="7"/>
    </row>
    <row r="273" spans="1:4" ht="12.75" customHeight="1" x14ac:dyDescent="0.2">
      <c r="A273" s="21"/>
      <c r="B273" s="2"/>
      <c r="C273" s="7"/>
      <c r="D273" s="7"/>
    </row>
    <row r="274" spans="1:4" ht="12.75" customHeight="1" x14ac:dyDescent="0.2">
      <c r="A274" s="21"/>
      <c r="B274" s="2"/>
      <c r="C274" s="7"/>
      <c r="D274" s="7"/>
    </row>
    <row r="275" spans="1:4" ht="12.75" customHeight="1" x14ac:dyDescent="0.2">
      <c r="A275" s="21"/>
      <c r="B275" s="2"/>
      <c r="C275" s="7"/>
      <c r="D275" s="7"/>
    </row>
    <row r="276" spans="1:4" ht="12.75" customHeight="1" x14ac:dyDescent="0.2">
      <c r="A276" s="21"/>
      <c r="B276" s="2"/>
      <c r="C276" s="7"/>
      <c r="D276" s="7"/>
    </row>
    <row r="277" spans="1:4" ht="12.75" customHeight="1" x14ac:dyDescent="0.2">
      <c r="A277" s="5"/>
      <c r="B277" s="2"/>
      <c r="C277" s="7"/>
      <c r="D277" s="7"/>
    </row>
    <row r="278" spans="1:4" ht="12.75" customHeight="1" x14ac:dyDescent="0.2">
      <c r="A278" s="22" t="str">
        <f>HYPERLINK("javascript:void(0)","aranyrög")</f>
        <v>aranyrög</v>
      </c>
      <c r="B278" s="21"/>
      <c r="C278" s="21"/>
      <c r="D278" s="21"/>
    </row>
    <row r="279" spans="1:4" ht="12.75" customHeight="1" x14ac:dyDescent="0.2">
      <c r="A279" s="20"/>
      <c r="B279" s="2"/>
      <c r="C279" s="7"/>
      <c r="D279" s="7"/>
    </row>
    <row r="280" spans="1:4" ht="12.75" customHeight="1" x14ac:dyDescent="0.2">
      <c r="A280" s="21"/>
      <c r="B280" s="3" t="s">
        <v>0</v>
      </c>
      <c r="C280" s="23" t="s">
        <v>29</v>
      </c>
      <c r="D280" s="21"/>
    </row>
    <row r="281" spans="1:4" ht="12.75" customHeight="1" x14ac:dyDescent="0.2">
      <c r="A281" s="21"/>
      <c r="B281" s="3" t="s">
        <v>2</v>
      </c>
      <c r="C281" s="23" t="s">
        <v>1839</v>
      </c>
      <c r="D281" s="21"/>
    </row>
    <row r="282" spans="1:4" ht="12.75" customHeight="1" x14ac:dyDescent="0.2">
      <c r="A282" s="21"/>
      <c r="B282" s="3" t="s">
        <v>1840</v>
      </c>
      <c r="C282" s="23" t="s">
        <v>21</v>
      </c>
      <c r="D282" s="21"/>
    </row>
    <row r="283" spans="1:4" ht="12.75" customHeight="1" x14ac:dyDescent="0.2">
      <c r="A283" s="21"/>
      <c r="B283" s="3" t="s">
        <v>9</v>
      </c>
      <c r="C283" s="23" t="s">
        <v>42</v>
      </c>
      <c r="D283" s="21"/>
    </row>
    <row r="284" spans="1:4" ht="12.75" customHeight="1" x14ac:dyDescent="0.2">
      <c r="A284" s="21"/>
      <c r="B284" s="3" t="s">
        <v>11</v>
      </c>
      <c r="C284" s="23" t="s">
        <v>395</v>
      </c>
      <c r="D284" s="21"/>
    </row>
    <row r="285" spans="1:4" ht="12.75" customHeight="1" x14ac:dyDescent="0.2">
      <c r="A285" s="21"/>
      <c r="B285" s="3" t="s">
        <v>16</v>
      </c>
      <c r="C285" s="23"/>
      <c r="D285" s="21"/>
    </row>
    <row r="286" spans="1:4" ht="12.75" customHeight="1" x14ac:dyDescent="0.2">
      <c r="A286" s="21"/>
      <c r="B286" s="3" t="s">
        <v>17</v>
      </c>
      <c r="C286" s="23" t="s">
        <v>19</v>
      </c>
      <c r="D286" s="21"/>
    </row>
    <row r="287" spans="1:4" ht="12.75" customHeight="1" x14ac:dyDescent="0.2">
      <c r="A287" s="21"/>
      <c r="B287" s="20" t="s">
        <v>18</v>
      </c>
      <c r="C287" s="8" t="s">
        <v>1855</v>
      </c>
      <c r="D287" s="1" t="str">
        <f>HYPERLINK("javascript:void(0)","arany")</f>
        <v>arany</v>
      </c>
    </row>
    <row r="288" spans="1:4" ht="12.75" customHeight="1" x14ac:dyDescent="0.2">
      <c r="A288" s="21"/>
      <c r="B288" s="21"/>
      <c r="C288" s="8" t="s">
        <v>193</v>
      </c>
      <c r="D288" s="1" t="str">
        <f>HYPERLINK("javascript:void(0)","vasérc")</f>
        <v>vasérc</v>
      </c>
    </row>
    <row r="289" spans="1:4" ht="12.75" customHeight="1" x14ac:dyDescent="0.2">
      <c r="A289" s="21"/>
      <c r="B289" s="21"/>
      <c r="C289" s="8" t="s">
        <v>193</v>
      </c>
      <c r="D289" s="1" t="str">
        <f>HYPERLINK("javascript:void(0)","óngolyó")</f>
        <v>óngolyó</v>
      </c>
    </row>
    <row r="290" spans="1:4" ht="12.75" customHeight="1" x14ac:dyDescent="0.2">
      <c r="A290" s="21"/>
      <c r="B290" s="2"/>
      <c r="C290" s="7"/>
      <c r="D290" s="7"/>
    </row>
    <row r="291" spans="1:4" ht="12.75" customHeight="1" x14ac:dyDescent="0.2">
      <c r="A291" s="21"/>
      <c r="B291" s="2"/>
      <c r="C291" s="7"/>
      <c r="D291" s="7"/>
    </row>
    <row r="292" spans="1:4" ht="12.75" customHeight="1" x14ac:dyDescent="0.2">
      <c r="A292" s="21"/>
      <c r="B292" s="2"/>
      <c r="C292" s="7"/>
      <c r="D292" s="7"/>
    </row>
    <row r="293" spans="1:4" ht="12.75" customHeight="1" x14ac:dyDescent="0.2">
      <c r="A293" s="21"/>
      <c r="B293" s="2"/>
      <c r="C293" s="7"/>
      <c r="D293" s="7"/>
    </row>
    <row r="294" spans="1:4" ht="12.75" customHeight="1" x14ac:dyDescent="0.2">
      <c r="A294" s="5"/>
      <c r="B294" s="2"/>
      <c r="C294" s="7"/>
      <c r="D294" s="7"/>
    </row>
    <row r="295" spans="1:4" ht="12.75" customHeight="1" x14ac:dyDescent="0.2">
      <c r="A295" s="22" t="str">
        <f>HYPERLINK("javascript:void(0)","szegecselt pajzs")</f>
        <v>szegecselt pajzs</v>
      </c>
      <c r="B295" s="21"/>
      <c r="C295" s="21"/>
      <c r="D295" s="7"/>
    </row>
    <row r="296" spans="1:4" ht="12.75" customHeight="1" x14ac:dyDescent="0.2">
      <c r="A296" s="20"/>
      <c r="B296" s="2"/>
      <c r="C296" s="7"/>
      <c r="D296" s="7"/>
    </row>
    <row r="297" spans="1:4" ht="12.75" customHeight="1" x14ac:dyDescent="0.2">
      <c r="A297" s="21"/>
      <c r="B297" s="3" t="s">
        <v>0</v>
      </c>
      <c r="C297" s="9" t="s">
        <v>7</v>
      </c>
      <c r="D297" s="7"/>
    </row>
    <row r="298" spans="1:4" ht="12.75" customHeight="1" x14ac:dyDescent="0.2">
      <c r="A298" s="21"/>
      <c r="B298" s="3" t="s">
        <v>2</v>
      </c>
      <c r="C298" s="9" t="s">
        <v>1839</v>
      </c>
      <c r="D298" s="7"/>
    </row>
    <row r="299" spans="1:4" ht="12.75" customHeight="1" x14ac:dyDescent="0.2">
      <c r="A299" s="21"/>
      <c r="B299" s="3" t="s">
        <v>1840</v>
      </c>
      <c r="C299" s="9" t="s">
        <v>25</v>
      </c>
      <c r="D299" s="7"/>
    </row>
    <row r="300" spans="1:4" ht="12.75" customHeight="1" x14ac:dyDescent="0.2">
      <c r="A300" s="21"/>
      <c r="B300" s="3" t="s">
        <v>9</v>
      </c>
      <c r="C300" s="9" t="s">
        <v>200</v>
      </c>
      <c r="D300" s="7"/>
    </row>
    <row r="301" spans="1:4" ht="12.75" customHeight="1" x14ac:dyDescent="0.2">
      <c r="A301" s="21"/>
      <c r="B301" s="3" t="s">
        <v>11</v>
      </c>
      <c r="C301" s="9" t="s">
        <v>1856</v>
      </c>
      <c r="D301" s="7"/>
    </row>
    <row r="302" spans="1:4" ht="12.75" customHeight="1" x14ac:dyDescent="0.2">
      <c r="A302" s="21"/>
      <c r="B302" s="3" t="s">
        <v>16</v>
      </c>
      <c r="C302" s="9"/>
      <c r="D302" s="7"/>
    </row>
    <row r="303" spans="1:4" ht="12.75" customHeight="1" x14ac:dyDescent="0.2">
      <c r="A303" s="21"/>
      <c r="B303" s="3" t="s">
        <v>17</v>
      </c>
      <c r="C303" s="9" t="s">
        <v>19</v>
      </c>
      <c r="D303" s="7"/>
    </row>
    <row r="304" spans="1:4" ht="12.75" customHeight="1" x14ac:dyDescent="0.2">
      <c r="A304" s="21"/>
      <c r="B304" s="3" t="s">
        <v>18</v>
      </c>
      <c r="C304" s="8" t="s">
        <v>19</v>
      </c>
      <c r="D304" s="7"/>
    </row>
    <row r="305" spans="1:4" ht="12.75" customHeight="1" x14ac:dyDescent="0.2">
      <c r="A305" s="21"/>
      <c r="B305" s="2"/>
      <c r="C305" s="7"/>
      <c r="D305" s="7"/>
    </row>
    <row r="306" spans="1:4" ht="12.75" customHeight="1" x14ac:dyDescent="0.2">
      <c r="A306" s="21"/>
      <c r="B306" s="2"/>
      <c r="C306" s="7"/>
      <c r="D306" s="7"/>
    </row>
    <row r="307" spans="1:4" ht="12.75" customHeight="1" x14ac:dyDescent="0.2">
      <c r="A307" s="21"/>
      <c r="B307" s="2"/>
      <c r="C307" s="7"/>
      <c r="D307" s="7"/>
    </row>
    <row r="308" spans="1:4" ht="12.75" customHeight="1" x14ac:dyDescent="0.2">
      <c r="A308" s="21"/>
      <c r="B308" s="2"/>
      <c r="C308" s="7"/>
      <c r="D308" s="7"/>
    </row>
    <row r="309" spans="1:4" ht="12.75" customHeight="1" x14ac:dyDescent="0.2">
      <c r="A309" s="5"/>
      <c r="B309" s="2"/>
      <c r="C309" s="7"/>
      <c r="D309" s="7"/>
    </row>
    <row r="310" spans="1:4" ht="12.75" customHeight="1" x14ac:dyDescent="0.2">
      <c r="A310" s="22" t="str">
        <f>HYPERLINK("javascript:void(0)","bakancs")</f>
        <v>bakancs</v>
      </c>
      <c r="B310" s="21"/>
      <c r="C310" s="21"/>
      <c r="D310" s="7"/>
    </row>
    <row r="311" spans="1:4" ht="12.75" customHeight="1" x14ac:dyDescent="0.2">
      <c r="A311" s="20"/>
      <c r="B311" s="2"/>
      <c r="C311" s="7"/>
      <c r="D311" s="7"/>
    </row>
    <row r="312" spans="1:4" ht="12.75" customHeight="1" x14ac:dyDescent="0.2">
      <c r="A312" s="21"/>
      <c r="B312" s="3" t="s">
        <v>0</v>
      </c>
      <c r="C312" s="9" t="s">
        <v>7</v>
      </c>
      <c r="D312" s="7"/>
    </row>
    <row r="313" spans="1:4" ht="12.75" customHeight="1" x14ac:dyDescent="0.2">
      <c r="A313" s="21"/>
      <c r="B313" s="3" t="s">
        <v>2</v>
      </c>
      <c r="C313" s="9"/>
      <c r="D313" s="7"/>
    </row>
    <row r="314" spans="1:4" ht="12.75" customHeight="1" x14ac:dyDescent="0.2">
      <c r="A314" s="21"/>
      <c r="B314" s="3" t="s">
        <v>1840</v>
      </c>
      <c r="C314" s="9" t="s">
        <v>25</v>
      </c>
      <c r="D314" s="7"/>
    </row>
    <row r="315" spans="1:4" ht="12.75" customHeight="1" x14ac:dyDescent="0.2">
      <c r="A315" s="21"/>
      <c r="B315" s="3" t="s">
        <v>9</v>
      </c>
      <c r="C315" s="9" t="s">
        <v>93</v>
      </c>
      <c r="D315" s="7"/>
    </row>
    <row r="316" spans="1:4" ht="12.75" customHeight="1" x14ac:dyDescent="0.2">
      <c r="A316" s="21"/>
      <c r="B316" s="3" t="s">
        <v>11</v>
      </c>
      <c r="C316" s="9" t="s">
        <v>31</v>
      </c>
      <c r="D316" s="7"/>
    </row>
    <row r="317" spans="1:4" ht="12.75" customHeight="1" x14ac:dyDescent="0.2">
      <c r="A317" s="21"/>
      <c r="B317" s="3" t="s">
        <v>16</v>
      </c>
      <c r="C317" s="9"/>
      <c r="D317" s="7"/>
    </row>
    <row r="318" spans="1:4" ht="12.75" customHeight="1" x14ac:dyDescent="0.2">
      <c r="A318" s="21"/>
      <c r="B318" s="3" t="s">
        <v>17</v>
      </c>
      <c r="C318" s="9" t="s">
        <v>19</v>
      </c>
      <c r="D318" s="7"/>
    </row>
    <row r="319" spans="1:4" ht="12.75" customHeight="1" x14ac:dyDescent="0.2">
      <c r="A319" s="21"/>
      <c r="B319" s="3" t="s">
        <v>18</v>
      </c>
      <c r="C319" s="8" t="s">
        <v>19</v>
      </c>
      <c r="D319" s="7"/>
    </row>
    <row r="320" spans="1:4" ht="12.75" customHeight="1" x14ac:dyDescent="0.2">
      <c r="A320" s="21"/>
      <c r="B320" s="2"/>
      <c r="C320" s="7"/>
      <c r="D320" s="7"/>
    </row>
    <row r="321" spans="1:4" ht="12.75" customHeight="1" x14ac:dyDescent="0.2">
      <c r="A321" s="21"/>
      <c r="B321" s="2"/>
      <c r="C321" s="7"/>
      <c r="D321" s="7"/>
    </row>
    <row r="322" spans="1:4" ht="12.75" customHeight="1" x14ac:dyDescent="0.2">
      <c r="A322" s="21"/>
      <c r="B322" s="2"/>
      <c r="C322" s="7"/>
      <c r="D322" s="7"/>
    </row>
    <row r="323" spans="1:4" ht="12.75" customHeight="1" x14ac:dyDescent="0.2">
      <c r="A323" s="21"/>
      <c r="B323" s="2"/>
      <c r="C323" s="7"/>
      <c r="D323" s="7"/>
    </row>
    <row r="324" spans="1:4" ht="12.75" customHeight="1" x14ac:dyDescent="0.2">
      <c r="A324" s="5"/>
      <c r="B324" s="2"/>
      <c r="C324" s="7"/>
      <c r="D324" s="7"/>
    </row>
    <row r="325" spans="1:4" ht="12.75" customHeight="1" x14ac:dyDescent="0.2">
      <c r="A325" s="22" t="str">
        <f>HYPERLINK("javascript:void(0)","manafejpánt")</f>
        <v>manafejpánt</v>
      </c>
      <c r="B325" s="21"/>
      <c r="C325" s="21"/>
      <c r="D325" s="7"/>
    </row>
    <row r="326" spans="1:4" ht="12.75" customHeight="1" x14ac:dyDescent="0.2">
      <c r="A326" s="20"/>
      <c r="B326" s="2"/>
      <c r="C326" s="7"/>
      <c r="D326" s="7"/>
    </row>
    <row r="327" spans="1:4" ht="12.75" customHeight="1" x14ac:dyDescent="0.2">
      <c r="A327" s="21"/>
      <c r="B327" s="3" t="s">
        <v>0</v>
      </c>
      <c r="C327" s="9" t="s">
        <v>7</v>
      </c>
      <c r="D327" s="7"/>
    </row>
    <row r="328" spans="1:4" ht="12.75" customHeight="1" x14ac:dyDescent="0.2">
      <c r="A328" s="21"/>
      <c r="B328" s="3" t="s">
        <v>2</v>
      </c>
      <c r="C328" s="9"/>
      <c r="D328" s="7"/>
    </row>
    <row r="329" spans="1:4" ht="12.75" customHeight="1" x14ac:dyDescent="0.2">
      <c r="A329" s="21"/>
      <c r="B329" s="3" t="s">
        <v>1840</v>
      </c>
      <c r="C329" s="9" t="s">
        <v>1</v>
      </c>
      <c r="D329" s="7"/>
    </row>
    <row r="330" spans="1:4" ht="12.75" customHeight="1" x14ac:dyDescent="0.2">
      <c r="A330" s="21"/>
      <c r="B330" s="3" t="s">
        <v>9</v>
      </c>
      <c r="C330" s="9" t="s">
        <v>137</v>
      </c>
      <c r="D330" s="7"/>
    </row>
    <row r="331" spans="1:4" ht="12.75" customHeight="1" x14ac:dyDescent="0.2">
      <c r="A331" s="21"/>
      <c r="B331" s="3" t="s">
        <v>11</v>
      </c>
      <c r="C331" s="9" t="s">
        <v>989</v>
      </c>
      <c r="D331" s="7"/>
    </row>
    <row r="332" spans="1:4" ht="12.75" customHeight="1" x14ac:dyDescent="0.2">
      <c r="A332" s="21"/>
      <c r="B332" s="3" t="s">
        <v>16</v>
      </c>
      <c r="C332" s="9"/>
      <c r="D332" s="7"/>
    </row>
    <row r="333" spans="1:4" ht="12.75" customHeight="1" x14ac:dyDescent="0.2">
      <c r="A333" s="21"/>
      <c r="B333" s="3" t="s">
        <v>17</v>
      </c>
      <c r="C333" s="9" t="s">
        <v>19</v>
      </c>
      <c r="D333" s="7"/>
    </row>
    <row r="334" spans="1:4" ht="12.75" customHeight="1" x14ac:dyDescent="0.2">
      <c r="A334" s="21"/>
      <c r="B334" s="3" t="s">
        <v>18</v>
      </c>
      <c r="C334" s="8" t="s">
        <v>19</v>
      </c>
      <c r="D334" s="7"/>
    </row>
    <row r="335" spans="1:4" ht="12.75" customHeight="1" x14ac:dyDescent="0.2">
      <c r="A335" s="21"/>
      <c r="B335" s="2"/>
      <c r="C335" s="7"/>
      <c r="D335" s="7"/>
    </row>
    <row r="336" spans="1:4" ht="12.75" customHeight="1" x14ac:dyDescent="0.2">
      <c r="A336" s="21"/>
      <c r="B336" s="2"/>
      <c r="C336" s="7"/>
      <c r="D336" s="7"/>
    </row>
    <row r="337" spans="1:4" ht="12.75" customHeight="1" x14ac:dyDescent="0.2">
      <c r="A337" s="21"/>
      <c r="B337" s="2"/>
      <c r="C337" s="7"/>
      <c r="D337" s="7"/>
    </row>
    <row r="338" spans="1:4" ht="12.75" customHeight="1" x14ac:dyDescent="0.2">
      <c r="A338" s="21"/>
      <c r="B338" s="2"/>
      <c r="C338" s="7"/>
      <c r="D338" s="7"/>
    </row>
    <row r="339" spans="1:4" ht="12.75" customHeight="1" x14ac:dyDescent="0.2">
      <c r="A339" s="5"/>
      <c r="B339" s="2"/>
      <c r="C339" s="7"/>
      <c r="D339" s="7"/>
    </row>
    <row r="340" spans="1:4" ht="12.75" customHeight="1" x14ac:dyDescent="0.2">
      <c r="A340" s="22" t="str">
        <f>HYPERLINK("javascript:void(0)","kerek négyszögpajzs")</f>
        <v>kerek négyszögpajzs</v>
      </c>
      <c r="B340" s="21"/>
      <c r="C340" s="21"/>
      <c r="D340" s="7"/>
    </row>
    <row r="341" spans="1:4" ht="12.75" customHeight="1" x14ac:dyDescent="0.2">
      <c r="A341" s="20"/>
      <c r="B341" s="2"/>
      <c r="C341" s="7"/>
      <c r="D341" s="7"/>
    </row>
    <row r="342" spans="1:4" ht="12.75" customHeight="1" x14ac:dyDescent="0.2">
      <c r="A342" s="21"/>
      <c r="B342" s="3" t="s">
        <v>0</v>
      </c>
      <c r="C342" s="9" t="s">
        <v>7</v>
      </c>
      <c r="D342" s="7"/>
    </row>
    <row r="343" spans="1:4" ht="12.75" customHeight="1" x14ac:dyDescent="0.2">
      <c r="A343" s="21"/>
      <c r="B343" s="3" t="s">
        <v>2</v>
      </c>
      <c r="C343" s="9" t="s">
        <v>1839</v>
      </c>
      <c r="D343" s="7"/>
    </row>
    <row r="344" spans="1:4" ht="12.75" customHeight="1" x14ac:dyDescent="0.2">
      <c r="A344" s="21"/>
      <c r="B344" s="3" t="s">
        <v>1840</v>
      </c>
      <c r="C344" s="9" t="s">
        <v>25</v>
      </c>
      <c r="D344" s="7"/>
    </row>
    <row r="345" spans="1:4" ht="12.75" customHeight="1" x14ac:dyDescent="0.2">
      <c r="A345" s="21"/>
      <c r="B345" s="3" t="s">
        <v>9</v>
      </c>
      <c r="C345" s="9" t="s">
        <v>124</v>
      </c>
      <c r="D345" s="7"/>
    </row>
    <row r="346" spans="1:4" ht="12.75" customHeight="1" x14ac:dyDescent="0.2">
      <c r="A346" s="21"/>
      <c r="B346" s="3" t="s">
        <v>11</v>
      </c>
      <c r="C346" s="9" t="s">
        <v>881</v>
      </c>
      <c r="D346" s="7"/>
    </row>
    <row r="347" spans="1:4" ht="12.75" customHeight="1" x14ac:dyDescent="0.2">
      <c r="A347" s="21"/>
      <c r="B347" s="3" t="s">
        <v>16</v>
      </c>
      <c r="C347" s="9"/>
      <c r="D347" s="7"/>
    </row>
    <row r="348" spans="1:4" ht="12.75" customHeight="1" x14ac:dyDescent="0.2">
      <c r="A348" s="21"/>
      <c r="B348" s="3" t="s">
        <v>17</v>
      </c>
      <c r="C348" s="9" t="s">
        <v>19</v>
      </c>
      <c r="D348" s="7"/>
    </row>
    <row r="349" spans="1:4" ht="12.75" customHeight="1" x14ac:dyDescent="0.2">
      <c r="A349" s="21"/>
      <c r="B349" s="3" t="s">
        <v>18</v>
      </c>
      <c r="C349" s="8" t="s">
        <v>19</v>
      </c>
      <c r="D349" s="7"/>
    </row>
    <row r="350" spans="1:4" ht="12.75" customHeight="1" x14ac:dyDescent="0.2">
      <c r="A350" s="21"/>
      <c r="B350" s="2"/>
      <c r="C350" s="7"/>
      <c r="D350" s="7"/>
    </row>
    <row r="351" spans="1:4" ht="12.75" customHeight="1" x14ac:dyDescent="0.2">
      <c r="A351" s="21"/>
      <c r="B351" s="2"/>
      <c r="C351" s="7"/>
      <c r="D351" s="7"/>
    </row>
    <row r="352" spans="1:4" ht="12.75" customHeight="1" x14ac:dyDescent="0.2">
      <c r="A352" s="21"/>
      <c r="B352" s="2"/>
      <c r="C352" s="7"/>
      <c r="D352" s="7"/>
    </row>
    <row r="353" spans="1:4" ht="12.75" customHeight="1" x14ac:dyDescent="0.2">
      <c r="A353" s="21"/>
      <c r="B353" s="2"/>
      <c r="C353" s="7"/>
      <c r="D353" s="7"/>
    </row>
    <row r="354" spans="1:4" ht="12.75" customHeight="1" x14ac:dyDescent="0.2">
      <c r="A354" s="5"/>
      <c r="B354" s="2"/>
      <c r="C354" s="7"/>
      <c r="D354" s="7"/>
    </row>
    <row r="355" spans="1:4" ht="12.75" customHeight="1" x14ac:dyDescent="0.2">
      <c r="A355" s="22" t="str">
        <f>HYPERLINK("javascript:void(0)","rézrög")</f>
        <v>rézrög</v>
      </c>
      <c r="B355" s="21"/>
      <c r="C355" s="21"/>
      <c r="D355" s="21"/>
    </row>
    <row r="356" spans="1:4" ht="12.75" customHeight="1" x14ac:dyDescent="0.2">
      <c r="A356" s="20"/>
      <c r="B356" s="2"/>
      <c r="C356" s="7"/>
      <c r="D356" s="7"/>
    </row>
    <row r="357" spans="1:4" ht="12.75" customHeight="1" x14ac:dyDescent="0.2">
      <c r="A357" s="21"/>
      <c r="B357" s="3" t="s">
        <v>0</v>
      </c>
      <c r="C357" s="23" t="s">
        <v>7</v>
      </c>
      <c r="D357" s="21"/>
    </row>
    <row r="358" spans="1:4" ht="12.75" customHeight="1" x14ac:dyDescent="0.2">
      <c r="A358" s="21"/>
      <c r="B358" s="3" t="s">
        <v>2</v>
      </c>
      <c r="C358" s="23" t="s">
        <v>1839</v>
      </c>
      <c r="D358" s="21"/>
    </row>
    <row r="359" spans="1:4" ht="12.75" customHeight="1" x14ac:dyDescent="0.2">
      <c r="A359" s="21"/>
      <c r="B359" s="3" t="s">
        <v>1840</v>
      </c>
      <c r="C359" s="23" t="s">
        <v>21</v>
      </c>
      <c r="D359" s="21"/>
    </row>
    <row r="360" spans="1:4" ht="12.75" customHeight="1" x14ac:dyDescent="0.2">
      <c r="A360" s="21"/>
      <c r="B360" s="3" t="s">
        <v>9</v>
      </c>
      <c r="C360" s="23" t="s">
        <v>42</v>
      </c>
      <c r="D360" s="21"/>
    </row>
    <row r="361" spans="1:4" ht="12.75" customHeight="1" x14ac:dyDescent="0.2">
      <c r="A361" s="21"/>
      <c r="B361" s="3" t="s">
        <v>11</v>
      </c>
      <c r="C361" s="23" t="s">
        <v>486</v>
      </c>
      <c r="D361" s="21"/>
    </row>
    <row r="362" spans="1:4" ht="12.75" customHeight="1" x14ac:dyDescent="0.2">
      <c r="A362" s="21"/>
      <c r="B362" s="3" t="s">
        <v>16</v>
      </c>
      <c r="C362" s="23"/>
      <c r="D362" s="21"/>
    </row>
    <row r="363" spans="1:4" ht="12.75" customHeight="1" x14ac:dyDescent="0.2">
      <c r="A363" s="21"/>
      <c r="B363" s="3" t="s">
        <v>17</v>
      </c>
      <c r="C363" s="23" t="s">
        <v>19</v>
      </c>
      <c r="D363" s="21"/>
    </row>
    <row r="364" spans="1:4" ht="12.75" customHeight="1" x14ac:dyDescent="0.2">
      <c r="A364" s="21"/>
      <c r="B364" s="20" t="s">
        <v>18</v>
      </c>
      <c r="C364" s="8" t="s">
        <v>280</v>
      </c>
      <c r="D364" s="1" t="str">
        <f>HYPERLINK("javascript:void(0)","rézérc")</f>
        <v>rézérc</v>
      </c>
    </row>
    <row r="365" spans="1:4" ht="12.75" customHeight="1" x14ac:dyDescent="0.2">
      <c r="A365" s="21"/>
      <c r="B365" s="21"/>
      <c r="C365" s="8" t="s">
        <v>130</v>
      </c>
      <c r="D365" s="1" t="str">
        <f>HYPERLINK("javascript:void(0)","gyöngy")</f>
        <v>gyöngy</v>
      </c>
    </row>
    <row r="366" spans="1:4" ht="12.75" customHeight="1" x14ac:dyDescent="0.2">
      <c r="A366" s="21"/>
      <c r="B366" s="21"/>
      <c r="C366" s="8" t="s">
        <v>280</v>
      </c>
      <c r="D366" s="1" t="str">
        <f>HYPERLINK("javascript:void(0)","savkristály")</f>
        <v>savkristály</v>
      </c>
    </row>
    <row r="367" spans="1:4" ht="12.75" customHeight="1" x14ac:dyDescent="0.2">
      <c r="A367" s="21"/>
      <c r="B367" s="2"/>
      <c r="C367" s="7"/>
      <c r="D367" s="7"/>
    </row>
    <row r="368" spans="1:4" ht="12.75" customHeight="1" x14ac:dyDescent="0.2">
      <c r="A368" s="21"/>
      <c r="B368" s="2"/>
      <c r="C368" s="7"/>
      <c r="D368" s="7"/>
    </row>
    <row r="369" spans="1:4" ht="12.75" customHeight="1" x14ac:dyDescent="0.2">
      <c r="A369" s="21"/>
      <c r="B369" s="2"/>
      <c r="C369" s="7"/>
      <c r="D369" s="7"/>
    </row>
    <row r="370" spans="1:4" ht="12.75" customHeight="1" x14ac:dyDescent="0.2">
      <c r="A370" s="21"/>
      <c r="B370" s="2"/>
      <c r="C370" s="7"/>
      <c r="D370" s="7"/>
    </row>
    <row r="371" spans="1:4" ht="12.75" customHeight="1" x14ac:dyDescent="0.2">
      <c r="A371" s="5"/>
      <c r="B371" s="2"/>
      <c r="C371" s="7"/>
      <c r="D371" s="7"/>
    </row>
    <row r="372" spans="1:4" ht="12.75" customHeight="1" x14ac:dyDescent="0.2">
      <c r="A372" s="22" t="str">
        <f>HYPERLINK("javascript:void(0)","arany előlap")</f>
        <v>arany előlap</v>
      </c>
      <c r="B372" s="21"/>
      <c r="C372" s="21"/>
      <c r="D372" s="21"/>
    </row>
    <row r="373" spans="1:4" ht="12.75" customHeight="1" x14ac:dyDescent="0.2">
      <c r="A373" s="20"/>
      <c r="B373" s="2"/>
      <c r="C373" s="7"/>
      <c r="D373" s="7"/>
    </row>
    <row r="374" spans="1:4" ht="12.75" customHeight="1" x14ac:dyDescent="0.2">
      <c r="A374" s="21"/>
      <c r="B374" s="3" t="s">
        <v>0</v>
      </c>
      <c r="C374" s="23" t="s">
        <v>7</v>
      </c>
      <c r="D374" s="21"/>
    </row>
    <row r="375" spans="1:4" ht="12.75" customHeight="1" x14ac:dyDescent="0.2">
      <c r="A375" s="21"/>
      <c r="B375" s="3" t="s">
        <v>2</v>
      </c>
      <c r="C375" s="23" t="s">
        <v>1839</v>
      </c>
      <c r="D375" s="21"/>
    </row>
    <row r="376" spans="1:4" ht="12.75" customHeight="1" x14ac:dyDescent="0.2">
      <c r="A376" s="21"/>
      <c r="B376" s="3" t="s">
        <v>1840</v>
      </c>
      <c r="C376" s="23" t="s">
        <v>21</v>
      </c>
      <c r="D376" s="21"/>
    </row>
    <row r="377" spans="1:4" ht="12.75" customHeight="1" x14ac:dyDescent="0.2">
      <c r="A377" s="21"/>
      <c r="B377" s="3" t="s">
        <v>9</v>
      </c>
      <c r="C377" s="23" t="s">
        <v>131</v>
      </c>
      <c r="D377" s="21"/>
    </row>
    <row r="378" spans="1:4" ht="12.75" customHeight="1" x14ac:dyDescent="0.2">
      <c r="A378" s="21"/>
      <c r="B378" s="3" t="s">
        <v>11</v>
      </c>
      <c r="C378" s="23" t="s">
        <v>279</v>
      </c>
      <c r="D378" s="21"/>
    </row>
    <row r="379" spans="1:4" ht="12.75" customHeight="1" x14ac:dyDescent="0.2">
      <c r="A379" s="21"/>
      <c r="B379" s="3" t="s">
        <v>16</v>
      </c>
      <c r="C379" s="23"/>
      <c r="D379" s="21"/>
    </row>
    <row r="380" spans="1:4" ht="12.75" customHeight="1" x14ac:dyDescent="0.2">
      <c r="A380" s="21"/>
      <c r="B380" s="3" t="s">
        <v>17</v>
      </c>
      <c r="C380" s="23" t="s">
        <v>19</v>
      </c>
      <c r="D380" s="21"/>
    </row>
    <row r="381" spans="1:4" ht="12.75" customHeight="1" x14ac:dyDescent="0.2">
      <c r="A381" s="21"/>
      <c r="B381" s="20" t="s">
        <v>18</v>
      </c>
      <c r="C381" s="8" t="s">
        <v>67</v>
      </c>
      <c r="D381" s="1" t="str">
        <f>HYPERLINK("javascript:void(0)","aranyrög")</f>
        <v>aranyrög</v>
      </c>
    </row>
    <row r="382" spans="1:4" ht="12.75" customHeight="1" x14ac:dyDescent="0.2">
      <c r="A382" s="21"/>
      <c r="B382" s="21"/>
      <c r="C382" s="8" t="s">
        <v>244</v>
      </c>
      <c r="D382" s="1" t="str">
        <f>HYPERLINK("javascript:void(0)","lámpás")</f>
        <v>lámpás</v>
      </c>
    </row>
    <row r="383" spans="1:4" ht="12.75" customHeight="1" x14ac:dyDescent="0.2">
      <c r="A383" s="21"/>
      <c r="B383" s="21"/>
      <c r="C383" s="8" t="s">
        <v>68</v>
      </c>
      <c r="D383" s="1" t="str">
        <f>HYPERLINK("javascript:void(0)","kocka")</f>
        <v>kocka</v>
      </c>
    </row>
    <row r="384" spans="1:4" ht="12.75" customHeight="1" x14ac:dyDescent="0.2">
      <c r="A384" s="21"/>
      <c r="B384" s="2"/>
      <c r="C384" s="7"/>
      <c r="D384" s="7"/>
    </row>
    <row r="385" spans="1:4" ht="12.75" customHeight="1" x14ac:dyDescent="0.2">
      <c r="A385" s="21"/>
      <c r="B385" s="2"/>
      <c r="C385" s="7"/>
      <c r="D385" s="7"/>
    </row>
    <row r="386" spans="1:4" ht="12.75" customHeight="1" x14ac:dyDescent="0.2">
      <c r="A386" s="21"/>
      <c r="B386" s="2"/>
      <c r="C386" s="7"/>
      <c r="D386" s="7"/>
    </row>
    <row r="387" spans="1:4" ht="12.75" customHeight="1" x14ac:dyDescent="0.2">
      <c r="A387" s="21"/>
      <c r="B387" s="2"/>
      <c r="C387" s="7"/>
      <c r="D387" s="7"/>
    </row>
    <row r="388" spans="1:4" ht="12.75" customHeight="1" x14ac:dyDescent="0.2">
      <c r="A388" s="5"/>
      <c r="B388" s="2"/>
      <c r="C388" s="7"/>
      <c r="D388" s="7"/>
    </row>
    <row r="389" spans="1:4" ht="12.75" customHeight="1" x14ac:dyDescent="0.2">
      <c r="A389" s="22" t="str">
        <f>HYPERLINK("javascript:void(0)","bronzsisak")</f>
        <v>bronzsisak</v>
      </c>
      <c r="B389" s="21"/>
      <c r="C389" s="21"/>
      <c r="D389" s="7"/>
    </row>
    <row r="390" spans="1:4" ht="12.75" customHeight="1" x14ac:dyDescent="0.2">
      <c r="A390" s="20"/>
      <c r="B390" s="2"/>
      <c r="C390" s="7"/>
      <c r="D390" s="7"/>
    </row>
    <row r="391" spans="1:4" ht="12.75" customHeight="1" x14ac:dyDescent="0.2">
      <c r="A391" s="21"/>
      <c r="B391" s="3" t="s">
        <v>0</v>
      </c>
      <c r="C391" s="9" t="s">
        <v>123</v>
      </c>
      <c r="D391" s="7"/>
    </row>
    <row r="392" spans="1:4" ht="12.75" customHeight="1" x14ac:dyDescent="0.2">
      <c r="A392" s="21"/>
      <c r="B392" s="3" t="s">
        <v>2</v>
      </c>
      <c r="C392" s="9"/>
      <c r="D392" s="7"/>
    </row>
    <row r="393" spans="1:4" ht="12.75" customHeight="1" x14ac:dyDescent="0.2">
      <c r="A393" s="21"/>
      <c r="B393" s="3" t="s">
        <v>1840</v>
      </c>
      <c r="C393" s="9" t="s">
        <v>29</v>
      </c>
      <c r="D393" s="7"/>
    </row>
    <row r="394" spans="1:4" ht="12.75" customHeight="1" x14ac:dyDescent="0.2">
      <c r="A394" s="21"/>
      <c r="B394" s="3" t="s">
        <v>9</v>
      </c>
      <c r="C394" s="9" t="s">
        <v>210</v>
      </c>
      <c r="D394" s="7"/>
    </row>
    <row r="395" spans="1:4" ht="12.75" customHeight="1" x14ac:dyDescent="0.2">
      <c r="A395" s="21"/>
      <c r="B395" s="3" t="s">
        <v>11</v>
      </c>
      <c r="C395" s="9" t="s">
        <v>28</v>
      </c>
      <c r="D395" s="7"/>
    </row>
    <row r="396" spans="1:4" ht="12.75" customHeight="1" x14ac:dyDescent="0.2">
      <c r="A396" s="21"/>
      <c r="B396" s="3" t="s">
        <v>16</v>
      </c>
      <c r="C396" s="9"/>
      <c r="D396" s="7"/>
    </row>
    <row r="397" spans="1:4" ht="12.75" customHeight="1" x14ac:dyDescent="0.2">
      <c r="A397" s="21"/>
      <c r="B397" s="3" t="s">
        <v>17</v>
      </c>
      <c r="C397" s="9" t="s">
        <v>19</v>
      </c>
      <c r="D397" s="7"/>
    </row>
    <row r="398" spans="1:4" ht="12.75" customHeight="1" x14ac:dyDescent="0.2">
      <c r="A398" s="21"/>
      <c r="B398" s="3" t="s">
        <v>18</v>
      </c>
      <c r="C398" s="8" t="s">
        <v>19</v>
      </c>
      <c r="D398" s="7"/>
    </row>
    <row r="399" spans="1:4" ht="12.75" customHeight="1" x14ac:dyDescent="0.2">
      <c r="A399" s="21"/>
      <c r="B399" s="2"/>
      <c r="C399" s="7"/>
      <c r="D399" s="7"/>
    </row>
    <row r="400" spans="1:4" ht="12.75" customHeight="1" x14ac:dyDescent="0.2">
      <c r="A400" s="21"/>
      <c r="B400" s="2"/>
      <c r="C400" s="7"/>
      <c r="D400" s="7"/>
    </row>
    <row r="401" spans="1:4" ht="12.75" customHeight="1" x14ac:dyDescent="0.2">
      <c r="A401" s="21"/>
      <c r="B401" s="2"/>
      <c r="C401" s="7"/>
      <c r="D401" s="7"/>
    </row>
    <row r="402" spans="1:4" ht="12.75" customHeight="1" x14ac:dyDescent="0.2">
      <c r="A402" s="21"/>
      <c r="B402" s="2"/>
      <c r="C402" s="7"/>
      <c r="D402" s="7"/>
    </row>
    <row r="403" spans="1:4" ht="12.75" customHeight="1" x14ac:dyDescent="0.2">
      <c r="A403" s="5"/>
      <c r="B403" s="2"/>
      <c r="C403" s="7"/>
      <c r="D403" s="7"/>
    </row>
    <row r="404" spans="1:4" ht="12.75" customHeight="1" x14ac:dyDescent="0.2">
      <c r="A404" s="22" t="str">
        <f>HYPERLINK("javascript:void(0)","tuskópáncél")</f>
        <v>tuskópáncél</v>
      </c>
      <c r="B404" s="21"/>
      <c r="C404" s="21"/>
      <c r="D404" s="7"/>
    </row>
    <row r="405" spans="1:4" ht="12.75" customHeight="1" x14ac:dyDescent="0.2">
      <c r="A405" s="20"/>
      <c r="B405" s="2"/>
      <c r="C405" s="7"/>
      <c r="D405" s="7"/>
    </row>
    <row r="406" spans="1:4" ht="12.75" customHeight="1" x14ac:dyDescent="0.2">
      <c r="A406" s="21"/>
      <c r="B406" s="3" t="s">
        <v>0</v>
      </c>
      <c r="C406" s="9" t="s">
        <v>123</v>
      </c>
      <c r="D406" s="7"/>
    </row>
    <row r="407" spans="1:4" ht="12.75" customHeight="1" x14ac:dyDescent="0.2">
      <c r="A407" s="21"/>
      <c r="B407" s="3" t="s">
        <v>2</v>
      </c>
      <c r="C407" s="9" t="s">
        <v>2322</v>
      </c>
      <c r="D407" s="7"/>
    </row>
    <row r="408" spans="1:4" ht="12.75" customHeight="1" x14ac:dyDescent="0.2">
      <c r="A408" s="21"/>
      <c r="B408" s="3" t="s">
        <v>1840</v>
      </c>
      <c r="C408" s="9" t="s">
        <v>123</v>
      </c>
      <c r="D408" s="7"/>
    </row>
    <row r="409" spans="1:4" ht="12.75" customHeight="1" x14ac:dyDescent="0.2">
      <c r="A409" s="21"/>
      <c r="B409" s="3" t="s">
        <v>9</v>
      </c>
      <c r="C409" s="9" t="s">
        <v>250</v>
      </c>
      <c r="D409" s="7"/>
    </row>
    <row r="410" spans="1:4" ht="12.75" customHeight="1" x14ac:dyDescent="0.2">
      <c r="A410" s="21"/>
      <c r="B410" s="3" t="s">
        <v>11</v>
      </c>
      <c r="C410" s="9" t="s">
        <v>2327</v>
      </c>
      <c r="D410" s="7"/>
    </row>
    <row r="411" spans="1:4" ht="12.75" customHeight="1" x14ac:dyDescent="0.2">
      <c r="A411" s="21"/>
      <c r="B411" s="3" t="s">
        <v>16</v>
      </c>
      <c r="C411" s="9"/>
      <c r="D411" s="7"/>
    </row>
    <row r="412" spans="1:4" ht="12.75" customHeight="1" x14ac:dyDescent="0.2">
      <c r="A412" s="21"/>
      <c r="B412" s="3" t="s">
        <v>17</v>
      </c>
      <c r="C412" s="9" t="s">
        <v>19</v>
      </c>
      <c r="D412" s="7"/>
    </row>
    <row r="413" spans="1:4" ht="12.75" customHeight="1" x14ac:dyDescent="0.2">
      <c r="A413" s="21"/>
      <c r="B413" s="3" t="s">
        <v>18</v>
      </c>
      <c r="C413" s="8" t="s">
        <v>19</v>
      </c>
      <c r="D413" s="7"/>
    </row>
    <row r="414" spans="1:4" ht="12.75" customHeight="1" x14ac:dyDescent="0.2">
      <c r="A414" s="21"/>
      <c r="B414" s="2"/>
      <c r="C414" s="7"/>
      <c r="D414" s="7"/>
    </row>
    <row r="415" spans="1:4" ht="12.75" customHeight="1" x14ac:dyDescent="0.2">
      <c r="A415" s="21"/>
      <c r="B415" s="2"/>
      <c r="C415" s="7"/>
      <c r="D415" s="7"/>
    </row>
    <row r="416" spans="1:4" ht="12.75" customHeight="1" x14ac:dyDescent="0.2">
      <c r="A416" s="21"/>
      <c r="B416" s="2"/>
      <c r="C416" s="7"/>
      <c r="D416" s="7"/>
    </row>
    <row r="417" spans="1:4" ht="12.75" customHeight="1" x14ac:dyDescent="0.2">
      <c r="A417" s="21"/>
      <c r="B417" s="2"/>
      <c r="C417" s="7"/>
      <c r="D417" s="7"/>
    </row>
    <row r="418" spans="1:4" ht="12.75" customHeight="1" x14ac:dyDescent="0.2">
      <c r="A418" s="5"/>
      <c r="B418" s="2"/>
      <c r="C418" s="7"/>
      <c r="D418" s="7"/>
    </row>
    <row r="419" spans="1:4" ht="12.75" customHeight="1" x14ac:dyDescent="0.2">
      <c r="A419" s="22" t="str">
        <f>HYPERLINK("javascript:void(0)","bronz testpajzs")</f>
        <v>bronz testpajzs</v>
      </c>
      <c r="B419" s="21"/>
      <c r="C419" s="21"/>
      <c r="D419" s="21"/>
    </row>
    <row r="420" spans="1:4" ht="12.75" customHeight="1" x14ac:dyDescent="0.2">
      <c r="A420" s="20"/>
      <c r="B420" s="2"/>
      <c r="C420" s="7"/>
      <c r="D420" s="7"/>
    </row>
    <row r="421" spans="1:4" ht="12.75" customHeight="1" x14ac:dyDescent="0.2">
      <c r="A421" s="21"/>
      <c r="B421" s="3" t="s">
        <v>0</v>
      </c>
      <c r="C421" s="23" t="s">
        <v>123</v>
      </c>
      <c r="D421" s="21"/>
    </row>
    <row r="422" spans="1:4" ht="12.75" customHeight="1" x14ac:dyDescent="0.2">
      <c r="A422" s="21"/>
      <c r="B422" s="3" t="s">
        <v>2</v>
      </c>
      <c r="C422" s="23" t="s">
        <v>1839</v>
      </c>
      <c r="D422" s="21"/>
    </row>
    <row r="423" spans="1:4" ht="12.75" customHeight="1" x14ac:dyDescent="0.2">
      <c r="A423" s="21"/>
      <c r="B423" s="3" t="s">
        <v>1840</v>
      </c>
      <c r="C423" s="23" t="s">
        <v>29</v>
      </c>
      <c r="D423" s="21"/>
    </row>
    <row r="424" spans="1:4" ht="12.75" customHeight="1" x14ac:dyDescent="0.2">
      <c r="A424" s="21"/>
      <c r="B424" s="3" t="s">
        <v>9</v>
      </c>
      <c r="C424" s="23" t="s">
        <v>75</v>
      </c>
      <c r="D424" s="21"/>
    </row>
    <row r="425" spans="1:4" ht="12.75" customHeight="1" x14ac:dyDescent="0.2">
      <c r="A425" s="21"/>
      <c r="B425" s="3" t="s">
        <v>11</v>
      </c>
      <c r="C425" s="23" t="s">
        <v>838</v>
      </c>
      <c r="D425" s="21"/>
    </row>
    <row r="426" spans="1:4" ht="12.75" customHeight="1" x14ac:dyDescent="0.2">
      <c r="A426" s="21"/>
      <c r="B426" s="3" t="s">
        <v>16</v>
      </c>
      <c r="C426" s="23"/>
      <c r="D426" s="21"/>
    </row>
    <row r="427" spans="1:4" ht="12.75" customHeight="1" x14ac:dyDescent="0.2">
      <c r="A427" s="21"/>
      <c r="B427" s="3" t="s">
        <v>17</v>
      </c>
      <c r="C427" s="23" t="s">
        <v>19</v>
      </c>
      <c r="D427" s="21"/>
    </row>
    <row r="428" spans="1:4" ht="12.75" customHeight="1" x14ac:dyDescent="0.2">
      <c r="A428" s="21"/>
      <c r="B428" s="20" t="s">
        <v>18</v>
      </c>
      <c r="C428" s="8" t="s">
        <v>55</v>
      </c>
      <c r="D428" s="1" t="str">
        <f>HYPERLINK("javascript:void(0)","rézérc")</f>
        <v>rézérc</v>
      </c>
    </row>
    <row r="429" spans="1:4" ht="12.75" customHeight="1" x14ac:dyDescent="0.2">
      <c r="A429" s="21"/>
      <c r="B429" s="21"/>
      <c r="C429" s="8" t="s">
        <v>142</v>
      </c>
      <c r="D429" s="1" t="str">
        <f>HYPERLINK("javascript:void(0)","óngolyó")</f>
        <v>óngolyó</v>
      </c>
    </row>
    <row r="430" spans="1:4" ht="12.75" customHeight="1" x14ac:dyDescent="0.2">
      <c r="A430" s="21"/>
      <c r="B430" s="21"/>
      <c r="C430" s="8" t="s">
        <v>117</v>
      </c>
      <c r="D430" s="1" t="str">
        <f>HYPERLINK("javascript:void(0)","vasérc")</f>
        <v>vasérc</v>
      </c>
    </row>
    <row r="431" spans="1:4" ht="12.75" customHeight="1" x14ac:dyDescent="0.2">
      <c r="A431" s="21"/>
      <c r="B431" s="2"/>
      <c r="C431" s="7"/>
      <c r="D431" s="7"/>
    </row>
    <row r="432" spans="1:4" ht="12.75" customHeight="1" x14ac:dyDescent="0.2">
      <c r="A432" s="21"/>
      <c r="B432" s="2"/>
      <c r="C432" s="7"/>
      <c r="D432" s="7"/>
    </row>
    <row r="433" spans="1:4" ht="12.75" customHeight="1" x14ac:dyDescent="0.2">
      <c r="A433" s="21"/>
      <c r="B433" s="2"/>
      <c r="C433" s="7"/>
      <c r="D433" s="7"/>
    </row>
    <row r="434" spans="1:4" ht="12.75" customHeight="1" x14ac:dyDescent="0.2">
      <c r="A434" s="21"/>
      <c r="B434" s="2"/>
      <c r="C434" s="7"/>
      <c r="D434" s="7"/>
    </row>
    <row r="435" spans="1:4" ht="12.75" customHeight="1" x14ac:dyDescent="0.2">
      <c r="A435" s="5"/>
      <c r="B435" s="2"/>
      <c r="C435" s="7"/>
      <c r="D435" s="7"/>
    </row>
    <row r="436" spans="1:4" ht="12.75" customHeight="1" x14ac:dyDescent="0.2">
      <c r="A436" s="22" t="str">
        <f>HYPERLINK("javascript:void(0)","bronzrög")</f>
        <v>bronzrög</v>
      </c>
      <c r="B436" s="21"/>
      <c r="C436" s="21"/>
      <c r="D436" s="21"/>
    </row>
    <row r="437" spans="1:4" ht="12.75" customHeight="1" x14ac:dyDescent="0.2">
      <c r="A437" s="20"/>
      <c r="B437" s="2"/>
      <c r="C437" s="7"/>
      <c r="D437" s="7"/>
    </row>
    <row r="438" spans="1:4" ht="12.75" customHeight="1" x14ac:dyDescent="0.2">
      <c r="A438" s="21"/>
      <c r="B438" s="3" t="s">
        <v>0</v>
      </c>
      <c r="C438" s="23" t="s">
        <v>123</v>
      </c>
      <c r="D438" s="21"/>
    </row>
    <row r="439" spans="1:4" ht="12.75" customHeight="1" x14ac:dyDescent="0.2">
      <c r="A439" s="21"/>
      <c r="B439" s="3" t="s">
        <v>2</v>
      </c>
      <c r="C439" s="23" t="s">
        <v>1839</v>
      </c>
      <c r="D439" s="21"/>
    </row>
    <row r="440" spans="1:4" ht="12.75" customHeight="1" x14ac:dyDescent="0.2">
      <c r="A440" s="21"/>
      <c r="B440" s="3" t="s">
        <v>1840</v>
      </c>
      <c r="C440" s="23" t="s">
        <v>21</v>
      </c>
      <c r="D440" s="21"/>
    </row>
    <row r="441" spans="1:4" ht="12.75" customHeight="1" x14ac:dyDescent="0.2">
      <c r="A441" s="21"/>
      <c r="B441" s="3" t="s">
        <v>9</v>
      </c>
      <c r="C441" s="23" t="s">
        <v>42</v>
      </c>
      <c r="D441" s="21"/>
    </row>
    <row r="442" spans="1:4" ht="12.75" customHeight="1" x14ac:dyDescent="0.2">
      <c r="A442" s="21"/>
      <c r="B442" s="3" t="s">
        <v>11</v>
      </c>
      <c r="C442" s="23" t="s">
        <v>486</v>
      </c>
      <c r="D442" s="21"/>
    </row>
    <row r="443" spans="1:4" ht="12.75" customHeight="1" x14ac:dyDescent="0.2">
      <c r="A443" s="21"/>
      <c r="B443" s="3" t="s">
        <v>16</v>
      </c>
      <c r="C443" s="23"/>
      <c r="D443" s="21"/>
    </row>
    <row r="444" spans="1:4" ht="12.75" customHeight="1" x14ac:dyDescent="0.2">
      <c r="A444" s="21"/>
      <c r="B444" s="3" t="s">
        <v>17</v>
      </c>
      <c r="C444" s="23" t="s">
        <v>19</v>
      </c>
      <c r="D444" s="21"/>
    </row>
    <row r="445" spans="1:4" ht="12.75" customHeight="1" x14ac:dyDescent="0.2">
      <c r="A445" s="21"/>
      <c r="B445" s="20" t="s">
        <v>18</v>
      </c>
      <c r="C445" s="8" t="s">
        <v>280</v>
      </c>
      <c r="D445" s="1" t="str">
        <f>HYPERLINK("javascript:void(0)","rézérc")</f>
        <v>rézérc</v>
      </c>
    </row>
    <row r="446" spans="1:4" ht="12.75" customHeight="1" x14ac:dyDescent="0.2">
      <c r="A446" s="21"/>
      <c r="B446" s="21"/>
      <c r="C446" s="8" t="s">
        <v>280</v>
      </c>
      <c r="D446" s="1" t="str">
        <f>HYPERLINK("javascript:void(0)","óngolyó")</f>
        <v>óngolyó</v>
      </c>
    </row>
    <row r="447" spans="1:4" ht="12.75" customHeight="1" x14ac:dyDescent="0.2">
      <c r="A447" s="21"/>
      <c r="B447" s="21"/>
      <c r="C447" s="8" t="s">
        <v>280</v>
      </c>
      <c r="D447" s="1" t="str">
        <f>HYPERLINK("javascript:void(0)","savkristály")</f>
        <v>savkristály</v>
      </c>
    </row>
    <row r="448" spans="1:4" ht="12.75" customHeight="1" x14ac:dyDescent="0.2">
      <c r="A448" s="21"/>
      <c r="B448" s="2"/>
      <c r="C448" s="7"/>
      <c r="D448" s="7"/>
    </row>
    <row r="449" spans="1:4" ht="12.75" customHeight="1" x14ac:dyDescent="0.2">
      <c r="A449" s="21"/>
      <c r="B449" s="2"/>
      <c r="C449" s="7"/>
      <c r="D449" s="7"/>
    </row>
    <row r="450" spans="1:4" ht="12.75" customHeight="1" x14ac:dyDescent="0.2">
      <c r="A450" s="21"/>
      <c r="B450" s="2"/>
      <c r="C450" s="7"/>
      <c r="D450" s="7"/>
    </row>
    <row r="451" spans="1:4" ht="12.75" customHeight="1" x14ac:dyDescent="0.2">
      <c r="A451" s="21"/>
      <c r="B451" s="2"/>
      <c r="C451" s="7"/>
      <c r="D451" s="7"/>
    </row>
    <row r="452" spans="1:4" ht="12.75" customHeight="1" x14ac:dyDescent="0.2">
      <c r="A452" s="5"/>
      <c r="B452" s="2"/>
      <c r="C452" s="7"/>
      <c r="D452" s="7"/>
    </row>
    <row r="453" spans="1:4" ht="12.75" customHeight="1" x14ac:dyDescent="0.2">
      <c r="A453" s="22" t="str">
        <f>HYPERLINK("javascript:void(0)","vasrög")</f>
        <v>vasrög</v>
      </c>
      <c r="B453" s="21"/>
      <c r="C453" s="21"/>
      <c r="D453" s="21"/>
    </row>
    <row r="454" spans="1:4" ht="12.75" customHeight="1" x14ac:dyDescent="0.2">
      <c r="A454" s="20"/>
      <c r="B454" s="2"/>
      <c r="C454" s="7"/>
      <c r="D454" s="7"/>
    </row>
    <row r="455" spans="1:4" ht="12.75" customHeight="1" x14ac:dyDescent="0.2">
      <c r="A455" s="21"/>
      <c r="B455" s="3" t="s">
        <v>0</v>
      </c>
      <c r="C455" s="23" t="s">
        <v>123</v>
      </c>
      <c r="D455" s="21"/>
    </row>
    <row r="456" spans="1:4" ht="12.75" customHeight="1" x14ac:dyDescent="0.2">
      <c r="A456" s="21"/>
      <c r="B456" s="3" t="s">
        <v>2</v>
      </c>
      <c r="C456" s="23" t="s">
        <v>1839</v>
      </c>
      <c r="D456" s="21"/>
    </row>
    <row r="457" spans="1:4" ht="12.75" customHeight="1" x14ac:dyDescent="0.2">
      <c r="A457" s="21"/>
      <c r="B457" s="3" t="s">
        <v>1840</v>
      </c>
      <c r="C457" s="23" t="s">
        <v>21</v>
      </c>
      <c r="D457" s="21"/>
    </row>
    <row r="458" spans="1:4" ht="12.75" customHeight="1" x14ac:dyDescent="0.2">
      <c r="A458" s="21"/>
      <c r="B458" s="3" t="s">
        <v>9</v>
      </c>
      <c r="C458" s="23" t="s">
        <v>42</v>
      </c>
      <c r="D458" s="21"/>
    </row>
    <row r="459" spans="1:4" ht="12.75" customHeight="1" x14ac:dyDescent="0.2">
      <c r="A459" s="21"/>
      <c r="B459" s="3" t="s">
        <v>11</v>
      </c>
      <c r="C459" s="23" t="s">
        <v>486</v>
      </c>
      <c r="D459" s="21"/>
    </row>
    <row r="460" spans="1:4" ht="12.75" customHeight="1" x14ac:dyDescent="0.2">
      <c r="A460" s="21"/>
      <c r="B460" s="3" t="s">
        <v>16</v>
      </c>
      <c r="C460" s="23"/>
      <c r="D460" s="21"/>
    </row>
    <row r="461" spans="1:4" ht="12.75" customHeight="1" x14ac:dyDescent="0.2">
      <c r="A461" s="21"/>
      <c r="B461" s="3" t="s">
        <v>17</v>
      </c>
      <c r="C461" s="23" t="s">
        <v>19</v>
      </c>
      <c r="D461" s="21"/>
    </row>
    <row r="462" spans="1:4" ht="12.75" customHeight="1" x14ac:dyDescent="0.2">
      <c r="A462" s="21"/>
      <c r="B462" s="20" t="s">
        <v>18</v>
      </c>
      <c r="C462" s="8" t="s">
        <v>280</v>
      </c>
      <c r="D462" s="1" t="str">
        <f>HYPERLINK("javascript:void(0)","vasérc")</f>
        <v>vasérc</v>
      </c>
    </row>
    <row r="463" spans="1:4" ht="12.75" customHeight="1" x14ac:dyDescent="0.2">
      <c r="A463" s="21"/>
      <c r="B463" s="21"/>
      <c r="C463" s="8" t="s">
        <v>193</v>
      </c>
      <c r="D463" s="1" t="str">
        <f>HYPERLINK("javascript:void(0)","óngolyó")</f>
        <v>óngolyó</v>
      </c>
    </row>
    <row r="464" spans="1:4" ht="12.75" customHeight="1" x14ac:dyDescent="0.2">
      <c r="A464" s="21"/>
      <c r="B464" s="21"/>
      <c r="C464" s="8" t="s">
        <v>280</v>
      </c>
      <c r="D464" s="1" t="str">
        <f>HYPERLINK("javascript:void(0)","kristályfolyadék")</f>
        <v>kristályfolyadék</v>
      </c>
    </row>
    <row r="465" spans="1:4" ht="12.75" customHeight="1" x14ac:dyDescent="0.2">
      <c r="A465" s="21"/>
      <c r="B465" s="2"/>
      <c r="C465" s="7"/>
      <c r="D465" s="7"/>
    </row>
    <row r="466" spans="1:4" ht="12.75" customHeight="1" x14ac:dyDescent="0.2">
      <c r="A466" s="21"/>
      <c r="B466" s="2"/>
      <c r="C466" s="7"/>
      <c r="D466" s="7"/>
    </row>
    <row r="467" spans="1:4" ht="12.75" customHeight="1" x14ac:dyDescent="0.2">
      <c r="A467" s="21"/>
      <c r="B467" s="2"/>
      <c r="C467" s="7"/>
      <c r="D467" s="7"/>
    </row>
    <row r="468" spans="1:4" ht="12.75" customHeight="1" x14ac:dyDescent="0.2">
      <c r="A468" s="21"/>
      <c r="B468" s="2"/>
      <c r="C468" s="7"/>
      <c r="D468" s="7"/>
    </row>
    <row r="469" spans="1:4" ht="12.75" customHeight="1" x14ac:dyDescent="0.2">
      <c r="A469" s="5"/>
      <c r="B469" s="2"/>
      <c r="C469" s="7"/>
      <c r="D469" s="7"/>
    </row>
    <row r="470" spans="1:4" ht="12.75" customHeight="1" x14ac:dyDescent="0.2">
      <c r="A470" s="22" t="str">
        <f>HYPERLINK("javascript:void(0)","kompózium lik")</f>
        <v>kompózium lik</v>
      </c>
      <c r="B470" s="21"/>
      <c r="C470" s="21"/>
      <c r="D470" s="21"/>
    </row>
    <row r="471" spans="1:4" ht="12.75" customHeight="1" x14ac:dyDescent="0.2">
      <c r="A471" s="20"/>
      <c r="B471" s="2"/>
      <c r="C471" s="7"/>
      <c r="D471" s="7"/>
    </row>
    <row r="472" spans="1:4" ht="12.75" customHeight="1" x14ac:dyDescent="0.2">
      <c r="A472" s="21"/>
      <c r="B472" s="3" t="s">
        <v>0</v>
      </c>
      <c r="C472" s="23" t="s">
        <v>123</v>
      </c>
      <c r="D472" s="21"/>
    </row>
    <row r="473" spans="1:4" ht="12.75" customHeight="1" x14ac:dyDescent="0.2">
      <c r="A473" s="21"/>
      <c r="B473" s="3" t="s">
        <v>2</v>
      </c>
      <c r="C473" s="23" t="s">
        <v>1839</v>
      </c>
      <c r="D473" s="21"/>
    </row>
    <row r="474" spans="1:4" ht="12.75" customHeight="1" x14ac:dyDescent="0.2">
      <c r="A474" s="21"/>
      <c r="B474" s="3" t="s">
        <v>1840</v>
      </c>
      <c r="C474" s="23" t="s">
        <v>21</v>
      </c>
      <c r="D474" s="21"/>
    </row>
    <row r="475" spans="1:4" ht="12.75" customHeight="1" x14ac:dyDescent="0.2">
      <c r="A475" s="21"/>
      <c r="B475" s="3" t="s">
        <v>9</v>
      </c>
      <c r="C475" s="23" t="s">
        <v>42</v>
      </c>
      <c r="D475" s="21"/>
    </row>
    <row r="476" spans="1:4" ht="12.75" customHeight="1" x14ac:dyDescent="0.2">
      <c r="A476" s="21"/>
      <c r="B476" s="3" t="s">
        <v>11</v>
      </c>
      <c r="C476" s="23" t="s">
        <v>279</v>
      </c>
      <c r="D476" s="21"/>
    </row>
    <row r="477" spans="1:4" ht="12.75" customHeight="1" x14ac:dyDescent="0.2">
      <c r="A477" s="21"/>
      <c r="B477" s="3" t="s">
        <v>16</v>
      </c>
      <c r="C477" s="23"/>
      <c r="D477" s="21"/>
    </row>
    <row r="478" spans="1:4" ht="12.75" customHeight="1" x14ac:dyDescent="0.2">
      <c r="A478" s="21"/>
      <c r="B478" s="3" t="s">
        <v>17</v>
      </c>
      <c r="C478" s="23" t="s">
        <v>19</v>
      </c>
      <c r="D478" s="21"/>
    </row>
    <row r="479" spans="1:4" ht="12.75" customHeight="1" x14ac:dyDescent="0.2">
      <c r="A479" s="21"/>
      <c r="B479" s="20" t="s">
        <v>18</v>
      </c>
      <c r="C479" s="8" t="s">
        <v>77</v>
      </c>
      <c r="D479" s="1" t="str">
        <f>HYPERLINK("javascript:void(0)","kompózium")</f>
        <v>kompózium</v>
      </c>
    </row>
    <row r="480" spans="1:4" ht="12.75" customHeight="1" x14ac:dyDescent="0.2">
      <c r="A480" s="21"/>
      <c r="B480" s="21"/>
      <c r="C480" s="8" t="s">
        <v>142</v>
      </c>
      <c r="D480" s="1" t="str">
        <f>HYPERLINK("javascript:void(0)","esztétikum")</f>
        <v>esztétikum</v>
      </c>
    </row>
    <row r="481" spans="1:4" ht="12.75" customHeight="1" x14ac:dyDescent="0.2">
      <c r="A481" s="21"/>
      <c r="B481" s="21"/>
      <c r="C481" s="8" t="s">
        <v>193</v>
      </c>
      <c r="D481" s="1" t="str">
        <f>HYPERLINK("javascript:void(0)","démonfog")</f>
        <v>démonfog</v>
      </c>
    </row>
    <row r="482" spans="1:4" ht="12.75" customHeight="1" x14ac:dyDescent="0.2">
      <c r="A482" s="21"/>
      <c r="B482" s="2"/>
      <c r="C482" s="7"/>
      <c r="D482" s="7"/>
    </row>
    <row r="483" spans="1:4" ht="12.75" customHeight="1" x14ac:dyDescent="0.2">
      <c r="A483" s="21"/>
      <c r="B483" s="2"/>
      <c r="C483" s="7"/>
      <c r="D483" s="7"/>
    </row>
    <row r="484" spans="1:4" ht="12.75" customHeight="1" x14ac:dyDescent="0.2">
      <c r="A484" s="21"/>
      <c r="B484" s="2"/>
      <c r="C484" s="7"/>
      <c r="D484" s="7"/>
    </row>
    <row r="485" spans="1:4" ht="12.75" customHeight="1" x14ac:dyDescent="0.2">
      <c r="A485" s="21"/>
      <c r="B485" s="2"/>
      <c r="C485" s="7"/>
      <c r="D485" s="7"/>
    </row>
    <row r="486" spans="1:4" ht="12.75" customHeight="1" x14ac:dyDescent="0.2">
      <c r="A486" s="5"/>
      <c r="B486" s="2"/>
      <c r="C486" s="7"/>
      <c r="D486" s="7"/>
    </row>
    <row r="487" spans="1:4" ht="12.75" customHeight="1" x14ac:dyDescent="0.2">
      <c r="A487" s="22" t="str">
        <f>HYPERLINK("javascript:void(0)","bőrcsizma")</f>
        <v>bőrcsizma</v>
      </c>
      <c r="B487" s="21"/>
      <c r="C487" s="21"/>
      <c r="D487" s="7"/>
    </row>
    <row r="488" spans="1:4" ht="12.75" customHeight="1" x14ac:dyDescent="0.2">
      <c r="A488" s="20"/>
      <c r="B488" s="2"/>
      <c r="C488" s="7"/>
      <c r="D488" s="7"/>
    </row>
    <row r="489" spans="1:4" ht="12.75" customHeight="1" x14ac:dyDescent="0.2">
      <c r="A489" s="21"/>
      <c r="B489" s="3" t="s">
        <v>0</v>
      </c>
      <c r="C489" s="9" t="s">
        <v>26</v>
      </c>
      <c r="D489" s="7"/>
    </row>
    <row r="490" spans="1:4" ht="12.75" customHeight="1" x14ac:dyDescent="0.2">
      <c r="A490" s="21"/>
      <c r="B490" s="3" t="s">
        <v>2</v>
      </c>
      <c r="C490" s="9"/>
      <c r="D490" s="7"/>
    </row>
    <row r="491" spans="1:4" ht="12.75" customHeight="1" x14ac:dyDescent="0.2">
      <c r="A491" s="21"/>
      <c r="B491" s="3" t="s">
        <v>1840</v>
      </c>
      <c r="C491" s="9" t="s">
        <v>29</v>
      </c>
      <c r="D491" s="7"/>
    </row>
    <row r="492" spans="1:4" ht="12.75" customHeight="1" x14ac:dyDescent="0.2">
      <c r="A492" s="21"/>
      <c r="B492" s="3" t="s">
        <v>9</v>
      </c>
      <c r="C492" s="9" t="s">
        <v>172</v>
      </c>
      <c r="D492" s="7"/>
    </row>
    <row r="493" spans="1:4" ht="12.75" customHeight="1" x14ac:dyDescent="0.2">
      <c r="A493" s="21"/>
      <c r="B493" s="3" t="s">
        <v>11</v>
      </c>
      <c r="C493" s="9" t="s">
        <v>165</v>
      </c>
      <c r="D493" s="7"/>
    </row>
    <row r="494" spans="1:4" ht="12.75" customHeight="1" x14ac:dyDescent="0.2">
      <c r="A494" s="21"/>
      <c r="B494" s="3" t="s">
        <v>16</v>
      </c>
      <c r="C494" s="9"/>
      <c r="D494" s="7"/>
    </row>
    <row r="495" spans="1:4" ht="12.75" customHeight="1" x14ac:dyDescent="0.2">
      <c r="A495" s="21"/>
      <c r="B495" s="3" t="s">
        <v>17</v>
      </c>
      <c r="C495" s="9" t="s">
        <v>19</v>
      </c>
      <c r="D495" s="7"/>
    </row>
    <row r="496" spans="1:4" ht="12.75" customHeight="1" x14ac:dyDescent="0.2">
      <c r="A496" s="21"/>
      <c r="B496" s="3" t="s">
        <v>18</v>
      </c>
      <c r="C496" s="8" t="s">
        <v>19</v>
      </c>
      <c r="D496" s="7"/>
    </row>
    <row r="497" spans="1:4" ht="12.75" customHeight="1" x14ac:dyDescent="0.2">
      <c r="A497" s="21"/>
      <c r="B497" s="2"/>
      <c r="C497" s="7"/>
      <c r="D497" s="7"/>
    </row>
    <row r="498" spans="1:4" ht="12.75" customHeight="1" x14ac:dyDescent="0.2">
      <c r="A498" s="21"/>
      <c r="B498" s="2"/>
      <c r="C498" s="7"/>
      <c r="D498" s="7"/>
    </row>
    <row r="499" spans="1:4" ht="12.75" customHeight="1" x14ac:dyDescent="0.2">
      <c r="A499" s="21"/>
      <c r="B499" s="2"/>
      <c r="C499" s="7"/>
      <c r="D499" s="7"/>
    </row>
    <row r="500" spans="1:4" ht="12.75" customHeight="1" x14ac:dyDescent="0.2">
      <c r="A500" s="21"/>
      <c r="B500" s="2"/>
      <c r="C500" s="7"/>
      <c r="D500" s="7"/>
    </row>
    <row r="501" spans="1:4" ht="12.75" customHeight="1" x14ac:dyDescent="0.2">
      <c r="A501" s="5"/>
      <c r="B501" s="2"/>
      <c r="C501" s="7"/>
      <c r="D501" s="7"/>
    </row>
    <row r="502" spans="1:4" ht="12.75" customHeight="1" x14ac:dyDescent="0.2">
      <c r="A502" s="22" t="str">
        <f>HYPERLINK("javascript:void(0)","rézpajzs")</f>
        <v>rézpajzs</v>
      </c>
      <c r="B502" s="21"/>
      <c r="C502" s="21"/>
      <c r="D502" s="7"/>
    </row>
    <row r="503" spans="1:4" ht="12.75" customHeight="1" x14ac:dyDescent="0.2">
      <c r="A503" s="20"/>
      <c r="B503" s="2"/>
      <c r="C503" s="7"/>
      <c r="D503" s="7"/>
    </row>
    <row r="504" spans="1:4" ht="12.75" customHeight="1" x14ac:dyDescent="0.2">
      <c r="A504" s="21"/>
      <c r="B504" s="3" t="s">
        <v>0</v>
      </c>
      <c r="C504" s="9" t="s">
        <v>26</v>
      </c>
      <c r="D504" s="7"/>
    </row>
    <row r="505" spans="1:4" ht="12.75" customHeight="1" x14ac:dyDescent="0.2">
      <c r="A505" s="21"/>
      <c r="B505" s="3" t="s">
        <v>2</v>
      </c>
      <c r="C505" s="9" t="s">
        <v>1839</v>
      </c>
      <c r="D505" s="7"/>
    </row>
    <row r="506" spans="1:4" ht="12.75" customHeight="1" x14ac:dyDescent="0.2">
      <c r="A506" s="21"/>
      <c r="B506" s="3" t="s">
        <v>1840</v>
      </c>
      <c r="C506" s="9" t="s">
        <v>7</v>
      </c>
      <c r="D506" s="7"/>
    </row>
    <row r="507" spans="1:4" ht="12.75" customHeight="1" x14ac:dyDescent="0.2">
      <c r="A507" s="21"/>
      <c r="B507" s="3" t="s">
        <v>9</v>
      </c>
      <c r="C507" s="9" t="s">
        <v>129</v>
      </c>
      <c r="D507" s="7"/>
    </row>
    <row r="508" spans="1:4" ht="12.75" customHeight="1" x14ac:dyDescent="0.2">
      <c r="A508" s="21"/>
      <c r="B508" s="3" t="s">
        <v>11</v>
      </c>
      <c r="C508" s="9" t="s">
        <v>1866</v>
      </c>
      <c r="D508" s="7"/>
    </row>
    <row r="509" spans="1:4" ht="12.75" customHeight="1" x14ac:dyDescent="0.2">
      <c r="A509" s="21"/>
      <c r="B509" s="3" t="s">
        <v>16</v>
      </c>
      <c r="C509" s="9"/>
      <c r="D509" s="7"/>
    </row>
    <row r="510" spans="1:4" ht="12.75" customHeight="1" x14ac:dyDescent="0.2">
      <c r="A510" s="21"/>
      <c r="B510" s="3" t="s">
        <v>17</v>
      </c>
      <c r="C510" s="9" t="s">
        <v>19</v>
      </c>
      <c r="D510" s="7"/>
    </row>
    <row r="511" spans="1:4" ht="12.75" customHeight="1" x14ac:dyDescent="0.2">
      <c r="A511" s="21"/>
      <c r="B511" s="3" t="s">
        <v>18</v>
      </c>
      <c r="C511" s="8" t="s">
        <v>19</v>
      </c>
      <c r="D511" s="7"/>
    </row>
    <row r="512" spans="1:4" ht="12.75" customHeight="1" x14ac:dyDescent="0.2">
      <c r="A512" s="21"/>
      <c r="B512" s="2"/>
      <c r="C512" s="7"/>
      <c r="D512" s="7"/>
    </row>
    <row r="513" spans="1:4" ht="12.75" customHeight="1" x14ac:dyDescent="0.2">
      <c r="A513" s="21"/>
      <c r="B513" s="2"/>
      <c r="C513" s="7"/>
      <c r="D513" s="7"/>
    </row>
    <row r="514" spans="1:4" ht="12.75" customHeight="1" x14ac:dyDescent="0.2">
      <c r="A514" s="21"/>
      <c r="B514" s="2"/>
      <c r="C514" s="7"/>
      <c r="D514" s="7"/>
    </row>
    <row r="515" spans="1:4" ht="12.75" customHeight="1" x14ac:dyDescent="0.2">
      <c r="A515" s="21"/>
      <c r="B515" s="2"/>
      <c r="C515" s="7"/>
      <c r="D515" s="7"/>
    </row>
    <row r="516" spans="1:4" ht="12.75" customHeight="1" x14ac:dyDescent="0.2">
      <c r="A516" s="5"/>
      <c r="B516" s="2"/>
      <c r="C516" s="7"/>
      <c r="D516" s="7"/>
    </row>
    <row r="517" spans="1:4" ht="12.75" customHeight="1" x14ac:dyDescent="0.2">
      <c r="A517" s="22" t="str">
        <f>HYPERLINK("javascript:void(0)","vas előlap")</f>
        <v>vas előlap</v>
      </c>
      <c r="B517" s="21"/>
      <c r="C517" s="21"/>
      <c r="D517" s="21"/>
    </row>
    <row r="518" spans="1:4" ht="12.75" customHeight="1" x14ac:dyDescent="0.2">
      <c r="A518" s="20"/>
      <c r="B518" s="2"/>
      <c r="C518" s="7"/>
      <c r="D518" s="7"/>
    </row>
    <row r="519" spans="1:4" ht="12.75" customHeight="1" x14ac:dyDescent="0.2">
      <c r="A519" s="21"/>
      <c r="B519" s="3" t="s">
        <v>0</v>
      </c>
      <c r="C519" s="23" t="s">
        <v>26</v>
      </c>
      <c r="D519" s="21"/>
    </row>
    <row r="520" spans="1:4" ht="12.75" customHeight="1" x14ac:dyDescent="0.2">
      <c r="A520" s="21"/>
      <c r="B520" s="3" t="s">
        <v>2</v>
      </c>
      <c r="C520" s="23" t="s">
        <v>1839</v>
      </c>
      <c r="D520" s="21"/>
    </row>
    <row r="521" spans="1:4" ht="12.75" customHeight="1" x14ac:dyDescent="0.2">
      <c r="A521" s="21"/>
      <c r="B521" s="3" t="s">
        <v>1840</v>
      </c>
      <c r="C521" s="23" t="s">
        <v>21</v>
      </c>
      <c r="D521" s="21"/>
    </row>
    <row r="522" spans="1:4" ht="12.75" customHeight="1" x14ac:dyDescent="0.2">
      <c r="A522" s="21"/>
      <c r="B522" s="3" t="s">
        <v>9</v>
      </c>
      <c r="C522" s="23" t="s">
        <v>75</v>
      </c>
      <c r="D522" s="21"/>
    </row>
    <row r="523" spans="1:4" ht="12.75" customHeight="1" x14ac:dyDescent="0.2">
      <c r="A523" s="21"/>
      <c r="B523" s="3" t="s">
        <v>11</v>
      </c>
      <c r="C523" s="23" t="s">
        <v>279</v>
      </c>
      <c r="D523" s="21"/>
    </row>
    <row r="524" spans="1:4" ht="12.75" customHeight="1" x14ac:dyDescent="0.2">
      <c r="A524" s="21"/>
      <c r="B524" s="3" t="s">
        <v>16</v>
      </c>
      <c r="C524" s="23"/>
      <c r="D524" s="21"/>
    </row>
    <row r="525" spans="1:4" ht="12.75" customHeight="1" x14ac:dyDescent="0.2">
      <c r="A525" s="21"/>
      <c r="B525" s="3" t="s">
        <v>17</v>
      </c>
      <c r="C525" s="23" t="s">
        <v>19</v>
      </c>
      <c r="D525" s="21"/>
    </row>
    <row r="526" spans="1:4" ht="12.75" customHeight="1" x14ac:dyDescent="0.2">
      <c r="A526" s="21"/>
      <c r="B526" s="20" t="s">
        <v>18</v>
      </c>
      <c r="C526" s="8" t="s">
        <v>193</v>
      </c>
      <c r="D526" s="1" t="str">
        <f>HYPERLINK("javascript:void(0)","rémszem")</f>
        <v>rémszem</v>
      </c>
    </row>
    <row r="527" spans="1:4" ht="12.75" customHeight="1" x14ac:dyDescent="0.2">
      <c r="A527" s="21"/>
      <c r="B527" s="21"/>
      <c r="C527" s="8" t="s">
        <v>68</v>
      </c>
      <c r="D527" s="1" t="str">
        <f>HYPERLINK("javascript:void(0)","démonzanza")</f>
        <v>démonzanza</v>
      </c>
    </row>
    <row r="528" spans="1:4" ht="12.75" customHeight="1" x14ac:dyDescent="0.2">
      <c r="A528" s="21"/>
      <c r="B528" s="21"/>
      <c r="C528" s="8" t="s">
        <v>67</v>
      </c>
      <c r="D528" s="1" t="str">
        <f>HYPERLINK("javascript:void(0)","vasrög")</f>
        <v>vasrög</v>
      </c>
    </row>
    <row r="529" spans="1:4" ht="12.75" customHeight="1" x14ac:dyDescent="0.2">
      <c r="A529" s="21"/>
      <c r="B529" s="2"/>
      <c r="C529" s="7"/>
      <c r="D529" s="7"/>
    </row>
    <row r="530" spans="1:4" ht="12.75" customHeight="1" x14ac:dyDescent="0.2">
      <c r="A530" s="21"/>
      <c r="B530" s="2"/>
      <c r="C530" s="7"/>
      <c r="D530" s="7"/>
    </row>
    <row r="531" spans="1:4" ht="12.75" customHeight="1" x14ac:dyDescent="0.2">
      <c r="A531" s="21"/>
      <c r="B531" s="2"/>
      <c r="C531" s="7"/>
      <c r="D531" s="7"/>
    </row>
    <row r="532" spans="1:4" ht="12.75" customHeight="1" x14ac:dyDescent="0.2">
      <c r="A532" s="21"/>
      <c r="B532" s="2"/>
      <c r="C532" s="7"/>
      <c r="D532" s="7"/>
    </row>
    <row r="533" spans="1:4" ht="12.75" customHeight="1" x14ac:dyDescent="0.2">
      <c r="A533" s="5"/>
      <c r="B533" s="2"/>
      <c r="C533" s="7"/>
      <c r="D533" s="7"/>
    </row>
    <row r="534" spans="1:4" ht="12.75" customHeight="1" x14ac:dyDescent="0.2">
      <c r="A534" s="22" t="str">
        <f>HYPERLINK("javascript:void(0)","bronzpáncél")</f>
        <v>bronzpáncél</v>
      </c>
      <c r="B534" s="21"/>
      <c r="C534" s="21"/>
      <c r="D534" s="7"/>
    </row>
    <row r="535" spans="1:4" ht="12.75" customHeight="1" x14ac:dyDescent="0.2">
      <c r="A535" s="20"/>
      <c r="B535" s="2"/>
      <c r="C535" s="7"/>
      <c r="D535" s="7"/>
    </row>
    <row r="536" spans="1:4" ht="12.75" customHeight="1" x14ac:dyDescent="0.2">
      <c r="A536" s="21"/>
      <c r="B536" s="3" t="s">
        <v>0</v>
      </c>
      <c r="C536" s="9" t="s">
        <v>5</v>
      </c>
      <c r="D536" s="7"/>
    </row>
    <row r="537" spans="1:4" ht="12.75" customHeight="1" x14ac:dyDescent="0.2">
      <c r="A537" s="21"/>
      <c r="B537" s="3" t="s">
        <v>2</v>
      </c>
      <c r="C537" s="9" t="s">
        <v>2322</v>
      </c>
      <c r="D537" s="7"/>
    </row>
    <row r="538" spans="1:4" ht="12.75" customHeight="1" x14ac:dyDescent="0.2">
      <c r="A538" s="21"/>
      <c r="B538" s="3" t="s">
        <v>1840</v>
      </c>
      <c r="C538" s="9" t="s">
        <v>40</v>
      </c>
      <c r="D538" s="7"/>
    </row>
    <row r="539" spans="1:4" ht="12.75" customHeight="1" x14ac:dyDescent="0.2">
      <c r="A539" s="21"/>
      <c r="B539" s="3" t="s">
        <v>9</v>
      </c>
      <c r="C539" s="9" t="s">
        <v>179</v>
      </c>
      <c r="D539" s="7"/>
    </row>
    <row r="540" spans="1:4" ht="12.75" customHeight="1" x14ac:dyDescent="0.2">
      <c r="A540" s="21"/>
      <c r="B540" s="3" t="s">
        <v>11</v>
      </c>
      <c r="C540" s="9" t="s">
        <v>2328</v>
      </c>
      <c r="D540" s="7"/>
    </row>
    <row r="541" spans="1:4" ht="12.75" customHeight="1" x14ac:dyDescent="0.2">
      <c r="A541" s="21"/>
      <c r="B541" s="3" t="s">
        <v>16</v>
      </c>
      <c r="C541" s="9"/>
      <c r="D541" s="7"/>
    </row>
    <row r="542" spans="1:4" ht="12.75" customHeight="1" x14ac:dyDescent="0.2">
      <c r="A542" s="21"/>
      <c r="B542" s="3" t="s">
        <v>17</v>
      </c>
      <c r="C542" s="9" t="s">
        <v>19</v>
      </c>
      <c r="D542" s="7"/>
    </row>
    <row r="543" spans="1:4" ht="12.75" customHeight="1" x14ac:dyDescent="0.2">
      <c r="A543" s="21"/>
      <c r="B543" s="3" t="s">
        <v>18</v>
      </c>
      <c r="C543" s="8" t="s">
        <v>19</v>
      </c>
      <c r="D543" s="7"/>
    </row>
    <row r="544" spans="1:4" ht="12.75" customHeight="1" x14ac:dyDescent="0.2">
      <c r="A544" s="21"/>
      <c r="B544" s="2"/>
      <c r="C544" s="7"/>
      <c r="D544" s="7"/>
    </row>
    <row r="545" spans="1:4" ht="12.75" customHeight="1" x14ac:dyDescent="0.2">
      <c r="A545" s="21"/>
      <c r="B545" s="2"/>
      <c r="C545" s="7"/>
      <c r="D545" s="7"/>
    </row>
    <row r="546" spans="1:4" ht="12.75" customHeight="1" x14ac:dyDescent="0.2">
      <c r="A546" s="21"/>
      <c r="B546" s="2"/>
      <c r="C546" s="7"/>
      <c r="D546" s="7"/>
    </row>
    <row r="547" spans="1:4" ht="12.75" customHeight="1" x14ac:dyDescent="0.2">
      <c r="A547" s="21"/>
      <c r="B547" s="2"/>
      <c r="C547" s="7"/>
      <c r="D547" s="7"/>
    </row>
    <row r="548" spans="1:4" ht="12.75" customHeight="1" x14ac:dyDescent="0.2">
      <c r="A548" s="5"/>
      <c r="B548" s="2"/>
      <c r="C548" s="7"/>
      <c r="D548" s="7"/>
    </row>
    <row r="549" spans="1:4" ht="12.75" customHeight="1" x14ac:dyDescent="0.2">
      <c r="A549" s="22" t="str">
        <f>HYPERLINK("javascript:void(0)","kis szegecspajzs")</f>
        <v>kis szegecspajzs</v>
      </c>
      <c r="B549" s="21"/>
      <c r="C549" s="21"/>
      <c r="D549" s="7"/>
    </row>
    <row r="550" spans="1:4" ht="12.75" customHeight="1" x14ac:dyDescent="0.2">
      <c r="A550" s="20"/>
      <c r="B550" s="2"/>
      <c r="C550" s="7"/>
      <c r="D550" s="7"/>
    </row>
    <row r="551" spans="1:4" ht="12.75" customHeight="1" x14ac:dyDescent="0.2">
      <c r="A551" s="21"/>
      <c r="B551" s="3" t="s">
        <v>0</v>
      </c>
      <c r="C551" s="9" t="s">
        <v>5</v>
      </c>
      <c r="D551" s="7"/>
    </row>
    <row r="552" spans="1:4" ht="12.75" customHeight="1" x14ac:dyDescent="0.2">
      <c r="A552" s="21"/>
      <c r="B552" s="3" t="s">
        <v>2</v>
      </c>
      <c r="C552" s="9" t="s">
        <v>1839</v>
      </c>
      <c r="D552" s="7"/>
    </row>
    <row r="553" spans="1:4" ht="12.75" customHeight="1" x14ac:dyDescent="0.2">
      <c r="A553" s="21"/>
      <c r="B553" s="3" t="s">
        <v>1840</v>
      </c>
      <c r="C553" s="9" t="s">
        <v>123</v>
      </c>
      <c r="D553" s="7"/>
    </row>
    <row r="554" spans="1:4" ht="12.75" customHeight="1" x14ac:dyDescent="0.2">
      <c r="A554" s="21"/>
      <c r="B554" s="3" t="s">
        <v>9</v>
      </c>
      <c r="C554" s="9" t="s">
        <v>147</v>
      </c>
      <c r="D554" s="7"/>
    </row>
    <row r="555" spans="1:4" ht="12.75" customHeight="1" x14ac:dyDescent="0.2">
      <c r="A555" s="21"/>
      <c r="B555" s="3" t="s">
        <v>11</v>
      </c>
      <c r="C555" s="9" t="s">
        <v>1868</v>
      </c>
      <c r="D555" s="7"/>
    </row>
    <row r="556" spans="1:4" ht="12.75" customHeight="1" x14ac:dyDescent="0.2">
      <c r="A556" s="21"/>
      <c r="B556" s="3" t="s">
        <v>16</v>
      </c>
      <c r="C556" s="9"/>
      <c r="D556" s="7"/>
    </row>
    <row r="557" spans="1:4" ht="12.75" customHeight="1" x14ac:dyDescent="0.2">
      <c r="A557" s="21"/>
      <c r="B557" s="3" t="s">
        <v>17</v>
      </c>
      <c r="C557" s="9" t="s">
        <v>19</v>
      </c>
      <c r="D557" s="7"/>
    </row>
    <row r="558" spans="1:4" ht="12.75" customHeight="1" x14ac:dyDescent="0.2">
      <c r="A558" s="21"/>
      <c r="B558" s="3" t="s">
        <v>18</v>
      </c>
      <c r="C558" s="8" t="s">
        <v>19</v>
      </c>
      <c r="D558" s="7"/>
    </row>
    <row r="559" spans="1:4" ht="12.75" customHeight="1" x14ac:dyDescent="0.2">
      <c r="A559" s="21"/>
      <c r="B559" s="2"/>
      <c r="C559" s="7"/>
      <c r="D559" s="7"/>
    </row>
    <row r="560" spans="1:4" ht="12.75" customHeight="1" x14ac:dyDescent="0.2">
      <c r="A560" s="21"/>
      <c r="B560" s="2"/>
      <c r="C560" s="7"/>
      <c r="D560" s="7"/>
    </row>
    <row r="561" spans="1:4" ht="12.75" customHeight="1" x14ac:dyDescent="0.2">
      <c r="A561" s="21"/>
      <c r="B561" s="2"/>
      <c r="C561" s="7"/>
      <c r="D561" s="7"/>
    </row>
    <row r="562" spans="1:4" ht="12.75" customHeight="1" x14ac:dyDescent="0.2">
      <c r="A562" s="21"/>
      <c r="B562" s="2"/>
      <c r="C562" s="7"/>
      <c r="D562" s="7"/>
    </row>
    <row r="563" spans="1:4" ht="12.75" customHeight="1" x14ac:dyDescent="0.2">
      <c r="A563" s="5"/>
      <c r="B563" s="2"/>
      <c r="C563" s="7"/>
      <c r="D563" s="7"/>
    </row>
    <row r="564" spans="1:4" ht="12.75" customHeight="1" x14ac:dyDescent="0.2">
      <c r="A564" s="22" t="str">
        <f>HYPERLINK("javascript:void(0)","smaragd előlap")</f>
        <v>smaragd előlap</v>
      </c>
      <c r="B564" s="21"/>
      <c r="C564" s="21"/>
      <c r="D564" s="21"/>
    </row>
    <row r="565" spans="1:4" ht="12.75" customHeight="1" x14ac:dyDescent="0.2">
      <c r="A565" s="20"/>
      <c r="B565" s="2"/>
      <c r="C565" s="7"/>
      <c r="D565" s="7"/>
    </row>
    <row r="566" spans="1:4" ht="12.75" customHeight="1" x14ac:dyDescent="0.2">
      <c r="A566" s="21"/>
      <c r="B566" s="3" t="s">
        <v>0</v>
      </c>
      <c r="C566" s="23" t="s">
        <v>5</v>
      </c>
      <c r="D566" s="21"/>
    </row>
    <row r="567" spans="1:4" ht="12.75" customHeight="1" x14ac:dyDescent="0.2">
      <c r="A567" s="21"/>
      <c r="B567" s="3" t="s">
        <v>2</v>
      </c>
      <c r="C567" s="23" t="s">
        <v>1839</v>
      </c>
      <c r="D567" s="21"/>
    </row>
    <row r="568" spans="1:4" ht="12.75" customHeight="1" x14ac:dyDescent="0.2">
      <c r="A568" s="21"/>
      <c r="B568" s="3" t="s">
        <v>1840</v>
      </c>
      <c r="C568" s="23" t="s">
        <v>21</v>
      </c>
      <c r="D568" s="21"/>
    </row>
    <row r="569" spans="1:4" ht="12.75" customHeight="1" x14ac:dyDescent="0.2">
      <c r="A569" s="21"/>
      <c r="B569" s="3" t="s">
        <v>9</v>
      </c>
      <c r="C569" s="23" t="s">
        <v>42</v>
      </c>
      <c r="D569" s="21"/>
    </row>
    <row r="570" spans="1:4" ht="12.75" customHeight="1" x14ac:dyDescent="0.2">
      <c r="A570" s="21"/>
      <c r="B570" s="3" t="s">
        <v>11</v>
      </c>
      <c r="C570" s="23" t="s">
        <v>152</v>
      </c>
      <c r="D570" s="21"/>
    </row>
    <row r="571" spans="1:4" ht="12.75" customHeight="1" x14ac:dyDescent="0.2">
      <c r="A571" s="21"/>
      <c r="B571" s="3" t="s">
        <v>16</v>
      </c>
      <c r="C571" s="23"/>
      <c r="D571" s="21"/>
    </row>
    <row r="572" spans="1:4" ht="12.75" customHeight="1" x14ac:dyDescent="0.2">
      <c r="A572" s="21"/>
      <c r="B572" s="3" t="s">
        <v>17</v>
      </c>
      <c r="C572" s="23" t="s">
        <v>19</v>
      </c>
      <c r="D572" s="21"/>
    </row>
    <row r="573" spans="1:4" ht="12.75" customHeight="1" x14ac:dyDescent="0.2">
      <c r="A573" s="21"/>
      <c r="B573" s="20" t="s">
        <v>18</v>
      </c>
      <c r="C573" s="8" t="s">
        <v>323</v>
      </c>
      <c r="D573" s="1" t="str">
        <f>HYPERLINK("javascript:void(0)","smaragd")</f>
        <v>smaragd</v>
      </c>
    </row>
    <row r="574" spans="1:4" ht="12.75" customHeight="1" x14ac:dyDescent="0.2">
      <c r="A574" s="21"/>
      <c r="B574" s="21"/>
      <c r="C574" s="8" t="s">
        <v>102</v>
      </c>
      <c r="D574" s="1" t="str">
        <f>HYPERLINK("javascript:void(0)","főnixtoll")</f>
        <v>főnixtoll</v>
      </c>
    </row>
    <row r="575" spans="1:4" ht="12.75" customHeight="1" x14ac:dyDescent="0.2">
      <c r="A575" s="21"/>
      <c r="B575" s="21"/>
      <c r="C575" s="8" t="s">
        <v>68</v>
      </c>
      <c r="D575" s="1" t="str">
        <f>HYPERLINK("javascript:void(0)","hemoglobin")</f>
        <v>hemoglobin</v>
      </c>
    </row>
    <row r="576" spans="1:4" ht="12.75" customHeight="1" x14ac:dyDescent="0.2">
      <c r="A576" s="21"/>
      <c r="B576" s="2"/>
      <c r="C576" s="7"/>
      <c r="D576" s="7"/>
    </row>
    <row r="577" spans="1:4" ht="12.75" customHeight="1" x14ac:dyDescent="0.2">
      <c r="A577" s="21"/>
      <c r="B577" s="2"/>
      <c r="C577" s="7"/>
      <c r="D577" s="7"/>
    </row>
    <row r="578" spans="1:4" ht="12.75" customHeight="1" x14ac:dyDescent="0.2">
      <c r="A578" s="21"/>
      <c r="B578" s="2"/>
      <c r="C578" s="7"/>
      <c r="D578" s="7"/>
    </row>
    <row r="579" spans="1:4" ht="12.75" customHeight="1" x14ac:dyDescent="0.2">
      <c r="A579" s="21"/>
      <c r="B579" s="2"/>
      <c r="C579" s="7"/>
      <c r="D579" s="7"/>
    </row>
    <row r="580" spans="1:4" ht="12.75" customHeight="1" x14ac:dyDescent="0.2">
      <c r="A580" s="5"/>
      <c r="B580" s="2"/>
      <c r="C580" s="7"/>
      <c r="D580" s="7"/>
    </row>
    <row r="581" spans="1:4" ht="12.75" customHeight="1" x14ac:dyDescent="0.2">
      <c r="A581" s="22" t="str">
        <f>HYPERLINK("javascript:void(0)","törpe surranó")</f>
        <v>törpe surranó</v>
      </c>
      <c r="B581" s="21"/>
      <c r="C581" s="21"/>
      <c r="D581" s="7"/>
    </row>
    <row r="582" spans="1:4" ht="12.75" customHeight="1" x14ac:dyDescent="0.2">
      <c r="A582" s="20"/>
      <c r="B582" s="2"/>
      <c r="C582" s="7"/>
      <c r="D582" s="7"/>
    </row>
    <row r="583" spans="1:4" ht="12.75" customHeight="1" x14ac:dyDescent="0.2">
      <c r="A583" s="21"/>
      <c r="B583" s="3" t="s">
        <v>0</v>
      </c>
      <c r="C583" s="9" t="s">
        <v>40</v>
      </c>
      <c r="D583" s="7"/>
    </row>
    <row r="584" spans="1:4" ht="12.75" customHeight="1" x14ac:dyDescent="0.2">
      <c r="A584" s="21"/>
      <c r="B584" s="3" t="s">
        <v>2</v>
      </c>
      <c r="C584" s="9"/>
      <c r="D584" s="7"/>
    </row>
    <row r="585" spans="1:4" ht="12.75" customHeight="1" x14ac:dyDescent="0.2">
      <c r="A585" s="21"/>
      <c r="B585" s="3" t="s">
        <v>1840</v>
      </c>
      <c r="C585" s="9" t="s">
        <v>123</v>
      </c>
      <c r="D585" s="7"/>
    </row>
    <row r="586" spans="1:4" ht="12.75" customHeight="1" x14ac:dyDescent="0.2">
      <c r="A586" s="21"/>
      <c r="B586" s="3" t="s">
        <v>9</v>
      </c>
      <c r="C586" s="9" t="s">
        <v>147</v>
      </c>
      <c r="D586" s="7"/>
    </row>
    <row r="587" spans="1:4" ht="12.75" customHeight="1" x14ac:dyDescent="0.2">
      <c r="A587" s="21"/>
      <c r="B587" s="3" t="s">
        <v>11</v>
      </c>
      <c r="C587" s="9" t="s">
        <v>1883</v>
      </c>
      <c r="D587" s="7"/>
    </row>
    <row r="588" spans="1:4" ht="12.75" customHeight="1" x14ac:dyDescent="0.2">
      <c r="A588" s="21"/>
      <c r="B588" s="3" t="s">
        <v>16</v>
      </c>
      <c r="C588" s="9"/>
      <c r="D588" s="7"/>
    </row>
    <row r="589" spans="1:4" ht="12.75" customHeight="1" x14ac:dyDescent="0.2">
      <c r="A589" s="21"/>
      <c r="B589" s="3" t="s">
        <v>17</v>
      </c>
      <c r="C589" s="9" t="s">
        <v>19</v>
      </c>
      <c r="D589" s="7"/>
    </row>
    <row r="590" spans="1:4" ht="12.75" customHeight="1" x14ac:dyDescent="0.2">
      <c r="A590" s="21"/>
      <c r="B590" s="3" t="s">
        <v>18</v>
      </c>
      <c r="C590" s="8" t="s">
        <v>19</v>
      </c>
      <c r="D590" s="7"/>
    </row>
    <row r="591" spans="1:4" ht="12.75" customHeight="1" x14ac:dyDescent="0.2">
      <c r="A591" s="21"/>
      <c r="B591" s="2"/>
      <c r="C591" s="7"/>
      <c r="D591" s="7"/>
    </row>
    <row r="592" spans="1:4" ht="12.75" customHeight="1" x14ac:dyDescent="0.2">
      <c r="A592" s="21"/>
      <c r="B592" s="2"/>
      <c r="C592" s="7"/>
      <c r="D592" s="7"/>
    </row>
    <row r="593" spans="1:4" ht="12.75" customHeight="1" x14ac:dyDescent="0.2">
      <c r="A593" s="21"/>
      <c r="B593" s="2"/>
      <c r="C593" s="7"/>
      <c r="D593" s="7"/>
    </row>
    <row r="594" spans="1:4" ht="12.75" customHeight="1" x14ac:dyDescent="0.2">
      <c r="A594" s="21"/>
      <c r="B594" s="2"/>
      <c r="C594" s="7"/>
      <c r="D594" s="7"/>
    </row>
    <row r="595" spans="1:4" ht="12.75" customHeight="1" x14ac:dyDescent="0.2">
      <c r="A595" s="5"/>
      <c r="B595" s="2"/>
      <c r="C595" s="7"/>
      <c r="D595" s="7"/>
    </row>
    <row r="596" spans="1:4" ht="12.75" customHeight="1" x14ac:dyDescent="0.2">
      <c r="A596" s="22" t="str">
        <f>HYPERLINK("javascript:void(0)","manasisak")</f>
        <v>manasisak</v>
      </c>
      <c r="B596" s="21"/>
      <c r="C596" s="21"/>
      <c r="D596" s="7"/>
    </row>
    <row r="597" spans="1:4" ht="12.75" customHeight="1" x14ac:dyDescent="0.2">
      <c r="A597" s="20"/>
      <c r="B597" s="2"/>
      <c r="C597" s="7"/>
      <c r="D597" s="7"/>
    </row>
    <row r="598" spans="1:4" ht="12.75" customHeight="1" x14ac:dyDescent="0.2">
      <c r="A598" s="21"/>
      <c r="B598" s="3" t="s">
        <v>0</v>
      </c>
      <c r="C598" s="9" t="s">
        <v>40</v>
      </c>
      <c r="D598" s="7"/>
    </row>
    <row r="599" spans="1:4" ht="12.75" customHeight="1" x14ac:dyDescent="0.2">
      <c r="A599" s="21"/>
      <c r="B599" s="3" t="s">
        <v>2</v>
      </c>
      <c r="C599" s="9"/>
      <c r="D599" s="7"/>
    </row>
    <row r="600" spans="1:4" ht="12.75" customHeight="1" x14ac:dyDescent="0.2">
      <c r="A600" s="21"/>
      <c r="B600" s="3" t="s">
        <v>1840</v>
      </c>
      <c r="C600" s="9" t="s">
        <v>29</v>
      </c>
      <c r="D600" s="7"/>
    </row>
    <row r="601" spans="1:4" ht="12.75" customHeight="1" x14ac:dyDescent="0.2">
      <c r="A601" s="21"/>
      <c r="B601" s="3" t="s">
        <v>9</v>
      </c>
      <c r="C601" s="9" t="s">
        <v>124</v>
      </c>
      <c r="D601" s="7"/>
    </row>
    <row r="602" spans="1:4" ht="25.5" customHeight="1" x14ac:dyDescent="0.2">
      <c r="A602" s="21"/>
      <c r="B602" s="3" t="s">
        <v>11</v>
      </c>
      <c r="C602" s="9" t="s">
        <v>695</v>
      </c>
      <c r="D602" s="7"/>
    </row>
    <row r="603" spans="1:4" ht="12.75" customHeight="1" x14ac:dyDescent="0.2">
      <c r="A603" s="21"/>
      <c r="B603" s="3" t="s">
        <v>16</v>
      </c>
      <c r="C603" s="9"/>
      <c r="D603" s="7"/>
    </row>
    <row r="604" spans="1:4" ht="12.75" customHeight="1" x14ac:dyDescent="0.2">
      <c r="A604" s="21"/>
      <c r="B604" s="3" t="s">
        <v>17</v>
      </c>
      <c r="C604" s="9" t="s">
        <v>19</v>
      </c>
      <c r="D604" s="7"/>
    </row>
    <row r="605" spans="1:4" ht="12.75" customHeight="1" x14ac:dyDescent="0.2">
      <c r="A605" s="21"/>
      <c r="B605" s="3" t="s">
        <v>18</v>
      </c>
      <c r="C605" s="8" t="s">
        <v>19</v>
      </c>
      <c r="D605" s="7"/>
    </row>
    <row r="606" spans="1:4" ht="12.75" customHeight="1" x14ac:dyDescent="0.2">
      <c r="A606" s="21"/>
      <c r="B606" s="2"/>
      <c r="C606" s="7"/>
      <c r="D606" s="7"/>
    </row>
    <row r="607" spans="1:4" ht="12.75" customHeight="1" x14ac:dyDescent="0.2">
      <c r="A607" s="21"/>
      <c r="B607" s="2"/>
      <c r="C607" s="7"/>
      <c r="D607" s="7"/>
    </row>
    <row r="608" spans="1:4" ht="12.75" customHeight="1" x14ac:dyDescent="0.2">
      <c r="A608" s="21"/>
      <c r="B608" s="2"/>
      <c r="C608" s="7"/>
      <c r="D608" s="7"/>
    </row>
    <row r="609" spans="1:4" ht="12.75" customHeight="1" x14ac:dyDescent="0.2">
      <c r="A609" s="21"/>
      <c r="B609" s="2"/>
      <c r="C609" s="7"/>
      <c r="D609" s="7"/>
    </row>
    <row r="610" spans="1:4" ht="12.75" customHeight="1" x14ac:dyDescent="0.2">
      <c r="A610" s="5"/>
      <c r="B610" s="2"/>
      <c r="C610" s="7"/>
      <c r="D610" s="7"/>
    </row>
    <row r="611" spans="1:4" ht="12.75" customHeight="1" x14ac:dyDescent="0.2">
      <c r="A611" s="22" t="str">
        <f>HYPERLINK("javascript:void(0)","kis ork pajzs")</f>
        <v>kis ork pajzs</v>
      </c>
      <c r="B611" s="21"/>
      <c r="C611" s="21"/>
      <c r="D611" s="21"/>
    </row>
    <row r="612" spans="1:4" ht="12.75" customHeight="1" x14ac:dyDescent="0.2">
      <c r="A612" s="20"/>
      <c r="B612" s="2"/>
      <c r="C612" s="7"/>
      <c r="D612" s="7"/>
    </row>
    <row r="613" spans="1:4" ht="12.75" customHeight="1" x14ac:dyDescent="0.2">
      <c r="A613" s="21"/>
      <c r="B613" s="3" t="s">
        <v>0</v>
      </c>
      <c r="C613" s="23" t="s">
        <v>40</v>
      </c>
      <c r="D613" s="21"/>
    </row>
    <row r="614" spans="1:4" ht="12.75" customHeight="1" x14ac:dyDescent="0.2">
      <c r="A614" s="21"/>
      <c r="B614" s="3" t="s">
        <v>2</v>
      </c>
      <c r="C614" s="23" t="s">
        <v>1839</v>
      </c>
      <c r="D614" s="21"/>
    </row>
    <row r="615" spans="1:4" ht="12.75" customHeight="1" x14ac:dyDescent="0.2">
      <c r="A615" s="21"/>
      <c r="B615" s="3" t="s">
        <v>1840</v>
      </c>
      <c r="C615" s="23" t="s">
        <v>26</v>
      </c>
      <c r="D615" s="21"/>
    </row>
    <row r="616" spans="1:4" ht="12.75" customHeight="1" x14ac:dyDescent="0.2">
      <c r="A616" s="21"/>
      <c r="B616" s="3" t="s">
        <v>9</v>
      </c>
      <c r="C616" s="23" t="s">
        <v>210</v>
      </c>
      <c r="D616" s="21"/>
    </row>
    <row r="617" spans="1:4" ht="12.75" customHeight="1" x14ac:dyDescent="0.2">
      <c r="A617" s="21"/>
      <c r="B617" s="3" t="s">
        <v>11</v>
      </c>
      <c r="C617" s="23" t="s">
        <v>989</v>
      </c>
      <c r="D617" s="21"/>
    </row>
    <row r="618" spans="1:4" ht="12.75" customHeight="1" x14ac:dyDescent="0.2">
      <c r="A618" s="21"/>
      <c r="B618" s="3" t="s">
        <v>16</v>
      </c>
      <c r="C618" s="23"/>
      <c r="D618" s="21"/>
    </row>
    <row r="619" spans="1:4" ht="12.75" customHeight="1" x14ac:dyDescent="0.2">
      <c r="A619" s="21"/>
      <c r="B619" s="3" t="s">
        <v>17</v>
      </c>
      <c r="C619" s="23" t="s">
        <v>19</v>
      </c>
      <c r="D619" s="21"/>
    </row>
    <row r="620" spans="1:4" ht="12.75" customHeight="1" x14ac:dyDescent="0.2">
      <c r="A620" s="21"/>
      <c r="B620" s="20" t="s">
        <v>18</v>
      </c>
      <c r="C620" s="8" t="s">
        <v>44</v>
      </c>
      <c r="D620" s="1" t="str">
        <f>HYPERLINK("javascript:void(0)","szegecselt pajzs")</f>
        <v>szegecselt pajzs</v>
      </c>
    </row>
    <row r="621" spans="1:4" ht="12.75" customHeight="1" x14ac:dyDescent="0.2">
      <c r="A621" s="21"/>
      <c r="B621" s="21"/>
      <c r="C621" s="8" t="s">
        <v>193</v>
      </c>
      <c r="D621" s="1" t="str">
        <f>HYPERLINK("javascript:void(0)","ezüst")</f>
        <v>ezüst</v>
      </c>
    </row>
    <row r="622" spans="1:4" ht="12.75" customHeight="1" x14ac:dyDescent="0.2">
      <c r="A622" s="21"/>
      <c r="B622" s="21"/>
      <c r="C622" s="8" t="s">
        <v>56</v>
      </c>
      <c r="D622" s="1" t="str">
        <f>HYPERLINK("javascript:void(0)","arany")</f>
        <v>arany</v>
      </c>
    </row>
    <row r="623" spans="1:4" ht="12.75" customHeight="1" x14ac:dyDescent="0.2">
      <c r="A623" s="21"/>
      <c r="B623" s="2"/>
      <c r="C623" s="7"/>
      <c r="D623" s="7"/>
    </row>
    <row r="624" spans="1:4" ht="12.75" customHeight="1" x14ac:dyDescent="0.2">
      <c r="A624" s="21"/>
      <c r="B624" s="2"/>
      <c r="C624" s="7"/>
      <c r="D624" s="7"/>
    </row>
    <row r="625" spans="1:4" ht="12.75" customHeight="1" x14ac:dyDescent="0.2">
      <c r="A625" s="21"/>
      <c r="B625" s="2"/>
      <c r="C625" s="7"/>
      <c r="D625" s="7"/>
    </row>
    <row r="626" spans="1:4" ht="12.75" customHeight="1" x14ac:dyDescent="0.2">
      <c r="A626" s="21"/>
      <c r="B626" s="2"/>
      <c r="C626" s="7"/>
      <c r="D626" s="7"/>
    </row>
    <row r="627" spans="1:4" ht="12.75" customHeight="1" x14ac:dyDescent="0.2">
      <c r="A627" s="5"/>
      <c r="B627" s="2"/>
      <c r="C627" s="7"/>
      <c r="D627" s="7"/>
    </row>
    <row r="628" spans="1:4" ht="12.75" customHeight="1" x14ac:dyDescent="0.2">
      <c r="A628" s="22" t="str">
        <f>HYPERLINK("javascript:void(0)","bronzpajzs")</f>
        <v>bronzpajzs</v>
      </c>
      <c r="B628" s="21"/>
      <c r="C628" s="21"/>
      <c r="D628" s="21"/>
    </row>
    <row r="629" spans="1:4" ht="12.75" customHeight="1" x14ac:dyDescent="0.2">
      <c r="A629" s="20"/>
      <c r="B629" s="2"/>
      <c r="C629" s="7"/>
      <c r="D629" s="7"/>
    </row>
    <row r="630" spans="1:4" ht="12.75" customHeight="1" x14ac:dyDescent="0.2">
      <c r="A630" s="21"/>
      <c r="B630" s="3" t="s">
        <v>0</v>
      </c>
      <c r="C630" s="23" t="s">
        <v>128</v>
      </c>
      <c r="D630" s="21"/>
    </row>
    <row r="631" spans="1:4" ht="12.75" customHeight="1" x14ac:dyDescent="0.2">
      <c r="A631" s="21"/>
      <c r="B631" s="3" t="s">
        <v>2</v>
      </c>
      <c r="C631" s="23" t="s">
        <v>1839</v>
      </c>
      <c r="D631" s="21"/>
    </row>
    <row r="632" spans="1:4" ht="12.75" customHeight="1" x14ac:dyDescent="0.2">
      <c r="A632" s="21"/>
      <c r="B632" s="3" t="s">
        <v>1840</v>
      </c>
      <c r="C632" s="23" t="s">
        <v>26</v>
      </c>
      <c r="D632" s="21"/>
    </row>
    <row r="633" spans="1:4" ht="12.75" customHeight="1" x14ac:dyDescent="0.2">
      <c r="A633" s="21"/>
      <c r="B633" s="3" t="s">
        <v>9</v>
      </c>
      <c r="C633" s="23" t="s">
        <v>169</v>
      </c>
      <c r="D633" s="21"/>
    </row>
    <row r="634" spans="1:4" ht="12.75" customHeight="1" x14ac:dyDescent="0.2">
      <c r="A634" s="21"/>
      <c r="B634" s="3" t="s">
        <v>11</v>
      </c>
      <c r="C634" s="23" t="s">
        <v>987</v>
      </c>
      <c r="D634" s="21"/>
    </row>
    <row r="635" spans="1:4" ht="12.75" customHeight="1" x14ac:dyDescent="0.2">
      <c r="A635" s="21"/>
      <c r="B635" s="3" t="s">
        <v>16</v>
      </c>
      <c r="C635" s="23"/>
      <c r="D635" s="21"/>
    </row>
    <row r="636" spans="1:4" ht="12.75" customHeight="1" x14ac:dyDescent="0.2">
      <c r="A636" s="21"/>
      <c r="B636" s="3" t="s">
        <v>17</v>
      </c>
      <c r="C636" s="23" t="s">
        <v>19</v>
      </c>
      <c r="D636" s="21"/>
    </row>
    <row r="637" spans="1:4" ht="12.75" customHeight="1" x14ac:dyDescent="0.2">
      <c r="A637" s="21"/>
      <c r="B637" s="20" t="s">
        <v>18</v>
      </c>
      <c r="C637" s="8" t="s">
        <v>44</v>
      </c>
      <c r="D637" s="1" t="str">
        <f>HYPERLINK("javascript:void(0)","bőrpajzs")</f>
        <v>bőrpajzs</v>
      </c>
    </row>
    <row r="638" spans="1:4" ht="12.75" customHeight="1" x14ac:dyDescent="0.2">
      <c r="A638" s="21"/>
      <c r="B638" s="21"/>
      <c r="C638" s="8" t="s">
        <v>57</v>
      </c>
      <c r="D638" s="1" t="str">
        <f>HYPERLINK("javascript:void(0)","ezüst")</f>
        <v>ezüst</v>
      </c>
    </row>
    <row r="639" spans="1:4" ht="12.75" customHeight="1" x14ac:dyDescent="0.2">
      <c r="A639" s="21"/>
      <c r="B639" s="21"/>
      <c r="C639" s="8" t="s">
        <v>232</v>
      </c>
      <c r="D639" s="1" t="str">
        <f>HYPERLINK("javascript:void(0)","rézérc")</f>
        <v>rézérc</v>
      </c>
    </row>
    <row r="640" spans="1:4" ht="12.75" customHeight="1" x14ac:dyDescent="0.2">
      <c r="A640" s="21"/>
      <c r="B640" s="2"/>
      <c r="C640" s="7"/>
      <c r="D640" s="7"/>
    </row>
    <row r="641" spans="1:4" ht="12.75" customHeight="1" x14ac:dyDescent="0.2">
      <c r="A641" s="21"/>
      <c r="B641" s="2"/>
      <c r="C641" s="7"/>
      <c r="D641" s="7"/>
    </row>
    <row r="642" spans="1:4" ht="12.75" customHeight="1" x14ac:dyDescent="0.2">
      <c r="A642" s="21"/>
      <c r="B642" s="2"/>
      <c r="C642" s="7"/>
      <c r="D642" s="7"/>
    </row>
    <row r="643" spans="1:4" ht="12.75" customHeight="1" x14ac:dyDescent="0.2">
      <c r="A643" s="21"/>
      <c r="B643" s="2"/>
      <c r="C643" s="7"/>
      <c r="D643" s="7"/>
    </row>
    <row r="644" spans="1:4" ht="12.75" customHeight="1" x14ac:dyDescent="0.2">
      <c r="A644" s="5"/>
      <c r="B644" s="2"/>
      <c r="C644" s="7"/>
      <c r="D644" s="7"/>
    </row>
    <row r="645" spans="1:4" ht="12.75" customHeight="1" x14ac:dyDescent="0.2">
      <c r="A645" s="22" t="str">
        <f>HYPERLINK("javascript:void(0)","láncsisak")</f>
        <v>láncsisak</v>
      </c>
      <c r="B645" s="21"/>
      <c r="C645" s="21"/>
      <c r="D645" s="7"/>
    </row>
    <row r="646" spans="1:4" ht="12.75" customHeight="1" x14ac:dyDescent="0.2">
      <c r="A646" s="20"/>
      <c r="B646" s="2"/>
      <c r="C646" s="7"/>
      <c r="D646" s="7"/>
    </row>
    <row r="647" spans="1:4" ht="12.75" customHeight="1" x14ac:dyDescent="0.2">
      <c r="A647" s="21"/>
      <c r="B647" s="3" t="s">
        <v>0</v>
      </c>
      <c r="C647" s="9" t="s">
        <v>128</v>
      </c>
      <c r="D647" s="7"/>
    </row>
    <row r="648" spans="1:4" ht="12.75" customHeight="1" x14ac:dyDescent="0.2">
      <c r="A648" s="21"/>
      <c r="B648" s="3" t="s">
        <v>2</v>
      </c>
      <c r="C648" s="9"/>
      <c r="D648" s="7"/>
    </row>
    <row r="649" spans="1:4" ht="12.75" customHeight="1" x14ac:dyDescent="0.2">
      <c r="A649" s="21"/>
      <c r="B649" s="3" t="s">
        <v>1840</v>
      </c>
      <c r="C649" s="9" t="s">
        <v>123</v>
      </c>
      <c r="D649" s="7"/>
    </row>
    <row r="650" spans="1:4" ht="12.75" customHeight="1" x14ac:dyDescent="0.2">
      <c r="A650" s="21"/>
      <c r="B650" s="3" t="s">
        <v>9</v>
      </c>
      <c r="C650" s="9" t="s">
        <v>93</v>
      </c>
      <c r="D650" s="7"/>
    </row>
    <row r="651" spans="1:4" ht="12.75" customHeight="1" x14ac:dyDescent="0.2">
      <c r="A651" s="21"/>
      <c r="B651" s="3" t="s">
        <v>11</v>
      </c>
      <c r="C651" s="9" t="s">
        <v>1399</v>
      </c>
      <c r="D651" s="7"/>
    </row>
    <row r="652" spans="1:4" ht="12.75" customHeight="1" x14ac:dyDescent="0.2">
      <c r="A652" s="21"/>
      <c r="B652" s="3" t="s">
        <v>16</v>
      </c>
      <c r="C652" s="9"/>
      <c r="D652" s="7"/>
    </row>
    <row r="653" spans="1:4" ht="12.75" customHeight="1" x14ac:dyDescent="0.2">
      <c r="A653" s="21"/>
      <c r="B653" s="3" t="s">
        <v>17</v>
      </c>
      <c r="C653" s="9" t="s">
        <v>19</v>
      </c>
      <c r="D653" s="7"/>
    </row>
    <row r="654" spans="1:4" ht="12.75" customHeight="1" x14ac:dyDescent="0.2">
      <c r="A654" s="21"/>
      <c r="B654" s="3" t="s">
        <v>18</v>
      </c>
      <c r="C654" s="8" t="s">
        <v>19</v>
      </c>
      <c r="D654" s="7"/>
    </row>
    <row r="655" spans="1:4" ht="12.75" customHeight="1" x14ac:dyDescent="0.2">
      <c r="A655" s="21"/>
      <c r="B655" s="2"/>
      <c r="C655" s="7"/>
      <c r="D655" s="7"/>
    </row>
    <row r="656" spans="1:4" ht="12.75" customHeight="1" x14ac:dyDescent="0.2">
      <c r="A656" s="21"/>
      <c r="B656" s="2"/>
      <c r="C656" s="7"/>
      <c r="D656" s="7"/>
    </row>
    <row r="657" spans="1:4" ht="12.75" customHeight="1" x14ac:dyDescent="0.2">
      <c r="A657" s="21"/>
      <c r="B657" s="2"/>
      <c r="C657" s="7"/>
      <c r="D657" s="7"/>
    </row>
    <row r="658" spans="1:4" ht="12.75" customHeight="1" x14ac:dyDescent="0.2">
      <c r="A658" s="21"/>
      <c r="B658" s="2"/>
      <c r="C658" s="7"/>
      <c r="D658" s="7"/>
    </row>
    <row r="659" spans="1:4" ht="12.75" customHeight="1" x14ac:dyDescent="0.2">
      <c r="A659" s="5"/>
      <c r="B659" s="2"/>
      <c r="C659" s="7"/>
      <c r="D659" s="7"/>
    </row>
    <row r="660" spans="1:4" ht="12.75" customHeight="1" x14ac:dyDescent="0.2">
      <c r="A660" s="22" t="str">
        <f>HYPERLINK("javascript:void(0)","parszi kerek pajzs")</f>
        <v>parszi kerek pajzs</v>
      </c>
      <c r="B660" s="21"/>
      <c r="C660" s="21"/>
      <c r="D660" s="21"/>
    </row>
    <row r="661" spans="1:4" ht="12.75" customHeight="1" x14ac:dyDescent="0.2">
      <c r="A661" s="20"/>
      <c r="B661" s="2"/>
      <c r="C661" s="7"/>
      <c r="D661" s="7"/>
    </row>
    <row r="662" spans="1:4" ht="12.75" customHeight="1" x14ac:dyDescent="0.2">
      <c r="A662" s="21"/>
      <c r="B662" s="3" t="s">
        <v>0</v>
      </c>
      <c r="C662" s="23" t="s">
        <v>128</v>
      </c>
      <c r="D662" s="21"/>
    </row>
    <row r="663" spans="1:4" ht="12.75" customHeight="1" x14ac:dyDescent="0.2">
      <c r="A663" s="21"/>
      <c r="B663" s="3" t="s">
        <v>2</v>
      </c>
      <c r="C663" s="23" t="s">
        <v>1839</v>
      </c>
      <c r="D663" s="21"/>
    </row>
    <row r="664" spans="1:4" ht="12.75" customHeight="1" x14ac:dyDescent="0.2">
      <c r="A664" s="21"/>
      <c r="B664" s="3" t="s">
        <v>1840</v>
      </c>
      <c r="C664" s="23" t="s">
        <v>5</v>
      </c>
      <c r="D664" s="21"/>
    </row>
    <row r="665" spans="1:4" ht="12.75" customHeight="1" x14ac:dyDescent="0.2">
      <c r="A665" s="21"/>
      <c r="B665" s="3" t="s">
        <v>9</v>
      </c>
      <c r="C665" s="23" t="s">
        <v>61</v>
      </c>
      <c r="D665" s="21"/>
    </row>
    <row r="666" spans="1:4" ht="12.75" customHeight="1" x14ac:dyDescent="0.2">
      <c r="A666" s="21"/>
      <c r="B666" s="3" t="s">
        <v>11</v>
      </c>
      <c r="C666" s="23" t="s">
        <v>989</v>
      </c>
      <c r="D666" s="21"/>
    </row>
    <row r="667" spans="1:4" ht="12.75" customHeight="1" x14ac:dyDescent="0.2">
      <c r="A667" s="21"/>
      <c r="B667" s="3" t="s">
        <v>16</v>
      </c>
      <c r="C667" s="23"/>
      <c r="D667" s="21"/>
    </row>
    <row r="668" spans="1:4" ht="12.75" customHeight="1" x14ac:dyDescent="0.2">
      <c r="A668" s="21"/>
      <c r="B668" s="3" t="s">
        <v>17</v>
      </c>
      <c r="C668" s="23" t="s">
        <v>19</v>
      </c>
      <c r="D668" s="21"/>
    </row>
    <row r="669" spans="1:4" ht="12.75" customHeight="1" x14ac:dyDescent="0.2">
      <c r="A669" s="21"/>
      <c r="B669" s="20" t="s">
        <v>18</v>
      </c>
      <c r="C669" s="8" t="s">
        <v>44</v>
      </c>
      <c r="D669" s="1" t="str">
        <f>HYPERLINK("javascript:void(0)","kis ork pajzs")</f>
        <v>kis ork pajzs</v>
      </c>
    </row>
    <row r="670" spans="1:4" ht="12.75" customHeight="1" x14ac:dyDescent="0.2">
      <c r="A670" s="21"/>
      <c r="B670" s="21"/>
      <c r="C670" s="8" t="s">
        <v>232</v>
      </c>
      <c r="D670" s="1" t="str">
        <f>HYPERLINK("javascript:void(0)","óngolyó")</f>
        <v>óngolyó</v>
      </c>
    </row>
    <row r="671" spans="1:4" ht="12.75" customHeight="1" x14ac:dyDescent="0.2">
      <c r="A671" s="21"/>
      <c r="B671" s="21"/>
      <c r="C671" s="8" t="s">
        <v>55</v>
      </c>
      <c r="D671" s="1" t="str">
        <f>HYPERLINK("javascript:void(0)","vasérc")</f>
        <v>vasérc</v>
      </c>
    </row>
    <row r="672" spans="1:4" ht="12.75" customHeight="1" x14ac:dyDescent="0.2">
      <c r="A672" s="21"/>
      <c r="B672" s="2"/>
      <c r="C672" s="7"/>
      <c r="D672" s="7"/>
    </row>
    <row r="673" spans="1:4" ht="12.75" customHeight="1" x14ac:dyDescent="0.2">
      <c r="A673" s="21"/>
      <c r="B673" s="2"/>
      <c r="C673" s="7"/>
      <c r="D673" s="7"/>
    </row>
    <row r="674" spans="1:4" ht="12.75" customHeight="1" x14ac:dyDescent="0.2">
      <c r="A674" s="21"/>
      <c r="B674" s="2"/>
      <c r="C674" s="7"/>
      <c r="D674" s="7"/>
    </row>
    <row r="675" spans="1:4" ht="12.75" customHeight="1" x14ac:dyDescent="0.2">
      <c r="A675" s="21"/>
      <c r="B675" s="2"/>
      <c r="C675" s="7"/>
      <c r="D675" s="7"/>
    </row>
    <row r="676" spans="1:4" ht="12.75" customHeight="1" x14ac:dyDescent="0.2">
      <c r="A676" s="5"/>
      <c r="B676" s="2"/>
      <c r="C676" s="7"/>
      <c r="D676" s="7"/>
    </row>
    <row r="677" spans="1:4" ht="12.75" customHeight="1" x14ac:dyDescent="0.2">
      <c r="A677" s="22" t="str">
        <f>HYPERLINK("javascript:void(0)","láncing")</f>
        <v>láncing</v>
      </c>
      <c r="B677" s="21"/>
      <c r="C677" s="21"/>
      <c r="D677" s="21"/>
    </row>
    <row r="678" spans="1:4" ht="12.75" customHeight="1" x14ac:dyDescent="0.2">
      <c r="A678" s="20"/>
      <c r="B678" s="2"/>
      <c r="C678" s="7"/>
      <c r="D678" s="7"/>
    </row>
    <row r="679" spans="1:4" ht="12.75" customHeight="1" x14ac:dyDescent="0.2">
      <c r="A679" s="21"/>
      <c r="B679" s="3" t="s">
        <v>0</v>
      </c>
      <c r="C679" s="23" t="s">
        <v>48</v>
      </c>
      <c r="D679" s="21"/>
    </row>
    <row r="680" spans="1:4" ht="12.75" customHeight="1" x14ac:dyDescent="0.2">
      <c r="A680" s="21"/>
      <c r="B680" s="3" t="s">
        <v>2</v>
      </c>
      <c r="C680" s="23" t="s">
        <v>2322</v>
      </c>
      <c r="D680" s="21"/>
    </row>
    <row r="681" spans="1:4" ht="12.75" customHeight="1" x14ac:dyDescent="0.2">
      <c r="A681" s="21"/>
      <c r="B681" s="3" t="s">
        <v>1840</v>
      </c>
      <c r="C681" s="23" t="s">
        <v>51</v>
      </c>
      <c r="D681" s="21"/>
    </row>
    <row r="682" spans="1:4" ht="12.75" customHeight="1" x14ac:dyDescent="0.2">
      <c r="A682" s="21"/>
      <c r="B682" s="3" t="s">
        <v>9</v>
      </c>
      <c r="C682" s="23" t="s">
        <v>129</v>
      </c>
      <c r="D682" s="21"/>
    </row>
    <row r="683" spans="1:4" ht="12.75" customHeight="1" x14ac:dyDescent="0.2">
      <c r="A683" s="21"/>
      <c r="B683" s="3" t="s">
        <v>11</v>
      </c>
      <c r="C683" s="23" t="s">
        <v>1636</v>
      </c>
      <c r="D683" s="21"/>
    </row>
    <row r="684" spans="1:4" ht="12.75" customHeight="1" x14ac:dyDescent="0.2">
      <c r="A684" s="21"/>
      <c r="B684" s="3" t="s">
        <v>16</v>
      </c>
      <c r="C684" s="23"/>
      <c r="D684" s="21"/>
    </row>
    <row r="685" spans="1:4" ht="12.75" customHeight="1" x14ac:dyDescent="0.2">
      <c r="A685" s="21"/>
      <c r="B685" s="3" t="s">
        <v>17</v>
      </c>
      <c r="C685" s="23" t="s">
        <v>19</v>
      </c>
      <c r="D685" s="21"/>
    </row>
    <row r="686" spans="1:4" ht="12.75" customHeight="1" x14ac:dyDescent="0.2">
      <c r="A686" s="21"/>
      <c r="B686" s="20" t="s">
        <v>18</v>
      </c>
      <c r="C686" s="8" t="s">
        <v>232</v>
      </c>
      <c r="D686" s="1" t="str">
        <f>HYPERLINK("javascript:void(0)","vasérc")</f>
        <v>vasérc</v>
      </c>
    </row>
    <row r="687" spans="1:4" ht="12.75" customHeight="1" x14ac:dyDescent="0.2">
      <c r="A687" s="21"/>
      <c r="B687" s="21"/>
      <c r="C687" s="8" t="s">
        <v>56</v>
      </c>
      <c r="D687" s="1" t="str">
        <f>HYPERLINK("javascript:void(0)","óngolyó")</f>
        <v>óngolyó</v>
      </c>
    </row>
    <row r="688" spans="1:4" ht="12.75" customHeight="1" x14ac:dyDescent="0.2">
      <c r="A688" s="21"/>
      <c r="B688" s="21"/>
      <c r="C688" s="8" t="s">
        <v>44</v>
      </c>
      <c r="D688" s="1" t="str">
        <f>HYPERLINK("javascript:void(0)","vászoning")</f>
        <v>vászoning</v>
      </c>
    </row>
    <row r="689" spans="1:4" ht="12.75" customHeight="1" x14ac:dyDescent="0.2">
      <c r="A689" s="21"/>
      <c r="B689" s="2"/>
      <c r="C689" s="7"/>
      <c r="D689" s="7"/>
    </row>
    <row r="690" spans="1:4" ht="12.75" customHeight="1" x14ac:dyDescent="0.2">
      <c r="A690" s="21"/>
      <c r="B690" s="2"/>
      <c r="C690" s="7"/>
      <c r="D690" s="7"/>
    </row>
    <row r="691" spans="1:4" ht="12.75" customHeight="1" x14ac:dyDescent="0.2">
      <c r="A691" s="21"/>
      <c r="B691" s="2"/>
      <c r="C691" s="7"/>
      <c r="D691" s="7"/>
    </row>
    <row r="692" spans="1:4" ht="12.75" customHeight="1" x14ac:dyDescent="0.2">
      <c r="A692" s="21"/>
      <c r="B692" s="2"/>
      <c r="C692" s="7"/>
      <c r="D692" s="7"/>
    </row>
    <row r="693" spans="1:4" ht="12.75" customHeight="1" x14ac:dyDescent="0.2">
      <c r="A693" s="5"/>
      <c r="B693" s="2"/>
      <c r="C693" s="7"/>
      <c r="D693" s="7"/>
    </row>
    <row r="694" spans="1:4" ht="12.75" customHeight="1" x14ac:dyDescent="0.2">
      <c r="A694" s="22" t="str">
        <f>HYPERLINK("javascript:void(0)","vámpírpajzs")</f>
        <v>vámpírpajzs</v>
      </c>
      <c r="B694" s="21"/>
      <c r="C694" s="21"/>
      <c r="D694" s="21"/>
    </row>
    <row r="695" spans="1:4" ht="12.75" customHeight="1" x14ac:dyDescent="0.2">
      <c r="A695" s="20"/>
      <c r="B695" s="2"/>
      <c r="C695" s="7"/>
      <c r="D695" s="7"/>
    </row>
    <row r="696" spans="1:4" ht="12.75" customHeight="1" x14ac:dyDescent="0.2">
      <c r="A696" s="21"/>
      <c r="B696" s="3" t="s">
        <v>0</v>
      </c>
      <c r="C696" s="23" t="s">
        <v>48</v>
      </c>
      <c r="D696" s="21"/>
    </row>
    <row r="697" spans="1:4" ht="12.75" customHeight="1" x14ac:dyDescent="0.2">
      <c r="A697" s="21"/>
      <c r="B697" s="3" t="s">
        <v>2</v>
      </c>
      <c r="C697" s="23" t="s">
        <v>1839</v>
      </c>
      <c r="D697" s="21"/>
    </row>
    <row r="698" spans="1:4" ht="12.75" customHeight="1" x14ac:dyDescent="0.2">
      <c r="A698" s="21"/>
      <c r="B698" s="3" t="s">
        <v>1840</v>
      </c>
      <c r="C698" s="23" t="s">
        <v>40</v>
      </c>
      <c r="D698" s="21"/>
    </row>
    <row r="699" spans="1:4" ht="12.75" customHeight="1" x14ac:dyDescent="0.2">
      <c r="A699" s="21"/>
      <c r="B699" s="3" t="s">
        <v>9</v>
      </c>
      <c r="C699" s="23" t="s">
        <v>366</v>
      </c>
      <c r="D699" s="21"/>
    </row>
    <row r="700" spans="1:4" ht="12.75" customHeight="1" x14ac:dyDescent="0.2">
      <c r="A700" s="21"/>
      <c r="B700" s="3" t="s">
        <v>11</v>
      </c>
      <c r="C700" s="23" t="s">
        <v>695</v>
      </c>
      <c r="D700" s="21"/>
    </row>
    <row r="701" spans="1:4" ht="12.75" customHeight="1" x14ac:dyDescent="0.2">
      <c r="A701" s="21"/>
      <c r="B701" s="3" t="s">
        <v>16</v>
      </c>
      <c r="C701" s="23"/>
      <c r="D701" s="21"/>
    </row>
    <row r="702" spans="1:4" ht="12.75" customHeight="1" x14ac:dyDescent="0.2">
      <c r="A702" s="21"/>
      <c r="B702" s="3" t="s">
        <v>17</v>
      </c>
      <c r="C702" s="23" t="s">
        <v>19</v>
      </c>
      <c r="D702" s="21"/>
    </row>
    <row r="703" spans="1:4" ht="12.75" customHeight="1" x14ac:dyDescent="0.2">
      <c r="A703" s="21"/>
      <c r="B703" s="20" t="s">
        <v>18</v>
      </c>
      <c r="C703" s="8" t="s">
        <v>117</v>
      </c>
      <c r="D703" s="1" t="str">
        <f>HYPERLINK("javascript:void(0)","vámpírherbium")</f>
        <v>vámpírherbium</v>
      </c>
    </row>
    <row r="704" spans="1:4" ht="12.75" customHeight="1" x14ac:dyDescent="0.2">
      <c r="A704" s="21"/>
      <c r="B704" s="21"/>
      <c r="C704" s="8" t="s">
        <v>44</v>
      </c>
      <c r="D704" s="1" t="str">
        <f>HYPERLINK("javascript:void(0)","kis ork pajzs")</f>
        <v>kis ork pajzs</v>
      </c>
    </row>
    <row r="705" spans="1:4" ht="12.75" customHeight="1" x14ac:dyDescent="0.2">
      <c r="A705" s="21"/>
      <c r="B705" s="21"/>
      <c r="C705" s="8" t="s">
        <v>67</v>
      </c>
      <c r="D705" s="1" t="str">
        <f>HYPERLINK("javascript:void(0)","vasérc")</f>
        <v>vasérc</v>
      </c>
    </row>
    <row r="706" spans="1:4" ht="12.75" customHeight="1" x14ac:dyDescent="0.2">
      <c r="A706" s="21"/>
      <c r="B706" s="2"/>
      <c r="C706" s="7"/>
      <c r="D706" s="7"/>
    </row>
    <row r="707" spans="1:4" ht="12.75" customHeight="1" x14ac:dyDescent="0.2">
      <c r="A707" s="21"/>
      <c r="B707" s="2"/>
      <c r="C707" s="7"/>
      <c r="D707" s="7"/>
    </row>
    <row r="708" spans="1:4" ht="12.75" customHeight="1" x14ac:dyDescent="0.2">
      <c r="A708" s="21"/>
      <c r="B708" s="2"/>
      <c r="C708" s="7"/>
      <c r="D708" s="7"/>
    </row>
    <row r="709" spans="1:4" ht="12.75" customHeight="1" x14ac:dyDescent="0.2">
      <c r="A709" s="21"/>
      <c r="B709" s="2"/>
      <c r="C709" s="7"/>
      <c r="D709" s="7"/>
    </row>
    <row r="710" spans="1:4" ht="12.75" customHeight="1" x14ac:dyDescent="0.2">
      <c r="A710" s="5"/>
      <c r="B710" s="2"/>
      <c r="C710" s="7"/>
      <c r="D710" s="7"/>
    </row>
    <row r="711" spans="1:4" ht="12.75" customHeight="1" x14ac:dyDescent="0.2">
      <c r="A711" s="22" t="str">
        <f>HYPERLINK("javascript:void(0)","nagy ork pajzs")</f>
        <v>nagy ork pajzs</v>
      </c>
      <c r="B711" s="21"/>
      <c r="C711" s="21"/>
      <c r="D711" s="21"/>
    </row>
    <row r="712" spans="1:4" ht="12.75" customHeight="1" x14ac:dyDescent="0.2">
      <c r="A712" s="20"/>
      <c r="B712" s="2"/>
      <c r="C712" s="7"/>
      <c r="D712" s="7"/>
    </row>
    <row r="713" spans="1:4" ht="12.75" customHeight="1" x14ac:dyDescent="0.2">
      <c r="A713" s="21"/>
      <c r="B713" s="3" t="s">
        <v>0</v>
      </c>
      <c r="C713" s="23" t="s">
        <v>48</v>
      </c>
      <c r="D713" s="21"/>
    </row>
    <row r="714" spans="1:4" ht="12.75" customHeight="1" x14ac:dyDescent="0.2">
      <c r="A714" s="21"/>
      <c r="B714" s="3" t="s">
        <v>2</v>
      </c>
      <c r="C714" s="23" t="s">
        <v>1839</v>
      </c>
      <c r="D714" s="21"/>
    </row>
    <row r="715" spans="1:4" ht="12.75" customHeight="1" x14ac:dyDescent="0.2">
      <c r="A715" s="21"/>
      <c r="B715" s="3" t="s">
        <v>1840</v>
      </c>
      <c r="C715" s="23" t="s">
        <v>5</v>
      </c>
      <c r="D715" s="21"/>
    </row>
    <row r="716" spans="1:4" ht="12.75" customHeight="1" x14ac:dyDescent="0.2">
      <c r="A716" s="21"/>
      <c r="B716" s="3" t="s">
        <v>9</v>
      </c>
      <c r="C716" s="23" t="s">
        <v>1874</v>
      </c>
      <c r="D716" s="21"/>
    </row>
    <row r="717" spans="1:4" ht="12.75" customHeight="1" x14ac:dyDescent="0.2">
      <c r="A717" s="21"/>
      <c r="B717" s="3" t="s">
        <v>11</v>
      </c>
      <c r="C717" s="23" t="s">
        <v>1642</v>
      </c>
      <c r="D717" s="21"/>
    </row>
    <row r="718" spans="1:4" ht="12.75" customHeight="1" x14ac:dyDescent="0.2">
      <c r="A718" s="21"/>
      <c r="B718" s="3" t="s">
        <v>16</v>
      </c>
      <c r="C718" s="23"/>
      <c r="D718" s="21"/>
    </row>
    <row r="719" spans="1:4" ht="12.75" customHeight="1" x14ac:dyDescent="0.2">
      <c r="A719" s="21"/>
      <c r="B719" s="3" t="s">
        <v>17</v>
      </c>
      <c r="C719" s="23" t="s">
        <v>19</v>
      </c>
      <c r="D719" s="21"/>
    </row>
    <row r="720" spans="1:4" ht="12.75" customHeight="1" x14ac:dyDescent="0.2">
      <c r="A720" s="21"/>
      <c r="B720" s="20" t="s">
        <v>18</v>
      </c>
      <c r="C720" s="8" t="s">
        <v>44</v>
      </c>
      <c r="D720" s="1" t="str">
        <f>HYPERLINK("javascript:void(0)","kis ork pajzs")</f>
        <v>kis ork pajzs</v>
      </c>
    </row>
    <row r="721" spans="1:4" ht="12.75" customHeight="1" x14ac:dyDescent="0.2">
      <c r="A721" s="21"/>
      <c r="B721" s="21"/>
      <c r="C721" s="8" t="s">
        <v>369</v>
      </c>
      <c r="D721" s="1" t="str">
        <f>HYPERLINK("javascript:void(0)","ezüst")</f>
        <v>ezüst</v>
      </c>
    </row>
    <row r="722" spans="1:4" ht="12.75" customHeight="1" x14ac:dyDescent="0.2">
      <c r="A722" s="21"/>
      <c r="B722" s="21"/>
      <c r="C722" s="8" t="s">
        <v>55</v>
      </c>
      <c r="D722" s="1" t="str">
        <f>HYPERLINK("javascript:void(0)","arany")</f>
        <v>arany</v>
      </c>
    </row>
    <row r="723" spans="1:4" ht="12.75" customHeight="1" x14ac:dyDescent="0.2">
      <c r="A723" s="21"/>
      <c r="B723" s="2"/>
      <c r="C723" s="7"/>
      <c r="D723" s="7"/>
    </row>
    <row r="724" spans="1:4" ht="12.75" customHeight="1" x14ac:dyDescent="0.2">
      <c r="A724" s="21"/>
      <c r="B724" s="2"/>
      <c r="C724" s="7"/>
      <c r="D724" s="7"/>
    </row>
    <row r="725" spans="1:4" ht="12.75" customHeight="1" x14ac:dyDescent="0.2">
      <c r="A725" s="21"/>
      <c r="B725" s="2"/>
      <c r="C725" s="7"/>
      <c r="D725" s="7"/>
    </row>
    <row r="726" spans="1:4" ht="12.75" customHeight="1" x14ac:dyDescent="0.2">
      <c r="A726" s="21"/>
      <c r="B726" s="2"/>
      <c r="C726" s="7"/>
      <c r="D726" s="7"/>
    </row>
    <row r="727" spans="1:4" ht="12.75" customHeight="1" x14ac:dyDescent="0.2">
      <c r="A727" s="5"/>
      <c r="B727" s="2"/>
      <c r="C727" s="7"/>
      <c r="D727" s="7"/>
    </row>
    <row r="728" spans="1:4" ht="12.75" customHeight="1" x14ac:dyDescent="0.2">
      <c r="A728" s="22" t="str">
        <f>HYPERLINK("javascript:void(0)","acél testpajzs")</f>
        <v>acél testpajzs</v>
      </c>
      <c r="B728" s="21"/>
      <c r="C728" s="21"/>
      <c r="D728" s="21"/>
    </row>
    <row r="729" spans="1:4" ht="12.75" customHeight="1" x14ac:dyDescent="0.2">
      <c r="A729" s="20"/>
      <c r="B729" s="2"/>
      <c r="C729" s="7"/>
      <c r="D729" s="7"/>
    </row>
    <row r="730" spans="1:4" ht="12.75" customHeight="1" x14ac:dyDescent="0.2">
      <c r="A730" s="21"/>
      <c r="B730" s="3" t="s">
        <v>0</v>
      </c>
      <c r="C730" s="23" t="s">
        <v>48</v>
      </c>
      <c r="D730" s="21"/>
    </row>
    <row r="731" spans="1:4" ht="12.75" customHeight="1" x14ac:dyDescent="0.2">
      <c r="A731" s="21"/>
      <c r="B731" s="3" t="s">
        <v>2</v>
      </c>
      <c r="C731" s="23" t="s">
        <v>1839</v>
      </c>
      <c r="D731" s="21"/>
    </row>
    <row r="732" spans="1:4" ht="12.75" customHeight="1" x14ac:dyDescent="0.2">
      <c r="A732" s="21"/>
      <c r="B732" s="3" t="s">
        <v>1840</v>
      </c>
      <c r="C732" s="23" t="s">
        <v>5</v>
      </c>
      <c r="D732" s="21"/>
    </row>
    <row r="733" spans="1:4" ht="12.75" customHeight="1" x14ac:dyDescent="0.2">
      <c r="A733" s="21"/>
      <c r="B733" s="3" t="s">
        <v>9</v>
      </c>
      <c r="C733" s="23" t="s">
        <v>366</v>
      </c>
      <c r="D733" s="21"/>
    </row>
    <row r="734" spans="1:4" ht="12.75" customHeight="1" x14ac:dyDescent="0.2">
      <c r="A734" s="21"/>
      <c r="B734" s="3" t="s">
        <v>11</v>
      </c>
      <c r="C734" s="23" t="s">
        <v>201</v>
      </c>
      <c r="D734" s="21"/>
    </row>
    <row r="735" spans="1:4" ht="12.75" customHeight="1" x14ac:dyDescent="0.2">
      <c r="A735" s="21"/>
      <c r="B735" s="3" t="s">
        <v>16</v>
      </c>
      <c r="C735" s="23"/>
      <c r="D735" s="21"/>
    </row>
    <row r="736" spans="1:4" ht="12.75" customHeight="1" x14ac:dyDescent="0.2">
      <c r="A736" s="21"/>
      <c r="B736" s="3" t="s">
        <v>17</v>
      </c>
      <c r="C736" s="23" t="s">
        <v>19</v>
      </c>
      <c r="D736" s="21"/>
    </row>
    <row r="737" spans="1:4" ht="12.75" customHeight="1" x14ac:dyDescent="0.2">
      <c r="A737" s="21"/>
      <c r="B737" s="20" t="s">
        <v>18</v>
      </c>
      <c r="C737" s="8" t="s">
        <v>44</v>
      </c>
      <c r="D737" s="1" t="str">
        <f>HYPERLINK("javascript:void(0)","bronz testpajzs")</f>
        <v>bronz testpajzs</v>
      </c>
    </row>
    <row r="738" spans="1:4" ht="12.75" customHeight="1" x14ac:dyDescent="0.2">
      <c r="A738" s="21"/>
      <c r="B738" s="21"/>
      <c r="C738" s="8" t="s">
        <v>67</v>
      </c>
      <c r="D738" s="1" t="str">
        <f>HYPERLINK("javascript:void(0)","vasérc")</f>
        <v>vasérc</v>
      </c>
    </row>
    <row r="739" spans="1:4" ht="12.75" customHeight="1" x14ac:dyDescent="0.2">
      <c r="A739" s="21"/>
      <c r="B739" s="21"/>
      <c r="C739" s="8" t="s">
        <v>57</v>
      </c>
      <c r="D739" s="1" t="str">
        <f>HYPERLINK("javascript:void(0)","arany")</f>
        <v>arany</v>
      </c>
    </row>
    <row r="740" spans="1:4" ht="12.75" customHeight="1" x14ac:dyDescent="0.2">
      <c r="A740" s="21"/>
      <c r="B740" s="2"/>
      <c r="C740" s="7"/>
      <c r="D740" s="7"/>
    </row>
    <row r="741" spans="1:4" ht="12.75" customHeight="1" x14ac:dyDescent="0.2">
      <c r="A741" s="21"/>
      <c r="B741" s="2"/>
      <c r="C741" s="7"/>
      <c r="D741" s="7"/>
    </row>
    <row r="742" spans="1:4" ht="12.75" customHeight="1" x14ac:dyDescent="0.2">
      <c r="A742" s="21"/>
      <c r="B742" s="2"/>
      <c r="C742" s="7"/>
      <c r="D742" s="7"/>
    </row>
    <row r="743" spans="1:4" ht="12.75" customHeight="1" x14ac:dyDescent="0.2">
      <c r="A743" s="21"/>
      <c r="B743" s="2"/>
      <c r="C743" s="7"/>
      <c r="D743" s="7"/>
    </row>
    <row r="744" spans="1:4" ht="12.75" customHeight="1" x14ac:dyDescent="0.2">
      <c r="A744" s="5"/>
      <c r="B744" s="2"/>
      <c r="C744" s="7"/>
      <c r="D744" s="7"/>
    </row>
    <row r="745" spans="1:4" ht="12.75" customHeight="1" x14ac:dyDescent="0.2">
      <c r="A745" s="22" t="str">
        <f>HYPERLINK("javascript:void(0)","kompózium keresztvas")</f>
        <v>kompózium keresztvas</v>
      </c>
      <c r="B745" s="21"/>
      <c r="C745" s="21"/>
      <c r="D745" s="21"/>
    </row>
    <row r="746" spans="1:4" ht="12.75" customHeight="1" x14ac:dyDescent="0.2">
      <c r="A746" s="20"/>
      <c r="B746" s="2"/>
      <c r="C746" s="7"/>
      <c r="D746" s="7"/>
    </row>
    <row r="747" spans="1:4" ht="12.75" customHeight="1" x14ac:dyDescent="0.2">
      <c r="A747" s="21"/>
      <c r="B747" s="3" t="s">
        <v>0</v>
      </c>
      <c r="C747" s="23" t="s">
        <v>48</v>
      </c>
      <c r="D747" s="21"/>
    </row>
    <row r="748" spans="1:4" ht="12.75" customHeight="1" x14ac:dyDescent="0.2">
      <c r="A748" s="21"/>
      <c r="B748" s="3" t="s">
        <v>2</v>
      </c>
      <c r="C748" s="23" t="s">
        <v>1839</v>
      </c>
      <c r="D748" s="21"/>
    </row>
    <row r="749" spans="1:4" ht="12.75" customHeight="1" x14ac:dyDescent="0.2">
      <c r="A749" s="21"/>
      <c r="B749" s="3" t="s">
        <v>1840</v>
      </c>
      <c r="C749" s="23" t="s">
        <v>21</v>
      </c>
      <c r="D749" s="21"/>
    </row>
    <row r="750" spans="1:4" ht="12.75" customHeight="1" x14ac:dyDescent="0.2">
      <c r="A750" s="21"/>
      <c r="B750" s="3" t="s">
        <v>9</v>
      </c>
      <c r="C750" s="23" t="s">
        <v>42</v>
      </c>
      <c r="D750" s="21"/>
    </row>
    <row r="751" spans="1:4" ht="12.75" customHeight="1" x14ac:dyDescent="0.2">
      <c r="A751" s="21"/>
      <c r="B751" s="3" t="s">
        <v>11</v>
      </c>
      <c r="C751" s="23" t="s">
        <v>315</v>
      </c>
      <c r="D751" s="21"/>
    </row>
    <row r="752" spans="1:4" ht="12.75" customHeight="1" x14ac:dyDescent="0.2">
      <c r="A752" s="21"/>
      <c r="B752" s="3" t="s">
        <v>16</v>
      </c>
      <c r="C752" s="23"/>
      <c r="D752" s="21"/>
    </row>
    <row r="753" spans="1:4" ht="12.75" customHeight="1" x14ac:dyDescent="0.2">
      <c r="A753" s="21"/>
      <c r="B753" s="3" t="s">
        <v>17</v>
      </c>
      <c r="C753" s="23" t="s">
        <v>19</v>
      </c>
      <c r="D753" s="21"/>
    </row>
    <row r="754" spans="1:4" ht="12.75" customHeight="1" x14ac:dyDescent="0.2">
      <c r="A754" s="21"/>
      <c r="B754" s="20" t="s">
        <v>18</v>
      </c>
      <c r="C754" s="8" t="s">
        <v>77</v>
      </c>
      <c r="D754" s="1" t="str">
        <f>HYPERLINK("javascript:void(0)","kompózium")</f>
        <v>kompózium</v>
      </c>
    </row>
    <row r="755" spans="1:4" ht="12.75" customHeight="1" x14ac:dyDescent="0.2">
      <c r="A755" s="21"/>
      <c r="B755" s="21"/>
      <c r="C755" s="8" t="s">
        <v>142</v>
      </c>
      <c r="D755" s="1" t="str">
        <f>HYPERLINK("javascript:void(0)","spóra")</f>
        <v>spóra</v>
      </c>
    </row>
    <row r="756" spans="1:4" ht="12.75" customHeight="1" x14ac:dyDescent="0.2">
      <c r="A756" s="21"/>
      <c r="B756" s="21"/>
      <c r="C756" s="8" t="s">
        <v>139</v>
      </c>
      <c r="D756" s="1" t="str">
        <f>HYPERLINK("javascript:void(0)","haspók")</f>
        <v>haspók</v>
      </c>
    </row>
    <row r="757" spans="1:4" ht="12.75" customHeight="1" x14ac:dyDescent="0.2">
      <c r="A757" s="21"/>
      <c r="B757" s="2"/>
      <c r="C757" s="7"/>
      <c r="D757" s="7"/>
    </row>
    <row r="758" spans="1:4" ht="12.75" customHeight="1" x14ac:dyDescent="0.2">
      <c r="A758" s="21"/>
      <c r="B758" s="2"/>
      <c r="C758" s="7"/>
      <c r="D758" s="7"/>
    </row>
    <row r="759" spans="1:4" ht="12.75" customHeight="1" x14ac:dyDescent="0.2">
      <c r="A759" s="21"/>
      <c r="B759" s="2"/>
      <c r="C759" s="7"/>
      <c r="D759" s="7"/>
    </row>
    <row r="760" spans="1:4" ht="12.75" customHeight="1" x14ac:dyDescent="0.2">
      <c r="A760" s="21"/>
      <c r="B760" s="2"/>
      <c r="C760" s="7"/>
      <c r="D760" s="7"/>
    </row>
    <row r="761" spans="1:4" ht="12.75" customHeight="1" x14ac:dyDescent="0.2">
      <c r="A761" s="5"/>
      <c r="B761" s="2"/>
      <c r="C761" s="7"/>
      <c r="D761" s="7"/>
    </row>
    <row r="762" spans="1:4" ht="12.75" customHeight="1" x14ac:dyDescent="0.2">
      <c r="A762" s="22" t="str">
        <f>HYPERLINK("javascript:void(0)","kompózium nyél")</f>
        <v>kompózium nyél</v>
      </c>
      <c r="B762" s="21"/>
      <c r="C762" s="21"/>
      <c r="D762" s="21"/>
    </row>
    <row r="763" spans="1:4" ht="12.75" customHeight="1" x14ac:dyDescent="0.2">
      <c r="A763" s="20"/>
      <c r="B763" s="2"/>
      <c r="C763" s="7"/>
      <c r="D763" s="7"/>
    </row>
    <row r="764" spans="1:4" ht="12.75" customHeight="1" x14ac:dyDescent="0.2">
      <c r="A764" s="21"/>
      <c r="B764" s="3" t="s">
        <v>0</v>
      </c>
      <c r="C764" s="23" t="s">
        <v>48</v>
      </c>
      <c r="D764" s="21"/>
    </row>
    <row r="765" spans="1:4" ht="12.75" customHeight="1" x14ac:dyDescent="0.2">
      <c r="A765" s="21"/>
      <c r="B765" s="3" t="s">
        <v>2</v>
      </c>
      <c r="C765" s="23" t="s">
        <v>1839</v>
      </c>
      <c r="D765" s="21"/>
    </row>
    <row r="766" spans="1:4" ht="12.75" customHeight="1" x14ac:dyDescent="0.2">
      <c r="A766" s="21"/>
      <c r="B766" s="3" t="s">
        <v>1840</v>
      </c>
      <c r="C766" s="23" t="s">
        <v>21</v>
      </c>
      <c r="D766" s="21"/>
    </row>
    <row r="767" spans="1:4" ht="12.75" customHeight="1" x14ac:dyDescent="0.2">
      <c r="A767" s="21"/>
      <c r="B767" s="3" t="s">
        <v>9</v>
      </c>
      <c r="C767" s="23" t="s">
        <v>42</v>
      </c>
      <c r="D767" s="21"/>
    </row>
    <row r="768" spans="1:4" ht="12.75" customHeight="1" x14ac:dyDescent="0.2">
      <c r="A768" s="21"/>
      <c r="B768" s="3" t="s">
        <v>11</v>
      </c>
      <c r="C768" s="23" t="s">
        <v>315</v>
      </c>
      <c r="D768" s="21"/>
    </row>
    <row r="769" spans="1:4" ht="12.75" customHeight="1" x14ac:dyDescent="0.2">
      <c r="A769" s="21"/>
      <c r="B769" s="3" t="s">
        <v>16</v>
      </c>
      <c r="C769" s="23"/>
      <c r="D769" s="21"/>
    </row>
    <row r="770" spans="1:4" ht="12.75" customHeight="1" x14ac:dyDescent="0.2">
      <c r="A770" s="21"/>
      <c r="B770" s="3" t="s">
        <v>17</v>
      </c>
      <c r="C770" s="23" t="s">
        <v>19</v>
      </c>
      <c r="D770" s="21"/>
    </row>
    <row r="771" spans="1:4" ht="12.75" customHeight="1" x14ac:dyDescent="0.2">
      <c r="A771" s="21"/>
      <c r="B771" s="20" t="s">
        <v>18</v>
      </c>
      <c r="C771" s="8" t="s">
        <v>232</v>
      </c>
      <c r="D771" s="1" t="str">
        <f>HYPERLINK("javascript:void(0)","kompózium")</f>
        <v>kompózium</v>
      </c>
    </row>
    <row r="772" spans="1:4" ht="12.75" customHeight="1" x14ac:dyDescent="0.2">
      <c r="A772" s="21"/>
      <c r="B772" s="21"/>
      <c r="C772" s="8" t="s">
        <v>232</v>
      </c>
      <c r="D772" s="1" t="str">
        <f>HYPERLINK("javascript:void(0)","malacorr")</f>
        <v>malacorr</v>
      </c>
    </row>
    <row r="773" spans="1:4" ht="12.75" customHeight="1" x14ac:dyDescent="0.2">
      <c r="A773" s="21"/>
      <c r="B773" s="21"/>
      <c r="C773" s="8" t="s">
        <v>309</v>
      </c>
      <c r="D773" s="1" t="str">
        <f>HYPERLINK("javascript:void(0)","csáphárító")</f>
        <v>csáphárító</v>
      </c>
    </row>
    <row r="774" spans="1:4" ht="12.75" customHeight="1" x14ac:dyDescent="0.2">
      <c r="A774" s="21"/>
      <c r="B774" s="2"/>
      <c r="C774" s="7"/>
      <c r="D774" s="7"/>
    </row>
    <row r="775" spans="1:4" ht="12.75" customHeight="1" x14ac:dyDescent="0.2">
      <c r="A775" s="21"/>
      <c r="B775" s="2"/>
      <c r="C775" s="7"/>
      <c r="D775" s="7"/>
    </row>
    <row r="776" spans="1:4" ht="12.75" customHeight="1" x14ac:dyDescent="0.2">
      <c r="A776" s="21"/>
      <c r="B776" s="2"/>
      <c r="C776" s="7"/>
      <c r="D776" s="7"/>
    </row>
    <row r="777" spans="1:4" ht="12.75" customHeight="1" x14ac:dyDescent="0.2">
      <c r="A777" s="21"/>
      <c r="B777" s="2"/>
      <c r="C777" s="7"/>
      <c r="D777" s="7"/>
    </row>
    <row r="778" spans="1:4" ht="12.75" customHeight="1" x14ac:dyDescent="0.2">
      <c r="A778" s="5"/>
      <c r="B778" s="2"/>
      <c r="C778" s="7"/>
      <c r="D778" s="7"/>
    </row>
    <row r="779" spans="1:4" ht="12.75" customHeight="1" x14ac:dyDescent="0.2">
      <c r="A779" s="22" t="str">
        <f>HYPERLINK("javascript:void(0)","kompózium rostély")</f>
        <v>kompózium rostély</v>
      </c>
      <c r="B779" s="21"/>
      <c r="C779" s="21"/>
      <c r="D779" s="21"/>
    </row>
    <row r="780" spans="1:4" ht="12.75" customHeight="1" x14ac:dyDescent="0.2">
      <c r="A780" s="20"/>
      <c r="B780" s="2"/>
      <c r="C780" s="7"/>
      <c r="D780" s="7"/>
    </row>
    <row r="781" spans="1:4" ht="12.75" customHeight="1" x14ac:dyDescent="0.2">
      <c r="A781" s="21"/>
      <c r="B781" s="3" t="s">
        <v>0</v>
      </c>
      <c r="C781" s="23" t="s">
        <v>48</v>
      </c>
      <c r="D781" s="21"/>
    </row>
    <row r="782" spans="1:4" ht="12.75" customHeight="1" x14ac:dyDescent="0.2">
      <c r="A782" s="21"/>
      <c r="B782" s="3" t="s">
        <v>2</v>
      </c>
      <c r="C782" s="23" t="s">
        <v>1839</v>
      </c>
      <c r="D782" s="21"/>
    </row>
    <row r="783" spans="1:4" ht="12.75" customHeight="1" x14ac:dyDescent="0.2">
      <c r="A783" s="21"/>
      <c r="B783" s="3" t="s">
        <v>1840</v>
      </c>
      <c r="C783" s="23" t="s">
        <v>21</v>
      </c>
      <c r="D783" s="21"/>
    </row>
    <row r="784" spans="1:4" ht="12.75" customHeight="1" x14ac:dyDescent="0.2">
      <c r="A784" s="21"/>
      <c r="B784" s="3" t="s">
        <v>9</v>
      </c>
      <c r="C784" s="23" t="s">
        <v>42</v>
      </c>
      <c r="D784" s="21"/>
    </row>
    <row r="785" spans="1:4" ht="12.75" customHeight="1" x14ac:dyDescent="0.2">
      <c r="A785" s="21"/>
      <c r="B785" s="3" t="s">
        <v>11</v>
      </c>
      <c r="C785" s="23" t="s">
        <v>315</v>
      </c>
      <c r="D785" s="21"/>
    </row>
    <row r="786" spans="1:4" ht="12.75" customHeight="1" x14ac:dyDescent="0.2">
      <c r="A786" s="21"/>
      <c r="B786" s="3" t="s">
        <v>16</v>
      </c>
      <c r="C786" s="23"/>
      <c r="D786" s="21"/>
    </row>
    <row r="787" spans="1:4" ht="12.75" customHeight="1" x14ac:dyDescent="0.2">
      <c r="A787" s="21"/>
      <c r="B787" s="3" t="s">
        <v>17</v>
      </c>
      <c r="C787" s="23" t="s">
        <v>19</v>
      </c>
      <c r="D787" s="21"/>
    </row>
    <row r="788" spans="1:4" ht="12.75" customHeight="1" x14ac:dyDescent="0.2">
      <c r="A788" s="21"/>
      <c r="B788" s="20" t="s">
        <v>18</v>
      </c>
      <c r="C788" s="8" t="s">
        <v>77</v>
      </c>
      <c r="D788" s="1" t="str">
        <f>HYPERLINK("javascript:void(0)","kompózium")</f>
        <v>kompózium</v>
      </c>
    </row>
    <row r="789" spans="1:4" ht="12.75" customHeight="1" x14ac:dyDescent="0.2">
      <c r="A789" s="21"/>
      <c r="B789" s="21"/>
      <c r="C789" s="8" t="s">
        <v>77</v>
      </c>
      <c r="D789" s="1" t="str">
        <f>HYPERLINK("javascript:void(0)","spóra")</f>
        <v>spóra</v>
      </c>
    </row>
    <row r="790" spans="1:4" ht="12.75" customHeight="1" x14ac:dyDescent="0.2">
      <c r="A790" s="21"/>
      <c r="B790" s="21"/>
      <c r="C790" s="8" t="s">
        <v>323</v>
      </c>
      <c r="D790" s="1" t="str">
        <f>HYPERLINK("javascript:void(0)","mantüske")</f>
        <v>mantüske</v>
      </c>
    </row>
    <row r="791" spans="1:4" ht="12.75" customHeight="1" x14ac:dyDescent="0.2">
      <c r="A791" s="21"/>
      <c r="B791" s="2"/>
      <c r="C791" s="7"/>
      <c r="D791" s="7"/>
    </row>
    <row r="792" spans="1:4" ht="12.75" customHeight="1" x14ac:dyDescent="0.2">
      <c r="A792" s="21"/>
      <c r="B792" s="2"/>
      <c r="C792" s="7"/>
      <c r="D792" s="7"/>
    </row>
    <row r="793" spans="1:4" ht="12.75" customHeight="1" x14ac:dyDescent="0.2">
      <c r="A793" s="21"/>
      <c r="B793" s="2"/>
      <c r="C793" s="7"/>
      <c r="D793" s="7"/>
    </row>
    <row r="794" spans="1:4" ht="12.75" customHeight="1" x14ac:dyDescent="0.2">
      <c r="A794" s="21"/>
      <c r="B794" s="2"/>
      <c r="C794" s="7"/>
      <c r="D794" s="7"/>
    </row>
    <row r="795" spans="1:4" ht="12.75" customHeight="1" x14ac:dyDescent="0.2">
      <c r="A795" s="5"/>
      <c r="B795" s="2"/>
      <c r="C795" s="7"/>
      <c r="D795" s="7"/>
    </row>
    <row r="796" spans="1:4" ht="12.75" customHeight="1" x14ac:dyDescent="0.2">
      <c r="A796" s="22" t="str">
        <f>HYPERLINK("javascript:void(0)","óriás építőkő")</f>
        <v>óriás építőkő</v>
      </c>
      <c r="B796" s="21"/>
      <c r="C796" s="21"/>
      <c r="D796" s="21"/>
    </row>
    <row r="797" spans="1:4" ht="12.75" customHeight="1" x14ac:dyDescent="0.2">
      <c r="A797" s="20"/>
      <c r="B797" s="2"/>
      <c r="C797" s="7"/>
      <c r="D797" s="7"/>
    </row>
    <row r="798" spans="1:4" ht="12.75" customHeight="1" x14ac:dyDescent="0.2">
      <c r="A798" s="21"/>
      <c r="B798" s="3" t="s">
        <v>0</v>
      </c>
      <c r="C798" s="23" t="s">
        <v>48</v>
      </c>
      <c r="D798" s="21"/>
    </row>
    <row r="799" spans="1:4" ht="12.75" customHeight="1" x14ac:dyDescent="0.2">
      <c r="A799" s="21"/>
      <c r="B799" s="3" t="s">
        <v>2</v>
      </c>
      <c r="C799" s="23" t="s">
        <v>1839</v>
      </c>
      <c r="D799" s="21"/>
    </row>
    <row r="800" spans="1:4" ht="12.75" customHeight="1" x14ac:dyDescent="0.2">
      <c r="A800" s="21"/>
      <c r="B800" s="3" t="s">
        <v>1840</v>
      </c>
      <c r="C800" s="23" t="s">
        <v>21</v>
      </c>
      <c r="D800" s="21"/>
    </row>
    <row r="801" spans="1:4" ht="12.75" customHeight="1" x14ac:dyDescent="0.2">
      <c r="A801" s="21"/>
      <c r="B801" s="3" t="s">
        <v>9</v>
      </c>
      <c r="C801" s="23" t="s">
        <v>250</v>
      </c>
      <c r="D801" s="21"/>
    </row>
    <row r="802" spans="1:4" ht="12.75" customHeight="1" x14ac:dyDescent="0.2">
      <c r="A802" s="21"/>
      <c r="B802" s="3" t="s">
        <v>11</v>
      </c>
      <c r="C802" s="23" t="s">
        <v>23</v>
      </c>
      <c r="D802" s="21"/>
    </row>
    <row r="803" spans="1:4" ht="12.75" customHeight="1" x14ac:dyDescent="0.2">
      <c r="A803" s="21"/>
      <c r="B803" s="3" t="s">
        <v>16</v>
      </c>
      <c r="C803" s="23"/>
      <c r="D803" s="21"/>
    </row>
    <row r="804" spans="1:4" ht="12.75" customHeight="1" x14ac:dyDescent="0.2">
      <c r="A804" s="21"/>
      <c r="B804" s="3" t="s">
        <v>17</v>
      </c>
      <c r="C804" s="23" t="s">
        <v>19</v>
      </c>
      <c r="D804" s="21"/>
    </row>
    <row r="805" spans="1:4" ht="12.75" customHeight="1" x14ac:dyDescent="0.2">
      <c r="A805" s="21"/>
      <c r="B805" s="20" t="s">
        <v>18</v>
      </c>
      <c r="C805" s="8" t="s">
        <v>67</v>
      </c>
      <c r="D805" s="1" t="str">
        <f>HYPERLINK("javascript:void(0)","gyémántszeg")</f>
        <v>gyémántszeg</v>
      </c>
    </row>
    <row r="806" spans="1:4" ht="12.75" customHeight="1" x14ac:dyDescent="0.2">
      <c r="A806" s="21"/>
      <c r="B806" s="21"/>
      <c r="C806" s="8" t="s">
        <v>67</v>
      </c>
      <c r="D806" s="1" t="str">
        <f>HYPERLINK("javascript:void(0)","ércragacs")</f>
        <v>ércragacs</v>
      </c>
    </row>
    <row r="807" spans="1:4" ht="12.75" customHeight="1" x14ac:dyDescent="0.2">
      <c r="A807" s="21"/>
      <c r="B807" s="21"/>
      <c r="C807" s="8" t="s">
        <v>67</v>
      </c>
      <c r="D807" s="1" t="str">
        <f>HYPERLINK("javascript:void(0)","varázsrög")</f>
        <v>varázsrög</v>
      </c>
    </row>
    <row r="808" spans="1:4" ht="12.75" customHeight="1" x14ac:dyDescent="0.2">
      <c r="A808" s="21"/>
      <c r="B808" s="2"/>
      <c r="C808" s="7"/>
      <c r="D808" s="7"/>
    </row>
    <row r="809" spans="1:4" ht="12.75" customHeight="1" x14ac:dyDescent="0.2">
      <c r="A809" s="21"/>
      <c r="B809" s="2"/>
      <c r="C809" s="7"/>
      <c r="D809" s="7"/>
    </row>
    <row r="810" spans="1:4" ht="12.75" customHeight="1" x14ac:dyDescent="0.2">
      <c r="A810" s="21"/>
      <c r="B810" s="2"/>
      <c r="C810" s="7"/>
      <c r="D810" s="7"/>
    </row>
    <row r="811" spans="1:4" ht="12.75" customHeight="1" x14ac:dyDescent="0.2">
      <c r="A811" s="21"/>
      <c r="B811" s="2"/>
      <c r="C811" s="7"/>
      <c r="D811" s="7"/>
    </row>
    <row r="812" spans="1:4" ht="12.75" customHeight="1" x14ac:dyDescent="0.2">
      <c r="A812" s="5"/>
      <c r="B812" s="2"/>
      <c r="C812" s="7"/>
      <c r="D812" s="7"/>
    </row>
    <row r="813" spans="1:4" ht="12.75" customHeight="1" x14ac:dyDescent="0.2">
      <c r="A813" s="22" t="str">
        <f>HYPERLINK("javascript:void(0)","kincsgúla")</f>
        <v>kincsgúla</v>
      </c>
      <c r="B813" s="21"/>
      <c r="C813" s="21"/>
      <c r="D813" s="21"/>
    </row>
    <row r="814" spans="1:4" ht="12.75" customHeight="1" x14ac:dyDescent="0.2">
      <c r="A814" s="20"/>
      <c r="B814" s="2"/>
      <c r="C814" s="7"/>
      <c r="D814" s="7"/>
    </row>
    <row r="815" spans="1:4" ht="12.75" customHeight="1" x14ac:dyDescent="0.2">
      <c r="A815" s="21"/>
      <c r="B815" s="3" t="s">
        <v>0</v>
      </c>
      <c r="C815" s="23" t="s">
        <v>48</v>
      </c>
      <c r="D815" s="21"/>
    </row>
    <row r="816" spans="1:4" ht="12.75" customHeight="1" x14ac:dyDescent="0.2">
      <c r="A816" s="21"/>
      <c r="B816" s="3" t="s">
        <v>2</v>
      </c>
      <c r="C816" s="23" t="s">
        <v>1839</v>
      </c>
      <c r="D816" s="21"/>
    </row>
    <row r="817" spans="1:4" ht="12.75" customHeight="1" x14ac:dyDescent="0.2">
      <c r="A817" s="21"/>
      <c r="B817" s="3" t="s">
        <v>1840</v>
      </c>
      <c r="C817" s="23" t="s">
        <v>21</v>
      </c>
      <c r="D817" s="21"/>
    </row>
    <row r="818" spans="1:4" ht="12.75" customHeight="1" x14ac:dyDescent="0.2">
      <c r="A818" s="21"/>
      <c r="B818" s="3" t="s">
        <v>9</v>
      </c>
      <c r="C818" s="23" t="s">
        <v>53</v>
      </c>
      <c r="D818" s="21"/>
    </row>
    <row r="819" spans="1:4" ht="12.75" customHeight="1" x14ac:dyDescent="0.2">
      <c r="A819" s="21"/>
      <c r="B819" s="3" t="s">
        <v>11</v>
      </c>
      <c r="C819" s="23" t="s">
        <v>1163</v>
      </c>
      <c r="D819" s="21"/>
    </row>
    <row r="820" spans="1:4" ht="12.75" customHeight="1" x14ac:dyDescent="0.2">
      <c r="A820" s="21"/>
      <c r="B820" s="3" t="s">
        <v>16</v>
      </c>
      <c r="C820" s="23"/>
      <c r="D820" s="21"/>
    </row>
    <row r="821" spans="1:4" ht="12.75" customHeight="1" x14ac:dyDescent="0.2">
      <c r="A821" s="21"/>
      <c r="B821" s="3" t="s">
        <v>17</v>
      </c>
      <c r="C821" s="23" t="s">
        <v>19</v>
      </c>
      <c r="D821" s="21"/>
    </row>
    <row r="822" spans="1:4" ht="12.75" customHeight="1" x14ac:dyDescent="0.2">
      <c r="A822" s="21"/>
      <c r="B822" s="20" t="s">
        <v>18</v>
      </c>
      <c r="C822" s="8" t="s">
        <v>323</v>
      </c>
      <c r="D822" s="1" t="str">
        <f t="shared" ref="D822:D824" si="0">HYPERLINK("javascript:void(0)","kincs")</f>
        <v>kincs</v>
      </c>
    </row>
    <row r="823" spans="1:4" ht="12.75" customHeight="1" x14ac:dyDescent="0.2">
      <c r="A823" s="21"/>
      <c r="B823" s="21"/>
      <c r="C823" s="8" t="s">
        <v>323</v>
      </c>
      <c r="D823" s="1" t="str">
        <f t="shared" si="0"/>
        <v>kincs</v>
      </c>
    </row>
    <row r="824" spans="1:4" ht="12.75" customHeight="1" x14ac:dyDescent="0.2">
      <c r="A824" s="21"/>
      <c r="B824" s="21"/>
      <c r="C824" s="8" t="s">
        <v>323</v>
      </c>
      <c r="D824" s="1" t="str">
        <f t="shared" si="0"/>
        <v>kincs</v>
      </c>
    </row>
    <row r="825" spans="1:4" ht="12.75" customHeight="1" x14ac:dyDescent="0.2">
      <c r="A825" s="21"/>
      <c r="B825" s="2"/>
      <c r="C825" s="7"/>
      <c r="D825" s="7"/>
    </row>
    <row r="826" spans="1:4" ht="12.75" customHeight="1" x14ac:dyDescent="0.2">
      <c r="A826" s="21"/>
      <c r="B826" s="2"/>
      <c r="C826" s="7"/>
      <c r="D826" s="7"/>
    </row>
    <row r="827" spans="1:4" ht="12.75" customHeight="1" x14ac:dyDescent="0.2">
      <c r="A827" s="21"/>
      <c r="B827" s="2"/>
      <c r="C827" s="7"/>
      <c r="D827" s="7"/>
    </row>
    <row r="828" spans="1:4" ht="12.75" customHeight="1" x14ac:dyDescent="0.2">
      <c r="A828" s="21"/>
      <c r="B828" s="2"/>
      <c r="C828" s="7"/>
      <c r="D828" s="7"/>
    </row>
    <row r="829" spans="1:4" ht="12.75" customHeight="1" x14ac:dyDescent="0.2">
      <c r="A829" s="5"/>
      <c r="B829" s="2"/>
      <c r="C829" s="7"/>
      <c r="D829" s="7"/>
    </row>
    <row r="830" spans="1:4" ht="12.75" customHeight="1" x14ac:dyDescent="0.2">
      <c r="A830" s="22" t="str">
        <f>HYPERLINK("javascript:void(0)","életelixír")</f>
        <v>életelixír</v>
      </c>
      <c r="B830" s="21"/>
      <c r="C830" s="21"/>
      <c r="D830" s="21"/>
    </row>
    <row r="831" spans="1:4" ht="12.75" customHeight="1" x14ac:dyDescent="0.2">
      <c r="A831" s="20"/>
      <c r="B831" s="2"/>
      <c r="C831" s="7"/>
      <c r="D831" s="7"/>
    </row>
    <row r="832" spans="1:4" ht="12.75" customHeight="1" x14ac:dyDescent="0.2">
      <c r="A832" s="21"/>
      <c r="B832" s="3" t="s">
        <v>0</v>
      </c>
      <c r="C832" s="23" t="s">
        <v>48</v>
      </c>
      <c r="D832" s="21"/>
    </row>
    <row r="833" spans="1:4" ht="12.75" customHeight="1" x14ac:dyDescent="0.2">
      <c r="A833" s="21"/>
      <c r="B833" s="3" t="s">
        <v>2</v>
      </c>
      <c r="C833" s="23"/>
      <c r="D833" s="21"/>
    </row>
    <row r="834" spans="1:4" ht="12.75" customHeight="1" x14ac:dyDescent="0.2">
      <c r="A834" s="21"/>
      <c r="B834" s="3" t="s">
        <v>1840</v>
      </c>
      <c r="C834" s="23" t="s">
        <v>21</v>
      </c>
      <c r="D834" s="21"/>
    </row>
    <row r="835" spans="1:4" ht="12.75" customHeight="1" x14ac:dyDescent="0.2">
      <c r="A835" s="21"/>
      <c r="B835" s="3" t="s">
        <v>9</v>
      </c>
      <c r="C835" s="23" t="s">
        <v>2594</v>
      </c>
      <c r="D835" s="21"/>
    </row>
    <row r="836" spans="1:4" ht="12.75" customHeight="1" x14ac:dyDescent="0.2">
      <c r="A836" s="21"/>
      <c r="B836" s="3" t="s">
        <v>11</v>
      </c>
      <c r="C836" s="23" t="s">
        <v>932</v>
      </c>
      <c r="D836" s="21"/>
    </row>
    <row r="837" spans="1:4" ht="12.75" customHeight="1" x14ac:dyDescent="0.2">
      <c r="A837" s="21"/>
      <c r="B837" s="3" t="s">
        <v>16</v>
      </c>
      <c r="C837" s="23"/>
      <c r="D837" s="21"/>
    </row>
    <row r="838" spans="1:4" ht="12.75" customHeight="1" x14ac:dyDescent="0.2">
      <c r="A838" s="21"/>
      <c r="B838" s="3" t="s">
        <v>17</v>
      </c>
      <c r="C838" s="23" t="s">
        <v>19</v>
      </c>
      <c r="D838" s="21"/>
    </row>
    <row r="839" spans="1:4" ht="12.75" customHeight="1" x14ac:dyDescent="0.2">
      <c r="A839" s="21"/>
      <c r="B839" s="20" t="s">
        <v>18</v>
      </c>
      <c r="C839" s="8" t="s">
        <v>57</v>
      </c>
      <c r="D839" s="1" t="str">
        <f>HYPERLINK("javascript:void(0)","csodaflaska")</f>
        <v>csodaflaska</v>
      </c>
    </row>
    <row r="840" spans="1:4" ht="12.75" customHeight="1" x14ac:dyDescent="0.2">
      <c r="A840" s="21"/>
      <c r="B840" s="21"/>
      <c r="C840" s="8" t="s">
        <v>57</v>
      </c>
      <c r="D840" s="1" t="str">
        <f>HYPERLINK("javascript:void(0)","mobilo diavovino")</f>
        <v>mobilo diavovino</v>
      </c>
    </row>
    <row r="841" spans="1:4" ht="12.75" customHeight="1" x14ac:dyDescent="0.2">
      <c r="A841" s="21"/>
      <c r="B841" s="21"/>
      <c r="C841" s="8" t="s">
        <v>232</v>
      </c>
      <c r="D841" s="1" t="str">
        <f>HYPERLINK("javascript:void(0)","aqua dei")</f>
        <v>aqua dei</v>
      </c>
    </row>
    <row r="842" spans="1:4" ht="12.75" customHeight="1" x14ac:dyDescent="0.2">
      <c r="A842" s="21"/>
      <c r="B842" s="2"/>
      <c r="C842" s="7"/>
      <c r="D842" s="7"/>
    </row>
    <row r="843" spans="1:4" ht="12.75" customHeight="1" x14ac:dyDescent="0.2">
      <c r="A843" s="21"/>
      <c r="B843" s="2"/>
      <c r="C843" s="7"/>
      <c r="D843" s="7"/>
    </row>
    <row r="844" spans="1:4" ht="12.75" customHeight="1" x14ac:dyDescent="0.2">
      <c r="A844" s="21"/>
      <c r="B844" s="2"/>
      <c r="C844" s="7"/>
      <c r="D844" s="7"/>
    </row>
    <row r="845" spans="1:4" ht="12.75" customHeight="1" x14ac:dyDescent="0.2">
      <c r="A845" s="21"/>
      <c r="B845" s="2"/>
      <c r="C845" s="7"/>
      <c r="D845" s="7"/>
    </row>
    <row r="846" spans="1:4" ht="12.75" customHeight="1" x14ac:dyDescent="0.2">
      <c r="A846" s="5"/>
      <c r="B846" s="2"/>
      <c r="C846" s="7"/>
      <c r="D846" s="7"/>
    </row>
    <row r="847" spans="1:4" ht="12.75" customHeight="1" x14ac:dyDescent="0.2">
      <c r="A847" s="22" t="str">
        <f>HYPERLINK("javascript:void(0)","manaelixír")</f>
        <v>manaelixír</v>
      </c>
      <c r="B847" s="21"/>
      <c r="C847" s="21"/>
      <c r="D847" s="21"/>
    </row>
    <row r="848" spans="1:4" ht="12.75" customHeight="1" x14ac:dyDescent="0.2">
      <c r="A848" s="20"/>
      <c r="B848" s="2"/>
      <c r="C848" s="7"/>
      <c r="D848" s="7"/>
    </row>
    <row r="849" spans="1:4" ht="12.75" customHeight="1" x14ac:dyDescent="0.2">
      <c r="A849" s="21"/>
      <c r="B849" s="3" t="s">
        <v>0</v>
      </c>
      <c r="C849" s="23" t="s">
        <v>48</v>
      </c>
      <c r="D849" s="21"/>
    </row>
    <row r="850" spans="1:4" ht="12.75" customHeight="1" x14ac:dyDescent="0.2">
      <c r="A850" s="21"/>
      <c r="B850" s="3" t="s">
        <v>2</v>
      </c>
      <c r="C850" s="23"/>
      <c r="D850" s="21"/>
    </row>
    <row r="851" spans="1:4" ht="12.75" customHeight="1" x14ac:dyDescent="0.2">
      <c r="A851" s="21"/>
      <c r="B851" s="3" t="s">
        <v>1840</v>
      </c>
      <c r="C851" s="23" t="s">
        <v>21</v>
      </c>
      <c r="D851" s="21"/>
    </row>
    <row r="852" spans="1:4" ht="12.75" customHeight="1" x14ac:dyDescent="0.2">
      <c r="A852" s="21"/>
      <c r="B852" s="3" t="s">
        <v>9</v>
      </c>
      <c r="C852" s="23" t="s">
        <v>2594</v>
      </c>
      <c r="D852" s="21"/>
    </row>
    <row r="853" spans="1:4" ht="12.75" customHeight="1" x14ac:dyDescent="0.2">
      <c r="A853" s="21"/>
      <c r="B853" s="3" t="s">
        <v>11</v>
      </c>
      <c r="C853" s="23" t="s">
        <v>43</v>
      </c>
      <c r="D853" s="21"/>
    </row>
    <row r="854" spans="1:4" ht="12.75" customHeight="1" x14ac:dyDescent="0.2">
      <c r="A854" s="21"/>
      <c r="B854" s="3" t="s">
        <v>16</v>
      </c>
      <c r="C854" s="23"/>
      <c r="D854" s="21"/>
    </row>
    <row r="855" spans="1:4" ht="12.75" customHeight="1" x14ac:dyDescent="0.2">
      <c r="A855" s="21"/>
      <c r="B855" s="3" t="s">
        <v>17</v>
      </c>
      <c r="C855" s="23" t="s">
        <v>19</v>
      </c>
      <c r="D855" s="21"/>
    </row>
    <row r="856" spans="1:4" ht="12.75" customHeight="1" x14ac:dyDescent="0.2">
      <c r="A856" s="21"/>
      <c r="B856" s="20" t="s">
        <v>18</v>
      </c>
      <c r="C856" s="8" t="s">
        <v>57</v>
      </c>
      <c r="D856" s="1" t="str">
        <f>HYPERLINK("javascript:void(0)","regeneráció itala")</f>
        <v>regeneráció itala</v>
      </c>
    </row>
    <row r="857" spans="1:4" ht="12.75" customHeight="1" x14ac:dyDescent="0.2">
      <c r="A857" s="21"/>
      <c r="B857" s="21"/>
      <c r="C857" s="8" t="s">
        <v>77</v>
      </c>
      <c r="D857" s="1" t="str">
        <f>HYPERLINK("javascript:void(0)","manaital")</f>
        <v>manaital</v>
      </c>
    </row>
    <row r="858" spans="1:4" ht="12.75" customHeight="1" x14ac:dyDescent="0.2">
      <c r="A858" s="21"/>
      <c r="B858" s="21"/>
      <c r="C858" s="8" t="s">
        <v>232</v>
      </c>
      <c r="D858" s="1" t="str">
        <f>HYPERLINK("javascript:void(0)","aqua dei")</f>
        <v>aqua dei</v>
      </c>
    </row>
    <row r="859" spans="1:4" ht="12.75" customHeight="1" x14ac:dyDescent="0.2">
      <c r="A859" s="21"/>
      <c r="B859" s="2"/>
      <c r="C859" s="7"/>
      <c r="D859" s="7"/>
    </row>
    <row r="860" spans="1:4" ht="12.75" customHeight="1" x14ac:dyDescent="0.2">
      <c r="A860" s="21"/>
      <c r="B860" s="2"/>
      <c r="C860" s="7"/>
      <c r="D860" s="7"/>
    </row>
    <row r="861" spans="1:4" ht="12.75" customHeight="1" x14ac:dyDescent="0.2">
      <c r="A861" s="21"/>
      <c r="B861" s="2"/>
      <c r="C861" s="7"/>
      <c r="D861" s="7"/>
    </row>
    <row r="862" spans="1:4" ht="12.75" customHeight="1" x14ac:dyDescent="0.2">
      <c r="A862" s="21"/>
      <c r="B862" s="2"/>
      <c r="C862" s="7"/>
      <c r="D862" s="7"/>
    </row>
    <row r="863" spans="1:4" ht="12.75" customHeight="1" x14ac:dyDescent="0.2">
      <c r="A863" s="5"/>
      <c r="B863" s="2"/>
      <c r="C863" s="7"/>
      <c r="D863" s="7"/>
    </row>
    <row r="864" spans="1:4" ht="12.75" customHeight="1" x14ac:dyDescent="0.2">
      <c r="A864" s="22" t="str">
        <f>HYPERLINK("javascript:void(0)","vaspajzs")</f>
        <v>vaspajzs</v>
      </c>
      <c r="B864" s="21"/>
      <c r="C864" s="21"/>
      <c r="D864" s="21"/>
    </row>
    <row r="865" spans="1:4" ht="12.75" customHeight="1" x14ac:dyDescent="0.2">
      <c r="A865" s="20"/>
      <c r="B865" s="2"/>
      <c r="C865" s="7"/>
      <c r="D865" s="7"/>
    </row>
    <row r="866" spans="1:4" ht="12.75" customHeight="1" x14ac:dyDescent="0.2">
      <c r="A866" s="21"/>
      <c r="B866" s="3" t="s">
        <v>0</v>
      </c>
      <c r="C866" s="23" t="s">
        <v>46</v>
      </c>
      <c r="D866" s="21"/>
    </row>
    <row r="867" spans="1:4" ht="12.75" customHeight="1" x14ac:dyDescent="0.2">
      <c r="A867" s="21"/>
      <c r="B867" s="3" t="s">
        <v>2</v>
      </c>
      <c r="C867" s="23" t="s">
        <v>1839</v>
      </c>
      <c r="D867" s="21"/>
    </row>
    <row r="868" spans="1:4" ht="12.75" customHeight="1" x14ac:dyDescent="0.2">
      <c r="A868" s="21"/>
      <c r="B868" s="3" t="s">
        <v>1840</v>
      </c>
      <c r="C868" s="23" t="s">
        <v>40</v>
      </c>
      <c r="D868" s="21"/>
    </row>
    <row r="869" spans="1:4" ht="12.75" customHeight="1" x14ac:dyDescent="0.2">
      <c r="A869" s="21"/>
      <c r="B869" s="3" t="s">
        <v>9</v>
      </c>
      <c r="C869" s="23" t="s">
        <v>934</v>
      </c>
      <c r="D869" s="21"/>
    </row>
    <row r="870" spans="1:4" ht="12.75" customHeight="1" x14ac:dyDescent="0.2">
      <c r="A870" s="21"/>
      <c r="B870" s="3" t="s">
        <v>11</v>
      </c>
      <c r="C870" s="23" t="s">
        <v>1884</v>
      </c>
      <c r="D870" s="21"/>
    </row>
    <row r="871" spans="1:4" ht="12.75" customHeight="1" x14ac:dyDescent="0.2">
      <c r="A871" s="21"/>
      <c r="B871" s="3" t="s">
        <v>16</v>
      </c>
      <c r="C871" s="23"/>
      <c r="D871" s="21"/>
    </row>
    <row r="872" spans="1:4" ht="12.75" customHeight="1" x14ac:dyDescent="0.2">
      <c r="A872" s="21"/>
      <c r="B872" s="3" t="s">
        <v>17</v>
      </c>
      <c r="C872" s="23" t="s">
        <v>19</v>
      </c>
      <c r="D872" s="21"/>
    </row>
    <row r="873" spans="1:4" ht="12.75" customHeight="1" x14ac:dyDescent="0.2">
      <c r="A873" s="21"/>
      <c r="B873" s="20" t="s">
        <v>18</v>
      </c>
      <c r="C873" s="8" t="s">
        <v>44</v>
      </c>
      <c r="D873" s="1" t="str">
        <f>HYPERLINK("javascript:void(0)","bőrpajzs")</f>
        <v>bőrpajzs</v>
      </c>
    </row>
    <row r="874" spans="1:4" ht="12.75" customHeight="1" x14ac:dyDescent="0.2">
      <c r="A874" s="21"/>
      <c r="B874" s="21"/>
      <c r="C874" s="8" t="s">
        <v>55</v>
      </c>
      <c r="D874" s="1" t="str">
        <f>HYPERLINK("javascript:void(0)","vasérc")</f>
        <v>vasérc</v>
      </c>
    </row>
    <row r="875" spans="1:4" ht="12.75" customHeight="1" x14ac:dyDescent="0.2">
      <c r="A875" s="21"/>
      <c r="B875" s="21"/>
      <c r="C875" s="8" t="s">
        <v>77</v>
      </c>
      <c r="D875" s="1" t="str">
        <f>HYPERLINK("javascript:void(0)","ezüst")</f>
        <v>ezüst</v>
      </c>
    </row>
    <row r="876" spans="1:4" ht="12.75" customHeight="1" x14ac:dyDescent="0.2">
      <c r="A876" s="21"/>
      <c r="B876" s="2"/>
      <c r="C876" s="7"/>
      <c r="D876" s="7"/>
    </row>
    <row r="877" spans="1:4" ht="12.75" customHeight="1" x14ac:dyDescent="0.2">
      <c r="A877" s="21"/>
      <c r="B877" s="2"/>
      <c r="C877" s="7"/>
      <c r="D877" s="7"/>
    </row>
    <row r="878" spans="1:4" ht="12.75" customHeight="1" x14ac:dyDescent="0.2">
      <c r="A878" s="21"/>
      <c r="B878" s="2"/>
      <c r="C878" s="7"/>
      <c r="D878" s="7"/>
    </row>
    <row r="879" spans="1:4" ht="12.75" customHeight="1" x14ac:dyDescent="0.2">
      <c r="A879" s="21"/>
      <c r="B879" s="2"/>
      <c r="C879" s="7"/>
      <c r="D879" s="7"/>
    </row>
    <row r="880" spans="1:4" ht="12.75" customHeight="1" x14ac:dyDescent="0.2">
      <c r="A880" s="5"/>
      <c r="B880" s="2"/>
      <c r="C880" s="7"/>
      <c r="D880" s="7"/>
    </row>
    <row r="881" spans="1:4" ht="12.75" customHeight="1" x14ac:dyDescent="0.2">
      <c r="A881" s="22" t="str">
        <f>HYPERLINK("javascript:void(0)","törpe csizma")</f>
        <v>törpe csizma</v>
      </c>
      <c r="B881" s="21"/>
      <c r="C881" s="21"/>
      <c r="D881" s="7"/>
    </row>
    <row r="882" spans="1:4" ht="12.75" customHeight="1" x14ac:dyDescent="0.2">
      <c r="A882" s="20"/>
      <c r="B882" s="2"/>
      <c r="C882" s="7"/>
      <c r="D882" s="7"/>
    </row>
    <row r="883" spans="1:4" ht="12.75" customHeight="1" x14ac:dyDescent="0.2">
      <c r="A883" s="21"/>
      <c r="B883" s="3" t="s">
        <v>0</v>
      </c>
      <c r="C883" s="9" t="s">
        <v>46</v>
      </c>
      <c r="D883" s="7"/>
    </row>
    <row r="884" spans="1:4" ht="12.75" customHeight="1" x14ac:dyDescent="0.2">
      <c r="A884" s="21"/>
      <c r="B884" s="3" t="s">
        <v>2</v>
      </c>
      <c r="C884" s="9"/>
      <c r="D884" s="7"/>
    </row>
    <row r="885" spans="1:4" ht="12.75" customHeight="1" x14ac:dyDescent="0.2">
      <c r="A885" s="21"/>
      <c r="B885" s="3" t="s">
        <v>1840</v>
      </c>
      <c r="C885" s="9" t="s">
        <v>5</v>
      </c>
      <c r="D885" s="7"/>
    </row>
    <row r="886" spans="1:4" ht="12.75" customHeight="1" x14ac:dyDescent="0.2">
      <c r="A886" s="21"/>
      <c r="B886" s="3" t="s">
        <v>9</v>
      </c>
      <c r="C886" s="9" t="s">
        <v>374</v>
      </c>
      <c r="D886" s="7"/>
    </row>
    <row r="887" spans="1:4" ht="12.75" customHeight="1" x14ac:dyDescent="0.2">
      <c r="A887" s="21"/>
      <c r="B887" s="3" t="s">
        <v>11</v>
      </c>
      <c r="C887" s="9" t="s">
        <v>37</v>
      </c>
      <c r="D887" s="7"/>
    </row>
    <row r="888" spans="1:4" ht="12.75" customHeight="1" x14ac:dyDescent="0.2">
      <c r="A888" s="21"/>
      <c r="B888" s="3" t="s">
        <v>16</v>
      </c>
      <c r="C888" s="9"/>
      <c r="D888" s="7"/>
    </row>
    <row r="889" spans="1:4" ht="12.75" customHeight="1" x14ac:dyDescent="0.2">
      <c r="A889" s="21"/>
      <c r="B889" s="3" t="s">
        <v>17</v>
      </c>
      <c r="C889" s="9" t="s">
        <v>19</v>
      </c>
      <c r="D889" s="7"/>
    </row>
    <row r="890" spans="1:4" ht="12.75" customHeight="1" x14ac:dyDescent="0.2">
      <c r="A890" s="21"/>
      <c r="B890" s="3" t="s">
        <v>18</v>
      </c>
      <c r="C890" s="8" t="s">
        <v>19</v>
      </c>
      <c r="D890" s="7"/>
    </row>
    <row r="891" spans="1:4" ht="12.75" customHeight="1" x14ac:dyDescent="0.2">
      <c r="A891" s="21"/>
      <c r="B891" s="2"/>
      <c r="C891" s="7"/>
      <c r="D891" s="7"/>
    </row>
    <row r="892" spans="1:4" ht="12.75" customHeight="1" x14ac:dyDescent="0.2">
      <c r="A892" s="21"/>
      <c r="B892" s="2"/>
      <c r="C892" s="7"/>
      <c r="D892" s="7"/>
    </row>
    <row r="893" spans="1:4" ht="12.75" customHeight="1" x14ac:dyDescent="0.2">
      <c r="A893" s="21"/>
      <c r="B893" s="2"/>
      <c r="C893" s="7"/>
      <c r="D893" s="7"/>
    </row>
    <row r="894" spans="1:4" ht="12.75" customHeight="1" x14ac:dyDescent="0.2">
      <c r="A894" s="21"/>
      <c r="B894" s="2"/>
      <c r="C894" s="7"/>
      <c r="D894" s="7"/>
    </row>
    <row r="895" spans="1:4" ht="12.75" customHeight="1" x14ac:dyDescent="0.2">
      <c r="A895" s="5"/>
      <c r="B895" s="2"/>
      <c r="C895" s="7"/>
      <c r="D895" s="7"/>
    </row>
    <row r="896" spans="1:4" ht="12.75" customHeight="1" x14ac:dyDescent="0.2">
      <c r="A896" s="22" t="str">
        <f>HYPERLINK("javascript:void(0)","wendír pajzs")</f>
        <v>wendír pajzs</v>
      </c>
      <c r="B896" s="21"/>
      <c r="C896" s="21"/>
      <c r="D896" s="7"/>
    </row>
    <row r="897" spans="1:4" ht="12.75" customHeight="1" x14ac:dyDescent="0.2">
      <c r="A897" s="20"/>
      <c r="B897" s="2"/>
      <c r="C897" s="7"/>
      <c r="D897" s="7"/>
    </row>
    <row r="898" spans="1:4" ht="12.75" customHeight="1" x14ac:dyDescent="0.2">
      <c r="A898" s="21"/>
      <c r="B898" s="3" t="s">
        <v>0</v>
      </c>
      <c r="C898" s="9" t="s">
        <v>46</v>
      </c>
      <c r="D898" s="7"/>
    </row>
    <row r="899" spans="1:4" ht="12.75" customHeight="1" x14ac:dyDescent="0.2">
      <c r="A899" s="21"/>
      <c r="B899" s="3" t="s">
        <v>2</v>
      </c>
      <c r="C899" s="9" t="s">
        <v>1839</v>
      </c>
      <c r="D899" s="7"/>
    </row>
    <row r="900" spans="1:4" ht="12.75" customHeight="1" x14ac:dyDescent="0.2">
      <c r="A900" s="21"/>
      <c r="B900" s="3" t="s">
        <v>1840</v>
      </c>
      <c r="C900" s="9" t="s">
        <v>40</v>
      </c>
      <c r="D900" s="7"/>
    </row>
    <row r="901" spans="1:4" ht="12.75" customHeight="1" x14ac:dyDescent="0.2">
      <c r="A901" s="21"/>
      <c r="B901" s="3" t="s">
        <v>9</v>
      </c>
      <c r="C901" s="9" t="s">
        <v>164</v>
      </c>
      <c r="D901" s="7"/>
    </row>
    <row r="902" spans="1:4" ht="12.75" customHeight="1" x14ac:dyDescent="0.2">
      <c r="A902" s="21"/>
      <c r="B902" s="3" t="s">
        <v>11</v>
      </c>
      <c r="C902" s="9" t="s">
        <v>718</v>
      </c>
      <c r="D902" s="7"/>
    </row>
    <row r="903" spans="1:4" ht="12.75" customHeight="1" x14ac:dyDescent="0.2">
      <c r="A903" s="21"/>
      <c r="B903" s="3" t="s">
        <v>16</v>
      </c>
      <c r="C903" s="9"/>
      <c r="D903" s="7"/>
    </row>
    <row r="904" spans="1:4" ht="12.75" customHeight="1" x14ac:dyDescent="0.2">
      <c r="A904" s="21"/>
      <c r="B904" s="3" t="s">
        <v>17</v>
      </c>
      <c r="C904" s="9" t="s">
        <v>19</v>
      </c>
      <c r="D904" s="7"/>
    </row>
    <row r="905" spans="1:4" ht="12.75" customHeight="1" x14ac:dyDescent="0.2">
      <c r="A905" s="21"/>
      <c r="B905" s="3" t="s">
        <v>18</v>
      </c>
      <c r="C905" s="8" t="s">
        <v>19</v>
      </c>
      <c r="D905" s="7"/>
    </row>
    <row r="906" spans="1:4" ht="12.75" customHeight="1" x14ac:dyDescent="0.2">
      <c r="A906" s="21"/>
      <c r="B906" s="2"/>
      <c r="C906" s="7"/>
      <c r="D906" s="7"/>
    </row>
    <row r="907" spans="1:4" ht="12.75" customHeight="1" x14ac:dyDescent="0.2">
      <c r="A907" s="21"/>
      <c r="B907" s="2"/>
      <c r="C907" s="7"/>
      <c r="D907" s="7"/>
    </row>
    <row r="908" spans="1:4" ht="12.75" customHeight="1" x14ac:dyDescent="0.2">
      <c r="A908" s="21"/>
      <c r="B908" s="2"/>
      <c r="C908" s="7"/>
      <c r="D908" s="7"/>
    </row>
    <row r="909" spans="1:4" ht="12.75" customHeight="1" x14ac:dyDescent="0.2">
      <c r="A909" s="21"/>
      <c r="B909" s="2"/>
      <c r="C909" s="7"/>
      <c r="D909" s="7"/>
    </row>
    <row r="910" spans="1:4" ht="12.75" customHeight="1" x14ac:dyDescent="0.2">
      <c r="A910" s="5"/>
      <c r="B910" s="2"/>
      <c r="C910" s="7"/>
      <c r="D910" s="7"/>
    </row>
    <row r="911" spans="1:4" ht="12.75" customHeight="1" x14ac:dyDescent="0.2">
      <c r="A911" s="22" t="str">
        <f>HYPERLINK("javascript:void(0)","vassisak")</f>
        <v>vassisak</v>
      </c>
      <c r="B911" s="21"/>
      <c r="C911" s="21"/>
      <c r="D911" s="21"/>
    </row>
    <row r="912" spans="1:4" ht="12.75" customHeight="1" x14ac:dyDescent="0.2">
      <c r="A912" s="20"/>
      <c r="B912" s="2"/>
      <c r="C912" s="7"/>
      <c r="D912" s="7"/>
    </row>
    <row r="913" spans="1:4" ht="12.75" customHeight="1" x14ac:dyDescent="0.2">
      <c r="A913" s="21"/>
      <c r="B913" s="3" t="s">
        <v>0</v>
      </c>
      <c r="C913" s="23" t="s">
        <v>51</v>
      </c>
      <c r="D913" s="21"/>
    </row>
    <row r="914" spans="1:4" ht="12.75" customHeight="1" x14ac:dyDescent="0.2">
      <c r="A914" s="21"/>
      <c r="B914" s="3" t="s">
        <v>2</v>
      </c>
      <c r="C914" s="23"/>
      <c r="D914" s="21"/>
    </row>
    <row r="915" spans="1:4" ht="12.75" customHeight="1" x14ac:dyDescent="0.2">
      <c r="A915" s="21"/>
      <c r="B915" s="3" t="s">
        <v>1840</v>
      </c>
      <c r="C915" s="23" t="s">
        <v>128</v>
      </c>
      <c r="D915" s="21"/>
    </row>
    <row r="916" spans="1:4" ht="12.75" customHeight="1" x14ac:dyDescent="0.2">
      <c r="A916" s="21"/>
      <c r="B916" s="3" t="s">
        <v>9</v>
      </c>
      <c r="C916" s="23" t="s">
        <v>124</v>
      </c>
      <c r="D916" s="21"/>
    </row>
    <row r="917" spans="1:4" ht="12.75" customHeight="1" x14ac:dyDescent="0.2">
      <c r="A917" s="21"/>
      <c r="B917" s="3" t="s">
        <v>11</v>
      </c>
      <c r="C917" s="23" t="s">
        <v>718</v>
      </c>
      <c r="D917" s="21"/>
    </row>
    <row r="918" spans="1:4" ht="12.75" customHeight="1" x14ac:dyDescent="0.2">
      <c r="A918" s="21"/>
      <c r="B918" s="3" t="s">
        <v>16</v>
      </c>
      <c r="C918" s="23"/>
      <c r="D918" s="21"/>
    </row>
    <row r="919" spans="1:4" ht="12.75" customHeight="1" x14ac:dyDescent="0.2">
      <c r="A919" s="21"/>
      <c r="B919" s="3" t="s">
        <v>17</v>
      </c>
      <c r="C919" s="23" t="s">
        <v>19</v>
      </c>
      <c r="D919" s="21"/>
    </row>
    <row r="920" spans="1:4" ht="12.75" customHeight="1" x14ac:dyDescent="0.2">
      <c r="A920" s="21"/>
      <c r="B920" s="20" t="s">
        <v>18</v>
      </c>
      <c r="C920" s="8" t="s">
        <v>44</v>
      </c>
      <c r="D920" s="1" t="str">
        <f>HYPERLINK("javascript:void(0)","bőrsisak")</f>
        <v>bőrsisak</v>
      </c>
    </row>
    <row r="921" spans="1:4" ht="12.75" customHeight="1" x14ac:dyDescent="0.2">
      <c r="A921" s="21"/>
      <c r="B921" s="21"/>
      <c r="C921" s="8" t="s">
        <v>57</v>
      </c>
      <c r="D921" s="1" t="str">
        <f>HYPERLINK("javascript:void(0)","vasérc")</f>
        <v>vasérc</v>
      </c>
    </row>
    <row r="922" spans="1:4" ht="12.75" customHeight="1" x14ac:dyDescent="0.2">
      <c r="A922" s="21"/>
      <c r="B922" s="21"/>
      <c r="C922" s="8" t="s">
        <v>56</v>
      </c>
      <c r="D922" s="1" t="str">
        <f>HYPERLINK("javascript:void(0)","óngolyó")</f>
        <v>óngolyó</v>
      </c>
    </row>
    <row r="923" spans="1:4" ht="12.75" customHeight="1" x14ac:dyDescent="0.2">
      <c r="A923" s="21"/>
      <c r="B923" s="2"/>
      <c r="C923" s="7"/>
      <c r="D923" s="7"/>
    </row>
    <row r="924" spans="1:4" ht="12.75" customHeight="1" x14ac:dyDescent="0.2">
      <c r="A924" s="21"/>
      <c r="B924" s="2"/>
      <c r="C924" s="7"/>
      <c r="D924" s="7"/>
    </row>
    <row r="925" spans="1:4" ht="12.75" customHeight="1" x14ac:dyDescent="0.2">
      <c r="A925" s="21"/>
      <c r="B925" s="2"/>
      <c r="C925" s="7"/>
      <c r="D925" s="7"/>
    </row>
    <row r="926" spans="1:4" ht="12.75" customHeight="1" x14ac:dyDescent="0.2">
      <c r="A926" s="21"/>
      <c r="B926" s="2"/>
      <c r="C926" s="7"/>
      <c r="D926" s="7"/>
    </row>
    <row r="927" spans="1:4" ht="12.75" customHeight="1" x14ac:dyDescent="0.2">
      <c r="A927" s="5"/>
      <c r="B927" s="2"/>
      <c r="C927" s="7"/>
      <c r="D927" s="7"/>
    </row>
    <row r="928" spans="1:4" ht="12.75" customHeight="1" x14ac:dyDescent="0.2">
      <c r="A928" s="22" t="str">
        <f>HYPERLINK("javascript:void(0)","acélpajzs")</f>
        <v>acélpajzs</v>
      </c>
      <c r="B928" s="21"/>
      <c r="C928" s="21"/>
      <c r="D928" s="21"/>
    </row>
    <row r="929" spans="1:4" ht="12.75" customHeight="1" x14ac:dyDescent="0.2">
      <c r="A929" s="20"/>
      <c r="B929" s="2"/>
      <c r="C929" s="7"/>
      <c r="D929" s="7"/>
    </row>
    <row r="930" spans="1:4" ht="12.75" customHeight="1" x14ac:dyDescent="0.2">
      <c r="A930" s="21"/>
      <c r="B930" s="3" t="s">
        <v>0</v>
      </c>
      <c r="C930" s="23" t="s">
        <v>51</v>
      </c>
      <c r="D930" s="21"/>
    </row>
    <row r="931" spans="1:4" ht="12.75" customHeight="1" x14ac:dyDescent="0.2">
      <c r="A931" s="21"/>
      <c r="B931" s="3" t="s">
        <v>2</v>
      </c>
      <c r="C931" s="23" t="s">
        <v>1839</v>
      </c>
      <c r="D931" s="21"/>
    </row>
    <row r="932" spans="1:4" ht="12.75" customHeight="1" x14ac:dyDescent="0.2">
      <c r="A932" s="21"/>
      <c r="B932" s="3" t="s">
        <v>1840</v>
      </c>
      <c r="C932" s="23" t="s">
        <v>48</v>
      </c>
      <c r="D932" s="21"/>
    </row>
    <row r="933" spans="1:4" ht="12.75" customHeight="1" x14ac:dyDescent="0.2">
      <c r="A933" s="21"/>
      <c r="B933" s="3" t="s">
        <v>9</v>
      </c>
      <c r="C933" s="23" t="s">
        <v>217</v>
      </c>
      <c r="D933" s="21"/>
    </row>
    <row r="934" spans="1:4" ht="12.75" customHeight="1" x14ac:dyDescent="0.2">
      <c r="A934" s="21"/>
      <c r="B934" s="3" t="s">
        <v>11</v>
      </c>
      <c r="C934" s="23" t="s">
        <v>1890</v>
      </c>
      <c r="D934" s="21"/>
    </row>
    <row r="935" spans="1:4" ht="12.75" customHeight="1" x14ac:dyDescent="0.2">
      <c r="A935" s="21"/>
      <c r="B935" s="3" t="s">
        <v>16</v>
      </c>
      <c r="C935" s="23"/>
      <c r="D935" s="21"/>
    </row>
    <row r="936" spans="1:4" ht="12.75" customHeight="1" x14ac:dyDescent="0.2">
      <c r="A936" s="21"/>
      <c r="B936" s="3" t="s">
        <v>17</v>
      </c>
      <c r="C936" s="23" t="s">
        <v>19</v>
      </c>
      <c r="D936" s="21"/>
    </row>
    <row r="937" spans="1:4" ht="12.75" customHeight="1" x14ac:dyDescent="0.2">
      <c r="A937" s="21"/>
      <c r="B937" s="20" t="s">
        <v>18</v>
      </c>
      <c r="C937" s="8" t="s">
        <v>44</v>
      </c>
      <c r="D937" s="1" t="str">
        <f>HYPERLINK("javascript:void(0)","rézérc")</f>
        <v>rézérc</v>
      </c>
    </row>
    <row r="938" spans="1:4" ht="12.75" customHeight="1" x14ac:dyDescent="0.2">
      <c r="A938" s="21"/>
      <c r="B938" s="21"/>
      <c r="C938" s="8" t="s">
        <v>67</v>
      </c>
      <c r="D938" s="1" t="str">
        <f>HYPERLINK("javascript:void(0)","vasérc")</f>
        <v>vasérc</v>
      </c>
    </row>
    <row r="939" spans="1:4" ht="12.75" customHeight="1" x14ac:dyDescent="0.2">
      <c r="A939" s="21"/>
      <c r="B939" s="21"/>
      <c r="C939" s="8" t="s">
        <v>44</v>
      </c>
      <c r="D939" s="1" t="str">
        <f>HYPERLINK("javascript:void(0)","vaspajzs")</f>
        <v>vaspajzs</v>
      </c>
    </row>
    <row r="940" spans="1:4" ht="12.75" customHeight="1" x14ac:dyDescent="0.2">
      <c r="A940" s="21"/>
      <c r="B940" s="2"/>
      <c r="C940" s="7"/>
      <c r="D940" s="7"/>
    </row>
    <row r="941" spans="1:4" ht="12.75" customHeight="1" x14ac:dyDescent="0.2">
      <c r="A941" s="21"/>
      <c r="B941" s="2"/>
      <c r="C941" s="7"/>
      <c r="D941" s="7"/>
    </row>
    <row r="942" spans="1:4" ht="12.75" customHeight="1" x14ac:dyDescent="0.2">
      <c r="A942" s="21"/>
      <c r="B942" s="2"/>
      <c r="C942" s="7"/>
      <c r="D942" s="7"/>
    </row>
    <row r="943" spans="1:4" ht="12.75" customHeight="1" x14ac:dyDescent="0.2">
      <c r="A943" s="21"/>
      <c r="B943" s="2"/>
      <c r="C943" s="7"/>
      <c r="D943" s="7"/>
    </row>
    <row r="944" spans="1:4" ht="12.75" customHeight="1" x14ac:dyDescent="0.2">
      <c r="A944" s="5"/>
      <c r="B944" s="2"/>
      <c r="C944" s="7"/>
      <c r="D944" s="7"/>
    </row>
    <row r="945" spans="1:4" ht="12.75" customHeight="1" x14ac:dyDescent="0.2">
      <c r="A945" s="22" t="str">
        <f>HYPERLINK("javascript:void(0)","vaspáncél")</f>
        <v>vaspáncél</v>
      </c>
      <c r="B945" s="21"/>
      <c r="C945" s="21"/>
      <c r="D945" s="21"/>
    </row>
    <row r="946" spans="1:4" ht="12.75" customHeight="1" x14ac:dyDescent="0.2">
      <c r="A946" s="20"/>
      <c r="B946" s="2"/>
      <c r="C946" s="7"/>
      <c r="D946" s="7"/>
    </row>
    <row r="947" spans="1:4" ht="12.75" customHeight="1" x14ac:dyDescent="0.2">
      <c r="A947" s="21"/>
      <c r="B947" s="3" t="s">
        <v>0</v>
      </c>
      <c r="C947" s="23" t="s">
        <v>33</v>
      </c>
      <c r="D947" s="21"/>
    </row>
    <row r="948" spans="1:4" ht="12.75" customHeight="1" x14ac:dyDescent="0.2">
      <c r="A948" s="21"/>
      <c r="B948" s="3" t="s">
        <v>2</v>
      </c>
      <c r="C948" s="23" t="s">
        <v>2322</v>
      </c>
      <c r="D948" s="21"/>
    </row>
    <row r="949" spans="1:4" ht="12.75" customHeight="1" x14ac:dyDescent="0.2">
      <c r="A949" s="21"/>
      <c r="B949" s="3" t="s">
        <v>1840</v>
      </c>
      <c r="C949" s="23" t="s">
        <v>74</v>
      </c>
      <c r="D949" s="21"/>
    </row>
    <row r="950" spans="1:4" ht="12.75" customHeight="1" x14ac:dyDescent="0.2">
      <c r="A950" s="21"/>
      <c r="B950" s="3" t="s">
        <v>9</v>
      </c>
      <c r="C950" s="23" t="s">
        <v>236</v>
      </c>
      <c r="D950" s="21"/>
    </row>
    <row r="951" spans="1:4" ht="12.75" customHeight="1" x14ac:dyDescent="0.2">
      <c r="A951" s="21"/>
      <c r="B951" s="3" t="s">
        <v>11</v>
      </c>
      <c r="C951" s="23" t="s">
        <v>2331</v>
      </c>
      <c r="D951" s="21"/>
    </row>
    <row r="952" spans="1:4" ht="12.75" customHeight="1" x14ac:dyDescent="0.2">
      <c r="A952" s="21"/>
      <c r="B952" s="3" t="s">
        <v>16</v>
      </c>
      <c r="C952" s="23"/>
      <c r="D952" s="21"/>
    </row>
    <row r="953" spans="1:4" ht="12.75" customHeight="1" x14ac:dyDescent="0.2">
      <c r="A953" s="21"/>
      <c r="B953" s="3" t="s">
        <v>17</v>
      </c>
      <c r="C953" s="23" t="s">
        <v>19</v>
      </c>
      <c r="D953" s="21"/>
    </row>
    <row r="954" spans="1:4" ht="12.75" customHeight="1" x14ac:dyDescent="0.2">
      <c r="A954" s="21"/>
      <c r="B954" s="20" t="s">
        <v>18</v>
      </c>
      <c r="C954" s="8" t="s">
        <v>44</v>
      </c>
      <c r="D954" s="1" t="str">
        <f>HYPERLINK("javascript:void(0)","bőrpáncél")</f>
        <v>bőrpáncél</v>
      </c>
    </row>
    <row r="955" spans="1:4" ht="12.75" customHeight="1" x14ac:dyDescent="0.2">
      <c r="A955" s="21"/>
      <c r="B955" s="21"/>
      <c r="C955" s="8" t="s">
        <v>67</v>
      </c>
      <c r="D955" s="1" t="str">
        <f>HYPERLINK("javascript:void(0)","vasérc")</f>
        <v>vasérc</v>
      </c>
    </row>
    <row r="956" spans="1:4" ht="12.75" customHeight="1" x14ac:dyDescent="0.2">
      <c r="A956" s="21"/>
      <c r="B956" s="21"/>
      <c r="C956" s="8" t="s">
        <v>56</v>
      </c>
      <c r="D956" s="1" t="str">
        <f>HYPERLINK("javascript:void(0)","óngolyó")</f>
        <v>óngolyó</v>
      </c>
    </row>
    <row r="957" spans="1:4" ht="12.75" customHeight="1" x14ac:dyDescent="0.2">
      <c r="A957" s="21"/>
      <c r="B957" s="2"/>
      <c r="C957" s="7"/>
      <c r="D957" s="7"/>
    </row>
    <row r="958" spans="1:4" ht="12.75" customHeight="1" x14ac:dyDescent="0.2">
      <c r="A958" s="21"/>
      <c r="B958" s="2"/>
      <c r="C958" s="7"/>
      <c r="D958" s="7"/>
    </row>
    <row r="959" spans="1:4" ht="12.75" customHeight="1" x14ac:dyDescent="0.2">
      <c r="A959" s="21"/>
      <c r="B959" s="2"/>
      <c r="C959" s="7"/>
      <c r="D959" s="7"/>
    </row>
    <row r="960" spans="1:4" ht="12.75" customHeight="1" x14ac:dyDescent="0.2">
      <c r="A960" s="21"/>
      <c r="B960" s="2"/>
      <c r="C960" s="7"/>
      <c r="D960" s="7"/>
    </row>
    <row r="961" spans="1:4" ht="12.75" customHeight="1" x14ac:dyDescent="0.2">
      <c r="A961" s="5"/>
      <c r="B961" s="2"/>
      <c r="C961" s="7"/>
      <c r="D961" s="7"/>
    </row>
    <row r="962" spans="1:4" ht="12.75" customHeight="1" x14ac:dyDescent="0.2">
      <c r="A962" s="22" t="str">
        <f>HYPERLINK("javascript:void(0)","ezüstpajzs")</f>
        <v>ezüstpajzs</v>
      </c>
      <c r="B962" s="21"/>
      <c r="C962" s="21"/>
      <c r="D962" s="21"/>
    </row>
    <row r="963" spans="1:4" ht="12.75" customHeight="1" x14ac:dyDescent="0.2">
      <c r="A963" s="20"/>
      <c r="B963" s="2"/>
      <c r="C963" s="7"/>
      <c r="D963" s="7"/>
    </row>
    <row r="964" spans="1:4" ht="12.75" customHeight="1" x14ac:dyDescent="0.2">
      <c r="A964" s="21"/>
      <c r="B964" s="3" t="s">
        <v>0</v>
      </c>
      <c r="C964" s="23" t="s">
        <v>33</v>
      </c>
      <c r="D964" s="21"/>
    </row>
    <row r="965" spans="1:4" ht="12.75" customHeight="1" x14ac:dyDescent="0.2">
      <c r="A965" s="21"/>
      <c r="B965" s="3" t="s">
        <v>2</v>
      </c>
      <c r="C965" s="23" t="s">
        <v>1839</v>
      </c>
      <c r="D965" s="21"/>
    </row>
    <row r="966" spans="1:4" ht="12.75" customHeight="1" x14ac:dyDescent="0.2">
      <c r="A966" s="21"/>
      <c r="B966" s="3" t="s">
        <v>1840</v>
      </c>
      <c r="C966" s="23" t="s">
        <v>51</v>
      </c>
      <c r="D966" s="21"/>
    </row>
    <row r="967" spans="1:4" ht="12.75" customHeight="1" x14ac:dyDescent="0.2">
      <c r="A967" s="21"/>
      <c r="B967" s="3" t="s">
        <v>9</v>
      </c>
      <c r="C967" s="23" t="s">
        <v>75</v>
      </c>
      <c r="D967" s="21"/>
    </row>
    <row r="968" spans="1:4" ht="12.75" customHeight="1" x14ac:dyDescent="0.2">
      <c r="A968" s="21"/>
      <c r="B968" s="3" t="s">
        <v>11</v>
      </c>
      <c r="C968" s="23" t="s">
        <v>1894</v>
      </c>
      <c r="D968" s="21"/>
    </row>
    <row r="969" spans="1:4" ht="12.75" customHeight="1" x14ac:dyDescent="0.2">
      <c r="A969" s="21"/>
      <c r="B969" s="3" t="s">
        <v>16</v>
      </c>
      <c r="C969" s="23"/>
      <c r="D969" s="21"/>
    </row>
    <row r="970" spans="1:4" ht="12.75" customHeight="1" x14ac:dyDescent="0.2">
      <c r="A970" s="21"/>
      <c r="B970" s="3" t="s">
        <v>17</v>
      </c>
      <c r="C970" s="23" t="s">
        <v>19</v>
      </c>
      <c r="D970" s="21"/>
    </row>
    <row r="971" spans="1:4" ht="12.75" customHeight="1" x14ac:dyDescent="0.2">
      <c r="A971" s="21"/>
      <c r="B971" s="20" t="s">
        <v>18</v>
      </c>
      <c r="C971" s="8" t="s">
        <v>44</v>
      </c>
      <c r="D971" s="1" t="str">
        <f>HYPERLINK("javascript:void(0)","teknőspáncél")</f>
        <v>teknőspáncél</v>
      </c>
    </row>
    <row r="972" spans="1:4" ht="12.75" customHeight="1" x14ac:dyDescent="0.2">
      <c r="A972" s="21"/>
      <c r="B972" s="21"/>
      <c r="C972" s="8" t="s">
        <v>280</v>
      </c>
      <c r="D972" s="1" t="str">
        <f>HYPERLINK("javascript:void(0)","ezüst")</f>
        <v>ezüst</v>
      </c>
    </row>
    <row r="973" spans="1:4" ht="12.75" customHeight="1" x14ac:dyDescent="0.2">
      <c r="A973" s="21"/>
      <c r="B973" s="21"/>
      <c r="C973" s="8" t="s">
        <v>57</v>
      </c>
      <c r="D973" s="1" t="str">
        <f>HYPERLINK("javascript:void(0)","gyöngy")</f>
        <v>gyöngy</v>
      </c>
    </row>
    <row r="974" spans="1:4" ht="12.75" customHeight="1" x14ac:dyDescent="0.2">
      <c r="A974" s="21"/>
      <c r="B974" s="2"/>
      <c r="C974" s="7"/>
      <c r="D974" s="7"/>
    </row>
    <row r="975" spans="1:4" ht="12.75" customHeight="1" x14ac:dyDescent="0.2">
      <c r="A975" s="21"/>
      <c r="B975" s="2"/>
      <c r="C975" s="7"/>
      <c r="D975" s="7"/>
    </row>
    <row r="976" spans="1:4" ht="12.75" customHeight="1" x14ac:dyDescent="0.2">
      <c r="A976" s="21"/>
      <c r="B976" s="2"/>
      <c r="C976" s="7"/>
      <c r="D976" s="7"/>
    </row>
    <row r="977" spans="1:4" ht="12.75" customHeight="1" x14ac:dyDescent="0.2">
      <c r="A977" s="21"/>
      <c r="B977" s="2"/>
      <c r="C977" s="7"/>
      <c r="D977" s="7"/>
    </row>
    <row r="978" spans="1:4" ht="12.75" customHeight="1" x14ac:dyDescent="0.2">
      <c r="A978" s="5"/>
      <c r="B978" s="2"/>
      <c r="C978" s="7"/>
      <c r="D978" s="7"/>
    </row>
    <row r="979" spans="1:4" ht="12.75" customHeight="1" x14ac:dyDescent="0.2">
      <c r="A979" s="22" t="str">
        <f>HYPERLINK("javascript:void(0)","troll pajzs")</f>
        <v>troll pajzs</v>
      </c>
      <c r="B979" s="21"/>
      <c r="C979" s="21"/>
      <c r="D979" s="21"/>
    </row>
    <row r="980" spans="1:4" ht="12.75" customHeight="1" x14ac:dyDescent="0.2">
      <c r="A980" s="20"/>
      <c r="B980" s="2"/>
      <c r="C980" s="7"/>
      <c r="D980" s="7"/>
    </row>
    <row r="981" spans="1:4" ht="12.75" customHeight="1" x14ac:dyDescent="0.2">
      <c r="A981" s="21"/>
      <c r="B981" s="3" t="s">
        <v>0</v>
      </c>
      <c r="C981" s="23" t="s">
        <v>33</v>
      </c>
      <c r="D981" s="21"/>
    </row>
    <row r="982" spans="1:4" ht="12.75" customHeight="1" x14ac:dyDescent="0.2">
      <c r="A982" s="21"/>
      <c r="B982" s="3" t="s">
        <v>2</v>
      </c>
      <c r="C982" s="23" t="s">
        <v>1839</v>
      </c>
      <c r="D982" s="21"/>
    </row>
    <row r="983" spans="1:4" ht="12.75" customHeight="1" x14ac:dyDescent="0.2">
      <c r="A983" s="21"/>
      <c r="B983" s="3" t="s">
        <v>1840</v>
      </c>
      <c r="C983" s="23" t="s">
        <v>33</v>
      </c>
      <c r="D983" s="21"/>
    </row>
    <row r="984" spans="1:4" ht="12.75" customHeight="1" x14ac:dyDescent="0.2">
      <c r="A984" s="21"/>
      <c r="B984" s="3" t="s">
        <v>9</v>
      </c>
      <c r="C984" s="23" t="s">
        <v>262</v>
      </c>
      <c r="D984" s="21"/>
    </row>
    <row r="985" spans="1:4" ht="12.75" customHeight="1" x14ac:dyDescent="0.2">
      <c r="A985" s="21"/>
      <c r="B985" s="3" t="s">
        <v>11</v>
      </c>
      <c r="C985" s="23" t="s">
        <v>1896</v>
      </c>
      <c r="D985" s="21"/>
    </row>
    <row r="986" spans="1:4" ht="12.75" customHeight="1" x14ac:dyDescent="0.2">
      <c r="A986" s="21"/>
      <c r="B986" s="3" t="s">
        <v>16</v>
      </c>
      <c r="C986" s="23"/>
      <c r="D986" s="21"/>
    </row>
    <row r="987" spans="1:4" ht="12.75" customHeight="1" x14ac:dyDescent="0.2">
      <c r="A987" s="21"/>
      <c r="B987" s="3" t="s">
        <v>17</v>
      </c>
      <c r="C987" s="23" t="s">
        <v>19</v>
      </c>
      <c r="D987" s="21"/>
    </row>
    <row r="988" spans="1:4" ht="12.75" customHeight="1" x14ac:dyDescent="0.2">
      <c r="A988" s="21"/>
      <c r="B988" s="20" t="s">
        <v>18</v>
      </c>
      <c r="C988" s="8" t="s">
        <v>44</v>
      </c>
      <c r="D988" s="1" t="str">
        <f>HYPERLINK("javascript:void(0)","nagy ork pajzs")</f>
        <v>nagy ork pajzs</v>
      </c>
    </row>
    <row r="989" spans="1:4" ht="12.75" customHeight="1" x14ac:dyDescent="0.2">
      <c r="A989" s="21"/>
      <c r="B989" s="21"/>
      <c r="C989" s="8" t="s">
        <v>44</v>
      </c>
      <c r="D989" s="1" t="str">
        <f>HYPERLINK("javascript:void(0)","kis ork pajzs")</f>
        <v>kis ork pajzs</v>
      </c>
    </row>
    <row r="990" spans="1:4" ht="12.75" customHeight="1" x14ac:dyDescent="0.2">
      <c r="A990" s="21"/>
      <c r="B990" s="21"/>
      <c r="C990" s="8" t="s">
        <v>67</v>
      </c>
      <c r="D990" s="1" t="str">
        <f>HYPERLINK("javascript:void(0)","óngolyó")</f>
        <v>óngolyó</v>
      </c>
    </row>
    <row r="991" spans="1:4" ht="12.75" customHeight="1" x14ac:dyDescent="0.2">
      <c r="A991" s="21"/>
      <c r="B991" s="2"/>
      <c r="C991" s="7"/>
      <c r="D991" s="7"/>
    </row>
    <row r="992" spans="1:4" ht="12.75" customHeight="1" x14ac:dyDescent="0.2">
      <c r="A992" s="21"/>
      <c r="B992" s="2"/>
      <c r="C992" s="7"/>
      <c r="D992" s="7"/>
    </row>
    <row r="993" spans="1:4" ht="12.75" customHeight="1" x14ac:dyDescent="0.2">
      <c r="A993" s="21"/>
      <c r="B993" s="2"/>
      <c r="C993" s="7"/>
      <c r="D993" s="7"/>
    </row>
    <row r="994" spans="1:4" ht="12.75" customHeight="1" x14ac:dyDescent="0.2">
      <c r="A994" s="21"/>
      <c r="B994" s="2"/>
      <c r="C994" s="7"/>
      <c r="D994" s="7"/>
    </row>
    <row r="995" spans="1:4" ht="12.75" customHeight="1" x14ac:dyDescent="0.2">
      <c r="A995" s="5"/>
      <c r="B995" s="2"/>
      <c r="C995" s="7"/>
      <c r="D995" s="7"/>
    </row>
    <row r="996" spans="1:4" ht="12.75" customHeight="1" x14ac:dyDescent="0.2">
      <c r="A996" s="22" t="str">
        <f>HYPERLINK("javascript:void(0)","rimföldi pajzs")</f>
        <v>rimföldi pajzs</v>
      </c>
      <c r="B996" s="21"/>
      <c r="C996" s="21"/>
      <c r="D996" s="21"/>
    </row>
    <row r="997" spans="1:4" ht="12.75" customHeight="1" x14ac:dyDescent="0.2">
      <c r="A997" s="20"/>
      <c r="B997" s="2"/>
      <c r="C997" s="7"/>
      <c r="D997" s="7"/>
    </row>
    <row r="998" spans="1:4" ht="12.75" customHeight="1" x14ac:dyDescent="0.2">
      <c r="A998" s="21"/>
      <c r="B998" s="3" t="s">
        <v>0</v>
      </c>
      <c r="C998" s="23" t="s">
        <v>33</v>
      </c>
      <c r="D998" s="21"/>
    </row>
    <row r="999" spans="1:4" ht="12.75" customHeight="1" x14ac:dyDescent="0.2">
      <c r="A999" s="21"/>
      <c r="B999" s="3" t="s">
        <v>2</v>
      </c>
      <c r="C999" s="23" t="s">
        <v>1839</v>
      </c>
      <c r="D999" s="21"/>
    </row>
    <row r="1000" spans="1:4" ht="12.75" customHeight="1" x14ac:dyDescent="0.2">
      <c r="A1000" s="21"/>
      <c r="B1000" s="3" t="s">
        <v>1840</v>
      </c>
      <c r="C1000" s="23" t="s">
        <v>74</v>
      </c>
      <c r="D1000" s="21"/>
    </row>
    <row r="1001" spans="1:4" ht="12.75" customHeight="1" x14ac:dyDescent="0.2">
      <c r="A1001" s="21"/>
      <c r="B1001" s="3" t="s">
        <v>9</v>
      </c>
      <c r="C1001" s="23" t="s">
        <v>75</v>
      </c>
      <c r="D1001" s="21"/>
    </row>
    <row r="1002" spans="1:4" ht="12.75" customHeight="1" x14ac:dyDescent="0.2">
      <c r="A1002" s="21"/>
      <c r="B1002" s="3" t="s">
        <v>11</v>
      </c>
      <c r="C1002" s="23" t="s">
        <v>998</v>
      </c>
      <c r="D1002" s="21"/>
    </row>
    <row r="1003" spans="1:4" ht="12.75" customHeight="1" x14ac:dyDescent="0.2">
      <c r="A1003" s="21"/>
      <c r="B1003" s="3" t="s">
        <v>16</v>
      </c>
      <c r="C1003" s="23"/>
      <c r="D1003" s="21"/>
    </row>
    <row r="1004" spans="1:4" ht="12.75" customHeight="1" x14ac:dyDescent="0.2">
      <c r="A1004" s="21"/>
      <c r="B1004" s="3" t="s">
        <v>17</v>
      </c>
      <c r="C1004" s="23" t="s">
        <v>19</v>
      </c>
      <c r="D1004" s="21"/>
    </row>
    <row r="1005" spans="1:4" ht="12.75" customHeight="1" x14ac:dyDescent="0.2">
      <c r="A1005" s="21"/>
      <c r="B1005" s="20" t="s">
        <v>18</v>
      </c>
      <c r="C1005" s="8" t="s">
        <v>44</v>
      </c>
      <c r="D1005" s="1" t="str">
        <f>HYPERLINK("javascript:void(0)","kis szegecspajzs")</f>
        <v>kis szegecspajzs</v>
      </c>
    </row>
    <row r="1006" spans="1:4" ht="12.75" customHeight="1" x14ac:dyDescent="0.2">
      <c r="A1006" s="21"/>
      <c r="B1006" s="21"/>
      <c r="C1006" s="8" t="s">
        <v>44</v>
      </c>
      <c r="D1006" s="1" t="str">
        <f>HYPERLINK("javascript:void(0)","teknőspáncél")</f>
        <v>teknőspáncél</v>
      </c>
    </row>
    <row r="1007" spans="1:4" ht="12.75" customHeight="1" x14ac:dyDescent="0.2">
      <c r="A1007" s="21"/>
      <c r="B1007" s="21"/>
      <c r="C1007" s="8" t="s">
        <v>67</v>
      </c>
      <c r="D1007" s="1" t="str">
        <f>HYPERLINK("javascript:void(0)","krokodilbőr")</f>
        <v>krokodilbőr</v>
      </c>
    </row>
    <row r="1008" spans="1:4" ht="12.75" customHeight="1" x14ac:dyDescent="0.2">
      <c r="A1008" s="21"/>
      <c r="B1008" s="2"/>
      <c r="C1008" s="7"/>
      <c r="D1008" s="7"/>
    </row>
    <row r="1009" spans="1:4" ht="12.75" customHeight="1" x14ac:dyDescent="0.2">
      <c r="A1009" s="21"/>
      <c r="B1009" s="2"/>
      <c r="C1009" s="7"/>
      <c r="D1009" s="7"/>
    </row>
    <row r="1010" spans="1:4" ht="12.75" customHeight="1" x14ac:dyDescent="0.2">
      <c r="A1010" s="21"/>
      <c r="B1010" s="2"/>
      <c r="C1010" s="7"/>
      <c r="D1010" s="7"/>
    </row>
    <row r="1011" spans="1:4" ht="12.75" customHeight="1" x14ac:dyDescent="0.2">
      <c r="A1011" s="21"/>
      <c r="B1011" s="2"/>
      <c r="C1011" s="7"/>
      <c r="D1011" s="7"/>
    </row>
    <row r="1012" spans="1:4" ht="12.75" customHeight="1" x14ac:dyDescent="0.2">
      <c r="A1012" s="5"/>
      <c r="B1012" s="2"/>
      <c r="C1012" s="7"/>
      <c r="D1012" s="7"/>
    </row>
    <row r="1013" spans="1:4" ht="12.75" customHeight="1" x14ac:dyDescent="0.2">
      <c r="A1013" s="22" t="str">
        <f>HYPERLINK("javascript:void(0)","ezüst sisak")</f>
        <v>ezüst sisak</v>
      </c>
      <c r="B1013" s="21"/>
      <c r="C1013" s="21"/>
      <c r="D1013" s="21"/>
    </row>
    <row r="1014" spans="1:4" ht="12.75" customHeight="1" x14ac:dyDescent="0.2">
      <c r="A1014" s="20"/>
      <c r="B1014" s="2"/>
      <c r="C1014" s="7"/>
      <c r="D1014" s="7"/>
    </row>
    <row r="1015" spans="1:4" ht="12.75" customHeight="1" x14ac:dyDescent="0.2">
      <c r="A1015" s="21"/>
      <c r="B1015" s="3" t="s">
        <v>0</v>
      </c>
      <c r="C1015" s="23" t="s">
        <v>74</v>
      </c>
      <c r="D1015" s="21"/>
    </row>
    <row r="1016" spans="1:4" ht="12.75" customHeight="1" x14ac:dyDescent="0.2">
      <c r="A1016" s="21"/>
      <c r="B1016" s="3" t="s">
        <v>2</v>
      </c>
      <c r="C1016" s="23"/>
      <c r="D1016" s="21"/>
    </row>
    <row r="1017" spans="1:4" ht="12.75" customHeight="1" x14ac:dyDescent="0.2">
      <c r="A1017" s="21"/>
      <c r="B1017" s="3" t="s">
        <v>1840</v>
      </c>
      <c r="C1017" s="23" t="s">
        <v>46</v>
      </c>
      <c r="D1017" s="21"/>
    </row>
    <row r="1018" spans="1:4" ht="12.75" customHeight="1" x14ac:dyDescent="0.2">
      <c r="A1018" s="21"/>
      <c r="B1018" s="3" t="s">
        <v>9</v>
      </c>
      <c r="C1018" s="23" t="s">
        <v>306</v>
      </c>
      <c r="D1018" s="21"/>
    </row>
    <row r="1019" spans="1:4" ht="12.75" customHeight="1" x14ac:dyDescent="0.2">
      <c r="A1019" s="21"/>
      <c r="B1019" s="3" t="s">
        <v>11</v>
      </c>
      <c r="C1019" s="23" t="s">
        <v>1596</v>
      </c>
      <c r="D1019" s="21"/>
    </row>
    <row r="1020" spans="1:4" ht="12.75" customHeight="1" x14ac:dyDescent="0.2">
      <c r="A1020" s="21"/>
      <c r="B1020" s="3" t="s">
        <v>16</v>
      </c>
      <c r="C1020" s="23"/>
      <c r="D1020" s="21"/>
    </row>
    <row r="1021" spans="1:4" ht="12.75" customHeight="1" x14ac:dyDescent="0.2">
      <c r="A1021" s="21"/>
      <c r="B1021" s="3" t="s">
        <v>17</v>
      </c>
      <c r="C1021" s="23" t="s">
        <v>19</v>
      </c>
      <c r="D1021" s="21"/>
    </row>
    <row r="1022" spans="1:4" ht="12.75" customHeight="1" x14ac:dyDescent="0.2">
      <c r="A1022" s="21"/>
      <c r="B1022" s="20" t="s">
        <v>18</v>
      </c>
      <c r="C1022" s="8" t="s">
        <v>44</v>
      </c>
      <c r="D1022" s="1" t="str">
        <f>HYPERLINK("javascript:void(0)","láncsisak")</f>
        <v>láncsisak</v>
      </c>
    </row>
    <row r="1023" spans="1:4" ht="12.75" customHeight="1" x14ac:dyDescent="0.2">
      <c r="A1023" s="21"/>
      <c r="B1023" s="21"/>
      <c r="C1023" s="8" t="s">
        <v>193</v>
      </c>
      <c r="D1023" s="1" t="str">
        <f>HYPERLINK("javascript:void(0)","ezüst")</f>
        <v>ezüst</v>
      </c>
    </row>
    <row r="1024" spans="1:4" ht="12.75" customHeight="1" x14ac:dyDescent="0.2">
      <c r="A1024" s="21"/>
      <c r="B1024" s="21"/>
      <c r="C1024" s="8" t="s">
        <v>57</v>
      </c>
      <c r="D1024" s="1" t="str">
        <f>HYPERLINK("javascript:void(0)","vakond bőr")</f>
        <v>vakond bőr</v>
      </c>
    </row>
    <row r="1025" spans="1:4" ht="12.75" customHeight="1" x14ac:dyDescent="0.2">
      <c r="A1025" s="21"/>
      <c r="B1025" s="2"/>
      <c r="C1025" s="7"/>
      <c r="D1025" s="7"/>
    </row>
    <row r="1026" spans="1:4" ht="12.75" customHeight="1" x14ac:dyDescent="0.2">
      <c r="A1026" s="21"/>
      <c r="B1026" s="2"/>
      <c r="C1026" s="7"/>
      <c r="D1026" s="7"/>
    </row>
    <row r="1027" spans="1:4" ht="12.75" customHeight="1" x14ac:dyDescent="0.2">
      <c r="A1027" s="21"/>
      <c r="B1027" s="2"/>
      <c r="C1027" s="7"/>
      <c r="D1027" s="7"/>
    </row>
    <row r="1028" spans="1:4" ht="12.75" customHeight="1" x14ac:dyDescent="0.2">
      <c r="A1028" s="21"/>
      <c r="B1028" s="2"/>
      <c r="C1028" s="7"/>
      <c r="D1028" s="7"/>
    </row>
    <row r="1029" spans="1:4" ht="12.75" customHeight="1" x14ac:dyDescent="0.2">
      <c r="A1029" s="5"/>
      <c r="B1029" s="2"/>
      <c r="C1029" s="7"/>
      <c r="D1029" s="7"/>
    </row>
    <row r="1030" spans="1:4" ht="12.75" customHeight="1" x14ac:dyDescent="0.2">
      <c r="A1030" s="22" t="str">
        <f>HYPERLINK("javascript:void(0)","törpe bakancs")</f>
        <v>törpe bakancs</v>
      </c>
      <c r="B1030" s="21"/>
      <c r="C1030" s="21"/>
      <c r="D1030" s="7"/>
    </row>
    <row r="1031" spans="1:4" ht="12.75" customHeight="1" x14ac:dyDescent="0.2">
      <c r="A1031" s="20"/>
      <c r="B1031" s="2"/>
      <c r="C1031" s="7"/>
      <c r="D1031" s="7"/>
    </row>
    <row r="1032" spans="1:4" ht="12.75" customHeight="1" x14ac:dyDescent="0.2">
      <c r="A1032" s="21"/>
      <c r="B1032" s="3" t="s">
        <v>0</v>
      </c>
      <c r="C1032" s="9" t="s">
        <v>74</v>
      </c>
      <c r="D1032" s="7"/>
    </row>
    <row r="1033" spans="1:4" ht="12.75" customHeight="1" x14ac:dyDescent="0.2">
      <c r="A1033" s="21"/>
      <c r="B1033" s="3" t="s">
        <v>2</v>
      </c>
      <c r="C1033" s="9"/>
      <c r="D1033" s="7"/>
    </row>
    <row r="1034" spans="1:4" ht="12.75" customHeight="1" x14ac:dyDescent="0.2">
      <c r="A1034" s="21"/>
      <c r="B1034" s="3" t="s">
        <v>1840</v>
      </c>
      <c r="C1034" s="9" t="s">
        <v>128</v>
      </c>
      <c r="D1034" s="7"/>
    </row>
    <row r="1035" spans="1:4" ht="12.75" customHeight="1" x14ac:dyDescent="0.2">
      <c r="A1035" s="21"/>
      <c r="B1035" s="3" t="s">
        <v>9</v>
      </c>
      <c r="C1035" s="9" t="s">
        <v>464</v>
      </c>
      <c r="D1035" s="7"/>
    </row>
    <row r="1036" spans="1:4" ht="12.75" customHeight="1" x14ac:dyDescent="0.2">
      <c r="A1036" s="21"/>
      <c r="B1036" s="3" t="s">
        <v>11</v>
      </c>
      <c r="C1036" s="9" t="s">
        <v>1886</v>
      </c>
      <c r="D1036" s="7"/>
    </row>
    <row r="1037" spans="1:4" ht="12.75" customHeight="1" x14ac:dyDescent="0.2">
      <c r="A1037" s="21"/>
      <c r="B1037" s="3" t="s">
        <v>16</v>
      </c>
      <c r="C1037" s="9"/>
      <c r="D1037" s="7"/>
    </row>
    <row r="1038" spans="1:4" ht="12.75" customHeight="1" x14ac:dyDescent="0.2">
      <c r="A1038" s="21"/>
      <c r="B1038" s="3" t="s">
        <v>17</v>
      </c>
      <c r="C1038" s="9" t="s">
        <v>19</v>
      </c>
      <c r="D1038" s="7"/>
    </row>
    <row r="1039" spans="1:4" ht="12.75" customHeight="1" x14ac:dyDescent="0.2">
      <c r="A1039" s="21"/>
      <c r="B1039" s="3" t="s">
        <v>18</v>
      </c>
      <c r="C1039" s="8" t="s">
        <v>19</v>
      </c>
      <c r="D1039" s="7"/>
    </row>
    <row r="1040" spans="1:4" ht="12.75" customHeight="1" x14ac:dyDescent="0.2">
      <c r="A1040" s="21"/>
      <c r="B1040" s="2"/>
      <c r="C1040" s="7"/>
      <c r="D1040" s="7"/>
    </row>
    <row r="1041" spans="1:4" ht="12.75" customHeight="1" x14ac:dyDescent="0.2">
      <c r="A1041" s="21"/>
      <c r="B1041" s="2"/>
      <c r="C1041" s="7"/>
      <c r="D1041" s="7"/>
    </row>
    <row r="1042" spans="1:4" ht="12.75" customHeight="1" x14ac:dyDescent="0.2">
      <c r="A1042" s="21"/>
      <c r="B1042" s="2"/>
      <c r="C1042" s="7"/>
      <c r="D1042" s="7"/>
    </row>
    <row r="1043" spans="1:4" ht="12.75" customHeight="1" x14ac:dyDescent="0.2">
      <c r="A1043" s="21"/>
      <c r="B1043" s="2"/>
      <c r="C1043" s="7"/>
      <c r="D1043" s="7"/>
    </row>
    <row r="1044" spans="1:4" ht="12.75" customHeight="1" x14ac:dyDescent="0.2">
      <c r="A1044" s="5"/>
      <c r="B1044" s="2"/>
      <c r="C1044" s="7"/>
      <c r="D1044" s="7"/>
    </row>
    <row r="1045" spans="1:4" ht="12.75" customHeight="1" x14ac:dyDescent="0.2">
      <c r="A1045" s="22" t="str">
        <f>HYPERLINK("javascript:void(0)","kis pillepajzs")</f>
        <v>kis pillepajzs</v>
      </c>
      <c r="B1045" s="21"/>
      <c r="C1045" s="21"/>
      <c r="D1045" s="21"/>
    </row>
    <row r="1046" spans="1:4" ht="12.75" customHeight="1" x14ac:dyDescent="0.2">
      <c r="A1046" s="20"/>
      <c r="B1046" s="2"/>
      <c r="C1046" s="7"/>
      <c r="D1046" s="7"/>
    </row>
    <row r="1047" spans="1:4" ht="12.75" customHeight="1" x14ac:dyDescent="0.2">
      <c r="A1047" s="21"/>
      <c r="B1047" s="3" t="s">
        <v>0</v>
      </c>
      <c r="C1047" s="23" t="s">
        <v>74</v>
      </c>
      <c r="D1047" s="21"/>
    </row>
    <row r="1048" spans="1:4" ht="12.75" customHeight="1" x14ac:dyDescent="0.2">
      <c r="A1048" s="21"/>
      <c r="B1048" s="3" t="s">
        <v>2</v>
      </c>
      <c r="C1048" s="23" t="s">
        <v>1839</v>
      </c>
      <c r="D1048" s="21"/>
    </row>
    <row r="1049" spans="1:4" ht="12.75" customHeight="1" x14ac:dyDescent="0.2">
      <c r="A1049" s="21"/>
      <c r="B1049" s="3" t="s">
        <v>1840</v>
      </c>
      <c r="C1049" s="23" t="s">
        <v>74</v>
      </c>
      <c r="D1049" s="21"/>
    </row>
    <row r="1050" spans="1:4" ht="12.75" customHeight="1" x14ac:dyDescent="0.2">
      <c r="A1050" s="21"/>
      <c r="B1050" s="3" t="s">
        <v>9</v>
      </c>
      <c r="C1050" s="23" t="s">
        <v>22</v>
      </c>
      <c r="D1050" s="21"/>
    </row>
    <row r="1051" spans="1:4" ht="12.75" customHeight="1" x14ac:dyDescent="0.2">
      <c r="A1051" s="21"/>
      <c r="B1051" s="3" t="s">
        <v>11</v>
      </c>
      <c r="C1051" s="23" t="s">
        <v>251</v>
      </c>
      <c r="D1051" s="21"/>
    </row>
    <row r="1052" spans="1:4" ht="12.75" customHeight="1" x14ac:dyDescent="0.2">
      <c r="A1052" s="21"/>
      <c r="B1052" s="3" t="s">
        <v>16</v>
      </c>
      <c r="C1052" s="23"/>
      <c r="D1052" s="21"/>
    </row>
    <row r="1053" spans="1:4" ht="12.75" customHeight="1" x14ac:dyDescent="0.2">
      <c r="A1053" s="21"/>
      <c r="B1053" s="3" t="s">
        <v>17</v>
      </c>
      <c r="C1053" s="23" t="s">
        <v>19</v>
      </c>
      <c r="D1053" s="21"/>
    </row>
    <row r="1054" spans="1:4" ht="12.75" customHeight="1" x14ac:dyDescent="0.2">
      <c r="A1054" s="21"/>
      <c r="B1054" s="20" t="s">
        <v>18</v>
      </c>
      <c r="C1054" s="8" t="s">
        <v>77</v>
      </c>
      <c r="D1054" s="1" t="str">
        <f>HYPERLINK("javascript:void(0)","lepkeszárny")</f>
        <v>lepkeszárny</v>
      </c>
    </row>
    <row r="1055" spans="1:4" ht="12.75" customHeight="1" x14ac:dyDescent="0.2">
      <c r="A1055" s="21"/>
      <c r="B1055" s="21"/>
      <c r="C1055" s="8" t="s">
        <v>44</v>
      </c>
      <c r="D1055" s="1" t="str">
        <f>HYPERLINK("javascript:void(0)","diszprózium")</f>
        <v>diszprózium</v>
      </c>
    </row>
    <row r="1056" spans="1:4" ht="12.75" customHeight="1" x14ac:dyDescent="0.2">
      <c r="A1056" s="21"/>
      <c r="B1056" s="21"/>
      <c r="C1056" s="8" t="s">
        <v>44</v>
      </c>
      <c r="D1056" s="1" t="str">
        <f>HYPERLINK("javascript:void(0)","vaspajzs")</f>
        <v>vaspajzs</v>
      </c>
    </row>
    <row r="1057" spans="1:4" ht="12.75" customHeight="1" x14ac:dyDescent="0.2">
      <c r="A1057" s="21"/>
      <c r="B1057" s="2"/>
      <c r="C1057" s="7"/>
      <c r="D1057" s="7"/>
    </row>
    <row r="1058" spans="1:4" ht="12.75" customHeight="1" x14ac:dyDescent="0.2">
      <c r="A1058" s="21"/>
      <c r="B1058" s="2"/>
      <c r="C1058" s="7"/>
      <c r="D1058" s="7"/>
    </row>
    <row r="1059" spans="1:4" ht="12.75" customHeight="1" x14ac:dyDescent="0.2">
      <c r="A1059" s="21"/>
      <c r="B1059" s="2"/>
      <c r="C1059" s="7"/>
      <c r="D1059" s="7"/>
    </row>
    <row r="1060" spans="1:4" ht="12.75" customHeight="1" x14ac:dyDescent="0.2">
      <c r="A1060" s="21"/>
      <c r="B1060" s="2"/>
      <c r="C1060" s="7"/>
      <c r="D1060" s="7"/>
    </row>
    <row r="1061" spans="1:4" ht="12.75" customHeight="1" x14ac:dyDescent="0.2">
      <c r="A1061" s="5"/>
      <c r="B1061" s="2"/>
      <c r="C1061" s="7"/>
      <c r="D1061" s="7"/>
    </row>
    <row r="1062" spans="1:4" ht="12.75" customHeight="1" x14ac:dyDescent="0.2">
      <c r="A1062" s="22" t="str">
        <f>HYPERLINK("javascript:void(0)","aranypajzs")</f>
        <v>aranypajzs</v>
      </c>
      <c r="B1062" s="21"/>
      <c r="C1062" s="21"/>
      <c r="D1062" s="21"/>
    </row>
    <row r="1063" spans="1:4" ht="12.75" customHeight="1" x14ac:dyDescent="0.2">
      <c r="A1063" s="20"/>
      <c r="B1063" s="2"/>
      <c r="C1063" s="7"/>
      <c r="D1063" s="7"/>
    </row>
    <row r="1064" spans="1:4" ht="12.75" customHeight="1" x14ac:dyDescent="0.2">
      <c r="A1064" s="21"/>
      <c r="B1064" s="3" t="s">
        <v>0</v>
      </c>
      <c r="C1064" s="23" t="s">
        <v>64</v>
      </c>
      <c r="D1064" s="21"/>
    </row>
    <row r="1065" spans="1:4" ht="12.75" customHeight="1" x14ac:dyDescent="0.2">
      <c r="A1065" s="21"/>
      <c r="B1065" s="3" t="s">
        <v>2</v>
      </c>
      <c r="C1065" s="23" t="s">
        <v>1839</v>
      </c>
      <c r="D1065" s="21"/>
    </row>
    <row r="1066" spans="1:4" ht="12.75" customHeight="1" x14ac:dyDescent="0.2">
      <c r="A1066" s="21"/>
      <c r="B1066" s="3" t="s">
        <v>1840</v>
      </c>
      <c r="C1066" s="23" t="s">
        <v>72</v>
      </c>
      <c r="D1066" s="21"/>
    </row>
    <row r="1067" spans="1:4" ht="12.75" customHeight="1" x14ac:dyDescent="0.2">
      <c r="A1067" s="21"/>
      <c r="B1067" s="3" t="s">
        <v>9</v>
      </c>
      <c r="C1067" s="23" t="s">
        <v>131</v>
      </c>
      <c r="D1067" s="21"/>
    </row>
    <row r="1068" spans="1:4" ht="12.75" customHeight="1" x14ac:dyDescent="0.2">
      <c r="A1068" s="21"/>
      <c r="B1068" s="3" t="s">
        <v>11</v>
      </c>
      <c r="C1068" s="23" t="s">
        <v>1900</v>
      </c>
      <c r="D1068" s="21"/>
    </row>
    <row r="1069" spans="1:4" ht="12.75" customHeight="1" x14ac:dyDescent="0.2">
      <c r="A1069" s="21"/>
      <c r="B1069" s="3" t="s">
        <v>16</v>
      </c>
      <c r="C1069" s="23"/>
      <c r="D1069" s="21"/>
    </row>
    <row r="1070" spans="1:4" ht="12.75" customHeight="1" x14ac:dyDescent="0.2">
      <c r="A1070" s="21"/>
      <c r="B1070" s="3" t="s">
        <v>17</v>
      </c>
      <c r="C1070" s="23" t="s">
        <v>19</v>
      </c>
      <c r="D1070" s="21"/>
    </row>
    <row r="1071" spans="1:4" ht="12.75" customHeight="1" x14ac:dyDescent="0.2">
      <c r="A1071" s="21"/>
      <c r="B1071" s="20" t="s">
        <v>18</v>
      </c>
      <c r="C1071" s="8" t="s">
        <v>44</v>
      </c>
      <c r="D1071" s="1" t="str">
        <f>HYPERLINK("javascript:void(0)","teknőspáncél")</f>
        <v>teknőspáncél</v>
      </c>
    </row>
    <row r="1072" spans="1:4" ht="12.75" customHeight="1" x14ac:dyDescent="0.2">
      <c r="A1072" s="21"/>
      <c r="B1072" s="21"/>
      <c r="C1072" s="8" t="s">
        <v>55</v>
      </c>
      <c r="D1072" s="1" t="str">
        <f>HYPERLINK("javascript:void(0)","arany")</f>
        <v>arany</v>
      </c>
    </row>
    <row r="1073" spans="1:4" ht="12.75" customHeight="1" x14ac:dyDescent="0.2">
      <c r="A1073" s="21"/>
      <c r="B1073" s="21"/>
      <c r="C1073" s="8" t="s">
        <v>57</v>
      </c>
      <c r="D1073" s="1" t="str">
        <f>HYPERLINK("javascript:void(0)","jáspis")</f>
        <v>jáspis</v>
      </c>
    </row>
    <row r="1074" spans="1:4" ht="12.75" customHeight="1" x14ac:dyDescent="0.2">
      <c r="A1074" s="21"/>
      <c r="B1074" s="2"/>
      <c r="C1074" s="7"/>
      <c r="D1074" s="7"/>
    </row>
    <row r="1075" spans="1:4" ht="12.75" customHeight="1" x14ac:dyDescent="0.2">
      <c r="A1075" s="21"/>
      <c r="B1075" s="2"/>
      <c r="C1075" s="7"/>
      <c r="D1075" s="7"/>
    </row>
    <row r="1076" spans="1:4" ht="12.75" customHeight="1" x14ac:dyDescent="0.2">
      <c r="A1076" s="21"/>
      <c r="B1076" s="2"/>
      <c r="C1076" s="7"/>
      <c r="D1076" s="7"/>
    </row>
    <row r="1077" spans="1:4" ht="12.75" customHeight="1" x14ac:dyDescent="0.2">
      <c r="A1077" s="21"/>
      <c r="B1077" s="2"/>
      <c r="C1077" s="7"/>
      <c r="D1077" s="7"/>
    </row>
    <row r="1078" spans="1:4" ht="12.75" customHeight="1" x14ac:dyDescent="0.2">
      <c r="A1078" s="5"/>
      <c r="B1078" s="2"/>
      <c r="C1078" s="7"/>
      <c r="D1078" s="7"/>
    </row>
    <row r="1079" spans="1:4" ht="12.75" customHeight="1" x14ac:dyDescent="0.2">
      <c r="A1079" s="22" t="str">
        <f>HYPERLINK("javascript:void(0)","parszi szögpajzs")</f>
        <v>parszi szögpajzs</v>
      </c>
      <c r="B1079" s="21"/>
      <c r="C1079" s="21"/>
      <c r="D1079" s="21"/>
    </row>
    <row r="1080" spans="1:4" ht="12.75" customHeight="1" x14ac:dyDescent="0.2">
      <c r="A1080" s="20"/>
      <c r="B1080" s="2"/>
      <c r="C1080" s="7"/>
      <c r="D1080" s="7"/>
    </row>
    <row r="1081" spans="1:4" ht="12.75" customHeight="1" x14ac:dyDescent="0.2">
      <c r="A1081" s="21"/>
      <c r="B1081" s="3" t="s">
        <v>0</v>
      </c>
      <c r="C1081" s="23" t="s">
        <v>64</v>
      </c>
      <c r="D1081" s="21"/>
    </row>
    <row r="1082" spans="1:4" ht="12.75" customHeight="1" x14ac:dyDescent="0.2">
      <c r="A1082" s="21"/>
      <c r="B1082" s="3" t="s">
        <v>2</v>
      </c>
      <c r="C1082" s="23" t="s">
        <v>1839</v>
      </c>
      <c r="D1082" s="21"/>
    </row>
    <row r="1083" spans="1:4" ht="12.75" customHeight="1" x14ac:dyDescent="0.2">
      <c r="A1083" s="21"/>
      <c r="B1083" s="3" t="s">
        <v>1840</v>
      </c>
      <c r="C1083" s="23" t="s">
        <v>82</v>
      </c>
      <c r="D1083" s="21"/>
    </row>
    <row r="1084" spans="1:4" ht="12.75" customHeight="1" x14ac:dyDescent="0.2">
      <c r="A1084" s="21"/>
      <c r="B1084" s="3" t="s">
        <v>9</v>
      </c>
      <c r="C1084" s="23" t="s">
        <v>49</v>
      </c>
      <c r="D1084" s="21"/>
    </row>
    <row r="1085" spans="1:4" ht="12.75" customHeight="1" x14ac:dyDescent="0.2">
      <c r="A1085" s="21"/>
      <c r="B1085" s="3" t="s">
        <v>11</v>
      </c>
      <c r="C1085" s="23" t="s">
        <v>254</v>
      </c>
      <c r="D1085" s="21"/>
    </row>
    <row r="1086" spans="1:4" ht="12.75" customHeight="1" x14ac:dyDescent="0.2">
      <c r="A1086" s="21"/>
      <c r="B1086" s="3" t="s">
        <v>16</v>
      </c>
      <c r="C1086" s="23"/>
      <c r="D1086" s="21"/>
    </row>
    <row r="1087" spans="1:4" ht="12.75" customHeight="1" x14ac:dyDescent="0.2">
      <c r="A1087" s="21"/>
      <c r="B1087" s="3" t="s">
        <v>17</v>
      </c>
      <c r="C1087" s="23" t="s">
        <v>19</v>
      </c>
      <c r="D1087" s="21"/>
    </row>
    <row r="1088" spans="1:4" ht="12.75" customHeight="1" x14ac:dyDescent="0.2">
      <c r="A1088" s="21"/>
      <c r="B1088" s="20" t="s">
        <v>18</v>
      </c>
      <c r="C1088" s="8" t="s">
        <v>44</v>
      </c>
      <c r="D1088" s="1" t="str">
        <f>HYPERLINK("javascript:void(0)","parszi kerek pajzs")</f>
        <v>parszi kerek pajzs</v>
      </c>
    </row>
    <row r="1089" spans="1:4" ht="12.75" customHeight="1" x14ac:dyDescent="0.2">
      <c r="A1089" s="21"/>
      <c r="B1089" s="21"/>
      <c r="C1089" s="8" t="s">
        <v>232</v>
      </c>
      <c r="D1089" s="1" t="str">
        <f>HYPERLINK("javascript:void(0)","vasérc")</f>
        <v>vasérc</v>
      </c>
    </row>
    <row r="1090" spans="1:4" ht="12.75" customHeight="1" x14ac:dyDescent="0.2">
      <c r="A1090" s="21"/>
      <c r="B1090" s="21"/>
      <c r="C1090" s="8" t="s">
        <v>56</v>
      </c>
      <c r="D1090" s="1" t="str">
        <f>HYPERLINK("javascript:void(0)","arany")</f>
        <v>arany</v>
      </c>
    </row>
    <row r="1091" spans="1:4" ht="12.75" customHeight="1" x14ac:dyDescent="0.2">
      <c r="A1091" s="21"/>
      <c r="B1091" s="2"/>
      <c r="C1091" s="7"/>
      <c r="D1091" s="7"/>
    </row>
    <row r="1092" spans="1:4" ht="12.75" customHeight="1" x14ac:dyDescent="0.2">
      <c r="A1092" s="21"/>
      <c r="B1092" s="2"/>
      <c r="C1092" s="7"/>
      <c r="D1092" s="7"/>
    </row>
    <row r="1093" spans="1:4" ht="12.75" customHeight="1" x14ac:dyDescent="0.2">
      <c r="A1093" s="21"/>
      <c r="B1093" s="2"/>
      <c r="C1093" s="7"/>
      <c r="D1093" s="7"/>
    </row>
    <row r="1094" spans="1:4" ht="12.75" customHeight="1" x14ac:dyDescent="0.2">
      <c r="A1094" s="21"/>
      <c r="B1094" s="2"/>
      <c r="C1094" s="7"/>
      <c r="D1094" s="7"/>
    </row>
    <row r="1095" spans="1:4" ht="12.75" customHeight="1" x14ac:dyDescent="0.2">
      <c r="A1095" s="5"/>
      <c r="B1095" s="2"/>
      <c r="C1095" s="7"/>
      <c r="D1095" s="7"/>
    </row>
    <row r="1096" spans="1:4" ht="12.75" customHeight="1" x14ac:dyDescent="0.2">
      <c r="A1096" s="22" t="str">
        <f>HYPERLINK("javascript:void(0)","hidegige")</f>
        <v>hidegige</v>
      </c>
      <c r="B1096" s="21"/>
      <c r="C1096" s="21"/>
      <c r="D1096" s="21"/>
    </row>
    <row r="1097" spans="1:4" ht="12.75" customHeight="1" x14ac:dyDescent="0.2">
      <c r="A1097" s="20"/>
      <c r="B1097" s="2"/>
      <c r="C1097" s="7"/>
      <c r="D1097" s="7"/>
    </row>
    <row r="1098" spans="1:4" ht="12.75" customHeight="1" x14ac:dyDescent="0.2">
      <c r="A1098" s="21"/>
      <c r="B1098" s="3" t="s">
        <v>0</v>
      </c>
      <c r="C1098" s="23" t="s">
        <v>64</v>
      </c>
      <c r="D1098" s="21"/>
    </row>
    <row r="1099" spans="1:4" ht="12.75" customHeight="1" x14ac:dyDescent="0.2">
      <c r="A1099" s="21"/>
      <c r="B1099" s="3" t="s">
        <v>2</v>
      </c>
      <c r="C1099" s="23" t="s">
        <v>1839</v>
      </c>
      <c r="D1099" s="21"/>
    </row>
    <row r="1100" spans="1:4" ht="12.75" customHeight="1" x14ac:dyDescent="0.2">
      <c r="A1100" s="21"/>
      <c r="B1100" s="3" t="s">
        <v>1840</v>
      </c>
      <c r="C1100" s="23" t="s">
        <v>21</v>
      </c>
      <c r="D1100" s="21"/>
    </row>
    <row r="1101" spans="1:4" ht="12.75" customHeight="1" x14ac:dyDescent="0.2">
      <c r="A1101" s="21"/>
      <c r="B1101" s="3" t="s">
        <v>9</v>
      </c>
      <c r="C1101" s="23" t="s">
        <v>79</v>
      </c>
      <c r="D1101" s="21"/>
    </row>
    <row r="1102" spans="1:4" ht="12.75" customHeight="1" x14ac:dyDescent="0.2">
      <c r="A1102" s="21"/>
      <c r="B1102" s="3" t="s">
        <v>11</v>
      </c>
      <c r="C1102" s="23" t="s">
        <v>89</v>
      </c>
      <c r="D1102" s="21"/>
    </row>
    <row r="1103" spans="1:4" ht="12.75" customHeight="1" x14ac:dyDescent="0.2">
      <c r="A1103" s="21"/>
      <c r="B1103" s="3" t="s">
        <v>16</v>
      </c>
      <c r="C1103" s="23"/>
      <c r="D1103" s="21"/>
    </row>
    <row r="1104" spans="1:4" ht="12.75" customHeight="1" x14ac:dyDescent="0.2">
      <c r="A1104" s="21"/>
      <c r="B1104" s="3" t="s">
        <v>17</v>
      </c>
      <c r="C1104" s="23" t="s">
        <v>19</v>
      </c>
      <c r="D1104" s="21"/>
    </row>
    <row r="1105" spans="1:4" ht="12.75" customHeight="1" x14ac:dyDescent="0.2">
      <c r="A1105" s="21"/>
      <c r="B1105" s="20" t="s">
        <v>18</v>
      </c>
      <c r="C1105" s="8" t="s">
        <v>44</v>
      </c>
      <c r="D1105" s="1" t="str">
        <f>HYPERLINK("javascript:void(0)","légige")</f>
        <v>légige</v>
      </c>
    </row>
    <row r="1106" spans="1:4" ht="12.75" customHeight="1" x14ac:dyDescent="0.2">
      <c r="A1106" s="21"/>
      <c r="B1106" s="21"/>
      <c r="C1106" s="8" t="s">
        <v>44</v>
      </c>
      <c r="D1106" s="1" t="str">
        <f>HYPERLINK("javascript:void(0)","vízige")</f>
        <v>vízige</v>
      </c>
    </row>
    <row r="1107" spans="1:4" ht="12.75" customHeight="1" x14ac:dyDescent="0.2">
      <c r="A1107" s="21"/>
      <c r="B1107" s="21"/>
      <c r="C1107" s="8" t="s">
        <v>232</v>
      </c>
      <c r="D1107" s="1" t="str">
        <f>HYPERLINK("javascript:void(0)","elementál eszencia")</f>
        <v>elementál eszencia</v>
      </c>
    </row>
    <row r="1108" spans="1:4" ht="12.75" customHeight="1" x14ac:dyDescent="0.2">
      <c r="A1108" s="21"/>
      <c r="B1108" s="2"/>
      <c r="C1108" s="7"/>
      <c r="D1108" s="7"/>
    </row>
    <row r="1109" spans="1:4" ht="12.75" customHeight="1" x14ac:dyDescent="0.2">
      <c r="A1109" s="21"/>
      <c r="B1109" s="2"/>
      <c r="C1109" s="7"/>
      <c r="D1109" s="7"/>
    </row>
    <row r="1110" spans="1:4" ht="12.75" customHeight="1" x14ac:dyDescent="0.2">
      <c r="A1110" s="21"/>
      <c r="B1110" s="2"/>
      <c r="C1110" s="7"/>
      <c r="D1110" s="7"/>
    </row>
    <row r="1111" spans="1:4" ht="12.75" customHeight="1" x14ac:dyDescent="0.2">
      <c r="A1111" s="21"/>
      <c r="B1111" s="2"/>
      <c r="C1111" s="7"/>
      <c r="D1111" s="7"/>
    </row>
    <row r="1112" spans="1:4" ht="12.75" customHeight="1" x14ac:dyDescent="0.2">
      <c r="A1112" s="5"/>
      <c r="B1112" s="2"/>
      <c r="C1112" s="7"/>
      <c r="D1112" s="7"/>
    </row>
    <row r="1113" spans="1:4" ht="12.75" customHeight="1" x14ac:dyDescent="0.2">
      <c r="A1113" s="22" t="str">
        <f>HYPERLINK("javascript:void(0)","melegige")</f>
        <v>melegige</v>
      </c>
      <c r="B1113" s="21"/>
      <c r="C1113" s="21"/>
      <c r="D1113" s="21"/>
    </row>
    <row r="1114" spans="1:4" ht="12.75" customHeight="1" x14ac:dyDescent="0.2">
      <c r="A1114" s="20"/>
      <c r="B1114" s="2"/>
      <c r="C1114" s="7"/>
      <c r="D1114" s="7"/>
    </row>
    <row r="1115" spans="1:4" ht="12.75" customHeight="1" x14ac:dyDescent="0.2">
      <c r="A1115" s="21"/>
      <c r="B1115" s="3" t="s">
        <v>0</v>
      </c>
      <c r="C1115" s="23" t="s">
        <v>64</v>
      </c>
      <c r="D1115" s="21"/>
    </row>
    <row r="1116" spans="1:4" ht="12.75" customHeight="1" x14ac:dyDescent="0.2">
      <c r="A1116" s="21"/>
      <c r="B1116" s="3" t="s">
        <v>2</v>
      </c>
      <c r="C1116" s="23" t="s">
        <v>1839</v>
      </c>
      <c r="D1116" s="21"/>
    </row>
    <row r="1117" spans="1:4" ht="12.75" customHeight="1" x14ac:dyDescent="0.2">
      <c r="A1117" s="21"/>
      <c r="B1117" s="3" t="s">
        <v>1840</v>
      </c>
      <c r="C1117" s="23" t="s">
        <v>21</v>
      </c>
      <c r="D1117" s="21"/>
    </row>
    <row r="1118" spans="1:4" ht="12.75" customHeight="1" x14ac:dyDescent="0.2">
      <c r="A1118" s="21"/>
      <c r="B1118" s="3" t="s">
        <v>9</v>
      </c>
      <c r="C1118" s="23" t="s">
        <v>1907</v>
      </c>
      <c r="D1118" s="21"/>
    </row>
    <row r="1119" spans="1:4" ht="12.75" customHeight="1" x14ac:dyDescent="0.2">
      <c r="A1119" s="21"/>
      <c r="B1119" s="3" t="s">
        <v>11</v>
      </c>
      <c r="C1119" s="23" t="s">
        <v>89</v>
      </c>
      <c r="D1119" s="21"/>
    </row>
    <row r="1120" spans="1:4" ht="12.75" customHeight="1" x14ac:dyDescent="0.2">
      <c r="A1120" s="21"/>
      <c r="B1120" s="3" t="s">
        <v>16</v>
      </c>
      <c r="C1120" s="23"/>
      <c r="D1120" s="21"/>
    </row>
    <row r="1121" spans="1:4" ht="12.75" customHeight="1" x14ac:dyDescent="0.2">
      <c r="A1121" s="21"/>
      <c r="B1121" s="3" t="s">
        <v>17</v>
      </c>
      <c r="C1121" s="23" t="s">
        <v>19</v>
      </c>
      <c r="D1121" s="21"/>
    </row>
    <row r="1122" spans="1:4" ht="12.75" customHeight="1" x14ac:dyDescent="0.2">
      <c r="A1122" s="21"/>
      <c r="B1122" s="20" t="s">
        <v>18</v>
      </c>
      <c r="C1122" s="8" t="s">
        <v>44</v>
      </c>
      <c r="D1122" s="1" t="str">
        <f>HYPERLINK("javascript:void(0)","tűzige")</f>
        <v>tűzige</v>
      </c>
    </row>
    <row r="1123" spans="1:4" ht="12.75" customHeight="1" x14ac:dyDescent="0.2">
      <c r="A1123" s="21"/>
      <c r="B1123" s="21"/>
      <c r="C1123" s="8" t="s">
        <v>44</v>
      </c>
      <c r="D1123" s="1" t="str">
        <f>HYPERLINK("javascript:void(0)","földige")</f>
        <v>földige</v>
      </c>
    </row>
    <row r="1124" spans="1:4" ht="12.75" customHeight="1" x14ac:dyDescent="0.2">
      <c r="A1124" s="21"/>
      <c r="B1124" s="21"/>
      <c r="C1124" s="8" t="s">
        <v>232</v>
      </c>
      <c r="D1124" s="1" t="str">
        <f>HYPERLINK("javascript:void(0)","elementál eszencia")</f>
        <v>elementál eszencia</v>
      </c>
    </row>
    <row r="1125" spans="1:4" ht="12.75" customHeight="1" x14ac:dyDescent="0.2">
      <c r="A1125" s="21"/>
      <c r="B1125" s="2"/>
      <c r="C1125" s="7"/>
      <c r="D1125" s="7"/>
    </row>
    <row r="1126" spans="1:4" ht="12.75" customHeight="1" x14ac:dyDescent="0.2">
      <c r="A1126" s="21"/>
      <c r="B1126" s="2"/>
      <c r="C1126" s="7"/>
      <c r="D1126" s="7"/>
    </row>
    <row r="1127" spans="1:4" ht="12.75" customHeight="1" x14ac:dyDescent="0.2">
      <c r="A1127" s="21"/>
      <c r="B1127" s="2"/>
      <c r="C1127" s="7"/>
      <c r="D1127" s="7"/>
    </row>
    <row r="1128" spans="1:4" ht="12.75" customHeight="1" x14ac:dyDescent="0.2">
      <c r="A1128" s="21"/>
      <c r="B1128" s="2"/>
      <c r="C1128" s="7"/>
      <c r="D1128" s="7"/>
    </row>
    <row r="1129" spans="1:4" ht="12.75" customHeight="1" x14ac:dyDescent="0.2">
      <c r="A1129" s="5"/>
      <c r="B1129" s="2"/>
      <c r="C1129" s="7"/>
      <c r="D1129" s="7"/>
    </row>
    <row r="1130" spans="1:4" ht="12.75" customHeight="1" x14ac:dyDescent="0.2">
      <c r="A1130" s="22" t="str">
        <f>HYPERLINK("javascript:void(0)","ezüst láncing")</f>
        <v>ezüst láncing</v>
      </c>
      <c r="B1130" s="21"/>
      <c r="C1130" s="21"/>
      <c r="D1130" s="21"/>
    </row>
    <row r="1131" spans="1:4" ht="12.75" customHeight="1" x14ac:dyDescent="0.2">
      <c r="A1131" s="20"/>
      <c r="B1131" s="2"/>
      <c r="C1131" s="7"/>
      <c r="D1131" s="7"/>
    </row>
    <row r="1132" spans="1:4" ht="12.75" customHeight="1" x14ac:dyDescent="0.2">
      <c r="A1132" s="21"/>
      <c r="B1132" s="3" t="s">
        <v>0</v>
      </c>
      <c r="C1132" s="23" t="s">
        <v>72</v>
      </c>
      <c r="D1132" s="21"/>
    </row>
    <row r="1133" spans="1:4" ht="12.75" customHeight="1" x14ac:dyDescent="0.2">
      <c r="A1133" s="21"/>
      <c r="B1133" s="3" t="s">
        <v>2</v>
      </c>
      <c r="C1133" s="23" t="s">
        <v>2322</v>
      </c>
      <c r="D1133" s="21"/>
    </row>
    <row r="1134" spans="1:4" ht="12.75" customHeight="1" x14ac:dyDescent="0.2">
      <c r="A1134" s="21"/>
      <c r="B1134" s="3" t="s">
        <v>1840</v>
      </c>
      <c r="C1134" s="23" t="s">
        <v>72</v>
      </c>
      <c r="D1134" s="21"/>
    </row>
    <row r="1135" spans="1:4" ht="12.75" customHeight="1" x14ac:dyDescent="0.2">
      <c r="A1135" s="21"/>
      <c r="B1135" s="3" t="s">
        <v>9</v>
      </c>
      <c r="C1135" s="23" t="s">
        <v>124</v>
      </c>
      <c r="D1135" s="21"/>
    </row>
    <row r="1136" spans="1:4" ht="12.75" customHeight="1" x14ac:dyDescent="0.2">
      <c r="A1136" s="21"/>
      <c r="B1136" s="3" t="s">
        <v>11</v>
      </c>
      <c r="C1136" s="23" t="s">
        <v>254</v>
      </c>
      <c r="D1136" s="21"/>
    </row>
    <row r="1137" spans="1:4" ht="12.75" customHeight="1" x14ac:dyDescent="0.2">
      <c r="A1137" s="21"/>
      <c r="B1137" s="3" t="s">
        <v>16</v>
      </c>
      <c r="C1137" s="23"/>
      <c r="D1137" s="21"/>
    </row>
    <row r="1138" spans="1:4" ht="12.75" customHeight="1" x14ac:dyDescent="0.2">
      <c r="A1138" s="21"/>
      <c r="B1138" s="3" t="s">
        <v>17</v>
      </c>
      <c r="C1138" s="23" t="s">
        <v>19</v>
      </c>
      <c r="D1138" s="21"/>
    </row>
    <row r="1139" spans="1:4" ht="12.75" customHeight="1" x14ac:dyDescent="0.2">
      <c r="A1139" s="21"/>
      <c r="B1139" s="20" t="s">
        <v>18</v>
      </c>
      <c r="C1139" s="8" t="s">
        <v>44</v>
      </c>
      <c r="D1139" s="1" t="str">
        <f>HYPERLINK("javascript:void(0)","láncing")</f>
        <v>láncing</v>
      </c>
    </row>
    <row r="1140" spans="1:4" ht="12.75" customHeight="1" x14ac:dyDescent="0.2">
      <c r="A1140" s="21"/>
      <c r="B1140" s="21"/>
      <c r="C1140" s="8" t="s">
        <v>193</v>
      </c>
      <c r="D1140" s="1" t="str">
        <f>HYPERLINK("javascript:void(0)","ezüst")</f>
        <v>ezüst</v>
      </c>
    </row>
    <row r="1141" spans="1:4" ht="12.75" customHeight="1" x14ac:dyDescent="0.2">
      <c r="A1141" s="21"/>
      <c r="B1141" s="21"/>
      <c r="C1141" s="8" t="s">
        <v>44</v>
      </c>
      <c r="D1141" s="1" t="str">
        <f>HYPERLINK("javascript:void(0)","arany")</f>
        <v>arany</v>
      </c>
    </row>
    <row r="1142" spans="1:4" ht="12.75" customHeight="1" x14ac:dyDescent="0.2">
      <c r="A1142" s="21"/>
      <c r="B1142" s="2"/>
      <c r="C1142" s="7"/>
      <c r="D1142" s="7"/>
    </row>
    <row r="1143" spans="1:4" ht="12.75" customHeight="1" x14ac:dyDescent="0.2">
      <c r="A1143" s="21"/>
      <c r="B1143" s="2"/>
      <c r="C1143" s="7"/>
      <c r="D1143" s="7"/>
    </row>
    <row r="1144" spans="1:4" ht="12.75" customHeight="1" x14ac:dyDescent="0.2">
      <c r="A1144" s="21"/>
      <c r="B1144" s="2"/>
      <c r="C1144" s="7"/>
      <c r="D1144" s="7"/>
    </row>
    <row r="1145" spans="1:4" ht="12.75" customHeight="1" x14ac:dyDescent="0.2">
      <c r="A1145" s="21"/>
      <c r="B1145" s="2"/>
      <c r="C1145" s="7"/>
      <c r="D1145" s="7"/>
    </row>
    <row r="1146" spans="1:4" ht="12.75" customHeight="1" x14ac:dyDescent="0.2">
      <c r="A1146" s="5"/>
      <c r="B1146" s="2"/>
      <c r="C1146" s="7"/>
      <c r="D1146" s="7"/>
    </row>
    <row r="1147" spans="1:4" ht="12.75" customHeight="1" x14ac:dyDescent="0.2">
      <c r="A1147" s="22" t="str">
        <f>HYPERLINK("javascript:void(0)","manakorona")</f>
        <v>manakorona</v>
      </c>
      <c r="B1147" s="21"/>
      <c r="C1147" s="21"/>
      <c r="D1147" s="7"/>
    </row>
    <row r="1148" spans="1:4" ht="12.75" customHeight="1" x14ac:dyDescent="0.2">
      <c r="A1148" s="20"/>
      <c r="B1148" s="2"/>
      <c r="C1148" s="7"/>
      <c r="D1148" s="7"/>
    </row>
    <row r="1149" spans="1:4" ht="12.75" customHeight="1" x14ac:dyDescent="0.2">
      <c r="A1149" s="21"/>
      <c r="B1149" s="3" t="s">
        <v>0</v>
      </c>
      <c r="C1149" s="9" t="s">
        <v>72</v>
      </c>
      <c r="D1149" s="7"/>
    </row>
    <row r="1150" spans="1:4" ht="12.75" customHeight="1" x14ac:dyDescent="0.2">
      <c r="A1150" s="21"/>
      <c r="B1150" s="3" t="s">
        <v>2</v>
      </c>
      <c r="C1150" s="9"/>
      <c r="D1150" s="7"/>
    </row>
    <row r="1151" spans="1:4" ht="12.75" customHeight="1" x14ac:dyDescent="0.2">
      <c r="A1151" s="21"/>
      <c r="B1151" s="3" t="s">
        <v>1840</v>
      </c>
      <c r="C1151" s="9" t="s">
        <v>123</v>
      </c>
      <c r="D1151" s="7"/>
    </row>
    <row r="1152" spans="1:4" ht="12.75" customHeight="1" x14ac:dyDescent="0.2">
      <c r="A1152" s="21"/>
      <c r="B1152" s="3" t="s">
        <v>9</v>
      </c>
      <c r="C1152" s="9" t="s">
        <v>75</v>
      </c>
      <c r="D1152" s="7"/>
    </row>
    <row r="1153" spans="1:4" ht="25.5" customHeight="1" x14ac:dyDescent="0.2">
      <c r="A1153" s="21"/>
      <c r="B1153" s="3" t="s">
        <v>11</v>
      </c>
      <c r="C1153" s="9" t="s">
        <v>689</v>
      </c>
      <c r="D1153" s="7"/>
    </row>
    <row r="1154" spans="1:4" ht="12.75" customHeight="1" x14ac:dyDescent="0.2">
      <c r="A1154" s="21"/>
      <c r="B1154" s="3" t="s">
        <v>16</v>
      </c>
      <c r="C1154" s="9"/>
      <c r="D1154" s="7"/>
    </row>
    <row r="1155" spans="1:4" ht="12.75" customHeight="1" x14ac:dyDescent="0.2">
      <c r="A1155" s="21"/>
      <c r="B1155" s="3" t="s">
        <v>17</v>
      </c>
      <c r="C1155" s="9" t="s">
        <v>19</v>
      </c>
      <c r="D1155" s="7"/>
    </row>
    <row r="1156" spans="1:4" ht="12.75" customHeight="1" x14ac:dyDescent="0.2">
      <c r="A1156" s="21"/>
      <c r="B1156" s="3" t="s">
        <v>18</v>
      </c>
      <c r="C1156" s="8" t="s">
        <v>19</v>
      </c>
      <c r="D1156" s="7"/>
    </row>
    <row r="1157" spans="1:4" ht="12.75" customHeight="1" x14ac:dyDescent="0.2">
      <c r="A1157" s="21"/>
      <c r="B1157" s="2"/>
      <c r="C1157" s="7"/>
      <c r="D1157" s="7"/>
    </row>
    <row r="1158" spans="1:4" ht="12.75" customHeight="1" x14ac:dyDescent="0.2">
      <c r="A1158" s="21"/>
      <c r="B1158" s="2"/>
      <c r="C1158" s="7"/>
      <c r="D1158" s="7"/>
    </row>
    <row r="1159" spans="1:4" ht="12.75" customHeight="1" x14ac:dyDescent="0.2">
      <c r="A1159" s="21"/>
      <c r="B1159" s="2"/>
      <c r="C1159" s="7"/>
      <c r="D1159" s="7"/>
    </row>
    <row r="1160" spans="1:4" ht="12.75" customHeight="1" x14ac:dyDescent="0.2">
      <c r="A1160" s="21"/>
      <c r="B1160" s="2"/>
      <c r="C1160" s="7"/>
      <c r="D1160" s="7"/>
    </row>
    <row r="1161" spans="1:4" ht="12.75" customHeight="1" x14ac:dyDescent="0.2">
      <c r="A1161" s="5"/>
      <c r="B1161" s="2"/>
      <c r="C1161" s="7"/>
      <c r="D1161" s="7"/>
    </row>
    <row r="1162" spans="1:4" ht="12.75" customHeight="1" x14ac:dyDescent="0.2">
      <c r="A1162" s="22" t="str">
        <f>HYPERLINK("javascript:void(0)","ezüst testpajzs")</f>
        <v>ezüst testpajzs</v>
      </c>
      <c r="B1162" s="21"/>
      <c r="C1162" s="21"/>
      <c r="D1162" s="21"/>
    </row>
    <row r="1163" spans="1:4" ht="12.75" customHeight="1" x14ac:dyDescent="0.2">
      <c r="A1163" s="20"/>
      <c r="B1163" s="2"/>
      <c r="C1163" s="7"/>
      <c r="D1163" s="7"/>
    </row>
    <row r="1164" spans="1:4" ht="12.75" customHeight="1" x14ac:dyDescent="0.2">
      <c r="A1164" s="21"/>
      <c r="B1164" s="3" t="s">
        <v>0</v>
      </c>
      <c r="C1164" s="23" t="s">
        <v>72</v>
      </c>
      <c r="D1164" s="21"/>
    </row>
    <row r="1165" spans="1:4" ht="12.75" customHeight="1" x14ac:dyDescent="0.2">
      <c r="A1165" s="21"/>
      <c r="B1165" s="3" t="s">
        <v>2</v>
      </c>
      <c r="C1165" s="23" t="s">
        <v>1839</v>
      </c>
      <c r="D1165" s="21"/>
    </row>
    <row r="1166" spans="1:4" ht="12.75" customHeight="1" x14ac:dyDescent="0.2">
      <c r="A1166" s="21"/>
      <c r="B1166" s="3" t="s">
        <v>1840</v>
      </c>
      <c r="C1166" s="23" t="s">
        <v>82</v>
      </c>
      <c r="D1166" s="21"/>
    </row>
    <row r="1167" spans="1:4" ht="12.75" customHeight="1" x14ac:dyDescent="0.2">
      <c r="A1167" s="21"/>
      <c r="B1167" s="3" t="s">
        <v>9</v>
      </c>
      <c r="C1167" s="23" t="s">
        <v>249</v>
      </c>
      <c r="D1167" s="21"/>
    </row>
    <row r="1168" spans="1:4" ht="12.75" customHeight="1" x14ac:dyDescent="0.2">
      <c r="A1168" s="21"/>
      <c r="B1168" s="3" t="s">
        <v>11</v>
      </c>
      <c r="C1168" s="23" t="s">
        <v>695</v>
      </c>
      <c r="D1168" s="21"/>
    </row>
    <row r="1169" spans="1:4" ht="12.75" customHeight="1" x14ac:dyDescent="0.2">
      <c r="A1169" s="21"/>
      <c r="B1169" s="3" t="s">
        <v>16</v>
      </c>
      <c r="C1169" s="23"/>
      <c r="D1169" s="21"/>
    </row>
    <row r="1170" spans="1:4" ht="12.75" customHeight="1" x14ac:dyDescent="0.2">
      <c r="A1170" s="21"/>
      <c r="B1170" s="3" t="s">
        <v>17</v>
      </c>
      <c r="C1170" s="23" t="s">
        <v>19</v>
      </c>
      <c r="D1170" s="21"/>
    </row>
    <row r="1171" spans="1:4" ht="12.75" customHeight="1" x14ac:dyDescent="0.2">
      <c r="A1171" s="21"/>
      <c r="B1171" s="20" t="s">
        <v>18</v>
      </c>
      <c r="C1171" s="8" t="s">
        <v>44</v>
      </c>
      <c r="D1171" s="1" t="str">
        <f>HYPERLINK("javascript:void(0)","acél testpajzs")</f>
        <v>acél testpajzs</v>
      </c>
    </row>
    <row r="1172" spans="1:4" ht="12.75" customHeight="1" x14ac:dyDescent="0.2">
      <c r="A1172" s="21"/>
      <c r="B1172" s="21"/>
      <c r="C1172" s="8" t="s">
        <v>109</v>
      </c>
      <c r="D1172" s="1" t="str">
        <f>HYPERLINK("javascript:void(0)","ezüst")</f>
        <v>ezüst</v>
      </c>
    </row>
    <row r="1173" spans="1:4" ht="12.75" customHeight="1" x14ac:dyDescent="0.2">
      <c r="A1173" s="21"/>
      <c r="B1173" s="21"/>
      <c r="C1173" s="8" t="s">
        <v>55</v>
      </c>
      <c r="D1173" s="1" t="str">
        <f>HYPERLINK("javascript:void(0)","arany")</f>
        <v>arany</v>
      </c>
    </row>
    <row r="1174" spans="1:4" ht="12.75" customHeight="1" x14ac:dyDescent="0.2">
      <c r="A1174" s="21"/>
      <c r="B1174" s="2"/>
      <c r="C1174" s="7"/>
      <c r="D1174" s="7"/>
    </row>
    <row r="1175" spans="1:4" ht="12.75" customHeight="1" x14ac:dyDescent="0.2">
      <c r="A1175" s="21"/>
      <c r="B1175" s="2"/>
      <c r="C1175" s="7"/>
      <c r="D1175" s="7"/>
    </row>
    <row r="1176" spans="1:4" ht="12.75" customHeight="1" x14ac:dyDescent="0.2">
      <c r="A1176" s="21"/>
      <c r="B1176" s="2"/>
      <c r="C1176" s="7"/>
      <c r="D1176" s="7"/>
    </row>
    <row r="1177" spans="1:4" ht="12.75" customHeight="1" x14ac:dyDescent="0.2">
      <c r="A1177" s="21"/>
      <c r="B1177" s="2"/>
      <c r="C1177" s="7"/>
      <c r="D1177" s="7"/>
    </row>
    <row r="1178" spans="1:4" ht="12.75" customHeight="1" x14ac:dyDescent="0.2">
      <c r="A1178" s="5"/>
      <c r="B1178" s="2"/>
      <c r="C1178" s="7"/>
      <c r="D1178" s="7"/>
    </row>
    <row r="1179" spans="1:4" ht="12.75" customHeight="1" x14ac:dyDescent="0.2">
      <c r="A1179" s="22" t="str">
        <f>HYPERLINK("javascript:void(0)","arany sisak")</f>
        <v>arany sisak</v>
      </c>
      <c r="B1179" s="21"/>
      <c r="C1179" s="21"/>
      <c r="D1179" s="21"/>
    </row>
    <row r="1180" spans="1:4" ht="12.75" customHeight="1" x14ac:dyDescent="0.2">
      <c r="A1180" s="20"/>
      <c r="B1180" s="2"/>
      <c r="C1180" s="7"/>
      <c r="D1180" s="7"/>
    </row>
    <row r="1181" spans="1:4" ht="12.75" customHeight="1" x14ac:dyDescent="0.2">
      <c r="A1181" s="21"/>
      <c r="B1181" s="3" t="s">
        <v>0</v>
      </c>
      <c r="C1181" s="23" t="s">
        <v>82</v>
      </c>
      <c r="D1181" s="21"/>
    </row>
    <row r="1182" spans="1:4" ht="12.75" customHeight="1" x14ac:dyDescent="0.2">
      <c r="A1182" s="21"/>
      <c r="B1182" s="3" t="s">
        <v>2</v>
      </c>
      <c r="C1182" s="23"/>
      <c r="D1182" s="21"/>
    </row>
    <row r="1183" spans="1:4" ht="12.75" customHeight="1" x14ac:dyDescent="0.2">
      <c r="A1183" s="21"/>
      <c r="B1183" s="3" t="s">
        <v>1840</v>
      </c>
      <c r="C1183" s="23" t="s">
        <v>33</v>
      </c>
      <c r="D1183" s="21"/>
    </row>
    <row r="1184" spans="1:4" ht="12.75" customHeight="1" x14ac:dyDescent="0.2">
      <c r="A1184" s="21"/>
      <c r="B1184" s="3" t="s">
        <v>9</v>
      </c>
      <c r="C1184" s="23" t="s">
        <v>415</v>
      </c>
      <c r="D1184" s="21"/>
    </row>
    <row r="1185" spans="1:4" ht="12.75" customHeight="1" x14ac:dyDescent="0.2">
      <c r="A1185" s="21"/>
      <c r="B1185" s="3" t="s">
        <v>11</v>
      </c>
      <c r="C1185" s="23" t="s">
        <v>1646</v>
      </c>
      <c r="D1185" s="21"/>
    </row>
    <row r="1186" spans="1:4" ht="12.75" customHeight="1" x14ac:dyDescent="0.2">
      <c r="A1186" s="21"/>
      <c r="B1186" s="3" t="s">
        <v>16</v>
      </c>
      <c r="C1186" s="23"/>
      <c r="D1186" s="21"/>
    </row>
    <row r="1187" spans="1:4" ht="12.75" customHeight="1" x14ac:dyDescent="0.2">
      <c r="A1187" s="21"/>
      <c r="B1187" s="3" t="s">
        <v>17</v>
      </c>
      <c r="C1187" s="23" t="s">
        <v>19</v>
      </c>
      <c r="D1187" s="21"/>
    </row>
    <row r="1188" spans="1:4" ht="12.75" customHeight="1" x14ac:dyDescent="0.2">
      <c r="A1188" s="21"/>
      <c r="B1188" s="20" t="s">
        <v>18</v>
      </c>
      <c r="C1188" s="8" t="s">
        <v>56</v>
      </c>
      <c r="D1188" s="1" t="str">
        <f>HYPERLINK("javascript:void(0)","vakond bőr")</f>
        <v>vakond bőr</v>
      </c>
    </row>
    <row r="1189" spans="1:4" ht="12.75" customHeight="1" x14ac:dyDescent="0.2">
      <c r="A1189" s="21"/>
      <c r="B1189" s="21"/>
      <c r="C1189" s="8" t="s">
        <v>57</v>
      </c>
      <c r="D1189" s="1" t="str">
        <f>HYPERLINK("javascript:void(0)","arany")</f>
        <v>arany</v>
      </c>
    </row>
    <row r="1190" spans="1:4" ht="12.75" customHeight="1" x14ac:dyDescent="0.2">
      <c r="A1190" s="21"/>
      <c r="B1190" s="21"/>
      <c r="C1190" s="8" t="s">
        <v>44</v>
      </c>
      <c r="D1190" s="1" t="str">
        <f>HYPERLINK("javascript:void(0)","rézsisak")</f>
        <v>rézsisak</v>
      </c>
    </row>
    <row r="1191" spans="1:4" ht="12.75" customHeight="1" x14ac:dyDescent="0.2">
      <c r="A1191" s="21"/>
      <c r="B1191" s="2"/>
      <c r="C1191" s="7"/>
      <c r="D1191" s="7"/>
    </row>
    <row r="1192" spans="1:4" ht="12.75" customHeight="1" x14ac:dyDescent="0.2">
      <c r="A1192" s="21"/>
      <c r="B1192" s="2"/>
      <c r="C1192" s="7"/>
      <c r="D1192" s="7"/>
    </row>
    <row r="1193" spans="1:4" ht="12.75" customHeight="1" x14ac:dyDescent="0.2">
      <c r="A1193" s="21"/>
      <c r="B1193" s="2"/>
      <c r="C1193" s="7"/>
      <c r="D1193" s="7"/>
    </row>
    <row r="1194" spans="1:4" ht="12.75" customHeight="1" x14ac:dyDescent="0.2">
      <c r="A1194" s="21"/>
      <c r="B1194" s="2"/>
      <c r="C1194" s="7"/>
      <c r="D1194" s="7"/>
    </row>
    <row r="1195" spans="1:4" ht="12.75" customHeight="1" x14ac:dyDescent="0.2">
      <c r="A1195" s="5"/>
      <c r="B1195" s="2"/>
      <c r="C1195" s="7"/>
      <c r="D1195" s="7"/>
    </row>
    <row r="1196" spans="1:4" ht="12.75" customHeight="1" x14ac:dyDescent="0.2">
      <c r="A1196" s="22" t="str">
        <f>HYPERLINK("javascript:void(0)","kis manópajzs")</f>
        <v>kis manópajzs</v>
      </c>
      <c r="B1196" s="21"/>
      <c r="C1196" s="21"/>
      <c r="D1196" s="21"/>
    </row>
    <row r="1197" spans="1:4" ht="12.75" customHeight="1" x14ac:dyDescent="0.2">
      <c r="A1197" s="20"/>
      <c r="B1197" s="2"/>
      <c r="C1197" s="7"/>
      <c r="D1197" s="7"/>
    </row>
    <row r="1198" spans="1:4" ht="12.75" customHeight="1" x14ac:dyDescent="0.2">
      <c r="A1198" s="21"/>
      <c r="B1198" s="3" t="s">
        <v>0</v>
      </c>
      <c r="C1198" s="23" t="s">
        <v>82</v>
      </c>
      <c r="D1198" s="21"/>
    </row>
    <row r="1199" spans="1:4" ht="12.75" customHeight="1" x14ac:dyDescent="0.2">
      <c r="A1199" s="21"/>
      <c r="B1199" s="3" t="s">
        <v>2</v>
      </c>
      <c r="C1199" s="23" t="s">
        <v>1839</v>
      </c>
      <c r="D1199" s="21"/>
    </row>
    <row r="1200" spans="1:4" ht="12.75" customHeight="1" x14ac:dyDescent="0.2">
      <c r="A1200" s="21"/>
      <c r="B1200" s="3" t="s">
        <v>1840</v>
      </c>
      <c r="C1200" s="23" t="s">
        <v>90</v>
      </c>
      <c r="D1200" s="21"/>
    </row>
    <row r="1201" spans="1:4" ht="12.75" customHeight="1" x14ac:dyDescent="0.2">
      <c r="A1201" s="21"/>
      <c r="B1201" s="3" t="s">
        <v>9</v>
      </c>
      <c r="C1201" s="23" t="s">
        <v>36</v>
      </c>
      <c r="D1201" s="21"/>
    </row>
    <row r="1202" spans="1:4" ht="12.75" customHeight="1" x14ac:dyDescent="0.2">
      <c r="A1202" s="21"/>
      <c r="B1202" s="3" t="s">
        <v>11</v>
      </c>
      <c r="C1202" s="23" t="s">
        <v>43</v>
      </c>
      <c r="D1202" s="21"/>
    </row>
    <row r="1203" spans="1:4" ht="12.75" customHeight="1" x14ac:dyDescent="0.2">
      <c r="A1203" s="21"/>
      <c r="B1203" s="3" t="s">
        <v>16</v>
      </c>
      <c r="C1203" s="23"/>
      <c r="D1203" s="21"/>
    </row>
    <row r="1204" spans="1:4" ht="12.75" customHeight="1" x14ac:dyDescent="0.2">
      <c r="A1204" s="21"/>
      <c r="B1204" s="3" t="s">
        <v>17</v>
      </c>
      <c r="C1204" s="23" t="s">
        <v>19</v>
      </c>
      <c r="D1204" s="21"/>
    </row>
    <row r="1205" spans="1:4" ht="12.75" customHeight="1" x14ac:dyDescent="0.2">
      <c r="A1205" s="21"/>
      <c r="B1205" s="20" t="s">
        <v>18</v>
      </c>
      <c r="C1205" s="8" t="s">
        <v>951</v>
      </c>
      <c r="D1205" s="1" t="str">
        <f>HYPERLINK("javascript:void(0)","goblinbatka")</f>
        <v>goblinbatka</v>
      </c>
    </row>
    <row r="1206" spans="1:4" ht="12.75" customHeight="1" x14ac:dyDescent="0.2">
      <c r="A1206" s="21"/>
      <c r="B1206" s="21"/>
      <c r="C1206" s="8" t="s">
        <v>44</v>
      </c>
      <c r="D1206" s="1" t="str">
        <f>HYPERLINK("javascript:void(0)","centrolium")</f>
        <v>centrolium</v>
      </c>
    </row>
    <row r="1207" spans="1:4" ht="12.75" customHeight="1" x14ac:dyDescent="0.2">
      <c r="A1207" s="21"/>
      <c r="B1207" s="21"/>
      <c r="C1207" s="8" t="s">
        <v>44</v>
      </c>
      <c r="D1207" s="1" t="str">
        <f>HYPERLINK("javascript:void(0)","ezüst testpajzs")</f>
        <v>ezüst testpajzs</v>
      </c>
    </row>
    <row r="1208" spans="1:4" ht="12.75" customHeight="1" x14ac:dyDescent="0.2">
      <c r="A1208" s="21"/>
      <c r="B1208" s="2"/>
      <c r="C1208" s="7"/>
      <c r="D1208" s="7"/>
    </row>
    <row r="1209" spans="1:4" ht="12.75" customHeight="1" x14ac:dyDescent="0.2">
      <c r="A1209" s="21"/>
      <c r="B1209" s="2"/>
      <c r="C1209" s="7"/>
      <c r="D1209" s="7"/>
    </row>
    <row r="1210" spans="1:4" ht="12.75" customHeight="1" x14ac:dyDescent="0.2">
      <c r="A1210" s="21"/>
      <c r="B1210" s="2"/>
      <c r="C1210" s="7"/>
      <c r="D1210" s="7"/>
    </row>
    <row r="1211" spans="1:4" ht="12.75" customHeight="1" x14ac:dyDescent="0.2">
      <c r="A1211" s="21"/>
      <c r="B1211" s="2"/>
      <c r="C1211" s="7"/>
      <c r="D1211" s="7"/>
    </row>
    <row r="1212" spans="1:4" ht="12.75" customHeight="1" x14ac:dyDescent="0.2">
      <c r="A1212" s="5"/>
      <c r="B1212" s="2"/>
      <c r="C1212" s="7"/>
      <c r="D1212" s="7"/>
    </row>
    <row r="1213" spans="1:4" ht="12.75" customHeight="1" x14ac:dyDescent="0.2">
      <c r="A1213" s="22" t="str">
        <f>HYPERLINK("javascript:void(0)","mengorni pajzs")</f>
        <v>mengorni pajzs</v>
      </c>
      <c r="B1213" s="21"/>
      <c r="C1213" s="21"/>
      <c r="D1213" s="21"/>
    </row>
    <row r="1214" spans="1:4" ht="12.75" customHeight="1" x14ac:dyDescent="0.2">
      <c r="A1214" s="20"/>
      <c r="B1214" s="2"/>
      <c r="C1214" s="7"/>
      <c r="D1214" s="7"/>
    </row>
    <row r="1215" spans="1:4" ht="12.75" customHeight="1" x14ac:dyDescent="0.2">
      <c r="A1215" s="21"/>
      <c r="B1215" s="3" t="s">
        <v>0</v>
      </c>
      <c r="C1215" s="23" t="s">
        <v>82</v>
      </c>
      <c r="D1215" s="21"/>
    </row>
    <row r="1216" spans="1:4" ht="12.75" customHeight="1" x14ac:dyDescent="0.2">
      <c r="A1216" s="21"/>
      <c r="B1216" s="3" t="s">
        <v>2</v>
      </c>
      <c r="C1216" s="23" t="s">
        <v>1839</v>
      </c>
      <c r="D1216" s="21"/>
    </row>
    <row r="1217" spans="1:4" ht="12.75" customHeight="1" x14ac:dyDescent="0.2">
      <c r="A1217" s="21"/>
      <c r="B1217" s="3" t="s">
        <v>1840</v>
      </c>
      <c r="C1217" s="23" t="s">
        <v>86</v>
      </c>
      <c r="D1217" s="21"/>
    </row>
    <row r="1218" spans="1:4" ht="12.75" customHeight="1" x14ac:dyDescent="0.2">
      <c r="A1218" s="21"/>
      <c r="B1218" s="3" t="s">
        <v>9</v>
      </c>
      <c r="C1218" s="23" t="s">
        <v>129</v>
      </c>
      <c r="D1218" s="21"/>
    </row>
    <row r="1219" spans="1:4" ht="12.75" customHeight="1" x14ac:dyDescent="0.2">
      <c r="A1219" s="21"/>
      <c r="B1219" s="3" t="s">
        <v>11</v>
      </c>
      <c r="C1219" s="23" t="s">
        <v>1911</v>
      </c>
      <c r="D1219" s="21"/>
    </row>
    <row r="1220" spans="1:4" ht="12.75" customHeight="1" x14ac:dyDescent="0.2">
      <c r="A1220" s="21"/>
      <c r="B1220" s="3" t="s">
        <v>16</v>
      </c>
      <c r="C1220" s="23"/>
      <c r="D1220" s="21"/>
    </row>
    <row r="1221" spans="1:4" ht="12.75" customHeight="1" x14ac:dyDescent="0.2">
      <c r="A1221" s="21"/>
      <c r="B1221" s="3" t="s">
        <v>17</v>
      </c>
      <c r="C1221" s="23" t="s">
        <v>19</v>
      </c>
      <c r="D1221" s="21"/>
    </row>
    <row r="1222" spans="1:4" ht="12.75" customHeight="1" x14ac:dyDescent="0.2">
      <c r="A1222" s="21"/>
      <c r="B1222" s="20" t="s">
        <v>18</v>
      </c>
      <c r="C1222" s="8" t="s">
        <v>44</v>
      </c>
      <c r="D1222" s="1" t="str">
        <f>HYPERLINK("javascript:void(0)","troll pajzs")</f>
        <v>troll pajzs</v>
      </c>
    </row>
    <row r="1223" spans="1:4" ht="12.75" customHeight="1" x14ac:dyDescent="0.2">
      <c r="A1223" s="21"/>
      <c r="B1223" s="21"/>
      <c r="C1223" s="8" t="s">
        <v>132</v>
      </c>
      <c r="D1223" s="1" t="str">
        <f>HYPERLINK("javascript:void(0)","arany")</f>
        <v>arany</v>
      </c>
    </row>
    <row r="1224" spans="1:4" ht="12.75" customHeight="1" x14ac:dyDescent="0.2">
      <c r="A1224" s="21"/>
      <c r="B1224" s="21"/>
      <c r="C1224" s="8" t="s">
        <v>130</v>
      </c>
      <c r="D1224" s="1" t="str">
        <f>HYPERLINK("javascript:void(0)","ezüst")</f>
        <v>ezüst</v>
      </c>
    </row>
    <row r="1225" spans="1:4" ht="12.75" customHeight="1" x14ac:dyDescent="0.2">
      <c r="A1225" s="21"/>
      <c r="B1225" s="2"/>
      <c r="C1225" s="7"/>
      <c r="D1225" s="7"/>
    </row>
    <row r="1226" spans="1:4" ht="12.75" customHeight="1" x14ac:dyDescent="0.2">
      <c r="A1226" s="21"/>
      <c r="B1226" s="2"/>
      <c r="C1226" s="7"/>
      <c r="D1226" s="7"/>
    </row>
    <row r="1227" spans="1:4" ht="12.75" customHeight="1" x14ac:dyDescent="0.2">
      <c r="A1227" s="21"/>
      <c r="B1227" s="2"/>
      <c r="C1227" s="7"/>
      <c r="D1227" s="7"/>
    </row>
    <row r="1228" spans="1:4" ht="12.75" customHeight="1" x14ac:dyDescent="0.2">
      <c r="A1228" s="21"/>
      <c r="B1228" s="2"/>
      <c r="C1228" s="7"/>
      <c r="D1228" s="7"/>
    </row>
    <row r="1229" spans="1:4" ht="12.75" customHeight="1" x14ac:dyDescent="0.2">
      <c r="A1229" s="5"/>
      <c r="B1229" s="2"/>
      <c r="C1229" s="7"/>
      <c r="D1229" s="7"/>
    </row>
    <row r="1230" spans="1:4" ht="12.75" customHeight="1" x14ac:dyDescent="0.2">
      <c r="A1230" s="22" t="str">
        <f>HYPERLINK("javascript:void(0)","wendír testpajzs")</f>
        <v>wendír testpajzs</v>
      </c>
      <c r="B1230" s="21"/>
      <c r="C1230" s="21"/>
      <c r="D1230" s="21"/>
    </row>
    <row r="1231" spans="1:4" ht="12.75" customHeight="1" x14ac:dyDescent="0.2">
      <c r="A1231" s="20"/>
      <c r="B1231" s="2"/>
      <c r="C1231" s="7"/>
      <c r="D1231" s="7"/>
    </row>
    <row r="1232" spans="1:4" ht="12.75" customHeight="1" x14ac:dyDescent="0.2">
      <c r="A1232" s="21"/>
      <c r="B1232" s="3" t="s">
        <v>0</v>
      </c>
      <c r="C1232" s="23" t="s">
        <v>82</v>
      </c>
      <c r="D1232" s="21"/>
    </row>
    <row r="1233" spans="1:4" ht="12.75" customHeight="1" x14ac:dyDescent="0.2">
      <c r="A1233" s="21"/>
      <c r="B1233" s="3" t="s">
        <v>2</v>
      </c>
      <c r="C1233" s="23" t="s">
        <v>1839</v>
      </c>
      <c r="D1233" s="21"/>
    </row>
    <row r="1234" spans="1:4" ht="12.75" customHeight="1" x14ac:dyDescent="0.2">
      <c r="A1234" s="21"/>
      <c r="B1234" s="3" t="s">
        <v>1840</v>
      </c>
      <c r="C1234" s="23" t="s">
        <v>90</v>
      </c>
      <c r="D1234" s="21"/>
    </row>
    <row r="1235" spans="1:4" ht="12.75" customHeight="1" x14ac:dyDescent="0.2">
      <c r="A1235" s="21"/>
      <c r="B1235" s="3" t="s">
        <v>9</v>
      </c>
      <c r="C1235" s="23" t="s">
        <v>1702</v>
      </c>
      <c r="D1235" s="21"/>
    </row>
    <row r="1236" spans="1:4" ht="12.75" customHeight="1" x14ac:dyDescent="0.2">
      <c r="A1236" s="21"/>
      <c r="B1236" s="3" t="s">
        <v>11</v>
      </c>
      <c r="C1236" s="23" t="s">
        <v>1913</v>
      </c>
      <c r="D1236" s="21"/>
    </row>
    <row r="1237" spans="1:4" ht="12.75" customHeight="1" x14ac:dyDescent="0.2">
      <c r="A1237" s="21"/>
      <c r="B1237" s="3" t="s">
        <v>16</v>
      </c>
      <c r="C1237" s="23"/>
      <c r="D1237" s="21"/>
    </row>
    <row r="1238" spans="1:4" ht="12.75" customHeight="1" x14ac:dyDescent="0.2">
      <c r="A1238" s="21"/>
      <c r="B1238" s="3" t="s">
        <v>17</v>
      </c>
      <c r="C1238" s="23" t="s">
        <v>19</v>
      </c>
      <c r="D1238" s="21"/>
    </row>
    <row r="1239" spans="1:4" ht="12.75" customHeight="1" x14ac:dyDescent="0.2">
      <c r="A1239" s="21"/>
      <c r="B1239" s="20" t="s">
        <v>18</v>
      </c>
      <c r="C1239" s="8" t="s">
        <v>44</v>
      </c>
      <c r="D1239" s="1" t="str">
        <f>HYPERLINK("javascript:void(0)","wendír pajzs")</f>
        <v>wendír pajzs</v>
      </c>
    </row>
    <row r="1240" spans="1:4" ht="12.75" customHeight="1" x14ac:dyDescent="0.2">
      <c r="A1240" s="21"/>
      <c r="B1240" s="21"/>
      <c r="C1240" s="8" t="s">
        <v>132</v>
      </c>
      <c r="D1240" s="1" t="str">
        <f>HYPERLINK("javascript:void(0)","vasérc")</f>
        <v>vasérc</v>
      </c>
    </row>
    <row r="1241" spans="1:4" ht="12.75" customHeight="1" x14ac:dyDescent="0.2">
      <c r="A1241" s="21"/>
      <c r="B1241" s="21"/>
      <c r="C1241" s="8" t="s">
        <v>44</v>
      </c>
      <c r="D1241" s="1" t="str">
        <f>HYPERLINK("javascript:void(0)","gyémánt")</f>
        <v>gyémánt</v>
      </c>
    </row>
    <row r="1242" spans="1:4" ht="12.75" customHeight="1" x14ac:dyDescent="0.2">
      <c r="A1242" s="21"/>
      <c r="B1242" s="2"/>
      <c r="C1242" s="7"/>
      <c r="D1242" s="7"/>
    </row>
    <row r="1243" spans="1:4" ht="12.75" customHeight="1" x14ac:dyDescent="0.2">
      <c r="A1243" s="21"/>
      <c r="B1243" s="2"/>
      <c r="C1243" s="7"/>
      <c r="D1243" s="7"/>
    </row>
    <row r="1244" spans="1:4" ht="12.75" customHeight="1" x14ac:dyDescent="0.2">
      <c r="A1244" s="21"/>
      <c r="B1244" s="2"/>
      <c r="C1244" s="7"/>
      <c r="D1244" s="7"/>
    </row>
    <row r="1245" spans="1:4" ht="12.75" customHeight="1" x14ac:dyDescent="0.2">
      <c r="A1245" s="21"/>
      <c r="B1245" s="2"/>
      <c r="C1245" s="7"/>
      <c r="D1245" s="7"/>
    </row>
    <row r="1246" spans="1:4" ht="12.75" customHeight="1" x14ac:dyDescent="0.2">
      <c r="A1246" s="5"/>
      <c r="B1246" s="2"/>
      <c r="C1246" s="7"/>
      <c r="D1246" s="7"/>
    </row>
    <row r="1247" spans="1:4" ht="12.75" customHeight="1" x14ac:dyDescent="0.2">
      <c r="A1247" s="22" t="str">
        <f>HYPERLINK("javascript:void(0)","rézcsizma")</f>
        <v>rézcsizma</v>
      </c>
      <c r="B1247" s="21"/>
      <c r="C1247" s="21"/>
      <c r="D1247" s="21"/>
    </row>
    <row r="1248" spans="1:4" ht="12.75" customHeight="1" x14ac:dyDescent="0.2">
      <c r="A1248" s="20"/>
      <c r="B1248" s="2"/>
      <c r="C1248" s="7"/>
      <c r="D1248" s="7"/>
    </row>
    <row r="1249" spans="1:4" ht="12.75" customHeight="1" x14ac:dyDescent="0.2">
      <c r="A1249" s="21"/>
      <c r="B1249" s="3" t="s">
        <v>0</v>
      </c>
      <c r="C1249" s="23" t="s">
        <v>86</v>
      </c>
      <c r="D1249" s="21"/>
    </row>
    <row r="1250" spans="1:4" ht="12.75" customHeight="1" x14ac:dyDescent="0.2">
      <c r="A1250" s="21"/>
      <c r="B1250" s="3" t="s">
        <v>2</v>
      </c>
      <c r="C1250" s="23"/>
      <c r="D1250" s="21"/>
    </row>
    <row r="1251" spans="1:4" ht="12.75" customHeight="1" x14ac:dyDescent="0.2">
      <c r="A1251" s="21"/>
      <c r="B1251" s="3" t="s">
        <v>1840</v>
      </c>
      <c r="C1251" s="23" t="s">
        <v>33</v>
      </c>
      <c r="D1251" s="21"/>
    </row>
    <row r="1252" spans="1:4" ht="12.75" customHeight="1" x14ac:dyDescent="0.2">
      <c r="A1252" s="21"/>
      <c r="B1252" s="3" t="s">
        <v>9</v>
      </c>
      <c r="C1252" s="23" t="s">
        <v>124</v>
      </c>
      <c r="D1252" s="21"/>
    </row>
    <row r="1253" spans="1:4" ht="12.75" customHeight="1" x14ac:dyDescent="0.2">
      <c r="A1253" s="21"/>
      <c r="B1253" s="3" t="s">
        <v>11</v>
      </c>
      <c r="C1253" s="23" t="s">
        <v>1887</v>
      </c>
      <c r="D1253" s="21"/>
    </row>
    <row r="1254" spans="1:4" ht="12.75" customHeight="1" x14ac:dyDescent="0.2">
      <c r="A1254" s="21"/>
      <c r="B1254" s="3" t="s">
        <v>16</v>
      </c>
      <c r="C1254" s="23"/>
      <c r="D1254" s="21"/>
    </row>
    <row r="1255" spans="1:4" ht="12.75" customHeight="1" x14ac:dyDescent="0.2">
      <c r="A1255" s="21"/>
      <c r="B1255" s="3" t="s">
        <v>17</v>
      </c>
      <c r="C1255" s="23" t="s">
        <v>19</v>
      </c>
      <c r="D1255" s="21"/>
    </row>
    <row r="1256" spans="1:4" ht="12.75" customHeight="1" x14ac:dyDescent="0.2">
      <c r="A1256" s="21"/>
      <c r="B1256" s="20" t="s">
        <v>18</v>
      </c>
      <c r="C1256" s="8" t="s">
        <v>44</v>
      </c>
      <c r="D1256" s="1" t="str">
        <f>HYPERLINK("javascript:void(0)","törpe csizma")</f>
        <v>törpe csizma</v>
      </c>
    </row>
    <row r="1257" spans="1:4" ht="12.75" customHeight="1" x14ac:dyDescent="0.2">
      <c r="A1257" s="21"/>
      <c r="B1257" s="21"/>
      <c r="C1257" s="8" t="s">
        <v>232</v>
      </c>
      <c r="D1257" s="1" t="str">
        <f>HYPERLINK("javascript:void(0)","rézérc")</f>
        <v>rézérc</v>
      </c>
    </row>
    <row r="1258" spans="1:4" ht="12.75" customHeight="1" x14ac:dyDescent="0.2">
      <c r="A1258" s="21"/>
      <c r="B1258" s="21"/>
      <c r="C1258" s="8" t="s">
        <v>55</v>
      </c>
      <c r="D1258" s="1" t="str">
        <f>HYPERLINK("javascript:void(0)","gyöngy")</f>
        <v>gyöngy</v>
      </c>
    </row>
    <row r="1259" spans="1:4" ht="12.75" customHeight="1" x14ac:dyDescent="0.2">
      <c r="A1259" s="21"/>
      <c r="B1259" s="2"/>
      <c r="C1259" s="7"/>
      <c r="D1259" s="7"/>
    </row>
    <row r="1260" spans="1:4" ht="12.75" customHeight="1" x14ac:dyDescent="0.2">
      <c r="A1260" s="21"/>
      <c r="B1260" s="2"/>
      <c r="C1260" s="7"/>
      <c r="D1260" s="7"/>
    </row>
    <row r="1261" spans="1:4" ht="12.75" customHeight="1" x14ac:dyDescent="0.2">
      <c r="A1261" s="21"/>
      <c r="B1261" s="2"/>
      <c r="C1261" s="7"/>
      <c r="D1261" s="7"/>
    </row>
    <row r="1262" spans="1:4" ht="12.75" customHeight="1" x14ac:dyDescent="0.2">
      <c r="A1262" s="21"/>
      <c r="B1262" s="2"/>
      <c r="C1262" s="7"/>
      <c r="D1262" s="7"/>
    </row>
    <row r="1263" spans="1:4" ht="12.75" customHeight="1" x14ac:dyDescent="0.2">
      <c r="A1263" s="5"/>
      <c r="B1263" s="2"/>
      <c r="C1263" s="7"/>
      <c r="D1263" s="7"/>
    </row>
    <row r="1264" spans="1:4" ht="12.75" customHeight="1" x14ac:dyDescent="0.2">
      <c r="A1264" s="22" t="str">
        <f>HYPERLINK("javascript:void(0)","közepes pillepajzs")</f>
        <v>közepes pillepajzs</v>
      </c>
      <c r="B1264" s="21"/>
      <c r="C1264" s="21"/>
      <c r="D1264" s="21"/>
    </row>
    <row r="1265" spans="1:4" ht="12.75" customHeight="1" x14ac:dyDescent="0.2">
      <c r="A1265" s="20"/>
      <c r="B1265" s="2"/>
      <c r="C1265" s="7"/>
      <c r="D1265" s="7"/>
    </row>
    <row r="1266" spans="1:4" ht="12.75" customHeight="1" x14ac:dyDescent="0.2">
      <c r="A1266" s="21"/>
      <c r="B1266" s="3" t="s">
        <v>0</v>
      </c>
      <c r="C1266" s="23" t="s">
        <v>86</v>
      </c>
      <c r="D1266" s="21"/>
    </row>
    <row r="1267" spans="1:4" ht="12.75" customHeight="1" x14ac:dyDescent="0.2">
      <c r="A1267" s="21"/>
      <c r="B1267" s="3" t="s">
        <v>2</v>
      </c>
      <c r="C1267" s="23" t="s">
        <v>1839</v>
      </c>
      <c r="D1267" s="21"/>
    </row>
    <row r="1268" spans="1:4" ht="12.75" customHeight="1" x14ac:dyDescent="0.2">
      <c r="A1268" s="21"/>
      <c r="B1268" s="3" t="s">
        <v>1840</v>
      </c>
      <c r="C1268" s="23" t="s">
        <v>90</v>
      </c>
      <c r="D1268" s="21"/>
    </row>
    <row r="1269" spans="1:4" ht="12.75" customHeight="1" x14ac:dyDescent="0.2">
      <c r="A1269" s="21"/>
      <c r="B1269" s="3" t="s">
        <v>9</v>
      </c>
      <c r="C1269" s="23" t="s">
        <v>769</v>
      </c>
      <c r="D1269" s="21"/>
    </row>
    <row r="1270" spans="1:4" ht="12.75" customHeight="1" x14ac:dyDescent="0.2">
      <c r="A1270" s="21"/>
      <c r="B1270" s="3" t="s">
        <v>11</v>
      </c>
      <c r="C1270" s="23" t="s">
        <v>346</v>
      </c>
      <c r="D1270" s="21"/>
    </row>
    <row r="1271" spans="1:4" ht="12.75" customHeight="1" x14ac:dyDescent="0.2">
      <c r="A1271" s="21"/>
      <c r="B1271" s="3" t="s">
        <v>16</v>
      </c>
      <c r="C1271" s="23"/>
      <c r="D1271" s="21"/>
    </row>
    <row r="1272" spans="1:4" ht="12.75" customHeight="1" x14ac:dyDescent="0.2">
      <c r="A1272" s="21"/>
      <c r="B1272" s="3" t="s">
        <v>17</v>
      </c>
      <c r="C1272" s="23" t="s">
        <v>19</v>
      </c>
      <c r="D1272" s="21"/>
    </row>
    <row r="1273" spans="1:4" ht="12.75" customHeight="1" x14ac:dyDescent="0.2">
      <c r="A1273" s="21"/>
      <c r="B1273" s="20" t="s">
        <v>18</v>
      </c>
      <c r="C1273" s="8" t="s">
        <v>67</v>
      </c>
      <c r="D1273" s="1" t="str">
        <f>HYPERLINK("javascript:void(0)","lepkeszárny")</f>
        <v>lepkeszárny</v>
      </c>
    </row>
    <row r="1274" spans="1:4" ht="12.75" customHeight="1" x14ac:dyDescent="0.2">
      <c r="A1274" s="21"/>
      <c r="B1274" s="21"/>
      <c r="C1274" s="8" t="s">
        <v>44</v>
      </c>
      <c r="D1274" s="1" t="str">
        <f>HYPERLINK("javascript:void(0)","kis pillepajzs")</f>
        <v>kis pillepajzs</v>
      </c>
    </row>
    <row r="1275" spans="1:4" ht="12.75" customHeight="1" x14ac:dyDescent="0.2">
      <c r="A1275" s="21"/>
      <c r="B1275" s="21"/>
      <c r="C1275" s="8" t="s">
        <v>44</v>
      </c>
      <c r="D1275" s="1" t="str">
        <f>HYPERLINK("javascript:void(0)","gyémánt")</f>
        <v>gyémánt</v>
      </c>
    </row>
    <row r="1276" spans="1:4" ht="12.75" customHeight="1" x14ac:dyDescent="0.2">
      <c r="A1276" s="21"/>
      <c r="B1276" s="2"/>
      <c r="C1276" s="7"/>
      <c r="D1276" s="7"/>
    </row>
    <row r="1277" spans="1:4" ht="12.75" customHeight="1" x14ac:dyDescent="0.2">
      <c r="A1277" s="21"/>
      <c r="B1277" s="2"/>
      <c r="C1277" s="7"/>
      <c r="D1277" s="7"/>
    </row>
    <row r="1278" spans="1:4" ht="12.75" customHeight="1" x14ac:dyDescent="0.2">
      <c r="A1278" s="21"/>
      <c r="B1278" s="2"/>
      <c r="C1278" s="7"/>
      <c r="D1278" s="7"/>
    </row>
    <row r="1279" spans="1:4" ht="12.75" customHeight="1" x14ac:dyDescent="0.2">
      <c r="A1279" s="21"/>
      <c r="B1279" s="2"/>
      <c r="C1279" s="7"/>
      <c r="D1279" s="7"/>
    </row>
    <row r="1280" spans="1:4" ht="12.75" customHeight="1" x14ac:dyDescent="0.2">
      <c r="A1280" s="5"/>
      <c r="B1280" s="2"/>
      <c r="C1280" s="7"/>
      <c r="D1280" s="7"/>
    </row>
    <row r="1281" spans="1:4" ht="12.75" customHeight="1" x14ac:dyDescent="0.2">
      <c r="A1281" s="22" t="str">
        <f>HYPERLINK("javascript:void(0)","aranyláncing")</f>
        <v>aranyláncing</v>
      </c>
      <c r="B1281" s="21"/>
      <c r="C1281" s="21"/>
      <c r="D1281" s="21"/>
    </row>
    <row r="1282" spans="1:4" ht="12.75" customHeight="1" x14ac:dyDescent="0.2">
      <c r="A1282" s="20"/>
      <c r="B1282" s="2"/>
      <c r="C1282" s="7"/>
      <c r="D1282" s="7"/>
    </row>
    <row r="1283" spans="1:4" ht="12.75" customHeight="1" x14ac:dyDescent="0.2">
      <c r="A1283" s="21"/>
      <c r="B1283" s="3" t="s">
        <v>0</v>
      </c>
      <c r="C1283" s="23" t="s">
        <v>90</v>
      </c>
      <c r="D1283" s="21"/>
    </row>
    <row r="1284" spans="1:4" ht="12.75" customHeight="1" x14ac:dyDescent="0.2">
      <c r="A1284" s="21"/>
      <c r="B1284" s="3" t="s">
        <v>2</v>
      </c>
      <c r="C1284" s="23" t="s">
        <v>2322</v>
      </c>
      <c r="D1284" s="21"/>
    </row>
    <row r="1285" spans="1:4" ht="12.75" customHeight="1" x14ac:dyDescent="0.2">
      <c r="A1285" s="21"/>
      <c r="B1285" s="3" t="s">
        <v>1840</v>
      </c>
      <c r="C1285" s="23" t="s">
        <v>92</v>
      </c>
      <c r="D1285" s="21"/>
    </row>
    <row r="1286" spans="1:4" ht="12.75" customHeight="1" x14ac:dyDescent="0.2">
      <c r="A1286" s="21"/>
      <c r="B1286" s="3" t="s">
        <v>9</v>
      </c>
      <c r="C1286" s="23" t="s">
        <v>129</v>
      </c>
      <c r="D1286" s="21"/>
    </row>
    <row r="1287" spans="1:4" ht="12.75" customHeight="1" x14ac:dyDescent="0.2">
      <c r="A1287" s="21"/>
      <c r="B1287" s="3" t="s">
        <v>11</v>
      </c>
      <c r="C1287" s="23" t="s">
        <v>2333</v>
      </c>
      <c r="D1287" s="21"/>
    </row>
    <row r="1288" spans="1:4" ht="12.75" customHeight="1" x14ac:dyDescent="0.2">
      <c r="A1288" s="21"/>
      <c r="B1288" s="3" t="s">
        <v>16</v>
      </c>
      <c r="C1288" s="23"/>
      <c r="D1288" s="21"/>
    </row>
    <row r="1289" spans="1:4" ht="12.75" customHeight="1" x14ac:dyDescent="0.2">
      <c r="A1289" s="21"/>
      <c r="B1289" s="3" t="s">
        <v>17</v>
      </c>
      <c r="C1289" s="23" t="s">
        <v>19</v>
      </c>
      <c r="D1289" s="21"/>
    </row>
    <row r="1290" spans="1:4" ht="12.75" customHeight="1" x14ac:dyDescent="0.2">
      <c r="A1290" s="21"/>
      <c r="B1290" s="20" t="s">
        <v>18</v>
      </c>
      <c r="C1290" s="8" t="s">
        <v>55</v>
      </c>
      <c r="D1290" s="1" t="str">
        <f>HYPERLINK("javascript:void(0)","láncsisak")</f>
        <v>láncsisak</v>
      </c>
    </row>
    <row r="1291" spans="1:4" ht="12.75" customHeight="1" x14ac:dyDescent="0.2">
      <c r="A1291" s="21"/>
      <c r="B1291" s="21"/>
      <c r="C1291" s="8" t="s">
        <v>57</v>
      </c>
      <c r="D1291" s="1" t="str">
        <f>HYPERLINK("javascript:void(0)","arany")</f>
        <v>arany</v>
      </c>
    </row>
    <row r="1292" spans="1:4" ht="12.75" customHeight="1" x14ac:dyDescent="0.2">
      <c r="A1292" s="21"/>
      <c r="B1292" s="21"/>
      <c r="C1292" s="8" t="s">
        <v>77</v>
      </c>
      <c r="D1292" s="1" t="str">
        <f>HYPERLINK("javascript:void(0)","patkányzsír")</f>
        <v>patkányzsír</v>
      </c>
    </row>
    <row r="1293" spans="1:4" ht="12.75" customHeight="1" x14ac:dyDescent="0.2">
      <c r="A1293" s="21"/>
      <c r="B1293" s="2"/>
      <c r="C1293" s="7"/>
      <c r="D1293" s="7"/>
    </row>
    <row r="1294" spans="1:4" ht="12.75" customHeight="1" x14ac:dyDescent="0.2">
      <c r="A1294" s="21"/>
      <c r="B1294" s="2"/>
      <c r="C1294" s="7"/>
      <c r="D1294" s="7"/>
    </row>
    <row r="1295" spans="1:4" ht="12.75" customHeight="1" x14ac:dyDescent="0.2">
      <c r="A1295" s="21"/>
      <c r="B1295" s="2"/>
      <c r="C1295" s="7"/>
      <c r="D1295" s="7"/>
    </row>
    <row r="1296" spans="1:4" ht="12.75" customHeight="1" x14ac:dyDescent="0.2">
      <c r="A1296" s="21"/>
      <c r="B1296" s="2"/>
      <c r="C1296" s="7"/>
      <c r="D1296" s="7"/>
    </row>
    <row r="1297" spans="1:4" ht="12.75" customHeight="1" x14ac:dyDescent="0.2">
      <c r="A1297" s="5"/>
      <c r="B1297" s="2"/>
      <c r="C1297" s="7"/>
      <c r="D1297" s="7"/>
    </row>
    <row r="1298" spans="1:4" ht="12.75" customHeight="1" x14ac:dyDescent="0.2">
      <c r="A1298" s="22" t="str">
        <f>HYPERLINK("javascript:void(0)","Zamárdi felsője")</f>
        <v>Zamárdi felsője</v>
      </c>
      <c r="B1298" s="21"/>
      <c r="C1298" s="21"/>
      <c r="D1298" s="7"/>
    </row>
    <row r="1299" spans="1:4" ht="12.75" customHeight="1" x14ac:dyDescent="0.2">
      <c r="A1299" s="20"/>
      <c r="B1299" s="2"/>
      <c r="C1299" s="7"/>
      <c r="D1299" s="7"/>
    </row>
    <row r="1300" spans="1:4" ht="12.75" customHeight="1" x14ac:dyDescent="0.2">
      <c r="A1300" s="21"/>
      <c r="B1300" s="3" t="s">
        <v>0</v>
      </c>
      <c r="C1300" s="9" t="s">
        <v>90</v>
      </c>
      <c r="D1300" s="7"/>
    </row>
    <row r="1301" spans="1:4" ht="12.75" customHeight="1" x14ac:dyDescent="0.2">
      <c r="A1301" s="21"/>
      <c r="B1301" s="3" t="s">
        <v>2</v>
      </c>
      <c r="C1301" s="9" t="s">
        <v>2322</v>
      </c>
      <c r="D1301" s="7"/>
    </row>
    <row r="1302" spans="1:4" ht="12.75" customHeight="1" x14ac:dyDescent="0.2">
      <c r="A1302" s="21"/>
      <c r="B1302" s="3" t="s">
        <v>1840</v>
      </c>
      <c r="C1302" s="9" t="s">
        <v>100</v>
      </c>
      <c r="D1302" s="7"/>
    </row>
    <row r="1303" spans="1:4" ht="12.75" customHeight="1" x14ac:dyDescent="0.2">
      <c r="A1303" s="21"/>
      <c r="B1303" s="3" t="s">
        <v>9</v>
      </c>
      <c r="C1303" s="9" t="s">
        <v>366</v>
      </c>
      <c r="D1303" s="7"/>
    </row>
    <row r="1304" spans="1:4" ht="25.5" customHeight="1" x14ac:dyDescent="0.2">
      <c r="A1304" s="21"/>
      <c r="B1304" s="3" t="s">
        <v>11</v>
      </c>
      <c r="C1304" s="9" t="s">
        <v>2336</v>
      </c>
      <c r="D1304" s="7"/>
    </row>
    <row r="1305" spans="1:4" ht="12.75" customHeight="1" x14ac:dyDescent="0.2">
      <c r="A1305" s="21"/>
      <c r="B1305" s="3" t="s">
        <v>16</v>
      </c>
      <c r="C1305" s="9"/>
      <c r="D1305" s="7"/>
    </row>
    <row r="1306" spans="1:4" ht="12.75" customHeight="1" x14ac:dyDescent="0.2">
      <c r="A1306" s="21"/>
      <c r="B1306" s="3" t="s">
        <v>17</v>
      </c>
      <c r="C1306" s="9" t="s">
        <v>19</v>
      </c>
      <c r="D1306" s="7"/>
    </row>
    <row r="1307" spans="1:4" ht="12.75" customHeight="1" x14ac:dyDescent="0.2">
      <c r="A1307" s="21"/>
      <c r="B1307" s="3" t="s">
        <v>18</v>
      </c>
      <c r="C1307" s="8" t="s">
        <v>19</v>
      </c>
      <c r="D1307" s="7"/>
    </row>
    <row r="1308" spans="1:4" ht="12.75" customHeight="1" x14ac:dyDescent="0.2">
      <c r="A1308" s="21"/>
      <c r="B1308" s="2"/>
      <c r="C1308" s="7"/>
      <c r="D1308" s="7"/>
    </row>
    <row r="1309" spans="1:4" ht="12.75" customHeight="1" x14ac:dyDescent="0.2">
      <c r="A1309" s="21"/>
      <c r="B1309" s="2"/>
      <c r="C1309" s="7"/>
      <c r="D1309" s="7"/>
    </row>
    <row r="1310" spans="1:4" ht="12.75" customHeight="1" x14ac:dyDescent="0.2">
      <c r="A1310" s="21"/>
      <c r="B1310" s="2"/>
      <c r="C1310" s="7"/>
      <c r="D1310" s="7"/>
    </row>
    <row r="1311" spans="1:4" ht="12.75" customHeight="1" x14ac:dyDescent="0.2">
      <c r="A1311" s="21"/>
      <c r="B1311" s="2"/>
      <c r="C1311" s="7"/>
      <c r="D1311" s="7"/>
    </row>
    <row r="1312" spans="1:4" ht="12.75" customHeight="1" x14ac:dyDescent="0.2">
      <c r="A1312" s="5"/>
      <c r="B1312" s="2"/>
      <c r="C1312" s="7"/>
      <c r="D1312" s="7"/>
    </row>
    <row r="1313" spans="1:4" ht="12.75" customHeight="1" x14ac:dyDescent="0.2">
      <c r="A1313" s="22" t="str">
        <f>HYPERLINK("javascript:void(0)","skivei pajzs")</f>
        <v>skivei pajzs</v>
      </c>
      <c r="B1313" s="21"/>
      <c r="C1313" s="21"/>
      <c r="D1313" s="21"/>
    </row>
    <row r="1314" spans="1:4" ht="12.75" customHeight="1" x14ac:dyDescent="0.2">
      <c r="A1314" s="20"/>
      <c r="B1314" s="2"/>
      <c r="C1314" s="7"/>
      <c r="D1314" s="7"/>
    </row>
    <row r="1315" spans="1:4" ht="12.75" customHeight="1" x14ac:dyDescent="0.2">
      <c r="A1315" s="21"/>
      <c r="B1315" s="3" t="s">
        <v>0</v>
      </c>
      <c r="C1315" s="23" t="s">
        <v>90</v>
      </c>
      <c r="D1315" s="21"/>
    </row>
    <row r="1316" spans="1:4" ht="12.75" customHeight="1" x14ac:dyDescent="0.2">
      <c r="A1316" s="21"/>
      <c r="B1316" s="3" t="s">
        <v>2</v>
      </c>
      <c r="C1316" s="23" t="s">
        <v>1839</v>
      </c>
      <c r="D1316" s="21"/>
    </row>
    <row r="1317" spans="1:4" ht="12.75" customHeight="1" x14ac:dyDescent="0.2">
      <c r="A1317" s="21"/>
      <c r="B1317" s="3" t="s">
        <v>1840</v>
      </c>
      <c r="C1317" s="23" t="s">
        <v>90</v>
      </c>
      <c r="D1317" s="21"/>
    </row>
    <row r="1318" spans="1:4" ht="12.75" customHeight="1" x14ac:dyDescent="0.2">
      <c r="A1318" s="21"/>
      <c r="B1318" s="3" t="s">
        <v>9</v>
      </c>
      <c r="C1318" s="23" t="s">
        <v>200</v>
      </c>
      <c r="D1318" s="21"/>
    </row>
    <row r="1319" spans="1:4" ht="12.75" customHeight="1" x14ac:dyDescent="0.2">
      <c r="A1319" s="21"/>
      <c r="B1319" s="3" t="s">
        <v>11</v>
      </c>
      <c r="C1319" s="23" t="s">
        <v>1376</v>
      </c>
      <c r="D1319" s="21"/>
    </row>
    <row r="1320" spans="1:4" ht="12.75" customHeight="1" x14ac:dyDescent="0.2">
      <c r="A1320" s="21"/>
      <c r="B1320" s="3" t="s">
        <v>16</v>
      </c>
      <c r="C1320" s="23"/>
      <c r="D1320" s="21"/>
    </row>
    <row r="1321" spans="1:4" ht="12.75" customHeight="1" x14ac:dyDescent="0.2">
      <c r="A1321" s="21"/>
      <c r="B1321" s="3" t="s">
        <v>17</v>
      </c>
      <c r="C1321" s="23" t="s">
        <v>19</v>
      </c>
      <c r="D1321" s="21"/>
    </row>
    <row r="1322" spans="1:4" ht="12.75" customHeight="1" x14ac:dyDescent="0.2">
      <c r="A1322" s="21"/>
      <c r="B1322" s="20" t="s">
        <v>18</v>
      </c>
      <c r="C1322" s="8" t="s">
        <v>44</v>
      </c>
      <c r="D1322" s="1" t="str">
        <f>HYPERLINK("javascript:void(0)","ezüst testpajzs")</f>
        <v>ezüst testpajzs</v>
      </c>
    </row>
    <row r="1323" spans="1:4" ht="12.75" customHeight="1" x14ac:dyDescent="0.2">
      <c r="A1323" s="21"/>
      <c r="B1323" s="21"/>
      <c r="C1323" s="8" t="s">
        <v>139</v>
      </c>
      <c r="D1323" s="1" t="str">
        <f>HYPERLINK("javascript:void(0)","arany")</f>
        <v>arany</v>
      </c>
    </row>
    <row r="1324" spans="1:4" ht="12.75" customHeight="1" x14ac:dyDescent="0.2">
      <c r="A1324" s="21"/>
      <c r="B1324" s="21"/>
      <c r="C1324" s="8" t="s">
        <v>322</v>
      </c>
      <c r="D1324" s="1" t="str">
        <f>HYPERLINK("javascript:void(0)","ezüst")</f>
        <v>ezüst</v>
      </c>
    </row>
    <row r="1325" spans="1:4" ht="12.75" customHeight="1" x14ac:dyDescent="0.2">
      <c r="A1325" s="21"/>
      <c r="B1325" s="2"/>
      <c r="C1325" s="7"/>
      <c r="D1325" s="7"/>
    </row>
    <row r="1326" spans="1:4" ht="12.75" customHeight="1" x14ac:dyDescent="0.2">
      <c r="A1326" s="21"/>
      <c r="B1326" s="2"/>
      <c r="C1326" s="7"/>
      <c r="D1326" s="7"/>
    </row>
    <row r="1327" spans="1:4" ht="12.75" customHeight="1" x14ac:dyDescent="0.2">
      <c r="A1327" s="21"/>
      <c r="B1327" s="2"/>
      <c r="C1327" s="7"/>
      <c r="D1327" s="7"/>
    </row>
    <row r="1328" spans="1:4" ht="12.75" customHeight="1" x14ac:dyDescent="0.2">
      <c r="A1328" s="21"/>
      <c r="B1328" s="2"/>
      <c r="C1328" s="7"/>
      <c r="D1328" s="7"/>
    </row>
    <row r="1329" spans="1:4" ht="12.75" customHeight="1" x14ac:dyDescent="0.2">
      <c r="A1329" s="5"/>
      <c r="B1329" s="2"/>
      <c r="C1329" s="7"/>
      <c r="D1329" s="7"/>
    </row>
    <row r="1330" spans="1:4" ht="12.75" customHeight="1" x14ac:dyDescent="0.2">
      <c r="A1330" s="22" t="str">
        <f>HYPERLINK("javascript:void(0)","rimföldi testpajzs")</f>
        <v>rimföldi testpajzs</v>
      </c>
      <c r="B1330" s="21"/>
      <c r="C1330" s="21"/>
      <c r="D1330" s="21"/>
    </row>
    <row r="1331" spans="1:4" ht="12.75" customHeight="1" x14ac:dyDescent="0.2">
      <c r="A1331" s="20"/>
      <c r="B1331" s="2"/>
      <c r="C1331" s="7"/>
      <c r="D1331" s="7"/>
    </row>
    <row r="1332" spans="1:4" ht="12.75" customHeight="1" x14ac:dyDescent="0.2">
      <c r="A1332" s="21"/>
      <c r="B1332" s="3" t="s">
        <v>0</v>
      </c>
      <c r="C1332" s="23" t="s">
        <v>90</v>
      </c>
      <c r="D1332" s="21"/>
    </row>
    <row r="1333" spans="1:4" ht="12.75" customHeight="1" x14ac:dyDescent="0.2">
      <c r="A1333" s="21"/>
      <c r="B1333" s="3" t="s">
        <v>2</v>
      </c>
      <c r="C1333" s="23" t="s">
        <v>1839</v>
      </c>
      <c r="D1333" s="21"/>
    </row>
    <row r="1334" spans="1:4" ht="12.75" customHeight="1" x14ac:dyDescent="0.2">
      <c r="A1334" s="21"/>
      <c r="B1334" s="3" t="s">
        <v>1840</v>
      </c>
      <c r="C1334" s="23" t="s">
        <v>90</v>
      </c>
      <c r="D1334" s="21"/>
    </row>
    <row r="1335" spans="1:4" ht="12.75" customHeight="1" x14ac:dyDescent="0.2">
      <c r="A1335" s="21"/>
      <c r="B1335" s="3" t="s">
        <v>9</v>
      </c>
      <c r="C1335" s="23" t="s">
        <v>1916</v>
      </c>
      <c r="D1335" s="21"/>
    </row>
    <row r="1336" spans="1:4" ht="12.75" customHeight="1" x14ac:dyDescent="0.2">
      <c r="A1336" s="21"/>
      <c r="B1336" s="3" t="s">
        <v>11</v>
      </c>
      <c r="C1336" s="23" t="s">
        <v>1917</v>
      </c>
      <c r="D1336" s="21"/>
    </row>
    <row r="1337" spans="1:4" ht="12.75" customHeight="1" x14ac:dyDescent="0.2">
      <c r="A1337" s="21"/>
      <c r="B1337" s="3" t="s">
        <v>16</v>
      </c>
      <c r="C1337" s="23"/>
      <c r="D1337" s="21"/>
    </row>
    <row r="1338" spans="1:4" ht="12.75" customHeight="1" x14ac:dyDescent="0.2">
      <c r="A1338" s="21"/>
      <c r="B1338" s="3" t="s">
        <v>17</v>
      </c>
      <c r="C1338" s="23" t="s">
        <v>19</v>
      </c>
      <c r="D1338" s="21"/>
    </row>
    <row r="1339" spans="1:4" ht="12.75" customHeight="1" x14ac:dyDescent="0.2">
      <c r="A1339" s="21"/>
      <c r="B1339" s="20" t="s">
        <v>18</v>
      </c>
      <c r="C1339" s="8" t="s">
        <v>44</v>
      </c>
      <c r="D1339" s="1" t="str">
        <f>HYPERLINK("javascript:void(0)","rimföldi pajzs")</f>
        <v>rimföldi pajzs</v>
      </c>
    </row>
    <row r="1340" spans="1:4" ht="12.75" customHeight="1" x14ac:dyDescent="0.2">
      <c r="A1340" s="21"/>
      <c r="B1340" s="21"/>
      <c r="C1340" s="8" t="s">
        <v>117</v>
      </c>
      <c r="D1340" s="1" t="str">
        <f>HYPERLINK("javascript:void(0)","krokodilbőr")</f>
        <v>krokodilbőr</v>
      </c>
    </row>
    <row r="1341" spans="1:4" ht="12.75" customHeight="1" x14ac:dyDescent="0.2">
      <c r="A1341" s="21"/>
      <c r="B1341" s="21"/>
      <c r="C1341" s="8" t="s">
        <v>77</v>
      </c>
      <c r="D1341" s="1" t="str">
        <f>HYPERLINK("javascript:void(0)","szemgyöngy")</f>
        <v>szemgyöngy</v>
      </c>
    </row>
    <row r="1342" spans="1:4" ht="12.75" customHeight="1" x14ac:dyDescent="0.2">
      <c r="A1342" s="21"/>
      <c r="B1342" s="2"/>
      <c r="C1342" s="7"/>
      <c r="D1342" s="7"/>
    </row>
    <row r="1343" spans="1:4" ht="12.75" customHeight="1" x14ac:dyDescent="0.2">
      <c r="A1343" s="21"/>
      <c r="B1343" s="2"/>
      <c r="C1343" s="7"/>
      <c r="D1343" s="7"/>
    </row>
    <row r="1344" spans="1:4" ht="12.75" customHeight="1" x14ac:dyDescent="0.2">
      <c r="A1344" s="21"/>
      <c r="B1344" s="2"/>
      <c r="C1344" s="7"/>
      <c r="D1344" s="7"/>
    </row>
    <row r="1345" spans="1:4" ht="12.75" customHeight="1" x14ac:dyDescent="0.2">
      <c r="A1345" s="21"/>
      <c r="B1345" s="2"/>
      <c r="C1345" s="7"/>
      <c r="D1345" s="7"/>
    </row>
    <row r="1346" spans="1:4" ht="12.75" customHeight="1" x14ac:dyDescent="0.2">
      <c r="A1346" s="5"/>
      <c r="B1346" s="2"/>
      <c r="C1346" s="7"/>
      <c r="D1346" s="7"/>
    </row>
    <row r="1347" spans="1:4" ht="12.75" customHeight="1" x14ac:dyDescent="0.2">
      <c r="A1347" s="22" t="str">
        <f>HYPERLINK("javascript:void(0)","rubin sisak")</f>
        <v>rubin sisak</v>
      </c>
      <c r="B1347" s="21"/>
      <c r="C1347" s="21"/>
      <c r="D1347" s="21"/>
    </row>
    <row r="1348" spans="1:4" ht="12.75" customHeight="1" x14ac:dyDescent="0.2">
      <c r="A1348" s="20"/>
      <c r="B1348" s="2"/>
      <c r="C1348" s="7"/>
      <c r="D1348" s="7"/>
    </row>
    <row r="1349" spans="1:4" ht="12.75" customHeight="1" x14ac:dyDescent="0.2">
      <c r="A1349" s="21"/>
      <c r="B1349" s="3" t="s">
        <v>0</v>
      </c>
      <c r="C1349" s="23" t="s">
        <v>92</v>
      </c>
      <c r="D1349" s="21"/>
    </row>
    <row r="1350" spans="1:4" ht="12.75" customHeight="1" x14ac:dyDescent="0.2">
      <c r="A1350" s="21"/>
      <c r="B1350" s="3" t="s">
        <v>2</v>
      </c>
      <c r="C1350" s="23"/>
      <c r="D1350" s="21"/>
    </row>
    <row r="1351" spans="1:4" ht="12.75" customHeight="1" x14ac:dyDescent="0.2">
      <c r="A1351" s="21"/>
      <c r="B1351" s="3" t="s">
        <v>1840</v>
      </c>
      <c r="C1351" s="23" t="s">
        <v>64</v>
      </c>
      <c r="D1351" s="21"/>
    </row>
    <row r="1352" spans="1:4" ht="12.75" customHeight="1" x14ac:dyDescent="0.2">
      <c r="A1352" s="21"/>
      <c r="B1352" s="3" t="s">
        <v>9</v>
      </c>
      <c r="C1352" s="23" t="s">
        <v>172</v>
      </c>
      <c r="D1352" s="21"/>
    </row>
    <row r="1353" spans="1:4" ht="12.75" customHeight="1" x14ac:dyDescent="0.2">
      <c r="A1353" s="21"/>
      <c r="B1353" s="3" t="s">
        <v>11</v>
      </c>
      <c r="C1353" s="23" t="s">
        <v>283</v>
      </c>
      <c r="D1353" s="21"/>
    </row>
    <row r="1354" spans="1:4" ht="12.75" customHeight="1" x14ac:dyDescent="0.2">
      <c r="A1354" s="21"/>
      <c r="B1354" s="3" t="s">
        <v>16</v>
      </c>
      <c r="C1354" s="23"/>
      <c r="D1354" s="21"/>
    </row>
    <row r="1355" spans="1:4" ht="12.75" customHeight="1" x14ac:dyDescent="0.2">
      <c r="A1355" s="21"/>
      <c r="B1355" s="3" t="s">
        <v>17</v>
      </c>
      <c r="C1355" s="23" t="s">
        <v>19</v>
      </c>
      <c r="D1355" s="21"/>
    </row>
    <row r="1356" spans="1:4" ht="12.75" customHeight="1" x14ac:dyDescent="0.2">
      <c r="A1356" s="21"/>
      <c r="B1356" s="20" t="s">
        <v>18</v>
      </c>
      <c r="C1356" s="8" t="s">
        <v>44</v>
      </c>
      <c r="D1356" s="1" t="str">
        <f>HYPERLINK("javascript:void(0)","ezüst sisak")</f>
        <v>ezüst sisak</v>
      </c>
    </row>
    <row r="1357" spans="1:4" ht="12.75" customHeight="1" x14ac:dyDescent="0.2">
      <c r="A1357" s="21"/>
      <c r="B1357" s="21"/>
      <c r="C1357" s="8" t="s">
        <v>77</v>
      </c>
      <c r="D1357" s="1" t="str">
        <f>HYPERLINK("javascript:void(0)","rubin")</f>
        <v>rubin</v>
      </c>
    </row>
    <row r="1358" spans="1:4" ht="12.75" customHeight="1" x14ac:dyDescent="0.2">
      <c r="A1358" s="21"/>
      <c r="B1358" s="21"/>
      <c r="C1358" s="8" t="s">
        <v>56</v>
      </c>
      <c r="D1358" s="1" t="str">
        <f>HYPERLINK("javascript:void(0)","arany")</f>
        <v>arany</v>
      </c>
    </row>
    <row r="1359" spans="1:4" ht="12.75" customHeight="1" x14ac:dyDescent="0.2">
      <c r="A1359" s="21"/>
      <c r="B1359" s="2"/>
      <c r="C1359" s="7"/>
      <c r="D1359" s="7"/>
    </row>
    <row r="1360" spans="1:4" ht="12.75" customHeight="1" x14ac:dyDescent="0.2">
      <c r="A1360" s="21"/>
      <c r="B1360" s="2"/>
      <c r="C1360" s="7"/>
      <c r="D1360" s="7"/>
    </row>
    <row r="1361" spans="1:4" ht="12.75" customHeight="1" x14ac:dyDescent="0.2">
      <c r="A1361" s="21"/>
      <c r="B1361" s="2"/>
      <c r="C1361" s="7"/>
      <c r="D1361" s="7"/>
    </row>
    <row r="1362" spans="1:4" ht="12.75" customHeight="1" x14ac:dyDescent="0.2">
      <c r="A1362" s="21"/>
      <c r="B1362" s="2"/>
      <c r="C1362" s="7"/>
      <c r="D1362" s="7"/>
    </row>
    <row r="1363" spans="1:4" ht="12.75" customHeight="1" x14ac:dyDescent="0.2">
      <c r="A1363" s="5"/>
      <c r="B1363" s="2"/>
      <c r="C1363" s="7"/>
      <c r="D1363" s="7"/>
    </row>
    <row r="1364" spans="1:4" ht="12.75" customHeight="1" x14ac:dyDescent="0.2">
      <c r="A1364" s="22" t="str">
        <f>HYPERLINK("javascript:void(0)","rubinpajzs")</f>
        <v>rubinpajzs</v>
      </c>
      <c r="B1364" s="21"/>
      <c r="C1364" s="21"/>
      <c r="D1364" s="21"/>
    </row>
    <row r="1365" spans="1:4" ht="12.75" customHeight="1" x14ac:dyDescent="0.2">
      <c r="A1365" s="20"/>
      <c r="B1365" s="2"/>
      <c r="C1365" s="7"/>
      <c r="D1365" s="7"/>
    </row>
    <row r="1366" spans="1:4" ht="12.75" customHeight="1" x14ac:dyDescent="0.2">
      <c r="A1366" s="21"/>
      <c r="B1366" s="3" t="s">
        <v>0</v>
      </c>
      <c r="C1366" s="23" t="s">
        <v>92</v>
      </c>
      <c r="D1366" s="21"/>
    </row>
    <row r="1367" spans="1:4" ht="12.75" customHeight="1" x14ac:dyDescent="0.2">
      <c r="A1367" s="21"/>
      <c r="B1367" s="3" t="s">
        <v>2</v>
      </c>
      <c r="C1367" s="23" t="s">
        <v>1839</v>
      </c>
      <c r="D1367" s="21"/>
    </row>
    <row r="1368" spans="1:4" ht="12.75" customHeight="1" x14ac:dyDescent="0.2">
      <c r="A1368" s="21"/>
      <c r="B1368" s="3" t="s">
        <v>1840</v>
      </c>
      <c r="C1368" s="23" t="s">
        <v>92</v>
      </c>
      <c r="D1368" s="21"/>
    </row>
    <row r="1369" spans="1:4" ht="12.75" customHeight="1" x14ac:dyDescent="0.2">
      <c r="A1369" s="21"/>
      <c r="B1369" s="3" t="s">
        <v>9</v>
      </c>
      <c r="C1369" s="23" t="s">
        <v>124</v>
      </c>
      <c r="D1369" s="21"/>
    </row>
    <row r="1370" spans="1:4" ht="12.75" customHeight="1" x14ac:dyDescent="0.2">
      <c r="A1370" s="21"/>
      <c r="B1370" s="3" t="s">
        <v>11</v>
      </c>
      <c r="C1370" s="23" t="s">
        <v>1918</v>
      </c>
      <c r="D1370" s="21"/>
    </row>
    <row r="1371" spans="1:4" ht="12.75" customHeight="1" x14ac:dyDescent="0.2">
      <c r="A1371" s="21"/>
      <c r="B1371" s="3" t="s">
        <v>16</v>
      </c>
      <c r="C1371" s="23"/>
      <c r="D1371" s="21"/>
    </row>
    <row r="1372" spans="1:4" ht="12.75" customHeight="1" x14ac:dyDescent="0.2">
      <c r="A1372" s="21"/>
      <c r="B1372" s="3" t="s">
        <v>17</v>
      </c>
      <c r="C1372" s="23" t="s">
        <v>19</v>
      </c>
      <c r="D1372" s="21"/>
    </row>
    <row r="1373" spans="1:4" ht="12.75" customHeight="1" x14ac:dyDescent="0.2">
      <c r="A1373" s="21"/>
      <c r="B1373" s="20" t="s">
        <v>18</v>
      </c>
      <c r="C1373" s="8" t="s">
        <v>44</v>
      </c>
      <c r="D1373" s="1" t="str">
        <f>HYPERLINK("javascript:void(0)","rézpajzs")</f>
        <v>rézpajzs</v>
      </c>
    </row>
    <row r="1374" spans="1:4" ht="12.75" customHeight="1" x14ac:dyDescent="0.2">
      <c r="A1374" s="21"/>
      <c r="B1374" s="21"/>
      <c r="C1374" s="8" t="s">
        <v>77</v>
      </c>
      <c r="D1374" s="1" t="str">
        <f>HYPERLINK("javascript:void(0)","rubin")</f>
        <v>rubin</v>
      </c>
    </row>
    <row r="1375" spans="1:4" ht="12.75" customHeight="1" x14ac:dyDescent="0.2">
      <c r="A1375" s="21"/>
      <c r="B1375" s="21"/>
      <c r="C1375" s="8" t="s">
        <v>55</v>
      </c>
      <c r="D1375" s="1" t="str">
        <f>HYPERLINK("javascript:void(0)","arany")</f>
        <v>arany</v>
      </c>
    </row>
    <row r="1376" spans="1:4" ht="12.75" customHeight="1" x14ac:dyDescent="0.2">
      <c r="A1376" s="21"/>
      <c r="B1376" s="2"/>
      <c r="C1376" s="7"/>
      <c r="D1376" s="7"/>
    </row>
    <row r="1377" spans="1:4" ht="12.75" customHeight="1" x14ac:dyDescent="0.2">
      <c r="A1377" s="21"/>
      <c r="B1377" s="2"/>
      <c r="C1377" s="7"/>
      <c r="D1377" s="7"/>
    </row>
    <row r="1378" spans="1:4" ht="12.75" customHeight="1" x14ac:dyDescent="0.2">
      <c r="A1378" s="21"/>
      <c r="B1378" s="2"/>
      <c r="C1378" s="7"/>
      <c r="D1378" s="7"/>
    </row>
    <row r="1379" spans="1:4" ht="12.75" customHeight="1" x14ac:dyDescent="0.2">
      <c r="A1379" s="21"/>
      <c r="B1379" s="2"/>
      <c r="C1379" s="7"/>
      <c r="D1379" s="7"/>
    </row>
    <row r="1380" spans="1:4" ht="12.75" customHeight="1" x14ac:dyDescent="0.2">
      <c r="A1380" s="5"/>
      <c r="B1380" s="2"/>
      <c r="C1380" s="7"/>
      <c r="D1380" s="7"/>
    </row>
    <row r="1381" spans="1:4" ht="12.75" customHeight="1" x14ac:dyDescent="0.2">
      <c r="A1381" s="22" t="str">
        <f>HYPERLINK("javascript:void(0)","ent sisak")</f>
        <v>ent sisak</v>
      </c>
      <c r="B1381" s="21"/>
      <c r="C1381" s="21"/>
      <c r="D1381" s="7"/>
    </row>
    <row r="1382" spans="1:4" ht="12.75" customHeight="1" x14ac:dyDescent="0.2">
      <c r="A1382" s="20"/>
      <c r="B1382" s="2"/>
      <c r="C1382" s="7"/>
      <c r="D1382" s="7"/>
    </row>
    <row r="1383" spans="1:4" ht="12.75" customHeight="1" x14ac:dyDescent="0.2">
      <c r="A1383" s="21"/>
      <c r="B1383" s="3" t="s">
        <v>0</v>
      </c>
      <c r="C1383" s="9" t="s">
        <v>92</v>
      </c>
      <c r="D1383" s="7"/>
    </row>
    <row r="1384" spans="1:4" ht="12.75" customHeight="1" x14ac:dyDescent="0.2">
      <c r="A1384" s="21"/>
      <c r="B1384" s="3" t="s">
        <v>2</v>
      </c>
      <c r="C1384" s="9"/>
      <c r="D1384" s="7"/>
    </row>
    <row r="1385" spans="1:4" ht="12.75" customHeight="1" x14ac:dyDescent="0.2">
      <c r="A1385" s="21"/>
      <c r="B1385" s="3" t="s">
        <v>1840</v>
      </c>
      <c r="C1385" s="9" t="s">
        <v>72</v>
      </c>
      <c r="D1385" s="7"/>
    </row>
    <row r="1386" spans="1:4" ht="12.75" customHeight="1" x14ac:dyDescent="0.2">
      <c r="A1386" s="21"/>
      <c r="B1386" s="3" t="s">
        <v>9</v>
      </c>
      <c r="C1386" s="9" t="s">
        <v>210</v>
      </c>
      <c r="D1386" s="7"/>
    </row>
    <row r="1387" spans="1:4" ht="25.5" customHeight="1" x14ac:dyDescent="0.2">
      <c r="A1387" s="21"/>
      <c r="B1387" s="3" t="s">
        <v>11</v>
      </c>
      <c r="C1387" s="9" t="s">
        <v>2595</v>
      </c>
      <c r="D1387" s="7"/>
    </row>
    <row r="1388" spans="1:4" ht="12.75" customHeight="1" x14ac:dyDescent="0.2">
      <c r="A1388" s="21"/>
      <c r="B1388" s="3" t="s">
        <v>16</v>
      </c>
      <c r="C1388" s="9"/>
      <c r="D1388" s="7"/>
    </row>
    <row r="1389" spans="1:4" ht="12.75" customHeight="1" x14ac:dyDescent="0.2">
      <c r="A1389" s="21"/>
      <c r="B1389" s="3" t="s">
        <v>17</v>
      </c>
      <c r="C1389" s="9" t="s">
        <v>19</v>
      </c>
      <c r="D1389" s="7"/>
    </row>
    <row r="1390" spans="1:4" ht="12.75" customHeight="1" x14ac:dyDescent="0.2">
      <c r="A1390" s="21"/>
      <c r="B1390" s="3" t="s">
        <v>18</v>
      </c>
      <c r="C1390" s="8" t="s">
        <v>19</v>
      </c>
      <c r="D1390" s="7"/>
    </row>
    <row r="1391" spans="1:4" ht="12.75" customHeight="1" x14ac:dyDescent="0.2">
      <c r="A1391" s="21"/>
      <c r="B1391" s="2"/>
      <c r="C1391" s="7"/>
      <c r="D1391" s="7"/>
    </row>
    <row r="1392" spans="1:4" ht="12.75" customHeight="1" x14ac:dyDescent="0.2">
      <c r="A1392" s="21"/>
      <c r="B1392" s="2"/>
      <c r="C1392" s="7"/>
      <c r="D1392" s="7"/>
    </row>
    <row r="1393" spans="1:4" ht="12.75" customHeight="1" x14ac:dyDescent="0.2">
      <c r="A1393" s="21"/>
      <c r="B1393" s="2"/>
      <c r="C1393" s="7"/>
      <c r="D1393" s="7"/>
    </row>
    <row r="1394" spans="1:4" ht="12.75" customHeight="1" x14ac:dyDescent="0.2">
      <c r="A1394" s="21"/>
      <c r="B1394" s="2"/>
      <c r="C1394" s="7"/>
      <c r="D1394" s="7"/>
    </row>
    <row r="1395" spans="1:4" ht="12.75" customHeight="1" x14ac:dyDescent="0.2">
      <c r="A1395" s="5"/>
      <c r="B1395" s="2"/>
      <c r="C1395" s="7"/>
      <c r="D1395" s="7"/>
    </row>
    <row r="1396" spans="1:4" ht="12.75" customHeight="1" x14ac:dyDescent="0.2">
      <c r="A1396" s="22" t="str">
        <f>HYPERLINK("javascript:void(0)","diszpropajzs")</f>
        <v>diszpropajzs</v>
      </c>
      <c r="B1396" s="21"/>
      <c r="C1396" s="21"/>
      <c r="D1396" s="21"/>
    </row>
    <row r="1397" spans="1:4" ht="12.75" customHeight="1" x14ac:dyDescent="0.2">
      <c r="A1397" s="20"/>
      <c r="B1397" s="2"/>
      <c r="C1397" s="7"/>
      <c r="D1397" s="7"/>
    </row>
    <row r="1398" spans="1:4" ht="12.75" customHeight="1" x14ac:dyDescent="0.2">
      <c r="A1398" s="21"/>
      <c r="B1398" s="3" t="s">
        <v>0</v>
      </c>
      <c r="C1398" s="23" t="s">
        <v>92</v>
      </c>
      <c r="D1398" s="21"/>
    </row>
    <row r="1399" spans="1:4" ht="12.75" customHeight="1" x14ac:dyDescent="0.2">
      <c r="A1399" s="21"/>
      <c r="B1399" s="3" t="s">
        <v>2</v>
      </c>
      <c r="C1399" s="23" t="s">
        <v>1839</v>
      </c>
      <c r="D1399" s="21"/>
    </row>
    <row r="1400" spans="1:4" ht="12.75" customHeight="1" x14ac:dyDescent="0.2">
      <c r="A1400" s="21"/>
      <c r="B1400" s="3" t="s">
        <v>1840</v>
      </c>
      <c r="C1400" s="23" t="s">
        <v>100</v>
      </c>
      <c r="D1400" s="21"/>
    </row>
    <row r="1401" spans="1:4" ht="12.75" customHeight="1" x14ac:dyDescent="0.2">
      <c r="A1401" s="21"/>
      <c r="B1401" s="3" t="s">
        <v>9</v>
      </c>
      <c r="C1401" s="23" t="s">
        <v>630</v>
      </c>
      <c r="D1401" s="21"/>
    </row>
    <row r="1402" spans="1:4" ht="12.75" customHeight="1" x14ac:dyDescent="0.2">
      <c r="A1402" s="21"/>
      <c r="B1402" s="3" t="s">
        <v>11</v>
      </c>
      <c r="C1402" s="23" t="s">
        <v>1921</v>
      </c>
      <c r="D1402" s="21"/>
    </row>
    <row r="1403" spans="1:4" ht="12.75" customHeight="1" x14ac:dyDescent="0.2">
      <c r="A1403" s="21"/>
      <c r="B1403" s="3" t="s">
        <v>16</v>
      </c>
      <c r="C1403" s="23"/>
      <c r="D1403" s="21"/>
    </row>
    <row r="1404" spans="1:4" ht="12.75" customHeight="1" x14ac:dyDescent="0.2">
      <c r="A1404" s="21"/>
      <c r="B1404" s="3" t="s">
        <v>17</v>
      </c>
      <c r="C1404" s="23" t="s">
        <v>19</v>
      </c>
      <c r="D1404" s="21"/>
    </row>
    <row r="1405" spans="1:4" ht="12.75" customHeight="1" x14ac:dyDescent="0.2">
      <c r="A1405" s="21"/>
      <c r="B1405" s="20" t="s">
        <v>18</v>
      </c>
      <c r="C1405" s="8" t="s">
        <v>44</v>
      </c>
      <c r="D1405" s="1" t="str">
        <f>HYPERLINK("javascript:void(0)","skivei pajzs")</f>
        <v>skivei pajzs</v>
      </c>
    </row>
    <row r="1406" spans="1:4" ht="12.75" customHeight="1" x14ac:dyDescent="0.2">
      <c r="A1406" s="21"/>
      <c r="B1406" s="21"/>
      <c r="C1406" s="8" t="s">
        <v>57</v>
      </c>
      <c r="D1406" s="1" t="str">
        <f>HYPERLINK("javascript:void(0)","diszprózium")</f>
        <v>diszprózium</v>
      </c>
    </row>
    <row r="1407" spans="1:4" ht="12.75" customHeight="1" x14ac:dyDescent="0.2">
      <c r="A1407" s="21"/>
      <c r="B1407" s="21"/>
      <c r="C1407" s="8" t="s">
        <v>56</v>
      </c>
      <c r="D1407" s="1" t="str">
        <f>HYPERLINK("javascript:void(0)","gyémánt")</f>
        <v>gyémánt</v>
      </c>
    </row>
    <row r="1408" spans="1:4" ht="12.75" customHeight="1" x14ac:dyDescent="0.2">
      <c r="A1408" s="21"/>
      <c r="B1408" s="2"/>
      <c r="C1408" s="7"/>
      <c r="D1408" s="7"/>
    </row>
    <row r="1409" spans="1:4" ht="12.75" customHeight="1" x14ac:dyDescent="0.2">
      <c r="A1409" s="21"/>
      <c r="B1409" s="2"/>
      <c r="C1409" s="7"/>
      <c r="D1409" s="7"/>
    </row>
    <row r="1410" spans="1:4" ht="12.75" customHeight="1" x14ac:dyDescent="0.2">
      <c r="A1410" s="21"/>
      <c r="B1410" s="2"/>
      <c r="C1410" s="7"/>
      <c r="D1410" s="7"/>
    </row>
    <row r="1411" spans="1:4" ht="12.75" customHeight="1" x14ac:dyDescent="0.2">
      <c r="A1411" s="21"/>
      <c r="B1411" s="2"/>
      <c r="C1411" s="7"/>
      <c r="D1411" s="7"/>
    </row>
    <row r="1412" spans="1:4" ht="12.75" customHeight="1" x14ac:dyDescent="0.2">
      <c r="A1412" s="5"/>
      <c r="B1412" s="2"/>
      <c r="C1412" s="7"/>
      <c r="D1412" s="7"/>
    </row>
    <row r="1413" spans="1:4" ht="12.75" customHeight="1" x14ac:dyDescent="0.2">
      <c r="A1413" s="22" t="str">
        <f>HYPERLINK("javascript:void(0)","varázsige")</f>
        <v>varázsige</v>
      </c>
      <c r="B1413" s="21"/>
      <c r="C1413" s="21"/>
      <c r="D1413" s="21"/>
    </row>
    <row r="1414" spans="1:4" ht="12.75" customHeight="1" x14ac:dyDescent="0.2">
      <c r="A1414" s="20"/>
      <c r="B1414" s="2"/>
      <c r="C1414" s="7"/>
      <c r="D1414" s="7"/>
    </row>
    <row r="1415" spans="1:4" ht="12.75" customHeight="1" x14ac:dyDescent="0.2">
      <c r="A1415" s="21"/>
      <c r="B1415" s="3" t="s">
        <v>0</v>
      </c>
      <c r="C1415" s="23" t="s">
        <v>92</v>
      </c>
      <c r="D1415" s="21"/>
    </row>
    <row r="1416" spans="1:4" ht="12.75" customHeight="1" x14ac:dyDescent="0.2">
      <c r="A1416" s="21"/>
      <c r="B1416" s="3" t="s">
        <v>2</v>
      </c>
      <c r="C1416" s="23" t="s">
        <v>1839</v>
      </c>
      <c r="D1416" s="21"/>
    </row>
    <row r="1417" spans="1:4" ht="12.75" customHeight="1" x14ac:dyDescent="0.2">
      <c r="A1417" s="21"/>
      <c r="B1417" s="3" t="s">
        <v>1840</v>
      </c>
      <c r="C1417" s="23" t="s">
        <v>21</v>
      </c>
      <c r="D1417" s="21"/>
    </row>
    <row r="1418" spans="1:4" ht="12.75" customHeight="1" x14ac:dyDescent="0.2">
      <c r="A1418" s="21"/>
      <c r="B1418" s="3" t="s">
        <v>9</v>
      </c>
      <c r="C1418" s="23" t="s">
        <v>27</v>
      </c>
      <c r="D1418" s="21"/>
    </row>
    <row r="1419" spans="1:4" ht="12.75" customHeight="1" x14ac:dyDescent="0.2">
      <c r="A1419" s="21"/>
      <c r="B1419" s="3" t="s">
        <v>11</v>
      </c>
      <c r="C1419" s="23" t="s">
        <v>186</v>
      </c>
      <c r="D1419" s="21"/>
    </row>
    <row r="1420" spans="1:4" ht="12.75" customHeight="1" x14ac:dyDescent="0.2">
      <c r="A1420" s="21"/>
      <c r="B1420" s="3" t="s">
        <v>16</v>
      </c>
      <c r="C1420" s="23"/>
      <c r="D1420" s="21"/>
    </row>
    <row r="1421" spans="1:4" ht="12.75" customHeight="1" x14ac:dyDescent="0.2">
      <c r="A1421" s="21"/>
      <c r="B1421" s="3" t="s">
        <v>17</v>
      </c>
      <c r="C1421" s="23" t="s">
        <v>19</v>
      </c>
      <c r="D1421" s="21"/>
    </row>
    <row r="1422" spans="1:4" ht="12.75" customHeight="1" x14ac:dyDescent="0.2">
      <c r="A1422" s="21"/>
      <c r="B1422" s="20" t="s">
        <v>18</v>
      </c>
      <c r="C1422" s="8" t="s">
        <v>44</v>
      </c>
      <c r="D1422" s="1" t="str">
        <f>HYPERLINK("javascript:void(0)","melegige")</f>
        <v>melegige</v>
      </c>
    </row>
    <row r="1423" spans="1:4" ht="12.75" customHeight="1" x14ac:dyDescent="0.2">
      <c r="A1423" s="21"/>
      <c r="B1423" s="21"/>
      <c r="C1423" s="8" t="s">
        <v>44</v>
      </c>
      <c r="D1423" s="1" t="str">
        <f>HYPERLINK("javascript:void(0)","hidegige")</f>
        <v>hidegige</v>
      </c>
    </row>
    <row r="1424" spans="1:4" ht="12.75" customHeight="1" x14ac:dyDescent="0.2">
      <c r="A1424" s="21"/>
      <c r="B1424" s="21"/>
      <c r="C1424" s="8" t="s">
        <v>232</v>
      </c>
      <c r="D1424" s="1" t="str">
        <f>HYPERLINK("javascript:void(0)","elementál eszencia")</f>
        <v>elementál eszencia</v>
      </c>
    </row>
    <row r="1425" spans="1:4" ht="12.75" customHeight="1" x14ac:dyDescent="0.2">
      <c r="A1425" s="21"/>
      <c r="B1425" s="2"/>
      <c r="C1425" s="7"/>
      <c r="D1425" s="7"/>
    </row>
    <row r="1426" spans="1:4" ht="12.75" customHeight="1" x14ac:dyDescent="0.2">
      <c r="A1426" s="21"/>
      <c r="B1426" s="2"/>
      <c r="C1426" s="7"/>
      <c r="D1426" s="7"/>
    </row>
    <row r="1427" spans="1:4" ht="12.75" customHeight="1" x14ac:dyDescent="0.2">
      <c r="A1427" s="21"/>
      <c r="B1427" s="2"/>
      <c r="C1427" s="7"/>
      <c r="D1427" s="7"/>
    </row>
    <row r="1428" spans="1:4" ht="12.75" customHeight="1" x14ac:dyDescent="0.2">
      <c r="A1428" s="21"/>
      <c r="B1428" s="2"/>
      <c r="C1428" s="7"/>
      <c r="D1428" s="7"/>
    </row>
    <row r="1429" spans="1:4" ht="12.75" customHeight="1" x14ac:dyDescent="0.2">
      <c r="A1429" s="5"/>
      <c r="B1429" s="2"/>
      <c r="C1429" s="7"/>
      <c r="D1429" s="7"/>
    </row>
    <row r="1430" spans="1:4" ht="12.75" customHeight="1" x14ac:dyDescent="0.2">
      <c r="A1430" s="22" t="str">
        <f>HYPERLINK("javascript:void(0)","bronzcsizma")</f>
        <v>bronzcsizma</v>
      </c>
      <c r="B1430" s="21"/>
      <c r="C1430" s="21"/>
      <c r="D1430" s="21"/>
    </row>
    <row r="1431" spans="1:4" ht="12.75" customHeight="1" x14ac:dyDescent="0.2">
      <c r="A1431" s="20"/>
      <c r="B1431" s="2"/>
      <c r="C1431" s="7"/>
      <c r="D1431" s="7"/>
    </row>
    <row r="1432" spans="1:4" ht="12.75" customHeight="1" x14ac:dyDescent="0.2">
      <c r="A1432" s="21"/>
      <c r="B1432" s="3" t="s">
        <v>0</v>
      </c>
      <c r="C1432" s="23" t="s">
        <v>100</v>
      </c>
      <c r="D1432" s="21"/>
    </row>
    <row r="1433" spans="1:4" ht="12.75" customHeight="1" x14ac:dyDescent="0.2">
      <c r="A1433" s="21"/>
      <c r="B1433" s="3" t="s">
        <v>2</v>
      </c>
      <c r="C1433" s="23"/>
      <c r="D1433" s="21"/>
    </row>
    <row r="1434" spans="1:4" ht="12.75" customHeight="1" x14ac:dyDescent="0.2">
      <c r="A1434" s="21"/>
      <c r="B1434" s="3" t="s">
        <v>1840</v>
      </c>
      <c r="C1434" s="23" t="s">
        <v>64</v>
      </c>
      <c r="D1434" s="21"/>
    </row>
    <row r="1435" spans="1:4" ht="12.75" customHeight="1" x14ac:dyDescent="0.2">
      <c r="A1435" s="21"/>
      <c r="B1435" s="3" t="s">
        <v>9</v>
      </c>
      <c r="C1435" s="23" t="s">
        <v>135</v>
      </c>
      <c r="D1435" s="21"/>
    </row>
    <row r="1436" spans="1:4" ht="12.75" customHeight="1" x14ac:dyDescent="0.2">
      <c r="A1436" s="21"/>
      <c r="B1436" s="3" t="s">
        <v>11</v>
      </c>
      <c r="C1436" s="23" t="s">
        <v>1891</v>
      </c>
      <c r="D1436" s="21"/>
    </row>
    <row r="1437" spans="1:4" ht="12.75" customHeight="1" x14ac:dyDescent="0.2">
      <c r="A1437" s="21"/>
      <c r="B1437" s="3" t="s">
        <v>16</v>
      </c>
      <c r="C1437" s="23"/>
      <c r="D1437" s="21"/>
    </row>
    <row r="1438" spans="1:4" ht="12.75" customHeight="1" x14ac:dyDescent="0.2">
      <c r="A1438" s="21"/>
      <c r="B1438" s="3" t="s">
        <v>17</v>
      </c>
      <c r="C1438" s="23" t="s">
        <v>19</v>
      </c>
      <c r="D1438" s="21"/>
    </row>
    <row r="1439" spans="1:4" ht="12.75" customHeight="1" x14ac:dyDescent="0.2">
      <c r="A1439" s="21"/>
      <c r="B1439" s="20" t="s">
        <v>18</v>
      </c>
      <c r="C1439" s="8" t="s">
        <v>44</v>
      </c>
      <c r="D1439" s="1" t="str">
        <f>HYPERLINK("javascript:void(0)","törpe csizma")</f>
        <v>törpe csizma</v>
      </c>
    </row>
    <row r="1440" spans="1:4" ht="12.75" customHeight="1" x14ac:dyDescent="0.2">
      <c r="A1440" s="21"/>
      <c r="B1440" s="21"/>
      <c r="C1440" s="8" t="s">
        <v>68</v>
      </c>
      <c r="D1440" s="1" t="str">
        <f>HYPERLINK("javascript:void(0)","rézérc")</f>
        <v>rézérc</v>
      </c>
    </row>
    <row r="1441" spans="1:4" ht="12.75" customHeight="1" x14ac:dyDescent="0.2">
      <c r="A1441" s="21"/>
      <c r="B1441" s="21"/>
      <c r="C1441" s="8" t="s">
        <v>55</v>
      </c>
      <c r="D1441" s="1" t="str">
        <f>HYPERLINK("javascript:void(0)","óngolyó")</f>
        <v>óngolyó</v>
      </c>
    </row>
    <row r="1442" spans="1:4" ht="12.75" customHeight="1" x14ac:dyDescent="0.2">
      <c r="A1442" s="21"/>
      <c r="B1442" s="2"/>
      <c r="C1442" s="7"/>
      <c r="D1442" s="7"/>
    </row>
    <row r="1443" spans="1:4" ht="12.75" customHeight="1" x14ac:dyDescent="0.2">
      <c r="A1443" s="21"/>
      <c r="B1443" s="2"/>
      <c r="C1443" s="7"/>
      <c r="D1443" s="7"/>
    </row>
    <row r="1444" spans="1:4" ht="12.75" customHeight="1" x14ac:dyDescent="0.2">
      <c r="A1444" s="21"/>
      <c r="B1444" s="2"/>
      <c r="C1444" s="7"/>
      <c r="D1444" s="7"/>
    </row>
    <row r="1445" spans="1:4" ht="12.75" customHeight="1" x14ac:dyDescent="0.2">
      <c r="A1445" s="21"/>
      <c r="B1445" s="2"/>
      <c r="C1445" s="7"/>
      <c r="D1445" s="7"/>
    </row>
    <row r="1446" spans="1:4" ht="12.75" customHeight="1" x14ac:dyDescent="0.2">
      <c r="A1446" s="5"/>
      <c r="B1446" s="2"/>
      <c r="C1446" s="7"/>
      <c r="D1446" s="7"/>
    </row>
    <row r="1447" spans="1:4" ht="12.75" customHeight="1" x14ac:dyDescent="0.2">
      <c r="A1447" s="22" t="str">
        <f>HYPERLINK("javascript:void(0)","arany testpajzs")</f>
        <v>arany testpajzs</v>
      </c>
      <c r="B1447" s="21"/>
      <c r="C1447" s="21"/>
      <c r="D1447" s="21"/>
    </row>
    <row r="1448" spans="1:4" ht="12.75" customHeight="1" x14ac:dyDescent="0.2">
      <c r="A1448" s="20"/>
      <c r="B1448" s="2"/>
      <c r="C1448" s="7"/>
      <c r="D1448" s="7"/>
    </row>
    <row r="1449" spans="1:4" ht="12.75" customHeight="1" x14ac:dyDescent="0.2">
      <c r="A1449" s="21"/>
      <c r="B1449" s="3" t="s">
        <v>0</v>
      </c>
      <c r="C1449" s="23" t="s">
        <v>100</v>
      </c>
      <c r="D1449" s="21"/>
    </row>
    <row r="1450" spans="1:4" ht="12.75" customHeight="1" x14ac:dyDescent="0.2">
      <c r="A1450" s="21"/>
      <c r="B1450" s="3" t="s">
        <v>2</v>
      </c>
      <c r="C1450" s="23" t="s">
        <v>1839</v>
      </c>
      <c r="D1450" s="21"/>
    </row>
    <row r="1451" spans="1:4" ht="12.75" customHeight="1" x14ac:dyDescent="0.2">
      <c r="A1451" s="21"/>
      <c r="B1451" s="3" t="s">
        <v>1840</v>
      </c>
      <c r="C1451" s="23" t="s">
        <v>100</v>
      </c>
      <c r="D1451" s="21"/>
    </row>
    <row r="1452" spans="1:4" ht="12.75" customHeight="1" x14ac:dyDescent="0.2">
      <c r="A1452" s="21"/>
      <c r="B1452" s="3" t="s">
        <v>9</v>
      </c>
      <c r="C1452" s="23" t="s">
        <v>1926</v>
      </c>
      <c r="D1452" s="21"/>
    </row>
    <row r="1453" spans="1:4" ht="12.75" customHeight="1" x14ac:dyDescent="0.2">
      <c r="A1453" s="21"/>
      <c r="B1453" s="3" t="s">
        <v>11</v>
      </c>
      <c r="C1453" s="23" t="s">
        <v>1927</v>
      </c>
      <c r="D1453" s="21"/>
    </row>
    <row r="1454" spans="1:4" ht="12.75" customHeight="1" x14ac:dyDescent="0.2">
      <c r="A1454" s="21"/>
      <c r="B1454" s="3" t="s">
        <v>16</v>
      </c>
      <c r="C1454" s="23"/>
      <c r="D1454" s="21"/>
    </row>
    <row r="1455" spans="1:4" ht="12.75" customHeight="1" x14ac:dyDescent="0.2">
      <c r="A1455" s="21"/>
      <c r="B1455" s="3" t="s">
        <v>17</v>
      </c>
      <c r="C1455" s="23" t="s">
        <v>19</v>
      </c>
      <c r="D1455" s="21"/>
    </row>
    <row r="1456" spans="1:4" ht="12.75" customHeight="1" x14ac:dyDescent="0.2">
      <c r="A1456" s="21"/>
      <c r="B1456" s="20" t="s">
        <v>18</v>
      </c>
      <c r="C1456" s="8" t="s">
        <v>44</v>
      </c>
      <c r="D1456" s="1" t="str">
        <f>HYPERLINK("javascript:void(0)","ezüst testpajzs")</f>
        <v>ezüst testpajzs</v>
      </c>
    </row>
    <row r="1457" spans="1:4" ht="12.75" customHeight="1" x14ac:dyDescent="0.2">
      <c r="A1457" s="21"/>
      <c r="B1457" s="21"/>
      <c r="C1457" s="8" t="s">
        <v>98</v>
      </c>
      <c r="D1457" s="1" t="str">
        <f>HYPERLINK("javascript:void(0)","arany")</f>
        <v>arany</v>
      </c>
    </row>
    <row r="1458" spans="1:4" ht="12.75" customHeight="1" x14ac:dyDescent="0.2">
      <c r="A1458" s="21"/>
      <c r="B1458" s="21"/>
      <c r="C1458" s="8" t="s">
        <v>44</v>
      </c>
      <c r="D1458" s="1" t="str">
        <f>HYPERLINK("javascript:void(0)","gyémánt")</f>
        <v>gyémánt</v>
      </c>
    </row>
    <row r="1459" spans="1:4" ht="12.75" customHeight="1" x14ac:dyDescent="0.2">
      <c r="A1459" s="21"/>
      <c r="B1459" s="2"/>
      <c r="C1459" s="7"/>
      <c r="D1459" s="7"/>
    </row>
    <row r="1460" spans="1:4" ht="12.75" customHeight="1" x14ac:dyDescent="0.2">
      <c r="A1460" s="21"/>
      <c r="B1460" s="2"/>
      <c r="C1460" s="7"/>
      <c r="D1460" s="7"/>
    </row>
    <row r="1461" spans="1:4" ht="12.75" customHeight="1" x14ac:dyDescent="0.2">
      <c r="A1461" s="21"/>
      <c r="B1461" s="2"/>
      <c r="C1461" s="7"/>
      <c r="D1461" s="7"/>
    </row>
    <row r="1462" spans="1:4" ht="12.75" customHeight="1" x14ac:dyDescent="0.2">
      <c r="A1462" s="21"/>
      <c r="B1462" s="2"/>
      <c r="C1462" s="7"/>
      <c r="D1462" s="7"/>
    </row>
    <row r="1463" spans="1:4" ht="12.75" customHeight="1" x14ac:dyDescent="0.2">
      <c r="A1463" s="5"/>
      <c r="B1463" s="2"/>
      <c r="C1463" s="7"/>
      <c r="D1463" s="7"/>
    </row>
    <row r="1464" spans="1:4" ht="12.75" customHeight="1" x14ac:dyDescent="0.2">
      <c r="A1464" s="22" t="str">
        <f>HYPERLINK("javascript:void(0)","diszpro testpajzs")</f>
        <v>diszpro testpajzs</v>
      </c>
      <c r="B1464" s="21"/>
      <c r="C1464" s="21"/>
      <c r="D1464" s="21"/>
    </row>
    <row r="1465" spans="1:4" ht="12.75" customHeight="1" x14ac:dyDescent="0.2">
      <c r="A1465" s="20"/>
      <c r="B1465" s="2"/>
      <c r="C1465" s="7"/>
      <c r="D1465" s="7"/>
    </row>
    <row r="1466" spans="1:4" ht="12.75" customHeight="1" x14ac:dyDescent="0.2">
      <c r="A1466" s="21"/>
      <c r="B1466" s="3" t="s">
        <v>0</v>
      </c>
      <c r="C1466" s="23" t="s">
        <v>100</v>
      </c>
      <c r="D1466" s="21"/>
    </row>
    <row r="1467" spans="1:4" ht="12.75" customHeight="1" x14ac:dyDescent="0.2">
      <c r="A1467" s="21"/>
      <c r="B1467" s="3" t="s">
        <v>2</v>
      </c>
      <c r="C1467" s="23" t="s">
        <v>1839</v>
      </c>
      <c r="D1467" s="21"/>
    </row>
    <row r="1468" spans="1:4" ht="12.75" customHeight="1" x14ac:dyDescent="0.2">
      <c r="A1468" s="21"/>
      <c r="B1468" s="3" t="s">
        <v>1840</v>
      </c>
      <c r="C1468" s="23" t="s">
        <v>118</v>
      </c>
      <c r="D1468" s="21"/>
    </row>
    <row r="1469" spans="1:4" ht="12.75" customHeight="1" x14ac:dyDescent="0.2">
      <c r="A1469" s="21"/>
      <c r="B1469" s="3" t="s">
        <v>9</v>
      </c>
      <c r="C1469" s="23" t="s">
        <v>249</v>
      </c>
      <c r="D1469" s="21"/>
    </row>
    <row r="1470" spans="1:4" ht="12.75" customHeight="1" x14ac:dyDescent="0.2">
      <c r="A1470" s="21"/>
      <c r="B1470" s="3" t="s">
        <v>11</v>
      </c>
      <c r="C1470" s="23" t="s">
        <v>251</v>
      </c>
      <c r="D1470" s="21"/>
    </row>
    <row r="1471" spans="1:4" ht="12.75" customHeight="1" x14ac:dyDescent="0.2">
      <c r="A1471" s="21"/>
      <c r="B1471" s="3" t="s">
        <v>16</v>
      </c>
      <c r="C1471" s="23"/>
      <c r="D1471" s="21"/>
    </row>
    <row r="1472" spans="1:4" ht="12.75" customHeight="1" x14ac:dyDescent="0.2">
      <c r="A1472" s="21"/>
      <c r="B1472" s="3" t="s">
        <v>17</v>
      </c>
      <c r="C1472" s="23" t="s">
        <v>19</v>
      </c>
      <c r="D1472" s="21"/>
    </row>
    <row r="1473" spans="1:4" ht="12.75" customHeight="1" x14ac:dyDescent="0.2">
      <c r="A1473" s="21"/>
      <c r="B1473" s="20" t="s">
        <v>18</v>
      </c>
      <c r="C1473" s="8" t="s">
        <v>44</v>
      </c>
      <c r="D1473" s="1" t="str">
        <f>HYPERLINK("javascript:void(0)","rimföldi testpajzs")</f>
        <v>rimföldi testpajzs</v>
      </c>
    </row>
    <row r="1474" spans="1:4" ht="12.75" customHeight="1" x14ac:dyDescent="0.2">
      <c r="A1474" s="21"/>
      <c r="B1474" s="21"/>
      <c r="C1474" s="8" t="s">
        <v>55</v>
      </c>
      <c r="D1474" s="1" t="str">
        <f>HYPERLINK("javascript:void(0)","diszprózium")</f>
        <v>diszprózium</v>
      </c>
    </row>
    <row r="1475" spans="1:4" ht="12.75" customHeight="1" x14ac:dyDescent="0.2">
      <c r="A1475" s="21"/>
      <c r="B1475" s="21"/>
      <c r="C1475" s="8" t="s">
        <v>56</v>
      </c>
      <c r="D1475" s="1" t="str">
        <f>HYPERLINK("javascript:void(0)","gyémánt")</f>
        <v>gyémánt</v>
      </c>
    </row>
    <row r="1476" spans="1:4" ht="12.75" customHeight="1" x14ac:dyDescent="0.2">
      <c r="A1476" s="21"/>
      <c r="B1476" s="2"/>
      <c r="C1476" s="7"/>
      <c r="D1476" s="7"/>
    </row>
    <row r="1477" spans="1:4" ht="12.75" customHeight="1" x14ac:dyDescent="0.2">
      <c r="A1477" s="21"/>
      <c r="B1477" s="2"/>
      <c r="C1477" s="7"/>
      <c r="D1477" s="7"/>
    </row>
    <row r="1478" spans="1:4" ht="12.75" customHeight="1" x14ac:dyDescent="0.2">
      <c r="A1478" s="21"/>
      <c r="B1478" s="2"/>
      <c r="C1478" s="7"/>
      <c r="D1478" s="7"/>
    </row>
    <row r="1479" spans="1:4" ht="12.75" customHeight="1" x14ac:dyDescent="0.2">
      <c r="A1479" s="21"/>
      <c r="B1479" s="2"/>
      <c r="C1479" s="7"/>
      <c r="D1479" s="7"/>
    </row>
    <row r="1480" spans="1:4" ht="12.75" customHeight="1" x14ac:dyDescent="0.2">
      <c r="A1480" s="5"/>
      <c r="B1480" s="2"/>
      <c r="C1480" s="7"/>
      <c r="D1480" s="7"/>
    </row>
    <row r="1481" spans="1:4" ht="12.75" customHeight="1" x14ac:dyDescent="0.2">
      <c r="A1481" s="22" t="str">
        <f>HYPERLINK("javascript:void(0)","kitinpajzs")</f>
        <v>kitinpajzs</v>
      </c>
      <c r="B1481" s="21"/>
      <c r="C1481" s="21"/>
      <c r="D1481" s="21"/>
    </row>
    <row r="1482" spans="1:4" ht="12.75" customHeight="1" x14ac:dyDescent="0.2">
      <c r="A1482" s="20"/>
      <c r="B1482" s="2"/>
      <c r="C1482" s="7"/>
      <c r="D1482" s="7"/>
    </row>
    <row r="1483" spans="1:4" ht="12.75" customHeight="1" x14ac:dyDescent="0.2">
      <c r="A1483" s="21"/>
      <c r="B1483" s="3" t="s">
        <v>0</v>
      </c>
      <c r="C1483" s="23" t="s">
        <v>100</v>
      </c>
      <c r="D1483" s="21"/>
    </row>
    <row r="1484" spans="1:4" ht="12.75" customHeight="1" x14ac:dyDescent="0.2">
      <c r="A1484" s="21"/>
      <c r="B1484" s="3" t="s">
        <v>2</v>
      </c>
      <c r="C1484" s="23" t="s">
        <v>1839</v>
      </c>
      <c r="D1484" s="21"/>
    </row>
    <row r="1485" spans="1:4" ht="12.75" customHeight="1" x14ac:dyDescent="0.2">
      <c r="A1485" s="21"/>
      <c r="B1485" s="3" t="s">
        <v>1840</v>
      </c>
      <c r="C1485" s="23" t="s">
        <v>100</v>
      </c>
      <c r="D1485" s="21"/>
    </row>
    <row r="1486" spans="1:4" ht="12.75" customHeight="1" x14ac:dyDescent="0.2">
      <c r="A1486" s="21"/>
      <c r="B1486" s="3" t="s">
        <v>9</v>
      </c>
      <c r="C1486" s="23" t="s">
        <v>1255</v>
      </c>
      <c r="D1486" s="21"/>
    </row>
    <row r="1487" spans="1:4" ht="12.75" customHeight="1" x14ac:dyDescent="0.2">
      <c r="A1487" s="21"/>
      <c r="B1487" s="3" t="s">
        <v>11</v>
      </c>
      <c r="C1487" s="23" t="s">
        <v>1929</v>
      </c>
      <c r="D1487" s="21"/>
    </row>
    <row r="1488" spans="1:4" ht="12.75" customHeight="1" x14ac:dyDescent="0.2">
      <c r="A1488" s="21"/>
      <c r="B1488" s="3" t="s">
        <v>16</v>
      </c>
      <c r="C1488" s="23"/>
      <c r="D1488" s="21"/>
    </row>
    <row r="1489" spans="1:4" ht="12.75" customHeight="1" x14ac:dyDescent="0.2">
      <c r="A1489" s="21"/>
      <c r="B1489" s="3" t="s">
        <v>17</v>
      </c>
      <c r="C1489" s="23" t="s">
        <v>19</v>
      </c>
      <c r="D1489" s="21"/>
    </row>
    <row r="1490" spans="1:4" ht="12.75" customHeight="1" x14ac:dyDescent="0.2">
      <c r="A1490" s="21"/>
      <c r="B1490" s="20" t="s">
        <v>18</v>
      </c>
      <c r="C1490" s="8" t="s">
        <v>67</v>
      </c>
      <c r="D1490" s="1" t="str">
        <f>HYPERLINK("javascript:void(0)","kitinpenge")</f>
        <v>kitinpenge</v>
      </c>
    </row>
    <row r="1491" spans="1:4" ht="12.75" customHeight="1" x14ac:dyDescent="0.2">
      <c r="A1491" s="21"/>
      <c r="B1491" s="21"/>
      <c r="C1491" s="8" t="s">
        <v>196</v>
      </c>
      <c r="D1491" s="1" t="str">
        <f>HYPERLINK("javascript:void(0)","vasérc")</f>
        <v>vasérc</v>
      </c>
    </row>
    <row r="1492" spans="1:4" ht="12.75" customHeight="1" x14ac:dyDescent="0.2">
      <c r="A1492" s="21"/>
      <c r="B1492" s="21"/>
      <c r="C1492" s="8" t="s">
        <v>102</v>
      </c>
      <c r="D1492" s="1" t="str">
        <f>HYPERLINK("javascript:void(0)","mézbalzsam")</f>
        <v>mézbalzsam</v>
      </c>
    </row>
    <row r="1493" spans="1:4" ht="12.75" customHeight="1" x14ac:dyDescent="0.2">
      <c r="A1493" s="21"/>
      <c r="B1493" s="2"/>
      <c r="C1493" s="7"/>
      <c r="D1493" s="7"/>
    </row>
    <row r="1494" spans="1:4" ht="12.75" customHeight="1" x14ac:dyDescent="0.2">
      <c r="A1494" s="21"/>
      <c r="B1494" s="2"/>
      <c r="C1494" s="7"/>
      <c r="D1494" s="7"/>
    </row>
    <row r="1495" spans="1:4" ht="12.75" customHeight="1" x14ac:dyDescent="0.2">
      <c r="A1495" s="21"/>
      <c r="B1495" s="2"/>
      <c r="C1495" s="7"/>
      <c r="D1495" s="7"/>
    </row>
    <row r="1496" spans="1:4" ht="12.75" customHeight="1" x14ac:dyDescent="0.2">
      <c r="A1496" s="21"/>
      <c r="B1496" s="2"/>
      <c r="C1496" s="7"/>
      <c r="D1496" s="7"/>
    </row>
    <row r="1497" spans="1:4" ht="12.75" customHeight="1" x14ac:dyDescent="0.2">
      <c r="A1497" s="5"/>
      <c r="B1497" s="2"/>
      <c r="C1497" s="7"/>
      <c r="D1497" s="7"/>
    </row>
    <row r="1498" spans="1:4" ht="12.75" customHeight="1" x14ac:dyDescent="0.2">
      <c r="A1498" s="22" t="str">
        <f>HYPERLINK("javascript:void(0)","ezüstpáncél")</f>
        <v>ezüstpáncél</v>
      </c>
      <c r="B1498" s="21"/>
      <c r="C1498" s="21"/>
      <c r="D1498" s="21"/>
    </row>
    <row r="1499" spans="1:4" ht="12.75" customHeight="1" x14ac:dyDescent="0.2">
      <c r="A1499" s="20"/>
      <c r="B1499" s="2"/>
      <c r="C1499" s="7"/>
      <c r="D1499" s="7"/>
    </row>
    <row r="1500" spans="1:4" ht="12.75" customHeight="1" x14ac:dyDescent="0.2">
      <c r="A1500" s="21"/>
      <c r="B1500" s="3" t="s">
        <v>0</v>
      </c>
      <c r="C1500" s="23" t="s">
        <v>118</v>
      </c>
      <c r="D1500" s="21"/>
    </row>
    <row r="1501" spans="1:4" ht="12.75" customHeight="1" x14ac:dyDescent="0.2">
      <c r="A1501" s="21"/>
      <c r="B1501" s="3" t="s">
        <v>2</v>
      </c>
      <c r="C1501" s="23" t="s">
        <v>2322</v>
      </c>
      <c r="D1501" s="21"/>
    </row>
    <row r="1502" spans="1:4" ht="12.75" customHeight="1" x14ac:dyDescent="0.2">
      <c r="A1502" s="21"/>
      <c r="B1502" s="3" t="s">
        <v>1840</v>
      </c>
      <c r="C1502" s="23" t="s">
        <v>159</v>
      </c>
      <c r="D1502" s="21"/>
    </row>
    <row r="1503" spans="1:4" ht="12.75" customHeight="1" x14ac:dyDescent="0.2">
      <c r="A1503" s="21"/>
      <c r="B1503" s="3" t="s">
        <v>9</v>
      </c>
      <c r="C1503" s="23" t="s">
        <v>75</v>
      </c>
      <c r="D1503" s="21"/>
    </row>
    <row r="1504" spans="1:4" ht="12.75" customHeight="1" x14ac:dyDescent="0.2">
      <c r="A1504" s="21"/>
      <c r="B1504" s="3" t="s">
        <v>11</v>
      </c>
      <c r="C1504" s="23" t="s">
        <v>2337</v>
      </c>
      <c r="D1504" s="21"/>
    </row>
    <row r="1505" spans="1:4" ht="12.75" customHeight="1" x14ac:dyDescent="0.2">
      <c r="A1505" s="21"/>
      <c r="B1505" s="3" t="s">
        <v>16</v>
      </c>
      <c r="C1505" s="23"/>
      <c r="D1505" s="21"/>
    </row>
    <row r="1506" spans="1:4" ht="12.75" customHeight="1" x14ac:dyDescent="0.2">
      <c r="A1506" s="21"/>
      <c r="B1506" s="3" t="s">
        <v>17</v>
      </c>
      <c r="C1506" s="23" t="s">
        <v>19</v>
      </c>
      <c r="D1506" s="21"/>
    </row>
    <row r="1507" spans="1:4" ht="12.75" customHeight="1" x14ac:dyDescent="0.2">
      <c r="A1507" s="21"/>
      <c r="B1507" s="20" t="s">
        <v>18</v>
      </c>
      <c r="C1507" s="8" t="s">
        <v>44</v>
      </c>
      <c r="D1507" s="1" t="str">
        <f>HYPERLINK("javascript:void(0)","bőrpáncél")</f>
        <v>bőrpáncél</v>
      </c>
    </row>
    <row r="1508" spans="1:4" ht="12.75" customHeight="1" x14ac:dyDescent="0.2">
      <c r="A1508" s="21"/>
      <c r="B1508" s="21"/>
      <c r="C1508" s="8" t="s">
        <v>130</v>
      </c>
      <c r="D1508" s="1" t="str">
        <f>HYPERLINK("javascript:void(0)","ezüst")</f>
        <v>ezüst</v>
      </c>
    </row>
    <row r="1509" spans="1:4" ht="12.75" customHeight="1" x14ac:dyDescent="0.2">
      <c r="A1509" s="21"/>
      <c r="B1509" s="21"/>
      <c r="C1509" s="8" t="s">
        <v>55</v>
      </c>
      <c r="D1509" s="1" t="str">
        <f>HYPERLINK("javascript:void(0)","smaragd")</f>
        <v>smaragd</v>
      </c>
    </row>
    <row r="1510" spans="1:4" ht="12.75" customHeight="1" x14ac:dyDescent="0.2">
      <c r="A1510" s="21"/>
      <c r="B1510" s="2"/>
      <c r="C1510" s="7"/>
      <c r="D1510" s="7"/>
    </row>
    <row r="1511" spans="1:4" ht="12.75" customHeight="1" x14ac:dyDescent="0.2">
      <c r="A1511" s="21"/>
      <c r="B1511" s="2"/>
      <c r="C1511" s="7"/>
      <c r="D1511" s="7"/>
    </row>
    <row r="1512" spans="1:4" ht="12.75" customHeight="1" x14ac:dyDescent="0.2">
      <c r="A1512" s="21"/>
      <c r="B1512" s="2"/>
      <c r="C1512" s="7"/>
      <c r="D1512" s="7"/>
    </row>
    <row r="1513" spans="1:4" ht="12.75" customHeight="1" x14ac:dyDescent="0.2">
      <c r="A1513" s="21"/>
      <c r="B1513" s="2"/>
      <c r="C1513" s="7"/>
      <c r="D1513" s="7"/>
    </row>
    <row r="1514" spans="1:4" ht="12.75" customHeight="1" x14ac:dyDescent="0.2">
      <c r="A1514" s="5"/>
      <c r="B1514" s="2"/>
      <c r="C1514" s="7"/>
      <c r="D1514" s="7"/>
    </row>
    <row r="1515" spans="1:4" ht="12.75" customHeight="1" x14ac:dyDescent="0.2">
      <c r="A1515" s="22" t="str">
        <f>HYPERLINK("javascript:void(0)","kithpajzs")</f>
        <v>kithpajzs</v>
      </c>
      <c r="B1515" s="21"/>
      <c r="C1515" s="21"/>
      <c r="D1515" s="21"/>
    </row>
    <row r="1516" spans="1:4" ht="12.75" customHeight="1" x14ac:dyDescent="0.2">
      <c r="A1516" s="20"/>
      <c r="B1516" s="2"/>
      <c r="C1516" s="7"/>
      <c r="D1516" s="7"/>
    </row>
    <row r="1517" spans="1:4" ht="12.75" customHeight="1" x14ac:dyDescent="0.2">
      <c r="A1517" s="21"/>
      <c r="B1517" s="3" t="s">
        <v>0</v>
      </c>
      <c r="C1517" s="23" t="s">
        <v>118</v>
      </c>
      <c r="D1517" s="21"/>
    </row>
    <row r="1518" spans="1:4" ht="12.75" customHeight="1" x14ac:dyDescent="0.2">
      <c r="A1518" s="21"/>
      <c r="B1518" s="3" t="s">
        <v>2</v>
      </c>
      <c r="C1518" s="23" t="s">
        <v>1839</v>
      </c>
      <c r="D1518" s="21"/>
    </row>
    <row r="1519" spans="1:4" ht="12.75" customHeight="1" x14ac:dyDescent="0.2">
      <c r="A1519" s="21"/>
      <c r="B1519" s="3" t="s">
        <v>1840</v>
      </c>
      <c r="C1519" s="23" t="s">
        <v>32</v>
      </c>
      <c r="D1519" s="21"/>
    </row>
    <row r="1520" spans="1:4" ht="12.75" customHeight="1" x14ac:dyDescent="0.2">
      <c r="A1520" s="21"/>
      <c r="B1520" s="3" t="s">
        <v>9</v>
      </c>
      <c r="C1520" s="23" t="s">
        <v>1670</v>
      </c>
      <c r="D1520" s="21"/>
    </row>
    <row r="1521" spans="1:4" ht="12.75" customHeight="1" x14ac:dyDescent="0.2">
      <c r="A1521" s="21"/>
      <c r="B1521" s="3" t="s">
        <v>11</v>
      </c>
      <c r="C1521" s="23" t="s">
        <v>380</v>
      </c>
      <c r="D1521" s="21"/>
    </row>
    <row r="1522" spans="1:4" ht="12.75" customHeight="1" x14ac:dyDescent="0.2">
      <c r="A1522" s="21"/>
      <c r="B1522" s="3" t="s">
        <v>16</v>
      </c>
      <c r="C1522" s="23"/>
      <c r="D1522" s="21"/>
    </row>
    <row r="1523" spans="1:4" ht="12.75" customHeight="1" x14ac:dyDescent="0.2">
      <c r="A1523" s="21"/>
      <c r="B1523" s="3" t="s">
        <v>17</v>
      </c>
      <c r="C1523" s="23" t="s">
        <v>19</v>
      </c>
      <c r="D1523" s="21"/>
    </row>
    <row r="1524" spans="1:4" ht="12.75" customHeight="1" x14ac:dyDescent="0.2">
      <c r="A1524" s="21"/>
      <c r="B1524" s="20" t="s">
        <v>18</v>
      </c>
      <c r="C1524" s="8" t="s">
        <v>44</v>
      </c>
      <c r="D1524" s="1" t="str">
        <f>HYPERLINK("javascript:void(0)","diszpropajzs")</f>
        <v>diszpropajzs</v>
      </c>
    </row>
    <row r="1525" spans="1:4" ht="12.75" customHeight="1" x14ac:dyDescent="0.2">
      <c r="A1525" s="21"/>
      <c r="B1525" s="21"/>
      <c r="C1525" s="8" t="s">
        <v>57</v>
      </c>
      <c r="D1525" s="1" t="str">
        <f>HYPERLINK("javascript:void(0)","kithrill")</f>
        <v>kithrill</v>
      </c>
    </row>
    <row r="1526" spans="1:4" ht="12.75" customHeight="1" x14ac:dyDescent="0.2">
      <c r="A1526" s="21"/>
      <c r="B1526" s="21"/>
      <c r="C1526" s="8" t="s">
        <v>57</v>
      </c>
      <c r="D1526" s="1" t="str">
        <f>HYPERLINK("javascript:void(0)","gyémánt")</f>
        <v>gyémánt</v>
      </c>
    </row>
    <row r="1527" spans="1:4" ht="12.75" customHeight="1" x14ac:dyDescent="0.2">
      <c r="A1527" s="21"/>
      <c r="B1527" s="2"/>
      <c r="C1527" s="7"/>
      <c r="D1527" s="7"/>
    </row>
    <row r="1528" spans="1:4" ht="12.75" customHeight="1" x14ac:dyDescent="0.2">
      <c r="A1528" s="21"/>
      <c r="B1528" s="2"/>
      <c r="C1528" s="7"/>
      <c r="D1528" s="7"/>
    </row>
    <row r="1529" spans="1:4" ht="12.75" customHeight="1" x14ac:dyDescent="0.2">
      <c r="A1529" s="21"/>
      <c r="B1529" s="2"/>
      <c r="C1529" s="7"/>
      <c r="D1529" s="7"/>
    </row>
    <row r="1530" spans="1:4" ht="12.75" customHeight="1" x14ac:dyDescent="0.2">
      <c r="A1530" s="21"/>
      <c r="B1530" s="2"/>
      <c r="C1530" s="7"/>
      <c r="D1530" s="7"/>
    </row>
    <row r="1531" spans="1:4" ht="12.75" customHeight="1" x14ac:dyDescent="0.2">
      <c r="A1531" s="5"/>
      <c r="B1531" s="2"/>
      <c r="C1531" s="7"/>
      <c r="D1531" s="7"/>
    </row>
    <row r="1532" spans="1:4" ht="12.75" customHeight="1" x14ac:dyDescent="0.2">
      <c r="A1532" s="22" t="str">
        <f>HYPERLINK("javascript:void(0)","smaragd sisak")</f>
        <v>smaragd sisak</v>
      </c>
      <c r="B1532" s="21"/>
      <c r="C1532" s="21"/>
      <c r="D1532" s="21"/>
    </row>
    <row r="1533" spans="1:4" ht="12.75" customHeight="1" x14ac:dyDescent="0.2">
      <c r="A1533" s="20"/>
      <c r="B1533" s="2"/>
      <c r="C1533" s="7"/>
      <c r="D1533" s="7"/>
    </row>
    <row r="1534" spans="1:4" ht="12.75" customHeight="1" x14ac:dyDescent="0.2">
      <c r="A1534" s="21"/>
      <c r="B1534" s="3" t="s">
        <v>0</v>
      </c>
      <c r="C1534" s="23" t="s">
        <v>32</v>
      </c>
      <c r="D1534" s="21"/>
    </row>
    <row r="1535" spans="1:4" ht="12.75" customHeight="1" x14ac:dyDescent="0.2">
      <c r="A1535" s="21"/>
      <c r="B1535" s="3" t="s">
        <v>2</v>
      </c>
      <c r="C1535" s="23"/>
      <c r="D1535" s="21"/>
    </row>
    <row r="1536" spans="1:4" ht="12.75" customHeight="1" x14ac:dyDescent="0.2">
      <c r="A1536" s="21"/>
      <c r="B1536" s="3" t="s">
        <v>1840</v>
      </c>
      <c r="C1536" s="23" t="s">
        <v>100</v>
      </c>
      <c r="D1536" s="21"/>
    </row>
    <row r="1537" spans="1:4" ht="12.75" customHeight="1" x14ac:dyDescent="0.2">
      <c r="A1537" s="21"/>
      <c r="B1537" s="3" t="s">
        <v>9</v>
      </c>
      <c r="C1537" s="23" t="s">
        <v>210</v>
      </c>
      <c r="D1537" s="21"/>
    </row>
    <row r="1538" spans="1:4" ht="12.75" customHeight="1" x14ac:dyDescent="0.2">
      <c r="A1538" s="21"/>
      <c r="B1538" s="3" t="s">
        <v>11</v>
      </c>
      <c r="C1538" s="23" t="s">
        <v>2596</v>
      </c>
      <c r="D1538" s="21"/>
    </row>
    <row r="1539" spans="1:4" ht="12.75" customHeight="1" x14ac:dyDescent="0.2">
      <c r="A1539" s="21"/>
      <c r="B1539" s="3" t="s">
        <v>16</v>
      </c>
      <c r="C1539" s="23"/>
      <c r="D1539" s="21"/>
    </row>
    <row r="1540" spans="1:4" ht="12.75" customHeight="1" x14ac:dyDescent="0.2">
      <c r="A1540" s="21"/>
      <c r="B1540" s="3" t="s">
        <v>17</v>
      </c>
      <c r="C1540" s="23" t="s">
        <v>19</v>
      </c>
      <c r="D1540" s="21"/>
    </row>
    <row r="1541" spans="1:4" ht="12.75" customHeight="1" x14ac:dyDescent="0.2">
      <c r="A1541" s="21"/>
      <c r="B1541" s="20" t="s">
        <v>18</v>
      </c>
      <c r="C1541" s="8" t="s">
        <v>44</v>
      </c>
      <c r="D1541" s="1" t="str">
        <f>HYPERLINK("javascript:void(0)","ezüst sisak")</f>
        <v>ezüst sisak</v>
      </c>
    </row>
    <row r="1542" spans="1:4" ht="12.75" customHeight="1" x14ac:dyDescent="0.2">
      <c r="A1542" s="21"/>
      <c r="B1542" s="21"/>
      <c r="C1542" s="8" t="s">
        <v>142</v>
      </c>
      <c r="D1542" s="1" t="str">
        <f>HYPERLINK("javascript:void(0)","smaragd")</f>
        <v>smaragd</v>
      </c>
    </row>
    <row r="1543" spans="1:4" ht="12.75" customHeight="1" x14ac:dyDescent="0.2">
      <c r="A1543" s="21"/>
      <c r="B1543" s="21"/>
      <c r="C1543" s="8" t="s">
        <v>57</v>
      </c>
      <c r="D1543" s="1" t="str">
        <f>HYPERLINK("javascript:void(0)","arany")</f>
        <v>arany</v>
      </c>
    </row>
    <row r="1544" spans="1:4" ht="12.75" customHeight="1" x14ac:dyDescent="0.2">
      <c r="A1544" s="21"/>
      <c r="B1544" s="2"/>
      <c r="C1544" s="7"/>
      <c r="D1544" s="7"/>
    </row>
    <row r="1545" spans="1:4" ht="12.75" customHeight="1" x14ac:dyDescent="0.2">
      <c r="A1545" s="21"/>
      <c r="B1545" s="2"/>
      <c r="C1545" s="7"/>
      <c r="D1545" s="7"/>
    </row>
    <row r="1546" spans="1:4" ht="12.75" customHeight="1" x14ac:dyDescent="0.2">
      <c r="A1546" s="21"/>
      <c r="B1546" s="2"/>
      <c r="C1546" s="7"/>
      <c r="D1546" s="7"/>
    </row>
    <row r="1547" spans="1:4" ht="12.75" customHeight="1" x14ac:dyDescent="0.2">
      <c r="A1547" s="21"/>
      <c r="B1547" s="2"/>
      <c r="C1547" s="7"/>
      <c r="D1547" s="7"/>
    </row>
    <row r="1548" spans="1:4" ht="12.75" customHeight="1" x14ac:dyDescent="0.2">
      <c r="A1548" s="5"/>
      <c r="B1548" s="2"/>
      <c r="C1548" s="7"/>
      <c r="D1548" s="7"/>
    </row>
    <row r="1549" spans="1:4" ht="12.75" customHeight="1" x14ac:dyDescent="0.2">
      <c r="A1549" s="22" t="str">
        <f>HYPERLINK("javascript:void(0)","smaragdpajzs")</f>
        <v>smaragdpajzs</v>
      </c>
      <c r="B1549" s="21"/>
      <c r="C1549" s="21"/>
      <c r="D1549" s="21"/>
    </row>
    <row r="1550" spans="1:4" ht="12.75" customHeight="1" x14ac:dyDescent="0.2">
      <c r="A1550" s="20"/>
      <c r="B1550" s="2"/>
      <c r="C1550" s="7"/>
      <c r="D1550" s="7"/>
    </row>
    <row r="1551" spans="1:4" ht="12.75" customHeight="1" x14ac:dyDescent="0.2">
      <c r="A1551" s="21"/>
      <c r="B1551" s="3" t="s">
        <v>0</v>
      </c>
      <c r="C1551" s="23" t="s">
        <v>32</v>
      </c>
      <c r="D1551" s="21"/>
    </row>
    <row r="1552" spans="1:4" ht="12.75" customHeight="1" x14ac:dyDescent="0.2">
      <c r="A1552" s="21"/>
      <c r="B1552" s="3" t="s">
        <v>2</v>
      </c>
      <c r="C1552" s="23" t="s">
        <v>1839</v>
      </c>
      <c r="D1552" s="21"/>
    </row>
    <row r="1553" spans="1:4" ht="12.75" customHeight="1" x14ac:dyDescent="0.2">
      <c r="A1553" s="21"/>
      <c r="B1553" s="3" t="s">
        <v>1840</v>
      </c>
      <c r="C1553" s="23" t="s">
        <v>118</v>
      </c>
      <c r="D1553" s="21"/>
    </row>
    <row r="1554" spans="1:4" ht="12.75" customHeight="1" x14ac:dyDescent="0.2">
      <c r="A1554" s="21"/>
      <c r="B1554" s="3" t="s">
        <v>9</v>
      </c>
      <c r="C1554" s="23" t="s">
        <v>374</v>
      </c>
      <c r="D1554" s="21"/>
    </row>
    <row r="1555" spans="1:4" ht="12.75" customHeight="1" x14ac:dyDescent="0.2">
      <c r="A1555" s="21"/>
      <c r="B1555" s="3" t="s">
        <v>11</v>
      </c>
      <c r="C1555" s="23" t="s">
        <v>932</v>
      </c>
      <c r="D1555" s="21"/>
    </row>
    <row r="1556" spans="1:4" ht="12.75" customHeight="1" x14ac:dyDescent="0.2">
      <c r="A1556" s="21"/>
      <c r="B1556" s="3" t="s">
        <v>16</v>
      </c>
      <c r="C1556" s="23"/>
      <c r="D1556" s="21"/>
    </row>
    <row r="1557" spans="1:4" ht="12.75" customHeight="1" x14ac:dyDescent="0.2">
      <c r="A1557" s="21"/>
      <c r="B1557" s="3" t="s">
        <v>17</v>
      </c>
      <c r="C1557" s="23" t="s">
        <v>19</v>
      </c>
      <c r="D1557" s="21"/>
    </row>
    <row r="1558" spans="1:4" ht="12.75" customHeight="1" x14ac:dyDescent="0.2">
      <c r="A1558" s="21"/>
      <c r="B1558" s="20" t="s">
        <v>18</v>
      </c>
      <c r="C1558" s="8" t="s">
        <v>44</v>
      </c>
      <c r="D1558" s="1" t="str">
        <f>HYPERLINK("javascript:void(0)","ezüstpajzs")</f>
        <v>ezüstpajzs</v>
      </c>
    </row>
    <row r="1559" spans="1:4" ht="12.75" customHeight="1" x14ac:dyDescent="0.2">
      <c r="A1559" s="21"/>
      <c r="B1559" s="21"/>
      <c r="C1559" s="8" t="s">
        <v>77</v>
      </c>
      <c r="D1559" s="1" t="str">
        <f>HYPERLINK("javascript:void(0)","smaragd")</f>
        <v>smaragd</v>
      </c>
    </row>
    <row r="1560" spans="1:4" ht="12.75" customHeight="1" x14ac:dyDescent="0.2">
      <c r="A1560" s="21"/>
      <c r="B1560" s="21"/>
      <c r="C1560" s="8" t="s">
        <v>56</v>
      </c>
      <c r="D1560" s="1" t="str">
        <f>HYPERLINK("javascript:void(0)","arany")</f>
        <v>arany</v>
      </c>
    </row>
    <row r="1561" spans="1:4" ht="12.75" customHeight="1" x14ac:dyDescent="0.2">
      <c r="A1561" s="21"/>
      <c r="B1561" s="2"/>
      <c r="C1561" s="7"/>
      <c r="D1561" s="7"/>
    </row>
    <row r="1562" spans="1:4" ht="12.75" customHeight="1" x14ac:dyDescent="0.2">
      <c r="A1562" s="21"/>
      <c r="B1562" s="2"/>
      <c r="C1562" s="7"/>
      <c r="D1562" s="7"/>
    </row>
    <row r="1563" spans="1:4" ht="12.75" customHeight="1" x14ac:dyDescent="0.2">
      <c r="A1563" s="21"/>
      <c r="B1563" s="2"/>
      <c r="C1563" s="7"/>
      <c r="D1563" s="7"/>
    </row>
    <row r="1564" spans="1:4" ht="12.75" customHeight="1" x14ac:dyDescent="0.2">
      <c r="A1564" s="21"/>
      <c r="B1564" s="2"/>
      <c r="C1564" s="7"/>
      <c r="D1564" s="7"/>
    </row>
    <row r="1565" spans="1:4" ht="12.75" customHeight="1" x14ac:dyDescent="0.2">
      <c r="A1565" s="5"/>
      <c r="B1565" s="2"/>
      <c r="C1565" s="7"/>
      <c r="D1565" s="7"/>
    </row>
    <row r="1566" spans="1:4" ht="12.75" customHeight="1" x14ac:dyDescent="0.2">
      <c r="A1566" s="22" t="str">
        <f>HYPERLINK("javascript:void(0)","Hefrete csizmája")</f>
        <v>Hefrete csizmája</v>
      </c>
      <c r="B1566" s="21"/>
      <c r="C1566" s="21"/>
      <c r="D1566" s="7"/>
    </row>
    <row r="1567" spans="1:4" ht="12.75" customHeight="1" x14ac:dyDescent="0.2">
      <c r="A1567" s="20"/>
      <c r="B1567" s="2"/>
      <c r="C1567" s="7"/>
      <c r="D1567" s="7"/>
    </row>
    <row r="1568" spans="1:4" ht="12.75" customHeight="1" x14ac:dyDescent="0.2">
      <c r="A1568" s="21"/>
      <c r="B1568" s="3" t="s">
        <v>0</v>
      </c>
      <c r="C1568" s="9" t="s">
        <v>32</v>
      </c>
      <c r="D1568" s="7"/>
    </row>
    <row r="1569" spans="1:4" ht="12.75" customHeight="1" x14ac:dyDescent="0.2">
      <c r="A1569" s="21"/>
      <c r="B1569" s="3" t="s">
        <v>2</v>
      </c>
      <c r="C1569" s="9"/>
      <c r="D1569" s="7"/>
    </row>
    <row r="1570" spans="1:4" ht="12.75" customHeight="1" x14ac:dyDescent="0.2">
      <c r="A1570" s="21"/>
      <c r="B1570" s="3" t="s">
        <v>1840</v>
      </c>
      <c r="C1570" s="9" t="s">
        <v>92</v>
      </c>
      <c r="D1570" s="7"/>
    </row>
    <row r="1571" spans="1:4" ht="12.75" customHeight="1" x14ac:dyDescent="0.2">
      <c r="A1571" s="21"/>
      <c r="B1571" s="3" t="s">
        <v>9</v>
      </c>
      <c r="C1571" s="9" t="s">
        <v>573</v>
      </c>
      <c r="D1571" s="7"/>
    </row>
    <row r="1572" spans="1:4" ht="25.5" customHeight="1" x14ac:dyDescent="0.2">
      <c r="A1572" s="21"/>
      <c r="B1572" s="3" t="s">
        <v>11</v>
      </c>
      <c r="C1572" s="9" t="s">
        <v>1895</v>
      </c>
      <c r="D1572" s="7"/>
    </row>
    <row r="1573" spans="1:4" ht="12.75" customHeight="1" x14ac:dyDescent="0.2">
      <c r="A1573" s="21"/>
      <c r="B1573" s="3" t="s">
        <v>16</v>
      </c>
      <c r="C1573" s="9"/>
      <c r="D1573" s="7"/>
    </row>
    <row r="1574" spans="1:4" ht="12.75" customHeight="1" x14ac:dyDescent="0.2">
      <c r="A1574" s="21"/>
      <c r="B1574" s="3" t="s">
        <v>17</v>
      </c>
      <c r="C1574" s="9" t="s">
        <v>19</v>
      </c>
      <c r="D1574" s="7"/>
    </row>
    <row r="1575" spans="1:4" ht="12.75" customHeight="1" x14ac:dyDescent="0.2">
      <c r="A1575" s="21"/>
      <c r="B1575" s="3" t="s">
        <v>18</v>
      </c>
      <c r="C1575" s="8" t="s">
        <v>19</v>
      </c>
      <c r="D1575" s="7"/>
    </row>
    <row r="1576" spans="1:4" ht="12.75" customHeight="1" x14ac:dyDescent="0.2">
      <c r="A1576" s="21"/>
      <c r="B1576" s="2"/>
      <c r="C1576" s="7"/>
      <c r="D1576" s="7"/>
    </row>
    <row r="1577" spans="1:4" ht="12.75" customHeight="1" x14ac:dyDescent="0.2">
      <c r="A1577" s="21"/>
      <c r="B1577" s="2"/>
      <c r="C1577" s="7"/>
      <c r="D1577" s="7"/>
    </row>
    <row r="1578" spans="1:4" ht="12.75" customHeight="1" x14ac:dyDescent="0.2">
      <c r="A1578" s="21"/>
      <c r="B1578" s="2"/>
      <c r="C1578" s="7"/>
      <c r="D1578" s="7"/>
    </row>
    <row r="1579" spans="1:4" ht="12.75" customHeight="1" x14ac:dyDescent="0.2">
      <c r="A1579" s="21"/>
      <c r="B1579" s="2"/>
      <c r="C1579" s="7"/>
      <c r="D1579" s="7"/>
    </row>
    <row r="1580" spans="1:4" ht="12.75" customHeight="1" x14ac:dyDescent="0.2">
      <c r="A1580" s="5"/>
      <c r="B1580" s="2"/>
      <c r="C1580" s="7"/>
      <c r="D1580" s="7"/>
    </row>
    <row r="1581" spans="1:4" ht="12.75" customHeight="1" x14ac:dyDescent="0.2">
      <c r="A1581" s="22" t="str">
        <f>HYPERLINK("javascript:void(0)","közepes manópajzs")</f>
        <v>közepes manópajzs</v>
      </c>
      <c r="B1581" s="21"/>
      <c r="C1581" s="21"/>
      <c r="D1581" s="21"/>
    </row>
    <row r="1582" spans="1:4" ht="12.75" customHeight="1" x14ac:dyDescent="0.2">
      <c r="A1582" s="20"/>
      <c r="B1582" s="2"/>
      <c r="C1582" s="7"/>
      <c r="D1582" s="7"/>
    </row>
    <row r="1583" spans="1:4" ht="12.75" customHeight="1" x14ac:dyDescent="0.2">
      <c r="A1583" s="21"/>
      <c r="B1583" s="3" t="s">
        <v>0</v>
      </c>
      <c r="C1583" s="23" t="s">
        <v>32</v>
      </c>
      <c r="D1583" s="21"/>
    </row>
    <row r="1584" spans="1:4" ht="12.75" customHeight="1" x14ac:dyDescent="0.2">
      <c r="A1584" s="21"/>
      <c r="B1584" s="3" t="s">
        <v>2</v>
      </c>
      <c r="C1584" s="23" t="s">
        <v>1839</v>
      </c>
      <c r="D1584" s="21"/>
    </row>
    <row r="1585" spans="1:4" ht="12.75" customHeight="1" x14ac:dyDescent="0.2">
      <c r="A1585" s="21"/>
      <c r="B1585" s="3" t="s">
        <v>1840</v>
      </c>
      <c r="C1585" s="23" t="s">
        <v>88</v>
      </c>
      <c r="D1585" s="21"/>
    </row>
    <row r="1586" spans="1:4" ht="12.75" customHeight="1" x14ac:dyDescent="0.2">
      <c r="A1586" s="21"/>
      <c r="B1586" s="3" t="s">
        <v>9</v>
      </c>
      <c r="C1586" s="23" t="s">
        <v>49</v>
      </c>
      <c r="D1586" s="21"/>
    </row>
    <row r="1587" spans="1:4" ht="12.75" customHeight="1" x14ac:dyDescent="0.2">
      <c r="A1587" s="21"/>
      <c r="B1587" s="3" t="s">
        <v>11</v>
      </c>
      <c r="C1587" s="23" t="s">
        <v>111</v>
      </c>
      <c r="D1587" s="21"/>
    </row>
    <row r="1588" spans="1:4" ht="12.75" customHeight="1" x14ac:dyDescent="0.2">
      <c r="A1588" s="21"/>
      <c r="B1588" s="3" t="s">
        <v>16</v>
      </c>
      <c r="C1588" s="23"/>
      <c r="D1588" s="21"/>
    </row>
    <row r="1589" spans="1:4" ht="12.75" customHeight="1" x14ac:dyDescent="0.2">
      <c r="A1589" s="21"/>
      <c r="B1589" s="3" t="s">
        <v>17</v>
      </c>
      <c r="C1589" s="23" t="s">
        <v>19</v>
      </c>
      <c r="D1589" s="21"/>
    </row>
    <row r="1590" spans="1:4" ht="12.75" customHeight="1" x14ac:dyDescent="0.2">
      <c r="A1590" s="21"/>
      <c r="B1590" s="20" t="s">
        <v>18</v>
      </c>
      <c r="C1590" s="8" t="s">
        <v>1935</v>
      </c>
      <c r="D1590" s="1" t="str">
        <f>HYPERLINK("javascript:void(0)","goblinbatka")</f>
        <v>goblinbatka</v>
      </c>
    </row>
    <row r="1591" spans="1:4" ht="12.75" customHeight="1" x14ac:dyDescent="0.2">
      <c r="A1591" s="21"/>
      <c r="B1591" s="21"/>
      <c r="C1591" s="8" t="s">
        <v>56</v>
      </c>
      <c r="D1591" s="1" t="str">
        <f>HYPERLINK("javascript:void(0)","centrolium")</f>
        <v>centrolium</v>
      </c>
    </row>
    <row r="1592" spans="1:4" ht="12.75" customHeight="1" x14ac:dyDescent="0.2">
      <c r="A1592" s="21"/>
      <c r="B1592" s="21"/>
      <c r="C1592" s="8" t="s">
        <v>44</v>
      </c>
      <c r="D1592" s="1" t="str">
        <f>HYPERLINK("javascript:void(0)","kis manópajzs")</f>
        <v>kis manópajzs</v>
      </c>
    </row>
    <row r="1593" spans="1:4" ht="12.75" customHeight="1" x14ac:dyDescent="0.2">
      <c r="A1593" s="21"/>
      <c r="B1593" s="2"/>
      <c r="C1593" s="7"/>
      <c r="D1593" s="7"/>
    </row>
    <row r="1594" spans="1:4" ht="12.75" customHeight="1" x14ac:dyDescent="0.2">
      <c r="A1594" s="21"/>
      <c r="B1594" s="2"/>
      <c r="C1594" s="7"/>
      <c r="D1594" s="7"/>
    </row>
    <row r="1595" spans="1:4" ht="12.75" customHeight="1" x14ac:dyDescent="0.2">
      <c r="A1595" s="21"/>
      <c r="B1595" s="2"/>
      <c r="C1595" s="7"/>
      <c r="D1595" s="7"/>
    </row>
    <row r="1596" spans="1:4" ht="12.75" customHeight="1" x14ac:dyDescent="0.2">
      <c r="A1596" s="21"/>
      <c r="B1596" s="2"/>
      <c r="C1596" s="7"/>
      <c r="D1596" s="7"/>
    </row>
    <row r="1597" spans="1:4" ht="12.75" customHeight="1" x14ac:dyDescent="0.2">
      <c r="A1597" s="5"/>
      <c r="B1597" s="2"/>
      <c r="C1597" s="7"/>
      <c r="D1597" s="7"/>
    </row>
    <row r="1598" spans="1:4" ht="12.75" customHeight="1" x14ac:dyDescent="0.2">
      <c r="A1598" s="22" t="str">
        <f>HYPERLINK("javascript:void(0)","kith testpajzs")</f>
        <v>kith testpajzs</v>
      </c>
      <c r="B1598" s="21"/>
      <c r="C1598" s="21"/>
      <c r="D1598" s="21"/>
    </row>
    <row r="1599" spans="1:4" ht="12.75" customHeight="1" x14ac:dyDescent="0.2">
      <c r="A1599" s="20"/>
      <c r="B1599" s="2"/>
      <c r="C1599" s="7"/>
      <c r="D1599" s="7"/>
    </row>
    <row r="1600" spans="1:4" ht="12.75" customHeight="1" x14ac:dyDescent="0.2">
      <c r="A1600" s="21"/>
      <c r="B1600" s="3" t="s">
        <v>0</v>
      </c>
      <c r="C1600" s="23" t="s">
        <v>32</v>
      </c>
      <c r="D1600" s="21"/>
    </row>
    <row r="1601" spans="1:4" ht="12.75" customHeight="1" x14ac:dyDescent="0.2">
      <c r="A1601" s="21"/>
      <c r="B1601" s="3" t="s">
        <v>2</v>
      </c>
      <c r="C1601" s="23" t="s">
        <v>1839</v>
      </c>
      <c r="D1601" s="21"/>
    </row>
    <row r="1602" spans="1:4" ht="12.75" customHeight="1" x14ac:dyDescent="0.2">
      <c r="A1602" s="21"/>
      <c r="B1602" s="3" t="s">
        <v>1840</v>
      </c>
      <c r="C1602" s="23" t="s">
        <v>88</v>
      </c>
      <c r="D1602" s="21"/>
    </row>
    <row r="1603" spans="1:4" ht="12.75" customHeight="1" x14ac:dyDescent="0.2">
      <c r="A1603" s="21"/>
      <c r="B1603" s="3" t="s">
        <v>9</v>
      </c>
      <c r="C1603" s="23" t="s">
        <v>198</v>
      </c>
      <c r="D1603" s="21"/>
    </row>
    <row r="1604" spans="1:4" ht="12.75" customHeight="1" x14ac:dyDescent="0.2">
      <c r="A1604" s="21"/>
      <c r="B1604" s="3" t="s">
        <v>11</v>
      </c>
      <c r="C1604" s="23" t="s">
        <v>1937</v>
      </c>
      <c r="D1604" s="21"/>
    </row>
    <row r="1605" spans="1:4" ht="12.75" customHeight="1" x14ac:dyDescent="0.2">
      <c r="A1605" s="21"/>
      <c r="B1605" s="3" t="s">
        <v>16</v>
      </c>
      <c r="C1605" s="23"/>
      <c r="D1605" s="21"/>
    </row>
    <row r="1606" spans="1:4" ht="12.75" customHeight="1" x14ac:dyDescent="0.2">
      <c r="A1606" s="21"/>
      <c r="B1606" s="3" t="s">
        <v>17</v>
      </c>
      <c r="C1606" s="23" t="s">
        <v>19</v>
      </c>
      <c r="D1606" s="21"/>
    </row>
    <row r="1607" spans="1:4" ht="12.75" customHeight="1" x14ac:dyDescent="0.2">
      <c r="A1607" s="21"/>
      <c r="B1607" s="20" t="s">
        <v>18</v>
      </c>
      <c r="C1607" s="8" t="s">
        <v>44</v>
      </c>
      <c r="D1607" s="1" t="str">
        <f>HYPERLINK("javascript:void(0)","diszpro testpajzs")</f>
        <v>diszpro testpajzs</v>
      </c>
    </row>
    <row r="1608" spans="1:4" ht="12.75" customHeight="1" x14ac:dyDescent="0.2">
      <c r="A1608" s="21"/>
      <c r="B1608" s="21"/>
      <c r="C1608" s="8" t="s">
        <v>55</v>
      </c>
      <c r="D1608" s="1" t="str">
        <f>HYPERLINK("javascript:void(0)","kithrill")</f>
        <v>kithrill</v>
      </c>
    </row>
    <row r="1609" spans="1:4" ht="12.75" customHeight="1" x14ac:dyDescent="0.2">
      <c r="A1609" s="21"/>
      <c r="B1609" s="21"/>
      <c r="C1609" s="8" t="s">
        <v>57</v>
      </c>
      <c r="D1609" s="1" t="str">
        <f>HYPERLINK("javascript:void(0)","gyémánt")</f>
        <v>gyémánt</v>
      </c>
    </row>
    <row r="1610" spans="1:4" ht="12.75" customHeight="1" x14ac:dyDescent="0.2">
      <c r="A1610" s="21"/>
      <c r="B1610" s="2"/>
      <c r="C1610" s="7"/>
      <c r="D1610" s="7"/>
    </row>
    <row r="1611" spans="1:4" ht="12.75" customHeight="1" x14ac:dyDescent="0.2">
      <c r="A1611" s="21"/>
      <c r="B1611" s="2"/>
      <c r="C1611" s="7"/>
      <c r="D1611" s="7"/>
    </row>
    <row r="1612" spans="1:4" ht="12.75" customHeight="1" x14ac:dyDescent="0.2">
      <c r="A1612" s="21"/>
      <c r="B1612" s="2"/>
      <c r="C1612" s="7"/>
      <c r="D1612" s="7"/>
    </row>
    <row r="1613" spans="1:4" ht="12.75" customHeight="1" x14ac:dyDescent="0.2">
      <c r="A1613" s="21"/>
      <c r="B1613" s="2"/>
      <c r="C1613" s="7"/>
      <c r="D1613" s="7"/>
    </row>
    <row r="1614" spans="1:4" ht="12.75" customHeight="1" x14ac:dyDescent="0.2">
      <c r="A1614" s="5"/>
      <c r="B1614" s="2"/>
      <c r="C1614" s="7"/>
      <c r="D1614" s="7"/>
    </row>
    <row r="1615" spans="1:4" ht="12.75" customHeight="1" x14ac:dyDescent="0.2">
      <c r="A1615" s="22" t="str">
        <f>HYPERLINK("javascript:void(0)","vascsizma")</f>
        <v>vascsizma</v>
      </c>
      <c r="B1615" s="21"/>
      <c r="C1615" s="21"/>
      <c r="D1615" s="21"/>
    </row>
    <row r="1616" spans="1:4" ht="12.75" customHeight="1" x14ac:dyDescent="0.2">
      <c r="A1616" s="20"/>
      <c r="B1616" s="2"/>
      <c r="C1616" s="7"/>
      <c r="D1616" s="7"/>
    </row>
    <row r="1617" spans="1:4" ht="12.75" customHeight="1" x14ac:dyDescent="0.2">
      <c r="A1617" s="21"/>
      <c r="B1617" s="3" t="s">
        <v>0</v>
      </c>
      <c r="C1617" s="23" t="s">
        <v>88</v>
      </c>
      <c r="D1617" s="21"/>
    </row>
    <row r="1618" spans="1:4" ht="12.75" customHeight="1" x14ac:dyDescent="0.2">
      <c r="A1618" s="21"/>
      <c r="B1618" s="3" t="s">
        <v>2</v>
      </c>
      <c r="C1618" s="23"/>
      <c r="D1618" s="21"/>
    </row>
    <row r="1619" spans="1:4" ht="12.75" customHeight="1" x14ac:dyDescent="0.2">
      <c r="A1619" s="21"/>
      <c r="B1619" s="3" t="s">
        <v>1840</v>
      </c>
      <c r="C1619" s="23" t="s">
        <v>100</v>
      </c>
      <c r="D1619" s="21"/>
    </row>
    <row r="1620" spans="1:4" ht="12.75" customHeight="1" x14ac:dyDescent="0.2">
      <c r="A1620" s="21"/>
      <c r="B1620" s="3" t="s">
        <v>9</v>
      </c>
      <c r="C1620" s="23" t="s">
        <v>415</v>
      </c>
      <c r="D1620" s="21"/>
    </row>
    <row r="1621" spans="1:4" ht="12.75" customHeight="1" x14ac:dyDescent="0.2">
      <c r="A1621" s="21"/>
      <c r="B1621" s="3" t="s">
        <v>11</v>
      </c>
      <c r="C1621" s="23" t="s">
        <v>1897</v>
      </c>
      <c r="D1621" s="21"/>
    </row>
    <row r="1622" spans="1:4" ht="12.75" customHeight="1" x14ac:dyDescent="0.2">
      <c r="A1622" s="21"/>
      <c r="B1622" s="3" t="s">
        <v>16</v>
      </c>
      <c r="C1622" s="23"/>
      <c r="D1622" s="21"/>
    </row>
    <row r="1623" spans="1:4" ht="12.75" customHeight="1" x14ac:dyDescent="0.2">
      <c r="A1623" s="21"/>
      <c r="B1623" s="3" t="s">
        <v>17</v>
      </c>
      <c r="C1623" s="23" t="s">
        <v>19</v>
      </c>
      <c r="D1623" s="21"/>
    </row>
    <row r="1624" spans="1:4" ht="12.75" customHeight="1" x14ac:dyDescent="0.2">
      <c r="A1624" s="21"/>
      <c r="B1624" s="20" t="s">
        <v>18</v>
      </c>
      <c r="C1624" s="8" t="s">
        <v>44</v>
      </c>
      <c r="D1624" s="1" t="str">
        <f>HYPERLINK("javascript:void(0)","törpe csizma")</f>
        <v>törpe csizma</v>
      </c>
    </row>
    <row r="1625" spans="1:4" ht="12.75" customHeight="1" x14ac:dyDescent="0.2">
      <c r="A1625" s="21"/>
      <c r="B1625" s="21"/>
      <c r="C1625" s="8" t="s">
        <v>68</v>
      </c>
      <c r="D1625" s="1" t="str">
        <f>HYPERLINK("javascript:void(0)","vasérc")</f>
        <v>vasérc</v>
      </c>
    </row>
    <row r="1626" spans="1:4" ht="12.75" customHeight="1" x14ac:dyDescent="0.2">
      <c r="A1626" s="21"/>
      <c r="B1626" s="21"/>
      <c r="C1626" s="8" t="s">
        <v>55</v>
      </c>
      <c r="D1626" s="1" t="str">
        <f>HYPERLINK("javascript:void(0)","smaragd")</f>
        <v>smaragd</v>
      </c>
    </row>
    <row r="1627" spans="1:4" ht="12.75" customHeight="1" x14ac:dyDescent="0.2">
      <c r="A1627" s="21"/>
      <c r="B1627" s="2"/>
      <c r="C1627" s="7"/>
      <c r="D1627" s="7"/>
    </row>
    <row r="1628" spans="1:4" ht="12.75" customHeight="1" x14ac:dyDescent="0.2">
      <c r="A1628" s="21"/>
      <c r="B1628" s="2"/>
      <c r="C1628" s="7"/>
      <c r="D1628" s="7"/>
    </row>
    <row r="1629" spans="1:4" ht="12.75" customHeight="1" x14ac:dyDescent="0.2">
      <c r="A1629" s="21"/>
      <c r="B1629" s="2"/>
      <c r="C1629" s="7"/>
      <c r="D1629" s="7"/>
    </row>
    <row r="1630" spans="1:4" ht="12.75" customHeight="1" x14ac:dyDescent="0.2">
      <c r="A1630" s="21"/>
      <c r="B1630" s="2"/>
      <c r="C1630" s="7"/>
      <c r="D1630" s="7"/>
    </row>
    <row r="1631" spans="1:4" ht="12.75" customHeight="1" x14ac:dyDescent="0.2">
      <c r="A1631" s="5"/>
      <c r="B1631" s="2"/>
      <c r="C1631" s="7"/>
      <c r="D1631" s="7"/>
    </row>
    <row r="1632" spans="1:4" ht="12.75" customHeight="1" x14ac:dyDescent="0.2">
      <c r="A1632" s="22" t="str">
        <f>HYPERLINK("javascript:void(0)","nagy pillepajzs")</f>
        <v>nagy pillepajzs</v>
      </c>
      <c r="B1632" s="21"/>
      <c r="C1632" s="21"/>
      <c r="D1632" s="21"/>
    </row>
    <row r="1633" spans="1:4" ht="12.75" customHeight="1" x14ac:dyDescent="0.2">
      <c r="A1633" s="20"/>
      <c r="B1633" s="2"/>
      <c r="C1633" s="7"/>
      <c r="D1633" s="7"/>
    </row>
    <row r="1634" spans="1:4" ht="12.75" customHeight="1" x14ac:dyDescent="0.2">
      <c r="A1634" s="21"/>
      <c r="B1634" s="3" t="s">
        <v>0</v>
      </c>
      <c r="C1634" s="23" t="s">
        <v>88</v>
      </c>
      <c r="D1634" s="21"/>
    </row>
    <row r="1635" spans="1:4" ht="12.75" customHeight="1" x14ac:dyDescent="0.2">
      <c r="A1635" s="21"/>
      <c r="B1635" s="3" t="s">
        <v>2</v>
      </c>
      <c r="C1635" s="23" t="s">
        <v>1839</v>
      </c>
      <c r="D1635" s="21"/>
    </row>
    <row r="1636" spans="1:4" ht="12.75" customHeight="1" x14ac:dyDescent="0.2">
      <c r="A1636" s="21"/>
      <c r="B1636" s="3" t="s">
        <v>1840</v>
      </c>
      <c r="C1636" s="23" t="s">
        <v>88</v>
      </c>
      <c r="D1636" s="21"/>
    </row>
    <row r="1637" spans="1:4" ht="12.75" customHeight="1" x14ac:dyDescent="0.2">
      <c r="A1637" s="21"/>
      <c r="B1637" s="3" t="s">
        <v>9</v>
      </c>
      <c r="C1637" s="23" t="s">
        <v>981</v>
      </c>
      <c r="D1637" s="21"/>
    </row>
    <row r="1638" spans="1:4" ht="12.75" customHeight="1" x14ac:dyDescent="0.2">
      <c r="A1638" s="21"/>
      <c r="B1638" s="3" t="s">
        <v>11</v>
      </c>
      <c r="C1638" s="23" t="s">
        <v>1939</v>
      </c>
      <c r="D1638" s="21"/>
    </row>
    <row r="1639" spans="1:4" ht="12.75" customHeight="1" x14ac:dyDescent="0.2">
      <c r="A1639" s="21"/>
      <c r="B1639" s="3" t="s">
        <v>16</v>
      </c>
      <c r="C1639" s="23"/>
      <c r="D1639" s="21"/>
    </row>
    <row r="1640" spans="1:4" ht="12.75" customHeight="1" x14ac:dyDescent="0.2">
      <c r="A1640" s="21"/>
      <c r="B1640" s="3" t="s">
        <v>17</v>
      </c>
      <c r="C1640" s="23" t="s">
        <v>19</v>
      </c>
      <c r="D1640" s="21"/>
    </row>
    <row r="1641" spans="1:4" ht="12.75" customHeight="1" x14ac:dyDescent="0.2">
      <c r="A1641" s="21"/>
      <c r="B1641" s="20" t="s">
        <v>18</v>
      </c>
      <c r="C1641" s="8" t="s">
        <v>98</v>
      </c>
      <c r="D1641" s="1" t="str">
        <f>HYPERLINK("javascript:void(0)","lepkeszárny")</f>
        <v>lepkeszárny</v>
      </c>
    </row>
    <row r="1642" spans="1:4" ht="12.75" customHeight="1" x14ac:dyDescent="0.2">
      <c r="A1642" s="21"/>
      <c r="B1642" s="21"/>
      <c r="C1642" s="8" t="s">
        <v>44</v>
      </c>
      <c r="D1642" s="1" t="str">
        <f>HYPERLINK("javascript:void(0)","közepes pillepajzs")</f>
        <v>közepes pillepajzs</v>
      </c>
    </row>
    <row r="1643" spans="1:4" ht="12.75" customHeight="1" x14ac:dyDescent="0.2">
      <c r="A1643" s="21"/>
      <c r="B1643" s="21"/>
      <c r="C1643" s="8" t="s">
        <v>44</v>
      </c>
      <c r="D1643" s="1" t="str">
        <f>HYPERLINK("javascript:void(0)","kithrill")</f>
        <v>kithrill</v>
      </c>
    </row>
    <row r="1644" spans="1:4" ht="12.75" customHeight="1" x14ac:dyDescent="0.2">
      <c r="A1644" s="21"/>
      <c r="B1644" s="2"/>
      <c r="C1644" s="7"/>
      <c r="D1644" s="7"/>
    </row>
    <row r="1645" spans="1:4" ht="12.75" customHeight="1" x14ac:dyDescent="0.2">
      <c r="A1645" s="21"/>
      <c r="B1645" s="2"/>
      <c r="C1645" s="7"/>
      <c r="D1645" s="7"/>
    </row>
    <row r="1646" spans="1:4" ht="12.75" customHeight="1" x14ac:dyDescent="0.2">
      <c r="A1646" s="21"/>
      <c r="B1646" s="2"/>
      <c r="C1646" s="7"/>
      <c r="D1646" s="7"/>
    </row>
    <row r="1647" spans="1:4" ht="12.75" customHeight="1" x14ac:dyDescent="0.2">
      <c r="A1647" s="21"/>
      <c r="B1647" s="2"/>
      <c r="C1647" s="7"/>
      <c r="D1647" s="7"/>
    </row>
    <row r="1648" spans="1:4" ht="12.75" customHeight="1" x14ac:dyDescent="0.2">
      <c r="A1648" s="5"/>
      <c r="B1648" s="2"/>
      <c r="C1648" s="7"/>
      <c r="D1648" s="7"/>
    </row>
    <row r="1649" spans="1:4" ht="12.75" customHeight="1" x14ac:dyDescent="0.2">
      <c r="A1649" s="22" t="str">
        <f>HYPERLINK("javascript:void(0)","démonacél pajzs")</f>
        <v>démonacél pajzs</v>
      </c>
      <c r="B1649" s="21"/>
      <c r="C1649" s="21"/>
      <c r="D1649" s="21"/>
    </row>
    <row r="1650" spans="1:4" ht="12.75" customHeight="1" x14ac:dyDescent="0.2">
      <c r="A1650" s="20"/>
      <c r="B1650" s="2"/>
      <c r="C1650" s="7"/>
      <c r="D1650" s="7"/>
    </row>
    <row r="1651" spans="1:4" ht="12.75" customHeight="1" x14ac:dyDescent="0.2">
      <c r="A1651" s="21"/>
      <c r="B1651" s="3" t="s">
        <v>0</v>
      </c>
      <c r="C1651" s="23" t="s">
        <v>88</v>
      </c>
      <c r="D1651" s="21"/>
    </row>
    <row r="1652" spans="1:4" ht="12.75" customHeight="1" x14ac:dyDescent="0.2">
      <c r="A1652" s="21"/>
      <c r="B1652" s="3" t="s">
        <v>2</v>
      </c>
      <c r="C1652" s="23" t="s">
        <v>1839</v>
      </c>
      <c r="D1652" s="21"/>
    </row>
    <row r="1653" spans="1:4" ht="12.75" customHeight="1" x14ac:dyDescent="0.2">
      <c r="A1653" s="21"/>
      <c r="B1653" s="3" t="s">
        <v>1840</v>
      </c>
      <c r="C1653" s="23" t="s">
        <v>155</v>
      </c>
      <c r="D1653" s="21"/>
    </row>
    <row r="1654" spans="1:4" ht="12.75" customHeight="1" x14ac:dyDescent="0.2">
      <c r="A1654" s="21"/>
      <c r="B1654" s="3" t="s">
        <v>9</v>
      </c>
      <c r="C1654" s="23" t="s">
        <v>1726</v>
      </c>
      <c r="D1654" s="21"/>
    </row>
    <row r="1655" spans="1:4" ht="12.75" customHeight="1" x14ac:dyDescent="0.2">
      <c r="A1655" s="21"/>
      <c r="B1655" s="3" t="s">
        <v>11</v>
      </c>
      <c r="C1655" s="23" t="s">
        <v>111</v>
      </c>
      <c r="D1655" s="21"/>
    </row>
    <row r="1656" spans="1:4" ht="12.75" customHeight="1" x14ac:dyDescent="0.2">
      <c r="A1656" s="21"/>
      <c r="B1656" s="3" t="s">
        <v>16</v>
      </c>
      <c r="C1656" s="23"/>
      <c r="D1656" s="21"/>
    </row>
    <row r="1657" spans="1:4" ht="12.75" customHeight="1" x14ac:dyDescent="0.2">
      <c r="A1657" s="21"/>
      <c r="B1657" s="3" t="s">
        <v>17</v>
      </c>
      <c r="C1657" s="23" t="s">
        <v>19</v>
      </c>
      <c r="D1657" s="21"/>
    </row>
    <row r="1658" spans="1:4" ht="12.75" customHeight="1" x14ac:dyDescent="0.2">
      <c r="A1658" s="21"/>
      <c r="B1658" s="20" t="s">
        <v>18</v>
      </c>
      <c r="C1658" s="8" t="s">
        <v>57</v>
      </c>
      <c r="D1658" s="1" t="str">
        <f>HYPERLINK("javascript:void(0)","démonvádli")</f>
        <v>démonvádli</v>
      </c>
    </row>
    <row r="1659" spans="1:4" ht="12.75" customHeight="1" x14ac:dyDescent="0.2">
      <c r="A1659" s="21"/>
      <c r="B1659" s="21"/>
      <c r="C1659" s="8" t="s">
        <v>232</v>
      </c>
      <c r="D1659" s="1" t="str">
        <f>HYPERLINK("javascript:void(0)","nyukug bajusz")</f>
        <v>nyukug bajusz</v>
      </c>
    </row>
    <row r="1660" spans="1:4" ht="12.75" customHeight="1" x14ac:dyDescent="0.2">
      <c r="A1660" s="21"/>
      <c r="B1660" s="21"/>
      <c r="C1660" s="8" t="s">
        <v>44</v>
      </c>
      <c r="D1660" s="1" t="str">
        <f>HYPERLINK("javascript:void(0)","skivei pajzs")</f>
        <v>skivei pajzs</v>
      </c>
    </row>
    <row r="1661" spans="1:4" ht="12.75" customHeight="1" x14ac:dyDescent="0.2">
      <c r="A1661" s="21"/>
      <c r="B1661" s="2"/>
      <c r="C1661" s="7"/>
      <c r="D1661" s="7"/>
    </row>
    <row r="1662" spans="1:4" ht="12.75" customHeight="1" x14ac:dyDescent="0.2">
      <c r="A1662" s="21"/>
      <c r="B1662" s="2"/>
      <c r="C1662" s="7"/>
      <c r="D1662" s="7"/>
    </row>
    <row r="1663" spans="1:4" ht="12.75" customHeight="1" x14ac:dyDescent="0.2">
      <c r="A1663" s="21"/>
      <c r="B1663" s="2"/>
      <c r="C1663" s="7"/>
      <c r="D1663" s="7"/>
    </row>
    <row r="1664" spans="1:4" ht="12.75" customHeight="1" x14ac:dyDescent="0.2">
      <c r="A1664" s="21"/>
      <c r="B1664" s="2"/>
      <c r="C1664" s="7"/>
      <c r="D1664" s="7"/>
    </row>
    <row r="1665" spans="1:4" ht="12.75" customHeight="1" x14ac:dyDescent="0.2">
      <c r="A1665" s="5"/>
      <c r="B1665" s="2"/>
      <c r="C1665" s="7"/>
      <c r="D1665" s="7"/>
    </row>
    <row r="1666" spans="1:4" ht="12.75" customHeight="1" x14ac:dyDescent="0.2">
      <c r="A1666" s="22" t="str">
        <f>HYPERLINK("javascript:void(0)","rubin testpajzs")</f>
        <v>rubin testpajzs</v>
      </c>
      <c r="B1666" s="21"/>
      <c r="C1666" s="21"/>
      <c r="D1666" s="21"/>
    </row>
    <row r="1667" spans="1:4" ht="12.75" customHeight="1" x14ac:dyDescent="0.2">
      <c r="A1667" s="20"/>
      <c r="B1667" s="2"/>
      <c r="C1667" s="7"/>
      <c r="D1667" s="7"/>
    </row>
    <row r="1668" spans="1:4" ht="12.75" customHeight="1" x14ac:dyDescent="0.2">
      <c r="A1668" s="21"/>
      <c r="B1668" s="3" t="s">
        <v>0</v>
      </c>
      <c r="C1668" s="23" t="s">
        <v>88</v>
      </c>
      <c r="D1668" s="21"/>
    </row>
    <row r="1669" spans="1:4" ht="12.75" customHeight="1" x14ac:dyDescent="0.2">
      <c r="A1669" s="21"/>
      <c r="B1669" s="3" t="s">
        <v>2</v>
      </c>
      <c r="C1669" s="23" t="s">
        <v>1839</v>
      </c>
      <c r="D1669" s="21"/>
    </row>
    <row r="1670" spans="1:4" ht="12.75" customHeight="1" x14ac:dyDescent="0.2">
      <c r="A1670" s="21"/>
      <c r="B1670" s="3" t="s">
        <v>1840</v>
      </c>
      <c r="C1670" s="23" t="s">
        <v>32</v>
      </c>
      <c r="D1670" s="21"/>
    </row>
    <row r="1671" spans="1:4" ht="12.75" customHeight="1" x14ac:dyDescent="0.2">
      <c r="A1671" s="21"/>
      <c r="B1671" s="3" t="s">
        <v>9</v>
      </c>
      <c r="C1671" s="23" t="s">
        <v>236</v>
      </c>
      <c r="D1671" s="21"/>
    </row>
    <row r="1672" spans="1:4" ht="12.75" customHeight="1" x14ac:dyDescent="0.2">
      <c r="A1672" s="21"/>
      <c r="B1672" s="3" t="s">
        <v>11</v>
      </c>
      <c r="C1672" s="23" t="s">
        <v>145</v>
      </c>
      <c r="D1672" s="21"/>
    </row>
    <row r="1673" spans="1:4" ht="12.75" customHeight="1" x14ac:dyDescent="0.2">
      <c r="A1673" s="21"/>
      <c r="B1673" s="3" t="s">
        <v>16</v>
      </c>
      <c r="C1673" s="23"/>
      <c r="D1673" s="21"/>
    </row>
    <row r="1674" spans="1:4" ht="12.75" customHeight="1" x14ac:dyDescent="0.2">
      <c r="A1674" s="21"/>
      <c r="B1674" s="3" t="s">
        <v>17</v>
      </c>
      <c r="C1674" s="23" t="s">
        <v>19</v>
      </c>
      <c r="D1674" s="21"/>
    </row>
    <row r="1675" spans="1:4" ht="12.75" customHeight="1" x14ac:dyDescent="0.2">
      <c r="A1675" s="21"/>
      <c r="B1675" s="20" t="s">
        <v>18</v>
      </c>
      <c r="C1675" s="8" t="s">
        <v>44</v>
      </c>
      <c r="D1675" s="1" t="str">
        <f>HYPERLINK("javascript:void(0)","arany testpajzs")</f>
        <v>arany testpajzs</v>
      </c>
    </row>
    <row r="1676" spans="1:4" ht="12.75" customHeight="1" x14ac:dyDescent="0.2">
      <c r="A1676" s="21"/>
      <c r="B1676" s="21"/>
      <c r="C1676" s="8" t="s">
        <v>232</v>
      </c>
      <c r="D1676" s="1" t="str">
        <f>HYPERLINK("javascript:void(0)","rubin")</f>
        <v>rubin</v>
      </c>
    </row>
    <row r="1677" spans="1:4" ht="12.75" customHeight="1" x14ac:dyDescent="0.2">
      <c r="A1677" s="21"/>
      <c r="B1677" s="21"/>
      <c r="C1677" s="8" t="s">
        <v>56</v>
      </c>
      <c r="D1677" s="1" t="str">
        <f>HYPERLINK("javascript:void(0)","gyémánt")</f>
        <v>gyémánt</v>
      </c>
    </row>
    <row r="1678" spans="1:4" ht="12.75" customHeight="1" x14ac:dyDescent="0.2">
      <c r="A1678" s="21"/>
      <c r="B1678" s="2"/>
      <c r="C1678" s="7"/>
      <c r="D1678" s="7"/>
    </row>
    <row r="1679" spans="1:4" ht="12.75" customHeight="1" x14ac:dyDescent="0.2">
      <c r="A1679" s="21"/>
      <c r="B1679" s="2"/>
      <c r="C1679" s="7"/>
      <c r="D1679" s="7"/>
    </row>
    <row r="1680" spans="1:4" ht="12.75" customHeight="1" x14ac:dyDescent="0.2">
      <c r="A1680" s="21"/>
      <c r="B1680" s="2"/>
      <c r="C1680" s="7"/>
      <c r="D1680" s="7"/>
    </row>
    <row r="1681" spans="1:4" ht="12.75" customHeight="1" x14ac:dyDescent="0.2">
      <c r="A1681" s="21"/>
      <c r="B1681" s="2"/>
      <c r="C1681" s="7"/>
      <c r="D1681" s="7"/>
    </row>
    <row r="1682" spans="1:4" ht="12.75" customHeight="1" x14ac:dyDescent="0.2">
      <c r="A1682" s="5"/>
      <c r="B1682" s="2"/>
      <c r="C1682" s="7"/>
      <c r="D1682" s="7"/>
    </row>
    <row r="1683" spans="1:4" ht="12.75" customHeight="1" x14ac:dyDescent="0.2">
      <c r="A1683" s="22" t="str">
        <f>HYPERLINK("javascript:void(0)","diszpro sisak")</f>
        <v>diszpro sisak</v>
      </c>
      <c r="B1683" s="21"/>
      <c r="C1683" s="21"/>
      <c r="D1683" s="21"/>
    </row>
    <row r="1684" spans="1:4" ht="12.75" customHeight="1" x14ac:dyDescent="0.2">
      <c r="A1684" s="20"/>
      <c r="B1684" s="2"/>
      <c r="C1684" s="7"/>
      <c r="D1684" s="7"/>
    </row>
    <row r="1685" spans="1:4" ht="12.75" customHeight="1" x14ac:dyDescent="0.2">
      <c r="A1685" s="21"/>
      <c r="B1685" s="3" t="s">
        <v>0</v>
      </c>
      <c r="C1685" s="23" t="s">
        <v>88</v>
      </c>
      <c r="D1685" s="21"/>
    </row>
    <row r="1686" spans="1:4" ht="12.75" customHeight="1" x14ac:dyDescent="0.2">
      <c r="A1686" s="21"/>
      <c r="B1686" s="3" t="s">
        <v>2</v>
      </c>
      <c r="C1686" s="23"/>
      <c r="D1686" s="21"/>
    </row>
    <row r="1687" spans="1:4" ht="12.75" customHeight="1" x14ac:dyDescent="0.2">
      <c r="A1687" s="21"/>
      <c r="B1687" s="3" t="s">
        <v>1840</v>
      </c>
      <c r="C1687" s="23" t="s">
        <v>118</v>
      </c>
      <c r="D1687" s="21"/>
    </row>
    <row r="1688" spans="1:4" ht="12.75" customHeight="1" x14ac:dyDescent="0.2">
      <c r="A1688" s="21"/>
      <c r="B1688" s="3" t="s">
        <v>9</v>
      </c>
      <c r="C1688" s="23" t="s">
        <v>36</v>
      </c>
      <c r="D1688" s="21"/>
    </row>
    <row r="1689" spans="1:4" ht="12.75" customHeight="1" x14ac:dyDescent="0.2">
      <c r="A1689" s="21"/>
      <c r="B1689" s="3" t="s">
        <v>11</v>
      </c>
      <c r="C1689" s="23" t="s">
        <v>380</v>
      </c>
      <c r="D1689" s="21"/>
    </row>
    <row r="1690" spans="1:4" ht="12.75" customHeight="1" x14ac:dyDescent="0.2">
      <c r="A1690" s="21"/>
      <c r="B1690" s="3" t="s">
        <v>16</v>
      </c>
      <c r="C1690" s="23"/>
      <c r="D1690" s="21"/>
    </row>
    <row r="1691" spans="1:4" ht="12.75" customHeight="1" x14ac:dyDescent="0.2">
      <c r="A1691" s="21"/>
      <c r="B1691" s="3" t="s">
        <v>17</v>
      </c>
      <c r="C1691" s="23" t="s">
        <v>19</v>
      </c>
      <c r="D1691" s="21"/>
    </row>
    <row r="1692" spans="1:4" ht="12.75" customHeight="1" x14ac:dyDescent="0.2">
      <c r="A1692" s="21"/>
      <c r="B1692" s="20" t="s">
        <v>18</v>
      </c>
      <c r="C1692" s="8" t="s">
        <v>44</v>
      </c>
      <c r="D1692" s="1" t="str">
        <f>HYPERLINK("javascript:void(0)","arany sisak")</f>
        <v>arany sisak</v>
      </c>
    </row>
    <row r="1693" spans="1:4" ht="12.75" customHeight="1" x14ac:dyDescent="0.2">
      <c r="A1693" s="21"/>
      <c r="B1693" s="21"/>
      <c r="C1693" s="8" t="s">
        <v>232</v>
      </c>
      <c r="D1693" s="1" t="str">
        <f>HYPERLINK("javascript:void(0)","diszprózium")</f>
        <v>diszprózium</v>
      </c>
    </row>
    <row r="1694" spans="1:4" ht="12.75" customHeight="1" x14ac:dyDescent="0.2">
      <c r="A1694" s="21"/>
      <c r="B1694" s="21"/>
      <c r="C1694" s="8" t="s">
        <v>232</v>
      </c>
      <c r="D1694" s="1" t="str">
        <f>HYPERLINK("javascript:void(0)","gyémánt")</f>
        <v>gyémánt</v>
      </c>
    </row>
    <row r="1695" spans="1:4" ht="12.75" customHeight="1" x14ac:dyDescent="0.2">
      <c r="A1695" s="21"/>
      <c r="B1695" s="2"/>
      <c r="C1695" s="7"/>
      <c r="D1695" s="7"/>
    </row>
    <row r="1696" spans="1:4" ht="12.75" customHeight="1" x14ac:dyDescent="0.2">
      <c r="A1696" s="21"/>
      <c r="B1696" s="2"/>
      <c r="C1696" s="7"/>
      <c r="D1696" s="7"/>
    </row>
    <row r="1697" spans="1:4" ht="12.75" customHeight="1" x14ac:dyDescent="0.2">
      <c r="A1697" s="21"/>
      <c r="B1697" s="2"/>
      <c r="C1697" s="7"/>
      <c r="D1697" s="7"/>
    </row>
    <row r="1698" spans="1:4" ht="12.75" customHeight="1" x14ac:dyDescent="0.2">
      <c r="A1698" s="21"/>
      <c r="B1698" s="2"/>
      <c r="C1698" s="7"/>
      <c r="D1698" s="7"/>
    </row>
    <row r="1699" spans="1:4" ht="12.75" customHeight="1" x14ac:dyDescent="0.2">
      <c r="A1699" s="5"/>
      <c r="B1699" s="2"/>
      <c r="C1699" s="7"/>
      <c r="D1699" s="7"/>
    </row>
    <row r="1700" spans="1:4" ht="12.75" customHeight="1" x14ac:dyDescent="0.2">
      <c r="A1700" s="22" t="str">
        <f>HYPERLINK("javascript:void(0)","aranypáncél")</f>
        <v>aranypáncél</v>
      </c>
      <c r="B1700" s="21"/>
      <c r="C1700" s="21"/>
      <c r="D1700" s="21"/>
    </row>
    <row r="1701" spans="1:4" ht="12.75" customHeight="1" x14ac:dyDescent="0.2">
      <c r="A1701" s="20"/>
      <c r="B1701" s="2"/>
      <c r="C1701" s="7"/>
      <c r="D1701" s="7"/>
    </row>
    <row r="1702" spans="1:4" ht="12.75" customHeight="1" x14ac:dyDescent="0.2">
      <c r="A1702" s="21"/>
      <c r="B1702" s="3" t="s">
        <v>0</v>
      </c>
      <c r="C1702" s="23" t="s">
        <v>155</v>
      </c>
      <c r="D1702" s="21"/>
    </row>
    <row r="1703" spans="1:4" ht="12.75" customHeight="1" x14ac:dyDescent="0.2">
      <c r="A1703" s="21"/>
      <c r="B1703" s="3" t="s">
        <v>2</v>
      </c>
      <c r="C1703" s="23" t="s">
        <v>2322</v>
      </c>
      <c r="D1703" s="21"/>
    </row>
    <row r="1704" spans="1:4" ht="12.75" customHeight="1" x14ac:dyDescent="0.2">
      <c r="A1704" s="21"/>
      <c r="B1704" s="3" t="s">
        <v>1840</v>
      </c>
      <c r="C1704" s="23" t="s">
        <v>157</v>
      </c>
      <c r="D1704" s="21"/>
    </row>
    <row r="1705" spans="1:4" ht="12.75" customHeight="1" x14ac:dyDescent="0.2">
      <c r="A1705" s="21"/>
      <c r="B1705" s="3" t="s">
        <v>9</v>
      </c>
      <c r="C1705" s="23" t="s">
        <v>511</v>
      </c>
      <c r="D1705" s="21"/>
    </row>
    <row r="1706" spans="1:4" ht="12.75" customHeight="1" x14ac:dyDescent="0.2">
      <c r="A1706" s="21"/>
      <c r="B1706" s="3" t="s">
        <v>11</v>
      </c>
      <c r="C1706" s="23" t="s">
        <v>2340</v>
      </c>
      <c r="D1706" s="21"/>
    </row>
    <row r="1707" spans="1:4" ht="12.75" customHeight="1" x14ac:dyDescent="0.2">
      <c r="A1707" s="21"/>
      <c r="B1707" s="3" t="s">
        <v>16</v>
      </c>
      <c r="C1707" s="23"/>
      <c r="D1707" s="21"/>
    </row>
    <row r="1708" spans="1:4" ht="12.75" customHeight="1" x14ac:dyDescent="0.2">
      <c r="A1708" s="21"/>
      <c r="B1708" s="3" t="s">
        <v>17</v>
      </c>
      <c r="C1708" s="23" t="s">
        <v>19</v>
      </c>
      <c r="D1708" s="21"/>
    </row>
    <row r="1709" spans="1:4" ht="12.75" customHeight="1" x14ac:dyDescent="0.2">
      <c r="A1709" s="21"/>
      <c r="B1709" s="20" t="s">
        <v>18</v>
      </c>
      <c r="C1709" s="8" t="s">
        <v>232</v>
      </c>
      <c r="D1709" s="1" t="str">
        <f>HYPERLINK("javascript:void(0)","arany")</f>
        <v>arany</v>
      </c>
    </row>
    <row r="1710" spans="1:4" ht="12.75" customHeight="1" x14ac:dyDescent="0.2">
      <c r="A1710" s="21"/>
      <c r="B1710" s="21"/>
      <c r="C1710" s="8" t="s">
        <v>44</v>
      </c>
      <c r="D1710" s="1" t="str">
        <f>HYPERLINK("javascript:void(0)","aranyláncing")</f>
        <v>aranyláncing</v>
      </c>
    </row>
    <row r="1711" spans="1:4" ht="12.75" customHeight="1" x14ac:dyDescent="0.2">
      <c r="A1711" s="21"/>
      <c r="B1711" s="21"/>
      <c r="C1711" s="8" t="s">
        <v>55</v>
      </c>
      <c r="D1711" s="1" t="str">
        <f>HYPERLINK("javascript:void(0)","vasérc")</f>
        <v>vasérc</v>
      </c>
    </row>
    <row r="1712" spans="1:4" ht="12.75" customHeight="1" x14ac:dyDescent="0.2">
      <c r="A1712" s="21"/>
      <c r="B1712" s="2"/>
      <c r="C1712" s="7"/>
      <c r="D1712" s="7"/>
    </row>
    <row r="1713" spans="1:4" ht="12.75" customHeight="1" x14ac:dyDescent="0.2">
      <c r="A1713" s="21"/>
      <c r="B1713" s="2"/>
      <c r="C1713" s="7"/>
      <c r="D1713" s="7"/>
    </row>
    <row r="1714" spans="1:4" ht="12.75" customHeight="1" x14ac:dyDescent="0.2">
      <c r="A1714" s="21"/>
      <c r="B1714" s="2"/>
      <c r="C1714" s="7"/>
      <c r="D1714" s="7"/>
    </row>
    <row r="1715" spans="1:4" ht="12.75" customHeight="1" x14ac:dyDescent="0.2">
      <c r="A1715" s="21"/>
      <c r="B1715" s="2"/>
      <c r="C1715" s="7"/>
      <c r="D1715" s="7"/>
    </row>
    <row r="1716" spans="1:4" ht="12.75" customHeight="1" x14ac:dyDescent="0.2">
      <c r="A1716" s="5"/>
      <c r="B1716" s="2"/>
      <c r="C1716" s="7"/>
      <c r="D1716" s="7"/>
    </row>
    <row r="1717" spans="1:4" ht="12.75" customHeight="1" x14ac:dyDescent="0.2">
      <c r="A1717" s="22" t="str">
        <f>HYPERLINK("javascript:void(0)","hidracél pajzs")</f>
        <v>hidracél pajzs</v>
      </c>
      <c r="B1717" s="21"/>
      <c r="C1717" s="21"/>
      <c r="D1717" s="21"/>
    </row>
    <row r="1718" spans="1:4" ht="12.75" customHeight="1" x14ac:dyDescent="0.2">
      <c r="A1718" s="20"/>
      <c r="B1718" s="2"/>
      <c r="C1718" s="7"/>
      <c r="D1718" s="7"/>
    </row>
    <row r="1719" spans="1:4" ht="12.75" customHeight="1" x14ac:dyDescent="0.2">
      <c r="A1719" s="21"/>
      <c r="B1719" s="3" t="s">
        <v>0</v>
      </c>
      <c r="C1719" s="23" t="s">
        <v>155</v>
      </c>
      <c r="D1719" s="21"/>
    </row>
    <row r="1720" spans="1:4" ht="12.75" customHeight="1" x14ac:dyDescent="0.2">
      <c r="A1720" s="21"/>
      <c r="B1720" s="3" t="s">
        <v>2</v>
      </c>
      <c r="C1720" s="23" t="s">
        <v>1839</v>
      </c>
      <c r="D1720" s="21"/>
    </row>
    <row r="1721" spans="1:4" ht="12.75" customHeight="1" x14ac:dyDescent="0.2">
      <c r="A1721" s="21"/>
      <c r="B1721" s="3" t="s">
        <v>1840</v>
      </c>
      <c r="C1721" s="23" t="s">
        <v>159</v>
      </c>
      <c r="D1721" s="21"/>
    </row>
    <row r="1722" spans="1:4" ht="12.75" customHeight="1" x14ac:dyDescent="0.2">
      <c r="A1722" s="21"/>
      <c r="B1722" s="3" t="s">
        <v>9</v>
      </c>
      <c r="C1722" s="23" t="s">
        <v>1670</v>
      </c>
      <c r="D1722" s="21"/>
    </row>
    <row r="1723" spans="1:4" ht="12.75" customHeight="1" x14ac:dyDescent="0.2">
      <c r="A1723" s="21"/>
      <c r="B1723" s="3" t="s">
        <v>11</v>
      </c>
      <c r="C1723" s="23" t="s">
        <v>1944</v>
      </c>
      <c r="D1723" s="21"/>
    </row>
    <row r="1724" spans="1:4" ht="12.75" customHeight="1" x14ac:dyDescent="0.2">
      <c r="A1724" s="21"/>
      <c r="B1724" s="3" t="s">
        <v>16</v>
      </c>
      <c r="C1724" s="23"/>
      <c r="D1724" s="21"/>
    </row>
    <row r="1725" spans="1:4" ht="12.75" customHeight="1" x14ac:dyDescent="0.2">
      <c r="A1725" s="21"/>
      <c r="B1725" s="3" t="s">
        <v>17</v>
      </c>
      <c r="C1725" s="23" t="s">
        <v>19</v>
      </c>
      <c r="D1725" s="21"/>
    </row>
    <row r="1726" spans="1:4" ht="12.75" customHeight="1" x14ac:dyDescent="0.2">
      <c r="A1726" s="21"/>
      <c r="B1726" s="20" t="s">
        <v>18</v>
      </c>
      <c r="C1726" s="8" t="s">
        <v>44</v>
      </c>
      <c r="D1726" s="1" t="str">
        <f>HYPERLINK("javascript:void(0)","mengorni pajzs")</f>
        <v>mengorni pajzs</v>
      </c>
    </row>
    <row r="1727" spans="1:4" ht="12.75" customHeight="1" x14ac:dyDescent="0.2">
      <c r="A1727" s="21"/>
      <c r="B1727" s="21"/>
      <c r="C1727" s="8" t="s">
        <v>232</v>
      </c>
      <c r="D1727" s="1" t="str">
        <f>HYPERLINK("javascript:void(0)","szén-hidragén")</f>
        <v>szén-hidragén</v>
      </c>
    </row>
    <row r="1728" spans="1:4" ht="12.75" customHeight="1" x14ac:dyDescent="0.2">
      <c r="A1728" s="21"/>
      <c r="B1728" s="21"/>
      <c r="C1728" s="8" t="s">
        <v>44</v>
      </c>
      <c r="D1728" s="1" t="str">
        <f>HYPERLINK("javascript:void(0)","gyémánt")</f>
        <v>gyémánt</v>
      </c>
    </row>
    <row r="1729" spans="1:4" ht="12.75" customHeight="1" x14ac:dyDescent="0.2">
      <c r="A1729" s="21"/>
      <c r="B1729" s="2"/>
      <c r="C1729" s="7"/>
      <c r="D1729" s="7"/>
    </row>
    <row r="1730" spans="1:4" ht="12.75" customHeight="1" x14ac:dyDescent="0.2">
      <c r="A1730" s="21"/>
      <c r="B1730" s="2"/>
      <c r="C1730" s="7"/>
      <c r="D1730" s="7"/>
    </row>
    <row r="1731" spans="1:4" ht="12.75" customHeight="1" x14ac:dyDescent="0.2">
      <c r="A1731" s="21"/>
      <c r="B1731" s="2"/>
      <c r="C1731" s="7"/>
      <c r="D1731" s="7"/>
    </row>
    <row r="1732" spans="1:4" ht="12.75" customHeight="1" x14ac:dyDescent="0.2">
      <c r="A1732" s="21"/>
      <c r="B1732" s="2"/>
      <c r="C1732" s="7"/>
      <c r="D1732" s="7"/>
    </row>
    <row r="1733" spans="1:4" ht="12.75" customHeight="1" x14ac:dyDescent="0.2">
      <c r="A1733" s="5"/>
      <c r="B1733" s="2"/>
      <c r="C1733" s="7"/>
      <c r="D1733" s="7"/>
    </row>
    <row r="1734" spans="1:4" ht="12.75" customHeight="1" x14ac:dyDescent="0.2">
      <c r="A1734" s="22" t="str">
        <f>HYPERLINK("javascript:void(0)","elementálpajzs")</f>
        <v>elementálpajzs</v>
      </c>
      <c r="B1734" s="21"/>
      <c r="C1734" s="21"/>
      <c r="D1734" s="21"/>
    </row>
    <row r="1735" spans="1:4" ht="12.75" customHeight="1" x14ac:dyDescent="0.2">
      <c r="A1735" s="20"/>
      <c r="B1735" s="2"/>
      <c r="C1735" s="7"/>
      <c r="D1735" s="7"/>
    </row>
    <row r="1736" spans="1:4" ht="12.75" customHeight="1" x14ac:dyDescent="0.2">
      <c r="A1736" s="21"/>
      <c r="B1736" s="3" t="s">
        <v>0</v>
      </c>
      <c r="C1736" s="23" t="s">
        <v>155</v>
      </c>
      <c r="D1736" s="21"/>
    </row>
    <row r="1737" spans="1:4" ht="12.75" customHeight="1" x14ac:dyDescent="0.2">
      <c r="A1737" s="21"/>
      <c r="B1737" s="3" t="s">
        <v>2</v>
      </c>
      <c r="C1737" s="23" t="s">
        <v>1839</v>
      </c>
      <c r="D1737" s="21"/>
    </row>
    <row r="1738" spans="1:4" ht="12.75" customHeight="1" x14ac:dyDescent="0.2">
      <c r="A1738" s="21"/>
      <c r="B1738" s="3" t="s">
        <v>1840</v>
      </c>
      <c r="C1738" s="23" t="s">
        <v>155</v>
      </c>
      <c r="D1738" s="21"/>
    </row>
    <row r="1739" spans="1:4" ht="12.75" customHeight="1" x14ac:dyDescent="0.2">
      <c r="A1739" s="21"/>
      <c r="B1739" s="3" t="s">
        <v>9</v>
      </c>
      <c r="C1739" s="23" t="s">
        <v>249</v>
      </c>
      <c r="D1739" s="21"/>
    </row>
    <row r="1740" spans="1:4" ht="12.75" customHeight="1" x14ac:dyDescent="0.2">
      <c r="A1740" s="21"/>
      <c r="B1740" s="3" t="s">
        <v>11</v>
      </c>
      <c r="C1740" s="23" t="s">
        <v>1946</v>
      </c>
      <c r="D1740" s="21"/>
    </row>
    <row r="1741" spans="1:4" ht="12.75" customHeight="1" x14ac:dyDescent="0.2">
      <c r="A1741" s="21"/>
      <c r="B1741" s="3" t="s">
        <v>16</v>
      </c>
      <c r="C1741" s="23"/>
      <c r="D1741" s="21"/>
    </row>
    <row r="1742" spans="1:4" ht="12.75" customHeight="1" x14ac:dyDescent="0.2">
      <c r="A1742" s="21"/>
      <c r="B1742" s="3" t="s">
        <v>17</v>
      </c>
      <c r="C1742" s="23" t="s">
        <v>19</v>
      </c>
      <c r="D1742" s="21"/>
    </row>
    <row r="1743" spans="1:4" ht="12.75" customHeight="1" x14ac:dyDescent="0.2">
      <c r="A1743" s="21"/>
      <c r="B1743" s="20" t="s">
        <v>18</v>
      </c>
      <c r="C1743" s="8" t="s">
        <v>68</v>
      </c>
      <c r="D1743" s="1" t="str">
        <f>HYPERLINK("javascript:void(0)","elementál eszencia")</f>
        <v>elementál eszencia</v>
      </c>
    </row>
    <row r="1744" spans="1:4" ht="12.75" customHeight="1" x14ac:dyDescent="0.2">
      <c r="A1744" s="21"/>
      <c r="B1744" s="21"/>
      <c r="C1744" s="8" t="s">
        <v>67</v>
      </c>
      <c r="D1744" s="1" t="str">
        <f>HYPERLINK("javascript:void(0)","óngolyó")</f>
        <v>óngolyó</v>
      </c>
    </row>
    <row r="1745" spans="1:4" ht="12.75" customHeight="1" x14ac:dyDescent="0.2">
      <c r="A1745" s="21"/>
      <c r="B1745" s="21"/>
      <c r="C1745" s="8" t="s">
        <v>232</v>
      </c>
      <c r="D1745" s="1" t="str">
        <f>HYPERLINK("javascript:void(0)","grifftoll")</f>
        <v>grifftoll</v>
      </c>
    </row>
    <row r="1746" spans="1:4" ht="12.75" customHeight="1" x14ac:dyDescent="0.2">
      <c r="A1746" s="21"/>
      <c r="B1746" s="2"/>
      <c r="C1746" s="7"/>
      <c r="D1746" s="7"/>
    </row>
    <row r="1747" spans="1:4" ht="12.75" customHeight="1" x14ac:dyDescent="0.2">
      <c r="A1747" s="21"/>
      <c r="B1747" s="2"/>
      <c r="C1747" s="7"/>
      <c r="D1747" s="7"/>
    </row>
    <row r="1748" spans="1:4" ht="12.75" customHeight="1" x14ac:dyDescent="0.2">
      <c r="A1748" s="21"/>
      <c r="B1748" s="2"/>
      <c r="C1748" s="7"/>
      <c r="D1748" s="7"/>
    </row>
    <row r="1749" spans="1:4" ht="12.75" customHeight="1" x14ac:dyDescent="0.2">
      <c r="A1749" s="21"/>
      <c r="B1749" s="2"/>
      <c r="C1749" s="7"/>
      <c r="D1749" s="7"/>
    </row>
    <row r="1750" spans="1:4" ht="12.75" customHeight="1" x14ac:dyDescent="0.2">
      <c r="A1750" s="5"/>
      <c r="B1750" s="2"/>
      <c r="C1750" s="7"/>
      <c r="D1750" s="7"/>
    </row>
    <row r="1751" spans="1:4" ht="12.75" customHeight="1" x14ac:dyDescent="0.2">
      <c r="A1751" s="22" t="str">
        <f>HYPERLINK("javascript:void(0)","hidracél csizma")</f>
        <v>hidracél csizma</v>
      </c>
      <c r="B1751" s="21"/>
      <c r="C1751" s="21"/>
      <c r="D1751" s="21"/>
    </row>
    <row r="1752" spans="1:4" ht="12.75" customHeight="1" x14ac:dyDescent="0.2">
      <c r="A1752" s="20"/>
      <c r="B1752" s="2"/>
      <c r="C1752" s="7"/>
      <c r="D1752" s="7"/>
    </row>
    <row r="1753" spans="1:4" ht="12.75" customHeight="1" x14ac:dyDescent="0.2">
      <c r="A1753" s="21"/>
      <c r="B1753" s="3" t="s">
        <v>0</v>
      </c>
      <c r="C1753" s="23" t="s">
        <v>155</v>
      </c>
      <c r="D1753" s="21"/>
    </row>
    <row r="1754" spans="1:4" ht="12.75" customHeight="1" x14ac:dyDescent="0.2">
      <c r="A1754" s="21"/>
      <c r="B1754" s="3" t="s">
        <v>2</v>
      </c>
      <c r="C1754" s="23"/>
      <c r="D1754" s="21"/>
    </row>
    <row r="1755" spans="1:4" ht="12.75" customHeight="1" x14ac:dyDescent="0.2">
      <c r="A1755" s="21"/>
      <c r="B1755" s="3" t="s">
        <v>1840</v>
      </c>
      <c r="C1755" s="23" t="s">
        <v>32</v>
      </c>
      <c r="D1755" s="21"/>
    </row>
    <row r="1756" spans="1:4" ht="12.75" customHeight="1" x14ac:dyDescent="0.2">
      <c r="A1756" s="21"/>
      <c r="B1756" s="3" t="s">
        <v>9</v>
      </c>
      <c r="C1756" s="23" t="s">
        <v>147</v>
      </c>
      <c r="D1756" s="21"/>
    </row>
    <row r="1757" spans="1:4" ht="12.75" customHeight="1" x14ac:dyDescent="0.2">
      <c r="A1757" s="21"/>
      <c r="B1757" s="3" t="s">
        <v>11</v>
      </c>
      <c r="C1757" s="23" t="s">
        <v>423</v>
      </c>
      <c r="D1757" s="21"/>
    </row>
    <row r="1758" spans="1:4" ht="12.75" customHeight="1" x14ac:dyDescent="0.2">
      <c r="A1758" s="21"/>
      <c r="B1758" s="3" t="s">
        <v>16</v>
      </c>
      <c r="C1758" s="23"/>
      <c r="D1758" s="21"/>
    </row>
    <row r="1759" spans="1:4" ht="12.75" customHeight="1" x14ac:dyDescent="0.2">
      <c r="A1759" s="21"/>
      <c r="B1759" s="3" t="s">
        <v>17</v>
      </c>
      <c r="C1759" s="23" t="s">
        <v>19</v>
      </c>
      <c r="D1759" s="21"/>
    </row>
    <row r="1760" spans="1:4" ht="12.75" customHeight="1" x14ac:dyDescent="0.2">
      <c r="A1760" s="21"/>
      <c r="B1760" s="20" t="s">
        <v>18</v>
      </c>
      <c r="C1760" s="8" t="s">
        <v>309</v>
      </c>
      <c r="D1760" s="1" t="str">
        <f>HYPERLINK("javascript:void(0)","szén-hidragén")</f>
        <v>szén-hidragén</v>
      </c>
    </row>
    <row r="1761" spans="1:4" ht="12.75" customHeight="1" x14ac:dyDescent="0.2">
      <c r="A1761" s="21"/>
      <c r="B1761" s="21"/>
      <c r="C1761" s="8" t="s">
        <v>57</v>
      </c>
      <c r="D1761" s="1" t="str">
        <f>HYPERLINK("javascript:void(0)","platinarugó")</f>
        <v>platinarugó</v>
      </c>
    </row>
    <row r="1762" spans="1:4" ht="12.75" customHeight="1" x14ac:dyDescent="0.2">
      <c r="A1762" s="21"/>
      <c r="B1762" s="21"/>
      <c r="C1762" s="8" t="s">
        <v>309</v>
      </c>
      <c r="D1762" s="1" t="str">
        <f>HYPERLINK("javascript:void(0)","vámpírherbium")</f>
        <v>vámpírherbium</v>
      </c>
    </row>
    <row r="1763" spans="1:4" ht="12.75" customHeight="1" x14ac:dyDescent="0.2">
      <c r="A1763" s="21"/>
      <c r="B1763" s="2"/>
      <c r="C1763" s="7"/>
      <c r="D1763" s="7"/>
    </row>
    <row r="1764" spans="1:4" ht="12.75" customHeight="1" x14ac:dyDescent="0.2">
      <c r="A1764" s="21"/>
      <c r="B1764" s="2"/>
      <c r="C1764" s="7"/>
      <c r="D1764" s="7"/>
    </row>
    <row r="1765" spans="1:4" ht="12.75" customHeight="1" x14ac:dyDescent="0.2">
      <c r="A1765" s="21"/>
      <c r="B1765" s="2"/>
      <c r="C1765" s="7"/>
      <c r="D1765" s="7"/>
    </row>
    <row r="1766" spans="1:4" ht="12.75" customHeight="1" x14ac:dyDescent="0.2">
      <c r="A1766" s="21"/>
      <c r="B1766" s="2"/>
      <c r="C1766" s="7"/>
      <c r="D1766" s="7"/>
    </row>
    <row r="1767" spans="1:4" ht="12.75" customHeight="1" x14ac:dyDescent="0.2">
      <c r="A1767" s="5"/>
      <c r="B1767" s="2"/>
      <c r="C1767" s="7"/>
      <c r="D1767" s="7"/>
    </row>
    <row r="1768" spans="1:4" ht="12.75" customHeight="1" x14ac:dyDescent="0.2">
      <c r="A1768" s="22" t="str">
        <f>HYPERLINK("javascript:void(0)","gránitrög")</f>
        <v>gránitrög</v>
      </c>
      <c r="B1768" s="21"/>
      <c r="C1768" s="21"/>
      <c r="D1768" s="21"/>
    </row>
    <row r="1769" spans="1:4" ht="12.75" customHeight="1" x14ac:dyDescent="0.2">
      <c r="A1769" s="20"/>
      <c r="B1769" s="2"/>
      <c r="C1769" s="7"/>
      <c r="D1769" s="7"/>
    </row>
    <row r="1770" spans="1:4" ht="12.75" customHeight="1" x14ac:dyDescent="0.2">
      <c r="A1770" s="21"/>
      <c r="B1770" s="3" t="s">
        <v>0</v>
      </c>
      <c r="C1770" s="23" t="s">
        <v>155</v>
      </c>
      <c r="D1770" s="21"/>
    </row>
    <row r="1771" spans="1:4" ht="12.75" customHeight="1" x14ac:dyDescent="0.2">
      <c r="A1771" s="21"/>
      <c r="B1771" s="3" t="s">
        <v>2</v>
      </c>
      <c r="C1771" s="23" t="s">
        <v>1839</v>
      </c>
      <c r="D1771" s="21"/>
    </row>
    <row r="1772" spans="1:4" ht="12.75" customHeight="1" x14ac:dyDescent="0.2">
      <c r="A1772" s="21"/>
      <c r="B1772" s="3" t="s">
        <v>1840</v>
      </c>
      <c r="C1772" s="23" t="s">
        <v>21</v>
      </c>
      <c r="D1772" s="21"/>
    </row>
    <row r="1773" spans="1:4" ht="12.75" customHeight="1" x14ac:dyDescent="0.2">
      <c r="A1773" s="21"/>
      <c r="B1773" s="3" t="s">
        <v>9</v>
      </c>
      <c r="C1773" s="23" t="s">
        <v>36</v>
      </c>
      <c r="D1773" s="21"/>
    </row>
    <row r="1774" spans="1:4" ht="12.75" customHeight="1" x14ac:dyDescent="0.2">
      <c r="A1774" s="21"/>
      <c r="B1774" s="3" t="s">
        <v>11</v>
      </c>
      <c r="C1774" s="23" t="s">
        <v>551</v>
      </c>
      <c r="D1774" s="21"/>
    </row>
    <row r="1775" spans="1:4" ht="12.75" customHeight="1" x14ac:dyDescent="0.2">
      <c r="A1775" s="21"/>
      <c r="B1775" s="3" t="s">
        <v>16</v>
      </c>
      <c r="C1775" s="23"/>
      <c r="D1775" s="21"/>
    </row>
    <row r="1776" spans="1:4" ht="12.75" customHeight="1" x14ac:dyDescent="0.2">
      <c r="A1776" s="21"/>
      <c r="B1776" s="3" t="s">
        <v>17</v>
      </c>
      <c r="C1776" s="23" t="s">
        <v>19</v>
      </c>
      <c r="D1776" s="21"/>
    </row>
    <row r="1777" spans="1:4" ht="12.75" customHeight="1" x14ac:dyDescent="0.2">
      <c r="A1777" s="21"/>
      <c r="B1777" s="20" t="s">
        <v>18</v>
      </c>
      <c r="C1777" s="8" t="s">
        <v>130</v>
      </c>
      <c r="D1777" s="1" t="str">
        <f>HYPERLINK("javascript:void(0)","rubin")</f>
        <v>rubin</v>
      </c>
    </row>
    <row r="1778" spans="1:4" ht="12.75" customHeight="1" x14ac:dyDescent="0.2">
      <c r="A1778" s="21"/>
      <c r="B1778" s="21"/>
      <c r="C1778" s="8" t="s">
        <v>44</v>
      </c>
      <c r="D1778" s="1" t="str">
        <f>HYPERLINK("javascript:void(0)","vasrög")</f>
        <v>vasrög</v>
      </c>
    </row>
    <row r="1779" spans="1:4" ht="12.75" customHeight="1" x14ac:dyDescent="0.2">
      <c r="A1779" s="21"/>
      <c r="B1779" s="21"/>
      <c r="C1779" s="8" t="s">
        <v>130</v>
      </c>
      <c r="D1779" s="1" t="str">
        <f>HYPERLINK("javascript:void(0)","smaragd")</f>
        <v>smaragd</v>
      </c>
    </row>
    <row r="1780" spans="1:4" ht="12.75" customHeight="1" x14ac:dyDescent="0.2">
      <c r="A1780" s="21"/>
      <c r="B1780" s="2"/>
      <c r="C1780" s="7"/>
      <c r="D1780" s="7"/>
    </row>
    <row r="1781" spans="1:4" ht="12.75" customHeight="1" x14ac:dyDescent="0.2">
      <c r="A1781" s="21"/>
      <c r="B1781" s="2"/>
      <c r="C1781" s="7"/>
      <c r="D1781" s="7"/>
    </row>
    <row r="1782" spans="1:4" ht="12.75" customHeight="1" x14ac:dyDescent="0.2">
      <c r="A1782" s="21"/>
      <c r="B1782" s="2"/>
      <c r="C1782" s="7"/>
      <c r="D1782" s="7"/>
    </row>
    <row r="1783" spans="1:4" ht="12.75" customHeight="1" x14ac:dyDescent="0.2">
      <c r="A1783" s="21"/>
      <c r="B1783" s="2"/>
      <c r="C1783" s="7"/>
      <c r="D1783" s="7"/>
    </row>
    <row r="1784" spans="1:4" ht="12.75" customHeight="1" x14ac:dyDescent="0.2">
      <c r="A1784" s="5"/>
      <c r="B1784" s="2"/>
      <c r="C1784" s="7"/>
      <c r="D1784" s="7"/>
    </row>
    <row r="1785" spans="1:4" ht="12.75" customHeight="1" x14ac:dyDescent="0.2">
      <c r="A1785" s="22" t="str">
        <f>HYPERLINK("javascript:void(0)","gyémánt sisak")</f>
        <v>gyémánt sisak</v>
      </c>
      <c r="B1785" s="21"/>
      <c r="C1785" s="21"/>
      <c r="D1785" s="21"/>
    </row>
    <row r="1786" spans="1:4" ht="12.75" customHeight="1" x14ac:dyDescent="0.2">
      <c r="A1786" s="20"/>
      <c r="B1786" s="2"/>
      <c r="C1786" s="7"/>
      <c r="D1786" s="7"/>
    </row>
    <row r="1787" spans="1:4" ht="12.75" customHeight="1" x14ac:dyDescent="0.2">
      <c r="A1787" s="21"/>
      <c r="B1787" s="3" t="s">
        <v>0</v>
      </c>
      <c r="C1787" s="23" t="s">
        <v>159</v>
      </c>
      <c r="D1787" s="21"/>
    </row>
    <row r="1788" spans="1:4" ht="12.75" customHeight="1" x14ac:dyDescent="0.2">
      <c r="A1788" s="21"/>
      <c r="B1788" s="3" t="s">
        <v>2</v>
      </c>
      <c r="C1788" s="23"/>
      <c r="D1788" s="21"/>
    </row>
    <row r="1789" spans="1:4" ht="12.75" customHeight="1" x14ac:dyDescent="0.2">
      <c r="A1789" s="21"/>
      <c r="B1789" s="3" t="s">
        <v>1840</v>
      </c>
      <c r="C1789" s="23" t="s">
        <v>32</v>
      </c>
      <c r="D1789" s="21"/>
    </row>
    <row r="1790" spans="1:4" ht="12.75" customHeight="1" x14ac:dyDescent="0.2">
      <c r="A1790" s="21"/>
      <c r="B1790" s="3" t="s">
        <v>9</v>
      </c>
      <c r="C1790" s="23" t="s">
        <v>464</v>
      </c>
      <c r="D1790" s="21"/>
    </row>
    <row r="1791" spans="1:4" ht="12.75" customHeight="1" x14ac:dyDescent="0.2">
      <c r="A1791" s="21"/>
      <c r="B1791" s="3" t="s">
        <v>11</v>
      </c>
      <c r="C1791" s="23" t="s">
        <v>2597</v>
      </c>
      <c r="D1791" s="21"/>
    </row>
    <row r="1792" spans="1:4" ht="12.75" customHeight="1" x14ac:dyDescent="0.2">
      <c r="A1792" s="21"/>
      <c r="B1792" s="3" t="s">
        <v>16</v>
      </c>
      <c r="C1792" s="23"/>
      <c r="D1792" s="21"/>
    </row>
    <row r="1793" spans="1:4" ht="12.75" customHeight="1" x14ac:dyDescent="0.2">
      <c r="A1793" s="21"/>
      <c r="B1793" s="3" t="s">
        <v>17</v>
      </c>
      <c r="C1793" s="23" t="s">
        <v>19</v>
      </c>
      <c r="D1793" s="21"/>
    </row>
    <row r="1794" spans="1:4" ht="12.75" customHeight="1" x14ac:dyDescent="0.2">
      <c r="A1794" s="21"/>
      <c r="B1794" s="20" t="s">
        <v>18</v>
      </c>
      <c r="C1794" s="8" t="s">
        <v>44</v>
      </c>
      <c r="D1794" s="1" t="str">
        <f>HYPERLINK("javascript:void(0)","rubin sisak")</f>
        <v>rubin sisak</v>
      </c>
    </row>
    <row r="1795" spans="1:4" ht="12.75" customHeight="1" x14ac:dyDescent="0.2">
      <c r="A1795" s="21"/>
      <c r="B1795" s="21"/>
      <c r="C1795" s="8" t="s">
        <v>56</v>
      </c>
      <c r="D1795" s="1" t="str">
        <f>HYPERLINK("javascript:void(0)","gyémánt")</f>
        <v>gyémánt</v>
      </c>
    </row>
    <row r="1796" spans="1:4" ht="12.75" customHeight="1" x14ac:dyDescent="0.2">
      <c r="A1796" s="21"/>
      <c r="B1796" s="21"/>
      <c r="C1796" s="8" t="s">
        <v>55</v>
      </c>
      <c r="D1796" s="1" t="str">
        <f>HYPERLINK("javascript:void(0)","arany")</f>
        <v>arany</v>
      </c>
    </row>
    <row r="1797" spans="1:4" ht="12.75" customHeight="1" x14ac:dyDescent="0.2">
      <c r="A1797" s="21"/>
      <c r="B1797" s="2"/>
      <c r="C1797" s="7"/>
      <c r="D1797" s="7"/>
    </row>
    <row r="1798" spans="1:4" ht="12.75" customHeight="1" x14ac:dyDescent="0.2">
      <c r="A1798" s="21"/>
      <c r="B1798" s="2"/>
      <c r="C1798" s="7"/>
      <c r="D1798" s="7"/>
    </row>
    <row r="1799" spans="1:4" ht="12.75" customHeight="1" x14ac:dyDescent="0.2">
      <c r="A1799" s="21"/>
      <c r="B1799" s="2"/>
      <c r="C1799" s="7"/>
      <c r="D1799" s="7"/>
    </row>
    <row r="1800" spans="1:4" ht="12.75" customHeight="1" x14ac:dyDescent="0.2">
      <c r="A1800" s="21"/>
      <c r="B1800" s="2"/>
      <c r="C1800" s="7"/>
      <c r="D1800" s="7"/>
    </row>
    <row r="1801" spans="1:4" ht="12.75" customHeight="1" x14ac:dyDescent="0.2">
      <c r="A1801" s="5"/>
      <c r="B1801" s="2"/>
      <c r="C1801" s="7"/>
      <c r="D1801" s="7"/>
    </row>
    <row r="1802" spans="1:4" ht="12.75" customHeight="1" x14ac:dyDescent="0.2">
      <c r="A1802" s="22" t="str">
        <f>HYPERLINK("javascript:void(0)","gyémántpajzs")</f>
        <v>gyémántpajzs</v>
      </c>
      <c r="B1802" s="21"/>
      <c r="C1802" s="21"/>
      <c r="D1802" s="21"/>
    </row>
    <row r="1803" spans="1:4" ht="12.75" customHeight="1" x14ac:dyDescent="0.2">
      <c r="A1803" s="20"/>
      <c r="B1803" s="2"/>
      <c r="C1803" s="7"/>
      <c r="D1803" s="7"/>
    </row>
    <row r="1804" spans="1:4" ht="12.75" customHeight="1" x14ac:dyDescent="0.2">
      <c r="A1804" s="21"/>
      <c r="B1804" s="3" t="s">
        <v>0</v>
      </c>
      <c r="C1804" s="23" t="s">
        <v>159</v>
      </c>
      <c r="D1804" s="21"/>
    </row>
    <row r="1805" spans="1:4" ht="12.75" customHeight="1" x14ac:dyDescent="0.2">
      <c r="A1805" s="21"/>
      <c r="B1805" s="3" t="s">
        <v>2</v>
      </c>
      <c r="C1805" s="23" t="s">
        <v>1839</v>
      </c>
      <c r="D1805" s="21"/>
    </row>
    <row r="1806" spans="1:4" ht="12.75" customHeight="1" x14ac:dyDescent="0.2">
      <c r="A1806" s="21"/>
      <c r="B1806" s="3" t="s">
        <v>1840</v>
      </c>
      <c r="C1806" s="23" t="s">
        <v>159</v>
      </c>
      <c r="D1806" s="21"/>
    </row>
    <row r="1807" spans="1:4" ht="12.75" customHeight="1" x14ac:dyDescent="0.2">
      <c r="A1807" s="21"/>
      <c r="B1807" s="3" t="s">
        <v>9</v>
      </c>
      <c r="C1807" s="23" t="s">
        <v>36</v>
      </c>
      <c r="D1807" s="21"/>
    </row>
    <row r="1808" spans="1:4" ht="12.75" customHeight="1" x14ac:dyDescent="0.2">
      <c r="A1808" s="21"/>
      <c r="B1808" s="3" t="s">
        <v>11</v>
      </c>
      <c r="C1808" s="23" t="s">
        <v>1950</v>
      </c>
      <c r="D1808" s="21"/>
    </row>
    <row r="1809" spans="1:4" ht="12.75" customHeight="1" x14ac:dyDescent="0.2">
      <c r="A1809" s="21"/>
      <c r="B1809" s="3" t="s">
        <v>16</v>
      </c>
      <c r="C1809" s="23"/>
      <c r="D1809" s="21"/>
    </row>
    <row r="1810" spans="1:4" ht="12.75" customHeight="1" x14ac:dyDescent="0.2">
      <c r="A1810" s="21"/>
      <c r="B1810" s="3" t="s">
        <v>17</v>
      </c>
      <c r="C1810" s="23" t="s">
        <v>19</v>
      </c>
      <c r="D1810" s="21"/>
    </row>
    <row r="1811" spans="1:4" ht="12.75" customHeight="1" x14ac:dyDescent="0.2">
      <c r="A1811" s="21"/>
      <c r="B1811" s="20" t="s">
        <v>18</v>
      </c>
      <c r="C1811" s="8" t="s">
        <v>44</v>
      </c>
      <c r="D1811" s="1" t="str">
        <f>HYPERLINK("javascript:void(0)","aranypajzs")</f>
        <v>aranypajzs</v>
      </c>
    </row>
    <row r="1812" spans="1:4" ht="12.75" customHeight="1" x14ac:dyDescent="0.2">
      <c r="A1812" s="21"/>
      <c r="B1812" s="21"/>
      <c r="C1812" s="8" t="s">
        <v>56</v>
      </c>
      <c r="D1812" s="1" t="str">
        <f>HYPERLINK("javascript:void(0)","gyémánt")</f>
        <v>gyémánt</v>
      </c>
    </row>
    <row r="1813" spans="1:4" ht="12.75" customHeight="1" x14ac:dyDescent="0.2">
      <c r="A1813" s="21"/>
      <c r="B1813" s="21"/>
      <c r="C1813" s="8" t="s">
        <v>57</v>
      </c>
      <c r="D1813" s="1" t="str">
        <f>HYPERLINK("javascript:void(0)","gyöngy")</f>
        <v>gyöngy</v>
      </c>
    </row>
    <row r="1814" spans="1:4" ht="12.75" customHeight="1" x14ac:dyDescent="0.2">
      <c r="A1814" s="21"/>
      <c r="B1814" s="2"/>
      <c r="C1814" s="7"/>
      <c r="D1814" s="7"/>
    </row>
    <row r="1815" spans="1:4" ht="12.75" customHeight="1" x14ac:dyDescent="0.2">
      <c r="A1815" s="21"/>
      <c r="B1815" s="2"/>
      <c r="C1815" s="7"/>
      <c r="D1815" s="7"/>
    </row>
    <row r="1816" spans="1:4" ht="12.75" customHeight="1" x14ac:dyDescent="0.2">
      <c r="A1816" s="21"/>
      <c r="B1816" s="2"/>
      <c r="C1816" s="7"/>
      <c r="D1816" s="7"/>
    </row>
    <row r="1817" spans="1:4" ht="12.75" customHeight="1" x14ac:dyDescent="0.2">
      <c r="A1817" s="21"/>
      <c r="B1817" s="2"/>
      <c r="C1817" s="7"/>
      <c r="D1817" s="7"/>
    </row>
    <row r="1818" spans="1:4" ht="12.75" customHeight="1" x14ac:dyDescent="0.2">
      <c r="A1818" s="5"/>
      <c r="B1818" s="2"/>
      <c r="C1818" s="7"/>
      <c r="D1818" s="7"/>
    </row>
    <row r="1819" spans="1:4" ht="12.75" customHeight="1" x14ac:dyDescent="0.2">
      <c r="A1819" s="22" t="str">
        <f>HYPERLINK("javascript:void(0)","smaragd testpajzs")</f>
        <v>smaragd testpajzs</v>
      </c>
      <c r="B1819" s="21"/>
      <c r="C1819" s="21"/>
      <c r="D1819" s="21"/>
    </row>
    <row r="1820" spans="1:4" ht="12.75" customHeight="1" x14ac:dyDescent="0.2">
      <c r="A1820" s="20"/>
      <c r="B1820" s="2"/>
      <c r="C1820" s="7"/>
      <c r="D1820" s="7"/>
    </row>
    <row r="1821" spans="1:4" ht="12.75" customHeight="1" x14ac:dyDescent="0.2">
      <c r="A1821" s="21"/>
      <c r="B1821" s="3" t="s">
        <v>0</v>
      </c>
      <c r="C1821" s="23" t="s">
        <v>159</v>
      </c>
      <c r="D1821" s="21"/>
    </row>
    <row r="1822" spans="1:4" ht="12.75" customHeight="1" x14ac:dyDescent="0.2">
      <c r="A1822" s="21"/>
      <c r="B1822" s="3" t="s">
        <v>2</v>
      </c>
      <c r="C1822" s="23" t="s">
        <v>1839</v>
      </c>
      <c r="D1822" s="21"/>
    </row>
    <row r="1823" spans="1:4" ht="12.75" customHeight="1" x14ac:dyDescent="0.2">
      <c r="A1823" s="21"/>
      <c r="B1823" s="3" t="s">
        <v>1840</v>
      </c>
      <c r="C1823" s="23" t="s">
        <v>159</v>
      </c>
      <c r="D1823" s="21"/>
    </row>
    <row r="1824" spans="1:4" ht="12.75" customHeight="1" x14ac:dyDescent="0.2">
      <c r="A1824" s="21"/>
      <c r="B1824" s="3" t="s">
        <v>9</v>
      </c>
      <c r="C1824" s="23" t="s">
        <v>300</v>
      </c>
      <c r="D1824" s="21"/>
    </row>
    <row r="1825" spans="1:4" ht="12.75" customHeight="1" x14ac:dyDescent="0.2">
      <c r="A1825" s="21"/>
      <c r="B1825" s="3" t="s">
        <v>11</v>
      </c>
      <c r="C1825" s="23" t="s">
        <v>429</v>
      </c>
      <c r="D1825" s="21"/>
    </row>
    <row r="1826" spans="1:4" ht="12.75" customHeight="1" x14ac:dyDescent="0.2">
      <c r="A1826" s="21"/>
      <c r="B1826" s="3" t="s">
        <v>16</v>
      </c>
      <c r="C1826" s="23"/>
      <c r="D1826" s="21"/>
    </row>
    <row r="1827" spans="1:4" ht="12.75" customHeight="1" x14ac:dyDescent="0.2">
      <c r="A1827" s="21"/>
      <c r="B1827" s="3" t="s">
        <v>17</v>
      </c>
      <c r="C1827" s="23" t="s">
        <v>19</v>
      </c>
      <c r="D1827" s="21"/>
    </row>
    <row r="1828" spans="1:4" ht="12.75" customHeight="1" x14ac:dyDescent="0.2">
      <c r="A1828" s="21"/>
      <c r="B1828" s="20" t="s">
        <v>18</v>
      </c>
      <c r="C1828" s="8" t="s">
        <v>44</v>
      </c>
      <c r="D1828" s="1" t="str">
        <f>HYPERLINK("javascript:void(0)","rubin testpajzs")</f>
        <v>rubin testpajzs</v>
      </c>
    </row>
    <row r="1829" spans="1:4" ht="12.75" customHeight="1" x14ac:dyDescent="0.2">
      <c r="A1829" s="21"/>
      <c r="B1829" s="21"/>
      <c r="C1829" s="8" t="s">
        <v>77</v>
      </c>
      <c r="D1829" s="1" t="str">
        <f>HYPERLINK("javascript:void(0)","smaragd")</f>
        <v>smaragd</v>
      </c>
    </row>
    <row r="1830" spans="1:4" ht="12.75" customHeight="1" x14ac:dyDescent="0.2">
      <c r="A1830" s="21"/>
      <c r="B1830" s="21"/>
      <c r="C1830" s="8" t="s">
        <v>44</v>
      </c>
      <c r="D1830" s="1" t="str">
        <f>HYPERLINK("javascript:void(0)","diszprózium")</f>
        <v>diszprózium</v>
      </c>
    </row>
    <row r="1831" spans="1:4" ht="12.75" customHeight="1" x14ac:dyDescent="0.2">
      <c r="A1831" s="21"/>
      <c r="B1831" s="2"/>
      <c r="C1831" s="7"/>
      <c r="D1831" s="7"/>
    </row>
    <row r="1832" spans="1:4" ht="12.75" customHeight="1" x14ac:dyDescent="0.2">
      <c r="A1832" s="21"/>
      <c r="B1832" s="2"/>
      <c r="C1832" s="7"/>
      <c r="D1832" s="7"/>
    </row>
    <row r="1833" spans="1:4" ht="12.75" customHeight="1" x14ac:dyDescent="0.2">
      <c r="A1833" s="21"/>
      <c r="B1833" s="2"/>
      <c r="C1833" s="7"/>
      <c r="D1833" s="7"/>
    </row>
    <row r="1834" spans="1:4" ht="12.75" customHeight="1" x14ac:dyDescent="0.2">
      <c r="A1834" s="21"/>
      <c r="B1834" s="2"/>
      <c r="C1834" s="7"/>
      <c r="D1834" s="7"/>
    </row>
    <row r="1835" spans="1:4" ht="12.75" customHeight="1" x14ac:dyDescent="0.2">
      <c r="A1835" s="5"/>
      <c r="B1835" s="2"/>
      <c r="C1835" s="7"/>
      <c r="D1835" s="7"/>
    </row>
    <row r="1836" spans="1:4" ht="12.75" customHeight="1" x14ac:dyDescent="0.2">
      <c r="A1836" s="22" t="str">
        <f>HYPERLINK("javascript:void(0)","centropajzs")</f>
        <v>centropajzs</v>
      </c>
      <c r="B1836" s="21"/>
      <c r="C1836" s="21"/>
      <c r="D1836" s="21"/>
    </row>
    <row r="1837" spans="1:4" ht="12.75" customHeight="1" x14ac:dyDescent="0.2">
      <c r="A1837" s="20"/>
      <c r="B1837" s="2"/>
      <c r="C1837" s="7"/>
      <c r="D1837" s="7"/>
    </row>
    <row r="1838" spans="1:4" ht="12.75" customHeight="1" x14ac:dyDescent="0.2">
      <c r="A1838" s="21"/>
      <c r="B1838" s="3" t="s">
        <v>0</v>
      </c>
      <c r="C1838" s="23" t="s">
        <v>159</v>
      </c>
      <c r="D1838" s="21"/>
    </row>
    <row r="1839" spans="1:4" ht="12.75" customHeight="1" x14ac:dyDescent="0.2">
      <c r="A1839" s="21"/>
      <c r="B1839" s="3" t="s">
        <v>2</v>
      </c>
      <c r="C1839" s="23" t="s">
        <v>1839</v>
      </c>
      <c r="D1839" s="21"/>
    </row>
    <row r="1840" spans="1:4" ht="12.75" customHeight="1" x14ac:dyDescent="0.2">
      <c r="A1840" s="21"/>
      <c r="B1840" s="3" t="s">
        <v>1840</v>
      </c>
      <c r="C1840" s="23" t="s">
        <v>38</v>
      </c>
      <c r="D1840" s="21"/>
    </row>
    <row r="1841" spans="1:4" ht="12.75" customHeight="1" x14ac:dyDescent="0.2">
      <c r="A1841" s="21"/>
      <c r="B1841" s="3" t="s">
        <v>9</v>
      </c>
      <c r="C1841" s="23" t="s">
        <v>1953</v>
      </c>
      <c r="D1841" s="21"/>
    </row>
    <row r="1842" spans="1:4" ht="12.75" customHeight="1" x14ac:dyDescent="0.2">
      <c r="A1842" s="21"/>
      <c r="B1842" s="3" t="s">
        <v>11</v>
      </c>
      <c r="C1842" s="23" t="s">
        <v>1723</v>
      </c>
      <c r="D1842" s="21"/>
    </row>
    <row r="1843" spans="1:4" ht="12.75" customHeight="1" x14ac:dyDescent="0.2">
      <c r="A1843" s="21"/>
      <c r="B1843" s="3" t="s">
        <v>16</v>
      </c>
      <c r="C1843" s="23"/>
      <c r="D1843" s="21"/>
    </row>
    <row r="1844" spans="1:4" ht="12.75" customHeight="1" x14ac:dyDescent="0.2">
      <c r="A1844" s="21"/>
      <c r="B1844" s="3" t="s">
        <v>17</v>
      </c>
      <c r="C1844" s="23" t="s">
        <v>19</v>
      </c>
      <c r="D1844" s="21"/>
    </row>
    <row r="1845" spans="1:4" ht="12.75" customHeight="1" x14ac:dyDescent="0.2">
      <c r="A1845" s="21"/>
      <c r="B1845" s="20" t="s">
        <v>18</v>
      </c>
      <c r="C1845" s="8" t="s">
        <v>44</v>
      </c>
      <c r="D1845" s="1" t="str">
        <f>HYPERLINK("javascript:void(0)","kithpajzs")</f>
        <v>kithpajzs</v>
      </c>
    </row>
    <row r="1846" spans="1:4" ht="12.75" customHeight="1" x14ac:dyDescent="0.2">
      <c r="A1846" s="21"/>
      <c r="B1846" s="21"/>
      <c r="C1846" s="8" t="s">
        <v>57</v>
      </c>
      <c r="D1846" s="1" t="str">
        <f>HYPERLINK("javascript:void(0)","centrolium")</f>
        <v>centrolium</v>
      </c>
    </row>
    <row r="1847" spans="1:4" ht="12.75" customHeight="1" x14ac:dyDescent="0.2">
      <c r="A1847" s="21"/>
      <c r="B1847" s="21"/>
      <c r="C1847" s="8" t="s">
        <v>57</v>
      </c>
      <c r="D1847" s="1" t="str">
        <f>HYPERLINK("javascript:void(0)","gyémánt")</f>
        <v>gyémánt</v>
      </c>
    </row>
    <row r="1848" spans="1:4" ht="12.75" customHeight="1" x14ac:dyDescent="0.2">
      <c r="A1848" s="21"/>
      <c r="B1848" s="2"/>
      <c r="C1848" s="7"/>
      <c r="D1848" s="7"/>
    </row>
    <row r="1849" spans="1:4" ht="12.75" customHeight="1" x14ac:dyDescent="0.2">
      <c r="A1849" s="21"/>
      <c r="B1849" s="2"/>
      <c r="C1849" s="7"/>
      <c r="D1849" s="7"/>
    </row>
    <row r="1850" spans="1:4" ht="12.75" customHeight="1" x14ac:dyDescent="0.2">
      <c r="A1850" s="21"/>
      <c r="B1850" s="2"/>
      <c r="C1850" s="7"/>
      <c r="D1850" s="7"/>
    </row>
    <row r="1851" spans="1:4" ht="12.75" customHeight="1" x14ac:dyDescent="0.2">
      <c r="A1851" s="21"/>
      <c r="B1851" s="2"/>
      <c r="C1851" s="7"/>
      <c r="D1851" s="7"/>
    </row>
    <row r="1852" spans="1:4" ht="12.75" customHeight="1" x14ac:dyDescent="0.2">
      <c r="A1852" s="5"/>
      <c r="B1852" s="2"/>
      <c r="C1852" s="7"/>
      <c r="D1852" s="7"/>
    </row>
    <row r="1853" spans="1:4" ht="12.75" customHeight="1" x14ac:dyDescent="0.2">
      <c r="A1853" s="22" t="str">
        <f>HYPERLINK("javascript:void(0)","opálcsizma")</f>
        <v>opálcsizma</v>
      </c>
      <c r="B1853" s="21"/>
      <c r="C1853" s="21"/>
      <c r="D1853" s="21"/>
    </row>
    <row r="1854" spans="1:4" ht="12.75" customHeight="1" x14ac:dyDescent="0.2">
      <c r="A1854" s="20"/>
      <c r="B1854" s="2"/>
      <c r="C1854" s="7"/>
      <c r="D1854" s="7"/>
    </row>
    <row r="1855" spans="1:4" ht="12.75" customHeight="1" x14ac:dyDescent="0.2">
      <c r="A1855" s="21"/>
      <c r="B1855" s="3" t="s">
        <v>0</v>
      </c>
      <c r="C1855" s="23" t="s">
        <v>159</v>
      </c>
      <c r="D1855" s="21"/>
    </row>
    <row r="1856" spans="1:4" ht="12.75" customHeight="1" x14ac:dyDescent="0.2">
      <c r="A1856" s="21"/>
      <c r="B1856" s="3" t="s">
        <v>2</v>
      </c>
      <c r="C1856" s="23"/>
      <c r="D1856" s="21"/>
    </row>
    <row r="1857" spans="1:4" ht="12.75" customHeight="1" x14ac:dyDescent="0.2">
      <c r="A1857" s="21"/>
      <c r="B1857" s="3" t="s">
        <v>1840</v>
      </c>
      <c r="C1857" s="23" t="s">
        <v>155</v>
      </c>
      <c r="D1857" s="21"/>
    </row>
    <row r="1858" spans="1:4" ht="12.75" customHeight="1" x14ac:dyDescent="0.2">
      <c r="A1858" s="21"/>
      <c r="B1858" s="3" t="s">
        <v>9</v>
      </c>
      <c r="C1858" s="23" t="s">
        <v>30</v>
      </c>
      <c r="D1858" s="21"/>
    </row>
    <row r="1859" spans="1:4" ht="12.75" customHeight="1" x14ac:dyDescent="0.2">
      <c r="A1859" s="21"/>
      <c r="B1859" s="3" t="s">
        <v>11</v>
      </c>
      <c r="C1859" s="23" t="s">
        <v>429</v>
      </c>
      <c r="D1859" s="21"/>
    </row>
    <row r="1860" spans="1:4" ht="12.75" customHeight="1" x14ac:dyDescent="0.2">
      <c r="A1860" s="21"/>
      <c r="B1860" s="3" t="s">
        <v>16</v>
      </c>
      <c r="C1860" s="23"/>
      <c r="D1860" s="21"/>
    </row>
    <row r="1861" spans="1:4" ht="12.75" customHeight="1" x14ac:dyDescent="0.2">
      <c r="A1861" s="21"/>
      <c r="B1861" s="3" t="s">
        <v>17</v>
      </c>
      <c r="C1861" s="23" t="s">
        <v>19</v>
      </c>
      <c r="D1861" s="21"/>
    </row>
    <row r="1862" spans="1:4" ht="12.75" customHeight="1" x14ac:dyDescent="0.2">
      <c r="A1862" s="21"/>
      <c r="B1862" s="20" t="s">
        <v>18</v>
      </c>
      <c r="C1862" s="8" t="s">
        <v>271</v>
      </c>
      <c r="D1862" s="1" t="str">
        <f>HYPERLINK("javascript:void(0)","opál")</f>
        <v>opál</v>
      </c>
    </row>
    <row r="1863" spans="1:4" ht="12.75" customHeight="1" x14ac:dyDescent="0.2">
      <c r="A1863" s="21"/>
      <c r="B1863" s="21"/>
      <c r="C1863" s="8" t="s">
        <v>271</v>
      </c>
      <c r="D1863" s="1" t="str">
        <f>HYPERLINK("javascript:void(0)","jáspis")</f>
        <v>jáspis</v>
      </c>
    </row>
    <row r="1864" spans="1:4" ht="12.75" customHeight="1" x14ac:dyDescent="0.2">
      <c r="A1864" s="21"/>
      <c r="B1864" s="21"/>
      <c r="C1864" s="8" t="s">
        <v>271</v>
      </c>
      <c r="D1864" s="1" t="str">
        <f>HYPERLINK("javascript:void(0)","gyöngy")</f>
        <v>gyöngy</v>
      </c>
    </row>
    <row r="1865" spans="1:4" ht="12.75" customHeight="1" x14ac:dyDescent="0.2">
      <c r="A1865" s="21"/>
      <c r="B1865" s="2"/>
      <c r="C1865" s="7"/>
      <c r="D1865" s="7"/>
    </row>
    <row r="1866" spans="1:4" ht="12.75" customHeight="1" x14ac:dyDescent="0.2">
      <c r="A1866" s="21"/>
      <c r="B1866" s="2"/>
      <c r="C1866" s="7"/>
      <c r="D1866" s="7"/>
    </row>
    <row r="1867" spans="1:4" ht="12.75" customHeight="1" x14ac:dyDescent="0.2">
      <c r="A1867" s="21"/>
      <c r="B1867" s="2"/>
      <c r="C1867" s="7"/>
      <c r="D1867" s="7"/>
    </row>
    <row r="1868" spans="1:4" ht="12.75" customHeight="1" x14ac:dyDescent="0.2">
      <c r="A1868" s="21"/>
      <c r="B1868" s="2"/>
      <c r="C1868" s="7"/>
      <c r="D1868" s="7"/>
    </row>
    <row r="1869" spans="1:4" ht="12.75" customHeight="1" x14ac:dyDescent="0.2">
      <c r="A1869" s="5"/>
      <c r="B1869" s="2"/>
      <c r="C1869" s="7"/>
      <c r="D1869" s="7"/>
    </row>
    <row r="1870" spans="1:4" ht="12.75" customHeight="1" x14ac:dyDescent="0.2">
      <c r="A1870" s="22" t="str">
        <f>HYPERLINK("javascript:void(0)","rubin láncing")</f>
        <v>rubin láncing</v>
      </c>
      <c r="B1870" s="21"/>
      <c r="C1870" s="21"/>
      <c r="D1870" s="7"/>
    </row>
    <row r="1871" spans="1:4" ht="12.75" customHeight="1" x14ac:dyDescent="0.2">
      <c r="A1871" s="20"/>
      <c r="B1871" s="2"/>
      <c r="C1871" s="7"/>
      <c r="D1871" s="7"/>
    </row>
    <row r="1872" spans="1:4" ht="12.75" customHeight="1" x14ac:dyDescent="0.2">
      <c r="A1872" s="21"/>
      <c r="B1872" s="3" t="s">
        <v>0</v>
      </c>
      <c r="C1872" s="9" t="s">
        <v>153</v>
      </c>
      <c r="D1872" s="7"/>
    </row>
    <row r="1873" spans="1:4" ht="12.75" customHeight="1" x14ac:dyDescent="0.2">
      <c r="A1873" s="21"/>
      <c r="B1873" s="3" t="s">
        <v>2</v>
      </c>
      <c r="C1873" s="9" t="s">
        <v>2322</v>
      </c>
      <c r="D1873" s="7"/>
    </row>
    <row r="1874" spans="1:4" ht="12.75" customHeight="1" x14ac:dyDescent="0.2">
      <c r="A1874" s="21"/>
      <c r="B1874" s="3" t="s">
        <v>1840</v>
      </c>
      <c r="C1874" s="9" t="s">
        <v>298</v>
      </c>
      <c r="D1874" s="7"/>
    </row>
    <row r="1875" spans="1:4" ht="12.75" customHeight="1" x14ac:dyDescent="0.2">
      <c r="A1875" s="21"/>
      <c r="B1875" s="3" t="s">
        <v>9</v>
      </c>
      <c r="C1875" s="9" t="s">
        <v>42</v>
      </c>
      <c r="D1875" s="7"/>
    </row>
    <row r="1876" spans="1:4" ht="25.5" customHeight="1" x14ac:dyDescent="0.2">
      <c r="A1876" s="21"/>
      <c r="B1876" s="3" t="s">
        <v>11</v>
      </c>
      <c r="C1876" s="9" t="s">
        <v>457</v>
      </c>
      <c r="D1876" s="7"/>
    </row>
    <row r="1877" spans="1:4" ht="12.75" customHeight="1" x14ac:dyDescent="0.2">
      <c r="A1877" s="21"/>
      <c r="B1877" s="3" t="s">
        <v>16</v>
      </c>
      <c r="C1877" s="9"/>
      <c r="D1877" s="7"/>
    </row>
    <row r="1878" spans="1:4" ht="12.75" customHeight="1" x14ac:dyDescent="0.2">
      <c r="A1878" s="21"/>
      <c r="B1878" s="3" t="s">
        <v>17</v>
      </c>
      <c r="C1878" s="9" t="s">
        <v>19</v>
      </c>
      <c r="D1878" s="7"/>
    </row>
    <row r="1879" spans="1:4" ht="12.75" customHeight="1" x14ac:dyDescent="0.2">
      <c r="A1879" s="21"/>
      <c r="B1879" s="3" t="s">
        <v>18</v>
      </c>
      <c r="C1879" s="8" t="s">
        <v>19</v>
      </c>
      <c r="D1879" s="7"/>
    </row>
    <row r="1880" spans="1:4" ht="12.75" customHeight="1" x14ac:dyDescent="0.2">
      <c r="A1880" s="21"/>
      <c r="B1880" s="2"/>
      <c r="C1880" s="7"/>
      <c r="D1880" s="7"/>
    </row>
    <row r="1881" spans="1:4" ht="12.75" customHeight="1" x14ac:dyDescent="0.2">
      <c r="A1881" s="21"/>
      <c r="B1881" s="2"/>
      <c r="C1881" s="7"/>
      <c r="D1881" s="7"/>
    </row>
    <row r="1882" spans="1:4" ht="12.75" customHeight="1" x14ac:dyDescent="0.2">
      <c r="A1882" s="21"/>
      <c r="B1882" s="2"/>
      <c r="C1882" s="7"/>
      <c r="D1882" s="7"/>
    </row>
    <row r="1883" spans="1:4" ht="12.75" customHeight="1" x14ac:dyDescent="0.2">
      <c r="A1883" s="21"/>
      <c r="B1883" s="2"/>
      <c r="C1883" s="7"/>
      <c r="D1883" s="7"/>
    </row>
    <row r="1884" spans="1:4" ht="12.75" customHeight="1" x14ac:dyDescent="0.2">
      <c r="A1884" s="5"/>
      <c r="B1884" s="2"/>
      <c r="C1884" s="7"/>
      <c r="D1884" s="7"/>
    </row>
    <row r="1885" spans="1:4" ht="12.75" customHeight="1" x14ac:dyDescent="0.2">
      <c r="A1885" s="22" t="str">
        <f>HYPERLINK("javascript:void(0)","nagy manópajzs")</f>
        <v>nagy manópajzs</v>
      </c>
      <c r="B1885" s="21"/>
      <c r="C1885" s="21"/>
      <c r="D1885" s="21"/>
    </row>
    <row r="1886" spans="1:4" ht="12.75" customHeight="1" x14ac:dyDescent="0.2">
      <c r="A1886" s="20"/>
      <c r="B1886" s="2"/>
      <c r="C1886" s="7"/>
      <c r="D1886" s="7"/>
    </row>
    <row r="1887" spans="1:4" ht="12.75" customHeight="1" x14ac:dyDescent="0.2">
      <c r="A1887" s="21"/>
      <c r="B1887" s="3" t="s">
        <v>0</v>
      </c>
      <c r="C1887" s="23" t="s">
        <v>153</v>
      </c>
      <c r="D1887" s="21"/>
    </row>
    <row r="1888" spans="1:4" ht="12.75" customHeight="1" x14ac:dyDescent="0.2">
      <c r="A1888" s="21"/>
      <c r="B1888" s="3" t="s">
        <v>2</v>
      </c>
      <c r="C1888" s="23" t="s">
        <v>1839</v>
      </c>
      <c r="D1888" s="21"/>
    </row>
    <row r="1889" spans="1:4" ht="12.75" customHeight="1" x14ac:dyDescent="0.2">
      <c r="A1889" s="21"/>
      <c r="B1889" s="3" t="s">
        <v>1840</v>
      </c>
      <c r="C1889" s="23" t="s">
        <v>35</v>
      </c>
      <c r="D1889" s="21"/>
    </row>
    <row r="1890" spans="1:4" ht="12.75" customHeight="1" x14ac:dyDescent="0.2">
      <c r="A1890" s="21"/>
      <c r="B1890" s="3" t="s">
        <v>9</v>
      </c>
      <c r="C1890" s="23" t="s">
        <v>1617</v>
      </c>
      <c r="D1890" s="21"/>
    </row>
    <row r="1891" spans="1:4" ht="12.75" customHeight="1" x14ac:dyDescent="0.2">
      <c r="A1891" s="21"/>
      <c r="B1891" s="3" t="s">
        <v>11</v>
      </c>
      <c r="C1891" s="23" t="s">
        <v>177</v>
      </c>
      <c r="D1891" s="21"/>
    </row>
    <row r="1892" spans="1:4" ht="12.75" customHeight="1" x14ac:dyDescent="0.2">
      <c r="A1892" s="21"/>
      <c r="B1892" s="3" t="s">
        <v>16</v>
      </c>
      <c r="C1892" s="23"/>
      <c r="D1892" s="21"/>
    </row>
    <row r="1893" spans="1:4" ht="12.75" customHeight="1" x14ac:dyDescent="0.2">
      <c r="A1893" s="21"/>
      <c r="B1893" s="3" t="s">
        <v>17</v>
      </c>
      <c r="C1893" s="23" t="s">
        <v>19</v>
      </c>
      <c r="D1893" s="21"/>
    </row>
    <row r="1894" spans="1:4" ht="12.75" customHeight="1" x14ac:dyDescent="0.2">
      <c r="A1894" s="21"/>
      <c r="B1894" s="20" t="s">
        <v>18</v>
      </c>
      <c r="C1894" s="8" t="s">
        <v>44</v>
      </c>
      <c r="D1894" s="1" t="str">
        <f>HYPERLINK("javascript:void(0)","közepes manópajzs")</f>
        <v>közepes manópajzs</v>
      </c>
    </row>
    <row r="1895" spans="1:4" ht="12.75" customHeight="1" x14ac:dyDescent="0.2">
      <c r="A1895" s="21"/>
      <c r="B1895" s="21"/>
      <c r="C1895" s="8" t="s">
        <v>44</v>
      </c>
      <c r="D1895" s="1" t="str">
        <f>HYPERLINK("javascript:void(0)","arany testpajzs")</f>
        <v>arany testpajzs</v>
      </c>
    </row>
    <row r="1896" spans="1:4" ht="12.75" customHeight="1" x14ac:dyDescent="0.2">
      <c r="A1896" s="21"/>
      <c r="B1896" s="21"/>
      <c r="C1896" s="8" t="s">
        <v>57</v>
      </c>
      <c r="D1896" s="1" t="str">
        <f>HYPERLINK("javascript:void(0)","centrolium")</f>
        <v>centrolium</v>
      </c>
    </row>
    <row r="1897" spans="1:4" ht="12.75" customHeight="1" x14ac:dyDescent="0.2">
      <c r="A1897" s="21"/>
      <c r="B1897" s="2"/>
      <c r="C1897" s="7"/>
      <c r="D1897" s="7"/>
    </row>
    <row r="1898" spans="1:4" ht="12.75" customHeight="1" x14ac:dyDescent="0.2">
      <c r="A1898" s="21"/>
      <c r="B1898" s="2"/>
      <c r="C1898" s="7"/>
      <c r="D1898" s="7"/>
    </row>
    <row r="1899" spans="1:4" ht="12.75" customHeight="1" x14ac:dyDescent="0.2">
      <c r="A1899" s="21"/>
      <c r="B1899" s="2"/>
      <c r="C1899" s="7"/>
      <c r="D1899" s="7"/>
    </row>
    <row r="1900" spans="1:4" ht="12.75" customHeight="1" x14ac:dyDescent="0.2">
      <c r="A1900" s="21"/>
      <c r="B1900" s="2"/>
      <c r="C1900" s="7"/>
      <c r="D1900" s="7"/>
    </row>
    <row r="1901" spans="1:4" ht="12.75" customHeight="1" x14ac:dyDescent="0.2">
      <c r="A1901" s="5"/>
      <c r="B1901" s="2"/>
      <c r="C1901" s="7"/>
      <c r="D1901" s="7"/>
    </row>
    <row r="1902" spans="1:4" ht="12.75" customHeight="1" x14ac:dyDescent="0.2">
      <c r="A1902" s="22" t="str">
        <f>HYPERLINK("javascript:void(0)","dracoacél pajzs")</f>
        <v>dracoacél pajzs</v>
      </c>
      <c r="B1902" s="21"/>
      <c r="C1902" s="21"/>
      <c r="D1902" s="21"/>
    </row>
    <row r="1903" spans="1:4" ht="12.75" customHeight="1" x14ac:dyDescent="0.2">
      <c r="A1903" s="20"/>
      <c r="B1903" s="2"/>
      <c r="C1903" s="7"/>
      <c r="D1903" s="7"/>
    </row>
    <row r="1904" spans="1:4" ht="12.75" customHeight="1" x14ac:dyDescent="0.2">
      <c r="A1904" s="21"/>
      <c r="B1904" s="3" t="s">
        <v>0</v>
      </c>
      <c r="C1904" s="23" t="s">
        <v>153</v>
      </c>
      <c r="D1904" s="21"/>
    </row>
    <row r="1905" spans="1:4" ht="12.75" customHeight="1" x14ac:dyDescent="0.2">
      <c r="A1905" s="21"/>
      <c r="B1905" s="3" t="s">
        <v>2</v>
      </c>
      <c r="C1905" s="23" t="s">
        <v>1839</v>
      </c>
      <c r="D1905" s="21"/>
    </row>
    <row r="1906" spans="1:4" ht="12.75" customHeight="1" x14ac:dyDescent="0.2">
      <c r="A1906" s="21"/>
      <c r="B1906" s="3" t="s">
        <v>1840</v>
      </c>
      <c r="C1906" s="23" t="s">
        <v>153</v>
      </c>
      <c r="D1906" s="21"/>
    </row>
    <row r="1907" spans="1:4" ht="12.75" customHeight="1" x14ac:dyDescent="0.2">
      <c r="A1907" s="21"/>
      <c r="B1907" s="3" t="s">
        <v>9</v>
      </c>
      <c r="C1907" s="23" t="s">
        <v>1673</v>
      </c>
      <c r="D1907" s="21"/>
    </row>
    <row r="1908" spans="1:4" ht="12.75" customHeight="1" x14ac:dyDescent="0.2">
      <c r="A1908" s="21"/>
      <c r="B1908" s="3" t="s">
        <v>11</v>
      </c>
      <c r="C1908" s="23" t="s">
        <v>1955</v>
      </c>
      <c r="D1908" s="21"/>
    </row>
    <row r="1909" spans="1:4" ht="12.75" customHeight="1" x14ac:dyDescent="0.2">
      <c r="A1909" s="21"/>
      <c r="B1909" s="3" t="s">
        <v>16</v>
      </c>
      <c r="C1909" s="23"/>
      <c r="D1909" s="21"/>
    </row>
    <row r="1910" spans="1:4" ht="12.75" customHeight="1" x14ac:dyDescent="0.2">
      <c r="A1910" s="21"/>
      <c r="B1910" s="3" t="s">
        <v>17</v>
      </c>
      <c r="C1910" s="23" t="s">
        <v>19</v>
      </c>
      <c r="D1910" s="21"/>
    </row>
    <row r="1911" spans="1:4" ht="12.75" customHeight="1" x14ac:dyDescent="0.2">
      <c r="A1911" s="21"/>
      <c r="B1911" s="20" t="s">
        <v>18</v>
      </c>
      <c r="C1911" s="8" t="s">
        <v>44</v>
      </c>
      <c r="D1911" s="1" t="str">
        <f>HYPERLINK("javascript:void(0)","hidracél pajzs")</f>
        <v>hidracél pajzs</v>
      </c>
    </row>
    <row r="1912" spans="1:4" ht="12.75" customHeight="1" x14ac:dyDescent="0.2">
      <c r="A1912" s="21"/>
      <c r="B1912" s="21"/>
      <c r="C1912" s="8" t="s">
        <v>57</v>
      </c>
      <c r="D1912" s="1" t="str">
        <f>HYPERLINK("javascript:void(0)","sárkányfog")</f>
        <v>sárkányfog</v>
      </c>
    </row>
    <row r="1913" spans="1:4" ht="12.75" customHeight="1" x14ac:dyDescent="0.2">
      <c r="A1913" s="21"/>
      <c r="B1913" s="21"/>
      <c r="C1913" s="8" t="s">
        <v>102</v>
      </c>
      <c r="D1913" s="1" t="str">
        <f>HYPERLINK("javascript:void(0)","sárkánypikkely")</f>
        <v>sárkánypikkely</v>
      </c>
    </row>
    <row r="1914" spans="1:4" ht="12.75" customHeight="1" x14ac:dyDescent="0.2">
      <c r="A1914" s="21"/>
      <c r="B1914" s="2"/>
      <c r="C1914" s="7"/>
      <c r="D1914" s="7"/>
    </row>
    <row r="1915" spans="1:4" ht="12.75" customHeight="1" x14ac:dyDescent="0.2">
      <c r="A1915" s="21"/>
      <c r="B1915" s="2"/>
      <c r="C1915" s="7"/>
      <c r="D1915" s="7"/>
    </row>
    <row r="1916" spans="1:4" ht="12.75" customHeight="1" x14ac:dyDescent="0.2">
      <c r="A1916" s="21"/>
      <c r="B1916" s="2"/>
      <c r="C1916" s="7"/>
      <c r="D1916" s="7"/>
    </row>
    <row r="1917" spans="1:4" ht="12.75" customHeight="1" x14ac:dyDescent="0.2">
      <c r="A1917" s="21"/>
      <c r="B1917" s="2"/>
      <c r="C1917" s="7"/>
      <c r="D1917" s="7"/>
    </row>
    <row r="1918" spans="1:4" ht="12.75" customHeight="1" x14ac:dyDescent="0.2">
      <c r="A1918" s="5"/>
      <c r="B1918" s="2"/>
      <c r="C1918" s="7"/>
      <c r="D1918" s="7"/>
    </row>
    <row r="1919" spans="1:4" ht="12.75" customHeight="1" x14ac:dyDescent="0.2">
      <c r="A1919" s="22" t="str">
        <f>HYPERLINK("javascript:void(0)","centro testpajzs")</f>
        <v>centro testpajzs</v>
      </c>
      <c r="B1919" s="21"/>
      <c r="C1919" s="21"/>
      <c r="D1919" s="21"/>
    </row>
    <row r="1920" spans="1:4" ht="12.75" customHeight="1" x14ac:dyDescent="0.2">
      <c r="A1920" s="20"/>
      <c r="B1920" s="2"/>
      <c r="C1920" s="7"/>
      <c r="D1920" s="7"/>
    </row>
    <row r="1921" spans="1:4" ht="12.75" customHeight="1" x14ac:dyDescent="0.2">
      <c r="A1921" s="21"/>
      <c r="B1921" s="3" t="s">
        <v>0</v>
      </c>
      <c r="C1921" s="23" t="s">
        <v>153</v>
      </c>
      <c r="D1921" s="21"/>
    </row>
    <row r="1922" spans="1:4" ht="12.75" customHeight="1" x14ac:dyDescent="0.2">
      <c r="A1922" s="21"/>
      <c r="B1922" s="3" t="s">
        <v>2</v>
      </c>
      <c r="C1922" s="23" t="s">
        <v>1839</v>
      </c>
      <c r="D1922" s="21"/>
    </row>
    <row r="1923" spans="1:4" ht="12.75" customHeight="1" x14ac:dyDescent="0.2">
      <c r="A1923" s="21"/>
      <c r="B1923" s="3" t="s">
        <v>1840</v>
      </c>
      <c r="C1923" s="23" t="s">
        <v>206</v>
      </c>
      <c r="D1923" s="21"/>
    </row>
    <row r="1924" spans="1:4" ht="12.75" customHeight="1" x14ac:dyDescent="0.2">
      <c r="A1924" s="21"/>
      <c r="B1924" s="3" t="s">
        <v>9</v>
      </c>
      <c r="C1924" s="23" t="s">
        <v>250</v>
      </c>
      <c r="D1924" s="21"/>
    </row>
    <row r="1925" spans="1:4" ht="12.75" customHeight="1" x14ac:dyDescent="0.2">
      <c r="A1925" s="21"/>
      <c r="B1925" s="3" t="s">
        <v>11</v>
      </c>
      <c r="C1925" s="23" t="s">
        <v>1957</v>
      </c>
      <c r="D1925" s="21"/>
    </row>
    <row r="1926" spans="1:4" ht="12.75" customHeight="1" x14ac:dyDescent="0.2">
      <c r="A1926" s="21"/>
      <c r="B1926" s="3" t="s">
        <v>16</v>
      </c>
      <c r="C1926" s="23"/>
      <c r="D1926" s="21"/>
    </row>
    <row r="1927" spans="1:4" ht="12.75" customHeight="1" x14ac:dyDescent="0.2">
      <c r="A1927" s="21"/>
      <c r="B1927" s="3" t="s">
        <v>17</v>
      </c>
      <c r="C1927" s="23" t="s">
        <v>19</v>
      </c>
      <c r="D1927" s="21"/>
    </row>
    <row r="1928" spans="1:4" ht="12.75" customHeight="1" x14ac:dyDescent="0.2">
      <c r="A1928" s="21"/>
      <c r="B1928" s="20" t="s">
        <v>18</v>
      </c>
      <c r="C1928" s="8" t="s">
        <v>44</v>
      </c>
      <c r="D1928" s="1" t="str">
        <f>HYPERLINK("javascript:void(0)","kith testpajzs")</f>
        <v>kith testpajzs</v>
      </c>
    </row>
    <row r="1929" spans="1:4" ht="12.75" customHeight="1" x14ac:dyDescent="0.2">
      <c r="A1929" s="21"/>
      <c r="B1929" s="21"/>
      <c r="C1929" s="8" t="s">
        <v>55</v>
      </c>
      <c r="D1929" s="1" t="str">
        <f>HYPERLINK("javascript:void(0)","centrolium")</f>
        <v>centrolium</v>
      </c>
    </row>
    <row r="1930" spans="1:4" ht="12.75" customHeight="1" x14ac:dyDescent="0.2">
      <c r="A1930" s="21"/>
      <c r="B1930" s="21"/>
      <c r="C1930" s="8" t="s">
        <v>57</v>
      </c>
      <c r="D1930" s="1" t="str">
        <f>HYPERLINK("javascript:void(0)","gyémánt")</f>
        <v>gyémánt</v>
      </c>
    </row>
    <row r="1931" spans="1:4" ht="12.75" customHeight="1" x14ac:dyDescent="0.2">
      <c r="A1931" s="21"/>
      <c r="B1931" s="2"/>
      <c r="C1931" s="7"/>
      <c r="D1931" s="7"/>
    </row>
    <row r="1932" spans="1:4" ht="12.75" customHeight="1" x14ac:dyDescent="0.2">
      <c r="A1932" s="21"/>
      <c r="B1932" s="2"/>
      <c r="C1932" s="7"/>
      <c r="D1932" s="7"/>
    </row>
    <row r="1933" spans="1:4" ht="12.75" customHeight="1" x14ac:dyDescent="0.2">
      <c r="A1933" s="21"/>
      <c r="B1933" s="2"/>
      <c r="C1933" s="7"/>
      <c r="D1933" s="7"/>
    </row>
    <row r="1934" spans="1:4" ht="12.75" customHeight="1" x14ac:dyDescent="0.2">
      <c r="A1934" s="21"/>
      <c r="B1934" s="2"/>
      <c r="C1934" s="7"/>
      <c r="D1934" s="7"/>
    </row>
    <row r="1935" spans="1:4" ht="12.75" customHeight="1" x14ac:dyDescent="0.2">
      <c r="A1935" s="5"/>
      <c r="B1935" s="2"/>
      <c r="C1935" s="7"/>
      <c r="D1935" s="7"/>
    </row>
    <row r="1936" spans="1:4" ht="12.75" customHeight="1" x14ac:dyDescent="0.2">
      <c r="A1936" s="22" t="str">
        <f>HYPERLINK("javascript:void(0)","hidracél sisak")</f>
        <v>hidracél sisak</v>
      </c>
      <c r="B1936" s="21"/>
      <c r="C1936" s="21"/>
      <c r="D1936" s="21"/>
    </row>
    <row r="1937" spans="1:4" ht="12.75" customHeight="1" x14ac:dyDescent="0.2">
      <c r="A1937" s="20"/>
      <c r="B1937" s="2"/>
      <c r="C1937" s="7"/>
      <c r="D1937" s="7"/>
    </row>
    <row r="1938" spans="1:4" ht="12.75" customHeight="1" x14ac:dyDescent="0.2">
      <c r="A1938" s="21"/>
      <c r="B1938" s="3" t="s">
        <v>0</v>
      </c>
      <c r="C1938" s="23" t="s">
        <v>153</v>
      </c>
      <c r="D1938" s="21"/>
    </row>
    <row r="1939" spans="1:4" ht="12.75" customHeight="1" x14ac:dyDescent="0.2">
      <c r="A1939" s="21"/>
      <c r="B1939" s="3" t="s">
        <v>2</v>
      </c>
      <c r="C1939" s="23"/>
      <c r="D1939" s="21"/>
    </row>
    <row r="1940" spans="1:4" ht="12.75" customHeight="1" x14ac:dyDescent="0.2">
      <c r="A1940" s="21"/>
      <c r="B1940" s="3" t="s">
        <v>1840</v>
      </c>
      <c r="C1940" s="23" t="s">
        <v>88</v>
      </c>
      <c r="D1940" s="21"/>
    </row>
    <row r="1941" spans="1:4" ht="12.75" customHeight="1" x14ac:dyDescent="0.2">
      <c r="A1941" s="21"/>
      <c r="B1941" s="3" t="s">
        <v>9</v>
      </c>
      <c r="C1941" s="23" t="s">
        <v>124</v>
      </c>
      <c r="D1941" s="21"/>
    </row>
    <row r="1942" spans="1:4" ht="12.75" customHeight="1" x14ac:dyDescent="0.2">
      <c r="A1942" s="21"/>
      <c r="B1942" s="3" t="s">
        <v>11</v>
      </c>
      <c r="C1942" s="23" t="s">
        <v>457</v>
      </c>
      <c r="D1942" s="21"/>
    </row>
    <row r="1943" spans="1:4" ht="12.75" customHeight="1" x14ac:dyDescent="0.2">
      <c r="A1943" s="21"/>
      <c r="B1943" s="3" t="s">
        <v>16</v>
      </c>
      <c r="C1943" s="23"/>
      <c r="D1943" s="21"/>
    </row>
    <row r="1944" spans="1:4" ht="12.75" customHeight="1" x14ac:dyDescent="0.2">
      <c r="A1944" s="21"/>
      <c r="B1944" s="3" t="s">
        <v>17</v>
      </c>
      <c r="C1944" s="23" t="s">
        <v>19</v>
      </c>
      <c r="D1944" s="21"/>
    </row>
    <row r="1945" spans="1:4" ht="12.75" customHeight="1" x14ac:dyDescent="0.2">
      <c r="A1945" s="21"/>
      <c r="B1945" s="20" t="s">
        <v>18</v>
      </c>
      <c r="C1945" s="8" t="s">
        <v>44</v>
      </c>
      <c r="D1945" s="1" t="str">
        <f>HYPERLINK("javascript:void(0)","gyémánt sisak")</f>
        <v>gyémánt sisak</v>
      </c>
    </row>
    <row r="1946" spans="1:4" ht="12.75" customHeight="1" x14ac:dyDescent="0.2">
      <c r="A1946" s="21"/>
      <c r="B1946" s="21"/>
      <c r="C1946" s="8" t="s">
        <v>117</v>
      </c>
      <c r="D1946" s="1" t="str">
        <f>HYPERLINK("javascript:void(0)","szén-hidragén")</f>
        <v>szén-hidragén</v>
      </c>
    </row>
    <row r="1947" spans="1:4" ht="12.75" customHeight="1" x14ac:dyDescent="0.2">
      <c r="A1947" s="21"/>
      <c r="B1947" s="21"/>
      <c r="C1947" s="8" t="s">
        <v>67</v>
      </c>
      <c r="D1947" s="1" t="str">
        <f>HYPERLINK("javascript:void(0)","pánsíp")</f>
        <v>pánsíp</v>
      </c>
    </row>
    <row r="1948" spans="1:4" ht="12.75" customHeight="1" x14ac:dyDescent="0.2">
      <c r="A1948" s="21"/>
      <c r="B1948" s="2"/>
      <c r="C1948" s="7"/>
      <c r="D1948" s="7"/>
    </row>
    <row r="1949" spans="1:4" ht="12.75" customHeight="1" x14ac:dyDescent="0.2">
      <c r="A1949" s="21"/>
      <c r="B1949" s="2"/>
      <c r="C1949" s="7"/>
      <c r="D1949" s="7"/>
    </row>
    <row r="1950" spans="1:4" ht="12.75" customHeight="1" x14ac:dyDescent="0.2">
      <c r="A1950" s="21"/>
      <c r="B1950" s="2"/>
      <c r="C1950" s="7"/>
      <c r="D1950" s="7"/>
    </row>
    <row r="1951" spans="1:4" ht="12.75" customHeight="1" x14ac:dyDescent="0.2">
      <c r="A1951" s="21"/>
      <c r="B1951" s="2"/>
      <c r="C1951" s="7"/>
      <c r="D1951" s="7"/>
    </row>
    <row r="1952" spans="1:4" ht="12.75" customHeight="1" x14ac:dyDescent="0.2">
      <c r="A1952" s="5"/>
      <c r="B1952" s="2"/>
      <c r="C1952" s="7"/>
      <c r="D1952" s="7"/>
    </row>
    <row r="1953" spans="1:4" ht="12.75" customHeight="1" x14ac:dyDescent="0.2">
      <c r="A1953" s="22" t="str">
        <f>HYPERLINK("javascript:void(0)","smaragdcsizma")</f>
        <v>smaragdcsizma</v>
      </c>
      <c r="B1953" s="21"/>
      <c r="C1953" s="21"/>
      <c r="D1953" s="21"/>
    </row>
    <row r="1954" spans="1:4" ht="12.75" customHeight="1" x14ac:dyDescent="0.2">
      <c r="A1954" s="20"/>
      <c r="B1954" s="2"/>
      <c r="C1954" s="7"/>
      <c r="D1954" s="7"/>
    </row>
    <row r="1955" spans="1:4" ht="12.75" customHeight="1" x14ac:dyDescent="0.2">
      <c r="A1955" s="21"/>
      <c r="B1955" s="3" t="s">
        <v>0</v>
      </c>
      <c r="C1955" s="23" t="s">
        <v>153</v>
      </c>
      <c r="D1955" s="21"/>
    </row>
    <row r="1956" spans="1:4" ht="12.75" customHeight="1" x14ac:dyDescent="0.2">
      <c r="A1956" s="21"/>
      <c r="B1956" s="3" t="s">
        <v>2</v>
      </c>
      <c r="C1956" s="23"/>
      <c r="D1956" s="21"/>
    </row>
    <row r="1957" spans="1:4" ht="12.75" customHeight="1" x14ac:dyDescent="0.2">
      <c r="A1957" s="21"/>
      <c r="B1957" s="3" t="s">
        <v>1840</v>
      </c>
      <c r="C1957" s="23" t="s">
        <v>153</v>
      </c>
      <c r="D1957" s="21"/>
    </row>
    <row r="1958" spans="1:4" ht="12.75" customHeight="1" x14ac:dyDescent="0.2">
      <c r="A1958" s="21"/>
      <c r="B1958" s="3" t="s">
        <v>9</v>
      </c>
      <c r="C1958" s="23" t="s">
        <v>93</v>
      </c>
      <c r="D1958" s="21"/>
    </row>
    <row r="1959" spans="1:4" ht="12.75" customHeight="1" x14ac:dyDescent="0.2">
      <c r="A1959" s="21"/>
      <c r="B1959" s="3" t="s">
        <v>11</v>
      </c>
      <c r="C1959" s="23" t="s">
        <v>1072</v>
      </c>
      <c r="D1959" s="21"/>
    </row>
    <row r="1960" spans="1:4" ht="12.75" customHeight="1" x14ac:dyDescent="0.2">
      <c r="A1960" s="21"/>
      <c r="B1960" s="3" t="s">
        <v>16</v>
      </c>
      <c r="C1960" s="23"/>
      <c r="D1960" s="21"/>
    </row>
    <row r="1961" spans="1:4" ht="12.75" customHeight="1" x14ac:dyDescent="0.2">
      <c r="A1961" s="21"/>
      <c r="B1961" s="3" t="s">
        <v>17</v>
      </c>
      <c r="C1961" s="23" t="s">
        <v>19</v>
      </c>
      <c r="D1961" s="21"/>
    </row>
    <row r="1962" spans="1:4" ht="12.75" customHeight="1" x14ac:dyDescent="0.2">
      <c r="A1962" s="21"/>
      <c r="B1962" s="20" t="s">
        <v>18</v>
      </c>
      <c r="C1962" s="8" t="s">
        <v>44</v>
      </c>
      <c r="D1962" s="1" t="str">
        <f>HYPERLINK("javascript:void(0)","opálcsizma")</f>
        <v>opálcsizma</v>
      </c>
    </row>
    <row r="1963" spans="1:4" ht="12.75" customHeight="1" x14ac:dyDescent="0.2">
      <c r="A1963" s="21"/>
      <c r="B1963" s="21"/>
      <c r="C1963" s="8" t="s">
        <v>1663</v>
      </c>
      <c r="D1963" s="1" t="str">
        <f>HYPERLINK("javascript:void(0)","smaragd")</f>
        <v>smaragd</v>
      </c>
    </row>
    <row r="1964" spans="1:4" ht="12.75" customHeight="1" x14ac:dyDescent="0.2">
      <c r="A1964" s="21"/>
      <c r="B1964" s="21"/>
      <c r="C1964" s="8" t="s">
        <v>139</v>
      </c>
      <c r="D1964" s="1" t="str">
        <f>HYPERLINK("javascript:void(0)","kristálylap")</f>
        <v>kristálylap</v>
      </c>
    </row>
    <row r="1965" spans="1:4" ht="12.75" customHeight="1" x14ac:dyDescent="0.2">
      <c r="A1965" s="21"/>
      <c r="B1965" s="2"/>
      <c r="C1965" s="7"/>
      <c r="D1965" s="7"/>
    </row>
    <row r="1966" spans="1:4" ht="12.75" customHeight="1" x14ac:dyDescent="0.2">
      <c r="A1966" s="21"/>
      <c r="B1966" s="2"/>
      <c r="C1966" s="7"/>
      <c r="D1966" s="7"/>
    </row>
    <row r="1967" spans="1:4" ht="12.75" customHeight="1" x14ac:dyDescent="0.2">
      <c r="A1967" s="21"/>
      <c r="B1967" s="2"/>
      <c r="C1967" s="7"/>
      <c r="D1967" s="7"/>
    </row>
    <row r="1968" spans="1:4" ht="12.75" customHeight="1" x14ac:dyDescent="0.2">
      <c r="A1968" s="21"/>
      <c r="B1968" s="2"/>
      <c r="C1968" s="7"/>
      <c r="D1968" s="7"/>
    </row>
    <row r="1969" spans="1:4" ht="12.75" customHeight="1" x14ac:dyDescent="0.2">
      <c r="A1969" s="5"/>
      <c r="B1969" s="2"/>
      <c r="C1969" s="7"/>
      <c r="D1969" s="7"/>
    </row>
    <row r="1970" spans="1:4" ht="12.75" customHeight="1" x14ac:dyDescent="0.2">
      <c r="A1970" s="22" t="str">
        <f>HYPERLINK("javascript:void(0)","ezüstcsizma")</f>
        <v>ezüstcsizma</v>
      </c>
      <c r="B1970" s="21"/>
      <c r="C1970" s="21"/>
      <c r="D1970" s="21"/>
    </row>
    <row r="1971" spans="1:4" ht="12.75" customHeight="1" x14ac:dyDescent="0.2">
      <c r="A1971" s="20"/>
      <c r="B1971" s="2"/>
      <c r="C1971" s="7"/>
      <c r="D1971" s="7"/>
    </row>
    <row r="1972" spans="1:4" ht="12.75" customHeight="1" x14ac:dyDescent="0.2">
      <c r="A1972" s="21"/>
      <c r="B1972" s="3" t="s">
        <v>0</v>
      </c>
      <c r="C1972" s="23" t="s">
        <v>35</v>
      </c>
      <c r="D1972" s="21"/>
    </row>
    <row r="1973" spans="1:4" ht="12.75" customHeight="1" x14ac:dyDescent="0.2">
      <c r="A1973" s="21"/>
      <c r="B1973" s="3" t="s">
        <v>2</v>
      </c>
      <c r="C1973" s="23"/>
      <c r="D1973" s="21"/>
    </row>
    <row r="1974" spans="1:4" ht="12.75" customHeight="1" x14ac:dyDescent="0.2">
      <c r="A1974" s="21"/>
      <c r="B1974" s="3" t="s">
        <v>1840</v>
      </c>
      <c r="C1974" s="23" t="s">
        <v>38</v>
      </c>
      <c r="D1974" s="21"/>
    </row>
    <row r="1975" spans="1:4" ht="12.75" customHeight="1" x14ac:dyDescent="0.2">
      <c r="A1975" s="21"/>
      <c r="B1975" s="3" t="s">
        <v>9</v>
      </c>
      <c r="C1975" s="23" t="s">
        <v>147</v>
      </c>
      <c r="D1975" s="21"/>
    </row>
    <row r="1976" spans="1:4" ht="12.75" customHeight="1" x14ac:dyDescent="0.2">
      <c r="A1976" s="21"/>
      <c r="B1976" s="3" t="s">
        <v>11</v>
      </c>
      <c r="C1976" s="23" t="s">
        <v>1903</v>
      </c>
      <c r="D1976" s="21"/>
    </row>
    <row r="1977" spans="1:4" ht="12.75" customHeight="1" x14ac:dyDescent="0.2">
      <c r="A1977" s="21"/>
      <c r="B1977" s="3" t="s">
        <v>16</v>
      </c>
      <c r="C1977" s="23"/>
      <c r="D1977" s="21"/>
    </row>
    <row r="1978" spans="1:4" ht="12.75" customHeight="1" x14ac:dyDescent="0.2">
      <c r="A1978" s="21"/>
      <c r="B1978" s="3" t="s">
        <v>17</v>
      </c>
      <c r="C1978" s="23" t="s">
        <v>19</v>
      </c>
      <c r="D1978" s="21"/>
    </row>
    <row r="1979" spans="1:4" ht="12.75" customHeight="1" x14ac:dyDescent="0.2">
      <c r="A1979" s="21"/>
      <c r="B1979" s="20" t="s">
        <v>18</v>
      </c>
      <c r="C1979" s="8" t="s">
        <v>44</v>
      </c>
      <c r="D1979" s="1" t="str">
        <f>HYPERLINK("javascript:void(0)","törpe csizma")</f>
        <v>törpe csizma</v>
      </c>
    </row>
    <row r="1980" spans="1:4" ht="12.75" customHeight="1" x14ac:dyDescent="0.2">
      <c r="A1980" s="21"/>
      <c r="B1980" s="21"/>
      <c r="C1980" s="8" t="s">
        <v>323</v>
      </c>
      <c r="D1980" s="1" t="str">
        <f>HYPERLINK("javascript:void(0)","ezüst")</f>
        <v>ezüst</v>
      </c>
    </row>
    <row r="1981" spans="1:4" ht="12.75" customHeight="1" x14ac:dyDescent="0.2">
      <c r="A1981" s="21"/>
      <c r="B1981" s="21"/>
      <c r="C1981" s="8" t="s">
        <v>98</v>
      </c>
      <c r="D1981" s="1" t="str">
        <f>HYPERLINK("javascript:void(0)","rubin")</f>
        <v>rubin</v>
      </c>
    </row>
    <row r="1982" spans="1:4" ht="12.75" customHeight="1" x14ac:dyDescent="0.2">
      <c r="A1982" s="21"/>
      <c r="B1982" s="2"/>
      <c r="C1982" s="7"/>
      <c r="D1982" s="7"/>
    </row>
    <row r="1983" spans="1:4" ht="12.75" customHeight="1" x14ac:dyDescent="0.2">
      <c r="A1983" s="21"/>
      <c r="B1983" s="2"/>
      <c r="C1983" s="7"/>
      <c r="D1983" s="7"/>
    </row>
    <row r="1984" spans="1:4" ht="12.75" customHeight="1" x14ac:dyDescent="0.2">
      <c r="A1984" s="21"/>
      <c r="B1984" s="2"/>
      <c r="C1984" s="7"/>
      <c r="D1984" s="7"/>
    </row>
    <row r="1985" spans="1:4" ht="12.75" customHeight="1" x14ac:dyDescent="0.2">
      <c r="A1985" s="21"/>
      <c r="B1985" s="2"/>
      <c r="C1985" s="7"/>
      <c r="D1985" s="7"/>
    </row>
    <row r="1986" spans="1:4" ht="12.75" customHeight="1" x14ac:dyDescent="0.2">
      <c r="A1986" s="5"/>
      <c r="B1986" s="2"/>
      <c r="C1986" s="7"/>
      <c r="D1986" s="7"/>
    </row>
    <row r="1987" spans="1:4" ht="12.75" customHeight="1" x14ac:dyDescent="0.2">
      <c r="A1987" s="22" t="str">
        <f>HYPERLINK("javascript:void(0)","manamaszk")</f>
        <v>manamaszk</v>
      </c>
      <c r="B1987" s="21"/>
      <c r="C1987" s="21"/>
      <c r="D1987" s="7"/>
    </row>
    <row r="1988" spans="1:4" ht="12.75" customHeight="1" x14ac:dyDescent="0.2">
      <c r="A1988" s="20"/>
      <c r="B1988" s="2"/>
      <c r="C1988" s="7"/>
      <c r="D1988" s="7"/>
    </row>
    <row r="1989" spans="1:4" ht="12.75" customHeight="1" x14ac:dyDescent="0.2">
      <c r="A1989" s="21"/>
      <c r="B1989" s="3" t="s">
        <v>0</v>
      </c>
      <c r="C1989" s="9" t="s">
        <v>35</v>
      </c>
      <c r="D1989" s="7"/>
    </row>
    <row r="1990" spans="1:4" ht="12.75" customHeight="1" x14ac:dyDescent="0.2">
      <c r="A1990" s="21"/>
      <c r="B1990" s="3" t="s">
        <v>2</v>
      </c>
      <c r="C1990" s="9"/>
      <c r="D1990" s="7"/>
    </row>
    <row r="1991" spans="1:4" ht="12.75" customHeight="1" x14ac:dyDescent="0.2">
      <c r="A1991" s="21"/>
      <c r="B1991" s="3" t="s">
        <v>1840</v>
      </c>
      <c r="C1991" s="9" t="s">
        <v>82</v>
      </c>
      <c r="D1991" s="7"/>
    </row>
    <row r="1992" spans="1:4" ht="12.75" customHeight="1" x14ac:dyDescent="0.2">
      <c r="A1992" s="21"/>
      <c r="B1992" s="3" t="s">
        <v>9</v>
      </c>
      <c r="C1992" s="9" t="s">
        <v>36</v>
      </c>
      <c r="D1992" s="7"/>
    </row>
    <row r="1993" spans="1:4" ht="25.5" customHeight="1" x14ac:dyDescent="0.2">
      <c r="A1993" s="21"/>
      <c r="B1993" s="3" t="s">
        <v>11</v>
      </c>
      <c r="C1993" s="9" t="s">
        <v>168</v>
      </c>
      <c r="D1993" s="7"/>
    </row>
    <row r="1994" spans="1:4" ht="12.75" customHeight="1" x14ac:dyDescent="0.2">
      <c r="A1994" s="21"/>
      <c r="B1994" s="3" t="s">
        <v>16</v>
      </c>
      <c r="C1994" s="9"/>
      <c r="D1994" s="7"/>
    </row>
    <row r="1995" spans="1:4" ht="12.75" customHeight="1" x14ac:dyDescent="0.2">
      <c r="A1995" s="21"/>
      <c r="B1995" s="3" t="s">
        <v>17</v>
      </c>
      <c r="C1995" s="9" t="s">
        <v>19</v>
      </c>
      <c r="D1995" s="7"/>
    </row>
    <row r="1996" spans="1:4" ht="12.75" customHeight="1" x14ac:dyDescent="0.2">
      <c r="A1996" s="21"/>
      <c r="B1996" s="3" t="s">
        <v>18</v>
      </c>
      <c r="C1996" s="8" t="s">
        <v>19</v>
      </c>
      <c r="D1996" s="7"/>
    </row>
    <row r="1997" spans="1:4" ht="12.75" customHeight="1" x14ac:dyDescent="0.2">
      <c r="A1997" s="21"/>
      <c r="B1997" s="2"/>
      <c r="C1997" s="7"/>
      <c r="D1997" s="7"/>
    </row>
    <row r="1998" spans="1:4" ht="12.75" customHeight="1" x14ac:dyDescent="0.2">
      <c r="A1998" s="21"/>
      <c r="B1998" s="2"/>
      <c r="C1998" s="7"/>
      <c r="D1998" s="7"/>
    </row>
    <row r="1999" spans="1:4" ht="12.75" customHeight="1" x14ac:dyDescent="0.2">
      <c r="A1999" s="21"/>
      <c r="B1999" s="2"/>
      <c r="C1999" s="7"/>
      <c r="D1999" s="7"/>
    </row>
    <row r="2000" spans="1:4" ht="12.75" customHeight="1" x14ac:dyDescent="0.2">
      <c r="A2000" s="21"/>
      <c r="B2000" s="2"/>
      <c r="C2000" s="7"/>
      <c r="D2000" s="7"/>
    </row>
    <row r="2001" spans="1:4" ht="12.75" customHeight="1" x14ac:dyDescent="0.2">
      <c r="A2001" s="5"/>
      <c r="B2001" s="2"/>
      <c r="C2001" s="7"/>
      <c r="D2001" s="7"/>
    </row>
    <row r="2002" spans="1:4" ht="12.75" customHeight="1" x14ac:dyDescent="0.2">
      <c r="A2002" s="22" t="str">
        <f>HYPERLINK("javascript:void(0)","kithrill sisak")</f>
        <v>kithrill sisak</v>
      </c>
      <c r="B2002" s="21"/>
      <c r="C2002" s="21"/>
      <c r="D2002" s="21"/>
    </row>
    <row r="2003" spans="1:4" ht="12.75" customHeight="1" x14ac:dyDescent="0.2">
      <c r="A2003" s="20"/>
      <c r="B2003" s="2"/>
      <c r="C2003" s="7"/>
      <c r="D2003" s="7"/>
    </row>
    <row r="2004" spans="1:4" ht="12.75" customHeight="1" x14ac:dyDescent="0.2">
      <c r="A2004" s="21"/>
      <c r="B2004" s="3" t="s">
        <v>0</v>
      </c>
      <c r="C2004" s="23" t="s">
        <v>35</v>
      </c>
      <c r="D2004" s="21"/>
    </row>
    <row r="2005" spans="1:4" ht="12.75" customHeight="1" x14ac:dyDescent="0.2">
      <c r="A2005" s="21"/>
      <c r="B2005" s="3" t="s">
        <v>2</v>
      </c>
      <c r="C2005" s="23"/>
      <c r="D2005" s="21"/>
    </row>
    <row r="2006" spans="1:4" ht="12.75" customHeight="1" x14ac:dyDescent="0.2">
      <c r="A2006" s="21"/>
      <c r="B2006" s="3" t="s">
        <v>1840</v>
      </c>
      <c r="C2006" s="23" t="s">
        <v>155</v>
      </c>
      <c r="D2006" s="21"/>
    </row>
    <row r="2007" spans="1:4" ht="12.75" customHeight="1" x14ac:dyDescent="0.2">
      <c r="A2007" s="21"/>
      <c r="B2007" s="3" t="s">
        <v>9</v>
      </c>
      <c r="C2007" s="23" t="s">
        <v>464</v>
      </c>
      <c r="D2007" s="21"/>
    </row>
    <row r="2008" spans="1:4" ht="12.75" customHeight="1" x14ac:dyDescent="0.2">
      <c r="A2008" s="21"/>
      <c r="B2008" s="3" t="s">
        <v>11</v>
      </c>
      <c r="C2008" s="23" t="s">
        <v>486</v>
      </c>
      <c r="D2008" s="21"/>
    </row>
    <row r="2009" spans="1:4" ht="12.75" customHeight="1" x14ac:dyDescent="0.2">
      <c r="A2009" s="21"/>
      <c r="B2009" s="3" t="s">
        <v>16</v>
      </c>
      <c r="C2009" s="23"/>
      <c r="D2009" s="21"/>
    </row>
    <row r="2010" spans="1:4" ht="12.75" customHeight="1" x14ac:dyDescent="0.2">
      <c r="A2010" s="21"/>
      <c r="B2010" s="3" t="s">
        <v>17</v>
      </c>
      <c r="C2010" s="23" t="s">
        <v>19</v>
      </c>
      <c r="D2010" s="21"/>
    </row>
    <row r="2011" spans="1:4" ht="12.75" customHeight="1" x14ac:dyDescent="0.2">
      <c r="A2011" s="21"/>
      <c r="B2011" s="20" t="s">
        <v>18</v>
      </c>
      <c r="C2011" s="8" t="s">
        <v>44</v>
      </c>
      <c r="D2011" s="1" t="str">
        <f>HYPERLINK("javascript:void(0)","diszpro sisak")</f>
        <v>diszpro sisak</v>
      </c>
    </row>
    <row r="2012" spans="1:4" ht="12.75" customHeight="1" x14ac:dyDescent="0.2">
      <c r="A2012" s="21"/>
      <c r="B2012" s="21"/>
      <c r="C2012" s="8" t="s">
        <v>68</v>
      </c>
      <c r="D2012" s="1" t="str">
        <f>HYPERLINK("javascript:void(0)","kithrill")</f>
        <v>kithrill</v>
      </c>
    </row>
    <row r="2013" spans="1:4" ht="12.75" customHeight="1" x14ac:dyDescent="0.2">
      <c r="A2013" s="21"/>
      <c r="B2013" s="21"/>
      <c r="C2013" s="8" t="s">
        <v>68</v>
      </c>
      <c r="D2013" s="1" t="str">
        <f>HYPERLINK("javascript:void(0)","gyémánt")</f>
        <v>gyémánt</v>
      </c>
    </row>
    <row r="2014" spans="1:4" ht="12.75" customHeight="1" x14ac:dyDescent="0.2">
      <c r="A2014" s="21"/>
      <c r="B2014" s="2"/>
      <c r="C2014" s="7"/>
      <c r="D2014" s="7"/>
    </row>
    <row r="2015" spans="1:4" ht="12.75" customHeight="1" x14ac:dyDescent="0.2">
      <c r="A2015" s="21"/>
      <c r="B2015" s="2"/>
      <c r="C2015" s="7"/>
      <c r="D2015" s="7"/>
    </row>
    <row r="2016" spans="1:4" ht="12.75" customHeight="1" x14ac:dyDescent="0.2">
      <c r="A2016" s="21"/>
      <c r="B2016" s="2"/>
      <c r="C2016" s="7"/>
      <c r="D2016" s="7"/>
    </row>
    <row r="2017" spans="1:4" ht="12.75" customHeight="1" x14ac:dyDescent="0.2">
      <c r="A2017" s="21"/>
      <c r="B2017" s="2"/>
      <c r="C2017" s="7"/>
      <c r="D2017" s="7"/>
    </row>
    <row r="2018" spans="1:4" ht="12.75" customHeight="1" x14ac:dyDescent="0.2">
      <c r="A2018" s="5"/>
      <c r="B2018" s="2"/>
      <c r="C2018" s="7"/>
      <c r="D2018" s="7"/>
    </row>
    <row r="2019" spans="1:4" ht="12.75" customHeight="1" x14ac:dyDescent="0.2">
      <c r="A2019" s="22" t="str">
        <f>HYPERLINK("javascript:void(0)","lávapajzs")</f>
        <v>lávapajzs</v>
      </c>
      <c r="B2019" s="21"/>
      <c r="C2019" s="21"/>
      <c r="D2019" s="21"/>
    </row>
    <row r="2020" spans="1:4" ht="12.75" customHeight="1" x14ac:dyDescent="0.2">
      <c r="A2020" s="20"/>
      <c r="B2020" s="2"/>
      <c r="C2020" s="7"/>
      <c r="D2020" s="7"/>
    </row>
    <row r="2021" spans="1:4" ht="12.75" customHeight="1" x14ac:dyDescent="0.2">
      <c r="A2021" s="21"/>
      <c r="B2021" s="3" t="s">
        <v>0</v>
      </c>
      <c r="C2021" s="23" t="s">
        <v>38</v>
      </c>
      <c r="D2021" s="21"/>
    </row>
    <row r="2022" spans="1:4" ht="12.75" customHeight="1" x14ac:dyDescent="0.2">
      <c r="A2022" s="21"/>
      <c r="B2022" s="3" t="s">
        <v>2</v>
      </c>
      <c r="C2022" s="23" t="s">
        <v>1839</v>
      </c>
      <c r="D2022" s="21"/>
    </row>
    <row r="2023" spans="1:4" ht="12.75" customHeight="1" x14ac:dyDescent="0.2">
      <c r="A2023" s="21"/>
      <c r="B2023" s="3" t="s">
        <v>1840</v>
      </c>
      <c r="C2023" s="23" t="s">
        <v>206</v>
      </c>
      <c r="D2023" s="21"/>
    </row>
    <row r="2024" spans="1:4" ht="12.75" customHeight="1" x14ac:dyDescent="0.2">
      <c r="A2024" s="21"/>
      <c r="B2024" s="3" t="s">
        <v>9</v>
      </c>
      <c r="C2024" s="23" t="s">
        <v>179</v>
      </c>
      <c r="D2024" s="21"/>
    </row>
    <row r="2025" spans="1:4" ht="12.75" customHeight="1" x14ac:dyDescent="0.2">
      <c r="A2025" s="21"/>
      <c r="B2025" s="3" t="s">
        <v>11</v>
      </c>
      <c r="C2025" s="23" t="s">
        <v>1958</v>
      </c>
      <c r="D2025" s="21"/>
    </row>
    <row r="2026" spans="1:4" ht="12.75" customHeight="1" x14ac:dyDescent="0.2">
      <c r="A2026" s="21"/>
      <c r="B2026" s="3" t="s">
        <v>16</v>
      </c>
      <c r="C2026" s="23"/>
      <c r="D2026" s="21"/>
    </row>
    <row r="2027" spans="1:4" ht="12.75" customHeight="1" x14ac:dyDescent="0.2">
      <c r="A2027" s="21"/>
      <c r="B2027" s="3" t="s">
        <v>17</v>
      </c>
      <c r="C2027" s="23" t="s">
        <v>19</v>
      </c>
      <c r="D2027" s="21"/>
    </row>
    <row r="2028" spans="1:4" ht="12.75" customHeight="1" x14ac:dyDescent="0.2">
      <c r="A2028" s="21"/>
      <c r="B2028" s="20" t="s">
        <v>18</v>
      </c>
      <c r="C2028" s="8" t="s">
        <v>44</v>
      </c>
      <c r="D2028" s="1" t="str">
        <f>HYPERLINK("javascript:void(0)","dracoacél pajzs")</f>
        <v>dracoacél pajzs</v>
      </c>
    </row>
    <row r="2029" spans="1:4" ht="12.75" customHeight="1" x14ac:dyDescent="0.2">
      <c r="A2029" s="21"/>
      <c r="B2029" s="21"/>
      <c r="C2029" s="8" t="s">
        <v>56</v>
      </c>
      <c r="D2029" s="1" t="str">
        <f>HYPERLINK("javascript:void(0)","gyémánt")</f>
        <v>gyémánt</v>
      </c>
    </row>
    <row r="2030" spans="1:4" ht="12.75" customHeight="1" x14ac:dyDescent="0.2">
      <c r="A2030" s="21"/>
      <c r="B2030" s="21"/>
      <c r="C2030" s="8" t="s">
        <v>193</v>
      </c>
      <c r="D2030" s="1" t="str">
        <f>HYPERLINK("javascript:void(0)","arany")</f>
        <v>arany</v>
      </c>
    </row>
    <row r="2031" spans="1:4" ht="12.75" customHeight="1" x14ac:dyDescent="0.2">
      <c r="A2031" s="21"/>
      <c r="B2031" s="2"/>
      <c r="C2031" s="7"/>
      <c r="D2031" s="7"/>
    </row>
    <row r="2032" spans="1:4" ht="12.75" customHeight="1" x14ac:dyDescent="0.2">
      <c r="A2032" s="21"/>
      <c r="B2032" s="2"/>
      <c r="C2032" s="7"/>
      <c r="D2032" s="7"/>
    </row>
    <row r="2033" spans="1:4" ht="12.75" customHeight="1" x14ac:dyDescent="0.2">
      <c r="A2033" s="21"/>
      <c r="B2033" s="2"/>
      <c r="C2033" s="7"/>
      <c r="D2033" s="7"/>
    </row>
    <row r="2034" spans="1:4" ht="12.75" customHeight="1" x14ac:dyDescent="0.2">
      <c r="A2034" s="21"/>
      <c r="B2034" s="2"/>
      <c r="C2034" s="7"/>
      <c r="D2034" s="7"/>
    </row>
    <row r="2035" spans="1:4" ht="12.75" customHeight="1" x14ac:dyDescent="0.2">
      <c r="A2035" s="5"/>
      <c r="B2035" s="2"/>
      <c r="C2035" s="7"/>
      <c r="D2035" s="7"/>
    </row>
    <row r="2036" spans="1:4" ht="12.75" customHeight="1" x14ac:dyDescent="0.2">
      <c r="A2036" s="22" t="str">
        <f>HYPERLINK("javascript:void(0)","óriásvér pajzs")</f>
        <v>óriásvér pajzs</v>
      </c>
      <c r="B2036" s="21"/>
      <c r="C2036" s="21"/>
      <c r="D2036" s="21"/>
    </row>
    <row r="2037" spans="1:4" ht="12.75" customHeight="1" x14ac:dyDescent="0.2">
      <c r="A2037" s="20"/>
      <c r="B2037" s="2"/>
      <c r="C2037" s="7"/>
      <c r="D2037" s="7"/>
    </row>
    <row r="2038" spans="1:4" ht="12.75" customHeight="1" x14ac:dyDescent="0.2">
      <c r="A2038" s="21"/>
      <c r="B2038" s="3" t="s">
        <v>0</v>
      </c>
      <c r="C2038" s="23" t="s">
        <v>38</v>
      </c>
      <c r="D2038" s="21"/>
    </row>
    <row r="2039" spans="1:4" ht="12.75" customHeight="1" x14ac:dyDescent="0.2">
      <c r="A2039" s="21"/>
      <c r="B2039" s="3" t="s">
        <v>2</v>
      </c>
      <c r="C2039" s="23" t="s">
        <v>1839</v>
      </c>
      <c r="D2039" s="21"/>
    </row>
    <row r="2040" spans="1:4" ht="12.75" customHeight="1" x14ac:dyDescent="0.2">
      <c r="A2040" s="21"/>
      <c r="B2040" s="3" t="s">
        <v>1840</v>
      </c>
      <c r="C2040" s="23" t="s">
        <v>221</v>
      </c>
      <c r="D2040" s="21"/>
    </row>
    <row r="2041" spans="1:4" ht="12.75" customHeight="1" x14ac:dyDescent="0.2">
      <c r="A2041" s="21"/>
      <c r="B2041" s="3" t="s">
        <v>9</v>
      </c>
      <c r="C2041" s="23" t="s">
        <v>569</v>
      </c>
      <c r="D2041" s="21"/>
    </row>
    <row r="2042" spans="1:4" ht="12.75" customHeight="1" x14ac:dyDescent="0.2">
      <c r="A2042" s="21"/>
      <c r="B2042" s="3" t="s">
        <v>11</v>
      </c>
      <c r="C2042" s="23" t="s">
        <v>685</v>
      </c>
      <c r="D2042" s="21"/>
    </row>
    <row r="2043" spans="1:4" ht="12.75" customHeight="1" x14ac:dyDescent="0.2">
      <c r="A2043" s="21"/>
      <c r="B2043" s="3" t="s">
        <v>16</v>
      </c>
      <c r="C2043" s="23"/>
      <c r="D2043" s="21"/>
    </row>
    <row r="2044" spans="1:4" ht="12.75" customHeight="1" x14ac:dyDescent="0.2">
      <c r="A2044" s="21"/>
      <c r="B2044" s="3" t="s">
        <v>17</v>
      </c>
      <c r="C2044" s="23" t="s">
        <v>19</v>
      </c>
      <c r="D2044" s="21"/>
    </row>
    <row r="2045" spans="1:4" ht="12.75" customHeight="1" x14ac:dyDescent="0.2">
      <c r="A2045" s="21"/>
      <c r="B2045" s="20" t="s">
        <v>18</v>
      </c>
      <c r="C2045" s="8" t="s">
        <v>44</v>
      </c>
      <c r="D2045" s="1" t="str">
        <f>HYPERLINK("javascript:void(0)","troll pajzs")</f>
        <v>troll pajzs</v>
      </c>
    </row>
    <row r="2046" spans="1:4" ht="12.75" customHeight="1" x14ac:dyDescent="0.2">
      <c r="A2046" s="21"/>
      <c r="B2046" s="21"/>
      <c r="C2046" s="8" t="s">
        <v>44</v>
      </c>
      <c r="D2046" s="1" t="str">
        <f>HYPERLINK("javascript:void(0)","nagy ork pajzs")</f>
        <v>nagy ork pajzs</v>
      </c>
    </row>
    <row r="2047" spans="1:4" ht="12.75" customHeight="1" x14ac:dyDescent="0.2">
      <c r="A2047" s="21"/>
      <c r="B2047" s="21"/>
      <c r="C2047" s="8" t="s">
        <v>44</v>
      </c>
      <c r="D2047" s="1" t="str">
        <f>HYPERLINK("javascript:void(0)","centrolium")</f>
        <v>centrolium</v>
      </c>
    </row>
    <row r="2048" spans="1:4" ht="12.75" customHeight="1" x14ac:dyDescent="0.2">
      <c r="A2048" s="21"/>
      <c r="B2048" s="2"/>
      <c r="C2048" s="7"/>
      <c r="D2048" s="7"/>
    </row>
    <row r="2049" spans="1:4" ht="12.75" customHeight="1" x14ac:dyDescent="0.2">
      <c r="A2049" s="21"/>
      <c r="B2049" s="2"/>
      <c r="C2049" s="7"/>
      <c r="D2049" s="7"/>
    </row>
    <row r="2050" spans="1:4" ht="12.75" customHeight="1" x14ac:dyDescent="0.2">
      <c r="A2050" s="21"/>
      <c r="B2050" s="2"/>
      <c r="C2050" s="7"/>
      <c r="D2050" s="7"/>
    </row>
    <row r="2051" spans="1:4" ht="12.75" customHeight="1" x14ac:dyDescent="0.2">
      <c r="A2051" s="21"/>
      <c r="B2051" s="2"/>
      <c r="C2051" s="7"/>
      <c r="D2051" s="7"/>
    </row>
    <row r="2052" spans="1:4" ht="12.75" customHeight="1" x14ac:dyDescent="0.2">
      <c r="A2052" s="5"/>
      <c r="B2052" s="2"/>
      <c r="C2052" s="7"/>
      <c r="D2052" s="7"/>
    </row>
    <row r="2053" spans="1:4" ht="12.75" customHeight="1" x14ac:dyDescent="0.2">
      <c r="A2053" s="22" t="str">
        <f>HYPERLINK("javascript:void(0)","elementáltestpajzs")</f>
        <v>elementáltestpajzs</v>
      </c>
      <c r="B2053" s="21"/>
      <c r="C2053" s="21"/>
      <c r="D2053" s="21"/>
    </row>
    <row r="2054" spans="1:4" ht="12.75" customHeight="1" x14ac:dyDescent="0.2">
      <c r="A2054" s="20"/>
      <c r="B2054" s="2"/>
      <c r="C2054" s="7"/>
      <c r="D2054" s="7"/>
    </row>
    <row r="2055" spans="1:4" ht="12.75" customHeight="1" x14ac:dyDescent="0.2">
      <c r="A2055" s="21"/>
      <c r="B2055" s="3" t="s">
        <v>0</v>
      </c>
      <c r="C2055" s="23" t="s">
        <v>38</v>
      </c>
      <c r="D2055" s="21"/>
    </row>
    <row r="2056" spans="1:4" ht="12.75" customHeight="1" x14ac:dyDescent="0.2">
      <c r="A2056" s="21"/>
      <c r="B2056" s="3" t="s">
        <v>2</v>
      </c>
      <c r="C2056" s="23" t="s">
        <v>1839</v>
      </c>
      <c r="D2056" s="21"/>
    </row>
    <row r="2057" spans="1:4" ht="12.75" customHeight="1" x14ac:dyDescent="0.2">
      <c r="A2057" s="21"/>
      <c r="B2057" s="3" t="s">
        <v>1840</v>
      </c>
      <c r="C2057" s="23" t="s">
        <v>206</v>
      </c>
      <c r="D2057" s="21"/>
    </row>
    <row r="2058" spans="1:4" ht="12.75" customHeight="1" x14ac:dyDescent="0.2">
      <c r="A2058" s="21"/>
      <c r="B2058" s="3" t="s">
        <v>9</v>
      </c>
      <c r="C2058" s="23" t="s">
        <v>262</v>
      </c>
      <c r="D2058" s="21"/>
    </row>
    <row r="2059" spans="1:4" ht="12.75" customHeight="1" x14ac:dyDescent="0.2">
      <c r="A2059" s="21"/>
      <c r="B2059" s="3" t="s">
        <v>11</v>
      </c>
      <c r="C2059" s="23" t="s">
        <v>1961</v>
      </c>
      <c r="D2059" s="21"/>
    </row>
    <row r="2060" spans="1:4" ht="12.75" customHeight="1" x14ac:dyDescent="0.2">
      <c r="A2060" s="21"/>
      <c r="B2060" s="3" t="s">
        <v>16</v>
      </c>
      <c r="C2060" s="23"/>
      <c r="D2060" s="21"/>
    </row>
    <row r="2061" spans="1:4" ht="12.75" customHeight="1" x14ac:dyDescent="0.2">
      <c r="A2061" s="21"/>
      <c r="B2061" s="3" t="s">
        <v>17</v>
      </c>
      <c r="C2061" s="23" t="s">
        <v>19</v>
      </c>
      <c r="D2061" s="21"/>
    </row>
    <row r="2062" spans="1:4" ht="12.75" customHeight="1" x14ac:dyDescent="0.2">
      <c r="A2062" s="21"/>
      <c r="B2062" s="20" t="s">
        <v>18</v>
      </c>
      <c r="C2062" s="8" t="s">
        <v>44</v>
      </c>
      <c r="D2062" s="1" t="str">
        <f>HYPERLINK("javascript:void(0)","elementálpajzs")</f>
        <v>elementálpajzs</v>
      </c>
    </row>
    <row r="2063" spans="1:4" ht="12.75" customHeight="1" x14ac:dyDescent="0.2">
      <c r="A2063" s="21"/>
      <c r="B2063" s="21"/>
      <c r="C2063" s="8" t="s">
        <v>98</v>
      </c>
      <c r="D2063" s="1" t="str">
        <f>HYPERLINK("javascript:void(0)","vasérc")</f>
        <v>vasérc</v>
      </c>
    </row>
    <row r="2064" spans="1:4" ht="12.75" customHeight="1" x14ac:dyDescent="0.2">
      <c r="A2064" s="21"/>
      <c r="B2064" s="21"/>
      <c r="C2064" s="8" t="s">
        <v>98</v>
      </c>
      <c r="D2064" s="1" t="str">
        <f>HYPERLINK("javascript:void(0)","elementál eszencia")</f>
        <v>elementál eszencia</v>
      </c>
    </row>
    <row r="2065" spans="1:4" ht="12.75" customHeight="1" x14ac:dyDescent="0.2">
      <c r="A2065" s="21"/>
      <c r="B2065" s="2"/>
      <c r="C2065" s="7"/>
      <c r="D2065" s="7"/>
    </row>
    <row r="2066" spans="1:4" ht="12.75" customHeight="1" x14ac:dyDescent="0.2">
      <c r="A2066" s="21"/>
      <c r="B2066" s="2"/>
      <c r="C2066" s="7"/>
      <c r="D2066" s="7"/>
    </row>
    <row r="2067" spans="1:4" ht="12.75" customHeight="1" x14ac:dyDescent="0.2">
      <c r="A2067" s="21"/>
      <c r="B2067" s="2"/>
      <c r="C2067" s="7"/>
      <c r="D2067" s="7"/>
    </row>
    <row r="2068" spans="1:4" ht="12.75" customHeight="1" x14ac:dyDescent="0.2">
      <c r="A2068" s="21"/>
      <c r="B2068" s="2"/>
      <c r="C2068" s="7"/>
      <c r="D2068" s="7"/>
    </row>
    <row r="2069" spans="1:4" ht="12.75" customHeight="1" x14ac:dyDescent="0.2">
      <c r="A2069" s="5"/>
      <c r="B2069" s="2"/>
      <c r="C2069" s="7"/>
      <c r="D2069" s="7"/>
    </row>
    <row r="2070" spans="1:4" ht="12.75" customHeight="1" x14ac:dyDescent="0.2">
      <c r="A2070" s="22" t="str">
        <f>HYPERLINK("javascript:void(0)","démonacél sisak")</f>
        <v>démonacél sisak</v>
      </c>
      <c r="B2070" s="21"/>
      <c r="C2070" s="21"/>
      <c r="D2070" s="21"/>
    </row>
    <row r="2071" spans="1:4" ht="12.75" customHeight="1" x14ac:dyDescent="0.2">
      <c r="A2071" s="20"/>
      <c r="B2071" s="2"/>
      <c r="C2071" s="7"/>
      <c r="D2071" s="7"/>
    </row>
    <row r="2072" spans="1:4" ht="12.75" customHeight="1" x14ac:dyDescent="0.2">
      <c r="A2072" s="21"/>
      <c r="B2072" s="3" t="s">
        <v>0</v>
      </c>
      <c r="C2072" s="23" t="s">
        <v>38</v>
      </c>
      <c r="D2072" s="21"/>
    </row>
    <row r="2073" spans="1:4" ht="12.75" customHeight="1" x14ac:dyDescent="0.2">
      <c r="A2073" s="21"/>
      <c r="B2073" s="3" t="s">
        <v>2</v>
      </c>
      <c r="C2073" s="23"/>
      <c r="D2073" s="21"/>
    </row>
    <row r="2074" spans="1:4" ht="12.75" customHeight="1" x14ac:dyDescent="0.2">
      <c r="A2074" s="21"/>
      <c r="B2074" s="3" t="s">
        <v>1840</v>
      </c>
      <c r="C2074" s="23" t="s">
        <v>159</v>
      </c>
      <c r="D2074" s="21"/>
    </row>
    <row r="2075" spans="1:4" ht="12.75" customHeight="1" x14ac:dyDescent="0.2">
      <c r="A2075" s="21"/>
      <c r="B2075" s="3" t="s">
        <v>9</v>
      </c>
      <c r="C2075" s="23" t="s">
        <v>343</v>
      </c>
      <c r="D2075" s="21"/>
    </row>
    <row r="2076" spans="1:4" ht="12.75" customHeight="1" x14ac:dyDescent="0.2">
      <c r="A2076" s="21"/>
      <c r="B2076" s="3" t="s">
        <v>11</v>
      </c>
      <c r="C2076" s="23" t="s">
        <v>177</v>
      </c>
      <c r="D2076" s="21"/>
    </row>
    <row r="2077" spans="1:4" ht="12.75" customHeight="1" x14ac:dyDescent="0.2">
      <c r="A2077" s="21"/>
      <c r="B2077" s="3" t="s">
        <v>16</v>
      </c>
      <c r="C2077" s="23"/>
      <c r="D2077" s="21"/>
    </row>
    <row r="2078" spans="1:4" ht="12.75" customHeight="1" x14ac:dyDescent="0.2">
      <c r="A2078" s="21"/>
      <c r="B2078" s="3" t="s">
        <v>17</v>
      </c>
      <c r="C2078" s="23" t="s">
        <v>19</v>
      </c>
      <c r="D2078" s="21"/>
    </row>
    <row r="2079" spans="1:4" ht="12.75" customHeight="1" x14ac:dyDescent="0.2">
      <c r="A2079" s="21"/>
      <c r="B2079" s="20" t="s">
        <v>18</v>
      </c>
      <c r="C2079" s="8" t="s">
        <v>44</v>
      </c>
      <c r="D2079" s="1" t="str">
        <f>HYPERLINK("javascript:void(0)","hidracél sisak")</f>
        <v>hidracél sisak</v>
      </c>
    </row>
    <row r="2080" spans="1:4" ht="12.75" customHeight="1" x14ac:dyDescent="0.2">
      <c r="A2080" s="21"/>
      <c r="B2080" s="21"/>
      <c r="C2080" s="8" t="s">
        <v>142</v>
      </c>
      <c r="D2080" s="1" t="str">
        <f>HYPERLINK("javascript:void(0)","nyukug bajusz")</f>
        <v>nyukug bajusz</v>
      </c>
    </row>
    <row r="2081" spans="1:4" ht="12.75" customHeight="1" x14ac:dyDescent="0.2">
      <c r="A2081" s="21"/>
      <c r="B2081" s="21"/>
      <c r="C2081" s="8" t="s">
        <v>142</v>
      </c>
      <c r="D2081" s="1" t="str">
        <f>HYPERLINK("javascript:void(0)","dadacsiganyál")</f>
        <v>dadacsiganyál</v>
      </c>
    </row>
    <row r="2082" spans="1:4" ht="12.75" customHeight="1" x14ac:dyDescent="0.2">
      <c r="A2082" s="21"/>
      <c r="B2082" s="2"/>
      <c r="C2082" s="7"/>
      <c r="D2082" s="7"/>
    </row>
    <row r="2083" spans="1:4" ht="12.75" customHeight="1" x14ac:dyDescent="0.2">
      <c r="A2083" s="21"/>
      <c r="B2083" s="2"/>
      <c r="C2083" s="7"/>
      <c r="D2083" s="7"/>
    </row>
    <row r="2084" spans="1:4" ht="12.75" customHeight="1" x14ac:dyDescent="0.2">
      <c r="A2084" s="21"/>
      <c r="B2084" s="2"/>
      <c r="C2084" s="7"/>
      <c r="D2084" s="7"/>
    </row>
    <row r="2085" spans="1:4" ht="12.75" customHeight="1" x14ac:dyDescent="0.2">
      <c r="A2085" s="21"/>
      <c r="B2085" s="2"/>
      <c r="C2085" s="7"/>
      <c r="D2085" s="7"/>
    </row>
    <row r="2086" spans="1:4" ht="12.75" customHeight="1" x14ac:dyDescent="0.2">
      <c r="A2086" s="5"/>
      <c r="B2086" s="2"/>
      <c r="C2086" s="7"/>
      <c r="D2086" s="7"/>
    </row>
    <row r="2087" spans="1:4" ht="12.75" customHeight="1" x14ac:dyDescent="0.2">
      <c r="A2087" s="22" t="str">
        <f>HYPERLINK("javascript:void(0)","démonacél csizma")</f>
        <v>démonacél csizma</v>
      </c>
      <c r="B2087" s="21"/>
      <c r="C2087" s="21"/>
      <c r="D2087" s="21"/>
    </row>
    <row r="2088" spans="1:4" ht="12.75" customHeight="1" x14ac:dyDescent="0.2">
      <c r="A2088" s="20"/>
      <c r="B2088" s="2"/>
      <c r="C2088" s="7"/>
      <c r="D2088" s="7"/>
    </row>
    <row r="2089" spans="1:4" ht="12.75" customHeight="1" x14ac:dyDescent="0.2">
      <c r="A2089" s="21"/>
      <c r="B2089" s="3" t="s">
        <v>0</v>
      </c>
      <c r="C2089" s="23" t="s">
        <v>38</v>
      </c>
      <c r="D2089" s="21"/>
    </row>
    <row r="2090" spans="1:4" ht="12.75" customHeight="1" x14ac:dyDescent="0.2">
      <c r="A2090" s="21"/>
      <c r="B2090" s="3" t="s">
        <v>2</v>
      </c>
      <c r="C2090" s="23"/>
      <c r="D2090" s="21"/>
    </row>
    <row r="2091" spans="1:4" ht="12.75" customHeight="1" x14ac:dyDescent="0.2">
      <c r="A2091" s="21"/>
      <c r="B2091" s="3" t="s">
        <v>1840</v>
      </c>
      <c r="C2091" s="23" t="s">
        <v>206</v>
      </c>
      <c r="D2091" s="21"/>
    </row>
    <row r="2092" spans="1:4" ht="12.75" customHeight="1" x14ac:dyDescent="0.2">
      <c r="A2092" s="21"/>
      <c r="B2092" s="3" t="s">
        <v>9</v>
      </c>
      <c r="C2092" s="23" t="s">
        <v>210</v>
      </c>
      <c r="D2092" s="21"/>
    </row>
    <row r="2093" spans="1:4" ht="12.75" customHeight="1" x14ac:dyDescent="0.2">
      <c r="A2093" s="21"/>
      <c r="B2093" s="3" t="s">
        <v>11</v>
      </c>
      <c r="C2093" s="23" t="s">
        <v>490</v>
      </c>
      <c r="D2093" s="21"/>
    </row>
    <row r="2094" spans="1:4" ht="12.75" customHeight="1" x14ac:dyDescent="0.2">
      <c r="A2094" s="21"/>
      <c r="B2094" s="3" t="s">
        <v>16</v>
      </c>
      <c r="C2094" s="23"/>
      <c r="D2094" s="21"/>
    </row>
    <row r="2095" spans="1:4" ht="12.75" customHeight="1" x14ac:dyDescent="0.2">
      <c r="A2095" s="21"/>
      <c r="B2095" s="3" t="s">
        <v>17</v>
      </c>
      <c r="C2095" s="23" t="s">
        <v>19</v>
      </c>
      <c r="D2095" s="21"/>
    </row>
    <row r="2096" spans="1:4" ht="12.75" customHeight="1" x14ac:dyDescent="0.2">
      <c r="A2096" s="21"/>
      <c r="B2096" s="20" t="s">
        <v>18</v>
      </c>
      <c r="C2096" s="8" t="s">
        <v>44</v>
      </c>
      <c r="D2096" s="1" t="str">
        <f>HYPERLINK("javascript:void(0)","hidracél csizma")</f>
        <v>hidracél csizma</v>
      </c>
    </row>
    <row r="2097" spans="1:4" ht="12.75" customHeight="1" x14ac:dyDescent="0.2">
      <c r="A2097" s="21"/>
      <c r="B2097" s="21"/>
      <c r="C2097" s="8" t="s">
        <v>77</v>
      </c>
      <c r="D2097" s="1" t="str">
        <f>HYPERLINK("javascript:void(0)","dadacsiganyál")</f>
        <v>dadacsiganyál</v>
      </c>
    </row>
    <row r="2098" spans="1:4" ht="12.75" customHeight="1" x14ac:dyDescent="0.2">
      <c r="A2098" s="21"/>
      <c r="B2098" s="21"/>
      <c r="C2098" s="8" t="s">
        <v>77</v>
      </c>
      <c r="D2098" s="1" t="str">
        <f>HYPERLINK("javascript:void(0)","nyukug bajusz")</f>
        <v>nyukug bajusz</v>
      </c>
    </row>
    <row r="2099" spans="1:4" ht="12.75" customHeight="1" x14ac:dyDescent="0.2">
      <c r="A2099" s="21"/>
      <c r="B2099" s="2"/>
      <c r="C2099" s="7"/>
      <c r="D2099" s="7"/>
    </row>
    <row r="2100" spans="1:4" ht="12.75" customHeight="1" x14ac:dyDescent="0.2">
      <c r="A2100" s="21"/>
      <c r="B2100" s="2"/>
      <c r="C2100" s="7"/>
      <c r="D2100" s="7"/>
    </row>
    <row r="2101" spans="1:4" ht="12.75" customHeight="1" x14ac:dyDescent="0.2">
      <c r="A2101" s="21"/>
      <c r="B2101" s="2"/>
      <c r="C2101" s="7"/>
      <c r="D2101" s="7"/>
    </row>
    <row r="2102" spans="1:4" ht="12.75" customHeight="1" x14ac:dyDescent="0.2">
      <c r="A2102" s="21"/>
      <c r="B2102" s="2"/>
      <c r="C2102" s="7"/>
      <c r="D2102" s="7"/>
    </row>
    <row r="2103" spans="1:4" ht="12.75" customHeight="1" x14ac:dyDescent="0.2">
      <c r="A2103" s="5"/>
      <c r="B2103" s="2"/>
      <c r="C2103" s="7"/>
      <c r="D2103" s="7"/>
    </row>
    <row r="2104" spans="1:4" ht="12.75" customHeight="1" x14ac:dyDescent="0.2">
      <c r="A2104" s="22" t="str">
        <f>HYPERLINK("javascript:void(0)","lávasisak")</f>
        <v>lávasisak</v>
      </c>
      <c r="B2104" s="21"/>
      <c r="C2104" s="21"/>
      <c r="D2104" s="7"/>
    </row>
    <row r="2105" spans="1:4" ht="12.75" customHeight="1" x14ac:dyDescent="0.2">
      <c r="A2105" s="20"/>
      <c r="B2105" s="2"/>
      <c r="C2105" s="7"/>
      <c r="D2105" s="7"/>
    </row>
    <row r="2106" spans="1:4" ht="12.75" customHeight="1" x14ac:dyDescent="0.2">
      <c r="A2106" s="21"/>
      <c r="B2106" s="3" t="s">
        <v>0</v>
      </c>
      <c r="C2106" s="9" t="s">
        <v>206</v>
      </c>
      <c r="D2106" s="7"/>
    </row>
    <row r="2107" spans="1:4" ht="12.75" customHeight="1" x14ac:dyDescent="0.2">
      <c r="A2107" s="21"/>
      <c r="B2107" s="3" t="s">
        <v>2</v>
      </c>
      <c r="C2107" s="9"/>
      <c r="D2107" s="7"/>
    </row>
    <row r="2108" spans="1:4" ht="12.75" customHeight="1" x14ac:dyDescent="0.2">
      <c r="A2108" s="21"/>
      <c r="B2108" s="3" t="s">
        <v>1840</v>
      </c>
      <c r="C2108" s="9" t="s">
        <v>35</v>
      </c>
      <c r="D2108" s="7"/>
    </row>
    <row r="2109" spans="1:4" ht="12.75" customHeight="1" x14ac:dyDescent="0.2">
      <c r="A2109" s="21"/>
      <c r="B2109" s="3" t="s">
        <v>9</v>
      </c>
      <c r="C2109" s="9" t="s">
        <v>131</v>
      </c>
      <c r="D2109" s="7"/>
    </row>
    <row r="2110" spans="1:4" ht="25.5" customHeight="1" x14ac:dyDescent="0.2">
      <c r="A2110" s="21"/>
      <c r="B2110" s="3" t="s">
        <v>11</v>
      </c>
      <c r="C2110" s="9" t="s">
        <v>168</v>
      </c>
      <c r="D2110" s="7"/>
    </row>
    <row r="2111" spans="1:4" ht="12.75" customHeight="1" x14ac:dyDescent="0.2">
      <c r="A2111" s="21"/>
      <c r="B2111" s="3" t="s">
        <v>16</v>
      </c>
      <c r="C2111" s="9"/>
      <c r="D2111" s="7"/>
    </row>
    <row r="2112" spans="1:4" ht="12.75" customHeight="1" x14ac:dyDescent="0.2">
      <c r="A2112" s="21"/>
      <c r="B2112" s="3" t="s">
        <v>17</v>
      </c>
      <c r="C2112" s="9" t="s">
        <v>19</v>
      </c>
      <c r="D2112" s="7"/>
    </row>
    <row r="2113" spans="1:4" ht="12.75" customHeight="1" x14ac:dyDescent="0.2">
      <c r="A2113" s="21"/>
      <c r="B2113" s="3" t="s">
        <v>18</v>
      </c>
      <c r="C2113" s="8" t="s">
        <v>19</v>
      </c>
      <c r="D2113" s="7"/>
    </row>
    <row r="2114" spans="1:4" ht="12.75" customHeight="1" x14ac:dyDescent="0.2">
      <c r="A2114" s="21"/>
      <c r="B2114" s="2"/>
      <c r="C2114" s="7"/>
      <c r="D2114" s="7"/>
    </row>
    <row r="2115" spans="1:4" ht="12.75" customHeight="1" x14ac:dyDescent="0.2">
      <c r="A2115" s="21"/>
      <c r="B2115" s="2"/>
      <c r="C2115" s="7"/>
      <c r="D2115" s="7"/>
    </row>
    <row r="2116" spans="1:4" ht="12.75" customHeight="1" x14ac:dyDescent="0.2">
      <c r="A2116" s="21"/>
      <c r="B2116" s="2"/>
      <c r="C2116" s="7"/>
      <c r="D2116" s="7"/>
    </row>
    <row r="2117" spans="1:4" ht="12.75" customHeight="1" x14ac:dyDescent="0.2">
      <c r="A2117" s="21"/>
      <c r="B2117" s="2"/>
      <c r="C2117" s="7"/>
      <c r="D2117" s="7"/>
    </row>
    <row r="2118" spans="1:4" ht="12.75" customHeight="1" x14ac:dyDescent="0.2">
      <c r="A2118" s="5"/>
      <c r="B2118" s="2"/>
      <c r="C2118" s="7"/>
      <c r="D2118" s="7"/>
    </row>
    <row r="2119" spans="1:4" ht="12.75" customHeight="1" x14ac:dyDescent="0.2">
      <c r="A2119" s="22" t="str">
        <f>HYPERLINK("javascript:void(0)","smaragd láncing")</f>
        <v>smaragd láncing</v>
      </c>
      <c r="B2119" s="21"/>
      <c r="C2119" s="21"/>
      <c r="D2119" s="7"/>
    </row>
    <row r="2120" spans="1:4" ht="12.75" customHeight="1" x14ac:dyDescent="0.2">
      <c r="A2120" s="20"/>
      <c r="B2120" s="2"/>
      <c r="C2120" s="7"/>
      <c r="D2120" s="7"/>
    </row>
    <row r="2121" spans="1:4" ht="12.75" customHeight="1" x14ac:dyDescent="0.2">
      <c r="A2121" s="21"/>
      <c r="B2121" s="3" t="s">
        <v>0</v>
      </c>
      <c r="C2121" s="9" t="s">
        <v>206</v>
      </c>
      <c r="D2121" s="7"/>
    </row>
    <row r="2122" spans="1:4" ht="12.75" customHeight="1" x14ac:dyDescent="0.2">
      <c r="A2122" s="21"/>
      <c r="B2122" s="3" t="s">
        <v>2</v>
      </c>
      <c r="C2122" s="9" t="s">
        <v>2322</v>
      </c>
      <c r="D2122" s="7"/>
    </row>
    <row r="2123" spans="1:4" ht="12.75" customHeight="1" x14ac:dyDescent="0.2">
      <c r="A2123" s="21"/>
      <c r="B2123" s="3" t="s">
        <v>1840</v>
      </c>
      <c r="C2123" s="9" t="s">
        <v>340</v>
      </c>
      <c r="D2123" s="7"/>
    </row>
    <row r="2124" spans="1:4" ht="12.75" customHeight="1" x14ac:dyDescent="0.2">
      <c r="A2124" s="21"/>
      <c r="B2124" s="3" t="s">
        <v>9</v>
      </c>
      <c r="C2124" s="9" t="s">
        <v>962</v>
      </c>
      <c r="D2124" s="7"/>
    </row>
    <row r="2125" spans="1:4" ht="25.5" customHeight="1" x14ac:dyDescent="0.2">
      <c r="A2125" s="21"/>
      <c r="B2125" s="3" t="s">
        <v>11</v>
      </c>
      <c r="C2125" s="9" t="s">
        <v>177</v>
      </c>
      <c r="D2125" s="7"/>
    </row>
    <row r="2126" spans="1:4" ht="12.75" customHeight="1" x14ac:dyDescent="0.2">
      <c r="A2126" s="21"/>
      <c r="B2126" s="3" t="s">
        <v>16</v>
      </c>
      <c r="C2126" s="9"/>
      <c r="D2126" s="7"/>
    </row>
    <row r="2127" spans="1:4" ht="12.75" customHeight="1" x14ac:dyDescent="0.2">
      <c r="A2127" s="21"/>
      <c r="B2127" s="3" t="s">
        <v>17</v>
      </c>
      <c r="C2127" s="9" t="s">
        <v>19</v>
      </c>
      <c r="D2127" s="7"/>
    </row>
    <row r="2128" spans="1:4" ht="12.75" customHeight="1" x14ac:dyDescent="0.2">
      <c r="A2128" s="21"/>
      <c r="B2128" s="3" t="s">
        <v>18</v>
      </c>
      <c r="C2128" s="8" t="s">
        <v>19</v>
      </c>
      <c r="D2128" s="7"/>
    </row>
    <row r="2129" spans="1:4" ht="12.75" customHeight="1" x14ac:dyDescent="0.2">
      <c r="A2129" s="21"/>
      <c r="B2129" s="2"/>
      <c r="C2129" s="7"/>
      <c r="D2129" s="7"/>
    </row>
    <row r="2130" spans="1:4" ht="12.75" customHeight="1" x14ac:dyDescent="0.2">
      <c r="A2130" s="21"/>
      <c r="B2130" s="2"/>
      <c r="C2130" s="7"/>
      <c r="D2130" s="7"/>
    </row>
    <row r="2131" spans="1:4" ht="12.75" customHeight="1" x14ac:dyDescent="0.2">
      <c r="A2131" s="21"/>
      <c r="B2131" s="2"/>
      <c r="C2131" s="7"/>
      <c r="D2131" s="7"/>
    </row>
    <row r="2132" spans="1:4" ht="12.75" customHeight="1" x14ac:dyDescent="0.2">
      <c r="A2132" s="21"/>
      <c r="B2132" s="2"/>
      <c r="C2132" s="7"/>
      <c r="D2132" s="7"/>
    </row>
    <row r="2133" spans="1:4" ht="12.75" customHeight="1" x14ac:dyDescent="0.2">
      <c r="A2133" s="5"/>
      <c r="B2133" s="2"/>
      <c r="C2133" s="7"/>
      <c r="D2133" s="7"/>
    </row>
    <row r="2134" spans="1:4" ht="12.75" customHeight="1" x14ac:dyDescent="0.2">
      <c r="A2134" s="22" t="str">
        <f>HYPERLINK("javascript:void(0)","óriás pillepajzs")</f>
        <v>óriás pillepajzs</v>
      </c>
      <c r="B2134" s="21"/>
      <c r="C2134" s="21"/>
      <c r="D2134" s="21"/>
    </row>
    <row r="2135" spans="1:4" ht="12.75" customHeight="1" x14ac:dyDescent="0.2">
      <c r="A2135" s="20"/>
      <c r="B2135" s="2"/>
      <c r="C2135" s="7"/>
      <c r="D2135" s="7"/>
    </row>
    <row r="2136" spans="1:4" ht="12.75" customHeight="1" x14ac:dyDescent="0.2">
      <c r="A2136" s="21"/>
      <c r="B2136" s="3" t="s">
        <v>0</v>
      </c>
      <c r="C2136" s="23" t="s">
        <v>206</v>
      </c>
      <c r="D2136" s="21"/>
    </row>
    <row r="2137" spans="1:4" ht="12.75" customHeight="1" x14ac:dyDescent="0.2">
      <c r="A2137" s="21"/>
      <c r="B2137" s="3" t="s">
        <v>2</v>
      </c>
      <c r="C2137" s="23" t="s">
        <v>1839</v>
      </c>
      <c r="D2137" s="21"/>
    </row>
    <row r="2138" spans="1:4" ht="12.75" customHeight="1" x14ac:dyDescent="0.2">
      <c r="A2138" s="21"/>
      <c r="B2138" s="3" t="s">
        <v>1840</v>
      </c>
      <c r="C2138" s="23" t="s">
        <v>260</v>
      </c>
      <c r="D2138" s="21"/>
    </row>
    <row r="2139" spans="1:4" ht="12.75" customHeight="1" x14ac:dyDescent="0.2">
      <c r="A2139" s="21"/>
      <c r="B2139" s="3" t="s">
        <v>9</v>
      </c>
      <c r="C2139" s="23" t="s">
        <v>53</v>
      </c>
      <c r="D2139" s="21"/>
    </row>
    <row r="2140" spans="1:4" ht="12.75" customHeight="1" x14ac:dyDescent="0.2">
      <c r="A2140" s="21"/>
      <c r="B2140" s="3" t="s">
        <v>11</v>
      </c>
      <c r="C2140" s="23" t="s">
        <v>1962</v>
      </c>
      <c r="D2140" s="21"/>
    </row>
    <row r="2141" spans="1:4" ht="12.75" customHeight="1" x14ac:dyDescent="0.2">
      <c r="A2141" s="21"/>
      <c r="B2141" s="3" t="s">
        <v>16</v>
      </c>
      <c r="C2141" s="23"/>
      <c r="D2141" s="21"/>
    </row>
    <row r="2142" spans="1:4" ht="12.75" customHeight="1" x14ac:dyDescent="0.2">
      <c r="A2142" s="21"/>
      <c r="B2142" s="3" t="s">
        <v>17</v>
      </c>
      <c r="C2142" s="23" t="s">
        <v>19</v>
      </c>
      <c r="D2142" s="21"/>
    </row>
    <row r="2143" spans="1:4" ht="12.75" customHeight="1" x14ac:dyDescent="0.2">
      <c r="A2143" s="21"/>
      <c r="B2143" s="20" t="s">
        <v>18</v>
      </c>
      <c r="C2143" s="8" t="s">
        <v>309</v>
      </c>
      <c r="D2143" s="1" t="str">
        <f>HYPERLINK("javascript:void(0)","lepkeszárny")</f>
        <v>lepkeszárny</v>
      </c>
    </row>
    <row r="2144" spans="1:4" ht="12.75" customHeight="1" x14ac:dyDescent="0.2">
      <c r="A2144" s="21"/>
      <c r="B2144" s="21"/>
      <c r="C2144" s="8" t="s">
        <v>44</v>
      </c>
      <c r="D2144" s="1" t="str">
        <f>HYPERLINK("javascript:void(0)","nagy pillepajzs")</f>
        <v>nagy pillepajzs</v>
      </c>
    </row>
    <row r="2145" spans="1:4" ht="12.75" customHeight="1" x14ac:dyDescent="0.2">
      <c r="A2145" s="21"/>
      <c r="B2145" s="21"/>
      <c r="C2145" s="8" t="s">
        <v>56</v>
      </c>
      <c r="D2145" s="1" t="str">
        <f>HYPERLINK("javascript:void(0)","diszprózium")</f>
        <v>diszprózium</v>
      </c>
    </row>
    <row r="2146" spans="1:4" ht="12.75" customHeight="1" x14ac:dyDescent="0.2">
      <c r="A2146" s="21"/>
      <c r="B2146" s="2"/>
      <c r="C2146" s="7"/>
      <c r="D2146" s="7"/>
    </row>
    <row r="2147" spans="1:4" ht="12.75" customHeight="1" x14ac:dyDescent="0.2">
      <c r="A2147" s="21"/>
      <c r="B2147" s="2"/>
      <c r="C2147" s="7"/>
      <c r="D2147" s="7"/>
    </row>
    <row r="2148" spans="1:4" ht="12.75" customHeight="1" x14ac:dyDescent="0.2">
      <c r="A2148" s="21"/>
      <c r="B2148" s="2"/>
      <c r="C2148" s="7"/>
      <c r="D2148" s="7"/>
    </row>
    <row r="2149" spans="1:4" ht="12.75" customHeight="1" x14ac:dyDescent="0.2">
      <c r="A2149" s="21"/>
      <c r="B2149" s="2"/>
      <c r="C2149" s="7"/>
      <c r="D2149" s="7"/>
    </row>
    <row r="2150" spans="1:4" ht="12.75" customHeight="1" x14ac:dyDescent="0.2">
      <c r="A2150" s="5"/>
      <c r="B2150" s="2"/>
      <c r="C2150" s="7"/>
      <c r="D2150" s="7"/>
    </row>
    <row r="2151" spans="1:4" ht="12.75" customHeight="1" x14ac:dyDescent="0.2">
      <c r="A2151" s="22" t="str">
        <f>HYPERLINK("javascript:void(0)","manaaszkétícium")</f>
        <v>manaaszkétícium</v>
      </c>
      <c r="B2151" s="21"/>
      <c r="C2151" s="21"/>
      <c r="D2151" s="21"/>
    </row>
    <row r="2152" spans="1:4" ht="12.75" customHeight="1" x14ac:dyDescent="0.2">
      <c r="A2152" s="20"/>
      <c r="B2152" s="2"/>
      <c r="C2152" s="7"/>
      <c r="D2152" s="7"/>
    </row>
    <row r="2153" spans="1:4" ht="12.75" customHeight="1" x14ac:dyDescent="0.2">
      <c r="A2153" s="21"/>
      <c r="B2153" s="3" t="s">
        <v>0</v>
      </c>
      <c r="C2153" s="23" t="s">
        <v>206</v>
      </c>
      <c r="D2153" s="21"/>
    </row>
    <row r="2154" spans="1:4" ht="12.75" customHeight="1" x14ac:dyDescent="0.2">
      <c r="A2154" s="21"/>
      <c r="B2154" s="3" t="s">
        <v>2</v>
      </c>
      <c r="C2154" s="23"/>
      <c r="D2154" s="21"/>
    </row>
    <row r="2155" spans="1:4" ht="12.75" customHeight="1" x14ac:dyDescent="0.2">
      <c r="A2155" s="21"/>
      <c r="B2155" s="3" t="s">
        <v>1840</v>
      </c>
      <c r="C2155" s="23" t="s">
        <v>21</v>
      </c>
      <c r="D2155" s="21"/>
    </row>
    <row r="2156" spans="1:4" ht="12.75" customHeight="1" x14ac:dyDescent="0.2">
      <c r="A2156" s="21"/>
      <c r="B2156" s="3" t="s">
        <v>9</v>
      </c>
      <c r="C2156" s="23" t="s">
        <v>27</v>
      </c>
      <c r="D2156" s="21"/>
    </row>
    <row r="2157" spans="1:4" ht="12.75" customHeight="1" x14ac:dyDescent="0.2">
      <c r="A2157" s="21"/>
      <c r="B2157" s="3" t="s">
        <v>11</v>
      </c>
      <c r="C2157" s="23" t="s">
        <v>395</v>
      </c>
      <c r="D2157" s="21"/>
    </row>
    <row r="2158" spans="1:4" ht="12.75" customHeight="1" x14ac:dyDescent="0.2">
      <c r="A2158" s="21"/>
      <c r="B2158" s="3" t="s">
        <v>16</v>
      </c>
      <c r="C2158" s="23"/>
      <c r="D2158" s="21"/>
    </row>
    <row r="2159" spans="1:4" ht="12.75" customHeight="1" x14ac:dyDescent="0.2">
      <c r="A2159" s="21"/>
      <c r="B2159" s="3" t="s">
        <v>17</v>
      </c>
      <c r="C2159" s="23" t="s">
        <v>19</v>
      </c>
      <c r="D2159" s="21"/>
    </row>
    <row r="2160" spans="1:4" ht="12.75" customHeight="1" x14ac:dyDescent="0.2">
      <c r="A2160" s="21"/>
      <c r="B2160" s="20" t="s">
        <v>18</v>
      </c>
      <c r="C2160" s="8" t="s">
        <v>44</v>
      </c>
      <c r="D2160" s="1" t="str">
        <f>HYPERLINK("javascript:void(0)","manakorona")</f>
        <v>manakorona</v>
      </c>
    </row>
    <row r="2161" spans="1:4" ht="12.75" customHeight="1" x14ac:dyDescent="0.2">
      <c r="A2161" s="21"/>
      <c r="B2161" s="21"/>
      <c r="C2161" s="8" t="s">
        <v>163</v>
      </c>
      <c r="D2161" s="1" t="str">
        <f>HYPERLINK("javascript:void(0)","süntüske")</f>
        <v>süntüske</v>
      </c>
    </row>
    <row r="2162" spans="1:4" ht="12.75" customHeight="1" x14ac:dyDescent="0.2">
      <c r="A2162" s="21"/>
      <c r="B2162" s="21"/>
      <c r="C2162" s="8" t="s">
        <v>117</v>
      </c>
      <c r="D2162" s="1" t="str">
        <f>HYPERLINK("javascript:void(0)","halcsont")</f>
        <v>halcsont</v>
      </c>
    </row>
    <row r="2163" spans="1:4" ht="12.75" customHeight="1" x14ac:dyDescent="0.2">
      <c r="A2163" s="21"/>
      <c r="B2163" s="2"/>
      <c r="C2163" s="7"/>
      <c r="D2163" s="7"/>
    </row>
    <row r="2164" spans="1:4" ht="12.75" customHeight="1" x14ac:dyDescent="0.2">
      <c r="A2164" s="21"/>
      <c r="B2164" s="2"/>
      <c r="C2164" s="7"/>
      <c r="D2164" s="7"/>
    </row>
    <row r="2165" spans="1:4" ht="12.75" customHeight="1" x14ac:dyDescent="0.2">
      <c r="A2165" s="21"/>
      <c r="B2165" s="2"/>
      <c r="C2165" s="7"/>
      <c r="D2165" s="7"/>
    </row>
    <row r="2166" spans="1:4" ht="12.75" customHeight="1" x14ac:dyDescent="0.2">
      <c r="A2166" s="21"/>
      <c r="B2166" s="2"/>
      <c r="C2166" s="7"/>
      <c r="D2166" s="7"/>
    </row>
    <row r="2167" spans="1:4" ht="12.75" customHeight="1" x14ac:dyDescent="0.2">
      <c r="A2167" s="5"/>
      <c r="B2167" s="2"/>
      <c r="C2167" s="7"/>
      <c r="D2167" s="7"/>
    </row>
    <row r="2168" spans="1:4" ht="12.75" customHeight="1" x14ac:dyDescent="0.2">
      <c r="A2168" s="22" t="str">
        <f>HYPERLINK("javascript:void(0)","mágusköpeny")</f>
        <v>mágusköpeny</v>
      </c>
      <c r="B2168" s="21"/>
      <c r="C2168" s="21"/>
      <c r="D2168" s="21"/>
    </row>
    <row r="2169" spans="1:4" ht="12.75" customHeight="1" x14ac:dyDescent="0.2">
      <c r="A2169" s="20"/>
      <c r="B2169" s="2"/>
      <c r="C2169" s="7"/>
      <c r="D2169" s="7"/>
    </row>
    <row r="2170" spans="1:4" ht="12.75" customHeight="1" x14ac:dyDescent="0.2">
      <c r="A2170" s="21"/>
      <c r="B2170" s="3" t="s">
        <v>0</v>
      </c>
      <c r="C2170" s="23" t="s">
        <v>206</v>
      </c>
      <c r="D2170" s="21"/>
    </row>
    <row r="2171" spans="1:4" ht="12.75" customHeight="1" x14ac:dyDescent="0.2">
      <c r="A2171" s="21"/>
      <c r="B2171" s="3" t="s">
        <v>2</v>
      </c>
      <c r="C2171" s="23" t="s">
        <v>2322</v>
      </c>
      <c r="D2171" s="21"/>
    </row>
    <row r="2172" spans="1:4" ht="12.75" customHeight="1" x14ac:dyDescent="0.2">
      <c r="A2172" s="21"/>
      <c r="B2172" s="3" t="s">
        <v>1840</v>
      </c>
      <c r="C2172" s="23" t="s">
        <v>48</v>
      </c>
      <c r="D2172" s="21"/>
    </row>
    <row r="2173" spans="1:4" ht="12.75" customHeight="1" x14ac:dyDescent="0.2">
      <c r="A2173" s="21"/>
      <c r="B2173" s="3" t="s">
        <v>9</v>
      </c>
      <c r="C2173" s="23" t="s">
        <v>93</v>
      </c>
      <c r="D2173" s="21"/>
    </row>
    <row r="2174" spans="1:4" ht="12.75" customHeight="1" x14ac:dyDescent="0.2">
      <c r="A2174" s="21"/>
      <c r="B2174" s="3" t="s">
        <v>11</v>
      </c>
      <c r="C2174" s="23" t="s">
        <v>116</v>
      </c>
      <c r="D2174" s="21"/>
    </row>
    <row r="2175" spans="1:4" ht="12.75" customHeight="1" x14ac:dyDescent="0.2">
      <c r="A2175" s="21"/>
      <c r="B2175" s="3" t="s">
        <v>16</v>
      </c>
      <c r="C2175" s="23"/>
      <c r="D2175" s="21"/>
    </row>
    <row r="2176" spans="1:4" ht="12.75" customHeight="1" x14ac:dyDescent="0.2">
      <c r="A2176" s="21"/>
      <c r="B2176" s="3" t="s">
        <v>17</v>
      </c>
      <c r="C2176" s="23" t="s">
        <v>19</v>
      </c>
      <c r="D2176" s="21"/>
    </row>
    <row r="2177" spans="1:4" ht="12.75" customHeight="1" x14ac:dyDescent="0.2">
      <c r="A2177" s="21"/>
      <c r="B2177" s="20" t="s">
        <v>18</v>
      </c>
      <c r="C2177" s="8" t="s">
        <v>196</v>
      </c>
      <c r="D2177" s="1" t="str">
        <f>HYPERLINK("javascript:void(0)","varázsige")</f>
        <v>varázsige</v>
      </c>
    </row>
    <row r="2178" spans="1:4" ht="12.75" customHeight="1" x14ac:dyDescent="0.2">
      <c r="A2178" s="21"/>
      <c r="B2178" s="21"/>
      <c r="C2178" s="8" t="s">
        <v>193</v>
      </c>
      <c r="D2178" s="1" t="str">
        <f>HYPERLINK("javascript:void(0)","vászoning")</f>
        <v>vászoning</v>
      </c>
    </row>
    <row r="2179" spans="1:4" ht="12.75" customHeight="1" x14ac:dyDescent="0.2">
      <c r="A2179" s="21"/>
      <c r="B2179" s="21"/>
      <c r="C2179" s="8" t="s">
        <v>68</v>
      </c>
      <c r="D2179" s="1" t="str">
        <f>HYPERLINK("javascript:void(0)","szent szimbólum")</f>
        <v>szent szimbólum</v>
      </c>
    </row>
    <row r="2180" spans="1:4" ht="12.75" customHeight="1" x14ac:dyDescent="0.2">
      <c r="A2180" s="21"/>
      <c r="B2180" s="2"/>
      <c r="C2180" s="7"/>
      <c r="D2180" s="7"/>
    </row>
    <row r="2181" spans="1:4" ht="12.75" customHeight="1" x14ac:dyDescent="0.2">
      <c r="A2181" s="21"/>
      <c r="B2181" s="2"/>
      <c r="C2181" s="7"/>
      <c r="D2181" s="7"/>
    </row>
    <row r="2182" spans="1:4" ht="12.75" customHeight="1" x14ac:dyDescent="0.2">
      <c r="A2182" s="21"/>
      <c r="B2182" s="2"/>
      <c r="C2182" s="7"/>
      <c r="D2182" s="7"/>
    </row>
    <row r="2183" spans="1:4" ht="12.75" customHeight="1" x14ac:dyDescent="0.2">
      <c r="A2183" s="21"/>
      <c r="B2183" s="2"/>
      <c r="C2183" s="7"/>
      <c r="D2183" s="7"/>
    </row>
    <row r="2184" spans="1:4" ht="12.75" customHeight="1" x14ac:dyDescent="0.2">
      <c r="A2184" s="5"/>
      <c r="B2184" s="2"/>
      <c r="C2184" s="7"/>
      <c r="D2184" s="7"/>
    </row>
    <row r="2185" spans="1:4" ht="12.75" customHeight="1" x14ac:dyDescent="0.2">
      <c r="A2185" s="22" t="str">
        <f>HYPERLINK("javascript:void(0)","rubincsizma")</f>
        <v>rubincsizma</v>
      </c>
      <c r="B2185" s="21"/>
      <c r="C2185" s="21"/>
      <c r="D2185" s="21"/>
    </row>
    <row r="2186" spans="1:4" ht="12.75" customHeight="1" x14ac:dyDescent="0.2">
      <c r="A2186" s="20"/>
      <c r="B2186" s="2"/>
      <c r="C2186" s="7"/>
      <c r="D2186" s="7"/>
    </row>
    <row r="2187" spans="1:4" ht="12.75" customHeight="1" x14ac:dyDescent="0.2">
      <c r="A2187" s="21"/>
      <c r="B2187" s="3" t="s">
        <v>0</v>
      </c>
      <c r="C2187" s="23" t="s">
        <v>206</v>
      </c>
      <c r="D2187" s="21"/>
    </row>
    <row r="2188" spans="1:4" ht="12.75" customHeight="1" x14ac:dyDescent="0.2">
      <c r="A2188" s="21"/>
      <c r="B2188" s="3" t="s">
        <v>2</v>
      </c>
      <c r="C2188" s="23"/>
      <c r="D2188" s="21"/>
    </row>
    <row r="2189" spans="1:4" ht="12.75" customHeight="1" x14ac:dyDescent="0.2">
      <c r="A2189" s="21"/>
      <c r="B2189" s="3" t="s">
        <v>1840</v>
      </c>
      <c r="C2189" s="23" t="s">
        <v>221</v>
      </c>
      <c r="D2189" s="21"/>
    </row>
    <row r="2190" spans="1:4" ht="12.75" customHeight="1" x14ac:dyDescent="0.2">
      <c r="A2190" s="21"/>
      <c r="B2190" s="3" t="s">
        <v>9</v>
      </c>
      <c r="C2190" s="23" t="s">
        <v>42</v>
      </c>
      <c r="D2190" s="21"/>
    </row>
    <row r="2191" spans="1:4" ht="12.75" customHeight="1" x14ac:dyDescent="0.2">
      <c r="A2191" s="21"/>
      <c r="B2191" s="3" t="s">
        <v>11</v>
      </c>
      <c r="C2191" s="23" t="s">
        <v>209</v>
      </c>
      <c r="D2191" s="21"/>
    </row>
    <row r="2192" spans="1:4" ht="12.75" customHeight="1" x14ac:dyDescent="0.2">
      <c r="A2192" s="21"/>
      <c r="B2192" s="3" t="s">
        <v>16</v>
      </c>
      <c r="C2192" s="23"/>
      <c r="D2192" s="21"/>
    </row>
    <row r="2193" spans="1:4" ht="12.75" customHeight="1" x14ac:dyDescent="0.2">
      <c r="A2193" s="21"/>
      <c r="B2193" s="3" t="s">
        <v>17</v>
      </c>
      <c r="C2193" s="23" t="s">
        <v>19</v>
      </c>
      <c r="D2193" s="21"/>
    </row>
    <row r="2194" spans="1:4" ht="12.75" customHeight="1" x14ac:dyDescent="0.2">
      <c r="A2194" s="21"/>
      <c r="B2194" s="20" t="s">
        <v>18</v>
      </c>
      <c r="C2194" s="8" t="s">
        <v>44</v>
      </c>
      <c r="D2194" s="1" t="str">
        <f>HYPERLINK("javascript:void(0)","smaragdcsizma")</f>
        <v>smaragdcsizma</v>
      </c>
    </row>
    <row r="2195" spans="1:4" ht="12.75" customHeight="1" x14ac:dyDescent="0.2">
      <c r="A2195" s="21"/>
      <c r="B2195" s="21"/>
      <c r="C2195" s="8" t="s">
        <v>494</v>
      </c>
      <c r="D2195" s="1" t="str">
        <f>HYPERLINK("javascript:void(0)","rubin")</f>
        <v>rubin</v>
      </c>
    </row>
    <row r="2196" spans="1:4" ht="12.75" customHeight="1" x14ac:dyDescent="0.2">
      <c r="A2196" s="21"/>
      <c r="B2196" s="21"/>
      <c r="C2196" s="8" t="s">
        <v>139</v>
      </c>
      <c r="D2196" s="1" t="str">
        <f>HYPERLINK("javascript:void(0)","sárkánykarom")</f>
        <v>sárkánykarom</v>
      </c>
    </row>
    <row r="2197" spans="1:4" ht="12.75" customHeight="1" x14ac:dyDescent="0.2">
      <c r="A2197" s="21"/>
      <c r="B2197" s="2"/>
      <c r="C2197" s="7"/>
      <c r="D2197" s="7"/>
    </row>
    <row r="2198" spans="1:4" ht="12.75" customHeight="1" x14ac:dyDescent="0.2">
      <c r="A2198" s="21"/>
      <c r="B2198" s="2"/>
      <c r="C2198" s="7"/>
      <c r="D2198" s="7"/>
    </row>
    <row r="2199" spans="1:4" ht="12.75" customHeight="1" x14ac:dyDescent="0.2">
      <c r="A2199" s="21"/>
      <c r="B2199" s="2"/>
      <c r="C2199" s="7"/>
      <c r="D2199" s="7"/>
    </row>
    <row r="2200" spans="1:4" ht="12.75" customHeight="1" x14ac:dyDescent="0.2">
      <c r="A2200" s="21"/>
      <c r="B2200" s="2"/>
      <c r="C2200" s="7"/>
      <c r="D2200" s="7"/>
    </row>
    <row r="2201" spans="1:4" ht="12.75" customHeight="1" x14ac:dyDescent="0.2">
      <c r="A2201" s="5"/>
      <c r="B2201" s="2"/>
      <c r="C2201" s="7"/>
      <c r="D2201" s="7"/>
    </row>
    <row r="2202" spans="1:4" ht="12.75" customHeight="1" x14ac:dyDescent="0.2">
      <c r="A2202" s="22" t="str">
        <f>HYPERLINK("javascript:void(0)","csillámgöb")</f>
        <v>csillámgöb</v>
      </c>
      <c r="B2202" s="21"/>
      <c r="C2202" s="21"/>
      <c r="D2202" s="21"/>
    </row>
    <row r="2203" spans="1:4" ht="12.75" customHeight="1" x14ac:dyDescent="0.2">
      <c r="A2203" s="20"/>
      <c r="B2203" s="2"/>
      <c r="C2203" s="7"/>
      <c r="D2203" s="7"/>
    </row>
    <row r="2204" spans="1:4" ht="12.75" customHeight="1" x14ac:dyDescent="0.2">
      <c r="A2204" s="21"/>
      <c r="B2204" s="3" t="s">
        <v>0</v>
      </c>
      <c r="C2204" s="23" t="s">
        <v>206</v>
      </c>
      <c r="D2204" s="21"/>
    </row>
    <row r="2205" spans="1:4" ht="12.75" customHeight="1" x14ac:dyDescent="0.2">
      <c r="A2205" s="21"/>
      <c r="B2205" s="3" t="s">
        <v>2</v>
      </c>
      <c r="C2205" s="23" t="s">
        <v>1839</v>
      </c>
      <c r="D2205" s="21"/>
    </row>
    <row r="2206" spans="1:4" ht="12.75" customHeight="1" x14ac:dyDescent="0.2">
      <c r="A2206" s="21"/>
      <c r="B2206" s="3" t="s">
        <v>1840</v>
      </c>
      <c r="C2206" s="23" t="s">
        <v>21</v>
      </c>
      <c r="D2206" s="21"/>
    </row>
    <row r="2207" spans="1:4" ht="12.75" customHeight="1" x14ac:dyDescent="0.2">
      <c r="A2207" s="21"/>
      <c r="B2207" s="3" t="s">
        <v>9</v>
      </c>
      <c r="C2207" s="23" t="s">
        <v>582</v>
      </c>
      <c r="D2207" s="21"/>
    </row>
    <row r="2208" spans="1:4" ht="12.75" customHeight="1" x14ac:dyDescent="0.2">
      <c r="A2208" s="21"/>
      <c r="B2208" s="3" t="s">
        <v>11</v>
      </c>
      <c r="C2208" s="23" t="s">
        <v>138</v>
      </c>
      <c r="D2208" s="21"/>
    </row>
    <row r="2209" spans="1:4" ht="12.75" customHeight="1" x14ac:dyDescent="0.2">
      <c r="A2209" s="21"/>
      <c r="B2209" s="3" t="s">
        <v>16</v>
      </c>
      <c r="C2209" s="23"/>
      <c r="D2209" s="21"/>
    </row>
    <row r="2210" spans="1:4" ht="12.75" customHeight="1" x14ac:dyDescent="0.2">
      <c r="A2210" s="21"/>
      <c r="B2210" s="3" t="s">
        <v>17</v>
      </c>
      <c r="C2210" s="23" t="s">
        <v>19</v>
      </c>
      <c r="D2210" s="21"/>
    </row>
    <row r="2211" spans="1:4" ht="12.75" customHeight="1" x14ac:dyDescent="0.2">
      <c r="A2211" s="21"/>
      <c r="B2211" s="20" t="s">
        <v>18</v>
      </c>
      <c r="C2211" s="8" t="s">
        <v>163</v>
      </c>
      <c r="D2211" s="1" t="str">
        <f>HYPERLINK("javascript:void(0)","harmatcsepp")</f>
        <v>harmatcsepp</v>
      </c>
    </row>
    <row r="2212" spans="1:4" ht="12.75" customHeight="1" x14ac:dyDescent="0.2">
      <c r="A2212" s="21"/>
      <c r="B2212" s="21"/>
      <c r="C2212" s="8" t="s">
        <v>139</v>
      </c>
      <c r="D2212" s="1" t="str">
        <f>HYPERLINK("javascript:void(0)","hínárgyöngy")</f>
        <v>hínárgyöngy</v>
      </c>
    </row>
    <row r="2213" spans="1:4" ht="12.75" customHeight="1" x14ac:dyDescent="0.2">
      <c r="A2213" s="21"/>
      <c r="B2213" s="21"/>
      <c r="C2213" s="8" t="s">
        <v>130</v>
      </c>
      <c r="D2213" s="1" t="str">
        <f>HYPERLINK("javascript:void(0)","gyémántszeg")</f>
        <v>gyémántszeg</v>
      </c>
    </row>
    <row r="2214" spans="1:4" ht="12.75" customHeight="1" x14ac:dyDescent="0.2">
      <c r="A2214" s="21"/>
      <c r="B2214" s="2"/>
      <c r="C2214" s="7"/>
      <c r="D2214" s="7"/>
    </row>
    <row r="2215" spans="1:4" ht="12.75" customHeight="1" x14ac:dyDescent="0.2">
      <c r="A2215" s="21"/>
      <c r="B2215" s="2"/>
      <c r="C2215" s="7"/>
      <c r="D2215" s="7"/>
    </row>
    <row r="2216" spans="1:4" ht="12.75" customHeight="1" x14ac:dyDescent="0.2">
      <c r="A2216" s="21"/>
      <c r="B2216" s="2"/>
      <c r="C2216" s="7"/>
      <c r="D2216" s="7"/>
    </row>
    <row r="2217" spans="1:4" ht="12.75" customHeight="1" x14ac:dyDescent="0.2">
      <c r="A2217" s="21"/>
      <c r="B2217" s="2"/>
      <c r="C2217" s="7"/>
      <c r="D2217" s="7"/>
    </row>
    <row r="2218" spans="1:4" ht="12.75" customHeight="1" x14ac:dyDescent="0.2">
      <c r="A2218" s="5"/>
      <c r="B2218" s="2"/>
      <c r="C2218" s="7"/>
      <c r="D2218" s="7"/>
    </row>
    <row r="2219" spans="1:4" ht="12.75" customHeight="1" x14ac:dyDescent="0.2">
      <c r="A2219" s="22" t="str">
        <f>HYPERLINK("javascript:void(0)","holdpajzs")</f>
        <v>holdpajzs</v>
      </c>
      <c r="B2219" s="21"/>
      <c r="C2219" s="21"/>
      <c r="D2219" s="21"/>
    </row>
    <row r="2220" spans="1:4" ht="12.75" customHeight="1" x14ac:dyDescent="0.2">
      <c r="A2220" s="20"/>
      <c r="B2220" s="2"/>
      <c r="C2220" s="7"/>
      <c r="D2220" s="7"/>
    </row>
    <row r="2221" spans="1:4" ht="12.75" customHeight="1" x14ac:dyDescent="0.2">
      <c r="A2221" s="21"/>
      <c r="B2221" s="3" t="s">
        <v>0</v>
      </c>
      <c r="C2221" s="23" t="s">
        <v>221</v>
      </c>
      <c r="D2221" s="21"/>
    </row>
    <row r="2222" spans="1:4" ht="12.75" customHeight="1" x14ac:dyDescent="0.2">
      <c r="A2222" s="21"/>
      <c r="B2222" s="3" t="s">
        <v>2</v>
      </c>
      <c r="C2222" s="23" t="s">
        <v>1839</v>
      </c>
      <c r="D2222" s="21"/>
    </row>
    <row r="2223" spans="1:4" ht="12.75" customHeight="1" x14ac:dyDescent="0.2">
      <c r="A2223" s="21"/>
      <c r="B2223" s="3" t="s">
        <v>1840</v>
      </c>
      <c r="C2223" s="23" t="s">
        <v>291</v>
      </c>
      <c r="D2223" s="21"/>
    </row>
    <row r="2224" spans="1:4" ht="12.75" customHeight="1" x14ac:dyDescent="0.2">
      <c r="A2224" s="21"/>
      <c r="B2224" s="3" t="s">
        <v>9</v>
      </c>
      <c r="C2224" s="23" t="s">
        <v>129</v>
      </c>
      <c r="D2224" s="21"/>
    </row>
    <row r="2225" spans="1:4" ht="12.75" customHeight="1" x14ac:dyDescent="0.2">
      <c r="A2225" s="21"/>
      <c r="B2225" s="3" t="s">
        <v>11</v>
      </c>
      <c r="C2225" s="23" t="s">
        <v>1964</v>
      </c>
      <c r="D2225" s="21"/>
    </row>
    <row r="2226" spans="1:4" ht="12.75" customHeight="1" x14ac:dyDescent="0.2">
      <c r="A2226" s="21"/>
      <c r="B2226" s="3" t="s">
        <v>16</v>
      </c>
      <c r="C2226" s="23"/>
      <c r="D2226" s="21"/>
    </row>
    <row r="2227" spans="1:4" ht="12.75" customHeight="1" x14ac:dyDescent="0.2">
      <c r="A2227" s="21"/>
      <c r="B2227" s="3" t="s">
        <v>17</v>
      </c>
      <c r="C2227" s="23" t="s">
        <v>19</v>
      </c>
      <c r="D2227" s="21"/>
    </row>
    <row r="2228" spans="1:4" ht="12.75" customHeight="1" x14ac:dyDescent="0.2">
      <c r="A2228" s="21"/>
      <c r="B2228" s="20" t="s">
        <v>18</v>
      </c>
      <c r="C2228" s="8" t="s">
        <v>44</v>
      </c>
      <c r="D2228" s="1" t="str">
        <f>HYPERLINK("javascript:void(0)","csillagpajzs")</f>
        <v>csillagpajzs</v>
      </c>
    </row>
    <row r="2229" spans="1:4" ht="12.75" customHeight="1" x14ac:dyDescent="0.2">
      <c r="A2229" s="21"/>
      <c r="B2229" s="21"/>
      <c r="C2229" s="8" t="s">
        <v>55</v>
      </c>
      <c r="D2229" s="1" t="str">
        <f>HYPERLINK("javascript:void(0)","gyémánt")</f>
        <v>gyémánt</v>
      </c>
    </row>
    <row r="2230" spans="1:4" ht="12.75" customHeight="1" x14ac:dyDescent="0.2">
      <c r="A2230" s="21"/>
      <c r="B2230" s="21"/>
      <c r="C2230" s="8" t="s">
        <v>56</v>
      </c>
      <c r="D2230" s="1" t="str">
        <f>HYPERLINK("javascript:void(0)","kithrill")</f>
        <v>kithrill</v>
      </c>
    </row>
    <row r="2231" spans="1:4" ht="12.75" customHeight="1" x14ac:dyDescent="0.2">
      <c r="A2231" s="21"/>
      <c r="B2231" s="2"/>
      <c r="C2231" s="7"/>
      <c r="D2231" s="7"/>
    </row>
    <row r="2232" spans="1:4" ht="12.75" customHeight="1" x14ac:dyDescent="0.2">
      <c r="A2232" s="21"/>
      <c r="B2232" s="2"/>
      <c r="C2232" s="7"/>
      <c r="D2232" s="7"/>
    </row>
    <row r="2233" spans="1:4" ht="12.75" customHeight="1" x14ac:dyDescent="0.2">
      <c r="A2233" s="21"/>
      <c r="B2233" s="2"/>
      <c r="C2233" s="7"/>
      <c r="D2233" s="7"/>
    </row>
    <row r="2234" spans="1:4" ht="12.75" customHeight="1" x14ac:dyDescent="0.2">
      <c r="A2234" s="21"/>
      <c r="B2234" s="2"/>
      <c r="C2234" s="7"/>
      <c r="D2234" s="7"/>
    </row>
    <row r="2235" spans="1:4" ht="12.75" customHeight="1" x14ac:dyDescent="0.2">
      <c r="A2235" s="5"/>
      <c r="B2235" s="2"/>
      <c r="C2235" s="7"/>
      <c r="D2235" s="7"/>
    </row>
    <row r="2236" spans="1:4" ht="12.75" customHeight="1" x14ac:dyDescent="0.2">
      <c r="A2236" s="22" t="str">
        <f>HYPERLINK("javascript:void(0)","aranycsizma")</f>
        <v>aranycsizma</v>
      </c>
      <c r="B2236" s="21"/>
      <c r="C2236" s="21"/>
      <c r="D2236" s="7"/>
    </row>
    <row r="2237" spans="1:4" ht="12.75" customHeight="1" x14ac:dyDescent="0.2">
      <c r="A2237" s="20"/>
      <c r="B2237" s="2"/>
      <c r="C2237" s="7"/>
      <c r="D2237" s="7"/>
    </row>
    <row r="2238" spans="1:4" ht="12.75" customHeight="1" x14ac:dyDescent="0.2">
      <c r="A2238" s="21"/>
      <c r="B2238" s="3" t="s">
        <v>0</v>
      </c>
      <c r="C2238" s="9" t="s">
        <v>221</v>
      </c>
      <c r="D2238" s="7"/>
    </row>
    <row r="2239" spans="1:4" ht="12.75" customHeight="1" x14ac:dyDescent="0.2">
      <c r="A2239" s="21"/>
      <c r="B2239" s="3" t="s">
        <v>2</v>
      </c>
      <c r="C2239" s="9"/>
      <c r="D2239" s="7"/>
    </row>
    <row r="2240" spans="1:4" ht="12.75" customHeight="1" x14ac:dyDescent="0.2">
      <c r="A2240" s="21"/>
      <c r="B2240" s="3" t="s">
        <v>1840</v>
      </c>
      <c r="C2240" s="9" t="s">
        <v>157</v>
      </c>
      <c r="D2240" s="7"/>
    </row>
    <row r="2241" spans="1:4" ht="12.75" customHeight="1" x14ac:dyDescent="0.2">
      <c r="A2241" s="21"/>
      <c r="B2241" s="3" t="s">
        <v>9</v>
      </c>
      <c r="C2241" s="9" t="s">
        <v>573</v>
      </c>
      <c r="D2241" s="7"/>
    </row>
    <row r="2242" spans="1:4" ht="25.5" customHeight="1" x14ac:dyDescent="0.2">
      <c r="A2242" s="21"/>
      <c r="B2242" s="3" t="s">
        <v>11</v>
      </c>
      <c r="C2242" s="9" t="s">
        <v>1908</v>
      </c>
      <c r="D2242" s="7"/>
    </row>
    <row r="2243" spans="1:4" ht="12.75" customHeight="1" x14ac:dyDescent="0.2">
      <c r="A2243" s="21"/>
      <c r="B2243" s="3" t="s">
        <v>16</v>
      </c>
      <c r="C2243" s="9"/>
      <c r="D2243" s="7"/>
    </row>
    <row r="2244" spans="1:4" ht="12.75" customHeight="1" x14ac:dyDescent="0.2">
      <c r="A2244" s="21"/>
      <c r="B2244" s="3" t="s">
        <v>17</v>
      </c>
      <c r="C2244" s="9" t="s">
        <v>19</v>
      </c>
      <c r="D2244" s="7"/>
    </row>
    <row r="2245" spans="1:4" ht="12.75" customHeight="1" x14ac:dyDescent="0.2">
      <c r="A2245" s="21"/>
      <c r="B2245" s="3" t="s">
        <v>18</v>
      </c>
      <c r="C2245" s="8" t="s">
        <v>19</v>
      </c>
      <c r="D2245" s="7"/>
    </row>
    <row r="2246" spans="1:4" ht="12.75" customHeight="1" x14ac:dyDescent="0.2">
      <c r="A2246" s="21"/>
      <c r="B2246" s="2"/>
      <c r="C2246" s="7"/>
      <c r="D2246" s="7"/>
    </row>
    <row r="2247" spans="1:4" ht="12.75" customHeight="1" x14ac:dyDescent="0.2">
      <c r="A2247" s="21"/>
      <c r="B2247" s="2"/>
      <c r="C2247" s="7"/>
      <c r="D2247" s="7"/>
    </row>
    <row r="2248" spans="1:4" ht="12.75" customHeight="1" x14ac:dyDescent="0.2">
      <c r="A2248" s="21"/>
      <c r="B2248" s="2"/>
      <c r="C2248" s="7"/>
      <c r="D2248" s="7"/>
    </row>
    <row r="2249" spans="1:4" ht="12.75" customHeight="1" x14ac:dyDescent="0.2">
      <c r="A2249" s="21"/>
      <c r="B2249" s="2"/>
      <c r="C2249" s="7"/>
      <c r="D2249" s="7"/>
    </row>
    <row r="2250" spans="1:4" ht="12.75" customHeight="1" x14ac:dyDescent="0.2">
      <c r="A2250" s="5"/>
      <c r="B2250" s="2"/>
      <c r="C2250" s="7"/>
      <c r="D2250" s="7"/>
    </row>
    <row r="2251" spans="1:4" ht="12.75" customHeight="1" x14ac:dyDescent="0.2">
      <c r="A2251" s="22" t="str">
        <f>HYPERLINK("javascript:void(0)","gyémánt testpajzs")</f>
        <v>gyémánt testpajzs</v>
      </c>
      <c r="B2251" s="21"/>
      <c r="C2251" s="21"/>
      <c r="D2251" s="21"/>
    </row>
    <row r="2252" spans="1:4" ht="12.75" customHeight="1" x14ac:dyDescent="0.2">
      <c r="A2252" s="20"/>
      <c r="B2252" s="2"/>
      <c r="C2252" s="7"/>
      <c r="D2252" s="7"/>
    </row>
    <row r="2253" spans="1:4" ht="12.75" customHeight="1" x14ac:dyDescent="0.2">
      <c r="A2253" s="21"/>
      <c r="B2253" s="3" t="s">
        <v>0</v>
      </c>
      <c r="C2253" s="23" t="s">
        <v>221</v>
      </c>
      <c r="D2253" s="21"/>
    </row>
    <row r="2254" spans="1:4" ht="12.75" customHeight="1" x14ac:dyDescent="0.2">
      <c r="A2254" s="21"/>
      <c r="B2254" s="3" t="s">
        <v>2</v>
      </c>
      <c r="C2254" s="23" t="s">
        <v>1839</v>
      </c>
      <c r="D2254" s="21"/>
    </row>
    <row r="2255" spans="1:4" ht="12.75" customHeight="1" x14ac:dyDescent="0.2">
      <c r="A2255" s="21"/>
      <c r="B2255" s="3" t="s">
        <v>1840</v>
      </c>
      <c r="C2255" s="23" t="s">
        <v>298</v>
      </c>
      <c r="D2255" s="21"/>
    </row>
    <row r="2256" spans="1:4" ht="12.75" customHeight="1" x14ac:dyDescent="0.2">
      <c r="A2256" s="21"/>
      <c r="B2256" s="3" t="s">
        <v>9</v>
      </c>
      <c r="C2256" s="23" t="s">
        <v>549</v>
      </c>
      <c r="D2256" s="21"/>
    </row>
    <row r="2257" spans="1:4" ht="12.75" customHeight="1" x14ac:dyDescent="0.2">
      <c r="A2257" s="21"/>
      <c r="B2257" s="3" t="s">
        <v>11</v>
      </c>
      <c r="C2257" s="23" t="s">
        <v>1967</v>
      </c>
      <c r="D2257" s="21"/>
    </row>
    <row r="2258" spans="1:4" ht="12.75" customHeight="1" x14ac:dyDescent="0.2">
      <c r="A2258" s="21"/>
      <c r="B2258" s="3" t="s">
        <v>16</v>
      </c>
      <c r="C2258" s="23"/>
      <c r="D2258" s="21"/>
    </row>
    <row r="2259" spans="1:4" ht="12.75" customHeight="1" x14ac:dyDescent="0.2">
      <c r="A2259" s="21"/>
      <c r="B2259" s="3" t="s">
        <v>17</v>
      </c>
      <c r="C2259" s="23" t="s">
        <v>19</v>
      </c>
      <c r="D2259" s="21"/>
    </row>
    <row r="2260" spans="1:4" ht="12.75" customHeight="1" x14ac:dyDescent="0.2">
      <c r="A2260" s="21"/>
      <c r="B2260" s="20" t="s">
        <v>18</v>
      </c>
      <c r="C2260" s="8" t="s">
        <v>44</v>
      </c>
      <c r="D2260" s="1" t="str">
        <f>HYPERLINK("javascript:void(0)","smaragd testpajzs")</f>
        <v>smaragd testpajzs</v>
      </c>
    </row>
    <row r="2261" spans="1:4" ht="12.75" customHeight="1" x14ac:dyDescent="0.2">
      <c r="A2261" s="21"/>
      <c r="B2261" s="21"/>
      <c r="C2261" s="8" t="s">
        <v>55</v>
      </c>
      <c r="D2261" s="1" t="str">
        <f>HYPERLINK("javascript:void(0)","gyémánt")</f>
        <v>gyémánt</v>
      </c>
    </row>
    <row r="2262" spans="1:4" ht="12.75" customHeight="1" x14ac:dyDescent="0.2">
      <c r="A2262" s="21"/>
      <c r="B2262" s="21"/>
      <c r="C2262" s="8" t="s">
        <v>44</v>
      </c>
      <c r="D2262" s="1" t="str">
        <f>HYPERLINK("javascript:void(0)","kithrill")</f>
        <v>kithrill</v>
      </c>
    </row>
    <row r="2263" spans="1:4" ht="12.75" customHeight="1" x14ac:dyDescent="0.2">
      <c r="A2263" s="21"/>
      <c r="B2263" s="2"/>
      <c r="C2263" s="7"/>
      <c r="D2263" s="7"/>
    </row>
    <row r="2264" spans="1:4" ht="12.75" customHeight="1" x14ac:dyDescent="0.2">
      <c r="A2264" s="21"/>
      <c r="B2264" s="2"/>
      <c r="C2264" s="7"/>
      <c r="D2264" s="7"/>
    </row>
    <row r="2265" spans="1:4" ht="12.75" customHeight="1" x14ac:dyDescent="0.2">
      <c r="A2265" s="21"/>
      <c r="B2265" s="2"/>
      <c r="C2265" s="7"/>
      <c r="D2265" s="7"/>
    </row>
    <row r="2266" spans="1:4" ht="12.75" customHeight="1" x14ac:dyDescent="0.2">
      <c r="A2266" s="21"/>
      <c r="B2266" s="2"/>
      <c r="C2266" s="7"/>
      <c r="D2266" s="7"/>
    </row>
    <row r="2267" spans="1:4" ht="12.75" customHeight="1" x14ac:dyDescent="0.2">
      <c r="A2267" s="5"/>
      <c r="B2267" s="2"/>
      <c r="C2267" s="7"/>
      <c r="D2267" s="7"/>
    </row>
    <row r="2268" spans="1:4" ht="12.75" customHeight="1" x14ac:dyDescent="0.2">
      <c r="A2268" s="22" t="str">
        <f>HYPERLINK("javascript:void(0)","kallandra fog")</f>
        <v>kallandra fog</v>
      </c>
      <c r="B2268" s="21"/>
      <c r="C2268" s="21"/>
      <c r="D2268" s="21"/>
    </row>
    <row r="2269" spans="1:4" ht="12.75" customHeight="1" x14ac:dyDescent="0.2">
      <c r="A2269" s="20"/>
      <c r="B2269" s="2"/>
      <c r="C2269" s="7"/>
      <c r="D2269" s="7"/>
    </row>
    <row r="2270" spans="1:4" ht="12.75" customHeight="1" x14ac:dyDescent="0.2">
      <c r="A2270" s="21"/>
      <c r="B2270" s="3" t="s">
        <v>0</v>
      </c>
      <c r="C2270" s="23" t="s">
        <v>221</v>
      </c>
      <c r="D2270" s="21"/>
    </row>
    <row r="2271" spans="1:4" ht="12.75" customHeight="1" x14ac:dyDescent="0.2">
      <c r="A2271" s="21"/>
      <c r="B2271" s="3" t="s">
        <v>2</v>
      </c>
      <c r="C2271" s="23" t="s">
        <v>1839</v>
      </c>
      <c r="D2271" s="21"/>
    </row>
    <row r="2272" spans="1:4" ht="12.75" customHeight="1" x14ac:dyDescent="0.2">
      <c r="A2272" s="21"/>
      <c r="B2272" s="3" t="s">
        <v>1840</v>
      </c>
      <c r="C2272" s="23" t="s">
        <v>21</v>
      </c>
      <c r="D2272" s="21"/>
    </row>
    <row r="2273" spans="1:4" ht="12.75" customHeight="1" x14ac:dyDescent="0.2">
      <c r="A2273" s="21"/>
      <c r="B2273" s="3" t="s">
        <v>9</v>
      </c>
      <c r="C2273" s="23" t="s">
        <v>42</v>
      </c>
      <c r="D2273" s="21"/>
    </row>
    <row r="2274" spans="1:4" ht="12.75" customHeight="1" x14ac:dyDescent="0.2">
      <c r="A2274" s="21"/>
      <c r="B2274" s="3" t="s">
        <v>11</v>
      </c>
      <c r="C2274" s="23" t="s">
        <v>486</v>
      </c>
      <c r="D2274" s="21"/>
    </row>
    <row r="2275" spans="1:4" ht="12.75" customHeight="1" x14ac:dyDescent="0.2">
      <c r="A2275" s="21"/>
      <c r="B2275" s="3" t="s">
        <v>16</v>
      </c>
      <c r="C2275" s="23"/>
      <c r="D2275" s="21"/>
    </row>
    <row r="2276" spans="1:4" ht="12.75" customHeight="1" x14ac:dyDescent="0.2">
      <c r="A2276" s="21"/>
      <c r="B2276" s="3" t="s">
        <v>17</v>
      </c>
      <c r="C2276" s="23" t="s">
        <v>19</v>
      </c>
      <c r="D2276" s="21"/>
    </row>
    <row r="2277" spans="1:4" ht="12.75" customHeight="1" x14ac:dyDescent="0.2">
      <c r="A2277" s="21"/>
      <c r="B2277" s="20" t="s">
        <v>18</v>
      </c>
      <c r="C2277" s="8" t="s">
        <v>57</v>
      </c>
      <c r="D2277" s="1" t="str">
        <f>HYPERLINK("javascript:void(0)","sárkányfog")</f>
        <v>sárkányfog</v>
      </c>
    </row>
    <row r="2278" spans="1:4" ht="12.75" customHeight="1" x14ac:dyDescent="0.2">
      <c r="A2278" s="21"/>
      <c r="B2278" s="21"/>
      <c r="C2278" s="8" t="s">
        <v>77</v>
      </c>
      <c r="D2278" s="1" t="str">
        <f>HYPERLINK("javascript:void(0)","sárkánypikkely")</f>
        <v>sárkánypikkely</v>
      </c>
    </row>
    <row r="2279" spans="1:4" ht="12.75" customHeight="1" x14ac:dyDescent="0.2">
      <c r="A2279" s="21"/>
      <c r="B2279" s="21"/>
      <c r="C2279" s="8" t="s">
        <v>44</v>
      </c>
      <c r="D2279" s="1" t="str">
        <f>HYPERLINK("javascript:void(0)","sárkány szarv")</f>
        <v>sárkány szarv</v>
      </c>
    </row>
    <row r="2280" spans="1:4" ht="12.75" customHeight="1" x14ac:dyDescent="0.2">
      <c r="A2280" s="21"/>
      <c r="B2280" s="2"/>
      <c r="C2280" s="7"/>
      <c r="D2280" s="7"/>
    </row>
    <row r="2281" spans="1:4" ht="12.75" customHeight="1" x14ac:dyDescent="0.2">
      <c r="A2281" s="21"/>
      <c r="B2281" s="2"/>
      <c r="C2281" s="7"/>
      <c r="D2281" s="7"/>
    </row>
    <row r="2282" spans="1:4" ht="12.75" customHeight="1" x14ac:dyDescent="0.2">
      <c r="A2282" s="21"/>
      <c r="B2282" s="2"/>
      <c r="C2282" s="7"/>
      <c r="D2282" s="7"/>
    </row>
    <row r="2283" spans="1:4" ht="12.75" customHeight="1" x14ac:dyDescent="0.2">
      <c r="A2283" s="21"/>
      <c r="B2283" s="2"/>
      <c r="C2283" s="7"/>
      <c r="D2283" s="7"/>
    </row>
    <row r="2284" spans="1:4" ht="12.75" customHeight="1" x14ac:dyDescent="0.2">
      <c r="A2284" s="5"/>
      <c r="B2284" s="2"/>
      <c r="C2284" s="7"/>
      <c r="D2284" s="7"/>
    </row>
    <row r="2285" spans="1:4" ht="12.75" customHeight="1" x14ac:dyDescent="0.2">
      <c r="A2285" s="22" t="str">
        <f>HYPERLINK("javascript:void(0)","rúna pajzs")</f>
        <v>rúna pajzs</v>
      </c>
      <c r="B2285" s="21"/>
      <c r="C2285" s="21"/>
      <c r="D2285" s="21"/>
    </row>
    <row r="2286" spans="1:4" ht="12.75" customHeight="1" x14ac:dyDescent="0.2">
      <c r="A2286" s="20"/>
      <c r="B2286" s="2"/>
      <c r="C2286" s="7"/>
      <c r="D2286" s="7"/>
    </row>
    <row r="2287" spans="1:4" ht="12.75" customHeight="1" x14ac:dyDescent="0.2">
      <c r="A2287" s="21"/>
      <c r="B2287" s="3" t="s">
        <v>0</v>
      </c>
      <c r="C2287" s="23" t="s">
        <v>221</v>
      </c>
      <c r="D2287" s="21"/>
    </row>
    <row r="2288" spans="1:4" ht="12.75" customHeight="1" x14ac:dyDescent="0.2">
      <c r="A2288" s="21"/>
      <c r="B2288" s="3" t="s">
        <v>2</v>
      </c>
      <c r="C2288" s="23" t="s">
        <v>1839</v>
      </c>
      <c r="D2288" s="21"/>
    </row>
    <row r="2289" spans="1:4" ht="12.75" customHeight="1" x14ac:dyDescent="0.2">
      <c r="A2289" s="21"/>
      <c r="B2289" s="3" t="s">
        <v>1840</v>
      </c>
      <c r="C2289" s="23" t="s">
        <v>298</v>
      </c>
      <c r="D2289" s="21"/>
    </row>
    <row r="2290" spans="1:4" ht="12.75" customHeight="1" x14ac:dyDescent="0.2">
      <c r="A2290" s="21"/>
      <c r="B2290" s="3" t="s">
        <v>9</v>
      </c>
      <c r="C2290" s="23" t="s">
        <v>317</v>
      </c>
      <c r="D2290" s="21"/>
    </row>
    <row r="2291" spans="1:4" ht="12.75" customHeight="1" x14ac:dyDescent="0.2">
      <c r="A2291" s="21"/>
      <c r="B2291" s="3" t="s">
        <v>11</v>
      </c>
      <c r="C2291" s="23" t="s">
        <v>1021</v>
      </c>
      <c r="D2291" s="21"/>
    </row>
    <row r="2292" spans="1:4" ht="12.75" customHeight="1" x14ac:dyDescent="0.2">
      <c r="A2292" s="21"/>
      <c r="B2292" s="3" t="s">
        <v>16</v>
      </c>
      <c r="C2292" s="23"/>
      <c r="D2292" s="21"/>
    </row>
    <row r="2293" spans="1:4" ht="12.75" customHeight="1" x14ac:dyDescent="0.2">
      <c r="A2293" s="21"/>
      <c r="B2293" s="3" t="s">
        <v>17</v>
      </c>
      <c r="C2293" s="23" t="s">
        <v>19</v>
      </c>
      <c r="D2293" s="21"/>
    </row>
    <row r="2294" spans="1:4" ht="12.75" customHeight="1" x14ac:dyDescent="0.2">
      <c r="A2294" s="21"/>
      <c r="B2294" s="20" t="s">
        <v>18</v>
      </c>
      <c r="C2294" s="8" t="s">
        <v>67</v>
      </c>
      <c r="D2294" s="1" t="str">
        <f>HYPERLINK("javascript:void(0)","ezüstagyar")</f>
        <v>ezüstagyar</v>
      </c>
    </row>
    <row r="2295" spans="1:4" ht="12.75" customHeight="1" x14ac:dyDescent="0.2">
      <c r="A2295" s="21"/>
      <c r="B2295" s="21"/>
      <c r="C2295" s="8" t="s">
        <v>316</v>
      </c>
      <c r="D2295" s="1" t="str">
        <f>HYPERLINK("javascript:void(0)","kristályfolyadék")</f>
        <v>kristályfolyadék</v>
      </c>
    </row>
    <row r="2296" spans="1:4" ht="12.75" customHeight="1" x14ac:dyDescent="0.2">
      <c r="A2296" s="21"/>
      <c r="B2296" s="21"/>
      <c r="C2296" s="8" t="s">
        <v>56</v>
      </c>
      <c r="D2296" s="1" t="str">
        <f>HYPERLINK("javascript:void(0)","hiperium")</f>
        <v>hiperium</v>
      </c>
    </row>
    <row r="2297" spans="1:4" ht="12.75" customHeight="1" x14ac:dyDescent="0.2">
      <c r="A2297" s="21"/>
      <c r="B2297" s="2"/>
      <c r="C2297" s="7"/>
      <c r="D2297" s="7"/>
    </row>
    <row r="2298" spans="1:4" ht="12.75" customHeight="1" x14ac:dyDescent="0.2">
      <c r="A2298" s="21"/>
      <c r="B2298" s="2"/>
      <c r="C2298" s="7"/>
      <c r="D2298" s="7"/>
    </row>
    <row r="2299" spans="1:4" ht="12.75" customHeight="1" x14ac:dyDescent="0.2">
      <c r="A2299" s="21"/>
      <c r="B2299" s="2"/>
      <c r="C2299" s="7"/>
      <c r="D2299" s="7"/>
    </row>
    <row r="2300" spans="1:4" ht="12.75" customHeight="1" x14ac:dyDescent="0.2">
      <c r="A2300" s="21"/>
      <c r="B2300" s="2"/>
      <c r="C2300" s="7"/>
      <c r="D2300" s="7"/>
    </row>
    <row r="2301" spans="1:4" ht="12.75" customHeight="1" x14ac:dyDescent="0.2">
      <c r="A2301" s="5"/>
      <c r="B2301" s="2"/>
      <c r="C2301" s="7"/>
      <c r="D2301" s="7"/>
    </row>
    <row r="2302" spans="1:4" ht="12.75" customHeight="1" x14ac:dyDescent="0.2">
      <c r="A2302" s="22" t="str">
        <f>HYPERLINK("javascript:void(0)","centro sisak")</f>
        <v>centro sisak</v>
      </c>
      <c r="B2302" s="21"/>
      <c r="C2302" s="21"/>
      <c r="D2302" s="21"/>
    </row>
    <row r="2303" spans="1:4" ht="12.75" customHeight="1" x14ac:dyDescent="0.2">
      <c r="A2303" s="20"/>
      <c r="B2303" s="2"/>
      <c r="C2303" s="7"/>
      <c r="D2303" s="7"/>
    </row>
    <row r="2304" spans="1:4" ht="12.75" customHeight="1" x14ac:dyDescent="0.2">
      <c r="A2304" s="21"/>
      <c r="B2304" s="3" t="s">
        <v>0</v>
      </c>
      <c r="C2304" s="23" t="s">
        <v>221</v>
      </c>
      <c r="D2304" s="21"/>
    </row>
    <row r="2305" spans="1:4" ht="12.75" customHeight="1" x14ac:dyDescent="0.2">
      <c r="A2305" s="21"/>
      <c r="B2305" s="3" t="s">
        <v>2</v>
      </c>
      <c r="C2305" s="23"/>
      <c r="D2305" s="21"/>
    </row>
    <row r="2306" spans="1:4" ht="12.75" customHeight="1" x14ac:dyDescent="0.2">
      <c r="A2306" s="21"/>
      <c r="B2306" s="3" t="s">
        <v>1840</v>
      </c>
      <c r="C2306" s="23" t="s">
        <v>206</v>
      </c>
      <c r="D2306" s="21"/>
    </row>
    <row r="2307" spans="1:4" ht="12.75" customHeight="1" x14ac:dyDescent="0.2">
      <c r="A2307" s="21"/>
      <c r="B2307" s="3" t="s">
        <v>9</v>
      </c>
      <c r="C2307" s="23" t="s">
        <v>573</v>
      </c>
      <c r="D2307" s="21"/>
    </row>
    <row r="2308" spans="1:4" ht="12.75" customHeight="1" x14ac:dyDescent="0.2">
      <c r="A2308" s="21"/>
      <c r="B2308" s="3" t="s">
        <v>11</v>
      </c>
      <c r="C2308" s="23" t="s">
        <v>227</v>
      </c>
      <c r="D2308" s="21"/>
    </row>
    <row r="2309" spans="1:4" ht="12.75" customHeight="1" x14ac:dyDescent="0.2">
      <c r="A2309" s="21"/>
      <c r="B2309" s="3" t="s">
        <v>16</v>
      </c>
      <c r="C2309" s="23"/>
      <c r="D2309" s="21"/>
    </row>
    <row r="2310" spans="1:4" ht="12.75" customHeight="1" x14ac:dyDescent="0.2">
      <c r="A2310" s="21"/>
      <c r="B2310" s="3" t="s">
        <v>17</v>
      </c>
      <c r="C2310" s="23" t="s">
        <v>19</v>
      </c>
      <c r="D2310" s="21"/>
    </row>
    <row r="2311" spans="1:4" ht="12.75" customHeight="1" x14ac:dyDescent="0.2">
      <c r="A2311" s="21"/>
      <c r="B2311" s="20" t="s">
        <v>18</v>
      </c>
      <c r="C2311" s="8" t="s">
        <v>44</v>
      </c>
      <c r="D2311" s="1" t="str">
        <f>HYPERLINK("javascript:void(0)","kithrill sisak")</f>
        <v>kithrill sisak</v>
      </c>
    </row>
    <row r="2312" spans="1:4" ht="12.75" customHeight="1" x14ac:dyDescent="0.2">
      <c r="A2312" s="21"/>
      <c r="B2312" s="21"/>
      <c r="C2312" s="8" t="s">
        <v>67</v>
      </c>
      <c r="D2312" s="1" t="str">
        <f>HYPERLINK("javascript:void(0)","centrolium")</f>
        <v>centrolium</v>
      </c>
    </row>
    <row r="2313" spans="1:4" ht="12.75" customHeight="1" x14ac:dyDescent="0.2">
      <c r="A2313" s="21"/>
      <c r="B2313" s="21"/>
      <c r="C2313" s="8" t="s">
        <v>67</v>
      </c>
      <c r="D2313" s="1" t="str">
        <f>HYPERLINK("javascript:void(0)","gyémánt")</f>
        <v>gyémánt</v>
      </c>
    </row>
    <row r="2314" spans="1:4" ht="12.75" customHeight="1" x14ac:dyDescent="0.2">
      <c r="A2314" s="21"/>
      <c r="B2314" s="2"/>
      <c r="C2314" s="7"/>
      <c r="D2314" s="7"/>
    </row>
    <row r="2315" spans="1:4" ht="12.75" customHeight="1" x14ac:dyDescent="0.2">
      <c r="A2315" s="21"/>
      <c r="B2315" s="2"/>
      <c r="C2315" s="7"/>
      <c r="D2315" s="7"/>
    </row>
    <row r="2316" spans="1:4" ht="12.75" customHeight="1" x14ac:dyDescent="0.2">
      <c r="A2316" s="21"/>
      <c r="B2316" s="2"/>
      <c r="C2316" s="7"/>
      <c r="D2316" s="7"/>
    </row>
    <row r="2317" spans="1:4" ht="12.75" customHeight="1" x14ac:dyDescent="0.2">
      <c r="A2317" s="21"/>
      <c r="B2317" s="2"/>
      <c r="C2317" s="7"/>
      <c r="D2317" s="7"/>
    </row>
    <row r="2318" spans="1:4" ht="12.75" customHeight="1" x14ac:dyDescent="0.2">
      <c r="A2318" s="5"/>
      <c r="B2318" s="2"/>
      <c r="C2318" s="7"/>
      <c r="D2318" s="7"/>
    </row>
    <row r="2319" spans="1:4" ht="12.75" customHeight="1" x14ac:dyDescent="0.2">
      <c r="A2319" s="22" t="str">
        <f>HYPERLINK("javascript:void(0)","gyémántpáncél")</f>
        <v>gyémántpáncél</v>
      </c>
      <c r="B2319" s="21"/>
      <c r="C2319" s="21"/>
      <c r="D2319" s="21"/>
    </row>
    <row r="2320" spans="1:4" ht="12.75" customHeight="1" x14ac:dyDescent="0.2">
      <c r="A2320" s="20"/>
      <c r="B2320" s="2"/>
      <c r="C2320" s="7"/>
      <c r="D2320" s="7"/>
    </row>
    <row r="2321" spans="1:4" ht="12.75" customHeight="1" x14ac:dyDescent="0.2">
      <c r="A2321" s="21"/>
      <c r="B2321" s="3" t="s">
        <v>0</v>
      </c>
      <c r="C2321" s="23" t="s">
        <v>221</v>
      </c>
      <c r="D2321" s="21"/>
    </row>
    <row r="2322" spans="1:4" ht="12.75" customHeight="1" x14ac:dyDescent="0.2">
      <c r="A2322" s="21"/>
      <c r="B2322" s="3" t="s">
        <v>2</v>
      </c>
      <c r="C2322" s="23" t="s">
        <v>2322</v>
      </c>
      <c r="D2322" s="21"/>
    </row>
    <row r="2323" spans="1:4" ht="12.75" customHeight="1" x14ac:dyDescent="0.2">
      <c r="A2323" s="21"/>
      <c r="B2323" s="3" t="s">
        <v>1840</v>
      </c>
      <c r="C2323" s="23" t="s">
        <v>385</v>
      </c>
      <c r="D2323" s="21"/>
    </row>
    <row r="2324" spans="1:4" ht="12.75" customHeight="1" x14ac:dyDescent="0.2">
      <c r="A2324" s="21"/>
      <c r="B2324" s="3" t="s">
        <v>9</v>
      </c>
      <c r="C2324" s="23" t="s">
        <v>343</v>
      </c>
      <c r="D2324" s="21"/>
    </row>
    <row r="2325" spans="1:4" ht="12.75" customHeight="1" x14ac:dyDescent="0.2">
      <c r="A2325" s="21"/>
      <c r="B2325" s="3" t="s">
        <v>11</v>
      </c>
      <c r="C2325" s="23" t="s">
        <v>89</v>
      </c>
      <c r="D2325" s="21"/>
    </row>
    <row r="2326" spans="1:4" ht="12.75" customHeight="1" x14ac:dyDescent="0.2">
      <c r="A2326" s="21"/>
      <c r="B2326" s="3" t="s">
        <v>16</v>
      </c>
      <c r="C2326" s="23"/>
      <c r="D2326" s="21"/>
    </row>
    <row r="2327" spans="1:4" ht="12.75" customHeight="1" x14ac:dyDescent="0.2">
      <c r="A2327" s="21"/>
      <c r="B2327" s="3" t="s">
        <v>17</v>
      </c>
      <c r="C2327" s="23" t="s">
        <v>19</v>
      </c>
      <c r="D2327" s="21"/>
    </row>
    <row r="2328" spans="1:4" ht="12.75" customHeight="1" x14ac:dyDescent="0.2">
      <c r="A2328" s="21"/>
      <c r="B2328" s="20" t="s">
        <v>18</v>
      </c>
      <c r="C2328" s="8" t="s">
        <v>139</v>
      </c>
      <c r="D2328" s="1" t="str">
        <f>HYPERLINK("javascript:void(0)","gyémánt")</f>
        <v>gyémánt</v>
      </c>
    </row>
    <row r="2329" spans="1:4" ht="12.75" customHeight="1" x14ac:dyDescent="0.2">
      <c r="A2329" s="21"/>
      <c r="B2329" s="21"/>
      <c r="C2329" s="8" t="s">
        <v>44</v>
      </c>
      <c r="D2329" s="1" t="str">
        <f>HYPERLINK("javascript:void(0)","gyémánt láncing")</f>
        <v>gyémánt láncing</v>
      </c>
    </row>
    <row r="2330" spans="1:4" ht="12.75" customHeight="1" x14ac:dyDescent="0.2">
      <c r="A2330" s="21"/>
      <c r="B2330" s="21"/>
      <c r="C2330" s="8" t="s">
        <v>139</v>
      </c>
      <c r="D2330" s="1" t="str">
        <f>HYPERLINK("javascript:void(0)","kallandra fog")</f>
        <v>kallandra fog</v>
      </c>
    </row>
    <row r="2331" spans="1:4" ht="12.75" customHeight="1" x14ac:dyDescent="0.2">
      <c r="A2331" s="21"/>
      <c r="B2331" s="2"/>
      <c r="C2331" s="7"/>
      <c r="D2331" s="7"/>
    </row>
    <row r="2332" spans="1:4" ht="12.75" customHeight="1" x14ac:dyDescent="0.2">
      <c r="A2332" s="21"/>
      <c r="B2332" s="2"/>
      <c r="C2332" s="7"/>
      <c r="D2332" s="7"/>
    </row>
    <row r="2333" spans="1:4" ht="12.75" customHeight="1" x14ac:dyDescent="0.2">
      <c r="A2333" s="21"/>
      <c r="B2333" s="2"/>
      <c r="C2333" s="7"/>
      <c r="D2333" s="7"/>
    </row>
    <row r="2334" spans="1:4" ht="12.75" customHeight="1" x14ac:dyDescent="0.2">
      <c r="A2334" s="21"/>
      <c r="B2334" s="2"/>
      <c r="C2334" s="7"/>
      <c r="D2334" s="7"/>
    </row>
    <row r="2335" spans="1:4" ht="12.75" customHeight="1" x14ac:dyDescent="0.2">
      <c r="A2335" s="5"/>
      <c r="B2335" s="2"/>
      <c r="C2335" s="7"/>
      <c r="D2335" s="7"/>
    </row>
    <row r="2336" spans="1:4" ht="12.75" customHeight="1" x14ac:dyDescent="0.2">
      <c r="A2336" s="22" t="str">
        <f>HYPERLINK("javascript:void(0)","csillagpajzs")</f>
        <v>csillagpajzs</v>
      </c>
      <c r="B2336" s="21"/>
      <c r="C2336" s="21"/>
      <c r="D2336" s="21"/>
    </row>
    <row r="2337" spans="1:4" ht="12.75" customHeight="1" x14ac:dyDescent="0.2">
      <c r="A2337" s="20"/>
      <c r="B2337" s="2"/>
      <c r="C2337" s="7"/>
      <c r="D2337" s="7"/>
    </row>
    <row r="2338" spans="1:4" ht="12.75" customHeight="1" x14ac:dyDescent="0.2">
      <c r="A2338" s="21"/>
      <c r="B2338" s="3" t="s">
        <v>0</v>
      </c>
      <c r="C2338" s="23" t="s">
        <v>157</v>
      </c>
      <c r="D2338" s="21"/>
    </row>
    <row r="2339" spans="1:4" ht="12.75" customHeight="1" x14ac:dyDescent="0.2">
      <c r="A2339" s="21"/>
      <c r="B2339" s="3" t="s">
        <v>2</v>
      </c>
      <c r="C2339" s="23" t="s">
        <v>1839</v>
      </c>
      <c r="D2339" s="21"/>
    </row>
    <row r="2340" spans="1:4" ht="12.75" customHeight="1" x14ac:dyDescent="0.2">
      <c r="A2340" s="21"/>
      <c r="B2340" s="3" t="s">
        <v>1840</v>
      </c>
      <c r="C2340" s="23" t="s">
        <v>187</v>
      </c>
      <c r="D2340" s="21"/>
    </row>
    <row r="2341" spans="1:4" ht="12.75" customHeight="1" x14ac:dyDescent="0.2">
      <c r="A2341" s="21"/>
      <c r="B2341" s="3" t="s">
        <v>9</v>
      </c>
      <c r="C2341" s="23" t="s">
        <v>1673</v>
      </c>
      <c r="D2341" s="21"/>
    </row>
    <row r="2342" spans="1:4" ht="12.75" customHeight="1" x14ac:dyDescent="0.2">
      <c r="A2342" s="21"/>
      <c r="B2342" s="3" t="s">
        <v>11</v>
      </c>
      <c r="C2342" s="23" t="s">
        <v>589</v>
      </c>
      <c r="D2342" s="21"/>
    </row>
    <row r="2343" spans="1:4" ht="12.75" customHeight="1" x14ac:dyDescent="0.2">
      <c r="A2343" s="21"/>
      <c r="B2343" s="3" t="s">
        <v>16</v>
      </c>
      <c r="C2343" s="23"/>
      <c r="D2343" s="21"/>
    </row>
    <row r="2344" spans="1:4" ht="12.75" customHeight="1" x14ac:dyDescent="0.2">
      <c r="A2344" s="21"/>
      <c r="B2344" s="3" t="s">
        <v>17</v>
      </c>
      <c r="C2344" s="23" t="s">
        <v>19</v>
      </c>
      <c r="D2344" s="21"/>
    </row>
    <row r="2345" spans="1:4" ht="12.75" customHeight="1" x14ac:dyDescent="0.2">
      <c r="A2345" s="21"/>
      <c r="B2345" s="20" t="s">
        <v>18</v>
      </c>
      <c r="C2345" s="8" t="s">
        <v>44</v>
      </c>
      <c r="D2345" s="1" t="str">
        <f>HYPERLINK("javascript:void(0)","gyémántpajzs")</f>
        <v>gyémántpajzs</v>
      </c>
    </row>
    <row r="2346" spans="1:4" ht="12.75" customHeight="1" x14ac:dyDescent="0.2">
      <c r="A2346" s="21"/>
      <c r="B2346" s="21"/>
      <c r="C2346" s="8" t="s">
        <v>56</v>
      </c>
      <c r="D2346" s="1" t="str">
        <f>HYPERLINK("javascript:void(0)","diszprózium")</f>
        <v>diszprózium</v>
      </c>
    </row>
    <row r="2347" spans="1:4" ht="12.75" customHeight="1" x14ac:dyDescent="0.2">
      <c r="A2347" s="21"/>
      <c r="B2347" s="21"/>
      <c r="C2347" s="8" t="s">
        <v>44</v>
      </c>
      <c r="D2347" s="1" t="str">
        <f>HYPERLINK("javascript:void(0)","centrolium")</f>
        <v>centrolium</v>
      </c>
    </row>
    <row r="2348" spans="1:4" ht="12.75" customHeight="1" x14ac:dyDescent="0.2">
      <c r="A2348" s="21"/>
      <c r="B2348" s="2"/>
      <c r="C2348" s="7"/>
      <c r="D2348" s="7"/>
    </row>
    <row r="2349" spans="1:4" ht="12.75" customHeight="1" x14ac:dyDescent="0.2">
      <c r="A2349" s="21"/>
      <c r="B2349" s="2"/>
      <c r="C2349" s="7"/>
      <c r="D2349" s="7"/>
    </row>
    <row r="2350" spans="1:4" ht="12.75" customHeight="1" x14ac:dyDescent="0.2">
      <c r="A2350" s="21"/>
      <c r="B2350" s="2"/>
      <c r="C2350" s="7"/>
      <c r="D2350" s="7"/>
    </row>
    <row r="2351" spans="1:4" ht="12.75" customHeight="1" x14ac:dyDescent="0.2">
      <c r="A2351" s="21"/>
      <c r="B2351" s="2"/>
      <c r="C2351" s="7"/>
      <c r="D2351" s="7"/>
    </row>
    <row r="2352" spans="1:4" ht="12.75" customHeight="1" x14ac:dyDescent="0.2">
      <c r="A2352" s="5"/>
      <c r="B2352" s="2"/>
      <c r="C2352" s="7"/>
      <c r="D2352" s="7"/>
    </row>
    <row r="2353" spans="1:4" ht="12.75" customHeight="1" x14ac:dyDescent="0.2">
      <c r="A2353" s="22" t="str">
        <f>HYPERLINK("javascript:void(0)","sárkány izom")</f>
        <v>sárkány izom</v>
      </c>
      <c r="B2353" s="21"/>
      <c r="C2353" s="21"/>
      <c r="D2353" s="21"/>
    </row>
    <row r="2354" spans="1:4" ht="12.75" customHeight="1" x14ac:dyDescent="0.2">
      <c r="A2354" s="20"/>
      <c r="B2354" s="2"/>
      <c r="C2354" s="7"/>
      <c r="D2354" s="7"/>
    </row>
    <row r="2355" spans="1:4" ht="12.75" customHeight="1" x14ac:dyDescent="0.2">
      <c r="A2355" s="21"/>
      <c r="B2355" s="3" t="s">
        <v>0</v>
      </c>
      <c r="C2355" s="23" t="s">
        <v>157</v>
      </c>
      <c r="D2355" s="21"/>
    </row>
    <row r="2356" spans="1:4" ht="12.75" customHeight="1" x14ac:dyDescent="0.2">
      <c r="A2356" s="21"/>
      <c r="B2356" s="3" t="s">
        <v>2</v>
      </c>
      <c r="C2356" s="23" t="s">
        <v>1839</v>
      </c>
      <c r="D2356" s="21"/>
    </row>
    <row r="2357" spans="1:4" ht="12.75" customHeight="1" x14ac:dyDescent="0.2">
      <c r="A2357" s="21"/>
      <c r="B2357" s="3" t="s">
        <v>1840</v>
      </c>
      <c r="C2357" s="23" t="s">
        <v>21</v>
      </c>
      <c r="D2357" s="21"/>
    </row>
    <row r="2358" spans="1:4" ht="12.75" customHeight="1" x14ac:dyDescent="0.2">
      <c r="A2358" s="21"/>
      <c r="B2358" s="3" t="s">
        <v>9</v>
      </c>
      <c r="C2358" s="23" t="s">
        <v>42</v>
      </c>
      <c r="D2358" s="21"/>
    </row>
    <row r="2359" spans="1:4" ht="12.75" customHeight="1" x14ac:dyDescent="0.2">
      <c r="A2359" s="21"/>
      <c r="B2359" s="3" t="s">
        <v>11</v>
      </c>
      <c r="C2359" s="23" t="s">
        <v>1972</v>
      </c>
      <c r="D2359" s="21"/>
    </row>
    <row r="2360" spans="1:4" ht="12.75" customHeight="1" x14ac:dyDescent="0.2">
      <c r="A2360" s="21"/>
      <c r="B2360" s="3" t="s">
        <v>16</v>
      </c>
      <c r="C2360" s="23"/>
      <c r="D2360" s="21"/>
    </row>
    <row r="2361" spans="1:4" ht="12.75" customHeight="1" x14ac:dyDescent="0.2">
      <c r="A2361" s="21"/>
      <c r="B2361" s="3" t="s">
        <v>17</v>
      </c>
      <c r="C2361" s="23" t="s">
        <v>19</v>
      </c>
      <c r="D2361" s="21"/>
    </row>
    <row r="2362" spans="1:4" ht="12.75" customHeight="1" x14ac:dyDescent="0.2">
      <c r="A2362" s="21"/>
      <c r="B2362" s="20" t="s">
        <v>18</v>
      </c>
      <c r="C2362" s="8" t="s">
        <v>77</v>
      </c>
      <c r="D2362" s="1" t="str">
        <f>HYPERLINK("javascript:void(0)","szemhéj")</f>
        <v>szemhéj</v>
      </c>
    </row>
    <row r="2363" spans="1:4" ht="12.75" customHeight="1" x14ac:dyDescent="0.2">
      <c r="A2363" s="21"/>
      <c r="B2363" s="21"/>
      <c r="C2363" s="8" t="s">
        <v>77</v>
      </c>
      <c r="D2363" s="1" t="str">
        <f>HYPERLINK("javascript:void(0)","sárkánykarom")</f>
        <v>sárkánykarom</v>
      </c>
    </row>
    <row r="2364" spans="1:4" ht="12.75" customHeight="1" x14ac:dyDescent="0.2">
      <c r="A2364" s="21"/>
      <c r="B2364" s="21"/>
      <c r="C2364" s="8" t="s">
        <v>57</v>
      </c>
      <c r="D2364" s="1" t="str">
        <f>HYPERLINK("javascript:void(0)","démonvádli")</f>
        <v>démonvádli</v>
      </c>
    </row>
    <row r="2365" spans="1:4" ht="12.75" customHeight="1" x14ac:dyDescent="0.2">
      <c r="A2365" s="21"/>
      <c r="B2365" s="2"/>
      <c r="C2365" s="7"/>
      <c r="D2365" s="7"/>
    </row>
    <row r="2366" spans="1:4" ht="12.75" customHeight="1" x14ac:dyDescent="0.2">
      <c r="A2366" s="21"/>
      <c r="B2366" s="2"/>
      <c r="C2366" s="7"/>
      <c r="D2366" s="7"/>
    </row>
    <row r="2367" spans="1:4" ht="12.75" customHeight="1" x14ac:dyDescent="0.2">
      <c r="A2367" s="21"/>
      <c r="B2367" s="2"/>
      <c r="C2367" s="7"/>
      <c r="D2367" s="7"/>
    </row>
    <row r="2368" spans="1:4" ht="12.75" customHeight="1" x14ac:dyDescent="0.2">
      <c r="A2368" s="21"/>
      <c r="B2368" s="2"/>
      <c r="C2368" s="7"/>
      <c r="D2368" s="7"/>
    </row>
    <row r="2369" spans="1:4" ht="12.75" customHeight="1" x14ac:dyDescent="0.2">
      <c r="A2369" s="5"/>
      <c r="B2369" s="2"/>
      <c r="C2369" s="7"/>
      <c r="D2369" s="7"/>
    </row>
    <row r="2370" spans="1:4" ht="12.75" customHeight="1" x14ac:dyDescent="0.2">
      <c r="A2370" s="22" t="str">
        <f>HYPERLINK("javascript:void(0)","sárkány taréj")</f>
        <v>sárkány taréj</v>
      </c>
      <c r="B2370" s="21"/>
      <c r="C2370" s="21"/>
      <c r="D2370" s="21"/>
    </row>
    <row r="2371" spans="1:4" ht="12.75" customHeight="1" x14ac:dyDescent="0.2">
      <c r="A2371" s="20"/>
      <c r="B2371" s="2"/>
      <c r="C2371" s="7"/>
      <c r="D2371" s="7"/>
    </row>
    <row r="2372" spans="1:4" ht="12.75" customHeight="1" x14ac:dyDescent="0.2">
      <c r="A2372" s="21"/>
      <c r="B2372" s="3" t="s">
        <v>0</v>
      </c>
      <c r="C2372" s="23" t="s">
        <v>157</v>
      </c>
      <c r="D2372" s="21"/>
    </row>
    <row r="2373" spans="1:4" ht="12.75" customHeight="1" x14ac:dyDescent="0.2">
      <c r="A2373" s="21"/>
      <c r="B2373" s="3" t="s">
        <v>2</v>
      </c>
      <c r="C2373" s="23" t="s">
        <v>1839</v>
      </c>
      <c r="D2373" s="21"/>
    </row>
    <row r="2374" spans="1:4" ht="12.75" customHeight="1" x14ac:dyDescent="0.2">
      <c r="A2374" s="21"/>
      <c r="B2374" s="3" t="s">
        <v>1840</v>
      </c>
      <c r="C2374" s="23" t="s">
        <v>21</v>
      </c>
      <c r="D2374" s="21"/>
    </row>
    <row r="2375" spans="1:4" ht="12.75" customHeight="1" x14ac:dyDescent="0.2">
      <c r="A2375" s="21"/>
      <c r="B2375" s="3" t="s">
        <v>9</v>
      </c>
      <c r="C2375" s="23" t="s">
        <v>30</v>
      </c>
      <c r="D2375" s="21"/>
    </row>
    <row r="2376" spans="1:4" ht="12.75" customHeight="1" x14ac:dyDescent="0.2">
      <c r="A2376" s="21"/>
      <c r="B2376" s="3" t="s">
        <v>11</v>
      </c>
      <c r="C2376" s="23" t="s">
        <v>170</v>
      </c>
      <c r="D2376" s="21"/>
    </row>
    <row r="2377" spans="1:4" ht="12.75" customHeight="1" x14ac:dyDescent="0.2">
      <c r="A2377" s="21"/>
      <c r="B2377" s="3" t="s">
        <v>16</v>
      </c>
      <c r="C2377" s="23"/>
      <c r="D2377" s="21"/>
    </row>
    <row r="2378" spans="1:4" ht="12.75" customHeight="1" x14ac:dyDescent="0.2">
      <c r="A2378" s="21"/>
      <c r="B2378" s="3" t="s">
        <v>17</v>
      </c>
      <c r="C2378" s="23" t="s">
        <v>19</v>
      </c>
      <c r="D2378" s="21"/>
    </row>
    <row r="2379" spans="1:4" ht="12.75" customHeight="1" x14ac:dyDescent="0.2">
      <c r="A2379" s="21"/>
      <c r="B2379" s="20" t="s">
        <v>18</v>
      </c>
      <c r="C2379" s="8" t="s">
        <v>57</v>
      </c>
      <c r="D2379" s="1" t="str">
        <f>HYPERLINK("javascript:void(0)","sárkányfog")</f>
        <v>sárkányfog</v>
      </c>
    </row>
    <row r="2380" spans="1:4" ht="12.75" customHeight="1" x14ac:dyDescent="0.2">
      <c r="A2380" s="21"/>
      <c r="B2380" s="21"/>
      <c r="C2380" s="8" t="s">
        <v>67</v>
      </c>
      <c r="D2380" s="1" t="str">
        <f>HYPERLINK("javascript:void(0)","sárkánypikkely")</f>
        <v>sárkánypikkely</v>
      </c>
    </row>
    <row r="2381" spans="1:4" ht="12.75" customHeight="1" x14ac:dyDescent="0.2">
      <c r="A2381" s="21"/>
      <c r="B2381" s="21"/>
      <c r="C2381" s="8" t="s">
        <v>56</v>
      </c>
      <c r="D2381" s="1" t="str">
        <f>HYPERLINK("javascript:void(0)","démonvádli")</f>
        <v>démonvádli</v>
      </c>
    </row>
    <row r="2382" spans="1:4" ht="12.75" customHeight="1" x14ac:dyDescent="0.2">
      <c r="A2382" s="21"/>
      <c r="B2382" s="2"/>
      <c r="C2382" s="7"/>
      <c r="D2382" s="7"/>
    </row>
    <row r="2383" spans="1:4" ht="12.75" customHeight="1" x14ac:dyDescent="0.2">
      <c r="A2383" s="21"/>
      <c r="B2383" s="2"/>
      <c r="C2383" s="7"/>
      <c r="D2383" s="7"/>
    </row>
    <row r="2384" spans="1:4" ht="12.75" customHeight="1" x14ac:dyDescent="0.2">
      <c r="A2384" s="21"/>
      <c r="B2384" s="2"/>
      <c r="C2384" s="7"/>
      <c r="D2384" s="7"/>
    </row>
    <row r="2385" spans="1:4" ht="12.75" customHeight="1" x14ac:dyDescent="0.2">
      <c r="A2385" s="21"/>
      <c r="B2385" s="2"/>
      <c r="C2385" s="7"/>
      <c r="D2385" s="7"/>
    </row>
    <row r="2386" spans="1:4" ht="12.75" customHeight="1" x14ac:dyDescent="0.2">
      <c r="A2386" s="5"/>
      <c r="B2386" s="2"/>
      <c r="C2386" s="7"/>
      <c r="D2386" s="7"/>
    </row>
    <row r="2387" spans="1:4" ht="12.75" customHeight="1" x14ac:dyDescent="0.2">
      <c r="A2387" s="22" t="str">
        <f>HYPERLINK("javascript:void(0)","sárkány szem")</f>
        <v>sárkány szem</v>
      </c>
      <c r="B2387" s="21"/>
      <c r="C2387" s="21"/>
      <c r="D2387" s="21"/>
    </row>
    <row r="2388" spans="1:4" ht="12.75" customHeight="1" x14ac:dyDescent="0.2">
      <c r="A2388" s="20"/>
      <c r="B2388" s="2"/>
      <c r="C2388" s="7"/>
      <c r="D2388" s="7"/>
    </row>
    <row r="2389" spans="1:4" ht="12.75" customHeight="1" x14ac:dyDescent="0.2">
      <c r="A2389" s="21"/>
      <c r="B2389" s="3" t="s">
        <v>0</v>
      </c>
      <c r="C2389" s="23" t="s">
        <v>157</v>
      </c>
      <c r="D2389" s="21"/>
    </row>
    <row r="2390" spans="1:4" ht="12.75" customHeight="1" x14ac:dyDescent="0.2">
      <c r="A2390" s="21"/>
      <c r="B2390" s="3" t="s">
        <v>2</v>
      </c>
      <c r="C2390" s="23" t="s">
        <v>1839</v>
      </c>
      <c r="D2390" s="21"/>
    </row>
    <row r="2391" spans="1:4" ht="12.75" customHeight="1" x14ac:dyDescent="0.2">
      <c r="A2391" s="21"/>
      <c r="B2391" s="3" t="s">
        <v>1840</v>
      </c>
      <c r="C2391" s="23" t="s">
        <v>21</v>
      </c>
      <c r="D2391" s="21"/>
    </row>
    <row r="2392" spans="1:4" ht="12.75" customHeight="1" x14ac:dyDescent="0.2">
      <c r="A2392" s="21"/>
      <c r="B2392" s="3" t="s">
        <v>9</v>
      </c>
      <c r="C2392" s="23" t="s">
        <v>53</v>
      </c>
      <c r="D2392" s="21"/>
    </row>
    <row r="2393" spans="1:4" ht="12.75" customHeight="1" x14ac:dyDescent="0.2">
      <c r="A2393" s="21"/>
      <c r="B2393" s="3" t="s">
        <v>11</v>
      </c>
      <c r="C2393" s="23" t="s">
        <v>689</v>
      </c>
      <c r="D2393" s="21"/>
    </row>
    <row r="2394" spans="1:4" ht="12.75" customHeight="1" x14ac:dyDescent="0.2">
      <c r="A2394" s="21"/>
      <c r="B2394" s="3" t="s">
        <v>16</v>
      </c>
      <c r="C2394" s="23"/>
      <c r="D2394" s="21"/>
    </row>
    <row r="2395" spans="1:4" ht="12.75" customHeight="1" x14ac:dyDescent="0.2">
      <c r="A2395" s="21"/>
      <c r="B2395" s="3" t="s">
        <v>17</v>
      </c>
      <c r="C2395" s="23" t="s">
        <v>19</v>
      </c>
      <c r="D2395" s="21"/>
    </row>
    <row r="2396" spans="1:4" ht="12.75" customHeight="1" x14ac:dyDescent="0.2">
      <c r="A2396" s="21"/>
      <c r="B2396" s="20" t="s">
        <v>18</v>
      </c>
      <c r="C2396" s="8" t="s">
        <v>77</v>
      </c>
      <c r="D2396" s="1" t="str">
        <f>HYPERLINK("javascript:void(0)","sárkánypikkely")</f>
        <v>sárkánypikkely</v>
      </c>
    </row>
    <row r="2397" spans="1:4" ht="12.75" customHeight="1" x14ac:dyDescent="0.2">
      <c r="A2397" s="21"/>
      <c r="B2397" s="21"/>
      <c r="C2397" s="8" t="s">
        <v>77</v>
      </c>
      <c r="D2397" s="1" t="str">
        <f>HYPERLINK("javascript:void(0)","szemhéj")</f>
        <v>szemhéj</v>
      </c>
    </row>
    <row r="2398" spans="1:4" ht="12.75" customHeight="1" x14ac:dyDescent="0.2">
      <c r="A2398" s="21"/>
      <c r="B2398" s="21"/>
      <c r="C2398" s="8" t="s">
        <v>44</v>
      </c>
      <c r="D2398" s="1" t="str">
        <f>HYPERLINK("javascript:void(0)","démonvádli")</f>
        <v>démonvádli</v>
      </c>
    </row>
    <row r="2399" spans="1:4" ht="12.75" customHeight="1" x14ac:dyDescent="0.2">
      <c r="A2399" s="21"/>
      <c r="B2399" s="2"/>
      <c r="C2399" s="7"/>
      <c r="D2399" s="7"/>
    </row>
    <row r="2400" spans="1:4" ht="12.75" customHeight="1" x14ac:dyDescent="0.2">
      <c r="A2400" s="21"/>
      <c r="B2400" s="2"/>
      <c r="C2400" s="7"/>
      <c r="D2400" s="7"/>
    </row>
    <row r="2401" spans="1:4" ht="12.75" customHeight="1" x14ac:dyDescent="0.2">
      <c r="A2401" s="21"/>
      <c r="B2401" s="2"/>
      <c r="C2401" s="7"/>
      <c r="D2401" s="7"/>
    </row>
    <row r="2402" spans="1:4" ht="12.75" customHeight="1" x14ac:dyDescent="0.2">
      <c r="A2402" s="21"/>
      <c r="B2402" s="2"/>
      <c r="C2402" s="7"/>
      <c r="D2402" s="7"/>
    </row>
    <row r="2403" spans="1:4" ht="12.75" customHeight="1" x14ac:dyDescent="0.2">
      <c r="A2403" s="5"/>
      <c r="B2403" s="2"/>
      <c r="C2403" s="7"/>
      <c r="D2403" s="7"/>
    </row>
    <row r="2404" spans="1:4" ht="12.75" customHeight="1" x14ac:dyDescent="0.2">
      <c r="A2404" s="22" t="str">
        <f>HYPERLINK("javascript:void(0)","sárkány szív")</f>
        <v>sárkány szív</v>
      </c>
      <c r="B2404" s="21"/>
      <c r="C2404" s="21"/>
      <c r="D2404" s="21"/>
    </row>
    <row r="2405" spans="1:4" ht="12.75" customHeight="1" x14ac:dyDescent="0.2">
      <c r="A2405" s="20"/>
      <c r="B2405" s="2"/>
      <c r="C2405" s="7"/>
      <c r="D2405" s="7"/>
    </row>
    <row r="2406" spans="1:4" ht="12.75" customHeight="1" x14ac:dyDescent="0.2">
      <c r="A2406" s="21"/>
      <c r="B2406" s="3" t="s">
        <v>0</v>
      </c>
      <c r="C2406" s="23" t="s">
        <v>157</v>
      </c>
      <c r="D2406" s="21"/>
    </row>
    <row r="2407" spans="1:4" ht="12.75" customHeight="1" x14ac:dyDescent="0.2">
      <c r="A2407" s="21"/>
      <c r="B2407" s="3" t="s">
        <v>2</v>
      </c>
      <c r="C2407" s="23" t="s">
        <v>1839</v>
      </c>
      <c r="D2407" s="21"/>
    </row>
    <row r="2408" spans="1:4" ht="12.75" customHeight="1" x14ac:dyDescent="0.2">
      <c r="A2408" s="21"/>
      <c r="B2408" s="3" t="s">
        <v>1840</v>
      </c>
      <c r="C2408" s="23" t="s">
        <v>21</v>
      </c>
      <c r="D2408" s="21"/>
    </row>
    <row r="2409" spans="1:4" ht="12.75" customHeight="1" x14ac:dyDescent="0.2">
      <c r="A2409" s="21"/>
      <c r="B2409" s="3" t="s">
        <v>9</v>
      </c>
      <c r="C2409" s="23" t="s">
        <v>137</v>
      </c>
      <c r="D2409" s="21"/>
    </row>
    <row r="2410" spans="1:4" ht="12.75" customHeight="1" x14ac:dyDescent="0.2">
      <c r="A2410" s="21"/>
      <c r="B2410" s="3" t="s">
        <v>11</v>
      </c>
      <c r="C2410" s="23" t="s">
        <v>1981</v>
      </c>
      <c r="D2410" s="21"/>
    </row>
    <row r="2411" spans="1:4" ht="12.75" customHeight="1" x14ac:dyDescent="0.2">
      <c r="A2411" s="21"/>
      <c r="B2411" s="3" t="s">
        <v>16</v>
      </c>
      <c r="C2411" s="23"/>
      <c r="D2411" s="21"/>
    </row>
    <row r="2412" spans="1:4" ht="12.75" customHeight="1" x14ac:dyDescent="0.2">
      <c r="A2412" s="21"/>
      <c r="B2412" s="3" t="s">
        <v>17</v>
      </c>
      <c r="C2412" s="23" t="s">
        <v>19</v>
      </c>
      <c r="D2412" s="21"/>
    </row>
    <row r="2413" spans="1:4" ht="12.75" customHeight="1" x14ac:dyDescent="0.2">
      <c r="A2413" s="21"/>
      <c r="B2413" s="20" t="s">
        <v>18</v>
      </c>
      <c r="C2413" s="8" t="s">
        <v>67</v>
      </c>
      <c r="D2413" s="1" t="str">
        <f>HYPERLINK("javascript:void(0)","sárkányfog")</f>
        <v>sárkányfog</v>
      </c>
    </row>
    <row r="2414" spans="1:4" ht="12.75" customHeight="1" x14ac:dyDescent="0.2">
      <c r="A2414" s="21"/>
      <c r="B2414" s="21"/>
      <c r="C2414" s="8" t="s">
        <v>67</v>
      </c>
      <c r="D2414" s="1" t="str">
        <f>HYPERLINK("javascript:void(0)","sárkánykarom")</f>
        <v>sárkánykarom</v>
      </c>
    </row>
    <row r="2415" spans="1:4" ht="12.75" customHeight="1" x14ac:dyDescent="0.2">
      <c r="A2415" s="21"/>
      <c r="B2415" s="21"/>
      <c r="C2415" s="8" t="s">
        <v>77</v>
      </c>
      <c r="D2415" s="1" t="str">
        <f>HYPERLINK("javascript:void(0)","sárkány szem")</f>
        <v>sárkány szem</v>
      </c>
    </row>
    <row r="2416" spans="1:4" ht="12.75" customHeight="1" x14ac:dyDescent="0.2">
      <c r="A2416" s="21"/>
      <c r="B2416" s="2"/>
      <c r="C2416" s="7"/>
      <c r="D2416" s="7"/>
    </row>
    <row r="2417" spans="1:4" ht="12.75" customHeight="1" x14ac:dyDescent="0.2">
      <c r="A2417" s="21"/>
      <c r="B2417" s="2"/>
      <c r="C2417" s="7"/>
      <c r="D2417" s="7"/>
    </row>
    <row r="2418" spans="1:4" ht="12.75" customHeight="1" x14ac:dyDescent="0.2">
      <c r="A2418" s="21"/>
      <c r="B2418" s="2"/>
      <c r="C2418" s="7"/>
      <c r="D2418" s="7"/>
    </row>
    <row r="2419" spans="1:4" ht="12.75" customHeight="1" x14ac:dyDescent="0.2">
      <c r="A2419" s="21"/>
      <c r="B2419" s="2"/>
      <c r="C2419" s="7"/>
      <c r="D2419" s="7"/>
    </row>
    <row r="2420" spans="1:4" ht="12.75" customHeight="1" x14ac:dyDescent="0.2">
      <c r="A2420" s="5"/>
      <c r="B2420" s="2"/>
      <c r="C2420" s="7"/>
      <c r="D2420" s="7"/>
    </row>
    <row r="2421" spans="1:4" ht="12.75" customHeight="1" x14ac:dyDescent="0.2">
      <c r="A2421" s="22" t="str">
        <f>HYPERLINK("javascript:void(0)","sárkány szarv")</f>
        <v>sárkány szarv</v>
      </c>
      <c r="B2421" s="21"/>
      <c r="C2421" s="21"/>
      <c r="D2421" s="21"/>
    </row>
    <row r="2422" spans="1:4" ht="12.75" customHeight="1" x14ac:dyDescent="0.2">
      <c r="A2422" s="20"/>
      <c r="B2422" s="2"/>
      <c r="C2422" s="7"/>
      <c r="D2422" s="7"/>
    </row>
    <row r="2423" spans="1:4" ht="12.75" customHeight="1" x14ac:dyDescent="0.2">
      <c r="A2423" s="21"/>
      <c r="B2423" s="3" t="s">
        <v>0</v>
      </c>
      <c r="C2423" s="23" t="s">
        <v>157</v>
      </c>
      <c r="D2423" s="21"/>
    </row>
    <row r="2424" spans="1:4" ht="12.75" customHeight="1" x14ac:dyDescent="0.2">
      <c r="A2424" s="21"/>
      <c r="B2424" s="3" t="s">
        <v>2</v>
      </c>
      <c r="C2424" s="23" t="s">
        <v>1839</v>
      </c>
      <c r="D2424" s="21"/>
    </row>
    <row r="2425" spans="1:4" ht="12.75" customHeight="1" x14ac:dyDescent="0.2">
      <c r="A2425" s="21"/>
      <c r="B2425" s="3" t="s">
        <v>1840</v>
      </c>
      <c r="C2425" s="23" t="s">
        <v>21</v>
      </c>
      <c r="D2425" s="21"/>
    </row>
    <row r="2426" spans="1:4" ht="12.75" customHeight="1" x14ac:dyDescent="0.2">
      <c r="A2426" s="21"/>
      <c r="B2426" s="3" t="s">
        <v>9</v>
      </c>
      <c r="C2426" s="23" t="s">
        <v>172</v>
      </c>
      <c r="D2426" s="21"/>
    </row>
    <row r="2427" spans="1:4" ht="12.75" customHeight="1" x14ac:dyDescent="0.2">
      <c r="A2427" s="21"/>
      <c r="B2427" s="3" t="s">
        <v>11</v>
      </c>
      <c r="C2427" s="23" t="s">
        <v>1123</v>
      </c>
      <c r="D2427" s="21"/>
    </row>
    <row r="2428" spans="1:4" ht="12.75" customHeight="1" x14ac:dyDescent="0.2">
      <c r="A2428" s="21"/>
      <c r="B2428" s="3" t="s">
        <v>16</v>
      </c>
      <c r="C2428" s="23"/>
      <c r="D2428" s="21"/>
    </row>
    <row r="2429" spans="1:4" ht="12.75" customHeight="1" x14ac:dyDescent="0.2">
      <c r="A2429" s="21"/>
      <c r="B2429" s="3" t="s">
        <v>17</v>
      </c>
      <c r="C2429" s="23" t="s">
        <v>19</v>
      </c>
      <c r="D2429" s="21"/>
    </row>
    <row r="2430" spans="1:4" ht="12.75" customHeight="1" x14ac:dyDescent="0.2">
      <c r="A2430" s="21"/>
      <c r="B2430" s="20" t="s">
        <v>18</v>
      </c>
      <c r="C2430" s="8" t="s">
        <v>67</v>
      </c>
      <c r="D2430" s="1" t="str">
        <f>HYPERLINK("javascript:void(0)","sárkányfog")</f>
        <v>sárkányfog</v>
      </c>
    </row>
    <row r="2431" spans="1:4" ht="12.75" customHeight="1" x14ac:dyDescent="0.2">
      <c r="A2431" s="21"/>
      <c r="B2431" s="21"/>
      <c r="C2431" s="8" t="s">
        <v>77</v>
      </c>
      <c r="D2431" s="1" t="str">
        <f>HYPERLINK("javascript:void(0)","sárkánykarom")</f>
        <v>sárkánykarom</v>
      </c>
    </row>
    <row r="2432" spans="1:4" ht="12.75" customHeight="1" x14ac:dyDescent="0.2">
      <c r="A2432" s="21"/>
      <c r="B2432" s="21"/>
      <c r="C2432" s="8" t="s">
        <v>57</v>
      </c>
      <c r="D2432" s="1" t="str">
        <f>HYPERLINK("javascript:void(0)","sárkánypikkely")</f>
        <v>sárkánypikkely</v>
      </c>
    </row>
    <row r="2433" spans="1:4" ht="12.75" customHeight="1" x14ac:dyDescent="0.2">
      <c r="A2433" s="21"/>
      <c r="B2433" s="2"/>
      <c r="C2433" s="7"/>
      <c r="D2433" s="7"/>
    </row>
    <row r="2434" spans="1:4" ht="12.75" customHeight="1" x14ac:dyDescent="0.2">
      <c r="A2434" s="21"/>
      <c r="B2434" s="2"/>
      <c r="C2434" s="7"/>
      <c r="D2434" s="7"/>
    </row>
    <row r="2435" spans="1:4" ht="12.75" customHeight="1" x14ac:dyDescent="0.2">
      <c r="A2435" s="21"/>
      <c r="B2435" s="2"/>
      <c r="C2435" s="7"/>
      <c r="D2435" s="7"/>
    </row>
    <row r="2436" spans="1:4" ht="12.75" customHeight="1" x14ac:dyDescent="0.2">
      <c r="A2436" s="21"/>
      <c r="B2436" s="2"/>
      <c r="C2436" s="7"/>
      <c r="D2436" s="7"/>
    </row>
    <row r="2437" spans="1:4" ht="12.75" customHeight="1" x14ac:dyDescent="0.2">
      <c r="A2437" s="5"/>
      <c r="B2437" s="2"/>
      <c r="C2437" s="7"/>
      <c r="D2437" s="7"/>
    </row>
    <row r="2438" spans="1:4" ht="12.75" customHeight="1" x14ac:dyDescent="0.2">
      <c r="A2438" s="22" t="str">
        <f>HYPERLINK("javascript:void(0)","dracoacél sisak")</f>
        <v>dracoacél sisak</v>
      </c>
      <c r="B2438" s="21"/>
      <c r="C2438" s="21"/>
      <c r="D2438" s="21"/>
    </row>
    <row r="2439" spans="1:4" ht="12.75" customHeight="1" x14ac:dyDescent="0.2">
      <c r="A2439" s="20"/>
      <c r="B2439" s="2"/>
      <c r="C2439" s="7"/>
      <c r="D2439" s="7"/>
    </row>
    <row r="2440" spans="1:4" ht="12.75" customHeight="1" x14ac:dyDescent="0.2">
      <c r="A2440" s="21"/>
      <c r="B2440" s="3" t="s">
        <v>0</v>
      </c>
      <c r="C2440" s="23" t="s">
        <v>157</v>
      </c>
      <c r="D2440" s="21"/>
    </row>
    <row r="2441" spans="1:4" ht="12.75" customHeight="1" x14ac:dyDescent="0.2">
      <c r="A2441" s="21"/>
      <c r="B2441" s="3" t="s">
        <v>2</v>
      </c>
      <c r="C2441" s="23"/>
      <c r="D2441" s="21"/>
    </row>
    <row r="2442" spans="1:4" ht="12.75" customHeight="1" x14ac:dyDescent="0.2">
      <c r="A2442" s="21"/>
      <c r="B2442" s="3" t="s">
        <v>1840</v>
      </c>
      <c r="C2442" s="23" t="s">
        <v>41</v>
      </c>
      <c r="D2442" s="21"/>
    </row>
    <row r="2443" spans="1:4" ht="12.75" customHeight="1" x14ac:dyDescent="0.2">
      <c r="A2443" s="21"/>
      <c r="B2443" s="3" t="s">
        <v>9</v>
      </c>
      <c r="C2443" s="23" t="s">
        <v>36</v>
      </c>
      <c r="D2443" s="21"/>
    </row>
    <row r="2444" spans="1:4" ht="12.75" customHeight="1" x14ac:dyDescent="0.2">
      <c r="A2444" s="21"/>
      <c r="B2444" s="3" t="s">
        <v>11</v>
      </c>
      <c r="C2444" s="23" t="s">
        <v>89</v>
      </c>
      <c r="D2444" s="21"/>
    </row>
    <row r="2445" spans="1:4" ht="12.75" customHeight="1" x14ac:dyDescent="0.2">
      <c r="A2445" s="21"/>
      <c r="B2445" s="3" t="s">
        <v>16</v>
      </c>
      <c r="C2445" s="23"/>
      <c r="D2445" s="21"/>
    </row>
    <row r="2446" spans="1:4" ht="12.75" customHeight="1" x14ac:dyDescent="0.2">
      <c r="A2446" s="21"/>
      <c r="B2446" s="3" t="s">
        <v>17</v>
      </c>
      <c r="C2446" s="23" t="s">
        <v>19</v>
      </c>
      <c r="D2446" s="21"/>
    </row>
    <row r="2447" spans="1:4" ht="12.75" customHeight="1" x14ac:dyDescent="0.2">
      <c r="A2447" s="21"/>
      <c r="B2447" s="20" t="s">
        <v>18</v>
      </c>
      <c r="C2447" s="8" t="s">
        <v>44</v>
      </c>
      <c r="D2447" s="1" t="str">
        <f>HYPERLINK("javascript:void(0)","démonacél sisak")</f>
        <v>démonacél sisak</v>
      </c>
    </row>
    <row r="2448" spans="1:4" ht="12.75" customHeight="1" x14ac:dyDescent="0.2">
      <c r="A2448" s="21"/>
      <c r="B2448" s="21"/>
      <c r="C2448" s="8" t="s">
        <v>55</v>
      </c>
      <c r="D2448" s="1" t="str">
        <f>HYPERLINK("javascript:void(0)","sárkány taréj")</f>
        <v>sárkány taréj</v>
      </c>
    </row>
    <row r="2449" spans="1:4" ht="12.75" customHeight="1" x14ac:dyDescent="0.2">
      <c r="A2449" s="21"/>
      <c r="B2449" s="21"/>
      <c r="C2449" s="8" t="s">
        <v>55</v>
      </c>
      <c r="D2449" s="1" t="str">
        <f>HYPERLINK("javascript:void(0)","sárkány izom")</f>
        <v>sárkány izom</v>
      </c>
    </row>
    <row r="2450" spans="1:4" ht="12.75" customHeight="1" x14ac:dyDescent="0.2">
      <c r="A2450" s="21"/>
      <c r="B2450" s="2"/>
      <c r="C2450" s="7"/>
      <c r="D2450" s="7"/>
    </row>
    <row r="2451" spans="1:4" ht="12.75" customHeight="1" x14ac:dyDescent="0.2">
      <c r="A2451" s="21"/>
      <c r="B2451" s="2"/>
      <c r="C2451" s="7"/>
      <c r="D2451" s="7"/>
    </row>
    <row r="2452" spans="1:4" ht="12.75" customHeight="1" x14ac:dyDescent="0.2">
      <c r="A2452" s="21"/>
      <c r="B2452" s="2"/>
      <c r="C2452" s="7"/>
      <c r="D2452" s="7"/>
    </row>
    <row r="2453" spans="1:4" ht="12.75" customHeight="1" x14ac:dyDescent="0.2">
      <c r="A2453" s="21"/>
      <c r="B2453" s="2"/>
      <c r="C2453" s="7"/>
      <c r="D2453" s="7"/>
    </row>
    <row r="2454" spans="1:4" ht="12.75" customHeight="1" x14ac:dyDescent="0.2">
      <c r="A2454" s="5"/>
      <c r="B2454" s="2"/>
      <c r="C2454" s="7"/>
      <c r="D2454" s="7"/>
    </row>
    <row r="2455" spans="1:4" ht="12.75" customHeight="1" x14ac:dyDescent="0.2">
      <c r="A2455" s="22" t="str">
        <f>HYPERLINK("javascript:void(0)","diszpropáncél")</f>
        <v>diszpropáncél</v>
      </c>
      <c r="B2455" s="21"/>
      <c r="C2455" s="21"/>
      <c r="D2455" s="21"/>
    </row>
    <row r="2456" spans="1:4" ht="12.75" customHeight="1" x14ac:dyDescent="0.2">
      <c r="A2456" s="20"/>
      <c r="B2456" s="2"/>
      <c r="C2456" s="7"/>
      <c r="D2456" s="7"/>
    </row>
    <row r="2457" spans="1:4" ht="12.75" customHeight="1" x14ac:dyDescent="0.2">
      <c r="A2457" s="21"/>
      <c r="B2457" s="3" t="s">
        <v>0</v>
      </c>
      <c r="C2457" s="23" t="s">
        <v>157</v>
      </c>
      <c r="D2457" s="21"/>
    </row>
    <row r="2458" spans="1:4" ht="12.75" customHeight="1" x14ac:dyDescent="0.2">
      <c r="A2458" s="21"/>
      <c r="B2458" s="3" t="s">
        <v>2</v>
      </c>
      <c r="C2458" s="23" t="s">
        <v>2322</v>
      </c>
      <c r="D2458" s="21"/>
    </row>
    <row r="2459" spans="1:4" ht="12.75" customHeight="1" x14ac:dyDescent="0.2">
      <c r="A2459" s="21"/>
      <c r="B2459" s="3" t="s">
        <v>1840</v>
      </c>
      <c r="C2459" s="23" t="s">
        <v>216</v>
      </c>
      <c r="D2459" s="21"/>
    </row>
    <row r="2460" spans="1:4" ht="12.75" customHeight="1" x14ac:dyDescent="0.2">
      <c r="A2460" s="21"/>
      <c r="B2460" s="3" t="s">
        <v>9</v>
      </c>
      <c r="C2460" s="23" t="s">
        <v>124</v>
      </c>
      <c r="D2460" s="21"/>
    </row>
    <row r="2461" spans="1:4" ht="12.75" customHeight="1" x14ac:dyDescent="0.2">
      <c r="A2461" s="21"/>
      <c r="B2461" s="3" t="s">
        <v>11</v>
      </c>
      <c r="C2461" s="23" t="s">
        <v>520</v>
      </c>
      <c r="D2461" s="21"/>
    </row>
    <row r="2462" spans="1:4" ht="12.75" customHeight="1" x14ac:dyDescent="0.2">
      <c r="A2462" s="21"/>
      <c r="B2462" s="3" t="s">
        <v>16</v>
      </c>
      <c r="C2462" s="23"/>
      <c r="D2462" s="21"/>
    </row>
    <row r="2463" spans="1:4" ht="12.75" customHeight="1" x14ac:dyDescent="0.2">
      <c r="A2463" s="21"/>
      <c r="B2463" s="3" t="s">
        <v>17</v>
      </c>
      <c r="C2463" s="23" t="s">
        <v>19</v>
      </c>
      <c r="D2463" s="21"/>
    </row>
    <row r="2464" spans="1:4" ht="12.75" customHeight="1" x14ac:dyDescent="0.2">
      <c r="A2464" s="21"/>
      <c r="B2464" s="20" t="s">
        <v>18</v>
      </c>
      <c r="C2464" s="8" t="s">
        <v>139</v>
      </c>
      <c r="D2464" s="1" t="str">
        <f>HYPERLINK("javascript:void(0)","diszprózium")</f>
        <v>diszprózium</v>
      </c>
    </row>
    <row r="2465" spans="1:4" ht="12.75" customHeight="1" x14ac:dyDescent="0.2">
      <c r="A2465" s="21"/>
      <c r="B2465" s="21"/>
      <c r="C2465" s="8" t="s">
        <v>44</v>
      </c>
      <c r="D2465" s="1" t="str">
        <f>HYPERLINK("javascript:void(0)","gyémántpáncél")</f>
        <v>gyémántpáncél</v>
      </c>
    </row>
    <row r="2466" spans="1:4" ht="12.75" customHeight="1" x14ac:dyDescent="0.2">
      <c r="A2466" s="21"/>
      <c r="B2466" s="21"/>
      <c r="C2466" s="8" t="s">
        <v>98</v>
      </c>
      <c r="D2466" s="1" t="str">
        <f>HYPERLINK("javascript:void(0)","sárkány izom")</f>
        <v>sárkány izom</v>
      </c>
    </row>
    <row r="2467" spans="1:4" ht="12.75" customHeight="1" x14ac:dyDescent="0.2">
      <c r="A2467" s="21"/>
      <c r="B2467" s="2"/>
      <c r="C2467" s="7"/>
      <c r="D2467" s="7"/>
    </row>
    <row r="2468" spans="1:4" ht="12.75" customHeight="1" x14ac:dyDescent="0.2">
      <c r="A2468" s="21"/>
      <c r="B2468" s="2"/>
      <c r="C2468" s="7"/>
      <c r="D2468" s="7"/>
    </row>
    <row r="2469" spans="1:4" ht="12.75" customHeight="1" x14ac:dyDescent="0.2">
      <c r="A2469" s="21"/>
      <c r="B2469" s="2"/>
      <c r="C2469" s="7"/>
      <c r="D2469" s="7"/>
    </row>
    <row r="2470" spans="1:4" ht="12.75" customHeight="1" x14ac:dyDescent="0.2">
      <c r="A2470" s="21"/>
      <c r="B2470" s="2"/>
      <c r="C2470" s="7"/>
      <c r="D2470" s="7"/>
    </row>
    <row r="2471" spans="1:4" ht="12.75" customHeight="1" x14ac:dyDescent="0.2">
      <c r="A2471" s="5"/>
      <c r="B2471" s="2"/>
      <c r="C2471" s="7"/>
      <c r="D2471" s="7"/>
    </row>
    <row r="2472" spans="1:4" ht="12.75" customHeight="1" x14ac:dyDescent="0.2">
      <c r="A2472" s="22" t="str">
        <f>HYPERLINK("javascript:void(0)","dracoacél csizma")</f>
        <v>dracoacél csizma</v>
      </c>
      <c r="B2472" s="21"/>
      <c r="C2472" s="21"/>
      <c r="D2472" s="21"/>
    </row>
    <row r="2473" spans="1:4" ht="12.75" customHeight="1" x14ac:dyDescent="0.2">
      <c r="A2473" s="20"/>
      <c r="B2473" s="2"/>
      <c r="C2473" s="7"/>
      <c r="D2473" s="7"/>
    </row>
    <row r="2474" spans="1:4" ht="12.75" customHeight="1" x14ac:dyDescent="0.2">
      <c r="A2474" s="21"/>
      <c r="B2474" s="3" t="s">
        <v>0</v>
      </c>
      <c r="C2474" s="23" t="s">
        <v>157</v>
      </c>
      <c r="D2474" s="21"/>
    </row>
    <row r="2475" spans="1:4" ht="12.75" customHeight="1" x14ac:dyDescent="0.2">
      <c r="A2475" s="21"/>
      <c r="B2475" s="3" t="s">
        <v>2</v>
      </c>
      <c r="C2475" s="23"/>
      <c r="D2475" s="21"/>
    </row>
    <row r="2476" spans="1:4" ht="12.75" customHeight="1" x14ac:dyDescent="0.2">
      <c r="A2476" s="21"/>
      <c r="B2476" s="3" t="s">
        <v>1840</v>
      </c>
      <c r="C2476" s="23" t="s">
        <v>260</v>
      </c>
      <c r="D2476" s="21"/>
    </row>
    <row r="2477" spans="1:4" ht="12.75" customHeight="1" x14ac:dyDescent="0.2">
      <c r="A2477" s="21"/>
      <c r="B2477" s="3" t="s">
        <v>9</v>
      </c>
      <c r="C2477" s="23" t="s">
        <v>464</v>
      </c>
      <c r="D2477" s="21"/>
    </row>
    <row r="2478" spans="1:4" ht="12.75" customHeight="1" x14ac:dyDescent="0.2">
      <c r="A2478" s="21"/>
      <c r="B2478" s="3" t="s">
        <v>11</v>
      </c>
      <c r="C2478" s="23" t="s">
        <v>561</v>
      </c>
      <c r="D2478" s="21"/>
    </row>
    <row r="2479" spans="1:4" ht="12.75" customHeight="1" x14ac:dyDescent="0.2">
      <c r="A2479" s="21"/>
      <c r="B2479" s="3" t="s">
        <v>16</v>
      </c>
      <c r="C2479" s="23"/>
      <c r="D2479" s="21"/>
    </row>
    <row r="2480" spans="1:4" ht="12.75" customHeight="1" x14ac:dyDescent="0.2">
      <c r="A2480" s="21"/>
      <c r="B2480" s="3" t="s">
        <v>17</v>
      </c>
      <c r="C2480" s="23" t="s">
        <v>19</v>
      </c>
      <c r="D2480" s="21"/>
    </row>
    <row r="2481" spans="1:4" ht="12.75" customHeight="1" x14ac:dyDescent="0.2">
      <c r="A2481" s="21"/>
      <c r="B2481" s="20" t="s">
        <v>18</v>
      </c>
      <c r="C2481" s="8" t="s">
        <v>44</v>
      </c>
      <c r="D2481" s="1" t="str">
        <f>HYPERLINK("javascript:void(0)","démonacél csizma")</f>
        <v>démonacél csizma</v>
      </c>
    </row>
    <row r="2482" spans="1:4" ht="12.75" customHeight="1" x14ac:dyDescent="0.2">
      <c r="A2482" s="21"/>
      <c r="B2482" s="21"/>
      <c r="C2482" s="8" t="s">
        <v>139</v>
      </c>
      <c r="D2482" s="1" t="str">
        <f>HYPERLINK("javascript:void(0)","sárkány szem")</f>
        <v>sárkány szem</v>
      </c>
    </row>
    <row r="2483" spans="1:4" ht="12.75" customHeight="1" x14ac:dyDescent="0.2">
      <c r="A2483" s="21"/>
      <c r="B2483" s="21"/>
      <c r="C2483" s="8" t="s">
        <v>139</v>
      </c>
      <c r="D2483" s="1" t="str">
        <f>HYPERLINK("javascript:void(0)","sárkány szarv")</f>
        <v>sárkány szarv</v>
      </c>
    </row>
    <row r="2484" spans="1:4" ht="12.75" customHeight="1" x14ac:dyDescent="0.2">
      <c r="A2484" s="21"/>
      <c r="B2484" s="2"/>
      <c r="C2484" s="7"/>
      <c r="D2484" s="7"/>
    </row>
    <row r="2485" spans="1:4" ht="12.75" customHeight="1" x14ac:dyDescent="0.2">
      <c r="A2485" s="21"/>
      <c r="B2485" s="2"/>
      <c r="C2485" s="7"/>
      <c r="D2485" s="7"/>
    </row>
    <row r="2486" spans="1:4" ht="12.75" customHeight="1" x14ac:dyDescent="0.2">
      <c r="A2486" s="21"/>
      <c r="B2486" s="2"/>
      <c r="C2486" s="7"/>
      <c r="D2486" s="7"/>
    </row>
    <row r="2487" spans="1:4" ht="12.75" customHeight="1" x14ac:dyDescent="0.2">
      <c r="A2487" s="21"/>
      <c r="B2487" s="2"/>
      <c r="C2487" s="7"/>
      <c r="D2487" s="7"/>
    </row>
    <row r="2488" spans="1:4" ht="12.75" customHeight="1" x14ac:dyDescent="0.2">
      <c r="A2488" s="5"/>
      <c r="B2488" s="2"/>
      <c r="C2488" s="7"/>
      <c r="D2488" s="7"/>
    </row>
    <row r="2489" spans="1:4" ht="12.75" customHeight="1" x14ac:dyDescent="0.2">
      <c r="A2489" s="22" t="str">
        <f>HYPERLINK("javascript:void(0)","nappajzs")</f>
        <v>nappajzs</v>
      </c>
      <c r="B2489" s="21"/>
      <c r="C2489" s="21"/>
      <c r="D2489" s="21"/>
    </row>
    <row r="2490" spans="1:4" ht="12.75" customHeight="1" x14ac:dyDescent="0.2">
      <c r="A2490" s="20"/>
      <c r="B2490" s="2"/>
      <c r="C2490" s="7"/>
      <c r="D2490" s="7"/>
    </row>
    <row r="2491" spans="1:4" ht="12.75" customHeight="1" x14ac:dyDescent="0.2">
      <c r="A2491" s="21"/>
      <c r="B2491" s="3" t="s">
        <v>0</v>
      </c>
      <c r="C2491" s="23" t="s">
        <v>41</v>
      </c>
      <c r="D2491" s="21"/>
    </row>
    <row r="2492" spans="1:4" ht="12.75" customHeight="1" x14ac:dyDescent="0.2">
      <c r="A2492" s="21"/>
      <c r="B2492" s="3" t="s">
        <v>2</v>
      </c>
      <c r="C2492" s="23" t="s">
        <v>1839</v>
      </c>
      <c r="D2492" s="21"/>
    </row>
    <row r="2493" spans="1:4" ht="12.75" customHeight="1" x14ac:dyDescent="0.2">
      <c r="A2493" s="21"/>
      <c r="B2493" s="3" t="s">
        <v>1840</v>
      </c>
      <c r="C2493" s="23" t="s">
        <v>107</v>
      </c>
      <c r="D2493" s="21"/>
    </row>
    <row r="2494" spans="1:4" ht="12.75" customHeight="1" x14ac:dyDescent="0.2">
      <c r="A2494" s="21"/>
      <c r="B2494" s="3" t="s">
        <v>9</v>
      </c>
      <c r="C2494" s="23" t="s">
        <v>1614</v>
      </c>
      <c r="D2494" s="21"/>
    </row>
    <row r="2495" spans="1:4" ht="12.75" customHeight="1" x14ac:dyDescent="0.2">
      <c r="A2495" s="21"/>
      <c r="B2495" s="3" t="s">
        <v>11</v>
      </c>
      <c r="C2495" s="23" t="s">
        <v>1985</v>
      </c>
      <c r="D2495" s="21"/>
    </row>
    <row r="2496" spans="1:4" ht="12.75" customHeight="1" x14ac:dyDescent="0.2">
      <c r="A2496" s="21"/>
      <c r="B2496" s="3" t="s">
        <v>16</v>
      </c>
      <c r="C2496" s="23"/>
      <c r="D2496" s="21"/>
    </row>
    <row r="2497" spans="1:4" ht="12.75" customHeight="1" x14ac:dyDescent="0.2">
      <c r="A2497" s="21"/>
      <c r="B2497" s="3" t="s">
        <v>17</v>
      </c>
      <c r="C2497" s="23" t="s">
        <v>19</v>
      </c>
      <c r="D2497" s="21"/>
    </row>
    <row r="2498" spans="1:4" ht="12.75" customHeight="1" x14ac:dyDescent="0.2">
      <c r="A2498" s="21"/>
      <c r="B2498" s="20" t="s">
        <v>18</v>
      </c>
      <c r="C2498" s="8" t="s">
        <v>44</v>
      </c>
      <c r="D2498" s="1" t="str">
        <f>HYPERLINK("javascript:void(0)","holdpajzs")</f>
        <v>holdpajzs</v>
      </c>
    </row>
    <row r="2499" spans="1:4" ht="12.75" customHeight="1" x14ac:dyDescent="0.2">
      <c r="A2499" s="21"/>
      <c r="B2499" s="21"/>
      <c r="C2499" s="8" t="s">
        <v>57</v>
      </c>
      <c r="D2499" s="1" t="str">
        <f>HYPERLINK("javascript:void(0)","gyémánt")</f>
        <v>gyémánt</v>
      </c>
    </row>
    <row r="2500" spans="1:4" ht="12.75" customHeight="1" x14ac:dyDescent="0.2">
      <c r="A2500" s="21"/>
      <c r="B2500" s="21"/>
      <c r="C2500" s="8" t="s">
        <v>44</v>
      </c>
      <c r="D2500" s="1" t="str">
        <f>HYPERLINK("javascript:void(0)","centrolium")</f>
        <v>centrolium</v>
      </c>
    </row>
    <row r="2501" spans="1:4" ht="12.75" customHeight="1" x14ac:dyDescent="0.2">
      <c r="A2501" s="21"/>
      <c r="B2501" s="2"/>
      <c r="C2501" s="7"/>
      <c r="D2501" s="7"/>
    </row>
    <row r="2502" spans="1:4" ht="12.75" customHeight="1" x14ac:dyDescent="0.2">
      <c r="A2502" s="21"/>
      <c r="B2502" s="2"/>
      <c r="C2502" s="7"/>
      <c r="D2502" s="7"/>
    </row>
    <row r="2503" spans="1:4" ht="12.75" customHeight="1" x14ac:dyDescent="0.2">
      <c r="A2503" s="21"/>
      <c r="B2503" s="2"/>
      <c r="C2503" s="7"/>
      <c r="D2503" s="7"/>
    </row>
    <row r="2504" spans="1:4" ht="12.75" customHeight="1" x14ac:dyDescent="0.2">
      <c r="A2504" s="21"/>
      <c r="B2504" s="2"/>
      <c r="C2504" s="7"/>
      <c r="D2504" s="7"/>
    </row>
    <row r="2505" spans="1:4" ht="12.75" customHeight="1" x14ac:dyDescent="0.2">
      <c r="A2505" s="5"/>
      <c r="B2505" s="2"/>
      <c r="C2505" s="7"/>
      <c r="D2505" s="7"/>
    </row>
    <row r="2506" spans="1:4" ht="12.75" customHeight="1" x14ac:dyDescent="0.2">
      <c r="A2506" s="22" t="str">
        <f>HYPERLINK("javascript:void(0)","sodrony boxeralsó")</f>
        <v>sodrony boxeralsó</v>
      </c>
      <c r="B2506" s="21"/>
      <c r="C2506" s="21"/>
      <c r="D2506" s="7"/>
    </row>
    <row r="2507" spans="1:4" ht="12.75" customHeight="1" x14ac:dyDescent="0.2">
      <c r="A2507" s="20"/>
      <c r="B2507" s="2"/>
      <c r="C2507" s="7"/>
      <c r="D2507" s="7"/>
    </row>
    <row r="2508" spans="1:4" ht="12.75" customHeight="1" x14ac:dyDescent="0.2">
      <c r="A2508" s="21"/>
      <c r="B2508" s="3" t="s">
        <v>0</v>
      </c>
      <c r="C2508" s="9" t="s">
        <v>41</v>
      </c>
      <c r="D2508" s="7"/>
    </row>
    <row r="2509" spans="1:4" ht="12.75" customHeight="1" x14ac:dyDescent="0.2">
      <c r="A2509" s="21"/>
      <c r="B2509" s="3" t="s">
        <v>2</v>
      </c>
      <c r="C2509" s="9" t="s">
        <v>2322</v>
      </c>
      <c r="D2509" s="7"/>
    </row>
    <row r="2510" spans="1:4" ht="12.75" customHeight="1" x14ac:dyDescent="0.2">
      <c r="A2510" s="21"/>
      <c r="B2510" s="3" t="s">
        <v>1840</v>
      </c>
      <c r="C2510" s="9" t="s">
        <v>58</v>
      </c>
      <c r="D2510" s="7"/>
    </row>
    <row r="2511" spans="1:4" ht="12.75" customHeight="1" x14ac:dyDescent="0.2">
      <c r="A2511" s="21"/>
      <c r="B2511" s="3" t="s">
        <v>9</v>
      </c>
      <c r="C2511" s="9" t="s">
        <v>113</v>
      </c>
      <c r="D2511" s="7"/>
    </row>
    <row r="2512" spans="1:4" ht="25.5" customHeight="1" x14ac:dyDescent="0.2">
      <c r="A2512" s="21"/>
      <c r="B2512" s="3" t="s">
        <v>11</v>
      </c>
      <c r="C2512" s="9" t="s">
        <v>685</v>
      </c>
      <c r="D2512" s="7"/>
    </row>
    <row r="2513" spans="1:4" ht="12.75" customHeight="1" x14ac:dyDescent="0.2">
      <c r="A2513" s="21"/>
      <c r="B2513" s="3" t="s">
        <v>16</v>
      </c>
      <c r="C2513" s="9"/>
      <c r="D2513" s="7"/>
    </row>
    <row r="2514" spans="1:4" ht="12.75" customHeight="1" x14ac:dyDescent="0.2">
      <c r="A2514" s="21"/>
      <c r="B2514" s="3" t="s">
        <v>17</v>
      </c>
      <c r="C2514" s="9" t="s">
        <v>19</v>
      </c>
      <c r="D2514" s="7"/>
    </row>
    <row r="2515" spans="1:4" ht="12.75" customHeight="1" x14ac:dyDescent="0.2">
      <c r="A2515" s="21"/>
      <c r="B2515" s="3" t="s">
        <v>18</v>
      </c>
      <c r="C2515" s="8" t="s">
        <v>19</v>
      </c>
      <c r="D2515" s="7"/>
    </row>
    <row r="2516" spans="1:4" ht="12.75" customHeight="1" x14ac:dyDescent="0.2">
      <c r="A2516" s="21"/>
      <c r="B2516" s="2"/>
      <c r="C2516" s="7"/>
      <c r="D2516" s="7"/>
    </row>
    <row r="2517" spans="1:4" ht="12.75" customHeight="1" x14ac:dyDescent="0.2">
      <c r="A2517" s="21"/>
      <c r="B2517" s="2"/>
      <c r="C2517" s="7"/>
      <c r="D2517" s="7"/>
    </row>
    <row r="2518" spans="1:4" ht="12.75" customHeight="1" x14ac:dyDescent="0.2">
      <c r="A2518" s="21"/>
      <c r="B2518" s="2"/>
      <c r="C2518" s="7"/>
      <c r="D2518" s="7"/>
    </row>
    <row r="2519" spans="1:4" ht="12.75" customHeight="1" x14ac:dyDescent="0.2">
      <c r="A2519" s="21"/>
      <c r="B2519" s="2"/>
      <c r="C2519" s="7"/>
      <c r="D2519" s="7"/>
    </row>
    <row r="2520" spans="1:4" ht="12.75" customHeight="1" x14ac:dyDescent="0.2">
      <c r="A2520" s="5"/>
      <c r="B2520" s="2"/>
      <c r="C2520" s="7"/>
      <c r="D2520" s="7"/>
    </row>
    <row r="2521" spans="1:4" ht="12.75" customHeight="1" x14ac:dyDescent="0.2">
      <c r="A2521" s="22" t="str">
        <f>HYPERLINK("javascript:void(0)","hiper sisak")</f>
        <v>hiper sisak</v>
      </c>
      <c r="B2521" s="21"/>
      <c r="C2521" s="21"/>
      <c r="D2521" s="21"/>
    </row>
    <row r="2522" spans="1:4" ht="12.75" customHeight="1" x14ac:dyDescent="0.2">
      <c r="A2522" s="20"/>
      <c r="B2522" s="2"/>
      <c r="C2522" s="7"/>
      <c r="D2522" s="7"/>
    </row>
    <row r="2523" spans="1:4" ht="12.75" customHeight="1" x14ac:dyDescent="0.2">
      <c r="A2523" s="21"/>
      <c r="B2523" s="3" t="s">
        <v>0</v>
      </c>
      <c r="C2523" s="23" t="s">
        <v>41</v>
      </c>
      <c r="D2523" s="21"/>
    </row>
    <row r="2524" spans="1:4" ht="12.75" customHeight="1" x14ac:dyDescent="0.2">
      <c r="A2524" s="21"/>
      <c r="B2524" s="3" t="s">
        <v>2</v>
      </c>
      <c r="C2524" s="23"/>
      <c r="D2524" s="21"/>
    </row>
    <row r="2525" spans="1:4" ht="12.75" customHeight="1" x14ac:dyDescent="0.2">
      <c r="A2525" s="21"/>
      <c r="B2525" s="3" t="s">
        <v>1840</v>
      </c>
      <c r="C2525" s="23" t="s">
        <v>298</v>
      </c>
      <c r="D2525" s="21"/>
    </row>
    <row r="2526" spans="1:4" ht="12.75" customHeight="1" x14ac:dyDescent="0.2">
      <c r="A2526" s="21"/>
      <c r="B2526" s="3" t="s">
        <v>9</v>
      </c>
      <c r="C2526" s="23" t="s">
        <v>374</v>
      </c>
      <c r="D2526" s="21"/>
    </row>
    <row r="2527" spans="1:4" ht="12.75" customHeight="1" x14ac:dyDescent="0.2">
      <c r="A2527" s="21"/>
      <c r="B2527" s="3" t="s">
        <v>11</v>
      </c>
      <c r="C2527" s="23" t="s">
        <v>535</v>
      </c>
      <c r="D2527" s="21"/>
    </row>
    <row r="2528" spans="1:4" ht="12.75" customHeight="1" x14ac:dyDescent="0.2">
      <c r="A2528" s="21"/>
      <c r="B2528" s="3" t="s">
        <v>16</v>
      </c>
      <c r="C2528" s="23"/>
      <c r="D2528" s="21"/>
    </row>
    <row r="2529" spans="1:4" ht="12.75" customHeight="1" x14ac:dyDescent="0.2">
      <c r="A2529" s="21"/>
      <c r="B2529" s="3" t="s">
        <v>17</v>
      </c>
      <c r="C2529" s="23" t="s">
        <v>19</v>
      </c>
      <c r="D2529" s="21"/>
    </row>
    <row r="2530" spans="1:4" ht="12.75" customHeight="1" x14ac:dyDescent="0.2">
      <c r="A2530" s="21"/>
      <c r="B2530" s="20" t="s">
        <v>18</v>
      </c>
      <c r="C2530" s="8" t="s">
        <v>44</v>
      </c>
      <c r="D2530" s="1" t="str">
        <f>HYPERLINK("javascript:void(0)","centro sisak")</f>
        <v>centro sisak</v>
      </c>
    </row>
    <row r="2531" spans="1:4" ht="12.75" customHeight="1" x14ac:dyDescent="0.2">
      <c r="A2531" s="21"/>
      <c r="B2531" s="21"/>
      <c r="C2531" s="8" t="s">
        <v>117</v>
      </c>
      <c r="D2531" s="1" t="str">
        <f>HYPERLINK("javascript:void(0)","hiperium")</f>
        <v>hiperium</v>
      </c>
    </row>
    <row r="2532" spans="1:4" ht="12.75" customHeight="1" x14ac:dyDescent="0.2">
      <c r="A2532" s="21"/>
      <c r="B2532" s="21"/>
      <c r="C2532" s="8" t="s">
        <v>117</v>
      </c>
      <c r="D2532" s="1" t="str">
        <f>HYPERLINK("javascript:void(0)","gyémánt")</f>
        <v>gyémánt</v>
      </c>
    </row>
    <row r="2533" spans="1:4" ht="12.75" customHeight="1" x14ac:dyDescent="0.2">
      <c r="A2533" s="21"/>
      <c r="B2533" s="2"/>
      <c r="C2533" s="7"/>
      <c r="D2533" s="7"/>
    </row>
    <row r="2534" spans="1:4" ht="12.75" customHeight="1" x14ac:dyDescent="0.2">
      <c r="A2534" s="21"/>
      <c r="B2534" s="2"/>
      <c r="C2534" s="7"/>
      <c r="D2534" s="7"/>
    </row>
    <row r="2535" spans="1:4" ht="12.75" customHeight="1" x14ac:dyDescent="0.2">
      <c r="A2535" s="21"/>
      <c r="B2535" s="2"/>
      <c r="C2535" s="7"/>
      <c r="D2535" s="7"/>
    </row>
    <row r="2536" spans="1:4" ht="12.75" customHeight="1" x14ac:dyDescent="0.2">
      <c r="A2536" s="21"/>
      <c r="B2536" s="2"/>
      <c r="C2536" s="7"/>
      <c r="D2536" s="7"/>
    </row>
    <row r="2537" spans="1:4" ht="12.75" customHeight="1" x14ac:dyDescent="0.2">
      <c r="A2537" s="5"/>
      <c r="B2537" s="2"/>
      <c r="C2537" s="7"/>
      <c r="D2537" s="7"/>
    </row>
    <row r="2538" spans="1:4" ht="12.75" customHeight="1" x14ac:dyDescent="0.2">
      <c r="A2538" s="22" t="str">
        <f>HYPERLINK("javascript:void(0)","gyémántcsizma")</f>
        <v>gyémántcsizma</v>
      </c>
      <c r="B2538" s="21"/>
      <c r="C2538" s="21"/>
      <c r="D2538" s="21"/>
    </row>
    <row r="2539" spans="1:4" ht="12.75" customHeight="1" x14ac:dyDescent="0.2">
      <c r="A2539" s="20"/>
      <c r="B2539" s="2"/>
      <c r="C2539" s="7"/>
      <c r="D2539" s="7"/>
    </row>
    <row r="2540" spans="1:4" ht="12.75" customHeight="1" x14ac:dyDescent="0.2">
      <c r="A2540" s="21"/>
      <c r="B2540" s="3" t="s">
        <v>0</v>
      </c>
      <c r="C2540" s="23" t="s">
        <v>41</v>
      </c>
      <c r="D2540" s="21"/>
    </row>
    <row r="2541" spans="1:4" ht="12.75" customHeight="1" x14ac:dyDescent="0.2">
      <c r="A2541" s="21"/>
      <c r="B2541" s="3" t="s">
        <v>2</v>
      </c>
      <c r="C2541" s="23"/>
      <c r="D2541" s="21"/>
    </row>
    <row r="2542" spans="1:4" ht="12.75" customHeight="1" x14ac:dyDescent="0.2">
      <c r="A2542" s="21"/>
      <c r="B2542" s="3" t="s">
        <v>1840</v>
      </c>
      <c r="C2542" s="23" t="s">
        <v>284</v>
      </c>
      <c r="D2542" s="21"/>
    </row>
    <row r="2543" spans="1:4" ht="12.75" customHeight="1" x14ac:dyDescent="0.2">
      <c r="A2543" s="21"/>
      <c r="B2543" s="3" t="s">
        <v>9</v>
      </c>
      <c r="C2543" s="23" t="s">
        <v>10</v>
      </c>
      <c r="D2543" s="21"/>
    </row>
    <row r="2544" spans="1:4" ht="12.75" customHeight="1" x14ac:dyDescent="0.2">
      <c r="A2544" s="21"/>
      <c r="B2544" s="3" t="s">
        <v>11</v>
      </c>
      <c r="C2544" s="23" t="s">
        <v>551</v>
      </c>
      <c r="D2544" s="21"/>
    </row>
    <row r="2545" spans="1:4" ht="12.75" customHeight="1" x14ac:dyDescent="0.2">
      <c r="A2545" s="21"/>
      <c r="B2545" s="3" t="s">
        <v>16</v>
      </c>
      <c r="C2545" s="23"/>
      <c r="D2545" s="21"/>
    </row>
    <row r="2546" spans="1:4" ht="12.75" customHeight="1" x14ac:dyDescent="0.2">
      <c r="A2546" s="21"/>
      <c r="B2546" s="3" t="s">
        <v>17</v>
      </c>
      <c r="C2546" s="23" t="s">
        <v>19</v>
      </c>
      <c r="D2546" s="21"/>
    </row>
    <row r="2547" spans="1:4" ht="12.75" customHeight="1" x14ac:dyDescent="0.2">
      <c r="A2547" s="21"/>
      <c r="B2547" s="20" t="s">
        <v>18</v>
      </c>
      <c r="C2547" s="8" t="s">
        <v>44</v>
      </c>
      <c r="D2547" s="1" t="str">
        <f>HYPERLINK("javascript:void(0)","rubincsizma")</f>
        <v>rubincsizma</v>
      </c>
    </row>
    <row r="2548" spans="1:4" ht="12.75" customHeight="1" x14ac:dyDescent="0.2">
      <c r="A2548" s="21"/>
      <c r="B2548" s="21"/>
      <c r="C2548" s="8" t="s">
        <v>130</v>
      </c>
      <c r="D2548" s="1" t="str">
        <f>HYPERLINK("javascript:void(0)","gyémánt")</f>
        <v>gyémánt</v>
      </c>
    </row>
    <row r="2549" spans="1:4" ht="12.75" customHeight="1" x14ac:dyDescent="0.2">
      <c r="A2549" s="21"/>
      <c r="B2549" s="21"/>
      <c r="C2549" s="8" t="s">
        <v>309</v>
      </c>
      <c r="D2549" s="1" t="str">
        <f>HYPERLINK("javascript:void(0)","sárkány szem")</f>
        <v>sárkány szem</v>
      </c>
    </row>
    <row r="2550" spans="1:4" ht="12.75" customHeight="1" x14ac:dyDescent="0.2">
      <c r="A2550" s="21"/>
      <c r="B2550" s="2"/>
      <c r="C2550" s="7"/>
      <c r="D2550" s="7"/>
    </row>
    <row r="2551" spans="1:4" ht="12.75" customHeight="1" x14ac:dyDescent="0.2">
      <c r="A2551" s="21"/>
      <c r="B2551" s="2"/>
      <c r="C2551" s="7"/>
      <c r="D2551" s="7"/>
    </row>
    <row r="2552" spans="1:4" ht="12.75" customHeight="1" x14ac:dyDescent="0.2">
      <c r="A2552" s="21"/>
      <c r="B2552" s="2"/>
      <c r="C2552" s="7"/>
      <c r="D2552" s="7"/>
    </row>
    <row r="2553" spans="1:4" ht="12.75" customHeight="1" x14ac:dyDescent="0.2">
      <c r="A2553" s="21"/>
      <c r="B2553" s="2"/>
      <c r="C2553" s="7"/>
      <c r="D2553" s="7"/>
    </row>
    <row r="2554" spans="1:4" ht="12.75" customHeight="1" x14ac:dyDescent="0.2">
      <c r="A2554" s="5"/>
      <c r="B2554" s="2"/>
      <c r="C2554" s="7"/>
      <c r="D2554" s="7"/>
    </row>
    <row r="2555" spans="1:4" ht="12.75" customHeight="1" x14ac:dyDescent="0.2">
      <c r="A2555" s="22" t="str">
        <f>HYPERLINK("javascript:void(0)","óriás manópajzs")</f>
        <v>óriás manópajzs</v>
      </c>
      <c r="B2555" s="21"/>
      <c r="C2555" s="21"/>
      <c r="D2555" s="21"/>
    </row>
    <row r="2556" spans="1:4" ht="12.75" customHeight="1" x14ac:dyDescent="0.2">
      <c r="A2556" s="20"/>
      <c r="B2556" s="2"/>
      <c r="C2556" s="7"/>
      <c r="D2556" s="7"/>
    </row>
    <row r="2557" spans="1:4" ht="12.75" customHeight="1" x14ac:dyDescent="0.2">
      <c r="A2557" s="21"/>
      <c r="B2557" s="3" t="s">
        <v>0</v>
      </c>
      <c r="C2557" s="23" t="s">
        <v>260</v>
      </c>
      <c r="D2557" s="21"/>
    </row>
    <row r="2558" spans="1:4" ht="12.75" customHeight="1" x14ac:dyDescent="0.2">
      <c r="A2558" s="21"/>
      <c r="B2558" s="3" t="s">
        <v>2</v>
      </c>
      <c r="C2558" s="23" t="s">
        <v>1839</v>
      </c>
      <c r="D2558" s="21"/>
    </row>
    <row r="2559" spans="1:4" ht="12.75" customHeight="1" x14ac:dyDescent="0.2">
      <c r="A2559" s="21"/>
      <c r="B2559" s="3" t="s">
        <v>1840</v>
      </c>
      <c r="C2559" s="23" t="s">
        <v>392</v>
      </c>
      <c r="D2559" s="21"/>
    </row>
    <row r="2560" spans="1:4" ht="12.75" customHeight="1" x14ac:dyDescent="0.2">
      <c r="A2560" s="21"/>
      <c r="B2560" s="3" t="s">
        <v>9</v>
      </c>
      <c r="C2560" s="23" t="s">
        <v>549</v>
      </c>
      <c r="D2560" s="21"/>
    </row>
    <row r="2561" spans="1:4" ht="12.75" customHeight="1" x14ac:dyDescent="0.2">
      <c r="A2561" s="21"/>
      <c r="B2561" s="3" t="s">
        <v>11</v>
      </c>
      <c r="C2561" s="23" t="s">
        <v>395</v>
      </c>
      <c r="D2561" s="21"/>
    </row>
    <row r="2562" spans="1:4" ht="12.75" customHeight="1" x14ac:dyDescent="0.2">
      <c r="A2562" s="21"/>
      <c r="B2562" s="3" t="s">
        <v>16</v>
      </c>
      <c r="C2562" s="23"/>
      <c r="D2562" s="21"/>
    </row>
    <row r="2563" spans="1:4" ht="12.75" customHeight="1" x14ac:dyDescent="0.2">
      <c r="A2563" s="21"/>
      <c r="B2563" s="3" t="s">
        <v>17</v>
      </c>
      <c r="C2563" s="23" t="s">
        <v>19</v>
      </c>
      <c r="D2563" s="21"/>
    </row>
    <row r="2564" spans="1:4" ht="12.75" customHeight="1" x14ac:dyDescent="0.2">
      <c r="A2564" s="21"/>
      <c r="B2564" s="20" t="s">
        <v>18</v>
      </c>
      <c r="C2564" s="8" t="s">
        <v>951</v>
      </c>
      <c r="D2564" s="1" t="str">
        <f>HYPERLINK("javascript:void(0)","goblinbatka")</f>
        <v>goblinbatka</v>
      </c>
    </row>
    <row r="2565" spans="1:4" ht="12.75" customHeight="1" x14ac:dyDescent="0.2">
      <c r="A2565" s="21"/>
      <c r="B2565" s="21"/>
      <c r="C2565" s="8" t="s">
        <v>44</v>
      </c>
      <c r="D2565" s="1" t="str">
        <f>HYPERLINK("javascript:void(0)","nagy manópajzs")</f>
        <v>nagy manópajzs</v>
      </c>
    </row>
    <row r="2566" spans="1:4" ht="12.75" customHeight="1" x14ac:dyDescent="0.2">
      <c r="A2566" s="21"/>
      <c r="B2566" s="21"/>
      <c r="C2566" s="8" t="s">
        <v>44</v>
      </c>
      <c r="D2566" s="1" t="str">
        <f>HYPERLINK("javascript:void(0)","gyémánt testpajzs")</f>
        <v>gyémánt testpajzs</v>
      </c>
    </row>
    <row r="2567" spans="1:4" ht="12.75" customHeight="1" x14ac:dyDescent="0.2">
      <c r="A2567" s="21"/>
      <c r="B2567" s="2"/>
      <c r="C2567" s="7"/>
      <c r="D2567" s="7"/>
    </row>
    <row r="2568" spans="1:4" ht="12.75" customHeight="1" x14ac:dyDescent="0.2">
      <c r="A2568" s="21"/>
      <c r="B2568" s="2"/>
      <c r="C2568" s="7"/>
      <c r="D2568" s="7"/>
    </row>
    <row r="2569" spans="1:4" ht="12.75" customHeight="1" x14ac:dyDescent="0.2">
      <c r="A2569" s="21"/>
      <c r="B2569" s="2"/>
      <c r="C2569" s="7"/>
      <c r="D2569" s="7"/>
    </row>
    <row r="2570" spans="1:4" ht="12.75" customHeight="1" x14ac:dyDescent="0.2">
      <c r="A2570" s="21"/>
      <c r="B2570" s="2"/>
      <c r="C2570" s="7"/>
      <c r="D2570" s="7"/>
    </row>
    <row r="2571" spans="1:4" ht="12.75" customHeight="1" x14ac:dyDescent="0.2">
      <c r="A2571" s="5"/>
      <c r="B2571" s="2"/>
      <c r="C2571" s="7"/>
      <c r="D2571" s="7"/>
    </row>
    <row r="2572" spans="1:4" ht="12.75" customHeight="1" x14ac:dyDescent="0.2">
      <c r="A2572" s="22" t="str">
        <f>HYPERLINK("javascript:void(0)","sodrony sisak")</f>
        <v>sodrony sisak</v>
      </c>
      <c r="B2572" s="21"/>
      <c r="C2572" s="21"/>
      <c r="D2572" s="21"/>
    </row>
    <row r="2573" spans="1:4" ht="12.75" customHeight="1" x14ac:dyDescent="0.2">
      <c r="A2573" s="20"/>
      <c r="B2573" s="2"/>
      <c r="C2573" s="7"/>
      <c r="D2573" s="7"/>
    </row>
    <row r="2574" spans="1:4" ht="12.75" customHeight="1" x14ac:dyDescent="0.2">
      <c r="A2574" s="21"/>
      <c r="B2574" s="3" t="s">
        <v>0</v>
      </c>
      <c r="C2574" s="23" t="s">
        <v>260</v>
      </c>
      <c r="D2574" s="21"/>
    </row>
    <row r="2575" spans="1:4" ht="12.75" customHeight="1" x14ac:dyDescent="0.2">
      <c r="A2575" s="21"/>
      <c r="B2575" s="3" t="s">
        <v>2</v>
      </c>
      <c r="C2575" s="23"/>
      <c r="D2575" s="21"/>
    </row>
    <row r="2576" spans="1:4" ht="12.75" customHeight="1" x14ac:dyDescent="0.2">
      <c r="A2576" s="21"/>
      <c r="B2576" s="3" t="s">
        <v>1840</v>
      </c>
      <c r="C2576" s="23" t="s">
        <v>107</v>
      </c>
      <c r="D2576" s="21"/>
    </row>
    <row r="2577" spans="1:4" ht="12.75" customHeight="1" x14ac:dyDescent="0.2">
      <c r="A2577" s="21"/>
      <c r="B2577" s="3" t="s">
        <v>9</v>
      </c>
      <c r="C2577" s="23" t="s">
        <v>210</v>
      </c>
      <c r="D2577" s="21"/>
    </row>
    <row r="2578" spans="1:4" ht="12.75" customHeight="1" x14ac:dyDescent="0.2">
      <c r="A2578" s="21"/>
      <c r="B2578" s="3" t="s">
        <v>11</v>
      </c>
      <c r="C2578" s="23" t="s">
        <v>395</v>
      </c>
      <c r="D2578" s="21"/>
    </row>
    <row r="2579" spans="1:4" ht="12.75" customHeight="1" x14ac:dyDescent="0.2">
      <c r="A2579" s="21"/>
      <c r="B2579" s="3" t="s">
        <v>16</v>
      </c>
      <c r="C2579" s="23"/>
      <c r="D2579" s="21"/>
    </row>
    <row r="2580" spans="1:4" ht="12.75" customHeight="1" x14ac:dyDescent="0.2">
      <c r="A2580" s="21"/>
      <c r="B2580" s="3" t="s">
        <v>17</v>
      </c>
      <c r="C2580" s="23" t="s">
        <v>19</v>
      </c>
      <c r="D2580" s="21"/>
    </row>
    <row r="2581" spans="1:4" ht="12.75" customHeight="1" x14ac:dyDescent="0.2">
      <c r="A2581" s="21"/>
      <c r="B2581" s="20" t="s">
        <v>18</v>
      </c>
      <c r="C2581" s="8" t="s">
        <v>67</v>
      </c>
      <c r="D2581" s="1" t="str">
        <f>HYPERLINK("javascript:void(0)","láncsisak")</f>
        <v>láncsisak</v>
      </c>
    </row>
    <row r="2582" spans="1:4" ht="12.75" customHeight="1" x14ac:dyDescent="0.2">
      <c r="A2582" s="21"/>
      <c r="B2582" s="21"/>
      <c r="C2582" s="8" t="s">
        <v>55</v>
      </c>
      <c r="D2582" s="1" t="str">
        <f>HYPERLINK("javascript:void(0)","sodrony boxeralsó")</f>
        <v>sodrony boxeralsó</v>
      </c>
    </row>
    <row r="2583" spans="1:4" ht="12.75" customHeight="1" x14ac:dyDescent="0.2">
      <c r="A2583" s="21"/>
      <c r="B2583" s="21"/>
      <c r="C2583" s="8" t="s">
        <v>55</v>
      </c>
      <c r="D2583" s="1" t="str">
        <f>HYPERLINK("javascript:void(0)","idegen szerkentyű")</f>
        <v>idegen szerkentyű</v>
      </c>
    </row>
    <row r="2584" spans="1:4" ht="12.75" customHeight="1" x14ac:dyDescent="0.2">
      <c r="A2584" s="21"/>
      <c r="B2584" s="2"/>
      <c r="C2584" s="7"/>
      <c r="D2584" s="7"/>
    </row>
    <row r="2585" spans="1:4" ht="12.75" customHeight="1" x14ac:dyDescent="0.2">
      <c r="A2585" s="21"/>
      <c r="B2585" s="2"/>
      <c r="C2585" s="7"/>
      <c r="D2585" s="7"/>
    </row>
    <row r="2586" spans="1:4" ht="12.75" customHeight="1" x14ac:dyDescent="0.2">
      <c r="A2586" s="21"/>
      <c r="B2586" s="2"/>
      <c r="C2586" s="7"/>
      <c r="D2586" s="7"/>
    </row>
    <row r="2587" spans="1:4" ht="12.75" customHeight="1" x14ac:dyDescent="0.2">
      <c r="A2587" s="21"/>
      <c r="B2587" s="2"/>
      <c r="C2587" s="7"/>
      <c r="D2587" s="7"/>
    </row>
    <row r="2588" spans="1:4" ht="12.75" customHeight="1" x14ac:dyDescent="0.2">
      <c r="A2588" s="5"/>
      <c r="B2588" s="2"/>
      <c r="C2588" s="7"/>
      <c r="D2588" s="7"/>
    </row>
    <row r="2589" spans="1:4" ht="12.75" customHeight="1" x14ac:dyDescent="0.2">
      <c r="A2589" s="22" t="str">
        <f>HYPERLINK("javascript:void(0)","kithpáncél")</f>
        <v>kithpáncél</v>
      </c>
      <c r="B2589" s="21"/>
      <c r="C2589" s="21"/>
      <c r="D2589" s="21"/>
    </row>
    <row r="2590" spans="1:4" ht="12.75" customHeight="1" x14ac:dyDescent="0.2">
      <c r="A2590" s="20"/>
      <c r="B2590" s="2"/>
      <c r="C2590" s="7"/>
      <c r="D2590" s="7"/>
    </row>
    <row r="2591" spans="1:4" ht="12.75" customHeight="1" x14ac:dyDescent="0.2">
      <c r="A2591" s="21"/>
      <c r="B2591" s="3" t="s">
        <v>0</v>
      </c>
      <c r="C2591" s="23" t="s">
        <v>260</v>
      </c>
      <c r="D2591" s="21"/>
    </row>
    <row r="2592" spans="1:4" ht="12.75" customHeight="1" x14ac:dyDescent="0.2">
      <c r="A2592" s="21"/>
      <c r="B2592" s="3" t="s">
        <v>2</v>
      </c>
      <c r="C2592" s="23" t="s">
        <v>2322</v>
      </c>
      <c r="D2592" s="21"/>
    </row>
    <row r="2593" spans="1:4" ht="12.75" customHeight="1" x14ac:dyDescent="0.2">
      <c r="A2593" s="21"/>
      <c r="B2593" s="3" t="s">
        <v>1840</v>
      </c>
      <c r="C2593" s="23" t="s">
        <v>167</v>
      </c>
      <c r="D2593" s="21"/>
    </row>
    <row r="2594" spans="1:4" ht="12.75" customHeight="1" x14ac:dyDescent="0.2">
      <c r="A2594" s="21"/>
      <c r="B2594" s="3" t="s">
        <v>9</v>
      </c>
      <c r="C2594" s="23" t="s">
        <v>962</v>
      </c>
      <c r="D2594" s="21"/>
    </row>
    <row r="2595" spans="1:4" ht="12.75" customHeight="1" x14ac:dyDescent="0.2">
      <c r="A2595" s="21"/>
      <c r="B2595" s="3" t="s">
        <v>11</v>
      </c>
      <c r="C2595" s="23" t="s">
        <v>551</v>
      </c>
      <c r="D2595" s="21"/>
    </row>
    <row r="2596" spans="1:4" ht="12.75" customHeight="1" x14ac:dyDescent="0.2">
      <c r="A2596" s="21"/>
      <c r="B2596" s="3" t="s">
        <v>16</v>
      </c>
      <c r="C2596" s="23"/>
      <c r="D2596" s="21"/>
    </row>
    <row r="2597" spans="1:4" ht="12.75" customHeight="1" x14ac:dyDescent="0.2">
      <c r="A2597" s="21"/>
      <c r="B2597" s="3" t="s">
        <v>17</v>
      </c>
      <c r="C2597" s="23" t="s">
        <v>19</v>
      </c>
      <c r="D2597" s="21"/>
    </row>
    <row r="2598" spans="1:4" ht="12.75" customHeight="1" x14ac:dyDescent="0.2">
      <c r="A2598" s="21"/>
      <c r="B2598" s="20" t="s">
        <v>18</v>
      </c>
      <c r="C2598" s="8" t="s">
        <v>139</v>
      </c>
      <c r="D2598" s="1" t="str">
        <f>HYPERLINK("javascript:void(0)","kithrill")</f>
        <v>kithrill</v>
      </c>
    </row>
    <row r="2599" spans="1:4" ht="12.75" customHeight="1" x14ac:dyDescent="0.2">
      <c r="A2599" s="21"/>
      <c r="B2599" s="21"/>
      <c r="C2599" s="8" t="s">
        <v>44</v>
      </c>
      <c r="D2599" s="1" t="str">
        <f>HYPERLINK("javascript:void(0)","diszpropáncél")</f>
        <v>diszpropáncél</v>
      </c>
    </row>
    <row r="2600" spans="1:4" ht="12.75" customHeight="1" x14ac:dyDescent="0.2">
      <c r="A2600" s="21"/>
      <c r="B2600" s="21"/>
      <c r="C2600" s="8" t="s">
        <v>244</v>
      </c>
      <c r="D2600" s="1" t="str">
        <f>HYPERLINK("javascript:void(0)","sárkány taréj")</f>
        <v>sárkány taréj</v>
      </c>
    </row>
    <row r="2601" spans="1:4" ht="12.75" customHeight="1" x14ac:dyDescent="0.2">
      <c r="A2601" s="21"/>
      <c r="B2601" s="2"/>
      <c r="C2601" s="7"/>
      <c r="D2601" s="7"/>
    </row>
    <row r="2602" spans="1:4" ht="12.75" customHeight="1" x14ac:dyDescent="0.2">
      <c r="A2602" s="21"/>
      <c r="B2602" s="2"/>
      <c r="C2602" s="7"/>
      <c r="D2602" s="7"/>
    </row>
    <row r="2603" spans="1:4" ht="12.75" customHeight="1" x14ac:dyDescent="0.2">
      <c r="A2603" s="21"/>
      <c r="B2603" s="2"/>
      <c r="C2603" s="7"/>
      <c r="D2603" s="7"/>
    </row>
    <row r="2604" spans="1:4" ht="12.75" customHeight="1" x14ac:dyDescent="0.2">
      <c r="A2604" s="21"/>
      <c r="B2604" s="2"/>
      <c r="C2604" s="7"/>
      <c r="D2604" s="7"/>
    </row>
    <row r="2605" spans="1:4" ht="12.75" customHeight="1" x14ac:dyDescent="0.2">
      <c r="A2605" s="5"/>
      <c r="B2605" s="2"/>
      <c r="C2605" s="7"/>
      <c r="D2605" s="7"/>
    </row>
    <row r="2606" spans="1:4" ht="12.75" customHeight="1" x14ac:dyDescent="0.2">
      <c r="A2606" s="22" t="str">
        <f>HYPERLINK("javascript:void(0)","elfacél csizma")</f>
        <v>elfacél csizma</v>
      </c>
      <c r="B2606" s="21"/>
      <c r="C2606" s="21"/>
      <c r="D2606" s="21"/>
    </row>
    <row r="2607" spans="1:4" ht="12.75" customHeight="1" x14ac:dyDescent="0.2">
      <c r="A2607" s="20"/>
      <c r="B2607" s="2"/>
      <c r="C2607" s="7"/>
      <c r="D2607" s="7"/>
    </row>
    <row r="2608" spans="1:4" ht="12.75" customHeight="1" x14ac:dyDescent="0.2">
      <c r="A2608" s="21"/>
      <c r="B2608" s="3" t="s">
        <v>0</v>
      </c>
      <c r="C2608" s="23" t="s">
        <v>260</v>
      </c>
      <c r="D2608" s="21"/>
    </row>
    <row r="2609" spans="1:4" ht="12.75" customHeight="1" x14ac:dyDescent="0.2">
      <c r="A2609" s="21"/>
      <c r="B2609" s="3" t="s">
        <v>2</v>
      </c>
      <c r="C2609" s="23"/>
      <c r="D2609" s="21"/>
    </row>
    <row r="2610" spans="1:4" ht="12.75" customHeight="1" x14ac:dyDescent="0.2">
      <c r="A2610" s="21"/>
      <c r="B2610" s="3" t="s">
        <v>1840</v>
      </c>
      <c r="C2610" s="23" t="s">
        <v>298</v>
      </c>
      <c r="D2610" s="21"/>
    </row>
    <row r="2611" spans="1:4" ht="12.75" customHeight="1" x14ac:dyDescent="0.2">
      <c r="A2611" s="21"/>
      <c r="B2611" s="3" t="s">
        <v>9</v>
      </c>
      <c r="C2611" s="23" t="s">
        <v>70</v>
      </c>
      <c r="D2611" s="21"/>
    </row>
    <row r="2612" spans="1:4" ht="12.75" customHeight="1" x14ac:dyDescent="0.2">
      <c r="A2612" s="21"/>
      <c r="B2612" s="3" t="s">
        <v>11</v>
      </c>
      <c r="C2612" s="23" t="s">
        <v>519</v>
      </c>
      <c r="D2612" s="21"/>
    </row>
    <row r="2613" spans="1:4" ht="12.75" customHeight="1" x14ac:dyDescent="0.2">
      <c r="A2613" s="21"/>
      <c r="B2613" s="3" t="s">
        <v>16</v>
      </c>
      <c r="C2613" s="23"/>
      <c r="D2613" s="21"/>
    </row>
    <row r="2614" spans="1:4" ht="12.75" customHeight="1" x14ac:dyDescent="0.2">
      <c r="A2614" s="21"/>
      <c r="B2614" s="3" t="s">
        <v>17</v>
      </c>
      <c r="C2614" s="23" t="s">
        <v>19</v>
      </c>
      <c r="D2614" s="21"/>
    </row>
    <row r="2615" spans="1:4" ht="12.75" customHeight="1" x14ac:dyDescent="0.2">
      <c r="A2615" s="21"/>
      <c r="B2615" s="20" t="s">
        <v>18</v>
      </c>
      <c r="C2615" s="8" t="s">
        <v>44</v>
      </c>
      <c r="D2615" s="1" t="str">
        <f>HYPERLINK("javascript:void(0)","dracoacél csizma")</f>
        <v>dracoacél csizma</v>
      </c>
    </row>
    <row r="2616" spans="1:4" ht="12.75" customHeight="1" x14ac:dyDescent="0.2">
      <c r="A2616" s="21"/>
      <c r="B2616" s="21"/>
      <c r="C2616" s="8" t="s">
        <v>193</v>
      </c>
      <c r="D2616" s="1" t="str">
        <f>HYPERLINK("javascript:void(0)","sárkányfű")</f>
        <v>sárkányfű</v>
      </c>
    </row>
    <row r="2617" spans="1:4" ht="12.75" customHeight="1" x14ac:dyDescent="0.2">
      <c r="A2617" s="21"/>
      <c r="B2617" s="21"/>
      <c r="C2617" s="8" t="s">
        <v>67</v>
      </c>
      <c r="D2617" s="1" t="str">
        <f>HYPERLINK("javascript:void(0)","szent szimbólum")</f>
        <v>szent szimbólum</v>
      </c>
    </row>
    <row r="2618" spans="1:4" ht="12.75" customHeight="1" x14ac:dyDescent="0.2">
      <c r="A2618" s="21"/>
      <c r="B2618" s="2"/>
      <c r="C2618" s="7"/>
      <c r="D2618" s="7"/>
    </row>
    <row r="2619" spans="1:4" ht="12.75" customHeight="1" x14ac:dyDescent="0.2">
      <c r="A2619" s="21"/>
      <c r="B2619" s="2"/>
      <c r="C2619" s="7"/>
      <c r="D2619" s="7"/>
    </row>
    <row r="2620" spans="1:4" ht="12.75" customHeight="1" x14ac:dyDescent="0.2">
      <c r="A2620" s="21"/>
      <c r="B2620" s="2"/>
      <c r="C2620" s="7"/>
      <c r="D2620" s="7"/>
    </row>
    <row r="2621" spans="1:4" ht="12.75" customHeight="1" x14ac:dyDescent="0.2">
      <c r="A2621" s="21"/>
      <c r="B2621" s="2"/>
      <c r="C2621" s="7"/>
      <c r="D2621" s="7"/>
    </row>
    <row r="2622" spans="1:4" ht="12.75" customHeight="1" x14ac:dyDescent="0.2">
      <c r="A2622" s="5"/>
      <c r="B2622" s="2"/>
      <c r="C2622" s="7"/>
      <c r="D2622" s="7"/>
    </row>
    <row r="2623" spans="1:4" ht="12.75" customHeight="1" x14ac:dyDescent="0.2">
      <c r="A2623" s="22" t="str">
        <f>HYPERLINK("javascript:void(0)","ezüst pillepajzs")</f>
        <v>ezüst pillepajzs</v>
      </c>
      <c r="B2623" s="21"/>
      <c r="C2623" s="21"/>
      <c r="D2623" s="21"/>
    </row>
    <row r="2624" spans="1:4" ht="12.75" customHeight="1" x14ac:dyDescent="0.2">
      <c r="A2624" s="20"/>
      <c r="B2624" s="2"/>
      <c r="C2624" s="7"/>
      <c r="D2624" s="7"/>
    </row>
    <row r="2625" spans="1:4" ht="12.75" customHeight="1" x14ac:dyDescent="0.2">
      <c r="A2625" s="21"/>
      <c r="B2625" s="3" t="s">
        <v>0</v>
      </c>
      <c r="C2625" s="23" t="s">
        <v>260</v>
      </c>
      <c r="D2625" s="21"/>
    </row>
    <row r="2626" spans="1:4" ht="12.75" customHeight="1" x14ac:dyDescent="0.2">
      <c r="A2626" s="21"/>
      <c r="B2626" s="3" t="s">
        <v>2</v>
      </c>
      <c r="C2626" s="23" t="s">
        <v>1839</v>
      </c>
      <c r="D2626" s="21"/>
    </row>
    <row r="2627" spans="1:4" ht="12.75" customHeight="1" x14ac:dyDescent="0.2">
      <c r="A2627" s="21"/>
      <c r="B2627" s="3" t="s">
        <v>1840</v>
      </c>
      <c r="C2627" s="23" t="s">
        <v>353</v>
      </c>
      <c r="D2627" s="21"/>
    </row>
    <row r="2628" spans="1:4" ht="12.75" customHeight="1" x14ac:dyDescent="0.2">
      <c r="A2628" s="21"/>
      <c r="B2628" s="3" t="s">
        <v>9</v>
      </c>
      <c r="C2628" s="23" t="s">
        <v>53</v>
      </c>
      <c r="D2628" s="21"/>
    </row>
    <row r="2629" spans="1:4" ht="12.75" customHeight="1" x14ac:dyDescent="0.2">
      <c r="A2629" s="21"/>
      <c r="B2629" s="3" t="s">
        <v>11</v>
      </c>
      <c r="C2629" s="23" t="s">
        <v>519</v>
      </c>
      <c r="D2629" s="21"/>
    </row>
    <row r="2630" spans="1:4" ht="12.75" customHeight="1" x14ac:dyDescent="0.2">
      <c r="A2630" s="21"/>
      <c r="B2630" s="3" t="s">
        <v>16</v>
      </c>
      <c r="C2630" s="23"/>
      <c r="D2630" s="21"/>
    </row>
    <row r="2631" spans="1:4" ht="12.75" customHeight="1" x14ac:dyDescent="0.2">
      <c r="A2631" s="21"/>
      <c r="B2631" s="3" t="s">
        <v>17</v>
      </c>
      <c r="C2631" s="23" t="s">
        <v>19</v>
      </c>
      <c r="D2631" s="21"/>
    </row>
    <row r="2632" spans="1:4" ht="12.75" customHeight="1" x14ac:dyDescent="0.2">
      <c r="A2632" s="21"/>
      <c r="B2632" s="20" t="s">
        <v>18</v>
      </c>
      <c r="C2632" s="8" t="s">
        <v>44</v>
      </c>
      <c r="D2632" s="1" t="str">
        <f>HYPERLINK("javascript:void(0)","óriás pillepajzs")</f>
        <v>óriás pillepajzs</v>
      </c>
    </row>
    <row r="2633" spans="1:4" ht="12.75" customHeight="1" x14ac:dyDescent="0.2">
      <c r="A2633" s="21"/>
      <c r="B2633" s="21"/>
      <c r="C2633" s="8" t="s">
        <v>44</v>
      </c>
      <c r="D2633" s="1" t="str">
        <f>HYPERLINK("javascript:void(0)","óriás manópajzs")</f>
        <v>óriás manópajzs</v>
      </c>
    </row>
    <row r="2634" spans="1:4" ht="12.75" customHeight="1" x14ac:dyDescent="0.2">
      <c r="A2634" s="21"/>
      <c r="B2634" s="21"/>
      <c r="C2634" s="8" t="s">
        <v>290</v>
      </c>
      <c r="D2634" s="1" t="str">
        <f>HYPERLINK("javascript:void(0)","kallandra fog")</f>
        <v>kallandra fog</v>
      </c>
    </row>
    <row r="2635" spans="1:4" ht="12.75" customHeight="1" x14ac:dyDescent="0.2">
      <c r="A2635" s="21"/>
      <c r="B2635" s="2"/>
      <c r="C2635" s="7"/>
      <c r="D2635" s="7"/>
    </row>
    <row r="2636" spans="1:4" ht="12.75" customHeight="1" x14ac:dyDescent="0.2">
      <c r="A2636" s="21"/>
      <c r="B2636" s="2"/>
      <c r="C2636" s="7"/>
      <c r="D2636" s="7"/>
    </row>
    <row r="2637" spans="1:4" ht="12.75" customHeight="1" x14ac:dyDescent="0.2">
      <c r="A2637" s="21"/>
      <c r="B2637" s="2"/>
      <c r="C2637" s="7"/>
      <c r="D2637" s="7"/>
    </row>
    <row r="2638" spans="1:4" ht="12.75" customHeight="1" x14ac:dyDescent="0.2">
      <c r="A2638" s="21"/>
      <c r="B2638" s="2"/>
      <c r="C2638" s="7"/>
      <c r="D2638" s="7"/>
    </row>
    <row r="2639" spans="1:4" ht="12.75" customHeight="1" x14ac:dyDescent="0.2">
      <c r="A2639" s="5"/>
      <c r="B2639" s="2"/>
      <c r="C2639" s="7"/>
      <c r="D2639" s="7"/>
    </row>
    <row r="2640" spans="1:4" ht="12.75" customHeight="1" x14ac:dyDescent="0.2">
      <c r="A2640" s="22" t="str">
        <f>HYPERLINK("javascript:void(0)","kallandra pajzs")</f>
        <v>kallandra pajzs</v>
      </c>
      <c r="B2640" s="21"/>
      <c r="C2640" s="21"/>
      <c r="D2640" s="21"/>
    </row>
    <row r="2641" spans="1:4" ht="12.75" customHeight="1" x14ac:dyDescent="0.2">
      <c r="A2641" s="20"/>
      <c r="B2641" s="2"/>
      <c r="C2641" s="7"/>
      <c r="D2641" s="7"/>
    </row>
    <row r="2642" spans="1:4" ht="12.75" customHeight="1" x14ac:dyDescent="0.2">
      <c r="A2642" s="21"/>
      <c r="B2642" s="3" t="s">
        <v>0</v>
      </c>
      <c r="C2642" s="23" t="s">
        <v>272</v>
      </c>
      <c r="D2642" s="21"/>
    </row>
    <row r="2643" spans="1:4" ht="12.75" customHeight="1" x14ac:dyDescent="0.2">
      <c r="A2643" s="21"/>
      <c r="B2643" s="3" t="s">
        <v>2</v>
      </c>
      <c r="C2643" s="23" t="s">
        <v>1839</v>
      </c>
      <c r="D2643" s="21"/>
    </row>
    <row r="2644" spans="1:4" ht="12.75" customHeight="1" x14ac:dyDescent="0.2">
      <c r="A2644" s="21"/>
      <c r="B2644" s="3" t="s">
        <v>1840</v>
      </c>
      <c r="C2644" s="23" t="s">
        <v>213</v>
      </c>
      <c r="D2644" s="21"/>
    </row>
    <row r="2645" spans="1:4" ht="12.75" customHeight="1" x14ac:dyDescent="0.2">
      <c r="A2645" s="21"/>
      <c r="B2645" s="3" t="s">
        <v>9</v>
      </c>
      <c r="C2645" s="23" t="s">
        <v>250</v>
      </c>
      <c r="D2645" s="21"/>
    </row>
    <row r="2646" spans="1:4" ht="12.75" customHeight="1" x14ac:dyDescent="0.2">
      <c r="A2646" s="21"/>
      <c r="B2646" s="3" t="s">
        <v>11</v>
      </c>
      <c r="C2646" s="23" t="s">
        <v>721</v>
      </c>
      <c r="D2646" s="21"/>
    </row>
    <row r="2647" spans="1:4" ht="12.75" customHeight="1" x14ac:dyDescent="0.2">
      <c r="A2647" s="21"/>
      <c r="B2647" s="3" t="s">
        <v>16</v>
      </c>
      <c r="C2647" s="23"/>
      <c r="D2647" s="21"/>
    </row>
    <row r="2648" spans="1:4" ht="12.75" customHeight="1" x14ac:dyDescent="0.2">
      <c r="A2648" s="21"/>
      <c r="B2648" s="3" t="s">
        <v>17</v>
      </c>
      <c r="C2648" s="23" t="s">
        <v>19</v>
      </c>
      <c r="D2648" s="21"/>
    </row>
    <row r="2649" spans="1:4" ht="12.75" customHeight="1" x14ac:dyDescent="0.2">
      <c r="A2649" s="21"/>
      <c r="B2649" s="20" t="s">
        <v>18</v>
      </c>
      <c r="C2649" s="8" t="s">
        <v>98</v>
      </c>
      <c r="D2649" s="1" t="str">
        <f>HYPERLINK("javascript:void(0)","kallandra fog")</f>
        <v>kallandra fog</v>
      </c>
    </row>
    <row r="2650" spans="1:4" ht="12.75" customHeight="1" x14ac:dyDescent="0.2">
      <c r="A2650" s="21"/>
      <c r="B2650" s="21"/>
      <c r="C2650" s="8" t="s">
        <v>56</v>
      </c>
      <c r="D2650" s="1" t="str">
        <f>HYPERLINK("javascript:void(0)","centrolium")</f>
        <v>centrolium</v>
      </c>
    </row>
    <row r="2651" spans="1:4" ht="12.75" customHeight="1" x14ac:dyDescent="0.2">
      <c r="A2651" s="21"/>
      <c r="B2651" s="21"/>
      <c r="C2651" s="8" t="s">
        <v>44</v>
      </c>
      <c r="D2651" s="1" t="str">
        <f>HYPERLINK("javascript:void(0)","elementáltestpajzs")</f>
        <v>elementáltestpajzs</v>
      </c>
    </row>
    <row r="2652" spans="1:4" ht="12.75" customHeight="1" x14ac:dyDescent="0.2">
      <c r="A2652" s="21"/>
      <c r="B2652" s="2"/>
      <c r="C2652" s="7"/>
      <c r="D2652" s="7"/>
    </row>
    <row r="2653" spans="1:4" ht="12.75" customHeight="1" x14ac:dyDescent="0.2">
      <c r="A2653" s="21"/>
      <c r="B2653" s="2"/>
      <c r="C2653" s="7"/>
      <c r="D2653" s="7"/>
    </row>
    <row r="2654" spans="1:4" ht="12.75" customHeight="1" x14ac:dyDescent="0.2">
      <c r="A2654" s="21"/>
      <c r="B2654" s="2"/>
      <c r="C2654" s="7"/>
      <c r="D2654" s="7"/>
    </row>
    <row r="2655" spans="1:4" ht="12.75" customHeight="1" x14ac:dyDescent="0.2">
      <c r="A2655" s="21"/>
      <c r="B2655" s="2"/>
      <c r="C2655" s="7"/>
      <c r="D2655" s="7"/>
    </row>
    <row r="2656" spans="1:4" ht="12.75" customHeight="1" x14ac:dyDescent="0.2">
      <c r="A2656" s="5"/>
      <c r="B2656" s="2"/>
      <c r="C2656" s="7"/>
      <c r="D2656" s="7"/>
    </row>
    <row r="2657" spans="1:4" ht="12.75" customHeight="1" x14ac:dyDescent="0.2">
      <c r="A2657" s="22" t="str">
        <f>HYPERLINK("javascript:void(0)","sárkányálló suba")</f>
        <v>sárkányálló suba</v>
      </c>
      <c r="B2657" s="21"/>
      <c r="C2657" s="21"/>
      <c r="D2657" s="21"/>
    </row>
    <row r="2658" spans="1:4" ht="12.75" customHeight="1" x14ac:dyDescent="0.2">
      <c r="A2658" s="20"/>
      <c r="B2658" s="2"/>
      <c r="C2658" s="7"/>
      <c r="D2658" s="7"/>
    </row>
    <row r="2659" spans="1:4" ht="12.75" customHeight="1" x14ac:dyDescent="0.2">
      <c r="A2659" s="21"/>
      <c r="B2659" s="3" t="s">
        <v>0</v>
      </c>
      <c r="C2659" s="23" t="s">
        <v>272</v>
      </c>
      <c r="D2659" s="21"/>
    </row>
    <row r="2660" spans="1:4" ht="12.75" customHeight="1" x14ac:dyDescent="0.2">
      <c r="A2660" s="21"/>
      <c r="B2660" s="3" t="s">
        <v>2</v>
      </c>
      <c r="C2660" s="23" t="s">
        <v>2322</v>
      </c>
      <c r="D2660" s="21"/>
    </row>
    <row r="2661" spans="1:4" ht="12.75" customHeight="1" x14ac:dyDescent="0.2">
      <c r="A2661" s="21"/>
      <c r="B2661" s="3" t="s">
        <v>1840</v>
      </c>
      <c r="C2661" s="23" t="s">
        <v>562</v>
      </c>
      <c r="D2661" s="21"/>
    </row>
    <row r="2662" spans="1:4" ht="12.75" customHeight="1" x14ac:dyDescent="0.2">
      <c r="A2662" s="21"/>
      <c r="B2662" s="3" t="s">
        <v>9</v>
      </c>
      <c r="C2662" s="23" t="s">
        <v>135</v>
      </c>
      <c r="D2662" s="21"/>
    </row>
    <row r="2663" spans="1:4" ht="12.75" customHeight="1" x14ac:dyDescent="0.2">
      <c r="A2663" s="21"/>
      <c r="B2663" s="3" t="s">
        <v>11</v>
      </c>
      <c r="C2663" s="23" t="s">
        <v>89</v>
      </c>
      <c r="D2663" s="21"/>
    </row>
    <row r="2664" spans="1:4" ht="12.75" customHeight="1" x14ac:dyDescent="0.2">
      <c r="A2664" s="21"/>
      <c r="B2664" s="3" t="s">
        <v>16</v>
      </c>
      <c r="C2664" s="23"/>
      <c r="D2664" s="21"/>
    </row>
    <row r="2665" spans="1:4" ht="12.75" customHeight="1" x14ac:dyDescent="0.2">
      <c r="A2665" s="21"/>
      <c r="B2665" s="3" t="s">
        <v>17</v>
      </c>
      <c r="C2665" s="23" t="s">
        <v>19</v>
      </c>
      <c r="D2665" s="21"/>
    </row>
    <row r="2666" spans="1:4" ht="12.75" customHeight="1" x14ac:dyDescent="0.2">
      <c r="A2666" s="21"/>
      <c r="B2666" s="20" t="s">
        <v>18</v>
      </c>
      <c r="C2666" s="8" t="s">
        <v>139</v>
      </c>
      <c r="D2666" s="1" t="str">
        <f>HYPERLINK("javascript:void(0)","sárkányfű")</f>
        <v>sárkányfű</v>
      </c>
    </row>
    <row r="2667" spans="1:4" ht="12.75" customHeight="1" x14ac:dyDescent="0.2">
      <c r="A2667" s="21"/>
      <c r="B2667" s="21"/>
      <c r="C2667" s="8" t="s">
        <v>56</v>
      </c>
      <c r="D2667" s="1" t="str">
        <f>HYPERLINK("javascript:void(0)","sárkány izom")</f>
        <v>sárkány izom</v>
      </c>
    </row>
    <row r="2668" spans="1:4" ht="12.75" customHeight="1" x14ac:dyDescent="0.2">
      <c r="A2668" s="21"/>
      <c r="B2668" s="21"/>
      <c r="C2668" s="8" t="s">
        <v>77</v>
      </c>
      <c r="D2668" s="1" t="str">
        <f>HYPERLINK("javascript:void(0)","sárkány szív")</f>
        <v>sárkány szív</v>
      </c>
    </row>
    <row r="2669" spans="1:4" ht="12.75" customHeight="1" x14ac:dyDescent="0.2">
      <c r="A2669" s="21"/>
      <c r="B2669" s="2"/>
      <c r="C2669" s="7"/>
      <c r="D2669" s="7"/>
    </row>
    <row r="2670" spans="1:4" ht="12.75" customHeight="1" x14ac:dyDescent="0.2">
      <c r="A2670" s="21"/>
      <c r="B2670" s="2"/>
      <c r="C2670" s="7"/>
      <c r="D2670" s="7"/>
    </row>
    <row r="2671" spans="1:4" ht="12.75" customHeight="1" x14ac:dyDescent="0.2">
      <c r="A2671" s="21"/>
      <c r="B2671" s="2"/>
      <c r="C2671" s="7"/>
      <c r="D2671" s="7"/>
    </row>
    <row r="2672" spans="1:4" ht="12.75" customHeight="1" x14ac:dyDescent="0.2">
      <c r="A2672" s="21"/>
      <c r="B2672" s="2"/>
      <c r="C2672" s="7"/>
      <c r="D2672" s="7"/>
    </row>
    <row r="2673" spans="1:4" ht="12.75" customHeight="1" x14ac:dyDescent="0.2">
      <c r="A2673" s="5"/>
      <c r="B2673" s="2"/>
      <c r="C2673" s="7"/>
      <c r="D2673" s="7"/>
    </row>
    <row r="2674" spans="1:4" ht="12.75" customHeight="1" x14ac:dyDescent="0.2">
      <c r="A2674" s="22" t="str">
        <f>HYPERLINK("javascript:void(0)","elfacél sisak")</f>
        <v>elfacél sisak</v>
      </c>
      <c r="B2674" s="21"/>
      <c r="C2674" s="21"/>
      <c r="D2674" s="21"/>
    </row>
    <row r="2675" spans="1:4" ht="12.75" customHeight="1" x14ac:dyDescent="0.2">
      <c r="A2675" s="20"/>
      <c r="B2675" s="2"/>
      <c r="C2675" s="7"/>
      <c r="D2675" s="7"/>
    </row>
    <row r="2676" spans="1:4" ht="12.75" customHeight="1" x14ac:dyDescent="0.2">
      <c r="A2676" s="21"/>
      <c r="B2676" s="3" t="s">
        <v>0</v>
      </c>
      <c r="C2676" s="23" t="s">
        <v>272</v>
      </c>
      <c r="D2676" s="21"/>
    </row>
    <row r="2677" spans="1:4" ht="12.75" customHeight="1" x14ac:dyDescent="0.2">
      <c r="A2677" s="21"/>
      <c r="B2677" s="3" t="s">
        <v>2</v>
      </c>
      <c r="C2677" s="23"/>
      <c r="D2677" s="21"/>
    </row>
    <row r="2678" spans="1:4" ht="12.75" customHeight="1" x14ac:dyDescent="0.2">
      <c r="A2678" s="21"/>
      <c r="B2678" s="3" t="s">
        <v>1840</v>
      </c>
      <c r="C2678" s="23" t="s">
        <v>178</v>
      </c>
      <c r="D2678" s="21"/>
    </row>
    <row r="2679" spans="1:4" ht="12.75" customHeight="1" x14ac:dyDescent="0.2">
      <c r="A2679" s="21"/>
      <c r="B2679" s="3" t="s">
        <v>9</v>
      </c>
      <c r="C2679" s="23" t="s">
        <v>70</v>
      </c>
      <c r="D2679" s="21"/>
    </row>
    <row r="2680" spans="1:4" ht="12.75" customHeight="1" x14ac:dyDescent="0.2">
      <c r="A2680" s="21"/>
      <c r="B2680" s="3" t="s">
        <v>11</v>
      </c>
      <c r="C2680" s="23" t="s">
        <v>519</v>
      </c>
      <c r="D2680" s="21"/>
    </row>
    <row r="2681" spans="1:4" ht="12.75" customHeight="1" x14ac:dyDescent="0.2">
      <c r="A2681" s="21"/>
      <c r="B2681" s="3" t="s">
        <v>16</v>
      </c>
      <c r="C2681" s="23"/>
      <c r="D2681" s="21"/>
    </row>
    <row r="2682" spans="1:4" ht="12.75" customHeight="1" x14ac:dyDescent="0.2">
      <c r="A2682" s="21"/>
      <c r="B2682" s="3" t="s">
        <v>17</v>
      </c>
      <c r="C2682" s="23" t="s">
        <v>19</v>
      </c>
      <c r="D2682" s="21"/>
    </row>
    <row r="2683" spans="1:4" ht="12.75" customHeight="1" x14ac:dyDescent="0.2">
      <c r="A2683" s="21"/>
      <c r="B2683" s="20" t="s">
        <v>18</v>
      </c>
      <c r="C2683" s="8" t="s">
        <v>44</v>
      </c>
      <c r="D2683" s="1" t="str">
        <f>HYPERLINK("javascript:void(0)","dracoacél sisak")</f>
        <v>dracoacél sisak</v>
      </c>
    </row>
    <row r="2684" spans="1:4" ht="12.75" customHeight="1" x14ac:dyDescent="0.2">
      <c r="A2684" s="21"/>
      <c r="B2684" s="21"/>
      <c r="C2684" s="8" t="s">
        <v>57</v>
      </c>
      <c r="D2684" s="1" t="str">
        <f>HYPERLINK("javascript:void(0)","kihunyt glória")</f>
        <v>kihunyt glória</v>
      </c>
    </row>
    <row r="2685" spans="1:4" ht="12.75" customHeight="1" x14ac:dyDescent="0.2">
      <c r="A2685" s="21"/>
      <c r="B2685" s="21"/>
      <c r="C2685" s="8" t="s">
        <v>67</v>
      </c>
      <c r="D2685" s="1" t="str">
        <f>HYPERLINK("javascript:void(0)","sárkányfű")</f>
        <v>sárkányfű</v>
      </c>
    </row>
    <row r="2686" spans="1:4" ht="12.75" customHeight="1" x14ac:dyDescent="0.2">
      <c r="A2686" s="21"/>
      <c r="B2686" s="2"/>
      <c r="C2686" s="7"/>
      <c r="D2686" s="7"/>
    </row>
    <row r="2687" spans="1:4" ht="12.75" customHeight="1" x14ac:dyDescent="0.2">
      <c r="A2687" s="21"/>
      <c r="B2687" s="2"/>
      <c r="C2687" s="7"/>
      <c r="D2687" s="7"/>
    </row>
    <row r="2688" spans="1:4" ht="12.75" customHeight="1" x14ac:dyDescent="0.2">
      <c r="A2688" s="21"/>
      <c r="B2688" s="2"/>
      <c r="C2688" s="7"/>
      <c r="D2688" s="7"/>
    </row>
    <row r="2689" spans="1:4" ht="12.75" customHeight="1" x14ac:dyDescent="0.2">
      <c r="A2689" s="21"/>
      <c r="B2689" s="2"/>
      <c r="C2689" s="7"/>
      <c r="D2689" s="7"/>
    </row>
    <row r="2690" spans="1:4" ht="12.75" customHeight="1" x14ac:dyDescent="0.2">
      <c r="A2690" s="5"/>
      <c r="B2690" s="2"/>
      <c r="C2690" s="7"/>
      <c r="D2690" s="7"/>
    </row>
    <row r="2691" spans="1:4" ht="12.75" customHeight="1" x14ac:dyDescent="0.2">
      <c r="A2691" s="22" t="str">
        <f>HYPERLINK("javascript:void(0)","diszprocsizma")</f>
        <v>diszprocsizma</v>
      </c>
      <c r="B2691" s="21"/>
      <c r="C2691" s="21"/>
      <c r="D2691" s="21"/>
    </row>
    <row r="2692" spans="1:4" ht="12.75" customHeight="1" x14ac:dyDescent="0.2">
      <c r="A2692" s="20"/>
      <c r="B2692" s="2"/>
      <c r="C2692" s="7"/>
      <c r="D2692" s="7"/>
    </row>
    <row r="2693" spans="1:4" ht="12.75" customHeight="1" x14ac:dyDescent="0.2">
      <c r="A2693" s="21"/>
      <c r="B2693" s="3" t="s">
        <v>0</v>
      </c>
      <c r="C2693" s="23" t="s">
        <v>272</v>
      </c>
      <c r="D2693" s="21"/>
    </row>
    <row r="2694" spans="1:4" ht="12.75" customHeight="1" x14ac:dyDescent="0.2">
      <c r="A2694" s="21"/>
      <c r="B2694" s="3" t="s">
        <v>2</v>
      </c>
      <c r="C2694" s="23"/>
      <c r="D2694" s="21"/>
    </row>
    <row r="2695" spans="1:4" ht="12.75" customHeight="1" x14ac:dyDescent="0.2">
      <c r="A2695" s="21"/>
      <c r="B2695" s="3" t="s">
        <v>1840</v>
      </c>
      <c r="C2695" s="23" t="s">
        <v>107</v>
      </c>
      <c r="D2695" s="21"/>
    </row>
    <row r="2696" spans="1:4" ht="12.75" customHeight="1" x14ac:dyDescent="0.2">
      <c r="A2696" s="21"/>
      <c r="B2696" s="3" t="s">
        <v>9</v>
      </c>
      <c r="C2696" s="23" t="s">
        <v>172</v>
      </c>
      <c r="D2696" s="21"/>
    </row>
    <row r="2697" spans="1:4" ht="12.75" customHeight="1" x14ac:dyDescent="0.2">
      <c r="A2697" s="21"/>
      <c r="B2697" s="3" t="s">
        <v>11</v>
      </c>
      <c r="C2697" s="23" t="s">
        <v>116</v>
      </c>
      <c r="D2697" s="21"/>
    </row>
    <row r="2698" spans="1:4" ht="12.75" customHeight="1" x14ac:dyDescent="0.2">
      <c r="A2698" s="21"/>
      <c r="B2698" s="3" t="s">
        <v>16</v>
      </c>
      <c r="C2698" s="23"/>
      <c r="D2698" s="21"/>
    </row>
    <row r="2699" spans="1:4" ht="12.75" customHeight="1" x14ac:dyDescent="0.2">
      <c r="A2699" s="21"/>
      <c r="B2699" s="3" t="s">
        <v>17</v>
      </c>
      <c r="C2699" s="23" t="s">
        <v>19</v>
      </c>
      <c r="D2699" s="21"/>
    </row>
    <row r="2700" spans="1:4" ht="12.75" customHeight="1" x14ac:dyDescent="0.2">
      <c r="A2700" s="21"/>
      <c r="B2700" s="20" t="s">
        <v>18</v>
      </c>
      <c r="C2700" s="8" t="s">
        <v>44</v>
      </c>
      <c r="D2700" s="1" t="str">
        <f>HYPERLINK("javascript:void(0)","gyémántcsizma")</f>
        <v>gyémántcsizma</v>
      </c>
    </row>
    <row r="2701" spans="1:4" ht="12.75" customHeight="1" x14ac:dyDescent="0.2">
      <c r="A2701" s="21"/>
      <c r="B2701" s="21"/>
      <c r="C2701" s="8" t="s">
        <v>280</v>
      </c>
      <c r="D2701" s="1" t="str">
        <f>HYPERLINK("javascript:void(0)","diszprózium")</f>
        <v>diszprózium</v>
      </c>
    </row>
    <row r="2702" spans="1:4" ht="12.75" customHeight="1" x14ac:dyDescent="0.2">
      <c r="A2702" s="21"/>
      <c r="B2702" s="21"/>
      <c r="C2702" s="8" t="s">
        <v>309</v>
      </c>
      <c r="D2702" s="1" t="str">
        <f>HYPERLINK("javascript:void(0)","sárkány szarv")</f>
        <v>sárkány szarv</v>
      </c>
    </row>
    <row r="2703" spans="1:4" ht="12.75" customHeight="1" x14ac:dyDescent="0.2">
      <c r="A2703" s="21"/>
      <c r="B2703" s="2"/>
      <c r="C2703" s="7"/>
      <c r="D2703" s="7"/>
    </row>
    <row r="2704" spans="1:4" ht="12.75" customHeight="1" x14ac:dyDescent="0.2">
      <c r="A2704" s="21"/>
      <c r="B2704" s="2"/>
      <c r="C2704" s="7"/>
      <c r="D2704" s="7"/>
    </row>
    <row r="2705" spans="1:4" ht="12.75" customHeight="1" x14ac:dyDescent="0.2">
      <c r="A2705" s="21"/>
      <c r="B2705" s="2"/>
      <c r="C2705" s="7"/>
      <c r="D2705" s="7"/>
    </row>
    <row r="2706" spans="1:4" ht="12.75" customHeight="1" x14ac:dyDescent="0.2">
      <c r="A2706" s="21"/>
      <c r="B2706" s="2"/>
      <c r="C2706" s="7"/>
      <c r="D2706" s="7"/>
    </row>
    <row r="2707" spans="1:4" ht="12.75" customHeight="1" x14ac:dyDescent="0.2">
      <c r="A2707" s="5"/>
      <c r="B2707" s="2"/>
      <c r="C2707" s="7"/>
      <c r="D2707" s="7"/>
    </row>
    <row r="2708" spans="1:4" ht="12.75" customHeight="1" x14ac:dyDescent="0.2">
      <c r="A2708" s="22" t="str">
        <f>HYPERLINK("javascript:void(0)","arany pillepajzs")</f>
        <v>arany pillepajzs</v>
      </c>
      <c r="B2708" s="21"/>
      <c r="C2708" s="21"/>
      <c r="D2708" s="21"/>
    </row>
    <row r="2709" spans="1:4" ht="12.75" customHeight="1" x14ac:dyDescent="0.2">
      <c r="A2709" s="20"/>
      <c r="B2709" s="2"/>
      <c r="C2709" s="7"/>
      <c r="D2709" s="7"/>
    </row>
    <row r="2710" spans="1:4" ht="12.75" customHeight="1" x14ac:dyDescent="0.2">
      <c r="A2710" s="21"/>
      <c r="B2710" s="3" t="s">
        <v>0</v>
      </c>
      <c r="C2710" s="23" t="s">
        <v>272</v>
      </c>
      <c r="D2710" s="21"/>
    </row>
    <row r="2711" spans="1:4" ht="12.75" customHeight="1" x14ac:dyDescent="0.2">
      <c r="A2711" s="21"/>
      <c r="B2711" s="3" t="s">
        <v>2</v>
      </c>
      <c r="C2711" s="23" t="s">
        <v>1839</v>
      </c>
      <c r="D2711" s="21"/>
    </row>
    <row r="2712" spans="1:4" ht="12.75" customHeight="1" x14ac:dyDescent="0.2">
      <c r="A2712" s="21"/>
      <c r="B2712" s="3" t="s">
        <v>1840</v>
      </c>
      <c r="C2712" s="23" t="s">
        <v>47</v>
      </c>
      <c r="D2712" s="21"/>
    </row>
    <row r="2713" spans="1:4" ht="12.75" customHeight="1" x14ac:dyDescent="0.2">
      <c r="A2713" s="21"/>
      <c r="B2713" s="3" t="s">
        <v>9</v>
      </c>
      <c r="C2713" s="23" t="s">
        <v>1044</v>
      </c>
      <c r="D2713" s="21"/>
    </row>
    <row r="2714" spans="1:4" ht="12.75" customHeight="1" x14ac:dyDescent="0.2">
      <c r="A2714" s="21"/>
      <c r="B2714" s="3" t="s">
        <v>11</v>
      </c>
      <c r="C2714" s="23" t="s">
        <v>301</v>
      </c>
      <c r="D2714" s="21"/>
    </row>
    <row r="2715" spans="1:4" ht="12.75" customHeight="1" x14ac:dyDescent="0.2">
      <c r="A2715" s="21"/>
      <c r="B2715" s="3" t="s">
        <v>16</v>
      </c>
      <c r="C2715" s="23"/>
      <c r="D2715" s="21"/>
    </row>
    <row r="2716" spans="1:4" ht="12.75" customHeight="1" x14ac:dyDescent="0.2">
      <c r="A2716" s="21"/>
      <c r="B2716" s="3" t="s">
        <v>17</v>
      </c>
      <c r="C2716" s="23" t="s">
        <v>19</v>
      </c>
      <c r="D2716" s="21"/>
    </row>
    <row r="2717" spans="1:4" ht="12.75" customHeight="1" x14ac:dyDescent="0.2">
      <c r="A2717" s="21"/>
      <c r="B2717" s="20" t="s">
        <v>18</v>
      </c>
      <c r="C2717" s="8" t="s">
        <v>44</v>
      </c>
      <c r="D2717" s="1" t="str">
        <f>HYPERLINK("javascript:void(0)","kallandra pajzs")</f>
        <v>kallandra pajzs</v>
      </c>
    </row>
    <row r="2718" spans="1:4" ht="12.75" customHeight="1" x14ac:dyDescent="0.2">
      <c r="A2718" s="21"/>
      <c r="B2718" s="21"/>
      <c r="C2718" s="8" t="s">
        <v>1379</v>
      </c>
      <c r="D2718" s="1" t="str">
        <f>HYPERLINK("javascript:void(0)","arany")</f>
        <v>arany</v>
      </c>
    </row>
    <row r="2719" spans="1:4" ht="12.75" customHeight="1" x14ac:dyDescent="0.2">
      <c r="A2719" s="21"/>
      <c r="B2719" s="21"/>
      <c r="C2719" s="8" t="s">
        <v>139</v>
      </c>
      <c r="D2719" s="1" t="str">
        <f>HYPERLINK("javascript:void(0)","sárkány izom")</f>
        <v>sárkány izom</v>
      </c>
    </row>
    <row r="2720" spans="1:4" ht="12.75" customHeight="1" x14ac:dyDescent="0.2">
      <c r="A2720" s="21"/>
      <c r="B2720" s="2"/>
      <c r="C2720" s="7"/>
      <c r="D2720" s="7"/>
    </row>
    <row r="2721" spans="1:4" ht="12.75" customHeight="1" x14ac:dyDescent="0.2">
      <c r="A2721" s="21"/>
      <c r="B2721" s="2"/>
      <c r="C2721" s="7"/>
      <c r="D2721" s="7"/>
    </row>
    <row r="2722" spans="1:4" ht="12.75" customHeight="1" x14ac:dyDescent="0.2">
      <c r="A2722" s="21"/>
      <c r="B2722" s="2"/>
      <c r="C2722" s="7"/>
      <c r="D2722" s="7"/>
    </row>
    <row r="2723" spans="1:4" ht="12.75" customHeight="1" x14ac:dyDescent="0.2">
      <c r="A2723" s="21"/>
      <c r="B2723" s="2"/>
      <c r="C2723" s="7"/>
      <c r="D2723" s="7"/>
    </row>
    <row r="2724" spans="1:4" ht="12.75" customHeight="1" x14ac:dyDescent="0.2">
      <c r="A2724" s="5"/>
      <c r="B2724" s="2"/>
      <c r="C2724" s="7"/>
      <c r="D2724" s="7"/>
    </row>
    <row r="2725" spans="1:4" ht="12.75" customHeight="1" x14ac:dyDescent="0.2">
      <c r="A2725" s="22" t="str">
        <f>HYPERLINK("javascript:void(0)","hiperpajzs")</f>
        <v>hiperpajzs</v>
      </c>
      <c r="B2725" s="21"/>
      <c r="C2725" s="21"/>
      <c r="D2725" s="21"/>
    </row>
    <row r="2726" spans="1:4" ht="12.75" customHeight="1" x14ac:dyDescent="0.2">
      <c r="A2726" s="20"/>
      <c r="B2726" s="2"/>
      <c r="C2726" s="7"/>
      <c r="D2726" s="7"/>
    </row>
    <row r="2727" spans="1:4" ht="12.75" customHeight="1" x14ac:dyDescent="0.2">
      <c r="A2727" s="21"/>
      <c r="B2727" s="3" t="s">
        <v>0</v>
      </c>
      <c r="C2727" s="23" t="s">
        <v>284</v>
      </c>
      <c r="D2727" s="21"/>
    </row>
    <row r="2728" spans="1:4" ht="12.75" customHeight="1" x14ac:dyDescent="0.2">
      <c r="A2728" s="21"/>
      <c r="B2728" s="3" t="s">
        <v>2</v>
      </c>
      <c r="C2728" s="23" t="s">
        <v>1839</v>
      </c>
      <c r="D2728" s="21"/>
    </row>
    <row r="2729" spans="1:4" ht="12.75" customHeight="1" x14ac:dyDescent="0.2">
      <c r="A2729" s="21"/>
      <c r="B2729" s="3" t="s">
        <v>1840</v>
      </c>
      <c r="C2729" s="23" t="s">
        <v>213</v>
      </c>
      <c r="D2729" s="21"/>
    </row>
    <row r="2730" spans="1:4" ht="12.75" customHeight="1" x14ac:dyDescent="0.2">
      <c r="A2730" s="21"/>
      <c r="B2730" s="3" t="s">
        <v>9</v>
      </c>
      <c r="C2730" s="23" t="s">
        <v>250</v>
      </c>
      <c r="D2730" s="21"/>
    </row>
    <row r="2731" spans="1:4" ht="12.75" customHeight="1" x14ac:dyDescent="0.2">
      <c r="A2731" s="21"/>
      <c r="B2731" s="3" t="s">
        <v>11</v>
      </c>
      <c r="C2731" s="23" t="s">
        <v>108</v>
      </c>
      <c r="D2731" s="21"/>
    </row>
    <row r="2732" spans="1:4" ht="12.75" customHeight="1" x14ac:dyDescent="0.2">
      <c r="A2732" s="21"/>
      <c r="B2732" s="3" t="s">
        <v>16</v>
      </c>
      <c r="C2732" s="23"/>
      <c r="D2732" s="21"/>
    </row>
    <row r="2733" spans="1:4" ht="12.75" customHeight="1" x14ac:dyDescent="0.2">
      <c r="A2733" s="21"/>
      <c r="B2733" s="3" t="s">
        <v>17</v>
      </c>
      <c r="C2733" s="23" t="s">
        <v>19</v>
      </c>
      <c r="D2733" s="21"/>
    </row>
    <row r="2734" spans="1:4" ht="12.75" customHeight="1" x14ac:dyDescent="0.2">
      <c r="A2734" s="21"/>
      <c r="B2734" s="20" t="s">
        <v>18</v>
      </c>
      <c r="C2734" s="8" t="s">
        <v>57</v>
      </c>
      <c r="D2734" s="1" t="str">
        <f>HYPERLINK("javascript:void(0)","hiperium")</f>
        <v>hiperium</v>
      </c>
    </row>
    <row r="2735" spans="1:4" ht="12.75" customHeight="1" x14ac:dyDescent="0.2">
      <c r="A2735" s="21"/>
      <c r="B2735" s="21"/>
      <c r="C2735" s="8" t="s">
        <v>44</v>
      </c>
      <c r="D2735" s="1" t="str">
        <f>HYPERLINK("javascript:void(0)","centropajzs")</f>
        <v>centropajzs</v>
      </c>
    </row>
    <row r="2736" spans="1:4" ht="12.75" customHeight="1" x14ac:dyDescent="0.2">
      <c r="A2736" s="21"/>
      <c r="B2736" s="21"/>
      <c r="C2736" s="8" t="s">
        <v>55</v>
      </c>
      <c r="D2736" s="1" t="str">
        <f>HYPERLINK("javascript:void(0)","gyémánt")</f>
        <v>gyémánt</v>
      </c>
    </row>
    <row r="2737" spans="1:4" ht="12.75" customHeight="1" x14ac:dyDescent="0.2">
      <c r="A2737" s="21"/>
      <c r="B2737" s="2"/>
      <c r="C2737" s="7"/>
      <c r="D2737" s="7"/>
    </row>
    <row r="2738" spans="1:4" ht="12.75" customHeight="1" x14ac:dyDescent="0.2">
      <c r="A2738" s="21"/>
      <c r="B2738" s="2"/>
      <c r="C2738" s="7"/>
      <c r="D2738" s="7"/>
    </row>
    <row r="2739" spans="1:4" ht="12.75" customHeight="1" x14ac:dyDescent="0.2">
      <c r="A2739" s="21"/>
      <c r="B2739" s="2"/>
      <c r="C2739" s="7"/>
      <c r="D2739" s="7"/>
    </row>
    <row r="2740" spans="1:4" ht="12.75" customHeight="1" x14ac:dyDescent="0.2">
      <c r="A2740" s="21"/>
      <c r="B2740" s="2"/>
      <c r="C2740" s="7"/>
      <c r="D2740" s="7"/>
    </row>
    <row r="2741" spans="1:4" ht="12.75" customHeight="1" x14ac:dyDescent="0.2">
      <c r="A2741" s="5"/>
      <c r="B2741" s="2"/>
      <c r="C2741" s="7"/>
      <c r="D2741" s="7"/>
    </row>
    <row r="2742" spans="1:4" ht="12.75" customHeight="1" x14ac:dyDescent="0.2">
      <c r="A2742" s="22" t="str">
        <f>HYPERLINK("javascript:void(0)","óriásacél sisak")</f>
        <v>óriásacél sisak</v>
      </c>
      <c r="B2742" s="21"/>
      <c r="C2742" s="21"/>
      <c r="D2742" s="21"/>
    </row>
    <row r="2743" spans="1:4" ht="12.75" customHeight="1" x14ac:dyDescent="0.2">
      <c r="A2743" s="20"/>
      <c r="B2743" s="2"/>
      <c r="C2743" s="7"/>
      <c r="D2743" s="7"/>
    </row>
    <row r="2744" spans="1:4" ht="12.75" customHeight="1" x14ac:dyDescent="0.2">
      <c r="A2744" s="21"/>
      <c r="B2744" s="3" t="s">
        <v>0</v>
      </c>
      <c r="C2744" s="23" t="s">
        <v>284</v>
      </c>
      <c r="D2744" s="21"/>
    </row>
    <row r="2745" spans="1:4" ht="12.75" customHeight="1" x14ac:dyDescent="0.2">
      <c r="A2745" s="21"/>
      <c r="B2745" s="3" t="s">
        <v>2</v>
      </c>
      <c r="C2745" s="23"/>
      <c r="D2745" s="21"/>
    </row>
    <row r="2746" spans="1:4" ht="12.75" customHeight="1" x14ac:dyDescent="0.2">
      <c r="A2746" s="21"/>
      <c r="B2746" s="3" t="s">
        <v>1840</v>
      </c>
      <c r="C2746" s="23" t="s">
        <v>274</v>
      </c>
      <c r="D2746" s="21"/>
    </row>
    <row r="2747" spans="1:4" ht="12.75" customHeight="1" x14ac:dyDescent="0.2">
      <c r="A2747" s="21"/>
      <c r="B2747" s="3" t="s">
        <v>9</v>
      </c>
      <c r="C2747" s="23" t="s">
        <v>200</v>
      </c>
      <c r="D2747" s="21"/>
    </row>
    <row r="2748" spans="1:4" ht="12.75" customHeight="1" x14ac:dyDescent="0.2">
      <c r="A2748" s="21"/>
      <c r="B2748" s="3" t="s">
        <v>11</v>
      </c>
      <c r="C2748" s="23" t="s">
        <v>108</v>
      </c>
      <c r="D2748" s="21"/>
    </row>
    <row r="2749" spans="1:4" ht="12.75" customHeight="1" x14ac:dyDescent="0.2">
      <c r="A2749" s="21"/>
      <c r="B2749" s="3" t="s">
        <v>16</v>
      </c>
      <c r="C2749" s="23"/>
      <c r="D2749" s="21"/>
    </row>
    <row r="2750" spans="1:4" ht="12.75" customHeight="1" x14ac:dyDescent="0.2">
      <c r="A2750" s="21"/>
      <c r="B2750" s="3" t="s">
        <v>17</v>
      </c>
      <c r="C2750" s="23" t="s">
        <v>19</v>
      </c>
      <c r="D2750" s="21"/>
    </row>
    <row r="2751" spans="1:4" ht="12.75" customHeight="1" x14ac:dyDescent="0.2">
      <c r="A2751" s="21"/>
      <c r="B2751" s="20" t="s">
        <v>18</v>
      </c>
      <c r="C2751" s="8" t="s">
        <v>44</v>
      </c>
      <c r="D2751" s="1" t="str">
        <f>HYPERLINK("javascript:void(0)","elfacél sisak")</f>
        <v>elfacél sisak</v>
      </c>
    </row>
    <row r="2752" spans="1:4" ht="12.75" customHeight="1" x14ac:dyDescent="0.2">
      <c r="A2752" s="21"/>
      <c r="B2752" s="21"/>
      <c r="C2752" s="8" t="s">
        <v>56</v>
      </c>
      <c r="D2752" s="1" t="str">
        <f>HYPERLINK("javascript:void(0)","óriás korona")</f>
        <v>óriás korona</v>
      </c>
    </row>
    <row r="2753" spans="1:4" ht="12.75" customHeight="1" x14ac:dyDescent="0.2">
      <c r="A2753" s="21"/>
      <c r="B2753" s="21"/>
      <c r="C2753" s="8" t="s">
        <v>56</v>
      </c>
      <c r="D2753" s="1" t="str">
        <f>HYPERLINK("javascript:void(0)","sárkány szarv")</f>
        <v>sárkány szarv</v>
      </c>
    </row>
    <row r="2754" spans="1:4" ht="12.75" customHeight="1" x14ac:dyDescent="0.2">
      <c r="A2754" s="21"/>
      <c r="B2754" s="2"/>
      <c r="C2754" s="7"/>
      <c r="D2754" s="7"/>
    </row>
    <row r="2755" spans="1:4" ht="12.75" customHeight="1" x14ac:dyDescent="0.2">
      <c r="A2755" s="21"/>
      <c r="B2755" s="2"/>
      <c r="C2755" s="7"/>
      <c r="D2755" s="7"/>
    </row>
    <row r="2756" spans="1:4" ht="12.75" customHeight="1" x14ac:dyDescent="0.2">
      <c r="A2756" s="21"/>
      <c r="B2756" s="2"/>
      <c r="C2756" s="7"/>
      <c r="D2756" s="7"/>
    </row>
    <row r="2757" spans="1:4" ht="12.75" customHeight="1" x14ac:dyDescent="0.2">
      <c r="A2757" s="21"/>
      <c r="B2757" s="2"/>
      <c r="C2757" s="7"/>
      <c r="D2757" s="7"/>
    </row>
    <row r="2758" spans="1:4" ht="12.75" customHeight="1" x14ac:dyDescent="0.2">
      <c r="A2758" s="5"/>
      <c r="B2758" s="2"/>
      <c r="C2758" s="7"/>
      <c r="D2758" s="7"/>
    </row>
    <row r="2759" spans="1:4" ht="12.75" customHeight="1" x14ac:dyDescent="0.2">
      <c r="A2759" s="22" t="str">
        <f>HYPERLINK("javascript:void(0)","centropáncél")</f>
        <v>centropáncél</v>
      </c>
      <c r="B2759" s="21"/>
      <c r="C2759" s="21"/>
      <c r="D2759" s="21"/>
    </row>
    <row r="2760" spans="1:4" ht="12.75" customHeight="1" x14ac:dyDescent="0.2">
      <c r="A2760" s="20"/>
      <c r="B2760" s="2"/>
      <c r="C2760" s="7"/>
      <c r="D2760" s="7"/>
    </row>
    <row r="2761" spans="1:4" ht="12.75" customHeight="1" x14ac:dyDescent="0.2">
      <c r="A2761" s="21"/>
      <c r="B2761" s="3" t="s">
        <v>0</v>
      </c>
      <c r="C2761" s="23" t="s">
        <v>284</v>
      </c>
      <c r="D2761" s="21"/>
    </row>
    <row r="2762" spans="1:4" ht="12.75" customHeight="1" x14ac:dyDescent="0.2">
      <c r="A2762" s="21"/>
      <c r="B2762" s="3" t="s">
        <v>2</v>
      </c>
      <c r="C2762" s="23" t="s">
        <v>2322</v>
      </c>
      <c r="D2762" s="21"/>
    </row>
    <row r="2763" spans="1:4" ht="12.75" customHeight="1" x14ac:dyDescent="0.2">
      <c r="A2763" s="21"/>
      <c r="B2763" s="3" t="s">
        <v>1840</v>
      </c>
      <c r="C2763" s="23" t="s">
        <v>219</v>
      </c>
      <c r="D2763" s="21"/>
    </row>
    <row r="2764" spans="1:4" ht="12.75" customHeight="1" x14ac:dyDescent="0.2">
      <c r="A2764" s="21"/>
      <c r="B2764" s="3" t="s">
        <v>9</v>
      </c>
      <c r="C2764" s="23" t="s">
        <v>126</v>
      </c>
      <c r="D2764" s="21"/>
    </row>
    <row r="2765" spans="1:4" ht="12.75" customHeight="1" x14ac:dyDescent="0.2">
      <c r="A2765" s="21"/>
      <c r="B2765" s="3" t="s">
        <v>11</v>
      </c>
      <c r="C2765" s="23" t="s">
        <v>519</v>
      </c>
      <c r="D2765" s="21"/>
    </row>
    <row r="2766" spans="1:4" ht="12.75" customHeight="1" x14ac:dyDescent="0.2">
      <c r="A2766" s="21"/>
      <c r="B2766" s="3" t="s">
        <v>16</v>
      </c>
      <c r="C2766" s="23"/>
      <c r="D2766" s="21"/>
    </row>
    <row r="2767" spans="1:4" ht="12.75" customHeight="1" x14ac:dyDescent="0.2">
      <c r="A2767" s="21"/>
      <c r="B2767" s="3" t="s">
        <v>17</v>
      </c>
      <c r="C2767" s="23" t="s">
        <v>19</v>
      </c>
      <c r="D2767" s="21"/>
    </row>
    <row r="2768" spans="1:4" ht="12.75" customHeight="1" x14ac:dyDescent="0.2">
      <c r="A2768" s="21"/>
      <c r="B2768" s="20" t="s">
        <v>18</v>
      </c>
      <c r="C2768" s="8" t="s">
        <v>139</v>
      </c>
      <c r="D2768" s="1" t="str">
        <f>HYPERLINK("javascript:void(0)","centrolium")</f>
        <v>centrolium</v>
      </c>
    </row>
    <row r="2769" spans="1:4" ht="12.75" customHeight="1" x14ac:dyDescent="0.2">
      <c r="A2769" s="21"/>
      <c r="B2769" s="21"/>
      <c r="C2769" s="8" t="s">
        <v>44</v>
      </c>
      <c r="D2769" s="1" t="str">
        <f>HYPERLINK("javascript:void(0)","kithpáncél")</f>
        <v>kithpáncél</v>
      </c>
    </row>
    <row r="2770" spans="1:4" ht="12.75" customHeight="1" x14ac:dyDescent="0.2">
      <c r="A2770" s="21"/>
      <c r="B2770" s="21"/>
      <c r="C2770" s="8" t="s">
        <v>244</v>
      </c>
      <c r="D2770" s="1" t="str">
        <f>HYPERLINK("javascript:void(0)","sárkány szem")</f>
        <v>sárkány szem</v>
      </c>
    </row>
    <row r="2771" spans="1:4" ht="12.75" customHeight="1" x14ac:dyDescent="0.2">
      <c r="A2771" s="21"/>
      <c r="B2771" s="2"/>
      <c r="C2771" s="7"/>
      <c r="D2771" s="7"/>
    </row>
    <row r="2772" spans="1:4" ht="12.75" customHeight="1" x14ac:dyDescent="0.2">
      <c r="A2772" s="21"/>
      <c r="B2772" s="2"/>
      <c r="C2772" s="7"/>
      <c r="D2772" s="7"/>
    </row>
    <row r="2773" spans="1:4" ht="12.75" customHeight="1" x14ac:dyDescent="0.2">
      <c r="A2773" s="21"/>
      <c r="B2773" s="2"/>
      <c r="C2773" s="7"/>
      <c r="D2773" s="7"/>
    </row>
    <row r="2774" spans="1:4" ht="12.75" customHeight="1" x14ac:dyDescent="0.2">
      <c r="A2774" s="21"/>
      <c r="B2774" s="2"/>
      <c r="C2774" s="7"/>
      <c r="D2774" s="7"/>
    </row>
    <row r="2775" spans="1:4" ht="12.75" customHeight="1" x14ac:dyDescent="0.2">
      <c r="A2775" s="5"/>
      <c r="B2775" s="2"/>
      <c r="C2775" s="7"/>
      <c r="D2775" s="7"/>
    </row>
    <row r="2776" spans="1:4" ht="12.75" customHeight="1" x14ac:dyDescent="0.2">
      <c r="A2776" s="22" t="str">
        <f>HYPERLINK("javascript:void(0)","kithrill csizma")</f>
        <v>kithrill csizma</v>
      </c>
      <c r="B2776" s="21"/>
      <c r="C2776" s="21"/>
      <c r="D2776" s="21"/>
    </row>
    <row r="2777" spans="1:4" ht="12.75" customHeight="1" x14ac:dyDescent="0.2">
      <c r="A2777" s="20"/>
      <c r="B2777" s="2"/>
      <c r="C2777" s="7"/>
      <c r="D2777" s="7"/>
    </row>
    <row r="2778" spans="1:4" ht="12.75" customHeight="1" x14ac:dyDescent="0.2">
      <c r="A2778" s="21"/>
      <c r="B2778" s="3" t="s">
        <v>0</v>
      </c>
      <c r="C2778" s="23" t="s">
        <v>284</v>
      </c>
      <c r="D2778" s="21"/>
    </row>
    <row r="2779" spans="1:4" ht="12.75" customHeight="1" x14ac:dyDescent="0.2">
      <c r="A2779" s="21"/>
      <c r="B2779" s="3" t="s">
        <v>2</v>
      </c>
      <c r="C2779" s="23"/>
      <c r="D2779" s="21"/>
    </row>
    <row r="2780" spans="1:4" ht="12.75" customHeight="1" x14ac:dyDescent="0.2">
      <c r="A2780" s="21"/>
      <c r="B2780" s="3" t="s">
        <v>1840</v>
      </c>
      <c r="C2780" s="23" t="s">
        <v>178</v>
      </c>
      <c r="D2780" s="21"/>
    </row>
    <row r="2781" spans="1:4" ht="12.75" customHeight="1" x14ac:dyDescent="0.2">
      <c r="A2781" s="21"/>
      <c r="B2781" s="3" t="s">
        <v>9</v>
      </c>
      <c r="C2781" s="23" t="s">
        <v>147</v>
      </c>
      <c r="D2781" s="21"/>
    </row>
    <row r="2782" spans="1:4" ht="12.75" customHeight="1" x14ac:dyDescent="0.2">
      <c r="A2782" s="21"/>
      <c r="B2782" s="3" t="s">
        <v>11</v>
      </c>
      <c r="C2782" s="23" t="s">
        <v>152</v>
      </c>
      <c r="D2782" s="21"/>
    </row>
    <row r="2783" spans="1:4" ht="12.75" customHeight="1" x14ac:dyDescent="0.2">
      <c r="A2783" s="21"/>
      <c r="B2783" s="3" t="s">
        <v>16</v>
      </c>
      <c r="C2783" s="23"/>
      <c r="D2783" s="21"/>
    </row>
    <row r="2784" spans="1:4" ht="12.75" customHeight="1" x14ac:dyDescent="0.2">
      <c r="A2784" s="21"/>
      <c r="B2784" s="3" t="s">
        <v>17</v>
      </c>
      <c r="C2784" s="23" t="s">
        <v>19</v>
      </c>
      <c r="D2784" s="21"/>
    </row>
    <row r="2785" spans="1:4" ht="12.75" customHeight="1" x14ac:dyDescent="0.2">
      <c r="A2785" s="21"/>
      <c r="B2785" s="20" t="s">
        <v>18</v>
      </c>
      <c r="C2785" s="8" t="s">
        <v>44</v>
      </c>
      <c r="D2785" s="1" t="str">
        <f>HYPERLINK("javascript:void(0)","diszprocsizma")</f>
        <v>diszprocsizma</v>
      </c>
    </row>
    <row r="2786" spans="1:4" ht="12.75" customHeight="1" x14ac:dyDescent="0.2">
      <c r="A2786" s="21"/>
      <c r="B2786" s="21"/>
      <c r="C2786" s="8" t="s">
        <v>163</v>
      </c>
      <c r="D2786" s="1" t="str">
        <f>HYPERLINK("javascript:void(0)","kithrill")</f>
        <v>kithrill</v>
      </c>
    </row>
    <row r="2787" spans="1:4" ht="12.75" customHeight="1" x14ac:dyDescent="0.2">
      <c r="A2787" s="21"/>
      <c r="B2787" s="21"/>
      <c r="C2787" s="8" t="s">
        <v>139</v>
      </c>
      <c r="D2787" s="1" t="str">
        <f>HYPERLINK("javascript:void(0)","membránplazma")</f>
        <v>membránplazma</v>
      </c>
    </row>
    <row r="2788" spans="1:4" ht="12.75" customHeight="1" x14ac:dyDescent="0.2">
      <c r="A2788" s="21"/>
      <c r="B2788" s="2"/>
      <c r="C2788" s="7"/>
      <c r="D2788" s="7"/>
    </row>
    <row r="2789" spans="1:4" ht="12.75" customHeight="1" x14ac:dyDescent="0.2">
      <c r="A2789" s="21"/>
      <c r="B2789" s="2"/>
      <c r="C2789" s="7"/>
      <c r="D2789" s="7"/>
    </row>
    <row r="2790" spans="1:4" ht="12.75" customHeight="1" x14ac:dyDescent="0.2">
      <c r="A2790" s="21"/>
      <c r="B2790" s="2"/>
      <c r="C2790" s="7"/>
      <c r="D2790" s="7"/>
    </row>
    <row r="2791" spans="1:4" ht="12.75" customHeight="1" x14ac:dyDescent="0.2">
      <c r="A2791" s="21"/>
      <c r="B2791" s="2"/>
      <c r="C2791" s="7"/>
      <c r="D2791" s="7"/>
    </row>
    <row r="2792" spans="1:4" ht="12.75" customHeight="1" x14ac:dyDescent="0.2">
      <c r="A2792" s="5"/>
      <c r="B2792" s="2"/>
      <c r="C2792" s="7"/>
      <c r="D2792" s="7"/>
    </row>
    <row r="2793" spans="1:4" ht="12.75" customHeight="1" x14ac:dyDescent="0.2">
      <c r="A2793" s="22" t="str">
        <f>HYPERLINK("javascript:void(0)","nyulványpajzs")</f>
        <v>nyulványpajzs</v>
      </c>
      <c r="B2793" s="21"/>
      <c r="C2793" s="21"/>
      <c r="D2793" s="21"/>
    </row>
    <row r="2794" spans="1:4" ht="12.75" customHeight="1" x14ac:dyDescent="0.2">
      <c r="A2794" s="20"/>
      <c r="B2794" s="2"/>
      <c r="C2794" s="7"/>
      <c r="D2794" s="7"/>
    </row>
    <row r="2795" spans="1:4" ht="12.75" customHeight="1" x14ac:dyDescent="0.2">
      <c r="A2795" s="21"/>
      <c r="B2795" s="3" t="s">
        <v>0</v>
      </c>
      <c r="C2795" s="23" t="s">
        <v>284</v>
      </c>
      <c r="D2795" s="21"/>
    </row>
    <row r="2796" spans="1:4" ht="12.75" customHeight="1" x14ac:dyDescent="0.2">
      <c r="A2796" s="21"/>
      <c r="B2796" s="3" t="s">
        <v>2</v>
      </c>
      <c r="C2796" s="23" t="s">
        <v>1839</v>
      </c>
      <c r="D2796" s="21"/>
    </row>
    <row r="2797" spans="1:4" ht="12.75" customHeight="1" x14ac:dyDescent="0.2">
      <c r="A2797" s="21"/>
      <c r="B2797" s="3" t="s">
        <v>1840</v>
      </c>
      <c r="C2797" s="23" t="s">
        <v>376</v>
      </c>
      <c r="D2797" s="21"/>
    </row>
    <row r="2798" spans="1:4" ht="12.75" customHeight="1" x14ac:dyDescent="0.2">
      <c r="A2798" s="21"/>
      <c r="B2798" s="3" t="s">
        <v>9</v>
      </c>
      <c r="C2798" s="23" t="s">
        <v>262</v>
      </c>
      <c r="D2798" s="21"/>
    </row>
    <row r="2799" spans="1:4" ht="12.75" customHeight="1" x14ac:dyDescent="0.2">
      <c r="A2799" s="21"/>
      <c r="B2799" s="3" t="s">
        <v>11</v>
      </c>
      <c r="C2799" s="23" t="s">
        <v>152</v>
      </c>
      <c r="D2799" s="21"/>
    </row>
    <row r="2800" spans="1:4" ht="12.75" customHeight="1" x14ac:dyDescent="0.2">
      <c r="A2800" s="21"/>
      <c r="B2800" s="3" t="s">
        <v>16</v>
      </c>
      <c r="C2800" s="23"/>
      <c r="D2800" s="21"/>
    </row>
    <row r="2801" spans="1:4" ht="12.75" customHeight="1" x14ac:dyDescent="0.2">
      <c r="A2801" s="21"/>
      <c r="B2801" s="3" t="s">
        <v>17</v>
      </c>
      <c r="C2801" s="23" t="s">
        <v>19</v>
      </c>
      <c r="D2801" s="21"/>
    </row>
    <row r="2802" spans="1:4" ht="12.75" customHeight="1" x14ac:dyDescent="0.2">
      <c r="A2802" s="21"/>
      <c r="B2802" s="20" t="s">
        <v>18</v>
      </c>
      <c r="C2802" s="8" t="s">
        <v>44</v>
      </c>
      <c r="D2802" s="1" t="str">
        <f>HYPERLINK("javascript:void(0)","hiperpajzs")</f>
        <v>hiperpajzs</v>
      </c>
    </row>
    <row r="2803" spans="1:4" ht="12.75" customHeight="1" x14ac:dyDescent="0.2">
      <c r="A2803" s="21"/>
      <c r="B2803" s="21"/>
      <c r="C2803" s="8" t="s">
        <v>55</v>
      </c>
      <c r="D2803" s="1" t="str">
        <f>HYPERLINK("javascript:void(0)","nyulványkorbács")</f>
        <v>nyulványkorbács</v>
      </c>
    </row>
    <row r="2804" spans="1:4" ht="12.75" customHeight="1" x14ac:dyDescent="0.2">
      <c r="A2804" s="21"/>
      <c r="B2804" s="21"/>
      <c r="C2804" s="8" t="s">
        <v>232</v>
      </c>
      <c r="D2804" s="1" t="str">
        <f>HYPERLINK("javascript:void(0)","undormány")</f>
        <v>undormány</v>
      </c>
    </row>
    <row r="2805" spans="1:4" ht="12.75" customHeight="1" x14ac:dyDescent="0.2">
      <c r="A2805" s="21"/>
      <c r="B2805" s="2"/>
      <c r="C2805" s="7"/>
      <c r="D2805" s="7"/>
    </row>
    <row r="2806" spans="1:4" ht="12.75" customHeight="1" x14ac:dyDescent="0.2">
      <c r="A2806" s="21"/>
      <c r="B2806" s="2"/>
      <c r="C2806" s="7"/>
      <c r="D2806" s="7"/>
    </row>
    <row r="2807" spans="1:4" ht="12.75" customHeight="1" x14ac:dyDescent="0.2">
      <c r="A2807" s="21"/>
      <c r="B2807" s="2"/>
      <c r="C2807" s="7"/>
      <c r="D2807" s="7"/>
    </row>
    <row r="2808" spans="1:4" ht="12.75" customHeight="1" x14ac:dyDescent="0.2">
      <c r="A2808" s="21"/>
      <c r="B2808" s="2"/>
      <c r="C2808" s="7"/>
      <c r="D2808" s="7"/>
    </row>
    <row r="2809" spans="1:4" ht="12.75" customHeight="1" x14ac:dyDescent="0.2">
      <c r="A2809" s="5"/>
      <c r="B2809" s="2"/>
      <c r="C2809" s="7"/>
      <c r="D2809" s="7"/>
    </row>
    <row r="2810" spans="1:4" ht="12.75" customHeight="1" x14ac:dyDescent="0.2">
      <c r="A2810" s="22" t="str">
        <f>HYPERLINK("javascript:void(0)","gyöngy pillepajzs")</f>
        <v>gyöngy pillepajzs</v>
      </c>
      <c r="B2810" s="21"/>
      <c r="C2810" s="21"/>
      <c r="D2810" s="21"/>
    </row>
    <row r="2811" spans="1:4" ht="12.75" customHeight="1" x14ac:dyDescent="0.2">
      <c r="A2811" s="20"/>
      <c r="B2811" s="2"/>
      <c r="C2811" s="7"/>
      <c r="D2811" s="7"/>
    </row>
    <row r="2812" spans="1:4" ht="12.75" customHeight="1" x14ac:dyDescent="0.2">
      <c r="A2812" s="21"/>
      <c r="B2812" s="3" t="s">
        <v>0</v>
      </c>
      <c r="C2812" s="23" t="s">
        <v>284</v>
      </c>
      <c r="D2812" s="21"/>
    </row>
    <row r="2813" spans="1:4" ht="12.75" customHeight="1" x14ac:dyDescent="0.2">
      <c r="A2813" s="21"/>
      <c r="B2813" s="3" t="s">
        <v>2</v>
      </c>
      <c r="C2813" s="23" t="s">
        <v>1839</v>
      </c>
      <c r="D2813" s="21"/>
    </row>
    <row r="2814" spans="1:4" ht="12.75" customHeight="1" x14ac:dyDescent="0.2">
      <c r="A2814" s="21"/>
      <c r="B2814" s="3" t="s">
        <v>1840</v>
      </c>
      <c r="C2814" s="23" t="s">
        <v>134</v>
      </c>
      <c r="D2814" s="21"/>
    </row>
    <row r="2815" spans="1:4" ht="12.75" customHeight="1" x14ac:dyDescent="0.2">
      <c r="A2815" s="21"/>
      <c r="B2815" s="3" t="s">
        <v>9</v>
      </c>
      <c r="C2815" s="23" t="s">
        <v>1993</v>
      </c>
      <c r="D2815" s="21"/>
    </row>
    <row r="2816" spans="1:4" ht="12.75" customHeight="1" x14ac:dyDescent="0.2">
      <c r="A2816" s="21"/>
      <c r="B2816" s="3" t="s">
        <v>11</v>
      </c>
      <c r="C2816" s="23" t="s">
        <v>162</v>
      </c>
      <c r="D2816" s="21"/>
    </row>
    <row r="2817" spans="1:4" ht="12.75" customHeight="1" x14ac:dyDescent="0.2">
      <c r="A2817" s="21"/>
      <c r="B2817" s="3" t="s">
        <v>16</v>
      </c>
      <c r="C2817" s="23"/>
      <c r="D2817" s="21"/>
    </row>
    <row r="2818" spans="1:4" ht="12.75" customHeight="1" x14ac:dyDescent="0.2">
      <c r="A2818" s="21"/>
      <c r="B2818" s="3" t="s">
        <v>17</v>
      </c>
      <c r="C2818" s="23" t="s">
        <v>19</v>
      </c>
      <c r="D2818" s="21"/>
    </row>
    <row r="2819" spans="1:4" ht="12.75" customHeight="1" x14ac:dyDescent="0.2">
      <c r="A2819" s="21"/>
      <c r="B2819" s="20" t="s">
        <v>18</v>
      </c>
      <c r="C2819" s="8" t="s">
        <v>44</v>
      </c>
      <c r="D2819" s="1" t="str">
        <f>HYPERLINK("javascript:void(0)","nyulványpajzs")</f>
        <v>nyulványpajzs</v>
      </c>
    </row>
    <row r="2820" spans="1:4" ht="12.75" customHeight="1" x14ac:dyDescent="0.2">
      <c r="A2820" s="21"/>
      <c r="B2820" s="21"/>
      <c r="C2820" s="8" t="s">
        <v>63</v>
      </c>
      <c r="D2820" s="1" t="str">
        <f>HYPERLINK("javascript:void(0)","gyöngy")</f>
        <v>gyöngy</v>
      </c>
    </row>
    <row r="2821" spans="1:4" ht="12.75" customHeight="1" x14ac:dyDescent="0.2">
      <c r="A2821" s="21"/>
      <c r="B2821" s="21"/>
      <c r="C2821" s="8" t="s">
        <v>117</v>
      </c>
      <c r="D2821" s="1" t="str">
        <f>HYPERLINK("javascript:void(0)","szépia")</f>
        <v>szépia</v>
      </c>
    </row>
    <row r="2822" spans="1:4" ht="12.75" customHeight="1" x14ac:dyDescent="0.2">
      <c r="A2822" s="21"/>
      <c r="B2822" s="2"/>
      <c r="C2822" s="7"/>
      <c r="D2822" s="7"/>
    </row>
    <row r="2823" spans="1:4" ht="12.75" customHeight="1" x14ac:dyDescent="0.2">
      <c r="A2823" s="21"/>
      <c r="B2823" s="2"/>
      <c r="C2823" s="7"/>
      <c r="D2823" s="7"/>
    </row>
    <row r="2824" spans="1:4" ht="12.75" customHeight="1" x14ac:dyDescent="0.2">
      <c r="A2824" s="21"/>
      <c r="B2824" s="2"/>
      <c r="C2824" s="7"/>
      <c r="D2824" s="7"/>
    </row>
    <row r="2825" spans="1:4" ht="12.75" customHeight="1" x14ac:dyDescent="0.2">
      <c r="A2825" s="21"/>
      <c r="B2825" s="2"/>
      <c r="C2825" s="7"/>
      <c r="D2825" s="7"/>
    </row>
    <row r="2826" spans="1:4" ht="12.75" customHeight="1" x14ac:dyDescent="0.2">
      <c r="A2826" s="5"/>
      <c r="B2826" s="2"/>
      <c r="C2826" s="7"/>
      <c r="D2826" s="7"/>
    </row>
    <row r="2827" spans="1:4" ht="12.75" customHeight="1" x14ac:dyDescent="0.2">
      <c r="A2827" s="22" t="str">
        <f>HYPERLINK("javascript:void(0)","hiper testpajzs")</f>
        <v>hiper testpajzs</v>
      </c>
      <c r="B2827" s="21"/>
      <c r="C2827" s="21"/>
      <c r="D2827" s="21"/>
    </row>
    <row r="2828" spans="1:4" ht="12.75" customHeight="1" x14ac:dyDescent="0.2">
      <c r="A2828" s="20"/>
      <c r="B2828" s="2"/>
      <c r="C2828" s="7"/>
      <c r="D2828" s="7"/>
    </row>
    <row r="2829" spans="1:4" ht="12.75" customHeight="1" x14ac:dyDescent="0.2">
      <c r="A2829" s="21"/>
      <c r="B2829" s="3" t="s">
        <v>0</v>
      </c>
      <c r="C2829" s="23" t="s">
        <v>291</v>
      </c>
      <c r="D2829" s="21"/>
    </row>
    <row r="2830" spans="1:4" ht="12.75" customHeight="1" x14ac:dyDescent="0.2">
      <c r="A2830" s="21"/>
      <c r="B2830" s="3" t="s">
        <v>2</v>
      </c>
      <c r="C2830" s="23" t="s">
        <v>1839</v>
      </c>
      <c r="D2830" s="21"/>
    </row>
    <row r="2831" spans="1:4" ht="12.75" customHeight="1" x14ac:dyDescent="0.2">
      <c r="A2831" s="21"/>
      <c r="B2831" s="3" t="s">
        <v>1840</v>
      </c>
      <c r="C2831" s="23" t="s">
        <v>376</v>
      </c>
      <c r="D2831" s="21"/>
    </row>
    <row r="2832" spans="1:4" ht="12.75" customHeight="1" x14ac:dyDescent="0.2">
      <c r="A2832" s="21"/>
      <c r="B2832" s="3" t="s">
        <v>9</v>
      </c>
      <c r="C2832" s="23" t="s">
        <v>1824</v>
      </c>
      <c r="D2832" s="21"/>
    </row>
    <row r="2833" spans="1:4" ht="12.75" customHeight="1" x14ac:dyDescent="0.2">
      <c r="A2833" s="21"/>
      <c r="B2833" s="3" t="s">
        <v>11</v>
      </c>
      <c r="C2833" s="23" t="s">
        <v>138</v>
      </c>
      <c r="D2833" s="21"/>
    </row>
    <row r="2834" spans="1:4" ht="12.75" customHeight="1" x14ac:dyDescent="0.2">
      <c r="A2834" s="21"/>
      <c r="B2834" s="3" t="s">
        <v>16</v>
      </c>
      <c r="C2834" s="23"/>
      <c r="D2834" s="21"/>
    </row>
    <row r="2835" spans="1:4" ht="12.75" customHeight="1" x14ac:dyDescent="0.2">
      <c r="A2835" s="21"/>
      <c r="B2835" s="3" t="s">
        <v>17</v>
      </c>
      <c r="C2835" s="23" t="s">
        <v>19</v>
      </c>
      <c r="D2835" s="21"/>
    </row>
    <row r="2836" spans="1:4" ht="12.75" customHeight="1" x14ac:dyDescent="0.2">
      <c r="A2836" s="21"/>
      <c r="B2836" s="20" t="s">
        <v>18</v>
      </c>
      <c r="C2836" s="8" t="s">
        <v>44</v>
      </c>
      <c r="D2836" s="1" t="str">
        <f>HYPERLINK("javascript:void(0)","centro testpajzs")</f>
        <v>centro testpajzs</v>
      </c>
    </row>
    <row r="2837" spans="1:4" ht="12.75" customHeight="1" x14ac:dyDescent="0.2">
      <c r="A2837" s="21"/>
      <c r="B2837" s="21"/>
      <c r="C2837" s="8" t="s">
        <v>55</v>
      </c>
      <c r="D2837" s="1" t="str">
        <f>HYPERLINK("javascript:void(0)","hiperium")</f>
        <v>hiperium</v>
      </c>
    </row>
    <row r="2838" spans="1:4" ht="12.75" customHeight="1" x14ac:dyDescent="0.2">
      <c r="A2838" s="21"/>
      <c r="B2838" s="21"/>
      <c r="C2838" s="8" t="s">
        <v>55</v>
      </c>
      <c r="D2838" s="1" t="str">
        <f>HYPERLINK("javascript:void(0)","gyémánt")</f>
        <v>gyémánt</v>
      </c>
    </row>
    <row r="2839" spans="1:4" ht="12.75" customHeight="1" x14ac:dyDescent="0.2">
      <c r="A2839" s="21"/>
      <c r="B2839" s="2"/>
      <c r="C2839" s="7"/>
      <c r="D2839" s="7"/>
    </row>
    <row r="2840" spans="1:4" ht="12.75" customHeight="1" x14ac:dyDescent="0.2">
      <c r="A2840" s="21"/>
      <c r="B2840" s="2"/>
      <c r="C2840" s="7"/>
      <c r="D2840" s="7"/>
    </row>
    <row r="2841" spans="1:4" ht="12.75" customHeight="1" x14ac:dyDescent="0.2">
      <c r="A2841" s="21"/>
      <c r="B2841" s="2"/>
      <c r="C2841" s="7"/>
      <c r="D2841" s="7"/>
    </row>
    <row r="2842" spans="1:4" ht="12.75" customHeight="1" x14ac:dyDescent="0.2">
      <c r="A2842" s="21"/>
      <c r="B2842" s="2"/>
      <c r="C2842" s="7"/>
      <c r="D2842" s="7"/>
    </row>
    <row r="2843" spans="1:4" ht="12.75" customHeight="1" x14ac:dyDescent="0.2">
      <c r="A2843" s="5"/>
      <c r="B2843" s="2"/>
      <c r="C2843" s="7"/>
      <c r="D2843" s="7"/>
    </row>
    <row r="2844" spans="1:4" ht="12.75" customHeight="1" x14ac:dyDescent="0.2">
      <c r="A2844" s="22" t="str">
        <f>HYPERLINK("javascript:void(0)","skivei sisak")</f>
        <v>skivei sisak</v>
      </c>
      <c r="B2844" s="21"/>
      <c r="C2844" s="21"/>
      <c r="D2844" s="21"/>
    </row>
    <row r="2845" spans="1:4" ht="12.75" customHeight="1" x14ac:dyDescent="0.2">
      <c r="A2845" s="20"/>
      <c r="B2845" s="2"/>
      <c r="C2845" s="7"/>
      <c r="D2845" s="7"/>
    </row>
    <row r="2846" spans="1:4" ht="12.75" customHeight="1" x14ac:dyDescent="0.2">
      <c r="A2846" s="21"/>
      <c r="B2846" s="3" t="s">
        <v>0</v>
      </c>
      <c r="C2846" s="23" t="s">
        <v>291</v>
      </c>
      <c r="D2846" s="21"/>
    </row>
    <row r="2847" spans="1:4" ht="12.75" customHeight="1" x14ac:dyDescent="0.2">
      <c r="A2847" s="21"/>
      <c r="B2847" s="3" t="s">
        <v>2</v>
      </c>
      <c r="C2847" s="23"/>
      <c r="D2847" s="21"/>
    </row>
    <row r="2848" spans="1:4" ht="12.75" customHeight="1" x14ac:dyDescent="0.2">
      <c r="A2848" s="21"/>
      <c r="B2848" s="3" t="s">
        <v>1840</v>
      </c>
      <c r="C2848" s="23" t="s">
        <v>385</v>
      </c>
      <c r="D2848" s="21"/>
    </row>
    <row r="2849" spans="1:4" ht="12.75" customHeight="1" x14ac:dyDescent="0.2">
      <c r="A2849" s="21"/>
      <c r="B2849" s="3" t="s">
        <v>9</v>
      </c>
      <c r="C2849" s="23" t="s">
        <v>573</v>
      </c>
      <c r="D2849" s="21"/>
    </row>
    <row r="2850" spans="1:4" ht="12.75" customHeight="1" x14ac:dyDescent="0.2">
      <c r="A2850" s="21"/>
      <c r="B2850" s="3" t="s">
        <v>11</v>
      </c>
      <c r="C2850" s="23" t="s">
        <v>116</v>
      </c>
      <c r="D2850" s="21"/>
    </row>
    <row r="2851" spans="1:4" ht="12.75" customHeight="1" x14ac:dyDescent="0.2">
      <c r="A2851" s="21"/>
      <c r="B2851" s="3" t="s">
        <v>16</v>
      </c>
      <c r="C2851" s="23"/>
      <c r="D2851" s="21"/>
    </row>
    <row r="2852" spans="1:4" ht="12.75" customHeight="1" x14ac:dyDescent="0.2">
      <c r="A2852" s="21"/>
      <c r="B2852" s="3" t="s">
        <v>17</v>
      </c>
      <c r="C2852" s="23" t="s">
        <v>19</v>
      </c>
      <c r="D2852" s="21"/>
    </row>
    <row r="2853" spans="1:4" ht="12.75" customHeight="1" x14ac:dyDescent="0.2">
      <c r="A2853" s="21"/>
      <c r="B2853" s="20" t="s">
        <v>18</v>
      </c>
      <c r="C2853" s="8" t="s">
        <v>44</v>
      </c>
      <c r="D2853" s="1" t="str">
        <f>HYPERLINK("javascript:void(0)","óriásacél sisak")</f>
        <v>óriásacél sisak</v>
      </c>
    </row>
    <row r="2854" spans="1:4" ht="12.75" customHeight="1" x14ac:dyDescent="0.2">
      <c r="A2854" s="21"/>
      <c r="B2854" s="21"/>
      <c r="C2854" s="8" t="s">
        <v>56</v>
      </c>
      <c r="D2854" s="1" t="str">
        <f>HYPERLINK("javascript:void(0)","óriás korona")</f>
        <v>óriás korona</v>
      </c>
    </row>
    <row r="2855" spans="1:4" ht="12.75" customHeight="1" x14ac:dyDescent="0.2">
      <c r="A2855" s="21"/>
      <c r="B2855" s="21"/>
      <c r="C2855" s="8" t="s">
        <v>117</v>
      </c>
      <c r="D2855" s="1" t="str">
        <f>HYPERLINK("javascript:void(0)","sárkányfű")</f>
        <v>sárkányfű</v>
      </c>
    </row>
    <row r="2856" spans="1:4" ht="12.75" customHeight="1" x14ac:dyDescent="0.2">
      <c r="A2856" s="21"/>
      <c r="B2856" s="2"/>
      <c r="C2856" s="7"/>
      <c r="D2856" s="7"/>
    </row>
    <row r="2857" spans="1:4" ht="12.75" customHeight="1" x14ac:dyDescent="0.2">
      <c r="A2857" s="21"/>
      <c r="B2857" s="2"/>
      <c r="C2857" s="7"/>
      <c r="D2857" s="7"/>
    </row>
    <row r="2858" spans="1:4" ht="12.75" customHeight="1" x14ac:dyDescent="0.2">
      <c r="A2858" s="21"/>
      <c r="B2858" s="2"/>
      <c r="C2858" s="7"/>
      <c r="D2858" s="7"/>
    </row>
    <row r="2859" spans="1:4" ht="12.75" customHeight="1" x14ac:dyDescent="0.2">
      <c r="A2859" s="21"/>
      <c r="B2859" s="2"/>
      <c r="C2859" s="7"/>
      <c r="D2859" s="7"/>
    </row>
    <row r="2860" spans="1:4" ht="12.75" customHeight="1" x14ac:dyDescent="0.2">
      <c r="A2860" s="5"/>
      <c r="B2860" s="2"/>
      <c r="C2860" s="7"/>
      <c r="D2860" s="7"/>
    </row>
    <row r="2861" spans="1:4" ht="12.75" customHeight="1" x14ac:dyDescent="0.2">
      <c r="A2861" s="22" t="str">
        <f>HYPERLINK("javascript:void(0)","hiperpáncél")</f>
        <v>hiperpáncél</v>
      </c>
      <c r="B2861" s="21"/>
      <c r="C2861" s="21"/>
      <c r="D2861" s="21"/>
    </row>
    <row r="2862" spans="1:4" ht="12.75" customHeight="1" x14ac:dyDescent="0.2">
      <c r="A2862" s="20"/>
      <c r="B2862" s="2"/>
      <c r="C2862" s="7"/>
      <c r="D2862" s="7"/>
    </row>
    <row r="2863" spans="1:4" ht="12.75" customHeight="1" x14ac:dyDescent="0.2">
      <c r="A2863" s="21"/>
      <c r="B2863" s="3" t="s">
        <v>0</v>
      </c>
      <c r="C2863" s="23" t="s">
        <v>291</v>
      </c>
      <c r="D2863" s="21"/>
    </row>
    <row r="2864" spans="1:4" ht="12.75" customHeight="1" x14ac:dyDescent="0.2">
      <c r="A2864" s="21"/>
      <c r="B2864" s="3" t="s">
        <v>2</v>
      </c>
      <c r="C2864" s="23" t="s">
        <v>2322</v>
      </c>
      <c r="D2864" s="21"/>
    </row>
    <row r="2865" spans="1:4" ht="12.75" customHeight="1" x14ac:dyDescent="0.2">
      <c r="A2865" s="21"/>
      <c r="B2865" s="3" t="s">
        <v>1840</v>
      </c>
      <c r="C2865" s="23" t="s">
        <v>239</v>
      </c>
      <c r="D2865" s="21"/>
    </row>
    <row r="2866" spans="1:4" ht="12.75" customHeight="1" x14ac:dyDescent="0.2">
      <c r="A2866" s="21"/>
      <c r="B2866" s="3" t="s">
        <v>9</v>
      </c>
      <c r="C2866" s="23" t="s">
        <v>200</v>
      </c>
      <c r="D2866" s="21"/>
    </row>
    <row r="2867" spans="1:4" ht="12.75" customHeight="1" x14ac:dyDescent="0.2">
      <c r="A2867" s="21"/>
      <c r="B2867" s="3" t="s">
        <v>11</v>
      </c>
      <c r="C2867" s="23" t="s">
        <v>116</v>
      </c>
      <c r="D2867" s="21"/>
    </row>
    <row r="2868" spans="1:4" ht="12.75" customHeight="1" x14ac:dyDescent="0.2">
      <c r="A2868" s="21"/>
      <c r="B2868" s="3" t="s">
        <v>16</v>
      </c>
      <c r="C2868" s="23"/>
      <c r="D2868" s="21"/>
    </row>
    <row r="2869" spans="1:4" ht="12.75" customHeight="1" x14ac:dyDescent="0.2">
      <c r="A2869" s="21"/>
      <c r="B2869" s="3" t="s">
        <v>17</v>
      </c>
      <c r="C2869" s="23" t="s">
        <v>19</v>
      </c>
      <c r="D2869" s="21"/>
    </row>
    <row r="2870" spans="1:4" ht="12.75" customHeight="1" x14ac:dyDescent="0.2">
      <c r="A2870" s="21"/>
      <c r="B2870" s="20" t="s">
        <v>18</v>
      </c>
      <c r="C2870" s="8" t="s">
        <v>139</v>
      </c>
      <c r="D2870" s="1" t="str">
        <f>HYPERLINK("javascript:void(0)","hiperium")</f>
        <v>hiperium</v>
      </c>
    </row>
    <row r="2871" spans="1:4" ht="12.75" customHeight="1" x14ac:dyDescent="0.2">
      <c r="A2871" s="21"/>
      <c r="B2871" s="21"/>
      <c r="C2871" s="8" t="s">
        <v>44</v>
      </c>
      <c r="D2871" s="1" t="str">
        <f>HYPERLINK("javascript:void(0)","centropáncél")</f>
        <v>centropáncél</v>
      </c>
    </row>
    <row r="2872" spans="1:4" ht="12.75" customHeight="1" x14ac:dyDescent="0.2">
      <c r="A2872" s="21"/>
      <c r="B2872" s="21"/>
      <c r="C2872" s="8" t="s">
        <v>244</v>
      </c>
      <c r="D2872" s="1" t="str">
        <f>HYPERLINK("javascript:void(0)","sárkány szív")</f>
        <v>sárkány szív</v>
      </c>
    </row>
    <row r="2873" spans="1:4" ht="12.75" customHeight="1" x14ac:dyDescent="0.2">
      <c r="A2873" s="21"/>
      <c r="B2873" s="2"/>
      <c r="C2873" s="7"/>
      <c r="D2873" s="7"/>
    </row>
    <row r="2874" spans="1:4" ht="12.75" customHeight="1" x14ac:dyDescent="0.2">
      <c r="A2874" s="21"/>
      <c r="B2874" s="2"/>
      <c r="C2874" s="7"/>
      <c r="D2874" s="7"/>
    </row>
    <row r="2875" spans="1:4" ht="12.75" customHeight="1" x14ac:dyDescent="0.2">
      <c r="A2875" s="21"/>
      <c r="B2875" s="2"/>
      <c r="C2875" s="7"/>
      <c r="D2875" s="7"/>
    </row>
    <row r="2876" spans="1:4" ht="12.75" customHeight="1" x14ac:dyDescent="0.2">
      <c r="A2876" s="21"/>
      <c r="B2876" s="2"/>
      <c r="C2876" s="7"/>
      <c r="D2876" s="7"/>
    </row>
    <row r="2877" spans="1:4" ht="12.75" customHeight="1" x14ac:dyDescent="0.2">
      <c r="A2877" s="5"/>
      <c r="B2877" s="2"/>
      <c r="C2877" s="7"/>
      <c r="D2877" s="7"/>
    </row>
    <row r="2878" spans="1:4" ht="12.75" customHeight="1" x14ac:dyDescent="0.2">
      <c r="A2878" s="22" t="str">
        <f>HYPERLINK("javascript:void(0)","óriásacél csizma")</f>
        <v>óriásacél csizma</v>
      </c>
      <c r="B2878" s="21"/>
      <c r="C2878" s="21"/>
      <c r="D2878" s="21"/>
    </row>
    <row r="2879" spans="1:4" ht="12.75" customHeight="1" x14ac:dyDescent="0.2">
      <c r="A2879" s="20"/>
      <c r="B2879" s="2"/>
      <c r="C2879" s="7"/>
      <c r="D2879" s="7"/>
    </row>
    <row r="2880" spans="1:4" ht="12.75" customHeight="1" x14ac:dyDescent="0.2">
      <c r="A2880" s="21"/>
      <c r="B2880" s="3" t="s">
        <v>0</v>
      </c>
      <c r="C2880" s="23" t="s">
        <v>291</v>
      </c>
      <c r="D2880" s="21"/>
    </row>
    <row r="2881" spans="1:4" ht="12.75" customHeight="1" x14ac:dyDescent="0.2">
      <c r="A2881" s="21"/>
      <c r="B2881" s="3" t="s">
        <v>2</v>
      </c>
      <c r="C2881" s="23"/>
      <c r="D2881" s="21"/>
    </row>
    <row r="2882" spans="1:4" ht="12.75" customHeight="1" x14ac:dyDescent="0.2">
      <c r="A2882" s="21"/>
      <c r="B2882" s="3" t="s">
        <v>1840</v>
      </c>
      <c r="C2882" s="23" t="s">
        <v>353</v>
      </c>
      <c r="D2882" s="21"/>
    </row>
    <row r="2883" spans="1:4" ht="12.75" customHeight="1" x14ac:dyDescent="0.2">
      <c r="A2883" s="21"/>
      <c r="B2883" s="3" t="s">
        <v>9</v>
      </c>
      <c r="C2883" s="23" t="s">
        <v>962</v>
      </c>
      <c r="D2883" s="21"/>
    </row>
    <row r="2884" spans="1:4" ht="12.75" customHeight="1" x14ac:dyDescent="0.2">
      <c r="A2884" s="21"/>
      <c r="B2884" s="3" t="s">
        <v>11</v>
      </c>
      <c r="C2884" s="23" t="s">
        <v>1919</v>
      </c>
      <c r="D2884" s="21"/>
    </row>
    <row r="2885" spans="1:4" ht="12.75" customHeight="1" x14ac:dyDescent="0.2">
      <c r="A2885" s="21"/>
      <c r="B2885" s="3" t="s">
        <v>16</v>
      </c>
      <c r="C2885" s="23"/>
      <c r="D2885" s="21"/>
    </row>
    <row r="2886" spans="1:4" ht="12.75" customHeight="1" x14ac:dyDescent="0.2">
      <c r="A2886" s="21"/>
      <c r="B2886" s="3" t="s">
        <v>17</v>
      </c>
      <c r="C2886" s="23" t="s">
        <v>19</v>
      </c>
      <c r="D2886" s="21"/>
    </row>
    <row r="2887" spans="1:4" ht="12.75" customHeight="1" x14ac:dyDescent="0.2">
      <c r="A2887" s="21"/>
      <c r="B2887" s="20" t="s">
        <v>18</v>
      </c>
      <c r="C2887" s="8" t="s">
        <v>44</v>
      </c>
      <c r="D2887" s="1" t="str">
        <f>HYPERLINK("javascript:void(0)","elfacél csizma")</f>
        <v>elfacél csizma</v>
      </c>
    </row>
    <row r="2888" spans="1:4" ht="12.75" customHeight="1" x14ac:dyDescent="0.2">
      <c r="A2888" s="21"/>
      <c r="B2888" s="21"/>
      <c r="C2888" s="8" t="s">
        <v>67</v>
      </c>
      <c r="D2888" s="1" t="str">
        <f>HYPERLINK("javascript:void(0)","óriás korona")</f>
        <v>óriás korona</v>
      </c>
    </row>
    <row r="2889" spans="1:4" ht="12.75" customHeight="1" x14ac:dyDescent="0.2">
      <c r="A2889" s="21"/>
      <c r="B2889" s="21"/>
      <c r="C2889" s="8" t="s">
        <v>309</v>
      </c>
      <c r="D2889" s="1" t="str">
        <f>HYPERLINK("javascript:void(0)","fülpenge")</f>
        <v>fülpenge</v>
      </c>
    </row>
    <row r="2890" spans="1:4" ht="12.75" customHeight="1" x14ac:dyDescent="0.2">
      <c r="A2890" s="21"/>
      <c r="B2890" s="2"/>
      <c r="C2890" s="7"/>
      <c r="D2890" s="7"/>
    </row>
    <row r="2891" spans="1:4" ht="12.75" customHeight="1" x14ac:dyDescent="0.2">
      <c r="A2891" s="21"/>
      <c r="B2891" s="2"/>
      <c r="C2891" s="7"/>
      <c r="D2891" s="7"/>
    </row>
    <row r="2892" spans="1:4" ht="12.75" customHeight="1" x14ac:dyDescent="0.2">
      <c r="A2892" s="21"/>
      <c r="B2892" s="2"/>
      <c r="C2892" s="7"/>
      <c r="D2892" s="7"/>
    </row>
    <row r="2893" spans="1:4" ht="12.75" customHeight="1" x14ac:dyDescent="0.2">
      <c r="A2893" s="21"/>
      <c r="B2893" s="2"/>
      <c r="C2893" s="7"/>
      <c r="D2893" s="7"/>
    </row>
    <row r="2894" spans="1:4" ht="12.75" customHeight="1" x14ac:dyDescent="0.2">
      <c r="A2894" s="5"/>
      <c r="B2894" s="2"/>
      <c r="C2894" s="7"/>
      <c r="D2894" s="7"/>
    </row>
    <row r="2895" spans="1:4" ht="12.75" customHeight="1" x14ac:dyDescent="0.2">
      <c r="A2895" s="22" t="str">
        <f>HYPERLINK("javascript:void(0)","dracoacél testpajzs")</f>
        <v>dracoacél testpajzs</v>
      </c>
      <c r="B2895" s="21"/>
      <c r="C2895" s="21"/>
      <c r="D2895" s="21"/>
    </row>
    <row r="2896" spans="1:4" ht="12.75" customHeight="1" x14ac:dyDescent="0.2">
      <c r="A2896" s="20"/>
      <c r="B2896" s="2"/>
      <c r="C2896" s="7"/>
      <c r="D2896" s="7"/>
    </row>
    <row r="2897" spans="1:4" ht="12.75" customHeight="1" x14ac:dyDescent="0.2">
      <c r="A2897" s="21"/>
      <c r="B2897" s="3" t="s">
        <v>0</v>
      </c>
      <c r="C2897" s="23" t="s">
        <v>291</v>
      </c>
      <c r="D2897" s="21"/>
    </row>
    <row r="2898" spans="1:4" ht="12.75" customHeight="1" x14ac:dyDescent="0.2">
      <c r="A2898" s="21"/>
      <c r="B2898" s="3" t="s">
        <v>2</v>
      </c>
      <c r="C2898" s="23" t="s">
        <v>1839</v>
      </c>
      <c r="D2898" s="21"/>
    </row>
    <row r="2899" spans="1:4" ht="12.75" customHeight="1" x14ac:dyDescent="0.2">
      <c r="A2899" s="21"/>
      <c r="B2899" s="3" t="s">
        <v>1840</v>
      </c>
      <c r="C2899" s="23" t="s">
        <v>532</v>
      </c>
      <c r="D2899" s="21"/>
    </row>
    <row r="2900" spans="1:4" ht="12.75" customHeight="1" x14ac:dyDescent="0.2">
      <c r="A2900" s="21"/>
      <c r="B2900" s="3" t="s">
        <v>9</v>
      </c>
      <c r="C2900" s="23" t="s">
        <v>549</v>
      </c>
      <c r="D2900" s="21"/>
    </row>
    <row r="2901" spans="1:4" ht="12.75" customHeight="1" x14ac:dyDescent="0.2">
      <c r="A2901" s="21"/>
      <c r="B2901" s="3" t="s">
        <v>11</v>
      </c>
      <c r="C2901" s="23" t="s">
        <v>162</v>
      </c>
      <c r="D2901" s="21"/>
    </row>
    <row r="2902" spans="1:4" ht="12.75" customHeight="1" x14ac:dyDescent="0.2">
      <c r="A2902" s="21"/>
      <c r="B2902" s="3" t="s">
        <v>16</v>
      </c>
      <c r="C2902" s="23"/>
      <c r="D2902" s="21"/>
    </row>
    <row r="2903" spans="1:4" ht="12.75" customHeight="1" x14ac:dyDescent="0.2">
      <c r="A2903" s="21"/>
      <c r="B2903" s="3" t="s">
        <v>17</v>
      </c>
      <c r="C2903" s="23" t="s">
        <v>19</v>
      </c>
      <c r="D2903" s="21"/>
    </row>
    <row r="2904" spans="1:4" ht="12.75" customHeight="1" x14ac:dyDescent="0.2">
      <c r="A2904" s="21"/>
      <c r="B2904" s="20" t="s">
        <v>18</v>
      </c>
      <c r="C2904" s="8" t="s">
        <v>44</v>
      </c>
      <c r="D2904" s="1" t="str">
        <f>HYPERLINK("javascript:void(0)","hiper testpajzs")</f>
        <v>hiper testpajzs</v>
      </c>
    </row>
    <row r="2905" spans="1:4" ht="12.75" customHeight="1" x14ac:dyDescent="0.2">
      <c r="A2905" s="21"/>
      <c r="B2905" s="21"/>
      <c r="C2905" s="8" t="s">
        <v>244</v>
      </c>
      <c r="D2905" s="1" t="str">
        <f>HYPERLINK("javascript:void(0)","sárkány izom")</f>
        <v>sárkány izom</v>
      </c>
    </row>
    <row r="2906" spans="1:4" ht="12.75" customHeight="1" x14ac:dyDescent="0.2">
      <c r="A2906" s="21"/>
      <c r="B2906" s="21"/>
      <c r="C2906" s="8" t="s">
        <v>139</v>
      </c>
      <c r="D2906" s="1" t="str">
        <f>HYPERLINK("javascript:void(0)","sárkány szív")</f>
        <v>sárkány szív</v>
      </c>
    </row>
    <row r="2907" spans="1:4" ht="12.75" customHeight="1" x14ac:dyDescent="0.2">
      <c r="A2907" s="21"/>
      <c r="B2907" s="2"/>
      <c r="C2907" s="7"/>
      <c r="D2907" s="7"/>
    </row>
    <row r="2908" spans="1:4" ht="12.75" customHeight="1" x14ac:dyDescent="0.2">
      <c r="A2908" s="21"/>
      <c r="B2908" s="2"/>
      <c r="C2908" s="7"/>
      <c r="D2908" s="7"/>
    </row>
    <row r="2909" spans="1:4" ht="12.75" customHeight="1" x14ac:dyDescent="0.2">
      <c r="A2909" s="21"/>
      <c r="B2909" s="2"/>
      <c r="C2909" s="7"/>
      <c r="D2909" s="7"/>
    </row>
    <row r="2910" spans="1:4" ht="12.75" customHeight="1" x14ac:dyDescent="0.2">
      <c r="A2910" s="21"/>
      <c r="B2910" s="2"/>
      <c r="C2910" s="7"/>
      <c r="D2910" s="7"/>
    </row>
    <row r="2911" spans="1:4" ht="12.75" customHeight="1" x14ac:dyDescent="0.2">
      <c r="A2911" s="5"/>
      <c r="B2911" s="2"/>
      <c r="C2911" s="7"/>
      <c r="D2911" s="7"/>
    </row>
    <row r="2912" spans="1:4" ht="12.75" customHeight="1" x14ac:dyDescent="0.2">
      <c r="A2912" s="22" t="str">
        <f>HYPERLINK("javascript:void(0)","opál pillepajzs")</f>
        <v>opál pillepajzs</v>
      </c>
      <c r="B2912" s="21"/>
      <c r="C2912" s="21"/>
      <c r="D2912" s="21"/>
    </row>
    <row r="2913" spans="1:4" ht="12.75" customHeight="1" x14ac:dyDescent="0.2">
      <c r="A2913" s="20"/>
      <c r="B2913" s="2"/>
      <c r="C2913" s="7"/>
      <c r="D2913" s="7"/>
    </row>
    <row r="2914" spans="1:4" ht="12.75" customHeight="1" x14ac:dyDescent="0.2">
      <c r="A2914" s="21"/>
      <c r="B2914" s="3" t="s">
        <v>0</v>
      </c>
      <c r="C2914" s="23" t="s">
        <v>291</v>
      </c>
      <c r="D2914" s="21"/>
    </row>
    <row r="2915" spans="1:4" ht="12.75" customHeight="1" x14ac:dyDescent="0.2">
      <c r="A2915" s="21"/>
      <c r="B2915" s="3" t="s">
        <v>2</v>
      </c>
      <c r="C2915" s="23" t="s">
        <v>1839</v>
      </c>
      <c r="D2915" s="21"/>
    </row>
    <row r="2916" spans="1:4" ht="12.75" customHeight="1" x14ac:dyDescent="0.2">
      <c r="A2916" s="21"/>
      <c r="B2916" s="3" t="s">
        <v>1840</v>
      </c>
      <c r="C2916" s="23" t="s">
        <v>167</v>
      </c>
      <c r="D2916" s="21"/>
    </row>
    <row r="2917" spans="1:4" ht="12.75" customHeight="1" x14ac:dyDescent="0.2">
      <c r="A2917" s="21"/>
      <c r="B2917" s="3" t="s">
        <v>9</v>
      </c>
      <c r="C2917" s="23" t="s">
        <v>2001</v>
      </c>
      <c r="D2917" s="21"/>
    </row>
    <row r="2918" spans="1:4" ht="12.75" customHeight="1" x14ac:dyDescent="0.2">
      <c r="A2918" s="21"/>
      <c r="B2918" s="3" t="s">
        <v>11</v>
      </c>
      <c r="C2918" s="23" t="s">
        <v>191</v>
      </c>
      <c r="D2918" s="21"/>
    </row>
    <row r="2919" spans="1:4" ht="12.75" customHeight="1" x14ac:dyDescent="0.2">
      <c r="A2919" s="21"/>
      <c r="B2919" s="3" t="s">
        <v>16</v>
      </c>
      <c r="C2919" s="23"/>
      <c r="D2919" s="21"/>
    </row>
    <row r="2920" spans="1:4" ht="12.75" customHeight="1" x14ac:dyDescent="0.2">
      <c r="A2920" s="21"/>
      <c r="B2920" s="3" t="s">
        <v>17</v>
      </c>
      <c r="C2920" s="23" t="s">
        <v>19</v>
      </c>
      <c r="D2920" s="21"/>
    </row>
    <row r="2921" spans="1:4" ht="12.75" customHeight="1" x14ac:dyDescent="0.2">
      <c r="A2921" s="21"/>
      <c r="B2921" s="20" t="s">
        <v>18</v>
      </c>
      <c r="C2921" s="8" t="s">
        <v>44</v>
      </c>
      <c r="D2921" s="1" t="str">
        <f>HYPERLINK("javascript:void(0)","dracoacél testpajzs")</f>
        <v>dracoacél testpajzs</v>
      </c>
    </row>
    <row r="2922" spans="1:4" ht="12.75" customHeight="1" x14ac:dyDescent="0.2">
      <c r="A2922" s="21"/>
      <c r="B2922" s="21"/>
      <c r="C2922" s="8" t="s">
        <v>323</v>
      </c>
      <c r="D2922" s="1" t="str">
        <f>HYPERLINK("javascript:void(0)","opál")</f>
        <v>opál</v>
      </c>
    </row>
    <row r="2923" spans="1:4" ht="12.75" customHeight="1" x14ac:dyDescent="0.2">
      <c r="A2923" s="21"/>
      <c r="B2923" s="21"/>
      <c r="C2923" s="8" t="s">
        <v>117</v>
      </c>
      <c r="D2923" s="1" t="str">
        <f>HYPERLINK("javascript:void(0)","légzsák")</f>
        <v>légzsák</v>
      </c>
    </row>
    <row r="2924" spans="1:4" ht="12.75" customHeight="1" x14ac:dyDescent="0.2">
      <c r="A2924" s="21"/>
      <c r="B2924" s="2"/>
      <c r="C2924" s="7"/>
      <c r="D2924" s="7"/>
    </row>
    <row r="2925" spans="1:4" ht="12.75" customHeight="1" x14ac:dyDescent="0.2">
      <c r="A2925" s="21"/>
      <c r="B2925" s="2"/>
      <c r="C2925" s="7"/>
      <c r="D2925" s="7"/>
    </row>
    <row r="2926" spans="1:4" ht="12.75" customHeight="1" x14ac:dyDescent="0.2">
      <c r="A2926" s="21"/>
      <c r="B2926" s="2"/>
      <c r="C2926" s="7"/>
      <c r="D2926" s="7"/>
    </row>
    <row r="2927" spans="1:4" ht="12.75" customHeight="1" x14ac:dyDescent="0.2">
      <c r="A2927" s="21"/>
      <c r="B2927" s="2"/>
      <c r="C2927" s="7"/>
      <c r="D2927" s="7"/>
    </row>
    <row r="2928" spans="1:4" ht="12.75" customHeight="1" x14ac:dyDescent="0.2">
      <c r="A2928" s="5"/>
      <c r="B2928" s="2"/>
      <c r="C2928" s="7"/>
      <c r="D2928" s="7"/>
    </row>
    <row r="2929" spans="1:4" ht="12.75" customHeight="1" x14ac:dyDescent="0.2">
      <c r="A2929" s="22" t="str">
        <f>HYPERLINK("javascript:void(0)","elfacél keresztvas")</f>
        <v>elfacél keresztvas</v>
      </c>
      <c r="B2929" s="21"/>
      <c r="C2929" s="21"/>
      <c r="D2929" s="21"/>
    </row>
    <row r="2930" spans="1:4" ht="12.75" customHeight="1" x14ac:dyDescent="0.2">
      <c r="A2930" s="20"/>
      <c r="B2930" s="2"/>
      <c r="C2930" s="7"/>
      <c r="D2930" s="7"/>
    </row>
    <row r="2931" spans="1:4" ht="12.75" customHeight="1" x14ac:dyDescent="0.2">
      <c r="A2931" s="21"/>
      <c r="B2931" s="3" t="s">
        <v>0</v>
      </c>
      <c r="C2931" s="23" t="s">
        <v>298</v>
      </c>
      <c r="D2931" s="21"/>
    </row>
    <row r="2932" spans="1:4" ht="12.75" customHeight="1" x14ac:dyDescent="0.2">
      <c r="A2932" s="21"/>
      <c r="B2932" s="3" t="s">
        <v>2</v>
      </c>
      <c r="C2932" s="23" t="s">
        <v>1839</v>
      </c>
      <c r="D2932" s="21"/>
    </row>
    <row r="2933" spans="1:4" ht="12.75" customHeight="1" x14ac:dyDescent="0.2">
      <c r="A2933" s="21"/>
      <c r="B2933" s="3" t="s">
        <v>1840</v>
      </c>
      <c r="C2933" s="23" t="s">
        <v>21</v>
      </c>
      <c r="D2933" s="21"/>
    </row>
    <row r="2934" spans="1:4" ht="12.75" customHeight="1" x14ac:dyDescent="0.2">
      <c r="A2934" s="21"/>
      <c r="B2934" s="3" t="s">
        <v>9</v>
      </c>
      <c r="C2934" s="23" t="s">
        <v>30</v>
      </c>
      <c r="D2934" s="21"/>
    </row>
    <row r="2935" spans="1:4" ht="12.75" customHeight="1" x14ac:dyDescent="0.2">
      <c r="A2935" s="21"/>
      <c r="B2935" s="3" t="s">
        <v>11</v>
      </c>
      <c r="C2935" s="23" t="s">
        <v>530</v>
      </c>
      <c r="D2935" s="21"/>
    </row>
    <row r="2936" spans="1:4" ht="12.75" customHeight="1" x14ac:dyDescent="0.2">
      <c r="A2936" s="21"/>
      <c r="B2936" s="3" t="s">
        <v>16</v>
      </c>
      <c r="C2936" s="23"/>
      <c r="D2936" s="21"/>
    </row>
    <row r="2937" spans="1:4" ht="12.75" customHeight="1" x14ac:dyDescent="0.2">
      <c r="A2937" s="21"/>
      <c r="B2937" s="3" t="s">
        <v>17</v>
      </c>
      <c r="C2937" s="23" t="s">
        <v>19</v>
      </c>
      <c r="D2937" s="21"/>
    </row>
    <row r="2938" spans="1:4" ht="12.75" customHeight="1" x14ac:dyDescent="0.2">
      <c r="A2938" s="21"/>
      <c r="B2938" s="20" t="s">
        <v>18</v>
      </c>
      <c r="C2938" s="8" t="s">
        <v>290</v>
      </c>
      <c r="D2938" s="1" t="str">
        <f>HYPERLINK("javascript:void(0)","gyémánt")</f>
        <v>gyémánt</v>
      </c>
    </row>
    <row r="2939" spans="1:4" ht="12.75" customHeight="1" x14ac:dyDescent="0.2">
      <c r="A2939" s="21"/>
      <c r="B2939" s="21"/>
      <c r="C2939" s="8" t="s">
        <v>55</v>
      </c>
      <c r="D2939" s="1" t="str">
        <f>HYPERLINK("javascript:void(0)","szent szimbólum")</f>
        <v>szent szimbólum</v>
      </c>
    </row>
    <row r="2940" spans="1:4" ht="12.75" customHeight="1" x14ac:dyDescent="0.2">
      <c r="A2940" s="21"/>
      <c r="B2940" s="21"/>
      <c r="C2940" s="8" t="s">
        <v>139</v>
      </c>
      <c r="D2940" s="1" t="str">
        <f>HYPERLINK("javascript:void(0)","sárkányfű")</f>
        <v>sárkányfű</v>
      </c>
    </row>
    <row r="2941" spans="1:4" ht="12.75" customHeight="1" x14ac:dyDescent="0.2">
      <c r="A2941" s="21"/>
      <c r="B2941" s="2"/>
      <c r="C2941" s="7"/>
      <c r="D2941" s="7"/>
    </row>
    <row r="2942" spans="1:4" ht="12.75" customHeight="1" x14ac:dyDescent="0.2">
      <c r="A2942" s="21"/>
      <c r="B2942" s="2"/>
      <c r="C2942" s="7"/>
      <c r="D2942" s="7"/>
    </row>
    <row r="2943" spans="1:4" ht="12.75" customHeight="1" x14ac:dyDescent="0.2">
      <c r="A2943" s="21"/>
      <c r="B2943" s="2"/>
      <c r="C2943" s="7"/>
      <c r="D2943" s="7"/>
    </row>
    <row r="2944" spans="1:4" ht="12.75" customHeight="1" x14ac:dyDescent="0.2">
      <c r="A2944" s="21"/>
      <c r="B2944" s="2"/>
      <c r="C2944" s="7"/>
      <c r="D2944" s="7"/>
    </row>
    <row r="2945" spans="1:4" ht="12.75" customHeight="1" x14ac:dyDescent="0.2">
      <c r="A2945" s="5"/>
      <c r="B2945" s="2"/>
      <c r="C2945" s="7"/>
      <c r="D2945" s="7"/>
    </row>
    <row r="2946" spans="1:4" ht="12.75" customHeight="1" x14ac:dyDescent="0.2">
      <c r="A2946" s="22" t="str">
        <f>HYPERLINK("javascript:void(0)","elfacél nyél")</f>
        <v>elfacél nyél</v>
      </c>
      <c r="B2946" s="21"/>
      <c r="C2946" s="21"/>
      <c r="D2946" s="21"/>
    </row>
    <row r="2947" spans="1:4" ht="12.75" customHeight="1" x14ac:dyDescent="0.2">
      <c r="A2947" s="20"/>
      <c r="B2947" s="2"/>
      <c r="C2947" s="7"/>
      <c r="D2947" s="7"/>
    </row>
    <row r="2948" spans="1:4" ht="12.75" customHeight="1" x14ac:dyDescent="0.2">
      <c r="A2948" s="21"/>
      <c r="B2948" s="3" t="s">
        <v>0</v>
      </c>
      <c r="C2948" s="23" t="s">
        <v>298</v>
      </c>
      <c r="D2948" s="21"/>
    </row>
    <row r="2949" spans="1:4" ht="12.75" customHeight="1" x14ac:dyDescent="0.2">
      <c r="A2949" s="21"/>
      <c r="B2949" s="3" t="s">
        <v>2</v>
      </c>
      <c r="C2949" s="23" t="s">
        <v>1839</v>
      </c>
      <c r="D2949" s="21"/>
    </row>
    <row r="2950" spans="1:4" ht="12.75" customHeight="1" x14ac:dyDescent="0.2">
      <c r="A2950" s="21"/>
      <c r="B2950" s="3" t="s">
        <v>1840</v>
      </c>
      <c r="C2950" s="23" t="s">
        <v>21</v>
      </c>
      <c r="D2950" s="21"/>
    </row>
    <row r="2951" spans="1:4" ht="12.75" customHeight="1" x14ac:dyDescent="0.2">
      <c r="A2951" s="21"/>
      <c r="B2951" s="3" t="s">
        <v>9</v>
      </c>
      <c r="C2951" s="23" t="s">
        <v>573</v>
      </c>
      <c r="D2951" s="21"/>
    </row>
    <row r="2952" spans="1:4" ht="12.75" customHeight="1" x14ac:dyDescent="0.2">
      <c r="A2952" s="21"/>
      <c r="B2952" s="3" t="s">
        <v>11</v>
      </c>
      <c r="C2952" s="23" t="s">
        <v>2004</v>
      </c>
      <c r="D2952" s="21"/>
    </row>
    <row r="2953" spans="1:4" ht="12.75" customHeight="1" x14ac:dyDescent="0.2">
      <c r="A2953" s="21"/>
      <c r="B2953" s="3" t="s">
        <v>16</v>
      </c>
      <c r="C2953" s="23"/>
      <c r="D2953" s="21"/>
    </row>
    <row r="2954" spans="1:4" ht="12.75" customHeight="1" x14ac:dyDescent="0.2">
      <c r="A2954" s="21"/>
      <c r="B2954" s="3" t="s">
        <v>17</v>
      </c>
      <c r="C2954" s="23" t="s">
        <v>19</v>
      </c>
      <c r="D2954" s="21"/>
    </row>
    <row r="2955" spans="1:4" ht="12.75" customHeight="1" x14ac:dyDescent="0.2">
      <c r="A2955" s="21"/>
      <c r="B2955" s="20" t="s">
        <v>18</v>
      </c>
      <c r="C2955" s="8" t="s">
        <v>2005</v>
      </c>
      <c r="D2955" s="1" t="str">
        <f>HYPERLINK("javascript:void(0)","rubin")</f>
        <v>rubin</v>
      </c>
    </row>
    <row r="2956" spans="1:4" ht="12.75" customHeight="1" x14ac:dyDescent="0.2">
      <c r="A2956" s="21"/>
      <c r="B2956" s="21"/>
      <c r="C2956" s="8" t="s">
        <v>55</v>
      </c>
      <c r="D2956" s="1" t="str">
        <f>HYPERLINK("javascript:void(0)","légzsák")</f>
        <v>légzsák</v>
      </c>
    </row>
    <row r="2957" spans="1:4" ht="12.75" customHeight="1" x14ac:dyDescent="0.2">
      <c r="A2957" s="21"/>
      <c r="B2957" s="21"/>
      <c r="C2957" s="8" t="s">
        <v>139</v>
      </c>
      <c r="D2957" s="1" t="str">
        <f>HYPERLINK("javascript:void(0)","sárkányfű")</f>
        <v>sárkányfű</v>
      </c>
    </row>
    <row r="2958" spans="1:4" ht="12.75" customHeight="1" x14ac:dyDescent="0.2">
      <c r="A2958" s="21"/>
      <c r="B2958" s="2"/>
      <c r="C2958" s="7"/>
      <c r="D2958" s="7"/>
    </row>
    <row r="2959" spans="1:4" ht="12.75" customHeight="1" x14ac:dyDescent="0.2">
      <c r="A2959" s="21"/>
      <c r="B2959" s="2"/>
      <c r="C2959" s="7"/>
      <c r="D2959" s="7"/>
    </row>
    <row r="2960" spans="1:4" ht="12.75" customHeight="1" x14ac:dyDescent="0.2">
      <c r="A2960" s="21"/>
      <c r="B2960" s="2"/>
      <c r="C2960" s="7"/>
      <c r="D2960" s="7"/>
    </row>
    <row r="2961" spans="1:4" ht="12.75" customHeight="1" x14ac:dyDescent="0.2">
      <c r="A2961" s="21"/>
      <c r="B2961" s="2"/>
      <c r="C2961" s="7"/>
      <c r="D2961" s="7"/>
    </row>
    <row r="2962" spans="1:4" ht="12.75" customHeight="1" x14ac:dyDescent="0.2">
      <c r="A2962" s="5"/>
      <c r="B2962" s="2"/>
      <c r="C2962" s="7"/>
      <c r="D2962" s="7"/>
    </row>
    <row r="2963" spans="1:4" ht="12.75" customHeight="1" x14ac:dyDescent="0.2">
      <c r="A2963" s="22" t="str">
        <f>HYPERLINK("javascript:void(0)","hártyasisak")</f>
        <v>hártyasisak</v>
      </c>
      <c r="B2963" s="21"/>
      <c r="C2963" s="21"/>
      <c r="D2963" s="21"/>
    </row>
    <row r="2964" spans="1:4" ht="12.75" customHeight="1" x14ac:dyDescent="0.2">
      <c r="A2964" s="20"/>
      <c r="B2964" s="2"/>
      <c r="C2964" s="7"/>
      <c r="D2964" s="7"/>
    </row>
    <row r="2965" spans="1:4" ht="12.75" customHeight="1" x14ac:dyDescent="0.2">
      <c r="A2965" s="21"/>
      <c r="B2965" s="3" t="s">
        <v>0</v>
      </c>
      <c r="C2965" s="23" t="s">
        <v>298</v>
      </c>
      <c r="D2965" s="21"/>
    </row>
    <row r="2966" spans="1:4" ht="12.75" customHeight="1" x14ac:dyDescent="0.2">
      <c r="A2966" s="21"/>
      <c r="B2966" s="3" t="s">
        <v>2</v>
      </c>
      <c r="C2966" s="23"/>
      <c r="D2966" s="21"/>
    </row>
    <row r="2967" spans="1:4" ht="12.75" customHeight="1" x14ac:dyDescent="0.2">
      <c r="A2967" s="21"/>
      <c r="B2967" s="3" t="s">
        <v>1840</v>
      </c>
      <c r="C2967" s="23" t="s">
        <v>115</v>
      </c>
      <c r="D2967" s="21"/>
    </row>
    <row r="2968" spans="1:4" ht="12.75" customHeight="1" x14ac:dyDescent="0.2">
      <c r="A2968" s="21"/>
      <c r="B2968" s="3" t="s">
        <v>9</v>
      </c>
      <c r="C2968" s="23" t="s">
        <v>30</v>
      </c>
      <c r="D2968" s="21"/>
    </row>
    <row r="2969" spans="1:4" ht="12.75" customHeight="1" x14ac:dyDescent="0.2">
      <c r="A2969" s="21"/>
      <c r="B2969" s="3" t="s">
        <v>11</v>
      </c>
      <c r="C2969" s="23" t="s">
        <v>138</v>
      </c>
      <c r="D2969" s="21"/>
    </row>
    <row r="2970" spans="1:4" ht="12.75" customHeight="1" x14ac:dyDescent="0.2">
      <c r="A2970" s="21"/>
      <c r="B2970" s="3" t="s">
        <v>16</v>
      </c>
      <c r="C2970" s="23"/>
      <c r="D2970" s="21"/>
    </row>
    <row r="2971" spans="1:4" ht="12.75" customHeight="1" x14ac:dyDescent="0.2">
      <c r="A2971" s="21"/>
      <c r="B2971" s="3" t="s">
        <v>17</v>
      </c>
      <c r="C2971" s="23" t="s">
        <v>19</v>
      </c>
      <c r="D2971" s="21"/>
    </row>
    <row r="2972" spans="1:4" ht="12.75" customHeight="1" x14ac:dyDescent="0.2">
      <c r="A2972" s="21"/>
      <c r="B2972" s="20" t="s">
        <v>18</v>
      </c>
      <c r="C2972" s="8" t="s">
        <v>44</v>
      </c>
      <c r="D2972" s="1" t="str">
        <f>HYPERLINK("javascript:void(0)","skivei sisak")</f>
        <v>skivei sisak</v>
      </c>
    </row>
    <row r="2973" spans="1:4" ht="12.75" customHeight="1" x14ac:dyDescent="0.2">
      <c r="A2973" s="21"/>
      <c r="B2973" s="21"/>
      <c r="C2973" s="8" t="s">
        <v>56</v>
      </c>
      <c r="D2973" s="1" t="str">
        <f>HYPERLINK("javascript:void(0)","kihunyt glória")</f>
        <v>kihunyt glória</v>
      </c>
    </row>
    <row r="2974" spans="1:4" ht="12.75" customHeight="1" x14ac:dyDescent="0.2">
      <c r="A2974" s="21"/>
      <c r="B2974" s="21"/>
      <c r="C2974" s="8" t="s">
        <v>142</v>
      </c>
      <c r="D2974" s="1" t="str">
        <f>HYPERLINK("javascript:void(0)","dobhártya")</f>
        <v>dobhártya</v>
      </c>
    </row>
    <row r="2975" spans="1:4" ht="12.75" customHeight="1" x14ac:dyDescent="0.2">
      <c r="A2975" s="21"/>
      <c r="B2975" s="2"/>
      <c r="C2975" s="7"/>
      <c r="D2975" s="7"/>
    </row>
    <row r="2976" spans="1:4" ht="12.75" customHeight="1" x14ac:dyDescent="0.2">
      <c r="A2976" s="21"/>
      <c r="B2976" s="2"/>
      <c r="C2976" s="7"/>
      <c r="D2976" s="7"/>
    </row>
    <row r="2977" spans="1:4" ht="12.75" customHeight="1" x14ac:dyDescent="0.2">
      <c r="A2977" s="21"/>
      <c r="B2977" s="2"/>
      <c r="C2977" s="7"/>
      <c r="D2977" s="7"/>
    </row>
    <row r="2978" spans="1:4" ht="12.75" customHeight="1" x14ac:dyDescent="0.2">
      <c r="A2978" s="21"/>
      <c r="B2978" s="2"/>
      <c r="C2978" s="7"/>
      <c r="D2978" s="7"/>
    </row>
    <row r="2979" spans="1:4" ht="12.75" customHeight="1" x14ac:dyDescent="0.2">
      <c r="A2979" s="5"/>
      <c r="B2979" s="2"/>
      <c r="C2979" s="7"/>
      <c r="D2979" s="7"/>
    </row>
    <row r="2980" spans="1:4" ht="12.75" customHeight="1" x14ac:dyDescent="0.2">
      <c r="A2980" s="22" t="str">
        <f>HYPERLINK("javascript:void(0)","manasapka")</f>
        <v>manasapka</v>
      </c>
      <c r="B2980" s="21"/>
      <c r="C2980" s="21"/>
      <c r="D2980" s="21"/>
    </row>
    <row r="2981" spans="1:4" ht="12.75" customHeight="1" x14ac:dyDescent="0.2">
      <c r="A2981" s="20"/>
      <c r="B2981" s="2"/>
      <c r="C2981" s="7"/>
      <c r="D2981" s="7"/>
    </row>
    <row r="2982" spans="1:4" ht="12.75" customHeight="1" x14ac:dyDescent="0.2">
      <c r="A2982" s="21"/>
      <c r="B2982" s="3" t="s">
        <v>0</v>
      </c>
      <c r="C2982" s="23" t="s">
        <v>298</v>
      </c>
      <c r="D2982" s="21"/>
    </row>
    <row r="2983" spans="1:4" ht="12.75" customHeight="1" x14ac:dyDescent="0.2">
      <c r="A2983" s="21"/>
      <c r="B2983" s="3" t="s">
        <v>2</v>
      </c>
      <c r="C2983" s="23"/>
      <c r="D2983" s="21"/>
    </row>
    <row r="2984" spans="1:4" ht="12.75" customHeight="1" x14ac:dyDescent="0.2">
      <c r="A2984" s="21"/>
      <c r="B2984" s="3" t="s">
        <v>1840</v>
      </c>
      <c r="C2984" s="23" t="s">
        <v>153</v>
      </c>
      <c r="D2984" s="21"/>
    </row>
    <row r="2985" spans="1:4" ht="12.75" customHeight="1" x14ac:dyDescent="0.2">
      <c r="A2985" s="21"/>
      <c r="B2985" s="3" t="s">
        <v>9</v>
      </c>
      <c r="C2985" s="23" t="s">
        <v>172</v>
      </c>
      <c r="D2985" s="21"/>
    </row>
    <row r="2986" spans="1:4" ht="12.75" customHeight="1" x14ac:dyDescent="0.2">
      <c r="A2986" s="21"/>
      <c r="B2986" s="3" t="s">
        <v>11</v>
      </c>
      <c r="C2986" s="23" t="s">
        <v>162</v>
      </c>
      <c r="D2986" s="21"/>
    </row>
    <row r="2987" spans="1:4" ht="12.75" customHeight="1" x14ac:dyDescent="0.2">
      <c r="A2987" s="21"/>
      <c r="B2987" s="3" t="s">
        <v>16</v>
      </c>
      <c r="C2987" s="23"/>
      <c r="D2987" s="21"/>
    </row>
    <row r="2988" spans="1:4" ht="12.75" customHeight="1" x14ac:dyDescent="0.2">
      <c r="A2988" s="21"/>
      <c r="B2988" s="3" t="s">
        <v>17</v>
      </c>
      <c r="C2988" s="23" t="s">
        <v>19</v>
      </c>
      <c r="D2988" s="21"/>
    </row>
    <row r="2989" spans="1:4" ht="12.75" customHeight="1" x14ac:dyDescent="0.2">
      <c r="A2989" s="21"/>
      <c r="B2989" s="20" t="s">
        <v>18</v>
      </c>
      <c r="C2989" s="8" t="s">
        <v>44</v>
      </c>
      <c r="D2989" s="1" t="str">
        <f>HYPERLINK("javascript:void(0)","manamaszk")</f>
        <v>manamaszk</v>
      </c>
    </row>
    <row r="2990" spans="1:4" ht="12.75" customHeight="1" x14ac:dyDescent="0.2">
      <c r="A2990" s="21"/>
      <c r="B2990" s="21"/>
      <c r="C2990" s="8" t="s">
        <v>232</v>
      </c>
      <c r="D2990" s="1" t="str">
        <f>HYPERLINK("javascript:void(0)","dobhártya")</f>
        <v>dobhártya</v>
      </c>
    </row>
    <row r="2991" spans="1:4" ht="12.75" customHeight="1" x14ac:dyDescent="0.2">
      <c r="A2991" s="21"/>
      <c r="B2991" s="21"/>
      <c r="C2991" s="8" t="s">
        <v>232</v>
      </c>
      <c r="D2991" s="1" t="str">
        <f>HYPERLINK("javascript:void(0)","membránplazma")</f>
        <v>membránplazma</v>
      </c>
    </row>
    <row r="2992" spans="1:4" ht="12.75" customHeight="1" x14ac:dyDescent="0.2">
      <c r="A2992" s="21"/>
      <c r="B2992" s="2"/>
      <c r="C2992" s="7"/>
      <c r="D2992" s="7"/>
    </row>
    <row r="2993" spans="1:4" ht="12.75" customHeight="1" x14ac:dyDescent="0.2">
      <c r="A2993" s="21"/>
      <c r="B2993" s="2"/>
      <c r="C2993" s="7"/>
      <c r="D2993" s="7"/>
    </row>
    <row r="2994" spans="1:4" ht="12.75" customHeight="1" x14ac:dyDescent="0.2">
      <c r="A2994" s="21"/>
      <c r="B2994" s="2"/>
      <c r="C2994" s="7"/>
      <c r="D2994" s="7"/>
    </row>
    <row r="2995" spans="1:4" ht="12.75" customHeight="1" x14ac:dyDescent="0.2">
      <c r="A2995" s="21"/>
      <c r="B2995" s="2"/>
      <c r="C2995" s="7"/>
      <c r="D2995" s="7"/>
    </row>
    <row r="2996" spans="1:4" ht="12.75" customHeight="1" x14ac:dyDescent="0.2">
      <c r="A2996" s="5"/>
      <c r="B2996" s="2"/>
      <c r="C2996" s="7"/>
      <c r="D2996" s="7"/>
    </row>
    <row r="2997" spans="1:4" ht="12.75" customHeight="1" x14ac:dyDescent="0.2">
      <c r="A2997" s="22" t="str">
        <f>HYPERLINK("javascript:void(0)","bűzpáncél")</f>
        <v>bűzpáncél</v>
      </c>
      <c r="B2997" s="21"/>
      <c r="C2997" s="21"/>
      <c r="D2997" s="21"/>
    </row>
    <row r="2998" spans="1:4" ht="12.75" customHeight="1" x14ac:dyDescent="0.2">
      <c r="A2998" s="20"/>
      <c r="B2998" s="2"/>
      <c r="C2998" s="7"/>
      <c r="D2998" s="7"/>
    </row>
    <row r="2999" spans="1:4" ht="12.75" customHeight="1" x14ac:dyDescent="0.2">
      <c r="A2999" s="21"/>
      <c r="B2999" s="3" t="s">
        <v>0</v>
      </c>
      <c r="C2999" s="23" t="s">
        <v>298</v>
      </c>
      <c r="D2999" s="21"/>
    </row>
    <row r="3000" spans="1:4" ht="12.75" customHeight="1" x14ac:dyDescent="0.2">
      <c r="A3000" s="21"/>
      <c r="B3000" s="3" t="s">
        <v>2</v>
      </c>
      <c r="C3000" s="23" t="s">
        <v>2322</v>
      </c>
      <c r="D3000" s="21"/>
    </row>
    <row r="3001" spans="1:4" ht="12.75" customHeight="1" x14ac:dyDescent="0.2">
      <c r="A3001" s="21"/>
      <c r="B3001" s="3" t="s">
        <v>1840</v>
      </c>
      <c r="C3001" s="23" t="s">
        <v>65</v>
      </c>
      <c r="D3001" s="21"/>
    </row>
    <row r="3002" spans="1:4" ht="12.75" customHeight="1" x14ac:dyDescent="0.2">
      <c r="A3002" s="21"/>
      <c r="B3002" s="3" t="s">
        <v>9</v>
      </c>
      <c r="C3002" s="23" t="s">
        <v>233</v>
      </c>
      <c r="D3002" s="21"/>
    </row>
    <row r="3003" spans="1:4" ht="12.75" customHeight="1" x14ac:dyDescent="0.2">
      <c r="A3003" s="21"/>
      <c r="B3003" s="3" t="s">
        <v>11</v>
      </c>
      <c r="C3003" s="23" t="s">
        <v>152</v>
      </c>
      <c r="D3003" s="21"/>
    </row>
    <row r="3004" spans="1:4" ht="12.75" customHeight="1" x14ac:dyDescent="0.2">
      <c r="A3004" s="21"/>
      <c r="B3004" s="3" t="s">
        <v>16</v>
      </c>
      <c r="C3004" s="23"/>
      <c r="D3004" s="21"/>
    </row>
    <row r="3005" spans="1:4" ht="12.75" customHeight="1" x14ac:dyDescent="0.2">
      <c r="A3005" s="21"/>
      <c r="B3005" s="3" t="s">
        <v>17</v>
      </c>
      <c r="C3005" s="23" t="s">
        <v>19</v>
      </c>
      <c r="D3005" s="21"/>
    </row>
    <row r="3006" spans="1:4" ht="12.75" customHeight="1" x14ac:dyDescent="0.2">
      <c r="A3006" s="21"/>
      <c r="B3006" s="20" t="s">
        <v>18</v>
      </c>
      <c r="C3006" s="8" t="s">
        <v>163</v>
      </c>
      <c r="D3006" s="1" t="str">
        <f>HYPERLINK("javascript:void(0)","bűzmirigy")</f>
        <v>bűzmirigy</v>
      </c>
    </row>
    <row r="3007" spans="1:4" ht="12.75" customHeight="1" x14ac:dyDescent="0.2">
      <c r="A3007" s="21"/>
      <c r="B3007" s="21"/>
      <c r="C3007" s="8" t="s">
        <v>44</v>
      </c>
      <c r="D3007" s="1" t="str">
        <f>HYPERLINK("javascript:void(0)","hiperpáncél")</f>
        <v>hiperpáncél</v>
      </c>
    </row>
    <row r="3008" spans="1:4" ht="12.75" customHeight="1" x14ac:dyDescent="0.2">
      <c r="A3008" s="21"/>
      <c r="B3008" s="21"/>
      <c r="C3008" s="8" t="s">
        <v>244</v>
      </c>
      <c r="D3008" s="1" t="str">
        <f>HYPERLINK("javascript:void(0)","sárkány szarv")</f>
        <v>sárkány szarv</v>
      </c>
    </row>
    <row r="3009" spans="1:4" ht="12.75" customHeight="1" x14ac:dyDescent="0.2">
      <c r="A3009" s="21"/>
      <c r="B3009" s="2"/>
      <c r="C3009" s="7"/>
      <c r="D3009" s="7"/>
    </row>
    <row r="3010" spans="1:4" ht="12.75" customHeight="1" x14ac:dyDescent="0.2">
      <c r="A3010" s="21"/>
      <c r="B3010" s="2"/>
      <c r="C3010" s="7"/>
      <c r="D3010" s="7"/>
    </row>
    <row r="3011" spans="1:4" ht="12.75" customHeight="1" x14ac:dyDescent="0.2">
      <c r="A3011" s="21"/>
      <c r="B3011" s="2"/>
      <c r="C3011" s="7"/>
      <c r="D3011" s="7"/>
    </row>
    <row r="3012" spans="1:4" ht="12.75" customHeight="1" x14ac:dyDescent="0.2">
      <c r="A3012" s="21"/>
      <c r="B3012" s="2"/>
      <c r="C3012" s="7"/>
      <c r="D3012" s="7"/>
    </row>
    <row r="3013" spans="1:4" ht="12.75" customHeight="1" x14ac:dyDescent="0.2">
      <c r="A3013" s="5"/>
      <c r="B3013" s="2"/>
      <c r="C3013" s="7"/>
      <c r="D3013" s="7"/>
    </row>
    <row r="3014" spans="1:4" ht="12.75" customHeight="1" x14ac:dyDescent="0.2">
      <c r="A3014" s="22" t="str">
        <f>HYPERLINK("javascript:void(0)","centrocsizma")</f>
        <v>centrocsizma</v>
      </c>
      <c r="B3014" s="21"/>
      <c r="C3014" s="21"/>
      <c r="D3014" s="21"/>
    </row>
    <row r="3015" spans="1:4" ht="12.75" customHeight="1" x14ac:dyDescent="0.2">
      <c r="A3015" s="20"/>
      <c r="B3015" s="2"/>
      <c r="C3015" s="7"/>
      <c r="D3015" s="7"/>
    </row>
    <row r="3016" spans="1:4" ht="12.75" customHeight="1" x14ac:dyDescent="0.2">
      <c r="A3016" s="21"/>
      <c r="B3016" s="3" t="s">
        <v>0</v>
      </c>
      <c r="C3016" s="23" t="s">
        <v>298</v>
      </c>
      <c r="D3016" s="21"/>
    </row>
    <row r="3017" spans="1:4" ht="12.75" customHeight="1" x14ac:dyDescent="0.2">
      <c r="A3017" s="21"/>
      <c r="B3017" s="3" t="s">
        <v>2</v>
      </c>
      <c r="C3017" s="23"/>
      <c r="D3017" s="21"/>
    </row>
    <row r="3018" spans="1:4" ht="12.75" customHeight="1" x14ac:dyDescent="0.2">
      <c r="A3018" s="21"/>
      <c r="B3018" s="3" t="s">
        <v>1840</v>
      </c>
      <c r="C3018" s="23" t="s">
        <v>52</v>
      </c>
      <c r="D3018" s="21"/>
    </row>
    <row r="3019" spans="1:4" ht="12.75" customHeight="1" x14ac:dyDescent="0.2">
      <c r="A3019" s="21"/>
      <c r="B3019" s="3" t="s">
        <v>9</v>
      </c>
      <c r="C3019" s="23" t="s">
        <v>210</v>
      </c>
      <c r="D3019" s="21"/>
    </row>
    <row r="3020" spans="1:4" ht="12.75" customHeight="1" x14ac:dyDescent="0.2">
      <c r="A3020" s="21"/>
      <c r="B3020" s="3" t="s">
        <v>11</v>
      </c>
      <c r="C3020" s="23" t="s">
        <v>203</v>
      </c>
      <c r="D3020" s="21"/>
    </row>
    <row r="3021" spans="1:4" ht="12.75" customHeight="1" x14ac:dyDescent="0.2">
      <c r="A3021" s="21"/>
      <c r="B3021" s="3" t="s">
        <v>16</v>
      </c>
      <c r="C3021" s="23"/>
      <c r="D3021" s="21"/>
    </row>
    <row r="3022" spans="1:4" ht="12.75" customHeight="1" x14ac:dyDescent="0.2">
      <c r="A3022" s="21"/>
      <c r="B3022" s="3" t="s">
        <v>17</v>
      </c>
      <c r="C3022" s="23" t="s">
        <v>19</v>
      </c>
      <c r="D3022" s="21"/>
    </row>
    <row r="3023" spans="1:4" ht="12.75" customHeight="1" x14ac:dyDescent="0.2">
      <c r="A3023" s="21"/>
      <c r="B3023" s="20" t="s">
        <v>18</v>
      </c>
      <c r="C3023" s="8" t="s">
        <v>44</v>
      </c>
      <c r="D3023" s="1" t="str">
        <f>HYPERLINK("javascript:void(0)","kithrill csizma")</f>
        <v>kithrill csizma</v>
      </c>
    </row>
    <row r="3024" spans="1:4" ht="12.75" customHeight="1" x14ac:dyDescent="0.2">
      <c r="A3024" s="21"/>
      <c r="B3024" s="21"/>
      <c r="C3024" s="8" t="s">
        <v>193</v>
      </c>
      <c r="D3024" s="1" t="str">
        <f>HYPERLINK("javascript:void(0)","centrolium")</f>
        <v>centrolium</v>
      </c>
    </row>
    <row r="3025" spans="1:4" ht="12.75" customHeight="1" x14ac:dyDescent="0.2">
      <c r="A3025" s="21"/>
      <c r="B3025" s="21"/>
      <c r="C3025" s="8" t="s">
        <v>139</v>
      </c>
      <c r="D3025" s="1" t="str">
        <f>HYPERLINK("javascript:void(0)","dobhártya")</f>
        <v>dobhártya</v>
      </c>
    </row>
    <row r="3026" spans="1:4" ht="12.75" customHeight="1" x14ac:dyDescent="0.2">
      <c r="A3026" s="21"/>
      <c r="B3026" s="2"/>
      <c r="C3026" s="7"/>
      <c r="D3026" s="7"/>
    </row>
    <row r="3027" spans="1:4" ht="12.75" customHeight="1" x14ac:dyDescent="0.2">
      <c r="A3027" s="21"/>
      <c r="B3027" s="2"/>
      <c r="C3027" s="7"/>
      <c r="D3027" s="7"/>
    </row>
    <row r="3028" spans="1:4" ht="12.75" customHeight="1" x14ac:dyDescent="0.2">
      <c r="A3028" s="21"/>
      <c r="B3028" s="2"/>
      <c r="C3028" s="7"/>
      <c r="D3028" s="7"/>
    </row>
    <row r="3029" spans="1:4" ht="12.75" customHeight="1" x14ac:dyDescent="0.2">
      <c r="A3029" s="21"/>
      <c r="B3029" s="2"/>
      <c r="C3029" s="7"/>
      <c r="D3029" s="7"/>
    </row>
    <row r="3030" spans="1:4" ht="12.75" customHeight="1" x14ac:dyDescent="0.2">
      <c r="A3030" s="5"/>
      <c r="B3030" s="2"/>
      <c r="C3030" s="7"/>
      <c r="D3030" s="7"/>
    </row>
    <row r="3031" spans="1:4" ht="12.75" customHeight="1" x14ac:dyDescent="0.2">
      <c r="A3031" s="22" t="str">
        <f>HYPERLINK("javascript:void(0)","elfacél pajzs")</f>
        <v>elfacél pajzs</v>
      </c>
      <c r="B3031" s="21"/>
      <c r="C3031" s="21"/>
      <c r="D3031" s="21"/>
    </row>
    <row r="3032" spans="1:4" ht="12.75" customHeight="1" x14ac:dyDescent="0.2">
      <c r="A3032" s="20"/>
      <c r="B3032" s="2"/>
      <c r="C3032" s="7"/>
      <c r="D3032" s="7"/>
    </row>
    <row r="3033" spans="1:4" ht="12.75" customHeight="1" x14ac:dyDescent="0.2">
      <c r="A3033" s="21"/>
      <c r="B3033" s="3" t="s">
        <v>0</v>
      </c>
      <c r="C3033" s="23" t="s">
        <v>298</v>
      </c>
      <c r="D3033" s="21"/>
    </row>
    <row r="3034" spans="1:4" ht="12.75" customHeight="1" x14ac:dyDescent="0.2">
      <c r="A3034" s="21"/>
      <c r="B3034" s="3" t="s">
        <v>2</v>
      </c>
      <c r="C3034" s="23" t="s">
        <v>1839</v>
      </c>
      <c r="D3034" s="21"/>
    </row>
    <row r="3035" spans="1:4" ht="12.75" customHeight="1" x14ac:dyDescent="0.2">
      <c r="A3035" s="21"/>
      <c r="B3035" s="3" t="s">
        <v>1840</v>
      </c>
      <c r="C3035" s="23" t="s">
        <v>562</v>
      </c>
      <c r="D3035" s="21"/>
    </row>
    <row r="3036" spans="1:4" ht="12.75" customHeight="1" x14ac:dyDescent="0.2">
      <c r="A3036" s="21"/>
      <c r="B3036" s="3" t="s">
        <v>9</v>
      </c>
      <c r="C3036" s="23" t="s">
        <v>377</v>
      </c>
      <c r="D3036" s="21"/>
    </row>
    <row r="3037" spans="1:4" ht="12.75" customHeight="1" x14ac:dyDescent="0.2">
      <c r="A3037" s="21"/>
      <c r="B3037" s="3" t="s">
        <v>11</v>
      </c>
      <c r="C3037" s="23" t="s">
        <v>203</v>
      </c>
      <c r="D3037" s="21"/>
    </row>
    <row r="3038" spans="1:4" ht="12.75" customHeight="1" x14ac:dyDescent="0.2">
      <c r="A3038" s="21"/>
      <c r="B3038" s="3" t="s">
        <v>16</v>
      </c>
      <c r="C3038" s="23"/>
      <c r="D3038" s="21"/>
    </row>
    <row r="3039" spans="1:4" ht="12.75" customHeight="1" x14ac:dyDescent="0.2">
      <c r="A3039" s="21"/>
      <c r="B3039" s="3" t="s">
        <v>17</v>
      </c>
      <c r="C3039" s="23" t="s">
        <v>19</v>
      </c>
      <c r="D3039" s="21"/>
    </row>
    <row r="3040" spans="1:4" ht="12.75" customHeight="1" x14ac:dyDescent="0.2">
      <c r="A3040" s="21"/>
      <c r="B3040" s="20" t="s">
        <v>18</v>
      </c>
      <c r="C3040" s="8" t="s">
        <v>44</v>
      </c>
      <c r="D3040" s="1" t="str">
        <f>HYPERLINK("javascript:void(0)","nyulványpajzs")</f>
        <v>nyulványpajzs</v>
      </c>
    </row>
    <row r="3041" spans="1:4" ht="12.75" customHeight="1" x14ac:dyDescent="0.2">
      <c r="A3041" s="21"/>
      <c r="B3041" s="21"/>
      <c r="C3041" s="8" t="s">
        <v>67</v>
      </c>
      <c r="D3041" s="1" t="str">
        <f>HYPERLINK("javascript:void(0)","sárkány taréj")</f>
        <v>sárkány taréj</v>
      </c>
    </row>
    <row r="3042" spans="1:4" ht="12.75" customHeight="1" x14ac:dyDescent="0.2">
      <c r="A3042" s="21"/>
      <c r="B3042" s="21"/>
      <c r="C3042" s="8" t="s">
        <v>142</v>
      </c>
      <c r="D3042" s="1" t="str">
        <f>HYPERLINK("javascript:void(0)","szent szimbólum")</f>
        <v>szent szimbólum</v>
      </c>
    </row>
    <row r="3043" spans="1:4" ht="12.75" customHeight="1" x14ac:dyDescent="0.2">
      <c r="A3043" s="21"/>
      <c r="B3043" s="2"/>
      <c r="C3043" s="7"/>
      <c r="D3043" s="7"/>
    </row>
    <row r="3044" spans="1:4" ht="12.75" customHeight="1" x14ac:dyDescent="0.2">
      <c r="A3044" s="21"/>
      <c r="B3044" s="2"/>
      <c r="C3044" s="7"/>
      <c r="D3044" s="7"/>
    </row>
    <row r="3045" spans="1:4" ht="12.75" customHeight="1" x14ac:dyDescent="0.2">
      <c r="A3045" s="21"/>
      <c r="B3045" s="2"/>
      <c r="C3045" s="7"/>
      <c r="D3045" s="7"/>
    </row>
    <row r="3046" spans="1:4" ht="12.75" customHeight="1" x14ac:dyDescent="0.2">
      <c r="A3046" s="21"/>
      <c r="B3046" s="2"/>
      <c r="C3046" s="7"/>
      <c r="D3046" s="7"/>
    </row>
    <row r="3047" spans="1:4" ht="12.75" customHeight="1" x14ac:dyDescent="0.2">
      <c r="A3047" s="5"/>
      <c r="B3047" s="2"/>
      <c r="C3047" s="7"/>
      <c r="D3047" s="7"/>
    </row>
    <row r="3048" spans="1:4" ht="12.75" customHeight="1" x14ac:dyDescent="0.2">
      <c r="A3048" s="22" t="str">
        <f>HYPERLINK("javascript:void(0)","jáspis pillepajzs")</f>
        <v>jáspis pillepajzs</v>
      </c>
      <c r="B3048" s="21"/>
      <c r="C3048" s="21"/>
      <c r="D3048" s="21"/>
    </row>
    <row r="3049" spans="1:4" ht="12.75" customHeight="1" x14ac:dyDescent="0.2">
      <c r="A3049" s="20"/>
      <c r="B3049" s="2"/>
      <c r="C3049" s="7"/>
      <c r="D3049" s="7"/>
    </row>
    <row r="3050" spans="1:4" ht="12.75" customHeight="1" x14ac:dyDescent="0.2">
      <c r="A3050" s="21"/>
      <c r="B3050" s="3" t="s">
        <v>0</v>
      </c>
      <c r="C3050" s="23" t="s">
        <v>298</v>
      </c>
      <c r="D3050" s="21"/>
    </row>
    <row r="3051" spans="1:4" ht="12.75" customHeight="1" x14ac:dyDescent="0.2">
      <c r="A3051" s="21"/>
      <c r="B3051" s="3" t="s">
        <v>2</v>
      </c>
      <c r="C3051" s="23" t="s">
        <v>1839</v>
      </c>
      <c r="D3051" s="21"/>
    </row>
    <row r="3052" spans="1:4" ht="12.75" customHeight="1" x14ac:dyDescent="0.2">
      <c r="A3052" s="21"/>
      <c r="B3052" s="3" t="s">
        <v>1840</v>
      </c>
      <c r="C3052" s="23" t="s">
        <v>562</v>
      </c>
      <c r="D3052" s="21"/>
    </row>
    <row r="3053" spans="1:4" ht="12.75" customHeight="1" x14ac:dyDescent="0.2">
      <c r="A3053" s="21"/>
      <c r="B3053" s="3" t="s">
        <v>9</v>
      </c>
      <c r="C3053" s="23" t="s">
        <v>2010</v>
      </c>
      <c r="D3053" s="21"/>
    </row>
    <row r="3054" spans="1:4" ht="12.75" customHeight="1" x14ac:dyDescent="0.2">
      <c r="A3054" s="21"/>
      <c r="B3054" s="3" t="s">
        <v>11</v>
      </c>
      <c r="C3054" s="23" t="s">
        <v>243</v>
      </c>
      <c r="D3054" s="21"/>
    </row>
    <row r="3055" spans="1:4" ht="12.75" customHeight="1" x14ac:dyDescent="0.2">
      <c r="A3055" s="21"/>
      <c r="B3055" s="3" t="s">
        <v>16</v>
      </c>
      <c r="C3055" s="23"/>
      <c r="D3055" s="21"/>
    </row>
    <row r="3056" spans="1:4" ht="12.75" customHeight="1" x14ac:dyDescent="0.2">
      <c r="A3056" s="21"/>
      <c r="B3056" s="3" t="s">
        <v>17</v>
      </c>
      <c r="C3056" s="23" t="s">
        <v>19</v>
      </c>
      <c r="D3056" s="21"/>
    </row>
    <row r="3057" spans="1:4" ht="12.75" customHeight="1" x14ac:dyDescent="0.2">
      <c r="A3057" s="21"/>
      <c r="B3057" s="20" t="s">
        <v>18</v>
      </c>
      <c r="C3057" s="8" t="s">
        <v>44</v>
      </c>
      <c r="D3057" s="1" t="str">
        <f>HYPERLINK("javascript:void(0)","elfacél pajzs")</f>
        <v>elfacél pajzs</v>
      </c>
    </row>
    <row r="3058" spans="1:4" ht="12.75" customHeight="1" x14ac:dyDescent="0.2">
      <c r="A3058" s="21"/>
      <c r="B3058" s="21"/>
      <c r="C3058" s="8" t="s">
        <v>271</v>
      </c>
      <c r="D3058" s="1" t="str">
        <f>HYPERLINK("javascript:void(0)","jáspis")</f>
        <v>jáspis</v>
      </c>
    </row>
    <row r="3059" spans="1:4" ht="12.75" customHeight="1" x14ac:dyDescent="0.2">
      <c r="A3059" s="21"/>
      <c r="B3059" s="21"/>
      <c r="C3059" s="8" t="s">
        <v>117</v>
      </c>
      <c r="D3059" s="1" t="str">
        <f>HYPERLINK("javascript:void(0)","sejtmag")</f>
        <v>sejtmag</v>
      </c>
    </row>
    <row r="3060" spans="1:4" ht="12.75" customHeight="1" x14ac:dyDescent="0.2">
      <c r="A3060" s="21"/>
      <c r="B3060" s="2"/>
      <c r="C3060" s="7"/>
      <c r="D3060" s="7"/>
    </row>
    <row r="3061" spans="1:4" ht="12.75" customHeight="1" x14ac:dyDescent="0.2">
      <c r="A3061" s="21"/>
      <c r="B3061" s="2"/>
      <c r="C3061" s="7"/>
      <c r="D3061" s="7"/>
    </row>
    <row r="3062" spans="1:4" ht="12.75" customHeight="1" x14ac:dyDescent="0.2">
      <c r="A3062" s="21"/>
      <c r="B3062" s="2"/>
      <c r="C3062" s="7"/>
      <c r="D3062" s="7"/>
    </row>
    <row r="3063" spans="1:4" ht="12.75" customHeight="1" x14ac:dyDescent="0.2">
      <c r="A3063" s="21"/>
      <c r="B3063" s="2"/>
      <c r="C3063" s="7"/>
      <c r="D3063" s="7"/>
    </row>
    <row r="3064" spans="1:4" ht="12.75" customHeight="1" x14ac:dyDescent="0.2">
      <c r="A3064" s="5"/>
      <c r="B3064" s="2"/>
      <c r="C3064" s="7"/>
      <c r="D3064" s="7"/>
    </row>
    <row r="3065" spans="1:4" ht="12.75" customHeight="1" x14ac:dyDescent="0.2">
      <c r="A3065" s="22" t="str">
        <f>HYPERLINK("javascript:void(0)","plazmasisak")</f>
        <v>plazmasisak</v>
      </c>
      <c r="B3065" s="21"/>
      <c r="C3065" s="21"/>
      <c r="D3065" s="21"/>
    </row>
    <row r="3066" spans="1:4" ht="12.75" customHeight="1" x14ac:dyDescent="0.2">
      <c r="A3066" s="20"/>
      <c r="B3066" s="2"/>
      <c r="C3066" s="7"/>
      <c r="D3066" s="7"/>
    </row>
    <row r="3067" spans="1:4" ht="12.75" customHeight="1" x14ac:dyDescent="0.2">
      <c r="A3067" s="21"/>
      <c r="B3067" s="3" t="s">
        <v>0</v>
      </c>
      <c r="C3067" s="23" t="s">
        <v>187</v>
      </c>
      <c r="D3067" s="21"/>
    </row>
    <row r="3068" spans="1:4" ht="12.75" customHeight="1" x14ac:dyDescent="0.2">
      <c r="A3068" s="21"/>
      <c r="B3068" s="3" t="s">
        <v>2</v>
      </c>
      <c r="C3068" s="23"/>
      <c r="D3068" s="21"/>
    </row>
    <row r="3069" spans="1:4" ht="12.75" customHeight="1" x14ac:dyDescent="0.2">
      <c r="A3069" s="21"/>
      <c r="B3069" s="3" t="s">
        <v>1840</v>
      </c>
      <c r="C3069" s="23" t="s">
        <v>435</v>
      </c>
      <c r="D3069" s="21"/>
    </row>
    <row r="3070" spans="1:4" ht="12.75" customHeight="1" x14ac:dyDescent="0.2">
      <c r="A3070" s="21"/>
      <c r="B3070" s="3" t="s">
        <v>9</v>
      </c>
      <c r="C3070" s="23" t="s">
        <v>93</v>
      </c>
      <c r="D3070" s="21"/>
    </row>
    <row r="3071" spans="1:4" ht="12.75" customHeight="1" x14ac:dyDescent="0.2">
      <c r="A3071" s="21"/>
      <c r="B3071" s="3" t="s">
        <v>11</v>
      </c>
      <c r="C3071" s="23" t="s">
        <v>152</v>
      </c>
      <c r="D3071" s="21"/>
    </row>
    <row r="3072" spans="1:4" ht="12.75" customHeight="1" x14ac:dyDescent="0.2">
      <c r="A3072" s="21"/>
      <c r="B3072" s="3" t="s">
        <v>16</v>
      </c>
      <c r="C3072" s="23"/>
      <c r="D3072" s="21"/>
    </row>
    <row r="3073" spans="1:4" ht="12.75" customHeight="1" x14ac:dyDescent="0.2">
      <c r="A3073" s="21"/>
      <c r="B3073" s="3" t="s">
        <v>17</v>
      </c>
      <c r="C3073" s="23" t="s">
        <v>19</v>
      </c>
      <c r="D3073" s="21"/>
    </row>
    <row r="3074" spans="1:4" ht="12.75" customHeight="1" x14ac:dyDescent="0.2">
      <c r="A3074" s="21"/>
      <c r="B3074" s="20" t="s">
        <v>18</v>
      </c>
      <c r="C3074" s="8" t="s">
        <v>44</v>
      </c>
      <c r="D3074" s="1" t="str">
        <f>HYPERLINK("javascript:void(0)","hártyasisak")</f>
        <v>hártyasisak</v>
      </c>
    </row>
    <row r="3075" spans="1:4" ht="12.75" customHeight="1" x14ac:dyDescent="0.2">
      <c r="A3075" s="21"/>
      <c r="B3075" s="21"/>
      <c r="C3075" s="8" t="s">
        <v>142</v>
      </c>
      <c r="D3075" s="1" t="str">
        <f>HYPERLINK("javascript:void(0)","sejtmag")</f>
        <v>sejtmag</v>
      </c>
    </row>
    <row r="3076" spans="1:4" ht="12.75" customHeight="1" x14ac:dyDescent="0.2">
      <c r="A3076" s="21"/>
      <c r="B3076" s="21"/>
      <c r="C3076" s="8" t="s">
        <v>142</v>
      </c>
      <c r="D3076" s="1" t="str">
        <f>HYPERLINK("javascript:void(0)","membránplazma")</f>
        <v>membránplazma</v>
      </c>
    </row>
    <row r="3077" spans="1:4" ht="12.75" customHeight="1" x14ac:dyDescent="0.2">
      <c r="A3077" s="21"/>
      <c r="B3077" s="2"/>
      <c r="C3077" s="7"/>
      <c r="D3077" s="7"/>
    </row>
    <row r="3078" spans="1:4" ht="12.75" customHeight="1" x14ac:dyDescent="0.2">
      <c r="A3078" s="21"/>
      <c r="B3078" s="2"/>
      <c r="C3078" s="7"/>
      <c r="D3078" s="7"/>
    </row>
    <row r="3079" spans="1:4" ht="12.75" customHeight="1" x14ac:dyDescent="0.2">
      <c r="A3079" s="21"/>
      <c r="B3079" s="2"/>
      <c r="C3079" s="7"/>
      <c r="D3079" s="7"/>
    </row>
    <row r="3080" spans="1:4" ht="12.75" customHeight="1" x14ac:dyDescent="0.2">
      <c r="A3080" s="21"/>
      <c r="B3080" s="2"/>
      <c r="C3080" s="7"/>
      <c r="D3080" s="7"/>
    </row>
    <row r="3081" spans="1:4" ht="12.75" customHeight="1" x14ac:dyDescent="0.2">
      <c r="A3081" s="5"/>
      <c r="B3081" s="2"/>
      <c r="C3081" s="7"/>
      <c r="D3081" s="7"/>
    </row>
    <row r="3082" spans="1:4" ht="12.75" customHeight="1" x14ac:dyDescent="0.2">
      <c r="A3082" s="22" t="str">
        <f>HYPERLINK("javascript:void(0)","plazmapáncél")</f>
        <v>plazmapáncél</v>
      </c>
      <c r="B3082" s="21"/>
      <c r="C3082" s="21"/>
      <c r="D3082" s="21"/>
    </row>
    <row r="3083" spans="1:4" ht="12.75" customHeight="1" x14ac:dyDescent="0.2">
      <c r="A3083" s="20"/>
      <c r="B3083" s="2"/>
      <c r="C3083" s="7"/>
      <c r="D3083" s="7"/>
    </row>
    <row r="3084" spans="1:4" ht="12.75" customHeight="1" x14ac:dyDescent="0.2">
      <c r="A3084" s="21"/>
      <c r="B3084" s="3" t="s">
        <v>0</v>
      </c>
      <c r="C3084" s="23" t="s">
        <v>187</v>
      </c>
      <c r="D3084" s="21"/>
    </row>
    <row r="3085" spans="1:4" ht="12.75" customHeight="1" x14ac:dyDescent="0.2">
      <c r="A3085" s="21"/>
      <c r="B3085" s="3" t="s">
        <v>2</v>
      </c>
      <c r="C3085" s="23" t="s">
        <v>2322</v>
      </c>
      <c r="D3085" s="21"/>
    </row>
    <row r="3086" spans="1:4" ht="12.75" customHeight="1" x14ac:dyDescent="0.2">
      <c r="A3086" s="21"/>
      <c r="B3086" s="3" t="s">
        <v>1840</v>
      </c>
      <c r="C3086" s="23" t="s">
        <v>728</v>
      </c>
      <c r="D3086" s="21"/>
    </row>
    <row r="3087" spans="1:4" ht="12.75" customHeight="1" x14ac:dyDescent="0.2">
      <c r="A3087" s="21"/>
      <c r="B3087" s="3" t="s">
        <v>9</v>
      </c>
      <c r="C3087" s="23" t="s">
        <v>169</v>
      </c>
      <c r="D3087" s="21"/>
    </row>
    <row r="3088" spans="1:4" ht="12.75" customHeight="1" x14ac:dyDescent="0.2">
      <c r="A3088" s="21"/>
      <c r="B3088" s="3" t="s">
        <v>11</v>
      </c>
      <c r="C3088" s="23" t="s">
        <v>162</v>
      </c>
      <c r="D3088" s="21"/>
    </row>
    <row r="3089" spans="1:4" ht="12.75" customHeight="1" x14ac:dyDescent="0.2">
      <c r="A3089" s="21"/>
      <c r="B3089" s="3" t="s">
        <v>16</v>
      </c>
      <c r="C3089" s="23"/>
      <c r="D3089" s="21"/>
    </row>
    <row r="3090" spans="1:4" ht="12.75" customHeight="1" x14ac:dyDescent="0.2">
      <c r="A3090" s="21"/>
      <c r="B3090" s="3" t="s">
        <v>17</v>
      </c>
      <c r="C3090" s="23" t="s">
        <v>19</v>
      </c>
      <c r="D3090" s="21"/>
    </row>
    <row r="3091" spans="1:4" ht="12.75" customHeight="1" x14ac:dyDescent="0.2">
      <c r="A3091" s="21"/>
      <c r="B3091" s="20" t="s">
        <v>18</v>
      </c>
      <c r="C3091" s="8" t="s">
        <v>139</v>
      </c>
      <c r="D3091" s="1" t="str">
        <f>HYPERLINK("javascript:void(0)","membránplazma")</f>
        <v>membránplazma</v>
      </c>
    </row>
    <row r="3092" spans="1:4" ht="12.75" customHeight="1" x14ac:dyDescent="0.2">
      <c r="A3092" s="21"/>
      <c r="B3092" s="21"/>
      <c r="C3092" s="8" t="s">
        <v>44</v>
      </c>
      <c r="D3092" s="1" t="str">
        <f>HYPERLINK("javascript:void(0)","bűzpáncél")</f>
        <v>bűzpáncél</v>
      </c>
    </row>
    <row r="3093" spans="1:4" ht="12.75" customHeight="1" x14ac:dyDescent="0.2">
      <c r="A3093" s="21"/>
      <c r="B3093" s="21"/>
      <c r="C3093" s="8" t="s">
        <v>67</v>
      </c>
      <c r="D3093" s="1" t="str">
        <f>HYPERLINK("javascript:void(0)","sejtmag")</f>
        <v>sejtmag</v>
      </c>
    </row>
    <row r="3094" spans="1:4" ht="12.75" customHeight="1" x14ac:dyDescent="0.2">
      <c r="A3094" s="21"/>
      <c r="B3094" s="2"/>
      <c r="C3094" s="7"/>
      <c r="D3094" s="7"/>
    </row>
    <row r="3095" spans="1:4" ht="12.75" customHeight="1" x14ac:dyDescent="0.2">
      <c r="A3095" s="21"/>
      <c r="B3095" s="2"/>
      <c r="C3095" s="7"/>
      <c r="D3095" s="7"/>
    </row>
    <row r="3096" spans="1:4" ht="12.75" customHeight="1" x14ac:dyDescent="0.2">
      <c r="A3096" s="21"/>
      <c r="B3096" s="2"/>
      <c r="C3096" s="7"/>
      <c r="D3096" s="7"/>
    </row>
    <row r="3097" spans="1:4" ht="12.75" customHeight="1" x14ac:dyDescent="0.2">
      <c r="A3097" s="21"/>
      <c r="B3097" s="2"/>
      <c r="C3097" s="7"/>
      <c r="D3097" s="7"/>
    </row>
    <row r="3098" spans="1:4" ht="12.75" customHeight="1" x14ac:dyDescent="0.2">
      <c r="A3098" s="5"/>
      <c r="B3098" s="2"/>
      <c r="C3098" s="7"/>
      <c r="D3098" s="7"/>
    </row>
    <row r="3099" spans="1:4" ht="12.75" customHeight="1" x14ac:dyDescent="0.2">
      <c r="A3099" s="22" t="str">
        <f>HYPERLINK("javascript:void(0)","hipercsizma")</f>
        <v>hipercsizma</v>
      </c>
      <c r="B3099" s="21"/>
      <c r="C3099" s="21"/>
      <c r="D3099" s="21"/>
    </row>
    <row r="3100" spans="1:4" ht="12.75" customHeight="1" x14ac:dyDescent="0.2">
      <c r="A3100" s="20"/>
      <c r="B3100" s="2"/>
      <c r="C3100" s="7"/>
      <c r="D3100" s="7"/>
    </row>
    <row r="3101" spans="1:4" ht="12.75" customHeight="1" x14ac:dyDescent="0.2">
      <c r="A3101" s="21"/>
      <c r="B3101" s="3" t="s">
        <v>0</v>
      </c>
      <c r="C3101" s="23" t="s">
        <v>187</v>
      </c>
      <c r="D3101" s="21"/>
    </row>
    <row r="3102" spans="1:4" ht="12.75" customHeight="1" x14ac:dyDescent="0.2">
      <c r="A3102" s="21"/>
      <c r="B3102" s="3" t="s">
        <v>2</v>
      </c>
      <c r="C3102" s="23"/>
      <c r="D3102" s="21"/>
    </row>
    <row r="3103" spans="1:4" ht="12.75" customHeight="1" x14ac:dyDescent="0.2">
      <c r="A3103" s="21"/>
      <c r="B3103" s="3" t="s">
        <v>1840</v>
      </c>
      <c r="C3103" s="23" t="s">
        <v>392</v>
      </c>
      <c r="D3103" s="21"/>
    </row>
    <row r="3104" spans="1:4" ht="12.75" customHeight="1" x14ac:dyDescent="0.2">
      <c r="A3104" s="21"/>
      <c r="B3104" s="3" t="s">
        <v>9</v>
      </c>
      <c r="C3104" s="23" t="s">
        <v>36</v>
      </c>
      <c r="D3104" s="21"/>
    </row>
    <row r="3105" spans="1:4" ht="12.75" customHeight="1" x14ac:dyDescent="0.2">
      <c r="A3105" s="21"/>
      <c r="B3105" s="3" t="s">
        <v>11</v>
      </c>
      <c r="C3105" s="23" t="s">
        <v>259</v>
      </c>
      <c r="D3105" s="21"/>
    </row>
    <row r="3106" spans="1:4" ht="12.75" customHeight="1" x14ac:dyDescent="0.2">
      <c r="A3106" s="21"/>
      <c r="B3106" s="3" t="s">
        <v>16</v>
      </c>
      <c r="C3106" s="23"/>
      <c r="D3106" s="21"/>
    </row>
    <row r="3107" spans="1:4" ht="12.75" customHeight="1" x14ac:dyDescent="0.2">
      <c r="A3107" s="21"/>
      <c r="B3107" s="3" t="s">
        <v>17</v>
      </c>
      <c r="C3107" s="23" t="s">
        <v>19</v>
      </c>
      <c r="D3107" s="21"/>
    </row>
    <row r="3108" spans="1:4" ht="12.75" customHeight="1" x14ac:dyDescent="0.2">
      <c r="A3108" s="21"/>
      <c r="B3108" s="20" t="s">
        <v>18</v>
      </c>
      <c r="C3108" s="8" t="s">
        <v>44</v>
      </c>
      <c r="D3108" s="1" t="str">
        <f>HYPERLINK("javascript:void(0)","centrocsizma")</f>
        <v>centrocsizma</v>
      </c>
    </row>
    <row r="3109" spans="1:4" ht="12.75" customHeight="1" x14ac:dyDescent="0.2">
      <c r="A3109" s="21"/>
      <c r="B3109" s="21"/>
      <c r="C3109" s="8" t="s">
        <v>139</v>
      </c>
      <c r="D3109" s="1" t="str">
        <f>HYPERLINK("javascript:void(0)","hiperium")</f>
        <v>hiperium</v>
      </c>
    </row>
    <row r="3110" spans="1:4" ht="12.75" customHeight="1" x14ac:dyDescent="0.2">
      <c r="A3110" s="21"/>
      <c r="B3110" s="21"/>
      <c r="C3110" s="8" t="s">
        <v>139</v>
      </c>
      <c r="D3110" s="1" t="str">
        <f>HYPERLINK("javascript:void(0)","sejtmag")</f>
        <v>sejtmag</v>
      </c>
    </row>
    <row r="3111" spans="1:4" ht="12.75" customHeight="1" x14ac:dyDescent="0.2">
      <c r="A3111" s="21"/>
      <c r="B3111" s="2"/>
      <c r="C3111" s="7"/>
      <c r="D3111" s="7"/>
    </row>
    <row r="3112" spans="1:4" ht="12.75" customHeight="1" x14ac:dyDescent="0.2">
      <c r="A3112" s="21"/>
      <c r="B3112" s="2"/>
      <c r="C3112" s="7"/>
      <c r="D3112" s="7"/>
    </row>
    <row r="3113" spans="1:4" ht="12.75" customHeight="1" x14ac:dyDescent="0.2">
      <c r="A3113" s="21"/>
      <c r="B3113" s="2"/>
      <c r="C3113" s="7"/>
      <c r="D3113" s="7"/>
    </row>
    <row r="3114" spans="1:4" ht="12.75" customHeight="1" x14ac:dyDescent="0.2">
      <c r="A3114" s="21"/>
      <c r="B3114" s="2"/>
      <c r="C3114" s="7"/>
      <c r="D3114" s="7"/>
    </row>
    <row r="3115" spans="1:4" ht="12.75" customHeight="1" x14ac:dyDescent="0.2">
      <c r="A3115" s="5"/>
      <c r="B3115" s="2"/>
      <c r="C3115" s="7"/>
      <c r="D3115" s="7"/>
    </row>
    <row r="3116" spans="1:4" ht="12.75" customHeight="1" x14ac:dyDescent="0.2">
      <c r="A3116" s="22" t="str">
        <f>HYPERLINK("javascript:void(0)","elfacél testpajzs")</f>
        <v>elfacél testpajzs</v>
      </c>
      <c r="B3116" s="21"/>
      <c r="C3116" s="21"/>
      <c r="D3116" s="21"/>
    </row>
    <row r="3117" spans="1:4" ht="12.75" customHeight="1" x14ac:dyDescent="0.2">
      <c r="A3117" s="20"/>
      <c r="B3117" s="2"/>
      <c r="C3117" s="7"/>
      <c r="D3117" s="7"/>
    </row>
    <row r="3118" spans="1:4" ht="12.75" customHeight="1" x14ac:dyDescent="0.2">
      <c r="A3118" s="21"/>
      <c r="B3118" s="3" t="s">
        <v>0</v>
      </c>
      <c r="C3118" s="23" t="s">
        <v>187</v>
      </c>
      <c r="D3118" s="21"/>
    </row>
    <row r="3119" spans="1:4" ht="12.75" customHeight="1" x14ac:dyDescent="0.2">
      <c r="A3119" s="21"/>
      <c r="B3119" s="3" t="s">
        <v>2</v>
      </c>
      <c r="C3119" s="23" t="s">
        <v>1839</v>
      </c>
      <c r="D3119" s="21"/>
    </row>
    <row r="3120" spans="1:4" ht="12.75" customHeight="1" x14ac:dyDescent="0.2">
      <c r="A3120" s="21"/>
      <c r="B3120" s="3" t="s">
        <v>1840</v>
      </c>
      <c r="C3120" s="23" t="s">
        <v>151</v>
      </c>
      <c r="D3120" s="21"/>
    </row>
    <row r="3121" spans="1:4" ht="12.75" customHeight="1" x14ac:dyDescent="0.2">
      <c r="A3121" s="21"/>
      <c r="B3121" s="3" t="s">
        <v>9</v>
      </c>
      <c r="C3121" s="23" t="s">
        <v>262</v>
      </c>
      <c r="D3121" s="21"/>
    </row>
    <row r="3122" spans="1:4" ht="12.75" customHeight="1" x14ac:dyDescent="0.2">
      <c r="A3122" s="21"/>
      <c r="B3122" s="3" t="s">
        <v>11</v>
      </c>
      <c r="C3122" s="23" t="s">
        <v>259</v>
      </c>
      <c r="D3122" s="21"/>
    </row>
    <row r="3123" spans="1:4" ht="12.75" customHeight="1" x14ac:dyDescent="0.2">
      <c r="A3123" s="21"/>
      <c r="B3123" s="3" t="s">
        <v>16</v>
      </c>
      <c r="C3123" s="23"/>
      <c r="D3123" s="21"/>
    </row>
    <row r="3124" spans="1:4" ht="12.75" customHeight="1" x14ac:dyDescent="0.2">
      <c r="A3124" s="21"/>
      <c r="B3124" s="3" t="s">
        <v>17</v>
      </c>
      <c r="C3124" s="23" t="s">
        <v>19</v>
      </c>
      <c r="D3124" s="21"/>
    </row>
    <row r="3125" spans="1:4" ht="12.75" customHeight="1" x14ac:dyDescent="0.2">
      <c r="A3125" s="21"/>
      <c r="B3125" s="20" t="s">
        <v>18</v>
      </c>
      <c r="C3125" s="8" t="s">
        <v>44</v>
      </c>
      <c r="D3125" s="1" t="str">
        <f>HYPERLINK("javascript:void(0)","dracoacél testpajzs")</f>
        <v>dracoacél testpajzs</v>
      </c>
    </row>
    <row r="3126" spans="1:4" ht="12.75" customHeight="1" x14ac:dyDescent="0.2">
      <c r="A3126" s="21"/>
      <c r="B3126" s="21"/>
      <c r="C3126" s="8" t="s">
        <v>139</v>
      </c>
      <c r="D3126" s="1" t="str">
        <f>HYPERLINK("javascript:void(0)","sárkány szem")</f>
        <v>sárkány szem</v>
      </c>
    </row>
    <row r="3127" spans="1:4" ht="12.75" customHeight="1" x14ac:dyDescent="0.2">
      <c r="A3127" s="21"/>
      <c r="B3127" s="21"/>
      <c r="C3127" s="8" t="s">
        <v>117</v>
      </c>
      <c r="D3127" s="1" t="str">
        <f>HYPERLINK("javascript:void(0)","kihunyt glória")</f>
        <v>kihunyt glória</v>
      </c>
    </row>
    <row r="3128" spans="1:4" ht="12.75" customHeight="1" x14ac:dyDescent="0.2">
      <c r="A3128" s="21"/>
      <c r="B3128" s="2"/>
      <c r="C3128" s="7"/>
      <c r="D3128" s="7"/>
    </row>
    <row r="3129" spans="1:4" ht="12.75" customHeight="1" x14ac:dyDescent="0.2">
      <c r="A3129" s="21"/>
      <c r="B3129" s="2"/>
      <c r="C3129" s="7"/>
      <c r="D3129" s="7"/>
    </row>
    <row r="3130" spans="1:4" ht="12.75" customHeight="1" x14ac:dyDescent="0.2">
      <c r="A3130" s="21"/>
      <c r="B3130" s="2"/>
      <c r="C3130" s="7"/>
      <c r="D3130" s="7"/>
    </row>
    <row r="3131" spans="1:4" ht="12.75" customHeight="1" x14ac:dyDescent="0.2">
      <c r="A3131" s="21"/>
      <c r="B3131" s="2"/>
      <c r="C3131" s="7"/>
      <c r="D3131" s="7"/>
    </row>
    <row r="3132" spans="1:4" ht="12.75" customHeight="1" x14ac:dyDescent="0.2">
      <c r="A3132" s="5"/>
      <c r="B3132" s="2"/>
      <c r="C3132" s="7"/>
      <c r="D3132" s="7"/>
    </row>
    <row r="3133" spans="1:4" ht="12.75" customHeight="1" x14ac:dyDescent="0.2">
      <c r="A3133" s="22" t="str">
        <f>HYPERLINK("javascript:void(0)","smaragd pillepajzs")</f>
        <v>smaragd pillepajzs</v>
      </c>
      <c r="B3133" s="21"/>
      <c r="C3133" s="21"/>
      <c r="D3133" s="21"/>
    </row>
    <row r="3134" spans="1:4" ht="12.75" customHeight="1" x14ac:dyDescent="0.2">
      <c r="A3134" s="20"/>
      <c r="B3134" s="2"/>
      <c r="C3134" s="7"/>
      <c r="D3134" s="7"/>
    </row>
    <row r="3135" spans="1:4" ht="12.75" customHeight="1" x14ac:dyDescent="0.2">
      <c r="A3135" s="21"/>
      <c r="B3135" s="3" t="s">
        <v>0</v>
      </c>
      <c r="C3135" s="23" t="s">
        <v>187</v>
      </c>
      <c r="D3135" s="21"/>
    </row>
    <row r="3136" spans="1:4" ht="12.75" customHeight="1" x14ac:dyDescent="0.2">
      <c r="A3136" s="21"/>
      <c r="B3136" s="3" t="s">
        <v>2</v>
      </c>
      <c r="C3136" s="23" t="s">
        <v>1839</v>
      </c>
      <c r="D3136" s="21"/>
    </row>
    <row r="3137" spans="1:4" ht="12.75" customHeight="1" x14ac:dyDescent="0.2">
      <c r="A3137" s="21"/>
      <c r="B3137" s="3" t="s">
        <v>1840</v>
      </c>
      <c r="C3137" s="23" t="s">
        <v>151</v>
      </c>
      <c r="D3137" s="21"/>
    </row>
    <row r="3138" spans="1:4" ht="12.75" customHeight="1" x14ac:dyDescent="0.2">
      <c r="A3138" s="21"/>
      <c r="B3138" s="3" t="s">
        <v>9</v>
      </c>
      <c r="C3138" s="23" t="s">
        <v>590</v>
      </c>
      <c r="D3138" s="21"/>
    </row>
    <row r="3139" spans="1:4" ht="12.75" customHeight="1" x14ac:dyDescent="0.2">
      <c r="A3139" s="21"/>
      <c r="B3139" s="3" t="s">
        <v>11</v>
      </c>
      <c r="C3139" s="23" t="s">
        <v>279</v>
      </c>
      <c r="D3139" s="21"/>
    </row>
    <row r="3140" spans="1:4" ht="12.75" customHeight="1" x14ac:dyDescent="0.2">
      <c r="A3140" s="21"/>
      <c r="B3140" s="3" t="s">
        <v>16</v>
      </c>
      <c r="C3140" s="23"/>
      <c r="D3140" s="21"/>
    </row>
    <row r="3141" spans="1:4" ht="12.75" customHeight="1" x14ac:dyDescent="0.2">
      <c r="A3141" s="21"/>
      <c r="B3141" s="3" t="s">
        <v>17</v>
      </c>
      <c r="C3141" s="23" t="s">
        <v>19</v>
      </c>
      <c r="D3141" s="21"/>
    </row>
    <row r="3142" spans="1:4" ht="12.75" customHeight="1" x14ac:dyDescent="0.2">
      <c r="A3142" s="21"/>
      <c r="B3142" s="20" t="s">
        <v>18</v>
      </c>
      <c r="C3142" s="8" t="s">
        <v>44</v>
      </c>
      <c r="D3142" s="1" t="str">
        <f>HYPERLINK("javascript:void(0)","elfacél testpajzs")</f>
        <v>elfacél testpajzs</v>
      </c>
    </row>
    <row r="3143" spans="1:4" ht="12.75" customHeight="1" x14ac:dyDescent="0.2">
      <c r="A3143" s="21"/>
      <c r="B3143" s="21"/>
      <c r="C3143" s="8" t="s">
        <v>130</v>
      </c>
      <c r="D3143" s="1" t="str">
        <f>HYPERLINK("javascript:void(0)","smaragd")</f>
        <v>smaragd</v>
      </c>
    </row>
    <row r="3144" spans="1:4" ht="12.75" customHeight="1" x14ac:dyDescent="0.2">
      <c r="A3144" s="21"/>
      <c r="B3144" s="21"/>
      <c r="C3144" s="8" t="s">
        <v>117</v>
      </c>
      <c r="D3144" s="1" t="str">
        <f>HYPERLINK("javascript:void(0)","fénynyaláb")</f>
        <v>fénynyaláb</v>
      </c>
    </row>
    <row r="3145" spans="1:4" ht="12.75" customHeight="1" x14ac:dyDescent="0.2">
      <c r="A3145" s="21"/>
      <c r="B3145" s="2"/>
      <c r="C3145" s="7"/>
      <c r="D3145" s="7"/>
    </row>
    <row r="3146" spans="1:4" ht="12.75" customHeight="1" x14ac:dyDescent="0.2">
      <c r="A3146" s="21"/>
      <c r="B3146" s="2"/>
      <c r="C3146" s="7"/>
      <c r="D3146" s="7"/>
    </row>
    <row r="3147" spans="1:4" ht="12.75" customHeight="1" x14ac:dyDescent="0.2">
      <c r="A3147" s="21"/>
      <c r="B3147" s="2"/>
      <c r="C3147" s="7"/>
      <c r="D3147" s="7"/>
    </row>
    <row r="3148" spans="1:4" ht="12.75" customHeight="1" x14ac:dyDescent="0.2">
      <c r="A3148" s="21"/>
      <c r="B3148" s="2"/>
      <c r="C3148" s="7"/>
      <c r="D3148" s="7"/>
    </row>
    <row r="3149" spans="1:4" ht="12.75" customHeight="1" x14ac:dyDescent="0.2">
      <c r="A3149" s="5"/>
      <c r="B3149" s="2"/>
      <c r="C3149" s="7"/>
      <c r="D3149" s="7"/>
    </row>
    <row r="3150" spans="1:4" ht="12.75" customHeight="1" x14ac:dyDescent="0.2">
      <c r="A3150" s="22" t="str">
        <f>HYPERLINK("javascript:void(0)","körömpáncél")</f>
        <v>körömpáncél</v>
      </c>
      <c r="B3150" s="21"/>
      <c r="C3150" s="21"/>
      <c r="D3150" s="21"/>
    </row>
    <row r="3151" spans="1:4" ht="12.75" customHeight="1" x14ac:dyDescent="0.2">
      <c r="A3151" s="20"/>
      <c r="B3151" s="2"/>
      <c r="C3151" s="7"/>
      <c r="D3151" s="7"/>
    </row>
    <row r="3152" spans="1:4" ht="12.75" customHeight="1" x14ac:dyDescent="0.2">
      <c r="A3152" s="21"/>
      <c r="B3152" s="3" t="s">
        <v>0</v>
      </c>
      <c r="C3152" s="23" t="s">
        <v>107</v>
      </c>
      <c r="D3152" s="21"/>
    </row>
    <row r="3153" spans="1:4" ht="12.75" customHeight="1" x14ac:dyDescent="0.2">
      <c r="A3153" s="21"/>
      <c r="B3153" s="3" t="s">
        <v>2</v>
      </c>
      <c r="C3153" s="23" t="s">
        <v>2322</v>
      </c>
      <c r="D3153" s="21"/>
    </row>
    <row r="3154" spans="1:4" ht="12.75" customHeight="1" x14ac:dyDescent="0.2">
      <c r="A3154" s="21"/>
      <c r="B3154" s="3" t="s">
        <v>1840</v>
      </c>
      <c r="C3154" s="23" t="s">
        <v>773</v>
      </c>
      <c r="D3154" s="21"/>
    </row>
    <row r="3155" spans="1:4" ht="12.75" customHeight="1" x14ac:dyDescent="0.2">
      <c r="A3155" s="21"/>
      <c r="B3155" s="3" t="s">
        <v>9</v>
      </c>
      <c r="C3155" s="23" t="s">
        <v>1255</v>
      </c>
      <c r="D3155" s="21"/>
    </row>
    <row r="3156" spans="1:4" ht="12.75" customHeight="1" x14ac:dyDescent="0.2">
      <c r="A3156" s="21"/>
      <c r="B3156" s="3" t="s">
        <v>11</v>
      </c>
      <c r="C3156" s="23" t="s">
        <v>191</v>
      </c>
      <c r="D3156" s="21"/>
    </row>
    <row r="3157" spans="1:4" ht="12.75" customHeight="1" x14ac:dyDescent="0.2">
      <c r="A3157" s="21"/>
      <c r="B3157" s="3" t="s">
        <v>16</v>
      </c>
      <c r="C3157" s="23"/>
      <c r="D3157" s="21"/>
    </row>
    <row r="3158" spans="1:4" ht="12.75" customHeight="1" x14ac:dyDescent="0.2">
      <c r="A3158" s="21"/>
      <c r="B3158" s="3" t="s">
        <v>17</v>
      </c>
      <c r="C3158" s="23" t="s">
        <v>19</v>
      </c>
      <c r="D3158" s="21"/>
    </row>
    <row r="3159" spans="1:4" ht="12.75" customHeight="1" x14ac:dyDescent="0.2">
      <c r="A3159" s="21"/>
      <c r="B3159" s="20" t="s">
        <v>18</v>
      </c>
      <c r="C3159" s="8" t="s">
        <v>139</v>
      </c>
      <c r="D3159" s="1" t="str">
        <f>HYPERLINK("javascript:void(0)","mágusköpeny")</f>
        <v>mágusköpeny</v>
      </c>
    </row>
    <row r="3160" spans="1:4" ht="12.75" customHeight="1" x14ac:dyDescent="0.2">
      <c r="A3160" s="21"/>
      <c r="B3160" s="21"/>
      <c r="C3160" s="8" t="s">
        <v>494</v>
      </c>
      <c r="D3160" s="1" t="str">
        <f>HYPERLINK("javascript:void(0)","gigaköröm")</f>
        <v>gigaköröm</v>
      </c>
    </row>
    <row r="3161" spans="1:4" ht="12.75" customHeight="1" x14ac:dyDescent="0.2">
      <c r="A3161" s="21"/>
      <c r="B3161" s="21"/>
      <c r="C3161" s="8" t="s">
        <v>44</v>
      </c>
      <c r="D3161" s="1" t="str">
        <f>HYPERLINK("javascript:void(0)","plazmapáncél")</f>
        <v>plazmapáncél</v>
      </c>
    </row>
    <row r="3162" spans="1:4" ht="12.75" customHeight="1" x14ac:dyDescent="0.2">
      <c r="A3162" s="21"/>
      <c r="B3162" s="2"/>
      <c r="C3162" s="7"/>
      <c r="D3162" s="7"/>
    </row>
    <row r="3163" spans="1:4" ht="12.75" customHeight="1" x14ac:dyDescent="0.2">
      <c r="A3163" s="21"/>
      <c r="B3163" s="2"/>
      <c r="C3163" s="7"/>
      <c r="D3163" s="7"/>
    </row>
    <row r="3164" spans="1:4" ht="12.75" customHeight="1" x14ac:dyDescent="0.2">
      <c r="A3164" s="21"/>
      <c r="B3164" s="2"/>
      <c r="C3164" s="7"/>
      <c r="D3164" s="7"/>
    </row>
    <row r="3165" spans="1:4" ht="12.75" customHeight="1" x14ac:dyDescent="0.2">
      <c r="A3165" s="21"/>
      <c r="B3165" s="2"/>
      <c r="C3165" s="7"/>
      <c r="D3165" s="7"/>
    </row>
    <row r="3166" spans="1:4" ht="12.75" customHeight="1" x14ac:dyDescent="0.2">
      <c r="A3166" s="5"/>
      <c r="B3166" s="2"/>
      <c r="C3166" s="7"/>
      <c r="D3166" s="7"/>
    </row>
    <row r="3167" spans="1:4" ht="12.75" customHeight="1" x14ac:dyDescent="0.2">
      <c r="A3167" s="22" t="str">
        <f>HYPERLINK("javascript:void(0)","nyerskompózium")</f>
        <v>nyerskompózium</v>
      </c>
      <c r="B3167" s="21"/>
      <c r="C3167" s="21"/>
      <c r="D3167" s="21"/>
    </row>
    <row r="3168" spans="1:4" ht="12.75" customHeight="1" x14ac:dyDescent="0.2">
      <c r="A3168" s="20"/>
      <c r="B3168" s="2"/>
      <c r="C3168" s="7"/>
      <c r="D3168" s="7"/>
    </row>
    <row r="3169" spans="1:4" ht="12.75" customHeight="1" x14ac:dyDescent="0.2">
      <c r="A3169" s="21"/>
      <c r="B3169" s="3" t="s">
        <v>0</v>
      </c>
      <c r="C3169" s="23" t="s">
        <v>107</v>
      </c>
      <c r="D3169" s="21"/>
    </row>
    <row r="3170" spans="1:4" ht="12.75" customHeight="1" x14ac:dyDescent="0.2">
      <c r="A3170" s="21"/>
      <c r="B3170" s="3" t="s">
        <v>2</v>
      </c>
      <c r="C3170" s="23" t="s">
        <v>1839</v>
      </c>
      <c r="D3170" s="21"/>
    </row>
    <row r="3171" spans="1:4" ht="12.75" customHeight="1" x14ac:dyDescent="0.2">
      <c r="A3171" s="21"/>
      <c r="B3171" s="3" t="s">
        <v>1840</v>
      </c>
      <c r="C3171" s="23" t="s">
        <v>21</v>
      </c>
      <c r="D3171" s="21"/>
    </row>
    <row r="3172" spans="1:4" ht="12.75" customHeight="1" x14ac:dyDescent="0.2">
      <c r="A3172" s="21"/>
      <c r="B3172" s="3" t="s">
        <v>9</v>
      </c>
      <c r="C3172" s="23" t="s">
        <v>137</v>
      </c>
      <c r="D3172" s="21"/>
    </row>
    <row r="3173" spans="1:4" ht="12.75" customHeight="1" x14ac:dyDescent="0.2">
      <c r="A3173" s="21"/>
      <c r="B3173" s="3" t="s">
        <v>11</v>
      </c>
      <c r="C3173" s="23" t="s">
        <v>89</v>
      </c>
      <c r="D3173" s="21"/>
    </row>
    <row r="3174" spans="1:4" ht="12.75" customHeight="1" x14ac:dyDescent="0.2">
      <c r="A3174" s="21"/>
      <c r="B3174" s="3" t="s">
        <v>16</v>
      </c>
      <c r="C3174" s="23"/>
      <c r="D3174" s="21"/>
    </row>
    <row r="3175" spans="1:4" ht="12.75" customHeight="1" x14ac:dyDescent="0.2">
      <c r="A3175" s="21"/>
      <c r="B3175" s="3" t="s">
        <v>17</v>
      </c>
      <c r="C3175" s="23" t="s">
        <v>19</v>
      </c>
      <c r="D3175" s="21"/>
    </row>
    <row r="3176" spans="1:4" ht="12.75" customHeight="1" x14ac:dyDescent="0.2">
      <c r="A3176" s="21"/>
      <c r="B3176" s="20" t="s">
        <v>18</v>
      </c>
      <c r="C3176" s="8" t="s">
        <v>44</v>
      </c>
      <c r="D3176" s="1" t="str">
        <f>HYPERLINK("javascript:void(0)","diszprózium")</f>
        <v>diszprózium</v>
      </c>
    </row>
    <row r="3177" spans="1:4" ht="12.75" customHeight="1" x14ac:dyDescent="0.2">
      <c r="A3177" s="21"/>
      <c r="B3177" s="21"/>
      <c r="C3177" s="8" t="s">
        <v>44</v>
      </c>
      <c r="D3177" s="1" t="str">
        <f>HYPERLINK("javascript:void(0)","kithrill")</f>
        <v>kithrill</v>
      </c>
    </row>
    <row r="3178" spans="1:4" ht="12.75" customHeight="1" x14ac:dyDescent="0.2">
      <c r="A3178" s="21"/>
      <c r="B3178" s="21"/>
      <c r="C3178" s="8" t="s">
        <v>44</v>
      </c>
      <c r="D3178" s="1" t="str">
        <f>HYPERLINK("javascript:void(0)","centrolium")</f>
        <v>centrolium</v>
      </c>
    </row>
    <row r="3179" spans="1:4" ht="12.75" customHeight="1" x14ac:dyDescent="0.2">
      <c r="A3179" s="21"/>
      <c r="B3179" s="2"/>
      <c r="C3179" s="7"/>
      <c r="D3179" s="7"/>
    </row>
    <row r="3180" spans="1:4" ht="12.75" customHeight="1" x14ac:dyDescent="0.2">
      <c r="A3180" s="21"/>
      <c r="B3180" s="2"/>
      <c r="C3180" s="7"/>
      <c r="D3180" s="7"/>
    </row>
    <row r="3181" spans="1:4" ht="12.75" customHeight="1" x14ac:dyDescent="0.2">
      <c r="A3181" s="21"/>
      <c r="B3181" s="2"/>
      <c r="C3181" s="7"/>
      <c r="D3181" s="7"/>
    </row>
    <row r="3182" spans="1:4" ht="12.75" customHeight="1" x14ac:dyDescent="0.2">
      <c r="A3182" s="21"/>
      <c r="B3182" s="2"/>
      <c r="C3182" s="7"/>
      <c r="D3182" s="7"/>
    </row>
    <row r="3183" spans="1:4" ht="12.75" customHeight="1" x14ac:dyDescent="0.2">
      <c r="A3183" s="5"/>
      <c r="B3183" s="2"/>
      <c r="C3183" s="7"/>
      <c r="D3183" s="7"/>
    </row>
    <row r="3184" spans="1:4" ht="12.75" customHeight="1" x14ac:dyDescent="0.2">
      <c r="A3184" s="22" t="str">
        <f>HYPERLINK("javascript:void(0)","kompózium")</f>
        <v>kompózium</v>
      </c>
      <c r="B3184" s="21"/>
      <c r="C3184" s="21"/>
      <c r="D3184" s="21"/>
    </row>
    <row r="3185" spans="1:4" ht="12.75" customHeight="1" x14ac:dyDescent="0.2">
      <c r="A3185" s="20"/>
      <c r="B3185" s="2"/>
      <c r="C3185" s="7"/>
      <c r="D3185" s="7"/>
    </row>
    <row r="3186" spans="1:4" ht="12.75" customHeight="1" x14ac:dyDescent="0.2">
      <c r="A3186" s="21"/>
      <c r="B3186" s="3" t="s">
        <v>0</v>
      </c>
      <c r="C3186" s="23" t="s">
        <v>107</v>
      </c>
      <c r="D3186" s="21"/>
    </row>
    <row r="3187" spans="1:4" ht="12.75" customHeight="1" x14ac:dyDescent="0.2">
      <c r="A3187" s="21"/>
      <c r="B3187" s="3" t="s">
        <v>2</v>
      </c>
      <c r="C3187" s="23" t="s">
        <v>1839</v>
      </c>
      <c r="D3187" s="21"/>
    </row>
    <row r="3188" spans="1:4" ht="12.75" customHeight="1" x14ac:dyDescent="0.2">
      <c r="A3188" s="21"/>
      <c r="B3188" s="3" t="s">
        <v>1840</v>
      </c>
      <c r="C3188" s="23" t="s">
        <v>21</v>
      </c>
      <c r="D3188" s="21"/>
    </row>
    <row r="3189" spans="1:4" ht="12.75" customHeight="1" x14ac:dyDescent="0.2">
      <c r="A3189" s="21"/>
      <c r="B3189" s="3" t="s">
        <v>9</v>
      </c>
      <c r="C3189" s="23" t="s">
        <v>27</v>
      </c>
      <c r="D3189" s="21"/>
    </row>
    <row r="3190" spans="1:4" ht="12.75" customHeight="1" x14ac:dyDescent="0.2">
      <c r="A3190" s="21"/>
      <c r="B3190" s="3" t="s">
        <v>11</v>
      </c>
      <c r="C3190" s="23" t="s">
        <v>535</v>
      </c>
      <c r="D3190" s="21"/>
    </row>
    <row r="3191" spans="1:4" ht="12.75" customHeight="1" x14ac:dyDescent="0.2">
      <c r="A3191" s="21"/>
      <c r="B3191" s="3" t="s">
        <v>16</v>
      </c>
      <c r="C3191" s="23"/>
      <c r="D3191" s="21"/>
    </row>
    <row r="3192" spans="1:4" ht="12.75" customHeight="1" x14ac:dyDescent="0.2">
      <c r="A3192" s="21"/>
      <c r="B3192" s="3" t="s">
        <v>17</v>
      </c>
      <c r="C3192" s="23" t="s">
        <v>19</v>
      </c>
      <c r="D3192" s="21"/>
    </row>
    <row r="3193" spans="1:4" ht="12.75" customHeight="1" x14ac:dyDescent="0.2">
      <c r="A3193" s="21"/>
      <c r="B3193" s="20" t="s">
        <v>18</v>
      </c>
      <c r="C3193" s="8" t="s">
        <v>44</v>
      </c>
      <c r="D3193" s="1" t="str">
        <f>HYPERLINK("javascript:void(0)","nyerskompózium")</f>
        <v>nyerskompózium</v>
      </c>
    </row>
    <row r="3194" spans="1:4" ht="12.75" customHeight="1" x14ac:dyDescent="0.2">
      <c r="A3194" s="21"/>
      <c r="B3194" s="21"/>
      <c r="C3194" s="8" t="s">
        <v>44</v>
      </c>
      <c r="D3194" s="1" t="str">
        <f>HYPERLINK("javascript:void(0)","hiperium")</f>
        <v>hiperium</v>
      </c>
    </row>
    <row r="3195" spans="1:4" ht="12.75" customHeight="1" x14ac:dyDescent="0.2">
      <c r="A3195" s="21"/>
      <c r="B3195" s="21"/>
      <c r="C3195" s="8" t="s">
        <v>67</v>
      </c>
      <c r="D3195" s="1" t="str">
        <f>HYPERLINK("javascript:void(0)","vámpírherbium")</f>
        <v>vámpírherbium</v>
      </c>
    </row>
    <row r="3196" spans="1:4" ht="12.75" customHeight="1" x14ac:dyDescent="0.2">
      <c r="A3196" s="21"/>
      <c r="B3196" s="2"/>
      <c r="C3196" s="7"/>
      <c r="D3196" s="7"/>
    </row>
    <row r="3197" spans="1:4" ht="12.75" customHeight="1" x14ac:dyDescent="0.2">
      <c r="A3197" s="21"/>
      <c r="B3197" s="2"/>
      <c r="C3197" s="7"/>
      <c r="D3197" s="7"/>
    </row>
    <row r="3198" spans="1:4" ht="12.75" customHeight="1" x14ac:dyDescent="0.2">
      <c r="A3198" s="21"/>
      <c r="B3198" s="2"/>
      <c r="C3198" s="7"/>
      <c r="D3198" s="7"/>
    </row>
    <row r="3199" spans="1:4" ht="12.75" customHeight="1" x14ac:dyDescent="0.2">
      <c r="A3199" s="21"/>
      <c r="B3199" s="2"/>
      <c r="C3199" s="7"/>
      <c r="D3199" s="7"/>
    </row>
    <row r="3200" spans="1:4" ht="12.75" customHeight="1" x14ac:dyDescent="0.2">
      <c r="A3200" s="5"/>
      <c r="B3200" s="2"/>
      <c r="C3200" s="7"/>
      <c r="D3200" s="7"/>
    </row>
    <row r="3201" spans="1:4" ht="12.75" customHeight="1" x14ac:dyDescent="0.2">
      <c r="A3201" s="22" t="str">
        <f>HYPERLINK("javascript:void(0)","kompocsizma")</f>
        <v>kompocsizma</v>
      </c>
      <c r="B3201" s="21"/>
      <c r="C3201" s="21"/>
      <c r="D3201" s="21"/>
    </row>
    <row r="3202" spans="1:4" ht="12.75" customHeight="1" x14ac:dyDescent="0.2">
      <c r="A3202" s="20"/>
      <c r="B3202" s="2"/>
      <c r="C3202" s="7"/>
      <c r="D3202" s="7"/>
    </row>
    <row r="3203" spans="1:4" ht="12.75" customHeight="1" x14ac:dyDescent="0.2">
      <c r="A3203" s="21"/>
      <c r="B3203" s="3" t="s">
        <v>0</v>
      </c>
      <c r="C3203" s="23" t="s">
        <v>107</v>
      </c>
      <c r="D3203" s="21"/>
    </row>
    <row r="3204" spans="1:4" ht="12.75" customHeight="1" x14ac:dyDescent="0.2">
      <c r="A3204" s="21"/>
      <c r="B3204" s="3" t="s">
        <v>2</v>
      </c>
      <c r="C3204" s="23"/>
      <c r="D3204" s="21"/>
    </row>
    <row r="3205" spans="1:4" ht="12.75" customHeight="1" x14ac:dyDescent="0.2">
      <c r="A3205" s="21"/>
      <c r="B3205" s="3" t="s">
        <v>1840</v>
      </c>
      <c r="C3205" s="23" t="s">
        <v>417</v>
      </c>
      <c r="D3205" s="21"/>
    </row>
    <row r="3206" spans="1:4" ht="12.75" customHeight="1" x14ac:dyDescent="0.2">
      <c r="A3206" s="21"/>
      <c r="B3206" s="3" t="s">
        <v>9</v>
      </c>
      <c r="C3206" s="23" t="s">
        <v>464</v>
      </c>
      <c r="D3206" s="21"/>
    </row>
    <row r="3207" spans="1:4" ht="12.75" customHeight="1" x14ac:dyDescent="0.2">
      <c r="A3207" s="21"/>
      <c r="B3207" s="3" t="s">
        <v>11</v>
      </c>
      <c r="C3207" s="23" t="s">
        <v>289</v>
      </c>
      <c r="D3207" s="21"/>
    </row>
    <row r="3208" spans="1:4" ht="12.75" customHeight="1" x14ac:dyDescent="0.2">
      <c r="A3208" s="21"/>
      <c r="B3208" s="3" t="s">
        <v>16</v>
      </c>
      <c r="C3208" s="23"/>
      <c r="D3208" s="21"/>
    </row>
    <row r="3209" spans="1:4" ht="12.75" customHeight="1" x14ac:dyDescent="0.2">
      <c r="A3209" s="21"/>
      <c r="B3209" s="3" t="s">
        <v>17</v>
      </c>
      <c r="C3209" s="23" t="s">
        <v>19</v>
      </c>
      <c r="D3209" s="21"/>
    </row>
    <row r="3210" spans="1:4" ht="12.75" customHeight="1" x14ac:dyDescent="0.2">
      <c r="A3210" s="21"/>
      <c r="B3210" s="20" t="s">
        <v>18</v>
      </c>
      <c r="C3210" s="8" t="s">
        <v>44</v>
      </c>
      <c r="D3210" s="1" t="str">
        <f>HYPERLINK("javascript:void(0)","óriásacél csizma")</f>
        <v>óriásacél csizma</v>
      </c>
    </row>
    <row r="3211" spans="1:4" ht="12.75" customHeight="1" x14ac:dyDescent="0.2">
      <c r="A3211" s="21"/>
      <c r="B3211" s="21"/>
      <c r="C3211" s="8" t="s">
        <v>44</v>
      </c>
      <c r="D3211" s="1" t="str">
        <f>HYPERLINK("javascript:void(0)","hipercsizma")</f>
        <v>hipercsizma</v>
      </c>
    </row>
    <row r="3212" spans="1:4" ht="12.75" customHeight="1" x14ac:dyDescent="0.2">
      <c r="A3212" s="21"/>
      <c r="B3212" s="21"/>
      <c r="C3212" s="8" t="s">
        <v>139</v>
      </c>
      <c r="D3212" s="1" t="str">
        <f>HYPERLINK("javascript:void(0)","kompózium")</f>
        <v>kompózium</v>
      </c>
    </row>
    <row r="3213" spans="1:4" ht="12.75" customHeight="1" x14ac:dyDescent="0.2">
      <c r="A3213" s="21"/>
      <c r="B3213" s="2"/>
      <c r="C3213" s="7"/>
      <c r="D3213" s="7"/>
    </row>
    <row r="3214" spans="1:4" ht="12.75" customHeight="1" x14ac:dyDescent="0.2">
      <c r="A3214" s="21"/>
      <c r="B3214" s="2"/>
      <c r="C3214" s="7"/>
      <c r="D3214" s="7"/>
    </row>
    <row r="3215" spans="1:4" ht="12.75" customHeight="1" x14ac:dyDescent="0.2">
      <c r="A3215" s="21"/>
      <c r="B3215" s="2"/>
      <c r="C3215" s="7"/>
      <c r="D3215" s="7"/>
    </row>
    <row r="3216" spans="1:4" ht="12.75" customHeight="1" x14ac:dyDescent="0.2">
      <c r="A3216" s="21"/>
      <c r="B3216" s="2"/>
      <c r="C3216" s="7"/>
      <c r="D3216" s="7"/>
    </row>
    <row r="3217" spans="1:4" ht="12.75" customHeight="1" x14ac:dyDescent="0.2">
      <c r="A3217" s="5"/>
      <c r="B3217" s="2"/>
      <c r="C3217" s="7"/>
      <c r="D3217" s="7"/>
    </row>
    <row r="3218" spans="1:4" ht="12.75" customHeight="1" x14ac:dyDescent="0.2">
      <c r="A3218" s="22" t="str">
        <f>HYPERLINK("javascript:void(0)","körömsisak")</f>
        <v>körömsisak</v>
      </c>
      <c r="B3218" s="21"/>
      <c r="C3218" s="21"/>
      <c r="D3218" s="21"/>
    </row>
    <row r="3219" spans="1:4" ht="12.75" customHeight="1" x14ac:dyDescent="0.2">
      <c r="A3219" s="20"/>
      <c r="B3219" s="2"/>
      <c r="C3219" s="7"/>
      <c r="D3219" s="7"/>
    </row>
    <row r="3220" spans="1:4" ht="12.75" customHeight="1" x14ac:dyDescent="0.2">
      <c r="A3220" s="21"/>
      <c r="B3220" s="3" t="s">
        <v>0</v>
      </c>
      <c r="C3220" s="23" t="s">
        <v>107</v>
      </c>
      <c r="D3220" s="21"/>
    </row>
    <row r="3221" spans="1:4" ht="12.75" customHeight="1" x14ac:dyDescent="0.2">
      <c r="A3221" s="21"/>
      <c r="B3221" s="3" t="s">
        <v>2</v>
      </c>
      <c r="C3221" s="23"/>
      <c r="D3221" s="21"/>
    </row>
    <row r="3222" spans="1:4" ht="12.75" customHeight="1" x14ac:dyDescent="0.2">
      <c r="A3222" s="21"/>
      <c r="B3222" s="3" t="s">
        <v>1840</v>
      </c>
      <c r="C3222" s="23" t="s">
        <v>204</v>
      </c>
      <c r="D3222" s="21"/>
    </row>
    <row r="3223" spans="1:4" ht="12.75" customHeight="1" x14ac:dyDescent="0.2">
      <c r="A3223" s="21"/>
      <c r="B3223" s="3" t="s">
        <v>9</v>
      </c>
      <c r="C3223" s="23" t="s">
        <v>70</v>
      </c>
      <c r="D3223" s="21"/>
    </row>
    <row r="3224" spans="1:4" ht="12.75" customHeight="1" x14ac:dyDescent="0.2">
      <c r="A3224" s="21"/>
      <c r="B3224" s="3" t="s">
        <v>11</v>
      </c>
      <c r="C3224" s="23" t="s">
        <v>182</v>
      </c>
      <c r="D3224" s="21"/>
    </row>
    <row r="3225" spans="1:4" ht="12.75" customHeight="1" x14ac:dyDescent="0.2">
      <c r="A3225" s="21"/>
      <c r="B3225" s="3" t="s">
        <v>16</v>
      </c>
      <c r="C3225" s="23"/>
      <c r="D3225" s="21"/>
    </row>
    <row r="3226" spans="1:4" ht="12.75" customHeight="1" x14ac:dyDescent="0.2">
      <c r="A3226" s="21"/>
      <c r="B3226" s="3" t="s">
        <v>17</v>
      </c>
      <c r="C3226" s="23" t="s">
        <v>19</v>
      </c>
      <c r="D3226" s="21"/>
    </row>
    <row r="3227" spans="1:4" ht="12.75" customHeight="1" x14ac:dyDescent="0.2">
      <c r="A3227" s="21"/>
      <c r="B3227" s="20" t="s">
        <v>18</v>
      </c>
      <c r="C3227" s="8" t="s">
        <v>44</v>
      </c>
      <c r="D3227" s="1" t="str">
        <f>HYPERLINK("javascript:void(0)","plazmasisak")</f>
        <v>plazmasisak</v>
      </c>
    </row>
    <row r="3228" spans="1:4" ht="12.75" customHeight="1" x14ac:dyDescent="0.2">
      <c r="A3228" s="21"/>
      <c r="B3228" s="21"/>
      <c r="C3228" s="8" t="s">
        <v>130</v>
      </c>
      <c r="D3228" s="1" t="str">
        <f>HYPERLINK("javascript:void(0)","gigaköröm")</f>
        <v>gigaköröm</v>
      </c>
    </row>
    <row r="3229" spans="1:4" ht="12.75" customHeight="1" x14ac:dyDescent="0.2">
      <c r="A3229" s="21"/>
      <c r="B3229" s="21"/>
      <c r="C3229" s="8" t="s">
        <v>193</v>
      </c>
      <c r="D3229" s="1" t="str">
        <f>HYPERLINK("javascript:void(0)","varázsige")</f>
        <v>varázsige</v>
      </c>
    </row>
    <row r="3230" spans="1:4" ht="12.75" customHeight="1" x14ac:dyDescent="0.2">
      <c r="A3230" s="21"/>
      <c r="B3230" s="2"/>
      <c r="C3230" s="7"/>
      <c r="D3230" s="7"/>
    </row>
    <row r="3231" spans="1:4" ht="12.75" customHeight="1" x14ac:dyDescent="0.2">
      <c r="A3231" s="21"/>
      <c r="B3231" s="2"/>
      <c r="C3231" s="7"/>
      <c r="D3231" s="7"/>
    </row>
    <row r="3232" spans="1:4" ht="12.75" customHeight="1" x14ac:dyDescent="0.2">
      <c r="A3232" s="21"/>
      <c r="B3232" s="2"/>
      <c r="C3232" s="7"/>
      <c r="D3232" s="7"/>
    </row>
    <row r="3233" spans="1:4" ht="12.75" customHeight="1" x14ac:dyDescent="0.2">
      <c r="A3233" s="21"/>
      <c r="B3233" s="2"/>
      <c r="C3233" s="7"/>
      <c r="D3233" s="7"/>
    </row>
    <row r="3234" spans="1:4" ht="12.75" customHeight="1" x14ac:dyDescent="0.2">
      <c r="A3234" s="5"/>
      <c r="B3234" s="2"/>
      <c r="C3234" s="7"/>
      <c r="D3234" s="7"/>
    </row>
    <row r="3235" spans="1:4" ht="12.75" customHeight="1" x14ac:dyDescent="0.2">
      <c r="A3235" s="22" t="str">
        <f>HYPERLINK("javascript:void(0)","óriásacél pajzs")</f>
        <v>óriásacél pajzs</v>
      </c>
      <c r="B3235" s="21"/>
      <c r="C3235" s="21"/>
      <c r="D3235" s="21"/>
    </row>
    <row r="3236" spans="1:4" ht="12.75" customHeight="1" x14ac:dyDescent="0.2">
      <c r="A3236" s="20"/>
      <c r="B3236" s="2"/>
      <c r="C3236" s="7"/>
      <c r="D3236" s="7"/>
    </row>
    <row r="3237" spans="1:4" ht="12.75" customHeight="1" x14ac:dyDescent="0.2">
      <c r="A3237" s="21"/>
      <c r="B3237" s="3" t="s">
        <v>0</v>
      </c>
      <c r="C3237" s="23" t="s">
        <v>107</v>
      </c>
      <c r="D3237" s="21"/>
    </row>
    <row r="3238" spans="1:4" ht="12.75" customHeight="1" x14ac:dyDescent="0.2">
      <c r="A3238" s="21"/>
      <c r="B3238" s="3" t="s">
        <v>2</v>
      </c>
      <c r="C3238" s="23" t="s">
        <v>1839</v>
      </c>
      <c r="D3238" s="21"/>
    </row>
    <row r="3239" spans="1:4" ht="12.75" customHeight="1" x14ac:dyDescent="0.2">
      <c r="A3239" s="21"/>
      <c r="B3239" s="3" t="s">
        <v>1840</v>
      </c>
      <c r="C3239" s="23" t="s">
        <v>248</v>
      </c>
      <c r="D3239" s="21"/>
    </row>
    <row r="3240" spans="1:4" ht="12.75" customHeight="1" x14ac:dyDescent="0.2">
      <c r="A3240" s="21"/>
      <c r="B3240" s="3" t="s">
        <v>9</v>
      </c>
      <c r="C3240" s="23" t="s">
        <v>249</v>
      </c>
      <c r="D3240" s="21"/>
    </row>
    <row r="3241" spans="1:4" ht="12.75" customHeight="1" x14ac:dyDescent="0.2">
      <c r="A3241" s="21"/>
      <c r="B3241" s="3" t="s">
        <v>11</v>
      </c>
      <c r="C3241" s="23" t="s">
        <v>289</v>
      </c>
      <c r="D3241" s="21"/>
    </row>
    <row r="3242" spans="1:4" ht="12.75" customHeight="1" x14ac:dyDescent="0.2">
      <c r="A3242" s="21"/>
      <c r="B3242" s="3" t="s">
        <v>16</v>
      </c>
      <c r="C3242" s="23"/>
      <c r="D3242" s="21"/>
    </row>
    <row r="3243" spans="1:4" ht="12.75" customHeight="1" x14ac:dyDescent="0.2">
      <c r="A3243" s="21"/>
      <c r="B3243" s="3" t="s">
        <v>17</v>
      </c>
      <c r="C3243" s="23" t="s">
        <v>19</v>
      </c>
      <c r="D3243" s="21"/>
    </row>
    <row r="3244" spans="1:4" ht="12.75" customHeight="1" x14ac:dyDescent="0.2">
      <c r="A3244" s="21"/>
      <c r="B3244" s="20" t="s">
        <v>18</v>
      </c>
      <c r="C3244" s="8" t="s">
        <v>44</v>
      </c>
      <c r="D3244" s="1" t="str">
        <f>HYPERLINK("javascript:void(0)","elfacél pajzs")</f>
        <v>elfacél pajzs</v>
      </c>
    </row>
    <row r="3245" spans="1:4" ht="12.75" customHeight="1" x14ac:dyDescent="0.2">
      <c r="A3245" s="21"/>
      <c r="B3245" s="21"/>
      <c r="C3245" s="8" t="s">
        <v>77</v>
      </c>
      <c r="D3245" s="1" t="str">
        <f>HYPERLINK("javascript:void(0)","légzsák")</f>
        <v>légzsák</v>
      </c>
    </row>
    <row r="3246" spans="1:4" ht="12.75" customHeight="1" x14ac:dyDescent="0.2">
      <c r="A3246" s="21"/>
      <c r="B3246" s="21"/>
      <c r="C3246" s="8" t="s">
        <v>67</v>
      </c>
      <c r="D3246" s="1" t="str">
        <f>HYPERLINK("javascript:void(0)","undormány")</f>
        <v>undormány</v>
      </c>
    </row>
    <row r="3247" spans="1:4" ht="12.75" customHeight="1" x14ac:dyDescent="0.2">
      <c r="A3247" s="21"/>
      <c r="B3247" s="2"/>
      <c r="C3247" s="7"/>
      <c r="D3247" s="7"/>
    </row>
    <row r="3248" spans="1:4" ht="12.75" customHeight="1" x14ac:dyDescent="0.2">
      <c r="A3248" s="21"/>
      <c r="B3248" s="2"/>
      <c r="C3248" s="7"/>
      <c r="D3248" s="7"/>
    </row>
    <row r="3249" spans="1:4" ht="12.75" customHeight="1" x14ac:dyDescent="0.2">
      <c r="A3249" s="21"/>
      <c r="B3249" s="2"/>
      <c r="C3249" s="7"/>
      <c r="D3249" s="7"/>
    </row>
    <row r="3250" spans="1:4" ht="12.75" customHeight="1" x14ac:dyDescent="0.2">
      <c r="A3250" s="21"/>
      <c r="B3250" s="2"/>
      <c r="C3250" s="7"/>
      <c r="D3250" s="7"/>
    </row>
    <row r="3251" spans="1:4" ht="12.75" customHeight="1" x14ac:dyDescent="0.2">
      <c r="A3251" s="5"/>
      <c r="B3251" s="2"/>
      <c r="C3251" s="7"/>
      <c r="D3251" s="7"/>
    </row>
    <row r="3252" spans="1:4" ht="12.75" customHeight="1" x14ac:dyDescent="0.2">
      <c r="A3252" s="22" t="str">
        <f>HYPERLINK("javascript:void(0)","rubin pillepajzs")</f>
        <v>rubin pillepajzs</v>
      </c>
      <c r="B3252" s="21"/>
      <c r="C3252" s="21"/>
      <c r="D3252" s="21"/>
    </row>
    <row r="3253" spans="1:4" ht="12.75" customHeight="1" x14ac:dyDescent="0.2">
      <c r="A3253" s="20"/>
      <c r="B3253" s="2"/>
      <c r="C3253" s="7"/>
      <c r="D3253" s="7"/>
    </row>
    <row r="3254" spans="1:4" ht="12.75" customHeight="1" x14ac:dyDescent="0.2">
      <c r="A3254" s="21"/>
      <c r="B3254" s="3" t="s">
        <v>0</v>
      </c>
      <c r="C3254" s="23" t="s">
        <v>107</v>
      </c>
      <c r="D3254" s="21"/>
    </row>
    <row r="3255" spans="1:4" ht="12.75" customHeight="1" x14ac:dyDescent="0.2">
      <c r="A3255" s="21"/>
      <c r="B3255" s="3" t="s">
        <v>2</v>
      </c>
      <c r="C3255" s="23" t="s">
        <v>1839</v>
      </c>
      <c r="D3255" s="21"/>
    </row>
    <row r="3256" spans="1:4" ht="12.75" customHeight="1" x14ac:dyDescent="0.2">
      <c r="A3256" s="21"/>
      <c r="B3256" s="3" t="s">
        <v>1840</v>
      </c>
      <c r="C3256" s="23" t="s">
        <v>248</v>
      </c>
      <c r="D3256" s="21"/>
    </row>
    <row r="3257" spans="1:4" ht="12.75" customHeight="1" x14ac:dyDescent="0.2">
      <c r="A3257" s="21"/>
      <c r="B3257" s="3" t="s">
        <v>9</v>
      </c>
      <c r="C3257" s="23" t="s">
        <v>1096</v>
      </c>
      <c r="D3257" s="21"/>
    </row>
    <row r="3258" spans="1:4" ht="12.75" customHeight="1" x14ac:dyDescent="0.2">
      <c r="A3258" s="21"/>
      <c r="B3258" s="3" t="s">
        <v>11</v>
      </c>
      <c r="C3258" s="23" t="s">
        <v>307</v>
      </c>
      <c r="D3258" s="21"/>
    </row>
    <row r="3259" spans="1:4" ht="12.75" customHeight="1" x14ac:dyDescent="0.2">
      <c r="A3259" s="21"/>
      <c r="B3259" s="3" t="s">
        <v>16</v>
      </c>
      <c r="C3259" s="23"/>
      <c r="D3259" s="21"/>
    </row>
    <row r="3260" spans="1:4" ht="12.75" customHeight="1" x14ac:dyDescent="0.2">
      <c r="A3260" s="21"/>
      <c r="B3260" s="3" t="s">
        <v>17</v>
      </c>
      <c r="C3260" s="23" t="s">
        <v>19</v>
      </c>
      <c r="D3260" s="21"/>
    </row>
    <row r="3261" spans="1:4" ht="12.75" customHeight="1" x14ac:dyDescent="0.2">
      <c r="A3261" s="21"/>
      <c r="B3261" s="20" t="s">
        <v>18</v>
      </c>
      <c r="C3261" s="8" t="s">
        <v>44</v>
      </c>
      <c r="D3261" s="1" t="str">
        <f>HYPERLINK("javascript:void(0)","óriásacél pajzs")</f>
        <v>óriásacél pajzs</v>
      </c>
    </row>
    <row r="3262" spans="1:4" ht="12.75" customHeight="1" x14ac:dyDescent="0.2">
      <c r="A3262" s="21"/>
      <c r="B3262" s="21"/>
      <c r="C3262" s="8" t="s">
        <v>130</v>
      </c>
      <c r="D3262" s="1" t="str">
        <f>HYPERLINK("javascript:void(0)","rubin")</f>
        <v>rubin</v>
      </c>
    </row>
    <row r="3263" spans="1:4" ht="12.75" customHeight="1" x14ac:dyDescent="0.2">
      <c r="A3263" s="21"/>
      <c r="B3263" s="21"/>
      <c r="C3263" s="8" t="s">
        <v>117</v>
      </c>
      <c r="D3263" s="1" t="str">
        <f>HYPERLINK("javascript:void(0)","mágusköpeny")</f>
        <v>mágusköpeny</v>
      </c>
    </row>
    <row r="3264" spans="1:4" ht="12.75" customHeight="1" x14ac:dyDescent="0.2">
      <c r="A3264" s="21"/>
      <c r="B3264" s="2"/>
      <c r="C3264" s="7"/>
      <c r="D3264" s="7"/>
    </row>
    <row r="3265" spans="1:4" ht="12.75" customHeight="1" x14ac:dyDescent="0.2">
      <c r="A3265" s="21"/>
      <c r="B3265" s="2"/>
      <c r="C3265" s="7"/>
      <c r="D3265" s="7"/>
    </row>
    <row r="3266" spans="1:4" ht="12.75" customHeight="1" x14ac:dyDescent="0.2">
      <c r="A3266" s="21"/>
      <c r="B3266" s="2"/>
      <c r="C3266" s="7"/>
      <c r="D3266" s="7"/>
    </row>
    <row r="3267" spans="1:4" ht="12.75" customHeight="1" x14ac:dyDescent="0.2">
      <c r="A3267" s="21"/>
      <c r="B3267" s="2"/>
      <c r="C3267" s="7"/>
      <c r="D3267" s="7"/>
    </row>
    <row r="3268" spans="1:4" ht="12.75" customHeight="1" x14ac:dyDescent="0.2">
      <c r="A3268" s="5"/>
      <c r="B3268" s="2"/>
      <c r="C3268" s="7"/>
      <c r="D3268" s="7"/>
    </row>
    <row r="3269" spans="1:4" ht="12.75" customHeight="1" x14ac:dyDescent="0.2">
      <c r="A3269" s="22" t="str">
        <f>HYPERLINK("javascript:void(0)","gyíkacél mellény")</f>
        <v>gyíkacél mellény</v>
      </c>
      <c r="B3269" s="21"/>
      <c r="C3269" s="21"/>
      <c r="D3269" s="21"/>
    </row>
    <row r="3270" spans="1:4" ht="12.75" customHeight="1" x14ac:dyDescent="0.2">
      <c r="A3270" s="20"/>
      <c r="B3270" s="2"/>
      <c r="C3270" s="7"/>
      <c r="D3270" s="7"/>
    </row>
    <row r="3271" spans="1:4" ht="12.75" customHeight="1" x14ac:dyDescent="0.2">
      <c r="A3271" s="21"/>
      <c r="B3271" s="3" t="s">
        <v>0</v>
      </c>
      <c r="C3271" s="23" t="s">
        <v>107</v>
      </c>
      <c r="D3271" s="21"/>
    </row>
    <row r="3272" spans="1:4" ht="12.75" customHeight="1" x14ac:dyDescent="0.2">
      <c r="A3272" s="21"/>
      <c r="B3272" s="3" t="s">
        <v>2</v>
      </c>
      <c r="C3272" s="23" t="s">
        <v>2322</v>
      </c>
      <c r="D3272" s="21"/>
    </row>
    <row r="3273" spans="1:4" ht="12.75" customHeight="1" x14ac:dyDescent="0.2">
      <c r="A3273" s="21"/>
      <c r="B3273" s="3" t="s">
        <v>1840</v>
      </c>
      <c r="C3273" s="23" t="s">
        <v>719</v>
      </c>
      <c r="D3273" s="21"/>
    </row>
    <row r="3274" spans="1:4" ht="12.75" customHeight="1" x14ac:dyDescent="0.2">
      <c r="A3274" s="21"/>
      <c r="B3274" s="3" t="s">
        <v>9</v>
      </c>
      <c r="C3274" s="23" t="s">
        <v>198</v>
      </c>
      <c r="D3274" s="21"/>
    </row>
    <row r="3275" spans="1:4" ht="12.75" customHeight="1" x14ac:dyDescent="0.2">
      <c r="A3275" s="21"/>
      <c r="B3275" s="3" t="s">
        <v>11</v>
      </c>
      <c r="C3275" s="23" t="s">
        <v>279</v>
      </c>
      <c r="D3275" s="21"/>
    </row>
    <row r="3276" spans="1:4" ht="12.75" customHeight="1" x14ac:dyDescent="0.2">
      <c r="A3276" s="21"/>
      <c r="B3276" s="3" t="s">
        <v>16</v>
      </c>
      <c r="C3276" s="23"/>
      <c r="D3276" s="21"/>
    </row>
    <row r="3277" spans="1:4" ht="12.75" customHeight="1" x14ac:dyDescent="0.2">
      <c r="A3277" s="21"/>
      <c r="B3277" s="3" t="s">
        <v>17</v>
      </c>
      <c r="C3277" s="23" t="s">
        <v>19</v>
      </c>
      <c r="D3277" s="21"/>
    </row>
    <row r="3278" spans="1:4" ht="12.75" customHeight="1" x14ac:dyDescent="0.2">
      <c r="A3278" s="21"/>
      <c r="B3278" s="20" t="s">
        <v>18</v>
      </c>
      <c r="C3278" s="8" t="s">
        <v>280</v>
      </c>
      <c r="D3278" s="1" t="str">
        <f>HYPERLINK("javascript:void(0)","szent szimbólum")</f>
        <v>szent szimbólum</v>
      </c>
    </row>
    <row r="3279" spans="1:4" ht="12.75" customHeight="1" x14ac:dyDescent="0.2">
      <c r="A3279" s="21"/>
      <c r="B3279" s="21"/>
      <c r="C3279" s="8" t="s">
        <v>280</v>
      </c>
      <c r="D3279" s="1" t="str">
        <f>HYPERLINK("javascript:void(0)","portgyűrű")</f>
        <v>portgyűrű</v>
      </c>
    </row>
    <row r="3280" spans="1:4" ht="12.75" customHeight="1" x14ac:dyDescent="0.2">
      <c r="A3280" s="21"/>
      <c r="B3280" s="21"/>
      <c r="C3280" s="8" t="s">
        <v>1379</v>
      </c>
      <c r="D3280" s="1" t="str">
        <f>HYPERLINK("javascript:void(0)","goblinbatka")</f>
        <v>goblinbatka</v>
      </c>
    </row>
    <row r="3281" spans="1:4" ht="12.75" customHeight="1" x14ac:dyDescent="0.2">
      <c r="A3281" s="21"/>
      <c r="B3281" s="2"/>
      <c r="C3281" s="7"/>
      <c r="D3281" s="7"/>
    </row>
    <row r="3282" spans="1:4" ht="12.75" customHeight="1" x14ac:dyDescent="0.2">
      <c r="A3282" s="21"/>
      <c r="B3282" s="2"/>
      <c r="C3282" s="7"/>
      <c r="D3282" s="7"/>
    </row>
    <row r="3283" spans="1:4" ht="12.75" customHeight="1" x14ac:dyDescent="0.2">
      <c r="A3283" s="21"/>
      <c r="B3283" s="2"/>
      <c r="C3283" s="7"/>
      <c r="D3283" s="7"/>
    </row>
    <row r="3284" spans="1:4" ht="12.75" customHeight="1" x14ac:dyDescent="0.2">
      <c r="A3284" s="21"/>
      <c r="B3284" s="2"/>
      <c r="C3284" s="7"/>
      <c r="D3284" s="7"/>
    </row>
    <row r="3285" spans="1:4" ht="12.75" customHeight="1" x14ac:dyDescent="0.2">
      <c r="A3285" s="5"/>
      <c r="B3285" s="2"/>
      <c r="C3285" s="7"/>
      <c r="D3285" s="7"/>
    </row>
    <row r="3286" spans="1:4" ht="12.75" customHeight="1" x14ac:dyDescent="0.2">
      <c r="A3286" s="22" t="str">
        <f>HYPERLINK("javascript:void(0)","kis csillámpajzs")</f>
        <v>kis csillámpajzs</v>
      </c>
      <c r="B3286" s="21"/>
      <c r="C3286" s="21"/>
      <c r="D3286" s="21"/>
    </row>
    <row r="3287" spans="1:4" ht="12.75" customHeight="1" x14ac:dyDescent="0.2">
      <c r="A3287" s="20"/>
      <c r="B3287" s="2"/>
      <c r="C3287" s="7"/>
      <c r="D3287" s="7"/>
    </row>
    <row r="3288" spans="1:4" ht="12.75" customHeight="1" x14ac:dyDescent="0.2">
      <c r="A3288" s="21"/>
      <c r="B3288" s="3" t="s">
        <v>0</v>
      </c>
      <c r="C3288" s="23" t="s">
        <v>107</v>
      </c>
      <c r="D3288" s="21"/>
    </row>
    <row r="3289" spans="1:4" ht="12.75" customHeight="1" x14ac:dyDescent="0.2">
      <c r="A3289" s="21"/>
      <c r="B3289" s="3" t="s">
        <v>2</v>
      </c>
      <c r="C3289" s="23" t="s">
        <v>1839</v>
      </c>
      <c r="D3289" s="21"/>
    </row>
    <row r="3290" spans="1:4" ht="12.75" customHeight="1" x14ac:dyDescent="0.2">
      <c r="A3290" s="21"/>
      <c r="B3290" s="3" t="s">
        <v>1840</v>
      </c>
      <c r="C3290" s="23" t="s">
        <v>690</v>
      </c>
      <c r="D3290" s="21"/>
    </row>
    <row r="3291" spans="1:4" ht="12.75" customHeight="1" x14ac:dyDescent="0.2">
      <c r="A3291" s="21"/>
      <c r="B3291" s="3" t="s">
        <v>9</v>
      </c>
      <c r="C3291" s="23" t="s">
        <v>2020</v>
      </c>
      <c r="D3291" s="21"/>
    </row>
    <row r="3292" spans="1:4" ht="12.75" customHeight="1" x14ac:dyDescent="0.2">
      <c r="A3292" s="21"/>
      <c r="B3292" s="3" t="s">
        <v>11</v>
      </c>
      <c r="C3292" s="23" t="s">
        <v>289</v>
      </c>
      <c r="D3292" s="21"/>
    </row>
    <row r="3293" spans="1:4" ht="12.75" customHeight="1" x14ac:dyDescent="0.2">
      <c r="A3293" s="21"/>
      <c r="B3293" s="3" t="s">
        <v>16</v>
      </c>
      <c r="C3293" s="23"/>
      <c r="D3293" s="21"/>
    </row>
    <row r="3294" spans="1:4" ht="12.75" customHeight="1" x14ac:dyDescent="0.2">
      <c r="A3294" s="21"/>
      <c r="B3294" s="3" t="s">
        <v>17</v>
      </c>
      <c r="C3294" s="23" t="s">
        <v>19</v>
      </c>
      <c r="D3294" s="21"/>
    </row>
    <row r="3295" spans="1:4" ht="12.75" customHeight="1" x14ac:dyDescent="0.2">
      <c r="A3295" s="21"/>
      <c r="B3295" s="20" t="s">
        <v>18</v>
      </c>
      <c r="C3295" s="8" t="s">
        <v>44</v>
      </c>
      <c r="D3295" s="1" t="str">
        <f>HYPERLINK("javascript:void(0)","lávapajzs")</f>
        <v>lávapajzs</v>
      </c>
    </row>
    <row r="3296" spans="1:4" ht="12.75" customHeight="1" x14ac:dyDescent="0.2">
      <c r="A3296" s="21"/>
      <c r="B3296" s="21"/>
      <c r="C3296" s="8" t="s">
        <v>57</v>
      </c>
      <c r="D3296" s="1" t="str">
        <f>HYPERLINK("javascript:void(0)","csillámgöb")</f>
        <v>csillámgöb</v>
      </c>
    </row>
    <row r="3297" spans="1:4" ht="12.75" customHeight="1" x14ac:dyDescent="0.2">
      <c r="A3297" s="21"/>
      <c r="B3297" s="21"/>
      <c r="C3297" s="8" t="s">
        <v>44</v>
      </c>
      <c r="D3297" s="1" t="str">
        <f>HYPERLINK("javascript:void(0)","nappajzs")</f>
        <v>nappajzs</v>
      </c>
    </row>
    <row r="3298" spans="1:4" ht="12.75" customHeight="1" x14ac:dyDescent="0.2">
      <c r="A3298" s="21"/>
      <c r="B3298" s="2"/>
      <c r="C3298" s="7"/>
      <c r="D3298" s="7"/>
    </row>
    <row r="3299" spans="1:4" ht="12.75" customHeight="1" x14ac:dyDescent="0.2">
      <c r="A3299" s="21"/>
      <c r="B3299" s="2"/>
      <c r="C3299" s="7"/>
      <c r="D3299" s="7"/>
    </row>
    <row r="3300" spans="1:4" ht="12.75" customHeight="1" x14ac:dyDescent="0.2">
      <c r="A3300" s="21"/>
      <c r="B3300" s="2"/>
      <c r="C3300" s="7"/>
      <c r="D3300" s="7"/>
    </row>
    <row r="3301" spans="1:4" ht="12.75" customHeight="1" x14ac:dyDescent="0.2">
      <c r="A3301" s="21"/>
      <c r="B3301" s="2"/>
      <c r="C3301" s="7"/>
      <c r="D3301" s="7"/>
    </row>
    <row r="3302" spans="1:4" ht="12.75" customHeight="1" x14ac:dyDescent="0.2">
      <c r="A3302" s="5"/>
      <c r="B3302" s="2"/>
      <c r="C3302" s="7"/>
      <c r="D3302" s="7"/>
    </row>
    <row r="3303" spans="1:4" ht="12.75" customHeight="1" x14ac:dyDescent="0.2">
      <c r="A3303" s="22" t="str">
        <f>HYPERLINK("javascript:void(0)","könnyű csillámköpeny")</f>
        <v>könnyű csillámköpeny</v>
      </c>
      <c r="B3303" s="21"/>
      <c r="C3303" s="21"/>
      <c r="D3303" s="21"/>
    </row>
    <row r="3304" spans="1:4" ht="12.75" customHeight="1" x14ac:dyDescent="0.2">
      <c r="A3304" s="20"/>
      <c r="B3304" s="2"/>
      <c r="C3304" s="7"/>
      <c r="D3304" s="7"/>
    </row>
    <row r="3305" spans="1:4" ht="12.75" customHeight="1" x14ac:dyDescent="0.2">
      <c r="A3305" s="21"/>
      <c r="B3305" s="3" t="s">
        <v>0</v>
      </c>
      <c r="C3305" s="23" t="s">
        <v>107</v>
      </c>
      <c r="D3305" s="21"/>
    </row>
    <row r="3306" spans="1:4" ht="12.75" customHeight="1" x14ac:dyDescent="0.2">
      <c r="A3306" s="21"/>
      <c r="B3306" s="3" t="s">
        <v>2</v>
      </c>
      <c r="C3306" s="23" t="s">
        <v>2322</v>
      </c>
      <c r="D3306" s="21"/>
    </row>
    <row r="3307" spans="1:4" ht="12.75" customHeight="1" x14ac:dyDescent="0.2">
      <c r="A3307" s="21"/>
      <c r="B3307" s="3" t="s">
        <v>1840</v>
      </c>
      <c r="C3307" s="23" t="s">
        <v>937</v>
      </c>
      <c r="D3307" s="21"/>
    </row>
    <row r="3308" spans="1:4" ht="12.75" customHeight="1" x14ac:dyDescent="0.2">
      <c r="A3308" s="21"/>
      <c r="B3308" s="3" t="s">
        <v>9</v>
      </c>
      <c r="C3308" s="23" t="s">
        <v>2354</v>
      </c>
      <c r="D3308" s="21"/>
    </row>
    <row r="3309" spans="1:4" ht="12.75" customHeight="1" x14ac:dyDescent="0.2">
      <c r="A3309" s="21"/>
      <c r="B3309" s="3" t="s">
        <v>11</v>
      </c>
      <c r="C3309" s="23" t="s">
        <v>289</v>
      </c>
      <c r="D3309" s="21"/>
    </row>
    <row r="3310" spans="1:4" ht="12.75" customHeight="1" x14ac:dyDescent="0.2">
      <c r="A3310" s="21"/>
      <c r="B3310" s="3" t="s">
        <v>16</v>
      </c>
      <c r="C3310" s="23"/>
      <c r="D3310" s="21"/>
    </row>
    <row r="3311" spans="1:4" ht="12.75" customHeight="1" x14ac:dyDescent="0.2">
      <c r="A3311" s="21"/>
      <c r="B3311" s="3" t="s">
        <v>17</v>
      </c>
      <c r="C3311" s="23" t="s">
        <v>19</v>
      </c>
      <c r="D3311" s="21"/>
    </row>
    <row r="3312" spans="1:4" ht="12.75" customHeight="1" x14ac:dyDescent="0.2">
      <c r="A3312" s="21"/>
      <c r="B3312" s="20" t="s">
        <v>18</v>
      </c>
      <c r="C3312" s="8" t="s">
        <v>139</v>
      </c>
      <c r="D3312" s="1" t="str">
        <f>HYPERLINK("javascript:void(0)","sárkányálló suba")</f>
        <v>sárkányálló suba</v>
      </c>
    </row>
    <row r="3313" spans="1:4" ht="12.75" customHeight="1" x14ac:dyDescent="0.2">
      <c r="A3313" s="21"/>
      <c r="B3313" s="21"/>
      <c r="C3313" s="8" t="s">
        <v>57</v>
      </c>
      <c r="D3313" s="1" t="str">
        <f>HYPERLINK("javascript:void(0)","csillámgöb")</f>
        <v>csillámgöb</v>
      </c>
    </row>
    <row r="3314" spans="1:4" ht="12.75" customHeight="1" x14ac:dyDescent="0.2">
      <c r="A3314" s="21"/>
      <c r="B3314" s="21"/>
      <c r="C3314" s="8" t="s">
        <v>44</v>
      </c>
      <c r="D3314" s="1" t="str">
        <f>HYPERLINK("javascript:void(0)","ezüstpáncél")</f>
        <v>ezüstpáncél</v>
      </c>
    </row>
    <row r="3315" spans="1:4" ht="12.75" customHeight="1" x14ac:dyDescent="0.2">
      <c r="A3315" s="21"/>
      <c r="B3315" s="2"/>
      <c r="C3315" s="7"/>
      <c r="D3315" s="7"/>
    </row>
    <row r="3316" spans="1:4" ht="12.75" customHeight="1" x14ac:dyDescent="0.2">
      <c r="A3316" s="21"/>
      <c r="B3316" s="2"/>
      <c r="C3316" s="7"/>
      <c r="D3316" s="7"/>
    </row>
    <row r="3317" spans="1:4" ht="12.75" customHeight="1" x14ac:dyDescent="0.2">
      <c r="A3317" s="21"/>
      <c r="B3317" s="2"/>
      <c r="C3317" s="7"/>
      <c r="D3317" s="7"/>
    </row>
    <row r="3318" spans="1:4" ht="12.75" customHeight="1" x14ac:dyDescent="0.2">
      <c r="A3318" s="21"/>
      <c r="B3318" s="2"/>
      <c r="C3318" s="7"/>
      <c r="D3318" s="7"/>
    </row>
    <row r="3319" spans="1:4" ht="12.75" customHeight="1" x14ac:dyDescent="0.2">
      <c r="A3319" s="5"/>
      <c r="B3319" s="2"/>
      <c r="C3319" s="7"/>
      <c r="D3319" s="7"/>
    </row>
    <row r="3320" spans="1:4" ht="12.75" customHeight="1" x14ac:dyDescent="0.2">
      <c r="A3320" s="22" t="str">
        <f>HYPERLINK("javascript:void(0)","csillámcipő")</f>
        <v>csillámcipő</v>
      </c>
      <c r="B3320" s="21"/>
      <c r="C3320" s="21"/>
      <c r="D3320" s="21"/>
    </row>
    <row r="3321" spans="1:4" ht="12.75" customHeight="1" x14ac:dyDescent="0.2">
      <c r="A3321" s="20"/>
      <c r="B3321" s="2"/>
      <c r="C3321" s="7"/>
      <c r="D3321" s="7"/>
    </row>
    <row r="3322" spans="1:4" ht="12.75" customHeight="1" x14ac:dyDescent="0.2">
      <c r="A3322" s="21"/>
      <c r="B3322" s="3" t="s">
        <v>0</v>
      </c>
      <c r="C3322" s="23" t="s">
        <v>107</v>
      </c>
      <c r="D3322" s="21"/>
    </row>
    <row r="3323" spans="1:4" ht="12.75" customHeight="1" x14ac:dyDescent="0.2">
      <c r="A3323" s="21"/>
      <c r="B3323" s="3" t="s">
        <v>2</v>
      </c>
      <c r="C3323" s="23"/>
      <c r="D3323" s="21"/>
    </row>
    <row r="3324" spans="1:4" ht="12.75" customHeight="1" x14ac:dyDescent="0.2">
      <c r="A3324" s="21"/>
      <c r="B3324" s="3" t="s">
        <v>1840</v>
      </c>
      <c r="C3324" s="23" t="s">
        <v>134</v>
      </c>
      <c r="D3324" s="21"/>
    </row>
    <row r="3325" spans="1:4" ht="12.75" customHeight="1" x14ac:dyDescent="0.2">
      <c r="A3325" s="21"/>
      <c r="B3325" s="3" t="s">
        <v>9</v>
      </c>
      <c r="C3325" s="23" t="s">
        <v>93</v>
      </c>
      <c r="D3325" s="21"/>
    </row>
    <row r="3326" spans="1:4" ht="12.75" customHeight="1" x14ac:dyDescent="0.2">
      <c r="A3326" s="21"/>
      <c r="B3326" s="3" t="s">
        <v>11</v>
      </c>
      <c r="C3326" s="23" t="s">
        <v>289</v>
      </c>
      <c r="D3326" s="21"/>
    </row>
    <row r="3327" spans="1:4" ht="12.75" customHeight="1" x14ac:dyDescent="0.2">
      <c r="A3327" s="21"/>
      <c r="B3327" s="3" t="s">
        <v>16</v>
      </c>
      <c r="C3327" s="23"/>
      <c r="D3327" s="21"/>
    </row>
    <row r="3328" spans="1:4" ht="12.75" customHeight="1" x14ac:dyDescent="0.2">
      <c r="A3328" s="21"/>
      <c r="B3328" s="3" t="s">
        <v>17</v>
      </c>
      <c r="C3328" s="23" t="s">
        <v>19</v>
      </c>
      <c r="D3328" s="21"/>
    </row>
    <row r="3329" spans="1:4" ht="12.75" customHeight="1" x14ac:dyDescent="0.2">
      <c r="A3329" s="21"/>
      <c r="B3329" s="20" t="s">
        <v>18</v>
      </c>
      <c r="C3329" s="8" t="s">
        <v>98</v>
      </c>
      <c r="D3329" s="1" t="str">
        <f>HYPERLINK("javascript:void(0)","ezüstcsizma")</f>
        <v>ezüstcsizma</v>
      </c>
    </row>
    <row r="3330" spans="1:4" ht="12.75" customHeight="1" x14ac:dyDescent="0.2">
      <c r="A3330" s="21"/>
      <c r="B3330" s="21"/>
      <c r="C3330" s="8" t="s">
        <v>57</v>
      </c>
      <c r="D3330" s="1" t="str">
        <f>HYPERLINK("javascript:void(0)","csillámgöb")</f>
        <v>csillámgöb</v>
      </c>
    </row>
    <row r="3331" spans="1:4" ht="12.75" customHeight="1" x14ac:dyDescent="0.2">
      <c r="A3331" s="21"/>
      <c r="B3331" s="21"/>
      <c r="C3331" s="8" t="s">
        <v>139</v>
      </c>
      <c r="D3331" s="1" t="str">
        <f>HYPERLINK("javascript:void(0)","mágusköpeny")</f>
        <v>mágusköpeny</v>
      </c>
    </row>
    <row r="3332" spans="1:4" ht="12.75" customHeight="1" x14ac:dyDescent="0.2">
      <c r="A3332" s="21"/>
      <c r="B3332" s="2"/>
      <c r="C3332" s="7"/>
      <c r="D3332" s="7"/>
    </row>
    <row r="3333" spans="1:4" ht="12.75" customHeight="1" x14ac:dyDescent="0.2">
      <c r="A3333" s="21"/>
      <c r="B3333" s="2"/>
      <c r="C3333" s="7"/>
      <c r="D3333" s="7"/>
    </row>
    <row r="3334" spans="1:4" ht="12.75" customHeight="1" x14ac:dyDescent="0.2">
      <c r="A3334" s="21"/>
      <c r="B3334" s="2"/>
      <c r="C3334" s="7"/>
      <c r="D3334" s="7"/>
    </row>
    <row r="3335" spans="1:4" ht="12.75" customHeight="1" x14ac:dyDescent="0.2">
      <c r="A3335" s="21"/>
      <c r="B3335" s="2"/>
      <c r="C3335" s="7"/>
      <c r="D3335" s="7"/>
    </row>
    <row r="3336" spans="1:4" ht="12.75" customHeight="1" x14ac:dyDescent="0.2">
      <c r="A3336" s="5"/>
      <c r="B3336" s="2"/>
      <c r="C3336" s="7"/>
      <c r="D3336" s="7"/>
    </row>
    <row r="3337" spans="1:4" ht="12.75" customHeight="1" x14ac:dyDescent="0.2">
      <c r="A3337" s="22" t="str">
        <f>HYPERLINK("javascript:void(0)","csillámsipka")</f>
        <v>csillámsipka</v>
      </c>
      <c r="B3337" s="21"/>
      <c r="C3337" s="21"/>
      <c r="D3337" s="21"/>
    </row>
    <row r="3338" spans="1:4" ht="12.75" customHeight="1" x14ac:dyDescent="0.2">
      <c r="A3338" s="20"/>
      <c r="B3338" s="2"/>
      <c r="C3338" s="7"/>
      <c r="D3338" s="7"/>
    </row>
    <row r="3339" spans="1:4" ht="12.75" customHeight="1" x14ac:dyDescent="0.2">
      <c r="A3339" s="21"/>
      <c r="B3339" s="3" t="s">
        <v>0</v>
      </c>
      <c r="C3339" s="23" t="s">
        <v>107</v>
      </c>
      <c r="D3339" s="21"/>
    </row>
    <row r="3340" spans="1:4" ht="12.75" customHeight="1" x14ac:dyDescent="0.2">
      <c r="A3340" s="21"/>
      <c r="B3340" s="3" t="s">
        <v>2</v>
      </c>
      <c r="C3340" s="23"/>
      <c r="D3340" s="21"/>
    </row>
    <row r="3341" spans="1:4" ht="12.75" customHeight="1" x14ac:dyDescent="0.2">
      <c r="A3341" s="21"/>
      <c r="B3341" s="3" t="s">
        <v>1840</v>
      </c>
      <c r="C3341" s="23" t="s">
        <v>575</v>
      </c>
      <c r="D3341" s="21"/>
    </row>
    <row r="3342" spans="1:4" ht="12.75" customHeight="1" x14ac:dyDescent="0.2">
      <c r="A3342" s="21"/>
      <c r="B3342" s="3" t="s">
        <v>9</v>
      </c>
      <c r="C3342" s="23" t="s">
        <v>135</v>
      </c>
      <c r="D3342" s="21"/>
    </row>
    <row r="3343" spans="1:4" ht="12.75" customHeight="1" x14ac:dyDescent="0.2">
      <c r="A3343" s="21"/>
      <c r="B3343" s="3" t="s">
        <v>11</v>
      </c>
      <c r="C3343" s="23" t="s">
        <v>315</v>
      </c>
      <c r="D3343" s="21"/>
    </row>
    <row r="3344" spans="1:4" ht="12.75" customHeight="1" x14ac:dyDescent="0.2">
      <c r="A3344" s="21"/>
      <c r="B3344" s="3" t="s">
        <v>16</v>
      </c>
      <c r="C3344" s="23"/>
      <c r="D3344" s="21"/>
    </row>
    <row r="3345" spans="1:4" ht="12.75" customHeight="1" x14ac:dyDescent="0.2">
      <c r="A3345" s="21"/>
      <c r="B3345" s="3" t="s">
        <v>17</v>
      </c>
      <c r="C3345" s="23" t="s">
        <v>19</v>
      </c>
      <c r="D3345" s="21"/>
    </row>
    <row r="3346" spans="1:4" ht="12.75" customHeight="1" x14ac:dyDescent="0.2">
      <c r="A3346" s="21"/>
      <c r="B3346" s="20" t="s">
        <v>18</v>
      </c>
      <c r="C3346" s="8" t="s">
        <v>44</v>
      </c>
      <c r="D3346" s="1" t="str">
        <f>HYPERLINK("javascript:void(0)","sodrony sisak")</f>
        <v>sodrony sisak</v>
      </c>
    </row>
    <row r="3347" spans="1:4" ht="12.75" customHeight="1" x14ac:dyDescent="0.2">
      <c r="A3347" s="21"/>
      <c r="B3347" s="21"/>
      <c r="C3347" s="8" t="s">
        <v>57</v>
      </c>
      <c r="D3347" s="1" t="str">
        <f>HYPERLINK("javascript:void(0)","csillámgöb")</f>
        <v>csillámgöb</v>
      </c>
    </row>
    <row r="3348" spans="1:4" ht="12.75" customHeight="1" x14ac:dyDescent="0.2">
      <c r="A3348" s="21"/>
      <c r="B3348" s="21"/>
      <c r="C3348" s="8" t="s">
        <v>420</v>
      </c>
      <c r="D3348" s="1" t="str">
        <f>HYPERLINK("javascript:void(0)","unikornisszarv")</f>
        <v>unikornisszarv</v>
      </c>
    </row>
    <row r="3349" spans="1:4" ht="12.75" customHeight="1" x14ac:dyDescent="0.2">
      <c r="A3349" s="21"/>
      <c r="B3349" s="2"/>
      <c r="C3349" s="7"/>
      <c r="D3349" s="7"/>
    </row>
    <row r="3350" spans="1:4" ht="12.75" customHeight="1" x14ac:dyDescent="0.2">
      <c r="A3350" s="21"/>
      <c r="B3350" s="2"/>
      <c r="C3350" s="7"/>
      <c r="D3350" s="7"/>
    </row>
    <row r="3351" spans="1:4" ht="12.75" customHeight="1" x14ac:dyDescent="0.2">
      <c r="A3351" s="21"/>
      <c r="B3351" s="2"/>
      <c r="C3351" s="7"/>
      <c r="D3351" s="7"/>
    </row>
    <row r="3352" spans="1:4" ht="12.75" customHeight="1" x14ac:dyDescent="0.2">
      <c r="A3352" s="21"/>
      <c r="B3352" s="2"/>
      <c r="C3352" s="7"/>
      <c r="D3352" s="7"/>
    </row>
    <row r="3353" spans="1:4" ht="12.75" customHeight="1" x14ac:dyDescent="0.2">
      <c r="A3353" s="5"/>
      <c r="B3353" s="2"/>
      <c r="C3353" s="7"/>
      <c r="D3353" s="7"/>
    </row>
    <row r="3354" spans="1:4" ht="12.75" customHeight="1" x14ac:dyDescent="0.2">
      <c r="A3354" s="22" t="str">
        <f>HYPERLINK("javascript:void(0)","körömcipő")</f>
        <v>körömcipő</v>
      </c>
      <c r="B3354" s="21"/>
      <c r="C3354" s="21"/>
      <c r="D3354" s="21"/>
    </row>
    <row r="3355" spans="1:4" ht="12.75" customHeight="1" x14ac:dyDescent="0.2">
      <c r="A3355" s="20"/>
      <c r="B3355" s="2"/>
      <c r="C3355" s="7"/>
      <c r="D3355" s="7"/>
    </row>
    <row r="3356" spans="1:4" ht="12.75" customHeight="1" x14ac:dyDescent="0.2">
      <c r="A3356" s="21"/>
      <c r="B3356" s="3" t="s">
        <v>0</v>
      </c>
      <c r="C3356" s="23" t="s">
        <v>324</v>
      </c>
      <c r="D3356" s="21"/>
    </row>
    <row r="3357" spans="1:4" ht="12.75" customHeight="1" x14ac:dyDescent="0.2">
      <c r="A3357" s="21"/>
      <c r="B3357" s="3" t="s">
        <v>2</v>
      </c>
      <c r="C3357" s="23"/>
      <c r="D3357" s="21"/>
    </row>
    <row r="3358" spans="1:4" ht="12.75" customHeight="1" x14ac:dyDescent="0.2">
      <c r="A3358" s="21"/>
      <c r="B3358" s="3" t="s">
        <v>1840</v>
      </c>
      <c r="C3358" s="23" t="s">
        <v>47</v>
      </c>
      <c r="D3358" s="21"/>
    </row>
    <row r="3359" spans="1:4" ht="12.75" customHeight="1" x14ac:dyDescent="0.2">
      <c r="A3359" s="21"/>
      <c r="B3359" s="3" t="s">
        <v>9</v>
      </c>
      <c r="C3359" s="23" t="s">
        <v>172</v>
      </c>
      <c r="D3359" s="21"/>
    </row>
    <row r="3360" spans="1:4" ht="12.75" customHeight="1" x14ac:dyDescent="0.2">
      <c r="A3360" s="21"/>
      <c r="B3360" s="3" t="s">
        <v>11</v>
      </c>
      <c r="C3360" s="23" t="s">
        <v>307</v>
      </c>
      <c r="D3360" s="21"/>
    </row>
    <row r="3361" spans="1:4" ht="12.75" customHeight="1" x14ac:dyDescent="0.2">
      <c r="A3361" s="21"/>
      <c r="B3361" s="3" t="s">
        <v>16</v>
      </c>
      <c r="C3361" s="23"/>
      <c r="D3361" s="21"/>
    </row>
    <row r="3362" spans="1:4" ht="12.75" customHeight="1" x14ac:dyDescent="0.2">
      <c r="A3362" s="21"/>
      <c r="B3362" s="3" t="s">
        <v>17</v>
      </c>
      <c r="C3362" s="23" t="s">
        <v>19</v>
      </c>
      <c r="D3362" s="21"/>
    </row>
    <row r="3363" spans="1:4" ht="12.75" customHeight="1" x14ac:dyDescent="0.2">
      <c r="A3363" s="21"/>
      <c r="B3363" s="20" t="s">
        <v>18</v>
      </c>
      <c r="C3363" s="8" t="s">
        <v>44</v>
      </c>
      <c r="D3363" s="1" t="str">
        <f>HYPERLINK("javascript:void(0)","kompocsizma")</f>
        <v>kompocsizma</v>
      </c>
    </row>
    <row r="3364" spans="1:4" ht="12.75" customHeight="1" x14ac:dyDescent="0.2">
      <c r="A3364" s="21"/>
      <c r="B3364" s="21"/>
      <c r="C3364" s="8" t="s">
        <v>130</v>
      </c>
      <c r="D3364" s="1" t="str">
        <f>HYPERLINK("javascript:void(0)","gigaköröm")</f>
        <v>gigaköröm</v>
      </c>
    </row>
    <row r="3365" spans="1:4" ht="12.75" customHeight="1" x14ac:dyDescent="0.2">
      <c r="A3365" s="21"/>
      <c r="B3365" s="21"/>
      <c r="C3365" s="8" t="s">
        <v>139</v>
      </c>
      <c r="D3365" s="1" t="str">
        <f>HYPERLINK("javascript:void(0)","mágusköpeny")</f>
        <v>mágusköpeny</v>
      </c>
    </row>
    <row r="3366" spans="1:4" ht="12.75" customHeight="1" x14ac:dyDescent="0.2">
      <c r="A3366" s="21"/>
      <c r="B3366" s="2"/>
      <c r="C3366" s="7"/>
      <c r="D3366" s="7"/>
    </row>
    <row r="3367" spans="1:4" ht="12.75" customHeight="1" x14ac:dyDescent="0.2">
      <c r="A3367" s="21"/>
      <c r="B3367" s="2"/>
      <c r="C3367" s="7"/>
      <c r="D3367" s="7"/>
    </row>
    <row r="3368" spans="1:4" ht="12.75" customHeight="1" x14ac:dyDescent="0.2">
      <c r="A3368" s="21"/>
      <c r="B3368" s="2"/>
      <c r="C3368" s="7"/>
      <c r="D3368" s="7"/>
    </row>
    <row r="3369" spans="1:4" ht="12.75" customHeight="1" x14ac:dyDescent="0.2">
      <c r="A3369" s="21"/>
      <c r="B3369" s="2"/>
      <c r="C3369" s="7"/>
      <c r="D3369" s="7"/>
    </row>
    <row r="3370" spans="1:4" ht="12.75" customHeight="1" x14ac:dyDescent="0.2">
      <c r="A3370" s="5"/>
      <c r="B3370" s="2"/>
      <c r="C3370" s="7"/>
      <c r="D3370" s="7"/>
    </row>
    <row r="3371" spans="1:4" ht="12.75" customHeight="1" x14ac:dyDescent="0.2">
      <c r="A3371" s="22" t="str">
        <f>HYPERLINK("javascript:void(0)","szélpáncél")</f>
        <v>szélpáncél</v>
      </c>
      <c r="B3371" s="21"/>
      <c r="C3371" s="21"/>
      <c r="D3371" s="21"/>
    </row>
    <row r="3372" spans="1:4" ht="12.75" customHeight="1" x14ac:dyDescent="0.2">
      <c r="A3372" s="20"/>
      <c r="B3372" s="2"/>
      <c r="C3372" s="7"/>
      <c r="D3372" s="7"/>
    </row>
    <row r="3373" spans="1:4" ht="12.75" customHeight="1" x14ac:dyDescent="0.2">
      <c r="A3373" s="21"/>
      <c r="B3373" s="3" t="s">
        <v>0</v>
      </c>
      <c r="C3373" s="23" t="s">
        <v>324</v>
      </c>
      <c r="D3373" s="21"/>
    </row>
    <row r="3374" spans="1:4" ht="12.75" customHeight="1" x14ac:dyDescent="0.2">
      <c r="A3374" s="21"/>
      <c r="B3374" s="3" t="s">
        <v>2</v>
      </c>
      <c r="C3374" s="23" t="s">
        <v>2322</v>
      </c>
      <c r="D3374" s="21"/>
    </row>
    <row r="3375" spans="1:4" ht="12.75" customHeight="1" x14ac:dyDescent="0.2">
      <c r="A3375" s="21"/>
      <c r="B3375" s="3" t="s">
        <v>1840</v>
      </c>
      <c r="C3375" s="23" t="s">
        <v>302</v>
      </c>
      <c r="D3375" s="21"/>
    </row>
    <row r="3376" spans="1:4" ht="12.75" customHeight="1" x14ac:dyDescent="0.2">
      <c r="A3376" s="21"/>
      <c r="B3376" s="3" t="s">
        <v>9</v>
      </c>
      <c r="C3376" s="23" t="s">
        <v>704</v>
      </c>
      <c r="D3376" s="21"/>
    </row>
    <row r="3377" spans="1:4" ht="12.75" customHeight="1" x14ac:dyDescent="0.2">
      <c r="A3377" s="21"/>
      <c r="B3377" s="3" t="s">
        <v>11</v>
      </c>
      <c r="C3377" s="23" t="s">
        <v>243</v>
      </c>
      <c r="D3377" s="21"/>
    </row>
    <row r="3378" spans="1:4" ht="12.75" customHeight="1" x14ac:dyDescent="0.2">
      <c r="A3378" s="21"/>
      <c r="B3378" s="3" t="s">
        <v>16</v>
      </c>
      <c r="C3378" s="23"/>
      <c r="D3378" s="21"/>
    </row>
    <row r="3379" spans="1:4" ht="12.75" customHeight="1" x14ac:dyDescent="0.2">
      <c r="A3379" s="21"/>
      <c r="B3379" s="3" t="s">
        <v>17</v>
      </c>
      <c r="C3379" s="23" t="s">
        <v>19</v>
      </c>
      <c r="D3379" s="21"/>
    </row>
    <row r="3380" spans="1:4" ht="12.75" customHeight="1" x14ac:dyDescent="0.2">
      <c r="A3380" s="21"/>
      <c r="B3380" s="20" t="s">
        <v>18</v>
      </c>
      <c r="C3380" s="8" t="s">
        <v>117</v>
      </c>
      <c r="D3380" s="1" t="str">
        <f>HYPERLINK("javascript:void(0)","sárkányálló suba")</f>
        <v>sárkányálló suba</v>
      </c>
    </row>
    <row r="3381" spans="1:4" ht="12.75" customHeight="1" x14ac:dyDescent="0.2">
      <c r="A3381" s="21"/>
      <c r="B3381" s="21"/>
      <c r="C3381" s="8" t="s">
        <v>77</v>
      </c>
      <c r="D3381" s="1" t="str">
        <f>HYPERLINK("javascript:void(0)","kompózium")</f>
        <v>kompózium</v>
      </c>
    </row>
    <row r="3382" spans="1:4" ht="12.75" customHeight="1" x14ac:dyDescent="0.2">
      <c r="A3382" s="21"/>
      <c r="B3382" s="21"/>
      <c r="C3382" s="8" t="s">
        <v>756</v>
      </c>
      <c r="D3382" s="1" t="str">
        <f>HYPERLINK("javascript:void(0)","légige")</f>
        <v>légige</v>
      </c>
    </row>
    <row r="3383" spans="1:4" ht="12.75" customHeight="1" x14ac:dyDescent="0.2">
      <c r="A3383" s="21"/>
      <c r="B3383" s="2"/>
      <c r="C3383" s="7"/>
      <c r="D3383" s="7"/>
    </row>
    <row r="3384" spans="1:4" ht="12.75" customHeight="1" x14ac:dyDescent="0.2">
      <c r="A3384" s="21"/>
      <c r="B3384" s="2"/>
      <c r="C3384" s="7"/>
      <c r="D3384" s="7"/>
    </row>
    <row r="3385" spans="1:4" ht="12.75" customHeight="1" x14ac:dyDescent="0.2">
      <c r="A3385" s="21"/>
      <c r="B3385" s="2"/>
      <c r="C3385" s="7"/>
      <c r="D3385" s="7"/>
    </row>
    <row r="3386" spans="1:4" ht="12.75" customHeight="1" x14ac:dyDescent="0.2">
      <c r="A3386" s="21"/>
      <c r="B3386" s="2"/>
      <c r="C3386" s="7"/>
      <c r="D3386" s="7"/>
    </row>
    <row r="3387" spans="1:4" ht="12.75" customHeight="1" x14ac:dyDescent="0.2">
      <c r="A3387" s="5"/>
      <c r="B3387" s="2"/>
      <c r="C3387" s="7"/>
      <c r="D3387" s="7"/>
    </row>
    <row r="3388" spans="1:4" ht="12.75" customHeight="1" x14ac:dyDescent="0.2">
      <c r="A3388" s="22" t="str">
        <f>HYPERLINK("javascript:void(0)","lángpáncél")</f>
        <v>lángpáncél</v>
      </c>
      <c r="B3388" s="21"/>
      <c r="C3388" s="21"/>
      <c r="D3388" s="21"/>
    </row>
    <row r="3389" spans="1:4" ht="12.75" customHeight="1" x14ac:dyDescent="0.2">
      <c r="A3389" s="20"/>
      <c r="B3389" s="2"/>
      <c r="C3389" s="7"/>
      <c r="D3389" s="7"/>
    </row>
    <row r="3390" spans="1:4" ht="12.75" customHeight="1" x14ac:dyDescent="0.2">
      <c r="A3390" s="21"/>
      <c r="B3390" s="3" t="s">
        <v>0</v>
      </c>
      <c r="C3390" s="23" t="s">
        <v>324</v>
      </c>
      <c r="D3390" s="21"/>
    </row>
    <row r="3391" spans="1:4" ht="12.75" customHeight="1" x14ac:dyDescent="0.2">
      <c r="A3391" s="21"/>
      <c r="B3391" s="3" t="s">
        <v>2</v>
      </c>
      <c r="C3391" s="23" t="s">
        <v>2322</v>
      </c>
      <c r="D3391" s="21"/>
    </row>
    <row r="3392" spans="1:4" ht="12.75" customHeight="1" x14ac:dyDescent="0.2">
      <c r="A3392" s="21"/>
      <c r="B3392" s="3" t="s">
        <v>1840</v>
      </c>
      <c r="C3392" s="23" t="s">
        <v>255</v>
      </c>
      <c r="D3392" s="21"/>
    </row>
    <row r="3393" spans="1:4" ht="12.75" customHeight="1" x14ac:dyDescent="0.2">
      <c r="A3393" s="21"/>
      <c r="B3393" s="3" t="s">
        <v>9</v>
      </c>
      <c r="C3393" s="23" t="s">
        <v>36</v>
      </c>
      <c r="D3393" s="21"/>
    </row>
    <row r="3394" spans="1:4" ht="12.75" customHeight="1" x14ac:dyDescent="0.2">
      <c r="A3394" s="21"/>
      <c r="B3394" s="3" t="s">
        <v>11</v>
      </c>
      <c r="C3394" s="23" t="s">
        <v>2358</v>
      </c>
      <c r="D3394" s="21"/>
    </row>
    <row r="3395" spans="1:4" ht="12.75" customHeight="1" x14ac:dyDescent="0.2">
      <c r="A3395" s="21"/>
      <c r="B3395" s="3" t="s">
        <v>16</v>
      </c>
      <c r="C3395" s="23"/>
      <c r="D3395" s="21"/>
    </row>
    <row r="3396" spans="1:4" ht="12.75" customHeight="1" x14ac:dyDescent="0.2">
      <c r="A3396" s="21"/>
      <c r="B3396" s="3" t="s">
        <v>17</v>
      </c>
      <c r="C3396" s="23" t="s">
        <v>19</v>
      </c>
      <c r="D3396" s="21"/>
    </row>
    <row r="3397" spans="1:4" ht="12.75" customHeight="1" x14ac:dyDescent="0.2">
      <c r="A3397" s="21"/>
      <c r="B3397" s="20" t="s">
        <v>18</v>
      </c>
      <c r="C3397" s="8" t="s">
        <v>117</v>
      </c>
      <c r="D3397" s="1" t="str">
        <f>HYPERLINK("javascript:void(0)","sodrony boxeralsó")</f>
        <v>sodrony boxeralsó</v>
      </c>
    </row>
    <row r="3398" spans="1:4" ht="12.75" customHeight="1" x14ac:dyDescent="0.2">
      <c r="A3398" s="21"/>
      <c r="B3398" s="21"/>
      <c r="C3398" s="8" t="s">
        <v>77</v>
      </c>
      <c r="D3398" s="1" t="str">
        <f>HYPERLINK("javascript:void(0)","kompózium")</f>
        <v>kompózium</v>
      </c>
    </row>
    <row r="3399" spans="1:4" ht="12.75" customHeight="1" x14ac:dyDescent="0.2">
      <c r="A3399" s="21"/>
      <c r="B3399" s="21"/>
      <c r="C3399" s="8" t="s">
        <v>756</v>
      </c>
      <c r="D3399" s="1" t="str">
        <f>HYPERLINK("javascript:void(0)","tűzige")</f>
        <v>tűzige</v>
      </c>
    </row>
    <row r="3400" spans="1:4" ht="12.75" customHeight="1" x14ac:dyDescent="0.2">
      <c r="A3400" s="21"/>
      <c r="B3400" s="2"/>
      <c r="C3400" s="7"/>
      <c r="D3400" s="7"/>
    </row>
    <row r="3401" spans="1:4" ht="12.75" customHeight="1" x14ac:dyDescent="0.2">
      <c r="A3401" s="21"/>
      <c r="B3401" s="2"/>
      <c r="C3401" s="7"/>
      <c r="D3401" s="7"/>
    </row>
    <row r="3402" spans="1:4" ht="12.75" customHeight="1" x14ac:dyDescent="0.2">
      <c r="A3402" s="21"/>
      <c r="B3402" s="2"/>
      <c r="C3402" s="7"/>
      <c r="D3402" s="7"/>
    </row>
    <row r="3403" spans="1:4" ht="12.75" customHeight="1" x14ac:dyDescent="0.2">
      <c r="A3403" s="21"/>
      <c r="B3403" s="2"/>
      <c r="C3403" s="7"/>
      <c r="D3403" s="7"/>
    </row>
    <row r="3404" spans="1:4" ht="12.75" customHeight="1" x14ac:dyDescent="0.2">
      <c r="A3404" s="5"/>
      <c r="B3404" s="2"/>
      <c r="C3404" s="7"/>
      <c r="D3404" s="7"/>
    </row>
    <row r="3405" spans="1:4" ht="12.75" customHeight="1" x14ac:dyDescent="0.2">
      <c r="A3405" s="22" t="str">
        <f>HYPERLINK("javascript:void(0)","jégpáncél")</f>
        <v>jégpáncél</v>
      </c>
      <c r="B3405" s="21"/>
      <c r="C3405" s="21"/>
      <c r="D3405" s="21"/>
    </row>
    <row r="3406" spans="1:4" ht="12.75" customHeight="1" x14ac:dyDescent="0.2">
      <c r="A3406" s="20"/>
      <c r="B3406" s="2"/>
      <c r="C3406" s="7"/>
      <c r="D3406" s="7"/>
    </row>
    <row r="3407" spans="1:4" ht="12.75" customHeight="1" x14ac:dyDescent="0.2">
      <c r="A3407" s="21"/>
      <c r="B3407" s="3" t="s">
        <v>0</v>
      </c>
      <c r="C3407" s="23" t="s">
        <v>324</v>
      </c>
      <c r="D3407" s="21"/>
    </row>
    <row r="3408" spans="1:4" ht="12.75" customHeight="1" x14ac:dyDescent="0.2">
      <c r="A3408" s="21"/>
      <c r="B3408" s="3" t="s">
        <v>2</v>
      </c>
      <c r="C3408" s="23" t="s">
        <v>2322</v>
      </c>
      <c r="D3408" s="21"/>
    </row>
    <row r="3409" spans="1:4" ht="12.75" customHeight="1" x14ac:dyDescent="0.2">
      <c r="A3409" s="21"/>
      <c r="B3409" s="3" t="s">
        <v>1840</v>
      </c>
      <c r="C3409" s="23" t="s">
        <v>255</v>
      </c>
      <c r="D3409" s="21"/>
    </row>
    <row r="3410" spans="1:4" ht="12.75" customHeight="1" x14ac:dyDescent="0.2">
      <c r="A3410" s="21"/>
      <c r="B3410" s="3" t="s">
        <v>9</v>
      </c>
      <c r="C3410" s="23" t="s">
        <v>135</v>
      </c>
      <c r="D3410" s="21"/>
    </row>
    <row r="3411" spans="1:4" ht="12.75" customHeight="1" x14ac:dyDescent="0.2">
      <c r="A3411" s="21"/>
      <c r="B3411" s="3" t="s">
        <v>11</v>
      </c>
      <c r="C3411" s="23" t="s">
        <v>259</v>
      </c>
      <c r="D3411" s="21"/>
    </row>
    <row r="3412" spans="1:4" ht="12.75" customHeight="1" x14ac:dyDescent="0.2">
      <c r="A3412" s="21"/>
      <c r="B3412" s="3" t="s">
        <v>16</v>
      </c>
      <c r="C3412" s="23"/>
      <c r="D3412" s="21"/>
    </row>
    <row r="3413" spans="1:4" ht="12.75" customHeight="1" x14ac:dyDescent="0.2">
      <c r="A3413" s="21"/>
      <c r="B3413" s="3" t="s">
        <v>17</v>
      </c>
      <c r="C3413" s="23" t="s">
        <v>19</v>
      </c>
      <c r="D3413" s="21"/>
    </row>
    <row r="3414" spans="1:4" ht="12.75" customHeight="1" x14ac:dyDescent="0.2">
      <c r="A3414" s="21"/>
      <c r="B3414" s="20" t="s">
        <v>18</v>
      </c>
      <c r="C3414" s="8" t="s">
        <v>117</v>
      </c>
      <c r="D3414" s="1" t="str">
        <f>HYPERLINK("javascript:void(0)","rubin láncing")</f>
        <v>rubin láncing</v>
      </c>
    </row>
    <row r="3415" spans="1:4" ht="12.75" customHeight="1" x14ac:dyDescent="0.2">
      <c r="A3415" s="21"/>
      <c r="B3415" s="21"/>
      <c r="C3415" s="8" t="s">
        <v>77</v>
      </c>
      <c r="D3415" s="1" t="str">
        <f>HYPERLINK("javascript:void(0)","kompózium")</f>
        <v>kompózium</v>
      </c>
    </row>
    <row r="3416" spans="1:4" ht="12.75" customHeight="1" x14ac:dyDescent="0.2">
      <c r="A3416" s="21"/>
      <c r="B3416" s="21"/>
      <c r="C3416" s="8" t="s">
        <v>756</v>
      </c>
      <c r="D3416" s="1" t="str">
        <f>HYPERLINK("javascript:void(0)","vízige")</f>
        <v>vízige</v>
      </c>
    </row>
    <row r="3417" spans="1:4" ht="12.75" customHeight="1" x14ac:dyDescent="0.2">
      <c r="A3417" s="21"/>
      <c r="B3417" s="2"/>
      <c r="C3417" s="7"/>
      <c r="D3417" s="7"/>
    </row>
    <row r="3418" spans="1:4" ht="12.75" customHeight="1" x14ac:dyDescent="0.2">
      <c r="A3418" s="21"/>
      <c r="B3418" s="2"/>
      <c r="C3418" s="7"/>
      <c r="D3418" s="7"/>
    </row>
    <row r="3419" spans="1:4" ht="12.75" customHeight="1" x14ac:dyDescent="0.2">
      <c r="A3419" s="21"/>
      <c r="B3419" s="2"/>
      <c r="C3419" s="7"/>
      <c r="D3419" s="7"/>
    </row>
    <row r="3420" spans="1:4" ht="12.75" customHeight="1" x14ac:dyDescent="0.2">
      <c r="A3420" s="21"/>
      <c r="B3420" s="2"/>
      <c r="C3420" s="7"/>
      <c r="D3420" s="7"/>
    </row>
    <row r="3421" spans="1:4" ht="12.75" customHeight="1" x14ac:dyDescent="0.2">
      <c r="A3421" s="5"/>
      <c r="B3421" s="2"/>
      <c r="C3421" s="7"/>
      <c r="D3421" s="7"/>
    </row>
    <row r="3422" spans="1:4" ht="12.75" customHeight="1" x14ac:dyDescent="0.2">
      <c r="A3422" s="22" t="str">
        <f>HYPERLINK("javascript:void(0)","gránitpáncél")</f>
        <v>gránitpáncél</v>
      </c>
      <c r="B3422" s="21"/>
      <c r="C3422" s="21"/>
      <c r="D3422" s="21"/>
    </row>
    <row r="3423" spans="1:4" ht="12.75" customHeight="1" x14ac:dyDescent="0.2">
      <c r="A3423" s="20"/>
      <c r="B3423" s="2"/>
      <c r="C3423" s="7"/>
      <c r="D3423" s="7"/>
    </row>
    <row r="3424" spans="1:4" ht="12.75" customHeight="1" x14ac:dyDescent="0.2">
      <c r="A3424" s="21"/>
      <c r="B3424" s="3" t="s">
        <v>0</v>
      </c>
      <c r="C3424" s="23" t="s">
        <v>324</v>
      </c>
      <c r="D3424" s="21"/>
    </row>
    <row r="3425" spans="1:4" ht="12.75" customHeight="1" x14ac:dyDescent="0.2">
      <c r="A3425" s="21"/>
      <c r="B3425" s="3" t="s">
        <v>2</v>
      </c>
      <c r="C3425" s="23" t="s">
        <v>2322</v>
      </c>
      <c r="D3425" s="21"/>
    </row>
    <row r="3426" spans="1:4" ht="12.75" customHeight="1" x14ac:dyDescent="0.2">
      <c r="A3426" s="21"/>
      <c r="B3426" s="3" t="s">
        <v>1840</v>
      </c>
      <c r="C3426" s="23" t="s">
        <v>281</v>
      </c>
      <c r="D3426" s="21"/>
    </row>
    <row r="3427" spans="1:4" ht="12.75" customHeight="1" x14ac:dyDescent="0.2">
      <c r="A3427" s="21"/>
      <c r="B3427" s="3" t="s">
        <v>9</v>
      </c>
      <c r="C3427" s="23" t="s">
        <v>236</v>
      </c>
      <c r="D3427" s="21"/>
    </row>
    <row r="3428" spans="1:4" ht="12.75" customHeight="1" x14ac:dyDescent="0.2">
      <c r="A3428" s="21"/>
      <c r="B3428" s="3" t="s">
        <v>11</v>
      </c>
      <c r="C3428" s="23" t="s">
        <v>2361</v>
      </c>
      <c r="D3428" s="21"/>
    </row>
    <row r="3429" spans="1:4" ht="12.75" customHeight="1" x14ac:dyDescent="0.2">
      <c r="A3429" s="21"/>
      <c r="B3429" s="3" t="s">
        <v>16</v>
      </c>
      <c r="C3429" s="23"/>
      <c r="D3429" s="21"/>
    </row>
    <row r="3430" spans="1:4" ht="12.75" customHeight="1" x14ac:dyDescent="0.2">
      <c r="A3430" s="21"/>
      <c r="B3430" s="3" t="s">
        <v>17</v>
      </c>
      <c r="C3430" s="23" t="s">
        <v>19</v>
      </c>
      <c r="D3430" s="21"/>
    </row>
    <row r="3431" spans="1:4" ht="12.75" customHeight="1" x14ac:dyDescent="0.2">
      <c r="A3431" s="21"/>
      <c r="B3431" s="20" t="s">
        <v>18</v>
      </c>
      <c r="C3431" s="8" t="s">
        <v>117</v>
      </c>
      <c r="D3431" s="1" t="str">
        <f>HYPERLINK("javascript:void(0)","smaragd láncing")</f>
        <v>smaragd láncing</v>
      </c>
    </row>
    <row r="3432" spans="1:4" ht="12.75" customHeight="1" x14ac:dyDescent="0.2">
      <c r="A3432" s="21"/>
      <c r="B3432" s="21"/>
      <c r="C3432" s="8" t="s">
        <v>77</v>
      </c>
      <c r="D3432" s="1" t="str">
        <f>HYPERLINK("javascript:void(0)","kompózium")</f>
        <v>kompózium</v>
      </c>
    </row>
    <row r="3433" spans="1:4" ht="12.75" customHeight="1" x14ac:dyDescent="0.2">
      <c r="A3433" s="21"/>
      <c r="B3433" s="21"/>
      <c r="C3433" s="8" t="s">
        <v>756</v>
      </c>
      <c r="D3433" s="1" t="str">
        <f>HYPERLINK("javascript:void(0)","földige")</f>
        <v>földige</v>
      </c>
    </row>
    <row r="3434" spans="1:4" ht="12.75" customHeight="1" x14ac:dyDescent="0.2">
      <c r="A3434" s="21"/>
      <c r="B3434" s="2"/>
      <c r="C3434" s="7"/>
      <c r="D3434" s="7"/>
    </row>
    <row r="3435" spans="1:4" ht="12.75" customHeight="1" x14ac:dyDescent="0.2">
      <c r="A3435" s="21"/>
      <c r="B3435" s="2"/>
      <c r="C3435" s="7"/>
      <c r="D3435" s="7"/>
    </row>
    <row r="3436" spans="1:4" ht="12.75" customHeight="1" x14ac:dyDescent="0.2">
      <c r="A3436" s="21"/>
      <c r="B3436" s="2"/>
      <c r="C3436" s="7"/>
      <c r="D3436" s="7"/>
    </row>
    <row r="3437" spans="1:4" ht="12.75" customHeight="1" x14ac:dyDescent="0.2">
      <c r="A3437" s="21"/>
      <c r="B3437" s="2"/>
      <c r="C3437" s="7"/>
      <c r="D3437" s="7"/>
    </row>
    <row r="3438" spans="1:4" ht="12.75" customHeight="1" x14ac:dyDescent="0.2">
      <c r="A3438" s="5"/>
      <c r="B3438" s="2"/>
      <c r="C3438" s="7"/>
      <c r="D3438" s="7"/>
    </row>
    <row r="3439" spans="1:4" ht="12.75" customHeight="1" x14ac:dyDescent="0.2">
      <c r="A3439" s="22" t="str">
        <f>HYPERLINK("javascript:void(0)","parszi sisak")</f>
        <v>parszi sisak</v>
      </c>
      <c r="B3439" s="21"/>
      <c r="C3439" s="21"/>
      <c r="D3439" s="21"/>
    </row>
    <row r="3440" spans="1:4" ht="12.75" customHeight="1" x14ac:dyDescent="0.2">
      <c r="A3440" s="20"/>
      <c r="B3440" s="2"/>
      <c r="C3440" s="7"/>
      <c r="D3440" s="7"/>
    </row>
    <row r="3441" spans="1:4" ht="12.75" customHeight="1" x14ac:dyDescent="0.2">
      <c r="A3441" s="21"/>
      <c r="B3441" s="3" t="s">
        <v>0</v>
      </c>
      <c r="C3441" s="23" t="s">
        <v>324</v>
      </c>
      <c r="D3441" s="21"/>
    </row>
    <row r="3442" spans="1:4" ht="12.75" customHeight="1" x14ac:dyDescent="0.2">
      <c r="A3442" s="21"/>
      <c r="B3442" s="3" t="s">
        <v>2</v>
      </c>
      <c r="C3442" s="23"/>
      <c r="D3442" s="21"/>
    </row>
    <row r="3443" spans="1:4" ht="12.75" customHeight="1" x14ac:dyDescent="0.2">
      <c r="A3443" s="21"/>
      <c r="B3443" s="3" t="s">
        <v>1840</v>
      </c>
      <c r="C3443" s="23" t="s">
        <v>58</v>
      </c>
      <c r="D3443" s="21"/>
    </row>
    <row r="3444" spans="1:4" ht="12.75" customHeight="1" x14ac:dyDescent="0.2">
      <c r="A3444" s="21"/>
      <c r="B3444" s="3" t="s">
        <v>9</v>
      </c>
      <c r="C3444" s="23" t="s">
        <v>147</v>
      </c>
      <c r="D3444" s="21"/>
    </row>
    <row r="3445" spans="1:4" ht="12.75" customHeight="1" x14ac:dyDescent="0.2">
      <c r="A3445" s="21"/>
      <c r="B3445" s="3" t="s">
        <v>11</v>
      </c>
      <c r="C3445" s="23" t="s">
        <v>279</v>
      </c>
      <c r="D3445" s="21"/>
    </row>
    <row r="3446" spans="1:4" ht="12.75" customHeight="1" x14ac:dyDescent="0.2">
      <c r="A3446" s="21"/>
      <c r="B3446" s="3" t="s">
        <v>16</v>
      </c>
      <c r="C3446" s="23"/>
      <c r="D3446" s="21"/>
    </row>
    <row r="3447" spans="1:4" ht="12.75" customHeight="1" x14ac:dyDescent="0.2">
      <c r="A3447" s="21"/>
      <c r="B3447" s="3" t="s">
        <v>17</v>
      </c>
      <c r="C3447" s="23" t="s">
        <v>19</v>
      </c>
      <c r="D3447" s="21"/>
    </row>
    <row r="3448" spans="1:4" ht="12.75" customHeight="1" x14ac:dyDescent="0.2">
      <c r="A3448" s="21"/>
      <c r="B3448" s="20" t="s">
        <v>18</v>
      </c>
      <c r="C3448" s="8" t="s">
        <v>44</v>
      </c>
      <c r="D3448" s="1" t="str">
        <f>HYPERLINK("javascript:void(0)","körömsisak")</f>
        <v>körömsisak</v>
      </c>
    </row>
    <row r="3449" spans="1:4" ht="12.75" customHeight="1" x14ac:dyDescent="0.2">
      <c r="A3449" s="21"/>
      <c r="B3449" s="21"/>
      <c r="C3449" s="8" t="s">
        <v>139</v>
      </c>
      <c r="D3449" s="1" t="str">
        <f>HYPERLINK("javascript:void(0)","légige")</f>
        <v>légige</v>
      </c>
    </row>
    <row r="3450" spans="1:4" ht="12.75" customHeight="1" x14ac:dyDescent="0.2">
      <c r="A3450" s="21"/>
      <c r="B3450" s="21"/>
      <c r="C3450" s="8" t="s">
        <v>139</v>
      </c>
      <c r="D3450" s="1" t="str">
        <f>HYPERLINK("javascript:void(0)","földige")</f>
        <v>földige</v>
      </c>
    </row>
    <row r="3451" spans="1:4" ht="12.75" customHeight="1" x14ac:dyDescent="0.2">
      <c r="A3451" s="21"/>
      <c r="B3451" s="2"/>
      <c r="C3451" s="7"/>
      <c r="D3451" s="7"/>
    </row>
    <row r="3452" spans="1:4" ht="12.75" customHeight="1" x14ac:dyDescent="0.2">
      <c r="A3452" s="21"/>
      <c r="B3452" s="2"/>
      <c r="C3452" s="7"/>
      <c r="D3452" s="7"/>
    </row>
    <row r="3453" spans="1:4" ht="12.75" customHeight="1" x14ac:dyDescent="0.2">
      <c r="A3453" s="21"/>
      <c r="B3453" s="2"/>
      <c r="C3453" s="7"/>
      <c r="D3453" s="7"/>
    </row>
    <row r="3454" spans="1:4" ht="12.75" customHeight="1" x14ac:dyDescent="0.2">
      <c r="A3454" s="21"/>
      <c r="B3454" s="2"/>
      <c r="C3454" s="7"/>
      <c r="D3454" s="7"/>
    </row>
    <row r="3455" spans="1:4" ht="12.75" customHeight="1" x14ac:dyDescent="0.2">
      <c r="A3455" s="5"/>
      <c r="B3455" s="2"/>
      <c r="C3455" s="7"/>
      <c r="D3455" s="7"/>
    </row>
    <row r="3456" spans="1:4" ht="12.75" customHeight="1" x14ac:dyDescent="0.2">
      <c r="A3456" s="22" t="str">
        <f>HYPERLINK("javascript:void(0)","óriásacél testpajzs")</f>
        <v>óriásacél testpajzs</v>
      </c>
      <c r="B3456" s="21"/>
      <c r="C3456" s="21"/>
      <c r="D3456" s="21"/>
    </row>
    <row r="3457" spans="1:4" ht="12.75" customHeight="1" x14ac:dyDescent="0.2">
      <c r="A3457" s="20"/>
      <c r="B3457" s="2"/>
      <c r="C3457" s="7"/>
      <c r="D3457" s="7"/>
    </row>
    <row r="3458" spans="1:4" ht="12.75" customHeight="1" x14ac:dyDescent="0.2">
      <c r="A3458" s="21"/>
      <c r="B3458" s="3" t="s">
        <v>0</v>
      </c>
      <c r="C3458" s="23" t="s">
        <v>324</v>
      </c>
      <c r="D3458" s="21"/>
    </row>
    <row r="3459" spans="1:4" ht="12.75" customHeight="1" x14ac:dyDescent="0.2">
      <c r="A3459" s="21"/>
      <c r="B3459" s="3" t="s">
        <v>2</v>
      </c>
      <c r="C3459" s="23" t="s">
        <v>1839</v>
      </c>
      <c r="D3459" s="21"/>
    </row>
    <row r="3460" spans="1:4" ht="12.75" customHeight="1" x14ac:dyDescent="0.2">
      <c r="A3460" s="21"/>
      <c r="B3460" s="3" t="s">
        <v>1840</v>
      </c>
      <c r="C3460" s="23" t="s">
        <v>651</v>
      </c>
      <c r="D3460" s="21"/>
    </row>
    <row r="3461" spans="1:4" ht="12.75" customHeight="1" x14ac:dyDescent="0.2">
      <c r="A3461" s="21"/>
      <c r="B3461" s="3" t="s">
        <v>9</v>
      </c>
      <c r="C3461" s="23" t="s">
        <v>250</v>
      </c>
      <c r="D3461" s="21"/>
    </row>
    <row r="3462" spans="1:4" ht="12.75" customHeight="1" x14ac:dyDescent="0.2">
      <c r="A3462" s="21"/>
      <c r="B3462" s="3" t="s">
        <v>11</v>
      </c>
      <c r="C3462" s="23" t="s">
        <v>321</v>
      </c>
      <c r="D3462" s="21"/>
    </row>
    <row r="3463" spans="1:4" ht="12.75" customHeight="1" x14ac:dyDescent="0.2">
      <c r="A3463" s="21"/>
      <c r="B3463" s="3" t="s">
        <v>16</v>
      </c>
      <c r="C3463" s="23"/>
      <c r="D3463" s="21"/>
    </row>
    <row r="3464" spans="1:4" ht="12.75" customHeight="1" x14ac:dyDescent="0.2">
      <c r="A3464" s="21"/>
      <c r="B3464" s="3" t="s">
        <v>17</v>
      </c>
      <c r="C3464" s="23" t="s">
        <v>19</v>
      </c>
      <c r="D3464" s="21"/>
    </row>
    <row r="3465" spans="1:4" ht="12.75" customHeight="1" x14ac:dyDescent="0.2">
      <c r="A3465" s="21"/>
      <c r="B3465" s="20" t="s">
        <v>18</v>
      </c>
      <c r="C3465" s="8" t="s">
        <v>44</v>
      </c>
      <c r="D3465" s="1" t="str">
        <f>HYPERLINK("javascript:void(0)","elfacél testpajzs")</f>
        <v>elfacél testpajzs</v>
      </c>
    </row>
    <row r="3466" spans="1:4" ht="12.75" customHeight="1" x14ac:dyDescent="0.2">
      <c r="A3466" s="21"/>
      <c r="B3466" s="21"/>
      <c r="C3466" s="8" t="s">
        <v>56</v>
      </c>
      <c r="D3466" s="1" t="str">
        <f>HYPERLINK("javascript:void(0)","gillpenge")</f>
        <v>gillpenge</v>
      </c>
    </row>
    <row r="3467" spans="1:4" ht="12.75" customHeight="1" x14ac:dyDescent="0.2">
      <c r="A3467" s="21"/>
      <c r="B3467" s="21"/>
      <c r="C3467" s="8" t="s">
        <v>244</v>
      </c>
      <c r="D3467" s="1" t="str">
        <f>HYPERLINK("javascript:void(0)","kihunyt glória")</f>
        <v>kihunyt glória</v>
      </c>
    </row>
    <row r="3468" spans="1:4" ht="12.75" customHeight="1" x14ac:dyDescent="0.2">
      <c r="A3468" s="21"/>
      <c r="B3468" s="2"/>
      <c r="C3468" s="7"/>
      <c r="D3468" s="7"/>
    </row>
    <row r="3469" spans="1:4" ht="12.75" customHeight="1" x14ac:dyDescent="0.2">
      <c r="A3469" s="21"/>
      <c r="B3469" s="2"/>
      <c r="C3469" s="7"/>
      <c r="D3469" s="7"/>
    </row>
    <row r="3470" spans="1:4" ht="12.75" customHeight="1" x14ac:dyDescent="0.2">
      <c r="A3470" s="21"/>
      <c r="B3470" s="2"/>
      <c r="C3470" s="7"/>
      <c r="D3470" s="7"/>
    </row>
    <row r="3471" spans="1:4" ht="12.75" customHeight="1" x14ac:dyDescent="0.2">
      <c r="A3471" s="21"/>
      <c r="B3471" s="2"/>
      <c r="C3471" s="7"/>
      <c r="D3471" s="7"/>
    </row>
    <row r="3472" spans="1:4" ht="12.75" customHeight="1" x14ac:dyDescent="0.2">
      <c r="A3472" s="5"/>
      <c r="B3472" s="2"/>
      <c r="C3472" s="7"/>
      <c r="D3472" s="7"/>
    </row>
    <row r="3473" spans="1:4" ht="12.75" customHeight="1" x14ac:dyDescent="0.2">
      <c r="A3473" s="22" t="str">
        <f>HYPERLINK("javascript:void(0)","ezüst manasisak")</f>
        <v>ezüst manasisak</v>
      </c>
      <c r="B3473" s="21"/>
      <c r="C3473" s="21"/>
      <c r="D3473" s="21"/>
    </row>
    <row r="3474" spans="1:4" ht="12.75" customHeight="1" x14ac:dyDescent="0.2">
      <c r="A3474" s="20"/>
      <c r="B3474" s="2"/>
      <c r="C3474" s="7"/>
      <c r="D3474" s="7"/>
    </row>
    <row r="3475" spans="1:4" ht="12.75" customHeight="1" x14ac:dyDescent="0.2">
      <c r="A3475" s="21"/>
      <c r="B3475" s="3" t="s">
        <v>0</v>
      </c>
      <c r="C3475" s="23" t="s">
        <v>324</v>
      </c>
      <c r="D3475" s="21"/>
    </row>
    <row r="3476" spans="1:4" ht="12.75" customHeight="1" x14ac:dyDescent="0.2">
      <c r="A3476" s="21"/>
      <c r="B3476" s="3" t="s">
        <v>2</v>
      </c>
      <c r="C3476" s="23"/>
      <c r="D3476" s="21"/>
    </row>
    <row r="3477" spans="1:4" ht="12.75" customHeight="1" x14ac:dyDescent="0.2">
      <c r="A3477" s="21"/>
      <c r="B3477" s="3" t="s">
        <v>1840</v>
      </c>
      <c r="C3477" s="23" t="s">
        <v>157</v>
      </c>
      <c r="D3477" s="21"/>
    </row>
    <row r="3478" spans="1:4" ht="12.75" customHeight="1" x14ac:dyDescent="0.2">
      <c r="A3478" s="21"/>
      <c r="B3478" s="3" t="s">
        <v>9</v>
      </c>
      <c r="C3478" s="23" t="s">
        <v>135</v>
      </c>
      <c r="D3478" s="21"/>
    </row>
    <row r="3479" spans="1:4" ht="12.75" customHeight="1" x14ac:dyDescent="0.2">
      <c r="A3479" s="21"/>
      <c r="B3479" s="3" t="s">
        <v>11</v>
      </c>
      <c r="C3479" s="23" t="s">
        <v>215</v>
      </c>
      <c r="D3479" s="21"/>
    </row>
    <row r="3480" spans="1:4" ht="12.75" customHeight="1" x14ac:dyDescent="0.2">
      <c r="A3480" s="21"/>
      <c r="B3480" s="3" t="s">
        <v>16</v>
      </c>
      <c r="C3480" s="23"/>
      <c r="D3480" s="21"/>
    </row>
    <row r="3481" spans="1:4" ht="12.75" customHeight="1" x14ac:dyDescent="0.2">
      <c r="A3481" s="21"/>
      <c r="B3481" s="3" t="s">
        <v>17</v>
      </c>
      <c r="C3481" s="23" t="s">
        <v>19</v>
      </c>
      <c r="D3481" s="21"/>
    </row>
    <row r="3482" spans="1:4" ht="12.75" customHeight="1" x14ac:dyDescent="0.2">
      <c r="A3482" s="21"/>
      <c r="B3482" s="20" t="s">
        <v>18</v>
      </c>
      <c r="C3482" s="8" t="s">
        <v>44</v>
      </c>
      <c r="D3482" s="1" t="str">
        <f>HYPERLINK("javascript:void(0)","manasapka")</f>
        <v>manasapka</v>
      </c>
    </row>
    <row r="3483" spans="1:4" ht="12.75" customHeight="1" x14ac:dyDescent="0.2">
      <c r="A3483" s="21"/>
      <c r="B3483" s="21"/>
      <c r="C3483" s="8" t="s">
        <v>139</v>
      </c>
      <c r="D3483" s="1" t="str">
        <f>HYPERLINK("javascript:void(0)","kihunyt glória")</f>
        <v>kihunyt glória</v>
      </c>
    </row>
    <row r="3484" spans="1:4" ht="12.75" customHeight="1" x14ac:dyDescent="0.2">
      <c r="A3484" s="21"/>
      <c r="B3484" s="21"/>
      <c r="C3484" s="8" t="s">
        <v>290</v>
      </c>
      <c r="D3484" s="1" t="str">
        <f>HYPERLINK("javascript:void(0)","vízige")</f>
        <v>vízige</v>
      </c>
    </row>
    <row r="3485" spans="1:4" ht="12.75" customHeight="1" x14ac:dyDescent="0.2">
      <c r="A3485" s="21"/>
      <c r="B3485" s="2"/>
      <c r="C3485" s="7"/>
      <c r="D3485" s="7"/>
    </row>
    <row r="3486" spans="1:4" ht="12.75" customHeight="1" x14ac:dyDescent="0.2">
      <c r="A3486" s="21"/>
      <c r="B3486" s="2"/>
      <c r="C3486" s="7"/>
      <c r="D3486" s="7"/>
    </row>
    <row r="3487" spans="1:4" ht="12.75" customHeight="1" x14ac:dyDescent="0.2">
      <c r="A3487" s="21"/>
      <c r="B3487" s="2"/>
      <c r="C3487" s="7"/>
      <c r="D3487" s="7"/>
    </row>
    <row r="3488" spans="1:4" ht="12.75" customHeight="1" x14ac:dyDescent="0.2">
      <c r="A3488" s="21"/>
      <c r="B3488" s="2"/>
      <c r="C3488" s="7"/>
      <c r="D3488" s="7"/>
    </row>
    <row r="3489" spans="1:4" ht="12.75" customHeight="1" x14ac:dyDescent="0.2">
      <c r="A3489" s="5"/>
      <c r="B3489" s="2"/>
      <c r="C3489" s="7"/>
      <c r="D3489" s="7"/>
    </row>
    <row r="3490" spans="1:4" ht="12.75" customHeight="1" x14ac:dyDescent="0.2">
      <c r="A3490" s="22" t="str">
        <f>HYPERLINK("javascript:void(0)","ezüst manafejpánt")</f>
        <v>ezüst manafejpánt</v>
      </c>
      <c r="B3490" s="21"/>
      <c r="C3490" s="21"/>
      <c r="D3490" s="21"/>
    </row>
    <row r="3491" spans="1:4" ht="12.75" customHeight="1" x14ac:dyDescent="0.2">
      <c r="A3491" s="20"/>
      <c r="B3491" s="2"/>
      <c r="C3491" s="7"/>
      <c r="D3491" s="7"/>
    </row>
    <row r="3492" spans="1:4" ht="12.75" customHeight="1" x14ac:dyDescent="0.2">
      <c r="A3492" s="21"/>
      <c r="B3492" s="3" t="s">
        <v>0</v>
      </c>
      <c r="C3492" s="23" t="s">
        <v>324</v>
      </c>
      <c r="D3492" s="21"/>
    </row>
    <row r="3493" spans="1:4" ht="12.75" customHeight="1" x14ac:dyDescent="0.2">
      <c r="A3493" s="21"/>
      <c r="B3493" s="3" t="s">
        <v>2</v>
      </c>
      <c r="C3493" s="23"/>
      <c r="D3493" s="21"/>
    </row>
    <row r="3494" spans="1:4" ht="12.75" customHeight="1" x14ac:dyDescent="0.2">
      <c r="A3494" s="21"/>
      <c r="B3494" s="3" t="s">
        <v>1840</v>
      </c>
      <c r="C3494" s="23" t="s">
        <v>35</v>
      </c>
      <c r="D3494" s="21"/>
    </row>
    <row r="3495" spans="1:4" ht="12.75" customHeight="1" x14ac:dyDescent="0.2">
      <c r="A3495" s="21"/>
      <c r="B3495" s="3" t="s">
        <v>9</v>
      </c>
      <c r="C3495" s="23" t="s">
        <v>42</v>
      </c>
      <c r="D3495" s="21"/>
    </row>
    <row r="3496" spans="1:4" ht="12.75" customHeight="1" x14ac:dyDescent="0.2">
      <c r="A3496" s="21"/>
      <c r="B3496" s="3" t="s">
        <v>11</v>
      </c>
      <c r="C3496" s="23" t="s">
        <v>215</v>
      </c>
      <c r="D3496" s="21"/>
    </row>
    <row r="3497" spans="1:4" ht="12.75" customHeight="1" x14ac:dyDescent="0.2">
      <c r="A3497" s="21"/>
      <c r="B3497" s="3" t="s">
        <v>16</v>
      </c>
      <c r="C3497" s="23"/>
      <c r="D3497" s="21"/>
    </row>
    <row r="3498" spans="1:4" ht="12.75" customHeight="1" x14ac:dyDescent="0.2">
      <c r="A3498" s="21"/>
      <c r="B3498" s="3" t="s">
        <v>17</v>
      </c>
      <c r="C3498" s="23" t="s">
        <v>19</v>
      </c>
      <c r="D3498" s="21"/>
    </row>
    <row r="3499" spans="1:4" ht="12.75" customHeight="1" x14ac:dyDescent="0.2">
      <c r="A3499" s="21"/>
      <c r="B3499" s="20" t="s">
        <v>18</v>
      </c>
      <c r="C3499" s="8" t="s">
        <v>44</v>
      </c>
      <c r="D3499" s="1" t="str">
        <f>HYPERLINK("javascript:void(0)","manasapka")</f>
        <v>manasapka</v>
      </c>
    </row>
    <row r="3500" spans="1:4" ht="12.75" customHeight="1" x14ac:dyDescent="0.2">
      <c r="A3500" s="21"/>
      <c r="B3500" s="21"/>
      <c r="C3500" s="8" t="s">
        <v>139</v>
      </c>
      <c r="D3500" s="1" t="str">
        <f>HYPERLINK("javascript:void(0)","kihunyt glória")</f>
        <v>kihunyt glória</v>
      </c>
    </row>
    <row r="3501" spans="1:4" ht="12.75" customHeight="1" x14ac:dyDescent="0.2">
      <c r="A3501" s="21"/>
      <c r="B3501" s="21"/>
      <c r="C3501" s="8" t="s">
        <v>290</v>
      </c>
      <c r="D3501" s="1" t="str">
        <f>HYPERLINK("javascript:void(0)","tűzige")</f>
        <v>tűzige</v>
      </c>
    </row>
    <row r="3502" spans="1:4" ht="12.75" customHeight="1" x14ac:dyDescent="0.2">
      <c r="A3502" s="21"/>
      <c r="B3502" s="2"/>
      <c r="C3502" s="7"/>
      <c r="D3502" s="7"/>
    </row>
    <row r="3503" spans="1:4" ht="12.75" customHeight="1" x14ac:dyDescent="0.2">
      <c r="A3503" s="21"/>
      <c r="B3503" s="2"/>
      <c r="C3503" s="7"/>
      <c r="D3503" s="7"/>
    </row>
    <row r="3504" spans="1:4" ht="12.75" customHeight="1" x14ac:dyDescent="0.2">
      <c r="A3504" s="21"/>
      <c r="B3504" s="2"/>
      <c r="C3504" s="7"/>
      <c r="D3504" s="7"/>
    </row>
    <row r="3505" spans="1:4" ht="12.75" customHeight="1" x14ac:dyDescent="0.2">
      <c r="A3505" s="21"/>
      <c r="B3505" s="2"/>
      <c r="C3505" s="7"/>
      <c r="D3505" s="7"/>
    </row>
    <row r="3506" spans="1:4" ht="12.75" customHeight="1" x14ac:dyDescent="0.2">
      <c r="A3506" s="5"/>
      <c r="B3506" s="2"/>
      <c r="C3506" s="7"/>
      <c r="D3506" s="7"/>
    </row>
    <row r="3507" spans="1:4" ht="12.75" customHeight="1" x14ac:dyDescent="0.2">
      <c r="A3507" s="22" t="str">
        <f>HYPERLINK("javascript:void(0)","gyémánt pillepajzs")</f>
        <v>gyémánt pillepajzs</v>
      </c>
      <c r="B3507" s="21"/>
      <c r="C3507" s="21"/>
      <c r="D3507" s="21"/>
    </row>
    <row r="3508" spans="1:4" ht="12.75" customHeight="1" x14ac:dyDescent="0.2">
      <c r="A3508" s="20"/>
      <c r="B3508" s="2"/>
      <c r="C3508" s="7"/>
      <c r="D3508" s="7"/>
    </row>
    <row r="3509" spans="1:4" ht="12.75" customHeight="1" x14ac:dyDescent="0.2">
      <c r="A3509" s="21"/>
      <c r="B3509" s="3" t="s">
        <v>0</v>
      </c>
      <c r="C3509" s="23" t="s">
        <v>324</v>
      </c>
      <c r="D3509" s="21"/>
    </row>
    <row r="3510" spans="1:4" ht="12.75" customHeight="1" x14ac:dyDescent="0.2">
      <c r="A3510" s="21"/>
      <c r="B3510" s="3" t="s">
        <v>2</v>
      </c>
      <c r="C3510" s="23" t="s">
        <v>1839</v>
      </c>
      <c r="D3510" s="21"/>
    </row>
    <row r="3511" spans="1:4" ht="12.75" customHeight="1" x14ac:dyDescent="0.2">
      <c r="A3511" s="21"/>
      <c r="B3511" s="3" t="s">
        <v>1840</v>
      </c>
      <c r="C3511" s="23" t="s">
        <v>651</v>
      </c>
      <c r="D3511" s="21"/>
    </row>
    <row r="3512" spans="1:4" ht="12.75" customHeight="1" x14ac:dyDescent="0.2">
      <c r="A3512" s="21"/>
      <c r="B3512" s="3" t="s">
        <v>9</v>
      </c>
      <c r="C3512" s="23" t="s">
        <v>2025</v>
      </c>
      <c r="D3512" s="21"/>
    </row>
    <row r="3513" spans="1:4" ht="12.75" customHeight="1" x14ac:dyDescent="0.2">
      <c r="A3513" s="21"/>
      <c r="B3513" s="3" t="s">
        <v>11</v>
      </c>
      <c r="C3513" s="23" t="s">
        <v>339</v>
      </c>
      <c r="D3513" s="21"/>
    </row>
    <row r="3514" spans="1:4" ht="12.75" customHeight="1" x14ac:dyDescent="0.2">
      <c r="A3514" s="21"/>
      <c r="B3514" s="3" t="s">
        <v>16</v>
      </c>
      <c r="C3514" s="23"/>
      <c r="D3514" s="21"/>
    </row>
    <row r="3515" spans="1:4" ht="12.75" customHeight="1" x14ac:dyDescent="0.2">
      <c r="A3515" s="21"/>
      <c r="B3515" s="3" t="s">
        <v>17</v>
      </c>
      <c r="C3515" s="23" t="s">
        <v>19</v>
      </c>
      <c r="D3515" s="21"/>
    </row>
    <row r="3516" spans="1:4" ht="12.75" customHeight="1" x14ac:dyDescent="0.2">
      <c r="A3516" s="21"/>
      <c r="B3516" s="20" t="s">
        <v>18</v>
      </c>
      <c r="C3516" s="8" t="s">
        <v>44</v>
      </c>
      <c r="D3516" s="1" t="str">
        <f>HYPERLINK("javascript:void(0)","óriásacél testpajzs")</f>
        <v>óriásacél testpajzs</v>
      </c>
    </row>
    <row r="3517" spans="1:4" ht="12.75" customHeight="1" x14ac:dyDescent="0.2">
      <c r="A3517" s="21"/>
      <c r="B3517" s="21"/>
      <c r="C3517" s="8" t="s">
        <v>130</v>
      </c>
      <c r="D3517" s="1" t="str">
        <f>HYPERLINK("javascript:void(0)","gyémánt")</f>
        <v>gyémánt</v>
      </c>
    </row>
    <row r="3518" spans="1:4" ht="12.75" customHeight="1" x14ac:dyDescent="0.2">
      <c r="A3518" s="21"/>
      <c r="B3518" s="21"/>
      <c r="C3518" s="8" t="s">
        <v>163</v>
      </c>
      <c r="D3518" s="1" t="str">
        <f>HYPERLINK("javascript:void(0)","légige")</f>
        <v>légige</v>
      </c>
    </row>
    <row r="3519" spans="1:4" ht="12.75" customHeight="1" x14ac:dyDescent="0.2">
      <c r="A3519" s="21"/>
      <c r="B3519" s="2"/>
      <c r="C3519" s="7"/>
      <c r="D3519" s="7"/>
    </row>
    <row r="3520" spans="1:4" ht="12.75" customHeight="1" x14ac:dyDescent="0.2">
      <c r="A3520" s="21"/>
      <c r="B3520" s="2"/>
      <c r="C3520" s="7"/>
      <c r="D3520" s="7"/>
    </row>
    <row r="3521" spans="1:4" ht="12.75" customHeight="1" x14ac:dyDescent="0.2">
      <c r="A3521" s="21"/>
      <c r="B3521" s="2"/>
      <c r="C3521" s="7"/>
      <c r="D3521" s="7"/>
    </row>
    <row r="3522" spans="1:4" ht="12.75" customHeight="1" x14ac:dyDescent="0.2">
      <c r="A3522" s="21"/>
      <c r="B3522" s="2"/>
      <c r="C3522" s="7"/>
      <c r="D3522" s="7"/>
    </row>
    <row r="3523" spans="1:4" ht="12.75" customHeight="1" x14ac:dyDescent="0.2">
      <c r="A3523" s="5"/>
      <c r="B3523" s="2"/>
      <c r="C3523" s="7"/>
      <c r="D3523" s="7"/>
    </row>
    <row r="3524" spans="1:4" ht="12.75" customHeight="1" x14ac:dyDescent="0.2">
      <c r="A3524" s="22" t="str">
        <f>HYPERLINK("javascript:void(0)","antigrav csizma")</f>
        <v>antigrav csizma</v>
      </c>
      <c r="B3524" s="21"/>
      <c r="C3524" s="21"/>
      <c r="D3524" s="21"/>
    </row>
    <row r="3525" spans="1:4" ht="12.75" customHeight="1" x14ac:dyDescent="0.2">
      <c r="A3525" s="20"/>
      <c r="B3525" s="2"/>
      <c r="C3525" s="7"/>
      <c r="D3525" s="7"/>
    </row>
    <row r="3526" spans="1:4" ht="12.75" customHeight="1" x14ac:dyDescent="0.2">
      <c r="A3526" s="21"/>
      <c r="B3526" s="3" t="s">
        <v>0</v>
      </c>
      <c r="C3526" s="23" t="s">
        <v>178</v>
      </c>
      <c r="D3526" s="21"/>
    </row>
    <row r="3527" spans="1:4" ht="12.75" customHeight="1" x14ac:dyDescent="0.2">
      <c r="A3527" s="21"/>
      <c r="B3527" s="3" t="s">
        <v>2</v>
      </c>
      <c r="C3527" s="23"/>
      <c r="D3527" s="21"/>
    </row>
    <row r="3528" spans="1:4" ht="12.75" customHeight="1" x14ac:dyDescent="0.2">
      <c r="A3528" s="21"/>
      <c r="B3528" s="3" t="s">
        <v>1840</v>
      </c>
      <c r="C3528" s="23" t="s">
        <v>468</v>
      </c>
      <c r="D3528" s="21"/>
    </row>
    <row r="3529" spans="1:4" ht="12.75" customHeight="1" x14ac:dyDescent="0.2">
      <c r="A3529" s="21"/>
      <c r="B3529" s="3" t="s">
        <v>9</v>
      </c>
      <c r="C3529" s="23" t="s">
        <v>626</v>
      </c>
      <c r="D3529" s="21"/>
    </row>
    <row r="3530" spans="1:4" ht="12.75" customHeight="1" x14ac:dyDescent="0.2">
      <c r="A3530" s="21"/>
      <c r="B3530" s="3" t="s">
        <v>11</v>
      </c>
      <c r="C3530" s="23" t="s">
        <v>23</v>
      </c>
      <c r="D3530" s="21"/>
    </row>
    <row r="3531" spans="1:4" ht="12.75" customHeight="1" x14ac:dyDescent="0.2">
      <c r="A3531" s="21"/>
      <c r="B3531" s="3" t="s">
        <v>16</v>
      </c>
      <c r="C3531" s="23"/>
      <c r="D3531" s="21"/>
    </row>
    <row r="3532" spans="1:4" ht="12.75" customHeight="1" x14ac:dyDescent="0.2">
      <c r="A3532" s="21"/>
      <c r="B3532" s="3" t="s">
        <v>17</v>
      </c>
      <c r="C3532" s="23" t="s">
        <v>19</v>
      </c>
      <c r="D3532" s="21"/>
    </row>
    <row r="3533" spans="1:4" ht="12.75" customHeight="1" x14ac:dyDescent="0.2">
      <c r="A3533" s="21"/>
      <c r="B3533" s="20" t="s">
        <v>18</v>
      </c>
      <c r="C3533" s="8" t="s">
        <v>44</v>
      </c>
      <c r="D3533" s="1" t="str">
        <f>HYPERLINK("javascript:void(0)","kompocsizma")</f>
        <v>kompocsizma</v>
      </c>
    </row>
    <row r="3534" spans="1:4" ht="12.75" customHeight="1" x14ac:dyDescent="0.2">
      <c r="A3534" s="21"/>
      <c r="B3534" s="21"/>
      <c r="C3534" s="8" t="s">
        <v>130</v>
      </c>
      <c r="D3534" s="1" t="str">
        <f>HYPERLINK("javascript:void(0)","antigrav bigyó")</f>
        <v>antigrav bigyó</v>
      </c>
    </row>
    <row r="3535" spans="1:4" ht="12.75" customHeight="1" x14ac:dyDescent="0.2">
      <c r="A3535" s="21"/>
      <c r="B3535" s="21"/>
      <c r="C3535" s="8" t="s">
        <v>67</v>
      </c>
      <c r="D3535" s="1" t="str">
        <f>HYPERLINK("javascript:void(0)","fénynyaláb")</f>
        <v>fénynyaláb</v>
      </c>
    </row>
    <row r="3536" spans="1:4" ht="12.75" customHeight="1" x14ac:dyDescent="0.2">
      <c r="A3536" s="21"/>
      <c r="B3536" s="2"/>
      <c r="C3536" s="7"/>
      <c r="D3536" s="7"/>
    </row>
    <row r="3537" spans="1:4" ht="12.75" customHeight="1" x14ac:dyDescent="0.2">
      <c r="A3537" s="21"/>
      <c r="B3537" s="2"/>
      <c r="C3537" s="7"/>
      <c r="D3537" s="7"/>
    </row>
    <row r="3538" spans="1:4" ht="12.75" customHeight="1" x14ac:dyDescent="0.2">
      <c r="A3538" s="21"/>
      <c r="B3538" s="2"/>
      <c r="C3538" s="7"/>
      <c r="D3538" s="7"/>
    </row>
    <row r="3539" spans="1:4" ht="12.75" customHeight="1" x14ac:dyDescent="0.2">
      <c r="A3539" s="21"/>
      <c r="B3539" s="2"/>
      <c r="C3539" s="7"/>
      <c r="D3539" s="7"/>
    </row>
    <row r="3540" spans="1:4" ht="12.75" customHeight="1" x14ac:dyDescent="0.2">
      <c r="A3540" s="5"/>
      <c r="B3540" s="2"/>
      <c r="C3540" s="7"/>
      <c r="D3540" s="7"/>
    </row>
    <row r="3541" spans="1:4" ht="12.75" customHeight="1" x14ac:dyDescent="0.2">
      <c r="A3541" s="22" t="str">
        <f>HYPERLINK("javascript:void(0)","sárpáncél")</f>
        <v>sárpáncél</v>
      </c>
      <c r="B3541" s="21"/>
      <c r="C3541" s="21"/>
      <c r="D3541" s="21"/>
    </row>
    <row r="3542" spans="1:4" ht="12.75" customHeight="1" x14ac:dyDescent="0.2">
      <c r="A3542" s="20"/>
      <c r="B3542" s="2"/>
      <c r="C3542" s="7"/>
      <c r="D3542" s="7"/>
    </row>
    <row r="3543" spans="1:4" ht="12.75" customHeight="1" x14ac:dyDescent="0.2">
      <c r="A3543" s="21"/>
      <c r="B3543" s="3" t="s">
        <v>0</v>
      </c>
      <c r="C3543" s="23" t="s">
        <v>178</v>
      </c>
      <c r="D3543" s="21"/>
    </row>
    <row r="3544" spans="1:4" ht="12.75" customHeight="1" x14ac:dyDescent="0.2">
      <c r="A3544" s="21"/>
      <c r="B3544" s="3" t="s">
        <v>2</v>
      </c>
      <c r="C3544" s="23" t="s">
        <v>2322</v>
      </c>
      <c r="D3544" s="21"/>
    </row>
    <row r="3545" spans="1:4" ht="12.75" customHeight="1" x14ac:dyDescent="0.2">
      <c r="A3545" s="21"/>
      <c r="B3545" s="3" t="s">
        <v>1840</v>
      </c>
      <c r="C3545" s="23" t="s">
        <v>883</v>
      </c>
      <c r="D3545" s="21"/>
    </row>
    <row r="3546" spans="1:4" ht="12.75" customHeight="1" x14ac:dyDescent="0.2">
      <c r="A3546" s="21"/>
      <c r="B3546" s="3" t="s">
        <v>9</v>
      </c>
      <c r="C3546" s="23" t="s">
        <v>200</v>
      </c>
      <c r="D3546" s="21"/>
    </row>
    <row r="3547" spans="1:4" ht="12.75" customHeight="1" x14ac:dyDescent="0.2">
      <c r="A3547" s="21"/>
      <c r="B3547" s="3" t="s">
        <v>11</v>
      </c>
      <c r="C3547" s="23" t="s">
        <v>289</v>
      </c>
      <c r="D3547" s="21"/>
    </row>
    <row r="3548" spans="1:4" ht="12.75" customHeight="1" x14ac:dyDescent="0.2">
      <c r="A3548" s="21"/>
      <c r="B3548" s="3" t="s">
        <v>16</v>
      </c>
      <c r="C3548" s="23"/>
      <c r="D3548" s="21"/>
    </row>
    <row r="3549" spans="1:4" ht="12.75" customHeight="1" x14ac:dyDescent="0.2">
      <c r="A3549" s="21"/>
      <c r="B3549" s="3" t="s">
        <v>17</v>
      </c>
      <c r="C3549" s="23" t="s">
        <v>19</v>
      </c>
      <c r="D3549" s="21"/>
    </row>
    <row r="3550" spans="1:4" ht="12.75" customHeight="1" x14ac:dyDescent="0.2">
      <c r="A3550" s="21"/>
      <c r="B3550" s="20" t="s">
        <v>18</v>
      </c>
      <c r="C3550" s="8" t="s">
        <v>44</v>
      </c>
      <c r="D3550" s="1" t="str">
        <f>HYPERLINK("javascript:void(0)","jégpáncél")</f>
        <v>jégpáncél</v>
      </c>
    </row>
    <row r="3551" spans="1:4" ht="12.75" customHeight="1" x14ac:dyDescent="0.2">
      <c r="A3551" s="21"/>
      <c r="B3551" s="21"/>
      <c r="C3551" s="8" t="s">
        <v>44</v>
      </c>
      <c r="D3551" s="1" t="str">
        <f>HYPERLINK("javascript:void(0)","gránitpáncél")</f>
        <v>gránitpáncél</v>
      </c>
    </row>
    <row r="3552" spans="1:4" ht="12.75" customHeight="1" x14ac:dyDescent="0.2">
      <c r="A3552" s="21"/>
      <c r="B3552" s="21"/>
      <c r="C3552" s="8" t="s">
        <v>232</v>
      </c>
      <c r="D3552" s="1" t="str">
        <f>HYPERLINK("javascript:void(0)","hiperzsír")</f>
        <v>hiperzsír</v>
      </c>
    </row>
    <row r="3553" spans="1:4" ht="12.75" customHeight="1" x14ac:dyDescent="0.2">
      <c r="A3553" s="21"/>
      <c r="B3553" s="2"/>
      <c r="C3553" s="7"/>
      <c r="D3553" s="7"/>
    </row>
    <row r="3554" spans="1:4" ht="12.75" customHeight="1" x14ac:dyDescent="0.2">
      <c r="A3554" s="21"/>
      <c r="B3554" s="2"/>
      <c r="C3554" s="7"/>
      <c r="D3554" s="7"/>
    </row>
    <row r="3555" spans="1:4" ht="12.75" customHeight="1" x14ac:dyDescent="0.2">
      <c r="A3555" s="21"/>
      <c r="B3555" s="2"/>
      <c r="C3555" s="7"/>
      <c r="D3555" s="7"/>
    </row>
    <row r="3556" spans="1:4" ht="12.75" customHeight="1" x14ac:dyDescent="0.2">
      <c r="A3556" s="21"/>
      <c r="B3556" s="2"/>
      <c r="C3556" s="7"/>
      <c r="D3556" s="7"/>
    </row>
    <row r="3557" spans="1:4" ht="12.75" customHeight="1" x14ac:dyDescent="0.2">
      <c r="A3557" s="5"/>
      <c r="B3557" s="2"/>
      <c r="C3557" s="7"/>
      <c r="D3557" s="7"/>
    </row>
    <row r="3558" spans="1:4" ht="12.75" customHeight="1" x14ac:dyDescent="0.2">
      <c r="A3558" s="22" t="str">
        <f>HYPERLINK("javascript:void(0)","gőzpáncél")</f>
        <v>gőzpáncél</v>
      </c>
      <c r="B3558" s="21"/>
      <c r="C3558" s="21"/>
      <c r="D3558" s="21"/>
    </row>
    <row r="3559" spans="1:4" ht="12.75" customHeight="1" x14ac:dyDescent="0.2">
      <c r="A3559" s="20"/>
      <c r="B3559" s="2"/>
      <c r="C3559" s="7"/>
      <c r="D3559" s="7"/>
    </row>
    <row r="3560" spans="1:4" ht="12.75" customHeight="1" x14ac:dyDescent="0.2">
      <c r="A3560" s="21"/>
      <c r="B3560" s="3" t="s">
        <v>0</v>
      </c>
      <c r="C3560" s="23" t="s">
        <v>178</v>
      </c>
      <c r="D3560" s="21"/>
    </row>
    <row r="3561" spans="1:4" ht="12.75" customHeight="1" x14ac:dyDescent="0.2">
      <c r="A3561" s="21"/>
      <c r="B3561" s="3" t="s">
        <v>2</v>
      </c>
      <c r="C3561" s="23" t="s">
        <v>2322</v>
      </c>
      <c r="D3561" s="21"/>
    </row>
    <row r="3562" spans="1:4" ht="12.75" customHeight="1" x14ac:dyDescent="0.2">
      <c r="A3562" s="21"/>
      <c r="B3562" s="3" t="s">
        <v>1840</v>
      </c>
      <c r="C3562" s="23" t="s">
        <v>874</v>
      </c>
      <c r="D3562" s="21"/>
    </row>
    <row r="3563" spans="1:4" ht="12.75" customHeight="1" x14ac:dyDescent="0.2">
      <c r="A3563" s="21"/>
      <c r="B3563" s="3" t="s">
        <v>9</v>
      </c>
      <c r="C3563" s="23" t="s">
        <v>53</v>
      </c>
      <c r="D3563" s="21"/>
    </row>
    <row r="3564" spans="1:4" ht="12.75" customHeight="1" x14ac:dyDescent="0.2">
      <c r="A3564" s="21"/>
      <c r="B3564" s="3" t="s">
        <v>11</v>
      </c>
      <c r="C3564" s="23" t="s">
        <v>289</v>
      </c>
      <c r="D3564" s="21"/>
    </row>
    <row r="3565" spans="1:4" ht="12.75" customHeight="1" x14ac:dyDescent="0.2">
      <c r="A3565" s="21"/>
      <c r="B3565" s="3" t="s">
        <v>16</v>
      </c>
      <c r="C3565" s="23"/>
      <c r="D3565" s="21"/>
    </row>
    <row r="3566" spans="1:4" ht="12.75" customHeight="1" x14ac:dyDescent="0.2">
      <c r="A3566" s="21"/>
      <c r="B3566" s="3" t="s">
        <v>17</v>
      </c>
      <c r="C3566" s="23" t="s">
        <v>19</v>
      </c>
      <c r="D3566" s="21"/>
    </row>
    <row r="3567" spans="1:4" ht="12.75" customHeight="1" x14ac:dyDescent="0.2">
      <c r="A3567" s="21"/>
      <c r="B3567" s="20" t="s">
        <v>18</v>
      </c>
      <c r="C3567" s="8" t="s">
        <v>44</v>
      </c>
      <c r="D3567" s="1" t="str">
        <f>HYPERLINK("javascript:void(0)","szélpáncél")</f>
        <v>szélpáncél</v>
      </c>
    </row>
    <row r="3568" spans="1:4" ht="12.75" customHeight="1" x14ac:dyDescent="0.2">
      <c r="A3568" s="21"/>
      <c r="B3568" s="21"/>
      <c r="C3568" s="8" t="s">
        <v>44</v>
      </c>
      <c r="D3568" s="1" t="str">
        <f>HYPERLINK("javascript:void(0)","lángpáncél")</f>
        <v>lángpáncél</v>
      </c>
    </row>
    <row r="3569" spans="1:4" ht="12.75" customHeight="1" x14ac:dyDescent="0.2">
      <c r="A3569" s="21"/>
      <c r="B3569" s="21"/>
      <c r="C3569" s="8" t="s">
        <v>232</v>
      </c>
      <c r="D3569" s="1" t="str">
        <f>HYPERLINK("javascript:void(0)","hiperzsír")</f>
        <v>hiperzsír</v>
      </c>
    </row>
    <row r="3570" spans="1:4" ht="12.75" customHeight="1" x14ac:dyDescent="0.2">
      <c r="A3570" s="21"/>
      <c r="B3570" s="2"/>
      <c r="C3570" s="7"/>
      <c r="D3570" s="7"/>
    </row>
    <row r="3571" spans="1:4" ht="12.75" customHeight="1" x14ac:dyDescent="0.2">
      <c r="A3571" s="21"/>
      <c r="B3571" s="2"/>
      <c r="C3571" s="7"/>
      <c r="D3571" s="7"/>
    </row>
    <row r="3572" spans="1:4" ht="12.75" customHeight="1" x14ac:dyDescent="0.2">
      <c r="A3572" s="21"/>
      <c r="B3572" s="2"/>
      <c r="C3572" s="7"/>
      <c r="D3572" s="7"/>
    </row>
    <row r="3573" spans="1:4" ht="12.75" customHeight="1" x14ac:dyDescent="0.2">
      <c r="A3573" s="21"/>
      <c r="B3573" s="2"/>
      <c r="C3573" s="7"/>
      <c r="D3573" s="7"/>
    </row>
    <row r="3574" spans="1:4" ht="12.75" customHeight="1" x14ac:dyDescent="0.2">
      <c r="A3574" s="5"/>
      <c r="B3574" s="2"/>
      <c r="C3574" s="7"/>
      <c r="D3574" s="7"/>
    </row>
    <row r="3575" spans="1:4" ht="12.75" customHeight="1" x14ac:dyDescent="0.2">
      <c r="A3575" s="22" t="str">
        <f>HYPERLINK("javascript:void(0)","magmapáncél")</f>
        <v>magmapáncél</v>
      </c>
      <c r="B3575" s="21"/>
      <c r="C3575" s="21"/>
      <c r="D3575" s="21"/>
    </row>
    <row r="3576" spans="1:4" ht="12.75" customHeight="1" x14ac:dyDescent="0.2">
      <c r="A3576" s="20"/>
      <c r="B3576" s="2"/>
      <c r="C3576" s="7"/>
      <c r="D3576" s="7"/>
    </row>
    <row r="3577" spans="1:4" ht="12.75" customHeight="1" x14ac:dyDescent="0.2">
      <c r="A3577" s="21"/>
      <c r="B3577" s="3" t="s">
        <v>0</v>
      </c>
      <c r="C3577" s="23" t="s">
        <v>178</v>
      </c>
      <c r="D3577" s="21"/>
    </row>
    <row r="3578" spans="1:4" ht="12.75" customHeight="1" x14ac:dyDescent="0.2">
      <c r="A3578" s="21"/>
      <c r="B3578" s="3" t="s">
        <v>2</v>
      </c>
      <c r="C3578" s="23" t="s">
        <v>2322</v>
      </c>
      <c r="D3578" s="21"/>
    </row>
    <row r="3579" spans="1:4" ht="12.75" customHeight="1" x14ac:dyDescent="0.2">
      <c r="A3579" s="21"/>
      <c r="B3579" s="3" t="s">
        <v>1840</v>
      </c>
      <c r="C3579" s="23" t="s">
        <v>896</v>
      </c>
      <c r="D3579" s="21"/>
    </row>
    <row r="3580" spans="1:4" ht="12.75" customHeight="1" x14ac:dyDescent="0.2">
      <c r="A3580" s="21"/>
      <c r="B3580" s="3" t="s">
        <v>9</v>
      </c>
      <c r="C3580" s="23" t="s">
        <v>2364</v>
      </c>
      <c r="D3580" s="21"/>
    </row>
    <row r="3581" spans="1:4" ht="12.75" customHeight="1" x14ac:dyDescent="0.2">
      <c r="A3581" s="21"/>
      <c r="B3581" s="3" t="s">
        <v>11</v>
      </c>
      <c r="C3581" s="23" t="s">
        <v>289</v>
      </c>
      <c r="D3581" s="21"/>
    </row>
    <row r="3582" spans="1:4" ht="12.75" customHeight="1" x14ac:dyDescent="0.2">
      <c r="A3582" s="21"/>
      <c r="B3582" s="3" t="s">
        <v>16</v>
      </c>
      <c r="C3582" s="23"/>
      <c r="D3582" s="21"/>
    </row>
    <row r="3583" spans="1:4" ht="12.75" customHeight="1" x14ac:dyDescent="0.2">
      <c r="A3583" s="21"/>
      <c r="B3583" s="3" t="s">
        <v>17</v>
      </c>
      <c r="C3583" s="23" t="s">
        <v>19</v>
      </c>
      <c r="D3583" s="21"/>
    </row>
    <row r="3584" spans="1:4" ht="12.75" customHeight="1" x14ac:dyDescent="0.2">
      <c r="A3584" s="21"/>
      <c r="B3584" s="20" t="s">
        <v>18</v>
      </c>
      <c r="C3584" s="8" t="s">
        <v>44</v>
      </c>
      <c r="D3584" s="1" t="str">
        <f>HYPERLINK("javascript:void(0)","lángpáncél")</f>
        <v>lángpáncél</v>
      </c>
    </row>
    <row r="3585" spans="1:4" ht="12.75" customHeight="1" x14ac:dyDescent="0.2">
      <c r="A3585" s="21"/>
      <c r="B3585" s="21"/>
      <c r="C3585" s="8" t="s">
        <v>44</v>
      </c>
      <c r="D3585" s="1" t="str">
        <f>HYPERLINK("javascript:void(0)","gránitpáncél")</f>
        <v>gránitpáncél</v>
      </c>
    </row>
    <row r="3586" spans="1:4" ht="12.75" customHeight="1" x14ac:dyDescent="0.2">
      <c r="A3586" s="21"/>
      <c r="B3586" s="21"/>
      <c r="C3586" s="8" t="s">
        <v>232</v>
      </c>
      <c r="D3586" s="1" t="str">
        <f>HYPERLINK("javascript:void(0)","hiperzsír")</f>
        <v>hiperzsír</v>
      </c>
    </row>
    <row r="3587" spans="1:4" ht="12.75" customHeight="1" x14ac:dyDescent="0.2">
      <c r="A3587" s="21"/>
      <c r="B3587" s="2"/>
      <c r="C3587" s="7"/>
      <c r="D3587" s="7"/>
    </row>
    <row r="3588" spans="1:4" ht="12.75" customHeight="1" x14ac:dyDescent="0.2">
      <c r="A3588" s="21"/>
      <c r="B3588" s="2"/>
      <c r="C3588" s="7"/>
      <c r="D3588" s="7"/>
    </row>
    <row r="3589" spans="1:4" ht="12.75" customHeight="1" x14ac:dyDescent="0.2">
      <c r="A3589" s="21"/>
      <c r="B3589" s="2"/>
      <c r="C3589" s="7"/>
      <c r="D3589" s="7"/>
    </row>
    <row r="3590" spans="1:4" ht="12.75" customHeight="1" x14ac:dyDescent="0.2">
      <c r="A3590" s="21"/>
      <c r="B3590" s="2"/>
      <c r="C3590" s="7"/>
      <c r="D3590" s="7"/>
    </row>
    <row r="3591" spans="1:4" ht="12.75" customHeight="1" x14ac:dyDescent="0.2">
      <c r="A3591" s="5"/>
      <c r="B3591" s="2"/>
      <c r="C3591" s="7"/>
      <c r="D3591" s="7"/>
    </row>
    <row r="3592" spans="1:4" ht="12.75" customHeight="1" x14ac:dyDescent="0.2">
      <c r="A3592" s="22" t="str">
        <f>HYPERLINK("javascript:void(0)","dérpáncél")</f>
        <v>dérpáncél</v>
      </c>
      <c r="B3592" s="21"/>
      <c r="C3592" s="21"/>
      <c r="D3592" s="21"/>
    </row>
    <row r="3593" spans="1:4" ht="12.75" customHeight="1" x14ac:dyDescent="0.2">
      <c r="A3593" s="20"/>
      <c r="B3593" s="2"/>
      <c r="C3593" s="7"/>
      <c r="D3593" s="7"/>
    </row>
    <row r="3594" spans="1:4" ht="12.75" customHeight="1" x14ac:dyDescent="0.2">
      <c r="A3594" s="21"/>
      <c r="B3594" s="3" t="s">
        <v>0</v>
      </c>
      <c r="C3594" s="23" t="s">
        <v>178</v>
      </c>
      <c r="D3594" s="21"/>
    </row>
    <row r="3595" spans="1:4" ht="12.75" customHeight="1" x14ac:dyDescent="0.2">
      <c r="A3595" s="21"/>
      <c r="B3595" s="3" t="s">
        <v>2</v>
      </c>
      <c r="C3595" s="23" t="s">
        <v>2322</v>
      </c>
      <c r="D3595" s="21"/>
    </row>
    <row r="3596" spans="1:4" ht="12.75" customHeight="1" x14ac:dyDescent="0.2">
      <c r="A3596" s="21"/>
      <c r="B3596" s="3" t="s">
        <v>1840</v>
      </c>
      <c r="C3596" s="23" t="s">
        <v>883</v>
      </c>
      <c r="D3596" s="21"/>
    </row>
    <row r="3597" spans="1:4" ht="12.75" customHeight="1" x14ac:dyDescent="0.2">
      <c r="A3597" s="21"/>
      <c r="B3597" s="3" t="s">
        <v>9</v>
      </c>
      <c r="C3597" s="23" t="s">
        <v>84</v>
      </c>
      <c r="D3597" s="21"/>
    </row>
    <row r="3598" spans="1:4" ht="12.75" customHeight="1" x14ac:dyDescent="0.2">
      <c r="A3598" s="21"/>
      <c r="B3598" s="3" t="s">
        <v>11</v>
      </c>
      <c r="C3598" s="23" t="s">
        <v>289</v>
      </c>
      <c r="D3598" s="21"/>
    </row>
    <row r="3599" spans="1:4" ht="12.75" customHeight="1" x14ac:dyDescent="0.2">
      <c r="A3599" s="21"/>
      <c r="B3599" s="3" t="s">
        <v>16</v>
      </c>
      <c r="C3599" s="23"/>
      <c r="D3599" s="21"/>
    </row>
    <row r="3600" spans="1:4" ht="12.75" customHeight="1" x14ac:dyDescent="0.2">
      <c r="A3600" s="21"/>
      <c r="B3600" s="3" t="s">
        <v>17</v>
      </c>
      <c r="C3600" s="23" t="s">
        <v>19</v>
      </c>
      <c r="D3600" s="21"/>
    </row>
    <row r="3601" spans="1:4" ht="12.75" customHeight="1" x14ac:dyDescent="0.2">
      <c r="A3601" s="21"/>
      <c r="B3601" s="20" t="s">
        <v>18</v>
      </c>
      <c r="C3601" s="8" t="s">
        <v>44</v>
      </c>
      <c r="D3601" s="1" t="str">
        <f>HYPERLINK("javascript:void(0)","szélpáncél")</f>
        <v>szélpáncél</v>
      </c>
    </row>
    <row r="3602" spans="1:4" ht="12.75" customHeight="1" x14ac:dyDescent="0.2">
      <c r="A3602" s="21"/>
      <c r="B3602" s="21"/>
      <c r="C3602" s="8" t="s">
        <v>44</v>
      </c>
      <c r="D3602" s="1" t="str">
        <f>HYPERLINK("javascript:void(0)","jégpáncél")</f>
        <v>jégpáncél</v>
      </c>
    </row>
    <row r="3603" spans="1:4" ht="12.75" customHeight="1" x14ac:dyDescent="0.2">
      <c r="A3603" s="21"/>
      <c r="B3603" s="21"/>
      <c r="C3603" s="8" t="s">
        <v>232</v>
      </c>
      <c r="D3603" s="1" t="str">
        <f>HYPERLINK("javascript:void(0)","hiperzsír")</f>
        <v>hiperzsír</v>
      </c>
    </row>
    <row r="3604" spans="1:4" ht="12.75" customHeight="1" x14ac:dyDescent="0.2">
      <c r="A3604" s="21"/>
      <c r="B3604" s="2"/>
      <c r="C3604" s="7"/>
      <c r="D3604" s="7"/>
    </row>
    <row r="3605" spans="1:4" ht="12.75" customHeight="1" x14ac:dyDescent="0.2">
      <c r="A3605" s="21"/>
      <c r="B3605" s="2"/>
      <c r="C3605" s="7"/>
      <c r="D3605" s="7"/>
    </row>
    <row r="3606" spans="1:4" ht="12.75" customHeight="1" x14ac:dyDescent="0.2">
      <c r="A3606" s="21"/>
      <c r="B3606" s="2"/>
      <c r="C3606" s="7"/>
      <c r="D3606" s="7"/>
    </row>
    <row r="3607" spans="1:4" ht="12.75" customHeight="1" x14ac:dyDescent="0.2">
      <c r="A3607" s="21"/>
      <c r="B3607" s="2"/>
      <c r="C3607" s="7"/>
      <c r="D3607" s="7"/>
    </row>
    <row r="3608" spans="1:4" ht="12.75" customHeight="1" x14ac:dyDescent="0.2">
      <c r="A3608" s="5"/>
      <c r="B3608" s="2"/>
      <c r="C3608" s="7"/>
      <c r="D3608" s="7"/>
    </row>
    <row r="3609" spans="1:4" ht="12.75" customHeight="1" x14ac:dyDescent="0.2">
      <c r="A3609" s="22" t="str">
        <f>HYPERLINK("javascript:void(0)","szalagsisak")</f>
        <v>szalagsisak</v>
      </c>
      <c r="B3609" s="21"/>
      <c r="C3609" s="21"/>
      <c r="D3609" s="21"/>
    </row>
    <row r="3610" spans="1:4" ht="12.75" customHeight="1" x14ac:dyDescent="0.2">
      <c r="A3610" s="20"/>
      <c r="B3610" s="2"/>
      <c r="C3610" s="7"/>
      <c r="D3610" s="7"/>
    </row>
    <row r="3611" spans="1:4" ht="12.75" customHeight="1" x14ac:dyDescent="0.2">
      <c r="A3611" s="21"/>
      <c r="B3611" s="3" t="s">
        <v>0</v>
      </c>
      <c r="C3611" s="23" t="s">
        <v>178</v>
      </c>
      <c r="D3611" s="21"/>
    </row>
    <row r="3612" spans="1:4" ht="12.75" customHeight="1" x14ac:dyDescent="0.2">
      <c r="A3612" s="21"/>
      <c r="B3612" s="3" t="s">
        <v>2</v>
      </c>
      <c r="C3612" s="23"/>
      <c r="D3612" s="21"/>
    </row>
    <row r="3613" spans="1:4" ht="12.75" customHeight="1" x14ac:dyDescent="0.2">
      <c r="A3613" s="21"/>
      <c r="B3613" s="3" t="s">
        <v>1840</v>
      </c>
      <c r="C3613" s="23" t="s">
        <v>60</v>
      </c>
      <c r="D3613" s="21"/>
    </row>
    <row r="3614" spans="1:4" ht="12.75" customHeight="1" x14ac:dyDescent="0.2">
      <c r="A3614" s="21"/>
      <c r="B3614" s="3" t="s">
        <v>9</v>
      </c>
      <c r="C3614" s="23" t="s">
        <v>147</v>
      </c>
      <c r="D3614" s="21"/>
    </row>
    <row r="3615" spans="1:4" ht="12.75" customHeight="1" x14ac:dyDescent="0.2">
      <c r="A3615" s="21"/>
      <c r="B3615" s="3" t="s">
        <v>11</v>
      </c>
      <c r="C3615" s="23" t="s">
        <v>279</v>
      </c>
      <c r="D3615" s="21"/>
    </row>
    <row r="3616" spans="1:4" ht="12.75" customHeight="1" x14ac:dyDescent="0.2">
      <c r="A3616" s="21"/>
      <c r="B3616" s="3" t="s">
        <v>16</v>
      </c>
      <c r="C3616" s="23"/>
      <c r="D3616" s="21"/>
    </row>
    <row r="3617" spans="1:4" ht="12.75" customHeight="1" x14ac:dyDescent="0.2">
      <c r="A3617" s="21"/>
      <c r="B3617" s="3" t="s">
        <v>17</v>
      </c>
      <c r="C3617" s="23" t="s">
        <v>19</v>
      </c>
      <c r="D3617" s="21"/>
    </row>
    <row r="3618" spans="1:4" ht="12.75" customHeight="1" x14ac:dyDescent="0.2">
      <c r="A3618" s="21"/>
      <c r="B3618" s="20" t="s">
        <v>18</v>
      </c>
      <c r="C3618" s="8" t="s">
        <v>67</v>
      </c>
      <c r="D3618" s="1" t="str">
        <f>HYPERLINK("javascript:void(0)","ínszalag")</f>
        <v>ínszalag</v>
      </c>
    </row>
    <row r="3619" spans="1:4" ht="12.75" customHeight="1" x14ac:dyDescent="0.2">
      <c r="A3619" s="21"/>
      <c r="B3619" s="21"/>
      <c r="C3619" s="8" t="s">
        <v>44</v>
      </c>
      <c r="D3619" s="1" t="str">
        <f>HYPERLINK("javascript:void(0)","parszi sisak")</f>
        <v>parszi sisak</v>
      </c>
    </row>
    <row r="3620" spans="1:4" ht="12.75" customHeight="1" x14ac:dyDescent="0.2">
      <c r="A3620" s="21"/>
      <c r="B3620" s="21"/>
      <c r="C3620" s="8" t="s">
        <v>335</v>
      </c>
      <c r="D3620" s="1" t="str">
        <f>HYPERLINK("javascript:void(0)","sárkány szem")</f>
        <v>sárkány szem</v>
      </c>
    </row>
    <row r="3621" spans="1:4" ht="12.75" customHeight="1" x14ac:dyDescent="0.2">
      <c r="A3621" s="21"/>
      <c r="B3621" s="2"/>
      <c r="C3621" s="7"/>
      <c r="D3621" s="7"/>
    </row>
    <row r="3622" spans="1:4" ht="12.75" customHeight="1" x14ac:dyDescent="0.2">
      <c r="A3622" s="21"/>
      <c r="B3622" s="2"/>
      <c r="C3622" s="7"/>
      <c r="D3622" s="7"/>
    </row>
    <row r="3623" spans="1:4" ht="12.75" customHeight="1" x14ac:dyDescent="0.2">
      <c r="A3623" s="21"/>
      <c r="B3623" s="2"/>
      <c r="C3623" s="7"/>
      <c r="D3623" s="7"/>
    </row>
    <row r="3624" spans="1:4" ht="12.75" customHeight="1" x14ac:dyDescent="0.2">
      <c r="A3624" s="21"/>
      <c r="B3624" s="2"/>
      <c r="C3624" s="7"/>
      <c r="D3624" s="7"/>
    </row>
    <row r="3625" spans="1:4" ht="12.75" customHeight="1" x14ac:dyDescent="0.2">
      <c r="A3625" s="5"/>
      <c r="B3625" s="2"/>
      <c r="C3625" s="7"/>
      <c r="D3625" s="7"/>
    </row>
    <row r="3626" spans="1:4" ht="12.75" customHeight="1" x14ac:dyDescent="0.2">
      <c r="A3626" s="22" t="str">
        <f>HYPERLINK("javascript:void(0)","szalagpajzs")</f>
        <v>szalagpajzs</v>
      </c>
      <c r="B3626" s="21"/>
      <c r="C3626" s="21"/>
      <c r="D3626" s="21"/>
    </row>
    <row r="3627" spans="1:4" ht="12.75" customHeight="1" x14ac:dyDescent="0.2">
      <c r="A3627" s="20"/>
      <c r="B3627" s="2"/>
      <c r="C3627" s="7"/>
      <c r="D3627" s="7"/>
    </row>
    <row r="3628" spans="1:4" ht="12.75" customHeight="1" x14ac:dyDescent="0.2">
      <c r="A3628" s="21"/>
      <c r="B3628" s="3" t="s">
        <v>0</v>
      </c>
      <c r="C3628" s="23" t="s">
        <v>178</v>
      </c>
      <c r="D3628" s="21"/>
    </row>
    <row r="3629" spans="1:4" ht="12.75" customHeight="1" x14ac:dyDescent="0.2">
      <c r="A3629" s="21"/>
      <c r="B3629" s="3" t="s">
        <v>2</v>
      </c>
      <c r="C3629" s="23" t="s">
        <v>1839</v>
      </c>
      <c r="D3629" s="21"/>
    </row>
    <row r="3630" spans="1:4" ht="12.75" customHeight="1" x14ac:dyDescent="0.2">
      <c r="A3630" s="21"/>
      <c r="B3630" s="3" t="s">
        <v>1840</v>
      </c>
      <c r="C3630" s="23" t="s">
        <v>671</v>
      </c>
      <c r="D3630" s="21"/>
    </row>
    <row r="3631" spans="1:4" ht="12.75" customHeight="1" x14ac:dyDescent="0.2">
      <c r="A3631" s="21"/>
      <c r="B3631" s="3" t="s">
        <v>9</v>
      </c>
      <c r="C3631" s="23" t="s">
        <v>179</v>
      </c>
      <c r="D3631" s="21"/>
    </row>
    <row r="3632" spans="1:4" ht="12.75" customHeight="1" x14ac:dyDescent="0.2">
      <c r="A3632" s="21"/>
      <c r="B3632" s="3" t="s">
        <v>11</v>
      </c>
      <c r="C3632" s="23" t="s">
        <v>368</v>
      </c>
      <c r="D3632" s="21"/>
    </row>
    <row r="3633" spans="1:4" ht="12.75" customHeight="1" x14ac:dyDescent="0.2">
      <c r="A3633" s="21"/>
      <c r="B3633" s="3" t="s">
        <v>16</v>
      </c>
      <c r="C3633" s="23"/>
      <c r="D3633" s="21"/>
    </row>
    <row r="3634" spans="1:4" ht="12.75" customHeight="1" x14ac:dyDescent="0.2">
      <c r="A3634" s="21"/>
      <c r="B3634" s="3" t="s">
        <v>17</v>
      </c>
      <c r="C3634" s="23" t="s">
        <v>19</v>
      </c>
      <c r="D3634" s="21"/>
    </row>
    <row r="3635" spans="1:4" ht="12.75" customHeight="1" x14ac:dyDescent="0.2">
      <c r="A3635" s="21"/>
      <c r="B3635" s="20" t="s">
        <v>18</v>
      </c>
      <c r="C3635" s="8" t="s">
        <v>67</v>
      </c>
      <c r="D3635" s="1" t="str">
        <f>HYPERLINK("javascript:void(0)","ínszalag")</f>
        <v>ínszalag</v>
      </c>
    </row>
    <row r="3636" spans="1:4" ht="12.75" customHeight="1" x14ac:dyDescent="0.2">
      <c r="A3636" s="21"/>
      <c r="B3636" s="21"/>
      <c r="C3636" s="8" t="s">
        <v>44</v>
      </c>
      <c r="D3636" s="1" t="str">
        <f>HYPERLINK("javascript:void(0)","óriásacél pajzs")</f>
        <v>óriásacél pajzs</v>
      </c>
    </row>
    <row r="3637" spans="1:4" ht="12.75" customHeight="1" x14ac:dyDescent="0.2">
      <c r="A3637" s="21"/>
      <c r="B3637" s="21"/>
      <c r="C3637" s="8" t="s">
        <v>117</v>
      </c>
      <c r="D3637" s="1" t="str">
        <f>HYPERLINK("javascript:void(0)","hiperzsír")</f>
        <v>hiperzsír</v>
      </c>
    </row>
    <row r="3638" spans="1:4" ht="12.75" customHeight="1" x14ac:dyDescent="0.2">
      <c r="A3638" s="21"/>
      <c r="B3638" s="2"/>
      <c r="C3638" s="7"/>
      <c r="D3638" s="7"/>
    </row>
    <row r="3639" spans="1:4" ht="12.75" customHeight="1" x14ac:dyDescent="0.2">
      <c r="A3639" s="21"/>
      <c r="B3639" s="2"/>
      <c r="C3639" s="7"/>
      <c r="D3639" s="7"/>
    </row>
    <row r="3640" spans="1:4" ht="12.75" customHeight="1" x14ac:dyDescent="0.2">
      <c r="A3640" s="21"/>
      <c r="B3640" s="2"/>
      <c r="C3640" s="7"/>
      <c r="D3640" s="7"/>
    </row>
    <row r="3641" spans="1:4" ht="12.75" customHeight="1" x14ac:dyDescent="0.2">
      <c r="A3641" s="21"/>
      <c r="B3641" s="2"/>
      <c r="C3641" s="7"/>
      <c r="D3641" s="7"/>
    </row>
    <row r="3642" spans="1:4" ht="12.75" customHeight="1" x14ac:dyDescent="0.2">
      <c r="A3642" s="5"/>
      <c r="B3642" s="2"/>
      <c r="C3642" s="7"/>
      <c r="D3642" s="7"/>
    </row>
    <row r="3643" spans="1:4" ht="12.75" customHeight="1" x14ac:dyDescent="0.2">
      <c r="A3643" s="22" t="str">
        <f>HYPERLINK("javascript:void(0)","szalagcsizma")</f>
        <v>szalagcsizma</v>
      </c>
      <c r="B3643" s="21"/>
      <c r="C3643" s="21"/>
      <c r="D3643" s="21"/>
    </row>
    <row r="3644" spans="1:4" ht="12.75" customHeight="1" x14ac:dyDescent="0.2">
      <c r="A3644" s="20"/>
      <c r="B3644" s="2"/>
      <c r="C3644" s="7"/>
      <c r="D3644" s="7"/>
    </row>
    <row r="3645" spans="1:4" ht="12.75" customHeight="1" x14ac:dyDescent="0.2">
      <c r="A3645" s="21"/>
      <c r="B3645" s="3" t="s">
        <v>0</v>
      </c>
      <c r="C3645" s="23" t="s">
        <v>178</v>
      </c>
      <c r="D3645" s="21"/>
    </row>
    <row r="3646" spans="1:4" ht="12.75" customHeight="1" x14ac:dyDescent="0.2">
      <c r="A3646" s="21"/>
      <c r="B3646" s="3" t="s">
        <v>2</v>
      </c>
      <c r="C3646" s="23"/>
      <c r="D3646" s="21"/>
    </row>
    <row r="3647" spans="1:4" ht="12.75" customHeight="1" x14ac:dyDescent="0.2">
      <c r="A3647" s="21"/>
      <c r="B3647" s="3" t="s">
        <v>1840</v>
      </c>
      <c r="C3647" s="23" t="s">
        <v>468</v>
      </c>
      <c r="D3647" s="21"/>
    </row>
    <row r="3648" spans="1:4" ht="12.75" customHeight="1" x14ac:dyDescent="0.2">
      <c r="A3648" s="21"/>
      <c r="B3648" s="3" t="s">
        <v>9</v>
      </c>
      <c r="C3648" s="23" t="s">
        <v>172</v>
      </c>
      <c r="D3648" s="21"/>
    </row>
    <row r="3649" spans="1:4" ht="12.75" customHeight="1" x14ac:dyDescent="0.2">
      <c r="A3649" s="21"/>
      <c r="B3649" s="3" t="s">
        <v>11</v>
      </c>
      <c r="C3649" s="23" t="s">
        <v>321</v>
      </c>
      <c r="D3649" s="21"/>
    </row>
    <row r="3650" spans="1:4" ht="12.75" customHeight="1" x14ac:dyDescent="0.2">
      <c r="A3650" s="21"/>
      <c r="B3650" s="3" t="s">
        <v>16</v>
      </c>
      <c r="C3650" s="23"/>
      <c r="D3650" s="21"/>
    </row>
    <row r="3651" spans="1:4" ht="12.75" customHeight="1" x14ac:dyDescent="0.2">
      <c r="A3651" s="21"/>
      <c r="B3651" s="3" t="s">
        <v>17</v>
      </c>
      <c r="C3651" s="23" t="s">
        <v>19</v>
      </c>
      <c r="D3651" s="21"/>
    </row>
    <row r="3652" spans="1:4" ht="12.75" customHeight="1" x14ac:dyDescent="0.2">
      <c r="A3652" s="21"/>
      <c r="B3652" s="20" t="s">
        <v>18</v>
      </c>
      <c r="C3652" s="8" t="s">
        <v>67</v>
      </c>
      <c r="D3652" s="1" t="str">
        <f>HYPERLINK("javascript:void(0)","ínszalag")</f>
        <v>ínszalag</v>
      </c>
    </row>
    <row r="3653" spans="1:4" ht="12.75" customHeight="1" x14ac:dyDescent="0.2">
      <c r="A3653" s="21"/>
      <c r="B3653" s="21"/>
      <c r="C3653" s="8" t="s">
        <v>44</v>
      </c>
      <c r="D3653" s="1" t="str">
        <f>HYPERLINK("javascript:void(0)","körömcipő")</f>
        <v>körömcipő</v>
      </c>
    </row>
    <row r="3654" spans="1:4" ht="12.75" customHeight="1" x14ac:dyDescent="0.2">
      <c r="A3654" s="21"/>
      <c r="B3654" s="21"/>
      <c r="C3654" s="8" t="s">
        <v>232</v>
      </c>
      <c r="D3654" s="1" t="str">
        <f>HYPERLINK("javascript:void(0)","óriás korona")</f>
        <v>óriás korona</v>
      </c>
    </row>
    <row r="3655" spans="1:4" ht="12.75" customHeight="1" x14ac:dyDescent="0.2">
      <c r="A3655" s="21"/>
      <c r="B3655" s="2"/>
      <c r="C3655" s="7"/>
      <c r="D3655" s="7"/>
    </row>
    <row r="3656" spans="1:4" ht="12.75" customHeight="1" x14ac:dyDescent="0.2">
      <c r="A3656" s="21"/>
      <c r="B3656" s="2"/>
      <c r="C3656" s="7"/>
      <c r="D3656" s="7"/>
    </row>
    <row r="3657" spans="1:4" ht="12.75" customHeight="1" x14ac:dyDescent="0.2">
      <c r="A3657" s="21"/>
      <c r="B3657" s="2"/>
      <c r="C3657" s="7"/>
      <c r="D3657" s="7"/>
    </row>
    <row r="3658" spans="1:4" ht="12.75" customHeight="1" x14ac:dyDescent="0.2">
      <c r="A3658" s="21"/>
      <c r="B3658" s="2"/>
      <c r="C3658" s="7"/>
      <c r="D3658" s="7"/>
    </row>
    <row r="3659" spans="1:4" ht="12.75" customHeight="1" x14ac:dyDescent="0.2">
      <c r="A3659" s="5"/>
      <c r="B3659" s="2"/>
      <c r="C3659" s="7"/>
      <c r="D3659" s="7"/>
    </row>
    <row r="3660" spans="1:4" ht="12.75" customHeight="1" x14ac:dyDescent="0.2">
      <c r="A3660" s="22" t="str">
        <f>HYPERLINK("javascript:void(0)","diszpro pillepajzs")</f>
        <v>diszpro pillepajzs</v>
      </c>
      <c r="B3660" s="21"/>
      <c r="C3660" s="21"/>
      <c r="D3660" s="21"/>
    </row>
    <row r="3661" spans="1:4" ht="12.75" customHeight="1" x14ac:dyDescent="0.2">
      <c r="A3661" s="20"/>
      <c r="B3661" s="2"/>
      <c r="C3661" s="7"/>
      <c r="D3661" s="7"/>
    </row>
    <row r="3662" spans="1:4" ht="12.75" customHeight="1" x14ac:dyDescent="0.2">
      <c r="A3662" s="21"/>
      <c r="B3662" s="3" t="s">
        <v>0</v>
      </c>
      <c r="C3662" s="23" t="s">
        <v>178</v>
      </c>
      <c r="D3662" s="21"/>
    </row>
    <row r="3663" spans="1:4" ht="12.75" customHeight="1" x14ac:dyDescent="0.2">
      <c r="A3663" s="21"/>
      <c r="B3663" s="3" t="s">
        <v>2</v>
      </c>
      <c r="C3663" s="23" t="s">
        <v>1839</v>
      </c>
      <c r="D3663" s="21"/>
    </row>
    <row r="3664" spans="1:4" ht="12.75" customHeight="1" x14ac:dyDescent="0.2">
      <c r="A3664" s="21"/>
      <c r="B3664" s="3" t="s">
        <v>1840</v>
      </c>
      <c r="C3664" s="23" t="s">
        <v>671</v>
      </c>
      <c r="D3664" s="21"/>
    </row>
    <row r="3665" spans="1:4" ht="12.75" customHeight="1" x14ac:dyDescent="0.2">
      <c r="A3665" s="21"/>
      <c r="B3665" s="3" t="s">
        <v>9</v>
      </c>
      <c r="C3665" s="23" t="s">
        <v>738</v>
      </c>
      <c r="D3665" s="21"/>
    </row>
    <row r="3666" spans="1:4" ht="12.75" customHeight="1" x14ac:dyDescent="0.2">
      <c r="A3666" s="21"/>
      <c r="B3666" s="3" t="s">
        <v>11</v>
      </c>
      <c r="C3666" s="23" t="s">
        <v>381</v>
      </c>
      <c r="D3666" s="21"/>
    </row>
    <row r="3667" spans="1:4" ht="12.75" customHeight="1" x14ac:dyDescent="0.2">
      <c r="A3667" s="21"/>
      <c r="B3667" s="3" t="s">
        <v>16</v>
      </c>
      <c r="C3667" s="23"/>
      <c r="D3667" s="21"/>
    </row>
    <row r="3668" spans="1:4" ht="12.75" customHeight="1" x14ac:dyDescent="0.2">
      <c r="A3668" s="21"/>
      <c r="B3668" s="3" t="s">
        <v>17</v>
      </c>
      <c r="C3668" s="23" t="s">
        <v>19</v>
      </c>
      <c r="D3668" s="21"/>
    </row>
    <row r="3669" spans="1:4" ht="12.75" customHeight="1" x14ac:dyDescent="0.2">
      <c r="A3669" s="21"/>
      <c r="B3669" s="20" t="s">
        <v>18</v>
      </c>
      <c r="C3669" s="8" t="s">
        <v>44</v>
      </c>
      <c r="D3669" s="1" t="str">
        <f>HYPERLINK("javascript:void(0)","szalagpajzs")</f>
        <v>szalagpajzs</v>
      </c>
    </row>
    <row r="3670" spans="1:4" ht="12.75" customHeight="1" x14ac:dyDescent="0.2">
      <c r="A3670" s="21"/>
      <c r="B3670" s="21"/>
      <c r="C3670" s="8" t="s">
        <v>280</v>
      </c>
      <c r="D3670" s="1" t="str">
        <f>HYPERLINK("javascript:void(0)","diszprózium")</f>
        <v>diszprózium</v>
      </c>
    </row>
    <row r="3671" spans="1:4" ht="12.75" customHeight="1" x14ac:dyDescent="0.2">
      <c r="A3671" s="21"/>
      <c r="B3671" s="21"/>
      <c r="C3671" s="8" t="s">
        <v>117</v>
      </c>
      <c r="D3671" s="1" t="str">
        <f>HYPERLINK("javascript:void(0)","képcső")</f>
        <v>képcső</v>
      </c>
    </row>
    <row r="3672" spans="1:4" ht="12.75" customHeight="1" x14ac:dyDescent="0.2">
      <c r="A3672" s="21"/>
      <c r="B3672" s="2"/>
      <c r="C3672" s="7"/>
      <c r="D3672" s="7"/>
    </row>
    <row r="3673" spans="1:4" ht="12.75" customHeight="1" x14ac:dyDescent="0.2">
      <c r="A3673" s="21"/>
      <c r="B3673" s="2"/>
      <c r="C3673" s="7"/>
      <c r="D3673" s="7"/>
    </row>
    <row r="3674" spans="1:4" ht="12.75" customHeight="1" x14ac:dyDescent="0.2">
      <c r="A3674" s="21"/>
      <c r="B3674" s="2"/>
      <c r="C3674" s="7"/>
      <c r="D3674" s="7"/>
    </row>
    <row r="3675" spans="1:4" ht="12.75" customHeight="1" x14ac:dyDescent="0.2">
      <c r="A3675" s="21"/>
      <c r="B3675" s="2"/>
      <c r="C3675" s="7"/>
      <c r="D3675" s="7"/>
    </row>
    <row r="3676" spans="1:4" ht="12.75" customHeight="1" x14ac:dyDescent="0.2">
      <c r="A3676" s="5"/>
      <c r="B3676" s="2"/>
      <c r="C3676" s="7"/>
      <c r="D3676" s="7"/>
    </row>
    <row r="3677" spans="1:4" ht="12.75" customHeight="1" x14ac:dyDescent="0.2">
      <c r="A3677" s="22" t="str">
        <f>HYPERLINK("javascript:void(0)","vörös elemipáncél")</f>
        <v>vörös elemipáncél</v>
      </c>
      <c r="B3677" s="21"/>
      <c r="C3677" s="21"/>
      <c r="D3677" s="21"/>
    </row>
    <row r="3678" spans="1:4" ht="12.75" customHeight="1" x14ac:dyDescent="0.2">
      <c r="A3678" s="20"/>
      <c r="B3678" s="2"/>
      <c r="C3678" s="7"/>
      <c r="D3678" s="7"/>
    </row>
    <row r="3679" spans="1:4" ht="12.75" customHeight="1" x14ac:dyDescent="0.2">
      <c r="A3679" s="21"/>
      <c r="B3679" s="3" t="s">
        <v>0</v>
      </c>
      <c r="C3679" s="23" t="s">
        <v>340</v>
      </c>
      <c r="D3679" s="21"/>
    </row>
    <row r="3680" spans="1:4" ht="12.75" customHeight="1" x14ac:dyDescent="0.2">
      <c r="A3680" s="21"/>
      <c r="B3680" s="3" t="s">
        <v>2</v>
      </c>
      <c r="C3680" s="23" t="s">
        <v>2322</v>
      </c>
      <c r="D3680" s="21"/>
    </row>
    <row r="3681" spans="1:4" ht="12.75" customHeight="1" x14ac:dyDescent="0.2">
      <c r="A3681" s="21"/>
      <c r="B3681" s="3" t="s">
        <v>1840</v>
      </c>
      <c r="C3681" s="23" t="s">
        <v>190</v>
      </c>
      <c r="D3681" s="21"/>
    </row>
    <row r="3682" spans="1:4" ht="12.75" customHeight="1" x14ac:dyDescent="0.2">
      <c r="A3682" s="21"/>
      <c r="B3682" s="3" t="s">
        <v>9</v>
      </c>
      <c r="C3682" s="23" t="s">
        <v>374</v>
      </c>
      <c r="D3682" s="21"/>
    </row>
    <row r="3683" spans="1:4" ht="12.75" customHeight="1" x14ac:dyDescent="0.2">
      <c r="A3683" s="21"/>
      <c r="B3683" s="3" t="s">
        <v>11</v>
      </c>
      <c r="C3683" s="23" t="s">
        <v>307</v>
      </c>
      <c r="D3683" s="21"/>
    </row>
    <row r="3684" spans="1:4" ht="12.75" customHeight="1" x14ac:dyDescent="0.2">
      <c r="A3684" s="21"/>
      <c r="B3684" s="3" t="s">
        <v>16</v>
      </c>
      <c r="C3684" s="23"/>
      <c r="D3684" s="21"/>
    </row>
    <row r="3685" spans="1:4" ht="12.75" customHeight="1" x14ac:dyDescent="0.2">
      <c r="A3685" s="21"/>
      <c r="B3685" s="3" t="s">
        <v>17</v>
      </c>
      <c r="C3685" s="23" t="s">
        <v>19</v>
      </c>
      <c r="D3685" s="21"/>
    </row>
    <row r="3686" spans="1:4" ht="12.75" customHeight="1" x14ac:dyDescent="0.2">
      <c r="A3686" s="21"/>
      <c r="B3686" s="20" t="s">
        <v>18</v>
      </c>
      <c r="C3686" s="8" t="s">
        <v>44</v>
      </c>
      <c r="D3686" s="1" t="str">
        <f>HYPERLINK("javascript:void(0)","gőzpáncél")</f>
        <v>gőzpáncél</v>
      </c>
    </row>
    <row r="3687" spans="1:4" ht="12.75" customHeight="1" x14ac:dyDescent="0.2">
      <c r="A3687" s="21"/>
      <c r="B3687" s="21"/>
      <c r="C3687" s="8" t="s">
        <v>44</v>
      </c>
      <c r="D3687" s="1" t="str">
        <f>HYPERLINK("javascript:void(0)","magmapáncél")</f>
        <v>magmapáncél</v>
      </c>
    </row>
    <row r="3688" spans="1:4" ht="12.75" customHeight="1" x14ac:dyDescent="0.2">
      <c r="A3688" s="21"/>
      <c r="B3688" s="21"/>
      <c r="C3688" s="8" t="s">
        <v>163</v>
      </c>
      <c r="D3688" s="1" t="str">
        <f>HYPERLINK("javascript:void(0)","melegige")</f>
        <v>melegige</v>
      </c>
    </row>
    <row r="3689" spans="1:4" ht="12.75" customHeight="1" x14ac:dyDescent="0.2">
      <c r="A3689" s="21"/>
      <c r="B3689" s="2"/>
      <c r="C3689" s="7"/>
      <c r="D3689" s="7"/>
    </row>
    <row r="3690" spans="1:4" ht="12.75" customHeight="1" x14ac:dyDescent="0.2">
      <c r="A3690" s="21"/>
      <c r="B3690" s="2"/>
      <c r="C3690" s="7"/>
      <c r="D3690" s="7"/>
    </row>
    <row r="3691" spans="1:4" ht="12.75" customHeight="1" x14ac:dyDescent="0.2">
      <c r="A3691" s="21"/>
      <c r="B3691" s="2"/>
      <c r="C3691" s="7"/>
      <c r="D3691" s="7"/>
    </row>
    <row r="3692" spans="1:4" ht="12.75" customHeight="1" x14ac:dyDescent="0.2">
      <c r="A3692" s="21"/>
      <c r="B3692" s="2"/>
      <c r="C3692" s="7"/>
      <c r="D3692" s="7"/>
    </row>
    <row r="3693" spans="1:4" ht="12.75" customHeight="1" x14ac:dyDescent="0.2">
      <c r="A3693" s="5"/>
      <c r="B3693" s="2"/>
      <c r="C3693" s="7"/>
      <c r="D3693" s="7"/>
    </row>
    <row r="3694" spans="1:4" ht="12.75" customHeight="1" x14ac:dyDescent="0.2">
      <c r="A3694" s="22" t="str">
        <f>HYPERLINK("javascript:void(0)","kék elemipáncél")</f>
        <v>kék elemipáncél</v>
      </c>
      <c r="B3694" s="21"/>
      <c r="C3694" s="21"/>
      <c r="D3694" s="21"/>
    </row>
    <row r="3695" spans="1:4" ht="12.75" customHeight="1" x14ac:dyDescent="0.2">
      <c r="A3695" s="20"/>
      <c r="B3695" s="2"/>
      <c r="C3695" s="7"/>
      <c r="D3695" s="7"/>
    </row>
    <row r="3696" spans="1:4" ht="12.75" customHeight="1" x14ac:dyDescent="0.2">
      <c r="A3696" s="21"/>
      <c r="B3696" s="3" t="s">
        <v>0</v>
      </c>
      <c r="C3696" s="23" t="s">
        <v>340</v>
      </c>
      <c r="D3696" s="21"/>
    </row>
    <row r="3697" spans="1:4" ht="12.75" customHeight="1" x14ac:dyDescent="0.2">
      <c r="A3697" s="21"/>
      <c r="B3697" s="3" t="s">
        <v>2</v>
      </c>
      <c r="C3697" s="23" t="s">
        <v>2322</v>
      </c>
      <c r="D3697" s="21"/>
    </row>
    <row r="3698" spans="1:4" ht="12.75" customHeight="1" x14ac:dyDescent="0.2">
      <c r="A3698" s="21"/>
      <c r="B3698" s="3" t="s">
        <v>1840</v>
      </c>
      <c r="C3698" s="23" t="s">
        <v>953</v>
      </c>
      <c r="D3698" s="21"/>
    </row>
    <row r="3699" spans="1:4" ht="12.75" customHeight="1" x14ac:dyDescent="0.2">
      <c r="A3699" s="21"/>
      <c r="B3699" s="3" t="s">
        <v>9</v>
      </c>
      <c r="C3699" s="23" t="s">
        <v>262</v>
      </c>
      <c r="D3699" s="21"/>
    </row>
    <row r="3700" spans="1:4" ht="12.75" customHeight="1" x14ac:dyDescent="0.2">
      <c r="A3700" s="21"/>
      <c r="B3700" s="3" t="s">
        <v>11</v>
      </c>
      <c r="C3700" s="23" t="s">
        <v>307</v>
      </c>
      <c r="D3700" s="21"/>
    </row>
    <row r="3701" spans="1:4" ht="12.75" customHeight="1" x14ac:dyDescent="0.2">
      <c r="A3701" s="21"/>
      <c r="B3701" s="3" t="s">
        <v>16</v>
      </c>
      <c r="C3701" s="23"/>
      <c r="D3701" s="21"/>
    </row>
    <row r="3702" spans="1:4" ht="12.75" customHeight="1" x14ac:dyDescent="0.2">
      <c r="A3702" s="21"/>
      <c r="B3702" s="3" t="s">
        <v>17</v>
      </c>
      <c r="C3702" s="23" t="s">
        <v>19</v>
      </c>
      <c r="D3702" s="21"/>
    </row>
    <row r="3703" spans="1:4" ht="12.75" customHeight="1" x14ac:dyDescent="0.2">
      <c r="A3703" s="21"/>
      <c r="B3703" s="20" t="s">
        <v>18</v>
      </c>
      <c r="C3703" s="8" t="s">
        <v>44</v>
      </c>
      <c r="D3703" s="1" t="str">
        <f>HYPERLINK("javascript:void(0)","sárpáncél")</f>
        <v>sárpáncél</v>
      </c>
    </row>
    <row r="3704" spans="1:4" ht="12.75" customHeight="1" x14ac:dyDescent="0.2">
      <c r="A3704" s="21"/>
      <c r="B3704" s="21"/>
      <c r="C3704" s="8" t="s">
        <v>44</v>
      </c>
      <c r="D3704" s="1" t="str">
        <f>HYPERLINK("javascript:void(0)","dérpáncél")</f>
        <v>dérpáncél</v>
      </c>
    </row>
    <row r="3705" spans="1:4" ht="12.75" customHeight="1" x14ac:dyDescent="0.2">
      <c r="A3705" s="21"/>
      <c r="B3705" s="21"/>
      <c r="C3705" s="8" t="s">
        <v>163</v>
      </c>
      <c r="D3705" s="1" t="str">
        <f>HYPERLINK("javascript:void(0)","hidegige")</f>
        <v>hidegige</v>
      </c>
    </row>
    <row r="3706" spans="1:4" ht="12.75" customHeight="1" x14ac:dyDescent="0.2">
      <c r="A3706" s="21"/>
      <c r="B3706" s="2"/>
      <c r="C3706" s="7"/>
      <c r="D3706" s="7"/>
    </row>
    <row r="3707" spans="1:4" ht="12.75" customHeight="1" x14ac:dyDescent="0.2">
      <c r="A3707" s="21"/>
      <c r="B3707" s="2"/>
      <c r="C3707" s="7"/>
      <c r="D3707" s="7"/>
    </row>
    <row r="3708" spans="1:4" ht="12.75" customHeight="1" x14ac:dyDescent="0.2">
      <c r="A3708" s="21"/>
      <c r="B3708" s="2"/>
      <c r="C3708" s="7"/>
      <c r="D3708" s="7"/>
    </row>
    <row r="3709" spans="1:4" ht="12.75" customHeight="1" x14ac:dyDescent="0.2">
      <c r="A3709" s="21"/>
      <c r="B3709" s="2"/>
      <c r="C3709" s="7"/>
      <c r="D3709" s="7"/>
    </row>
    <row r="3710" spans="1:4" ht="12.75" customHeight="1" x14ac:dyDescent="0.2">
      <c r="A3710" s="5"/>
      <c r="B3710" s="2"/>
      <c r="C3710" s="7"/>
      <c r="D3710" s="7"/>
    </row>
    <row r="3711" spans="1:4" ht="12.75" customHeight="1" x14ac:dyDescent="0.2">
      <c r="A3711" s="22" t="str">
        <f>HYPERLINK("javascript:void(0)","csősisak")</f>
        <v>csősisak</v>
      </c>
      <c r="B3711" s="21"/>
      <c r="C3711" s="21"/>
      <c r="D3711" s="21"/>
    </row>
    <row r="3712" spans="1:4" ht="12.75" customHeight="1" x14ac:dyDescent="0.2">
      <c r="A3712" s="20"/>
      <c r="B3712" s="2"/>
      <c r="C3712" s="7"/>
      <c r="D3712" s="7"/>
    </row>
    <row r="3713" spans="1:4" ht="12.75" customHeight="1" x14ac:dyDescent="0.2">
      <c r="A3713" s="21"/>
      <c r="B3713" s="3" t="s">
        <v>0</v>
      </c>
      <c r="C3713" s="23" t="s">
        <v>340</v>
      </c>
      <c r="D3713" s="21"/>
    </row>
    <row r="3714" spans="1:4" ht="12.75" customHeight="1" x14ac:dyDescent="0.2">
      <c r="A3714" s="21"/>
      <c r="B3714" s="3" t="s">
        <v>2</v>
      </c>
      <c r="C3714" s="23"/>
      <c r="D3714" s="21"/>
    </row>
    <row r="3715" spans="1:4" ht="12.75" customHeight="1" x14ac:dyDescent="0.2">
      <c r="A3715" s="21"/>
      <c r="B3715" s="3" t="s">
        <v>1840</v>
      </c>
      <c r="C3715" s="23" t="s">
        <v>223</v>
      </c>
      <c r="D3715" s="21"/>
    </row>
    <row r="3716" spans="1:4" ht="12.75" customHeight="1" x14ac:dyDescent="0.2">
      <c r="A3716" s="21"/>
      <c r="B3716" s="3" t="s">
        <v>9</v>
      </c>
      <c r="C3716" s="23" t="s">
        <v>36</v>
      </c>
      <c r="D3716" s="21"/>
    </row>
    <row r="3717" spans="1:4" ht="12.75" customHeight="1" x14ac:dyDescent="0.2">
      <c r="A3717" s="21"/>
      <c r="B3717" s="3" t="s">
        <v>11</v>
      </c>
      <c r="C3717" s="23" t="s">
        <v>2724</v>
      </c>
      <c r="D3717" s="21"/>
    </row>
    <row r="3718" spans="1:4" ht="12.75" customHeight="1" x14ac:dyDescent="0.2">
      <c r="A3718" s="21"/>
      <c r="B3718" s="3" t="s">
        <v>16</v>
      </c>
      <c r="C3718" s="23"/>
      <c r="D3718" s="21"/>
    </row>
    <row r="3719" spans="1:4" ht="12.75" customHeight="1" x14ac:dyDescent="0.2">
      <c r="A3719" s="21"/>
      <c r="B3719" s="3" t="s">
        <v>17</v>
      </c>
      <c r="C3719" s="23" t="s">
        <v>19</v>
      </c>
      <c r="D3719" s="21"/>
    </row>
    <row r="3720" spans="1:4" ht="12.75" customHeight="1" x14ac:dyDescent="0.2">
      <c r="A3720" s="21"/>
      <c r="B3720" s="20" t="s">
        <v>18</v>
      </c>
      <c r="C3720" s="8" t="s">
        <v>44</v>
      </c>
      <c r="D3720" s="1" t="str">
        <f>HYPERLINK("javascript:void(0)","szalagsisak")</f>
        <v>szalagsisak</v>
      </c>
    </row>
    <row r="3721" spans="1:4" ht="12.75" customHeight="1" x14ac:dyDescent="0.2">
      <c r="A3721" s="21"/>
      <c r="B3721" s="21"/>
      <c r="C3721" s="8" t="s">
        <v>57</v>
      </c>
      <c r="D3721" s="1" t="str">
        <f>HYPERLINK("javascript:void(0)","vértcső")</f>
        <v>vértcső</v>
      </c>
    </row>
    <row r="3722" spans="1:4" ht="12.75" customHeight="1" x14ac:dyDescent="0.2">
      <c r="A3722" s="21"/>
      <c r="B3722" s="21"/>
      <c r="C3722" s="8" t="s">
        <v>98</v>
      </c>
      <c r="D3722" s="1" t="str">
        <f>HYPERLINK("javascript:void(0)","hiperzsír")</f>
        <v>hiperzsír</v>
      </c>
    </row>
    <row r="3723" spans="1:4" ht="12.75" customHeight="1" x14ac:dyDescent="0.2">
      <c r="A3723" s="21"/>
      <c r="B3723" s="2"/>
      <c r="C3723" s="7"/>
      <c r="D3723" s="7"/>
    </row>
    <row r="3724" spans="1:4" ht="12.75" customHeight="1" x14ac:dyDescent="0.2">
      <c r="A3724" s="21"/>
      <c r="B3724" s="2"/>
      <c r="C3724" s="7"/>
      <c r="D3724" s="7"/>
    </row>
    <row r="3725" spans="1:4" ht="12.75" customHeight="1" x14ac:dyDescent="0.2">
      <c r="A3725" s="21"/>
      <c r="B3725" s="2"/>
      <c r="C3725" s="7"/>
      <c r="D3725" s="7"/>
    </row>
    <row r="3726" spans="1:4" ht="12.75" customHeight="1" x14ac:dyDescent="0.2">
      <c r="A3726" s="21"/>
      <c r="B3726" s="2"/>
      <c r="C3726" s="7"/>
      <c r="D3726" s="7"/>
    </row>
    <row r="3727" spans="1:4" ht="12.75" customHeight="1" x14ac:dyDescent="0.2">
      <c r="A3727" s="5"/>
      <c r="B3727" s="2"/>
      <c r="C3727" s="7"/>
      <c r="D3727" s="7"/>
    </row>
    <row r="3728" spans="1:4" ht="12.75" customHeight="1" x14ac:dyDescent="0.2">
      <c r="A3728" s="22" t="str">
        <f>HYPERLINK("javascript:void(0)","csőcsizma")</f>
        <v>csőcsizma</v>
      </c>
      <c r="B3728" s="21"/>
      <c r="C3728" s="21"/>
      <c r="D3728" s="21"/>
    </row>
    <row r="3729" spans="1:4" ht="12.75" customHeight="1" x14ac:dyDescent="0.2">
      <c r="A3729" s="20"/>
      <c r="B3729" s="2"/>
      <c r="C3729" s="7"/>
      <c r="D3729" s="7"/>
    </row>
    <row r="3730" spans="1:4" ht="12.75" customHeight="1" x14ac:dyDescent="0.2">
      <c r="A3730" s="21"/>
      <c r="B3730" s="3" t="s">
        <v>0</v>
      </c>
      <c r="C3730" s="23" t="s">
        <v>340</v>
      </c>
      <c r="D3730" s="21"/>
    </row>
    <row r="3731" spans="1:4" ht="12.75" customHeight="1" x14ac:dyDescent="0.2">
      <c r="A3731" s="21"/>
      <c r="B3731" s="3" t="s">
        <v>2</v>
      </c>
      <c r="C3731" s="23"/>
      <c r="D3731" s="21"/>
    </row>
    <row r="3732" spans="1:4" ht="12.75" customHeight="1" x14ac:dyDescent="0.2">
      <c r="A3732" s="21"/>
      <c r="B3732" s="3" t="s">
        <v>1840</v>
      </c>
      <c r="C3732" s="23" t="s">
        <v>134</v>
      </c>
      <c r="D3732" s="21"/>
    </row>
    <row r="3733" spans="1:4" ht="12.75" customHeight="1" x14ac:dyDescent="0.2">
      <c r="A3733" s="21"/>
      <c r="B3733" s="3" t="s">
        <v>9</v>
      </c>
      <c r="C3733" s="23" t="s">
        <v>573</v>
      </c>
      <c r="D3733" s="21"/>
    </row>
    <row r="3734" spans="1:4" ht="12.75" customHeight="1" x14ac:dyDescent="0.2">
      <c r="A3734" s="21"/>
      <c r="B3734" s="3" t="s">
        <v>11</v>
      </c>
      <c r="C3734" s="23" t="s">
        <v>339</v>
      </c>
      <c r="D3734" s="21"/>
    </row>
    <row r="3735" spans="1:4" ht="12.75" customHeight="1" x14ac:dyDescent="0.2">
      <c r="A3735" s="21"/>
      <c r="B3735" s="3" t="s">
        <v>16</v>
      </c>
      <c r="C3735" s="23"/>
      <c r="D3735" s="21"/>
    </row>
    <row r="3736" spans="1:4" ht="12.75" customHeight="1" x14ac:dyDescent="0.2">
      <c r="A3736" s="21"/>
      <c r="B3736" s="3" t="s">
        <v>17</v>
      </c>
      <c r="C3736" s="23" t="s">
        <v>19</v>
      </c>
      <c r="D3736" s="21"/>
    </row>
    <row r="3737" spans="1:4" ht="12.75" customHeight="1" x14ac:dyDescent="0.2">
      <c r="A3737" s="21"/>
      <c r="B3737" s="20" t="s">
        <v>18</v>
      </c>
      <c r="C3737" s="8" t="s">
        <v>44</v>
      </c>
      <c r="D3737" s="1" t="str">
        <f>HYPERLINK("javascript:void(0)","szalagcsizma")</f>
        <v>szalagcsizma</v>
      </c>
    </row>
    <row r="3738" spans="1:4" ht="12.75" customHeight="1" x14ac:dyDescent="0.2">
      <c r="A3738" s="21"/>
      <c r="B3738" s="21"/>
      <c r="C3738" s="8" t="s">
        <v>57</v>
      </c>
      <c r="D3738" s="1" t="str">
        <f>HYPERLINK("javascript:void(0)","vértcső")</f>
        <v>vértcső</v>
      </c>
    </row>
    <row r="3739" spans="1:4" ht="12.75" customHeight="1" x14ac:dyDescent="0.2">
      <c r="A3739" s="21"/>
      <c r="B3739" s="21"/>
      <c r="C3739" s="8" t="s">
        <v>98</v>
      </c>
      <c r="D3739" s="1" t="str">
        <f>HYPERLINK("javascript:void(0)","hiperzsír")</f>
        <v>hiperzsír</v>
      </c>
    </row>
    <row r="3740" spans="1:4" ht="12.75" customHeight="1" x14ac:dyDescent="0.2">
      <c r="A3740" s="21"/>
      <c r="B3740" s="2"/>
      <c r="C3740" s="7"/>
      <c r="D3740" s="7"/>
    </row>
    <row r="3741" spans="1:4" ht="12.75" customHeight="1" x14ac:dyDescent="0.2">
      <c r="A3741" s="21"/>
      <c r="B3741" s="2"/>
      <c r="C3741" s="7"/>
      <c r="D3741" s="7"/>
    </row>
    <row r="3742" spans="1:4" ht="12.75" customHeight="1" x14ac:dyDescent="0.2">
      <c r="A3742" s="21"/>
      <c r="B3742" s="2"/>
      <c r="C3742" s="7"/>
      <c r="D3742" s="7"/>
    </row>
    <row r="3743" spans="1:4" ht="12.75" customHeight="1" x14ac:dyDescent="0.2">
      <c r="A3743" s="21"/>
      <c r="B3743" s="2"/>
      <c r="C3743" s="7"/>
      <c r="D3743" s="7"/>
    </row>
    <row r="3744" spans="1:4" ht="12.75" customHeight="1" x14ac:dyDescent="0.2">
      <c r="A3744" s="5"/>
      <c r="B3744" s="2"/>
      <c r="C3744" s="7"/>
      <c r="D3744" s="7"/>
    </row>
    <row r="3745" spans="1:4" ht="12.75" customHeight="1" x14ac:dyDescent="0.2">
      <c r="A3745" s="22" t="str">
        <f>HYPERLINK("javascript:void(0)","szalagtestpajzs")</f>
        <v>szalagtestpajzs</v>
      </c>
      <c r="B3745" s="21"/>
      <c r="C3745" s="21"/>
      <c r="D3745" s="21"/>
    </row>
    <row r="3746" spans="1:4" ht="12.75" customHeight="1" x14ac:dyDescent="0.2">
      <c r="A3746" s="20"/>
      <c r="B3746" s="2"/>
      <c r="C3746" s="7"/>
      <c r="D3746" s="7"/>
    </row>
    <row r="3747" spans="1:4" ht="12.75" customHeight="1" x14ac:dyDescent="0.2">
      <c r="A3747" s="21"/>
      <c r="B3747" s="3" t="s">
        <v>0</v>
      </c>
      <c r="C3747" s="23" t="s">
        <v>340</v>
      </c>
      <c r="D3747" s="21"/>
    </row>
    <row r="3748" spans="1:4" ht="12.75" customHeight="1" x14ac:dyDescent="0.2">
      <c r="A3748" s="21"/>
      <c r="B3748" s="3" t="s">
        <v>2</v>
      </c>
      <c r="C3748" s="23" t="s">
        <v>1839</v>
      </c>
      <c r="D3748" s="21"/>
    </row>
    <row r="3749" spans="1:4" ht="12.75" customHeight="1" x14ac:dyDescent="0.2">
      <c r="A3749" s="21"/>
      <c r="B3749" s="3" t="s">
        <v>1840</v>
      </c>
      <c r="C3749" s="23" t="s">
        <v>690</v>
      </c>
      <c r="D3749" s="21"/>
    </row>
    <row r="3750" spans="1:4" ht="12.75" customHeight="1" x14ac:dyDescent="0.2">
      <c r="A3750" s="21"/>
      <c r="B3750" s="3" t="s">
        <v>9</v>
      </c>
      <c r="C3750" s="23" t="s">
        <v>300</v>
      </c>
      <c r="D3750" s="21"/>
    </row>
    <row r="3751" spans="1:4" ht="12.75" customHeight="1" x14ac:dyDescent="0.2">
      <c r="A3751" s="21"/>
      <c r="B3751" s="3" t="s">
        <v>11</v>
      </c>
      <c r="C3751" s="23" t="s">
        <v>406</v>
      </c>
      <c r="D3751" s="21"/>
    </row>
    <row r="3752" spans="1:4" ht="12.75" customHeight="1" x14ac:dyDescent="0.2">
      <c r="A3752" s="21"/>
      <c r="B3752" s="3" t="s">
        <v>16</v>
      </c>
      <c r="C3752" s="23"/>
      <c r="D3752" s="21"/>
    </row>
    <row r="3753" spans="1:4" ht="12.75" customHeight="1" x14ac:dyDescent="0.2">
      <c r="A3753" s="21"/>
      <c r="B3753" s="3" t="s">
        <v>17</v>
      </c>
      <c r="C3753" s="23" t="s">
        <v>19</v>
      </c>
      <c r="D3753" s="21"/>
    </row>
    <row r="3754" spans="1:4" ht="12.75" customHeight="1" x14ac:dyDescent="0.2">
      <c r="A3754" s="21"/>
      <c r="B3754" s="20" t="s">
        <v>18</v>
      </c>
      <c r="C3754" s="8" t="s">
        <v>44</v>
      </c>
      <c r="D3754" s="1" t="str">
        <f>HYPERLINK("javascript:void(0)","óriásacél testpajzs")</f>
        <v>óriásacél testpajzs</v>
      </c>
    </row>
    <row r="3755" spans="1:4" ht="12.75" customHeight="1" x14ac:dyDescent="0.2">
      <c r="A3755" s="21"/>
      <c r="B3755" s="21"/>
      <c r="C3755" s="8" t="s">
        <v>98</v>
      </c>
      <c r="D3755" s="1" t="str">
        <f>HYPERLINK("javascript:void(0)","ínszalag")</f>
        <v>ínszalag</v>
      </c>
    </row>
    <row r="3756" spans="1:4" ht="12.75" customHeight="1" x14ac:dyDescent="0.2">
      <c r="A3756" s="21"/>
      <c r="B3756" s="21"/>
      <c r="C3756" s="8" t="s">
        <v>193</v>
      </c>
      <c r="D3756" s="1" t="str">
        <f>HYPERLINK("javascript:void(0)","hiperzsír")</f>
        <v>hiperzsír</v>
      </c>
    </row>
    <row r="3757" spans="1:4" ht="12.75" customHeight="1" x14ac:dyDescent="0.2">
      <c r="A3757" s="21"/>
      <c r="B3757" s="2"/>
      <c r="C3757" s="7"/>
      <c r="D3757" s="7"/>
    </row>
    <row r="3758" spans="1:4" ht="12.75" customHeight="1" x14ac:dyDescent="0.2">
      <c r="A3758" s="21"/>
      <c r="B3758" s="2"/>
      <c r="C3758" s="7"/>
      <c r="D3758" s="7"/>
    </row>
    <row r="3759" spans="1:4" ht="12.75" customHeight="1" x14ac:dyDescent="0.2">
      <c r="A3759" s="21"/>
      <c r="B3759" s="2"/>
      <c r="C3759" s="7"/>
      <c r="D3759" s="7"/>
    </row>
    <row r="3760" spans="1:4" ht="12.75" customHeight="1" x14ac:dyDescent="0.2">
      <c r="A3760" s="21"/>
      <c r="B3760" s="2"/>
      <c r="C3760" s="7"/>
      <c r="D3760" s="7"/>
    </row>
    <row r="3761" spans="1:4" ht="12.75" customHeight="1" x14ac:dyDescent="0.2">
      <c r="A3761" s="5"/>
      <c r="B3761" s="2"/>
      <c r="C3761" s="7"/>
      <c r="D3761" s="7"/>
    </row>
    <row r="3762" spans="1:4" ht="12.75" customHeight="1" x14ac:dyDescent="0.2">
      <c r="A3762" s="22" t="str">
        <f>HYPERLINK("javascript:void(0)","vértcső")</f>
        <v>vértcső</v>
      </c>
      <c r="B3762" s="21"/>
      <c r="C3762" s="21"/>
      <c r="D3762" s="21"/>
    </row>
    <row r="3763" spans="1:4" ht="12.75" customHeight="1" x14ac:dyDescent="0.2">
      <c r="A3763" s="20"/>
      <c r="B3763" s="2"/>
      <c r="C3763" s="7"/>
      <c r="D3763" s="7"/>
    </row>
    <row r="3764" spans="1:4" ht="12.75" customHeight="1" x14ac:dyDescent="0.2">
      <c r="A3764" s="21"/>
      <c r="B3764" s="3" t="s">
        <v>0</v>
      </c>
      <c r="C3764" s="23" t="s">
        <v>340</v>
      </c>
      <c r="D3764" s="21"/>
    </row>
    <row r="3765" spans="1:4" ht="12.75" customHeight="1" x14ac:dyDescent="0.2">
      <c r="A3765" s="21"/>
      <c r="B3765" s="3" t="s">
        <v>2</v>
      </c>
      <c r="C3765" s="23" t="s">
        <v>2322</v>
      </c>
      <c r="D3765" s="21"/>
    </row>
    <row r="3766" spans="1:4" ht="12.75" customHeight="1" x14ac:dyDescent="0.2">
      <c r="A3766" s="21"/>
      <c r="B3766" s="3" t="s">
        <v>1840</v>
      </c>
      <c r="C3766" s="23" t="s">
        <v>115</v>
      </c>
      <c r="D3766" s="21"/>
    </row>
    <row r="3767" spans="1:4" ht="12.75" customHeight="1" x14ac:dyDescent="0.2">
      <c r="A3767" s="21"/>
      <c r="B3767" s="3" t="s">
        <v>9</v>
      </c>
      <c r="C3767" s="23" t="s">
        <v>42</v>
      </c>
      <c r="D3767" s="21"/>
    </row>
    <row r="3768" spans="1:4" ht="12.75" customHeight="1" x14ac:dyDescent="0.2">
      <c r="A3768" s="21"/>
      <c r="B3768" s="3" t="s">
        <v>11</v>
      </c>
      <c r="C3768" s="23" t="s">
        <v>152</v>
      </c>
      <c r="D3768" s="21"/>
    </row>
    <row r="3769" spans="1:4" ht="12.75" customHeight="1" x14ac:dyDescent="0.2">
      <c r="A3769" s="21"/>
      <c r="B3769" s="3" t="s">
        <v>16</v>
      </c>
      <c r="C3769" s="23"/>
      <c r="D3769" s="21"/>
    </row>
    <row r="3770" spans="1:4" ht="12.75" customHeight="1" x14ac:dyDescent="0.2">
      <c r="A3770" s="21"/>
      <c r="B3770" s="3" t="s">
        <v>17</v>
      </c>
      <c r="C3770" s="23" t="s">
        <v>19</v>
      </c>
      <c r="D3770" s="21"/>
    </row>
    <row r="3771" spans="1:4" ht="12.75" customHeight="1" x14ac:dyDescent="0.2">
      <c r="A3771" s="21"/>
      <c r="B3771" s="20" t="s">
        <v>18</v>
      </c>
      <c r="C3771" s="8" t="s">
        <v>57</v>
      </c>
      <c r="D3771" s="1" t="str">
        <f>HYPERLINK("javascript:void(0)","spiritusz")</f>
        <v>spiritusz</v>
      </c>
    </row>
    <row r="3772" spans="1:4" ht="12.75" customHeight="1" x14ac:dyDescent="0.2">
      <c r="A3772" s="21"/>
      <c r="B3772" s="21"/>
      <c r="C3772" s="8" t="s">
        <v>44</v>
      </c>
      <c r="D3772" s="1" t="str">
        <f>HYPERLINK("javascript:void(0)","képcső")</f>
        <v>képcső</v>
      </c>
    </row>
    <row r="3773" spans="1:4" ht="12.75" customHeight="1" x14ac:dyDescent="0.2">
      <c r="A3773" s="21"/>
      <c r="B3773" s="21"/>
      <c r="C3773" s="8" t="s">
        <v>77</v>
      </c>
      <c r="D3773" s="1" t="str">
        <f>HYPERLINK("javascript:void(0)","mágusköpeny")</f>
        <v>mágusköpeny</v>
      </c>
    </row>
    <row r="3774" spans="1:4" ht="12.75" customHeight="1" x14ac:dyDescent="0.2">
      <c r="A3774" s="21"/>
      <c r="B3774" s="2"/>
      <c r="C3774" s="7"/>
      <c r="D3774" s="7"/>
    </row>
    <row r="3775" spans="1:4" ht="12.75" customHeight="1" x14ac:dyDescent="0.2">
      <c r="A3775" s="21"/>
      <c r="B3775" s="2"/>
      <c r="C3775" s="7"/>
      <c r="D3775" s="7"/>
    </row>
    <row r="3776" spans="1:4" ht="12.75" customHeight="1" x14ac:dyDescent="0.2">
      <c r="A3776" s="21"/>
      <c r="B3776" s="2"/>
      <c r="C3776" s="7"/>
      <c r="D3776" s="7"/>
    </row>
    <row r="3777" spans="1:4" ht="12.75" customHeight="1" x14ac:dyDescent="0.2">
      <c r="A3777" s="21"/>
      <c r="B3777" s="2"/>
      <c r="C3777" s="7"/>
      <c r="D3777" s="7"/>
    </row>
    <row r="3778" spans="1:4" ht="12.75" customHeight="1" x14ac:dyDescent="0.2">
      <c r="A3778" s="5"/>
      <c r="B3778" s="2"/>
      <c r="C3778" s="7"/>
      <c r="D3778" s="7"/>
    </row>
    <row r="3779" spans="1:4" ht="12.75" customHeight="1" x14ac:dyDescent="0.2">
      <c r="A3779" s="22" t="str">
        <f>HYPERLINK("javascript:void(0)","kithrill pillepajzs")</f>
        <v>kithrill pillepajzs</v>
      </c>
      <c r="B3779" s="21"/>
      <c r="C3779" s="21"/>
      <c r="D3779" s="21"/>
    </row>
    <row r="3780" spans="1:4" ht="12.75" customHeight="1" x14ac:dyDescent="0.2">
      <c r="A3780" s="20"/>
      <c r="B3780" s="2"/>
      <c r="C3780" s="7"/>
      <c r="D3780" s="7"/>
    </row>
    <row r="3781" spans="1:4" ht="12.75" customHeight="1" x14ac:dyDescent="0.2">
      <c r="A3781" s="21"/>
      <c r="B3781" s="3" t="s">
        <v>0</v>
      </c>
      <c r="C3781" s="23" t="s">
        <v>340</v>
      </c>
      <c r="D3781" s="21"/>
    </row>
    <row r="3782" spans="1:4" ht="12.75" customHeight="1" x14ac:dyDescent="0.2">
      <c r="A3782" s="21"/>
      <c r="B3782" s="3" t="s">
        <v>2</v>
      </c>
      <c r="C3782" s="23" t="s">
        <v>1839</v>
      </c>
      <c r="D3782" s="21"/>
    </row>
    <row r="3783" spans="1:4" ht="12.75" customHeight="1" x14ac:dyDescent="0.2">
      <c r="A3783" s="21"/>
      <c r="B3783" s="3" t="s">
        <v>1840</v>
      </c>
      <c r="C3783" s="23" t="s">
        <v>690</v>
      </c>
      <c r="D3783" s="21"/>
    </row>
    <row r="3784" spans="1:4" ht="12.75" customHeight="1" x14ac:dyDescent="0.2">
      <c r="A3784" s="21"/>
      <c r="B3784" s="3" t="s">
        <v>9</v>
      </c>
      <c r="C3784" s="23" t="s">
        <v>1034</v>
      </c>
      <c r="D3784" s="21"/>
    </row>
    <row r="3785" spans="1:4" ht="12.75" customHeight="1" x14ac:dyDescent="0.2">
      <c r="A3785" s="21"/>
      <c r="B3785" s="3" t="s">
        <v>11</v>
      </c>
      <c r="C3785" s="23" t="s">
        <v>427</v>
      </c>
      <c r="D3785" s="21"/>
    </row>
    <row r="3786" spans="1:4" ht="12.75" customHeight="1" x14ac:dyDescent="0.2">
      <c r="A3786" s="21"/>
      <c r="B3786" s="3" t="s">
        <v>16</v>
      </c>
      <c r="C3786" s="23"/>
      <c r="D3786" s="21"/>
    </row>
    <row r="3787" spans="1:4" ht="12.75" customHeight="1" x14ac:dyDescent="0.2">
      <c r="A3787" s="21"/>
      <c r="B3787" s="3" t="s">
        <v>17</v>
      </c>
      <c r="C3787" s="23" t="s">
        <v>19</v>
      </c>
      <c r="D3787" s="21"/>
    </row>
    <row r="3788" spans="1:4" ht="12.75" customHeight="1" x14ac:dyDescent="0.2">
      <c r="A3788" s="21"/>
      <c r="B3788" s="20" t="s">
        <v>18</v>
      </c>
      <c r="C3788" s="8" t="s">
        <v>44</v>
      </c>
      <c r="D3788" s="1" t="str">
        <f>HYPERLINK("javascript:void(0)","szalagtestpajzs")</f>
        <v>szalagtestpajzs</v>
      </c>
    </row>
    <row r="3789" spans="1:4" ht="12.75" customHeight="1" x14ac:dyDescent="0.2">
      <c r="A3789" s="21"/>
      <c r="B3789" s="21"/>
      <c r="C3789" s="8" t="s">
        <v>280</v>
      </c>
      <c r="D3789" s="1" t="str">
        <f>HYPERLINK("javascript:void(0)","kithrill")</f>
        <v>kithrill</v>
      </c>
    </row>
    <row r="3790" spans="1:4" ht="12.75" customHeight="1" x14ac:dyDescent="0.2">
      <c r="A3790" s="21"/>
      <c r="B3790" s="21"/>
      <c r="C3790" s="8" t="s">
        <v>117</v>
      </c>
      <c r="D3790" s="1" t="str">
        <f>HYPERLINK("javascript:void(0)","spiritusz")</f>
        <v>spiritusz</v>
      </c>
    </row>
    <row r="3791" spans="1:4" ht="12.75" customHeight="1" x14ac:dyDescent="0.2">
      <c r="A3791" s="21"/>
      <c r="B3791" s="2"/>
      <c r="C3791" s="7"/>
      <c r="D3791" s="7"/>
    </row>
    <row r="3792" spans="1:4" ht="12.75" customHeight="1" x14ac:dyDescent="0.2">
      <c r="A3792" s="21"/>
      <c r="B3792" s="2"/>
      <c r="C3792" s="7"/>
      <c r="D3792" s="7"/>
    </row>
    <row r="3793" spans="1:4" ht="12.75" customHeight="1" x14ac:dyDescent="0.2">
      <c r="A3793" s="21"/>
      <c r="B3793" s="2"/>
      <c r="C3793" s="7"/>
      <c r="D3793" s="7"/>
    </row>
    <row r="3794" spans="1:4" ht="12.75" customHeight="1" x14ac:dyDescent="0.2">
      <c r="A3794" s="21"/>
      <c r="B3794" s="2"/>
      <c r="C3794" s="7"/>
      <c r="D3794" s="7"/>
    </row>
    <row r="3795" spans="1:4" ht="12.75" customHeight="1" x14ac:dyDescent="0.2">
      <c r="A3795" s="5"/>
      <c r="B3795" s="2"/>
      <c r="C3795" s="7"/>
      <c r="D3795" s="7"/>
    </row>
    <row r="3796" spans="1:4" ht="12.75" customHeight="1" x14ac:dyDescent="0.2">
      <c r="A3796" s="22" t="str">
        <f>HYPERLINK("javascript:void(0)","varázspáncél")</f>
        <v>varázspáncél</v>
      </c>
      <c r="B3796" s="21"/>
      <c r="C3796" s="21"/>
      <c r="D3796" s="21"/>
    </row>
    <row r="3797" spans="1:4" ht="12.75" customHeight="1" x14ac:dyDescent="0.2">
      <c r="A3797" s="20"/>
      <c r="B3797" s="2"/>
      <c r="C3797" s="7"/>
      <c r="D3797" s="7"/>
    </row>
    <row r="3798" spans="1:4" ht="12.75" customHeight="1" x14ac:dyDescent="0.2">
      <c r="A3798" s="21"/>
      <c r="B3798" s="3" t="s">
        <v>0</v>
      </c>
      <c r="C3798" s="23" t="s">
        <v>353</v>
      </c>
      <c r="D3798" s="21"/>
    </row>
    <row r="3799" spans="1:4" ht="12.75" customHeight="1" x14ac:dyDescent="0.2">
      <c r="A3799" s="21"/>
      <c r="B3799" s="3" t="s">
        <v>2</v>
      </c>
      <c r="C3799" s="23" t="s">
        <v>2322</v>
      </c>
      <c r="D3799" s="21"/>
    </row>
    <row r="3800" spans="1:4" ht="12.75" customHeight="1" x14ac:dyDescent="0.2">
      <c r="A3800" s="21"/>
      <c r="B3800" s="3" t="s">
        <v>1840</v>
      </c>
      <c r="C3800" s="23" t="s">
        <v>999</v>
      </c>
      <c r="D3800" s="21"/>
    </row>
    <row r="3801" spans="1:4" ht="12.75" customHeight="1" x14ac:dyDescent="0.2">
      <c r="A3801" s="21"/>
      <c r="B3801" s="3" t="s">
        <v>9</v>
      </c>
      <c r="C3801" s="23" t="s">
        <v>75</v>
      </c>
      <c r="D3801" s="21"/>
    </row>
    <row r="3802" spans="1:4" ht="12.75" customHeight="1" x14ac:dyDescent="0.2">
      <c r="A3802" s="21"/>
      <c r="B3802" s="3" t="s">
        <v>11</v>
      </c>
      <c r="C3802" s="23" t="s">
        <v>321</v>
      </c>
      <c r="D3802" s="21"/>
    </row>
    <row r="3803" spans="1:4" ht="12.75" customHeight="1" x14ac:dyDescent="0.2">
      <c r="A3803" s="21"/>
      <c r="B3803" s="3" t="s">
        <v>16</v>
      </c>
      <c r="C3803" s="23"/>
      <c r="D3803" s="21"/>
    </row>
    <row r="3804" spans="1:4" ht="12.75" customHeight="1" x14ac:dyDescent="0.2">
      <c r="A3804" s="21"/>
      <c r="B3804" s="3" t="s">
        <v>17</v>
      </c>
      <c r="C3804" s="23" t="s">
        <v>19</v>
      </c>
      <c r="D3804" s="21"/>
    </row>
    <row r="3805" spans="1:4" ht="12.75" customHeight="1" x14ac:dyDescent="0.2">
      <c r="A3805" s="21"/>
      <c r="B3805" s="20" t="s">
        <v>18</v>
      </c>
      <c r="C3805" s="8" t="s">
        <v>44</v>
      </c>
      <c r="D3805" s="1" t="str">
        <f>HYPERLINK("javascript:void(0)","vörös elemipáncél")</f>
        <v>vörös elemipáncél</v>
      </c>
    </row>
    <row r="3806" spans="1:4" ht="12.75" customHeight="1" x14ac:dyDescent="0.2">
      <c r="A3806" s="21"/>
      <c r="B3806" s="21"/>
      <c r="C3806" s="8" t="s">
        <v>44</v>
      </c>
      <c r="D3806" s="1" t="str">
        <f>HYPERLINK("javascript:void(0)","kék elemipáncél")</f>
        <v>kék elemipáncél</v>
      </c>
    </row>
    <row r="3807" spans="1:4" ht="12.75" customHeight="1" x14ac:dyDescent="0.2">
      <c r="A3807" s="21"/>
      <c r="B3807" s="21"/>
      <c r="C3807" s="8" t="s">
        <v>382</v>
      </c>
      <c r="D3807" s="1" t="str">
        <f>HYPERLINK("javascript:void(0)","varázsige")</f>
        <v>varázsige</v>
      </c>
    </row>
    <row r="3808" spans="1:4" ht="12.75" customHeight="1" x14ac:dyDescent="0.2">
      <c r="A3808" s="21"/>
      <c r="B3808" s="2"/>
      <c r="C3808" s="7"/>
      <c r="D3808" s="7"/>
    </row>
    <row r="3809" spans="1:4" ht="12.75" customHeight="1" x14ac:dyDescent="0.2">
      <c r="A3809" s="21"/>
      <c r="B3809" s="2"/>
      <c r="C3809" s="7"/>
      <c r="D3809" s="7"/>
    </row>
    <row r="3810" spans="1:4" ht="12.75" customHeight="1" x14ac:dyDescent="0.2">
      <c r="A3810" s="21"/>
      <c r="B3810" s="2"/>
      <c r="C3810" s="7"/>
      <c r="D3810" s="7"/>
    </row>
    <row r="3811" spans="1:4" ht="12.75" customHeight="1" x14ac:dyDescent="0.2">
      <c r="A3811" s="21"/>
      <c r="B3811" s="2"/>
      <c r="C3811" s="7"/>
      <c r="D3811" s="7"/>
    </row>
    <row r="3812" spans="1:4" ht="12.75" customHeight="1" x14ac:dyDescent="0.2">
      <c r="A3812" s="5"/>
      <c r="B3812" s="2"/>
      <c r="C3812" s="7"/>
      <c r="D3812" s="7"/>
    </row>
    <row r="3813" spans="1:4" ht="12.75" customHeight="1" x14ac:dyDescent="0.2">
      <c r="A3813" s="22" t="str">
        <f>HYPERLINK("javascript:void(0)","pengekorona")</f>
        <v>pengekorona</v>
      </c>
      <c r="B3813" s="21"/>
      <c r="C3813" s="21"/>
      <c r="D3813" s="21"/>
    </row>
    <row r="3814" spans="1:4" ht="12.75" customHeight="1" x14ac:dyDescent="0.2">
      <c r="A3814" s="20"/>
      <c r="B3814" s="2"/>
      <c r="C3814" s="7"/>
      <c r="D3814" s="7"/>
    </row>
    <row r="3815" spans="1:4" ht="12.75" customHeight="1" x14ac:dyDescent="0.2">
      <c r="A3815" s="21"/>
      <c r="B3815" s="3" t="s">
        <v>0</v>
      </c>
      <c r="C3815" s="23" t="s">
        <v>353</v>
      </c>
      <c r="D3815" s="21"/>
    </row>
    <row r="3816" spans="1:4" ht="12.75" customHeight="1" x14ac:dyDescent="0.2">
      <c r="A3816" s="21"/>
      <c r="B3816" s="3" t="s">
        <v>2</v>
      </c>
      <c r="C3816" s="23"/>
      <c r="D3816" s="21"/>
    </row>
    <row r="3817" spans="1:4" ht="12.75" customHeight="1" x14ac:dyDescent="0.2">
      <c r="A3817" s="21"/>
      <c r="B3817" s="3" t="s">
        <v>1840</v>
      </c>
      <c r="C3817" s="23" t="s">
        <v>575</v>
      </c>
      <c r="D3817" s="21"/>
    </row>
    <row r="3818" spans="1:4" ht="12.75" customHeight="1" x14ac:dyDescent="0.2">
      <c r="A3818" s="21"/>
      <c r="B3818" s="3" t="s">
        <v>9</v>
      </c>
      <c r="C3818" s="23" t="s">
        <v>464</v>
      </c>
      <c r="D3818" s="21"/>
    </row>
    <row r="3819" spans="1:4" ht="12.75" customHeight="1" x14ac:dyDescent="0.2">
      <c r="A3819" s="21"/>
      <c r="B3819" s="3" t="s">
        <v>11</v>
      </c>
      <c r="C3819" s="23" t="s">
        <v>321</v>
      </c>
      <c r="D3819" s="21"/>
    </row>
    <row r="3820" spans="1:4" ht="12.75" customHeight="1" x14ac:dyDescent="0.2">
      <c r="A3820" s="21"/>
      <c r="B3820" s="3" t="s">
        <v>16</v>
      </c>
      <c r="C3820" s="23"/>
      <c r="D3820" s="21"/>
    </row>
    <row r="3821" spans="1:4" ht="12.75" customHeight="1" x14ac:dyDescent="0.2">
      <c r="A3821" s="21"/>
      <c r="B3821" s="3" t="s">
        <v>17</v>
      </c>
      <c r="C3821" s="23" t="s">
        <v>19</v>
      </c>
      <c r="D3821" s="21"/>
    </row>
    <row r="3822" spans="1:4" ht="12.75" customHeight="1" x14ac:dyDescent="0.2">
      <c r="A3822" s="21"/>
      <c r="B3822" s="20" t="s">
        <v>18</v>
      </c>
      <c r="C3822" s="8" t="s">
        <v>44</v>
      </c>
      <c r="D3822" s="1" t="str">
        <f>HYPERLINK("javascript:void(0)","csősisak")</f>
        <v>csősisak</v>
      </c>
    </row>
    <row r="3823" spans="1:4" ht="12.75" customHeight="1" x14ac:dyDescent="0.2">
      <c r="A3823" s="21"/>
      <c r="B3823" s="21"/>
      <c r="C3823" s="8" t="s">
        <v>232</v>
      </c>
      <c r="D3823" s="1" t="str">
        <f>HYPERLINK("javascript:void(0)","ágyúmozsár")</f>
        <v>ágyúmozsár</v>
      </c>
    </row>
    <row r="3824" spans="1:4" ht="12.75" customHeight="1" x14ac:dyDescent="0.2">
      <c r="A3824" s="21"/>
      <c r="B3824" s="21"/>
      <c r="C3824" s="8" t="s">
        <v>280</v>
      </c>
      <c r="D3824" s="1" t="str">
        <f>HYPERLINK("javascript:void(0)","fülpenge")</f>
        <v>fülpenge</v>
      </c>
    </row>
    <row r="3825" spans="1:4" ht="12.75" customHeight="1" x14ac:dyDescent="0.2">
      <c r="A3825" s="21"/>
      <c r="B3825" s="2"/>
      <c r="C3825" s="7"/>
      <c r="D3825" s="7"/>
    </row>
    <row r="3826" spans="1:4" ht="12.75" customHeight="1" x14ac:dyDescent="0.2">
      <c r="A3826" s="21"/>
      <c r="B3826" s="2"/>
      <c r="C3826" s="7"/>
      <c r="D3826" s="7"/>
    </row>
    <row r="3827" spans="1:4" ht="12.75" customHeight="1" x14ac:dyDescent="0.2">
      <c r="A3827" s="21"/>
      <c r="B3827" s="2"/>
      <c r="C3827" s="7"/>
      <c r="D3827" s="7"/>
    </row>
    <row r="3828" spans="1:4" ht="12.75" customHeight="1" x14ac:dyDescent="0.2">
      <c r="A3828" s="21"/>
      <c r="B3828" s="2"/>
      <c r="C3828" s="7"/>
      <c r="D3828" s="7"/>
    </row>
    <row r="3829" spans="1:4" ht="12.75" customHeight="1" x14ac:dyDescent="0.2">
      <c r="A3829" s="5"/>
      <c r="B3829" s="2"/>
      <c r="C3829" s="7"/>
      <c r="D3829" s="7"/>
    </row>
    <row r="3830" spans="1:4" ht="12.75" customHeight="1" x14ac:dyDescent="0.2">
      <c r="A3830" s="22" t="str">
        <f>HYPERLINK("javascript:void(0)","mozsárcsizma")</f>
        <v>mozsárcsizma</v>
      </c>
      <c r="B3830" s="21"/>
      <c r="C3830" s="21"/>
      <c r="D3830" s="21"/>
    </row>
    <row r="3831" spans="1:4" ht="12.75" customHeight="1" x14ac:dyDescent="0.2">
      <c r="A3831" s="20"/>
      <c r="B3831" s="2"/>
      <c r="C3831" s="7"/>
      <c r="D3831" s="7"/>
    </row>
    <row r="3832" spans="1:4" ht="12.75" customHeight="1" x14ac:dyDescent="0.2">
      <c r="A3832" s="21"/>
      <c r="B3832" s="3" t="s">
        <v>0</v>
      </c>
      <c r="C3832" s="23" t="s">
        <v>353</v>
      </c>
      <c r="D3832" s="21"/>
    </row>
    <row r="3833" spans="1:4" ht="12.75" customHeight="1" x14ac:dyDescent="0.2">
      <c r="A3833" s="21"/>
      <c r="B3833" s="3" t="s">
        <v>2</v>
      </c>
      <c r="C3833" s="23"/>
      <c r="D3833" s="21"/>
    </row>
    <row r="3834" spans="1:4" ht="12.75" customHeight="1" x14ac:dyDescent="0.2">
      <c r="A3834" s="21"/>
      <c r="B3834" s="3" t="s">
        <v>1840</v>
      </c>
      <c r="C3834" s="23" t="s">
        <v>167</v>
      </c>
      <c r="D3834" s="21"/>
    </row>
    <row r="3835" spans="1:4" ht="12.75" customHeight="1" x14ac:dyDescent="0.2">
      <c r="A3835" s="21"/>
      <c r="B3835" s="3" t="s">
        <v>9</v>
      </c>
      <c r="C3835" s="23" t="s">
        <v>233</v>
      </c>
      <c r="D3835" s="21"/>
    </row>
    <row r="3836" spans="1:4" ht="12.75" customHeight="1" x14ac:dyDescent="0.2">
      <c r="A3836" s="21"/>
      <c r="B3836" s="3" t="s">
        <v>11</v>
      </c>
      <c r="C3836" s="23" t="s">
        <v>350</v>
      </c>
      <c r="D3836" s="21"/>
    </row>
    <row r="3837" spans="1:4" ht="12.75" customHeight="1" x14ac:dyDescent="0.2">
      <c r="A3837" s="21"/>
      <c r="B3837" s="3" t="s">
        <v>16</v>
      </c>
      <c r="C3837" s="23"/>
      <c r="D3837" s="21"/>
    </row>
    <row r="3838" spans="1:4" ht="12.75" customHeight="1" x14ac:dyDescent="0.2">
      <c r="A3838" s="21"/>
      <c r="B3838" s="3" t="s">
        <v>17</v>
      </c>
      <c r="C3838" s="23" t="s">
        <v>19</v>
      </c>
      <c r="D3838" s="21"/>
    </row>
    <row r="3839" spans="1:4" ht="12.75" customHeight="1" x14ac:dyDescent="0.2">
      <c r="A3839" s="21"/>
      <c r="B3839" s="20" t="s">
        <v>18</v>
      </c>
      <c r="C3839" s="8" t="s">
        <v>44</v>
      </c>
      <c r="D3839" s="1" t="str">
        <f>HYPERLINK("javascript:void(0)","csőcsizma")</f>
        <v>csőcsizma</v>
      </c>
    </row>
    <row r="3840" spans="1:4" ht="12.75" customHeight="1" x14ac:dyDescent="0.2">
      <c r="A3840" s="21"/>
      <c r="B3840" s="21"/>
      <c r="C3840" s="8" t="s">
        <v>68</v>
      </c>
      <c r="D3840" s="1" t="str">
        <f>HYPERLINK("javascript:void(0)","ágyúmozsár")</f>
        <v>ágyúmozsár</v>
      </c>
    </row>
    <row r="3841" spans="1:4" ht="12.75" customHeight="1" x14ac:dyDescent="0.2">
      <c r="A3841" s="21"/>
      <c r="B3841" s="21"/>
      <c r="C3841" s="8" t="s">
        <v>193</v>
      </c>
      <c r="D3841" s="1" t="str">
        <f>HYPERLINK("javascript:void(0)","ínszalag")</f>
        <v>ínszalag</v>
      </c>
    </row>
    <row r="3842" spans="1:4" ht="12.75" customHeight="1" x14ac:dyDescent="0.2">
      <c r="A3842" s="21"/>
      <c r="B3842" s="2"/>
      <c r="C3842" s="7"/>
      <c r="D3842" s="7"/>
    </row>
    <row r="3843" spans="1:4" ht="12.75" customHeight="1" x14ac:dyDescent="0.2">
      <c r="A3843" s="21"/>
      <c r="B3843" s="2"/>
      <c r="C3843" s="7"/>
      <c r="D3843" s="7"/>
    </row>
    <row r="3844" spans="1:4" ht="12.75" customHeight="1" x14ac:dyDescent="0.2">
      <c r="A3844" s="21"/>
      <c r="B3844" s="2"/>
      <c r="C3844" s="7"/>
      <c r="D3844" s="7"/>
    </row>
    <row r="3845" spans="1:4" ht="12.75" customHeight="1" x14ac:dyDescent="0.2">
      <c r="A3845" s="21"/>
      <c r="B3845" s="2"/>
      <c r="C3845" s="7"/>
      <c r="D3845" s="7"/>
    </row>
    <row r="3846" spans="1:4" ht="12.75" customHeight="1" x14ac:dyDescent="0.2">
      <c r="A3846" s="5"/>
      <c r="B3846" s="2"/>
      <c r="C3846" s="7"/>
      <c r="D3846" s="7"/>
    </row>
    <row r="3847" spans="1:4" ht="12.75" customHeight="1" x14ac:dyDescent="0.2">
      <c r="A3847" s="22" t="str">
        <f>HYPERLINK("javascript:void(0)","varázspajzs")</f>
        <v>varázspajzs</v>
      </c>
      <c r="B3847" s="21"/>
      <c r="C3847" s="21"/>
      <c r="D3847" s="21"/>
    </row>
    <row r="3848" spans="1:4" ht="12.75" customHeight="1" x14ac:dyDescent="0.2">
      <c r="A3848" s="20"/>
      <c r="B3848" s="2"/>
      <c r="C3848" s="7"/>
      <c r="D3848" s="7"/>
    </row>
    <row r="3849" spans="1:4" ht="12.75" customHeight="1" x14ac:dyDescent="0.2">
      <c r="A3849" s="21"/>
      <c r="B3849" s="3" t="s">
        <v>0</v>
      </c>
      <c r="C3849" s="23" t="s">
        <v>353</v>
      </c>
      <c r="D3849" s="21"/>
    </row>
    <row r="3850" spans="1:4" ht="12.75" customHeight="1" x14ac:dyDescent="0.2">
      <c r="A3850" s="21"/>
      <c r="B3850" s="3" t="s">
        <v>2</v>
      </c>
      <c r="C3850" s="23" t="s">
        <v>1839</v>
      </c>
      <c r="D3850" s="21"/>
    </row>
    <row r="3851" spans="1:4" ht="12.75" customHeight="1" x14ac:dyDescent="0.2">
      <c r="A3851" s="21"/>
      <c r="B3851" s="3" t="s">
        <v>1840</v>
      </c>
      <c r="C3851" s="23" t="s">
        <v>719</v>
      </c>
      <c r="D3851" s="21"/>
    </row>
    <row r="3852" spans="1:4" ht="12.75" customHeight="1" x14ac:dyDescent="0.2">
      <c r="A3852" s="21"/>
      <c r="B3852" s="3" t="s">
        <v>9</v>
      </c>
      <c r="C3852" s="23" t="s">
        <v>198</v>
      </c>
      <c r="D3852" s="21"/>
    </row>
    <row r="3853" spans="1:4" ht="12.75" customHeight="1" x14ac:dyDescent="0.2">
      <c r="A3853" s="21"/>
      <c r="B3853" s="3" t="s">
        <v>11</v>
      </c>
      <c r="C3853" s="23" t="s">
        <v>427</v>
      </c>
      <c r="D3853" s="21"/>
    </row>
    <row r="3854" spans="1:4" ht="12.75" customHeight="1" x14ac:dyDescent="0.2">
      <c r="A3854" s="21"/>
      <c r="B3854" s="3" t="s">
        <v>16</v>
      </c>
      <c r="C3854" s="23"/>
      <c r="D3854" s="21"/>
    </row>
    <row r="3855" spans="1:4" ht="12.75" customHeight="1" x14ac:dyDescent="0.2">
      <c r="A3855" s="21"/>
      <c r="B3855" s="3" t="s">
        <v>17</v>
      </c>
      <c r="C3855" s="23" t="s">
        <v>19</v>
      </c>
      <c r="D3855" s="21"/>
    </row>
    <row r="3856" spans="1:4" ht="12.75" customHeight="1" x14ac:dyDescent="0.2">
      <c r="A3856" s="21"/>
      <c r="B3856" s="20" t="s">
        <v>18</v>
      </c>
      <c r="C3856" s="8" t="s">
        <v>44</v>
      </c>
      <c r="D3856" s="1" t="str">
        <f>HYPERLINK("javascript:void(0)","szalagpajzs")</f>
        <v>szalagpajzs</v>
      </c>
    </row>
    <row r="3857" spans="1:4" ht="12.75" customHeight="1" x14ac:dyDescent="0.2">
      <c r="A3857" s="21"/>
      <c r="B3857" s="21"/>
      <c r="C3857" s="8" t="s">
        <v>193</v>
      </c>
      <c r="D3857" s="1" t="str">
        <f>HYPERLINK("javascript:void(0)","mágusköpeny")</f>
        <v>mágusköpeny</v>
      </c>
    </row>
    <row r="3858" spans="1:4" ht="12.75" customHeight="1" x14ac:dyDescent="0.2">
      <c r="A3858" s="21"/>
      <c r="B3858" s="21"/>
      <c r="C3858" s="8" t="s">
        <v>77</v>
      </c>
      <c r="D3858" s="1" t="str">
        <f>HYPERLINK("javascript:void(0)","ágyúmozsár")</f>
        <v>ágyúmozsár</v>
      </c>
    </row>
    <row r="3859" spans="1:4" ht="12.75" customHeight="1" x14ac:dyDescent="0.2">
      <c r="A3859" s="21"/>
      <c r="B3859" s="2"/>
      <c r="C3859" s="7"/>
      <c r="D3859" s="7"/>
    </row>
    <row r="3860" spans="1:4" ht="12.75" customHeight="1" x14ac:dyDescent="0.2">
      <c r="A3860" s="21"/>
      <c r="B3860" s="2"/>
      <c r="C3860" s="7"/>
      <c r="D3860" s="7"/>
    </row>
    <row r="3861" spans="1:4" ht="12.75" customHeight="1" x14ac:dyDescent="0.2">
      <c r="A3861" s="21"/>
      <c r="B3861" s="2"/>
      <c r="C3861" s="7"/>
      <c r="D3861" s="7"/>
    </row>
    <row r="3862" spans="1:4" ht="12.75" customHeight="1" x14ac:dyDescent="0.2">
      <c r="A3862" s="21"/>
      <c r="B3862" s="2"/>
      <c r="C3862" s="7"/>
      <c r="D3862" s="7"/>
    </row>
    <row r="3863" spans="1:4" ht="12.75" customHeight="1" x14ac:dyDescent="0.2">
      <c r="A3863" s="5"/>
      <c r="B3863" s="2"/>
      <c r="C3863" s="7"/>
      <c r="D3863" s="7"/>
    </row>
    <row r="3864" spans="1:4" ht="12.75" customHeight="1" x14ac:dyDescent="0.2">
      <c r="A3864" s="22" t="str">
        <f>HYPERLINK("javascript:void(0)","arany manasisak")</f>
        <v>arany manasisak</v>
      </c>
      <c r="B3864" s="21"/>
      <c r="C3864" s="21"/>
      <c r="D3864" s="21"/>
    </row>
    <row r="3865" spans="1:4" ht="12.75" customHeight="1" x14ac:dyDescent="0.2">
      <c r="A3865" s="20"/>
      <c r="B3865" s="2"/>
      <c r="C3865" s="7"/>
      <c r="D3865" s="7"/>
    </row>
    <row r="3866" spans="1:4" ht="12.75" customHeight="1" x14ac:dyDescent="0.2">
      <c r="A3866" s="21"/>
      <c r="B3866" s="3" t="s">
        <v>0</v>
      </c>
      <c r="C3866" s="23" t="s">
        <v>353</v>
      </c>
      <c r="D3866" s="21"/>
    </row>
    <row r="3867" spans="1:4" ht="12.75" customHeight="1" x14ac:dyDescent="0.2">
      <c r="A3867" s="21"/>
      <c r="B3867" s="3" t="s">
        <v>2</v>
      </c>
      <c r="C3867" s="23"/>
      <c r="D3867" s="21"/>
    </row>
    <row r="3868" spans="1:4" ht="12.75" customHeight="1" x14ac:dyDescent="0.2">
      <c r="A3868" s="21"/>
      <c r="B3868" s="3" t="s">
        <v>1840</v>
      </c>
      <c r="C3868" s="23" t="s">
        <v>291</v>
      </c>
      <c r="D3868" s="21"/>
    </row>
    <row r="3869" spans="1:4" ht="12.75" customHeight="1" x14ac:dyDescent="0.2">
      <c r="A3869" s="21"/>
      <c r="B3869" s="3" t="s">
        <v>9</v>
      </c>
      <c r="C3869" s="23" t="s">
        <v>962</v>
      </c>
      <c r="D3869" s="21"/>
    </row>
    <row r="3870" spans="1:4" ht="12.75" customHeight="1" x14ac:dyDescent="0.2">
      <c r="A3870" s="21"/>
      <c r="B3870" s="3" t="s">
        <v>11</v>
      </c>
      <c r="C3870" s="23" t="s">
        <v>279</v>
      </c>
      <c r="D3870" s="21"/>
    </row>
    <row r="3871" spans="1:4" ht="12.75" customHeight="1" x14ac:dyDescent="0.2">
      <c r="A3871" s="21"/>
      <c r="B3871" s="3" t="s">
        <v>16</v>
      </c>
      <c r="C3871" s="23"/>
      <c r="D3871" s="21"/>
    </row>
    <row r="3872" spans="1:4" ht="12.75" customHeight="1" x14ac:dyDescent="0.2">
      <c r="A3872" s="21"/>
      <c r="B3872" s="3" t="s">
        <v>17</v>
      </c>
      <c r="C3872" s="23" t="s">
        <v>19</v>
      </c>
      <c r="D3872" s="21"/>
    </row>
    <row r="3873" spans="1:4" ht="12.75" customHeight="1" x14ac:dyDescent="0.2">
      <c r="A3873" s="21"/>
      <c r="B3873" s="20" t="s">
        <v>18</v>
      </c>
      <c r="C3873" s="8" t="s">
        <v>44</v>
      </c>
      <c r="D3873" s="1" t="str">
        <f>HYPERLINK("javascript:void(0)","ezüst manasisak")</f>
        <v>ezüst manasisak</v>
      </c>
    </row>
    <row r="3874" spans="1:4" ht="12.75" customHeight="1" x14ac:dyDescent="0.2">
      <c r="A3874" s="21"/>
      <c r="B3874" s="21"/>
      <c r="C3874" s="8" t="s">
        <v>193</v>
      </c>
      <c r="D3874" s="1" t="str">
        <f>HYPERLINK("javascript:void(0)","szent szimbólum")</f>
        <v>szent szimbólum</v>
      </c>
    </row>
    <row r="3875" spans="1:4" ht="12.75" customHeight="1" x14ac:dyDescent="0.2">
      <c r="A3875" s="21"/>
      <c r="B3875" s="21"/>
      <c r="C3875" s="8" t="s">
        <v>232</v>
      </c>
      <c r="D3875" s="1" t="str">
        <f>HYPERLINK("javascript:void(0)","ágyúmozsár")</f>
        <v>ágyúmozsár</v>
      </c>
    </row>
    <row r="3876" spans="1:4" ht="12.75" customHeight="1" x14ac:dyDescent="0.2">
      <c r="A3876" s="21"/>
      <c r="B3876" s="2"/>
      <c r="C3876" s="7"/>
      <c r="D3876" s="7"/>
    </row>
    <row r="3877" spans="1:4" ht="12.75" customHeight="1" x14ac:dyDescent="0.2">
      <c r="A3877" s="21"/>
      <c r="B3877" s="2"/>
      <c r="C3877" s="7"/>
      <c r="D3877" s="7"/>
    </row>
    <row r="3878" spans="1:4" ht="12.75" customHeight="1" x14ac:dyDescent="0.2">
      <c r="A3878" s="21"/>
      <c r="B3878" s="2"/>
      <c r="C3878" s="7"/>
      <c r="D3878" s="7"/>
    </row>
    <row r="3879" spans="1:4" ht="12.75" customHeight="1" x14ac:dyDescent="0.2">
      <c r="A3879" s="21"/>
      <c r="B3879" s="2"/>
      <c r="C3879" s="7"/>
      <c r="D3879" s="7"/>
    </row>
    <row r="3880" spans="1:4" ht="12.75" customHeight="1" x14ac:dyDescent="0.2">
      <c r="A3880" s="5"/>
      <c r="B3880" s="2"/>
      <c r="C3880" s="7"/>
      <c r="D3880" s="7"/>
    </row>
    <row r="3881" spans="1:4" ht="12.75" customHeight="1" x14ac:dyDescent="0.2">
      <c r="A3881" s="22" t="str">
        <f>HYPERLINK("javascript:void(0)","arany manafejpánt")</f>
        <v>arany manafejpánt</v>
      </c>
      <c r="B3881" s="21"/>
      <c r="C3881" s="21"/>
      <c r="D3881" s="21"/>
    </row>
    <row r="3882" spans="1:4" ht="12.75" customHeight="1" x14ac:dyDescent="0.2">
      <c r="A3882" s="20"/>
      <c r="B3882" s="2"/>
      <c r="C3882" s="7"/>
      <c r="D3882" s="7"/>
    </row>
    <row r="3883" spans="1:4" ht="12.75" customHeight="1" x14ac:dyDescent="0.2">
      <c r="A3883" s="21"/>
      <c r="B3883" s="3" t="s">
        <v>0</v>
      </c>
      <c r="C3883" s="23" t="s">
        <v>353</v>
      </c>
      <c r="D3883" s="21"/>
    </row>
    <row r="3884" spans="1:4" ht="12.75" customHeight="1" x14ac:dyDescent="0.2">
      <c r="A3884" s="21"/>
      <c r="B3884" s="3" t="s">
        <v>2</v>
      </c>
      <c r="C3884" s="23"/>
      <c r="D3884" s="21"/>
    </row>
    <row r="3885" spans="1:4" ht="12.75" customHeight="1" x14ac:dyDescent="0.2">
      <c r="A3885" s="21"/>
      <c r="B3885" s="3" t="s">
        <v>1840</v>
      </c>
      <c r="C3885" s="23" t="s">
        <v>38</v>
      </c>
      <c r="D3885" s="21"/>
    </row>
    <row r="3886" spans="1:4" ht="12.75" customHeight="1" x14ac:dyDescent="0.2">
      <c r="A3886" s="21"/>
      <c r="B3886" s="3" t="s">
        <v>9</v>
      </c>
      <c r="C3886" s="23" t="s">
        <v>959</v>
      </c>
      <c r="D3886" s="21"/>
    </row>
    <row r="3887" spans="1:4" ht="12.75" customHeight="1" x14ac:dyDescent="0.2">
      <c r="A3887" s="21"/>
      <c r="B3887" s="3" t="s">
        <v>11</v>
      </c>
      <c r="C3887" s="23" t="s">
        <v>279</v>
      </c>
      <c r="D3887" s="21"/>
    </row>
    <row r="3888" spans="1:4" ht="12.75" customHeight="1" x14ac:dyDescent="0.2">
      <c r="A3888" s="21"/>
      <c r="B3888" s="3" t="s">
        <v>16</v>
      </c>
      <c r="C3888" s="23"/>
      <c r="D3888" s="21"/>
    </row>
    <row r="3889" spans="1:4" ht="12.75" customHeight="1" x14ac:dyDescent="0.2">
      <c r="A3889" s="21"/>
      <c r="B3889" s="3" t="s">
        <v>17</v>
      </c>
      <c r="C3889" s="23" t="s">
        <v>19</v>
      </c>
      <c r="D3889" s="21"/>
    </row>
    <row r="3890" spans="1:4" ht="12.75" customHeight="1" x14ac:dyDescent="0.2">
      <c r="A3890" s="21"/>
      <c r="B3890" s="20" t="s">
        <v>18</v>
      </c>
      <c r="C3890" s="8" t="s">
        <v>44</v>
      </c>
      <c r="D3890" s="1" t="str">
        <f>HYPERLINK("javascript:void(0)","ezüst manafejpánt")</f>
        <v>ezüst manafejpánt</v>
      </c>
    </row>
    <row r="3891" spans="1:4" ht="12.75" customHeight="1" x14ac:dyDescent="0.2">
      <c r="A3891" s="21"/>
      <c r="B3891" s="21"/>
      <c r="C3891" s="8" t="s">
        <v>193</v>
      </c>
      <c r="D3891" s="1" t="str">
        <f>HYPERLINK("javascript:void(0)","szent szimbólum")</f>
        <v>szent szimbólum</v>
      </c>
    </row>
    <row r="3892" spans="1:4" ht="12.75" customHeight="1" x14ac:dyDescent="0.2">
      <c r="A3892" s="21"/>
      <c r="B3892" s="21"/>
      <c r="C3892" s="8" t="s">
        <v>232</v>
      </c>
      <c r="D3892" s="1" t="str">
        <f>HYPERLINK("javascript:void(0)","rémszem")</f>
        <v>rémszem</v>
      </c>
    </row>
    <row r="3893" spans="1:4" ht="12.75" customHeight="1" x14ac:dyDescent="0.2">
      <c r="A3893" s="21"/>
      <c r="B3893" s="2"/>
      <c r="C3893" s="7"/>
      <c r="D3893" s="7"/>
    </row>
    <row r="3894" spans="1:4" ht="12.75" customHeight="1" x14ac:dyDescent="0.2">
      <c r="A3894" s="21"/>
      <c r="B3894" s="2"/>
      <c r="C3894" s="7"/>
      <c r="D3894" s="7"/>
    </row>
    <row r="3895" spans="1:4" ht="12.75" customHeight="1" x14ac:dyDescent="0.2">
      <c r="A3895" s="21"/>
      <c r="B3895" s="2"/>
      <c r="C3895" s="7"/>
      <c r="D3895" s="7"/>
    </row>
    <row r="3896" spans="1:4" ht="12.75" customHeight="1" x14ac:dyDescent="0.2">
      <c r="A3896" s="21"/>
      <c r="B3896" s="2"/>
      <c r="C3896" s="7"/>
      <c r="D3896" s="7"/>
    </row>
    <row r="3897" spans="1:4" ht="12.75" customHeight="1" x14ac:dyDescent="0.2">
      <c r="A3897" s="5"/>
      <c r="B3897" s="2"/>
      <c r="C3897" s="7"/>
      <c r="D3897" s="7"/>
    </row>
    <row r="3898" spans="1:4" ht="12.75" customHeight="1" x14ac:dyDescent="0.2">
      <c r="A3898" s="22" t="str">
        <f>HYPERLINK("javascript:void(0)","centro pillepajzs")</f>
        <v>centro pillepajzs</v>
      </c>
      <c r="B3898" s="21"/>
      <c r="C3898" s="21"/>
      <c r="D3898" s="21"/>
    </row>
    <row r="3899" spans="1:4" ht="12.75" customHeight="1" x14ac:dyDescent="0.2">
      <c r="A3899" s="20"/>
      <c r="B3899" s="2"/>
      <c r="C3899" s="7"/>
      <c r="D3899" s="7"/>
    </row>
    <row r="3900" spans="1:4" ht="12.75" customHeight="1" x14ac:dyDescent="0.2">
      <c r="A3900" s="21"/>
      <c r="B3900" s="3" t="s">
        <v>0</v>
      </c>
      <c r="C3900" s="23" t="s">
        <v>353</v>
      </c>
      <c r="D3900" s="21"/>
    </row>
    <row r="3901" spans="1:4" ht="12.75" customHeight="1" x14ac:dyDescent="0.2">
      <c r="A3901" s="21"/>
      <c r="B3901" s="3" t="s">
        <v>2</v>
      </c>
      <c r="C3901" s="23" t="s">
        <v>1839</v>
      </c>
      <c r="D3901" s="21"/>
    </row>
    <row r="3902" spans="1:4" ht="12.75" customHeight="1" x14ac:dyDescent="0.2">
      <c r="A3902" s="21"/>
      <c r="B3902" s="3" t="s">
        <v>1840</v>
      </c>
      <c r="C3902" s="23" t="s">
        <v>719</v>
      </c>
      <c r="D3902" s="21"/>
    </row>
    <row r="3903" spans="1:4" ht="12.75" customHeight="1" x14ac:dyDescent="0.2">
      <c r="A3903" s="21"/>
      <c r="B3903" s="3" t="s">
        <v>9</v>
      </c>
      <c r="C3903" s="23" t="s">
        <v>10</v>
      </c>
      <c r="D3903" s="21"/>
    </row>
    <row r="3904" spans="1:4" ht="12.75" customHeight="1" x14ac:dyDescent="0.2">
      <c r="A3904" s="21"/>
      <c r="B3904" s="3" t="s">
        <v>11</v>
      </c>
      <c r="C3904" s="23" t="s">
        <v>447</v>
      </c>
      <c r="D3904" s="21"/>
    </row>
    <row r="3905" spans="1:4" ht="12.75" customHeight="1" x14ac:dyDescent="0.2">
      <c r="A3905" s="21"/>
      <c r="B3905" s="3" t="s">
        <v>16</v>
      </c>
      <c r="C3905" s="23"/>
      <c r="D3905" s="21"/>
    </row>
    <row r="3906" spans="1:4" ht="12.75" customHeight="1" x14ac:dyDescent="0.2">
      <c r="A3906" s="21"/>
      <c r="B3906" s="3" t="s">
        <v>17</v>
      </c>
      <c r="C3906" s="23" t="s">
        <v>19</v>
      </c>
      <c r="D3906" s="21"/>
    </row>
    <row r="3907" spans="1:4" ht="12.75" customHeight="1" x14ac:dyDescent="0.2">
      <c r="A3907" s="21"/>
      <c r="B3907" s="20" t="s">
        <v>18</v>
      </c>
      <c r="C3907" s="8" t="s">
        <v>44</v>
      </c>
      <c r="D3907" s="1" t="str">
        <f>HYPERLINK("javascript:void(0)","varázspajzs")</f>
        <v>varázspajzs</v>
      </c>
    </row>
    <row r="3908" spans="1:4" ht="12.75" customHeight="1" x14ac:dyDescent="0.2">
      <c r="A3908" s="21"/>
      <c r="B3908" s="21"/>
      <c r="C3908" s="8" t="s">
        <v>280</v>
      </c>
      <c r="D3908" s="1" t="str">
        <f>HYPERLINK("javascript:void(0)","centrolium")</f>
        <v>centrolium</v>
      </c>
    </row>
    <row r="3909" spans="1:4" ht="12.75" customHeight="1" x14ac:dyDescent="0.2">
      <c r="A3909" s="21"/>
      <c r="B3909" s="21"/>
      <c r="C3909" s="8" t="s">
        <v>290</v>
      </c>
      <c r="D3909" s="1" t="str">
        <f>HYPERLINK("javascript:void(0)","rémszem")</f>
        <v>rémszem</v>
      </c>
    </row>
    <row r="3910" spans="1:4" ht="12.75" customHeight="1" x14ac:dyDescent="0.2">
      <c r="A3910" s="21"/>
      <c r="B3910" s="2"/>
      <c r="C3910" s="7"/>
      <c r="D3910" s="7"/>
    </row>
    <row r="3911" spans="1:4" ht="12.75" customHeight="1" x14ac:dyDescent="0.2">
      <c r="A3911" s="21"/>
      <c r="B3911" s="2"/>
      <c r="C3911" s="7"/>
      <c r="D3911" s="7"/>
    </row>
    <row r="3912" spans="1:4" ht="12.75" customHeight="1" x14ac:dyDescent="0.2">
      <c r="A3912" s="21"/>
      <c r="B3912" s="2"/>
      <c r="C3912" s="7"/>
      <c r="D3912" s="7"/>
    </row>
    <row r="3913" spans="1:4" ht="12.75" customHeight="1" x14ac:dyDescent="0.2">
      <c r="A3913" s="21"/>
      <c r="B3913" s="2"/>
      <c r="C3913" s="7"/>
      <c r="D3913" s="7"/>
    </row>
    <row r="3914" spans="1:4" ht="12.75" customHeight="1" x14ac:dyDescent="0.2">
      <c r="A3914" s="5"/>
      <c r="B3914" s="2"/>
      <c r="C3914" s="7"/>
      <c r="D3914" s="7"/>
    </row>
    <row r="3915" spans="1:4" ht="12.75" customHeight="1" x14ac:dyDescent="0.2">
      <c r="A3915" s="22" t="str">
        <f>HYPERLINK("javascript:void(0)","animált páncél")</f>
        <v>animált páncél</v>
      </c>
      <c r="B3915" s="21"/>
      <c r="C3915" s="21"/>
      <c r="D3915" s="21"/>
    </row>
    <row r="3916" spans="1:4" ht="12.75" customHeight="1" x14ac:dyDescent="0.2">
      <c r="A3916" s="20"/>
      <c r="B3916" s="2"/>
      <c r="C3916" s="7"/>
      <c r="D3916" s="7"/>
    </row>
    <row r="3917" spans="1:4" ht="12.75" customHeight="1" x14ac:dyDescent="0.2">
      <c r="A3917" s="21"/>
      <c r="B3917" s="3" t="s">
        <v>0</v>
      </c>
      <c r="C3917" s="23" t="s">
        <v>274</v>
      </c>
      <c r="D3917" s="21"/>
    </row>
    <row r="3918" spans="1:4" ht="12.75" customHeight="1" x14ac:dyDescent="0.2">
      <c r="A3918" s="21"/>
      <c r="B3918" s="3" t="s">
        <v>2</v>
      </c>
      <c r="C3918" s="23" t="s">
        <v>2322</v>
      </c>
      <c r="D3918" s="21"/>
    </row>
    <row r="3919" spans="1:4" ht="12.75" customHeight="1" x14ac:dyDescent="0.2">
      <c r="A3919" s="21"/>
      <c r="B3919" s="3" t="s">
        <v>1840</v>
      </c>
      <c r="C3919" s="23" t="s">
        <v>1060</v>
      </c>
      <c r="D3919" s="21"/>
    </row>
    <row r="3920" spans="1:4" ht="12.75" customHeight="1" x14ac:dyDescent="0.2">
      <c r="A3920" s="21"/>
      <c r="B3920" s="3" t="s">
        <v>9</v>
      </c>
      <c r="C3920" s="23" t="s">
        <v>124</v>
      </c>
      <c r="D3920" s="21"/>
    </row>
    <row r="3921" spans="1:4" ht="12.75" customHeight="1" x14ac:dyDescent="0.2">
      <c r="A3921" s="21"/>
      <c r="B3921" s="3" t="s">
        <v>11</v>
      </c>
      <c r="C3921" s="23" t="s">
        <v>339</v>
      </c>
      <c r="D3921" s="21"/>
    </row>
    <row r="3922" spans="1:4" ht="12.75" customHeight="1" x14ac:dyDescent="0.2">
      <c r="A3922" s="21"/>
      <c r="B3922" s="3" t="s">
        <v>16</v>
      </c>
      <c r="C3922" s="23"/>
      <c r="D3922" s="21"/>
    </row>
    <row r="3923" spans="1:4" ht="12.75" customHeight="1" x14ac:dyDescent="0.2">
      <c r="A3923" s="21"/>
      <c r="B3923" s="3" t="s">
        <v>17</v>
      </c>
      <c r="C3923" s="23" t="s">
        <v>19</v>
      </c>
      <c r="D3923" s="21"/>
    </row>
    <row r="3924" spans="1:4" ht="12.75" customHeight="1" x14ac:dyDescent="0.2">
      <c r="A3924" s="21"/>
      <c r="B3924" s="20" t="s">
        <v>18</v>
      </c>
      <c r="C3924" s="8" t="s">
        <v>44</v>
      </c>
      <c r="D3924" s="1" t="str">
        <f>HYPERLINK("javascript:void(0)","körömpáncél")</f>
        <v>körömpáncél</v>
      </c>
    </row>
    <row r="3925" spans="1:4" ht="12.75" customHeight="1" x14ac:dyDescent="0.2">
      <c r="A3925" s="21"/>
      <c r="B3925" s="21"/>
      <c r="C3925" s="8" t="s">
        <v>44</v>
      </c>
      <c r="D3925" s="1" t="str">
        <f>HYPERLINK("javascript:void(0)","varázspáncél")</f>
        <v>varázspáncél</v>
      </c>
    </row>
    <row r="3926" spans="1:4" ht="12.75" customHeight="1" x14ac:dyDescent="0.2">
      <c r="A3926" s="21"/>
      <c r="B3926" s="21"/>
      <c r="C3926" s="8" t="s">
        <v>68</v>
      </c>
      <c r="D3926" s="1" t="str">
        <f>HYPERLINK("javascript:void(0)","nekroige")</f>
        <v>nekroige</v>
      </c>
    </row>
    <row r="3927" spans="1:4" ht="12.75" customHeight="1" x14ac:dyDescent="0.2">
      <c r="A3927" s="21"/>
      <c r="B3927" s="2"/>
      <c r="C3927" s="7"/>
      <c r="D3927" s="7"/>
    </row>
    <row r="3928" spans="1:4" ht="12.75" customHeight="1" x14ac:dyDescent="0.2">
      <c r="A3928" s="21"/>
      <c r="B3928" s="2"/>
      <c r="C3928" s="7"/>
      <c r="D3928" s="7"/>
    </row>
    <row r="3929" spans="1:4" ht="12.75" customHeight="1" x14ac:dyDescent="0.2">
      <c r="A3929" s="21"/>
      <c r="B3929" s="2"/>
      <c r="C3929" s="7"/>
      <c r="D3929" s="7"/>
    </row>
    <row r="3930" spans="1:4" ht="12.75" customHeight="1" x14ac:dyDescent="0.2">
      <c r="A3930" s="21"/>
      <c r="B3930" s="2"/>
      <c r="C3930" s="7"/>
      <c r="D3930" s="7"/>
    </row>
    <row r="3931" spans="1:4" ht="12.75" customHeight="1" x14ac:dyDescent="0.2">
      <c r="A3931" s="5"/>
      <c r="B3931" s="2"/>
      <c r="C3931" s="7"/>
      <c r="D3931" s="7"/>
    </row>
    <row r="3932" spans="1:4" ht="12.75" customHeight="1" x14ac:dyDescent="0.2">
      <c r="A3932" s="22" t="str">
        <f>HYPERLINK("javascript:void(0)","kristálysisak")</f>
        <v>kristálysisak</v>
      </c>
      <c r="B3932" s="21"/>
      <c r="C3932" s="21"/>
      <c r="D3932" s="21"/>
    </row>
    <row r="3933" spans="1:4" ht="12.75" customHeight="1" x14ac:dyDescent="0.2">
      <c r="A3933" s="20"/>
      <c r="B3933" s="2"/>
      <c r="C3933" s="7"/>
      <c r="D3933" s="7"/>
    </row>
    <row r="3934" spans="1:4" ht="12.75" customHeight="1" x14ac:dyDescent="0.2">
      <c r="A3934" s="21"/>
      <c r="B3934" s="3" t="s">
        <v>0</v>
      </c>
      <c r="C3934" s="23" t="s">
        <v>274</v>
      </c>
      <c r="D3934" s="21"/>
    </row>
    <row r="3935" spans="1:4" ht="12.75" customHeight="1" x14ac:dyDescent="0.2">
      <c r="A3935" s="21"/>
      <c r="B3935" s="3" t="s">
        <v>2</v>
      </c>
      <c r="C3935" s="23"/>
      <c r="D3935" s="21"/>
    </row>
    <row r="3936" spans="1:4" ht="12.75" customHeight="1" x14ac:dyDescent="0.2">
      <c r="A3936" s="21"/>
      <c r="B3936" s="3" t="s">
        <v>1840</v>
      </c>
      <c r="C3936" s="23" t="s">
        <v>219</v>
      </c>
      <c r="D3936" s="21"/>
    </row>
    <row r="3937" spans="1:4" ht="12.75" customHeight="1" x14ac:dyDescent="0.2">
      <c r="A3937" s="21"/>
      <c r="B3937" s="3" t="s">
        <v>9</v>
      </c>
      <c r="C3937" s="23" t="s">
        <v>172</v>
      </c>
      <c r="D3937" s="21"/>
    </row>
    <row r="3938" spans="1:4" ht="12.75" customHeight="1" x14ac:dyDescent="0.2">
      <c r="A3938" s="21"/>
      <c r="B3938" s="3" t="s">
        <v>11</v>
      </c>
      <c r="C3938" s="23" t="s">
        <v>339</v>
      </c>
      <c r="D3938" s="21"/>
    </row>
    <row r="3939" spans="1:4" ht="12.75" customHeight="1" x14ac:dyDescent="0.2">
      <c r="A3939" s="21"/>
      <c r="B3939" s="3" t="s">
        <v>16</v>
      </c>
      <c r="C3939" s="23"/>
      <c r="D3939" s="21"/>
    </row>
    <row r="3940" spans="1:4" ht="12.75" customHeight="1" x14ac:dyDescent="0.2">
      <c r="A3940" s="21"/>
      <c r="B3940" s="3" t="s">
        <v>17</v>
      </c>
      <c r="C3940" s="23" t="s">
        <v>19</v>
      </c>
      <c r="D3940" s="21"/>
    </row>
    <row r="3941" spans="1:4" ht="12.75" customHeight="1" x14ac:dyDescent="0.2">
      <c r="A3941" s="21"/>
      <c r="B3941" s="20" t="s">
        <v>18</v>
      </c>
      <c r="C3941" s="8" t="s">
        <v>44</v>
      </c>
      <c r="D3941" s="1" t="str">
        <f>HYPERLINK("javascript:void(0)","pengekorona")</f>
        <v>pengekorona</v>
      </c>
    </row>
    <row r="3942" spans="1:4" ht="12.75" customHeight="1" x14ac:dyDescent="0.2">
      <c r="A3942" s="21"/>
      <c r="B3942" s="21"/>
      <c r="C3942" s="8" t="s">
        <v>139</v>
      </c>
      <c r="D3942" s="1" t="str">
        <f>HYPERLINK("javascript:void(0)","kihunyt glória")</f>
        <v>kihunyt glória</v>
      </c>
    </row>
    <row r="3943" spans="1:4" ht="12.75" customHeight="1" x14ac:dyDescent="0.2">
      <c r="A3943" s="21"/>
      <c r="B3943" s="21"/>
      <c r="C3943" s="8" t="s">
        <v>55</v>
      </c>
      <c r="D3943" s="1" t="str">
        <f>HYPERLINK("javascript:void(0)","robbanófej")</f>
        <v>robbanófej</v>
      </c>
    </row>
    <row r="3944" spans="1:4" ht="12.75" customHeight="1" x14ac:dyDescent="0.2">
      <c r="A3944" s="21"/>
      <c r="B3944" s="2"/>
      <c r="C3944" s="7"/>
      <c r="D3944" s="7"/>
    </row>
    <row r="3945" spans="1:4" ht="12.75" customHeight="1" x14ac:dyDescent="0.2">
      <c r="A3945" s="21"/>
      <c r="B3945" s="2"/>
      <c r="C3945" s="7"/>
      <c r="D3945" s="7"/>
    </row>
    <row r="3946" spans="1:4" ht="12.75" customHeight="1" x14ac:dyDescent="0.2">
      <c r="A3946" s="21"/>
      <c r="B3946" s="2"/>
      <c r="C3946" s="7"/>
      <c r="D3946" s="7"/>
    </row>
    <row r="3947" spans="1:4" ht="12.75" customHeight="1" x14ac:dyDescent="0.2">
      <c r="A3947" s="21"/>
      <c r="B3947" s="2"/>
      <c r="C3947" s="7"/>
      <c r="D3947" s="7"/>
    </row>
    <row r="3948" spans="1:4" ht="12.75" customHeight="1" x14ac:dyDescent="0.2">
      <c r="A3948" s="5"/>
      <c r="B3948" s="2"/>
      <c r="C3948" s="7"/>
      <c r="D3948" s="7"/>
    </row>
    <row r="3949" spans="1:4" ht="12.75" customHeight="1" x14ac:dyDescent="0.2">
      <c r="A3949" s="22" t="str">
        <f>HYPERLINK("javascript:void(0)","kristálycsizma")</f>
        <v>kristálycsizma</v>
      </c>
      <c r="B3949" s="21"/>
      <c r="C3949" s="21"/>
      <c r="D3949" s="21"/>
    </row>
    <row r="3950" spans="1:4" ht="12.75" customHeight="1" x14ac:dyDescent="0.2">
      <c r="A3950" s="20"/>
      <c r="B3950" s="2"/>
      <c r="C3950" s="7"/>
      <c r="D3950" s="7"/>
    </row>
    <row r="3951" spans="1:4" ht="12.75" customHeight="1" x14ac:dyDescent="0.2">
      <c r="A3951" s="21"/>
      <c r="B3951" s="3" t="s">
        <v>0</v>
      </c>
      <c r="C3951" s="23" t="s">
        <v>274</v>
      </c>
      <c r="D3951" s="21"/>
    </row>
    <row r="3952" spans="1:4" ht="12.75" customHeight="1" x14ac:dyDescent="0.2">
      <c r="A3952" s="21"/>
      <c r="B3952" s="3" t="s">
        <v>2</v>
      </c>
      <c r="C3952" s="23"/>
      <c r="D3952" s="21"/>
    </row>
    <row r="3953" spans="1:4" ht="12.75" customHeight="1" x14ac:dyDescent="0.2">
      <c r="A3953" s="21"/>
      <c r="B3953" s="3" t="s">
        <v>1840</v>
      </c>
      <c r="C3953" s="23" t="s">
        <v>229</v>
      </c>
      <c r="D3953" s="21"/>
    </row>
    <row r="3954" spans="1:4" ht="12.75" customHeight="1" x14ac:dyDescent="0.2">
      <c r="A3954" s="21"/>
      <c r="B3954" s="3" t="s">
        <v>9</v>
      </c>
      <c r="C3954" s="23" t="s">
        <v>573</v>
      </c>
      <c r="D3954" s="21"/>
    </row>
    <row r="3955" spans="1:4" ht="12.75" customHeight="1" x14ac:dyDescent="0.2">
      <c r="A3955" s="21"/>
      <c r="B3955" s="3" t="s">
        <v>11</v>
      </c>
      <c r="C3955" s="23" t="s">
        <v>368</v>
      </c>
      <c r="D3955" s="21"/>
    </row>
    <row r="3956" spans="1:4" ht="12.75" customHeight="1" x14ac:dyDescent="0.2">
      <c r="A3956" s="21"/>
      <c r="B3956" s="3" t="s">
        <v>16</v>
      </c>
      <c r="C3956" s="23"/>
      <c r="D3956" s="21"/>
    </row>
    <row r="3957" spans="1:4" ht="12.75" customHeight="1" x14ac:dyDescent="0.2">
      <c r="A3957" s="21"/>
      <c r="B3957" s="3" t="s">
        <v>17</v>
      </c>
      <c r="C3957" s="23" t="s">
        <v>19</v>
      </c>
      <c r="D3957" s="21"/>
    </row>
    <row r="3958" spans="1:4" ht="12.75" customHeight="1" x14ac:dyDescent="0.2">
      <c r="A3958" s="21"/>
      <c r="B3958" s="20" t="s">
        <v>18</v>
      </c>
      <c r="C3958" s="8" t="s">
        <v>44</v>
      </c>
      <c r="D3958" s="1" t="str">
        <f>HYPERLINK("javascript:void(0)","mozsárcsizma")</f>
        <v>mozsárcsizma</v>
      </c>
    </row>
    <row r="3959" spans="1:4" ht="12.75" customHeight="1" x14ac:dyDescent="0.2">
      <c r="A3959" s="21"/>
      <c r="B3959" s="21"/>
      <c r="C3959" s="8" t="s">
        <v>68</v>
      </c>
      <c r="D3959" s="1" t="str">
        <f>HYPERLINK("javascript:void(0)","ágyúmozsár")</f>
        <v>ágyúmozsár</v>
      </c>
    </row>
    <row r="3960" spans="1:4" ht="12.75" customHeight="1" x14ac:dyDescent="0.2">
      <c r="A3960" s="21"/>
      <c r="B3960" s="21"/>
      <c r="C3960" s="8" t="s">
        <v>55</v>
      </c>
      <c r="D3960" s="1" t="str">
        <f>HYPERLINK("javascript:void(0)","robbanófej")</f>
        <v>robbanófej</v>
      </c>
    </row>
    <row r="3961" spans="1:4" ht="12.75" customHeight="1" x14ac:dyDescent="0.2">
      <c r="A3961" s="21"/>
      <c r="B3961" s="2"/>
      <c r="C3961" s="7"/>
      <c r="D3961" s="7"/>
    </row>
    <row r="3962" spans="1:4" ht="12.75" customHeight="1" x14ac:dyDescent="0.2">
      <c r="A3962" s="21"/>
      <c r="B3962" s="2"/>
      <c r="C3962" s="7"/>
      <c r="D3962" s="7"/>
    </row>
    <row r="3963" spans="1:4" ht="12.75" customHeight="1" x14ac:dyDescent="0.2">
      <c r="A3963" s="21"/>
      <c r="B3963" s="2"/>
      <c r="C3963" s="7"/>
      <c r="D3963" s="7"/>
    </row>
    <row r="3964" spans="1:4" ht="12.75" customHeight="1" x14ac:dyDescent="0.2">
      <c r="A3964" s="21"/>
      <c r="B3964" s="2"/>
      <c r="C3964" s="7"/>
      <c r="D3964" s="7"/>
    </row>
    <row r="3965" spans="1:4" ht="12.75" customHeight="1" x14ac:dyDescent="0.2">
      <c r="A3965" s="5"/>
      <c r="B3965" s="2"/>
      <c r="C3965" s="7"/>
      <c r="D3965" s="7"/>
    </row>
    <row r="3966" spans="1:4" ht="12.75" customHeight="1" x14ac:dyDescent="0.2">
      <c r="A3966" s="22" t="str">
        <f>HYPERLINK("javascript:void(0)","varázs testpajzs")</f>
        <v>varázs testpajzs</v>
      </c>
      <c r="B3966" s="21"/>
      <c r="C3966" s="21"/>
      <c r="D3966" s="21"/>
    </row>
    <row r="3967" spans="1:4" ht="12.75" customHeight="1" x14ac:dyDescent="0.2">
      <c r="A3967" s="20"/>
      <c r="B3967" s="2"/>
      <c r="C3967" s="7"/>
      <c r="D3967" s="7"/>
    </row>
    <row r="3968" spans="1:4" ht="12.75" customHeight="1" x14ac:dyDescent="0.2">
      <c r="A3968" s="21"/>
      <c r="B3968" s="3" t="s">
        <v>0</v>
      </c>
      <c r="C3968" s="23" t="s">
        <v>274</v>
      </c>
      <c r="D3968" s="21"/>
    </row>
    <row r="3969" spans="1:4" ht="12.75" customHeight="1" x14ac:dyDescent="0.2">
      <c r="A3969" s="21"/>
      <c r="B3969" s="3" t="s">
        <v>2</v>
      </c>
      <c r="C3969" s="23" t="s">
        <v>1839</v>
      </c>
      <c r="D3969" s="21"/>
    </row>
    <row r="3970" spans="1:4" ht="12.75" customHeight="1" x14ac:dyDescent="0.2">
      <c r="A3970" s="21"/>
      <c r="B3970" s="3" t="s">
        <v>1840</v>
      </c>
      <c r="C3970" s="23" t="s">
        <v>73</v>
      </c>
      <c r="D3970" s="21"/>
    </row>
    <row r="3971" spans="1:4" ht="12.75" customHeight="1" x14ac:dyDescent="0.2">
      <c r="A3971" s="21"/>
      <c r="B3971" s="3" t="s">
        <v>9</v>
      </c>
      <c r="C3971" s="23" t="s">
        <v>549</v>
      </c>
      <c r="D3971" s="21"/>
    </row>
    <row r="3972" spans="1:4" ht="12.75" customHeight="1" x14ac:dyDescent="0.2">
      <c r="A3972" s="21"/>
      <c r="B3972" s="3" t="s">
        <v>11</v>
      </c>
      <c r="C3972" s="23" t="s">
        <v>447</v>
      </c>
      <c r="D3972" s="21"/>
    </row>
    <row r="3973" spans="1:4" ht="12.75" customHeight="1" x14ac:dyDescent="0.2">
      <c r="A3973" s="21"/>
      <c r="B3973" s="3" t="s">
        <v>16</v>
      </c>
      <c r="C3973" s="23"/>
      <c r="D3973" s="21"/>
    </row>
    <row r="3974" spans="1:4" ht="12.75" customHeight="1" x14ac:dyDescent="0.2">
      <c r="A3974" s="21"/>
      <c r="B3974" s="3" t="s">
        <v>17</v>
      </c>
      <c r="C3974" s="23" t="s">
        <v>19</v>
      </c>
      <c r="D3974" s="21"/>
    </row>
    <row r="3975" spans="1:4" ht="12.75" customHeight="1" x14ac:dyDescent="0.2">
      <c r="A3975" s="21"/>
      <c r="B3975" s="20" t="s">
        <v>18</v>
      </c>
      <c r="C3975" s="8" t="s">
        <v>44</v>
      </c>
      <c r="D3975" s="1" t="str">
        <f>HYPERLINK("javascript:void(0)","szalagtestpajzs")</f>
        <v>szalagtestpajzs</v>
      </c>
    </row>
    <row r="3976" spans="1:4" ht="12.75" customHeight="1" x14ac:dyDescent="0.2">
      <c r="A3976" s="21"/>
      <c r="B3976" s="21"/>
      <c r="C3976" s="8" t="s">
        <v>163</v>
      </c>
      <c r="D3976" s="1" t="str">
        <f>HYPERLINK("javascript:void(0)","mágusköpeny")</f>
        <v>mágusköpeny</v>
      </c>
    </row>
    <row r="3977" spans="1:4" ht="12.75" customHeight="1" x14ac:dyDescent="0.2">
      <c r="A3977" s="21"/>
      <c r="B3977" s="21"/>
      <c r="C3977" s="8" t="s">
        <v>142</v>
      </c>
      <c r="D3977" s="1" t="str">
        <f>HYPERLINK("javascript:void(0)","nekroige")</f>
        <v>nekroige</v>
      </c>
    </row>
    <row r="3978" spans="1:4" ht="12.75" customHeight="1" x14ac:dyDescent="0.2">
      <c r="A3978" s="21"/>
      <c r="B3978" s="2"/>
      <c r="C3978" s="7"/>
      <c r="D3978" s="7"/>
    </row>
    <row r="3979" spans="1:4" ht="12.75" customHeight="1" x14ac:dyDescent="0.2">
      <c r="A3979" s="21"/>
      <c r="B3979" s="2"/>
      <c r="C3979" s="7"/>
      <c r="D3979" s="7"/>
    </row>
    <row r="3980" spans="1:4" ht="12.75" customHeight="1" x14ac:dyDescent="0.2">
      <c r="A3980" s="21"/>
      <c r="B3980" s="2"/>
      <c r="C3980" s="7"/>
      <c r="D3980" s="7"/>
    </row>
    <row r="3981" spans="1:4" ht="12.75" customHeight="1" x14ac:dyDescent="0.2">
      <c r="A3981" s="21"/>
      <c r="B3981" s="2"/>
      <c r="C3981" s="7"/>
      <c r="D3981" s="7"/>
    </row>
    <row r="3982" spans="1:4" ht="12.75" customHeight="1" x14ac:dyDescent="0.2">
      <c r="A3982" s="5"/>
      <c r="B3982" s="2"/>
      <c r="C3982" s="7"/>
      <c r="D3982" s="7"/>
    </row>
    <row r="3983" spans="1:4" ht="12.75" customHeight="1" x14ac:dyDescent="0.2">
      <c r="A3983" s="22" t="str">
        <f>HYPERLINK("javascript:void(0)","hiper pillepajzs")</f>
        <v>hiper pillepajzs</v>
      </c>
      <c r="B3983" s="21"/>
      <c r="C3983" s="21"/>
      <c r="D3983" s="21"/>
    </row>
    <row r="3984" spans="1:4" ht="12.75" customHeight="1" x14ac:dyDescent="0.2">
      <c r="A3984" s="20"/>
      <c r="B3984" s="2"/>
      <c r="C3984" s="7"/>
      <c r="D3984" s="7"/>
    </row>
    <row r="3985" spans="1:4" ht="12.75" customHeight="1" x14ac:dyDescent="0.2">
      <c r="A3985" s="21"/>
      <c r="B3985" s="3" t="s">
        <v>0</v>
      </c>
      <c r="C3985" s="23" t="s">
        <v>274</v>
      </c>
      <c r="D3985" s="21"/>
    </row>
    <row r="3986" spans="1:4" ht="12.75" customHeight="1" x14ac:dyDescent="0.2">
      <c r="A3986" s="21"/>
      <c r="B3986" s="3" t="s">
        <v>2</v>
      </c>
      <c r="C3986" s="23" t="s">
        <v>1839</v>
      </c>
      <c r="D3986" s="21"/>
    </row>
    <row r="3987" spans="1:4" ht="12.75" customHeight="1" x14ac:dyDescent="0.2">
      <c r="A3987" s="21"/>
      <c r="B3987" s="3" t="s">
        <v>1840</v>
      </c>
      <c r="C3987" s="23" t="s">
        <v>73</v>
      </c>
      <c r="D3987" s="21"/>
    </row>
    <row r="3988" spans="1:4" ht="12.75" customHeight="1" x14ac:dyDescent="0.2">
      <c r="A3988" s="21"/>
      <c r="B3988" s="3" t="s">
        <v>9</v>
      </c>
      <c r="C3988" s="23" t="s">
        <v>2034</v>
      </c>
      <c r="D3988" s="21"/>
    </row>
    <row r="3989" spans="1:4" ht="12.75" customHeight="1" x14ac:dyDescent="0.2">
      <c r="A3989" s="21"/>
      <c r="B3989" s="3" t="s">
        <v>11</v>
      </c>
      <c r="C3989" s="23" t="s">
        <v>465</v>
      </c>
      <c r="D3989" s="21"/>
    </row>
    <row r="3990" spans="1:4" ht="12.75" customHeight="1" x14ac:dyDescent="0.2">
      <c r="A3990" s="21"/>
      <c r="B3990" s="3" t="s">
        <v>16</v>
      </c>
      <c r="C3990" s="23"/>
      <c r="D3990" s="21"/>
    </row>
    <row r="3991" spans="1:4" ht="12.75" customHeight="1" x14ac:dyDescent="0.2">
      <c r="A3991" s="21"/>
      <c r="B3991" s="3" t="s">
        <v>17</v>
      </c>
      <c r="C3991" s="23" t="s">
        <v>19</v>
      </c>
      <c r="D3991" s="21"/>
    </row>
    <row r="3992" spans="1:4" ht="12.75" customHeight="1" x14ac:dyDescent="0.2">
      <c r="A3992" s="21"/>
      <c r="B3992" s="20" t="s">
        <v>18</v>
      </c>
      <c r="C3992" s="8" t="s">
        <v>44</v>
      </c>
      <c r="D3992" s="1" t="str">
        <f>HYPERLINK("javascript:void(0)","varázs testpajzs")</f>
        <v>varázs testpajzs</v>
      </c>
    </row>
    <row r="3993" spans="1:4" ht="12.75" customHeight="1" x14ac:dyDescent="0.2">
      <c r="A3993" s="21"/>
      <c r="B3993" s="21"/>
      <c r="C3993" s="8" t="s">
        <v>130</v>
      </c>
      <c r="D3993" s="1" t="str">
        <f>HYPERLINK("javascript:void(0)","hiperium")</f>
        <v>hiperium</v>
      </c>
    </row>
    <row r="3994" spans="1:4" ht="12.75" customHeight="1" x14ac:dyDescent="0.2">
      <c r="A3994" s="21"/>
      <c r="B3994" s="21"/>
      <c r="C3994" s="8" t="s">
        <v>290</v>
      </c>
      <c r="D3994" s="1" t="str">
        <f>HYPERLINK("javascript:void(0)","rémszem")</f>
        <v>rémszem</v>
      </c>
    </row>
    <row r="3995" spans="1:4" ht="12.75" customHeight="1" x14ac:dyDescent="0.2">
      <c r="A3995" s="21"/>
      <c r="B3995" s="2"/>
      <c r="C3995" s="7"/>
      <c r="D3995" s="7"/>
    </row>
    <row r="3996" spans="1:4" ht="12.75" customHeight="1" x14ac:dyDescent="0.2">
      <c r="A3996" s="21"/>
      <c r="B3996" s="2"/>
      <c r="C3996" s="7"/>
      <c r="D3996" s="7"/>
    </row>
    <row r="3997" spans="1:4" ht="12.75" customHeight="1" x14ac:dyDescent="0.2">
      <c r="A3997" s="21"/>
      <c r="B3997" s="2"/>
      <c r="C3997" s="7"/>
      <c r="D3997" s="7"/>
    </row>
    <row r="3998" spans="1:4" ht="12.75" customHeight="1" x14ac:dyDescent="0.2">
      <c r="A3998" s="21"/>
      <c r="B3998" s="2"/>
      <c r="C3998" s="7"/>
      <c r="D3998" s="7"/>
    </row>
    <row r="3999" spans="1:4" ht="12.75" customHeight="1" x14ac:dyDescent="0.2">
      <c r="A3999" s="5"/>
      <c r="B3999" s="2"/>
      <c r="C3999" s="7"/>
      <c r="D3999" s="7"/>
    </row>
    <row r="4000" spans="1:4" ht="12.75" customHeight="1" x14ac:dyDescent="0.2">
      <c r="A4000" s="22" t="str">
        <f>HYPERLINK("javascript:void(0)","ezüst antigrav csizma")</f>
        <v>ezüst antigrav csizma</v>
      </c>
      <c r="B4000" s="21"/>
      <c r="C4000" s="21"/>
      <c r="D4000" s="21"/>
    </row>
    <row r="4001" spans="1:4" ht="12.75" customHeight="1" x14ac:dyDescent="0.2">
      <c r="A4001" s="20"/>
      <c r="B4001" s="2"/>
      <c r="C4001" s="7"/>
      <c r="D4001" s="7"/>
    </row>
    <row r="4002" spans="1:4" ht="12.75" customHeight="1" x14ac:dyDescent="0.2">
      <c r="A4002" s="21"/>
      <c r="B4002" s="3" t="s">
        <v>0</v>
      </c>
      <c r="C4002" s="23" t="s">
        <v>274</v>
      </c>
      <c r="D4002" s="21"/>
    </row>
    <row r="4003" spans="1:4" ht="12.75" customHeight="1" x14ac:dyDescent="0.2">
      <c r="A4003" s="21"/>
      <c r="B4003" s="3" t="s">
        <v>2</v>
      </c>
      <c r="C4003" s="23"/>
      <c r="D4003" s="21"/>
    </row>
    <row r="4004" spans="1:4" ht="12.75" customHeight="1" x14ac:dyDescent="0.2">
      <c r="A4004" s="21"/>
      <c r="B4004" s="3" t="s">
        <v>1840</v>
      </c>
      <c r="C4004" s="23" t="s">
        <v>532</v>
      </c>
      <c r="D4004" s="21"/>
    </row>
    <row r="4005" spans="1:4" ht="12.75" customHeight="1" x14ac:dyDescent="0.2">
      <c r="A4005" s="21"/>
      <c r="B4005" s="3" t="s">
        <v>9</v>
      </c>
      <c r="C4005" s="23" t="s">
        <v>626</v>
      </c>
      <c r="D4005" s="21"/>
    </row>
    <row r="4006" spans="1:4" ht="12.75" customHeight="1" x14ac:dyDescent="0.2">
      <c r="A4006" s="21"/>
      <c r="B4006" s="3" t="s">
        <v>11</v>
      </c>
      <c r="C4006" s="23" t="s">
        <v>23</v>
      </c>
      <c r="D4006" s="21"/>
    </row>
    <row r="4007" spans="1:4" ht="12.75" customHeight="1" x14ac:dyDescent="0.2">
      <c r="A4007" s="21"/>
      <c r="B4007" s="3" t="s">
        <v>16</v>
      </c>
      <c r="C4007" s="23"/>
      <c r="D4007" s="21"/>
    </row>
    <row r="4008" spans="1:4" ht="12.75" customHeight="1" x14ac:dyDescent="0.2">
      <c r="A4008" s="21"/>
      <c r="B4008" s="3" t="s">
        <v>17</v>
      </c>
      <c r="C4008" s="23" t="s">
        <v>19</v>
      </c>
      <c r="D4008" s="21"/>
    </row>
    <row r="4009" spans="1:4" ht="12.75" customHeight="1" x14ac:dyDescent="0.2">
      <c r="A4009" s="21"/>
      <c r="B4009" s="20" t="s">
        <v>18</v>
      </c>
      <c r="C4009" s="8" t="s">
        <v>44</v>
      </c>
      <c r="D4009" s="1" t="str">
        <f>HYPERLINK("javascript:void(0)","antigrav csizma")</f>
        <v>antigrav csizma</v>
      </c>
    </row>
    <row r="4010" spans="1:4" ht="12.75" customHeight="1" x14ac:dyDescent="0.2">
      <c r="A4010" s="21"/>
      <c r="B4010" s="21"/>
      <c r="C4010" s="8" t="s">
        <v>139</v>
      </c>
      <c r="D4010" s="1" t="str">
        <f>HYPERLINK("javascript:void(0)","robbanófej")</f>
        <v>robbanófej</v>
      </c>
    </row>
    <row r="4011" spans="1:4" ht="12.75" customHeight="1" x14ac:dyDescent="0.2">
      <c r="A4011" s="21"/>
      <c r="B4011" s="21"/>
      <c r="C4011" s="8" t="s">
        <v>193</v>
      </c>
      <c r="D4011" s="1" t="str">
        <f>HYPERLINK("javascript:void(0)","rémszem")</f>
        <v>rémszem</v>
      </c>
    </row>
    <row r="4012" spans="1:4" ht="12.75" customHeight="1" x14ac:dyDescent="0.2">
      <c r="A4012" s="21"/>
      <c r="B4012" s="2"/>
      <c r="C4012" s="7"/>
      <c r="D4012" s="7"/>
    </row>
    <row r="4013" spans="1:4" ht="12.75" customHeight="1" x14ac:dyDescent="0.2">
      <c r="A4013" s="21"/>
      <c r="B4013" s="2"/>
      <c r="C4013" s="7"/>
      <c r="D4013" s="7"/>
    </row>
    <row r="4014" spans="1:4" ht="12.75" customHeight="1" x14ac:dyDescent="0.2">
      <c r="A4014" s="21"/>
      <c r="B4014" s="2"/>
      <c r="C4014" s="7"/>
      <c r="D4014" s="7"/>
    </row>
    <row r="4015" spans="1:4" ht="12.75" customHeight="1" x14ac:dyDescent="0.2">
      <c r="A4015" s="21"/>
      <c r="B4015" s="2"/>
      <c r="C4015" s="7"/>
      <c r="D4015" s="7"/>
    </row>
    <row r="4016" spans="1:4" ht="12.75" customHeight="1" x14ac:dyDescent="0.2">
      <c r="A4016" s="5"/>
      <c r="B4016" s="2"/>
      <c r="C4016" s="7"/>
      <c r="D4016" s="7"/>
    </row>
    <row r="4017" spans="1:4" ht="12.75" customHeight="1" x14ac:dyDescent="0.2">
      <c r="A4017" s="22" t="str">
        <f>HYPERLINK("javascript:void(0)","gyíkacél ködmön")</f>
        <v>gyíkacél ködmön</v>
      </c>
      <c r="B4017" s="21"/>
      <c r="C4017" s="21"/>
      <c r="D4017" s="21"/>
    </row>
    <row r="4018" spans="1:4" ht="12.75" customHeight="1" x14ac:dyDescent="0.2">
      <c r="A4018" s="20"/>
      <c r="B4018" s="2"/>
      <c r="C4018" s="7"/>
      <c r="D4018" s="7"/>
    </row>
    <row r="4019" spans="1:4" ht="12.75" customHeight="1" x14ac:dyDescent="0.2">
      <c r="A4019" s="21"/>
      <c r="B4019" s="3" t="s">
        <v>0</v>
      </c>
      <c r="C4019" s="23" t="s">
        <v>274</v>
      </c>
      <c r="D4019" s="21"/>
    </row>
    <row r="4020" spans="1:4" ht="12.75" customHeight="1" x14ac:dyDescent="0.2">
      <c r="A4020" s="21"/>
      <c r="B4020" s="3" t="s">
        <v>2</v>
      </c>
      <c r="C4020" s="23" t="s">
        <v>2322</v>
      </c>
      <c r="D4020" s="21"/>
    </row>
    <row r="4021" spans="1:4" ht="12.75" customHeight="1" x14ac:dyDescent="0.2">
      <c r="A4021" s="21"/>
      <c r="B4021" s="3" t="s">
        <v>1840</v>
      </c>
      <c r="C4021" s="23" t="s">
        <v>978</v>
      </c>
      <c r="D4021" s="21"/>
    </row>
    <row r="4022" spans="1:4" ht="12.75" customHeight="1" x14ac:dyDescent="0.2">
      <c r="A4022" s="21"/>
      <c r="B4022" s="3" t="s">
        <v>9</v>
      </c>
      <c r="C4022" s="23" t="s">
        <v>377</v>
      </c>
      <c r="D4022" s="21"/>
    </row>
    <row r="4023" spans="1:4" ht="12.75" customHeight="1" x14ac:dyDescent="0.2">
      <c r="A4023" s="21"/>
      <c r="B4023" s="3" t="s">
        <v>11</v>
      </c>
      <c r="C4023" s="23" t="s">
        <v>295</v>
      </c>
      <c r="D4023" s="21"/>
    </row>
    <row r="4024" spans="1:4" ht="12.75" customHeight="1" x14ac:dyDescent="0.2">
      <c r="A4024" s="21"/>
      <c r="B4024" s="3" t="s">
        <v>16</v>
      </c>
      <c r="C4024" s="23"/>
      <c r="D4024" s="21"/>
    </row>
    <row r="4025" spans="1:4" ht="12.75" customHeight="1" x14ac:dyDescent="0.2">
      <c r="A4025" s="21"/>
      <c r="B4025" s="3" t="s">
        <v>17</v>
      </c>
      <c r="C4025" s="23" t="s">
        <v>19</v>
      </c>
      <c r="D4025" s="21"/>
    </row>
    <row r="4026" spans="1:4" ht="12.75" customHeight="1" x14ac:dyDescent="0.2">
      <c r="A4026" s="21"/>
      <c r="B4026" s="20" t="s">
        <v>18</v>
      </c>
      <c r="C4026" s="8" t="s">
        <v>280</v>
      </c>
      <c r="D4026" s="1" t="str">
        <f>HYPERLINK("javascript:void(0)","szent szimbólum")</f>
        <v>szent szimbólum</v>
      </c>
    </row>
    <row r="4027" spans="1:4" ht="12.75" customHeight="1" x14ac:dyDescent="0.2">
      <c r="A4027" s="21"/>
      <c r="B4027" s="21"/>
      <c r="C4027" s="8" t="s">
        <v>1379</v>
      </c>
      <c r="D4027" s="1" t="str">
        <f>HYPERLINK("javascript:void(0)","goblinbatka")</f>
        <v>goblinbatka</v>
      </c>
    </row>
    <row r="4028" spans="1:4" ht="12.75" customHeight="1" x14ac:dyDescent="0.2">
      <c r="A4028" s="21"/>
      <c r="B4028" s="21"/>
      <c r="C4028" s="8" t="s">
        <v>280</v>
      </c>
      <c r="D4028" s="1" t="str">
        <f>HYPERLINK("javascript:void(0)","portgyűrű")</f>
        <v>portgyűrű</v>
      </c>
    </row>
    <row r="4029" spans="1:4" ht="12.75" customHeight="1" x14ac:dyDescent="0.2">
      <c r="A4029" s="21"/>
      <c r="B4029" s="2"/>
      <c r="C4029" s="7"/>
      <c r="D4029" s="7"/>
    </row>
    <row r="4030" spans="1:4" ht="12.75" customHeight="1" x14ac:dyDescent="0.2">
      <c r="A4030" s="21"/>
      <c r="B4030" s="2"/>
      <c r="C4030" s="7"/>
      <c r="D4030" s="7"/>
    </row>
    <row r="4031" spans="1:4" ht="12.75" customHeight="1" x14ac:dyDescent="0.2">
      <c r="A4031" s="21"/>
      <c r="B4031" s="2"/>
      <c r="C4031" s="7"/>
      <c r="D4031" s="7"/>
    </row>
    <row r="4032" spans="1:4" ht="12.75" customHeight="1" x14ac:dyDescent="0.2">
      <c r="A4032" s="21"/>
      <c r="B4032" s="2"/>
      <c r="C4032" s="7"/>
      <c r="D4032" s="7"/>
    </row>
    <row r="4033" spans="1:4" ht="12.75" customHeight="1" x14ac:dyDescent="0.2">
      <c r="A4033" s="5"/>
      <c r="B4033" s="2"/>
      <c r="C4033" s="7"/>
      <c r="D4033" s="7"/>
    </row>
    <row r="4034" spans="1:4" ht="12.75" customHeight="1" x14ac:dyDescent="0.2">
      <c r="A4034" s="22" t="str">
        <f>HYPERLINK("javascript:void(0)","közepes csillámköpeny")</f>
        <v>közepes csillámköpeny</v>
      </c>
      <c r="B4034" s="21"/>
      <c r="C4034" s="21"/>
      <c r="D4034" s="21"/>
    </row>
    <row r="4035" spans="1:4" ht="12.75" customHeight="1" x14ac:dyDescent="0.2">
      <c r="A4035" s="20"/>
      <c r="B4035" s="2"/>
      <c r="C4035" s="7"/>
      <c r="D4035" s="7"/>
    </row>
    <row r="4036" spans="1:4" ht="12.75" customHeight="1" x14ac:dyDescent="0.2">
      <c r="A4036" s="21"/>
      <c r="B4036" s="3" t="s">
        <v>0</v>
      </c>
      <c r="C4036" s="23" t="s">
        <v>274</v>
      </c>
      <c r="D4036" s="21"/>
    </row>
    <row r="4037" spans="1:4" ht="12.75" customHeight="1" x14ac:dyDescent="0.2">
      <c r="A4037" s="21"/>
      <c r="B4037" s="3" t="s">
        <v>2</v>
      </c>
      <c r="C4037" s="23" t="s">
        <v>2322</v>
      </c>
      <c r="D4037" s="21"/>
    </row>
    <row r="4038" spans="1:4" ht="12.75" customHeight="1" x14ac:dyDescent="0.2">
      <c r="A4038" s="21"/>
      <c r="B4038" s="3" t="s">
        <v>1840</v>
      </c>
      <c r="C4038" s="23" t="s">
        <v>1213</v>
      </c>
      <c r="D4038" s="21"/>
    </row>
    <row r="4039" spans="1:4" ht="12.75" customHeight="1" x14ac:dyDescent="0.2">
      <c r="A4039" s="21"/>
      <c r="B4039" s="3" t="s">
        <v>9</v>
      </c>
      <c r="C4039" s="23" t="s">
        <v>1517</v>
      </c>
      <c r="D4039" s="21"/>
    </row>
    <row r="4040" spans="1:4" ht="12.75" customHeight="1" x14ac:dyDescent="0.2">
      <c r="A4040" s="21"/>
      <c r="B4040" s="3" t="s">
        <v>11</v>
      </c>
      <c r="C4040" s="23" t="s">
        <v>360</v>
      </c>
      <c r="D4040" s="21"/>
    </row>
    <row r="4041" spans="1:4" ht="12.75" customHeight="1" x14ac:dyDescent="0.2">
      <c r="A4041" s="21"/>
      <c r="B4041" s="3" t="s">
        <v>16</v>
      </c>
      <c r="C4041" s="23"/>
      <c r="D4041" s="21"/>
    </row>
    <row r="4042" spans="1:4" ht="12.75" customHeight="1" x14ac:dyDescent="0.2">
      <c r="A4042" s="21"/>
      <c r="B4042" s="3" t="s">
        <v>17</v>
      </c>
      <c r="C4042" s="23" t="s">
        <v>19</v>
      </c>
      <c r="D4042" s="21"/>
    </row>
    <row r="4043" spans="1:4" ht="12.75" customHeight="1" x14ac:dyDescent="0.2">
      <c r="A4043" s="21"/>
      <c r="B4043" s="20" t="s">
        <v>18</v>
      </c>
      <c r="C4043" s="8" t="s">
        <v>57</v>
      </c>
      <c r="D4043" s="1" t="str">
        <f>HYPERLINK("javascript:void(0)","csillámgöb")</f>
        <v>csillámgöb</v>
      </c>
    </row>
    <row r="4044" spans="1:4" ht="25.5" customHeight="1" x14ac:dyDescent="0.2">
      <c r="A4044" s="21"/>
      <c r="B4044" s="21"/>
      <c r="C4044" s="8" t="s">
        <v>44</v>
      </c>
      <c r="D4044" s="1" t="str">
        <f>HYPERLINK("javascript:void(0)","könnyű csillámköpeny")</f>
        <v>könnyű csillámköpeny</v>
      </c>
    </row>
    <row r="4045" spans="1:4" ht="12.75" customHeight="1" x14ac:dyDescent="0.2">
      <c r="A4045" s="21"/>
      <c r="B4045" s="21"/>
      <c r="C4045" s="8" t="s">
        <v>139</v>
      </c>
      <c r="D4045" s="1" t="str">
        <f>HYPERLINK("javascript:void(0)","rubin láncing")</f>
        <v>rubin láncing</v>
      </c>
    </row>
    <row r="4046" spans="1:4" ht="12.75" customHeight="1" x14ac:dyDescent="0.2">
      <c r="A4046" s="21"/>
      <c r="B4046" s="2"/>
      <c r="C4046" s="7"/>
      <c r="D4046" s="7"/>
    </row>
    <row r="4047" spans="1:4" ht="12.75" customHeight="1" x14ac:dyDescent="0.2">
      <c r="A4047" s="21"/>
      <c r="B4047" s="2"/>
      <c r="C4047" s="7"/>
      <c r="D4047" s="7"/>
    </row>
    <row r="4048" spans="1:4" ht="12.75" customHeight="1" x14ac:dyDescent="0.2">
      <c r="A4048" s="21"/>
      <c r="B4048" s="2"/>
      <c r="C4048" s="7"/>
      <c r="D4048" s="7"/>
    </row>
    <row r="4049" spans="1:4" ht="12.75" customHeight="1" x14ac:dyDescent="0.2">
      <c r="A4049" s="21"/>
      <c r="B4049" s="2"/>
      <c r="C4049" s="7"/>
      <c r="D4049" s="7"/>
    </row>
    <row r="4050" spans="1:4" ht="12.75" customHeight="1" x14ac:dyDescent="0.2">
      <c r="A4050" s="5"/>
      <c r="B4050" s="2"/>
      <c r="C4050" s="7"/>
      <c r="D4050" s="7"/>
    </row>
    <row r="4051" spans="1:4" ht="12.75" customHeight="1" x14ac:dyDescent="0.2">
      <c r="A4051" s="22" t="str">
        <f>HYPERLINK("javascript:void(0)","csillámkalap")</f>
        <v>csillámkalap</v>
      </c>
      <c r="B4051" s="21"/>
      <c r="C4051" s="21"/>
      <c r="D4051" s="21"/>
    </row>
    <row r="4052" spans="1:4" ht="12.75" customHeight="1" x14ac:dyDescent="0.2">
      <c r="A4052" s="20"/>
      <c r="B4052" s="2"/>
      <c r="C4052" s="7"/>
      <c r="D4052" s="7"/>
    </row>
    <row r="4053" spans="1:4" ht="12.75" customHeight="1" x14ac:dyDescent="0.2">
      <c r="A4053" s="21"/>
      <c r="B4053" s="3" t="s">
        <v>0</v>
      </c>
      <c r="C4053" s="23" t="s">
        <v>274</v>
      </c>
      <c r="D4053" s="21"/>
    </row>
    <row r="4054" spans="1:4" ht="12.75" customHeight="1" x14ac:dyDescent="0.2">
      <c r="A4054" s="21"/>
      <c r="B4054" s="3" t="s">
        <v>2</v>
      </c>
      <c r="C4054" s="23"/>
      <c r="D4054" s="21"/>
    </row>
    <row r="4055" spans="1:4" ht="12.75" customHeight="1" x14ac:dyDescent="0.2">
      <c r="A4055" s="21"/>
      <c r="B4055" s="3" t="s">
        <v>1840</v>
      </c>
      <c r="C4055" s="23" t="s">
        <v>65</v>
      </c>
      <c r="D4055" s="21"/>
    </row>
    <row r="4056" spans="1:4" ht="12.75" customHeight="1" x14ac:dyDescent="0.2">
      <c r="A4056" s="21"/>
      <c r="B4056" s="3" t="s">
        <v>9</v>
      </c>
      <c r="C4056" s="23" t="s">
        <v>1517</v>
      </c>
      <c r="D4056" s="21"/>
    </row>
    <row r="4057" spans="1:4" ht="12.75" customHeight="1" x14ac:dyDescent="0.2">
      <c r="A4057" s="21"/>
      <c r="B4057" s="3" t="s">
        <v>11</v>
      </c>
      <c r="C4057" s="23" t="s">
        <v>360</v>
      </c>
      <c r="D4057" s="21"/>
    </row>
    <row r="4058" spans="1:4" ht="12.75" customHeight="1" x14ac:dyDescent="0.2">
      <c r="A4058" s="21"/>
      <c r="B4058" s="3" t="s">
        <v>16</v>
      </c>
      <c r="C4058" s="23"/>
      <c r="D4058" s="21"/>
    </row>
    <row r="4059" spans="1:4" ht="12.75" customHeight="1" x14ac:dyDescent="0.2">
      <c r="A4059" s="21"/>
      <c r="B4059" s="3" t="s">
        <v>17</v>
      </c>
      <c r="C4059" s="23" t="s">
        <v>19</v>
      </c>
      <c r="D4059" s="21"/>
    </row>
    <row r="4060" spans="1:4" ht="12.75" customHeight="1" x14ac:dyDescent="0.2">
      <c r="A4060" s="21"/>
      <c r="B4060" s="20" t="s">
        <v>18</v>
      </c>
      <c r="C4060" s="8" t="s">
        <v>57</v>
      </c>
      <c r="D4060" s="1" t="str">
        <f>HYPERLINK("javascript:void(0)","csillámgöb")</f>
        <v>csillámgöb</v>
      </c>
    </row>
    <row r="4061" spans="1:4" ht="12.75" customHeight="1" x14ac:dyDescent="0.2">
      <c r="A4061" s="21"/>
      <c r="B4061" s="21"/>
      <c r="C4061" s="8" t="s">
        <v>44</v>
      </c>
      <c r="D4061" s="1" t="str">
        <f>HYPERLINK("javascript:void(0)","csillámsipka")</f>
        <v>csillámsipka</v>
      </c>
    </row>
    <row r="4062" spans="1:4" ht="12.75" customHeight="1" x14ac:dyDescent="0.2">
      <c r="A4062" s="21"/>
      <c r="B4062" s="21"/>
      <c r="C4062" s="8" t="s">
        <v>796</v>
      </c>
      <c r="D4062" s="1" t="str">
        <f>HYPERLINK("javascript:void(0)","aranyzsanér")</f>
        <v>aranyzsanér</v>
      </c>
    </row>
    <row r="4063" spans="1:4" ht="12.75" customHeight="1" x14ac:dyDescent="0.2">
      <c r="A4063" s="21"/>
      <c r="B4063" s="2"/>
      <c r="C4063" s="7"/>
      <c r="D4063" s="7"/>
    </row>
    <row r="4064" spans="1:4" ht="12.75" customHeight="1" x14ac:dyDescent="0.2">
      <c r="A4064" s="21"/>
      <c r="B4064" s="2"/>
      <c r="C4064" s="7"/>
      <c r="D4064" s="7"/>
    </row>
    <row r="4065" spans="1:4" ht="12.75" customHeight="1" x14ac:dyDescent="0.2">
      <c r="A4065" s="21"/>
      <c r="B4065" s="2"/>
      <c r="C4065" s="7"/>
      <c r="D4065" s="7"/>
    </row>
    <row r="4066" spans="1:4" ht="12.75" customHeight="1" x14ac:dyDescent="0.2">
      <c r="A4066" s="21"/>
      <c r="B4066" s="2"/>
      <c r="C4066" s="7"/>
      <c r="D4066" s="7"/>
    </row>
    <row r="4067" spans="1:4" ht="12.75" customHeight="1" x14ac:dyDescent="0.2">
      <c r="A4067" s="5"/>
      <c r="B4067" s="2"/>
      <c r="C4067" s="7"/>
      <c r="D4067" s="7"/>
    </row>
    <row r="4068" spans="1:4" ht="12.75" customHeight="1" x14ac:dyDescent="0.2">
      <c r="A4068" s="22" t="str">
        <f>HYPERLINK("javascript:void(0)","csillámsaru")</f>
        <v>csillámsaru</v>
      </c>
      <c r="B4068" s="21"/>
      <c r="C4068" s="21"/>
      <c r="D4068" s="21"/>
    </row>
    <row r="4069" spans="1:4" ht="12.75" customHeight="1" x14ac:dyDescent="0.2">
      <c r="A4069" s="20"/>
      <c r="B4069" s="2"/>
      <c r="C4069" s="7"/>
      <c r="D4069" s="7"/>
    </row>
    <row r="4070" spans="1:4" ht="12.75" customHeight="1" x14ac:dyDescent="0.2">
      <c r="A4070" s="21"/>
      <c r="B4070" s="3" t="s">
        <v>0</v>
      </c>
      <c r="C4070" s="23" t="s">
        <v>274</v>
      </c>
      <c r="D4070" s="21"/>
    </row>
    <row r="4071" spans="1:4" ht="12.75" customHeight="1" x14ac:dyDescent="0.2">
      <c r="A4071" s="21"/>
      <c r="B4071" s="3" t="s">
        <v>2</v>
      </c>
      <c r="C4071" s="23"/>
      <c r="D4071" s="21"/>
    </row>
    <row r="4072" spans="1:4" ht="12.75" customHeight="1" x14ac:dyDescent="0.2">
      <c r="A4072" s="21"/>
      <c r="B4072" s="3" t="s">
        <v>1840</v>
      </c>
      <c r="C4072" s="23" t="s">
        <v>239</v>
      </c>
      <c r="D4072" s="21"/>
    </row>
    <row r="4073" spans="1:4" ht="12.75" customHeight="1" x14ac:dyDescent="0.2">
      <c r="A4073" s="21"/>
      <c r="B4073" s="3" t="s">
        <v>9</v>
      </c>
      <c r="C4073" s="23" t="s">
        <v>1104</v>
      </c>
      <c r="D4073" s="21"/>
    </row>
    <row r="4074" spans="1:4" ht="12.75" customHeight="1" x14ac:dyDescent="0.2">
      <c r="A4074" s="21"/>
      <c r="B4074" s="3" t="s">
        <v>11</v>
      </c>
      <c r="C4074" s="23" t="s">
        <v>381</v>
      </c>
      <c r="D4074" s="21"/>
    </row>
    <row r="4075" spans="1:4" ht="12.75" customHeight="1" x14ac:dyDescent="0.2">
      <c r="A4075" s="21"/>
      <c r="B4075" s="3" t="s">
        <v>16</v>
      </c>
      <c r="C4075" s="23"/>
      <c r="D4075" s="21"/>
    </row>
    <row r="4076" spans="1:4" ht="12.75" customHeight="1" x14ac:dyDescent="0.2">
      <c r="A4076" s="21"/>
      <c r="B4076" s="3" t="s">
        <v>17</v>
      </c>
      <c r="C4076" s="23" t="s">
        <v>19</v>
      </c>
      <c r="D4076" s="21"/>
    </row>
    <row r="4077" spans="1:4" ht="12.75" customHeight="1" x14ac:dyDescent="0.2">
      <c r="A4077" s="21"/>
      <c r="B4077" s="20" t="s">
        <v>18</v>
      </c>
      <c r="C4077" s="8" t="s">
        <v>44</v>
      </c>
      <c r="D4077" s="1" t="str">
        <f>HYPERLINK("javascript:void(0)","csillámcipő")</f>
        <v>csillámcipő</v>
      </c>
    </row>
    <row r="4078" spans="1:4" ht="12.75" customHeight="1" x14ac:dyDescent="0.2">
      <c r="A4078" s="21"/>
      <c r="B4078" s="21"/>
      <c r="C4078" s="8" t="s">
        <v>98</v>
      </c>
      <c r="D4078" s="1" t="str">
        <f>HYPERLINK("javascript:void(0)","aranycsizma")</f>
        <v>aranycsizma</v>
      </c>
    </row>
    <row r="4079" spans="1:4" ht="12.75" customHeight="1" x14ac:dyDescent="0.2">
      <c r="A4079" s="21"/>
      <c r="B4079" s="21"/>
      <c r="C4079" s="8" t="s">
        <v>57</v>
      </c>
      <c r="D4079" s="1" t="str">
        <f>HYPERLINK("javascript:void(0)","csillámgöb")</f>
        <v>csillámgöb</v>
      </c>
    </row>
    <row r="4080" spans="1:4" ht="12.75" customHeight="1" x14ac:dyDescent="0.2">
      <c r="A4080" s="21"/>
      <c r="B4080" s="2"/>
      <c r="C4080" s="7"/>
      <c r="D4080" s="7"/>
    </row>
    <row r="4081" spans="1:4" ht="12.75" customHeight="1" x14ac:dyDescent="0.2">
      <c r="A4081" s="21"/>
      <c r="B4081" s="2"/>
      <c r="C4081" s="7"/>
      <c r="D4081" s="7"/>
    </row>
    <row r="4082" spans="1:4" ht="12.75" customHeight="1" x14ac:dyDescent="0.2">
      <c r="A4082" s="21"/>
      <c r="B4082" s="2"/>
      <c r="C4082" s="7"/>
      <c r="D4082" s="7"/>
    </row>
    <row r="4083" spans="1:4" ht="12.75" customHeight="1" x14ac:dyDescent="0.2">
      <c r="A4083" s="21"/>
      <c r="B4083" s="2"/>
      <c r="C4083" s="7"/>
      <c r="D4083" s="7"/>
    </row>
    <row r="4084" spans="1:4" ht="12.75" customHeight="1" x14ac:dyDescent="0.2">
      <c r="A4084" s="5"/>
      <c r="B4084" s="2"/>
      <c r="C4084" s="7"/>
      <c r="D4084" s="7"/>
    </row>
    <row r="4085" spans="1:4" ht="12.75" customHeight="1" x14ac:dyDescent="0.2">
      <c r="A4085" s="22" t="str">
        <f>HYPERLINK("javascript:void(0)","közepes csillámpajzs")</f>
        <v>közepes csillámpajzs</v>
      </c>
      <c r="B4085" s="21"/>
      <c r="C4085" s="21"/>
      <c r="D4085" s="21"/>
    </row>
    <row r="4086" spans="1:4" ht="12.75" customHeight="1" x14ac:dyDescent="0.2">
      <c r="A4086" s="20"/>
      <c r="B4086" s="2"/>
      <c r="C4086" s="7"/>
      <c r="D4086" s="7"/>
    </row>
    <row r="4087" spans="1:4" ht="12.75" customHeight="1" x14ac:dyDescent="0.2">
      <c r="A4087" s="21"/>
      <c r="B4087" s="3" t="s">
        <v>0</v>
      </c>
      <c r="C4087" s="23" t="s">
        <v>274</v>
      </c>
      <c r="D4087" s="21"/>
    </row>
    <row r="4088" spans="1:4" ht="12.75" customHeight="1" x14ac:dyDescent="0.2">
      <c r="A4088" s="21"/>
      <c r="B4088" s="3" t="s">
        <v>2</v>
      </c>
      <c r="C4088" s="23" t="s">
        <v>1839</v>
      </c>
      <c r="D4088" s="21"/>
    </row>
    <row r="4089" spans="1:4" ht="12.75" customHeight="1" x14ac:dyDescent="0.2">
      <c r="A4089" s="21"/>
      <c r="B4089" s="3" t="s">
        <v>1840</v>
      </c>
      <c r="C4089" s="23" t="s">
        <v>302</v>
      </c>
      <c r="D4089" s="21"/>
    </row>
    <row r="4090" spans="1:4" ht="12.75" customHeight="1" x14ac:dyDescent="0.2">
      <c r="A4090" s="21"/>
      <c r="B4090" s="3" t="s">
        <v>9</v>
      </c>
      <c r="C4090" s="23" t="s">
        <v>2036</v>
      </c>
      <c r="D4090" s="21"/>
    </row>
    <row r="4091" spans="1:4" ht="12.75" customHeight="1" x14ac:dyDescent="0.2">
      <c r="A4091" s="21"/>
      <c r="B4091" s="3" t="s">
        <v>11</v>
      </c>
      <c r="C4091" s="23" t="s">
        <v>453</v>
      </c>
      <c r="D4091" s="21"/>
    </row>
    <row r="4092" spans="1:4" ht="12.75" customHeight="1" x14ac:dyDescent="0.2">
      <c r="A4092" s="21"/>
      <c r="B4092" s="3" t="s">
        <v>16</v>
      </c>
      <c r="C4092" s="23"/>
      <c r="D4092" s="21"/>
    </row>
    <row r="4093" spans="1:4" ht="12.75" customHeight="1" x14ac:dyDescent="0.2">
      <c r="A4093" s="21"/>
      <c r="B4093" s="3" t="s">
        <v>17</v>
      </c>
      <c r="C4093" s="23" t="s">
        <v>19</v>
      </c>
      <c r="D4093" s="21"/>
    </row>
    <row r="4094" spans="1:4" ht="12.75" customHeight="1" x14ac:dyDescent="0.2">
      <c r="A4094" s="21"/>
      <c r="B4094" s="20" t="s">
        <v>18</v>
      </c>
      <c r="C4094" s="8" t="s">
        <v>44</v>
      </c>
      <c r="D4094" s="1" t="str">
        <f>HYPERLINK("javascript:void(0)","kis csillámpajzs")</f>
        <v>kis csillámpajzs</v>
      </c>
    </row>
    <row r="4095" spans="1:4" ht="12.75" customHeight="1" x14ac:dyDescent="0.2">
      <c r="A4095" s="21"/>
      <c r="B4095" s="21"/>
      <c r="C4095" s="8" t="s">
        <v>57</v>
      </c>
      <c r="D4095" s="1" t="str">
        <f>HYPERLINK("javascript:void(0)","csillámgöb")</f>
        <v>csillámgöb</v>
      </c>
    </row>
    <row r="4096" spans="1:4" ht="12.75" customHeight="1" x14ac:dyDescent="0.2">
      <c r="A4096" s="21"/>
      <c r="B4096" s="21"/>
      <c r="C4096" s="8" t="s">
        <v>44</v>
      </c>
      <c r="D4096" s="1" t="str">
        <f>HYPERLINK("javascript:void(0)","elementáltestpajzs")</f>
        <v>elementáltestpajzs</v>
      </c>
    </row>
    <row r="4097" spans="1:4" ht="12.75" customHeight="1" x14ac:dyDescent="0.2">
      <c r="A4097" s="21"/>
      <c r="B4097" s="2"/>
      <c r="C4097" s="7"/>
      <c r="D4097" s="7"/>
    </row>
    <row r="4098" spans="1:4" ht="12.75" customHeight="1" x14ac:dyDescent="0.2">
      <c r="A4098" s="21"/>
      <c r="B4098" s="2"/>
      <c r="C4098" s="7"/>
      <c r="D4098" s="7"/>
    </row>
    <row r="4099" spans="1:4" ht="12.75" customHeight="1" x14ac:dyDescent="0.2">
      <c r="A4099" s="21"/>
      <c r="B4099" s="2"/>
      <c r="C4099" s="7"/>
      <c r="D4099" s="7"/>
    </row>
    <row r="4100" spans="1:4" ht="12.75" customHeight="1" x14ac:dyDescent="0.2">
      <c r="A4100" s="21"/>
      <c r="B4100" s="2"/>
      <c r="C4100" s="7"/>
      <c r="D4100" s="7"/>
    </row>
    <row r="4101" spans="1:4" ht="12.75" customHeight="1" x14ac:dyDescent="0.2">
      <c r="A4101" s="5"/>
      <c r="B4101" s="2"/>
      <c r="C4101" s="7"/>
      <c r="D4101" s="7"/>
    </row>
    <row r="4102" spans="1:4" ht="12.75" customHeight="1" x14ac:dyDescent="0.2">
      <c r="A4102" s="22" t="str">
        <f>HYPERLINK("javascript:void(0)","ezüst mellvért")</f>
        <v>ezüst mellvért</v>
      </c>
      <c r="B4102" s="21"/>
      <c r="C4102" s="21"/>
      <c r="D4102" s="21"/>
    </row>
    <row r="4103" spans="1:4" ht="12.75" customHeight="1" x14ac:dyDescent="0.2">
      <c r="A4103" s="20"/>
      <c r="B4103" s="2"/>
      <c r="C4103" s="7"/>
      <c r="D4103" s="7"/>
    </row>
    <row r="4104" spans="1:4" ht="12.75" customHeight="1" x14ac:dyDescent="0.2">
      <c r="A4104" s="21"/>
      <c r="B4104" s="3" t="s">
        <v>0</v>
      </c>
      <c r="C4104" s="23" t="s">
        <v>52</v>
      </c>
      <c r="D4104" s="21"/>
    </row>
    <row r="4105" spans="1:4" ht="12.75" customHeight="1" x14ac:dyDescent="0.2">
      <c r="A4105" s="21"/>
      <c r="B4105" s="3" t="s">
        <v>2</v>
      </c>
      <c r="C4105" s="23" t="s">
        <v>2322</v>
      </c>
      <c r="D4105" s="21"/>
    </row>
    <row r="4106" spans="1:4" ht="12.75" customHeight="1" x14ac:dyDescent="0.2">
      <c r="A4106" s="21"/>
      <c r="B4106" s="3" t="s">
        <v>1840</v>
      </c>
      <c r="C4106" s="23" t="s">
        <v>1114</v>
      </c>
      <c r="D4106" s="21"/>
    </row>
    <row r="4107" spans="1:4" ht="12.75" customHeight="1" x14ac:dyDescent="0.2">
      <c r="A4107" s="21"/>
      <c r="B4107" s="3" t="s">
        <v>9</v>
      </c>
      <c r="C4107" s="23" t="s">
        <v>129</v>
      </c>
      <c r="D4107" s="21"/>
    </row>
    <row r="4108" spans="1:4" ht="12.75" customHeight="1" x14ac:dyDescent="0.2">
      <c r="A4108" s="21"/>
      <c r="B4108" s="3" t="s">
        <v>11</v>
      </c>
      <c r="C4108" s="23" t="s">
        <v>368</v>
      </c>
      <c r="D4108" s="21"/>
    </row>
    <row r="4109" spans="1:4" ht="12.75" customHeight="1" x14ac:dyDescent="0.2">
      <c r="A4109" s="21"/>
      <c r="B4109" s="3" t="s">
        <v>16</v>
      </c>
      <c r="C4109" s="23"/>
      <c r="D4109" s="21"/>
    </row>
    <row r="4110" spans="1:4" ht="12.75" customHeight="1" x14ac:dyDescent="0.2">
      <c r="A4110" s="21"/>
      <c r="B4110" s="3" t="s">
        <v>17</v>
      </c>
      <c r="C4110" s="23" t="s">
        <v>19</v>
      </c>
      <c r="D4110" s="21"/>
    </row>
    <row r="4111" spans="1:4" ht="12.75" customHeight="1" x14ac:dyDescent="0.2">
      <c r="A4111" s="21"/>
      <c r="B4111" s="20" t="s">
        <v>18</v>
      </c>
      <c r="C4111" s="8" t="s">
        <v>67</v>
      </c>
      <c r="D4111" s="1" t="str">
        <f>HYPERLINK("javascript:void(0)","ezüströg")</f>
        <v>ezüströg</v>
      </c>
    </row>
    <row r="4112" spans="1:4" ht="12.75" customHeight="1" x14ac:dyDescent="0.2">
      <c r="A4112" s="21"/>
      <c r="B4112" s="21"/>
      <c r="C4112" s="8" t="s">
        <v>265</v>
      </c>
      <c r="D4112" s="1" t="str">
        <f>HYPERLINK("javascript:void(0)","rémszem")</f>
        <v>rémszem</v>
      </c>
    </row>
    <row r="4113" spans="1:4" ht="12.75" customHeight="1" x14ac:dyDescent="0.2">
      <c r="A4113" s="21"/>
      <c r="B4113" s="21"/>
      <c r="C4113" s="8" t="s">
        <v>232</v>
      </c>
      <c r="D4113" s="1" t="str">
        <f>HYPERLINK("javascript:void(0)","kígyócsörgő")</f>
        <v>kígyócsörgő</v>
      </c>
    </row>
    <row r="4114" spans="1:4" ht="12.75" customHeight="1" x14ac:dyDescent="0.2">
      <c r="A4114" s="21"/>
      <c r="B4114" s="2"/>
      <c r="C4114" s="7"/>
      <c r="D4114" s="7"/>
    </row>
    <row r="4115" spans="1:4" ht="12.75" customHeight="1" x14ac:dyDescent="0.2">
      <c r="A4115" s="21"/>
      <c r="B4115" s="2"/>
      <c r="C4115" s="7"/>
      <c r="D4115" s="7"/>
    </row>
    <row r="4116" spans="1:4" ht="12.75" customHeight="1" x14ac:dyDescent="0.2">
      <c r="A4116" s="21"/>
      <c r="B4116" s="2"/>
      <c r="C4116" s="7"/>
      <c r="D4116" s="7"/>
    </row>
    <row r="4117" spans="1:4" ht="12.75" customHeight="1" x14ac:dyDescent="0.2">
      <c r="A4117" s="21"/>
      <c r="B4117" s="2"/>
      <c r="C4117" s="7"/>
      <c r="D4117" s="7"/>
    </row>
    <row r="4118" spans="1:4" ht="12.75" customHeight="1" x14ac:dyDescent="0.2">
      <c r="A4118" s="5"/>
      <c r="B4118" s="2"/>
      <c r="C4118" s="7"/>
      <c r="D4118" s="7"/>
    </row>
    <row r="4119" spans="1:4" ht="12.75" customHeight="1" x14ac:dyDescent="0.2">
      <c r="A4119" s="22" t="str">
        <f>HYPERLINK("javascript:void(0)","animált sisak")</f>
        <v>animált sisak</v>
      </c>
      <c r="B4119" s="21"/>
      <c r="C4119" s="21"/>
      <c r="D4119" s="21"/>
    </row>
    <row r="4120" spans="1:4" ht="12.75" customHeight="1" x14ac:dyDescent="0.2">
      <c r="A4120" s="20"/>
      <c r="B4120" s="2"/>
      <c r="C4120" s="7"/>
      <c r="D4120" s="7"/>
    </row>
    <row r="4121" spans="1:4" ht="12.75" customHeight="1" x14ac:dyDescent="0.2">
      <c r="A4121" s="21"/>
      <c r="B4121" s="3" t="s">
        <v>0</v>
      </c>
      <c r="C4121" s="23" t="s">
        <v>52</v>
      </c>
      <c r="D4121" s="21"/>
    </row>
    <row r="4122" spans="1:4" ht="12.75" customHeight="1" x14ac:dyDescent="0.2">
      <c r="A4122" s="21"/>
      <c r="B4122" s="3" t="s">
        <v>2</v>
      </c>
      <c r="C4122" s="23"/>
      <c r="D4122" s="21"/>
    </row>
    <row r="4123" spans="1:4" ht="12.75" customHeight="1" x14ac:dyDescent="0.2">
      <c r="A4123" s="21"/>
      <c r="B4123" s="3" t="s">
        <v>1840</v>
      </c>
      <c r="C4123" s="23" t="s">
        <v>635</v>
      </c>
      <c r="D4123" s="21"/>
    </row>
    <row r="4124" spans="1:4" ht="12.75" customHeight="1" x14ac:dyDescent="0.2">
      <c r="A4124" s="21"/>
      <c r="B4124" s="3" t="s">
        <v>9</v>
      </c>
      <c r="C4124" s="23" t="s">
        <v>42</v>
      </c>
      <c r="D4124" s="21"/>
    </row>
    <row r="4125" spans="1:4" ht="12.75" customHeight="1" x14ac:dyDescent="0.2">
      <c r="A4125" s="21"/>
      <c r="B4125" s="3" t="s">
        <v>11</v>
      </c>
      <c r="C4125" s="23" t="s">
        <v>368</v>
      </c>
      <c r="D4125" s="21"/>
    </row>
    <row r="4126" spans="1:4" ht="12.75" customHeight="1" x14ac:dyDescent="0.2">
      <c r="A4126" s="21"/>
      <c r="B4126" s="3" t="s">
        <v>16</v>
      </c>
      <c r="C4126" s="23"/>
      <c r="D4126" s="21"/>
    </row>
    <row r="4127" spans="1:4" ht="12.75" customHeight="1" x14ac:dyDescent="0.2">
      <c r="A4127" s="21"/>
      <c r="B4127" s="3" t="s">
        <v>17</v>
      </c>
      <c r="C4127" s="23" t="s">
        <v>19</v>
      </c>
      <c r="D4127" s="21"/>
    </row>
    <row r="4128" spans="1:4" ht="12.75" customHeight="1" x14ac:dyDescent="0.2">
      <c r="A4128" s="21"/>
      <c r="B4128" s="20" t="s">
        <v>18</v>
      </c>
      <c r="C4128" s="8" t="s">
        <v>44</v>
      </c>
      <c r="D4128" s="1" t="str">
        <f>HYPERLINK("javascript:void(0)","kristálysisak")</f>
        <v>kristálysisak</v>
      </c>
    </row>
    <row r="4129" spans="1:4" ht="12.75" customHeight="1" x14ac:dyDescent="0.2">
      <c r="A4129" s="21"/>
      <c r="B4129" s="21"/>
      <c r="C4129" s="8" t="s">
        <v>67</v>
      </c>
      <c r="D4129" s="1" t="str">
        <f>HYPERLINK("javascript:void(0)","nekroige")</f>
        <v>nekroige</v>
      </c>
    </row>
    <row r="4130" spans="1:4" ht="12.75" customHeight="1" x14ac:dyDescent="0.2">
      <c r="A4130" s="21"/>
      <c r="B4130" s="21"/>
      <c r="C4130" s="8" t="s">
        <v>55</v>
      </c>
      <c r="D4130" s="1" t="str">
        <f>HYPERLINK("javascript:void(0)","kígyócsörgő")</f>
        <v>kígyócsörgő</v>
      </c>
    </row>
    <row r="4131" spans="1:4" ht="12.75" customHeight="1" x14ac:dyDescent="0.2">
      <c r="A4131" s="21"/>
      <c r="B4131" s="2"/>
      <c r="C4131" s="7"/>
      <c r="D4131" s="7"/>
    </row>
    <row r="4132" spans="1:4" ht="12.75" customHeight="1" x14ac:dyDescent="0.2">
      <c r="A4132" s="21"/>
      <c r="B4132" s="2"/>
      <c r="C4132" s="7"/>
      <c r="D4132" s="7"/>
    </row>
    <row r="4133" spans="1:4" ht="12.75" customHeight="1" x14ac:dyDescent="0.2">
      <c r="A4133" s="21"/>
      <c r="B4133" s="2"/>
      <c r="C4133" s="7"/>
      <c r="D4133" s="7"/>
    </row>
    <row r="4134" spans="1:4" ht="12.75" customHeight="1" x14ac:dyDescent="0.2">
      <c r="A4134" s="21"/>
      <c r="B4134" s="2"/>
      <c r="C4134" s="7"/>
      <c r="D4134" s="7"/>
    </row>
    <row r="4135" spans="1:4" ht="12.75" customHeight="1" x14ac:dyDescent="0.2">
      <c r="A4135" s="5"/>
      <c r="B4135" s="2"/>
      <c r="C4135" s="7"/>
      <c r="D4135" s="7"/>
    </row>
    <row r="4136" spans="1:4" ht="12.75" customHeight="1" x14ac:dyDescent="0.2">
      <c r="A4136" s="22" t="str">
        <f>HYPERLINK("javascript:void(0)","animált csizma")</f>
        <v>animált csizma</v>
      </c>
      <c r="B4136" s="21"/>
      <c r="C4136" s="21"/>
      <c r="D4136" s="21"/>
    </row>
    <row r="4137" spans="1:4" ht="12.75" customHeight="1" x14ac:dyDescent="0.2">
      <c r="A4137" s="20"/>
      <c r="B4137" s="2"/>
      <c r="C4137" s="7"/>
      <c r="D4137" s="7"/>
    </row>
    <row r="4138" spans="1:4" ht="12.75" customHeight="1" x14ac:dyDescent="0.2">
      <c r="A4138" s="21"/>
      <c r="B4138" s="3" t="s">
        <v>0</v>
      </c>
      <c r="C4138" s="23" t="s">
        <v>52</v>
      </c>
      <c r="D4138" s="21"/>
    </row>
    <row r="4139" spans="1:4" ht="12.75" customHeight="1" x14ac:dyDescent="0.2">
      <c r="A4139" s="21"/>
      <c r="B4139" s="3" t="s">
        <v>2</v>
      </c>
      <c r="C4139" s="23"/>
      <c r="D4139" s="21"/>
    </row>
    <row r="4140" spans="1:4" ht="12.75" customHeight="1" x14ac:dyDescent="0.2">
      <c r="A4140" s="21"/>
      <c r="B4140" s="3" t="s">
        <v>1840</v>
      </c>
      <c r="C4140" s="23" t="s">
        <v>585</v>
      </c>
      <c r="D4140" s="21"/>
    </row>
    <row r="4141" spans="1:4" ht="12.75" customHeight="1" x14ac:dyDescent="0.2">
      <c r="A4141" s="21"/>
      <c r="B4141" s="3" t="s">
        <v>9</v>
      </c>
      <c r="C4141" s="23" t="s">
        <v>124</v>
      </c>
      <c r="D4141" s="21"/>
    </row>
    <row r="4142" spans="1:4" ht="12.75" customHeight="1" x14ac:dyDescent="0.2">
      <c r="A4142" s="21"/>
      <c r="B4142" s="3" t="s">
        <v>11</v>
      </c>
      <c r="C4142" s="23" t="s">
        <v>397</v>
      </c>
      <c r="D4142" s="21"/>
    </row>
    <row r="4143" spans="1:4" ht="12.75" customHeight="1" x14ac:dyDescent="0.2">
      <c r="A4143" s="21"/>
      <c r="B4143" s="3" t="s">
        <v>16</v>
      </c>
      <c r="C4143" s="23"/>
      <c r="D4143" s="21"/>
    </row>
    <row r="4144" spans="1:4" ht="12.75" customHeight="1" x14ac:dyDescent="0.2">
      <c r="A4144" s="21"/>
      <c r="B4144" s="3" t="s">
        <v>17</v>
      </c>
      <c r="C4144" s="23" t="s">
        <v>19</v>
      </c>
      <c r="D4144" s="21"/>
    </row>
    <row r="4145" spans="1:4" ht="12.75" customHeight="1" x14ac:dyDescent="0.2">
      <c r="A4145" s="21"/>
      <c r="B4145" s="20" t="s">
        <v>18</v>
      </c>
      <c r="C4145" s="8" t="s">
        <v>44</v>
      </c>
      <c r="D4145" s="1" t="str">
        <f>HYPERLINK("javascript:void(0)","kristálycsizma")</f>
        <v>kristálycsizma</v>
      </c>
    </row>
    <row r="4146" spans="1:4" ht="12.75" customHeight="1" x14ac:dyDescent="0.2">
      <c r="A4146" s="21"/>
      <c r="B4146" s="21"/>
      <c r="C4146" s="8" t="s">
        <v>67</v>
      </c>
      <c r="D4146" s="1" t="str">
        <f>HYPERLINK("javascript:void(0)","nekroige")</f>
        <v>nekroige</v>
      </c>
    </row>
    <row r="4147" spans="1:4" ht="12.75" customHeight="1" x14ac:dyDescent="0.2">
      <c r="A4147" s="21"/>
      <c r="B4147" s="21"/>
      <c r="C4147" s="8" t="s">
        <v>55</v>
      </c>
      <c r="D4147" s="1" t="str">
        <f>HYPERLINK("javascript:void(0)","lámpás")</f>
        <v>lámpás</v>
      </c>
    </row>
    <row r="4148" spans="1:4" ht="12.75" customHeight="1" x14ac:dyDescent="0.2">
      <c r="A4148" s="21"/>
      <c r="B4148" s="2"/>
      <c r="C4148" s="7"/>
      <c r="D4148" s="7"/>
    </row>
    <row r="4149" spans="1:4" ht="12.75" customHeight="1" x14ac:dyDescent="0.2">
      <c r="A4149" s="21"/>
      <c r="B4149" s="2"/>
      <c r="C4149" s="7"/>
      <c r="D4149" s="7"/>
    </row>
    <row r="4150" spans="1:4" ht="12.75" customHeight="1" x14ac:dyDescent="0.2">
      <c r="A4150" s="21"/>
      <c r="B4150" s="2"/>
      <c r="C4150" s="7"/>
      <c r="D4150" s="7"/>
    </row>
    <row r="4151" spans="1:4" ht="12.75" customHeight="1" x14ac:dyDescent="0.2">
      <c r="A4151" s="21"/>
      <c r="B4151" s="2"/>
      <c r="C4151" s="7"/>
      <c r="D4151" s="7"/>
    </row>
    <row r="4152" spans="1:4" ht="12.75" customHeight="1" x14ac:dyDescent="0.2">
      <c r="A4152" s="5"/>
      <c r="B4152" s="2"/>
      <c r="C4152" s="7"/>
      <c r="D4152" s="7"/>
    </row>
    <row r="4153" spans="1:4" ht="12.75" customHeight="1" x14ac:dyDescent="0.2">
      <c r="A4153" s="22" t="str">
        <f>HYPERLINK("javascript:void(0)","kristálypajzs")</f>
        <v>kristálypajzs</v>
      </c>
      <c r="B4153" s="21"/>
      <c r="C4153" s="21"/>
      <c r="D4153" s="21"/>
    </row>
    <row r="4154" spans="1:4" ht="12.75" customHeight="1" x14ac:dyDescent="0.2">
      <c r="A4154" s="20"/>
      <c r="B4154" s="2"/>
      <c r="C4154" s="7"/>
      <c r="D4154" s="7"/>
    </row>
    <row r="4155" spans="1:4" ht="12.75" customHeight="1" x14ac:dyDescent="0.2">
      <c r="A4155" s="21"/>
      <c r="B4155" s="3" t="s">
        <v>0</v>
      </c>
      <c r="C4155" s="23" t="s">
        <v>52</v>
      </c>
      <c r="D4155" s="21"/>
    </row>
    <row r="4156" spans="1:4" ht="12.75" customHeight="1" x14ac:dyDescent="0.2">
      <c r="A4156" s="21"/>
      <c r="B4156" s="3" t="s">
        <v>2</v>
      </c>
      <c r="C4156" s="23" t="s">
        <v>1839</v>
      </c>
      <c r="D4156" s="21"/>
    </row>
    <row r="4157" spans="1:4" ht="12.75" customHeight="1" x14ac:dyDescent="0.2">
      <c r="A4157" s="21"/>
      <c r="B4157" s="3" t="s">
        <v>1840</v>
      </c>
      <c r="C4157" s="23" t="s">
        <v>253</v>
      </c>
      <c r="D4157" s="21"/>
    </row>
    <row r="4158" spans="1:4" ht="12.75" customHeight="1" x14ac:dyDescent="0.2">
      <c r="A4158" s="21"/>
      <c r="B4158" s="3" t="s">
        <v>9</v>
      </c>
      <c r="C4158" s="23" t="s">
        <v>249</v>
      </c>
      <c r="D4158" s="21"/>
    </row>
    <row r="4159" spans="1:4" ht="12.75" customHeight="1" x14ac:dyDescent="0.2">
      <c r="A4159" s="21"/>
      <c r="B4159" s="3" t="s">
        <v>11</v>
      </c>
      <c r="C4159" s="23" t="s">
        <v>492</v>
      </c>
      <c r="D4159" s="21"/>
    </row>
    <row r="4160" spans="1:4" ht="12.75" customHeight="1" x14ac:dyDescent="0.2">
      <c r="A4160" s="21"/>
      <c r="B4160" s="3" t="s">
        <v>16</v>
      </c>
      <c r="C4160" s="23"/>
      <c r="D4160" s="21"/>
    </row>
    <row r="4161" spans="1:4" ht="12.75" customHeight="1" x14ac:dyDescent="0.2">
      <c r="A4161" s="21"/>
      <c r="B4161" s="3" t="s">
        <v>17</v>
      </c>
      <c r="C4161" s="23" t="s">
        <v>19</v>
      </c>
      <c r="D4161" s="21"/>
    </row>
    <row r="4162" spans="1:4" ht="12.75" customHeight="1" x14ac:dyDescent="0.2">
      <c r="A4162" s="21"/>
      <c r="B4162" s="20" t="s">
        <v>18</v>
      </c>
      <c r="C4162" s="8" t="s">
        <v>44</v>
      </c>
      <c r="D4162" s="1" t="str">
        <f>HYPERLINK("javascript:void(0)","varázspajzs")</f>
        <v>varázspajzs</v>
      </c>
    </row>
    <row r="4163" spans="1:4" ht="12.75" customHeight="1" x14ac:dyDescent="0.2">
      <c r="A4163" s="21"/>
      <c r="B4163" s="21"/>
      <c r="C4163" s="8" t="s">
        <v>193</v>
      </c>
      <c r="D4163" s="1" t="str">
        <f>HYPERLINK("javascript:void(0)","légzsák")</f>
        <v>légzsák</v>
      </c>
    </row>
    <row r="4164" spans="1:4" ht="12.75" customHeight="1" x14ac:dyDescent="0.2">
      <c r="A4164" s="21"/>
      <c r="B4164" s="21"/>
      <c r="C4164" s="8" t="s">
        <v>232</v>
      </c>
      <c r="D4164" s="1" t="str">
        <f>HYPERLINK("javascript:void(0)","lámpás")</f>
        <v>lámpás</v>
      </c>
    </row>
    <row r="4165" spans="1:4" ht="12.75" customHeight="1" x14ac:dyDescent="0.2">
      <c r="A4165" s="21"/>
      <c r="B4165" s="2"/>
      <c r="C4165" s="7"/>
      <c r="D4165" s="7"/>
    </row>
    <row r="4166" spans="1:4" ht="12.75" customHeight="1" x14ac:dyDescent="0.2">
      <c r="A4166" s="21"/>
      <c r="B4166" s="2"/>
      <c r="C4166" s="7"/>
      <c r="D4166" s="7"/>
    </row>
    <row r="4167" spans="1:4" ht="12.75" customHeight="1" x14ac:dyDescent="0.2">
      <c r="A4167" s="21"/>
      <c r="B4167" s="2"/>
      <c r="C4167" s="7"/>
      <c r="D4167" s="7"/>
    </row>
    <row r="4168" spans="1:4" ht="12.75" customHeight="1" x14ac:dyDescent="0.2">
      <c r="A4168" s="21"/>
      <c r="B4168" s="2"/>
      <c r="C4168" s="7"/>
      <c r="D4168" s="7"/>
    </row>
    <row r="4169" spans="1:4" ht="12.75" customHeight="1" x14ac:dyDescent="0.2">
      <c r="A4169" s="5"/>
      <c r="B4169" s="2"/>
      <c r="C4169" s="7"/>
      <c r="D4169" s="7"/>
    </row>
    <row r="4170" spans="1:4" ht="12.75" customHeight="1" x14ac:dyDescent="0.2">
      <c r="A4170" s="22" t="str">
        <f>HYPERLINK("javascript:void(0)","hidracél pillepajzs")</f>
        <v>hidracél pillepajzs</v>
      </c>
      <c r="B4170" s="21"/>
      <c r="C4170" s="21"/>
      <c r="D4170" s="21"/>
    </row>
    <row r="4171" spans="1:4" ht="12.75" customHeight="1" x14ac:dyDescent="0.2">
      <c r="A4171" s="20"/>
      <c r="B4171" s="2"/>
      <c r="C4171" s="7"/>
      <c r="D4171" s="7"/>
    </row>
    <row r="4172" spans="1:4" ht="12.75" customHeight="1" x14ac:dyDescent="0.2">
      <c r="A4172" s="21"/>
      <c r="B4172" s="3" t="s">
        <v>0</v>
      </c>
      <c r="C4172" s="23" t="s">
        <v>52</v>
      </c>
      <c r="D4172" s="21"/>
    </row>
    <row r="4173" spans="1:4" ht="12.75" customHeight="1" x14ac:dyDescent="0.2">
      <c r="A4173" s="21"/>
      <c r="B4173" s="3" t="s">
        <v>2</v>
      </c>
      <c r="C4173" s="23" t="s">
        <v>1839</v>
      </c>
      <c r="D4173" s="21"/>
    </row>
    <row r="4174" spans="1:4" ht="12.75" customHeight="1" x14ac:dyDescent="0.2">
      <c r="A4174" s="21"/>
      <c r="B4174" s="3" t="s">
        <v>1840</v>
      </c>
      <c r="C4174" s="23" t="s">
        <v>253</v>
      </c>
      <c r="D4174" s="21"/>
    </row>
    <row r="4175" spans="1:4" ht="12.75" customHeight="1" x14ac:dyDescent="0.2">
      <c r="A4175" s="21"/>
      <c r="B4175" s="3" t="s">
        <v>9</v>
      </c>
      <c r="C4175" s="23" t="s">
        <v>1195</v>
      </c>
      <c r="D4175" s="21"/>
    </row>
    <row r="4176" spans="1:4" ht="12.75" customHeight="1" x14ac:dyDescent="0.2">
      <c r="A4176" s="21"/>
      <c r="B4176" s="3" t="s">
        <v>11</v>
      </c>
      <c r="C4176" s="23" t="s">
        <v>483</v>
      </c>
      <c r="D4176" s="21"/>
    </row>
    <row r="4177" spans="1:4" ht="12.75" customHeight="1" x14ac:dyDescent="0.2">
      <c r="A4177" s="21"/>
      <c r="B4177" s="3" t="s">
        <v>16</v>
      </c>
      <c r="C4177" s="23"/>
      <c r="D4177" s="21"/>
    </row>
    <row r="4178" spans="1:4" ht="12.75" customHeight="1" x14ac:dyDescent="0.2">
      <c r="A4178" s="21"/>
      <c r="B4178" s="3" t="s">
        <v>17</v>
      </c>
      <c r="C4178" s="23" t="s">
        <v>19</v>
      </c>
      <c r="D4178" s="21"/>
    </row>
    <row r="4179" spans="1:4" ht="12.75" customHeight="1" x14ac:dyDescent="0.2">
      <c r="A4179" s="21"/>
      <c r="B4179" s="20" t="s">
        <v>18</v>
      </c>
      <c r="C4179" s="8" t="s">
        <v>44</v>
      </c>
      <c r="D4179" s="1" t="str">
        <f>HYPERLINK("javascript:void(0)","kristálypajzs")</f>
        <v>kristálypajzs</v>
      </c>
    </row>
    <row r="4180" spans="1:4" ht="12.75" customHeight="1" x14ac:dyDescent="0.2">
      <c r="A4180" s="21"/>
      <c r="B4180" s="21"/>
      <c r="C4180" s="8" t="s">
        <v>632</v>
      </c>
      <c r="D4180" s="1" t="str">
        <f>HYPERLINK("javascript:void(0)","szén-hidragén")</f>
        <v>szén-hidragén</v>
      </c>
    </row>
    <row r="4181" spans="1:4" ht="12.75" customHeight="1" x14ac:dyDescent="0.2">
      <c r="A4181" s="21"/>
      <c r="B4181" s="21"/>
      <c r="C4181" s="8" t="s">
        <v>67</v>
      </c>
      <c r="D4181" s="1" t="str">
        <f>HYPERLINK("javascript:void(0)","robbanófej")</f>
        <v>robbanófej</v>
      </c>
    </row>
    <row r="4182" spans="1:4" ht="12.75" customHeight="1" x14ac:dyDescent="0.2">
      <c r="A4182" s="21"/>
      <c r="B4182" s="2"/>
      <c r="C4182" s="7"/>
      <c r="D4182" s="7"/>
    </row>
    <row r="4183" spans="1:4" ht="12.75" customHeight="1" x14ac:dyDescent="0.2">
      <c r="A4183" s="21"/>
      <c r="B4183" s="2"/>
      <c r="C4183" s="7"/>
      <c r="D4183" s="7"/>
    </row>
    <row r="4184" spans="1:4" ht="12.75" customHeight="1" x14ac:dyDescent="0.2">
      <c r="A4184" s="21"/>
      <c r="B4184" s="2"/>
      <c r="C4184" s="7"/>
      <c r="D4184" s="7"/>
    </row>
    <row r="4185" spans="1:4" ht="12.75" customHeight="1" x14ac:dyDescent="0.2">
      <c r="A4185" s="21"/>
      <c r="B4185" s="2"/>
      <c r="C4185" s="7"/>
      <c r="D4185" s="7"/>
    </row>
    <row r="4186" spans="1:4" ht="12.75" customHeight="1" x14ac:dyDescent="0.2">
      <c r="A4186" s="5"/>
      <c r="B4186" s="2"/>
      <c r="C4186" s="7"/>
      <c r="D4186" s="7"/>
    </row>
    <row r="4187" spans="1:4" ht="12.75" customHeight="1" x14ac:dyDescent="0.2">
      <c r="A4187" s="22" t="str">
        <f>HYPERLINK("javascript:void(0)","réz mellvért")</f>
        <v>réz mellvért</v>
      </c>
      <c r="B4187" s="21"/>
      <c r="C4187" s="21"/>
      <c r="D4187" s="21"/>
    </row>
    <row r="4188" spans="1:4" ht="12.75" customHeight="1" x14ac:dyDescent="0.2">
      <c r="A4188" s="20"/>
      <c r="B4188" s="2"/>
      <c r="C4188" s="7"/>
      <c r="D4188" s="7"/>
    </row>
    <row r="4189" spans="1:4" ht="12.75" customHeight="1" x14ac:dyDescent="0.2">
      <c r="A4189" s="21"/>
      <c r="B4189" s="3" t="s">
        <v>0</v>
      </c>
      <c r="C4189" s="23" t="s">
        <v>385</v>
      </c>
      <c r="D4189" s="21"/>
    </row>
    <row r="4190" spans="1:4" ht="12.75" customHeight="1" x14ac:dyDescent="0.2">
      <c r="A4190" s="21"/>
      <c r="B4190" s="3" t="s">
        <v>2</v>
      </c>
      <c r="C4190" s="23" t="s">
        <v>2322</v>
      </c>
      <c r="D4190" s="21"/>
    </row>
    <row r="4191" spans="1:4" ht="12.75" customHeight="1" x14ac:dyDescent="0.2">
      <c r="A4191" s="21"/>
      <c r="B4191" s="3" t="s">
        <v>1840</v>
      </c>
      <c r="C4191" s="23" t="s">
        <v>1165</v>
      </c>
      <c r="D4191" s="21"/>
    </row>
    <row r="4192" spans="1:4" ht="12.75" customHeight="1" x14ac:dyDescent="0.2">
      <c r="A4192" s="21"/>
      <c r="B4192" s="3" t="s">
        <v>9</v>
      </c>
      <c r="C4192" s="23" t="s">
        <v>131</v>
      </c>
      <c r="D4192" s="21"/>
    </row>
    <row r="4193" spans="1:4" ht="12.75" customHeight="1" x14ac:dyDescent="0.2">
      <c r="A4193" s="21"/>
      <c r="B4193" s="3" t="s">
        <v>11</v>
      </c>
      <c r="C4193" s="23" t="s">
        <v>381</v>
      </c>
      <c r="D4193" s="21"/>
    </row>
    <row r="4194" spans="1:4" ht="12.75" customHeight="1" x14ac:dyDescent="0.2">
      <c r="A4194" s="21"/>
      <c r="B4194" s="3" t="s">
        <v>16</v>
      </c>
      <c r="C4194" s="23"/>
      <c r="D4194" s="21"/>
    </row>
    <row r="4195" spans="1:4" ht="12.75" customHeight="1" x14ac:dyDescent="0.2">
      <c r="A4195" s="21"/>
      <c r="B4195" s="3" t="s">
        <v>17</v>
      </c>
      <c r="C4195" s="23" t="s">
        <v>19</v>
      </c>
      <c r="D4195" s="21"/>
    </row>
    <row r="4196" spans="1:4" ht="12.75" customHeight="1" x14ac:dyDescent="0.2">
      <c r="A4196" s="21"/>
      <c r="B4196" s="20" t="s">
        <v>18</v>
      </c>
      <c r="C4196" s="8" t="s">
        <v>44</v>
      </c>
      <c r="D4196" s="1" t="str">
        <f>HYPERLINK("javascript:void(0)","ezüst mellvért")</f>
        <v>ezüst mellvért</v>
      </c>
    </row>
    <row r="4197" spans="1:4" ht="12.75" customHeight="1" x14ac:dyDescent="0.2">
      <c r="A4197" s="21"/>
      <c r="B4197" s="21"/>
      <c r="C4197" s="8" t="s">
        <v>67</v>
      </c>
      <c r="D4197" s="1" t="str">
        <f>HYPERLINK("javascript:void(0)","rézrög")</f>
        <v>rézrög</v>
      </c>
    </row>
    <row r="4198" spans="1:4" ht="12.75" customHeight="1" x14ac:dyDescent="0.2">
      <c r="A4198" s="21"/>
      <c r="B4198" s="21"/>
      <c r="C4198" s="8" t="s">
        <v>68</v>
      </c>
      <c r="D4198" s="1" t="str">
        <f>HYPERLINK("javascript:void(0)","démonfog")</f>
        <v>démonfog</v>
      </c>
    </row>
    <row r="4199" spans="1:4" ht="12.75" customHeight="1" x14ac:dyDescent="0.2">
      <c r="A4199" s="21"/>
      <c r="B4199" s="2"/>
      <c r="C4199" s="7"/>
      <c r="D4199" s="7"/>
    </row>
    <row r="4200" spans="1:4" ht="12.75" customHeight="1" x14ac:dyDescent="0.2">
      <c r="A4200" s="21"/>
      <c r="B4200" s="2"/>
      <c r="C4200" s="7"/>
      <c r="D4200" s="7"/>
    </row>
    <row r="4201" spans="1:4" ht="12.75" customHeight="1" x14ac:dyDescent="0.2">
      <c r="A4201" s="21"/>
      <c r="B4201" s="2"/>
      <c r="C4201" s="7"/>
      <c r="D4201" s="7"/>
    </row>
    <row r="4202" spans="1:4" ht="12.75" customHeight="1" x14ac:dyDescent="0.2">
      <c r="A4202" s="21"/>
      <c r="B4202" s="2"/>
      <c r="C4202" s="7"/>
      <c r="D4202" s="7"/>
    </row>
    <row r="4203" spans="1:4" ht="12.75" customHeight="1" x14ac:dyDescent="0.2">
      <c r="A4203" s="5"/>
      <c r="B4203" s="2"/>
      <c r="C4203" s="7"/>
      <c r="D4203" s="7"/>
    </row>
    <row r="4204" spans="1:4" ht="12.75" customHeight="1" x14ac:dyDescent="0.2">
      <c r="A4204" s="22" t="str">
        <f>HYPERLINK("javascript:void(0)","pillesisak")</f>
        <v>pillesisak</v>
      </c>
      <c r="B4204" s="21"/>
      <c r="C4204" s="21"/>
      <c r="D4204" s="21"/>
    </row>
    <row r="4205" spans="1:4" ht="12.75" customHeight="1" x14ac:dyDescent="0.2">
      <c r="A4205" s="20"/>
      <c r="B4205" s="2"/>
      <c r="C4205" s="7"/>
      <c r="D4205" s="7"/>
    </row>
    <row r="4206" spans="1:4" ht="12.75" customHeight="1" x14ac:dyDescent="0.2">
      <c r="A4206" s="21"/>
      <c r="B4206" s="3" t="s">
        <v>0</v>
      </c>
      <c r="C4206" s="23" t="s">
        <v>385</v>
      </c>
      <c r="D4206" s="21"/>
    </row>
    <row r="4207" spans="1:4" ht="12.75" customHeight="1" x14ac:dyDescent="0.2">
      <c r="A4207" s="21"/>
      <c r="B4207" s="3" t="s">
        <v>2</v>
      </c>
      <c r="C4207" s="23"/>
      <c r="D4207" s="21"/>
    </row>
    <row r="4208" spans="1:4" ht="12.75" customHeight="1" x14ac:dyDescent="0.2">
      <c r="A4208" s="21"/>
      <c r="B4208" s="3" t="s">
        <v>1840</v>
      </c>
      <c r="C4208" s="23" t="s">
        <v>69</v>
      </c>
      <c r="D4208" s="21"/>
    </row>
    <row r="4209" spans="1:4" ht="12.75" customHeight="1" x14ac:dyDescent="0.2">
      <c r="A4209" s="21"/>
      <c r="B4209" s="3" t="s">
        <v>9</v>
      </c>
      <c r="C4209" s="23" t="s">
        <v>22</v>
      </c>
      <c r="D4209" s="21"/>
    </row>
    <row r="4210" spans="1:4" ht="12.75" customHeight="1" x14ac:dyDescent="0.2">
      <c r="A4210" s="21"/>
      <c r="B4210" s="3" t="s">
        <v>11</v>
      </c>
      <c r="C4210" s="23" t="s">
        <v>381</v>
      </c>
      <c r="D4210" s="21"/>
    </row>
    <row r="4211" spans="1:4" ht="12.75" customHeight="1" x14ac:dyDescent="0.2">
      <c r="A4211" s="21"/>
      <c r="B4211" s="3" t="s">
        <v>16</v>
      </c>
      <c r="C4211" s="23"/>
      <c r="D4211" s="21"/>
    </row>
    <row r="4212" spans="1:4" ht="12.75" customHeight="1" x14ac:dyDescent="0.2">
      <c r="A4212" s="21"/>
      <c r="B4212" s="3" t="s">
        <v>17</v>
      </c>
      <c r="C4212" s="23" t="s">
        <v>19</v>
      </c>
      <c r="D4212" s="21"/>
    </row>
    <row r="4213" spans="1:4" ht="12.75" customHeight="1" x14ac:dyDescent="0.2">
      <c r="A4213" s="21"/>
      <c r="B4213" s="20" t="s">
        <v>18</v>
      </c>
      <c r="C4213" s="8" t="s">
        <v>44</v>
      </c>
      <c r="D4213" s="1" t="str">
        <f>HYPERLINK("javascript:void(0)","animált sisak")</f>
        <v>animált sisak</v>
      </c>
    </row>
    <row r="4214" spans="1:4" ht="12.75" customHeight="1" x14ac:dyDescent="0.2">
      <c r="A4214" s="21"/>
      <c r="B4214" s="21"/>
      <c r="C4214" s="8" t="s">
        <v>280</v>
      </c>
      <c r="D4214" s="1" t="str">
        <f>HYPERLINK("javascript:void(0)","lepkeszárny")</f>
        <v>lepkeszárny</v>
      </c>
    </row>
    <row r="4215" spans="1:4" ht="12.75" customHeight="1" x14ac:dyDescent="0.2">
      <c r="A4215" s="21"/>
      <c r="B4215" s="21"/>
      <c r="C4215" s="8" t="s">
        <v>55</v>
      </c>
      <c r="D4215" s="1" t="str">
        <f>HYPERLINK("javascript:void(0)","démonfog")</f>
        <v>démonfog</v>
      </c>
    </row>
    <row r="4216" spans="1:4" ht="12.75" customHeight="1" x14ac:dyDescent="0.2">
      <c r="A4216" s="21"/>
      <c r="B4216" s="2"/>
      <c r="C4216" s="7"/>
      <c r="D4216" s="7"/>
    </row>
    <row r="4217" spans="1:4" ht="12.75" customHeight="1" x14ac:dyDescent="0.2">
      <c r="A4217" s="21"/>
      <c r="B4217" s="2"/>
      <c r="C4217" s="7"/>
      <c r="D4217" s="7"/>
    </row>
    <row r="4218" spans="1:4" ht="12.75" customHeight="1" x14ac:dyDescent="0.2">
      <c r="A4218" s="21"/>
      <c r="B4218" s="2"/>
      <c r="C4218" s="7"/>
      <c r="D4218" s="7"/>
    </row>
    <row r="4219" spans="1:4" ht="12.75" customHeight="1" x14ac:dyDescent="0.2">
      <c r="A4219" s="21"/>
      <c r="B4219" s="2"/>
      <c r="C4219" s="7"/>
      <c r="D4219" s="7"/>
    </row>
    <row r="4220" spans="1:4" ht="12.75" customHeight="1" x14ac:dyDescent="0.2">
      <c r="A4220" s="5"/>
      <c r="B4220" s="2"/>
      <c r="C4220" s="7"/>
      <c r="D4220" s="7"/>
    </row>
    <row r="4221" spans="1:4" ht="12.75" customHeight="1" x14ac:dyDescent="0.2">
      <c r="A4221" s="22" t="str">
        <f>HYPERLINK("javascript:void(0)","bűvös szandál")</f>
        <v>bűvös szandál</v>
      </c>
      <c r="B4221" s="21"/>
      <c r="C4221" s="21"/>
      <c r="D4221" s="21"/>
    </row>
    <row r="4222" spans="1:4" ht="12.75" customHeight="1" x14ac:dyDescent="0.2">
      <c r="A4222" s="20"/>
      <c r="B4222" s="2"/>
      <c r="C4222" s="7"/>
      <c r="D4222" s="7"/>
    </row>
    <row r="4223" spans="1:4" ht="12.75" customHeight="1" x14ac:dyDescent="0.2">
      <c r="A4223" s="21"/>
      <c r="B4223" s="3" t="s">
        <v>0</v>
      </c>
      <c r="C4223" s="23" t="s">
        <v>385</v>
      </c>
      <c r="D4223" s="21"/>
    </row>
    <row r="4224" spans="1:4" ht="12.75" customHeight="1" x14ac:dyDescent="0.2">
      <c r="A4224" s="21"/>
      <c r="B4224" s="3" t="s">
        <v>2</v>
      </c>
      <c r="C4224" s="23"/>
      <c r="D4224" s="21"/>
    </row>
    <row r="4225" spans="1:4" ht="12.75" customHeight="1" x14ac:dyDescent="0.2">
      <c r="A4225" s="21"/>
      <c r="B4225" s="3" t="s">
        <v>1840</v>
      </c>
      <c r="C4225" s="23" t="s">
        <v>613</v>
      </c>
      <c r="D4225" s="21"/>
    </row>
    <row r="4226" spans="1:4" ht="12.75" customHeight="1" x14ac:dyDescent="0.2">
      <c r="A4226" s="21"/>
      <c r="B4226" s="3" t="s">
        <v>9</v>
      </c>
      <c r="C4226" s="23" t="s">
        <v>79</v>
      </c>
      <c r="D4226" s="21"/>
    </row>
    <row r="4227" spans="1:4" ht="12.75" customHeight="1" x14ac:dyDescent="0.2">
      <c r="A4227" s="21"/>
      <c r="B4227" s="3" t="s">
        <v>11</v>
      </c>
      <c r="C4227" s="23" t="s">
        <v>414</v>
      </c>
      <c r="D4227" s="21"/>
    </row>
    <row r="4228" spans="1:4" ht="12.75" customHeight="1" x14ac:dyDescent="0.2">
      <c r="A4228" s="21"/>
      <c r="B4228" s="3" t="s">
        <v>16</v>
      </c>
      <c r="C4228" s="23"/>
      <c r="D4228" s="21"/>
    </row>
    <row r="4229" spans="1:4" ht="12.75" customHeight="1" x14ac:dyDescent="0.2">
      <c r="A4229" s="21"/>
      <c r="B4229" s="3" t="s">
        <v>17</v>
      </c>
      <c r="C4229" s="23" t="s">
        <v>19</v>
      </c>
      <c r="D4229" s="21"/>
    </row>
    <row r="4230" spans="1:4" ht="12.75" customHeight="1" x14ac:dyDescent="0.2">
      <c r="A4230" s="21"/>
      <c r="B4230" s="20" t="s">
        <v>18</v>
      </c>
      <c r="C4230" s="8" t="s">
        <v>132</v>
      </c>
      <c r="D4230" s="1" t="str">
        <f>HYPERLINK("javascript:void(0)","rémszem")</f>
        <v>rémszem</v>
      </c>
    </row>
    <row r="4231" spans="1:4" ht="12.75" customHeight="1" x14ac:dyDescent="0.2">
      <c r="A4231" s="21"/>
      <c r="B4231" s="21"/>
      <c r="C4231" s="8" t="s">
        <v>77</v>
      </c>
      <c r="D4231" s="1" t="str">
        <f>HYPERLINK("javascript:void(0)","csáphárító")</f>
        <v>csáphárító</v>
      </c>
    </row>
    <row r="4232" spans="1:4" ht="12.75" customHeight="1" x14ac:dyDescent="0.2">
      <c r="A4232" s="21"/>
      <c r="B4232" s="21"/>
      <c r="C4232" s="8" t="s">
        <v>163</v>
      </c>
      <c r="D4232" s="1" t="str">
        <f>HYPERLINK("javascript:void(0)","varázsige")</f>
        <v>varázsige</v>
      </c>
    </row>
    <row r="4233" spans="1:4" ht="12.75" customHeight="1" x14ac:dyDescent="0.2">
      <c r="A4233" s="21"/>
      <c r="B4233" s="2"/>
      <c r="C4233" s="7"/>
      <c r="D4233" s="7"/>
    </row>
    <row r="4234" spans="1:4" ht="12.75" customHeight="1" x14ac:dyDescent="0.2">
      <c r="A4234" s="21"/>
      <c r="B4234" s="2"/>
      <c r="C4234" s="7"/>
      <c r="D4234" s="7"/>
    </row>
    <row r="4235" spans="1:4" ht="12.75" customHeight="1" x14ac:dyDescent="0.2">
      <c r="A4235" s="21"/>
      <c r="B4235" s="2"/>
      <c r="C4235" s="7"/>
      <c r="D4235" s="7"/>
    </row>
    <row r="4236" spans="1:4" ht="12.75" customHeight="1" x14ac:dyDescent="0.2">
      <c r="A4236" s="21"/>
      <c r="B4236" s="2"/>
      <c r="C4236" s="7"/>
      <c r="D4236" s="7"/>
    </row>
    <row r="4237" spans="1:4" ht="12.75" customHeight="1" x14ac:dyDescent="0.2">
      <c r="A4237" s="5"/>
      <c r="B4237" s="2"/>
      <c r="C4237" s="7"/>
      <c r="D4237" s="7"/>
    </row>
    <row r="4238" spans="1:4" ht="12.75" customHeight="1" x14ac:dyDescent="0.2">
      <c r="A4238" s="22" t="str">
        <f>HYPERLINK("javascript:void(0)","kristály testpajzs")</f>
        <v>kristály testpajzs</v>
      </c>
      <c r="B4238" s="21"/>
      <c r="C4238" s="21"/>
      <c r="D4238" s="21"/>
    </row>
    <row r="4239" spans="1:4" ht="12.75" customHeight="1" x14ac:dyDescent="0.2">
      <c r="A4239" s="20"/>
      <c r="B4239" s="2"/>
      <c r="C4239" s="7"/>
      <c r="D4239" s="7"/>
    </row>
    <row r="4240" spans="1:4" ht="12.75" customHeight="1" x14ac:dyDescent="0.2">
      <c r="A4240" s="21"/>
      <c r="B4240" s="3" t="s">
        <v>0</v>
      </c>
      <c r="C4240" s="23" t="s">
        <v>385</v>
      </c>
      <c r="D4240" s="21"/>
    </row>
    <row r="4241" spans="1:4" ht="12.75" customHeight="1" x14ac:dyDescent="0.2">
      <c r="A4241" s="21"/>
      <c r="B4241" s="3" t="s">
        <v>2</v>
      </c>
      <c r="C4241" s="23" t="s">
        <v>1839</v>
      </c>
      <c r="D4241" s="21"/>
    </row>
    <row r="4242" spans="1:4" ht="12.75" customHeight="1" x14ac:dyDescent="0.2">
      <c r="A4242" s="21"/>
      <c r="B4242" s="3" t="s">
        <v>1840</v>
      </c>
      <c r="C4242" s="23" t="s">
        <v>782</v>
      </c>
      <c r="D4242" s="21"/>
    </row>
    <row r="4243" spans="1:4" ht="12.75" customHeight="1" x14ac:dyDescent="0.2">
      <c r="A4243" s="21"/>
      <c r="B4243" s="3" t="s">
        <v>9</v>
      </c>
      <c r="C4243" s="23" t="s">
        <v>1824</v>
      </c>
      <c r="D4243" s="21"/>
    </row>
    <row r="4244" spans="1:4" ht="12.75" customHeight="1" x14ac:dyDescent="0.2">
      <c r="A4244" s="21"/>
      <c r="B4244" s="3" t="s">
        <v>11</v>
      </c>
      <c r="C4244" s="23" t="s">
        <v>470</v>
      </c>
      <c r="D4244" s="21"/>
    </row>
    <row r="4245" spans="1:4" ht="12.75" customHeight="1" x14ac:dyDescent="0.2">
      <c r="A4245" s="21"/>
      <c r="B4245" s="3" t="s">
        <v>16</v>
      </c>
      <c r="C4245" s="23"/>
      <c r="D4245" s="21"/>
    </row>
    <row r="4246" spans="1:4" ht="12.75" customHeight="1" x14ac:dyDescent="0.2">
      <c r="A4246" s="21"/>
      <c r="B4246" s="3" t="s">
        <v>17</v>
      </c>
      <c r="C4246" s="23" t="s">
        <v>19</v>
      </c>
      <c r="D4246" s="21"/>
    </row>
    <row r="4247" spans="1:4" ht="12.75" customHeight="1" x14ac:dyDescent="0.2">
      <c r="A4247" s="21"/>
      <c r="B4247" s="20" t="s">
        <v>18</v>
      </c>
      <c r="C4247" s="8" t="s">
        <v>44</v>
      </c>
      <c r="D4247" s="1" t="str">
        <f>HYPERLINK("javascript:void(0)","varázs testpajzs")</f>
        <v>varázs testpajzs</v>
      </c>
    </row>
    <row r="4248" spans="1:4" ht="12.75" customHeight="1" x14ac:dyDescent="0.2">
      <c r="A4248" s="21"/>
      <c r="B4248" s="21"/>
      <c r="C4248" s="8" t="s">
        <v>193</v>
      </c>
      <c r="D4248" s="1" t="str">
        <f>HYPERLINK("javascript:void(0)","ínszalag")</f>
        <v>ínszalag</v>
      </c>
    </row>
    <row r="4249" spans="1:4" ht="12.75" customHeight="1" x14ac:dyDescent="0.2">
      <c r="A4249" s="21"/>
      <c r="B4249" s="21"/>
      <c r="C4249" s="8" t="s">
        <v>77</v>
      </c>
      <c r="D4249" s="1" t="str">
        <f>HYPERLINK("javascript:void(0)","démonfog")</f>
        <v>démonfog</v>
      </c>
    </row>
    <row r="4250" spans="1:4" ht="12.75" customHeight="1" x14ac:dyDescent="0.2">
      <c r="A4250" s="21"/>
      <c r="B4250" s="2"/>
      <c r="C4250" s="7"/>
      <c r="D4250" s="7"/>
    </row>
    <row r="4251" spans="1:4" ht="12.75" customHeight="1" x14ac:dyDescent="0.2">
      <c r="A4251" s="21"/>
      <c r="B4251" s="2"/>
      <c r="C4251" s="7"/>
      <c r="D4251" s="7"/>
    </row>
    <row r="4252" spans="1:4" ht="12.75" customHeight="1" x14ac:dyDescent="0.2">
      <c r="A4252" s="21"/>
      <c r="B4252" s="2"/>
      <c r="C4252" s="7"/>
      <c r="D4252" s="7"/>
    </row>
    <row r="4253" spans="1:4" ht="12.75" customHeight="1" x14ac:dyDescent="0.2">
      <c r="A4253" s="21"/>
      <c r="B4253" s="2"/>
      <c r="C4253" s="7"/>
      <c r="D4253" s="7"/>
    </row>
    <row r="4254" spans="1:4" ht="12.75" customHeight="1" x14ac:dyDescent="0.2">
      <c r="A4254" s="5"/>
      <c r="B4254" s="2"/>
      <c r="C4254" s="7"/>
      <c r="D4254" s="7"/>
    </row>
    <row r="4255" spans="1:4" ht="12.75" customHeight="1" x14ac:dyDescent="0.2">
      <c r="A4255" s="22" t="str">
        <f>HYPERLINK("javascript:void(0)","démonacél pillepajzs")</f>
        <v>démonacél pillepajzs</v>
      </c>
      <c r="B4255" s="21"/>
      <c r="C4255" s="21"/>
      <c r="D4255" s="21"/>
    </row>
    <row r="4256" spans="1:4" ht="12.75" customHeight="1" x14ac:dyDescent="0.2">
      <c r="A4256" s="20"/>
      <c r="B4256" s="2"/>
      <c r="C4256" s="7"/>
      <c r="D4256" s="7"/>
    </row>
    <row r="4257" spans="1:4" ht="12.75" customHeight="1" x14ac:dyDescent="0.2">
      <c r="A4257" s="21"/>
      <c r="B4257" s="3" t="s">
        <v>0</v>
      </c>
      <c r="C4257" s="23" t="s">
        <v>385</v>
      </c>
      <c r="D4257" s="21"/>
    </row>
    <row r="4258" spans="1:4" ht="12.75" customHeight="1" x14ac:dyDescent="0.2">
      <c r="A4258" s="21"/>
      <c r="B4258" s="3" t="s">
        <v>2</v>
      </c>
      <c r="C4258" s="23" t="s">
        <v>1839</v>
      </c>
      <c r="D4258" s="21"/>
    </row>
    <row r="4259" spans="1:4" ht="12.75" customHeight="1" x14ac:dyDescent="0.2">
      <c r="A4259" s="21"/>
      <c r="B4259" s="3" t="s">
        <v>1840</v>
      </c>
      <c r="C4259" s="23" t="s">
        <v>782</v>
      </c>
      <c r="D4259" s="21"/>
    </row>
    <row r="4260" spans="1:4" ht="12.75" customHeight="1" x14ac:dyDescent="0.2">
      <c r="A4260" s="21"/>
      <c r="B4260" s="3" t="s">
        <v>9</v>
      </c>
      <c r="C4260" s="23" t="s">
        <v>867</v>
      </c>
      <c r="D4260" s="21"/>
    </row>
    <row r="4261" spans="1:4" ht="12.75" customHeight="1" x14ac:dyDescent="0.2">
      <c r="A4261" s="21"/>
      <c r="B4261" s="3" t="s">
        <v>11</v>
      </c>
      <c r="C4261" s="23" t="s">
        <v>488</v>
      </c>
      <c r="D4261" s="21"/>
    </row>
    <row r="4262" spans="1:4" ht="12.75" customHeight="1" x14ac:dyDescent="0.2">
      <c r="A4262" s="21"/>
      <c r="B4262" s="3" t="s">
        <v>16</v>
      </c>
      <c r="C4262" s="23"/>
      <c r="D4262" s="21"/>
    </row>
    <row r="4263" spans="1:4" ht="12.75" customHeight="1" x14ac:dyDescent="0.2">
      <c r="A4263" s="21"/>
      <c r="B4263" s="3" t="s">
        <v>17</v>
      </c>
      <c r="C4263" s="23" t="s">
        <v>19</v>
      </c>
      <c r="D4263" s="21"/>
    </row>
    <row r="4264" spans="1:4" ht="12.75" customHeight="1" x14ac:dyDescent="0.2">
      <c r="A4264" s="21"/>
      <c r="B4264" s="20" t="s">
        <v>18</v>
      </c>
      <c r="C4264" s="8" t="s">
        <v>44</v>
      </c>
      <c r="D4264" s="1" t="str">
        <f>HYPERLINK("javascript:void(0)","kristály testpajzs")</f>
        <v>kristály testpajzs</v>
      </c>
    </row>
    <row r="4265" spans="1:4" ht="12.75" customHeight="1" x14ac:dyDescent="0.2">
      <c r="A4265" s="21"/>
      <c r="B4265" s="21"/>
      <c r="C4265" s="8" t="s">
        <v>139</v>
      </c>
      <c r="D4265" s="1" t="str">
        <f>HYPERLINK("javascript:void(0)","szépia")</f>
        <v>szépia</v>
      </c>
    </row>
    <row r="4266" spans="1:4" ht="12.75" customHeight="1" x14ac:dyDescent="0.2">
      <c r="A4266" s="21"/>
      <c r="B4266" s="21"/>
      <c r="C4266" s="8" t="s">
        <v>117</v>
      </c>
      <c r="D4266" s="1" t="str">
        <f>HYPERLINK("javascript:void(0)","csáphárító")</f>
        <v>csáphárító</v>
      </c>
    </row>
    <row r="4267" spans="1:4" ht="12.75" customHeight="1" x14ac:dyDescent="0.2">
      <c r="A4267" s="21"/>
      <c r="B4267" s="2"/>
      <c r="C4267" s="7"/>
      <c r="D4267" s="7"/>
    </row>
    <row r="4268" spans="1:4" ht="12.75" customHeight="1" x14ac:dyDescent="0.2">
      <c r="A4268" s="21"/>
      <c r="B4268" s="2"/>
      <c r="C4268" s="7"/>
      <c r="D4268" s="7"/>
    </row>
    <row r="4269" spans="1:4" ht="12.75" customHeight="1" x14ac:dyDescent="0.2">
      <c r="A4269" s="21"/>
      <c r="B4269" s="2"/>
      <c r="C4269" s="7"/>
      <c r="D4269" s="7"/>
    </row>
    <row r="4270" spans="1:4" ht="12.75" customHeight="1" x14ac:dyDescent="0.2">
      <c r="A4270" s="21"/>
      <c r="B4270" s="2"/>
      <c r="C4270" s="7"/>
      <c r="D4270" s="7"/>
    </row>
    <row r="4271" spans="1:4" ht="12.75" customHeight="1" x14ac:dyDescent="0.2">
      <c r="A4271" s="5"/>
      <c r="B4271" s="2"/>
      <c r="C4271" s="7"/>
      <c r="D4271" s="7"/>
    </row>
    <row r="4272" spans="1:4" ht="12.75" customHeight="1" x14ac:dyDescent="0.2">
      <c r="A4272" s="22" t="str">
        <f>HYPERLINK("javascript:void(0)","smaragd manasisak")</f>
        <v>smaragd manasisak</v>
      </c>
      <c r="B4272" s="21"/>
      <c r="C4272" s="21"/>
      <c r="D4272" s="21"/>
    </row>
    <row r="4273" spans="1:4" ht="12.75" customHeight="1" x14ac:dyDescent="0.2">
      <c r="A4273" s="20"/>
      <c r="B4273" s="2"/>
      <c r="C4273" s="7"/>
      <c r="D4273" s="7"/>
    </row>
    <row r="4274" spans="1:4" ht="12.75" customHeight="1" x14ac:dyDescent="0.2">
      <c r="A4274" s="21"/>
      <c r="B4274" s="3" t="s">
        <v>0</v>
      </c>
      <c r="C4274" s="23" t="s">
        <v>385</v>
      </c>
      <c r="D4274" s="21"/>
    </row>
    <row r="4275" spans="1:4" ht="12.75" customHeight="1" x14ac:dyDescent="0.2">
      <c r="A4275" s="21"/>
      <c r="B4275" s="3" t="s">
        <v>2</v>
      </c>
      <c r="C4275" s="23"/>
      <c r="D4275" s="21"/>
    </row>
    <row r="4276" spans="1:4" ht="12.75" customHeight="1" x14ac:dyDescent="0.2">
      <c r="A4276" s="21"/>
      <c r="B4276" s="3" t="s">
        <v>1840</v>
      </c>
      <c r="C4276" s="23" t="s">
        <v>178</v>
      </c>
      <c r="D4276" s="21"/>
    </row>
    <row r="4277" spans="1:4" ht="12.75" customHeight="1" x14ac:dyDescent="0.2">
      <c r="A4277" s="21"/>
      <c r="B4277" s="3" t="s">
        <v>9</v>
      </c>
      <c r="C4277" s="23" t="s">
        <v>135</v>
      </c>
      <c r="D4277" s="21"/>
    </row>
    <row r="4278" spans="1:4" ht="12.75" customHeight="1" x14ac:dyDescent="0.2">
      <c r="A4278" s="21"/>
      <c r="B4278" s="3" t="s">
        <v>11</v>
      </c>
      <c r="C4278" s="23" t="s">
        <v>279</v>
      </c>
      <c r="D4278" s="21"/>
    </row>
    <row r="4279" spans="1:4" ht="12.75" customHeight="1" x14ac:dyDescent="0.2">
      <c r="A4279" s="21"/>
      <c r="B4279" s="3" t="s">
        <v>16</v>
      </c>
      <c r="C4279" s="23"/>
      <c r="D4279" s="21"/>
    </row>
    <row r="4280" spans="1:4" ht="12.75" customHeight="1" x14ac:dyDescent="0.2">
      <c r="A4280" s="21"/>
      <c r="B4280" s="3" t="s">
        <v>17</v>
      </c>
      <c r="C4280" s="23" t="s">
        <v>19</v>
      </c>
      <c r="D4280" s="21"/>
    </row>
    <row r="4281" spans="1:4" ht="12.75" customHeight="1" x14ac:dyDescent="0.2">
      <c r="A4281" s="21"/>
      <c r="B4281" s="20" t="s">
        <v>18</v>
      </c>
      <c r="C4281" s="8" t="s">
        <v>44</v>
      </c>
      <c r="D4281" s="1" t="str">
        <f>HYPERLINK("javascript:void(0)","arany manasisak")</f>
        <v>arany manasisak</v>
      </c>
    </row>
    <row r="4282" spans="1:4" ht="12.75" customHeight="1" x14ac:dyDescent="0.2">
      <c r="A4282" s="21"/>
      <c r="B4282" s="21"/>
      <c r="C4282" s="8" t="s">
        <v>139</v>
      </c>
      <c r="D4282" s="1" t="str">
        <f>HYPERLINK("javascript:void(0)","lámpás")</f>
        <v>lámpás</v>
      </c>
    </row>
    <row r="4283" spans="1:4" ht="12.75" customHeight="1" x14ac:dyDescent="0.2">
      <c r="A4283" s="21"/>
      <c r="B4283" s="21"/>
      <c r="C4283" s="8" t="s">
        <v>68</v>
      </c>
      <c r="D4283" s="1" t="str">
        <f>HYPERLINK("javascript:void(0)","csáphárító")</f>
        <v>csáphárító</v>
      </c>
    </row>
    <row r="4284" spans="1:4" ht="12.75" customHeight="1" x14ac:dyDescent="0.2">
      <c r="A4284" s="21"/>
      <c r="B4284" s="2"/>
      <c r="C4284" s="7"/>
      <c r="D4284" s="7"/>
    </row>
    <row r="4285" spans="1:4" ht="12.75" customHeight="1" x14ac:dyDescent="0.2">
      <c r="A4285" s="21"/>
      <c r="B4285" s="2"/>
      <c r="C4285" s="7"/>
      <c r="D4285" s="7"/>
    </row>
    <row r="4286" spans="1:4" ht="12.75" customHeight="1" x14ac:dyDescent="0.2">
      <c r="A4286" s="21"/>
      <c r="B4286" s="2"/>
      <c r="C4286" s="7"/>
      <c r="D4286" s="7"/>
    </row>
    <row r="4287" spans="1:4" ht="12.75" customHeight="1" x14ac:dyDescent="0.2">
      <c r="A4287" s="21"/>
      <c r="B4287" s="2"/>
      <c r="C4287" s="7"/>
      <c r="D4287" s="7"/>
    </row>
    <row r="4288" spans="1:4" ht="12.75" customHeight="1" x14ac:dyDescent="0.2">
      <c r="A4288" s="5"/>
      <c r="B4288" s="2"/>
      <c r="C4288" s="7"/>
      <c r="D4288" s="7"/>
    </row>
    <row r="4289" spans="1:4" ht="12.75" customHeight="1" x14ac:dyDescent="0.2">
      <c r="A4289" s="22" t="str">
        <f>HYPERLINK("javascript:void(0)","smaragd manafejpánt")</f>
        <v>smaragd manafejpánt</v>
      </c>
      <c r="B4289" s="21"/>
      <c r="C4289" s="21"/>
      <c r="D4289" s="21"/>
    </row>
    <row r="4290" spans="1:4" ht="12.75" customHeight="1" x14ac:dyDescent="0.2">
      <c r="A4290" s="20"/>
      <c r="B4290" s="2"/>
      <c r="C4290" s="7"/>
      <c r="D4290" s="7"/>
    </row>
    <row r="4291" spans="1:4" ht="12.75" customHeight="1" x14ac:dyDescent="0.2">
      <c r="A4291" s="21"/>
      <c r="B4291" s="3" t="s">
        <v>0</v>
      </c>
      <c r="C4291" s="23" t="s">
        <v>385</v>
      </c>
      <c r="D4291" s="21"/>
    </row>
    <row r="4292" spans="1:4" ht="12.75" customHeight="1" x14ac:dyDescent="0.2">
      <c r="A4292" s="21"/>
      <c r="B4292" s="3" t="s">
        <v>2</v>
      </c>
      <c r="C4292" s="23"/>
      <c r="D4292" s="21"/>
    </row>
    <row r="4293" spans="1:4" ht="12.75" customHeight="1" x14ac:dyDescent="0.2">
      <c r="A4293" s="21"/>
      <c r="B4293" s="3" t="s">
        <v>1840</v>
      </c>
      <c r="C4293" s="23" t="s">
        <v>206</v>
      </c>
      <c r="D4293" s="21"/>
    </row>
    <row r="4294" spans="1:4" ht="12.75" customHeight="1" x14ac:dyDescent="0.2">
      <c r="A4294" s="21"/>
      <c r="B4294" s="3" t="s">
        <v>9</v>
      </c>
      <c r="C4294" s="23" t="s">
        <v>93</v>
      </c>
      <c r="D4294" s="21"/>
    </row>
    <row r="4295" spans="1:4" ht="12.75" customHeight="1" x14ac:dyDescent="0.2">
      <c r="A4295" s="21"/>
      <c r="B4295" s="3" t="s">
        <v>11</v>
      </c>
      <c r="C4295" s="23" t="s">
        <v>279</v>
      </c>
      <c r="D4295" s="21"/>
    </row>
    <row r="4296" spans="1:4" ht="12.75" customHeight="1" x14ac:dyDescent="0.2">
      <c r="A4296" s="21"/>
      <c r="B4296" s="3" t="s">
        <v>16</v>
      </c>
      <c r="C4296" s="23"/>
      <c r="D4296" s="21"/>
    </row>
    <row r="4297" spans="1:4" ht="12.75" customHeight="1" x14ac:dyDescent="0.2">
      <c r="A4297" s="21"/>
      <c r="B4297" s="3" t="s">
        <v>17</v>
      </c>
      <c r="C4297" s="23" t="s">
        <v>19</v>
      </c>
      <c r="D4297" s="21"/>
    </row>
    <row r="4298" spans="1:4" ht="12.75" customHeight="1" x14ac:dyDescent="0.2">
      <c r="A4298" s="21"/>
      <c r="B4298" s="20" t="s">
        <v>18</v>
      </c>
      <c r="C4298" s="8" t="s">
        <v>44</v>
      </c>
      <c r="D4298" s="1" t="str">
        <f>HYPERLINK("javascript:void(0)","arany manafejpánt")</f>
        <v>arany manafejpánt</v>
      </c>
    </row>
    <row r="4299" spans="1:4" ht="12.75" customHeight="1" x14ac:dyDescent="0.2">
      <c r="A4299" s="21"/>
      <c r="B4299" s="21"/>
      <c r="C4299" s="8" t="s">
        <v>139</v>
      </c>
      <c r="D4299" s="1" t="str">
        <f>HYPERLINK("javascript:void(0)","lámpás")</f>
        <v>lámpás</v>
      </c>
    </row>
    <row r="4300" spans="1:4" ht="12.75" customHeight="1" x14ac:dyDescent="0.2">
      <c r="A4300" s="21"/>
      <c r="B4300" s="21"/>
      <c r="C4300" s="8" t="s">
        <v>68</v>
      </c>
      <c r="D4300" s="1" t="str">
        <f>HYPERLINK("javascript:void(0)","démonfog")</f>
        <v>démonfog</v>
      </c>
    </row>
    <row r="4301" spans="1:4" ht="12.75" customHeight="1" x14ac:dyDescent="0.2">
      <c r="A4301" s="21"/>
      <c r="B4301" s="2"/>
      <c r="C4301" s="7"/>
      <c r="D4301" s="7"/>
    </row>
    <row r="4302" spans="1:4" ht="12.75" customHeight="1" x14ac:dyDescent="0.2">
      <c r="A4302" s="21"/>
      <c r="B4302" s="2"/>
      <c r="C4302" s="7"/>
      <c r="D4302" s="7"/>
    </row>
    <row r="4303" spans="1:4" ht="12.75" customHeight="1" x14ac:dyDescent="0.2">
      <c r="A4303" s="21"/>
      <c r="B4303" s="2"/>
      <c r="C4303" s="7"/>
      <c r="D4303" s="7"/>
    </row>
    <row r="4304" spans="1:4" ht="12.75" customHeight="1" x14ac:dyDescent="0.2">
      <c r="A4304" s="21"/>
      <c r="B4304" s="2"/>
      <c r="C4304" s="7"/>
      <c r="D4304" s="7"/>
    </row>
    <row r="4305" spans="1:4" ht="12.75" customHeight="1" x14ac:dyDescent="0.2">
      <c r="A4305" s="5"/>
      <c r="B4305" s="2"/>
      <c r="C4305" s="7"/>
      <c r="D4305" s="7"/>
    </row>
    <row r="4306" spans="1:4" ht="12.75" customHeight="1" x14ac:dyDescent="0.2">
      <c r="A4306" s="22" t="str">
        <f>HYPERLINK("javascript:void(0)","arany mellvért")</f>
        <v>arany mellvért</v>
      </c>
      <c r="B4306" s="21"/>
      <c r="C4306" s="21"/>
      <c r="D4306" s="21"/>
    </row>
    <row r="4307" spans="1:4" ht="12.75" customHeight="1" x14ac:dyDescent="0.2">
      <c r="A4307" s="20"/>
      <c r="B4307" s="2"/>
      <c r="C4307" s="7"/>
      <c r="D4307" s="7"/>
    </row>
    <row r="4308" spans="1:4" ht="12.75" customHeight="1" x14ac:dyDescent="0.2">
      <c r="A4308" s="21"/>
      <c r="B4308" s="3" t="s">
        <v>0</v>
      </c>
      <c r="C4308" s="23" t="s">
        <v>392</v>
      </c>
      <c r="D4308" s="21"/>
    </row>
    <row r="4309" spans="1:4" ht="12.75" customHeight="1" x14ac:dyDescent="0.2">
      <c r="A4309" s="21"/>
      <c r="B4309" s="3" t="s">
        <v>2</v>
      </c>
      <c r="C4309" s="23" t="s">
        <v>2322</v>
      </c>
      <c r="D4309" s="21"/>
    </row>
    <row r="4310" spans="1:4" ht="12.75" customHeight="1" x14ac:dyDescent="0.2">
      <c r="A4310" s="21"/>
      <c r="B4310" s="3" t="s">
        <v>1840</v>
      </c>
      <c r="C4310" s="23" t="s">
        <v>230</v>
      </c>
      <c r="D4310" s="21"/>
    </row>
    <row r="4311" spans="1:4" ht="12.75" customHeight="1" x14ac:dyDescent="0.2">
      <c r="A4311" s="21"/>
      <c r="B4311" s="3" t="s">
        <v>9</v>
      </c>
      <c r="C4311" s="23" t="s">
        <v>124</v>
      </c>
      <c r="D4311" s="21"/>
    </row>
    <row r="4312" spans="1:4" ht="12.75" customHeight="1" x14ac:dyDescent="0.2">
      <c r="A4312" s="21"/>
      <c r="B4312" s="3" t="s">
        <v>11</v>
      </c>
      <c r="C4312" s="23" t="s">
        <v>397</v>
      </c>
      <c r="D4312" s="21"/>
    </row>
    <row r="4313" spans="1:4" ht="12.75" customHeight="1" x14ac:dyDescent="0.2">
      <c r="A4313" s="21"/>
      <c r="B4313" s="3" t="s">
        <v>16</v>
      </c>
      <c r="C4313" s="23"/>
      <c r="D4313" s="21"/>
    </row>
    <row r="4314" spans="1:4" ht="12.75" customHeight="1" x14ac:dyDescent="0.2">
      <c r="A4314" s="21"/>
      <c r="B4314" s="3" t="s">
        <v>17</v>
      </c>
      <c r="C4314" s="23" t="s">
        <v>19</v>
      </c>
      <c r="D4314" s="21"/>
    </row>
    <row r="4315" spans="1:4" ht="12.75" customHeight="1" x14ac:dyDescent="0.2">
      <c r="A4315" s="21"/>
      <c r="B4315" s="20" t="s">
        <v>18</v>
      </c>
      <c r="C4315" s="8" t="s">
        <v>44</v>
      </c>
      <c r="D4315" s="1" t="str">
        <f>HYPERLINK("javascript:void(0)","arany előlap")</f>
        <v>arany előlap</v>
      </c>
    </row>
    <row r="4316" spans="1:4" ht="12.75" customHeight="1" x14ac:dyDescent="0.2">
      <c r="A4316" s="21"/>
      <c r="B4316" s="21"/>
      <c r="C4316" s="8" t="s">
        <v>44</v>
      </c>
      <c r="D4316" s="1" t="str">
        <f>HYPERLINK("javascript:void(0)","réz mellvért")</f>
        <v>réz mellvért</v>
      </c>
    </row>
    <row r="4317" spans="1:4" ht="12.75" customHeight="1" x14ac:dyDescent="0.2">
      <c r="A4317" s="21"/>
      <c r="B4317" s="21"/>
      <c r="C4317" s="8" t="s">
        <v>44</v>
      </c>
      <c r="D4317" s="1" t="str">
        <f>HYPERLINK("javascript:void(0)","animált páncél")</f>
        <v>animált páncél</v>
      </c>
    </row>
    <row r="4318" spans="1:4" ht="12.75" customHeight="1" x14ac:dyDescent="0.2">
      <c r="A4318" s="21"/>
      <c r="B4318" s="2"/>
      <c r="C4318" s="7"/>
      <c r="D4318" s="7"/>
    </row>
    <row r="4319" spans="1:4" ht="12.75" customHeight="1" x14ac:dyDescent="0.2">
      <c r="A4319" s="21"/>
      <c r="B4319" s="2"/>
      <c r="C4319" s="7"/>
      <c r="D4319" s="7"/>
    </row>
    <row r="4320" spans="1:4" ht="12.75" customHeight="1" x14ac:dyDescent="0.2">
      <c r="A4320" s="21"/>
      <c r="B4320" s="2"/>
      <c r="C4320" s="7"/>
      <c r="D4320" s="7"/>
    </row>
    <row r="4321" spans="1:4" ht="12.75" customHeight="1" x14ac:dyDescent="0.2">
      <c r="A4321" s="21"/>
      <c r="B4321" s="2"/>
      <c r="C4321" s="7"/>
      <c r="D4321" s="7"/>
    </row>
    <row r="4322" spans="1:4" ht="12.75" customHeight="1" x14ac:dyDescent="0.2">
      <c r="A4322" s="5"/>
      <c r="B4322" s="2"/>
      <c r="C4322" s="7"/>
      <c r="D4322" s="7"/>
    </row>
    <row r="4323" spans="1:4" ht="12.75" customHeight="1" x14ac:dyDescent="0.2">
      <c r="A4323" s="22" t="str">
        <f>HYPERLINK("javascript:void(0)","rémsisak")</f>
        <v>rémsisak</v>
      </c>
      <c r="B4323" s="21"/>
      <c r="C4323" s="21"/>
      <c r="D4323" s="21"/>
    </row>
    <row r="4324" spans="1:4" ht="12.75" customHeight="1" x14ac:dyDescent="0.2">
      <c r="A4324" s="20"/>
      <c r="B4324" s="2"/>
      <c r="C4324" s="7"/>
      <c r="D4324" s="7"/>
    </row>
    <row r="4325" spans="1:4" ht="12.75" customHeight="1" x14ac:dyDescent="0.2">
      <c r="A4325" s="21"/>
      <c r="B4325" s="3" t="s">
        <v>0</v>
      </c>
      <c r="C4325" s="23" t="s">
        <v>392</v>
      </c>
      <c r="D4325" s="21"/>
    </row>
    <row r="4326" spans="1:4" ht="12.75" customHeight="1" x14ac:dyDescent="0.2">
      <c r="A4326" s="21"/>
      <c r="B4326" s="3" t="s">
        <v>2</v>
      </c>
      <c r="C4326" s="23"/>
      <c r="D4326" s="21"/>
    </row>
    <row r="4327" spans="1:4" ht="12.75" customHeight="1" x14ac:dyDescent="0.2">
      <c r="A4327" s="21"/>
      <c r="B4327" s="3" t="s">
        <v>1840</v>
      </c>
      <c r="C4327" s="23" t="s">
        <v>65</v>
      </c>
      <c r="D4327" s="21"/>
    </row>
    <row r="4328" spans="1:4" ht="12.75" customHeight="1" x14ac:dyDescent="0.2">
      <c r="A4328" s="21"/>
      <c r="B4328" s="3" t="s">
        <v>9</v>
      </c>
      <c r="C4328" s="23" t="s">
        <v>147</v>
      </c>
      <c r="D4328" s="21"/>
    </row>
    <row r="4329" spans="1:4" ht="12.75" customHeight="1" x14ac:dyDescent="0.2">
      <c r="A4329" s="21"/>
      <c r="B4329" s="3" t="s">
        <v>11</v>
      </c>
      <c r="C4329" s="23" t="s">
        <v>397</v>
      </c>
      <c r="D4329" s="21"/>
    </row>
    <row r="4330" spans="1:4" ht="12.75" customHeight="1" x14ac:dyDescent="0.2">
      <c r="A4330" s="21"/>
      <c r="B4330" s="3" t="s">
        <v>16</v>
      </c>
      <c r="C4330" s="23"/>
      <c r="D4330" s="21"/>
    </row>
    <row r="4331" spans="1:4" ht="12.75" customHeight="1" x14ac:dyDescent="0.2">
      <c r="A4331" s="21"/>
      <c r="B4331" s="3" t="s">
        <v>17</v>
      </c>
      <c r="C4331" s="23" t="s">
        <v>19</v>
      </c>
      <c r="D4331" s="21"/>
    </row>
    <row r="4332" spans="1:4" ht="12.75" customHeight="1" x14ac:dyDescent="0.2">
      <c r="A4332" s="21"/>
      <c r="B4332" s="20" t="s">
        <v>18</v>
      </c>
      <c r="C4332" s="8" t="s">
        <v>290</v>
      </c>
      <c r="D4332" s="1" t="str">
        <f>HYPERLINK("javascript:void(0)","nekroige")</f>
        <v>nekroige</v>
      </c>
    </row>
    <row r="4333" spans="1:4" ht="12.75" customHeight="1" x14ac:dyDescent="0.2">
      <c r="A4333" s="21"/>
      <c r="B4333" s="21"/>
      <c r="C4333" s="8" t="s">
        <v>290</v>
      </c>
      <c r="D4333" s="1" t="str">
        <f>HYPERLINK("javascript:void(0)","rémszem")</f>
        <v>rémszem</v>
      </c>
    </row>
    <row r="4334" spans="1:4" ht="12.75" customHeight="1" x14ac:dyDescent="0.2">
      <c r="A4334" s="21"/>
      <c r="B4334" s="21"/>
      <c r="C4334" s="8" t="s">
        <v>232</v>
      </c>
      <c r="D4334" s="1" t="str">
        <f>HYPERLINK("javascript:void(0)","kocka")</f>
        <v>kocka</v>
      </c>
    </row>
    <row r="4335" spans="1:4" ht="12.75" customHeight="1" x14ac:dyDescent="0.2">
      <c r="A4335" s="21"/>
      <c r="B4335" s="2"/>
      <c r="C4335" s="7"/>
      <c r="D4335" s="7"/>
    </row>
    <row r="4336" spans="1:4" ht="12.75" customHeight="1" x14ac:dyDescent="0.2">
      <c r="A4336" s="21"/>
      <c r="B4336" s="2"/>
      <c r="C4336" s="7"/>
      <c r="D4336" s="7"/>
    </row>
    <row r="4337" spans="1:4" ht="12.75" customHeight="1" x14ac:dyDescent="0.2">
      <c r="A4337" s="21"/>
      <c r="B4337" s="2"/>
      <c r="C4337" s="7"/>
      <c r="D4337" s="7"/>
    </row>
    <row r="4338" spans="1:4" ht="12.75" customHeight="1" x14ac:dyDescent="0.2">
      <c r="A4338" s="21"/>
      <c r="B4338" s="2"/>
      <c r="C4338" s="7"/>
      <c r="D4338" s="7"/>
    </row>
    <row r="4339" spans="1:4" ht="12.75" customHeight="1" x14ac:dyDescent="0.2">
      <c r="A4339" s="5"/>
      <c r="B4339" s="2"/>
      <c r="C4339" s="7"/>
      <c r="D4339" s="7"/>
    </row>
    <row r="4340" spans="1:4" ht="12.75" customHeight="1" x14ac:dyDescent="0.2">
      <c r="A4340" s="22" t="str">
        <f>HYPERLINK("javascript:void(0)","mágikus szandál")</f>
        <v>mágikus szandál</v>
      </c>
      <c r="B4340" s="21"/>
      <c r="C4340" s="21"/>
      <c r="D4340" s="21"/>
    </row>
    <row r="4341" spans="1:4" ht="12.75" customHeight="1" x14ac:dyDescent="0.2">
      <c r="A4341" s="20"/>
      <c r="B4341" s="2"/>
      <c r="C4341" s="7"/>
      <c r="D4341" s="7"/>
    </row>
    <row r="4342" spans="1:4" ht="12.75" customHeight="1" x14ac:dyDescent="0.2">
      <c r="A4342" s="21"/>
      <c r="B4342" s="3" t="s">
        <v>0</v>
      </c>
      <c r="C4342" s="23" t="s">
        <v>392</v>
      </c>
      <c r="D4342" s="21"/>
    </row>
    <row r="4343" spans="1:4" ht="12.75" customHeight="1" x14ac:dyDescent="0.2">
      <c r="A4343" s="21"/>
      <c r="B4343" s="3" t="s">
        <v>2</v>
      </c>
      <c r="C4343" s="23"/>
      <c r="D4343" s="21"/>
    </row>
    <row r="4344" spans="1:4" ht="12.75" customHeight="1" x14ac:dyDescent="0.2">
      <c r="A4344" s="21"/>
      <c r="B4344" s="3" t="s">
        <v>1840</v>
      </c>
      <c r="C4344" s="23" t="s">
        <v>239</v>
      </c>
      <c r="D4344" s="21"/>
    </row>
    <row r="4345" spans="1:4" ht="12.75" customHeight="1" x14ac:dyDescent="0.2">
      <c r="A4345" s="21"/>
      <c r="B4345" s="3" t="s">
        <v>9</v>
      </c>
      <c r="C4345" s="23" t="s">
        <v>30</v>
      </c>
      <c r="D4345" s="21"/>
    </row>
    <row r="4346" spans="1:4" ht="12.75" customHeight="1" x14ac:dyDescent="0.2">
      <c r="A4346" s="21"/>
      <c r="B4346" s="3" t="s">
        <v>11</v>
      </c>
      <c r="C4346" s="23" t="s">
        <v>427</v>
      </c>
      <c r="D4346" s="21"/>
    </row>
    <row r="4347" spans="1:4" ht="12.75" customHeight="1" x14ac:dyDescent="0.2">
      <c r="A4347" s="21"/>
      <c r="B4347" s="3" t="s">
        <v>16</v>
      </c>
      <c r="C4347" s="23"/>
      <c r="D4347" s="21"/>
    </row>
    <row r="4348" spans="1:4" ht="12.75" customHeight="1" x14ac:dyDescent="0.2">
      <c r="A4348" s="21"/>
      <c r="B4348" s="3" t="s">
        <v>17</v>
      </c>
      <c r="C4348" s="23" t="s">
        <v>19</v>
      </c>
      <c r="D4348" s="21"/>
    </row>
    <row r="4349" spans="1:4" ht="12.75" customHeight="1" x14ac:dyDescent="0.2">
      <c r="A4349" s="21"/>
      <c r="B4349" s="20" t="s">
        <v>18</v>
      </c>
      <c r="C4349" s="8" t="s">
        <v>44</v>
      </c>
      <c r="D4349" s="1" t="str">
        <f>HYPERLINK("javascript:void(0)","bűvös szandál")</f>
        <v>bűvös szandál</v>
      </c>
    </row>
    <row r="4350" spans="1:4" ht="12.75" customHeight="1" x14ac:dyDescent="0.2">
      <c r="A4350" s="21"/>
      <c r="B4350" s="21"/>
      <c r="C4350" s="8" t="s">
        <v>232</v>
      </c>
      <c r="D4350" s="1" t="str">
        <f>HYPERLINK("javascript:void(0)","haspók")</f>
        <v>haspók</v>
      </c>
    </row>
    <row r="4351" spans="1:4" ht="12.75" customHeight="1" x14ac:dyDescent="0.2">
      <c r="A4351" s="21"/>
      <c r="B4351" s="21"/>
      <c r="C4351" s="8" t="s">
        <v>117</v>
      </c>
      <c r="D4351" s="1" t="str">
        <f>HYPERLINK("javascript:void(0)","kígyócsörgő")</f>
        <v>kígyócsörgő</v>
      </c>
    </row>
    <row r="4352" spans="1:4" ht="12.75" customHeight="1" x14ac:dyDescent="0.2">
      <c r="A4352" s="21"/>
      <c r="B4352" s="2"/>
      <c r="C4352" s="7"/>
      <c r="D4352" s="7"/>
    </row>
    <row r="4353" spans="1:4" ht="12.75" customHeight="1" x14ac:dyDescent="0.2">
      <c r="A4353" s="21"/>
      <c r="B4353" s="2"/>
      <c r="C4353" s="7"/>
      <c r="D4353" s="7"/>
    </row>
    <row r="4354" spans="1:4" ht="12.75" customHeight="1" x14ac:dyDescent="0.2">
      <c r="A4354" s="21"/>
      <c r="B4354" s="2"/>
      <c r="C4354" s="7"/>
      <c r="D4354" s="7"/>
    </row>
    <row r="4355" spans="1:4" ht="12.75" customHeight="1" x14ac:dyDescent="0.2">
      <c r="A4355" s="21"/>
      <c r="B4355" s="2"/>
      <c r="C4355" s="7"/>
      <c r="D4355" s="7"/>
    </row>
    <row r="4356" spans="1:4" ht="12.75" customHeight="1" x14ac:dyDescent="0.2">
      <c r="A4356" s="5"/>
      <c r="B4356" s="2"/>
      <c r="C4356" s="7"/>
      <c r="D4356" s="7"/>
    </row>
    <row r="4357" spans="1:4" ht="12.75" customHeight="1" x14ac:dyDescent="0.2">
      <c r="A4357" s="22" t="str">
        <f>HYPERLINK("javascript:void(0)","fogazott pajzs")</f>
        <v>fogazott pajzs</v>
      </c>
      <c r="B4357" s="21"/>
      <c r="C4357" s="21"/>
      <c r="D4357" s="21"/>
    </row>
    <row r="4358" spans="1:4" ht="12.75" customHeight="1" x14ac:dyDescent="0.2">
      <c r="A4358" s="20"/>
      <c r="B4358" s="2"/>
      <c r="C4358" s="7"/>
      <c r="D4358" s="7"/>
    </row>
    <row r="4359" spans="1:4" ht="12.75" customHeight="1" x14ac:dyDescent="0.2">
      <c r="A4359" s="21"/>
      <c r="B4359" s="3" t="s">
        <v>0</v>
      </c>
      <c r="C4359" s="23" t="s">
        <v>392</v>
      </c>
      <c r="D4359" s="21"/>
    </row>
    <row r="4360" spans="1:4" ht="12.75" customHeight="1" x14ac:dyDescent="0.2">
      <c r="A4360" s="21"/>
      <c r="B4360" s="3" t="s">
        <v>2</v>
      </c>
      <c r="C4360" s="23" t="s">
        <v>1839</v>
      </c>
      <c r="D4360" s="21"/>
    </row>
    <row r="4361" spans="1:4" ht="12.75" customHeight="1" x14ac:dyDescent="0.2">
      <c r="A4361" s="21"/>
      <c r="B4361" s="3" t="s">
        <v>1840</v>
      </c>
      <c r="C4361" s="23" t="s">
        <v>302</v>
      </c>
      <c r="D4361" s="21"/>
    </row>
    <row r="4362" spans="1:4" ht="12.75" customHeight="1" x14ac:dyDescent="0.2">
      <c r="A4362" s="21"/>
      <c r="B4362" s="3" t="s">
        <v>9</v>
      </c>
      <c r="C4362" s="23" t="s">
        <v>198</v>
      </c>
      <c r="D4362" s="21"/>
    </row>
    <row r="4363" spans="1:4" ht="12.75" customHeight="1" x14ac:dyDescent="0.2">
      <c r="A4363" s="21"/>
      <c r="B4363" s="3" t="s">
        <v>11</v>
      </c>
      <c r="C4363" s="23" t="s">
        <v>483</v>
      </c>
      <c r="D4363" s="21"/>
    </row>
    <row r="4364" spans="1:4" ht="12.75" customHeight="1" x14ac:dyDescent="0.2">
      <c r="A4364" s="21"/>
      <c r="B4364" s="3" t="s">
        <v>16</v>
      </c>
      <c r="C4364" s="23"/>
      <c r="D4364" s="21"/>
    </row>
    <row r="4365" spans="1:4" ht="12.75" customHeight="1" x14ac:dyDescent="0.2">
      <c r="A4365" s="21"/>
      <c r="B4365" s="3" t="s">
        <v>17</v>
      </c>
      <c r="C4365" s="23" t="s">
        <v>19</v>
      </c>
      <c r="D4365" s="21"/>
    </row>
    <row r="4366" spans="1:4" ht="12.75" customHeight="1" x14ac:dyDescent="0.2">
      <c r="A4366" s="21"/>
      <c r="B4366" s="20" t="s">
        <v>18</v>
      </c>
      <c r="C4366" s="8" t="s">
        <v>44</v>
      </c>
      <c r="D4366" s="1" t="str">
        <f>HYPERLINK("javascript:void(0)","kristálypajzs")</f>
        <v>kristálypajzs</v>
      </c>
    </row>
    <row r="4367" spans="1:4" ht="12.75" customHeight="1" x14ac:dyDescent="0.2">
      <c r="A4367" s="21"/>
      <c r="B4367" s="21"/>
      <c r="C4367" s="8" t="s">
        <v>98</v>
      </c>
      <c r="D4367" s="1" t="str">
        <f>HYPERLINK("javascript:void(0)","démonfog")</f>
        <v>démonfog</v>
      </c>
    </row>
    <row r="4368" spans="1:4" ht="12.75" customHeight="1" x14ac:dyDescent="0.2">
      <c r="A4368" s="21"/>
      <c r="B4368" s="21"/>
      <c r="C4368" s="8" t="s">
        <v>142</v>
      </c>
      <c r="D4368" s="1" t="str">
        <f>HYPERLINK("javascript:void(0)","kocka")</f>
        <v>kocka</v>
      </c>
    </row>
    <row r="4369" spans="1:4" ht="12.75" customHeight="1" x14ac:dyDescent="0.2">
      <c r="A4369" s="21"/>
      <c r="B4369" s="2"/>
      <c r="C4369" s="7"/>
      <c r="D4369" s="7"/>
    </row>
    <row r="4370" spans="1:4" ht="12.75" customHeight="1" x14ac:dyDescent="0.2">
      <c r="A4370" s="21"/>
      <c r="B4370" s="2"/>
      <c r="C4370" s="7"/>
      <c r="D4370" s="7"/>
    </row>
    <row r="4371" spans="1:4" ht="12.75" customHeight="1" x14ac:dyDescent="0.2">
      <c r="A4371" s="21"/>
      <c r="B4371" s="2"/>
      <c r="C4371" s="7"/>
      <c r="D4371" s="7"/>
    </row>
    <row r="4372" spans="1:4" ht="12.75" customHeight="1" x14ac:dyDescent="0.2">
      <c r="A4372" s="21"/>
      <c r="B4372" s="2"/>
      <c r="C4372" s="7"/>
      <c r="D4372" s="7"/>
    </row>
    <row r="4373" spans="1:4" ht="12.75" customHeight="1" x14ac:dyDescent="0.2">
      <c r="A4373" s="5"/>
      <c r="B4373" s="2"/>
      <c r="C4373" s="7"/>
      <c r="D4373" s="7"/>
    </row>
    <row r="4374" spans="1:4" ht="12.75" customHeight="1" x14ac:dyDescent="0.2">
      <c r="A4374" s="22" t="str">
        <f>HYPERLINK("javascript:void(0)","dracoacél pillepajzs")</f>
        <v>dracoacél pillepajzs</v>
      </c>
      <c r="B4374" s="21"/>
      <c r="C4374" s="21"/>
      <c r="D4374" s="21"/>
    </row>
    <row r="4375" spans="1:4" ht="12.75" customHeight="1" x14ac:dyDescent="0.2">
      <c r="A4375" s="20"/>
      <c r="B4375" s="2"/>
      <c r="C4375" s="7"/>
      <c r="D4375" s="7"/>
    </row>
    <row r="4376" spans="1:4" ht="12.75" customHeight="1" x14ac:dyDescent="0.2">
      <c r="A4376" s="21"/>
      <c r="B4376" s="3" t="s">
        <v>0</v>
      </c>
      <c r="C4376" s="23" t="s">
        <v>392</v>
      </c>
      <c r="D4376" s="21"/>
    </row>
    <row r="4377" spans="1:4" ht="12.75" customHeight="1" x14ac:dyDescent="0.2">
      <c r="A4377" s="21"/>
      <c r="B4377" s="3" t="s">
        <v>2</v>
      </c>
      <c r="C4377" s="23" t="s">
        <v>1839</v>
      </c>
      <c r="D4377" s="21"/>
    </row>
    <row r="4378" spans="1:4" ht="12.75" customHeight="1" x14ac:dyDescent="0.2">
      <c r="A4378" s="21"/>
      <c r="B4378" s="3" t="s">
        <v>1840</v>
      </c>
      <c r="C4378" s="23" t="s">
        <v>302</v>
      </c>
      <c r="D4378" s="21"/>
    </row>
    <row r="4379" spans="1:4" ht="12.75" customHeight="1" x14ac:dyDescent="0.2">
      <c r="A4379" s="21"/>
      <c r="B4379" s="3" t="s">
        <v>9</v>
      </c>
      <c r="C4379" s="23" t="s">
        <v>2050</v>
      </c>
      <c r="D4379" s="21"/>
    </row>
    <row r="4380" spans="1:4" ht="12.75" customHeight="1" x14ac:dyDescent="0.2">
      <c r="A4380" s="21"/>
      <c r="B4380" s="3" t="s">
        <v>11</v>
      </c>
      <c r="C4380" s="23" t="s">
        <v>497</v>
      </c>
      <c r="D4380" s="21"/>
    </row>
    <row r="4381" spans="1:4" ht="12.75" customHeight="1" x14ac:dyDescent="0.2">
      <c r="A4381" s="21"/>
      <c r="B4381" s="3" t="s">
        <v>16</v>
      </c>
      <c r="C4381" s="23"/>
      <c r="D4381" s="21"/>
    </row>
    <row r="4382" spans="1:4" ht="12.75" customHeight="1" x14ac:dyDescent="0.2">
      <c r="A4382" s="21"/>
      <c r="B4382" s="3" t="s">
        <v>17</v>
      </c>
      <c r="C4382" s="23" t="s">
        <v>19</v>
      </c>
      <c r="D4382" s="21"/>
    </row>
    <row r="4383" spans="1:4" ht="12.75" customHeight="1" x14ac:dyDescent="0.2">
      <c r="A4383" s="21"/>
      <c r="B4383" s="20" t="s">
        <v>18</v>
      </c>
      <c r="C4383" s="8" t="s">
        <v>44</v>
      </c>
      <c r="D4383" s="1" t="str">
        <f>HYPERLINK("javascript:void(0)","fogazott pajzs")</f>
        <v>fogazott pajzs</v>
      </c>
    </row>
    <row r="4384" spans="1:4" ht="12.75" customHeight="1" x14ac:dyDescent="0.2">
      <c r="A4384" s="21"/>
      <c r="B4384" s="21"/>
      <c r="C4384" s="8" t="s">
        <v>309</v>
      </c>
      <c r="D4384" s="1" t="str">
        <f>HYPERLINK("javascript:void(0)","sárkány szarv")</f>
        <v>sárkány szarv</v>
      </c>
    </row>
    <row r="4385" spans="1:4" ht="12.75" customHeight="1" x14ac:dyDescent="0.2">
      <c r="A4385" s="21"/>
      <c r="B4385" s="21"/>
      <c r="C4385" s="8" t="s">
        <v>117</v>
      </c>
      <c r="D4385" s="1" t="str">
        <f>HYPERLINK("javascript:void(0)","haspók")</f>
        <v>haspók</v>
      </c>
    </row>
    <row r="4386" spans="1:4" ht="12.75" customHeight="1" x14ac:dyDescent="0.2">
      <c r="A4386" s="21"/>
      <c r="B4386" s="2"/>
      <c r="C4386" s="7"/>
      <c r="D4386" s="7"/>
    </row>
    <row r="4387" spans="1:4" ht="12.75" customHeight="1" x14ac:dyDescent="0.2">
      <c r="A4387" s="21"/>
      <c r="B4387" s="2"/>
      <c r="C4387" s="7"/>
      <c r="D4387" s="7"/>
    </row>
    <row r="4388" spans="1:4" ht="12.75" customHeight="1" x14ac:dyDescent="0.2">
      <c r="A4388" s="21"/>
      <c r="B4388" s="2"/>
      <c r="C4388" s="7"/>
      <c r="D4388" s="7"/>
    </row>
    <row r="4389" spans="1:4" ht="12.75" customHeight="1" x14ac:dyDescent="0.2">
      <c r="A4389" s="21"/>
      <c r="B4389" s="2"/>
      <c r="C4389" s="7"/>
      <c r="D4389" s="7"/>
    </row>
    <row r="4390" spans="1:4" ht="12.75" customHeight="1" x14ac:dyDescent="0.2">
      <c r="A4390" s="5"/>
      <c r="B4390" s="2"/>
      <c r="C4390" s="7"/>
      <c r="D4390" s="7"/>
    </row>
    <row r="4391" spans="1:4" ht="12.75" customHeight="1" x14ac:dyDescent="0.2">
      <c r="A4391" s="22" t="str">
        <f>HYPERLINK("javascript:void(0)","arany antigrav csizma")</f>
        <v>arany antigrav csizma</v>
      </c>
      <c r="B4391" s="21"/>
      <c r="C4391" s="21"/>
      <c r="D4391" s="21"/>
    </row>
    <row r="4392" spans="1:4" ht="12.75" customHeight="1" x14ac:dyDescent="0.2">
      <c r="A4392" s="20"/>
      <c r="B4392" s="2"/>
      <c r="C4392" s="7"/>
      <c r="D4392" s="7"/>
    </row>
    <row r="4393" spans="1:4" ht="12.75" customHeight="1" x14ac:dyDescent="0.2">
      <c r="A4393" s="21"/>
      <c r="B4393" s="3" t="s">
        <v>0</v>
      </c>
      <c r="C4393" s="23" t="s">
        <v>392</v>
      </c>
      <c r="D4393" s="21"/>
    </row>
    <row r="4394" spans="1:4" ht="12.75" customHeight="1" x14ac:dyDescent="0.2">
      <c r="A4394" s="21"/>
      <c r="B4394" s="3" t="s">
        <v>2</v>
      </c>
      <c r="C4394" s="23"/>
      <c r="D4394" s="21"/>
    </row>
    <row r="4395" spans="1:4" ht="12.75" customHeight="1" x14ac:dyDescent="0.2">
      <c r="A4395" s="21"/>
      <c r="B4395" s="3" t="s">
        <v>1840</v>
      </c>
      <c r="C4395" s="23" t="s">
        <v>219</v>
      </c>
      <c r="D4395" s="21"/>
    </row>
    <row r="4396" spans="1:4" ht="12.75" customHeight="1" x14ac:dyDescent="0.2">
      <c r="A4396" s="21"/>
      <c r="B4396" s="3" t="s">
        <v>9</v>
      </c>
      <c r="C4396" s="23" t="s">
        <v>626</v>
      </c>
      <c r="D4396" s="21"/>
    </row>
    <row r="4397" spans="1:4" ht="12.75" customHeight="1" x14ac:dyDescent="0.2">
      <c r="A4397" s="21"/>
      <c r="B4397" s="3" t="s">
        <v>11</v>
      </c>
      <c r="C4397" s="23" t="s">
        <v>23</v>
      </c>
      <c r="D4397" s="21"/>
    </row>
    <row r="4398" spans="1:4" ht="12.75" customHeight="1" x14ac:dyDescent="0.2">
      <c r="A4398" s="21"/>
      <c r="B4398" s="3" t="s">
        <v>16</v>
      </c>
      <c r="C4398" s="23"/>
      <c r="D4398" s="21"/>
    </row>
    <row r="4399" spans="1:4" ht="12.75" customHeight="1" x14ac:dyDescent="0.2">
      <c r="A4399" s="21"/>
      <c r="B4399" s="3" t="s">
        <v>17</v>
      </c>
      <c r="C4399" s="23" t="s">
        <v>19</v>
      </c>
      <c r="D4399" s="21"/>
    </row>
    <row r="4400" spans="1:4" ht="25.5" customHeight="1" x14ac:dyDescent="0.2">
      <c r="A4400" s="21"/>
      <c r="B4400" s="20" t="s">
        <v>18</v>
      </c>
      <c r="C4400" s="8" t="s">
        <v>44</v>
      </c>
      <c r="D4400" s="1" t="str">
        <f>HYPERLINK("javascript:void(0)","ezüst antigrav csizma")</f>
        <v>ezüst antigrav csizma</v>
      </c>
    </row>
    <row r="4401" spans="1:4" ht="12.75" customHeight="1" x14ac:dyDescent="0.2">
      <c r="A4401" s="21"/>
      <c r="B4401" s="21"/>
      <c r="C4401" s="8" t="s">
        <v>139</v>
      </c>
      <c r="D4401" s="1" t="str">
        <f>HYPERLINK("javascript:void(0)","kocka")</f>
        <v>kocka</v>
      </c>
    </row>
    <row r="4402" spans="1:4" ht="12.75" customHeight="1" x14ac:dyDescent="0.2">
      <c r="A4402" s="21"/>
      <c r="B4402" s="21"/>
      <c r="C4402" s="8" t="s">
        <v>382</v>
      </c>
      <c r="D4402" s="1" t="str">
        <f>HYPERLINK("javascript:void(0)","nekroige")</f>
        <v>nekroige</v>
      </c>
    </row>
    <row r="4403" spans="1:4" ht="12.75" customHeight="1" x14ac:dyDescent="0.2">
      <c r="A4403" s="21"/>
      <c r="B4403" s="2"/>
      <c r="C4403" s="7"/>
      <c r="D4403" s="7"/>
    </row>
    <row r="4404" spans="1:4" ht="12.75" customHeight="1" x14ac:dyDescent="0.2">
      <c r="A4404" s="21"/>
      <c r="B4404" s="2"/>
      <c r="C4404" s="7"/>
      <c r="D4404" s="7"/>
    </row>
    <row r="4405" spans="1:4" ht="12.75" customHeight="1" x14ac:dyDescent="0.2">
      <c r="A4405" s="21"/>
      <c r="B4405" s="2"/>
      <c r="C4405" s="7"/>
      <c r="D4405" s="7"/>
    </row>
    <row r="4406" spans="1:4" ht="12.75" customHeight="1" x14ac:dyDescent="0.2">
      <c r="A4406" s="21"/>
      <c r="B4406" s="2"/>
      <c r="C4406" s="7"/>
      <c r="D4406" s="7"/>
    </row>
    <row r="4407" spans="1:4" ht="12.75" customHeight="1" x14ac:dyDescent="0.2">
      <c r="A4407" s="5"/>
      <c r="B4407" s="2"/>
      <c r="C4407" s="7"/>
      <c r="D4407" s="7"/>
    </row>
    <row r="4408" spans="1:4" ht="12.75" customHeight="1" x14ac:dyDescent="0.2">
      <c r="A4408" s="22" t="str">
        <f>HYPERLINK("javascript:void(0)","bronz mellvért")</f>
        <v>bronz mellvért</v>
      </c>
      <c r="B4408" s="21"/>
      <c r="C4408" s="21"/>
      <c r="D4408" s="21"/>
    </row>
    <row r="4409" spans="1:4" ht="12.75" customHeight="1" x14ac:dyDescent="0.2">
      <c r="A4409" s="20"/>
      <c r="B4409" s="2"/>
      <c r="C4409" s="7"/>
      <c r="D4409" s="7"/>
    </row>
    <row r="4410" spans="1:4" ht="12.75" customHeight="1" x14ac:dyDescent="0.2">
      <c r="A4410" s="21"/>
      <c r="B4410" s="3" t="s">
        <v>0</v>
      </c>
      <c r="C4410" s="23" t="s">
        <v>192</v>
      </c>
      <c r="D4410" s="21"/>
    </row>
    <row r="4411" spans="1:4" ht="12.75" customHeight="1" x14ac:dyDescent="0.2">
      <c r="A4411" s="21"/>
      <c r="B4411" s="3" t="s">
        <v>2</v>
      </c>
      <c r="C4411" s="23" t="s">
        <v>2322</v>
      </c>
      <c r="D4411" s="21"/>
    </row>
    <row r="4412" spans="1:4" ht="12.75" customHeight="1" x14ac:dyDescent="0.2">
      <c r="A4412" s="21"/>
      <c r="B4412" s="3" t="s">
        <v>1840</v>
      </c>
      <c r="C4412" s="23" t="s">
        <v>1270</v>
      </c>
      <c r="D4412" s="21"/>
    </row>
    <row r="4413" spans="1:4" ht="12.75" customHeight="1" x14ac:dyDescent="0.2">
      <c r="A4413" s="21"/>
      <c r="B4413" s="3" t="s">
        <v>9</v>
      </c>
      <c r="C4413" s="23" t="s">
        <v>75</v>
      </c>
      <c r="D4413" s="21"/>
    </row>
    <row r="4414" spans="1:4" ht="12.75" customHeight="1" x14ac:dyDescent="0.2">
      <c r="A4414" s="21"/>
      <c r="B4414" s="3" t="s">
        <v>11</v>
      </c>
      <c r="C4414" s="23" t="s">
        <v>414</v>
      </c>
      <c r="D4414" s="21"/>
    </row>
    <row r="4415" spans="1:4" ht="12.75" customHeight="1" x14ac:dyDescent="0.2">
      <c r="A4415" s="21"/>
      <c r="B4415" s="3" t="s">
        <v>16</v>
      </c>
      <c r="C4415" s="23"/>
      <c r="D4415" s="21"/>
    </row>
    <row r="4416" spans="1:4" ht="12.75" customHeight="1" x14ac:dyDescent="0.2">
      <c r="A4416" s="21"/>
      <c r="B4416" s="3" t="s">
        <v>17</v>
      </c>
      <c r="C4416" s="23" t="s">
        <v>19</v>
      </c>
      <c r="D4416" s="21"/>
    </row>
    <row r="4417" spans="1:4" ht="12.75" customHeight="1" x14ac:dyDescent="0.2">
      <c r="A4417" s="21"/>
      <c r="B4417" s="20" t="s">
        <v>18</v>
      </c>
      <c r="C4417" s="8" t="s">
        <v>67</v>
      </c>
      <c r="D4417" s="1" t="str">
        <f>HYPERLINK("javascript:void(0)","bronzrög")</f>
        <v>bronzrög</v>
      </c>
    </row>
    <row r="4418" spans="1:4" ht="12.75" customHeight="1" x14ac:dyDescent="0.2">
      <c r="A4418" s="21"/>
      <c r="B4418" s="21"/>
      <c r="C4418" s="8" t="s">
        <v>290</v>
      </c>
      <c r="D4418" s="1" t="str">
        <f>HYPERLINK("javascript:void(0)","lámpás")</f>
        <v>lámpás</v>
      </c>
    </row>
    <row r="4419" spans="1:4" ht="12.75" customHeight="1" x14ac:dyDescent="0.2">
      <c r="A4419" s="21"/>
      <c r="B4419" s="21"/>
      <c r="C4419" s="8" t="s">
        <v>369</v>
      </c>
      <c r="D4419" s="1" t="str">
        <f>HYPERLINK("javascript:void(0)","mantüske")</f>
        <v>mantüske</v>
      </c>
    </row>
    <row r="4420" spans="1:4" ht="12.75" customHeight="1" x14ac:dyDescent="0.2">
      <c r="A4420" s="21"/>
      <c r="B4420" s="2"/>
      <c r="C4420" s="7"/>
      <c r="D4420" s="7"/>
    </row>
    <row r="4421" spans="1:4" ht="12.75" customHeight="1" x14ac:dyDescent="0.2">
      <c r="A4421" s="21"/>
      <c r="B4421" s="2"/>
      <c r="C4421" s="7"/>
      <c r="D4421" s="7"/>
    </row>
    <row r="4422" spans="1:4" ht="12.75" customHeight="1" x14ac:dyDescent="0.2">
      <c r="A4422" s="21"/>
      <c r="B4422" s="2"/>
      <c r="C4422" s="7"/>
      <c r="D4422" s="7"/>
    </row>
    <row r="4423" spans="1:4" ht="12.75" customHeight="1" x14ac:dyDescent="0.2">
      <c r="A4423" s="21"/>
      <c r="B4423" s="2"/>
      <c r="C4423" s="7"/>
      <c r="D4423" s="7"/>
    </row>
    <row r="4424" spans="1:4" ht="12.75" customHeight="1" x14ac:dyDescent="0.2">
      <c r="A4424" s="5"/>
      <c r="B4424" s="2"/>
      <c r="C4424" s="7"/>
      <c r="D4424" s="7"/>
    </row>
    <row r="4425" spans="1:4" ht="12.75" customHeight="1" x14ac:dyDescent="0.2">
      <c r="A4425" s="22" t="str">
        <f>HYPERLINK("javascript:void(0)","tüskesisak")</f>
        <v>tüskesisak</v>
      </c>
      <c r="B4425" s="21"/>
      <c r="C4425" s="21"/>
      <c r="D4425" s="21"/>
    </row>
    <row r="4426" spans="1:4" ht="12.75" customHeight="1" x14ac:dyDescent="0.2">
      <c r="A4426" s="20"/>
      <c r="B4426" s="2"/>
      <c r="C4426" s="7"/>
      <c r="D4426" s="7"/>
    </row>
    <row r="4427" spans="1:4" ht="12.75" customHeight="1" x14ac:dyDescent="0.2">
      <c r="A4427" s="21"/>
      <c r="B4427" s="3" t="s">
        <v>0</v>
      </c>
      <c r="C4427" s="23" t="s">
        <v>192</v>
      </c>
      <c r="D4427" s="21"/>
    </row>
    <row r="4428" spans="1:4" ht="12.75" customHeight="1" x14ac:dyDescent="0.2">
      <c r="A4428" s="21"/>
      <c r="B4428" s="3" t="s">
        <v>2</v>
      </c>
      <c r="C4428" s="23"/>
      <c r="D4428" s="21"/>
    </row>
    <row r="4429" spans="1:4" ht="12.75" customHeight="1" x14ac:dyDescent="0.2">
      <c r="A4429" s="21"/>
      <c r="B4429" s="3" t="s">
        <v>1840</v>
      </c>
      <c r="C4429" s="23" t="s">
        <v>699</v>
      </c>
      <c r="D4429" s="21"/>
    </row>
    <row r="4430" spans="1:4" ht="12.75" customHeight="1" x14ac:dyDescent="0.2">
      <c r="A4430" s="21"/>
      <c r="B4430" s="3" t="s">
        <v>9</v>
      </c>
      <c r="C4430" s="23" t="s">
        <v>30</v>
      </c>
      <c r="D4430" s="21"/>
    </row>
    <row r="4431" spans="1:4" ht="12.75" customHeight="1" x14ac:dyDescent="0.2">
      <c r="A4431" s="21"/>
      <c r="B4431" s="3" t="s">
        <v>11</v>
      </c>
      <c r="C4431" s="23" t="s">
        <v>414</v>
      </c>
      <c r="D4431" s="21"/>
    </row>
    <row r="4432" spans="1:4" ht="12.75" customHeight="1" x14ac:dyDescent="0.2">
      <c r="A4432" s="21"/>
      <c r="B4432" s="3" t="s">
        <v>16</v>
      </c>
      <c r="C4432" s="23"/>
      <c r="D4432" s="21"/>
    </row>
    <row r="4433" spans="1:4" ht="12.75" customHeight="1" x14ac:dyDescent="0.2">
      <c r="A4433" s="21"/>
      <c r="B4433" s="3" t="s">
        <v>17</v>
      </c>
      <c r="C4433" s="23" t="s">
        <v>19</v>
      </c>
      <c r="D4433" s="21"/>
    </row>
    <row r="4434" spans="1:4" ht="12.75" customHeight="1" x14ac:dyDescent="0.2">
      <c r="A4434" s="21"/>
      <c r="B4434" s="20" t="s">
        <v>18</v>
      </c>
      <c r="C4434" s="8" t="s">
        <v>44</v>
      </c>
      <c r="D4434" s="1" t="str">
        <f>HYPERLINK("javascript:void(0)","rémsisak")</f>
        <v>rémsisak</v>
      </c>
    </row>
    <row r="4435" spans="1:4" ht="12.75" customHeight="1" x14ac:dyDescent="0.2">
      <c r="A4435" s="21"/>
      <c r="B4435" s="21"/>
      <c r="C4435" s="8" t="s">
        <v>756</v>
      </c>
      <c r="D4435" s="1" t="str">
        <f>HYPERLINK("javascript:void(0)","mantüske")</f>
        <v>mantüske</v>
      </c>
    </row>
    <row r="4436" spans="1:4" ht="12.75" customHeight="1" x14ac:dyDescent="0.2">
      <c r="A4436" s="21"/>
      <c r="B4436" s="21"/>
      <c r="C4436" s="8" t="s">
        <v>117</v>
      </c>
      <c r="D4436" s="1" t="str">
        <f>HYPERLINK("javascript:void(0)","kígyócsörgő")</f>
        <v>kígyócsörgő</v>
      </c>
    </row>
    <row r="4437" spans="1:4" ht="12.75" customHeight="1" x14ac:dyDescent="0.2">
      <c r="A4437" s="21"/>
      <c r="B4437" s="2"/>
      <c r="C4437" s="7"/>
      <c r="D4437" s="7"/>
    </row>
    <row r="4438" spans="1:4" ht="12.75" customHeight="1" x14ac:dyDescent="0.2">
      <c r="A4438" s="21"/>
      <c r="B4438" s="2"/>
      <c r="C4438" s="7"/>
      <c r="D4438" s="7"/>
    </row>
    <row r="4439" spans="1:4" ht="12.75" customHeight="1" x14ac:dyDescent="0.2">
      <c r="A4439" s="21"/>
      <c r="B4439" s="2"/>
      <c r="C4439" s="7"/>
      <c r="D4439" s="7"/>
    </row>
    <row r="4440" spans="1:4" ht="12.75" customHeight="1" x14ac:dyDescent="0.2">
      <c r="A4440" s="21"/>
      <c r="B4440" s="2"/>
      <c r="C4440" s="7"/>
      <c r="D4440" s="7"/>
    </row>
    <row r="4441" spans="1:4" ht="12.75" customHeight="1" x14ac:dyDescent="0.2">
      <c r="A4441" s="5"/>
      <c r="B4441" s="2"/>
      <c r="C4441" s="7"/>
      <c r="D4441" s="7"/>
    </row>
    <row r="4442" spans="1:4" ht="12.75" customHeight="1" x14ac:dyDescent="0.2">
      <c r="A4442" s="22" t="str">
        <f>HYPERLINK("javascript:void(0)","pillecsizma")</f>
        <v>pillecsizma</v>
      </c>
      <c r="B4442" s="21"/>
      <c r="C4442" s="21"/>
      <c r="D4442" s="21"/>
    </row>
    <row r="4443" spans="1:4" ht="12.75" customHeight="1" x14ac:dyDescent="0.2">
      <c r="A4443" s="20"/>
      <c r="B4443" s="2"/>
      <c r="C4443" s="7"/>
      <c r="D4443" s="7"/>
    </row>
    <row r="4444" spans="1:4" ht="12.75" customHeight="1" x14ac:dyDescent="0.2">
      <c r="A4444" s="21"/>
      <c r="B4444" s="3" t="s">
        <v>0</v>
      </c>
      <c r="C4444" s="23" t="s">
        <v>192</v>
      </c>
      <c r="D4444" s="21"/>
    </row>
    <row r="4445" spans="1:4" ht="12.75" customHeight="1" x14ac:dyDescent="0.2">
      <c r="A4445" s="21"/>
      <c r="B4445" s="3" t="s">
        <v>2</v>
      </c>
      <c r="C4445" s="23"/>
      <c r="D4445" s="21"/>
    </row>
    <row r="4446" spans="1:4" ht="12.75" customHeight="1" x14ac:dyDescent="0.2">
      <c r="A4446" s="21"/>
      <c r="B4446" s="3" t="s">
        <v>1840</v>
      </c>
      <c r="C4446" s="23" t="s">
        <v>245</v>
      </c>
      <c r="D4446" s="21"/>
    </row>
    <row r="4447" spans="1:4" ht="12.75" customHeight="1" x14ac:dyDescent="0.2">
      <c r="A4447" s="21"/>
      <c r="B4447" s="3" t="s">
        <v>9</v>
      </c>
      <c r="C4447" s="23" t="s">
        <v>53</v>
      </c>
      <c r="D4447" s="21"/>
    </row>
    <row r="4448" spans="1:4" ht="12.75" customHeight="1" x14ac:dyDescent="0.2">
      <c r="A4448" s="21"/>
      <c r="B4448" s="3" t="s">
        <v>11</v>
      </c>
      <c r="C4448" s="23" t="s">
        <v>437</v>
      </c>
      <c r="D4448" s="21"/>
    </row>
    <row r="4449" spans="1:4" ht="12.75" customHeight="1" x14ac:dyDescent="0.2">
      <c r="A4449" s="21"/>
      <c r="B4449" s="3" t="s">
        <v>16</v>
      </c>
      <c r="C4449" s="23"/>
      <c r="D4449" s="21"/>
    </row>
    <row r="4450" spans="1:4" ht="12.75" customHeight="1" x14ac:dyDescent="0.2">
      <c r="A4450" s="21"/>
      <c r="B4450" s="3" t="s">
        <v>17</v>
      </c>
      <c r="C4450" s="23" t="s">
        <v>19</v>
      </c>
      <c r="D4450" s="21"/>
    </row>
    <row r="4451" spans="1:4" ht="12.75" customHeight="1" x14ac:dyDescent="0.2">
      <c r="A4451" s="21"/>
      <c r="B4451" s="20" t="s">
        <v>18</v>
      </c>
      <c r="C4451" s="8" t="s">
        <v>44</v>
      </c>
      <c r="D4451" s="1" t="str">
        <f>HYPERLINK("javascript:void(0)","animált csizma")</f>
        <v>animált csizma</v>
      </c>
    </row>
    <row r="4452" spans="1:4" ht="12.75" customHeight="1" x14ac:dyDescent="0.2">
      <c r="A4452" s="21"/>
      <c r="B4452" s="21"/>
      <c r="C4452" s="8" t="s">
        <v>44</v>
      </c>
      <c r="D4452" s="1" t="str">
        <f>HYPERLINK("javascript:void(0)","mágikus szandál")</f>
        <v>mágikus szandál</v>
      </c>
    </row>
    <row r="4453" spans="1:4" ht="12.75" customHeight="1" x14ac:dyDescent="0.2">
      <c r="A4453" s="21"/>
      <c r="B4453" s="21"/>
      <c r="C4453" s="8" t="s">
        <v>398</v>
      </c>
      <c r="D4453" s="1" t="str">
        <f>HYPERLINK("javascript:void(0)","mantüske")</f>
        <v>mantüske</v>
      </c>
    </row>
    <row r="4454" spans="1:4" ht="12.75" customHeight="1" x14ac:dyDescent="0.2">
      <c r="A4454" s="21"/>
      <c r="B4454" s="2"/>
      <c r="C4454" s="7"/>
      <c r="D4454" s="7"/>
    </row>
    <row r="4455" spans="1:4" ht="12.75" customHeight="1" x14ac:dyDescent="0.2">
      <c r="A4455" s="21"/>
      <c r="B4455" s="2"/>
      <c r="C4455" s="7"/>
      <c r="D4455" s="7"/>
    </row>
    <row r="4456" spans="1:4" ht="12.75" customHeight="1" x14ac:dyDescent="0.2">
      <c r="A4456" s="21"/>
      <c r="B4456" s="2"/>
      <c r="C4456" s="7"/>
      <c r="D4456" s="7"/>
    </row>
    <row r="4457" spans="1:4" ht="12.75" customHeight="1" x14ac:dyDescent="0.2">
      <c r="A4457" s="21"/>
      <c r="B4457" s="2"/>
      <c r="C4457" s="7"/>
      <c r="D4457" s="7"/>
    </row>
    <row r="4458" spans="1:4" ht="12.75" customHeight="1" x14ac:dyDescent="0.2">
      <c r="A4458" s="5"/>
      <c r="B4458" s="2"/>
      <c r="C4458" s="7"/>
      <c r="D4458" s="7"/>
    </row>
    <row r="4459" spans="1:4" ht="12.75" customHeight="1" x14ac:dyDescent="0.2">
      <c r="A4459" s="22" t="str">
        <f>HYPERLINK("javascript:void(0)","fogazott testpajzs")</f>
        <v>fogazott testpajzs</v>
      </c>
      <c r="B4459" s="21"/>
      <c r="C4459" s="21"/>
      <c r="D4459" s="21"/>
    </row>
    <row r="4460" spans="1:4" ht="12.75" customHeight="1" x14ac:dyDescent="0.2">
      <c r="A4460" s="20"/>
      <c r="B4460" s="2"/>
      <c r="C4460" s="7"/>
      <c r="D4460" s="7"/>
    </row>
    <row r="4461" spans="1:4" ht="12.75" customHeight="1" x14ac:dyDescent="0.2">
      <c r="A4461" s="21"/>
      <c r="B4461" s="3" t="s">
        <v>0</v>
      </c>
      <c r="C4461" s="23" t="s">
        <v>192</v>
      </c>
      <c r="D4461" s="21"/>
    </row>
    <row r="4462" spans="1:4" ht="12.75" customHeight="1" x14ac:dyDescent="0.2">
      <c r="A4462" s="21"/>
      <c r="B4462" s="3" t="s">
        <v>2</v>
      </c>
      <c r="C4462" s="23" t="s">
        <v>1839</v>
      </c>
      <c r="D4462" s="21"/>
    </row>
    <row r="4463" spans="1:4" ht="12.75" customHeight="1" x14ac:dyDescent="0.2">
      <c r="A4463" s="21"/>
      <c r="B4463" s="3" t="s">
        <v>1840</v>
      </c>
      <c r="C4463" s="23" t="s">
        <v>181</v>
      </c>
      <c r="D4463" s="21"/>
    </row>
    <row r="4464" spans="1:4" ht="12.75" customHeight="1" x14ac:dyDescent="0.2">
      <c r="A4464" s="21"/>
      <c r="B4464" s="3" t="s">
        <v>9</v>
      </c>
      <c r="C4464" s="23" t="s">
        <v>300</v>
      </c>
      <c r="D4464" s="21"/>
    </row>
    <row r="4465" spans="1:4" ht="12.75" customHeight="1" x14ac:dyDescent="0.2">
      <c r="A4465" s="21"/>
      <c r="B4465" s="3" t="s">
        <v>11</v>
      </c>
      <c r="C4465" s="23" t="s">
        <v>488</v>
      </c>
      <c r="D4465" s="21"/>
    </row>
    <row r="4466" spans="1:4" ht="12.75" customHeight="1" x14ac:dyDescent="0.2">
      <c r="A4466" s="21"/>
      <c r="B4466" s="3" t="s">
        <v>16</v>
      </c>
      <c r="C4466" s="23"/>
      <c r="D4466" s="21"/>
    </row>
    <row r="4467" spans="1:4" ht="12.75" customHeight="1" x14ac:dyDescent="0.2">
      <c r="A4467" s="21"/>
      <c r="B4467" s="3" t="s">
        <v>17</v>
      </c>
      <c r="C4467" s="23" t="s">
        <v>19</v>
      </c>
      <c r="D4467" s="21"/>
    </row>
    <row r="4468" spans="1:4" ht="12.75" customHeight="1" x14ac:dyDescent="0.2">
      <c r="A4468" s="21"/>
      <c r="B4468" s="20" t="s">
        <v>18</v>
      </c>
      <c r="C4468" s="8" t="s">
        <v>44</v>
      </c>
      <c r="D4468" s="1" t="str">
        <f>HYPERLINK("javascript:void(0)","kristály testpajzs")</f>
        <v>kristály testpajzs</v>
      </c>
    </row>
    <row r="4469" spans="1:4" ht="12.75" customHeight="1" x14ac:dyDescent="0.2">
      <c r="A4469" s="21"/>
      <c r="B4469" s="21"/>
      <c r="C4469" s="8" t="s">
        <v>139</v>
      </c>
      <c r="D4469" s="1" t="str">
        <f>HYPERLINK("javascript:void(0)","démonfog")</f>
        <v>démonfog</v>
      </c>
    </row>
    <row r="4470" spans="1:4" ht="12.75" customHeight="1" x14ac:dyDescent="0.2">
      <c r="A4470" s="21"/>
      <c r="B4470" s="21"/>
      <c r="C4470" s="8" t="s">
        <v>280</v>
      </c>
      <c r="D4470" s="1" t="str">
        <f>HYPERLINK("javascript:void(0)","mantüske")</f>
        <v>mantüske</v>
      </c>
    </row>
    <row r="4471" spans="1:4" ht="12.75" customHeight="1" x14ac:dyDescent="0.2">
      <c r="A4471" s="21"/>
      <c r="B4471" s="2"/>
      <c r="C4471" s="7"/>
      <c r="D4471" s="7"/>
    </row>
    <row r="4472" spans="1:4" ht="12.75" customHeight="1" x14ac:dyDescent="0.2">
      <c r="A4472" s="21"/>
      <c r="B4472" s="2"/>
      <c r="C4472" s="7"/>
      <c r="D4472" s="7"/>
    </row>
    <row r="4473" spans="1:4" ht="12.75" customHeight="1" x14ac:dyDescent="0.2">
      <c r="A4473" s="21"/>
      <c r="B4473" s="2"/>
      <c r="C4473" s="7"/>
      <c r="D4473" s="7"/>
    </row>
    <row r="4474" spans="1:4" ht="12.75" customHeight="1" x14ac:dyDescent="0.2">
      <c r="A4474" s="21"/>
      <c r="B4474" s="2"/>
      <c r="C4474" s="7"/>
      <c r="D4474" s="7"/>
    </row>
    <row r="4475" spans="1:4" ht="12.75" customHeight="1" x14ac:dyDescent="0.2">
      <c r="A4475" s="5"/>
      <c r="B4475" s="2"/>
      <c r="C4475" s="7"/>
      <c r="D4475" s="7"/>
    </row>
    <row r="4476" spans="1:4" ht="12.75" customHeight="1" x14ac:dyDescent="0.2">
      <c r="A4476" s="22" t="str">
        <f>HYPERLINK("javascript:void(0)","elfacél pillepajzs")</f>
        <v>elfacél pillepajzs</v>
      </c>
      <c r="B4476" s="21"/>
      <c r="C4476" s="21"/>
      <c r="D4476" s="21"/>
    </row>
    <row r="4477" spans="1:4" ht="12.75" customHeight="1" x14ac:dyDescent="0.2">
      <c r="A4477" s="20"/>
      <c r="B4477" s="2"/>
      <c r="C4477" s="7"/>
      <c r="D4477" s="7"/>
    </row>
    <row r="4478" spans="1:4" ht="12.75" customHeight="1" x14ac:dyDescent="0.2">
      <c r="A4478" s="21"/>
      <c r="B4478" s="3" t="s">
        <v>0</v>
      </c>
      <c r="C4478" s="23" t="s">
        <v>192</v>
      </c>
      <c r="D4478" s="21"/>
    </row>
    <row r="4479" spans="1:4" ht="12.75" customHeight="1" x14ac:dyDescent="0.2">
      <c r="A4479" s="21"/>
      <c r="B4479" s="3" t="s">
        <v>2</v>
      </c>
      <c r="C4479" s="23" t="s">
        <v>1839</v>
      </c>
      <c r="D4479" s="21"/>
    </row>
    <row r="4480" spans="1:4" ht="12.75" customHeight="1" x14ac:dyDescent="0.2">
      <c r="A4480" s="21"/>
      <c r="B4480" s="3" t="s">
        <v>1840</v>
      </c>
      <c r="C4480" s="23" t="s">
        <v>181</v>
      </c>
      <c r="D4480" s="21"/>
    </row>
    <row r="4481" spans="1:4" ht="12.75" customHeight="1" x14ac:dyDescent="0.2">
      <c r="A4481" s="21"/>
      <c r="B4481" s="3" t="s">
        <v>9</v>
      </c>
      <c r="C4481" s="23" t="s">
        <v>1737</v>
      </c>
      <c r="D4481" s="21"/>
    </row>
    <row r="4482" spans="1:4" ht="12.75" customHeight="1" x14ac:dyDescent="0.2">
      <c r="A4482" s="21"/>
      <c r="B4482" s="3" t="s">
        <v>11</v>
      </c>
      <c r="C4482" s="23" t="s">
        <v>501</v>
      </c>
      <c r="D4482" s="21"/>
    </row>
    <row r="4483" spans="1:4" ht="12.75" customHeight="1" x14ac:dyDescent="0.2">
      <c r="A4483" s="21"/>
      <c r="B4483" s="3" t="s">
        <v>16</v>
      </c>
      <c r="C4483" s="23"/>
      <c r="D4483" s="21"/>
    </row>
    <row r="4484" spans="1:4" ht="12.75" customHeight="1" x14ac:dyDescent="0.2">
      <c r="A4484" s="21"/>
      <c r="B4484" s="3" t="s">
        <v>17</v>
      </c>
      <c r="C4484" s="23" t="s">
        <v>19</v>
      </c>
      <c r="D4484" s="21"/>
    </row>
    <row r="4485" spans="1:4" ht="12.75" customHeight="1" x14ac:dyDescent="0.2">
      <c r="A4485" s="21"/>
      <c r="B4485" s="20" t="s">
        <v>18</v>
      </c>
      <c r="C4485" s="8" t="s">
        <v>44</v>
      </c>
      <c r="D4485" s="1" t="str">
        <f>HYPERLINK("javascript:void(0)","fogazott testpajzs")</f>
        <v>fogazott testpajzs</v>
      </c>
    </row>
    <row r="4486" spans="1:4" ht="12.75" customHeight="1" x14ac:dyDescent="0.2">
      <c r="A4486" s="21"/>
      <c r="B4486" s="21"/>
      <c r="C4486" s="8" t="s">
        <v>130</v>
      </c>
      <c r="D4486" s="1" t="str">
        <f>HYPERLINK("javascript:void(0)","sárkányfű")</f>
        <v>sárkányfű</v>
      </c>
    </row>
    <row r="4487" spans="1:4" ht="12.75" customHeight="1" x14ac:dyDescent="0.2">
      <c r="A4487" s="21"/>
      <c r="B4487" s="21"/>
      <c r="C4487" s="8" t="s">
        <v>130</v>
      </c>
      <c r="D4487" s="1" t="str">
        <f>HYPERLINK("javascript:void(0)","mantüske")</f>
        <v>mantüske</v>
      </c>
    </row>
    <row r="4488" spans="1:4" ht="12.75" customHeight="1" x14ac:dyDescent="0.2">
      <c r="A4488" s="21"/>
      <c r="B4488" s="2"/>
      <c r="C4488" s="7"/>
      <c r="D4488" s="7"/>
    </row>
    <row r="4489" spans="1:4" ht="12.75" customHeight="1" x14ac:dyDescent="0.2">
      <c r="A4489" s="21"/>
      <c r="B4489" s="2"/>
      <c r="C4489" s="7"/>
      <c r="D4489" s="7"/>
    </row>
    <row r="4490" spans="1:4" ht="12.75" customHeight="1" x14ac:dyDescent="0.2">
      <c r="A4490" s="21"/>
      <c r="B4490" s="2"/>
      <c r="C4490" s="7"/>
      <c r="D4490" s="7"/>
    </row>
    <row r="4491" spans="1:4" ht="12.75" customHeight="1" x14ac:dyDescent="0.2">
      <c r="A4491" s="21"/>
      <c r="B4491" s="2"/>
      <c r="C4491" s="7"/>
      <c r="D4491" s="7"/>
    </row>
    <row r="4492" spans="1:4" ht="12.75" customHeight="1" x14ac:dyDescent="0.2">
      <c r="A4492" s="5"/>
      <c r="B4492" s="2"/>
      <c r="C4492" s="7"/>
      <c r="D4492" s="7"/>
    </row>
    <row r="4493" spans="1:4" ht="12.75" customHeight="1" x14ac:dyDescent="0.2">
      <c r="A4493" s="22" t="str">
        <f>HYPERLINK("javascript:void(0)","vas mellvért")</f>
        <v>vas mellvért</v>
      </c>
      <c r="B4493" s="21"/>
      <c r="C4493" s="21"/>
      <c r="D4493" s="21"/>
    </row>
    <row r="4494" spans="1:4" ht="12.75" customHeight="1" x14ac:dyDescent="0.2">
      <c r="A4494" s="20"/>
      <c r="B4494" s="2"/>
      <c r="C4494" s="7"/>
      <c r="D4494" s="7"/>
    </row>
    <row r="4495" spans="1:4" ht="12.75" customHeight="1" x14ac:dyDescent="0.2">
      <c r="A4495" s="21"/>
      <c r="B4495" s="3" t="s">
        <v>0</v>
      </c>
      <c r="C4495" s="23" t="s">
        <v>115</v>
      </c>
      <c r="D4495" s="21"/>
    </row>
    <row r="4496" spans="1:4" ht="12.75" customHeight="1" x14ac:dyDescent="0.2">
      <c r="A4496" s="21"/>
      <c r="B4496" s="3" t="s">
        <v>2</v>
      </c>
      <c r="C4496" s="23" t="s">
        <v>2322</v>
      </c>
      <c r="D4496" s="21"/>
    </row>
    <row r="4497" spans="1:4" ht="12.75" customHeight="1" x14ac:dyDescent="0.2">
      <c r="A4497" s="21"/>
      <c r="B4497" s="3" t="s">
        <v>1840</v>
      </c>
      <c r="C4497" s="23" t="s">
        <v>361</v>
      </c>
      <c r="D4497" s="21"/>
    </row>
    <row r="4498" spans="1:4" ht="12.75" customHeight="1" x14ac:dyDescent="0.2">
      <c r="A4498" s="21"/>
      <c r="B4498" s="3" t="s">
        <v>9</v>
      </c>
      <c r="C4498" s="23" t="s">
        <v>131</v>
      </c>
      <c r="D4498" s="21"/>
    </row>
    <row r="4499" spans="1:4" ht="12.75" customHeight="1" x14ac:dyDescent="0.2">
      <c r="A4499" s="21"/>
      <c r="B4499" s="3" t="s">
        <v>11</v>
      </c>
      <c r="C4499" s="23" t="s">
        <v>427</v>
      </c>
      <c r="D4499" s="21"/>
    </row>
    <row r="4500" spans="1:4" ht="12.75" customHeight="1" x14ac:dyDescent="0.2">
      <c r="A4500" s="21"/>
      <c r="B4500" s="3" t="s">
        <v>16</v>
      </c>
      <c r="C4500" s="23"/>
      <c r="D4500" s="21"/>
    </row>
    <row r="4501" spans="1:4" ht="12.75" customHeight="1" x14ac:dyDescent="0.2">
      <c r="A4501" s="21"/>
      <c r="B4501" s="3" t="s">
        <v>17</v>
      </c>
      <c r="C4501" s="23" t="s">
        <v>19</v>
      </c>
      <c r="D4501" s="21"/>
    </row>
    <row r="4502" spans="1:4" ht="12.75" customHeight="1" x14ac:dyDescent="0.2">
      <c r="A4502" s="21"/>
      <c r="B4502" s="20" t="s">
        <v>18</v>
      </c>
      <c r="C4502" s="8" t="s">
        <v>44</v>
      </c>
      <c r="D4502" s="1" t="str">
        <f>HYPERLINK("javascript:void(0)","arany mellvért")</f>
        <v>arany mellvért</v>
      </c>
    </row>
    <row r="4503" spans="1:4" ht="12.75" customHeight="1" x14ac:dyDescent="0.2">
      <c r="A4503" s="21"/>
      <c r="B4503" s="21"/>
      <c r="C4503" s="8" t="s">
        <v>44</v>
      </c>
      <c r="D4503" s="1" t="str">
        <f>HYPERLINK("javascript:void(0)","bronz mellvért")</f>
        <v>bronz mellvért</v>
      </c>
    </row>
    <row r="4504" spans="1:4" ht="12.75" customHeight="1" x14ac:dyDescent="0.2">
      <c r="A4504" s="21"/>
      <c r="B4504" s="21"/>
      <c r="C4504" s="8" t="s">
        <v>44</v>
      </c>
      <c r="D4504" s="1" t="str">
        <f>HYPERLINK("javascript:void(0)","vas előlap")</f>
        <v>vas előlap</v>
      </c>
    </row>
    <row r="4505" spans="1:4" ht="12.75" customHeight="1" x14ac:dyDescent="0.2">
      <c r="A4505" s="21"/>
      <c r="B4505" s="2"/>
      <c r="C4505" s="7"/>
      <c r="D4505" s="7"/>
    </row>
    <row r="4506" spans="1:4" ht="12.75" customHeight="1" x14ac:dyDescent="0.2">
      <c r="A4506" s="21"/>
      <c r="B4506" s="2"/>
      <c r="C4506" s="7"/>
      <c r="D4506" s="7"/>
    </row>
    <row r="4507" spans="1:4" ht="12.75" customHeight="1" x14ac:dyDescent="0.2">
      <c r="A4507" s="21"/>
      <c r="B4507" s="2"/>
      <c r="C4507" s="7"/>
      <c r="D4507" s="7"/>
    </row>
    <row r="4508" spans="1:4" ht="12.75" customHeight="1" x14ac:dyDescent="0.2">
      <c r="A4508" s="21"/>
      <c r="B4508" s="2"/>
      <c r="C4508" s="7"/>
      <c r="D4508" s="7"/>
    </row>
    <row r="4509" spans="1:4" ht="12.75" customHeight="1" x14ac:dyDescent="0.2">
      <c r="A4509" s="5"/>
      <c r="B4509" s="2"/>
      <c r="C4509" s="7"/>
      <c r="D4509" s="7"/>
    </row>
    <row r="4510" spans="1:4" ht="12.75" customHeight="1" x14ac:dyDescent="0.2">
      <c r="A4510" s="22" t="str">
        <f>HYPERLINK("javascript:void(0)","zanzasisak")</f>
        <v>zanzasisak</v>
      </c>
      <c r="B4510" s="21"/>
      <c r="C4510" s="21"/>
      <c r="D4510" s="21"/>
    </row>
    <row r="4511" spans="1:4" ht="12.75" customHeight="1" x14ac:dyDescent="0.2">
      <c r="A4511" s="20"/>
      <c r="B4511" s="2"/>
      <c r="C4511" s="7"/>
      <c r="D4511" s="7"/>
    </row>
    <row r="4512" spans="1:4" ht="12.75" customHeight="1" x14ac:dyDescent="0.2">
      <c r="A4512" s="21"/>
      <c r="B4512" s="3" t="s">
        <v>0</v>
      </c>
      <c r="C4512" s="23" t="s">
        <v>115</v>
      </c>
      <c r="D4512" s="21"/>
    </row>
    <row r="4513" spans="1:4" ht="12.75" customHeight="1" x14ac:dyDescent="0.2">
      <c r="A4513" s="21"/>
      <c r="B4513" s="3" t="s">
        <v>2</v>
      </c>
      <c r="C4513" s="23"/>
      <c r="D4513" s="21"/>
    </row>
    <row r="4514" spans="1:4" ht="12.75" customHeight="1" x14ac:dyDescent="0.2">
      <c r="A4514" s="21"/>
      <c r="B4514" s="3" t="s">
        <v>1840</v>
      </c>
      <c r="C4514" s="23" t="s">
        <v>728</v>
      </c>
      <c r="D4514" s="21"/>
    </row>
    <row r="4515" spans="1:4" ht="12.75" customHeight="1" x14ac:dyDescent="0.2">
      <c r="A4515" s="21"/>
      <c r="B4515" s="3" t="s">
        <v>9</v>
      </c>
      <c r="C4515" s="23" t="s">
        <v>172</v>
      </c>
      <c r="D4515" s="21"/>
    </row>
    <row r="4516" spans="1:4" ht="12.75" customHeight="1" x14ac:dyDescent="0.2">
      <c r="A4516" s="21"/>
      <c r="B4516" s="3" t="s">
        <v>11</v>
      </c>
      <c r="C4516" s="23" t="s">
        <v>427</v>
      </c>
      <c r="D4516" s="21"/>
    </row>
    <row r="4517" spans="1:4" ht="12.75" customHeight="1" x14ac:dyDescent="0.2">
      <c r="A4517" s="21"/>
      <c r="B4517" s="3" t="s">
        <v>16</v>
      </c>
      <c r="C4517" s="23"/>
      <c r="D4517" s="21"/>
    </row>
    <row r="4518" spans="1:4" ht="12.75" customHeight="1" x14ac:dyDescent="0.2">
      <c r="A4518" s="21"/>
      <c r="B4518" s="3" t="s">
        <v>17</v>
      </c>
      <c r="C4518" s="23" t="s">
        <v>19</v>
      </c>
      <c r="D4518" s="21"/>
    </row>
    <row r="4519" spans="1:4" ht="12.75" customHeight="1" x14ac:dyDescent="0.2">
      <c r="A4519" s="21"/>
      <c r="B4519" s="20" t="s">
        <v>18</v>
      </c>
      <c r="C4519" s="8" t="s">
        <v>44</v>
      </c>
      <c r="D4519" s="1" t="str">
        <f>HYPERLINK("javascript:void(0)","pillesisak")</f>
        <v>pillesisak</v>
      </c>
    </row>
    <row r="4520" spans="1:4" ht="12.75" customHeight="1" x14ac:dyDescent="0.2">
      <c r="A4520" s="21"/>
      <c r="B4520" s="21"/>
      <c r="C4520" s="8" t="s">
        <v>44</v>
      </c>
      <c r="D4520" s="1" t="str">
        <f>HYPERLINK("javascript:void(0)","tüskesisak")</f>
        <v>tüskesisak</v>
      </c>
    </row>
    <row r="4521" spans="1:4" ht="12.75" customHeight="1" x14ac:dyDescent="0.2">
      <c r="A4521" s="21"/>
      <c r="B4521" s="21"/>
      <c r="C4521" s="8" t="s">
        <v>232</v>
      </c>
      <c r="D4521" s="1" t="str">
        <f>HYPERLINK("javascript:void(0)","démonzanza")</f>
        <v>démonzanza</v>
      </c>
    </row>
    <row r="4522" spans="1:4" ht="12.75" customHeight="1" x14ac:dyDescent="0.2">
      <c r="A4522" s="21"/>
      <c r="B4522" s="2"/>
      <c r="C4522" s="7"/>
      <c r="D4522" s="7"/>
    </row>
    <row r="4523" spans="1:4" ht="12.75" customHeight="1" x14ac:dyDescent="0.2">
      <c r="A4523" s="21"/>
      <c r="B4523" s="2"/>
      <c r="C4523" s="7"/>
      <c r="D4523" s="7"/>
    </row>
    <row r="4524" spans="1:4" ht="12.75" customHeight="1" x14ac:dyDescent="0.2">
      <c r="A4524" s="21"/>
      <c r="B4524" s="2"/>
      <c r="C4524" s="7"/>
      <c r="D4524" s="7"/>
    </row>
    <row r="4525" spans="1:4" ht="12.75" customHeight="1" x14ac:dyDescent="0.2">
      <c r="A4525" s="21"/>
      <c r="B4525" s="2"/>
      <c r="C4525" s="7"/>
      <c r="D4525" s="7"/>
    </row>
    <row r="4526" spans="1:4" ht="12.75" customHeight="1" x14ac:dyDescent="0.2">
      <c r="A4526" s="5"/>
      <c r="B4526" s="2"/>
      <c r="C4526" s="7"/>
      <c r="D4526" s="7"/>
    </row>
    <row r="4527" spans="1:4" ht="12.75" customHeight="1" x14ac:dyDescent="0.2">
      <c r="A4527" s="22" t="str">
        <f>HYPERLINK("javascript:void(0)","yetitappancs")</f>
        <v>yetitappancs</v>
      </c>
      <c r="B4527" s="21"/>
      <c r="C4527" s="21"/>
      <c r="D4527" s="21"/>
    </row>
    <row r="4528" spans="1:4" ht="12.75" customHeight="1" x14ac:dyDescent="0.2">
      <c r="A4528" s="20"/>
      <c r="B4528" s="2"/>
      <c r="C4528" s="7"/>
      <c r="D4528" s="7"/>
    </row>
    <row r="4529" spans="1:4" ht="12.75" customHeight="1" x14ac:dyDescent="0.2">
      <c r="A4529" s="21"/>
      <c r="B4529" s="3" t="s">
        <v>0</v>
      </c>
      <c r="C4529" s="23" t="s">
        <v>115</v>
      </c>
      <c r="D4529" s="21"/>
    </row>
    <row r="4530" spans="1:4" ht="12.75" customHeight="1" x14ac:dyDescent="0.2">
      <c r="A4530" s="21"/>
      <c r="B4530" s="3" t="s">
        <v>2</v>
      </c>
      <c r="C4530" s="23"/>
      <c r="D4530" s="21"/>
    </row>
    <row r="4531" spans="1:4" ht="12.75" customHeight="1" x14ac:dyDescent="0.2">
      <c r="A4531" s="21"/>
      <c r="B4531" s="3" t="s">
        <v>1840</v>
      </c>
      <c r="C4531" s="23" t="s">
        <v>680</v>
      </c>
      <c r="D4531" s="21"/>
    </row>
    <row r="4532" spans="1:4" ht="12.75" customHeight="1" x14ac:dyDescent="0.2">
      <c r="A4532" s="21"/>
      <c r="B4532" s="3" t="s">
        <v>9</v>
      </c>
      <c r="C4532" s="23" t="s">
        <v>30</v>
      </c>
      <c r="D4532" s="21"/>
    </row>
    <row r="4533" spans="1:4" ht="12.75" customHeight="1" x14ac:dyDescent="0.2">
      <c r="A4533" s="21"/>
      <c r="B4533" s="3" t="s">
        <v>11</v>
      </c>
      <c r="C4533" s="23" t="s">
        <v>447</v>
      </c>
      <c r="D4533" s="21"/>
    </row>
    <row r="4534" spans="1:4" ht="12.75" customHeight="1" x14ac:dyDescent="0.2">
      <c r="A4534" s="21"/>
      <c r="B4534" s="3" t="s">
        <v>16</v>
      </c>
      <c r="C4534" s="23"/>
      <c r="D4534" s="21"/>
    </row>
    <row r="4535" spans="1:4" ht="12.75" customHeight="1" x14ac:dyDescent="0.2">
      <c r="A4535" s="21"/>
      <c r="B4535" s="3" t="s">
        <v>17</v>
      </c>
      <c r="C4535" s="23" t="s">
        <v>19</v>
      </c>
      <c r="D4535" s="21"/>
    </row>
    <row r="4536" spans="1:4" ht="12.75" customHeight="1" x14ac:dyDescent="0.2">
      <c r="A4536" s="21"/>
      <c r="B4536" s="20" t="s">
        <v>18</v>
      </c>
      <c r="C4536" s="8" t="s">
        <v>44</v>
      </c>
      <c r="D4536" s="1" t="str">
        <f>HYPERLINK("javascript:void(0)","pillecsizma")</f>
        <v>pillecsizma</v>
      </c>
    </row>
    <row r="4537" spans="1:4" ht="12.75" customHeight="1" x14ac:dyDescent="0.2">
      <c r="A4537" s="21"/>
      <c r="B4537" s="21"/>
      <c r="C4537" s="8" t="s">
        <v>232</v>
      </c>
      <c r="D4537" s="1" t="str">
        <f>HYPERLINK("javascript:void(0)","yetiláb")</f>
        <v>yetiláb</v>
      </c>
    </row>
    <row r="4538" spans="1:4" ht="12.75" customHeight="1" x14ac:dyDescent="0.2">
      <c r="A4538" s="21"/>
      <c r="B4538" s="21"/>
      <c r="C4538" s="8" t="s">
        <v>117</v>
      </c>
      <c r="D4538" s="1" t="str">
        <f>HYPERLINK("javascript:void(0)","haspók")</f>
        <v>haspók</v>
      </c>
    </row>
    <row r="4539" spans="1:4" ht="12.75" customHeight="1" x14ac:dyDescent="0.2">
      <c r="A4539" s="21"/>
      <c r="B4539" s="2"/>
      <c r="C4539" s="7"/>
      <c r="D4539" s="7"/>
    </row>
    <row r="4540" spans="1:4" ht="12.75" customHeight="1" x14ac:dyDescent="0.2">
      <c r="A4540" s="21"/>
      <c r="B4540" s="2"/>
      <c r="C4540" s="7"/>
      <c r="D4540" s="7"/>
    </row>
    <row r="4541" spans="1:4" ht="12.75" customHeight="1" x14ac:dyDescent="0.2">
      <c r="A4541" s="21"/>
      <c r="B4541" s="2"/>
      <c r="C4541" s="7"/>
      <c r="D4541" s="7"/>
    </row>
    <row r="4542" spans="1:4" ht="12.75" customHeight="1" x14ac:dyDescent="0.2">
      <c r="A4542" s="21"/>
      <c r="B4542" s="2"/>
      <c r="C4542" s="7"/>
      <c r="D4542" s="7"/>
    </row>
    <row r="4543" spans="1:4" ht="12.75" customHeight="1" x14ac:dyDescent="0.2">
      <c r="A4543" s="5"/>
      <c r="B4543" s="2"/>
      <c r="C4543" s="7"/>
      <c r="D4543" s="7"/>
    </row>
    <row r="4544" spans="1:4" ht="12.75" customHeight="1" x14ac:dyDescent="0.2">
      <c r="A4544" s="22" t="str">
        <f>HYPERLINK("javascript:void(0)","yeti pajzs")</f>
        <v>yeti pajzs</v>
      </c>
      <c r="B4544" s="21"/>
      <c r="C4544" s="21"/>
      <c r="D4544" s="21"/>
    </row>
    <row r="4545" spans="1:4" ht="12.75" customHeight="1" x14ac:dyDescent="0.2">
      <c r="A4545" s="20"/>
      <c r="B4545" s="2"/>
      <c r="C4545" s="7"/>
      <c r="D4545" s="7"/>
    </row>
    <row r="4546" spans="1:4" ht="12.75" customHeight="1" x14ac:dyDescent="0.2">
      <c r="A4546" s="21"/>
      <c r="B4546" s="3" t="s">
        <v>0</v>
      </c>
      <c r="C4546" s="23" t="s">
        <v>115</v>
      </c>
      <c r="D4546" s="21"/>
    </row>
    <row r="4547" spans="1:4" ht="12.75" customHeight="1" x14ac:dyDescent="0.2">
      <c r="A4547" s="21"/>
      <c r="B4547" s="3" t="s">
        <v>2</v>
      </c>
      <c r="C4547" s="23" t="s">
        <v>1839</v>
      </c>
      <c r="D4547" s="21"/>
    </row>
    <row r="4548" spans="1:4" ht="12.75" customHeight="1" x14ac:dyDescent="0.2">
      <c r="A4548" s="21"/>
      <c r="B4548" s="3" t="s">
        <v>1840</v>
      </c>
      <c r="C4548" s="23" t="s">
        <v>874</v>
      </c>
      <c r="D4548" s="21"/>
    </row>
    <row r="4549" spans="1:4" ht="12.75" customHeight="1" x14ac:dyDescent="0.2">
      <c r="A4549" s="21"/>
      <c r="B4549" s="3" t="s">
        <v>9</v>
      </c>
      <c r="C4549" s="23" t="s">
        <v>249</v>
      </c>
      <c r="D4549" s="21"/>
    </row>
    <row r="4550" spans="1:4" ht="12.75" customHeight="1" x14ac:dyDescent="0.2">
      <c r="A4550" s="21"/>
      <c r="B4550" s="3" t="s">
        <v>11</v>
      </c>
      <c r="C4550" s="23" t="s">
        <v>497</v>
      </c>
      <c r="D4550" s="21"/>
    </row>
    <row r="4551" spans="1:4" ht="12.75" customHeight="1" x14ac:dyDescent="0.2">
      <c r="A4551" s="21"/>
      <c r="B4551" s="3" t="s">
        <v>16</v>
      </c>
      <c r="C4551" s="23"/>
      <c r="D4551" s="21"/>
    </row>
    <row r="4552" spans="1:4" ht="12.75" customHeight="1" x14ac:dyDescent="0.2">
      <c r="A4552" s="21"/>
      <c r="B4552" s="3" t="s">
        <v>17</v>
      </c>
      <c r="C4552" s="23" t="s">
        <v>19</v>
      </c>
      <c r="D4552" s="21"/>
    </row>
    <row r="4553" spans="1:4" ht="12.75" customHeight="1" x14ac:dyDescent="0.2">
      <c r="A4553" s="21"/>
      <c r="B4553" s="20" t="s">
        <v>18</v>
      </c>
      <c r="C4553" s="8" t="s">
        <v>44</v>
      </c>
      <c r="D4553" s="1" t="str">
        <f>HYPERLINK("javascript:void(0)","fogazott pajzs")</f>
        <v>fogazott pajzs</v>
      </c>
    </row>
    <row r="4554" spans="1:4" ht="12.75" customHeight="1" x14ac:dyDescent="0.2">
      <c r="A4554" s="21"/>
      <c r="B4554" s="21"/>
      <c r="C4554" s="8" t="s">
        <v>232</v>
      </c>
      <c r="D4554" s="1" t="str">
        <f>HYPERLINK("javascript:void(0)","yetiláb")</f>
        <v>yetiláb</v>
      </c>
    </row>
    <row r="4555" spans="1:4" ht="12.75" customHeight="1" x14ac:dyDescent="0.2">
      <c r="A4555" s="21"/>
      <c r="B4555" s="21"/>
      <c r="C4555" s="8" t="s">
        <v>67</v>
      </c>
      <c r="D4555" s="1" t="str">
        <f>HYPERLINK("javascript:void(0)","ágyúmozsár")</f>
        <v>ágyúmozsár</v>
      </c>
    </row>
    <row r="4556" spans="1:4" ht="12.75" customHeight="1" x14ac:dyDescent="0.2">
      <c r="A4556" s="21"/>
      <c r="B4556" s="2"/>
      <c r="C4556" s="7"/>
      <c r="D4556" s="7"/>
    </row>
    <row r="4557" spans="1:4" ht="12.75" customHeight="1" x14ac:dyDescent="0.2">
      <c r="A4557" s="21"/>
      <c r="B4557" s="2"/>
      <c r="C4557" s="7"/>
      <c r="D4557" s="7"/>
    </row>
    <row r="4558" spans="1:4" ht="12.75" customHeight="1" x14ac:dyDescent="0.2">
      <c r="A4558" s="21"/>
      <c r="B4558" s="2"/>
      <c r="C4558" s="7"/>
      <c r="D4558" s="7"/>
    </row>
    <row r="4559" spans="1:4" ht="12.75" customHeight="1" x14ac:dyDescent="0.2">
      <c r="A4559" s="21"/>
      <c r="B4559" s="2"/>
      <c r="C4559" s="7"/>
      <c r="D4559" s="7"/>
    </row>
    <row r="4560" spans="1:4" ht="12.75" customHeight="1" x14ac:dyDescent="0.2">
      <c r="A4560" s="5"/>
      <c r="B4560" s="2"/>
      <c r="C4560" s="7"/>
      <c r="D4560" s="7"/>
    </row>
    <row r="4561" spans="1:4" ht="12.75" customHeight="1" x14ac:dyDescent="0.2">
      <c r="A4561" s="22" t="str">
        <f>HYPERLINK("javascript:void(0)","óriásacél pillepajzs")</f>
        <v>óriásacél pillepajzs</v>
      </c>
      <c r="B4561" s="21"/>
      <c r="C4561" s="21"/>
      <c r="D4561" s="21"/>
    </row>
    <row r="4562" spans="1:4" ht="12.75" customHeight="1" x14ac:dyDescent="0.2">
      <c r="A4562" s="20"/>
      <c r="B4562" s="2"/>
      <c r="C4562" s="7"/>
      <c r="D4562" s="7"/>
    </row>
    <row r="4563" spans="1:4" ht="12.75" customHeight="1" x14ac:dyDescent="0.2">
      <c r="A4563" s="21"/>
      <c r="B4563" s="3" t="s">
        <v>0</v>
      </c>
      <c r="C4563" s="23" t="s">
        <v>115</v>
      </c>
      <c r="D4563" s="21"/>
    </row>
    <row r="4564" spans="1:4" ht="12.75" customHeight="1" x14ac:dyDescent="0.2">
      <c r="A4564" s="21"/>
      <c r="B4564" s="3" t="s">
        <v>2</v>
      </c>
      <c r="C4564" s="23" t="s">
        <v>1839</v>
      </c>
      <c r="D4564" s="21"/>
    </row>
    <row r="4565" spans="1:4" ht="12.75" customHeight="1" x14ac:dyDescent="0.2">
      <c r="A4565" s="21"/>
      <c r="B4565" s="3" t="s">
        <v>1840</v>
      </c>
      <c r="C4565" s="23" t="s">
        <v>874</v>
      </c>
      <c r="D4565" s="21"/>
    </row>
    <row r="4566" spans="1:4" ht="12.75" customHeight="1" x14ac:dyDescent="0.2">
      <c r="A4566" s="21"/>
      <c r="B4566" s="3" t="s">
        <v>9</v>
      </c>
      <c r="C4566" s="23" t="s">
        <v>2050</v>
      </c>
      <c r="D4566" s="21"/>
    </row>
    <row r="4567" spans="1:4" ht="12.75" customHeight="1" x14ac:dyDescent="0.2">
      <c r="A4567" s="21"/>
      <c r="B4567" s="3" t="s">
        <v>11</v>
      </c>
      <c r="C4567" s="23" t="s">
        <v>514</v>
      </c>
      <c r="D4567" s="21"/>
    </row>
    <row r="4568" spans="1:4" ht="12.75" customHeight="1" x14ac:dyDescent="0.2">
      <c r="A4568" s="21"/>
      <c r="B4568" s="3" t="s">
        <v>16</v>
      </c>
      <c r="C4568" s="23"/>
      <c r="D4568" s="21"/>
    </row>
    <row r="4569" spans="1:4" ht="12.75" customHeight="1" x14ac:dyDescent="0.2">
      <c r="A4569" s="21"/>
      <c r="B4569" s="3" t="s">
        <v>17</v>
      </c>
      <c r="C4569" s="23" t="s">
        <v>19</v>
      </c>
      <c r="D4569" s="21"/>
    </row>
    <row r="4570" spans="1:4" ht="12.75" customHeight="1" x14ac:dyDescent="0.2">
      <c r="A4570" s="21"/>
      <c r="B4570" s="20" t="s">
        <v>18</v>
      </c>
      <c r="C4570" s="8" t="s">
        <v>44</v>
      </c>
      <c r="D4570" s="1" t="str">
        <f>HYPERLINK("javascript:void(0)","yeti pajzs")</f>
        <v>yeti pajzs</v>
      </c>
    </row>
    <row r="4571" spans="1:4" ht="12.75" customHeight="1" x14ac:dyDescent="0.2">
      <c r="A4571" s="21"/>
      <c r="B4571" s="21"/>
      <c r="C4571" s="8" t="s">
        <v>67</v>
      </c>
      <c r="D4571" s="1" t="str">
        <f>HYPERLINK("javascript:void(0)","óriás korona")</f>
        <v>óriás korona</v>
      </c>
    </row>
    <row r="4572" spans="1:4" ht="12.75" customHeight="1" x14ac:dyDescent="0.2">
      <c r="A4572" s="21"/>
      <c r="B4572" s="21"/>
      <c r="C4572" s="8" t="s">
        <v>117</v>
      </c>
      <c r="D4572" s="1" t="str">
        <f>HYPERLINK("javascript:void(0)","yetiláb")</f>
        <v>yetiláb</v>
      </c>
    </row>
    <row r="4573" spans="1:4" ht="12.75" customHeight="1" x14ac:dyDescent="0.2">
      <c r="A4573" s="21"/>
      <c r="B4573" s="2"/>
      <c r="C4573" s="7"/>
      <c r="D4573" s="7"/>
    </row>
    <row r="4574" spans="1:4" ht="12.75" customHeight="1" x14ac:dyDescent="0.2">
      <c r="A4574" s="21"/>
      <c r="B4574" s="2"/>
      <c r="C4574" s="7"/>
      <c r="D4574" s="7"/>
    </row>
    <row r="4575" spans="1:4" ht="12.75" customHeight="1" x14ac:dyDescent="0.2">
      <c r="A4575" s="21"/>
      <c r="B4575" s="2"/>
      <c r="C4575" s="7"/>
      <c r="D4575" s="7"/>
    </row>
    <row r="4576" spans="1:4" ht="12.75" customHeight="1" x14ac:dyDescent="0.2">
      <c r="A4576" s="21"/>
      <c r="B4576" s="2"/>
      <c r="C4576" s="7"/>
      <c r="D4576" s="7"/>
    </row>
    <row r="4577" spans="1:4" ht="12.75" customHeight="1" x14ac:dyDescent="0.2">
      <c r="A4577" s="5"/>
      <c r="B4577" s="2"/>
      <c r="C4577" s="7"/>
      <c r="D4577" s="7"/>
    </row>
    <row r="4578" spans="1:4" ht="12.75" customHeight="1" x14ac:dyDescent="0.2">
      <c r="A4578" s="22" t="str">
        <f>HYPERLINK("javascript:void(0)","rubin manasisak")</f>
        <v>rubin manasisak</v>
      </c>
      <c r="B4578" s="21"/>
      <c r="C4578" s="21"/>
      <c r="D4578" s="21"/>
    </row>
    <row r="4579" spans="1:4" ht="12.75" customHeight="1" x14ac:dyDescent="0.2">
      <c r="A4579" s="20"/>
      <c r="B4579" s="2"/>
      <c r="C4579" s="7"/>
      <c r="D4579" s="7"/>
    </row>
    <row r="4580" spans="1:4" ht="12.75" customHeight="1" x14ac:dyDescent="0.2">
      <c r="A4580" s="21"/>
      <c r="B4580" s="3" t="s">
        <v>0</v>
      </c>
      <c r="C4580" s="23" t="s">
        <v>115</v>
      </c>
      <c r="D4580" s="21"/>
    </row>
    <row r="4581" spans="1:4" ht="12.75" customHeight="1" x14ac:dyDescent="0.2">
      <c r="A4581" s="21"/>
      <c r="B4581" s="3" t="s">
        <v>2</v>
      </c>
      <c r="C4581" s="23"/>
      <c r="D4581" s="21"/>
    </row>
    <row r="4582" spans="1:4" ht="12.75" customHeight="1" x14ac:dyDescent="0.2">
      <c r="A4582" s="21"/>
      <c r="B4582" s="3" t="s">
        <v>1840</v>
      </c>
      <c r="C4582" s="23" t="s">
        <v>385</v>
      </c>
      <c r="D4582" s="21"/>
    </row>
    <row r="4583" spans="1:4" ht="12.75" customHeight="1" x14ac:dyDescent="0.2">
      <c r="A4583" s="21"/>
      <c r="B4583" s="3" t="s">
        <v>9</v>
      </c>
      <c r="C4583" s="23" t="s">
        <v>135</v>
      </c>
      <c r="D4583" s="21"/>
    </row>
    <row r="4584" spans="1:4" ht="12.75" customHeight="1" x14ac:dyDescent="0.2">
      <c r="A4584" s="21"/>
      <c r="B4584" s="3" t="s">
        <v>11</v>
      </c>
      <c r="C4584" s="23" t="s">
        <v>289</v>
      </c>
      <c r="D4584" s="21"/>
    </row>
    <row r="4585" spans="1:4" ht="12.75" customHeight="1" x14ac:dyDescent="0.2">
      <c r="A4585" s="21"/>
      <c r="B4585" s="3" t="s">
        <v>16</v>
      </c>
      <c r="C4585" s="23"/>
      <c r="D4585" s="21"/>
    </row>
    <row r="4586" spans="1:4" ht="12.75" customHeight="1" x14ac:dyDescent="0.2">
      <c r="A4586" s="21"/>
      <c r="B4586" s="3" t="s">
        <v>17</v>
      </c>
      <c r="C4586" s="23" t="s">
        <v>19</v>
      </c>
      <c r="D4586" s="21"/>
    </row>
    <row r="4587" spans="1:4" ht="12.75" customHeight="1" x14ac:dyDescent="0.2">
      <c r="A4587" s="21"/>
      <c r="B4587" s="20" t="s">
        <v>18</v>
      </c>
      <c r="C4587" s="8" t="s">
        <v>44</v>
      </c>
      <c r="D4587" s="1" t="str">
        <f>HYPERLINK("javascript:void(0)","smaragd manasisak")</f>
        <v>smaragd manasisak</v>
      </c>
    </row>
    <row r="4588" spans="1:4" ht="12.75" customHeight="1" x14ac:dyDescent="0.2">
      <c r="A4588" s="21"/>
      <c r="B4588" s="21"/>
      <c r="C4588" s="8" t="s">
        <v>117</v>
      </c>
      <c r="D4588" s="1" t="str">
        <f>HYPERLINK("javascript:void(0)","csáphárító")</f>
        <v>csáphárító</v>
      </c>
    </row>
    <row r="4589" spans="1:4" ht="12.75" customHeight="1" x14ac:dyDescent="0.2">
      <c r="A4589" s="21"/>
      <c r="B4589" s="21"/>
      <c r="C4589" s="8" t="s">
        <v>68</v>
      </c>
      <c r="D4589" s="1" t="str">
        <f>HYPERLINK("javascript:void(0)","yetiláb")</f>
        <v>yetiláb</v>
      </c>
    </row>
    <row r="4590" spans="1:4" ht="12.75" customHeight="1" x14ac:dyDescent="0.2">
      <c r="A4590" s="21"/>
      <c r="B4590" s="2"/>
      <c r="C4590" s="7"/>
      <c r="D4590" s="7"/>
    </row>
    <row r="4591" spans="1:4" ht="12.75" customHeight="1" x14ac:dyDescent="0.2">
      <c r="A4591" s="21"/>
      <c r="B4591" s="2"/>
      <c r="C4591" s="7"/>
      <c r="D4591" s="7"/>
    </row>
    <row r="4592" spans="1:4" ht="12.75" customHeight="1" x14ac:dyDescent="0.2">
      <c r="A4592" s="21"/>
      <c r="B4592" s="2"/>
      <c r="C4592" s="7"/>
      <c r="D4592" s="7"/>
    </row>
    <row r="4593" spans="1:4" ht="12.75" customHeight="1" x14ac:dyDescent="0.2">
      <c r="A4593" s="21"/>
      <c r="B4593" s="2"/>
      <c r="C4593" s="7"/>
      <c r="D4593" s="7"/>
    </row>
    <row r="4594" spans="1:4" ht="12.75" customHeight="1" x14ac:dyDescent="0.2">
      <c r="A4594" s="5"/>
      <c r="B4594" s="2"/>
      <c r="C4594" s="7"/>
      <c r="D4594" s="7"/>
    </row>
    <row r="4595" spans="1:4" ht="12.75" customHeight="1" x14ac:dyDescent="0.2">
      <c r="A4595" s="22" t="str">
        <f>HYPERLINK("javascript:void(0)","rubin manafejpánt")</f>
        <v>rubin manafejpánt</v>
      </c>
      <c r="B4595" s="21"/>
      <c r="C4595" s="21"/>
      <c r="D4595" s="21"/>
    </row>
    <row r="4596" spans="1:4" ht="12.75" customHeight="1" x14ac:dyDescent="0.2">
      <c r="A4596" s="20"/>
      <c r="B4596" s="2"/>
      <c r="C4596" s="7"/>
      <c r="D4596" s="7"/>
    </row>
    <row r="4597" spans="1:4" ht="12.75" customHeight="1" x14ac:dyDescent="0.2">
      <c r="A4597" s="21"/>
      <c r="B4597" s="3" t="s">
        <v>0</v>
      </c>
      <c r="C4597" s="23" t="s">
        <v>115</v>
      </c>
      <c r="D4597" s="21"/>
    </row>
    <row r="4598" spans="1:4" ht="12.75" customHeight="1" x14ac:dyDescent="0.2">
      <c r="A4598" s="21"/>
      <c r="B4598" s="3" t="s">
        <v>2</v>
      </c>
      <c r="C4598" s="23"/>
      <c r="D4598" s="21"/>
    </row>
    <row r="4599" spans="1:4" ht="12.75" customHeight="1" x14ac:dyDescent="0.2">
      <c r="A4599" s="21"/>
      <c r="B4599" s="3" t="s">
        <v>1840</v>
      </c>
      <c r="C4599" s="23" t="s">
        <v>221</v>
      </c>
      <c r="D4599" s="21"/>
    </row>
    <row r="4600" spans="1:4" ht="12.75" customHeight="1" x14ac:dyDescent="0.2">
      <c r="A4600" s="21"/>
      <c r="B4600" s="3" t="s">
        <v>9</v>
      </c>
      <c r="C4600" s="23" t="s">
        <v>93</v>
      </c>
      <c r="D4600" s="21"/>
    </row>
    <row r="4601" spans="1:4" ht="12.75" customHeight="1" x14ac:dyDescent="0.2">
      <c r="A4601" s="21"/>
      <c r="B4601" s="3" t="s">
        <v>11</v>
      </c>
      <c r="C4601" s="23" t="s">
        <v>289</v>
      </c>
      <c r="D4601" s="21"/>
    </row>
    <row r="4602" spans="1:4" ht="12.75" customHeight="1" x14ac:dyDescent="0.2">
      <c r="A4602" s="21"/>
      <c r="B4602" s="3" t="s">
        <v>16</v>
      </c>
      <c r="C4602" s="23"/>
      <c r="D4602" s="21"/>
    </row>
    <row r="4603" spans="1:4" ht="12.75" customHeight="1" x14ac:dyDescent="0.2">
      <c r="A4603" s="21"/>
      <c r="B4603" s="3" t="s">
        <v>17</v>
      </c>
      <c r="C4603" s="23" t="s">
        <v>19</v>
      </c>
      <c r="D4603" s="21"/>
    </row>
    <row r="4604" spans="1:4" ht="25.5" customHeight="1" x14ac:dyDescent="0.2">
      <c r="A4604" s="21"/>
      <c r="B4604" s="20" t="s">
        <v>18</v>
      </c>
      <c r="C4604" s="8" t="s">
        <v>44</v>
      </c>
      <c r="D4604" s="1" t="str">
        <f>HYPERLINK("javascript:void(0)","smaragd manafejpánt")</f>
        <v>smaragd manafejpánt</v>
      </c>
    </row>
    <row r="4605" spans="1:4" ht="12.75" customHeight="1" x14ac:dyDescent="0.2">
      <c r="A4605" s="21"/>
      <c r="B4605" s="21"/>
      <c r="C4605" s="8" t="s">
        <v>117</v>
      </c>
      <c r="D4605" s="1" t="str">
        <f>HYPERLINK("javascript:void(0)","haspók")</f>
        <v>haspók</v>
      </c>
    </row>
    <row r="4606" spans="1:4" ht="12.75" customHeight="1" x14ac:dyDescent="0.2">
      <c r="A4606" s="21"/>
      <c r="B4606" s="21"/>
      <c r="C4606" s="8" t="s">
        <v>290</v>
      </c>
      <c r="D4606" s="1" t="str">
        <f>HYPERLINK("javascript:void(0)","főnixtoll")</f>
        <v>főnixtoll</v>
      </c>
    </row>
    <row r="4607" spans="1:4" ht="12.75" customHeight="1" x14ac:dyDescent="0.2">
      <c r="A4607" s="21"/>
      <c r="B4607" s="2"/>
      <c r="C4607" s="7"/>
      <c r="D4607" s="7"/>
    </row>
    <row r="4608" spans="1:4" ht="12.75" customHeight="1" x14ac:dyDescent="0.2">
      <c r="A4608" s="21"/>
      <c r="B4608" s="2"/>
      <c r="C4608" s="7"/>
      <c r="D4608" s="7"/>
    </row>
    <row r="4609" spans="1:4" ht="12.75" customHeight="1" x14ac:dyDescent="0.2">
      <c r="A4609" s="21"/>
      <c r="B4609" s="2"/>
      <c r="C4609" s="7"/>
      <c r="D4609" s="7"/>
    </row>
    <row r="4610" spans="1:4" ht="12.75" customHeight="1" x14ac:dyDescent="0.2">
      <c r="A4610" s="21"/>
      <c r="B4610" s="2"/>
      <c r="C4610" s="7"/>
      <c r="D4610" s="7"/>
    </row>
    <row r="4611" spans="1:4" ht="12.75" customHeight="1" x14ac:dyDescent="0.2">
      <c r="A4611" s="5"/>
      <c r="B4611" s="2"/>
      <c r="C4611" s="7"/>
      <c r="D4611" s="7"/>
    </row>
    <row r="4612" spans="1:4" ht="12.75" customHeight="1" x14ac:dyDescent="0.2">
      <c r="A4612" s="22" t="str">
        <f>HYPERLINK("javascript:void(0)","gyíkacél zubbony")</f>
        <v>gyíkacél zubbony</v>
      </c>
      <c r="B4612" s="21"/>
      <c r="C4612" s="21"/>
      <c r="D4612" s="21"/>
    </row>
    <row r="4613" spans="1:4" ht="12.75" customHeight="1" x14ac:dyDescent="0.2">
      <c r="A4613" s="20"/>
      <c r="B4613" s="2"/>
      <c r="C4613" s="7"/>
      <c r="D4613" s="7"/>
    </row>
    <row r="4614" spans="1:4" ht="12.75" customHeight="1" x14ac:dyDescent="0.2">
      <c r="A4614" s="21"/>
      <c r="B4614" s="3" t="s">
        <v>0</v>
      </c>
      <c r="C4614" s="23" t="s">
        <v>115</v>
      </c>
      <c r="D4614" s="21"/>
    </row>
    <row r="4615" spans="1:4" ht="12.75" customHeight="1" x14ac:dyDescent="0.2">
      <c r="A4615" s="21"/>
      <c r="B4615" s="3" t="s">
        <v>2</v>
      </c>
      <c r="C4615" s="23" t="s">
        <v>2322</v>
      </c>
      <c r="D4615" s="21"/>
    </row>
    <row r="4616" spans="1:4" ht="12.75" customHeight="1" x14ac:dyDescent="0.2">
      <c r="A4616" s="21"/>
      <c r="B4616" s="3" t="s">
        <v>1840</v>
      </c>
      <c r="C4616" s="23" t="s">
        <v>345</v>
      </c>
      <c r="D4616" s="21"/>
    </row>
    <row r="4617" spans="1:4" ht="12.75" customHeight="1" x14ac:dyDescent="0.2">
      <c r="A4617" s="21"/>
      <c r="B4617" s="3" t="s">
        <v>9</v>
      </c>
      <c r="C4617" s="23" t="s">
        <v>250</v>
      </c>
      <c r="D4617" s="21"/>
    </row>
    <row r="4618" spans="1:4" ht="12.75" customHeight="1" x14ac:dyDescent="0.2">
      <c r="A4618" s="21"/>
      <c r="B4618" s="3" t="s">
        <v>11</v>
      </c>
      <c r="C4618" s="23" t="s">
        <v>315</v>
      </c>
      <c r="D4618" s="21"/>
    </row>
    <row r="4619" spans="1:4" ht="12.75" customHeight="1" x14ac:dyDescent="0.2">
      <c r="A4619" s="21"/>
      <c r="B4619" s="3" t="s">
        <v>16</v>
      </c>
      <c r="C4619" s="23"/>
      <c r="D4619" s="21"/>
    </row>
    <row r="4620" spans="1:4" ht="12.75" customHeight="1" x14ac:dyDescent="0.2">
      <c r="A4620" s="21"/>
      <c r="B4620" s="3" t="s">
        <v>17</v>
      </c>
      <c r="C4620" s="23" t="s">
        <v>19</v>
      </c>
      <c r="D4620" s="21"/>
    </row>
    <row r="4621" spans="1:4" ht="12.75" customHeight="1" x14ac:dyDescent="0.2">
      <c r="A4621" s="21"/>
      <c r="B4621" s="20" t="s">
        <v>18</v>
      </c>
      <c r="C4621" s="8" t="s">
        <v>280</v>
      </c>
      <c r="D4621" s="1" t="str">
        <f>HYPERLINK("javascript:void(0)","portgyűrű")</f>
        <v>portgyűrű</v>
      </c>
    </row>
    <row r="4622" spans="1:4" ht="12.75" customHeight="1" x14ac:dyDescent="0.2">
      <c r="A4622" s="21"/>
      <c r="B4622" s="21"/>
      <c r="C4622" s="8" t="s">
        <v>280</v>
      </c>
      <c r="D4622" s="1" t="str">
        <f>HYPERLINK("javascript:void(0)","szent szimbólum")</f>
        <v>szent szimbólum</v>
      </c>
    </row>
    <row r="4623" spans="1:4" ht="12.75" customHeight="1" x14ac:dyDescent="0.2">
      <c r="A4623" s="21"/>
      <c r="B4623" s="21"/>
      <c r="C4623" s="8" t="s">
        <v>1379</v>
      </c>
      <c r="D4623" s="1" t="str">
        <f>HYPERLINK("javascript:void(0)","goblinbatka")</f>
        <v>goblinbatka</v>
      </c>
    </row>
    <row r="4624" spans="1:4" ht="12.75" customHeight="1" x14ac:dyDescent="0.2">
      <c r="A4624" s="21"/>
      <c r="B4624" s="2"/>
      <c r="C4624" s="7"/>
      <c r="D4624" s="7"/>
    </row>
    <row r="4625" spans="1:4" ht="12.75" customHeight="1" x14ac:dyDescent="0.2">
      <c r="A4625" s="21"/>
      <c r="B4625" s="2"/>
      <c r="C4625" s="7"/>
      <c r="D4625" s="7"/>
    </row>
    <row r="4626" spans="1:4" ht="12.75" customHeight="1" x14ac:dyDescent="0.2">
      <c r="A4626" s="21"/>
      <c r="B4626" s="2"/>
      <c r="C4626" s="7"/>
      <c r="D4626" s="7"/>
    </row>
    <row r="4627" spans="1:4" ht="12.75" customHeight="1" x14ac:dyDescent="0.2">
      <c r="A4627" s="21"/>
      <c r="B4627" s="2"/>
      <c r="C4627" s="7"/>
      <c r="D4627" s="7"/>
    </row>
    <row r="4628" spans="1:4" ht="12.75" customHeight="1" x14ac:dyDescent="0.2">
      <c r="A4628" s="5"/>
      <c r="B4628" s="2"/>
      <c r="C4628" s="7"/>
      <c r="D4628" s="7"/>
    </row>
    <row r="4629" spans="1:4" ht="12.75" customHeight="1" x14ac:dyDescent="0.2">
      <c r="A4629" s="22" t="str">
        <f>HYPERLINK("javascript:void(0)","csillámmellény")</f>
        <v>csillámmellény</v>
      </c>
      <c r="B4629" s="21"/>
      <c r="C4629" s="21"/>
      <c r="D4629" s="21"/>
    </row>
    <row r="4630" spans="1:4" ht="12.75" customHeight="1" x14ac:dyDescent="0.2">
      <c r="A4630" s="20"/>
      <c r="B4630" s="2"/>
      <c r="C4630" s="7"/>
      <c r="D4630" s="7"/>
    </row>
    <row r="4631" spans="1:4" ht="12.75" customHeight="1" x14ac:dyDescent="0.2">
      <c r="A4631" s="21"/>
      <c r="B4631" s="3" t="s">
        <v>0</v>
      </c>
      <c r="C4631" s="23" t="s">
        <v>115</v>
      </c>
      <c r="D4631" s="21"/>
    </row>
    <row r="4632" spans="1:4" ht="12.75" customHeight="1" x14ac:dyDescent="0.2">
      <c r="A4632" s="21"/>
      <c r="B4632" s="3" t="s">
        <v>2</v>
      </c>
      <c r="C4632" s="23" t="s">
        <v>2322</v>
      </c>
      <c r="D4632" s="21"/>
    </row>
    <row r="4633" spans="1:4" ht="12.75" customHeight="1" x14ac:dyDescent="0.2">
      <c r="A4633" s="21"/>
      <c r="B4633" s="3" t="s">
        <v>1840</v>
      </c>
      <c r="C4633" s="23" t="s">
        <v>1422</v>
      </c>
      <c r="D4633" s="21"/>
    </row>
    <row r="4634" spans="1:4" ht="12.75" customHeight="1" x14ac:dyDescent="0.2">
      <c r="A4634" s="21"/>
      <c r="B4634" s="3" t="s">
        <v>9</v>
      </c>
      <c r="C4634" s="23" t="s">
        <v>464</v>
      </c>
      <c r="D4634" s="21"/>
    </row>
    <row r="4635" spans="1:4" ht="12.75" customHeight="1" x14ac:dyDescent="0.2">
      <c r="A4635" s="21"/>
      <c r="B4635" s="3" t="s">
        <v>11</v>
      </c>
      <c r="C4635" s="23" t="s">
        <v>427</v>
      </c>
      <c r="D4635" s="21"/>
    </row>
    <row r="4636" spans="1:4" ht="12.75" customHeight="1" x14ac:dyDescent="0.2">
      <c r="A4636" s="21"/>
      <c r="B4636" s="3" t="s">
        <v>16</v>
      </c>
      <c r="C4636" s="23"/>
      <c r="D4636" s="21"/>
    </row>
    <row r="4637" spans="1:4" ht="12.75" customHeight="1" x14ac:dyDescent="0.2">
      <c r="A4637" s="21"/>
      <c r="B4637" s="3" t="s">
        <v>17</v>
      </c>
      <c r="C4637" s="23" t="s">
        <v>19</v>
      </c>
      <c r="D4637" s="21"/>
    </row>
    <row r="4638" spans="1:4" ht="25.5" customHeight="1" x14ac:dyDescent="0.2">
      <c r="A4638" s="21"/>
      <c r="B4638" s="20" t="s">
        <v>18</v>
      </c>
      <c r="C4638" s="8" t="s">
        <v>44</v>
      </c>
      <c r="D4638" s="1" t="str">
        <f>HYPERLINK("javascript:void(0)","közepes csillámköpeny")</f>
        <v>közepes csillámköpeny</v>
      </c>
    </row>
    <row r="4639" spans="1:4" ht="12.75" customHeight="1" x14ac:dyDescent="0.2">
      <c r="A4639" s="21"/>
      <c r="B4639" s="21"/>
      <c r="C4639" s="8" t="s">
        <v>57</v>
      </c>
      <c r="D4639" s="1" t="str">
        <f>HYPERLINK("javascript:void(0)","csillámgöb")</f>
        <v>csillámgöb</v>
      </c>
    </row>
    <row r="4640" spans="1:4" ht="12.75" customHeight="1" x14ac:dyDescent="0.2">
      <c r="A4640" s="21"/>
      <c r="B4640" s="21"/>
      <c r="C4640" s="8" t="s">
        <v>44</v>
      </c>
      <c r="D4640" s="1" t="str">
        <f>HYPERLINK("javascript:void(0)","aranypáncél")</f>
        <v>aranypáncél</v>
      </c>
    </row>
    <row r="4641" spans="1:4" ht="12.75" customHeight="1" x14ac:dyDescent="0.2">
      <c r="A4641" s="21"/>
      <c r="B4641" s="2"/>
      <c r="C4641" s="7"/>
      <c r="D4641" s="7"/>
    </row>
    <row r="4642" spans="1:4" ht="12.75" customHeight="1" x14ac:dyDescent="0.2">
      <c r="A4642" s="21"/>
      <c r="B4642" s="2"/>
      <c r="C4642" s="7"/>
      <c r="D4642" s="7"/>
    </row>
    <row r="4643" spans="1:4" ht="12.75" customHeight="1" x14ac:dyDescent="0.2">
      <c r="A4643" s="21"/>
      <c r="B4643" s="2"/>
      <c r="C4643" s="7"/>
      <c r="D4643" s="7"/>
    </row>
    <row r="4644" spans="1:4" ht="12.75" customHeight="1" x14ac:dyDescent="0.2">
      <c r="A4644" s="21"/>
      <c r="B4644" s="2"/>
      <c r="C4644" s="7"/>
      <c r="D4644" s="7"/>
    </row>
    <row r="4645" spans="1:4" ht="12.75" customHeight="1" x14ac:dyDescent="0.2">
      <c r="A4645" s="5"/>
      <c r="B4645" s="2"/>
      <c r="C4645" s="7"/>
      <c r="D4645" s="7"/>
    </row>
    <row r="4646" spans="1:4" ht="12.75" customHeight="1" x14ac:dyDescent="0.2">
      <c r="A4646" s="22" t="str">
        <f>HYPERLINK("javascript:void(0)","csillámsurranó")</f>
        <v>csillámsurranó</v>
      </c>
      <c r="B4646" s="21"/>
      <c r="C4646" s="21"/>
      <c r="D4646" s="21"/>
    </row>
    <row r="4647" spans="1:4" ht="12.75" customHeight="1" x14ac:dyDescent="0.2">
      <c r="A4647" s="20"/>
      <c r="B4647" s="2"/>
      <c r="C4647" s="7"/>
      <c r="D4647" s="7"/>
    </row>
    <row r="4648" spans="1:4" ht="12.75" customHeight="1" x14ac:dyDescent="0.2">
      <c r="A4648" s="21"/>
      <c r="B4648" s="3" t="s">
        <v>0</v>
      </c>
      <c r="C4648" s="23" t="s">
        <v>115</v>
      </c>
      <c r="D4648" s="21"/>
    </row>
    <row r="4649" spans="1:4" ht="12.75" customHeight="1" x14ac:dyDescent="0.2">
      <c r="A4649" s="21"/>
      <c r="B4649" s="3" t="s">
        <v>2</v>
      </c>
      <c r="C4649" s="23"/>
      <c r="D4649" s="21"/>
    </row>
    <row r="4650" spans="1:4" ht="12.75" customHeight="1" x14ac:dyDescent="0.2">
      <c r="A4650" s="21"/>
      <c r="B4650" s="3" t="s">
        <v>1840</v>
      </c>
      <c r="C4650" s="23" t="s">
        <v>302</v>
      </c>
      <c r="D4650" s="21"/>
    </row>
    <row r="4651" spans="1:4" ht="12.75" customHeight="1" x14ac:dyDescent="0.2">
      <c r="A4651" s="21"/>
      <c r="B4651" s="3" t="s">
        <v>9</v>
      </c>
      <c r="C4651" s="23" t="s">
        <v>943</v>
      </c>
      <c r="D4651" s="21"/>
    </row>
    <row r="4652" spans="1:4" ht="12.75" customHeight="1" x14ac:dyDescent="0.2">
      <c r="A4652" s="21"/>
      <c r="B4652" s="3" t="s">
        <v>11</v>
      </c>
      <c r="C4652" s="23" t="s">
        <v>447</v>
      </c>
      <c r="D4652" s="21"/>
    </row>
    <row r="4653" spans="1:4" ht="12.75" customHeight="1" x14ac:dyDescent="0.2">
      <c r="A4653" s="21"/>
      <c r="B4653" s="3" t="s">
        <v>16</v>
      </c>
      <c r="C4653" s="23"/>
      <c r="D4653" s="21"/>
    </row>
    <row r="4654" spans="1:4" ht="12.75" customHeight="1" x14ac:dyDescent="0.2">
      <c r="A4654" s="21"/>
      <c r="B4654" s="3" t="s">
        <v>17</v>
      </c>
      <c r="C4654" s="23" t="s">
        <v>19</v>
      </c>
      <c r="D4654" s="21"/>
    </row>
    <row r="4655" spans="1:4" ht="12.75" customHeight="1" x14ac:dyDescent="0.2">
      <c r="A4655" s="21"/>
      <c r="B4655" s="20" t="s">
        <v>18</v>
      </c>
      <c r="C4655" s="8" t="s">
        <v>44</v>
      </c>
      <c r="D4655" s="1" t="str">
        <f>HYPERLINK("javascript:void(0)","csillámsaru")</f>
        <v>csillámsaru</v>
      </c>
    </row>
    <row r="4656" spans="1:4" ht="12.75" customHeight="1" x14ac:dyDescent="0.2">
      <c r="A4656" s="21"/>
      <c r="B4656" s="21"/>
      <c r="C4656" s="8" t="s">
        <v>57</v>
      </c>
      <c r="D4656" s="1" t="str">
        <f>HYPERLINK("javascript:void(0)","csillámgöb")</f>
        <v>csillámgöb</v>
      </c>
    </row>
    <row r="4657" spans="1:4" ht="12.75" customHeight="1" x14ac:dyDescent="0.2">
      <c r="A4657" s="21"/>
      <c r="B4657" s="21"/>
      <c r="C4657" s="8" t="s">
        <v>780</v>
      </c>
      <c r="D4657" s="1" t="str">
        <f>HYPERLINK("javascript:void(0)","kompózium")</f>
        <v>kompózium</v>
      </c>
    </row>
    <row r="4658" spans="1:4" ht="12.75" customHeight="1" x14ac:dyDescent="0.2">
      <c r="A4658" s="21"/>
      <c r="B4658" s="2"/>
      <c r="C4658" s="7"/>
      <c r="D4658" s="7"/>
    </row>
    <row r="4659" spans="1:4" ht="12.75" customHeight="1" x14ac:dyDescent="0.2">
      <c r="A4659" s="21"/>
      <c r="B4659" s="2"/>
      <c r="C4659" s="7"/>
      <c r="D4659" s="7"/>
    </row>
    <row r="4660" spans="1:4" ht="12.75" customHeight="1" x14ac:dyDescent="0.2">
      <c r="A4660" s="21"/>
      <c r="B4660" s="2"/>
      <c r="C4660" s="7"/>
      <c r="D4660" s="7"/>
    </row>
    <row r="4661" spans="1:4" ht="12.75" customHeight="1" x14ac:dyDescent="0.2">
      <c r="A4661" s="21"/>
      <c r="B4661" s="2"/>
      <c r="C4661" s="7"/>
      <c r="D4661" s="7"/>
    </row>
    <row r="4662" spans="1:4" ht="12.75" customHeight="1" x14ac:dyDescent="0.2">
      <c r="A4662" s="5"/>
      <c r="B4662" s="2"/>
      <c r="C4662" s="7"/>
      <c r="D4662" s="7"/>
    </row>
    <row r="4663" spans="1:4" ht="12.75" customHeight="1" x14ac:dyDescent="0.2">
      <c r="A4663" s="22" t="str">
        <f>HYPERLINK("javascript:void(0)","középnagy csillámpajzs")</f>
        <v>középnagy csillámpajzs</v>
      </c>
      <c r="B4663" s="21"/>
      <c r="C4663" s="21"/>
      <c r="D4663" s="21"/>
    </row>
    <row r="4664" spans="1:4" ht="12.75" customHeight="1" x14ac:dyDescent="0.2">
      <c r="A4664" s="20"/>
      <c r="B4664" s="2"/>
      <c r="C4664" s="7"/>
      <c r="D4664" s="7"/>
    </row>
    <row r="4665" spans="1:4" ht="12.75" customHeight="1" x14ac:dyDescent="0.2">
      <c r="A4665" s="21"/>
      <c r="B4665" s="3" t="s">
        <v>0</v>
      </c>
      <c r="C4665" s="23" t="s">
        <v>115</v>
      </c>
      <c r="D4665" s="21"/>
    </row>
    <row r="4666" spans="1:4" ht="12.75" customHeight="1" x14ac:dyDescent="0.2">
      <c r="A4666" s="21"/>
      <c r="B4666" s="3" t="s">
        <v>2</v>
      </c>
      <c r="C4666" s="23" t="s">
        <v>1839</v>
      </c>
      <c r="D4666" s="21"/>
    </row>
    <row r="4667" spans="1:4" ht="12.75" customHeight="1" x14ac:dyDescent="0.2">
      <c r="A4667" s="21"/>
      <c r="B4667" s="3" t="s">
        <v>1840</v>
      </c>
      <c r="C4667" s="23" t="s">
        <v>293</v>
      </c>
      <c r="D4667" s="21"/>
    </row>
    <row r="4668" spans="1:4" ht="12.75" customHeight="1" x14ac:dyDescent="0.2">
      <c r="A4668" s="21"/>
      <c r="B4668" s="3" t="s">
        <v>9</v>
      </c>
      <c r="C4668" s="23" t="s">
        <v>2062</v>
      </c>
      <c r="D4668" s="21"/>
    </row>
    <row r="4669" spans="1:4" ht="12.75" customHeight="1" x14ac:dyDescent="0.2">
      <c r="A4669" s="21"/>
      <c r="B4669" s="3" t="s">
        <v>11</v>
      </c>
      <c r="C4669" s="23" t="s">
        <v>2063</v>
      </c>
      <c r="D4669" s="21"/>
    </row>
    <row r="4670" spans="1:4" ht="12.75" customHeight="1" x14ac:dyDescent="0.2">
      <c r="A4670" s="21"/>
      <c r="B4670" s="3" t="s">
        <v>16</v>
      </c>
      <c r="C4670" s="23"/>
      <c r="D4670" s="21"/>
    </row>
    <row r="4671" spans="1:4" ht="12.75" customHeight="1" x14ac:dyDescent="0.2">
      <c r="A4671" s="21"/>
      <c r="B4671" s="3" t="s">
        <v>17</v>
      </c>
      <c r="C4671" s="23" t="s">
        <v>19</v>
      </c>
      <c r="D4671" s="21"/>
    </row>
    <row r="4672" spans="1:4" ht="25.5" customHeight="1" x14ac:dyDescent="0.2">
      <c r="A4672" s="21"/>
      <c r="B4672" s="20" t="s">
        <v>18</v>
      </c>
      <c r="C4672" s="8" t="s">
        <v>44</v>
      </c>
      <c r="D4672" s="1" t="str">
        <f>HYPERLINK("javascript:void(0)","közepes csillámpajzs")</f>
        <v>közepes csillámpajzs</v>
      </c>
    </row>
    <row r="4673" spans="1:4" ht="12.75" customHeight="1" x14ac:dyDescent="0.2">
      <c r="A4673" s="21"/>
      <c r="B4673" s="21"/>
      <c r="C4673" s="8" t="s">
        <v>57</v>
      </c>
      <c r="D4673" s="1" t="str">
        <f>HYPERLINK("javascript:void(0)","csillámgöb")</f>
        <v>csillámgöb</v>
      </c>
    </row>
    <row r="4674" spans="1:4" ht="12.75" customHeight="1" x14ac:dyDescent="0.2">
      <c r="A4674" s="21"/>
      <c r="B4674" s="21"/>
      <c r="C4674" s="8" t="s">
        <v>44</v>
      </c>
      <c r="D4674" s="1" t="str">
        <f>HYPERLINK("javascript:void(0)","rubin testpajzs")</f>
        <v>rubin testpajzs</v>
      </c>
    </row>
    <row r="4675" spans="1:4" ht="12.75" customHeight="1" x14ac:dyDescent="0.2">
      <c r="A4675" s="21"/>
      <c r="B4675" s="2"/>
      <c r="C4675" s="7"/>
      <c r="D4675" s="7"/>
    </row>
    <row r="4676" spans="1:4" ht="12.75" customHeight="1" x14ac:dyDescent="0.2">
      <c r="A4676" s="21"/>
      <c r="B4676" s="2"/>
      <c r="C4676" s="7"/>
      <c r="D4676" s="7"/>
    </row>
    <row r="4677" spans="1:4" ht="12.75" customHeight="1" x14ac:dyDescent="0.2">
      <c r="A4677" s="21"/>
      <c r="B4677" s="2"/>
      <c r="C4677" s="7"/>
      <c r="D4677" s="7"/>
    </row>
    <row r="4678" spans="1:4" ht="12.75" customHeight="1" x14ac:dyDescent="0.2">
      <c r="A4678" s="21"/>
      <c r="B4678" s="2"/>
      <c r="C4678" s="7"/>
      <c r="D4678" s="7"/>
    </row>
    <row r="4679" spans="1:4" ht="12.75" customHeight="1" x14ac:dyDescent="0.2">
      <c r="A4679" s="5"/>
      <c r="B4679" s="2"/>
      <c r="C4679" s="7"/>
      <c r="D4679" s="7"/>
    </row>
    <row r="4680" spans="1:4" ht="12.75" customHeight="1" x14ac:dyDescent="0.2">
      <c r="A4680" s="22" t="str">
        <f>HYPERLINK("javascript:void(0)","csillámló láncsisak")</f>
        <v>csillámló láncsisak</v>
      </c>
      <c r="B4680" s="21"/>
      <c r="C4680" s="21"/>
      <c r="D4680" s="21"/>
    </row>
    <row r="4681" spans="1:4" ht="12.75" customHeight="1" x14ac:dyDescent="0.2">
      <c r="A4681" s="20"/>
      <c r="B4681" s="2"/>
      <c r="C4681" s="7"/>
      <c r="D4681" s="7"/>
    </row>
    <row r="4682" spans="1:4" ht="12.75" customHeight="1" x14ac:dyDescent="0.2">
      <c r="A4682" s="21"/>
      <c r="B4682" s="3" t="s">
        <v>0</v>
      </c>
      <c r="C4682" s="23" t="s">
        <v>115</v>
      </c>
      <c r="D4682" s="21"/>
    </row>
    <row r="4683" spans="1:4" ht="12.75" customHeight="1" x14ac:dyDescent="0.2">
      <c r="A4683" s="21"/>
      <c r="B4683" s="3" t="s">
        <v>2</v>
      </c>
      <c r="C4683" s="23"/>
      <c r="D4683" s="21"/>
    </row>
    <row r="4684" spans="1:4" ht="12.75" customHeight="1" x14ac:dyDescent="0.2">
      <c r="A4684" s="21"/>
      <c r="B4684" s="3" t="s">
        <v>1840</v>
      </c>
      <c r="C4684" s="23" t="s">
        <v>790</v>
      </c>
      <c r="D4684" s="21"/>
    </row>
    <row r="4685" spans="1:4" ht="12.75" customHeight="1" x14ac:dyDescent="0.2">
      <c r="A4685" s="21"/>
      <c r="B4685" s="3" t="s">
        <v>9</v>
      </c>
      <c r="C4685" s="23" t="s">
        <v>962</v>
      </c>
      <c r="D4685" s="21"/>
    </row>
    <row r="4686" spans="1:4" ht="12.75" customHeight="1" x14ac:dyDescent="0.2">
      <c r="A4686" s="21"/>
      <c r="B4686" s="3" t="s">
        <v>11</v>
      </c>
      <c r="C4686" s="23" t="s">
        <v>397</v>
      </c>
      <c r="D4686" s="21"/>
    </row>
    <row r="4687" spans="1:4" ht="12.75" customHeight="1" x14ac:dyDescent="0.2">
      <c r="A4687" s="21"/>
      <c r="B4687" s="3" t="s">
        <v>16</v>
      </c>
      <c r="C4687" s="23"/>
      <c r="D4687" s="21"/>
    </row>
    <row r="4688" spans="1:4" ht="12.75" customHeight="1" x14ac:dyDescent="0.2">
      <c r="A4688" s="21"/>
      <c r="B4688" s="3" t="s">
        <v>17</v>
      </c>
      <c r="C4688" s="23" t="s">
        <v>19</v>
      </c>
      <c r="D4688" s="21"/>
    </row>
    <row r="4689" spans="1:4" ht="12.75" customHeight="1" x14ac:dyDescent="0.2">
      <c r="A4689" s="21"/>
      <c r="B4689" s="20" t="s">
        <v>18</v>
      </c>
      <c r="C4689" s="8" t="s">
        <v>44</v>
      </c>
      <c r="D4689" s="1" t="str">
        <f>HYPERLINK("javascript:void(0)","csillámkalap")</f>
        <v>csillámkalap</v>
      </c>
    </row>
    <row r="4690" spans="1:4" ht="12.75" customHeight="1" x14ac:dyDescent="0.2">
      <c r="A4690" s="21"/>
      <c r="B4690" s="21"/>
      <c r="C4690" s="8" t="s">
        <v>57</v>
      </c>
      <c r="D4690" s="1" t="str">
        <f>HYPERLINK("javascript:void(0)","csillámgöb")</f>
        <v>csillámgöb</v>
      </c>
    </row>
    <row r="4691" spans="1:4" ht="12.75" customHeight="1" x14ac:dyDescent="0.2">
      <c r="A4691" s="21"/>
      <c r="B4691" s="21"/>
      <c r="C4691" s="8" t="s">
        <v>67</v>
      </c>
      <c r="D4691" s="1" t="str">
        <f>HYPERLINK("javascript:void(0)","ezüstlánc")</f>
        <v>ezüstlánc</v>
      </c>
    </row>
    <row r="4692" spans="1:4" ht="12.75" customHeight="1" x14ac:dyDescent="0.2">
      <c r="A4692" s="21"/>
      <c r="B4692" s="2"/>
      <c r="C4692" s="7"/>
      <c r="D4692" s="7"/>
    </row>
    <row r="4693" spans="1:4" ht="12.75" customHeight="1" x14ac:dyDescent="0.2">
      <c r="A4693" s="21"/>
      <c r="B4693" s="2"/>
      <c r="C4693" s="7"/>
      <c r="D4693" s="7"/>
    </row>
    <row r="4694" spans="1:4" ht="12.75" customHeight="1" x14ac:dyDescent="0.2">
      <c r="A4694" s="21"/>
      <c r="B4694" s="2"/>
      <c r="C4694" s="7"/>
      <c r="D4694" s="7"/>
    </row>
    <row r="4695" spans="1:4" ht="12.75" customHeight="1" x14ac:dyDescent="0.2">
      <c r="A4695" s="21"/>
      <c r="B4695" s="2"/>
      <c r="C4695" s="7"/>
      <c r="D4695" s="7"/>
    </row>
    <row r="4696" spans="1:4" ht="12.75" customHeight="1" x14ac:dyDescent="0.2">
      <c r="A4696" s="5"/>
      <c r="B4696" s="2"/>
      <c r="C4696" s="7"/>
      <c r="D4696" s="7"/>
    </row>
    <row r="4697" spans="1:4" ht="12.75" customHeight="1" x14ac:dyDescent="0.2">
      <c r="A4697" s="22" t="str">
        <f>HYPERLINK("javascript:void(0)","opál mellvért")</f>
        <v>opál mellvért</v>
      </c>
      <c r="B4697" s="21"/>
      <c r="C4697" s="21"/>
      <c r="D4697" s="21"/>
    </row>
    <row r="4698" spans="1:4" ht="12.75" customHeight="1" x14ac:dyDescent="0.2">
      <c r="A4698" s="20"/>
      <c r="B4698" s="2"/>
      <c r="C4698" s="7"/>
      <c r="D4698" s="7"/>
    </row>
    <row r="4699" spans="1:4" ht="12.75" customHeight="1" x14ac:dyDescent="0.2">
      <c r="A4699" s="21"/>
      <c r="B4699" s="3" t="s">
        <v>0</v>
      </c>
      <c r="C4699" s="23" t="s">
        <v>417</v>
      </c>
      <c r="D4699" s="21"/>
    </row>
    <row r="4700" spans="1:4" ht="12.75" customHeight="1" x14ac:dyDescent="0.2">
      <c r="A4700" s="21"/>
      <c r="B4700" s="3" t="s">
        <v>2</v>
      </c>
      <c r="C4700" s="23" t="s">
        <v>2322</v>
      </c>
      <c r="D4700" s="21"/>
    </row>
    <row r="4701" spans="1:4" ht="12.75" customHeight="1" x14ac:dyDescent="0.2">
      <c r="A4701" s="21"/>
      <c r="B4701" s="3" t="s">
        <v>1840</v>
      </c>
      <c r="C4701" s="23" t="s">
        <v>1359</v>
      </c>
      <c r="D4701" s="21"/>
    </row>
    <row r="4702" spans="1:4" ht="12.75" customHeight="1" x14ac:dyDescent="0.2">
      <c r="A4702" s="21"/>
      <c r="B4702" s="3" t="s">
        <v>9</v>
      </c>
      <c r="C4702" s="23" t="s">
        <v>36</v>
      </c>
      <c r="D4702" s="21"/>
    </row>
    <row r="4703" spans="1:4" ht="12.75" customHeight="1" x14ac:dyDescent="0.2">
      <c r="A4703" s="21"/>
      <c r="B4703" s="3" t="s">
        <v>11</v>
      </c>
      <c r="C4703" s="23" t="s">
        <v>437</v>
      </c>
      <c r="D4703" s="21"/>
    </row>
    <row r="4704" spans="1:4" ht="12.75" customHeight="1" x14ac:dyDescent="0.2">
      <c r="A4704" s="21"/>
      <c r="B4704" s="3" t="s">
        <v>16</v>
      </c>
      <c r="C4704" s="23"/>
      <c r="D4704" s="21"/>
    </row>
    <row r="4705" spans="1:4" ht="12.75" customHeight="1" x14ac:dyDescent="0.2">
      <c r="A4705" s="21"/>
      <c r="B4705" s="3" t="s">
        <v>17</v>
      </c>
      <c r="C4705" s="23" t="s">
        <v>19</v>
      </c>
      <c r="D4705" s="21"/>
    </row>
    <row r="4706" spans="1:4" ht="12.75" customHeight="1" x14ac:dyDescent="0.2">
      <c r="A4706" s="21"/>
      <c r="B4706" s="20" t="s">
        <v>18</v>
      </c>
      <c r="C4706" s="8" t="s">
        <v>44</v>
      </c>
      <c r="D4706" s="1" t="str">
        <f>HYPERLINK("javascript:void(0)","vas mellvért")</f>
        <v>vas mellvért</v>
      </c>
    </row>
    <row r="4707" spans="1:4" ht="12.75" customHeight="1" x14ac:dyDescent="0.2">
      <c r="A4707" s="21"/>
      <c r="B4707" s="21"/>
      <c r="C4707" s="8" t="s">
        <v>309</v>
      </c>
      <c r="D4707" s="1" t="str">
        <f>HYPERLINK("javascript:void(0)","főnixtoll")</f>
        <v>főnixtoll</v>
      </c>
    </row>
    <row r="4708" spans="1:4" ht="12.75" customHeight="1" x14ac:dyDescent="0.2">
      <c r="A4708" s="21"/>
      <c r="B4708" s="21"/>
      <c r="C4708" s="8" t="s">
        <v>98</v>
      </c>
      <c r="D4708" s="1" t="str">
        <f>HYPERLINK("javascript:void(0)","kocka")</f>
        <v>kocka</v>
      </c>
    </row>
    <row r="4709" spans="1:4" ht="12.75" customHeight="1" x14ac:dyDescent="0.2">
      <c r="A4709" s="21"/>
      <c r="B4709" s="2"/>
      <c r="C4709" s="7"/>
      <c r="D4709" s="7"/>
    </row>
    <row r="4710" spans="1:4" ht="12.75" customHeight="1" x14ac:dyDescent="0.2">
      <c r="A4710" s="21"/>
      <c r="B4710" s="2"/>
      <c r="C4710" s="7"/>
      <c r="D4710" s="7"/>
    </row>
    <row r="4711" spans="1:4" ht="12.75" customHeight="1" x14ac:dyDescent="0.2">
      <c r="A4711" s="21"/>
      <c r="B4711" s="2"/>
      <c r="C4711" s="7"/>
      <c r="D4711" s="7"/>
    </row>
    <row r="4712" spans="1:4" ht="12.75" customHeight="1" x14ac:dyDescent="0.2">
      <c r="A4712" s="21"/>
      <c r="B4712" s="2"/>
      <c r="C4712" s="7"/>
      <c r="D4712" s="7"/>
    </row>
    <row r="4713" spans="1:4" ht="12.75" customHeight="1" x14ac:dyDescent="0.2">
      <c r="A4713" s="5"/>
      <c r="B4713" s="2"/>
      <c r="C4713" s="7"/>
      <c r="D4713" s="7"/>
    </row>
    <row r="4714" spans="1:4" ht="12.75" customHeight="1" x14ac:dyDescent="0.2">
      <c r="A4714" s="22" t="str">
        <f>HYPERLINK("javascript:void(0)","tollas sisak")</f>
        <v>tollas sisak</v>
      </c>
      <c r="B4714" s="21"/>
      <c r="C4714" s="21"/>
      <c r="D4714" s="21"/>
    </row>
    <row r="4715" spans="1:4" ht="12.75" customHeight="1" x14ac:dyDescent="0.2">
      <c r="A4715" s="20"/>
      <c r="B4715" s="2"/>
      <c r="C4715" s="7"/>
      <c r="D4715" s="7"/>
    </row>
    <row r="4716" spans="1:4" ht="12.75" customHeight="1" x14ac:dyDescent="0.2">
      <c r="A4716" s="21"/>
      <c r="B4716" s="3" t="s">
        <v>0</v>
      </c>
      <c r="C4716" s="23" t="s">
        <v>417</v>
      </c>
      <c r="D4716" s="21"/>
    </row>
    <row r="4717" spans="1:4" ht="12.75" customHeight="1" x14ac:dyDescent="0.2">
      <c r="A4717" s="21"/>
      <c r="B4717" s="3" t="s">
        <v>2</v>
      </c>
      <c r="C4717" s="23"/>
      <c r="D4717" s="21"/>
    </row>
    <row r="4718" spans="1:4" ht="12.75" customHeight="1" x14ac:dyDescent="0.2">
      <c r="A4718" s="21"/>
      <c r="B4718" s="3" t="s">
        <v>1840</v>
      </c>
      <c r="C4718" s="23" t="s">
        <v>275</v>
      </c>
      <c r="D4718" s="21"/>
    </row>
    <row r="4719" spans="1:4" ht="12.75" customHeight="1" x14ac:dyDescent="0.2">
      <c r="A4719" s="21"/>
      <c r="B4719" s="3" t="s">
        <v>9</v>
      </c>
      <c r="C4719" s="23" t="s">
        <v>79</v>
      </c>
      <c r="D4719" s="21"/>
    </row>
    <row r="4720" spans="1:4" ht="12.75" customHeight="1" x14ac:dyDescent="0.2">
      <c r="A4720" s="21"/>
      <c r="B4720" s="3" t="s">
        <v>11</v>
      </c>
      <c r="C4720" s="23" t="s">
        <v>437</v>
      </c>
      <c r="D4720" s="21"/>
    </row>
    <row r="4721" spans="1:4" ht="12.75" customHeight="1" x14ac:dyDescent="0.2">
      <c r="A4721" s="21"/>
      <c r="B4721" s="3" t="s">
        <v>16</v>
      </c>
      <c r="C4721" s="23"/>
      <c r="D4721" s="21"/>
    </row>
    <row r="4722" spans="1:4" ht="12.75" customHeight="1" x14ac:dyDescent="0.2">
      <c r="A4722" s="21"/>
      <c r="B4722" s="3" t="s">
        <v>17</v>
      </c>
      <c r="C4722" s="23" t="s">
        <v>19</v>
      </c>
      <c r="D4722" s="21"/>
    </row>
    <row r="4723" spans="1:4" ht="12.75" customHeight="1" x14ac:dyDescent="0.2">
      <c r="A4723" s="21"/>
      <c r="B4723" s="20" t="s">
        <v>18</v>
      </c>
      <c r="C4723" s="8" t="s">
        <v>44</v>
      </c>
      <c r="D4723" s="1" t="str">
        <f>HYPERLINK("javascript:void(0)","zanzasisak")</f>
        <v>zanzasisak</v>
      </c>
    </row>
    <row r="4724" spans="1:4" ht="12.75" customHeight="1" x14ac:dyDescent="0.2">
      <c r="A4724" s="21"/>
      <c r="B4724" s="21"/>
      <c r="C4724" s="8" t="s">
        <v>269</v>
      </c>
      <c r="D4724" s="1" t="str">
        <f>HYPERLINK("javascript:void(0)","főnixtoll")</f>
        <v>főnixtoll</v>
      </c>
    </row>
    <row r="4725" spans="1:4" ht="12.75" customHeight="1" x14ac:dyDescent="0.2">
      <c r="A4725" s="21"/>
      <c r="B4725" s="21"/>
      <c r="C4725" s="8" t="s">
        <v>139</v>
      </c>
      <c r="D4725" s="1" t="str">
        <f>HYPERLINK("javascript:void(0)","lámpás")</f>
        <v>lámpás</v>
      </c>
    </row>
    <row r="4726" spans="1:4" ht="12.75" customHeight="1" x14ac:dyDescent="0.2">
      <c r="A4726" s="21"/>
      <c r="B4726" s="2"/>
      <c r="C4726" s="7"/>
      <c r="D4726" s="7"/>
    </row>
    <row r="4727" spans="1:4" ht="12.75" customHeight="1" x14ac:dyDescent="0.2">
      <c r="A4727" s="21"/>
      <c r="B4727" s="2"/>
      <c r="C4727" s="7"/>
      <c r="D4727" s="7"/>
    </row>
    <row r="4728" spans="1:4" ht="12.75" customHeight="1" x14ac:dyDescent="0.2">
      <c r="A4728" s="21"/>
      <c r="B4728" s="2"/>
      <c r="C4728" s="7"/>
      <c r="D4728" s="7"/>
    </row>
    <row r="4729" spans="1:4" ht="12.75" customHeight="1" x14ac:dyDescent="0.2">
      <c r="A4729" s="21"/>
      <c r="B4729" s="2"/>
      <c r="C4729" s="7"/>
      <c r="D4729" s="7"/>
    </row>
    <row r="4730" spans="1:4" ht="12.75" customHeight="1" x14ac:dyDescent="0.2">
      <c r="A4730" s="5"/>
      <c r="B4730" s="2"/>
      <c r="C4730" s="7"/>
      <c r="D4730" s="7"/>
    </row>
    <row r="4731" spans="1:4" ht="12.75" customHeight="1" x14ac:dyDescent="0.2">
      <c r="A4731" s="22" t="str">
        <f>HYPERLINK("javascript:void(0)","sikolycsizma")</f>
        <v>sikolycsizma</v>
      </c>
      <c r="B4731" s="21"/>
      <c r="C4731" s="21"/>
      <c r="D4731" s="21"/>
    </row>
    <row r="4732" spans="1:4" ht="12.75" customHeight="1" x14ac:dyDescent="0.2">
      <c r="A4732" s="20"/>
      <c r="B4732" s="2"/>
      <c r="C4732" s="7"/>
      <c r="D4732" s="7"/>
    </row>
    <row r="4733" spans="1:4" ht="12.75" customHeight="1" x14ac:dyDescent="0.2">
      <c r="A4733" s="21"/>
      <c r="B4733" s="3" t="s">
        <v>0</v>
      </c>
      <c r="C4733" s="23" t="s">
        <v>417</v>
      </c>
      <c r="D4733" s="21"/>
    </row>
    <row r="4734" spans="1:4" ht="12.75" customHeight="1" x14ac:dyDescent="0.2">
      <c r="A4734" s="21"/>
      <c r="B4734" s="3" t="s">
        <v>2</v>
      </c>
      <c r="C4734" s="23"/>
      <c r="D4734" s="21"/>
    </row>
    <row r="4735" spans="1:4" ht="12.75" customHeight="1" x14ac:dyDescent="0.2">
      <c r="A4735" s="21"/>
      <c r="B4735" s="3" t="s">
        <v>1840</v>
      </c>
      <c r="C4735" s="23" t="s">
        <v>709</v>
      </c>
      <c r="D4735" s="21"/>
    </row>
    <row r="4736" spans="1:4" ht="12.75" customHeight="1" x14ac:dyDescent="0.2">
      <c r="A4736" s="21"/>
      <c r="B4736" s="3" t="s">
        <v>9</v>
      </c>
      <c r="C4736" s="23" t="s">
        <v>53</v>
      </c>
      <c r="D4736" s="21"/>
    </row>
    <row r="4737" spans="1:4" ht="12.75" customHeight="1" x14ac:dyDescent="0.2">
      <c r="A4737" s="21"/>
      <c r="B4737" s="3" t="s">
        <v>11</v>
      </c>
      <c r="C4737" s="23" t="s">
        <v>453</v>
      </c>
      <c r="D4737" s="21"/>
    </row>
    <row r="4738" spans="1:4" ht="12.75" customHeight="1" x14ac:dyDescent="0.2">
      <c r="A4738" s="21"/>
      <c r="B4738" s="3" t="s">
        <v>16</v>
      </c>
      <c r="C4738" s="23"/>
      <c r="D4738" s="21"/>
    </row>
    <row r="4739" spans="1:4" ht="12.75" customHeight="1" x14ac:dyDescent="0.2">
      <c r="A4739" s="21"/>
      <c r="B4739" s="3" t="s">
        <v>17</v>
      </c>
      <c r="C4739" s="23" t="s">
        <v>19</v>
      </c>
      <c r="D4739" s="21"/>
    </row>
    <row r="4740" spans="1:4" ht="12.75" customHeight="1" x14ac:dyDescent="0.2">
      <c r="A4740" s="21"/>
      <c r="B4740" s="20" t="s">
        <v>18</v>
      </c>
      <c r="C4740" s="8" t="s">
        <v>232</v>
      </c>
      <c r="D4740" s="1" t="str">
        <f>HYPERLINK("javascript:void(0)","hárpia copf")</f>
        <v>hárpia copf</v>
      </c>
    </row>
    <row r="4741" spans="1:4" ht="12.75" customHeight="1" x14ac:dyDescent="0.2">
      <c r="A4741" s="21"/>
      <c r="B4741" s="21"/>
      <c r="C4741" s="8" t="s">
        <v>67</v>
      </c>
      <c r="D4741" s="1" t="str">
        <f>HYPERLINK("javascript:void(0)","robbanófej")</f>
        <v>robbanófej</v>
      </c>
    </row>
    <row r="4742" spans="1:4" ht="12.75" customHeight="1" x14ac:dyDescent="0.2">
      <c r="A4742" s="21"/>
      <c r="B4742" s="21"/>
      <c r="C4742" s="8" t="s">
        <v>382</v>
      </c>
      <c r="D4742" s="1" t="str">
        <f>HYPERLINK("javascript:void(0)","nekroige")</f>
        <v>nekroige</v>
      </c>
    </row>
    <row r="4743" spans="1:4" ht="12.75" customHeight="1" x14ac:dyDescent="0.2">
      <c r="A4743" s="21"/>
      <c r="B4743" s="2"/>
      <c r="C4743" s="7"/>
      <c r="D4743" s="7"/>
    </row>
    <row r="4744" spans="1:4" ht="12.75" customHeight="1" x14ac:dyDescent="0.2">
      <c r="A4744" s="21"/>
      <c r="B4744" s="2"/>
      <c r="C4744" s="7"/>
      <c r="D4744" s="7"/>
    </row>
    <row r="4745" spans="1:4" ht="12.75" customHeight="1" x14ac:dyDescent="0.2">
      <c r="A4745" s="21"/>
      <c r="B4745" s="2"/>
      <c r="C4745" s="7"/>
      <c r="D4745" s="7"/>
    </row>
    <row r="4746" spans="1:4" ht="12.75" customHeight="1" x14ac:dyDescent="0.2">
      <c r="A4746" s="21"/>
      <c r="B4746" s="2"/>
      <c r="C4746" s="7"/>
      <c r="D4746" s="7"/>
    </row>
    <row r="4747" spans="1:4" ht="12.75" customHeight="1" x14ac:dyDescent="0.2">
      <c r="A4747" s="5"/>
      <c r="B4747" s="2"/>
      <c r="C4747" s="7"/>
      <c r="D4747" s="7"/>
    </row>
    <row r="4748" spans="1:4" ht="12.75" customHeight="1" x14ac:dyDescent="0.2">
      <c r="A4748" s="22" t="str">
        <f>HYPERLINK("javascript:void(0)","yeti testpajzs")</f>
        <v>yeti testpajzs</v>
      </c>
      <c r="B4748" s="21"/>
      <c r="C4748" s="21"/>
      <c r="D4748" s="21"/>
    </row>
    <row r="4749" spans="1:4" ht="12.75" customHeight="1" x14ac:dyDescent="0.2">
      <c r="A4749" s="20"/>
      <c r="B4749" s="2"/>
      <c r="C4749" s="7"/>
      <c r="D4749" s="7"/>
    </row>
    <row r="4750" spans="1:4" ht="12.75" customHeight="1" x14ac:dyDescent="0.2">
      <c r="A4750" s="21"/>
      <c r="B4750" s="3" t="s">
        <v>0</v>
      </c>
      <c r="C4750" s="23" t="s">
        <v>417</v>
      </c>
      <c r="D4750" s="21"/>
    </row>
    <row r="4751" spans="1:4" ht="12.75" customHeight="1" x14ac:dyDescent="0.2">
      <c r="A4751" s="21"/>
      <c r="B4751" s="3" t="s">
        <v>2</v>
      </c>
      <c r="C4751" s="23" t="s">
        <v>1839</v>
      </c>
      <c r="D4751" s="21"/>
    </row>
    <row r="4752" spans="1:4" ht="12.75" customHeight="1" x14ac:dyDescent="0.2">
      <c r="A4752" s="21"/>
      <c r="B4752" s="3" t="s">
        <v>1840</v>
      </c>
      <c r="C4752" s="23" t="s">
        <v>905</v>
      </c>
      <c r="D4752" s="21"/>
    </row>
    <row r="4753" spans="1:4" ht="12.75" customHeight="1" x14ac:dyDescent="0.2">
      <c r="A4753" s="21"/>
      <c r="B4753" s="3" t="s">
        <v>9</v>
      </c>
      <c r="C4753" s="23" t="s">
        <v>262</v>
      </c>
      <c r="D4753" s="21"/>
    </row>
    <row r="4754" spans="1:4" ht="12.75" customHeight="1" x14ac:dyDescent="0.2">
      <c r="A4754" s="21"/>
      <c r="B4754" s="3" t="s">
        <v>11</v>
      </c>
      <c r="C4754" s="23" t="s">
        <v>501</v>
      </c>
      <c r="D4754" s="21"/>
    </row>
    <row r="4755" spans="1:4" ht="12.75" customHeight="1" x14ac:dyDescent="0.2">
      <c r="A4755" s="21"/>
      <c r="B4755" s="3" t="s">
        <v>16</v>
      </c>
      <c r="C4755" s="23"/>
      <c r="D4755" s="21"/>
    </row>
    <row r="4756" spans="1:4" ht="12.75" customHeight="1" x14ac:dyDescent="0.2">
      <c r="A4756" s="21"/>
      <c r="B4756" s="3" t="s">
        <v>17</v>
      </c>
      <c r="C4756" s="23" t="s">
        <v>19</v>
      </c>
      <c r="D4756" s="21"/>
    </row>
    <row r="4757" spans="1:4" ht="12.75" customHeight="1" x14ac:dyDescent="0.2">
      <c r="A4757" s="21"/>
      <c r="B4757" s="20" t="s">
        <v>18</v>
      </c>
      <c r="C4757" s="8" t="s">
        <v>44</v>
      </c>
      <c r="D4757" s="1" t="str">
        <f>HYPERLINK("javascript:void(0)","fogazott testpajzs")</f>
        <v>fogazott testpajzs</v>
      </c>
    </row>
    <row r="4758" spans="1:4" ht="12.75" customHeight="1" x14ac:dyDescent="0.2">
      <c r="A4758" s="21"/>
      <c r="B4758" s="21"/>
      <c r="C4758" s="8" t="s">
        <v>98</v>
      </c>
      <c r="D4758" s="1" t="str">
        <f>HYPERLINK("javascript:void(0)","yetiláb")</f>
        <v>yetiláb</v>
      </c>
    </row>
    <row r="4759" spans="1:4" ht="12.75" customHeight="1" x14ac:dyDescent="0.2">
      <c r="A4759" s="21"/>
      <c r="B4759" s="21"/>
      <c r="C4759" s="8" t="s">
        <v>193</v>
      </c>
      <c r="D4759" s="1" t="str">
        <f>HYPERLINK("javascript:void(0)","lámpás")</f>
        <v>lámpás</v>
      </c>
    </row>
    <row r="4760" spans="1:4" ht="12.75" customHeight="1" x14ac:dyDescent="0.2">
      <c r="A4760" s="21"/>
      <c r="B4760" s="2"/>
      <c r="C4760" s="7"/>
      <c r="D4760" s="7"/>
    </row>
    <row r="4761" spans="1:4" ht="12.75" customHeight="1" x14ac:dyDescent="0.2">
      <c r="A4761" s="21"/>
      <c r="B4761" s="2"/>
      <c r="C4761" s="7"/>
      <c r="D4761" s="7"/>
    </row>
    <row r="4762" spans="1:4" ht="12.75" customHeight="1" x14ac:dyDescent="0.2">
      <c r="A4762" s="21"/>
      <c r="B4762" s="2"/>
      <c r="C4762" s="7"/>
      <c r="D4762" s="7"/>
    </row>
    <row r="4763" spans="1:4" ht="12.75" customHeight="1" x14ac:dyDescent="0.2">
      <c r="A4763" s="21"/>
      <c r="B4763" s="2"/>
      <c r="C4763" s="7"/>
      <c r="D4763" s="7"/>
    </row>
    <row r="4764" spans="1:4" ht="12.75" customHeight="1" x14ac:dyDescent="0.2">
      <c r="A4764" s="5"/>
      <c r="B4764" s="2"/>
      <c r="C4764" s="7"/>
      <c r="D4764" s="7"/>
    </row>
    <row r="4765" spans="1:4" ht="12.75" customHeight="1" x14ac:dyDescent="0.2">
      <c r="A4765" s="22" t="str">
        <f>HYPERLINK("javascript:void(0)","kentacél pillepajzs")</f>
        <v>kentacél pillepajzs</v>
      </c>
      <c r="B4765" s="21"/>
      <c r="C4765" s="21"/>
      <c r="D4765" s="21"/>
    </row>
    <row r="4766" spans="1:4" ht="12.75" customHeight="1" x14ac:dyDescent="0.2">
      <c r="A4766" s="20"/>
      <c r="B4766" s="2"/>
      <c r="C4766" s="7"/>
      <c r="D4766" s="7"/>
    </row>
    <row r="4767" spans="1:4" ht="12.75" customHeight="1" x14ac:dyDescent="0.2">
      <c r="A4767" s="21"/>
      <c r="B4767" s="3" t="s">
        <v>0</v>
      </c>
      <c r="C4767" s="23" t="s">
        <v>417</v>
      </c>
      <c r="D4767" s="21"/>
    </row>
    <row r="4768" spans="1:4" ht="12.75" customHeight="1" x14ac:dyDescent="0.2">
      <c r="A4768" s="21"/>
      <c r="B4768" s="3" t="s">
        <v>2</v>
      </c>
      <c r="C4768" s="23" t="s">
        <v>1839</v>
      </c>
      <c r="D4768" s="21"/>
    </row>
    <row r="4769" spans="1:4" ht="12.75" customHeight="1" x14ac:dyDescent="0.2">
      <c r="A4769" s="21"/>
      <c r="B4769" s="3" t="s">
        <v>1840</v>
      </c>
      <c r="C4769" s="23" t="s">
        <v>905</v>
      </c>
      <c r="D4769" s="21"/>
    </row>
    <row r="4770" spans="1:4" ht="12.75" customHeight="1" x14ac:dyDescent="0.2">
      <c r="A4770" s="21"/>
      <c r="B4770" s="3" t="s">
        <v>9</v>
      </c>
      <c r="C4770" s="23" t="s">
        <v>1737</v>
      </c>
      <c r="D4770" s="21"/>
    </row>
    <row r="4771" spans="1:4" ht="12.75" customHeight="1" x14ac:dyDescent="0.2">
      <c r="A4771" s="21"/>
      <c r="B4771" s="3" t="s">
        <v>11</v>
      </c>
      <c r="C4771" s="23" t="s">
        <v>523</v>
      </c>
      <c r="D4771" s="21"/>
    </row>
    <row r="4772" spans="1:4" ht="12.75" customHeight="1" x14ac:dyDescent="0.2">
      <c r="A4772" s="21"/>
      <c r="B4772" s="3" t="s">
        <v>16</v>
      </c>
      <c r="C4772" s="23"/>
      <c r="D4772" s="21"/>
    </row>
    <row r="4773" spans="1:4" ht="12.75" customHeight="1" x14ac:dyDescent="0.2">
      <c r="A4773" s="21"/>
      <c r="B4773" s="3" t="s">
        <v>17</v>
      </c>
      <c r="C4773" s="23" t="s">
        <v>19</v>
      </c>
      <c r="D4773" s="21"/>
    </row>
    <row r="4774" spans="1:4" ht="12.75" customHeight="1" x14ac:dyDescent="0.2">
      <c r="A4774" s="21"/>
      <c r="B4774" s="20" t="s">
        <v>18</v>
      </c>
      <c r="C4774" s="8" t="s">
        <v>44</v>
      </c>
      <c r="D4774" s="1" t="str">
        <f>HYPERLINK("javascript:void(0)","yeti testpajzs")</f>
        <v>yeti testpajzs</v>
      </c>
    </row>
    <row r="4775" spans="1:4" ht="12.75" customHeight="1" x14ac:dyDescent="0.2">
      <c r="A4775" s="21"/>
      <c r="B4775" s="21"/>
      <c r="C4775" s="8" t="s">
        <v>193</v>
      </c>
      <c r="D4775" s="1" t="str">
        <f>HYPERLINK("javascript:void(0)","szent szimbólum")</f>
        <v>szent szimbólum</v>
      </c>
    </row>
    <row r="4776" spans="1:4" ht="12.75" customHeight="1" x14ac:dyDescent="0.2">
      <c r="A4776" s="21"/>
      <c r="B4776" s="21"/>
      <c r="C4776" s="8" t="s">
        <v>117</v>
      </c>
      <c r="D4776" s="1" t="str">
        <f>HYPERLINK("javascript:void(0)","hárpia copf")</f>
        <v>hárpia copf</v>
      </c>
    </row>
    <row r="4777" spans="1:4" ht="12.75" customHeight="1" x14ac:dyDescent="0.2">
      <c r="A4777" s="21"/>
      <c r="B4777" s="2"/>
      <c r="C4777" s="7"/>
      <c r="D4777" s="7"/>
    </row>
    <row r="4778" spans="1:4" ht="12.75" customHeight="1" x14ac:dyDescent="0.2">
      <c r="A4778" s="21"/>
      <c r="B4778" s="2"/>
      <c r="C4778" s="7"/>
      <c r="D4778" s="7"/>
    </row>
    <row r="4779" spans="1:4" ht="12.75" customHeight="1" x14ac:dyDescent="0.2">
      <c r="A4779" s="21"/>
      <c r="B4779" s="2"/>
      <c r="C4779" s="7"/>
      <c r="D4779" s="7"/>
    </row>
    <row r="4780" spans="1:4" ht="12.75" customHeight="1" x14ac:dyDescent="0.2">
      <c r="A4780" s="21"/>
      <c r="B4780" s="2"/>
      <c r="C4780" s="7"/>
      <c r="D4780" s="7"/>
    </row>
    <row r="4781" spans="1:4" ht="12.75" customHeight="1" x14ac:dyDescent="0.2">
      <c r="A4781" s="5"/>
      <c r="B4781" s="2"/>
      <c r="C4781" s="7"/>
      <c r="D4781" s="7"/>
    </row>
    <row r="4782" spans="1:4" ht="12.75" customHeight="1" x14ac:dyDescent="0.2">
      <c r="A4782" s="22" t="str">
        <f>HYPERLINK("javascript:void(0)","smaragd antigrav csizma")</f>
        <v>smaragd antigrav csizma</v>
      </c>
      <c r="B4782" s="21"/>
      <c r="C4782" s="21"/>
      <c r="D4782" s="21"/>
    </row>
    <row r="4783" spans="1:4" ht="12.75" customHeight="1" x14ac:dyDescent="0.2">
      <c r="A4783" s="20"/>
      <c r="B4783" s="2"/>
      <c r="C4783" s="7"/>
      <c r="D4783" s="7"/>
    </row>
    <row r="4784" spans="1:4" ht="12.75" customHeight="1" x14ac:dyDescent="0.2">
      <c r="A4784" s="21"/>
      <c r="B4784" s="3" t="s">
        <v>0</v>
      </c>
      <c r="C4784" s="23" t="s">
        <v>417</v>
      </c>
      <c r="D4784" s="21"/>
    </row>
    <row r="4785" spans="1:4" ht="12.75" customHeight="1" x14ac:dyDescent="0.2">
      <c r="A4785" s="21"/>
      <c r="B4785" s="3" t="s">
        <v>2</v>
      </c>
      <c r="C4785" s="23"/>
      <c r="D4785" s="21"/>
    </row>
    <row r="4786" spans="1:4" ht="12.75" customHeight="1" x14ac:dyDescent="0.2">
      <c r="A4786" s="21"/>
      <c r="B4786" s="3" t="s">
        <v>1840</v>
      </c>
      <c r="C4786" s="23" t="s">
        <v>245</v>
      </c>
      <c r="D4786" s="21"/>
    </row>
    <row r="4787" spans="1:4" ht="12.75" customHeight="1" x14ac:dyDescent="0.2">
      <c r="A4787" s="21"/>
      <c r="B4787" s="3" t="s">
        <v>9</v>
      </c>
      <c r="C4787" s="23" t="s">
        <v>626</v>
      </c>
      <c r="D4787" s="21"/>
    </row>
    <row r="4788" spans="1:4" ht="12.75" customHeight="1" x14ac:dyDescent="0.2">
      <c r="A4788" s="21"/>
      <c r="B4788" s="3" t="s">
        <v>11</v>
      </c>
      <c r="C4788" s="23" t="s">
        <v>23</v>
      </c>
      <c r="D4788" s="21"/>
    </row>
    <row r="4789" spans="1:4" ht="12.75" customHeight="1" x14ac:dyDescent="0.2">
      <c r="A4789" s="21"/>
      <c r="B4789" s="3" t="s">
        <v>16</v>
      </c>
      <c r="C4789" s="23"/>
      <c r="D4789" s="21"/>
    </row>
    <row r="4790" spans="1:4" ht="12.75" customHeight="1" x14ac:dyDescent="0.2">
      <c r="A4790" s="21"/>
      <c r="B4790" s="3" t="s">
        <v>17</v>
      </c>
      <c r="C4790" s="23" t="s">
        <v>19</v>
      </c>
      <c r="D4790" s="21"/>
    </row>
    <row r="4791" spans="1:4" ht="25.5" customHeight="1" x14ac:dyDescent="0.2">
      <c r="A4791" s="21"/>
      <c r="B4791" s="20" t="s">
        <v>18</v>
      </c>
      <c r="C4791" s="8" t="s">
        <v>44</v>
      </c>
      <c r="D4791" s="1" t="str">
        <f>HYPERLINK("javascript:void(0)","arany antigrav csizma")</f>
        <v>arany antigrav csizma</v>
      </c>
    </row>
    <row r="4792" spans="1:4" ht="12.75" customHeight="1" x14ac:dyDescent="0.2">
      <c r="A4792" s="21"/>
      <c r="B4792" s="21"/>
      <c r="C4792" s="8" t="s">
        <v>139</v>
      </c>
      <c r="D4792" s="1" t="str">
        <f>HYPERLINK("javascript:void(0)","hárpia copf")</f>
        <v>hárpia copf</v>
      </c>
    </row>
    <row r="4793" spans="1:4" ht="12.75" customHeight="1" x14ac:dyDescent="0.2">
      <c r="A4793" s="21"/>
      <c r="B4793" s="21"/>
      <c r="C4793" s="8" t="s">
        <v>193</v>
      </c>
      <c r="D4793" s="1" t="str">
        <f>HYPERLINK("javascript:void(0)","kígyócsörgő")</f>
        <v>kígyócsörgő</v>
      </c>
    </row>
    <row r="4794" spans="1:4" ht="12.75" customHeight="1" x14ac:dyDescent="0.2">
      <c r="A4794" s="21"/>
      <c r="B4794" s="2"/>
      <c r="C4794" s="7"/>
      <c r="D4794" s="7"/>
    </row>
    <row r="4795" spans="1:4" ht="12.75" customHeight="1" x14ac:dyDescent="0.2">
      <c r="A4795" s="21"/>
      <c r="B4795" s="2"/>
      <c r="C4795" s="7"/>
      <c r="D4795" s="7"/>
    </row>
    <row r="4796" spans="1:4" ht="12.75" customHeight="1" x14ac:dyDescent="0.2">
      <c r="A4796" s="21"/>
      <c r="B4796" s="2"/>
      <c r="C4796" s="7"/>
      <c r="D4796" s="7"/>
    </row>
    <row r="4797" spans="1:4" ht="12.75" customHeight="1" x14ac:dyDescent="0.2">
      <c r="A4797" s="21"/>
      <c r="B4797" s="2"/>
      <c r="C4797" s="7"/>
      <c r="D4797" s="7"/>
    </row>
    <row r="4798" spans="1:4" ht="12.75" customHeight="1" x14ac:dyDescent="0.2">
      <c r="A4798" s="5"/>
      <c r="B4798" s="2"/>
      <c r="C4798" s="7"/>
      <c r="D4798" s="7"/>
    </row>
    <row r="4799" spans="1:4" ht="12.75" customHeight="1" x14ac:dyDescent="0.2">
      <c r="A4799" s="22" t="str">
        <f>HYPERLINK("javascript:void(0)","hidracél mellvért")</f>
        <v>hidracél mellvért</v>
      </c>
      <c r="B4799" s="21"/>
      <c r="C4799" s="21"/>
      <c r="D4799" s="21"/>
    </row>
    <row r="4800" spans="1:4" ht="12.75" customHeight="1" x14ac:dyDescent="0.2">
      <c r="A4800" s="20"/>
      <c r="B4800" s="2"/>
      <c r="C4800" s="7"/>
      <c r="D4800" s="7"/>
    </row>
    <row r="4801" spans="1:4" ht="12.75" customHeight="1" x14ac:dyDescent="0.2">
      <c r="A4801" s="21"/>
      <c r="B4801" s="3" t="s">
        <v>0</v>
      </c>
      <c r="C4801" s="23" t="s">
        <v>216</v>
      </c>
      <c r="D4801" s="21"/>
    </row>
    <row r="4802" spans="1:4" ht="12.75" customHeight="1" x14ac:dyDescent="0.2">
      <c r="A4802" s="21"/>
      <c r="B4802" s="3" t="s">
        <v>2</v>
      </c>
      <c r="C4802" s="23" t="s">
        <v>2322</v>
      </c>
      <c r="D4802" s="21"/>
    </row>
    <row r="4803" spans="1:4" ht="12.75" customHeight="1" x14ac:dyDescent="0.2">
      <c r="A4803" s="21"/>
      <c r="B4803" s="3" t="s">
        <v>1840</v>
      </c>
      <c r="C4803" s="23" t="s">
        <v>1385</v>
      </c>
      <c r="D4803" s="21"/>
    </row>
    <row r="4804" spans="1:4" ht="12.75" customHeight="1" x14ac:dyDescent="0.2">
      <c r="A4804" s="21"/>
      <c r="B4804" s="3" t="s">
        <v>9</v>
      </c>
      <c r="C4804" s="23" t="s">
        <v>374</v>
      </c>
      <c r="D4804" s="21"/>
    </row>
    <row r="4805" spans="1:4" ht="12.75" customHeight="1" x14ac:dyDescent="0.2">
      <c r="A4805" s="21"/>
      <c r="B4805" s="3" t="s">
        <v>11</v>
      </c>
      <c r="C4805" s="23" t="s">
        <v>447</v>
      </c>
      <c r="D4805" s="21"/>
    </row>
    <row r="4806" spans="1:4" ht="12.75" customHeight="1" x14ac:dyDescent="0.2">
      <c r="A4806" s="21"/>
      <c r="B4806" s="3" t="s">
        <v>16</v>
      </c>
      <c r="C4806" s="23"/>
      <c r="D4806" s="21"/>
    </row>
    <row r="4807" spans="1:4" ht="12.75" customHeight="1" x14ac:dyDescent="0.2">
      <c r="A4807" s="21"/>
      <c r="B4807" s="3" t="s">
        <v>17</v>
      </c>
      <c r="C4807" s="23" t="s">
        <v>19</v>
      </c>
      <c r="D4807" s="21"/>
    </row>
    <row r="4808" spans="1:4" ht="12.75" customHeight="1" x14ac:dyDescent="0.2">
      <c r="A4808" s="21"/>
      <c r="B4808" s="20" t="s">
        <v>18</v>
      </c>
      <c r="C4808" s="8" t="s">
        <v>280</v>
      </c>
      <c r="D4808" s="1" t="str">
        <f>HYPERLINK("javascript:void(0)","szén-hidragén")</f>
        <v>szén-hidragén</v>
      </c>
    </row>
    <row r="4809" spans="1:4" ht="12.75" customHeight="1" x14ac:dyDescent="0.2">
      <c r="A4809" s="21"/>
      <c r="B4809" s="21"/>
      <c r="C4809" s="8" t="s">
        <v>139</v>
      </c>
      <c r="D4809" s="1" t="str">
        <f>HYPERLINK("javascript:void(0)","csáphárító")</f>
        <v>csáphárító</v>
      </c>
    </row>
    <row r="4810" spans="1:4" ht="12.75" customHeight="1" x14ac:dyDescent="0.2">
      <c r="A4810" s="21"/>
      <c r="B4810" s="21"/>
      <c r="C4810" s="8" t="s">
        <v>68</v>
      </c>
      <c r="D4810" s="1" t="str">
        <f>HYPERLINK("javascript:void(0)","portgyűrű")</f>
        <v>portgyűrű</v>
      </c>
    </row>
    <row r="4811" spans="1:4" ht="12.75" customHeight="1" x14ac:dyDescent="0.2">
      <c r="A4811" s="21"/>
      <c r="B4811" s="2"/>
      <c r="C4811" s="7"/>
      <c r="D4811" s="7"/>
    </row>
    <row r="4812" spans="1:4" ht="12.75" customHeight="1" x14ac:dyDescent="0.2">
      <c r="A4812" s="21"/>
      <c r="B4812" s="2"/>
      <c r="C4812" s="7"/>
      <c r="D4812" s="7"/>
    </row>
    <row r="4813" spans="1:4" ht="12.75" customHeight="1" x14ac:dyDescent="0.2">
      <c r="A4813" s="21"/>
      <c r="B4813" s="2"/>
      <c r="C4813" s="7"/>
      <c r="D4813" s="7"/>
    </row>
    <row r="4814" spans="1:4" ht="12.75" customHeight="1" x14ac:dyDescent="0.2">
      <c r="A4814" s="21"/>
      <c r="B4814" s="2"/>
      <c r="C4814" s="7"/>
      <c r="D4814" s="7"/>
    </row>
    <row r="4815" spans="1:4" ht="12.75" customHeight="1" x14ac:dyDescent="0.2">
      <c r="A4815" s="5"/>
      <c r="B4815" s="2"/>
      <c r="C4815" s="7"/>
      <c r="D4815" s="7"/>
    </row>
    <row r="4816" spans="1:4" ht="12.75" customHeight="1" x14ac:dyDescent="0.2">
      <c r="A4816" s="22" t="str">
        <f>HYPERLINK("javascript:void(0)","díszes sisak")</f>
        <v>díszes sisak</v>
      </c>
      <c r="B4816" s="21"/>
      <c r="C4816" s="21"/>
      <c r="D4816" s="21"/>
    </row>
    <row r="4817" spans="1:4" ht="12.75" customHeight="1" x14ac:dyDescent="0.2">
      <c r="A4817" s="20"/>
      <c r="B4817" s="2"/>
      <c r="C4817" s="7"/>
      <c r="D4817" s="7"/>
    </row>
    <row r="4818" spans="1:4" ht="12.75" customHeight="1" x14ac:dyDescent="0.2">
      <c r="A4818" s="21"/>
      <c r="B4818" s="3" t="s">
        <v>0</v>
      </c>
      <c r="C4818" s="23" t="s">
        <v>216</v>
      </c>
      <c r="D4818" s="21"/>
    </row>
    <row r="4819" spans="1:4" ht="12.75" customHeight="1" x14ac:dyDescent="0.2">
      <c r="A4819" s="21"/>
      <c r="B4819" s="3" t="s">
        <v>2</v>
      </c>
      <c r="C4819" s="23"/>
      <c r="D4819" s="21"/>
    </row>
    <row r="4820" spans="1:4" ht="12.75" customHeight="1" x14ac:dyDescent="0.2">
      <c r="A4820" s="21"/>
      <c r="B4820" s="3" t="s">
        <v>1840</v>
      </c>
      <c r="C4820" s="23" t="s">
        <v>773</v>
      </c>
      <c r="D4820" s="21"/>
    </row>
    <row r="4821" spans="1:4" ht="12.75" customHeight="1" x14ac:dyDescent="0.2">
      <c r="A4821" s="21"/>
      <c r="B4821" s="3" t="s">
        <v>9</v>
      </c>
      <c r="C4821" s="23" t="s">
        <v>374</v>
      </c>
      <c r="D4821" s="21"/>
    </row>
    <row r="4822" spans="1:4" ht="12.75" customHeight="1" x14ac:dyDescent="0.2">
      <c r="A4822" s="21"/>
      <c r="B4822" s="3" t="s">
        <v>11</v>
      </c>
      <c r="C4822" s="23" t="s">
        <v>447</v>
      </c>
      <c r="D4822" s="21"/>
    </row>
    <row r="4823" spans="1:4" ht="12.75" customHeight="1" x14ac:dyDescent="0.2">
      <c r="A4823" s="21"/>
      <c r="B4823" s="3" t="s">
        <v>16</v>
      </c>
      <c r="C4823" s="23"/>
      <c r="D4823" s="21"/>
    </row>
    <row r="4824" spans="1:4" ht="12.75" customHeight="1" x14ac:dyDescent="0.2">
      <c r="A4824" s="21"/>
      <c r="B4824" s="3" t="s">
        <v>17</v>
      </c>
      <c r="C4824" s="23" t="s">
        <v>19</v>
      </c>
      <c r="D4824" s="21"/>
    </row>
    <row r="4825" spans="1:4" ht="12.75" customHeight="1" x14ac:dyDescent="0.2">
      <c r="A4825" s="21"/>
      <c r="B4825" s="20" t="s">
        <v>18</v>
      </c>
      <c r="C4825" s="8" t="s">
        <v>44</v>
      </c>
      <c r="D4825" s="1" t="str">
        <f>HYPERLINK("javascript:void(0)","tollas sisak")</f>
        <v>tollas sisak</v>
      </c>
    </row>
    <row r="4826" spans="1:4" ht="12.75" customHeight="1" x14ac:dyDescent="0.2">
      <c r="A4826" s="21"/>
      <c r="B4826" s="21"/>
      <c r="C4826" s="8" t="s">
        <v>269</v>
      </c>
      <c r="D4826" s="1" t="str">
        <f>HYPERLINK("javascript:void(0)","yetiláb")</f>
        <v>yetiláb</v>
      </c>
    </row>
    <row r="4827" spans="1:4" ht="12.75" customHeight="1" x14ac:dyDescent="0.2">
      <c r="A4827" s="21"/>
      <c r="B4827" s="21"/>
      <c r="C4827" s="8" t="s">
        <v>232</v>
      </c>
      <c r="D4827" s="1" t="str">
        <f>HYPERLINK("javascript:void(0)","esztétikum")</f>
        <v>esztétikum</v>
      </c>
    </row>
    <row r="4828" spans="1:4" ht="12.75" customHeight="1" x14ac:dyDescent="0.2">
      <c r="A4828" s="21"/>
      <c r="B4828" s="2"/>
      <c r="C4828" s="7"/>
      <c r="D4828" s="7"/>
    </row>
    <row r="4829" spans="1:4" ht="12.75" customHeight="1" x14ac:dyDescent="0.2">
      <c r="A4829" s="21"/>
      <c r="B4829" s="2"/>
      <c r="C4829" s="7"/>
      <c r="D4829" s="7"/>
    </row>
    <row r="4830" spans="1:4" ht="12.75" customHeight="1" x14ac:dyDescent="0.2">
      <c r="A4830" s="21"/>
      <c r="B4830" s="2"/>
      <c r="C4830" s="7"/>
      <c r="D4830" s="7"/>
    </row>
    <row r="4831" spans="1:4" ht="12.75" customHeight="1" x14ac:dyDescent="0.2">
      <c r="A4831" s="21"/>
      <c r="B4831" s="2"/>
      <c r="C4831" s="7"/>
      <c r="D4831" s="7"/>
    </row>
    <row r="4832" spans="1:4" ht="12.75" customHeight="1" x14ac:dyDescent="0.2">
      <c r="A4832" s="5"/>
      <c r="B4832" s="2"/>
      <c r="C4832" s="7"/>
      <c r="D4832" s="7"/>
    </row>
    <row r="4833" spans="1:4" ht="12.75" customHeight="1" x14ac:dyDescent="0.2">
      <c r="A4833" s="22" t="str">
        <f>HYPERLINK("javascript:void(0)","díszes szandál")</f>
        <v>díszes szandál</v>
      </c>
      <c r="B4833" s="21"/>
      <c r="C4833" s="21"/>
      <c r="D4833" s="21"/>
    </row>
    <row r="4834" spans="1:4" ht="12.75" customHeight="1" x14ac:dyDescent="0.2">
      <c r="A4834" s="20"/>
      <c r="B4834" s="2"/>
      <c r="C4834" s="7"/>
      <c r="D4834" s="7"/>
    </row>
    <row r="4835" spans="1:4" ht="12.75" customHeight="1" x14ac:dyDescent="0.2">
      <c r="A4835" s="21"/>
      <c r="B4835" s="3" t="s">
        <v>0</v>
      </c>
      <c r="C4835" s="23" t="s">
        <v>216</v>
      </c>
      <c r="D4835" s="21"/>
    </row>
    <row r="4836" spans="1:4" ht="12.75" customHeight="1" x14ac:dyDescent="0.2">
      <c r="A4836" s="21"/>
      <c r="B4836" s="3" t="s">
        <v>2</v>
      </c>
      <c r="C4836" s="23"/>
      <c r="D4836" s="21"/>
    </row>
    <row r="4837" spans="1:4" ht="12.75" customHeight="1" x14ac:dyDescent="0.2">
      <c r="A4837" s="21"/>
      <c r="B4837" s="3" t="s">
        <v>1840</v>
      </c>
      <c r="C4837" s="23" t="s">
        <v>78</v>
      </c>
      <c r="D4837" s="21"/>
    </row>
    <row r="4838" spans="1:4" ht="12.75" customHeight="1" x14ac:dyDescent="0.2">
      <c r="A4838" s="21"/>
      <c r="B4838" s="3" t="s">
        <v>9</v>
      </c>
      <c r="C4838" s="23" t="s">
        <v>137</v>
      </c>
      <c r="D4838" s="21"/>
    </row>
    <row r="4839" spans="1:4" ht="12.75" customHeight="1" x14ac:dyDescent="0.2">
      <c r="A4839" s="21"/>
      <c r="B4839" s="3" t="s">
        <v>11</v>
      </c>
      <c r="C4839" s="23" t="s">
        <v>465</v>
      </c>
      <c r="D4839" s="21"/>
    </row>
    <row r="4840" spans="1:4" ht="12.75" customHeight="1" x14ac:dyDescent="0.2">
      <c r="A4840" s="21"/>
      <c r="B4840" s="3" t="s">
        <v>16</v>
      </c>
      <c r="C4840" s="23"/>
      <c r="D4840" s="21"/>
    </row>
    <row r="4841" spans="1:4" ht="12.75" customHeight="1" x14ac:dyDescent="0.2">
      <c r="A4841" s="21"/>
      <c r="B4841" s="3" t="s">
        <v>17</v>
      </c>
      <c r="C4841" s="23" t="s">
        <v>19</v>
      </c>
      <c r="D4841" s="21"/>
    </row>
    <row r="4842" spans="1:4" ht="12.75" customHeight="1" x14ac:dyDescent="0.2">
      <c r="A4842" s="21"/>
      <c r="B4842" s="20" t="s">
        <v>18</v>
      </c>
      <c r="C4842" s="8" t="s">
        <v>44</v>
      </c>
      <c r="D4842" s="1" t="str">
        <f>HYPERLINK("javascript:void(0)","yetitappancs")</f>
        <v>yetitappancs</v>
      </c>
    </row>
    <row r="4843" spans="1:4" ht="12.75" customHeight="1" x14ac:dyDescent="0.2">
      <c r="A4843" s="21"/>
      <c r="B4843" s="21"/>
      <c r="C4843" s="8" t="s">
        <v>44</v>
      </c>
      <c r="D4843" s="1" t="str">
        <f>HYPERLINK("javascript:void(0)","sikolycsizma")</f>
        <v>sikolycsizma</v>
      </c>
    </row>
    <row r="4844" spans="1:4" ht="12.75" customHeight="1" x14ac:dyDescent="0.2">
      <c r="A4844" s="21"/>
      <c r="B4844" s="21"/>
      <c r="C4844" s="8" t="s">
        <v>232</v>
      </c>
      <c r="D4844" s="1" t="str">
        <f>HYPERLINK("javascript:void(0)","esztétikum")</f>
        <v>esztétikum</v>
      </c>
    </row>
    <row r="4845" spans="1:4" ht="12.75" customHeight="1" x14ac:dyDescent="0.2">
      <c r="A4845" s="21"/>
      <c r="B4845" s="2"/>
      <c r="C4845" s="7"/>
      <c r="D4845" s="7"/>
    </row>
    <row r="4846" spans="1:4" ht="12.75" customHeight="1" x14ac:dyDescent="0.2">
      <c r="A4846" s="21"/>
      <c r="B4846" s="2"/>
      <c r="C4846" s="7"/>
      <c r="D4846" s="7"/>
    </row>
    <row r="4847" spans="1:4" ht="12.75" customHeight="1" x14ac:dyDescent="0.2">
      <c r="A4847" s="21"/>
      <c r="B4847" s="2"/>
      <c r="C4847" s="7"/>
      <c r="D4847" s="7"/>
    </row>
    <row r="4848" spans="1:4" ht="12.75" customHeight="1" x14ac:dyDescent="0.2">
      <c r="A4848" s="21"/>
      <c r="B4848" s="2"/>
      <c r="C4848" s="7"/>
      <c r="D4848" s="7"/>
    </row>
    <row r="4849" spans="1:4" ht="12.75" customHeight="1" x14ac:dyDescent="0.2">
      <c r="A4849" s="5"/>
      <c r="B4849" s="2"/>
      <c r="C4849" s="7"/>
      <c r="D4849" s="7"/>
    </row>
    <row r="4850" spans="1:4" ht="12.75" customHeight="1" x14ac:dyDescent="0.2">
      <c r="A4850" s="22" t="str">
        <f>HYPERLINK("javascript:void(0)","portál pajzs")</f>
        <v>portál pajzs</v>
      </c>
      <c r="B4850" s="21"/>
      <c r="C4850" s="21"/>
      <c r="D4850" s="21"/>
    </row>
    <row r="4851" spans="1:4" ht="12.75" customHeight="1" x14ac:dyDescent="0.2">
      <c r="A4851" s="20"/>
      <c r="B4851" s="2"/>
      <c r="C4851" s="7"/>
      <c r="D4851" s="7"/>
    </row>
    <row r="4852" spans="1:4" ht="12.75" customHeight="1" x14ac:dyDescent="0.2">
      <c r="A4852" s="21"/>
      <c r="B4852" s="3" t="s">
        <v>0</v>
      </c>
      <c r="C4852" s="23" t="s">
        <v>216</v>
      </c>
      <c r="D4852" s="21"/>
    </row>
    <row r="4853" spans="1:4" ht="12.75" customHeight="1" x14ac:dyDescent="0.2">
      <c r="A4853" s="21"/>
      <c r="B4853" s="3" t="s">
        <v>2</v>
      </c>
      <c r="C4853" s="23" t="s">
        <v>1839</v>
      </c>
      <c r="D4853" s="21"/>
    </row>
    <row r="4854" spans="1:4" ht="12.75" customHeight="1" x14ac:dyDescent="0.2">
      <c r="A4854" s="21"/>
      <c r="B4854" s="3" t="s">
        <v>1840</v>
      </c>
      <c r="C4854" s="23" t="s">
        <v>937</v>
      </c>
      <c r="D4854" s="21"/>
    </row>
    <row r="4855" spans="1:4" ht="12.75" customHeight="1" x14ac:dyDescent="0.2">
      <c r="A4855" s="21"/>
      <c r="B4855" s="3" t="s">
        <v>9</v>
      </c>
      <c r="C4855" s="23" t="s">
        <v>198</v>
      </c>
      <c r="D4855" s="21"/>
    </row>
    <row r="4856" spans="1:4" ht="12.75" customHeight="1" x14ac:dyDescent="0.2">
      <c r="A4856" s="21"/>
      <c r="B4856" s="3" t="s">
        <v>11</v>
      </c>
      <c r="C4856" s="23" t="s">
        <v>514</v>
      </c>
      <c r="D4856" s="21"/>
    </row>
    <row r="4857" spans="1:4" ht="12.75" customHeight="1" x14ac:dyDescent="0.2">
      <c r="A4857" s="21"/>
      <c r="B4857" s="3" t="s">
        <v>16</v>
      </c>
      <c r="C4857" s="23"/>
      <c r="D4857" s="21"/>
    </row>
    <row r="4858" spans="1:4" ht="12.75" customHeight="1" x14ac:dyDescent="0.2">
      <c r="A4858" s="21"/>
      <c r="B4858" s="3" t="s">
        <v>17</v>
      </c>
      <c r="C4858" s="23" t="s">
        <v>19</v>
      </c>
      <c r="D4858" s="21"/>
    </row>
    <row r="4859" spans="1:4" ht="12.75" customHeight="1" x14ac:dyDescent="0.2">
      <c r="A4859" s="21"/>
      <c r="B4859" s="20" t="s">
        <v>18</v>
      </c>
      <c r="C4859" s="8" t="s">
        <v>44</v>
      </c>
      <c r="D4859" s="1" t="str">
        <f>HYPERLINK("javascript:void(0)","yeti pajzs")</f>
        <v>yeti pajzs</v>
      </c>
    </row>
    <row r="4860" spans="1:4" ht="12.75" customHeight="1" x14ac:dyDescent="0.2">
      <c r="A4860" s="21"/>
      <c r="B4860" s="21"/>
      <c r="C4860" s="8" t="s">
        <v>494</v>
      </c>
      <c r="D4860" s="1" t="str">
        <f>HYPERLINK("javascript:void(0)","mantüske")</f>
        <v>mantüske</v>
      </c>
    </row>
    <row r="4861" spans="1:4" ht="12.75" customHeight="1" x14ac:dyDescent="0.2">
      <c r="A4861" s="21"/>
      <c r="B4861" s="21"/>
      <c r="C4861" s="8" t="s">
        <v>68</v>
      </c>
      <c r="D4861" s="1" t="str">
        <f>HYPERLINK("javascript:void(0)","portgyűrű")</f>
        <v>portgyűrű</v>
      </c>
    </row>
    <row r="4862" spans="1:4" ht="12.75" customHeight="1" x14ac:dyDescent="0.2">
      <c r="A4862" s="21"/>
      <c r="B4862" s="2"/>
      <c r="C4862" s="7"/>
      <c r="D4862" s="7"/>
    </row>
    <row r="4863" spans="1:4" ht="12.75" customHeight="1" x14ac:dyDescent="0.2">
      <c r="A4863" s="21"/>
      <c r="B4863" s="2"/>
      <c r="C4863" s="7"/>
      <c r="D4863" s="7"/>
    </row>
    <row r="4864" spans="1:4" ht="12.75" customHeight="1" x14ac:dyDescent="0.2">
      <c r="A4864" s="21"/>
      <c r="B4864" s="2"/>
      <c r="C4864" s="7"/>
      <c r="D4864" s="7"/>
    </row>
    <row r="4865" spans="1:4" ht="12.75" customHeight="1" x14ac:dyDescent="0.2">
      <c r="A4865" s="21"/>
      <c r="B4865" s="2"/>
      <c r="C4865" s="7"/>
      <c r="D4865" s="7"/>
    </row>
    <row r="4866" spans="1:4" ht="12.75" customHeight="1" x14ac:dyDescent="0.2">
      <c r="A4866" s="5"/>
      <c r="B4866" s="2"/>
      <c r="C4866" s="7"/>
      <c r="D4866" s="7"/>
    </row>
    <row r="4867" spans="1:4" ht="12.75" customHeight="1" x14ac:dyDescent="0.2">
      <c r="A4867" s="22" t="str">
        <f>HYPERLINK("javascript:void(0)","kompózium pillepajzs")</f>
        <v>kompózium pillepajzs</v>
      </c>
      <c r="B4867" s="21"/>
      <c r="C4867" s="21"/>
      <c r="D4867" s="21"/>
    </row>
    <row r="4868" spans="1:4" ht="12.75" customHeight="1" x14ac:dyDescent="0.2">
      <c r="A4868" s="20"/>
      <c r="B4868" s="2"/>
      <c r="C4868" s="7"/>
      <c r="D4868" s="7"/>
    </row>
    <row r="4869" spans="1:4" ht="12.75" customHeight="1" x14ac:dyDescent="0.2">
      <c r="A4869" s="21"/>
      <c r="B4869" s="3" t="s">
        <v>0</v>
      </c>
      <c r="C4869" s="23" t="s">
        <v>216</v>
      </c>
      <c r="D4869" s="21"/>
    </row>
    <row r="4870" spans="1:4" ht="12.75" customHeight="1" x14ac:dyDescent="0.2">
      <c r="A4870" s="21"/>
      <c r="B4870" s="3" t="s">
        <v>2</v>
      </c>
      <c r="C4870" s="23" t="s">
        <v>1839</v>
      </c>
      <c r="D4870" s="21"/>
    </row>
    <row r="4871" spans="1:4" ht="12.75" customHeight="1" x14ac:dyDescent="0.2">
      <c r="A4871" s="21"/>
      <c r="B4871" s="3" t="s">
        <v>1840</v>
      </c>
      <c r="C4871" s="23" t="s">
        <v>937</v>
      </c>
      <c r="D4871" s="21"/>
    </row>
    <row r="4872" spans="1:4" ht="12.75" customHeight="1" x14ac:dyDescent="0.2">
      <c r="A4872" s="21"/>
      <c r="B4872" s="3" t="s">
        <v>9</v>
      </c>
      <c r="C4872" s="23" t="s">
        <v>2070</v>
      </c>
      <c r="D4872" s="21"/>
    </row>
    <row r="4873" spans="1:4" ht="12.75" customHeight="1" x14ac:dyDescent="0.2">
      <c r="A4873" s="21"/>
      <c r="B4873" s="3" t="s">
        <v>11</v>
      </c>
      <c r="C4873" s="23" t="s">
        <v>536</v>
      </c>
      <c r="D4873" s="21"/>
    </row>
    <row r="4874" spans="1:4" ht="12.75" customHeight="1" x14ac:dyDescent="0.2">
      <c r="A4874" s="21"/>
      <c r="B4874" s="3" t="s">
        <v>16</v>
      </c>
      <c r="C4874" s="23"/>
      <c r="D4874" s="21"/>
    </row>
    <row r="4875" spans="1:4" ht="12.75" customHeight="1" x14ac:dyDescent="0.2">
      <c r="A4875" s="21"/>
      <c r="B4875" s="3" t="s">
        <v>17</v>
      </c>
      <c r="C4875" s="23" t="s">
        <v>19</v>
      </c>
      <c r="D4875" s="21"/>
    </row>
    <row r="4876" spans="1:4" ht="12.75" customHeight="1" x14ac:dyDescent="0.2">
      <c r="A4876" s="21"/>
      <c r="B4876" s="20" t="s">
        <v>18</v>
      </c>
      <c r="C4876" s="8" t="s">
        <v>44</v>
      </c>
      <c r="D4876" s="1" t="str">
        <f>HYPERLINK("javascript:void(0)","portál pajzs")</f>
        <v>portál pajzs</v>
      </c>
    </row>
    <row r="4877" spans="1:4" ht="12.75" customHeight="1" x14ac:dyDescent="0.2">
      <c r="A4877" s="21"/>
      <c r="B4877" s="21"/>
      <c r="C4877" s="8" t="s">
        <v>117</v>
      </c>
      <c r="D4877" s="1" t="str">
        <f>HYPERLINK("javascript:void(0)","kompózium")</f>
        <v>kompózium</v>
      </c>
    </row>
    <row r="4878" spans="1:4" ht="12.75" customHeight="1" x14ac:dyDescent="0.2">
      <c r="A4878" s="21"/>
      <c r="B4878" s="21"/>
      <c r="C4878" s="8" t="s">
        <v>117</v>
      </c>
      <c r="D4878" s="1" t="str">
        <f>HYPERLINK("javascript:void(0)","portgyűrű")</f>
        <v>portgyűrű</v>
      </c>
    </row>
    <row r="4879" spans="1:4" ht="12.75" customHeight="1" x14ac:dyDescent="0.2">
      <c r="A4879" s="21"/>
      <c r="B4879" s="2"/>
      <c r="C4879" s="7"/>
      <c r="D4879" s="7"/>
    </row>
    <row r="4880" spans="1:4" ht="12.75" customHeight="1" x14ac:dyDescent="0.2">
      <c r="A4880" s="21"/>
      <c r="B4880" s="2"/>
      <c r="C4880" s="7"/>
      <c r="D4880" s="7"/>
    </row>
    <row r="4881" spans="1:4" ht="12.75" customHeight="1" x14ac:dyDescent="0.2">
      <c r="A4881" s="21"/>
      <c r="B4881" s="2"/>
      <c r="C4881" s="7"/>
      <c r="D4881" s="7"/>
    </row>
    <row r="4882" spans="1:4" ht="12.75" customHeight="1" x14ac:dyDescent="0.2">
      <c r="A4882" s="21"/>
      <c r="B4882" s="2"/>
      <c r="C4882" s="7"/>
      <c r="D4882" s="7"/>
    </row>
    <row r="4883" spans="1:4" ht="12.75" customHeight="1" x14ac:dyDescent="0.2">
      <c r="A4883" s="5"/>
      <c r="B4883" s="2"/>
      <c r="C4883" s="7"/>
      <c r="D4883" s="7"/>
    </row>
    <row r="4884" spans="1:4" ht="12.75" customHeight="1" x14ac:dyDescent="0.2">
      <c r="A4884" s="22" t="str">
        <f>HYPERLINK("javascript:void(0)","smaragd mellvért")</f>
        <v>smaragd mellvért</v>
      </c>
      <c r="B4884" s="21"/>
      <c r="C4884" s="21"/>
      <c r="D4884" s="21"/>
    </row>
    <row r="4885" spans="1:4" ht="12.75" customHeight="1" x14ac:dyDescent="0.2">
      <c r="A4885" s="20"/>
      <c r="B4885" s="2"/>
      <c r="C4885" s="7"/>
      <c r="D4885" s="7"/>
    </row>
    <row r="4886" spans="1:4" ht="12.75" customHeight="1" x14ac:dyDescent="0.2">
      <c r="A4886" s="21"/>
      <c r="B4886" s="3" t="s">
        <v>0</v>
      </c>
      <c r="C4886" s="23" t="s">
        <v>435</v>
      </c>
      <c r="D4886" s="21"/>
    </row>
    <row r="4887" spans="1:4" ht="12.75" customHeight="1" x14ac:dyDescent="0.2">
      <c r="A4887" s="21"/>
      <c r="B4887" s="3" t="s">
        <v>2</v>
      </c>
      <c r="C4887" s="23" t="s">
        <v>2322</v>
      </c>
      <c r="D4887" s="21"/>
    </row>
    <row r="4888" spans="1:4" ht="12.75" customHeight="1" x14ac:dyDescent="0.2">
      <c r="A4888" s="21"/>
      <c r="B4888" s="3" t="s">
        <v>1840</v>
      </c>
      <c r="C4888" s="23" t="s">
        <v>267</v>
      </c>
      <c r="D4888" s="21"/>
    </row>
    <row r="4889" spans="1:4" ht="12.75" customHeight="1" x14ac:dyDescent="0.2">
      <c r="A4889" s="21"/>
      <c r="B4889" s="3" t="s">
        <v>9</v>
      </c>
      <c r="C4889" s="23" t="s">
        <v>124</v>
      </c>
      <c r="D4889" s="21"/>
    </row>
    <row r="4890" spans="1:4" ht="12.75" customHeight="1" x14ac:dyDescent="0.2">
      <c r="A4890" s="21"/>
      <c r="B4890" s="3" t="s">
        <v>11</v>
      </c>
      <c r="C4890" s="23" t="s">
        <v>453</v>
      </c>
      <c r="D4890" s="21"/>
    </row>
    <row r="4891" spans="1:4" ht="12.75" customHeight="1" x14ac:dyDescent="0.2">
      <c r="A4891" s="21"/>
      <c r="B4891" s="3" t="s">
        <v>16</v>
      </c>
      <c r="C4891" s="23"/>
      <c r="D4891" s="21"/>
    </row>
    <row r="4892" spans="1:4" ht="12.75" customHeight="1" x14ac:dyDescent="0.2">
      <c r="A4892" s="21"/>
      <c r="B4892" s="3" t="s">
        <v>17</v>
      </c>
      <c r="C4892" s="23" t="s">
        <v>19</v>
      </c>
      <c r="D4892" s="21"/>
    </row>
    <row r="4893" spans="1:4" ht="12.75" customHeight="1" x14ac:dyDescent="0.2">
      <c r="A4893" s="21"/>
      <c r="B4893" s="20" t="s">
        <v>18</v>
      </c>
      <c r="C4893" s="8" t="s">
        <v>44</v>
      </c>
      <c r="D4893" s="1" t="str">
        <f>HYPERLINK("javascript:void(0)","opál mellvért")</f>
        <v>opál mellvért</v>
      </c>
    </row>
    <row r="4894" spans="1:4" ht="12.75" customHeight="1" x14ac:dyDescent="0.2">
      <c r="A4894" s="21"/>
      <c r="B4894" s="21"/>
      <c r="C4894" s="8" t="s">
        <v>44</v>
      </c>
      <c r="D4894" s="1" t="str">
        <f>HYPERLINK("javascript:void(0)","hidracél mellvért")</f>
        <v>hidracél mellvért</v>
      </c>
    </row>
    <row r="4895" spans="1:4" ht="12.75" customHeight="1" x14ac:dyDescent="0.2">
      <c r="A4895" s="21"/>
      <c r="B4895" s="21"/>
      <c r="C4895" s="8" t="s">
        <v>44</v>
      </c>
      <c r="D4895" s="1" t="str">
        <f>HYPERLINK("javascript:void(0)","smaragd előlap")</f>
        <v>smaragd előlap</v>
      </c>
    </row>
    <row r="4896" spans="1:4" ht="12.75" customHeight="1" x14ac:dyDescent="0.2">
      <c r="A4896" s="21"/>
      <c r="B4896" s="2"/>
      <c r="C4896" s="7"/>
      <c r="D4896" s="7"/>
    </row>
    <row r="4897" spans="1:4" ht="12.75" customHeight="1" x14ac:dyDescent="0.2">
      <c r="A4897" s="21"/>
      <c r="B4897" s="2"/>
      <c r="C4897" s="7"/>
      <c r="D4897" s="7"/>
    </row>
    <row r="4898" spans="1:4" ht="12.75" customHeight="1" x14ac:dyDescent="0.2">
      <c r="A4898" s="21"/>
      <c r="B4898" s="2"/>
      <c r="C4898" s="7"/>
      <c r="D4898" s="7"/>
    </row>
    <row r="4899" spans="1:4" ht="12.75" customHeight="1" x14ac:dyDescent="0.2">
      <c r="A4899" s="21"/>
      <c r="B4899" s="2"/>
      <c r="C4899" s="7"/>
      <c r="D4899" s="7"/>
    </row>
    <row r="4900" spans="1:4" ht="12.75" customHeight="1" x14ac:dyDescent="0.2">
      <c r="A4900" s="5"/>
      <c r="B4900" s="2"/>
      <c r="C4900" s="7"/>
      <c r="D4900" s="7"/>
    </row>
    <row r="4901" spans="1:4" ht="12.75" customHeight="1" x14ac:dyDescent="0.2">
      <c r="A4901" s="22" t="str">
        <f>HYPERLINK("javascript:void(0)","vörös sisak")</f>
        <v>vörös sisak</v>
      </c>
      <c r="B4901" s="21"/>
      <c r="C4901" s="21"/>
      <c r="D4901" s="21"/>
    </row>
    <row r="4902" spans="1:4" ht="12.75" customHeight="1" x14ac:dyDescent="0.2">
      <c r="A4902" s="20"/>
      <c r="B4902" s="2"/>
      <c r="C4902" s="7"/>
      <c r="D4902" s="7"/>
    </row>
    <row r="4903" spans="1:4" ht="12.75" customHeight="1" x14ac:dyDescent="0.2">
      <c r="A4903" s="21"/>
      <c r="B4903" s="3" t="s">
        <v>0</v>
      </c>
      <c r="C4903" s="23" t="s">
        <v>435</v>
      </c>
      <c r="D4903" s="21"/>
    </row>
    <row r="4904" spans="1:4" ht="12.75" customHeight="1" x14ac:dyDescent="0.2">
      <c r="A4904" s="21"/>
      <c r="B4904" s="3" t="s">
        <v>2</v>
      </c>
      <c r="C4904" s="23"/>
      <c r="D4904" s="21"/>
    </row>
    <row r="4905" spans="1:4" ht="12.75" customHeight="1" x14ac:dyDescent="0.2">
      <c r="A4905" s="21"/>
      <c r="B4905" s="3" t="s">
        <v>1840</v>
      </c>
      <c r="C4905" s="23" t="s">
        <v>790</v>
      </c>
      <c r="D4905" s="21"/>
    </row>
    <row r="4906" spans="1:4" ht="12.75" customHeight="1" x14ac:dyDescent="0.2">
      <c r="A4906" s="21"/>
      <c r="B4906" s="3" t="s">
        <v>9</v>
      </c>
      <c r="C4906" s="23" t="s">
        <v>172</v>
      </c>
      <c r="D4906" s="21"/>
    </row>
    <row r="4907" spans="1:4" ht="12.75" customHeight="1" x14ac:dyDescent="0.2">
      <c r="A4907" s="21"/>
      <c r="B4907" s="3" t="s">
        <v>11</v>
      </c>
      <c r="C4907" s="23" t="s">
        <v>453</v>
      </c>
      <c r="D4907" s="21"/>
    </row>
    <row r="4908" spans="1:4" ht="12.75" customHeight="1" x14ac:dyDescent="0.2">
      <c r="A4908" s="21"/>
      <c r="B4908" s="3" t="s">
        <v>16</v>
      </c>
      <c r="C4908" s="23"/>
      <c r="D4908" s="21"/>
    </row>
    <row r="4909" spans="1:4" ht="12.75" customHeight="1" x14ac:dyDescent="0.2">
      <c r="A4909" s="21"/>
      <c r="B4909" s="3" t="s">
        <v>17</v>
      </c>
      <c r="C4909" s="23" t="s">
        <v>19</v>
      </c>
      <c r="D4909" s="21"/>
    </row>
    <row r="4910" spans="1:4" ht="12.75" customHeight="1" x14ac:dyDescent="0.2">
      <c r="A4910" s="21"/>
      <c r="B4910" s="20" t="s">
        <v>18</v>
      </c>
      <c r="C4910" s="8" t="s">
        <v>420</v>
      </c>
      <c r="D4910" s="1" t="str">
        <f>HYPERLINK("javascript:void(0)","lámpás")</f>
        <v>lámpás</v>
      </c>
    </row>
    <row r="4911" spans="1:4" ht="12.75" customHeight="1" x14ac:dyDescent="0.2">
      <c r="A4911" s="21"/>
      <c r="B4911" s="21"/>
      <c r="C4911" s="8" t="s">
        <v>2985</v>
      </c>
      <c r="D4911" s="1" t="str">
        <f>HYPERLINK("javascript:void(0)","démonzanza")</f>
        <v>démonzanza</v>
      </c>
    </row>
    <row r="4912" spans="1:4" ht="12.75" customHeight="1" x14ac:dyDescent="0.2">
      <c r="A4912" s="21"/>
      <c r="B4912" s="21"/>
      <c r="C4912" s="8" t="s">
        <v>232</v>
      </c>
      <c r="D4912" s="1" t="str">
        <f>HYPERLINK("javascript:void(0)","hemoglobin")</f>
        <v>hemoglobin</v>
      </c>
    </row>
    <row r="4913" spans="1:4" ht="12.75" customHeight="1" x14ac:dyDescent="0.2">
      <c r="A4913" s="21"/>
      <c r="B4913" s="2"/>
      <c r="C4913" s="7"/>
      <c r="D4913" s="7"/>
    </row>
    <row r="4914" spans="1:4" ht="12.75" customHeight="1" x14ac:dyDescent="0.2">
      <c r="A4914" s="21"/>
      <c r="B4914" s="2"/>
      <c r="C4914" s="7"/>
      <c r="D4914" s="7"/>
    </row>
    <row r="4915" spans="1:4" ht="12.75" customHeight="1" x14ac:dyDescent="0.2">
      <c r="A4915" s="21"/>
      <c r="B4915" s="2"/>
      <c r="C4915" s="7"/>
      <c r="D4915" s="7"/>
    </row>
    <row r="4916" spans="1:4" ht="12.75" customHeight="1" x14ac:dyDescent="0.2">
      <c r="A4916" s="21"/>
      <c r="B4916" s="2"/>
      <c r="C4916" s="7"/>
      <c r="D4916" s="7"/>
    </row>
    <row r="4917" spans="1:4" ht="12.75" customHeight="1" x14ac:dyDescent="0.2">
      <c r="A4917" s="5"/>
      <c r="B4917" s="2"/>
      <c r="C4917" s="7"/>
      <c r="D4917" s="7"/>
    </row>
    <row r="4918" spans="1:4" ht="12.75" customHeight="1" x14ac:dyDescent="0.2">
      <c r="A4918" s="22" t="str">
        <f>HYPERLINK("javascript:void(0)","csapcsizma")</f>
        <v>csapcsizma</v>
      </c>
      <c r="B4918" s="21"/>
      <c r="C4918" s="21"/>
      <c r="D4918" s="21"/>
    </row>
    <row r="4919" spans="1:4" ht="12.75" customHeight="1" x14ac:dyDescent="0.2">
      <c r="A4919" s="20"/>
      <c r="B4919" s="2"/>
      <c r="C4919" s="7"/>
      <c r="D4919" s="7"/>
    </row>
    <row r="4920" spans="1:4" ht="12.75" customHeight="1" x14ac:dyDescent="0.2">
      <c r="A4920" s="21"/>
      <c r="B4920" s="3" t="s">
        <v>0</v>
      </c>
      <c r="C4920" s="23" t="s">
        <v>435</v>
      </c>
      <c r="D4920" s="21"/>
    </row>
    <row r="4921" spans="1:4" ht="12.75" customHeight="1" x14ac:dyDescent="0.2">
      <c r="A4921" s="21"/>
      <c r="B4921" s="3" t="s">
        <v>2</v>
      </c>
      <c r="C4921" s="23"/>
      <c r="D4921" s="21"/>
    </row>
    <row r="4922" spans="1:4" ht="12.75" customHeight="1" x14ac:dyDescent="0.2">
      <c r="A4922" s="21"/>
      <c r="B4922" s="3" t="s">
        <v>1840</v>
      </c>
      <c r="C4922" s="23" t="s">
        <v>161</v>
      </c>
      <c r="D4922" s="21"/>
    </row>
    <row r="4923" spans="1:4" ht="12.75" customHeight="1" x14ac:dyDescent="0.2">
      <c r="A4923" s="21"/>
      <c r="B4923" s="3" t="s">
        <v>9</v>
      </c>
      <c r="C4923" s="23" t="s">
        <v>172</v>
      </c>
      <c r="D4923" s="21"/>
    </row>
    <row r="4924" spans="1:4" ht="12.75" customHeight="1" x14ac:dyDescent="0.2">
      <c r="A4924" s="21"/>
      <c r="B4924" s="3" t="s">
        <v>11</v>
      </c>
      <c r="C4924" s="23" t="s">
        <v>470</v>
      </c>
      <c r="D4924" s="21"/>
    </row>
    <row r="4925" spans="1:4" ht="12.75" customHeight="1" x14ac:dyDescent="0.2">
      <c r="A4925" s="21"/>
      <c r="B4925" s="3" t="s">
        <v>16</v>
      </c>
      <c r="C4925" s="23"/>
      <c r="D4925" s="21"/>
    </row>
    <row r="4926" spans="1:4" ht="12.75" customHeight="1" x14ac:dyDescent="0.2">
      <c r="A4926" s="21"/>
      <c r="B4926" s="3" t="s">
        <v>17</v>
      </c>
      <c r="C4926" s="23" t="s">
        <v>19</v>
      </c>
      <c r="D4926" s="21"/>
    </row>
    <row r="4927" spans="1:4" ht="12.75" customHeight="1" x14ac:dyDescent="0.2">
      <c r="A4927" s="21"/>
      <c r="B4927" s="20" t="s">
        <v>18</v>
      </c>
      <c r="C4927" s="8" t="s">
        <v>44</v>
      </c>
      <c r="D4927" s="1" t="str">
        <f>HYPERLINK("javascript:void(0)","díszes szandál")</f>
        <v>díszes szandál</v>
      </c>
    </row>
    <row r="4928" spans="1:4" ht="12.75" customHeight="1" x14ac:dyDescent="0.2">
      <c r="A4928" s="21"/>
      <c r="B4928" s="21"/>
      <c r="C4928" s="8" t="s">
        <v>193</v>
      </c>
      <c r="D4928" s="1" t="str">
        <f>HYPERLINK("javascript:void(0)","démonfog")</f>
        <v>démonfog</v>
      </c>
    </row>
    <row r="4929" spans="1:4" ht="12.75" customHeight="1" x14ac:dyDescent="0.2">
      <c r="A4929" s="21"/>
      <c r="B4929" s="21"/>
      <c r="C4929" s="8" t="s">
        <v>232</v>
      </c>
      <c r="D4929" s="1" t="str">
        <f>HYPERLINK("javascript:void(0)","hordócsap")</f>
        <v>hordócsap</v>
      </c>
    </row>
    <row r="4930" spans="1:4" ht="12.75" customHeight="1" x14ac:dyDescent="0.2">
      <c r="A4930" s="21"/>
      <c r="B4930" s="2"/>
      <c r="C4930" s="7"/>
      <c r="D4930" s="7"/>
    </row>
    <row r="4931" spans="1:4" ht="12.75" customHeight="1" x14ac:dyDescent="0.2">
      <c r="A4931" s="21"/>
      <c r="B4931" s="2"/>
      <c r="C4931" s="7"/>
      <c r="D4931" s="7"/>
    </row>
    <row r="4932" spans="1:4" ht="12.75" customHeight="1" x14ac:dyDescent="0.2">
      <c r="A4932" s="21"/>
      <c r="B4932" s="2"/>
      <c r="C4932" s="7"/>
      <c r="D4932" s="7"/>
    </row>
    <row r="4933" spans="1:4" ht="12.75" customHeight="1" x14ac:dyDescent="0.2">
      <c r="A4933" s="21"/>
      <c r="B4933" s="2"/>
      <c r="C4933" s="7"/>
      <c r="D4933" s="7"/>
    </row>
    <row r="4934" spans="1:4" ht="12.75" customHeight="1" x14ac:dyDescent="0.2">
      <c r="A4934" s="5"/>
      <c r="B4934" s="2"/>
      <c r="C4934" s="7"/>
      <c r="D4934" s="7"/>
    </row>
    <row r="4935" spans="1:4" ht="12.75" customHeight="1" x14ac:dyDescent="0.2">
      <c r="A4935" s="22" t="str">
        <f>HYPERLINK("javascript:void(0)","portál testpajzs")</f>
        <v>portál testpajzs</v>
      </c>
      <c r="B4935" s="21"/>
      <c r="C4935" s="21"/>
      <c r="D4935" s="21"/>
    </row>
    <row r="4936" spans="1:4" ht="12.75" customHeight="1" x14ac:dyDescent="0.2">
      <c r="A4936" s="20"/>
      <c r="B4936" s="2"/>
      <c r="C4936" s="7"/>
      <c r="D4936" s="7"/>
    </row>
    <row r="4937" spans="1:4" ht="12.75" customHeight="1" x14ac:dyDescent="0.2">
      <c r="A4937" s="21"/>
      <c r="B4937" s="3" t="s">
        <v>0</v>
      </c>
      <c r="C4937" s="23" t="s">
        <v>435</v>
      </c>
      <c r="D4937" s="21"/>
    </row>
    <row r="4938" spans="1:4" ht="12.75" customHeight="1" x14ac:dyDescent="0.2">
      <c r="A4938" s="21"/>
      <c r="B4938" s="3" t="s">
        <v>2</v>
      </c>
      <c r="C4938" s="23" t="s">
        <v>1839</v>
      </c>
      <c r="D4938" s="21"/>
    </row>
    <row r="4939" spans="1:4" ht="12.75" customHeight="1" x14ac:dyDescent="0.2">
      <c r="A4939" s="21"/>
      <c r="B4939" s="3" t="s">
        <v>1840</v>
      </c>
      <c r="C4939" s="23" t="s">
        <v>293</v>
      </c>
      <c r="D4939" s="21"/>
    </row>
    <row r="4940" spans="1:4" ht="12.75" customHeight="1" x14ac:dyDescent="0.2">
      <c r="A4940" s="21"/>
      <c r="B4940" s="3" t="s">
        <v>9</v>
      </c>
      <c r="C4940" s="23" t="s">
        <v>300</v>
      </c>
      <c r="D4940" s="21"/>
    </row>
    <row r="4941" spans="1:4" ht="12.75" customHeight="1" x14ac:dyDescent="0.2">
      <c r="A4941" s="21"/>
      <c r="B4941" s="3" t="s">
        <v>11</v>
      </c>
      <c r="C4941" s="23" t="s">
        <v>523</v>
      </c>
      <c r="D4941" s="21"/>
    </row>
    <row r="4942" spans="1:4" ht="12.75" customHeight="1" x14ac:dyDescent="0.2">
      <c r="A4942" s="21"/>
      <c r="B4942" s="3" t="s">
        <v>16</v>
      </c>
      <c r="C4942" s="23"/>
      <c r="D4942" s="21"/>
    </row>
    <row r="4943" spans="1:4" ht="12.75" customHeight="1" x14ac:dyDescent="0.2">
      <c r="A4943" s="21"/>
      <c r="B4943" s="3" t="s">
        <v>17</v>
      </c>
      <c r="C4943" s="23" t="s">
        <v>19</v>
      </c>
      <c r="D4943" s="21"/>
    </row>
    <row r="4944" spans="1:4" ht="12.75" customHeight="1" x14ac:dyDescent="0.2">
      <c r="A4944" s="21"/>
      <c r="B4944" s="20" t="s">
        <v>18</v>
      </c>
      <c r="C4944" s="8" t="s">
        <v>44</v>
      </c>
      <c r="D4944" s="1" t="str">
        <f>HYPERLINK("javascript:void(0)","yeti testpajzs")</f>
        <v>yeti testpajzs</v>
      </c>
    </row>
    <row r="4945" spans="1:4" ht="12.75" customHeight="1" x14ac:dyDescent="0.2">
      <c r="A4945" s="21"/>
      <c r="B4945" s="21"/>
      <c r="C4945" s="8" t="s">
        <v>98</v>
      </c>
      <c r="D4945" s="1" t="str">
        <f>HYPERLINK("javascript:void(0)","portgyűrű")</f>
        <v>portgyűrű</v>
      </c>
    </row>
    <row r="4946" spans="1:4" ht="12.75" customHeight="1" x14ac:dyDescent="0.2">
      <c r="A4946" s="21"/>
      <c r="B4946" s="21"/>
      <c r="C4946" s="8" t="s">
        <v>68</v>
      </c>
      <c r="D4946" s="1" t="str">
        <f>HYPERLINK("javascript:void(0)","hordócsap")</f>
        <v>hordócsap</v>
      </c>
    </row>
    <row r="4947" spans="1:4" ht="12.75" customHeight="1" x14ac:dyDescent="0.2">
      <c r="A4947" s="21"/>
      <c r="B4947" s="2"/>
      <c r="C4947" s="7"/>
      <c r="D4947" s="7"/>
    </row>
    <row r="4948" spans="1:4" ht="12.75" customHeight="1" x14ac:dyDescent="0.2">
      <c r="A4948" s="21"/>
      <c r="B4948" s="2"/>
      <c r="C4948" s="7"/>
      <c r="D4948" s="7"/>
    </row>
    <row r="4949" spans="1:4" ht="12.75" customHeight="1" x14ac:dyDescent="0.2">
      <c r="A4949" s="21"/>
      <c r="B4949" s="2"/>
      <c r="C4949" s="7"/>
      <c r="D4949" s="7"/>
    </row>
    <row r="4950" spans="1:4" ht="12.75" customHeight="1" x14ac:dyDescent="0.2">
      <c r="A4950" s="21"/>
      <c r="B4950" s="2"/>
      <c r="C4950" s="7"/>
      <c r="D4950" s="7"/>
    </row>
    <row r="4951" spans="1:4" ht="12.75" customHeight="1" x14ac:dyDescent="0.2">
      <c r="A4951" s="5"/>
      <c r="B4951" s="2"/>
      <c r="C4951" s="7"/>
      <c r="D4951" s="7"/>
    </row>
    <row r="4952" spans="1:4" ht="12.75" customHeight="1" x14ac:dyDescent="0.2">
      <c r="A4952" s="22" t="str">
        <f>HYPERLINK("javascript:void(0)","mengorni pillepajzs")</f>
        <v>mengorni pillepajzs</v>
      </c>
      <c r="B4952" s="21"/>
      <c r="C4952" s="21"/>
      <c r="D4952" s="21"/>
    </row>
    <row r="4953" spans="1:4" ht="12.75" customHeight="1" x14ac:dyDescent="0.2">
      <c r="A4953" s="20"/>
      <c r="B4953" s="2"/>
      <c r="C4953" s="7"/>
      <c r="D4953" s="7"/>
    </row>
    <row r="4954" spans="1:4" ht="12.75" customHeight="1" x14ac:dyDescent="0.2">
      <c r="A4954" s="21"/>
      <c r="B4954" s="3" t="s">
        <v>0</v>
      </c>
      <c r="C4954" s="23" t="s">
        <v>435</v>
      </c>
      <c r="D4954" s="21"/>
    </row>
    <row r="4955" spans="1:4" ht="12.75" customHeight="1" x14ac:dyDescent="0.2">
      <c r="A4955" s="21"/>
      <c r="B4955" s="3" t="s">
        <v>2</v>
      </c>
      <c r="C4955" s="23" t="s">
        <v>1839</v>
      </c>
      <c r="D4955" s="21"/>
    </row>
    <row r="4956" spans="1:4" ht="12.75" customHeight="1" x14ac:dyDescent="0.2">
      <c r="A4956" s="21"/>
      <c r="B4956" s="3" t="s">
        <v>1840</v>
      </c>
      <c r="C4956" s="23" t="s">
        <v>293</v>
      </c>
      <c r="D4956" s="21"/>
    </row>
    <row r="4957" spans="1:4" ht="12.75" customHeight="1" x14ac:dyDescent="0.2">
      <c r="A4957" s="21"/>
      <c r="B4957" s="3" t="s">
        <v>9</v>
      </c>
      <c r="C4957" s="23" t="s">
        <v>1262</v>
      </c>
      <c r="D4957" s="21"/>
    </row>
    <row r="4958" spans="1:4" ht="12.75" customHeight="1" x14ac:dyDescent="0.2">
      <c r="A4958" s="21"/>
      <c r="B4958" s="3" t="s">
        <v>11</v>
      </c>
      <c r="C4958" s="23" t="s">
        <v>542</v>
      </c>
      <c r="D4958" s="21"/>
    </row>
    <row r="4959" spans="1:4" ht="12.75" customHeight="1" x14ac:dyDescent="0.2">
      <c r="A4959" s="21"/>
      <c r="B4959" s="3" t="s">
        <v>16</v>
      </c>
      <c r="C4959" s="23"/>
      <c r="D4959" s="21"/>
    </row>
    <row r="4960" spans="1:4" ht="12.75" customHeight="1" x14ac:dyDescent="0.2">
      <c r="A4960" s="21"/>
      <c r="B4960" s="3" t="s">
        <v>17</v>
      </c>
      <c r="C4960" s="23" t="s">
        <v>19</v>
      </c>
      <c r="D4960" s="21"/>
    </row>
    <row r="4961" spans="1:4" ht="12.75" customHeight="1" x14ac:dyDescent="0.2">
      <c r="A4961" s="21"/>
      <c r="B4961" s="20" t="s">
        <v>18</v>
      </c>
      <c r="C4961" s="8" t="s">
        <v>44</v>
      </c>
      <c r="D4961" s="1" t="str">
        <f>HYPERLINK("javascript:void(0)","portál testpajzs")</f>
        <v>portál testpajzs</v>
      </c>
    </row>
    <row r="4962" spans="1:4" ht="12.75" customHeight="1" x14ac:dyDescent="0.2">
      <c r="A4962" s="21"/>
      <c r="B4962" s="21"/>
      <c r="C4962" s="8" t="s">
        <v>950</v>
      </c>
      <c r="D4962" s="1" t="str">
        <f>HYPERLINK("javascript:void(0)","diszprózium")</f>
        <v>diszprózium</v>
      </c>
    </row>
    <row r="4963" spans="1:4" ht="12.75" customHeight="1" x14ac:dyDescent="0.2">
      <c r="A4963" s="21"/>
      <c r="B4963" s="21"/>
      <c r="C4963" s="8" t="s">
        <v>117</v>
      </c>
      <c r="D4963" s="1" t="str">
        <f>HYPERLINK("javascript:void(0)","hordócsap")</f>
        <v>hordócsap</v>
      </c>
    </row>
    <row r="4964" spans="1:4" ht="12.75" customHeight="1" x14ac:dyDescent="0.2">
      <c r="A4964" s="21"/>
      <c r="B4964" s="2"/>
      <c r="C4964" s="7"/>
      <c r="D4964" s="7"/>
    </row>
    <row r="4965" spans="1:4" ht="12.75" customHeight="1" x14ac:dyDescent="0.2">
      <c r="A4965" s="21"/>
      <c r="B4965" s="2"/>
      <c r="C4965" s="7"/>
      <c r="D4965" s="7"/>
    </row>
    <row r="4966" spans="1:4" ht="12.75" customHeight="1" x14ac:dyDescent="0.2">
      <c r="A4966" s="21"/>
      <c r="B4966" s="2"/>
      <c r="C4966" s="7"/>
      <c r="D4966" s="7"/>
    </row>
    <row r="4967" spans="1:4" ht="12.75" customHeight="1" x14ac:dyDescent="0.2">
      <c r="A4967" s="21"/>
      <c r="B4967" s="2"/>
      <c r="C4967" s="7"/>
      <c r="D4967" s="7"/>
    </row>
    <row r="4968" spans="1:4" ht="12.75" customHeight="1" x14ac:dyDescent="0.2">
      <c r="A4968" s="5"/>
      <c r="B4968" s="2"/>
      <c r="C4968" s="7"/>
      <c r="D4968" s="7"/>
    </row>
    <row r="4969" spans="1:4" ht="12.75" customHeight="1" x14ac:dyDescent="0.2">
      <c r="A4969" s="22" t="str">
        <f>HYPERLINK("javascript:void(0)","gyémánt manasisak")</f>
        <v>gyémánt manasisak</v>
      </c>
      <c r="B4969" s="21"/>
      <c r="C4969" s="21"/>
      <c r="D4969" s="21"/>
    </row>
    <row r="4970" spans="1:4" ht="12.75" customHeight="1" x14ac:dyDescent="0.2">
      <c r="A4970" s="20"/>
      <c r="B4970" s="2"/>
      <c r="C4970" s="7"/>
      <c r="D4970" s="7"/>
    </row>
    <row r="4971" spans="1:4" ht="12.75" customHeight="1" x14ac:dyDescent="0.2">
      <c r="A4971" s="21"/>
      <c r="B4971" s="3" t="s">
        <v>0</v>
      </c>
      <c r="C4971" s="23" t="s">
        <v>435</v>
      </c>
      <c r="D4971" s="21"/>
    </row>
    <row r="4972" spans="1:4" ht="12.75" customHeight="1" x14ac:dyDescent="0.2">
      <c r="A4972" s="21"/>
      <c r="B4972" s="3" t="s">
        <v>2</v>
      </c>
      <c r="C4972" s="23"/>
      <c r="D4972" s="21"/>
    </row>
    <row r="4973" spans="1:4" ht="12.75" customHeight="1" x14ac:dyDescent="0.2">
      <c r="A4973" s="21"/>
      <c r="B4973" s="3" t="s">
        <v>1840</v>
      </c>
      <c r="C4973" s="23" t="s">
        <v>216</v>
      </c>
      <c r="D4973" s="21"/>
    </row>
    <row r="4974" spans="1:4" ht="12.75" customHeight="1" x14ac:dyDescent="0.2">
      <c r="A4974" s="21"/>
      <c r="B4974" s="3" t="s">
        <v>9</v>
      </c>
      <c r="C4974" s="23" t="s">
        <v>124</v>
      </c>
      <c r="D4974" s="21"/>
    </row>
    <row r="4975" spans="1:4" ht="12.75" customHeight="1" x14ac:dyDescent="0.2">
      <c r="A4975" s="21"/>
      <c r="B4975" s="3" t="s">
        <v>11</v>
      </c>
      <c r="C4975" s="23" t="s">
        <v>315</v>
      </c>
      <c r="D4975" s="21"/>
    </row>
    <row r="4976" spans="1:4" ht="12.75" customHeight="1" x14ac:dyDescent="0.2">
      <c r="A4976" s="21"/>
      <c r="B4976" s="3" t="s">
        <v>16</v>
      </c>
      <c r="C4976" s="23"/>
      <c r="D4976" s="21"/>
    </row>
    <row r="4977" spans="1:4" ht="12.75" customHeight="1" x14ac:dyDescent="0.2">
      <c r="A4977" s="21"/>
      <c r="B4977" s="3" t="s">
        <v>17</v>
      </c>
      <c r="C4977" s="23" t="s">
        <v>19</v>
      </c>
      <c r="D4977" s="21"/>
    </row>
    <row r="4978" spans="1:4" ht="12.75" customHeight="1" x14ac:dyDescent="0.2">
      <c r="A4978" s="21"/>
      <c r="B4978" s="20" t="s">
        <v>18</v>
      </c>
      <c r="C4978" s="8" t="s">
        <v>44</v>
      </c>
      <c r="D4978" s="1" t="str">
        <f>HYPERLINK("javascript:void(0)","rubin manasisak")</f>
        <v>rubin manasisak</v>
      </c>
    </row>
    <row r="4979" spans="1:4" ht="12.75" customHeight="1" x14ac:dyDescent="0.2">
      <c r="A4979" s="21"/>
      <c r="B4979" s="21"/>
      <c r="C4979" s="8" t="s">
        <v>117</v>
      </c>
      <c r="D4979" s="1" t="str">
        <f>HYPERLINK("javascript:void(0)","portgyűrű")</f>
        <v>portgyűrű</v>
      </c>
    </row>
    <row r="4980" spans="1:4" ht="12.75" customHeight="1" x14ac:dyDescent="0.2">
      <c r="A4980" s="21"/>
      <c r="B4980" s="21"/>
      <c r="C4980" s="8" t="s">
        <v>68</v>
      </c>
      <c r="D4980" s="1" t="str">
        <f>HYPERLINK("javascript:void(0)","hemoglobin")</f>
        <v>hemoglobin</v>
      </c>
    </row>
    <row r="4981" spans="1:4" ht="12.75" customHeight="1" x14ac:dyDescent="0.2">
      <c r="A4981" s="21"/>
      <c r="B4981" s="2"/>
      <c r="C4981" s="7"/>
      <c r="D4981" s="7"/>
    </row>
    <row r="4982" spans="1:4" ht="12.75" customHeight="1" x14ac:dyDescent="0.2">
      <c r="A4982" s="21"/>
      <c r="B4982" s="2"/>
      <c r="C4982" s="7"/>
      <c r="D4982" s="7"/>
    </row>
    <row r="4983" spans="1:4" ht="12.75" customHeight="1" x14ac:dyDescent="0.2">
      <c r="A4983" s="21"/>
      <c r="B4983" s="2"/>
      <c r="C4983" s="7"/>
      <c r="D4983" s="7"/>
    </row>
    <row r="4984" spans="1:4" ht="12.75" customHeight="1" x14ac:dyDescent="0.2">
      <c r="A4984" s="21"/>
      <c r="B4984" s="2"/>
      <c r="C4984" s="7"/>
      <c r="D4984" s="7"/>
    </row>
    <row r="4985" spans="1:4" ht="12.75" customHeight="1" x14ac:dyDescent="0.2">
      <c r="A4985" s="5"/>
      <c r="B4985" s="2"/>
      <c r="C4985" s="7"/>
      <c r="D4985" s="7"/>
    </row>
    <row r="4986" spans="1:4" ht="12.75" customHeight="1" x14ac:dyDescent="0.2">
      <c r="A4986" s="22" t="str">
        <f>HYPERLINK("javascript:void(0)","gyémánt manafejpánt")</f>
        <v>gyémánt manafejpánt</v>
      </c>
      <c r="B4986" s="21"/>
      <c r="C4986" s="21"/>
      <c r="D4986" s="21"/>
    </row>
    <row r="4987" spans="1:4" ht="12.75" customHeight="1" x14ac:dyDescent="0.2">
      <c r="A4987" s="20"/>
      <c r="B4987" s="2"/>
      <c r="C4987" s="7"/>
      <c r="D4987" s="7"/>
    </row>
    <row r="4988" spans="1:4" ht="12.75" customHeight="1" x14ac:dyDescent="0.2">
      <c r="A4988" s="21"/>
      <c r="B4988" s="3" t="s">
        <v>0</v>
      </c>
      <c r="C4988" s="23" t="s">
        <v>435</v>
      </c>
      <c r="D4988" s="21"/>
    </row>
    <row r="4989" spans="1:4" ht="12.75" customHeight="1" x14ac:dyDescent="0.2">
      <c r="A4989" s="21"/>
      <c r="B4989" s="3" t="s">
        <v>2</v>
      </c>
      <c r="C4989" s="23"/>
      <c r="D4989" s="21"/>
    </row>
    <row r="4990" spans="1:4" ht="12.75" customHeight="1" x14ac:dyDescent="0.2">
      <c r="A4990" s="21"/>
      <c r="B4990" s="3" t="s">
        <v>1840</v>
      </c>
      <c r="C4990" s="23" t="s">
        <v>157</v>
      </c>
      <c r="D4990" s="21"/>
    </row>
    <row r="4991" spans="1:4" ht="12.75" customHeight="1" x14ac:dyDescent="0.2">
      <c r="A4991" s="21"/>
      <c r="B4991" s="3" t="s">
        <v>9</v>
      </c>
      <c r="C4991" s="23" t="s">
        <v>30</v>
      </c>
      <c r="D4991" s="21"/>
    </row>
    <row r="4992" spans="1:4" ht="12.75" customHeight="1" x14ac:dyDescent="0.2">
      <c r="A4992" s="21"/>
      <c r="B4992" s="3" t="s">
        <v>11</v>
      </c>
      <c r="C4992" s="23" t="s">
        <v>315</v>
      </c>
      <c r="D4992" s="21"/>
    </row>
    <row r="4993" spans="1:4" ht="12.75" customHeight="1" x14ac:dyDescent="0.2">
      <c r="A4993" s="21"/>
      <c r="B4993" s="3" t="s">
        <v>16</v>
      </c>
      <c r="C4993" s="23"/>
      <c r="D4993" s="21"/>
    </row>
    <row r="4994" spans="1:4" ht="12.75" customHeight="1" x14ac:dyDescent="0.2">
      <c r="A4994" s="21"/>
      <c r="B4994" s="3" t="s">
        <v>17</v>
      </c>
      <c r="C4994" s="23" t="s">
        <v>19</v>
      </c>
      <c r="D4994" s="21"/>
    </row>
    <row r="4995" spans="1:4" ht="12.75" customHeight="1" x14ac:dyDescent="0.2">
      <c r="A4995" s="21"/>
      <c r="B4995" s="20" t="s">
        <v>18</v>
      </c>
      <c r="C4995" s="8" t="s">
        <v>44</v>
      </c>
      <c r="D4995" s="1" t="str">
        <f>HYPERLINK("javascript:void(0)","rubin manafejpánt")</f>
        <v>rubin manafejpánt</v>
      </c>
    </row>
    <row r="4996" spans="1:4" ht="12.75" customHeight="1" x14ac:dyDescent="0.2">
      <c r="A4996" s="21"/>
      <c r="B4996" s="21"/>
      <c r="C4996" s="8" t="s">
        <v>117</v>
      </c>
      <c r="D4996" s="1" t="str">
        <f>HYPERLINK("javascript:void(0)","esztétikum")</f>
        <v>esztétikum</v>
      </c>
    </row>
    <row r="4997" spans="1:4" ht="12.75" customHeight="1" x14ac:dyDescent="0.2">
      <c r="A4997" s="21"/>
      <c r="B4997" s="21"/>
      <c r="C4997" s="8" t="s">
        <v>68</v>
      </c>
      <c r="D4997" s="1" t="str">
        <f>HYPERLINK("javascript:void(0)","hordócsap")</f>
        <v>hordócsap</v>
      </c>
    </row>
    <row r="4998" spans="1:4" ht="12.75" customHeight="1" x14ac:dyDescent="0.2">
      <c r="A4998" s="21"/>
      <c r="B4998" s="2"/>
      <c r="C4998" s="7"/>
      <c r="D4998" s="7"/>
    </row>
    <row r="4999" spans="1:4" ht="12.75" customHeight="1" x14ac:dyDescent="0.2">
      <c r="A4999" s="21"/>
      <c r="B4999" s="2"/>
      <c r="C4999" s="7"/>
      <c r="D4999" s="7"/>
    </row>
    <row r="5000" spans="1:4" ht="12.75" customHeight="1" x14ac:dyDescent="0.2">
      <c r="A5000" s="21"/>
      <c r="B5000" s="2"/>
      <c r="C5000" s="7"/>
      <c r="D5000" s="7"/>
    </row>
    <row r="5001" spans="1:4" ht="12.75" customHeight="1" x14ac:dyDescent="0.2">
      <c r="A5001" s="21"/>
      <c r="B5001" s="2"/>
      <c r="C5001" s="7"/>
      <c r="D5001" s="7"/>
    </row>
    <row r="5002" spans="1:4" ht="12.75" customHeight="1" x14ac:dyDescent="0.2">
      <c r="A5002" s="5"/>
      <c r="B5002" s="2"/>
      <c r="C5002" s="7"/>
      <c r="D5002" s="7"/>
    </row>
    <row r="5003" spans="1:4" ht="12.75" customHeight="1" x14ac:dyDescent="0.2">
      <c r="A5003" s="22" t="str">
        <f>HYPERLINK("javascript:void(0)","rubin mellvért")</f>
        <v>rubin mellvért</v>
      </c>
      <c r="B5003" s="21"/>
      <c r="C5003" s="21"/>
      <c r="D5003" s="21"/>
    </row>
    <row r="5004" spans="1:4" ht="12.75" customHeight="1" x14ac:dyDescent="0.2">
      <c r="A5004" s="20"/>
      <c r="B5004" s="2"/>
      <c r="C5004" s="7"/>
      <c r="D5004" s="7"/>
    </row>
    <row r="5005" spans="1:4" ht="12.75" customHeight="1" x14ac:dyDescent="0.2">
      <c r="A5005" s="21"/>
      <c r="B5005" s="3" t="s">
        <v>0</v>
      </c>
      <c r="C5005" s="23" t="s">
        <v>47</v>
      </c>
      <c r="D5005" s="21"/>
    </row>
    <row r="5006" spans="1:4" ht="12.75" customHeight="1" x14ac:dyDescent="0.2">
      <c r="A5006" s="21"/>
      <c r="B5006" s="3" t="s">
        <v>2</v>
      </c>
      <c r="C5006" s="23" t="s">
        <v>2322</v>
      </c>
      <c r="D5006" s="21"/>
    </row>
    <row r="5007" spans="1:4" ht="12.75" customHeight="1" x14ac:dyDescent="0.2">
      <c r="A5007" s="21"/>
      <c r="B5007" s="3" t="s">
        <v>1840</v>
      </c>
      <c r="C5007" s="23" t="s">
        <v>364</v>
      </c>
      <c r="D5007" s="21"/>
    </row>
    <row r="5008" spans="1:4" ht="12.75" customHeight="1" x14ac:dyDescent="0.2">
      <c r="A5008" s="21"/>
      <c r="B5008" s="3" t="s">
        <v>9</v>
      </c>
      <c r="C5008" s="23" t="s">
        <v>36</v>
      </c>
      <c r="D5008" s="21"/>
    </row>
    <row r="5009" spans="1:4" ht="12.75" customHeight="1" x14ac:dyDescent="0.2">
      <c r="A5009" s="21"/>
      <c r="B5009" s="3" t="s">
        <v>11</v>
      </c>
      <c r="C5009" s="23" t="s">
        <v>465</v>
      </c>
      <c r="D5009" s="21"/>
    </row>
    <row r="5010" spans="1:4" ht="12.75" customHeight="1" x14ac:dyDescent="0.2">
      <c r="A5010" s="21"/>
      <c r="B5010" s="3" t="s">
        <v>16</v>
      </c>
      <c r="C5010" s="23"/>
      <c r="D5010" s="21"/>
    </row>
    <row r="5011" spans="1:4" ht="12.75" customHeight="1" x14ac:dyDescent="0.2">
      <c r="A5011" s="21"/>
      <c r="B5011" s="3" t="s">
        <v>17</v>
      </c>
      <c r="C5011" s="23" t="s">
        <v>19</v>
      </c>
      <c r="D5011" s="21"/>
    </row>
    <row r="5012" spans="1:4" ht="12.75" customHeight="1" x14ac:dyDescent="0.2">
      <c r="A5012" s="21"/>
      <c r="B5012" s="20" t="s">
        <v>18</v>
      </c>
      <c r="C5012" s="8" t="s">
        <v>44</v>
      </c>
      <c r="D5012" s="1" t="str">
        <f>HYPERLINK("javascript:void(0)","smaragd mellvért")</f>
        <v>smaragd mellvért</v>
      </c>
    </row>
    <row r="5013" spans="1:4" ht="12.75" customHeight="1" x14ac:dyDescent="0.2">
      <c r="A5013" s="21"/>
      <c r="B5013" s="21"/>
      <c r="C5013" s="8" t="s">
        <v>68</v>
      </c>
      <c r="D5013" s="1" t="str">
        <f>HYPERLINK("javascript:void(0)","göb")</f>
        <v>göb</v>
      </c>
    </row>
    <row r="5014" spans="1:4" ht="12.75" customHeight="1" x14ac:dyDescent="0.2">
      <c r="A5014" s="21"/>
      <c r="B5014" s="21"/>
      <c r="C5014" s="8" t="s">
        <v>244</v>
      </c>
      <c r="D5014" s="1" t="str">
        <f>HYPERLINK("javascript:void(0)","kocka")</f>
        <v>kocka</v>
      </c>
    </row>
    <row r="5015" spans="1:4" ht="12.75" customHeight="1" x14ac:dyDescent="0.2">
      <c r="A5015" s="21"/>
      <c r="B5015" s="2"/>
      <c r="C5015" s="7"/>
      <c r="D5015" s="7"/>
    </row>
    <row r="5016" spans="1:4" ht="12.75" customHeight="1" x14ac:dyDescent="0.2">
      <c r="A5016" s="21"/>
      <c r="B5016" s="2"/>
      <c r="C5016" s="7"/>
      <c r="D5016" s="7"/>
    </row>
    <row r="5017" spans="1:4" ht="12.75" customHeight="1" x14ac:dyDescent="0.2">
      <c r="A5017" s="21"/>
      <c r="B5017" s="2"/>
      <c r="C5017" s="7"/>
      <c r="D5017" s="7"/>
    </row>
    <row r="5018" spans="1:4" ht="12.75" customHeight="1" x14ac:dyDescent="0.2">
      <c r="A5018" s="21"/>
      <c r="B5018" s="2"/>
      <c r="C5018" s="7"/>
      <c r="D5018" s="7"/>
    </row>
    <row r="5019" spans="1:4" ht="12.75" customHeight="1" x14ac:dyDescent="0.2">
      <c r="A5019" s="5"/>
      <c r="B5019" s="2"/>
      <c r="C5019" s="7"/>
      <c r="D5019" s="7"/>
    </row>
    <row r="5020" spans="1:4" ht="12.75" customHeight="1" x14ac:dyDescent="0.2">
      <c r="A5020" s="22" t="str">
        <f>HYPERLINK("javascript:void(0)","kompózium sisak")</f>
        <v>kompózium sisak</v>
      </c>
      <c r="B5020" s="21"/>
      <c r="C5020" s="21"/>
      <c r="D5020" s="21"/>
    </row>
    <row r="5021" spans="1:4" ht="12.75" customHeight="1" x14ac:dyDescent="0.2">
      <c r="A5021" s="20"/>
      <c r="B5021" s="2"/>
      <c r="C5021" s="7"/>
      <c r="D5021" s="7"/>
    </row>
    <row r="5022" spans="1:4" ht="12.75" customHeight="1" x14ac:dyDescent="0.2">
      <c r="A5022" s="21"/>
      <c r="B5022" s="3" t="s">
        <v>0</v>
      </c>
      <c r="C5022" s="23" t="s">
        <v>47</v>
      </c>
      <c r="D5022" s="21"/>
    </row>
    <row r="5023" spans="1:4" ht="12.75" customHeight="1" x14ac:dyDescent="0.2">
      <c r="A5023" s="21"/>
      <c r="B5023" s="3" t="s">
        <v>2</v>
      </c>
      <c r="C5023" s="23"/>
      <c r="D5023" s="21"/>
    </row>
    <row r="5024" spans="1:4" ht="12.75" customHeight="1" x14ac:dyDescent="0.2">
      <c r="A5024" s="21"/>
      <c r="B5024" s="3" t="s">
        <v>1840</v>
      </c>
      <c r="C5024" s="23" t="s">
        <v>255</v>
      </c>
      <c r="D5024" s="21"/>
    </row>
    <row r="5025" spans="1:4" ht="12.75" customHeight="1" x14ac:dyDescent="0.2">
      <c r="A5025" s="21"/>
      <c r="B5025" s="3" t="s">
        <v>9</v>
      </c>
      <c r="C5025" s="23" t="s">
        <v>172</v>
      </c>
      <c r="D5025" s="21"/>
    </row>
    <row r="5026" spans="1:4" ht="12.75" customHeight="1" x14ac:dyDescent="0.2">
      <c r="A5026" s="21"/>
      <c r="B5026" s="3" t="s">
        <v>11</v>
      </c>
      <c r="C5026" s="23" t="s">
        <v>465</v>
      </c>
      <c r="D5026" s="21"/>
    </row>
    <row r="5027" spans="1:4" ht="12.75" customHeight="1" x14ac:dyDescent="0.2">
      <c r="A5027" s="21"/>
      <c r="B5027" s="3" t="s">
        <v>16</v>
      </c>
      <c r="C5027" s="23"/>
      <c r="D5027" s="21"/>
    </row>
    <row r="5028" spans="1:4" ht="12.75" customHeight="1" x14ac:dyDescent="0.2">
      <c r="A5028" s="21"/>
      <c r="B5028" s="3" t="s">
        <v>17</v>
      </c>
      <c r="C5028" s="23" t="s">
        <v>19</v>
      </c>
      <c r="D5028" s="21"/>
    </row>
    <row r="5029" spans="1:4" ht="12.75" customHeight="1" x14ac:dyDescent="0.2">
      <c r="A5029" s="21"/>
      <c r="B5029" s="20" t="s">
        <v>18</v>
      </c>
      <c r="C5029" s="8" t="s">
        <v>44</v>
      </c>
      <c r="D5029" s="1" t="str">
        <f>HYPERLINK("javascript:void(0)","díszes sisak")</f>
        <v>díszes sisak</v>
      </c>
    </row>
    <row r="5030" spans="1:4" ht="12.75" customHeight="1" x14ac:dyDescent="0.2">
      <c r="A5030" s="21"/>
      <c r="B5030" s="21"/>
      <c r="C5030" s="8" t="s">
        <v>44</v>
      </c>
      <c r="D5030" s="1" t="str">
        <f>HYPERLINK("javascript:void(0)","vörös sisak")</f>
        <v>vörös sisak</v>
      </c>
    </row>
    <row r="5031" spans="1:4" ht="12.75" customHeight="1" x14ac:dyDescent="0.2">
      <c r="A5031" s="21"/>
      <c r="B5031" s="21"/>
      <c r="C5031" s="8" t="s">
        <v>44</v>
      </c>
      <c r="D5031" s="1" t="str">
        <f>HYPERLINK("javascript:void(0)","kompózium rostély")</f>
        <v>kompózium rostély</v>
      </c>
    </row>
    <row r="5032" spans="1:4" ht="12.75" customHeight="1" x14ac:dyDescent="0.2">
      <c r="A5032" s="21"/>
      <c r="B5032" s="2"/>
      <c r="C5032" s="7"/>
      <c r="D5032" s="7"/>
    </row>
    <row r="5033" spans="1:4" ht="12.75" customHeight="1" x14ac:dyDescent="0.2">
      <c r="A5033" s="21"/>
      <c r="B5033" s="2"/>
      <c r="C5033" s="7"/>
      <c r="D5033" s="7"/>
    </row>
    <row r="5034" spans="1:4" ht="12.75" customHeight="1" x14ac:dyDescent="0.2">
      <c r="A5034" s="21"/>
      <c r="B5034" s="2"/>
      <c r="C5034" s="7"/>
      <c r="D5034" s="7"/>
    </row>
    <row r="5035" spans="1:4" ht="12.75" customHeight="1" x14ac:dyDescent="0.2">
      <c r="A5035" s="21"/>
      <c r="B5035" s="2"/>
      <c r="C5035" s="7"/>
      <c r="D5035" s="7"/>
    </row>
    <row r="5036" spans="1:4" ht="12.75" customHeight="1" x14ac:dyDescent="0.2">
      <c r="A5036" s="5"/>
      <c r="B5036" s="2"/>
      <c r="C5036" s="7"/>
      <c r="D5036" s="7"/>
    </row>
    <row r="5037" spans="1:4" ht="12.75" customHeight="1" x14ac:dyDescent="0.2">
      <c r="A5037" s="22" t="str">
        <f>HYPERLINK("javascript:void(0)","szárnyas szandál")</f>
        <v>szárnyas szandál</v>
      </c>
      <c r="B5037" s="21"/>
      <c r="C5037" s="21"/>
      <c r="D5037" s="21"/>
    </row>
    <row r="5038" spans="1:4" ht="12.75" customHeight="1" x14ac:dyDescent="0.2">
      <c r="A5038" s="20"/>
      <c r="B5038" s="2"/>
      <c r="C5038" s="7"/>
      <c r="D5038" s="7"/>
    </row>
    <row r="5039" spans="1:4" ht="12.75" customHeight="1" x14ac:dyDescent="0.2">
      <c r="A5039" s="21"/>
      <c r="B5039" s="3" t="s">
        <v>0</v>
      </c>
      <c r="C5039" s="23" t="s">
        <v>47</v>
      </c>
      <c r="D5039" s="21"/>
    </row>
    <row r="5040" spans="1:4" ht="12.75" customHeight="1" x14ac:dyDescent="0.2">
      <c r="A5040" s="21"/>
      <c r="B5040" s="3" t="s">
        <v>2</v>
      </c>
      <c r="C5040" s="23"/>
      <c r="D5040" s="21"/>
    </row>
    <row r="5041" spans="1:4" ht="12.75" customHeight="1" x14ac:dyDescent="0.2">
      <c r="A5041" s="21"/>
      <c r="B5041" s="3" t="s">
        <v>1840</v>
      </c>
      <c r="C5041" s="23" t="s">
        <v>776</v>
      </c>
      <c r="D5041" s="21"/>
    </row>
    <row r="5042" spans="1:4" ht="12.75" customHeight="1" x14ac:dyDescent="0.2">
      <c r="A5042" s="21"/>
      <c r="B5042" s="3" t="s">
        <v>9</v>
      </c>
      <c r="C5042" s="23" t="s">
        <v>53</v>
      </c>
      <c r="D5042" s="21"/>
    </row>
    <row r="5043" spans="1:4" ht="12.75" customHeight="1" x14ac:dyDescent="0.2">
      <c r="A5043" s="21"/>
      <c r="B5043" s="3" t="s">
        <v>11</v>
      </c>
      <c r="C5043" s="23" t="s">
        <v>483</v>
      </c>
      <c r="D5043" s="21"/>
    </row>
    <row r="5044" spans="1:4" ht="12.75" customHeight="1" x14ac:dyDescent="0.2">
      <c r="A5044" s="21"/>
      <c r="B5044" s="3" t="s">
        <v>16</v>
      </c>
      <c r="C5044" s="23"/>
      <c r="D5044" s="21"/>
    </row>
    <row r="5045" spans="1:4" ht="12.75" customHeight="1" x14ac:dyDescent="0.2">
      <c r="A5045" s="21"/>
      <c r="B5045" s="3" t="s">
        <v>17</v>
      </c>
      <c r="C5045" s="23" t="s">
        <v>19</v>
      </c>
      <c r="D5045" s="21"/>
    </row>
    <row r="5046" spans="1:4" ht="12.75" customHeight="1" x14ac:dyDescent="0.2">
      <c r="A5046" s="21"/>
      <c r="B5046" s="20" t="s">
        <v>18</v>
      </c>
      <c r="C5046" s="8" t="s">
        <v>335</v>
      </c>
      <c r="D5046" s="1" t="str">
        <f>HYPERLINK("javascript:void(0)","főnixtoll")</f>
        <v>főnixtoll</v>
      </c>
    </row>
    <row r="5047" spans="1:4" ht="12.75" customHeight="1" x14ac:dyDescent="0.2">
      <c r="A5047" s="21"/>
      <c r="B5047" s="21"/>
      <c r="C5047" s="8" t="s">
        <v>117</v>
      </c>
      <c r="D5047" s="1" t="str">
        <f>HYPERLINK("javascript:void(0)","hemoglobin")</f>
        <v>hemoglobin</v>
      </c>
    </row>
    <row r="5048" spans="1:4" ht="12.75" customHeight="1" x14ac:dyDescent="0.2">
      <c r="A5048" s="21"/>
      <c r="B5048" s="21"/>
      <c r="C5048" s="8" t="s">
        <v>77</v>
      </c>
      <c r="D5048" s="1" t="str">
        <f>HYPERLINK("javascript:void(0)","spóra")</f>
        <v>spóra</v>
      </c>
    </row>
    <row r="5049" spans="1:4" ht="12.75" customHeight="1" x14ac:dyDescent="0.2">
      <c r="A5049" s="21"/>
      <c r="B5049" s="2"/>
      <c r="C5049" s="7"/>
      <c r="D5049" s="7"/>
    </row>
    <row r="5050" spans="1:4" ht="12.75" customHeight="1" x14ac:dyDescent="0.2">
      <c r="A5050" s="21"/>
      <c r="B5050" s="2"/>
      <c r="C5050" s="7"/>
      <c r="D5050" s="7"/>
    </row>
    <row r="5051" spans="1:4" ht="12.75" customHeight="1" x14ac:dyDescent="0.2">
      <c r="A5051" s="21"/>
      <c r="B5051" s="2"/>
      <c r="C5051" s="7"/>
      <c r="D5051" s="7"/>
    </row>
    <row r="5052" spans="1:4" ht="12.75" customHeight="1" x14ac:dyDescent="0.2">
      <c r="A5052" s="21"/>
      <c r="B5052" s="2"/>
      <c r="C5052" s="7"/>
      <c r="D5052" s="7"/>
    </row>
    <row r="5053" spans="1:4" ht="12.75" customHeight="1" x14ac:dyDescent="0.2">
      <c r="A5053" s="5"/>
      <c r="B5053" s="2"/>
      <c r="C5053" s="7"/>
      <c r="D5053" s="7"/>
    </row>
    <row r="5054" spans="1:4" ht="12.75" customHeight="1" x14ac:dyDescent="0.2">
      <c r="A5054" s="22" t="str">
        <f>HYPERLINK("javascript:void(0)","göcsört pajzs")</f>
        <v>göcsört pajzs</v>
      </c>
      <c r="B5054" s="21"/>
      <c r="C5054" s="21"/>
      <c r="D5054" s="21"/>
    </row>
    <row r="5055" spans="1:4" ht="12.75" customHeight="1" x14ac:dyDescent="0.2">
      <c r="A5055" s="20"/>
      <c r="B5055" s="2"/>
      <c r="C5055" s="7"/>
      <c r="D5055" s="7"/>
    </row>
    <row r="5056" spans="1:4" ht="12.75" customHeight="1" x14ac:dyDescent="0.2">
      <c r="A5056" s="21"/>
      <c r="B5056" s="3" t="s">
        <v>0</v>
      </c>
      <c r="C5056" s="23" t="s">
        <v>47</v>
      </c>
      <c r="D5056" s="21"/>
    </row>
    <row r="5057" spans="1:4" ht="12.75" customHeight="1" x14ac:dyDescent="0.2">
      <c r="A5057" s="21"/>
      <c r="B5057" s="3" t="s">
        <v>2</v>
      </c>
      <c r="C5057" s="23" t="s">
        <v>1839</v>
      </c>
      <c r="D5057" s="21"/>
    </row>
    <row r="5058" spans="1:4" ht="12.75" customHeight="1" x14ac:dyDescent="0.2">
      <c r="A5058" s="21"/>
      <c r="B5058" s="3" t="s">
        <v>1840</v>
      </c>
      <c r="C5058" s="23" t="s">
        <v>87</v>
      </c>
      <c r="D5058" s="21"/>
    </row>
    <row r="5059" spans="1:4" ht="12.75" customHeight="1" x14ac:dyDescent="0.2">
      <c r="A5059" s="21"/>
      <c r="B5059" s="3" t="s">
        <v>9</v>
      </c>
      <c r="C5059" s="23" t="s">
        <v>179</v>
      </c>
      <c r="D5059" s="21"/>
    </row>
    <row r="5060" spans="1:4" ht="12.75" customHeight="1" x14ac:dyDescent="0.2">
      <c r="A5060" s="21"/>
      <c r="B5060" s="3" t="s">
        <v>11</v>
      </c>
      <c r="C5060" s="23" t="s">
        <v>536</v>
      </c>
      <c r="D5060" s="21"/>
    </row>
    <row r="5061" spans="1:4" ht="12.75" customHeight="1" x14ac:dyDescent="0.2">
      <c r="A5061" s="21"/>
      <c r="B5061" s="3" t="s">
        <v>16</v>
      </c>
      <c r="C5061" s="23"/>
      <c r="D5061" s="21"/>
    </row>
    <row r="5062" spans="1:4" ht="12.75" customHeight="1" x14ac:dyDescent="0.2">
      <c r="A5062" s="21"/>
      <c r="B5062" s="3" t="s">
        <v>17</v>
      </c>
      <c r="C5062" s="23" t="s">
        <v>19</v>
      </c>
      <c r="D5062" s="21"/>
    </row>
    <row r="5063" spans="1:4" ht="12.75" customHeight="1" x14ac:dyDescent="0.2">
      <c r="A5063" s="21"/>
      <c r="B5063" s="20" t="s">
        <v>18</v>
      </c>
      <c r="C5063" s="8" t="s">
        <v>44</v>
      </c>
      <c r="D5063" s="1" t="str">
        <f>HYPERLINK("javascript:void(0)","portál pajzs")</f>
        <v>portál pajzs</v>
      </c>
    </row>
    <row r="5064" spans="1:4" ht="12.75" customHeight="1" x14ac:dyDescent="0.2">
      <c r="A5064" s="21"/>
      <c r="B5064" s="21"/>
      <c r="C5064" s="8" t="s">
        <v>193</v>
      </c>
      <c r="D5064" s="1" t="str">
        <f>HYPERLINK("javascript:void(0)","portgyűrű")</f>
        <v>portgyűrű</v>
      </c>
    </row>
    <row r="5065" spans="1:4" ht="12.75" customHeight="1" x14ac:dyDescent="0.2">
      <c r="A5065" s="21"/>
      <c r="B5065" s="21"/>
      <c r="C5065" s="8" t="s">
        <v>77</v>
      </c>
      <c r="D5065" s="1" t="str">
        <f>HYPERLINK("javascript:void(0)","göb")</f>
        <v>göb</v>
      </c>
    </row>
    <row r="5066" spans="1:4" ht="12.75" customHeight="1" x14ac:dyDescent="0.2">
      <c r="A5066" s="21"/>
      <c r="B5066" s="2"/>
      <c r="C5066" s="7"/>
      <c r="D5066" s="7"/>
    </row>
    <row r="5067" spans="1:4" ht="12.75" customHeight="1" x14ac:dyDescent="0.2">
      <c r="A5067" s="21"/>
      <c r="B5067" s="2"/>
      <c r="C5067" s="7"/>
      <c r="D5067" s="7"/>
    </row>
    <row r="5068" spans="1:4" ht="12.75" customHeight="1" x14ac:dyDescent="0.2">
      <c r="A5068" s="21"/>
      <c r="B5068" s="2"/>
      <c r="C5068" s="7"/>
      <c r="D5068" s="7"/>
    </row>
    <row r="5069" spans="1:4" ht="12.75" customHeight="1" x14ac:dyDescent="0.2">
      <c r="A5069" s="21"/>
      <c r="B5069" s="2"/>
      <c r="C5069" s="7"/>
      <c r="D5069" s="7"/>
    </row>
    <row r="5070" spans="1:4" ht="12.75" customHeight="1" x14ac:dyDescent="0.2">
      <c r="A5070" s="5"/>
      <c r="B5070" s="2"/>
      <c r="C5070" s="7"/>
      <c r="D5070" s="7"/>
    </row>
    <row r="5071" spans="1:4" ht="12.75" customHeight="1" x14ac:dyDescent="0.2">
      <c r="A5071" s="22" t="str">
        <f>HYPERLINK("javascript:void(0)","skivei pillepajzs")</f>
        <v>skivei pillepajzs</v>
      </c>
      <c r="B5071" s="21"/>
      <c r="C5071" s="21"/>
      <c r="D5071" s="21"/>
    </row>
    <row r="5072" spans="1:4" ht="12.75" customHeight="1" x14ac:dyDescent="0.2">
      <c r="A5072" s="20"/>
      <c r="B5072" s="2"/>
      <c r="C5072" s="7"/>
      <c r="D5072" s="7"/>
    </row>
    <row r="5073" spans="1:4" ht="12.75" customHeight="1" x14ac:dyDescent="0.2">
      <c r="A5073" s="21"/>
      <c r="B5073" s="3" t="s">
        <v>0</v>
      </c>
      <c r="C5073" s="23" t="s">
        <v>47</v>
      </c>
      <c r="D5073" s="21"/>
    </row>
    <row r="5074" spans="1:4" ht="12.75" customHeight="1" x14ac:dyDescent="0.2">
      <c r="A5074" s="21"/>
      <c r="B5074" s="3" t="s">
        <v>2</v>
      </c>
      <c r="C5074" s="23" t="s">
        <v>1839</v>
      </c>
      <c r="D5074" s="21"/>
    </row>
    <row r="5075" spans="1:4" ht="12.75" customHeight="1" x14ac:dyDescent="0.2">
      <c r="A5075" s="21"/>
      <c r="B5075" s="3" t="s">
        <v>1840</v>
      </c>
      <c r="C5075" s="23" t="s">
        <v>87</v>
      </c>
      <c r="D5075" s="21"/>
    </row>
    <row r="5076" spans="1:4" ht="12.75" customHeight="1" x14ac:dyDescent="0.2">
      <c r="A5076" s="21"/>
      <c r="B5076" s="3" t="s">
        <v>9</v>
      </c>
      <c r="C5076" s="23" t="s">
        <v>2077</v>
      </c>
      <c r="D5076" s="21"/>
    </row>
    <row r="5077" spans="1:4" ht="12.75" customHeight="1" x14ac:dyDescent="0.2">
      <c r="A5077" s="21"/>
      <c r="B5077" s="3" t="s">
        <v>11</v>
      </c>
      <c r="C5077" s="23" t="s">
        <v>552</v>
      </c>
      <c r="D5077" s="21"/>
    </row>
    <row r="5078" spans="1:4" ht="12.75" customHeight="1" x14ac:dyDescent="0.2">
      <c r="A5078" s="21"/>
      <c r="B5078" s="3" t="s">
        <v>16</v>
      </c>
      <c r="C5078" s="23"/>
      <c r="D5078" s="21"/>
    </row>
    <row r="5079" spans="1:4" ht="12.75" customHeight="1" x14ac:dyDescent="0.2">
      <c r="A5079" s="21"/>
      <c r="B5079" s="3" t="s">
        <v>17</v>
      </c>
      <c r="C5079" s="23" t="s">
        <v>19</v>
      </c>
      <c r="D5079" s="21"/>
    </row>
    <row r="5080" spans="1:4" ht="12.75" customHeight="1" x14ac:dyDescent="0.2">
      <c r="A5080" s="21"/>
      <c r="B5080" s="20" t="s">
        <v>18</v>
      </c>
      <c r="C5080" s="8" t="s">
        <v>44</v>
      </c>
      <c r="D5080" s="1" t="str">
        <f>HYPERLINK("javascript:void(0)","göcsört pajzs")</f>
        <v>göcsört pajzs</v>
      </c>
    </row>
    <row r="5081" spans="1:4" ht="12.75" customHeight="1" x14ac:dyDescent="0.2">
      <c r="A5081" s="21"/>
      <c r="B5081" s="21"/>
      <c r="C5081" s="8" t="s">
        <v>309</v>
      </c>
      <c r="D5081" s="1" t="str">
        <f>HYPERLINK("javascript:void(0)","kígyócsörgő")</f>
        <v>kígyócsörgő</v>
      </c>
    </row>
    <row r="5082" spans="1:4" ht="12.75" customHeight="1" x14ac:dyDescent="0.2">
      <c r="A5082" s="21"/>
      <c r="B5082" s="21"/>
      <c r="C5082" s="8" t="s">
        <v>117</v>
      </c>
      <c r="D5082" s="1" t="str">
        <f>HYPERLINK("javascript:void(0)","spóra")</f>
        <v>spóra</v>
      </c>
    </row>
    <row r="5083" spans="1:4" ht="12.75" customHeight="1" x14ac:dyDescent="0.2">
      <c r="A5083" s="21"/>
      <c r="B5083" s="2"/>
      <c r="C5083" s="7"/>
      <c r="D5083" s="7"/>
    </row>
    <row r="5084" spans="1:4" ht="12.75" customHeight="1" x14ac:dyDescent="0.2">
      <c r="A5084" s="21"/>
      <c r="B5084" s="2"/>
      <c r="C5084" s="7"/>
      <c r="D5084" s="7"/>
    </row>
    <row r="5085" spans="1:4" ht="12.75" customHeight="1" x14ac:dyDescent="0.2">
      <c r="A5085" s="21"/>
      <c r="B5085" s="2"/>
      <c r="C5085" s="7"/>
      <c r="D5085" s="7"/>
    </row>
    <row r="5086" spans="1:4" ht="12.75" customHeight="1" x14ac:dyDescent="0.2">
      <c r="A5086" s="21"/>
      <c r="B5086" s="2"/>
      <c r="C5086" s="7"/>
      <c r="D5086" s="7"/>
    </row>
    <row r="5087" spans="1:4" ht="12.75" customHeight="1" x14ac:dyDescent="0.2">
      <c r="A5087" s="5"/>
      <c r="B5087" s="2"/>
      <c r="C5087" s="7"/>
      <c r="D5087" s="7"/>
    </row>
    <row r="5088" spans="1:4" ht="12.75" customHeight="1" x14ac:dyDescent="0.2">
      <c r="A5088" s="22" t="str">
        <f>HYPERLINK("javascript:void(0)","rubin antigrav csizma")</f>
        <v>rubin antigrav csizma</v>
      </c>
      <c r="B5088" s="21"/>
      <c r="C5088" s="21"/>
      <c r="D5088" s="21"/>
    </row>
    <row r="5089" spans="1:4" ht="12.75" customHeight="1" x14ac:dyDescent="0.2">
      <c r="A5089" s="20"/>
      <c r="B5089" s="2"/>
      <c r="C5089" s="7"/>
      <c r="D5089" s="7"/>
    </row>
    <row r="5090" spans="1:4" ht="12.75" customHeight="1" x14ac:dyDescent="0.2">
      <c r="A5090" s="21"/>
      <c r="B5090" s="3" t="s">
        <v>0</v>
      </c>
      <c r="C5090" s="23" t="s">
        <v>47</v>
      </c>
      <c r="D5090" s="21"/>
    </row>
    <row r="5091" spans="1:4" ht="12.75" customHeight="1" x14ac:dyDescent="0.2">
      <c r="A5091" s="21"/>
      <c r="B5091" s="3" t="s">
        <v>2</v>
      </c>
      <c r="C5091" s="23"/>
      <c r="D5091" s="21"/>
    </row>
    <row r="5092" spans="1:4" ht="12.75" customHeight="1" x14ac:dyDescent="0.2">
      <c r="A5092" s="21"/>
      <c r="B5092" s="3" t="s">
        <v>1840</v>
      </c>
      <c r="C5092" s="23" t="s">
        <v>719</v>
      </c>
      <c r="D5092" s="21"/>
    </row>
    <row r="5093" spans="1:4" ht="12.75" customHeight="1" x14ac:dyDescent="0.2">
      <c r="A5093" s="21"/>
      <c r="B5093" s="3" t="s">
        <v>9</v>
      </c>
      <c r="C5093" s="23" t="s">
        <v>626</v>
      </c>
      <c r="D5093" s="21"/>
    </row>
    <row r="5094" spans="1:4" ht="12.75" customHeight="1" x14ac:dyDescent="0.2">
      <c r="A5094" s="21"/>
      <c r="B5094" s="3" t="s">
        <v>11</v>
      </c>
      <c r="C5094" s="23" t="s">
        <v>23</v>
      </c>
      <c r="D5094" s="21"/>
    </row>
    <row r="5095" spans="1:4" ht="12.75" customHeight="1" x14ac:dyDescent="0.2">
      <c r="A5095" s="21"/>
      <c r="B5095" s="3" t="s">
        <v>16</v>
      </c>
      <c r="C5095" s="23"/>
      <c r="D5095" s="21"/>
    </row>
    <row r="5096" spans="1:4" ht="12.75" customHeight="1" x14ac:dyDescent="0.2">
      <c r="A5096" s="21"/>
      <c r="B5096" s="3" t="s">
        <v>17</v>
      </c>
      <c r="C5096" s="23" t="s">
        <v>19</v>
      </c>
      <c r="D5096" s="21"/>
    </row>
    <row r="5097" spans="1:4" ht="25.5" customHeight="1" x14ac:dyDescent="0.2">
      <c r="A5097" s="21"/>
      <c r="B5097" s="20" t="s">
        <v>18</v>
      </c>
      <c r="C5097" s="8" t="s">
        <v>44</v>
      </c>
      <c r="D5097" s="1" t="str">
        <f>HYPERLINK("javascript:void(0)","smaragd antigrav csizma")</f>
        <v>smaragd antigrav csizma</v>
      </c>
    </row>
    <row r="5098" spans="1:4" ht="12.75" customHeight="1" x14ac:dyDescent="0.2">
      <c r="A5098" s="21"/>
      <c r="B5098" s="21"/>
      <c r="C5098" s="8" t="s">
        <v>309</v>
      </c>
      <c r="D5098" s="1" t="str">
        <f>HYPERLINK("javascript:void(0)","varázskulcs")</f>
        <v>varázskulcs</v>
      </c>
    </row>
    <row r="5099" spans="1:4" ht="12.75" customHeight="1" x14ac:dyDescent="0.2">
      <c r="A5099" s="21"/>
      <c r="B5099" s="21"/>
      <c r="C5099" s="8" t="s">
        <v>139</v>
      </c>
      <c r="D5099" s="1" t="str">
        <f>HYPERLINK("javascript:void(0)","spóra")</f>
        <v>spóra</v>
      </c>
    </row>
    <row r="5100" spans="1:4" ht="12.75" customHeight="1" x14ac:dyDescent="0.2">
      <c r="A5100" s="21"/>
      <c r="B5100" s="2"/>
      <c r="C5100" s="7"/>
      <c r="D5100" s="7"/>
    </row>
    <row r="5101" spans="1:4" ht="12.75" customHeight="1" x14ac:dyDescent="0.2">
      <c r="A5101" s="21"/>
      <c r="B5101" s="2"/>
      <c r="C5101" s="7"/>
      <c r="D5101" s="7"/>
    </row>
    <row r="5102" spans="1:4" ht="12.75" customHeight="1" x14ac:dyDescent="0.2">
      <c r="A5102" s="21"/>
      <c r="B5102" s="2"/>
      <c r="C5102" s="7"/>
      <c r="D5102" s="7"/>
    </row>
    <row r="5103" spans="1:4" ht="12.75" customHeight="1" x14ac:dyDescent="0.2">
      <c r="A5103" s="21"/>
      <c r="B5103" s="2"/>
      <c r="C5103" s="7"/>
      <c r="D5103" s="7"/>
    </row>
    <row r="5104" spans="1:4" ht="12.75" customHeight="1" x14ac:dyDescent="0.2">
      <c r="A5104" s="5"/>
      <c r="B5104" s="2"/>
      <c r="C5104" s="7"/>
      <c r="D5104" s="7"/>
    </row>
    <row r="5105" spans="1:4" ht="12.75" customHeight="1" x14ac:dyDescent="0.2">
      <c r="A5105" s="22" t="str">
        <f>HYPERLINK("javascript:void(0)","démonacél mellvért")</f>
        <v>démonacél mellvért</v>
      </c>
      <c r="B5105" s="21"/>
      <c r="C5105" s="21"/>
      <c r="D5105" s="21"/>
    </row>
    <row r="5106" spans="1:4" ht="12.75" customHeight="1" x14ac:dyDescent="0.2">
      <c r="A5106" s="20"/>
      <c r="B5106" s="2"/>
      <c r="C5106" s="7"/>
      <c r="D5106" s="7"/>
    </row>
    <row r="5107" spans="1:4" ht="12.75" customHeight="1" x14ac:dyDescent="0.2">
      <c r="A5107" s="21"/>
      <c r="B5107" s="3" t="s">
        <v>0</v>
      </c>
      <c r="C5107" s="23" t="s">
        <v>127</v>
      </c>
      <c r="D5107" s="21"/>
    </row>
    <row r="5108" spans="1:4" ht="12.75" customHeight="1" x14ac:dyDescent="0.2">
      <c r="A5108" s="21"/>
      <c r="B5108" s="3" t="s">
        <v>2</v>
      </c>
      <c r="C5108" s="23" t="s">
        <v>2322</v>
      </c>
      <c r="D5108" s="21"/>
    </row>
    <row r="5109" spans="1:4" ht="12.75" customHeight="1" x14ac:dyDescent="0.2">
      <c r="A5109" s="21"/>
      <c r="B5109" s="3" t="s">
        <v>1840</v>
      </c>
      <c r="C5109" s="23" t="s">
        <v>2389</v>
      </c>
      <c r="D5109" s="21"/>
    </row>
    <row r="5110" spans="1:4" ht="12.75" customHeight="1" x14ac:dyDescent="0.2">
      <c r="A5110" s="21"/>
      <c r="B5110" s="3" t="s">
        <v>9</v>
      </c>
      <c r="C5110" s="23" t="s">
        <v>374</v>
      </c>
      <c r="D5110" s="21"/>
    </row>
    <row r="5111" spans="1:4" ht="12.75" customHeight="1" x14ac:dyDescent="0.2">
      <c r="A5111" s="21"/>
      <c r="B5111" s="3" t="s">
        <v>11</v>
      </c>
      <c r="C5111" s="23" t="s">
        <v>470</v>
      </c>
      <c r="D5111" s="21"/>
    </row>
    <row r="5112" spans="1:4" ht="12.75" customHeight="1" x14ac:dyDescent="0.2">
      <c r="A5112" s="21"/>
      <c r="B5112" s="3" t="s">
        <v>16</v>
      </c>
      <c r="C5112" s="23"/>
      <c r="D5112" s="21"/>
    </row>
    <row r="5113" spans="1:4" ht="12.75" customHeight="1" x14ac:dyDescent="0.2">
      <c r="A5113" s="21"/>
      <c r="B5113" s="3" t="s">
        <v>17</v>
      </c>
      <c r="C5113" s="23" t="s">
        <v>19</v>
      </c>
      <c r="D5113" s="21"/>
    </row>
    <row r="5114" spans="1:4" ht="12.75" customHeight="1" x14ac:dyDescent="0.2">
      <c r="A5114" s="21"/>
      <c r="B5114" s="20" t="s">
        <v>18</v>
      </c>
      <c r="C5114" s="8" t="s">
        <v>797</v>
      </c>
      <c r="D5114" s="1" t="str">
        <f>HYPERLINK("javascript:void(0)","démonzanza")</f>
        <v>démonzanza</v>
      </c>
    </row>
    <row r="5115" spans="1:4" ht="12.75" customHeight="1" x14ac:dyDescent="0.2">
      <c r="A5115" s="21"/>
      <c r="B5115" s="21"/>
      <c r="C5115" s="8" t="s">
        <v>98</v>
      </c>
      <c r="D5115" s="1" t="str">
        <f>HYPERLINK("javascript:void(0)","vari amulett")</f>
        <v>vari amulett</v>
      </c>
    </row>
    <row r="5116" spans="1:4" ht="12.75" customHeight="1" x14ac:dyDescent="0.2">
      <c r="A5116" s="21"/>
      <c r="B5116" s="21"/>
      <c r="C5116" s="8" t="s">
        <v>139</v>
      </c>
      <c r="D5116" s="1" t="str">
        <f>HYPERLINK("javascript:void(0)","portgyűrű")</f>
        <v>portgyűrű</v>
      </c>
    </row>
    <row r="5117" spans="1:4" ht="12.75" customHeight="1" x14ac:dyDescent="0.2">
      <c r="A5117" s="21"/>
      <c r="B5117" s="2"/>
      <c r="C5117" s="7"/>
      <c r="D5117" s="7"/>
    </row>
    <row r="5118" spans="1:4" ht="12.75" customHeight="1" x14ac:dyDescent="0.2">
      <c r="A5118" s="21"/>
      <c r="B5118" s="2"/>
      <c r="C5118" s="7"/>
      <c r="D5118" s="7"/>
    </row>
    <row r="5119" spans="1:4" ht="12.75" customHeight="1" x14ac:dyDescent="0.2">
      <c r="A5119" s="21"/>
      <c r="B5119" s="2"/>
      <c r="C5119" s="7"/>
      <c r="D5119" s="7"/>
    </row>
    <row r="5120" spans="1:4" ht="12.75" customHeight="1" x14ac:dyDescent="0.2">
      <c r="A5120" s="21"/>
      <c r="B5120" s="2"/>
      <c r="C5120" s="7"/>
      <c r="D5120" s="7"/>
    </row>
    <row r="5121" spans="1:4" ht="12.75" customHeight="1" x14ac:dyDescent="0.2">
      <c r="A5121" s="5"/>
      <c r="B5121" s="2"/>
      <c r="C5121" s="7"/>
      <c r="D5121" s="7"/>
    </row>
    <row r="5122" spans="1:4" ht="12.75" customHeight="1" x14ac:dyDescent="0.2">
      <c r="A5122" s="22" t="str">
        <f>HYPERLINK("javascript:void(0)","rostélyos sisak")</f>
        <v>rostélyos sisak</v>
      </c>
      <c r="B5122" s="21"/>
      <c r="C5122" s="21"/>
      <c r="D5122" s="21"/>
    </row>
    <row r="5123" spans="1:4" ht="12.75" customHeight="1" x14ac:dyDescent="0.2">
      <c r="A5123" s="20"/>
      <c r="B5123" s="2"/>
      <c r="C5123" s="7"/>
      <c r="D5123" s="7"/>
    </row>
    <row r="5124" spans="1:4" ht="12.75" customHeight="1" x14ac:dyDescent="0.2">
      <c r="A5124" s="21"/>
      <c r="B5124" s="3" t="s">
        <v>0</v>
      </c>
      <c r="C5124" s="23" t="s">
        <v>127</v>
      </c>
      <c r="D5124" s="21"/>
    </row>
    <row r="5125" spans="1:4" ht="12.75" customHeight="1" x14ac:dyDescent="0.2">
      <c r="A5125" s="21"/>
      <c r="B5125" s="3" t="s">
        <v>2</v>
      </c>
      <c r="C5125" s="23"/>
      <c r="D5125" s="21"/>
    </row>
    <row r="5126" spans="1:4" ht="12.75" customHeight="1" x14ac:dyDescent="0.2">
      <c r="A5126" s="21"/>
      <c r="B5126" s="3" t="s">
        <v>1840</v>
      </c>
      <c r="C5126" s="23" t="s">
        <v>853</v>
      </c>
      <c r="D5126" s="21"/>
    </row>
    <row r="5127" spans="1:4" ht="12.75" customHeight="1" x14ac:dyDescent="0.2">
      <c r="A5127" s="21"/>
      <c r="B5127" s="3" t="s">
        <v>9</v>
      </c>
      <c r="C5127" s="23" t="s">
        <v>135</v>
      </c>
      <c r="D5127" s="21"/>
    </row>
    <row r="5128" spans="1:4" ht="12.75" customHeight="1" x14ac:dyDescent="0.2">
      <c r="A5128" s="21"/>
      <c r="B5128" s="3" t="s">
        <v>11</v>
      </c>
      <c r="C5128" s="23" t="s">
        <v>470</v>
      </c>
      <c r="D5128" s="21"/>
    </row>
    <row r="5129" spans="1:4" ht="12.75" customHeight="1" x14ac:dyDescent="0.2">
      <c r="A5129" s="21"/>
      <c r="B5129" s="3" t="s">
        <v>16</v>
      </c>
      <c r="C5129" s="23"/>
      <c r="D5129" s="21"/>
    </row>
    <row r="5130" spans="1:4" ht="12.75" customHeight="1" x14ac:dyDescent="0.2">
      <c r="A5130" s="21"/>
      <c r="B5130" s="3" t="s">
        <v>17</v>
      </c>
      <c r="C5130" s="23" t="s">
        <v>19</v>
      </c>
      <c r="D5130" s="21"/>
    </row>
    <row r="5131" spans="1:4" ht="12.75" customHeight="1" x14ac:dyDescent="0.2">
      <c r="A5131" s="21"/>
      <c r="B5131" s="20" t="s">
        <v>18</v>
      </c>
      <c r="C5131" s="8" t="s">
        <v>44</v>
      </c>
      <c r="D5131" s="1" t="str">
        <f>HYPERLINK("javascript:void(0)","kompózium sisak")</f>
        <v>kompózium sisak</v>
      </c>
    </row>
    <row r="5132" spans="1:4" ht="12.75" customHeight="1" x14ac:dyDescent="0.2">
      <c r="A5132" s="21"/>
      <c r="B5132" s="21"/>
      <c r="C5132" s="8" t="s">
        <v>77</v>
      </c>
      <c r="D5132" s="1" t="str">
        <f>HYPERLINK("javascript:void(0)","malacorr")</f>
        <v>malacorr</v>
      </c>
    </row>
    <row r="5133" spans="1:4" ht="12.75" customHeight="1" x14ac:dyDescent="0.2">
      <c r="A5133" s="21"/>
      <c r="B5133" s="21"/>
      <c r="C5133" s="8" t="s">
        <v>132</v>
      </c>
      <c r="D5133" s="1" t="str">
        <f>HYPERLINK("javascript:void(0)","esztétikum")</f>
        <v>esztétikum</v>
      </c>
    </row>
    <row r="5134" spans="1:4" ht="12.75" customHeight="1" x14ac:dyDescent="0.2">
      <c r="A5134" s="21"/>
      <c r="B5134" s="2"/>
      <c r="C5134" s="7"/>
      <c r="D5134" s="7"/>
    </row>
    <row r="5135" spans="1:4" ht="12.75" customHeight="1" x14ac:dyDescent="0.2">
      <c r="A5135" s="21"/>
      <c r="B5135" s="2"/>
      <c r="C5135" s="7"/>
      <c r="D5135" s="7"/>
    </row>
    <row r="5136" spans="1:4" ht="12.75" customHeight="1" x14ac:dyDescent="0.2">
      <c r="A5136" s="21"/>
      <c r="B5136" s="2"/>
      <c r="C5136" s="7"/>
      <c r="D5136" s="7"/>
    </row>
    <row r="5137" spans="1:4" ht="12.75" customHeight="1" x14ac:dyDescent="0.2">
      <c r="A5137" s="21"/>
      <c r="B5137" s="2"/>
      <c r="C5137" s="7"/>
      <c r="D5137" s="7"/>
    </row>
    <row r="5138" spans="1:4" ht="12.75" customHeight="1" x14ac:dyDescent="0.2">
      <c r="A5138" s="5"/>
      <c r="B5138" s="2"/>
      <c r="C5138" s="7"/>
      <c r="D5138" s="7"/>
    </row>
    <row r="5139" spans="1:4" ht="12.75" customHeight="1" x14ac:dyDescent="0.2">
      <c r="A5139" s="22" t="str">
        <f>HYPERLINK("javascript:void(0)","kentacél csizma")</f>
        <v>kentacél csizma</v>
      </c>
      <c r="B5139" s="21"/>
      <c r="C5139" s="21"/>
      <c r="D5139" s="21"/>
    </row>
    <row r="5140" spans="1:4" ht="12.75" customHeight="1" x14ac:dyDescent="0.2">
      <c r="A5140" s="20"/>
      <c r="B5140" s="2"/>
      <c r="C5140" s="7"/>
      <c r="D5140" s="7"/>
    </row>
    <row r="5141" spans="1:4" ht="12.75" customHeight="1" x14ac:dyDescent="0.2">
      <c r="A5141" s="21"/>
      <c r="B5141" s="3" t="s">
        <v>0</v>
      </c>
      <c r="C5141" s="23" t="s">
        <v>127</v>
      </c>
      <c r="D5141" s="21"/>
    </row>
    <row r="5142" spans="1:4" ht="12.75" customHeight="1" x14ac:dyDescent="0.2">
      <c r="A5142" s="21"/>
      <c r="B5142" s="3" t="s">
        <v>2</v>
      </c>
      <c r="C5142" s="23"/>
      <c r="D5142" s="21"/>
    </row>
    <row r="5143" spans="1:4" ht="12.75" customHeight="1" x14ac:dyDescent="0.2">
      <c r="A5143" s="21"/>
      <c r="B5143" s="3" t="s">
        <v>1840</v>
      </c>
      <c r="C5143" s="23" t="s">
        <v>83</v>
      </c>
      <c r="D5143" s="21"/>
    </row>
    <row r="5144" spans="1:4" ht="12.75" customHeight="1" x14ac:dyDescent="0.2">
      <c r="A5144" s="21"/>
      <c r="B5144" s="3" t="s">
        <v>9</v>
      </c>
      <c r="C5144" s="23" t="s">
        <v>343</v>
      </c>
      <c r="D5144" s="21"/>
    </row>
    <row r="5145" spans="1:4" ht="12.75" customHeight="1" x14ac:dyDescent="0.2">
      <c r="A5145" s="21"/>
      <c r="B5145" s="3" t="s">
        <v>11</v>
      </c>
      <c r="C5145" s="23" t="s">
        <v>488</v>
      </c>
      <c r="D5145" s="21"/>
    </row>
    <row r="5146" spans="1:4" ht="12.75" customHeight="1" x14ac:dyDescent="0.2">
      <c r="A5146" s="21"/>
      <c r="B5146" s="3" t="s">
        <v>16</v>
      </c>
      <c r="C5146" s="23"/>
      <c r="D5146" s="21"/>
    </row>
    <row r="5147" spans="1:4" ht="12.75" customHeight="1" x14ac:dyDescent="0.2">
      <c r="A5147" s="21"/>
      <c r="B5147" s="3" t="s">
        <v>17</v>
      </c>
      <c r="C5147" s="23" t="s">
        <v>19</v>
      </c>
      <c r="D5147" s="21"/>
    </row>
    <row r="5148" spans="1:4" ht="12.75" customHeight="1" x14ac:dyDescent="0.2">
      <c r="A5148" s="21"/>
      <c r="B5148" s="20" t="s">
        <v>18</v>
      </c>
      <c r="C5148" s="8" t="s">
        <v>44</v>
      </c>
      <c r="D5148" s="1" t="str">
        <f>HYPERLINK("javascript:void(0)","csapcsizma")</f>
        <v>csapcsizma</v>
      </c>
    </row>
    <row r="5149" spans="1:4" ht="12.75" customHeight="1" x14ac:dyDescent="0.2">
      <c r="A5149" s="21"/>
      <c r="B5149" s="21"/>
      <c r="C5149" s="8" t="s">
        <v>44</v>
      </c>
      <c r="D5149" s="1" t="str">
        <f>HYPERLINK("javascript:void(0)","szárnyas szandál")</f>
        <v>szárnyas szandál</v>
      </c>
    </row>
    <row r="5150" spans="1:4" ht="12.75" customHeight="1" x14ac:dyDescent="0.2">
      <c r="A5150" s="21"/>
      <c r="B5150" s="21"/>
      <c r="C5150" s="8" t="s">
        <v>232</v>
      </c>
      <c r="D5150" s="1" t="str">
        <f>HYPERLINK("javascript:void(0)","malacorr")</f>
        <v>malacorr</v>
      </c>
    </row>
    <row r="5151" spans="1:4" ht="12.75" customHeight="1" x14ac:dyDescent="0.2">
      <c r="A5151" s="21"/>
      <c r="B5151" s="2"/>
      <c r="C5151" s="7"/>
      <c r="D5151" s="7"/>
    </row>
    <row r="5152" spans="1:4" ht="12.75" customHeight="1" x14ac:dyDescent="0.2">
      <c r="A5152" s="21"/>
      <c r="B5152" s="2"/>
      <c r="C5152" s="7"/>
      <c r="D5152" s="7"/>
    </row>
    <row r="5153" spans="1:4" ht="12.75" customHeight="1" x14ac:dyDescent="0.2">
      <c r="A5153" s="21"/>
      <c r="B5153" s="2"/>
      <c r="C5153" s="7"/>
      <c r="D5153" s="7"/>
    </row>
    <row r="5154" spans="1:4" ht="12.75" customHeight="1" x14ac:dyDescent="0.2">
      <c r="A5154" s="21"/>
      <c r="B5154" s="2"/>
      <c r="C5154" s="7"/>
      <c r="D5154" s="7"/>
    </row>
    <row r="5155" spans="1:4" ht="12.75" customHeight="1" x14ac:dyDescent="0.2">
      <c r="A5155" s="5"/>
      <c r="B5155" s="2"/>
      <c r="C5155" s="7"/>
      <c r="D5155" s="7"/>
    </row>
    <row r="5156" spans="1:4" ht="12.75" customHeight="1" x14ac:dyDescent="0.2">
      <c r="A5156" s="22" t="str">
        <f>HYPERLINK("javascript:void(0)","göcsört testpajzs")</f>
        <v>göcsört testpajzs</v>
      </c>
      <c r="B5156" s="21"/>
      <c r="C5156" s="21"/>
      <c r="D5156" s="21"/>
    </row>
    <row r="5157" spans="1:4" ht="12.75" customHeight="1" x14ac:dyDescent="0.2">
      <c r="A5157" s="20"/>
      <c r="B5157" s="2"/>
      <c r="C5157" s="7"/>
      <c r="D5157" s="7"/>
    </row>
    <row r="5158" spans="1:4" ht="12.75" customHeight="1" x14ac:dyDescent="0.2">
      <c r="A5158" s="21"/>
      <c r="B5158" s="3" t="s">
        <v>0</v>
      </c>
      <c r="C5158" s="23" t="s">
        <v>127</v>
      </c>
      <c r="D5158" s="21"/>
    </row>
    <row r="5159" spans="1:4" ht="12.75" customHeight="1" x14ac:dyDescent="0.2">
      <c r="A5159" s="21"/>
      <c r="B5159" s="3" t="s">
        <v>2</v>
      </c>
      <c r="C5159" s="23" t="s">
        <v>1839</v>
      </c>
      <c r="D5159" s="21"/>
    </row>
    <row r="5160" spans="1:4" ht="12.75" customHeight="1" x14ac:dyDescent="0.2">
      <c r="A5160" s="21"/>
      <c r="B5160" s="3" t="s">
        <v>1840</v>
      </c>
      <c r="C5160" s="23" t="s">
        <v>91</v>
      </c>
      <c r="D5160" s="21"/>
    </row>
    <row r="5161" spans="1:4" ht="12.75" customHeight="1" x14ac:dyDescent="0.2">
      <c r="A5161" s="21"/>
      <c r="B5161" s="3" t="s">
        <v>9</v>
      </c>
      <c r="C5161" s="23" t="s">
        <v>236</v>
      </c>
      <c r="D5161" s="21"/>
    </row>
    <row r="5162" spans="1:4" ht="12.75" customHeight="1" x14ac:dyDescent="0.2">
      <c r="A5162" s="21"/>
      <c r="B5162" s="3" t="s">
        <v>11</v>
      </c>
      <c r="C5162" s="23" t="s">
        <v>542</v>
      </c>
      <c r="D5162" s="21"/>
    </row>
    <row r="5163" spans="1:4" ht="12.75" customHeight="1" x14ac:dyDescent="0.2">
      <c r="A5163" s="21"/>
      <c r="B5163" s="3" t="s">
        <v>16</v>
      </c>
      <c r="C5163" s="23"/>
      <c r="D5163" s="21"/>
    </row>
    <row r="5164" spans="1:4" ht="12.75" customHeight="1" x14ac:dyDescent="0.2">
      <c r="A5164" s="21"/>
      <c r="B5164" s="3" t="s">
        <v>17</v>
      </c>
      <c r="C5164" s="23" t="s">
        <v>19</v>
      </c>
      <c r="D5164" s="21"/>
    </row>
    <row r="5165" spans="1:4" ht="12.75" customHeight="1" x14ac:dyDescent="0.2">
      <c r="A5165" s="21"/>
      <c r="B5165" s="20" t="s">
        <v>18</v>
      </c>
      <c r="C5165" s="8" t="s">
        <v>44</v>
      </c>
      <c r="D5165" s="1" t="str">
        <f>HYPERLINK("javascript:void(0)","portál testpajzs")</f>
        <v>portál testpajzs</v>
      </c>
    </row>
    <row r="5166" spans="1:4" ht="12.75" customHeight="1" x14ac:dyDescent="0.2">
      <c r="A5166" s="21"/>
      <c r="B5166" s="21"/>
      <c r="C5166" s="8" t="s">
        <v>67</v>
      </c>
      <c r="D5166" s="1" t="str">
        <f>HYPERLINK("javascript:void(0)","vari amulett")</f>
        <v>vari amulett</v>
      </c>
    </row>
    <row r="5167" spans="1:4" ht="12.75" customHeight="1" x14ac:dyDescent="0.2">
      <c r="A5167" s="21"/>
      <c r="B5167" s="21"/>
      <c r="C5167" s="8" t="s">
        <v>67</v>
      </c>
      <c r="D5167" s="1" t="str">
        <f>HYPERLINK("javascript:void(0)","göb")</f>
        <v>göb</v>
      </c>
    </row>
    <row r="5168" spans="1:4" ht="12.75" customHeight="1" x14ac:dyDescent="0.2">
      <c r="A5168" s="21"/>
      <c r="B5168" s="2"/>
      <c r="C5168" s="7"/>
      <c r="D5168" s="7"/>
    </row>
    <row r="5169" spans="1:4" ht="12.75" customHeight="1" x14ac:dyDescent="0.2">
      <c r="A5169" s="21"/>
      <c r="B5169" s="2"/>
      <c r="C5169" s="7"/>
      <c r="D5169" s="7"/>
    </row>
    <row r="5170" spans="1:4" ht="12.75" customHeight="1" x14ac:dyDescent="0.2">
      <c r="A5170" s="21"/>
      <c r="B5170" s="2"/>
      <c r="C5170" s="7"/>
      <c r="D5170" s="7"/>
    </row>
    <row r="5171" spans="1:4" ht="12.75" customHeight="1" x14ac:dyDescent="0.2">
      <c r="A5171" s="21"/>
      <c r="B5171" s="2"/>
      <c r="C5171" s="7"/>
      <c r="D5171" s="7"/>
    </row>
    <row r="5172" spans="1:4" ht="12.75" customHeight="1" x14ac:dyDescent="0.2">
      <c r="A5172" s="5"/>
      <c r="B5172" s="2"/>
      <c r="C5172" s="7"/>
      <c r="D5172" s="7"/>
    </row>
    <row r="5173" spans="1:4" ht="12.75" customHeight="1" x14ac:dyDescent="0.2">
      <c r="A5173" s="22" t="str">
        <f>HYPERLINK("javascript:void(0)","parszi pillepajzs")</f>
        <v>parszi pillepajzs</v>
      </c>
      <c r="B5173" s="21"/>
      <c r="C5173" s="21"/>
      <c r="D5173" s="21"/>
    </row>
    <row r="5174" spans="1:4" ht="12.75" customHeight="1" x14ac:dyDescent="0.2">
      <c r="A5174" s="20"/>
      <c r="B5174" s="2"/>
      <c r="C5174" s="7"/>
      <c r="D5174" s="7"/>
    </row>
    <row r="5175" spans="1:4" ht="12.75" customHeight="1" x14ac:dyDescent="0.2">
      <c r="A5175" s="21"/>
      <c r="B5175" s="3" t="s">
        <v>0</v>
      </c>
      <c r="C5175" s="23" t="s">
        <v>127</v>
      </c>
      <c r="D5175" s="21"/>
    </row>
    <row r="5176" spans="1:4" ht="12.75" customHeight="1" x14ac:dyDescent="0.2">
      <c r="A5176" s="21"/>
      <c r="B5176" s="3" t="s">
        <v>2</v>
      </c>
      <c r="C5176" s="23" t="s">
        <v>1839</v>
      </c>
      <c r="D5176" s="21"/>
    </row>
    <row r="5177" spans="1:4" ht="12.75" customHeight="1" x14ac:dyDescent="0.2">
      <c r="A5177" s="21"/>
      <c r="B5177" s="3" t="s">
        <v>1840</v>
      </c>
      <c r="C5177" s="23" t="s">
        <v>91</v>
      </c>
      <c r="D5177" s="21"/>
    </row>
    <row r="5178" spans="1:4" ht="12.75" customHeight="1" x14ac:dyDescent="0.2">
      <c r="A5178" s="21"/>
      <c r="B5178" s="3" t="s">
        <v>9</v>
      </c>
      <c r="C5178" s="23" t="s">
        <v>778</v>
      </c>
      <c r="D5178" s="21"/>
    </row>
    <row r="5179" spans="1:4" ht="12.75" customHeight="1" x14ac:dyDescent="0.2">
      <c r="A5179" s="21"/>
      <c r="B5179" s="3" t="s">
        <v>11</v>
      </c>
      <c r="C5179" s="23" t="s">
        <v>566</v>
      </c>
      <c r="D5179" s="21"/>
    </row>
    <row r="5180" spans="1:4" ht="12.75" customHeight="1" x14ac:dyDescent="0.2">
      <c r="A5180" s="21"/>
      <c r="B5180" s="3" t="s">
        <v>16</v>
      </c>
      <c r="C5180" s="23"/>
      <c r="D5180" s="21"/>
    </row>
    <row r="5181" spans="1:4" ht="12.75" customHeight="1" x14ac:dyDescent="0.2">
      <c r="A5181" s="21"/>
      <c r="B5181" s="3" t="s">
        <v>17</v>
      </c>
      <c r="C5181" s="23" t="s">
        <v>19</v>
      </c>
      <c r="D5181" s="21"/>
    </row>
    <row r="5182" spans="1:4" ht="12.75" customHeight="1" x14ac:dyDescent="0.2">
      <c r="A5182" s="21"/>
      <c r="B5182" s="20" t="s">
        <v>18</v>
      </c>
      <c r="C5182" s="8" t="s">
        <v>44</v>
      </c>
      <c r="D5182" s="1" t="str">
        <f>HYPERLINK("javascript:void(0)","göcsört testpajzs")</f>
        <v>göcsört testpajzs</v>
      </c>
    </row>
    <row r="5183" spans="1:4" ht="12.75" customHeight="1" x14ac:dyDescent="0.2">
      <c r="A5183" s="21"/>
      <c r="B5183" s="21"/>
      <c r="C5183" s="8" t="s">
        <v>98</v>
      </c>
      <c r="D5183" s="1" t="str">
        <f>HYPERLINK("javascript:void(0)","hemoglobin")</f>
        <v>hemoglobin</v>
      </c>
    </row>
    <row r="5184" spans="1:4" ht="12.75" customHeight="1" x14ac:dyDescent="0.2">
      <c r="A5184" s="21"/>
      <c r="B5184" s="21"/>
      <c r="C5184" s="8" t="s">
        <v>117</v>
      </c>
      <c r="D5184" s="1" t="str">
        <f>HYPERLINK("javascript:void(0)","malacorr")</f>
        <v>malacorr</v>
      </c>
    </row>
    <row r="5185" spans="1:4" ht="12.75" customHeight="1" x14ac:dyDescent="0.2">
      <c r="A5185" s="21"/>
      <c r="B5185" s="2"/>
      <c r="C5185" s="7"/>
      <c r="D5185" s="7"/>
    </row>
    <row r="5186" spans="1:4" ht="12.75" customHeight="1" x14ac:dyDescent="0.2">
      <c r="A5186" s="21"/>
      <c r="B5186" s="2"/>
      <c r="C5186" s="7"/>
      <c r="D5186" s="7"/>
    </row>
    <row r="5187" spans="1:4" ht="12.75" customHeight="1" x14ac:dyDescent="0.2">
      <c r="A5187" s="21"/>
      <c r="B5187" s="2"/>
      <c r="C5187" s="7"/>
      <c r="D5187" s="7"/>
    </row>
    <row r="5188" spans="1:4" ht="12.75" customHeight="1" x14ac:dyDescent="0.2">
      <c r="A5188" s="21"/>
      <c r="B5188" s="2"/>
      <c r="C5188" s="7"/>
      <c r="D5188" s="7"/>
    </row>
    <row r="5189" spans="1:4" ht="12.75" customHeight="1" x14ac:dyDescent="0.2">
      <c r="A5189" s="5"/>
      <c r="B5189" s="2"/>
      <c r="C5189" s="7"/>
      <c r="D5189" s="7"/>
    </row>
    <row r="5190" spans="1:4" ht="12.75" customHeight="1" x14ac:dyDescent="0.2">
      <c r="A5190" s="22" t="str">
        <f>HYPERLINK("javascript:void(0)","gyíkacél egyenruha")</f>
        <v>gyíkacél egyenruha</v>
      </c>
      <c r="B5190" s="21"/>
      <c r="C5190" s="21"/>
      <c r="D5190" s="21"/>
    </row>
    <row r="5191" spans="1:4" ht="12.75" customHeight="1" x14ac:dyDescent="0.2">
      <c r="A5191" s="20"/>
      <c r="B5191" s="2"/>
      <c r="C5191" s="7"/>
      <c r="D5191" s="7"/>
    </row>
    <row r="5192" spans="1:4" ht="12.75" customHeight="1" x14ac:dyDescent="0.2">
      <c r="A5192" s="21"/>
      <c r="B5192" s="3" t="s">
        <v>0</v>
      </c>
      <c r="C5192" s="23" t="s">
        <v>127</v>
      </c>
      <c r="D5192" s="21"/>
    </row>
    <row r="5193" spans="1:4" ht="12.75" customHeight="1" x14ac:dyDescent="0.2">
      <c r="A5193" s="21"/>
      <c r="B5193" s="3" t="s">
        <v>2</v>
      </c>
      <c r="C5193" s="23" t="s">
        <v>2322</v>
      </c>
      <c r="D5193" s="21"/>
    </row>
    <row r="5194" spans="1:4" ht="12.75" customHeight="1" x14ac:dyDescent="0.2">
      <c r="A5194" s="21"/>
      <c r="B5194" s="3" t="s">
        <v>1840</v>
      </c>
      <c r="C5194" s="23" t="s">
        <v>383</v>
      </c>
      <c r="D5194" s="21"/>
    </row>
    <row r="5195" spans="1:4" ht="12.75" customHeight="1" x14ac:dyDescent="0.2">
      <c r="A5195" s="21"/>
      <c r="B5195" s="3" t="s">
        <v>9</v>
      </c>
      <c r="C5195" s="23" t="s">
        <v>236</v>
      </c>
      <c r="D5195" s="21"/>
    </row>
    <row r="5196" spans="1:4" ht="12.75" customHeight="1" x14ac:dyDescent="0.2">
      <c r="A5196" s="21"/>
      <c r="B5196" s="3" t="s">
        <v>11</v>
      </c>
      <c r="C5196" s="23" t="s">
        <v>329</v>
      </c>
      <c r="D5196" s="21"/>
    </row>
    <row r="5197" spans="1:4" ht="12.75" customHeight="1" x14ac:dyDescent="0.2">
      <c r="A5197" s="21"/>
      <c r="B5197" s="3" t="s">
        <v>16</v>
      </c>
      <c r="C5197" s="23"/>
      <c r="D5197" s="21"/>
    </row>
    <row r="5198" spans="1:4" ht="12.75" customHeight="1" x14ac:dyDescent="0.2">
      <c r="A5198" s="21"/>
      <c r="B5198" s="3" t="s">
        <v>17</v>
      </c>
      <c r="C5198" s="23" t="s">
        <v>19</v>
      </c>
      <c r="D5198" s="21"/>
    </row>
    <row r="5199" spans="1:4" ht="12.75" customHeight="1" x14ac:dyDescent="0.2">
      <c r="A5199" s="21"/>
      <c r="B5199" s="20" t="s">
        <v>18</v>
      </c>
      <c r="C5199" s="8" t="s">
        <v>280</v>
      </c>
      <c r="D5199" s="1" t="str">
        <f>HYPERLINK("javascript:void(0)","portgyűrű")</f>
        <v>portgyűrű</v>
      </c>
    </row>
    <row r="5200" spans="1:4" ht="12.75" customHeight="1" x14ac:dyDescent="0.2">
      <c r="A5200" s="21"/>
      <c r="B5200" s="21"/>
      <c r="C5200" s="8" t="s">
        <v>1379</v>
      </c>
      <c r="D5200" s="1" t="str">
        <f>HYPERLINK("javascript:void(0)","goblinbatka")</f>
        <v>goblinbatka</v>
      </c>
    </row>
    <row r="5201" spans="1:4" ht="12.75" customHeight="1" x14ac:dyDescent="0.2">
      <c r="A5201" s="21"/>
      <c r="B5201" s="21"/>
      <c r="C5201" s="8" t="s">
        <v>280</v>
      </c>
      <c r="D5201" s="1" t="str">
        <f>HYPERLINK("javascript:void(0)","szent szimbólum")</f>
        <v>szent szimbólum</v>
      </c>
    </row>
    <row r="5202" spans="1:4" ht="12.75" customHeight="1" x14ac:dyDescent="0.2">
      <c r="A5202" s="21"/>
      <c r="B5202" s="2"/>
      <c r="C5202" s="7"/>
      <c r="D5202" s="7"/>
    </row>
    <row r="5203" spans="1:4" ht="12.75" customHeight="1" x14ac:dyDescent="0.2">
      <c r="A5203" s="21"/>
      <c r="B5203" s="2"/>
      <c r="C5203" s="7"/>
      <c r="D5203" s="7"/>
    </row>
    <row r="5204" spans="1:4" ht="12.75" customHeight="1" x14ac:dyDescent="0.2">
      <c r="A5204" s="21"/>
      <c r="B5204" s="2"/>
      <c r="C5204" s="7"/>
      <c r="D5204" s="7"/>
    </row>
    <row r="5205" spans="1:4" ht="12.75" customHeight="1" x14ac:dyDescent="0.2">
      <c r="A5205" s="21"/>
      <c r="B5205" s="2"/>
      <c r="C5205" s="7"/>
      <c r="D5205" s="7"/>
    </row>
    <row r="5206" spans="1:4" ht="12.75" customHeight="1" x14ac:dyDescent="0.2">
      <c r="A5206" s="5"/>
      <c r="B5206" s="2"/>
      <c r="C5206" s="7"/>
      <c r="D5206" s="7"/>
    </row>
    <row r="5207" spans="1:4" ht="12.75" customHeight="1" x14ac:dyDescent="0.2">
      <c r="A5207" s="22" t="str">
        <f>HYPERLINK("javascript:void(0)","szellemszárnyas bíborcsuklya")</f>
        <v>szellemszárnyas bíborcsuklya</v>
      </c>
      <c r="B5207" s="21"/>
      <c r="C5207" s="21"/>
      <c r="D5207" s="7"/>
    </row>
    <row r="5208" spans="1:4" ht="12.75" customHeight="1" x14ac:dyDescent="0.2">
      <c r="A5208" s="20"/>
      <c r="B5208" s="2"/>
      <c r="C5208" s="7"/>
      <c r="D5208" s="7"/>
    </row>
    <row r="5209" spans="1:4" ht="12.75" customHeight="1" x14ac:dyDescent="0.2">
      <c r="A5209" s="21"/>
      <c r="B5209" s="3" t="s">
        <v>0</v>
      </c>
      <c r="C5209" s="9" t="s">
        <v>127</v>
      </c>
      <c r="D5209" s="7"/>
    </row>
    <row r="5210" spans="1:4" ht="12.75" customHeight="1" x14ac:dyDescent="0.2">
      <c r="A5210" s="21"/>
      <c r="B5210" s="3" t="s">
        <v>2</v>
      </c>
      <c r="C5210" s="9"/>
      <c r="D5210" s="7"/>
    </row>
    <row r="5211" spans="1:4" ht="12.75" customHeight="1" x14ac:dyDescent="0.2">
      <c r="A5211" s="21"/>
      <c r="B5211" s="3" t="s">
        <v>1840</v>
      </c>
      <c r="C5211" s="9" t="s">
        <v>853</v>
      </c>
      <c r="D5211" s="7"/>
    </row>
    <row r="5212" spans="1:4" ht="12.75" customHeight="1" x14ac:dyDescent="0.2">
      <c r="A5212" s="21"/>
      <c r="B5212" s="3" t="s">
        <v>9</v>
      </c>
      <c r="C5212" s="9" t="s">
        <v>3062</v>
      </c>
      <c r="D5212" s="7"/>
    </row>
    <row r="5213" spans="1:4" ht="12.75" customHeight="1" x14ac:dyDescent="0.2">
      <c r="A5213" s="21"/>
      <c r="B5213" s="3" t="s">
        <v>11</v>
      </c>
      <c r="C5213" s="9" t="s">
        <v>23</v>
      </c>
      <c r="D5213" s="7"/>
    </row>
    <row r="5214" spans="1:4" ht="12.75" customHeight="1" x14ac:dyDescent="0.2">
      <c r="A5214" s="21"/>
      <c r="B5214" s="3" t="s">
        <v>16</v>
      </c>
      <c r="C5214" s="9"/>
      <c r="D5214" s="7"/>
    </row>
    <row r="5215" spans="1:4" ht="12.75" customHeight="1" x14ac:dyDescent="0.2">
      <c r="A5215" s="21"/>
      <c r="B5215" s="3" t="s">
        <v>17</v>
      </c>
      <c r="C5215" s="9" t="s">
        <v>19</v>
      </c>
      <c r="D5215" s="7"/>
    </row>
    <row r="5216" spans="1:4" ht="12.75" customHeight="1" x14ac:dyDescent="0.2">
      <c r="A5216" s="21"/>
      <c r="B5216" s="3" t="s">
        <v>18</v>
      </c>
      <c r="C5216" s="8" t="s">
        <v>19</v>
      </c>
      <c r="D5216" s="7"/>
    </row>
    <row r="5217" spans="1:4" ht="12.75" customHeight="1" x14ac:dyDescent="0.2">
      <c r="A5217" s="21"/>
      <c r="B5217" s="2"/>
      <c r="C5217" s="7"/>
      <c r="D5217" s="7"/>
    </row>
    <row r="5218" spans="1:4" ht="12.75" customHeight="1" x14ac:dyDescent="0.2">
      <c r="A5218" s="21"/>
      <c r="B5218" s="2"/>
      <c r="C5218" s="7"/>
      <c r="D5218" s="7"/>
    </row>
    <row r="5219" spans="1:4" ht="12.75" customHeight="1" x14ac:dyDescent="0.2">
      <c r="A5219" s="21"/>
      <c r="B5219" s="2"/>
      <c r="C5219" s="7"/>
      <c r="D5219" s="7"/>
    </row>
    <row r="5220" spans="1:4" ht="12.75" customHeight="1" x14ac:dyDescent="0.2">
      <c r="A5220" s="21"/>
      <c r="B5220" s="2"/>
      <c r="C5220" s="7"/>
      <c r="D5220" s="7"/>
    </row>
    <row r="5221" spans="1:4" ht="12.75" customHeight="1" x14ac:dyDescent="0.2">
      <c r="A5221" s="5"/>
      <c r="B5221" s="2"/>
      <c r="C5221" s="7"/>
      <c r="D5221" s="7"/>
    </row>
    <row r="5222" spans="1:4" ht="12.75" customHeight="1" x14ac:dyDescent="0.2">
      <c r="A5222" s="22" t="str">
        <f>HYPERLINK("javascript:void(0)","nagy csillámpajzs")</f>
        <v>nagy csillámpajzs</v>
      </c>
      <c r="B5222" s="21"/>
      <c r="C5222" s="21"/>
      <c r="D5222" s="21"/>
    </row>
    <row r="5223" spans="1:4" ht="12.75" customHeight="1" x14ac:dyDescent="0.2">
      <c r="A5223" s="20"/>
      <c r="B5223" s="2"/>
      <c r="C5223" s="7"/>
      <c r="D5223" s="7"/>
    </row>
    <row r="5224" spans="1:4" ht="12.75" customHeight="1" x14ac:dyDescent="0.2">
      <c r="A5224" s="21"/>
      <c r="B5224" s="3" t="s">
        <v>0</v>
      </c>
      <c r="C5224" s="23" t="s">
        <v>127</v>
      </c>
      <c r="D5224" s="21"/>
    </row>
    <row r="5225" spans="1:4" ht="12.75" customHeight="1" x14ac:dyDescent="0.2">
      <c r="A5225" s="21"/>
      <c r="B5225" s="3" t="s">
        <v>2</v>
      </c>
      <c r="C5225" s="23" t="s">
        <v>1839</v>
      </c>
      <c r="D5225" s="21"/>
    </row>
    <row r="5226" spans="1:4" ht="12.75" customHeight="1" x14ac:dyDescent="0.2">
      <c r="A5226" s="21"/>
      <c r="B5226" s="3" t="s">
        <v>1840</v>
      </c>
      <c r="C5226" s="23" t="s">
        <v>312</v>
      </c>
      <c r="D5226" s="21"/>
    </row>
    <row r="5227" spans="1:4" ht="12.75" customHeight="1" x14ac:dyDescent="0.2">
      <c r="A5227" s="21"/>
      <c r="B5227" s="3" t="s">
        <v>9</v>
      </c>
      <c r="C5227" s="23" t="s">
        <v>2080</v>
      </c>
      <c r="D5227" s="21"/>
    </row>
    <row r="5228" spans="1:4" ht="12.75" customHeight="1" x14ac:dyDescent="0.2">
      <c r="A5228" s="21"/>
      <c r="B5228" s="3" t="s">
        <v>11</v>
      </c>
      <c r="C5228" s="23" t="s">
        <v>542</v>
      </c>
      <c r="D5228" s="21"/>
    </row>
    <row r="5229" spans="1:4" ht="12.75" customHeight="1" x14ac:dyDescent="0.2">
      <c r="A5229" s="21"/>
      <c r="B5229" s="3" t="s">
        <v>16</v>
      </c>
      <c r="C5229" s="23"/>
      <c r="D5229" s="21"/>
    </row>
    <row r="5230" spans="1:4" ht="12.75" customHeight="1" x14ac:dyDescent="0.2">
      <c r="A5230" s="21"/>
      <c r="B5230" s="3" t="s">
        <v>17</v>
      </c>
      <c r="C5230" s="23" t="s">
        <v>19</v>
      </c>
      <c r="D5230" s="21"/>
    </row>
    <row r="5231" spans="1:4" ht="12.75" customHeight="1" x14ac:dyDescent="0.2">
      <c r="A5231" s="21"/>
      <c r="B5231" s="20" t="s">
        <v>18</v>
      </c>
      <c r="C5231" s="8" t="s">
        <v>57</v>
      </c>
      <c r="D5231" s="1" t="str">
        <f>HYPERLINK("javascript:void(0)","csillámgöb")</f>
        <v>csillámgöb</v>
      </c>
    </row>
    <row r="5232" spans="1:4" ht="25.5" customHeight="1" x14ac:dyDescent="0.2">
      <c r="A5232" s="21"/>
      <c r="B5232" s="21"/>
      <c r="C5232" s="8" t="s">
        <v>44</v>
      </c>
      <c r="D5232" s="1" t="str">
        <f>HYPERLINK("javascript:void(0)","középnagy csillámpajzs")</f>
        <v>középnagy csillámpajzs</v>
      </c>
    </row>
    <row r="5233" spans="1:4" ht="12.75" customHeight="1" x14ac:dyDescent="0.2">
      <c r="A5233" s="21"/>
      <c r="B5233" s="21"/>
      <c r="C5233" s="8" t="s">
        <v>44</v>
      </c>
      <c r="D5233" s="1" t="str">
        <f>HYPERLINK("javascript:void(0)","smaragd testpajzs")</f>
        <v>smaragd testpajzs</v>
      </c>
    </row>
    <row r="5234" spans="1:4" ht="12.75" customHeight="1" x14ac:dyDescent="0.2">
      <c r="A5234" s="21"/>
      <c r="B5234" s="2"/>
      <c r="C5234" s="7"/>
      <c r="D5234" s="7"/>
    </row>
    <row r="5235" spans="1:4" ht="12.75" customHeight="1" x14ac:dyDescent="0.2">
      <c r="A5235" s="21"/>
      <c r="B5235" s="2"/>
      <c r="C5235" s="7"/>
      <c r="D5235" s="7"/>
    </row>
    <row r="5236" spans="1:4" ht="12.75" customHeight="1" x14ac:dyDescent="0.2">
      <c r="A5236" s="21"/>
      <c r="B5236" s="2"/>
      <c r="C5236" s="7"/>
      <c r="D5236" s="7"/>
    </row>
    <row r="5237" spans="1:4" ht="12.75" customHeight="1" x14ac:dyDescent="0.2">
      <c r="A5237" s="21"/>
      <c r="B5237" s="2"/>
      <c r="C5237" s="7"/>
      <c r="D5237" s="7"/>
    </row>
    <row r="5238" spans="1:4" ht="12.75" customHeight="1" x14ac:dyDescent="0.2">
      <c r="A5238" s="5"/>
      <c r="B5238" s="2"/>
      <c r="C5238" s="7"/>
      <c r="D5238" s="7"/>
    </row>
    <row r="5239" spans="1:4" ht="12.75" customHeight="1" x14ac:dyDescent="0.2">
      <c r="A5239" s="22" t="str">
        <f>HYPERLINK("javascript:void(0)","csillámos kiscsizma")</f>
        <v>csillámos kiscsizma</v>
      </c>
      <c r="B5239" s="21"/>
      <c r="C5239" s="21"/>
      <c r="D5239" s="21"/>
    </row>
    <row r="5240" spans="1:4" ht="12.75" customHeight="1" x14ac:dyDescent="0.2">
      <c r="A5240" s="20"/>
      <c r="B5240" s="2"/>
      <c r="C5240" s="7"/>
      <c r="D5240" s="7"/>
    </row>
    <row r="5241" spans="1:4" ht="12.75" customHeight="1" x14ac:dyDescent="0.2">
      <c r="A5241" s="21"/>
      <c r="B5241" s="3" t="s">
        <v>0</v>
      </c>
      <c r="C5241" s="23" t="s">
        <v>127</v>
      </c>
      <c r="D5241" s="21"/>
    </row>
    <row r="5242" spans="1:4" ht="12.75" customHeight="1" x14ac:dyDescent="0.2">
      <c r="A5242" s="21"/>
      <c r="B5242" s="3" t="s">
        <v>2</v>
      </c>
      <c r="C5242" s="23"/>
      <c r="D5242" s="21"/>
    </row>
    <row r="5243" spans="1:4" ht="12.75" customHeight="1" x14ac:dyDescent="0.2">
      <c r="A5243" s="21"/>
      <c r="B5243" s="3" t="s">
        <v>1840</v>
      </c>
      <c r="C5243" s="23" t="s">
        <v>896</v>
      </c>
      <c r="D5243" s="21"/>
    </row>
    <row r="5244" spans="1:4" ht="12.75" customHeight="1" x14ac:dyDescent="0.2">
      <c r="A5244" s="21"/>
      <c r="B5244" s="3" t="s">
        <v>9</v>
      </c>
      <c r="C5244" s="23" t="s">
        <v>1973</v>
      </c>
      <c r="D5244" s="21"/>
    </row>
    <row r="5245" spans="1:4" ht="12.75" customHeight="1" x14ac:dyDescent="0.2">
      <c r="A5245" s="21"/>
      <c r="B5245" s="3" t="s">
        <v>11</v>
      </c>
      <c r="C5245" s="23" t="s">
        <v>488</v>
      </c>
      <c r="D5245" s="21"/>
    </row>
    <row r="5246" spans="1:4" ht="12.75" customHeight="1" x14ac:dyDescent="0.2">
      <c r="A5246" s="21"/>
      <c r="B5246" s="3" t="s">
        <v>16</v>
      </c>
      <c r="C5246" s="23"/>
      <c r="D5246" s="21"/>
    </row>
    <row r="5247" spans="1:4" ht="12.75" customHeight="1" x14ac:dyDescent="0.2">
      <c r="A5247" s="21"/>
      <c r="B5247" s="3" t="s">
        <v>17</v>
      </c>
      <c r="C5247" s="23" t="s">
        <v>19</v>
      </c>
      <c r="D5247" s="21"/>
    </row>
    <row r="5248" spans="1:4" ht="12.75" customHeight="1" x14ac:dyDescent="0.2">
      <c r="A5248" s="21"/>
      <c r="B5248" s="20" t="s">
        <v>18</v>
      </c>
      <c r="C5248" s="8" t="s">
        <v>57</v>
      </c>
      <c r="D5248" s="1" t="str">
        <f>HYPERLINK("javascript:void(0)","csillámgöb")</f>
        <v>csillámgöb</v>
      </c>
    </row>
    <row r="5249" spans="1:4" ht="12.75" customHeight="1" x14ac:dyDescent="0.2">
      <c r="A5249" s="21"/>
      <c r="B5249" s="21"/>
      <c r="C5249" s="8" t="s">
        <v>44</v>
      </c>
      <c r="D5249" s="1" t="str">
        <f>HYPERLINK("javascript:void(0)","csillámsurranó")</f>
        <v>csillámsurranó</v>
      </c>
    </row>
    <row r="5250" spans="1:4" ht="12.75" customHeight="1" x14ac:dyDescent="0.2">
      <c r="A5250" s="21"/>
      <c r="B5250" s="21"/>
      <c r="C5250" s="8" t="s">
        <v>309</v>
      </c>
      <c r="D5250" s="1" t="str">
        <f>HYPERLINK("javascript:void(0)","szellemszarv")</f>
        <v>szellemszarv</v>
      </c>
    </row>
    <row r="5251" spans="1:4" ht="12.75" customHeight="1" x14ac:dyDescent="0.2">
      <c r="A5251" s="21"/>
      <c r="B5251" s="2"/>
      <c r="C5251" s="7"/>
      <c r="D5251" s="7"/>
    </row>
    <row r="5252" spans="1:4" ht="12.75" customHeight="1" x14ac:dyDescent="0.2">
      <c r="A5252" s="21"/>
      <c r="B5252" s="2"/>
      <c r="C5252" s="7"/>
      <c r="D5252" s="7"/>
    </row>
    <row r="5253" spans="1:4" ht="12.75" customHeight="1" x14ac:dyDescent="0.2">
      <c r="A5253" s="21"/>
      <c r="B5253" s="2"/>
      <c r="C5253" s="7"/>
      <c r="D5253" s="7"/>
    </row>
    <row r="5254" spans="1:4" ht="12.75" customHeight="1" x14ac:dyDescent="0.2">
      <c r="A5254" s="21"/>
      <c r="B5254" s="2"/>
      <c r="C5254" s="7"/>
      <c r="D5254" s="7"/>
    </row>
    <row r="5255" spans="1:4" ht="12.75" customHeight="1" x14ac:dyDescent="0.2">
      <c r="A5255" s="5"/>
      <c r="B5255" s="2"/>
      <c r="C5255" s="7"/>
      <c r="D5255" s="7"/>
    </row>
    <row r="5256" spans="1:4" ht="12.75" customHeight="1" x14ac:dyDescent="0.2">
      <c r="A5256" s="22" t="str">
        <f>HYPERLINK("javascript:void(0)","csillámálarc")</f>
        <v>csillámálarc</v>
      </c>
      <c r="B5256" s="21"/>
      <c r="C5256" s="21"/>
      <c r="D5256" s="21"/>
    </row>
    <row r="5257" spans="1:4" ht="12.75" customHeight="1" x14ac:dyDescent="0.2">
      <c r="A5257" s="20"/>
      <c r="B5257" s="2"/>
      <c r="C5257" s="7"/>
      <c r="D5257" s="7"/>
    </row>
    <row r="5258" spans="1:4" ht="12.75" customHeight="1" x14ac:dyDescent="0.2">
      <c r="A5258" s="21"/>
      <c r="B5258" s="3" t="s">
        <v>0</v>
      </c>
      <c r="C5258" s="23" t="s">
        <v>127</v>
      </c>
      <c r="D5258" s="21"/>
    </row>
    <row r="5259" spans="1:4" ht="12.75" customHeight="1" x14ac:dyDescent="0.2">
      <c r="A5259" s="21"/>
      <c r="B5259" s="3" t="s">
        <v>2</v>
      </c>
      <c r="C5259" s="23"/>
      <c r="D5259" s="21"/>
    </row>
    <row r="5260" spans="1:4" ht="12.75" customHeight="1" x14ac:dyDescent="0.2">
      <c r="A5260" s="21"/>
      <c r="B5260" s="3" t="s">
        <v>1840</v>
      </c>
      <c r="C5260" s="23" t="s">
        <v>190</v>
      </c>
      <c r="D5260" s="21"/>
    </row>
    <row r="5261" spans="1:4" ht="12.75" customHeight="1" x14ac:dyDescent="0.2">
      <c r="A5261" s="21"/>
      <c r="B5261" s="3" t="s">
        <v>9</v>
      </c>
      <c r="C5261" s="23" t="s">
        <v>2402</v>
      </c>
      <c r="D5261" s="21"/>
    </row>
    <row r="5262" spans="1:4" ht="12.75" customHeight="1" x14ac:dyDescent="0.2">
      <c r="A5262" s="21"/>
      <c r="B5262" s="3" t="s">
        <v>11</v>
      </c>
      <c r="C5262" s="23" t="s">
        <v>470</v>
      </c>
      <c r="D5262" s="21"/>
    </row>
    <row r="5263" spans="1:4" ht="12.75" customHeight="1" x14ac:dyDescent="0.2">
      <c r="A5263" s="21"/>
      <c r="B5263" s="3" t="s">
        <v>16</v>
      </c>
      <c r="C5263" s="23"/>
      <c r="D5263" s="21"/>
    </row>
    <row r="5264" spans="1:4" ht="12.75" customHeight="1" x14ac:dyDescent="0.2">
      <c r="A5264" s="21"/>
      <c r="B5264" s="3" t="s">
        <v>17</v>
      </c>
      <c r="C5264" s="23" t="s">
        <v>19</v>
      </c>
      <c r="D5264" s="21"/>
    </row>
    <row r="5265" spans="1:4" ht="12.75" customHeight="1" x14ac:dyDescent="0.2">
      <c r="A5265" s="21"/>
      <c r="B5265" s="20" t="s">
        <v>18</v>
      </c>
      <c r="C5265" s="8" t="s">
        <v>57</v>
      </c>
      <c r="D5265" s="1" t="str">
        <f>HYPERLINK("javascript:void(0)","csillámgöb")</f>
        <v>csillámgöb</v>
      </c>
    </row>
    <row r="5266" spans="1:4" ht="12.75" customHeight="1" x14ac:dyDescent="0.2">
      <c r="A5266" s="21"/>
      <c r="B5266" s="21"/>
      <c r="C5266" s="8" t="s">
        <v>44</v>
      </c>
      <c r="D5266" s="1" t="str">
        <f>HYPERLINK("javascript:void(0)","csillámló láncsisak")</f>
        <v>csillámló láncsisak</v>
      </c>
    </row>
    <row r="5267" spans="1:4" ht="12.75" customHeight="1" x14ac:dyDescent="0.2">
      <c r="A5267" s="21"/>
      <c r="B5267" s="21"/>
      <c r="C5267" s="8" t="s">
        <v>130</v>
      </c>
      <c r="D5267" s="1" t="str">
        <f>HYPERLINK("javascript:void(0)","kristályfolyadék")</f>
        <v>kristályfolyadék</v>
      </c>
    </row>
    <row r="5268" spans="1:4" ht="12.75" customHeight="1" x14ac:dyDescent="0.2">
      <c r="A5268" s="21"/>
      <c r="B5268" s="2"/>
      <c r="C5268" s="7"/>
      <c r="D5268" s="7"/>
    </row>
    <row r="5269" spans="1:4" ht="12.75" customHeight="1" x14ac:dyDescent="0.2">
      <c r="A5269" s="21"/>
      <c r="B5269" s="2"/>
      <c r="C5269" s="7"/>
      <c r="D5269" s="7"/>
    </row>
    <row r="5270" spans="1:4" ht="12.75" customHeight="1" x14ac:dyDescent="0.2">
      <c r="A5270" s="21"/>
      <c r="B5270" s="2"/>
      <c r="C5270" s="7"/>
      <c r="D5270" s="7"/>
    </row>
    <row r="5271" spans="1:4" ht="12.75" customHeight="1" x14ac:dyDescent="0.2">
      <c r="A5271" s="21"/>
      <c r="B5271" s="2"/>
      <c r="C5271" s="7"/>
      <c r="D5271" s="7"/>
    </row>
    <row r="5272" spans="1:4" ht="12.75" customHeight="1" x14ac:dyDescent="0.2">
      <c r="A5272" s="5"/>
      <c r="B5272" s="2"/>
      <c r="C5272" s="7"/>
      <c r="D5272" s="7"/>
    </row>
    <row r="5273" spans="1:4" ht="12.75" customHeight="1" x14ac:dyDescent="0.2">
      <c r="A5273" s="22" t="str">
        <f>HYPERLINK("javascript:void(0)","mellényes csillámköpeny")</f>
        <v>mellényes csillámköpeny</v>
      </c>
      <c r="B5273" s="21"/>
      <c r="C5273" s="21"/>
      <c r="D5273" s="21"/>
    </row>
    <row r="5274" spans="1:4" ht="12.75" customHeight="1" x14ac:dyDescent="0.2">
      <c r="A5274" s="20"/>
      <c r="B5274" s="2"/>
      <c r="C5274" s="7"/>
      <c r="D5274" s="7"/>
    </row>
    <row r="5275" spans="1:4" ht="12.75" customHeight="1" x14ac:dyDescent="0.2">
      <c r="A5275" s="21"/>
      <c r="B5275" s="3" t="s">
        <v>0</v>
      </c>
      <c r="C5275" s="23" t="s">
        <v>127</v>
      </c>
      <c r="D5275" s="21"/>
    </row>
    <row r="5276" spans="1:4" ht="12.75" customHeight="1" x14ac:dyDescent="0.2">
      <c r="A5276" s="21"/>
      <c r="B5276" s="3" t="s">
        <v>2</v>
      </c>
      <c r="C5276" s="23" t="s">
        <v>2322</v>
      </c>
      <c r="D5276" s="21"/>
    </row>
    <row r="5277" spans="1:4" ht="12.75" customHeight="1" x14ac:dyDescent="0.2">
      <c r="A5277" s="21"/>
      <c r="B5277" s="3" t="s">
        <v>1840</v>
      </c>
      <c r="C5277" s="23" t="s">
        <v>1770</v>
      </c>
      <c r="D5277" s="21"/>
    </row>
    <row r="5278" spans="1:4" ht="12.75" customHeight="1" x14ac:dyDescent="0.2">
      <c r="A5278" s="21"/>
      <c r="B5278" s="3" t="s">
        <v>9</v>
      </c>
      <c r="C5278" s="23" t="s">
        <v>1433</v>
      </c>
      <c r="D5278" s="21"/>
    </row>
    <row r="5279" spans="1:4" ht="12.75" customHeight="1" x14ac:dyDescent="0.2">
      <c r="A5279" s="21"/>
      <c r="B5279" s="3" t="s">
        <v>11</v>
      </c>
      <c r="C5279" s="23" t="s">
        <v>470</v>
      </c>
      <c r="D5279" s="21"/>
    </row>
    <row r="5280" spans="1:4" ht="12.75" customHeight="1" x14ac:dyDescent="0.2">
      <c r="A5280" s="21"/>
      <c r="B5280" s="3" t="s">
        <v>16</v>
      </c>
      <c r="C5280" s="23"/>
      <c r="D5280" s="21"/>
    </row>
    <row r="5281" spans="1:4" ht="12.75" customHeight="1" x14ac:dyDescent="0.2">
      <c r="A5281" s="21"/>
      <c r="B5281" s="3" t="s">
        <v>17</v>
      </c>
      <c r="C5281" s="23" t="s">
        <v>19</v>
      </c>
      <c r="D5281" s="21"/>
    </row>
    <row r="5282" spans="1:4" ht="12.75" customHeight="1" x14ac:dyDescent="0.2">
      <c r="A5282" s="21"/>
      <c r="B5282" s="20" t="s">
        <v>18</v>
      </c>
      <c r="C5282" s="8" t="s">
        <v>57</v>
      </c>
      <c r="D5282" s="1" t="str">
        <f>HYPERLINK("javascript:void(0)","csillámgöb")</f>
        <v>csillámgöb</v>
      </c>
    </row>
    <row r="5283" spans="1:4" ht="12.75" customHeight="1" x14ac:dyDescent="0.2">
      <c r="A5283" s="21"/>
      <c r="B5283" s="21"/>
      <c r="C5283" s="8" t="s">
        <v>44</v>
      </c>
      <c r="D5283" s="1" t="str">
        <f>HYPERLINK("javascript:void(0)","csillámmellény")</f>
        <v>csillámmellény</v>
      </c>
    </row>
    <row r="5284" spans="1:4" ht="12.75" customHeight="1" x14ac:dyDescent="0.2">
      <c r="A5284" s="21"/>
      <c r="B5284" s="21"/>
      <c r="C5284" s="8" t="s">
        <v>280</v>
      </c>
      <c r="D5284" s="1" t="str">
        <f>HYPERLINK("javascript:void(0)","gyémántkarika")</f>
        <v>gyémántkarika</v>
      </c>
    </row>
    <row r="5285" spans="1:4" ht="12.75" customHeight="1" x14ac:dyDescent="0.2">
      <c r="A5285" s="21"/>
      <c r="B5285" s="2"/>
      <c r="C5285" s="7"/>
      <c r="D5285" s="7"/>
    </row>
    <row r="5286" spans="1:4" ht="12.75" customHeight="1" x14ac:dyDescent="0.2">
      <c r="A5286" s="21"/>
      <c r="B5286" s="2"/>
      <c r="C5286" s="7"/>
      <c r="D5286" s="7"/>
    </row>
    <row r="5287" spans="1:4" ht="12.75" customHeight="1" x14ac:dyDescent="0.2">
      <c r="A5287" s="21"/>
      <c r="B5287" s="2"/>
      <c r="C5287" s="7"/>
      <c r="D5287" s="7"/>
    </row>
    <row r="5288" spans="1:4" ht="12.75" customHeight="1" x14ac:dyDescent="0.2">
      <c r="A5288" s="21"/>
      <c r="B5288" s="2"/>
      <c r="C5288" s="7"/>
      <c r="D5288" s="7"/>
    </row>
    <row r="5289" spans="1:4" ht="12.75" customHeight="1" x14ac:dyDescent="0.2">
      <c r="A5289" s="5"/>
      <c r="B5289" s="2"/>
      <c r="C5289" s="7"/>
      <c r="D5289" s="7"/>
    </row>
    <row r="5290" spans="1:4" ht="12.75" customHeight="1" x14ac:dyDescent="0.2">
      <c r="A5290" s="22" t="str">
        <f>HYPERLINK("javascript:void(0)","gyémánt mellvért")</f>
        <v>gyémánt mellvért</v>
      </c>
      <c r="B5290" s="21"/>
      <c r="C5290" s="21"/>
      <c r="D5290" s="21"/>
    </row>
    <row r="5291" spans="1:4" ht="12.75" customHeight="1" x14ac:dyDescent="0.2">
      <c r="A5291" s="20"/>
      <c r="B5291" s="2"/>
      <c r="C5291" s="7"/>
      <c r="D5291" s="7"/>
    </row>
    <row r="5292" spans="1:4" ht="12.75" customHeight="1" x14ac:dyDescent="0.2">
      <c r="A5292" s="21"/>
      <c r="B5292" s="3" t="s">
        <v>0</v>
      </c>
      <c r="C5292" s="23" t="s">
        <v>204</v>
      </c>
      <c r="D5292" s="21"/>
    </row>
    <row r="5293" spans="1:4" ht="12.75" customHeight="1" x14ac:dyDescent="0.2">
      <c r="A5293" s="21"/>
      <c r="B5293" s="3" t="s">
        <v>2</v>
      </c>
      <c r="C5293" s="23" t="s">
        <v>2322</v>
      </c>
      <c r="D5293" s="21"/>
    </row>
    <row r="5294" spans="1:4" ht="12.75" customHeight="1" x14ac:dyDescent="0.2">
      <c r="A5294" s="21"/>
      <c r="B5294" s="3" t="s">
        <v>1840</v>
      </c>
      <c r="C5294" s="23" t="s">
        <v>2395</v>
      </c>
      <c r="D5294" s="21"/>
    </row>
    <row r="5295" spans="1:4" ht="12.75" customHeight="1" x14ac:dyDescent="0.2">
      <c r="A5295" s="21"/>
      <c r="B5295" s="3" t="s">
        <v>9</v>
      </c>
      <c r="C5295" s="23" t="s">
        <v>30</v>
      </c>
      <c r="D5295" s="21"/>
    </row>
    <row r="5296" spans="1:4" ht="12.75" customHeight="1" x14ac:dyDescent="0.2">
      <c r="A5296" s="21"/>
      <c r="B5296" s="3" t="s">
        <v>11</v>
      </c>
      <c r="C5296" s="23" t="s">
        <v>483</v>
      </c>
      <c r="D5296" s="21"/>
    </row>
    <row r="5297" spans="1:4" ht="12.75" customHeight="1" x14ac:dyDescent="0.2">
      <c r="A5297" s="21"/>
      <c r="B5297" s="3" t="s">
        <v>16</v>
      </c>
      <c r="C5297" s="23"/>
      <c r="D5297" s="21"/>
    </row>
    <row r="5298" spans="1:4" ht="12.75" customHeight="1" x14ac:dyDescent="0.2">
      <c r="A5298" s="21"/>
      <c r="B5298" s="3" t="s">
        <v>17</v>
      </c>
      <c r="C5298" s="23" t="s">
        <v>19</v>
      </c>
      <c r="D5298" s="21"/>
    </row>
    <row r="5299" spans="1:4" ht="12.75" customHeight="1" x14ac:dyDescent="0.2">
      <c r="A5299" s="21"/>
      <c r="B5299" s="20" t="s">
        <v>18</v>
      </c>
      <c r="C5299" s="8" t="s">
        <v>44</v>
      </c>
      <c r="D5299" s="1" t="str">
        <f>HYPERLINK("javascript:void(0)","rubin mellvért")</f>
        <v>rubin mellvért</v>
      </c>
    </row>
    <row r="5300" spans="1:4" ht="12.75" customHeight="1" x14ac:dyDescent="0.2">
      <c r="A5300" s="21"/>
      <c r="B5300" s="21"/>
      <c r="C5300" s="8" t="s">
        <v>44</v>
      </c>
      <c r="D5300" s="1" t="str">
        <f>HYPERLINK("javascript:void(0)","démonacél mellvért")</f>
        <v>démonacél mellvért</v>
      </c>
    </row>
    <row r="5301" spans="1:4" ht="12.75" customHeight="1" x14ac:dyDescent="0.2">
      <c r="A5301" s="21"/>
      <c r="B5301" s="21"/>
      <c r="C5301" s="8" t="s">
        <v>44</v>
      </c>
      <c r="D5301" s="1" t="str">
        <f>HYPERLINK("javascript:void(0)","gyémánt előlap")</f>
        <v>gyémánt előlap</v>
      </c>
    </row>
    <row r="5302" spans="1:4" ht="12.75" customHeight="1" x14ac:dyDescent="0.2">
      <c r="A5302" s="21"/>
      <c r="B5302" s="2"/>
      <c r="C5302" s="7"/>
      <c r="D5302" s="7"/>
    </row>
    <row r="5303" spans="1:4" ht="12.75" customHeight="1" x14ac:dyDescent="0.2">
      <c r="A5303" s="21"/>
      <c r="B5303" s="2"/>
      <c r="C5303" s="7"/>
      <c r="D5303" s="7"/>
    </row>
    <row r="5304" spans="1:4" ht="12.75" customHeight="1" x14ac:dyDescent="0.2">
      <c r="A5304" s="21"/>
      <c r="B5304" s="2"/>
      <c r="C5304" s="7"/>
      <c r="D5304" s="7"/>
    </row>
    <row r="5305" spans="1:4" ht="12.75" customHeight="1" x14ac:dyDescent="0.2">
      <c r="A5305" s="21"/>
      <c r="B5305" s="2"/>
      <c r="C5305" s="7"/>
      <c r="D5305" s="7"/>
    </row>
    <row r="5306" spans="1:4" ht="12.75" customHeight="1" x14ac:dyDescent="0.2">
      <c r="A5306" s="5"/>
      <c r="B5306" s="2"/>
      <c r="C5306" s="7"/>
      <c r="D5306" s="7"/>
    </row>
    <row r="5307" spans="1:4" ht="12.75" customHeight="1" x14ac:dyDescent="0.2">
      <c r="A5307" s="22" t="str">
        <f>HYPERLINK("javascript:void(0)","öblend sisak")</f>
        <v>öblend sisak</v>
      </c>
      <c r="B5307" s="21"/>
      <c r="C5307" s="21"/>
      <c r="D5307" s="21"/>
    </row>
    <row r="5308" spans="1:4" ht="12.75" customHeight="1" x14ac:dyDescent="0.2">
      <c r="A5308" s="20"/>
      <c r="B5308" s="2"/>
      <c r="C5308" s="7"/>
      <c r="D5308" s="7"/>
    </row>
    <row r="5309" spans="1:4" ht="12.75" customHeight="1" x14ac:dyDescent="0.2">
      <c r="A5309" s="21"/>
      <c r="B5309" s="3" t="s">
        <v>0</v>
      </c>
      <c r="C5309" s="23" t="s">
        <v>204</v>
      </c>
      <c r="D5309" s="21"/>
    </row>
    <row r="5310" spans="1:4" ht="12.75" customHeight="1" x14ac:dyDescent="0.2">
      <c r="A5310" s="21"/>
      <c r="B5310" s="3" t="s">
        <v>2</v>
      </c>
      <c r="C5310" s="23"/>
      <c r="D5310" s="21"/>
    </row>
    <row r="5311" spans="1:4" ht="12.75" customHeight="1" x14ac:dyDescent="0.2">
      <c r="A5311" s="21"/>
      <c r="B5311" s="3" t="s">
        <v>1840</v>
      </c>
      <c r="C5311" s="23" t="s">
        <v>883</v>
      </c>
      <c r="D5311" s="21"/>
    </row>
    <row r="5312" spans="1:4" ht="12.75" customHeight="1" x14ac:dyDescent="0.2">
      <c r="A5312" s="21"/>
      <c r="B5312" s="3" t="s">
        <v>9</v>
      </c>
      <c r="C5312" s="23" t="s">
        <v>124</v>
      </c>
      <c r="D5312" s="21"/>
    </row>
    <row r="5313" spans="1:4" ht="12.75" customHeight="1" x14ac:dyDescent="0.2">
      <c r="A5313" s="21"/>
      <c r="B5313" s="3" t="s">
        <v>11</v>
      </c>
      <c r="C5313" s="23" t="s">
        <v>483</v>
      </c>
      <c r="D5313" s="21"/>
    </row>
    <row r="5314" spans="1:4" ht="12.75" customHeight="1" x14ac:dyDescent="0.2">
      <c r="A5314" s="21"/>
      <c r="B5314" s="3" t="s">
        <v>16</v>
      </c>
      <c r="C5314" s="23"/>
      <c r="D5314" s="21"/>
    </row>
    <row r="5315" spans="1:4" ht="12.75" customHeight="1" x14ac:dyDescent="0.2">
      <c r="A5315" s="21"/>
      <c r="B5315" s="3" t="s">
        <v>17</v>
      </c>
      <c r="C5315" s="23" t="s">
        <v>19</v>
      </c>
      <c r="D5315" s="21"/>
    </row>
    <row r="5316" spans="1:4" ht="12.75" customHeight="1" x14ac:dyDescent="0.2">
      <c r="A5316" s="21"/>
      <c r="B5316" s="20" t="s">
        <v>18</v>
      </c>
      <c r="C5316" s="8" t="s">
        <v>232</v>
      </c>
      <c r="D5316" s="1" t="str">
        <f>HYPERLINK("javascript:void(0)","öbleny")</f>
        <v>öbleny</v>
      </c>
    </row>
    <row r="5317" spans="1:4" ht="12.75" customHeight="1" x14ac:dyDescent="0.2">
      <c r="A5317" s="21"/>
      <c r="B5317" s="21"/>
      <c r="C5317" s="8" t="s">
        <v>369</v>
      </c>
      <c r="D5317" s="1" t="str">
        <f>HYPERLINK("javascript:void(0)","főnixtoll")</f>
        <v>főnixtoll</v>
      </c>
    </row>
    <row r="5318" spans="1:4" ht="12.75" customHeight="1" x14ac:dyDescent="0.2">
      <c r="A5318" s="21"/>
      <c r="B5318" s="21"/>
      <c r="C5318" s="8" t="s">
        <v>117</v>
      </c>
      <c r="D5318" s="1" t="str">
        <f>HYPERLINK("javascript:void(0)","hordócsap")</f>
        <v>hordócsap</v>
      </c>
    </row>
    <row r="5319" spans="1:4" ht="12.75" customHeight="1" x14ac:dyDescent="0.2">
      <c r="A5319" s="21"/>
      <c r="B5319" s="2"/>
      <c r="C5319" s="7"/>
      <c r="D5319" s="7"/>
    </row>
    <row r="5320" spans="1:4" ht="12.75" customHeight="1" x14ac:dyDescent="0.2">
      <c r="A5320" s="21"/>
      <c r="B5320" s="2"/>
      <c r="C5320" s="7"/>
      <c r="D5320" s="7"/>
    </row>
    <row r="5321" spans="1:4" ht="12.75" customHeight="1" x14ac:dyDescent="0.2">
      <c r="A5321" s="21"/>
      <c r="B5321" s="2"/>
      <c r="C5321" s="7"/>
      <c r="D5321" s="7"/>
    </row>
    <row r="5322" spans="1:4" ht="12.75" customHeight="1" x14ac:dyDescent="0.2">
      <c r="A5322" s="21"/>
      <c r="B5322" s="2"/>
      <c r="C5322" s="7"/>
      <c r="D5322" s="7"/>
    </row>
    <row r="5323" spans="1:4" ht="12.75" customHeight="1" x14ac:dyDescent="0.2">
      <c r="A5323" s="5"/>
      <c r="B5323" s="2"/>
      <c r="C5323" s="7"/>
      <c r="D5323" s="7"/>
    </row>
    <row r="5324" spans="1:4" ht="12.75" customHeight="1" x14ac:dyDescent="0.2">
      <c r="A5324" s="22" t="str">
        <f>HYPERLINK("javascript:void(0)","ezüst saru")</f>
        <v>ezüst saru</v>
      </c>
      <c r="B5324" s="21"/>
      <c r="C5324" s="21"/>
      <c r="D5324" s="21"/>
    </row>
    <row r="5325" spans="1:4" ht="12.75" customHeight="1" x14ac:dyDescent="0.2">
      <c r="A5325" s="20"/>
      <c r="B5325" s="2"/>
      <c r="C5325" s="7"/>
      <c r="D5325" s="7"/>
    </row>
    <row r="5326" spans="1:4" ht="12.75" customHeight="1" x14ac:dyDescent="0.2">
      <c r="A5326" s="21"/>
      <c r="B5326" s="3" t="s">
        <v>0</v>
      </c>
      <c r="C5326" s="23" t="s">
        <v>204</v>
      </c>
      <c r="D5326" s="21"/>
    </row>
    <row r="5327" spans="1:4" ht="12.75" customHeight="1" x14ac:dyDescent="0.2">
      <c r="A5327" s="21"/>
      <c r="B5327" s="3" t="s">
        <v>2</v>
      </c>
      <c r="C5327" s="23"/>
      <c r="D5327" s="21"/>
    </row>
    <row r="5328" spans="1:4" ht="12.75" customHeight="1" x14ac:dyDescent="0.2">
      <c r="A5328" s="21"/>
      <c r="B5328" s="3" t="s">
        <v>1840</v>
      </c>
      <c r="C5328" s="23" t="s">
        <v>281</v>
      </c>
      <c r="D5328" s="21"/>
    </row>
    <row r="5329" spans="1:4" ht="12.75" customHeight="1" x14ac:dyDescent="0.2">
      <c r="A5329" s="21"/>
      <c r="B5329" s="3" t="s">
        <v>9</v>
      </c>
      <c r="C5329" s="23" t="s">
        <v>93</v>
      </c>
      <c r="D5329" s="21"/>
    </row>
    <row r="5330" spans="1:4" ht="12.75" customHeight="1" x14ac:dyDescent="0.2">
      <c r="A5330" s="21"/>
      <c r="B5330" s="3" t="s">
        <v>11</v>
      </c>
      <c r="C5330" s="23" t="s">
        <v>497</v>
      </c>
      <c r="D5330" s="21"/>
    </row>
    <row r="5331" spans="1:4" ht="12.75" customHeight="1" x14ac:dyDescent="0.2">
      <c r="A5331" s="21"/>
      <c r="B5331" s="3" t="s">
        <v>16</v>
      </c>
      <c r="C5331" s="23"/>
      <c r="D5331" s="21"/>
    </row>
    <row r="5332" spans="1:4" ht="12.75" customHeight="1" x14ac:dyDescent="0.2">
      <c r="A5332" s="21"/>
      <c r="B5332" s="3" t="s">
        <v>17</v>
      </c>
      <c r="C5332" s="23" t="s">
        <v>19</v>
      </c>
      <c r="D5332" s="21"/>
    </row>
    <row r="5333" spans="1:4" ht="12.75" customHeight="1" x14ac:dyDescent="0.2">
      <c r="A5333" s="21"/>
      <c r="B5333" s="20" t="s">
        <v>18</v>
      </c>
      <c r="C5333" s="8" t="s">
        <v>44</v>
      </c>
      <c r="D5333" s="1" t="str">
        <f>HYPERLINK("javascript:void(0)","kentacél csizma")</f>
        <v>kentacél csizma</v>
      </c>
    </row>
    <row r="5334" spans="1:4" ht="12.75" customHeight="1" x14ac:dyDescent="0.2">
      <c r="A5334" s="21"/>
      <c r="B5334" s="21"/>
      <c r="C5334" s="8" t="s">
        <v>269</v>
      </c>
      <c r="D5334" s="1" t="str">
        <f>HYPERLINK("javascript:void(0)","sudár")</f>
        <v>sudár</v>
      </c>
    </row>
    <row r="5335" spans="1:4" ht="12.75" customHeight="1" x14ac:dyDescent="0.2">
      <c r="A5335" s="21"/>
      <c r="B5335" s="21"/>
      <c r="C5335" s="8" t="s">
        <v>232</v>
      </c>
      <c r="D5335" s="1" t="str">
        <f>HYPERLINK("javascript:void(0)","ezüströg")</f>
        <v>ezüströg</v>
      </c>
    </row>
    <row r="5336" spans="1:4" ht="12.75" customHeight="1" x14ac:dyDescent="0.2">
      <c r="A5336" s="21"/>
      <c r="B5336" s="2"/>
      <c r="C5336" s="7"/>
      <c r="D5336" s="7"/>
    </row>
    <row r="5337" spans="1:4" ht="12.75" customHeight="1" x14ac:dyDescent="0.2">
      <c r="A5337" s="21"/>
      <c r="B5337" s="2"/>
      <c r="C5337" s="7"/>
      <c r="D5337" s="7"/>
    </row>
    <row r="5338" spans="1:4" ht="12.75" customHeight="1" x14ac:dyDescent="0.2">
      <c r="A5338" s="21"/>
      <c r="B5338" s="2"/>
      <c r="C5338" s="7"/>
      <c r="D5338" s="7"/>
    </row>
    <row r="5339" spans="1:4" ht="12.75" customHeight="1" x14ac:dyDescent="0.2">
      <c r="A5339" s="21"/>
      <c r="B5339" s="2"/>
      <c r="C5339" s="7"/>
      <c r="D5339" s="7"/>
    </row>
    <row r="5340" spans="1:4" ht="12.75" customHeight="1" x14ac:dyDescent="0.2">
      <c r="A5340" s="5"/>
      <c r="B5340" s="2"/>
      <c r="C5340" s="7"/>
      <c r="D5340" s="7"/>
    </row>
    <row r="5341" spans="1:4" ht="12.75" customHeight="1" x14ac:dyDescent="0.2">
      <c r="A5341" s="22" t="str">
        <f>HYPERLINK("javascript:void(0)","öblend pajzs")</f>
        <v>öblend pajzs</v>
      </c>
      <c r="B5341" s="21"/>
      <c r="C5341" s="21"/>
      <c r="D5341" s="21"/>
    </row>
    <row r="5342" spans="1:4" ht="12.75" customHeight="1" x14ac:dyDescent="0.2">
      <c r="A5342" s="20"/>
      <c r="B5342" s="2"/>
      <c r="C5342" s="7"/>
      <c r="D5342" s="7"/>
    </row>
    <row r="5343" spans="1:4" ht="12.75" customHeight="1" x14ac:dyDescent="0.2">
      <c r="A5343" s="21"/>
      <c r="B5343" s="3" t="s">
        <v>0</v>
      </c>
      <c r="C5343" s="23" t="s">
        <v>204</v>
      </c>
      <c r="D5343" s="21"/>
    </row>
    <row r="5344" spans="1:4" ht="12.75" customHeight="1" x14ac:dyDescent="0.2">
      <c r="A5344" s="21"/>
      <c r="B5344" s="3" t="s">
        <v>2</v>
      </c>
      <c r="C5344" s="23" t="s">
        <v>1839</v>
      </c>
      <c r="D5344" s="21"/>
    </row>
    <row r="5345" spans="1:4" ht="12.75" customHeight="1" x14ac:dyDescent="0.2">
      <c r="A5345" s="21"/>
      <c r="B5345" s="3" t="s">
        <v>1840</v>
      </c>
      <c r="C5345" s="23" t="s">
        <v>341</v>
      </c>
      <c r="D5345" s="21"/>
    </row>
    <row r="5346" spans="1:4" ht="12.75" customHeight="1" x14ac:dyDescent="0.2">
      <c r="A5346" s="21"/>
      <c r="B5346" s="3" t="s">
        <v>9</v>
      </c>
      <c r="C5346" s="23" t="s">
        <v>249</v>
      </c>
      <c r="D5346" s="21"/>
    </row>
    <row r="5347" spans="1:4" ht="12.75" customHeight="1" x14ac:dyDescent="0.2">
      <c r="A5347" s="21"/>
      <c r="B5347" s="3" t="s">
        <v>11</v>
      </c>
      <c r="C5347" s="23" t="s">
        <v>552</v>
      </c>
      <c r="D5347" s="21"/>
    </row>
    <row r="5348" spans="1:4" ht="12.75" customHeight="1" x14ac:dyDescent="0.2">
      <c r="A5348" s="21"/>
      <c r="B5348" s="3" t="s">
        <v>16</v>
      </c>
      <c r="C5348" s="23"/>
      <c r="D5348" s="21"/>
    </row>
    <row r="5349" spans="1:4" ht="12.75" customHeight="1" x14ac:dyDescent="0.2">
      <c r="A5349" s="21"/>
      <c r="B5349" s="3" t="s">
        <v>17</v>
      </c>
      <c r="C5349" s="23" t="s">
        <v>19</v>
      </c>
      <c r="D5349" s="21"/>
    </row>
    <row r="5350" spans="1:4" ht="12.75" customHeight="1" x14ac:dyDescent="0.2">
      <c r="A5350" s="21"/>
      <c r="B5350" s="20" t="s">
        <v>18</v>
      </c>
      <c r="C5350" s="8" t="s">
        <v>44</v>
      </c>
      <c r="D5350" s="1" t="str">
        <f>HYPERLINK("javascript:void(0)","göcsört pajzs")</f>
        <v>göcsört pajzs</v>
      </c>
    </row>
    <row r="5351" spans="1:4" ht="12.75" customHeight="1" x14ac:dyDescent="0.2">
      <c r="A5351" s="21"/>
      <c r="B5351" s="21"/>
      <c r="C5351" s="8" t="s">
        <v>77</v>
      </c>
      <c r="D5351" s="1" t="str">
        <f>HYPERLINK("javascript:void(0)","öbleny")</f>
        <v>öbleny</v>
      </c>
    </row>
    <row r="5352" spans="1:4" ht="12.75" customHeight="1" x14ac:dyDescent="0.2">
      <c r="A5352" s="21"/>
      <c r="B5352" s="21"/>
      <c r="C5352" s="8" t="s">
        <v>163</v>
      </c>
      <c r="D5352" s="1" t="str">
        <f>HYPERLINK("javascript:void(0)","yetiláb")</f>
        <v>yetiláb</v>
      </c>
    </row>
    <row r="5353" spans="1:4" ht="12.75" customHeight="1" x14ac:dyDescent="0.2">
      <c r="A5353" s="21"/>
      <c r="B5353" s="2"/>
      <c r="C5353" s="7"/>
      <c r="D5353" s="7"/>
    </row>
    <row r="5354" spans="1:4" ht="12.75" customHeight="1" x14ac:dyDescent="0.2">
      <c r="A5354" s="21"/>
      <c r="B5354" s="2"/>
      <c r="C5354" s="7"/>
      <c r="D5354" s="7"/>
    </row>
    <row r="5355" spans="1:4" ht="12.75" customHeight="1" x14ac:dyDescent="0.2">
      <c r="A5355" s="21"/>
      <c r="B5355" s="2"/>
      <c r="C5355" s="7"/>
      <c r="D5355" s="7"/>
    </row>
    <row r="5356" spans="1:4" ht="12.75" customHeight="1" x14ac:dyDescent="0.2">
      <c r="A5356" s="21"/>
      <c r="B5356" s="2"/>
      <c r="C5356" s="7"/>
      <c r="D5356" s="7"/>
    </row>
    <row r="5357" spans="1:4" ht="12.75" customHeight="1" x14ac:dyDescent="0.2">
      <c r="A5357" s="5"/>
      <c r="B5357" s="2"/>
      <c r="C5357" s="7"/>
      <c r="D5357" s="7"/>
    </row>
    <row r="5358" spans="1:4" ht="12.75" customHeight="1" x14ac:dyDescent="0.2">
      <c r="A5358" s="22" t="str">
        <f>HYPERLINK("javascript:void(0)","rimföldi pillepajzs")</f>
        <v>rimföldi pillepajzs</v>
      </c>
      <c r="B5358" s="21"/>
      <c r="C5358" s="21"/>
      <c r="D5358" s="21"/>
    </row>
    <row r="5359" spans="1:4" ht="12.75" customHeight="1" x14ac:dyDescent="0.2">
      <c r="A5359" s="20"/>
      <c r="B5359" s="2"/>
      <c r="C5359" s="7"/>
      <c r="D5359" s="7"/>
    </row>
    <row r="5360" spans="1:4" ht="12.75" customHeight="1" x14ac:dyDescent="0.2">
      <c r="A5360" s="21"/>
      <c r="B5360" s="3" t="s">
        <v>0</v>
      </c>
      <c r="C5360" s="23" t="s">
        <v>204</v>
      </c>
      <c r="D5360" s="21"/>
    </row>
    <row r="5361" spans="1:4" ht="12.75" customHeight="1" x14ac:dyDescent="0.2">
      <c r="A5361" s="21"/>
      <c r="B5361" s="3" t="s">
        <v>2</v>
      </c>
      <c r="C5361" s="23" t="s">
        <v>1839</v>
      </c>
      <c r="D5361" s="21"/>
    </row>
    <row r="5362" spans="1:4" ht="12.75" customHeight="1" x14ac:dyDescent="0.2">
      <c r="A5362" s="21"/>
      <c r="B5362" s="3" t="s">
        <v>1840</v>
      </c>
      <c r="C5362" s="23" t="s">
        <v>341</v>
      </c>
      <c r="D5362" s="21"/>
    </row>
    <row r="5363" spans="1:4" ht="12.75" customHeight="1" x14ac:dyDescent="0.2">
      <c r="A5363" s="21"/>
      <c r="B5363" s="3" t="s">
        <v>9</v>
      </c>
      <c r="C5363" s="23" t="s">
        <v>137</v>
      </c>
      <c r="D5363" s="21"/>
    </row>
    <row r="5364" spans="1:4" ht="12.75" customHeight="1" x14ac:dyDescent="0.2">
      <c r="A5364" s="21"/>
      <c r="B5364" s="3" t="s">
        <v>11</v>
      </c>
      <c r="C5364" s="23" t="s">
        <v>587</v>
      </c>
      <c r="D5364" s="21"/>
    </row>
    <row r="5365" spans="1:4" ht="12.75" customHeight="1" x14ac:dyDescent="0.2">
      <c r="A5365" s="21"/>
      <c r="B5365" s="3" t="s">
        <v>16</v>
      </c>
      <c r="C5365" s="23"/>
      <c r="D5365" s="21"/>
    </row>
    <row r="5366" spans="1:4" ht="12.75" customHeight="1" x14ac:dyDescent="0.2">
      <c r="A5366" s="21"/>
      <c r="B5366" s="3" t="s">
        <v>17</v>
      </c>
      <c r="C5366" s="23" t="s">
        <v>19</v>
      </c>
      <c r="D5366" s="21"/>
    </row>
    <row r="5367" spans="1:4" ht="12.75" customHeight="1" x14ac:dyDescent="0.2">
      <c r="A5367" s="21"/>
      <c r="B5367" s="20" t="s">
        <v>18</v>
      </c>
      <c r="C5367" s="8" t="s">
        <v>44</v>
      </c>
      <c r="D5367" s="1" t="str">
        <f>HYPERLINK("javascript:void(0)","öblend pajzs")</f>
        <v>öblend pajzs</v>
      </c>
    </row>
    <row r="5368" spans="1:4" ht="12.75" customHeight="1" x14ac:dyDescent="0.2">
      <c r="A5368" s="21"/>
      <c r="B5368" s="21"/>
      <c r="C5368" s="8" t="s">
        <v>756</v>
      </c>
      <c r="D5368" s="1" t="str">
        <f>HYPERLINK("javascript:void(0)","sudár")</f>
        <v>sudár</v>
      </c>
    </row>
    <row r="5369" spans="1:4" ht="12.75" customHeight="1" x14ac:dyDescent="0.2">
      <c r="A5369" s="21"/>
      <c r="B5369" s="21"/>
      <c r="C5369" s="8" t="s">
        <v>67</v>
      </c>
      <c r="D5369" s="1" t="str">
        <f>HYPERLINK("javascript:void(0)","hordócsap")</f>
        <v>hordócsap</v>
      </c>
    </row>
    <row r="5370" spans="1:4" ht="12.75" customHeight="1" x14ac:dyDescent="0.2">
      <c r="A5370" s="21"/>
      <c r="B5370" s="2"/>
      <c r="C5370" s="7"/>
      <c r="D5370" s="7"/>
    </row>
    <row r="5371" spans="1:4" ht="12.75" customHeight="1" x14ac:dyDescent="0.2">
      <c r="A5371" s="21"/>
      <c r="B5371" s="2"/>
      <c r="C5371" s="7"/>
      <c r="D5371" s="7"/>
    </row>
    <row r="5372" spans="1:4" ht="12.75" customHeight="1" x14ac:dyDescent="0.2">
      <c r="A5372" s="21"/>
      <c r="B5372" s="2"/>
      <c r="C5372" s="7"/>
      <c r="D5372" s="7"/>
    </row>
    <row r="5373" spans="1:4" ht="12.75" customHeight="1" x14ac:dyDescent="0.2">
      <c r="A5373" s="21"/>
      <c r="B5373" s="2"/>
      <c r="C5373" s="7"/>
      <c r="D5373" s="7"/>
    </row>
    <row r="5374" spans="1:4" ht="12.75" customHeight="1" x14ac:dyDescent="0.2">
      <c r="A5374" s="5"/>
      <c r="B5374" s="2"/>
      <c r="C5374" s="7"/>
      <c r="D5374" s="7"/>
    </row>
    <row r="5375" spans="1:4" ht="12.75" customHeight="1" x14ac:dyDescent="0.2">
      <c r="A5375" s="22" t="str">
        <f>HYPERLINK("javascript:void(0)","gyémánt előlap")</f>
        <v>gyémánt előlap</v>
      </c>
      <c r="B5375" s="21"/>
      <c r="C5375" s="21"/>
      <c r="D5375" s="21"/>
    </row>
    <row r="5376" spans="1:4" ht="12.75" customHeight="1" x14ac:dyDescent="0.2">
      <c r="A5376" s="20"/>
      <c r="B5376" s="2"/>
      <c r="C5376" s="7"/>
      <c r="D5376" s="7"/>
    </row>
    <row r="5377" spans="1:4" ht="12.75" customHeight="1" x14ac:dyDescent="0.2">
      <c r="A5377" s="21"/>
      <c r="B5377" s="3" t="s">
        <v>0</v>
      </c>
      <c r="C5377" s="23" t="s">
        <v>204</v>
      </c>
      <c r="D5377" s="21"/>
    </row>
    <row r="5378" spans="1:4" ht="12.75" customHeight="1" x14ac:dyDescent="0.2">
      <c r="A5378" s="21"/>
      <c r="B5378" s="3" t="s">
        <v>2</v>
      </c>
      <c r="C5378" s="23"/>
      <c r="D5378" s="21"/>
    </row>
    <row r="5379" spans="1:4" ht="12.75" customHeight="1" x14ac:dyDescent="0.2">
      <c r="A5379" s="21"/>
      <c r="B5379" s="3" t="s">
        <v>1840</v>
      </c>
      <c r="C5379" s="23" t="s">
        <v>35</v>
      </c>
      <c r="D5379" s="21"/>
    </row>
    <row r="5380" spans="1:4" ht="12.75" customHeight="1" x14ac:dyDescent="0.2">
      <c r="A5380" s="21"/>
      <c r="B5380" s="3" t="s">
        <v>9</v>
      </c>
      <c r="C5380" s="23" t="s">
        <v>30</v>
      </c>
      <c r="D5380" s="21"/>
    </row>
    <row r="5381" spans="1:4" ht="12.75" customHeight="1" x14ac:dyDescent="0.2">
      <c r="A5381" s="21"/>
      <c r="B5381" s="3" t="s">
        <v>11</v>
      </c>
      <c r="C5381" s="23" t="s">
        <v>321</v>
      </c>
      <c r="D5381" s="21"/>
    </row>
    <row r="5382" spans="1:4" ht="12.75" customHeight="1" x14ac:dyDescent="0.2">
      <c r="A5382" s="21"/>
      <c r="B5382" s="3" t="s">
        <v>16</v>
      </c>
      <c r="C5382" s="23"/>
      <c r="D5382" s="21"/>
    </row>
    <row r="5383" spans="1:4" ht="12.75" customHeight="1" x14ac:dyDescent="0.2">
      <c r="A5383" s="21"/>
      <c r="B5383" s="3" t="s">
        <v>17</v>
      </c>
      <c r="C5383" s="23" t="s">
        <v>19</v>
      </c>
      <c r="D5383" s="21"/>
    </row>
    <row r="5384" spans="1:4" ht="12.75" customHeight="1" x14ac:dyDescent="0.2">
      <c r="A5384" s="21"/>
      <c r="B5384" s="20" t="s">
        <v>18</v>
      </c>
      <c r="C5384" s="8" t="s">
        <v>68</v>
      </c>
      <c r="D5384" s="1" t="str">
        <f>HYPERLINK("javascript:void(0)","öbleny")</f>
        <v>öbleny</v>
      </c>
    </row>
    <row r="5385" spans="1:4" ht="12.75" customHeight="1" x14ac:dyDescent="0.2">
      <c r="A5385" s="21"/>
      <c r="B5385" s="21"/>
      <c r="C5385" s="8" t="s">
        <v>139</v>
      </c>
      <c r="D5385" s="1" t="str">
        <f>HYPERLINK("javascript:void(0)","hárpia copf")</f>
        <v>hárpia copf</v>
      </c>
    </row>
    <row r="5386" spans="1:4" ht="12.75" customHeight="1" x14ac:dyDescent="0.2">
      <c r="A5386" s="21"/>
      <c r="B5386" s="21"/>
      <c r="C5386" s="8" t="s">
        <v>323</v>
      </c>
      <c r="D5386" s="1" t="str">
        <f>HYPERLINK("javascript:void(0)","gyémánt")</f>
        <v>gyémánt</v>
      </c>
    </row>
    <row r="5387" spans="1:4" ht="12.75" customHeight="1" x14ac:dyDescent="0.2">
      <c r="A5387" s="21"/>
      <c r="B5387" s="2"/>
      <c r="C5387" s="7"/>
      <c r="D5387" s="7"/>
    </row>
    <row r="5388" spans="1:4" ht="12.75" customHeight="1" x14ac:dyDescent="0.2">
      <c r="A5388" s="21"/>
      <c r="B5388" s="2"/>
      <c r="C5388" s="7"/>
      <c r="D5388" s="7"/>
    </row>
    <row r="5389" spans="1:4" ht="12.75" customHeight="1" x14ac:dyDescent="0.2">
      <c r="A5389" s="21"/>
      <c r="B5389" s="2"/>
      <c r="C5389" s="7"/>
      <c r="D5389" s="7"/>
    </row>
    <row r="5390" spans="1:4" ht="12.75" customHeight="1" x14ac:dyDescent="0.2">
      <c r="A5390" s="21"/>
      <c r="B5390" s="2"/>
      <c r="C5390" s="7"/>
      <c r="D5390" s="7"/>
    </row>
    <row r="5391" spans="1:4" ht="12.75" customHeight="1" x14ac:dyDescent="0.2">
      <c r="A5391" s="5"/>
      <c r="B5391" s="2"/>
      <c r="C5391" s="7"/>
      <c r="D5391" s="7"/>
    </row>
    <row r="5392" spans="1:4" ht="12.75" customHeight="1" x14ac:dyDescent="0.2">
      <c r="A5392" s="22" t="str">
        <f>HYPERLINK("javascript:void(0)","diszpro manasisak")</f>
        <v>diszpro manasisak</v>
      </c>
      <c r="B5392" s="21"/>
      <c r="C5392" s="21"/>
      <c r="D5392" s="21"/>
    </row>
    <row r="5393" spans="1:4" ht="12.75" customHeight="1" x14ac:dyDescent="0.2">
      <c r="A5393" s="20"/>
      <c r="B5393" s="2"/>
      <c r="C5393" s="7"/>
      <c r="D5393" s="7"/>
    </row>
    <row r="5394" spans="1:4" ht="12.75" customHeight="1" x14ac:dyDescent="0.2">
      <c r="A5394" s="21"/>
      <c r="B5394" s="3" t="s">
        <v>0</v>
      </c>
      <c r="C5394" s="23" t="s">
        <v>204</v>
      </c>
      <c r="D5394" s="21"/>
    </row>
    <row r="5395" spans="1:4" ht="12.75" customHeight="1" x14ac:dyDescent="0.2">
      <c r="A5395" s="21"/>
      <c r="B5395" s="3" t="s">
        <v>2</v>
      </c>
      <c r="C5395" s="23"/>
      <c r="D5395" s="21"/>
    </row>
    <row r="5396" spans="1:4" ht="12.75" customHeight="1" x14ac:dyDescent="0.2">
      <c r="A5396" s="21"/>
      <c r="B5396" s="3" t="s">
        <v>1840</v>
      </c>
      <c r="C5396" s="23" t="s">
        <v>213</v>
      </c>
      <c r="D5396" s="21"/>
    </row>
    <row r="5397" spans="1:4" ht="12.75" customHeight="1" x14ac:dyDescent="0.2">
      <c r="A5397" s="21"/>
      <c r="B5397" s="3" t="s">
        <v>9</v>
      </c>
      <c r="C5397" s="23" t="s">
        <v>573</v>
      </c>
      <c r="D5397" s="21"/>
    </row>
    <row r="5398" spans="1:4" ht="12.75" customHeight="1" x14ac:dyDescent="0.2">
      <c r="A5398" s="21"/>
      <c r="B5398" s="3" t="s">
        <v>11</v>
      </c>
      <c r="C5398" s="23" t="s">
        <v>329</v>
      </c>
      <c r="D5398" s="21"/>
    </row>
    <row r="5399" spans="1:4" ht="12.75" customHeight="1" x14ac:dyDescent="0.2">
      <c r="A5399" s="21"/>
      <c r="B5399" s="3" t="s">
        <v>16</v>
      </c>
      <c r="C5399" s="23"/>
      <c r="D5399" s="21"/>
    </row>
    <row r="5400" spans="1:4" ht="12.75" customHeight="1" x14ac:dyDescent="0.2">
      <c r="A5400" s="21"/>
      <c r="B5400" s="3" t="s">
        <v>17</v>
      </c>
      <c r="C5400" s="23" t="s">
        <v>19</v>
      </c>
      <c r="D5400" s="21"/>
    </row>
    <row r="5401" spans="1:4" ht="12.75" customHeight="1" x14ac:dyDescent="0.2">
      <c r="A5401" s="21"/>
      <c r="B5401" s="20" t="s">
        <v>18</v>
      </c>
      <c r="C5401" s="8" t="s">
        <v>44</v>
      </c>
      <c r="D5401" s="1" t="str">
        <f>HYPERLINK("javascript:void(0)","gyémánt manasisak")</f>
        <v>gyémánt manasisak</v>
      </c>
    </row>
    <row r="5402" spans="1:4" ht="12.75" customHeight="1" x14ac:dyDescent="0.2">
      <c r="A5402" s="21"/>
      <c r="B5402" s="21"/>
      <c r="C5402" s="8" t="s">
        <v>68</v>
      </c>
      <c r="D5402" s="1" t="str">
        <f>HYPERLINK("javascript:void(0)","öbleny")</f>
        <v>öbleny</v>
      </c>
    </row>
    <row r="5403" spans="1:4" ht="12.75" customHeight="1" x14ac:dyDescent="0.2">
      <c r="A5403" s="21"/>
      <c r="B5403" s="21"/>
      <c r="C5403" s="8" t="s">
        <v>117</v>
      </c>
      <c r="D5403" s="1" t="str">
        <f>HYPERLINK("javascript:void(0)","malacorr")</f>
        <v>malacorr</v>
      </c>
    </row>
    <row r="5404" spans="1:4" ht="12.75" customHeight="1" x14ac:dyDescent="0.2">
      <c r="A5404" s="21"/>
      <c r="B5404" s="2"/>
      <c r="C5404" s="7"/>
      <c r="D5404" s="7"/>
    </row>
    <row r="5405" spans="1:4" ht="12.75" customHeight="1" x14ac:dyDescent="0.2">
      <c r="A5405" s="21"/>
      <c r="B5405" s="2"/>
      <c r="C5405" s="7"/>
      <c r="D5405" s="7"/>
    </row>
    <row r="5406" spans="1:4" ht="12.75" customHeight="1" x14ac:dyDescent="0.2">
      <c r="A5406" s="21"/>
      <c r="B5406" s="2"/>
      <c r="C5406" s="7"/>
      <c r="D5406" s="7"/>
    </row>
    <row r="5407" spans="1:4" ht="12.75" customHeight="1" x14ac:dyDescent="0.2">
      <c r="A5407" s="21"/>
      <c r="B5407" s="2"/>
      <c r="C5407" s="7"/>
      <c r="D5407" s="7"/>
    </row>
    <row r="5408" spans="1:4" ht="12.75" customHeight="1" x14ac:dyDescent="0.2">
      <c r="A5408" s="5"/>
      <c r="B5408" s="2"/>
      <c r="C5408" s="7"/>
      <c r="D5408" s="7"/>
    </row>
    <row r="5409" spans="1:4" ht="12.75" customHeight="1" x14ac:dyDescent="0.2">
      <c r="A5409" s="22" t="str">
        <f>HYPERLINK("javascript:void(0)","diszpro manafejpánt")</f>
        <v>diszpro manafejpánt</v>
      </c>
      <c r="B5409" s="21"/>
      <c r="C5409" s="21"/>
      <c r="D5409" s="21"/>
    </row>
    <row r="5410" spans="1:4" ht="12.75" customHeight="1" x14ac:dyDescent="0.2">
      <c r="A5410" s="20"/>
      <c r="B5410" s="2"/>
      <c r="C5410" s="7"/>
      <c r="D5410" s="7"/>
    </row>
    <row r="5411" spans="1:4" ht="12.75" customHeight="1" x14ac:dyDescent="0.2">
      <c r="A5411" s="21"/>
      <c r="B5411" s="3" t="s">
        <v>0</v>
      </c>
      <c r="C5411" s="23" t="s">
        <v>204</v>
      </c>
      <c r="D5411" s="21"/>
    </row>
    <row r="5412" spans="1:4" ht="12.75" customHeight="1" x14ac:dyDescent="0.2">
      <c r="A5412" s="21"/>
      <c r="B5412" s="3" t="s">
        <v>2</v>
      </c>
      <c r="C5412" s="23"/>
      <c r="D5412" s="21"/>
    </row>
    <row r="5413" spans="1:4" ht="12.75" customHeight="1" x14ac:dyDescent="0.2">
      <c r="A5413" s="21"/>
      <c r="B5413" s="3" t="s">
        <v>1840</v>
      </c>
      <c r="C5413" s="23" t="s">
        <v>260</v>
      </c>
      <c r="D5413" s="21"/>
    </row>
    <row r="5414" spans="1:4" ht="12.75" customHeight="1" x14ac:dyDescent="0.2">
      <c r="A5414" s="21"/>
      <c r="B5414" s="3" t="s">
        <v>9</v>
      </c>
      <c r="C5414" s="23" t="s">
        <v>172</v>
      </c>
      <c r="D5414" s="21"/>
    </row>
    <row r="5415" spans="1:4" ht="12.75" customHeight="1" x14ac:dyDescent="0.2">
      <c r="A5415" s="21"/>
      <c r="B5415" s="3" t="s">
        <v>11</v>
      </c>
      <c r="C5415" s="23" t="s">
        <v>329</v>
      </c>
      <c r="D5415" s="21"/>
    </row>
    <row r="5416" spans="1:4" ht="12.75" customHeight="1" x14ac:dyDescent="0.2">
      <c r="A5416" s="21"/>
      <c r="B5416" s="3" t="s">
        <v>16</v>
      </c>
      <c r="C5416" s="23"/>
      <c r="D5416" s="21"/>
    </row>
    <row r="5417" spans="1:4" ht="12.75" customHeight="1" x14ac:dyDescent="0.2">
      <c r="A5417" s="21"/>
      <c r="B5417" s="3" t="s">
        <v>17</v>
      </c>
      <c r="C5417" s="23" t="s">
        <v>19</v>
      </c>
      <c r="D5417" s="21"/>
    </row>
    <row r="5418" spans="1:4" ht="25.5" customHeight="1" x14ac:dyDescent="0.2">
      <c r="A5418" s="21"/>
      <c r="B5418" s="20" t="s">
        <v>18</v>
      </c>
      <c r="C5418" s="8" t="s">
        <v>44</v>
      </c>
      <c r="D5418" s="1" t="str">
        <f>HYPERLINK("javascript:void(0)","gyémánt manafejpánt")</f>
        <v>gyémánt manafejpánt</v>
      </c>
    </row>
    <row r="5419" spans="1:4" ht="12.75" customHeight="1" x14ac:dyDescent="0.2">
      <c r="A5419" s="21"/>
      <c r="B5419" s="21"/>
      <c r="C5419" s="8" t="s">
        <v>290</v>
      </c>
      <c r="D5419" s="1" t="str">
        <f>HYPERLINK("javascript:void(0)","sudár")</f>
        <v>sudár</v>
      </c>
    </row>
    <row r="5420" spans="1:4" ht="12.75" customHeight="1" x14ac:dyDescent="0.2">
      <c r="A5420" s="21"/>
      <c r="B5420" s="21"/>
      <c r="C5420" s="8" t="s">
        <v>290</v>
      </c>
      <c r="D5420" s="1" t="str">
        <f>HYPERLINK("javascript:void(0)","vari amulett")</f>
        <v>vari amulett</v>
      </c>
    </row>
    <row r="5421" spans="1:4" ht="12.75" customHeight="1" x14ac:dyDescent="0.2">
      <c r="A5421" s="21"/>
      <c r="B5421" s="2"/>
      <c r="C5421" s="7"/>
      <c r="D5421" s="7"/>
    </row>
    <row r="5422" spans="1:4" ht="12.75" customHeight="1" x14ac:dyDescent="0.2">
      <c r="A5422" s="21"/>
      <c r="B5422" s="2"/>
      <c r="C5422" s="7"/>
      <c r="D5422" s="7"/>
    </row>
    <row r="5423" spans="1:4" ht="12.75" customHeight="1" x14ac:dyDescent="0.2">
      <c r="A5423" s="21"/>
      <c r="B5423" s="2"/>
      <c r="C5423" s="7"/>
      <c r="D5423" s="7"/>
    </row>
    <row r="5424" spans="1:4" ht="12.75" customHeight="1" x14ac:dyDescent="0.2">
      <c r="A5424" s="21"/>
      <c r="B5424" s="2"/>
      <c r="C5424" s="7"/>
      <c r="D5424" s="7"/>
    </row>
    <row r="5425" spans="1:4" ht="12.75" customHeight="1" x14ac:dyDescent="0.2">
      <c r="A5425" s="5"/>
      <c r="B5425" s="2"/>
      <c r="C5425" s="7"/>
      <c r="D5425" s="7"/>
    </row>
    <row r="5426" spans="1:4" ht="12.75" customHeight="1" x14ac:dyDescent="0.2">
      <c r="A5426" s="22" t="str">
        <f>HYPERLINK("javascript:void(0)","dracoacél mellvért")</f>
        <v>dracoacél mellvért</v>
      </c>
      <c r="B5426" s="21"/>
      <c r="C5426" s="21"/>
      <c r="D5426" s="21"/>
    </row>
    <row r="5427" spans="1:4" ht="12.75" customHeight="1" x14ac:dyDescent="0.2">
      <c r="A5427" s="20"/>
      <c r="B5427" s="2"/>
      <c r="C5427" s="7"/>
      <c r="D5427" s="7"/>
    </row>
    <row r="5428" spans="1:4" ht="12.75" customHeight="1" x14ac:dyDescent="0.2">
      <c r="A5428" s="21"/>
      <c r="B5428" s="3" t="s">
        <v>0</v>
      </c>
      <c r="C5428" s="23" t="s">
        <v>468</v>
      </c>
      <c r="D5428" s="21"/>
    </row>
    <row r="5429" spans="1:4" ht="12.75" customHeight="1" x14ac:dyDescent="0.2">
      <c r="A5429" s="21"/>
      <c r="B5429" s="3" t="s">
        <v>2</v>
      </c>
      <c r="C5429" s="23" t="s">
        <v>2322</v>
      </c>
      <c r="D5429" s="21"/>
    </row>
    <row r="5430" spans="1:4" ht="12.75" customHeight="1" x14ac:dyDescent="0.2">
      <c r="A5430" s="21"/>
      <c r="B5430" s="3" t="s">
        <v>1840</v>
      </c>
      <c r="C5430" s="23" t="s">
        <v>2206</v>
      </c>
      <c r="D5430" s="21"/>
    </row>
    <row r="5431" spans="1:4" ht="12.75" customHeight="1" x14ac:dyDescent="0.2">
      <c r="A5431" s="21"/>
      <c r="B5431" s="3" t="s">
        <v>9</v>
      </c>
      <c r="C5431" s="23" t="s">
        <v>200</v>
      </c>
      <c r="D5431" s="21"/>
    </row>
    <row r="5432" spans="1:4" ht="12.75" customHeight="1" x14ac:dyDescent="0.2">
      <c r="A5432" s="21"/>
      <c r="B5432" s="3" t="s">
        <v>11</v>
      </c>
      <c r="C5432" s="23" t="s">
        <v>488</v>
      </c>
      <c r="D5432" s="21"/>
    </row>
    <row r="5433" spans="1:4" ht="12.75" customHeight="1" x14ac:dyDescent="0.2">
      <c r="A5433" s="21"/>
      <c r="B5433" s="3" t="s">
        <v>16</v>
      </c>
      <c r="C5433" s="23"/>
      <c r="D5433" s="21"/>
    </row>
    <row r="5434" spans="1:4" ht="12.75" customHeight="1" x14ac:dyDescent="0.2">
      <c r="A5434" s="21"/>
      <c r="B5434" s="3" t="s">
        <v>17</v>
      </c>
      <c r="C5434" s="23" t="s">
        <v>19</v>
      </c>
      <c r="D5434" s="21"/>
    </row>
    <row r="5435" spans="1:4" ht="12.75" customHeight="1" x14ac:dyDescent="0.2">
      <c r="A5435" s="21"/>
      <c r="B5435" s="20" t="s">
        <v>18</v>
      </c>
      <c r="C5435" s="8" t="s">
        <v>44</v>
      </c>
      <c r="D5435" s="1" t="str">
        <f>HYPERLINK("javascript:void(0)","gyémánt mellvért")</f>
        <v>gyémánt mellvért</v>
      </c>
    </row>
    <row r="5436" spans="1:4" ht="12.75" customHeight="1" x14ac:dyDescent="0.2">
      <c r="A5436" s="21"/>
      <c r="B5436" s="21"/>
      <c r="C5436" s="8" t="s">
        <v>68</v>
      </c>
      <c r="D5436" s="1" t="str">
        <f>HYPERLINK("javascript:void(0)","csigaház")</f>
        <v>csigaház</v>
      </c>
    </row>
    <row r="5437" spans="1:4" ht="12.75" customHeight="1" x14ac:dyDescent="0.2">
      <c r="A5437" s="21"/>
      <c r="B5437" s="21"/>
      <c r="C5437" s="8" t="s">
        <v>269</v>
      </c>
      <c r="D5437" s="1" t="str">
        <f>HYPERLINK("javascript:void(0)","esztétikum")</f>
        <v>esztétikum</v>
      </c>
    </row>
    <row r="5438" spans="1:4" ht="12.75" customHeight="1" x14ac:dyDescent="0.2">
      <c r="A5438" s="21"/>
      <c r="B5438" s="2"/>
      <c r="C5438" s="7"/>
      <c r="D5438" s="7"/>
    </row>
    <row r="5439" spans="1:4" ht="12.75" customHeight="1" x14ac:dyDescent="0.2">
      <c r="A5439" s="21"/>
      <c r="B5439" s="2"/>
      <c r="C5439" s="7"/>
      <c r="D5439" s="7"/>
    </row>
    <row r="5440" spans="1:4" ht="12.75" customHeight="1" x14ac:dyDescent="0.2">
      <c r="A5440" s="21"/>
      <c r="B5440" s="2"/>
      <c r="C5440" s="7"/>
      <c r="D5440" s="7"/>
    </row>
    <row r="5441" spans="1:4" ht="12.75" customHeight="1" x14ac:dyDescent="0.2">
      <c r="A5441" s="21"/>
      <c r="B5441" s="2"/>
      <c r="C5441" s="7"/>
      <c r="D5441" s="7"/>
    </row>
    <row r="5442" spans="1:4" ht="12.75" customHeight="1" x14ac:dyDescent="0.2">
      <c r="A5442" s="5"/>
      <c r="B5442" s="2"/>
      <c r="C5442" s="7"/>
      <c r="D5442" s="7"/>
    </row>
    <row r="5443" spans="1:4" ht="12.75" customHeight="1" x14ac:dyDescent="0.2">
      <c r="A5443" s="22" t="str">
        <f>HYPERLINK("javascript:void(0)","csigaház sisak")</f>
        <v>csigaház sisak</v>
      </c>
      <c r="B5443" s="21"/>
      <c r="C5443" s="21"/>
      <c r="D5443" s="21"/>
    </row>
    <row r="5444" spans="1:4" ht="12.75" customHeight="1" x14ac:dyDescent="0.2">
      <c r="A5444" s="20"/>
      <c r="B5444" s="2"/>
      <c r="C5444" s="7"/>
      <c r="D5444" s="7"/>
    </row>
    <row r="5445" spans="1:4" ht="12.75" customHeight="1" x14ac:dyDescent="0.2">
      <c r="A5445" s="21"/>
      <c r="B5445" s="3" t="s">
        <v>0</v>
      </c>
      <c r="C5445" s="23" t="s">
        <v>468</v>
      </c>
      <c r="D5445" s="21"/>
    </row>
    <row r="5446" spans="1:4" ht="12.75" customHeight="1" x14ac:dyDescent="0.2">
      <c r="A5446" s="21"/>
      <c r="B5446" s="3" t="s">
        <v>2</v>
      </c>
      <c r="C5446" s="23"/>
      <c r="D5446" s="21"/>
    </row>
    <row r="5447" spans="1:4" ht="12.75" customHeight="1" x14ac:dyDescent="0.2">
      <c r="A5447" s="21"/>
      <c r="B5447" s="3" t="s">
        <v>1840</v>
      </c>
      <c r="C5447" s="23" t="s">
        <v>319</v>
      </c>
      <c r="D5447" s="21"/>
    </row>
    <row r="5448" spans="1:4" ht="12.75" customHeight="1" x14ac:dyDescent="0.2">
      <c r="A5448" s="21"/>
      <c r="B5448" s="3" t="s">
        <v>9</v>
      </c>
      <c r="C5448" s="23" t="s">
        <v>210</v>
      </c>
      <c r="D5448" s="21"/>
    </row>
    <row r="5449" spans="1:4" ht="12.75" customHeight="1" x14ac:dyDescent="0.2">
      <c r="A5449" s="21"/>
      <c r="B5449" s="3" t="s">
        <v>11</v>
      </c>
      <c r="C5449" s="23" t="s">
        <v>488</v>
      </c>
      <c r="D5449" s="21"/>
    </row>
    <row r="5450" spans="1:4" ht="12.75" customHeight="1" x14ac:dyDescent="0.2">
      <c r="A5450" s="21"/>
      <c r="B5450" s="3" t="s">
        <v>16</v>
      </c>
      <c r="C5450" s="23"/>
      <c r="D5450" s="21"/>
    </row>
    <row r="5451" spans="1:4" ht="12.75" customHeight="1" x14ac:dyDescent="0.2">
      <c r="A5451" s="21"/>
      <c r="B5451" s="3" t="s">
        <v>17</v>
      </c>
      <c r="C5451" s="23" t="s">
        <v>19</v>
      </c>
      <c r="D5451" s="21"/>
    </row>
    <row r="5452" spans="1:4" ht="12.75" customHeight="1" x14ac:dyDescent="0.2">
      <c r="A5452" s="21"/>
      <c r="B5452" s="20" t="s">
        <v>18</v>
      </c>
      <c r="C5452" s="8" t="s">
        <v>44</v>
      </c>
      <c r="D5452" s="1" t="str">
        <f>HYPERLINK("javascript:void(0)","rostélyos sisak")</f>
        <v>rostélyos sisak</v>
      </c>
    </row>
    <row r="5453" spans="1:4" ht="12.75" customHeight="1" x14ac:dyDescent="0.2">
      <c r="A5453" s="21"/>
      <c r="B5453" s="21"/>
      <c r="C5453" s="8" t="s">
        <v>44</v>
      </c>
      <c r="D5453" s="1" t="str">
        <f>HYPERLINK("javascript:void(0)","öblend sisak")</f>
        <v>öblend sisak</v>
      </c>
    </row>
    <row r="5454" spans="1:4" ht="12.75" customHeight="1" x14ac:dyDescent="0.2">
      <c r="A5454" s="21"/>
      <c r="B5454" s="21"/>
      <c r="C5454" s="8" t="s">
        <v>232</v>
      </c>
      <c r="D5454" s="1" t="str">
        <f>HYPERLINK("javascript:void(0)","csigaház")</f>
        <v>csigaház</v>
      </c>
    </row>
    <row r="5455" spans="1:4" ht="12.75" customHeight="1" x14ac:dyDescent="0.2">
      <c r="A5455" s="21"/>
      <c r="B5455" s="2"/>
      <c r="C5455" s="7"/>
      <c r="D5455" s="7"/>
    </row>
    <row r="5456" spans="1:4" ht="12.75" customHeight="1" x14ac:dyDescent="0.2">
      <c r="A5456" s="21"/>
      <c r="B5456" s="2"/>
      <c r="C5456" s="7"/>
      <c r="D5456" s="7"/>
    </row>
    <row r="5457" spans="1:4" ht="12.75" customHeight="1" x14ac:dyDescent="0.2">
      <c r="A5457" s="21"/>
      <c r="B5457" s="2"/>
      <c r="C5457" s="7"/>
      <c r="D5457" s="7"/>
    </row>
    <row r="5458" spans="1:4" ht="12.75" customHeight="1" x14ac:dyDescent="0.2">
      <c r="A5458" s="21"/>
      <c r="B5458" s="2"/>
      <c r="C5458" s="7"/>
      <c r="D5458" s="7"/>
    </row>
    <row r="5459" spans="1:4" ht="12.75" customHeight="1" x14ac:dyDescent="0.2">
      <c r="A5459" s="5"/>
      <c r="B5459" s="2"/>
      <c r="C5459" s="7"/>
      <c r="D5459" s="7"/>
    </row>
    <row r="5460" spans="1:4" ht="12.75" customHeight="1" x14ac:dyDescent="0.2">
      <c r="A5460" s="22" t="str">
        <f>HYPERLINK("javascript:void(0)","arany saru")</f>
        <v>arany saru</v>
      </c>
      <c r="B5460" s="21"/>
      <c r="C5460" s="21"/>
      <c r="D5460" s="21"/>
    </row>
    <row r="5461" spans="1:4" ht="12.75" customHeight="1" x14ac:dyDescent="0.2">
      <c r="A5461" s="20"/>
      <c r="B5461" s="2"/>
      <c r="C5461" s="7"/>
      <c r="D5461" s="7"/>
    </row>
    <row r="5462" spans="1:4" ht="12.75" customHeight="1" x14ac:dyDescent="0.2">
      <c r="A5462" s="21"/>
      <c r="B5462" s="3" t="s">
        <v>0</v>
      </c>
      <c r="C5462" s="23" t="s">
        <v>468</v>
      </c>
      <c r="D5462" s="21"/>
    </row>
    <row r="5463" spans="1:4" ht="12.75" customHeight="1" x14ac:dyDescent="0.2">
      <c r="A5463" s="21"/>
      <c r="B5463" s="3" t="s">
        <v>2</v>
      </c>
      <c r="C5463" s="23"/>
      <c r="D5463" s="21"/>
    </row>
    <row r="5464" spans="1:4" ht="12.75" customHeight="1" x14ac:dyDescent="0.2">
      <c r="A5464" s="21"/>
      <c r="B5464" s="3" t="s">
        <v>1840</v>
      </c>
      <c r="C5464" s="23" t="s">
        <v>862</v>
      </c>
      <c r="D5464" s="21"/>
    </row>
    <row r="5465" spans="1:4" ht="12.75" customHeight="1" x14ac:dyDescent="0.2">
      <c r="A5465" s="21"/>
      <c r="B5465" s="3" t="s">
        <v>9</v>
      </c>
      <c r="C5465" s="23" t="s">
        <v>1975</v>
      </c>
      <c r="D5465" s="21"/>
    </row>
    <row r="5466" spans="1:4" ht="12.75" customHeight="1" x14ac:dyDescent="0.2">
      <c r="A5466" s="21"/>
      <c r="B5466" s="3" t="s">
        <v>11</v>
      </c>
      <c r="C5466" s="23" t="s">
        <v>501</v>
      </c>
      <c r="D5466" s="21"/>
    </row>
    <row r="5467" spans="1:4" ht="12.75" customHeight="1" x14ac:dyDescent="0.2">
      <c r="A5467" s="21"/>
      <c r="B5467" s="3" t="s">
        <v>16</v>
      </c>
      <c r="C5467" s="23"/>
      <c r="D5467" s="21"/>
    </row>
    <row r="5468" spans="1:4" ht="12.75" customHeight="1" x14ac:dyDescent="0.2">
      <c r="A5468" s="21"/>
      <c r="B5468" s="3" t="s">
        <v>17</v>
      </c>
      <c r="C5468" s="23" t="s">
        <v>19</v>
      </c>
      <c r="D5468" s="21"/>
    </row>
    <row r="5469" spans="1:4" ht="12.75" customHeight="1" x14ac:dyDescent="0.2">
      <c r="A5469" s="21"/>
      <c r="B5469" s="20" t="s">
        <v>18</v>
      </c>
      <c r="C5469" s="8" t="s">
        <v>290</v>
      </c>
      <c r="D5469" s="1" t="str">
        <f>HYPERLINK("javascript:void(0)","szemgödör")</f>
        <v>szemgödör</v>
      </c>
    </row>
    <row r="5470" spans="1:4" ht="12.75" customHeight="1" x14ac:dyDescent="0.2">
      <c r="A5470" s="21"/>
      <c r="B5470" s="21"/>
      <c r="C5470" s="8" t="s">
        <v>232</v>
      </c>
      <c r="D5470" s="1" t="str">
        <f>HYPERLINK("javascript:void(0)","aranyrög")</f>
        <v>aranyrög</v>
      </c>
    </row>
    <row r="5471" spans="1:4" ht="12.75" customHeight="1" x14ac:dyDescent="0.2">
      <c r="A5471" s="21"/>
      <c r="B5471" s="21"/>
      <c r="C5471" s="8" t="s">
        <v>117</v>
      </c>
      <c r="D5471" s="1" t="str">
        <f>HYPERLINK("javascript:void(0)","spóra")</f>
        <v>spóra</v>
      </c>
    </row>
    <row r="5472" spans="1:4" ht="12.75" customHeight="1" x14ac:dyDescent="0.2">
      <c r="A5472" s="21"/>
      <c r="B5472" s="2"/>
      <c r="C5472" s="7"/>
      <c r="D5472" s="7"/>
    </row>
    <row r="5473" spans="1:4" ht="12.75" customHeight="1" x14ac:dyDescent="0.2">
      <c r="A5473" s="21"/>
      <c r="B5473" s="2"/>
      <c r="C5473" s="7"/>
      <c r="D5473" s="7"/>
    </row>
    <row r="5474" spans="1:4" ht="12.75" customHeight="1" x14ac:dyDescent="0.2">
      <c r="A5474" s="21"/>
      <c r="B5474" s="2"/>
      <c r="C5474" s="7"/>
      <c r="D5474" s="7"/>
    </row>
    <row r="5475" spans="1:4" ht="12.75" customHeight="1" x14ac:dyDescent="0.2">
      <c r="A5475" s="21"/>
      <c r="B5475" s="2"/>
      <c r="C5475" s="7"/>
      <c r="D5475" s="7"/>
    </row>
    <row r="5476" spans="1:4" ht="12.75" customHeight="1" x14ac:dyDescent="0.2">
      <c r="A5476" s="5"/>
      <c r="B5476" s="2"/>
      <c r="C5476" s="7"/>
      <c r="D5476" s="7"/>
    </row>
    <row r="5477" spans="1:4" ht="12.75" customHeight="1" x14ac:dyDescent="0.2">
      <c r="A5477" s="22" t="str">
        <f>HYPERLINK("javascript:void(0)","öblend testpajzs")</f>
        <v>öblend testpajzs</v>
      </c>
      <c r="B5477" s="21"/>
      <c r="C5477" s="21"/>
      <c r="D5477" s="21"/>
    </row>
    <row r="5478" spans="1:4" ht="12.75" customHeight="1" x14ac:dyDescent="0.2">
      <c r="A5478" s="20"/>
      <c r="B5478" s="2"/>
      <c r="C5478" s="7"/>
      <c r="D5478" s="7"/>
    </row>
    <row r="5479" spans="1:4" ht="12.75" customHeight="1" x14ac:dyDescent="0.2">
      <c r="A5479" s="21"/>
      <c r="B5479" s="3" t="s">
        <v>0</v>
      </c>
      <c r="C5479" s="23" t="s">
        <v>468</v>
      </c>
      <c r="D5479" s="21"/>
    </row>
    <row r="5480" spans="1:4" ht="12.75" customHeight="1" x14ac:dyDescent="0.2">
      <c r="A5480" s="21"/>
      <c r="B5480" s="3" t="s">
        <v>2</v>
      </c>
      <c r="C5480" s="23" t="s">
        <v>1839</v>
      </c>
      <c r="D5480" s="21"/>
    </row>
    <row r="5481" spans="1:4" ht="12.75" customHeight="1" x14ac:dyDescent="0.2">
      <c r="A5481" s="21"/>
      <c r="B5481" s="3" t="s">
        <v>1840</v>
      </c>
      <c r="C5481" s="23" t="s">
        <v>336</v>
      </c>
      <c r="D5481" s="21"/>
    </row>
    <row r="5482" spans="1:4" ht="12.75" customHeight="1" x14ac:dyDescent="0.2">
      <c r="A5482" s="21"/>
      <c r="B5482" s="3" t="s">
        <v>9</v>
      </c>
      <c r="C5482" s="23" t="s">
        <v>262</v>
      </c>
      <c r="D5482" s="21"/>
    </row>
    <row r="5483" spans="1:4" ht="12.75" customHeight="1" x14ac:dyDescent="0.2">
      <c r="A5483" s="21"/>
      <c r="B5483" s="3" t="s">
        <v>11</v>
      </c>
      <c r="C5483" s="23" t="s">
        <v>566</v>
      </c>
      <c r="D5483" s="21"/>
    </row>
    <row r="5484" spans="1:4" ht="12.75" customHeight="1" x14ac:dyDescent="0.2">
      <c r="A5484" s="21"/>
      <c r="B5484" s="3" t="s">
        <v>16</v>
      </c>
      <c r="C5484" s="23"/>
      <c r="D5484" s="21"/>
    </row>
    <row r="5485" spans="1:4" ht="12.75" customHeight="1" x14ac:dyDescent="0.2">
      <c r="A5485" s="21"/>
      <c r="B5485" s="3" t="s">
        <v>17</v>
      </c>
      <c r="C5485" s="23" t="s">
        <v>19</v>
      </c>
      <c r="D5485" s="21"/>
    </row>
    <row r="5486" spans="1:4" ht="12.75" customHeight="1" x14ac:dyDescent="0.2">
      <c r="A5486" s="21"/>
      <c r="B5486" s="20" t="s">
        <v>18</v>
      </c>
      <c r="C5486" s="8" t="s">
        <v>44</v>
      </c>
      <c r="D5486" s="1" t="str">
        <f>HYPERLINK("javascript:void(0)","göcsört testpajzs")</f>
        <v>göcsört testpajzs</v>
      </c>
    </row>
    <row r="5487" spans="1:4" ht="12.75" customHeight="1" x14ac:dyDescent="0.2">
      <c r="A5487" s="21"/>
      <c r="B5487" s="21"/>
      <c r="C5487" s="8" t="s">
        <v>67</v>
      </c>
      <c r="D5487" s="1" t="str">
        <f>HYPERLINK("javascript:void(0)","öbleny")</f>
        <v>öbleny</v>
      </c>
    </row>
    <row r="5488" spans="1:4" ht="12.75" customHeight="1" x14ac:dyDescent="0.2">
      <c r="A5488" s="21"/>
      <c r="B5488" s="21"/>
      <c r="C5488" s="8" t="s">
        <v>98</v>
      </c>
      <c r="D5488" s="1" t="str">
        <f>HYPERLINK("javascript:void(0)","hemoglobin")</f>
        <v>hemoglobin</v>
      </c>
    </row>
    <row r="5489" spans="1:4" ht="12.75" customHeight="1" x14ac:dyDescent="0.2">
      <c r="A5489" s="21"/>
      <c r="B5489" s="2"/>
      <c r="C5489" s="7"/>
      <c r="D5489" s="7"/>
    </row>
    <row r="5490" spans="1:4" ht="12.75" customHeight="1" x14ac:dyDescent="0.2">
      <c r="A5490" s="21"/>
      <c r="B5490" s="2"/>
      <c r="C5490" s="7"/>
      <c r="D5490" s="7"/>
    </row>
    <row r="5491" spans="1:4" ht="12.75" customHeight="1" x14ac:dyDescent="0.2">
      <c r="A5491" s="21"/>
      <c r="B5491" s="2"/>
      <c r="C5491" s="7"/>
      <c r="D5491" s="7"/>
    </row>
    <row r="5492" spans="1:4" ht="12.75" customHeight="1" x14ac:dyDescent="0.2">
      <c r="A5492" s="21"/>
      <c r="B5492" s="2"/>
      <c r="C5492" s="7"/>
      <c r="D5492" s="7"/>
    </row>
    <row r="5493" spans="1:4" ht="12.75" customHeight="1" x14ac:dyDescent="0.2">
      <c r="A5493" s="5"/>
      <c r="B5493" s="2"/>
      <c r="C5493" s="7"/>
      <c r="D5493" s="7"/>
    </row>
    <row r="5494" spans="1:4" ht="12.75" customHeight="1" x14ac:dyDescent="0.2">
      <c r="A5494" s="22" t="str">
        <f>HYPERLINK("javascript:void(0)","artini pillepajzs")</f>
        <v>artini pillepajzs</v>
      </c>
      <c r="B5494" s="21"/>
      <c r="C5494" s="21"/>
      <c r="D5494" s="21"/>
    </row>
    <row r="5495" spans="1:4" ht="12.75" customHeight="1" x14ac:dyDescent="0.2">
      <c r="A5495" s="20"/>
      <c r="B5495" s="2"/>
      <c r="C5495" s="7"/>
      <c r="D5495" s="7"/>
    </row>
    <row r="5496" spans="1:4" ht="12.75" customHeight="1" x14ac:dyDescent="0.2">
      <c r="A5496" s="21"/>
      <c r="B5496" s="3" t="s">
        <v>0</v>
      </c>
      <c r="C5496" s="23" t="s">
        <v>468</v>
      </c>
      <c r="D5496" s="21"/>
    </row>
    <row r="5497" spans="1:4" ht="12.75" customHeight="1" x14ac:dyDescent="0.2">
      <c r="A5497" s="21"/>
      <c r="B5497" s="3" t="s">
        <v>2</v>
      </c>
      <c r="C5497" s="23" t="s">
        <v>1839</v>
      </c>
      <c r="D5497" s="21"/>
    </row>
    <row r="5498" spans="1:4" ht="12.75" customHeight="1" x14ac:dyDescent="0.2">
      <c r="A5498" s="21"/>
      <c r="B5498" s="3" t="s">
        <v>1840</v>
      </c>
      <c r="C5498" s="23" t="s">
        <v>336</v>
      </c>
      <c r="D5498" s="21"/>
    </row>
    <row r="5499" spans="1:4" ht="12.75" customHeight="1" x14ac:dyDescent="0.2">
      <c r="A5499" s="21"/>
      <c r="B5499" s="3" t="s">
        <v>9</v>
      </c>
      <c r="C5499" s="23" t="s">
        <v>2089</v>
      </c>
      <c r="D5499" s="21"/>
    </row>
    <row r="5500" spans="1:4" ht="12.75" customHeight="1" x14ac:dyDescent="0.2">
      <c r="A5500" s="21"/>
      <c r="B5500" s="3" t="s">
        <v>11</v>
      </c>
      <c r="C5500" s="23" t="s">
        <v>603</v>
      </c>
      <c r="D5500" s="21"/>
    </row>
    <row r="5501" spans="1:4" ht="12.75" customHeight="1" x14ac:dyDescent="0.2">
      <c r="A5501" s="21"/>
      <c r="B5501" s="3" t="s">
        <v>16</v>
      </c>
      <c r="C5501" s="23"/>
      <c r="D5501" s="21"/>
    </row>
    <row r="5502" spans="1:4" ht="12.75" customHeight="1" x14ac:dyDescent="0.2">
      <c r="A5502" s="21"/>
      <c r="B5502" s="3" t="s">
        <v>17</v>
      </c>
      <c r="C5502" s="23" t="s">
        <v>19</v>
      </c>
      <c r="D5502" s="21"/>
    </row>
    <row r="5503" spans="1:4" ht="12.75" customHeight="1" x14ac:dyDescent="0.2">
      <c r="A5503" s="21"/>
      <c r="B5503" s="20" t="s">
        <v>18</v>
      </c>
      <c r="C5503" s="8" t="s">
        <v>44</v>
      </c>
      <c r="D5503" s="1" t="str">
        <f>HYPERLINK("javascript:void(0)","öblend testpajzs")</f>
        <v>öblend testpajzs</v>
      </c>
    </row>
    <row r="5504" spans="1:4" ht="12.75" customHeight="1" x14ac:dyDescent="0.2">
      <c r="A5504" s="21"/>
      <c r="B5504" s="21"/>
      <c r="C5504" s="8" t="s">
        <v>950</v>
      </c>
      <c r="D5504" s="1" t="str">
        <f>HYPERLINK("javascript:void(0)","szemgödör")</f>
        <v>szemgödör</v>
      </c>
    </row>
    <row r="5505" spans="1:4" ht="12.75" customHeight="1" x14ac:dyDescent="0.2">
      <c r="A5505" s="21"/>
      <c r="B5505" s="21"/>
      <c r="C5505" s="8" t="s">
        <v>632</v>
      </c>
      <c r="D5505" s="1" t="str">
        <f>HYPERLINK("javascript:void(0)","démonzanza")</f>
        <v>démonzanza</v>
      </c>
    </row>
    <row r="5506" spans="1:4" ht="12.75" customHeight="1" x14ac:dyDescent="0.2">
      <c r="A5506" s="21"/>
      <c r="B5506" s="2"/>
      <c r="C5506" s="7"/>
      <c r="D5506" s="7"/>
    </row>
    <row r="5507" spans="1:4" ht="12.75" customHeight="1" x14ac:dyDescent="0.2">
      <c r="A5507" s="21"/>
      <c r="B5507" s="2"/>
      <c r="C5507" s="7"/>
      <c r="D5507" s="7"/>
    </row>
    <row r="5508" spans="1:4" ht="12.75" customHeight="1" x14ac:dyDescent="0.2">
      <c r="A5508" s="21"/>
      <c r="B5508" s="2"/>
      <c r="C5508" s="7"/>
      <c r="D5508" s="7"/>
    </row>
    <row r="5509" spans="1:4" ht="12.75" customHeight="1" x14ac:dyDescent="0.2">
      <c r="A5509" s="21"/>
      <c r="B5509" s="2"/>
      <c r="C5509" s="7"/>
      <c r="D5509" s="7"/>
    </row>
    <row r="5510" spans="1:4" ht="12.75" customHeight="1" x14ac:dyDescent="0.2">
      <c r="A5510" s="5"/>
      <c r="B5510" s="2"/>
      <c r="C5510" s="7"/>
      <c r="D5510" s="7"/>
    </row>
    <row r="5511" spans="1:4" ht="12.75" customHeight="1" x14ac:dyDescent="0.2">
      <c r="A5511" s="22" t="str">
        <f>HYPERLINK("javascript:void(0)","gyémánt antigrav csizma")</f>
        <v>gyémánt antigrav csizma</v>
      </c>
      <c r="B5511" s="21"/>
      <c r="C5511" s="21"/>
      <c r="D5511" s="21"/>
    </row>
    <row r="5512" spans="1:4" ht="12.75" customHeight="1" x14ac:dyDescent="0.2">
      <c r="A5512" s="20"/>
      <c r="B5512" s="2"/>
      <c r="C5512" s="7"/>
      <c r="D5512" s="7"/>
    </row>
    <row r="5513" spans="1:4" ht="12.75" customHeight="1" x14ac:dyDescent="0.2">
      <c r="A5513" s="21"/>
      <c r="B5513" s="3" t="s">
        <v>0</v>
      </c>
      <c r="C5513" s="23" t="s">
        <v>468</v>
      </c>
      <c r="D5513" s="21"/>
    </row>
    <row r="5514" spans="1:4" ht="12.75" customHeight="1" x14ac:dyDescent="0.2">
      <c r="A5514" s="21"/>
      <c r="B5514" s="3" t="s">
        <v>2</v>
      </c>
      <c r="C5514" s="23"/>
      <c r="D5514" s="21"/>
    </row>
    <row r="5515" spans="1:4" ht="12.75" customHeight="1" x14ac:dyDescent="0.2">
      <c r="A5515" s="21"/>
      <c r="B5515" s="3" t="s">
        <v>1840</v>
      </c>
      <c r="C5515" s="23" t="s">
        <v>773</v>
      </c>
      <c r="D5515" s="21"/>
    </row>
    <row r="5516" spans="1:4" ht="12.75" customHeight="1" x14ac:dyDescent="0.2">
      <c r="A5516" s="21"/>
      <c r="B5516" s="3" t="s">
        <v>9</v>
      </c>
      <c r="C5516" s="23" t="s">
        <v>626</v>
      </c>
      <c r="D5516" s="21"/>
    </row>
    <row r="5517" spans="1:4" ht="12.75" customHeight="1" x14ac:dyDescent="0.2">
      <c r="A5517" s="21"/>
      <c r="B5517" s="3" t="s">
        <v>11</v>
      </c>
      <c r="C5517" s="23" t="s">
        <v>23</v>
      </c>
      <c r="D5517" s="21"/>
    </row>
    <row r="5518" spans="1:4" ht="12.75" customHeight="1" x14ac:dyDescent="0.2">
      <c r="A5518" s="21"/>
      <c r="B5518" s="3" t="s">
        <v>16</v>
      </c>
      <c r="C5518" s="23"/>
      <c r="D5518" s="21"/>
    </row>
    <row r="5519" spans="1:4" ht="12.75" customHeight="1" x14ac:dyDescent="0.2">
      <c r="A5519" s="21"/>
      <c r="B5519" s="3" t="s">
        <v>17</v>
      </c>
      <c r="C5519" s="23" t="s">
        <v>19</v>
      </c>
      <c r="D5519" s="21"/>
    </row>
    <row r="5520" spans="1:4" ht="12.75" customHeight="1" x14ac:dyDescent="0.2">
      <c r="A5520" s="21"/>
      <c r="B5520" s="20" t="s">
        <v>18</v>
      </c>
      <c r="C5520" s="8" t="s">
        <v>44</v>
      </c>
      <c r="D5520" s="1" t="str">
        <f>HYPERLINK("javascript:void(0)","rubin antigrav csizma")</f>
        <v>rubin antigrav csizma</v>
      </c>
    </row>
    <row r="5521" spans="1:4" ht="12.75" customHeight="1" x14ac:dyDescent="0.2">
      <c r="A5521" s="21"/>
      <c r="B5521" s="21"/>
      <c r="C5521" s="8" t="s">
        <v>474</v>
      </c>
      <c r="D5521" s="1" t="str">
        <f>HYPERLINK("javascript:void(0)","szemgödör")</f>
        <v>szemgödör</v>
      </c>
    </row>
    <row r="5522" spans="1:4" ht="12.75" customHeight="1" x14ac:dyDescent="0.2">
      <c r="A5522" s="21"/>
      <c r="B5522" s="21"/>
      <c r="C5522" s="8" t="s">
        <v>280</v>
      </c>
      <c r="D5522" s="1" t="str">
        <f>HYPERLINK("javascript:void(0)","vari amulett")</f>
        <v>vari amulett</v>
      </c>
    </row>
    <row r="5523" spans="1:4" ht="12.75" customHeight="1" x14ac:dyDescent="0.2">
      <c r="A5523" s="21"/>
      <c r="B5523" s="2"/>
      <c r="C5523" s="7"/>
      <c r="D5523" s="7"/>
    </row>
    <row r="5524" spans="1:4" ht="12.75" customHeight="1" x14ac:dyDescent="0.2">
      <c r="A5524" s="21"/>
      <c r="B5524" s="2"/>
      <c r="C5524" s="7"/>
      <c r="D5524" s="7"/>
    </row>
    <row r="5525" spans="1:4" ht="12.75" customHeight="1" x14ac:dyDescent="0.2">
      <c r="A5525" s="21"/>
      <c r="B5525" s="2"/>
      <c r="C5525" s="7"/>
      <c r="D5525" s="7"/>
    </row>
    <row r="5526" spans="1:4" ht="12.75" customHeight="1" x14ac:dyDescent="0.2">
      <c r="A5526" s="21"/>
      <c r="B5526" s="2"/>
      <c r="C5526" s="7"/>
      <c r="D5526" s="7"/>
    </row>
    <row r="5527" spans="1:4" ht="12.75" customHeight="1" x14ac:dyDescent="0.2">
      <c r="A5527" s="5"/>
      <c r="B5527" s="2"/>
      <c r="C5527" s="7"/>
      <c r="D5527" s="7"/>
    </row>
    <row r="5528" spans="1:4" ht="12.75" customHeight="1" x14ac:dyDescent="0.2">
      <c r="A5528" s="22" t="str">
        <f>HYPERLINK("javascript:void(0)","diszpro mellvért")</f>
        <v>diszpro mellvért</v>
      </c>
      <c r="B5528" s="21"/>
      <c r="C5528" s="21"/>
      <c r="D5528" s="21"/>
    </row>
    <row r="5529" spans="1:4" ht="12.75" customHeight="1" x14ac:dyDescent="0.2">
      <c r="A5529" s="20"/>
      <c r="B5529" s="2"/>
      <c r="C5529" s="7"/>
      <c r="D5529" s="7"/>
    </row>
    <row r="5530" spans="1:4" ht="12.75" customHeight="1" x14ac:dyDescent="0.2">
      <c r="A5530" s="21"/>
      <c r="B5530" s="3" t="s">
        <v>0</v>
      </c>
      <c r="C5530" s="23" t="s">
        <v>213</v>
      </c>
      <c r="D5530" s="21"/>
    </row>
    <row r="5531" spans="1:4" ht="12.75" customHeight="1" x14ac:dyDescent="0.2">
      <c r="A5531" s="21"/>
      <c r="B5531" s="3" t="s">
        <v>2</v>
      </c>
      <c r="C5531" s="23" t="s">
        <v>2322</v>
      </c>
      <c r="D5531" s="21"/>
    </row>
    <row r="5532" spans="1:4" ht="12.75" customHeight="1" x14ac:dyDescent="0.2">
      <c r="A5532" s="21"/>
      <c r="B5532" s="3" t="s">
        <v>1840</v>
      </c>
      <c r="C5532" s="23" t="s">
        <v>175</v>
      </c>
      <c r="D5532" s="21"/>
    </row>
    <row r="5533" spans="1:4" ht="12.75" customHeight="1" x14ac:dyDescent="0.2">
      <c r="A5533" s="21"/>
      <c r="B5533" s="3" t="s">
        <v>9</v>
      </c>
      <c r="C5533" s="23" t="s">
        <v>374</v>
      </c>
      <c r="D5533" s="21"/>
    </row>
    <row r="5534" spans="1:4" ht="12.75" customHeight="1" x14ac:dyDescent="0.2">
      <c r="A5534" s="21"/>
      <c r="B5534" s="3" t="s">
        <v>11</v>
      </c>
      <c r="C5534" s="23" t="s">
        <v>497</v>
      </c>
      <c r="D5534" s="21"/>
    </row>
    <row r="5535" spans="1:4" ht="12.75" customHeight="1" x14ac:dyDescent="0.2">
      <c r="A5535" s="21"/>
      <c r="B5535" s="3" t="s">
        <v>16</v>
      </c>
      <c r="C5535" s="23"/>
      <c r="D5535" s="21"/>
    </row>
    <row r="5536" spans="1:4" ht="12.75" customHeight="1" x14ac:dyDescent="0.2">
      <c r="A5536" s="21"/>
      <c r="B5536" s="3" t="s">
        <v>17</v>
      </c>
      <c r="C5536" s="23" t="s">
        <v>19</v>
      </c>
      <c r="D5536" s="21"/>
    </row>
    <row r="5537" spans="1:4" ht="12.75" customHeight="1" x14ac:dyDescent="0.2">
      <c r="A5537" s="21"/>
      <c r="B5537" s="20" t="s">
        <v>18</v>
      </c>
      <c r="C5537" s="8" t="s">
        <v>1085</v>
      </c>
      <c r="D5537" s="1" t="str">
        <f>HYPERLINK("javascript:void(0)","diszprózium")</f>
        <v>diszprózium</v>
      </c>
    </row>
    <row r="5538" spans="1:4" ht="12.75" customHeight="1" x14ac:dyDescent="0.2">
      <c r="A5538" s="21"/>
      <c r="B5538" s="21"/>
      <c r="C5538" s="8" t="s">
        <v>68</v>
      </c>
      <c r="D5538" s="1" t="str">
        <f>HYPERLINK("javascript:void(0)","istenköröm")</f>
        <v>istenköröm</v>
      </c>
    </row>
    <row r="5539" spans="1:4" ht="12.75" customHeight="1" x14ac:dyDescent="0.2">
      <c r="A5539" s="21"/>
      <c r="B5539" s="21"/>
      <c r="C5539" s="8" t="s">
        <v>117</v>
      </c>
      <c r="D5539" s="1" t="str">
        <f>HYPERLINK("javascript:void(0)","hordócsap")</f>
        <v>hordócsap</v>
      </c>
    </row>
    <row r="5540" spans="1:4" ht="12.75" customHeight="1" x14ac:dyDescent="0.2">
      <c r="A5540" s="21"/>
      <c r="B5540" s="2"/>
      <c r="C5540" s="7"/>
      <c r="D5540" s="7"/>
    </row>
    <row r="5541" spans="1:4" ht="12.75" customHeight="1" x14ac:dyDescent="0.2">
      <c r="A5541" s="21"/>
      <c r="B5541" s="2"/>
      <c r="C5541" s="7"/>
      <c r="D5541" s="7"/>
    </row>
    <row r="5542" spans="1:4" ht="12.75" customHeight="1" x14ac:dyDescent="0.2">
      <c r="A5542" s="21"/>
      <c r="B5542" s="2"/>
      <c r="C5542" s="7"/>
      <c r="D5542" s="7"/>
    </row>
    <row r="5543" spans="1:4" ht="12.75" customHeight="1" x14ac:dyDescent="0.2">
      <c r="A5543" s="21"/>
      <c r="B5543" s="2"/>
      <c r="C5543" s="7"/>
      <c r="D5543" s="7"/>
    </row>
    <row r="5544" spans="1:4" ht="12.75" customHeight="1" x14ac:dyDescent="0.2">
      <c r="A5544" s="5"/>
      <c r="B5544" s="2"/>
      <c r="C5544" s="7"/>
      <c r="D5544" s="7"/>
    </row>
    <row r="5545" spans="1:4" ht="12.75" customHeight="1" x14ac:dyDescent="0.2">
      <c r="A5545" s="22" t="str">
        <f>HYPERLINK("javascript:void(0)","artini sisak")</f>
        <v>artini sisak</v>
      </c>
      <c r="B5545" s="21"/>
      <c r="C5545" s="21"/>
      <c r="D5545" s="21"/>
    </row>
    <row r="5546" spans="1:4" ht="12.75" customHeight="1" x14ac:dyDescent="0.2">
      <c r="A5546" s="20"/>
      <c r="B5546" s="2"/>
      <c r="C5546" s="7"/>
      <c r="D5546" s="7"/>
    </row>
    <row r="5547" spans="1:4" ht="12.75" customHeight="1" x14ac:dyDescent="0.2">
      <c r="A5547" s="21"/>
      <c r="B5547" s="3" t="s">
        <v>0</v>
      </c>
      <c r="C5547" s="23" t="s">
        <v>213</v>
      </c>
      <c r="D5547" s="21"/>
    </row>
    <row r="5548" spans="1:4" ht="12.75" customHeight="1" x14ac:dyDescent="0.2">
      <c r="A5548" s="21"/>
      <c r="B5548" s="3" t="s">
        <v>2</v>
      </c>
      <c r="C5548" s="23"/>
      <c r="D5548" s="21"/>
    </row>
    <row r="5549" spans="1:4" ht="12.75" customHeight="1" x14ac:dyDescent="0.2">
      <c r="A5549" s="21"/>
      <c r="B5549" s="3" t="s">
        <v>1840</v>
      </c>
      <c r="C5549" s="23" t="s">
        <v>190</v>
      </c>
      <c r="D5549" s="21"/>
    </row>
    <row r="5550" spans="1:4" ht="12.75" customHeight="1" x14ac:dyDescent="0.2">
      <c r="A5550" s="21"/>
      <c r="B5550" s="3" t="s">
        <v>9</v>
      </c>
      <c r="C5550" s="23" t="s">
        <v>464</v>
      </c>
      <c r="D5550" s="21"/>
    </row>
    <row r="5551" spans="1:4" ht="12.75" customHeight="1" x14ac:dyDescent="0.2">
      <c r="A5551" s="21"/>
      <c r="B5551" s="3" t="s">
        <v>11</v>
      </c>
      <c r="C5551" s="23" t="s">
        <v>497</v>
      </c>
      <c r="D5551" s="21"/>
    </row>
    <row r="5552" spans="1:4" ht="12.75" customHeight="1" x14ac:dyDescent="0.2">
      <c r="A5552" s="21"/>
      <c r="B5552" s="3" t="s">
        <v>16</v>
      </c>
      <c r="C5552" s="23"/>
      <c r="D5552" s="21"/>
    </row>
    <row r="5553" spans="1:4" ht="12.75" customHeight="1" x14ac:dyDescent="0.2">
      <c r="A5553" s="21"/>
      <c r="B5553" s="3" t="s">
        <v>17</v>
      </c>
      <c r="C5553" s="23" t="s">
        <v>19</v>
      </c>
      <c r="D5553" s="21"/>
    </row>
    <row r="5554" spans="1:4" ht="12.75" customHeight="1" x14ac:dyDescent="0.2">
      <c r="A5554" s="21"/>
      <c r="B5554" s="20" t="s">
        <v>18</v>
      </c>
      <c r="C5554" s="8" t="s">
        <v>44</v>
      </c>
      <c r="D5554" s="1" t="str">
        <f>HYPERLINK("javascript:void(0)","csigaház sisak")</f>
        <v>csigaház sisak</v>
      </c>
    </row>
    <row r="5555" spans="1:4" ht="12.75" customHeight="1" x14ac:dyDescent="0.2">
      <c r="A5555" s="21"/>
      <c r="B5555" s="21"/>
      <c r="C5555" s="8" t="s">
        <v>77</v>
      </c>
      <c r="D5555" s="1" t="str">
        <f>HYPERLINK("javascript:void(0)","manókoponya")</f>
        <v>manókoponya</v>
      </c>
    </row>
    <row r="5556" spans="1:4" ht="12.75" customHeight="1" x14ac:dyDescent="0.2">
      <c r="A5556" s="21"/>
      <c r="B5556" s="21"/>
      <c r="C5556" s="8" t="s">
        <v>290</v>
      </c>
      <c r="D5556" s="1" t="str">
        <f>HYPERLINK("javascript:void(0)","portgyűrű")</f>
        <v>portgyűrű</v>
      </c>
    </row>
    <row r="5557" spans="1:4" ht="12.75" customHeight="1" x14ac:dyDescent="0.2">
      <c r="A5557" s="21"/>
      <c r="B5557" s="2"/>
      <c r="C5557" s="7"/>
      <c r="D5557" s="7"/>
    </row>
    <row r="5558" spans="1:4" ht="12.75" customHeight="1" x14ac:dyDescent="0.2">
      <c r="A5558" s="21"/>
      <c r="B5558" s="2"/>
      <c r="C5558" s="7"/>
      <c r="D5558" s="7"/>
    </row>
    <row r="5559" spans="1:4" ht="12.75" customHeight="1" x14ac:dyDescent="0.2">
      <c r="A5559" s="21"/>
      <c r="B5559" s="2"/>
      <c r="C5559" s="7"/>
      <c r="D5559" s="7"/>
    </row>
    <row r="5560" spans="1:4" ht="12.75" customHeight="1" x14ac:dyDescent="0.2">
      <c r="A5560" s="21"/>
      <c r="B5560" s="2"/>
      <c r="C5560" s="7"/>
      <c r="D5560" s="7"/>
    </row>
    <row r="5561" spans="1:4" ht="12.75" customHeight="1" x14ac:dyDescent="0.2">
      <c r="A5561" s="5"/>
      <c r="B5561" s="2"/>
      <c r="C5561" s="7"/>
      <c r="D5561" s="7"/>
    </row>
    <row r="5562" spans="1:4" ht="12.75" customHeight="1" x14ac:dyDescent="0.2">
      <c r="A5562" s="22" t="str">
        <f>HYPERLINK("javascript:void(0)","smaragd saru")</f>
        <v>smaragd saru</v>
      </c>
      <c r="B5562" s="21"/>
      <c r="C5562" s="21"/>
      <c r="D5562" s="21"/>
    </row>
    <row r="5563" spans="1:4" ht="12.75" customHeight="1" x14ac:dyDescent="0.2">
      <c r="A5563" s="20"/>
      <c r="B5563" s="2"/>
      <c r="C5563" s="7"/>
      <c r="D5563" s="7"/>
    </row>
    <row r="5564" spans="1:4" ht="12.75" customHeight="1" x14ac:dyDescent="0.2">
      <c r="A5564" s="21"/>
      <c r="B5564" s="3" t="s">
        <v>0</v>
      </c>
      <c r="C5564" s="23" t="s">
        <v>213</v>
      </c>
      <c r="D5564" s="21"/>
    </row>
    <row r="5565" spans="1:4" ht="12.75" customHeight="1" x14ac:dyDescent="0.2">
      <c r="A5565" s="21"/>
      <c r="B5565" s="3" t="s">
        <v>2</v>
      </c>
      <c r="C5565" s="23"/>
      <c r="D5565" s="21"/>
    </row>
    <row r="5566" spans="1:4" ht="12.75" customHeight="1" x14ac:dyDescent="0.2">
      <c r="A5566" s="21"/>
      <c r="B5566" s="3" t="s">
        <v>1840</v>
      </c>
      <c r="C5566" s="23" t="s">
        <v>896</v>
      </c>
      <c r="D5566" s="21"/>
    </row>
    <row r="5567" spans="1:4" ht="12.75" customHeight="1" x14ac:dyDescent="0.2">
      <c r="A5567" s="21"/>
      <c r="B5567" s="3" t="s">
        <v>9</v>
      </c>
      <c r="C5567" s="23" t="s">
        <v>30</v>
      </c>
      <c r="D5567" s="21"/>
    </row>
    <row r="5568" spans="1:4" ht="12.75" customHeight="1" x14ac:dyDescent="0.2">
      <c r="A5568" s="21"/>
      <c r="B5568" s="3" t="s">
        <v>11</v>
      </c>
      <c r="C5568" s="23" t="s">
        <v>514</v>
      </c>
      <c r="D5568" s="21"/>
    </row>
    <row r="5569" spans="1:4" ht="12.75" customHeight="1" x14ac:dyDescent="0.2">
      <c r="A5569" s="21"/>
      <c r="B5569" s="3" t="s">
        <v>16</v>
      </c>
      <c r="C5569" s="23"/>
      <c r="D5569" s="21"/>
    </row>
    <row r="5570" spans="1:4" ht="12.75" customHeight="1" x14ac:dyDescent="0.2">
      <c r="A5570" s="21"/>
      <c r="B5570" s="3" t="s">
        <v>17</v>
      </c>
      <c r="C5570" s="23" t="s">
        <v>19</v>
      </c>
      <c r="D5570" s="21"/>
    </row>
    <row r="5571" spans="1:4" ht="12.75" customHeight="1" x14ac:dyDescent="0.2">
      <c r="A5571" s="21"/>
      <c r="B5571" s="20" t="s">
        <v>18</v>
      </c>
      <c r="C5571" s="8" t="s">
        <v>44</v>
      </c>
      <c r="D5571" s="1" t="str">
        <f>HYPERLINK("javascript:void(0)","ezüst saru")</f>
        <v>ezüst saru</v>
      </c>
    </row>
    <row r="5572" spans="1:4" ht="12.75" customHeight="1" x14ac:dyDescent="0.2">
      <c r="A5572" s="21"/>
      <c r="B5572" s="21"/>
      <c r="C5572" s="8" t="s">
        <v>44</v>
      </c>
      <c r="D5572" s="1" t="str">
        <f>HYPERLINK("javascript:void(0)","arany saru")</f>
        <v>arany saru</v>
      </c>
    </row>
    <row r="5573" spans="1:4" ht="12.75" customHeight="1" x14ac:dyDescent="0.2">
      <c r="A5573" s="21"/>
      <c r="B5573" s="21"/>
      <c r="C5573" s="8" t="s">
        <v>232</v>
      </c>
      <c r="D5573" s="1" t="str">
        <f>HYPERLINK("javascript:void(0)","manókoponya")</f>
        <v>manókoponya</v>
      </c>
    </row>
    <row r="5574" spans="1:4" ht="12.75" customHeight="1" x14ac:dyDescent="0.2">
      <c r="A5574" s="21"/>
      <c r="B5574" s="2"/>
      <c r="C5574" s="7"/>
      <c r="D5574" s="7"/>
    </row>
    <row r="5575" spans="1:4" ht="12.75" customHeight="1" x14ac:dyDescent="0.2">
      <c r="A5575" s="21"/>
      <c r="B5575" s="2"/>
      <c r="C5575" s="7"/>
      <c r="D5575" s="7"/>
    </row>
    <row r="5576" spans="1:4" ht="12.75" customHeight="1" x14ac:dyDescent="0.2">
      <c r="A5576" s="21"/>
      <c r="B5576" s="2"/>
      <c r="C5576" s="7"/>
      <c r="D5576" s="7"/>
    </row>
    <row r="5577" spans="1:4" ht="12.75" customHeight="1" x14ac:dyDescent="0.2">
      <c r="A5577" s="21"/>
      <c r="B5577" s="2"/>
      <c r="C5577" s="7"/>
      <c r="D5577" s="7"/>
    </row>
    <row r="5578" spans="1:4" ht="12.75" customHeight="1" x14ac:dyDescent="0.2">
      <c r="A5578" s="5"/>
      <c r="B5578" s="2"/>
      <c r="C5578" s="7"/>
      <c r="D5578" s="7"/>
    </row>
    <row r="5579" spans="1:4" ht="12.75" customHeight="1" x14ac:dyDescent="0.2">
      <c r="A5579" s="22" t="str">
        <f>HYPERLINK("javascript:void(0)","csontpajzs")</f>
        <v>csontpajzs</v>
      </c>
      <c r="B5579" s="21"/>
      <c r="C5579" s="21"/>
      <c r="D5579" s="21"/>
    </row>
    <row r="5580" spans="1:4" ht="12.75" customHeight="1" x14ac:dyDescent="0.2">
      <c r="A5580" s="20"/>
      <c r="B5580" s="2"/>
      <c r="C5580" s="7"/>
      <c r="D5580" s="7"/>
    </row>
    <row r="5581" spans="1:4" ht="12.75" customHeight="1" x14ac:dyDescent="0.2">
      <c r="A5581" s="21"/>
      <c r="B5581" s="3" t="s">
        <v>0</v>
      </c>
      <c r="C5581" s="23" t="s">
        <v>213</v>
      </c>
      <c r="D5581" s="21"/>
    </row>
    <row r="5582" spans="1:4" ht="12.75" customHeight="1" x14ac:dyDescent="0.2">
      <c r="A5582" s="21"/>
      <c r="B5582" s="3" t="s">
        <v>2</v>
      </c>
      <c r="C5582" s="23" t="s">
        <v>1839</v>
      </c>
      <c r="D5582" s="21"/>
    </row>
    <row r="5583" spans="1:4" ht="12.75" customHeight="1" x14ac:dyDescent="0.2">
      <c r="A5583" s="21"/>
      <c r="B5583" s="3" t="s">
        <v>1840</v>
      </c>
      <c r="C5583" s="23" t="s">
        <v>305</v>
      </c>
      <c r="D5583" s="21"/>
    </row>
    <row r="5584" spans="1:4" ht="12.75" customHeight="1" x14ac:dyDescent="0.2">
      <c r="A5584" s="21"/>
      <c r="B5584" s="3" t="s">
        <v>9</v>
      </c>
      <c r="C5584" s="23" t="s">
        <v>377</v>
      </c>
      <c r="D5584" s="21"/>
    </row>
    <row r="5585" spans="1:4" ht="12.75" customHeight="1" x14ac:dyDescent="0.2">
      <c r="A5585" s="21"/>
      <c r="B5585" s="3" t="s">
        <v>11</v>
      </c>
      <c r="C5585" s="23" t="s">
        <v>587</v>
      </c>
      <c r="D5585" s="21"/>
    </row>
    <row r="5586" spans="1:4" ht="12.75" customHeight="1" x14ac:dyDescent="0.2">
      <c r="A5586" s="21"/>
      <c r="B5586" s="3" t="s">
        <v>16</v>
      </c>
      <c r="C5586" s="23"/>
      <c r="D5586" s="21"/>
    </row>
    <row r="5587" spans="1:4" ht="12.75" customHeight="1" x14ac:dyDescent="0.2">
      <c r="A5587" s="21"/>
      <c r="B5587" s="3" t="s">
        <v>17</v>
      </c>
      <c r="C5587" s="23" t="s">
        <v>19</v>
      </c>
      <c r="D5587" s="21"/>
    </row>
    <row r="5588" spans="1:4" ht="12.75" customHeight="1" x14ac:dyDescent="0.2">
      <c r="A5588" s="21"/>
      <c r="B5588" s="20" t="s">
        <v>18</v>
      </c>
      <c r="C5588" s="8" t="s">
        <v>44</v>
      </c>
      <c r="D5588" s="1" t="str">
        <f>HYPERLINK("javascript:void(0)","öblend pajzs")</f>
        <v>öblend pajzs</v>
      </c>
    </row>
    <row r="5589" spans="1:4" ht="12.75" customHeight="1" x14ac:dyDescent="0.2">
      <c r="A5589" s="21"/>
      <c r="B5589" s="21"/>
      <c r="C5589" s="8" t="s">
        <v>77</v>
      </c>
      <c r="D5589" s="1" t="str">
        <f>HYPERLINK("javascript:void(0)","manókoponya")</f>
        <v>manókoponya</v>
      </c>
    </row>
    <row r="5590" spans="1:4" ht="12.75" customHeight="1" x14ac:dyDescent="0.2">
      <c r="A5590" s="21"/>
      <c r="B5590" s="21"/>
      <c r="C5590" s="8" t="s">
        <v>139</v>
      </c>
      <c r="D5590" s="1" t="str">
        <f>HYPERLINK("javascript:void(0)","spóra")</f>
        <v>spóra</v>
      </c>
    </row>
    <row r="5591" spans="1:4" ht="12.75" customHeight="1" x14ac:dyDescent="0.2">
      <c r="A5591" s="21"/>
      <c r="B5591" s="2"/>
      <c r="C5591" s="7"/>
      <c r="D5591" s="7"/>
    </row>
    <row r="5592" spans="1:4" ht="12.75" customHeight="1" x14ac:dyDescent="0.2">
      <c r="A5592" s="21"/>
      <c r="B5592" s="2"/>
      <c r="C5592" s="7"/>
      <c r="D5592" s="7"/>
    </row>
    <row r="5593" spans="1:4" ht="12.75" customHeight="1" x14ac:dyDescent="0.2">
      <c r="A5593" s="21"/>
      <c r="B5593" s="2"/>
      <c r="C5593" s="7"/>
      <c r="D5593" s="7"/>
    </row>
    <row r="5594" spans="1:4" ht="12.75" customHeight="1" x14ac:dyDescent="0.2">
      <c r="A5594" s="21"/>
      <c r="B5594" s="2"/>
      <c r="C5594" s="7"/>
      <c r="D5594" s="7"/>
    </row>
    <row r="5595" spans="1:4" ht="12.75" customHeight="1" x14ac:dyDescent="0.2">
      <c r="A5595" s="5"/>
      <c r="B5595" s="2"/>
      <c r="C5595" s="7"/>
      <c r="D5595" s="7"/>
    </row>
    <row r="5596" spans="1:4" ht="12.75" customHeight="1" x14ac:dyDescent="0.2">
      <c r="A5596" s="22" t="str">
        <f>HYPERLINK("javascript:void(0)","wendír pillepajzs")</f>
        <v>wendír pillepajzs</v>
      </c>
      <c r="B5596" s="21"/>
      <c r="C5596" s="21"/>
      <c r="D5596" s="21"/>
    </row>
    <row r="5597" spans="1:4" ht="12.75" customHeight="1" x14ac:dyDescent="0.2">
      <c r="A5597" s="20"/>
      <c r="B5597" s="2"/>
      <c r="C5597" s="7"/>
      <c r="D5597" s="7"/>
    </row>
    <row r="5598" spans="1:4" ht="12.75" customHeight="1" x14ac:dyDescent="0.2">
      <c r="A5598" s="21"/>
      <c r="B5598" s="3" t="s">
        <v>0</v>
      </c>
      <c r="C5598" s="23" t="s">
        <v>213</v>
      </c>
      <c r="D5598" s="21"/>
    </row>
    <row r="5599" spans="1:4" ht="12.75" customHeight="1" x14ac:dyDescent="0.2">
      <c r="A5599" s="21"/>
      <c r="B5599" s="3" t="s">
        <v>2</v>
      </c>
      <c r="C5599" s="23" t="s">
        <v>1839</v>
      </c>
      <c r="D5599" s="21"/>
    </row>
    <row r="5600" spans="1:4" ht="12.75" customHeight="1" x14ac:dyDescent="0.2">
      <c r="A5600" s="21"/>
      <c r="B5600" s="3" t="s">
        <v>1840</v>
      </c>
      <c r="C5600" s="23" t="s">
        <v>305</v>
      </c>
      <c r="D5600" s="21"/>
    </row>
    <row r="5601" spans="1:4" ht="12.75" customHeight="1" x14ac:dyDescent="0.2">
      <c r="A5601" s="21"/>
      <c r="B5601" s="3" t="s">
        <v>9</v>
      </c>
      <c r="C5601" s="23" t="s">
        <v>2092</v>
      </c>
      <c r="D5601" s="21"/>
    </row>
    <row r="5602" spans="1:4" ht="12.75" customHeight="1" x14ac:dyDescent="0.2">
      <c r="A5602" s="21"/>
      <c r="B5602" s="3" t="s">
        <v>11</v>
      </c>
      <c r="C5602" s="23" t="s">
        <v>625</v>
      </c>
      <c r="D5602" s="21"/>
    </row>
    <row r="5603" spans="1:4" ht="12.75" customHeight="1" x14ac:dyDescent="0.2">
      <c r="A5603" s="21"/>
      <c r="B5603" s="3" t="s">
        <v>16</v>
      </c>
      <c r="C5603" s="23"/>
      <c r="D5603" s="21"/>
    </row>
    <row r="5604" spans="1:4" ht="12.75" customHeight="1" x14ac:dyDescent="0.2">
      <c r="A5604" s="21"/>
      <c r="B5604" s="3" t="s">
        <v>17</v>
      </c>
      <c r="C5604" s="23" t="s">
        <v>19</v>
      </c>
      <c r="D5604" s="21"/>
    </row>
    <row r="5605" spans="1:4" ht="12.75" customHeight="1" x14ac:dyDescent="0.2">
      <c r="A5605" s="21"/>
      <c r="B5605" s="20" t="s">
        <v>18</v>
      </c>
      <c r="C5605" s="8" t="s">
        <v>44</v>
      </c>
      <c r="D5605" s="1" t="str">
        <f>HYPERLINK("javascript:void(0)","csontpajzs")</f>
        <v>csontpajzs</v>
      </c>
    </row>
    <row r="5606" spans="1:4" ht="12.75" customHeight="1" x14ac:dyDescent="0.2">
      <c r="A5606" s="21"/>
      <c r="B5606" s="21"/>
      <c r="C5606" s="8" t="s">
        <v>139</v>
      </c>
      <c r="D5606" s="1" t="str">
        <f>HYPERLINK("javascript:void(0)","hordócsap")</f>
        <v>hordócsap</v>
      </c>
    </row>
    <row r="5607" spans="1:4" ht="12.75" customHeight="1" x14ac:dyDescent="0.2">
      <c r="A5607" s="21"/>
      <c r="B5607" s="21"/>
      <c r="C5607" s="8" t="s">
        <v>117</v>
      </c>
      <c r="D5607" s="1" t="str">
        <f>HYPERLINK("javascript:void(0)","manókoponya")</f>
        <v>manókoponya</v>
      </c>
    </row>
    <row r="5608" spans="1:4" ht="12.75" customHeight="1" x14ac:dyDescent="0.2">
      <c r="A5608" s="21"/>
      <c r="B5608" s="2"/>
      <c r="C5608" s="7"/>
      <c r="D5608" s="7"/>
    </row>
    <row r="5609" spans="1:4" ht="12.75" customHeight="1" x14ac:dyDescent="0.2">
      <c r="A5609" s="21"/>
      <c r="B5609" s="2"/>
      <c r="C5609" s="7"/>
      <c r="D5609" s="7"/>
    </row>
    <row r="5610" spans="1:4" ht="12.75" customHeight="1" x14ac:dyDescent="0.2">
      <c r="A5610" s="21"/>
      <c r="B5610" s="2"/>
      <c r="C5610" s="7"/>
      <c r="D5610" s="7"/>
    </row>
    <row r="5611" spans="1:4" ht="12.75" customHeight="1" x14ac:dyDescent="0.2">
      <c r="A5611" s="21"/>
      <c r="B5611" s="2"/>
      <c r="C5611" s="7"/>
      <c r="D5611" s="7"/>
    </row>
    <row r="5612" spans="1:4" ht="12.75" customHeight="1" x14ac:dyDescent="0.2">
      <c r="A5612" s="5"/>
      <c r="B5612" s="2"/>
      <c r="C5612" s="7"/>
      <c r="D5612" s="7"/>
    </row>
    <row r="5613" spans="1:4" ht="12.75" customHeight="1" x14ac:dyDescent="0.2">
      <c r="A5613" s="22" t="str">
        <f>HYPERLINK("javascript:void(0)","kithrill mellvért")</f>
        <v>kithrill mellvért</v>
      </c>
      <c r="B5613" s="21"/>
      <c r="C5613" s="21"/>
      <c r="D5613" s="21"/>
    </row>
    <row r="5614" spans="1:4" ht="12.75" customHeight="1" x14ac:dyDescent="0.2">
      <c r="A5614" s="20"/>
      <c r="B5614" s="2"/>
      <c r="C5614" s="7"/>
      <c r="D5614" s="7"/>
    </row>
    <row r="5615" spans="1:4" ht="12.75" customHeight="1" x14ac:dyDescent="0.2">
      <c r="A5615" s="21"/>
      <c r="B5615" s="3" t="s">
        <v>0</v>
      </c>
      <c r="C5615" s="23" t="s">
        <v>58</v>
      </c>
      <c r="D5615" s="21"/>
    </row>
    <row r="5616" spans="1:4" ht="12.75" customHeight="1" x14ac:dyDescent="0.2">
      <c r="A5616" s="21"/>
      <c r="B5616" s="3" t="s">
        <v>2</v>
      </c>
      <c r="C5616" s="23" t="s">
        <v>2322</v>
      </c>
      <c r="D5616" s="21"/>
    </row>
    <row r="5617" spans="1:4" ht="12.75" customHeight="1" x14ac:dyDescent="0.2">
      <c r="A5617" s="21"/>
      <c r="B5617" s="3" t="s">
        <v>1840</v>
      </c>
      <c r="C5617" s="23" t="s">
        <v>2397</v>
      </c>
      <c r="D5617" s="21"/>
    </row>
    <row r="5618" spans="1:4" ht="12.75" customHeight="1" x14ac:dyDescent="0.2">
      <c r="A5618" s="21"/>
      <c r="B5618" s="3" t="s">
        <v>9</v>
      </c>
      <c r="C5618" s="23" t="s">
        <v>135</v>
      </c>
      <c r="D5618" s="21"/>
    </row>
    <row r="5619" spans="1:4" ht="12.75" customHeight="1" x14ac:dyDescent="0.2">
      <c r="A5619" s="21"/>
      <c r="B5619" s="3" t="s">
        <v>11</v>
      </c>
      <c r="C5619" s="23" t="s">
        <v>501</v>
      </c>
      <c r="D5619" s="21"/>
    </row>
    <row r="5620" spans="1:4" ht="12.75" customHeight="1" x14ac:dyDescent="0.2">
      <c r="A5620" s="21"/>
      <c r="B5620" s="3" t="s">
        <v>16</v>
      </c>
      <c r="C5620" s="23"/>
      <c r="D5620" s="21"/>
    </row>
    <row r="5621" spans="1:4" ht="12.75" customHeight="1" x14ac:dyDescent="0.2">
      <c r="A5621" s="21"/>
      <c r="B5621" s="3" t="s">
        <v>17</v>
      </c>
      <c r="C5621" s="23" t="s">
        <v>19</v>
      </c>
      <c r="D5621" s="21"/>
    </row>
    <row r="5622" spans="1:4" ht="12.75" customHeight="1" x14ac:dyDescent="0.2">
      <c r="A5622" s="21"/>
      <c r="B5622" s="20" t="s">
        <v>18</v>
      </c>
      <c r="C5622" s="8" t="s">
        <v>44</v>
      </c>
      <c r="D5622" s="1" t="str">
        <f>HYPERLINK("javascript:void(0)","dracoacél mellvért")</f>
        <v>dracoacél mellvért</v>
      </c>
    </row>
    <row r="5623" spans="1:4" ht="12.75" customHeight="1" x14ac:dyDescent="0.2">
      <c r="A5623" s="21"/>
      <c r="B5623" s="21"/>
      <c r="C5623" s="8" t="s">
        <v>44</v>
      </c>
      <c r="D5623" s="1" t="str">
        <f>HYPERLINK("javascript:void(0)","diszpro mellvért")</f>
        <v>diszpro mellvért</v>
      </c>
    </row>
    <row r="5624" spans="1:4" ht="12.75" customHeight="1" x14ac:dyDescent="0.2">
      <c r="A5624" s="21"/>
      <c r="B5624" s="21"/>
      <c r="C5624" s="8" t="s">
        <v>44</v>
      </c>
      <c r="D5624" s="1" t="str">
        <f>HYPERLINK("javascript:void(0)","kithrill előlap")</f>
        <v>kithrill előlap</v>
      </c>
    </row>
    <row r="5625" spans="1:4" ht="12.75" customHeight="1" x14ac:dyDescent="0.2">
      <c r="A5625" s="21"/>
      <c r="B5625" s="2"/>
      <c r="C5625" s="7"/>
      <c r="D5625" s="7"/>
    </row>
    <row r="5626" spans="1:4" ht="12.75" customHeight="1" x14ac:dyDescent="0.2">
      <c r="A5626" s="21"/>
      <c r="B5626" s="2"/>
      <c r="C5626" s="7"/>
      <c r="D5626" s="7"/>
    </row>
    <row r="5627" spans="1:4" ht="12.75" customHeight="1" x14ac:dyDescent="0.2">
      <c r="A5627" s="21"/>
      <c r="B5627" s="2"/>
      <c r="C5627" s="7"/>
      <c r="D5627" s="7"/>
    </row>
    <row r="5628" spans="1:4" ht="12.75" customHeight="1" x14ac:dyDescent="0.2">
      <c r="A5628" s="21"/>
      <c r="B5628" s="2"/>
      <c r="C5628" s="7"/>
      <c r="D5628" s="7"/>
    </row>
    <row r="5629" spans="1:4" ht="12.75" customHeight="1" x14ac:dyDescent="0.2">
      <c r="A5629" s="5"/>
      <c r="B5629" s="2"/>
      <c r="C5629" s="7"/>
      <c r="D5629" s="7"/>
    </row>
    <row r="5630" spans="1:4" ht="12.75" customHeight="1" x14ac:dyDescent="0.2">
      <c r="A5630" s="22" t="str">
        <f>HYPERLINK("javascript:void(0)","patinás sisak")</f>
        <v>patinás sisak</v>
      </c>
      <c r="B5630" s="21"/>
      <c r="C5630" s="21"/>
      <c r="D5630" s="21"/>
    </row>
    <row r="5631" spans="1:4" ht="12.75" customHeight="1" x14ac:dyDescent="0.2">
      <c r="A5631" s="20"/>
      <c r="B5631" s="2"/>
      <c r="C5631" s="7"/>
      <c r="D5631" s="7"/>
    </row>
    <row r="5632" spans="1:4" ht="12.75" customHeight="1" x14ac:dyDescent="0.2">
      <c r="A5632" s="21"/>
      <c r="B5632" s="3" t="s">
        <v>0</v>
      </c>
      <c r="C5632" s="23" t="s">
        <v>58</v>
      </c>
      <c r="D5632" s="21"/>
    </row>
    <row r="5633" spans="1:4" ht="12.75" customHeight="1" x14ac:dyDescent="0.2">
      <c r="A5633" s="21"/>
      <c r="B5633" s="3" t="s">
        <v>2</v>
      </c>
      <c r="C5633" s="23"/>
      <c r="D5633" s="21"/>
    </row>
    <row r="5634" spans="1:4" ht="12.75" customHeight="1" x14ac:dyDescent="0.2">
      <c r="A5634" s="21"/>
      <c r="B5634" s="3" t="s">
        <v>1840</v>
      </c>
      <c r="C5634" s="23" t="s">
        <v>968</v>
      </c>
      <c r="D5634" s="21"/>
    </row>
    <row r="5635" spans="1:4" ht="12.75" customHeight="1" x14ac:dyDescent="0.2">
      <c r="A5635" s="21"/>
      <c r="B5635" s="3" t="s">
        <v>9</v>
      </c>
      <c r="C5635" s="23" t="s">
        <v>172</v>
      </c>
      <c r="D5635" s="21"/>
    </row>
    <row r="5636" spans="1:4" ht="12.75" customHeight="1" x14ac:dyDescent="0.2">
      <c r="A5636" s="21"/>
      <c r="B5636" s="3" t="s">
        <v>11</v>
      </c>
      <c r="C5636" s="23" t="s">
        <v>501</v>
      </c>
      <c r="D5636" s="21"/>
    </row>
    <row r="5637" spans="1:4" ht="12.75" customHeight="1" x14ac:dyDescent="0.2">
      <c r="A5637" s="21"/>
      <c r="B5637" s="3" t="s">
        <v>16</v>
      </c>
      <c r="C5637" s="23"/>
      <c r="D5637" s="21"/>
    </row>
    <row r="5638" spans="1:4" ht="12.75" customHeight="1" x14ac:dyDescent="0.2">
      <c r="A5638" s="21"/>
      <c r="B5638" s="3" t="s">
        <v>17</v>
      </c>
      <c r="C5638" s="23" t="s">
        <v>19</v>
      </c>
      <c r="D5638" s="21"/>
    </row>
    <row r="5639" spans="1:4" ht="12.75" customHeight="1" x14ac:dyDescent="0.2">
      <c r="A5639" s="21"/>
      <c r="B5639" s="20" t="s">
        <v>18</v>
      </c>
      <c r="C5639" s="8" t="s">
        <v>77</v>
      </c>
      <c r="D5639" s="1" t="str">
        <f>HYPERLINK("javascript:void(0)","rozsdalap")</f>
        <v>rozsdalap</v>
      </c>
    </row>
    <row r="5640" spans="1:4" ht="12.75" customHeight="1" x14ac:dyDescent="0.2">
      <c r="A5640" s="21"/>
      <c r="B5640" s="21"/>
      <c r="C5640" s="8" t="s">
        <v>98</v>
      </c>
      <c r="D5640" s="1" t="str">
        <f>HYPERLINK("javascript:void(0)","göb")</f>
        <v>göb</v>
      </c>
    </row>
    <row r="5641" spans="1:4" ht="12.75" customHeight="1" x14ac:dyDescent="0.2">
      <c r="A5641" s="21"/>
      <c r="B5641" s="21"/>
      <c r="C5641" s="8" t="s">
        <v>139</v>
      </c>
      <c r="D5641" s="1" t="str">
        <f>HYPERLINK("javascript:void(0)","malacorr")</f>
        <v>malacorr</v>
      </c>
    </row>
    <row r="5642" spans="1:4" ht="12.75" customHeight="1" x14ac:dyDescent="0.2">
      <c r="A5642" s="21"/>
      <c r="B5642" s="2"/>
      <c r="C5642" s="7"/>
      <c r="D5642" s="7"/>
    </row>
    <row r="5643" spans="1:4" ht="12.75" customHeight="1" x14ac:dyDescent="0.2">
      <c r="A5643" s="21"/>
      <c r="B5643" s="2"/>
      <c r="C5643" s="7"/>
      <c r="D5643" s="7"/>
    </row>
    <row r="5644" spans="1:4" ht="12.75" customHeight="1" x14ac:dyDescent="0.2">
      <c r="A5644" s="21"/>
      <c r="B5644" s="2"/>
      <c r="C5644" s="7"/>
      <c r="D5644" s="7"/>
    </row>
    <row r="5645" spans="1:4" ht="12.75" customHeight="1" x14ac:dyDescent="0.2">
      <c r="A5645" s="21"/>
      <c r="B5645" s="2"/>
      <c r="C5645" s="7"/>
      <c r="D5645" s="7"/>
    </row>
    <row r="5646" spans="1:4" ht="12.75" customHeight="1" x14ac:dyDescent="0.2">
      <c r="A5646" s="5"/>
      <c r="B5646" s="2"/>
      <c r="C5646" s="7"/>
      <c r="D5646" s="7"/>
    </row>
    <row r="5647" spans="1:4" ht="12.75" customHeight="1" x14ac:dyDescent="0.2">
      <c r="A5647" s="22" t="str">
        <f>HYPERLINK("javascript:void(0)","rubin saru")</f>
        <v>rubin saru</v>
      </c>
      <c r="B5647" s="21"/>
      <c r="C5647" s="21"/>
      <c r="D5647" s="21"/>
    </row>
    <row r="5648" spans="1:4" ht="12.75" customHeight="1" x14ac:dyDescent="0.2">
      <c r="A5648" s="20"/>
      <c r="B5648" s="2"/>
      <c r="C5648" s="7"/>
      <c r="D5648" s="7"/>
    </row>
    <row r="5649" spans="1:4" ht="12.75" customHeight="1" x14ac:dyDescent="0.2">
      <c r="A5649" s="21"/>
      <c r="B5649" s="3" t="s">
        <v>0</v>
      </c>
      <c r="C5649" s="23" t="s">
        <v>58</v>
      </c>
      <c r="D5649" s="21"/>
    </row>
    <row r="5650" spans="1:4" ht="12.75" customHeight="1" x14ac:dyDescent="0.2">
      <c r="A5650" s="21"/>
      <c r="B5650" s="3" t="s">
        <v>2</v>
      </c>
      <c r="C5650" s="23"/>
      <c r="D5650" s="21"/>
    </row>
    <row r="5651" spans="1:4" ht="12.75" customHeight="1" x14ac:dyDescent="0.2">
      <c r="A5651" s="21"/>
      <c r="B5651" s="3" t="s">
        <v>1840</v>
      </c>
      <c r="C5651" s="23" t="s">
        <v>926</v>
      </c>
      <c r="D5651" s="21"/>
    </row>
    <row r="5652" spans="1:4" ht="12.75" customHeight="1" x14ac:dyDescent="0.2">
      <c r="A5652" s="21"/>
      <c r="B5652" s="3" t="s">
        <v>9</v>
      </c>
      <c r="C5652" s="23" t="s">
        <v>441</v>
      </c>
      <c r="D5652" s="21"/>
    </row>
    <row r="5653" spans="1:4" ht="12.75" customHeight="1" x14ac:dyDescent="0.2">
      <c r="A5653" s="21"/>
      <c r="B5653" s="3" t="s">
        <v>11</v>
      </c>
      <c r="C5653" s="23" t="s">
        <v>523</v>
      </c>
      <c r="D5653" s="21"/>
    </row>
    <row r="5654" spans="1:4" ht="12.75" customHeight="1" x14ac:dyDescent="0.2">
      <c r="A5654" s="21"/>
      <c r="B5654" s="3" t="s">
        <v>16</v>
      </c>
      <c r="C5654" s="23"/>
      <c r="D5654" s="21"/>
    </row>
    <row r="5655" spans="1:4" ht="12.75" customHeight="1" x14ac:dyDescent="0.2">
      <c r="A5655" s="21"/>
      <c r="B5655" s="3" t="s">
        <v>17</v>
      </c>
      <c r="C5655" s="23" t="s">
        <v>19</v>
      </c>
      <c r="D5655" s="21"/>
    </row>
    <row r="5656" spans="1:4" ht="12.75" customHeight="1" x14ac:dyDescent="0.2">
      <c r="A5656" s="21"/>
      <c r="B5656" s="20" t="s">
        <v>18</v>
      </c>
      <c r="C5656" s="8" t="s">
        <v>44</v>
      </c>
      <c r="D5656" s="1" t="str">
        <f>HYPERLINK("javascript:void(0)","smaragd saru")</f>
        <v>smaragd saru</v>
      </c>
    </row>
    <row r="5657" spans="1:4" ht="12.75" customHeight="1" x14ac:dyDescent="0.2">
      <c r="A5657" s="21"/>
      <c r="B5657" s="21"/>
      <c r="C5657" s="8" t="s">
        <v>232</v>
      </c>
      <c r="D5657" s="1" t="str">
        <f>HYPERLINK("javascript:void(0)","vérrög")</f>
        <v>vérrög</v>
      </c>
    </row>
    <row r="5658" spans="1:4" ht="12.75" customHeight="1" x14ac:dyDescent="0.2">
      <c r="A5658" s="21"/>
      <c r="B5658" s="21"/>
      <c r="C5658" s="8" t="s">
        <v>139</v>
      </c>
      <c r="D5658" s="1" t="str">
        <f>HYPERLINK("javascript:void(0)","vari amulett")</f>
        <v>vari amulett</v>
      </c>
    </row>
    <row r="5659" spans="1:4" ht="12.75" customHeight="1" x14ac:dyDescent="0.2">
      <c r="A5659" s="21"/>
      <c r="B5659" s="2"/>
      <c r="C5659" s="7"/>
      <c r="D5659" s="7"/>
    </row>
    <row r="5660" spans="1:4" ht="12.75" customHeight="1" x14ac:dyDescent="0.2">
      <c r="A5660" s="21"/>
      <c r="B5660" s="2"/>
      <c r="C5660" s="7"/>
      <c r="D5660" s="7"/>
    </row>
    <row r="5661" spans="1:4" ht="12.75" customHeight="1" x14ac:dyDescent="0.2">
      <c r="A5661" s="21"/>
      <c r="B5661" s="2"/>
      <c r="C5661" s="7"/>
      <c r="D5661" s="7"/>
    </row>
    <row r="5662" spans="1:4" ht="12.75" customHeight="1" x14ac:dyDescent="0.2">
      <c r="A5662" s="21"/>
      <c r="B5662" s="2"/>
      <c r="C5662" s="7"/>
      <c r="D5662" s="7"/>
    </row>
    <row r="5663" spans="1:4" ht="12.75" customHeight="1" x14ac:dyDescent="0.2">
      <c r="A5663" s="5"/>
      <c r="B5663" s="2"/>
      <c r="C5663" s="7"/>
      <c r="D5663" s="7"/>
    </row>
    <row r="5664" spans="1:4" ht="12.75" customHeight="1" x14ac:dyDescent="0.2">
      <c r="A5664" s="22" t="str">
        <f>HYPERLINK("javascript:void(0)","csont testpajzs")</f>
        <v>csont testpajzs</v>
      </c>
      <c r="B5664" s="21"/>
      <c r="C5664" s="21"/>
      <c r="D5664" s="21"/>
    </row>
    <row r="5665" spans="1:4" ht="12.75" customHeight="1" x14ac:dyDescent="0.2">
      <c r="A5665" s="20"/>
      <c r="B5665" s="2"/>
      <c r="C5665" s="7"/>
      <c r="D5665" s="7"/>
    </row>
    <row r="5666" spans="1:4" ht="12.75" customHeight="1" x14ac:dyDescent="0.2">
      <c r="A5666" s="21"/>
      <c r="B5666" s="3" t="s">
        <v>0</v>
      </c>
      <c r="C5666" s="23" t="s">
        <v>58</v>
      </c>
      <c r="D5666" s="21"/>
    </row>
    <row r="5667" spans="1:4" ht="12.75" customHeight="1" x14ac:dyDescent="0.2">
      <c r="A5667" s="21"/>
      <c r="B5667" s="3" t="s">
        <v>2</v>
      </c>
      <c r="C5667" s="23" t="s">
        <v>1839</v>
      </c>
      <c r="D5667" s="21"/>
    </row>
    <row r="5668" spans="1:4" ht="12.75" customHeight="1" x14ac:dyDescent="0.2">
      <c r="A5668" s="21"/>
      <c r="B5668" s="3" t="s">
        <v>1840</v>
      </c>
      <c r="C5668" s="23" t="s">
        <v>110</v>
      </c>
      <c r="D5668" s="21"/>
    </row>
    <row r="5669" spans="1:4" ht="12.75" customHeight="1" x14ac:dyDescent="0.2">
      <c r="A5669" s="21"/>
      <c r="B5669" s="3" t="s">
        <v>9</v>
      </c>
      <c r="C5669" s="23" t="s">
        <v>549</v>
      </c>
      <c r="D5669" s="21"/>
    </row>
    <row r="5670" spans="1:4" ht="12.75" customHeight="1" x14ac:dyDescent="0.2">
      <c r="A5670" s="21"/>
      <c r="B5670" s="3" t="s">
        <v>11</v>
      </c>
      <c r="C5670" s="23" t="s">
        <v>603</v>
      </c>
      <c r="D5670" s="21"/>
    </row>
    <row r="5671" spans="1:4" ht="12.75" customHeight="1" x14ac:dyDescent="0.2">
      <c r="A5671" s="21"/>
      <c r="B5671" s="3" t="s">
        <v>16</v>
      </c>
      <c r="C5671" s="23"/>
      <c r="D5671" s="21"/>
    </row>
    <row r="5672" spans="1:4" ht="12.75" customHeight="1" x14ac:dyDescent="0.2">
      <c r="A5672" s="21"/>
      <c r="B5672" s="3" t="s">
        <v>17</v>
      </c>
      <c r="C5672" s="23" t="s">
        <v>19</v>
      </c>
      <c r="D5672" s="21"/>
    </row>
    <row r="5673" spans="1:4" ht="12.75" customHeight="1" x14ac:dyDescent="0.2">
      <c r="A5673" s="21"/>
      <c r="B5673" s="20" t="s">
        <v>18</v>
      </c>
      <c r="C5673" s="8" t="s">
        <v>44</v>
      </c>
      <c r="D5673" s="1" t="str">
        <f>HYPERLINK("javascript:void(0)","öblend testpajzs")</f>
        <v>öblend testpajzs</v>
      </c>
    </row>
    <row r="5674" spans="1:4" ht="12.75" customHeight="1" x14ac:dyDescent="0.2">
      <c r="A5674" s="21"/>
      <c r="B5674" s="21"/>
      <c r="C5674" s="8" t="s">
        <v>382</v>
      </c>
      <c r="D5674" s="1" t="str">
        <f>HYPERLINK("javascript:void(0)","sudár")</f>
        <v>sudár</v>
      </c>
    </row>
    <row r="5675" spans="1:4" ht="12.75" customHeight="1" x14ac:dyDescent="0.2">
      <c r="A5675" s="21"/>
      <c r="B5675" s="21"/>
      <c r="C5675" s="8" t="s">
        <v>77</v>
      </c>
      <c r="D5675" s="1" t="str">
        <f>HYPERLINK("javascript:void(0)","vérrög")</f>
        <v>vérrög</v>
      </c>
    </row>
    <row r="5676" spans="1:4" ht="12.75" customHeight="1" x14ac:dyDescent="0.2">
      <c r="A5676" s="21"/>
      <c r="B5676" s="2"/>
      <c r="C5676" s="7"/>
      <c r="D5676" s="7"/>
    </row>
    <row r="5677" spans="1:4" ht="12.75" customHeight="1" x14ac:dyDescent="0.2">
      <c r="A5677" s="21"/>
      <c r="B5677" s="2"/>
      <c r="C5677" s="7"/>
      <c r="D5677" s="7"/>
    </row>
    <row r="5678" spans="1:4" ht="12.75" customHeight="1" x14ac:dyDescent="0.2">
      <c r="A5678" s="21"/>
      <c r="B5678" s="2"/>
      <c r="C5678" s="7"/>
      <c r="D5678" s="7"/>
    </row>
    <row r="5679" spans="1:4" ht="12.75" customHeight="1" x14ac:dyDescent="0.2">
      <c r="A5679" s="21"/>
      <c r="B5679" s="2"/>
      <c r="C5679" s="7"/>
      <c r="D5679" s="7"/>
    </row>
    <row r="5680" spans="1:4" ht="12.75" customHeight="1" x14ac:dyDescent="0.2">
      <c r="A5680" s="5"/>
      <c r="B5680" s="2"/>
      <c r="C5680" s="7"/>
      <c r="D5680" s="7"/>
    </row>
    <row r="5681" spans="1:4" ht="12.75" customHeight="1" x14ac:dyDescent="0.2">
      <c r="A5681" s="22" t="str">
        <f>HYPERLINK("javascript:void(0)","thordi pillepajzs")</f>
        <v>thordi pillepajzs</v>
      </c>
      <c r="B5681" s="21"/>
      <c r="C5681" s="21"/>
      <c r="D5681" s="21"/>
    </row>
    <row r="5682" spans="1:4" ht="12.75" customHeight="1" x14ac:dyDescent="0.2">
      <c r="A5682" s="20"/>
      <c r="B5682" s="2"/>
      <c r="C5682" s="7"/>
      <c r="D5682" s="7"/>
    </row>
    <row r="5683" spans="1:4" ht="12.75" customHeight="1" x14ac:dyDescent="0.2">
      <c r="A5683" s="21"/>
      <c r="B5683" s="3" t="s">
        <v>0</v>
      </c>
      <c r="C5683" s="23" t="s">
        <v>58</v>
      </c>
      <c r="D5683" s="21"/>
    </row>
    <row r="5684" spans="1:4" ht="12.75" customHeight="1" x14ac:dyDescent="0.2">
      <c r="A5684" s="21"/>
      <c r="B5684" s="3" t="s">
        <v>2</v>
      </c>
      <c r="C5684" s="23" t="s">
        <v>1839</v>
      </c>
      <c r="D5684" s="21"/>
    </row>
    <row r="5685" spans="1:4" ht="12.75" customHeight="1" x14ac:dyDescent="0.2">
      <c r="A5685" s="21"/>
      <c r="B5685" s="3" t="s">
        <v>1840</v>
      </c>
      <c r="C5685" s="23" t="s">
        <v>110</v>
      </c>
      <c r="D5685" s="21"/>
    </row>
    <row r="5686" spans="1:4" ht="12.75" customHeight="1" x14ac:dyDescent="0.2">
      <c r="A5686" s="21"/>
      <c r="B5686" s="3" t="s">
        <v>9</v>
      </c>
      <c r="C5686" s="23" t="s">
        <v>1225</v>
      </c>
      <c r="D5686" s="21"/>
    </row>
    <row r="5687" spans="1:4" ht="12.75" customHeight="1" x14ac:dyDescent="0.2">
      <c r="A5687" s="21"/>
      <c r="B5687" s="3" t="s">
        <v>11</v>
      </c>
      <c r="C5687" s="23" t="s">
        <v>645</v>
      </c>
      <c r="D5687" s="21"/>
    </row>
    <row r="5688" spans="1:4" ht="12.75" customHeight="1" x14ac:dyDescent="0.2">
      <c r="A5688" s="21"/>
      <c r="B5688" s="3" t="s">
        <v>16</v>
      </c>
      <c r="C5688" s="23"/>
      <c r="D5688" s="21"/>
    </row>
    <row r="5689" spans="1:4" ht="12.75" customHeight="1" x14ac:dyDescent="0.2">
      <c r="A5689" s="21"/>
      <c r="B5689" s="3" t="s">
        <v>17</v>
      </c>
      <c r="C5689" s="23" t="s">
        <v>19</v>
      </c>
      <c r="D5689" s="21"/>
    </row>
    <row r="5690" spans="1:4" ht="12.75" customHeight="1" x14ac:dyDescent="0.2">
      <c r="A5690" s="21"/>
      <c r="B5690" s="20" t="s">
        <v>18</v>
      </c>
      <c r="C5690" s="8" t="s">
        <v>44</v>
      </c>
      <c r="D5690" s="1" t="str">
        <f>HYPERLINK("javascript:void(0)","csont testpajzs")</f>
        <v>csont testpajzs</v>
      </c>
    </row>
    <row r="5691" spans="1:4" ht="12.75" customHeight="1" x14ac:dyDescent="0.2">
      <c r="A5691" s="21"/>
      <c r="B5691" s="21"/>
      <c r="C5691" s="8" t="s">
        <v>163</v>
      </c>
      <c r="D5691" s="1" t="str">
        <f>HYPERLINK("javascript:void(0)","vari amulett")</f>
        <v>vari amulett</v>
      </c>
    </row>
    <row r="5692" spans="1:4" ht="12.75" customHeight="1" x14ac:dyDescent="0.2">
      <c r="A5692" s="21"/>
      <c r="B5692" s="21"/>
      <c r="C5692" s="8" t="s">
        <v>117</v>
      </c>
      <c r="D5692" s="1" t="str">
        <f>HYPERLINK("javascript:void(0)","vérrög")</f>
        <v>vérrög</v>
      </c>
    </row>
    <row r="5693" spans="1:4" ht="12.75" customHeight="1" x14ac:dyDescent="0.2">
      <c r="A5693" s="21"/>
      <c r="B5693" s="2"/>
      <c r="C5693" s="7"/>
      <c r="D5693" s="7"/>
    </row>
    <row r="5694" spans="1:4" ht="12.75" customHeight="1" x14ac:dyDescent="0.2">
      <c r="A5694" s="21"/>
      <c r="B5694" s="2"/>
      <c r="C5694" s="7"/>
      <c r="D5694" s="7"/>
    </row>
    <row r="5695" spans="1:4" ht="12.75" customHeight="1" x14ac:dyDescent="0.2">
      <c r="A5695" s="21"/>
      <c r="B5695" s="2"/>
      <c r="C5695" s="7"/>
      <c r="D5695" s="7"/>
    </row>
    <row r="5696" spans="1:4" ht="12.75" customHeight="1" x14ac:dyDescent="0.2">
      <c r="A5696" s="21"/>
      <c r="B5696" s="2"/>
      <c r="C5696" s="7"/>
      <c r="D5696" s="7"/>
    </row>
    <row r="5697" spans="1:4" ht="12.75" customHeight="1" x14ac:dyDescent="0.2">
      <c r="A5697" s="5"/>
      <c r="B5697" s="2"/>
      <c r="C5697" s="7"/>
      <c r="D5697" s="7"/>
    </row>
    <row r="5698" spans="1:4" ht="12.75" customHeight="1" x14ac:dyDescent="0.2">
      <c r="A5698" s="22" t="str">
        <f>HYPERLINK("javascript:void(0)","kithrill előlap")</f>
        <v>kithrill előlap</v>
      </c>
      <c r="B5698" s="21"/>
      <c r="C5698" s="21"/>
      <c r="D5698" s="21"/>
    </row>
    <row r="5699" spans="1:4" ht="12.75" customHeight="1" x14ac:dyDescent="0.2">
      <c r="A5699" s="20"/>
      <c r="B5699" s="2"/>
      <c r="C5699" s="7"/>
      <c r="D5699" s="7"/>
    </row>
    <row r="5700" spans="1:4" ht="12.75" customHeight="1" x14ac:dyDescent="0.2">
      <c r="A5700" s="21"/>
      <c r="B5700" s="3" t="s">
        <v>0</v>
      </c>
      <c r="C5700" s="23" t="s">
        <v>58</v>
      </c>
      <c r="D5700" s="21"/>
    </row>
    <row r="5701" spans="1:4" ht="12.75" customHeight="1" x14ac:dyDescent="0.2">
      <c r="A5701" s="21"/>
      <c r="B5701" s="3" t="s">
        <v>2</v>
      </c>
      <c r="C5701" s="23" t="s">
        <v>2322</v>
      </c>
      <c r="D5701" s="21"/>
    </row>
    <row r="5702" spans="1:4" ht="12.75" customHeight="1" x14ac:dyDescent="0.2">
      <c r="A5702" s="21"/>
      <c r="B5702" s="3" t="s">
        <v>1840</v>
      </c>
      <c r="C5702" s="23" t="s">
        <v>35</v>
      </c>
      <c r="D5702" s="21"/>
    </row>
    <row r="5703" spans="1:4" ht="12.75" customHeight="1" x14ac:dyDescent="0.2">
      <c r="A5703" s="21"/>
      <c r="B5703" s="3" t="s">
        <v>9</v>
      </c>
      <c r="C5703" s="23" t="s">
        <v>79</v>
      </c>
      <c r="D5703" s="21"/>
    </row>
    <row r="5704" spans="1:4" ht="12.75" customHeight="1" x14ac:dyDescent="0.2">
      <c r="A5704" s="21"/>
      <c r="B5704" s="3" t="s">
        <v>11</v>
      </c>
      <c r="C5704" s="23" t="s">
        <v>339</v>
      </c>
      <c r="D5704" s="21"/>
    </row>
    <row r="5705" spans="1:4" ht="12.75" customHeight="1" x14ac:dyDescent="0.2">
      <c r="A5705" s="21"/>
      <c r="B5705" s="3" t="s">
        <v>16</v>
      </c>
      <c r="C5705" s="23"/>
      <c r="D5705" s="21"/>
    </row>
    <row r="5706" spans="1:4" ht="12.75" customHeight="1" x14ac:dyDescent="0.2">
      <c r="A5706" s="21"/>
      <c r="B5706" s="3" t="s">
        <v>17</v>
      </c>
      <c r="C5706" s="23" t="s">
        <v>19</v>
      </c>
      <c r="D5706" s="21"/>
    </row>
    <row r="5707" spans="1:4" ht="12.75" customHeight="1" x14ac:dyDescent="0.2">
      <c r="A5707" s="21"/>
      <c r="B5707" s="20" t="s">
        <v>18</v>
      </c>
      <c r="C5707" s="8" t="s">
        <v>1085</v>
      </c>
      <c r="D5707" s="1" t="str">
        <f>HYPERLINK("javascript:void(0)","kithrill")</f>
        <v>kithrill</v>
      </c>
    </row>
    <row r="5708" spans="1:4" ht="12.75" customHeight="1" x14ac:dyDescent="0.2">
      <c r="A5708" s="21"/>
      <c r="B5708" s="21"/>
      <c r="C5708" s="8" t="s">
        <v>68</v>
      </c>
      <c r="D5708" s="1" t="str">
        <f>HYPERLINK("javascript:void(0)","vérrög")</f>
        <v>vérrög</v>
      </c>
    </row>
    <row r="5709" spans="1:4" ht="12.75" customHeight="1" x14ac:dyDescent="0.2">
      <c r="A5709" s="21"/>
      <c r="B5709" s="21"/>
      <c r="C5709" s="8" t="s">
        <v>98</v>
      </c>
      <c r="D5709" s="1" t="str">
        <f>HYPERLINK("javascript:void(0)","spóra")</f>
        <v>spóra</v>
      </c>
    </row>
    <row r="5710" spans="1:4" ht="12.75" customHeight="1" x14ac:dyDescent="0.2">
      <c r="A5710" s="21"/>
      <c r="B5710" s="2"/>
      <c r="C5710" s="7"/>
      <c r="D5710" s="7"/>
    </row>
    <row r="5711" spans="1:4" ht="12.75" customHeight="1" x14ac:dyDescent="0.2">
      <c r="A5711" s="21"/>
      <c r="B5711" s="2"/>
      <c r="C5711" s="7"/>
      <c r="D5711" s="7"/>
    </row>
    <row r="5712" spans="1:4" ht="12.75" customHeight="1" x14ac:dyDescent="0.2">
      <c r="A5712" s="21"/>
      <c r="B5712" s="2"/>
      <c r="C5712" s="7"/>
      <c r="D5712" s="7"/>
    </row>
    <row r="5713" spans="1:4" ht="12.75" customHeight="1" x14ac:dyDescent="0.2">
      <c r="A5713" s="21"/>
      <c r="B5713" s="2"/>
      <c r="C5713" s="7"/>
      <c r="D5713" s="7"/>
    </row>
    <row r="5714" spans="1:4" ht="12.75" customHeight="1" x14ac:dyDescent="0.2">
      <c r="A5714" s="5"/>
      <c r="B5714" s="2"/>
      <c r="C5714" s="7"/>
      <c r="D5714" s="7"/>
    </row>
    <row r="5715" spans="1:4" ht="12.75" customHeight="1" x14ac:dyDescent="0.2">
      <c r="A5715" s="22" t="str">
        <f>HYPERLINK("javascript:void(0)","kithrill manasisak")</f>
        <v>kithrill manasisak</v>
      </c>
      <c r="B5715" s="21"/>
      <c r="C5715" s="21"/>
      <c r="D5715" s="21"/>
    </row>
    <row r="5716" spans="1:4" ht="12.75" customHeight="1" x14ac:dyDescent="0.2">
      <c r="A5716" s="20"/>
      <c r="B5716" s="2"/>
      <c r="C5716" s="7"/>
      <c r="D5716" s="7"/>
    </row>
    <row r="5717" spans="1:4" ht="12.75" customHeight="1" x14ac:dyDescent="0.2">
      <c r="A5717" s="21"/>
      <c r="B5717" s="3" t="s">
        <v>0</v>
      </c>
      <c r="C5717" s="23" t="s">
        <v>58</v>
      </c>
      <c r="D5717" s="21"/>
    </row>
    <row r="5718" spans="1:4" ht="12.75" customHeight="1" x14ac:dyDescent="0.2">
      <c r="A5718" s="21"/>
      <c r="B5718" s="3" t="s">
        <v>2</v>
      </c>
      <c r="C5718" s="23"/>
      <c r="D5718" s="21"/>
    </row>
    <row r="5719" spans="1:4" ht="12.75" customHeight="1" x14ac:dyDescent="0.2">
      <c r="A5719" s="21"/>
      <c r="B5719" s="3" t="s">
        <v>1840</v>
      </c>
      <c r="C5719" s="23" t="s">
        <v>60</v>
      </c>
      <c r="D5719" s="21"/>
    </row>
    <row r="5720" spans="1:4" ht="12.75" customHeight="1" x14ac:dyDescent="0.2">
      <c r="A5720" s="21"/>
      <c r="B5720" s="3" t="s">
        <v>9</v>
      </c>
      <c r="C5720" s="23" t="s">
        <v>36</v>
      </c>
      <c r="D5720" s="21"/>
    </row>
    <row r="5721" spans="1:4" ht="12.75" customHeight="1" x14ac:dyDescent="0.2">
      <c r="A5721" s="21"/>
      <c r="B5721" s="3" t="s">
        <v>11</v>
      </c>
      <c r="C5721" s="23" t="s">
        <v>329</v>
      </c>
      <c r="D5721" s="21"/>
    </row>
    <row r="5722" spans="1:4" ht="12.75" customHeight="1" x14ac:dyDescent="0.2">
      <c r="A5722" s="21"/>
      <c r="B5722" s="3" t="s">
        <v>16</v>
      </c>
      <c r="C5722" s="23"/>
      <c r="D5722" s="21"/>
    </row>
    <row r="5723" spans="1:4" ht="12.75" customHeight="1" x14ac:dyDescent="0.2">
      <c r="A5723" s="21"/>
      <c r="B5723" s="3" t="s">
        <v>17</v>
      </c>
      <c r="C5723" s="23" t="s">
        <v>19</v>
      </c>
      <c r="D5723" s="21"/>
    </row>
    <row r="5724" spans="1:4" ht="12.75" customHeight="1" x14ac:dyDescent="0.2">
      <c r="A5724" s="21"/>
      <c r="B5724" s="20" t="s">
        <v>18</v>
      </c>
      <c r="C5724" s="8" t="s">
        <v>44</v>
      </c>
      <c r="D5724" s="1" t="str">
        <f>HYPERLINK("javascript:void(0)","diszpro manasisak")</f>
        <v>diszpro manasisak</v>
      </c>
    </row>
    <row r="5725" spans="1:4" ht="12.75" customHeight="1" x14ac:dyDescent="0.2">
      <c r="A5725" s="21"/>
      <c r="B5725" s="21"/>
      <c r="C5725" s="8" t="s">
        <v>68</v>
      </c>
      <c r="D5725" s="1" t="str">
        <f>HYPERLINK("javascript:void(0)","rozsdalap")</f>
        <v>rozsdalap</v>
      </c>
    </row>
    <row r="5726" spans="1:4" ht="12.75" customHeight="1" x14ac:dyDescent="0.2">
      <c r="A5726" s="21"/>
      <c r="B5726" s="21"/>
      <c r="C5726" s="8" t="s">
        <v>117</v>
      </c>
      <c r="D5726" s="1" t="str">
        <f>HYPERLINK("javascript:void(0)","manókoponya")</f>
        <v>manókoponya</v>
      </c>
    </row>
    <row r="5727" spans="1:4" ht="12.75" customHeight="1" x14ac:dyDescent="0.2">
      <c r="A5727" s="21"/>
      <c r="B5727" s="2"/>
      <c r="C5727" s="7"/>
      <c r="D5727" s="7"/>
    </row>
    <row r="5728" spans="1:4" ht="12.75" customHeight="1" x14ac:dyDescent="0.2">
      <c r="A5728" s="21"/>
      <c r="B5728" s="2"/>
      <c r="C5728" s="7"/>
      <c r="D5728" s="7"/>
    </row>
    <row r="5729" spans="1:4" ht="12.75" customHeight="1" x14ac:dyDescent="0.2">
      <c r="A5729" s="21"/>
      <c r="B5729" s="2"/>
      <c r="C5729" s="7"/>
      <c r="D5729" s="7"/>
    </row>
    <row r="5730" spans="1:4" ht="12.75" customHeight="1" x14ac:dyDescent="0.2">
      <c r="A5730" s="21"/>
      <c r="B5730" s="2"/>
      <c r="C5730" s="7"/>
      <c r="D5730" s="7"/>
    </row>
    <row r="5731" spans="1:4" ht="12.75" customHeight="1" x14ac:dyDescent="0.2">
      <c r="A5731" s="5"/>
      <c r="B5731" s="2"/>
      <c r="C5731" s="7"/>
      <c r="D5731" s="7"/>
    </row>
    <row r="5732" spans="1:4" ht="12.75" customHeight="1" x14ac:dyDescent="0.2">
      <c r="A5732" s="22" t="str">
        <f>HYPERLINK("javascript:void(0)","kithrill manafejpánt")</f>
        <v>kithrill manafejpánt</v>
      </c>
      <c r="B5732" s="21"/>
      <c r="C5732" s="21"/>
      <c r="D5732" s="21"/>
    </row>
    <row r="5733" spans="1:4" ht="12.75" customHeight="1" x14ac:dyDescent="0.2">
      <c r="A5733" s="20"/>
      <c r="B5733" s="2"/>
      <c r="C5733" s="7"/>
      <c r="D5733" s="7"/>
    </row>
    <row r="5734" spans="1:4" ht="12.75" customHeight="1" x14ac:dyDescent="0.2">
      <c r="A5734" s="21"/>
      <c r="B5734" s="3" t="s">
        <v>0</v>
      </c>
      <c r="C5734" s="23" t="s">
        <v>58</v>
      </c>
      <c r="D5734" s="21"/>
    </row>
    <row r="5735" spans="1:4" ht="12.75" customHeight="1" x14ac:dyDescent="0.2">
      <c r="A5735" s="21"/>
      <c r="B5735" s="3" t="s">
        <v>2</v>
      </c>
      <c r="C5735" s="23"/>
      <c r="D5735" s="21"/>
    </row>
    <row r="5736" spans="1:4" ht="12.75" customHeight="1" x14ac:dyDescent="0.2">
      <c r="A5736" s="21"/>
      <c r="B5736" s="3" t="s">
        <v>1840</v>
      </c>
      <c r="C5736" s="23" t="s">
        <v>272</v>
      </c>
      <c r="D5736" s="21"/>
    </row>
    <row r="5737" spans="1:4" ht="12.75" customHeight="1" x14ac:dyDescent="0.2">
      <c r="A5737" s="21"/>
      <c r="B5737" s="3" t="s">
        <v>9</v>
      </c>
      <c r="C5737" s="23" t="s">
        <v>93</v>
      </c>
      <c r="D5737" s="21"/>
    </row>
    <row r="5738" spans="1:4" ht="12.75" customHeight="1" x14ac:dyDescent="0.2">
      <c r="A5738" s="21"/>
      <c r="B5738" s="3" t="s">
        <v>11</v>
      </c>
      <c r="C5738" s="23" t="s">
        <v>329</v>
      </c>
      <c r="D5738" s="21"/>
    </row>
    <row r="5739" spans="1:4" ht="12.75" customHeight="1" x14ac:dyDescent="0.2">
      <c r="A5739" s="21"/>
      <c r="B5739" s="3" t="s">
        <v>16</v>
      </c>
      <c r="C5739" s="23"/>
      <c r="D5739" s="21"/>
    </row>
    <row r="5740" spans="1:4" ht="12.75" customHeight="1" x14ac:dyDescent="0.2">
      <c r="A5740" s="21"/>
      <c r="B5740" s="3" t="s">
        <v>17</v>
      </c>
      <c r="C5740" s="23" t="s">
        <v>19</v>
      </c>
      <c r="D5740" s="21"/>
    </row>
    <row r="5741" spans="1:4" ht="12.75" customHeight="1" x14ac:dyDescent="0.2">
      <c r="A5741" s="21"/>
      <c r="B5741" s="20" t="s">
        <v>18</v>
      </c>
      <c r="C5741" s="8" t="s">
        <v>44</v>
      </c>
      <c r="D5741" s="1" t="str">
        <f>HYPERLINK("javascript:void(0)","diszpro manafejpánt")</f>
        <v>diszpro manafejpánt</v>
      </c>
    </row>
    <row r="5742" spans="1:4" ht="12.75" customHeight="1" x14ac:dyDescent="0.2">
      <c r="A5742" s="21"/>
      <c r="B5742" s="21"/>
      <c r="C5742" s="8" t="s">
        <v>68</v>
      </c>
      <c r="D5742" s="1" t="str">
        <f>HYPERLINK("javascript:void(0)","vérrög")</f>
        <v>vérrög</v>
      </c>
    </row>
    <row r="5743" spans="1:4" ht="12.75" customHeight="1" x14ac:dyDescent="0.2">
      <c r="A5743" s="21"/>
      <c r="B5743" s="21"/>
      <c r="C5743" s="8" t="s">
        <v>117</v>
      </c>
      <c r="D5743" s="1" t="str">
        <f>HYPERLINK("javascript:void(0)","istenköröm")</f>
        <v>istenköröm</v>
      </c>
    </row>
    <row r="5744" spans="1:4" ht="12.75" customHeight="1" x14ac:dyDescent="0.2">
      <c r="A5744" s="21"/>
      <c r="B5744" s="2"/>
      <c r="C5744" s="7"/>
      <c r="D5744" s="7"/>
    </row>
    <row r="5745" spans="1:4" ht="12.75" customHeight="1" x14ac:dyDescent="0.2">
      <c r="A5745" s="21"/>
      <c r="B5745" s="2"/>
      <c r="C5745" s="7"/>
      <c r="D5745" s="7"/>
    </row>
    <row r="5746" spans="1:4" ht="12.75" customHeight="1" x14ac:dyDescent="0.2">
      <c r="A5746" s="21"/>
      <c r="B5746" s="2"/>
      <c r="C5746" s="7"/>
      <c r="D5746" s="7"/>
    </row>
    <row r="5747" spans="1:4" ht="12.75" customHeight="1" x14ac:dyDescent="0.2">
      <c r="A5747" s="21"/>
      <c r="B5747" s="2"/>
      <c r="C5747" s="7"/>
      <c r="D5747" s="7"/>
    </row>
    <row r="5748" spans="1:4" ht="12.75" customHeight="1" x14ac:dyDescent="0.2">
      <c r="A5748" s="5"/>
      <c r="B5748" s="2"/>
      <c r="C5748" s="7"/>
      <c r="D5748" s="7"/>
    </row>
    <row r="5749" spans="1:4" ht="12.75" customHeight="1" x14ac:dyDescent="0.2">
      <c r="A5749" s="22" t="str">
        <f>HYPERLINK("javascript:void(0)","diszpro antigrav csizma")</f>
        <v>diszpro antigrav csizma</v>
      </c>
      <c r="B5749" s="21"/>
      <c r="C5749" s="21"/>
      <c r="D5749" s="21"/>
    </row>
    <row r="5750" spans="1:4" ht="12.75" customHeight="1" x14ac:dyDescent="0.2">
      <c r="A5750" s="20"/>
      <c r="B5750" s="2"/>
      <c r="C5750" s="7"/>
      <c r="D5750" s="7"/>
    </row>
    <row r="5751" spans="1:4" ht="12.75" customHeight="1" x14ac:dyDescent="0.2">
      <c r="A5751" s="21"/>
      <c r="B5751" s="3" t="s">
        <v>0</v>
      </c>
      <c r="C5751" s="23" t="s">
        <v>134</v>
      </c>
      <c r="D5751" s="21"/>
    </row>
    <row r="5752" spans="1:4" ht="12.75" customHeight="1" x14ac:dyDescent="0.2">
      <c r="A5752" s="21"/>
      <c r="B5752" s="3" t="s">
        <v>2</v>
      </c>
      <c r="C5752" s="23"/>
      <c r="D5752" s="21"/>
    </row>
    <row r="5753" spans="1:4" ht="12.75" customHeight="1" x14ac:dyDescent="0.2">
      <c r="A5753" s="21"/>
      <c r="B5753" s="3" t="s">
        <v>1840</v>
      </c>
      <c r="C5753" s="23" t="s">
        <v>281</v>
      </c>
      <c r="D5753" s="21"/>
    </row>
    <row r="5754" spans="1:4" ht="12.75" customHeight="1" x14ac:dyDescent="0.2">
      <c r="A5754" s="21"/>
      <c r="B5754" s="3" t="s">
        <v>9</v>
      </c>
      <c r="C5754" s="23" t="s">
        <v>626</v>
      </c>
      <c r="D5754" s="21"/>
    </row>
    <row r="5755" spans="1:4" ht="12.75" customHeight="1" x14ac:dyDescent="0.2">
      <c r="A5755" s="21"/>
      <c r="B5755" s="3" t="s">
        <v>11</v>
      </c>
      <c r="C5755" s="23" t="s">
        <v>23</v>
      </c>
      <c r="D5755" s="21"/>
    </row>
    <row r="5756" spans="1:4" ht="12.75" customHeight="1" x14ac:dyDescent="0.2">
      <c r="A5756" s="21"/>
      <c r="B5756" s="3" t="s">
        <v>16</v>
      </c>
      <c r="C5756" s="23"/>
      <c r="D5756" s="21"/>
    </row>
    <row r="5757" spans="1:4" ht="12.75" customHeight="1" x14ac:dyDescent="0.2">
      <c r="A5757" s="21"/>
      <c r="B5757" s="3" t="s">
        <v>17</v>
      </c>
      <c r="C5757" s="23" t="s">
        <v>19</v>
      </c>
      <c r="D5757" s="21"/>
    </row>
    <row r="5758" spans="1:4" ht="25.5" customHeight="1" x14ac:dyDescent="0.2">
      <c r="A5758" s="21"/>
      <c r="B5758" s="20" t="s">
        <v>18</v>
      </c>
      <c r="C5758" s="8" t="s">
        <v>44</v>
      </c>
      <c r="D5758" s="1" t="str">
        <f>HYPERLINK("javascript:void(0)","gyémánt antigrav csizma")</f>
        <v>gyémánt antigrav csizma</v>
      </c>
    </row>
    <row r="5759" spans="1:4" ht="12.75" customHeight="1" x14ac:dyDescent="0.2">
      <c r="A5759" s="21"/>
      <c r="B5759" s="21"/>
      <c r="C5759" s="8" t="s">
        <v>139</v>
      </c>
      <c r="D5759" s="1" t="str">
        <f>HYPERLINK("javascript:void(0)","űrlap")</f>
        <v>űrlap</v>
      </c>
    </row>
    <row r="5760" spans="1:4" ht="12.75" customHeight="1" x14ac:dyDescent="0.2">
      <c r="A5760" s="21"/>
      <c r="B5760" s="21"/>
      <c r="C5760" s="8" t="s">
        <v>130</v>
      </c>
      <c r="D5760" s="1" t="str">
        <f>HYPERLINK("javascript:void(0)","szemgödör")</f>
        <v>szemgödör</v>
      </c>
    </row>
    <row r="5761" spans="1:4" ht="12.75" customHeight="1" x14ac:dyDescent="0.2">
      <c r="A5761" s="21"/>
      <c r="B5761" s="2"/>
      <c r="C5761" s="7"/>
      <c r="D5761" s="7"/>
    </row>
    <row r="5762" spans="1:4" ht="12.75" customHeight="1" x14ac:dyDescent="0.2">
      <c r="A5762" s="21"/>
      <c r="B5762" s="2"/>
      <c r="C5762" s="7"/>
      <c r="D5762" s="7"/>
    </row>
    <row r="5763" spans="1:4" ht="12.75" customHeight="1" x14ac:dyDescent="0.2">
      <c r="A5763" s="21"/>
      <c r="B5763" s="2"/>
      <c r="C5763" s="7"/>
      <c r="D5763" s="7"/>
    </row>
    <row r="5764" spans="1:4" ht="12.75" customHeight="1" x14ac:dyDescent="0.2">
      <c r="A5764" s="21"/>
      <c r="B5764" s="2"/>
      <c r="C5764" s="7"/>
      <c r="D5764" s="7"/>
    </row>
    <row r="5765" spans="1:4" ht="12.75" customHeight="1" x14ac:dyDescent="0.2">
      <c r="A5765" s="5"/>
      <c r="B5765" s="2"/>
      <c r="C5765" s="7"/>
      <c r="D5765" s="7"/>
    </row>
    <row r="5766" spans="1:4" ht="12.75" customHeight="1" x14ac:dyDescent="0.2">
      <c r="A5766" s="22" t="str">
        <f>HYPERLINK("javascript:void(0)","centro mellvért")</f>
        <v>centro mellvért</v>
      </c>
      <c r="B5766" s="21"/>
      <c r="C5766" s="21"/>
      <c r="D5766" s="21"/>
    </row>
    <row r="5767" spans="1:4" ht="12.75" customHeight="1" x14ac:dyDescent="0.2">
      <c r="A5767" s="20"/>
      <c r="B5767" s="2"/>
      <c r="C5767" s="7"/>
      <c r="D5767" s="7"/>
    </row>
    <row r="5768" spans="1:4" ht="12.75" customHeight="1" x14ac:dyDescent="0.2">
      <c r="A5768" s="21"/>
      <c r="B5768" s="3" t="s">
        <v>0</v>
      </c>
      <c r="C5768" s="23" t="s">
        <v>134</v>
      </c>
      <c r="D5768" s="21"/>
    </row>
    <row r="5769" spans="1:4" ht="12.75" customHeight="1" x14ac:dyDescent="0.2">
      <c r="A5769" s="21"/>
      <c r="B5769" s="3" t="s">
        <v>2</v>
      </c>
      <c r="C5769" s="23" t="s">
        <v>2322</v>
      </c>
      <c r="D5769" s="21"/>
    </row>
    <row r="5770" spans="1:4" ht="12.75" customHeight="1" x14ac:dyDescent="0.2">
      <c r="A5770" s="21"/>
      <c r="B5770" s="3" t="s">
        <v>1840</v>
      </c>
      <c r="C5770" s="23" t="s">
        <v>432</v>
      </c>
      <c r="D5770" s="21"/>
    </row>
    <row r="5771" spans="1:4" ht="12.75" customHeight="1" x14ac:dyDescent="0.2">
      <c r="A5771" s="21"/>
      <c r="B5771" s="3" t="s">
        <v>9</v>
      </c>
      <c r="C5771" s="23" t="s">
        <v>306</v>
      </c>
      <c r="D5771" s="21"/>
    </row>
    <row r="5772" spans="1:4" ht="12.75" customHeight="1" x14ac:dyDescent="0.2">
      <c r="A5772" s="21"/>
      <c r="B5772" s="3" t="s">
        <v>11</v>
      </c>
      <c r="C5772" s="23" t="s">
        <v>514</v>
      </c>
      <c r="D5772" s="21"/>
    </row>
    <row r="5773" spans="1:4" ht="12.75" customHeight="1" x14ac:dyDescent="0.2">
      <c r="A5773" s="21"/>
      <c r="B5773" s="3" t="s">
        <v>16</v>
      </c>
      <c r="C5773" s="23"/>
      <c r="D5773" s="21"/>
    </row>
    <row r="5774" spans="1:4" ht="12.75" customHeight="1" x14ac:dyDescent="0.2">
      <c r="A5774" s="21"/>
      <c r="B5774" s="3" t="s">
        <v>17</v>
      </c>
      <c r="C5774" s="23" t="s">
        <v>19</v>
      </c>
      <c r="D5774" s="21"/>
    </row>
    <row r="5775" spans="1:4" ht="12.75" customHeight="1" x14ac:dyDescent="0.2">
      <c r="A5775" s="21"/>
      <c r="B5775" s="20" t="s">
        <v>18</v>
      </c>
      <c r="C5775" s="8" t="s">
        <v>44</v>
      </c>
      <c r="D5775" s="1" t="str">
        <f>HYPERLINK("javascript:void(0)","kithrill mellvért")</f>
        <v>kithrill mellvért</v>
      </c>
    </row>
    <row r="5776" spans="1:4" ht="12.75" customHeight="1" x14ac:dyDescent="0.2">
      <c r="A5776" s="21"/>
      <c r="B5776" s="21"/>
      <c r="C5776" s="8" t="s">
        <v>163</v>
      </c>
      <c r="D5776" s="1" t="str">
        <f>HYPERLINK("javascript:void(0)","centrolium")</f>
        <v>centrolium</v>
      </c>
    </row>
    <row r="5777" spans="1:4" ht="12.75" customHeight="1" x14ac:dyDescent="0.2">
      <c r="A5777" s="21"/>
      <c r="B5777" s="21"/>
      <c r="C5777" s="8" t="s">
        <v>68</v>
      </c>
      <c r="D5777" s="1" t="str">
        <f>HYPERLINK("javascript:void(0)","űrlap")</f>
        <v>űrlap</v>
      </c>
    </row>
    <row r="5778" spans="1:4" ht="12.75" customHeight="1" x14ac:dyDescent="0.2">
      <c r="A5778" s="21"/>
      <c r="B5778" s="2"/>
      <c r="C5778" s="7"/>
      <c r="D5778" s="7"/>
    </row>
    <row r="5779" spans="1:4" ht="12.75" customHeight="1" x14ac:dyDescent="0.2">
      <c r="A5779" s="21"/>
      <c r="B5779" s="2"/>
      <c r="C5779" s="7"/>
      <c r="D5779" s="7"/>
    </row>
    <row r="5780" spans="1:4" ht="12.75" customHeight="1" x14ac:dyDescent="0.2">
      <c r="A5780" s="21"/>
      <c r="B5780" s="2"/>
      <c r="C5780" s="7"/>
      <c r="D5780" s="7"/>
    </row>
    <row r="5781" spans="1:4" ht="12.75" customHeight="1" x14ac:dyDescent="0.2">
      <c r="A5781" s="21"/>
      <c r="B5781" s="2"/>
      <c r="C5781" s="7"/>
      <c r="D5781" s="7"/>
    </row>
    <row r="5782" spans="1:4" ht="12.75" customHeight="1" x14ac:dyDescent="0.2">
      <c r="A5782" s="5"/>
      <c r="B5782" s="2"/>
      <c r="C5782" s="7"/>
      <c r="D5782" s="7"/>
    </row>
    <row r="5783" spans="1:4" ht="12.75" customHeight="1" x14ac:dyDescent="0.2">
      <c r="A5783" s="22" t="str">
        <f>HYPERLINK("javascript:void(0)","rotorsisak")</f>
        <v>rotorsisak</v>
      </c>
      <c r="B5783" s="21"/>
      <c r="C5783" s="21"/>
      <c r="D5783" s="21"/>
    </row>
    <row r="5784" spans="1:4" ht="12.75" customHeight="1" x14ac:dyDescent="0.2">
      <c r="A5784" s="20"/>
      <c r="B5784" s="2"/>
      <c r="C5784" s="7"/>
      <c r="D5784" s="7"/>
    </row>
    <row r="5785" spans="1:4" ht="12.75" customHeight="1" x14ac:dyDescent="0.2">
      <c r="A5785" s="21"/>
      <c r="B5785" s="3" t="s">
        <v>0</v>
      </c>
      <c r="C5785" s="23" t="s">
        <v>134</v>
      </c>
      <c r="D5785" s="21"/>
    </row>
    <row r="5786" spans="1:4" ht="12.75" customHeight="1" x14ac:dyDescent="0.2">
      <c r="A5786" s="21"/>
      <c r="B5786" s="3" t="s">
        <v>2</v>
      </c>
      <c r="C5786" s="23"/>
      <c r="D5786" s="21"/>
    </row>
    <row r="5787" spans="1:4" ht="12.75" customHeight="1" x14ac:dyDescent="0.2">
      <c r="A5787" s="21"/>
      <c r="B5787" s="3" t="s">
        <v>1840</v>
      </c>
      <c r="C5787" s="23" t="s">
        <v>999</v>
      </c>
      <c r="D5787" s="21"/>
    </row>
    <row r="5788" spans="1:4" ht="12.75" customHeight="1" x14ac:dyDescent="0.2">
      <c r="A5788" s="21"/>
      <c r="B5788" s="3" t="s">
        <v>9</v>
      </c>
      <c r="C5788" s="23" t="s">
        <v>93</v>
      </c>
      <c r="D5788" s="21"/>
    </row>
    <row r="5789" spans="1:4" ht="12.75" customHeight="1" x14ac:dyDescent="0.2">
      <c r="A5789" s="21"/>
      <c r="B5789" s="3" t="s">
        <v>11</v>
      </c>
      <c r="C5789" s="23" t="s">
        <v>514</v>
      </c>
      <c r="D5789" s="21"/>
    </row>
    <row r="5790" spans="1:4" ht="12.75" customHeight="1" x14ac:dyDescent="0.2">
      <c r="A5790" s="21"/>
      <c r="B5790" s="3" t="s">
        <v>16</v>
      </c>
      <c r="C5790" s="23"/>
      <c r="D5790" s="21"/>
    </row>
    <row r="5791" spans="1:4" ht="12.75" customHeight="1" x14ac:dyDescent="0.2">
      <c r="A5791" s="21"/>
      <c r="B5791" s="3" t="s">
        <v>17</v>
      </c>
      <c r="C5791" s="23" t="s">
        <v>19</v>
      </c>
      <c r="D5791" s="21"/>
    </row>
    <row r="5792" spans="1:4" ht="12.75" customHeight="1" x14ac:dyDescent="0.2">
      <c r="A5792" s="21"/>
      <c r="B5792" s="20" t="s">
        <v>18</v>
      </c>
      <c r="C5792" s="8" t="s">
        <v>44</v>
      </c>
      <c r="D5792" s="1" t="str">
        <f>HYPERLINK("javascript:void(0)","rotor sisakdísz")</f>
        <v>rotor sisakdísz</v>
      </c>
    </row>
    <row r="5793" spans="1:4" ht="12.75" customHeight="1" x14ac:dyDescent="0.2">
      <c r="A5793" s="21"/>
      <c r="B5793" s="21"/>
      <c r="C5793" s="8" t="s">
        <v>44</v>
      </c>
      <c r="D5793" s="1" t="str">
        <f>HYPERLINK("javascript:void(0)","artini sisak")</f>
        <v>artini sisak</v>
      </c>
    </row>
    <row r="5794" spans="1:4" ht="12.75" customHeight="1" x14ac:dyDescent="0.2">
      <c r="A5794" s="21"/>
      <c r="B5794" s="21"/>
      <c r="C5794" s="8" t="s">
        <v>44</v>
      </c>
      <c r="D5794" s="1" t="str">
        <f>HYPERLINK("javascript:void(0)","patinás sisak")</f>
        <v>patinás sisak</v>
      </c>
    </row>
    <row r="5795" spans="1:4" ht="12.75" customHeight="1" x14ac:dyDescent="0.2">
      <c r="A5795" s="21"/>
      <c r="B5795" s="2"/>
      <c r="C5795" s="7"/>
      <c r="D5795" s="7"/>
    </row>
    <row r="5796" spans="1:4" ht="12.75" customHeight="1" x14ac:dyDescent="0.2">
      <c r="A5796" s="21"/>
      <c r="B5796" s="2"/>
      <c r="C5796" s="7"/>
      <c r="D5796" s="7"/>
    </row>
    <row r="5797" spans="1:4" ht="12.75" customHeight="1" x14ac:dyDescent="0.2">
      <c r="A5797" s="21"/>
      <c r="B5797" s="2"/>
      <c r="C5797" s="7"/>
      <c r="D5797" s="7"/>
    </row>
    <row r="5798" spans="1:4" ht="12.75" customHeight="1" x14ac:dyDescent="0.2">
      <c r="A5798" s="21"/>
      <c r="B5798" s="2"/>
      <c r="C5798" s="7"/>
      <c r="D5798" s="7"/>
    </row>
    <row r="5799" spans="1:4" ht="12.75" customHeight="1" x14ac:dyDescent="0.2">
      <c r="A5799" s="5"/>
      <c r="B5799" s="2"/>
      <c r="C5799" s="7"/>
      <c r="D5799" s="7"/>
    </row>
    <row r="5800" spans="1:4" ht="12.75" customHeight="1" x14ac:dyDescent="0.2">
      <c r="A5800" s="22" t="str">
        <f>HYPERLINK("javascript:void(0)","gyémánt saru")</f>
        <v>gyémánt saru</v>
      </c>
      <c r="B5800" s="21"/>
      <c r="C5800" s="21"/>
      <c r="D5800" s="21"/>
    </row>
    <row r="5801" spans="1:4" ht="12.75" customHeight="1" x14ac:dyDescent="0.2">
      <c r="A5801" s="20"/>
      <c r="B5801" s="2"/>
      <c r="C5801" s="7"/>
      <c r="D5801" s="7"/>
    </row>
    <row r="5802" spans="1:4" ht="12.75" customHeight="1" x14ac:dyDescent="0.2">
      <c r="A5802" s="21"/>
      <c r="B5802" s="3" t="s">
        <v>0</v>
      </c>
      <c r="C5802" s="23" t="s">
        <v>134</v>
      </c>
      <c r="D5802" s="21"/>
    </row>
    <row r="5803" spans="1:4" ht="12.75" customHeight="1" x14ac:dyDescent="0.2">
      <c r="A5803" s="21"/>
      <c r="B5803" s="3" t="s">
        <v>2</v>
      </c>
      <c r="C5803" s="23"/>
      <c r="D5803" s="21"/>
    </row>
    <row r="5804" spans="1:4" ht="12.75" customHeight="1" x14ac:dyDescent="0.2">
      <c r="A5804" s="21"/>
      <c r="B5804" s="3" t="s">
        <v>1840</v>
      </c>
      <c r="C5804" s="23" t="s">
        <v>953</v>
      </c>
      <c r="D5804" s="21"/>
    </row>
    <row r="5805" spans="1:4" ht="12.75" customHeight="1" x14ac:dyDescent="0.2">
      <c r="A5805" s="21"/>
      <c r="B5805" s="3" t="s">
        <v>9</v>
      </c>
      <c r="C5805" s="23" t="s">
        <v>27</v>
      </c>
      <c r="D5805" s="21"/>
    </row>
    <row r="5806" spans="1:4" ht="12.75" customHeight="1" x14ac:dyDescent="0.2">
      <c r="A5806" s="21"/>
      <c r="B5806" s="3" t="s">
        <v>11</v>
      </c>
      <c r="C5806" s="23" t="s">
        <v>536</v>
      </c>
      <c r="D5806" s="21"/>
    </row>
    <row r="5807" spans="1:4" ht="12.75" customHeight="1" x14ac:dyDescent="0.2">
      <c r="A5807" s="21"/>
      <c r="B5807" s="3" t="s">
        <v>16</v>
      </c>
      <c r="C5807" s="23"/>
      <c r="D5807" s="21"/>
    </row>
    <row r="5808" spans="1:4" ht="12.75" customHeight="1" x14ac:dyDescent="0.2">
      <c r="A5808" s="21"/>
      <c r="B5808" s="3" t="s">
        <v>17</v>
      </c>
      <c r="C5808" s="23" t="s">
        <v>19</v>
      </c>
      <c r="D5808" s="21"/>
    </row>
    <row r="5809" spans="1:4" ht="12.75" customHeight="1" x14ac:dyDescent="0.2">
      <c r="A5809" s="21"/>
      <c r="B5809" s="20" t="s">
        <v>18</v>
      </c>
      <c r="C5809" s="8" t="s">
        <v>67</v>
      </c>
      <c r="D5809" s="1" t="str">
        <f>HYPERLINK("javascript:void(0)","rotorlapát")</f>
        <v>rotorlapát</v>
      </c>
    </row>
    <row r="5810" spans="1:4" ht="12.75" customHeight="1" x14ac:dyDescent="0.2">
      <c r="A5810" s="21"/>
      <c r="B5810" s="21"/>
      <c r="C5810" s="8" t="s">
        <v>67</v>
      </c>
      <c r="D5810" s="1" t="str">
        <f>HYPERLINK("javascript:void(0)","csigaház")</f>
        <v>csigaház</v>
      </c>
    </row>
    <row r="5811" spans="1:4" ht="12.75" customHeight="1" x14ac:dyDescent="0.2">
      <c r="A5811" s="21"/>
      <c r="B5811" s="21"/>
      <c r="C5811" s="8" t="s">
        <v>244</v>
      </c>
      <c r="D5811" s="1" t="str">
        <f>HYPERLINK("javascript:void(0)","göb")</f>
        <v>göb</v>
      </c>
    </row>
    <row r="5812" spans="1:4" ht="12.75" customHeight="1" x14ac:dyDescent="0.2">
      <c r="A5812" s="21"/>
      <c r="B5812" s="2"/>
      <c r="C5812" s="7"/>
      <c r="D5812" s="7"/>
    </row>
    <row r="5813" spans="1:4" ht="12.75" customHeight="1" x14ac:dyDescent="0.2">
      <c r="A5813" s="21"/>
      <c r="B5813" s="2"/>
      <c r="C5813" s="7"/>
      <c r="D5813" s="7"/>
    </row>
    <row r="5814" spans="1:4" ht="12.75" customHeight="1" x14ac:dyDescent="0.2">
      <c r="A5814" s="21"/>
      <c r="B5814" s="2"/>
      <c r="C5814" s="7"/>
      <c r="D5814" s="7"/>
    </row>
    <row r="5815" spans="1:4" ht="12.75" customHeight="1" x14ac:dyDescent="0.2">
      <c r="A5815" s="21"/>
      <c r="B5815" s="2"/>
      <c r="C5815" s="7"/>
      <c r="D5815" s="7"/>
    </row>
    <row r="5816" spans="1:4" ht="12.75" customHeight="1" x14ac:dyDescent="0.2">
      <c r="A5816" s="5"/>
      <c r="B5816" s="2"/>
      <c r="C5816" s="7"/>
      <c r="D5816" s="7"/>
    </row>
    <row r="5817" spans="1:4" ht="12.75" customHeight="1" x14ac:dyDescent="0.2">
      <c r="A5817" s="22" t="str">
        <f>HYPERLINK("javascript:void(0)","rotorpajzs")</f>
        <v>rotorpajzs</v>
      </c>
      <c r="B5817" s="21"/>
      <c r="C5817" s="21"/>
      <c r="D5817" s="21"/>
    </row>
    <row r="5818" spans="1:4" ht="12.75" customHeight="1" x14ac:dyDescent="0.2">
      <c r="A5818" s="20"/>
      <c r="B5818" s="2"/>
      <c r="C5818" s="7"/>
      <c r="D5818" s="7"/>
    </row>
    <row r="5819" spans="1:4" ht="12.75" customHeight="1" x14ac:dyDescent="0.2">
      <c r="A5819" s="21"/>
      <c r="B5819" s="3" t="s">
        <v>0</v>
      </c>
      <c r="C5819" s="23" t="s">
        <v>134</v>
      </c>
      <c r="D5819" s="21"/>
    </row>
    <row r="5820" spans="1:4" ht="12.75" customHeight="1" x14ac:dyDescent="0.2">
      <c r="A5820" s="21"/>
      <c r="B5820" s="3" t="s">
        <v>2</v>
      </c>
      <c r="C5820" s="23" t="s">
        <v>1839</v>
      </c>
      <c r="D5820" s="21"/>
    </row>
    <row r="5821" spans="1:4" ht="12.75" customHeight="1" x14ac:dyDescent="0.2">
      <c r="A5821" s="21"/>
      <c r="B5821" s="3" t="s">
        <v>1840</v>
      </c>
      <c r="C5821" s="23" t="s">
        <v>112</v>
      </c>
      <c r="D5821" s="21"/>
    </row>
    <row r="5822" spans="1:4" ht="12.75" customHeight="1" x14ac:dyDescent="0.2">
      <c r="A5822" s="21"/>
      <c r="B5822" s="3" t="s">
        <v>9</v>
      </c>
      <c r="C5822" s="23" t="s">
        <v>249</v>
      </c>
      <c r="D5822" s="21"/>
    </row>
    <row r="5823" spans="1:4" ht="12.75" customHeight="1" x14ac:dyDescent="0.2">
      <c r="A5823" s="21"/>
      <c r="B5823" s="3" t="s">
        <v>11</v>
      </c>
      <c r="C5823" s="23" t="s">
        <v>625</v>
      </c>
      <c r="D5823" s="21"/>
    </row>
    <row r="5824" spans="1:4" ht="12.75" customHeight="1" x14ac:dyDescent="0.2">
      <c r="A5824" s="21"/>
      <c r="B5824" s="3" t="s">
        <v>16</v>
      </c>
      <c r="C5824" s="23"/>
      <c r="D5824" s="21"/>
    </row>
    <row r="5825" spans="1:4" ht="12.75" customHeight="1" x14ac:dyDescent="0.2">
      <c r="A5825" s="21"/>
      <c r="B5825" s="3" t="s">
        <v>17</v>
      </c>
      <c r="C5825" s="23" t="s">
        <v>19</v>
      </c>
      <c r="D5825" s="21"/>
    </row>
    <row r="5826" spans="1:4" ht="12.75" customHeight="1" x14ac:dyDescent="0.2">
      <c r="A5826" s="21"/>
      <c r="B5826" s="20" t="s">
        <v>18</v>
      </c>
      <c r="C5826" s="8" t="s">
        <v>44</v>
      </c>
      <c r="D5826" s="1" t="str">
        <f>HYPERLINK("javascript:void(0)","csontpajzs")</f>
        <v>csontpajzs</v>
      </c>
    </row>
    <row r="5827" spans="1:4" ht="12.75" customHeight="1" x14ac:dyDescent="0.2">
      <c r="A5827" s="21"/>
      <c r="B5827" s="21"/>
      <c r="C5827" s="8" t="s">
        <v>67</v>
      </c>
      <c r="D5827" s="1" t="str">
        <f>HYPERLINK("javascript:void(0)","rotorlapát")</f>
        <v>rotorlapát</v>
      </c>
    </row>
    <row r="5828" spans="1:4" ht="12.75" customHeight="1" x14ac:dyDescent="0.2">
      <c r="A5828" s="21"/>
      <c r="B5828" s="21"/>
      <c r="C5828" s="8" t="s">
        <v>2005</v>
      </c>
      <c r="D5828" s="1" t="str">
        <f>HYPERLINK("javascript:void(0)","vari amulett")</f>
        <v>vari amulett</v>
      </c>
    </row>
    <row r="5829" spans="1:4" ht="12.75" customHeight="1" x14ac:dyDescent="0.2">
      <c r="A5829" s="21"/>
      <c r="B5829" s="2"/>
      <c r="C5829" s="7"/>
      <c r="D5829" s="7"/>
    </row>
    <row r="5830" spans="1:4" ht="12.75" customHeight="1" x14ac:dyDescent="0.2">
      <c r="A5830" s="21"/>
      <c r="B5830" s="2"/>
      <c r="C5830" s="7"/>
      <c r="D5830" s="7"/>
    </row>
    <row r="5831" spans="1:4" ht="12.75" customHeight="1" x14ac:dyDescent="0.2">
      <c r="A5831" s="21"/>
      <c r="B5831" s="2"/>
      <c r="C5831" s="7"/>
      <c r="D5831" s="7"/>
    </row>
    <row r="5832" spans="1:4" ht="12.75" customHeight="1" x14ac:dyDescent="0.2">
      <c r="A5832" s="21"/>
      <c r="B5832" s="2"/>
      <c r="C5832" s="7"/>
      <c r="D5832" s="7"/>
    </row>
    <row r="5833" spans="1:4" ht="12.75" customHeight="1" x14ac:dyDescent="0.2">
      <c r="A5833" s="5"/>
      <c r="B5833" s="2"/>
      <c r="C5833" s="7"/>
      <c r="D5833" s="7"/>
    </row>
    <row r="5834" spans="1:4" ht="12.75" customHeight="1" x14ac:dyDescent="0.2">
      <c r="A5834" s="22" t="str">
        <f>HYPERLINK("javascript:void(0)","rézveretű illanat")</f>
        <v>rézveretű illanat</v>
      </c>
      <c r="B5834" s="21"/>
      <c r="C5834" s="21"/>
      <c r="D5834" s="21"/>
    </row>
    <row r="5835" spans="1:4" ht="12.75" customHeight="1" x14ac:dyDescent="0.2">
      <c r="A5835" s="20"/>
      <c r="B5835" s="2"/>
      <c r="C5835" s="7"/>
      <c r="D5835" s="7"/>
    </row>
    <row r="5836" spans="1:4" ht="12.75" customHeight="1" x14ac:dyDescent="0.2">
      <c r="A5836" s="21"/>
      <c r="B5836" s="3" t="s">
        <v>0</v>
      </c>
      <c r="C5836" s="23" t="s">
        <v>134</v>
      </c>
      <c r="D5836" s="21"/>
    </row>
    <row r="5837" spans="1:4" ht="12.75" customHeight="1" x14ac:dyDescent="0.2">
      <c r="A5837" s="21"/>
      <c r="B5837" s="3" t="s">
        <v>2</v>
      </c>
      <c r="C5837" s="23" t="s">
        <v>1839</v>
      </c>
      <c r="D5837" s="21"/>
    </row>
    <row r="5838" spans="1:4" ht="12.75" customHeight="1" x14ac:dyDescent="0.2">
      <c r="A5838" s="21"/>
      <c r="B5838" s="3" t="s">
        <v>1840</v>
      </c>
      <c r="C5838" s="23" t="s">
        <v>112</v>
      </c>
      <c r="D5838" s="21"/>
    </row>
    <row r="5839" spans="1:4" ht="12.75" customHeight="1" x14ac:dyDescent="0.2">
      <c r="A5839" s="21"/>
      <c r="B5839" s="3" t="s">
        <v>9</v>
      </c>
      <c r="C5839" s="23" t="s">
        <v>53</v>
      </c>
      <c r="D5839" s="21"/>
    </row>
    <row r="5840" spans="1:4" ht="12.75" customHeight="1" x14ac:dyDescent="0.2">
      <c r="A5840" s="21"/>
      <c r="B5840" s="3" t="s">
        <v>11</v>
      </c>
      <c r="C5840" s="23" t="s">
        <v>660</v>
      </c>
      <c r="D5840" s="21"/>
    </row>
    <row r="5841" spans="1:4" ht="12.75" customHeight="1" x14ac:dyDescent="0.2">
      <c r="A5841" s="21"/>
      <c r="B5841" s="3" t="s">
        <v>16</v>
      </c>
      <c r="C5841" s="23"/>
      <c r="D5841" s="21"/>
    </row>
    <row r="5842" spans="1:4" ht="12.75" customHeight="1" x14ac:dyDescent="0.2">
      <c r="A5842" s="21"/>
      <c r="B5842" s="3" t="s">
        <v>17</v>
      </c>
      <c r="C5842" s="23" t="s">
        <v>19</v>
      </c>
      <c r="D5842" s="21"/>
    </row>
    <row r="5843" spans="1:4" ht="12.75" customHeight="1" x14ac:dyDescent="0.2">
      <c r="A5843" s="21"/>
      <c r="B5843" s="20" t="s">
        <v>18</v>
      </c>
      <c r="C5843" s="8" t="s">
        <v>44</v>
      </c>
      <c r="D5843" s="1" t="str">
        <f>HYPERLINK("javascript:void(0)","rotorpajzs")</f>
        <v>rotorpajzs</v>
      </c>
    </row>
    <row r="5844" spans="1:4" ht="12.75" customHeight="1" x14ac:dyDescent="0.2">
      <c r="A5844" s="21"/>
      <c r="B5844" s="21"/>
      <c r="C5844" s="8" t="s">
        <v>67</v>
      </c>
      <c r="D5844" s="1" t="str">
        <f>HYPERLINK("javascript:void(0)","rézrög")</f>
        <v>rézrög</v>
      </c>
    </row>
    <row r="5845" spans="1:4" ht="12.75" customHeight="1" x14ac:dyDescent="0.2">
      <c r="A5845" s="21"/>
      <c r="B5845" s="21"/>
      <c r="C5845" s="8" t="s">
        <v>117</v>
      </c>
      <c r="D5845" s="1" t="str">
        <f>HYPERLINK("javascript:void(0)","űrlap")</f>
        <v>űrlap</v>
      </c>
    </row>
    <row r="5846" spans="1:4" ht="12.75" customHeight="1" x14ac:dyDescent="0.2">
      <c r="A5846" s="21"/>
      <c r="B5846" s="2"/>
      <c r="C5846" s="7"/>
      <c r="D5846" s="7"/>
    </row>
    <row r="5847" spans="1:4" ht="12.75" customHeight="1" x14ac:dyDescent="0.2">
      <c r="A5847" s="21"/>
      <c r="B5847" s="2"/>
      <c r="C5847" s="7"/>
      <c r="D5847" s="7"/>
    </row>
    <row r="5848" spans="1:4" ht="12.75" customHeight="1" x14ac:dyDescent="0.2">
      <c r="A5848" s="21"/>
      <c r="B5848" s="2"/>
      <c r="C5848" s="7"/>
      <c r="D5848" s="7"/>
    </row>
    <row r="5849" spans="1:4" ht="12.75" customHeight="1" x14ac:dyDescent="0.2">
      <c r="A5849" s="21"/>
      <c r="B5849" s="2"/>
      <c r="C5849" s="7"/>
      <c r="D5849" s="7"/>
    </row>
    <row r="5850" spans="1:4" ht="12.75" customHeight="1" x14ac:dyDescent="0.2">
      <c r="A5850" s="5"/>
      <c r="B5850" s="2"/>
      <c r="C5850" s="7"/>
      <c r="D5850" s="7"/>
    </row>
    <row r="5851" spans="1:4" ht="12.75" customHeight="1" x14ac:dyDescent="0.2">
      <c r="A5851" s="22" t="str">
        <f>HYPERLINK("javascript:void(0)","rotor sisakdísz")</f>
        <v>rotor sisakdísz</v>
      </c>
      <c r="B5851" s="21"/>
      <c r="C5851" s="21"/>
      <c r="D5851" s="21"/>
    </row>
    <row r="5852" spans="1:4" ht="12.75" customHeight="1" x14ac:dyDescent="0.2">
      <c r="A5852" s="20"/>
      <c r="B5852" s="2"/>
      <c r="C5852" s="7"/>
      <c r="D5852" s="7"/>
    </row>
    <row r="5853" spans="1:4" ht="12.75" customHeight="1" x14ac:dyDescent="0.2">
      <c r="A5853" s="21"/>
      <c r="B5853" s="3" t="s">
        <v>0</v>
      </c>
      <c r="C5853" s="23" t="s">
        <v>134</v>
      </c>
      <c r="D5853" s="21"/>
    </row>
    <row r="5854" spans="1:4" ht="12.75" customHeight="1" x14ac:dyDescent="0.2">
      <c r="A5854" s="21"/>
      <c r="B5854" s="3" t="s">
        <v>2</v>
      </c>
      <c r="C5854" s="23" t="s">
        <v>2322</v>
      </c>
      <c r="D5854" s="21"/>
    </row>
    <row r="5855" spans="1:4" ht="12.75" customHeight="1" x14ac:dyDescent="0.2">
      <c r="A5855" s="21"/>
      <c r="B5855" s="3" t="s">
        <v>1840</v>
      </c>
      <c r="C5855" s="23" t="s">
        <v>206</v>
      </c>
      <c r="D5855" s="21"/>
    </row>
    <row r="5856" spans="1:4" ht="12.75" customHeight="1" x14ac:dyDescent="0.2">
      <c r="A5856" s="21"/>
      <c r="B5856" s="3" t="s">
        <v>9</v>
      </c>
      <c r="C5856" s="23" t="s">
        <v>84</v>
      </c>
      <c r="D5856" s="21"/>
    </row>
    <row r="5857" spans="1:4" ht="12.75" customHeight="1" x14ac:dyDescent="0.2">
      <c r="A5857" s="21"/>
      <c r="B5857" s="3" t="s">
        <v>11</v>
      </c>
      <c r="C5857" s="23" t="s">
        <v>368</v>
      </c>
      <c r="D5857" s="21"/>
    </row>
    <row r="5858" spans="1:4" ht="12.75" customHeight="1" x14ac:dyDescent="0.2">
      <c r="A5858" s="21"/>
      <c r="B5858" s="3" t="s">
        <v>16</v>
      </c>
      <c r="C5858" s="23"/>
      <c r="D5858" s="21"/>
    </row>
    <row r="5859" spans="1:4" ht="12.75" customHeight="1" x14ac:dyDescent="0.2">
      <c r="A5859" s="21"/>
      <c r="B5859" s="3" t="s">
        <v>17</v>
      </c>
      <c r="C5859" s="23" t="s">
        <v>19</v>
      </c>
      <c r="D5859" s="21"/>
    </row>
    <row r="5860" spans="1:4" ht="12.75" customHeight="1" x14ac:dyDescent="0.2">
      <c r="A5860" s="21"/>
      <c r="B5860" s="20" t="s">
        <v>18</v>
      </c>
      <c r="C5860" s="8" t="s">
        <v>67</v>
      </c>
      <c r="D5860" s="1" t="str">
        <f>HYPERLINK("javascript:void(0)","rotorlapát")</f>
        <v>rotorlapát</v>
      </c>
    </row>
    <row r="5861" spans="1:4" ht="12.75" customHeight="1" x14ac:dyDescent="0.2">
      <c r="A5861" s="21"/>
      <c r="B5861" s="21"/>
      <c r="C5861" s="8" t="s">
        <v>193</v>
      </c>
      <c r="D5861" s="1" t="str">
        <f>HYPERLINK("javascript:void(0)","sudár")</f>
        <v>sudár</v>
      </c>
    </row>
    <row r="5862" spans="1:4" ht="12.75" customHeight="1" x14ac:dyDescent="0.2">
      <c r="A5862" s="21"/>
      <c r="B5862" s="21"/>
      <c r="C5862" s="8" t="s">
        <v>117</v>
      </c>
      <c r="D5862" s="1" t="str">
        <f>HYPERLINK("javascript:void(0)","malacorr")</f>
        <v>malacorr</v>
      </c>
    </row>
    <row r="5863" spans="1:4" ht="12.75" customHeight="1" x14ac:dyDescent="0.2">
      <c r="A5863" s="21"/>
      <c r="B5863" s="2"/>
      <c r="C5863" s="7"/>
      <c r="D5863" s="7"/>
    </row>
    <row r="5864" spans="1:4" ht="12.75" customHeight="1" x14ac:dyDescent="0.2">
      <c r="A5864" s="21"/>
      <c r="B5864" s="2"/>
      <c r="C5864" s="7"/>
      <c r="D5864" s="7"/>
    </row>
    <row r="5865" spans="1:4" ht="12.75" customHeight="1" x14ac:dyDescent="0.2">
      <c r="A5865" s="21"/>
      <c r="B5865" s="2"/>
      <c r="C5865" s="7"/>
      <c r="D5865" s="7"/>
    </row>
    <row r="5866" spans="1:4" ht="12.75" customHeight="1" x14ac:dyDescent="0.2">
      <c r="A5866" s="21"/>
      <c r="B5866" s="2"/>
      <c r="C5866" s="7"/>
      <c r="D5866" s="7"/>
    </row>
    <row r="5867" spans="1:4" ht="12.75" customHeight="1" x14ac:dyDescent="0.2">
      <c r="A5867" s="5"/>
      <c r="B5867" s="2"/>
      <c r="C5867" s="7"/>
      <c r="D5867" s="7"/>
    </row>
    <row r="5868" spans="1:4" ht="12.75" customHeight="1" x14ac:dyDescent="0.2">
      <c r="A5868" s="22" t="str">
        <f>HYPERLINK("javascript:void(0)","gyíkacél mellvért")</f>
        <v>gyíkacél mellvért</v>
      </c>
      <c r="B5868" s="21"/>
      <c r="C5868" s="21"/>
      <c r="D5868" s="21"/>
    </row>
    <row r="5869" spans="1:4" ht="12.75" customHeight="1" x14ac:dyDescent="0.2">
      <c r="A5869" s="20"/>
      <c r="B5869" s="2"/>
      <c r="C5869" s="7"/>
      <c r="D5869" s="7"/>
    </row>
    <row r="5870" spans="1:4" ht="12.75" customHeight="1" x14ac:dyDescent="0.2">
      <c r="A5870" s="21"/>
      <c r="B5870" s="3" t="s">
        <v>0</v>
      </c>
      <c r="C5870" s="23" t="s">
        <v>134</v>
      </c>
      <c r="D5870" s="21"/>
    </row>
    <row r="5871" spans="1:4" ht="12.75" customHeight="1" x14ac:dyDescent="0.2">
      <c r="A5871" s="21"/>
      <c r="B5871" s="3" t="s">
        <v>2</v>
      </c>
      <c r="C5871" s="23" t="s">
        <v>2322</v>
      </c>
      <c r="D5871" s="21"/>
    </row>
    <row r="5872" spans="1:4" ht="12.75" customHeight="1" x14ac:dyDescent="0.2">
      <c r="A5872" s="21"/>
      <c r="B5872" s="3" t="s">
        <v>1840</v>
      </c>
      <c r="C5872" s="23" t="s">
        <v>399</v>
      </c>
      <c r="D5872" s="21"/>
    </row>
    <row r="5873" spans="1:4" ht="12.75" customHeight="1" x14ac:dyDescent="0.2">
      <c r="A5873" s="21"/>
      <c r="B5873" s="3" t="s">
        <v>9</v>
      </c>
      <c r="C5873" s="23" t="s">
        <v>262</v>
      </c>
      <c r="D5873" s="21"/>
    </row>
    <row r="5874" spans="1:4" ht="12.75" customHeight="1" x14ac:dyDescent="0.2">
      <c r="A5874" s="21"/>
      <c r="B5874" s="3" t="s">
        <v>11</v>
      </c>
      <c r="C5874" s="23" t="s">
        <v>350</v>
      </c>
      <c r="D5874" s="21"/>
    </row>
    <row r="5875" spans="1:4" ht="12.75" customHeight="1" x14ac:dyDescent="0.2">
      <c r="A5875" s="21"/>
      <c r="B5875" s="3" t="s">
        <v>16</v>
      </c>
      <c r="C5875" s="23"/>
      <c r="D5875" s="21"/>
    </row>
    <row r="5876" spans="1:4" ht="12.75" customHeight="1" x14ac:dyDescent="0.2">
      <c r="A5876" s="21"/>
      <c r="B5876" s="3" t="s">
        <v>17</v>
      </c>
      <c r="C5876" s="23" t="s">
        <v>19</v>
      </c>
      <c r="D5876" s="21"/>
    </row>
    <row r="5877" spans="1:4" ht="12.75" customHeight="1" x14ac:dyDescent="0.2">
      <c r="A5877" s="21"/>
      <c r="B5877" s="20" t="s">
        <v>18</v>
      </c>
      <c r="C5877" s="8" t="s">
        <v>1379</v>
      </c>
      <c r="D5877" s="1" t="str">
        <f>HYPERLINK("javascript:void(0)","goblinbatka")</f>
        <v>goblinbatka</v>
      </c>
    </row>
    <row r="5878" spans="1:4" ht="12.75" customHeight="1" x14ac:dyDescent="0.2">
      <c r="A5878" s="21"/>
      <c r="B5878" s="21"/>
      <c r="C5878" s="8" t="s">
        <v>280</v>
      </c>
      <c r="D5878" s="1" t="str">
        <f>HYPERLINK("javascript:void(0)","portgyűrű")</f>
        <v>portgyűrű</v>
      </c>
    </row>
    <row r="5879" spans="1:4" ht="12.75" customHeight="1" x14ac:dyDescent="0.2">
      <c r="A5879" s="21"/>
      <c r="B5879" s="21"/>
      <c r="C5879" s="8" t="s">
        <v>280</v>
      </c>
      <c r="D5879" s="1" t="str">
        <f>HYPERLINK("javascript:void(0)","szent szimbólum")</f>
        <v>szent szimbólum</v>
      </c>
    </row>
    <row r="5880" spans="1:4" ht="12.75" customHeight="1" x14ac:dyDescent="0.2">
      <c r="A5880" s="21"/>
      <c r="B5880" s="2"/>
      <c r="C5880" s="7"/>
      <c r="D5880" s="7"/>
    </row>
    <row r="5881" spans="1:4" ht="12.75" customHeight="1" x14ac:dyDescent="0.2">
      <c r="A5881" s="21"/>
      <c r="B5881" s="2"/>
      <c r="C5881" s="7"/>
      <c r="D5881" s="7"/>
    </row>
    <row r="5882" spans="1:4" ht="12.75" customHeight="1" x14ac:dyDescent="0.2">
      <c r="A5882" s="21"/>
      <c r="B5882" s="2"/>
      <c r="C5882" s="7"/>
      <c r="D5882" s="7"/>
    </row>
    <row r="5883" spans="1:4" ht="12.75" customHeight="1" x14ac:dyDescent="0.2">
      <c r="A5883" s="21"/>
      <c r="B5883" s="2"/>
      <c r="C5883" s="7"/>
      <c r="D5883" s="7"/>
    </row>
    <row r="5884" spans="1:4" ht="12.75" customHeight="1" x14ac:dyDescent="0.2">
      <c r="A5884" s="5"/>
      <c r="B5884" s="2"/>
      <c r="C5884" s="7"/>
      <c r="D5884" s="7"/>
    </row>
    <row r="5885" spans="1:4" ht="12.75" customHeight="1" x14ac:dyDescent="0.2">
      <c r="A5885" s="22" t="str">
        <f>HYPERLINK("javascript:void(0)","radiogöb")</f>
        <v>radiogöb</v>
      </c>
      <c r="B5885" s="21"/>
      <c r="C5885" s="21"/>
      <c r="D5885" s="21"/>
    </row>
    <row r="5886" spans="1:4" ht="12.75" customHeight="1" x14ac:dyDescent="0.2">
      <c r="A5886" s="20"/>
      <c r="B5886" s="2"/>
      <c r="C5886" s="7"/>
      <c r="D5886" s="7"/>
    </row>
    <row r="5887" spans="1:4" ht="12.75" customHeight="1" x14ac:dyDescent="0.2">
      <c r="A5887" s="21"/>
      <c r="B5887" s="3" t="s">
        <v>0</v>
      </c>
      <c r="C5887" s="23" t="s">
        <v>134</v>
      </c>
      <c r="D5887" s="21"/>
    </row>
    <row r="5888" spans="1:4" ht="12.75" customHeight="1" x14ac:dyDescent="0.2">
      <c r="A5888" s="21"/>
      <c r="B5888" s="3" t="s">
        <v>2</v>
      </c>
      <c r="C5888" s="23" t="s">
        <v>1839</v>
      </c>
      <c r="D5888" s="21"/>
    </row>
    <row r="5889" spans="1:4" ht="12.75" customHeight="1" x14ac:dyDescent="0.2">
      <c r="A5889" s="21"/>
      <c r="B5889" s="3" t="s">
        <v>1840</v>
      </c>
      <c r="C5889" s="23" t="s">
        <v>21</v>
      </c>
      <c r="D5889" s="21"/>
    </row>
    <row r="5890" spans="1:4" ht="12.75" customHeight="1" x14ac:dyDescent="0.2">
      <c r="A5890" s="21"/>
      <c r="B5890" s="3" t="s">
        <v>9</v>
      </c>
      <c r="C5890" s="23" t="s">
        <v>1096</v>
      </c>
      <c r="D5890" s="21"/>
    </row>
    <row r="5891" spans="1:4" ht="12.75" customHeight="1" x14ac:dyDescent="0.2">
      <c r="A5891" s="21"/>
      <c r="B5891" s="3" t="s">
        <v>11</v>
      </c>
      <c r="C5891" s="23" t="s">
        <v>162</v>
      </c>
      <c r="D5891" s="21"/>
    </row>
    <row r="5892" spans="1:4" ht="12.75" customHeight="1" x14ac:dyDescent="0.2">
      <c r="A5892" s="21"/>
      <c r="B5892" s="3" t="s">
        <v>16</v>
      </c>
      <c r="C5892" s="23"/>
      <c r="D5892" s="21"/>
    </row>
    <row r="5893" spans="1:4" ht="12.75" customHeight="1" x14ac:dyDescent="0.2">
      <c r="A5893" s="21"/>
      <c r="B5893" s="3" t="s">
        <v>17</v>
      </c>
      <c r="C5893" s="23" t="s">
        <v>19</v>
      </c>
      <c r="D5893" s="21"/>
    </row>
    <row r="5894" spans="1:4" ht="12.75" customHeight="1" x14ac:dyDescent="0.2">
      <c r="A5894" s="21"/>
      <c r="B5894" s="20" t="s">
        <v>18</v>
      </c>
      <c r="C5894" s="8" t="s">
        <v>67</v>
      </c>
      <c r="D5894" s="1" t="str">
        <f>HYPERLINK("javascript:void(0)","radiolium")</f>
        <v>radiolium</v>
      </c>
    </row>
    <row r="5895" spans="1:4" ht="12.75" customHeight="1" x14ac:dyDescent="0.2">
      <c r="A5895" s="21"/>
      <c r="B5895" s="21"/>
      <c r="C5895" s="8" t="s">
        <v>44</v>
      </c>
      <c r="D5895" s="1" t="str">
        <f>HYPERLINK("javascript:void(0)","kompózium")</f>
        <v>kompózium</v>
      </c>
    </row>
    <row r="5896" spans="1:4" ht="12.75" customHeight="1" x14ac:dyDescent="0.2">
      <c r="A5896" s="21"/>
      <c r="B5896" s="21"/>
      <c r="C5896" s="8" t="s">
        <v>139</v>
      </c>
      <c r="D5896" s="1" t="str">
        <f>HYPERLINK("javascript:void(0)","cordionium")</f>
        <v>cordionium</v>
      </c>
    </row>
    <row r="5897" spans="1:4" ht="12.75" customHeight="1" x14ac:dyDescent="0.2">
      <c r="A5897" s="21"/>
      <c r="B5897" s="2"/>
      <c r="C5897" s="7"/>
      <c r="D5897" s="7"/>
    </row>
    <row r="5898" spans="1:4" ht="12.75" customHeight="1" x14ac:dyDescent="0.2">
      <c r="A5898" s="21"/>
      <c r="B5898" s="2"/>
      <c r="C5898" s="7"/>
      <c r="D5898" s="7"/>
    </row>
    <row r="5899" spans="1:4" ht="12.75" customHeight="1" x14ac:dyDescent="0.2">
      <c r="A5899" s="21"/>
      <c r="B5899" s="2"/>
      <c r="C5899" s="7"/>
      <c r="D5899" s="7"/>
    </row>
    <row r="5900" spans="1:4" ht="12.75" customHeight="1" x14ac:dyDescent="0.2">
      <c r="A5900" s="21"/>
      <c r="B5900" s="2"/>
      <c r="C5900" s="7"/>
      <c r="D5900" s="7"/>
    </row>
    <row r="5901" spans="1:4" ht="12.75" customHeight="1" x14ac:dyDescent="0.2">
      <c r="A5901" s="5"/>
      <c r="B5901" s="2"/>
      <c r="C5901" s="7"/>
      <c r="D5901" s="7"/>
    </row>
    <row r="5902" spans="1:4" ht="12.75" customHeight="1" x14ac:dyDescent="0.2">
      <c r="A5902" s="22" t="str">
        <f>HYPERLINK("javascript:void(0)","elemi kisgyűrű")</f>
        <v>elemi kisgyűrű</v>
      </c>
      <c r="B5902" s="21"/>
      <c r="C5902" s="21"/>
      <c r="D5902" s="21"/>
    </row>
    <row r="5903" spans="1:4" ht="12.75" customHeight="1" x14ac:dyDescent="0.2">
      <c r="A5903" s="20"/>
      <c r="B5903" s="2"/>
      <c r="C5903" s="7"/>
      <c r="D5903" s="7"/>
    </row>
    <row r="5904" spans="1:4" ht="12.75" customHeight="1" x14ac:dyDescent="0.2">
      <c r="A5904" s="21"/>
      <c r="B5904" s="3" t="s">
        <v>0</v>
      </c>
      <c r="C5904" s="23" t="s">
        <v>134</v>
      </c>
      <c r="D5904" s="21"/>
    </row>
    <row r="5905" spans="1:4" ht="12.75" customHeight="1" x14ac:dyDescent="0.2">
      <c r="A5905" s="21"/>
      <c r="B5905" s="3" t="s">
        <v>2</v>
      </c>
      <c r="C5905" s="23" t="s">
        <v>1839</v>
      </c>
      <c r="D5905" s="21"/>
    </row>
    <row r="5906" spans="1:4" ht="12.75" customHeight="1" x14ac:dyDescent="0.2">
      <c r="A5906" s="21"/>
      <c r="B5906" s="3" t="s">
        <v>1840</v>
      </c>
      <c r="C5906" s="23" t="s">
        <v>21</v>
      </c>
      <c r="D5906" s="21"/>
    </row>
    <row r="5907" spans="1:4" ht="12.75" customHeight="1" x14ac:dyDescent="0.2">
      <c r="A5907" s="21"/>
      <c r="B5907" s="3" t="s">
        <v>9</v>
      </c>
      <c r="C5907" s="23" t="s">
        <v>42</v>
      </c>
      <c r="D5907" s="21"/>
    </row>
    <row r="5908" spans="1:4" ht="12.75" customHeight="1" x14ac:dyDescent="0.2">
      <c r="A5908" s="21"/>
      <c r="B5908" s="3" t="s">
        <v>11</v>
      </c>
      <c r="C5908" s="23" t="s">
        <v>203</v>
      </c>
      <c r="D5908" s="21"/>
    </row>
    <row r="5909" spans="1:4" ht="12.75" customHeight="1" x14ac:dyDescent="0.2">
      <c r="A5909" s="21"/>
      <c r="B5909" s="3" t="s">
        <v>16</v>
      </c>
      <c r="C5909" s="23"/>
      <c r="D5909" s="21"/>
    </row>
    <row r="5910" spans="1:4" ht="12.75" customHeight="1" x14ac:dyDescent="0.2">
      <c r="A5910" s="21"/>
      <c r="B5910" s="3" t="s">
        <v>17</v>
      </c>
      <c r="C5910" s="23" t="s">
        <v>19</v>
      </c>
      <c r="D5910" s="21"/>
    </row>
    <row r="5911" spans="1:4" ht="12.75" customHeight="1" x14ac:dyDescent="0.2">
      <c r="A5911" s="21"/>
      <c r="B5911" s="20" t="s">
        <v>18</v>
      </c>
      <c r="C5911" s="8" t="s">
        <v>139</v>
      </c>
      <c r="D5911" s="1" t="str">
        <f>HYPERLINK("javascript:void(0)","elementál eszencia")</f>
        <v>elementál eszencia</v>
      </c>
    </row>
    <row r="5912" spans="1:4" ht="12.75" customHeight="1" x14ac:dyDescent="0.2">
      <c r="A5912" s="21"/>
      <c r="B5912" s="21"/>
      <c r="C5912" s="8" t="s">
        <v>67</v>
      </c>
      <c r="D5912" s="1" t="str">
        <f>HYPERLINK("javascript:void(0)","hidegige")</f>
        <v>hidegige</v>
      </c>
    </row>
    <row r="5913" spans="1:4" ht="12.75" customHeight="1" x14ac:dyDescent="0.2">
      <c r="A5913" s="21"/>
      <c r="B5913" s="21"/>
      <c r="C5913" s="8" t="s">
        <v>67</v>
      </c>
      <c r="D5913" s="1" t="str">
        <f>HYPERLINK("javascript:void(0)","melegige")</f>
        <v>melegige</v>
      </c>
    </row>
    <row r="5914" spans="1:4" ht="12.75" customHeight="1" x14ac:dyDescent="0.2">
      <c r="A5914" s="21"/>
      <c r="B5914" s="2"/>
      <c r="C5914" s="7"/>
      <c r="D5914" s="7"/>
    </row>
    <row r="5915" spans="1:4" ht="12.75" customHeight="1" x14ac:dyDescent="0.2">
      <c r="A5915" s="21"/>
      <c r="B5915" s="2"/>
      <c r="C5915" s="7"/>
      <c r="D5915" s="7"/>
    </row>
    <row r="5916" spans="1:4" ht="12.75" customHeight="1" x14ac:dyDescent="0.2">
      <c r="A5916" s="21"/>
      <c r="B5916" s="2"/>
      <c r="C5916" s="7"/>
      <c r="D5916" s="7"/>
    </row>
    <row r="5917" spans="1:4" ht="12.75" customHeight="1" x14ac:dyDescent="0.2">
      <c r="A5917" s="21"/>
      <c r="B5917" s="2"/>
      <c r="C5917" s="7"/>
      <c r="D5917" s="7"/>
    </row>
    <row r="5918" spans="1:4" ht="12.75" customHeight="1" x14ac:dyDescent="0.2">
      <c r="A5918" s="5"/>
      <c r="B5918" s="2"/>
      <c r="C5918" s="7"/>
      <c r="D5918" s="7"/>
    </row>
    <row r="5919" spans="1:4" ht="12.75" customHeight="1" x14ac:dyDescent="0.2">
      <c r="A5919" s="22" t="str">
        <f>HYPERLINK("javascript:void(0)","elemi gyűrűtűz")</f>
        <v>elemi gyűrűtűz</v>
      </c>
      <c r="B5919" s="21"/>
      <c r="C5919" s="21"/>
      <c r="D5919" s="21"/>
    </row>
    <row r="5920" spans="1:4" ht="12.75" customHeight="1" x14ac:dyDescent="0.2">
      <c r="A5920" s="20"/>
      <c r="B5920" s="2"/>
      <c r="C5920" s="7"/>
      <c r="D5920" s="7"/>
    </row>
    <row r="5921" spans="1:4" ht="12.75" customHeight="1" x14ac:dyDescent="0.2">
      <c r="A5921" s="21"/>
      <c r="B5921" s="3" t="s">
        <v>0</v>
      </c>
      <c r="C5921" s="23" t="s">
        <v>134</v>
      </c>
      <c r="D5921" s="21"/>
    </row>
    <row r="5922" spans="1:4" ht="12.75" customHeight="1" x14ac:dyDescent="0.2">
      <c r="A5922" s="21"/>
      <c r="B5922" s="3" t="s">
        <v>2</v>
      </c>
      <c r="C5922" s="23" t="s">
        <v>1839</v>
      </c>
      <c r="D5922" s="21"/>
    </row>
    <row r="5923" spans="1:4" ht="12.75" customHeight="1" x14ac:dyDescent="0.2">
      <c r="A5923" s="21"/>
      <c r="B5923" s="3" t="s">
        <v>1840</v>
      </c>
      <c r="C5923" s="23" t="s">
        <v>21</v>
      </c>
      <c r="D5923" s="21"/>
    </row>
    <row r="5924" spans="1:4" ht="12.75" customHeight="1" x14ac:dyDescent="0.2">
      <c r="A5924" s="21"/>
      <c r="B5924" s="3" t="s">
        <v>9</v>
      </c>
      <c r="C5924" s="23" t="s">
        <v>704</v>
      </c>
      <c r="D5924" s="21"/>
    </row>
    <row r="5925" spans="1:4" ht="12.75" customHeight="1" x14ac:dyDescent="0.2">
      <c r="A5925" s="21"/>
      <c r="B5925" s="3" t="s">
        <v>11</v>
      </c>
      <c r="C5925" s="23" t="s">
        <v>203</v>
      </c>
      <c r="D5925" s="21"/>
    </row>
    <row r="5926" spans="1:4" ht="12.75" customHeight="1" x14ac:dyDescent="0.2">
      <c r="A5926" s="21"/>
      <c r="B5926" s="3" t="s">
        <v>16</v>
      </c>
      <c r="C5926" s="23"/>
      <c r="D5926" s="21"/>
    </row>
    <row r="5927" spans="1:4" ht="12.75" customHeight="1" x14ac:dyDescent="0.2">
      <c r="A5927" s="21"/>
      <c r="B5927" s="3" t="s">
        <v>17</v>
      </c>
      <c r="C5927" s="23" t="s">
        <v>19</v>
      </c>
      <c r="D5927" s="21"/>
    </row>
    <row r="5928" spans="1:4" ht="12.75" customHeight="1" x14ac:dyDescent="0.2">
      <c r="A5928" s="21"/>
      <c r="B5928" s="20" t="s">
        <v>18</v>
      </c>
      <c r="C5928" s="8" t="s">
        <v>163</v>
      </c>
      <c r="D5928" s="1" t="str">
        <f>HYPERLINK("javascript:void(0)","tűzige")</f>
        <v>tűzige</v>
      </c>
    </row>
    <row r="5929" spans="1:4" ht="12.75" customHeight="1" x14ac:dyDescent="0.2">
      <c r="A5929" s="21"/>
      <c r="B5929" s="21"/>
      <c r="C5929" s="8" t="s">
        <v>139</v>
      </c>
      <c r="D5929" s="1" t="str">
        <f>HYPERLINK("javascript:void(0)","varázsige")</f>
        <v>varázsige</v>
      </c>
    </row>
    <row r="5930" spans="1:4" ht="12.75" customHeight="1" x14ac:dyDescent="0.2">
      <c r="A5930" s="21"/>
      <c r="B5930" s="21"/>
      <c r="C5930" s="8" t="s">
        <v>139</v>
      </c>
      <c r="D5930" s="1" t="str">
        <f>HYPERLINK("javascript:void(0)","kompózium")</f>
        <v>kompózium</v>
      </c>
    </row>
    <row r="5931" spans="1:4" ht="12.75" customHeight="1" x14ac:dyDescent="0.2">
      <c r="A5931" s="21"/>
      <c r="B5931" s="2"/>
      <c r="C5931" s="7"/>
      <c r="D5931" s="7"/>
    </row>
    <row r="5932" spans="1:4" ht="12.75" customHeight="1" x14ac:dyDescent="0.2">
      <c r="A5932" s="21"/>
      <c r="B5932" s="2"/>
      <c r="C5932" s="7"/>
      <c r="D5932" s="7"/>
    </row>
    <row r="5933" spans="1:4" ht="12.75" customHeight="1" x14ac:dyDescent="0.2">
      <c r="A5933" s="21"/>
      <c r="B5933" s="2"/>
      <c r="C5933" s="7"/>
      <c r="D5933" s="7"/>
    </row>
    <row r="5934" spans="1:4" ht="12.75" customHeight="1" x14ac:dyDescent="0.2">
      <c r="A5934" s="21"/>
      <c r="B5934" s="2"/>
      <c r="C5934" s="7"/>
      <c r="D5934" s="7"/>
    </row>
    <row r="5935" spans="1:4" ht="12.75" customHeight="1" x14ac:dyDescent="0.2">
      <c r="A5935" s="5"/>
      <c r="B5935" s="2"/>
      <c r="C5935" s="7"/>
      <c r="D5935" s="7"/>
    </row>
    <row r="5936" spans="1:4" ht="12.75" customHeight="1" x14ac:dyDescent="0.2">
      <c r="A5936" s="22" t="str">
        <f>HYPERLINK("javascript:void(0)","elementálgyűrű")</f>
        <v>elementálgyűrű</v>
      </c>
      <c r="B5936" s="21"/>
      <c r="C5936" s="21"/>
      <c r="D5936" s="21"/>
    </row>
    <row r="5937" spans="1:4" ht="12.75" customHeight="1" x14ac:dyDescent="0.2">
      <c r="A5937" s="20"/>
      <c r="B5937" s="2"/>
      <c r="C5937" s="7"/>
      <c r="D5937" s="7"/>
    </row>
    <row r="5938" spans="1:4" ht="12.75" customHeight="1" x14ac:dyDescent="0.2">
      <c r="A5938" s="21"/>
      <c r="B5938" s="3" t="s">
        <v>0</v>
      </c>
      <c r="C5938" s="23" t="s">
        <v>134</v>
      </c>
      <c r="D5938" s="21"/>
    </row>
    <row r="5939" spans="1:4" ht="12.75" customHeight="1" x14ac:dyDescent="0.2">
      <c r="A5939" s="21"/>
      <c r="B5939" s="3" t="s">
        <v>2</v>
      </c>
      <c r="C5939" s="23" t="s">
        <v>1839</v>
      </c>
      <c r="D5939" s="21"/>
    </row>
    <row r="5940" spans="1:4" ht="12.75" customHeight="1" x14ac:dyDescent="0.2">
      <c r="A5940" s="21"/>
      <c r="B5940" s="3" t="s">
        <v>1840</v>
      </c>
      <c r="C5940" s="23" t="s">
        <v>107</v>
      </c>
      <c r="D5940" s="21"/>
    </row>
    <row r="5941" spans="1:4" ht="12.75" customHeight="1" x14ac:dyDescent="0.2">
      <c r="A5941" s="21"/>
      <c r="B5941" s="3" t="s">
        <v>9</v>
      </c>
      <c r="C5941" s="23" t="s">
        <v>10</v>
      </c>
      <c r="D5941" s="21"/>
    </row>
    <row r="5942" spans="1:4" ht="12.75" customHeight="1" x14ac:dyDescent="0.2">
      <c r="A5942" s="21"/>
      <c r="B5942" s="3" t="s">
        <v>11</v>
      </c>
      <c r="C5942" s="23" t="s">
        <v>835</v>
      </c>
      <c r="D5942" s="21"/>
    </row>
    <row r="5943" spans="1:4" ht="12.75" customHeight="1" x14ac:dyDescent="0.2">
      <c r="A5943" s="21"/>
      <c r="B5943" s="3" t="s">
        <v>16</v>
      </c>
      <c r="C5943" s="23"/>
      <c r="D5943" s="21"/>
    </row>
    <row r="5944" spans="1:4" ht="12.75" customHeight="1" x14ac:dyDescent="0.2">
      <c r="A5944" s="21"/>
      <c r="B5944" s="3" t="s">
        <v>17</v>
      </c>
      <c r="C5944" s="23" t="s">
        <v>19</v>
      </c>
      <c r="D5944" s="21"/>
    </row>
    <row r="5945" spans="1:4" ht="12.75" customHeight="1" x14ac:dyDescent="0.2">
      <c r="A5945" s="21"/>
      <c r="B5945" s="20" t="s">
        <v>18</v>
      </c>
      <c r="C5945" s="8" t="s">
        <v>44</v>
      </c>
      <c r="D5945" s="1" t="str">
        <f>HYPERLINK("javascript:void(0)","elemi kisgyűrű")</f>
        <v>elemi kisgyűrű</v>
      </c>
    </row>
    <row r="5946" spans="1:4" ht="12.75" customHeight="1" x14ac:dyDescent="0.2">
      <c r="A5946" s="21"/>
      <c r="B5946" s="21"/>
      <c r="C5946" s="8" t="s">
        <v>55</v>
      </c>
      <c r="D5946" s="1" t="str">
        <f>HYPERLINK("javascript:void(0)","kincsgúla")</f>
        <v>kincsgúla</v>
      </c>
    </row>
    <row r="5947" spans="1:4" ht="12.75" customHeight="1" x14ac:dyDescent="0.2">
      <c r="A5947" s="21"/>
      <c r="B5947" s="21"/>
      <c r="C5947" s="8" t="s">
        <v>44</v>
      </c>
      <c r="D5947" s="1" t="str">
        <f>HYPERLINK("javascript:void(0)","elemi gyűrűtűz")</f>
        <v>elemi gyűrűtűz</v>
      </c>
    </row>
    <row r="5948" spans="1:4" ht="12.75" customHeight="1" x14ac:dyDescent="0.2">
      <c r="A5948" s="21"/>
      <c r="B5948" s="2"/>
      <c r="C5948" s="7"/>
      <c r="D5948" s="7"/>
    </row>
    <row r="5949" spans="1:4" ht="12.75" customHeight="1" x14ac:dyDescent="0.2">
      <c r="A5949" s="21"/>
      <c r="B5949" s="2"/>
      <c r="C5949" s="7"/>
      <c r="D5949" s="7"/>
    </row>
    <row r="5950" spans="1:4" ht="12.75" customHeight="1" x14ac:dyDescent="0.2">
      <c r="A5950" s="21"/>
      <c r="B5950" s="2"/>
      <c r="C5950" s="7"/>
      <c r="D5950" s="7"/>
    </row>
    <row r="5951" spans="1:4" ht="12.75" customHeight="1" x14ac:dyDescent="0.2">
      <c r="A5951" s="21"/>
      <c r="B5951" s="2"/>
      <c r="C5951" s="7"/>
      <c r="D5951" s="7"/>
    </row>
    <row r="5952" spans="1:4" ht="12.75" customHeight="1" x14ac:dyDescent="0.2">
      <c r="A5952" s="5"/>
      <c r="B5952" s="2"/>
      <c r="C5952" s="7"/>
      <c r="D5952" s="7"/>
    </row>
    <row r="5953" spans="1:4" ht="12.75" customHeight="1" x14ac:dyDescent="0.2">
      <c r="A5953" s="22" t="str">
        <f>HYPERLINK("javascript:void(0)","kerek csillámpajzs")</f>
        <v>kerek csillámpajzs</v>
      </c>
      <c r="B5953" s="21"/>
      <c r="C5953" s="21"/>
      <c r="D5953" s="21"/>
    </row>
    <row r="5954" spans="1:4" ht="12.75" customHeight="1" x14ac:dyDescent="0.2">
      <c r="A5954" s="20"/>
      <c r="B5954" s="2"/>
      <c r="C5954" s="7"/>
      <c r="D5954" s="7"/>
    </row>
    <row r="5955" spans="1:4" ht="12.75" customHeight="1" x14ac:dyDescent="0.2">
      <c r="A5955" s="21"/>
      <c r="B5955" s="3" t="s">
        <v>0</v>
      </c>
      <c r="C5955" s="23" t="s">
        <v>134</v>
      </c>
      <c r="D5955" s="21"/>
    </row>
    <row r="5956" spans="1:4" ht="12.75" customHeight="1" x14ac:dyDescent="0.2">
      <c r="A5956" s="21"/>
      <c r="B5956" s="3" t="s">
        <v>2</v>
      </c>
      <c r="C5956" s="23" t="s">
        <v>1839</v>
      </c>
      <c r="D5956" s="21"/>
    </row>
    <row r="5957" spans="1:4" ht="12.75" customHeight="1" x14ac:dyDescent="0.2">
      <c r="A5957" s="21"/>
      <c r="B5957" s="3" t="s">
        <v>1840</v>
      </c>
      <c r="C5957" s="23" t="s">
        <v>1230</v>
      </c>
      <c r="D5957" s="21"/>
    </row>
    <row r="5958" spans="1:4" ht="12.75" customHeight="1" x14ac:dyDescent="0.2">
      <c r="A5958" s="21"/>
      <c r="B5958" s="3" t="s">
        <v>9</v>
      </c>
      <c r="C5958" s="23" t="s">
        <v>233</v>
      </c>
      <c r="D5958" s="21"/>
    </row>
    <row r="5959" spans="1:4" ht="12.75" customHeight="1" x14ac:dyDescent="0.2">
      <c r="A5959" s="21"/>
      <c r="B5959" s="3" t="s">
        <v>11</v>
      </c>
      <c r="C5959" s="23" t="s">
        <v>625</v>
      </c>
      <c r="D5959" s="21"/>
    </row>
    <row r="5960" spans="1:4" ht="12.75" customHeight="1" x14ac:dyDescent="0.2">
      <c r="A5960" s="21"/>
      <c r="B5960" s="3" t="s">
        <v>16</v>
      </c>
      <c r="C5960" s="23"/>
      <c r="D5960" s="21"/>
    </row>
    <row r="5961" spans="1:4" ht="12.75" customHeight="1" x14ac:dyDescent="0.2">
      <c r="A5961" s="21"/>
      <c r="B5961" s="3" t="s">
        <v>17</v>
      </c>
      <c r="C5961" s="23" t="s">
        <v>19</v>
      </c>
      <c r="D5961" s="21"/>
    </row>
    <row r="5962" spans="1:4" ht="12.75" customHeight="1" x14ac:dyDescent="0.2">
      <c r="A5962" s="21"/>
      <c r="B5962" s="20" t="s">
        <v>18</v>
      </c>
      <c r="C5962" s="8" t="s">
        <v>57</v>
      </c>
      <c r="D5962" s="1" t="str">
        <f>HYPERLINK("javascript:void(0)","csillámgöb")</f>
        <v>csillámgöb</v>
      </c>
    </row>
    <row r="5963" spans="1:4" ht="12.75" customHeight="1" x14ac:dyDescent="0.2">
      <c r="A5963" s="21"/>
      <c r="B5963" s="21"/>
      <c r="C5963" s="8" t="s">
        <v>44</v>
      </c>
      <c r="D5963" s="1" t="str">
        <f>HYPERLINK("javascript:void(0)","nagy csillámpajzs")</f>
        <v>nagy csillámpajzs</v>
      </c>
    </row>
    <row r="5964" spans="1:4" ht="12.75" customHeight="1" x14ac:dyDescent="0.2">
      <c r="A5964" s="21"/>
      <c r="B5964" s="21"/>
      <c r="C5964" s="8" t="s">
        <v>44</v>
      </c>
      <c r="D5964" s="1" t="str">
        <f>HYPERLINK("javascript:void(0)","gyémánt testpajzs")</f>
        <v>gyémánt testpajzs</v>
      </c>
    </row>
    <row r="5965" spans="1:4" ht="12.75" customHeight="1" x14ac:dyDescent="0.2">
      <c r="A5965" s="21"/>
      <c r="B5965" s="2"/>
      <c r="C5965" s="7"/>
      <c r="D5965" s="7"/>
    </row>
    <row r="5966" spans="1:4" ht="12.75" customHeight="1" x14ac:dyDescent="0.2">
      <c r="A5966" s="21"/>
      <c r="B5966" s="2"/>
      <c r="C5966" s="7"/>
      <c r="D5966" s="7"/>
    </row>
    <row r="5967" spans="1:4" ht="12.75" customHeight="1" x14ac:dyDescent="0.2">
      <c r="A5967" s="21"/>
      <c r="B5967" s="2"/>
      <c r="C5967" s="7"/>
      <c r="D5967" s="7"/>
    </row>
    <row r="5968" spans="1:4" ht="12.75" customHeight="1" x14ac:dyDescent="0.2">
      <c r="A5968" s="21"/>
      <c r="B5968" s="2"/>
      <c r="C5968" s="7"/>
      <c r="D5968" s="7"/>
    </row>
    <row r="5969" spans="1:4" ht="12.75" customHeight="1" x14ac:dyDescent="0.2">
      <c r="A5969" s="5"/>
      <c r="B5969" s="2"/>
      <c r="C5969" s="7"/>
      <c r="D5969" s="7"/>
    </row>
    <row r="5970" spans="1:4" ht="12.75" customHeight="1" x14ac:dyDescent="0.2">
      <c r="A5970" s="22" t="str">
        <f>HYPERLINK("javascript:void(0)","csillámcsizma")</f>
        <v>csillámcsizma</v>
      </c>
      <c r="B5970" s="21"/>
      <c r="C5970" s="21"/>
      <c r="D5970" s="21"/>
    </row>
    <row r="5971" spans="1:4" ht="12.75" customHeight="1" x14ac:dyDescent="0.2">
      <c r="A5971" s="20"/>
      <c r="B5971" s="2"/>
      <c r="C5971" s="7"/>
      <c r="D5971" s="7"/>
    </row>
    <row r="5972" spans="1:4" ht="12.75" customHeight="1" x14ac:dyDescent="0.2">
      <c r="A5972" s="21"/>
      <c r="B5972" s="3" t="s">
        <v>0</v>
      </c>
      <c r="C5972" s="23" t="s">
        <v>134</v>
      </c>
      <c r="D5972" s="21"/>
    </row>
    <row r="5973" spans="1:4" ht="12.75" customHeight="1" x14ac:dyDescent="0.2">
      <c r="A5973" s="21"/>
      <c r="B5973" s="3" t="s">
        <v>2</v>
      </c>
      <c r="C5973" s="23"/>
      <c r="D5973" s="21"/>
    </row>
    <row r="5974" spans="1:4" ht="12.75" customHeight="1" x14ac:dyDescent="0.2">
      <c r="A5974" s="21"/>
      <c r="B5974" s="3" t="s">
        <v>1840</v>
      </c>
      <c r="C5974" s="23" t="s">
        <v>99</v>
      </c>
      <c r="D5974" s="21"/>
    </row>
    <row r="5975" spans="1:4" ht="12.75" customHeight="1" x14ac:dyDescent="0.2">
      <c r="A5975" s="21"/>
      <c r="B5975" s="3" t="s">
        <v>9</v>
      </c>
      <c r="C5975" s="23" t="s">
        <v>1986</v>
      </c>
      <c r="D5975" s="21"/>
    </row>
    <row r="5976" spans="1:4" ht="12.75" customHeight="1" x14ac:dyDescent="0.2">
      <c r="A5976" s="21"/>
      <c r="B5976" s="3" t="s">
        <v>11</v>
      </c>
      <c r="C5976" s="23" t="s">
        <v>536</v>
      </c>
      <c r="D5976" s="21"/>
    </row>
    <row r="5977" spans="1:4" ht="12.75" customHeight="1" x14ac:dyDescent="0.2">
      <c r="A5977" s="21"/>
      <c r="B5977" s="3" t="s">
        <v>16</v>
      </c>
      <c r="C5977" s="23"/>
      <c r="D5977" s="21"/>
    </row>
    <row r="5978" spans="1:4" ht="12.75" customHeight="1" x14ac:dyDescent="0.2">
      <c r="A5978" s="21"/>
      <c r="B5978" s="3" t="s">
        <v>17</v>
      </c>
      <c r="C5978" s="23" t="s">
        <v>19</v>
      </c>
      <c r="D5978" s="21"/>
    </row>
    <row r="5979" spans="1:4" ht="12.75" customHeight="1" x14ac:dyDescent="0.2">
      <c r="A5979" s="21"/>
      <c r="B5979" s="20" t="s">
        <v>18</v>
      </c>
      <c r="C5979" s="8" t="s">
        <v>57</v>
      </c>
      <c r="D5979" s="1" t="str">
        <f>HYPERLINK("javascript:void(0)","csillámgöb")</f>
        <v>csillámgöb</v>
      </c>
    </row>
    <row r="5980" spans="1:4" ht="12.75" customHeight="1" x14ac:dyDescent="0.2">
      <c r="A5980" s="21"/>
      <c r="B5980" s="21"/>
      <c r="C5980" s="8" t="s">
        <v>44</v>
      </c>
      <c r="D5980" s="1" t="str">
        <f>HYPERLINK("javascript:void(0)","csillámos kiscsizma")</f>
        <v>csillámos kiscsizma</v>
      </c>
    </row>
    <row r="5981" spans="1:4" ht="12.75" customHeight="1" x14ac:dyDescent="0.2">
      <c r="A5981" s="21"/>
      <c r="B5981" s="21"/>
      <c r="C5981" s="8" t="s">
        <v>280</v>
      </c>
      <c r="D5981" s="1" t="str">
        <f>HYPERLINK("javascript:void(0)","grifftoll")</f>
        <v>grifftoll</v>
      </c>
    </row>
    <row r="5982" spans="1:4" ht="12.75" customHeight="1" x14ac:dyDescent="0.2">
      <c r="A5982" s="21"/>
      <c r="B5982" s="2"/>
      <c r="C5982" s="7"/>
      <c r="D5982" s="7"/>
    </row>
    <row r="5983" spans="1:4" ht="12.75" customHeight="1" x14ac:dyDescent="0.2">
      <c r="A5983" s="21"/>
      <c r="B5983" s="2"/>
      <c r="C5983" s="7"/>
      <c r="D5983" s="7"/>
    </row>
    <row r="5984" spans="1:4" ht="12.75" customHeight="1" x14ac:dyDescent="0.2">
      <c r="A5984" s="21"/>
      <c r="B5984" s="2"/>
      <c r="C5984" s="7"/>
      <c r="D5984" s="7"/>
    </row>
    <row r="5985" spans="1:4" ht="12.75" customHeight="1" x14ac:dyDescent="0.2">
      <c r="A5985" s="21"/>
      <c r="B5985" s="2"/>
      <c r="C5985" s="7"/>
      <c r="D5985" s="7"/>
    </row>
    <row r="5986" spans="1:4" ht="12.75" customHeight="1" x14ac:dyDescent="0.2">
      <c r="A5986" s="5"/>
      <c r="B5986" s="2"/>
      <c r="C5986" s="7"/>
      <c r="D5986" s="7"/>
    </row>
    <row r="5987" spans="1:4" ht="12.75" customHeight="1" x14ac:dyDescent="0.2">
      <c r="A5987" s="22" t="str">
        <f>HYPERLINK("javascript:void(0)","csillámföveg")</f>
        <v>csillámföveg</v>
      </c>
      <c r="B5987" s="21"/>
      <c r="C5987" s="21"/>
      <c r="D5987" s="21"/>
    </row>
    <row r="5988" spans="1:4" ht="12.75" customHeight="1" x14ac:dyDescent="0.2">
      <c r="A5988" s="20"/>
      <c r="B5988" s="2"/>
      <c r="C5988" s="7"/>
      <c r="D5988" s="7"/>
    </row>
    <row r="5989" spans="1:4" ht="12.75" customHeight="1" x14ac:dyDescent="0.2">
      <c r="A5989" s="21"/>
      <c r="B5989" s="3" t="s">
        <v>0</v>
      </c>
      <c r="C5989" s="23" t="s">
        <v>134</v>
      </c>
      <c r="D5989" s="21"/>
    </row>
    <row r="5990" spans="1:4" ht="12.75" customHeight="1" x14ac:dyDescent="0.2">
      <c r="A5990" s="21"/>
      <c r="B5990" s="3" t="s">
        <v>2</v>
      </c>
      <c r="C5990" s="23"/>
      <c r="D5990" s="21"/>
    </row>
    <row r="5991" spans="1:4" ht="12.75" customHeight="1" x14ac:dyDescent="0.2">
      <c r="A5991" s="21"/>
      <c r="B5991" s="3" t="s">
        <v>1840</v>
      </c>
      <c r="C5991" s="23" t="s">
        <v>347</v>
      </c>
      <c r="D5991" s="21"/>
    </row>
    <row r="5992" spans="1:4" ht="12.75" customHeight="1" x14ac:dyDescent="0.2">
      <c r="A5992" s="21"/>
      <c r="B5992" s="3" t="s">
        <v>9</v>
      </c>
      <c r="C5992" s="23" t="s">
        <v>1108</v>
      </c>
      <c r="D5992" s="21"/>
    </row>
    <row r="5993" spans="1:4" ht="12.75" customHeight="1" x14ac:dyDescent="0.2">
      <c r="A5993" s="21"/>
      <c r="B5993" s="3" t="s">
        <v>11</v>
      </c>
      <c r="C5993" s="23" t="s">
        <v>514</v>
      </c>
      <c r="D5993" s="21"/>
    </row>
    <row r="5994" spans="1:4" ht="12.75" customHeight="1" x14ac:dyDescent="0.2">
      <c r="A5994" s="21"/>
      <c r="B5994" s="3" t="s">
        <v>16</v>
      </c>
      <c r="C5994" s="23"/>
      <c r="D5994" s="21"/>
    </row>
    <row r="5995" spans="1:4" ht="12.75" customHeight="1" x14ac:dyDescent="0.2">
      <c r="A5995" s="21"/>
      <c r="B5995" s="3" t="s">
        <v>17</v>
      </c>
      <c r="C5995" s="23" t="s">
        <v>19</v>
      </c>
      <c r="D5995" s="21"/>
    </row>
    <row r="5996" spans="1:4" ht="12.75" customHeight="1" x14ac:dyDescent="0.2">
      <c r="A5996" s="21"/>
      <c r="B5996" s="20" t="s">
        <v>18</v>
      </c>
      <c r="C5996" s="8" t="s">
        <v>57</v>
      </c>
      <c r="D5996" s="1" t="str">
        <f>HYPERLINK("javascript:void(0)","csillámgöb")</f>
        <v>csillámgöb</v>
      </c>
    </row>
    <row r="5997" spans="1:4" ht="12.75" customHeight="1" x14ac:dyDescent="0.2">
      <c r="A5997" s="21"/>
      <c r="B5997" s="21"/>
      <c r="C5997" s="8" t="s">
        <v>44</v>
      </c>
      <c r="D5997" s="1" t="str">
        <f>HYPERLINK("javascript:void(0)","csillámálarc")</f>
        <v>csillámálarc</v>
      </c>
    </row>
    <row r="5998" spans="1:4" ht="12.75" customHeight="1" x14ac:dyDescent="0.2">
      <c r="A5998" s="21"/>
      <c r="B5998" s="21"/>
      <c r="C5998" s="8" t="s">
        <v>139</v>
      </c>
      <c r="D5998" s="1" t="str">
        <f>HYPERLINK("javascript:void(0)","kihunyt glória")</f>
        <v>kihunyt glória</v>
      </c>
    </row>
    <row r="5999" spans="1:4" ht="12.75" customHeight="1" x14ac:dyDescent="0.2">
      <c r="A5999" s="21"/>
      <c r="B5999" s="2"/>
      <c r="C5999" s="7"/>
      <c r="D5999" s="7"/>
    </row>
    <row r="6000" spans="1:4" ht="12.75" customHeight="1" x14ac:dyDescent="0.2">
      <c r="A6000" s="21"/>
      <c r="B6000" s="2"/>
      <c r="C6000" s="7"/>
      <c r="D6000" s="7"/>
    </row>
    <row r="6001" spans="1:4" ht="12.75" customHeight="1" x14ac:dyDescent="0.2">
      <c r="A6001" s="21"/>
      <c r="B6001" s="2"/>
      <c r="C6001" s="7"/>
      <c r="D6001" s="7"/>
    </row>
    <row r="6002" spans="1:4" ht="12.75" customHeight="1" x14ac:dyDescent="0.2">
      <c r="A6002" s="21"/>
      <c r="B6002" s="2"/>
      <c r="C6002" s="7"/>
      <c r="D6002" s="7"/>
    </row>
    <row r="6003" spans="1:4" ht="12.75" customHeight="1" x14ac:dyDescent="0.2">
      <c r="A6003" s="5"/>
      <c r="B6003" s="2"/>
      <c r="C6003" s="7"/>
      <c r="D6003" s="7"/>
    </row>
    <row r="6004" spans="1:4" ht="12.75" customHeight="1" x14ac:dyDescent="0.2">
      <c r="A6004" s="22" t="str">
        <f>HYPERLINK("javascript:void(0)","csillámos felleghajtó")</f>
        <v>csillámos felleghajtó</v>
      </c>
      <c r="B6004" s="21"/>
      <c r="C6004" s="21"/>
      <c r="D6004" s="21"/>
    </row>
    <row r="6005" spans="1:4" ht="12.75" customHeight="1" x14ac:dyDescent="0.2">
      <c r="A6005" s="20"/>
      <c r="B6005" s="2"/>
      <c r="C6005" s="7"/>
      <c r="D6005" s="7"/>
    </row>
    <row r="6006" spans="1:4" ht="12.75" customHeight="1" x14ac:dyDescent="0.2">
      <c r="A6006" s="21"/>
      <c r="B6006" s="3" t="s">
        <v>0</v>
      </c>
      <c r="C6006" s="23" t="s">
        <v>134</v>
      </c>
      <c r="D6006" s="21"/>
    </row>
    <row r="6007" spans="1:4" ht="12.75" customHeight="1" x14ac:dyDescent="0.2">
      <c r="A6007" s="21"/>
      <c r="B6007" s="3" t="s">
        <v>2</v>
      </c>
      <c r="C6007" s="23" t="s">
        <v>2322</v>
      </c>
      <c r="D6007" s="21"/>
    </row>
    <row r="6008" spans="1:4" ht="12.75" customHeight="1" x14ac:dyDescent="0.2">
      <c r="A6008" s="21"/>
      <c r="B6008" s="3" t="s">
        <v>1840</v>
      </c>
      <c r="C6008" s="23" t="s">
        <v>1788</v>
      </c>
      <c r="D6008" s="21"/>
    </row>
    <row r="6009" spans="1:4" ht="12.75" customHeight="1" x14ac:dyDescent="0.2">
      <c r="A6009" s="21"/>
      <c r="B6009" s="3" t="s">
        <v>9</v>
      </c>
      <c r="C6009" s="23" t="s">
        <v>2402</v>
      </c>
      <c r="D6009" s="21"/>
    </row>
    <row r="6010" spans="1:4" ht="12.75" customHeight="1" x14ac:dyDescent="0.2">
      <c r="A6010" s="21"/>
      <c r="B6010" s="3" t="s">
        <v>11</v>
      </c>
      <c r="C6010" s="23" t="s">
        <v>514</v>
      </c>
      <c r="D6010" s="21"/>
    </row>
    <row r="6011" spans="1:4" ht="12.75" customHeight="1" x14ac:dyDescent="0.2">
      <c r="A6011" s="21"/>
      <c r="B6011" s="3" t="s">
        <v>16</v>
      </c>
      <c r="C6011" s="23"/>
      <c r="D6011" s="21"/>
    </row>
    <row r="6012" spans="1:4" ht="12.75" customHeight="1" x14ac:dyDescent="0.2">
      <c r="A6012" s="21"/>
      <c r="B6012" s="3" t="s">
        <v>17</v>
      </c>
      <c r="C6012" s="23" t="s">
        <v>19</v>
      </c>
      <c r="D6012" s="21"/>
    </row>
    <row r="6013" spans="1:4" ht="12.75" customHeight="1" x14ac:dyDescent="0.2">
      <c r="A6013" s="21"/>
      <c r="B6013" s="20" t="s">
        <v>18</v>
      </c>
      <c r="C6013" s="8" t="s">
        <v>57</v>
      </c>
      <c r="D6013" s="1" t="str">
        <f>HYPERLINK("javascript:void(0)","csillámgöb")</f>
        <v>csillámgöb</v>
      </c>
    </row>
    <row r="6014" spans="1:4" ht="25.5" customHeight="1" x14ac:dyDescent="0.2">
      <c r="A6014" s="21"/>
      <c r="B6014" s="21"/>
      <c r="C6014" s="8" t="s">
        <v>44</v>
      </c>
      <c r="D6014" s="1" t="str">
        <f>HYPERLINK("javascript:void(0)","mellényes csillámköpeny")</f>
        <v>mellényes csillámköpeny</v>
      </c>
    </row>
    <row r="6015" spans="1:4" ht="12.75" customHeight="1" x14ac:dyDescent="0.2">
      <c r="A6015" s="21"/>
      <c r="B6015" s="21"/>
      <c r="C6015" s="8" t="s">
        <v>280</v>
      </c>
      <c r="D6015" s="1" t="str">
        <f>HYPERLINK("javascript:void(0)","vászoning")</f>
        <v>vászoning</v>
      </c>
    </row>
    <row r="6016" spans="1:4" ht="12.75" customHeight="1" x14ac:dyDescent="0.2">
      <c r="A6016" s="21"/>
      <c r="B6016" s="2"/>
      <c r="C6016" s="7"/>
      <c r="D6016" s="7"/>
    </row>
    <row r="6017" spans="1:4" ht="12.75" customHeight="1" x14ac:dyDescent="0.2">
      <c r="A6017" s="21"/>
      <c r="B6017" s="2"/>
      <c r="C6017" s="7"/>
      <c r="D6017" s="7"/>
    </row>
    <row r="6018" spans="1:4" ht="12.75" customHeight="1" x14ac:dyDescent="0.2">
      <c r="A6018" s="21"/>
      <c r="B6018" s="2"/>
      <c r="C6018" s="7"/>
      <c r="D6018" s="7"/>
    </row>
    <row r="6019" spans="1:4" ht="12.75" customHeight="1" x14ac:dyDescent="0.2">
      <c r="A6019" s="21"/>
      <c r="B6019" s="2"/>
      <c r="C6019" s="7"/>
      <c r="D6019" s="7"/>
    </row>
    <row r="6020" spans="1:4" ht="12.75" customHeight="1" x14ac:dyDescent="0.2">
      <c r="A6020" s="5"/>
      <c r="B6020" s="2"/>
      <c r="C6020" s="7"/>
      <c r="D6020" s="7"/>
    </row>
    <row r="6021" spans="1:4" ht="12.75" customHeight="1" x14ac:dyDescent="0.2">
      <c r="A6021" s="22" t="str">
        <f>HYPERLINK("javascript:void(0)","hiperium mellvért")</f>
        <v>hiperium mellvért</v>
      </c>
      <c r="B6021" s="21"/>
      <c r="C6021" s="21"/>
      <c r="D6021" s="21"/>
    </row>
    <row r="6022" spans="1:4" ht="12.75" customHeight="1" x14ac:dyDescent="0.2">
      <c r="A6022" s="20"/>
      <c r="B6022" s="2"/>
      <c r="C6022" s="7"/>
      <c r="D6022" s="7"/>
    </row>
    <row r="6023" spans="1:4" ht="12.75" customHeight="1" x14ac:dyDescent="0.2">
      <c r="A6023" s="21"/>
      <c r="B6023" s="3" t="s">
        <v>0</v>
      </c>
      <c r="C6023" s="23" t="s">
        <v>376</v>
      </c>
      <c r="D6023" s="21"/>
    </row>
    <row r="6024" spans="1:4" ht="12.75" customHeight="1" x14ac:dyDescent="0.2">
      <c r="A6024" s="21"/>
      <c r="B6024" s="3" t="s">
        <v>2</v>
      </c>
      <c r="C6024" s="23" t="s">
        <v>2322</v>
      </c>
      <c r="D6024" s="21"/>
    </row>
    <row r="6025" spans="1:4" ht="12.75" customHeight="1" x14ac:dyDescent="0.2">
      <c r="A6025" s="21"/>
      <c r="B6025" s="3" t="s">
        <v>1840</v>
      </c>
      <c r="C6025" s="23" t="s">
        <v>426</v>
      </c>
      <c r="D6025" s="21"/>
    </row>
    <row r="6026" spans="1:4" ht="12.75" customHeight="1" x14ac:dyDescent="0.2">
      <c r="A6026" s="21"/>
      <c r="B6026" s="3" t="s">
        <v>9</v>
      </c>
      <c r="C6026" s="23" t="s">
        <v>200</v>
      </c>
      <c r="D6026" s="21"/>
    </row>
    <row r="6027" spans="1:4" ht="12.75" customHeight="1" x14ac:dyDescent="0.2">
      <c r="A6027" s="21"/>
      <c r="B6027" s="3" t="s">
        <v>11</v>
      </c>
      <c r="C6027" s="23" t="s">
        <v>523</v>
      </c>
      <c r="D6027" s="21"/>
    </row>
    <row r="6028" spans="1:4" ht="12.75" customHeight="1" x14ac:dyDescent="0.2">
      <c r="A6028" s="21"/>
      <c r="B6028" s="3" t="s">
        <v>16</v>
      </c>
      <c r="C6028" s="23"/>
      <c r="D6028" s="21"/>
    </row>
    <row r="6029" spans="1:4" ht="12.75" customHeight="1" x14ac:dyDescent="0.2">
      <c r="A6029" s="21"/>
      <c r="B6029" s="3" t="s">
        <v>17</v>
      </c>
      <c r="C6029" s="23" t="s">
        <v>19</v>
      </c>
      <c r="D6029" s="21"/>
    </row>
    <row r="6030" spans="1:4" ht="12.75" customHeight="1" x14ac:dyDescent="0.2">
      <c r="A6030" s="21"/>
      <c r="B6030" s="20" t="s">
        <v>18</v>
      </c>
      <c r="C6030" s="8" t="s">
        <v>163</v>
      </c>
      <c r="D6030" s="1" t="str">
        <f>HYPERLINK("javascript:void(0)","csontszilánk")</f>
        <v>csontszilánk</v>
      </c>
    </row>
    <row r="6031" spans="1:4" ht="12.75" customHeight="1" x14ac:dyDescent="0.2">
      <c r="A6031" s="21"/>
      <c r="B6031" s="21"/>
      <c r="C6031" s="8" t="s">
        <v>117</v>
      </c>
      <c r="D6031" s="1" t="str">
        <f>HYPERLINK("javascript:void(0)","istenköröm")</f>
        <v>istenköröm</v>
      </c>
    </row>
    <row r="6032" spans="1:4" ht="12.75" customHeight="1" x14ac:dyDescent="0.2">
      <c r="A6032" s="21"/>
      <c r="B6032" s="21"/>
      <c r="C6032" s="8" t="s">
        <v>369</v>
      </c>
      <c r="D6032" s="1" t="str">
        <f>HYPERLINK("javascript:void(0)","sudár")</f>
        <v>sudár</v>
      </c>
    </row>
    <row r="6033" spans="1:4" ht="12.75" customHeight="1" x14ac:dyDescent="0.2">
      <c r="A6033" s="21"/>
      <c r="B6033" s="2"/>
      <c r="C6033" s="7"/>
      <c r="D6033" s="7"/>
    </row>
    <row r="6034" spans="1:4" ht="12.75" customHeight="1" x14ac:dyDescent="0.2">
      <c r="A6034" s="21"/>
      <c r="B6034" s="2"/>
      <c r="C6034" s="7"/>
      <c r="D6034" s="7"/>
    </row>
    <row r="6035" spans="1:4" ht="12.75" customHeight="1" x14ac:dyDescent="0.2">
      <c r="A6035" s="21"/>
      <c r="B6035" s="2"/>
      <c r="C6035" s="7"/>
      <c r="D6035" s="7"/>
    </row>
    <row r="6036" spans="1:4" ht="12.75" customHeight="1" x14ac:dyDescent="0.2">
      <c r="A6036" s="21"/>
      <c r="B6036" s="2"/>
      <c r="C6036" s="7"/>
      <c r="D6036" s="7"/>
    </row>
    <row r="6037" spans="1:4" ht="12.75" customHeight="1" x14ac:dyDescent="0.2">
      <c r="A6037" s="5"/>
      <c r="B6037" s="2"/>
      <c r="C6037" s="7"/>
      <c r="D6037" s="7"/>
    </row>
    <row r="6038" spans="1:4" ht="12.75" customHeight="1" x14ac:dyDescent="0.2">
      <c r="A6038" s="22" t="str">
        <f>HYPERLINK("javascript:void(0)","szilánksisak")</f>
        <v>szilánksisak</v>
      </c>
      <c r="B6038" s="21"/>
      <c r="C6038" s="21"/>
      <c r="D6038" s="21"/>
    </row>
    <row r="6039" spans="1:4" ht="12.75" customHeight="1" x14ac:dyDescent="0.2">
      <c r="A6039" s="20"/>
      <c r="B6039" s="2"/>
      <c r="C6039" s="7"/>
      <c r="D6039" s="7"/>
    </row>
    <row r="6040" spans="1:4" ht="12.75" customHeight="1" x14ac:dyDescent="0.2">
      <c r="A6040" s="21"/>
      <c r="B6040" s="3" t="s">
        <v>0</v>
      </c>
      <c r="C6040" s="23" t="s">
        <v>376</v>
      </c>
      <c r="D6040" s="21"/>
    </row>
    <row r="6041" spans="1:4" ht="12.75" customHeight="1" x14ac:dyDescent="0.2">
      <c r="A6041" s="21"/>
      <c r="B6041" s="3" t="s">
        <v>2</v>
      </c>
      <c r="C6041" s="23"/>
      <c r="D6041" s="21"/>
    </row>
    <row r="6042" spans="1:4" ht="12.75" customHeight="1" x14ac:dyDescent="0.2">
      <c r="A6042" s="21"/>
      <c r="B6042" s="3" t="s">
        <v>1840</v>
      </c>
      <c r="C6042" s="23" t="s">
        <v>1032</v>
      </c>
      <c r="D6042" s="21"/>
    </row>
    <row r="6043" spans="1:4" ht="12.75" customHeight="1" x14ac:dyDescent="0.2">
      <c r="A6043" s="21"/>
      <c r="B6043" s="3" t="s">
        <v>9</v>
      </c>
      <c r="C6043" s="23" t="s">
        <v>42</v>
      </c>
      <c r="D6043" s="21"/>
    </row>
    <row r="6044" spans="1:4" ht="12.75" customHeight="1" x14ac:dyDescent="0.2">
      <c r="A6044" s="21"/>
      <c r="B6044" s="3" t="s">
        <v>11</v>
      </c>
      <c r="C6044" s="23" t="s">
        <v>523</v>
      </c>
      <c r="D6044" s="21"/>
    </row>
    <row r="6045" spans="1:4" ht="12.75" customHeight="1" x14ac:dyDescent="0.2">
      <c r="A6045" s="21"/>
      <c r="B6045" s="3" t="s">
        <v>16</v>
      </c>
      <c r="C6045" s="23"/>
      <c r="D6045" s="21"/>
    </row>
    <row r="6046" spans="1:4" ht="12.75" customHeight="1" x14ac:dyDescent="0.2">
      <c r="A6046" s="21"/>
      <c r="B6046" s="3" t="s">
        <v>17</v>
      </c>
      <c r="C6046" s="23" t="s">
        <v>19</v>
      </c>
      <c r="D6046" s="21"/>
    </row>
    <row r="6047" spans="1:4" ht="12.75" customHeight="1" x14ac:dyDescent="0.2">
      <c r="A6047" s="21"/>
      <c r="B6047" s="20" t="s">
        <v>18</v>
      </c>
      <c r="C6047" s="8" t="s">
        <v>44</v>
      </c>
      <c r="D6047" s="1" t="str">
        <f>HYPERLINK("javascript:void(0)","rotorsisak")</f>
        <v>rotorsisak</v>
      </c>
    </row>
    <row r="6048" spans="1:4" ht="12.75" customHeight="1" x14ac:dyDescent="0.2">
      <c r="A6048" s="21"/>
      <c r="B6048" s="21"/>
      <c r="C6048" s="8" t="s">
        <v>77</v>
      </c>
      <c r="D6048" s="1" t="str">
        <f>HYPERLINK("javascript:void(0)","homokóra")</f>
        <v>homokóra</v>
      </c>
    </row>
    <row r="6049" spans="1:4" ht="12.75" customHeight="1" x14ac:dyDescent="0.2">
      <c r="A6049" s="21"/>
      <c r="B6049" s="21"/>
      <c r="C6049" s="8" t="s">
        <v>132</v>
      </c>
      <c r="D6049" s="1" t="str">
        <f>HYPERLINK("javascript:void(0)","malacorr")</f>
        <v>malacorr</v>
      </c>
    </row>
    <row r="6050" spans="1:4" ht="12.75" customHeight="1" x14ac:dyDescent="0.2">
      <c r="A6050" s="21"/>
      <c r="B6050" s="2"/>
      <c r="C6050" s="7"/>
      <c r="D6050" s="7"/>
    </row>
    <row r="6051" spans="1:4" ht="12.75" customHeight="1" x14ac:dyDescent="0.2">
      <c r="A6051" s="21"/>
      <c r="B6051" s="2"/>
      <c r="C6051" s="7"/>
      <c r="D6051" s="7"/>
    </row>
    <row r="6052" spans="1:4" ht="12.75" customHeight="1" x14ac:dyDescent="0.2">
      <c r="A6052" s="21"/>
      <c r="B6052" s="2"/>
      <c r="C6052" s="7"/>
      <c r="D6052" s="7"/>
    </row>
    <row r="6053" spans="1:4" ht="12.75" customHeight="1" x14ac:dyDescent="0.2">
      <c r="A6053" s="21"/>
      <c r="B6053" s="2"/>
      <c r="C6053" s="7"/>
      <c r="D6053" s="7"/>
    </row>
    <row r="6054" spans="1:4" ht="12.75" customHeight="1" x14ac:dyDescent="0.2">
      <c r="A6054" s="5"/>
      <c r="B6054" s="2"/>
      <c r="C6054" s="7"/>
      <c r="D6054" s="7"/>
    </row>
    <row r="6055" spans="1:4" ht="12.75" customHeight="1" x14ac:dyDescent="0.2">
      <c r="A6055" s="22" t="str">
        <f>HYPERLINK("javascript:void(0)","diszpro saru")</f>
        <v>diszpro saru</v>
      </c>
      <c r="B6055" s="21"/>
      <c r="C6055" s="21"/>
      <c r="D6055" s="21"/>
    </row>
    <row r="6056" spans="1:4" ht="12.75" customHeight="1" x14ac:dyDescent="0.2">
      <c r="A6056" s="20"/>
      <c r="B6056" s="2"/>
      <c r="C6056" s="7"/>
      <c r="D6056" s="7"/>
    </row>
    <row r="6057" spans="1:4" ht="12.75" customHeight="1" x14ac:dyDescent="0.2">
      <c r="A6057" s="21"/>
      <c r="B6057" s="3" t="s">
        <v>0</v>
      </c>
      <c r="C6057" s="23" t="s">
        <v>376</v>
      </c>
      <c r="D6057" s="21"/>
    </row>
    <row r="6058" spans="1:4" ht="12.75" customHeight="1" x14ac:dyDescent="0.2">
      <c r="A6058" s="21"/>
      <c r="B6058" s="3" t="s">
        <v>2</v>
      </c>
      <c r="C6058" s="23"/>
      <c r="D6058" s="21"/>
    </row>
    <row r="6059" spans="1:4" ht="12.75" customHeight="1" x14ac:dyDescent="0.2">
      <c r="A6059" s="21"/>
      <c r="B6059" s="3" t="s">
        <v>1840</v>
      </c>
      <c r="C6059" s="23" t="s">
        <v>978</v>
      </c>
      <c r="D6059" s="21"/>
    </row>
    <row r="6060" spans="1:4" ht="12.75" customHeight="1" x14ac:dyDescent="0.2">
      <c r="A6060" s="21"/>
      <c r="B6060" s="3" t="s">
        <v>9</v>
      </c>
      <c r="C6060" s="23" t="s">
        <v>84</v>
      </c>
      <c r="D6060" s="21"/>
    </row>
    <row r="6061" spans="1:4" ht="12.75" customHeight="1" x14ac:dyDescent="0.2">
      <c r="A6061" s="21"/>
      <c r="B6061" s="3" t="s">
        <v>11</v>
      </c>
      <c r="C6061" s="23" t="s">
        <v>542</v>
      </c>
      <c r="D6061" s="21"/>
    </row>
    <row r="6062" spans="1:4" ht="12.75" customHeight="1" x14ac:dyDescent="0.2">
      <c r="A6062" s="21"/>
      <c r="B6062" s="3" t="s">
        <v>16</v>
      </c>
      <c r="C6062" s="23"/>
      <c r="D6062" s="21"/>
    </row>
    <row r="6063" spans="1:4" ht="12.75" customHeight="1" x14ac:dyDescent="0.2">
      <c r="A6063" s="21"/>
      <c r="B6063" s="3" t="s">
        <v>17</v>
      </c>
      <c r="C6063" s="23" t="s">
        <v>19</v>
      </c>
      <c r="D6063" s="21"/>
    </row>
    <row r="6064" spans="1:4" ht="12.75" customHeight="1" x14ac:dyDescent="0.2">
      <c r="A6064" s="21"/>
      <c r="B6064" s="20" t="s">
        <v>18</v>
      </c>
      <c r="C6064" s="8" t="s">
        <v>44</v>
      </c>
      <c r="D6064" s="1" t="str">
        <f>HYPERLINK("javascript:void(0)","rubin saru")</f>
        <v>rubin saru</v>
      </c>
    </row>
    <row r="6065" spans="1:4" ht="12.75" customHeight="1" x14ac:dyDescent="0.2">
      <c r="A6065" s="21"/>
      <c r="B6065" s="21"/>
      <c r="C6065" s="8" t="s">
        <v>44</v>
      </c>
      <c r="D6065" s="1" t="str">
        <f>HYPERLINK("javascript:void(0)","gyémánt saru")</f>
        <v>gyémánt saru</v>
      </c>
    </row>
    <row r="6066" spans="1:4" ht="12.75" customHeight="1" x14ac:dyDescent="0.2">
      <c r="A6066" s="21"/>
      <c r="B6066" s="21"/>
      <c r="C6066" s="8" t="s">
        <v>232</v>
      </c>
      <c r="D6066" s="1" t="str">
        <f>HYPERLINK("javascript:void(0)","homokóra")</f>
        <v>homokóra</v>
      </c>
    </row>
    <row r="6067" spans="1:4" ht="12.75" customHeight="1" x14ac:dyDescent="0.2">
      <c r="A6067" s="21"/>
      <c r="B6067" s="2"/>
      <c r="C6067" s="7"/>
      <c r="D6067" s="7"/>
    </row>
    <row r="6068" spans="1:4" ht="12.75" customHeight="1" x14ac:dyDescent="0.2">
      <c r="A6068" s="21"/>
      <c r="B6068" s="2"/>
      <c r="C6068" s="7"/>
      <c r="D6068" s="7"/>
    </row>
    <row r="6069" spans="1:4" ht="12.75" customHeight="1" x14ac:dyDescent="0.2">
      <c r="A6069" s="21"/>
      <c r="B6069" s="2"/>
      <c r="C6069" s="7"/>
      <c r="D6069" s="7"/>
    </row>
    <row r="6070" spans="1:4" ht="12.75" customHeight="1" x14ac:dyDescent="0.2">
      <c r="A6070" s="21"/>
      <c r="B6070" s="2"/>
      <c r="C6070" s="7"/>
      <c r="D6070" s="7"/>
    </row>
    <row r="6071" spans="1:4" ht="12.75" customHeight="1" x14ac:dyDescent="0.2">
      <c r="A6071" s="5"/>
      <c r="B6071" s="2"/>
      <c r="C6071" s="7"/>
      <c r="D6071" s="7"/>
    </row>
    <row r="6072" spans="1:4" ht="12.75" customHeight="1" x14ac:dyDescent="0.2">
      <c r="A6072" s="22" t="str">
        <f>HYPERLINK("javascript:void(0)","rotor testpajzs")</f>
        <v>rotor testpajzs</v>
      </c>
      <c r="B6072" s="21"/>
      <c r="C6072" s="21"/>
      <c r="D6072" s="21"/>
    </row>
    <row r="6073" spans="1:4" ht="12.75" customHeight="1" x14ac:dyDescent="0.2">
      <c r="A6073" s="20"/>
      <c r="B6073" s="2"/>
      <c r="C6073" s="7"/>
      <c r="D6073" s="7"/>
    </row>
    <row r="6074" spans="1:4" ht="12.75" customHeight="1" x14ac:dyDescent="0.2">
      <c r="A6074" s="21"/>
      <c r="B6074" s="3" t="s">
        <v>0</v>
      </c>
      <c r="C6074" s="23" t="s">
        <v>376</v>
      </c>
      <c r="D6074" s="21"/>
    </row>
    <row r="6075" spans="1:4" ht="12.75" customHeight="1" x14ac:dyDescent="0.2">
      <c r="A6075" s="21"/>
      <c r="B6075" s="3" t="s">
        <v>2</v>
      </c>
      <c r="C6075" s="23" t="s">
        <v>1839</v>
      </c>
      <c r="D6075" s="21"/>
    </row>
    <row r="6076" spans="1:4" ht="12.75" customHeight="1" x14ac:dyDescent="0.2">
      <c r="A6076" s="21"/>
      <c r="B6076" s="3" t="s">
        <v>1840</v>
      </c>
      <c r="C6076" s="23" t="s">
        <v>119</v>
      </c>
      <c r="D6076" s="21"/>
    </row>
    <row r="6077" spans="1:4" ht="12.75" customHeight="1" x14ac:dyDescent="0.2">
      <c r="A6077" s="21"/>
      <c r="B6077" s="3" t="s">
        <v>9</v>
      </c>
      <c r="C6077" s="23" t="s">
        <v>262</v>
      </c>
      <c r="D6077" s="21"/>
    </row>
    <row r="6078" spans="1:4" ht="12.75" customHeight="1" x14ac:dyDescent="0.2">
      <c r="A6078" s="21"/>
      <c r="B6078" s="3" t="s">
        <v>11</v>
      </c>
      <c r="C6078" s="23" t="s">
        <v>645</v>
      </c>
      <c r="D6078" s="21"/>
    </row>
    <row r="6079" spans="1:4" ht="12.75" customHeight="1" x14ac:dyDescent="0.2">
      <c r="A6079" s="21"/>
      <c r="B6079" s="3" t="s">
        <v>16</v>
      </c>
      <c r="C6079" s="23"/>
      <c r="D6079" s="21"/>
    </row>
    <row r="6080" spans="1:4" ht="12.75" customHeight="1" x14ac:dyDescent="0.2">
      <c r="A6080" s="21"/>
      <c r="B6080" s="3" t="s">
        <v>17</v>
      </c>
      <c r="C6080" s="23" t="s">
        <v>19</v>
      </c>
      <c r="D6080" s="21"/>
    </row>
    <row r="6081" spans="1:4" ht="12.75" customHeight="1" x14ac:dyDescent="0.2">
      <c r="A6081" s="21"/>
      <c r="B6081" s="20" t="s">
        <v>18</v>
      </c>
      <c r="C6081" s="8" t="s">
        <v>44</v>
      </c>
      <c r="D6081" s="1" t="str">
        <f>HYPERLINK("javascript:void(0)","csont testpajzs")</f>
        <v>csont testpajzs</v>
      </c>
    </row>
    <row r="6082" spans="1:4" ht="12.75" customHeight="1" x14ac:dyDescent="0.2">
      <c r="A6082" s="21"/>
      <c r="B6082" s="21"/>
      <c r="C6082" s="8" t="s">
        <v>139</v>
      </c>
      <c r="D6082" s="1" t="str">
        <f>HYPERLINK("javascript:void(0)","rotorlapát")</f>
        <v>rotorlapát</v>
      </c>
    </row>
    <row r="6083" spans="1:4" ht="12.75" customHeight="1" x14ac:dyDescent="0.2">
      <c r="A6083" s="21"/>
      <c r="B6083" s="21"/>
      <c r="C6083" s="8" t="s">
        <v>67</v>
      </c>
      <c r="D6083" s="1" t="str">
        <f>HYPERLINK("javascript:void(0)","manókoponya")</f>
        <v>manókoponya</v>
      </c>
    </row>
    <row r="6084" spans="1:4" ht="12.75" customHeight="1" x14ac:dyDescent="0.2">
      <c r="A6084" s="21"/>
      <c r="B6084" s="2"/>
      <c r="C6084" s="7"/>
      <c r="D6084" s="7"/>
    </row>
    <row r="6085" spans="1:4" ht="12.75" customHeight="1" x14ac:dyDescent="0.2">
      <c r="A6085" s="21"/>
      <c r="B6085" s="2"/>
      <c r="C6085" s="7"/>
      <c r="D6085" s="7"/>
    </row>
    <row r="6086" spans="1:4" ht="12.75" customHeight="1" x14ac:dyDescent="0.2">
      <c r="A6086" s="21"/>
      <c r="B6086" s="2"/>
      <c r="C6086" s="7"/>
      <c r="D6086" s="7"/>
    </row>
    <row r="6087" spans="1:4" ht="12.75" customHeight="1" x14ac:dyDescent="0.2">
      <c r="A6087" s="21"/>
      <c r="B6087" s="2"/>
      <c r="C6087" s="7"/>
      <c r="D6087" s="7"/>
    </row>
    <row r="6088" spans="1:4" ht="12.75" customHeight="1" x14ac:dyDescent="0.2">
      <c r="A6088" s="5"/>
      <c r="B6088" s="2"/>
      <c r="C6088" s="7"/>
      <c r="D6088" s="7"/>
    </row>
    <row r="6089" spans="1:4" ht="12.75" customHeight="1" x14ac:dyDescent="0.2">
      <c r="A6089" s="22" t="str">
        <f>HYPERLINK("javascript:void(0)","bronzveretű illanat")</f>
        <v>bronzveretű illanat</v>
      </c>
      <c r="B6089" s="21"/>
      <c r="C6089" s="21"/>
      <c r="D6089" s="21"/>
    </row>
    <row r="6090" spans="1:4" ht="12.75" customHeight="1" x14ac:dyDescent="0.2">
      <c r="A6090" s="20"/>
      <c r="B6090" s="2"/>
      <c r="C6090" s="7"/>
      <c r="D6090" s="7"/>
    </row>
    <row r="6091" spans="1:4" ht="12.75" customHeight="1" x14ac:dyDescent="0.2">
      <c r="A6091" s="21"/>
      <c r="B6091" s="3" t="s">
        <v>0</v>
      </c>
      <c r="C6091" s="23" t="s">
        <v>376</v>
      </c>
      <c r="D6091" s="21"/>
    </row>
    <row r="6092" spans="1:4" ht="12.75" customHeight="1" x14ac:dyDescent="0.2">
      <c r="A6092" s="21"/>
      <c r="B6092" s="3" t="s">
        <v>2</v>
      </c>
      <c r="C6092" s="23" t="s">
        <v>1839</v>
      </c>
      <c r="D6092" s="21"/>
    </row>
    <row r="6093" spans="1:4" ht="12.75" customHeight="1" x14ac:dyDescent="0.2">
      <c r="A6093" s="21"/>
      <c r="B6093" s="3" t="s">
        <v>1840</v>
      </c>
      <c r="C6093" s="23" t="s">
        <v>119</v>
      </c>
      <c r="D6093" s="21"/>
    </row>
    <row r="6094" spans="1:4" ht="12.75" customHeight="1" x14ac:dyDescent="0.2">
      <c r="A6094" s="21"/>
      <c r="B6094" s="3" t="s">
        <v>9</v>
      </c>
      <c r="C6094" s="23" t="s">
        <v>1044</v>
      </c>
      <c r="D6094" s="21"/>
    </row>
    <row r="6095" spans="1:4" ht="12.75" customHeight="1" x14ac:dyDescent="0.2">
      <c r="A6095" s="21"/>
      <c r="B6095" s="3" t="s">
        <v>11</v>
      </c>
      <c r="C6095" s="23" t="s">
        <v>674</v>
      </c>
      <c r="D6095" s="21"/>
    </row>
    <row r="6096" spans="1:4" ht="12.75" customHeight="1" x14ac:dyDescent="0.2">
      <c r="A6096" s="21"/>
      <c r="B6096" s="3" t="s">
        <v>16</v>
      </c>
      <c r="C6096" s="23"/>
      <c r="D6096" s="21"/>
    </row>
    <row r="6097" spans="1:4" ht="12.75" customHeight="1" x14ac:dyDescent="0.2">
      <c r="A6097" s="21"/>
      <c r="B6097" s="3" t="s">
        <v>17</v>
      </c>
      <c r="C6097" s="23" t="s">
        <v>19</v>
      </c>
      <c r="D6097" s="21"/>
    </row>
    <row r="6098" spans="1:4" ht="12.75" customHeight="1" x14ac:dyDescent="0.2">
      <c r="A6098" s="21"/>
      <c r="B6098" s="20" t="s">
        <v>18</v>
      </c>
      <c r="C6098" s="8" t="s">
        <v>44</v>
      </c>
      <c r="D6098" s="1" t="str">
        <f>HYPERLINK("javascript:void(0)","rotor testpajzs")</f>
        <v>rotor testpajzs</v>
      </c>
    </row>
    <row r="6099" spans="1:4" ht="12.75" customHeight="1" x14ac:dyDescent="0.2">
      <c r="A6099" s="21"/>
      <c r="B6099" s="21"/>
      <c r="C6099" s="8" t="s">
        <v>117</v>
      </c>
      <c r="D6099" s="1" t="str">
        <f>HYPERLINK("javascript:void(0)","homokóra")</f>
        <v>homokóra</v>
      </c>
    </row>
    <row r="6100" spans="1:4" ht="12.75" customHeight="1" x14ac:dyDescent="0.2">
      <c r="A6100" s="21"/>
      <c r="B6100" s="21"/>
      <c r="C6100" s="8" t="s">
        <v>67</v>
      </c>
      <c r="D6100" s="1" t="str">
        <f>HYPERLINK("javascript:void(0)","bronzrög")</f>
        <v>bronzrög</v>
      </c>
    </row>
    <row r="6101" spans="1:4" ht="12.75" customHeight="1" x14ac:dyDescent="0.2">
      <c r="A6101" s="21"/>
      <c r="B6101" s="2"/>
      <c r="C6101" s="7"/>
      <c r="D6101" s="7"/>
    </row>
    <row r="6102" spans="1:4" ht="12.75" customHeight="1" x14ac:dyDescent="0.2">
      <c r="A6102" s="21"/>
      <c r="B6102" s="2"/>
      <c r="C6102" s="7"/>
      <c r="D6102" s="7"/>
    </row>
    <row r="6103" spans="1:4" ht="12.75" customHeight="1" x14ac:dyDescent="0.2">
      <c r="A6103" s="21"/>
      <c r="B6103" s="2"/>
      <c r="C6103" s="7"/>
      <c r="D6103" s="7"/>
    </row>
    <row r="6104" spans="1:4" ht="12.75" customHeight="1" x14ac:dyDescent="0.2">
      <c r="A6104" s="21"/>
      <c r="B6104" s="2"/>
      <c r="C6104" s="7"/>
      <c r="D6104" s="7"/>
    </row>
    <row r="6105" spans="1:4" ht="12.75" customHeight="1" x14ac:dyDescent="0.2">
      <c r="A6105" s="5"/>
      <c r="B6105" s="2"/>
      <c r="C6105" s="7"/>
      <c r="D6105" s="7"/>
    </row>
    <row r="6106" spans="1:4" ht="12.75" customHeight="1" x14ac:dyDescent="0.2">
      <c r="A6106" s="22" t="str">
        <f>HYPERLINK("javascript:void(0)","kompózium mellvért")</f>
        <v>kompózium mellvért</v>
      </c>
      <c r="B6106" s="21"/>
      <c r="C6106" s="21"/>
      <c r="D6106" s="21"/>
    </row>
    <row r="6107" spans="1:4" ht="12.75" customHeight="1" x14ac:dyDescent="0.2">
      <c r="A6107" s="20"/>
      <c r="B6107" s="2"/>
      <c r="C6107" s="7"/>
      <c r="D6107" s="7"/>
    </row>
    <row r="6108" spans="1:4" ht="12.75" customHeight="1" x14ac:dyDescent="0.2">
      <c r="A6108" s="21"/>
      <c r="B6108" s="3" t="s">
        <v>0</v>
      </c>
      <c r="C6108" s="23" t="s">
        <v>60</v>
      </c>
      <c r="D6108" s="21"/>
    </row>
    <row r="6109" spans="1:4" ht="12.75" customHeight="1" x14ac:dyDescent="0.2">
      <c r="A6109" s="21"/>
      <c r="B6109" s="3" t="s">
        <v>2</v>
      </c>
      <c r="C6109" s="23" t="s">
        <v>2322</v>
      </c>
      <c r="D6109" s="21"/>
    </row>
    <row r="6110" spans="1:4" ht="12.75" customHeight="1" x14ac:dyDescent="0.2">
      <c r="A6110" s="21"/>
      <c r="B6110" s="3" t="s">
        <v>1840</v>
      </c>
      <c r="C6110" s="23" t="s">
        <v>496</v>
      </c>
      <c r="D6110" s="21"/>
    </row>
    <row r="6111" spans="1:4" ht="12.75" customHeight="1" x14ac:dyDescent="0.2">
      <c r="A6111" s="21"/>
      <c r="B6111" s="3" t="s">
        <v>9</v>
      </c>
      <c r="C6111" s="23" t="s">
        <v>233</v>
      </c>
      <c r="D6111" s="21"/>
    </row>
    <row r="6112" spans="1:4" ht="12.75" customHeight="1" x14ac:dyDescent="0.2">
      <c r="A6112" s="21"/>
      <c r="B6112" s="3" t="s">
        <v>11</v>
      </c>
      <c r="C6112" s="23" t="s">
        <v>536</v>
      </c>
      <c r="D6112" s="21"/>
    </row>
    <row r="6113" spans="1:4" ht="12.75" customHeight="1" x14ac:dyDescent="0.2">
      <c r="A6113" s="21"/>
      <c r="B6113" s="3" t="s">
        <v>16</v>
      </c>
      <c r="C6113" s="23"/>
      <c r="D6113" s="21"/>
    </row>
    <row r="6114" spans="1:4" ht="12.75" customHeight="1" x14ac:dyDescent="0.2">
      <c r="A6114" s="21"/>
      <c r="B6114" s="3" t="s">
        <v>17</v>
      </c>
      <c r="C6114" s="23" t="s">
        <v>19</v>
      </c>
      <c r="D6114" s="21"/>
    </row>
    <row r="6115" spans="1:4" ht="12.75" customHeight="1" x14ac:dyDescent="0.2">
      <c r="A6115" s="21"/>
      <c r="B6115" s="20" t="s">
        <v>18</v>
      </c>
      <c r="C6115" s="8" t="s">
        <v>44</v>
      </c>
      <c r="D6115" s="1" t="str">
        <f>HYPERLINK("javascript:void(0)","centro mellvért")</f>
        <v>centro mellvért</v>
      </c>
    </row>
    <row r="6116" spans="1:4" ht="12.75" customHeight="1" x14ac:dyDescent="0.2">
      <c r="A6116" s="21"/>
      <c r="B6116" s="21"/>
      <c r="C6116" s="8" t="s">
        <v>44</v>
      </c>
      <c r="D6116" s="1" t="str">
        <f>HYPERLINK("javascript:void(0)","hiperium mellvért")</f>
        <v>hiperium mellvért</v>
      </c>
    </row>
    <row r="6117" spans="1:4" ht="12.75" customHeight="1" x14ac:dyDescent="0.2">
      <c r="A6117" s="21"/>
      <c r="B6117" s="21"/>
      <c r="C6117" s="8" t="s">
        <v>44</v>
      </c>
      <c r="D6117" s="1" t="str">
        <f>HYPERLINK("javascript:void(0)","kompózium előlap")</f>
        <v>kompózium előlap</v>
      </c>
    </row>
    <row r="6118" spans="1:4" ht="12.75" customHeight="1" x14ac:dyDescent="0.2">
      <c r="A6118" s="21"/>
      <c r="B6118" s="2"/>
      <c r="C6118" s="7"/>
      <c r="D6118" s="7"/>
    </row>
    <row r="6119" spans="1:4" ht="12.75" customHeight="1" x14ac:dyDescent="0.2">
      <c r="A6119" s="21"/>
      <c r="B6119" s="2"/>
      <c r="C6119" s="7"/>
      <c r="D6119" s="7"/>
    </row>
    <row r="6120" spans="1:4" ht="12.75" customHeight="1" x14ac:dyDescent="0.2">
      <c r="A6120" s="21"/>
      <c r="B6120" s="2"/>
      <c r="C6120" s="7"/>
      <c r="D6120" s="7"/>
    </row>
    <row r="6121" spans="1:4" ht="12.75" customHeight="1" x14ac:dyDescent="0.2">
      <c r="A6121" s="21"/>
      <c r="B6121" s="2"/>
      <c r="C6121" s="7"/>
      <c r="D6121" s="7"/>
    </row>
    <row r="6122" spans="1:4" ht="12.75" customHeight="1" x14ac:dyDescent="0.2">
      <c r="A6122" s="5"/>
      <c r="B6122" s="2"/>
      <c r="C6122" s="7"/>
      <c r="D6122" s="7"/>
    </row>
    <row r="6123" spans="1:4" ht="12.75" customHeight="1" x14ac:dyDescent="0.2">
      <c r="A6123" s="22" t="str">
        <f>HYPERLINK("javascript:void(0)","kronosisak")</f>
        <v>kronosisak</v>
      </c>
      <c r="B6123" s="21"/>
      <c r="C6123" s="21"/>
      <c r="D6123" s="21"/>
    </row>
    <row r="6124" spans="1:4" ht="12.75" customHeight="1" x14ac:dyDescent="0.2">
      <c r="A6124" s="20"/>
      <c r="B6124" s="2"/>
      <c r="C6124" s="7"/>
      <c r="D6124" s="7"/>
    </row>
    <row r="6125" spans="1:4" ht="12.75" customHeight="1" x14ac:dyDescent="0.2">
      <c r="A6125" s="21"/>
      <c r="B6125" s="3" t="s">
        <v>0</v>
      </c>
      <c r="C6125" s="23" t="s">
        <v>60</v>
      </c>
      <c r="D6125" s="21"/>
    </row>
    <row r="6126" spans="1:4" ht="12.75" customHeight="1" x14ac:dyDescent="0.2">
      <c r="A6126" s="21"/>
      <c r="B6126" s="3" t="s">
        <v>2</v>
      </c>
      <c r="C6126" s="23"/>
      <c r="D6126" s="21"/>
    </row>
    <row r="6127" spans="1:4" ht="12.75" customHeight="1" x14ac:dyDescent="0.2">
      <c r="A6127" s="21"/>
      <c r="B6127" s="3" t="s">
        <v>1840</v>
      </c>
      <c r="C6127" s="23" t="s">
        <v>1060</v>
      </c>
      <c r="D6127" s="21"/>
    </row>
    <row r="6128" spans="1:4" ht="12.75" customHeight="1" x14ac:dyDescent="0.2">
      <c r="A6128" s="21"/>
      <c r="B6128" s="3" t="s">
        <v>9</v>
      </c>
      <c r="C6128" s="23" t="s">
        <v>27</v>
      </c>
      <c r="D6128" s="21"/>
    </row>
    <row r="6129" spans="1:4" ht="12.75" customHeight="1" x14ac:dyDescent="0.2">
      <c r="A6129" s="21"/>
      <c r="B6129" s="3" t="s">
        <v>11</v>
      </c>
      <c r="C6129" s="23" t="s">
        <v>536</v>
      </c>
      <c r="D6129" s="21"/>
    </row>
    <row r="6130" spans="1:4" ht="12.75" customHeight="1" x14ac:dyDescent="0.2">
      <c r="A6130" s="21"/>
      <c r="B6130" s="3" t="s">
        <v>16</v>
      </c>
      <c r="C6130" s="23"/>
      <c r="D6130" s="21"/>
    </row>
    <row r="6131" spans="1:4" ht="12.75" customHeight="1" x14ac:dyDescent="0.2">
      <c r="A6131" s="21"/>
      <c r="B6131" s="3" t="s">
        <v>17</v>
      </c>
      <c r="C6131" s="23" t="s">
        <v>19</v>
      </c>
      <c r="D6131" s="21"/>
    </row>
    <row r="6132" spans="1:4" ht="12.75" customHeight="1" x14ac:dyDescent="0.2">
      <c r="A6132" s="21"/>
      <c r="B6132" s="20" t="s">
        <v>18</v>
      </c>
      <c r="C6132" s="8" t="s">
        <v>77</v>
      </c>
      <c r="D6132" s="1" t="str">
        <f>HYPERLINK("javascript:void(0)","igeidő")</f>
        <v>igeidő</v>
      </c>
    </row>
    <row r="6133" spans="1:4" ht="12.75" customHeight="1" x14ac:dyDescent="0.2">
      <c r="A6133" s="21"/>
      <c r="B6133" s="21"/>
      <c r="C6133" s="8" t="s">
        <v>67</v>
      </c>
      <c r="D6133" s="1" t="str">
        <f>HYPERLINK("javascript:void(0)","vérrög")</f>
        <v>vérrög</v>
      </c>
    </row>
    <row r="6134" spans="1:4" ht="12.75" customHeight="1" x14ac:dyDescent="0.2">
      <c r="A6134" s="21"/>
      <c r="B6134" s="21"/>
      <c r="C6134" s="8" t="s">
        <v>98</v>
      </c>
      <c r="D6134" s="1" t="str">
        <f>HYPERLINK("javascript:void(0)","öbleny")</f>
        <v>öbleny</v>
      </c>
    </row>
    <row r="6135" spans="1:4" ht="12.75" customHeight="1" x14ac:dyDescent="0.2">
      <c r="A6135" s="21"/>
      <c r="B6135" s="2"/>
      <c r="C6135" s="7"/>
      <c r="D6135" s="7"/>
    </row>
    <row r="6136" spans="1:4" ht="12.75" customHeight="1" x14ac:dyDescent="0.2">
      <c r="A6136" s="21"/>
      <c r="B6136" s="2"/>
      <c r="C6136" s="7"/>
      <c r="D6136" s="7"/>
    </row>
    <row r="6137" spans="1:4" ht="12.75" customHeight="1" x14ac:dyDescent="0.2">
      <c r="A6137" s="21"/>
      <c r="B6137" s="2"/>
      <c r="C6137" s="7"/>
      <c r="D6137" s="7"/>
    </row>
    <row r="6138" spans="1:4" ht="12.75" customHeight="1" x14ac:dyDescent="0.2">
      <c r="A6138" s="21"/>
      <c r="B6138" s="2"/>
      <c r="C6138" s="7"/>
      <c r="D6138" s="7"/>
    </row>
    <row r="6139" spans="1:4" ht="12.75" customHeight="1" x14ac:dyDescent="0.2">
      <c r="A6139" s="5"/>
      <c r="B6139" s="2"/>
      <c r="C6139" s="7"/>
      <c r="D6139" s="7"/>
    </row>
    <row r="6140" spans="1:4" ht="12.75" customHeight="1" x14ac:dyDescent="0.2">
      <c r="A6140" s="22" t="str">
        <f>HYPERLINK("javascript:void(0)","hidracél saru")</f>
        <v>hidracél saru</v>
      </c>
      <c r="B6140" s="21"/>
      <c r="C6140" s="21"/>
      <c r="D6140" s="21"/>
    </row>
    <row r="6141" spans="1:4" ht="12.75" customHeight="1" x14ac:dyDescent="0.2">
      <c r="A6141" s="20"/>
      <c r="B6141" s="2"/>
      <c r="C6141" s="7"/>
      <c r="D6141" s="7"/>
    </row>
    <row r="6142" spans="1:4" ht="12.75" customHeight="1" x14ac:dyDescent="0.2">
      <c r="A6142" s="21"/>
      <c r="B6142" s="3" t="s">
        <v>0</v>
      </c>
      <c r="C6142" s="23" t="s">
        <v>60</v>
      </c>
      <c r="D6142" s="21"/>
    </row>
    <row r="6143" spans="1:4" ht="12.75" customHeight="1" x14ac:dyDescent="0.2">
      <c r="A6143" s="21"/>
      <c r="B6143" s="3" t="s">
        <v>2</v>
      </c>
      <c r="C6143" s="23"/>
      <c r="D6143" s="21"/>
    </row>
    <row r="6144" spans="1:4" ht="12.75" customHeight="1" x14ac:dyDescent="0.2">
      <c r="A6144" s="21"/>
      <c r="B6144" s="3" t="s">
        <v>1840</v>
      </c>
      <c r="C6144" s="23" t="s">
        <v>1012</v>
      </c>
      <c r="D6144" s="21"/>
    </row>
    <row r="6145" spans="1:4" ht="12.75" customHeight="1" x14ac:dyDescent="0.2">
      <c r="A6145" s="21"/>
      <c r="B6145" s="3" t="s">
        <v>9</v>
      </c>
      <c r="C6145" s="23" t="s">
        <v>93</v>
      </c>
      <c r="D6145" s="21"/>
    </row>
    <row r="6146" spans="1:4" ht="12.75" customHeight="1" x14ac:dyDescent="0.2">
      <c r="A6146" s="21"/>
      <c r="B6146" s="3" t="s">
        <v>11</v>
      </c>
      <c r="C6146" s="23" t="s">
        <v>552</v>
      </c>
      <c r="D6146" s="21"/>
    </row>
    <row r="6147" spans="1:4" ht="12.75" customHeight="1" x14ac:dyDescent="0.2">
      <c r="A6147" s="21"/>
      <c r="B6147" s="3" t="s">
        <v>16</v>
      </c>
      <c r="C6147" s="23"/>
      <c r="D6147" s="21"/>
    </row>
    <row r="6148" spans="1:4" ht="12.75" customHeight="1" x14ac:dyDescent="0.2">
      <c r="A6148" s="21"/>
      <c r="B6148" s="3" t="s">
        <v>17</v>
      </c>
      <c r="C6148" s="23" t="s">
        <v>19</v>
      </c>
      <c r="D6148" s="21"/>
    </row>
    <row r="6149" spans="1:4" ht="12.75" customHeight="1" x14ac:dyDescent="0.2">
      <c r="A6149" s="21"/>
      <c r="B6149" s="20" t="s">
        <v>18</v>
      </c>
      <c r="C6149" s="8" t="s">
        <v>44</v>
      </c>
      <c r="D6149" s="1" t="str">
        <f>HYPERLINK("javascript:void(0)","diszpro saru")</f>
        <v>diszpro saru</v>
      </c>
    </row>
    <row r="6150" spans="1:4" ht="12.75" customHeight="1" x14ac:dyDescent="0.2">
      <c r="A6150" s="21"/>
      <c r="B6150" s="21"/>
      <c r="C6150" s="8" t="s">
        <v>77</v>
      </c>
      <c r="D6150" s="1" t="str">
        <f>HYPERLINK("javascript:void(0)","horog")</f>
        <v>horog</v>
      </c>
    </row>
    <row r="6151" spans="1:4" ht="12.75" customHeight="1" x14ac:dyDescent="0.2">
      <c r="A6151" s="21"/>
      <c r="B6151" s="21"/>
      <c r="C6151" s="8" t="s">
        <v>117</v>
      </c>
      <c r="D6151" s="1" t="str">
        <f>HYPERLINK("javascript:void(0)","csigaház")</f>
        <v>csigaház</v>
      </c>
    </row>
    <row r="6152" spans="1:4" ht="12.75" customHeight="1" x14ac:dyDescent="0.2">
      <c r="A6152" s="21"/>
      <c r="B6152" s="2"/>
      <c r="C6152" s="7"/>
      <c r="D6152" s="7"/>
    </row>
    <row r="6153" spans="1:4" ht="12.75" customHeight="1" x14ac:dyDescent="0.2">
      <c r="A6153" s="21"/>
      <c r="B6153" s="2"/>
      <c r="C6153" s="7"/>
      <c r="D6153" s="7"/>
    </row>
    <row r="6154" spans="1:4" ht="12.75" customHeight="1" x14ac:dyDescent="0.2">
      <c r="A6154" s="21"/>
      <c r="B6154" s="2"/>
      <c r="C6154" s="7"/>
      <c r="D6154" s="7"/>
    </row>
    <row r="6155" spans="1:4" ht="12.75" customHeight="1" x14ac:dyDescent="0.2">
      <c r="A6155" s="21"/>
      <c r="B6155" s="2"/>
      <c r="C6155" s="7"/>
      <c r="D6155" s="7"/>
    </row>
    <row r="6156" spans="1:4" ht="12.75" customHeight="1" x14ac:dyDescent="0.2">
      <c r="A6156" s="5"/>
      <c r="B6156" s="2"/>
      <c r="C6156" s="7"/>
      <c r="D6156" s="7"/>
    </row>
    <row r="6157" spans="1:4" ht="12.75" customHeight="1" x14ac:dyDescent="0.2">
      <c r="A6157" s="22" t="str">
        <f>HYPERLINK("javascript:void(0)","kronopajzs")</f>
        <v>kronopajzs</v>
      </c>
      <c r="B6157" s="21"/>
      <c r="C6157" s="21"/>
      <c r="D6157" s="21"/>
    </row>
    <row r="6158" spans="1:4" ht="12.75" customHeight="1" x14ac:dyDescent="0.2">
      <c r="A6158" s="20"/>
      <c r="B6158" s="2"/>
      <c r="C6158" s="7"/>
      <c r="D6158" s="7"/>
    </row>
    <row r="6159" spans="1:4" ht="12.75" customHeight="1" x14ac:dyDescent="0.2">
      <c r="A6159" s="21"/>
      <c r="B6159" s="3" t="s">
        <v>0</v>
      </c>
      <c r="C6159" s="23" t="s">
        <v>60</v>
      </c>
      <c r="D6159" s="21"/>
    </row>
    <row r="6160" spans="1:4" ht="12.75" customHeight="1" x14ac:dyDescent="0.2">
      <c r="A6160" s="21"/>
      <c r="B6160" s="3" t="s">
        <v>2</v>
      </c>
      <c r="C6160" s="23" t="s">
        <v>1839</v>
      </c>
      <c r="D6160" s="21"/>
    </row>
    <row r="6161" spans="1:4" ht="12.75" customHeight="1" x14ac:dyDescent="0.2">
      <c r="A6161" s="21"/>
      <c r="B6161" s="3" t="s">
        <v>1840</v>
      </c>
      <c r="C6161" s="23" t="s">
        <v>1213</v>
      </c>
      <c r="D6161" s="21"/>
    </row>
    <row r="6162" spans="1:4" ht="12.75" customHeight="1" x14ac:dyDescent="0.2">
      <c r="A6162" s="21"/>
      <c r="B6162" s="3" t="s">
        <v>9</v>
      </c>
      <c r="C6162" s="23" t="s">
        <v>377</v>
      </c>
      <c r="D6162" s="21"/>
    </row>
    <row r="6163" spans="1:4" ht="12.75" customHeight="1" x14ac:dyDescent="0.2">
      <c r="A6163" s="21"/>
      <c r="B6163" s="3" t="s">
        <v>11</v>
      </c>
      <c r="C6163" s="23" t="s">
        <v>660</v>
      </c>
      <c r="D6163" s="21"/>
    </row>
    <row r="6164" spans="1:4" ht="12.75" customHeight="1" x14ac:dyDescent="0.2">
      <c r="A6164" s="21"/>
      <c r="B6164" s="3" t="s">
        <v>16</v>
      </c>
      <c r="C6164" s="23"/>
      <c r="D6164" s="21"/>
    </row>
    <row r="6165" spans="1:4" ht="12.75" customHeight="1" x14ac:dyDescent="0.2">
      <c r="A6165" s="21"/>
      <c r="B6165" s="3" t="s">
        <v>17</v>
      </c>
      <c r="C6165" s="23" t="s">
        <v>19</v>
      </c>
      <c r="D6165" s="21"/>
    </row>
    <row r="6166" spans="1:4" ht="12.75" customHeight="1" x14ac:dyDescent="0.2">
      <c r="A6166" s="21"/>
      <c r="B6166" s="20" t="s">
        <v>18</v>
      </c>
      <c r="C6166" s="8" t="s">
        <v>44</v>
      </c>
      <c r="D6166" s="1" t="str">
        <f>HYPERLINK("javascript:void(0)","rotorpajzs")</f>
        <v>rotorpajzs</v>
      </c>
    </row>
    <row r="6167" spans="1:4" ht="12.75" customHeight="1" x14ac:dyDescent="0.2">
      <c r="A6167" s="21"/>
      <c r="B6167" s="21"/>
      <c r="C6167" s="8" t="s">
        <v>77</v>
      </c>
      <c r="D6167" s="1" t="str">
        <f>HYPERLINK("javascript:void(0)","igeidő")</f>
        <v>igeidő</v>
      </c>
    </row>
    <row r="6168" spans="1:4" ht="12.75" customHeight="1" x14ac:dyDescent="0.2">
      <c r="A6168" s="21"/>
      <c r="B6168" s="21"/>
      <c r="C6168" s="8" t="s">
        <v>117</v>
      </c>
      <c r="D6168" s="1" t="str">
        <f>HYPERLINK("javascript:void(0)","istenköröm")</f>
        <v>istenköröm</v>
      </c>
    </row>
    <row r="6169" spans="1:4" ht="12.75" customHeight="1" x14ac:dyDescent="0.2">
      <c r="A6169" s="21"/>
      <c r="B6169" s="2"/>
      <c r="C6169" s="7"/>
      <c r="D6169" s="7"/>
    </row>
    <row r="6170" spans="1:4" ht="12.75" customHeight="1" x14ac:dyDescent="0.2">
      <c r="A6170" s="21"/>
      <c r="B6170" s="2"/>
      <c r="C6170" s="7"/>
      <c r="D6170" s="7"/>
    </row>
    <row r="6171" spans="1:4" ht="12.75" customHeight="1" x14ac:dyDescent="0.2">
      <c r="A6171" s="21"/>
      <c r="B6171" s="2"/>
      <c r="C6171" s="7"/>
      <c r="D6171" s="7"/>
    </row>
    <row r="6172" spans="1:4" ht="12.75" customHeight="1" x14ac:dyDescent="0.2">
      <c r="A6172" s="21"/>
      <c r="B6172" s="2"/>
      <c r="C6172" s="7"/>
      <c r="D6172" s="7"/>
    </row>
    <row r="6173" spans="1:4" ht="12.75" customHeight="1" x14ac:dyDescent="0.2">
      <c r="A6173" s="5"/>
      <c r="B6173" s="2"/>
      <c r="C6173" s="7"/>
      <c r="D6173" s="7"/>
    </row>
    <row r="6174" spans="1:4" ht="12.75" customHeight="1" x14ac:dyDescent="0.2">
      <c r="A6174" s="22" t="str">
        <f>HYPERLINK("javascript:void(0)","vasveretű illanat")</f>
        <v>vasveretű illanat</v>
      </c>
      <c r="B6174" s="21"/>
      <c r="C6174" s="21"/>
      <c r="D6174" s="21"/>
    </row>
    <row r="6175" spans="1:4" ht="12.75" customHeight="1" x14ac:dyDescent="0.2">
      <c r="A6175" s="20"/>
      <c r="B6175" s="2"/>
      <c r="C6175" s="7"/>
      <c r="D6175" s="7"/>
    </row>
    <row r="6176" spans="1:4" ht="12.75" customHeight="1" x14ac:dyDescent="0.2">
      <c r="A6176" s="21"/>
      <c r="B6176" s="3" t="s">
        <v>0</v>
      </c>
      <c r="C6176" s="23" t="s">
        <v>60</v>
      </c>
      <c r="D6176" s="21"/>
    </row>
    <row r="6177" spans="1:4" ht="12.75" customHeight="1" x14ac:dyDescent="0.2">
      <c r="A6177" s="21"/>
      <c r="B6177" s="3" t="s">
        <v>2</v>
      </c>
      <c r="C6177" s="23" t="s">
        <v>1839</v>
      </c>
      <c r="D6177" s="21"/>
    </row>
    <row r="6178" spans="1:4" ht="12.75" customHeight="1" x14ac:dyDescent="0.2">
      <c r="A6178" s="21"/>
      <c r="B6178" s="3" t="s">
        <v>1840</v>
      </c>
      <c r="C6178" s="23" t="s">
        <v>1213</v>
      </c>
      <c r="D6178" s="21"/>
    </row>
    <row r="6179" spans="1:4" ht="12.75" customHeight="1" x14ac:dyDescent="0.2">
      <c r="A6179" s="21"/>
      <c r="B6179" s="3" t="s">
        <v>9</v>
      </c>
      <c r="C6179" s="23" t="s">
        <v>1993</v>
      </c>
      <c r="D6179" s="21"/>
    </row>
    <row r="6180" spans="1:4" ht="12.75" customHeight="1" x14ac:dyDescent="0.2">
      <c r="A6180" s="21"/>
      <c r="B6180" s="3" t="s">
        <v>11</v>
      </c>
      <c r="C6180" s="23" t="s">
        <v>684</v>
      </c>
      <c r="D6180" s="21"/>
    </row>
    <row r="6181" spans="1:4" ht="12.75" customHeight="1" x14ac:dyDescent="0.2">
      <c r="A6181" s="21"/>
      <c r="B6181" s="3" t="s">
        <v>16</v>
      </c>
      <c r="C6181" s="23"/>
      <c r="D6181" s="21"/>
    </row>
    <row r="6182" spans="1:4" ht="12.75" customHeight="1" x14ac:dyDescent="0.2">
      <c r="A6182" s="21"/>
      <c r="B6182" s="3" t="s">
        <v>17</v>
      </c>
      <c r="C6182" s="23" t="s">
        <v>19</v>
      </c>
      <c r="D6182" s="21"/>
    </row>
    <row r="6183" spans="1:4" ht="12.75" customHeight="1" x14ac:dyDescent="0.2">
      <c r="A6183" s="21"/>
      <c r="B6183" s="20" t="s">
        <v>18</v>
      </c>
      <c r="C6183" s="8" t="s">
        <v>44</v>
      </c>
      <c r="D6183" s="1" t="str">
        <f>HYPERLINK("javascript:void(0)","kronopajzs")</f>
        <v>kronopajzs</v>
      </c>
    </row>
    <row r="6184" spans="1:4" ht="12.75" customHeight="1" x14ac:dyDescent="0.2">
      <c r="A6184" s="21"/>
      <c r="B6184" s="21"/>
      <c r="C6184" s="8" t="s">
        <v>67</v>
      </c>
      <c r="D6184" s="1" t="str">
        <f>HYPERLINK("javascript:void(0)","vasrög")</f>
        <v>vasrög</v>
      </c>
    </row>
    <row r="6185" spans="1:4" ht="12.75" customHeight="1" x14ac:dyDescent="0.2">
      <c r="A6185" s="21"/>
      <c r="B6185" s="21"/>
      <c r="C6185" s="8" t="s">
        <v>117</v>
      </c>
      <c r="D6185" s="1" t="str">
        <f>HYPERLINK("javascript:void(0)","horog")</f>
        <v>horog</v>
      </c>
    </row>
    <row r="6186" spans="1:4" ht="12.75" customHeight="1" x14ac:dyDescent="0.2">
      <c r="A6186" s="21"/>
      <c r="B6186" s="2"/>
      <c r="C6186" s="7"/>
      <c r="D6186" s="7"/>
    </row>
    <row r="6187" spans="1:4" ht="12.75" customHeight="1" x14ac:dyDescent="0.2">
      <c r="A6187" s="21"/>
      <c r="B6187" s="2"/>
      <c r="C6187" s="7"/>
      <c r="D6187" s="7"/>
    </row>
    <row r="6188" spans="1:4" ht="12.75" customHeight="1" x14ac:dyDescent="0.2">
      <c r="A6188" s="21"/>
      <c r="B6188" s="2"/>
      <c r="C6188" s="7"/>
      <c r="D6188" s="7"/>
    </row>
    <row r="6189" spans="1:4" ht="12.75" customHeight="1" x14ac:dyDescent="0.2">
      <c r="A6189" s="21"/>
      <c r="B6189" s="2"/>
      <c r="C6189" s="7"/>
      <c r="D6189" s="7"/>
    </row>
    <row r="6190" spans="1:4" ht="12.75" customHeight="1" x14ac:dyDescent="0.2">
      <c r="A6190" s="5"/>
      <c r="B6190" s="2"/>
      <c r="C6190" s="7"/>
      <c r="D6190" s="7"/>
    </row>
    <row r="6191" spans="1:4" ht="12.75" customHeight="1" x14ac:dyDescent="0.2">
      <c r="A6191" s="22" t="str">
        <f>HYPERLINK("javascript:void(0)","kompózium előlap")</f>
        <v>kompózium előlap</v>
      </c>
      <c r="B6191" s="21"/>
      <c r="C6191" s="21"/>
      <c r="D6191" s="21"/>
    </row>
    <row r="6192" spans="1:4" ht="12.75" customHeight="1" x14ac:dyDescent="0.2">
      <c r="A6192" s="20"/>
      <c r="B6192" s="2"/>
      <c r="C6192" s="7"/>
      <c r="D6192" s="7"/>
    </row>
    <row r="6193" spans="1:4" ht="12.75" customHeight="1" x14ac:dyDescent="0.2">
      <c r="A6193" s="21"/>
      <c r="B6193" s="3" t="s">
        <v>0</v>
      </c>
      <c r="C6193" s="23" t="s">
        <v>60</v>
      </c>
      <c r="D6193" s="21"/>
    </row>
    <row r="6194" spans="1:4" ht="12.75" customHeight="1" x14ac:dyDescent="0.2">
      <c r="A6194" s="21"/>
      <c r="B6194" s="3" t="s">
        <v>2</v>
      </c>
      <c r="C6194" s="23" t="s">
        <v>2322</v>
      </c>
      <c r="D6194" s="21"/>
    </row>
    <row r="6195" spans="1:4" ht="12.75" customHeight="1" x14ac:dyDescent="0.2">
      <c r="A6195" s="21"/>
      <c r="B6195" s="3" t="s">
        <v>1840</v>
      </c>
      <c r="C6195" s="23" t="s">
        <v>157</v>
      </c>
      <c r="D6195" s="21"/>
    </row>
    <row r="6196" spans="1:4" ht="12.75" customHeight="1" x14ac:dyDescent="0.2">
      <c r="A6196" s="21"/>
      <c r="B6196" s="3" t="s">
        <v>9</v>
      </c>
      <c r="C6196" s="23" t="s">
        <v>84</v>
      </c>
      <c r="D6196" s="21"/>
    </row>
    <row r="6197" spans="1:4" ht="12.75" customHeight="1" x14ac:dyDescent="0.2">
      <c r="A6197" s="21"/>
      <c r="B6197" s="3" t="s">
        <v>11</v>
      </c>
      <c r="C6197" s="23" t="s">
        <v>368</v>
      </c>
      <c r="D6197" s="21"/>
    </row>
    <row r="6198" spans="1:4" ht="12.75" customHeight="1" x14ac:dyDescent="0.2">
      <c r="A6198" s="21"/>
      <c r="B6198" s="3" t="s">
        <v>16</v>
      </c>
      <c r="C6198" s="23"/>
      <c r="D6198" s="21"/>
    </row>
    <row r="6199" spans="1:4" ht="12.75" customHeight="1" x14ac:dyDescent="0.2">
      <c r="A6199" s="21"/>
      <c r="B6199" s="3" t="s">
        <v>17</v>
      </c>
      <c r="C6199" s="23" t="s">
        <v>19</v>
      </c>
      <c r="D6199" s="21"/>
    </row>
    <row r="6200" spans="1:4" ht="12.75" customHeight="1" x14ac:dyDescent="0.2">
      <c r="A6200" s="21"/>
      <c r="B6200" s="20" t="s">
        <v>18</v>
      </c>
      <c r="C6200" s="8" t="s">
        <v>77</v>
      </c>
      <c r="D6200" s="1" t="str">
        <f>HYPERLINK("javascript:void(0)","kompózium")</f>
        <v>kompózium</v>
      </c>
    </row>
    <row r="6201" spans="1:4" ht="12.75" customHeight="1" x14ac:dyDescent="0.2">
      <c r="A6201" s="21"/>
      <c r="B6201" s="21"/>
      <c r="C6201" s="8" t="s">
        <v>142</v>
      </c>
      <c r="D6201" s="1" t="str">
        <f>HYPERLINK("javascript:void(0)","igeidő")</f>
        <v>igeidő</v>
      </c>
    </row>
    <row r="6202" spans="1:4" ht="12.75" customHeight="1" x14ac:dyDescent="0.2">
      <c r="A6202" s="21"/>
      <c r="B6202" s="21"/>
      <c r="C6202" s="8" t="s">
        <v>117</v>
      </c>
      <c r="D6202" s="1" t="str">
        <f>HYPERLINK("javascript:void(0)","rozsdalap")</f>
        <v>rozsdalap</v>
      </c>
    </row>
    <row r="6203" spans="1:4" ht="12.75" customHeight="1" x14ac:dyDescent="0.2">
      <c r="A6203" s="21"/>
      <c r="B6203" s="2"/>
      <c r="C6203" s="7"/>
      <c r="D6203" s="7"/>
    </row>
    <row r="6204" spans="1:4" ht="12.75" customHeight="1" x14ac:dyDescent="0.2">
      <c r="A6204" s="21"/>
      <c r="B6204" s="2"/>
      <c r="C6204" s="7"/>
      <c r="D6204" s="7"/>
    </row>
    <row r="6205" spans="1:4" ht="12.75" customHeight="1" x14ac:dyDescent="0.2">
      <c r="A6205" s="21"/>
      <c r="B6205" s="2"/>
      <c r="C6205" s="7"/>
      <c r="D6205" s="7"/>
    </row>
    <row r="6206" spans="1:4" ht="12.75" customHeight="1" x14ac:dyDescent="0.2">
      <c r="A6206" s="21"/>
      <c r="B6206" s="2"/>
      <c r="C6206" s="7"/>
      <c r="D6206" s="7"/>
    </row>
    <row r="6207" spans="1:4" ht="12.75" customHeight="1" x14ac:dyDescent="0.2">
      <c r="A6207" s="5"/>
      <c r="B6207" s="2"/>
      <c r="C6207" s="7"/>
      <c r="D6207" s="7"/>
    </row>
    <row r="6208" spans="1:4" ht="12.75" customHeight="1" x14ac:dyDescent="0.2">
      <c r="A6208" s="22" t="str">
        <f>HYPERLINK("javascript:void(0)","centro manasisak")</f>
        <v>centro manasisak</v>
      </c>
      <c r="B6208" s="21"/>
      <c r="C6208" s="21"/>
      <c r="D6208" s="21"/>
    </row>
    <row r="6209" spans="1:4" ht="12.75" customHeight="1" x14ac:dyDescent="0.2">
      <c r="A6209" s="20"/>
      <c r="B6209" s="2"/>
      <c r="C6209" s="7"/>
      <c r="D6209" s="7"/>
    </row>
    <row r="6210" spans="1:4" ht="12.75" customHeight="1" x14ac:dyDescent="0.2">
      <c r="A6210" s="21"/>
      <c r="B6210" s="3" t="s">
        <v>0</v>
      </c>
      <c r="C6210" s="23" t="s">
        <v>60</v>
      </c>
      <c r="D6210" s="21"/>
    </row>
    <row r="6211" spans="1:4" ht="12.75" customHeight="1" x14ac:dyDescent="0.2">
      <c r="A6211" s="21"/>
      <c r="B6211" s="3" t="s">
        <v>2</v>
      </c>
      <c r="C6211" s="23"/>
      <c r="D6211" s="21"/>
    </row>
    <row r="6212" spans="1:4" ht="12.75" customHeight="1" x14ac:dyDescent="0.2">
      <c r="A6212" s="21"/>
      <c r="B6212" s="3" t="s">
        <v>1840</v>
      </c>
      <c r="C6212" s="23" t="s">
        <v>575</v>
      </c>
      <c r="D6212" s="21"/>
    </row>
    <row r="6213" spans="1:4" ht="12.75" customHeight="1" x14ac:dyDescent="0.2">
      <c r="A6213" s="21"/>
      <c r="B6213" s="3" t="s">
        <v>9</v>
      </c>
      <c r="C6213" s="23" t="s">
        <v>464</v>
      </c>
      <c r="D6213" s="21"/>
    </row>
    <row r="6214" spans="1:4" ht="12.75" customHeight="1" x14ac:dyDescent="0.2">
      <c r="A6214" s="21"/>
      <c r="B6214" s="3" t="s">
        <v>11</v>
      </c>
      <c r="C6214" s="23" t="s">
        <v>350</v>
      </c>
      <c r="D6214" s="21"/>
    </row>
    <row r="6215" spans="1:4" ht="12.75" customHeight="1" x14ac:dyDescent="0.2">
      <c r="A6215" s="21"/>
      <c r="B6215" s="3" t="s">
        <v>16</v>
      </c>
      <c r="C6215" s="23"/>
      <c r="D6215" s="21"/>
    </row>
    <row r="6216" spans="1:4" ht="12.75" customHeight="1" x14ac:dyDescent="0.2">
      <c r="A6216" s="21"/>
      <c r="B6216" s="3" t="s">
        <v>17</v>
      </c>
      <c r="C6216" s="23" t="s">
        <v>19</v>
      </c>
      <c r="D6216" s="21"/>
    </row>
    <row r="6217" spans="1:4" ht="12.75" customHeight="1" x14ac:dyDescent="0.2">
      <c r="A6217" s="21"/>
      <c r="B6217" s="20" t="s">
        <v>18</v>
      </c>
      <c r="C6217" s="8" t="s">
        <v>44</v>
      </c>
      <c r="D6217" s="1" t="str">
        <f>HYPERLINK("javascript:void(0)","kithrill manasisak")</f>
        <v>kithrill manasisak</v>
      </c>
    </row>
    <row r="6218" spans="1:4" ht="12.75" customHeight="1" x14ac:dyDescent="0.2">
      <c r="A6218" s="21"/>
      <c r="B6218" s="21"/>
      <c r="C6218" s="8" t="s">
        <v>68</v>
      </c>
      <c r="D6218" s="1" t="str">
        <f>HYPERLINK("javascript:void(0)","horog")</f>
        <v>horog</v>
      </c>
    </row>
    <row r="6219" spans="1:4" ht="12.75" customHeight="1" x14ac:dyDescent="0.2">
      <c r="A6219" s="21"/>
      <c r="B6219" s="21"/>
      <c r="C6219" s="8" t="s">
        <v>117</v>
      </c>
      <c r="D6219" s="1" t="str">
        <f>HYPERLINK("javascript:void(0)","manókoponya")</f>
        <v>manókoponya</v>
      </c>
    </row>
    <row r="6220" spans="1:4" ht="12.75" customHeight="1" x14ac:dyDescent="0.2">
      <c r="A6220" s="21"/>
      <c r="B6220" s="2"/>
      <c r="C6220" s="7"/>
      <c r="D6220" s="7"/>
    </row>
    <row r="6221" spans="1:4" ht="12.75" customHeight="1" x14ac:dyDescent="0.2">
      <c r="A6221" s="21"/>
      <c r="B6221" s="2"/>
      <c r="C6221" s="7"/>
      <c r="D6221" s="7"/>
    </row>
    <row r="6222" spans="1:4" ht="12.75" customHeight="1" x14ac:dyDescent="0.2">
      <c r="A6222" s="21"/>
      <c r="B6222" s="2"/>
      <c r="C6222" s="7"/>
      <c r="D6222" s="7"/>
    </row>
    <row r="6223" spans="1:4" ht="12.75" customHeight="1" x14ac:dyDescent="0.2">
      <c r="A6223" s="21"/>
      <c r="B6223" s="2"/>
      <c r="C6223" s="7"/>
      <c r="D6223" s="7"/>
    </row>
    <row r="6224" spans="1:4" ht="12.75" customHeight="1" x14ac:dyDescent="0.2">
      <c r="A6224" s="5"/>
      <c r="B6224" s="2"/>
      <c r="C6224" s="7"/>
      <c r="D6224" s="7"/>
    </row>
    <row r="6225" spans="1:4" ht="12.75" customHeight="1" x14ac:dyDescent="0.2">
      <c r="A6225" s="22" t="str">
        <f>HYPERLINK("javascript:void(0)","centro manafejpánt")</f>
        <v>centro manafejpánt</v>
      </c>
      <c r="B6225" s="21"/>
      <c r="C6225" s="21"/>
      <c r="D6225" s="21"/>
    </row>
    <row r="6226" spans="1:4" ht="12.75" customHeight="1" x14ac:dyDescent="0.2">
      <c r="A6226" s="20"/>
      <c r="B6226" s="2"/>
      <c r="C6226" s="7"/>
      <c r="D6226" s="7"/>
    </row>
    <row r="6227" spans="1:4" ht="12.75" customHeight="1" x14ac:dyDescent="0.2">
      <c r="A6227" s="21"/>
      <c r="B6227" s="3" t="s">
        <v>0</v>
      </c>
      <c r="C6227" s="23" t="s">
        <v>60</v>
      </c>
      <c r="D6227" s="21"/>
    </row>
    <row r="6228" spans="1:4" ht="12.75" customHeight="1" x14ac:dyDescent="0.2">
      <c r="A6228" s="21"/>
      <c r="B6228" s="3" t="s">
        <v>2</v>
      </c>
      <c r="C6228" s="23"/>
      <c r="D6228" s="21"/>
    </row>
    <row r="6229" spans="1:4" ht="12.75" customHeight="1" x14ac:dyDescent="0.2">
      <c r="A6229" s="21"/>
      <c r="B6229" s="3" t="s">
        <v>1840</v>
      </c>
      <c r="C6229" s="23" t="s">
        <v>284</v>
      </c>
      <c r="D6229" s="21"/>
    </row>
    <row r="6230" spans="1:4" ht="12.75" customHeight="1" x14ac:dyDescent="0.2">
      <c r="A6230" s="21"/>
      <c r="B6230" s="3" t="s">
        <v>9</v>
      </c>
      <c r="C6230" s="23" t="s">
        <v>30</v>
      </c>
      <c r="D6230" s="21"/>
    </row>
    <row r="6231" spans="1:4" ht="12.75" customHeight="1" x14ac:dyDescent="0.2">
      <c r="A6231" s="21"/>
      <c r="B6231" s="3" t="s">
        <v>11</v>
      </c>
      <c r="C6231" s="23" t="s">
        <v>350</v>
      </c>
      <c r="D6231" s="21"/>
    </row>
    <row r="6232" spans="1:4" ht="12.75" customHeight="1" x14ac:dyDescent="0.2">
      <c r="A6232" s="21"/>
      <c r="B6232" s="3" t="s">
        <v>16</v>
      </c>
      <c r="C6232" s="23"/>
      <c r="D6232" s="21"/>
    </row>
    <row r="6233" spans="1:4" ht="12.75" customHeight="1" x14ac:dyDescent="0.2">
      <c r="A6233" s="21"/>
      <c r="B6233" s="3" t="s">
        <v>17</v>
      </c>
      <c r="C6233" s="23" t="s">
        <v>19</v>
      </c>
      <c r="D6233" s="21"/>
    </row>
    <row r="6234" spans="1:4" ht="12.75" customHeight="1" x14ac:dyDescent="0.2">
      <c r="A6234" s="21"/>
      <c r="B6234" s="20" t="s">
        <v>18</v>
      </c>
      <c r="C6234" s="8" t="s">
        <v>44</v>
      </c>
      <c r="D6234" s="1" t="str">
        <f>HYPERLINK("javascript:void(0)","kithrill manafejpánt")</f>
        <v>kithrill manafejpánt</v>
      </c>
    </row>
    <row r="6235" spans="1:4" ht="12.75" customHeight="1" x14ac:dyDescent="0.2">
      <c r="A6235" s="21"/>
      <c r="B6235" s="21"/>
      <c r="C6235" s="8" t="s">
        <v>68</v>
      </c>
      <c r="D6235" s="1" t="str">
        <f>HYPERLINK("javascript:void(0)","igeidő")</f>
        <v>igeidő</v>
      </c>
    </row>
    <row r="6236" spans="1:4" ht="12.75" customHeight="1" x14ac:dyDescent="0.2">
      <c r="A6236" s="21"/>
      <c r="B6236" s="21"/>
      <c r="C6236" s="8" t="s">
        <v>117</v>
      </c>
      <c r="D6236" s="1" t="str">
        <f>HYPERLINK("javascript:void(0)","istenköröm")</f>
        <v>istenköröm</v>
      </c>
    </row>
    <row r="6237" spans="1:4" ht="12.75" customHeight="1" x14ac:dyDescent="0.2">
      <c r="A6237" s="21"/>
      <c r="B6237" s="2"/>
      <c r="C6237" s="7"/>
      <c r="D6237" s="7"/>
    </row>
    <row r="6238" spans="1:4" ht="12.75" customHeight="1" x14ac:dyDescent="0.2">
      <c r="A6238" s="21"/>
      <c r="B6238" s="2"/>
      <c r="C6238" s="7"/>
      <c r="D6238" s="7"/>
    </row>
    <row r="6239" spans="1:4" ht="12.75" customHeight="1" x14ac:dyDescent="0.2">
      <c r="A6239" s="21"/>
      <c r="B6239" s="2"/>
      <c r="C6239" s="7"/>
      <c r="D6239" s="7"/>
    </row>
    <row r="6240" spans="1:4" ht="12.75" customHeight="1" x14ac:dyDescent="0.2">
      <c r="A6240" s="21"/>
      <c r="B6240" s="2"/>
      <c r="C6240" s="7"/>
      <c r="D6240" s="7"/>
    </row>
    <row r="6241" spans="1:4" ht="12.75" customHeight="1" x14ac:dyDescent="0.2">
      <c r="A6241" s="5"/>
      <c r="B6241" s="2"/>
      <c r="C6241" s="7"/>
      <c r="D6241" s="7"/>
    </row>
    <row r="6242" spans="1:4" ht="12.75" customHeight="1" x14ac:dyDescent="0.2">
      <c r="A6242" s="22" t="str">
        <f>HYPERLINK("javascript:void(0)","elfacél mellvért")</f>
        <v>elfacél mellvért</v>
      </c>
      <c r="B6242" s="21"/>
      <c r="C6242" s="21"/>
      <c r="D6242" s="21"/>
    </row>
    <row r="6243" spans="1:4" ht="12.75" customHeight="1" x14ac:dyDescent="0.2">
      <c r="A6243" s="20"/>
      <c r="B6243" s="2"/>
      <c r="C6243" s="7"/>
      <c r="D6243" s="7"/>
    </row>
    <row r="6244" spans="1:4" ht="12.75" customHeight="1" x14ac:dyDescent="0.2">
      <c r="A6244" s="21"/>
      <c r="B6244" s="3" t="s">
        <v>0</v>
      </c>
      <c r="C6244" s="23" t="s">
        <v>167</v>
      </c>
      <c r="D6244" s="21"/>
    </row>
    <row r="6245" spans="1:4" ht="12.75" customHeight="1" x14ac:dyDescent="0.2">
      <c r="A6245" s="21"/>
      <c r="B6245" s="3" t="s">
        <v>2</v>
      </c>
      <c r="C6245" s="23" t="s">
        <v>2322</v>
      </c>
      <c r="D6245" s="21"/>
    </row>
    <row r="6246" spans="1:4" ht="12.75" customHeight="1" x14ac:dyDescent="0.2">
      <c r="A6246" s="21"/>
      <c r="B6246" s="3" t="s">
        <v>1840</v>
      </c>
      <c r="C6246" s="23" t="s">
        <v>482</v>
      </c>
      <c r="D6246" s="21"/>
    </row>
    <row r="6247" spans="1:4" ht="12.75" customHeight="1" x14ac:dyDescent="0.2">
      <c r="A6247" s="21"/>
      <c r="B6247" s="3" t="s">
        <v>9</v>
      </c>
      <c r="C6247" s="23" t="s">
        <v>172</v>
      </c>
      <c r="D6247" s="21"/>
    </row>
    <row r="6248" spans="1:4" ht="12.75" customHeight="1" x14ac:dyDescent="0.2">
      <c r="A6248" s="21"/>
      <c r="B6248" s="3" t="s">
        <v>11</v>
      </c>
      <c r="C6248" s="23" t="s">
        <v>542</v>
      </c>
      <c r="D6248" s="21"/>
    </row>
    <row r="6249" spans="1:4" ht="12.75" customHeight="1" x14ac:dyDescent="0.2">
      <c r="A6249" s="21"/>
      <c r="B6249" s="3" t="s">
        <v>16</v>
      </c>
      <c r="C6249" s="23"/>
      <c r="D6249" s="21"/>
    </row>
    <row r="6250" spans="1:4" ht="12.75" customHeight="1" x14ac:dyDescent="0.2">
      <c r="A6250" s="21"/>
      <c r="B6250" s="3" t="s">
        <v>17</v>
      </c>
      <c r="C6250" s="23" t="s">
        <v>19</v>
      </c>
      <c r="D6250" s="21"/>
    </row>
    <row r="6251" spans="1:4" ht="12.75" customHeight="1" x14ac:dyDescent="0.2">
      <c r="A6251" s="21"/>
      <c r="B6251" s="20" t="s">
        <v>18</v>
      </c>
      <c r="C6251" s="8" t="s">
        <v>44</v>
      </c>
      <c r="D6251" s="1" t="str">
        <f>HYPERLINK("javascript:void(0)","kompózium mellvért")</f>
        <v>kompózium mellvért</v>
      </c>
    </row>
    <row r="6252" spans="1:4" ht="12.75" customHeight="1" x14ac:dyDescent="0.2">
      <c r="A6252" s="21"/>
      <c r="B6252" s="21"/>
      <c r="C6252" s="8" t="s">
        <v>244</v>
      </c>
      <c r="D6252" s="1" t="str">
        <f>HYPERLINK("javascript:void(0)","hörcsögagyar")</f>
        <v>hörcsögagyar</v>
      </c>
    </row>
    <row r="6253" spans="1:4" ht="12.75" customHeight="1" x14ac:dyDescent="0.2">
      <c r="A6253" s="21"/>
      <c r="B6253" s="21"/>
      <c r="C6253" s="8" t="s">
        <v>290</v>
      </c>
      <c r="D6253" s="1" t="str">
        <f>HYPERLINK("javascript:void(0)","rotorlapát")</f>
        <v>rotorlapát</v>
      </c>
    </row>
    <row r="6254" spans="1:4" ht="12.75" customHeight="1" x14ac:dyDescent="0.2">
      <c r="A6254" s="21"/>
      <c r="B6254" s="2"/>
      <c r="C6254" s="7"/>
      <c r="D6254" s="7"/>
    </row>
    <row r="6255" spans="1:4" ht="12.75" customHeight="1" x14ac:dyDescent="0.2">
      <c r="A6255" s="21"/>
      <c r="B6255" s="2"/>
      <c r="C6255" s="7"/>
      <c r="D6255" s="7"/>
    </row>
    <row r="6256" spans="1:4" ht="12.75" customHeight="1" x14ac:dyDescent="0.2">
      <c r="A6256" s="21"/>
      <c r="B6256" s="2"/>
      <c r="C6256" s="7"/>
      <c r="D6256" s="7"/>
    </row>
    <row r="6257" spans="1:4" ht="12.75" customHeight="1" x14ac:dyDescent="0.2">
      <c r="A6257" s="21"/>
      <c r="B6257" s="2"/>
      <c r="C6257" s="7"/>
      <c r="D6257" s="7"/>
    </row>
    <row r="6258" spans="1:4" ht="12.75" customHeight="1" x14ac:dyDescent="0.2">
      <c r="A6258" s="5"/>
      <c r="B6258" s="2"/>
      <c r="C6258" s="7"/>
      <c r="D6258" s="7"/>
    </row>
    <row r="6259" spans="1:4" ht="12.75" customHeight="1" x14ac:dyDescent="0.2">
      <c r="A6259" s="22" t="str">
        <f>HYPERLINK("javascript:void(0)","agyarsisak")</f>
        <v>agyarsisak</v>
      </c>
      <c r="B6259" s="21"/>
      <c r="C6259" s="21"/>
      <c r="D6259" s="21"/>
    </row>
    <row r="6260" spans="1:4" ht="12.75" customHeight="1" x14ac:dyDescent="0.2">
      <c r="A6260" s="20"/>
      <c r="B6260" s="2"/>
      <c r="C6260" s="7"/>
      <c r="D6260" s="7"/>
    </row>
    <row r="6261" spans="1:4" ht="12.75" customHeight="1" x14ac:dyDescent="0.2">
      <c r="A6261" s="21"/>
      <c r="B6261" s="3" t="s">
        <v>0</v>
      </c>
      <c r="C6261" s="23" t="s">
        <v>167</v>
      </c>
      <c r="D6261" s="21"/>
    </row>
    <row r="6262" spans="1:4" ht="12.75" customHeight="1" x14ac:dyDescent="0.2">
      <c r="A6262" s="21"/>
      <c r="B6262" s="3" t="s">
        <v>2</v>
      </c>
      <c r="C6262" s="23"/>
      <c r="D6262" s="21"/>
    </row>
    <row r="6263" spans="1:4" ht="12.75" customHeight="1" x14ac:dyDescent="0.2">
      <c r="A6263" s="21"/>
      <c r="B6263" s="3" t="s">
        <v>1840</v>
      </c>
      <c r="C6263" s="23" t="s">
        <v>347</v>
      </c>
      <c r="D6263" s="21"/>
    </row>
    <row r="6264" spans="1:4" ht="12.75" customHeight="1" x14ac:dyDescent="0.2">
      <c r="A6264" s="21"/>
      <c r="B6264" s="3" t="s">
        <v>9</v>
      </c>
      <c r="C6264" s="23" t="s">
        <v>70</v>
      </c>
      <c r="D6264" s="21"/>
    </row>
    <row r="6265" spans="1:4" ht="12.75" customHeight="1" x14ac:dyDescent="0.2">
      <c r="A6265" s="21"/>
      <c r="B6265" s="3" t="s">
        <v>11</v>
      </c>
      <c r="C6265" s="23" t="s">
        <v>542</v>
      </c>
      <c r="D6265" s="21"/>
    </row>
    <row r="6266" spans="1:4" ht="12.75" customHeight="1" x14ac:dyDescent="0.2">
      <c r="A6266" s="21"/>
      <c r="B6266" s="3" t="s">
        <v>16</v>
      </c>
      <c r="C6266" s="23"/>
      <c r="D6266" s="21"/>
    </row>
    <row r="6267" spans="1:4" ht="12.75" customHeight="1" x14ac:dyDescent="0.2">
      <c r="A6267" s="21"/>
      <c r="B6267" s="3" t="s">
        <v>17</v>
      </c>
      <c r="C6267" s="23" t="s">
        <v>19</v>
      </c>
      <c r="D6267" s="21"/>
    </row>
    <row r="6268" spans="1:4" ht="12.75" customHeight="1" x14ac:dyDescent="0.2">
      <c r="A6268" s="21"/>
      <c r="B6268" s="20" t="s">
        <v>18</v>
      </c>
      <c r="C6268" s="8" t="s">
        <v>44</v>
      </c>
      <c r="D6268" s="1" t="str">
        <f>HYPERLINK("javascript:void(0)","szilánksisak")</f>
        <v>szilánksisak</v>
      </c>
    </row>
    <row r="6269" spans="1:4" ht="12.75" customHeight="1" x14ac:dyDescent="0.2">
      <c r="A6269" s="21"/>
      <c r="B6269" s="21"/>
      <c r="C6269" s="8" t="s">
        <v>44</v>
      </c>
      <c r="D6269" s="1" t="str">
        <f>HYPERLINK("javascript:void(0)","kronosisak")</f>
        <v>kronosisak</v>
      </c>
    </row>
    <row r="6270" spans="1:4" ht="12.75" customHeight="1" x14ac:dyDescent="0.2">
      <c r="A6270" s="21"/>
      <c r="B6270" s="21"/>
      <c r="C6270" s="8" t="s">
        <v>117</v>
      </c>
      <c r="D6270" s="1" t="str">
        <f>HYPERLINK("javascript:void(0)","hörcsögagyar")</f>
        <v>hörcsögagyar</v>
      </c>
    </row>
    <row r="6271" spans="1:4" ht="12.75" customHeight="1" x14ac:dyDescent="0.2">
      <c r="A6271" s="21"/>
      <c r="B6271" s="2"/>
      <c r="C6271" s="7"/>
      <c r="D6271" s="7"/>
    </row>
    <row r="6272" spans="1:4" ht="12.75" customHeight="1" x14ac:dyDescent="0.2">
      <c r="A6272" s="21"/>
      <c r="B6272" s="2"/>
      <c r="C6272" s="7"/>
      <c r="D6272" s="7"/>
    </row>
    <row r="6273" spans="1:4" ht="12.75" customHeight="1" x14ac:dyDescent="0.2">
      <c r="A6273" s="21"/>
      <c r="B6273" s="2"/>
      <c r="C6273" s="7"/>
      <c r="D6273" s="7"/>
    </row>
    <row r="6274" spans="1:4" ht="12.75" customHeight="1" x14ac:dyDescent="0.2">
      <c r="A6274" s="21"/>
      <c r="B6274" s="2"/>
      <c r="C6274" s="7"/>
      <c r="D6274" s="7"/>
    </row>
    <row r="6275" spans="1:4" ht="12.75" customHeight="1" x14ac:dyDescent="0.2">
      <c r="A6275" s="5"/>
      <c r="B6275" s="2"/>
      <c r="C6275" s="7"/>
      <c r="D6275" s="7"/>
    </row>
    <row r="6276" spans="1:4" ht="12.75" customHeight="1" x14ac:dyDescent="0.2">
      <c r="A6276" s="22" t="str">
        <f>HYPERLINK("javascript:void(0)","kithrill saru")</f>
        <v>kithrill saru</v>
      </c>
      <c r="B6276" s="21"/>
      <c r="C6276" s="21"/>
      <c r="D6276" s="21"/>
    </row>
    <row r="6277" spans="1:4" ht="12.75" customHeight="1" x14ac:dyDescent="0.2">
      <c r="A6277" s="20"/>
      <c r="B6277" s="2"/>
      <c r="C6277" s="7"/>
      <c r="D6277" s="7"/>
    </row>
    <row r="6278" spans="1:4" ht="12.75" customHeight="1" x14ac:dyDescent="0.2">
      <c r="A6278" s="21"/>
      <c r="B6278" s="3" t="s">
        <v>0</v>
      </c>
      <c r="C6278" s="23" t="s">
        <v>167</v>
      </c>
      <c r="D6278" s="21"/>
    </row>
    <row r="6279" spans="1:4" ht="12.75" customHeight="1" x14ac:dyDescent="0.2">
      <c r="A6279" s="21"/>
      <c r="B6279" s="3" t="s">
        <v>2</v>
      </c>
      <c r="C6279" s="23"/>
      <c r="D6279" s="21"/>
    </row>
    <row r="6280" spans="1:4" ht="12.75" customHeight="1" x14ac:dyDescent="0.2">
      <c r="A6280" s="21"/>
      <c r="B6280" s="3" t="s">
        <v>1840</v>
      </c>
      <c r="C6280" s="23" t="s">
        <v>99</v>
      </c>
      <c r="D6280" s="21"/>
    </row>
    <row r="6281" spans="1:4" ht="12.75" customHeight="1" x14ac:dyDescent="0.2">
      <c r="A6281" s="21"/>
      <c r="B6281" s="3" t="s">
        <v>9</v>
      </c>
      <c r="C6281" s="23" t="s">
        <v>30</v>
      </c>
      <c r="D6281" s="21"/>
    </row>
    <row r="6282" spans="1:4" ht="12.75" customHeight="1" x14ac:dyDescent="0.2">
      <c r="A6282" s="21"/>
      <c r="B6282" s="3" t="s">
        <v>11</v>
      </c>
      <c r="C6282" s="23" t="s">
        <v>566</v>
      </c>
      <c r="D6282" s="21"/>
    </row>
    <row r="6283" spans="1:4" ht="12.75" customHeight="1" x14ac:dyDescent="0.2">
      <c r="A6283" s="21"/>
      <c r="B6283" s="3" t="s">
        <v>16</v>
      </c>
      <c r="C6283" s="23"/>
      <c r="D6283" s="21"/>
    </row>
    <row r="6284" spans="1:4" ht="12.75" customHeight="1" x14ac:dyDescent="0.2">
      <c r="A6284" s="21"/>
      <c r="B6284" s="3" t="s">
        <v>17</v>
      </c>
      <c r="C6284" s="23" t="s">
        <v>19</v>
      </c>
      <c r="D6284" s="21"/>
    </row>
    <row r="6285" spans="1:4" ht="12.75" customHeight="1" x14ac:dyDescent="0.2">
      <c r="A6285" s="21"/>
      <c r="B6285" s="20" t="s">
        <v>18</v>
      </c>
      <c r="C6285" s="8" t="s">
        <v>77</v>
      </c>
      <c r="D6285" s="1" t="str">
        <f>HYPERLINK("javascript:void(0)","morfige")</f>
        <v>morfige</v>
      </c>
    </row>
    <row r="6286" spans="1:4" ht="12.75" customHeight="1" x14ac:dyDescent="0.2">
      <c r="A6286" s="21"/>
      <c r="B6286" s="21"/>
      <c r="C6286" s="8" t="s">
        <v>117</v>
      </c>
      <c r="D6286" s="1" t="str">
        <f>HYPERLINK("javascript:void(0)","űrlap")</f>
        <v>űrlap</v>
      </c>
    </row>
    <row r="6287" spans="1:4" ht="12.75" customHeight="1" x14ac:dyDescent="0.2">
      <c r="A6287" s="21"/>
      <c r="B6287" s="21"/>
      <c r="C6287" s="8" t="s">
        <v>244</v>
      </c>
      <c r="D6287" s="1" t="str">
        <f>HYPERLINK("javascript:void(0)","manókoponya")</f>
        <v>manókoponya</v>
      </c>
    </row>
    <row r="6288" spans="1:4" ht="12.75" customHeight="1" x14ac:dyDescent="0.2">
      <c r="A6288" s="21"/>
      <c r="B6288" s="2"/>
      <c r="C6288" s="7"/>
      <c r="D6288" s="7"/>
    </row>
    <row r="6289" spans="1:4" ht="12.75" customHeight="1" x14ac:dyDescent="0.2">
      <c r="A6289" s="21"/>
      <c r="B6289" s="2"/>
      <c r="C6289" s="7"/>
      <c r="D6289" s="7"/>
    </row>
    <row r="6290" spans="1:4" ht="12.75" customHeight="1" x14ac:dyDescent="0.2">
      <c r="A6290" s="21"/>
      <c r="B6290" s="2"/>
      <c r="C6290" s="7"/>
      <c r="D6290" s="7"/>
    </row>
    <row r="6291" spans="1:4" ht="12.75" customHeight="1" x14ac:dyDescent="0.2">
      <c r="A6291" s="21"/>
      <c r="B6291" s="2"/>
      <c r="C6291" s="7"/>
      <c r="D6291" s="7"/>
    </row>
    <row r="6292" spans="1:4" ht="12.75" customHeight="1" x14ac:dyDescent="0.2">
      <c r="A6292" s="5"/>
      <c r="B6292" s="2"/>
      <c r="C6292" s="7"/>
      <c r="D6292" s="7"/>
    </row>
    <row r="6293" spans="1:4" ht="12.75" customHeight="1" x14ac:dyDescent="0.2">
      <c r="A6293" s="22" t="str">
        <f>HYPERLINK("javascript:void(0)","krono testpajzs")</f>
        <v>krono testpajzs</v>
      </c>
      <c r="B6293" s="21"/>
      <c r="C6293" s="21"/>
      <c r="D6293" s="21"/>
    </row>
    <row r="6294" spans="1:4" ht="12.75" customHeight="1" x14ac:dyDescent="0.2">
      <c r="A6294" s="20"/>
      <c r="B6294" s="2"/>
      <c r="C6294" s="7"/>
      <c r="D6294" s="7"/>
    </row>
    <row r="6295" spans="1:4" ht="12.75" customHeight="1" x14ac:dyDescent="0.2">
      <c r="A6295" s="21"/>
      <c r="B6295" s="3" t="s">
        <v>0</v>
      </c>
      <c r="C6295" s="23" t="s">
        <v>167</v>
      </c>
      <c r="D6295" s="21"/>
    </row>
    <row r="6296" spans="1:4" ht="12.75" customHeight="1" x14ac:dyDescent="0.2">
      <c r="A6296" s="21"/>
      <c r="B6296" s="3" t="s">
        <v>2</v>
      </c>
      <c r="C6296" s="23" t="s">
        <v>1839</v>
      </c>
      <c r="D6296" s="21"/>
    </row>
    <row r="6297" spans="1:4" ht="12.75" customHeight="1" x14ac:dyDescent="0.2">
      <c r="A6297" s="21"/>
      <c r="B6297" s="3" t="s">
        <v>1840</v>
      </c>
      <c r="C6297" s="23" t="s">
        <v>330</v>
      </c>
      <c r="D6297" s="21"/>
    </row>
    <row r="6298" spans="1:4" ht="12.75" customHeight="1" x14ac:dyDescent="0.2">
      <c r="A6298" s="21"/>
      <c r="B6298" s="3" t="s">
        <v>9</v>
      </c>
      <c r="C6298" s="23" t="s">
        <v>549</v>
      </c>
      <c r="D6298" s="21"/>
    </row>
    <row r="6299" spans="1:4" ht="12.75" customHeight="1" x14ac:dyDescent="0.2">
      <c r="A6299" s="21"/>
      <c r="B6299" s="3" t="s">
        <v>11</v>
      </c>
      <c r="C6299" s="23" t="s">
        <v>674</v>
      </c>
      <c r="D6299" s="21"/>
    </row>
    <row r="6300" spans="1:4" ht="12.75" customHeight="1" x14ac:dyDescent="0.2">
      <c r="A6300" s="21"/>
      <c r="B6300" s="3" t="s">
        <v>16</v>
      </c>
      <c r="C6300" s="23"/>
      <c r="D6300" s="21"/>
    </row>
    <row r="6301" spans="1:4" ht="12.75" customHeight="1" x14ac:dyDescent="0.2">
      <c r="A6301" s="21"/>
      <c r="B6301" s="3" t="s">
        <v>17</v>
      </c>
      <c r="C6301" s="23" t="s">
        <v>19</v>
      </c>
      <c r="D6301" s="21"/>
    </row>
    <row r="6302" spans="1:4" ht="12.75" customHeight="1" x14ac:dyDescent="0.2">
      <c r="A6302" s="21"/>
      <c r="B6302" s="20" t="s">
        <v>18</v>
      </c>
      <c r="C6302" s="8" t="s">
        <v>44</v>
      </c>
      <c r="D6302" s="1" t="str">
        <f>HYPERLINK("javascript:void(0)","rotor testpajzs")</f>
        <v>rotor testpajzs</v>
      </c>
    </row>
    <row r="6303" spans="1:4" ht="12.75" customHeight="1" x14ac:dyDescent="0.2">
      <c r="A6303" s="21"/>
      <c r="B6303" s="21"/>
      <c r="C6303" s="8" t="s">
        <v>67</v>
      </c>
      <c r="D6303" s="1" t="str">
        <f>HYPERLINK("javascript:void(0)","igeidő")</f>
        <v>igeidő</v>
      </c>
    </row>
    <row r="6304" spans="1:4" ht="12.75" customHeight="1" x14ac:dyDescent="0.2">
      <c r="A6304" s="21"/>
      <c r="B6304" s="21"/>
      <c r="C6304" s="8" t="s">
        <v>382</v>
      </c>
      <c r="D6304" s="1" t="str">
        <f>HYPERLINK("javascript:void(0)","szemgödör")</f>
        <v>szemgödör</v>
      </c>
    </row>
    <row r="6305" spans="1:4" ht="12.75" customHeight="1" x14ac:dyDescent="0.2">
      <c r="A6305" s="21"/>
      <c r="B6305" s="2"/>
      <c r="C6305" s="7"/>
      <c r="D6305" s="7"/>
    </row>
    <row r="6306" spans="1:4" ht="12.75" customHeight="1" x14ac:dyDescent="0.2">
      <c r="A6306" s="21"/>
      <c r="B6306" s="2"/>
      <c r="C6306" s="7"/>
      <c r="D6306" s="7"/>
    </row>
    <row r="6307" spans="1:4" ht="12.75" customHeight="1" x14ac:dyDescent="0.2">
      <c r="A6307" s="21"/>
      <c r="B6307" s="2"/>
      <c r="C6307" s="7"/>
      <c r="D6307" s="7"/>
    </row>
    <row r="6308" spans="1:4" ht="12.75" customHeight="1" x14ac:dyDescent="0.2">
      <c r="A6308" s="21"/>
      <c r="B6308" s="2"/>
      <c r="C6308" s="7"/>
      <c r="D6308" s="7"/>
    </row>
    <row r="6309" spans="1:4" ht="12.75" customHeight="1" x14ac:dyDescent="0.2">
      <c r="A6309" s="5"/>
      <c r="B6309" s="2"/>
      <c r="C6309" s="7"/>
      <c r="D6309" s="7"/>
    </row>
    <row r="6310" spans="1:4" ht="12.75" customHeight="1" x14ac:dyDescent="0.2">
      <c r="A6310" s="22" t="str">
        <f>HYPERLINK("javascript:void(0)","ezüstveretű illanat")</f>
        <v>ezüstveretű illanat</v>
      </c>
      <c r="B6310" s="21"/>
      <c r="C6310" s="21"/>
      <c r="D6310" s="21"/>
    </row>
    <row r="6311" spans="1:4" ht="12.75" customHeight="1" x14ac:dyDescent="0.2">
      <c r="A6311" s="20"/>
      <c r="B6311" s="2"/>
      <c r="C6311" s="7"/>
      <c r="D6311" s="7"/>
    </row>
    <row r="6312" spans="1:4" ht="12.75" customHeight="1" x14ac:dyDescent="0.2">
      <c r="A6312" s="21"/>
      <c r="B6312" s="3" t="s">
        <v>0</v>
      </c>
      <c r="C6312" s="23" t="s">
        <v>167</v>
      </c>
      <c r="D6312" s="21"/>
    </row>
    <row r="6313" spans="1:4" ht="12.75" customHeight="1" x14ac:dyDescent="0.2">
      <c r="A6313" s="21"/>
      <c r="B6313" s="3" t="s">
        <v>2</v>
      </c>
      <c r="C6313" s="23" t="s">
        <v>1839</v>
      </c>
      <c r="D6313" s="21"/>
    </row>
    <row r="6314" spans="1:4" ht="12.75" customHeight="1" x14ac:dyDescent="0.2">
      <c r="A6314" s="21"/>
      <c r="B6314" s="3" t="s">
        <v>1840</v>
      </c>
      <c r="C6314" s="23" t="s">
        <v>330</v>
      </c>
      <c r="D6314" s="21"/>
    </row>
    <row r="6315" spans="1:4" ht="12.75" customHeight="1" x14ac:dyDescent="0.2">
      <c r="A6315" s="21"/>
      <c r="B6315" s="3" t="s">
        <v>9</v>
      </c>
      <c r="C6315" s="23" t="s">
        <v>2001</v>
      </c>
      <c r="D6315" s="21"/>
    </row>
    <row r="6316" spans="1:4" ht="12.75" customHeight="1" x14ac:dyDescent="0.2">
      <c r="A6316" s="21"/>
      <c r="B6316" s="3" t="s">
        <v>11</v>
      </c>
      <c r="C6316" s="23" t="s">
        <v>702</v>
      </c>
      <c r="D6316" s="21"/>
    </row>
    <row r="6317" spans="1:4" ht="12.75" customHeight="1" x14ac:dyDescent="0.2">
      <c r="A6317" s="21"/>
      <c r="B6317" s="3" t="s">
        <v>16</v>
      </c>
      <c r="C6317" s="23"/>
      <c r="D6317" s="21"/>
    </row>
    <row r="6318" spans="1:4" ht="12.75" customHeight="1" x14ac:dyDescent="0.2">
      <c r="A6318" s="21"/>
      <c r="B6318" s="3" t="s">
        <v>17</v>
      </c>
      <c r="C6318" s="23" t="s">
        <v>19</v>
      </c>
      <c r="D6318" s="21"/>
    </row>
    <row r="6319" spans="1:4" ht="12.75" customHeight="1" x14ac:dyDescent="0.2">
      <c r="A6319" s="21"/>
      <c r="B6319" s="20" t="s">
        <v>18</v>
      </c>
      <c r="C6319" s="8" t="s">
        <v>44</v>
      </c>
      <c r="D6319" s="1" t="str">
        <f>HYPERLINK("javascript:void(0)","krono testpajzs")</f>
        <v>krono testpajzs</v>
      </c>
    </row>
    <row r="6320" spans="1:4" ht="12.75" customHeight="1" x14ac:dyDescent="0.2">
      <c r="A6320" s="21"/>
      <c r="B6320" s="21"/>
      <c r="C6320" s="8" t="s">
        <v>67</v>
      </c>
      <c r="D6320" s="1" t="str">
        <f>HYPERLINK("javascript:void(0)","ezüströg")</f>
        <v>ezüströg</v>
      </c>
    </row>
    <row r="6321" spans="1:4" ht="12.75" customHeight="1" x14ac:dyDescent="0.2">
      <c r="A6321" s="21"/>
      <c r="B6321" s="21"/>
      <c r="C6321" s="8" t="s">
        <v>117</v>
      </c>
      <c r="D6321" s="1" t="str">
        <f>HYPERLINK("javascript:void(0)","morfige")</f>
        <v>morfige</v>
      </c>
    </row>
    <row r="6322" spans="1:4" ht="12.75" customHeight="1" x14ac:dyDescent="0.2">
      <c r="A6322" s="21"/>
      <c r="B6322" s="2"/>
      <c r="C6322" s="7"/>
      <c r="D6322" s="7"/>
    </row>
    <row r="6323" spans="1:4" ht="12.75" customHeight="1" x14ac:dyDescent="0.2">
      <c r="A6323" s="21"/>
      <c r="B6323" s="2"/>
      <c r="C6323" s="7"/>
      <c r="D6323" s="7"/>
    </row>
    <row r="6324" spans="1:4" ht="12.75" customHeight="1" x14ac:dyDescent="0.2">
      <c r="A6324" s="21"/>
      <c r="B6324" s="2"/>
      <c r="C6324" s="7"/>
      <c r="D6324" s="7"/>
    </row>
    <row r="6325" spans="1:4" ht="12.75" customHeight="1" x14ac:dyDescent="0.2">
      <c r="A6325" s="21"/>
      <c r="B6325" s="2"/>
      <c r="C6325" s="7"/>
      <c r="D6325" s="7"/>
    </row>
    <row r="6326" spans="1:4" ht="12.75" customHeight="1" x14ac:dyDescent="0.2">
      <c r="A6326" s="5"/>
      <c r="B6326" s="2"/>
      <c r="C6326" s="7"/>
      <c r="D6326" s="7"/>
    </row>
    <row r="6327" spans="1:4" ht="12.75" customHeight="1" x14ac:dyDescent="0.2">
      <c r="A6327" s="22" t="str">
        <f>HYPERLINK("javascript:void(0)","kithrill antigrav csizma")</f>
        <v>kithrill antigrav csizma</v>
      </c>
      <c r="B6327" s="21"/>
      <c r="C6327" s="21"/>
      <c r="D6327" s="21"/>
    </row>
    <row r="6328" spans="1:4" ht="12.75" customHeight="1" x14ac:dyDescent="0.2">
      <c r="A6328" s="20"/>
      <c r="B6328" s="2"/>
      <c r="C6328" s="7"/>
      <c r="D6328" s="7"/>
    </row>
    <row r="6329" spans="1:4" ht="12.75" customHeight="1" x14ac:dyDescent="0.2">
      <c r="A6329" s="21"/>
      <c r="B6329" s="3" t="s">
        <v>0</v>
      </c>
      <c r="C6329" s="23" t="s">
        <v>167</v>
      </c>
      <c r="D6329" s="21"/>
    </row>
    <row r="6330" spans="1:4" ht="12.75" customHeight="1" x14ac:dyDescent="0.2">
      <c r="A6330" s="21"/>
      <c r="B6330" s="3" t="s">
        <v>2</v>
      </c>
      <c r="C6330" s="23"/>
      <c r="D6330" s="21"/>
    </row>
    <row r="6331" spans="1:4" ht="12.75" customHeight="1" x14ac:dyDescent="0.2">
      <c r="A6331" s="21"/>
      <c r="B6331" s="3" t="s">
        <v>1840</v>
      </c>
      <c r="C6331" s="23" t="s">
        <v>905</v>
      </c>
      <c r="D6331" s="21"/>
    </row>
    <row r="6332" spans="1:4" ht="12.75" customHeight="1" x14ac:dyDescent="0.2">
      <c r="A6332" s="21"/>
      <c r="B6332" s="3" t="s">
        <v>9</v>
      </c>
      <c r="C6332" s="23" t="s">
        <v>626</v>
      </c>
      <c r="D6332" s="21"/>
    </row>
    <row r="6333" spans="1:4" ht="12.75" customHeight="1" x14ac:dyDescent="0.2">
      <c r="A6333" s="21"/>
      <c r="B6333" s="3" t="s">
        <v>11</v>
      </c>
      <c r="C6333" s="23" t="s">
        <v>23</v>
      </c>
      <c r="D6333" s="21"/>
    </row>
    <row r="6334" spans="1:4" ht="12.75" customHeight="1" x14ac:dyDescent="0.2">
      <c r="A6334" s="21"/>
      <c r="B6334" s="3" t="s">
        <v>16</v>
      </c>
      <c r="C6334" s="23"/>
      <c r="D6334" s="21"/>
    </row>
    <row r="6335" spans="1:4" ht="12.75" customHeight="1" x14ac:dyDescent="0.2">
      <c r="A6335" s="21"/>
      <c r="B6335" s="3" t="s">
        <v>17</v>
      </c>
      <c r="C6335" s="23" t="s">
        <v>19</v>
      </c>
      <c r="D6335" s="21"/>
    </row>
    <row r="6336" spans="1:4" ht="25.5" customHeight="1" x14ac:dyDescent="0.2">
      <c r="A6336" s="21"/>
      <c r="B6336" s="20" t="s">
        <v>18</v>
      </c>
      <c r="C6336" s="8" t="s">
        <v>44</v>
      </c>
      <c r="D6336" s="1" t="str">
        <f>HYPERLINK("javascript:void(0)","diszpro antigrav csizma")</f>
        <v>diszpro antigrav csizma</v>
      </c>
    </row>
    <row r="6337" spans="1:4" ht="12.75" customHeight="1" x14ac:dyDescent="0.2">
      <c r="A6337" s="21"/>
      <c r="B6337" s="21"/>
      <c r="C6337" s="8" t="s">
        <v>139</v>
      </c>
      <c r="D6337" s="1" t="str">
        <f>HYPERLINK("javascript:void(0)","igeidő")</f>
        <v>igeidő</v>
      </c>
    </row>
    <row r="6338" spans="1:4" ht="12.75" customHeight="1" x14ac:dyDescent="0.2">
      <c r="A6338" s="21"/>
      <c r="B6338" s="21"/>
      <c r="C6338" s="8" t="s">
        <v>139</v>
      </c>
      <c r="D6338" s="1" t="str">
        <f>HYPERLINK("javascript:void(0)","homokóra")</f>
        <v>homokóra</v>
      </c>
    </row>
    <row r="6339" spans="1:4" ht="12.75" customHeight="1" x14ac:dyDescent="0.2">
      <c r="A6339" s="21"/>
      <c r="B6339" s="2"/>
      <c r="C6339" s="7"/>
      <c r="D6339" s="7"/>
    </row>
    <row r="6340" spans="1:4" ht="12.75" customHeight="1" x14ac:dyDescent="0.2">
      <c r="A6340" s="21"/>
      <c r="B6340" s="2"/>
      <c r="C6340" s="7"/>
      <c r="D6340" s="7"/>
    </row>
    <row r="6341" spans="1:4" ht="12.75" customHeight="1" x14ac:dyDescent="0.2">
      <c r="A6341" s="21"/>
      <c r="B6341" s="2"/>
      <c r="C6341" s="7"/>
      <c r="D6341" s="7"/>
    </row>
    <row r="6342" spans="1:4" ht="12.75" customHeight="1" x14ac:dyDescent="0.2">
      <c r="A6342" s="21"/>
      <c r="B6342" s="2"/>
      <c r="C6342" s="7"/>
      <c r="D6342" s="7"/>
    </row>
    <row r="6343" spans="1:4" ht="12.75" customHeight="1" x14ac:dyDescent="0.2">
      <c r="A6343" s="5"/>
      <c r="B6343" s="2"/>
      <c r="C6343" s="7"/>
      <c r="D6343" s="7"/>
    </row>
    <row r="6344" spans="1:4" ht="12.75" customHeight="1" x14ac:dyDescent="0.2">
      <c r="A6344" s="22" t="str">
        <f>HYPERLINK("javascript:void(0)","óriásacél mellvért")</f>
        <v>óriásacél mellvért</v>
      </c>
      <c r="B6344" s="21"/>
      <c r="C6344" s="21"/>
      <c r="D6344" s="21"/>
    </row>
    <row r="6345" spans="1:4" ht="12.75" customHeight="1" x14ac:dyDescent="0.2">
      <c r="A6345" s="20"/>
      <c r="B6345" s="2"/>
      <c r="C6345" s="7"/>
      <c r="D6345" s="7"/>
    </row>
    <row r="6346" spans="1:4" ht="12.75" customHeight="1" x14ac:dyDescent="0.2">
      <c r="A6346" s="21"/>
      <c r="B6346" s="3" t="s">
        <v>0</v>
      </c>
      <c r="C6346" s="23" t="s">
        <v>532</v>
      </c>
      <c r="D6346" s="21"/>
    </row>
    <row r="6347" spans="1:4" ht="12.75" customHeight="1" x14ac:dyDescent="0.2">
      <c r="A6347" s="21"/>
      <c r="B6347" s="3" t="s">
        <v>2</v>
      </c>
      <c r="C6347" s="23" t="s">
        <v>2322</v>
      </c>
      <c r="D6347" s="21"/>
    </row>
    <row r="6348" spans="1:4" ht="12.75" customHeight="1" x14ac:dyDescent="0.2">
      <c r="A6348" s="21"/>
      <c r="B6348" s="3" t="s">
        <v>1840</v>
      </c>
      <c r="C6348" s="23" t="s">
        <v>2407</v>
      </c>
      <c r="D6348" s="21"/>
    </row>
    <row r="6349" spans="1:4" ht="12.75" customHeight="1" x14ac:dyDescent="0.2">
      <c r="A6349" s="21"/>
      <c r="B6349" s="3" t="s">
        <v>9</v>
      </c>
      <c r="C6349" s="23" t="s">
        <v>129</v>
      </c>
      <c r="D6349" s="21"/>
    </row>
    <row r="6350" spans="1:4" ht="12.75" customHeight="1" x14ac:dyDescent="0.2">
      <c r="A6350" s="21"/>
      <c r="B6350" s="3" t="s">
        <v>11</v>
      </c>
      <c r="C6350" s="23" t="s">
        <v>552</v>
      </c>
      <c r="D6350" s="21"/>
    </row>
    <row r="6351" spans="1:4" ht="12.75" customHeight="1" x14ac:dyDescent="0.2">
      <c r="A6351" s="21"/>
      <c r="B6351" s="3" t="s">
        <v>16</v>
      </c>
      <c r="C6351" s="23"/>
      <c r="D6351" s="21"/>
    </row>
    <row r="6352" spans="1:4" ht="12.75" customHeight="1" x14ac:dyDescent="0.2">
      <c r="A6352" s="21"/>
      <c r="B6352" s="3" t="s">
        <v>17</v>
      </c>
      <c r="C6352" s="23" t="s">
        <v>19</v>
      </c>
      <c r="D6352" s="21"/>
    </row>
    <row r="6353" spans="1:4" ht="12.75" customHeight="1" x14ac:dyDescent="0.2">
      <c r="A6353" s="21"/>
      <c r="B6353" s="20" t="s">
        <v>18</v>
      </c>
      <c r="C6353" s="8" t="s">
        <v>68</v>
      </c>
      <c r="D6353" s="1" t="str">
        <f>HYPERLINK("javascript:void(0)","imázs")</f>
        <v>imázs</v>
      </c>
    </row>
    <row r="6354" spans="1:4" ht="12.75" customHeight="1" x14ac:dyDescent="0.2">
      <c r="A6354" s="21"/>
      <c r="B6354" s="21"/>
      <c r="C6354" s="8" t="s">
        <v>382</v>
      </c>
      <c r="D6354" s="1" t="str">
        <f>HYPERLINK("javascript:void(0)","csontszilánk")</f>
        <v>csontszilánk</v>
      </c>
    </row>
    <row r="6355" spans="1:4" ht="12.75" customHeight="1" x14ac:dyDescent="0.2">
      <c r="A6355" s="21"/>
      <c r="B6355" s="21"/>
      <c r="C6355" s="8" t="s">
        <v>98</v>
      </c>
      <c r="D6355" s="1" t="str">
        <f>HYPERLINK("javascript:void(0)","csigaház")</f>
        <v>csigaház</v>
      </c>
    </row>
    <row r="6356" spans="1:4" ht="12.75" customHeight="1" x14ac:dyDescent="0.2">
      <c r="A6356" s="21"/>
      <c r="B6356" s="2"/>
      <c r="C6356" s="7"/>
      <c r="D6356" s="7"/>
    </row>
    <row r="6357" spans="1:4" ht="12.75" customHeight="1" x14ac:dyDescent="0.2">
      <c r="A6357" s="21"/>
      <c r="B6357" s="2"/>
      <c r="C6357" s="7"/>
      <c r="D6357" s="7"/>
    </row>
    <row r="6358" spans="1:4" ht="12.75" customHeight="1" x14ac:dyDescent="0.2">
      <c r="A6358" s="21"/>
      <c r="B6358" s="2"/>
      <c r="C6358" s="7"/>
      <c r="D6358" s="7"/>
    </row>
    <row r="6359" spans="1:4" ht="12.75" customHeight="1" x14ac:dyDescent="0.2">
      <c r="A6359" s="21"/>
      <c r="B6359" s="2"/>
      <c r="C6359" s="7"/>
      <c r="D6359" s="7"/>
    </row>
    <row r="6360" spans="1:4" ht="12.75" customHeight="1" x14ac:dyDescent="0.2">
      <c r="A6360" s="5"/>
      <c r="B6360" s="2"/>
      <c r="C6360" s="7"/>
      <c r="D6360" s="7"/>
    </row>
    <row r="6361" spans="1:4" ht="12.75" customHeight="1" x14ac:dyDescent="0.2">
      <c r="A6361" s="22" t="str">
        <f>HYPERLINK("javascript:void(0)","kacatsisak")</f>
        <v>kacatsisak</v>
      </c>
      <c r="B6361" s="21"/>
      <c r="C6361" s="21"/>
      <c r="D6361" s="21"/>
    </row>
    <row r="6362" spans="1:4" ht="12.75" customHeight="1" x14ac:dyDescent="0.2">
      <c r="A6362" s="20"/>
      <c r="B6362" s="2"/>
      <c r="C6362" s="7"/>
      <c r="D6362" s="7"/>
    </row>
    <row r="6363" spans="1:4" ht="12.75" customHeight="1" x14ac:dyDescent="0.2">
      <c r="A6363" s="21"/>
      <c r="B6363" s="3" t="s">
        <v>0</v>
      </c>
      <c r="C6363" s="23" t="s">
        <v>532</v>
      </c>
      <c r="D6363" s="21"/>
    </row>
    <row r="6364" spans="1:4" ht="12.75" customHeight="1" x14ac:dyDescent="0.2">
      <c r="A6364" s="21"/>
      <c r="B6364" s="3" t="s">
        <v>2</v>
      </c>
      <c r="C6364" s="23"/>
      <c r="D6364" s="21"/>
    </row>
    <row r="6365" spans="1:4" ht="12.75" customHeight="1" x14ac:dyDescent="0.2">
      <c r="A6365" s="21"/>
      <c r="B6365" s="3" t="s">
        <v>1840</v>
      </c>
      <c r="C6365" s="23" t="s">
        <v>1114</v>
      </c>
      <c r="D6365" s="21"/>
    </row>
    <row r="6366" spans="1:4" ht="12.75" customHeight="1" x14ac:dyDescent="0.2">
      <c r="A6366" s="21"/>
      <c r="B6366" s="3" t="s">
        <v>9</v>
      </c>
      <c r="C6366" s="23" t="s">
        <v>93</v>
      </c>
      <c r="D6366" s="21"/>
    </row>
    <row r="6367" spans="1:4" ht="12.75" customHeight="1" x14ac:dyDescent="0.2">
      <c r="A6367" s="21"/>
      <c r="B6367" s="3" t="s">
        <v>11</v>
      </c>
      <c r="C6367" s="23" t="s">
        <v>552</v>
      </c>
      <c r="D6367" s="21"/>
    </row>
    <row r="6368" spans="1:4" ht="12.75" customHeight="1" x14ac:dyDescent="0.2">
      <c r="A6368" s="21"/>
      <c r="B6368" s="3" t="s">
        <v>16</v>
      </c>
      <c r="C6368" s="23"/>
      <c r="D6368" s="21"/>
    </row>
    <row r="6369" spans="1:4" ht="12.75" customHeight="1" x14ac:dyDescent="0.2">
      <c r="A6369" s="21"/>
      <c r="B6369" s="3" t="s">
        <v>17</v>
      </c>
      <c r="C6369" s="23" t="s">
        <v>19</v>
      </c>
      <c r="D6369" s="21"/>
    </row>
    <row r="6370" spans="1:4" ht="12.75" customHeight="1" x14ac:dyDescent="0.2">
      <c r="A6370" s="21"/>
      <c r="B6370" s="20" t="s">
        <v>18</v>
      </c>
      <c r="C6370" s="8" t="s">
        <v>44</v>
      </c>
      <c r="D6370" s="1" t="str">
        <f>HYPERLINK("javascript:void(0)","agyarsisak")</f>
        <v>agyarsisak</v>
      </c>
    </row>
    <row r="6371" spans="1:4" ht="12.75" customHeight="1" x14ac:dyDescent="0.2">
      <c r="A6371" s="21"/>
      <c r="B6371" s="21"/>
      <c r="C6371" s="8" t="s">
        <v>139</v>
      </c>
      <c r="D6371" s="1" t="str">
        <f>HYPERLINK("javascript:void(0)","kacat")</f>
        <v>kacat</v>
      </c>
    </row>
    <row r="6372" spans="1:4" ht="12.75" customHeight="1" x14ac:dyDescent="0.2">
      <c r="A6372" s="21"/>
      <c r="B6372" s="21"/>
      <c r="C6372" s="8" t="s">
        <v>117</v>
      </c>
      <c r="D6372" s="1" t="str">
        <f>HYPERLINK("javascript:void(0)","rozsdalap")</f>
        <v>rozsdalap</v>
      </c>
    </row>
    <row r="6373" spans="1:4" ht="12.75" customHeight="1" x14ac:dyDescent="0.2">
      <c r="A6373" s="21"/>
      <c r="B6373" s="2"/>
      <c r="C6373" s="7"/>
      <c r="D6373" s="7"/>
    </row>
    <row r="6374" spans="1:4" ht="12.75" customHeight="1" x14ac:dyDescent="0.2">
      <c r="A6374" s="21"/>
      <c r="B6374" s="2"/>
      <c r="C6374" s="7"/>
      <c r="D6374" s="7"/>
    </row>
    <row r="6375" spans="1:4" ht="12.75" customHeight="1" x14ac:dyDescent="0.2">
      <c r="A6375" s="21"/>
      <c r="B6375" s="2"/>
      <c r="C6375" s="7"/>
      <c r="D6375" s="7"/>
    </row>
    <row r="6376" spans="1:4" ht="12.75" customHeight="1" x14ac:dyDescent="0.2">
      <c r="A6376" s="21"/>
      <c r="B6376" s="2"/>
      <c r="C6376" s="7"/>
      <c r="D6376" s="7"/>
    </row>
    <row r="6377" spans="1:4" ht="12.75" customHeight="1" x14ac:dyDescent="0.2">
      <c r="A6377" s="5"/>
      <c r="B6377" s="2"/>
      <c r="C6377" s="7"/>
      <c r="D6377" s="7"/>
    </row>
    <row r="6378" spans="1:4" ht="12.75" customHeight="1" x14ac:dyDescent="0.2">
      <c r="A6378" s="22" t="str">
        <f>HYPERLINK("javascript:void(0)","démonacél saru")</f>
        <v>démonacél saru</v>
      </c>
      <c r="B6378" s="21"/>
      <c r="C6378" s="21"/>
      <c r="D6378" s="21"/>
    </row>
    <row r="6379" spans="1:4" ht="12.75" customHeight="1" x14ac:dyDescent="0.2">
      <c r="A6379" s="20"/>
      <c r="B6379" s="2"/>
      <c r="C6379" s="7"/>
      <c r="D6379" s="7"/>
    </row>
    <row r="6380" spans="1:4" ht="12.75" customHeight="1" x14ac:dyDescent="0.2">
      <c r="A6380" s="21"/>
      <c r="B6380" s="3" t="s">
        <v>0</v>
      </c>
      <c r="C6380" s="23" t="s">
        <v>532</v>
      </c>
      <c r="D6380" s="21"/>
    </row>
    <row r="6381" spans="1:4" ht="12.75" customHeight="1" x14ac:dyDescent="0.2">
      <c r="A6381" s="21"/>
      <c r="B6381" s="3" t="s">
        <v>2</v>
      </c>
      <c r="C6381" s="23"/>
      <c r="D6381" s="21"/>
    </row>
    <row r="6382" spans="1:4" ht="12.75" customHeight="1" x14ac:dyDescent="0.2">
      <c r="A6382" s="21"/>
      <c r="B6382" s="3" t="s">
        <v>1840</v>
      </c>
      <c r="C6382" s="23" t="s">
        <v>95</v>
      </c>
      <c r="D6382" s="21"/>
    </row>
    <row r="6383" spans="1:4" ht="12.75" customHeight="1" x14ac:dyDescent="0.2">
      <c r="A6383" s="21"/>
      <c r="B6383" s="3" t="s">
        <v>9</v>
      </c>
      <c r="C6383" s="23" t="s">
        <v>42</v>
      </c>
      <c r="D6383" s="21"/>
    </row>
    <row r="6384" spans="1:4" ht="12.75" customHeight="1" x14ac:dyDescent="0.2">
      <c r="A6384" s="21"/>
      <c r="B6384" s="3" t="s">
        <v>11</v>
      </c>
      <c r="C6384" s="23" t="s">
        <v>587</v>
      </c>
      <c r="D6384" s="21"/>
    </row>
    <row r="6385" spans="1:4" ht="12.75" customHeight="1" x14ac:dyDescent="0.2">
      <c r="A6385" s="21"/>
      <c r="B6385" s="3" t="s">
        <v>16</v>
      </c>
      <c r="C6385" s="23"/>
      <c r="D6385" s="21"/>
    </row>
    <row r="6386" spans="1:4" ht="12.75" customHeight="1" x14ac:dyDescent="0.2">
      <c r="A6386" s="21"/>
      <c r="B6386" s="3" t="s">
        <v>17</v>
      </c>
      <c r="C6386" s="23" t="s">
        <v>19</v>
      </c>
      <c r="D6386" s="21"/>
    </row>
    <row r="6387" spans="1:4" ht="12.75" customHeight="1" x14ac:dyDescent="0.2">
      <c r="A6387" s="21"/>
      <c r="B6387" s="20" t="s">
        <v>18</v>
      </c>
      <c r="C6387" s="8" t="s">
        <v>44</v>
      </c>
      <c r="D6387" s="1" t="str">
        <f>HYPERLINK("javascript:void(0)","hidracél saru")</f>
        <v>hidracél saru</v>
      </c>
    </row>
    <row r="6388" spans="1:4" ht="12.75" customHeight="1" x14ac:dyDescent="0.2">
      <c r="A6388" s="21"/>
      <c r="B6388" s="21"/>
      <c r="C6388" s="8" t="s">
        <v>44</v>
      </c>
      <c r="D6388" s="1" t="str">
        <f>HYPERLINK("javascript:void(0)","kithrill saru")</f>
        <v>kithrill saru</v>
      </c>
    </row>
    <row r="6389" spans="1:4" ht="12.75" customHeight="1" x14ac:dyDescent="0.2">
      <c r="A6389" s="21"/>
      <c r="B6389" s="21"/>
      <c r="C6389" s="8" t="s">
        <v>77</v>
      </c>
      <c r="D6389" s="1" t="str">
        <f>HYPERLINK("javascript:void(0)","imázs")</f>
        <v>imázs</v>
      </c>
    </row>
    <row r="6390" spans="1:4" ht="12.75" customHeight="1" x14ac:dyDescent="0.2">
      <c r="A6390" s="21"/>
      <c r="B6390" s="2"/>
      <c r="C6390" s="7"/>
      <c r="D6390" s="7"/>
    </row>
    <row r="6391" spans="1:4" ht="12.75" customHeight="1" x14ac:dyDescent="0.2">
      <c r="A6391" s="21"/>
      <c r="B6391" s="2"/>
      <c r="C6391" s="7"/>
      <c r="D6391" s="7"/>
    </row>
    <row r="6392" spans="1:4" ht="12.75" customHeight="1" x14ac:dyDescent="0.2">
      <c r="A6392" s="21"/>
      <c r="B6392" s="2"/>
      <c r="C6392" s="7"/>
      <c r="D6392" s="7"/>
    </row>
    <row r="6393" spans="1:4" ht="12.75" customHeight="1" x14ac:dyDescent="0.2">
      <c r="A6393" s="21"/>
      <c r="B6393" s="2"/>
      <c r="C6393" s="7"/>
      <c r="D6393" s="7"/>
    </row>
    <row r="6394" spans="1:4" ht="12.75" customHeight="1" x14ac:dyDescent="0.2">
      <c r="A6394" s="5"/>
      <c r="B6394" s="2"/>
      <c r="C6394" s="7"/>
      <c r="D6394" s="7"/>
    </row>
    <row r="6395" spans="1:4" ht="12.75" customHeight="1" x14ac:dyDescent="0.2">
      <c r="A6395" s="22" t="str">
        <f>HYPERLINK("javascript:void(0)","kacatpajzs")</f>
        <v>kacatpajzs</v>
      </c>
      <c r="B6395" s="21"/>
      <c r="C6395" s="21"/>
      <c r="D6395" s="21"/>
    </row>
    <row r="6396" spans="1:4" ht="12.75" customHeight="1" x14ac:dyDescent="0.2">
      <c r="A6396" s="20"/>
      <c r="B6396" s="2"/>
      <c r="C6396" s="7"/>
      <c r="D6396" s="7"/>
    </row>
    <row r="6397" spans="1:4" ht="12.75" customHeight="1" x14ac:dyDescent="0.2">
      <c r="A6397" s="21"/>
      <c r="B6397" s="3" t="s">
        <v>0</v>
      </c>
      <c r="C6397" s="23" t="s">
        <v>532</v>
      </c>
      <c r="D6397" s="21"/>
    </row>
    <row r="6398" spans="1:4" ht="12.75" customHeight="1" x14ac:dyDescent="0.2">
      <c r="A6398" s="21"/>
      <c r="B6398" s="3" t="s">
        <v>2</v>
      </c>
      <c r="C6398" s="23" t="s">
        <v>1839</v>
      </c>
      <c r="D6398" s="21"/>
    </row>
    <row r="6399" spans="1:4" ht="12.75" customHeight="1" x14ac:dyDescent="0.2">
      <c r="A6399" s="21"/>
      <c r="B6399" s="3" t="s">
        <v>1840</v>
      </c>
      <c r="C6399" s="23" t="s">
        <v>1263</v>
      </c>
      <c r="D6399" s="21"/>
    </row>
    <row r="6400" spans="1:4" ht="12.75" customHeight="1" x14ac:dyDescent="0.2">
      <c r="A6400" s="21"/>
      <c r="B6400" s="3" t="s">
        <v>9</v>
      </c>
      <c r="C6400" s="23" t="s">
        <v>249</v>
      </c>
      <c r="D6400" s="21"/>
    </row>
    <row r="6401" spans="1:4" ht="12.75" customHeight="1" x14ac:dyDescent="0.2">
      <c r="A6401" s="21"/>
      <c r="B6401" s="3" t="s">
        <v>11</v>
      </c>
      <c r="C6401" s="23" t="s">
        <v>684</v>
      </c>
      <c r="D6401" s="21"/>
    </row>
    <row r="6402" spans="1:4" ht="12.75" customHeight="1" x14ac:dyDescent="0.2">
      <c r="A6402" s="21"/>
      <c r="B6402" s="3" t="s">
        <v>16</v>
      </c>
      <c r="C6402" s="23"/>
      <c r="D6402" s="21"/>
    </row>
    <row r="6403" spans="1:4" ht="12.75" customHeight="1" x14ac:dyDescent="0.2">
      <c r="A6403" s="21"/>
      <c r="B6403" s="3" t="s">
        <v>17</v>
      </c>
      <c r="C6403" s="23" t="s">
        <v>19</v>
      </c>
      <c r="D6403" s="21"/>
    </row>
    <row r="6404" spans="1:4" ht="12.75" customHeight="1" x14ac:dyDescent="0.2">
      <c r="A6404" s="21"/>
      <c r="B6404" s="20" t="s">
        <v>18</v>
      </c>
      <c r="C6404" s="8" t="s">
        <v>44</v>
      </c>
      <c r="D6404" s="1" t="str">
        <f>HYPERLINK("javascript:void(0)","kronopajzs")</f>
        <v>kronopajzs</v>
      </c>
    </row>
    <row r="6405" spans="1:4" ht="12.75" customHeight="1" x14ac:dyDescent="0.2">
      <c r="A6405" s="21"/>
      <c r="B6405" s="21"/>
      <c r="C6405" s="8" t="s">
        <v>139</v>
      </c>
      <c r="D6405" s="1" t="str">
        <f>HYPERLINK("javascript:void(0)","kacat")</f>
        <v>kacat</v>
      </c>
    </row>
    <row r="6406" spans="1:4" ht="12.75" customHeight="1" x14ac:dyDescent="0.2">
      <c r="A6406" s="21"/>
      <c r="B6406" s="21"/>
      <c r="C6406" s="8" t="s">
        <v>98</v>
      </c>
      <c r="D6406" s="1" t="str">
        <f>HYPERLINK("javascript:void(0)","rozsdalap")</f>
        <v>rozsdalap</v>
      </c>
    </row>
    <row r="6407" spans="1:4" ht="12.75" customHeight="1" x14ac:dyDescent="0.2">
      <c r="A6407" s="21"/>
      <c r="B6407" s="2"/>
      <c r="C6407" s="7"/>
      <c r="D6407" s="7"/>
    </row>
    <row r="6408" spans="1:4" ht="12.75" customHeight="1" x14ac:dyDescent="0.2">
      <c r="A6408" s="21"/>
      <c r="B6408" s="2"/>
      <c r="C6408" s="7"/>
      <c r="D6408" s="7"/>
    </row>
    <row r="6409" spans="1:4" ht="12.75" customHeight="1" x14ac:dyDescent="0.2">
      <c r="A6409" s="21"/>
      <c r="B6409" s="2"/>
      <c r="C6409" s="7"/>
      <c r="D6409" s="7"/>
    </row>
    <row r="6410" spans="1:4" ht="12.75" customHeight="1" x14ac:dyDescent="0.2">
      <c r="A6410" s="21"/>
      <c r="B6410" s="2"/>
      <c r="C6410" s="7"/>
      <c r="D6410" s="7"/>
    </row>
    <row r="6411" spans="1:4" ht="12.75" customHeight="1" x14ac:dyDescent="0.2">
      <c r="A6411" s="5"/>
      <c r="B6411" s="2"/>
      <c r="C6411" s="7"/>
      <c r="D6411" s="7"/>
    </row>
    <row r="6412" spans="1:4" ht="12.75" customHeight="1" x14ac:dyDescent="0.2">
      <c r="A6412" s="22" t="str">
        <f>HYPERLINK("javascript:void(0)","aranyveretű illanat")</f>
        <v>aranyveretű illanat</v>
      </c>
      <c r="B6412" s="21"/>
      <c r="C6412" s="21"/>
      <c r="D6412" s="21"/>
    </row>
    <row r="6413" spans="1:4" ht="12.75" customHeight="1" x14ac:dyDescent="0.2">
      <c r="A6413" s="20"/>
      <c r="B6413" s="2"/>
      <c r="C6413" s="7"/>
      <c r="D6413" s="7"/>
    </row>
    <row r="6414" spans="1:4" ht="12.75" customHeight="1" x14ac:dyDescent="0.2">
      <c r="A6414" s="21"/>
      <c r="B6414" s="3" t="s">
        <v>0</v>
      </c>
      <c r="C6414" s="23" t="s">
        <v>532</v>
      </c>
      <c r="D6414" s="21"/>
    </row>
    <row r="6415" spans="1:4" ht="12.75" customHeight="1" x14ac:dyDescent="0.2">
      <c r="A6415" s="21"/>
      <c r="B6415" s="3" t="s">
        <v>2</v>
      </c>
      <c r="C6415" s="23" t="s">
        <v>1839</v>
      </c>
      <c r="D6415" s="21"/>
    </row>
    <row r="6416" spans="1:4" ht="12.75" customHeight="1" x14ac:dyDescent="0.2">
      <c r="A6416" s="21"/>
      <c r="B6416" s="3" t="s">
        <v>1840</v>
      </c>
      <c r="C6416" s="23" t="s">
        <v>1263</v>
      </c>
      <c r="D6416" s="21"/>
    </row>
    <row r="6417" spans="1:4" ht="12.75" customHeight="1" x14ac:dyDescent="0.2">
      <c r="A6417" s="21"/>
      <c r="B6417" s="3" t="s">
        <v>9</v>
      </c>
      <c r="C6417" s="23" t="s">
        <v>2010</v>
      </c>
      <c r="D6417" s="21"/>
    </row>
    <row r="6418" spans="1:4" ht="12.75" customHeight="1" x14ac:dyDescent="0.2">
      <c r="A6418" s="21"/>
      <c r="B6418" s="3" t="s">
        <v>11</v>
      </c>
      <c r="C6418" s="23" t="s">
        <v>722</v>
      </c>
      <c r="D6418" s="21"/>
    </row>
    <row r="6419" spans="1:4" ht="12.75" customHeight="1" x14ac:dyDescent="0.2">
      <c r="A6419" s="21"/>
      <c r="B6419" s="3" t="s">
        <v>16</v>
      </c>
      <c r="C6419" s="23"/>
      <c r="D6419" s="21"/>
    </row>
    <row r="6420" spans="1:4" ht="12.75" customHeight="1" x14ac:dyDescent="0.2">
      <c r="A6420" s="21"/>
      <c r="B6420" s="3" t="s">
        <v>17</v>
      </c>
      <c r="C6420" s="23" t="s">
        <v>19</v>
      </c>
      <c r="D6420" s="21"/>
    </row>
    <row r="6421" spans="1:4" ht="12.75" customHeight="1" x14ac:dyDescent="0.2">
      <c r="A6421" s="21"/>
      <c r="B6421" s="20" t="s">
        <v>18</v>
      </c>
      <c r="C6421" s="8" t="s">
        <v>44</v>
      </c>
      <c r="D6421" s="1" t="str">
        <f>HYPERLINK("javascript:void(0)","kacatpajzs")</f>
        <v>kacatpajzs</v>
      </c>
    </row>
    <row r="6422" spans="1:4" ht="12.75" customHeight="1" x14ac:dyDescent="0.2">
      <c r="A6422" s="21"/>
      <c r="B6422" s="21"/>
      <c r="C6422" s="8" t="s">
        <v>67</v>
      </c>
      <c r="D6422" s="1" t="str">
        <f>HYPERLINK("javascript:void(0)","aranyrög")</f>
        <v>aranyrög</v>
      </c>
    </row>
    <row r="6423" spans="1:4" ht="12.75" customHeight="1" x14ac:dyDescent="0.2">
      <c r="A6423" s="21"/>
      <c r="B6423" s="21"/>
      <c r="C6423" s="8" t="s">
        <v>117</v>
      </c>
      <c r="D6423" s="1" t="str">
        <f>HYPERLINK("javascript:void(0)","imázs")</f>
        <v>imázs</v>
      </c>
    </row>
    <row r="6424" spans="1:4" ht="12.75" customHeight="1" x14ac:dyDescent="0.2">
      <c r="A6424" s="21"/>
      <c r="B6424" s="2"/>
      <c r="C6424" s="7"/>
      <c r="D6424" s="7"/>
    </row>
    <row r="6425" spans="1:4" ht="12.75" customHeight="1" x14ac:dyDescent="0.2">
      <c r="A6425" s="21"/>
      <c r="B6425" s="2"/>
      <c r="C6425" s="7"/>
      <c r="D6425" s="7"/>
    </row>
    <row r="6426" spans="1:4" ht="12.75" customHeight="1" x14ac:dyDescent="0.2">
      <c r="A6426" s="21"/>
      <c r="B6426" s="2"/>
      <c r="C6426" s="7"/>
      <c r="D6426" s="7"/>
    </row>
    <row r="6427" spans="1:4" ht="12.75" customHeight="1" x14ac:dyDescent="0.2">
      <c r="A6427" s="21"/>
      <c r="B6427" s="2"/>
      <c r="C6427" s="7"/>
      <c r="D6427" s="7"/>
    </row>
    <row r="6428" spans="1:4" ht="12.75" customHeight="1" x14ac:dyDescent="0.2">
      <c r="A6428" s="5"/>
      <c r="B6428" s="2"/>
      <c r="C6428" s="7"/>
      <c r="D6428" s="7"/>
    </row>
    <row r="6429" spans="1:4" ht="12.75" customHeight="1" x14ac:dyDescent="0.2">
      <c r="A6429" s="22" t="str">
        <f>HYPERLINK("javascript:void(0)","kentacél mellvért")</f>
        <v>kentacél mellvért</v>
      </c>
      <c r="B6429" s="21"/>
      <c r="C6429" s="21"/>
      <c r="D6429" s="21"/>
    </row>
    <row r="6430" spans="1:4" ht="12.75" customHeight="1" x14ac:dyDescent="0.2">
      <c r="A6430" s="20"/>
      <c r="B6430" s="2"/>
      <c r="C6430" s="7"/>
      <c r="D6430" s="7"/>
    </row>
    <row r="6431" spans="1:4" ht="12.75" customHeight="1" x14ac:dyDescent="0.2">
      <c r="A6431" s="21"/>
      <c r="B6431" s="3" t="s">
        <v>0</v>
      </c>
      <c r="C6431" s="23" t="s">
        <v>223</v>
      </c>
      <c r="D6431" s="21"/>
    </row>
    <row r="6432" spans="1:4" ht="12.75" customHeight="1" x14ac:dyDescent="0.2">
      <c r="A6432" s="21"/>
      <c r="B6432" s="3" t="s">
        <v>2</v>
      </c>
      <c r="C6432" s="23" t="s">
        <v>2322</v>
      </c>
      <c r="D6432" s="21"/>
    </row>
    <row r="6433" spans="1:4" ht="12.75" customHeight="1" x14ac:dyDescent="0.2">
      <c r="A6433" s="21"/>
      <c r="B6433" s="3" t="s">
        <v>1840</v>
      </c>
      <c r="C6433" s="23" t="s">
        <v>2409</v>
      </c>
      <c r="D6433" s="21"/>
    </row>
    <row r="6434" spans="1:4" ht="12.75" customHeight="1" x14ac:dyDescent="0.2">
      <c r="A6434" s="21"/>
      <c r="B6434" s="3" t="s">
        <v>9</v>
      </c>
      <c r="C6434" s="23" t="s">
        <v>210</v>
      </c>
      <c r="D6434" s="21"/>
    </row>
    <row r="6435" spans="1:4" ht="12.75" customHeight="1" x14ac:dyDescent="0.2">
      <c r="A6435" s="21"/>
      <c r="B6435" s="3" t="s">
        <v>11</v>
      </c>
      <c r="C6435" s="23" t="s">
        <v>566</v>
      </c>
      <c r="D6435" s="21"/>
    </row>
    <row r="6436" spans="1:4" ht="12.75" customHeight="1" x14ac:dyDescent="0.2">
      <c r="A6436" s="21"/>
      <c r="B6436" s="3" t="s">
        <v>16</v>
      </c>
      <c r="C6436" s="23"/>
      <c r="D6436" s="21"/>
    </row>
    <row r="6437" spans="1:4" ht="12.75" customHeight="1" x14ac:dyDescent="0.2">
      <c r="A6437" s="21"/>
      <c r="B6437" s="3" t="s">
        <v>17</v>
      </c>
      <c r="C6437" s="23" t="s">
        <v>19</v>
      </c>
      <c r="D6437" s="21"/>
    </row>
    <row r="6438" spans="1:4" ht="12.75" customHeight="1" x14ac:dyDescent="0.2">
      <c r="A6438" s="21"/>
      <c r="B6438" s="20" t="s">
        <v>18</v>
      </c>
      <c r="C6438" s="8" t="s">
        <v>44</v>
      </c>
      <c r="D6438" s="1" t="str">
        <f>HYPERLINK("javascript:void(0)","elfacél mellvért")</f>
        <v>elfacél mellvért</v>
      </c>
    </row>
    <row r="6439" spans="1:4" ht="12.75" customHeight="1" x14ac:dyDescent="0.2">
      <c r="A6439" s="21"/>
      <c r="B6439" s="21"/>
      <c r="C6439" s="8" t="s">
        <v>44</v>
      </c>
      <c r="D6439" s="1" t="str">
        <f>HYPERLINK("javascript:void(0)","óriásacél mellvért")</f>
        <v>óriásacél mellvért</v>
      </c>
    </row>
    <row r="6440" spans="1:4" ht="12.75" customHeight="1" x14ac:dyDescent="0.2">
      <c r="A6440" s="21"/>
      <c r="B6440" s="21"/>
      <c r="C6440" s="8" t="s">
        <v>44</v>
      </c>
      <c r="D6440" s="1" t="str">
        <f>HYPERLINK("javascript:void(0)","kentacél előlap")</f>
        <v>kentacél előlap</v>
      </c>
    </row>
    <row r="6441" spans="1:4" ht="12.75" customHeight="1" x14ac:dyDescent="0.2">
      <c r="A6441" s="21"/>
      <c r="B6441" s="2"/>
      <c r="C6441" s="7"/>
      <c r="D6441" s="7"/>
    </row>
    <row r="6442" spans="1:4" ht="12.75" customHeight="1" x14ac:dyDescent="0.2">
      <c r="A6442" s="21"/>
      <c r="B6442" s="2"/>
      <c r="C6442" s="7"/>
      <c r="D6442" s="7"/>
    </row>
    <row r="6443" spans="1:4" ht="12.75" customHeight="1" x14ac:dyDescent="0.2">
      <c r="A6443" s="21"/>
      <c r="B6443" s="2"/>
      <c r="C6443" s="7"/>
      <c r="D6443" s="7"/>
    </row>
    <row r="6444" spans="1:4" ht="12.75" customHeight="1" x14ac:dyDescent="0.2">
      <c r="A6444" s="21"/>
      <c r="B6444" s="2"/>
      <c r="C6444" s="7"/>
      <c r="D6444" s="7"/>
    </row>
    <row r="6445" spans="1:4" ht="12.75" customHeight="1" x14ac:dyDescent="0.2">
      <c r="A6445" s="5"/>
      <c r="B6445" s="2"/>
      <c r="C6445" s="7"/>
      <c r="D6445" s="7"/>
    </row>
    <row r="6446" spans="1:4" ht="12.75" customHeight="1" x14ac:dyDescent="0.2">
      <c r="A6446" s="22" t="str">
        <f>HYPERLINK("javascript:void(0)","dimenziósisak")</f>
        <v>dimenziósisak</v>
      </c>
      <c r="B6446" s="21"/>
      <c r="C6446" s="21"/>
      <c r="D6446" s="21"/>
    </row>
    <row r="6447" spans="1:4" ht="12.75" customHeight="1" x14ac:dyDescent="0.2">
      <c r="A6447" s="20"/>
      <c r="B6447" s="2"/>
      <c r="C6447" s="7"/>
      <c r="D6447" s="7"/>
    </row>
    <row r="6448" spans="1:4" ht="12.75" customHeight="1" x14ac:dyDescent="0.2">
      <c r="A6448" s="21"/>
      <c r="B6448" s="3" t="s">
        <v>0</v>
      </c>
      <c r="C6448" s="23" t="s">
        <v>223</v>
      </c>
      <c r="D6448" s="21"/>
    </row>
    <row r="6449" spans="1:4" ht="12.75" customHeight="1" x14ac:dyDescent="0.2">
      <c r="A6449" s="21"/>
      <c r="B6449" s="3" t="s">
        <v>2</v>
      </c>
      <c r="C6449" s="23"/>
      <c r="D6449" s="21"/>
    </row>
    <row r="6450" spans="1:4" ht="12.75" customHeight="1" x14ac:dyDescent="0.2">
      <c r="A6450" s="21"/>
      <c r="B6450" s="3" t="s">
        <v>1840</v>
      </c>
      <c r="C6450" s="23" t="s">
        <v>1142</v>
      </c>
      <c r="D6450" s="21"/>
    </row>
    <row r="6451" spans="1:4" ht="12.75" customHeight="1" x14ac:dyDescent="0.2">
      <c r="A6451" s="21"/>
      <c r="B6451" s="3" t="s">
        <v>9</v>
      </c>
      <c r="C6451" s="23" t="s">
        <v>172</v>
      </c>
      <c r="D6451" s="21"/>
    </row>
    <row r="6452" spans="1:4" ht="12.75" customHeight="1" x14ac:dyDescent="0.2">
      <c r="A6452" s="21"/>
      <c r="B6452" s="3" t="s">
        <v>11</v>
      </c>
      <c r="C6452" s="23" t="s">
        <v>566</v>
      </c>
      <c r="D6452" s="21"/>
    </row>
    <row r="6453" spans="1:4" ht="12.75" customHeight="1" x14ac:dyDescent="0.2">
      <c r="A6453" s="21"/>
      <c r="B6453" s="3" t="s">
        <v>16</v>
      </c>
      <c r="C6453" s="23"/>
      <c r="D6453" s="21"/>
    </row>
    <row r="6454" spans="1:4" ht="12.75" customHeight="1" x14ac:dyDescent="0.2">
      <c r="A6454" s="21"/>
      <c r="B6454" s="3" t="s">
        <v>17</v>
      </c>
      <c r="C6454" s="23" t="s">
        <v>19</v>
      </c>
      <c r="D6454" s="21"/>
    </row>
    <row r="6455" spans="1:4" ht="12.75" customHeight="1" x14ac:dyDescent="0.2">
      <c r="A6455" s="21"/>
      <c r="B6455" s="20" t="s">
        <v>18</v>
      </c>
      <c r="C6455" s="8" t="s">
        <v>77</v>
      </c>
      <c r="D6455" s="1" t="str">
        <f>HYPERLINK("javascript:void(0)","dimenzióforgács")</f>
        <v>dimenzióforgács</v>
      </c>
    </row>
    <row r="6456" spans="1:4" ht="12.75" customHeight="1" x14ac:dyDescent="0.2">
      <c r="A6456" s="21"/>
      <c r="B6456" s="21"/>
      <c r="C6456" s="8" t="s">
        <v>327</v>
      </c>
      <c r="D6456" s="1" t="str">
        <f>HYPERLINK("javascript:void(0)","igeidő")</f>
        <v>igeidő</v>
      </c>
    </row>
    <row r="6457" spans="1:4" ht="12.75" customHeight="1" x14ac:dyDescent="0.2">
      <c r="A6457" s="21"/>
      <c r="B6457" s="21"/>
      <c r="C6457" s="8" t="s">
        <v>117</v>
      </c>
      <c r="D6457" s="1" t="str">
        <f>HYPERLINK("javascript:void(0)","vérrög")</f>
        <v>vérrög</v>
      </c>
    </row>
    <row r="6458" spans="1:4" ht="12.75" customHeight="1" x14ac:dyDescent="0.2">
      <c r="A6458" s="21"/>
      <c r="B6458" s="2"/>
      <c r="C6458" s="7"/>
      <c r="D6458" s="7"/>
    </row>
    <row r="6459" spans="1:4" ht="12.75" customHeight="1" x14ac:dyDescent="0.2">
      <c r="A6459" s="21"/>
      <c r="B6459" s="2"/>
      <c r="C6459" s="7"/>
      <c r="D6459" s="7"/>
    </row>
    <row r="6460" spans="1:4" ht="12.75" customHeight="1" x14ac:dyDescent="0.2">
      <c r="A6460" s="21"/>
      <c r="B6460" s="2"/>
      <c r="C6460" s="7"/>
      <c r="D6460" s="7"/>
    </row>
    <row r="6461" spans="1:4" ht="12.75" customHeight="1" x14ac:dyDescent="0.2">
      <c r="A6461" s="21"/>
      <c r="B6461" s="2"/>
      <c r="C6461" s="7"/>
      <c r="D6461" s="7"/>
    </row>
    <row r="6462" spans="1:4" ht="12.75" customHeight="1" x14ac:dyDescent="0.2">
      <c r="A6462" s="5"/>
      <c r="B6462" s="2"/>
      <c r="C6462" s="7"/>
      <c r="D6462" s="7"/>
    </row>
    <row r="6463" spans="1:4" ht="12.75" customHeight="1" x14ac:dyDescent="0.2">
      <c r="A6463" s="22" t="str">
        <f>HYPERLINK("javascript:void(0)","centro saru")</f>
        <v>centro saru</v>
      </c>
      <c r="B6463" s="21"/>
      <c r="C6463" s="21"/>
      <c r="D6463" s="21"/>
    </row>
    <row r="6464" spans="1:4" ht="12.75" customHeight="1" x14ac:dyDescent="0.2">
      <c r="A6464" s="20"/>
      <c r="B6464" s="2"/>
      <c r="C6464" s="7"/>
      <c r="D6464" s="7"/>
    </row>
    <row r="6465" spans="1:4" ht="12.75" customHeight="1" x14ac:dyDescent="0.2">
      <c r="A6465" s="21"/>
      <c r="B6465" s="3" t="s">
        <v>0</v>
      </c>
      <c r="C6465" s="23" t="s">
        <v>223</v>
      </c>
      <c r="D6465" s="21"/>
    </row>
    <row r="6466" spans="1:4" ht="12.75" customHeight="1" x14ac:dyDescent="0.2">
      <c r="A6466" s="21"/>
      <c r="B6466" s="3" t="s">
        <v>2</v>
      </c>
      <c r="C6466" s="23"/>
      <c r="D6466" s="21"/>
    </row>
    <row r="6467" spans="1:4" ht="12.75" customHeight="1" x14ac:dyDescent="0.2">
      <c r="A6467" s="21"/>
      <c r="B6467" s="3" t="s">
        <v>1840</v>
      </c>
      <c r="C6467" s="23" t="s">
        <v>312</v>
      </c>
      <c r="D6467" s="21"/>
    </row>
    <row r="6468" spans="1:4" ht="12.75" customHeight="1" x14ac:dyDescent="0.2">
      <c r="A6468" s="21"/>
      <c r="B6468" s="3" t="s">
        <v>9</v>
      </c>
      <c r="C6468" s="23" t="s">
        <v>79</v>
      </c>
      <c r="D6468" s="21"/>
    </row>
    <row r="6469" spans="1:4" ht="12.75" customHeight="1" x14ac:dyDescent="0.2">
      <c r="A6469" s="21"/>
      <c r="B6469" s="3" t="s">
        <v>11</v>
      </c>
      <c r="C6469" s="23" t="s">
        <v>603</v>
      </c>
      <c r="D6469" s="21"/>
    </row>
    <row r="6470" spans="1:4" ht="12.75" customHeight="1" x14ac:dyDescent="0.2">
      <c r="A6470" s="21"/>
      <c r="B6470" s="3" t="s">
        <v>16</v>
      </c>
      <c r="C6470" s="23"/>
      <c r="D6470" s="21"/>
    </row>
    <row r="6471" spans="1:4" ht="12.75" customHeight="1" x14ac:dyDescent="0.2">
      <c r="A6471" s="21"/>
      <c r="B6471" s="3" t="s">
        <v>17</v>
      </c>
      <c r="C6471" s="23" t="s">
        <v>19</v>
      </c>
      <c r="D6471" s="21"/>
    </row>
    <row r="6472" spans="1:4" ht="12.75" customHeight="1" x14ac:dyDescent="0.2">
      <c r="A6472" s="21"/>
      <c r="B6472" s="20" t="s">
        <v>18</v>
      </c>
      <c r="C6472" s="8" t="s">
        <v>44</v>
      </c>
      <c r="D6472" s="1" t="str">
        <f>HYPERLINK("javascript:void(0)","démonacél saru")</f>
        <v>démonacél saru</v>
      </c>
    </row>
    <row r="6473" spans="1:4" ht="12.75" customHeight="1" x14ac:dyDescent="0.2">
      <c r="A6473" s="21"/>
      <c r="B6473" s="21"/>
      <c r="C6473" s="8" t="s">
        <v>77</v>
      </c>
      <c r="D6473" s="1" t="str">
        <f>HYPERLINK("javascript:void(0)","dimenzióforgács")</f>
        <v>dimenzióforgács</v>
      </c>
    </row>
    <row r="6474" spans="1:4" ht="12.75" customHeight="1" x14ac:dyDescent="0.2">
      <c r="A6474" s="21"/>
      <c r="B6474" s="21"/>
      <c r="C6474" s="8" t="s">
        <v>382</v>
      </c>
      <c r="D6474" s="1" t="str">
        <f>HYPERLINK("javascript:void(0)","homokóra")</f>
        <v>homokóra</v>
      </c>
    </row>
    <row r="6475" spans="1:4" ht="12.75" customHeight="1" x14ac:dyDescent="0.2">
      <c r="A6475" s="21"/>
      <c r="B6475" s="2"/>
      <c r="C6475" s="7"/>
      <c r="D6475" s="7"/>
    </row>
    <row r="6476" spans="1:4" ht="12.75" customHeight="1" x14ac:dyDescent="0.2">
      <c r="A6476" s="21"/>
      <c r="B6476" s="2"/>
      <c r="C6476" s="7"/>
      <c r="D6476" s="7"/>
    </row>
    <row r="6477" spans="1:4" ht="12.75" customHeight="1" x14ac:dyDescent="0.2">
      <c r="A6477" s="21"/>
      <c r="B6477" s="2"/>
      <c r="C6477" s="7"/>
      <c r="D6477" s="7"/>
    </row>
    <row r="6478" spans="1:4" ht="12.75" customHeight="1" x14ac:dyDescent="0.2">
      <c r="A6478" s="21"/>
      <c r="B6478" s="2"/>
      <c r="C6478" s="7"/>
      <c r="D6478" s="7"/>
    </row>
    <row r="6479" spans="1:4" ht="12.75" customHeight="1" x14ac:dyDescent="0.2">
      <c r="A6479" s="5"/>
      <c r="B6479" s="2"/>
      <c r="C6479" s="7"/>
      <c r="D6479" s="7"/>
    </row>
    <row r="6480" spans="1:4" ht="12.75" customHeight="1" x14ac:dyDescent="0.2">
      <c r="A6480" s="22" t="str">
        <f>HYPERLINK("javascript:void(0)","kacat testpajzs")</f>
        <v>kacat testpajzs</v>
      </c>
      <c r="B6480" s="21"/>
      <c r="C6480" s="21"/>
      <c r="D6480" s="21"/>
    </row>
    <row r="6481" spans="1:4" ht="12.75" customHeight="1" x14ac:dyDescent="0.2">
      <c r="A6481" s="20"/>
      <c r="B6481" s="2"/>
      <c r="C6481" s="7"/>
      <c r="D6481" s="7"/>
    </row>
    <row r="6482" spans="1:4" ht="12.75" customHeight="1" x14ac:dyDescent="0.2">
      <c r="A6482" s="21"/>
      <c r="B6482" s="3" t="s">
        <v>0</v>
      </c>
      <c r="C6482" s="23" t="s">
        <v>223</v>
      </c>
      <c r="D6482" s="21"/>
    </row>
    <row r="6483" spans="1:4" ht="12.75" customHeight="1" x14ac:dyDescent="0.2">
      <c r="A6483" s="21"/>
      <c r="B6483" s="3" t="s">
        <v>2</v>
      </c>
      <c r="C6483" s="23" t="s">
        <v>1839</v>
      </c>
      <c r="D6483" s="21"/>
    </row>
    <row r="6484" spans="1:4" ht="12.75" customHeight="1" x14ac:dyDescent="0.2">
      <c r="A6484" s="21"/>
      <c r="B6484" s="3" t="s">
        <v>1840</v>
      </c>
      <c r="C6484" s="23" t="s">
        <v>1284</v>
      </c>
      <c r="D6484" s="21"/>
    </row>
    <row r="6485" spans="1:4" ht="12.75" customHeight="1" x14ac:dyDescent="0.2">
      <c r="A6485" s="21"/>
      <c r="B6485" s="3" t="s">
        <v>9</v>
      </c>
      <c r="C6485" s="23" t="s">
        <v>262</v>
      </c>
      <c r="D6485" s="21"/>
    </row>
    <row r="6486" spans="1:4" ht="12.75" customHeight="1" x14ac:dyDescent="0.2">
      <c r="A6486" s="21"/>
      <c r="B6486" s="3" t="s">
        <v>11</v>
      </c>
      <c r="C6486" s="23" t="s">
        <v>702</v>
      </c>
      <c r="D6486" s="21"/>
    </row>
    <row r="6487" spans="1:4" ht="12.75" customHeight="1" x14ac:dyDescent="0.2">
      <c r="A6487" s="21"/>
      <c r="B6487" s="3" t="s">
        <v>16</v>
      </c>
      <c r="C6487" s="23"/>
      <c r="D6487" s="21"/>
    </row>
    <row r="6488" spans="1:4" ht="12.75" customHeight="1" x14ac:dyDescent="0.2">
      <c r="A6488" s="21"/>
      <c r="B6488" s="3" t="s">
        <v>17</v>
      </c>
      <c r="C6488" s="23" t="s">
        <v>19</v>
      </c>
      <c r="D6488" s="21"/>
    </row>
    <row r="6489" spans="1:4" ht="12.75" customHeight="1" x14ac:dyDescent="0.2">
      <c r="A6489" s="21"/>
      <c r="B6489" s="20" t="s">
        <v>18</v>
      </c>
      <c r="C6489" s="8" t="s">
        <v>44</v>
      </c>
      <c r="D6489" s="1" t="str">
        <f>HYPERLINK("javascript:void(0)","krono testpajzs")</f>
        <v>krono testpajzs</v>
      </c>
    </row>
    <row r="6490" spans="1:4" ht="12.75" customHeight="1" x14ac:dyDescent="0.2">
      <c r="A6490" s="21"/>
      <c r="B6490" s="21"/>
      <c r="C6490" s="8" t="s">
        <v>163</v>
      </c>
      <c r="D6490" s="1" t="str">
        <f>HYPERLINK("javascript:void(0)","kacat")</f>
        <v>kacat</v>
      </c>
    </row>
    <row r="6491" spans="1:4" ht="12.75" customHeight="1" x14ac:dyDescent="0.2">
      <c r="A6491" s="21"/>
      <c r="B6491" s="21"/>
      <c r="C6491" s="8" t="s">
        <v>163</v>
      </c>
      <c r="D6491" s="1" t="str">
        <f>HYPERLINK("javascript:void(0)","morfige")</f>
        <v>morfige</v>
      </c>
    </row>
    <row r="6492" spans="1:4" ht="12.75" customHeight="1" x14ac:dyDescent="0.2">
      <c r="A6492" s="21"/>
      <c r="B6492" s="2"/>
      <c r="C6492" s="7"/>
      <c r="D6492" s="7"/>
    </row>
    <row r="6493" spans="1:4" ht="12.75" customHeight="1" x14ac:dyDescent="0.2">
      <c r="A6493" s="21"/>
      <c r="B6493" s="2"/>
      <c r="C6493" s="7"/>
      <c r="D6493" s="7"/>
    </row>
    <row r="6494" spans="1:4" ht="12.75" customHeight="1" x14ac:dyDescent="0.2">
      <c r="A6494" s="21"/>
      <c r="B6494" s="2"/>
      <c r="C6494" s="7"/>
      <c r="D6494" s="7"/>
    </row>
    <row r="6495" spans="1:4" ht="12.75" customHeight="1" x14ac:dyDescent="0.2">
      <c r="A6495" s="21"/>
      <c r="B6495" s="2"/>
      <c r="C6495" s="7"/>
      <c r="D6495" s="7"/>
    </row>
    <row r="6496" spans="1:4" ht="12.75" customHeight="1" x14ac:dyDescent="0.2">
      <c r="A6496" s="5"/>
      <c r="B6496" s="2"/>
      <c r="C6496" s="7"/>
      <c r="D6496" s="7"/>
    </row>
    <row r="6497" spans="1:4" ht="12.75" customHeight="1" x14ac:dyDescent="0.2">
      <c r="A6497" s="22" t="str">
        <f>HYPERLINK("javascript:void(0)","opálveretű illanat")</f>
        <v>opálveretű illanat</v>
      </c>
      <c r="B6497" s="21"/>
      <c r="C6497" s="21"/>
      <c r="D6497" s="21"/>
    </row>
    <row r="6498" spans="1:4" ht="12.75" customHeight="1" x14ac:dyDescent="0.2">
      <c r="A6498" s="20"/>
      <c r="B6498" s="2"/>
      <c r="C6498" s="7"/>
      <c r="D6498" s="7"/>
    </row>
    <row r="6499" spans="1:4" ht="12.75" customHeight="1" x14ac:dyDescent="0.2">
      <c r="A6499" s="21"/>
      <c r="B6499" s="3" t="s">
        <v>0</v>
      </c>
      <c r="C6499" s="23" t="s">
        <v>223</v>
      </c>
      <c r="D6499" s="21"/>
    </row>
    <row r="6500" spans="1:4" ht="12.75" customHeight="1" x14ac:dyDescent="0.2">
      <c r="A6500" s="21"/>
      <c r="B6500" s="3" t="s">
        <v>2</v>
      </c>
      <c r="C6500" s="23" t="s">
        <v>1839</v>
      </c>
      <c r="D6500" s="21"/>
    </row>
    <row r="6501" spans="1:4" ht="12.75" customHeight="1" x14ac:dyDescent="0.2">
      <c r="A6501" s="21"/>
      <c r="B6501" s="3" t="s">
        <v>1840</v>
      </c>
      <c r="C6501" s="23" t="s">
        <v>1284</v>
      </c>
      <c r="D6501" s="21"/>
    </row>
    <row r="6502" spans="1:4" ht="12.75" customHeight="1" x14ac:dyDescent="0.2">
      <c r="A6502" s="21"/>
      <c r="B6502" s="3" t="s">
        <v>9</v>
      </c>
      <c r="C6502" s="23" t="s">
        <v>590</v>
      </c>
      <c r="D6502" s="21"/>
    </row>
    <row r="6503" spans="1:4" ht="12.75" customHeight="1" x14ac:dyDescent="0.2">
      <c r="A6503" s="21"/>
      <c r="B6503" s="3" t="s">
        <v>11</v>
      </c>
      <c r="C6503" s="23" t="s">
        <v>739</v>
      </c>
      <c r="D6503" s="21"/>
    </row>
    <row r="6504" spans="1:4" ht="12.75" customHeight="1" x14ac:dyDescent="0.2">
      <c r="A6504" s="21"/>
      <c r="B6504" s="3" t="s">
        <v>16</v>
      </c>
      <c r="C6504" s="23"/>
      <c r="D6504" s="21"/>
    </row>
    <row r="6505" spans="1:4" ht="12.75" customHeight="1" x14ac:dyDescent="0.2">
      <c r="A6505" s="21"/>
      <c r="B6505" s="3" t="s">
        <v>17</v>
      </c>
      <c r="C6505" s="23" t="s">
        <v>19</v>
      </c>
      <c r="D6505" s="21"/>
    </row>
    <row r="6506" spans="1:4" ht="12.75" customHeight="1" x14ac:dyDescent="0.2">
      <c r="A6506" s="21"/>
      <c r="B6506" s="20" t="s">
        <v>18</v>
      </c>
      <c r="C6506" s="8" t="s">
        <v>44</v>
      </c>
      <c r="D6506" s="1" t="str">
        <f>HYPERLINK("javascript:void(0)","kacat testpajzs")</f>
        <v>kacat testpajzs</v>
      </c>
    </row>
    <row r="6507" spans="1:4" ht="12.75" customHeight="1" x14ac:dyDescent="0.2">
      <c r="A6507" s="21"/>
      <c r="B6507" s="21"/>
      <c r="C6507" s="8" t="s">
        <v>63</v>
      </c>
      <c r="D6507" s="1" t="str">
        <f>HYPERLINK("javascript:void(0)","opál")</f>
        <v>opál</v>
      </c>
    </row>
    <row r="6508" spans="1:4" ht="12.75" customHeight="1" x14ac:dyDescent="0.2">
      <c r="A6508" s="21"/>
      <c r="B6508" s="21"/>
      <c r="C6508" s="8" t="s">
        <v>117</v>
      </c>
      <c r="D6508" s="1" t="str">
        <f>HYPERLINK("javascript:void(0)","dimenzióforgács")</f>
        <v>dimenzióforgács</v>
      </c>
    </row>
    <row r="6509" spans="1:4" ht="12.75" customHeight="1" x14ac:dyDescent="0.2">
      <c r="A6509" s="21"/>
      <c r="B6509" s="2"/>
      <c r="C6509" s="7"/>
      <c r="D6509" s="7"/>
    </row>
    <row r="6510" spans="1:4" ht="12.75" customHeight="1" x14ac:dyDescent="0.2">
      <c r="A6510" s="21"/>
      <c r="B6510" s="2"/>
      <c r="C6510" s="7"/>
      <c r="D6510" s="7"/>
    </row>
    <row r="6511" spans="1:4" ht="12.75" customHeight="1" x14ac:dyDescent="0.2">
      <c r="A6511" s="21"/>
      <c r="B6511" s="2"/>
      <c r="C6511" s="7"/>
      <c r="D6511" s="7"/>
    </row>
    <row r="6512" spans="1:4" ht="12.75" customHeight="1" x14ac:dyDescent="0.2">
      <c r="A6512" s="21"/>
      <c r="B6512" s="2"/>
      <c r="C6512" s="7"/>
      <c r="D6512" s="7"/>
    </row>
    <row r="6513" spans="1:4" ht="12.75" customHeight="1" x14ac:dyDescent="0.2">
      <c r="A6513" s="5"/>
      <c r="B6513" s="2"/>
      <c r="C6513" s="7"/>
      <c r="D6513" s="7"/>
    </row>
    <row r="6514" spans="1:4" ht="12.75" customHeight="1" x14ac:dyDescent="0.2">
      <c r="A6514" s="22" t="str">
        <f>HYPERLINK("javascript:void(0)","kentacél előlap")</f>
        <v>kentacél előlap</v>
      </c>
      <c r="B6514" s="21"/>
      <c r="C6514" s="21"/>
      <c r="D6514" s="21"/>
    </row>
    <row r="6515" spans="1:4" ht="12.75" customHeight="1" x14ac:dyDescent="0.2">
      <c r="A6515" s="20"/>
      <c r="B6515" s="2"/>
      <c r="C6515" s="7"/>
      <c r="D6515" s="7"/>
    </row>
    <row r="6516" spans="1:4" ht="12.75" customHeight="1" x14ac:dyDescent="0.2">
      <c r="A6516" s="21"/>
      <c r="B6516" s="3" t="s">
        <v>0</v>
      </c>
      <c r="C6516" s="23" t="s">
        <v>223</v>
      </c>
      <c r="D6516" s="21"/>
    </row>
    <row r="6517" spans="1:4" ht="12.75" customHeight="1" x14ac:dyDescent="0.2">
      <c r="A6517" s="21"/>
      <c r="B6517" s="3" t="s">
        <v>2</v>
      </c>
      <c r="C6517" s="23" t="s">
        <v>2322</v>
      </c>
      <c r="D6517" s="21"/>
    </row>
    <row r="6518" spans="1:4" ht="12.75" customHeight="1" x14ac:dyDescent="0.2">
      <c r="A6518" s="21"/>
      <c r="B6518" s="3" t="s">
        <v>1840</v>
      </c>
      <c r="C6518" s="23" t="s">
        <v>260</v>
      </c>
      <c r="D6518" s="21"/>
    </row>
    <row r="6519" spans="1:4" ht="12.75" customHeight="1" x14ac:dyDescent="0.2">
      <c r="A6519" s="21"/>
      <c r="B6519" s="3" t="s">
        <v>9</v>
      </c>
      <c r="C6519" s="23" t="s">
        <v>79</v>
      </c>
      <c r="D6519" s="21"/>
    </row>
    <row r="6520" spans="1:4" ht="12.75" customHeight="1" x14ac:dyDescent="0.2">
      <c r="A6520" s="21"/>
      <c r="B6520" s="3" t="s">
        <v>11</v>
      </c>
      <c r="C6520" s="23" t="s">
        <v>368</v>
      </c>
      <c r="D6520" s="21"/>
    </row>
    <row r="6521" spans="1:4" ht="12.75" customHeight="1" x14ac:dyDescent="0.2">
      <c r="A6521" s="21"/>
      <c r="B6521" s="3" t="s">
        <v>16</v>
      </c>
      <c r="C6521" s="23"/>
      <c r="D6521" s="21"/>
    </row>
    <row r="6522" spans="1:4" ht="12.75" customHeight="1" x14ac:dyDescent="0.2">
      <c r="A6522" s="21"/>
      <c r="B6522" s="3" t="s">
        <v>17</v>
      </c>
      <c r="C6522" s="23" t="s">
        <v>19</v>
      </c>
      <c r="D6522" s="21"/>
    </row>
    <row r="6523" spans="1:4" ht="12.75" customHeight="1" x14ac:dyDescent="0.2">
      <c r="A6523" s="21"/>
      <c r="B6523" s="20" t="s">
        <v>18</v>
      </c>
      <c r="C6523" s="8" t="s">
        <v>398</v>
      </c>
      <c r="D6523" s="1" t="str">
        <f>HYPERLINK("javascript:void(0)","fotogén")</f>
        <v>fotogén</v>
      </c>
    </row>
    <row r="6524" spans="1:4" ht="12.75" customHeight="1" x14ac:dyDescent="0.2">
      <c r="A6524" s="21"/>
      <c r="B6524" s="21"/>
      <c r="C6524" s="8" t="s">
        <v>327</v>
      </c>
      <c r="D6524" s="1" t="str">
        <f>HYPERLINK("javascript:void(0)","horog")</f>
        <v>horog</v>
      </c>
    </row>
    <row r="6525" spans="1:4" ht="12.75" customHeight="1" x14ac:dyDescent="0.2">
      <c r="A6525" s="21"/>
      <c r="B6525" s="21"/>
      <c r="C6525" s="8" t="s">
        <v>98</v>
      </c>
      <c r="D6525" s="1" t="str">
        <f>HYPERLINK("javascript:void(0)","manókoponya")</f>
        <v>manókoponya</v>
      </c>
    </row>
    <row r="6526" spans="1:4" ht="12.75" customHeight="1" x14ac:dyDescent="0.2">
      <c r="A6526" s="21"/>
      <c r="B6526" s="2"/>
      <c r="C6526" s="7"/>
      <c r="D6526" s="7"/>
    </row>
    <row r="6527" spans="1:4" ht="12.75" customHeight="1" x14ac:dyDescent="0.2">
      <c r="A6527" s="21"/>
      <c r="B6527" s="2"/>
      <c r="C6527" s="7"/>
      <c r="D6527" s="7"/>
    </row>
    <row r="6528" spans="1:4" ht="12.75" customHeight="1" x14ac:dyDescent="0.2">
      <c r="A6528" s="21"/>
      <c r="B6528" s="2"/>
      <c r="C6528" s="7"/>
      <c r="D6528" s="7"/>
    </row>
    <row r="6529" spans="1:4" ht="12.75" customHeight="1" x14ac:dyDescent="0.2">
      <c r="A6529" s="21"/>
      <c r="B6529" s="2"/>
      <c r="C6529" s="7"/>
      <c r="D6529" s="7"/>
    </row>
    <row r="6530" spans="1:4" ht="12.75" customHeight="1" x14ac:dyDescent="0.2">
      <c r="A6530" s="5"/>
      <c r="B6530" s="2"/>
      <c r="C6530" s="7"/>
      <c r="D6530" s="7"/>
    </row>
    <row r="6531" spans="1:4" ht="12.75" customHeight="1" x14ac:dyDescent="0.2">
      <c r="A6531" s="22" t="str">
        <f>HYPERLINK("javascript:void(0)","hiper manasisak")</f>
        <v>hiper manasisak</v>
      </c>
      <c r="B6531" s="21"/>
      <c r="C6531" s="21"/>
      <c r="D6531" s="21"/>
    </row>
    <row r="6532" spans="1:4" ht="12.75" customHeight="1" x14ac:dyDescent="0.2">
      <c r="A6532" s="20"/>
      <c r="B6532" s="2"/>
      <c r="C6532" s="7"/>
      <c r="D6532" s="7"/>
    </row>
    <row r="6533" spans="1:4" ht="12.75" customHeight="1" x14ac:dyDescent="0.2">
      <c r="A6533" s="21"/>
      <c r="B6533" s="3" t="s">
        <v>0</v>
      </c>
      <c r="C6533" s="23" t="s">
        <v>223</v>
      </c>
      <c r="D6533" s="21"/>
    </row>
    <row r="6534" spans="1:4" ht="12.75" customHeight="1" x14ac:dyDescent="0.2">
      <c r="A6534" s="21"/>
      <c r="B6534" s="3" t="s">
        <v>2</v>
      </c>
      <c r="C6534" s="23"/>
      <c r="D6534" s="21"/>
    </row>
    <row r="6535" spans="1:4" ht="12.75" customHeight="1" x14ac:dyDescent="0.2">
      <c r="A6535" s="21"/>
      <c r="B6535" s="3" t="s">
        <v>1840</v>
      </c>
      <c r="C6535" s="23" t="s">
        <v>635</v>
      </c>
      <c r="D6535" s="21"/>
    </row>
    <row r="6536" spans="1:4" ht="12.75" customHeight="1" x14ac:dyDescent="0.2">
      <c r="A6536" s="21"/>
      <c r="B6536" s="3" t="s">
        <v>9</v>
      </c>
      <c r="C6536" s="23" t="s">
        <v>210</v>
      </c>
      <c r="D6536" s="21"/>
    </row>
    <row r="6537" spans="1:4" ht="12.75" customHeight="1" x14ac:dyDescent="0.2">
      <c r="A6537" s="21"/>
      <c r="B6537" s="3" t="s">
        <v>11</v>
      </c>
      <c r="C6537" s="23" t="s">
        <v>368</v>
      </c>
      <c r="D6537" s="21"/>
    </row>
    <row r="6538" spans="1:4" ht="12.75" customHeight="1" x14ac:dyDescent="0.2">
      <c r="A6538" s="21"/>
      <c r="B6538" s="3" t="s">
        <v>16</v>
      </c>
      <c r="C6538" s="23"/>
      <c r="D6538" s="21"/>
    </row>
    <row r="6539" spans="1:4" ht="12.75" customHeight="1" x14ac:dyDescent="0.2">
      <c r="A6539" s="21"/>
      <c r="B6539" s="3" t="s">
        <v>17</v>
      </c>
      <c r="C6539" s="23" t="s">
        <v>19</v>
      </c>
      <c r="D6539" s="21"/>
    </row>
    <row r="6540" spans="1:4" ht="12.75" customHeight="1" x14ac:dyDescent="0.2">
      <c r="A6540" s="21"/>
      <c r="B6540" s="20" t="s">
        <v>18</v>
      </c>
      <c r="C6540" s="8" t="s">
        <v>44</v>
      </c>
      <c r="D6540" s="1" t="str">
        <f>HYPERLINK("javascript:void(0)","centro manasisak")</f>
        <v>centro manasisak</v>
      </c>
    </row>
    <row r="6541" spans="1:4" ht="12.75" customHeight="1" x14ac:dyDescent="0.2">
      <c r="A6541" s="21"/>
      <c r="B6541" s="21"/>
      <c r="C6541" s="8" t="s">
        <v>68</v>
      </c>
      <c r="D6541" s="1" t="str">
        <f>HYPERLINK("javascript:void(0)","dimenzióforgács")</f>
        <v>dimenzióforgács</v>
      </c>
    </row>
    <row r="6542" spans="1:4" ht="12.75" customHeight="1" x14ac:dyDescent="0.2">
      <c r="A6542" s="21"/>
      <c r="B6542" s="21"/>
      <c r="C6542" s="8" t="s">
        <v>382</v>
      </c>
      <c r="D6542" s="1" t="str">
        <f>HYPERLINK("javascript:void(0)","csontszilánk")</f>
        <v>csontszilánk</v>
      </c>
    </row>
    <row r="6543" spans="1:4" ht="12.75" customHeight="1" x14ac:dyDescent="0.2">
      <c r="A6543" s="21"/>
      <c r="B6543" s="2"/>
      <c r="C6543" s="7"/>
      <c r="D6543" s="7"/>
    </row>
    <row r="6544" spans="1:4" ht="12.75" customHeight="1" x14ac:dyDescent="0.2">
      <c r="A6544" s="21"/>
      <c r="B6544" s="2"/>
      <c r="C6544" s="7"/>
      <c r="D6544" s="7"/>
    </row>
    <row r="6545" spans="1:4" ht="12.75" customHeight="1" x14ac:dyDescent="0.2">
      <c r="A6545" s="21"/>
      <c r="B6545" s="2"/>
      <c r="C6545" s="7"/>
      <c r="D6545" s="7"/>
    </row>
    <row r="6546" spans="1:4" ht="12.75" customHeight="1" x14ac:dyDescent="0.2">
      <c r="A6546" s="21"/>
      <c r="B6546" s="2"/>
      <c r="C6546" s="7"/>
      <c r="D6546" s="7"/>
    </row>
    <row r="6547" spans="1:4" ht="12.75" customHeight="1" x14ac:dyDescent="0.2">
      <c r="A6547" s="5"/>
      <c r="B6547" s="2"/>
      <c r="C6547" s="7"/>
      <c r="D6547" s="7"/>
    </row>
    <row r="6548" spans="1:4" ht="12.75" customHeight="1" x14ac:dyDescent="0.2">
      <c r="A6548" s="22" t="str">
        <f>HYPERLINK("javascript:void(0)","hiper manafejpánt")</f>
        <v>hiper manafejpánt</v>
      </c>
      <c r="B6548" s="21"/>
      <c r="C6548" s="21"/>
      <c r="D6548" s="21"/>
    </row>
    <row r="6549" spans="1:4" ht="12.75" customHeight="1" x14ac:dyDescent="0.2">
      <c r="A6549" s="20"/>
      <c r="B6549" s="2"/>
      <c r="C6549" s="7"/>
      <c r="D6549" s="7"/>
    </row>
    <row r="6550" spans="1:4" ht="12.75" customHeight="1" x14ac:dyDescent="0.2">
      <c r="A6550" s="21"/>
      <c r="B6550" s="3" t="s">
        <v>0</v>
      </c>
      <c r="C6550" s="23" t="s">
        <v>223</v>
      </c>
      <c r="D6550" s="21"/>
    </row>
    <row r="6551" spans="1:4" ht="12.75" customHeight="1" x14ac:dyDescent="0.2">
      <c r="A6551" s="21"/>
      <c r="B6551" s="3" t="s">
        <v>2</v>
      </c>
      <c r="C6551" s="23"/>
      <c r="D6551" s="21"/>
    </row>
    <row r="6552" spans="1:4" ht="12.75" customHeight="1" x14ac:dyDescent="0.2">
      <c r="A6552" s="21"/>
      <c r="B6552" s="3" t="s">
        <v>1840</v>
      </c>
      <c r="C6552" s="23" t="s">
        <v>291</v>
      </c>
      <c r="D6552" s="21"/>
    </row>
    <row r="6553" spans="1:4" ht="12.75" customHeight="1" x14ac:dyDescent="0.2">
      <c r="A6553" s="21"/>
      <c r="B6553" s="3" t="s">
        <v>9</v>
      </c>
      <c r="C6553" s="23" t="s">
        <v>93</v>
      </c>
      <c r="D6553" s="21"/>
    </row>
    <row r="6554" spans="1:4" ht="12.75" customHeight="1" x14ac:dyDescent="0.2">
      <c r="A6554" s="21"/>
      <c r="B6554" s="3" t="s">
        <v>11</v>
      </c>
      <c r="C6554" s="23" t="s">
        <v>368</v>
      </c>
      <c r="D6554" s="21"/>
    </row>
    <row r="6555" spans="1:4" ht="12.75" customHeight="1" x14ac:dyDescent="0.2">
      <c r="A6555" s="21"/>
      <c r="B6555" s="3" t="s">
        <v>16</v>
      </c>
      <c r="C6555" s="23"/>
      <c r="D6555" s="21"/>
    </row>
    <row r="6556" spans="1:4" ht="12.75" customHeight="1" x14ac:dyDescent="0.2">
      <c r="A6556" s="21"/>
      <c r="B6556" s="3" t="s">
        <v>17</v>
      </c>
      <c r="C6556" s="23" t="s">
        <v>19</v>
      </c>
      <c r="D6556" s="21"/>
    </row>
    <row r="6557" spans="1:4" ht="12.75" customHeight="1" x14ac:dyDescent="0.2">
      <c r="A6557" s="21"/>
      <c r="B6557" s="20" t="s">
        <v>18</v>
      </c>
      <c r="C6557" s="8" t="s">
        <v>44</v>
      </c>
      <c r="D6557" s="1" t="str">
        <f>HYPERLINK("javascript:void(0)","centro manafejpánt")</f>
        <v>centro manafejpánt</v>
      </c>
    </row>
    <row r="6558" spans="1:4" ht="12.75" customHeight="1" x14ac:dyDescent="0.2">
      <c r="A6558" s="21"/>
      <c r="B6558" s="21"/>
      <c r="C6558" s="8" t="s">
        <v>163</v>
      </c>
      <c r="D6558" s="1" t="str">
        <f>HYPERLINK("javascript:void(0)","fotogén")</f>
        <v>fotogén</v>
      </c>
    </row>
    <row r="6559" spans="1:4" ht="12.75" customHeight="1" x14ac:dyDescent="0.2">
      <c r="A6559" s="21"/>
      <c r="B6559" s="21"/>
      <c r="C6559" s="8" t="s">
        <v>98</v>
      </c>
      <c r="D6559" s="1" t="str">
        <f>HYPERLINK("javascript:void(0)","űrlap")</f>
        <v>űrlap</v>
      </c>
    </row>
    <row r="6560" spans="1:4" ht="12.75" customHeight="1" x14ac:dyDescent="0.2">
      <c r="A6560" s="21"/>
      <c r="B6560" s="2"/>
      <c r="C6560" s="7"/>
      <c r="D6560" s="7"/>
    </row>
    <row r="6561" spans="1:4" ht="12.75" customHeight="1" x14ac:dyDescent="0.2">
      <c r="A6561" s="21"/>
      <c r="B6561" s="2"/>
      <c r="C6561" s="7"/>
      <c r="D6561" s="7"/>
    </row>
    <row r="6562" spans="1:4" ht="12.75" customHeight="1" x14ac:dyDescent="0.2">
      <c r="A6562" s="21"/>
      <c r="B6562" s="2"/>
      <c r="C6562" s="7"/>
      <c r="D6562" s="7"/>
    </row>
    <row r="6563" spans="1:4" ht="12.75" customHeight="1" x14ac:dyDescent="0.2">
      <c r="A6563" s="21"/>
      <c r="B6563" s="2"/>
      <c r="C6563" s="7"/>
      <c r="D6563" s="7"/>
    </row>
    <row r="6564" spans="1:4" ht="12.75" customHeight="1" x14ac:dyDescent="0.2">
      <c r="A6564" s="5"/>
      <c r="B6564" s="2"/>
      <c r="C6564" s="7"/>
      <c r="D6564" s="7"/>
    </row>
    <row r="6565" spans="1:4" ht="12.75" customHeight="1" x14ac:dyDescent="0.2">
      <c r="A6565" s="22" t="str">
        <f>HYPERLINK("javascript:void(0)","gyíkacél páncél")</f>
        <v>gyíkacél páncél</v>
      </c>
      <c r="B6565" s="21"/>
      <c r="C6565" s="21"/>
      <c r="D6565" s="21"/>
    </row>
    <row r="6566" spans="1:4" ht="12.75" customHeight="1" x14ac:dyDescent="0.2">
      <c r="A6566" s="20"/>
      <c r="B6566" s="2"/>
      <c r="C6566" s="7"/>
      <c r="D6566" s="7"/>
    </row>
    <row r="6567" spans="1:4" ht="12.75" customHeight="1" x14ac:dyDescent="0.2">
      <c r="A6567" s="21"/>
      <c r="B6567" s="3" t="s">
        <v>0</v>
      </c>
      <c r="C6567" s="23" t="s">
        <v>223</v>
      </c>
      <c r="D6567" s="21"/>
    </row>
    <row r="6568" spans="1:4" ht="12.75" customHeight="1" x14ac:dyDescent="0.2">
      <c r="A6568" s="21"/>
      <c r="B6568" s="3" t="s">
        <v>2</v>
      </c>
      <c r="C6568" s="23" t="s">
        <v>2322</v>
      </c>
      <c r="D6568" s="21"/>
    </row>
    <row r="6569" spans="1:4" ht="12.75" customHeight="1" x14ac:dyDescent="0.2">
      <c r="A6569" s="21"/>
      <c r="B6569" s="3" t="s">
        <v>1840</v>
      </c>
      <c r="C6569" s="23" t="s">
        <v>482</v>
      </c>
      <c r="D6569" s="21"/>
    </row>
    <row r="6570" spans="1:4" ht="12.75" customHeight="1" x14ac:dyDescent="0.2">
      <c r="A6570" s="21"/>
      <c r="B6570" s="3" t="s">
        <v>9</v>
      </c>
      <c r="C6570" s="23" t="s">
        <v>300</v>
      </c>
      <c r="D6570" s="21"/>
    </row>
    <row r="6571" spans="1:4" ht="12.75" customHeight="1" x14ac:dyDescent="0.2">
      <c r="A6571" s="21"/>
      <c r="B6571" s="3" t="s">
        <v>11</v>
      </c>
      <c r="C6571" s="23" t="s">
        <v>368</v>
      </c>
      <c r="D6571" s="21"/>
    </row>
    <row r="6572" spans="1:4" ht="12.75" customHeight="1" x14ac:dyDescent="0.2">
      <c r="A6572" s="21"/>
      <c r="B6572" s="3" t="s">
        <v>16</v>
      </c>
      <c r="C6572" s="23"/>
      <c r="D6572" s="21"/>
    </row>
    <row r="6573" spans="1:4" ht="12.75" customHeight="1" x14ac:dyDescent="0.2">
      <c r="A6573" s="21"/>
      <c r="B6573" s="3" t="s">
        <v>17</v>
      </c>
      <c r="C6573" s="23" t="s">
        <v>19</v>
      </c>
      <c r="D6573" s="21"/>
    </row>
    <row r="6574" spans="1:4" ht="12.75" customHeight="1" x14ac:dyDescent="0.2">
      <c r="A6574" s="21"/>
      <c r="B6574" s="20" t="s">
        <v>18</v>
      </c>
      <c r="C6574" s="8" t="s">
        <v>1379</v>
      </c>
      <c r="D6574" s="1" t="str">
        <f>HYPERLINK("javascript:void(0)","goblinbatka")</f>
        <v>goblinbatka</v>
      </c>
    </row>
    <row r="6575" spans="1:4" ht="12.75" customHeight="1" x14ac:dyDescent="0.2">
      <c r="A6575" s="21"/>
      <c r="B6575" s="21"/>
      <c r="C6575" s="8" t="s">
        <v>280</v>
      </c>
      <c r="D6575" s="1" t="str">
        <f>HYPERLINK("javascript:void(0)","szent szimbólum")</f>
        <v>szent szimbólum</v>
      </c>
    </row>
    <row r="6576" spans="1:4" ht="12.75" customHeight="1" x14ac:dyDescent="0.2">
      <c r="A6576" s="21"/>
      <c r="B6576" s="21"/>
      <c r="C6576" s="8" t="s">
        <v>280</v>
      </c>
      <c r="D6576" s="1" t="str">
        <f>HYPERLINK("javascript:void(0)","portgyűrű")</f>
        <v>portgyűrű</v>
      </c>
    </row>
    <row r="6577" spans="1:4" ht="12.75" customHeight="1" x14ac:dyDescent="0.2">
      <c r="A6577" s="21"/>
      <c r="B6577" s="2"/>
      <c r="C6577" s="7"/>
      <c r="D6577" s="7"/>
    </row>
    <row r="6578" spans="1:4" ht="12.75" customHeight="1" x14ac:dyDescent="0.2">
      <c r="A6578" s="21"/>
      <c r="B6578" s="2"/>
      <c r="C6578" s="7"/>
      <c r="D6578" s="7"/>
    </row>
    <row r="6579" spans="1:4" ht="12.75" customHeight="1" x14ac:dyDescent="0.2">
      <c r="A6579" s="21"/>
      <c r="B6579" s="2"/>
      <c r="C6579" s="7"/>
      <c r="D6579" s="7"/>
    </row>
    <row r="6580" spans="1:4" ht="12.75" customHeight="1" x14ac:dyDescent="0.2">
      <c r="A6580" s="21"/>
      <c r="B6580" s="2"/>
      <c r="C6580" s="7"/>
      <c r="D6580" s="7"/>
    </row>
    <row r="6581" spans="1:4" ht="12.75" customHeight="1" x14ac:dyDescent="0.2">
      <c r="A6581" s="5"/>
      <c r="B6581" s="2"/>
      <c r="C6581" s="7"/>
      <c r="D6581" s="7"/>
    </row>
    <row r="6582" spans="1:4" ht="12.75" customHeight="1" x14ac:dyDescent="0.2">
      <c r="A6582" s="22" t="str">
        <f>HYPERLINK("javascript:void(0)","gyíkacél pajzs")</f>
        <v>gyíkacél pajzs</v>
      </c>
      <c r="B6582" s="21"/>
      <c r="C6582" s="21"/>
      <c r="D6582" s="21"/>
    </row>
    <row r="6583" spans="1:4" ht="12.75" customHeight="1" x14ac:dyDescent="0.2">
      <c r="A6583" s="20"/>
      <c r="B6583" s="2"/>
      <c r="C6583" s="7"/>
      <c r="D6583" s="7"/>
    </row>
    <row r="6584" spans="1:4" ht="12.75" customHeight="1" x14ac:dyDescent="0.2">
      <c r="A6584" s="21"/>
      <c r="B6584" s="3" t="s">
        <v>0</v>
      </c>
      <c r="C6584" s="23" t="s">
        <v>223</v>
      </c>
      <c r="D6584" s="21"/>
    </row>
    <row r="6585" spans="1:4" ht="12.75" customHeight="1" x14ac:dyDescent="0.2">
      <c r="A6585" s="21"/>
      <c r="B6585" s="3" t="s">
        <v>2</v>
      </c>
      <c r="C6585" s="23" t="s">
        <v>1839</v>
      </c>
      <c r="D6585" s="21"/>
    </row>
    <row r="6586" spans="1:4" ht="12.75" customHeight="1" x14ac:dyDescent="0.2">
      <c r="A6586" s="21"/>
      <c r="B6586" s="3" t="s">
        <v>1840</v>
      </c>
      <c r="C6586" s="23" t="s">
        <v>1284</v>
      </c>
      <c r="D6586" s="21"/>
    </row>
    <row r="6587" spans="1:4" ht="12.75" customHeight="1" x14ac:dyDescent="0.2">
      <c r="A6587" s="21"/>
      <c r="B6587" s="3" t="s">
        <v>9</v>
      </c>
      <c r="C6587" s="23" t="s">
        <v>601</v>
      </c>
      <c r="D6587" s="21"/>
    </row>
    <row r="6588" spans="1:4" ht="12.75" customHeight="1" x14ac:dyDescent="0.2">
      <c r="A6588" s="21"/>
      <c r="B6588" s="3" t="s">
        <v>11</v>
      </c>
      <c r="C6588" s="23" t="s">
        <v>702</v>
      </c>
      <c r="D6588" s="21"/>
    </row>
    <row r="6589" spans="1:4" ht="12.75" customHeight="1" x14ac:dyDescent="0.2">
      <c r="A6589" s="21"/>
      <c r="B6589" s="3" t="s">
        <v>16</v>
      </c>
      <c r="C6589" s="23"/>
      <c r="D6589" s="21"/>
    </row>
    <row r="6590" spans="1:4" ht="12.75" customHeight="1" x14ac:dyDescent="0.2">
      <c r="A6590" s="21"/>
      <c r="B6590" s="3" t="s">
        <v>17</v>
      </c>
      <c r="C6590" s="23" t="s">
        <v>19</v>
      </c>
      <c r="D6590" s="21"/>
    </row>
    <row r="6591" spans="1:4" ht="12.75" customHeight="1" x14ac:dyDescent="0.2">
      <c r="A6591" s="21"/>
      <c r="B6591" s="20" t="s">
        <v>18</v>
      </c>
      <c r="C6591" s="8" t="s">
        <v>193</v>
      </c>
      <c r="D6591" s="1" t="str">
        <f>HYPERLINK("javascript:void(0)","méregmirigy")</f>
        <v>méregmirigy</v>
      </c>
    </row>
    <row r="6592" spans="1:4" ht="12.75" customHeight="1" x14ac:dyDescent="0.2">
      <c r="A6592" s="21"/>
      <c r="B6592" s="21"/>
      <c r="C6592" s="8" t="s">
        <v>193</v>
      </c>
      <c r="D6592" s="1" t="str">
        <f>HYPERLINK("javascript:void(0)","tűzige")</f>
        <v>tűzige</v>
      </c>
    </row>
    <row r="6593" spans="1:4" ht="12.75" customHeight="1" x14ac:dyDescent="0.2">
      <c r="A6593" s="21"/>
      <c r="B6593" s="21"/>
      <c r="C6593" s="8" t="s">
        <v>193</v>
      </c>
      <c r="D6593" s="1" t="str">
        <f>HYPERLINK("javascript:void(0)","lámpás")</f>
        <v>lámpás</v>
      </c>
    </row>
    <row r="6594" spans="1:4" ht="12.75" customHeight="1" x14ac:dyDescent="0.2">
      <c r="A6594" s="21"/>
      <c r="B6594" s="2"/>
      <c r="C6594" s="7"/>
      <c r="D6594" s="7"/>
    </row>
    <row r="6595" spans="1:4" ht="12.75" customHeight="1" x14ac:dyDescent="0.2">
      <c r="A6595" s="21"/>
      <c r="B6595" s="2"/>
      <c r="C6595" s="7"/>
      <c r="D6595" s="7"/>
    </row>
    <row r="6596" spans="1:4" ht="12.75" customHeight="1" x14ac:dyDescent="0.2">
      <c r="A6596" s="21"/>
      <c r="B6596" s="2"/>
      <c r="C6596" s="7"/>
      <c r="D6596" s="7"/>
    </row>
    <row r="6597" spans="1:4" ht="12.75" customHeight="1" x14ac:dyDescent="0.2">
      <c r="A6597" s="21"/>
      <c r="B6597" s="2"/>
      <c r="C6597" s="7"/>
      <c r="D6597" s="7"/>
    </row>
    <row r="6598" spans="1:4" ht="12.75" customHeight="1" x14ac:dyDescent="0.2">
      <c r="A6598" s="5"/>
      <c r="B6598" s="2"/>
      <c r="C6598" s="7"/>
      <c r="D6598" s="7"/>
    </row>
    <row r="6599" spans="1:4" ht="12.75" customHeight="1" x14ac:dyDescent="0.2">
      <c r="A6599" s="22" t="str">
        <f>HYPERLINK("javascript:void(0)","csillámló törpepajzs")</f>
        <v>csillámló törpepajzs</v>
      </c>
      <c r="B6599" s="21"/>
      <c r="C6599" s="21"/>
      <c r="D6599" s="21"/>
    </row>
    <row r="6600" spans="1:4" ht="12.75" customHeight="1" x14ac:dyDescent="0.2">
      <c r="A6600" s="20"/>
      <c r="B6600" s="2"/>
      <c r="C6600" s="7"/>
      <c r="D6600" s="7"/>
    </row>
    <row r="6601" spans="1:4" ht="12.75" customHeight="1" x14ac:dyDescent="0.2">
      <c r="A6601" s="21"/>
      <c r="B6601" s="3" t="s">
        <v>0</v>
      </c>
      <c r="C6601" s="23" t="s">
        <v>223</v>
      </c>
      <c r="D6601" s="21"/>
    </row>
    <row r="6602" spans="1:4" ht="12.75" customHeight="1" x14ac:dyDescent="0.2">
      <c r="A6602" s="21"/>
      <c r="B6602" s="3" t="s">
        <v>2</v>
      </c>
      <c r="C6602" s="23" t="s">
        <v>1839</v>
      </c>
      <c r="D6602" s="21"/>
    </row>
    <row r="6603" spans="1:4" ht="12.75" customHeight="1" x14ac:dyDescent="0.2">
      <c r="A6603" s="21"/>
      <c r="B6603" s="3" t="s">
        <v>1840</v>
      </c>
      <c r="C6603" s="23" t="s">
        <v>351</v>
      </c>
      <c r="D6603" s="21"/>
    </row>
    <row r="6604" spans="1:4" ht="12.75" customHeight="1" x14ac:dyDescent="0.2">
      <c r="A6604" s="21"/>
      <c r="B6604" s="3" t="s">
        <v>9</v>
      </c>
      <c r="C6604" s="23" t="s">
        <v>415</v>
      </c>
      <c r="D6604" s="21"/>
    </row>
    <row r="6605" spans="1:4" ht="12.75" customHeight="1" x14ac:dyDescent="0.2">
      <c r="A6605" s="21"/>
      <c r="B6605" s="3" t="s">
        <v>11</v>
      </c>
      <c r="C6605" s="23" t="s">
        <v>702</v>
      </c>
      <c r="D6605" s="21"/>
    </row>
    <row r="6606" spans="1:4" ht="12.75" customHeight="1" x14ac:dyDescent="0.2">
      <c r="A6606" s="21"/>
      <c r="B6606" s="3" t="s">
        <v>16</v>
      </c>
      <c r="C6606" s="23"/>
      <c r="D6606" s="21"/>
    </row>
    <row r="6607" spans="1:4" ht="12.75" customHeight="1" x14ac:dyDescent="0.2">
      <c r="A6607" s="21"/>
      <c r="B6607" s="3" t="s">
        <v>17</v>
      </c>
      <c r="C6607" s="23" t="s">
        <v>19</v>
      </c>
      <c r="D6607" s="21"/>
    </row>
    <row r="6608" spans="1:4" ht="12.75" customHeight="1" x14ac:dyDescent="0.2">
      <c r="A6608" s="21"/>
      <c r="B6608" s="20" t="s">
        <v>18</v>
      </c>
      <c r="C6608" s="8" t="s">
        <v>57</v>
      </c>
      <c r="D6608" s="1" t="str">
        <f>HYPERLINK("javascript:void(0)","csillámgöb")</f>
        <v>csillámgöb</v>
      </c>
    </row>
    <row r="6609" spans="1:4" ht="12.75" customHeight="1" x14ac:dyDescent="0.2">
      <c r="A6609" s="21"/>
      <c r="B6609" s="21"/>
      <c r="C6609" s="8" t="s">
        <v>44</v>
      </c>
      <c r="D6609" s="1" t="str">
        <f>HYPERLINK("javascript:void(0)","kerek csillámpajzs")</f>
        <v>kerek csillámpajzs</v>
      </c>
    </row>
    <row r="6610" spans="1:4" ht="12.75" customHeight="1" x14ac:dyDescent="0.2">
      <c r="A6610" s="21"/>
      <c r="B6610" s="21"/>
      <c r="C6610" s="8" t="s">
        <v>98</v>
      </c>
      <c r="D6610" s="1" t="str">
        <f>HYPERLINK("javascript:void(0)","nagy pillepajzs")</f>
        <v>nagy pillepajzs</v>
      </c>
    </row>
    <row r="6611" spans="1:4" ht="12.75" customHeight="1" x14ac:dyDescent="0.2">
      <c r="A6611" s="21"/>
      <c r="B6611" s="2"/>
      <c r="C6611" s="7"/>
      <c r="D6611" s="7"/>
    </row>
    <row r="6612" spans="1:4" ht="12.75" customHeight="1" x14ac:dyDescent="0.2">
      <c r="A6612" s="21"/>
      <c r="B6612" s="2"/>
      <c r="C6612" s="7"/>
      <c r="D6612" s="7"/>
    </row>
    <row r="6613" spans="1:4" ht="12.75" customHeight="1" x14ac:dyDescent="0.2">
      <c r="A6613" s="21"/>
      <c r="B6613" s="2"/>
      <c r="C6613" s="7"/>
      <c r="D6613" s="7"/>
    </row>
    <row r="6614" spans="1:4" ht="12.75" customHeight="1" x14ac:dyDescent="0.2">
      <c r="A6614" s="21"/>
      <c r="B6614" s="2"/>
      <c r="C6614" s="7"/>
      <c r="D6614" s="7"/>
    </row>
    <row r="6615" spans="1:4" ht="12.75" customHeight="1" x14ac:dyDescent="0.2">
      <c r="A6615" s="5"/>
      <c r="B6615" s="2"/>
      <c r="C6615" s="7"/>
      <c r="D6615" s="7"/>
    </row>
    <row r="6616" spans="1:4" ht="12.75" customHeight="1" x14ac:dyDescent="0.2">
      <c r="A6616" s="22" t="str">
        <f>HYPERLINK("javascript:void(0)","csillámos nyomhagyó")</f>
        <v>csillámos nyomhagyó</v>
      </c>
      <c r="B6616" s="21"/>
      <c r="C6616" s="21"/>
      <c r="D6616" s="21"/>
    </row>
    <row r="6617" spans="1:4" ht="12.75" customHeight="1" x14ac:dyDescent="0.2">
      <c r="A6617" s="20"/>
      <c r="B6617" s="2"/>
      <c r="C6617" s="7"/>
      <c r="D6617" s="7"/>
    </row>
    <row r="6618" spans="1:4" ht="12.75" customHeight="1" x14ac:dyDescent="0.2">
      <c r="A6618" s="21"/>
      <c r="B6618" s="3" t="s">
        <v>0</v>
      </c>
      <c r="C6618" s="23" t="s">
        <v>223</v>
      </c>
      <c r="D6618" s="21"/>
    </row>
    <row r="6619" spans="1:4" ht="12.75" customHeight="1" x14ac:dyDescent="0.2">
      <c r="A6619" s="21"/>
      <c r="B6619" s="3" t="s">
        <v>2</v>
      </c>
      <c r="C6619" s="23"/>
      <c r="D6619" s="21"/>
    </row>
    <row r="6620" spans="1:4" ht="12.75" customHeight="1" x14ac:dyDescent="0.2">
      <c r="A6620" s="21"/>
      <c r="B6620" s="3" t="s">
        <v>1840</v>
      </c>
      <c r="C6620" s="23" t="s">
        <v>1174</v>
      </c>
      <c r="D6620" s="21"/>
    </row>
    <row r="6621" spans="1:4" ht="12.75" customHeight="1" x14ac:dyDescent="0.2">
      <c r="A6621" s="21"/>
      <c r="B6621" s="3" t="s">
        <v>9</v>
      </c>
      <c r="C6621" s="23" t="s">
        <v>1994</v>
      </c>
      <c r="D6621" s="21"/>
    </row>
    <row r="6622" spans="1:4" ht="12.75" customHeight="1" x14ac:dyDescent="0.2">
      <c r="A6622" s="21"/>
      <c r="B6622" s="3" t="s">
        <v>11</v>
      </c>
      <c r="C6622" s="23" t="s">
        <v>603</v>
      </c>
      <c r="D6622" s="21"/>
    </row>
    <row r="6623" spans="1:4" ht="12.75" customHeight="1" x14ac:dyDescent="0.2">
      <c r="A6623" s="21"/>
      <c r="B6623" s="3" t="s">
        <v>16</v>
      </c>
      <c r="C6623" s="23"/>
      <c r="D6623" s="21"/>
    </row>
    <row r="6624" spans="1:4" ht="12.75" customHeight="1" x14ac:dyDescent="0.2">
      <c r="A6624" s="21"/>
      <c r="B6624" s="3" t="s">
        <v>17</v>
      </c>
      <c r="C6624" s="23" t="s">
        <v>19</v>
      </c>
      <c r="D6624" s="21"/>
    </row>
    <row r="6625" spans="1:4" ht="12.75" customHeight="1" x14ac:dyDescent="0.2">
      <c r="A6625" s="21"/>
      <c r="B6625" s="20" t="s">
        <v>18</v>
      </c>
      <c r="C6625" s="8" t="s">
        <v>57</v>
      </c>
      <c r="D6625" s="1" t="str">
        <f>HYPERLINK("javascript:void(0)","csillámgöb")</f>
        <v>csillámgöb</v>
      </c>
    </row>
    <row r="6626" spans="1:4" ht="12.75" customHeight="1" x14ac:dyDescent="0.2">
      <c r="A6626" s="21"/>
      <c r="B6626" s="21"/>
      <c r="C6626" s="8" t="s">
        <v>44</v>
      </c>
      <c r="D6626" s="1" t="str">
        <f>HYPERLINK("javascript:void(0)","csillámcsizma")</f>
        <v>csillámcsizma</v>
      </c>
    </row>
    <row r="6627" spans="1:4" ht="12.75" customHeight="1" x14ac:dyDescent="0.2">
      <c r="A6627" s="21"/>
      <c r="B6627" s="21"/>
      <c r="C6627" s="8" t="s">
        <v>163</v>
      </c>
      <c r="D6627" s="1" t="str">
        <f>HYPERLINK("javascript:void(0)","bűzmirigy")</f>
        <v>bűzmirigy</v>
      </c>
    </row>
    <row r="6628" spans="1:4" ht="12.75" customHeight="1" x14ac:dyDescent="0.2">
      <c r="A6628" s="21"/>
      <c r="B6628" s="2"/>
      <c r="C6628" s="7"/>
      <c r="D6628" s="7"/>
    </row>
    <row r="6629" spans="1:4" ht="12.75" customHeight="1" x14ac:dyDescent="0.2">
      <c r="A6629" s="21"/>
      <c r="B6629" s="2"/>
      <c r="C6629" s="7"/>
      <c r="D6629" s="7"/>
    </row>
    <row r="6630" spans="1:4" ht="12.75" customHeight="1" x14ac:dyDescent="0.2">
      <c r="A6630" s="21"/>
      <c r="B6630" s="2"/>
      <c r="C6630" s="7"/>
      <c r="D6630" s="7"/>
    </row>
    <row r="6631" spans="1:4" ht="12.75" customHeight="1" x14ac:dyDescent="0.2">
      <c r="A6631" s="21"/>
      <c r="B6631" s="2"/>
      <c r="C6631" s="7"/>
      <c r="D6631" s="7"/>
    </row>
    <row r="6632" spans="1:4" ht="12.75" customHeight="1" x14ac:dyDescent="0.2">
      <c r="A6632" s="5"/>
      <c r="B6632" s="2"/>
      <c r="C6632" s="7"/>
      <c r="D6632" s="7"/>
    </row>
    <row r="6633" spans="1:4" ht="12.75" customHeight="1" x14ac:dyDescent="0.2">
      <c r="A6633" s="22" t="str">
        <f>HYPERLINK("javascript:void(0)","csillámos fejvédő")</f>
        <v>csillámos fejvédő</v>
      </c>
      <c r="B6633" s="21"/>
      <c r="C6633" s="21"/>
      <c r="D6633" s="21"/>
    </row>
    <row r="6634" spans="1:4" ht="12.75" customHeight="1" x14ac:dyDescent="0.2">
      <c r="A6634" s="20"/>
      <c r="B6634" s="2"/>
      <c r="C6634" s="7"/>
      <c r="D6634" s="7"/>
    </row>
    <row r="6635" spans="1:4" ht="12.75" customHeight="1" x14ac:dyDescent="0.2">
      <c r="A6635" s="21"/>
      <c r="B6635" s="3" t="s">
        <v>0</v>
      </c>
      <c r="C6635" s="23" t="s">
        <v>223</v>
      </c>
      <c r="D6635" s="21"/>
    </row>
    <row r="6636" spans="1:4" ht="12.75" customHeight="1" x14ac:dyDescent="0.2">
      <c r="A6636" s="21"/>
      <c r="B6636" s="3" t="s">
        <v>2</v>
      </c>
      <c r="C6636" s="23"/>
      <c r="D6636" s="21"/>
    </row>
    <row r="6637" spans="1:4" ht="12.75" customHeight="1" x14ac:dyDescent="0.2">
      <c r="A6637" s="21"/>
      <c r="B6637" s="3" t="s">
        <v>1840</v>
      </c>
      <c r="C6637" s="23" t="s">
        <v>230</v>
      </c>
      <c r="D6637" s="21"/>
    </row>
    <row r="6638" spans="1:4" ht="12.75" customHeight="1" x14ac:dyDescent="0.2">
      <c r="A6638" s="21"/>
      <c r="B6638" s="3" t="s">
        <v>9</v>
      </c>
      <c r="C6638" s="23" t="s">
        <v>2287</v>
      </c>
      <c r="D6638" s="21"/>
    </row>
    <row r="6639" spans="1:4" ht="12.75" customHeight="1" x14ac:dyDescent="0.2">
      <c r="A6639" s="21"/>
      <c r="B6639" s="3" t="s">
        <v>11</v>
      </c>
      <c r="C6639" s="23" t="s">
        <v>566</v>
      </c>
      <c r="D6639" s="21"/>
    </row>
    <row r="6640" spans="1:4" ht="12.75" customHeight="1" x14ac:dyDescent="0.2">
      <c r="A6640" s="21"/>
      <c r="B6640" s="3" t="s">
        <v>16</v>
      </c>
      <c r="C6640" s="23"/>
      <c r="D6640" s="21"/>
    </row>
    <row r="6641" spans="1:4" ht="12.75" customHeight="1" x14ac:dyDescent="0.2">
      <c r="A6641" s="21"/>
      <c r="B6641" s="3" t="s">
        <v>17</v>
      </c>
      <c r="C6641" s="23" t="s">
        <v>19</v>
      </c>
      <c r="D6641" s="21"/>
    </row>
    <row r="6642" spans="1:4" ht="12.75" customHeight="1" x14ac:dyDescent="0.2">
      <c r="A6642" s="21"/>
      <c r="B6642" s="20" t="s">
        <v>18</v>
      </c>
      <c r="C6642" s="8" t="s">
        <v>57</v>
      </c>
      <c r="D6642" s="1" t="str">
        <f>HYPERLINK("javascript:void(0)","csillámgöb")</f>
        <v>csillámgöb</v>
      </c>
    </row>
    <row r="6643" spans="1:4" ht="12.75" customHeight="1" x14ac:dyDescent="0.2">
      <c r="A6643" s="21"/>
      <c r="B6643" s="21"/>
      <c r="C6643" s="8" t="s">
        <v>44</v>
      </c>
      <c r="D6643" s="1" t="str">
        <f>HYPERLINK("javascript:void(0)","csillámföveg")</f>
        <v>csillámföveg</v>
      </c>
    </row>
    <row r="6644" spans="1:4" ht="12.75" customHeight="1" x14ac:dyDescent="0.2">
      <c r="A6644" s="21"/>
      <c r="B6644" s="21"/>
      <c r="C6644" s="8" t="s">
        <v>280</v>
      </c>
      <c r="D6644" s="1" t="str">
        <f>HYPERLINK("javascript:void(0)","sárkány szem")</f>
        <v>sárkány szem</v>
      </c>
    </row>
    <row r="6645" spans="1:4" ht="12.75" customHeight="1" x14ac:dyDescent="0.2">
      <c r="A6645" s="21"/>
      <c r="B6645" s="2"/>
      <c r="C6645" s="7"/>
      <c r="D6645" s="7"/>
    </row>
    <row r="6646" spans="1:4" ht="12.75" customHeight="1" x14ac:dyDescent="0.2">
      <c r="A6646" s="21"/>
      <c r="B6646" s="2"/>
      <c r="C6646" s="7"/>
      <c r="D6646" s="7"/>
    </row>
    <row r="6647" spans="1:4" ht="12.75" customHeight="1" x14ac:dyDescent="0.2">
      <c r="A6647" s="21"/>
      <c r="B6647" s="2"/>
      <c r="C6647" s="7"/>
      <c r="D6647" s="7"/>
    </row>
    <row r="6648" spans="1:4" ht="12.75" customHeight="1" x14ac:dyDescent="0.2">
      <c r="A6648" s="21"/>
      <c r="B6648" s="2"/>
      <c r="C6648" s="7"/>
      <c r="D6648" s="7"/>
    </row>
    <row r="6649" spans="1:4" ht="12.75" customHeight="1" x14ac:dyDescent="0.2">
      <c r="A6649" s="5"/>
      <c r="B6649" s="2"/>
      <c r="C6649" s="7"/>
      <c r="D6649" s="7"/>
    </row>
    <row r="6650" spans="1:4" ht="12.75" customHeight="1" x14ac:dyDescent="0.2">
      <c r="A6650" s="22" t="str">
        <f>HYPERLINK("javascript:void(0)","csillámos kispáncél")</f>
        <v>csillámos kispáncél</v>
      </c>
      <c r="B6650" s="21"/>
      <c r="C6650" s="21"/>
      <c r="D6650" s="21"/>
    </row>
    <row r="6651" spans="1:4" ht="12.75" customHeight="1" x14ac:dyDescent="0.2">
      <c r="A6651" s="20"/>
      <c r="B6651" s="2"/>
      <c r="C6651" s="7"/>
      <c r="D6651" s="7"/>
    </row>
    <row r="6652" spans="1:4" ht="12.75" customHeight="1" x14ac:dyDescent="0.2">
      <c r="A6652" s="21"/>
      <c r="B6652" s="3" t="s">
        <v>0</v>
      </c>
      <c r="C6652" s="23" t="s">
        <v>223</v>
      </c>
      <c r="D6652" s="21"/>
    </row>
    <row r="6653" spans="1:4" ht="12.75" customHeight="1" x14ac:dyDescent="0.2">
      <c r="A6653" s="21"/>
      <c r="B6653" s="3" t="s">
        <v>2</v>
      </c>
      <c r="C6653" s="23" t="s">
        <v>2322</v>
      </c>
      <c r="D6653" s="21"/>
    </row>
    <row r="6654" spans="1:4" ht="12.75" customHeight="1" x14ac:dyDescent="0.2">
      <c r="A6654" s="21"/>
      <c r="B6654" s="3" t="s">
        <v>1840</v>
      </c>
      <c r="C6654" s="23" t="s">
        <v>2413</v>
      </c>
      <c r="D6654" s="21"/>
    </row>
    <row r="6655" spans="1:4" ht="12.75" customHeight="1" x14ac:dyDescent="0.2">
      <c r="A6655" s="21"/>
      <c r="B6655" s="3" t="s">
        <v>9</v>
      </c>
      <c r="C6655" s="23" t="s">
        <v>2360</v>
      </c>
      <c r="D6655" s="21"/>
    </row>
    <row r="6656" spans="1:4" ht="12.75" customHeight="1" x14ac:dyDescent="0.2">
      <c r="A6656" s="21"/>
      <c r="B6656" s="3" t="s">
        <v>11</v>
      </c>
      <c r="C6656" s="23" t="s">
        <v>566</v>
      </c>
      <c r="D6656" s="21"/>
    </row>
    <row r="6657" spans="1:4" ht="12.75" customHeight="1" x14ac:dyDescent="0.2">
      <c r="A6657" s="21"/>
      <c r="B6657" s="3" t="s">
        <v>16</v>
      </c>
      <c r="C6657" s="23"/>
      <c r="D6657" s="21"/>
    </row>
    <row r="6658" spans="1:4" ht="12.75" customHeight="1" x14ac:dyDescent="0.2">
      <c r="A6658" s="21"/>
      <c r="B6658" s="3" t="s">
        <v>17</v>
      </c>
      <c r="C6658" s="23" t="s">
        <v>19</v>
      </c>
      <c r="D6658" s="21"/>
    </row>
    <row r="6659" spans="1:4" ht="12.75" customHeight="1" x14ac:dyDescent="0.2">
      <c r="A6659" s="21"/>
      <c r="B6659" s="20" t="s">
        <v>18</v>
      </c>
      <c r="C6659" s="8" t="s">
        <v>57</v>
      </c>
      <c r="D6659" s="1" t="str">
        <f>HYPERLINK("javascript:void(0)","csillámgöb")</f>
        <v>csillámgöb</v>
      </c>
    </row>
    <row r="6660" spans="1:4" ht="12.75" customHeight="1" x14ac:dyDescent="0.2">
      <c r="A6660" s="21"/>
      <c r="B6660" s="21"/>
      <c r="C6660" s="8" t="s">
        <v>44</v>
      </c>
      <c r="D6660" s="1" t="str">
        <f>HYPERLINK("javascript:void(0)","csillámos felleghajtó")</f>
        <v>csillámos felleghajtó</v>
      </c>
    </row>
    <row r="6661" spans="1:4" ht="12.75" customHeight="1" x14ac:dyDescent="0.2">
      <c r="A6661" s="21"/>
      <c r="B6661" s="21"/>
      <c r="C6661" s="8" t="s">
        <v>163</v>
      </c>
      <c r="D6661" s="1" t="str">
        <f>HYPERLINK("javascript:void(0)","szent szimbólum")</f>
        <v>szent szimbólum</v>
      </c>
    </row>
    <row r="6662" spans="1:4" ht="12.75" customHeight="1" x14ac:dyDescent="0.2">
      <c r="A6662" s="21"/>
      <c r="B6662" s="2"/>
      <c r="C6662" s="7"/>
      <c r="D6662" s="7"/>
    </row>
    <row r="6663" spans="1:4" ht="12.75" customHeight="1" x14ac:dyDescent="0.2">
      <c r="A6663" s="21"/>
      <c r="B6663" s="2"/>
      <c r="C6663" s="7"/>
      <c r="D6663" s="7"/>
    </row>
    <row r="6664" spans="1:4" ht="12.75" customHeight="1" x14ac:dyDescent="0.2">
      <c r="A6664" s="21"/>
      <c r="B6664" s="2"/>
      <c r="C6664" s="7"/>
      <c r="D6664" s="7"/>
    </row>
    <row r="6665" spans="1:4" ht="12.75" customHeight="1" x14ac:dyDescent="0.2">
      <c r="A6665" s="21"/>
      <c r="B6665" s="2"/>
      <c r="C6665" s="7"/>
      <c r="D6665" s="7"/>
    </row>
    <row r="6666" spans="1:4" ht="12.75" customHeight="1" x14ac:dyDescent="0.2">
      <c r="A6666" s="5"/>
      <c r="B6666" s="2"/>
      <c r="C6666" s="7"/>
      <c r="D6666" s="7"/>
    </row>
    <row r="6667" spans="1:4" ht="12.75" customHeight="1" x14ac:dyDescent="0.2">
      <c r="A6667" s="22" t="str">
        <f>HYPERLINK("javascript:void(0)","mengorni mellvért")</f>
        <v>mengorni mellvért</v>
      </c>
      <c r="B6667" s="21"/>
      <c r="C6667" s="21"/>
      <c r="D6667" s="21"/>
    </row>
    <row r="6668" spans="1:4" ht="12.75" customHeight="1" x14ac:dyDescent="0.2">
      <c r="A6668" s="20"/>
      <c r="B6668" s="2"/>
      <c r="C6668" s="7"/>
      <c r="D6668" s="7"/>
    </row>
    <row r="6669" spans="1:4" ht="12.75" customHeight="1" x14ac:dyDescent="0.2">
      <c r="A6669" s="21"/>
      <c r="B6669" s="3" t="s">
        <v>0</v>
      </c>
      <c r="C6669" s="23" t="s">
        <v>229</v>
      </c>
      <c r="D6669" s="21"/>
    </row>
    <row r="6670" spans="1:4" ht="12.75" customHeight="1" x14ac:dyDescent="0.2">
      <c r="A6670" s="21"/>
      <c r="B6670" s="3" t="s">
        <v>2</v>
      </c>
      <c r="C6670" s="23" t="s">
        <v>2322</v>
      </c>
      <c r="D6670" s="21"/>
    </row>
    <row r="6671" spans="1:4" ht="12.75" customHeight="1" x14ac:dyDescent="0.2">
      <c r="A6671" s="21"/>
      <c r="B6671" s="3" t="s">
        <v>1840</v>
      </c>
      <c r="C6671" s="23" t="s">
        <v>1805</v>
      </c>
      <c r="D6671" s="21"/>
    </row>
    <row r="6672" spans="1:4" ht="12.75" customHeight="1" x14ac:dyDescent="0.2">
      <c r="A6672" s="21"/>
      <c r="B6672" s="3" t="s">
        <v>9</v>
      </c>
      <c r="C6672" s="23" t="s">
        <v>464</v>
      </c>
      <c r="D6672" s="21"/>
    </row>
    <row r="6673" spans="1:4" ht="12.75" customHeight="1" x14ac:dyDescent="0.2">
      <c r="A6673" s="21"/>
      <c r="B6673" s="3" t="s">
        <v>11</v>
      </c>
      <c r="C6673" s="23" t="s">
        <v>587</v>
      </c>
      <c r="D6673" s="21"/>
    </row>
    <row r="6674" spans="1:4" ht="12.75" customHeight="1" x14ac:dyDescent="0.2">
      <c r="A6674" s="21"/>
      <c r="B6674" s="3" t="s">
        <v>16</v>
      </c>
      <c r="C6674" s="23"/>
      <c r="D6674" s="21"/>
    </row>
    <row r="6675" spans="1:4" ht="12.75" customHeight="1" x14ac:dyDescent="0.2">
      <c r="A6675" s="21"/>
      <c r="B6675" s="3" t="s">
        <v>17</v>
      </c>
      <c r="C6675" s="23" t="s">
        <v>19</v>
      </c>
      <c r="D6675" s="21"/>
    </row>
    <row r="6676" spans="1:4" ht="12.75" customHeight="1" x14ac:dyDescent="0.2">
      <c r="A6676" s="21"/>
      <c r="B6676" s="20" t="s">
        <v>18</v>
      </c>
      <c r="C6676" s="8" t="s">
        <v>44</v>
      </c>
      <c r="D6676" s="1" t="str">
        <f>HYPERLINK("javascript:void(0)","kentacél mellvért")</f>
        <v>kentacél mellvért</v>
      </c>
    </row>
    <row r="6677" spans="1:4" ht="12.75" customHeight="1" x14ac:dyDescent="0.2">
      <c r="A6677" s="21"/>
      <c r="B6677" s="21"/>
      <c r="C6677" s="8" t="s">
        <v>68</v>
      </c>
      <c r="D6677" s="1" t="str">
        <f>HYPERLINK("javascript:void(0)","hacuka")</f>
        <v>hacuka</v>
      </c>
    </row>
    <row r="6678" spans="1:4" ht="12.75" customHeight="1" x14ac:dyDescent="0.2">
      <c r="A6678" s="21"/>
      <c r="B6678" s="21"/>
      <c r="C6678" s="8" t="s">
        <v>309</v>
      </c>
      <c r="D6678" s="1" t="str">
        <f>HYPERLINK("javascript:void(0)","rotorlapát")</f>
        <v>rotorlapát</v>
      </c>
    </row>
    <row r="6679" spans="1:4" ht="12.75" customHeight="1" x14ac:dyDescent="0.2">
      <c r="A6679" s="21"/>
      <c r="B6679" s="2"/>
      <c r="C6679" s="7"/>
      <c r="D6679" s="7"/>
    </row>
    <row r="6680" spans="1:4" ht="12.75" customHeight="1" x14ac:dyDescent="0.2">
      <c r="A6680" s="21"/>
      <c r="B6680" s="2"/>
      <c r="C6680" s="7"/>
      <c r="D6680" s="7"/>
    </row>
    <row r="6681" spans="1:4" ht="12.75" customHeight="1" x14ac:dyDescent="0.2">
      <c r="A6681" s="21"/>
      <c r="B6681" s="2"/>
      <c r="C6681" s="7"/>
      <c r="D6681" s="7"/>
    </row>
    <row r="6682" spans="1:4" ht="12.75" customHeight="1" x14ac:dyDescent="0.2">
      <c r="A6682" s="21"/>
      <c r="B6682" s="2"/>
      <c r="C6682" s="7"/>
      <c r="D6682" s="7"/>
    </row>
    <row r="6683" spans="1:4" ht="12.75" customHeight="1" x14ac:dyDescent="0.2">
      <c r="A6683" s="5"/>
      <c r="B6683" s="2"/>
      <c r="C6683" s="7"/>
      <c r="D6683" s="7"/>
    </row>
    <row r="6684" spans="1:4" ht="12.75" customHeight="1" x14ac:dyDescent="0.2">
      <c r="A6684" s="22" t="str">
        <f>HYPERLINK("javascript:void(0)","uszonysisak")</f>
        <v>uszonysisak</v>
      </c>
      <c r="B6684" s="21"/>
      <c r="C6684" s="21"/>
      <c r="D6684" s="21"/>
    </row>
    <row r="6685" spans="1:4" ht="12.75" customHeight="1" x14ac:dyDescent="0.2">
      <c r="A6685" s="20"/>
      <c r="B6685" s="2"/>
      <c r="C6685" s="7"/>
      <c r="D6685" s="7"/>
    </row>
    <row r="6686" spans="1:4" ht="12.75" customHeight="1" x14ac:dyDescent="0.2">
      <c r="A6686" s="21"/>
      <c r="B6686" s="3" t="s">
        <v>0</v>
      </c>
      <c r="C6686" s="23" t="s">
        <v>229</v>
      </c>
      <c r="D6686" s="21"/>
    </row>
    <row r="6687" spans="1:4" ht="12.75" customHeight="1" x14ac:dyDescent="0.2">
      <c r="A6687" s="21"/>
      <c r="B6687" s="3" t="s">
        <v>2</v>
      </c>
      <c r="C6687" s="23"/>
      <c r="D6687" s="21"/>
    </row>
    <row r="6688" spans="1:4" ht="12.75" customHeight="1" x14ac:dyDescent="0.2">
      <c r="A6688" s="21"/>
      <c r="B6688" s="3" t="s">
        <v>1840</v>
      </c>
      <c r="C6688" s="23" t="s">
        <v>1165</v>
      </c>
      <c r="D6688" s="21"/>
    </row>
    <row r="6689" spans="1:4" ht="12.75" customHeight="1" x14ac:dyDescent="0.2">
      <c r="A6689" s="21"/>
      <c r="B6689" s="3" t="s">
        <v>9</v>
      </c>
      <c r="C6689" s="23" t="s">
        <v>30</v>
      </c>
      <c r="D6689" s="21"/>
    </row>
    <row r="6690" spans="1:4" ht="12.75" customHeight="1" x14ac:dyDescent="0.2">
      <c r="A6690" s="21"/>
      <c r="B6690" s="3" t="s">
        <v>11</v>
      </c>
      <c r="C6690" s="23" t="s">
        <v>587</v>
      </c>
      <c r="D6690" s="21"/>
    </row>
    <row r="6691" spans="1:4" ht="12.75" customHeight="1" x14ac:dyDescent="0.2">
      <c r="A6691" s="21"/>
      <c r="B6691" s="3" t="s">
        <v>16</v>
      </c>
      <c r="C6691" s="23"/>
      <c r="D6691" s="21"/>
    </row>
    <row r="6692" spans="1:4" ht="12.75" customHeight="1" x14ac:dyDescent="0.2">
      <c r="A6692" s="21"/>
      <c r="B6692" s="3" t="s">
        <v>17</v>
      </c>
      <c r="C6692" s="23" t="s">
        <v>19</v>
      </c>
      <c r="D6692" s="21"/>
    </row>
    <row r="6693" spans="1:4" ht="12.75" customHeight="1" x14ac:dyDescent="0.2">
      <c r="A6693" s="21"/>
      <c r="B6693" s="20" t="s">
        <v>18</v>
      </c>
      <c r="C6693" s="8" t="s">
        <v>44</v>
      </c>
      <c r="D6693" s="1" t="str">
        <f>HYPERLINK("javascript:void(0)","kacatsisak")</f>
        <v>kacatsisak</v>
      </c>
    </row>
    <row r="6694" spans="1:4" ht="12.75" customHeight="1" x14ac:dyDescent="0.2">
      <c r="A6694" s="21"/>
      <c r="B6694" s="21"/>
      <c r="C6694" s="8" t="s">
        <v>44</v>
      </c>
      <c r="D6694" s="1" t="str">
        <f>HYPERLINK("javascript:void(0)","dimenziósisak")</f>
        <v>dimenziósisak</v>
      </c>
    </row>
    <row r="6695" spans="1:4" ht="12.75" customHeight="1" x14ac:dyDescent="0.2">
      <c r="A6695" s="21"/>
      <c r="B6695" s="21"/>
      <c r="C6695" s="8" t="s">
        <v>44</v>
      </c>
      <c r="D6695" s="1" t="str">
        <f>HYPERLINK("javascript:void(0)","uszonytaréj")</f>
        <v>uszonytaréj</v>
      </c>
    </row>
    <row r="6696" spans="1:4" ht="12.75" customHeight="1" x14ac:dyDescent="0.2">
      <c r="A6696" s="21"/>
      <c r="B6696" s="2"/>
      <c r="C6696" s="7"/>
      <c r="D6696" s="7"/>
    </row>
    <row r="6697" spans="1:4" ht="12.75" customHeight="1" x14ac:dyDescent="0.2">
      <c r="A6697" s="21"/>
      <c r="B6697" s="2"/>
      <c r="C6697" s="7"/>
      <c r="D6697" s="7"/>
    </row>
    <row r="6698" spans="1:4" ht="12.75" customHeight="1" x14ac:dyDescent="0.2">
      <c r="A6698" s="21"/>
      <c r="B6698" s="2"/>
      <c r="C6698" s="7"/>
      <c r="D6698" s="7"/>
    </row>
    <row r="6699" spans="1:4" ht="12.75" customHeight="1" x14ac:dyDescent="0.2">
      <c r="A6699" s="21"/>
      <c r="B6699" s="2"/>
      <c r="C6699" s="7"/>
      <c r="D6699" s="7"/>
    </row>
    <row r="6700" spans="1:4" ht="12.75" customHeight="1" x14ac:dyDescent="0.2">
      <c r="A6700" s="5"/>
      <c r="B6700" s="2"/>
      <c r="C6700" s="7"/>
      <c r="D6700" s="7"/>
    </row>
    <row r="6701" spans="1:4" ht="12.75" customHeight="1" x14ac:dyDescent="0.2">
      <c r="A6701" s="22" t="str">
        <f>HYPERLINK("javascript:void(0)","dracoacél saru")</f>
        <v>dracoacél saru</v>
      </c>
      <c r="B6701" s="21"/>
      <c r="C6701" s="21"/>
      <c r="D6701" s="21"/>
    </row>
    <row r="6702" spans="1:4" ht="12.75" customHeight="1" x14ac:dyDescent="0.2">
      <c r="A6702" s="20"/>
      <c r="B6702" s="2"/>
      <c r="C6702" s="7"/>
      <c r="D6702" s="7"/>
    </row>
    <row r="6703" spans="1:4" ht="12.75" customHeight="1" x14ac:dyDescent="0.2">
      <c r="A6703" s="21"/>
      <c r="B6703" s="3" t="s">
        <v>0</v>
      </c>
      <c r="C6703" s="23" t="s">
        <v>229</v>
      </c>
      <c r="D6703" s="21"/>
    </row>
    <row r="6704" spans="1:4" ht="12.75" customHeight="1" x14ac:dyDescent="0.2">
      <c r="A6704" s="21"/>
      <c r="B6704" s="3" t="s">
        <v>2</v>
      </c>
      <c r="C6704" s="23"/>
      <c r="D6704" s="21"/>
    </row>
    <row r="6705" spans="1:4" ht="12.75" customHeight="1" x14ac:dyDescent="0.2">
      <c r="A6705" s="21"/>
      <c r="B6705" s="3" t="s">
        <v>1840</v>
      </c>
      <c r="C6705" s="23" t="s">
        <v>356</v>
      </c>
      <c r="D6705" s="21"/>
    </row>
    <row r="6706" spans="1:4" ht="12.75" customHeight="1" x14ac:dyDescent="0.2">
      <c r="A6706" s="21"/>
      <c r="B6706" s="3" t="s">
        <v>9</v>
      </c>
      <c r="C6706" s="23" t="s">
        <v>70</v>
      </c>
      <c r="D6706" s="21"/>
    </row>
    <row r="6707" spans="1:4" ht="12.75" customHeight="1" x14ac:dyDescent="0.2">
      <c r="A6707" s="21"/>
      <c r="B6707" s="3" t="s">
        <v>11</v>
      </c>
      <c r="C6707" s="23" t="s">
        <v>625</v>
      </c>
      <c r="D6707" s="21"/>
    </row>
    <row r="6708" spans="1:4" ht="12.75" customHeight="1" x14ac:dyDescent="0.2">
      <c r="A6708" s="21"/>
      <c r="B6708" s="3" t="s">
        <v>16</v>
      </c>
      <c r="C6708" s="23"/>
      <c r="D6708" s="21"/>
    </row>
    <row r="6709" spans="1:4" ht="12.75" customHeight="1" x14ac:dyDescent="0.2">
      <c r="A6709" s="21"/>
      <c r="B6709" s="3" t="s">
        <v>17</v>
      </c>
      <c r="C6709" s="23" t="s">
        <v>19</v>
      </c>
      <c r="D6709" s="21"/>
    </row>
    <row r="6710" spans="1:4" ht="12.75" customHeight="1" x14ac:dyDescent="0.2">
      <c r="A6710" s="21"/>
      <c r="B6710" s="20" t="s">
        <v>18</v>
      </c>
      <c r="C6710" s="8" t="s">
        <v>77</v>
      </c>
      <c r="D6710" s="1" t="str">
        <f>HYPERLINK("javascript:void(0)","hacuka")</f>
        <v>hacuka</v>
      </c>
    </row>
    <row r="6711" spans="1:4" ht="12.75" customHeight="1" x14ac:dyDescent="0.2">
      <c r="A6711" s="21"/>
      <c r="B6711" s="21"/>
      <c r="C6711" s="8" t="s">
        <v>244</v>
      </c>
      <c r="D6711" s="1" t="str">
        <f>HYPERLINK("javascript:void(0)","hörcsögagyar")</f>
        <v>hörcsögagyar</v>
      </c>
    </row>
    <row r="6712" spans="1:4" ht="12.75" customHeight="1" x14ac:dyDescent="0.2">
      <c r="A6712" s="21"/>
      <c r="B6712" s="21"/>
      <c r="C6712" s="8" t="s">
        <v>382</v>
      </c>
      <c r="D6712" s="1" t="str">
        <f>HYPERLINK("javascript:void(0)","horog")</f>
        <v>horog</v>
      </c>
    </row>
    <row r="6713" spans="1:4" ht="12.75" customHeight="1" x14ac:dyDescent="0.2">
      <c r="A6713" s="21"/>
      <c r="B6713" s="2"/>
      <c r="C6713" s="7"/>
      <c r="D6713" s="7"/>
    </row>
    <row r="6714" spans="1:4" ht="12.75" customHeight="1" x14ac:dyDescent="0.2">
      <c r="A6714" s="21"/>
      <c r="B6714" s="2"/>
      <c r="C6714" s="7"/>
      <c r="D6714" s="7"/>
    </row>
    <row r="6715" spans="1:4" ht="12.75" customHeight="1" x14ac:dyDescent="0.2">
      <c r="A6715" s="21"/>
      <c r="B6715" s="2"/>
      <c r="C6715" s="7"/>
      <c r="D6715" s="7"/>
    </row>
    <row r="6716" spans="1:4" ht="12.75" customHeight="1" x14ac:dyDescent="0.2">
      <c r="A6716" s="21"/>
      <c r="B6716" s="2"/>
      <c r="C6716" s="7"/>
      <c r="D6716" s="7"/>
    </row>
    <row r="6717" spans="1:4" ht="12.75" customHeight="1" x14ac:dyDescent="0.2">
      <c r="A6717" s="5"/>
      <c r="B6717" s="2"/>
      <c r="C6717" s="7"/>
      <c r="D6717" s="7"/>
    </row>
    <row r="6718" spans="1:4" ht="12.75" customHeight="1" x14ac:dyDescent="0.2">
      <c r="A6718" s="22" t="str">
        <f>HYPERLINK("javascript:void(0)","uszonypajzs")</f>
        <v>uszonypajzs</v>
      </c>
      <c r="B6718" s="21"/>
      <c r="C6718" s="21"/>
      <c r="D6718" s="21"/>
    </row>
    <row r="6719" spans="1:4" ht="12.75" customHeight="1" x14ac:dyDescent="0.2">
      <c r="A6719" s="20"/>
      <c r="B6719" s="2"/>
      <c r="C6719" s="7"/>
      <c r="D6719" s="7"/>
    </row>
    <row r="6720" spans="1:4" ht="12.75" customHeight="1" x14ac:dyDescent="0.2">
      <c r="A6720" s="21"/>
      <c r="B6720" s="3" t="s">
        <v>0</v>
      </c>
      <c r="C6720" s="23" t="s">
        <v>229</v>
      </c>
      <c r="D6720" s="21"/>
    </row>
    <row r="6721" spans="1:4" ht="12.75" customHeight="1" x14ac:dyDescent="0.2">
      <c r="A6721" s="21"/>
      <c r="B6721" s="3" t="s">
        <v>2</v>
      </c>
      <c r="C6721" s="23" t="s">
        <v>1839</v>
      </c>
      <c r="D6721" s="21"/>
    </row>
    <row r="6722" spans="1:4" ht="12.75" customHeight="1" x14ac:dyDescent="0.2">
      <c r="A6722" s="21"/>
      <c r="B6722" s="3" t="s">
        <v>1840</v>
      </c>
      <c r="C6722" s="23" t="s">
        <v>1308</v>
      </c>
      <c r="D6722" s="21"/>
    </row>
    <row r="6723" spans="1:4" ht="12.75" customHeight="1" x14ac:dyDescent="0.2">
      <c r="A6723" s="21"/>
      <c r="B6723" s="3" t="s">
        <v>9</v>
      </c>
      <c r="C6723" s="23" t="s">
        <v>377</v>
      </c>
      <c r="D6723" s="21"/>
    </row>
    <row r="6724" spans="1:4" ht="12.75" customHeight="1" x14ac:dyDescent="0.2">
      <c r="A6724" s="21"/>
      <c r="B6724" s="3" t="s">
        <v>11</v>
      </c>
      <c r="C6724" s="23" t="s">
        <v>722</v>
      </c>
      <c r="D6724" s="21"/>
    </row>
    <row r="6725" spans="1:4" ht="12.75" customHeight="1" x14ac:dyDescent="0.2">
      <c r="A6725" s="21"/>
      <c r="B6725" s="3" t="s">
        <v>16</v>
      </c>
      <c r="C6725" s="23"/>
      <c r="D6725" s="21"/>
    </row>
    <row r="6726" spans="1:4" ht="12.75" customHeight="1" x14ac:dyDescent="0.2">
      <c r="A6726" s="21"/>
      <c r="B6726" s="3" t="s">
        <v>17</v>
      </c>
      <c r="C6726" s="23" t="s">
        <v>19</v>
      </c>
      <c r="D6726" s="21"/>
    </row>
    <row r="6727" spans="1:4" ht="12.75" customHeight="1" x14ac:dyDescent="0.2">
      <c r="A6727" s="21"/>
      <c r="B6727" s="20" t="s">
        <v>18</v>
      </c>
      <c r="C6727" s="8" t="s">
        <v>44</v>
      </c>
      <c r="D6727" s="1" t="str">
        <f>HYPERLINK("javascript:void(0)","kacatpajzs")</f>
        <v>kacatpajzs</v>
      </c>
    </row>
    <row r="6728" spans="1:4" ht="12.75" customHeight="1" x14ac:dyDescent="0.2">
      <c r="A6728" s="21"/>
      <c r="B6728" s="21"/>
      <c r="C6728" s="8" t="s">
        <v>77</v>
      </c>
      <c r="D6728" s="1" t="str">
        <f>HYPERLINK("javascript:void(0)","uszony")</f>
        <v>uszony</v>
      </c>
    </row>
    <row r="6729" spans="1:4" ht="12.75" customHeight="1" x14ac:dyDescent="0.2">
      <c r="A6729" s="21"/>
      <c r="B6729" s="21"/>
      <c r="C6729" s="8" t="s">
        <v>163</v>
      </c>
      <c r="D6729" s="1" t="str">
        <f>HYPERLINK("javascript:void(0)","horog")</f>
        <v>horog</v>
      </c>
    </row>
    <row r="6730" spans="1:4" ht="12.75" customHeight="1" x14ac:dyDescent="0.2">
      <c r="A6730" s="21"/>
      <c r="B6730" s="2"/>
      <c r="C6730" s="7"/>
      <c r="D6730" s="7"/>
    </row>
    <row r="6731" spans="1:4" ht="12.75" customHeight="1" x14ac:dyDescent="0.2">
      <c r="A6731" s="21"/>
      <c r="B6731" s="2"/>
      <c r="C6731" s="7"/>
      <c r="D6731" s="7"/>
    </row>
    <row r="6732" spans="1:4" ht="12.75" customHeight="1" x14ac:dyDescent="0.2">
      <c r="A6732" s="21"/>
      <c r="B6732" s="2"/>
      <c r="C6732" s="7"/>
      <c r="D6732" s="7"/>
    </row>
    <row r="6733" spans="1:4" ht="12.75" customHeight="1" x14ac:dyDescent="0.2">
      <c r="A6733" s="21"/>
      <c r="B6733" s="2"/>
      <c r="C6733" s="7"/>
      <c r="D6733" s="7"/>
    </row>
    <row r="6734" spans="1:4" ht="12.75" customHeight="1" x14ac:dyDescent="0.2">
      <c r="A6734" s="5"/>
      <c r="B6734" s="2"/>
      <c r="C6734" s="7"/>
      <c r="D6734" s="7"/>
    </row>
    <row r="6735" spans="1:4" ht="12.75" customHeight="1" x14ac:dyDescent="0.2">
      <c r="A6735" s="22" t="str">
        <f>HYPERLINK("javascript:void(0)","smaragdveretű illanat")</f>
        <v>smaragdveretű illanat</v>
      </c>
      <c r="B6735" s="21"/>
      <c r="C6735" s="21"/>
      <c r="D6735" s="21"/>
    </row>
    <row r="6736" spans="1:4" ht="12.75" customHeight="1" x14ac:dyDescent="0.2">
      <c r="A6736" s="20"/>
      <c r="B6736" s="2"/>
      <c r="C6736" s="7"/>
      <c r="D6736" s="7"/>
    </row>
    <row r="6737" spans="1:4" ht="12.75" customHeight="1" x14ac:dyDescent="0.2">
      <c r="A6737" s="21"/>
      <c r="B6737" s="3" t="s">
        <v>0</v>
      </c>
      <c r="C6737" s="23" t="s">
        <v>229</v>
      </c>
      <c r="D6737" s="21"/>
    </row>
    <row r="6738" spans="1:4" ht="12.75" customHeight="1" x14ac:dyDescent="0.2">
      <c r="A6738" s="21"/>
      <c r="B6738" s="3" t="s">
        <v>2</v>
      </c>
      <c r="C6738" s="23" t="s">
        <v>1839</v>
      </c>
      <c r="D6738" s="21"/>
    </row>
    <row r="6739" spans="1:4" ht="12.75" customHeight="1" x14ac:dyDescent="0.2">
      <c r="A6739" s="21"/>
      <c r="B6739" s="3" t="s">
        <v>1840</v>
      </c>
      <c r="C6739" s="23" t="s">
        <v>1308</v>
      </c>
      <c r="D6739" s="21"/>
    </row>
    <row r="6740" spans="1:4" ht="12.75" customHeight="1" x14ac:dyDescent="0.2">
      <c r="A6740" s="21"/>
      <c r="B6740" s="3" t="s">
        <v>9</v>
      </c>
      <c r="C6740" s="23" t="s">
        <v>1096</v>
      </c>
      <c r="D6740" s="21"/>
    </row>
    <row r="6741" spans="1:4" ht="12.75" customHeight="1" x14ac:dyDescent="0.2">
      <c r="A6741" s="21"/>
      <c r="B6741" s="3" t="s">
        <v>11</v>
      </c>
      <c r="C6741" s="23" t="s">
        <v>754</v>
      </c>
      <c r="D6741" s="21"/>
    </row>
    <row r="6742" spans="1:4" ht="12.75" customHeight="1" x14ac:dyDescent="0.2">
      <c r="A6742" s="21"/>
      <c r="B6742" s="3" t="s">
        <v>16</v>
      </c>
      <c r="C6742" s="23"/>
      <c r="D6742" s="21"/>
    </row>
    <row r="6743" spans="1:4" ht="12.75" customHeight="1" x14ac:dyDescent="0.2">
      <c r="A6743" s="21"/>
      <c r="B6743" s="3" t="s">
        <v>17</v>
      </c>
      <c r="C6743" s="23" t="s">
        <v>19</v>
      </c>
      <c r="D6743" s="21"/>
    </row>
    <row r="6744" spans="1:4" ht="12.75" customHeight="1" x14ac:dyDescent="0.2">
      <c r="A6744" s="21"/>
      <c r="B6744" s="20" t="s">
        <v>18</v>
      </c>
      <c r="C6744" s="8" t="s">
        <v>44</v>
      </c>
      <c r="D6744" s="1" t="str">
        <f>HYPERLINK("javascript:void(0)","uszonypajzs")</f>
        <v>uszonypajzs</v>
      </c>
    </row>
    <row r="6745" spans="1:4" ht="12.75" customHeight="1" x14ac:dyDescent="0.2">
      <c r="A6745" s="21"/>
      <c r="B6745" s="21"/>
      <c r="C6745" s="8" t="s">
        <v>323</v>
      </c>
      <c r="D6745" s="1" t="str">
        <f>HYPERLINK("javascript:void(0)","smaragd")</f>
        <v>smaragd</v>
      </c>
    </row>
    <row r="6746" spans="1:4" ht="12.75" customHeight="1" x14ac:dyDescent="0.2">
      <c r="A6746" s="21"/>
      <c r="B6746" s="21"/>
      <c r="C6746" s="8" t="s">
        <v>117</v>
      </c>
      <c r="D6746" s="1" t="str">
        <f>HYPERLINK("javascript:void(0)","hacuka")</f>
        <v>hacuka</v>
      </c>
    </row>
    <row r="6747" spans="1:4" ht="12.75" customHeight="1" x14ac:dyDescent="0.2">
      <c r="A6747" s="21"/>
      <c r="B6747" s="2"/>
      <c r="C6747" s="7"/>
      <c r="D6747" s="7"/>
    </row>
    <row r="6748" spans="1:4" ht="12.75" customHeight="1" x14ac:dyDescent="0.2">
      <c r="A6748" s="21"/>
      <c r="B6748" s="2"/>
      <c r="C6748" s="7"/>
      <c r="D6748" s="7"/>
    </row>
    <row r="6749" spans="1:4" ht="12.75" customHeight="1" x14ac:dyDescent="0.2">
      <c r="A6749" s="21"/>
      <c r="B6749" s="2"/>
      <c r="C6749" s="7"/>
      <c r="D6749" s="7"/>
    </row>
    <row r="6750" spans="1:4" ht="12.75" customHeight="1" x14ac:dyDescent="0.2">
      <c r="A6750" s="21"/>
      <c r="B6750" s="2"/>
      <c r="C6750" s="7"/>
      <c r="D6750" s="7"/>
    </row>
    <row r="6751" spans="1:4" ht="12.75" customHeight="1" x14ac:dyDescent="0.2">
      <c r="A6751" s="5"/>
      <c r="B6751" s="2"/>
      <c r="C6751" s="7"/>
      <c r="D6751" s="7"/>
    </row>
    <row r="6752" spans="1:4" ht="12.75" customHeight="1" x14ac:dyDescent="0.2">
      <c r="A6752" s="22" t="str">
        <f>HYPERLINK("javascript:void(0)","uszonytaréj")</f>
        <v>uszonytaréj</v>
      </c>
      <c r="B6752" s="21"/>
      <c r="C6752" s="21"/>
      <c r="D6752" s="21"/>
    </row>
    <row r="6753" spans="1:4" ht="12.75" customHeight="1" x14ac:dyDescent="0.2">
      <c r="A6753" s="20"/>
      <c r="B6753" s="2"/>
      <c r="C6753" s="7"/>
      <c r="D6753" s="7"/>
    </row>
    <row r="6754" spans="1:4" ht="12.75" customHeight="1" x14ac:dyDescent="0.2">
      <c r="A6754" s="21"/>
      <c r="B6754" s="3" t="s">
        <v>0</v>
      </c>
      <c r="C6754" s="23" t="s">
        <v>229</v>
      </c>
      <c r="D6754" s="21"/>
    </row>
    <row r="6755" spans="1:4" ht="12.75" customHeight="1" x14ac:dyDescent="0.2">
      <c r="A6755" s="21"/>
      <c r="B6755" s="3" t="s">
        <v>2</v>
      </c>
      <c r="C6755" s="23" t="s">
        <v>2322</v>
      </c>
      <c r="D6755" s="21"/>
    </row>
    <row r="6756" spans="1:4" ht="12.75" customHeight="1" x14ac:dyDescent="0.2">
      <c r="A6756" s="21"/>
      <c r="B6756" s="3" t="s">
        <v>1840</v>
      </c>
      <c r="C6756" s="23" t="s">
        <v>272</v>
      </c>
      <c r="D6756" s="21"/>
    </row>
    <row r="6757" spans="1:4" ht="12.75" customHeight="1" x14ac:dyDescent="0.2">
      <c r="A6757" s="21"/>
      <c r="B6757" s="3" t="s">
        <v>9</v>
      </c>
      <c r="C6757" s="23" t="s">
        <v>27</v>
      </c>
      <c r="D6757" s="21"/>
    </row>
    <row r="6758" spans="1:4" ht="12.75" customHeight="1" x14ac:dyDescent="0.2">
      <c r="A6758" s="21"/>
      <c r="B6758" s="3" t="s">
        <v>11</v>
      </c>
      <c r="C6758" s="23" t="s">
        <v>368</v>
      </c>
      <c r="D6758" s="21"/>
    </row>
    <row r="6759" spans="1:4" ht="12.75" customHeight="1" x14ac:dyDescent="0.2">
      <c r="A6759" s="21"/>
      <c r="B6759" s="3" t="s">
        <v>16</v>
      </c>
      <c r="C6759" s="23"/>
      <c r="D6759" s="21"/>
    </row>
    <row r="6760" spans="1:4" ht="12.75" customHeight="1" x14ac:dyDescent="0.2">
      <c r="A6760" s="21"/>
      <c r="B6760" s="3" t="s">
        <v>17</v>
      </c>
      <c r="C6760" s="23" t="s">
        <v>19</v>
      </c>
      <c r="D6760" s="21"/>
    </row>
    <row r="6761" spans="1:4" ht="12.75" customHeight="1" x14ac:dyDescent="0.2">
      <c r="A6761" s="21"/>
      <c r="B6761" s="20" t="s">
        <v>18</v>
      </c>
      <c r="C6761" s="8" t="s">
        <v>77</v>
      </c>
      <c r="D6761" s="1" t="str">
        <f>HYPERLINK("javascript:void(0)","uszony")</f>
        <v>uszony</v>
      </c>
    </row>
    <row r="6762" spans="1:4" ht="12.75" customHeight="1" x14ac:dyDescent="0.2">
      <c r="A6762" s="21"/>
      <c r="B6762" s="21"/>
      <c r="C6762" s="8" t="s">
        <v>163</v>
      </c>
      <c r="D6762" s="1" t="str">
        <f>HYPERLINK("javascript:void(0)","morfige")</f>
        <v>morfige</v>
      </c>
    </row>
    <row r="6763" spans="1:4" ht="12.75" customHeight="1" x14ac:dyDescent="0.2">
      <c r="A6763" s="21"/>
      <c r="B6763" s="21"/>
      <c r="C6763" s="8" t="s">
        <v>98</v>
      </c>
      <c r="D6763" s="1" t="str">
        <f>HYPERLINK("javascript:void(0)","űrlap")</f>
        <v>űrlap</v>
      </c>
    </row>
    <row r="6764" spans="1:4" ht="12.75" customHeight="1" x14ac:dyDescent="0.2">
      <c r="A6764" s="21"/>
      <c r="B6764" s="2"/>
      <c r="C6764" s="7"/>
      <c r="D6764" s="7"/>
    </row>
    <row r="6765" spans="1:4" ht="12.75" customHeight="1" x14ac:dyDescent="0.2">
      <c r="A6765" s="21"/>
      <c r="B6765" s="2"/>
      <c r="C6765" s="7"/>
      <c r="D6765" s="7"/>
    </row>
    <row r="6766" spans="1:4" ht="12.75" customHeight="1" x14ac:dyDescent="0.2">
      <c r="A6766" s="21"/>
      <c r="B6766" s="2"/>
      <c r="C6766" s="7"/>
      <c r="D6766" s="7"/>
    </row>
    <row r="6767" spans="1:4" ht="12.75" customHeight="1" x14ac:dyDescent="0.2">
      <c r="A6767" s="21"/>
      <c r="B6767" s="2"/>
      <c r="C6767" s="7"/>
      <c r="D6767" s="7"/>
    </row>
    <row r="6768" spans="1:4" ht="12.75" customHeight="1" x14ac:dyDescent="0.2">
      <c r="A6768" s="5"/>
      <c r="B6768" s="2"/>
      <c r="C6768" s="7"/>
      <c r="D6768" s="7"/>
    </row>
    <row r="6769" spans="1:4" ht="12.75" customHeight="1" x14ac:dyDescent="0.2">
      <c r="A6769" s="22" t="str">
        <f>HYPERLINK("javascript:void(0)","centro antigrav csizma")</f>
        <v>centro antigrav csizma</v>
      </c>
      <c r="B6769" s="21"/>
      <c r="C6769" s="21"/>
      <c r="D6769" s="21"/>
    </row>
    <row r="6770" spans="1:4" ht="12.75" customHeight="1" x14ac:dyDescent="0.2">
      <c r="A6770" s="20"/>
      <c r="B6770" s="2"/>
      <c r="C6770" s="7"/>
      <c r="D6770" s="7"/>
    </row>
    <row r="6771" spans="1:4" ht="12.75" customHeight="1" x14ac:dyDescent="0.2">
      <c r="A6771" s="21"/>
      <c r="B6771" s="3" t="s">
        <v>0</v>
      </c>
      <c r="C6771" s="23" t="s">
        <v>229</v>
      </c>
      <c r="D6771" s="21"/>
    </row>
    <row r="6772" spans="1:4" ht="12.75" customHeight="1" x14ac:dyDescent="0.2">
      <c r="A6772" s="21"/>
      <c r="B6772" s="3" t="s">
        <v>2</v>
      </c>
      <c r="C6772" s="23"/>
      <c r="D6772" s="21"/>
    </row>
    <row r="6773" spans="1:4" ht="12.75" customHeight="1" x14ac:dyDescent="0.2">
      <c r="A6773" s="21"/>
      <c r="B6773" s="3" t="s">
        <v>1840</v>
      </c>
      <c r="C6773" s="23" t="s">
        <v>968</v>
      </c>
      <c r="D6773" s="21"/>
    </row>
    <row r="6774" spans="1:4" ht="12.75" customHeight="1" x14ac:dyDescent="0.2">
      <c r="A6774" s="21"/>
      <c r="B6774" s="3" t="s">
        <v>9</v>
      </c>
      <c r="C6774" s="23" t="s">
        <v>626</v>
      </c>
      <c r="D6774" s="21"/>
    </row>
    <row r="6775" spans="1:4" ht="12.75" customHeight="1" x14ac:dyDescent="0.2">
      <c r="A6775" s="21"/>
      <c r="B6775" s="3" t="s">
        <v>11</v>
      </c>
      <c r="C6775" s="23" t="s">
        <v>23</v>
      </c>
      <c r="D6775" s="21"/>
    </row>
    <row r="6776" spans="1:4" ht="12.75" customHeight="1" x14ac:dyDescent="0.2">
      <c r="A6776" s="21"/>
      <c r="B6776" s="3" t="s">
        <v>16</v>
      </c>
      <c r="C6776" s="23"/>
      <c r="D6776" s="21"/>
    </row>
    <row r="6777" spans="1:4" ht="12.75" customHeight="1" x14ac:dyDescent="0.2">
      <c r="A6777" s="21"/>
      <c r="B6777" s="3" t="s">
        <v>17</v>
      </c>
      <c r="C6777" s="23" t="s">
        <v>19</v>
      </c>
      <c r="D6777" s="21"/>
    </row>
    <row r="6778" spans="1:4" ht="25.5" customHeight="1" x14ac:dyDescent="0.2">
      <c r="A6778" s="21"/>
      <c r="B6778" s="20" t="s">
        <v>18</v>
      </c>
      <c r="C6778" s="8" t="s">
        <v>44</v>
      </c>
      <c r="D6778" s="1" t="str">
        <f>HYPERLINK("javascript:void(0)","kithrill antigrav csizma")</f>
        <v>kithrill antigrav csizma</v>
      </c>
    </row>
    <row r="6779" spans="1:4" ht="12.75" customHeight="1" x14ac:dyDescent="0.2">
      <c r="A6779" s="21"/>
      <c r="B6779" s="21"/>
      <c r="C6779" s="8" t="s">
        <v>323</v>
      </c>
      <c r="D6779" s="1" t="str">
        <f>HYPERLINK("javascript:void(0)","igeidő")</f>
        <v>igeidő</v>
      </c>
    </row>
    <row r="6780" spans="1:4" ht="12.75" customHeight="1" x14ac:dyDescent="0.2">
      <c r="A6780" s="21"/>
      <c r="B6780" s="21"/>
      <c r="C6780" s="8" t="s">
        <v>139</v>
      </c>
      <c r="D6780" s="1" t="str">
        <f>HYPERLINK("javascript:void(0)","hacuka")</f>
        <v>hacuka</v>
      </c>
    </row>
    <row r="6781" spans="1:4" ht="12.75" customHeight="1" x14ac:dyDescent="0.2">
      <c r="A6781" s="21"/>
      <c r="B6781" s="2"/>
      <c r="C6781" s="7"/>
      <c r="D6781" s="7"/>
    </row>
    <row r="6782" spans="1:4" ht="12.75" customHeight="1" x14ac:dyDescent="0.2">
      <c r="A6782" s="21"/>
      <c r="B6782" s="2"/>
      <c r="C6782" s="7"/>
      <c r="D6782" s="7"/>
    </row>
    <row r="6783" spans="1:4" ht="12.75" customHeight="1" x14ac:dyDescent="0.2">
      <c r="A6783" s="21"/>
      <c r="B6783" s="2"/>
      <c r="C6783" s="7"/>
      <c r="D6783" s="7"/>
    </row>
    <row r="6784" spans="1:4" ht="12.75" customHeight="1" x14ac:dyDescent="0.2">
      <c r="A6784" s="21"/>
      <c r="B6784" s="2"/>
      <c r="C6784" s="7"/>
      <c r="D6784" s="7"/>
    </row>
    <row r="6785" spans="1:4" ht="12.75" customHeight="1" x14ac:dyDescent="0.2">
      <c r="A6785" s="5"/>
      <c r="B6785" s="2"/>
      <c r="C6785" s="7"/>
      <c r="D6785" s="7"/>
    </row>
    <row r="6786" spans="1:4" ht="12.75" customHeight="1" x14ac:dyDescent="0.2">
      <c r="A6786" s="22" t="str">
        <f>HYPERLINK("javascript:void(0)","skivei mellvért")</f>
        <v>skivei mellvért</v>
      </c>
      <c r="B6786" s="21"/>
      <c r="C6786" s="21"/>
      <c r="D6786" s="21"/>
    </row>
    <row r="6787" spans="1:4" ht="12.75" customHeight="1" x14ac:dyDescent="0.2">
      <c r="A6787" s="20"/>
      <c r="B6787" s="2"/>
      <c r="C6787" s="7"/>
      <c r="D6787" s="7"/>
    </row>
    <row r="6788" spans="1:4" ht="12.75" customHeight="1" x14ac:dyDescent="0.2">
      <c r="A6788" s="21"/>
      <c r="B6788" s="3" t="s">
        <v>0</v>
      </c>
      <c r="C6788" s="23" t="s">
        <v>562</v>
      </c>
      <c r="D6788" s="21"/>
    </row>
    <row r="6789" spans="1:4" ht="12.75" customHeight="1" x14ac:dyDescent="0.2">
      <c r="A6789" s="21"/>
      <c r="B6789" s="3" t="s">
        <v>2</v>
      </c>
      <c r="C6789" s="23" t="s">
        <v>2322</v>
      </c>
      <c r="D6789" s="21"/>
    </row>
    <row r="6790" spans="1:4" ht="12.75" customHeight="1" x14ac:dyDescent="0.2">
      <c r="A6790" s="21"/>
      <c r="B6790" s="3" t="s">
        <v>1840</v>
      </c>
      <c r="C6790" s="23" t="s">
        <v>2415</v>
      </c>
      <c r="D6790" s="21"/>
    </row>
    <row r="6791" spans="1:4" ht="12.75" customHeight="1" x14ac:dyDescent="0.2">
      <c r="A6791" s="21"/>
      <c r="B6791" s="3" t="s">
        <v>9</v>
      </c>
      <c r="C6791" s="23" t="s">
        <v>374</v>
      </c>
      <c r="D6791" s="21"/>
    </row>
    <row r="6792" spans="1:4" ht="12.75" customHeight="1" x14ac:dyDescent="0.2">
      <c r="A6792" s="21"/>
      <c r="B6792" s="3" t="s">
        <v>11</v>
      </c>
      <c r="C6792" s="23" t="s">
        <v>603</v>
      </c>
      <c r="D6792" s="21"/>
    </row>
    <row r="6793" spans="1:4" ht="12.75" customHeight="1" x14ac:dyDescent="0.2">
      <c r="A6793" s="21"/>
      <c r="B6793" s="3" t="s">
        <v>16</v>
      </c>
      <c r="C6793" s="23"/>
      <c r="D6793" s="21"/>
    </row>
    <row r="6794" spans="1:4" ht="12.75" customHeight="1" x14ac:dyDescent="0.2">
      <c r="A6794" s="21"/>
      <c r="B6794" s="3" t="s">
        <v>17</v>
      </c>
      <c r="C6794" s="23" t="s">
        <v>19</v>
      </c>
      <c r="D6794" s="21"/>
    </row>
    <row r="6795" spans="1:4" ht="12.75" customHeight="1" x14ac:dyDescent="0.2">
      <c r="A6795" s="21"/>
      <c r="B6795" s="20" t="s">
        <v>18</v>
      </c>
      <c r="C6795" s="8" t="s">
        <v>68</v>
      </c>
      <c r="D6795" s="1" t="str">
        <f>HYPERLINK("javascript:void(0)","trolltartó")</f>
        <v>trolltartó</v>
      </c>
    </row>
    <row r="6796" spans="1:4" ht="12.75" customHeight="1" x14ac:dyDescent="0.2">
      <c r="A6796" s="21"/>
      <c r="B6796" s="21"/>
      <c r="C6796" s="8" t="s">
        <v>117</v>
      </c>
      <c r="D6796" s="1" t="str">
        <f>HYPERLINK("javascript:void(0)","dimenzióforgács")</f>
        <v>dimenzióforgács</v>
      </c>
    </row>
    <row r="6797" spans="1:4" ht="12.75" customHeight="1" x14ac:dyDescent="0.2">
      <c r="A6797" s="21"/>
      <c r="B6797" s="21"/>
      <c r="C6797" s="8" t="s">
        <v>382</v>
      </c>
      <c r="D6797" s="1" t="str">
        <f>HYPERLINK("javascript:void(0)","morfige")</f>
        <v>morfige</v>
      </c>
    </row>
    <row r="6798" spans="1:4" ht="12.75" customHeight="1" x14ac:dyDescent="0.2">
      <c r="A6798" s="21"/>
      <c r="B6798" s="2"/>
      <c r="C6798" s="7"/>
      <c r="D6798" s="7"/>
    </row>
    <row r="6799" spans="1:4" ht="12.75" customHeight="1" x14ac:dyDescent="0.2">
      <c r="A6799" s="21"/>
      <c r="B6799" s="2"/>
      <c r="C6799" s="7"/>
      <c r="D6799" s="7"/>
    </row>
    <row r="6800" spans="1:4" ht="12.75" customHeight="1" x14ac:dyDescent="0.2">
      <c r="A6800" s="21"/>
      <c r="B6800" s="2"/>
      <c r="C6800" s="7"/>
      <c r="D6800" s="7"/>
    </row>
    <row r="6801" spans="1:4" ht="12.75" customHeight="1" x14ac:dyDescent="0.2">
      <c r="A6801" s="21"/>
      <c r="B6801" s="2"/>
      <c r="C6801" s="7"/>
      <c r="D6801" s="7"/>
    </row>
    <row r="6802" spans="1:4" ht="12.75" customHeight="1" x14ac:dyDescent="0.2">
      <c r="A6802" s="5"/>
      <c r="B6802" s="2"/>
      <c r="C6802" s="7"/>
      <c r="D6802" s="7"/>
    </row>
    <row r="6803" spans="1:4" ht="12.75" customHeight="1" x14ac:dyDescent="0.2">
      <c r="A6803" s="22" t="str">
        <f>HYPERLINK("javascript:void(0)","rémagancs")</f>
        <v>rémagancs</v>
      </c>
      <c r="B6803" s="21"/>
      <c r="C6803" s="21"/>
      <c r="D6803" s="21"/>
    </row>
    <row r="6804" spans="1:4" ht="12.75" customHeight="1" x14ac:dyDescent="0.2">
      <c r="A6804" s="20"/>
      <c r="B6804" s="2"/>
      <c r="C6804" s="7"/>
      <c r="D6804" s="7"/>
    </row>
    <row r="6805" spans="1:4" ht="12.75" customHeight="1" x14ac:dyDescent="0.2">
      <c r="A6805" s="21"/>
      <c r="B6805" s="3" t="s">
        <v>0</v>
      </c>
      <c r="C6805" s="23" t="s">
        <v>562</v>
      </c>
      <c r="D6805" s="21"/>
    </row>
    <row r="6806" spans="1:4" ht="12.75" customHeight="1" x14ac:dyDescent="0.2">
      <c r="A6806" s="21"/>
      <c r="B6806" s="3" t="s">
        <v>2</v>
      </c>
      <c r="C6806" s="23"/>
      <c r="D6806" s="21"/>
    </row>
    <row r="6807" spans="1:4" ht="12.75" customHeight="1" x14ac:dyDescent="0.2">
      <c r="A6807" s="21"/>
      <c r="B6807" s="3" t="s">
        <v>1840</v>
      </c>
      <c r="C6807" s="23" t="s">
        <v>1196</v>
      </c>
      <c r="D6807" s="21"/>
    </row>
    <row r="6808" spans="1:4" ht="12.75" customHeight="1" x14ac:dyDescent="0.2">
      <c r="A6808" s="21"/>
      <c r="B6808" s="3" t="s">
        <v>9</v>
      </c>
      <c r="C6808" s="23" t="s">
        <v>210</v>
      </c>
      <c r="D6808" s="21"/>
    </row>
    <row r="6809" spans="1:4" ht="12.75" customHeight="1" x14ac:dyDescent="0.2">
      <c r="A6809" s="21"/>
      <c r="B6809" s="3" t="s">
        <v>11</v>
      </c>
      <c r="C6809" s="23" t="s">
        <v>603</v>
      </c>
      <c r="D6809" s="21"/>
    </row>
    <row r="6810" spans="1:4" ht="12.75" customHeight="1" x14ac:dyDescent="0.2">
      <c r="A6810" s="21"/>
      <c r="B6810" s="3" t="s">
        <v>16</v>
      </c>
      <c r="C6810" s="23"/>
      <c r="D6810" s="21"/>
    </row>
    <row r="6811" spans="1:4" ht="12.75" customHeight="1" x14ac:dyDescent="0.2">
      <c r="A6811" s="21"/>
      <c r="B6811" s="3" t="s">
        <v>17</v>
      </c>
      <c r="C6811" s="23" t="s">
        <v>19</v>
      </c>
      <c r="D6811" s="21"/>
    </row>
    <row r="6812" spans="1:4" ht="12.75" customHeight="1" x14ac:dyDescent="0.2">
      <c r="A6812" s="21"/>
      <c r="B6812" s="20" t="s">
        <v>18</v>
      </c>
      <c r="C6812" s="8" t="s">
        <v>44</v>
      </c>
      <c r="D6812" s="1" t="str">
        <f>HYPERLINK("javascript:void(0)","uszonysisak")</f>
        <v>uszonysisak</v>
      </c>
    </row>
    <row r="6813" spans="1:4" ht="12.75" customHeight="1" x14ac:dyDescent="0.2">
      <c r="A6813" s="21"/>
      <c r="B6813" s="21"/>
      <c r="C6813" s="8" t="s">
        <v>67</v>
      </c>
      <c r="D6813" s="1" t="str">
        <f>HYPERLINK("javascript:void(0)","rémszarv")</f>
        <v>rémszarv</v>
      </c>
    </row>
    <row r="6814" spans="1:4" ht="12.75" customHeight="1" x14ac:dyDescent="0.2">
      <c r="A6814" s="21"/>
      <c r="B6814" s="21"/>
      <c r="C6814" s="8" t="s">
        <v>163</v>
      </c>
      <c r="D6814" s="1" t="str">
        <f>HYPERLINK("javascript:void(0)","homokóra")</f>
        <v>homokóra</v>
      </c>
    </row>
    <row r="6815" spans="1:4" ht="12.75" customHeight="1" x14ac:dyDescent="0.2">
      <c r="A6815" s="21"/>
      <c r="B6815" s="2"/>
      <c r="C6815" s="7"/>
      <c r="D6815" s="7"/>
    </row>
    <row r="6816" spans="1:4" ht="12.75" customHeight="1" x14ac:dyDescent="0.2">
      <c r="A6816" s="21"/>
      <c r="B6816" s="2"/>
      <c r="C6816" s="7"/>
      <c r="D6816" s="7"/>
    </row>
    <row r="6817" spans="1:4" ht="12.75" customHeight="1" x14ac:dyDescent="0.2">
      <c r="A6817" s="21"/>
      <c r="B6817" s="2"/>
      <c r="C6817" s="7"/>
      <c r="D6817" s="7"/>
    </row>
    <row r="6818" spans="1:4" ht="12.75" customHeight="1" x14ac:dyDescent="0.2">
      <c r="A6818" s="21"/>
      <c r="B6818" s="2"/>
      <c r="C6818" s="7"/>
      <c r="D6818" s="7"/>
    </row>
    <row r="6819" spans="1:4" ht="12.75" customHeight="1" x14ac:dyDescent="0.2">
      <c r="A6819" s="5"/>
      <c r="B6819" s="2"/>
      <c r="C6819" s="7"/>
      <c r="D6819" s="7"/>
    </row>
    <row r="6820" spans="1:4" ht="12.75" customHeight="1" x14ac:dyDescent="0.2">
      <c r="A6820" s="22" t="str">
        <f>HYPERLINK("javascript:void(0)","hiper saru")</f>
        <v>hiper saru</v>
      </c>
      <c r="B6820" s="21"/>
      <c r="C6820" s="21"/>
      <c r="D6820" s="21"/>
    </row>
    <row r="6821" spans="1:4" ht="12.75" customHeight="1" x14ac:dyDescent="0.2">
      <c r="A6821" s="20"/>
      <c r="B6821" s="2"/>
      <c r="C6821" s="7"/>
      <c r="D6821" s="7"/>
    </row>
    <row r="6822" spans="1:4" ht="12.75" customHeight="1" x14ac:dyDescent="0.2">
      <c r="A6822" s="21"/>
      <c r="B6822" s="3" t="s">
        <v>0</v>
      </c>
      <c r="C6822" s="23" t="s">
        <v>562</v>
      </c>
      <c r="D6822" s="21"/>
    </row>
    <row r="6823" spans="1:4" ht="12.75" customHeight="1" x14ac:dyDescent="0.2">
      <c r="A6823" s="21"/>
      <c r="B6823" s="3" t="s">
        <v>2</v>
      </c>
      <c r="C6823" s="23"/>
      <c r="D6823" s="21"/>
    </row>
    <row r="6824" spans="1:4" ht="12.75" customHeight="1" x14ac:dyDescent="0.2">
      <c r="A6824" s="21"/>
      <c r="B6824" s="3" t="s">
        <v>1840</v>
      </c>
      <c r="C6824" s="23" t="s">
        <v>103</v>
      </c>
      <c r="D6824" s="21"/>
    </row>
    <row r="6825" spans="1:4" ht="12.75" customHeight="1" x14ac:dyDescent="0.2">
      <c r="A6825" s="21"/>
      <c r="B6825" s="3" t="s">
        <v>9</v>
      </c>
      <c r="C6825" s="23" t="s">
        <v>959</v>
      </c>
      <c r="D6825" s="21"/>
    </row>
    <row r="6826" spans="1:4" ht="12.75" customHeight="1" x14ac:dyDescent="0.2">
      <c r="A6826" s="21"/>
      <c r="B6826" s="3" t="s">
        <v>11</v>
      </c>
      <c r="C6826" s="23" t="s">
        <v>645</v>
      </c>
      <c r="D6826" s="21"/>
    </row>
    <row r="6827" spans="1:4" ht="12.75" customHeight="1" x14ac:dyDescent="0.2">
      <c r="A6827" s="21"/>
      <c r="B6827" s="3" t="s">
        <v>16</v>
      </c>
      <c r="C6827" s="23"/>
      <c r="D6827" s="21"/>
    </row>
    <row r="6828" spans="1:4" ht="12.75" customHeight="1" x14ac:dyDescent="0.2">
      <c r="A6828" s="21"/>
      <c r="B6828" s="3" t="s">
        <v>17</v>
      </c>
      <c r="C6828" s="23" t="s">
        <v>19</v>
      </c>
      <c r="D6828" s="21"/>
    </row>
    <row r="6829" spans="1:4" ht="12.75" customHeight="1" x14ac:dyDescent="0.2">
      <c r="A6829" s="21"/>
      <c r="B6829" s="20" t="s">
        <v>18</v>
      </c>
      <c r="C6829" s="8" t="s">
        <v>44</v>
      </c>
      <c r="D6829" s="1" t="str">
        <f>HYPERLINK("javascript:void(0)","centro saru")</f>
        <v>centro saru</v>
      </c>
    </row>
    <row r="6830" spans="1:4" ht="12.75" customHeight="1" x14ac:dyDescent="0.2">
      <c r="A6830" s="21"/>
      <c r="B6830" s="21"/>
      <c r="C6830" s="8" t="s">
        <v>44</v>
      </c>
      <c r="D6830" s="1" t="str">
        <f>HYPERLINK("javascript:void(0)","dracoacél saru")</f>
        <v>dracoacél saru</v>
      </c>
    </row>
    <row r="6831" spans="1:4" ht="12.75" customHeight="1" x14ac:dyDescent="0.2">
      <c r="A6831" s="21"/>
      <c r="B6831" s="21"/>
      <c r="C6831" s="8" t="s">
        <v>44</v>
      </c>
      <c r="D6831" s="1" t="str">
        <f>HYPERLINK("javascript:void(0)","hipertalp")</f>
        <v>hipertalp</v>
      </c>
    </row>
    <row r="6832" spans="1:4" ht="12.75" customHeight="1" x14ac:dyDescent="0.2">
      <c r="A6832" s="21"/>
      <c r="B6832" s="2"/>
      <c r="C6832" s="7"/>
      <c r="D6832" s="7"/>
    </row>
    <row r="6833" spans="1:4" ht="12.75" customHeight="1" x14ac:dyDescent="0.2">
      <c r="A6833" s="21"/>
      <c r="B6833" s="2"/>
      <c r="C6833" s="7"/>
      <c r="D6833" s="7"/>
    </row>
    <row r="6834" spans="1:4" ht="12.75" customHeight="1" x14ac:dyDescent="0.2">
      <c r="A6834" s="21"/>
      <c r="B6834" s="2"/>
      <c r="C6834" s="7"/>
      <c r="D6834" s="7"/>
    </row>
    <row r="6835" spans="1:4" ht="12.75" customHeight="1" x14ac:dyDescent="0.2">
      <c r="A6835" s="21"/>
      <c r="B6835" s="2"/>
      <c r="C6835" s="7"/>
      <c r="D6835" s="7"/>
    </row>
    <row r="6836" spans="1:4" ht="12.75" customHeight="1" x14ac:dyDescent="0.2">
      <c r="A6836" s="5"/>
      <c r="B6836" s="2"/>
      <c r="C6836" s="7"/>
      <c r="D6836" s="7"/>
    </row>
    <row r="6837" spans="1:4" ht="12.75" customHeight="1" x14ac:dyDescent="0.2">
      <c r="A6837" s="22" t="str">
        <f>HYPERLINK("javascript:void(0)","uszony testpajzs")</f>
        <v>uszony testpajzs</v>
      </c>
      <c r="B6837" s="21"/>
      <c r="C6837" s="21"/>
      <c r="D6837" s="21"/>
    </row>
    <row r="6838" spans="1:4" ht="12.75" customHeight="1" x14ac:dyDescent="0.2">
      <c r="A6838" s="20"/>
      <c r="B6838" s="2"/>
      <c r="C6838" s="7"/>
      <c r="D6838" s="7"/>
    </row>
    <row r="6839" spans="1:4" ht="12.75" customHeight="1" x14ac:dyDescent="0.2">
      <c r="A6839" s="21"/>
      <c r="B6839" s="3" t="s">
        <v>0</v>
      </c>
      <c r="C6839" s="23" t="s">
        <v>562</v>
      </c>
      <c r="D6839" s="21"/>
    </row>
    <row r="6840" spans="1:4" ht="12.75" customHeight="1" x14ac:dyDescent="0.2">
      <c r="A6840" s="21"/>
      <c r="B6840" s="3" t="s">
        <v>2</v>
      </c>
      <c r="C6840" s="23" t="s">
        <v>1839</v>
      </c>
      <c r="D6840" s="21"/>
    </row>
    <row r="6841" spans="1:4" ht="12.75" customHeight="1" x14ac:dyDescent="0.2">
      <c r="A6841" s="21"/>
      <c r="B6841" s="3" t="s">
        <v>1840</v>
      </c>
      <c r="C6841" s="23" t="s">
        <v>371</v>
      </c>
      <c r="D6841" s="21"/>
    </row>
    <row r="6842" spans="1:4" ht="12.75" customHeight="1" x14ac:dyDescent="0.2">
      <c r="A6842" s="21"/>
      <c r="B6842" s="3" t="s">
        <v>9</v>
      </c>
      <c r="C6842" s="23" t="s">
        <v>549</v>
      </c>
      <c r="D6842" s="21"/>
    </row>
    <row r="6843" spans="1:4" ht="12.75" customHeight="1" x14ac:dyDescent="0.2">
      <c r="A6843" s="21"/>
      <c r="B6843" s="3" t="s">
        <v>11</v>
      </c>
      <c r="C6843" s="23" t="s">
        <v>739</v>
      </c>
      <c r="D6843" s="21"/>
    </row>
    <row r="6844" spans="1:4" ht="12.75" customHeight="1" x14ac:dyDescent="0.2">
      <c r="A6844" s="21"/>
      <c r="B6844" s="3" t="s">
        <v>16</v>
      </c>
      <c r="C6844" s="23"/>
      <c r="D6844" s="21"/>
    </row>
    <row r="6845" spans="1:4" ht="12.75" customHeight="1" x14ac:dyDescent="0.2">
      <c r="A6845" s="21"/>
      <c r="B6845" s="3" t="s">
        <v>17</v>
      </c>
      <c r="C6845" s="23" t="s">
        <v>19</v>
      </c>
      <c r="D6845" s="21"/>
    </row>
    <row r="6846" spans="1:4" ht="12.75" customHeight="1" x14ac:dyDescent="0.2">
      <c r="A6846" s="21"/>
      <c r="B6846" s="20" t="s">
        <v>18</v>
      </c>
      <c r="C6846" s="8" t="s">
        <v>44</v>
      </c>
      <c r="D6846" s="1" t="str">
        <f>HYPERLINK("javascript:void(0)","kacat testpajzs")</f>
        <v>kacat testpajzs</v>
      </c>
    </row>
    <row r="6847" spans="1:4" ht="12.75" customHeight="1" x14ac:dyDescent="0.2">
      <c r="A6847" s="21"/>
      <c r="B6847" s="21"/>
      <c r="C6847" s="8" t="s">
        <v>67</v>
      </c>
      <c r="D6847" s="1" t="str">
        <f>HYPERLINK("javascript:void(0)","uszony")</f>
        <v>uszony</v>
      </c>
    </row>
    <row r="6848" spans="1:4" ht="12.75" customHeight="1" x14ac:dyDescent="0.2">
      <c r="A6848" s="21"/>
      <c r="B6848" s="21"/>
      <c r="C6848" s="8" t="s">
        <v>132</v>
      </c>
      <c r="D6848" s="1" t="str">
        <f>HYPERLINK("javascript:void(0)","imázs")</f>
        <v>imázs</v>
      </c>
    </row>
    <row r="6849" spans="1:4" ht="12.75" customHeight="1" x14ac:dyDescent="0.2">
      <c r="A6849" s="21"/>
      <c r="B6849" s="2"/>
      <c r="C6849" s="7"/>
      <c r="D6849" s="7"/>
    </row>
    <row r="6850" spans="1:4" ht="12.75" customHeight="1" x14ac:dyDescent="0.2">
      <c r="A6850" s="21"/>
      <c r="B6850" s="2"/>
      <c r="C6850" s="7"/>
      <c r="D6850" s="7"/>
    </row>
    <row r="6851" spans="1:4" ht="12.75" customHeight="1" x14ac:dyDescent="0.2">
      <c r="A6851" s="21"/>
      <c r="B6851" s="2"/>
      <c r="C6851" s="7"/>
      <c r="D6851" s="7"/>
    </row>
    <row r="6852" spans="1:4" ht="12.75" customHeight="1" x14ac:dyDescent="0.2">
      <c r="A6852" s="21"/>
      <c r="B6852" s="2"/>
      <c r="C6852" s="7"/>
      <c r="D6852" s="7"/>
    </row>
    <row r="6853" spans="1:4" ht="12.75" customHeight="1" x14ac:dyDescent="0.2">
      <c r="A6853" s="5"/>
      <c r="B6853" s="2"/>
      <c r="C6853" s="7"/>
      <c r="D6853" s="7"/>
    </row>
    <row r="6854" spans="1:4" ht="12.75" customHeight="1" x14ac:dyDescent="0.2">
      <c r="A6854" s="22" t="str">
        <f>HYPERLINK("javascript:void(0)","rubinveretű illanat")</f>
        <v>rubinveretű illanat</v>
      </c>
      <c r="B6854" s="21"/>
      <c r="C6854" s="21"/>
      <c r="D6854" s="21"/>
    </row>
    <row r="6855" spans="1:4" ht="12.75" customHeight="1" x14ac:dyDescent="0.2">
      <c r="A6855" s="20"/>
      <c r="B6855" s="2"/>
      <c r="C6855" s="7"/>
      <c r="D6855" s="7"/>
    </row>
    <row r="6856" spans="1:4" ht="12.75" customHeight="1" x14ac:dyDescent="0.2">
      <c r="A6856" s="21"/>
      <c r="B6856" s="3" t="s">
        <v>0</v>
      </c>
      <c r="C6856" s="23" t="s">
        <v>562</v>
      </c>
      <c r="D6856" s="21"/>
    </row>
    <row r="6857" spans="1:4" ht="12.75" customHeight="1" x14ac:dyDescent="0.2">
      <c r="A6857" s="21"/>
      <c r="B6857" s="3" t="s">
        <v>2</v>
      </c>
      <c r="C6857" s="23" t="s">
        <v>1839</v>
      </c>
      <c r="D6857" s="21"/>
    </row>
    <row r="6858" spans="1:4" ht="12.75" customHeight="1" x14ac:dyDescent="0.2">
      <c r="A6858" s="21"/>
      <c r="B6858" s="3" t="s">
        <v>1840</v>
      </c>
      <c r="C6858" s="23" t="s">
        <v>371</v>
      </c>
      <c r="D6858" s="21"/>
    </row>
    <row r="6859" spans="1:4" ht="12.75" customHeight="1" x14ac:dyDescent="0.2">
      <c r="A6859" s="21"/>
      <c r="B6859" s="3" t="s">
        <v>9</v>
      </c>
      <c r="C6859" s="23" t="s">
        <v>2025</v>
      </c>
      <c r="D6859" s="21"/>
    </row>
    <row r="6860" spans="1:4" ht="12.75" customHeight="1" x14ac:dyDescent="0.2">
      <c r="A6860" s="21"/>
      <c r="B6860" s="3" t="s">
        <v>11</v>
      </c>
      <c r="C6860" s="23" t="s">
        <v>770</v>
      </c>
      <c r="D6860" s="21"/>
    </row>
    <row r="6861" spans="1:4" ht="12.75" customHeight="1" x14ac:dyDescent="0.2">
      <c r="A6861" s="21"/>
      <c r="B6861" s="3" t="s">
        <v>16</v>
      </c>
      <c r="C6861" s="23"/>
      <c r="D6861" s="21"/>
    </row>
    <row r="6862" spans="1:4" ht="12.75" customHeight="1" x14ac:dyDescent="0.2">
      <c r="A6862" s="21"/>
      <c r="B6862" s="3" t="s">
        <v>17</v>
      </c>
      <c r="C6862" s="23" t="s">
        <v>19</v>
      </c>
      <c r="D6862" s="21"/>
    </row>
    <row r="6863" spans="1:4" ht="12.75" customHeight="1" x14ac:dyDescent="0.2">
      <c r="A6863" s="21"/>
      <c r="B6863" s="20" t="s">
        <v>18</v>
      </c>
      <c r="C6863" s="8" t="s">
        <v>44</v>
      </c>
      <c r="D6863" s="1" t="str">
        <f>HYPERLINK("javascript:void(0)","uszony testpajzs")</f>
        <v>uszony testpajzs</v>
      </c>
    </row>
    <row r="6864" spans="1:4" ht="12.75" customHeight="1" x14ac:dyDescent="0.2">
      <c r="A6864" s="21"/>
      <c r="B6864" s="21"/>
      <c r="C6864" s="8" t="s">
        <v>323</v>
      </c>
      <c r="D6864" s="1" t="str">
        <f>HYPERLINK("javascript:void(0)","rubin")</f>
        <v>rubin</v>
      </c>
    </row>
    <row r="6865" spans="1:4" ht="12.75" customHeight="1" x14ac:dyDescent="0.2">
      <c r="A6865" s="21"/>
      <c r="B6865" s="21"/>
      <c r="C6865" s="8" t="s">
        <v>290</v>
      </c>
      <c r="D6865" s="1" t="str">
        <f>HYPERLINK("javascript:void(0)","rémszarv")</f>
        <v>rémszarv</v>
      </c>
    </row>
    <row r="6866" spans="1:4" ht="12.75" customHeight="1" x14ac:dyDescent="0.2">
      <c r="A6866" s="21"/>
      <c r="B6866" s="2"/>
      <c r="C6866" s="7"/>
      <c r="D6866" s="7"/>
    </row>
    <row r="6867" spans="1:4" ht="12.75" customHeight="1" x14ac:dyDescent="0.2">
      <c r="A6867" s="21"/>
      <c r="B6867" s="2"/>
      <c r="C6867" s="7"/>
      <c r="D6867" s="7"/>
    </row>
    <row r="6868" spans="1:4" ht="12.75" customHeight="1" x14ac:dyDescent="0.2">
      <c r="A6868" s="21"/>
      <c r="B6868" s="2"/>
      <c r="C6868" s="7"/>
      <c r="D6868" s="7"/>
    </row>
    <row r="6869" spans="1:4" ht="12.75" customHeight="1" x14ac:dyDescent="0.2">
      <c r="A6869" s="21"/>
      <c r="B6869" s="2"/>
      <c r="C6869" s="7"/>
      <c r="D6869" s="7"/>
    </row>
    <row r="6870" spans="1:4" ht="12.75" customHeight="1" x14ac:dyDescent="0.2">
      <c r="A6870" s="5"/>
      <c r="B6870" s="2"/>
      <c r="C6870" s="7"/>
      <c r="D6870" s="7"/>
    </row>
    <row r="6871" spans="1:4" ht="12.75" customHeight="1" x14ac:dyDescent="0.2">
      <c r="A6871" s="22" t="str">
        <f>HYPERLINK("javascript:void(0)","hipertalp")</f>
        <v>hipertalp</v>
      </c>
      <c r="B6871" s="21"/>
      <c r="C6871" s="21"/>
      <c r="D6871" s="21"/>
    </row>
    <row r="6872" spans="1:4" ht="12.75" customHeight="1" x14ac:dyDescent="0.2">
      <c r="A6872" s="20"/>
      <c r="B6872" s="2"/>
      <c r="C6872" s="7"/>
      <c r="D6872" s="7"/>
    </row>
    <row r="6873" spans="1:4" ht="12.75" customHeight="1" x14ac:dyDescent="0.2">
      <c r="A6873" s="21"/>
      <c r="B6873" s="3" t="s">
        <v>0</v>
      </c>
      <c r="C6873" s="23" t="s">
        <v>562</v>
      </c>
      <c r="D6873" s="21"/>
    </row>
    <row r="6874" spans="1:4" ht="12.75" customHeight="1" x14ac:dyDescent="0.2">
      <c r="A6874" s="21"/>
      <c r="B6874" s="3" t="s">
        <v>2</v>
      </c>
      <c r="C6874" s="23" t="s">
        <v>2322</v>
      </c>
      <c r="D6874" s="21"/>
    </row>
    <row r="6875" spans="1:4" ht="12.75" customHeight="1" x14ac:dyDescent="0.2">
      <c r="A6875" s="21"/>
      <c r="B6875" s="3" t="s">
        <v>1840</v>
      </c>
      <c r="C6875" s="23" t="s">
        <v>284</v>
      </c>
      <c r="D6875" s="21"/>
    </row>
    <row r="6876" spans="1:4" ht="12.75" customHeight="1" x14ac:dyDescent="0.2">
      <c r="A6876" s="21"/>
      <c r="B6876" s="3" t="s">
        <v>9</v>
      </c>
      <c r="C6876" s="23" t="s">
        <v>27</v>
      </c>
      <c r="D6876" s="21"/>
    </row>
    <row r="6877" spans="1:4" ht="12.75" customHeight="1" x14ac:dyDescent="0.2">
      <c r="A6877" s="21"/>
      <c r="B6877" s="3" t="s">
        <v>11</v>
      </c>
      <c r="C6877" s="23" t="s">
        <v>368</v>
      </c>
      <c r="D6877" s="21"/>
    </row>
    <row r="6878" spans="1:4" ht="12.75" customHeight="1" x14ac:dyDescent="0.2">
      <c r="A6878" s="21"/>
      <c r="B6878" s="3" t="s">
        <v>16</v>
      </c>
      <c r="C6878" s="23"/>
      <c r="D6878" s="21"/>
    </row>
    <row r="6879" spans="1:4" ht="12.75" customHeight="1" x14ac:dyDescent="0.2">
      <c r="A6879" s="21"/>
      <c r="B6879" s="3" t="s">
        <v>17</v>
      </c>
      <c r="C6879" s="23" t="s">
        <v>19</v>
      </c>
      <c r="D6879" s="21"/>
    </row>
    <row r="6880" spans="1:4" ht="12.75" customHeight="1" x14ac:dyDescent="0.2">
      <c r="A6880" s="21"/>
      <c r="B6880" s="20" t="s">
        <v>18</v>
      </c>
      <c r="C6880" s="8" t="s">
        <v>67</v>
      </c>
      <c r="D6880" s="1" t="str">
        <f>HYPERLINK("javascript:void(0)","rémszarv")</f>
        <v>rémszarv</v>
      </c>
    </row>
    <row r="6881" spans="1:4" ht="12.75" customHeight="1" x14ac:dyDescent="0.2">
      <c r="A6881" s="21"/>
      <c r="B6881" s="21"/>
      <c r="C6881" s="8" t="s">
        <v>193</v>
      </c>
      <c r="D6881" s="1" t="str">
        <f>HYPERLINK("javascript:void(0)","kacat")</f>
        <v>kacat</v>
      </c>
    </row>
    <row r="6882" spans="1:4" ht="12.75" customHeight="1" x14ac:dyDescent="0.2">
      <c r="A6882" s="21"/>
      <c r="B6882" s="21"/>
      <c r="C6882" s="8" t="s">
        <v>193</v>
      </c>
      <c r="D6882" s="1" t="str">
        <f>HYPERLINK("javascript:void(0)","hörcsögagyar")</f>
        <v>hörcsögagyar</v>
      </c>
    </row>
    <row r="6883" spans="1:4" ht="12.75" customHeight="1" x14ac:dyDescent="0.2">
      <c r="A6883" s="21"/>
      <c r="B6883" s="2"/>
      <c r="C6883" s="7"/>
      <c r="D6883" s="7"/>
    </row>
    <row r="6884" spans="1:4" ht="12.75" customHeight="1" x14ac:dyDescent="0.2">
      <c r="A6884" s="21"/>
      <c r="B6884" s="2"/>
      <c r="C6884" s="7"/>
      <c r="D6884" s="7"/>
    </row>
    <row r="6885" spans="1:4" ht="12.75" customHeight="1" x14ac:dyDescent="0.2">
      <c r="A6885" s="21"/>
      <c r="B6885" s="2"/>
      <c r="C6885" s="7"/>
      <c r="D6885" s="7"/>
    </row>
    <row r="6886" spans="1:4" ht="12.75" customHeight="1" x14ac:dyDescent="0.2">
      <c r="A6886" s="21"/>
      <c r="B6886" s="2"/>
      <c r="C6886" s="7"/>
      <c r="D6886" s="7"/>
    </row>
    <row r="6887" spans="1:4" ht="12.75" customHeight="1" x14ac:dyDescent="0.2">
      <c r="A6887" s="5"/>
      <c r="B6887" s="2"/>
      <c r="C6887" s="7"/>
      <c r="D6887" s="7"/>
    </row>
    <row r="6888" spans="1:4" ht="12.75" customHeight="1" x14ac:dyDescent="0.2">
      <c r="A6888" s="22" t="str">
        <f>HYPERLINK("javascript:void(0)","rimföldi mellvért")</f>
        <v>rimföldi mellvért</v>
      </c>
      <c r="B6888" s="21"/>
      <c r="C6888" s="21"/>
      <c r="D6888" s="21"/>
    </row>
    <row r="6889" spans="1:4" ht="12.75" customHeight="1" x14ac:dyDescent="0.2">
      <c r="A6889" s="20"/>
      <c r="B6889" s="2"/>
      <c r="C6889" s="7"/>
      <c r="D6889" s="7"/>
    </row>
    <row r="6890" spans="1:4" ht="12.75" customHeight="1" x14ac:dyDescent="0.2">
      <c r="A6890" s="21"/>
      <c r="B6890" s="3" t="s">
        <v>0</v>
      </c>
      <c r="C6890" s="23" t="s">
        <v>575</v>
      </c>
      <c r="D6890" s="21"/>
    </row>
    <row r="6891" spans="1:4" ht="12.75" customHeight="1" x14ac:dyDescent="0.2">
      <c r="A6891" s="21"/>
      <c r="B6891" s="3" t="s">
        <v>2</v>
      </c>
      <c r="C6891" s="23" t="s">
        <v>2322</v>
      </c>
      <c r="D6891" s="21"/>
    </row>
    <row r="6892" spans="1:4" ht="12.75" customHeight="1" x14ac:dyDescent="0.2">
      <c r="A6892" s="21"/>
      <c r="B6892" s="3" t="s">
        <v>1840</v>
      </c>
      <c r="C6892" s="23" t="s">
        <v>517</v>
      </c>
      <c r="D6892" s="21"/>
    </row>
    <row r="6893" spans="1:4" ht="12.75" customHeight="1" x14ac:dyDescent="0.2">
      <c r="A6893" s="21"/>
      <c r="B6893" s="3" t="s">
        <v>9</v>
      </c>
      <c r="C6893" s="23" t="s">
        <v>464</v>
      </c>
      <c r="D6893" s="21"/>
    </row>
    <row r="6894" spans="1:4" ht="12.75" customHeight="1" x14ac:dyDescent="0.2">
      <c r="A6894" s="21"/>
      <c r="B6894" s="3" t="s">
        <v>11</v>
      </c>
      <c r="C6894" s="23" t="s">
        <v>625</v>
      </c>
      <c r="D6894" s="21"/>
    </row>
    <row r="6895" spans="1:4" ht="12.75" customHeight="1" x14ac:dyDescent="0.2">
      <c r="A6895" s="21"/>
      <c r="B6895" s="3" t="s">
        <v>16</v>
      </c>
      <c r="C6895" s="23"/>
      <c r="D6895" s="21"/>
    </row>
    <row r="6896" spans="1:4" ht="12.75" customHeight="1" x14ac:dyDescent="0.2">
      <c r="A6896" s="21"/>
      <c r="B6896" s="3" t="s">
        <v>17</v>
      </c>
      <c r="C6896" s="23" t="s">
        <v>19</v>
      </c>
      <c r="D6896" s="21"/>
    </row>
    <row r="6897" spans="1:4" ht="12.75" customHeight="1" x14ac:dyDescent="0.2">
      <c r="A6897" s="21"/>
      <c r="B6897" s="20" t="s">
        <v>18</v>
      </c>
      <c r="C6897" s="8" t="s">
        <v>44</v>
      </c>
      <c r="D6897" s="1" t="str">
        <f>HYPERLINK("javascript:void(0)","mengorni mellvért")</f>
        <v>mengorni mellvért</v>
      </c>
    </row>
    <row r="6898" spans="1:4" ht="12.75" customHeight="1" x14ac:dyDescent="0.2">
      <c r="A6898" s="21"/>
      <c r="B6898" s="21"/>
      <c r="C6898" s="8" t="s">
        <v>44</v>
      </c>
      <c r="D6898" s="1" t="str">
        <f>HYPERLINK("javascript:void(0)","skivei mellvért")</f>
        <v>skivei mellvért</v>
      </c>
    </row>
    <row r="6899" spans="1:4" ht="12.75" customHeight="1" x14ac:dyDescent="0.2">
      <c r="A6899" s="21"/>
      <c r="B6899" s="21"/>
      <c r="C6899" s="8" t="s">
        <v>44</v>
      </c>
      <c r="D6899" s="1" t="str">
        <f>HYPERLINK("javascript:void(0)","rimföldi előlap")</f>
        <v>rimföldi előlap</v>
      </c>
    </row>
    <row r="6900" spans="1:4" ht="12.75" customHeight="1" x14ac:dyDescent="0.2">
      <c r="A6900" s="21"/>
      <c r="B6900" s="2"/>
      <c r="C6900" s="7"/>
      <c r="D6900" s="7"/>
    </row>
    <row r="6901" spans="1:4" ht="12.75" customHeight="1" x14ac:dyDescent="0.2">
      <c r="A6901" s="21"/>
      <c r="B6901" s="2"/>
      <c r="C6901" s="7"/>
      <c r="D6901" s="7"/>
    </row>
    <row r="6902" spans="1:4" ht="12.75" customHeight="1" x14ac:dyDescent="0.2">
      <c r="A6902" s="21"/>
      <c r="B6902" s="2"/>
      <c r="C6902" s="7"/>
      <c r="D6902" s="7"/>
    </row>
    <row r="6903" spans="1:4" ht="12.75" customHeight="1" x14ac:dyDescent="0.2">
      <c r="A6903" s="21"/>
      <c r="B6903" s="2"/>
      <c r="C6903" s="7"/>
      <c r="D6903" s="7"/>
    </row>
    <row r="6904" spans="1:4" ht="12.75" customHeight="1" x14ac:dyDescent="0.2">
      <c r="A6904" s="5"/>
      <c r="B6904" s="2"/>
      <c r="C6904" s="7"/>
      <c r="D6904" s="7"/>
    </row>
    <row r="6905" spans="1:4" ht="12.75" customHeight="1" x14ac:dyDescent="0.2">
      <c r="A6905" s="22" t="str">
        <f>HYPERLINK("javascript:void(0)","mechano fejpánt")</f>
        <v>mechano fejpánt</v>
      </c>
      <c r="B6905" s="21"/>
      <c r="C6905" s="21"/>
      <c r="D6905" s="21"/>
    </row>
    <row r="6906" spans="1:4" ht="12.75" customHeight="1" x14ac:dyDescent="0.2">
      <c r="A6906" s="20"/>
      <c r="B6906" s="2"/>
      <c r="C6906" s="7"/>
      <c r="D6906" s="7"/>
    </row>
    <row r="6907" spans="1:4" ht="12.75" customHeight="1" x14ac:dyDescent="0.2">
      <c r="A6907" s="21"/>
      <c r="B6907" s="3" t="s">
        <v>0</v>
      </c>
      <c r="C6907" s="23" t="s">
        <v>575</v>
      </c>
      <c r="D6907" s="21"/>
    </row>
    <row r="6908" spans="1:4" ht="12.75" customHeight="1" x14ac:dyDescent="0.2">
      <c r="A6908" s="21"/>
      <c r="B6908" s="3" t="s">
        <v>2</v>
      </c>
      <c r="C6908" s="23"/>
      <c r="D6908" s="21"/>
    </row>
    <row r="6909" spans="1:4" ht="12.75" customHeight="1" x14ac:dyDescent="0.2">
      <c r="A6909" s="21"/>
      <c r="B6909" s="3" t="s">
        <v>1840</v>
      </c>
      <c r="C6909" s="23" t="s">
        <v>230</v>
      </c>
      <c r="D6909" s="21"/>
    </row>
    <row r="6910" spans="1:4" ht="12.75" customHeight="1" x14ac:dyDescent="0.2">
      <c r="A6910" s="21"/>
      <c r="B6910" s="3" t="s">
        <v>9</v>
      </c>
      <c r="C6910" s="23" t="s">
        <v>30</v>
      </c>
      <c r="D6910" s="21"/>
    </row>
    <row r="6911" spans="1:4" ht="12.75" customHeight="1" x14ac:dyDescent="0.2">
      <c r="A6911" s="21"/>
      <c r="B6911" s="3" t="s">
        <v>11</v>
      </c>
      <c r="C6911" s="23" t="s">
        <v>625</v>
      </c>
      <c r="D6911" s="21"/>
    </row>
    <row r="6912" spans="1:4" ht="12.75" customHeight="1" x14ac:dyDescent="0.2">
      <c r="A6912" s="21"/>
      <c r="B6912" s="3" t="s">
        <v>16</v>
      </c>
      <c r="C6912" s="23"/>
      <c r="D6912" s="21"/>
    </row>
    <row r="6913" spans="1:4" ht="12.75" customHeight="1" x14ac:dyDescent="0.2">
      <c r="A6913" s="21"/>
      <c r="B6913" s="3" t="s">
        <v>17</v>
      </c>
      <c r="C6913" s="23" t="s">
        <v>19</v>
      </c>
      <c r="D6913" s="21"/>
    </row>
    <row r="6914" spans="1:4" ht="12.75" customHeight="1" x14ac:dyDescent="0.2">
      <c r="A6914" s="21"/>
      <c r="B6914" s="20" t="s">
        <v>18</v>
      </c>
      <c r="C6914" s="8" t="s">
        <v>77</v>
      </c>
      <c r="D6914" s="1" t="str">
        <f>HYPERLINK("javascript:void(0)","mechodron")</f>
        <v>mechodron</v>
      </c>
    </row>
    <row r="6915" spans="1:4" ht="12.75" customHeight="1" x14ac:dyDescent="0.2">
      <c r="A6915" s="21"/>
      <c r="B6915" s="21"/>
      <c r="C6915" s="8" t="s">
        <v>280</v>
      </c>
      <c r="D6915" s="1" t="str">
        <f>HYPERLINK("javascript:void(0)","fotogén")</f>
        <v>fotogén</v>
      </c>
    </row>
    <row r="6916" spans="1:4" ht="12.75" customHeight="1" x14ac:dyDescent="0.2">
      <c r="A6916" s="21"/>
      <c r="B6916" s="21"/>
      <c r="C6916" s="8" t="s">
        <v>163</v>
      </c>
      <c r="D6916" s="1" t="str">
        <f>HYPERLINK("javascript:void(0)","horog")</f>
        <v>horog</v>
      </c>
    </row>
    <row r="6917" spans="1:4" ht="12.75" customHeight="1" x14ac:dyDescent="0.2">
      <c r="A6917" s="21"/>
      <c r="B6917" s="2"/>
      <c r="C6917" s="7"/>
      <c r="D6917" s="7"/>
    </row>
    <row r="6918" spans="1:4" ht="12.75" customHeight="1" x14ac:dyDescent="0.2">
      <c r="A6918" s="21"/>
      <c r="B6918" s="2"/>
      <c r="C6918" s="7"/>
      <c r="D6918" s="7"/>
    </row>
    <row r="6919" spans="1:4" ht="12.75" customHeight="1" x14ac:dyDescent="0.2">
      <c r="A6919" s="21"/>
      <c r="B6919" s="2"/>
      <c r="C6919" s="7"/>
      <c r="D6919" s="7"/>
    </row>
    <row r="6920" spans="1:4" ht="12.75" customHeight="1" x14ac:dyDescent="0.2">
      <c r="A6920" s="21"/>
      <c r="B6920" s="2"/>
      <c r="C6920" s="7"/>
      <c r="D6920" s="7"/>
    </row>
    <row r="6921" spans="1:4" ht="12.75" customHeight="1" x14ac:dyDescent="0.2">
      <c r="A6921" s="5"/>
      <c r="B6921" s="2"/>
      <c r="C6921" s="7"/>
      <c r="D6921" s="7"/>
    </row>
    <row r="6922" spans="1:4" ht="12.75" customHeight="1" x14ac:dyDescent="0.2">
      <c r="A6922" s="22" t="str">
        <f>HYPERLINK("javascript:void(0)","elfacél saru")</f>
        <v>elfacél saru</v>
      </c>
      <c r="B6922" s="21"/>
      <c r="C6922" s="21"/>
      <c r="D6922" s="21"/>
    </row>
    <row r="6923" spans="1:4" ht="12.75" customHeight="1" x14ac:dyDescent="0.2">
      <c r="A6923" s="20"/>
      <c r="B6923" s="2"/>
      <c r="C6923" s="7"/>
      <c r="D6923" s="7"/>
    </row>
    <row r="6924" spans="1:4" ht="12.75" customHeight="1" x14ac:dyDescent="0.2">
      <c r="A6924" s="21"/>
      <c r="B6924" s="3" t="s">
        <v>0</v>
      </c>
      <c r="C6924" s="23" t="s">
        <v>575</v>
      </c>
      <c r="D6924" s="21"/>
    </row>
    <row r="6925" spans="1:4" ht="12.75" customHeight="1" x14ac:dyDescent="0.2">
      <c r="A6925" s="21"/>
      <c r="B6925" s="3" t="s">
        <v>2</v>
      </c>
      <c r="C6925" s="23"/>
      <c r="D6925" s="21"/>
    </row>
    <row r="6926" spans="1:4" ht="12.75" customHeight="1" x14ac:dyDescent="0.2">
      <c r="A6926" s="21"/>
      <c r="B6926" s="3" t="s">
        <v>1840</v>
      </c>
      <c r="C6926" s="23" t="s">
        <v>1174</v>
      </c>
      <c r="D6926" s="21"/>
    </row>
    <row r="6927" spans="1:4" ht="12.75" customHeight="1" x14ac:dyDescent="0.2">
      <c r="A6927" s="21"/>
      <c r="B6927" s="3" t="s">
        <v>9</v>
      </c>
      <c r="C6927" s="23" t="s">
        <v>70</v>
      </c>
      <c r="D6927" s="21"/>
    </row>
    <row r="6928" spans="1:4" ht="12.75" customHeight="1" x14ac:dyDescent="0.2">
      <c r="A6928" s="21"/>
      <c r="B6928" s="3" t="s">
        <v>11</v>
      </c>
      <c r="C6928" s="23" t="s">
        <v>660</v>
      </c>
      <c r="D6928" s="21"/>
    </row>
    <row r="6929" spans="1:4" ht="12.75" customHeight="1" x14ac:dyDescent="0.2">
      <c r="A6929" s="21"/>
      <c r="B6929" s="3" t="s">
        <v>16</v>
      </c>
      <c r="C6929" s="23"/>
      <c r="D6929" s="21"/>
    </row>
    <row r="6930" spans="1:4" ht="12.75" customHeight="1" x14ac:dyDescent="0.2">
      <c r="A6930" s="21"/>
      <c r="B6930" s="3" t="s">
        <v>17</v>
      </c>
      <c r="C6930" s="23" t="s">
        <v>19</v>
      </c>
      <c r="D6930" s="21"/>
    </row>
    <row r="6931" spans="1:4" ht="12.75" customHeight="1" x14ac:dyDescent="0.2">
      <c r="A6931" s="21"/>
      <c r="B6931" s="20" t="s">
        <v>18</v>
      </c>
      <c r="C6931" s="8" t="s">
        <v>44</v>
      </c>
      <c r="D6931" s="1" t="str">
        <f>HYPERLINK("javascript:void(0)","hiper saru")</f>
        <v>hiper saru</v>
      </c>
    </row>
    <row r="6932" spans="1:4" ht="12.75" customHeight="1" x14ac:dyDescent="0.2">
      <c r="A6932" s="21"/>
      <c r="B6932" s="21"/>
      <c r="C6932" s="8" t="s">
        <v>77</v>
      </c>
      <c r="D6932" s="1" t="str">
        <f>HYPERLINK("javascript:void(0)","betüvető")</f>
        <v>betüvető</v>
      </c>
    </row>
    <row r="6933" spans="1:4" ht="12.75" customHeight="1" x14ac:dyDescent="0.2">
      <c r="A6933" s="21"/>
      <c r="B6933" s="21"/>
      <c r="C6933" s="8" t="s">
        <v>117</v>
      </c>
      <c r="D6933" s="1" t="str">
        <f>HYPERLINK("javascript:void(0)","dimenzióforgács")</f>
        <v>dimenzióforgács</v>
      </c>
    </row>
    <row r="6934" spans="1:4" ht="12.75" customHeight="1" x14ac:dyDescent="0.2">
      <c r="A6934" s="21"/>
      <c r="B6934" s="2"/>
      <c r="C6934" s="7"/>
      <c r="D6934" s="7"/>
    </row>
    <row r="6935" spans="1:4" ht="12.75" customHeight="1" x14ac:dyDescent="0.2">
      <c r="A6935" s="21"/>
      <c r="B6935" s="2"/>
      <c r="C6935" s="7"/>
      <c r="D6935" s="7"/>
    </row>
    <row r="6936" spans="1:4" ht="12.75" customHeight="1" x14ac:dyDescent="0.2">
      <c r="A6936" s="21"/>
      <c r="B6936" s="2"/>
      <c r="C6936" s="7"/>
      <c r="D6936" s="7"/>
    </row>
    <row r="6937" spans="1:4" ht="12.75" customHeight="1" x14ac:dyDescent="0.2">
      <c r="A6937" s="21"/>
      <c r="B6937" s="2"/>
      <c r="C6937" s="7"/>
      <c r="D6937" s="7"/>
    </row>
    <row r="6938" spans="1:4" ht="12.75" customHeight="1" x14ac:dyDescent="0.2">
      <c r="A6938" s="5"/>
      <c r="B6938" s="2"/>
      <c r="C6938" s="7"/>
      <c r="D6938" s="7"/>
    </row>
    <row r="6939" spans="1:4" ht="12.75" customHeight="1" x14ac:dyDescent="0.2">
      <c r="A6939" s="22" t="str">
        <f>HYPERLINK("javascript:void(0)","mechano pajzs")</f>
        <v>mechano pajzs</v>
      </c>
      <c r="B6939" s="21"/>
      <c r="C6939" s="21"/>
      <c r="D6939" s="21"/>
    </row>
    <row r="6940" spans="1:4" ht="12.75" customHeight="1" x14ac:dyDescent="0.2">
      <c r="A6940" s="20"/>
      <c r="B6940" s="2"/>
      <c r="C6940" s="7"/>
      <c r="D6940" s="7"/>
    </row>
    <row r="6941" spans="1:4" ht="12.75" customHeight="1" x14ac:dyDescent="0.2">
      <c r="A6941" s="21"/>
      <c r="B6941" s="3" t="s">
        <v>0</v>
      </c>
      <c r="C6941" s="23" t="s">
        <v>575</v>
      </c>
      <c r="D6941" s="21"/>
    </row>
    <row r="6942" spans="1:4" ht="12.75" customHeight="1" x14ac:dyDescent="0.2">
      <c r="A6942" s="21"/>
      <c r="B6942" s="3" t="s">
        <v>2</v>
      </c>
      <c r="C6942" s="23" t="s">
        <v>1839</v>
      </c>
      <c r="D6942" s="21"/>
    </row>
    <row r="6943" spans="1:4" ht="12.75" customHeight="1" x14ac:dyDescent="0.2">
      <c r="A6943" s="21"/>
      <c r="B6943" s="3" t="s">
        <v>1840</v>
      </c>
      <c r="C6943" s="23" t="s">
        <v>1355</v>
      </c>
      <c r="D6943" s="21"/>
    </row>
    <row r="6944" spans="1:4" ht="12.75" customHeight="1" x14ac:dyDescent="0.2">
      <c r="A6944" s="21"/>
      <c r="B6944" s="3" t="s">
        <v>9</v>
      </c>
      <c r="C6944" s="23" t="s">
        <v>249</v>
      </c>
      <c r="D6944" s="21"/>
    </row>
    <row r="6945" spans="1:4" ht="12.75" customHeight="1" x14ac:dyDescent="0.2">
      <c r="A6945" s="21"/>
      <c r="B6945" s="3" t="s">
        <v>11</v>
      </c>
      <c r="C6945" s="23" t="s">
        <v>754</v>
      </c>
      <c r="D6945" s="21"/>
    </row>
    <row r="6946" spans="1:4" ht="12.75" customHeight="1" x14ac:dyDescent="0.2">
      <c r="A6946" s="21"/>
      <c r="B6946" s="3" t="s">
        <v>16</v>
      </c>
      <c r="C6946" s="23"/>
      <c r="D6946" s="21"/>
    </row>
    <row r="6947" spans="1:4" ht="12.75" customHeight="1" x14ac:dyDescent="0.2">
      <c r="A6947" s="21"/>
      <c r="B6947" s="3" t="s">
        <v>17</v>
      </c>
      <c r="C6947" s="23" t="s">
        <v>19</v>
      </c>
      <c r="D6947" s="21"/>
    </row>
    <row r="6948" spans="1:4" ht="12.75" customHeight="1" x14ac:dyDescent="0.2">
      <c r="A6948" s="21"/>
      <c r="B6948" s="20" t="s">
        <v>18</v>
      </c>
      <c r="C6948" s="8" t="s">
        <v>44</v>
      </c>
      <c r="D6948" s="1" t="str">
        <f>HYPERLINK("javascript:void(0)","uszonypajzs")</f>
        <v>uszonypajzs</v>
      </c>
    </row>
    <row r="6949" spans="1:4" ht="12.75" customHeight="1" x14ac:dyDescent="0.2">
      <c r="A6949" s="21"/>
      <c r="B6949" s="21"/>
      <c r="C6949" s="8" t="s">
        <v>77</v>
      </c>
      <c r="D6949" s="1" t="str">
        <f>HYPERLINK("javascript:void(0)","betüvető")</f>
        <v>betüvető</v>
      </c>
    </row>
    <row r="6950" spans="1:4" ht="12.75" customHeight="1" x14ac:dyDescent="0.2">
      <c r="A6950" s="21"/>
      <c r="B6950" s="21"/>
      <c r="C6950" s="8" t="s">
        <v>163</v>
      </c>
      <c r="D6950" s="1" t="str">
        <f>HYPERLINK("javascript:void(0)","kacat")</f>
        <v>kacat</v>
      </c>
    </row>
    <row r="6951" spans="1:4" ht="12.75" customHeight="1" x14ac:dyDescent="0.2">
      <c r="A6951" s="21"/>
      <c r="B6951" s="2"/>
      <c r="C6951" s="7"/>
      <c r="D6951" s="7"/>
    </row>
    <row r="6952" spans="1:4" ht="12.75" customHeight="1" x14ac:dyDescent="0.2">
      <c r="A6952" s="21"/>
      <c r="B6952" s="2"/>
      <c r="C6952" s="7"/>
      <c r="D6952" s="7"/>
    </row>
    <row r="6953" spans="1:4" ht="12.75" customHeight="1" x14ac:dyDescent="0.2">
      <c r="A6953" s="21"/>
      <c r="B6953" s="2"/>
      <c r="C6953" s="7"/>
      <c r="D6953" s="7"/>
    </row>
    <row r="6954" spans="1:4" ht="12.75" customHeight="1" x14ac:dyDescent="0.2">
      <c r="A6954" s="21"/>
      <c r="B6954" s="2"/>
      <c r="C6954" s="7"/>
      <c r="D6954" s="7"/>
    </row>
    <row r="6955" spans="1:4" ht="12.75" customHeight="1" x14ac:dyDescent="0.2">
      <c r="A6955" s="5"/>
      <c r="B6955" s="2"/>
      <c r="C6955" s="7"/>
      <c r="D6955" s="7"/>
    </row>
    <row r="6956" spans="1:4" ht="12.75" customHeight="1" x14ac:dyDescent="0.2">
      <c r="A6956" s="22" t="str">
        <f>HYPERLINK("javascript:void(0)","gyémántveretű illanat")</f>
        <v>gyémántveretű illanat</v>
      </c>
      <c r="B6956" s="21"/>
      <c r="C6956" s="21"/>
      <c r="D6956" s="21"/>
    </row>
    <row r="6957" spans="1:4" ht="12.75" customHeight="1" x14ac:dyDescent="0.2">
      <c r="A6957" s="20"/>
      <c r="B6957" s="2"/>
      <c r="C6957" s="7"/>
      <c r="D6957" s="7"/>
    </row>
    <row r="6958" spans="1:4" ht="12.75" customHeight="1" x14ac:dyDescent="0.2">
      <c r="A6958" s="21"/>
      <c r="B6958" s="3" t="s">
        <v>0</v>
      </c>
      <c r="C6958" s="23" t="s">
        <v>575</v>
      </c>
      <c r="D6958" s="21"/>
    </row>
    <row r="6959" spans="1:4" ht="12.75" customHeight="1" x14ac:dyDescent="0.2">
      <c r="A6959" s="21"/>
      <c r="B6959" s="3" t="s">
        <v>2</v>
      </c>
      <c r="C6959" s="23" t="s">
        <v>1839</v>
      </c>
      <c r="D6959" s="21"/>
    </row>
    <row r="6960" spans="1:4" ht="12.75" customHeight="1" x14ac:dyDescent="0.2">
      <c r="A6960" s="21"/>
      <c r="B6960" s="3" t="s">
        <v>1840</v>
      </c>
      <c r="C6960" s="23" t="s">
        <v>1355</v>
      </c>
      <c r="D6960" s="21"/>
    </row>
    <row r="6961" spans="1:4" ht="12.75" customHeight="1" x14ac:dyDescent="0.2">
      <c r="A6961" s="21"/>
      <c r="B6961" s="3" t="s">
        <v>9</v>
      </c>
      <c r="C6961" s="23" t="s">
        <v>738</v>
      </c>
      <c r="D6961" s="21"/>
    </row>
    <row r="6962" spans="1:4" ht="12.75" customHeight="1" x14ac:dyDescent="0.2">
      <c r="A6962" s="21"/>
      <c r="B6962" s="3" t="s">
        <v>11</v>
      </c>
      <c r="C6962" s="23" t="s">
        <v>779</v>
      </c>
      <c r="D6962" s="21"/>
    </row>
    <row r="6963" spans="1:4" ht="12.75" customHeight="1" x14ac:dyDescent="0.2">
      <c r="A6963" s="21"/>
      <c r="B6963" s="3" t="s">
        <v>16</v>
      </c>
      <c r="C6963" s="23"/>
      <c r="D6963" s="21"/>
    </row>
    <row r="6964" spans="1:4" ht="12.75" customHeight="1" x14ac:dyDescent="0.2">
      <c r="A6964" s="21"/>
      <c r="B6964" s="3" t="s">
        <v>17</v>
      </c>
      <c r="C6964" s="23" t="s">
        <v>19</v>
      </c>
      <c r="D6964" s="21"/>
    </row>
    <row r="6965" spans="1:4" ht="12.75" customHeight="1" x14ac:dyDescent="0.2">
      <c r="A6965" s="21"/>
      <c r="B6965" s="20" t="s">
        <v>18</v>
      </c>
      <c r="C6965" s="8" t="s">
        <v>44</v>
      </c>
      <c r="D6965" s="1" t="str">
        <f>HYPERLINK("javascript:void(0)","mechano pajzs")</f>
        <v>mechano pajzs</v>
      </c>
    </row>
    <row r="6966" spans="1:4" ht="12.75" customHeight="1" x14ac:dyDescent="0.2">
      <c r="A6966" s="21"/>
      <c r="B6966" s="21"/>
      <c r="C6966" s="8" t="s">
        <v>323</v>
      </c>
      <c r="D6966" s="1" t="str">
        <f>HYPERLINK("javascript:void(0)","gyémánt")</f>
        <v>gyémánt</v>
      </c>
    </row>
    <row r="6967" spans="1:4" ht="12.75" customHeight="1" x14ac:dyDescent="0.2">
      <c r="A6967" s="21"/>
      <c r="B6967" s="21"/>
      <c r="C6967" s="8" t="s">
        <v>117</v>
      </c>
      <c r="D6967" s="1" t="str">
        <f>HYPERLINK("javascript:void(0)","mechodron")</f>
        <v>mechodron</v>
      </c>
    </row>
    <row r="6968" spans="1:4" ht="12.75" customHeight="1" x14ac:dyDescent="0.2">
      <c r="A6968" s="21"/>
      <c r="B6968" s="2"/>
      <c r="C6968" s="7"/>
      <c r="D6968" s="7"/>
    </row>
    <row r="6969" spans="1:4" ht="12.75" customHeight="1" x14ac:dyDescent="0.2">
      <c r="A6969" s="21"/>
      <c r="B6969" s="2"/>
      <c r="C6969" s="7"/>
      <c r="D6969" s="7"/>
    </row>
    <row r="6970" spans="1:4" ht="12.75" customHeight="1" x14ac:dyDescent="0.2">
      <c r="A6970" s="21"/>
      <c r="B6970" s="2"/>
      <c r="C6970" s="7"/>
      <c r="D6970" s="7"/>
    </row>
    <row r="6971" spans="1:4" ht="12.75" customHeight="1" x14ac:dyDescent="0.2">
      <c r="A6971" s="21"/>
      <c r="B6971" s="2"/>
      <c r="C6971" s="7"/>
      <c r="D6971" s="7"/>
    </row>
    <row r="6972" spans="1:4" ht="12.75" customHeight="1" x14ac:dyDescent="0.2">
      <c r="A6972" s="5"/>
      <c r="B6972" s="2"/>
      <c r="C6972" s="7"/>
      <c r="D6972" s="7"/>
    </row>
    <row r="6973" spans="1:4" ht="12.75" customHeight="1" x14ac:dyDescent="0.2">
      <c r="A6973" s="22" t="str">
        <f>HYPERLINK("javascript:void(0)","rimföldi előlap")</f>
        <v>rimföldi előlap</v>
      </c>
      <c r="B6973" s="21"/>
      <c r="C6973" s="21"/>
      <c r="D6973" s="21"/>
    </row>
    <row r="6974" spans="1:4" ht="12.75" customHeight="1" x14ac:dyDescent="0.2">
      <c r="A6974" s="20"/>
      <c r="B6974" s="2"/>
      <c r="C6974" s="7"/>
      <c r="D6974" s="7"/>
    </row>
    <row r="6975" spans="1:4" ht="12.75" customHeight="1" x14ac:dyDescent="0.2">
      <c r="A6975" s="21"/>
      <c r="B6975" s="3" t="s">
        <v>0</v>
      </c>
      <c r="C6975" s="23" t="s">
        <v>575</v>
      </c>
      <c r="D6975" s="21"/>
    </row>
    <row r="6976" spans="1:4" ht="12.75" customHeight="1" x14ac:dyDescent="0.2">
      <c r="A6976" s="21"/>
      <c r="B6976" s="3" t="s">
        <v>2</v>
      </c>
      <c r="C6976" s="23" t="s">
        <v>2322</v>
      </c>
      <c r="D6976" s="21"/>
    </row>
    <row r="6977" spans="1:4" ht="12.75" customHeight="1" x14ac:dyDescent="0.2">
      <c r="A6977" s="21"/>
      <c r="B6977" s="3" t="s">
        <v>1840</v>
      </c>
      <c r="C6977" s="23" t="s">
        <v>107</v>
      </c>
      <c r="D6977" s="21"/>
    </row>
    <row r="6978" spans="1:4" ht="12.75" customHeight="1" x14ac:dyDescent="0.2">
      <c r="A6978" s="21"/>
      <c r="B6978" s="3" t="s">
        <v>9</v>
      </c>
      <c r="C6978" s="23" t="s">
        <v>42</v>
      </c>
      <c r="D6978" s="21"/>
    </row>
    <row r="6979" spans="1:4" ht="12.75" customHeight="1" x14ac:dyDescent="0.2">
      <c r="A6979" s="21"/>
      <c r="B6979" s="3" t="s">
        <v>11</v>
      </c>
      <c r="C6979" s="23" t="s">
        <v>368</v>
      </c>
      <c r="D6979" s="21"/>
    </row>
    <row r="6980" spans="1:4" ht="12.75" customHeight="1" x14ac:dyDescent="0.2">
      <c r="A6980" s="21"/>
      <c r="B6980" s="3" t="s">
        <v>16</v>
      </c>
      <c r="C6980" s="23"/>
      <c r="D6980" s="21"/>
    </row>
    <row r="6981" spans="1:4" ht="12.75" customHeight="1" x14ac:dyDescent="0.2">
      <c r="A6981" s="21"/>
      <c r="B6981" s="3" t="s">
        <v>17</v>
      </c>
      <c r="C6981" s="23" t="s">
        <v>19</v>
      </c>
      <c r="D6981" s="21"/>
    </row>
    <row r="6982" spans="1:4" ht="12.75" customHeight="1" x14ac:dyDescent="0.2">
      <c r="A6982" s="21"/>
      <c r="B6982" s="20" t="s">
        <v>18</v>
      </c>
      <c r="C6982" s="8" t="s">
        <v>68</v>
      </c>
      <c r="D6982" s="1" t="str">
        <f>HYPERLINK("javascript:void(0)","mechodron")</f>
        <v>mechodron</v>
      </c>
    </row>
    <row r="6983" spans="1:4" ht="12.75" customHeight="1" x14ac:dyDescent="0.2">
      <c r="A6983" s="21"/>
      <c r="B6983" s="21"/>
      <c r="C6983" s="8" t="s">
        <v>117</v>
      </c>
      <c r="D6983" s="1" t="str">
        <f>HYPERLINK("javascript:void(0)","imázs")</f>
        <v>imázs</v>
      </c>
    </row>
    <row r="6984" spans="1:4" ht="12.75" customHeight="1" x14ac:dyDescent="0.2">
      <c r="A6984" s="21"/>
      <c r="B6984" s="21"/>
      <c r="C6984" s="8" t="s">
        <v>382</v>
      </c>
      <c r="D6984" s="1" t="str">
        <f>HYPERLINK("javascript:void(0)","morfige")</f>
        <v>morfige</v>
      </c>
    </row>
    <row r="6985" spans="1:4" ht="12.75" customHeight="1" x14ac:dyDescent="0.2">
      <c r="A6985" s="21"/>
      <c r="B6985" s="2"/>
      <c r="C6985" s="7"/>
      <c r="D6985" s="7"/>
    </row>
    <row r="6986" spans="1:4" ht="12.75" customHeight="1" x14ac:dyDescent="0.2">
      <c r="A6986" s="21"/>
      <c r="B6986" s="2"/>
      <c r="C6986" s="7"/>
      <c r="D6986" s="7"/>
    </row>
    <row r="6987" spans="1:4" ht="12.75" customHeight="1" x14ac:dyDescent="0.2">
      <c r="A6987" s="21"/>
      <c r="B6987" s="2"/>
      <c r="C6987" s="7"/>
      <c r="D6987" s="7"/>
    </row>
    <row r="6988" spans="1:4" ht="12.75" customHeight="1" x14ac:dyDescent="0.2">
      <c r="A6988" s="21"/>
      <c r="B6988" s="2"/>
      <c r="C6988" s="7"/>
      <c r="D6988" s="7"/>
    </row>
    <row r="6989" spans="1:4" ht="12.75" customHeight="1" x14ac:dyDescent="0.2">
      <c r="A6989" s="5"/>
      <c r="B6989" s="2"/>
      <c r="C6989" s="7"/>
      <c r="D6989" s="7"/>
    </row>
    <row r="6990" spans="1:4" ht="12.75" customHeight="1" x14ac:dyDescent="0.2">
      <c r="A6990" s="22" t="str">
        <f>HYPERLINK("javascript:void(0)","kompózium manasisak")</f>
        <v>kompózium manasisak</v>
      </c>
      <c r="B6990" s="21"/>
      <c r="C6990" s="21"/>
      <c r="D6990" s="21"/>
    </row>
    <row r="6991" spans="1:4" ht="12.75" customHeight="1" x14ac:dyDescent="0.2">
      <c r="A6991" s="20"/>
      <c r="B6991" s="2"/>
      <c r="C6991" s="7"/>
      <c r="D6991" s="7"/>
    </row>
    <row r="6992" spans="1:4" ht="12.75" customHeight="1" x14ac:dyDescent="0.2">
      <c r="A6992" s="21"/>
      <c r="B6992" s="3" t="s">
        <v>0</v>
      </c>
      <c r="C6992" s="23" t="s">
        <v>575</v>
      </c>
      <c r="D6992" s="21"/>
    </row>
    <row r="6993" spans="1:4" ht="12.75" customHeight="1" x14ac:dyDescent="0.2">
      <c r="A6993" s="21"/>
      <c r="B6993" s="3" t="s">
        <v>2</v>
      </c>
      <c r="C6993" s="23"/>
      <c r="D6993" s="21"/>
    </row>
    <row r="6994" spans="1:4" ht="12.75" customHeight="1" x14ac:dyDescent="0.2">
      <c r="A6994" s="21"/>
      <c r="B6994" s="3" t="s">
        <v>1840</v>
      </c>
      <c r="C6994" s="23" t="s">
        <v>65</v>
      </c>
      <c r="D6994" s="21"/>
    </row>
    <row r="6995" spans="1:4" ht="12.75" customHeight="1" x14ac:dyDescent="0.2">
      <c r="A6995" s="21"/>
      <c r="B6995" s="3" t="s">
        <v>9</v>
      </c>
      <c r="C6995" s="23" t="s">
        <v>210</v>
      </c>
      <c r="D6995" s="21"/>
    </row>
    <row r="6996" spans="1:4" ht="12.75" customHeight="1" x14ac:dyDescent="0.2">
      <c r="A6996" s="21"/>
      <c r="B6996" s="3" t="s">
        <v>11</v>
      </c>
      <c r="C6996" s="23" t="s">
        <v>397</v>
      </c>
      <c r="D6996" s="21"/>
    </row>
    <row r="6997" spans="1:4" ht="12.75" customHeight="1" x14ac:dyDescent="0.2">
      <c r="A6997" s="21"/>
      <c r="B6997" s="3" t="s">
        <v>16</v>
      </c>
      <c r="C6997" s="23"/>
      <c r="D6997" s="21"/>
    </row>
    <row r="6998" spans="1:4" ht="12.75" customHeight="1" x14ac:dyDescent="0.2">
      <c r="A6998" s="21"/>
      <c r="B6998" s="3" t="s">
        <v>17</v>
      </c>
      <c r="C6998" s="23" t="s">
        <v>19</v>
      </c>
      <c r="D6998" s="21"/>
    </row>
    <row r="6999" spans="1:4" ht="12.75" customHeight="1" x14ac:dyDescent="0.2">
      <c r="A6999" s="21"/>
      <c r="B6999" s="20" t="s">
        <v>18</v>
      </c>
      <c r="C6999" s="8" t="s">
        <v>44</v>
      </c>
      <c r="D6999" s="1" t="str">
        <f>HYPERLINK("javascript:void(0)","hiper manasisak")</f>
        <v>hiper manasisak</v>
      </c>
    </row>
    <row r="7000" spans="1:4" ht="12.75" customHeight="1" x14ac:dyDescent="0.2">
      <c r="A7000" s="21"/>
      <c r="B7000" s="21"/>
      <c r="C7000" s="8" t="s">
        <v>68</v>
      </c>
      <c r="D7000" s="1" t="str">
        <f>HYPERLINK("javascript:void(0)","mechodron")</f>
        <v>mechodron</v>
      </c>
    </row>
    <row r="7001" spans="1:4" ht="12.75" customHeight="1" x14ac:dyDescent="0.2">
      <c r="A7001" s="21"/>
      <c r="B7001" s="21"/>
      <c r="C7001" s="8" t="s">
        <v>382</v>
      </c>
      <c r="D7001" s="1" t="str">
        <f>HYPERLINK("javascript:void(0)","morfige")</f>
        <v>morfige</v>
      </c>
    </row>
    <row r="7002" spans="1:4" ht="12.75" customHeight="1" x14ac:dyDescent="0.2">
      <c r="A7002" s="21"/>
      <c r="B7002" s="2"/>
      <c r="C7002" s="7"/>
      <c r="D7002" s="7"/>
    </row>
    <row r="7003" spans="1:4" ht="12.75" customHeight="1" x14ac:dyDescent="0.2">
      <c r="A7003" s="21"/>
      <c r="B7003" s="2"/>
      <c r="C7003" s="7"/>
      <c r="D7003" s="7"/>
    </row>
    <row r="7004" spans="1:4" ht="12.75" customHeight="1" x14ac:dyDescent="0.2">
      <c r="A7004" s="21"/>
      <c r="B7004" s="2"/>
      <c r="C7004" s="7"/>
      <c r="D7004" s="7"/>
    </row>
    <row r="7005" spans="1:4" ht="12.75" customHeight="1" x14ac:dyDescent="0.2">
      <c r="A7005" s="21"/>
      <c r="B7005" s="2"/>
      <c r="C7005" s="7"/>
      <c r="D7005" s="7"/>
    </row>
    <row r="7006" spans="1:4" ht="12.75" customHeight="1" x14ac:dyDescent="0.2">
      <c r="A7006" s="5"/>
      <c r="B7006" s="2"/>
      <c r="C7006" s="7"/>
      <c r="D7006" s="7"/>
    </row>
    <row r="7007" spans="1:4" ht="12.75" customHeight="1" x14ac:dyDescent="0.2">
      <c r="A7007" s="22" t="str">
        <f>HYPERLINK("javascript:void(0)","kompózium manafejpánt")</f>
        <v>kompózium manafejpánt</v>
      </c>
      <c r="B7007" s="21"/>
      <c r="C7007" s="21"/>
      <c r="D7007" s="21"/>
    </row>
    <row r="7008" spans="1:4" ht="12.75" customHeight="1" x14ac:dyDescent="0.2">
      <c r="A7008" s="20"/>
      <c r="B7008" s="2"/>
      <c r="C7008" s="7"/>
      <c r="D7008" s="7"/>
    </row>
    <row r="7009" spans="1:4" ht="12.75" customHeight="1" x14ac:dyDescent="0.2">
      <c r="A7009" s="21"/>
      <c r="B7009" s="3" t="s">
        <v>0</v>
      </c>
      <c r="C7009" s="23" t="s">
        <v>575</v>
      </c>
      <c r="D7009" s="21"/>
    </row>
    <row r="7010" spans="1:4" ht="12.75" customHeight="1" x14ac:dyDescent="0.2">
      <c r="A7010" s="21"/>
      <c r="B7010" s="3" t="s">
        <v>2</v>
      </c>
      <c r="C7010" s="23"/>
      <c r="D7010" s="21"/>
    </row>
    <row r="7011" spans="1:4" ht="12.75" customHeight="1" x14ac:dyDescent="0.2">
      <c r="A7011" s="21"/>
      <c r="B7011" s="3" t="s">
        <v>1840</v>
      </c>
      <c r="C7011" s="23" t="s">
        <v>298</v>
      </c>
      <c r="D7011" s="21"/>
    </row>
    <row r="7012" spans="1:4" ht="12.75" customHeight="1" x14ac:dyDescent="0.2">
      <c r="A7012" s="21"/>
      <c r="B7012" s="3" t="s">
        <v>9</v>
      </c>
      <c r="C7012" s="23" t="s">
        <v>93</v>
      </c>
      <c r="D7012" s="21"/>
    </row>
    <row r="7013" spans="1:4" ht="12.75" customHeight="1" x14ac:dyDescent="0.2">
      <c r="A7013" s="21"/>
      <c r="B7013" s="3" t="s">
        <v>11</v>
      </c>
      <c r="C7013" s="23" t="s">
        <v>397</v>
      </c>
      <c r="D7013" s="21"/>
    </row>
    <row r="7014" spans="1:4" ht="12.75" customHeight="1" x14ac:dyDescent="0.2">
      <c r="A7014" s="21"/>
      <c r="B7014" s="3" t="s">
        <v>16</v>
      </c>
      <c r="C7014" s="23"/>
      <c r="D7014" s="21"/>
    </row>
    <row r="7015" spans="1:4" ht="12.75" customHeight="1" x14ac:dyDescent="0.2">
      <c r="A7015" s="21"/>
      <c r="B7015" s="3" t="s">
        <v>17</v>
      </c>
      <c r="C7015" s="23" t="s">
        <v>19</v>
      </c>
      <c r="D7015" s="21"/>
    </row>
    <row r="7016" spans="1:4" ht="12.75" customHeight="1" x14ac:dyDescent="0.2">
      <c r="A7016" s="21"/>
      <c r="B7016" s="20" t="s">
        <v>18</v>
      </c>
      <c r="C7016" s="8" t="s">
        <v>44</v>
      </c>
      <c r="D7016" s="1" t="str">
        <f>HYPERLINK("javascript:void(0)","hiper manafejpánt")</f>
        <v>hiper manafejpánt</v>
      </c>
    </row>
    <row r="7017" spans="1:4" ht="12.75" customHeight="1" x14ac:dyDescent="0.2">
      <c r="A7017" s="21"/>
      <c r="B7017" s="21"/>
      <c r="C7017" s="8" t="s">
        <v>68</v>
      </c>
      <c r="D7017" s="1" t="str">
        <f>HYPERLINK("javascript:void(0)","betüvető")</f>
        <v>betüvető</v>
      </c>
    </row>
    <row r="7018" spans="1:4" ht="12.75" customHeight="1" x14ac:dyDescent="0.2">
      <c r="A7018" s="21"/>
      <c r="B7018" s="21"/>
      <c r="C7018" s="8" t="s">
        <v>382</v>
      </c>
      <c r="D7018" s="1" t="str">
        <f>HYPERLINK("javascript:void(0)","hörcsögagyar")</f>
        <v>hörcsögagyar</v>
      </c>
    </row>
    <row r="7019" spans="1:4" ht="12.75" customHeight="1" x14ac:dyDescent="0.2">
      <c r="A7019" s="21"/>
      <c r="B7019" s="2"/>
      <c r="C7019" s="7"/>
      <c r="D7019" s="7"/>
    </row>
    <row r="7020" spans="1:4" ht="12.75" customHeight="1" x14ac:dyDescent="0.2">
      <c r="A7020" s="21"/>
      <c r="B7020" s="2"/>
      <c r="C7020" s="7"/>
      <c r="D7020" s="7"/>
    </row>
    <row r="7021" spans="1:4" ht="12.75" customHeight="1" x14ac:dyDescent="0.2">
      <c r="A7021" s="21"/>
      <c r="B7021" s="2"/>
      <c r="C7021" s="7"/>
      <c r="D7021" s="7"/>
    </row>
    <row r="7022" spans="1:4" ht="12.75" customHeight="1" x14ac:dyDescent="0.2">
      <c r="A7022" s="21"/>
      <c r="B7022" s="2"/>
      <c r="C7022" s="7"/>
      <c r="D7022" s="7"/>
    </row>
    <row r="7023" spans="1:4" ht="12.75" customHeight="1" x14ac:dyDescent="0.2">
      <c r="A7023" s="5"/>
      <c r="B7023" s="2"/>
      <c r="C7023" s="7"/>
      <c r="D7023" s="7"/>
    </row>
    <row r="7024" spans="1:4" ht="12.75" customHeight="1" x14ac:dyDescent="0.2">
      <c r="A7024" s="22" t="str">
        <f>HYPERLINK("javascript:void(0)","parszi mellvért")</f>
        <v>parszi mellvért</v>
      </c>
      <c r="B7024" s="21"/>
      <c r="C7024" s="21"/>
      <c r="D7024" s="21"/>
    </row>
    <row r="7025" spans="1:4" ht="12.75" customHeight="1" x14ac:dyDescent="0.2">
      <c r="A7025" s="20"/>
      <c r="B7025" s="2"/>
      <c r="C7025" s="7"/>
      <c r="D7025" s="7"/>
    </row>
    <row r="7026" spans="1:4" ht="12.75" customHeight="1" x14ac:dyDescent="0.2">
      <c r="A7026" s="21"/>
      <c r="B7026" s="3" t="s">
        <v>0</v>
      </c>
      <c r="C7026" s="23" t="s">
        <v>585</v>
      </c>
      <c r="D7026" s="21"/>
    </row>
    <row r="7027" spans="1:4" ht="12.75" customHeight="1" x14ac:dyDescent="0.2">
      <c r="A7027" s="21"/>
      <c r="B7027" s="3" t="s">
        <v>2</v>
      </c>
      <c r="C7027" s="23" t="s">
        <v>2322</v>
      </c>
      <c r="D7027" s="21"/>
    </row>
    <row r="7028" spans="1:4" ht="12.75" customHeight="1" x14ac:dyDescent="0.2">
      <c r="A7028" s="21"/>
      <c r="B7028" s="3" t="s">
        <v>1840</v>
      </c>
      <c r="C7028" s="23" t="s">
        <v>2418</v>
      </c>
      <c r="D7028" s="21"/>
    </row>
    <row r="7029" spans="1:4" ht="12.75" customHeight="1" x14ac:dyDescent="0.2">
      <c r="A7029" s="21"/>
      <c r="B7029" s="3" t="s">
        <v>9</v>
      </c>
      <c r="C7029" s="23" t="s">
        <v>374</v>
      </c>
      <c r="D7029" s="21"/>
    </row>
    <row r="7030" spans="1:4" ht="12.75" customHeight="1" x14ac:dyDescent="0.2">
      <c r="A7030" s="21"/>
      <c r="B7030" s="3" t="s">
        <v>11</v>
      </c>
      <c r="C7030" s="23" t="s">
        <v>645</v>
      </c>
      <c r="D7030" s="21"/>
    </row>
    <row r="7031" spans="1:4" ht="12.75" customHeight="1" x14ac:dyDescent="0.2">
      <c r="A7031" s="21"/>
      <c r="B7031" s="3" t="s">
        <v>16</v>
      </c>
      <c r="C7031" s="23"/>
      <c r="D7031" s="21"/>
    </row>
    <row r="7032" spans="1:4" ht="12.75" customHeight="1" x14ac:dyDescent="0.2">
      <c r="A7032" s="21"/>
      <c r="B7032" s="3" t="s">
        <v>17</v>
      </c>
      <c r="C7032" s="23" t="s">
        <v>19</v>
      </c>
      <c r="D7032" s="21"/>
    </row>
    <row r="7033" spans="1:4" ht="12.75" customHeight="1" x14ac:dyDescent="0.2">
      <c r="A7033" s="21"/>
      <c r="B7033" s="20" t="s">
        <v>18</v>
      </c>
      <c r="C7033" s="8" t="s">
        <v>44</v>
      </c>
      <c r="D7033" s="1" t="str">
        <f>HYPERLINK("javascript:void(0)","rimföldi mellvért")</f>
        <v>rimföldi mellvért</v>
      </c>
    </row>
    <row r="7034" spans="1:4" ht="12.75" customHeight="1" x14ac:dyDescent="0.2">
      <c r="A7034" s="21"/>
      <c r="B7034" s="21"/>
      <c r="C7034" s="8" t="s">
        <v>68</v>
      </c>
      <c r="D7034" s="1" t="str">
        <f>HYPERLINK("javascript:void(0)","torokgyík")</f>
        <v>torokgyík</v>
      </c>
    </row>
    <row r="7035" spans="1:4" ht="12.75" customHeight="1" x14ac:dyDescent="0.2">
      <c r="A7035" s="21"/>
      <c r="B7035" s="21"/>
      <c r="C7035" s="8" t="s">
        <v>474</v>
      </c>
      <c r="D7035" s="1" t="str">
        <f>HYPERLINK("javascript:void(0)","homokóra")</f>
        <v>homokóra</v>
      </c>
    </row>
    <row r="7036" spans="1:4" ht="12.75" customHeight="1" x14ac:dyDescent="0.2">
      <c r="A7036" s="21"/>
      <c r="B7036" s="2"/>
      <c r="C7036" s="7"/>
      <c r="D7036" s="7"/>
    </row>
    <row r="7037" spans="1:4" ht="12.75" customHeight="1" x14ac:dyDescent="0.2">
      <c r="A7037" s="21"/>
      <c r="B7037" s="2"/>
      <c r="C7037" s="7"/>
      <c r="D7037" s="7"/>
    </row>
    <row r="7038" spans="1:4" ht="12.75" customHeight="1" x14ac:dyDescent="0.2">
      <c r="A7038" s="21"/>
      <c r="B7038" s="2"/>
      <c r="C7038" s="7"/>
      <c r="D7038" s="7"/>
    </row>
    <row r="7039" spans="1:4" ht="12.75" customHeight="1" x14ac:dyDescent="0.2">
      <c r="A7039" s="21"/>
      <c r="B7039" s="2"/>
      <c r="C7039" s="7"/>
      <c r="D7039" s="7"/>
    </row>
    <row r="7040" spans="1:4" ht="12.75" customHeight="1" x14ac:dyDescent="0.2">
      <c r="A7040" s="5"/>
      <c r="B7040" s="2"/>
      <c r="C7040" s="7"/>
      <c r="D7040" s="7"/>
    </row>
    <row r="7041" spans="1:4" ht="12.75" customHeight="1" x14ac:dyDescent="0.2">
      <c r="A7041" s="22" t="str">
        <f>HYPERLINK("javascript:void(0)","fotoacél sisak")</f>
        <v>fotoacél sisak</v>
      </c>
      <c r="B7041" s="21"/>
      <c r="C7041" s="21"/>
      <c r="D7041" s="21"/>
    </row>
    <row r="7042" spans="1:4" ht="12.75" customHeight="1" x14ac:dyDescent="0.2">
      <c r="A7042" s="20"/>
      <c r="B7042" s="2"/>
      <c r="C7042" s="7"/>
      <c r="D7042" s="7"/>
    </row>
    <row r="7043" spans="1:4" ht="12.75" customHeight="1" x14ac:dyDescent="0.2">
      <c r="A7043" s="21"/>
      <c r="B7043" s="3" t="s">
        <v>0</v>
      </c>
      <c r="C7043" s="23" t="s">
        <v>585</v>
      </c>
      <c r="D7043" s="21"/>
    </row>
    <row r="7044" spans="1:4" ht="12.75" customHeight="1" x14ac:dyDescent="0.2">
      <c r="A7044" s="21"/>
      <c r="B7044" s="3" t="s">
        <v>2</v>
      </c>
      <c r="C7044" s="23"/>
      <c r="D7044" s="21"/>
    </row>
    <row r="7045" spans="1:4" ht="12.75" customHeight="1" x14ac:dyDescent="0.2">
      <c r="A7045" s="21"/>
      <c r="B7045" s="3" t="s">
        <v>1840</v>
      </c>
      <c r="C7045" s="23" t="s">
        <v>345</v>
      </c>
      <c r="D7045" s="21"/>
    </row>
    <row r="7046" spans="1:4" ht="12.75" customHeight="1" x14ac:dyDescent="0.2">
      <c r="A7046" s="21"/>
      <c r="B7046" s="3" t="s">
        <v>9</v>
      </c>
      <c r="C7046" s="23" t="s">
        <v>210</v>
      </c>
      <c r="D7046" s="21"/>
    </row>
    <row r="7047" spans="1:4" ht="12.75" customHeight="1" x14ac:dyDescent="0.2">
      <c r="A7047" s="21"/>
      <c r="B7047" s="3" t="s">
        <v>11</v>
      </c>
      <c r="C7047" s="23" t="s">
        <v>645</v>
      </c>
      <c r="D7047" s="21"/>
    </row>
    <row r="7048" spans="1:4" ht="12.75" customHeight="1" x14ac:dyDescent="0.2">
      <c r="A7048" s="21"/>
      <c r="B7048" s="3" t="s">
        <v>16</v>
      </c>
      <c r="C7048" s="23"/>
      <c r="D7048" s="21"/>
    </row>
    <row r="7049" spans="1:4" ht="12.75" customHeight="1" x14ac:dyDescent="0.2">
      <c r="A7049" s="21"/>
      <c r="B7049" s="3" t="s">
        <v>17</v>
      </c>
      <c r="C7049" s="23" t="s">
        <v>19</v>
      </c>
      <c r="D7049" s="21"/>
    </row>
    <row r="7050" spans="1:4" ht="12.75" customHeight="1" x14ac:dyDescent="0.2">
      <c r="A7050" s="21"/>
      <c r="B7050" s="20" t="s">
        <v>18</v>
      </c>
      <c r="C7050" s="8" t="s">
        <v>44</v>
      </c>
      <c r="D7050" s="1" t="str">
        <f>HYPERLINK("javascript:void(0)","rémagancs")</f>
        <v>rémagancs</v>
      </c>
    </row>
    <row r="7051" spans="1:4" ht="12.75" customHeight="1" x14ac:dyDescent="0.2">
      <c r="A7051" s="21"/>
      <c r="B7051" s="21"/>
      <c r="C7051" s="8" t="s">
        <v>44</v>
      </c>
      <c r="D7051" s="1" t="str">
        <f>HYPERLINK("javascript:void(0)","mechano fejpánt")</f>
        <v>mechano fejpánt</v>
      </c>
    </row>
    <row r="7052" spans="1:4" ht="12.75" customHeight="1" x14ac:dyDescent="0.2">
      <c r="A7052" s="21"/>
      <c r="B7052" s="21"/>
      <c r="C7052" s="8" t="s">
        <v>44</v>
      </c>
      <c r="D7052" s="1" t="str">
        <f>HYPERLINK("javascript:void(0)","fotoacél rostély")</f>
        <v>fotoacél rostély</v>
      </c>
    </row>
    <row r="7053" spans="1:4" ht="12.75" customHeight="1" x14ac:dyDescent="0.2">
      <c r="A7053" s="21"/>
      <c r="B7053" s="2"/>
      <c r="C7053" s="7"/>
      <c r="D7053" s="7"/>
    </row>
    <row r="7054" spans="1:4" ht="12.75" customHeight="1" x14ac:dyDescent="0.2">
      <c r="A7054" s="21"/>
      <c r="B7054" s="2"/>
      <c r="C7054" s="7"/>
      <c r="D7054" s="7"/>
    </row>
    <row r="7055" spans="1:4" ht="12.75" customHeight="1" x14ac:dyDescent="0.2">
      <c r="A7055" s="21"/>
      <c r="B7055" s="2"/>
      <c r="C7055" s="7"/>
      <c r="D7055" s="7"/>
    </row>
    <row r="7056" spans="1:4" ht="12.75" customHeight="1" x14ac:dyDescent="0.2">
      <c r="A7056" s="21"/>
      <c r="B7056" s="2"/>
      <c r="C7056" s="7"/>
      <c r="D7056" s="7"/>
    </row>
    <row r="7057" spans="1:4" ht="12.75" customHeight="1" x14ac:dyDescent="0.2">
      <c r="A7057" s="5"/>
      <c r="B7057" s="2"/>
      <c r="C7057" s="7"/>
      <c r="D7057" s="7"/>
    </row>
    <row r="7058" spans="1:4" ht="12.75" customHeight="1" x14ac:dyDescent="0.2">
      <c r="A7058" s="22" t="str">
        <f>HYPERLINK("javascript:void(0)","kompózium saru")</f>
        <v>kompózium saru</v>
      </c>
      <c r="B7058" s="21"/>
      <c r="C7058" s="21"/>
      <c r="D7058" s="21"/>
    </row>
    <row r="7059" spans="1:4" ht="12.75" customHeight="1" x14ac:dyDescent="0.2">
      <c r="A7059" s="20"/>
      <c r="B7059" s="2"/>
      <c r="C7059" s="7"/>
      <c r="D7059" s="7"/>
    </row>
    <row r="7060" spans="1:4" ht="12.75" customHeight="1" x14ac:dyDescent="0.2">
      <c r="A7060" s="21"/>
      <c r="B7060" s="3" t="s">
        <v>0</v>
      </c>
      <c r="C7060" s="23" t="s">
        <v>585</v>
      </c>
      <c r="D7060" s="21"/>
    </row>
    <row r="7061" spans="1:4" ht="12.75" customHeight="1" x14ac:dyDescent="0.2">
      <c r="A7061" s="21"/>
      <c r="B7061" s="3" t="s">
        <v>2</v>
      </c>
      <c r="C7061" s="23"/>
      <c r="D7061" s="21"/>
    </row>
    <row r="7062" spans="1:4" ht="12.75" customHeight="1" x14ac:dyDescent="0.2">
      <c r="A7062" s="21"/>
      <c r="B7062" s="3" t="s">
        <v>1840</v>
      </c>
      <c r="C7062" s="23" t="s">
        <v>1207</v>
      </c>
      <c r="D7062" s="21"/>
    </row>
    <row r="7063" spans="1:4" ht="12.75" customHeight="1" x14ac:dyDescent="0.2">
      <c r="A7063" s="21"/>
      <c r="B7063" s="3" t="s">
        <v>9</v>
      </c>
      <c r="C7063" s="23" t="s">
        <v>959</v>
      </c>
      <c r="D7063" s="21"/>
    </row>
    <row r="7064" spans="1:4" ht="12.75" customHeight="1" x14ac:dyDescent="0.2">
      <c r="A7064" s="21"/>
      <c r="B7064" s="3" t="s">
        <v>11</v>
      </c>
      <c r="C7064" s="23" t="s">
        <v>674</v>
      </c>
      <c r="D7064" s="21"/>
    </row>
    <row r="7065" spans="1:4" ht="12.75" customHeight="1" x14ac:dyDescent="0.2">
      <c r="A7065" s="21"/>
      <c r="B7065" s="3" t="s">
        <v>16</v>
      </c>
      <c r="C7065" s="23"/>
      <c r="D7065" s="21"/>
    </row>
    <row r="7066" spans="1:4" ht="12.75" customHeight="1" x14ac:dyDescent="0.2">
      <c r="A7066" s="21"/>
      <c r="B7066" s="3" t="s">
        <v>17</v>
      </c>
      <c r="C7066" s="23" t="s">
        <v>19</v>
      </c>
      <c r="D7066" s="21"/>
    </row>
    <row r="7067" spans="1:4" ht="12.75" customHeight="1" x14ac:dyDescent="0.2">
      <c r="A7067" s="21"/>
      <c r="B7067" s="20" t="s">
        <v>18</v>
      </c>
      <c r="C7067" s="8" t="s">
        <v>68</v>
      </c>
      <c r="D7067" s="1" t="str">
        <f>HYPERLINK("javascript:void(0)","kompózium")</f>
        <v>kompózium</v>
      </c>
    </row>
    <row r="7068" spans="1:4" ht="12.75" customHeight="1" x14ac:dyDescent="0.2">
      <c r="A7068" s="21"/>
      <c r="B7068" s="21"/>
      <c r="C7068" s="8" t="s">
        <v>77</v>
      </c>
      <c r="D7068" s="1" t="str">
        <f>HYPERLINK("javascript:void(0)","mágnes")</f>
        <v>mágnes</v>
      </c>
    </row>
    <row r="7069" spans="1:4" ht="12.75" customHeight="1" x14ac:dyDescent="0.2">
      <c r="A7069" s="21"/>
      <c r="B7069" s="21"/>
      <c r="C7069" s="8" t="s">
        <v>193</v>
      </c>
      <c r="D7069" s="1" t="str">
        <f>HYPERLINK("javascript:void(0)","hörcsögagyar")</f>
        <v>hörcsögagyar</v>
      </c>
    </row>
    <row r="7070" spans="1:4" ht="12.75" customHeight="1" x14ac:dyDescent="0.2">
      <c r="A7070" s="21"/>
      <c r="B7070" s="2"/>
      <c r="C7070" s="7"/>
      <c r="D7070" s="7"/>
    </row>
    <row r="7071" spans="1:4" ht="12.75" customHeight="1" x14ac:dyDescent="0.2">
      <c r="A7071" s="21"/>
      <c r="B7071" s="2"/>
      <c r="C7071" s="7"/>
      <c r="D7071" s="7"/>
    </row>
    <row r="7072" spans="1:4" ht="12.75" customHeight="1" x14ac:dyDescent="0.2">
      <c r="A7072" s="21"/>
      <c r="B7072" s="2"/>
      <c r="C7072" s="7"/>
      <c r="D7072" s="7"/>
    </row>
    <row r="7073" spans="1:4" ht="12.75" customHeight="1" x14ac:dyDescent="0.2">
      <c r="A7073" s="21"/>
      <c r="B7073" s="2"/>
      <c r="C7073" s="7"/>
      <c r="D7073" s="7"/>
    </row>
    <row r="7074" spans="1:4" ht="12.75" customHeight="1" x14ac:dyDescent="0.2">
      <c r="A7074" s="5"/>
      <c r="B7074" s="2"/>
      <c r="C7074" s="7"/>
      <c r="D7074" s="7"/>
    </row>
    <row r="7075" spans="1:4" ht="12.75" customHeight="1" x14ac:dyDescent="0.2">
      <c r="A7075" s="22" t="str">
        <f>HYPERLINK("javascript:void(0)","mechano testpajzs")</f>
        <v>mechano testpajzs</v>
      </c>
      <c r="B7075" s="21"/>
      <c r="C7075" s="21"/>
      <c r="D7075" s="21"/>
    </row>
    <row r="7076" spans="1:4" ht="12.75" customHeight="1" x14ac:dyDescent="0.2">
      <c r="A7076" s="20"/>
      <c r="B7076" s="2"/>
      <c r="C7076" s="7"/>
      <c r="D7076" s="7"/>
    </row>
    <row r="7077" spans="1:4" ht="12.75" customHeight="1" x14ac:dyDescent="0.2">
      <c r="A7077" s="21"/>
      <c r="B7077" s="3" t="s">
        <v>0</v>
      </c>
      <c r="C7077" s="23" t="s">
        <v>585</v>
      </c>
      <c r="D7077" s="21"/>
    </row>
    <row r="7078" spans="1:4" ht="12.75" customHeight="1" x14ac:dyDescent="0.2">
      <c r="A7078" s="21"/>
      <c r="B7078" s="3" t="s">
        <v>2</v>
      </c>
      <c r="C7078" s="23" t="s">
        <v>1839</v>
      </c>
      <c r="D7078" s="21"/>
    </row>
    <row r="7079" spans="1:4" ht="12.75" customHeight="1" x14ac:dyDescent="0.2">
      <c r="A7079" s="21"/>
      <c r="B7079" s="3" t="s">
        <v>1840</v>
      </c>
      <c r="C7079" s="23" t="s">
        <v>256</v>
      </c>
      <c r="D7079" s="21"/>
    </row>
    <row r="7080" spans="1:4" ht="12.75" customHeight="1" x14ac:dyDescent="0.2">
      <c r="A7080" s="21"/>
      <c r="B7080" s="3" t="s">
        <v>9</v>
      </c>
      <c r="C7080" s="23" t="s">
        <v>262</v>
      </c>
      <c r="D7080" s="21"/>
    </row>
    <row r="7081" spans="1:4" ht="12.75" customHeight="1" x14ac:dyDescent="0.2">
      <c r="A7081" s="21"/>
      <c r="B7081" s="3" t="s">
        <v>11</v>
      </c>
      <c r="C7081" s="23" t="s">
        <v>770</v>
      </c>
      <c r="D7081" s="21"/>
    </row>
    <row r="7082" spans="1:4" ht="12.75" customHeight="1" x14ac:dyDescent="0.2">
      <c r="A7082" s="21"/>
      <c r="B7082" s="3" t="s">
        <v>16</v>
      </c>
      <c r="C7082" s="23"/>
      <c r="D7082" s="21"/>
    </row>
    <row r="7083" spans="1:4" ht="12.75" customHeight="1" x14ac:dyDescent="0.2">
      <c r="A7083" s="21"/>
      <c r="B7083" s="3" t="s">
        <v>17</v>
      </c>
      <c r="C7083" s="23" t="s">
        <v>19</v>
      </c>
      <c r="D7083" s="21"/>
    </row>
    <row r="7084" spans="1:4" ht="12.75" customHeight="1" x14ac:dyDescent="0.2">
      <c r="A7084" s="21"/>
      <c r="B7084" s="20" t="s">
        <v>18</v>
      </c>
      <c r="C7084" s="8" t="s">
        <v>44</v>
      </c>
      <c r="D7084" s="1" t="str">
        <f>HYPERLINK("javascript:void(0)","uszony testpajzs")</f>
        <v>uszony testpajzs</v>
      </c>
    </row>
    <row r="7085" spans="1:4" ht="12.75" customHeight="1" x14ac:dyDescent="0.2">
      <c r="A7085" s="21"/>
      <c r="B7085" s="21"/>
      <c r="C7085" s="8" t="s">
        <v>67</v>
      </c>
      <c r="D7085" s="1" t="str">
        <f>HYPERLINK("javascript:void(0)","betüvető")</f>
        <v>betüvető</v>
      </c>
    </row>
    <row r="7086" spans="1:4" ht="12.75" customHeight="1" x14ac:dyDescent="0.2">
      <c r="A7086" s="21"/>
      <c r="B7086" s="21"/>
      <c r="C7086" s="8" t="s">
        <v>67</v>
      </c>
      <c r="D7086" s="1" t="str">
        <f>HYPERLINK("javascript:void(0)","trolltartó")</f>
        <v>trolltartó</v>
      </c>
    </row>
    <row r="7087" spans="1:4" ht="12.75" customHeight="1" x14ac:dyDescent="0.2">
      <c r="A7087" s="21"/>
      <c r="B7087" s="2"/>
      <c r="C7087" s="7"/>
      <c r="D7087" s="7"/>
    </row>
    <row r="7088" spans="1:4" ht="12.75" customHeight="1" x14ac:dyDescent="0.2">
      <c r="A7088" s="21"/>
      <c r="B7088" s="2"/>
      <c r="C7088" s="7"/>
      <c r="D7088" s="7"/>
    </row>
    <row r="7089" spans="1:4" ht="12.75" customHeight="1" x14ac:dyDescent="0.2">
      <c r="A7089" s="21"/>
      <c r="B7089" s="2"/>
      <c r="C7089" s="7"/>
      <c r="D7089" s="7"/>
    </row>
    <row r="7090" spans="1:4" ht="12.75" customHeight="1" x14ac:dyDescent="0.2">
      <c r="A7090" s="21"/>
      <c r="B7090" s="2"/>
      <c r="C7090" s="7"/>
      <c r="D7090" s="7"/>
    </row>
    <row r="7091" spans="1:4" ht="12.75" customHeight="1" x14ac:dyDescent="0.2">
      <c r="A7091" s="5"/>
      <c r="B7091" s="2"/>
      <c r="C7091" s="7"/>
      <c r="D7091" s="7"/>
    </row>
    <row r="7092" spans="1:4" ht="12.75" customHeight="1" x14ac:dyDescent="0.2">
      <c r="A7092" s="22" t="str">
        <f>HYPERLINK("javascript:void(0)","hidracél illanat")</f>
        <v>hidracél illanat</v>
      </c>
      <c r="B7092" s="21"/>
      <c r="C7092" s="21"/>
      <c r="D7092" s="21"/>
    </row>
    <row r="7093" spans="1:4" ht="12.75" customHeight="1" x14ac:dyDescent="0.2">
      <c r="A7093" s="20"/>
      <c r="B7093" s="2"/>
      <c r="C7093" s="7"/>
      <c r="D7093" s="7"/>
    </row>
    <row r="7094" spans="1:4" ht="12.75" customHeight="1" x14ac:dyDescent="0.2">
      <c r="A7094" s="21"/>
      <c r="B7094" s="3" t="s">
        <v>0</v>
      </c>
      <c r="C7094" s="23" t="s">
        <v>585</v>
      </c>
      <c r="D7094" s="21"/>
    </row>
    <row r="7095" spans="1:4" ht="12.75" customHeight="1" x14ac:dyDescent="0.2">
      <c r="A7095" s="21"/>
      <c r="B7095" s="3" t="s">
        <v>2</v>
      </c>
      <c r="C7095" s="23" t="s">
        <v>1839</v>
      </c>
      <c r="D7095" s="21"/>
    </row>
    <row r="7096" spans="1:4" ht="12.75" customHeight="1" x14ac:dyDescent="0.2">
      <c r="A7096" s="21"/>
      <c r="B7096" s="3" t="s">
        <v>1840</v>
      </c>
      <c r="C7096" s="23" t="s">
        <v>256</v>
      </c>
      <c r="D7096" s="21"/>
    </row>
    <row r="7097" spans="1:4" ht="12.75" customHeight="1" x14ac:dyDescent="0.2">
      <c r="A7097" s="21"/>
      <c r="B7097" s="3" t="s">
        <v>9</v>
      </c>
      <c r="C7097" s="23" t="s">
        <v>1034</v>
      </c>
      <c r="D7097" s="21"/>
    </row>
    <row r="7098" spans="1:4" ht="12.75" customHeight="1" x14ac:dyDescent="0.2">
      <c r="A7098" s="21"/>
      <c r="B7098" s="3" t="s">
        <v>11</v>
      </c>
      <c r="C7098" s="23" t="s">
        <v>793</v>
      </c>
      <c r="D7098" s="21"/>
    </row>
    <row r="7099" spans="1:4" ht="12.75" customHeight="1" x14ac:dyDescent="0.2">
      <c r="A7099" s="21"/>
      <c r="B7099" s="3" t="s">
        <v>16</v>
      </c>
      <c r="C7099" s="23"/>
      <c r="D7099" s="21"/>
    </row>
    <row r="7100" spans="1:4" ht="12.75" customHeight="1" x14ac:dyDescent="0.2">
      <c r="A7100" s="21"/>
      <c r="B7100" s="3" t="s">
        <v>17</v>
      </c>
      <c r="C7100" s="23" t="s">
        <v>19</v>
      </c>
      <c r="D7100" s="21"/>
    </row>
    <row r="7101" spans="1:4" ht="12.75" customHeight="1" x14ac:dyDescent="0.2">
      <c r="A7101" s="21"/>
      <c r="B7101" s="20" t="s">
        <v>18</v>
      </c>
      <c r="C7101" s="8" t="s">
        <v>44</v>
      </c>
      <c r="D7101" s="1" t="str">
        <f>HYPERLINK("javascript:void(0)","mechano testpajzs")</f>
        <v>mechano testpajzs</v>
      </c>
    </row>
    <row r="7102" spans="1:4" ht="12.75" customHeight="1" x14ac:dyDescent="0.2">
      <c r="A7102" s="21"/>
      <c r="B7102" s="21"/>
      <c r="C7102" s="8" t="s">
        <v>139</v>
      </c>
      <c r="D7102" s="1" t="str">
        <f>HYPERLINK("javascript:void(0)","szén-hidragén")</f>
        <v>szén-hidragén</v>
      </c>
    </row>
    <row r="7103" spans="1:4" ht="12.75" customHeight="1" x14ac:dyDescent="0.2">
      <c r="A7103" s="21"/>
      <c r="B7103" s="21"/>
      <c r="C7103" s="8" t="s">
        <v>117</v>
      </c>
      <c r="D7103" s="1" t="str">
        <f>HYPERLINK("javascript:void(0)","mágnes")</f>
        <v>mágnes</v>
      </c>
    </row>
    <row r="7104" spans="1:4" ht="12.75" customHeight="1" x14ac:dyDescent="0.2">
      <c r="A7104" s="21"/>
      <c r="B7104" s="2"/>
      <c r="C7104" s="7"/>
      <c r="D7104" s="7"/>
    </row>
    <row r="7105" spans="1:4" ht="12.75" customHeight="1" x14ac:dyDescent="0.2">
      <c r="A7105" s="21"/>
      <c r="B7105" s="2"/>
      <c r="C7105" s="7"/>
      <c r="D7105" s="7"/>
    </row>
    <row r="7106" spans="1:4" ht="12.75" customHeight="1" x14ac:dyDescent="0.2">
      <c r="A7106" s="21"/>
      <c r="B7106" s="2"/>
      <c r="C7106" s="7"/>
      <c r="D7106" s="7"/>
    </row>
    <row r="7107" spans="1:4" ht="12.75" customHeight="1" x14ac:dyDescent="0.2">
      <c r="A7107" s="21"/>
      <c r="B7107" s="2"/>
      <c r="C7107" s="7"/>
      <c r="D7107" s="7"/>
    </row>
    <row r="7108" spans="1:4" ht="12.75" customHeight="1" x14ac:dyDescent="0.2">
      <c r="A7108" s="5"/>
      <c r="B7108" s="2"/>
      <c r="C7108" s="7"/>
      <c r="D7108" s="7"/>
    </row>
    <row r="7109" spans="1:4" ht="12.75" customHeight="1" x14ac:dyDescent="0.2">
      <c r="A7109" s="22" t="str">
        <f>HYPERLINK("javascript:void(0)","fotoacél rostély")</f>
        <v>fotoacél rostély</v>
      </c>
      <c r="B7109" s="21"/>
      <c r="C7109" s="21"/>
      <c r="D7109" s="21"/>
    </row>
    <row r="7110" spans="1:4" ht="12.75" customHeight="1" x14ac:dyDescent="0.2">
      <c r="A7110" s="20"/>
      <c r="B7110" s="2"/>
      <c r="C7110" s="7"/>
      <c r="D7110" s="7"/>
    </row>
    <row r="7111" spans="1:4" ht="12.75" customHeight="1" x14ac:dyDescent="0.2">
      <c r="A7111" s="21"/>
      <c r="B7111" s="3" t="s">
        <v>0</v>
      </c>
      <c r="C7111" s="23" t="s">
        <v>585</v>
      </c>
      <c r="D7111" s="21"/>
    </row>
    <row r="7112" spans="1:4" ht="12.75" customHeight="1" x14ac:dyDescent="0.2">
      <c r="A7112" s="21"/>
      <c r="B7112" s="3" t="s">
        <v>2</v>
      </c>
      <c r="C7112" s="23"/>
      <c r="D7112" s="21"/>
    </row>
    <row r="7113" spans="1:4" ht="12.75" customHeight="1" x14ac:dyDescent="0.2">
      <c r="A7113" s="21"/>
      <c r="B7113" s="3" t="s">
        <v>1840</v>
      </c>
      <c r="C7113" s="23" t="s">
        <v>324</v>
      </c>
      <c r="D7113" s="21"/>
    </row>
    <row r="7114" spans="1:4" ht="12.75" customHeight="1" x14ac:dyDescent="0.2">
      <c r="A7114" s="21"/>
      <c r="B7114" s="3" t="s">
        <v>9</v>
      </c>
      <c r="C7114" s="23" t="s">
        <v>30</v>
      </c>
      <c r="D7114" s="21"/>
    </row>
    <row r="7115" spans="1:4" ht="12.75" customHeight="1" x14ac:dyDescent="0.2">
      <c r="A7115" s="21"/>
      <c r="B7115" s="3" t="s">
        <v>11</v>
      </c>
      <c r="C7115" s="23" t="s">
        <v>368</v>
      </c>
      <c r="D7115" s="21"/>
    </row>
    <row r="7116" spans="1:4" ht="12.75" customHeight="1" x14ac:dyDescent="0.2">
      <c r="A7116" s="21"/>
      <c r="B7116" s="3" t="s">
        <v>16</v>
      </c>
      <c r="C7116" s="23"/>
      <c r="D7116" s="21"/>
    </row>
    <row r="7117" spans="1:4" ht="12.75" customHeight="1" x14ac:dyDescent="0.2">
      <c r="A7117" s="21"/>
      <c r="B7117" s="3" t="s">
        <v>17</v>
      </c>
      <c r="C7117" s="23" t="s">
        <v>19</v>
      </c>
      <c r="D7117" s="21"/>
    </row>
    <row r="7118" spans="1:4" ht="12.75" customHeight="1" x14ac:dyDescent="0.2">
      <c r="A7118" s="21"/>
      <c r="B7118" s="20" t="s">
        <v>18</v>
      </c>
      <c r="C7118" s="8" t="s">
        <v>280</v>
      </c>
      <c r="D7118" s="1" t="str">
        <f>HYPERLINK("javascript:void(0)","fotogén")</f>
        <v>fotogén</v>
      </c>
    </row>
    <row r="7119" spans="1:4" ht="12.75" customHeight="1" x14ac:dyDescent="0.2">
      <c r="A7119" s="21"/>
      <c r="B7119" s="21"/>
      <c r="C7119" s="8" t="s">
        <v>67</v>
      </c>
      <c r="D7119" s="1" t="str">
        <f>HYPERLINK("javascript:void(0)","imázs")</f>
        <v>imázs</v>
      </c>
    </row>
    <row r="7120" spans="1:4" ht="12.75" customHeight="1" x14ac:dyDescent="0.2">
      <c r="A7120" s="21"/>
      <c r="B7120" s="21"/>
      <c r="C7120" s="8" t="s">
        <v>77</v>
      </c>
      <c r="D7120" s="1" t="str">
        <f>HYPERLINK("javascript:void(0)","mágnes")</f>
        <v>mágnes</v>
      </c>
    </row>
    <row r="7121" spans="1:4" ht="12.75" customHeight="1" x14ac:dyDescent="0.2">
      <c r="A7121" s="21"/>
      <c r="B7121" s="2"/>
      <c r="C7121" s="7"/>
      <c r="D7121" s="7"/>
    </row>
    <row r="7122" spans="1:4" ht="12.75" customHeight="1" x14ac:dyDescent="0.2">
      <c r="A7122" s="21"/>
      <c r="B7122" s="2"/>
      <c r="C7122" s="7"/>
      <c r="D7122" s="7"/>
    </row>
    <row r="7123" spans="1:4" ht="12.75" customHeight="1" x14ac:dyDescent="0.2">
      <c r="A7123" s="21"/>
      <c r="B7123" s="2"/>
      <c r="C7123" s="7"/>
      <c r="D7123" s="7"/>
    </row>
    <row r="7124" spans="1:4" ht="12.75" customHeight="1" x14ac:dyDescent="0.2">
      <c r="A7124" s="21"/>
      <c r="B7124" s="2"/>
      <c r="C7124" s="7"/>
      <c r="D7124" s="7"/>
    </row>
    <row r="7125" spans="1:4" ht="12.75" customHeight="1" x14ac:dyDescent="0.2">
      <c r="A7125" s="5"/>
      <c r="B7125" s="2"/>
      <c r="C7125" s="7"/>
      <c r="D7125" s="7"/>
    </row>
    <row r="7126" spans="1:4" ht="12.75" customHeight="1" x14ac:dyDescent="0.2">
      <c r="A7126" s="22" t="str">
        <f>HYPERLINK("javascript:void(0)","hiper antigrav csizma")</f>
        <v>hiper antigrav csizma</v>
      </c>
      <c r="B7126" s="21"/>
      <c r="C7126" s="21"/>
      <c r="D7126" s="21"/>
    </row>
    <row r="7127" spans="1:4" ht="12.75" customHeight="1" x14ac:dyDescent="0.2">
      <c r="A7127" s="20"/>
      <c r="B7127" s="2"/>
      <c r="C7127" s="7"/>
      <c r="D7127" s="7"/>
    </row>
    <row r="7128" spans="1:4" ht="12.75" customHeight="1" x14ac:dyDescent="0.2">
      <c r="A7128" s="21"/>
      <c r="B7128" s="3" t="s">
        <v>0</v>
      </c>
      <c r="C7128" s="23" t="s">
        <v>585</v>
      </c>
      <c r="D7128" s="21"/>
    </row>
    <row r="7129" spans="1:4" ht="12.75" customHeight="1" x14ac:dyDescent="0.2">
      <c r="A7129" s="21"/>
      <c r="B7129" s="3" t="s">
        <v>2</v>
      </c>
      <c r="C7129" s="23"/>
      <c r="D7129" s="21"/>
    </row>
    <row r="7130" spans="1:4" ht="12.75" customHeight="1" x14ac:dyDescent="0.2">
      <c r="A7130" s="21"/>
      <c r="B7130" s="3" t="s">
        <v>1840</v>
      </c>
      <c r="C7130" s="23" t="s">
        <v>99</v>
      </c>
      <c r="D7130" s="21"/>
    </row>
    <row r="7131" spans="1:4" ht="12.75" customHeight="1" x14ac:dyDescent="0.2">
      <c r="A7131" s="21"/>
      <c r="B7131" s="3" t="s">
        <v>9</v>
      </c>
      <c r="C7131" s="23" t="s">
        <v>626</v>
      </c>
      <c r="D7131" s="21"/>
    </row>
    <row r="7132" spans="1:4" ht="12.75" customHeight="1" x14ac:dyDescent="0.2">
      <c r="A7132" s="21"/>
      <c r="B7132" s="3" t="s">
        <v>11</v>
      </c>
      <c r="C7132" s="23" t="s">
        <v>23</v>
      </c>
      <c r="D7132" s="21"/>
    </row>
    <row r="7133" spans="1:4" ht="12.75" customHeight="1" x14ac:dyDescent="0.2">
      <c r="A7133" s="21"/>
      <c r="B7133" s="3" t="s">
        <v>16</v>
      </c>
      <c r="C7133" s="23"/>
      <c r="D7133" s="21"/>
    </row>
    <row r="7134" spans="1:4" ht="12.75" customHeight="1" x14ac:dyDescent="0.2">
      <c r="A7134" s="21"/>
      <c r="B7134" s="3" t="s">
        <v>17</v>
      </c>
      <c r="C7134" s="23" t="s">
        <v>19</v>
      </c>
      <c r="D7134" s="21"/>
    </row>
    <row r="7135" spans="1:4" ht="25.5" customHeight="1" x14ac:dyDescent="0.2">
      <c r="A7135" s="21"/>
      <c r="B7135" s="20" t="s">
        <v>18</v>
      </c>
      <c r="C7135" s="8" t="s">
        <v>44</v>
      </c>
      <c r="D7135" s="1" t="str">
        <f>HYPERLINK("javascript:void(0)","centro antigrav csizma")</f>
        <v>centro antigrav csizma</v>
      </c>
    </row>
    <row r="7136" spans="1:4" ht="12.75" customHeight="1" x14ac:dyDescent="0.2">
      <c r="A7136" s="21"/>
      <c r="B7136" s="21"/>
      <c r="C7136" s="8" t="s">
        <v>139</v>
      </c>
      <c r="D7136" s="1" t="str">
        <f>HYPERLINK("javascript:void(0)","torokgyík")</f>
        <v>torokgyík</v>
      </c>
    </row>
    <row r="7137" spans="1:4" ht="12.75" customHeight="1" x14ac:dyDescent="0.2">
      <c r="A7137" s="21"/>
      <c r="B7137" s="21"/>
      <c r="C7137" s="8" t="s">
        <v>323</v>
      </c>
      <c r="D7137" s="1" t="str">
        <f>HYPERLINK("javascript:void(0)","hiperium")</f>
        <v>hiperium</v>
      </c>
    </row>
    <row r="7138" spans="1:4" ht="12.75" customHeight="1" x14ac:dyDescent="0.2">
      <c r="A7138" s="21"/>
      <c r="B7138" s="2"/>
      <c r="C7138" s="7"/>
      <c r="D7138" s="7"/>
    </row>
    <row r="7139" spans="1:4" ht="12.75" customHeight="1" x14ac:dyDescent="0.2">
      <c r="A7139" s="21"/>
      <c r="B7139" s="2"/>
      <c r="C7139" s="7"/>
      <c r="D7139" s="7"/>
    </row>
    <row r="7140" spans="1:4" ht="12.75" customHeight="1" x14ac:dyDescent="0.2">
      <c r="A7140" s="21"/>
      <c r="B7140" s="2"/>
      <c r="C7140" s="7"/>
      <c r="D7140" s="7"/>
    </row>
    <row r="7141" spans="1:4" ht="12.75" customHeight="1" x14ac:dyDescent="0.2">
      <c r="A7141" s="21"/>
      <c r="B7141" s="2"/>
      <c r="C7141" s="7"/>
      <c r="D7141" s="7"/>
    </row>
    <row r="7142" spans="1:4" ht="12.75" customHeight="1" x14ac:dyDescent="0.2">
      <c r="A7142" s="5"/>
      <c r="B7142" s="2"/>
      <c r="C7142" s="7"/>
      <c r="D7142" s="7"/>
    </row>
    <row r="7143" spans="1:4" ht="12.75" customHeight="1" x14ac:dyDescent="0.2">
      <c r="A7143" s="22" t="str">
        <f>HYPERLINK("javascript:void(0)","wendír mellvért")</f>
        <v>wendír mellvért</v>
      </c>
      <c r="B7143" s="21"/>
      <c r="C7143" s="21"/>
      <c r="D7143" s="21"/>
    </row>
    <row r="7144" spans="1:4" ht="12.75" customHeight="1" x14ac:dyDescent="0.2">
      <c r="A7144" s="20"/>
      <c r="B7144" s="2"/>
      <c r="C7144" s="7"/>
      <c r="D7144" s="7"/>
    </row>
    <row r="7145" spans="1:4" ht="12.75" customHeight="1" x14ac:dyDescent="0.2">
      <c r="A7145" s="21"/>
      <c r="B7145" s="3" t="s">
        <v>0</v>
      </c>
      <c r="C7145" s="23" t="s">
        <v>151</v>
      </c>
      <c r="D7145" s="21"/>
    </row>
    <row r="7146" spans="1:4" ht="12.75" customHeight="1" x14ac:dyDescent="0.2">
      <c r="A7146" s="21"/>
      <c r="B7146" s="3" t="s">
        <v>2</v>
      </c>
      <c r="C7146" s="23" t="s">
        <v>2322</v>
      </c>
      <c r="D7146" s="21"/>
    </row>
    <row r="7147" spans="1:4" ht="12.75" customHeight="1" x14ac:dyDescent="0.2">
      <c r="A7147" s="21"/>
      <c r="B7147" s="3" t="s">
        <v>1840</v>
      </c>
      <c r="C7147" s="23" t="s">
        <v>2420</v>
      </c>
      <c r="D7147" s="21"/>
    </row>
    <row r="7148" spans="1:4" ht="12.75" customHeight="1" x14ac:dyDescent="0.2">
      <c r="A7148" s="21"/>
      <c r="B7148" s="3" t="s">
        <v>9</v>
      </c>
      <c r="C7148" s="23" t="s">
        <v>124</v>
      </c>
      <c r="D7148" s="21"/>
    </row>
    <row r="7149" spans="1:4" ht="12.75" customHeight="1" x14ac:dyDescent="0.2">
      <c r="A7149" s="21"/>
      <c r="B7149" s="3" t="s">
        <v>11</v>
      </c>
      <c r="C7149" s="23" t="s">
        <v>660</v>
      </c>
      <c r="D7149" s="21"/>
    </row>
    <row r="7150" spans="1:4" ht="12.75" customHeight="1" x14ac:dyDescent="0.2">
      <c r="A7150" s="21"/>
      <c r="B7150" s="3" t="s">
        <v>16</v>
      </c>
      <c r="C7150" s="23"/>
      <c r="D7150" s="21"/>
    </row>
    <row r="7151" spans="1:4" ht="12.75" customHeight="1" x14ac:dyDescent="0.2">
      <c r="A7151" s="21"/>
      <c r="B7151" s="3" t="s">
        <v>17</v>
      </c>
      <c r="C7151" s="23" t="s">
        <v>19</v>
      </c>
      <c r="D7151" s="21"/>
    </row>
    <row r="7152" spans="1:4" ht="12.75" customHeight="1" x14ac:dyDescent="0.2">
      <c r="A7152" s="21"/>
      <c r="B7152" s="20" t="s">
        <v>18</v>
      </c>
      <c r="C7152" s="8" t="s">
        <v>68</v>
      </c>
      <c r="D7152" s="1" t="str">
        <f>HYPERLINK("javascript:void(0)","kispárna")</f>
        <v>kispárna</v>
      </c>
    </row>
    <row r="7153" spans="1:4" ht="12.75" customHeight="1" x14ac:dyDescent="0.2">
      <c r="A7153" s="21"/>
      <c r="B7153" s="21"/>
      <c r="C7153" s="8" t="s">
        <v>309</v>
      </c>
      <c r="D7153" s="1" t="str">
        <f>HYPERLINK("javascript:void(0)","rémszarv")</f>
        <v>rémszarv</v>
      </c>
    </row>
    <row r="7154" spans="1:4" ht="12.75" customHeight="1" x14ac:dyDescent="0.2">
      <c r="A7154" s="21"/>
      <c r="B7154" s="21"/>
      <c r="C7154" s="8" t="s">
        <v>382</v>
      </c>
      <c r="D7154" s="1" t="str">
        <f>HYPERLINK("javascript:void(0)","morfige")</f>
        <v>morfige</v>
      </c>
    </row>
    <row r="7155" spans="1:4" ht="12.75" customHeight="1" x14ac:dyDescent="0.2">
      <c r="A7155" s="21"/>
      <c r="B7155" s="2"/>
      <c r="C7155" s="7"/>
      <c r="D7155" s="7"/>
    </row>
    <row r="7156" spans="1:4" ht="12.75" customHeight="1" x14ac:dyDescent="0.2">
      <c r="A7156" s="21"/>
      <c r="B7156" s="2"/>
      <c r="C7156" s="7"/>
      <c r="D7156" s="7"/>
    </row>
    <row r="7157" spans="1:4" ht="12.75" customHeight="1" x14ac:dyDescent="0.2">
      <c r="A7157" s="21"/>
      <c r="B7157" s="2"/>
      <c r="C7157" s="7"/>
      <c r="D7157" s="7"/>
    </row>
    <row r="7158" spans="1:4" ht="12.75" customHeight="1" x14ac:dyDescent="0.2">
      <c r="A7158" s="21"/>
      <c r="B7158" s="2"/>
      <c r="C7158" s="7"/>
      <c r="D7158" s="7"/>
    </row>
    <row r="7159" spans="1:4" ht="12.75" customHeight="1" x14ac:dyDescent="0.2">
      <c r="A7159" s="5"/>
      <c r="B7159" s="2"/>
      <c r="C7159" s="7"/>
      <c r="D7159" s="7"/>
    </row>
    <row r="7160" spans="1:4" ht="12.75" customHeight="1" x14ac:dyDescent="0.2">
      <c r="A7160" s="22" t="str">
        <f>HYPERLINK("javascript:void(0)","bélelt sisak")</f>
        <v>bélelt sisak</v>
      </c>
      <c r="B7160" s="21"/>
      <c r="C7160" s="21"/>
      <c r="D7160" s="21"/>
    </row>
    <row r="7161" spans="1:4" ht="12.75" customHeight="1" x14ac:dyDescent="0.2">
      <c r="A7161" s="20"/>
      <c r="B7161" s="2"/>
      <c r="C7161" s="7"/>
      <c r="D7161" s="7"/>
    </row>
    <row r="7162" spans="1:4" ht="12.75" customHeight="1" x14ac:dyDescent="0.2">
      <c r="A7162" s="21"/>
      <c r="B7162" s="3" t="s">
        <v>0</v>
      </c>
      <c r="C7162" s="23" t="s">
        <v>151</v>
      </c>
      <c r="D7162" s="21"/>
    </row>
    <row r="7163" spans="1:4" ht="12.75" customHeight="1" x14ac:dyDescent="0.2">
      <c r="A7163" s="21"/>
      <c r="B7163" s="3" t="s">
        <v>2</v>
      </c>
      <c r="C7163" s="23"/>
      <c r="D7163" s="21"/>
    </row>
    <row r="7164" spans="1:4" ht="12.75" customHeight="1" x14ac:dyDescent="0.2">
      <c r="A7164" s="21"/>
      <c r="B7164" s="3" t="s">
        <v>1840</v>
      </c>
      <c r="C7164" s="23" t="s">
        <v>1270</v>
      </c>
      <c r="D7164" s="21"/>
    </row>
    <row r="7165" spans="1:4" ht="12.75" customHeight="1" x14ac:dyDescent="0.2">
      <c r="A7165" s="21"/>
      <c r="B7165" s="3" t="s">
        <v>9</v>
      </c>
      <c r="C7165" s="23" t="s">
        <v>70</v>
      </c>
      <c r="D7165" s="21"/>
    </row>
    <row r="7166" spans="1:4" ht="12.75" customHeight="1" x14ac:dyDescent="0.2">
      <c r="A7166" s="21"/>
      <c r="B7166" s="3" t="s">
        <v>11</v>
      </c>
      <c r="C7166" s="23" t="s">
        <v>660</v>
      </c>
      <c r="D7166" s="21"/>
    </row>
    <row r="7167" spans="1:4" ht="12.75" customHeight="1" x14ac:dyDescent="0.2">
      <c r="A7167" s="21"/>
      <c r="B7167" s="3" t="s">
        <v>16</v>
      </c>
      <c r="C7167" s="23"/>
      <c r="D7167" s="21"/>
    </row>
    <row r="7168" spans="1:4" ht="12.75" customHeight="1" x14ac:dyDescent="0.2">
      <c r="A7168" s="21"/>
      <c r="B7168" s="3" t="s">
        <v>17</v>
      </c>
      <c r="C7168" s="23" t="s">
        <v>19</v>
      </c>
      <c r="D7168" s="21"/>
    </row>
    <row r="7169" spans="1:4" ht="12.75" customHeight="1" x14ac:dyDescent="0.2">
      <c r="A7169" s="21"/>
      <c r="B7169" s="20" t="s">
        <v>18</v>
      </c>
      <c r="C7169" s="8" t="s">
        <v>44</v>
      </c>
      <c r="D7169" s="1" t="str">
        <f>HYPERLINK("javascript:void(0)","fotoacél sisak")</f>
        <v>fotoacél sisak</v>
      </c>
    </row>
    <row r="7170" spans="1:4" ht="12.75" customHeight="1" x14ac:dyDescent="0.2">
      <c r="A7170" s="21"/>
      <c r="B7170" s="21"/>
      <c r="C7170" s="8" t="s">
        <v>77</v>
      </c>
      <c r="D7170" s="1" t="str">
        <f>HYPERLINK("javascript:void(0)","kispárna")</f>
        <v>kispárna</v>
      </c>
    </row>
    <row r="7171" spans="1:4" ht="12.75" customHeight="1" x14ac:dyDescent="0.2">
      <c r="A7171" s="21"/>
      <c r="B7171" s="21"/>
      <c r="C7171" s="8" t="s">
        <v>139</v>
      </c>
      <c r="D7171" s="1" t="str">
        <f>HYPERLINK("javascript:void(0)","trolltartó")</f>
        <v>trolltartó</v>
      </c>
    </row>
    <row r="7172" spans="1:4" ht="12.75" customHeight="1" x14ac:dyDescent="0.2">
      <c r="A7172" s="21"/>
      <c r="B7172" s="2"/>
      <c r="C7172" s="7"/>
      <c r="D7172" s="7"/>
    </row>
    <row r="7173" spans="1:4" ht="12.75" customHeight="1" x14ac:dyDescent="0.2">
      <c r="A7173" s="21"/>
      <c r="B7173" s="2"/>
      <c r="C7173" s="7"/>
      <c r="D7173" s="7"/>
    </row>
    <row r="7174" spans="1:4" ht="12.75" customHeight="1" x14ac:dyDescent="0.2">
      <c r="A7174" s="21"/>
      <c r="B7174" s="2"/>
      <c r="C7174" s="7"/>
      <c r="D7174" s="7"/>
    </row>
    <row r="7175" spans="1:4" ht="12.75" customHeight="1" x14ac:dyDescent="0.2">
      <c r="A7175" s="21"/>
      <c r="B7175" s="2"/>
      <c r="C7175" s="7"/>
      <c r="D7175" s="7"/>
    </row>
    <row r="7176" spans="1:4" ht="12.75" customHeight="1" x14ac:dyDescent="0.2">
      <c r="A7176" s="5"/>
      <c r="B7176" s="2"/>
      <c r="C7176" s="7"/>
      <c r="D7176" s="7"/>
    </row>
    <row r="7177" spans="1:4" ht="12.75" customHeight="1" x14ac:dyDescent="0.2">
      <c r="A7177" s="22" t="str">
        <f>HYPERLINK("javascript:void(0)","óriásacél saru")</f>
        <v>óriásacél saru</v>
      </c>
      <c r="B7177" s="21"/>
      <c r="C7177" s="21"/>
      <c r="D7177" s="21"/>
    </row>
    <row r="7178" spans="1:4" ht="12.75" customHeight="1" x14ac:dyDescent="0.2">
      <c r="A7178" s="20"/>
      <c r="B7178" s="2"/>
      <c r="C7178" s="7"/>
      <c r="D7178" s="7"/>
    </row>
    <row r="7179" spans="1:4" ht="12.75" customHeight="1" x14ac:dyDescent="0.2">
      <c r="A7179" s="21"/>
      <c r="B7179" s="3" t="s">
        <v>0</v>
      </c>
      <c r="C7179" s="23" t="s">
        <v>151</v>
      </c>
      <c r="D7179" s="21"/>
    </row>
    <row r="7180" spans="1:4" ht="12.75" customHeight="1" x14ac:dyDescent="0.2">
      <c r="A7180" s="21"/>
      <c r="B7180" s="3" t="s">
        <v>2</v>
      </c>
      <c r="C7180" s="23"/>
      <c r="D7180" s="21"/>
    </row>
    <row r="7181" spans="1:4" ht="12.75" customHeight="1" x14ac:dyDescent="0.2">
      <c r="A7181" s="21"/>
      <c r="B7181" s="3" t="s">
        <v>1840</v>
      </c>
      <c r="C7181" s="23" t="s">
        <v>1230</v>
      </c>
      <c r="D7181" s="21"/>
    </row>
    <row r="7182" spans="1:4" ht="12.75" customHeight="1" x14ac:dyDescent="0.2">
      <c r="A7182" s="21"/>
      <c r="B7182" s="3" t="s">
        <v>9</v>
      </c>
      <c r="C7182" s="23" t="s">
        <v>36</v>
      </c>
      <c r="D7182" s="21"/>
    </row>
    <row r="7183" spans="1:4" ht="12.75" customHeight="1" x14ac:dyDescent="0.2">
      <c r="A7183" s="21"/>
      <c r="B7183" s="3" t="s">
        <v>11</v>
      </c>
      <c r="C7183" s="23" t="s">
        <v>684</v>
      </c>
      <c r="D7183" s="21"/>
    </row>
    <row r="7184" spans="1:4" ht="12.75" customHeight="1" x14ac:dyDescent="0.2">
      <c r="A7184" s="21"/>
      <c r="B7184" s="3" t="s">
        <v>16</v>
      </c>
      <c r="C7184" s="23"/>
      <c r="D7184" s="21"/>
    </row>
    <row r="7185" spans="1:4" ht="12.75" customHeight="1" x14ac:dyDescent="0.2">
      <c r="A7185" s="21"/>
      <c r="B7185" s="3" t="s">
        <v>17</v>
      </c>
      <c r="C7185" s="23" t="s">
        <v>19</v>
      </c>
      <c r="D7185" s="21"/>
    </row>
    <row r="7186" spans="1:4" ht="12.75" customHeight="1" x14ac:dyDescent="0.2">
      <c r="A7186" s="21"/>
      <c r="B7186" s="20" t="s">
        <v>18</v>
      </c>
      <c r="C7186" s="8" t="s">
        <v>44</v>
      </c>
      <c r="D7186" s="1" t="str">
        <f>HYPERLINK("javascript:void(0)","elfacél saru")</f>
        <v>elfacél saru</v>
      </c>
    </row>
    <row r="7187" spans="1:4" ht="12.75" customHeight="1" x14ac:dyDescent="0.2">
      <c r="A7187" s="21"/>
      <c r="B7187" s="21"/>
      <c r="C7187" s="8" t="s">
        <v>44</v>
      </c>
      <c r="D7187" s="1" t="str">
        <f>HYPERLINK("javascript:void(0)","kompózium saru")</f>
        <v>kompózium saru</v>
      </c>
    </row>
    <row r="7188" spans="1:4" ht="12.75" customHeight="1" x14ac:dyDescent="0.2">
      <c r="A7188" s="21"/>
      <c r="B7188" s="21"/>
      <c r="C7188" s="8" t="s">
        <v>44</v>
      </c>
      <c r="D7188" s="1" t="str">
        <f>HYPERLINK("javascript:void(0)","óriásacél talp")</f>
        <v>óriásacél talp</v>
      </c>
    </row>
    <row r="7189" spans="1:4" ht="12.75" customHeight="1" x14ac:dyDescent="0.2">
      <c r="A7189" s="21"/>
      <c r="B7189" s="2"/>
      <c r="C7189" s="7"/>
      <c r="D7189" s="7"/>
    </row>
    <row r="7190" spans="1:4" ht="12.75" customHeight="1" x14ac:dyDescent="0.2">
      <c r="A7190" s="21"/>
      <c r="B7190" s="2"/>
      <c r="C7190" s="7"/>
      <c r="D7190" s="7"/>
    </row>
    <row r="7191" spans="1:4" ht="12.75" customHeight="1" x14ac:dyDescent="0.2">
      <c r="A7191" s="21"/>
      <c r="B7191" s="2"/>
      <c r="C7191" s="7"/>
      <c r="D7191" s="7"/>
    </row>
    <row r="7192" spans="1:4" ht="12.75" customHeight="1" x14ac:dyDescent="0.2">
      <c r="A7192" s="21"/>
      <c r="B7192" s="2"/>
      <c r="C7192" s="7"/>
      <c r="D7192" s="7"/>
    </row>
    <row r="7193" spans="1:4" ht="12.75" customHeight="1" x14ac:dyDescent="0.2">
      <c r="A7193" s="5"/>
      <c r="B7193" s="2"/>
      <c r="C7193" s="7"/>
      <c r="D7193" s="7"/>
    </row>
    <row r="7194" spans="1:4" ht="12.75" customHeight="1" x14ac:dyDescent="0.2">
      <c r="A7194" s="22" t="str">
        <f>HYPERLINK("javascript:void(0)","fotoacél pajzs")</f>
        <v>fotoacél pajzs</v>
      </c>
      <c r="B7194" s="21"/>
      <c r="C7194" s="21"/>
      <c r="D7194" s="21"/>
    </row>
    <row r="7195" spans="1:4" ht="12.75" customHeight="1" x14ac:dyDescent="0.2">
      <c r="A7195" s="20"/>
      <c r="B7195" s="2"/>
      <c r="C7195" s="7"/>
      <c r="D7195" s="7"/>
    </row>
    <row r="7196" spans="1:4" ht="12.75" customHeight="1" x14ac:dyDescent="0.2">
      <c r="A7196" s="21"/>
      <c r="B7196" s="3" t="s">
        <v>0</v>
      </c>
      <c r="C7196" s="23" t="s">
        <v>151</v>
      </c>
      <c r="D7196" s="21"/>
    </row>
    <row r="7197" spans="1:4" ht="12.75" customHeight="1" x14ac:dyDescent="0.2">
      <c r="A7197" s="21"/>
      <c r="B7197" s="3" t="s">
        <v>2</v>
      </c>
      <c r="C7197" s="23" t="s">
        <v>1839</v>
      </c>
      <c r="D7197" s="21"/>
    </row>
    <row r="7198" spans="1:4" ht="12.75" customHeight="1" x14ac:dyDescent="0.2">
      <c r="A7198" s="21"/>
      <c r="B7198" s="3" t="s">
        <v>1840</v>
      </c>
      <c r="C7198" s="23" t="s">
        <v>1381</v>
      </c>
      <c r="D7198" s="21"/>
    </row>
    <row r="7199" spans="1:4" ht="12.75" customHeight="1" x14ac:dyDescent="0.2">
      <c r="A7199" s="21"/>
      <c r="B7199" s="3" t="s">
        <v>9</v>
      </c>
      <c r="C7199" s="23" t="s">
        <v>377</v>
      </c>
      <c r="D7199" s="21"/>
    </row>
    <row r="7200" spans="1:4" ht="12.75" customHeight="1" x14ac:dyDescent="0.2">
      <c r="A7200" s="21"/>
      <c r="B7200" s="3" t="s">
        <v>11</v>
      </c>
      <c r="C7200" s="23" t="s">
        <v>779</v>
      </c>
      <c r="D7200" s="21"/>
    </row>
    <row r="7201" spans="1:4" ht="12.75" customHeight="1" x14ac:dyDescent="0.2">
      <c r="A7201" s="21"/>
      <c r="B7201" s="3" t="s">
        <v>16</v>
      </c>
      <c r="C7201" s="23"/>
      <c r="D7201" s="21"/>
    </row>
    <row r="7202" spans="1:4" ht="12.75" customHeight="1" x14ac:dyDescent="0.2">
      <c r="A7202" s="21"/>
      <c r="B7202" s="3" t="s">
        <v>17</v>
      </c>
      <c r="C7202" s="23" t="s">
        <v>19</v>
      </c>
      <c r="D7202" s="21"/>
    </row>
    <row r="7203" spans="1:4" ht="12.75" customHeight="1" x14ac:dyDescent="0.2">
      <c r="A7203" s="21"/>
      <c r="B7203" s="20" t="s">
        <v>18</v>
      </c>
      <c r="C7203" s="8" t="s">
        <v>44</v>
      </c>
      <c r="D7203" s="1" t="str">
        <f>HYPERLINK("javascript:void(0)","mechano pajzs")</f>
        <v>mechano pajzs</v>
      </c>
    </row>
    <row r="7204" spans="1:4" ht="12.75" customHeight="1" x14ac:dyDescent="0.2">
      <c r="A7204" s="21"/>
      <c r="B7204" s="21"/>
      <c r="C7204" s="8" t="s">
        <v>130</v>
      </c>
      <c r="D7204" s="1" t="str">
        <f>HYPERLINK("javascript:void(0)","fotogén")</f>
        <v>fotogén</v>
      </c>
    </row>
    <row r="7205" spans="1:4" ht="12.75" customHeight="1" x14ac:dyDescent="0.2">
      <c r="A7205" s="21"/>
      <c r="B7205" s="21"/>
      <c r="C7205" s="8" t="s">
        <v>193</v>
      </c>
      <c r="D7205" s="1" t="str">
        <f>HYPERLINK("javascript:void(0)","ámbra")</f>
        <v>ámbra</v>
      </c>
    </row>
    <row r="7206" spans="1:4" ht="12.75" customHeight="1" x14ac:dyDescent="0.2">
      <c r="A7206" s="21"/>
      <c r="B7206" s="2"/>
      <c r="C7206" s="7"/>
      <c r="D7206" s="7"/>
    </row>
    <row r="7207" spans="1:4" ht="12.75" customHeight="1" x14ac:dyDescent="0.2">
      <c r="A7207" s="21"/>
      <c r="B7207" s="2"/>
      <c r="C7207" s="7"/>
      <c r="D7207" s="7"/>
    </row>
    <row r="7208" spans="1:4" ht="12.75" customHeight="1" x14ac:dyDescent="0.2">
      <c r="A7208" s="21"/>
      <c r="B7208" s="2"/>
      <c r="C7208" s="7"/>
      <c r="D7208" s="7"/>
    </row>
    <row r="7209" spans="1:4" ht="12.75" customHeight="1" x14ac:dyDescent="0.2">
      <c r="A7209" s="21"/>
      <c r="B7209" s="2"/>
      <c r="C7209" s="7"/>
      <c r="D7209" s="7"/>
    </row>
    <row r="7210" spans="1:4" ht="12.75" customHeight="1" x14ac:dyDescent="0.2">
      <c r="A7210" s="5"/>
      <c r="B7210" s="2"/>
      <c r="C7210" s="7"/>
      <c r="D7210" s="7"/>
    </row>
    <row r="7211" spans="1:4" ht="12.75" customHeight="1" x14ac:dyDescent="0.2">
      <c r="A7211" s="22" t="str">
        <f>HYPERLINK("javascript:void(0)","diszproveretű illanat")</f>
        <v>diszproveretű illanat</v>
      </c>
      <c r="B7211" s="21"/>
      <c r="C7211" s="21"/>
      <c r="D7211" s="21"/>
    </row>
    <row r="7212" spans="1:4" ht="12.75" customHeight="1" x14ac:dyDescent="0.2">
      <c r="A7212" s="20"/>
      <c r="B7212" s="2"/>
      <c r="C7212" s="7"/>
      <c r="D7212" s="7"/>
    </row>
    <row r="7213" spans="1:4" ht="12.75" customHeight="1" x14ac:dyDescent="0.2">
      <c r="A7213" s="21"/>
      <c r="B7213" s="3" t="s">
        <v>0</v>
      </c>
      <c r="C7213" s="23" t="s">
        <v>151</v>
      </c>
      <c r="D7213" s="21"/>
    </row>
    <row r="7214" spans="1:4" ht="12.75" customHeight="1" x14ac:dyDescent="0.2">
      <c r="A7214" s="21"/>
      <c r="B7214" s="3" t="s">
        <v>2</v>
      </c>
      <c r="C7214" s="23" t="s">
        <v>1839</v>
      </c>
      <c r="D7214" s="21"/>
    </row>
    <row r="7215" spans="1:4" ht="12.75" customHeight="1" x14ac:dyDescent="0.2">
      <c r="A7215" s="21"/>
      <c r="B7215" s="3" t="s">
        <v>1840</v>
      </c>
      <c r="C7215" s="23" t="s">
        <v>1381</v>
      </c>
      <c r="D7215" s="21"/>
    </row>
    <row r="7216" spans="1:4" ht="12.75" customHeight="1" x14ac:dyDescent="0.2">
      <c r="A7216" s="21"/>
      <c r="B7216" s="3" t="s">
        <v>9</v>
      </c>
      <c r="C7216" s="23" t="s">
        <v>10</v>
      </c>
      <c r="D7216" s="21"/>
    </row>
    <row r="7217" spans="1:4" ht="12.75" customHeight="1" x14ac:dyDescent="0.2">
      <c r="A7217" s="21"/>
      <c r="B7217" s="3" t="s">
        <v>11</v>
      </c>
      <c r="C7217" s="23" t="s">
        <v>817</v>
      </c>
      <c r="D7217" s="21"/>
    </row>
    <row r="7218" spans="1:4" ht="12.75" customHeight="1" x14ac:dyDescent="0.2">
      <c r="A7218" s="21"/>
      <c r="B7218" s="3" t="s">
        <v>16</v>
      </c>
      <c r="C7218" s="23"/>
      <c r="D7218" s="21"/>
    </row>
    <row r="7219" spans="1:4" ht="12.75" customHeight="1" x14ac:dyDescent="0.2">
      <c r="A7219" s="21"/>
      <c r="B7219" s="3" t="s">
        <v>17</v>
      </c>
      <c r="C7219" s="23" t="s">
        <v>19</v>
      </c>
      <c r="D7219" s="21"/>
    </row>
    <row r="7220" spans="1:4" ht="12.75" customHeight="1" x14ac:dyDescent="0.2">
      <c r="A7220" s="21"/>
      <c r="B7220" s="20" t="s">
        <v>18</v>
      </c>
      <c r="C7220" s="8" t="s">
        <v>44</v>
      </c>
      <c r="D7220" s="1" t="str">
        <f>HYPERLINK("javascript:void(0)","fotoacél pajzs")</f>
        <v>fotoacél pajzs</v>
      </c>
    </row>
    <row r="7221" spans="1:4" ht="12.75" customHeight="1" x14ac:dyDescent="0.2">
      <c r="A7221" s="21"/>
      <c r="B7221" s="21"/>
      <c r="C7221" s="8" t="s">
        <v>474</v>
      </c>
      <c r="D7221" s="1" t="str">
        <f>HYPERLINK("javascript:void(0)","diszprózium")</f>
        <v>diszprózium</v>
      </c>
    </row>
    <row r="7222" spans="1:4" ht="12.75" customHeight="1" x14ac:dyDescent="0.2">
      <c r="A7222" s="21"/>
      <c r="B7222" s="21"/>
      <c r="C7222" s="8" t="s">
        <v>117</v>
      </c>
      <c r="D7222" s="1" t="str">
        <f>HYPERLINK("javascript:void(0)","kispárna")</f>
        <v>kispárna</v>
      </c>
    </row>
    <row r="7223" spans="1:4" ht="12.75" customHeight="1" x14ac:dyDescent="0.2">
      <c r="A7223" s="21"/>
      <c r="B7223" s="2"/>
      <c r="C7223" s="7"/>
      <c r="D7223" s="7"/>
    </row>
    <row r="7224" spans="1:4" ht="12.75" customHeight="1" x14ac:dyDescent="0.2">
      <c r="A7224" s="21"/>
      <c r="B7224" s="2"/>
      <c r="C7224" s="7"/>
      <c r="D7224" s="7"/>
    </row>
    <row r="7225" spans="1:4" ht="12.75" customHeight="1" x14ac:dyDescent="0.2">
      <c r="A7225" s="21"/>
      <c r="B7225" s="2"/>
      <c r="C7225" s="7"/>
      <c r="D7225" s="7"/>
    </row>
    <row r="7226" spans="1:4" ht="12.75" customHeight="1" x14ac:dyDescent="0.2">
      <c r="A7226" s="21"/>
      <c r="B7226" s="2"/>
      <c r="C7226" s="7"/>
      <c r="D7226" s="7"/>
    </row>
    <row r="7227" spans="1:4" ht="12.75" customHeight="1" x14ac:dyDescent="0.2">
      <c r="A7227" s="5"/>
      <c r="B7227" s="2"/>
      <c r="C7227" s="7"/>
      <c r="D7227" s="7"/>
    </row>
    <row r="7228" spans="1:4" ht="12.75" customHeight="1" x14ac:dyDescent="0.2">
      <c r="A7228" s="22" t="str">
        <f>HYPERLINK("javascript:void(0)","óriásacél talp")</f>
        <v>óriásacél talp</v>
      </c>
      <c r="B7228" s="21"/>
      <c r="C7228" s="21"/>
      <c r="D7228" s="21"/>
    </row>
    <row r="7229" spans="1:4" ht="12.75" customHeight="1" x14ac:dyDescent="0.2">
      <c r="A7229" s="20"/>
      <c r="B7229" s="2"/>
      <c r="C7229" s="7"/>
      <c r="D7229" s="7"/>
    </row>
    <row r="7230" spans="1:4" ht="12.75" customHeight="1" x14ac:dyDescent="0.2">
      <c r="A7230" s="21"/>
      <c r="B7230" s="3" t="s">
        <v>0</v>
      </c>
      <c r="C7230" s="23" t="s">
        <v>151</v>
      </c>
      <c r="D7230" s="21"/>
    </row>
    <row r="7231" spans="1:4" ht="12.75" customHeight="1" x14ac:dyDescent="0.2">
      <c r="A7231" s="21"/>
      <c r="B7231" s="3" t="s">
        <v>2</v>
      </c>
      <c r="C7231" s="23"/>
      <c r="D7231" s="21"/>
    </row>
    <row r="7232" spans="1:4" ht="12.75" customHeight="1" x14ac:dyDescent="0.2">
      <c r="A7232" s="21"/>
      <c r="B7232" s="3" t="s">
        <v>1840</v>
      </c>
      <c r="C7232" s="23" t="s">
        <v>178</v>
      </c>
      <c r="D7232" s="21"/>
    </row>
    <row r="7233" spans="1:4" ht="12.75" customHeight="1" x14ac:dyDescent="0.2">
      <c r="A7233" s="21"/>
      <c r="B7233" s="3" t="s">
        <v>9</v>
      </c>
      <c r="C7233" s="23" t="s">
        <v>42</v>
      </c>
      <c r="D7233" s="21"/>
    </row>
    <row r="7234" spans="1:4" ht="12.75" customHeight="1" x14ac:dyDescent="0.2">
      <c r="A7234" s="21"/>
      <c r="B7234" s="3" t="s">
        <v>11</v>
      </c>
      <c r="C7234" s="23" t="s">
        <v>368</v>
      </c>
      <c r="D7234" s="21"/>
    </row>
    <row r="7235" spans="1:4" ht="12.75" customHeight="1" x14ac:dyDescent="0.2">
      <c r="A7235" s="21"/>
      <c r="B7235" s="3" t="s">
        <v>16</v>
      </c>
      <c r="C7235" s="23"/>
      <c r="D7235" s="21"/>
    </row>
    <row r="7236" spans="1:4" ht="12.75" customHeight="1" x14ac:dyDescent="0.2">
      <c r="A7236" s="21"/>
      <c r="B7236" s="3" t="s">
        <v>17</v>
      </c>
      <c r="C7236" s="23" t="s">
        <v>19</v>
      </c>
      <c r="D7236" s="21"/>
    </row>
    <row r="7237" spans="1:4" ht="12.75" customHeight="1" x14ac:dyDescent="0.2">
      <c r="A7237" s="21"/>
      <c r="B7237" s="20" t="s">
        <v>18</v>
      </c>
      <c r="C7237" s="8" t="s">
        <v>193</v>
      </c>
      <c r="D7237" s="1" t="str">
        <f>HYPERLINK("javascript:void(0)","ámbra")</f>
        <v>ámbra</v>
      </c>
    </row>
    <row r="7238" spans="1:4" ht="12.75" customHeight="1" x14ac:dyDescent="0.2">
      <c r="A7238" s="21"/>
      <c r="B7238" s="21"/>
      <c r="C7238" s="8" t="s">
        <v>139</v>
      </c>
      <c r="D7238" s="1" t="str">
        <f>HYPERLINK("javascript:void(0)","trolltartó")</f>
        <v>trolltartó</v>
      </c>
    </row>
    <row r="7239" spans="1:4" ht="12.75" customHeight="1" x14ac:dyDescent="0.2">
      <c r="A7239" s="21"/>
      <c r="B7239" s="21"/>
      <c r="C7239" s="8" t="s">
        <v>98</v>
      </c>
      <c r="D7239" s="1" t="str">
        <f>HYPERLINK("javascript:void(0)","uszony")</f>
        <v>uszony</v>
      </c>
    </row>
    <row r="7240" spans="1:4" ht="12.75" customHeight="1" x14ac:dyDescent="0.2">
      <c r="A7240" s="21"/>
      <c r="B7240" s="2"/>
      <c r="C7240" s="7"/>
      <c r="D7240" s="7"/>
    </row>
    <row r="7241" spans="1:4" ht="12.75" customHeight="1" x14ac:dyDescent="0.2">
      <c r="A7241" s="21"/>
      <c r="B7241" s="2"/>
      <c r="C7241" s="7"/>
      <c r="D7241" s="7"/>
    </row>
    <row r="7242" spans="1:4" ht="12.75" customHeight="1" x14ac:dyDescent="0.2">
      <c r="A7242" s="21"/>
      <c r="B7242" s="2"/>
      <c r="C7242" s="7"/>
      <c r="D7242" s="7"/>
    </row>
    <row r="7243" spans="1:4" ht="12.75" customHeight="1" x14ac:dyDescent="0.2">
      <c r="A7243" s="21"/>
      <c r="B7243" s="2"/>
      <c r="C7243" s="7"/>
      <c r="D7243" s="7"/>
    </row>
    <row r="7244" spans="1:4" ht="12.75" customHeight="1" x14ac:dyDescent="0.2">
      <c r="A7244" s="5"/>
      <c r="B7244" s="2"/>
      <c r="C7244" s="7"/>
      <c r="D7244" s="7"/>
    </row>
    <row r="7245" spans="1:4" ht="12.75" customHeight="1" x14ac:dyDescent="0.2">
      <c r="A7245" s="22" t="str">
        <f>HYPERLINK("javascript:void(0)","csillámló elfpajzs")</f>
        <v>csillámló elfpajzs</v>
      </c>
      <c r="B7245" s="21"/>
      <c r="C7245" s="21"/>
      <c r="D7245" s="21"/>
    </row>
    <row r="7246" spans="1:4" ht="12.75" customHeight="1" x14ac:dyDescent="0.2">
      <c r="A7246" s="20"/>
      <c r="B7246" s="2"/>
      <c r="C7246" s="7"/>
      <c r="D7246" s="7"/>
    </row>
    <row r="7247" spans="1:4" ht="12.75" customHeight="1" x14ac:dyDescent="0.2">
      <c r="A7247" s="21"/>
      <c r="B7247" s="3" t="s">
        <v>0</v>
      </c>
      <c r="C7247" s="23" t="s">
        <v>151</v>
      </c>
      <c r="D7247" s="21"/>
    </row>
    <row r="7248" spans="1:4" ht="12.75" customHeight="1" x14ac:dyDescent="0.2">
      <c r="A7248" s="21"/>
      <c r="B7248" s="3" t="s">
        <v>2</v>
      </c>
      <c r="C7248" s="23" t="s">
        <v>1839</v>
      </c>
      <c r="D7248" s="21"/>
    </row>
    <row r="7249" spans="1:4" ht="12.75" customHeight="1" x14ac:dyDescent="0.2">
      <c r="A7249" s="21"/>
      <c r="B7249" s="3" t="s">
        <v>1840</v>
      </c>
      <c r="C7249" s="23" t="s">
        <v>1422</v>
      </c>
      <c r="D7249" s="21"/>
    </row>
    <row r="7250" spans="1:4" ht="12.75" customHeight="1" x14ac:dyDescent="0.2">
      <c r="A7250" s="21"/>
      <c r="B7250" s="3" t="s">
        <v>9</v>
      </c>
      <c r="C7250" s="23" t="s">
        <v>135</v>
      </c>
      <c r="D7250" s="21"/>
    </row>
    <row r="7251" spans="1:4" ht="12.75" customHeight="1" x14ac:dyDescent="0.2">
      <c r="A7251" s="21"/>
      <c r="B7251" s="3" t="s">
        <v>11</v>
      </c>
      <c r="C7251" s="23" t="s">
        <v>779</v>
      </c>
      <c r="D7251" s="21"/>
    </row>
    <row r="7252" spans="1:4" ht="12.75" customHeight="1" x14ac:dyDescent="0.2">
      <c r="A7252" s="21"/>
      <c r="B7252" s="3" t="s">
        <v>16</v>
      </c>
      <c r="C7252" s="23"/>
      <c r="D7252" s="21"/>
    </row>
    <row r="7253" spans="1:4" ht="12.75" customHeight="1" x14ac:dyDescent="0.2">
      <c r="A7253" s="21"/>
      <c r="B7253" s="3" t="s">
        <v>17</v>
      </c>
      <c r="C7253" s="23" t="s">
        <v>19</v>
      </c>
      <c r="D7253" s="21"/>
    </row>
    <row r="7254" spans="1:4" ht="12.75" customHeight="1" x14ac:dyDescent="0.2">
      <c r="A7254" s="21"/>
      <c r="B7254" s="20" t="s">
        <v>18</v>
      </c>
      <c r="C7254" s="8" t="s">
        <v>57</v>
      </c>
      <c r="D7254" s="1" t="str">
        <f>HYPERLINK("javascript:void(0)","csillámgöb")</f>
        <v>csillámgöb</v>
      </c>
    </row>
    <row r="7255" spans="1:4" ht="12.75" customHeight="1" x14ac:dyDescent="0.2">
      <c r="A7255" s="21"/>
      <c r="B7255" s="21"/>
      <c r="C7255" s="8" t="s">
        <v>44</v>
      </c>
      <c r="D7255" s="1" t="str">
        <f>HYPERLINK("javascript:void(0)","csillámló törpepajzs")</f>
        <v>csillámló törpepajzs</v>
      </c>
    </row>
    <row r="7256" spans="1:4" ht="12.75" customHeight="1" x14ac:dyDescent="0.2">
      <c r="A7256" s="21"/>
      <c r="B7256" s="21"/>
      <c r="C7256" s="8" t="s">
        <v>44</v>
      </c>
      <c r="D7256" s="1" t="str">
        <f>HYPERLINK("javascript:void(0)","gyíkacél pajzs")</f>
        <v>gyíkacél pajzs</v>
      </c>
    </row>
    <row r="7257" spans="1:4" ht="12.75" customHeight="1" x14ac:dyDescent="0.2">
      <c r="A7257" s="21"/>
      <c r="B7257" s="2"/>
      <c r="C7257" s="7"/>
      <c r="D7257" s="7"/>
    </row>
    <row r="7258" spans="1:4" ht="12.75" customHeight="1" x14ac:dyDescent="0.2">
      <c r="A7258" s="21"/>
      <c r="B7258" s="2"/>
      <c r="C7258" s="7"/>
      <c r="D7258" s="7"/>
    </row>
    <row r="7259" spans="1:4" ht="12.75" customHeight="1" x14ac:dyDescent="0.2">
      <c r="A7259" s="21"/>
      <c r="B7259" s="2"/>
      <c r="C7259" s="7"/>
      <c r="D7259" s="7"/>
    </row>
    <row r="7260" spans="1:4" ht="12.75" customHeight="1" x14ac:dyDescent="0.2">
      <c r="A7260" s="21"/>
      <c r="B7260" s="2"/>
      <c r="C7260" s="7"/>
      <c r="D7260" s="7"/>
    </row>
    <row r="7261" spans="1:4" ht="12.75" customHeight="1" x14ac:dyDescent="0.2">
      <c r="A7261" s="5"/>
      <c r="B7261" s="2"/>
      <c r="C7261" s="7"/>
      <c r="D7261" s="7"/>
    </row>
    <row r="7262" spans="1:4" ht="12.75" customHeight="1" x14ac:dyDescent="0.2">
      <c r="A7262" s="22" t="str">
        <f>HYPERLINK("javascript:void(0)","csillámtaposó")</f>
        <v>csillámtaposó</v>
      </c>
      <c r="B7262" s="21"/>
      <c r="C7262" s="21"/>
      <c r="D7262" s="21"/>
    </row>
    <row r="7263" spans="1:4" ht="12.75" customHeight="1" x14ac:dyDescent="0.2">
      <c r="A7263" s="20"/>
      <c r="B7263" s="2"/>
      <c r="C7263" s="7"/>
      <c r="D7263" s="7"/>
    </row>
    <row r="7264" spans="1:4" ht="12.75" customHeight="1" x14ac:dyDescent="0.2">
      <c r="A7264" s="21"/>
      <c r="B7264" s="3" t="s">
        <v>0</v>
      </c>
      <c r="C7264" s="23" t="s">
        <v>151</v>
      </c>
      <c r="D7264" s="21"/>
    </row>
    <row r="7265" spans="1:4" ht="12.75" customHeight="1" x14ac:dyDescent="0.2">
      <c r="A7265" s="21"/>
      <c r="B7265" s="3" t="s">
        <v>2</v>
      </c>
      <c r="C7265" s="23"/>
      <c r="D7265" s="21"/>
    </row>
    <row r="7266" spans="1:4" ht="12.75" customHeight="1" x14ac:dyDescent="0.2">
      <c r="A7266" s="21"/>
      <c r="B7266" s="3" t="s">
        <v>1840</v>
      </c>
      <c r="C7266" s="23" t="s">
        <v>242</v>
      </c>
      <c r="D7266" s="21"/>
    </row>
    <row r="7267" spans="1:4" ht="12.75" customHeight="1" x14ac:dyDescent="0.2">
      <c r="A7267" s="21"/>
      <c r="B7267" s="3" t="s">
        <v>9</v>
      </c>
      <c r="C7267" s="23" t="s">
        <v>200</v>
      </c>
      <c r="D7267" s="21"/>
    </row>
    <row r="7268" spans="1:4" ht="12.75" customHeight="1" x14ac:dyDescent="0.2">
      <c r="A7268" s="21"/>
      <c r="B7268" s="3" t="s">
        <v>11</v>
      </c>
      <c r="C7268" s="23" t="s">
        <v>684</v>
      </c>
      <c r="D7268" s="21"/>
    </row>
    <row r="7269" spans="1:4" ht="12.75" customHeight="1" x14ac:dyDescent="0.2">
      <c r="A7269" s="21"/>
      <c r="B7269" s="3" t="s">
        <v>16</v>
      </c>
      <c r="C7269" s="23"/>
      <c r="D7269" s="21"/>
    </row>
    <row r="7270" spans="1:4" ht="12.75" customHeight="1" x14ac:dyDescent="0.2">
      <c r="A7270" s="21"/>
      <c r="B7270" s="3" t="s">
        <v>17</v>
      </c>
      <c r="C7270" s="23" t="s">
        <v>19</v>
      </c>
      <c r="D7270" s="21"/>
    </row>
    <row r="7271" spans="1:4" ht="12.75" customHeight="1" x14ac:dyDescent="0.2">
      <c r="A7271" s="21"/>
      <c r="B7271" s="20" t="s">
        <v>18</v>
      </c>
      <c r="C7271" s="8" t="s">
        <v>57</v>
      </c>
      <c r="D7271" s="1" t="str">
        <f>HYPERLINK("javascript:void(0)","csillámgöb")</f>
        <v>csillámgöb</v>
      </c>
    </row>
    <row r="7272" spans="1:4" ht="25.5" customHeight="1" x14ac:dyDescent="0.2">
      <c r="A7272" s="21"/>
      <c r="B7272" s="21"/>
      <c r="C7272" s="8" t="s">
        <v>44</v>
      </c>
      <c r="D7272" s="1" t="str">
        <f>HYPERLINK("javascript:void(0)","csillámos nyomhagyó")</f>
        <v>csillámos nyomhagyó</v>
      </c>
    </row>
    <row r="7273" spans="1:4" ht="12.75" customHeight="1" x14ac:dyDescent="0.2">
      <c r="A7273" s="21"/>
      <c r="B7273" s="21"/>
      <c r="C7273" s="8" t="s">
        <v>403</v>
      </c>
      <c r="D7273" s="1" t="str">
        <f>HYPERLINK("javascript:void(0)","sárkány szív")</f>
        <v>sárkány szív</v>
      </c>
    </row>
    <row r="7274" spans="1:4" ht="12.75" customHeight="1" x14ac:dyDescent="0.2">
      <c r="A7274" s="21"/>
      <c r="B7274" s="2"/>
      <c r="C7274" s="7"/>
      <c r="D7274" s="7"/>
    </row>
    <row r="7275" spans="1:4" ht="12.75" customHeight="1" x14ac:dyDescent="0.2">
      <c r="A7275" s="21"/>
      <c r="B7275" s="2"/>
      <c r="C7275" s="7"/>
      <c r="D7275" s="7"/>
    </row>
    <row r="7276" spans="1:4" ht="12.75" customHeight="1" x14ac:dyDescent="0.2">
      <c r="A7276" s="21"/>
      <c r="B7276" s="2"/>
      <c r="C7276" s="7"/>
      <c r="D7276" s="7"/>
    </row>
    <row r="7277" spans="1:4" ht="12.75" customHeight="1" x14ac:dyDescent="0.2">
      <c r="A7277" s="21"/>
      <c r="B7277" s="2"/>
      <c r="C7277" s="7"/>
      <c r="D7277" s="7"/>
    </row>
    <row r="7278" spans="1:4" ht="12.75" customHeight="1" x14ac:dyDescent="0.2">
      <c r="A7278" s="5"/>
      <c r="B7278" s="2"/>
      <c r="C7278" s="7"/>
      <c r="D7278" s="7"/>
    </row>
    <row r="7279" spans="1:4" ht="12.75" customHeight="1" x14ac:dyDescent="0.2">
      <c r="A7279" s="22" t="str">
        <f>HYPERLINK("javascript:void(0)","csillámsisak")</f>
        <v>csillámsisak</v>
      </c>
      <c r="B7279" s="21"/>
      <c r="C7279" s="21"/>
      <c r="D7279" s="21"/>
    </row>
    <row r="7280" spans="1:4" ht="12.75" customHeight="1" x14ac:dyDescent="0.2">
      <c r="A7280" s="20"/>
      <c r="B7280" s="2"/>
      <c r="C7280" s="7"/>
      <c r="D7280" s="7"/>
    </row>
    <row r="7281" spans="1:4" ht="12.75" customHeight="1" x14ac:dyDescent="0.2">
      <c r="A7281" s="21"/>
      <c r="B7281" s="3" t="s">
        <v>0</v>
      </c>
      <c r="C7281" s="23" t="s">
        <v>151</v>
      </c>
      <c r="D7281" s="21"/>
    </row>
    <row r="7282" spans="1:4" ht="12.75" customHeight="1" x14ac:dyDescent="0.2">
      <c r="A7282" s="21"/>
      <c r="B7282" s="3" t="s">
        <v>2</v>
      </c>
      <c r="C7282" s="23"/>
      <c r="D7282" s="21"/>
    </row>
    <row r="7283" spans="1:4" ht="12.75" customHeight="1" x14ac:dyDescent="0.2">
      <c r="A7283" s="21"/>
      <c r="B7283" s="3" t="s">
        <v>1840</v>
      </c>
      <c r="C7283" s="23" t="s">
        <v>1342</v>
      </c>
      <c r="D7283" s="21"/>
    </row>
    <row r="7284" spans="1:4" ht="12.75" customHeight="1" x14ac:dyDescent="0.2">
      <c r="A7284" s="21"/>
      <c r="B7284" s="3" t="s">
        <v>9</v>
      </c>
      <c r="C7284" s="23" t="s">
        <v>972</v>
      </c>
      <c r="D7284" s="21"/>
    </row>
    <row r="7285" spans="1:4" ht="12.75" customHeight="1" x14ac:dyDescent="0.2">
      <c r="A7285" s="21"/>
      <c r="B7285" s="3" t="s">
        <v>11</v>
      </c>
      <c r="C7285" s="23" t="s">
        <v>660</v>
      </c>
      <c r="D7285" s="21"/>
    </row>
    <row r="7286" spans="1:4" ht="12.75" customHeight="1" x14ac:dyDescent="0.2">
      <c r="A7286" s="21"/>
      <c r="B7286" s="3" t="s">
        <v>16</v>
      </c>
      <c r="C7286" s="23"/>
      <c r="D7286" s="21"/>
    </row>
    <row r="7287" spans="1:4" ht="12.75" customHeight="1" x14ac:dyDescent="0.2">
      <c r="A7287" s="21"/>
      <c r="B7287" s="3" t="s">
        <v>17</v>
      </c>
      <c r="C7287" s="23" t="s">
        <v>19</v>
      </c>
      <c r="D7287" s="21"/>
    </row>
    <row r="7288" spans="1:4" ht="12.75" customHeight="1" x14ac:dyDescent="0.2">
      <c r="A7288" s="21"/>
      <c r="B7288" s="20" t="s">
        <v>18</v>
      </c>
      <c r="C7288" s="8" t="s">
        <v>57</v>
      </c>
      <c r="D7288" s="1" t="str">
        <f>HYPERLINK("javascript:void(0)","csillámgöb")</f>
        <v>csillámgöb</v>
      </c>
    </row>
    <row r="7289" spans="1:4" ht="12.75" customHeight="1" x14ac:dyDescent="0.2">
      <c r="A7289" s="21"/>
      <c r="B7289" s="21"/>
      <c r="C7289" s="8" t="s">
        <v>44</v>
      </c>
      <c r="D7289" s="1" t="str">
        <f>HYPERLINK("javascript:void(0)","csillámos fejvédő")</f>
        <v>csillámos fejvédő</v>
      </c>
    </row>
    <row r="7290" spans="1:4" ht="12.75" customHeight="1" x14ac:dyDescent="0.2">
      <c r="A7290" s="21"/>
      <c r="B7290" s="21"/>
      <c r="C7290" s="8" t="s">
        <v>3611</v>
      </c>
      <c r="D7290" s="1" t="str">
        <f>HYPERLINK("javascript:void(0)","sárkány izom")</f>
        <v>sárkány izom</v>
      </c>
    </row>
    <row r="7291" spans="1:4" ht="12.75" customHeight="1" x14ac:dyDescent="0.2">
      <c r="A7291" s="21"/>
      <c r="B7291" s="2"/>
      <c r="C7291" s="7"/>
      <c r="D7291" s="7"/>
    </row>
    <row r="7292" spans="1:4" ht="12.75" customHeight="1" x14ac:dyDescent="0.2">
      <c r="A7292" s="21"/>
      <c r="B7292" s="2"/>
      <c r="C7292" s="7"/>
      <c r="D7292" s="7"/>
    </row>
    <row r="7293" spans="1:4" ht="12.75" customHeight="1" x14ac:dyDescent="0.2">
      <c r="A7293" s="21"/>
      <c r="B7293" s="2"/>
      <c r="C7293" s="7"/>
      <c r="D7293" s="7"/>
    </row>
    <row r="7294" spans="1:4" ht="12.75" customHeight="1" x14ac:dyDescent="0.2">
      <c r="A7294" s="21"/>
      <c r="B7294" s="2"/>
      <c r="C7294" s="7"/>
      <c r="D7294" s="7"/>
    </row>
    <row r="7295" spans="1:4" ht="12.75" customHeight="1" x14ac:dyDescent="0.2">
      <c r="A7295" s="5"/>
      <c r="B7295" s="2"/>
      <c r="C7295" s="7"/>
      <c r="D7295" s="7"/>
    </row>
    <row r="7296" spans="1:4" ht="12.75" customHeight="1" x14ac:dyDescent="0.2">
      <c r="A7296" s="22" t="str">
        <f>HYPERLINK("javascript:void(0)","csillámos kisvért")</f>
        <v>csillámos kisvért</v>
      </c>
      <c r="B7296" s="21"/>
      <c r="C7296" s="21"/>
      <c r="D7296" s="21"/>
    </row>
    <row r="7297" spans="1:4" ht="12.75" customHeight="1" x14ac:dyDescent="0.2">
      <c r="A7297" s="20"/>
      <c r="B7297" s="2"/>
      <c r="C7297" s="7"/>
      <c r="D7297" s="7"/>
    </row>
    <row r="7298" spans="1:4" ht="12.75" customHeight="1" x14ac:dyDescent="0.2">
      <c r="A7298" s="21"/>
      <c r="B7298" s="3" t="s">
        <v>0</v>
      </c>
      <c r="C7298" s="23" t="s">
        <v>151</v>
      </c>
      <c r="D7298" s="21"/>
    </row>
    <row r="7299" spans="1:4" ht="12.75" customHeight="1" x14ac:dyDescent="0.2">
      <c r="A7299" s="21"/>
      <c r="B7299" s="3" t="s">
        <v>2</v>
      </c>
      <c r="C7299" s="23" t="s">
        <v>2322</v>
      </c>
      <c r="D7299" s="21"/>
    </row>
    <row r="7300" spans="1:4" ht="12.75" customHeight="1" x14ac:dyDescent="0.2">
      <c r="A7300" s="21"/>
      <c r="B7300" s="3" t="s">
        <v>1840</v>
      </c>
      <c r="C7300" s="23" t="s">
        <v>2422</v>
      </c>
      <c r="D7300" s="21"/>
    </row>
    <row r="7301" spans="1:4" ht="12.75" customHeight="1" x14ac:dyDescent="0.2">
      <c r="A7301" s="21"/>
      <c r="B7301" s="3" t="s">
        <v>9</v>
      </c>
      <c r="C7301" s="23" t="s">
        <v>1568</v>
      </c>
      <c r="D7301" s="21"/>
    </row>
    <row r="7302" spans="1:4" ht="12.75" customHeight="1" x14ac:dyDescent="0.2">
      <c r="A7302" s="21"/>
      <c r="B7302" s="3" t="s">
        <v>11</v>
      </c>
      <c r="C7302" s="23" t="s">
        <v>660</v>
      </c>
      <c r="D7302" s="21"/>
    </row>
    <row r="7303" spans="1:4" ht="12.75" customHeight="1" x14ac:dyDescent="0.2">
      <c r="A7303" s="21"/>
      <c r="B7303" s="3" t="s">
        <v>16</v>
      </c>
      <c r="C7303" s="23"/>
      <c r="D7303" s="21"/>
    </row>
    <row r="7304" spans="1:4" ht="12.75" customHeight="1" x14ac:dyDescent="0.2">
      <c r="A7304" s="21"/>
      <c r="B7304" s="3" t="s">
        <v>17</v>
      </c>
      <c r="C7304" s="23" t="s">
        <v>19</v>
      </c>
      <c r="D7304" s="21"/>
    </row>
    <row r="7305" spans="1:4" ht="12.75" customHeight="1" x14ac:dyDescent="0.2">
      <c r="A7305" s="21"/>
      <c r="B7305" s="20" t="s">
        <v>18</v>
      </c>
      <c r="C7305" s="8" t="s">
        <v>57</v>
      </c>
      <c r="D7305" s="1" t="str">
        <f>HYPERLINK("javascript:void(0)","csillámgöb")</f>
        <v>csillámgöb</v>
      </c>
    </row>
    <row r="7306" spans="1:4" ht="12.75" customHeight="1" x14ac:dyDescent="0.2">
      <c r="A7306" s="21"/>
      <c r="B7306" s="21"/>
      <c r="C7306" s="8" t="s">
        <v>44</v>
      </c>
      <c r="D7306" s="1" t="str">
        <f>HYPERLINK("javascript:void(0)","csillámos kispáncél")</f>
        <v>csillámos kispáncél</v>
      </c>
    </row>
    <row r="7307" spans="1:4" ht="12.75" customHeight="1" x14ac:dyDescent="0.2">
      <c r="A7307" s="21"/>
      <c r="B7307" s="21"/>
      <c r="C7307" s="8" t="s">
        <v>163</v>
      </c>
      <c r="D7307" s="1" t="str">
        <f>HYPERLINK("javascript:void(0)","szent szimbólum")</f>
        <v>szent szimbólum</v>
      </c>
    </row>
    <row r="7308" spans="1:4" ht="12.75" customHeight="1" x14ac:dyDescent="0.2">
      <c r="A7308" s="21"/>
      <c r="B7308" s="2"/>
      <c r="C7308" s="7"/>
      <c r="D7308" s="7"/>
    </row>
    <row r="7309" spans="1:4" ht="12.75" customHeight="1" x14ac:dyDescent="0.2">
      <c r="A7309" s="21"/>
      <c r="B7309" s="2"/>
      <c r="C7309" s="7"/>
      <c r="D7309" s="7"/>
    </row>
    <row r="7310" spans="1:4" ht="12.75" customHeight="1" x14ac:dyDescent="0.2">
      <c r="A7310" s="21"/>
      <c r="B7310" s="2"/>
      <c r="C7310" s="7"/>
      <c r="D7310" s="7"/>
    </row>
    <row r="7311" spans="1:4" ht="12.75" customHeight="1" x14ac:dyDescent="0.2">
      <c r="A7311" s="21"/>
      <c r="B7311" s="2"/>
      <c r="C7311" s="7"/>
      <c r="D7311" s="7"/>
    </row>
    <row r="7312" spans="1:4" ht="12.75" customHeight="1" x14ac:dyDescent="0.2">
      <c r="A7312" s="5"/>
      <c r="B7312" s="2"/>
      <c r="C7312" s="7"/>
      <c r="D7312" s="7"/>
    </row>
    <row r="7313" spans="1:4" ht="12.75" customHeight="1" x14ac:dyDescent="0.2">
      <c r="A7313" s="22" t="str">
        <f>HYPERLINK("javascript:void(0)","artini mellvért")</f>
        <v>artini mellvért</v>
      </c>
      <c r="B7313" s="21"/>
      <c r="C7313" s="21"/>
      <c r="D7313" s="21"/>
    </row>
    <row r="7314" spans="1:4" ht="12.75" customHeight="1" x14ac:dyDescent="0.2">
      <c r="A7314" s="20"/>
      <c r="B7314" s="2"/>
      <c r="C7314" s="7"/>
      <c r="D7314" s="7"/>
    </row>
    <row r="7315" spans="1:4" ht="12.75" customHeight="1" x14ac:dyDescent="0.2">
      <c r="A7315" s="21"/>
      <c r="B7315" s="3" t="s">
        <v>0</v>
      </c>
      <c r="C7315" s="23" t="s">
        <v>219</v>
      </c>
      <c r="D7315" s="21"/>
    </row>
    <row r="7316" spans="1:4" ht="12.75" customHeight="1" x14ac:dyDescent="0.2">
      <c r="A7316" s="21"/>
      <c r="B7316" s="3" t="s">
        <v>2</v>
      </c>
      <c r="C7316" s="23" t="s">
        <v>2322</v>
      </c>
      <c r="D7316" s="21"/>
    </row>
    <row r="7317" spans="1:4" ht="12.75" customHeight="1" x14ac:dyDescent="0.2">
      <c r="A7317" s="21"/>
      <c r="B7317" s="3" t="s">
        <v>1840</v>
      </c>
      <c r="C7317" s="23" t="s">
        <v>2423</v>
      </c>
      <c r="D7317" s="21"/>
    </row>
    <row r="7318" spans="1:4" ht="12.75" customHeight="1" x14ac:dyDescent="0.2">
      <c r="A7318" s="21"/>
      <c r="B7318" s="3" t="s">
        <v>9</v>
      </c>
      <c r="C7318" s="23" t="s">
        <v>962</v>
      </c>
      <c r="D7318" s="21"/>
    </row>
    <row r="7319" spans="1:4" ht="12.75" customHeight="1" x14ac:dyDescent="0.2">
      <c r="A7319" s="21"/>
      <c r="B7319" s="3" t="s">
        <v>11</v>
      </c>
      <c r="C7319" s="23" t="s">
        <v>674</v>
      </c>
      <c r="D7319" s="21"/>
    </row>
    <row r="7320" spans="1:4" ht="12.75" customHeight="1" x14ac:dyDescent="0.2">
      <c r="A7320" s="21"/>
      <c r="B7320" s="3" t="s">
        <v>16</v>
      </c>
      <c r="C7320" s="23"/>
      <c r="D7320" s="21"/>
    </row>
    <row r="7321" spans="1:4" ht="12.75" customHeight="1" x14ac:dyDescent="0.2">
      <c r="A7321" s="21"/>
      <c r="B7321" s="3" t="s">
        <v>17</v>
      </c>
      <c r="C7321" s="23" t="s">
        <v>19</v>
      </c>
      <c r="D7321" s="21"/>
    </row>
    <row r="7322" spans="1:4" ht="12.75" customHeight="1" x14ac:dyDescent="0.2">
      <c r="A7322" s="21"/>
      <c r="B7322" s="20" t="s">
        <v>18</v>
      </c>
      <c r="C7322" s="8" t="s">
        <v>44</v>
      </c>
      <c r="D7322" s="1" t="str">
        <f>HYPERLINK("javascript:void(0)","wendír mellvért")</f>
        <v>wendír mellvért</v>
      </c>
    </row>
    <row r="7323" spans="1:4" ht="12.75" customHeight="1" x14ac:dyDescent="0.2">
      <c r="A7323" s="21"/>
      <c r="B7323" s="21"/>
      <c r="C7323" s="8" t="s">
        <v>44</v>
      </c>
      <c r="D7323" s="1" t="str">
        <f>HYPERLINK("javascript:void(0)","parszi mellvért")</f>
        <v>parszi mellvért</v>
      </c>
    </row>
    <row r="7324" spans="1:4" ht="12.75" customHeight="1" x14ac:dyDescent="0.2">
      <c r="A7324" s="21"/>
      <c r="B7324" s="21"/>
      <c r="C7324" s="8" t="s">
        <v>44</v>
      </c>
      <c r="D7324" s="1" t="str">
        <f>HYPERLINK("javascript:void(0)","artini előlap")</f>
        <v>artini előlap</v>
      </c>
    </row>
    <row r="7325" spans="1:4" ht="12.75" customHeight="1" x14ac:dyDescent="0.2">
      <c r="A7325" s="21"/>
      <c r="B7325" s="2"/>
      <c r="C7325" s="7"/>
      <c r="D7325" s="7"/>
    </row>
    <row r="7326" spans="1:4" ht="12.75" customHeight="1" x14ac:dyDescent="0.2">
      <c r="A7326" s="21"/>
      <c r="B7326" s="2"/>
      <c r="C7326" s="7"/>
      <c r="D7326" s="7"/>
    </row>
    <row r="7327" spans="1:4" ht="12.75" customHeight="1" x14ac:dyDescent="0.2">
      <c r="A7327" s="21"/>
      <c r="B7327" s="2"/>
      <c r="C7327" s="7"/>
      <c r="D7327" s="7"/>
    </row>
    <row r="7328" spans="1:4" ht="12.75" customHeight="1" x14ac:dyDescent="0.2">
      <c r="A7328" s="21"/>
      <c r="B7328" s="2"/>
      <c r="C7328" s="7"/>
      <c r="D7328" s="7"/>
    </row>
    <row r="7329" spans="1:4" ht="12.75" customHeight="1" x14ac:dyDescent="0.2">
      <c r="A7329" s="5"/>
      <c r="B7329" s="2"/>
      <c r="C7329" s="7"/>
      <c r="D7329" s="7"/>
    </row>
    <row r="7330" spans="1:4" ht="12.75" customHeight="1" x14ac:dyDescent="0.2">
      <c r="A7330" s="22" t="str">
        <f>HYPERLINK("javascript:void(0)","helioacél sisak")</f>
        <v>helioacél sisak</v>
      </c>
      <c r="B7330" s="21"/>
      <c r="C7330" s="21"/>
      <c r="D7330" s="21"/>
    </row>
    <row r="7331" spans="1:4" ht="12.75" customHeight="1" x14ac:dyDescent="0.2">
      <c r="A7331" s="20"/>
      <c r="B7331" s="2"/>
      <c r="C7331" s="7"/>
      <c r="D7331" s="7"/>
    </row>
    <row r="7332" spans="1:4" ht="12.75" customHeight="1" x14ac:dyDescent="0.2">
      <c r="A7332" s="21"/>
      <c r="B7332" s="3" t="s">
        <v>0</v>
      </c>
      <c r="C7332" s="23" t="s">
        <v>219</v>
      </c>
      <c r="D7332" s="21"/>
    </row>
    <row r="7333" spans="1:4" ht="12.75" customHeight="1" x14ac:dyDescent="0.2">
      <c r="A7333" s="21"/>
      <c r="B7333" s="3" t="s">
        <v>2</v>
      </c>
      <c r="C7333" s="23"/>
      <c r="D7333" s="21"/>
    </row>
    <row r="7334" spans="1:4" ht="12.75" customHeight="1" x14ac:dyDescent="0.2">
      <c r="A7334" s="21"/>
      <c r="B7334" s="3" t="s">
        <v>1840</v>
      </c>
      <c r="C7334" s="23" t="s">
        <v>1294</v>
      </c>
      <c r="D7334" s="21"/>
    </row>
    <row r="7335" spans="1:4" ht="12.75" customHeight="1" x14ac:dyDescent="0.2">
      <c r="A7335" s="21"/>
      <c r="B7335" s="3" t="s">
        <v>9</v>
      </c>
      <c r="C7335" s="23" t="s">
        <v>137</v>
      </c>
      <c r="D7335" s="21"/>
    </row>
    <row r="7336" spans="1:4" ht="12.75" customHeight="1" x14ac:dyDescent="0.2">
      <c r="A7336" s="21"/>
      <c r="B7336" s="3" t="s">
        <v>11</v>
      </c>
      <c r="C7336" s="23" t="s">
        <v>674</v>
      </c>
      <c r="D7336" s="21"/>
    </row>
    <row r="7337" spans="1:4" ht="12.75" customHeight="1" x14ac:dyDescent="0.2">
      <c r="A7337" s="21"/>
      <c r="B7337" s="3" t="s">
        <v>16</v>
      </c>
      <c r="C7337" s="23"/>
      <c r="D7337" s="21"/>
    </row>
    <row r="7338" spans="1:4" ht="12.75" customHeight="1" x14ac:dyDescent="0.2">
      <c r="A7338" s="21"/>
      <c r="B7338" s="3" t="s">
        <v>17</v>
      </c>
      <c r="C7338" s="23" t="s">
        <v>19</v>
      </c>
      <c r="D7338" s="21"/>
    </row>
    <row r="7339" spans="1:4" ht="12.75" customHeight="1" x14ac:dyDescent="0.2">
      <c r="A7339" s="21"/>
      <c r="B7339" s="20" t="s">
        <v>18</v>
      </c>
      <c r="C7339" s="8" t="s">
        <v>77</v>
      </c>
      <c r="D7339" s="1" t="str">
        <f>HYPERLINK("javascript:void(0)","napfolt")</f>
        <v>napfolt</v>
      </c>
    </row>
    <row r="7340" spans="1:4" ht="12.75" customHeight="1" x14ac:dyDescent="0.2">
      <c r="A7340" s="21"/>
      <c r="B7340" s="21"/>
      <c r="C7340" s="8" t="s">
        <v>244</v>
      </c>
      <c r="D7340" s="1" t="str">
        <f>HYPERLINK("javascript:void(0)","rémszarv")</f>
        <v>rémszarv</v>
      </c>
    </row>
    <row r="7341" spans="1:4" ht="12.75" customHeight="1" x14ac:dyDescent="0.2">
      <c r="A7341" s="21"/>
      <c r="B7341" s="21"/>
      <c r="C7341" s="8" t="s">
        <v>280</v>
      </c>
      <c r="D7341" s="1" t="str">
        <f>HYPERLINK("javascript:void(0)","kacat")</f>
        <v>kacat</v>
      </c>
    </row>
    <row r="7342" spans="1:4" ht="12.75" customHeight="1" x14ac:dyDescent="0.2">
      <c r="A7342" s="21"/>
      <c r="B7342" s="2"/>
      <c r="C7342" s="7"/>
      <c r="D7342" s="7"/>
    </row>
    <row r="7343" spans="1:4" ht="12.75" customHeight="1" x14ac:dyDescent="0.2">
      <c r="A7343" s="21"/>
      <c r="B7343" s="2"/>
      <c r="C7343" s="7"/>
      <c r="D7343" s="7"/>
    </row>
    <row r="7344" spans="1:4" ht="12.75" customHeight="1" x14ac:dyDescent="0.2">
      <c r="A7344" s="21"/>
      <c r="B7344" s="2"/>
      <c r="C7344" s="7"/>
      <c r="D7344" s="7"/>
    </row>
    <row r="7345" spans="1:4" ht="12.75" customHeight="1" x14ac:dyDescent="0.2">
      <c r="A7345" s="21"/>
      <c r="B7345" s="2"/>
      <c r="C7345" s="7"/>
      <c r="D7345" s="7"/>
    </row>
    <row r="7346" spans="1:4" ht="12.75" customHeight="1" x14ac:dyDescent="0.2">
      <c r="A7346" s="5"/>
      <c r="B7346" s="2"/>
      <c r="C7346" s="7"/>
      <c r="D7346" s="7"/>
    </row>
    <row r="7347" spans="1:4" ht="12.75" customHeight="1" x14ac:dyDescent="0.2">
      <c r="A7347" s="22" t="str">
        <f>HYPERLINK("javascript:void(0)","mengorni saru")</f>
        <v>mengorni saru</v>
      </c>
      <c r="B7347" s="21"/>
      <c r="C7347" s="21"/>
      <c r="D7347" s="21"/>
    </row>
    <row r="7348" spans="1:4" ht="12.75" customHeight="1" x14ac:dyDescent="0.2">
      <c r="A7348" s="20"/>
      <c r="B7348" s="2"/>
      <c r="C7348" s="7"/>
      <c r="D7348" s="7"/>
    </row>
    <row r="7349" spans="1:4" ht="12.75" customHeight="1" x14ac:dyDescent="0.2">
      <c r="A7349" s="21"/>
      <c r="B7349" s="3" t="s">
        <v>0</v>
      </c>
      <c r="C7349" s="23" t="s">
        <v>219</v>
      </c>
      <c r="D7349" s="21"/>
    </row>
    <row r="7350" spans="1:4" ht="12.75" customHeight="1" x14ac:dyDescent="0.2">
      <c r="A7350" s="21"/>
      <c r="B7350" s="3" t="s">
        <v>2</v>
      </c>
      <c r="C7350" s="23"/>
      <c r="D7350" s="21"/>
    </row>
    <row r="7351" spans="1:4" ht="12.75" customHeight="1" x14ac:dyDescent="0.2">
      <c r="A7351" s="21"/>
      <c r="B7351" s="3" t="s">
        <v>1840</v>
      </c>
      <c r="C7351" s="23" t="s">
        <v>1252</v>
      </c>
      <c r="D7351" s="21"/>
    </row>
    <row r="7352" spans="1:4" ht="12.75" customHeight="1" x14ac:dyDescent="0.2">
      <c r="A7352" s="21"/>
      <c r="B7352" s="3" t="s">
        <v>9</v>
      </c>
      <c r="C7352" s="23" t="s">
        <v>84</v>
      </c>
      <c r="D7352" s="21"/>
    </row>
    <row r="7353" spans="1:4" ht="12.75" customHeight="1" x14ac:dyDescent="0.2">
      <c r="A7353" s="21"/>
      <c r="B7353" s="3" t="s">
        <v>11</v>
      </c>
      <c r="C7353" s="23" t="s">
        <v>702</v>
      </c>
      <c r="D7353" s="21"/>
    </row>
    <row r="7354" spans="1:4" ht="12.75" customHeight="1" x14ac:dyDescent="0.2">
      <c r="A7354" s="21"/>
      <c r="B7354" s="3" t="s">
        <v>16</v>
      </c>
      <c r="C7354" s="23"/>
      <c r="D7354" s="21"/>
    </row>
    <row r="7355" spans="1:4" ht="12.75" customHeight="1" x14ac:dyDescent="0.2">
      <c r="A7355" s="21"/>
      <c r="B7355" s="3" t="s">
        <v>17</v>
      </c>
      <c r="C7355" s="23" t="s">
        <v>19</v>
      </c>
      <c r="D7355" s="21"/>
    </row>
    <row r="7356" spans="1:4" ht="12.75" customHeight="1" x14ac:dyDescent="0.2">
      <c r="A7356" s="21"/>
      <c r="B7356" s="20" t="s">
        <v>18</v>
      </c>
      <c r="C7356" s="8" t="s">
        <v>44</v>
      </c>
      <c r="D7356" s="1" t="str">
        <f>HYPERLINK("javascript:void(0)","óriásacél saru")</f>
        <v>óriásacél saru</v>
      </c>
    </row>
    <row r="7357" spans="1:4" ht="12.75" customHeight="1" x14ac:dyDescent="0.2">
      <c r="A7357" s="21"/>
      <c r="B7357" s="21"/>
      <c r="C7357" s="8" t="s">
        <v>309</v>
      </c>
      <c r="D7357" s="1" t="str">
        <f>HYPERLINK("javascript:void(0)","nukleon")</f>
        <v>nukleon</v>
      </c>
    </row>
    <row r="7358" spans="1:4" ht="12.75" customHeight="1" x14ac:dyDescent="0.2">
      <c r="A7358" s="21"/>
      <c r="B7358" s="21"/>
      <c r="C7358" s="8" t="s">
        <v>98</v>
      </c>
      <c r="D7358" s="1" t="str">
        <f>HYPERLINK("javascript:void(0)","uszony")</f>
        <v>uszony</v>
      </c>
    </row>
    <row r="7359" spans="1:4" ht="12.75" customHeight="1" x14ac:dyDescent="0.2">
      <c r="A7359" s="21"/>
      <c r="B7359" s="2"/>
      <c r="C7359" s="7"/>
      <c r="D7359" s="7"/>
    </row>
    <row r="7360" spans="1:4" ht="12.75" customHeight="1" x14ac:dyDescent="0.2">
      <c r="A7360" s="21"/>
      <c r="B7360" s="2"/>
      <c r="C7360" s="7"/>
      <c r="D7360" s="7"/>
    </row>
    <row r="7361" spans="1:4" ht="12.75" customHeight="1" x14ac:dyDescent="0.2">
      <c r="A7361" s="21"/>
      <c r="B7361" s="2"/>
      <c r="C7361" s="7"/>
      <c r="D7361" s="7"/>
    </row>
    <row r="7362" spans="1:4" ht="12.75" customHeight="1" x14ac:dyDescent="0.2">
      <c r="A7362" s="21"/>
      <c r="B7362" s="2"/>
      <c r="C7362" s="7"/>
      <c r="D7362" s="7"/>
    </row>
    <row r="7363" spans="1:4" ht="12.75" customHeight="1" x14ac:dyDescent="0.2">
      <c r="A7363" s="5"/>
      <c r="B7363" s="2"/>
      <c r="C7363" s="7"/>
      <c r="D7363" s="7"/>
    </row>
    <row r="7364" spans="1:4" ht="12.75" customHeight="1" x14ac:dyDescent="0.2">
      <c r="A7364" s="22" t="str">
        <f>HYPERLINK("javascript:void(0)","fotoacél testpajzs")</f>
        <v>fotoacél testpajzs</v>
      </c>
      <c r="B7364" s="21"/>
      <c r="C7364" s="21"/>
      <c r="D7364" s="21"/>
    </row>
    <row r="7365" spans="1:4" ht="12.75" customHeight="1" x14ac:dyDescent="0.2">
      <c r="A7365" s="20"/>
      <c r="B7365" s="2"/>
      <c r="C7365" s="7"/>
      <c r="D7365" s="7"/>
    </row>
    <row r="7366" spans="1:4" ht="12.75" customHeight="1" x14ac:dyDescent="0.2">
      <c r="A7366" s="21"/>
      <c r="B7366" s="3" t="s">
        <v>0</v>
      </c>
      <c r="C7366" s="23" t="s">
        <v>219</v>
      </c>
      <c r="D7366" s="21"/>
    </row>
    <row r="7367" spans="1:4" ht="12.75" customHeight="1" x14ac:dyDescent="0.2">
      <c r="A7367" s="21"/>
      <c r="B7367" s="3" t="s">
        <v>2</v>
      </c>
      <c r="C7367" s="23" t="s">
        <v>1839</v>
      </c>
      <c r="D7367" s="21"/>
    </row>
    <row r="7368" spans="1:4" ht="12.75" customHeight="1" x14ac:dyDescent="0.2">
      <c r="A7368" s="21"/>
      <c r="B7368" s="3" t="s">
        <v>1840</v>
      </c>
      <c r="C7368" s="23" t="s">
        <v>411</v>
      </c>
      <c r="D7368" s="21"/>
    </row>
    <row r="7369" spans="1:4" ht="12.75" customHeight="1" x14ac:dyDescent="0.2">
      <c r="A7369" s="21"/>
      <c r="B7369" s="3" t="s">
        <v>9</v>
      </c>
      <c r="C7369" s="23" t="s">
        <v>549</v>
      </c>
      <c r="D7369" s="21"/>
    </row>
    <row r="7370" spans="1:4" ht="12.75" customHeight="1" x14ac:dyDescent="0.2">
      <c r="A7370" s="21"/>
      <c r="B7370" s="3" t="s">
        <v>11</v>
      </c>
      <c r="C7370" s="23" t="s">
        <v>793</v>
      </c>
      <c r="D7370" s="21"/>
    </row>
    <row r="7371" spans="1:4" ht="12.75" customHeight="1" x14ac:dyDescent="0.2">
      <c r="A7371" s="21"/>
      <c r="B7371" s="3" t="s">
        <v>16</v>
      </c>
      <c r="C7371" s="23"/>
      <c r="D7371" s="21"/>
    </row>
    <row r="7372" spans="1:4" ht="12.75" customHeight="1" x14ac:dyDescent="0.2">
      <c r="A7372" s="21"/>
      <c r="B7372" s="3" t="s">
        <v>17</v>
      </c>
      <c r="C7372" s="23" t="s">
        <v>19</v>
      </c>
      <c r="D7372" s="21"/>
    </row>
    <row r="7373" spans="1:4" ht="12.75" customHeight="1" x14ac:dyDescent="0.2">
      <c r="A7373" s="21"/>
      <c r="B7373" s="20" t="s">
        <v>18</v>
      </c>
      <c r="C7373" s="8" t="s">
        <v>44</v>
      </c>
      <c r="D7373" s="1" t="str">
        <f>HYPERLINK("javascript:void(0)","mechano testpajzs")</f>
        <v>mechano testpajzs</v>
      </c>
    </row>
    <row r="7374" spans="1:4" ht="12.75" customHeight="1" x14ac:dyDescent="0.2">
      <c r="A7374" s="21"/>
      <c r="B7374" s="21"/>
      <c r="C7374" s="8" t="s">
        <v>494</v>
      </c>
      <c r="D7374" s="1" t="str">
        <f>HYPERLINK("javascript:void(0)","fotogén")</f>
        <v>fotogén</v>
      </c>
    </row>
    <row r="7375" spans="1:4" ht="12.75" customHeight="1" x14ac:dyDescent="0.2">
      <c r="A7375" s="21"/>
      <c r="B7375" s="21"/>
      <c r="C7375" s="8" t="s">
        <v>77</v>
      </c>
      <c r="D7375" s="1" t="str">
        <f>HYPERLINK("javascript:void(0)","napfolt")</f>
        <v>napfolt</v>
      </c>
    </row>
    <row r="7376" spans="1:4" ht="12.75" customHeight="1" x14ac:dyDescent="0.2">
      <c r="A7376" s="21"/>
      <c r="B7376" s="2"/>
      <c r="C7376" s="7"/>
      <c r="D7376" s="7"/>
    </row>
    <row r="7377" spans="1:4" ht="12.75" customHeight="1" x14ac:dyDescent="0.2">
      <c r="A7377" s="21"/>
      <c r="B7377" s="2"/>
      <c r="C7377" s="7"/>
      <c r="D7377" s="7"/>
    </row>
    <row r="7378" spans="1:4" ht="12.75" customHeight="1" x14ac:dyDescent="0.2">
      <c r="A7378" s="21"/>
      <c r="B7378" s="2"/>
      <c r="C7378" s="7"/>
      <c r="D7378" s="7"/>
    </row>
    <row r="7379" spans="1:4" ht="12.75" customHeight="1" x14ac:dyDescent="0.2">
      <c r="A7379" s="21"/>
      <c r="B7379" s="2"/>
      <c r="C7379" s="7"/>
      <c r="D7379" s="7"/>
    </row>
    <row r="7380" spans="1:4" ht="12.75" customHeight="1" x14ac:dyDescent="0.2">
      <c r="A7380" s="5"/>
      <c r="B7380" s="2"/>
      <c r="C7380" s="7"/>
      <c r="D7380" s="7"/>
    </row>
    <row r="7381" spans="1:4" ht="12.75" customHeight="1" x14ac:dyDescent="0.2">
      <c r="A7381" s="22" t="str">
        <f>HYPERLINK("javascript:void(0)","démonacél illanat")</f>
        <v>démonacél illanat</v>
      </c>
      <c r="B7381" s="21"/>
      <c r="C7381" s="21"/>
      <c r="D7381" s="21"/>
    </row>
    <row r="7382" spans="1:4" ht="12.75" customHeight="1" x14ac:dyDescent="0.2">
      <c r="A7382" s="20"/>
      <c r="B7382" s="2"/>
      <c r="C7382" s="7"/>
      <c r="D7382" s="7"/>
    </row>
    <row r="7383" spans="1:4" ht="12.75" customHeight="1" x14ac:dyDescent="0.2">
      <c r="A7383" s="21"/>
      <c r="B7383" s="3" t="s">
        <v>0</v>
      </c>
      <c r="C7383" s="23" t="s">
        <v>219</v>
      </c>
      <c r="D7383" s="21"/>
    </row>
    <row r="7384" spans="1:4" ht="12.75" customHeight="1" x14ac:dyDescent="0.2">
      <c r="A7384" s="21"/>
      <c r="B7384" s="3" t="s">
        <v>2</v>
      </c>
      <c r="C7384" s="23" t="s">
        <v>1839</v>
      </c>
      <c r="D7384" s="21"/>
    </row>
    <row r="7385" spans="1:4" ht="12.75" customHeight="1" x14ac:dyDescent="0.2">
      <c r="A7385" s="21"/>
      <c r="B7385" s="3" t="s">
        <v>1840</v>
      </c>
      <c r="C7385" s="23" t="s">
        <v>411</v>
      </c>
      <c r="D7385" s="21"/>
    </row>
    <row r="7386" spans="1:4" ht="12.75" customHeight="1" x14ac:dyDescent="0.2">
      <c r="A7386" s="21"/>
      <c r="B7386" s="3" t="s">
        <v>9</v>
      </c>
      <c r="C7386" s="23" t="s">
        <v>2034</v>
      </c>
      <c r="D7386" s="21"/>
    </row>
    <row r="7387" spans="1:4" ht="12.75" customHeight="1" x14ac:dyDescent="0.2">
      <c r="A7387" s="21"/>
      <c r="B7387" s="3" t="s">
        <v>11</v>
      </c>
      <c r="C7387" s="23" t="s">
        <v>835</v>
      </c>
      <c r="D7387" s="21"/>
    </row>
    <row r="7388" spans="1:4" ht="12.75" customHeight="1" x14ac:dyDescent="0.2">
      <c r="A7388" s="21"/>
      <c r="B7388" s="3" t="s">
        <v>16</v>
      </c>
      <c r="C7388" s="23"/>
      <c r="D7388" s="21"/>
    </row>
    <row r="7389" spans="1:4" ht="12.75" customHeight="1" x14ac:dyDescent="0.2">
      <c r="A7389" s="21"/>
      <c r="B7389" s="3" t="s">
        <v>17</v>
      </c>
      <c r="C7389" s="23" t="s">
        <v>19</v>
      </c>
      <c r="D7389" s="21"/>
    </row>
    <row r="7390" spans="1:4" ht="12.75" customHeight="1" x14ac:dyDescent="0.2">
      <c r="A7390" s="21"/>
      <c r="B7390" s="20" t="s">
        <v>18</v>
      </c>
      <c r="C7390" s="8" t="s">
        <v>44</v>
      </c>
      <c r="D7390" s="1" t="str">
        <f>HYPERLINK("javascript:void(0)","fotoacél testpajzs")</f>
        <v>fotoacél testpajzs</v>
      </c>
    </row>
    <row r="7391" spans="1:4" ht="12.75" customHeight="1" x14ac:dyDescent="0.2">
      <c r="A7391" s="21"/>
      <c r="B7391" s="21"/>
      <c r="C7391" s="8" t="s">
        <v>398</v>
      </c>
      <c r="D7391" s="1" t="str">
        <f>HYPERLINK("javascript:void(0)","démonzanza")</f>
        <v>démonzanza</v>
      </c>
    </row>
    <row r="7392" spans="1:4" ht="12.75" customHeight="1" x14ac:dyDescent="0.2">
      <c r="A7392" s="21"/>
      <c r="B7392" s="21"/>
      <c r="C7392" s="8" t="s">
        <v>280</v>
      </c>
      <c r="D7392" s="1" t="str">
        <f>HYPERLINK("javascript:void(0)","nukleon")</f>
        <v>nukleon</v>
      </c>
    </row>
    <row r="7393" spans="1:4" ht="12.75" customHeight="1" x14ac:dyDescent="0.2">
      <c r="A7393" s="21"/>
      <c r="B7393" s="2"/>
      <c r="C7393" s="7"/>
      <c r="D7393" s="7"/>
    </row>
    <row r="7394" spans="1:4" ht="12.75" customHeight="1" x14ac:dyDescent="0.2">
      <c r="A7394" s="21"/>
      <c r="B7394" s="2"/>
      <c r="C7394" s="7"/>
      <c r="D7394" s="7"/>
    </row>
    <row r="7395" spans="1:4" ht="12.75" customHeight="1" x14ac:dyDescent="0.2">
      <c r="A7395" s="21"/>
      <c r="B7395" s="2"/>
      <c r="C7395" s="7"/>
      <c r="D7395" s="7"/>
    </row>
    <row r="7396" spans="1:4" ht="12.75" customHeight="1" x14ac:dyDescent="0.2">
      <c r="A7396" s="21"/>
      <c r="B7396" s="2"/>
      <c r="C7396" s="7"/>
      <c r="D7396" s="7"/>
    </row>
    <row r="7397" spans="1:4" ht="12.75" customHeight="1" x14ac:dyDescent="0.2">
      <c r="A7397" s="5"/>
      <c r="B7397" s="2"/>
      <c r="C7397" s="7"/>
      <c r="D7397" s="7"/>
    </row>
    <row r="7398" spans="1:4" ht="12.75" customHeight="1" x14ac:dyDescent="0.2">
      <c r="A7398" s="22" t="str">
        <f>HYPERLINK("javascript:void(0)","artini előlap")</f>
        <v>artini előlap</v>
      </c>
      <c r="B7398" s="21"/>
      <c r="C7398" s="21"/>
      <c r="D7398" s="21"/>
    </row>
    <row r="7399" spans="1:4" ht="12.75" customHeight="1" x14ac:dyDescent="0.2">
      <c r="A7399" s="20"/>
      <c r="B7399" s="2"/>
      <c r="C7399" s="7"/>
      <c r="D7399" s="7"/>
    </row>
    <row r="7400" spans="1:4" ht="12.75" customHeight="1" x14ac:dyDescent="0.2">
      <c r="A7400" s="21"/>
      <c r="B7400" s="3" t="s">
        <v>0</v>
      </c>
      <c r="C7400" s="23" t="s">
        <v>219</v>
      </c>
      <c r="D7400" s="21"/>
    </row>
    <row r="7401" spans="1:4" ht="12.75" customHeight="1" x14ac:dyDescent="0.2">
      <c r="A7401" s="21"/>
      <c r="B7401" s="3" t="s">
        <v>2</v>
      </c>
      <c r="C7401" s="23" t="s">
        <v>2322</v>
      </c>
      <c r="D7401" s="21"/>
    </row>
    <row r="7402" spans="1:4" ht="12.75" customHeight="1" x14ac:dyDescent="0.2">
      <c r="A7402" s="21"/>
      <c r="B7402" s="3" t="s">
        <v>1840</v>
      </c>
      <c r="C7402" s="23" t="s">
        <v>340</v>
      </c>
      <c r="D7402" s="21"/>
    </row>
    <row r="7403" spans="1:4" ht="12.75" customHeight="1" x14ac:dyDescent="0.2">
      <c r="A7403" s="21"/>
      <c r="B7403" s="3" t="s">
        <v>9</v>
      </c>
      <c r="C7403" s="23" t="s">
        <v>42</v>
      </c>
      <c r="D7403" s="21"/>
    </row>
    <row r="7404" spans="1:4" ht="12.75" customHeight="1" x14ac:dyDescent="0.2">
      <c r="A7404" s="21"/>
      <c r="B7404" s="3" t="s">
        <v>11</v>
      </c>
      <c r="C7404" s="23" t="s">
        <v>368</v>
      </c>
      <c r="D7404" s="21"/>
    </row>
    <row r="7405" spans="1:4" ht="12.75" customHeight="1" x14ac:dyDescent="0.2">
      <c r="A7405" s="21"/>
      <c r="B7405" s="3" t="s">
        <v>16</v>
      </c>
      <c r="C7405" s="23"/>
      <c r="D7405" s="21"/>
    </row>
    <row r="7406" spans="1:4" ht="12.75" customHeight="1" x14ac:dyDescent="0.2">
      <c r="A7406" s="21"/>
      <c r="B7406" s="3" t="s">
        <v>17</v>
      </c>
      <c r="C7406" s="23" t="s">
        <v>19</v>
      </c>
      <c r="D7406" s="21"/>
    </row>
    <row r="7407" spans="1:4" ht="12.75" customHeight="1" x14ac:dyDescent="0.2">
      <c r="A7407" s="21"/>
      <c r="B7407" s="20" t="s">
        <v>18</v>
      </c>
      <c r="C7407" s="8" t="s">
        <v>163</v>
      </c>
      <c r="D7407" s="1" t="str">
        <f>HYPERLINK("javascript:void(0)","nukleon")</f>
        <v>nukleon</v>
      </c>
    </row>
    <row r="7408" spans="1:4" ht="12.75" customHeight="1" x14ac:dyDescent="0.2">
      <c r="A7408" s="21"/>
      <c r="B7408" s="21"/>
      <c r="C7408" s="8" t="s">
        <v>67</v>
      </c>
      <c r="D7408" s="1" t="str">
        <f>HYPERLINK("javascript:void(0)","mechodron")</f>
        <v>mechodron</v>
      </c>
    </row>
    <row r="7409" spans="1:4" ht="12.75" customHeight="1" x14ac:dyDescent="0.2">
      <c r="A7409" s="21"/>
      <c r="B7409" s="21"/>
      <c r="C7409" s="8" t="s">
        <v>139</v>
      </c>
      <c r="D7409" s="1" t="str">
        <f>HYPERLINK("javascript:void(0)","dimenzióforgács")</f>
        <v>dimenzióforgács</v>
      </c>
    </row>
    <row r="7410" spans="1:4" ht="12.75" customHeight="1" x14ac:dyDescent="0.2">
      <c r="A7410" s="21"/>
      <c r="B7410" s="2"/>
      <c r="C7410" s="7"/>
      <c r="D7410" s="7"/>
    </row>
    <row r="7411" spans="1:4" ht="12.75" customHeight="1" x14ac:dyDescent="0.2">
      <c r="A7411" s="21"/>
      <c r="B7411" s="2"/>
      <c r="C7411" s="7"/>
      <c r="D7411" s="7"/>
    </row>
    <row r="7412" spans="1:4" ht="12.75" customHeight="1" x14ac:dyDescent="0.2">
      <c r="A7412" s="21"/>
      <c r="B7412" s="2"/>
      <c r="C7412" s="7"/>
      <c r="D7412" s="7"/>
    </row>
    <row r="7413" spans="1:4" ht="12.75" customHeight="1" x14ac:dyDescent="0.2">
      <c r="A7413" s="21"/>
      <c r="B7413" s="2"/>
      <c r="C7413" s="7"/>
      <c r="D7413" s="7"/>
    </row>
    <row r="7414" spans="1:4" ht="12.75" customHeight="1" x14ac:dyDescent="0.2">
      <c r="A7414" s="5"/>
      <c r="B7414" s="2"/>
      <c r="C7414" s="7"/>
      <c r="D7414" s="7"/>
    </row>
    <row r="7415" spans="1:4" ht="12.75" customHeight="1" x14ac:dyDescent="0.2">
      <c r="A7415" s="22" t="str">
        <f>HYPERLINK("javascript:void(0)","hidracél manasisak")</f>
        <v>hidracél manasisak</v>
      </c>
      <c r="B7415" s="21"/>
      <c r="C7415" s="21"/>
      <c r="D7415" s="21"/>
    </row>
    <row r="7416" spans="1:4" ht="12.75" customHeight="1" x14ac:dyDescent="0.2">
      <c r="A7416" s="20"/>
      <c r="B7416" s="2"/>
      <c r="C7416" s="7"/>
      <c r="D7416" s="7"/>
    </row>
    <row r="7417" spans="1:4" ht="12.75" customHeight="1" x14ac:dyDescent="0.2">
      <c r="A7417" s="21"/>
      <c r="B7417" s="3" t="s">
        <v>0</v>
      </c>
      <c r="C7417" s="23" t="s">
        <v>219</v>
      </c>
      <c r="D7417" s="21"/>
    </row>
    <row r="7418" spans="1:4" ht="12.75" customHeight="1" x14ac:dyDescent="0.2">
      <c r="A7418" s="21"/>
      <c r="B7418" s="3" t="s">
        <v>2</v>
      </c>
      <c r="C7418" s="23"/>
      <c r="D7418" s="21"/>
    </row>
    <row r="7419" spans="1:4" ht="12.75" customHeight="1" x14ac:dyDescent="0.2">
      <c r="A7419" s="21"/>
      <c r="B7419" s="3" t="s">
        <v>1840</v>
      </c>
      <c r="C7419" s="23" t="s">
        <v>728</v>
      </c>
      <c r="D7419" s="21"/>
    </row>
    <row r="7420" spans="1:4" ht="12.75" customHeight="1" x14ac:dyDescent="0.2">
      <c r="A7420" s="21"/>
      <c r="B7420" s="3" t="s">
        <v>9</v>
      </c>
      <c r="C7420" s="23" t="s">
        <v>2247</v>
      </c>
      <c r="D7420" s="21"/>
    </row>
    <row r="7421" spans="1:4" ht="12.75" customHeight="1" x14ac:dyDescent="0.2">
      <c r="A7421" s="21"/>
      <c r="B7421" s="3" t="s">
        <v>11</v>
      </c>
      <c r="C7421" s="23" t="s">
        <v>414</v>
      </c>
      <c r="D7421" s="21"/>
    </row>
    <row r="7422" spans="1:4" ht="12.75" customHeight="1" x14ac:dyDescent="0.2">
      <c r="A7422" s="21"/>
      <c r="B7422" s="3" t="s">
        <v>16</v>
      </c>
      <c r="C7422" s="23"/>
      <c r="D7422" s="21"/>
    </row>
    <row r="7423" spans="1:4" ht="12.75" customHeight="1" x14ac:dyDescent="0.2">
      <c r="A7423" s="21"/>
      <c r="B7423" s="3" t="s">
        <v>17</v>
      </c>
      <c r="C7423" s="23" t="s">
        <v>19</v>
      </c>
      <c r="D7423" s="21"/>
    </row>
    <row r="7424" spans="1:4" ht="25.5" customHeight="1" x14ac:dyDescent="0.2">
      <c r="A7424" s="21"/>
      <c r="B7424" s="20" t="s">
        <v>18</v>
      </c>
      <c r="C7424" s="8" t="s">
        <v>44</v>
      </c>
      <c r="D7424" s="1" t="str">
        <f>HYPERLINK("javascript:void(0)","kompózium manasisak")</f>
        <v>kompózium manasisak</v>
      </c>
    </row>
    <row r="7425" spans="1:4" ht="12.75" customHeight="1" x14ac:dyDescent="0.2">
      <c r="A7425" s="21"/>
      <c r="B7425" s="21"/>
      <c r="C7425" s="8" t="s">
        <v>163</v>
      </c>
      <c r="D7425" s="1" t="str">
        <f>HYPERLINK("javascript:void(0)","nukleon")</f>
        <v>nukleon</v>
      </c>
    </row>
    <row r="7426" spans="1:4" ht="12.75" customHeight="1" x14ac:dyDescent="0.2">
      <c r="A7426" s="21"/>
      <c r="B7426" s="21"/>
      <c r="C7426" s="8" t="s">
        <v>193</v>
      </c>
      <c r="D7426" s="1" t="str">
        <f>HYPERLINK("javascript:void(0)","trolltartó")</f>
        <v>trolltartó</v>
      </c>
    </row>
    <row r="7427" spans="1:4" ht="12.75" customHeight="1" x14ac:dyDescent="0.2">
      <c r="A7427" s="21"/>
      <c r="B7427" s="2"/>
      <c r="C7427" s="7"/>
      <c r="D7427" s="7"/>
    </row>
    <row r="7428" spans="1:4" ht="12.75" customHeight="1" x14ac:dyDescent="0.2">
      <c r="A7428" s="21"/>
      <c r="B7428" s="2"/>
      <c r="C7428" s="7"/>
      <c r="D7428" s="7"/>
    </row>
    <row r="7429" spans="1:4" ht="12.75" customHeight="1" x14ac:dyDescent="0.2">
      <c r="A7429" s="21"/>
      <c r="B7429" s="2"/>
      <c r="C7429" s="7"/>
      <c r="D7429" s="7"/>
    </row>
    <row r="7430" spans="1:4" ht="12.75" customHeight="1" x14ac:dyDescent="0.2">
      <c r="A7430" s="21"/>
      <c r="B7430" s="2"/>
      <c r="C7430" s="7"/>
      <c r="D7430" s="7"/>
    </row>
    <row r="7431" spans="1:4" ht="12.75" customHeight="1" x14ac:dyDescent="0.2">
      <c r="A7431" s="5"/>
      <c r="B7431" s="2"/>
      <c r="C7431" s="7"/>
      <c r="D7431" s="7"/>
    </row>
    <row r="7432" spans="1:4" ht="12.75" customHeight="1" x14ac:dyDescent="0.2">
      <c r="A7432" s="22" t="str">
        <f>HYPERLINK("javascript:void(0)","hidracél manafejpánt")</f>
        <v>hidracél manafejpánt</v>
      </c>
      <c r="B7432" s="21"/>
      <c r="C7432" s="21"/>
      <c r="D7432" s="21"/>
    </row>
    <row r="7433" spans="1:4" ht="12.75" customHeight="1" x14ac:dyDescent="0.2">
      <c r="A7433" s="20"/>
      <c r="B7433" s="2"/>
      <c r="C7433" s="7"/>
      <c r="D7433" s="7"/>
    </row>
    <row r="7434" spans="1:4" ht="12.75" customHeight="1" x14ac:dyDescent="0.2">
      <c r="A7434" s="21"/>
      <c r="B7434" s="3" t="s">
        <v>0</v>
      </c>
      <c r="C7434" s="23" t="s">
        <v>219</v>
      </c>
      <c r="D7434" s="21"/>
    </row>
    <row r="7435" spans="1:4" ht="12.75" customHeight="1" x14ac:dyDescent="0.2">
      <c r="A7435" s="21"/>
      <c r="B7435" s="3" t="s">
        <v>2</v>
      </c>
      <c r="C7435" s="23"/>
      <c r="D7435" s="21"/>
    </row>
    <row r="7436" spans="1:4" ht="12.75" customHeight="1" x14ac:dyDescent="0.2">
      <c r="A7436" s="21"/>
      <c r="B7436" s="3" t="s">
        <v>1840</v>
      </c>
      <c r="C7436" s="23" t="s">
        <v>187</v>
      </c>
      <c r="D7436" s="21"/>
    </row>
    <row r="7437" spans="1:4" ht="12.75" customHeight="1" x14ac:dyDescent="0.2">
      <c r="A7437" s="21"/>
      <c r="B7437" s="3" t="s">
        <v>9</v>
      </c>
      <c r="C7437" s="23" t="s">
        <v>1975</v>
      </c>
      <c r="D7437" s="21"/>
    </row>
    <row r="7438" spans="1:4" ht="12.75" customHeight="1" x14ac:dyDescent="0.2">
      <c r="A7438" s="21"/>
      <c r="B7438" s="3" t="s">
        <v>11</v>
      </c>
      <c r="C7438" s="23" t="s">
        <v>414</v>
      </c>
      <c r="D7438" s="21"/>
    </row>
    <row r="7439" spans="1:4" ht="12.75" customHeight="1" x14ac:dyDescent="0.2">
      <c r="A7439" s="21"/>
      <c r="B7439" s="3" t="s">
        <v>16</v>
      </c>
      <c r="C7439" s="23"/>
      <c r="D7439" s="21"/>
    </row>
    <row r="7440" spans="1:4" ht="12.75" customHeight="1" x14ac:dyDescent="0.2">
      <c r="A7440" s="21"/>
      <c r="B7440" s="3" t="s">
        <v>17</v>
      </c>
      <c r="C7440" s="23" t="s">
        <v>19</v>
      </c>
      <c r="D7440" s="21"/>
    </row>
    <row r="7441" spans="1:4" ht="25.5" customHeight="1" x14ac:dyDescent="0.2">
      <c r="A7441" s="21"/>
      <c r="B7441" s="20" t="s">
        <v>18</v>
      </c>
      <c r="C7441" s="8" t="s">
        <v>44</v>
      </c>
      <c r="D7441" s="1" t="str">
        <f>HYPERLINK("javascript:void(0)","kompózium manafejpánt")</f>
        <v>kompózium manafejpánt</v>
      </c>
    </row>
    <row r="7442" spans="1:4" ht="12.75" customHeight="1" x14ac:dyDescent="0.2">
      <c r="A7442" s="21"/>
      <c r="B7442" s="21"/>
      <c r="C7442" s="8" t="s">
        <v>68</v>
      </c>
      <c r="D7442" s="1" t="str">
        <f>HYPERLINK("javascript:void(0)","napfolt")</f>
        <v>napfolt</v>
      </c>
    </row>
    <row r="7443" spans="1:4" ht="12.75" customHeight="1" x14ac:dyDescent="0.2">
      <c r="A7443" s="21"/>
      <c r="B7443" s="21"/>
      <c r="C7443" s="8" t="s">
        <v>193</v>
      </c>
      <c r="D7443" s="1" t="str">
        <f>HYPERLINK("javascript:void(0)","rémszarv")</f>
        <v>rémszarv</v>
      </c>
    </row>
    <row r="7444" spans="1:4" ht="12.75" customHeight="1" x14ac:dyDescent="0.2">
      <c r="A7444" s="21"/>
      <c r="B7444" s="2"/>
      <c r="C7444" s="7"/>
      <c r="D7444" s="7"/>
    </row>
    <row r="7445" spans="1:4" ht="12.75" customHeight="1" x14ac:dyDescent="0.2">
      <c r="A7445" s="21"/>
      <c r="B7445" s="2"/>
      <c r="C7445" s="7"/>
      <c r="D7445" s="7"/>
    </row>
    <row r="7446" spans="1:4" ht="12.75" customHeight="1" x14ac:dyDescent="0.2">
      <c r="A7446" s="21"/>
      <c r="B7446" s="2"/>
      <c r="C7446" s="7"/>
      <c r="D7446" s="7"/>
    </row>
    <row r="7447" spans="1:4" ht="12.75" customHeight="1" x14ac:dyDescent="0.2">
      <c r="A7447" s="21"/>
      <c r="B7447" s="2"/>
      <c r="C7447" s="7"/>
      <c r="D7447" s="7"/>
    </row>
    <row r="7448" spans="1:4" ht="12.75" customHeight="1" x14ac:dyDescent="0.2">
      <c r="A7448" s="5"/>
      <c r="B7448" s="2"/>
      <c r="C7448" s="7"/>
      <c r="D7448" s="7"/>
    </row>
    <row r="7449" spans="1:4" ht="12.75" customHeight="1" x14ac:dyDescent="0.2">
      <c r="A7449" s="22" t="str">
        <f>HYPERLINK("javascript:void(0)","thordi mellvért")</f>
        <v>thordi mellvért</v>
      </c>
      <c r="B7449" s="21"/>
      <c r="C7449" s="21"/>
      <c r="D7449" s="21"/>
    </row>
    <row r="7450" spans="1:4" ht="12.75" customHeight="1" x14ac:dyDescent="0.2">
      <c r="A7450" s="20"/>
      <c r="B7450" s="2"/>
      <c r="C7450" s="7"/>
      <c r="D7450" s="7"/>
    </row>
    <row r="7451" spans="1:4" ht="12.75" customHeight="1" x14ac:dyDescent="0.2">
      <c r="A7451" s="21"/>
      <c r="B7451" s="3" t="s">
        <v>0</v>
      </c>
      <c r="C7451" s="23" t="s">
        <v>613</v>
      </c>
      <c r="D7451" s="21"/>
    </row>
    <row r="7452" spans="1:4" ht="12.75" customHeight="1" x14ac:dyDescent="0.2">
      <c r="A7452" s="21"/>
      <c r="B7452" s="3" t="s">
        <v>2</v>
      </c>
      <c r="C7452" s="23" t="s">
        <v>2322</v>
      </c>
      <c r="D7452" s="21"/>
    </row>
    <row r="7453" spans="1:4" ht="12.75" customHeight="1" x14ac:dyDescent="0.2">
      <c r="A7453" s="21"/>
      <c r="B7453" s="3" t="s">
        <v>1840</v>
      </c>
      <c r="C7453" s="23" t="s">
        <v>2425</v>
      </c>
      <c r="D7453" s="21"/>
    </row>
    <row r="7454" spans="1:4" ht="12.75" customHeight="1" x14ac:dyDescent="0.2">
      <c r="A7454" s="21"/>
      <c r="B7454" s="3" t="s">
        <v>9</v>
      </c>
      <c r="C7454" s="23" t="s">
        <v>135</v>
      </c>
      <c r="D7454" s="21"/>
    </row>
    <row r="7455" spans="1:4" ht="12.75" customHeight="1" x14ac:dyDescent="0.2">
      <c r="A7455" s="21"/>
      <c r="B7455" s="3" t="s">
        <v>11</v>
      </c>
      <c r="C7455" s="23" t="s">
        <v>684</v>
      </c>
      <c r="D7455" s="21"/>
    </row>
    <row r="7456" spans="1:4" ht="12.75" customHeight="1" x14ac:dyDescent="0.2">
      <c r="A7456" s="21"/>
      <c r="B7456" s="3" t="s">
        <v>16</v>
      </c>
      <c r="C7456" s="23"/>
      <c r="D7456" s="21"/>
    </row>
    <row r="7457" spans="1:4" ht="12.75" customHeight="1" x14ac:dyDescent="0.2">
      <c r="A7457" s="21"/>
      <c r="B7457" s="3" t="s">
        <v>17</v>
      </c>
      <c r="C7457" s="23" t="s">
        <v>19</v>
      </c>
      <c r="D7457" s="21"/>
    </row>
    <row r="7458" spans="1:4" ht="12.75" customHeight="1" x14ac:dyDescent="0.2">
      <c r="A7458" s="21"/>
      <c r="B7458" s="20" t="s">
        <v>18</v>
      </c>
      <c r="C7458" s="8" t="s">
        <v>44</v>
      </c>
      <c r="D7458" s="1" t="str">
        <f>HYPERLINK("javascript:void(0)","artini mellvért")</f>
        <v>artini mellvért</v>
      </c>
    </row>
    <row r="7459" spans="1:4" ht="12.75" customHeight="1" x14ac:dyDescent="0.2">
      <c r="A7459" s="21"/>
      <c r="B7459" s="21"/>
      <c r="C7459" s="8" t="s">
        <v>1997</v>
      </c>
      <c r="D7459" s="1" t="str">
        <f>HYPERLINK("javascript:void(0)","hangjegy")</f>
        <v>hangjegy</v>
      </c>
    </row>
    <row r="7460" spans="1:4" ht="12.75" customHeight="1" x14ac:dyDescent="0.2">
      <c r="A7460" s="21"/>
      <c r="B7460" s="21"/>
      <c r="C7460" s="8" t="s">
        <v>309</v>
      </c>
      <c r="D7460" s="1" t="str">
        <f>HYPERLINK("javascript:void(0)","mechodron")</f>
        <v>mechodron</v>
      </c>
    </row>
    <row r="7461" spans="1:4" ht="12.75" customHeight="1" x14ac:dyDescent="0.2">
      <c r="A7461" s="21"/>
      <c r="B7461" s="2"/>
      <c r="C7461" s="7"/>
      <c r="D7461" s="7"/>
    </row>
    <row r="7462" spans="1:4" ht="12.75" customHeight="1" x14ac:dyDescent="0.2">
      <c r="A7462" s="21"/>
      <c r="B7462" s="2"/>
      <c r="C7462" s="7"/>
      <c r="D7462" s="7"/>
    </row>
    <row r="7463" spans="1:4" ht="12.75" customHeight="1" x14ac:dyDescent="0.2">
      <c r="A7463" s="21"/>
      <c r="B7463" s="2"/>
      <c r="C7463" s="7"/>
      <c r="D7463" s="7"/>
    </row>
    <row r="7464" spans="1:4" ht="12.75" customHeight="1" x14ac:dyDescent="0.2">
      <c r="A7464" s="21"/>
      <c r="B7464" s="2"/>
      <c r="C7464" s="7"/>
      <c r="D7464" s="7"/>
    </row>
    <row r="7465" spans="1:4" ht="12.75" customHeight="1" x14ac:dyDescent="0.2">
      <c r="A7465" s="5"/>
      <c r="B7465" s="2"/>
      <c r="C7465" s="7"/>
      <c r="D7465" s="7"/>
    </row>
    <row r="7466" spans="1:4" ht="12.75" customHeight="1" x14ac:dyDescent="0.2">
      <c r="A7466" s="22" t="str">
        <f>HYPERLINK("javascript:void(0)","szónikus sisak")</f>
        <v>szónikus sisak</v>
      </c>
      <c r="B7466" s="21"/>
      <c r="C7466" s="21"/>
      <c r="D7466" s="21"/>
    </row>
    <row r="7467" spans="1:4" ht="12.75" customHeight="1" x14ac:dyDescent="0.2">
      <c r="A7467" s="20"/>
      <c r="B7467" s="2"/>
      <c r="C7467" s="7"/>
      <c r="D7467" s="7"/>
    </row>
    <row r="7468" spans="1:4" ht="12.75" customHeight="1" x14ac:dyDescent="0.2">
      <c r="A7468" s="21"/>
      <c r="B7468" s="3" t="s">
        <v>0</v>
      </c>
      <c r="C7468" s="23" t="s">
        <v>613</v>
      </c>
      <c r="D7468" s="21"/>
    </row>
    <row r="7469" spans="1:4" ht="12.75" customHeight="1" x14ac:dyDescent="0.2">
      <c r="A7469" s="21"/>
      <c r="B7469" s="3" t="s">
        <v>2</v>
      </c>
      <c r="C7469" s="23"/>
      <c r="D7469" s="21"/>
    </row>
    <row r="7470" spans="1:4" ht="12.75" customHeight="1" x14ac:dyDescent="0.2">
      <c r="A7470" s="21"/>
      <c r="B7470" s="3" t="s">
        <v>1840</v>
      </c>
      <c r="C7470" s="23" t="s">
        <v>361</v>
      </c>
      <c r="D7470" s="21"/>
    </row>
    <row r="7471" spans="1:4" ht="12.75" customHeight="1" x14ac:dyDescent="0.2">
      <c r="A7471" s="21"/>
      <c r="B7471" s="3" t="s">
        <v>9</v>
      </c>
      <c r="C7471" s="23" t="s">
        <v>93</v>
      </c>
      <c r="D7471" s="21"/>
    </row>
    <row r="7472" spans="1:4" ht="12.75" customHeight="1" x14ac:dyDescent="0.2">
      <c r="A7472" s="21"/>
      <c r="B7472" s="3" t="s">
        <v>11</v>
      </c>
      <c r="C7472" s="23" t="s">
        <v>684</v>
      </c>
      <c r="D7472" s="21"/>
    </row>
    <row r="7473" spans="1:4" ht="12.75" customHeight="1" x14ac:dyDescent="0.2">
      <c r="A7473" s="21"/>
      <c r="B7473" s="3" t="s">
        <v>16</v>
      </c>
      <c r="C7473" s="23"/>
      <c r="D7473" s="21"/>
    </row>
    <row r="7474" spans="1:4" ht="12.75" customHeight="1" x14ac:dyDescent="0.2">
      <c r="A7474" s="21"/>
      <c r="B7474" s="3" t="s">
        <v>17</v>
      </c>
      <c r="C7474" s="23" t="s">
        <v>19</v>
      </c>
      <c r="D7474" s="21"/>
    </row>
    <row r="7475" spans="1:4" ht="12.75" customHeight="1" x14ac:dyDescent="0.2">
      <c r="A7475" s="21"/>
      <c r="B7475" s="20" t="s">
        <v>18</v>
      </c>
      <c r="C7475" s="8" t="s">
        <v>44</v>
      </c>
      <c r="D7475" s="1" t="str">
        <f>HYPERLINK("javascript:void(0)","bélelt sisak")</f>
        <v>bélelt sisak</v>
      </c>
    </row>
    <row r="7476" spans="1:4" ht="12.75" customHeight="1" x14ac:dyDescent="0.2">
      <c r="A7476" s="21"/>
      <c r="B7476" s="21"/>
      <c r="C7476" s="8" t="s">
        <v>44</v>
      </c>
      <c r="D7476" s="1" t="str">
        <f>HYPERLINK("javascript:void(0)","helioacél sisak")</f>
        <v>helioacél sisak</v>
      </c>
    </row>
    <row r="7477" spans="1:4" ht="12.75" customHeight="1" x14ac:dyDescent="0.2">
      <c r="A7477" s="21"/>
      <c r="B7477" s="21"/>
      <c r="C7477" s="8" t="s">
        <v>44</v>
      </c>
      <c r="D7477" s="1" t="str">
        <f>HYPERLINK("javascript:void(0)","szónikus rostély")</f>
        <v>szónikus rostély</v>
      </c>
    </row>
    <row r="7478" spans="1:4" ht="12.75" customHeight="1" x14ac:dyDescent="0.2">
      <c r="A7478" s="21"/>
      <c r="B7478" s="2"/>
      <c r="C7478" s="7"/>
      <c r="D7478" s="7"/>
    </row>
    <row r="7479" spans="1:4" ht="12.75" customHeight="1" x14ac:dyDescent="0.2">
      <c r="A7479" s="21"/>
      <c r="B7479" s="2"/>
      <c r="C7479" s="7"/>
      <c r="D7479" s="7"/>
    </row>
    <row r="7480" spans="1:4" ht="12.75" customHeight="1" x14ac:dyDescent="0.2">
      <c r="A7480" s="21"/>
      <c r="B7480" s="2"/>
      <c r="C7480" s="7"/>
      <c r="D7480" s="7"/>
    </row>
    <row r="7481" spans="1:4" ht="12.75" customHeight="1" x14ac:dyDescent="0.2">
      <c r="A7481" s="21"/>
      <c r="B7481" s="2"/>
      <c r="C7481" s="7"/>
      <c r="D7481" s="7"/>
    </row>
    <row r="7482" spans="1:4" ht="12.75" customHeight="1" x14ac:dyDescent="0.2">
      <c r="A7482" s="5"/>
      <c r="B7482" s="2"/>
      <c r="C7482" s="7"/>
      <c r="D7482" s="7"/>
    </row>
    <row r="7483" spans="1:4" ht="12.75" customHeight="1" x14ac:dyDescent="0.2">
      <c r="A7483" s="22" t="str">
        <f>HYPERLINK("javascript:void(0)","skivei saru")</f>
        <v>skivei saru</v>
      </c>
      <c r="B7483" s="21"/>
      <c r="C7483" s="21"/>
      <c r="D7483" s="21"/>
    </row>
    <row r="7484" spans="1:4" ht="12.75" customHeight="1" x14ac:dyDescent="0.2">
      <c r="A7484" s="20"/>
      <c r="B7484" s="2"/>
      <c r="C7484" s="7"/>
      <c r="D7484" s="7"/>
    </row>
    <row r="7485" spans="1:4" ht="12.75" customHeight="1" x14ac:dyDescent="0.2">
      <c r="A7485" s="21"/>
      <c r="B7485" s="3" t="s">
        <v>0</v>
      </c>
      <c r="C7485" s="23" t="s">
        <v>613</v>
      </c>
      <c r="D7485" s="21"/>
    </row>
    <row r="7486" spans="1:4" ht="12.75" customHeight="1" x14ac:dyDescent="0.2">
      <c r="A7486" s="21"/>
      <c r="B7486" s="3" t="s">
        <v>2</v>
      </c>
      <c r="C7486" s="23"/>
      <c r="D7486" s="21"/>
    </row>
    <row r="7487" spans="1:4" ht="12.75" customHeight="1" x14ac:dyDescent="0.2">
      <c r="A7487" s="21"/>
      <c r="B7487" s="3" t="s">
        <v>1840</v>
      </c>
      <c r="C7487" s="23" t="s">
        <v>143</v>
      </c>
      <c r="D7487" s="21"/>
    </row>
    <row r="7488" spans="1:4" ht="12.75" customHeight="1" x14ac:dyDescent="0.2">
      <c r="A7488" s="21"/>
      <c r="B7488" s="3" t="s">
        <v>9</v>
      </c>
      <c r="C7488" s="23" t="s">
        <v>30</v>
      </c>
      <c r="D7488" s="21"/>
    </row>
    <row r="7489" spans="1:4" ht="12.75" customHeight="1" x14ac:dyDescent="0.2">
      <c r="A7489" s="21"/>
      <c r="B7489" s="3" t="s">
        <v>11</v>
      </c>
      <c r="C7489" s="23" t="s">
        <v>722</v>
      </c>
      <c r="D7489" s="21"/>
    </row>
    <row r="7490" spans="1:4" ht="12.75" customHeight="1" x14ac:dyDescent="0.2">
      <c r="A7490" s="21"/>
      <c r="B7490" s="3" t="s">
        <v>16</v>
      </c>
      <c r="C7490" s="23"/>
      <c r="D7490" s="21"/>
    </row>
    <row r="7491" spans="1:4" ht="12.75" customHeight="1" x14ac:dyDescent="0.2">
      <c r="A7491" s="21"/>
      <c r="B7491" s="3" t="s">
        <v>17</v>
      </c>
      <c r="C7491" s="23" t="s">
        <v>19</v>
      </c>
      <c r="D7491" s="21"/>
    </row>
    <row r="7492" spans="1:4" ht="12.75" customHeight="1" x14ac:dyDescent="0.2">
      <c r="A7492" s="21"/>
      <c r="B7492" s="20" t="s">
        <v>18</v>
      </c>
      <c r="C7492" s="8" t="s">
        <v>77</v>
      </c>
      <c r="D7492" s="1" t="str">
        <f>HYPERLINK("javascript:void(0)","vákuum")</f>
        <v>vákuum</v>
      </c>
    </row>
    <row r="7493" spans="1:4" ht="12.75" customHeight="1" x14ac:dyDescent="0.2">
      <c r="A7493" s="21"/>
      <c r="B7493" s="21"/>
      <c r="C7493" s="8" t="s">
        <v>193</v>
      </c>
      <c r="D7493" s="1" t="str">
        <f>HYPERLINK("javascript:void(0)","rémszarv")</f>
        <v>rémszarv</v>
      </c>
    </row>
    <row r="7494" spans="1:4" ht="12.75" customHeight="1" x14ac:dyDescent="0.2">
      <c r="A7494" s="21"/>
      <c r="B7494" s="21"/>
      <c r="C7494" s="8" t="s">
        <v>163</v>
      </c>
      <c r="D7494" s="1" t="str">
        <f>HYPERLINK("javascript:void(0)","vérrög")</f>
        <v>vérrög</v>
      </c>
    </row>
    <row r="7495" spans="1:4" ht="12.75" customHeight="1" x14ac:dyDescent="0.2">
      <c r="A7495" s="21"/>
      <c r="B7495" s="2"/>
      <c r="C7495" s="7"/>
      <c r="D7495" s="7"/>
    </row>
    <row r="7496" spans="1:4" ht="12.75" customHeight="1" x14ac:dyDescent="0.2">
      <c r="A7496" s="21"/>
      <c r="B7496" s="2"/>
      <c r="C7496" s="7"/>
      <c r="D7496" s="7"/>
    </row>
    <row r="7497" spans="1:4" ht="12.75" customHeight="1" x14ac:dyDescent="0.2">
      <c r="A7497" s="21"/>
      <c r="B7497" s="2"/>
      <c r="C7497" s="7"/>
      <c r="D7497" s="7"/>
    </row>
    <row r="7498" spans="1:4" ht="12.75" customHeight="1" x14ac:dyDescent="0.2">
      <c r="A7498" s="21"/>
      <c r="B7498" s="2"/>
      <c r="C7498" s="7"/>
      <c r="D7498" s="7"/>
    </row>
    <row r="7499" spans="1:4" ht="12.75" customHeight="1" x14ac:dyDescent="0.2">
      <c r="A7499" s="5"/>
      <c r="B7499" s="2"/>
      <c r="C7499" s="7"/>
      <c r="D7499" s="7"/>
    </row>
    <row r="7500" spans="1:4" ht="12.75" customHeight="1" x14ac:dyDescent="0.2">
      <c r="A7500" s="22" t="str">
        <f>HYPERLINK("javascript:void(0)","magnetoacél pajzs")</f>
        <v>magnetoacél pajzs</v>
      </c>
      <c r="B7500" s="21"/>
      <c r="C7500" s="21"/>
      <c r="D7500" s="21"/>
    </row>
    <row r="7501" spans="1:4" ht="12.75" customHeight="1" x14ac:dyDescent="0.2">
      <c r="A7501" s="20"/>
      <c r="B7501" s="2"/>
      <c r="C7501" s="7"/>
      <c r="D7501" s="7"/>
    </row>
    <row r="7502" spans="1:4" ht="12.75" customHeight="1" x14ac:dyDescent="0.2">
      <c r="A7502" s="21"/>
      <c r="B7502" s="3" t="s">
        <v>0</v>
      </c>
      <c r="C7502" s="23" t="s">
        <v>613</v>
      </c>
      <c r="D7502" s="21"/>
    </row>
    <row r="7503" spans="1:4" ht="12.75" customHeight="1" x14ac:dyDescent="0.2">
      <c r="A7503" s="21"/>
      <c r="B7503" s="3" t="s">
        <v>2</v>
      </c>
      <c r="C7503" s="23" t="s">
        <v>1839</v>
      </c>
      <c r="D7503" s="21"/>
    </row>
    <row r="7504" spans="1:4" ht="12.75" customHeight="1" x14ac:dyDescent="0.2">
      <c r="A7504" s="21"/>
      <c r="B7504" s="3" t="s">
        <v>1840</v>
      </c>
      <c r="C7504" s="23" t="s">
        <v>1412</v>
      </c>
      <c r="D7504" s="21"/>
    </row>
    <row r="7505" spans="1:4" ht="12.75" customHeight="1" x14ac:dyDescent="0.2">
      <c r="A7505" s="21"/>
      <c r="B7505" s="3" t="s">
        <v>9</v>
      </c>
      <c r="C7505" s="23" t="s">
        <v>249</v>
      </c>
      <c r="D7505" s="21"/>
    </row>
    <row r="7506" spans="1:4" ht="12.75" customHeight="1" x14ac:dyDescent="0.2">
      <c r="A7506" s="21"/>
      <c r="B7506" s="3" t="s">
        <v>11</v>
      </c>
      <c r="C7506" s="23" t="s">
        <v>817</v>
      </c>
      <c r="D7506" s="21"/>
    </row>
    <row r="7507" spans="1:4" ht="12.75" customHeight="1" x14ac:dyDescent="0.2">
      <c r="A7507" s="21"/>
      <c r="B7507" s="3" t="s">
        <v>16</v>
      </c>
      <c r="C7507" s="23"/>
      <c r="D7507" s="21"/>
    </row>
    <row r="7508" spans="1:4" ht="12.75" customHeight="1" x14ac:dyDescent="0.2">
      <c r="A7508" s="21"/>
      <c r="B7508" s="3" t="s">
        <v>17</v>
      </c>
      <c r="C7508" s="23" t="s">
        <v>19</v>
      </c>
      <c r="D7508" s="21"/>
    </row>
    <row r="7509" spans="1:4" ht="12.75" customHeight="1" x14ac:dyDescent="0.2">
      <c r="A7509" s="21"/>
      <c r="B7509" s="20" t="s">
        <v>18</v>
      </c>
      <c r="C7509" s="8" t="s">
        <v>44</v>
      </c>
      <c r="D7509" s="1" t="str">
        <f>HYPERLINK("javascript:void(0)","fotoacél pajzs")</f>
        <v>fotoacél pajzs</v>
      </c>
    </row>
    <row r="7510" spans="1:4" ht="12.75" customHeight="1" x14ac:dyDescent="0.2">
      <c r="A7510" s="21"/>
      <c r="B7510" s="21"/>
      <c r="C7510" s="8" t="s">
        <v>77</v>
      </c>
      <c r="D7510" s="1" t="str">
        <f>HYPERLINK("javascript:void(0)","vákuum")</f>
        <v>vákuum</v>
      </c>
    </row>
    <row r="7511" spans="1:4" ht="12.75" customHeight="1" x14ac:dyDescent="0.2">
      <c r="A7511" s="21"/>
      <c r="B7511" s="21"/>
      <c r="C7511" s="8" t="s">
        <v>309</v>
      </c>
      <c r="D7511" s="1" t="str">
        <f>HYPERLINK("javascript:void(0)","mágnes")</f>
        <v>mágnes</v>
      </c>
    </row>
    <row r="7512" spans="1:4" ht="12.75" customHeight="1" x14ac:dyDescent="0.2">
      <c r="A7512" s="21"/>
      <c r="B7512" s="2"/>
      <c r="C7512" s="7"/>
      <c r="D7512" s="7"/>
    </row>
    <row r="7513" spans="1:4" ht="12.75" customHeight="1" x14ac:dyDescent="0.2">
      <c r="A7513" s="21"/>
      <c r="B7513" s="2"/>
      <c r="C7513" s="7"/>
      <c r="D7513" s="7"/>
    </row>
    <row r="7514" spans="1:4" ht="12.75" customHeight="1" x14ac:dyDescent="0.2">
      <c r="A7514" s="21"/>
      <c r="B7514" s="2"/>
      <c r="C7514" s="7"/>
      <c r="D7514" s="7"/>
    </row>
    <row r="7515" spans="1:4" ht="12.75" customHeight="1" x14ac:dyDescent="0.2">
      <c r="A7515" s="21"/>
      <c r="B7515" s="2"/>
      <c r="C7515" s="7"/>
      <c r="D7515" s="7"/>
    </row>
    <row r="7516" spans="1:4" ht="12.75" customHeight="1" x14ac:dyDescent="0.2">
      <c r="A7516" s="5"/>
      <c r="B7516" s="2"/>
      <c r="C7516" s="7"/>
      <c r="D7516" s="7"/>
    </row>
    <row r="7517" spans="1:4" ht="12.75" customHeight="1" x14ac:dyDescent="0.2">
      <c r="A7517" s="22" t="str">
        <f>HYPERLINK("javascript:void(0)","kithrillveretű illanat")</f>
        <v>kithrillveretű illanat</v>
      </c>
      <c r="B7517" s="21"/>
      <c r="C7517" s="21"/>
      <c r="D7517" s="21"/>
    </row>
    <row r="7518" spans="1:4" ht="12.75" customHeight="1" x14ac:dyDescent="0.2">
      <c r="A7518" s="20"/>
      <c r="B7518" s="2"/>
      <c r="C7518" s="7"/>
      <c r="D7518" s="7"/>
    </row>
    <row r="7519" spans="1:4" ht="12.75" customHeight="1" x14ac:dyDescent="0.2">
      <c r="A7519" s="21"/>
      <c r="B7519" s="3" t="s">
        <v>0</v>
      </c>
      <c r="C7519" s="23" t="s">
        <v>613</v>
      </c>
      <c r="D7519" s="21"/>
    </row>
    <row r="7520" spans="1:4" ht="12.75" customHeight="1" x14ac:dyDescent="0.2">
      <c r="A7520" s="21"/>
      <c r="B7520" s="3" t="s">
        <v>2</v>
      </c>
      <c r="C7520" s="23" t="s">
        <v>1839</v>
      </c>
      <c r="D7520" s="21"/>
    </row>
    <row r="7521" spans="1:4" ht="12.75" customHeight="1" x14ac:dyDescent="0.2">
      <c r="A7521" s="21"/>
      <c r="B7521" s="3" t="s">
        <v>1840</v>
      </c>
      <c r="C7521" s="23" t="s">
        <v>1412</v>
      </c>
      <c r="D7521" s="21"/>
    </row>
    <row r="7522" spans="1:4" ht="12.75" customHeight="1" x14ac:dyDescent="0.2">
      <c r="A7522" s="21"/>
      <c r="B7522" s="3" t="s">
        <v>9</v>
      </c>
      <c r="C7522" s="23" t="s">
        <v>1195</v>
      </c>
      <c r="D7522" s="21"/>
    </row>
    <row r="7523" spans="1:4" ht="12.75" customHeight="1" x14ac:dyDescent="0.2">
      <c r="A7523" s="21"/>
      <c r="B7523" s="3" t="s">
        <v>11</v>
      </c>
      <c r="C7523" s="23" t="s">
        <v>856</v>
      </c>
      <c r="D7523" s="21"/>
    </row>
    <row r="7524" spans="1:4" ht="12.75" customHeight="1" x14ac:dyDescent="0.2">
      <c r="A7524" s="21"/>
      <c r="B7524" s="3" t="s">
        <v>16</v>
      </c>
      <c r="C7524" s="23"/>
      <c r="D7524" s="21"/>
    </row>
    <row r="7525" spans="1:4" ht="12.75" customHeight="1" x14ac:dyDescent="0.2">
      <c r="A7525" s="21"/>
      <c r="B7525" s="3" t="s">
        <v>17</v>
      </c>
      <c r="C7525" s="23" t="s">
        <v>19</v>
      </c>
      <c r="D7525" s="21"/>
    </row>
    <row r="7526" spans="1:4" ht="12.75" customHeight="1" x14ac:dyDescent="0.2">
      <c r="A7526" s="21"/>
      <c r="B7526" s="20" t="s">
        <v>18</v>
      </c>
      <c r="C7526" s="8" t="s">
        <v>44</v>
      </c>
      <c r="D7526" s="1" t="str">
        <f>HYPERLINK("javascript:void(0)","magnetoacél pajzs")</f>
        <v>magnetoacél pajzs</v>
      </c>
    </row>
    <row r="7527" spans="1:4" ht="12.75" customHeight="1" x14ac:dyDescent="0.2">
      <c r="A7527" s="21"/>
      <c r="B7527" s="21"/>
      <c r="C7527" s="8" t="s">
        <v>1085</v>
      </c>
      <c r="D7527" s="1" t="str">
        <f>HYPERLINK("javascript:void(0)","kithrill")</f>
        <v>kithrill</v>
      </c>
    </row>
    <row r="7528" spans="1:4" ht="12.75" customHeight="1" x14ac:dyDescent="0.2">
      <c r="A7528" s="21"/>
      <c r="B7528" s="21"/>
      <c r="C7528" s="8" t="s">
        <v>130</v>
      </c>
      <c r="D7528" s="1" t="str">
        <f>HYPERLINK("javascript:void(0)","hangjegy")</f>
        <v>hangjegy</v>
      </c>
    </row>
    <row r="7529" spans="1:4" ht="12.75" customHeight="1" x14ac:dyDescent="0.2">
      <c r="A7529" s="21"/>
      <c r="B7529" s="2"/>
      <c r="C7529" s="7"/>
      <c r="D7529" s="7"/>
    </row>
    <row r="7530" spans="1:4" ht="12.75" customHeight="1" x14ac:dyDescent="0.2">
      <c r="A7530" s="21"/>
      <c r="B7530" s="2"/>
      <c r="C7530" s="7"/>
      <c r="D7530" s="7"/>
    </row>
    <row r="7531" spans="1:4" ht="12.75" customHeight="1" x14ac:dyDescent="0.2">
      <c r="A7531" s="21"/>
      <c r="B7531" s="2"/>
      <c r="C7531" s="7"/>
      <c r="D7531" s="7"/>
    </row>
    <row r="7532" spans="1:4" ht="12.75" customHeight="1" x14ac:dyDescent="0.2">
      <c r="A7532" s="21"/>
      <c r="B7532" s="2"/>
      <c r="C7532" s="7"/>
      <c r="D7532" s="7"/>
    </row>
    <row r="7533" spans="1:4" ht="12.75" customHeight="1" x14ac:dyDescent="0.2">
      <c r="A7533" s="5"/>
      <c r="B7533" s="2"/>
      <c r="C7533" s="7"/>
      <c r="D7533" s="7"/>
    </row>
    <row r="7534" spans="1:4" ht="12.75" customHeight="1" x14ac:dyDescent="0.2">
      <c r="A7534" s="22" t="str">
        <f>HYPERLINK("javascript:void(0)","szónikus rostély")</f>
        <v>szónikus rostély</v>
      </c>
      <c r="B7534" s="21"/>
      <c r="C7534" s="21"/>
      <c r="D7534" s="21"/>
    </row>
    <row r="7535" spans="1:4" ht="12.75" customHeight="1" x14ac:dyDescent="0.2">
      <c r="A7535" s="20"/>
      <c r="B7535" s="2"/>
      <c r="C7535" s="7"/>
      <c r="D7535" s="7"/>
    </row>
    <row r="7536" spans="1:4" ht="12.75" customHeight="1" x14ac:dyDescent="0.2">
      <c r="A7536" s="21"/>
      <c r="B7536" s="3" t="s">
        <v>0</v>
      </c>
      <c r="C7536" s="23" t="s">
        <v>613</v>
      </c>
      <c r="D7536" s="21"/>
    </row>
    <row r="7537" spans="1:4" ht="12.75" customHeight="1" x14ac:dyDescent="0.2">
      <c r="A7537" s="21"/>
      <c r="B7537" s="3" t="s">
        <v>2</v>
      </c>
      <c r="C7537" s="23"/>
      <c r="D7537" s="21"/>
    </row>
    <row r="7538" spans="1:4" ht="12.75" customHeight="1" x14ac:dyDescent="0.2">
      <c r="A7538" s="21"/>
      <c r="B7538" s="3" t="s">
        <v>1840</v>
      </c>
      <c r="C7538" s="23" t="s">
        <v>178</v>
      </c>
      <c r="D7538" s="21"/>
    </row>
    <row r="7539" spans="1:4" ht="12.75" customHeight="1" x14ac:dyDescent="0.2">
      <c r="A7539" s="21"/>
      <c r="B7539" s="3" t="s">
        <v>9</v>
      </c>
      <c r="C7539" s="23" t="s">
        <v>42</v>
      </c>
      <c r="D7539" s="21"/>
    </row>
    <row r="7540" spans="1:4" ht="12.75" customHeight="1" x14ac:dyDescent="0.2">
      <c r="A7540" s="21"/>
      <c r="B7540" s="3" t="s">
        <v>11</v>
      </c>
      <c r="C7540" s="23" t="s">
        <v>368</v>
      </c>
      <c r="D7540" s="21"/>
    </row>
    <row r="7541" spans="1:4" ht="12.75" customHeight="1" x14ac:dyDescent="0.2">
      <c r="A7541" s="21"/>
      <c r="B7541" s="3" t="s">
        <v>16</v>
      </c>
      <c r="C7541" s="23"/>
      <c r="D7541" s="21"/>
    </row>
    <row r="7542" spans="1:4" ht="12.75" customHeight="1" x14ac:dyDescent="0.2">
      <c r="A7542" s="21"/>
      <c r="B7542" s="3" t="s">
        <v>17</v>
      </c>
      <c r="C7542" s="23" t="s">
        <v>19</v>
      </c>
      <c r="D7542" s="21"/>
    </row>
    <row r="7543" spans="1:4" ht="12.75" customHeight="1" x14ac:dyDescent="0.2">
      <c r="A7543" s="21"/>
      <c r="B7543" s="20" t="s">
        <v>18</v>
      </c>
      <c r="C7543" s="8" t="s">
        <v>382</v>
      </c>
      <c r="D7543" s="1" t="str">
        <f>HYPERLINK("javascript:void(0)","istenköröm")</f>
        <v>istenköröm</v>
      </c>
    </row>
    <row r="7544" spans="1:4" ht="12.75" customHeight="1" x14ac:dyDescent="0.2">
      <c r="A7544" s="21"/>
      <c r="B7544" s="21"/>
      <c r="C7544" s="8" t="s">
        <v>139</v>
      </c>
      <c r="D7544" s="1" t="str">
        <f>HYPERLINK("javascript:void(0)","trolltartó")</f>
        <v>trolltartó</v>
      </c>
    </row>
    <row r="7545" spans="1:4" ht="12.75" customHeight="1" x14ac:dyDescent="0.2">
      <c r="A7545" s="21"/>
      <c r="B7545" s="21"/>
      <c r="C7545" s="8" t="s">
        <v>163</v>
      </c>
      <c r="D7545" s="1" t="str">
        <f>HYPERLINK("javascript:void(0)","hangjegy")</f>
        <v>hangjegy</v>
      </c>
    </row>
    <row r="7546" spans="1:4" ht="12.75" customHeight="1" x14ac:dyDescent="0.2">
      <c r="A7546" s="21"/>
      <c r="B7546" s="2"/>
      <c r="C7546" s="7"/>
      <c r="D7546" s="7"/>
    </row>
    <row r="7547" spans="1:4" ht="12.75" customHeight="1" x14ac:dyDescent="0.2">
      <c r="A7547" s="21"/>
      <c r="B7547" s="2"/>
      <c r="C7547" s="7"/>
      <c r="D7547" s="7"/>
    </row>
    <row r="7548" spans="1:4" ht="12.75" customHeight="1" x14ac:dyDescent="0.2">
      <c r="A7548" s="21"/>
      <c r="B7548" s="2"/>
      <c r="C7548" s="7"/>
      <c r="D7548" s="7"/>
    </row>
    <row r="7549" spans="1:4" ht="12.75" customHeight="1" x14ac:dyDescent="0.2">
      <c r="A7549" s="21"/>
      <c r="B7549" s="2"/>
      <c r="C7549" s="7"/>
      <c r="D7549" s="7"/>
    </row>
    <row r="7550" spans="1:4" ht="12.75" customHeight="1" x14ac:dyDescent="0.2">
      <c r="A7550" s="5"/>
      <c r="B7550" s="2"/>
      <c r="C7550" s="7"/>
      <c r="D7550" s="7"/>
    </row>
    <row r="7551" spans="1:4" ht="12.75" customHeight="1" x14ac:dyDescent="0.2">
      <c r="A7551" s="22" t="str">
        <f>HYPERLINK("javascript:void(0)","kompózium antigrav csizma")</f>
        <v>kompózium antigrav csizma</v>
      </c>
      <c r="B7551" s="21"/>
      <c r="C7551" s="21"/>
      <c r="D7551" s="21"/>
    </row>
    <row r="7552" spans="1:4" ht="12.75" customHeight="1" x14ac:dyDescent="0.2">
      <c r="A7552" s="20"/>
      <c r="B7552" s="2"/>
      <c r="C7552" s="7"/>
      <c r="D7552" s="7"/>
    </row>
    <row r="7553" spans="1:4" ht="12.75" customHeight="1" x14ac:dyDescent="0.2">
      <c r="A7553" s="21"/>
      <c r="B7553" s="3" t="s">
        <v>0</v>
      </c>
      <c r="C7553" s="23" t="s">
        <v>613</v>
      </c>
      <c r="D7553" s="21"/>
    </row>
    <row r="7554" spans="1:4" ht="12.75" customHeight="1" x14ac:dyDescent="0.2">
      <c r="A7554" s="21"/>
      <c r="B7554" s="3" t="s">
        <v>2</v>
      </c>
      <c r="C7554" s="23"/>
      <c r="D7554" s="21"/>
    </row>
    <row r="7555" spans="1:4" ht="12.75" customHeight="1" x14ac:dyDescent="0.2">
      <c r="A7555" s="21"/>
      <c r="B7555" s="3" t="s">
        <v>1840</v>
      </c>
      <c r="C7555" s="23" t="s">
        <v>305</v>
      </c>
      <c r="D7555" s="21"/>
    </row>
    <row r="7556" spans="1:4" ht="12.75" customHeight="1" x14ac:dyDescent="0.2">
      <c r="A7556" s="21"/>
      <c r="B7556" s="3" t="s">
        <v>9</v>
      </c>
      <c r="C7556" s="23" t="s">
        <v>626</v>
      </c>
      <c r="D7556" s="21"/>
    </row>
    <row r="7557" spans="1:4" ht="12.75" customHeight="1" x14ac:dyDescent="0.2">
      <c r="A7557" s="21"/>
      <c r="B7557" s="3" t="s">
        <v>11</v>
      </c>
      <c r="C7557" s="23" t="s">
        <v>23</v>
      </c>
      <c r="D7557" s="21"/>
    </row>
    <row r="7558" spans="1:4" ht="12.75" customHeight="1" x14ac:dyDescent="0.2">
      <c r="A7558" s="21"/>
      <c r="B7558" s="3" t="s">
        <v>16</v>
      </c>
      <c r="C7558" s="23"/>
      <c r="D7558" s="21"/>
    </row>
    <row r="7559" spans="1:4" ht="12.75" customHeight="1" x14ac:dyDescent="0.2">
      <c r="A7559" s="21"/>
      <c r="B7559" s="3" t="s">
        <v>17</v>
      </c>
      <c r="C7559" s="23" t="s">
        <v>19</v>
      </c>
      <c r="D7559" s="21"/>
    </row>
    <row r="7560" spans="1:4" ht="12.75" customHeight="1" x14ac:dyDescent="0.2">
      <c r="A7560" s="21"/>
      <c r="B7560" s="20" t="s">
        <v>18</v>
      </c>
      <c r="C7560" s="8" t="s">
        <v>44</v>
      </c>
      <c r="D7560" s="1" t="str">
        <f>HYPERLINK("javascript:void(0)","hiper antigrav csizma")</f>
        <v>hiper antigrav csizma</v>
      </c>
    </row>
    <row r="7561" spans="1:4" ht="12.75" customHeight="1" x14ac:dyDescent="0.2">
      <c r="A7561" s="21"/>
      <c r="B7561" s="21"/>
      <c r="C7561" s="8" t="s">
        <v>139</v>
      </c>
      <c r="D7561" s="1" t="str">
        <f>HYPERLINK("javascript:void(0)","vákuum")</f>
        <v>vákuum</v>
      </c>
    </row>
    <row r="7562" spans="1:4" ht="12.75" customHeight="1" x14ac:dyDescent="0.2">
      <c r="A7562" s="21"/>
      <c r="B7562" s="21"/>
      <c r="C7562" s="8" t="s">
        <v>130</v>
      </c>
      <c r="D7562" s="1" t="str">
        <f>HYPERLINK("javascript:void(0)","istenköröm")</f>
        <v>istenköröm</v>
      </c>
    </row>
    <row r="7563" spans="1:4" ht="12.75" customHeight="1" x14ac:dyDescent="0.2">
      <c r="A7563" s="21"/>
      <c r="B7563" s="2"/>
      <c r="C7563" s="7"/>
      <c r="D7563" s="7"/>
    </row>
    <row r="7564" spans="1:4" ht="12.75" customHeight="1" x14ac:dyDescent="0.2">
      <c r="A7564" s="21"/>
      <c r="B7564" s="2"/>
      <c r="C7564" s="7"/>
      <c r="D7564" s="7"/>
    </row>
    <row r="7565" spans="1:4" ht="12.75" customHeight="1" x14ac:dyDescent="0.2">
      <c r="A7565" s="21"/>
      <c r="B7565" s="2"/>
      <c r="C7565" s="7"/>
      <c r="D7565" s="7"/>
    </row>
    <row r="7566" spans="1:4" ht="12.75" customHeight="1" x14ac:dyDescent="0.2">
      <c r="A7566" s="21"/>
      <c r="B7566" s="2"/>
      <c r="C7566" s="7"/>
      <c r="D7566" s="7"/>
    </row>
    <row r="7567" spans="1:4" ht="12.75" customHeight="1" x14ac:dyDescent="0.2">
      <c r="A7567" s="5"/>
      <c r="B7567" s="2"/>
      <c r="C7567" s="7"/>
      <c r="D7567" s="7"/>
    </row>
    <row r="7568" spans="1:4" ht="12.75" customHeight="1" x14ac:dyDescent="0.2">
      <c r="A7568" s="22" t="str">
        <f>HYPERLINK("javascript:void(0)","fotoacél mellvért")</f>
        <v>fotoacél mellvért</v>
      </c>
      <c r="B7568" s="21"/>
      <c r="C7568" s="21"/>
      <c r="D7568" s="21"/>
    </row>
    <row r="7569" spans="1:4" ht="12.75" customHeight="1" x14ac:dyDescent="0.2">
      <c r="A7569" s="20"/>
      <c r="B7569" s="2"/>
      <c r="C7569" s="7"/>
      <c r="D7569" s="7"/>
    </row>
    <row r="7570" spans="1:4" ht="12.75" customHeight="1" x14ac:dyDescent="0.2">
      <c r="A7570" s="21"/>
      <c r="B7570" s="3" t="s">
        <v>0</v>
      </c>
      <c r="C7570" s="23" t="s">
        <v>248</v>
      </c>
      <c r="D7570" s="21"/>
    </row>
    <row r="7571" spans="1:4" ht="12.75" customHeight="1" x14ac:dyDescent="0.2">
      <c r="A7571" s="21"/>
      <c r="B7571" s="3" t="s">
        <v>2</v>
      </c>
      <c r="C7571" s="23" t="s">
        <v>2322</v>
      </c>
      <c r="D7571" s="21"/>
    </row>
    <row r="7572" spans="1:4" ht="12.75" customHeight="1" x14ac:dyDescent="0.2">
      <c r="A7572" s="21"/>
      <c r="B7572" s="3" t="s">
        <v>1840</v>
      </c>
      <c r="C7572" s="23" t="s">
        <v>2426</v>
      </c>
      <c r="D7572" s="21"/>
    </row>
    <row r="7573" spans="1:4" ht="12.75" customHeight="1" x14ac:dyDescent="0.2">
      <c r="A7573" s="21"/>
      <c r="B7573" s="3" t="s">
        <v>9</v>
      </c>
      <c r="C7573" s="23" t="s">
        <v>306</v>
      </c>
      <c r="D7573" s="21"/>
    </row>
    <row r="7574" spans="1:4" ht="12.75" customHeight="1" x14ac:dyDescent="0.2">
      <c r="A7574" s="21"/>
      <c r="B7574" s="3" t="s">
        <v>11</v>
      </c>
      <c r="C7574" s="23" t="s">
        <v>702</v>
      </c>
      <c r="D7574" s="21"/>
    </row>
    <row r="7575" spans="1:4" ht="12.75" customHeight="1" x14ac:dyDescent="0.2">
      <c r="A7575" s="21"/>
      <c r="B7575" s="3" t="s">
        <v>16</v>
      </c>
      <c r="C7575" s="23"/>
      <c r="D7575" s="21"/>
    </row>
    <row r="7576" spans="1:4" ht="12.75" customHeight="1" x14ac:dyDescent="0.2">
      <c r="A7576" s="21"/>
      <c r="B7576" s="3" t="s">
        <v>17</v>
      </c>
      <c r="C7576" s="23" t="s">
        <v>19</v>
      </c>
      <c r="D7576" s="21"/>
    </row>
    <row r="7577" spans="1:4" ht="12.75" customHeight="1" x14ac:dyDescent="0.2">
      <c r="A7577" s="21"/>
      <c r="B7577" s="20" t="s">
        <v>18</v>
      </c>
      <c r="C7577" s="8" t="s">
        <v>68</v>
      </c>
      <c r="D7577" s="1" t="str">
        <f>HYPERLINK("javascript:void(0)","tudásmorzsa")</f>
        <v>tudásmorzsa</v>
      </c>
    </row>
    <row r="7578" spans="1:4" ht="12.75" customHeight="1" x14ac:dyDescent="0.2">
      <c r="A7578" s="21"/>
      <c r="B7578" s="21"/>
      <c r="C7578" s="8" t="s">
        <v>117</v>
      </c>
      <c r="D7578" s="1" t="str">
        <f>HYPERLINK("javascript:void(0)","kispárna")</f>
        <v>kispárna</v>
      </c>
    </row>
    <row r="7579" spans="1:4" ht="12.75" customHeight="1" x14ac:dyDescent="0.2">
      <c r="A7579" s="21"/>
      <c r="B7579" s="21"/>
      <c r="C7579" s="8" t="s">
        <v>280</v>
      </c>
      <c r="D7579" s="1" t="str">
        <f>HYPERLINK("javascript:void(0)","dimenzióforgács")</f>
        <v>dimenzióforgács</v>
      </c>
    </row>
    <row r="7580" spans="1:4" ht="12.75" customHeight="1" x14ac:dyDescent="0.2">
      <c r="A7580" s="21"/>
      <c r="B7580" s="2"/>
      <c r="C7580" s="7"/>
      <c r="D7580" s="7"/>
    </row>
    <row r="7581" spans="1:4" ht="12.75" customHeight="1" x14ac:dyDescent="0.2">
      <c r="A7581" s="21"/>
      <c r="B7581" s="2"/>
      <c r="C7581" s="7"/>
      <c r="D7581" s="7"/>
    </row>
    <row r="7582" spans="1:4" ht="12.75" customHeight="1" x14ac:dyDescent="0.2">
      <c r="A7582" s="21"/>
      <c r="B7582" s="2"/>
      <c r="C7582" s="7"/>
      <c r="D7582" s="7"/>
    </row>
    <row r="7583" spans="1:4" ht="12.75" customHeight="1" x14ac:dyDescent="0.2">
      <c r="A7583" s="21"/>
      <c r="B7583" s="2"/>
      <c r="C7583" s="7"/>
      <c r="D7583" s="7"/>
    </row>
    <row r="7584" spans="1:4" ht="12.75" customHeight="1" x14ac:dyDescent="0.2">
      <c r="A7584" s="5"/>
      <c r="B7584" s="2"/>
      <c r="C7584" s="7"/>
      <c r="D7584" s="7"/>
    </row>
    <row r="7585" spans="1:4" ht="12.75" customHeight="1" x14ac:dyDescent="0.2">
      <c r="A7585" s="22" t="str">
        <f>HYPERLINK("javascript:void(0)","sörtesisak")</f>
        <v>sörtesisak</v>
      </c>
      <c r="B7585" s="21"/>
      <c r="C7585" s="21"/>
      <c r="D7585" s="21"/>
    </row>
    <row r="7586" spans="1:4" ht="12.75" customHeight="1" x14ac:dyDescent="0.2">
      <c r="A7586" s="20"/>
      <c r="B7586" s="2"/>
      <c r="C7586" s="7"/>
      <c r="D7586" s="7"/>
    </row>
    <row r="7587" spans="1:4" ht="12.75" customHeight="1" x14ac:dyDescent="0.2">
      <c r="A7587" s="21"/>
      <c r="B7587" s="3" t="s">
        <v>0</v>
      </c>
      <c r="C7587" s="23" t="s">
        <v>248</v>
      </c>
      <c r="D7587" s="21"/>
    </row>
    <row r="7588" spans="1:4" ht="12.75" customHeight="1" x14ac:dyDescent="0.2">
      <c r="A7588" s="21"/>
      <c r="B7588" s="3" t="s">
        <v>2</v>
      </c>
      <c r="C7588" s="23"/>
      <c r="D7588" s="21"/>
    </row>
    <row r="7589" spans="1:4" ht="12.75" customHeight="1" x14ac:dyDescent="0.2">
      <c r="A7589" s="21"/>
      <c r="B7589" s="3" t="s">
        <v>1840</v>
      </c>
      <c r="C7589" s="23" t="s">
        <v>1342</v>
      </c>
      <c r="D7589" s="21"/>
    </row>
    <row r="7590" spans="1:4" ht="12.75" customHeight="1" x14ac:dyDescent="0.2">
      <c r="A7590" s="21"/>
      <c r="B7590" s="3" t="s">
        <v>9</v>
      </c>
      <c r="C7590" s="23" t="s">
        <v>84</v>
      </c>
      <c r="D7590" s="21"/>
    </row>
    <row r="7591" spans="1:4" ht="12.75" customHeight="1" x14ac:dyDescent="0.2">
      <c r="A7591" s="21"/>
      <c r="B7591" s="3" t="s">
        <v>11</v>
      </c>
      <c r="C7591" s="23" t="s">
        <v>702</v>
      </c>
      <c r="D7591" s="21"/>
    </row>
    <row r="7592" spans="1:4" ht="12.75" customHeight="1" x14ac:dyDescent="0.2">
      <c r="A7592" s="21"/>
      <c r="B7592" s="3" t="s">
        <v>16</v>
      </c>
      <c r="C7592" s="23"/>
      <c r="D7592" s="21"/>
    </row>
    <row r="7593" spans="1:4" ht="12.75" customHeight="1" x14ac:dyDescent="0.2">
      <c r="A7593" s="21"/>
      <c r="B7593" s="3" t="s">
        <v>17</v>
      </c>
      <c r="C7593" s="23" t="s">
        <v>19</v>
      </c>
      <c r="D7593" s="21"/>
    </row>
    <row r="7594" spans="1:4" ht="12.75" customHeight="1" x14ac:dyDescent="0.2">
      <c r="A7594" s="21"/>
      <c r="B7594" s="20" t="s">
        <v>18</v>
      </c>
      <c r="C7594" s="8" t="s">
        <v>44</v>
      </c>
      <c r="D7594" s="1" t="str">
        <f>HYPERLINK("javascript:void(0)","szónikus sisak")</f>
        <v>szónikus sisak</v>
      </c>
    </row>
    <row r="7595" spans="1:4" ht="12.75" customHeight="1" x14ac:dyDescent="0.2">
      <c r="A7595" s="21"/>
      <c r="B7595" s="21"/>
      <c r="C7595" s="8" t="s">
        <v>77</v>
      </c>
      <c r="D7595" s="1" t="str">
        <f>HYPERLINK("javascript:void(0)","gigacsáp")</f>
        <v>gigacsáp</v>
      </c>
    </row>
    <row r="7596" spans="1:4" ht="12.75" customHeight="1" x14ac:dyDescent="0.2">
      <c r="A7596" s="21"/>
      <c r="B7596" s="21"/>
      <c r="C7596" s="8" t="s">
        <v>139</v>
      </c>
      <c r="D7596" s="1" t="str">
        <f>HYPERLINK("javascript:void(0)","hacuka")</f>
        <v>hacuka</v>
      </c>
    </row>
    <row r="7597" spans="1:4" ht="12.75" customHeight="1" x14ac:dyDescent="0.2">
      <c r="A7597" s="21"/>
      <c r="B7597" s="2"/>
      <c r="C7597" s="7"/>
      <c r="D7597" s="7"/>
    </row>
    <row r="7598" spans="1:4" ht="12.75" customHeight="1" x14ac:dyDescent="0.2">
      <c r="A7598" s="21"/>
      <c r="B7598" s="2"/>
      <c r="C7598" s="7"/>
      <c r="D7598" s="7"/>
    </row>
    <row r="7599" spans="1:4" ht="12.75" customHeight="1" x14ac:dyDescent="0.2">
      <c r="A7599" s="21"/>
      <c r="B7599" s="2"/>
      <c r="C7599" s="7"/>
      <c r="D7599" s="7"/>
    </row>
    <row r="7600" spans="1:4" ht="12.75" customHeight="1" x14ac:dyDescent="0.2">
      <c r="A7600" s="21"/>
      <c r="B7600" s="2"/>
      <c r="C7600" s="7"/>
      <c r="D7600" s="7"/>
    </row>
    <row r="7601" spans="1:4" ht="12.75" customHeight="1" x14ac:dyDescent="0.2">
      <c r="A7601" s="5"/>
      <c r="B7601" s="2"/>
      <c r="C7601" s="7"/>
      <c r="D7601" s="7"/>
    </row>
    <row r="7602" spans="1:4" ht="12.75" customHeight="1" x14ac:dyDescent="0.2">
      <c r="A7602" s="22" t="str">
        <f>HYPERLINK("javascript:void(0)","parszi saru")</f>
        <v>parszi saru</v>
      </c>
      <c r="B7602" s="21"/>
      <c r="C7602" s="21"/>
      <c r="D7602" s="21"/>
    </row>
    <row r="7603" spans="1:4" ht="12.75" customHeight="1" x14ac:dyDescent="0.2">
      <c r="A7603" s="20"/>
      <c r="B7603" s="2"/>
      <c r="C7603" s="7"/>
      <c r="D7603" s="7"/>
    </row>
    <row r="7604" spans="1:4" ht="12.75" customHeight="1" x14ac:dyDescent="0.2">
      <c r="A7604" s="21"/>
      <c r="B7604" s="3" t="s">
        <v>0</v>
      </c>
      <c r="C7604" s="23" t="s">
        <v>248</v>
      </c>
      <c r="D7604" s="21"/>
    </row>
    <row r="7605" spans="1:4" ht="12.75" customHeight="1" x14ac:dyDescent="0.2">
      <c r="A7605" s="21"/>
      <c r="B7605" s="3" t="s">
        <v>2</v>
      </c>
      <c r="C7605" s="23"/>
      <c r="D7605" s="21"/>
    </row>
    <row r="7606" spans="1:4" ht="12.75" customHeight="1" x14ac:dyDescent="0.2">
      <c r="A7606" s="21"/>
      <c r="B7606" s="3" t="s">
        <v>1840</v>
      </c>
      <c r="C7606" s="23" t="s">
        <v>242</v>
      </c>
      <c r="D7606" s="21"/>
    </row>
    <row r="7607" spans="1:4" ht="12.75" customHeight="1" x14ac:dyDescent="0.2">
      <c r="A7607" s="21"/>
      <c r="B7607" s="3" t="s">
        <v>9</v>
      </c>
      <c r="C7607" s="23" t="s">
        <v>27</v>
      </c>
      <c r="D7607" s="21"/>
    </row>
    <row r="7608" spans="1:4" ht="12.75" customHeight="1" x14ac:dyDescent="0.2">
      <c r="A7608" s="21"/>
      <c r="B7608" s="3" t="s">
        <v>11</v>
      </c>
      <c r="C7608" s="23" t="s">
        <v>739</v>
      </c>
      <c r="D7608" s="21"/>
    </row>
    <row r="7609" spans="1:4" ht="12.75" customHeight="1" x14ac:dyDescent="0.2">
      <c r="A7609" s="21"/>
      <c r="B7609" s="3" t="s">
        <v>16</v>
      </c>
      <c r="C7609" s="23"/>
      <c r="D7609" s="21"/>
    </row>
    <row r="7610" spans="1:4" ht="12.75" customHeight="1" x14ac:dyDescent="0.2">
      <c r="A7610" s="21"/>
      <c r="B7610" s="3" t="s">
        <v>17</v>
      </c>
      <c r="C7610" s="23" t="s">
        <v>19</v>
      </c>
      <c r="D7610" s="21"/>
    </row>
    <row r="7611" spans="1:4" ht="12.75" customHeight="1" x14ac:dyDescent="0.2">
      <c r="A7611" s="21"/>
      <c r="B7611" s="20" t="s">
        <v>18</v>
      </c>
      <c r="C7611" s="8" t="s">
        <v>44</v>
      </c>
      <c r="D7611" s="1" t="str">
        <f>HYPERLINK("javascript:void(0)","mengorni saru")</f>
        <v>mengorni saru</v>
      </c>
    </row>
    <row r="7612" spans="1:4" ht="12.75" customHeight="1" x14ac:dyDescent="0.2">
      <c r="A7612" s="21"/>
      <c r="B7612" s="21"/>
      <c r="C7612" s="8" t="s">
        <v>44</v>
      </c>
      <c r="D7612" s="1" t="str">
        <f>HYPERLINK("javascript:void(0)","skivei saru")</f>
        <v>skivei saru</v>
      </c>
    </row>
    <row r="7613" spans="1:4" ht="12.75" customHeight="1" x14ac:dyDescent="0.2">
      <c r="A7613" s="21"/>
      <c r="B7613" s="21"/>
      <c r="C7613" s="8" t="s">
        <v>44</v>
      </c>
      <c r="D7613" s="1" t="str">
        <f>HYPERLINK("javascript:void(0)","parszi fűző")</f>
        <v>parszi fűző</v>
      </c>
    </row>
    <row r="7614" spans="1:4" ht="12.75" customHeight="1" x14ac:dyDescent="0.2">
      <c r="A7614" s="21"/>
      <c r="B7614" s="2"/>
      <c r="C7614" s="7"/>
      <c r="D7614" s="7"/>
    </row>
    <row r="7615" spans="1:4" ht="12.75" customHeight="1" x14ac:dyDescent="0.2">
      <c r="A7615" s="21"/>
      <c r="B7615" s="2"/>
      <c r="C7615" s="7"/>
      <c r="D7615" s="7"/>
    </row>
    <row r="7616" spans="1:4" ht="12.75" customHeight="1" x14ac:dyDescent="0.2">
      <c r="A7616" s="21"/>
      <c r="B7616" s="2"/>
      <c r="C7616" s="7"/>
      <c r="D7616" s="7"/>
    </row>
    <row r="7617" spans="1:4" ht="12.75" customHeight="1" x14ac:dyDescent="0.2">
      <c r="A7617" s="21"/>
      <c r="B7617" s="2"/>
      <c r="C7617" s="7"/>
      <c r="D7617" s="7"/>
    </row>
    <row r="7618" spans="1:4" ht="12.75" customHeight="1" x14ac:dyDescent="0.2">
      <c r="A7618" s="5"/>
      <c r="B7618" s="2"/>
      <c r="C7618" s="7"/>
      <c r="D7618" s="7"/>
    </row>
    <row r="7619" spans="1:4" ht="12.75" customHeight="1" x14ac:dyDescent="0.2">
      <c r="A7619" s="22" t="str">
        <f>HYPERLINK("javascript:void(0)","magnetoacél testpajzs")</f>
        <v>magnetoacél testpajzs</v>
      </c>
      <c r="B7619" s="21"/>
      <c r="C7619" s="21"/>
      <c r="D7619" s="21"/>
    </row>
    <row r="7620" spans="1:4" ht="12.75" customHeight="1" x14ac:dyDescent="0.2">
      <c r="A7620" s="20"/>
      <c r="B7620" s="2"/>
      <c r="C7620" s="7"/>
      <c r="D7620" s="7"/>
    </row>
    <row r="7621" spans="1:4" ht="12.75" customHeight="1" x14ac:dyDescent="0.2">
      <c r="A7621" s="21"/>
      <c r="B7621" s="3" t="s">
        <v>0</v>
      </c>
      <c r="C7621" s="23" t="s">
        <v>248</v>
      </c>
      <c r="D7621" s="21"/>
    </row>
    <row r="7622" spans="1:4" ht="12.75" customHeight="1" x14ac:dyDescent="0.2">
      <c r="A7622" s="21"/>
      <c r="B7622" s="3" t="s">
        <v>2</v>
      </c>
      <c r="C7622" s="23" t="s">
        <v>1839</v>
      </c>
      <c r="D7622" s="21"/>
    </row>
    <row r="7623" spans="1:4" ht="12.75" customHeight="1" x14ac:dyDescent="0.2">
      <c r="A7623" s="21"/>
      <c r="B7623" s="3" t="s">
        <v>1840</v>
      </c>
      <c r="C7623" s="23" t="s">
        <v>383</v>
      </c>
      <c r="D7623" s="21"/>
    </row>
    <row r="7624" spans="1:4" ht="12.75" customHeight="1" x14ac:dyDescent="0.2">
      <c r="A7624" s="21"/>
      <c r="B7624" s="3" t="s">
        <v>9</v>
      </c>
      <c r="C7624" s="23" t="s">
        <v>262</v>
      </c>
      <c r="D7624" s="21"/>
    </row>
    <row r="7625" spans="1:4" ht="12.75" customHeight="1" x14ac:dyDescent="0.2">
      <c r="A7625" s="21"/>
      <c r="B7625" s="3" t="s">
        <v>11</v>
      </c>
      <c r="C7625" s="23" t="s">
        <v>835</v>
      </c>
      <c r="D7625" s="21"/>
    </row>
    <row r="7626" spans="1:4" ht="12.75" customHeight="1" x14ac:dyDescent="0.2">
      <c r="A7626" s="21"/>
      <c r="B7626" s="3" t="s">
        <v>16</v>
      </c>
      <c r="C7626" s="23"/>
      <c r="D7626" s="21"/>
    </row>
    <row r="7627" spans="1:4" ht="12.75" customHeight="1" x14ac:dyDescent="0.2">
      <c r="A7627" s="21"/>
      <c r="B7627" s="3" t="s">
        <v>17</v>
      </c>
      <c r="C7627" s="23" t="s">
        <v>19</v>
      </c>
      <c r="D7627" s="21"/>
    </row>
    <row r="7628" spans="1:4" ht="12.75" customHeight="1" x14ac:dyDescent="0.2">
      <c r="A7628" s="21"/>
      <c r="B7628" s="20" t="s">
        <v>18</v>
      </c>
      <c r="C7628" s="8" t="s">
        <v>44</v>
      </c>
      <c r="D7628" s="1" t="str">
        <f>HYPERLINK("javascript:void(0)","fotoacél testpajzs")</f>
        <v>fotoacél testpajzs</v>
      </c>
    </row>
    <row r="7629" spans="1:4" ht="12.75" customHeight="1" x14ac:dyDescent="0.2">
      <c r="A7629" s="21"/>
      <c r="B7629" s="21"/>
      <c r="C7629" s="8" t="s">
        <v>77</v>
      </c>
      <c r="D7629" s="1" t="str">
        <f>HYPERLINK("javascript:void(0)","tudásmorzsa")</f>
        <v>tudásmorzsa</v>
      </c>
    </row>
    <row r="7630" spans="1:4" ht="12.75" customHeight="1" x14ac:dyDescent="0.2">
      <c r="A7630" s="21"/>
      <c r="B7630" s="21"/>
      <c r="C7630" s="8" t="s">
        <v>193</v>
      </c>
      <c r="D7630" s="1" t="str">
        <f>HYPERLINK("javascript:void(0)","mágnes")</f>
        <v>mágnes</v>
      </c>
    </row>
    <row r="7631" spans="1:4" ht="12.75" customHeight="1" x14ac:dyDescent="0.2">
      <c r="A7631" s="21"/>
      <c r="B7631" s="2"/>
      <c r="C7631" s="7"/>
      <c r="D7631" s="7"/>
    </row>
    <row r="7632" spans="1:4" ht="12.75" customHeight="1" x14ac:dyDescent="0.2">
      <c r="A7632" s="21"/>
      <c r="B7632" s="2"/>
      <c r="C7632" s="7"/>
      <c r="D7632" s="7"/>
    </row>
    <row r="7633" spans="1:4" ht="12.75" customHeight="1" x14ac:dyDescent="0.2">
      <c r="A7633" s="21"/>
      <c r="B7633" s="2"/>
      <c r="C7633" s="7"/>
      <c r="D7633" s="7"/>
    </row>
    <row r="7634" spans="1:4" ht="12.75" customHeight="1" x14ac:dyDescent="0.2">
      <c r="A7634" s="21"/>
      <c r="B7634" s="2"/>
      <c r="C7634" s="7"/>
      <c r="D7634" s="7"/>
    </row>
    <row r="7635" spans="1:4" ht="12.75" customHeight="1" x14ac:dyDescent="0.2">
      <c r="A7635" s="5"/>
      <c r="B7635" s="2"/>
      <c r="C7635" s="7"/>
      <c r="D7635" s="7"/>
    </row>
    <row r="7636" spans="1:4" ht="12.75" customHeight="1" x14ac:dyDescent="0.2">
      <c r="A7636" s="22" t="str">
        <f>HYPERLINK("javascript:void(0)","dracoacél illanat")</f>
        <v>dracoacél illanat</v>
      </c>
      <c r="B7636" s="21"/>
      <c r="C7636" s="21"/>
      <c r="D7636" s="21"/>
    </row>
    <row r="7637" spans="1:4" ht="12.75" customHeight="1" x14ac:dyDescent="0.2">
      <c r="A7637" s="20"/>
      <c r="B7637" s="2"/>
      <c r="C7637" s="7"/>
      <c r="D7637" s="7"/>
    </row>
    <row r="7638" spans="1:4" ht="12.75" customHeight="1" x14ac:dyDescent="0.2">
      <c r="A7638" s="21"/>
      <c r="B7638" s="3" t="s">
        <v>0</v>
      </c>
      <c r="C7638" s="23" t="s">
        <v>248</v>
      </c>
      <c r="D7638" s="21"/>
    </row>
    <row r="7639" spans="1:4" ht="12.75" customHeight="1" x14ac:dyDescent="0.2">
      <c r="A7639" s="21"/>
      <c r="B7639" s="3" t="s">
        <v>2</v>
      </c>
      <c r="C7639" s="23" t="s">
        <v>1839</v>
      </c>
      <c r="D7639" s="21"/>
    </row>
    <row r="7640" spans="1:4" ht="12.75" customHeight="1" x14ac:dyDescent="0.2">
      <c r="A7640" s="21"/>
      <c r="B7640" s="3" t="s">
        <v>1840</v>
      </c>
      <c r="C7640" s="23" t="s">
        <v>383</v>
      </c>
      <c r="D7640" s="21"/>
    </row>
    <row r="7641" spans="1:4" ht="12.75" customHeight="1" x14ac:dyDescent="0.2">
      <c r="A7641" s="21"/>
      <c r="B7641" s="3" t="s">
        <v>9</v>
      </c>
      <c r="C7641" s="23" t="s">
        <v>867</v>
      </c>
      <c r="D7641" s="21"/>
    </row>
    <row r="7642" spans="1:4" ht="12.75" customHeight="1" x14ac:dyDescent="0.2">
      <c r="A7642" s="21"/>
      <c r="B7642" s="3" t="s">
        <v>11</v>
      </c>
      <c r="C7642" s="23" t="s">
        <v>879</v>
      </c>
      <c r="D7642" s="21"/>
    </row>
    <row r="7643" spans="1:4" ht="12.75" customHeight="1" x14ac:dyDescent="0.2">
      <c r="A7643" s="21"/>
      <c r="B7643" s="3" t="s">
        <v>16</v>
      </c>
      <c r="C7643" s="23"/>
      <c r="D7643" s="21"/>
    </row>
    <row r="7644" spans="1:4" ht="12.75" customHeight="1" x14ac:dyDescent="0.2">
      <c r="A7644" s="21"/>
      <c r="B7644" s="3" t="s">
        <v>17</v>
      </c>
      <c r="C7644" s="23" t="s">
        <v>19</v>
      </c>
      <c r="D7644" s="21"/>
    </row>
    <row r="7645" spans="1:4" ht="25.5" customHeight="1" x14ac:dyDescent="0.2">
      <c r="A7645" s="21"/>
      <c r="B7645" s="20" t="s">
        <v>18</v>
      </c>
      <c r="C7645" s="8" t="s">
        <v>44</v>
      </c>
      <c r="D7645" s="1" t="str">
        <f>HYPERLINK("javascript:void(0)","magnetoacél testpajzs")</f>
        <v>magnetoacél testpajzs</v>
      </c>
    </row>
    <row r="7646" spans="1:4" ht="12.75" customHeight="1" x14ac:dyDescent="0.2">
      <c r="A7646" s="21"/>
      <c r="B7646" s="21"/>
      <c r="C7646" s="8" t="s">
        <v>130</v>
      </c>
      <c r="D7646" s="1" t="str">
        <f>HYPERLINK("javascript:void(0)","sárkányfű")</f>
        <v>sárkányfű</v>
      </c>
    </row>
    <row r="7647" spans="1:4" ht="12.75" customHeight="1" x14ac:dyDescent="0.2">
      <c r="A7647" s="21"/>
      <c r="B7647" s="21"/>
      <c r="C7647" s="8" t="s">
        <v>117</v>
      </c>
      <c r="D7647" s="1" t="str">
        <f>HYPERLINK("javascript:void(0)","gigacsáp")</f>
        <v>gigacsáp</v>
      </c>
    </row>
    <row r="7648" spans="1:4" ht="12.75" customHeight="1" x14ac:dyDescent="0.2">
      <c r="A7648" s="21"/>
      <c r="B7648" s="2"/>
      <c r="C7648" s="7"/>
      <c r="D7648" s="7"/>
    </row>
    <row r="7649" spans="1:4" ht="12.75" customHeight="1" x14ac:dyDescent="0.2">
      <c r="A7649" s="21"/>
      <c r="B7649" s="2"/>
      <c r="C7649" s="7"/>
      <c r="D7649" s="7"/>
    </row>
    <row r="7650" spans="1:4" ht="12.75" customHeight="1" x14ac:dyDescent="0.2">
      <c r="A7650" s="21"/>
      <c r="B7650" s="2"/>
      <c r="C7650" s="7"/>
      <c r="D7650" s="7"/>
    </row>
    <row r="7651" spans="1:4" ht="12.75" customHeight="1" x14ac:dyDescent="0.2">
      <c r="A7651" s="21"/>
      <c r="B7651" s="2"/>
      <c r="C7651" s="7"/>
      <c r="D7651" s="7"/>
    </row>
    <row r="7652" spans="1:4" ht="12.75" customHeight="1" x14ac:dyDescent="0.2">
      <c r="A7652" s="5"/>
      <c r="B7652" s="2"/>
      <c r="C7652" s="7"/>
      <c r="D7652" s="7"/>
    </row>
    <row r="7653" spans="1:4" ht="12.75" customHeight="1" x14ac:dyDescent="0.2">
      <c r="A7653" s="22" t="str">
        <f>HYPERLINK("javascript:void(0)","parszi fűző")</f>
        <v>parszi fűző</v>
      </c>
      <c r="B7653" s="21"/>
      <c r="C7653" s="21"/>
      <c r="D7653" s="21"/>
    </row>
    <row r="7654" spans="1:4" ht="12.75" customHeight="1" x14ac:dyDescent="0.2">
      <c r="A7654" s="20"/>
      <c r="B7654" s="2"/>
      <c r="C7654" s="7"/>
      <c r="D7654" s="7"/>
    </row>
    <row r="7655" spans="1:4" ht="12.75" customHeight="1" x14ac:dyDescent="0.2">
      <c r="A7655" s="21"/>
      <c r="B7655" s="3" t="s">
        <v>0</v>
      </c>
      <c r="C7655" s="23" t="s">
        <v>248</v>
      </c>
      <c r="D7655" s="21"/>
    </row>
    <row r="7656" spans="1:4" ht="12.75" customHeight="1" x14ac:dyDescent="0.2">
      <c r="A7656" s="21"/>
      <c r="B7656" s="3" t="s">
        <v>2</v>
      </c>
      <c r="C7656" s="23"/>
      <c r="D7656" s="21"/>
    </row>
    <row r="7657" spans="1:4" ht="12.75" customHeight="1" x14ac:dyDescent="0.2">
      <c r="A7657" s="21"/>
      <c r="B7657" s="3" t="s">
        <v>1840</v>
      </c>
      <c r="C7657" s="23" t="s">
        <v>340</v>
      </c>
      <c r="D7657" s="21"/>
    </row>
    <row r="7658" spans="1:4" ht="12.75" customHeight="1" x14ac:dyDescent="0.2">
      <c r="A7658" s="21"/>
      <c r="B7658" s="3" t="s">
        <v>9</v>
      </c>
      <c r="C7658" s="23" t="s">
        <v>42</v>
      </c>
      <c r="D7658" s="21"/>
    </row>
    <row r="7659" spans="1:4" ht="12.75" customHeight="1" x14ac:dyDescent="0.2">
      <c r="A7659" s="21"/>
      <c r="B7659" s="3" t="s">
        <v>11</v>
      </c>
      <c r="C7659" s="23" t="s">
        <v>368</v>
      </c>
      <c r="D7659" s="21"/>
    </row>
    <row r="7660" spans="1:4" ht="12.75" customHeight="1" x14ac:dyDescent="0.2">
      <c r="A7660" s="21"/>
      <c r="B7660" s="3" t="s">
        <v>16</v>
      </c>
      <c r="C7660" s="23"/>
      <c r="D7660" s="21"/>
    </row>
    <row r="7661" spans="1:4" ht="12.75" customHeight="1" x14ac:dyDescent="0.2">
      <c r="A7661" s="21"/>
      <c r="B7661" s="3" t="s">
        <v>17</v>
      </c>
      <c r="C7661" s="23" t="s">
        <v>19</v>
      </c>
      <c r="D7661" s="21"/>
    </row>
    <row r="7662" spans="1:4" ht="12.75" customHeight="1" x14ac:dyDescent="0.2">
      <c r="A7662" s="21"/>
      <c r="B7662" s="20" t="s">
        <v>18</v>
      </c>
      <c r="C7662" s="8" t="s">
        <v>77</v>
      </c>
      <c r="D7662" s="1" t="str">
        <f>HYPERLINK("javascript:void(0)","gigacsáp")</f>
        <v>gigacsáp</v>
      </c>
    </row>
    <row r="7663" spans="1:4" ht="12.75" customHeight="1" x14ac:dyDescent="0.2">
      <c r="A7663" s="21"/>
      <c r="B7663" s="21"/>
      <c r="C7663" s="8" t="s">
        <v>382</v>
      </c>
      <c r="D7663" s="1" t="str">
        <f>HYPERLINK("javascript:void(0)","istenköröm")</f>
        <v>istenköröm</v>
      </c>
    </row>
    <row r="7664" spans="1:4" ht="12.75" customHeight="1" x14ac:dyDescent="0.2">
      <c r="A7664" s="21"/>
      <c r="B7664" s="21"/>
      <c r="C7664" s="8" t="s">
        <v>309</v>
      </c>
      <c r="D7664" s="1" t="str">
        <f>HYPERLINK("javascript:void(0)","mechodron")</f>
        <v>mechodron</v>
      </c>
    </row>
    <row r="7665" spans="1:4" ht="12.75" customHeight="1" x14ac:dyDescent="0.2">
      <c r="A7665" s="21"/>
      <c r="B7665" s="2"/>
      <c r="C7665" s="7"/>
      <c r="D7665" s="7"/>
    </row>
    <row r="7666" spans="1:4" ht="12.75" customHeight="1" x14ac:dyDescent="0.2">
      <c r="A7666" s="21"/>
      <c r="B7666" s="2"/>
      <c r="C7666" s="7"/>
      <c r="D7666" s="7"/>
    </row>
    <row r="7667" spans="1:4" ht="12.75" customHeight="1" x14ac:dyDescent="0.2">
      <c r="A7667" s="21"/>
      <c r="B7667" s="2"/>
      <c r="C7667" s="7"/>
      <c r="D7667" s="7"/>
    </row>
    <row r="7668" spans="1:4" ht="12.75" customHeight="1" x14ac:dyDescent="0.2">
      <c r="A7668" s="21"/>
      <c r="B7668" s="2"/>
      <c r="C7668" s="7"/>
      <c r="D7668" s="7"/>
    </row>
    <row r="7669" spans="1:4" ht="12.75" customHeight="1" x14ac:dyDescent="0.2">
      <c r="A7669" s="5"/>
      <c r="B7669" s="2"/>
      <c r="C7669" s="7"/>
      <c r="D7669" s="7"/>
    </row>
    <row r="7670" spans="1:4" ht="12.75" customHeight="1" x14ac:dyDescent="0.2">
      <c r="A7670" s="22" t="str">
        <f>HYPERLINK("javascript:void(0)","magnetoacél mellvért")</f>
        <v>magnetoacél mellvért</v>
      </c>
      <c r="B7670" s="21"/>
      <c r="C7670" s="21"/>
      <c r="D7670" s="21"/>
    </row>
    <row r="7671" spans="1:4" ht="12.75" customHeight="1" x14ac:dyDescent="0.2">
      <c r="A7671" s="20"/>
      <c r="B7671" s="2"/>
      <c r="C7671" s="7"/>
      <c r="D7671" s="7"/>
    </row>
    <row r="7672" spans="1:4" ht="12.75" customHeight="1" x14ac:dyDescent="0.2">
      <c r="A7672" s="21"/>
      <c r="B7672" s="3" t="s">
        <v>0</v>
      </c>
      <c r="C7672" s="23" t="s">
        <v>635</v>
      </c>
      <c r="D7672" s="21"/>
    </row>
    <row r="7673" spans="1:4" ht="12.75" customHeight="1" x14ac:dyDescent="0.2">
      <c r="A7673" s="21"/>
      <c r="B7673" s="3" t="s">
        <v>2</v>
      </c>
      <c r="C7673" s="23" t="s">
        <v>2322</v>
      </c>
      <c r="D7673" s="21"/>
    </row>
    <row r="7674" spans="1:4" ht="12.75" customHeight="1" x14ac:dyDescent="0.2">
      <c r="A7674" s="21"/>
      <c r="B7674" s="3" t="s">
        <v>1840</v>
      </c>
      <c r="C7674" s="23" t="s">
        <v>1814</v>
      </c>
      <c r="D7674" s="21"/>
    </row>
    <row r="7675" spans="1:4" ht="12.75" customHeight="1" x14ac:dyDescent="0.2">
      <c r="A7675" s="21"/>
      <c r="B7675" s="3" t="s">
        <v>9</v>
      </c>
      <c r="C7675" s="23" t="s">
        <v>200</v>
      </c>
      <c r="D7675" s="21"/>
    </row>
    <row r="7676" spans="1:4" ht="12.75" customHeight="1" x14ac:dyDescent="0.2">
      <c r="A7676" s="21"/>
      <c r="B7676" s="3" t="s">
        <v>11</v>
      </c>
      <c r="C7676" s="23" t="s">
        <v>722</v>
      </c>
      <c r="D7676" s="21"/>
    </row>
    <row r="7677" spans="1:4" ht="12.75" customHeight="1" x14ac:dyDescent="0.2">
      <c r="A7677" s="21"/>
      <c r="B7677" s="3" t="s">
        <v>16</v>
      </c>
      <c r="C7677" s="23"/>
      <c r="D7677" s="21"/>
    </row>
    <row r="7678" spans="1:4" ht="12.75" customHeight="1" x14ac:dyDescent="0.2">
      <c r="A7678" s="21"/>
      <c r="B7678" s="3" t="s">
        <v>17</v>
      </c>
      <c r="C7678" s="23" t="s">
        <v>19</v>
      </c>
      <c r="D7678" s="21"/>
    </row>
    <row r="7679" spans="1:4" ht="12.75" customHeight="1" x14ac:dyDescent="0.2">
      <c r="A7679" s="21"/>
      <c r="B7679" s="20" t="s">
        <v>18</v>
      </c>
      <c r="C7679" s="8" t="s">
        <v>44</v>
      </c>
      <c r="D7679" s="1" t="str">
        <f>HYPERLINK("javascript:void(0)","thordi mellvért")</f>
        <v>thordi mellvért</v>
      </c>
    </row>
    <row r="7680" spans="1:4" ht="12.75" customHeight="1" x14ac:dyDescent="0.2">
      <c r="A7680" s="21"/>
      <c r="B7680" s="21"/>
      <c r="C7680" s="8" t="s">
        <v>44</v>
      </c>
      <c r="D7680" s="1" t="str">
        <f>HYPERLINK("javascript:void(0)","fotoacél mellvért")</f>
        <v>fotoacél mellvért</v>
      </c>
    </row>
    <row r="7681" spans="1:4" ht="12.75" customHeight="1" x14ac:dyDescent="0.2">
      <c r="A7681" s="21"/>
      <c r="B7681" s="21"/>
      <c r="C7681" s="8" t="s">
        <v>44</v>
      </c>
      <c r="D7681" s="1" t="str">
        <f>HYPERLINK("javascript:void(0)","magnetoacél előlap")</f>
        <v>magnetoacél előlap</v>
      </c>
    </row>
    <row r="7682" spans="1:4" ht="12.75" customHeight="1" x14ac:dyDescent="0.2">
      <c r="A7682" s="21"/>
      <c r="B7682" s="2"/>
      <c r="C7682" s="7"/>
      <c r="D7682" s="7"/>
    </row>
    <row r="7683" spans="1:4" ht="12.75" customHeight="1" x14ac:dyDescent="0.2">
      <c r="A7683" s="21"/>
      <c r="B7683" s="2"/>
      <c r="C7683" s="7"/>
      <c r="D7683" s="7"/>
    </row>
    <row r="7684" spans="1:4" ht="12.75" customHeight="1" x14ac:dyDescent="0.2">
      <c r="A7684" s="21"/>
      <c r="B7684" s="2"/>
      <c r="C7684" s="7"/>
      <c r="D7684" s="7"/>
    </row>
    <row r="7685" spans="1:4" ht="12.75" customHeight="1" x14ac:dyDescent="0.2">
      <c r="A7685" s="21"/>
      <c r="B7685" s="2"/>
      <c r="C7685" s="7"/>
      <c r="D7685" s="7"/>
    </row>
    <row r="7686" spans="1:4" ht="12.75" customHeight="1" x14ac:dyDescent="0.2">
      <c r="A7686" s="5"/>
      <c r="B7686" s="2"/>
      <c r="C7686" s="7"/>
      <c r="D7686" s="7"/>
    </row>
    <row r="7687" spans="1:4" ht="12.75" customHeight="1" x14ac:dyDescent="0.2">
      <c r="A7687" s="22" t="str">
        <f>HYPERLINK("javascript:void(0)","vasalt sisak")</f>
        <v>vasalt sisak</v>
      </c>
      <c r="B7687" s="21"/>
      <c r="C7687" s="21"/>
      <c r="D7687" s="21"/>
    </row>
    <row r="7688" spans="1:4" ht="12.75" customHeight="1" x14ac:dyDescent="0.2">
      <c r="A7688" s="20"/>
      <c r="B7688" s="2"/>
      <c r="C7688" s="7"/>
      <c r="D7688" s="7"/>
    </row>
    <row r="7689" spans="1:4" ht="12.75" customHeight="1" x14ac:dyDescent="0.2">
      <c r="A7689" s="21"/>
      <c r="B7689" s="3" t="s">
        <v>0</v>
      </c>
      <c r="C7689" s="23" t="s">
        <v>635</v>
      </c>
      <c r="D7689" s="21"/>
    </row>
    <row r="7690" spans="1:4" ht="12.75" customHeight="1" x14ac:dyDescent="0.2">
      <c r="A7690" s="21"/>
      <c r="B7690" s="3" t="s">
        <v>2</v>
      </c>
      <c r="C7690" s="23"/>
      <c r="D7690" s="21"/>
    </row>
    <row r="7691" spans="1:4" ht="12.75" customHeight="1" x14ac:dyDescent="0.2">
      <c r="A7691" s="21"/>
      <c r="B7691" s="3" t="s">
        <v>1840</v>
      </c>
      <c r="C7691" s="23" t="s">
        <v>1359</v>
      </c>
      <c r="D7691" s="21"/>
    </row>
    <row r="7692" spans="1:4" ht="12.75" customHeight="1" x14ac:dyDescent="0.2">
      <c r="A7692" s="21"/>
      <c r="B7692" s="3" t="s">
        <v>9</v>
      </c>
      <c r="C7692" s="23" t="s">
        <v>172</v>
      </c>
      <c r="D7692" s="21"/>
    </row>
    <row r="7693" spans="1:4" ht="12.75" customHeight="1" x14ac:dyDescent="0.2">
      <c r="A7693" s="21"/>
      <c r="B7693" s="3" t="s">
        <v>11</v>
      </c>
      <c r="C7693" s="23" t="s">
        <v>722</v>
      </c>
      <c r="D7693" s="21"/>
    </row>
    <row r="7694" spans="1:4" ht="12.75" customHeight="1" x14ac:dyDescent="0.2">
      <c r="A7694" s="21"/>
      <c r="B7694" s="3" t="s">
        <v>16</v>
      </c>
      <c r="C7694" s="23"/>
      <c r="D7694" s="21"/>
    </row>
    <row r="7695" spans="1:4" ht="12.75" customHeight="1" x14ac:dyDescent="0.2">
      <c r="A7695" s="21"/>
      <c r="B7695" s="3" t="s">
        <v>17</v>
      </c>
      <c r="C7695" s="23" t="s">
        <v>19</v>
      </c>
      <c r="D7695" s="21"/>
    </row>
    <row r="7696" spans="1:4" ht="12.75" customHeight="1" x14ac:dyDescent="0.2">
      <c r="A7696" s="21"/>
      <c r="B7696" s="20" t="s">
        <v>18</v>
      </c>
      <c r="C7696" s="8" t="s">
        <v>77</v>
      </c>
      <c r="D7696" s="1" t="str">
        <f>HYPERLINK("javascript:void(0)","vasorr")</f>
        <v>vasorr</v>
      </c>
    </row>
    <row r="7697" spans="1:4" ht="12.75" customHeight="1" x14ac:dyDescent="0.2">
      <c r="A7697" s="21"/>
      <c r="B7697" s="21"/>
      <c r="C7697" s="8" t="s">
        <v>280</v>
      </c>
      <c r="D7697" s="1" t="str">
        <f>HYPERLINK("javascript:void(0)","nukleon")</f>
        <v>nukleon</v>
      </c>
    </row>
    <row r="7698" spans="1:4" ht="12.75" customHeight="1" x14ac:dyDescent="0.2">
      <c r="A7698" s="21"/>
      <c r="B7698" s="21"/>
      <c r="C7698" s="8" t="s">
        <v>290</v>
      </c>
      <c r="D7698" s="1" t="str">
        <f>HYPERLINK("javascript:void(0)","rémszarv")</f>
        <v>rémszarv</v>
      </c>
    </row>
    <row r="7699" spans="1:4" ht="12.75" customHeight="1" x14ac:dyDescent="0.2">
      <c r="A7699" s="21"/>
      <c r="B7699" s="2"/>
      <c r="C7699" s="7"/>
      <c r="D7699" s="7"/>
    </row>
    <row r="7700" spans="1:4" ht="12.75" customHeight="1" x14ac:dyDescent="0.2">
      <c r="A7700" s="21"/>
      <c r="B7700" s="2"/>
      <c r="C7700" s="7"/>
      <c r="D7700" s="7"/>
    </row>
    <row r="7701" spans="1:4" ht="12.75" customHeight="1" x14ac:dyDescent="0.2">
      <c r="A7701" s="21"/>
      <c r="B7701" s="2"/>
      <c r="C7701" s="7"/>
      <c r="D7701" s="7"/>
    </row>
    <row r="7702" spans="1:4" ht="12.75" customHeight="1" x14ac:dyDescent="0.2">
      <c r="A7702" s="21"/>
      <c r="B7702" s="2"/>
      <c r="C7702" s="7"/>
      <c r="D7702" s="7"/>
    </row>
    <row r="7703" spans="1:4" ht="12.75" customHeight="1" x14ac:dyDescent="0.2">
      <c r="A7703" s="5"/>
      <c r="B7703" s="2"/>
      <c r="C7703" s="7"/>
      <c r="D7703" s="7"/>
    </row>
    <row r="7704" spans="1:4" ht="12.75" customHeight="1" x14ac:dyDescent="0.2">
      <c r="A7704" s="22" t="str">
        <f>HYPERLINK("javascript:void(0)","kentacél saru")</f>
        <v>kentacél saru</v>
      </c>
      <c r="B7704" s="21"/>
      <c r="C7704" s="21"/>
      <c r="D7704" s="21"/>
    </row>
    <row r="7705" spans="1:4" ht="12.75" customHeight="1" x14ac:dyDescent="0.2">
      <c r="A7705" s="20"/>
      <c r="B7705" s="2"/>
      <c r="C7705" s="7"/>
      <c r="D7705" s="7"/>
    </row>
    <row r="7706" spans="1:4" ht="12.75" customHeight="1" x14ac:dyDescent="0.2">
      <c r="A7706" s="21"/>
      <c r="B7706" s="3" t="s">
        <v>0</v>
      </c>
      <c r="C7706" s="23" t="s">
        <v>635</v>
      </c>
      <c r="D7706" s="21"/>
    </row>
    <row r="7707" spans="1:4" ht="12.75" customHeight="1" x14ac:dyDescent="0.2">
      <c r="A7707" s="21"/>
      <c r="B7707" s="3" t="s">
        <v>2</v>
      </c>
      <c r="C7707" s="23"/>
      <c r="D7707" s="21"/>
    </row>
    <row r="7708" spans="1:4" ht="12.75" customHeight="1" x14ac:dyDescent="0.2">
      <c r="A7708" s="21"/>
      <c r="B7708" s="3" t="s">
        <v>1840</v>
      </c>
      <c r="C7708" s="23" t="s">
        <v>1322</v>
      </c>
      <c r="D7708" s="21"/>
    </row>
    <row r="7709" spans="1:4" ht="12.75" customHeight="1" x14ac:dyDescent="0.2">
      <c r="A7709" s="21"/>
      <c r="B7709" s="3" t="s">
        <v>9</v>
      </c>
      <c r="C7709" s="23" t="s">
        <v>30</v>
      </c>
      <c r="D7709" s="21"/>
    </row>
    <row r="7710" spans="1:4" ht="12.75" customHeight="1" x14ac:dyDescent="0.2">
      <c r="A7710" s="21"/>
      <c r="B7710" s="3" t="s">
        <v>11</v>
      </c>
      <c r="C7710" s="23" t="s">
        <v>754</v>
      </c>
      <c r="D7710" s="21"/>
    </row>
    <row r="7711" spans="1:4" ht="12.75" customHeight="1" x14ac:dyDescent="0.2">
      <c r="A7711" s="21"/>
      <c r="B7711" s="3" t="s">
        <v>16</v>
      </c>
      <c r="C7711" s="23"/>
      <c r="D7711" s="21"/>
    </row>
    <row r="7712" spans="1:4" ht="12.75" customHeight="1" x14ac:dyDescent="0.2">
      <c r="A7712" s="21"/>
      <c r="B7712" s="3" t="s">
        <v>17</v>
      </c>
      <c r="C7712" s="23" t="s">
        <v>19</v>
      </c>
      <c r="D7712" s="21"/>
    </row>
    <row r="7713" spans="1:4" ht="12.75" customHeight="1" x14ac:dyDescent="0.2">
      <c r="A7713" s="21"/>
      <c r="B7713" s="20" t="s">
        <v>18</v>
      </c>
      <c r="C7713" s="8" t="s">
        <v>44</v>
      </c>
      <c r="D7713" s="1" t="str">
        <f>HYPERLINK("javascript:void(0)","parszi saru")</f>
        <v>parszi saru</v>
      </c>
    </row>
    <row r="7714" spans="1:4" ht="12.75" customHeight="1" x14ac:dyDescent="0.2">
      <c r="A7714" s="21"/>
      <c r="B7714" s="21"/>
      <c r="C7714" s="8" t="s">
        <v>77</v>
      </c>
      <c r="D7714" s="1" t="str">
        <f>HYPERLINK("javascript:void(0)","istenpenge")</f>
        <v>istenpenge</v>
      </c>
    </row>
    <row r="7715" spans="1:4" ht="12.75" customHeight="1" x14ac:dyDescent="0.2">
      <c r="A7715" s="21"/>
      <c r="B7715" s="21"/>
      <c r="C7715" s="8" t="s">
        <v>193</v>
      </c>
      <c r="D7715" s="1" t="str">
        <f>HYPERLINK("javascript:void(0)","kispárna")</f>
        <v>kispárna</v>
      </c>
    </row>
    <row r="7716" spans="1:4" ht="12.75" customHeight="1" x14ac:dyDescent="0.2">
      <c r="A7716" s="21"/>
      <c r="B7716" s="2"/>
      <c r="C7716" s="7"/>
      <c r="D7716" s="7"/>
    </row>
    <row r="7717" spans="1:4" ht="12.75" customHeight="1" x14ac:dyDescent="0.2">
      <c r="A7717" s="21"/>
      <c r="B7717" s="2"/>
      <c r="C7717" s="7"/>
      <c r="D7717" s="7"/>
    </row>
    <row r="7718" spans="1:4" ht="12.75" customHeight="1" x14ac:dyDescent="0.2">
      <c r="A7718" s="21"/>
      <c r="B7718" s="2"/>
      <c r="C7718" s="7"/>
      <c r="D7718" s="7"/>
    </row>
    <row r="7719" spans="1:4" ht="12.75" customHeight="1" x14ac:dyDescent="0.2">
      <c r="A7719" s="21"/>
      <c r="B7719" s="2"/>
      <c r="C7719" s="7"/>
      <c r="D7719" s="7"/>
    </row>
    <row r="7720" spans="1:4" ht="12.75" customHeight="1" x14ac:dyDescent="0.2">
      <c r="A7720" s="5"/>
      <c r="B7720" s="2"/>
      <c r="C7720" s="7"/>
      <c r="D7720" s="7"/>
    </row>
    <row r="7721" spans="1:4" ht="12.75" customHeight="1" x14ac:dyDescent="0.2">
      <c r="A7721" s="22" t="str">
        <f>HYPERLINK("javascript:void(0)","helioacél pajzs")</f>
        <v>helioacél pajzs</v>
      </c>
      <c r="B7721" s="21"/>
      <c r="C7721" s="21"/>
      <c r="D7721" s="21"/>
    </row>
    <row r="7722" spans="1:4" ht="12.75" customHeight="1" x14ac:dyDescent="0.2">
      <c r="A7722" s="20"/>
      <c r="B7722" s="2"/>
      <c r="C7722" s="7"/>
      <c r="D7722" s="7"/>
    </row>
    <row r="7723" spans="1:4" ht="12.75" customHeight="1" x14ac:dyDescent="0.2">
      <c r="A7723" s="21"/>
      <c r="B7723" s="3" t="s">
        <v>0</v>
      </c>
      <c r="C7723" s="23" t="s">
        <v>635</v>
      </c>
      <c r="D7723" s="21"/>
    </row>
    <row r="7724" spans="1:4" ht="12.75" customHeight="1" x14ac:dyDescent="0.2">
      <c r="A7724" s="21"/>
      <c r="B7724" s="3" t="s">
        <v>2</v>
      </c>
      <c r="C7724" s="23" t="s">
        <v>1839</v>
      </c>
      <c r="D7724" s="21"/>
    </row>
    <row r="7725" spans="1:4" ht="12.75" customHeight="1" x14ac:dyDescent="0.2">
      <c r="A7725" s="21"/>
      <c r="B7725" s="3" t="s">
        <v>1840</v>
      </c>
      <c r="C7725" s="23" t="s">
        <v>1740</v>
      </c>
      <c r="D7725" s="21"/>
    </row>
    <row r="7726" spans="1:4" ht="12.75" customHeight="1" x14ac:dyDescent="0.2">
      <c r="A7726" s="21"/>
      <c r="B7726" s="3" t="s">
        <v>9</v>
      </c>
      <c r="C7726" s="23" t="s">
        <v>377</v>
      </c>
      <c r="D7726" s="21"/>
    </row>
    <row r="7727" spans="1:4" ht="12.75" customHeight="1" x14ac:dyDescent="0.2">
      <c r="A7727" s="21"/>
      <c r="B7727" s="3" t="s">
        <v>11</v>
      </c>
      <c r="C7727" s="23" t="s">
        <v>856</v>
      </c>
      <c r="D7727" s="21"/>
    </row>
    <row r="7728" spans="1:4" ht="12.75" customHeight="1" x14ac:dyDescent="0.2">
      <c r="A7728" s="21"/>
      <c r="B7728" s="3" t="s">
        <v>16</v>
      </c>
      <c r="C7728" s="23"/>
      <c r="D7728" s="21"/>
    </row>
    <row r="7729" spans="1:4" ht="12.75" customHeight="1" x14ac:dyDescent="0.2">
      <c r="A7729" s="21"/>
      <c r="B7729" s="3" t="s">
        <v>17</v>
      </c>
      <c r="C7729" s="23" t="s">
        <v>19</v>
      </c>
      <c r="D7729" s="21"/>
    </row>
    <row r="7730" spans="1:4" ht="12.75" customHeight="1" x14ac:dyDescent="0.2">
      <c r="A7730" s="21"/>
      <c r="B7730" s="20" t="s">
        <v>18</v>
      </c>
      <c r="C7730" s="8" t="s">
        <v>44</v>
      </c>
      <c r="D7730" s="1" t="str">
        <f>HYPERLINK("javascript:void(0)","magnetoacél pajzs")</f>
        <v>magnetoacél pajzs</v>
      </c>
    </row>
    <row r="7731" spans="1:4" ht="12.75" customHeight="1" x14ac:dyDescent="0.2">
      <c r="A7731" s="21"/>
      <c r="B7731" s="21"/>
      <c r="C7731" s="8" t="s">
        <v>77</v>
      </c>
      <c r="D7731" s="1" t="str">
        <f>HYPERLINK("javascript:void(0)","istenpenge")</f>
        <v>istenpenge</v>
      </c>
    </row>
    <row r="7732" spans="1:4" ht="12.75" customHeight="1" x14ac:dyDescent="0.2">
      <c r="A7732" s="21"/>
      <c r="B7732" s="21"/>
      <c r="C7732" s="8" t="s">
        <v>98</v>
      </c>
      <c r="D7732" s="1" t="str">
        <f>HYPERLINK("javascript:void(0)","napfolt")</f>
        <v>napfolt</v>
      </c>
    </row>
    <row r="7733" spans="1:4" ht="12.75" customHeight="1" x14ac:dyDescent="0.2">
      <c r="A7733" s="21"/>
      <c r="B7733" s="2"/>
      <c r="C7733" s="7"/>
      <c r="D7733" s="7"/>
    </row>
    <row r="7734" spans="1:4" ht="12.75" customHeight="1" x14ac:dyDescent="0.2">
      <c r="A7734" s="21"/>
      <c r="B7734" s="2"/>
      <c r="C7734" s="7"/>
      <c r="D7734" s="7"/>
    </row>
    <row r="7735" spans="1:4" ht="12.75" customHeight="1" x14ac:dyDescent="0.2">
      <c r="A7735" s="21"/>
      <c r="B7735" s="2"/>
      <c r="C7735" s="7"/>
      <c r="D7735" s="7"/>
    </row>
    <row r="7736" spans="1:4" ht="12.75" customHeight="1" x14ac:dyDescent="0.2">
      <c r="A7736" s="21"/>
      <c r="B7736" s="2"/>
      <c r="C7736" s="7"/>
      <c r="D7736" s="7"/>
    </row>
    <row r="7737" spans="1:4" ht="12.75" customHeight="1" x14ac:dyDescent="0.2">
      <c r="A7737" s="5"/>
      <c r="B7737" s="2"/>
      <c r="C7737" s="7"/>
      <c r="D7737" s="7"/>
    </row>
    <row r="7738" spans="1:4" ht="12.75" customHeight="1" x14ac:dyDescent="0.2">
      <c r="A7738" s="22" t="str">
        <f>HYPERLINK("javascript:void(0)","centroveretű illanat")</f>
        <v>centroveretű illanat</v>
      </c>
      <c r="B7738" s="21"/>
      <c r="C7738" s="21"/>
      <c r="D7738" s="21"/>
    </row>
    <row r="7739" spans="1:4" ht="12.75" customHeight="1" x14ac:dyDescent="0.2">
      <c r="A7739" s="20"/>
      <c r="B7739" s="2"/>
      <c r="C7739" s="7"/>
      <c r="D7739" s="7"/>
    </row>
    <row r="7740" spans="1:4" ht="12.75" customHeight="1" x14ac:dyDescent="0.2">
      <c r="A7740" s="21"/>
      <c r="B7740" s="3" t="s">
        <v>0</v>
      </c>
      <c r="C7740" s="23" t="s">
        <v>635</v>
      </c>
      <c r="D7740" s="21"/>
    </row>
    <row r="7741" spans="1:4" ht="12.75" customHeight="1" x14ac:dyDescent="0.2">
      <c r="A7741" s="21"/>
      <c r="B7741" s="3" t="s">
        <v>2</v>
      </c>
      <c r="C7741" s="23" t="s">
        <v>1839</v>
      </c>
      <c r="D7741" s="21"/>
    </row>
    <row r="7742" spans="1:4" ht="12.75" customHeight="1" x14ac:dyDescent="0.2">
      <c r="A7742" s="21"/>
      <c r="B7742" s="3" t="s">
        <v>1840</v>
      </c>
      <c r="C7742" s="23" t="s">
        <v>1740</v>
      </c>
      <c r="D7742" s="21"/>
    </row>
    <row r="7743" spans="1:4" ht="12.75" customHeight="1" x14ac:dyDescent="0.2">
      <c r="A7743" s="21"/>
      <c r="B7743" s="3" t="s">
        <v>9</v>
      </c>
      <c r="C7743" s="23" t="s">
        <v>2050</v>
      </c>
      <c r="D7743" s="21"/>
    </row>
    <row r="7744" spans="1:4" ht="12.75" customHeight="1" x14ac:dyDescent="0.2">
      <c r="A7744" s="21"/>
      <c r="B7744" s="3" t="s">
        <v>11</v>
      </c>
      <c r="C7744" s="23" t="s">
        <v>901</v>
      </c>
      <c r="D7744" s="21"/>
    </row>
    <row r="7745" spans="1:4" ht="12.75" customHeight="1" x14ac:dyDescent="0.2">
      <c r="A7745" s="21"/>
      <c r="B7745" s="3" t="s">
        <v>16</v>
      </c>
      <c r="C7745" s="23"/>
      <c r="D7745" s="21"/>
    </row>
    <row r="7746" spans="1:4" ht="12.75" customHeight="1" x14ac:dyDescent="0.2">
      <c r="A7746" s="21"/>
      <c r="B7746" s="3" t="s">
        <v>17</v>
      </c>
      <c r="C7746" s="23" t="s">
        <v>19</v>
      </c>
      <c r="D7746" s="21"/>
    </row>
    <row r="7747" spans="1:4" ht="12.75" customHeight="1" x14ac:dyDescent="0.2">
      <c r="A7747" s="21"/>
      <c r="B7747" s="20" t="s">
        <v>18</v>
      </c>
      <c r="C7747" s="8" t="s">
        <v>44</v>
      </c>
      <c r="D7747" s="1" t="str">
        <f>HYPERLINK("javascript:void(0)","helioacél pajzs")</f>
        <v>helioacél pajzs</v>
      </c>
    </row>
    <row r="7748" spans="1:4" ht="12.75" customHeight="1" x14ac:dyDescent="0.2">
      <c r="A7748" s="21"/>
      <c r="B7748" s="21"/>
      <c r="C7748" s="8" t="s">
        <v>632</v>
      </c>
      <c r="D7748" s="1" t="str">
        <f>HYPERLINK("javascript:void(0)","centrolium")</f>
        <v>centrolium</v>
      </c>
    </row>
    <row r="7749" spans="1:4" ht="12.75" customHeight="1" x14ac:dyDescent="0.2">
      <c r="A7749" s="21"/>
      <c r="B7749" s="21"/>
      <c r="C7749" s="8" t="s">
        <v>117</v>
      </c>
      <c r="D7749" s="1" t="str">
        <f>HYPERLINK("javascript:void(0)","vasorr")</f>
        <v>vasorr</v>
      </c>
    </row>
    <row r="7750" spans="1:4" ht="12.75" customHeight="1" x14ac:dyDescent="0.2">
      <c r="A7750" s="21"/>
      <c r="B7750" s="2"/>
      <c r="C7750" s="7"/>
      <c r="D7750" s="7"/>
    </row>
    <row r="7751" spans="1:4" ht="12.75" customHeight="1" x14ac:dyDescent="0.2">
      <c r="A7751" s="21"/>
      <c r="B7751" s="2"/>
      <c r="C7751" s="7"/>
      <c r="D7751" s="7"/>
    </row>
    <row r="7752" spans="1:4" ht="12.75" customHeight="1" x14ac:dyDescent="0.2">
      <c r="A7752" s="21"/>
      <c r="B7752" s="2"/>
      <c r="C7752" s="7"/>
      <c r="D7752" s="7"/>
    </row>
    <row r="7753" spans="1:4" ht="12.75" customHeight="1" x14ac:dyDescent="0.2">
      <c r="A7753" s="21"/>
      <c r="B7753" s="2"/>
      <c r="C7753" s="7"/>
      <c r="D7753" s="7"/>
    </row>
    <row r="7754" spans="1:4" ht="12.75" customHeight="1" x14ac:dyDescent="0.2">
      <c r="A7754" s="5"/>
      <c r="B7754" s="2"/>
      <c r="C7754" s="7"/>
      <c r="D7754" s="7"/>
    </row>
    <row r="7755" spans="1:4" ht="12.75" customHeight="1" x14ac:dyDescent="0.2">
      <c r="A7755" s="22" t="str">
        <f>HYPERLINK("javascript:void(0)","magnetoacél előlap")</f>
        <v>magnetoacél előlap</v>
      </c>
      <c r="B7755" s="21"/>
      <c r="C7755" s="21"/>
      <c r="D7755" s="21"/>
    </row>
    <row r="7756" spans="1:4" ht="12.75" customHeight="1" x14ac:dyDescent="0.2">
      <c r="A7756" s="20"/>
      <c r="B7756" s="2"/>
      <c r="C7756" s="7"/>
      <c r="D7756" s="7"/>
    </row>
    <row r="7757" spans="1:4" ht="12.75" customHeight="1" x14ac:dyDescent="0.2">
      <c r="A7757" s="21"/>
      <c r="B7757" s="3" t="s">
        <v>0</v>
      </c>
      <c r="C7757" s="23" t="s">
        <v>635</v>
      </c>
      <c r="D7757" s="21"/>
    </row>
    <row r="7758" spans="1:4" ht="12.75" customHeight="1" x14ac:dyDescent="0.2">
      <c r="A7758" s="21"/>
      <c r="B7758" s="3" t="s">
        <v>2</v>
      </c>
      <c r="C7758" s="23"/>
      <c r="D7758" s="21"/>
    </row>
    <row r="7759" spans="1:4" ht="12.75" customHeight="1" x14ac:dyDescent="0.2">
      <c r="A7759" s="21"/>
      <c r="B7759" s="3" t="s">
        <v>1840</v>
      </c>
      <c r="C7759" s="23" t="s">
        <v>274</v>
      </c>
      <c r="D7759" s="21"/>
    </row>
    <row r="7760" spans="1:4" ht="12.75" customHeight="1" x14ac:dyDescent="0.2">
      <c r="A7760" s="21"/>
      <c r="B7760" s="3" t="s">
        <v>9</v>
      </c>
      <c r="C7760" s="23" t="s">
        <v>42</v>
      </c>
      <c r="D7760" s="21"/>
    </row>
    <row r="7761" spans="1:4" ht="12.75" customHeight="1" x14ac:dyDescent="0.2">
      <c r="A7761" s="21"/>
      <c r="B7761" s="3" t="s">
        <v>11</v>
      </c>
      <c r="C7761" s="23" t="s">
        <v>368</v>
      </c>
      <c r="D7761" s="21"/>
    </row>
    <row r="7762" spans="1:4" ht="12.75" customHeight="1" x14ac:dyDescent="0.2">
      <c r="A7762" s="21"/>
      <c r="B7762" s="3" t="s">
        <v>16</v>
      </c>
      <c r="C7762" s="23"/>
      <c r="D7762" s="21"/>
    </row>
    <row r="7763" spans="1:4" ht="12.75" customHeight="1" x14ac:dyDescent="0.2">
      <c r="A7763" s="21"/>
      <c r="B7763" s="3" t="s">
        <v>17</v>
      </c>
      <c r="C7763" s="23" t="s">
        <v>19</v>
      </c>
      <c r="D7763" s="21"/>
    </row>
    <row r="7764" spans="1:4" ht="12.75" customHeight="1" x14ac:dyDescent="0.2">
      <c r="A7764" s="21"/>
      <c r="B7764" s="20" t="s">
        <v>18</v>
      </c>
      <c r="C7764" s="8" t="s">
        <v>309</v>
      </c>
      <c r="D7764" s="1" t="str">
        <f>HYPERLINK("javascript:void(0)","mágnes")</f>
        <v>mágnes</v>
      </c>
    </row>
    <row r="7765" spans="1:4" ht="12.75" customHeight="1" x14ac:dyDescent="0.2">
      <c r="A7765" s="21"/>
      <c r="B7765" s="21"/>
      <c r="C7765" s="8" t="s">
        <v>68</v>
      </c>
      <c r="D7765" s="1" t="str">
        <f>HYPERLINK("javascript:void(0)","vasorr")</f>
        <v>vasorr</v>
      </c>
    </row>
    <row r="7766" spans="1:4" ht="12.75" customHeight="1" x14ac:dyDescent="0.2">
      <c r="A7766" s="21"/>
      <c r="B7766" s="21"/>
      <c r="C7766" s="8" t="s">
        <v>193</v>
      </c>
      <c r="D7766" s="1" t="str">
        <f>HYPERLINK("javascript:void(0)","trolltartó")</f>
        <v>trolltartó</v>
      </c>
    </row>
    <row r="7767" spans="1:4" ht="12.75" customHeight="1" x14ac:dyDescent="0.2">
      <c r="A7767" s="21"/>
      <c r="B7767" s="2"/>
      <c r="C7767" s="7"/>
      <c r="D7767" s="7"/>
    </row>
    <row r="7768" spans="1:4" ht="12.75" customHeight="1" x14ac:dyDescent="0.2">
      <c r="A7768" s="21"/>
      <c r="B7768" s="2"/>
      <c r="C7768" s="7"/>
      <c r="D7768" s="7"/>
    </row>
    <row r="7769" spans="1:4" ht="12.75" customHeight="1" x14ac:dyDescent="0.2">
      <c r="A7769" s="21"/>
      <c r="B7769" s="2"/>
      <c r="C7769" s="7"/>
      <c r="D7769" s="7"/>
    </row>
    <row r="7770" spans="1:4" ht="12.75" customHeight="1" x14ac:dyDescent="0.2">
      <c r="A7770" s="21"/>
      <c r="B7770" s="2"/>
      <c r="C7770" s="7"/>
      <c r="D7770" s="7"/>
    </row>
    <row r="7771" spans="1:4" ht="12.75" customHeight="1" x14ac:dyDescent="0.2">
      <c r="A7771" s="5"/>
      <c r="B7771" s="2"/>
      <c r="C7771" s="7"/>
      <c r="D7771" s="7"/>
    </row>
    <row r="7772" spans="1:4" ht="12.75" customHeight="1" x14ac:dyDescent="0.2">
      <c r="A7772" s="22" t="str">
        <f>HYPERLINK("javascript:void(0)","démonacél manasisak")</f>
        <v>démonacél manasisak</v>
      </c>
      <c r="B7772" s="21"/>
      <c r="C7772" s="21"/>
      <c r="D7772" s="21"/>
    </row>
    <row r="7773" spans="1:4" ht="12.75" customHeight="1" x14ac:dyDescent="0.2">
      <c r="A7773" s="20"/>
      <c r="B7773" s="2"/>
      <c r="C7773" s="7"/>
      <c r="D7773" s="7"/>
    </row>
    <row r="7774" spans="1:4" ht="12.75" customHeight="1" x14ac:dyDescent="0.2">
      <c r="A7774" s="21"/>
      <c r="B7774" s="3" t="s">
        <v>0</v>
      </c>
      <c r="C7774" s="23" t="s">
        <v>635</v>
      </c>
      <c r="D7774" s="21"/>
    </row>
    <row r="7775" spans="1:4" ht="12.75" customHeight="1" x14ac:dyDescent="0.2">
      <c r="A7775" s="21"/>
      <c r="B7775" s="3" t="s">
        <v>2</v>
      </c>
      <c r="C7775" s="23"/>
      <c r="D7775" s="21"/>
    </row>
    <row r="7776" spans="1:4" ht="12.75" customHeight="1" x14ac:dyDescent="0.2">
      <c r="A7776" s="21"/>
      <c r="B7776" s="3" t="s">
        <v>1840</v>
      </c>
      <c r="C7776" s="23" t="s">
        <v>773</v>
      </c>
      <c r="D7776" s="21"/>
    </row>
    <row r="7777" spans="1:4" ht="12.75" customHeight="1" x14ac:dyDescent="0.2">
      <c r="A7777" s="21"/>
      <c r="B7777" s="3" t="s">
        <v>9</v>
      </c>
      <c r="C7777" s="23" t="s">
        <v>210</v>
      </c>
      <c r="D7777" s="21"/>
    </row>
    <row r="7778" spans="1:4" ht="12.75" customHeight="1" x14ac:dyDescent="0.2">
      <c r="A7778" s="21"/>
      <c r="B7778" s="3" t="s">
        <v>11</v>
      </c>
      <c r="C7778" s="23" t="s">
        <v>427</v>
      </c>
      <c r="D7778" s="21"/>
    </row>
    <row r="7779" spans="1:4" ht="12.75" customHeight="1" x14ac:dyDescent="0.2">
      <c r="A7779" s="21"/>
      <c r="B7779" s="3" t="s">
        <v>16</v>
      </c>
      <c r="C7779" s="23"/>
      <c r="D7779" s="21"/>
    </row>
    <row r="7780" spans="1:4" ht="12.75" customHeight="1" x14ac:dyDescent="0.2">
      <c r="A7780" s="21"/>
      <c r="B7780" s="3" t="s">
        <v>17</v>
      </c>
      <c r="C7780" s="23" t="s">
        <v>19</v>
      </c>
      <c r="D7780" s="21"/>
    </row>
    <row r="7781" spans="1:4" ht="12.75" customHeight="1" x14ac:dyDescent="0.2">
      <c r="A7781" s="21"/>
      <c r="B7781" s="20" t="s">
        <v>18</v>
      </c>
      <c r="C7781" s="8" t="s">
        <v>44</v>
      </c>
      <c r="D7781" s="1" t="str">
        <f>HYPERLINK("javascript:void(0)","hidracél manasisak")</f>
        <v>hidracél manasisak</v>
      </c>
    </row>
    <row r="7782" spans="1:4" ht="12.75" customHeight="1" x14ac:dyDescent="0.2">
      <c r="A7782" s="21"/>
      <c r="B7782" s="21"/>
      <c r="C7782" s="8" t="s">
        <v>68</v>
      </c>
      <c r="D7782" s="1" t="str">
        <f>HYPERLINK("javascript:void(0)","vasorr")</f>
        <v>vasorr</v>
      </c>
    </row>
    <row r="7783" spans="1:4" ht="12.75" customHeight="1" x14ac:dyDescent="0.2">
      <c r="A7783" s="21"/>
      <c r="B7783" s="21"/>
      <c r="C7783" s="8" t="s">
        <v>117</v>
      </c>
      <c r="D7783" s="1" t="str">
        <f>HYPERLINK("javascript:void(0)","kispárna")</f>
        <v>kispárna</v>
      </c>
    </row>
    <row r="7784" spans="1:4" ht="12.75" customHeight="1" x14ac:dyDescent="0.2">
      <c r="A7784" s="21"/>
      <c r="B7784" s="2"/>
      <c r="C7784" s="7"/>
      <c r="D7784" s="7"/>
    </row>
    <row r="7785" spans="1:4" ht="12.75" customHeight="1" x14ac:dyDescent="0.2">
      <c r="A7785" s="21"/>
      <c r="B7785" s="2"/>
      <c r="C7785" s="7"/>
      <c r="D7785" s="7"/>
    </row>
    <row r="7786" spans="1:4" ht="12.75" customHeight="1" x14ac:dyDescent="0.2">
      <c r="A7786" s="21"/>
      <c r="B7786" s="2"/>
      <c r="C7786" s="7"/>
      <c r="D7786" s="7"/>
    </row>
    <row r="7787" spans="1:4" ht="12.75" customHeight="1" x14ac:dyDescent="0.2">
      <c r="A7787" s="21"/>
      <c r="B7787" s="2"/>
      <c r="C7787" s="7"/>
      <c r="D7787" s="7"/>
    </row>
    <row r="7788" spans="1:4" ht="12.75" customHeight="1" x14ac:dyDescent="0.2">
      <c r="A7788" s="5"/>
      <c r="B7788" s="2"/>
      <c r="C7788" s="7"/>
      <c r="D7788" s="7"/>
    </row>
    <row r="7789" spans="1:4" ht="12.75" customHeight="1" x14ac:dyDescent="0.2">
      <c r="A7789" s="22" t="str">
        <f>HYPERLINK("javascript:void(0)","démonacél manafejpánt")</f>
        <v>démonacél manafejpánt</v>
      </c>
      <c r="B7789" s="21"/>
      <c r="C7789" s="21"/>
      <c r="D7789" s="21"/>
    </row>
    <row r="7790" spans="1:4" ht="12.75" customHeight="1" x14ac:dyDescent="0.2">
      <c r="A7790" s="20"/>
      <c r="B7790" s="2"/>
      <c r="C7790" s="7"/>
      <c r="D7790" s="7"/>
    </row>
    <row r="7791" spans="1:4" ht="12.75" customHeight="1" x14ac:dyDescent="0.2">
      <c r="A7791" s="21"/>
      <c r="B7791" s="3" t="s">
        <v>0</v>
      </c>
      <c r="C7791" s="23" t="s">
        <v>635</v>
      </c>
      <c r="D7791" s="21"/>
    </row>
    <row r="7792" spans="1:4" ht="12.75" customHeight="1" x14ac:dyDescent="0.2">
      <c r="A7792" s="21"/>
      <c r="B7792" s="3" t="s">
        <v>2</v>
      </c>
      <c r="C7792" s="23"/>
      <c r="D7792" s="21"/>
    </row>
    <row r="7793" spans="1:4" ht="12.75" customHeight="1" x14ac:dyDescent="0.2">
      <c r="A7793" s="21"/>
      <c r="B7793" s="3" t="s">
        <v>1840</v>
      </c>
      <c r="C7793" s="23" t="s">
        <v>107</v>
      </c>
      <c r="D7793" s="21"/>
    </row>
    <row r="7794" spans="1:4" ht="12.75" customHeight="1" x14ac:dyDescent="0.2">
      <c r="A7794" s="21"/>
      <c r="B7794" s="3" t="s">
        <v>9</v>
      </c>
      <c r="C7794" s="23" t="s">
        <v>93</v>
      </c>
      <c r="D7794" s="21"/>
    </row>
    <row r="7795" spans="1:4" ht="12.75" customHeight="1" x14ac:dyDescent="0.2">
      <c r="A7795" s="21"/>
      <c r="B7795" s="3" t="s">
        <v>11</v>
      </c>
      <c r="C7795" s="23" t="s">
        <v>427</v>
      </c>
      <c r="D7795" s="21"/>
    </row>
    <row r="7796" spans="1:4" ht="12.75" customHeight="1" x14ac:dyDescent="0.2">
      <c r="A7796" s="21"/>
      <c r="B7796" s="3" t="s">
        <v>16</v>
      </c>
      <c r="C7796" s="23"/>
      <c r="D7796" s="21"/>
    </row>
    <row r="7797" spans="1:4" ht="12.75" customHeight="1" x14ac:dyDescent="0.2">
      <c r="A7797" s="21"/>
      <c r="B7797" s="3" t="s">
        <v>17</v>
      </c>
      <c r="C7797" s="23" t="s">
        <v>19</v>
      </c>
      <c r="D7797" s="21"/>
    </row>
    <row r="7798" spans="1:4" ht="12.75" customHeight="1" x14ac:dyDescent="0.2">
      <c r="A7798" s="21"/>
      <c r="B7798" s="20" t="s">
        <v>18</v>
      </c>
      <c r="C7798" s="8" t="s">
        <v>44</v>
      </c>
      <c r="D7798" s="1" t="str">
        <f>HYPERLINK("javascript:void(0)","hidracél manafejpánt")</f>
        <v>hidracél manafejpánt</v>
      </c>
    </row>
    <row r="7799" spans="1:4" ht="12.75" customHeight="1" x14ac:dyDescent="0.2">
      <c r="A7799" s="21"/>
      <c r="B7799" s="21"/>
      <c r="C7799" s="8" t="s">
        <v>68</v>
      </c>
      <c r="D7799" s="1" t="str">
        <f>HYPERLINK("javascript:void(0)","istenpenge")</f>
        <v>istenpenge</v>
      </c>
    </row>
    <row r="7800" spans="1:4" ht="12.75" customHeight="1" x14ac:dyDescent="0.2">
      <c r="A7800" s="21"/>
      <c r="B7800" s="21"/>
      <c r="C7800" s="8" t="s">
        <v>382</v>
      </c>
      <c r="D7800" s="1" t="str">
        <f>HYPERLINK("javascript:void(0)","nukleon")</f>
        <v>nukleon</v>
      </c>
    </row>
    <row r="7801" spans="1:4" ht="12.75" customHeight="1" x14ac:dyDescent="0.2">
      <c r="A7801" s="21"/>
      <c r="B7801" s="2"/>
      <c r="C7801" s="7"/>
      <c r="D7801" s="7"/>
    </row>
    <row r="7802" spans="1:4" ht="12.75" customHeight="1" x14ac:dyDescent="0.2">
      <c r="A7802" s="21"/>
      <c r="B7802" s="2"/>
      <c r="C7802" s="7"/>
      <c r="D7802" s="7"/>
    </row>
    <row r="7803" spans="1:4" ht="12.75" customHeight="1" x14ac:dyDescent="0.2">
      <c r="A7803" s="21"/>
      <c r="B7803" s="2"/>
      <c r="C7803" s="7"/>
      <c r="D7803" s="7"/>
    </row>
    <row r="7804" spans="1:4" ht="12.75" customHeight="1" x14ac:dyDescent="0.2">
      <c r="A7804" s="21"/>
      <c r="B7804" s="2"/>
      <c r="C7804" s="7"/>
      <c r="D7804" s="7"/>
    </row>
    <row r="7805" spans="1:4" ht="12.75" customHeight="1" x14ac:dyDescent="0.2">
      <c r="A7805" s="5"/>
      <c r="B7805" s="2"/>
      <c r="C7805" s="7"/>
      <c r="D7805" s="7"/>
    </row>
    <row r="7806" spans="1:4" ht="12.75" customHeight="1" x14ac:dyDescent="0.2">
      <c r="A7806" s="22" t="str">
        <f>HYPERLINK("javascript:void(0)","helioacél mellvért")</f>
        <v>helioacél mellvért</v>
      </c>
      <c r="B7806" s="21"/>
      <c r="C7806" s="21"/>
      <c r="D7806" s="21"/>
    </row>
    <row r="7807" spans="1:4" ht="12.75" customHeight="1" x14ac:dyDescent="0.2">
      <c r="A7807" s="20"/>
      <c r="B7807" s="2"/>
      <c r="C7807" s="7"/>
      <c r="D7807" s="7"/>
    </row>
    <row r="7808" spans="1:4" ht="12.75" customHeight="1" x14ac:dyDescent="0.2">
      <c r="A7808" s="21"/>
      <c r="B7808" s="3" t="s">
        <v>0</v>
      </c>
      <c r="C7808" s="23" t="s">
        <v>239</v>
      </c>
      <c r="D7808" s="21"/>
    </row>
    <row r="7809" spans="1:4" ht="12.75" customHeight="1" x14ac:dyDescent="0.2">
      <c r="A7809" s="21"/>
      <c r="B7809" s="3" t="s">
        <v>2</v>
      </c>
      <c r="C7809" s="23" t="s">
        <v>2322</v>
      </c>
      <c r="D7809" s="21"/>
    </row>
    <row r="7810" spans="1:4" ht="12.75" customHeight="1" x14ac:dyDescent="0.2">
      <c r="A7810" s="21"/>
      <c r="B7810" s="3" t="s">
        <v>1840</v>
      </c>
      <c r="C7810" s="23" t="s">
        <v>2427</v>
      </c>
      <c r="D7810" s="21"/>
    </row>
    <row r="7811" spans="1:4" ht="12.75" customHeight="1" x14ac:dyDescent="0.2">
      <c r="A7811" s="21"/>
      <c r="B7811" s="3" t="s">
        <v>9</v>
      </c>
      <c r="C7811" s="23" t="s">
        <v>172</v>
      </c>
      <c r="D7811" s="21"/>
    </row>
    <row r="7812" spans="1:4" ht="12.75" customHeight="1" x14ac:dyDescent="0.2">
      <c r="A7812" s="21"/>
      <c r="B7812" s="3" t="s">
        <v>11</v>
      </c>
      <c r="C7812" s="23" t="s">
        <v>739</v>
      </c>
      <c r="D7812" s="21"/>
    </row>
    <row r="7813" spans="1:4" ht="12.75" customHeight="1" x14ac:dyDescent="0.2">
      <c r="A7813" s="21"/>
      <c r="B7813" s="3" t="s">
        <v>16</v>
      </c>
      <c r="C7813" s="23"/>
      <c r="D7813" s="21"/>
    </row>
    <row r="7814" spans="1:4" ht="12.75" customHeight="1" x14ac:dyDescent="0.2">
      <c r="A7814" s="21"/>
      <c r="B7814" s="3" t="s">
        <v>17</v>
      </c>
      <c r="C7814" s="23" t="s">
        <v>19</v>
      </c>
      <c r="D7814" s="21"/>
    </row>
    <row r="7815" spans="1:4" ht="12.75" customHeight="1" x14ac:dyDescent="0.2">
      <c r="A7815" s="21"/>
      <c r="B7815" s="20" t="s">
        <v>18</v>
      </c>
      <c r="C7815" s="8" t="s">
        <v>44</v>
      </c>
      <c r="D7815" s="1" t="str">
        <f>HYPERLINK("javascript:void(0)","magnetoacél mellvért")</f>
        <v>magnetoacél mellvért</v>
      </c>
    </row>
    <row r="7816" spans="1:4" ht="12.75" customHeight="1" x14ac:dyDescent="0.2">
      <c r="A7816" s="21"/>
      <c r="B7816" s="21"/>
      <c r="C7816" s="8" t="s">
        <v>68</v>
      </c>
      <c r="D7816" s="1" t="str">
        <f>HYPERLINK("javascript:void(0)","kárópikkely")</f>
        <v>kárópikkely</v>
      </c>
    </row>
    <row r="7817" spans="1:4" ht="12.75" customHeight="1" x14ac:dyDescent="0.2">
      <c r="A7817" s="21"/>
      <c r="B7817" s="21"/>
      <c r="C7817" s="8" t="s">
        <v>130</v>
      </c>
      <c r="D7817" s="1" t="str">
        <f>HYPERLINK("javascript:void(0)","ámbra")</f>
        <v>ámbra</v>
      </c>
    </row>
    <row r="7818" spans="1:4" ht="12.75" customHeight="1" x14ac:dyDescent="0.2">
      <c r="A7818" s="21"/>
      <c r="B7818" s="2"/>
      <c r="C7818" s="7"/>
      <c r="D7818" s="7"/>
    </row>
    <row r="7819" spans="1:4" ht="12.75" customHeight="1" x14ac:dyDescent="0.2">
      <c r="A7819" s="21"/>
      <c r="B7819" s="2"/>
      <c r="C7819" s="7"/>
      <c r="D7819" s="7"/>
    </row>
    <row r="7820" spans="1:4" ht="12.75" customHeight="1" x14ac:dyDescent="0.2">
      <c r="A7820" s="21"/>
      <c r="B7820" s="2"/>
      <c r="C7820" s="7"/>
      <c r="D7820" s="7"/>
    </row>
    <row r="7821" spans="1:4" ht="12.75" customHeight="1" x14ac:dyDescent="0.2">
      <c r="A7821" s="21"/>
      <c r="B7821" s="2"/>
      <c r="C7821" s="7"/>
      <c r="D7821" s="7"/>
    </row>
    <row r="7822" spans="1:4" ht="12.75" customHeight="1" x14ac:dyDescent="0.2">
      <c r="A7822" s="5"/>
      <c r="B7822" s="2"/>
      <c r="C7822" s="7"/>
      <c r="D7822" s="7"/>
    </row>
    <row r="7823" spans="1:4" ht="12.75" customHeight="1" x14ac:dyDescent="0.2">
      <c r="A7823" s="22" t="str">
        <f>HYPERLINK("javascript:void(0)","pikkelysisak")</f>
        <v>pikkelysisak</v>
      </c>
      <c r="B7823" s="21"/>
      <c r="C7823" s="21"/>
      <c r="D7823" s="21"/>
    </row>
    <row r="7824" spans="1:4" ht="12.75" customHeight="1" x14ac:dyDescent="0.2">
      <c r="A7824" s="20"/>
      <c r="B7824" s="2"/>
      <c r="C7824" s="7"/>
      <c r="D7824" s="7"/>
    </row>
    <row r="7825" spans="1:4" ht="12.75" customHeight="1" x14ac:dyDescent="0.2">
      <c r="A7825" s="21"/>
      <c r="B7825" s="3" t="s">
        <v>0</v>
      </c>
      <c r="C7825" s="23" t="s">
        <v>239</v>
      </c>
      <c r="D7825" s="21"/>
    </row>
    <row r="7826" spans="1:4" ht="12.75" customHeight="1" x14ac:dyDescent="0.2">
      <c r="A7826" s="21"/>
      <c r="B7826" s="3" t="s">
        <v>2</v>
      </c>
      <c r="C7826" s="23"/>
      <c r="D7826" s="21"/>
    </row>
    <row r="7827" spans="1:4" ht="12.75" customHeight="1" x14ac:dyDescent="0.2">
      <c r="A7827" s="21"/>
      <c r="B7827" s="3" t="s">
        <v>1840</v>
      </c>
      <c r="C7827" s="23" t="s">
        <v>146</v>
      </c>
      <c r="D7827" s="21"/>
    </row>
    <row r="7828" spans="1:4" ht="12.75" customHeight="1" x14ac:dyDescent="0.2">
      <c r="A7828" s="21"/>
      <c r="B7828" s="3" t="s">
        <v>9</v>
      </c>
      <c r="C7828" s="23" t="s">
        <v>84</v>
      </c>
      <c r="D7828" s="21"/>
    </row>
    <row r="7829" spans="1:4" ht="12.75" customHeight="1" x14ac:dyDescent="0.2">
      <c r="A7829" s="21"/>
      <c r="B7829" s="3" t="s">
        <v>11</v>
      </c>
      <c r="C7829" s="23" t="s">
        <v>739</v>
      </c>
      <c r="D7829" s="21"/>
    </row>
    <row r="7830" spans="1:4" ht="12.75" customHeight="1" x14ac:dyDescent="0.2">
      <c r="A7830" s="21"/>
      <c r="B7830" s="3" t="s">
        <v>16</v>
      </c>
      <c r="C7830" s="23"/>
      <c r="D7830" s="21"/>
    </row>
    <row r="7831" spans="1:4" ht="12.75" customHeight="1" x14ac:dyDescent="0.2">
      <c r="A7831" s="21"/>
      <c r="B7831" s="3" t="s">
        <v>17</v>
      </c>
      <c r="C7831" s="23" t="s">
        <v>19</v>
      </c>
      <c r="D7831" s="21"/>
    </row>
    <row r="7832" spans="1:4" ht="12.75" customHeight="1" x14ac:dyDescent="0.2">
      <c r="A7832" s="21"/>
      <c r="B7832" s="20" t="s">
        <v>18</v>
      </c>
      <c r="C7832" s="8" t="s">
        <v>44</v>
      </c>
      <c r="D7832" s="1" t="str">
        <f>HYPERLINK("javascript:void(0)","sörtesisak")</f>
        <v>sörtesisak</v>
      </c>
    </row>
    <row r="7833" spans="1:4" ht="12.75" customHeight="1" x14ac:dyDescent="0.2">
      <c r="A7833" s="21"/>
      <c r="B7833" s="21"/>
      <c r="C7833" s="8" t="s">
        <v>44</v>
      </c>
      <c r="D7833" s="1" t="str">
        <f>HYPERLINK("javascript:void(0)","vasalt sisak")</f>
        <v>vasalt sisak</v>
      </c>
    </row>
    <row r="7834" spans="1:4" ht="12.75" customHeight="1" x14ac:dyDescent="0.2">
      <c r="A7834" s="21"/>
      <c r="B7834" s="21"/>
      <c r="C7834" s="8" t="s">
        <v>44</v>
      </c>
      <c r="D7834" s="1" t="str">
        <f>HYPERLINK("javascript:void(0)","pikkelyrostély")</f>
        <v>pikkelyrostély</v>
      </c>
    </row>
    <row r="7835" spans="1:4" ht="12.75" customHeight="1" x14ac:dyDescent="0.2">
      <c r="A7835" s="21"/>
      <c r="B7835" s="2"/>
      <c r="C7835" s="7"/>
      <c r="D7835" s="7"/>
    </row>
    <row r="7836" spans="1:4" ht="12.75" customHeight="1" x14ac:dyDescent="0.2">
      <c r="A7836" s="21"/>
      <c r="B7836" s="2"/>
      <c r="C7836" s="7"/>
      <c r="D7836" s="7"/>
    </row>
    <row r="7837" spans="1:4" ht="12.75" customHeight="1" x14ac:dyDescent="0.2">
      <c r="A7837" s="21"/>
      <c r="B7837" s="2"/>
      <c r="C7837" s="7"/>
      <c r="D7837" s="7"/>
    </row>
    <row r="7838" spans="1:4" ht="12.75" customHeight="1" x14ac:dyDescent="0.2">
      <c r="A7838" s="21"/>
      <c r="B7838" s="2"/>
      <c r="C7838" s="7"/>
      <c r="D7838" s="7"/>
    </row>
    <row r="7839" spans="1:4" ht="12.75" customHeight="1" x14ac:dyDescent="0.2">
      <c r="A7839" s="5"/>
      <c r="B7839" s="2"/>
      <c r="C7839" s="7"/>
      <c r="D7839" s="7"/>
    </row>
    <row r="7840" spans="1:4" ht="12.75" customHeight="1" x14ac:dyDescent="0.2">
      <c r="A7840" s="22" t="str">
        <f>HYPERLINK("javascript:void(0)","wendír saru")</f>
        <v>wendír saru</v>
      </c>
      <c r="B7840" s="21"/>
      <c r="C7840" s="21"/>
      <c r="D7840" s="21"/>
    </row>
    <row r="7841" spans="1:4" ht="12.75" customHeight="1" x14ac:dyDescent="0.2">
      <c r="A7841" s="20"/>
      <c r="B7841" s="2"/>
      <c r="C7841" s="7"/>
      <c r="D7841" s="7"/>
    </row>
    <row r="7842" spans="1:4" ht="12.75" customHeight="1" x14ac:dyDescent="0.2">
      <c r="A7842" s="21"/>
      <c r="B7842" s="3" t="s">
        <v>0</v>
      </c>
      <c r="C7842" s="23" t="s">
        <v>239</v>
      </c>
      <c r="D7842" s="21"/>
    </row>
    <row r="7843" spans="1:4" ht="12.75" customHeight="1" x14ac:dyDescent="0.2">
      <c r="A7843" s="21"/>
      <c r="B7843" s="3" t="s">
        <v>2</v>
      </c>
      <c r="C7843" s="23"/>
      <c r="D7843" s="21"/>
    </row>
    <row r="7844" spans="1:4" ht="12.75" customHeight="1" x14ac:dyDescent="0.2">
      <c r="A7844" s="21"/>
      <c r="B7844" s="3" t="s">
        <v>1840</v>
      </c>
      <c r="C7844" s="23" t="s">
        <v>351</v>
      </c>
      <c r="D7844" s="21"/>
    </row>
    <row r="7845" spans="1:4" ht="12.75" customHeight="1" x14ac:dyDescent="0.2">
      <c r="A7845" s="21"/>
      <c r="B7845" s="3" t="s">
        <v>9</v>
      </c>
      <c r="C7845" s="23" t="s">
        <v>27</v>
      </c>
      <c r="D7845" s="21"/>
    </row>
    <row r="7846" spans="1:4" ht="12.75" customHeight="1" x14ac:dyDescent="0.2">
      <c r="A7846" s="21"/>
      <c r="B7846" s="3" t="s">
        <v>11</v>
      </c>
      <c r="C7846" s="23" t="s">
        <v>770</v>
      </c>
      <c r="D7846" s="21"/>
    </row>
    <row r="7847" spans="1:4" ht="12.75" customHeight="1" x14ac:dyDescent="0.2">
      <c r="A7847" s="21"/>
      <c r="B7847" s="3" t="s">
        <v>16</v>
      </c>
      <c r="C7847" s="23"/>
      <c r="D7847" s="21"/>
    </row>
    <row r="7848" spans="1:4" ht="12.75" customHeight="1" x14ac:dyDescent="0.2">
      <c r="A7848" s="21"/>
      <c r="B7848" s="3" t="s">
        <v>17</v>
      </c>
      <c r="C7848" s="23" t="s">
        <v>19</v>
      </c>
      <c r="D7848" s="21"/>
    </row>
    <row r="7849" spans="1:4" ht="12.75" customHeight="1" x14ac:dyDescent="0.2">
      <c r="A7849" s="21"/>
      <c r="B7849" s="20" t="s">
        <v>18</v>
      </c>
      <c r="C7849" s="8" t="s">
        <v>98</v>
      </c>
      <c r="D7849" s="1" t="str">
        <f>HYPERLINK("javascript:void(0)","ragya")</f>
        <v>ragya</v>
      </c>
    </row>
    <row r="7850" spans="1:4" ht="12.75" customHeight="1" x14ac:dyDescent="0.2">
      <c r="A7850" s="21"/>
      <c r="B7850" s="21"/>
      <c r="C7850" s="8" t="s">
        <v>280</v>
      </c>
      <c r="D7850" s="1" t="str">
        <f>HYPERLINK("javascript:void(0)","nukleon")</f>
        <v>nukleon</v>
      </c>
    </row>
    <row r="7851" spans="1:4" ht="12.75" customHeight="1" x14ac:dyDescent="0.2">
      <c r="A7851" s="21"/>
      <c r="B7851" s="21"/>
      <c r="C7851" s="8" t="s">
        <v>494</v>
      </c>
      <c r="D7851" s="1" t="str">
        <f>HYPERLINK("javascript:void(0)","szent szimbólum")</f>
        <v>szent szimbólum</v>
      </c>
    </row>
    <row r="7852" spans="1:4" ht="12.75" customHeight="1" x14ac:dyDescent="0.2">
      <c r="A7852" s="21"/>
      <c r="B7852" s="2"/>
      <c r="C7852" s="7"/>
      <c r="D7852" s="7"/>
    </row>
    <row r="7853" spans="1:4" ht="12.75" customHeight="1" x14ac:dyDescent="0.2">
      <c r="A7853" s="21"/>
      <c r="B7853" s="2"/>
      <c r="C7853" s="7"/>
      <c r="D7853" s="7"/>
    </row>
    <row r="7854" spans="1:4" ht="12.75" customHeight="1" x14ac:dyDescent="0.2">
      <c r="A7854" s="21"/>
      <c r="B7854" s="2"/>
      <c r="C7854" s="7"/>
      <c r="D7854" s="7"/>
    </row>
    <row r="7855" spans="1:4" ht="12.75" customHeight="1" x14ac:dyDescent="0.2">
      <c r="A7855" s="21"/>
      <c r="B7855" s="2"/>
      <c r="C7855" s="7"/>
      <c r="D7855" s="7"/>
    </row>
    <row r="7856" spans="1:4" ht="12.75" customHeight="1" x14ac:dyDescent="0.2">
      <c r="A7856" s="5"/>
      <c r="B7856" s="2"/>
      <c r="C7856" s="7"/>
      <c r="D7856" s="7"/>
    </row>
    <row r="7857" spans="1:4" ht="12.75" customHeight="1" x14ac:dyDescent="0.2">
      <c r="A7857" s="22" t="str">
        <f>HYPERLINK("javascript:void(0)","helioacél testpajzs")</f>
        <v>helioacél testpajzs</v>
      </c>
      <c r="B7857" s="21"/>
      <c r="C7857" s="21"/>
      <c r="D7857" s="21"/>
    </row>
    <row r="7858" spans="1:4" ht="12.75" customHeight="1" x14ac:dyDescent="0.2">
      <c r="A7858" s="20"/>
      <c r="B7858" s="2"/>
      <c r="C7858" s="7"/>
      <c r="D7858" s="7"/>
    </row>
    <row r="7859" spans="1:4" ht="12.75" customHeight="1" x14ac:dyDescent="0.2">
      <c r="A7859" s="21"/>
      <c r="B7859" s="3" t="s">
        <v>0</v>
      </c>
      <c r="C7859" s="23" t="s">
        <v>239</v>
      </c>
      <c r="D7859" s="21"/>
    </row>
    <row r="7860" spans="1:4" ht="12.75" customHeight="1" x14ac:dyDescent="0.2">
      <c r="A7860" s="21"/>
      <c r="B7860" s="3" t="s">
        <v>2</v>
      </c>
      <c r="C7860" s="23" t="s">
        <v>1839</v>
      </c>
      <c r="D7860" s="21"/>
    </row>
    <row r="7861" spans="1:4" ht="12.75" customHeight="1" x14ac:dyDescent="0.2">
      <c r="A7861" s="21"/>
      <c r="B7861" s="3" t="s">
        <v>1840</v>
      </c>
      <c r="C7861" s="23" t="s">
        <v>2165</v>
      </c>
      <c r="D7861" s="21"/>
    </row>
    <row r="7862" spans="1:4" ht="12.75" customHeight="1" x14ac:dyDescent="0.2">
      <c r="A7862" s="21"/>
      <c r="B7862" s="3" t="s">
        <v>9</v>
      </c>
      <c r="C7862" s="23" t="s">
        <v>549</v>
      </c>
      <c r="D7862" s="21"/>
    </row>
    <row r="7863" spans="1:4" ht="12.75" customHeight="1" x14ac:dyDescent="0.2">
      <c r="A7863" s="21"/>
      <c r="B7863" s="3" t="s">
        <v>11</v>
      </c>
      <c r="C7863" s="23" t="s">
        <v>879</v>
      </c>
      <c r="D7863" s="21"/>
    </row>
    <row r="7864" spans="1:4" ht="12.75" customHeight="1" x14ac:dyDescent="0.2">
      <c r="A7864" s="21"/>
      <c r="B7864" s="3" t="s">
        <v>16</v>
      </c>
      <c r="C7864" s="23"/>
      <c r="D7864" s="21"/>
    </row>
    <row r="7865" spans="1:4" ht="12.75" customHeight="1" x14ac:dyDescent="0.2">
      <c r="A7865" s="21"/>
      <c r="B7865" s="3" t="s">
        <v>17</v>
      </c>
      <c r="C7865" s="23" t="s">
        <v>19</v>
      </c>
      <c r="D7865" s="21"/>
    </row>
    <row r="7866" spans="1:4" ht="25.5" customHeight="1" x14ac:dyDescent="0.2">
      <c r="A7866" s="21"/>
      <c r="B7866" s="20" t="s">
        <v>18</v>
      </c>
      <c r="C7866" s="8" t="s">
        <v>44</v>
      </c>
      <c r="D7866" s="1" t="str">
        <f>HYPERLINK("javascript:void(0)","magnetoacél testpajzs")</f>
        <v>magnetoacél testpajzs</v>
      </c>
    </row>
    <row r="7867" spans="1:4" ht="12.75" customHeight="1" x14ac:dyDescent="0.2">
      <c r="A7867" s="21"/>
      <c r="B7867" s="21"/>
      <c r="C7867" s="8" t="s">
        <v>55</v>
      </c>
      <c r="D7867" s="1" t="str">
        <f>HYPERLINK("javascript:void(0)","kárópikkely")</f>
        <v>kárópikkely</v>
      </c>
    </row>
    <row r="7868" spans="1:4" ht="12.75" customHeight="1" x14ac:dyDescent="0.2">
      <c r="A7868" s="21"/>
      <c r="B7868" s="21"/>
      <c r="C7868" s="8" t="s">
        <v>244</v>
      </c>
      <c r="D7868" s="1" t="str">
        <f>HYPERLINK("javascript:void(0)","napfolt")</f>
        <v>napfolt</v>
      </c>
    </row>
    <row r="7869" spans="1:4" ht="12.75" customHeight="1" x14ac:dyDescent="0.2">
      <c r="A7869" s="21"/>
      <c r="B7869" s="2"/>
      <c r="C7869" s="7"/>
      <c r="D7869" s="7"/>
    </row>
    <row r="7870" spans="1:4" ht="12.75" customHeight="1" x14ac:dyDescent="0.2">
      <c r="A7870" s="21"/>
      <c r="B7870" s="2"/>
      <c r="C7870" s="7"/>
      <c r="D7870" s="7"/>
    </row>
    <row r="7871" spans="1:4" ht="12.75" customHeight="1" x14ac:dyDescent="0.2">
      <c r="A7871" s="21"/>
      <c r="B7871" s="2"/>
      <c r="C7871" s="7"/>
      <c r="D7871" s="7"/>
    </row>
    <row r="7872" spans="1:4" ht="12.75" customHeight="1" x14ac:dyDescent="0.2">
      <c r="A7872" s="21"/>
      <c r="B7872" s="2"/>
      <c r="C7872" s="7"/>
      <c r="D7872" s="7"/>
    </row>
    <row r="7873" spans="1:4" ht="12.75" customHeight="1" x14ac:dyDescent="0.2">
      <c r="A7873" s="5"/>
      <c r="B7873" s="2"/>
      <c r="C7873" s="7"/>
      <c r="D7873" s="7"/>
    </row>
    <row r="7874" spans="1:4" ht="12.75" customHeight="1" x14ac:dyDescent="0.2">
      <c r="A7874" s="22" t="str">
        <f>HYPERLINK("javascript:void(0)","óriásacél illanat")</f>
        <v>óriásacél illanat</v>
      </c>
      <c r="B7874" s="21"/>
      <c r="C7874" s="21"/>
      <c r="D7874" s="21"/>
    </row>
    <row r="7875" spans="1:4" ht="12.75" customHeight="1" x14ac:dyDescent="0.2">
      <c r="A7875" s="20"/>
      <c r="B7875" s="2"/>
      <c r="C7875" s="7"/>
      <c r="D7875" s="7"/>
    </row>
    <row r="7876" spans="1:4" ht="12.75" customHeight="1" x14ac:dyDescent="0.2">
      <c r="A7876" s="21"/>
      <c r="B7876" s="3" t="s">
        <v>0</v>
      </c>
      <c r="C7876" s="23" t="s">
        <v>239</v>
      </c>
      <c r="D7876" s="21"/>
    </row>
    <row r="7877" spans="1:4" ht="12.75" customHeight="1" x14ac:dyDescent="0.2">
      <c r="A7877" s="21"/>
      <c r="B7877" s="3" t="s">
        <v>2</v>
      </c>
      <c r="C7877" s="23" t="s">
        <v>1839</v>
      </c>
      <c r="D7877" s="21"/>
    </row>
    <row r="7878" spans="1:4" ht="12.75" customHeight="1" x14ac:dyDescent="0.2">
      <c r="A7878" s="21"/>
      <c r="B7878" s="3" t="s">
        <v>1840</v>
      </c>
      <c r="C7878" s="23" t="s">
        <v>2165</v>
      </c>
      <c r="D7878" s="21"/>
    </row>
    <row r="7879" spans="1:4" ht="12.75" customHeight="1" x14ac:dyDescent="0.2">
      <c r="A7879" s="21"/>
      <c r="B7879" s="3" t="s">
        <v>9</v>
      </c>
      <c r="C7879" s="23" t="s">
        <v>1737</v>
      </c>
      <c r="D7879" s="21"/>
    </row>
    <row r="7880" spans="1:4" ht="12.75" customHeight="1" x14ac:dyDescent="0.2">
      <c r="A7880" s="21"/>
      <c r="B7880" s="3" t="s">
        <v>11</v>
      </c>
      <c r="C7880" s="23" t="s">
        <v>917</v>
      </c>
      <c r="D7880" s="21"/>
    </row>
    <row r="7881" spans="1:4" ht="12.75" customHeight="1" x14ac:dyDescent="0.2">
      <c r="A7881" s="21"/>
      <c r="B7881" s="3" t="s">
        <v>16</v>
      </c>
      <c r="C7881" s="23"/>
      <c r="D7881" s="21"/>
    </row>
    <row r="7882" spans="1:4" ht="12.75" customHeight="1" x14ac:dyDescent="0.2">
      <c r="A7882" s="21"/>
      <c r="B7882" s="3" t="s">
        <v>17</v>
      </c>
      <c r="C7882" s="23" t="s">
        <v>19</v>
      </c>
      <c r="D7882" s="21"/>
    </row>
    <row r="7883" spans="1:4" ht="12.75" customHeight="1" x14ac:dyDescent="0.2">
      <c r="A7883" s="21"/>
      <c r="B7883" s="20" t="s">
        <v>18</v>
      </c>
      <c r="C7883" s="8" t="s">
        <v>44</v>
      </c>
      <c r="D7883" s="1" t="str">
        <f>HYPERLINK("javascript:void(0)","helioacél testpajzs")</f>
        <v>helioacél testpajzs</v>
      </c>
    </row>
    <row r="7884" spans="1:4" ht="12.75" customHeight="1" x14ac:dyDescent="0.2">
      <c r="A7884" s="21"/>
      <c r="B7884" s="21"/>
      <c r="C7884" s="8" t="s">
        <v>142</v>
      </c>
      <c r="D7884" s="1" t="str">
        <f>HYPERLINK("javascript:void(0)","óriás korona")</f>
        <v>óriás korona</v>
      </c>
    </row>
    <row r="7885" spans="1:4" ht="12.75" customHeight="1" x14ac:dyDescent="0.2">
      <c r="A7885" s="21"/>
      <c r="B7885" s="21"/>
      <c r="C7885" s="8" t="s">
        <v>756</v>
      </c>
      <c r="D7885" s="1" t="str">
        <f>HYPERLINK("javascript:void(0)","ragya")</f>
        <v>ragya</v>
      </c>
    </row>
    <row r="7886" spans="1:4" ht="12.75" customHeight="1" x14ac:dyDescent="0.2">
      <c r="A7886" s="21"/>
      <c r="B7886" s="2"/>
      <c r="C7886" s="7"/>
      <c r="D7886" s="7"/>
    </row>
    <row r="7887" spans="1:4" ht="12.75" customHeight="1" x14ac:dyDescent="0.2">
      <c r="A7887" s="21"/>
      <c r="B7887" s="2"/>
      <c r="C7887" s="7"/>
      <c r="D7887" s="7"/>
    </row>
    <row r="7888" spans="1:4" ht="12.75" customHeight="1" x14ac:dyDescent="0.2">
      <c r="A7888" s="21"/>
      <c r="B7888" s="2"/>
      <c r="C7888" s="7"/>
      <c r="D7888" s="7"/>
    </row>
    <row r="7889" spans="1:4" ht="12.75" customHeight="1" x14ac:dyDescent="0.2">
      <c r="A7889" s="21"/>
      <c r="B7889" s="2"/>
      <c r="C7889" s="7"/>
      <c r="D7889" s="7"/>
    </row>
    <row r="7890" spans="1:4" ht="12.75" customHeight="1" x14ac:dyDescent="0.2">
      <c r="A7890" s="5"/>
      <c r="B7890" s="2"/>
      <c r="C7890" s="7"/>
      <c r="D7890" s="7"/>
    </row>
    <row r="7891" spans="1:4" ht="12.75" customHeight="1" x14ac:dyDescent="0.2">
      <c r="A7891" s="22" t="str">
        <f>HYPERLINK("javascript:void(0)","pikkelyrostély")</f>
        <v>pikkelyrostély</v>
      </c>
      <c r="B7891" s="21"/>
      <c r="C7891" s="21"/>
      <c r="D7891" s="21"/>
    </row>
    <row r="7892" spans="1:4" ht="12.75" customHeight="1" x14ac:dyDescent="0.2">
      <c r="A7892" s="20"/>
      <c r="B7892" s="2"/>
      <c r="C7892" s="7"/>
      <c r="D7892" s="7"/>
    </row>
    <row r="7893" spans="1:4" ht="12.75" customHeight="1" x14ac:dyDescent="0.2">
      <c r="A7893" s="21"/>
      <c r="B7893" s="3" t="s">
        <v>0</v>
      </c>
      <c r="C7893" s="23" t="s">
        <v>239</v>
      </c>
      <c r="D7893" s="21"/>
    </row>
    <row r="7894" spans="1:4" ht="12.75" customHeight="1" x14ac:dyDescent="0.2">
      <c r="A7894" s="21"/>
      <c r="B7894" s="3" t="s">
        <v>2</v>
      </c>
      <c r="C7894" s="23" t="s">
        <v>2322</v>
      </c>
      <c r="D7894" s="21"/>
    </row>
    <row r="7895" spans="1:4" ht="12.75" customHeight="1" x14ac:dyDescent="0.2">
      <c r="A7895" s="21"/>
      <c r="B7895" s="3" t="s">
        <v>1840</v>
      </c>
      <c r="C7895" s="23" t="s">
        <v>52</v>
      </c>
      <c r="D7895" s="21"/>
    </row>
    <row r="7896" spans="1:4" ht="12.75" customHeight="1" x14ac:dyDescent="0.2">
      <c r="A7896" s="21"/>
      <c r="B7896" s="3" t="s">
        <v>9</v>
      </c>
      <c r="C7896" s="23" t="s">
        <v>42</v>
      </c>
      <c r="D7896" s="21"/>
    </row>
    <row r="7897" spans="1:4" ht="12.75" customHeight="1" x14ac:dyDescent="0.2">
      <c r="A7897" s="21"/>
      <c r="B7897" s="3" t="s">
        <v>11</v>
      </c>
      <c r="C7897" s="23" t="s">
        <v>368</v>
      </c>
      <c r="D7897" s="21"/>
    </row>
    <row r="7898" spans="1:4" ht="12.75" customHeight="1" x14ac:dyDescent="0.2">
      <c r="A7898" s="21"/>
      <c r="B7898" s="3" t="s">
        <v>16</v>
      </c>
      <c r="C7898" s="23"/>
      <c r="D7898" s="21"/>
    </row>
    <row r="7899" spans="1:4" ht="12.75" customHeight="1" x14ac:dyDescent="0.2">
      <c r="A7899" s="21"/>
      <c r="B7899" s="3" t="s">
        <v>17</v>
      </c>
      <c r="C7899" s="23" t="s">
        <v>19</v>
      </c>
      <c r="D7899" s="21"/>
    </row>
    <row r="7900" spans="1:4" ht="12.75" customHeight="1" x14ac:dyDescent="0.2">
      <c r="A7900" s="21"/>
      <c r="B7900" s="20" t="s">
        <v>18</v>
      </c>
      <c r="C7900" s="8" t="s">
        <v>77</v>
      </c>
      <c r="D7900" s="1" t="str">
        <f>HYPERLINK("javascript:void(0)","kárópikkely")</f>
        <v>kárópikkely</v>
      </c>
    </row>
    <row r="7901" spans="1:4" ht="12.75" customHeight="1" x14ac:dyDescent="0.2">
      <c r="A7901" s="21"/>
      <c r="B7901" s="21"/>
      <c r="C7901" s="8" t="s">
        <v>139</v>
      </c>
      <c r="D7901" s="1" t="str">
        <f>HYPERLINK("javascript:void(0)","kispárna")</f>
        <v>kispárna</v>
      </c>
    </row>
    <row r="7902" spans="1:4" ht="12.75" customHeight="1" x14ac:dyDescent="0.2">
      <c r="A7902" s="21"/>
      <c r="B7902" s="21"/>
      <c r="C7902" s="8" t="s">
        <v>369</v>
      </c>
      <c r="D7902" s="1" t="str">
        <f>HYPERLINK("javascript:void(0)","mechodron")</f>
        <v>mechodron</v>
      </c>
    </row>
    <row r="7903" spans="1:4" ht="12.75" customHeight="1" x14ac:dyDescent="0.2">
      <c r="A7903" s="21"/>
      <c r="B7903" s="2"/>
      <c r="C7903" s="7"/>
      <c r="D7903" s="7"/>
    </row>
    <row r="7904" spans="1:4" ht="12.75" customHeight="1" x14ac:dyDescent="0.2">
      <c r="A7904" s="21"/>
      <c r="B7904" s="2"/>
      <c r="C7904" s="7"/>
      <c r="D7904" s="7"/>
    </row>
    <row r="7905" spans="1:4" ht="12.75" customHeight="1" x14ac:dyDescent="0.2">
      <c r="A7905" s="21"/>
      <c r="B7905" s="2"/>
      <c r="C7905" s="7"/>
      <c r="D7905" s="7"/>
    </row>
    <row r="7906" spans="1:4" ht="12.75" customHeight="1" x14ac:dyDescent="0.2">
      <c r="A7906" s="21"/>
      <c r="B7906" s="2"/>
      <c r="C7906" s="7"/>
      <c r="D7906" s="7"/>
    </row>
    <row r="7907" spans="1:4" ht="12.75" customHeight="1" x14ac:dyDescent="0.2">
      <c r="A7907" s="5"/>
      <c r="B7907" s="2"/>
      <c r="C7907" s="7"/>
      <c r="D7907" s="7"/>
    </row>
    <row r="7908" spans="1:4" ht="12.75" customHeight="1" x14ac:dyDescent="0.2">
      <c r="A7908" s="22" t="str">
        <f>HYPERLINK("javascript:void(0)","hidracél antigrav csizma")</f>
        <v>hidracél antigrav csizma</v>
      </c>
      <c r="B7908" s="21"/>
      <c r="C7908" s="21"/>
      <c r="D7908" s="21"/>
    </row>
    <row r="7909" spans="1:4" ht="12.75" customHeight="1" x14ac:dyDescent="0.2">
      <c r="A7909" s="20"/>
      <c r="B7909" s="2"/>
      <c r="C7909" s="7"/>
      <c r="D7909" s="7"/>
    </row>
    <row r="7910" spans="1:4" ht="12.75" customHeight="1" x14ac:dyDescent="0.2">
      <c r="A7910" s="21"/>
      <c r="B7910" s="3" t="s">
        <v>0</v>
      </c>
      <c r="C7910" s="23" t="s">
        <v>239</v>
      </c>
      <c r="D7910" s="21"/>
    </row>
    <row r="7911" spans="1:4" ht="12.75" customHeight="1" x14ac:dyDescent="0.2">
      <c r="A7911" s="21"/>
      <c r="B7911" s="3" t="s">
        <v>2</v>
      </c>
      <c r="C7911" s="23"/>
      <c r="D7911" s="21"/>
    </row>
    <row r="7912" spans="1:4" ht="12.75" customHeight="1" x14ac:dyDescent="0.2">
      <c r="A7912" s="21"/>
      <c r="B7912" s="3" t="s">
        <v>1840</v>
      </c>
      <c r="C7912" s="23" t="s">
        <v>1165</v>
      </c>
      <c r="D7912" s="21"/>
    </row>
    <row r="7913" spans="1:4" ht="12.75" customHeight="1" x14ac:dyDescent="0.2">
      <c r="A7913" s="21"/>
      <c r="B7913" s="3" t="s">
        <v>9</v>
      </c>
      <c r="C7913" s="23" t="s">
        <v>626</v>
      </c>
      <c r="D7913" s="21"/>
    </row>
    <row r="7914" spans="1:4" ht="12.75" customHeight="1" x14ac:dyDescent="0.2">
      <c r="A7914" s="21"/>
      <c r="B7914" s="3" t="s">
        <v>11</v>
      </c>
      <c r="C7914" s="23" t="s">
        <v>23</v>
      </c>
      <c r="D7914" s="21"/>
    </row>
    <row r="7915" spans="1:4" ht="12.75" customHeight="1" x14ac:dyDescent="0.2">
      <c r="A7915" s="21"/>
      <c r="B7915" s="3" t="s">
        <v>16</v>
      </c>
      <c r="C7915" s="23"/>
      <c r="D7915" s="21"/>
    </row>
    <row r="7916" spans="1:4" ht="12.75" customHeight="1" x14ac:dyDescent="0.2">
      <c r="A7916" s="21"/>
      <c r="B7916" s="3" t="s">
        <v>17</v>
      </c>
      <c r="C7916" s="23" t="s">
        <v>19</v>
      </c>
      <c r="D7916" s="21"/>
    </row>
    <row r="7917" spans="1:4" ht="25.5" customHeight="1" x14ac:dyDescent="0.2">
      <c r="A7917" s="21"/>
      <c r="B7917" s="20" t="s">
        <v>18</v>
      </c>
      <c r="C7917" s="8" t="s">
        <v>44</v>
      </c>
      <c r="D7917" s="1" t="str">
        <f>HYPERLINK("javascript:void(0)","kompózium antigrav csizma")</f>
        <v>kompózium antigrav csizma</v>
      </c>
    </row>
    <row r="7918" spans="1:4" ht="12.75" customHeight="1" x14ac:dyDescent="0.2">
      <c r="A7918" s="21"/>
      <c r="B7918" s="21"/>
      <c r="C7918" s="8" t="s">
        <v>382</v>
      </c>
      <c r="D7918" s="1" t="str">
        <f>HYPERLINK("javascript:void(0)","ragya")</f>
        <v>ragya</v>
      </c>
    </row>
    <row r="7919" spans="1:4" ht="12.75" customHeight="1" x14ac:dyDescent="0.2">
      <c r="A7919" s="21"/>
      <c r="B7919" s="21"/>
      <c r="C7919" s="8" t="s">
        <v>193</v>
      </c>
      <c r="D7919" s="1" t="str">
        <f>HYPERLINK("javascript:void(0)","vákuum")</f>
        <v>vákuum</v>
      </c>
    </row>
    <row r="7920" spans="1:4" ht="12.75" customHeight="1" x14ac:dyDescent="0.2">
      <c r="A7920" s="21"/>
      <c r="B7920" s="2"/>
      <c r="C7920" s="7"/>
      <c r="D7920" s="7"/>
    </row>
    <row r="7921" spans="1:4" ht="12.75" customHeight="1" x14ac:dyDescent="0.2">
      <c r="A7921" s="21"/>
      <c r="B7921" s="2"/>
      <c r="C7921" s="7"/>
      <c r="D7921" s="7"/>
    </row>
    <row r="7922" spans="1:4" ht="12.75" customHeight="1" x14ac:dyDescent="0.2">
      <c r="A7922" s="21"/>
      <c r="B7922" s="2"/>
      <c r="C7922" s="7"/>
      <c r="D7922" s="7"/>
    </row>
    <row r="7923" spans="1:4" ht="12.75" customHeight="1" x14ac:dyDescent="0.2">
      <c r="A7923" s="21"/>
      <c r="B7923" s="2"/>
      <c r="C7923" s="7"/>
      <c r="D7923" s="7"/>
    </row>
    <row r="7924" spans="1:4" ht="12.75" customHeight="1" x14ac:dyDescent="0.2">
      <c r="A7924" s="5"/>
      <c r="B7924" s="2"/>
      <c r="C7924" s="7"/>
      <c r="D7924" s="7"/>
    </row>
    <row r="7925" spans="1:4" ht="12.75" customHeight="1" x14ac:dyDescent="0.2">
      <c r="A7925" s="22" t="str">
        <f>HYPERLINK("javascript:void(0)","csillámló levélpajzs")</f>
        <v>csillámló levélpajzs</v>
      </c>
      <c r="B7925" s="21"/>
      <c r="C7925" s="21"/>
      <c r="D7925" s="21"/>
    </row>
    <row r="7926" spans="1:4" ht="12.75" customHeight="1" x14ac:dyDescent="0.2">
      <c r="A7926" s="20"/>
      <c r="B7926" s="2"/>
      <c r="C7926" s="7"/>
      <c r="D7926" s="7"/>
    </row>
    <row r="7927" spans="1:4" ht="12.75" customHeight="1" x14ac:dyDescent="0.2">
      <c r="A7927" s="21"/>
      <c r="B7927" s="3" t="s">
        <v>0</v>
      </c>
      <c r="C7927" s="23" t="s">
        <v>239</v>
      </c>
      <c r="D7927" s="21"/>
    </row>
    <row r="7928" spans="1:4" ht="12.75" customHeight="1" x14ac:dyDescent="0.2">
      <c r="A7928" s="21"/>
      <c r="B7928" s="3" t="s">
        <v>2</v>
      </c>
      <c r="C7928" s="23" t="s">
        <v>1839</v>
      </c>
      <c r="D7928" s="21"/>
    </row>
    <row r="7929" spans="1:4" ht="12.75" customHeight="1" x14ac:dyDescent="0.2">
      <c r="A7929" s="21"/>
      <c r="B7929" s="3" t="s">
        <v>1840</v>
      </c>
      <c r="C7929" s="23" t="s">
        <v>2055</v>
      </c>
      <c r="D7929" s="21"/>
    </row>
    <row r="7930" spans="1:4" ht="12.75" customHeight="1" x14ac:dyDescent="0.2">
      <c r="A7930" s="21"/>
      <c r="B7930" s="3" t="s">
        <v>9</v>
      </c>
      <c r="C7930" s="23" t="s">
        <v>1481</v>
      </c>
      <c r="D7930" s="21"/>
    </row>
    <row r="7931" spans="1:4" ht="12.75" customHeight="1" x14ac:dyDescent="0.2">
      <c r="A7931" s="21"/>
      <c r="B7931" s="3" t="s">
        <v>11</v>
      </c>
      <c r="C7931" s="23" t="s">
        <v>879</v>
      </c>
      <c r="D7931" s="21"/>
    </row>
    <row r="7932" spans="1:4" ht="12.75" customHeight="1" x14ac:dyDescent="0.2">
      <c r="A7932" s="21"/>
      <c r="B7932" s="3" t="s">
        <v>16</v>
      </c>
      <c r="C7932" s="23"/>
      <c r="D7932" s="21"/>
    </row>
    <row r="7933" spans="1:4" ht="12.75" customHeight="1" x14ac:dyDescent="0.2">
      <c r="A7933" s="21"/>
      <c r="B7933" s="3" t="s">
        <v>17</v>
      </c>
      <c r="C7933" s="23" t="s">
        <v>19</v>
      </c>
      <c r="D7933" s="21"/>
    </row>
    <row r="7934" spans="1:4" ht="12.75" customHeight="1" x14ac:dyDescent="0.2">
      <c r="A7934" s="21"/>
      <c r="B7934" s="20" t="s">
        <v>18</v>
      </c>
      <c r="C7934" s="8" t="s">
        <v>57</v>
      </c>
      <c r="D7934" s="1" t="str">
        <f>HYPERLINK("javascript:void(0)","csillámgöb")</f>
        <v>csillámgöb</v>
      </c>
    </row>
    <row r="7935" spans="1:4" ht="12.75" customHeight="1" x14ac:dyDescent="0.2">
      <c r="A7935" s="21"/>
      <c r="B7935" s="21"/>
      <c r="C7935" s="8" t="s">
        <v>44</v>
      </c>
      <c r="D7935" s="1" t="str">
        <f>HYPERLINK("javascript:void(0)","csillámló elfpajzs")</f>
        <v>csillámló elfpajzs</v>
      </c>
    </row>
    <row r="7936" spans="1:4" ht="12.75" customHeight="1" x14ac:dyDescent="0.2">
      <c r="A7936" s="21"/>
      <c r="B7936" s="21"/>
      <c r="C7936" s="8" t="s">
        <v>57</v>
      </c>
      <c r="D7936" s="1" t="str">
        <f>HYPERLINK("javascript:void(0)","ezüstpajzs")</f>
        <v>ezüstpajzs</v>
      </c>
    </row>
    <row r="7937" spans="1:4" ht="12.75" customHeight="1" x14ac:dyDescent="0.2">
      <c r="A7937" s="21"/>
      <c r="B7937" s="2"/>
      <c r="C7937" s="7"/>
      <c r="D7937" s="7"/>
    </row>
    <row r="7938" spans="1:4" ht="12.75" customHeight="1" x14ac:dyDescent="0.2">
      <c r="A7938" s="21"/>
      <c r="B7938" s="2"/>
      <c r="C7938" s="7"/>
      <c r="D7938" s="7"/>
    </row>
    <row r="7939" spans="1:4" ht="12.75" customHeight="1" x14ac:dyDescent="0.2">
      <c r="A7939" s="21"/>
      <c r="B7939" s="2"/>
      <c r="C7939" s="7"/>
      <c r="D7939" s="7"/>
    </row>
    <row r="7940" spans="1:4" ht="12.75" customHeight="1" x14ac:dyDescent="0.2">
      <c r="A7940" s="21"/>
      <c r="B7940" s="2"/>
      <c r="C7940" s="7"/>
      <c r="D7940" s="7"/>
    </row>
    <row r="7941" spans="1:4" ht="12.75" customHeight="1" x14ac:dyDescent="0.2">
      <c r="A7941" s="5"/>
      <c r="B7941" s="2"/>
      <c r="C7941" s="7"/>
      <c r="D7941" s="7"/>
    </row>
    <row r="7942" spans="1:4" ht="12.75" customHeight="1" x14ac:dyDescent="0.2">
      <c r="A7942" s="22" t="str">
        <f>HYPERLINK("javascript:void(0)","csillámló elfcsizma")</f>
        <v>csillámló elfcsizma</v>
      </c>
      <c r="B7942" s="21"/>
      <c r="C7942" s="21"/>
      <c r="D7942" s="21"/>
    </row>
    <row r="7943" spans="1:4" ht="12.75" customHeight="1" x14ac:dyDescent="0.2">
      <c r="A7943" s="20"/>
      <c r="B7943" s="2"/>
      <c r="C7943" s="7"/>
      <c r="D7943" s="7"/>
    </row>
    <row r="7944" spans="1:4" ht="12.75" customHeight="1" x14ac:dyDescent="0.2">
      <c r="A7944" s="21"/>
      <c r="B7944" s="3" t="s">
        <v>0</v>
      </c>
      <c r="C7944" s="23" t="s">
        <v>239</v>
      </c>
      <c r="D7944" s="21"/>
    </row>
    <row r="7945" spans="1:4" ht="12.75" customHeight="1" x14ac:dyDescent="0.2">
      <c r="A7945" s="21"/>
      <c r="B7945" s="3" t="s">
        <v>2</v>
      </c>
      <c r="C7945" s="23"/>
      <c r="D7945" s="21"/>
    </row>
    <row r="7946" spans="1:4" ht="12.75" customHeight="1" x14ac:dyDescent="0.2">
      <c r="A7946" s="21"/>
      <c r="B7946" s="3" t="s">
        <v>1840</v>
      </c>
      <c r="C7946" s="23" t="s">
        <v>1390</v>
      </c>
      <c r="D7946" s="21"/>
    </row>
    <row r="7947" spans="1:4" ht="12.75" customHeight="1" x14ac:dyDescent="0.2">
      <c r="A7947" s="21"/>
      <c r="B7947" s="3" t="s">
        <v>9</v>
      </c>
      <c r="C7947" s="23" t="s">
        <v>1907</v>
      </c>
      <c r="D7947" s="21"/>
    </row>
    <row r="7948" spans="1:4" ht="12.75" customHeight="1" x14ac:dyDescent="0.2">
      <c r="A7948" s="21"/>
      <c r="B7948" s="3" t="s">
        <v>11</v>
      </c>
      <c r="C7948" s="23" t="s">
        <v>770</v>
      </c>
      <c r="D7948" s="21"/>
    </row>
    <row r="7949" spans="1:4" ht="12.75" customHeight="1" x14ac:dyDescent="0.2">
      <c r="A7949" s="21"/>
      <c r="B7949" s="3" t="s">
        <v>16</v>
      </c>
      <c r="C7949" s="23"/>
      <c r="D7949" s="21"/>
    </row>
    <row r="7950" spans="1:4" ht="12.75" customHeight="1" x14ac:dyDescent="0.2">
      <c r="A7950" s="21"/>
      <c r="B7950" s="3" t="s">
        <v>17</v>
      </c>
      <c r="C7950" s="23" t="s">
        <v>19</v>
      </c>
      <c r="D7950" s="21"/>
    </row>
    <row r="7951" spans="1:4" ht="12.75" customHeight="1" x14ac:dyDescent="0.2">
      <c r="A7951" s="21"/>
      <c r="B7951" s="20" t="s">
        <v>18</v>
      </c>
      <c r="C7951" s="8" t="s">
        <v>57</v>
      </c>
      <c r="D7951" s="1" t="str">
        <f>HYPERLINK("javascript:void(0)","csillámgöb")</f>
        <v>csillámgöb</v>
      </c>
    </row>
    <row r="7952" spans="1:4" ht="12.75" customHeight="1" x14ac:dyDescent="0.2">
      <c r="A7952" s="21"/>
      <c r="B7952" s="21"/>
      <c r="C7952" s="8" t="s">
        <v>44</v>
      </c>
      <c r="D7952" s="1" t="str">
        <f>HYPERLINK("javascript:void(0)","csillámtaposó")</f>
        <v>csillámtaposó</v>
      </c>
    </row>
    <row r="7953" spans="1:4" ht="12.75" customHeight="1" x14ac:dyDescent="0.2">
      <c r="A7953" s="21"/>
      <c r="B7953" s="21"/>
      <c r="C7953" s="8" t="s">
        <v>309</v>
      </c>
      <c r="D7953" s="1" t="str">
        <f>HYPERLINK("javascript:void(0)","sárkánykarom")</f>
        <v>sárkánykarom</v>
      </c>
    </row>
    <row r="7954" spans="1:4" ht="12.75" customHeight="1" x14ac:dyDescent="0.2">
      <c r="A7954" s="21"/>
      <c r="B7954" s="2"/>
      <c r="C7954" s="7"/>
      <c r="D7954" s="7"/>
    </row>
    <row r="7955" spans="1:4" ht="12.75" customHeight="1" x14ac:dyDescent="0.2">
      <c r="A7955" s="21"/>
      <c r="B7955" s="2"/>
      <c r="C7955" s="7"/>
      <c r="D7955" s="7"/>
    </row>
    <row r="7956" spans="1:4" ht="12.75" customHeight="1" x14ac:dyDescent="0.2">
      <c r="A7956" s="21"/>
      <c r="B7956" s="2"/>
      <c r="C7956" s="7"/>
      <c r="D7956" s="7"/>
    </row>
    <row r="7957" spans="1:4" ht="12.75" customHeight="1" x14ac:dyDescent="0.2">
      <c r="A7957" s="21"/>
      <c r="B7957" s="2"/>
      <c r="C7957" s="7"/>
      <c r="D7957" s="7"/>
    </row>
    <row r="7958" spans="1:4" ht="12.75" customHeight="1" x14ac:dyDescent="0.2">
      <c r="A7958" s="5"/>
      <c r="B7958" s="2"/>
      <c r="C7958" s="7"/>
      <c r="D7958" s="7"/>
    </row>
    <row r="7959" spans="1:4" ht="12.75" customHeight="1" x14ac:dyDescent="0.2">
      <c r="A7959" s="22" t="str">
        <f>HYPERLINK("javascript:void(0)","csillámos levélsüveg")</f>
        <v>csillámos levélsüveg</v>
      </c>
      <c r="B7959" s="21"/>
      <c r="C7959" s="21"/>
      <c r="D7959" s="21"/>
    </row>
    <row r="7960" spans="1:4" ht="12.75" customHeight="1" x14ac:dyDescent="0.2">
      <c r="A7960" s="20"/>
      <c r="B7960" s="2"/>
      <c r="C7960" s="7"/>
      <c r="D7960" s="7"/>
    </row>
    <row r="7961" spans="1:4" ht="12.75" customHeight="1" x14ac:dyDescent="0.2">
      <c r="A7961" s="21"/>
      <c r="B7961" s="3" t="s">
        <v>0</v>
      </c>
      <c r="C7961" s="23" t="s">
        <v>239</v>
      </c>
      <c r="D7961" s="21"/>
    </row>
    <row r="7962" spans="1:4" ht="12.75" customHeight="1" x14ac:dyDescent="0.2">
      <c r="A7962" s="21"/>
      <c r="B7962" s="3" t="s">
        <v>2</v>
      </c>
      <c r="C7962" s="23"/>
      <c r="D7962" s="21"/>
    </row>
    <row r="7963" spans="1:4" ht="12.75" customHeight="1" x14ac:dyDescent="0.2">
      <c r="A7963" s="21"/>
      <c r="B7963" s="3" t="s">
        <v>1840</v>
      </c>
      <c r="C7963" s="23" t="s">
        <v>267</v>
      </c>
      <c r="D7963" s="21"/>
    </row>
    <row r="7964" spans="1:4" ht="12.75" customHeight="1" x14ac:dyDescent="0.2">
      <c r="A7964" s="21"/>
      <c r="B7964" s="3" t="s">
        <v>9</v>
      </c>
      <c r="C7964" s="23" t="s">
        <v>1324</v>
      </c>
      <c r="D7964" s="21"/>
    </row>
    <row r="7965" spans="1:4" ht="12.75" customHeight="1" x14ac:dyDescent="0.2">
      <c r="A7965" s="21"/>
      <c r="B7965" s="3" t="s">
        <v>11</v>
      </c>
      <c r="C7965" s="23" t="s">
        <v>739</v>
      </c>
      <c r="D7965" s="21"/>
    </row>
    <row r="7966" spans="1:4" ht="12.75" customHeight="1" x14ac:dyDescent="0.2">
      <c r="A7966" s="21"/>
      <c r="B7966" s="3" t="s">
        <v>16</v>
      </c>
      <c r="C7966" s="23"/>
      <c r="D7966" s="21"/>
    </row>
    <row r="7967" spans="1:4" ht="12.75" customHeight="1" x14ac:dyDescent="0.2">
      <c r="A7967" s="21"/>
      <c r="B7967" s="3" t="s">
        <v>17</v>
      </c>
      <c r="C7967" s="23" t="s">
        <v>19</v>
      </c>
      <c r="D7967" s="21"/>
    </row>
    <row r="7968" spans="1:4" ht="12.75" customHeight="1" x14ac:dyDescent="0.2">
      <c r="A7968" s="21"/>
      <c r="B7968" s="20" t="s">
        <v>18</v>
      </c>
      <c r="C7968" s="8" t="s">
        <v>57</v>
      </c>
      <c r="D7968" s="1" t="str">
        <f>HYPERLINK("javascript:void(0)","csillámgöb")</f>
        <v>csillámgöb</v>
      </c>
    </row>
    <row r="7969" spans="1:4" ht="12.75" customHeight="1" x14ac:dyDescent="0.2">
      <c r="A7969" s="21"/>
      <c r="B7969" s="21"/>
      <c r="C7969" s="8" t="s">
        <v>44</v>
      </c>
      <c r="D7969" s="1" t="str">
        <f>HYPERLINK("javascript:void(0)","csillámsisak")</f>
        <v>csillámsisak</v>
      </c>
    </row>
    <row r="7970" spans="1:4" ht="12.75" customHeight="1" x14ac:dyDescent="0.2">
      <c r="A7970" s="21"/>
      <c r="B7970" s="21"/>
      <c r="C7970" s="8" t="s">
        <v>398</v>
      </c>
      <c r="D7970" s="1" t="str">
        <f>HYPERLINK("javascript:void(0)","szent szimbólum")</f>
        <v>szent szimbólum</v>
      </c>
    </row>
    <row r="7971" spans="1:4" ht="12.75" customHeight="1" x14ac:dyDescent="0.2">
      <c r="A7971" s="21"/>
      <c r="B7971" s="2"/>
      <c r="C7971" s="7"/>
      <c r="D7971" s="7"/>
    </row>
    <row r="7972" spans="1:4" ht="12.75" customHeight="1" x14ac:dyDescent="0.2">
      <c r="A7972" s="21"/>
      <c r="B7972" s="2"/>
      <c r="C7972" s="7"/>
      <c r="D7972" s="7"/>
    </row>
    <row r="7973" spans="1:4" ht="12.75" customHeight="1" x14ac:dyDescent="0.2">
      <c r="A7973" s="21"/>
      <c r="B7973" s="2"/>
      <c r="C7973" s="7"/>
      <c r="D7973" s="7"/>
    </row>
    <row r="7974" spans="1:4" ht="12.75" customHeight="1" x14ac:dyDescent="0.2">
      <c r="A7974" s="21"/>
      <c r="B7974" s="2"/>
      <c r="C7974" s="7"/>
      <c r="D7974" s="7"/>
    </row>
    <row r="7975" spans="1:4" ht="12.75" customHeight="1" x14ac:dyDescent="0.2">
      <c r="A7975" s="5"/>
      <c r="B7975" s="2"/>
      <c r="C7975" s="7"/>
      <c r="D7975" s="7"/>
    </row>
    <row r="7976" spans="1:4" ht="12.75" customHeight="1" x14ac:dyDescent="0.2">
      <c r="A7976" s="22" t="str">
        <f>HYPERLINK("javascript:void(0)","csillámló elfpáncél")</f>
        <v>csillámló elfpáncél</v>
      </c>
      <c r="B7976" s="21"/>
      <c r="C7976" s="21"/>
      <c r="D7976" s="21"/>
    </row>
    <row r="7977" spans="1:4" ht="12.75" customHeight="1" x14ac:dyDescent="0.2">
      <c r="A7977" s="20"/>
      <c r="B7977" s="2"/>
      <c r="C7977" s="7"/>
      <c r="D7977" s="7"/>
    </row>
    <row r="7978" spans="1:4" ht="12.75" customHeight="1" x14ac:dyDescent="0.2">
      <c r="A7978" s="21"/>
      <c r="B7978" s="3" t="s">
        <v>0</v>
      </c>
      <c r="C7978" s="23" t="s">
        <v>239</v>
      </c>
      <c r="D7978" s="21"/>
    </row>
    <row r="7979" spans="1:4" ht="12.75" customHeight="1" x14ac:dyDescent="0.2">
      <c r="A7979" s="21"/>
      <c r="B7979" s="3" t="s">
        <v>2</v>
      </c>
      <c r="C7979" s="23" t="s">
        <v>2322</v>
      </c>
      <c r="D7979" s="21"/>
    </row>
    <row r="7980" spans="1:4" ht="12.75" customHeight="1" x14ac:dyDescent="0.2">
      <c r="A7980" s="21"/>
      <c r="B7980" s="3" t="s">
        <v>1840</v>
      </c>
      <c r="C7980" s="23" t="s">
        <v>2428</v>
      </c>
      <c r="D7980" s="21"/>
    </row>
    <row r="7981" spans="1:4" ht="12.75" customHeight="1" x14ac:dyDescent="0.2">
      <c r="A7981" s="21"/>
      <c r="B7981" s="3" t="s">
        <v>9</v>
      </c>
      <c r="C7981" s="23" t="s">
        <v>2056</v>
      </c>
      <c r="D7981" s="21"/>
    </row>
    <row r="7982" spans="1:4" ht="12.75" customHeight="1" x14ac:dyDescent="0.2">
      <c r="A7982" s="21"/>
      <c r="B7982" s="3" t="s">
        <v>11</v>
      </c>
      <c r="C7982" s="23" t="s">
        <v>739</v>
      </c>
      <c r="D7982" s="21"/>
    </row>
    <row r="7983" spans="1:4" ht="12.75" customHeight="1" x14ac:dyDescent="0.2">
      <c r="A7983" s="21"/>
      <c r="B7983" s="3" t="s">
        <v>16</v>
      </c>
      <c r="C7983" s="23"/>
      <c r="D7983" s="21"/>
    </row>
    <row r="7984" spans="1:4" ht="12.75" customHeight="1" x14ac:dyDescent="0.2">
      <c r="A7984" s="21"/>
      <c r="B7984" s="3" t="s">
        <v>17</v>
      </c>
      <c r="C7984" s="23" t="s">
        <v>19</v>
      </c>
      <c r="D7984" s="21"/>
    </row>
    <row r="7985" spans="1:4" ht="12.75" customHeight="1" x14ac:dyDescent="0.2">
      <c r="A7985" s="21"/>
      <c r="B7985" s="20" t="s">
        <v>18</v>
      </c>
      <c r="C7985" s="8" t="s">
        <v>57</v>
      </c>
      <c r="D7985" s="1" t="str">
        <f>HYPERLINK("javascript:void(0)","csillámgöb")</f>
        <v>csillámgöb</v>
      </c>
    </row>
    <row r="7986" spans="1:4" ht="12.75" customHeight="1" x14ac:dyDescent="0.2">
      <c r="A7986" s="21"/>
      <c r="B7986" s="21"/>
      <c r="C7986" s="8" t="s">
        <v>44</v>
      </c>
      <c r="D7986" s="1" t="str">
        <f>HYPERLINK("javascript:void(0)","csillámos kisvért")</f>
        <v>csillámos kisvért</v>
      </c>
    </row>
    <row r="7987" spans="1:4" ht="12.75" customHeight="1" x14ac:dyDescent="0.2">
      <c r="A7987" s="21"/>
      <c r="B7987" s="21"/>
      <c r="C7987" s="8" t="s">
        <v>1536</v>
      </c>
      <c r="D7987" s="1" t="str">
        <f>HYPERLINK("javascript:void(0)","ámbra")</f>
        <v>ámbra</v>
      </c>
    </row>
    <row r="7988" spans="1:4" ht="12.75" customHeight="1" x14ac:dyDescent="0.2">
      <c r="A7988" s="21"/>
      <c r="B7988" s="2"/>
      <c r="C7988" s="7"/>
      <c r="D7988" s="7"/>
    </row>
    <row r="7989" spans="1:4" ht="12.75" customHeight="1" x14ac:dyDescent="0.2">
      <c r="A7989" s="21"/>
      <c r="B7989" s="2"/>
      <c r="C7989" s="7"/>
      <c r="D7989" s="7"/>
    </row>
    <row r="7990" spans="1:4" ht="12.75" customHeight="1" x14ac:dyDescent="0.2">
      <c r="A7990" s="21"/>
      <c r="B7990" s="2"/>
      <c r="C7990" s="7"/>
      <c r="D7990" s="7"/>
    </row>
    <row r="7991" spans="1:4" ht="12.75" customHeight="1" x14ac:dyDescent="0.2">
      <c r="A7991" s="21"/>
      <c r="B7991" s="2"/>
      <c r="C7991" s="7"/>
      <c r="D7991" s="7"/>
    </row>
    <row r="7992" spans="1:4" ht="12.75" customHeight="1" x14ac:dyDescent="0.2">
      <c r="A7992" s="5"/>
      <c r="B7992" s="2"/>
      <c r="C7992" s="7"/>
      <c r="D7992" s="7"/>
    </row>
    <row r="7993" spans="1:4" ht="12.75" customHeight="1" x14ac:dyDescent="0.2">
      <c r="A7993" s="22" t="str">
        <f>HYPERLINK("javascript:void(0)","rúna mellvért")</f>
        <v>rúna mellvért</v>
      </c>
      <c r="B7993" s="21"/>
      <c r="C7993" s="21"/>
      <c r="D7993" s="21"/>
    </row>
    <row r="7994" spans="1:4" ht="12.75" customHeight="1" x14ac:dyDescent="0.2">
      <c r="A7994" s="20"/>
      <c r="B7994" s="2"/>
      <c r="C7994" s="7"/>
      <c r="D7994" s="7"/>
    </row>
    <row r="7995" spans="1:4" ht="12.75" customHeight="1" x14ac:dyDescent="0.2">
      <c r="A7995" s="21"/>
      <c r="B7995" s="3" t="s">
        <v>0</v>
      </c>
      <c r="C7995" s="23" t="s">
        <v>651</v>
      </c>
      <c r="D7995" s="21"/>
    </row>
    <row r="7996" spans="1:4" ht="12.75" customHeight="1" x14ac:dyDescent="0.2">
      <c r="A7996" s="21"/>
      <c r="B7996" s="3" t="s">
        <v>2</v>
      </c>
      <c r="C7996" s="23" t="s">
        <v>2322</v>
      </c>
      <c r="D7996" s="21"/>
    </row>
    <row r="7997" spans="1:4" ht="12.75" customHeight="1" x14ac:dyDescent="0.2">
      <c r="A7997" s="21"/>
      <c r="B7997" s="3" t="s">
        <v>1840</v>
      </c>
      <c r="C7997" s="23" t="s">
        <v>2429</v>
      </c>
      <c r="D7997" s="21"/>
    </row>
    <row r="7998" spans="1:4" ht="12.75" customHeight="1" x14ac:dyDescent="0.2">
      <c r="A7998" s="21"/>
      <c r="B7998" s="3" t="s">
        <v>9</v>
      </c>
      <c r="C7998" s="23" t="s">
        <v>200</v>
      </c>
      <c r="D7998" s="21"/>
    </row>
    <row r="7999" spans="1:4" ht="12.75" customHeight="1" x14ac:dyDescent="0.2">
      <c r="A7999" s="21"/>
      <c r="B7999" s="3" t="s">
        <v>11</v>
      </c>
      <c r="C7999" s="23" t="s">
        <v>754</v>
      </c>
      <c r="D7999" s="21"/>
    </row>
    <row r="8000" spans="1:4" ht="12.75" customHeight="1" x14ac:dyDescent="0.2">
      <c r="A8000" s="21"/>
      <c r="B8000" s="3" t="s">
        <v>16</v>
      </c>
      <c r="C8000" s="23"/>
      <c r="D8000" s="21"/>
    </row>
    <row r="8001" spans="1:4" ht="12.75" customHeight="1" x14ac:dyDescent="0.2">
      <c r="A8001" s="21"/>
      <c r="B8001" s="3" t="s">
        <v>17</v>
      </c>
      <c r="C8001" s="23" t="s">
        <v>19</v>
      </c>
      <c r="D8001" s="21"/>
    </row>
    <row r="8002" spans="1:4" ht="12.75" customHeight="1" x14ac:dyDescent="0.2">
      <c r="A8002" s="21"/>
      <c r="B8002" s="20" t="s">
        <v>18</v>
      </c>
      <c r="C8002" s="8" t="s">
        <v>68</v>
      </c>
      <c r="D8002" s="1" t="str">
        <f>HYPERLINK("javascript:void(0)","rúna")</f>
        <v>rúna</v>
      </c>
    </row>
    <row r="8003" spans="1:4" ht="12.75" customHeight="1" x14ac:dyDescent="0.2">
      <c r="A8003" s="21"/>
      <c r="B8003" s="21"/>
      <c r="C8003" s="8" t="s">
        <v>117</v>
      </c>
      <c r="D8003" s="1" t="str">
        <f>HYPERLINK("javascript:void(0)","gigacsáp")</f>
        <v>gigacsáp</v>
      </c>
    </row>
    <row r="8004" spans="1:4" ht="12.75" customHeight="1" x14ac:dyDescent="0.2">
      <c r="A8004" s="21"/>
      <c r="B8004" s="21"/>
      <c r="C8004" s="8" t="s">
        <v>244</v>
      </c>
      <c r="D8004" s="1" t="str">
        <f>HYPERLINK("javascript:void(0)","uszony")</f>
        <v>uszony</v>
      </c>
    </row>
    <row r="8005" spans="1:4" ht="12.75" customHeight="1" x14ac:dyDescent="0.2">
      <c r="A8005" s="21"/>
      <c r="B8005" s="2"/>
      <c r="C8005" s="7"/>
      <c r="D8005" s="7"/>
    </row>
    <row r="8006" spans="1:4" ht="12.75" customHeight="1" x14ac:dyDescent="0.2">
      <c r="A8006" s="21"/>
      <c r="B8006" s="2"/>
      <c r="C8006" s="7"/>
      <c r="D8006" s="7"/>
    </row>
    <row r="8007" spans="1:4" ht="12.75" customHeight="1" x14ac:dyDescent="0.2">
      <c r="A8007" s="21"/>
      <c r="B8007" s="2"/>
      <c r="C8007" s="7"/>
      <c r="D8007" s="7"/>
    </row>
    <row r="8008" spans="1:4" ht="12.75" customHeight="1" x14ac:dyDescent="0.2">
      <c r="A8008" s="21"/>
      <c r="B8008" s="2"/>
      <c r="C8008" s="7"/>
      <c r="D8008" s="7"/>
    </row>
    <row r="8009" spans="1:4" ht="12.75" customHeight="1" x14ac:dyDescent="0.2">
      <c r="A8009" s="5"/>
      <c r="B8009" s="2"/>
      <c r="C8009" s="7"/>
      <c r="D8009" s="7"/>
    </row>
    <row r="8010" spans="1:4" ht="12.75" customHeight="1" x14ac:dyDescent="0.2">
      <c r="A8010" s="22" t="str">
        <f>HYPERLINK("javascript:void(0)","elemi sisak")</f>
        <v>elemi sisak</v>
      </c>
      <c r="B8010" s="21"/>
      <c r="C8010" s="21"/>
      <c r="D8010" s="21"/>
    </row>
    <row r="8011" spans="1:4" ht="12.75" customHeight="1" x14ac:dyDescent="0.2">
      <c r="A8011" s="20"/>
      <c r="B8011" s="2"/>
      <c r="C8011" s="7"/>
      <c r="D8011" s="7"/>
    </row>
    <row r="8012" spans="1:4" ht="12.75" customHeight="1" x14ac:dyDescent="0.2">
      <c r="A8012" s="21"/>
      <c r="B8012" s="3" t="s">
        <v>0</v>
      </c>
      <c r="C8012" s="23" t="s">
        <v>651</v>
      </c>
      <c r="D8012" s="21"/>
    </row>
    <row r="8013" spans="1:4" ht="12.75" customHeight="1" x14ac:dyDescent="0.2">
      <c r="A8013" s="21"/>
      <c r="B8013" s="3" t="s">
        <v>2</v>
      </c>
      <c r="C8013" s="23"/>
      <c r="D8013" s="21"/>
    </row>
    <row r="8014" spans="1:4" ht="12.75" customHeight="1" x14ac:dyDescent="0.2">
      <c r="A8014" s="21"/>
      <c r="B8014" s="3" t="s">
        <v>1840</v>
      </c>
      <c r="C8014" s="23" t="s">
        <v>1385</v>
      </c>
      <c r="D8014" s="21"/>
    </row>
    <row r="8015" spans="1:4" ht="12.75" customHeight="1" x14ac:dyDescent="0.2">
      <c r="A8015" s="21"/>
      <c r="B8015" s="3" t="s">
        <v>9</v>
      </c>
      <c r="C8015" s="23" t="s">
        <v>172</v>
      </c>
      <c r="D8015" s="21"/>
    </row>
    <row r="8016" spans="1:4" ht="12.75" customHeight="1" x14ac:dyDescent="0.2">
      <c r="A8016" s="21"/>
      <c r="B8016" s="3" t="s">
        <v>11</v>
      </c>
      <c r="C8016" s="23" t="s">
        <v>754</v>
      </c>
      <c r="D8016" s="21"/>
    </row>
    <row r="8017" spans="1:4" ht="12.75" customHeight="1" x14ac:dyDescent="0.2">
      <c r="A8017" s="21"/>
      <c r="B8017" s="3" t="s">
        <v>16</v>
      </c>
      <c r="C8017" s="23"/>
      <c r="D8017" s="21"/>
    </row>
    <row r="8018" spans="1:4" ht="12.75" customHeight="1" x14ac:dyDescent="0.2">
      <c r="A8018" s="21"/>
      <c r="B8018" s="3" t="s">
        <v>17</v>
      </c>
      <c r="C8018" s="23" t="s">
        <v>19</v>
      </c>
      <c r="D8018" s="21"/>
    </row>
    <row r="8019" spans="1:4" ht="12.75" customHeight="1" x14ac:dyDescent="0.2">
      <c r="A8019" s="21"/>
      <c r="B8019" s="20" t="s">
        <v>18</v>
      </c>
      <c r="C8019" s="8" t="s">
        <v>44</v>
      </c>
      <c r="D8019" s="1" t="str">
        <f>HYPERLINK("javascript:void(0)","pikkelysisak")</f>
        <v>pikkelysisak</v>
      </c>
    </row>
    <row r="8020" spans="1:4" ht="12.75" customHeight="1" x14ac:dyDescent="0.2">
      <c r="A8020" s="21"/>
      <c r="B8020" s="21"/>
      <c r="C8020" s="8" t="s">
        <v>139</v>
      </c>
      <c r="D8020" s="1" t="str">
        <f>HYPERLINK("javascript:void(0)","elemi köpet")</f>
        <v>elemi köpet</v>
      </c>
    </row>
    <row r="8021" spans="1:4" ht="12.75" customHeight="1" x14ac:dyDescent="0.2">
      <c r="A8021" s="21"/>
      <c r="B8021" s="21"/>
      <c r="C8021" s="8" t="s">
        <v>756</v>
      </c>
      <c r="D8021" s="1" t="str">
        <f>HYPERLINK("javascript:void(0)","trolltartó")</f>
        <v>trolltartó</v>
      </c>
    </row>
    <row r="8022" spans="1:4" ht="12.75" customHeight="1" x14ac:dyDescent="0.2">
      <c r="A8022" s="21"/>
      <c r="B8022" s="2"/>
      <c r="C8022" s="7"/>
      <c r="D8022" s="7"/>
    </row>
    <row r="8023" spans="1:4" ht="12.75" customHeight="1" x14ac:dyDescent="0.2">
      <c r="A8023" s="21"/>
      <c r="B8023" s="2"/>
      <c r="C8023" s="7"/>
      <c r="D8023" s="7"/>
    </row>
    <row r="8024" spans="1:4" ht="12.75" customHeight="1" x14ac:dyDescent="0.2">
      <c r="A8024" s="21"/>
      <c r="B8024" s="2"/>
      <c r="C8024" s="7"/>
      <c r="D8024" s="7"/>
    </row>
    <row r="8025" spans="1:4" ht="12.75" customHeight="1" x14ac:dyDescent="0.2">
      <c r="A8025" s="21"/>
      <c r="B8025" s="2"/>
      <c r="C8025" s="7"/>
      <c r="D8025" s="7"/>
    </row>
    <row r="8026" spans="1:4" ht="12.75" customHeight="1" x14ac:dyDescent="0.2">
      <c r="A8026" s="5"/>
      <c r="B8026" s="2"/>
      <c r="C8026" s="7"/>
      <c r="D8026" s="7"/>
    </row>
    <row r="8027" spans="1:4" ht="12.75" customHeight="1" x14ac:dyDescent="0.2">
      <c r="A8027" s="22" t="str">
        <f>HYPERLINK("javascript:void(0)","fotoacél saru")</f>
        <v>fotoacél saru</v>
      </c>
      <c r="B8027" s="21"/>
      <c r="C8027" s="21"/>
      <c r="D8027" s="21"/>
    </row>
    <row r="8028" spans="1:4" ht="12.75" customHeight="1" x14ac:dyDescent="0.2">
      <c r="A8028" s="20"/>
      <c r="B8028" s="2"/>
      <c r="C8028" s="7"/>
      <c r="D8028" s="7"/>
    </row>
    <row r="8029" spans="1:4" ht="12.75" customHeight="1" x14ac:dyDescent="0.2">
      <c r="A8029" s="21"/>
      <c r="B8029" s="3" t="s">
        <v>0</v>
      </c>
      <c r="C8029" s="23" t="s">
        <v>651</v>
      </c>
      <c r="D8029" s="21"/>
    </row>
    <row r="8030" spans="1:4" ht="12.75" customHeight="1" x14ac:dyDescent="0.2">
      <c r="A8030" s="21"/>
      <c r="B8030" s="3" t="s">
        <v>2</v>
      </c>
      <c r="C8030" s="23"/>
      <c r="D8030" s="21"/>
    </row>
    <row r="8031" spans="1:4" ht="12.75" customHeight="1" x14ac:dyDescent="0.2">
      <c r="A8031" s="21"/>
      <c r="B8031" s="3" t="s">
        <v>1840</v>
      </c>
      <c r="C8031" s="23" t="s">
        <v>1362</v>
      </c>
      <c r="D8031" s="21"/>
    </row>
    <row r="8032" spans="1:4" ht="12.75" customHeight="1" x14ac:dyDescent="0.2">
      <c r="A8032" s="21"/>
      <c r="B8032" s="3" t="s">
        <v>9</v>
      </c>
      <c r="C8032" s="23" t="s">
        <v>30</v>
      </c>
      <c r="D8032" s="21"/>
    </row>
    <row r="8033" spans="1:4" ht="12.75" customHeight="1" x14ac:dyDescent="0.2">
      <c r="A8033" s="21"/>
      <c r="B8033" s="3" t="s">
        <v>11</v>
      </c>
      <c r="C8033" s="23" t="s">
        <v>779</v>
      </c>
      <c r="D8033" s="21"/>
    </row>
    <row r="8034" spans="1:4" ht="12.75" customHeight="1" x14ac:dyDescent="0.2">
      <c r="A8034" s="21"/>
      <c r="B8034" s="3" t="s">
        <v>16</v>
      </c>
      <c r="C8034" s="23"/>
      <c r="D8034" s="21"/>
    </row>
    <row r="8035" spans="1:4" ht="12.75" customHeight="1" x14ac:dyDescent="0.2">
      <c r="A8035" s="21"/>
      <c r="B8035" s="3" t="s">
        <v>17</v>
      </c>
      <c r="C8035" s="23" t="s">
        <v>19</v>
      </c>
      <c r="D8035" s="21"/>
    </row>
    <row r="8036" spans="1:4" ht="12.75" customHeight="1" x14ac:dyDescent="0.2">
      <c r="A8036" s="21"/>
      <c r="B8036" s="20" t="s">
        <v>18</v>
      </c>
      <c r="C8036" s="8" t="s">
        <v>44</v>
      </c>
      <c r="D8036" s="1" t="str">
        <f>HYPERLINK("javascript:void(0)","kentacél saru")</f>
        <v>kentacél saru</v>
      </c>
    </row>
    <row r="8037" spans="1:4" ht="12.75" customHeight="1" x14ac:dyDescent="0.2">
      <c r="A8037" s="21"/>
      <c r="B8037" s="21"/>
      <c r="C8037" s="8" t="s">
        <v>44</v>
      </c>
      <c r="D8037" s="1" t="str">
        <f>HYPERLINK("javascript:void(0)","wendír saru")</f>
        <v>wendír saru</v>
      </c>
    </row>
    <row r="8038" spans="1:4" ht="12.75" customHeight="1" x14ac:dyDescent="0.2">
      <c r="A8038" s="21"/>
      <c r="B8038" s="21"/>
      <c r="C8038" s="8" t="s">
        <v>44</v>
      </c>
      <c r="D8038" s="1" t="str">
        <f>HYPERLINK("javascript:void(0)","fotoacél talp")</f>
        <v>fotoacél talp</v>
      </c>
    </row>
    <row r="8039" spans="1:4" ht="12.75" customHeight="1" x14ac:dyDescent="0.2">
      <c r="A8039" s="21"/>
      <c r="B8039" s="2"/>
      <c r="C8039" s="7"/>
      <c r="D8039" s="7"/>
    </row>
    <row r="8040" spans="1:4" ht="12.75" customHeight="1" x14ac:dyDescent="0.2">
      <c r="A8040" s="21"/>
      <c r="B8040" s="2"/>
      <c r="C8040" s="7"/>
      <c r="D8040" s="7"/>
    </row>
    <row r="8041" spans="1:4" ht="12.75" customHeight="1" x14ac:dyDescent="0.2">
      <c r="A8041" s="21"/>
      <c r="B8041" s="2"/>
      <c r="C8041" s="7"/>
      <c r="D8041" s="7"/>
    </row>
    <row r="8042" spans="1:4" ht="12.75" customHeight="1" x14ac:dyDescent="0.2">
      <c r="A8042" s="21"/>
      <c r="B8042" s="2"/>
      <c r="C8042" s="7"/>
      <c r="D8042" s="7"/>
    </row>
    <row r="8043" spans="1:4" ht="12.75" customHeight="1" x14ac:dyDescent="0.2">
      <c r="A8043" s="5"/>
      <c r="B8043" s="2"/>
      <c r="C8043" s="7"/>
      <c r="D8043" s="7"/>
    </row>
    <row r="8044" spans="1:4" ht="12.75" customHeight="1" x14ac:dyDescent="0.2">
      <c r="A8044" s="22" t="str">
        <f>HYPERLINK("javascript:void(0)","elemi pajzs")</f>
        <v>elemi pajzs</v>
      </c>
      <c r="B8044" s="21"/>
      <c r="C8044" s="21"/>
      <c r="D8044" s="21"/>
    </row>
    <row r="8045" spans="1:4" ht="12.75" customHeight="1" x14ac:dyDescent="0.2">
      <c r="A8045" s="20"/>
      <c r="B8045" s="2"/>
      <c r="C8045" s="7"/>
      <c r="D8045" s="7"/>
    </row>
    <row r="8046" spans="1:4" ht="12.75" customHeight="1" x14ac:dyDescent="0.2">
      <c r="A8046" s="21"/>
      <c r="B8046" s="3" t="s">
        <v>0</v>
      </c>
      <c r="C8046" s="23" t="s">
        <v>651</v>
      </c>
      <c r="D8046" s="21"/>
    </row>
    <row r="8047" spans="1:4" ht="12.75" customHeight="1" x14ac:dyDescent="0.2">
      <c r="A8047" s="21"/>
      <c r="B8047" s="3" t="s">
        <v>2</v>
      </c>
      <c r="C8047" s="23" t="s">
        <v>1839</v>
      </c>
      <c r="D8047" s="21"/>
    </row>
    <row r="8048" spans="1:4" ht="12.75" customHeight="1" x14ac:dyDescent="0.2">
      <c r="A8048" s="21"/>
      <c r="B8048" s="3" t="s">
        <v>1840</v>
      </c>
      <c r="C8048" s="23" t="s">
        <v>2173</v>
      </c>
      <c r="D8048" s="21"/>
    </row>
    <row r="8049" spans="1:4" ht="12.75" customHeight="1" x14ac:dyDescent="0.2">
      <c r="A8049" s="21"/>
      <c r="B8049" s="3" t="s">
        <v>9</v>
      </c>
      <c r="C8049" s="23" t="s">
        <v>249</v>
      </c>
      <c r="D8049" s="21"/>
    </row>
    <row r="8050" spans="1:4" ht="12.75" customHeight="1" x14ac:dyDescent="0.2">
      <c r="A8050" s="21"/>
      <c r="B8050" s="3" t="s">
        <v>11</v>
      </c>
      <c r="C8050" s="23" t="s">
        <v>901</v>
      </c>
      <c r="D8050" s="21"/>
    </row>
    <row r="8051" spans="1:4" ht="12.75" customHeight="1" x14ac:dyDescent="0.2">
      <c r="A8051" s="21"/>
      <c r="B8051" s="3" t="s">
        <v>16</v>
      </c>
      <c r="C8051" s="23"/>
      <c r="D8051" s="21"/>
    </row>
    <row r="8052" spans="1:4" ht="12.75" customHeight="1" x14ac:dyDescent="0.2">
      <c r="A8052" s="21"/>
      <c r="B8052" s="3" t="s">
        <v>17</v>
      </c>
      <c r="C8052" s="23" t="s">
        <v>19</v>
      </c>
      <c r="D8052" s="21"/>
    </row>
    <row r="8053" spans="1:4" ht="12.75" customHeight="1" x14ac:dyDescent="0.2">
      <c r="A8053" s="21"/>
      <c r="B8053" s="20" t="s">
        <v>18</v>
      </c>
      <c r="C8053" s="8" t="s">
        <v>44</v>
      </c>
      <c r="D8053" s="1" t="str">
        <f>HYPERLINK("javascript:void(0)","helioacél pajzs")</f>
        <v>helioacél pajzs</v>
      </c>
    </row>
    <row r="8054" spans="1:4" ht="12.75" customHeight="1" x14ac:dyDescent="0.2">
      <c r="A8054" s="21"/>
      <c r="B8054" s="21"/>
      <c r="C8054" s="8" t="s">
        <v>139</v>
      </c>
      <c r="D8054" s="1" t="str">
        <f>HYPERLINK("javascript:void(0)","elemi köpet")</f>
        <v>elemi köpet</v>
      </c>
    </row>
    <row r="8055" spans="1:4" ht="12.75" customHeight="1" x14ac:dyDescent="0.2">
      <c r="A8055" s="21"/>
      <c r="B8055" s="21"/>
      <c r="C8055" s="8" t="s">
        <v>193</v>
      </c>
      <c r="D8055" s="1" t="str">
        <f>HYPERLINK("javascript:void(0)","mechodron")</f>
        <v>mechodron</v>
      </c>
    </row>
    <row r="8056" spans="1:4" ht="12.75" customHeight="1" x14ac:dyDescent="0.2">
      <c r="A8056" s="21"/>
      <c r="B8056" s="2"/>
      <c r="C8056" s="7"/>
      <c r="D8056" s="7"/>
    </row>
    <row r="8057" spans="1:4" ht="12.75" customHeight="1" x14ac:dyDescent="0.2">
      <c r="A8057" s="21"/>
      <c r="B8057" s="2"/>
      <c r="C8057" s="7"/>
      <c r="D8057" s="7"/>
    </row>
    <row r="8058" spans="1:4" ht="12.75" customHeight="1" x14ac:dyDescent="0.2">
      <c r="A8058" s="21"/>
      <c r="B8058" s="2"/>
      <c r="C8058" s="7"/>
      <c r="D8058" s="7"/>
    </row>
    <row r="8059" spans="1:4" ht="12.75" customHeight="1" x14ac:dyDescent="0.2">
      <c r="A8059" s="21"/>
      <c r="B8059" s="2"/>
      <c r="C8059" s="7"/>
      <c r="D8059" s="7"/>
    </row>
    <row r="8060" spans="1:4" ht="12.75" customHeight="1" x14ac:dyDescent="0.2">
      <c r="A8060" s="5"/>
      <c r="B8060" s="2"/>
      <c r="C8060" s="7"/>
      <c r="D8060" s="7"/>
    </row>
    <row r="8061" spans="1:4" ht="12.75" customHeight="1" x14ac:dyDescent="0.2">
      <c r="A8061" s="22" t="str">
        <f>HYPERLINK("javascript:void(0)","hiperveretű illanat")</f>
        <v>hiperveretű illanat</v>
      </c>
      <c r="B8061" s="21"/>
      <c r="C8061" s="21"/>
      <c r="D8061" s="21"/>
    </row>
    <row r="8062" spans="1:4" ht="12.75" customHeight="1" x14ac:dyDescent="0.2">
      <c r="A8062" s="20"/>
      <c r="B8062" s="2"/>
      <c r="C8062" s="7"/>
      <c r="D8062" s="7"/>
    </row>
    <row r="8063" spans="1:4" ht="12.75" customHeight="1" x14ac:dyDescent="0.2">
      <c r="A8063" s="21"/>
      <c r="B8063" s="3" t="s">
        <v>0</v>
      </c>
      <c r="C8063" s="23" t="s">
        <v>651</v>
      </c>
      <c r="D8063" s="21"/>
    </row>
    <row r="8064" spans="1:4" ht="12.75" customHeight="1" x14ac:dyDescent="0.2">
      <c r="A8064" s="21"/>
      <c r="B8064" s="3" t="s">
        <v>2</v>
      </c>
      <c r="C8064" s="23" t="s">
        <v>1839</v>
      </c>
      <c r="D8064" s="21"/>
    </row>
    <row r="8065" spans="1:4" ht="12.75" customHeight="1" x14ac:dyDescent="0.2">
      <c r="A8065" s="21"/>
      <c r="B8065" s="3" t="s">
        <v>1840</v>
      </c>
      <c r="C8065" s="23" t="s">
        <v>2173</v>
      </c>
      <c r="D8065" s="21"/>
    </row>
    <row r="8066" spans="1:4" ht="12.75" customHeight="1" x14ac:dyDescent="0.2">
      <c r="A8066" s="21"/>
      <c r="B8066" s="3" t="s">
        <v>9</v>
      </c>
      <c r="C8066" s="23" t="s">
        <v>2070</v>
      </c>
      <c r="D8066" s="21"/>
    </row>
    <row r="8067" spans="1:4" ht="12.75" customHeight="1" x14ac:dyDescent="0.2">
      <c r="A8067" s="21"/>
      <c r="B8067" s="3" t="s">
        <v>11</v>
      </c>
      <c r="C8067" s="23" t="s">
        <v>939</v>
      </c>
      <c r="D8067" s="21"/>
    </row>
    <row r="8068" spans="1:4" ht="12.75" customHeight="1" x14ac:dyDescent="0.2">
      <c r="A8068" s="21"/>
      <c r="B8068" s="3" t="s">
        <v>16</v>
      </c>
      <c r="C8068" s="23"/>
      <c r="D8068" s="21"/>
    </row>
    <row r="8069" spans="1:4" ht="12.75" customHeight="1" x14ac:dyDescent="0.2">
      <c r="A8069" s="21"/>
      <c r="B8069" s="3" t="s">
        <v>17</v>
      </c>
      <c r="C8069" s="23" t="s">
        <v>19</v>
      </c>
      <c r="D8069" s="21"/>
    </row>
    <row r="8070" spans="1:4" ht="12.75" customHeight="1" x14ac:dyDescent="0.2">
      <c r="A8070" s="21"/>
      <c r="B8070" s="20" t="s">
        <v>18</v>
      </c>
      <c r="C8070" s="8" t="s">
        <v>44</v>
      </c>
      <c r="D8070" s="1" t="str">
        <f>HYPERLINK("javascript:void(0)","elemi pajzs")</f>
        <v>elemi pajzs</v>
      </c>
    </row>
    <row r="8071" spans="1:4" ht="12.75" customHeight="1" x14ac:dyDescent="0.2">
      <c r="A8071" s="21"/>
      <c r="B8071" s="21"/>
      <c r="C8071" s="8" t="s">
        <v>382</v>
      </c>
      <c r="D8071" s="1" t="str">
        <f>HYPERLINK("javascript:void(0)","hiperium")</f>
        <v>hiperium</v>
      </c>
    </row>
    <row r="8072" spans="1:4" ht="12.75" customHeight="1" x14ac:dyDescent="0.2">
      <c r="A8072" s="21"/>
      <c r="B8072" s="21"/>
      <c r="C8072" s="8" t="s">
        <v>98</v>
      </c>
      <c r="D8072" s="1" t="str">
        <f>HYPERLINK("javascript:void(0)","rúna")</f>
        <v>rúna</v>
      </c>
    </row>
    <row r="8073" spans="1:4" ht="12.75" customHeight="1" x14ac:dyDescent="0.2">
      <c r="A8073" s="21"/>
      <c r="B8073" s="2"/>
      <c r="C8073" s="7"/>
      <c r="D8073" s="7"/>
    </row>
    <row r="8074" spans="1:4" ht="12.75" customHeight="1" x14ac:dyDescent="0.2">
      <c r="A8074" s="21"/>
      <c r="B8074" s="2"/>
      <c r="C8074" s="7"/>
      <c r="D8074" s="7"/>
    </row>
    <row r="8075" spans="1:4" ht="12.75" customHeight="1" x14ac:dyDescent="0.2">
      <c r="A8075" s="21"/>
      <c r="B8075" s="2"/>
      <c r="C8075" s="7"/>
      <c r="D8075" s="7"/>
    </row>
    <row r="8076" spans="1:4" ht="12.75" customHeight="1" x14ac:dyDescent="0.2">
      <c r="A8076" s="21"/>
      <c r="B8076" s="2"/>
      <c r="C8076" s="7"/>
      <c r="D8076" s="7"/>
    </row>
    <row r="8077" spans="1:4" ht="12.75" customHeight="1" x14ac:dyDescent="0.2">
      <c r="A8077" s="5"/>
      <c r="B8077" s="2"/>
      <c r="C8077" s="7"/>
      <c r="D8077" s="7"/>
    </row>
    <row r="8078" spans="1:4" ht="12.75" customHeight="1" x14ac:dyDescent="0.2">
      <c r="A8078" s="22" t="str">
        <f>HYPERLINK("javascript:void(0)","hypnoacél előlap")</f>
        <v>hypnoacél előlap</v>
      </c>
      <c r="B8078" s="21"/>
      <c r="C8078" s="21"/>
      <c r="D8078" s="21"/>
    </row>
    <row r="8079" spans="1:4" ht="12.75" customHeight="1" x14ac:dyDescent="0.2">
      <c r="A8079" s="20"/>
      <c r="B8079" s="2"/>
      <c r="C8079" s="7"/>
      <c r="D8079" s="7"/>
    </row>
    <row r="8080" spans="1:4" ht="12.75" customHeight="1" x14ac:dyDescent="0.2">
      <c r="A8080" s="21"/>
      <c r="B8080" s="3" t="s">
        <v>0</v>
      </c>
      <c r="C8080" s="23" t="s">
        <v>651</v>
      </c>
      <c r="D8080" s="21"/>
    </row>
    <row r="8081" spans="1:4" ht="12.75" customHeight="1" x14ac:dyDescent="0.2">
      <c r="A8081" s="21"/>
      <c r="B8081" s="3" t="s">
        <v>2</v>
      </c>
      <c r="C8081" s="23"/>
      <c r="D8081" s="21"/>
    </row>
    <row r="8082" spans="1:4" ht="12.75" customHeight="1" x14ac:dyDescent="0.2">
      <c r="A8082" s="21"/>
      <c r="B8082" s="3" t="s">
        <v>1840</v>
      </c>
      <c r="C8082" s="23" t="s">
        <v>274</v>
      </c>
      <c r="D8082" s="21"/>
    </row>
    <row r="8083" spans="1:4" ht="12.75" customHeight="1" x14ac:dyDescent="0.2">
      <c r="A8083" s="21"/>
      <c r="B8083" s="3" t="s">
        <v>9</v>
      </c>
      <c r="C8083" s="23" t="s">
        <v>42</v>
      </c>
      <c r="D8083" s="21"/>
    </row>
    <row r="8084" spans="1:4" ht="12.75" customHeight="1" x14ac:dyDescent="0.2">
      <c r="A8084" s="21"/>
      <c r="B8084" s="3" t="s">
        <v>11</v>
      </c>
      <c r="C8084" s="23" t="s">
        <v>368</v>
      </c>
      <c r="D8084" s="21"/>
    </row>
    <row r="8085" spans="1:4" ht="12.75" customHeight="1" x14ac:dyDescent="0.2">
      <c r="A8085" s="21"/>
      <c r="B8085" s="3" t="s">
        <v>16</v>
      </c>
      <c r="C8085" s="23"/>
      <c r="D8085" s="21"/>
    </row>
    <row r="8086" spans="1:4" ht="12.75" customHeight="1" x14ac:dyDescent="0.2">
      <c r="A8086" s="21"/>
      <c r="B8086" s="3" t="s">
        <v>17</v>
      </c>
      <c r="C8086" s="23" t="s">
        <v>19</v>
      </c>
      <c r="D8086" s="21"/>
    </row>
    <row r="8087" spans="1:4" ht="12.75" customHeight="1" x14ac:dyDescent="0.2">
      <c r="A8087" s="21"/>
      <c r="B8087" s="20" t="s">
        <v>18</v>
      </c>
      <c r="C8087" s="8" t="s">
        <v>68</v>
      </c>
      <c r="D8087" s="1" t="str">
        <f>HYPERLINK("javascript:void(0)","hypnogén")</f>
        <v>hypnogén</v>
      </c>
    </row>
    <row r="8088" spans="1:4" ht="12.75" customHeight="1" x14ac:dyDescent="0.2">
      <c r="A8088" s="21"/>
      <c r="B8088" s="21"/>
      <c r="C8088" s="8" t="s">
        <v>193</v>
      </c>
      <c r="D8088" s="1" t="str">
        <f>HYPERLINK("javascript:void(0)","trolltartó")</f>
        <v>trolltartó</v>
      </c>
    </row>
    <row r="8089" spans="1:4" ht="12.75" customHeight="1" x14ac:dyDescent="0.2">
      <c r="A8089" s="21"/>
      <c r="B8089" s="21"/>
      <c r="C8089" s="8" t="s">
        <v>382</v>
      </c>
      <c r="D8089" s="1" t="str">
        <f>HYPERLINK("javascript:void(0)","ámbra")</f>
        <v>ámbra</v>
      </c>
    </row>
    <row r="8090" spans="1:4" ht="12.75" customHeight="1" x14ac:dyDescent="0.2">
      <c r="A8090" s="21"/>
      <c r="B8090" s="2"/>
      <c r="C8090" s="7"/>
      <c r="D8090" s="7"/>
    </row>
    <row r="8091" spans="1:4" ht="12.75" customHeight="1" x14ac:dyDescent="0.2">
      <c r="A8091" s="21"/>
      <c r="B8091" s="2"/>
      <c r="C8091" s="7"/>
      <c r="D8091" s="7"/>
    </row>
    <row r="8092" spans="1:4" ht="12.75" customHeight="1" x14ac:dyDescent="0.2">
      <c r="A8092" s="21"/>
      <c r="B8092" s="2"/>
      <c r="C8092" s="7"/>
      <c r="D8092" s="7"/>
    </row>
    <row r="8093" spans="1:4" ht="12.75" customHeight="1" x14ac:dyDescent="0.2">
      <c r="A8093" s="21"/>
      <c r="B8093" s="2"/>
      <c r="C8093" s="7"/>
      <c r="D8093" s="7"/>
    </row>
    <row r="8094" spans="1:4" ht="12.75" customHeight="1" x14ac:dyDescent="0.2">
      <c r="A8094" s="5"/>
      <c r="B8094" s="2"/>
      <c r="C8094" s="7"/>
      <c r="D8094" s="7"/>
    </row>
    <row r="8095" spans="1:4" ht="12.75" customHeight="1" x14ac:dyDescent="0.2">
      <c r="A8095" s="22" t="str">
        <f>HYPERLINK("javascript:void(0)","hypnoacél mellvért")</f>
        <v>hypnoacél mellvért</v>
      </c>
      <c r="B8095" s="21"/>
      <c r="C8095" s="21"/>
      <c r="D8095" s="21"/>
    </row>
    <row r="8096" spans="1:4" ht="12.75" customHeight="1" x14ac:dyDescent="0.2">
      <c r="A8096" s="20"/>
      <c r="B8096" s="2"/>
      <c r="C8096" s="7"/>
      <c r="D8096" s="7"/>
    </row>
    <row r="8097" spans="1:4" ht="12.75" customHeight="1" x14ac:dyDescent="0.2">
      <c r="A8097" s="21"/>
      <c r="B8097" s="3" t="s">
        <v>0</v>
      </c>
      <c r="C8097" s="23" t="s">
        <v>69</v>
      </c>
      <c r="D8097" s="21"/>
    </row>
    <row r="8098" spans="1:4" ht="12.75" customHeight="1" x14ac:dyDescent="0.2">
      <c r="A8098" s="21"/>
      <c r="B8098" s="3" t="s">
        <v>2</v>
      </c>
      <c r="C8098" s="23" t="s">
        <v>2322</v>
      </c>
      <c r="D8098" s="21"/>
    </row>
    <row r="8099" spans="1:4" ht="12.75" customHeight="1" x14ac:dyDescent="0.2">
      <c r="A8099" s="21"/>
      <c r="B8099" s="3" t="s">
        <v>1840</v>
      </c>
      <c r="C8099" s="23" t="s">
        <v>2430</v>
      </c>
      <c r="D8099" s="21"/>
    </row>
    <row r="8100" spans="1:4" ht="12.75" customHeight="1" x14ac:dyDescent="0.2">
      <c r="A8100" s="21"/>
      <c r="B8100" s="3" t="s">
        <v>9</v>
      </c>
      <c r="C8100" s="23" t="s">
        <v>172</v>
      </c>
      <c r="D8100" s="21"/>
    </row>
    <row r="8101" spans="1:4" ht="12.75" customHeight="1" x14ac:dyDescent="0.2">
      <c r="A8101" s="21"/>
      <c r="B8101" s="3" t="s">
        <v>11</v>
      </c>
      <c r="C8101" s="23" t="s">
        <v>770</v>
      </c>
      <c r="D8101" s="21"/>
    </row>
    <row r="8102" spans="1:4" ht="12.75" customHeight="1" x14ac:dyDescent="0.2">
      <c r="A8102" s="21"/>
      <c r="B8102" s="3" t="s">
        <v>16</v>
      </c>
      <c r="C8102" s="23"/>
      <c r="D8102" s="21"/>
    </row>
    <row r="8103" spans="1:4" ht="12.75" customHeight="1" x14ac:dyDescent="0.2">
      <c r="A8103" s="21"/>
      <c r="B8103" s="3" t="s">
        <v>17</v>
      </c>
      <c r="C8103" s="23" t="s">
        <v>19</v>
      </c>
      <c r="D8103" s="21"/>
    </row>
    <row r="8104" spans="1:4" ht="12.75" customHeight="1" x14ac:dyDescent="0.2">
      <c r="A8104" s="21"/>
      <c r="B8104" s="20" t="s">
        <v>18</v>
      </c>
      <c r="C8104" s="8" t="s">
        <v>44</v>
      </c>
      <c r="D8104" s="1" t="str">
        <f>HYPERLINK("javascript:void(0)","helioacél mellvért")</f>
        <v>helioacél mellvért</v>
      </c>
    </row>
    <row r="8105" spans="1:4" ht="12.75" customHeight="1" x14ac:dyDescent="0.2">
      <c r="A8105" s="21"/>
      <c r="B8105" s="21"/>
      <c r="C8105" s="8" t="s">
        <v>44</v>
      </c>
      <c r="D8105" s="1" t="str">
        <f>HYPERLINK("javascript:void(0)","rúna mellvért")</f>
        <v>rúna mellvért</v>
      </c>
    </row>
    <row r="8106" spans="1:4" ht="12.75" customHeight="1" x14ac:dyDescent="0.2">
      <c r="A8106" s="21"/>
      <c r="B8106" s="21"/>
      <c r="C8106" s="8" t="s">
        <v>44</v>
      </c>
      <c r="D8106" s="1" t="str">
        <f>HYPERLINK("javascript:void(0)","hypnoacél előlap")</f>
        <v>hypnoacél előlap</v>
      </c>
    </row>
    <row r="8107" spans="1:4" ht="12.75" customHeight="1" x14ac:dyDescent="0.2">
      <c r="A8107" s="21"/>
      <c r="B8107" s="2"/>
      <c r="C8107" s="7"/>
      <c r="D8107" s="7"/>
    </row>
    <row r="8108" spans="1:4" ht="12.75" customHeight="1" x14ac:dyDescent="0.2">
      <c r="A8108" s="21"/>
      <c r="B8108" s="2"/>
      <c r="C8108" s="7"/>
      <c r="D8108" s="7"/>
    </row>
    <row r="8109" spans="1:4" ht="12.75" customHeight="1" x14ac:dyDescent="0.2">
      <c r="A8109" s="21"/>
      <c r="B8109" s="2"/>
      <c r="C8109" s="7"/>
      <c r="D8109" s="7"/>
    </row>
    <row r="8110" spans="1:4" ht="12.75" customHeight="1" x14ac:dyDescent="0.2">
      <c r="A8110" s="21"/>
      <c r="B8110" s="2"/>
      <c r="C8110" s="7"/>
      <c r="D8110" s="7"/>
    </row>
    <row r="8111" spans="1:4" ht="12.75" customHeight="1" x14ac:dyDescent="0.2">
      <c r="A8111" s="5"/>
      <c r="B8111" s="2"/>
      <c r="C8111" s="7"/>
      <c r="D8111" s="7"/>
    </row>
    <row r="8112" spans="1:4" ht="12.75" customHeight="1" x14ac:dyDescent="0.2">
      <c r="A8112" s="22" t="str">
        <f>HYPERLINK("javascript:void(0)","zselésisak")</f>
        <v>zselésisak</v>
      </c>
      <c r="B8112" s="21"/>
      <c r="C8112" s="21"/>
      <c r="D8112" s="21"/>
    </row>
    <row r="8113" spans="1:4" ht="12.75" customHeight="1" x14ac:dyDescent="0.2">
      <c r="A8113" s="20"/>
      <c r="B8113" s="2"/>
      <c r="C8113" s="7"/>
      <c r="D8113" s="7"/>
    </row>
    <row r="8114" spans="1:4" ht="12.75" customHeight="1" x14ac:dyDescent="0.2">
      <c r="A8114" s="21"/>
      <c r="B8114" s="3" t="s">
        <v>0</v>
      </c>
      <c r="C8114" s="23" t="s">
        <v>69</v>
      </c>
      <c r="D8114" s="21"/>
    </row>
    <row r="8115" spans="1:4" ht="12.75" customHeight="1" x14ac:dyDescent="0.2">
      <c r="A8115" s="21"/>
      <c r="B8115" s="3" t="s">
        <v>2</v>
      </c>
      <c r="C8115" s="23"/>
      <c r="D8115" s="21"/>
    </row>
    <row r="8116" spans="1:4" ht="12.75" customHeight="1" x14ac:dyDescent="0.2">
      <c r="A8116" s="21"/>
      <c r="B8116" s="3" t="s">
        <v>1840</v>
      </c>
      <c r="C8116" s="23" t="s">
        <v>1400</v>
      </c>
      <c r="D8116" s="21"/>
    </row>
    <row r="8117" spans="1:4" ht="12.75" customHeight="1" x14ac:dyDescent="0.2">
      <c r="A8117" s="21"/>
      <c r="B8117" s="3" t="s">
        <v>9</v>
      </c>
      <c r="C8117" s="23" t="s">
        <v>84</v>
      </c>
      <c r="D8117" s="21"/>
    </row>
    <row r="8118" spans="1:4" ht="12.75" customHeight="1" x14ac:dyDescent="0.2">
      <c r="A8118" s="21"/>
      <c r="B8118" s="3" t="s">
        <v>11</v>
      </c>
      <c r="C8118" s="23" t="s">
        <v>770</v>
      </c>
      <c r="D8118" s="21"/>
    </row>
    <row r="8119" spans="1:4" ht="12.75" customHeight="1" x14ac:dyDescent="0.2">
      <c r="A8119" s="21"/>
      <c r="B8119" s="3" t="s">
        <v>16</v>
      </c>
      <c r="C8119" s="23"/>
      <c r="D8119" s="21"/>
    </row>
    <row r="8120" spans="1:4" ht="12.75" customHeight="1" x14ac:dyDescent="0.2">
      <c r="A8120" s="21"/>
      <c r="B8120" s="3" t="s">
        <v>17</v>
      </c>
      <c r="C8120" s="23" t="s">
        <v>19</v>
      </c>
      <c r="D8120" s="21"/>
    </row>
    <row r="8121" spans="1:4" ht="12.75" customHeight="1" x14ac:dyDescent="0.2">
      <c r="A8121" s="21"/>
      <c r="B8121" s="20" t="s">
        <v>18</v>
      </c>
      <c r="C8121" s="8" t="s">
        <v>232</v>
      </c>
      <c r="D8121" s="1" t="str">
        <f>HYPERLINK("javascript:void(0)","zselatin")</f>
        <v>zselatin</v>
      </c>
    </row>
    <row r="8122" spans="1:4" ht="12.75" customHeight="1" x14ac:dyDescent="0.2">
      <c r="A8122" s="21"/>
      <c r="B8122" s="21"/>
      <c r="C8122" s="8" t="s">
        <v>67</v>
      </c>
      <c r="D8122" s="1" t="str">
        <f>HYPERLINK("javascript:void(0)","istenpenge")</f>
        <v>istenpenge</v>
      </c>
    </row>
    <row r="8123" spans="1:4" ht="12.75" customHeight="1" x14ac:dyDescent="0.2">
      <c r="A8123" s="21"/>
      <c r="B8123" s="21"/>
      <c r="C8123" s="8" t="s">
        <v>98</v>
      </c>
      <c r="D8123" s="1" t="str">
        <f>HYPERLINK("javascript:void(0)","torokgyík")</f>
        <v>torokgyík</v>
      </c>
    </row>
    <row r="8124" spans="1:4" ht="12.75" customHeight="1" x14ac:dyDescent="0.2">
      <c r="A8124" s="21"/>
      <c r="B8124" s="2"/>
      <c r="C8124" s="7"/>
      <c r="D8124" s="7"/>
    </row>
    <row r="8125" spans="1:4" ht="12.75" customHeight="1" x14ac:dyDescent="0.2">
      <c r="A8125" s="21"/>
      <c r="B8125" s="2"/>
      <c r="C8125" s="7"/>
      <c r="D8125" s="7"/>
    </row>
    <row r="8126" spans="1:4" ht="12.75" customHeight="1" x14ac:dyDescent="0.2">
      <c r="A8126" s="21"/>
      <c r="B8126" s="2"/>
      <c r="C8126" s="7"/>
      <c r="D8126" s="7"/>
    </row>
    <row r="8127" spans="1:4" ht="12.75" customHeight="1" x14ac:dyDescent="0.2">
      <c r="A8127" s="21"/>
      <c r="B8127" s="2"/>
      <c r="C8127" s="7"/>
      <c r="D8127" s="7"/>
    </row>
    <row r="8128" spans="1:4" ht="12.75" customHeight="1" x14ac:dyDescent="0.2">
      <c r="A8128" s="5"/>
      <c r="B8128" s="2"/>
      <c r="C8128" s="7"/>
      <c r="D8128" s="7"/>
    </row>
    <row r="8129" spans="1:4" ht="12.75" customHeight="1" x14ac:dyDescent="0.2">
      <c r="A8129" s="22" t="str">
        <f>HYPERLINK("javascript:void(0)","rimföldi saru")</f>
        <v>rimföldi saru</v>
      </c>
      <c r="B8129" s="21"/>
      <c r="C8129" s="21"/>
      <c r="D8129" s="21"/>
    </row>
    <row r="8130" spans="1:4" ht="12.75" customHeight="1" x14ac:dyDescent="0.2">
      <c r="A8130" s="20"/>
      <c r="B8130" s="2"/>
      <c r="C8130" s="7"/>
      <c r="D8130" s="7"/>
    </row>
    <row r="8131" spans="1:4" ht="12.75" customHeight="1" x14ac:dyDescent="0.2">
      <c r="A8131" s="21"/>
      <c r="B8131" s="3" t="s">
        <v>0</v>
      </c>
      <c r="C8131" s="23" t="s">
        <v>69</v>
      </c>
      <c r="D8131" s="21"/>
    </row>
    <row r="8132" spans="1:4" ht="12.75" customHeight="1" x14ac:dyDescent="0.2">
      <c r="A8132" s="21"/>
      <c r="B8132" s="3" t="s">
        <v>2</v>
      </c>
      <c r="C8132" s="23"/>
      <c r="D8132" s="21"/>
    </row>
    <row r="8133" spans="1:4" ht="12.75" customHeight="1" x14ac:dyDescent="0.2">
      <c r="A8133" s="21"/>
      <c r="B8133" s="3" t="s">
        <v>1840</v>
      </c>
      <c r="C8133" s="23" t="s">
        <v>1373</v>
      </c>
      <c r="D8133" s="21"/>
    </row>
    <row r="8134" spans="1:4" ht="12.75" customHeight="1" x14ac:dyDescent="0.2">
      <c r="A8134" s="21"/>
      <c r="B8134" s="3" t="s">
        <v>9</v>
      </c>
      <c r="C8134" s="23" t="s">
        <v>27</v>
      </c>
      <c r="D8134" s="21"/>
    </row>
    <row r="8135" spans="1:4" ht="12.75" customHeight="1" x14ac:dyDescent="0.2">
      <c r="A8135" s="21"/>
      <c r="B8135" s="3" t="s">
        <v>11</v>
      </c>
      <c r="C8135" s="23" t="s">
        <v>793</v>
      </c>
      <c r="D8135" s="21"/>
    </row>
    <row r="8136" spans="1:4" ht="12.75" customHeight="1" x14ac:dyDescent="0.2">
      <c r="A8136" s="21"/>
      <c r="B8136" s="3" t="s">
        <v>16</v>
      </c>
      <c r="C8136" s="23"/>
      <c r="D8136" s="21"/>
    </row>
    <row r="8137" spans="1:4" ht="12.75" customHeight="1" x14ac:dyDescent="0.2">
      <c r="A8137" s="21"/>
      <c r="B8137" s="3" t="s">
        <v>17</v>
      </c>
      <c r="C8137" s="23" t="s">
        <v>19</v>
      </c>
      <c r="D8137" s="21"/>
    </row>
    <row r="8138" spans="1:4" ht="12.75" customHeight="1" x14ac:dyDescent="0.2">
      <c r="A8138" s="21"/>
      <c r="B8138" s="20" t="s">
        <v>18</v>
      </c>
      <c r="C8138" s="8" t="s">
        <v>44</v>
      </c>
      <c r="D8138" s="1" t="str">
        <f>HYPERLINK("javascript:void(0)","fotoacél saru")</f>
        <v>fotoacél saru</v>
      </c>
    </row>
    <row r="8139" spans="1:4" ht="12.75" customHeight="1" x14ac:dyDescent="0.2">
      <c r="A8139" s="21"/>
      <c r="B8139" s="21"/>
      <c r="C8139" s="8" t="s">
        <v>77</v>
      </c>
      <c r="D8139" s="1" t="str">
        <f>HYPERLINK("javascript:void(0)","zselatin")</f>
        <v>zselatin</v>
      </c>
    </row>
    <row r="8140" spans="1:4" ht="12.75" customHeight="1" x14ac:dyDescent="0.2">
      <c r="A8140" s="21"/>
      <c r="B8140" s="21"/>
      <c r="C8140" s="8" t="s">
        <v>130</v>
      </c>
      <c r="D8140" s="1" t="str">
        <f>HYPERLINK("javascript:void(0)","hangjegy")</f>
        <v>hangjegy</v>
      </c>
    </row>
    <row r="8141" spans="1:4" ht="12.75" customHeight="1" x14ac:dyDescent="0.2">
      <c r="A8141" s="21"/>
      <c r="B8141" s="2"/>
      <c r="C8141" s="7"/>
      <c r="D8141" s="7"/>
    </row>
    <row r="8142" spans="1:4" ht="12.75" customHeight="1" x14ac:dyDescent="0.2">
      <c r="A8142" s="21"/>
      <c r="B8142" s="2"/>
      <c r="C8142" s="7"/>
      <c r="D8142" s="7"/>
    </row>
    <row r="8143" spans="1:4" ht="12.75" customHeight="1" x14ac:dyDescent="0.2">
      <c r="A8143" s="21"/>
      <c r="B8143" s="2"/>
      <c r="C8143" s="7"/>
      <c r="D8143" s="7"/>
    </row>
    <row r="8144" spans="1:4" ht="12.75" customHeight="1" x14ac:dyDescent="0.2">
      <c r="A8144" s="21"/>
      <c r="B8144" s="2"/>
      <c r="C8144" s="7"/>
      <c r="D8144" s="7"/>
    </row>
    <row r="8145" spans="1:4" ht="12.75" customHeight="1" x14ac:dyDescent="0.2">
      <c r="A8145" s="5"/>
      <c r="B8145" s="2"/>
      <c r="C8145" s="7"/>
      <c r="D8145" s="7"/>
    </row>
    <row r="8146" spans="1:4" ht="12.75" customHeight="1" x14ac:dyDescent="0.2">
      <c r="A8146" s="22" t="str">
        <f>HYPERLINK("javascript:void(0)","elemi testpajzs")</f>
        <v>elemi testpajzs</v>
      </c>
      <c r="B8146" s="21"/>
      <c r="C8146" s="21"/>
      <c r="D8146" s="21"/>
    </row>
    <row r="8147" spans="1:4" ht="12.75" customHeight="1" x14ac:dyDescent="0.2">
      <c r="A8147" s="20"/>
      <c r="B8147" s="2"/>
      <c r="C8147" s="7"/>
      <c r="D8147" s="7"/>
    </row>
    <row r="8148" spans="1:4" ht="12.75" customHeight="1" x14ac:dyDescent="0.2">
      <c r="A8148" s="21"/>
      <c r="B8148" s="3" t="s">
        <v>0</v>
      </c>
      <c r="C8148" s="23" t="s">
        <v>69</v>
      </c>
      <c r="D8148" s="21"/>
    </row>
    <row r="8149" spans="1:4" ht="12.75" customHeight="1" x14ac:dyDescent="0.2">
      <c r="A8149" s="21"/>
      <c r="B8149" s="3" t="s">
        <v>2</v>
      </c>
      <c r="C8149" s="23" t="s">
        <v>1839</v>
      </c>
      <c r="D8149" s="21"/>
    </row>
    <row r="8150" spans="1:4" ht="12.75" customHeight="1" x14ac:dyDescent="0.2">
      <c r="A8150" s="21"/>
      <c r="B8150" s="3" t="s">
        <v>1840</v>
      </c>
      <c r="C8150" s="23" t="s">
        <v>2179</v>
      </c>
      <c r="D8150" s="21"/>
    </row>
    <row r="8151" spans="1:4" ht="12.75" customHeight="1" x14ac:dyDescent="0.2">
      <c r="A8151" s="21"/>
      <c r="B8151" s="3" t="s">
        <v>9</v>
      </c>
      <c r="C8151" s="23" t="s">
        <v>262</v>
      </c>
      <c r="D8151" s="21"/>
    </row>
    <row r="8152" spans="1:4" ht="12.75" customHeight="1" x14ac:dyDescent="0.2">
      <c r="A8152" s="21"/>
      <c r="B8152" s="3" t="s">
        <v>11</v>
      </c>
      <c r="C8152" s="23" t="s">
        <v>917</v>
      </c>
      <c r="D8152" s="21"/>
    </row>
    <row r="8153" spans="1:4" ht="12.75" customHeight="1" x14ac:dyDescent="0.2">
      <c r="A8153" s="21"/>
      <c r="B8153" s="3" t="s">
        <v>16</v>
      </c>
      <c r="C8153" s="23"/>
      <c r="D8153" s="21"/>
    </row>
    <row r="8154" spans="1:4" ht="12.75" customHeight="1" x14ac:dyDescent="0.2">
      <c r="A8154" s="21"/>
      <c r="B8154" s="3" t="s">
        <v>17</v>
      </c>
      <c r="C8154" s="23" t="s">
        <v>19</v>
      </c>
      <c r="D8154" s="21"/>
    </row>
    <row r="8155" spans="1:4" ht="12.75" customHeight="1" x14ac:dyDescent="0.2">
      <c r="A8155" s="21"/>
      <c r="B8155" s="20" t="s">
        <v>18</v>
      </c>
      <c r="C8155" s="8" t="s">
        <v>44</v>
      </c>
      <c r="D8155" s="1" t="str">
        <f>HYPERLINK("javascript:void(0)","helioacél testpajzs")</f>
        <v>helioacél testpajzs</v>
      </c>
    </row>
    <row r="8156" spans="1:4" ht="12.75" customHeight="1" x14ac:dyDescent="0.2">
      <c r="A8156" s="21"/>
      <c r="B8156" s="21"/>
      <c r="C8156" s="8" t="s">
        <v>163</v>
      </c>
      <c r="D8156" s="1" t="str">
        <f>HYPERLINK("javascript:void(0)","elemi köpet")</f>
        <v>elemi köpet</v>
      </c>
    </row>
    <row r="8157" spans="1:4" ht="12.75" customHeight="1" x14ac:dyDescent="0.2">
      <c r="A8157" s="21"/>
      <c r="B8157" s="21"/>
      <c r="C8157" s="8" t="s">
        <v>382</v>
      </c>
      <c r="D8157" s="1" t="str">
        <f>HYPERLINK("javascript:void(0)","mechodron")</f>
        <v>mechodron</v>
      </c>
    </row>
    <row r="8158" spans="1:4" ht="12.75" customHeight="1" x14ac:dyDescent="0.2">
      <c r="A8158" s="21"/>
      <c r="B8158" s="2"/>
      <c r="C8158" s="7"/>
      <c r="D8158" s="7"/>
    </row>
    <row r="8159" spans="1:4" ht="12.75" customHeight="1" x14ac:dyDescent="0.2">
      <c r="A8159" s="21"/>
      <c r="B8159" s="2"/>
      <c r="C8159" s="7"/>
      <c r="D8159" s="7"/>
    </row>
    <row r="8160" spans="1:4" ht="12.75" customHeight="1" x14ac:dyDescent="0.2">
      <c r="A8160" s="21"/>
      <c r="B8160" s="2"/>
      <c r="C8160" s="7"/>
      <c r="D8160" s="7"/>
    </row>
    <row r="8161" spans="1:4" ht="12.75" customHeight="1" x14ac:dyDescent="0.2">
      <c r="A8161" s="21"/>
      <c r="B8161" s="2"/>
      <c r="C8161" s="7"/>
      <c r="D8161" s="7"/>
    </row>
    <row r="8162" spans="1:4" ht="12.75" customHeight="1" x14ac:dyDescent="0.2">
      <c r="A8162" s="5"/>
      <c r="B8162" s="2"/>
      <c r="C8162" s="7"/>
      <c r="D8162" s="7"/>
    </row>
    <row r="8163" spans="1:4" ht="12.75" customHeight="1" x14ac:dyDescent="0.2">
      <c r="A8163" s="22" t="str">
        <f>HYPERLINK("javascript:void(0)","elfacél illanat")</f>
        <v>elfacél illanat</v>
      </c>
      <c r="B8163" s="21"/>
      <c r="C8163" s="21"/>
      <c r="D8163" s="21"/>
    </row>
    <row r="8164" spans="1:4" ht="12.75" customHeight="1" x14ac:dyDescent="0.2">
      <c r="A8164" s="20"/>
      <c r="B8164" s="2"/>
      <c r="C8164" s="7"/>
      <c r="D8164" s="7"/>
    </row>
    <row r="8165" spans="1:4" ht="12.75" customHeight="1" x14ac:dyDescent="0.2">
      <c r="A8165" s="21"/>
      <c r="B8165" s="3" t="s">
        <v>0</v>
      </c>
      <c r="C8165" s="23" t="s">
        <v>69</v>
      </c>
      <c r="D8165" s="21"/>
    </row>
    <row r="8166" spans="1:4" ht="12.75" customHeight="1" x14ac:dyDescent="0.2">
      <c r="A8166" s="21"/>
      <c r="B8166" s="3" t="s">
        <v>2</v>
      </c>
      <c r="C8166" s="23" t="s">
        <v>1839</v>
      </c>
      <c r="D8166" s="21"/>
    </row>
    <row r="8167" spans="1:4" ht="12.75" customHeight="1" x14ac:dyDescent="0.2">
      <c r="A8167" s="21"/>
      <c r="B8167" s="3" t="s">
        <v>1840</v>
      </c>
      <c r="C8167" s="23" t="s">
        <v>2179</v>
      </c>
      <c r="D8167" s="21"/>
    </row>
    <row r="8168" spans="1:4" ht="12.75" customHeight="1" x14ac:dyDescent="0.2">
      <c r="A8168" s="21"/>
      <c r="B8168" s="3" t="s">
        <v>9</v>
      </c>
      <c r="C8168" s="23" t="s">
        <v>1262</v>
      </c>
      <c r="D8168" s="21"/>
    </row>
    <row r="8169" spans="1:4" ht="12.75" customHeight="1" x14ac:dyDescent="0.2">
      <c r="A8169" s="21"/>
      <c r="B8169" s="3" t="s">
        <v>11</v>
      </c>
      <c r="C8169" s="23" t="s">
        <v>956</v>
      </c>
      <c r="D8169" s="21"/>
    </row>
    <row r="8170" spans="1:4" ht="12.75" customHeight="1" x14ac:dyDescent="0.2">
      <c r="A8170" s="21"/>
      <c r="B8170" s="3" t="s">
        <v>16</v>
      </c>
      <c r="C8170" s="23"/>
      <c r="D8170" s="21"/>
    </row>
    <row r="8171" spans="1:4" ht="12.75" customHeight="1" x14ac:dyDescent="0.2">
      <c r="A8171" s="21"/>
      <c r="B8171" s="3" t="s">
        <v>17</v>
      </c>
      <c r="C8171" s="23" t="s">
        <v>19</v>
      </c>
      <c r="D8171" s="21"/>
    </row>
    <row r="8172" spans="1:4" ht="12.75" customHeight="1" x14ac:dyDescent="0.2">
      <c r="A8172" s="21"/>
      <c r="B8172" s="20" t="s">
        <v>18</v>
      </c>
      <c r="C8172" s="8" t="s">
        <v>44</v>
      </c>
      <c r="D8172" s="1" t="str">
        <f>HYPERLINK("javascript:void(0)","elemi testpajzs")</f>
        <v>elemi testpajzs</v>
      </c>
    </row>
    <row r="8173" spans="1:4" ht="12.75" customHeight="1" x14ac:dyDescent="0.2">
      <c r="A8173" s="21"/>
      <c r="B8173" s="21"/>
      <c r="C8173" s="8" t="s">
        <v>130</v>
      </c>
      <c r="D8173" s="1" t="str">
        <f>HYPERLINK("javascript:void(0)","szent szimbólum")</f>
        <v>szent szimbólum</v>
      </c>
    </row>
    <row r="8174" spans="1:4" ht="12.75" customHeight="1" x14ac:dyDescent="0.2">
      <c r="A8174" s="21"/>
      <c r="B8174" s="21"/>
      <c r="C8174" s="8" t="s">
        <v>98</v>
      </c>
      <c r="D8174" s="1" t="str">
        <f>HYPERLINK("javascript:void(0)","hypnogén")</f>
        <v>hypnogén</v>
      </c>
    </row>
    <row r="8175" spans="1:4" ht="12.75" customHeight="1" x14ac:dyDescent="0.2">
      <c r="A8175" s="21"/>
      <c r="B8175" s="2"/>
      <c r="C8175" s="7"/>
      <c r="D8175" s="7"/>
    </row>
    <row r="8176" spans="1:4" ht="12.75" customHeight="1" x14ac:dyDescent="0.2">
      <c r="A8176" s="21"/>
      <c r="B8176" s="2"/>
      <c r="C8176" s="7"/>
      <c r="D8176" s="7"/>
    </row>
    <row r="8177" spans="1:4" ht="12.75" customHeight="1" x14ac:dyDescent="0.2">
      <c r="A8177" s="21"/>
      <c r="B8177" s="2"/>
      <c r="C8177" s="7"/>
      <c r="D8177" s="7"/>
    </row>
    <row r="8178" spans="1:4" ht="12.75" customHeight="1" x14ac:dyDescent="0.2">
      <c r="A8178" s="21"/>
      <c r="B8178" s="2"/>
      <c r="C8178" s="7"/>
      <c r="D8178" s="7"/>
    </row>
    <row r="8179" spans="1:4" ht="12.75" customHeight="1" x14ac:dyDescent="0.2">
      <c r="A8179" s="5"/>
      <c r="B8179" s="2"/>
      <c r="C8179" s="7"/>
      <c r="D8179" s="7"/>
    </row>
    <row r="8180" spans="1:4" ht="12.75" customHeight="1" x14ac:dyDescent="0.2">
      <c r="A8180" s="22" t="str">
        <f>HYPERLINK("javascript:void(0)","fotoacél talp")</f>
        <v>fotoacél talp</v>
      </c>
      <c r="B8180" s="21"/>
      <c r="C8180" s="21"/>
      <c r="D8180" s="21"/>
    </row>
    <row r="8181" spans="1:4" ht="12.75" customHeight="1" x14ac:dyDescent="0.2">
      <c r="A8181" s="20"/>
      <c r="B8181" s="2"/>
      <c r="C8181" s="7"/>
      <c r="D8181" s="7"/>
    </row>
    <row r="8182" spans="1:4" ht="12.75" customHeight="1" x14ac:dyDescent="0.2">
      <c r="A8182" s="21"/>
      <c r="B8182" s="3" t="s">
        <v>0</v>
      </c>
      <c r="C8182" s="23" t="s">
        <v>69</v>
      </c>
      <c r="D8182" s="21"/>
    </row>
    <row r="8183" spans="1:4" ht="12.75" customHeight="1" x14ac:dyDescent="0.2">
      <c r="A8183" s="21"/>
      <c r="B8183" s="3" t="s">
        <v>2</v>
      </c>
      <c r="C8183" s="23" t="s">
        <v>2322</v>
      </c>
      <c r="D8183" s="21"/>
    </row>
    <row r="8184" spans="1:4" ht="12.75" customHeight="1" x14ac:dyDescent="0.2">
      <c r="A8184" s="21"/>
      <c r="B8184" s="3" t="s">
        <v>1840</v>
      </c>
      <c r="C8184" s="23" t="s">
        <v>52</v>
      </c>
      <c r="D8184" s="21"/>
    </row>
    <row r="8185" spans="1:4" ht="12.75" customHeight="1" x14ac:dyDescent="0.2">
      <c r="A8185" s="21"/>
      <c r="B8185" s="3" t="s">
        <v>9</v>
      </c>
      <c r="C8185" s="23" t="s">
        <v>42</v>
      </c>
      <c r="D8185" s="21"/>
    </row>
    <row r="8186" spans="1:4" ht="12.75" customHeight="1" x14ac:dyDescent="0.2">
      <c r="A8186" s="21"/>
      <c r="B8186" s="3" t="s">
        <v>11</v>
      </c>
      <c r="C8186" s="23" t="s">
        <v>368</v>
      </c>
      <c r="D8186" s="21"/>
    </row>
    <row r="8187" spans="1:4" ht="12.75" customHeight="1" x14ac:dyDescent="0.2">
      <c r="A8187" s="21"/>
      <c r="B8187" s="3" t="s">
        <v>16</v>
      </c>
      <c r="C8187" s="23"/>
      <c r="D8187" s="21"/>
    </row>
    <row r="8188" spans="1:4" ht="12.75" customHeight="1" x14ac:dyDescent="0.2">
      <c r="A8188" s="21"/>
      <c r="B8188" s="3" t="s">
        <v>17</v>
      </c>
      <c r="C8188" s="23" t="s">
        <v>19</v>
      </c>
      <c r="D8188" s="21"/>
    </row>
    <row r="8189" spans="1:4" ht="12.75" customHeight="1" x14ac:dyDescent="0.2">
      <c r="A8189" s="21"/>
      <c r="B8189" s="20" t="s">
        <v>18</v>
      </c>
      <c r="C8189" s="8" t="s">
        <v>280</v>
      </c>
      <c r="D8189" s="1" t="str">
        <f>HYPERLINK("javascript:void(0)","fotogén")</f>
        <v>fotogén</v>
      </c>
    </row>
    <row r="8190" spans="1:4" ht="12.75" customHeight="1" x14ac:dyDescent="0.2">
      <c r="A8190" s="21"/>
      <c r="B8190" s="21"/>
      <c r="C8190" s="8" t="s">
        <v>139</v>
      </c>
      <c r="D8190" s="1" t="str">
        <f>HYPERLINK("javascript:void(0)","elemi köpet")</f>
        <v>elemi köpet</v>
      </c>
    </row>
    <row r="8191" spans="1:4" ht="12.75" customHeight="1" x14ac:dyDescent="0.2">
      <c r="A8191" s="21"/>
      <c r="B8191" s="21"/>
      <c r="C8191" s="8" t="s">
        <v>117</v>
      </c>
      <c r="D8191" s="1" t="str">
        <f>HYPERLINK("javascript:void(0)","tudásmorzsa")</f>
        <v>tudásmorzsa</v>
      </c>
    </row>
    <row r="8192" spans="1:4" ht="12.75" customHeight="1" x14ac:dyDescent="0.2">
      <c r="A8192" s="21"/>
      <c r="B8192" s="2"/>
      <c r="C8192" s="7"/>
      <c r="D8192" s="7"/>
    </row>
    <row r="8193" spans="1:4" ht="12.75" customHeight="1" x14ac:dyDescent="0.2">
      <c r="A8193" s="21"/>
      <c r="B8193" s="2"/>
      <c r="C8193" s="7"/>
      <c r="D8193" s="7"/>
    </row>
    <row r="8194" spans="1:4" ht="12.75" customHeight="1" x14ac:dyDescent="0.2">
      <c r="A8194" s="21"/>
      <c r="B8194" s="2"/>
      <c r="C8194" s="7"/>
      <c r="D8194" s="7"/>
    </row>
    <row r="8195" spans="1:4" ht="12.75" customHeight="1" x14ac:dyDescent="0.2">
      <c r="A8195" s="21"/>
      <c r="B8195" s="2"/>
      <c r="C8195" s="7"/>
      <c r="D8195" s="7"/>
    </row>
    <row r="8196" spans="1:4" ht="12.75" customHeight="1" x14ac:dyDescent="0.2">
      <c r="A8196" s="5"/>
      <c r="B8196" s="2"/>
      <c r="C8196" s="7"/>
      <c r="D8196" s="7"/>
    </row>
    <row r="8197" spans="1:4" ht="12.75" customHeight="1" x14ac:dyDescent="0.2">
      <c r="A8197" s="22" t="str">
        <f>HYPERLINK("javascript:void(0)","dracoacél manasisak")</f>
        <v>dracoacél manasisak</v>
      </c>
      <c r="B8197" s="21"/>
      <c r="C8197" s="21"/>
      <c r="D8197" s="21"/>
    </row>
    <row r="8198" spans="1:4" ht="12.75" customHeight="1" x14ac:dyDescent="0.2">
      <c r="A8198" s="20"/>
      <c r="B8198" s="2"/>
      <c r="C8198" s="7"/>
      <c r="D8198" s="7"/>
    </row>
    <row r="8199" spans="1:4" ht="12.75" customHeight="1" x14ac:dyDescent="0.2">
      <c r="A8199" s="21"/>
      <c r="B8199" s="3" t="s">
        <v>0</v>
      </c>
      <c r="C8199" s="23" t="s">
        <v>69</v>
      </c>
      <c r="D8199" s="21"/>
    </row>
    <row r="8200" spans="1:4" ht="12.75" customHeight="1" x14ac:dyDescent="0.2">
      <c r="A8200" s="21"/>
      <c r="B8200" s="3" t="s">
        <v>2</v>
      </c>
      <c r="C8200" s="23"/>
      <c r="D8200" s="21"/>
    </row>
    <row r="8201" spans="1:4" ht="12.75" customHeight="1" x14ac:dyDescent="0.2">
      <c r="A8201" s="21"/>
      <c r="B8201" s="3" t="s">
        <v>1840</v>
      </c>
      <c r="C8201" s="23" t="s">
        <v>255</v>
      </c>
      <c r="D8201" s="21"/>
    </row>
    <row r="8202" spans="1:4" ht="12.75" customHeight="1" x14ac:dyDescent="0.2">
      <c r="A8202" s="21"/>
      <c r="B8202" s="3" t="s">
        <v>9</v>
      </c>
      <c r="C8202" s="23" t="s">
        <v>573</v>
      </c>
      <c r="D8202" s="21"/>
    </row>
    <row r="8203" spans="1:4" ht="12.75" customHeight="1" x14ac:dyDescent="0.2">
      <c r="A8203" s="21"/>
      <c r="B8203" s="3" t="s">
        <v>11</v>
      </c>
      <c r="C8203" s="23" t="s">
        <v>437</v>
      </c>
      <c r="D8203" s="21"/>
    </row>
    <row r="8204" spans="1:4" ht="12.75" customHeight="1" x14ac:dyDescent="0.2">
      <c r="A8204" s="21"/>
      <c r="B8204" s="3" t="s">
        <v>16</v>
      </c>
      <c r="C8204" s="23"/>
      <c r="D8204" s="21"/>
    </row>
    <row r="8205" spans="1:4" ht="12.75" customHeight="1" x14ac:dyDescent="0.2">
      <c r="A8205" s="21"/>
      <c r="B8205" s="3" t="s">
        <v>17</v>
      </c>
      <c r="C8205" s="23" t="s">
        <v>19</v>
      </c>
      <c r="D8205" s="21"/>
    </row>
    <row r="8206" spans="1:4" ht="25.5" customHeight="1" x14ac:dyDescent="0.2">
      <c r="A8206" s="21"/>
      <c r="B8206" s="20" t="s">
        <v>18</v>
      </c>
      <c r="C8206" s="8" t="s">
        <v>44</v>
      </c>
      <c r="D8206" s="1" t="str">
        <f>HYPERLINK("javascript:void(0)","démonacél manasisak")</f>
        <v>démonacél manasisak</v>
      </c>
    </row>
    <row r="8207" spans="1:4" ht="12.75" customHeight="1" x14ac:dyDescent="0.2">
      <c r="A8207" s="21"/>
      <c r="B8207" s="21"/>
      <c r="C8207" s="8" t="s">
        <v>68</v>
      </c>
      <c r="D8207" s="1" t="str">
        <f>HYPERLINK("javascript:void(0)","hypnogén")</f>
        <v>hypnogén</v>
      </c>
    </row>
    <row r="8208" spans="1:4" ht="12.75" customHeight="1" x14ac:dyDescent="0.2">
      <c r="A8208" s="21"/>
      <c r="B8208" s="21"/>
      <c r="C8208" s="8" t="s">
        <v>117</v>
      </c>
      <c r="D8208" s="1" t="str">
        <f>HYPERLINK("javascript:void(0)","vasorr")</f>
        <v>vasorr</v>
      </c>
    </row>
    <row r="8209" spans="1:4" ht="12.75" customHeight="1" x14ac:dyDescent="0.2">
      <c r="A8209" s="21"/>
      <c r="B8209" s="2"/>
      <c r="C8209" s="7"/>
      <c r="D8209" s="7"/>
    </row>
    <row r="8210" spans="1:4" ht="12.75" customHeight="1" x14ac:dyDescent="0.2">
      <c r="A8210" s="21"/>
      <c r="B8210" s="2"/>
      <c r="C8210" s="7"/>
      <c r="D8210" s="7"/>
    </row>
    <row r="8211" spans="1:4" ht="12.75" customHeight="1" x14ac:dyDescent="0.2">
      <c r="A8211" s="21"/>
      <c r="B8211" s="2"/>
      <c r="C8211" s="7"/>
      <c r="D8211" s="7"/>
    </row>
    <row r="8212" spans="1:4" ht="12.75" customHeight="1" x14ac:dyDescent="0.2">
      <c r="A8212" s="21"/>
      <c r="B8212" s="2"/>
      <c r="C8212" s="7"/>
      <c r="D8212" s="7"/>
    </row>
    <row r="8213" spans="1:4" ht="12.75" customHeight="1" x14ac:dyDescent="0.2">
      <c r="A8213" s="5"/>
      <c r="B8213" s="2"/>
      <c r="C8213" s="7"/>
      <c r="D8213" s="7"/>
    </row>
    <row r="8214" spans="1:4" ht="12.75" customHeight="1" x14ac:dyDescent="0.2">
      <c r="A8214" s="22" t="str">
        <f>HYPERLINK("javascript:void(0)","dracoacél manafejpánt")</f>
        <v>dracoacél manafejpánt</v>
      </c>
      <c r="B8214" s="21"/>
      <c r="C8214" s="21"/>
      <c r="D8214" s="21"/>
    </row>
    <row r="8215" spans="1:4" ht="12.75" customHeight="1" x14ac:dyDescent="0.2">
      <c r="A8215" s="20"/>
      <c r="B8215" s="2"/>
      <c r="C8215" s="7"/>
      <c r="D8215" s="7"/>
    </row>
    <row r="8216" spans="1:4" ht="12.75" customHeight="1" x14ac:dyDescent="0.2">
      <c r="A8216" s="21"/>
      <c r="B8216" s="3" t="s">
        <v>0</v>
      </c>
      <c r="C8216" s="23" t="s">
        <v>69</v>
      </c>
      <c r="D8216" s="21"/>
    </row>
    <row r="8217" spans="1:4" ht="12.75" customHeight="1" x14ac:dyDescent="0.2">
      <c r="A8217" s="21"/>
      <c r="B8217" s="3" t="s">
        <v>2</v>
      </c>
      <c r="C8217" s="23"/>
      <c r="D8217" s="21"/>
    </row>
    <row r="8218" spans="1:4" ht="12.75" customHeight="1" x14ac:dyDescent="0.2">
      <c r="A8218" s="21"/>
      <c r="B8218" s="3" t="s">
        <v>1840</v>
      </c>
      <c r="C8218" s="23" t="s">
        <v>324</v>
      </c>
      <c r="D8218" s="21"/>
    </row>
    <row r="8219" spans="1:4" ht="12.75" customHeight="1" x14ac:dyDescent="0.2">
      <c r="A8219" s="21"/>
      <c r="B8219" s="3" t="s">
        <v>9</v>
      </c>
      <c r="C8219" s="23" t="s">
        <v>42</v>
      </c>
      <c r="D8219" s="21"/>
    </row>
    <row r="8220" spans="1:4" ht="12.75" customHeight="1" x14ac:dyDescent="0.2">
      <c r="A8220" s="21"/>
      <c r="B8220" s="3" t="s">
        <v>11</v>
      </c>
      <c r="C8220" s="23" t="s">
        <v>437</v>
      </c>
      <c r="D8220" s="21"/>
    </row>
    <row r="8221" spans="1:4" ht="12.75" customHeight="1" x14ac:dyDescent="0.2">
      <c r="A8221" s="21"/>
      <c r="B8221" s="3" t="s">
        <v>16</v>
      </c>
      <c r="C8221" s="23"/>
      <c r="D8221" s="21"/>
    </row>
    <row r="8222" spans="1:4" ht="12.75" customHeight="1" x14ac:dyDescent="0.2">
      <c r="A8222" s="21"/>
      <c r="B8222" s="3" t="s">
        <v>17</v>
      </c>
      <c r="C8222" s="23" t="s">
        <v>19</v>
      </c>
      <c r="D8222" s="21"/>
    </row>
    <row r="8223" spans="1:4" ht="25.5" customHeight="1" x14ac:dyDescent="0.2">
      <c r="A8223" s="21"/>
      <c r="B8223" s="20" t="s">
        <v>18</v>
      </c>
      <c r="C8223" s="8" t="s">
        <v>44</v>
      </c>
      <c r="D8223" s="1" t="str">
        <f>HYPERLINK("javascript:void(0)","démonacél manafejpánt")</f>
        <v>démonacél manafejpánt</v>
      </c>
    </row>
    <row r="8224" spans="1:4" ht="12.75" customHeight="1" x14ac:dyDescent="0.2">
      <c r="A8224" s="21"/>
      <c r="B8224" s="21"/>
      <c r="C8224" s="8" t="s">
        <v>68</v>
      </c>
      <c r="D8224" s="1" t="str">
        <f>HYPERLINK("javascript:void(0)","zselatin")</f>
        <v>zselatin</v>
      </c>
    </row>
    <row r="8225" spans="1:4" ht="12.75" customHeight="1" x14ac:dyDescent="0.2">
      <c r="A8225" s="21"/>
      <c r="B8225" s="21"/>
      <c r="C8225" s="8" t="s">
        <v>117</v>
      </c>
      <c r="D8225" s="1" t="str">
        <f>HYPERLINK("javascript:void(0)","istenpenge")</f>
        <v>istenpenge</v>
      </c>
    </row>
    <row r="8226" spans="1:4" ht="12.75" customHeight="1" x14ac:dyDescent="0.2">
      <c r="A8226" s="21"/>
      <c r="B8226" s="2"/>
      <c r="C8226" s="7"/>
      <c r="D8226" s="7"/>
    </row>
    <row r="8227" spans="1:4" ht="12.75" customHeight="1" x14ac:dyDescent="0.2">
      <c r="A8227" s="21"/>
      <c r="B8227" s="2"/>
      <c r="C8227" s="7"/>
      <c r="D8227" s="7"/>
    </row>
    <row r="8228" spans="1:4" ht="12.75" customHeight="1" x14ac:dyDescent="0.2">
      <c r="A8228" s="21"/>
      <c r="B8228" s="2"/>
      <c r="C8228" s="7"/>
      <c r="D8228" s="7"/>
    </row>
    <row r="8229" spans="1:4" ht="12.75" customHeight="1" x14ac:dyDescent="0.2">
      <c r="A8229" s="21"/>
      <c r="B8229" s="2"/>
      <c r="C8229" s="7"/>
      <c r="D8229" s="7"/>
    </row>
    <row r="8230" spans="1:4" ht="12.75" customHeight="1" x14ac:dyDescent="0.2">
      <c r="A8230" s="5"/>
      <c r="B8230" s="2"/>
      <c r="C8230" s="7"/>
      <c r="D8230" s="7"/>
    </row>
    <row r="8231" spans="1:4" ht="12.75" customHeight="1" x14ac:dyDescent="0.2">
      <c r="A8231" s="22" t="str">
        <f>HYPERLINK("javascript:void(0)","éjsötét mellvért")</f>
        <v>éjsötét mellvért</v>
      </c>
      <c r="B8231" s="21"/>
      <c r="C8231" s="21"/>
      <c r="D8231" s="21"/>
    </row>
    <row r="8232" spans="1:4" ht="12.75" customHeight="1" x14ac:dyDescent="0.2">
      <c r="A8232" s="20"/>
      <c r="B8232" s="2"/>
      <c r="C8232" s="7"/>
      <c r="D8232" s="7"/>
    </row>
    <row r="8233" spans="1:4" ht="12.75" customHeight="1" x14ac:dyDescent="0.2">
      <c r="A8233" s="21"/>
      <c r="B8233" s="3" t="s">
        <v>0</v>
      </c>
      <c r="C8233" s="23" t="s">
        <v>245</v>
      </c>
      <c r="D8233" s="21"/>
    </row>
    <row r="8234" spans="1:4" ht="12.75" customHeight="1" x14ac:dyDescent="0.2">
      <c r="A8234" s="21"/>
      <c r="B8234" s="3" t="s">
        <v>2</v>
      </c>
      <c r="C8234" s="23" t="s">
        <v>2322</v>
      </c>
      <c r="D8234" s="21"/>
    </row>
    <row r="8235" spans="1:4" ht="12.75" customHeight="1" x14ac:dyDescent="0.2">
      <c r="A8235" s="21"/>
      <c r="B8235" s="3" t="s">
        <v>1840</v>
      </c>
      <c r="C8235" s="23" t="s">
        <v>543</v>
      </c>
      <c r="D8235" s="21"/>
    </row>
    <row r="8236" spans="1:4" ht="12.75" customHeight="1" x14ac:dyDescent="0.2">
      <c r="A8236" s="21"/>
      <c r="B8236" s="3" t="s">
        <v>9</v>
      </c>
      <c r="C8236" s="23" t="s">
        <v>374</v>
      </c>
      <c r="D8236" s="21"/>
    </row>
    <row r="8237" spans="1:4" ht="12.75" customHeight="1" x14ac:dyDescent="0.2">
      <c r="A8237" s="21"/>
      <c r="B8237" s="3" t="s">
        <v>11</v>
      </c>
      <c r="C8237" s="23" t="s">
        <v>779</v>
      </c>
      <c r="D8237" s="21"/>
    </row>
    <row r="8238" spans="1:4" ht="12.75" customHeight="1" x14ac:dyDescent="0.2">
      <c r="A8238" s="21"/>
      <c r="B8238" s="3" t="s">
        <v>16</v>
      </c>
      <c r="C8238" s="23"/>
      <c r="D8238" s="21"/>
    </row>
    <row r="8239" spans="1:4" ht="12.75" customHeight="1" x14ac:dyDescent="0.2">
      <c r="A8239" s="21"/>
      <c r="B8239" s="3" t="s">
        <v>17</v>
      </c>
      <c r="C8239" s="23" t="s">
        <v>19</v>
      </c>
      <c r="D8239" s="21"/>
    </row>
    <row r="8240" spans="1:4" ht="12.75" customHeight="1" x14ac:dyDescent="0.2">
      <c r="A8240" s="21"/>
      <c r="B8240" s="20" t="s">
        <v>18</v>
      </c>
      <c r="C8240" s="8" t="s">
        <v>44</v>
      </c>
      <c r="D8240" s="1" t="str">
        <f>HYPERLINK("javascript:void(0)","hypnoacél mellvért")</f>
        <v>hypnoacél mellvért</v>
      </c>
    </row>
    <row r="8241" spans="1:4" ht="12.75" customHeight="1" x14ac:dyDescent="0.2">
      <c r="A8241" s="21"/>
      <c r="B8241" s="21"/>
      <c r="C8241" s="8" t="s">
        <v>68</v>
      </c>
      <c r="D8241" s="1" t="str">
        <f>HYPERLINK("javascript:void(0)","éjfény")</f>
        <v>éjfény</v>
      </c>
    </row>
    <row r="8242" spans="1:4" ht="12.75" customHeight="1" x14ac:dyDescent="0.2">
      <c r="A8242" s="21"/>
      <c r="B8242" s="21"/>
      <c r="C8242" s="8" t="s">
        <v>117</v>
      </c>
      <c r="D8242" s="1" t="str">
        <f>HYPERLINK("javascript:void(0)","tudásmorzsa")</f>
        <v>tudásmorzsa</v>
      </c>
    </row>
    <row r="8243" spans="1:4" ht="12.75" customHeight="1" x14ac:dyDescent="0.2">
      <c r="A8243" s="21"/>
      <c r="B8243" s="2"/>
      <c r="C8243" s="7"/>
      <c r="D8243" s="7"/>
    </row>
    <row r="8244" spans="1:4" ht="12.75" customHeight="1" x14ac:dyDescent="0.2">
      <c r="A8244" s="21"/>
      <c r="B8244" s="2"/>
      <c r="C8244" s="7"/>
      <c r="D8244" s="7"/>
    </row>
    <row r="8245" spans="1:4" ht="12.75" customHeight="1" x14ac:dyDescent="0.2">
      <c r="A8245" s="21"/>
      <c r="B8245" s="2"/>
      <c r="C8245" s="7"/>
      <c r="D8245" s="7"/>
    </row>
    <row r="8246" spans="1:4" ht="12.75" customHeight="1" x14ac:dyDescent="0.2">
      <c r="A8246" s="21"/>
      <c r="B8246" s="2"/>
      <c r="C8246" s="7"/>
      <c r="D8246" s="7"/>
    </row>
    <row r="8247" spans="1:4" ht="12.75" customHeight="1" x14ac:dyDescent="0.2">
      <c r="A8247" s="5"/>
      <c r="B8247" s="2"/>
      <c r="C8247" s="7"/>
      <c r="D8247" s="7"/>
    </row>
    <row r="8248" spans="1:4" ht="12.75" customHeight="1" x14ac:dyDescent="0.2">
      <c r="A8248" s="22" t="str">
        <f>HYPERLINK("javascript:void(0)","prémes sisak")</f>
        <v>prémes sisak</v>
      </c>
      <c r="B8248" s="21"/>
      <c r="C8248" s="21"/>
      <c r="D8248" s="21"/>
    </row>
    <row r="8249" spans="1:4" ht="12.75" customHeight="1" x14ac:dyDescent="0.2">
      <c r="A8249" s="20"/>
      <c r="B8249" s="2"/>
      <c r="C8249" s="7"/>
      <c r="D8249" s="7"/>
    </row>
    <row r="8250" spans="1:4" ht="12.75" customHeight="1" x14ac:dyDescent="0.2">
      <c r="A8250" s="21"/>
      <c r="B8250" s="3" t="s">
        <v>0</v>
      </c>
      <c r="C8250" s="23" t="s">
        <v>245</v>
      </c>
      <c r="D8250" s="21"/>
    </row>
    <row r="8251" spans="1:4" ht="12.75" customHeight="1" x14ac:dyDescent="0.2">
      <c r="A8251" s="21"/>
      <c r="B8251" s="3" t="s">
        <v>2</v>
      </c>
      <c r="C8251" s="23"/>
      <c r="D8251" s="21"/>
    </row>
    <row r="8252" spans="1:4" ht="12.75" customHeight="1" x14ac:dyDescent="0.2">
      <c r="A8252" s="21"/>
      <c r="B8252" s="3" t="s">
        <v>1840</v>
      </c>
      <c r="C8252" s="23" t="s">
        <v>267</v>
      </c>
      <c r="D8252" s="21"/>
    </row>
    <row r="8253" spans="1:4" ht="12.75" customHeight="1" x14ac:dyDescent="0.2">
      <c r="A8253" s="21"/>
      <c r="B8253" s="3" t="s">
        <v>9</v>
      </c>
      <c r="C8253" s="23" t="s">
        <v>210</v>
      </c>
      <c r="D8253" s="21"/>
    </row>
    <row r="8254" spans="1:4" ht="12.75" customHeight="1" x14ac:dyDescent="0.2">
      <c r="A8254" s="21"/>
      <c r="B8254" s="3" t="s">
        <v>11</v>
      </c>
      <c r="C8254" s="23" t="s">
        <v>779</v>
      </c>
      <c r="D8254" s="21"/>
    </row>
    <row r="8255" spans="1:4" ht="12.75" customHeight="1" x14ac:dyDescent="0.2">
      <c r="A8255" s="21"/>
      <c r="B8255" s="3" t="s">
        <v>16</v>
      </c>
      <c r="C8255" s="23"/>
      <c r="D8255" s="21"/>
    </row>
    <row r="8256" spans="1:4" ht="12.75" customHeight="1" x14ac:dyDescent="0.2">
      <c r="A8256" s="21"/>
      <c r="B8256" s="3" t="s">
        <v>17</v>
      </c>
      <c r="C8256" s="23" t="s">
        <v>19</v>
      </c>
      <c r="D8256" s="21"/>
    </row>
    <row r="8257" spans="1:4" ht="12.75" customHeight="1" x14ac:dyDescent="0.2">
      <c r="A8257" s="21"/>
      <c r="B8257" s="20" t="s">
        <v>18</v>
      </c>
      <c r="C8257" s="8" t="s">
        <v>44</v>
      </c>
      <c r="D8257" s="1" t="str">
        <f>HYPERLINK("javascript:void(0)","elemi sisak")</f>
        <v>elemi sisak</v>
      </c>
    </row>
    <row r="8258" spans="1:4" ht="12.75" customHeight="1" x14ac:dyDescent="0.2">
      <c r="A8258" s="21"/>
      <c r="B8258" s="21"/>
      <c r="C8258" s="8" t="s">
        <v>44</v>
      </c>
      <c r="D8258" s="1" t="str">
        <f>HYPERLINK("javascript:void(0)","zselésisak")</f>
        <v>zselésisak</v>
      </c>
    </row>
    <row r="8259" spans="1:4" ht="12.75" customHeight="1" x14ac:dyDescent="0.2">
      <c r="A8259" s="21"/>
      <c r="B8259" s="21"/>
      <c r="C8259" s="8" t="s">
        <v>44</v>
      </c>
      <c r="D8259" s="1" t="str">
        <f>HYPERLINK("javascript:void(0)","prémdísz")</f>
        <v>prémdísz</v>
      </c>
    </row>
    <row r="8260" spans="1:4" ht="12.75" customHeight="1" x14ac:dyDescent="0.2">
      <c r="A8260" s="21"/>
      <c r="B8260" s="2"/>
      <c r="C8260" s="7"/>
      <c r="D8260" s="7"/>
    </row>
    <row r="8261" spans="1:4" ht="12.75" customHeight="1" x14ac:dyDescent="0.2">
      <c r="A8261" s="21"/>
      <c r="B8261" s="2"/>
      <c r="C8261" s="7"/>
      <c r="D8261" s="7"/>
    </row>
    <row r="8262" spans="1:4" ht="12.75" customHeight="1" x14ac:dyDescent="0.2">
      <c r="A8262" s="21"/>
      <c r="B8262" s="2"/>
      <c r="C8262" s="7"/>
      <c r="D8262" s="7"/>
    </row>
    <row r="8263" spans="1:4" ht="12.75" customHeight="1" x14ac:dyDescent="0.2">
      <c r="A8263" s="21"/>
      <c r="B8263" s="2"/>
      <c r="C8263" s="7"/>
      <c r="D8263" s="7"/>
    </row>
    <row r="8264" spans="1:4" ht="12.75" customHeight="1" x14ac:dyDescent="0.2">
      <c r="A8264" s="5"/>
      <c r="B8264" s="2"/>
      <c r="C8264" s="7"/>
      <c r="D8264" s="7"/>
    </row>
    <row r="8265" spans="1:4" ht="12.75" customHeight="1" x14ac:dyDescent="0.2">
      <c r="A8265" s="22" t="str">
        <f>HYPERLINK("javascript:void(0)","magnetoacél saru")</f>
        <v>magnetoacél saru</v>
      </c>
      <c r="B8265" s="21"/>
      <c r="C8265" s="21"/>
      <c r="D8265" s="21"/>
    </row>
    <row r="8266" spans="1:4" ht="12.75" customHeight="1" x14ac:dyDescent="0.2">
      <c r="A8266" s="20"/>
      <c r="B8266" s="2"/>
      <c r="C8266" s="7"/>
      <c r="D8266" s="7"/>
    </row>
    <row r="8267" spans="1:4" ht="12.75" customHeight="1" x14ac:dyDescent="0.2">
      <c r="A8267" s="21"/>
      <c r="B8267" s="3" t="s">
        <v>0</v>
      </c>
      <c r="C8267" s="23" t="s">
        <v>245</v>
      </c>
      <c r="D8267" s="21"/>
    </row>
    <row r="8268" spans="1:4" ht="12.75" customHeight="1" x14ac:dyDescent="0.2">
      <c r="A8268" s="21"/>
      <c r="B8268" s="3" t="s">
        <v>2</v>
      </c>
      <c r="C8268" s="23"/>
      <c r="D8268" s="21"/>
    </row>
    <row r="8269" spans="1:4" ht="12.75" customHeight="1" x14ac:dyDescent="0.2">
      <c r="A8269" s="21"/>
      <c r="B8269" s="3" t="s">
        <v>1840</v>
      </c>
      <c r="C8269" s="23" t="s">
        <v>1390</v>
      </c>
      <c r="D8269" s="21"/>
    </row>
    <row r="8270" spans="1:4" ht="12.75" customHeight="1" x14ac:dyDescent="0.2">
      <c r="A8270" s="21"/>
      <c r="B8270" s="3" t="s">
        <v>9</v>
      </c>
      <c r="C8270" s="23" t="s">
        <v>93</v>
      </c>
      <c r="D8270" s="21"/>
    </row>
    <row r="8271" spans="1:4" ht="12.75" customHeight="1" x14ac:dyDescent="0.2">
      <c r="A8271" s="21"/>
      <c r="B8271" s="3" t="s">
        <v>11</v>
      </c>
      <c r="C8271" s="23" t="s">
        <v>817</v>
      </c>
      <c r="D8271" s="21"/>
    </row>
    <row r="8272" spans="1:4" ht="12.75" customHeight="1" x14ac:dyDescent="0.2">
      <c r="A8272" s="21"/>
      <c r="B8272" s="3" t="s">
        <v>16</v>
      </c>
      <c r="C8272" s="23"/>
      <c r="D8272" s="21"/>
    </row>
    <row r="8273" spans="1:4" ht="12.75" customHeight="1" x14ac:dyDescent="0.2">
      <c r="A8273" s="21"/>
      <c r="B8273" s="3" t="s">
        <v>17</v>
      </c>
      <c r="C8273" s="23" t="s">
        <v>19</v>
      </c>
      <c r="D8273" s="21"/>
    </row>
    <row r="8274" spans="1:4" ht="12.75" customHeight="1" x14ac:dyDescent="0.2">
      <c r="A8274" s="21"/>
      <c r="B8274" s="20" t="s">
        <v>18</v>
      </c>
      <c r="C8274" s="8" t="s">
        <v>382</v>
      </c>
      <c r="D8274" s="1" t="str">
        <f>HYPERLINK("javascript:void(0)","mágnes")</f>
        <v>mágnes</v>
      </c>
    </row>
    <row r="8275" spans="1:4" ht="12.75" customHeight="1" x14ac:dyDescent="0.2">
      <c r="A8275" s="21"/>
      <c r="B8275" s="21"/>
      <c r="C8275" s="8" t="s">
        <v>232</v>
      </c>
      <c r="D8275" s="1" t="str">
        <f>HYPERLINK("javascript:void(0)","pamacsprém")</f>
        <v>pamacsprém</v>
      </c>
    </row>
    <row r="8276" spans="1:4" ht="12.75" customHeight="1" x14ac:dyDescent="0.2">
      <c r="A8276" s="21"/>
      <c r="B8276" s="21"/>
      <c r="C8276" s="8" t="s">
        <v>67</v>
      </c>
      <c r="D8276" s="1" t="str">
        <f>HYPERLINK("javascript:void(0)","gigacsáp")</f>
        <v>gigacsáp</v>
      </c>
    </row>
    <row r="8277" spans="1:4" ht="12.75" customHeight="1" x14ac:dyDescent="0.2">
      <c r="A8277" s="21"/>
      <c r="B8277" s="2"/>
      <c r="C8277" s="7"/>
      <c r="D8277" s="7"/>
    </row>
    <row r="8278" spans="1:4" ht="12.75" customHeight="1" x14ac:dyDescent="0.2">
      <c r="A8278" s="21"/>
      <c r="B8278" s="2"/>
      <c r="C8278" s="7"/>
      <c r="D8278" s="7"/>
    </row>
    <row r="8279" spans="1:4" ht="12.75" customHeight="1" x14ac:dyDescent="0.2">
      <c r="A8279" s="21"/>
      <c r="B8279" s="2"/>
      <c r="C8279" s="7"/>
      <c r="D8279" s="7"/>
    </row>
    <row r="8280" spans="1:4" ht="12.75" customHeight="1" x14ac:dyDescent="0.2">
      <c r="A8280" s="21"/>
      <c r="B8280" s="2"/>
      <c r="C8280" s="7"/>
      <c r="D8280" s="7"/>
    </row>
    <row r="8281" spans="1:4" ht="12.75" customHeight="1" x14ac:dyDescent="0.2">
      <c r="A8281" s="5"/>
      <c r="B8281" s="2"/>
      <c r="C8281" s="7"/>
      <c r="D8281" s="7"/>
    </row>
    <row r="8282" spans="1:4" ht="12.75" customHeight="1" x14ac:dyDescent="0.2">
      <c r="A8282" s="22" t="str">
        <f>HYPERLINK("javascript:void(0)","éjsötét pajzs")</f>
        <v>éjsötét pajzs</v>
      </c>
      <c r="B8282" s="21"/>
      <c r="C8282" s="21"/>
      <c r="D8282" s="21"/>
    </row>
    <row r="8283" spans="1:4" ht="12.75" customHeight="1" x14ac:dyDescent="0.2">
      <c r="A8283" s="20"/>
      <c r="B8283" s="2"/>
      <c r="C8283" s="7"/>
      <c r="D8283" s="7"/>
    </row>
    <row r="8284" spans="1:4" ht="12.75" customHeight="1" x14ac:dyDescent="0.2">
      <c r="A8284" s="21"/>
      <c r="B8284" s="3" t="s">
        <v>0</v>
      </c>
      <c r="C8284" s="23" t="s">
        <v>245</v>
      </c>
      <c r="D8284" s="21"/>
    </row>
    <row r="8285" spans="1:4" ht="12.75" customHeight="1" x14ac:dyDescent="0.2">
      <c r="A8285" s="21"/>
      <c r="B8285" s="3" t="s">
        <v>2</v>
      </c>
      <c r="C8285" s="23" t="s">
        <v>1839</v>
      </c>
      <c r="D8285" s="21"/>
    </row>
    <row r="8286" spans="1:4" ht="12.75" customHeight="1" x14ac:dyDescent="0.2">
      <c r="A8286" s="21"/>
      <c r="B8286" s="3" t="s">
        <v>1840</v>
      </c>
      <c r="C8286" s="23" t="s">
        <v>2183</v>
      </c>
      <c r="D8286" s="21"/>
    </row>
    <row r="8287" spans="1:4" ht="12.75" customHeight="1" x14ac:dyDescent="0.2">
      <c r="A8287" s="21"/>
      <c r="B8287" s="3" t="s">
        <v>9</v>
      </c>
      <c r="C8287" s="23" t="s">
        <v>377</v>
      </c>
      <c r="D8287" s="21"/>
    </row>
    <row r="8288" spans="1:4" ht="12.75" customHeight="1" x14ac:dyDescent="0.2">
      <c r="A8288" s="21"/>
      <c r="B8288" s="3" t="s">
        <v>11</v>
      </c>
      <c r="C8288" s="23" t="s">
        <v>939</v>
      </c>
      <c r="D8288" s="21"/>
    </row>
    <row r="8289" spans="1:4" ht="12.75" customHeight="1" x14ac:dyDescent="0.2">
      <c r="A8289" s="21"/>
      <c r="B8289" s="3" t="s">
        <v>16</v>
      </c>
      <c r="C8289" s="23"/>
      <c r="D8289" s="21"/>
    </row>
    <row r="8290" spans="1:4" ht="12.75" customHeight="1" x14ac:dyDescent="0.2">
      <c r="A8290" s="21"/>
      <c r="B8290" s="3" t="s">
        <v>17</v>
      </c>
      <c r="C8290" s="23" t="s">
        <v>19</v>
      </c>
      <c r="D8290" s="21"/>
    </row>
    <row r="8291" spans="1:4" ht="12.75" customHeight="1" x14ac:dyDescent="0.2">
      <c r="A8291" s="21"/>
      <c r="B8291" s="20" t="s">
        <v>18</v>
      </c>
      <c r="C8291" s="8" t="s">
        <v>44</v>
      </c>
      <c r="D8291" s="1" t="str">
        <f>HYPERLINK("javascript:void(0)","elemi pajzs")</f>
        <v>elemi pajzs</v>
      </c>
    </row>
    <row r="8292" spans="1:4" ht="12.75" customHeight="1" x14ac:dyDescent="0.2">
      <c r="A8292" s="21"/>
      <c r="B8292" s="21"/>
      <c r="C8292" s="8" t="s">
        <v>77</v>
      </c>
      <c r="D8292" s="1" t="str">
        <f>HYPERLINK("javascript:void(0)","éjfény")</f>
        <v>éjfény</v>
      </c>
    </row>
    <row r="8293" spans="1:4" ht="12.75" customHeight="1" x14ac:dyDescent="0.2">
      <c r="A8293" s="21"/>
      <c r="B8293" s="21"/>
      <c r="C8293" s="8" t="s">
        <v>117</v>
      </c>
      <c r="D8293" s="1" t="str">
        <f>HYPERLINK("javascript:void(0)","nukleon")</f>
        <v>nukleon</v>
      </c>
    </row>
    <row r="8294" spans="1:4" ht="12.75" customHeight="1" x14ac:dyDescent="0.2">
      <c r="A8294" s="21"/>
      <c r="B8294" s="2"/>
      <c r="C8294" s="7"/>
      <c r="D8294" s="7"/>
    </row>
    <row r="8295" spans="1:4" ht="12.75" customHeight="1" x14ac:dyDescent="0.2">
      <c r="A8295" s="21"/>
      <c r="B8295" s="2"/>
      <c r="C8295" s="7"/>
      <c r="D8295" s="7"/>
    </row>
    <row r="8296" spans="1:4" ht="12.75" customHeight="1" x14ac:dyDescent="0.2">
      <c r="A8296" s="21"/>
      <c r="B8296" s="2"/>
      <c r="C8296" s="7"/>
      <c r="D8296" s="7"/>
    </row>
    <row r="8297" spans="1:4" ht="12.75" customHeight="1" x14ac:dyDescent="0.2">
      <c r="A8297" s="21"/>
      <c r="B8297" s="2"/>
      <c r="C8297" s="7"/>
      <c r="D8297" s="7"/>
    </row>
    <row r="8298" spans="1:4" ht="12.75" customHeight="1" x14ac:dyDescent="0.2">
      <c r="A8298" s="5"/>
      <c r="B8298" s="2"/>
      <c r="C8298" s="7"/>
      <c r="D8298" s="7"/>
    </row>
    <row r="8299" spans="1:4" ht="12.75" customHeight="1" x14ac:dyDescent="0.2">
      <c r="A8299" s="22" t="str">
        <f>HYPERLINK("javascript:void(0)","kompoveretű illanat")</f>
        <v>kompoveretű illanat</v>
      </c>
      <c r="B8299" s="21"/>
      <c r="C8299" s="21"/>
      <c r="D8299" s="21"/>
    </row>
    <row r="8300" spans="1:4" ht="12.75" customHeight="1" x14ac:dyDescent="0.2">
      <c r="A8300" s="20"/>
      <c r="B8300" s="2"/>
      <c r="C8300" s="7"/>
      <c r="D8300" s="7"/>
    </row>
    <row r="8301" spans="1:4" ht="12.75" customHeight="1" x14ac:dyDescent="0.2">
      <c r="A8301" s="21"/>
      <c r="B8301" s="3" t="s">
        <v>0</v>
      </c>
      <c r="C8301" s="23" t="s">
        <v>245</v>
      </c>
      <c r="D8301" s="21"/>
    </row>
    <row r="8302" spans="1:4" ht="12.75" customHeight="1" x14ac:dyDescent="0.2">
      <c r="A8302" s="21"/>
      <c r="B8302" s="3" t="s">
        <v>2</v>
      </c>
      <c r="C8302" s="23" t="s">
        <v>1839</v>
      </c>
      <c r="D8302" s="21"/>
    </row>
    <row r="8303" spans="1:4" ht="12.75" customHeight="1" x14ac:dyDescent="0.2">
      <c r="A8303" s="21"/>
      <c r="B8303" s="3" t="s">
        <v>1840</v>
      </c>
      <c r="C8303" s="23" t="s">
        <v>2183</v>
      </c>
      <c r="D8303" s="21"/>
    </row>
    <row r="8304" spans="1:4" ht="12.75" customHeight="1" x14ac:dyDescent="0.2">
      <c r="A8304" s="21"/>
      <c r="B8304" s="3" t="s">
        <v>9</v>
      </c>
      <c r="C8304" s="23" t="s">
        <v>2077</v>
      </c>
      <c r="D8304" s="21"/>
    </row>
    <row r="8305" spans="1:4" ht="12.75" customHeight="1" x14ac:dyDescent="0.2">
      <c r="A8305" s="21"/>
      <c r="B8305" s="3" t="s">
        <v>11</v>
      </c>
      <c r="C8305" s="23" t="s">
        <v>973</v>
      </c>
      <c r="D8305" s="21"/>
    </row>
    <row r="8306" spans="1:4" ht="12.75" customHeight="1" x14ac:dyDescent="0.2">
      <c r="A8306" s="21"/>
      <c r="B8306" s="3" t="s">
        <v>16</v>
      </c>
      <c r="C8306" s="23"/>
      <c r="D8306" s="21"/>
    </row>
    <row r="8307" spans="1:4" ht="12.75" customHeight="1" x14ac:dyDescent="0.2">
      <c r="A8307" s="21"/>
      <c r="B8307" s="3" t="s">
        <v>17</v>
      </c>
      <c r="C8307" s="23" t="s">
        <v>19</v>
      </c>
      <c r="D8307" s="21"/>
    </row>
    <row r="8308" spans="1:4" ht="12.75" customHeight="1" x14ac:dyDescent="0.2">
      <c r="A8308" s="21"/>
      <c r="B8308" s="20" t="s">
        <v>18</v>
      </c>
      <c r="C8308" s="8" t="s">
        <v>44</v>
      </c>
      <c r="D8308" s="1" t="str">
        <f>HYPERLINK("javascript:void(0)","éjsötét pajzs")</f>
        <v>éjsötét pajzs</v>
      </c>
    </row>
    <row r="8309" spans="1:4" ht="12.75" customHeight="1" x14ac:dyDescent="0.2">
      <c r="A8309" s="21"/>
      <c r="B8309" s="21"/>
      <c r="C8309" s="8" t="s">
        <v>67</v>
      </c>
      <c r="D8309" s="1" t="str">
        <f>HYPERLINK("javascript:void(0)","kompózium")</f>
        <v>kompózium</v>
      </c>
    </row>
    <row r="8310" spans="1:4" ht="12.75" customHeight="1" x14ac:dyDescent="0.2">
      <c r="A8310" s="21"/>
      <c r="B8310" s="21"/>
      <c r="C8310" s="8" t="s">
        <v>98</v>
      </c>
      <c r="D8310" s="1" t="str">
        <f>HYPERLINK("javascript:void(0)","pamacsprém")</f>
        <v>pamacsprém</v>
      </c>
    </row>
    <row r="8311" spans="1:4" ht="12.75" customHeight="1" x14ac:dyDescent="0.2">
      <c r="A8311" s="21"/>
      <c r="B8311" s="2"/>
      <c r="C8311" s="7"/>
      <c r="D8311" s="7"/>
    </row>
    <row r="8312" spans="1:4" ht="12.75" customHeight="1" x14ac:dyDescent="0.2">
      <c r="A8312" s="21"/>
      <c r="B8312" s="2"/>
      <c r="C8312" s="7"/>
      <c r="D8312" s="7"/>
    </row>
    <row r="8313" spans="1:4" ht="12.75" customHeight="1" x14ac:dyDescent="0.2">
      <c r="A8313" s="21"/>
      <c r="B8313" s="2"/>
      <c r="C8313" s="7"/>
      <c r="D8313" s="7"/>
    </row>
    <row r="8314" spans="1:4" ht="12.75" customHeight="1" x14ac:dyDescent="0.2">
      <c r="A8314" s="21"/>
      <c r="B8314" s="2"/>
      <c r="C8314" s="7"/>
      <c r="D8314" s="7"/>
    </row>
    <row r="8315" spans="1:4" ht="12.75" customHeight="1" x14ac:dyDescent="0.2">
      <c r="A8315" s="5"/>
      <c r="B8315" s="2"/>
      <c r="C8315" s="7"/>
      <c r="D8315" s="7"/>
    </row>
    <row r="8316" spans="1:4" ht="12.75" customHeight="1" x14ac:dyDescent="0.2">
      <c r="A8316" s="22" t="str">
        <f>HYPERLINK("javascript:void(0)","prémdísz")</f>
        <v>prémdísz</v>
      </c>
      <c r="B8316" s="21"/>
      <c r="C8316" s="21"/>
      <c r="D8316" s="21"/>
    </row>
    <row r="8317" spans="1:4" ht="12.75" customHeight="1" x14ac:dyDescent="0.2">
      <c r="A8317" s="20"/>
      <c r="B8317" s="2"/>
      <c r="C8317" s="7"/>
      <c r="D8317" s="7"/>
    </row>
    <row r="8318" spans="1:4" ht="12.75" customHeight="1" x14ac:dyDescent="0.2">
      <c r="A8318" s="21"/>
      <c r="B8318" s="3" t="s">
        <v>0</v>
      </c>
      <c r="C8318" s="23" t="s">
        <v>245</v>
      </c>
      <c r="D8318" s="21"/>
    </row>
    <row r="8319" spans="1:4" ht="12.75" customHeight="1" x14ac:dyDescent="0.2">
      <c r="A8319" s="21"/>
      <c r="B8319" s="3" t="s">
        <v>2</v>
      </c>
      <c r="C8319" s="23"/>
      <c r="D8319" s="21"/>
    </row>
    <row r="8320" spans="1:4" ht="12.75" customHeight="1" x14ac:dyDescent="0.2">
      <c r="A8320" s="21"/>
      <c r="B8320" s="3" t="s">
        <v>1840</v>
      </c>
      <c r="C8320" s="23" t="s">
        <v>274</v>
      </c>
      <c r="D8320" s="21"/>
    </row>
    <row r="8321" spans="1:4" ht="12.75" customHeight="1" x14ac:dyDescent="0.2">
      <c r="A8321" s="21"/>
      <c r="B8321" s="3" t="s">
        <v>9</v>
      </c>
      <c r="C8321" s="23" t="s">
        <v>42</v>
      </c>
      <c r="D8321" s="21"/>
    </row>
    <row r="8322" spans="1:4" ht="12.75" customHeight="1" x14ac:dyDescent="0.2">
      <c r="A8322" s="21"/>
      <c r="B8322" s="3" t="s">
        <v>11</v>
      </c>
      <c r="C8322" s="23" t="s">
        <v>368</v>
      </c>
      <c r="D8322" s="21"/>
    </row>
    <row r="8323" spans="1:4" ht="12.75" customHeight="1" x14ac:dyDescent="0.2">
      <c r="A8323" s="21"/>
      <c r="B8323" s="3" t="s">
        <v>16</v>
      </c>
      <c r="C8323" s="23"/>
      <c r="D8323" s="21"/>
    </row>
    <row r="8324" spans="1:4" ht="12.75" customHeight="1" x14ac:dyDescent="0.2">
      <c r="A8324" s="21"/>
      <c r="B8324" s="3" t="s">
        <v>17</v>
      </c>
      <c r="C8324" s="23" t="s">
        <v>19</v>
      </c>
      <c r="D8324" s="21"/>
    </row>
    <row r="8325" spans="1:4" ht="12.75" customHeight="1" x14ac:dyDescent="0.2">
      <c r="A8325" s="21"/>
      <c r="B8325" s="20" t="s">
        <v>18</v>
      </c>
      <c r="C8325" s="8" t="s">
        <v>77</v>
      </c>
      <c r="D8325" s="1" t="str">
        <f>HYPERLINK("javascript:void(0)","pamacsprém")</f>
        <v>pamacsprém</v>
      </c>
    </row>
    <row r="8326" spans="1:4" ht="12.75" customHeight="1" x14ac:dyDescent="0.2">
      <c r="A8326" s="21"/>
      <c r="B8326" s="21"/>
      <c r="C8326" s="8" t="s">
        <v>309</v>
      </c>
      <c r="D8326" s="1" t="str">
        <f>HYPERLINK("javascript:void(0)","ragya")</f>
        <v>ragya</v>
      </c>
    </row>
    <row r="8327" spans="1:4" ht="12.75" customHeight="1" x14ac:dyDescent="0.2">
      <c r="A8327" s="21"/>
      <c r="B8327" s="21"/>
      <c r="C8327" s="8" t="s">
        <v>139</v>
      </c>
      <c r="D8327" s="1" t="str">
        <f>HYPERLINK("javascript:void(0)","kispárna")</f>
        <v>kispárna</v>
      </c>
    </row>
    <row r="8328" spans="1:4" ht="12.75" customHeight="1" x14ac:dyDescent="0.2">
      <c r="A8328" s="21"/>
      <c r="B8328" s="2"/>
      <c r="C8328" s="7"/>
      <c r="D8328" s="7"/>
    </row>
    <row r="8329" spans="1:4" ht="12.75" customHeight="1" x14ac:dyDescent="0.2">
      <c r="A8329" s="21"/>
      <c r="B8329" s="2"/>
      <c r="C8329" s="7"/>
      <c r="D8329" s="7"/>
    </row>
    <row r="8330" spans="1:4" ht="12.75" customHeight="1" x14ac:dyDescent="0.2">
      <c r="A8330" s="21"/>
      <c r="B8330" s="2"/>
      <c r="C8330" s="7"/>
      <c r="D8330" s="7"/>
    </row>
    <row r="8331" spans="1:4" ht="12.75" customHeight="1" x14ac:dyDescent="0.2">
      <c r="A8331" s="21"/>
      <c r="B8331" s="2"/>
      <c r="C8331" s="7"/>
      <c r="D8331" s="7"/>
    </row>
    <row r="8332" spans="1:4" ht="12.75" customHeight="1" x14ac:dyDescent="0.2">
      <c r="A8332" s="5"/>
      <c r="B8332" s="2"/>
      <c r="C8332" s="7"/>
      <c r="D8332" s="7"/>
    </row>
    <row r="8333" spans="1:4" ht="12.75" customHeight="1" x14ac:dyDescent="0.2">
      <c r="A8333" s="22" t="str">
        <f>HYPERLINK("javascript:void(0)","démonacél antigrav csizma")</f>
        <v>démonacél antigrav csizma</v>
      </c>
      <c r="B8333" s="21"/>
      <c r="C8333" s="21"/>
      <c r="D8333" s="21"/>
    </row>
    <row r="8334" spans="1:4" ht="12.75" customHeight="1" x14ac:dyDescent="0.2">
      <c r="A8334" s="20"/>
      <c r="B8334" s="2"/>
      <c r="C8334" s="7"/>
      <c r="D8334" s="7"/>
    </row>
    <row r="8335" spans="1:4" ht="12.75" customHeight="1" x14ac:dyDescent="0.2">
      <c r="A8335" s="21"/>
      <c r="B8335" s="3" t="s">
        <v>0</v>
      </c>
      <c r="C8335" s="23" t="s">
        <v>245</v>
      </c>
      <c r="D8335" s="21"/>
    </row>
    <row r="8336" spans="1:4" ht="12.75" customHeight="1" x14ac:dyDescent="0.2">
      <c r="A8336" s="21"/>
      <c r="B8336" s="3" t="s">
        <v>2</v>
      </c>
      <c r="C8336" s="23"/>
      <c r="D8336" s="21"/>
    </row>
    <row r="8337" spans="1:4" ht="12.75" customHeight="1" x14ac:dyDescent="0.2">
      <c r="A8337" s="21"/>
      <c r="B8337" s="3" t="s">
        <v>1840</v>
      </c>
      <c r="C8337" s="23" t="s">
        <v>1230</v>
      </c>
      <c r="D8337" s="21"/>
    </row>
    <row r="8338" spans="1:4" ht="12.75" customHeight="1" x14ac:dyDescent="0.2">
      <c r="A8338" s="21"/>
      <c r="B8338" s="3" t="s">
        <v>9</v>
      </c>
      <c r="C8338" s="23" t="s">
        <v>626</v>
      </c>
      <c r="D8338" s="21"/>
    </row>
    <row r="8339" spans="1:4" ht="12.75" customHeight="1" x14ac:dyDescent="0.2">
      <c r="A8339" s="21"/>
      <c r="B8339" s="3" t="s">
        <v>11</v>
      </c>
      <c r="C8339" s="23" t="s">
        <v>23</v>
      </c>
      <c r="D8339" s="21"/>
    </row>
    <row r="8340" spans="1:4" ht="12.75" customHeight="1" x14ac:dyDescent="0.2">
      <c r="A8340" s="21"/>
      <c r="B8340" s="3" t="s">
        <v>16</v>
      </c>
      <c r="C8340" s="23"/>
      <c r="D8340" s="21"/>
    </row>
    <row r="8341" spans="1:4" ht="12.75" customHeight="1" x14ac:dyDescent="0.2">
      <c r="A8341" s="21"/>
      <c r="B8341" s="3" t="s">
        <v>17</v>
      </c>
      <c r="C8341" s="23" t="s">
        <v>19</v>
      </c>
      <c r="D8341" s="21"/>
    </row>
    <row r="8342" spans="1:4" ht="25.5" customHeight="1" x14ac:dyDescent="0.2">
      <c r="A8342" s="21"/>
      <c r="B8342" s="20" t="s">
        <v>18</v>
      </c>
      <c r="C8342" s="8" t="s">
        <v>44</v>
      </c>
      <c r="D8342" s="1" t="str">
        <f>HYPERLINK("javascript:void(0)","hidracél antigrav csizma")</f>
        <v>hidracél antigrav csizma</v>
      </c>
    </row>
    <row r="8343" spans="1:4" ht="12.75" customHeight="1" x14ac:dyDescent="0.2">
      <c r="A8343" s="21"/>
      <c r="B8343" s="21"/>
      <c r="C8343" s="8" t="s">
        <v>139</v>
      </c>
      <c r="D8343" s="1" t="str">
        <f>HYPERLINK("javascript:void(0)","éjfény")</f>
        <v>éjfény</v>
      </c>
    </row>
    <row r="8344" spans="1:4" ht="12.75" customHeight="1" x14ac:dyDescent="0.2">
      <c r="A8344" s="21"/>
      <c r="B8344" s="21"/>
      <c r="C8344" s="8" t="s">
        <v>193</v>
      </c>
      <c r="D8344" s="1" t="str">
        <f>HYPERLINK("javascript:void(0)","kárópikkely")</f>
        <v>kárópikkely</v>
      </c>
    </row>
    <row r="8345" spans="1:4" ht="12.75" customHeight="1" x14ac:dyDescent="0.2">
      <c r="A8345" s="21"/>
      <c r="B8345" s="2"/>
      <c r="C8345" s="7"/>
      <c r="D8345" s="7"/>
    </row>
    <row r="8346" spans="1:4" ht="12.75" customHeight="1" x14ac:dyDescent="0.2">
      <c r="A8346" s="21"/>
      <c r="B8346" s="2"/>
      <c r="C8346" s="7"/>
      <c r="D8346" s="7"/>
    </row>
    <row r="8347" spans="1:4" ht="12.75" customHeight="1" x14ac:dyDescent="0.2">
      <c r="A8347" s="21"/>
      <c r="B8347" s="2"/>
      <c r="C8347" s="7"/>
      <c r="D8347" s="7"/>
    </row>
    <row r="8348" spans="1:4" ht="12.75" customHeight="1" x14ac:dyDescent="0.2">
      <c r="A8348" s="21"/>
      <c r="B8348" s="2"/>
      <c r="C8348" s="7"/>
      <c r="D8348" s="7"/>
    </row>
    <row r="8349" spans="1:4" ht="12.75" customHeight="1" x14ac:dyDescent="0.2">
      <c r="A8349" s="5"/>
      <c r="B8349" s="2"/>
      <c r="C8349" s="7"/>
      <c r="D8349" s="7"/>
    </row>
    <row r="8350" spans="1:4" ht="12.75" customHeight="1" x14ac:dyDescent="0.2">
      <c r="A8350" s="22" t="str">
        <f>HYPERLINK("javascript:void(0)","inverz mellvért")</f>
        <v>inverz mellvért</v>
      </c>
      <c r="B8350" s="21"/>
      <c r="C8350" s="21"/>
      <c r="D8350" s="21"/>
    </row>
    <row r="8351" spans="1:4" ht="12.75" customHeight="1" x14ac:dyDescent="0.2">
      <c r="A8351" s="20"/>
      <c r="B8351" s="2"/>
      <c r="C8351" s="7"/>
      <c r="D8351" s="7"/>
    </row>
    <row r="8352" spans="1:4" ht="12.75" customHeight="1" x14ac:dyDescent="0.2">
      <c r="A8352" s="21"/>
      <c r="B8352" s="3" t="s">
        <v>0</v>
      </c>
      <c r="C8352" s="23" t="s">
        <v>671</v>
      </c>
      <c r="D8352" s="21"/>
    </row>
    <row r="8353" spans="1:4" ht="12.75" customHeight="1" x14ac:dyDescent="0.2">
      <c r="A8353" s="21"/>
      <c r="B8353" s="3" t="s">
        <v>2</v>
      </c>
      <c r="C8353" s="23" t="s">
        <v>2322</v>
      </c>
      <c r="D8353" s="21"/>
    </row>
    <row r="8354" spans="1:4" ht="12.75" customHeight="1" x14ac:dyDescent="0.2">
      <c r="A8354" s="21"/>
      <c r="B8354" s="3" t="s">
        <v>1840</v>
      </c>
      <c r="C8354" s="23" t="s">
        <v>2437</v>
      </c>
      <c r="D8354" s="21"/>
    </row>
    <row r="8355" spans="1:4" ht="12.75" customHeight="1" x14ac:dyDescent="0.2">
      <c r="A8355" s="21"/>
      <c r="B8355" s="3" t="s">
        <v>9</v>
      </c>
      <c r="C8355" s="23" t="s">
        <v>124</v>
      </c>
      <c r="D8355" s="21"/>
    </row>
    <row r="8356" spans="1:4" ht="12.75" customHeight="1" x14ac:dyDescent="0.2">
      <c r="A8356" s="21"/>
      <c r="B8356" s="3" t="s">
        <v>11</v>
      </c>
      <c r="C8356" s="23" t="s">
        <v>793</v>
      </c>
      <c r="D8356" s="21"/>
    </row>
    <row r="8357" spans="1:4" ht="12.75" customHeight="1" x14ac:dyDescent="0.2">
      <c r="A8357" s="21"/>
      <c r="B8357" s="3" t="s">
        <v>16</v>
      </c>
      <c r="C8357" s="23"/>
      <c r="D8357" s="21"/>
    </row>
    <row r="8358" spans="1:4" ht="12.75" customHeight="1" x14ac:dyDescent="0.2">
      <c r="A8358" s="21"/>
      <c r="B8358" s="3" t="s">
        <v>17</v>
      </c>
      <c r="C8358" s="23" t="s">
        <v>19</v>
      </c>
      <c r="D8358" s="21"/>
    </row>
    <row r="8359" spans="1:4" ht="12.75" customHeight="1" x14ac:dyDescent="0.2">
      <c r="A8359" s="21"/>
      <c r="B8359" s="20" t="s">
        <v>18</v>
      </c>
      <c r="C8359" s="8" t="s">
        <v>68</v>
      </c>
      <c r="D8359" s="1" t="str">
        <f>HYPERLINK("javascript:void(0)","negatívum")</f>
        <v>negatívum</v>
      </c>
    </row>
    <row r="8360" spans="1:4" ht="12.75" customHeight="1" x14ac:dyDescent="0.2">
      <c r="A8360" s="21"/>
      <c r="B8360" s="21"/>
      <c r="C8360" s="8" t="s">
        <v>756</v>
      </c>
      <c r="D8360" s="1" t="str">
        <f>HYPERLINK("javascript:void(0)","ragya")</f>
        <v>ragya</v>
      </c>
    </row>
    <row r="8361" spans="1:4" ht="12.75" customHeight="1" x14ac:dyDescent="0.2">
      <c r="A8361" s="21"/>
      <c r="B8361" s="21"/>
      <c r="C8361" s="8" t="s">
        <v>98</v>
      </c>
      <c r="D8361" s="1" t="str">
        <f>HYPERLINK("javascript:void(0)","vasorr")</f>
        <v>vasorr</v>
      </c>
    </row>
    <row r="8362" spans="1:4" ht="12.75" customHeight="1" x14ac:dyDescent="0.2">
      <c r="A8362" s="21"/>
      <c r="B8362" s="2"/>
      <c r="C8362" s="7"/>
      <c r="D8362" s="7"/>
    </row>
    <row r="8363" spans="1:4" ht="12.75" customHeight="1" x14ac:dyDescent="0.2">
      <c r="A8363" s="21"/>
      <c r="B8363" s="2"/>
      <c r="C8363" s="7"/>
      <c r="D8363" s="7"/>
    </row>
    <row r="8364" spans="1:4" ht="12.75" customHeight="1" x14ac:dyDescent="0.2">
      <c r="A8364" s="21"/>
      <c r="B8364" s="2"/>
      <c r="C8364" s="7"/>
      <c r="D8364" s="7"/>
    </row>
    <row r="8365" spans="1:4" ht="12.75" customHeight="1" x14ac:dyDescent="0.2">
      <c r="A8365" s="21"/>
      <c r="B8365" s="2"/>
      <c r="C8365" s="7"/>
      <c r="D8365" s="7"/>
    </row>
    <row r="8366" spans="1:4" ht="12.75" customHeight="1" x14ac:dyDescent="0.2">
      <c r="A8366" s="5"/>
      <c r="B8366" s="2"/>
      <c r="C8366" s="7"/>
      <c r="D8366" s="7"/>
    </row>
    <row r="8367" spans="1:4" ht="12.75" customHeight="1" x14ac:dyDescent="0.2">
      <c r="A8367" s="22" t="str">
        <f>HYPERLINK("javascript:void(0)","éjsötét sisak")</f>
        <v>éjsötét sisak</v>
      </c>
      <c r="B8367" s="21"/>
      <c r="C8367" s="21"/>
      <c r="D8367" s="21"/>
    </row>
    <row r="8368" spans="1:4" ht="12.75" customHeight="1" x14ac:dyDescent="0.2">
      <c r="A8368" s="20"/>
      <c r="B8368" s="2"/>
      <c r="C8368" s="7"/>
      <c r="D8368" s="7"/>
    </row>
    <row r="8369" spans="1:4" ht="12.75" customHeight="1" x14ac:dyDescent="0.2">
      <c r="A8369" s="21"/>
      <c r="B8369" s="3" t="s">
        <v>0</v>
      </c>
      <c r="C8369" s="23" t="s">
        <v>671</v>
      </c>
      <c r="D8369" s="21"/>
    </row>
    <row r="8370" spans="1:4" ht="12.75" customHeight="1" x14ac:dyDescent="0.2">
      <c r="A8370" s="21"/>
      <c r="B8370" s="3" t="s">
        <v>2</v>
      </c>
      <c r="C8370" s="23"/>
      <c r="D8370" s="21"/>
    </row>
    <row r="8371" spans="1:4" ht="12.75" customHeight="1" x14ac:dyDescent="0.2">
      <c r="A8371" s="21"/>
      <c r="B8371" s="3" t="s">
        <v>1840</v>
      </c>
      <c r="C8371" s="23" t="s">
        <v>1768</v>
      </c>
      <c r="D8371" s="21"/>
    </row>
    <row r="8372" spans="1:4" ht="12.75" customHeight="1" x14ac:dyDescent="0.2">
      <c r="A8372" s="21"/>
      <c r="B8372" s="3" t="s">
        <v>9</v>
      </c>
      <c r="C8372" s="23" t="s">
        <v>79</v>
      </c>
      <c r="D8372" s="21"/>
    </row>
    <row r="8373" spans="1:4" ht="12.75" customHeight="1" x14ac:dyDescent="0.2">
      <c r="A8373" s="21"/>
      <c r="B8373" s="3" t="s">
        <v>11</v>
      </c>
      <c r="C8373" s="23" t="s">
        <v>793</v>
      </c>
      <c r="D8373" s="21"/>
    </row>
    <row r="8374" spans="1:4" ht="12.75" customHeight="1" x14ac:dyDescent="0.2">
      <c r="A8374" s="21"/>
      <c r="B8374" s="3" t="s">
        <v>16</v>
      </c>
      <c r="C8374" s="23"/>
      <c r="D8374" s="21"/>
    </row>
    <row r="8375" spans="1:4" ht="12.75" customHeight="1" x14ac:dyDescent="0.2">
      <c r="A8375" s="21"/>
      <c r="B8375" s="3" t="s">
        <v>17</v>
      </c>
      <c r="C8375" s="23" t="s">
        <v>19</v>
      </c>
      <c r="D8375" s="21"/>
    </row>
    <row r="8376" spans="1:4" ht="12.75" customHeight="1" x14ac:dyDescent="0.2">
      <c r="A8376" s="21"/>
      <c r="B8376" s="20" t="s">
        <v>18</v>
      </c>
      <c r="C8376" s="8" t="s">
        <v>44</v>
      </c>
      <c r="D8376" s="1" t="str">
        <f>HYPERLINK("javascript:void(0)","prémes sisak")</f>
        <v>prémes sisak</v>
      </c>
    </row>
    <row r="8377" spans="1:4" ht="12.75" customHeight="1" x14ac:dyDescent="0.2">
      <c r="A8377" s="21"/>
      <c r="B8377" s="21"/>
      <c r="C8377" s="8" t="s">
        <v>77</v>
      </c>
      <c r="D8377" s="1" t="str">
        <f>HYPERLINK("javascript:void(0)","negatívum")</f>
        <v>negatívum</v>
      </c>
    </row>
    <row r="8378" spans="1:4" ht="12.75" customHeight="1" x14ac:dyDescent="0.2">
      <c r="A8378" s="21"/>
      <c r="B8378" s="21"/>
      <c r="C8378" s="8" t="s">
        <v>77</v>
      </c>
      <c r="D8378" s="1" t="str">
        <f>HYPERLINK("javascript:void(0)","éjfény")</f>
        <v>éjfény</v>
      </c>
    </row>
    <row r="8379" spans="1:4" ht="12.75" customHeight="1" x14ac:dyDescent="0.2">
      <c r="A8379" s="21"/>
      <c r="B8379" s="2"/>
      <c r="C8379" s="7"/>
      <c r="D8379" s="7"/>
    </row>
    <row r="8380" spans="1:4" ht="12.75" customHeight="1" x14ac:dyDescent="0.2">
      <c r="A8380" s="21"/>
      <c r="B8380" s="2"/>
      <c r="C8380" s="7"/>
      <c r="D8380" s="7"/>
    </row>
    <row r="8381" spans="1:4" ht="12.75" customHeight="1" x14ac:dyDescent="0.2">
      <c r="A8381" s="21"/>
      <c r="B8381" s="2"/>
      <c r="C8381" s="7"/>
      <c r="D8381" s="7"/>
    </row>
    <row r="8382" spans="1:4" ht="12.75" customHeight="1" x14ac:dyDescent="0.2">
      <c r="A8382" s="21"/>
      <c r="B8382" s="2"/>
      <c r="C8382" s="7"/>
      <c r="D8382" s="7"/>
    </row>
    <row r="8383" spans="1:4" ht="12.75" customHeight="1" x14ac:dyDescent="0.2">
      <c r="A8383" s="5"/>
      <c r="B8383" s="2"/>
      <c r="C8383" s="7"/>
      <c r="D8383" s="7"/>
    </row>
    <row r="8384" spans="1:4" ht="12.75" customHeight="1" x14ac:dyDescent="0.2">
      <c r="A8384" s="22" t="str">
        <f>HYPERLINK("javascript:void(0)","fényes saru")</f>
        <v>fényes saru</v>
      </c>
      <c r="B8384" s="21"/>
      <c r="C8384" s="21"/>
      <c r="D8384" s="21"/>
    </row>
    <row r="8385" spans="1:4" ht="12.75" customHeight="1" x14ac:dyDescent="0.2">
      <c r="A8385" s="20"/>
      <c r="B8385" s="2"/>
      <c r="C8385" s="7"/>
      <c r="D8385" s="7"/>
    </row>
    <row r="8386" spans="1:4" ht="12.75" customHeight="1" x14ac:dyDescent="0.2">
      <c r="A8386" s="21"/>
      <c r="B8386" s="3" t="s">
        <v>0</v>
      </c>
      <c r="C8386" s="23" t="s">
        <v>671</v>
      </c>
      <c r="D8386" s="21"/>
    </row>
    <row r="8387" spans="1:4" ht="12.75" customHeight="1" x14ac:dyDescent="0.2">
      <c r="A8387" s="21"/>
      <c r="B8387" s="3" t="s">
        <v>2</v>
      </c>
      <c r="C8387" s="23"/>
      <c r="D8387" s="21"/>
    </row>
    <row r="8388" spans="1:4" ht="12.75" customHeight="1" x14ac:dyDescent="0.2">
      <c r="A8388" s="21"/>
      <c r="B8388" s="3" t="s">
        <v>1840</v>
      </c>
      <c r="C8388" s="23" t="s">
        <v>1406</v>
      </c>
      <c r="D8388" s="21"/>
    </row>
    <row r="8389" spans="1:4" ht="12.75" customHeight="1" x14ac:dyDescent="0.2">
      <c r="A8389" s="21"/>
      <c r="B8389" s="3" t="s">
        <v>9</v>
      </c>
      <c r="C8389" s="23" t="s">
        <v>30</v>
      </c>
      <c r="D8389" s="21"/>
    </row>
    <row r="8390" spans="1:4" ht="12.75" customHeight="1" x14ac:dyDescent="0.2">
      <c r="A8390" s="21"/>
      <c r="B8390" s="3" t="s">
        <v>11</v>
      </c>
      <c r="C8390" s="23" t="s">
        <v>835</v>
      </c>
      <c r="D8390" s="21"/>
    </row>
    <row r="8391" spans="1:4" ht="12.75" customHeight="1" x14ac:dyDescent="0.2">
      <c r="A8391" s="21"/>
      <c r="B8391" s="3" t="s">
        <v>16</v>
      </c>
      <c r="C8391" s="23"/>
      <c r="D8391" s="21"/>
    </row>
    <row r="8392" spans="1:4" ht="12.75" customHeight="1" x14ac:dyDescent="0.2">
      <c r="A8392" s="21"/>
      <c r="B8392" s="3" t="s">
        <v>17</v>
      </c>
      <c r="C8392" s="23" t="s">
        <v>19</v>
      </c>
      <c r="D8392" s="21"/>
    </row>
    <row r="8393" spans="1:4" ht="12.75" customHeight="1" x14ac:dyDescent="0.2">
      <c r="A8393" s="21"/>
      <c r="B8393" s="20" t="s">
        <v>18</v>
      </c>
      <c r="C8393" s="8" t="s">
        <v>44</v>
      </c>
      <c r="D8393" s="1" t="str">
        <f>HYPERLINK("javascript:void(0)","rimföldi saru")</f>
        <v>rimföldi saru</v>
      </c>
    </row>
    <row r="8394" spans="1:4" ht="12.75" customHeight="1" x14ac:dyDescent="0.2">
      <c r="A8394" s="21"/>
      <c r="B8394" s="21"/>
      <c r="C8394" s="8" t="s">
        <v>44</v>
      </c>
      <c r="D8394" s="1" t="str">
        <f>HYPERLINK("javascript:void(0)","magnetoacél saru")</f>
        <v>magnetoacél saru</v>
      </c>
    </row>
    <row r="8395" spans="1:4" ht="12.75" customHeight="1" x14ac:dyDescent="0.2">
      <c r="A8395" s="21"/>
      <c r="B8395" s="21"/>
      <c r="C8395" s="8" t="s">
        <v>44</v>
      </c>
      <c r="D8395" s="1" t="str">
        <f>HYPERLINK("javascript:void(0)","fényes talp")</f>
        <v>fényes talp</v>
      </c>
    </row>
    <row r="8396" spans="1:4" ht="12.75" customHeight="1" x14ac:dyDescent="0.2">
      <c r="A8396" s="21"/>
      <c r="B8396" s="2"/>
      <c r="C8396" s="7"/>
      <c r="D8396" s="7"/>
    </row>
    <row r="8397" spans="1:4" ht="12.75" customHeight="1" x14ac:dyDescent="0.2">
      <c r="A8397" s="21"/>
      <c r="B8397" s="2"/>
      <c r="C8397" s="7"/>
      <c r="D8397" s="7"/>
    </row>
    <row r="8398" spans="1:4" ht="12.75" customHeight="1" x14ac:dyDescent="0.2">
      <c r="A8398" s="21"/>
      <c r="B8398" s="2"/>
      <c r="C8398" s="7"/>
      <c r="D8398" s="7"/>
    </row>
    <row r="8399" spans="1:4" ht="12.75" customHeight="1" x14ac:dyDescent="0.2">
      <c r="A8399" s="21"/>
      <c r="B8399" s="2"/>
      <c r="C8399" s="7"/>
      <c r="D8399" s="7"/>
    </row>
    <row r="8400" spans="1:4" ht="12.75" customHeight="1" x14ac:dyDescent="0.2">
      <c r="A8400" s="5"/>
      <c r="B8400" s="2"/>
      <c r="C8400" s="7"/>
      <c r="D8400" s="7"/>
    </row>
    <row r="8401" spans="1:4" ht="12.75" customHeight="1" x14ac:dyDescent="0.2">
      <c r="A8401" s="22" t="str">
        <f>HYPERLINK("javascript:void(0)","éjsötét testpajzs")</f>
        <v>éjsötét testpajzs</v>
      </c>
      <c r="B8401" s="21"/>
      <c r="C8401" s="21"/>
      <c r="D8401" s="21"/>
    </row>
    <row r="8402" spans="1:4" ht="12.75" customHeight="1" x14ac:dyDescent="0.2">
      <c r="A8402" s="20"/>
      <c r="B8402" s="2"/>
      <c r="C8402" s="7"/>
      <c r="D8402" s="7"/>
    </row>
    <row r="8403" spans="1:4" ht="12.75" customHeight="1" x14ac:dyDescent="0.2">
      <c r="A8403" s="21"/>
      <c r="B8403" s="3" t="s">
        <v>0</v>
      </c>
      <c r="C8403" s="23" t="s">
        <v>671</v>
      </c>
      <c r="D8403" s="21"/>
    </row>
    <row r="8404" spans="1:4" ht="12.75" customHeight="1" x14ac:dyDescent="0.2">
      <c r="A8404" s="21"/>
      <c r="B8404" s="3" t="s">
        <v>2</v>
      </c>
      <c r="C8404" s="23" t="s">
        <v>1839</v>
      </c>
      <c r="D8404" s="21"/>
    </row>
    <row r="8405" spans="1:4" ht="12.75" customHeight="1" x14ac:dyDescent="0.2">
      <c r="A8405" s="21"/>
      <c r="B8405" s="3" t="s">
        <v>1840</v>
      </c>
      <c r="C8405" s="23" t="s">
        <v>287</v>
      </c>
      <c r="D8405" s="21"/>
    </row>
    <row r="8406" spans="1:4" ht="12.75" customHeight="1" x14ac:dyDescent="0.2">
      <c r="A8406" s="21"/>
      <c r="B8406" s="3" t="s">
        <v>9</v>
      </c>
      <c r="C8406" s="23" t="s">
        <v>549</v>
      </c>
      <c r="D8406" s="21"/>
    </row>
    <row r="8407" spans="1:4" ht="12.75" customHeight="1" x14ac:dyDescent="0.2">
      <c r="A8407" s="21"/>
      <c r="B8407" s="3" t="s">
        <v>11</v>
      </c>
      <c r="C8407" s="23" t="s">
        <v>956</v>
      </c>
      <c r="D8407" s="21"/>
    </row>
    <row r="8408" spans="1:4" ht="12.75" customHeight="1" x14ac:dyDescent="0.2">
      <c r="A8408" s="21"/>
      <c r="B8408" s="3" t="s">
        <v>16</v>
      </c>
      <c r="C8408" s="23"/>
      <c r="D8408" s="21"/>
    </row>
    <row r="8409" spans="1:4" ht="12.75" customHeight="1" x14ac:dyDescent="0.2">
      <c r="A8409" s="21"/>
      <c r="B8409" s="3" t="s">
        <v>17</v>
      </c>
      <c r="C8409" s="23" t="s">
        <v>19</v>
      </c>
      <c r="D8409" s="21"/>
    </row>
    <row r="8410" spans="1:4" ht="12.75" customHeight="1" x14ac:dyDescent="0.2">
      <c r="A8410" s="21"/>
      <c r="B8410" s="20" t="s">
        <v>18</v>
      </c>
      <c r="C8410" s="8" t="s">
        <v>44</v>
      </c>
      <c r="D8410" s="1" t="str">
        <f>HYPERLINK("javascript:void(0)","elemi testpajzs")</f>
        <v>elemi testpajzs</v>
      </c>
    </row>
    <row r="8411" spans="1:4" ht="12.75" customHeight="1" x14ac:dyDescent="0.2">
      <c r="A8411" s="21"/>
      <c r="B8411" s="21"/>
      <c r="C8411" s="8" t="s">
        <v>67</v>
      </c>
      <c r="D8411" s="1" t="str">
        <f>HYPERLINK("javascript:void(0)","éjfény")</f>
        <v>éjfény</v>
      </c>
    </row>
    <row r="8412" spans="1:4" ht="12.75" customHeight="1" x14ac:dyDescent="0.2">
      <c r="A8412" s="21"/>
      <c r="B8412" s="21"/>
      <c r="C8412" s="8" t="s">
        <v>1085</v>
      </c>
      <c r="D8412" s="1" t="str">
        <f>HYPERLINK("javascript:void(0)","elemi köpet")</f>
        <v>elemi köpet</v>
      </c>
    </row>
    <row r="8413" spans="1:4" ht="12.75" customHeight="1" x14ac:dyDescent="0.2">
      <c r="A8413" s="21"/>
      <c r="B8413" s="2"/>
      <c r="C8413" s="7"/>
      <c r="D8413" s="7"/>
    </row>
    <row r="8414" spans="1:4" ht="12.75" customHeight="1" x14ac:dyDescent="0.2">
      <c r="A8414" s="21"/>
      <c r="B8414" s="2"/>
      <c r="C8414" s="7"/>
      <c r="D8414" s="7"/>
    </row>
    <row r="8415" spans="1:4" ht="12.75" customHeight="1" x14ac:dyDescent="0.2">
      <c r="A8415" s="21"/>
      <c r="B8415" s="2"/>
      <c r="C8415" s="7"/>
      <c r="D8415" s="7"/>
    </row>
    <row r="8416" spans="1:4" ht="12.75" customHeight="1" x14ac:dyDescent="0.2">
      <c r="A8416" s="21"/>
      <c r="B8416" s="2"/>
      <c r="C8416" s="7"/>
      <c r="D8416" s="7"/>
    </row>
    <row r="8417" spans="1:4" ht="12.75" customHeight="1" x14ac:dyDescent="0.2">
      <c r="A8417" s="5"/>
      <c r="B8417" s="2"/>
      <c r="C8417" s="7"/>
      <c r="D8417" s="7"/>
    </row>
    <row r="8418" spans="1:4" ht="12.75" customHeight="1" x14ac:dyDescent="0.2">
      <c r="A8418" s="22" t="str">
        <f>HYPERLINK("javascript:void(0)","kentacél illanat")</f>
        <v>kentacél illanat</v>
      </c>
      <c r="B8418" s="21"/>
      <c r="C8418" s="21"/>
      <c r="D8418" s="21"/>
    </row>
    <row r="8419" spans="1:4" ht="12.75" customHeight="1" x14ac:dyDescent="0.2">
      <c r="A8419" s="20"/>
      <c r="B8419" s="2"/>
      <c r="C8419" s="7"/>
      <c r="D8419" s="7"/>
    </row>
    <row r="8420" spans="1:4" ht="12.75" customHeight="1" x14ac:dyDescent="0.2">
      <c r="A8420" s="21"/>
      <c r="B8420" s="3" t="s">
        <v>0</v>
      </c>
      <c r="C8420" s="23" t="s">
        <v>671</v>
      </c>
      <c r="D8420" s="21"/>
    </row>
    <row r="8421" spans="1:4" ht="12.75" customHeight="1" x14ac:dyDescent="0.2">
      <c r="A8421" s="21"/>
      <c r="B8421" s="3" t="s">
        <v>2</v>
      </c>
      <c r="C8421" s="23" t="s">
        <v>1839</v>
      </c>
      <c r="D8421" s="21"/>
    </row>
    <row r="8422" spans="1:4" ht="12.75" customHeight="1" x14ac:dyDescent="0.2">
      <c r="A8422" s="21"/>
      <c r="B8422" s="3" t="s">
        <v>1840</v>
      </c>
      <c r="C8422" s="23" t="s">
        <v>287</v>
      </c>
      <c r="D8422" s="21"/>
    </row>
    <row r="8423" spans="1:4" ht="12.75" customHeight="1" x14ac:dyDescent="0.2">
      <c r="A8423" s="21"/>
      <c r="B8423" s="3" t="s">
        <v>9</v>
      </c>
      <c r="C8423" s="23" t="s">
        <v>778</v>
      </c>
      <c r="D8423" s="21"/>
    </row>
    <row r="8424" spans="1:4" ht="12.75" customHeight="1" x14ac:dyDescent="0.2">
      <c r="A8424" s="21"/>
      <c r="B8424" s="3" t="s">
        <v>11</v>
      </c>
      <c r="C8424" s="23" t="s">
        <v>993</v>
      </c>
      <c r="D8424" s="21"/>
    </row>
    <row r="8425" spans="1:4" ht="12.75" customHeight="1" x14ac:dyDescent="0.2">
      <c r="A8425" s="21"/>
      <c r="B8425" s="3" t="s">
        <v>16</v>
      </c>
      <c r="C8425" s="23"/>
      <c r="D8425" s="21"/>
    </row>
    <row r="8426" spans="1:4" ht="12.75" customHeight="1" x14ac:dyDescent="0.2">
      <c r="A8426" s="21"/>
      <c r="B8426" s="3" t="s">
        <v>17</v>
      </c>
      <c r="C8426" s="23" t="s">
        <v>19</v>
      </c>
      <c r="D8426" s="21"/>
    </row>
    <row r="8427" spans="1:4" ht="12.75" customHeight="1" x14ac:dyDescent="0.2">
      <c r="A8427" s="21"/>
      <c r="B8427" s="20" t="s">
        <v>18</v>
      </c>
      <c r="C8427" s="8" t="s">
        <v>44</v>
      </c>
      <c r="D8427" s="1" t="str">
        <f>HYPERLINK("javascript:void(0)","éjsötét testpajzs")</f>
        <v>éjsötét testpajzs</v>
      </c>
    </row>
    <row r="8428" spans="1:4" ht="12.75" customHeight="1" x14ac:dyDescent="0.2">
      <c r="A8428" s="21"/>
      <c r="B8428" s="21"/>
      <c r="C8428" s="8" t="s">
        <v>98</v>
      </c>
      <c r="D8428" s="1" t="str">
        <f>HYPERLINK("javascript:void(0)","lux")</f>
        <v>lux</v>
      </c>
    </row>
    <row r="8429" spans="1:4" ht="12.75" customHeight="1" x14ac:dyDescent="0.2">
      <c r="A8429" s="21"/>
      <c r="B8429" s="21"/>
      <c r="C8429" s="8" t="s">
        <v>280</v>
      </c>
      <c r="D8429" s="1" t="str">
        <f>HYPERLINK("javascript:void(0)","szent szimbólum")</f>
        <v>szent szimbólum</v>
      </c>
    </row>
    <row r="8430" spans="1:4" ht="12.75" customHeight="1" x14ac:dyDescent="0.2">
      <c r="A8430" s="21"/>
      <c r="B8430" s="2"/>
      <c r="C8430" s="7"/>
      <c r="D8430" s="7"/>
    </row>
    <row r="8431" spans="1:4" ht="12.75" customHeight="1" x14ac:dyDescent="0.2">
      <c r="A8431" s="21"/>
      <c r="B8431" s="2"/>
      <c r="C8431" s="7"/>
      <c r="D8431" s="7"/>
    </row>
    <row r="8432" spans="1:4" ht="12.75" customHeight="1" x14ac:dyDescent="0.2">
      <c r="A8432" s="21"/>
      <c r="B8432" s="2"/>
      <c r="C8432" s="7"/>
      <c r="D8432" s="7"/>
    </row>
    <row r="8433" spans="1:4" ht="12.75" customHeight="1" x14ac:dyDescent="0.2">
      <c r="A8433" s="21"/>
      <c r="B8433" s="2"/>
      <c r="C8433" s="7"/>
      <c r="D8433" s="7"/>
    </row>
    <row r="8434" spans="1:4" ht="12.75" customHeight="1" x14ac:dyDescent="0.2">
      <c r="A8434" s="5"/>
      <c r="B8434" s="2"/>
      <c r="C8434" s="7"/>
      <c r="D8434" s="7"/>
    </row>
    <row r="8435" spans="1:4" ht="12.75" customHeight="1" x14ac:dyDescent="0.2">
      <c r="A8435" s="22" t="str">
        <f>HYPERLINK("javascript:void(0)","fényes talp")</f>
        <v>fényes talp</v>
      </c>
      <c r="B8435" s="21"/>
      <c r="C8435" s="21"/>
      <c r="D8435" s="21"/>
    </row>
    <row r="8436" spans="1:4" ht="12.75" customHeight="1" x14ac:dyDescent="0.2">
      <c r="A8436" s="20"/>
      <c r="B8436" s="2"/>
      <c r="C8436" s="7"/>
      <c r="D8436" s="7"/>
    </row>
    <row r="8437" spans="1:4" ht="12.75" customHeight="1" x14ac:dyDescent="0.2">
      <c r="A8437" s="21"/>
      <c r="B8437" s="3" t="s">
        <v>0</v>
      </c>
      <c r="C8437" s="23" t="s">
        <v>671</v>
      </c>
      <c r="D8437" s="21"/>
    </row>
    <row r="8438" spans="1:4" ht="12.75" customHeight="1" x14ac:dyDescent="0.2">
      <c r="A8438" s="21"/>
      <c r="B8438" s="3" t="s">
        <v>2</v>
      </c>
      <c r="C8438" s="23" t="s">
        <v>2322</v>
      </c>
      <c r="D8438" s="21"/>
    </row>
    <row r="8439" spans="1:4" ht="12.75" customHeight="1" x14ac:dyDescent="0.2">
      <c r="A8439" s="21"/>
      <c r="B8439" s="3" t="s">
        <v>1840</v>
      </c>
      <c r="C8439" s="23" t="s">
        <v>52</v>
      </c>
      <c r="D8439" s="21"/>
    </row>
    <row r="8440" spans="1:4" ht="12.75" customHeight="1" x14ac:dyDescent="0.2">
      <c r="A8440" s="21"/>
      <c r="B8440" s="3" t="s">
        <v>9</v>
      </c>
      <c r="C8440" s="23" t="s">
        <v>42</v>
      </c>
      <c r="D8440" s="21"/>
    </row>
    <row r="8441" spans="1:4" ht="12.75" customHeight="1" x14ac:dyDescent="0.2">
      <c r="A8441" s="21"/>
      <c r="B8441" s="3" t="s">
        <v>11</v>
      </c>
      <c r="C8441" s="23" t="s">
        <v>368</v>
      </c>
      <c r="D8441" s="21"/>
    </row>
    <row r="8442" spans="1:4" ht="12.75" customHeight="1" x14ac:dyDescent="0.2">
      <c r="A8442" s="21"/>
      <c r="B8442" s="3" t="s">
        <v>16</v>
      </c>
      <c r="C8442" s="23"/>
      <c r="D8442" s="21"/>
    </row>
    <row r="8443" spans="1:4" ht="12.75" customHeight="1" x14ac:dyDescent="0.2">
      <c r="A8443" s="21"/>
      <c r="B8443" s="3" t="s">
        <v>17</v>
      </c>
      <c r="C8443" s="23" t="s">
        <v>19</v>
      </c>
      <c r="D8443" s="21"/>
    </row>
    <row r="8444" spans="1:4" ht="12.75" customHeight="1" x14ac:dyDescent="0.2">
      <c r="A8444" s="21"/>
      <c r="B8444" s="20" t="s">
        <v>18</v>
      </c>
      <c r="C8444" s="8" t="s">
        <v>77</v>
      </c>
      <c r="D8444" s="1" t="str">
        <f>HYPERLINK("javascript:void(0)","lux")</f>
        <v>lux</v>
      </c>
    </row>
    <row r="8445" spans="1:4" ht="12.75" customHeight="1" x14ac:dyDescent="0.2">
      <c r="A8445" s="21"/>
      <c r="B8445" s="21"/>
      <c r="C8445" s="8" t="s">
        <v>67</v>
      </c>
      <c r="D8445" s="1" t="str">
        <f>HYPERLINK("javascript:void(0)","istenpenge")</f>
        <v>istenpenge</v>
      </c>
    </row>
    <row r="8446" spans="1:4" ht="12.75" customHeight="1" x14ac:dyDescent="0.2">
      <c r="A8446" s="21"/>
      <c r="B8446" s="21"/>
      <c r="C8446" s="8" t="s">
        <v>130</v>
      </c>
      <c r="D8446" s="1" t="str">
        <f>HYPERLINK("javascript:void(0)","nukleon")</f>
        <v>nukleon</v>
      </c>
    </row>
    <row r="8447" spans="1:4" ht="12.75" customHeight="1" x14ac:dyDescent="0.2">
      <c r="A8447" s="21"/>
      <c r="B8447" s="2"/>
      <c r="C8447" s="7"/>
      <c r="D8447" s="7"/>
    </row>
    <row r="8448" spans="1:4" ht="12.75" customHeight="1" x14ac:dyDescent="0.2">
      <c r="A8448" s="21"/>
      <c r="B8448" s="2"/>
      <c r="C8448" s="7"/>
      <c r="D8448" s="7"/>
    </row>
    <row r="8449" spans="1:4" ht="12.75" customHeight="1" x14ac:dyDescent="0.2">
      <c r="A8449" s="21"/>
      <c r="B8449" s="2"/>
      <c r="C8449" s="7"/>
      <c r="D8449" s="7"/>
    </row>
    <row r="8450" spans="1:4" ht="12.75" customHeight="1" x14ac:dyDescent="0.2">
      <c r="A8450" s="21"/>
      <c r="B8450" s="2"/>
      <c r="C8450" s="7"/>
      <c r="D8450" s="7"/>
    </row>
    <row r="8451" spans="1:4" ht="12.75" customHeight="1" x14ac:dyDescent="0.2">
      <c r="A8451" s="5"/>
      <c r="B8451" s="2"/>
      <c r="C8451" s="7"/>
      <c r="D8451" s="7"/>
    </row>
    <row r="8452" spans="1:4" ht="12.75" customHeight="1" x14ac:dyDescent="0.2">
      <c r="A8452" s="22" t="str">
        <f>HYPERLINK("javascript:void(0)","szőrmente")</f>
        <v>szőrmente</v>
      </c>
      <c r="B8452" s="21"/>
      <c r="C8452" s="21"/>
      <c r="D8452" s="21"/>
    </row>
    <row r="8453" spans="1:4" ht="12.75" customHeight="1" x14ac:dyDescent="0.2">
      <c r="A8453" s="20"/>
      <c r="B8453" s="2"/>
      <c r="C8453" s="7"/>
      <c r="D8453" s="7"/>
    </row>
    <row r="8454" spans="1:4" ht="12.75" customHeight="1" x14ac:dyDescent="0.2">
      <c r="A8454" s="21"/>
      <c r="B8454" s="3" t="s">
        <v>0</v>
      </c>
      <c r="C8454" s="23" t="s">
        <v>65</v>
      </c>
      <c r="D8454" s="21"/>
    </row>
    <row r="8455" spans="1:4" ht="12.75" customHeight="1" x14ac:dyDescent="0.2">
      <c r="A8455" s="21"/>
      <c r="B8455" s="3" t="s">
        <v>2</v>
      </c>
      <c r="C8455" s="23" t="s">
        <v>2322</v>
      </c>
      <c r="D8455" s="21"/>
    </row>
    <row r="8456" spans="1:4" ht="12.75" customHeight="1" x14ac:dyDescent="0.2">
      <c r="A8456" s="21"/>
      <c r="B8456" s="3" t="s">
        <v>1840</v>
      </c>
      <c r="C8456" s="23" t="s">
        <v>2453</v>
      </c>
      <c r="D8456" s="21"/>
    </row>
    <row r="8457" spans="1:4" ht="12.75" customHeight="1" x14ac:dyDescent="0.2">
      <c r="A8457" s="21"/>
      <c r="B8457" s="3" t="s">
        <v>9</v>
      </c>
      <c r="C8457" s="23" t="s">
        <v>441</v>
      </c>
      <c r="D8457" s="21"/>
    </row>
    <row r="8458" spans="1:4" ht="12.75" customHeight="1" x14ac:dyDescent="0.2">
      <c r="A8458" s="21"/>
      <c r="B8458" s="3" t="s">
        <v>11</v>
      </c>
      <c r="C8458" s="23" t="s">
        <v>817</v>
      </c>
      <c r="D8458" s="21"/>
    </row>
    <row r="8459" spans="1:4" ht="12.75" customHeight="1" x14ac:dyDescent="0.2">
      <c r="A8459" s="21"/>
      <c r="B8459" s="3" t="s">
        <v>16</v>
      </c>
      <c r="C8459" s="23"/>
      <c r="D8459" s="21"/>
    </row>
    <row r="8460" spans="1:4" ht="12.75" customHeight="1" x14ac:dyDescent="0.2">
      <c r="A8460" s="21"/>
      <c r="B8460" s="3" t="s">
        <v>17</v>
      </c>
      <c r="C8460" s="23" t="s">
        <v>19</v>
      </c>
      <c r="D8460" s="21"/>
    </row>
    <row r="8461" spans="1:4" ht="12.75" customHeight="1" x14ac:dyDescent="0.2">
      <c r="A8461" s="21"/>
      <c r="B8461" s="20" t="s">
        <v>18</v>
      </c>
      <c r="C8461" s="8" t="s">
        <v>44</v>
      </c>
      <c r="D8461" s="1" t="str">
        <f>HYPERLINK("javascript:void(0)","éjsötét mellvért")</f>
        <v>éjsötét mellvért</v>
      </c>
    </row>
    <row r="8462" spans="1:4" ht="12.75" customHeight="1" x14ac:dyDescent="0.2">
      <c r="A8462" s="21"/>
      <c r="B8462" s="21"/>
      <c r="C8462" s="8" t="s">
        <v>44</v>
      </c>
      <c r="D8462" s="1" t="str">
        <f>HYPERLINK("javascript:void(0)","inverz mellvért")</f>
        <v>inverz mellvért</v>
      </c>
    </row>
    <row r="8463" spans="1:4" ht="12.75" customHeight="1" x14ac:dyDescent="0.2">
      <c r="A8463" s="21"/>
      <c r="B8463" s="21"/>
      <c r="C8463" s="8" t="s">
        <v>44</v>
      </c>
      <c r="D8463" s="1" t="str">
        <f>HYPERLINK("javascript:void(0)","bundabélés")</f>
        <v>bundabélés</v>
      </c>
    </row>
    <row r="8464" spans="1:4" ht="12.75" customHeight="1" x14ac:dyDescent="0.2">
      <c r="A8464" s="21"/>
      <c r="B8464" s="2"/>
      <c r="C8464" s="7"/>
      <c r="D8464" s="7"/>
    </row>
    <row r="8465" spans="1:4" ht="12.75" customHeight="1" x14ac:dyDescent="0.2">
      <c r="A8465" s="21"/>
      <c r="B8465" s="2"/>
      <c r="C8465" s="7"/>
      <c r="D8465" s="7"/>
    </row>
    <row r="8466" spans="1:4" ht="12.75" customHeight="1" x14ac:dyDescent="0.2">
      <c r="A8466" s="21"/>
      <c r="B8466" s="2"/>
      <c r="C8466" s="7"/>
      <c r="D8466" s="7"/>
    </row>
    <row r="8467" spans="1:4" ht="12.75" customHeight="1" x14ac:dyDescent="0.2">
      <c r="A8467" s="21"/>
      <c r="B8467" s="2"/>
      <c r="C8467" s="7"/>
      <c r="D8467" s="7"/>
    </row>
    <row r="8468" spans="1:4" ht="12.75" customHeight="1" x14ac:dyDescent="0.2">
      <c r="A8468" s="5"/>
      <c r="B8468" s="2"/>
      <c r="C8468" s="7"/>
      <c r="D8468" s="7"/>
    </row>
    <row r="8469" spans="1:4" ht="12.75" customHeight="1" x14ac:dyDescent="0.2">
      <c r="A8469" s="22" t="str">
        <f>HYPERLINK("javascript:void(0)","hypnoacél sisak")</f>
        <v>hypnoacél sisak</v>
      </c>
      <c r="B8469" s="21"/>
      <c r="C8469" s="21"/>
      <c r="D8469" s="21"/>
    </row>
    <row r="8470" spans="1:4" ht="12.75" customHeight="1" x14ac:dyDescent="0.2">
      <c r="A8470" s="20"/>
      <c r="B8470" s="2"/>
      <c r="C8470" s="7"/>
      <c r="D8470" s="7"/>
    </row>
    <row r="8471" spans="1:4" ht="12.75" customHeight="1" x14ac:dyDescent="0.2">
      <c r="A8471" s="21"/>
      <c r="B8471" s="3" t="s">
        <v>0</v>
      </c>
      <c r="C8471" s="23" t="s">
        <v>65</v>
      </c>
      <c r="D8471" s="21"/>
    </row>
    <row r="8472" spans="1:4" ht="12.75" customHeight="1" x14ac:dyDescent="0.2">
      <c r="A8472" s="21"/>
      <c r="B8472" s="3" t="s">
        <v>2</v>
      </c>
      <c r="C8472" s="23"/>
      <c r="D8472" s="21"/>
    </row>
    <row r="8473" spans="1:4" ht="12.75" customHeight="1" x14ac:dyDescent="0.2">
      <c r="A8473" s="21"/>
      <c r="B8473" s="3" t="s">
        <v>1840</v>
      </c>
      <c r="C8473" s="23" t="s">
        <v>364</v>
      </c>
      <c r="D8473" s="21"/>
    </row>
    <row r="8474" spans="1:4" ht="12.75" customHeight="1" x14ac:dyDescent="0.2">
      <c r="A8474" s="21"/>
      <c r="B8474" s="3" t="s">
        <v>9</v>
      </c>
      <c r="C8474" s="23" t="s">
        <v>70</v>
      </c>
      <c r="D8474" s="21"/>
    </row>
    <row r="8475" spans="1:4" ht="12.75" customHeight="1" x14ac:dyDescent="0.2">
      <c r="A8475" s="21"/>
      <c r="B8475" s="3" t="s">
        <v>11</v>
      </c>
      <c r="C8475" s="23" t="s">
        <v>817</v>
      </c>
      <c r="D8475" s="21"/>
    </row>
    <row r="8476" spans="1:4" ht="12.75" customHeight="1" x14ac:dyDescent="0.2">
      <c r="A8476" s="21"/>
      <c r="B8476" s="3" t="s">
        <v>16</v>
      </c>
      <c r="C8476" s="23"/>
      <c r="D8476" s="21"/>
    </row>
    <row r="8477" spans="1:4" ht="12.75" customHeight="1" x14ac:dyDescent="0.2">
      <c r="A8477" s="21"/>
      <c r="B8477" s="3" t="s">
        <v>17</v>
      </c>
      <c r="C8477" s="23" t="s">
        <v>19</v>
      </c>
      <c r="D8477" s="21"/>
    </row>
    <row r="8478" spans="1:4" ht="12.75" customHeight="1" x14ac:dyDescent="0.2">
      <c r="A8478" s="21"/>
      <c r="B8478" s="20" t="s">
        <v>18</v>
      </c>
      <c r="C8478" s="8" t="s">
        <v>269</v>
      </c>
      <c r="D8478" s="1" t="str">
        <f>HYPERLINK("javascript:void(0)","medúza csáp")</f>
        <v>medúza csáp</v>
      </c>
    </row>
    <row r="8479" spans="1:4" ht="12.75" customHeight="1" x14ac:dyDescent="0.2">
      <c r="A8479" s="21"/>
      <c r="B8479" s="21"/>
      <c r="C8479" s="8" t="s">
        <v>67</v>
      </c>
      <c r="D8479" s="1" t="str">
        <f>HYPERLINK("javascript:void(0)","hypnogén")</f>
        <v>hypnogén</v>
      </c>
    </row>
    <row r="8480" spans="1:4" ht="12.75" customHeight="1" x14ac:dyDescent="0.2">
      <c r="A8480" s="21"/>
      <c r="B8480" s="21"/>
      <c r="C8480" s="8" t="s">
        <v>117</v>
      </c>
      <c r="D8480" s="1" t="str">
        <f>HYPERLINK("javascript:void(0)","gigacsáp")</f>
        <v>gigacsáp</v>
      </c>
    </row>
    <row r="8481" spans="1:4" ht="12.75" customHeight="1" x14ac:dyDescent="0.2">
      <c r="A8481" s="21"/>
      <c r="B8481" s="2"/>
      <c r="C8481" s="7"/>
      <c r="D8481" s="7"/>
    </row>
    <row r="8482" spans="1:4" ht="12.75" customHeight="1" x14ac:dyDescent="0.2">
      <c r="A8482" s="21"/>
      <c r="B8482" s="2"/>
      <c r="C8482" s="7"/>
      <c r="D8482" s="7"/>
    </row>
    <row r="8483" spans="1:4" ht="12.75" customHeight="1" x14ac:dyDescent="0.2">
      <c r="A8483" s="21"/>
      <c r="B8483" s="2"/>
      <c r="C8483" s="7"/>
      <c r="D8483" s="7"/>
    </row>
    <row r="8484" spans="1:4" ht="12.75" customHeight="1" x14ac:dyDescent="0.2">
      <c r="A8484" s="21"/>
      <c r="B8484" s="2"/>
      <c r="C8484" s="7"/>
      <c r="D8484" s="7"/>
    </row>
    <row r="8485" spans="1:4" ht="12.75" customHeight="1" x14ac:dyDescent="0.2">
      <c r="A8485" s="5"/>
      <c r="B8485" s="2"/>
      <c r="C8485" s="7"/>
      <c r="D8485" s="7"/>
    </row>
    <row r="8486" spans="1:4" ht="12.75" customHeight="1" x14ac:dyDescent="0.2">
      <c r="A8486" s="22" t="str">
        <f>HYPERLINK("javascript:void(0)","helioacél saru")</f>
        <v>helioacél saru</v>
      </c>
      <c r="B8486" s="21"/>
      <c r="C8486" s="21"/>
      <c r="D8486" s="21"/>
    </row>
    <row r="8487" spans="1:4" ht="12.75" customHeight="1" x14ac:dyDescent="0.2">
      <c r="A8487" s="20"/>
      <c r="B8487" s="2"/>
      <c r="C8487" s="7"/>
      <c r="D8487" s="7"/>
    </row>
    <row r="8488" spans="1:4" ht="12.75" customHeight="1" x14ac:dyDescent="0.2">
      <c r="A8488" s="21"/>
      <c r="B8488" s="3" t="s">
        <v>0</v>
      </c>
      <c r="C8488" s="23" t="s">
        <v>65</v>
      </c>
      <c r="D8488" s="21"/>
    </row>
    <row r="8489" spans="1:4" ht="12.75" customHeight="1" x14ac:dyDescent="0.2">
      <c r="A8489" s="21"/>
      <c r="B8489" s="3" t="s">
        <v>2</v>
      </c>
      <c r="C8489" s="23"/>
      <c r="D8489" s="21"/>
    </row>
    <row r="8490" spans="1:4" ht="12.75" customHeight="1" x14ac:dyDescent="0.2">
      <c r="A8490" s="21"/>
      <c r="B8490" s="3" t="s">
        <v>1840</v>
      </c>
      <c r="C8490" s="23" t="s">
        <v>1422</v>
      </c>
      <c r="D8490" s="21"/>
    </row>
    <row r="8491" spans="1:4" ht="12.75" customHeight="1" x14ac:dyDescent="0.2">
      <c r="A8491" s="21"/>
      <c r="B8491" s="3" t="s">
        <v>9</v>
      </c>
      <c r="C8491" s="23" t="s">
        <v>42</v>
      </c>
      <c r="D8491" s="21"/>
    </row>
    <row r="8492" spans="1:4" ht="12.75" customHeight="1" x14ac:dyDescent="0.2">
      <c r="A8492" s="21"/>
      <c r="B8492" s="3" t="s">
        <v>11</v>
      </c>
      <c r="C8492" s="23" t="s">
        <v>856</v>
      </c>
      <c r="D8492" s="21"/>
    </row>
    <row r="8493" spans="1:4" ht="12.75" customHeight="1" x14ac:dyDescent="0.2">
      <c r="A8493" s="21"/>
      <c r="B8493" s="3" t="s">
        <v>16</v>
      </c>
      <c r="C8493" s="23"/>
      <c r="D8493" s="21"/>
    </row>
    <row r="8494" spans="1:4" ht="12.75" customHeight="1" x14ac:dyDescent="0.2">
      <c r="A8494" s="21"/>
      <c r="B8494" s="3" t="s">
        <v>17</v>
      </c>
      <c r="C8494" s="23" t="s">
        <v>19</v>
      </c>
      <c r="D8494" s="21"/>
    </row>
    <row r="8495" spans="1:4" ht="12.75" customHeight="1" x14ac:dyDescent="0.2">
      <c r="A8495" s="21"/>
      <c r="B8495" s="20" t="s">
        <v>18</v>
      </c>
      <c r="C8495" s="8" t="s">
        <v>44</v>
      </c>
      <c r="D8495" s="1" t="str">
        <f>HYPERLINK("javascript:void(0)","fényes saru")</f>
        <v>fényes saru</v>
      </c>
    </row>
    <row r="8496" spans="1:4" ht="12.75" customHeight="1" x14ac:dyDescent="0.2">
      <c r="A8496" s="21"/>
      <c r="B8496" s="21"/>
      <c r="C8496" s="8" t="s">
        <v>98</v>
      </c>
      <c r="D8496" s="1" t="str">
        <f>HYPERLINK("javascript:void(0)","medúza csáp")</f>
        <v>medúza csáp</v>
      </c>
    </row>
    <row r="8497" spans="1:4" ht="12.75" customHeight="1" x14ac:dyDescent="0.2">
      <c r="A8497" s="21"/>
      <c r="B8497" s="21"/>
      <c r="C8497" s="8" t="s">
        <v>98</v>
      </c>
      <c r="D8497" s="1" t="str">
        <f>HYPERLINK("javascript:void(0)","napfolt")</f>
        <v>napfolt</v>
      </c>
    </row>
    <row r="8498" spans="1:4" ht="12.75" customHeight="1" x14ac:dyDescent="0.2">
      <c r="A8498" s="21"/>
      <c r="B8498" s="2"/>
      <c r="C8498" s="7"/>
      <c r="D8498" s="7"/>
    </row>
    <row r="8499" spans="1:4" ht="12.75" customHeight="1" x14ac:dyDescent="0.2">
      <c r="A8499" s="21"/>
      <c r="B8499" s="2"/>
      <c r="C8499" s="7"/>
      <c r="D8499" s="7"/>
    </row>
    <row r="8500" spans="1:4" ht="12.75" customHeight="1" x14ac:dyDescent="0.2">
      <c r="A8500" s="21"/>
      <c r="B8500" s="2"/>
      <c r="C8500" s="7"/>
      <c r="D8500" s="7"/>
    </row>
    <row r="8501" spans="1:4" ht="12.75" customHeight="1" x14ac:dyDescent="0.2">
      <c r="A8501" s="21"/>
      <c r="B8501" s="2"/>
      <c r="C8501" s="7"/>
      <c r="D8501" s="7"/>
    </row>
    <row r="8502" spans="1:4" ht="12.75" customHeight="1" x14ac:dyDescent="0.2">
      <c r="A8502" s="5"/>
      <c r="B8502" s="2"/>
      <c r="C8502" s="7"/>
      <c r="D8502" s="7"/>
    </row>
    <row r="8503" spans="1:4" ht="12.75" customHeight="1" x14ac:dyDescent="0.2">
      <c r="A8503" s="22" t="str">
        <f>HYPERLINK("javascript:void(0)","medúza pajzs")</f>
        <v>medúza pajzs</v>
      </c>
      <c r="B8503" s="21"/>
      <c r="C8503" s="21"/>
      <c r="D8503" s="21"/>
    </row>
    <row r="8504" spans="1:4" ht="12.75" customHeight="1" x14ac:dyDescent="0.2">
      <c r="A8504" s="20"/>
      <c r="B8504" s="2"/>
      <c r="C8504" s="7"/>
      <c r="D8504" s="7"/>
    </row>
    <row r="8505" spans="1:4" ht="12.75" customHeight="1" x14ac:dyDescent="0.2">
      <c r="A8505" s="21"/>
      <c r="B8505" s="3" t="s">
        <v>0</v>
      </c>
      <c r="C8505" s="23" t="s">
        <v>65</v>
      </c>
      <c r="D8505" s="21"/>
    </row>
    <row r="8506" spans="1:4" ht="12.75" customHeight="1" x14ac:dyDescent="0.2">
      <c r="A8506" s="21"/>
      <c r="B8506" s="3" t="s">
        <v>2</v>
      </c>
      <c r="C8506" s="23" t="s">
        <v>1839</v>
      </c>
      <c r="D8506" s="21"/>
    </row>
    <row r="8507" spans="1:4" ht="12.75" customHeight="1" x14ac:dyDescent="0.2">
      <c r="A8507" s="21"/>
      <c r="B8507" s="3" t="s">
        <v>1840</v>
      </c>
      <c r="C8507" s="23" t="s">
        <v>375</v>
      </c>
      <c r="D8507" s="21"/>
    </row>
    <row r="8508" spans="1:4" ht="12.75" customHeight="1" x14ac:dyDescent="0.2">
      <c r="A8508" s="21"/>
      <c r="B8508" s="3" t="s">
        <v>9</v>
      </c>
      <c r="C8508" s="23" t="s">
        <v>249</v>
      </c>
      <c r="D8508" s="21"/>
    </row>
    <row r="8509" spans="1:4" ht="12.75" customHeight="1" x14ac:dyDescent="0.2">
      <c r="A8509" s="21"/>
      <c r="B8509" s="3" t="s">
        <v>11</v>
      </c>
      <c r="C8509" s="23" t="s">
        <v>973</v>
      </c>
      <c r="D8509" s="21"/>
    </row>
    <row r="8510" spans="1:4" ht="12.75" customHeight="1" x14ac:dyDescent="0.2">
      <c r="A8510" s="21"/>
      <c r="B8510" s="3" t="s">
        <v>16</v>
      </c>
      <c r="C8510" s="23"/>
      <c r="D8510" s="21"/>
    </row>
    <row r="8511" spans="1:4" ht="12.75" customHeight="1" x14ac:dyDescent="0.2">
      <c r="A8511" s="21"/>
      <c r="B8511" s="3" t="s">
        <v>17</v>
      </c>
      <c r="C8511" s="23" t="s">
        <v>19</v>
      </c>
      <c r="D8511" s="21"/>
    </row>
    <row r="8512" spans="1:4" ht="12.75" customHeight="1" x14ac:dyDescent="0.2">
      <c r="A8512" s="21"/>
      <c r="B8512" s="20" t="s">
        <v>18</v>
      </c>
      <c r="C8512" s="8" t="s">
        <v>44</v>
      </c>
      <c r="D8512" s="1" t="str">
        <f>HYPERLINK("javascript:void(0)","éjsötét pajzs")</f>
        <v>éjsötét pajzs</v>
      </c>
    </row>
    <row r="8513" spans="1:4" ht="12.75" customHeight="1" x14ac:dyDescent="0.2">
      <c r="A8513" s="21"/>
      <c r="B8513" s="21"/>
      <c r="C8513" s="8" t="s">
        <v>98</v>
      </c>
      <c r="D8513" s="1" t="str">
        <f>HYPERLINK("javascript:void(0)","medúza csáp")</f>
        <v>medúza csáp</v>
      </c>
    </row>
    <row r="8514" spans="1:4" ht="12.75" customHeight="1" x14ac:dyDescent="0.2">
      <c r="A8514" s="21"/>
      <c r="B8514" s="21"/>
      <c r="C8514" s="8" t="s">
        <v>117</v>
      </c>
      <c r="D8514" s="1" t="str">
        <f>HYPERLINK("javascript:void(0)","zselatin")</f>
        <v>zselatin</v>
      </c>
    </row>
    <row r="8515" spans="1:4" ht="12.75" customHeight="1" x14ac:dyDescent="0.2">
      <c r="A8515" s="21"/>
      <c r="B8515" s="2"/>
      <c r="C8515" s="7"/>
      <c r="D8515" s="7"/>
    </row>
    <row r="8516" spans="1:4" ht="12.75" customHeight="1" x14ac:dyDescent="0.2">
      <c r="A8516" s="21"/>
      <c r="B8516" s="2"/>
      <c r="C8516" s="7"/>
      <c r="D8516" s="7"/>
    </row>
    <row r="8517" spans="1:4" ht="12.75" customHeight="1" x14ac:dyDescent="0.2">
      <c r="A8517" s="21"/>
      <c r="B8517" s="2"/>
      <c r="C8517" s="7"/>
      <c r="D8517" s="7"/>
    </row>
    <row r="8518" spans="1:4" ht="12.75" customHeight="1" x14ac:dyDescent="0.2">
      <c r="A8518" s="21"/>
      <c r="B8518" s="2"/>
      <c r="C8518" s="7"/>
      <c r="D8518" s="7"/>
    </row>
    <row r="8519" spans="1:4" ht="12.75" customHeight="1" x14ac:dyDescent="0.2">
      <c r="A8519" s="5"/>
      <c r="B8519" s="2"/>
      <c r="C8519" s="7"/>
      <c r="D8519" s="7"/>
    </row>
    <row r="8520" spans="1:4" ht="12.75" customHeight="1" x14ac:dyDescent="0.2">
      <c r="A8520" s="22" t="str">
        <f>HYPERLINK("javascript:void(0)","mengorni illanat")</f>
        <v>mengorni illanat</v>
      </c>
      <c r="B8520" s="21"/>
      <c r="C8520" s="21"/>
      <c r="D8520" s="21"/>
    </row>
    <row r="8521" spans="1:4" ht="12.75" customHeight="1" x14ac:dyDescent="0.2">
      <c r="A8521" s="20"/>
      <c r="B8521" s="2"/>
      <c r="C8521" s="7"/>
      <c r="D8521" s="7"/>
    </row>
    <row r="8522" spans="1:4" ht="12.75" customHeight="1" x14ac:dyDescent="0.2">
      <c r="A8522" s="21"/>
      <c r="B8522" s="3" t="s">
        <v>0</v>
      </c>
      <c r="C8522" s="23" t="s">
        <v>65</v>
      </c>
      <c r="D8522" s="21"/>
    </row>
    <row r="8523" spans="1:4" ht="12.75" customHeight="1" x14ac:dyDescent="0.2">
      <c r="A8523" s="21"/>
      <c r="B8523" s="3" t="s">
        <v>2</v>
      </c>
      <c r="C8523" s="23" t="s">
        <v>1839</v>
      </c>
      <c r="D8523" s="21"/>
    </row>
    <row r="8524" spans="1:4" ht="12.75" customHeight="1" x14ac:dyDescent="0.2">
      <c r="A8524" s="21"/>
      <c r="B8524" s="3" t="s">
        <v>1840</v>
      </c>
      <c r="C8524" s="23" t="s">
        <v>375</v>
      </c>
      <c r="D8524" s="21"/>
    </row>
    <row r="8525" spans="1:4" ht="12.75" customHeight="1" x14ac:dyDescent="0.2">
      <c r="A8525" s="21"/>
      <c r="B8525" s="3" t="s">
        <v>9</v>
      </c>
      <c r="C8525" s="23" t="s">
        <v>137</v>
      </c>
      <c r="D8525" s="21"/>
    </row>
    <row r="8526" spans="1:4" ht="12.75" customHeight="1" x14ac:dyDescent="0.2">
      <c r="A8526" s="21"/>
      <c r="B8526" s="3" t="s">
        <v>11</v>
      </c>
      <c r="C8526" s="23" t="s">
        <v>1015</v>
      </c>
      <c r="D8526" s="21"/>
    </row>
    <row r="8527" spans="1:4" ht="12.75" customHeight="1" x14ac:dyDescent="0.2">
      <c r="A8527" s="21"/>
      <c r="B8527" s="3" t="s">
        <v>16</v>
      </c>
      <c r="C8527" s="23"/>
      <c r="D8527" s="21"/>
    </row>
    <row r="8528" spans="1:4" ht="12.75" customHeight="1" x14ac:dyDescent="0.2">
      <c r="A8528" s="21"/>
      <c r="B8528" s="3" t="s">
        <v>17</v>
      </c>
      <c r="C8528" s="23" t="s">
        <v>19</v>
      </c>
      <c r="D8528" s="21"/>
    </row>
    <row r="8529" spans="1:4" ht="12.75" customHeight="1" x14ac:dyDescent="0.2">
      <c r="A8529" s="21"/>
      <c r="B8529" s="20" t="s">
        <v>18</v>
      </c>
      <c r="C8529" s="8" t="s">
        <v>44</v>
      </c>
      <c r="D8529" s="1" t="str">
        <f>HYPERLINK("javascript:void(0)","medúza pajzs")</f>
        <v>medúza pajzs</v>
      </c>
    </row>
    <row r="8530" spans="1:4" ht="12.75" customHeight="1" x14ac:dyDescent="0.2">
      <c r="A8530" s="21"/>
      <c r="B8530" s="21"/>
      <c r="C8530" s="8" t="s">
        <v>98</v>
      </c>
      <c r="D8530" s="1" t="str">
        <f>HYPERLINK("javascript:void(0)","tincs")</f>
        <v>tincs</v>
      </c>
    </row>
    <row r="8531" spans="1:4" ht="12.75" customHeight="1" x14ac:dyDescent="0.2">
      <c r="A8531" s="21"/>
      <c r="B8531" s="21"/>
      <c r="C8531" s="8" t="s">
        <v>98</v>
      </c>
      <c r="D8531" s="1" t="str">
        <f>HYPERLINK("javascript:void(0)","rúna")</f>
        <v>rúna</v>
      </c>
    </row>
    <row r="8532" spans="1:4" ht="12.75" customHeight="1" x14ac:dyDescent="0.2">
      <c r="A8532" s="21"/>
      <c r="B8532" s="2"/>
      <c r="C8532" s="7"/>
      <c r="D8532" s="7"/>
    </row>
    <row r="8533" spans="1:4" ht="12.75" customHeight="1" x14ac:dyDescent="0.2">
      <c r="A8533" s="21"/>
      <c r="B8533" s="2"/>
      <c r="C8533" s="7"/>
      <c r="D8533" s="7"/>
    </row>
    <row r="8534" spans="1:4" ht="12.75" customHeight="1" x14ac:dyDescent="0.2">
      <c r="A8534" s="21"/>
      <c r="B8534" s="2"/>
      <c r="C8534" s="7"/>
      <c r="D8534" s="7"/>
    </row>
    <row r="8535" spans="1:4" ht="12.75" customHeight="1" x14ac:dyDescent="0.2">
      <c r="A8535" s="21"/>
      <c r="B8535" s="2"/>
      <c r="C8535" s="7"/>
      <c r="D8535" s="7"/>
    </row>
    <row r="8536" spans="1:4" ht="12.75" customHeight="1" x14ac:dyDescent="0.2">
      <c r="A8536" s="5"/>
      <c r="B8536" s="2"/>
      <c r="C8536" s="7"/>
      <c r="D8536" s="7"/>
    </row>
    <row r="8537" spans="1:4" ht="12.75" customHeight="1" x14ac:dyDescent="0.2">
      <c r="A8537" s="22" t="str">
        <f>HYPERLINK("javascript:void(0)","bundabélés")</f>
        <v>bundabélés</v>
      </c>
      <c r="B8537" s="21"/>
      <c r="C8537" s="21"/>
      <c r="D8537" s="21"/>
    </row>
    <row r="8538" spans="1:4" ht="12.75" customHeight="1" x14ac:dyDescent="0.2">
      <c r="A8538" s="20"/>
      <c r="B8538" s="2"/>
      <c r="C8538" s="7"/>
      <c r="D8538" s="7"/>
    </row>
    <row r="8539" spans="1:4" ht="12.75" customHeight="1" x14ac:dyDescent="0.2">
      <c r="A8539" s="21"/>
      <c r="B8539" s="3" t="s">
        <v>0</v>
      </c>
      <c r="C8539" s="23" t="s">
        <v>65</v>
      </c>
      <c r="D8539" s="21"/>
    </row>
    <row r="8540" spans="1:4" ht="12.75" customHeight="1" x14ac:dyDescent="0.2">
      <c r="A8540" s="21"/>
      <c r="B8540" s="3" t="s">
        <v>2</v>
      </c>
      <c r="C8540" s="23"/>
      <c r="D8540" s="21"/>
    </row>
    <row r="8541" spans="1:4" ht="12.75" customHeight="1" x14ac:dyDescent="0.2">
      <c r="A8541" s="21"/>
      <c r="B8541" s="3" t="s">
        <v>1840</v>
      </c>
      <c r="C8541" s="23" t="s">
        <v>274</v>
      </c>
      <c r="D8541" s="21"/>
    </row>
    <row r="8542" spans="1:4" ht="12.75" customHeight="1" x14ac:dyDescent="0.2">
      <c r="A8542" s="21"/>
      <c r="B8542" s="3" t="s">
        <v>9</v>
      </c>
      <c r="C8542" s="23" t="s">
        <v>42</v>
      </c>
      <c r="D8542" s="21"/>
    </row>
    <row r="8543" spans="1:4" ht="12.75" customHeight="1" x14ac:dyDescent="0.2">
      <c r="A8543" s="21"/>
      <c r="B8543" s="3" t="s">
        <v>11</v>
      </c>
      <c r="C8543" s="23" t="s">
        <v>368</v>
      </c>
      <c r="D8543" s="21"/>
    </row>
    <row r="8544" spans="1:4" ht="12.75" customHeight="1" x14ac:dyDescent="0.2">
      <c r="A8544" s="21"/>
      <c r="B8544" s="3" t="s">
        <v>16</v>
      </c>
      <c r="C8544" s="23"/>
      <c r="D8544" s="21"/>
    </row>
    <row r="8545" spans="1:4" ht="12.75" customHeight="1" x14ac:dyDescent="0.2">
      <c r="A8545" s="21"/>
      <c r="B8545" s="3" t="s">
        <v>17</v>
      </c>
      <c r="C8545" s="23" t="s">
        <v>19</v>
      </c>
      <c r="D8545" s="21"/>
    </row>
    <row r="8546" spans="1:4" ht="12.75" customHeight="1" x14ac:dyDescent="0.2">
      <c r="A8546" s="21"/>
      <c r="B8546" s="20" t="s">
        <v>18</v>
      </c>
      <c r="C8546" s="8" t="s">
        <v>68</v>
      </c>
      <c r="D8546" s="1" t="str">
        <f>HYPERLINK("javascript:void(0)","tincs")</f>
        <v>tincs</v>
      </c>
    </row>
    <row r="8547" spans="1:4" ht="12.75" customHeight="1" x14ac:dyDescent="0.2">
      <c r="A8547" s="21"/>
      <c r="B8547" s="21"/>
      <c r="C8547" s="8" t="s">
        <v>98</v>
      </c>
      <c r="D8547" s="1" t="str">
        <f>HYPERLINK("javascript:void(0)","pamacsprém")</f>
        <v>pamacsprém</v>
      </c>
    </row>
    <row r="8548" spans="1:4" ht="12.75" customHeight="1" x14ac:dyDescent="0.2">
      <c r="A8548" s="21"/>
      <c r="B8548" s="21"/>
      <c r="C8548" s="8" t="s">
        <v>494</v>
      </c>
      <c r="D8548" s="1" t="str">
        <f>HYPERLINK("javascript:void(0)","hangjegy")</f>
        <v>hangjegy</v>
      </c>
    </row>
    <row r="8549" spans="1:4" ht="12.75" customHeight="1" x14ac:dyDescent="0.2">
      <c r="A8549" s="21"/>
      <c r="B8549" s="2"/>
      <c r="C8549" s="7"/>
      <c r="D8549" s="7"/>
    </row>
    <row r="8550" spans="1:4" ht="12.75" customHeight="1" x14ac:dyDescent="0.2">
      <c r="A8550" s="21"/>
      <c r="B8550" s="2"/>
      <c r="C8550" s="7"/>
      <c r="D8550" s="7"/>
    </row>
    <row r="8551" spans="1:4" ht="12.75" customHeight="1" x14ac:dyDescent="0.2">
      <c r="A8551" s="21"/>
      <c r="B8551" s="2"/>
      <c r="C8551" s="7"/>
      <c r="D8551" s="7"/>
    </row>
    <row r="8552" spans="1:4" ht="12.75" customHeight="1" x14ac:dyDescent="0.2">
      <c r="A8552" s="21"/>
      <c r="B8552" s="2"/>
      <c r="C8552" s="7"/>
      <c r="D8552" s="7"/>
    </row>
    <row r="8553" spans="1:4" ht="12.75" customHeight="1" x14ac:dyDescent="0.2">
      <c r="A8553" s="5"/>
      <c r="B8553" s="2"/>
      <c r="C8553" s="7"/>
      <c r="D8553" s="7"/>
    </row>
    <row r="8554" spans="1:4" ht="12.75" customHeight="1" x14ac:dyDescent="0.2">
      <c r="A8554" s="22" t="str">
        <f>HYPERLINK("javascript:void(0)","elfacél manasisak")</f>
        <v>elfacél manasisak</v>
      </c>
      <c r="B8554" s="21"/>
      <c r="C8554" s="21"/>
      <c r="D8554" s="21"/>
    </row>
    <row r="8555" spans="1:4" ht="12.75" customHeight="1" x14ac:dyDescent="0.2">
      <c r="A8555" s="20"/>
      <c r="B8555" s="2"/>
      <c r="C8555" s="7"/>
      <c r="D8555" s="7"/>
    </row>
    <row r="8556" spans="1:4" ht="12.75" customHeight="1" x14ac:dyDescent="0.2">
      <c r="A8556" s="21"/>
      <c r="B8556" s="3" t="s">
        <v>0</v>
      </c>
      <c r="C8556" s="23" t="s">
        <v>65</v>
      </c>
      <c r="D8556" s="21"/>
    </row>
    <row r="8557" spans="1:4" ht="12.75" customHeight="1" x14ac:dyDescent="0.2">
      <c r="A8557" s="21"/>
      <c r="B8557" s="3" t="s">
        <v>2</v>
      </c>
      <c r="C8557" s="23"/>
      <c r="D8557" s="21"/>
    </row>
    <row r="8558" spans="1:4" ht="12.75" customHeight="1" x14ac:dyDescent="0.2">
      <c r="A8558" s="21"/>
      <c r="B8558" s="3" t="s">
        <v>1840</v>
      </c>
      <c r="C8558" s="23" t="s">
        <v>883</v>
      </c>
      <c r="D8558" s="21"/>
    </row>
    <row r="8559" spans="1:4" ht="12.75" customHeight="1" x14ac:dyDescent="0.2">
      <c r="A8559" s="21"/>
      <c r="B8559" s="3" t="s">
        <v>9</v>
      </c>
      <c r="C8559" s="23" t="s">
        <v>36</v>
      </c>
      <c r="D8559" s="21"/>
    </row>
    <row r="8560" spans="1:4" ht="12.75" customHeight="1" x14ac:dyDescent="0.2">
      <c r="A8560" s="21"/>
      <c r="B8560" s="3" t="s">
        <v>11</v>
      </c>
      <c r="C8560" s="23" t="s">
        <v>447</v>
      </c>
      <c r="D8560" s="21"/>
    </row>
    <row r="8561" spans="1:4" ht="12.75" customHeight="1" x14ac:dyDescent="0.2">
      <c r="A8561" s="21"/>
      <c r="B8561" s="3" t="s">
        <v>16</v>
      </c>
      <c r="C8561" s="23"/>
      <c r="D8561" s="21"/>
    </row>
    <row r="8562" spans="1:4" ht="12.75" customHeight="1" x14ac:dyDescent="0.2">
      <c r="A8562" s="21"/>
      <c r="B8562" s="3" t="s">
        <v>17</v>
      </c>
      <c r="C8562" s="23" t="s">
        <v>19</v>
      </c>
      <c r="D8562" s="21"/>
    </row>
    <row r="8563" spans="1:4" ht="25.5" customHeight="1" x14ac:dyDescent="0.2">
      <c r="A8563" s="21"/>
      <c r="B8563" s="20" t="s">
        <v>18</v>
      </c>
      <c r="C8563" s="8" t="s">
        <v>44</v>
      </c>
      <c r="D8563" s="1" t="str">
        <f>HYPERLINK("javascript:void(0)","dracoacél manasisak")</f>
        <v>dracoacél manasisak</v>
      </c>
    </row>
    <row r="8564" spans="1:4" ht="12.75" customHeight="1" x14ac:dyDescent="0.2">
      <c r="A8564" s="21"/>
      <c r="B8564" s="21"/>
      <c r="C8564" s="8" t="s">
        <v>290</v>
      </c>
      <c r="D8564" s="1" t="str">
        <f>HYPERLINK("javascript:void(0)","medúza csáp")</f>
        <v>medúza csáp</v>
      </c>
    </row>
    <row r="8565" spans="1:4" ht="12.75" customHeight="1" x14ac:dyDescent="0.2">
      <c r="A8565" s="21"/>
      <c r="B8565" s="21"/>
      <c r="C8565" s="8" t="s">
        <v>117</v>
      </c>
      <c r="D8565" s="1" t="str">
        <f>HYPERLINK("javascript:void(0)","tudásmorzsa")</f>
        <v>tudásmorzsa</v>
      </c>
    </row>
    <row r="8566" spans="1:4" ht="12.75" customHeight="1" x14ac:dyDescent="0.2">
      <c r="A8566" s="21"/>
      <c r="B8566" s="2"/>
      <c r="C8566" s="7"/>
      <c r="D8566" s="7"/>
    </row>
    <row r="8567" spans="1:4" ht="12.75" customHeight="1" x14ac:dyDescent="0.2">
      <c r="A8567" s="21"/>
      <c r="B8567" s="2"/>
      <c r="C8567" s="7"/>
      <c r="D8567" s="7"/>
    </row>
    <row r="8568" spans="1:4" ht="12.75" customHeight="1" x14ac:dyDescent="0.2">
      <c r="A8568" s="21"/>
      <c r="B8568" s="2"/>
      <c r="C8568" s="7"/>
      <c r="D8568" s="7"/>
    </row>
    <row r="8569" spans="1:4" ht="12.75" customHeight="1" x14ac:dyDescent="0.2">
      <c r="A8569" s="21"/>
      <c r="B8569" s="2"/>
      <c r="C8569" s="7"/>
      <c r="D8569" s="7"/>
    </row>
    <row r="8570" spans="1:4" ht="12.75" customHeight="1" x14ac:dyDescent="0.2">
      <c r="A8570" s="5"/>
      <c r="B8570" s="2"/>
      <c r="C8570" s="7"/>
      <c r="D8570" s="7"/>
    </row>
    <row r="8571" spans="1:4" ht="12.75" customHeight="1" x14ac:dyDescent="0.2">
      <c r="A8571" s="22" t="str">
        <f>HYPERLINK("javascript:void(0)","elfacél manafejpánt")</f>
        <v>elfacél manafejpánt</v>
      </c>
      <c r="B8571" s="21"/>
      <c r="C8571" s="21"/>
      <c r="D8571" s="21"/>
    </row>
    <row r="8572" spans="1:4" ht="12.75" customHeight="1" x14ac:dyDescent="0.2">
      <c r="A8572" s="20"/>
      <c r="B8572" s="2"/>
      <c r="C8572" s="7"/>
      <c r="D8572" s="7"/>
    </row>
    <row r="8573" spans="1:4" ht="12.75" customHeight="1" x14ac:dyDescent="0.2">
      <c r="A8573" s="21"/>
      <c r="B8573" s="3" t="s">
        <v>0</v>
      </c>
      <c r="C8573" s="23" t="s">
        <v>65</v>
      </c>
      <c r="D8573" s="21"/>
    </row>
    <row r="8574" spans="1:4" ht="12.75" customHeight="1" x14ac:dyDescent="0.2">
      <c r="A8574" s="21"/>
      <c r="B8574" s="3" t="s">
        <v>2</v>
      </c>
      <c r="C8574" s="23"/>
      <c r="D8574" s="21"/>
    </row>
    <row r="8575" spans="1:4" ht="12.75" customHeight="1" x14ac:dyDescent="0.2">
      <c r="A8575" s="21"/>
      <c r="B8575" s="3" t="s">
        <v>1840</v>
      </c>
      <c r="C8575" s="23" t="s">
        <v>178</v>
      </c>
      <c r="D8575" s="21"/>
    </row>
    <row r="8576" spans="1:4" ht="12.75" customHeight="1" x14ac:dyDescent="0.2">
      <c r="A8576" s="21"/>
      <c r="B8576" s="3" t="s">
        <v>9</v>
      </c>
      <c r="C8576" s="23" t="s">
        <v>79</v>
      </c>
      <c r="D8576" s="21"/>
    </row>
    <row r="8577" spans="1:4" ht="12.75" customHeight="1" x14ac:dyDescent="0.2">
      <c r="A8577" s="21"/>
      <c r="B8577" s="3" t="s">
        <v>11</v>
      </c>
      <c r="C8577" s="23" t="s">
        <v>447</v>
      </c>
      <c r="D8577" s="21"/>
    </row>
    <row r="8578" spans="1:4" ht="12.75" customHeight="1" x14ac:dyDescent="0.2">
      <c r="A8578" s="21"/>
      <c r="B8578" s="3" t="s">
        <v>16</v>
      </c>
      <c r="C8578" s="23"/>
      <c r="D8578" s="21"/>
    </row>
    <row r="8579" spans="1:4" ht="12.75" customHeight="1" x14ac:dyDescent="0.2">
      <c r="A8579" s="21"/>
      <c r="B8579" s="3" t="s">
        <v>17</v>
      </c>
      <c r="C8579" s="23" t="s">
        <v>19</v>
      </c>
      <c r="D8579" s="21"/>
    </row>
    <row r="8580" spans="1:4" ht="25.5" customHeight="1" x14ac:dyDescent="0.2">
      <c r="A8580" s="21"/>
      <c r="B8580" s="20" t="s">
        <v>18</v>
      </c>
      <c r="C8580" s="8" t="s">
        <v>44</v>
      </c>
      <c r="D8580" s="1" t="str">
        <f>HYPERLINK("javascript:void(0)","dracoacél manafejpánt")</f>
        <v>dracoacél manafejpánt</v>
      </c>
    </row>
    <row r="8581" spans="1:4" ht="12.75" customHeight="1" x14ac:dyDescent="0.2">
      <c r="A8581" s="21"/>
      <c r="B8581" s="21"/>
      <c r="C8581" s="8" t="s">
        <v>68</v>
      </c>
      <c r="D8581" s="1" t="str">
        <f>HYPERLINK("javascript:void(0)","tincs")</f>
        <v>tincs</v>
      </c>
    </row>
    <row r="8582" spans="1:4" ht="12.75" customHeight="1" x14ac:dyDescent="0.2">
      <c r="A8582" s="21"/>
      <c r="B8582" s="21"/>
      <c r="C8582" s="8" t="s">
        <v>117</v>
      </c>
      <c r="D8582" s="1" t="str">
        <f>HYPERLINK("javascript:void(0)","tudásmorzsa")</f>
        <v>tudásmorzsa</v>
      </c>
    </row>
    <row r="8583" spans="1:4" ht="12.75" customHeight="1" x14ac:dyDescent="0.2">
      <c r="A8583" s="21"/>
      <c r="B8583" s="2"/>
      <c r="C8583" s="7"/>
      <c r="D8583" s="7"/>
    </row>
    <row r="8584" spans="1:4" ht="12.75" customHeight="1" x14ac:dyDescent="0.2">
      <c r="A8584" s="21"/>
      <c r="B8584" s="2"/>
      <c r="C8584" s="7"/>
      <c r="D8584" s="7"/>
    </row>
    <row r="8585" spans="1:4" ht="12.75" customHeight="1" x14ac:dyDescent="0.2">
      <c r="A8585" s="21"/>
      <c r="B8585" s="2"/>
      <c r="C8585" s="7"/>
      <c r="D8585" s="7"/>
    </row>
    <row r="8586" spans="1:4" ht="12.75" customHeight="1" x14ac:dyDescent="0.2">
      <c r="A8586" s="21"/>
      <c r="B8586" s="2"/>
      <c r="C8586" s="7"/>
      <c r="D8586" s="7"/>
    </row>
    <row r="8587" spans="1:4" ht="12.75" customHeight="1" x14ac:dyDescent="0.2">
      <c r="A8587" s="5"/>
      <c r="B8587" s="2"/>
      <c r="C8587" s="7"/>
      <c r="D8587" s="7"/>
    </row>
    <row r="8588" spans="1:4" ht="12.75" customHeight="1" x14ac:dyDescent="0.2">
      <c r="A8588" s="22" t="str">
        <f>HYPERLINK("javascript:void(0)","diffragacs")</f>
        <v>diffragacs</v>
      </c>
      <c r="B8588" s="21"/>
      <c r="C8588" s="21"/>
      <c r="D8588" s="21"/>
    </row>
    <row r="8589" spans="1:4" ht="12.75" customHeight="1" x14ac:dyDescent="0.2">
      <c r="A8589" s="20"/>
      <c r="B8589" s="2"/>
      <c r="C8589" s="7"/>
      <c r="D8589" s="7"/>
    </row>
    <row r="8590" spans="1:4" ht="12.75" customHeight="1" x14ac:dyDescent="0.2">
      <c r="A8590" s="21"/>
      <c r="B8590" s="3" t="s">
        <v>0</v>
      </c>
      <c r="C8590" s="23" t="s">
        <v>65</v>
      </c>
      <c r="D8590" s="21"/>
    </row>
    <row r="8591" spans="1:4" ht="12.75" customHeight="1" x14ac:dyDescent="0.2">
      <c r="A8591" s="21"/>
      <c r="B8591" s="3" t="s">
        <v>2</v>
      </c>
      <c r="C8591" s="23" t="s">
        <v>1839</v>
      </c>
      <c r="D8591" s="21"/>
    </row>
    <row r="8592" spans="1:4" ht="12.75" customHeight="1" x14ac:dyDescent="0.2">
      <c r="A8592" s="21"/>
      <c r="B8592" s="3" t="s">
        <v>1840</v>
      </c>
      <c r="C8592" s="23" t="s">
        <v>21</v>
      </c>
      <c r="D8592" s="21"/>
    </row>
    <row r="8593" spans="1:4" ht="12.75" customHeight="1" x14ac:dyDescent="0.2">
      <c r="A8593" s="21"/>
      <c r="B8593" s="3" t="s">
        <v>9</v>
      </c>
      <c r="C8593" s="23" t="s">
        <v>27</v>
      </c>
      <c r="D8593" s="21"/>
    </row>
    <row r="8594" spans="1:4" ht="12.75" customHeight="1" x14ac:dyDescent="0.2">
      <c r="A8594" s="21"/>
      <c r="B8594" s="3" t="s">
        <v>11</v>
      </c>
      <c r="C8594" s="23" t="s">
        <v>168</v>
      </c>
      <c r="D8594" s="21"/>
    </row>
    <row r="8595" spans="1:4" ht="12.75" customHeight="1" x14ac:dyDescent="0.2">
      <c r="A8595" s="21"/>
      <c r="B8595" s="3" t="s">
        <v>16</v>
      </c>
      <c r="C8595" s="23"/>
      <c r="D8595" s="21"/>
    </row>
    <row r="8596" spans="1:4" ht="12.75" customHeight="1" x14ac:dyDescent="0.2">
      <c r="A8596" s="21"/>
      <c r="B8596" s="3" t="s">
        <v>17</v>
      </c>
      <c r="C8596" s="23" t="s">
        <v>19</v>
      </c>
      <c r="D8596" s="21"/>
    </row>
    <row r="8597" spans="1:4" ht="12.75" customHeight="1" x14ac:dyDescent="0.2">
      <c r="A8597" s="21"/>
      <c r="B8597" s="20" t="s">
        <v>18</v>
      </c>
      <c r="C8597" s="8" t="s">
        <v>130</v>
      </c>
      <c r="D8597" s="1" t="str">
        <f>HYPERLINK("javascript:void(0)","diffuzionit")</f>
        <v>diffuzionit</v>
      </c>
    </row>
    <row r="8598" spans="1:4" ht="12.75" customHeight="1" x14ac:dyDescent="0.2">
      <c r="A8598" s="21"/>
      <c r="B8598" s="21"/>
      <c r="C8598" s="8" t="s">
        <v>280</v>
      </c>
      <c r="D8598" s="1" t="str">
        <f>HYPERLINK("javascript:void(0)","ércragacs")</f>
        <v>ércragacs</v>
      </c>
    </row>
    <row r="8599" spans="1:4" ht="12.75" customHeight="1" x14ac:dyDescent="0.2">
      <c r="A8599" s="21"/>
      <c r="B8599" s="21"/>
      <c r="C8599" s="8" t="s">
        <v>67</v>
      </c>
      <c r="D8599" s="1" t="str">
        <f>HYPERLINK("javascript:void(0)","idegen szerkentyű")</f>
        <v>idegen szerkentyű</v>
      </c>
    </row>
    <row r="8600" spans="1:4" ht="12.75" customHeight="1" x14ac:dyDescent="0.2">
      <c r="A8600" s="21"/>
      <c r="B8600" s="2"/>
      <c r="C8600" s="7"/>
      <c r="D8600" s="7"/>
    </row>
    <row r="8601" spans="1:4" ht="12.75" customHeight="1" x14ac:dyDescent="0.2">
      <c r="A8601" s="21"/>
      <c r="B8601" s="2"/>
      <c r="C8601" s="7"/>
      <c r="D8601" s="7"/>
    </row>
    <row r="8602" spans="1:4" ht="12.75" customHeight="1" x14ac:dyDescent="0.2">
      <c r="A8602" s="21"/>
      <c r="B8602" s="2"/>
      <c r="C8602" s="7"/>
      <c r="D8602" s="7"/>
    </row>
    <row r="8603" spans="1:4" ht="12.75" customHeight="1" x14ac:dyDescent="0.2">
      <c r="A8603" s="21"/>
      <c r="B8603" s="2"/>
      <c r="C8603" s="7"/>
      <c r="D8603" s="7"/>
    </row>
    <row r="8604" spans="1:4" ht="12.75" customHeight="1" x14ac:dyDescent="0.2">
      <c r="A8604" s="5"/>
      <c r="B8604" s="2"/>
      <c r="C8604" s="7"/>
      <c r="D8604" s="7"/>
    </row>
    <row r="8605" spans="1:4" ht="12.75" customHeight="1" x14ac:dyDescent="0.2">
      <c r="A8605" s="22" t="str">
        <f>HYPERLINK("javascript:void(0)","dimenziómarkolat")</f>
        <v>dimenziómarkolat</v>
      </c>
      <c r="B8605" s="21"/>
      <c r="C8605" s="21"/>
      <c r="D8605" s="21"/>
    </row>
    <row r="8606" spans="1:4" ht="12.75" customHeight="1" x14ac:dyDescent="0.2">
      <c r="A8606" s="20"/>
      <c r="B8606" s="2"/>
      <c r="C8606" s="7"/>
      <c r="D8606" s="7"/>
    </row>
    <row r="8607" spans="1:4" ht="12.75" customHeight="1" x14ac:dyDescent="0.2">
      <c r="A8607" s="21"/>
      <c r="B8607" s="3" t="s">
        <v>0</v>
      </c>
      <c r="C8607" s="23" t="s">
        <v>65</v>
      </c>
      <c r="D8607" s="21"/>
    </row>
    <row r="8608" spans="1:4" ht="12.75" customHeight="1" x14ac:dyDescent="0.2">
      <c r="A8608" s="21"/>
      <c r="B8608" s="3" t="s">
        <v>2</v>
      </c>
      <c r="C8608" s="23" t="s">
        <v>1839</v>
      </c>
      <c r="D8608" s="21"/>
    </row>
    <row r="8609" spans="1:4" ht="12.75" customHeight="1" x14ac:dyDescent="0.2">
      <c r="A8609" s="21"/>
      <c r="B8609" s="3" t="s">
        <v>1840</v>
      </c>
      <c r="C8609" s="23" t="s">
        <v>21</v>
      </c>
      <c r="D8609" s="21"/>
    </row>
    <row r="8610" spans="1:4" ht="12.75" customHeight="1" x14ac:dyDescent="0.2">
      <c r="A8610" s="21"/>
      <c r="B8610" s="3" t="s">
        <v>9</v>
      </c>
      <c r="C8610" s="23" t="s">
        <v>2089</v>
      </c>
      <c r="D8610" s="21"/>
    </row>
    <row r="8611" spans="1:4" ht="12.75" customHeight="1" x14ac:dyDescent="0.2">
      <c r="A8611" s="21"/>
      <c r="B8611" s="3" t="s">
        <v>11</v>
      </c>
      <c r="C8611" s="23" t="s">
        <v>552</v>
      </c>
      <c r="D8611" s="21"/>
    </row>
    <row r="8612" spans="1:4" ht="12.75" customHeight="1" x14ac:dyDescent="0.2">
      <c r="A8612" s="21"/>
      <c r="B8612" s="3" t="s">
        <v>16</v>
      </c>
      <c r="C8612" s="23"/>
      <c r="D8612" s="21"/>
    </row>
    <row r="8613" spans="1:4" ht="12.75" customHeight="1" x14ac:dyDescent="0.2">
      <c r="A8613" s="21"/>
      <c r="B8613" s="3" t="s">
        <v>17</v>
      </c>
      <c r="C8613" s="23" t="s">
        <v>19</v>
      </c>
      <c r="D8613" s="21"/>
    </row>
    <row r="8614" spans="1:4" ht="12.75" customHeight="1" x14ac:dyDescent="0.2">
      <c r="A8614" s="21"/>
      <c r="B8614" s="20" t="s">
        <v>18</v>
      </c>
      <c r="C8614" s="8" t="s">
        <v>57</v>
      </c>
      <c r="D8614" s="1" t="str">
        <f>HYPERLINK("javascript:void(0)","diffragacs")</f>
        <v>diffragacs</v>
      </c>
    </row>
    <row r="8615" spans="1:4" ht="12.75" customHeight="1" x14ac:dyDescent="0.2">
      <c r="A8615" s="21"/>
      <c r="B8615" s="21"/>
      <c r="C8615" s="8" t="s">
        <v>67</v>
      </c>
      <c r="D8615" s="1" t="str">
        <f>HYPERLINK("javascript:void(0)","idegen bizgentyű")</f>
        <v>idegen bizgentyű</v>
      </c>
    </row>
    <row r="8616" spans="1:4" ht="12.75" customHeight="1" x14ac:dyDescent="0.2">
      <c r="A8616" s="21"/>
      <c r="B8616" s="21"/>
      <c r="C8616" s="8" t="s">
        <v>130</v>
      </c>
      <c r="D8616" s="1" t="str">
        <f>HYPERLINK("javascript:void(0)","gyémánt")</f>
        <v>gyémánt</v>
      </c>
    </row>
    <row r="8617" spans="1:4" ht="12.75" customHeight="1" x14ac:dyDescent="0.2">
      <c r="A8617" s="21"/>
      <c r="B8617" s="2"/>
      <c r="C8617" s="7"/>
      <c r="D8617" s="7"/>
    </row>
    <row r="8618" spans="1:4" ht="12.75" customHeight="1" x14ac:dyDescent="0.2">
      <c r="A8618" s="21"/>
      <c r="B8618" s="2"/>
      <c r="C8618" s="7"/>
      <c r="D8618" s="7"/>
    </row>
    <row r="8619" spans="1:4" ht="12.75" customHeight="1" x14ac:dyDescent="0.2">
      <c r="A8619" s="21"/>
      <c r="B8619" s="2"/>
      <c r="C8619" s="7"/>
      <c r="D8619" s="7"/>
    </row>
    <row r="8620" spans="1:4" ht="12.75" customHeight="1" x14ac:dyDescent="0.2">
      <c r="A8620" s="21"/>
      <c r="B8620" s="2"/>
      <c r="C8620" s="7"/>
      <c r="D8620" s="7"/>
    </row>
    <row r="8621" spans="1:4" ht="12.75" customHeight="1" x14ac:dyDescent="0.2">
      <c r="A8621" s="5"/>
      <c r="B8621" s="2"/>
      <c r="C8621" s="7"/>
      <c r="D8621" s="7"/>
    </row>
    <row r="8622" spans="1:4" ht="12.75" customHeight="1" x14ac:dyDescent="0.2">
      <c r="A8622" s="22" t="str">
        <f>HYPERLINK("javascript:void(0)","csillámló démonpajzs")</f>
        <v>csillámló démonpajzs</v>
      </c>
      <c r="B8622" s="21"/>
      <c r="C8622" s="21"/>
      <c r="D8622" s="21"/>
    </row>
    <row r="8623" spans="1:4" ht="12.75" customHeight="1" x14ac:dyDescent="0.2">
      <c r="A8623" s="20"/>
      <c r="B8623" s="2"/>
      <c r="C8623" s="7"/>
      <c r="D8623" s="7"/>
    </row>
    <row r="8624" spans="1:4" ht="12.75" customHeight="1" x14ac:dyDescent="0.2">
      <c r="A8624" s="21"/>
      <c r="B8624" s="3" t="s">
        <v>0</v>
      </c>
      <c r="C8624" s="23" t="s">
        <v>65</v>
      </c>
      <c r="D8624" s="21"/>
    </row>
    <row r="8625" spans="1:4" ht="12.75" customHeight="1" x14ac:dyDescent="0.2">
      <c r="A8625" s="21"/>
      <c r="B8625" s="3" t="s">
        <v>2</v>
      </c>
      <c r="C8625" s="23" t="s">
        <v>1839</v>
      </c>
      <c r="D8625" s="21"/>
    </row>
    <row r="8626" spans="1:4" ht="12.75" customHeight="1" x14ac:dyDescent="0.2">
      <c r="A8626" s="21"/>
      <c r="B8626" s="3" t="s">
        <v>1840</v>
      </c>
      <c r="C8626" s="23" t="s">
        <v>399</v>
      </c>
      <c r="D8626" s="21"/>
    </row>
    <row r="8627" spans="1:4" ht="12.75" customHeight="1" x14ac:dyDescent="0.2">
      <c r="A8627" s="21"/>
      <c r="B8627" s="3" t="s">
        <v>9</v>
      </c>
      <c r="C8627" s="23" t="s">
        <v>113</v>
      </c>
      <c r="D8627" s="21"/>
    </row>
    <row r="8628" spans="1:4" ht="12.75" customHeight="1" x14ac:dyDescent="0.2">
      <c r="A8628" s="21"/>
      <c r="B8628" s="3" t="s">
        <v>11</v>
      </c>
      <c r="C8628" s="23" t="s">
        <v>973</v>
      </c>
      <c r="D8628" s="21"/>
    </row>
    <row r="8629" spans="1:4" ht="12.75" customHeight="1" x14ac:dyDescent="0.2">
      <c r="A8629" s="21"/>
      <c r="B8629" s="3" t="s">
        <v>16</v>
      </c>
      <c r="C8629" s="23"/>
      <c r="D8629" s="21"/>
    </row>
    <row r="8630" spans="1:4" ht="12.75" customHeight="1" x14ac:dyDescent="0.2">
      <c r="A8630" s="21"/>
      <c r="B8630" s="3" t="s">
        <v>17</v>
      </c>
      <c r="C8630" s="23" t="s">
        <v>19</v>
      </c>
      <c r="D8630" s="21"/>
    </row>
    <row r="8631" spans="1:4" ht="12.75" customHeight="1" x14ac:dyDescent="0.2">
      <c r="A8631" s="21"/>
      <c r="B8631" s="20" t="s">
        <v>18</v>
      </c>
      <c r="C8631" s="8" t="s">
        <v>57</v>
      </c>
      <c r="D8631" s="1" t="str">
        <f>HYPERLINK("javascript:void(0)","csillámgöb")</f>
        <v>csillámgöb</v>
      </c>
    </row>
    <row r="8632" spans="1:4" ht="12.75" customHeight="1" x14ac:dyDescent="0.2">
      <c r="A8632" s="21"/>
      <c r="B8632" s="21"/>
      <c r="C8632" s="8" t="s">
        <v>44</v>
      </c>
      <c r="D8632" s="1" t="str">
        <f>HYPERLINK("javascript:void(0)","csillámló levélpajzs")</f>
        <v>csillámló levélpajzs</v>
      </c>
    </row>
    <row r="8633" spans="1:4" ht="12.75" customHeight="1" x14ac:dyDescent="0.2">
      <c r="A8633" s="21"/>
      <c r="B8633" s="21"/>
      <c r="C8633" s="8" t="s">
        <v>57</v>
      </c>
      <c r="D8633" s="1" t="str">
        <f>HYPERLINK("javascript:void(0)","aranypajzs")</f>
        <v>aranypajzs</v>
      </c>
    </row>
    <row r="8634" spans="1:4" ht="12.75" customHeight="1" x14ac:dyDescent="0.2">
      <c r="A8634" s="21"/>
      <c r="B8634" s="2"/>
      <c r="C8634" s="7"/>
      <c r="D8634" s="7"/>
    </row>
    <row r="8635" spans="1:4" ht="12.75" customHeight="1" x14ac:dyDescent="0.2">
      <c r="A8635" s="21"/>
      <c r="B8635" s="2"/>
      <c r="C8635" s="7"/>
      <c r="D8635" s="7"/>
    </row>
    <row r="8636" spans="1:4" ht="12.75" customHeight="1" x14ac:dyDescent="0.2">
      <c r="A8636" s="21"/>
      <c r="B8636" s="2"/>
      <c r="C8636" s="7"/>
      <c r="D8636" s="7"/>
    </row>
    <row r="8637" spans="1:4" ht="12.75" customHeight="1" x14ac:dyDescent="0.2">
      <c r="A8637" s="21"/>
      <c r="B8637" s="2"/>
      <c r="C8637" s="7"/>
      <c r="D8637" s="7"/>
    </row>
    <row r="8638" spans="1:4" ht="12.75" customHeight="1" x14ac:dyDescent="0.2">
      <c r="A8638" s="5"/>
      <c r="B8638" s="2"/>
      <c r="C8638" s="7"/>
      <c r="D8638" s="7"/>
    </row>
    <row r="8639" spans="1:4" ht="12.75" customHeight="1" x14ac:dyDescent="0.2">
      <c r="A8639" s="22" t="str">
        <f>HYPERLINK("javascript:void(0)","csillámló démoncsizma")</f>
        <v>csillámló démoncsizma</v>
      </c>
      <c r="B8639" s="21"/>
      <c r="C8639" s="21"/>
      <c r="D8639" s="21"/>
    </row>
    <row r="8640" spans="1:4" ht="12.75" customHeight="1" x14ac:dyDescent="0.2">
      <c r="A8640" s="20"/>
      <c r="B8640" s="2"/>
      <c r="C8640" s="7"/>
      <c r="D8640" s="7"/>
    </row>
    <row r="8641" spans="1:4" ht="12.75" customHeight="1" x14ac:dyDescent="0.2">
      <c r="A8641" s="21"/>
      <c r="B8641" s="3" t="s">
        <v>0</v>
      </c>
      <c r="C8641" s="23" t="s">
        <v>65</v>
      </c>
      <c r="D8641" s="21"/>
    </row>
    <row r="8642" spans="1:4" ht="12.75" customHeight="1" x14ac:dyDescent="0.2">
      <c r="A8642" s="21"/>
      <c r="B8642" s="3" t="s">
        <v>2</v>
      </c>
      <c r="C8642" s="23"/>
      <c r="D8642" s="21"/>
    </row>
    <row r="8643" spans="1:4" ht="12.75" customHeight="1" x14ac:dyDescent="0.2">
      <c r="A8643" s="21"/>
      <c r="B8643" s="3" t="s">
        <v>1840</v>
      </c>
      <c r="C8643" s="23" t="s">
        <v>278</v>
      </c>
      <c r="D8643" s="21"/>
    </row>
    <row r="8644" spans="1:4" ht="12.75" customHeight="1" x14ac:dyDescent="0.2">
      <c r="A8644" s="21"/>
      <c r="B8644" s="3" t="s">
        <v>9</v>
      </c>
      <c r="C8644" s="23" t="s">
        <v>2038</v>
      </c>
      <c r="D8644" s="21"/>
    </row>
    <row r="8645" spans="1:4" ht="12.75" customHeight="1" x14ac:dyDescent="0.2">
      <c r="A8645" s="21"/>
      <c r="B8645" s="3" t="s">
        <v>11</v>
      </c>
      <c r="C8645" s="23" t="s">
        <v>856</v>
      </c>
      <c r="D8645" s="21"/>
    </row>
    <row r="8646" spans="1:4" ht="12.75" customHeight="1" x14ac:dyDescent="0.2">
      <c r="A8646" s="21"/>
      <c r="B8646" s="3" t="s">
        <v>16</v>
      </c>
      <c r="C8646" s="23"/>
      <c r="D8646" s="21"/>
    </row>
    <row r="8647" spans="1:4" ht="12.75" customHeight="1" x14ac:dyDescent="0.2">
      <c r="A8647" s="21"/>
      <c r="B8647" s="3" t="s">
        <v>17</v>
      </c>
      <c r="C8647" s="23" t="s">
        <v>19</v>
      </c>
      <c r="D8647" s="21"/>
    </row>
    <row r="8648" spans="1:4" ht="12.75" customHeight="1" x14ac:dyDescent="0.2">
      <c r="A8648" s="21"/>
      <c r="B8648" s="20" t="s">
        <v>18</v>
      </c>
      <c r="C8648" s="8" t="s">
        <v>57</v>
      </c>
      <c r="D8648" s="1" t="str">
        <f>HYPERLINK("javascript:void(0)","csillámgöb")</f>
        <v>csillámgöb</v>
      </c>
    </row>
    <row r="8649" spans="1:4" ht="12.75" customHeight="1" x14ac:dyDescent="0.2">
      <c r="A8649" s="21"/>
      <c r="B8649" s="21"/>
      <c r="C8649" s="8" t="s">
        <v>44</v>
      </c>
      <c r="D8649" s="1" t="str">
        <f>HYPERLINK("javascript:void(0)","csillámló elfcsizma")</f>
        <v>csillámló elfcsizma</v>
      </c>
    </row>
    <row r="8650" spans="1:4" ht="12.75" customHeight="1" x14ac:dyDescent="0.2">
      <c r="A8650" s="21"/>
      <c r="B8650" s="21"/>
      <c r="C8650" s="8" t="s">
        <v>296</v>
      </c>
      <c r="D8650" s="1" t="str">
        <f>HYPERLINK("javascript:void(0)","tűzige")</f>
        <v>tűzige</v>
      </c>
    </row>
    <row r="8651" spans="1:4" ht="12.75" customHeight="1" x14ac:dyDescent="0.2">
      <c r="A8651" s="21"/>
      <c r="B8651" s="2"/>
      <c r="C8651" s="7"/>
      <c r="D8651" s="7"/>
    </row>
    <row r="8652" spans="1:4" ht="12.75" customHeight="1" x14ac:dyDescent="0.2">
      <c r="A8652" s="21"/>
      <c r="B8652" s="2"/>
      <c r="C8652" s="7"/>
      <c r="D8652" s="7"/>
    </row>
    <row r="8653" spans="1:4" ht="12.75" customHeight="1" x14ac:dyDescent="0.2">
      <c r="A8653" s="21"/>
      <c r="B8653" s="2"/>
      <c r="C8653" s="7"/>
      <c r="D8653" s="7"/>
    </row>
    <row r="8654" spans="1:4" ht="12.75" customHeight="1" x14ac:dyDescent="0.2">
      <c r="A8654" s="21"/>
      <c r="B8654" s="2"/>
      <c r="C8654" s="7"/>
      <c r="D8654" s="7"/>
    </row>
    <row r="8655" spans="1:4" ht="12.75" customHeight="1" x14ac:dyDescent="0.2">
      <c r="A8655" s="5"/>
      <c r="B8655" s="2"/>
      <c r="C8655" s="7"/>
      <c r="D8655" s="7"/>
    </row>
    <row r="8656" spans="1:4" ht="12.75" customHeight="1" x14ac:dyDescent="0.2">
      <c r="A8656" s="22" t="str">
        <f>HYPERLINK("javascript:void(0)","csillámos démonsisak")</f>
        <v>csillámos démonsisak</v>
      </c>
      <c r="B8656" s="21"/>
      <c r="C8656" s="21"/>
      <c r="D8656" s="21"/>
    </row>
    <row r="8657" spans="1:4" ht="12.75" customHeight="1" x14ac:dyDescent="0.2">
      <c r="A8657" s="20"/>
      <c r="B8657" s="2"/>
      <c r="C8657" s="7"/>
      <c r="D8657" s="7"/>
    </row>
    <row r="8658" spans="1:4" ht="12.75" customHeight="1" x14ac:dyDescent="0.2">
      <c r="A8658" s="21"/>
      <c r="B8658" s="3" t="s">
        <v>0</v>
      </c>
      <c r="C8658" s="23" t="s">
        <v>65</v>
      </c>
      <c r="D8658" s="21"/>
    </row>
    <row r="8659" spans="1:4" ht="12.75" customHeight="1" x14ac:dyDescent="0.2">
      <c r="A8659" s="21"/>
      <c r="B8659" s="3" t="s">
        <v>2</v>
      </c>
      <c r="C8659" s="23"/>
      <c r="D8659" s="21"/>
    </row>
    <row r="8660" spans="1:4" ht="12.75" customHeight="1" x14ac:dyDescent="0.2">
      <c r="A8660" s="21"/>
      <c r="B8660" s="3" t="s">
        <v>1840</v>
      </c>
      <c r="C8660" s="23" t="s">
        <v>4016</v>
      </c>
      <c r="D8660" s="21"/>
    </row>
    <row r="8661" spans="1:4" ht="12.75" customHeight="1" x14ac:dyDescent="0.2">
      <c r="A8661" s="21"/>
      <c r="B8661" s="3" t="s">
        <v>9</v>
      </c>
      <c r="C8661" s="23" t="s">
        <v>2118</v>
      </c>
      <c r="D8661" s="21"/>
    </row>
    <row r="8662" spans="1:4" ht="12.75" customHeight="1" x14ac:dyDescent="0.2">
      <c r="A8662" s="21"/>
      <c r="B8662" s="3" t="s">
        <v>11</v>
      </c>
      <c r="C8662" s="23" t="s">
        <v>817</v>
      </c>
      <c r="D8662" s="21"/>
    </row>
    <row r="8663" spans="1:4" ht="12.75" customHeight="1" x14ac:dyDescent="0.2">
      <c r="A8663" s="21"/>
      <c r="B8663" s="3" t="s">
        <v>16</v>
      </c>
      <c r="C8663" s="23"/>
      <c r="D8663" s="21"/>
    </row>
    <row r="8664" spans="1:4" ht="12.75" customHeight="1" x14ac:dyDescent="0.2">
      <c r="A8664" s="21"/>
      <c r="B8664" s="3" t="s">
        <v>17</v>
      </c>
      <c r="C8664" s="23" t="s">
        <v>19</v>
      </c>
      <c r="D8664" s="21"/>
    </row>
    <row r="8665" spans="1:4" ht="12.75" customHeight="1" x14ac:dyDescent="0.2">
      <c r="A8665" s="21"/>
      <c r="B8665" s="20" t="s">
        <v>18</v>
      </c>
      <c r="C8665" s="8" t="s">
        <v>57</v>
      </c>
      <c r="D8665" s="1" t="str">
        <f>HYPERLINK("javascript:void(0)","csillámgöb")</f>
        <v>csillámgöb</v>
      </c>
    </row>
    <row r="8666" spans="1:4" ht="12.75" customHeight="1" x14ac:dyDescent="0.2">
      <c r="A8666" s="21"/>
      <c r="B8666" s="21"/>
      <c r="C8666" s="8" t="s">
        <v>44</v>
      </c>
      <c r="D8666" s="1" t="str">
        <f>HYPERLINK("javascript:void(0)","csillámos levélsüveg")</f>
        <v>csillámos levélsüveg</v>
      </c>
    </row>
    <row r="8667" spans="1:4" ht="12.75" customHeight="1" x14ac:dyDescent="0.2">
      <c r="A8667" s="21"/>
      <c r="B8667" s="21"/>
      <c r="C8667" s="8" t="s">
        <v>398</v>
      </c>
      <c r="D8667" s="1" t="str">
        <f>HYPERLINK("javascript:void(0)","démonzanza")</f>
        <v>démonzanza</v>
      </c>
    </row>
    <row r="8668" spans="1:4" ht="12.75" customHeight="1" x14ac:dyDescent="0.2">
      <c r="A8668" s="21"/>
      <c r="B8668" s="2"/>
      <c r="C8668" s="7"/>
      <c r="D8668" s="7"/>
    </row>
    <row r="8669" spans="1:4" ht="12.75" customHeight="1" x14ac:dyDescent="0.2">
      <c r="A8669" s="21"/>
      <c r="B8669" s="2"/>
      <c r="C8669" s="7"/>
      <c r="D8669" s="7"/>
    </row>
    <row r="8670" spans="1:4" ht="12.75" customHeight="1" x14ac:dyDescent="0.2">
      <c r="A8670" s="21"/>
      <c r="B8670" s="2"/>
      <c r="C8670" s="7"/>
      <c r="D8670" s="7"/>
    </row>
    <row r="8671" spans="1:4" ht="12.75" customHeight="1" x14ac:dyDescent="0.2">
      <c r="A8671" s="21"/>
      <c r="B8671" s="2"/>
      <c r="C8671" s="7"/>
      <c r="D8671" s="7"/>
    </row>
    <row r="8672" spans="1:4" ht="12.75" customHeight="1" x14ac:dyDescent="0.2">
      <c r="A8672" s="5"/>
      <c r="B8672" s="2"/>
      <c r="C8672" s="7"/>
      <c r="D8672" s="7"/>
    </row>
    <row r="8673" spans="1:4" ht="12.75" customHeight="1" x14ac:dyDescent="0.2">
      <c r="A8673" s="22" t="str">
        <f>HYPERLINK("javascript:void(0)","csillámló démonpáncél")</f>
        <v>csillámló démonpáncél</v>
      </c>
      <c r="B8673" s="21"/>
      <c r="C8673" s="21"/>
      <c r="D8673" s="21"/>
    </row>
    <row r="8674" spans="1:4" ht="12.75" customHeight="1" x14ac:dyDescent="0.2">
      <c r="A8674" s="20"/>
      <c r="B8674" s="2"/>
      <c r="C8674" s="7"/>
      <c r="D8674" s="7"/>
    </row>
    <row r="8675" spans="1:4" ht="12.75" customHeight="1" x14ac:dyDescent="0.2">
      <c r="A8675" s="21"/>
      <c r="B8675" s="3" t="s">
        <v>0</v>
      </c>
      <c r="C8675" s="23" t="s">
        <v>65</v>
      </c>
      <c r="D8675" s="21"/>
    </row>
    <row r="8676" spans="1:4" ht="12.75" customHeight="1" x14ac:dyDescent="0.2">
      <c r="A8676" s="21"/>
      <c r="B8676" s="3" t="s">
        <v>2</v>
      </c>
      <c r="C8676" s="23" t="s">
        <v>2322</v>
      </c>
      <c r="D8676" s="21"/>
    </row>
    <row r="8677" spans="1:4" ht="12.75" customHeight="1" x14ac:dyDescent="0.2">
      <c r="A8677" s="21"/>
      <c r="B8677" s="3" t="s">
        <v>1840</v>
      </c>
      <c r="C8677" s="23" t="s">
        <v>2454</v>
      </c>
      <c r="D8677" s="21"/>
    </row>
    <row r="8678" spans="1:4" ht="12.75" customHeight="1" x14ac:dyDescent="0.2">
      <c r="A8678" s="21"/>
      <c r="B8678" s="3" t="s">
        <v>9</v>
      </c>
      <c r="C8678" s="23" t="s">
        <v>2455</v>
      </c>
      <c r="D8678" s="21"/>
    </row>
    <row r="8679" spans="1:4" ht="12.75" customHeight="1" x14ac:dyDescent="0.2">
      <c r="A8679" s="21"/>
      <c r="B8679" s="3" t="s">
        <v>11</v>
      </c>
      <c r="C8679" s="23" t="s">
        <v>817</v>
      </c>
      <c r="D8679" s="21"/>
    </row>
    <row r="8680" spans="1:4" ht="12.75" customHeight="1" x14ac:dyDescent="0.2">
      <c r="A8680" s="21"/>
      <c r="B8680" s="3" t="s">
        <v>16</v>
      </c>
      <c r="C8680" s="23"/>
      <c r="D8680" s="21"/>
    </row>
    <row r="8681" spans="1:4" ht="12.75" customHeight="1" x14ac:dyDescent="0.2">
      <c r="A8681" s="21"/>
      <c r="B8681" s="3" t="s">
        <v>17</v>
      </c>
      <c r="C8681" s="23" t="s">
        <v>19</v>
      </c>
      <c r="D8681" s="21"/>
    </row>
    <row r="8682" spans="1:4" ht="12.75" customHeight="1" x14ac:dyDescent="0.2">
      <c r="A8682" s="21"/>
      <c r="B8682" s="20" t="s">
        <v>18</v>
      </c>
      <c r="C8682" s="8" t="s">
        <v>57</v>
      </c>
      <c r="D8682" s="1" t="str">
        <f>HYPERLINK("javascript:void(0)","csillámgöb")</f>
        <v>csillámgöb</v>
      </c>
    </row>
    <row r="8683" spans="1:4" ht="12.75" customHeight="1" x14ac:dyDescent="0.2">
      <c r="A8683" s="21"/>
      <c r="B8683" s="21"/>
      <c r="C8683" s="8" t="s">
        <v>44</v>
      </c>
      <c r="D8683" s="1" t="str">
        <f>HYPERLINK("javascript:void(0)","csillámló elfpáncél")</f>
        <v>csillámló elfpáncél</v>
      </c>
    </row>
    <row r="8684" spans="1:4" ht="12.75" customHeight="1" x14ac:dyDescent="0.2">
      <c r="A8684" s="21"/>
      <c r="B8684" s="21"/>
      <c r="C8684" s="8" t="s">
        <v>296</v>
      </c>
      <c r="D8684" s="1" t="str">
        <f>HYPERLINK("javascript:void(0)","mágnes")</f>
        <v>mágnes</v>
      </c>
    </row>
    <row r="8685" spans="1:4" ht="12.75" customHeight="1" x14ac:dyDescent="0.2">
      <c r="A8685" s="21"/>
      <c r="B8685" s="2"/>
      <c r="C8685" s="7"/>
      <c r="D8685" s="7"/>
    </row>
    <row r="8686" spans="1:4" ht="12.75" customHeight="1" x14ac:dyDescent="0.2">
      <c r="A8686" s="21"/>
      <c r="B8686" s="2"/>
      <c r="C8686" s="7"/>
      <c r="D8686" s="7"/>
    </row>
    <row r="8687" spans="1:4" ht="12.75" customHeight="1" x14ac:dyDescent="0.2">
      <c r="A8687" s="21"/>
      <c r="B8687" s="2"/>
      <c r="C8687" s="7"/>
      <c r="D8687" s="7"/>
    </row>
    <row r="8688" spans="1:4" ht="12.75" customHeight="1" x14ac:dyDescent="0.2">
      <c r="A8688" s="21"/>
      <c r="B8688" s="2"/>
      <c r="C8688" s="7"/>
      <c r="D8688" s="7"/>
    </row>
    <row r="8689" spans="1:4" ht="12.75" customHeight="1" x14ac:dyDescent="0.2">
      <c r="A8689" s="5"/>
      <c r="B8689" s="2"/>
      <c r="C8689" s="7"/>
      <c r="D8689" s="7"/>
    </row>
    <row r="8690" spans="1:4" ht="12.75" customHeight="1" x14ac:dyDescent="0.2">
      <c r="A8690" s="22" t="str">
        <f>HYPERLINK("javascript:void(0)","gyíkacél testpajzs")</f>
        <v>gyíkacél testpajzs</v>
      </c>
      <c r="B8690" s="21"/>
      <c r="C8690" s="21"/>
      <c r="D8690" s="21"/>
    </row>
    <row r="8691" spans="1:4" ht="12.75" customHeight="1" x14ac:dyDescent="0.2">
      <c r="A8691" s="20"/>
      <c r="B8691" s="2"/>
      <c r="C8691" s="7"/>
      <c r="D8691" s="7"/>
    </row>
    <row r="8692" spans="1:4" ht="12.75" customHeight="1" x14ac:dyDescent="0.2">
      <c r="A8692" s="21"/>
      <c r="B8692" s="3" t="s">
        <v>0</v>
      </c>
      <c r="C8692" s="23" t="s">
        <v>65</v>
      </c>
      <c r="D8692" s="21"/>
    </row>
    <row r="8693" spans="1:4" ht="12.75" customHeight="1" x14ac:dyDescent="0.2">
      <c r="A8693" s="21"/>
      <c r="B8693" s="3" t="s">
        <v>2</v>
      </c>
      <c r="C8693" s="23" t="s">
        <v>1839</v>
      </c>
      <c r="D8693" s="21"/>
    </row>
    <row r="8694" spans="1:4" ht="12.75" customHeight="1" x14ac:dyDescent="0.2">
      <c r="A8694" s="21"/>
      <c r="B8694" s="3" t="s">
        <v>1840</v>
      </c>
      <c r="C8694" s="23" t="s">
        <v>2206</v>
      </c>
      <c r="D8694" s="21"/>
    </row>
    <row r="8695" spans="1:4" ht="12.75" customHeight="1" x14ac:dyDescent="0.2">
      <c r="A8695" s="21"/>
      <c r="B8695" s="3" t="s">
        <v>9</v>
      </c>
      <c r="C8695" s="23" t="s">
        <v>658</v>
      </c>
      <c r="D8695" s="21"/>
    </row>
    <row r="8696" spans="1:4" ht="12.75" customHeight="1" x14ac:dyDescent="0.2">
      <c r="A8696" s="21"/>
      <c r="B8696" s="3" t="s">
        <v>11</v>
      </c>
      <c r="C8696" s="23" t="s">
        <v>973</v>
      </c>
      <c r="D8696" s="21"/>
    </row>
    <row r="8697" spans="1:4" ht="12.75" customHeight="1" x14ac:dyDescent="0.2">
      <c r="A8697" s="21"/>
      <c r="B8697" s="3" t="s">
        <v>16</v>
      </c>
      <c r="C8697" s="23"/>
      <c r="D8697" s="21"/>
    </row>
    <row r="8698" spans="1:4" ht="12.75" customHeight="1" x14ac:dyDescent="0.2">
      <c r="A8698" s="21"/>
      <c r="B8698" s="3" t="s">
        <v>17</v>
      </c>
      <c r="C8698" s="23" t="s">
        <v>19</v>
      </c>
      <c r="D8698" s="21"/>
    </row>
    <row r="8699" spans="1:4" ht="12.75" customHeight="1" x14ac:dyDescent="0.2">
      <c r="A8699" s="21"/>
      <c r="B8699" s="20" t="s">
        <v>18</v>
      </c>
      <c r="C8699" s="8" t="s">
        <v>130</v>
      </c>
      <c r="D8699" s="1" t="str">
        <f>HYPERLINK("javascript:void(0)","harmatcsepp")</f>
        <v>harmatcsepp</v>
      </c>
    </row>
    <row r="8700" spans="1:4" ht="12.75" customHeight="1" x14ac:dyDescent="0.2">
      <c r="A8700" s="21"/>
      <c r="B8700" s="21"/>
      <c r="C8700" s="8" t="s">
        <v>398</v>
      </c>
      <c r="D8700" s="1" t="str">
        <f>HYPERLINK("javascript:void(0)","vízige")</f>
        <v>vízige</v>
      </c>
    </row>
    <row r="8701" spans="1:4" ht="12.75" customHeight="1" x14ac:dyDescent="0.2">
      <c r="A8701" s="21"/>
      <c r="B8701" s="21"/>
      <c r="C8701" s="8" t="s">
        <v>139</v>
      </c>
      <c r="D8701" s="1" t="str">
        <f>HYPERLINK("javascript:void(0)","démonvádli")</f>
        <v>démonvádli</v>
      </c>
    </row>
    <row r="8702" spans="1:4" ht="12.75" customHeight="1" x14ac:dyDescent="0.2">
      <c r="A8702" s="21"/>
      <c r="B8702" s="2"/>
      <c r="C8702" s="7"/>
      <c r="D8702" s="7"/>
    </row>
    <row r="8703" spans="1:4" ht="12.75" customHeight="1" x14ac:dyDescent="0.2">
      <c r="A8703" s="21"/>
      <c r="B8703" s="2"/>
      <c r="C8703" s="7"/>
      <c r="D8703" s="7"/>
    </row>
    <row r="8704" spans="1:4" ht="12.75" customHeight="1" x14ac:dyDescent="0.2">
      <c r="A8704" s="21"/>
      <c r="B8704" s="2"/>
      <c r="C8704" s="7"/>
      <c r="D8704" s="7"/>
    </row>
    <row r="8705" spans="1:4" ht="12.75" customHeight="1" x14ac:dyDescent="0.2">
      <c r="A8705" s="21"/>
      <c r="B8705" s="2"/>
      <c r="C8705" s="7"/>
      <c r="D8705" s="7"/>
    </row>
    <row r="8706" spans="1:4" ht="12.75" customHeight="1" x14ac:dyDescent="0.2">
      <c r="A8706" s="5"/>
      <c r="B8706" s="2"/>
      <c r="C8706" s="7"/>
      <c r="D8706" s="7"/>
    </row>
    <row r="8707" spans="1:4" ht="12.75" customHeight="1" x14ac:dyDescent="0.2">
      <c r="A8707" s="22" t="str">
        <f>HYPERLINK("javascript:void(0)","teljes rézvért")</f>
        <v>teljes rézvért</v>
      </c>
      <c r="B8707" s="21"/>
      <c r="C8707" s="21"/>
      <c r="D8707" s="21"/>
    </row>
    <row r="8708" spans="1:4" ht="12.75" customHeight="1" x14ac:dyDescent="0.2">
      <c r="A8708" s="20"/>
      <c r="B8708" s="2"/>
      <c r="C8708" s="7"/>
      <c r="D8708" s="7"/>
    </row>
    <row r="8709" spans="1:4" ht="12.75" customHeight="1" x14ac:dyDescent="0.2">
      <c r="A8709" s="21"/>
      <c r="B8709" s="3" t="s">
        <v>0</v>
      </c>
      <c r="C8709" s="23" t="s">
        <v>680</v>
      </c>
      <c r="D8709" s="21"/>
    </row>
    <row r="8710" spans="1:4" ht="12.75" customHeight="1" x14ac:dyDescent="0.2">
      <c r="A8710" s="21"/>
      <c r="B8710" s="3" t="s">
        <v>2</v>
      </c>
      <c r="C8710" s="23" t="s">
        <v>2322</v>
      </c>
      <c r="D8710" s="21"/>
    </row>
    <row r="8711" spans="1:4" ht="12.75" customHeight="1" x14ac:dyDescent="0.2">
      <c r="A8711" s="21"/>
      <c r="B8711" s="3" t="s">
        <v>1840</v>
      </c>
      <c r="C8711" s="23" t="s">
        <v>2457</v>
      </c>
      <c r="D8711" s="21"/>
    </row>
    <row r="8712" spans="1:4" ht="12.75" customHeight="1" x14ac:dyDescent="0.2">
      <c r="A8712" s="21"/>
      <c r="B8712" s="3" t="s">
        <v>9</v>
      </c>
      <c r="C8712" s="23" t="s">
        <v>200</v>
      </c>
      <c r="D8712" s="21"/>
    </row>
    <row r="8713" spans="1:4" ht="12.75" customHeight="1" x14ac:dyDescent="0.2">
      <c r="A8713" s="21"/>
      <c r="B8713" s="3" t="s">
        <v>11</v>
      </c>
      <c r="C8713" s="23" t="s">
        <v>835</v>
      </c>
      <c r="D8713" s="21"/>
    </row>
    <row r="8714" spans="1:4" ht="12.75" customHeight="1" x14ac:dyDescent="0.2">
      <c r="A8714" s="21"/>
      <c r="B8714" s="3" t="s">
        <v>16</v>
      </c>
      <c r="C8714" s="23"/>
      <c r="D8714" s="21"/>
    </row>
    <row r="8715" spans="1:4" ht="12.75" customHeight="1" x14ac:dyDescent="0.2">
      <c r="A8715" s="21"/>
      <c r="B8715" s="3" t="s">
        <v>17</v>
      </c>
      <c r="C8715" s="23" t="s">
        <v>19</v>
      </c>
      <c r="D8715" s="21"/>
    </row>
    <row r="8716" spans="1:4" ht="12.75" customHeight="1" x14ac:dyDescent="0.2">
      <c r="A8716" s="21"/>
      <c r="B8716" s="20" t="s">
        <v>18</v>
      </c>
      <c r="C8716" s="8" t="s">
        <v>44</v>
      </c>
      <c r="D8716" s="1" t="str">
        <f>HYPERLINK("javascript:void(0)","szőrmente")</f>
        <v>szőrmente</v>
      </c>
    </row>
    <row r="8717" spans="1:4" ht="12.75" customHeight="1" x14ac:dyDescent="0.2">
      <c r="A8717" s="21"/>
      <c r="B8717" s="21"/>
      <c r="C8717" s="8" t="s">
        <v>68</v>
      </c>
      <c r="D8717" s="1" t="str">
        <f>HYPERLINK("javascript:void(0)","fúrófej")</f>
        <v>fúrófej</v>
      </c>
    </row>
    <row r="8718" spans="1:4" ht="12.75" customHeight="1" x14ac:dyDescent="0.2">
      <c r="A8718" s="21"/>
      <c r="B8718" s="21"/>
      <c r="C8718" s="8" t="s">
        <v>68</v>
      </c>
      <c r="D8718" s="1" t="str">
        <f>HYPERLINK("javascript:void(0)","rézrög")</f>
        <v>rézrög</v>
      </c>
    </row>
    <row r="8719" spans="1:4" ht="12.75" customHeight="1" x14ac:dyDescent="0.2">
      <c r="A8719" s="21"/>
      <c r="B8719" s="2"/>
      <c r="C8719" s="7"/>
      <c r="D8719" s="7"/>
    </row>
    <row r="8720" spans="1:4" ht="12.75" customHeight="1" x14ac:dyDescent="0.2">
      <c r="A8720" s="21"/>
      <c r="B8720" s="2"/>
      <c r="C8720" s="7"/>
      <c r="D8720" s="7"/>
    </row>
    <row r="8721" spans="1:4" ht="12.75" customHeight="1" x14ac:dyDescent="0.2">
      <c r="A8721" s="21"/>
      <c r="B8721" s="2"/>
      <c r="C8721" s="7"/>
      <c r="D8721" s="7"/>
    </row>
    <row r="8722" spans="1:4" ht="12.75" customHeight="1" x14ac:dyDescent="0.2">
      <c r="A8722" s="21"/>
      <c r="B8722" s="2"/>
      <c r="C8722" s="7"/>
      <c r="D8722" s="7"/>
    </row>
    <row r="8723" spans="1:4" ht="12.75" customHeight="1" x14ac:dyDescent="0.2">
      <c r="A8723" s="5"/>
      <c r="B8723" s="2"/>
      <c r="C8723" s="7"/>
      <c r="D8723" s="7"/>
    </row>
    <row r="8724" spans="1:4" ht="12.75" customHeight="1" x14ac:dyDescent="0.2">
      <c r="A8724" s="22" t="str">
        <f>HYPERLINK("javascript:void(0)","fényes sisak")</f>
        <v>fényes sisak</v>
      </c>
      <c r="B8724" s="21"/>
      <c r="C8724" s="21"/>
      <c r="D8724" s="21"/>
    </row>
    <row r="8725" spans="1:4" ht="12.75" customHeight="1" x14ac:dyDescent="0.2">
      <c r="A8725" s="20"/>
      <c r="B8725" s="2"/>
      <c r="C8725" s="7"/>
      <c r="D8725" s="7"/>
    </row>
    <row r="8726" spans="1:4" ht="12.75" customHeight="1" x14ac:dyDescent="0.2">
      <c r="A8726" s="21"/>
      <c r="B8726" s="3" t="s">
        <v>0</v>
      </c>
      <c r="C8726" s="23" t="s">
        <v>680</v>
      </c>
      <c r="D8726" s="21"/>
    </row>
    <row r="8727" spans="1:4" ht="12.75" customHeight="1" x14ac:dyDescent="0.2">
      <c r="A8727" s="21"/>
      <c r="B8727" s="3" t="s">
        <v>2</v>
      </c>
      <c r="C8727" s="23"/>
      <c r="D8727" s="21"/>
    </row>
    <row r="8728" spans="1:4" ht="12.75" customHeight="1" x14ac:dyDescent="0.2">
      <c r="A8728" s="21"/>
      <c r="B8728" s="3" t="s">
        <v>1840</v>
      </c>
      <c r="C8728" s="23" t="s">
        <v>2736</v>
      </c>
      <c r="D8728" s="21"/>
    </row>
    <row r="8729" spans="1:4" ht="12.75" customHeight="1" x14ac:dyDescent="0.2">
      <c r="A8729" s="21"/>
      <c r="B8729" s="3" t="s">
        <v>9</v>
      </c>
      <c r="C8729" s="23" t="s">
        <v>27</v>
      </c>
      <c r="D8729" s="21"/>
    </row>
    <row r="8730" spans="1:4" ht="12.75" customHeight="1" x14ac:dyDescent="0.2">
      <c r="A8730" s="21"/>
      <c r="B8730" s="3" t="s">
        <v>11</v>
      </c>
      <c r="C8730" s="23" t="s">
        <v>835</v>
      </c>
      <c r="D8730" s="21"/>
    </row>
    <row r="8731" spans="1:4" ht="12.75" customHeight="1" x14ac:dyDescent="0.2">
      <c r="A8731" s="21"/>
      <c r="B8731" s="3" t="s">
        <v>16</v>
      </c>
      <c r="C8731" s="23"/>
      <c r="D8731" s="21"/>
    </row>
    <row r="8732" spans="1:4" ht="12.75" customHeight="1" x14ac:dyDescent="0.2">
      <c r="A8732" s="21"/>
      <c r="B8732" s="3" t="s">
        <v>17</v>
      </c>
      <c r="C8732" s="23" t="s">
        <v>19</v>
      </c>
      <c r="D8732" s="21"/>
    </row>
    <row r="8733" spans="1:4" ht="12.75" customHeight="1" x14ac:dyDescent="0.2">
      <c r="A8733" s="21"/>
      <c r="B8733" s="20" t="s">
        <v>18</v>
      </c>
      <c r="C8733" s="8" t="s">
        <v>44</v>
      </c>
      <c r="D8733" s="1" t="str">
        <f>HYPERLINK("javascript:void(0)","éjsötét sisak")</f>
        <v>éjsötét sisak</v>
      </c>
    </row>
    <row r="8734" spans="1:4" ht="12.75" customHeight="1" x14ac:dyDescent="0.2">
      <c r="A8734" s="21"/>
      <c r="B8734" s="21"/>
      <c r="C8734" s="8" t="s">
        <v>44</v>
      </c>
      <c r="D8734" s="1" t="str">
        <f>HYPERLINK("javascript:void(0)","hypnoacél sisak")</f>
        <v>hypnoacél sisak</v>
      </c>
    </row>
    <row r="8735" spans="1:4" ht="12.75" customHeight="1" x14ac:dyDescent="0.2">
      <c r="A8735" s="21"/>
      <c r="B8735" s="21"/>
      <c r="C8735" s="8" t="s">
        <v>44</v>
      </c>
      <c r="D8735" s="1" t="str">
        <f>HYPERLINK("javascript:void(0)","fényes rostély")</f>
        <v>fényes rostély</v>
      </c>
    </row>
    <row r="8736" spans="1:4" ht="12.75" customHeight="1" x14ac:dyDescent="0.2">
      <c r="A8736" s="21"/>
      <c r="B8736" s="2"/>
      <c r="C8736" s="7"/>
      <c r="D8736" s="7"/>
    </row>
    <row r="8737" spans="1:4" ht="12.75" customHeight="1" x14ac:dyDescent="0.2">
      <c r="A8737" s="21"/>
      <c r="B8737" s="2"/>
      <c r="C8737" s="7"/>
      <c r="D8737" s="7"/>
    </row>
    <row r="8738" spans="1:4" ht="12.75" customHeight="1" x14ac:dyDescent="0.2">
      <c r="A8738" s="21"/>
      <c r="B8738" s="2"/>
      <c r="C8738" s="7"/>
      <c r="D8738" s="7"/>
    </row>
    <row r="8739" spans="1:4" ht="12.75" customHeight="1" x14ac:dyDescent="0.2">
      <c r="A8739" s="21"/>
      <c r="B8739" s="2"/>
      <c r="C8739" s="7"/>
      <c r="D8739" s="7"/>
    </row>
    <row r="8740" spans="1:4" ht="12.75" customHeight="1" x14ac:dyDescent="0.2">
      <c r="A8740" s="5"/>
      <c r="B8740" s="2"/>
      <c r="C8740" s="7"/>
      <c r="D8740" s="7"/>
    </row>
    <row r="8741" spans="1:4" ht="12.75" customHeight="1" x14ac:dyDescent="0.2">
      <c r="A8741" s="22" t="str">
        <f>HYPERLINK("javascript:void(0)","artini saru")</f>
        <v>artini saru</v>
      </c>
      <c r="B8741" s="21"/>
      <c r="C8741" s="21"/>
      <c r="D8741" s="21"/>
    </row>
    <row r="8742" spans="1:4" ht="12.75" customHeight="1" x14ac:dyDescent="0.2">
      <c r="A8742" s="20"/>
      <c r="B8742" s="2"/>
      <c r="C8742" s="7"/>
      <c r="D8742" s="7"/>
    </row>
    <row r="8743" spans="1:4" ht="12.75" customHeight="1" x14ac:dyDescent="0.2">
      <c r="A8743" s="21"/>
      <c r="B8743" s="3" t="s">
        <v>0</v>
      </c>
      <c r="C8743" s="23" t="s">
        <v>680</v>
      </c>
      <c r="D8743" s="21"/>
    </row>
    <row r="8744" spans="1:4" ht="12.75" customHeight="1" x14ac:dyDescent="0.2">
      <c r="A8744" s="21"/>
      <c r="B8744" s="3" t="s">
        <v>2</v>
      </c>
      <c r="C8744" s="23"/>
      <c r="D8744" s="21"/>
    </row>
    <row r="8745" spans="1:4" ht="12.75" customHeight="1" x14ac:dyDescent="0.2">
      <c r="A8745" s="21"/>
      <c r="B8745" s="3" t="s">
        <v>1840</v>
      </c>
      <c r="C8745" s="23" t="s">
        <v>2041</v>
      </c>
      <c r="D8745" s="21"/>
    </row>
    <row r="8746" spans="1:4" ht="12.75" customHeight="1" x14ac:dyDescent="0.2">
      <c r="A8746" s="21"/>
      <c r="B8746" s="3" t="s">
        <v>9</v>
      </c>
      <c r="C8746" s="23" t="s">
        <v>172</v>
      </c>
      <c r="D8746" s="21"/>
    </row>
    <row r="8747" spans="1:4" ht="12.75" customHeight="1" x14ac:dyDescent="0.2">
      <c r="A8747" s="21"/>
      <c r="B8747" s="3" t="s">
        <v>11</v>
      </c>
      <c r="C8747" s="23" t="s">
        <v>879</v>
      </c>
      <c r="D8747" s="21"/>
    </row>
    <row r="8748" spans="1:4" ht="12.75" customHeight="1" x14ac:dyDescent="0.2">
      <c r="A8748" s="21"/>
      <c r="B8748" s="3" t="s">
        <v>16</v>
      </c>
      <c r="C8748" s="23"/>
      <c r="D8748" s="21"/>
    </row>
    <row r="8749" spans="1:4" ht="12.75" customHeight="1" x14ac:dyDescent="0.2">
      <c r="A8749" s="21"/>
      <c r="B8749" s="3" t="s">
        <v>17</v>
      </c>
      <c r="C8749" s="23" t="s">
        <v>19</v>
      </c>
      <c r="D8749" s="21"/>
    </row>
    <row r="8750" spans="1:4" ht="12.75" customHeight="1" x14ac:dyDescent="0.2">
      <c r="A8750" s="21"/>
      <c r="B8750" s="20" t="s">
        <v>18</v>
      </c>
      <c r="C8750" s="8" t="s">
        <v>232</v>
      </c>
      <c r="D8750" s="1" t="str">
        <f>HYPERLINK("javascript:void(0)","bajuszkötő")</f>
        <v>bajuszkötő</v>
      </c>
    </row>
    <row r="8751" spans="1:4" ht="12.75" customHeight="1" x14ac:dyDescent="0.2">
      <c r="A8751" s="21"/>
      <c r="B8751" s="21"/>
      <c r="C8751" s="8" t="s">
        <v>193</v>
      </c>
      <c r="D8751" s="1" t="str">
        <f>HYPERLINK("javascript:void(0)","pamacsprém")</f>
        <v>pamacsprém</v>
      </c>
    </row>
    <row r="8752" spans="1:4" ht="12.75" customHeight="1" x14ac:dyDescent="0.2">
      <c r="A8752" s="21"/>
      <c r="B8752" s="21"/>
      <c r="C8752" s="8" t="s">
        <v>139</v>
      </c>
      <c r="D8752" s="1" t="str">
        <f>HYPERLINK("javascript:void(0)","vasorr")</f>
        <v>vasorr</v>
      </c>
    </row>
    <row r="8753" spans="1:4" ht="12.75" customHeight="1" x14ac:dyDescent="0.2">
      <c r="A8753" s="21"/>
      <c r="B8753" s="2"/>
      <c r="C8753" s="7"/>
      <c r="D8753" s="7"/>
    </row>
    <row r="8754" spans="1:4" ht="12.75" customHeight="1" x14ac:dyDescent="0.2">
      <c r="A8754" s="21"/>
      <c r="B8754" s="2"/>
      <c r="C8754" s="7"/>
      <c r="D8754" s="7"/>
    </row>
    <row r="8755" spans="1:4" ht="12.75" customHeight="1" x14ac:dyDescent="0.2">
      <c r="A8755" s="21"/>
      <c r="B8755" s="2"/>
      <c r="C8755" s="7"/>
      <c r="D8755" s="7"/>
    </row>
    <row r="8756" spans="1:4" ht="12.75" customHeight="1" x14ac:dyDescent="0.2">
      <c r="A8756" s="21"/>
      <c r="B8756" s="2"/>
      <c r="C8756" s="7"/>
      <c r="D8756" s="7"/>
    </row>
    <row r="8757" spans="1:4" ht="12.75" customHeight="1" x14ac:dyDescent="0.2">
      <c r="A8757" s="5"/>
      <c r="B8757" s="2"/>
      <c r="C8757" s="7"/>
      <c r="D8757" s="7"/>
    </row>
    <row r="8758" spans="1:4" ht="12.75" customHeight="1" x14ac:dyDescent="0.2">
      <c r="A8758" s="22" t="str">
        <f>HYPERLINK("javascript:void(0)","medúza testpajzs")</f>
        <v>medúza testpajzs</v>
      </c>
      <c r="B8758" s="21"/>
      <c r="C8758" s="21"/>
      <c r="D8758" s="21"/>
    </row>
    <row r="8759" spans="1:4" ht="12.75" customHeight="1" x14ac:dyDescent="0.2">
      <c r="A8759" s="20"/>
      <c r="B8759" s="2"/>
      <c r="C8759" s="7"/>
      <c r="D8759" s="7"/>
    </row>
    <row r="8760" spans="1:4" ht="12.75" customHeight="1" x14ac:dyDescent="0.2">
      <c r="A8760" s="21"/>
      <c r="B8760" s="3" t="s">
        <v>0</v>
      </c>
      <c r="C8760" s="23" t="s">
        <v>680</v>
      </c>
      <c r="D8760" s="21"/>
    </row>
    <row r="8761" spans="1:4" ht="12.75" customHeight="1" x14ac:dyDescent="0.2">
      <c r="A8761" s="21"/>
      <c r="B8761" s="3" t="s">
        <v>2</v>
      </c>
      <c r="C8761" s="23" t="s">
        <v>1839</v>
      </c>
      <c r="D8761" s="21"/>
    </row>
    <row r="8762" spans="1:4" ht="12.75" customHeight="1" x14ac:dyDescent="0.2">
      <c r="A8762" s="21"/>
      <c r="B8762" s="3" t="s">
        <v>1840</v>
      </c>
      <c r="C8762" s="23" t="s">
        <v>448</v>
      </c>
      <c r="D8762" s="21"/>
    </row>
    <row r="8763" spans="1:4" ht="12.75" customHeight="1" x14ac:dyDescent="0.2">
      <c r="A8763" s="21"/>
      <c r="B8763" s="3" t="s">
        <v>9</v>
      </c>
      <c r="C8763" s="23" t="s">
        <v>262</v>
      </c>
      <c r="D8763" s="21"/>
    </row>
    <row r="8764" spans="1:4" ht="12.75" customHeight="1" x14ac:dyDescent="0.2">
      <c r="A8764" s="21"/>
      <c r="B8764" s="3" t="s">
        <v>11</v>
      </c>
      <c r="C8764" s="23" t="s">
        <v>993</v>
      </c>
      <c r="D8764" s="21"/>
    </row>
    <row r="8765" spans="1:4" ht="12.75" customHeight="1" x14ac:dyDescent="0.2">
      <c r="A8765" s="21"/>
      <c r="B8765" s="3" t="s">
        <v>16</v>
      </c>
      <c r="C8765" s="23"/>
      <c r="D8765" s="21"/>
    </row>
    <row r="8766" spans="1:4" ht="12.75" customHeight="1" x14ac:dyDescent="0.2">
      <c r="A8766" s="21"/>
      <c r="B8766" s="3" t="s">
        <v>17</v>
      </c>
      <c r="C8766" s="23" t="s">
        <v>19</v>
      </c>
      <c r="D8766" s="21"/>
    </row>
    <row r="8767" spans="1:4" ht="12.75" customHeight="1" x14ac:dyDescent="0.2">
      <c r="A8767" s="21"/>
      <c r="B8767" s="20" t="s">
        <v>18</v>
      </c>
      <c r="C8767" s="8" t="s">
        <v>44</v>
      </c>
      <c r="D8767" s="1" t="str">
        <f>HYPERLINK("javascript:void(0)","éjsötét testpajzs")</f>
        <v>éjsötét testpajzs</v>
      </c>
    </row>
    <row r="8768" spans="1:4" ht="12.75" customHeight="1" x14ac:dyDescent="0.2">
      <c r="A8768" s="21"/>
      <c r="B8768" s="21"/>
      <c r="C8768" s="8" t="s">
        <v>193</v>
      </c>
      <c r="D8768" s="1" t="str">
        <f>HYPERLINK("javascript:void(0)","medúza csáp")</f>
        <v>medúza csáp</v>
      </c>
    </row>
    <row r="8769" spans="1:4" ht="12.75" customHeight="1" x14ac:dyDescent="0.2">
      <c r="A8769" s="21"/>
      <c r="B8769" s="21"/>
      <c r="C8769" s="8" t="s">
        <v>212</v>
      </c>
      <c r="D8769" s="1" t="str">
        <f>HYPERLINK("javascript:void(0)","elemi köpet")</f>
        <v>elemi köpet</v>
      </c>
    </row>
    <row r="8770" spans="1:4" ht="12.75" customHeight="1" x14ac:dyDescent="0.2">
      <c r="A8770" s="21"/>
      <c r="B8770" s="2"/>
      <c r="C8770" s="7"/>
      <c r="D8770" s="7"/>
    </row>
    <row r="8771" spans="1:4" ht="12.75" customHeight="1" x14ac:dyDescent="0.2">
      <c r="A8771" s="21"/>
      <c r="B8771" s="2"/>
      <c r="C8771" s="7"/>
      <c r="D8771" s="7"/>
    </row>
    <row r="8772" spans="1:4" ht="12.75" customHeight="1" x14ac:dyDescent="0.2">
      <c r="A8772" s="21"/>
      <c r="B8772" s="2"/>
      <c r="C8772" s="7"/>
      <c r="D8772" s="7"/>
    </row>
    <row r="8773" spans="1:4" ht="12.75" customHeight="1" x14ac:dyDescent="0.2">
      <c r="A8773" s="21"/>
      <c r="B8773" s="2"/>
      <c r="C8773" s="7"/>
      <c r="D8773" s="7"/>
    </row>
    <row r="8774" spans="1:4" ht="12.75" customHeight="1" x14ac:dyDescent="0.2">
      <c r="A8774" s="5"/>
      <c r="B8774" s="2"/>
      <c r="C8774" s="7"/>
      <c r="D8774" s="7"/>
    </row>
    <row r="8775" spans="1:4" ht="12.75" customHeight="1" x14ac:dyDescent="0.2">
      <c r="A8775" s="22" t="str">
        <f>HYPERLINK("javascript:void(0)","fotoacél illanat")</f>
        <v>fotoacél illanat</v>
      </c>
      <c r="B8775" s="21"/>
      <c r="C8775" s="21"/>
      <c r="D8775" s="21"/>
    </row>
    <row r="8776" spans="1:4" ht="12.75" customHeight="1" x14ac:dyDescent="0.2">
      <c r="A8776" s="20"/>
      <c r="B8776" s="2"/>
      <c r="C8776" s="7"/>
      <c r="D8776" s="7"/>
    </row>
    <row r="8777" spans="1:4" ht="12.75" customHeight="1" x14ac:dyDescent="0.2">
      <c r="A8777" s="21"/>
      <c r="B8777" s="3" t="s">
        <v>0</v>
      </c>
      <c r="C8777" s="23" t="s">
        <v>680</v>
      </c>
      <c r="D8777" s="21"/>
    </row>
    <row r="8778" spans="1:4" ht="12.75" customHeight="1" x14ac:dyDescent="0.2">
      <c r="A8778" s="21"/>
      <c r="B8778" s="3" t="s">
        <v>2</v>
      </c>
      <c r="C8778" s="23" t="s">
        <v>1839</v>
      </c>
      <c r="D8778" s="21"/>
    </row>
    <row r="8779" spans="1:4" ht="12.75" customHeight="1" x14ac:dyDescent="0.2">
      <c r="A8779" s="21"/>
      <c r="B8779" s="3" t="s">
        <v>1840</v>
      </c>
      <c r="C8779" s="23" t="s">
        <v>448</v>
      </c>
      <c r="D8779" s="21"/>
    </row>
    <row r="8780" spans="1:4" ht="12.75" customHeight="1" x14ac:dyDescent="0.2">
      <c r="A8780" s="21"/>
      <c r="B8780" s="3" t="s">
        <v>9</v>
      </c>
      <c r="C8780" s="23" t="s">
        <v>2089</v>
      </c>
      <c r="D8780" s="21"/>
    </row>
    <row r="8781" spans="1:4" ht="12.75" customHeight="1" x14ac:dyDescent="0.2">
      <c r="A8781" s="21"/>
      <c r="B8781" s="3" t="s">
        <v>11</v>
      </c>
      <c r="C8781" s="23" t="s">
        <v>1035</v>
      </c>
      <c r="D8781" s="21"/>
    </row>
    <row r="8782" spans="1:4" ht="12.75" customHeight="1" x14ac:dyDescent="0.2">
      <c r="A8782" s="21"/>
      <c r="B8782" s="3" t="s">
        <v>16</v>
      </c>
      <c r="C8782" s="23"/>
      <c r="D8782" s="21"/>
    </row>
    <row r="8783" spans="1:4" ht="12.75" customHeight="1" x14ac:dyDescent="0.2">
      <c r="A8783" s="21"/>
      <c r="B8783" s="3" t="s">
        <v>17</v>
      </c>
      <c r="C8783" s="23" t="s">
        <v>19</v>
      </c>
      <c r="D8783" s="21"/>
    </row>
    <row r="8784" spans="1:4" ht="12.75" customHeight="1" x14ac:dyDescent="0.2">
      <c r="A8784" s="21"/>
      <c r="B8784" s="20" t="s">
        <v>18</v>
      </c>
      <c r="C8784" s="8" t="s">
        <v>44</v>
      </c>
      <c r="D8784" s="1" t="str">
        <f>HYPERLINK("javascript:void(0)","medúza testpajzs")</f>
        <v>medúza testpajzs</v>
      </c>
    </row>
    <row r="8785" spans="1:4" ht="12.75" customHeight="1" x14ac:dyDescent="0.2">
      <c r="A8785" s="21"/>
      <c r="B8785" s="21"/>
      <c r="C8785" s="8" t="s">
        <v>98</v>
      </c>
      <c r="D8785" s="1" t="str">
        <f>HYPERLINK("javascript:void(0)","fúrófej")</f>
        <v>fúrófej</v>
      </c>
    </row>
    <row r="8786" spans="1:4" ht="12.75" customHeight="1" x14ac:dyDescent="0.2">
      <c r="A8786" s="21"/>
      <c r="B8786" s="21"/>
      <c r="C8786" s="8" t="s">
        <v>98</v>
      </c>
      <c r="D8786" s="1" t="str">
        <f>HYPERLINK("javascript:void(0)","éjfény")</f>
        <v>éjfény</v>
      </c>
    </row>
    <row r="8787" spans="1:4" ht="12.75" customHeight="1" x14ac:dyDescent="0.2">
      <c r="A8787" s="21"/>
      <c r="B8787" s="2"/>
      <c r="C8787" s="7"/>
      <c r="D8787" s="7"/>
    </row>
    <row r="8788" spans="1:4" ht="12.75" customHeight="1" x14ac:dyDescent="0.2">
      <c r="A8788" s="21"/>
      <c r="B8788" s="2"/>
      <c r="C8788" s="7"/>
      <c r="D8788" s="7"/>
    </row>
    <row r="8789" spans="1:4" ht="12.75" customHeight="1" x14ac:dyDescent="0.2">
      <c r="A8789" s="21"/>
      <c r="B8789" s="2"/>
      <c r="C8789" s="7"/>
      <c r="D8789" s="7"/>
    </row>
    <row r="8790" spans="1:4" ht="12.75" customHeight="1" x14ac:dyDescent="0.2">
      <c r="A8790" s="21"/>
      <c r="B8790" s="2"/>
      <c r="C8790" s="7"/>
      <c r="D8790" s="7"/>
    </row>
    <row r="8791" spans="1:4" ht="12.75" customHeight="1" x14ac:dyDescent="0.2">
      <c r="A8791" s="5"/>
      <c r="B8791" s="2"/>
      <c r="C8791" s="7"/>
      <c r="D8791" s="7"/>
    </row>
    <row r="8792" spans="1:4" ht="12.75" customHeight="1" x14ac:dyDescent="0.2">
      <c r="A8792" s="22" t="str">
        <f>HYPERLINK("javascript:void(0)","fényes rostély")</f>
        <v>fényes rostély</v>
      </c>
      <c r="B8792" s="21"/>
      <c r="C8792" s="21"/>
      <c r="D8792" s="21"/>
    </row>
    <row r="8793" spans="1:4" ht="12.75" customHeight="1" x14ac:dyDescent="0.2">
      <c r="A8793" s="20"/>
      <c r="B8793" s="2"/>
      <c r="C8793" s="7"/>
      <c r="D8793" s="7"/>
    </row>
    <row r="8794" spans="1:4" ht="12.75" customHeight="1" x14ac:dyDescent="0.2">
      <c r="A8794" s="21"/>
      <c r="B8794" s="3" t="s">
        <v>0</v>
      </c>
      <c r="C8794" s="23" t="s">
        <v>680</v>
      </c>
      <c r="D8794" s="21"/>
    </row>
    <row r="8795" spans="1:4" ht="12.75" customHeight="1" x14ac:dyDescent="0.2">
      <c r="A8795" s="21"/>
      <c r="B8795" s="3" t="s">
        <v>2</v>
      </c>
      <c r="C8795" s="23" t="s">
        <v>2322</v>
      </c>
      <c r="D8795" s="21"/>
    </row>
    <row r="8796" spans="1:4" ht="12.75" customHeight="1" x14ac:dyDescent="0.2">
      <c r="A8796" s="21"/>
      <c r="B8796" s="3" t="s">
        <v>1840</v>
      </c>
      <c r="C8796" s="23" t="s">
        <v>52</v>
      </c>
      <c r="D8796" s="21"/>
    </row>
    <row r="8797" spans="1:4" ht="12.75" customHeight="1" x14ac:dyDescent="0.2">
      <c r="A8797" s="21"/>
      <c r="B8797" s="3" t="s">
        <v>9</v>
      </c>
      <c r="C8797" s="23" t="s">
        <v>42</v>
      </c>
      <c r="D8797" s="21"/>
    </row>
    <row r="8798" spans="1:4" ht="12.75" customHeight="1" x14ac:dyDescent="0.2">
      <c r="A8798" s="21"/>
      <c r="B8798" s="3" t="s">
        <v>11</v>
      </c>
      <c r="C8798" s="23" t="s">
        <v>368</v>
      </c>
      <c r="D8798" s="21"/>
    </row>
    <row r="8799" spans="1:4" ht="12.75" customHeight="1" x14ac:dyDescent="0.2">
      <c r="A8799" s="21"/>
      <c r="B8799" s="3" t="s">
        <v>16</v>
      </c>
      <c r="C8799" s="23"/>
      <c r="D8799" s="21"/>
    </row>
    <row r="8800" spans="1:4" ht="12.75" customHeight="1" x14ac:dyDescent="0.2">
      <c r="A8800" s="21"/>
      <c r="B8800" s="3" t="s">
        <v>17</v>
      </c>
      <c r="C8800" s="23" t="s">
        <v>19</v>
      </c>
      <c r="D8800" s="21"/>
    </row>
    <row r="8801" spans="1:4" ht="12.75" customHeight="1" x14ac:dyDescent="0.2">
      <c r="A8801" s="21"/>
      <c r="B8801" s="20" t="s">
        <v>18</v>
      </c>
      <c r="C8801" s="8" t="s">
        <v>77</v>
      </c>
      <c r="D8801" s="1" t="str">
        <f>HYPERLINK("javascript:void(0)","fúrófej")</f>
        <v>fúrófej</v>
      </c>
    </row>
    <row r="8802" spans="1:4" ht="12.75" customHeight="1" x14ac:dyDescent="0.2">
      <c r="A8802" s="21"/>
      <c r="B8802" s="21"/>
      <c r="C8802" s="8" t="s">
        <v>67</v>
      </c>
      <c r="D8802" s="1" t="str">
        <f>HYPERLINK("javascript:void(0)","rúna")</f>
        <v>rúna</v>
      </c>
    </row>
    <row r="8803" spans="1:4" ht="12.75" customHeight="1" x14ac:dyDescent="0.2">
      <c r="A8803" s="21"/>
      <c r="B8803" s="21"/>
      <c r="C8803" s="8" t="s">
        <v>193</v>
      </c>
      <c r="D8803" s="1" t="str">
        <f>HYPERLINK("javascript:void(0)","kispárna")</f>
        <v>kispárna</v>
      </c>
    </row>
    <row r="8804" spans="1:4" ht="12.75" customHeight="1" x14ac:dyDescent="0.2">
      <c r="A8804" s="21"/>
      <c r="B8804" s="2"/>
      <c r="C8804" s="7"/>
      <c r="D8804" s="7"/>
    </row>
    <row r="8805" spans="1:4" ht="12.75" customHeight="1" x14ac:dyDescent="0.2">
      <c r="A8805" s="21"/>
      <c r="B8805" s="2"/>
      <c r="C8805" s="7"/>
      <c r="D8805" s="7"/>
    </row>
    <row r="8806" spans="1:4" ht="12.75" customHeight="1" x14ac:dyDescent="0.2">
      <c r="A8806" s="21"/>
      <c r="B8806" s="2"/>
      <c r="C8806" s="7"/>
      <c r="D8806" s="7"/>
    </row>
    <row r="8807" spans="1:4" ht="12.75" customHeight="1" x14ac:dyDescent="0.2">
      <c r="A8807" s="21"/>
      <c r="B8807" s="2"/>
      <c r="C8807" s="7"/>
      <c r="D8807" s="7"/>
    </row>
    <row r="8808" spans="1:4" ht="12.75" customHeight="1" x14ac:dyDescent="0.2">
      <c r="A8808" s="5"/>
      <c r="B8808" s="2"/>
      <c r="C8808" s="7"/>
      <c r="D8808" s="7"/>
    </row>
    <row r="8809" spans="1:4" ht="12.75" customHeight="1" x14ac:dyDescent="0.2">
      <c r="A8809" s="22" t="str">
        <f>HYPERLINK("javascript:void(0)","dracoacél antigrav csizma")</f>
        <v>dracoacél antigrav csizma</v>
      </c>
      <c r="B8809" s="21"/>
      <c r="C8809" s="21"/>
      <c r="D8809" s="21"/>
    </row>
    <row r="8810" spans="1:4" ht="12.75" customHeight="1" x14ac:dyDescent="0.2">
      <c r="A8810" s="20"/>
      <c r="B8810" s="2"/>
      <c r="C8810" s="7"/>
      <c r="D8810" s="7"/>
    </row>
    <row r="8811" spans="1:4" ht="12.75" customHeight="1" x14ac:dyDescent="0.2">
      <c r="A8811" s="21"/>
      <c r="B8811" s="3" t="s">
        <v>0</v>
      </c>
      <c r="C8811" s="23" t="s">
        <v>680</v>
      </c>
      <c r="D8811" s="21"/>
    </row>
    <row r="8812" spans="1:4" ht="12.75" customHeight="1" x14ac:dyDescent="0.2">
      <c r="A8812" s="21"/>
      <c r="B8812" s="3" t="s">
        <v>2</v>
      </c>
      <c r="C8812" s="23"/>
      <c r="D8812" s="21"/>
    </row>
    <row r="8813" spans="1:4" ht="12.75" customHeight="1" x14ac:dyDescent="0.2">
      <c r="A8813" s="21"/>
      <c r="B8813" s="3" t="s">
        <v>1840</v>
      </c>
      <c r="C8813" s="23" t="s">
        <v>1284</v>
      </c>
      <c r="D8813" s="21"/>
    </row>
    <row r="8814" spans="1:4" ht="12.75" customHeight="1" x14ac:dyDescent="0.2">
      <c r="A8814" s="21"/>
      <c r="B8814" s="3" t="s">
        <v>9</v>
      </c>
      <c r="C8814" s="23" t="s">
        <v>626</v>
      </c>
      <c r="D8814" s="21"/>
    </row>
    <row r="8815" spans="1:4" ht="12.75" customHeight="1" x14ac:dyDescent="0.2">
      <c r="A8815" s="21"/>
      <c r="B8815" s="3" t="s">
        <v>11</v>
      </c>
      <c r="C8815" s="23" t="s">
        <v>23</v>
      </c>
      <c r="D8815" s="21"/>
    </row>
    <row r="8816" spans="1:4" ht="12.75" customHeight="1" x14ac:dyDescent="0.2">
      <c r="A8816" s="21"/>
      <c r="B8816" s="3" t="s">
        <v>16</v>
      </c>
      <c r="C8816" s="23"/>
      <c r="D8816" s="21"/>
    </row>
    <row r="8817" spans="1:4" ht="12.75" customHeight="1" x14ac:dyDescent="0.2">
      <c r="A8817" s="21"/>
      <c r="B8817" s="3" t="s">
        <v>17</v>
      </c>
      <c r="C8817" s="23" t="s">
        <v>19</v>
      </c>
      <c r="D8817" s="21"/>
    </row>
    <row r="8818" spans="1:4" ht="25.5" customHeight="1" x14ac:dyDescent="0.2">
      <c r="A8818" s="21"/>
      <c r="B8818" s="20" t="s">
        <v>18</v>
      </c>
      <c r="C8818" s="8" t="s">
        <v>44</v>
      </c>
      <c r="D8818" s="1" t="str">
        <f>HYPERLINK("javascript:void(0)","démonacél antigrav csizma")</f>
        <v>démonacél antigrav csizma</v>
      </c>
    </row>
    <row r="8819" spans="1:4" ht="12.75" customHeight="1" x14ac:dyDescent="0.2">
      <c r="A8819" s="21"/>
      <c r="B8819" s="21"/>
      <c r="C8819" s="8" t="s">
        <v>139</v>
      </c>
      <c r="D8819" s="1" t="str">
        <f>HYPERLINK("javascript:void(0)","bajuszkötő")</f>
        <v>bajuszkötő</v>
      </c>
    </row>
    <row r="8820" spans="1:4" ht="12.75" customHeight="1" x14ac:dyDescent="0.2">
      <c r="A8820" s="21"/>
      <c r="B8820" s="21"/>
      <c r="C8820" s="8" t="s">
        <v>1085</v>
      </c>
      <c r="D8820" s="1" t="str">
        <f>HYPERLINK("javascript:void(0)","pamacsprém")</f>
        <v>pamacsprém</v>
      </c>
    </row>
    <row r="8821" spans="1:4" ht="12.75" customHeight="1" x14ac:dyDescent="0.2">
      <c r="A8821" s="21"/>
      <c r="B8821" s="2"/>
      <c r="C8821" s="7"/>
      <c r="D8821" s="7"/>
    </row>
    <row r="8822" spans="1:4" ht="12.75" customHeight="1" x14ac:dyDescent="0.2">
      <c r="A8822" s="21"/>
      <c r="B8822" s="2"/>
      <c r="C8822" s="7"/>
      <c r="D8822" s="7"/>
    </row>
    <row r="8823" spans="1:4" ht="12.75" customHeight="1" x14ac:dyDescent="0.2">
      <c r="A8823" s="21"/>
      <c r="B8823" s="2"/>
      <c r="C8823" s="7"/>
      <c r="D8823" s="7"/>
    </row>
    <row r="8824" spans="1:4" ht="12.75" customHeight="1" x14ac:dyDescent="0.2">
      <c r="A8824" s="21"/>
      <c r="B8824" s="2"/>
      <c r="C8824" s="7"/>
      <c r="D8824" s="7"/>
    </row>
    <row r="8825" spans="1:4" ht="12.75" customHeight="1" x14ac:dyDescent="0.2">
      <c r="A8825" s="5"/>
      <c r="B8825" s="2"/>
      <c r="C8825" s="7"/>
      <c r="D8825" s="7"/>
    </row>
    <row r="8826" spans="1:4" ht="12.75" customHeight="1" x14ac:dyDescent="0.2">
      <c r="A8826" s="22" t="str">
        <f>HYPERLINK("javascript:void(0)","teljes bronzvért")</f>
        <v>teljes bronzvért</v>
      </c>
      <c r="B8826" s="21"/>
      <c r="C8826" s="21"/>
      <c r="D8826" s="21"/>
    </row>
    <row r="8827" spans="1:4" ht="12.75" customHeight="1" x14ac:dyDescent="0.2">
      <c r="A8827" s="20"/>
      <c r="B8827" s="2"/>
      <c r="C8827" s="7"/>
      <c r="D8827" s="7"/>
    </row>
    <row r="8828" spans="1:4" ht="12.75" customHeight="1" x14ac:dyDescent="0.2">
      <c r="A8828" s="21"/>
      <c r="B8828" s="3" t="s">
        <v>0</v>
      </c>
      <c r="C8828" s="23" t="s">
        <v>690</v>
      </c>
      <c r="D8828" s="21"/>
    </row>
    <row r="8829" spans="1:4" ht="12.75" customHeight="1" x14ac:dyDescent="0.2">
      <c r="A8829" s="21"/>
      <c r="B8829" s="3" t="s">
        <v>2</v>
      </c>
      <c r="C8829" s="23" t="s">
        <v>2322</v>
      </c>
      <c r="D8829" s="21"/>
    </row>
    <row r="8830" spans="1:4" ht="12.75" customHeight="1" x14ac:dyDescent="0.2">
      <c r="A8830" s="21"/>
      <c r="B8830" s="3" t="s">
        <v>1840</v>
      </c>
      <c r="C8830" s="23" t="s">
        <v>2243</v>
      </c>
      <c r="D8830" s="21"/>
    </row>
    <row r="8831" spans="1:4" ht="12.75" customHeight="1" x14ac:dyDescent="0.2">
      <c r="A8831" s="21"/>
      <c r="B8831" s="3" t="s">
        <v>9</v>
      </c>
      <c r="C8831" s="23" t="s">
        <v>113</v>
      </c>
      <c r="D8831" s="21"/>
    </row>
    <row r="8832" spans="1:4" ht="12.75" customHeight="1" x14ac:dyDescent="0.2">
      <c r="A8832" s="21"/>
      <c r="B8832" s="3" t="s">
        <v>11</v>
      </c>
      <c r="C8832" s="23" t="s">
        <v>856</v>
      </c>
      <c r="D8832" s="21"/>
    </row>
    <row r="8833" spans="1:4" ht="12.75" customHeight="1" x14ac:dyDescent="0.2">
      <c r="A8833" s="21"/>
      <c r="B8833" s="3" t="s">
        <v>16</v>
      </c>
      <c r="C8833" s="23"/>
      <c r="D8833" s="21"/>
    </row>
    <row r="8834" spans="1:4" ht="12.75" customHeight="1" x14ac:dyDescent="0.2">
      <c r="A8834" s="21"/>
      <c r="B8834" s="3" t="s">
        <v>17</v>
      </c>
      <c r="C8834" s="23" t="s">
        <v>19</v>
      </c>
      <c r="D8834" s="21"/>
    </row>
    <row r="8835" spans="1:4" ht="12.75" customHeight="1" x14ac:dyDescent="0.2">
      <c r="A8835" s="21"/>
      <c r="B8835" s="20" t="s">
        <v>18</v>
      </c>
      <c r="C8835" s="8" t="s">
        <v>68</v>
      </c>
      <c r="D8835" s="1" t="str">
        <f>HYPERLINK("javascript:void(0)","hőgolyó")</f>
        <v>hőgolyó</v>
      </c>
    </row>
    <row r="8836" spans="1:4" ht="12.75" customHeight="1" x14ac:dyDescent="0.2">
      <c r="A8836" s="21"/>
      <c r="B8836" s="21"/>
      <c r="C8836" s="8" t="s">
        <v>117</v>
      </c>
      <c r="D8836" s="1" t="str">
        <f>HYPERLINK("javascript:void(0)","negatívum")</f>
        <v>negatívum</v>
      </c>
    </row>
    <row r="8837" spans="1:4" ht="12.75" customHeight="1" x14ac:dyDescent="0.2">
      <c r="A8837" s="21"/>
      <c r="B8837" s="21"/>
      <c r="C8837" s="8" t="s">
        <v>232</v>
      </c>
      <c r="D8837" s="1" t="str">
        <f>HYPERLINK("javascript:void(0)","bronzrög")</f>
        <v>bronzrög</v>
      </c>
    </row>
    <row r="8838" spans="1:4" ht="12.75" customHeight="1" x14ac:dyDescent="0.2">
      <c r="A8838" s="21"/>
      <c r="B8838" s="2"/>
      <c r="C8838" s="7"/>
      <c r="D8838" s="7"/>
    </row>
    <row r="8839" spans="1:4" ht="12.75" customHeight="1" x14ac:dyDescent="0.2">
      <c r="A8839" s="21"/>
      <c r="B8839" s="2"/>
      <c r="C8839" s="7"/>
      <c r="D8839" s="7"/>
    </row>
    <row r="8840" spans="1:4" ht="12.75" customHeight="1" x14ac:dyDescent="0.2">
      <c r="A8840" s="21"/>
      <c r="B8840" s="2"/>
      <c r="C8840" s="7"/>
      <c r="D8840" s="7"/>
    </row>
    <row r="8841" spans="1:4" ht="12.75" customHeight="1" x14ac:dyDescent="0.2">
      <c r="A8841" s="21"/>
      <c r="B8841" s="2"/>
      <c r="C8841" s="7"/>
      <c r="D8841" s="7"/>
    </row>
    <row r="8842" spans="1:4" ht="12.75" customHeight="1" x14ac:dyDescent="0.2">
      <c r="A8842" s="5"/>
      <c r="B8842" s="2"/>
      <c r="C8842" s="7"/>
      <c r="D8842" s="7"/>
    </row>
    <row r="8843" spans="1:4" ht="12.75" customHeight="1" x14ac:dyDescent="0.2">
      <c r="A8843" s="22" t="str">
        <f>HYPERLINK("javascript:void(0)","heves sisak")</f>
        <v>heves sisak</v>
      </c>
      <c r="B8843" s="21"/>
      <c r="C8843" s="21"/>
      <c r="D8843" s="21"/>
    </row>
    <row r="8844" spans="1:4" ht="12.75" customHeight="1" x14ac:dyDescent="0.2">
      <c r="A8844" s="20"/>
      <c r="B8844" s="2"/>
      <c r="C8844" s="7"/>
      <c r="D8844" s="7"/>
    </row>
    <row r="8845" spans="1:4" ht="12.75" customHeight="1" x14ac:dyDescent="0.2">
      <c r="A8845" s="21"/>
      <c r="B8845" s="3" t="s">
        <v>0</v>
      </c>
      <c r="C8845" s="23" t="s">
        <v>690</v>
      </c>
      <c r="D8845" s="21"/>
    </row>
    <row r="8846" spans="1:4" ht="12.75" customHeight="1" x14ac:dyDescent="0.2">
      <c r="A8846" s="21"/>
      <c r="B8846" s="3" t="s">
        <v>2</v>
      </c>
      <c r="C8846" s="23"/>
      <c r="D8846" s="21"/>
    </row>
    <row r="8847" spans="1:4" ht="12.75" customHeight="1" x14ac:dyDescent="0.2">
      <c r="A8847" s="21"/>
      <c r="B8847" s="3" t="s">
        <v>1840</v>
      </c>
      <c r="C8847" s="23" t="s">
        <v>2389</v>
      </c>
      <c r="D8847" s="21"/>
    </row>
    <row r="8848" spans="1:4" ht="12.75" customHeight="1" x14ac:dyDescent="0.2">
      <c r="A8848" s="21"/>
      <c r="B8848" s="3" t="s">
        <v>9</v>
      </c>
      <c r="C8848" s="23" t="s">
        <v>147</v>
      </c>
      <c r="D8848" s="21"/>
    </row>
    <row r="8849" spans="1:4" ht="12.75" customHeight="1" x14ac:dyDescent="0.2">
      <c r="A8849" s="21"/>
      <c r="B8849" s="3" t="s">
        <v>11</v>
      </c>
      <c r="C8849" s="23" t="s">
        <v>856</v>
      </c>
      <c r="D8849" s="21"/>
    </row>
    <row r="8850" spans="1:4" ht="12.75" customHeight="1" x14ac:dyDescent="0.2">
      <c r="A8850" s="21"/>
      <c r="B8850" s="3" t="s">
        <v>16</v>
      </c>
      <c r="C8850" s="23"/>
      <c r="D8850" s="21"/>
    </row>
    <row r="8851" spans="1:4" ht="12.75" customHeight="1" x14ac:dyDescent="0.2">
      <c r="A8851" s="21"/>
      <c r="B8851" s="3" t="s">
        <v>17</v>
      </c>
      <c r="C8851" s="23" t="s">
        <v>19</v>
      </c>
      <c r="D8851" s="21"/>
    </row>
    <row r="8852" spans="1:4" ht="12.75" customHeight="1" x14ac:dyDescent="0.2">
      <c r="A8852" s="21"/>
      <c r="B8852" s="20" t="s">
        <v>18</v>
      </c>
      <c r="C8852" s="8" t="s">
        <v>44</v>
      </c>
      <c r="D8852" s="1" t="str">
        <f>HYPERLINK("javascript:void(0)","fényes sisak")</f>
        <v>fényes sisak</v>
      </c>
    </row>
    <row r="8853" spans="1:4" ht="12.75" customHeight="1" x14ac:dyDescent="0.2">
      <c r="A8853" s="21"/>
      <c r="B8853" s="21"/>
      <c r="C8853" s="8" t="s">
        <v>77</v>
      </c>
      <c r="D8853" s="1" t="str">
        <f>HYPERLINK("javascript:void(0)","hőgolyó")</f>
        <v>hőgolyó</v>
      </c>
    </row>
    <row r="8854" spans="1:4" ht="12.75" customHeight="1" x14ac:dyDescent="0.2">
      <c r="A8854" s="21"/>
      <c r="B8854" s="21"/>
      <c r="C8854" s="8" t="s">
        <v>98</v>
      </c>
      <c r="D8854" s="1" t="str">
        <f>HYPERLINK("javascript:void(0)","vasorr")</f>
        <v>vasorr</v>
      </c>
    </row>
    <row r="8855" spans="1:4" ht="12.75" customHeight="1" x14ac:dyDescent="0.2">
      <c r="A8855" s="21"/>
      <c r="B8855" s="2"/>
      <c r="C8855" s="7"/>
      <c r="D8855" s="7"/>
    </row>
    <row r="8856" spans="1:4" ht="12.75" customHeight="1" x14ac:dyDescent="0.2">
      <c r="A8856" s="21"/>
      <c r="B8856" s="2"/>
      <c r="C8856" s="7"/>
      <c r="D8856" s="7"/>
    </row>
    <row r="8857" spans="1:4" ht="12.75" customHeight="1" x14ac:dyDescent="0.2">
      <c r="A8857" s="21"/>
      <c r="B8857" s="2"/>
      <c r="C8857" s="7"/>
      <c r="D8857" s="7"/>
    </row>
    <row r="8858" spans="1:4" ht="12.75" customHeight="1" x14ac:dyDescent="0.2">
      <c r="A8858" s="21"/>
      <c r="B8858" s="2"/>
      <c r="C8858" s="7"/>
      <c r="D8858" s="7"/>
    </row>
    <row r="8859" spans="1:4" ht="12.75" customHeight="1" x14ac:dyDescent="0.2">
      <c r="A8859" s="5"/>
      <c r="B8859" s="2"/>
      <c r="C8859" s="7"/>
      <c r="D8859" s="7"/>
    </row>
    <row r="8860" spans="1:4" ht="12.75" customHeight="1" x14ac:dyDescent="0.2">
      <c r="A8860" s="22" t="str">
        <f>HYPERLINK("javascript:void(0)","hypnoacél saru")</f>
        <v>hypnoacél saru</v>
      </c>
      <c r="B8860" s="21"/>
      <c r="C8860" s="21"/>
      <c r="D8860" s="21"/>
    </row>
    <row r="8861" spans="1:4" ht="12.75" customHeight="1" x14ac:dyDescent="0.2">
      <c r="A8861" s="20"/>
      <c r="B8861" s="2"/>
      <c r="C8861" s="7"/>
      <c r="D8861" s="7"/>
    </row>
    <row r="8862" spans="1:4" ht="12.75" customHeight="1" x14ac:dyDescent="0.2">
      <c r="A8862" s="21"/>
      <c r="B8862" s="3" t="s">
        <v>0</v>
      </c>
      <c r="C8862" s="23" t="s">
        <v>690</v>
      </c>
      <c r="D8862" s="21"/>
    </row>
    <row r="8863" spans="1:4" ht="12.75" customHeight="1" x14ac:dyDescent="0.2">
      <c r="A8863" s="21"/>
      <c r="B8863" s="3" t="s">
        <v>2</v>
      </c>
      <c r="C8863" s="23"/>
      <c r="D8863" s="21"/>
    </row>
    <row r="8864" spans="1:4" ht="12.75" customHeight="1" x14ac:dyDescent="0.2">
      <c r="A8864" s="21"/>
      <c r="B8864" s="3" t="s">
        <v>1840</v>
      </c>
      <c r="C8864" s="23" t="s">
        <v>2045</v>
      </c>
      <c r="D8864" s="21"/>
    </row>
    <row r="8865" spans="1:4" ht="12.75" customHeight="1" x14ac:dyDescent="0.2">
      <c r="A8865" s="21"/>
      <c r="B8865" s="3" t="s">
        <v>9</v>
      </c>
      <c r="C8865" s="23" t="s">
        <v>84</v>
      </c>
      <c r="D8865" s="21"/>
    </row>
    <row r="8866" spans="1:4" ht="12.75" customHeight="1" x14ac:dyDescent="0.2">
      <c r="A8866" s="21"/>
      <c r="B8866" s="3" t="s">
        <v>11</v>
      </c>
      <c r="C8866" s="23" t="s">
        <v>901</v>
      </c>
      <c r="D8866" s="21"/>
    </row>
    <row r="8867" spans="1:4" ht="12.75" customHeight="1" x14ac:dyDescent="0.2">
      <c r="A8867" s="21"/>
      <c r="B8867" s="3" t="s">
        <v>16</v>
      </c>
      <c r="C8867" s="23"/>
      <c r="D8867" s="21"/>
    </row>
    <row r="8868" spans="1:4" ht="12.75" customHeight="1" x14ac:dyDescent="0.2">
      <c r="A8868" s="21"/>
      <c r="B8868" s="3" t="s">
        <v>17</v>
      </c>
      <c r="C8868" s="23" t="s">
        <v>19</v>
      </c>
      <c r="D8868" s="21"/>
    </row>
    <row r="8869" spans="1:4" ht="12.75" customHeight="1" x14ac:dyDescent="0.2">
      <c r="A8869" s="21"/>
      <c r="B8869" s="20" t="s">
        <v>18</v>
      </c>
      <c r="C8869" s="8" t="s">
        <v>44</v>
      </c>
      <c r="D8869" s="1" t="str">
        <f>HYPERLINK("javascript:void(0)","helioacél saru")</f>
        <v>helioacél saru</v>
      </c>
    </row>
    <row r="8870" spans="1:4" ht="12.75" customHeight="1" x14ac:dyDescent="0.2">
      <c r="A8870" s="21"/>
      <c r="B8870" s="21"/>
      <c r="C8870" s="8" t="s">
        <v>44</v>
      </c>
      <c r="D8870" s="1" t="str">
        <f>HYPERLINK("javascript:void(0)","artini saru")</f>
        <v>artini saru</v>
      </c>
    </row>
    <row r="8871" spans="1:4" ht="12.75" customHeight="1" x14ac:dyDescent="0.2">
      <c r="A8871" s="21"/>
      <c r="B8871" s="21"/>
      <c r="C8871" s="8" t="s">
        <v>44</v>
      </c>
      <c r="D8871" s="1" t="str">
        <f>HYPERLINK("javascript:void(0)","hypnoacél talp")</f>
        <v>hypnoacél talp</v>
      </c>
    </row>
    <row r="8872" spans="1:4" ht="12.75" customHeight="1" x14ac:dyDescent="0.2">
      <c r="A8872" s="21"/>
      <c r="B8872" s="2"/>
      <c r="C8872" s="7"/>
      <c r="D8872" s="7"/>
    </row>
    <row r="8873" spans="1:4" ht="12.75" customHeight="1" x14ac:dyDescent="0.2">
      <c r="A8873" s="21"/>
      <c r="B8873" s="2"/>
      <c r="C8873" s="7"/>
      <c r="D8873" s="7"/>
    </row>
    <row r="8874" spans="1:4" ht="12.75" customHeight="1" x14ac:dyDescent="0.2">
      <c r="A8874" s="21"/>
      <c r="B8874" s="2"/>
      <c r="C8874" s="7"/>
      <c r="D8874" s="7"/>
    </row>
    <row r="8875" spans="1:4" ht="12.75" customHeight="1" x14ac:dyDescent="0.2">
      <c r="A8875" s="21"/>
      <c r="B8875" s="2"/>
      <c r="C8875" s="7"/>
      <c r="D8875" s="7"/>
    </row>
    <row r="8876" spans="1:4" ht="12.75" customHeight="1" x14ac:dyDescent="0.2">
      <c r="A8876" s="5"/>
      <c r="B8876" s="2"/>
      <c r="C8876" s="7"/>
      <c r="D8876" s="7"/>
    </row>
    <row r="8877" spans="1:4" ht="12.75" customHeight="1" x14ac:dyDescent="0.2">
      <c r="A8877" s="22" t="str">
        <f>HYPERLINK("javascript:void(0)","harmatacél pajzs")</f>
        <v>harmatacél pajzs</v>
      </c>
      <c r="B8877" s="21"/>
      <c r="C8877" s="21"/>
      <c r="D8877" s="21"/>
    </row>
    <row r="8878" spans="1:4" ht="12.75" customHeight="1" x14ac:dyDescent="0.2">
      <c r="A8878" s="20"/>
      <c r="B8878" s="2"/>
      <c r="C8878" s="7"/>
      <c r="D8878" s="7"/>
    </row>
    <row r="8879" spans="1:4" ht="12.75" customHeight="1" x14ac:dyDescent="0.2">
      <c r="A8879" s="21"/>
      <c r="B8879" s="3" t="s">
        <v>0</v>
      </c>
      <c r="C8879" s="23" t="s">
        <v>690</v>
      </c>
      <c r="D8879" s="21"/>
    </row>
    <row r="8880" spans="1:4" ht="12.75" customHeight="1" x14ac:dyDescent="0.2">
      <c r="A8880" s="21"/>
      <c r="B8880" s="3" t="s">
        <v>2</v>
      </c>
      <c r="C8880" s="23" t="s">
        <v>1839</v>
      </c>
      <c r="D8880" s="21"/>
    </row>
    <row r="8881" spans="1:4" ht="12.75" customHeight="1" x14ac:dyDescent="0.2">
      <c r="A8881" s="21"/>
      <c r="B8881" s="3" t="s">
        <v>1840</v>
      </c>
      <c r="C8881" s="23" t="s">
        <v>1770</v>
      </c>
      <c r="D8881" s="21"/>
    </row>
    <row r="8882" spans="1:4" ht="12.75" customHeight="1" x14ac:dyDescent="0.2">
      <c r="A8882" s="21"/>
      <c r="B8882" s="3" t="s">
        <v>9</v>
      </c>
      <c r="C8882" s="23" t="s">
        <v>377</v>
      </c>
      <c r="D8882" s="21"/>
    </row>
    <row r="8883" spans="1:4" ht="12.75" customHeight="1" x14ac:dyDescent="0.2">
      <c r="A8883" s="21"/>
      <c r="B8883" s="3" t="s">
        <v>11</v>
      </c>
      <c r="C8883" s="23" t="s">
        <v>1015</v>
      </c>
      <c r="D8883" s="21"/>
    </row>
    <row r="8884" spans="1:4" ht="12.75" customHeight="1" x14ac:dyDescent="0.2">
      <c r="A8884" s="21"/>
      <c r="B8884" s="3" t="s">
        <v>16</v>
      </c>
      <c r="C8884" s="23"/>
      <c r="D8884" s="21"/>
    </row>
    <row r="8885" spans="1:4" ht="12.75" customHeight="1" x14ac:dyDescent="0.2">
      <c r="A8885" s="21"/>
      <c r="B8885" s="3" t="s">
        <v>17</v>
      </c>
      <c r="C8885" s="23" t="s">
        <v>19</v>
      </c>
      <c r="D8885" s="21"/>
    </row>
    <row r="8886" spans="1:4" ht="12.75" customHeight="1" x14ac:dyDescent="0.2">
      <c r="A8886" s="21"/>
      <c r="B8886" s="20" t="s">
        <v>18</v>
      </c>
      <c r="C8886" s="8" t="s">
        <v>44</v>
      </c>
      <c r="D8886" s="1" t="str">
        <f>HYPERLINK("javascript:void(0)","medúza pajzs")</f>
        <v>medúza pajzs</v>
      </c>
    </row>
    <row r="8887" spans="1:4" ht="12.75" customHeight="1" x14ac:dyDescent="0.2">
      <c r="A8887" s="21"/>
      <c r="B8887" s="21"/>
      <c r="C8887" s="8" t="s">
        <v>139</v>
      </c>
      <c r="D8887" s="1" t="str">
        <f>HYPERLINK("javascript:void(0)","harmatcsepp")</f>
        <v>harmatcsepp</v>
      </c>
    </row>
    <row r="8888" spans="1:4" ht="12.75" customHeight="1" x14ac:dyDescent="0.2">
      <c r="A8888" s="21"/>
      <c r="B8888" s="21"/>
      <c r="C8888" s="8" t="s">
        <v>193</v>
      </c>
      <c r="D8888" s="1" t="str">
        <f>HYPERLINK("javascript:void(0)","lux")</f>
        <v>lux</v>
      </c>
    </row>
    <row r="8889" spans="1:4" ht="12.75" customHeight="1" x14ac:dyDescent="0.2">
      <c r="A8889" s="21"/>
      <c r="B8889" s="2"/>
      <c r="C8889" s="7"/>
      <c r="D8889" s="7"/>
    </row>
    <row r="8890" spans="1:4" ht="12.75" customHeight="1" x14ac:dyDescent="0.2">
      <c r="A8890" s="21"/>
      <c r="B8890" s="2"/>
      <c r="C8890" s="7"/>
      <c r="D8890" s="7"/>
    </row>
    <row r="8891" spans="1:4" ht="12.75" customHeight="1" x14ac:dyDescent="0.2">
      <c r="A8891" s="21"/>
      <c r="B8891" s="2"/>
      <c r="C8891" s="7"/>
      <c r="D8891" s="7"/>
    </row>
    <row r="8892" spans="1:4" ht="12.75" customHeight="1" x14ac:dyDescent="0.2">
      <c r="A8892" s="21"/>
      <c r="B8892" s="2"/>
      <c r="C8892" s="7"/>
      <c r="D8892" s="7"/>
    </row>
    <row r="8893" spans="1:4" ht="12.75" customHeight="1" x14ac:dyDescent="0.2">
      <c r="A8893" s="5"/>
      <c r="B8893" s="2"/>
      <c r="C8893" s="7"/>
      <c r="D8893" s="7"/>
    </row>
    <row r="8894" spans="1:4" ht="12.75" customHeight="1" x14ac:dyDescent="0.2">
      <c r="A8894" s="22" t="str">
        <f>HYPERLINK("javascript:void(0)","skivei illanat")</f>
        <v>skivei illanat</v>
      </c>
      <c r="B8894" s="21"/>
      <c r="C8894" s="21"/>
      <c r="D8894" s="21"/>
    </row>
    <row r="8895" spans="1:4" ht="12.75" customHeight="1" x14ac:dyDescent="0.2">
      <c r="A8895" s="20"/>
      <c r="B8895" s="2"/>
      <c r="C8895" s="7"/>
      <c r="D8895" s="7"/>
    </row>
    <row r="8896" spans="1:4" ht="12.75" customHeight="1" x14ac:dyDescent="0.2">
      <c r="A8896" s="21"/>
      <c r="B8896" s="3" t="s">
        <v>0</v>
      </c>
      <c r="C8896" s="23" t="s">
        <v>690</v>
      </c>
      <c r="D8896" s="21"/>
    </row>
    <row r="8897" spans="1:4" ht="12.75" customHeight="1" x14ac:dyDescent="0.2">
      <c r="A8897" s="21"/>
      <c r="B8897" s="3" t="s">
        <v>2</v>
      </c>
      <c r="C8897" s="23" t="s">
        <v>1839</v>
      </c>
      <c r="D8897" s="21"/>
    </row>
    <row r="8898" spans="1:4" ht="12.75" customHeight="1" x14ac:dyDescent="0.2">
      <c r="A8898" s="21"/>
      <c r="B8898" s="3" t="s">
        <v>1840</v>
      </c>
      <c r="C8898" s="23" t="s">
        <v>1770</v>
      </c>
      <c r="D8898" s="21"/>
    </row>
    <row r="8899" spans="1:4" ht="12.75" customHeight="1" x14ac:dyDescent="0.2">
      <c r="A8899" s="21"/>
      <c r="B8899" s="3" t="s">
        <v>9</v>
      </c>
      <c r="C8899" s="23" t="s">
        <v>2092</v>
      </c>
      <c r="D8899" s="21"/>
    </row>
    <row r="8900" spans="1:4" ht="12.75" customHeight="1" x14ac:dyDescent="0.2">
      <c r="A8900" s="21"/>
      <c r="B8900" s="3" t="s">
        <v>11</v>
      </c>
      <c r="C8900" s="23" t="s">
        <v>1055</v>
      </c>
      <c r="D8900" s="21"/>
    </row>
    <row r="8901" spans="1:4" ht="12.75" customHeight="1" x14ac:dyDescent="0.2">
      <c r="A8901" s="21"/>
      <c r="B8901" s="3" t="s">
        <v>16</v>
      </c>
      <c r="C8901" s="23"/>
      <c r="D8901" s="21"/>
    </row>
    <row r="8902" spans="1:4" ht="12.75" customHeight="1" x14ac:dyDescent="0.2">
      <c r="A8902" s="21"/>
      <c r="B8902" s="3" t="s">
        <v>17</v>
      </c>
      <c r="C8902" s="23" t="s">
        <v>19</v>
      </c>
      <c r="D8902" s="21"/>
    </row>
    <row r="8903" spans="1:4" ht="12.75" customHeight="1" x14ac:dyDescent="0.2">
      <c r="A8903" s="21"/>
      <c r="B8903" s="20" t="s">
        <v>18</v>
      </c>
      <c r="C8903" s="8" t="s">
        <v>44</v>
      </c>
      <c r="D8903" s="1" t="str">
        <f>HYPERLINK("javascript:void(0)","harmatacél pajzs")</f>
        <v>harmatacél pajzs</v>
      </c>
    </row>
    <row r="8904" spans="1:4" ht="12.75" customHeight="1" x14ac:dyDescent="0.2">
      <c r="A8904" s="21"/>
      <c r="B8904" s="21"/>
      <c r="C8904" s="8" t="s">
        <v>98</v>
      </c>
      <c r="D8904" s="1" t="str">
        <f>HYPERLINK("javascript:void(0)","hőgolyó")</f>
        <v>hőgolyó</v>
      </c>
    </row>
    <row r="8905" spans="1:4" ht="12.75" customHeight="1" x14ac:dyDescent="0.2">
      <c r="A8905" s="21"/>
      <c r="B8905" s="21"/>
      <c r="C8905" s="8" t="s">
        <v>98</v>
      </c>
      <c r="D8905" s="1" t="str">
        <f>HYPERLINK("javascript:void(0)","kárópikkely")</f>
        <v>kárópikkely</v>
      </c>
    </row>
    <row r="8906" spans="1:4" ht="12.75" customHeight="1" x14ac:dyDescent="0.2">
      <c r="A8906" s="21"/>
      <c r="B8906" s="2"/>
      <c r="C8906" s="7"/>
      <c r="D8906" s="7"/>
    </row>
    <row r="8907" spans="1:4" ht="12.75" customHeight="1" x14ac:dyDescent="0.2">
      <c r="A8907" s="21"/>
      <c r="B8907" s="2"/>
      <c r="C8907" s="7"/>
      <c r="D8907" s="7"/>
    </row>
    <row r="8908" spans="1:4" ht="12.75" customHeight="1" x14ac:dyDescent="0.2">
      <c r="A8908" s="21"/>
      <c r="B8908" s="2"/>
      <c r="C8908" s="7"/>
      <c r="D8908" s="7"/>
    </row>
    <row r="8909" spans="1:4" ht="12.75" customHeight="1" x14ac:dyDescent="0.2">
      <c r="A8909" s="21"/>
      <c r="B8909" s="2"/>
      <c r="C8909" s="7"/>
      <c r="D8909" s="7"/>
    </row>
    <row r="8910" spans="1:4" ht="12.75" customHeight="1" x14ac:dyDescent="0.2">
      <c r="A8910" s="5"/>
      <c r="B8910" s="2"/>
      <c r="C8910" s="7"/>
      <c r="D8910" s="7"/>
    </row>
    <row r="8911" spans="1:4" ht="12.75" customHeight="1" x14ac:dyDescent="0.2">
      <c r="A8911" s="22" t="str">
        <f>HYPERLINK("javascript:void(0)","vas páncéllemez")</f>
        <v>vas páncéllemez</v>
      </c>
      <c r="B8911" s="21"/>
      <c r="C8911" s="21"/>
      <c r="D8911" s="21"/>
    </row>
    <row r="8912" spans="1:4" ht="12.75" customHeight="1" x14ac:dyDescent="0.2">
      <c r="A8912" s="20"/>
      <c r="B8912" s="2"/>
      <c r="C8912" s="7"/>
      <c r="D8912" s="7"/>
    </row>
    <row r="8913" spans="1:4" ht="12.75" customHeight="1" x14ac:dyDescent="0.2">
      <c r="A8913" s="21"/>
      <c r="B8913" s="3" t="s">
        <v>0</v>
      </c>
      <c r="C8913" s="23" t="s">
        <v>690</v>
      </c>
      <c r="D8913" s="21"/>
    </row>
    <row r="8914" spans="1:4" ht="12.75" customHeight="1" x14ac:dyDescent="0.2">
      <c r="A8914" s="21"/>
      <c r="B8914" s="3" t="s">
        <v>2</v>
      </c>
      <c r="C8914" s="23"/>
      <c r="D8914" s="21"/>
    </row>
    <row r="8915" spans="1:4" ht="12.75" customHeight="1" x14ac:dyDescent="0.2">
      <c r="A8915" s="21"/>
      <c r="B8915" s="3" t="s">
        <v>1840</v>
      </c>
      <c r="C8915" s="23" t="s">
        <v>115</v>
      </c>
      <c r="D8915" s="21"/>
    </row>
    <row r="8916" spans="1:4" ht="12.75" customHeight="1" x14ac:dyDescent="0.2">
      <c r="A8916" s="21"/>
      <c r="B8916" s="3" t="s">
        <v>9</v>
      </c>
      <c r="C8916" s="23" t="s">
        <v>42</v>
      </c>
      <c r="D8916" s="21"/>
    </row>
    <row r="8917" spans="1:4" ht="12.75" customHeight="1" x14ac:dyDescent="0.2">
      <c r="A8917" s="21"/>
      <c r="B8917" s="3" t="s">
        <v>11</v>
      </c>
      <c r="C8917" s="23" t="s">
        <v>368</v>
      </c>
      <c r="D8917" s="21"/>
    </row>
    <row r="8918" spans="1:4" ht="12.75" customHeight="1" x14ac:dyDescent="0.2">
      <c r="A8918" s="21"/>
      <c r="B8918" s="3" t="s">
        <v>16</v>
      </c>
      <c r="C8918" s="23"/>
      <c r="D8918" s="21"/>
    </row>
    <row r="8919" spans="1:4" ht="12.75" customHeight="1" x14ac:dyDescent="0.2">
      <c r="A8919" s="21"/>
      <c r="B8919" s="3" t="s">
        <v>17</v>
      </c>
      <c r="C8919" s="23" t="s">
        <v>19</v>
      </c>
      <c r="D8919" s="21"/>
    </row>
    <row r="8920" spans="1:4" ht="12.75" customHeight="1" x14ac:dyDescent="0.2">
      <c r="A8920" s="21"/>
      <c r="B8920" s="20" t="s">
        <v>18</v>
      </c>
      <c r="C8920" s="8" t="s">
        <v>68</v>
      </c>
      <c r="D8920" s="1" t="str">
        <f>HYPERLINK("javascript:void(0)","gőg")</f>
        <v>gőg</v>
      </c>
    </row>
    <row r="8921" spans="1:4" ht="12.75" customHeight="1" x14ac:dyDescent="0.2">
      <c r="A8921" s="21"/>
      <c r="B8921" s="21"/>
      <c r="C8921" s="8" t="s">
        <v>232</v>
      </c>
      <c r="D8921" s="1" t="str">
        <f>HYPERLINK("javascript:void(0)","vasrög")</f>
        <v>vasrög</v>
      </c>
    </row>
    <row r="8922" spans="1:4" ht="12.75" customHeight="1" x14ac:dyDescent="0.2">
      <c r="A8922" s="21"/>
      <c r="B8922" s="21"/>
      <c r="C8922" s="8" t="s">
        <v>309</v>
      </c>
      <c r="D8922" s="1" t="str">
        <f>HYPERLINK("javascript:void(0)","lux")</f>
        <v>lux</v>
      </c>
    </row>
    <row r="8923" spans="1:4" ht="12.75" customHeight="1" x14ac:dyDescent="0.2">
      <c r="A8923" s="21"/>
      <c r="B8923" s="2"/>
      <c r="C8923" s="7"/>
      <c r="D8923" s="7"/>
    </row>
    <row r="8924" spans="1:4" ht="12.75" customHeight="1" x14ac:dyDescent="0.2">
      <c r="A8924" s="21"/>
      <c r="B8924" s="2"/>
      <c r="C8924" s="7"/>
      <c r="D8924" s="7"/>
    </row>
    <row r="8925" spans="1:4" ht="12.75" customHeight="1" x14ac:dyDescent="0.2">
      <c r="A8925" s="21"/>
      <c r="B8925" s="2"/>
      <c r="C8925" s="7"/>
      <c r="D8925" s="7"/>
    </row>
    <row r="8926" spans="1:4" ht="12.75" customHeight="1" x14ac:dyDescent="0.2">
      <c r="A8926" s="21"/>
      <c r="B8926" s="2"/>
      <c r="C8926" s="7"/>
      <c r="D8926" s="7"/>
    </row>
    <row r="8927" spans="1:4" ht="12.75" customHeight="1" x14ac:dyDescent="0.2">
      <c r="A8927" s="5"/>
      <c r="B8927" s="2"/>
      <c r="C8927" s="7"/>
      <c r="D8927" s="7"/>
    </row>
    <row r="8928" spans="1:4" ht="12.75" customHeight="1" x14ac:dyDescent="0.2">
      <c r="A8928" s="22" t="str">
        <f>HYPERLINK("javascript:void(0)","teljes vasvért")</f>
        <v>teljes vasvért</v>
      </c>
      <c r="B8928" s="21"/>
      <c r="C8928" s="21"/>
      <c r="D8928" s="21"/>
    </row>
    <row r="8929" spans="1:4" ht="12.75" customHeight="1" x14ac:dyDescent="0.2">
      <c r="A8929" s="20"/>
      <c r="B8929" s="2"/>
      <c r="C8929" s="7"/>
      <c r="D8929" s="7"/>
    </row>
    <row r="8930" spans="1:4" ht="12.75" customHeight="1" x14ac:dyDescent="0.2">
      <c r="A8930" s="21"/>
      <c r="B8930" s="3" t="s">
        <v>0</v>
      </c>
      <c r="C8930" s="23" t="s">
        <v>699</v>
      </c>
      <c r="D8930" s="21"/>
    </row>
    <row r="8931" spans="1:4" ht="12.75" customHeight="1" x14ac:dyDescent="0.2">
      <c r="A8931" s="21"/>
      <c r="B8931" s="3" t="s">
        <v>2</v>
      </c>
      <c r="C8931" s="23" t="s">
        <v>2322</v>
      </c>
      <c r="D8931" s="21"/>
    </row>
    <row r="8932" spans="1:4" ht="12.75" customHeight="1" x14ac:dyDescent="0.2">
      <c r="A8932" s="21"/>
      <c r="B8932" s="3" t="s">
        <v>1840</v>
      </c>
      <c r="C8932" s="23" t="s">
        <v>285</v>
      </c>
      <c r="D8932" s="21"/>
    </row>
    <row r="8933" spans="1:4" ht="12.75" customHeight="1" x14ac:dyDescent="0.2">
      <c r="A8933" s="21"/>
      <c r="B8933" s="3" t="s">
        <v>9</v>
      </c>
      <c r="C8933" s="23" t="s">
        <v>233</v>
      </c>
      <c r="D8933" s="21"/>
    </row>
    <row r="8934" spans="1:4" ht="12.75" customHeight="1" x14ac:dyDescent="0.2">
      <c r="A8934" s="21"/>
      <c r="B8934" s="3" t="s">
        <v>11</v>
      </c>
      <c r="C8934" s="23" t="s">
        <v>879</v>
      </c>
      <c r="D8934" s="21"/>
    </row>
    <row r="8935" spans="1:4" ht="12.75" customHeight="1" x14ac:dyDescent="0.2">
      <c r="A8935" s="21"/>
      <c r="B8935" s="3" t="s">
        <v>16</v>
      </c>
      <c r="C8935" s="23"/>
      <c r="D8935" s="21"/>
    </row>
    <row r="8936" spans="1:4" ht="12.75" customHeight="1" x14ac:dyDescent="0.2">
      <c r="A8936" s="21"/>
      <c r="B8936" s="3" t="s">
        <v>17</v>
      </c>
      <c r="C8936" s="23" t="s">
        <v>19</v>
      </c>
      <c r="D8936" s="21"/>
    </row>
    <row r="8937" spans="1:4" ht="12.75" customHeight="1" x14ac:dyDescent="0.2">
      <c r="A8937" s="21"/>
      <c r="B8937" s="20" t="s">
        <v>18</v>
      </c>
      <c r="C8937" s="8" t="s">
        <v>44</v>
      </c>
      <c r="D8937" s="1" t="str">
        <f>HYPERLINK("javascript:void(0)","teljes rézvért")</f>
        <v>teljes rézvért</v>
      </c>
    </row>
    <row r="8938" spans="1:4" ht="12.75" customHeight="1" x14ac:dyDescent="0.2">
      <c r="A8938" s="21"/>
      <c r="B8938" s="21"/>
      <c r="C8938" s="8" t="s">
        <v>44</v>
      </c>
      <c r="D8938" s="1" t="str">
        <f>HYPERLINK("javascript:void(0)","teljes bronzvért")</f>
        <v>teljes bronzvért</v>
      </c>
    </row>
    <row r="8939" spans="1:4" ht="12.75" customHeight="1" x14ac:dyDescent="0.2">
      <c r="A8939" s="21"/>
      <c r="B8939" s="21"/>
      <c r="C8939" s="8" t="s">
        <v>44</v>
      </c>
      <c r="D8939" s="1" t="str">
        <f>HYPERLINK("javascript:void(0)","vas páncéllemez")</f>
        <v>vas páncéllemez</v>
      </c>
    </row>
    <row r="8940" spans="1:4" ht="12.75" customHeight="1" x14ac:dyDescent="0.2">
      <c r="A8940" s="21"/>
      <c r="B8940" s="2"/>
      <c r="C8940" s="7"/>
      <c r="D8940" s="7"/>
    </row>
    <row r="8941" spans="1:4" ht="12.75" customHeight="1" x14ac:dyDescent="0.2">
      <c r="A8941" s="21"/>
      <c r="B8941" s="2"/>
      <c r="C8941" s="7"/>
      <c r="D8941" s="7"/>
    </row>
    <row r="8942" spans="1:4" ht="12.75" customHeight="1" x14ac:dyDescent="0.2">
      <c r="A8942" s="21"/>
      <c r="B8942" s="2"/>
      <c r="C8942" s="7"/>
      <c r="D8942" s="7"/>
    </row>
    <row r="8943" spans="1:4" ht="12.75" customHeight="1" x14ac:dyDescent="0.2">
      <c r="A8943" s="21"/>
      <c r="B8943" s="2"/>
      <c r="C8943" s="7"/>
      <c r="D8943" s="7"/>
    </row>
    <row r="8944" spans="1:4" ht="12.75" customHeight="1" x14ac:dyDescent="0.2">
      <c r="A8944" s="5"/>
      <c r="B8944" s="2"/>
      <c r="C8944" s="7"/>
      <c r="D8944" s="7"/>
    </row>
    <row r="8945" spans="1:4" ht="12.75" customHeight="1" x14ac:dyDescent="0.2">
      <c r="A8945" s="22" t="str">
        <f>HYPERLINK("javascript:void(0)","fűrészsörtéjű sisak")</f>
        <v>fűrészsörtéjű sisak</v>
      </c>
      <c r="B8945" s="21"/>
      <c r="C8945" s="21"/>
      <c r="D8945" s="21"/>
    </row>
    <row r="8946" spans="1:4" ht="12.75" customHeight="1" x14ac:dyDescent="0.2">
      <c r="A8946" s="20"/>
      <c r="B8946" s="2"/>
      <c r="C8946" s="7"/>
      <c r="D8946" s="7"/>
    </row>
    <row r="8947" spans="1:4" ht="12.75" customHeight="1" x14ac:dyDescent="0.2">
      <c r="A8947" s="21"/>
      <c r="B8947" s="3" t="s">
        <v>0</v>
      </c>
      <c r="C8947" s="23" t="s">
        <v>699</v>
      </c>
      <c r="D8947" s="21"/>
    </row>
    <row r="8948" spans="1:4" ht="12.75" customHeight="1" x14ac:dyDescent="0.2">
      <c r="A8948" s="21"/>
      <c r="B8948" s="3" t="s">
        <v>2</v>
      </c>
      <c r="C8948" s="23"/>
      <c r="D8948" s="21"/>
    </row>
    <row r="8949" spans="1:4" ht="12.75" customHeight="1" x14ac:dyDescent="0.2">
      <c r="A8949" s="21"/>
      <c r="B8949" s="3" t="s">
        <v>1840</v>
      </c>
      <c r="C8949" s="23" t="s">
        <v>4016</v>
      </c>
      <c r="D8949" s="21"/>
    </row>
    <row r="8950" spans="1:4" ht="12.75" customHeight="1" x14ac:dyDescent="0.2">
      <c r="A8950" s="21"/>
      <c r="B8950" s="3" t="s">
        <v>9</v>
      </c>
      <c r="C8950" s="23" t="s">
        <v>36</v>
      </c>
      <c r="D8950" s="21"/>
    </row>
    <row r="8951" spans="1:4" ht="12.75" customHeight="1" x14ac:dyDescent="0.2">
      <c r="A8951" s="21"/>
      <c r="B8951" s="3" t="s">
        <v>11</v>
      </c>
      <c r="C8951" s="23" t="s">
        <v>879</v>
      </c>
      <c r="D8951" s="21"/>
    </row>
    <row r="8952" spans="1:4" ht="12.75" customHeight="1" x14ac:dyDescent="0.2">
      <c r="A8952" s="21"/>
      <c r="B8952" s="3" t="s">
        <v>16</v>
      </c>
      <c r="C8952" s="23"/>
      <c r="D8952" s="21"/>
    </row>
    <row r="8953" spans="1:4" ht="12.75" customHeight="1" x14ac:dyDescent="0.2">
      <c r="A8953" s="21"/>
      <c r="B8953" s="3" t="s">
        <v>17</v>
      </c>
      <c r="C8953" s="23" t="s">
        <v>19</v>
      </c>
      <c r="D8953" s="21"/>
    </row>
    <row r="8954" spans="1:4" ht="12.75" customHeight="1" x14ac:dyDescent="0.2">
      <c r="A8954" s="21"/>
      <c r="B8954" s="20" t="s">
        <v>18</v>
      </c>
      <c r="C8954" s="8" t="s">
        <v>193</v>
      </c>
      <c r="D8954" s="1" t="str">
        <f>HYPERLINK("javascript:void(0)","fűrészfog")</f>
        <v>fűrészfog</v>
      </c>
    </row>
    <row r="8955" spans="1:4" ht="12.75" customHeight="1" x14ac:dyDescent="0.2">
      <c r="A8955" s="21"/>
      <c r="B8955" s="21"/>
      <c r="C8955" s="8" t="s">
        <v>67</v>
      </c>
      <c r="D8955" s="1" t="str">
        <f>HYPERLINK("javascript:void(0)","tincs")</f>
        <v>tincs</v>
      </c>
    </row>
    <row r="8956" spans="1:4" ht="12.75" customHeight="1" x14ac:dyDescent="0.2">
      <c r="A8956" s="21"/>
      <c r="B8956" s="21"/>
      <c r="C8956" s="8" t="s">
        <v>244</v>
      </c>
      <c r="D8956" s="1" t="str">
        <f>HYPERLINK("javascript:void(0)","tudásmorzsa")</f>
        <v>tudásmorzsa</v>
      </c>
    </row>
    <row r="8957" spans="1:4" ht="12.75" customHeight="1" x14ac:dyDescent="0.2">
      <c r="A8957" s="21"/>
      <c r="B8957" s="2"/>
      <c r="C8957" s="7"/>
      <c r="D8957" s="7"/>
    </row>
    <row r="8958" spans="1:4" ht="12.75" customHeight="1" x14ac:dyDescent="0.2">
      <c r="A8958" s="21"/>
      <c r="B8958" s="2"/>
      <c r="C8958" s="7"/>
      <c r="D8958" s="7"/>
    </row>
    <row r="8959" spans="1:4" ht="12.75" customHeight="1" x14ac:dyDescent="0.2">
      <c r="A8959" s="21"/>
      <c r="B8959" s="2"/>
      <c r="C8959" s="7"/>
      <c r="D8959" s="7"/>
    </row>
    <row r="8960" spans="1:4" ht="12.75" customHeight="1" x14ac:dyDescent="0.2">
      <c r="A8960" s="21"/>
      <c r="B8960" s="2"/>
      <c r="C8960" s="7"/>
      <c r="D8960" s="7"/>
    </row>
    <row r="8961" spans="1:4" ht="12.75" customHeight="1" x14ac:dyDescent="0.2">
      <c r="A8961" s="5"/>
      <c r="B8961" s="2"/>
      <c r="C8961" s="7"/>
      <c r="D8961" s="7"/>
    </row>
    <row r="8962" spans="1:4" ht="12.75" customHeight="1" x14ac:dyDescent="0.2">
      <c r="A8962" s="22" t="str">
        <f>HYPERLINK("javascript:void(0)","thordi saru")</f>
        <v>thordi saru</v>
      </c>
      <c r="B8962" s="21"/>
      <c r="C8962" s="21"/>
      <c r="D8962" s="21"/>
    </row>
    <row r="8963" spans="1:4" ht="12.75" customHeight="1" x14ac:dyDescent="0.2">
      <c r="A8963" s="20"/>
      <c r="B8963" s="2"/>
      <c r="C8963" s="7"/>
      <c r="D8963" s="7"/>
    </row>
    <row r="8964" spans="1:4" ht="12.75" customHeight="1" x14ac:dyDescent="0.2">
      <c r="A8964" s="21"/>
      <c r="B8964" s="3" t="s">
        <v>0</v>
      </c>
      <c r="C8964" s="23" t="s">
        <v>699</v>
      </c>
      <c r="D8964" s="21"/>
    </row>
    <row r="8965" spans="1:4" ht="12.75" customHeight="1" x14ac:dyDescent="0.2">
      <c r="A8965" s="21"/>
      <c r="B8965" s="3" t="s">
        <v>2</v>
      </c>
      <c r="C8965" s="23"/>
      <c r="D8965" s="21"/>
    </row>
    <row r="8966" spans="1:4" ht="12.75" customHeight="1" x14ac:dyDescent="0.2">
      <c r="A8966" s="21"/>
      <c r="B8966" s="3" t="s">
        <v>1840</v>
      </c>
      <c r="C8966" s="23" t="s">
        <v>278</v>
      </c>
      <c r="D8966" s="21"/>
    </row>
    <row r="8967" spans="1:4" ht="12.75" customHeight="1" x14ac:dyDescent="0.2">
      <c r="A8967" s="21"/>
      <c r="B8967" s="3" t="s">
        <v>9</v>
      </c>
      <c r="C8967" s="23" t="s">
        <v>27</v>
      </c>
      <c r="D8967" s="21"/>
    </row>
    <row r="8968" spans="1:4" ht="12.75" customHeight="1" x14ac:dyDescent="0.2">
      <c r="A8968" s="21"/>
      <c r="B8968" s="3" t="s">
        <v>11</v>
      </c>
      <c r="C8968" s="23" t="s">
        <v>917</v>
      </c>
      <c r="D8968" s="21"/>
    </row>
    <row r="8969" spans="1:4" ht="12.75" customHeight="1" x14ac:dyDescent="0.2">
      <c r="A8969" s="21"/>
      <c r="B8969" s="3" t="s">
        <v>16</v>
      </c>
      <c r="C8969" s="23"/>
      <c r="D8969" s="21"/>
    </row>
    <row r="8970" spans="1:4" ht="12.75" customHeight="1" x14ac:dyDescent="0.2">
      <c r="A8970" s="21"/>
      <c r="B8970" s="3" t="s">
        <v>17</v>
      </c>
      <c r="C8970" s="23" t="s">
        <v>19</v>
      </c>
      <c r="D8970" s="21"/>
    </row>
    <row r="8971" spans="1:4" ht="12.75" customHeight="1" x14ac:dyDescent="0.2">
      <c r="A8971" s="21"/>
      <c r="B8971" s="20" t="s">
        <v>18</v>
      </c>
      <c r="C8971" s="8" t="s">
        <v>44</v>
      </c>
      <c r="D8971" s="1" t="str">
        <f>HYPERLINK("javascript:void(0)","hypnoacél saru")</f>
        <v>hypnoacél saru</v>
      </c>
    </row>
    <row r="8972" spans="1:4" ht="12.75" customHeight="1" x14ac:dyDescent="0.2">
      <c r="A8972" s="21"/>
      <c r="B8972" s="21"/>
      <c r="C8972" s="8" t="s">
        <v>67</v>
      </c>
      <c r="D8972" s="1" t="str">
        <f>HYPERLINK("javascript:void(0)","fűrészfog")</f>
        <v>fűrészfog</v>
      </c>
    </row>
    <row r="8973" spans="1:4" ht="12.75" customHeight="1" x14ac:dyDescent="0.2">
      <c r="A8973" s="21"/>
      <c r="B8973" s="21"/>
      <c r="C8973" s="8" t="s">
        <v>98</v>
      </c>
      <c r="D8973" s="1" t="str">
        <f>HYPERLINK("javascript:void(0)","zselatin")</f>
        <v>zselatin</v>
      </c>
    </row>
    <row r="8974" spans="1:4" ht="12.75" customHeight="1" x14ac:dyDescent="0.2">
      <c r="A8974" s="21"/>
      <c r="B8974" s="2"/>
      <c r="C8974" s="7"/>
      <c r="D8974" s="7"/>
    </row>
    <row r="8975" spans="1:4" ht="12.75" customHeight="1" x14ac:dyDescent="0.2">
      <c r="A8975" s="21"/>
      <c r="B8975" s="2"/>
      <c r="C8975" s="7"/>
      <c r="D8975" s="7"/>
    </row>
    <row r="8976" spans="1:4" ht="12.75" customHeight="1" x14ac:dyDescent="0.2">
      <c r="A8976" s="21"/>
      <c r="B8976" s="2"/>
      <c r="C8976" s="7"/>
      <c r="D8976" s="7"/>
    </row>
    <row r="8977" spans="1:4" ht="12.75" customHeight="1" x14ac:dyDescent="0.2">
      <c r="A8977" s="21"/>
      <c r="B8977" s="2"/>
      <c r="C8977" s="7"/>
      <c r="D8977" s="7"/>
    </row>
    <row r="8978" spans="1:4" ht="12.75" customHeight="1" x14ac:dyDescent="0.2">
      <c r="A8978" s="5"/>
      <c r="B8978" s="2"/>
      <c r="C8978" s="7"/>
      <c r="D8978" s="7"/>
    </row>
    <row r="8979" spans="1:4" ht="12.75" customHeight="1" x14ac:dyDescent="0.2">
      <c r="A8979" s="22" t="str">
        <f>HYPERLINK("javascript:void(0)","harmatacél testpajzs")</f>
        <v>harmatacél testpajzs</v>
      </c>
      <c r="B8979" s="21"/>
      <c r="C8979" s="21"/>
      <c r="D8979" s="21"/>
    </row>
    <row r="8980" spans="1:4" ht="12.75" customHeight="1" x14ac:dyDescent="0.2">
      <c r="A8980" s="20"/>
      <c r="B8980" s="2"/>
      <c r="C8980" s="7"/>
      <c r="D8980" s="7"/>
    </row>
    <row r="8981" spans="1:4" ht="12.75" customHeight="1" x14ac:dyDescent="0.2">
      <c r="A8981" s="21"/>
      <c r="B8981" s="3" t="s">
        <v>0</v>
      </c>
      <c r="C8981" s="23" t="s">
        <v>699</v>
      </c>
      <c r="D8981" s="21"/>
    </row>
    <row r="8982" spans="1:4" ht="12.75" customHeight="1" x14ac:dyDescent="0.2">
      <c r="A8982" s="21"/>
      <c r="B8982" s="3" t="s">
        <v>2</v>
      </c>
      <c r="C8982" s="23" t="s">
        <v>1839</v>
      </c>
      <c r="D8982" s="21"/>
    </row>
    <row r="8983" spans="1:4" ht="12.75" customHeight="1" x14ac:dyDescent="0.2">
      <c r="A8983" s="21"/>
      <c r="B8983" s="3" t="s">
        <v>1840</v>
      </c>
      <c r="C8983" s="23" t="s">
        <v>2220</v>
      </c>
      <c r="D8983" s="21"/>
    </row>
    <row r="8984" spans="1:4" ht="12.75" customHeight="1" x14ac:dyDescent="0.2">
      <c r="A8984" s="21"/>
      <c r="B8984" s="3" t="s">
        <v>9</v>
      </c>
      <c r="C8984" s="23" t="s">
        <v>549</v>
      </c>
      <c r="D8984" s="21"/>
    </row>
    <row r="8985" spans="1:4" ht="12.75" customHeight="1" x14ac:dyDescent="0.2">
      <c r="A8985" s="21"/>
      <c r="B8985" s="3" t="s">
        <v>11</v>
      </c>
      <c r="C8985" s="23" t="s">
        <v>1035</v>
      </c>
      <c r="D8985" s="21"/>
    </row>
    <row r="8986" spans="1:4" ht="12.75" customHeight="1" x14ac:dyDescent="0.2">
      <c r="A8986" s="21"/>
      <c r="B8986" s="3" t="s">
        <v>16</v>
      </c>
      <c r="C8986" s="23"/>
      <c r="D8986" s="21"/>
    </row>
    <row r="8987" spans="1:4" ht="12.75" customHeight="1" x14ac:dyDescent="0.2">
      <c r="A8987" s="21"/>
      <c r="B8987" s="3" t="s">
        <v>17</v>
      </c>
      <c r="C8987" s="23" t="s">
        <v>19</v>
      </c>
      <c r="D8987" s="21"/>
    </row>
    <row r="8988" spans="1:4" ht="12.75" customHeight="1" x14ac:dyDescent="0.2">
      <c r="A8988" s="21"/>
      <c r="B8988" s="20" t="s">
        <v>18</v>
      </c>
      <c r="C8988" s="8" t="s">
        <v>44</v>
      </c>
      <c r="D8988" s="1" t="str">
        <f>HYPERLINK("javascript:void(0)","medúza testpajzs")</f>
        <v>medúza testpajzs</v>
      </c>
    </row>
    <row r="8989" spans="1:4" ht="12.75" customHeight="1" x14ac:dyDescent="0.2">
      <c r="A8989" s="21"/>
      <c r="B8989" s="21"/>
      <c r="C8989" s="8" t="s">
        <v>163</v>
      </c>
      <c r="D8989" s="1" t="str">
        <f>HYPERLINK("javascript:void(0)","harmatcsepp")</f>
        <v>harmatcsepp</v>
      </c>
    </row>
    <row r="8990" spans="1:4" ht="12.75" customHeight="1" x14ac:dyDescent="0.2">
      <c r="A8990" s="21"/>
      <c r="B8990" s="21"/>
      <c r="C8990" s="8" t="s">
        <v>117</v>
      </c>
      <c r="D8990" s="1" t="str">
        <f>HYPERLINK("javascript:void(0)","istenpenge")</f>
        <v>istenpenge</v>
      </c>
    </row>
    <row r="8991" spans="1:4" ht="12.75" customHeight="1" x14ac:dyDescent="0.2">
      <c r="A8991" s="21"/>
      <c r="B8991" s="2"/>
      <c r="C8991" s="7"/>
      <c r="D8991" s="7"/>
    </row>
    <row r="8992" spans="1:4" ht="12.75" customHeight="1" x14ac:dyDescent="0.2">
      <c r="A8992" s="21"/>
      <c r="B8992" s="2"/>
      <c r="C8992" s="7"/>
      <c r="D8992" s="7"/>
    </row>
    <row r="8993" spans="1:4" ht="12.75" customHeight="1" x14ac:dyDescent="0.2">
      <c r="A8993" s="21"/>
      <c r="B8993" s="2"/>
      <c r="C8993" s="7"/>
      <c r="D8993" s="7"/>
    </row>
    <row r="8994" spans="1:4" ht="12.75" customHeight="1" x14ac:dyDescent="0.2">
      <c r="A8994" s="21"/>
      <c r="B8994" s="2"/>
      <c r="C8994" s="7"/>
      <c r="D8994" s="7"/>
    </row>
    <row r="8995" spans="1:4" ht="12.75" customHeight="1" x14ac:dyDescent="0.2">
      <c r="A8995" s="5"/>
      <c r="B8995" s="2"/>
      <c r="C8995" s="7"/>
      <c r="D8995" s="7"/>
    </row>
    <row r="8996" spans="1:4" ht="12.75" customHeight="1" x14ac:dyDescent="0.2">
      <c r="A8996" s="22" t="str">
        <f>HYPERLINK("javascript:void(0)","magnetoacél illanat")</f>
        <v>magnetoacél illanat</v>
      </c>
      <c r="B8996" s="21"/>
      <c r="C8996" s="21"/>
      <c r="D8996" s="21"/>
    </row>
    <row r="8997" spans="1:4" ht="12.75" customHeight="1" x14ac:dyDescent="0.2">
      <c r="A8997" s="20"/>
      <c r="B8997" s="2"/>
      <c r="C8997" s="7"/>
      <c r="D8997" s="7"/>
    </row>
    <row r="8998" spans="1:4" ht="12.75" customHeight="1" x14ac:dyDescent="0.2">
      <c r="A8998" s="21"/>
      <c r="B8998" s="3" t="s">
        <v>0</v>
      </c>
      <c r="C8998" s="23" t="s">
        <v>699</v>
      </c>
      <c r="D8998" s="21"/>
    </row>
    <row r="8999" spans="1:4" ht="12.75" customHeight="1" x14ac:dyDescent="0.2">
      <c r="A8999" s="21"/>
      <c r="B8999" s="3" t="s">
        <v>2</v>
      </c>
      <c r="C8999" s="23" t="s">
        <v>1839</v>
      </c>
      <c r="D8999" s="21"/>
    </row>
    <row r="9000" spans="1:4" ht="12.75" customHeight="1" x14ac:dyDescent="0.2">
      <c r="A9000" s="21"/>
      <c r="B9000" s="3" t="s">
        <v>1840</v>
      </c>
      <c r="C9000" s="23" t="s">
        <v>2220</v>
      </c>
      <c r="D9000" s="21"/>
    </row>
    <row r="9001" spans="1:4" ht="12.75" customHeight="1" x14ac:dyDescent="0.2">
      <c r="A9001" s="21"/>
      <c r="B9001" s="3" t="s">
        <v>9</v>
      </c>
      <c r="C9001" s="23" t="s">
        <v>1225</v>
      </c>
      <c r="D9001" s="21"/>
    </row>
    <row r="9002" spans="1:4" ht="12.75" customHeight="1" x14ac:dyDescent="0.2">
      <c r="A9002" s="21"/>
      <c r="B9002" s="3" t="s">
        <v>11</v>
      </c>
      <c r="C9002" s="23" t="s">
        <v>1071</v>
      </c>
      <c r="D9002" s="21"/>
    </row>
    <row r="9003" spans="1:4" ht="12.75" customHeight="1" x14ac:dyDescent="0.2">
      <c r="A9003" s="21"/>
      <c r="B9003" s="3" t="s">
        <v>16</v>
      </c>
      <c r="C9003" s="23"/>
      <c r="D9003" s="21"/>
    </row>
    <row r="9004" spans="1:4" ht="12.75" customHeight="1" x14ac:dyDescent="0.2">
      <c r="A9004" s="21"/>
      <c r="B9004" s="3" t="s">
        <v>17</v>
      </c>
      <c r="C9004" s="23" t="s">
        <v>19</v>
      </c>
      <c r="D9004" s="21"/>
    </row>
    <row r="9005" spans="1:4" ht="12.75" customHeight="1" x14ac:dyDescent="0.2">
      <c r="A9005" s="21"/>
      <c r="B9005" s="20" t="s">
        <v>18</v>
      </c>
      <c r="C9005" s="8" t="s">
        <v>44</v>
      </c>
      <c r="D9005" s="1" t="str">
        <f>HYPERLINK("javascript:void(0)","harmatacél testpajzs")</f>
        <v>harmatacél testpajzs</v>
      </c>
    </row>
    <row r="9006" spans="1:4" ht="12.75" customHeight="1" x14ac:dyDescent="0.2">
      <c r="A9006" s="21"/>
      <c r="B9006" s="21"/>
      <c r="C9006" s="8" t="s">
        <v>98</v>
      </c>
      <c r="D9006" s="1" t="str">
        <f>HYPERLINK("javascript:void(0)","gőg")</f>
        <v>gőg</v>
      </c>
    </row>
    <row r="9007" spans="1:4" ht="12.75" customHeight="1" x14ac:dyDescent="0.2">
      <c r="A9007" s="21"/>
      <c r="B9007" s="21"/>
      <c r="C9007" s="8" t="s">
        <v>163</v>
      </c>
      <c r="D9007" s="1" t="str">
        <f>HYPERLINK("javascript:void(0)","medúza csáp")</f>
        <v>medúza csáp</v>
      </c>
    </row>
    <row r="9008" spans="1:4" ht="12.75" customHeight="1" x14ac:dyDescent="0.2">
      <c r="A9008" s="21"/>
      <c r="B9008" s="2"/>
      <c r="C9008" s="7"/>
      <c r="D9008" s="7"/>
    </row>
    <row r="9009" spans="1:4" ht="12.75" customHeight="1" x14ac:dyDescent="0.2">
      <c r="A9009" s="21"/>
      <c r="B9009" s="2"/>
      <c r="C9009" s="7"/>
      <c r="D9009" s="7"/>
    </row>
    <row r="9010" spans="1:4" ht="12.75" customHeight="1" x14ac:dyDescent="0.2">
      <c r="A9010" s="21"/>
      <c r="B9010" s="2"/>
      <c r="C9010" s="7"/>
      <c r="D9010" s="7"/>
    </row>
    <row r="9011" spans="1:4" ht="12.75" customHeight="1" x14ac:dyDescent="0.2">
      <c r="A9011" s="21"/>
      <c r="B9011" s="2"/>
      <c r="C9011" s="7"/>
      <c r="D9011" s="7"/>
    </row>
    <row r="9012" spans="1:4" ht="12.75" customHeight="1" x14ac:dyDescent="0.2">
      <c r="A9012" s="5"/>
      <c r="B9012" s="2"/>
      <c r="C9012" s="7"/>
      <c r="D9012" s="7"/>
    </row>
    <row r="9013" spans="1:4" ht="12.75" customHeight="1" x14ac:dyDescent="0.2">
      <c r="A9013" s="22" t="str">
        <f>HYPERLINK("javascript:void(0)","hypnoacél talp")</f>
        <v>hypnoacél talp</v>
      </c>
      <c r="B9013" s="21"/>
      <c r="C9013" s="21"/>
      <c r="D9013" s="21"/>
    </row>
    <row r="9014" spans="1:4" ht="12.75" customHeight="1" x14ac:dyDescent="0.2">
      <c r="A9014" s="20"/>
      <c r="B9014" s="2"/>
      <c r="C9014" s="7"/>
      <c r="D9014" s="7"/>
    </row>
    <row r="9015" spans="1:4" ht="12.75" customHeight="1" x14ac:dyDescent="0.2">
      <c r="A9015" s="21"/>
      <c r="B9015" s="3" t="s">
        <v>0</v>
      </c>
      <c r="C9015" s="23" t="s">
        <v>699</v>
      </c>
      <c r="D9015" s="21"/>
    </row>
    <row r="9016" spans="1:4" ht="12.75" customHeight="1" x14ac:dyDescent="0.2">
      <c r="A9016" s="21"/>
      <c r="B9016" s="3" t="s">
        <v>2</v>
      </c>
      <c r="C9016" s="23" t="s">
        <v>2322</v>
      </c>
      <c r="D9016" s="21"/>
    </row>
    <row r="9017" spans="1:4" ht="12.75" customHeight="1" x14ac:dyDescent="0.2">
      <c r="A9017" s="21"/>
      <c r="B9017" s="3" t="s">
        <v>1840</v>
      </c>
      <c r="C9017" s="23" t="s">
        <v>417</v>
      </c>
      <c r="D9017" s="21"/>
    </row>
    <row r="9018" spans="1:4" ht="12.75" customHeight="1" x14ac:dyDescent="0.2">
      <c r="A9018" s="21"/>
      <c r="B9018" s="3" t="s">
        <v>9</v>
      </c>
      <c r="C9018" s="23" t="s">
        <v>42</v>
      </c>
      <c r="D9018" s="21"/>
    </row>
    <row r="9019" spans="1:4" ht="12.75" customHeight="1" x14ac:dyDescent="0.2">
      <c r="A9019" s="21"/>
      <c r="B9019" s="3" t="s">
        <v>11</v>
      </c>
      <c r="C9019" s="23" t="s">
        <v>368</v>
      </c>
      <c r="D9019" s="21"/>
    </row>
    <row r="9020" spans="1:4" ht="12.75" customHeight="1" x14ac:dyDescent="0.2">
      <c r="A9020" s="21"/>
      <c r="B9020" s="3" t="s">
        <v>16</v>
      </c>
      <c r="C9020" s="23"/>
      <c r="D9020" s="21"/>
    </row>
    <row r="9021" spans="1:4" ht="12.75" customHeight="1" x14ac:dyDescent="0.2">
      <c r="A9021" s="21"/>
      <c r="B9021" s="3" t="s">
        <v>17</v>
      </c>
      <c r="C9021" s="23" t="s">
        <v>19</v>
      </c>
      <c r="D9021" s="21"/>
    </row>
    <row r="9022" spans="1:4" ht="12.75" customHeight="1" x14ac:dyDescent="0.2">
      <c r="A9022" s="21"/>
      <c r="B9022" s="20" t="s">
        <v>18</v>
      </c>
      <c r="C9022" s="8" t="s">
        <v>139</v>
      </c>
      <c r="D9022" s="1" t="str">
        <f>HYPERLINK("javascript:void(0)","harmatcsepp")</f>
        <v>harmatcsepp</v>
      </c>
    </row>
    <row r="9023" spans="1:4" ht="12.75" customHeight="1" x14ac:dyDescent="0.2">
      <c r="A9023" s="21"/>
      <c r="B9023" s="21"/>
      <c r="C9023" s="8" t="s">
        <v>117</v>
      </c>
      <c r="D9023" s="1" t="str">
        <f>HYPERLINK("javascript:void(0)","hypnogén")</f>
        <v>hypnogén</v>
      </c>
    </row>
    <row r="9024" spans="1:4" ht="12.75" customHeight="1" x14ac:dyDescent="0.2">
      <c r="A9024" s="21"/>
      <c r="B9024" s="21"/>
      <c r="C9024" s="8" t="s">
        <v>382</v>
      </c>
      <c r="D9024" s="1" t="str">
        <f>HYPERLINK("javascript:void(0)","kispárna")</f>
        <v>kispárna</v>
      </c>
    </row>
    <row r="9025" spans="1:4" ht="12.75" customHeight="1" x14ac:dyDescent="0.2">
      <c r="A9025" s="21"/>
      <c r="B9025" s="2"/>
      <c r="C9025" s="7"/>
      <c r="D9025" s="7"/>
    </row>
    <row r="9026" spans="1:4" ht="12.75" customHeight="1" x14ac:dyDescent="0.2">
      <c r="A9026" s="21"/>
      <c r="B9026" s="2"/>
      <c r="C9026" s="7"/>
      <c r="D9026" s="7"/>
    </row>
    <row r="9027" spans="1:4" ht="12.75" customHeight="1" x14ac:dyDescent="0.2">
      <c r="A9027" s="21"/>
      <c r="B9027" s="2"/>
      <c r="C9027" s="7"/>
      <c r="D9027" s="7"/>
    </row>
    <row r="9028" spans="1:4" ht="12.75" customHeight="1" x14ac:dyDescent="0.2">
      <c r="A9028" s="21"/>
      <c r="B9028" s="2"/>
      <c r="C9028" s="7"/>
      <c r="D9028" s="7"/>
    </row>
    <row r="9029" spans="1:4" ht="12.75" customHeight="1" x14ac:dyDescent="0.2">
      <c r="A9029" s="5"/>
      <c r="B9029" s="2"/>
      <c r="C9029" s="7"/>
      <c r="D9029" s="7"/>
    </row>
    <row r="9030" spans="1:4" ht="12.75" customHeight="1" x14ac:dyDescent="0.2">
      <c r="A9030" s="22" t="str">
        <f>HYPERLINK("javascript:void(0)","óriásacél manasisak")</f>
        <v>óriásacél manasisak</v>
      </c>
      <c r="B9030" s="21"/>
      <c r="C9030" s="21"/>
      <c r="D9030" s="21"/>
    </row>
    <row r="9031" spans="1:4" ht="12.75" customHeight="1" x14ac:dyDescent="0.2">
      <c r="A9031" s="20"/>
      <c r="B9031" s="2"/>
      <c r="C9031" s="7"/>
      <c r="D9031" s="7"/>
    </row>
    <row r="9032" spans="1:4" ht="12.75" customHeight="1" x14ac:dyDescent="0.2">
      <c r="A9032" s="21"/>
      <c r="B9032" s="3" t="s">
        <v>0</v>
      </c>
      <c r="C9032" s="23" t="s">
        <v>699</v>
      </c>
      <c r="D9032" s="21"/>
    </row>
    <row r="9033" spans="1:4" ht="12.75" customHeight="1" x14ac:dyDescent="0.2">
      <c r="A9033" s="21"/>
      <c r="B9033" s="3" t="s">
        <v>2</v>
      </c>
      <c r="C9033" s="23"/>
      <c r="D9033" s="21"/>
    </row>
    <row r="9034" spans="1:4" ht="12.75" customHeight="1" x14ac:dyDescent="0.2">
      <c r="A9034" s="21"/>
      <c r="B9034" s="3" t="s">
        <v>1840</v>
      </c>
      <c r="C9034" s="23" t="s">
        <v>190</v>
      </c>
      <c r="D9034" s="21"/>
    </row>
    <row r="9035" spans="1:4" ht="12.75" customHeight="1" x14ac:dyDescent="0.2">
      <c r="A9035" s="21"/>
      <c r="B9035" s="3" t="s">
        <v>9</v>
      </c>
      <c r="C9035" s="23" t="s">
        <v>343</v>
      </c>
      <c r="D9035" s="21"/>
    </row>
    <row r="9036" spans="1:4" ht="12.75" customHeight="1" x14ac:dyDescent="0.2">
      <c r="A9036" s="21"/>
      <c r="B9036" s="3" t="s">
        <v>11</v>
      </c>
      <c r="C9036" s="23" t="s">
        <v>453</v>
      </c>
      <c r="D9036" s="21"/>
    </row>
    <row r="9037" spans="1:4" ht="12.75" customHeight="1" x14ac:dyDescent="0.2">
      <c r="A9037" s="21"/>
      <c r="B9037" s="3" t="s">
        <v>16</v>
      </c>
      <c r="C9037" s="23"/>
      <c r="D9037" s="21"/>
    </row>
    <row r="9038" spans="1:4" ht="12.75" customHeight="1" x14ac:dyDescent="0.2">
      <c r="A9038" s="21"/>
      <c r="B9038" s="3" t="s">
        <v>17</v>
      </c>
      <c r="C9038" s="23" t="s">
        <v>19</v>
      </c>
      <c r="D9038" s="21"/>
    </row>
    <row r="9039" spans="1:4" ht="12.75" customHeight="1" x14ac:dyDescent="0.2">
      <c r="A9039" s="21"/>
      <c r="B9039" s="20" t="s">
        <v>18</v>
      </c>
      <c r="C9039" s="8" t="s">
        <v>44</v>
      </c>
      <c r="D9039" s="1" t="str">
        <f>HYPERLINK("javascript:void(0)","elfacél manasisak")</f>
        <v>elfacél manasisak</v>
      </c>
    </row>
    <row r="9040" spans="1:4" ht="12.75" customHeight="1" x14ac:dyDescent="0.2">
      <c r="A9040" s="21"/>
      <c r="B9040" s="21"/>
      <c r="C9040" s="8" t="s">
        <v>163</v>
      </c>
      <c r="D9040" s="1" t="str">
        <f>HYPERLINK("javascript:void(0)","fűrészfog")</f>
        <v>fűrészfog</v>
      </c>
    </row>
    <row r="9041" spans="1:4" ht="12.75" customHeight="1" x14ac:dyDescent="0.2">
      <c r="A9041" s="21"/>
      <c r="B9041" s="21"/>
      <c r="C9041" s="8" t="s">
        <v>139</v>
      </c>
      <c r="D9041" s="1" t="str">
        <f>HYPERLINK("javascript:void(0)","lux")</f>
        <v>lux</v>
      </c>
    </row>
    <row r="9042" spans="1:4" ht="12.75" customHeight="1" x14ac:dyDescent="0.2">
      <c r="A9042" s="21"/>
      <c r="B9042" s="2"/>
      <c r="C9042" s="7"/>
      <c r="D9042" s="7"/>
    </row>
    <row r="9043" spans="1:4" ht="12.75" customHeight="1" x14ac:dyDescent="0.2">
      <c r="A9043" s="21"/>
      <c r="B9043" s="2"/>
      <c r="C9043" s="7"/>
      <c r="D9043" s="7"/>
    </row>
    <row r="9044" spans="1:4" ht="12.75" customHeight="1" x14ac:dyDescent="0.2">
      <c r="A9044" s="21"/>
      <c r="B9044" s="2"/>
      <c r="C9044" s="7"/>
      <c r="D9044" s="7"/>
    </row>
    <row r="9045" spans="1:4" ht="12.75" customHeight="1" x14ac:dyDescent="0.2">
      <c r="A9045" s="21"/>
      <c r="B9045" s="2"/>
      <c r="C9045" s="7"/>
      <c r="D9045" s="7"/>
    </row>
    <row r="9046" spans="1:4" ht="12.75" customHeight="1" x14ac:dyDescent="0.2">
      <c r="A9046" s="5"/>
      <c r="B9046" s="2"/>
      <c r="C9046" s="7"/>
      <c r="D9046" s="7"/>
    </row>
    <row r="9047" spans="1:4" ht="12.75" customHeight="1" x14ac:dyDescent="0.2">
      <c r="A9047" s="22" t="str">
        <f>HYPERLINK("javascript:void(0)","óriásacél manafejpánt")</f>
        <v>óriásacél manafejpánt</v>
      </c>
      <c r="B9047" s="21"/>
      <c r="C9047" s="21"/>
      <c r="D9047" s="21"/>
    </row>
    <row r="9048" spans="1:4" ht="12.75" customHeight="1" x14ac:dyDescent="0.2">
      <c r="A9048" s="20"/>
      <c r="B9048" s="2"/>
      <c r="C9048" s="7"/>
      <c r="D9048" s="7"/>
    </row>
    <row r="9049" spans="1:4" ht="12.75" customHeight="1" x14ac:dyDescent="0.2">
      <c r="A9049" s="21"/>
      <c r="B9049" s="3" t="s">
        <v>0</v>
      </c>
      <c r="C9049" s="23" t="s">
        <v>699</v>
      </c>
      <c r="D9049" s="21"/>
    </row>
    <row r="9050" spans="1:4" ht="12.75" customHeight="1" x14ac:dyDescent="0.2">
      <c r="A9050" s="21"/>
      <c r="B9050" s="3" t="s">
        <v>2</v>
      </c>
      <c r="C9050" s="23"/>
      <c r="D9050" s="21"/>
    </row>
    <row r="9051" spans="1:4" ht="12.75" customHeight="1" x14ac:dyDescent="0.2">
      <c r="A9051" s="21"/>
      <c r="B9051" s="3" t="s">
        <v>1840</v>
      </c>
      <c r="C9051" s="23" t="s">
        <v>340</v>
      </c>
      <c r="D9051" s="21"/>
    </row>
    <row r="9052" spans="1:4" ht="12.75" customHeight="1" x14ac:dyDescent="0.2">
      <c r="A9052" s="21"/>
      <c r="B9052" s="3" t="s">
        <v>9</v>
      </c>
      <c r="C9052" s="23" t="s">
        <v>172</v>
      </c>
      <c r="D9052" s="21"/>
    </row>
    <row r="9053" spans="1:4" ht="12.75" customHeight="1" x14ac:dyDescent="0.2">
      <c r="A9053" s="21"/>
      <c r="B9053" s="3" t="s">
        <v>11</v>
      </c>
      <c r="C9053" s="23" t="s">
        <v>453</v>
      </c>
      <c r="D9053" s="21"/>
    </row>
    <row r="9054" spans="1:4" ht="12.75" customHeight="1" x14ac:dyDescent="0.2">
      <c r="A9054" s="21"/>
      <c r="B9054" s="3" t="s">
        <v>16</v>
      </c>
      <c r="C9054" s="23"/>
      <c r="D9054" s="21"/>
    </row>
    <row r="9055" spans="1:4" ht="12.75" customHeight="1" x14ac:dyDescent="0.2">
      <c r="A9055" s="21"/>
      <c r="B9055" s="3" t="s">
        <v>17</v>
      </c>
      <c r="C9055" s="23" t="s">
        <v>19</v>
      </c>
      <c r="D9055" s="21"/>
    </row>
    <row r="9056" spans="1:4" ht="12.75" customHeight="1" x14ac:dyDescent="0.2">
      <c r="A9056" s="21"/>
      <c r="B9056" s="20" t="s">
        <v>18</v>
      </c>
      <c r="C9056" s="8" t="s">
        <v>44</v>
      </c>
      <c r="D9056" s="1" t="str">
        <f>HYPERLINK("javascript:void(0)","elfacél manafejpánt")</f>
        <v>elfacél manafejpánt</v>
      </c>
    </row>
    <row r="9057" spans="1:4" ht="12.75" customHeight="1" x14ac:dyDescent="0.2">
      <c r="A9057" s="21"/>
      <c r="B9057" s="21"/>
      <c r="C9057" s="8" t="s">
        <v>68</v>
      </c>
      <c r="D9057" s="1" t="str">
        <f>HYPERLINK("javascript:void(0)","gőg")</f>
        <v>gőg</v>
      </c>
    </row>
    <row r="9058" spans="1:4" ht="12.75" customHeight="1" x14ac:dyDescent="0.2">
      <c r="A9058" s="21"/>
      <c r="B9058" s="21"/>
      <c r="C9058" s="8" t="s">
        <v>117</v>
      </c>
      <c r="D9058" s="1" t="str">
        <f>HYPERLINK("javascript:void(0)","negatívum")</f>
        <v>negatívum</v>
      </c>
    </row>
    <row r="9059" spans="1:4" ht="12.75" customHeight="1" x14ac:dyDescent="0.2">
      <c r="A9059" s="21"/>
      <c r="B9059" s="2"/>
      <c r="C9059" s="7"/>
      <c r="D9059" s="7"/>
    </row>
    <row r="9060" spans="1:4" ht="12.75" customHeight="1" x14ac:dyDescent="0.2">
      <c r="A9060" s="21"/>
      <c r="B9060" s="2"/>
      <c r="C9060" s="7"/>
      <c r="D9060" s="7"/>
    </row>
    <row r="9061" spans="1:4" ht="12.75" customHeight="1" x14ac:dyDescent="0.2">
      <c r="A9061" s="21"/>
      <c r="B9061" s="2"/>
      <c r="C9061" s="7"/>
      <c r="D9061" s="7"/>
    </row>
    <row r="9062" spans="1:4" ht="12.75" customHeight="1" x14ac:dyDescent="0.2">
      <c r="A9062" s="21"/>
      <c r="B9062" s="2"/>
      <c r="C9062" s="7"/>
      <c r="D9062" s="7"/>
    </row>
    <row r="9063" spans="1:4" ht="12.75" customHeight="1" x14ac:dyDescent="0.2">
      <c r="A9063" s="5"/>
      <c r="B9063" s="2"/>
      <c r="C9063" s="7"/>
      <c r="D9063" s="7"/>
    </row>
    <row r="9064" spans="1:4" ht="12.75" customHeight="1" x14ac:dyDescent="0.2">
      <c r="A9064" s="22" t="str">
        <f>HYPERLINK("javascript:void(0)","teljes ezüstvért")</f>
        <v>teljes ezüstvért</v>
      </c>
      <c r="B9064" s="21"/>
      <c r="C9064" s="21"/>
      <c r="D9064" s="21"/>
    </row>
    <row r="9065" spans="1:4" ht="12.75" customHeight="1" x14ac:dyDescent="0.2">
      <c r="A9065" s="20"/>
      <c r="B9065" s="2"/>
      <c r="C9065" s="7"/>
      <c r="D9065" s="7"/>
    </row>
    <row r="9066" spans="1:4" ht="12.75" customHeight="1" x14ac:dyDescent="0.2">
      <c r="A9066" s="21"/>
      <c r="B9066" s="3" t="s">
        <v>0</v>
      </c>
      <c r="C9066" s="23" t="s">
        <v>709</v>
      </c>
      <c r="D9066" s="21"/>
    </row>
    <row r="9067" spans="1:4" ht="12.75" customHeight="1" x14ac:dyDescent="0.2">
      <c r="A9067" s="21"/>
      <c r="B9067" s="3" t="s">
        <v>2</v>
      </c>
      <c r="C9067" s="23" t="s">
        <v>2322</v>
      </c>
      <c r="D9067" s="21"/>
    </row>
    <row r="9068" spans="1:4" ht="12.75" customHeight="1" x14ac:dyDescent="0.2">
      <c r="A9068" s="21"/>
      <c r="B9068" s="3" t="s">
        <v>1840</v>
      </c>
      <c r="C9068" s="23" t="s">
        <v>2283</v>
      </c>
      <c r="D9068" s="21"/>
    </row>
    <row r="9069" spans="1:4" ht="12.75" customHeight="1" x14ac:dyDescent="0.2">
      <c r="A9069" s="21"/>
      <c r="B9069" s="3" t="s">
        <v>9</v>
      </c>
      <c r="C9069" s="23" t="s">
        <v>1986</v>
      </c>
      <c r="D9069" s="21"/>
    </row>
    <row r="9070" spans="1:4" ht="12.75" customHeight="1" x14ac:dyDescent="0.2">
      <c r="A9070" s="21"/>
      <c r="B9070" s="3" t="s">
        <v>11</v>
      </c>
      <c r="C9070" s="23" t="s">
        <v>901</v>
      </c>
      <c r="D9070" s="21"/>
    </row>
    <row r="9071" spans="1:4" ht="12.75" customHeight="1" x14ac:dyDescent="0.2">
      <c r="A9071" s="21"/>
      <c r="B9071" s="3" t="s">
        <v>16</v>
      </c>
      <c r="C9071" s="23"/>
      <c r="D9071" s="21"/>
    </row>
    <row r="9072" spans="1:4" ht="12.75" customHeight="1" x14ac:dyDescent="0.2">
      <c r="A9072" s="21"/>
      <c r="B9072" s="3" t="s">
        <v>17</v>
      </c>
      <c r="C9072" s="23" t="s">
        <v>19</v>
      </c>
      <c r="D9072" s="21"/>
    </row>
    <row r="9073" spans="1:4" ht="12.75" customHeight="1" x14ac:dyDescent="0.2">
      <c r="A9073" s="21"/>
      <c r="B9073" s="20" t="s">
        <v>18</v>
      </c>
      <c r="C9073" s="8" t="s">
        <v>44</v>
      </c>
      <c r="D9073" s="1" t="str">
        <f>HYPERLINK("javascript:void(0)","teljes vasvért")</f>
        <v>teljes vasvért</v>
      </c>
    </row>
    <row r="9074" spans="1:4" ht="12.75" customHeight="1" x14ac:dyDescent="0.2">
      <c r="A9074" s="21"/>
      <c r="B9074" s="21"/>
      <c r="C9074" s="8" t="s">
        <v>232</v>
      </c>
      <c r="D9074" s="1" t="str">
        <f>HYPERLINK("javascript:void(0)","ezüströg")</f>
        <v>ezüströg</v>
      </c>
    </row>
    <row r="9075" spans="1:4" ht="12.75" customHeight="1" x14ac:dyDescent="0.2">
      <c r="A9075" s="21"/>
      <c r="B9075" s="21"/>
      <c r="C9075" s="8" t="s">
        <v>68</v>
      </c>
      <c r="D9075" s="1" t="str">
        <f>HYPERLINK("javascript:void(0)","fókaprém")</f>
        <v>fókaprém</v>
      </c>
    </row>
    <row r="9076" spans="1:4" ht="12.75" customHeight="1" x14ac:dyDescent="0.2">
      <c r="A9076" s="21"/>
      <c r="B9076" s="2"/>
      <c r="C9076" s="7"/>
      <c r="D9076" s="7"/>
    </row>
    <row r="9077" spans="1:4" ht="12.75" customHeight="1" x14ac:dyDescent="0.2">
      <c r="A9077" s="21"/>
      <c r="B9077" s="2"/>
      <c r="C9077" s="7"/>
      <c r="D9077" s="7"/>
    </row>
    <row r="9078" spans="1:4" ht="12.75" customHeight="1" x14ac:dyDescent="0.2">
      <c r="A9078" s="21"/>
      <c r="B9078" s="2"/>
      <c r="C9078" s="7"/>
      <c r="D9078" s="7"/>
    </row>
    <row r="9079" spans="1:4" ht="12.75" customHeight="1" x14ac:dyDescent="0.2">
      <c r="A9079" s="21"/>
      <c r="B9079" s="2"/>
      <c r="C9079" s="7"/>
      <c r="D9079" s="7"/>
    </row>
    <row r="9080" spans="1:4" ht="12.75" customHeight="1" x14ac:dyDescent="0.2">
      <c r="A9080" s="5"/>
      <c r="B9080" s="2"/>
      <c r="C9080" s="7"/>
      <c r="D9080" s="7"/>
    </row>
    <row r="9081" spans="1:4" ht="12.75" customHeight="1" x14ac:dyDescent="0.2">
      <c r="A9081" s="22" t="str">
        <f>HYPERLINK("javascript:void(0)","szivárvány sisak")</f>
        <v>szivárvány sisak</v>
      </c>
      <c r="B9081" s="21"/>
      <c r="C9081" s="21"/>
      <c r="D9081" s="21"/>
    </row>
    <row r="9082" spans="1:4" ht="12.75" customHeight="1" x14ac:dyDescent="0.2">
      <c r="A9082" s="20"/>
      <c r="B9082" s="2"/>
      <c r="C9082" s="7"/>
      <c r="D9082" s="7"/>
    </row>
    <row r="9083" spans="1:4" ht="12.75" customHeight="1" x14ac:dyDescent="0.2">
      <c r="A9083" s="21"/>
      <c r="B9083" s="3" t="s">
        <v>0</v>
      </c>
      <c r="C9083" s="23" t="s">
        <v>709</v>
      </c>
      <c r="D9083" s="21"/>
    </row>
    <row r="9084" spans="1:4" ht="12.75" customHeight="1" x14ac:dyDescent="0.2">
      <c r="A9084" s="21"/>
      <c r="B9084" s="3" t="s">
        <v>2</v>
      </c>
      <c r="C9084" s="23"/>
      <c r="D9084" s="21"/>
    </row>
    <row r="9085" spans="1:4" ht="12.75" customHeight="1" x14ac:dyDescent="0.2">
      <c r="A9085" s="21"/>
      <c r="B9085" s="3" t="s">
        <v>1840</v>
      </c>
      <c r="C9085" s="23" t="s">
        <v>2395</v>
      </c>
      <c r="D9085" s="21"/>
    </row>
    <row r="9086" spans="1:4" ht="12.75" customHeight="1" x14ac:dyDescent="0.2">
      <c r="A9086" s="21"/>
      <c r="B9086" s="3" t="s">
        <v>9</v>
      </c>
      <c r="C9086" s="23" t="s">
        <v>70</v>
      </c>
      <c r="D9086" s="21"/>
    </row>
    <row r="9087" spans="1:4" ht="12.75" customHeight="1" x14ac:dyDescent="0.2">
      <c r="A9087" s="21"/>
      <c r="B9087" s="3" t="s">
        <v>11</v>
      </c>
      <c r="C9087" s="23" t="s">
        <v>901</v>
      </c>
      <c r="D9087" s="21"/>
    </row>
    <row r="9088" spans="1:4" ht="12.75" customHeight="1" x14ac:dyDescent="0.2">
      <c r="A9088" s="21"/>
      <c r="B9088" s="3" t="s">
        <v>16</v>
      </c>
      <c r="C9088" s="23"/>
      <c r="D9088" s="21"/>
    </row>
    <row r="9089" spans="1:4" ht="12.75" customHeight="1" x14ac:dyDescent="0.2">
      <c r="A9089" s="21"/>
      <c r="B9089" s="3" t="s">
        <v>17</v>
      </c>
      <c r="C9089" s="23" t="s">
        <v>19</v>
      </c>
      <c r="D9089" s="21"/>
    </row>
    <row r="9090" spans="1:4" ht="12.75" customHeight="1" x14ac:dyDescent="0.2">
      <c r="A9090" s="21"/>
      <c r="B9090" s="20" t="s">
        <v>18</v>
      </c>
      <c r="C9090" s="8" t="s">
        <v>44</v>
      </c>
      <c r="D9090" s="1" t="str">
        <f>HYPERLINK("javascript:void(0)","heves sisak")</f>
        <v>heves sisak</v>
      </c>
    </row>
    <row r="9091" spans="1:4" ht="12.75" customHeight="1" x14ac:dyDescent="0.2">
      <c r="A9091" s="21"/>
      <c r="B9091" s="21"/>
      <c r="C9091" s="8" t="s">
        <v>44</v>
      </c>
      <c r="D9091" s="1" t="str">
        <f>HYPERLINK("javascript:void(0)","fűrészsörtéjű sisak")</f>
        <v>fűrészsörtéjű sisak</v>
      </c>
    </row>
    <row r="9092" spans="1:4" ht="12.75" customHeight="1" x14ac:dyDescent="0.2">
      <c r="A9092" s="21"/>
      <c r="B9092" s="21"/>
      <c r="C9092" s="8" t="s">
        <v>44</v>
      </c>
      <c r="D9092" s="1" t="str">
        <f>HYPERLINK("javascript:void(0)","szivárvány rostély")</f>
        <v>szivárvány rostély</v>
      </c>
    </row>
    <row r="9093" spans="1:4" ht="12.75" customHeight="1" x14ac:dyDescent="0.2">
      <c r="A9093" s="21"/>
      <c r="B9093" s="2"/>
      <c r="C9093" s="7"/>
      <c r="D9093" s="7"/>
    </row>
    <row r="9094" spans="1:4" ht="12.75" customHeight="1" x14ac:dyDescent="0.2">
      <c r="A9094" s="21"/>
      <c r="B9094" s="2"/>
      <c r="C9094" s="7"/>
      <c r="D9094" s="7"/>
    </row>
    <row r="9095" spans="1:4" ht="12.75" customHeight="1" x14ac:dyDescent="0.2">
      <c r="A9095" s="21"/>
      <c r="B9095" s="2"/>
      <c r="C9095" s="7"/>
      <c r="D9095" s="7"/>
    </row>
    <row r="9096" spans="1:4" ht="12.75" customHeight="1" x14ac:dyDescent="0.2">
      <c r="A9096" s="21"/>
      <c r="B9096" s="2"/>
      <c r="C9096" s="7"/>
      <c r="D9096" s="7"/>
    </row>
    <row r="9097" spans="1:4" ht="12.75" customHeight="1" x14ac:dyDescent="0.2">
      <c r="A9097" s="5"/>
      <c r="B9097" s="2"/>
      <c r="C9097" s="7"/>
      <c r="D9097" s="7"/>
    </row>
    <row r="9098" spans="1:4" ht="12.75" customHeight="1" x14ac:dyDescent="0.2">
      <c r="A9098" s="22" t="str">
        <f>HYPERLINK("javascript:void(0)","harmatacél saru")</f>
        <v>harmatacél saru</v>
      </c>
      <c r="B9098" s="21"/>
      <c r="C9098" s="21"/>
      <c r="D9098" s="21"/>
    </row>
    <row r="9099" spans="1:4" ht="12.75" customHeight="1" x14ac:dyDescent="0.2">
      <c r="A9099" s="20"/>
      <c r="B9099" s="2"/>
      <c r="C9099" s="7"/>
      <c r="D9099" s="7"/>
    </row>
    <row r="9100" spans="1:4" ht="12.75" customHeight="1" x14ac:dyDescent="0.2">
      <c r="A9100" s="21"/>
      <c r="B9100" s="3" t="s">
        <v>0</v>
      </c>
      <c r="C9100" s="23" t="s">
        <v>709</v>
      </c>
      <c r="D9100" s="21"/>
    </row>
    <row r="9101" spans="1:4" ht="12.75" customHeight="1" x14ac:dyDescent="0.2">
      <c r="A9101" s="21"/>
      <c r="B9101" s="3" t="s">
        <v>2</v>
      </c>
      <c r="C9101" s="23"/>
      <c r="D9101" s="21"/>
    </row>
    <row r="9102" spans="1:4" ht="12.75" customHeight="1" x14ac:dyDescent="0.2">
      <c r="A9102" s="21"/>
      <c r="B9102" s="3" t="s">
        <v>1840</v>
      </c>
      <c r="C9102" s="23" t="s">
        <v>421</v>
      </c>
      <c r="D9102" s="21"/>
    </row>
    <row r="9103" spans="1:4" ht="12.75" customHeight="1" x14ac:dyDescent="0.2">
      <c r="A9103" s="21"/>
      <c r="B9103" s="3" t="s">
        <v>9</v>
      </c>
      <c r="C9103" s="23" t="s">
        <v>2049</v>
      </c>
      <c r="D9103" s="21"/>
    </row>
    <row r="9104" spans="1:4" ht="12.75" customHeight="1" x14ac:dyDescent="0.2">
      <c r="A9104" s="21"/>
      <c r="B9104" s="3" t="s">
        <v>11</v>
      </c>
      <c r="C9104" s="23" t="s">
        <v>939</v>
      </c>
      <c r="D9104" s="21"/>
    </row>
    <row r="9105" spans="1:4" ht="12.75" customHeight="1" x14ac:dyDescent="0.2">
      <c r="A9105" s="21"/>
      <c r="B9105" s="3" t="s">
        <v>16</v>
      </c>
      <c r="C9105" s="23"/>
      <c r="D9105" s="21"/>
    </row>
    <row r="9106" spans="1:4" ht="12.75" customHeight="1" x14ac:dyDescent="0.2">
      <c r="A9106" s="21"/>
      <c r="B9106" s="3" t="s">
        <v>17</v>
      </c>
      <c r="C9106" s="23" t="s">
        <v>19</v>
      </c>
      <c r="D9106" s="21"/>
    </row>
    <row r="9107" spans="1:4" ht="12.75" customHeight="1" x14ac:dyDescent="0.2">
      <c r="A9107" s="21"/>
      <c r="B9107" s="20" t="s">
        <v>18</v>
      </c>
      <c r="C9107" s="8" t="s">
        <v>232</v>
      </c>
      <c r="D9107" s="1" t="str">
        <f>HYPERLINK("javascript:void(0)","fókaprém")</f>
        <v>fókaprém</v>
      </c>
    </row>
    <row r="9108" spans="1:4" ht="12.75" customHeight="1" x14ac:dyDescent="0.2">
      <c r="A9108" s="21"/>
      <c r="B9108" s="21"/>
      <c r="C9108" s="8" t="s">
        <v>309</v>
      </c>
      <c r="D9108" s="1" t="str">
        <f>HYPERLINK("javascript:void(0)","harmatcsepp")</f>
        <v>harmatcsepp</v>
      </c>
    </row>
    <row r="9109" spans="1:4" ht="12.75" customHeight="1" x14ac:dyDescent="0.2">
      <c r="A9109" s="21"/>
      <c r="B9109" s="21"/>
      <c r="C9109" s="8" t="s">
        <v>117</v>
      </c>
      <c r="D9109" s="1" t="str">
        <f>HYPERLINK("javascript:void(0)","zselatin")</f>
        <v>zselatin</v>
      </c>
    </row>
    <row r="9110" spans="1:4" ht="12.75" customHeight="1" x14ac:dyDescent="0.2">
      <c r="A9110" s="21"/>
      <c r="B9110" s="2"/>
      <c r="C9110" s="7"/>
      <c r="D9110" s="7"/>
    </row>
    <row r="9111" spans="1:4" ht="12.75" customHeight="1" x14ac:dyDescent="0.2">
      <c r="A9111" s="21"/>
      <c r="B9111" s="2"/>
      <c r="C9111" s="7"/>
      <c r="D9111" s="7"/>
    </row>
    <row r="9112" spans="1:4" ht="12.75" customHeight="1" x14ac:dyDescent="0.2">
      <c r="A9112" s="21"/>
      <c r="B9112" s="2"/>
      <c r="C9112" s="7"/>
      <c r="D9112" s="7"/>
    </row>
    <row r="9113" spans="1:4" ht="12.75" customHeight="1" x14ac:dyDescent="0.2">
      <c r="A9113" s="21"/>
      <c r="B9113" s="2"/>
      <c r="C9113" s="7"/>
      <c r="D9113" s="7"/>
    </row>
    <row r="9114" spans="1:4" ht="12.75" customHeight="1" x14ac:dyDescent="0.2">
      <c r="A9114" s="5"/>
      <c r="B9114" s="2"/>
      <c r="C9114" s="7"/>
      <c r="D9114" s="7"/>
    </row>
    <row r="9115" spans="1:4" ht="12.75" customHeight="1" x14ac:dyDescent="0.2">
      <c r="A9115" s="22" t="str">
        <f>HYPERLINK("javascript:void(0)","szivárvány pajzs")</f>
        <v>szivárvány pajzs</v>
      </c>
      <c r="B9115" s="21"/>
      <c r="C9115" s="21"/>
      <c r="D9115" s="21"/>
    </row>
    <row r="9116" spans="1:4" ht="12.75" customHeight="1" x14ac:dyDescent="0.2">
      <c r="A9116" s="20"/>
      <c r="B9116" s="2"/>
      <c r="C9116" s="7"/>
      <c r="D9116" s="7"/>
    </row>
    <row r="9117" spans="1:4" ht="12.75" customHeight="1" x14ac:dyDescent="0.2">
      <c r="A9117" s="21"/>
      <c r="B9117" s="3" t="s">
        <v>0</v>
      </c>
      <c r="C9117" s="23" t="s">
        <v>709</v>
      </c>
      <c r="D9117" s="21"/>
    </row>
    <row r="9118" spans="1:4" ht="12.75" customHeight="1" x14ac:dyDescent="0.2">
      <c r="A9118" s="21"/>
      <c r="B9118" s="3" t="s">
        <v>2</v>
      </c>
      <c r="C9118" s="23" t="s">
        <v>1839</v>
      </c>
      <c r="D9118" s="21"/>
    </row>
    <row r="9119" spans="1:4" ht="12.75" customHeight="1" x14ac:dyDescent="0.2">
      <c r="A9119" s="21"/>
      <c r="B9119" s="3" t="s">
        <v>1840</v>
      </c>
      <c r="C9119" s="23" t="s">
        <v>2091</v>
      </c>
      <c r="D9119" s="21"/>
    </row>
    <row r="9120" spans="1:4" ht="12.75" customHeight="1" x14ac:dyDescent="0.2">
      <c r="A9120" s="21"/>
      <c r="B9120" s="3" t="s">
        <v>9</v>
      </c>
      <c r="C9120" s="23" t="s">
        <v>249</v>
      </c>
      <c r="D9120" s="21"/>
    </row>
    <row r="9121" spans="1:4" ht="12.75" customHeight="1" x14ac:dyDescent="0.2">
      <c r="A9121" s="21"/>
      <c r="B9121" s="3" t="s">
        <v>11</v>
      </c>
      <c r="C9121" s="23" t="s">
        <v>1055</v>
      </c>
      <c r="D9121" s="21"/>
    </row>
    <row r="9122" spans="1:4" ht="12.75" customHeight="1" x14ac:dyDescent="0.2">
      <c r="A9122" s="21"/>
      <c r="B9122" s="3" t="s">
        <v>16</v>
      </c>
      <c r="C9122" s="23"/>
      <c r="D9122" s="21"/>
    </row>
    <row r="9123" spans="1:4" ht="12.75" customHeight="1" x14ac:dyDescent="0.2">
      <c r="A9123" s="21"/>
      <c r="B9123" s="3" t="s">
        <v>17</v>
      </c>
      <c r="C9123" s="23" t="s">
        <v>19</v>
      </c>
      <c r="D9123" s="21"/>
    </row>
    <row r="9124" spans="1:4" ht="12.75" customHeight="1" x14ac:dyDescent="0.2">
      <c r="A9124" s="21"/>
      <c r="B9124" s="20" t="s">
        <v>18</v>
      </c>
      <c r="C9124" s="8" t="s">
        <v>44</v>
      </c>
      <c r="D9124" s="1" t="str">
        <f>HYPERLINK("javascript:void(0)","harmatacél pajzs")</f>
        <v>harmatacél pajzs</v>
      </c>
    </row>
    <row r="9125" spans="1:4" ht="12.75" customHeight="1" x14ac:dyDescent="0.2">
      <c r="A9125" s="21"/>
      <c r="B9125" s="21"/>
      <c r="C9125" s="8" t="s">
        <v>77</v>
      </c>
      <c r="D9125" s="1" t="str">
        <f>HYPERLINK("javascript:void(0)","szivárványszív")</f>
        <v>szivárványszív</v>
      </c>
    </row>
    <row r="9126" spans="1:4" ht="12.75" customHeight="1" x14ac:dyDescent="0.2">
      <c r="A9126" s="21"/>
      <c r="B9126" s="21"/>
      <c r="C9126" s="8" t="s">
        <v>68</v>
      </c>
      <c r="D9126" s="1" t="str">
        <f>HYPERLINK("javascript:void(0)","fúrófej")</f>
        <v>fúrófej</v>
      </c>
    </row>
    <row r="9127" spans="1:4" ht="12.75" customHeight="1" x14ac:dyDescent="0.2">
      <c r="A9127" s="21"/>
      <c r="B9127" s="2"/>
      <c r="C9127" s="7"/>
      <c r="D9127" s="7"/>
    </row>
    <row r="9128" spans="1:4" ht="12.75" customHeight="1" x14ac:dyDescent="0.2">
      <c r="A9128" s="21"/>
      <c r="B9128" s="2"/>
      <c r="C9128" s="7"/>
      <c r="D9128" s="7"/>
    </row>
    <row r="9129" spans="1:4" ht="12.75" customHeight="1" x14ac:dyDescent="0.2">
      <c r="A9129" s="21"/>
      <c r="B9129" s="2"/>
      <c r="C9129" s="7"/>
      <c r="D9129" s="7"/>
    </row>
    <row r="9130" spans="1:4" ht="12.75" customHeight="1" x14ac:dyDescent="0.2">
      <c r="A9130" s="21"/>
      <c r="B9130" s="2"/>
      <c r="C9130" s="7"/>
      <c r="D9130" s="7"/>
    </row>
    <row r="9131" spans="1:4" ht="12.75" customHeight="1" x14ac:dyDescent="0.2">
      <c r="A9131" s="5"/>
      <c r="B9131" s="2"/>
      <c r="C9131" s="7"/>
      <c r="D9131" s="7"/>
    </row>
    <row r="9132" spans="1:4" ht="12.75" customHeight="1" x14ac:dyDescent="0.2">
      <c r="A9132" s="22" t="str">
        <f>HYPERLINK("javascript:void(0)","parszi illanat")</f>
        <v>parszi illanat</v>
      </c>
      <c r="B9132" s="21"/>
      <c r="C9132" s="21"/>
      <c r="D9132" s="21"/>
    </row>
    <row r="9133" spans="1:4" ht="12.75" customHeight="1" x14ac:dyDescent="0.2">
      <c r="A9133" s="20"/>
      <c r="B9133" s="2"/>
      <c r="C9133" s="7"/>
      <c r="D9133" s="7"/>
    </row>
    <row r="9134" spans="1:4" ht="12.75" customHeight="1" x14ac:dyDescent="0.2">
      <c r="A9134" s="21"/>
      <c r="B9134" s="3" t="s">
        <v>0</v>
      </c>
      <c r="C9134" s="23" t="s">
        <v>709</v>
      </c>
      <c r="D9134" s="21"/>
    </row>
    <row r="9135" spans="1:4" ht="12.75" customHeight="1" x14ac:dyDescent="0.2">
      <c r="A9135" s="21"/>
      <c r="B9135" s="3" t="s">
        <v>2</v>
      </c>
      <c r="C9135" s="23" t="s">
        <v>1839</v>
      </c>
      <c r="D9135" s="21"/>
    </row>
    <row r="9136" spans="1:4" ht="12.75" customHeight="1" x14ac:dyDescent="0.2">
      <c r="A9136" s="21"/>
      <c r="B9136" s="3" t="s">
        <v>1840</v>
      </c>
      <c r="C9136" s="23" t="s">
        <v>2091</v>
      </c>
      <c r="D9136" s="21"/>
    </row>
    <row r="9137" spans="1:4" ht="12.75" customHeight="1" x14ac:dyDescent="0.2">
      <c r="A9137" s="21"/>
      <c r="B9137" s="3" t="s">
        <v>9</v>
      </c>
      <c r="C9137" s="23" t="s">
        <v>1559</v>
      </c>
      <c r="D9137" s="21"/>
    </row>
    <row r="9138" spans="1:4" ht="12.75" customHeight="1" x14ac:dyDescent="0.2">
      <c r="A9138" s="21"/>
      <c r="B9138" s="3" t="s">
        <v>11</v>
      </c>
      <c r="C9138" s="23" t="s">
        <v>1090</v>
      </c>
      <c r="D9138" s="21"/>
    </row>
    <row r="9139" spans="1:4" ht="12.75" customHeight="1" x14ac:dyDescent="0.2">
      <c r="A9139" s="21"/>
      <c r="B9139" s="3" t="s">
        <v>16</v>
      </c>
      <c r="C9139" s="23"/>
      <c r="D9139" s="21"/>
    </row>
    <row r="9140" spans="1:4" ht="12.75" customHeight="1" x14ac:dyDescent="0.2">
      <c r="A9140" s="21"/>
      <c r="B9140" s="3" t="s">
        <v>17</v>
      </c>
      <c r="C9140" s="23" t="s">
        <v>19</v>
      </c>
      <c r="D9140" s="21"/>
    </row>
    <row r="9141" spans="1:4" ht="12.75" customHeight="1" x14ac:dyDescent="0.2">
      <c r="A9141" s="21"/>
      <c r="B9141" s="20" t="s">
        <v>18</v>
      </c>
      <c r="C9141" s="8" t="s">
        <v>44</v>
      </c>
      <c r="D9141" s="1" t="str">
        <f>HYPERLINK("javascript:void(0)","szivárvány pajzs")</f>
        <v>szivárvány pajzs</v>
      </c>
    </row>
    <row r="9142" spans="1:4" ht="12.75" customHeight="1" x14ac:dyDescent="0.2">
      <c r="A9142" s="21"/>
      <c r="B9142" s="21"/>
      <c r="C9142" s="8" t="s">
        <v>117</v>
      </c>
      <c r="D9142" s="1" t="str">
        <f>HYPERLINK("javascript:void(0)","fókaprém")</f>
        <v>fókaprém</v>
      </c>
    </row>
    <row r="9143" spans="1:4" ht="12.75" customHeight="1" x14ac:dyDescent="0.2">
      <c r="A9143" s="21"/>
      <c r="B9143" s="21"/>
      <c r="C9143" s="8" t="s">
        <v>98</v>
      </c>
      <c r="D9143" s="1" t="str">
        <f>HYPERLINK("javascript:void(0)","negatívum")</f>
        <v>negatívum</v>
      </c>
    </row>
    <row r="9144" spans="1:4" ht="12.75" customHeight="1" x14ac:dyDescent="0.2">
      <c r="A9144" s="21"/>
      <c r="B9144" s="2"/>
      <c r="C9144" s="7"/>
      <c r="D9144" s="7"/>
    </row>
    <row r="9145" spans="1:4" ht="12.75" customHeight="1" x14ac:dyDescent="0.2">
      <c r="A9145" s="21"/>
      <c r="B9145" s="2"/>
      <c r="C9145" s="7"/>
      <c r="D9145" s="7"/>
    </row>
    <row r="9146" spans="1:4" ht="12.75" customHeight="1" x14ac:dyDescent="0.2">
      <c r="A9146" s="21"/>
      <c r="B9146" s="2"/>
      <c r="C9146" s="7"/>
      <c r="D9146" s="7"/>
    </row>
    <row r="9147" spans="1:4" ht="12.75" customHeight="1" x14ac:dyDescent="0.2">
      <c r="A9147" s="21"/>
      <c r="B9147" s="2"/>
      <c r="C9147" s="7"/>
      <c r="D9147" s="7"/>
    </row>
    <row r="9148" spans="1:4" ht="12.75" customHeight="1" x14ac:dyDescent="0.2">
      <c r="A9148" s="5"/>
      <c r="B9148" s="2"/>
      <c r="C9148" s="7"/>
      <c r="D9148" s="7"/>
    </row>
    <row r="9149" spans="1:4" ht="12.75" customHeight="1" x14ac:dyDescent="0.2">
      <c r="A9149" s="22" t="str">
        <f>HYPERLINK("javascript:void(0)","szivárvány rostély")</f>
        <v>szivárvány rostély</v>
      </c>
      <c r="B9149" s="21"/>
      <c r="C9149" s="21"/>
      <c r="D9149" s="21"/>
    </row>
    <row r="9150" spans="1:4" ht="12.75" customHeight="1" x14ac:dyDescent="0.2">
      <c r="A9150" s="20"/>
      <c r="B9150" s="2"/>
      <c r="C9150" s="7"/>
      <c r="D9150" s="7"/>
    </row>
    <row r="9151" spans="1:4" ht="12.75" customHeight="1" x14ac:dyDescent="0.2">
      <c r="A9151" s="21"/>
      <c r="B9151" s="3" t="s">
        <v>0</v>
      </c>
      <c r="C9151" s="23" t="s">
        <v>709</v>
      </c>
      <c r="D9151" s="21"/>
    </row>
    <row r="9152" spans="1:4" ht="12.75" customHeight="1" x14ac:dyDescent="0.2">
      <c r="A9152" s="21"/>
      <c r="B9152" s="3" t="s">
        <v>2</v>
      </c>
      <c r="C9152" s="23"/>
      <c r="D9152" s="21"/>
    </row>
    <row r="9153" spans="1:4" ht="12.75" customHeight="1" x14ac:dyDescent="0.2">
      <c r="A9153" s="21"/>
      <c r="B9153" s="3" t="s">
        <v>1840</v>
      </c>
      <c r="C9153" s="23" t="s">
        <v>115</v>
      </c>
      <c r="D9153" s="21"/>
    </row>
    <row r="9154" spans="1:4" ht="12.75" customHeight="1" x14ac:dyDescent="0.2">
      <c r="A9154" s="21"/>
      <c r="B9154" s="3" t="s">
        <v>9</v>
      </c>
      <c r="C9154" s="23" t="s">
        <v>42</v>
      </c>
      <c r="D9154" s="21"/>
    </row>
    <row r="9155" spans="1:4" ht="12.75" customHeight="1" x14ac:dyDescent="0.2">
      <c r="A9155" s="21"/>
      <c r="B9155" s="3" t="s">
        <v>11</v>
      </c>
      <c r="C9155" s="23" t="s">
        <v>368</v>
      </c>
      <c r="D9155" s="21"/>
    </row>
    <row r="9156" spans="1:4" ht="12.75" customHeight="1" x14ac:dyDescent="0.2">
      <c r="A9156" s="21"/>
      <c r="B9156" s="3" t="s">
        <v>16</v>
      </c>
      <c r="C9156" s="23"/>
      <c r="D9156" s="21"/>
    </row>
    <row r="9157" spans="1:4" ht="12.75" customHeight="1" x14ac:dyDescent="0.2">
      <c r="A9157" s="21"/>
      <c r="B9157" s="3" t="s">
        <v>17</v>
      </c>
      <c r="C9157" s="23" t="s">
        <v>19</v>
      </c>
      <c r="D9157" s="21"/>
    </row>
    <row r="9158" spans="1:4" ht="12.75" customHeight="1" x14ac:dyDescent="0.2">
      <c r="A9158" s="21"/>
      <c r="B9158" s="20" t="s">
        <v>18</v>
      </c>
      <c r="C9158" s="8" t="s">
        <v>77</v>
      </c>
      <c r="D9158" s="1" t="str">
        <f>HYPERLINK("javascript:void(0)","szivárványszív")</f>
        <v>szivárványszív</v>
      </c>
    </row>
    <row r="9159" spans="1:4" ht="12.75" customHeight="1" x14ac:dyDescent="0.2">
      <c r="A9159" s="21"/>
      <c r="B9159" s="21"/>
      <c r="C9159" s="8" t="s">
        <v>68</v>
      </c>
      <c r="D9159" s="1" t="str">
        <f>HYPERLINK("javascript:void(0)","medúza csáp")</f>
        <v>medúza csáp</v>
      </c>
    </row>
    <row r="9160" spans="1:4" ht="12.75" customHeight="1" x14ac:dyDescent="0.2">
      <c r="A9160" s="21"/>
      <c r="B9160" s="21"/>
      <c r="C9160" s="8" t="s">
        <v>117</v>
      </c>
      <c r="D9160" s="1" t="str">
        <f>HYPERLINK("javascript:void(0)","éjfény")</f>
        <v>éjfény</v>
      </c>
    </row>
    <row r="9161" spans="1:4" ht="12.75" customHeight="1" x14ac:dyDescent="0.2">
      <c r="A9161" s="21"/>
      <c r="B9161" s="2"/>
      <c r="C9161" s="7"/>
      <c r="D9161" s="7"/>
    </row>
    <row r="9162" spans="1:4" ht="12.75" customHeight="1" x14ac:dyDescent="0.2">
      <c r="A9162" s="21"/>
      <c r="B9162" s="2"/>
      <c r="C9162" s="7"/>
      <c r="D9162" s="7"/>
    </row>
    <row r="9163" spans="1:4" ht="12.75" customHeight="1" x14ac:dyDescent="0.2">
      <c r="A9163" s="21"/>
      <c r="B9163" s="2"/>
      <c r="C9163" s="7"/>
      <c r="D9163" s="7"/>
    </row>
    <row r="9164" spans="1:4" ht="12.75" customHeight="1" x14ac:dyDescent="0.2">
      <c r="A9164" s="21"/>
      <c r="B9164" s="2"/>
      <c r="C9164" s="7"/>
      <c r="D9164" s="7"/>
    </row>
    <row r="9165" spans="1:4" ht="12.75" customHeight="1" x14ac:dyDescent="0.2">
      <c r="A9165" s="5"/>
      <c r="B9165" s="2"/>
      <c r="C9165" s="7"/>
      <c r="D9165" s="7"/>
    </row>
    <row r="9166" spans="1:4" ht="12.75" customHeight="1" x14ac:dyDescent="0.2">
      <c r="A9166" s="22" t="str">
        <f>HYPERLINK("javascript:void(0)","elfacél antigrav csizma")</f>
        <v>elfacél antigrav csizma</v>
      </c>
      <c r="B9166" s="21"/>
      <c r="C9166" s="21"/>
      <c r="D9166" s="21"/>
    </row>
    <row r="9167" spans="1:4" ht="12.75" customHeight="1" x14ac:dyDescent="0.2">
      <c r="A9167" s="20"/>
      <c r="B9167" s="2"/>
      <c r="C9167" s="7"/>
      <c r="D9167" s="7"/>
    </row>
    <row r="9168" spans="1:4" ht="12.75" customHeight="1" x14ac:dyDescent="0.2">
      <c r="A9168" s="21"/>
      <c r="B9168" s="3" t="s">
        <v>0</v>
      </c>
      <c r="C9168" s="23" t="s">
        <v>709</v>
      </c>
      <c r="D9168" s="21"/>
    </row>
    <row r="9169" spans="1:4" ht="12.75" customHeight="1" x14ac:dyDescent="0.2">
      <c r="A9169" s="21"/>
      <c r="B9169" s="3" t="s">
        <v>2</v>
      </c>
      <c r="C9169" s="23"/>
      <c r="D9169" s="21"/>
    </row>
    <row r="9170" spans="1:4" ht="12.75" customHeight="1" x14ac:dyDescent="0.2">
      <c r="A9170" s="21"/>
      <c r="B9170" s="3" t="s">
        <v>1840</v>
      </c>
      <c r="C9170" s="23" t="s">
        <v>1342</v>
      </c>
      <c r="D9170" s="21"/>
    </row>
    <row r="9171" spans="1:4" ht="12.75" customHeight="1" x14ac:dyDescent="0.2">
      <c r="A9171" s="21"/>
      <c r="B9171" s="3" t="s">
        <v>9</v>
      </c>
      <c r="C9171" s="23" t="s">
        <v>626</v>
      </c>
      <c r="D9171" s="21"/>
    </row>
    <row r="9172" spans="1:4" ht="12.75" customHeight="1" x14ac:dyDescent="0.2">
      <c r="A9172" s="21"/>
      <c r="B9172" s="3" t="s">
        <v>11</v>
      </c>
      <c r="C9172" s="23" t="s">
        <v>23</v>
      </c>
      <c r="D9172" s="21"/>
    </row>
    <row r="9173" spans="1:4" ht="12.75" customHeight="1" x14ac:dyDescent="0.2">
      <c r="A9173" s="21"/>
      <c r="B9173" s="3" t="s">
        <v>16</v>
      </c>
      <c r="C9173" s="23"/>
      <c r="D9173" s="21"/>
    </row>
    <row r="9174" spans="1:4" ht="12.75" customHeight="1" x14ac:dyDescent="0.2">
      <c r="A9174" s="21"/>
      <c r="B9174" s="3" t="s">
        <v>17</v>
      </c>
      <c r="C9174" s="23" t="s">
        <v>19</v>
      </c>
      <c r="D9174" s="21"/>
    </row>
    <row r="9175" spans="1:4" ht="25.5" customHeight="1" x14ac:dyDescent="0.2">
      <c r="A9175" s="21"/>
      <c r="B9175" s="20" t="s">
        <v>18</v>
      </c>
      <c r="C9175" s="8" t="s">
        <v>44</v>
      </c>
      <c r="D9175" s="1" t="str">
        <f>HYPERLINK("javascript:void(0)","dracoacél antigrav csizma")</f>
        <v>dracoacél antigrav csizma</v>
      </c>
    </row>
    <row r="9176" spans="1:4" ht="12.75" customHeight="1" x14ac:dyDescent="0.2">
      <c r="A9176" s="21"/>
      <c r="B9176" s="21"/>
      <c r="C9176" s="8" t="s">
        <v>139</v>
      </c>
      <c r="D9176" s="1" t="str">
        <f>HYPERLINK("javascript:void(0)","fókaprém")</f>
        <v>fókaprém</v>
      </c>
    </row>
    <row r="9177" spans="1:4" ht="12.75" customHeight="1" x14ac:dyDescent="0.2">
      <c r="A9177" s="21"/>
      <c r="B9177" s="21"/>
      <c r="C9177" s="8" t="s">
        <v>193</v>
      </c>
      <c r="D9177" s="1" t="str">
        <f>HYPERLINK("javascript:void(0)","fúrófej")</f>
        <v>fúrófej</v>
      </c>
    </row>
    <row r="9178" spans="1:4" ht="12.75" customHeight="1" x14ac:dyDescent="0.2">
      <c r="A9178" s="21"/>
      <c r="B9178" s="2"/>
      <c r="C9178" s="7"/>
      <c r="D9178" s="7"/>
    </row>
    <row r="9179" spans="1:4" ht="12.75" customHeight="1" x14ac:dyDescent="0.2">
      <c r="A9179" s="21"/>
      <c r="B9179" s="2"/>
      <c r="C9179" s="7"/>
      <c r="D9179" s="7"/>
    </row>
    <row r="9180" spans="1:4" ht="12.75" customHeight="1" x14ac:dyDescent="0.2">
      <c r="A9180" s="21"/>
      <c r="B9180" s="2"/>
      <c r="C9180" s="7"/>
      <c r="D9180" s="7"/>
    </row>
    <row r="9181" spans="1:4" ht="12.75" customHeight="1" x14ac:dyDescent="0.2">
      <c r="A9181" s="21"/>
      <c r="B9181" s="2"/>
      <c r="C9181" s="7"/>
      <c r="D9181" s="7"/>
    </row>
    <row r="9182" spans="1:4" ht="12.75" customHeight="1" x14ac:dyDescent="0.2">
      <c r="A9182" s="5"/>
      <c r="B9182" s="2"/>
      <c r="C9182" s="7"/>
      <c r="D9182" s="7"/>
    </row>
    <row r="9183" spans="1:4" ht="12.75" customHeight="1" x14ac:dyDescent="0.2">
      <c r="A9183" s="22" t="str">
        <f>HYPERLINK("javascript:void(0)","teljes aranyvért")</f>
        <v>teljes aranyvért</v>
      </c>
      <c r="B9183" s="21"/>
      <c r="C9183" s="21"/>
      <c r="D9183" s="21"/>
    </row>
    <row r="9184" spans="1:4" ht="12.75" customHeight="1" x14ac:dyDescent="0.2">
      <c r="A9184" s="20"/>
      <c r="B9184" s="2"/>
      <c r="C9184" s="7"/>
      <c r="D9184" s="7"/>
    </row>
    <row r="9185" spans="1:4" ht="12.75" customHeight="1" x14ac:dyDescent="0.2">
      <c r="A9185" s="21"/>
      <c r="B9185" s="3" t="s">
        <v>0</v>
      </c>
      <c r="C9185" s="23" t="s">
        <v>719</v>
      </c>
      <c r="D9185" s="21"/>
    </row>
    <row r="9186" spans="1:4" ht="12.75" customHeight="1" x14ac:dyDescent="0.2">
      <c r="A9186" s="21"/>
      <c r="B9186" s="3" t="s">
        <v>2</v>
      </c>
      <c r="C9186" s="23" t="s">
        <v>2322</v>
      </c>
      <c r="D9186" s="21"/>
    </row>
    <row r="9187" spans="1:4" ht="12.75" customHeight="1" x14ac:dyDescent="0.2">
      <c r="A9187" s="21"/>
      <c r="B9187" s="3" t="s">
        <v>1840</v>
      </c>
      <c r="C9187" s="23" t="s">
        <v>2463</v>
      </c>
      <c r="D9187" s="21"/>
    </row>
    <row r="9188" spans="1:4" ht="12.75" customHeight="1" x14ac:dyDescent="0.2">
      <c r="A9188" s="21"/>
      <c r="B9188" s="3" t="s">
        <v>9</v>
      </c>
      <c r="C9188" s="23" t="s">
        <v>2464</v>
      </c>
      <c r="D9188" s="21"/>
    </row>
    <row r="9189" spans="1:4" ht="12.75" customHeight="1" x14ac:dyDescent="0.2">
      <c r="A9189" s="21"/>
      <c r="B9189" s="3" t="s">
        <v>11</v>
      </c>
      <c r="C9189" s="23" t="s">
        <v>917</v>
      </c>
      <c r="D9189" s="21"/>
    </row>
    <row r="9190" spans="1:4" ht="12.75" customHeight="1" x14ac:dyDescent="0.2">
      <c r="A9190" s="21"/>
      <c r="B9190" s="3" t="s">
        <v>16</v>
      </c>
      <c r="C9190" s="23"/>
      <c r="D9190" s="21"/>
    </row>
    <row r="9191" spans="1:4" ht="12.75" customHeight="1" x14ac:dyDescent="0.2">
      <c r="A9191" s="21"/>
      <c r="B9191" s="3" t="s">
        <v>17</v>
      </c>
      <c r="C9191" s="23" t="s">
        <v>19</v>
      </c>
      <c r="D9191" s="21"/>
    </row>
    <row r="9192" spans="1:4" ht="12.75" customHeight="1" x14ac:dyDescent="0.2">
      <c r="A9192" s="21"/>
      <c r="B9192" s="20" t="s">
        <v>18</v>
      </c>
      <c r="C9192" s="8" t="s">
        <v>232</v>
      </c>
      <c r="D9192" s="1" t="str">
        <f>HYPERLINK("javascript:void(0)","aranyrög")</f>
        <v>aranyrög</v>
      </c>
    </row>
    <row r="9193" spans="1:4" ht="12.75" customHeight="1" x14ac:dyDescent="0.2">
      <c r="A9193" s="21"/>
      <c r="B9193" s="21"/>
      <c r="C9193" s="8" t="s">
        <v>68</v>
      </c>
      <c r="D9193" s="1" t="str">
        <f>HYPERLINK("javascript:void(0)","teleportige")</f>
        <v>teleportige</v>
      </c>
    </row>
    <row r="9194" spans="1:4" ht="12.75" customHeight="1" x14ac:dyDescent="0.2">
      <c r="A9194" s="21"/>
      <c r="B9194" s="21"/>
      <c r="C9194" s="8" t="s">
        <v>117</v>
      </c>
      <c r="D9194" s="1" t="str">
        <f>HYPERLINK("javascript:void(0)","hőgolyó")</f>
        <v>hőgolyó</v>
      </c>
    </row>
    <row r="9195" spans="1:4" ht="12.75" customHeight="1" x14ac:dyDescent="0.2">
      <c r="A9195" s="21"/>
      <c r="B9195" s="2"/>
      <c r="C9195" s="7"/>
      <c r="D9195" s="7"/>
    </row>
    <row r="9196" spans="1:4" ht="12.75" customHeight="1" x14ac:dyDescent="0.2">
      <c r="A9196" s="21"/>
      <c r="B9196" s="2"/>
      <c r="C9196" s="7"/>
      <c r="D9196" s="7"/>
    </row>
    <row r="9197" spans="1:4" ht="12.75" customHeight="1" x14ac:dyDescent="0.2">
      <c r="A9197" s="21"/>
      <c r="B9197" s="2"/>
      <c r="C9197" s="7"/>
      <c r="D9197" s="7"/>
    </row>
    <row r="9198" spans="1:4" ht="12.75" customHeight="1" x14ac:dyDescent="0.2">
      <c r="A9198" s="21"/>
      <c r="B9198" s="2"/>
      <c r="C9198" s="7"/>
      <c r="D9198" s="7"/>
    </row>
    <row r="9199" spans="1:4" ht="12.75" customHeight="1" x14ac:dyDescent="0.2">
      <c r="A9199" s="5"/>
      <c r="B9199" s="2"/>
      <c r="C9199" s="7"/>
      <c r="D9199" s="7"/>
    </row>
    <row r="9200" spans="1:4" ht="12.75" customHeight="1" x14ac:dyDescent="0.2">
      <c r="A9200" s="22" t="str">
        <f>HYPERLINK("javascript:void(0)","lemezelt sisak")</f>
        <v>lemezelt sisak</v>
      </c>
      <c r="B9200" s="21"/>
      <c r="C9200" s="21"/>
      <c r="D9200" s="21"/>
    </row>
    <row r="9201" spans="1:4" ht="12.75" customHeight="1" x14ac:dyDescent="0.2">
      <c r="A9201" s="20"/>
      <c r="B9201" s="2"/>
      <c r="C9201" s="7"/>
      <c r="D9201" s="7"/>
    </row>
    <row r="9202" spans="1:4" ht="12.75" customHeight="1" x14ac:dyDescent="0.2">
      <c r="A9202" s="21"/>
      <c r="B9202" s="3" t="s">
        <v>0</v>
      </c>
      <c r="C9202" s="23" t="s">
        <v>719</v>
      </c>
      <c r="D9202" s="21"/>
    </row>
    <row r="9203" spans="1:4" ht="12.75" customHeight="1" x14ac:dyDescent="0.2">
      <c r="A9203" s="21"/>
      <c r="B9203" s="3" t="s">
        <v>2</v>
      </c>
      <c r="C9203" s="23"/>
      <c r="D9203" s="21"/>
    </row>
    <row r="9204" spans="1:4" ht="12.75" customHeight="1" x14ac:dyDescent="0.2">
      <c r="A9204" s="21"/>
      <c r="B9204" s="3" t="s">
        <v>1840</v>
      </c>
      <c r="C9204" s="23" t="s">
        <v>171</v>
      </c>
      <c r="D9204" s="21"/>
    </row>
    <row r="9205" spans="1:4" ht="12.75" customHeight="1" x14ac:dyDescent="0.2">
      <c r="A9205" s="21"/>
      <c r="B9205" s="3" t="s">
        <v>9</v>
      </c>
      <c r="C9205" s="23" t="s">
        <v>877</v>
      </c>
      <c r="D9205" s="21"/>
    </row>
    <row r="9206" spans="1:4" ht="12.75" customHeight="1" x14ac:dyDescent="0.2">
      <c r="A9206" s="21"/>
      <c r="B9206" s="3" t="s">
        <v>11</v>
      </c>
      <c r="C9206" s="23" t="s">
        <v>917</v>
      </c>
      <c r="D9206" s="21"/>
    </row>
    <row r="9207" spans="1:4" ht="12.75" customHeight="1" x14ac:dyDescent="0.2">
      <c r="A9207" s="21"/>
      <c r="B9207" s="3" t="s">
        <v>16</v>
      </c>
      <c r="C9207" s="23"/>
      <c r="D9207" s="21"/>
    </row>
    <row r="9208" spans="1:4" ht="12.75" customHeight="1" x14ac:dyDescent="0.2">
      <c r="A9208" s="21"/>
      <c r="B9208" s="3" t="s">
        <v>17</v>
      </c>
      <c r="C9208" s="23" t="s">
        <v>19</v>
      </c>
      <c r="D9208" s="21"/>
    </row>
    <row r="9209" spans="1:4" ht="12.75" customHeight="1" x14ac:dyDescent="0.2">
      <c r="A9209" s="21"/>
      <c r="B9209" s="20" t="s">
        <v>18</v>
      </c>
      <c r="C9209" s="8" t="s">
        <v>44</v>
      </c>
      <c r="D9209" s="1" t="str">
        <f>HYPERLINK("javascript:void(0)","szivárvány sisak")</f>
        <v>szivárvány sisak</v>
      </c>
    </row>
    <row r="9210" spans="1:4" ht="12.75" customHeight="1" x14ac:dyDescent="0.2">
      <c r="A9210" s="21"/>
      <c r="B9210" s="21"/>
      <c r="C9210" s="8" t="s">
        <v>232</v>
      </c>
      <c r="D9210" s="1" t="str">
        <f>HYPERLINK("javascript:void(0)","nagylemez")</f>
        <v>nagylemez</v>
      </c>
    </row>
    <row r="9211" spans="1:4" ht="12.75" customHeight="1" x14ac:dyDescent="0.2">
      <c r="A9211" s="21"/>
      <c r="B9211" s="21"/>
      <c r="C9211" s="8" t="s">
        <v>163</v>
      </c>
      <c r="D9211" s="1" t="str">
        <f>HYPERLINK("javascript:void(0)","medúza csáp")</f>
        <v>medúza csáp</v>
      </c>
    </row>
    <row r="9212" spans="1:4" ht="12.75" customHeight="1" x14ac:dyDescent="0.2">
      <c r="A9212" s="21"/>
      <c r="B9212" s="2"/>
      <c r="C9212" s="7"/>
      <c r="D9212" s="7"/>
    </row>
    <row r="9213" spans="1:4" ht="12.75" customHeight="1" x14ac:dyDescent="0.2">
      <c r="A9213" s="21"/>
      <c r="B9213" s="2"/>
      <c r="C9213" s="7"/>
      <c r="D9213" s="7"/>
    </row>
    <row r="9214" spans="1:4" ht="12.75" customHeight="1" x14ac:dyDescent="0.2">
      <c r="A9214" s="21"/>
      <c r="B9214" s="2"/>
      <c r="C9214" s="7"/>
      <c r="D9214" s="7"/>
    </row>
    <row r="9215" spans="1:4" ht="12.75" customHeight="1" x14ac:dyDescent="0.2">
      <c r="A9215" s="21"/>
      <c r="B9215" s="2"/>
      <c r="C9215" s="7"/>
      <c r="D9215" s="7"/>
    </row>
    <row r="9216" spans="1:4" ht="12.75" customHeight="1" x14ac:dyDescent="0.2">
      <c r="A9216" s="5"/>
      <c r="B9216" s="2"/>
      <c r="C9216" s="7"/>
      <c r="D9216" s="7"/>
    </row>
    <row r="9217" spans="1:4" ht="12.75" customHeight="1" x14ac:dyDescent="0.2">
      <c r="A9217" s="22" t="str">
        <f>HYPERLINK("javascript:void(0)","réz mokaszin")</f>
        <v>réz mokaszin</v>
      </c>
      <c r="B9217" s="21"/>
      <c r="C9217" s="21"/>
      <c r="D9217" s="21"/>
    </row>
    <row r="9218" spans="1:4" ht="12.75" customHeight="1" x14ac:dyDescent="0.2">
      <c r="A9218" s="20"/>
      <c r="B9218" s="2"/>
      <c r="C9218" s="7"/>
      <c r="D9218" s="7"/>
    </row>
    <row r="9219" spans="1:4" ht="12.75" customHeight="1" x14ac:dyDescent="0.2">
      <c r="A9219" s="21"/>
      <c r="B9219" s="3" t="s">
        <v>0</v>
      </c>
      <c r="C9219" s="23" t="s">
        <v>719</v>
      </c>
      <c r="D9219" s="21"/>
    </row>
    <row r="9220" spans="1:4" ht="12.75" customHeight="1" x14ac:dyDescent="0.2">
      <c r="A9220" s="21"/>
      <c r="B9220" s="3" t="s">
        <v>2</v>
      </c>
      <c r="C9220" s="23"/>
      <c r="D9220" s="21"/>
    </row>
    <row r="9221" spans="1:4" ht="12.75" customHeight="1" x14ac:dyDescent="0.2">
      <c r="A9221" s="21"/>
      <c r="B9221" s="3" t="s">
        <v>1840</v>
      </c>
      <c r="C9221" s="23" t="s">
        <v>2055</v>
      </c>
      <c r="D9221" s="21"/>
    </row>
    <row r="9222" spans="1:4" ht="12.75" customHeight="1" x14ac:dyDescent="0.2">
      <c r="A9222" s="21"/>
      <c r="B9222" s="3" t="s">
        <v>9</v>
      </c>
      <c r="C9222" s="23" t="s">
        <v>2056</v>
      </c>
      <c r="D9222" s="21"/>
    </row>
    <row r="9223" spans="1:4" ht="12.75" customHeight="1" x14ac:dyDescent="0.2">
      <c r="A9223" s="21"/>
      <c r="B9223" s="3" t="s">
        <v>11</v>
      </c>
      <c r="C9223" s="23" t="s">
        <v>956</v>
      </c>
      <c r="D9223" s="21"/>
    </row>
    <row r="9224" spans="1:4" ht="12.75" customHeight="1" x14ac:dyDescent="0.2">
      <c r="A9224" s="21"/>
      <c r="B9224" s="3" t="s">
        <v>16</v>
      </c>
      <c r="C9224" s="23"/>
      <c r="D9224" s="21"/>
    </row>
    <row r="9225" spans="1:4" ht="12.75" customHeight="1" x14ac:dyDescent="0.2">
      <c r="A9225" s="21"/>
      <c r="B9225" s="3" t="s">
        <v>17</v>
      </c>
      <c r="C9225" s="23" t="s">
        <v>19</v>
      </c>
      <c r="D9225" s="21"/>
    </row>
    <row r="9226" spans="1:4" ht="12.75" customHeight="1" x14ac:dyDescent="0.2">
      <c r="A9226" s="21"/>
      <c r="B9226" s="20" t="s">
        <v>18</v>
      </c>
      <c r="C9226" s="8" t="s">
        <v>44</v>
      </c>
      <c r="D9226" s="1" t="str">
        <f>HYPERLINK("javascript:void(0)","thordi saru")</f>
        <v>thordi saru</v>
      </c>
    </row>
    <row r="9227" spans="1:4" ht="12.75" customHeight="1" x14ac:dyDescent="0.2">
      <c r="A9227" s="21"/>
      <c r="B9227" s="21"/>
      <c r="C9227" s="8" t="s">
        <v>44</v>
      </c>
      <c r="D9227" s="1" t="str">
        <f>HYPERLINK("javascript:void(0)","harmatacél saru")</f>
        <v>harmatacél saru</v>
      </c>
    </row>
    <row r="9228" spans="1:4" ht="12.75" customHeight="1" x14ac:dyDescent="0.2">
      <c r="A9228" s="21"/>
      <c r="B9228" s="21"/>
      <c r="C9228" s="8" t="s">
        <v>44</v>
      </c>
      <c r="D9228" s="1" t="str">
        <f>HYPERLINK("javascript:void(0)","réztalp")</f>
        <v>réztalp</v>
      </c>
    </row>
    <row r="9229" spans="1:4" ht="12.75" customHeight="1" x14ac:dyDescent="0.2">
      <c r="A9229" s="21"/>
      <c r="B9229" s="2"/>
      <c r="C9229" s="7"/>
      <c r="D9229" s="7"/>
    </row>
    <row r="9230" spans="1:4" ht="12.75" customHeight="1" x14ac:dyDescent="0.2">
      <c r="A9230" s="21"/>
      <c r="B9230" s="2"/>
      <c r="C9230" s="7"/>
      <c r="D9230" s="7"/>
    </row>
    <row r="9231" spans="1:4" ht="12.75" customHeight="1" x14ac:dyDescent="0.2">
      <c r="A9231" s="21"/>
      <c r="B9231" s="2"/>
      <c r="C9231" s="7"/>
      <c r="D9231" s="7"/>
    </row>
    <row r="9232" spans="1:4" ht="12.75" customHeight="1" x14ac:dyDescent="0.2">
      <c r="A9232" s="21"/>
      <c r="B9232" s="2"/>
      <c r="C9232" s="7"/>
      <c r="D9232" s="7"/>
    </row>
    <row r="9233" spans="1:4" ht="12.75" customHeight="1" x14ac:dyDescent="0.2">
      <c r="A9233" s="5"/>
      <c r="B9233" s="2"/>
      <c r="C9233" s="7"/>
      <c r="D9233" s="7"/>
    </row>
    <row r="9234" spans="1:4" ht="12.75" customHeight="1" x14ac:dyDescent="0.2">
      <c r="A9234" s="22" t="str">
        <f>HYPERLINK("javascript:void(0)","szivárvány testpajzs")</f>
        <v>szivárvány testpajzs</v>
      </c>
      <c r="B9234" s="21"/>
      <c r="C9234" s="21"/>
      <c r="D9234" s="21"/>
    </row>
    <row r="9235" spans="1:4" ht="12.75" customHeight="1" x14ac:dyDescent="0.2">
      <c r="A9235" s="20"/>
      <c r="B9235" s="2"/>
      <c r="C9235" s="7"/>
      <c r="D9235" s="7"/>
    </row>
    <row r="9236" spans="1:4" ht="12.75" customHeight="1" x14ac:dyDescent="0.2">
      <c r="A9236" s="21"/>
      <c r="B9236" s="3" t="s">
        <v>0</v>
      </c>
      <c r="C9236" s="23" t="s">
        <v>719</v>
      </c>
      <c r="D9236" s="21"/>
    </row>
    <row r="9237" spans="1:4" ht="12.75" customHeight="1" x14ac:dyDescent="0.2">
      <c r="A9237" s="21"/>
      <c r="B9237" s="3" t="s">
        <v>2</v>
      </c>
      <c r="C9237" s="23" t="s">
        <v>1839</v>
      </c>
      <c r="D9237" s="21"/>
    </row>
    <row r="9238" spans="1:4" ht="12.75" customHeight="1" x14ac:dyDescent="0.2">
      <c r="A9238" s="21"/>
      <c r="B9238" s="3" t="s">
        <v>1840</v>
      </c>
      <c r="C9238" s="23" t="s">
        <v>1798</v>
      </c>
      <c r="D9238" s="21"/>
    </row>
    <row r="9239" spans="1:4" ht="12.75" customHeight="1" x14ac:dyDescent="0.2">
      <c r="A9239" s="21"/>
      <c r="B9239" s="3" t="s">
        <v>9</v>
      </c>
      <c r="C9239" s="23" t="s">
        <v>262</v>
      </c>
      <c r="D9239" s="21"/>
    </row>
    <row r="9240" spans="1:4" ht="12.75" customHeight="1" x14ac:dyDescent="0.2">
      <c r="A9240" s="21"/>
      <c r="B9240" s="3" t="s">
        <v>11</v>
      </c>
      <c r="C9240" s="23" t="s">
        <v>1071</v>
      </c>
      <c r="D9240" s="21"/>
    </row>
    <row r="9241" spans="1:4" ht="12.75" customHeight="1" x14ac:dyDescent="0.2">
      <c r="A9241" s="21"/>
      <c r="B9241" s="3" t="s">
        <v>16</v>
      </c>
      <c r="C9241" s="23"/>
      <c r="D9241" s="21"/>
    </row>
    <row r="9242" spans="1:4" ht="12.75" customHeight="1" x14ac:dyDescent="0.2">
      <c r="A9242" s="21"/>
      <c r="B9242" s="3" t="s">
        <v>17</v>
      </c>
      <c r="C9242" s="23" t="s">
        <v>19</v>
      </c>
      <c r="D9242" s="21"/>
    </row>
    <row r="9243" spans="1:4" ht="12.75" customHeight="1" x14ac:dyDescent="0.2">
      <c r="A9243" s="21"/>
      <c r="B9243" s="20" t="s">
        <v>18</v>
      </c>
      <c r="C9243" s="8" t="s">
        <v>44</v>
      </c>
      <c r="D9243" s="1" t="str">
        <f>HYPERLINK("javascript:void(0)","harmatacél testpajzs")</f>
        <v>harmatacél testpajzs</v>
      </c>
    </row>
    <row r="9244" spans="1:4" ht="12.75" customHeight="1" x14ac:dyDescent="0.2">
      <c r="A9244" s="21"/>
      <c r="B9244" s="21"/>
      <c r="C9244" s="8" t="s">
        <v>67</v>
      </c>
      <c r="D9244" s="1" t="str">
        <f>HYPERLINK("javascript:void(0)","szivárványszív")</f>
        <v>szivárványszív</v>
      </c>
    </row>
    <row r="9245" spans="1:4" ht="12.75" customHeight="1" x14ac:dyDescent="0.2">
      <c r="A9245" s="21"/>
      <c r="B9245" s="21"/>
      <c r="C9245" s="8" t="s">
        <v>68</v>
      </c>
      <c r="D9245" s="1" t="str">
        <f>HYPERLINK("javascript:void(0)","hőgolyó")</f>
        <v>hőgolyó</v>
      </c>
    </row>
    <row r="9246" spans="1:4" ht="12.75" customHeight="1" x14ac:dyDescent="0.2">
      <c r="A9246" s="21"/>
      <c r="B9246" s="2"/>
      <c r="C9246" s="7"/>
      <c r="D9246" s="7"/>
    </row>
    <row r="9247" spans="1:4" ht="12.75" customHeight="1" x14ac:dyDescent="0.2">
      <c r="A9247" s="21"/>
      <c r="B9247" s="2"/>
      <c r="C9247" s="7"/>
      <c r="D9247" s="7"/>
    </row>
    <row r="9248" spans="1:4" ht="12.75" customHeight="1" x14ac:dyDescent="0.2">
      <c r="A9248" s="21"/>
      <c r="B9248" s="2"/>
      <c r="C9248" s="7"/>
      <c r="D9248" s="7"/>
    </row>
    <row r="9249" spans="1:4" ht="12.75" customHeight="1" x14ac:dyDescent="0.2">
      <c r="A9249" s="21"/>
      <c r="B9249" s="2"/>
      <c r="C9249" s="7"/>
      <c r="D9249" s="7"/>
    </row>
    <row r="9250" spans="1:4" ht="12.75" customHeight="1" x14ac:dyDescent="0.2">
      <c r="A9250" s="5"/>
      <c r="B9250" s="2"/>
      <c r="C9250" s="7"/>
      <c r="D9250" s="7"/>
    </row>
    <row r="9251" spans="1:4" ht="12.75" customHeight="1" x14ac:dyDescent="0.2">
      <c r="A9251" s="22" t="str">
        <f>HYPERLINK("javascript:void(0)","helioacél illanat")</f>
        <v>helioacél illanat</v>
      </c>
      <c r="B9251" s="21"/>
      <c r="C9251" s="21"/>
      <c r="D9251" s="21"/>
    </row>
    <row r="9252" spans="1:4" ht="12.75" customHeight="1" x14ac:dyDescent="0.2">
      <c r="A9252" s="20"/>
      <c r="B9252" s="2"/>
      <c r="C9252" s="7"/>
      <c r="D9252" s="7"/>
    </row>
    <row r="9253" spans="1:4" ht="12.75" customHeight="1" x14ac:dyDescent="0.2">
      <c r="A9253" s="21"/>
      <c r="B9253" s="3" t="s">
        <v>0</v>
      </c>
      <c r="C9253" s="23" t="s">
        <v>719</v>
      </c>
      <c r="D9253" s="21"/>
    </row>
    <row r="9254" spans="1:4" ht="12.75" customHeight="1" x14ac:dyDescent="0.2">
      <c r="A9254" s="21"/>
      <c r="B9254" s="3" t="s">
        <v>2</v>
      </c>
      <c r="C9254" s="23" t="s">
        <v>1839</v>
      </c>
      <c r="D9254" s="21"/>
    </row>
    <row r="9255" spans="1:4" ht="12.75" customHeight="1" x14ac:dyDescent="0.2">
      <c r="A9255" s="21"/>
      <c r="B9255" s="3" t="s">
        <v>1840</v>
      </c>
      <c r="C9255" s="23" t="s">
        <v>1798</v>
      </c>
      <c r="D9255" s="21"/>
    </row>
    <row r="9256" spans="1:4" ht="12.75" customHeight="1" x14ac:dyDescent="0.2">
      <c r="A9256" s="21"/>
      <c r="B9256" s="3" t="s">
        <v>9</v>
      </c>
      <c r="C9256" s="23" t="s">
        <v>820</v>
      </c>
      <c r="D9256" s="21"/>
    </row>
    <row r="9257" spans="1:4" ht="12.75" customHeight="1" x14ac:dyDescent="0.2">
      <c r="A9257" s="21"/>
      <c r="B9257" s="3" t="s">
        <v>11</v>
      </c>
      <c r="C9257" s="23" t="s">
        <v>1105</v>
      </c>
      <c r="D9257" s="21"/>
    </row>
    <row r="9258" spans="1:4" ht="12.75" customHeight="1" x14ac:dyDescent="0.2">
      <c r="A9258" s="21"/>
      <c r="B9258" s="3" t="s">
        <v>16</v>
      </c>
      <c r="C9258" s="23"/>
      <c r="D9258" s="21"/>
    </row>
    <row r="9259" spans="1:4" ht="12.75" customHeight="1" x14ac:dyDescent="0.2">
      <c r="A9259" s="21"/>
      <c r="B9259" s="3" t="s">
        <v>17</v>
      </c>
      <c r="C9259" s="23" t="s">
        <v>19</v>
      </c>
      <c r="D9259" s="21"/>
    </row>
    <row r="9260" spans="1:4" ht="12.75" customHeight="1" x14ac:dyDescent="0.2">
      <c r="A9260" s="21"/>
      <c r="B9260" s="20" t="s">
        <v>18</v>
      </c>
      <c r="C9260" s="8" t="s">
        <v>44</v>
      </c>
      <c r="D9260" s="1" t="str">
        <f>HYPERLINK("javascript:void(0)","szivárvány testpajzs")</f>
        <v>szivárvány testpajzs</v>
      </c>
    </row>
    <row r="9261" spans="1:4" ht="12.75" customHeight="1" x14ac:dyDescent="0.2">
      <c r="A9261" s="21"/>
      <c r="B9261" s="21"/>
      <c r="C9261" s="8" t="s">
        <v>117</v>
      </c>
      <c r="D9261" s="1" t="str">
        <f>HYPERLINK("javascript:void(0)","teleportige")</f>
        <v>teleportige</v>
      </c>
    </row>
    <row r="9262" spans="1:4" ht="12.75" customHeight="1" x14ac:dyDescent="0.2">
      <c r="A9262" s="21"/>
      <c r="B9262" s="21"/>
      <c r="C9262" s="8" t="s">
        <v>98</v>
      </c>
      <c r="D9262" s="1" t="str">
        <f>HYPERLINK("javascript:void(0)","hypnogén")</f>
        <v>hypnogén</v>
      </c>
    </row>
    <row r="9263" spans="1:4" ht="12.75" customHeight="1" x14ac:dyDescent="0.2">
      <c r="A9263" s="21"/>
      <c r="B9263" s="2"/>
      <c r="C9263" s="7"/>
      <c r="D9263" s="7"/>
    </row>
    <row r="9264" spans="1:4" ht="12.75" customHeight="1" x14ac:dyDescent="0.2">
      <c r="A9264" s="21"/>
      <c r="B9264" s="2"/>
      <c r="C9264" s="7"/>
      <c r="D9264" s="7"/>
    </row>
    <row r="9265" spans="1:4" ht="12.75" customHeight="1" x14ac:dyDescent="0.2">
      <c r="A9265" s="21"/>
      <c r="B9265" s="2"/>
      <c r="C9265" s="7"/>
      <c r="D9265" s="7"/>
    </row>
    <row r="9266" spans="1:4" ht="12.75" customHeight="1" x14ac:dyDescent="0.2">
      <c r="A9266" s="21"/>
      <c r="B9266" s="2"/>
      <c r="C9266" s="7"/>
      <c r="D9266" s="7"/>
    </row>
    <row r="9267" spans="1:4" ht="12.75" customHeight="1" x14ac:dyDescent="0.2">
      <c r="A9267" s="5"/>
      <c r="B9267" s="2"/>
      <c r="C9267" s="7"/>
      <c r="D9267" s="7"/>
    </row>
    <row r="9268" spans="1:4" ht="12.75" customHeight="1" x14ac:dyDescent="0.2">
      <c r="A9268" s="22" t="str">
        <f>HYPERLINK("javascript:void(0)","réztalp")</f>
        <v>réztalp</v>
      </c>
      <c r="B9268" s="21"/>
      <c r="C9268" s="21"/>
      <c r="D9268" s="21"/>
    </row>
    <row r="9269" spans="1:4" ht="12.75" customHeight="1" x14ac:dyDescent="0.2">
      <c r="A9269" s="20"/>
      <c r="B9269" s="2"/>
      <c r="C9269" s="7"/>
      <c r="D9269" s="7"/>
    </row>
    <row r="9270" spans="1:4" ht="12.75" customHeight="1" x14ac:dyDescent="0.2">
      <c r="A9270" s="21"/>
      <c r="B9270" s="3" t="s">
        <v>0</v>
      </c>
      <c r="C9270" s="23" t="s">
        <v>719</v>
      </c>
      <c r="D9270" s="21"/>
    </row>
    <row r="9271" spans="1:4" ht="12.75" customHeight="1" x14ac:dyDescent="0.2">
      <c r="A9271" s="21"/>
      <c r="B9271" s="3" t="s">
        <v>2</v>
      </c>
      <c r="C9271" s="23" t="s">
        <v>2322</v>
      </c>
      <c r="D9271" s="21"/>
    </row>
    <row r="9272" spans="1:4" ht="12.75" customHeight="1" x14ac:dyDescent="0.2">
      <c r="A9272" s="21"/>
      <c r="B9272" s="3" t="s">
        <v>1840</v>
      </c>
      <c r="C9272" s="23" t="s">
        <v>417</v>
      </c>
      <c r="D9272" s="21"/>
    </row>
    <row r="9273" spans="1:4" ht="12.75" customHeight="1" x14ac:dyDescent="0.2">
      <c r="A9273" s="21"/>
      <c r="B9273" s="3" t="s">
        <v>9</v>
      </c>
      <c r="C9273" s="23" t="s">
        <v>42</v>
      </c>
      <c r="D9273" s="21"/>
    </row>
    <row r="9274" spans="1:4" ht="12.75" customHeight="1" x14ac:dyDescent="0.2">
      <c r="A9274" s="21"/>
      <c r="B9274" s="3" t="s">
        <v>11</v>
      </c>
      <c r="C9274" s="23" t="s">
        <v>368</v>
      </c>
      <c r="D9274" s="21"/>
    </row>
    <row r="9275" spans="1:4" ht="12.75" customHeight="1" x14ac:dyDescent="0.2">
      <c r="A9275" s="21"/>
      <c r="B9275" s="3" t="s">
        <v>16</v>
      </c>
      <c r="C9275" s="23"/>
      <c r="D9275" s="21"/>
    </row>
    <row r="9276" spans="1:4" ht="12.75" customHeight="1" x14ac:dyDescent="0.2">
      <c r="A9276" s="21"/>
      <c r="B9276" s="3" t="s">
        <v>17</v>
      </c>
      <c r="C9276" s="23" t="s">
        <v>19</v>
      </c>
      <c r="D9276" s="21"/>
    </row>
    <row r="9277" spans="1:4" ht="12.75" customHeight="1" x14ac:dyDescent="0.2">
      <c r="A9277" s="21"/>
      <c r="B9277" s="20" t="s">
        <v>18</v>
      </c>
      <c r="C9277" s="8" t="s">
        <v>77</v>
      </c>
      <c r="D9277" s="1" t="str">
        <f>HYPERLINK("javascript:void(0)","rézrög")</f>
        <v>rézrög</v>
      </c>
    </row>
    <row r="9278" spans="1:4" ht="12.75" customHeight="1" x14ac:dyDescent="0.2">
      <c r="A9278" s="21"/>
      <c r="B9278" s="21"/>
      <c r="C9278" s="8" t="s">
        <v>77</v>
      </c>
      <c r="D9278" s="1" t="str">
        <f>HYPERLINK("javascript:void(0)","nagylemez")</f>
        <v>nagylemez</v>
      </c>
    </row>
    <row r="9279" spans="1:4" ht="12.75" customHeight="1" x14ac:dyDescent="0.2">
      <c r="A9279" s="21"/>
      <c r="B9279" s="21"/>
      <c r="C9279" s="8" t="s">
        <v>117</v>
      </c>
      <c r="D9279" s="1" t="str">
        <f>HYPERLINK("javascript:void(0)","negatívum")</f>
        <v>negatívum</v>
      </c>
    </row>
    <row r="9280" spans="1:4" ht="12.75" customHeight="1" x14ac:dyDescent="0.2">
      <c r="A9280" s="21"/>
      <c r="B9280" s="2"/>
      <c r="C9280" s="7"/>
      <c r="D9280" s="7"/>
    </row>
    <row r="9281" spans="1:4" ht="12.75" customHeight="1" x14ac:dyDescent="0.2">
      <c r="A9281" s="21"/>
      <c r="B9281" s="2"/>
      <c r="C9281" s="7"/>
      <c r="D9281" s="7"/>
    </row>
    <row r="9282" spans="1:4" ht="12.75" customHeight="1" x14ac:dyDescent="0.2">
      <c r="A9282" s="21"/>
      <c r="B9282" s="2"/>
      <c r="C9282" s="7"/>
      <c r="D9282" s="7"/>
    </row>
    <row r="9283" spans="1:4" ht="12.75" customHeight="1" x14ac:dyDescent="0.2">
      <c r="A9283" s="21"/>
      <c r="B9283" s="2"/>
      <c r="C9283" s="7"/>
      <c r="D9283" s="7"/>
    </row>
    <row r="9284" spans="1:4" ht="12.75" customHeight="1" x14ac:dyDescent="0.2">
      <c r="A9284" s="5"/>
      <c r="B9284" s="2"/>
      <c r="C9284" s="7"/>
      <c r="D9284" s="7"/>
    </row>
    <row r="9285" spans="1:4" ht="12.75" customHeight="1" x14ac:dyDescent="0.2">
      <c r="A9285" s="22" t="str">
        <f>HYPERLINK("javascript:void(0)","csillámló sárkánypajzs")</f>
        <v>csillámló sárkánypajzs</v>
      </c>
      <c r="B9285" s="21"/>
      <c r="C9285" s="21"/>
      <c r="D9285" s="21"/>
    </row>
    <row r="9286" spans="1:4" ht="12.75" customHeight="1" x14ac:dyDescent="0.2">
      <c r="A9286" s="20"/>
      <c r="B9286" s="2"/>
      <c r="C9286" s="7"/>
      <c r="D9286" s="7"/>
    </row>
    <row r="9287" spans="1:4" ht="12.75" customHeight="1" x14ac:dyDescent="0.2">
      <c r="A9287" s="21"/>
      <c r="B9287" s="3" t="s">
        <v>0</v>
      </c>
      <c r="C9287" s="23" t="s">
        <v>719</v>
      </c>
      <c r="D9287" s="21"/>
    </row>
    <row r="9288" spans="1:4" ht="12.75" customHeight="1" x14ac:dyDescent="0.2">
      <c r="A9288" s="21"/>
      <c r="B9288" s="3" t="s">
        <v>2</v>
      </c>
      <c r="C9288" s="23" t="s">
        <v>1839</v>
      </c>
      <c r="D9288" s="21"/>
    </row>
    <row r="9289" spans="1:4" ht="12.75" customHeight="1" x14ac:dyDescent="0.2">
      <c r="A9289" s="21"/>
      <c r="B9289" s="3" t="s">
        <v>1840</v>
      </c>
      <c r="C9289" s="23" t="s">
        <v>1782</v>
      </c>
      <c r="D9289" s="21"/>
    </row>
    <row r="9290" spans="1:4" ht="12.75" customHeight="1" x14ac:dyDescent="0.2">
      <c r="A9290" s="21"/>
      <c r="B9290" s="3" t="s">
        <v>9</v>
      </c>
      <c r="C9290" s="23" t="s">
        <v>2237</v>
      </c>
      <c r="D9290" s="21"/>
    </row>
    <row r="9291" spans="1:4" ht="12.75" customHeight="1" x14ac:dyDescent="0.2">
      <c r="A9291" s="21"/>
      <c r="B9291" s="3" t="s">
        <v>11</v>
      </c>
      <c r="C9291" s="23" t="s">
        <v>1071</v>
      </c>
      <c r="D9291" s="21"/>
    </row>
    <row r="9292" spans="1:4" ht="12.75" customHeight="1" x14ac:dyDescent="0.2">
      <c r="A9292" s="21"/>
      <c r="B9292" s="3" t="s">
        <v>16</v>
      </c>
      <c r="C9292" s="23"/>
      <c r="D9292" s="21"/>
    </row>
    <row r="9293" spans="1:4" ht="12.75" customHeight="1" x14ac:dyDescent="0.2">
      <c r="A9293" s="21"/>
      <c r="B9293" s="3" t="s">
        <v>17</v>
      </c>
      <c r="C9293" s="23" t="s">
        <v>19</v>
      </c>
      <c r="D9293" s="21"/>
    </row>
    <row r="9294" spans="1:4" ht="12.75" customHeight="1" x14ac:dyDescent="0.2">
      <c r="A9294" s="21"/>
      <c r="B9294" s="20" t="s">
        <v>18</v>
      </c>
      <c r="C9294" s="8" t="s">
        <v>57</v>
      </c>
      <c r="D9294" s="1" t="str">
        <f>HYPERLINK("javascript:void(0)","csillámgöb")</f>
        <v>csillámgöb</v>
      </c>
    </row>
    <row r="9295" spans="1:4" ht="25.5" customHeight="1" x14ac:dyDescent="0.2">
      <c r="A9295" s="21"/>
      <c r="B9295" s="21"/>
      <c r="C9295" s="8" t="s">
        <v>44</v>
      </c>
      <c r="D9295" s="1" t="str">
        <f>HYPERLINK("javascript:void(0)","csillámló démonpajzs")</f>
        <v>csillámló démonpajzs</v>
      </c>
    </row>
    <row r="9296" spans="1:4" ht="12.75" customHeight="1" x14ac:dyDescent="0.2">
      <c r="A9296" s="21"/>
      <c r="B9296" s="21"/>
      <c r="C9296" s="8" t="s">
        <v>44</v>
      </c>
      <c r="D9296" s="1" t="str">
        <f>HYPERLINK("javascript:void(0)","gyíkacél testpajzs")</f>
        <v>gyíkacél testpajzs</v>
      </c>
    </row>
    <row r="9297" spans="1:4" ht="12.75" customHeight="1" x14ac:dyDescent="0.2">
      <c r="A9297" s="21"/>
      <c r="B9297" s="2"/>
      <c r="C9297" s="7"/>
      <c r="D9297" s="7"/>
    </row>
    <row r="9298" spans="1:4" ht="12.75" customHeight="1" x14ac:dyDescent="0.2">
      <c r="A9298" s="21"/>
      <c r="B9298" s="2"/>
      <c r="C9298" s="7"/>
      <c r="D9298" s="7"/>
    </row>
    <row r="9299" spans="1:4" ht="12.75" customHeight="1" x14ac:dyDescent="0.2">
      <c r="A9299" s="21"/>
      <c r="B9299" s="2"/>
      <c r="C9299" s="7"/>
      <c r="D9299" s="7"/>
    </row>
    <row r="9300" spans="1:4" ht="12.75" customHeight="1" x14ac:dyDescent="0.2">
      <c r="A9300" s="21"/>
      <c r="B9300" s="2"/>
      <c r="C9300" s="7"/>
      <c r="D9300" s="7"/>
    </row>
    <row r="9301" spans="1:4" ht="12.75" customHeight="1" x14ac:dyDescent="0.2">
      <c r="A9301" s="5"/>
      <c r="B9301" s="2"/>
      <c r="C9301" s="7"/>
      <c r="D9301" s="7"/>
    </row>
    <row r="9302" spans="1:4" ht="12.75" customHeight="1" x14ac:dyDescent="0.2">
      <c r="A9302" s="22" t="str">
        <f>HYPERLINK("javascript:void(0)","csillámló sárkánycsizma")</f>
        <v>csillámló sárkánycsizma</v>
      </c>
      <c r="B9302" s="21"/>
      <c r="C9302" s="21"/>
      <c r="D9302" s="21"/>
    </row>
    <row r="9303" spans="1:4" ht="12.75" customHeight="1" x14ac:dyDescent="0.2">
      <c r="A9303" s="20"/>
      <c r="B9303" s="2"/>
      <c r="C9303" s="7"/>
      <c r="D9303" s="7"/>
    </row>
    <row r="9304" spans="1:4" ht="12.75" customHeight="1" x14ac:dyDescent="0.2">
      <c r="A9304" s="21"/>
      <c r="B9304" s="3" t="s">
        <v>0</v>
      </c>
      <c r="C9304" s="23" t="s">
        <v>719</v>
      </c>
      <c r="D9304" s="21"/>
    </row>
    <row r="9305" spans="1:4" ht="12.75" customHeight="1" x14ac:dyDescent="0.2">
      <c r="A9305" s="21"/>
      <c r="B9305" s="3" t="s">
        <v>2</v>
      </c>
      <c r="C9305" s="23"/>
      <c r="D9305" s="21"/>
    </row>
    <row r="9306" spans="1:4" ht="12.75" customHeight="1" x14ac:dyDescent="0.2">
      <c r="A9306" s="21"/>
      <c r="B9306" s="3" t="s">
        <v>1840</v>
      </c>
      <c r="C9306" s="23" t="s">
        <v>455</v>
      </c>
      <c r="D9306" s="21"/>
    </row>
    <row r="9307" spans="1:4" ht="12.75" customHeight="1" x14ac:dyDescent="0.2">
      <c r="A9307" s="21"/>
      <c r="B9307" s="3" t="s">
        <v>9</v>
      </c>
      <c r="C9307" s="23" t="s">
        <v>2058</v>
      </c>
      <c r="D9307" s="21"/>
    </row>
    <row r="9308" spans="1:4" ht="12.75" customHeight="1" x14ac:dyDescent="0.2">
      <c r="A9308" s="21"/>
      <c r="B9308" s="3" t="s">
        <v>11</v>
      </c>
      <c r="C9308" s="23" t="s">
        <v>956</v>
      </c>
      <c r="D9308" s="21"/>
    </row>
    <row r="9309" spans="1:4" ht="12.75" customHeight="1" x14ac:dyDescent="0.2">
      <c r="A9309" s="21"/>
      <c r="B9309" s="3" t="s">
        <v>16</v>
      </c>
      <c r="C9309" s="23"/>
      <c r="D9309" s="21"/>
    </row>
    <row r="9310" spans="1:4" ht="12.75" customHeight="1" x14ac:dyDescent="0.2">
      <c r="A9310" s="21"/>
      <c r="B9310" s="3" t="s">
        <v>17</v>
      </c>
      <c r="C9310" s="23" t="s">
        <v>19</v>
      </c>
      <c r="D9310" s="21"/>
    </row>
    <row r="9311" spans="1:4" ht="12.75" customHeight="1" x14ac:dyDescent="0.2">
      <c r="A9311" s="21"/>
      <c r="B9311" s="20" t="s">
        <v>18</v>
      </c>
      <c r="C9311" s="8" t="s">
        <v>57</v>
      </c>
      <c r="D9311" s="1" t="str">
        <f>HYPERLINK("javascript:void(0)","csillámgöb")</f>
        <v>csillámgöb</v>
      </c>
    </row>
    <row r="9312" spans="1:4" ht="25.5" customHeight="1" x14ac:dyDescent="0.2">
      <c r="A9312" s="21"/>
      <c r="B9312" s="21"/>
      <c r="C9312" s="8" t="s">
        <v>44</v>
      </c>
      <c r="D9312" s="1" t="str">
        <f>HYPERLINK("javascript:void(0)","csillámló démoncsizma")</f>
        <v>csillámló démoncsizma</v>
      </c>
    </row>
    <row r="9313" spans="1:4" ht="12.75" customHeight="1" x14ac:dyDescent="0.2">
      <c r="A9313" s="21"/>
      <c r="B9313" s="21"/>
      <c r="C9313" s="8" t="s">
        <v>296</v>
      </c>
      <c r="D9313" s="1" t="str">
        <f>HYPERLINK("javascript:void(0)","vízige")</f>
        <v>vízige</v>
      </c>
    </row>
    <row r="9314" spans="1:4" ht="12.75" customHeight="1" x14ac:dyDescent="0.2">
      <c r="A9314" s="21"/>
      <c r="B9314" s="2"/>
      <c r="C9314" s="7"/>
      <c r="D9314" s="7"/>
    </row>
    <row r="9315" spans="1:4" ht="12.75" customHeight="1" x14ac:dyDescent="0.2">
      <c r="A9315" s="21"/>
      <c r="B9315" s="2"/>
      <c r="C9315" s="7"/>
      <c r="D9315" s="7"/>
    </row>
    <row r="9316" spans="1:4" ht="12.75" customHeight="1" x14ac:dyDescent="0.2">
      <c r="A9316" s="21"/>
      <c r="B9316" s="2"/>
      <c r="C9316" s="7"/>
      <c r="D9316" s="7"/>
    </row>
    <row r="9317" spans="1:4" ht="12.75" customHeight="1" x14ac:dyDescent="0.2">
      <c r="A9317" s="21"/>
      <c r="B9317" s="2"/>
      <c r="C9317" s="7"/>
      <c r="D9317" s="7"/>
    </row>
    <row r="9318" spans="1:4" ht="12.75" customHeight="1" x14ac:dyDescent="0.2">
      <c r="A9318" s="5"/>
      <c r="B9318" s="2"/>
      <c r="C9318" s="7"/>
      <c r="D9318" s="7"/>
    </row>
    <row r="9319" spans="1:4" ht="12.75" customHeight="1" x14ac:dyDescent="0.2">
      <c r="A9319" s="22" t="str">
        <f>HYPERLINK("javascript:void(0)","csillámos sárkánysisak")</f>
        <v>csillámos sárkánysisak</v>
      </c>
      <c r="B9319" s="21"/>
      <c r="C9319" s="21"/>
      <c r="D9319" s="21"/>
    </row>
    <row r="9320" spans="1:4" ht="12.75" customHeight="1" x14ac:dyDescent="0.2">
      <c r="A9320" s="20"/>
      <c r="B9320" s="2"/>
      <c r="C9320" s="7"/>
      <c r="D9320" s="7"/>
    </row>
    <row r="9321" spans="1:4" ht="12.75" customHeight="1" x14ac:dyDescent="0.2">
      <c r="A9321" s="21"/>
      <c r="B9321" s="3" t="s">
        <v>0</v>
      </c>
      <c r="C9321" s="23" t="s">
        <v>719</v>
      </c>
      <c r="D9321" s="21"/>
    </row>
    <row r="9322" spans="1:4" ht="12.75" customHeight="1" x14ac:dyDescent="0.2">
      <c r="A9322" s="21"/>
      <c r="B9322" s="3" t="s">
        <v>2</v>
      </c>
      <c r="C9322" s="23"/>
      <c r="D9322" s="21"/>
    </row>
    <row r="9323" spans="1:4" ht="12.75" customHeight="1" x14ac:dyDescent="0.2">
      <c r="A9323" s="21"/>
      <c r="B9323" s="3" t="s">
        <v>1840</v>
      </c>
      <c r="C9323" s="23" t="s">
        <v>175</v>
      </c>
      <c r="D9323" s="21"/>
    </row>
    <row r="9324" spans="1:4" ht="12.75" customHeight="1" x14ac:dyDescent="0.2">
      <c r="A9324" s="21"/>
      <c r="B9324" s="3" t="s">
        <v>9</v>
      </c>
      <c r="C9324" s="23" t="s">
        <v>147</v>
      </c>
      <c r="D9324" s="21"/>
    </row>
    <row r="9325" spans="1:4" ht="12.75" customHeight="1" x14ac:dyDescent="0.2">
      <c r="A9325" s="21"/>
      <c r="B9325" s="3" t="s">
        <v>11</v>
      </c>
      <c r="C9325" s="23" t="s">
        <v>917</v>
      </c>
      <c r="D9325" s="21"/>
    </row>
    <row r="9326" spans="1:4" ht="12.75" customHeight="1" x14ac:dyDescent="0.2">
      <c r="A9326" s="21"/>
      <c r="B9326" s="3" t="s">
        <v>16</v>
      </c>
      <c r="C9326" s="23"/>
      <c r="D9326" s="21"/>
    </row>
    <row r="9327" spans="1:4" ht="12.75" customHeight="1" x14ac:dyDescent="0.2">
      <c r="A9327" s="21"/>
      <c r="B9327" s="3" t="s">
        <v>17</v>
      </c>
      <c r="C9327" s="23" t="s">
        <v>19</v>
      </c>
      <c r="D9327" s="21"/>
    </row>
    <row r="9328" spans="1:4" ht="12.75" customHeight="1" x14ac:dyDescent="0.2">
      <c r="A9328" s="21"/>
      <c r="B9328" s="20" t="s">
        <v>18</v>
      </c>
      <c r="C9328" s="8" t="s">
        <v>57</v>
      </c>
      <c r="D9328" s="1" t="str">
        <f>HYPERLINK("javascript:void(0)","csillámgöb")</f>
        <v>csillámgöb</v>
      </c>
    </row>
    <row r="9329" spans="1:4" ht="25.5" customHeight="1" x14ac:dyDescent="0.2">
      <c r="A9329" s="21"/>
      <c r="B9329" s="21"/>
      <c r="C9329" s="8" t="s">
        <v>44</v>
      </c>
      <c r="D9329" s="1" t="str">
        <f>HYPERLINK("javascript:void(0)","csillámos démonsisak")</f>
        <v>csillámos démonsisak</v>
      </c>
    </row>
    <row r="9330" spans="1:4" ht="12.75" customHeight="1" x14ac:dyDescent="0.2">
      <c r="A9330" s="21"/>
      <c r="B9330" s="21"/>
      <c r="C9330" s="8" t="s">
        <v>988</v>
      </c>
      <c r="D9330" s="1" t="str">
        <f>HYPERLINK("javascript:void(0)","sárkány szív")</f>
        <v>sárkány szív</v>
      </c>
    </row>
    <row r="9331" spans="1:4" ht="12.75" customHeight="1" x14ac:dyDescent="0.2">
      <c r="A9331" s="21"/>
      <c r="B9331" s="2"/>
      <c r="C9331" s="7"/>
      <c r="D9331" s="7"/>
    </row>
    <row r="9332" spans="1:4" ht="12.75" customHeight="1" x14ac:dyDescent="0.2">
      <c r="A9332" s="21"/>
      <c r="B9332" s="2"/>
      <c r="C9332" s="7"/>
      <c r="D9332" s="7"/>
    </row>
    <row r="9333" spans="1:4" ht="12.75" customHeight="1" x14ac:dyDescent="0.2">
      <c r="A9333" s="21"/>
      <c r="B9333" s="2"/>
      <c r="C9333" s="7"/>
      <c r="D9333" s="7"/>
    </row>
    <row r="9334" spans="1:4" ht="12.75" customHeight="1" x14ac:dyDescent="0.2">
      <c r="A9334" s="21"/>
      <c r="B9334" s="2"/>
      <c r="C9334" s="7"/>
      <c r="D9334" s="7"/>
    </row>
    <row r="9335" spans="1:4" ht="12.75" customHeight="1" x14ac:dyDescent="0.2">
      <c r="A9335" s="5"/>
      <c r="B9335" s="2"/>
      <c r="C9335" s="7"/>
      <c r="D9335" s="7"/>
    </row>
    <row r="9336" spans="1:4" ht="12.75" customHeight="1" x14ac:dyDescent="0.2">
      <c r="A9336" s="22" t="str">
        <f>HYPERLINK("javascript:void(0)","csillámló sárkánypáncél")</f>
        <v>csillámló sárkánypáncél</v>
      </c>
      <c r="B9336" s="21"/>
      <c r="C9336" s="21"/>
      <c r="D9336" s="21"/>
    </row>
    <row r="9337" spans="1:4" ht="12.75" customHeight="1" x14ac:dyDescent="0.2">
      <c r="A9337" s="20"/>
      <c r="B9337" s="2"/>
      <c r="C9337" s="7"/>
      <c r="D9337" s="7"/>
    </row>
    <row r="9338" spans="1:4" ht="12.75" customHeight="1" x14ac:dyDescent="0.2">
      <c r="A9338" s="21"/>
      <c r="B9338" s="3" t="s">
        <v>0</v>
      </c>
      <c r="C9338" s="23" t="s">
        <v>719</v>
      </c>
      <c r="D9338" s="21"/>
    </row>
    <row r="9339" spans="1:4" ht="12.75" customHeight="1" x14ac:dyDescent="0.2">
      <c r="A9339" s="21"/>
      <c r="B9339" s="3" t="s">
        <v>2</v>
      </c>
      <c r="C9339" s="23" t="s">
        <v>2322</v>
      </c>
      <c r="D9339" s="21"/>
    </row>
    <row r="9340" spans="1:4" ht="12.75" customHeight="1" x14ac:dyDescent="0.2">
      <c r="A9340" s="21"/>
      <c r="B9340" s="3" t="s">
        <v>1840</v>
      </c>
      <c r="C9340" s="23" t="s">
        <v>2280</v>
      </c>
      <c r="D9340" s="21"/>
    </row>
    <row r="9341" spans="1:4" ht="12.75" customHeight="1" x14ac:dyDescent="0.2">
      <c r="A9341" s="21"/>
      <c r="B9341" s="3" t="s">
        <v>9</v>
      </c>
      <c r="C9341" s="23" t="s">
        <v>2155</v>
      </c>
      <c r="D9341" s="21"/>
    </row>
    <row r="9342" spans="1:4" ht="12.75" customHeight="1" x14ac:dyDescent="0.2">
      <c r="A9342" s="21"/>
      <c r="B9342" s="3" t="s">
        <v>11</v>
      </c>
      <c r="C9342" s="23" t="s">
        <v>917</v>
      </c>
      <c r="D9342" s="21"/>
    </row>
    <row r="9343" spans="1:4" ht="12.75" customHeight="1" x14ac:dyDescent="0.2">
      <c r="A9343" s="21"/>
      <c r="B9343" s="3" t="s">
        <v>16</v>
      </c>
      <c r="C9343" s="23"/>
      <c r="D9343" s="21"/>
    </row>
    <row r="9344" spans="1:4" ht="12.75" customHeight="1" x14ac:dyDescent="0.2">
      <c r="A9344" s="21"/>
      <c r="B9344" s="3" t="s">
        <v>17</v>
      </c>
      <c r="C9344" s="23" t="s">
        <v>19</v>
      </c>
      <c r="D9344" s="21"/>
    </row>
    <row r="9345" spans="1:4" ht="12.75" customHeight="1" x14ac:dyDescent="0.2">
      <c r="A9345" s="21"/>
      <c r="B9345" s="20" t="s">
        <v>18</v>
      </c>
      <c r="C9345" s="8" t="s">
        <v>57</v>
      </c>
      <c r="D9345" s="1" t="str">
        <f>HYPERLINK("javascript:void(0)","csillámgöb")</f>
        <v>csillámgöb</v>
      </c>
    </row>
    <row r="9346" spans="1:4" ht="25.5" customHeight="1" x14ac:dyDescent="0.2">
      <c r="A9346" s="21"/>
      <c r="B9346" s="21"/>
      <c r="C9346" s="8" t="s">
        <v>44</v>
      </c>
      <c r="D9346" s="1" t="str">
        <f>HYPERLINK("javascript:void(0)","csillámló démonpáncél")</f>
        <v>csillámló démonpáncél</v>
      </c>
    </row>
    <row r="9347" spans="1:4" ht="12.75" customHeight="1" x14ac:dyDescent="0.2">
      <c r="A9347" s="21"/>
      <c r="B9347" s="21"/>
      <c r="C9347" s="8" t="s">
        <v>786</v>
      </c>
      <c r="D9347" s="1" t="str">
        <f>HYPERLINK("javascript:void(0)","trolltartó")</f>
        <v>trolltartó</v>
      </c>
    </row>
    <row r="9348" spans="1:4" ht="12.75" customHeight="1" x14ac:dyDescent="0.2">
      <c r="A9348" s="21"/>
      <c r="B9348" s="2"/>
      <c r="C9348" s="7"/>
      <c r="D9348" s="7"/>
    </row>
    <row r="9349" spans="1:4" ht="12.75" customHeight="1" x14ac:dyDescent="0.2">
      <c r="A9349" s="21"/>
      <c r="B9349" s="2"/>
      <c r="C9349" s="7"/>
      <c r="D9349" s="7"/>
    </row>
    <row r="9350" spans="1:4" ht="12.75" customHeight="1" x14ac:dyDescent="0.2">
      <c r="A9350" s="21"/>
      <c r="B9350" s="2"/>
      <c r="C9350" s="7"/>
      <c r="D9350" s="7"/>
    </row>
    <row r="9351" spans="1:4" ht="12.75" customHeight="1" x14ac:dyDescent="0.2">
      <c r="A9351" s="21"/>
      <c r="B9351" s="2"/>
      <c r="C9351" s="7"/>
      <c r="D9351" s="7"/>
    </row>
    <row r="9352" spans="1:4" ht="12.75" customHeight="1" x14ac:dyDescent="0.2">
      <c r="A9352" s="5"/>
      <c r="B9352" s="2"/>
      <c r="C9352" s="7"/>
      <c r="D9352" s="7"/>
    </row>
    <row r="9353" spans="1:4" ht="12.75" customHeight="1" x14ac:dyDescent="0.2">
      <c r="A9353" s="22" t="str">
        <f>HYPERLINK("javascript:void(0)","teljes smaragdvért")</f>
        <v>teljes smaragdvért</v>
      </c>
      <c r="B9353" s="21"/>
      <c r="C9353" s="21"/>
      <c r="D9353" s="21"/>
    </row>
    <row r="9354" spans="1:4" ht="12.75" customHeight="1" x14ac:dyDescent="0.2">
      <c r="A9354" s="20"/>
      <c r="B9354" s="2"/>
      <c r="C9354" s="7"/>
      <c r="D9354" s="7"/>
    </row>
    <row r="9355" spans="1:4" ht="12.75" customHeight="1" x14ac:dyDescent="0.2">
      <c r="A9355" s="21"/>
      <c r="B9355" s="3" t="s">
        <v>0</v>
      </c>
      <c r="C9355" s="23" t="s">
        <v>728</v>
      </c>
      <c r="D9355" s="21"/>
    </row>
    <row r="9356" spans="1:4" ht="12.75" customHeight="1" x14ac:dyDescent="0.2">
      <c r="A9356" s="21"/>
      <c r="B9356" s="3" t="s">
        <v>2</v>
      </c>
      <c r="C9356" s="23" t="s">
        <v>2322</v>
      </c>
      <c r="D9356" s="21"/>
    </row>
    <row r="9357" spans="1:4" ht="12.75" customHeight="1" x14ac:dyDescent="0.2">
      <c r="A9357" s="21"/>
      <c r="B9357" s="3" t="s">
        <v>1840</v>
      </c>
      <c r="C9357" s="23" t="s">
        <v>2466</v>
      </c>
      <c r="D9357" s="21"/>
    </row>
    <row r="9358" spans="1:4" ht="12.75" customHeight="1" x14ac:dyDescent="0.2">
      <c r="A9358" s="21"/>
      <c r="B9358" s="3" t="s">
        <v>9</v>
      </c>
      <c r="C9358" s="23" t="s">
        <v>1991</v>
      </c>
      <c r="D9358" s="21"/>
    </row>
    <row r="9359" spans="1:4" ht="12.75" customHeight="1" x14ac:dyDescent="0.2">
      <c r="A9359" s="21"/>
      <c r="B9359" s="3" t="s">
        <v>11</v>
      </c>
      <c r="C9359" s="23" t="s">
        <v>939</v>
      </c>
      <c r="D9359" s="21"/>
    </row>
    <row r="9360" spans="1:4" ht="12.75" customHeight="1" x14ac:dyDescent="0.2">
      <c r="A9360" s="21"/>
      <c r="B9360" s="3" t="s">
        <v>16</v>
      </c>
      <c r="C9360" s="23"/>
      <c r="D9360" s="21"/>
    </row>
    <row r="9361" spans="1:4" ht="12.75" customHeight="1" x14ac:dyDescent="0.2">
      <c r="A9361" s="21"/>
      <c r="B9361" s="3" t="s">
        <v>17</v>
      </c>
      <c r="C9361" s="23" t="s">
        <v>19</v>
      </c>
      <c r="D9361" s="21"/>
    </row>
    <row r="9362" spans="1:4" ht="12.75" customHeight="1" x14ac:dyDescent="0.2">
      <c r="A9362" s="21"/>
      <c r="B9362" s="20" t="s">
        <v>18</v>
      </c>
      <c r="C9362" s="8" t="s">
        <v>44</v>
      </c>
      <c r="D9362" s="1" t="str">
        <f>HYPERLINK("javascript:void(0)","teljes ezüstvért")</f>
        <v>teljes ezüstvért</v>
      </c>
    </row>
    <row r="9363" spans="1:4" ht="12.75" customHeight="1" x14ac:dyDescent="0.2">
      <c r="A9363" s="21"/>
      <c r="B9363" s="21"/>
      <c r="C9363" s="8" t="s">
        <v>44</v>
      </c>
      <c r="D9363" s="1" t="str">
        <f>HYPERLINK("javascript:void(0)","teljes aranyvért")</f>
        <v>teljes aranyvért</v>
      </c>
    </row>
    <row r="9364" spans="1:4" ht="12.75" customHeight="1" x14ac:dyDescent="0.2">
      <c r="A9364" s="21"/>
      <c r="B9364" s="21"/>
      <c r="C9364" s="8" t="s">
        <v>44</v>
      </c>
      <c r="D9364" s="1" t="str">
        <f>HYPERLINK("javascript:void(0)","smaragd vállap")</f>
        <v>smaragd vállap</v>
      </c>
    </row>
    <row r="9365" spans="1:4" ht="12.75" customHeight="1" x14ac:dyDescent="0.2">
      <c r="A9365" s="21"/>
      <c r="B9365" s="2"/>
      <c r="C9365" s="7"/>
      <c r="D9365" s="7"/>
    </row>
    <row r="9366" spans="1:4" ht="12.75" customHeight="1" x14ac:dyDescent="0.2">
      <c r="A9366" s="21"/>
      <c r="B9366" s="2"/>
      <c r="C9366" s="7"/>
      <c r="D9366" s="7"/>
    </row>
    <row r="9367" spans="1:4" ht="12.75" customHeight="1" x14ac:dyDescent="0.2">
      <c r="A9367" s="21"/>
      <c r="B9367" s="2"/>
      <c r="C9367" s="7"/>
      <c r="D9367" s="7"/>
    </row>
    <row r="9368" spans="1:4" ht="12.75" customHeight="1" x14ac:dyDescent="0.2">
      <c r="A9368" s="21"/>
      <c r="B9368" s="2"/>
      <c r="C9368" s="7"/>
      <c r="D9368" s="7"/>
    </row>
    <row r="9369" spans="1:4" ht="12.75" customHeight="1" x14ac:dyDescent="0.2">
      <c r="A9369" s="5"/>
      <c r="B9369" s="2"/>
      <c r="C9369" s="7"/>
      <c r="D9369" s="7"/>
    </row>
    <row r="9370" spans="1:4" ht="12.75" customHeight="1" x14ac:dyDescent="0.2">
      <c r="A9370" s="22" t="str">
        <f>HYPERLINK("javascript:void(0)","nukleotid sisak")</f>
        <v>nukleotid sisak</v>
      </c>
      <c r="B9370" s="21"/>
      <c r="C9370" s="21"/>
      <c r="D9370" s="21"/>
    </row>
    <row r="9371" spans="1:4" ht="12.75" customHeight="1" x14ac:dyDescent="0.2">
      <c r="A9371" s="20"/>
      <c r="B9371" s="2"/>
      <c r="C9371" s="7"/>
      <c r="D9371" s="7"/>
    </row>
    <row r="9372" spans="1:4" ht="12.75" customHeight="1" x14ac:dyDescent="0.2">
      <c r="A9372" s="21"/>
      <c r="B9372" s="3" t="s">
        <v>0</v>
      </c>
      <c r="C9372" s="23" t="s">
        <v>728</v>
      </c>
      <c r="D9372" s="21"/>
    </row>
    <row r="9373" spans="1:4" ht="12.75" customHeight="1" x14ac:dyDescent="0.2">
      <c r="A9373" s="21"/>
      <c r="B9373" s="3" t="s">
        <v>2</v>
      </c>
      <c r="C9373" s="23"/>
      <c r="D9373" s="21"/>
    </row>
    <row r="9374" spans="1:4" ht="12.75" customHeight="1" x14ac:dyDescent="0.2">
      <c r="A9374" s="21"/>
      <c r="B9374" s="3" t="s">
        <v>1840</v>
      </c>
      <c r="C9374" s="23" t="s">
        <v>2206</v>
      </c>
      <c r="D9374" s="21"/>
    </row>
    <row r="9375" spans="1:4" ht="12.75" customHeight="1" x14ac:dyDescent="0.2">
      <c r="A9375" s="21"/>
      <c r="B9375" s="3" t="s">
        <v>9</v>
      </c>
      <c r="C9375" s="23" t="s">
        <v>2010</v>
      </c>
      <c r="D9375" s="21"/>
    </row>
    <row r="9376" spans="1:4" ht="12.75" customHeight="1" x14ac:dyDescent="0.2">
      <c r="A9376" s="21"/>
      <c r="B9376" s="3" t="s">
        <v>11</v>
      </c>
      <c r="C9376" s="23" t="s">
        <v>939</v>
      </c>
      <c r="D9376" s="21"/>
    </row>
    <row r="9377" spans="1:4" ht="12.75" customHeight="1" x14ac:dyDescent="0.2">
      <c r="A9377" s="21"/>
      <c r="B9377" s="3" t="s">
        <v>16</v>
      </c>
      <c r="C9377" s="23"/>
      <c r="D9377" s="21"/>
    </row>
    <row r="9378" spans="1:4" ht="12.75" customHeight="1" x14ac:dyDescent="0.2">
      <c r="A9378" s="21"/>
      <c r="B9378" s="3" t="s">
        <v>17</v>
      </c>
      <c r="C9378" s="23" t="s">
        <v>19</v>
      </c>
      <c r="D9378" s="21"/>
    </row>
    <row r="9379" spans="1:4" ht="12.75" customHeight="1" x14ac:dyDescent="0.2">
      <c r="A9379" s="21"/>
      <c r="B9379" s="20" t="s">
        <v>18</v>
      </c>
      <c r="C9379" s="8" t="s">
        <v>117</v>
      </c>
      <c r="D9379" s="1" t="str">
        <f>HYPERLINK("javascript:void(0)","bázispár")</f>
        <v>bázispár</v>
      </c>
    </row>
    <row r="9380" spans="1:4" ht="12.75" customHeight="1" x14ac:dyDescent="0.2">
      <c r="A9380" s="21"/>
      <c r="B9380" s="21"/>
      <c r="C9380" s="8" t="s">
        <v>280</v>
      </c>
      <c r="D9380" s="1" t="str">
        <f>HYPERLINK("javascript:void(0)","fűrészfog")</f>
        <v>fűrészfog</v>
      </c>
    </row>
    <row r="9381" spans="1:4" ht="12.75" customHeight="1" x14ac:dyDescent="0.2">
      <c r="A9381" s="21"/>
      <c r="B9381" s="21"/>
      <c r="C9381" s="8" t="s">
        <v>98</v>
      </c>
      <c r="D9381" s="1" t="str">
        <f>HYPERLINK("javascript:void(0)","negatívum")</f>
        <v>negatívum</v>
      </c>
    </row>
    <row r="9382" spans="1:4" ht="12.75" customHeight="1" x14ac:dyDescent="0.2">
      <c r="A9382" s="21"/>
      <c r="B9382" s="2"/>
      <c r="C9382" s="7"/>
      <c r="D9382" s="7"/>
    </row>
    <row r="9383" spans="1:4" ht="12.75" customHeight="1" x14ac:dyDescent="0.2">
      <c r="A9383" s="21"/>
      <c r="B9383" s="2"/>
      <c r="C9383" s="7"/>
      <c r="D9383" s="7"/>
    </row>
    <row r="9384" spans="1:4" ht="12.75" customHeight="1" x14ac:dyDescent="0.2">
      <c r="A9384" s="21"/>
      <c r="B9384" s="2"/>
      <c r="C9384" s="7"/>
      <c r="D9384" s="7"/>
    </row>
    <row r="9385" spans="1:4" ht="12.75" customHeight="1" x14ac:dyDescent="0.2">
      <c r="A9385" s="21"/>
      <c r="B9385" s="2"/>
      <c r="C9385" s="7"/>
      <c r="D9385" s="7"/>
    </row>
    <row r="9386" spans="1:4" ht="12.75" customHeight="1" x14ac:dyDescent="0.2">
      <c r="A9386" s="5"/>
      <c r="B9386" s="2"/>
      <c r="C9386" s="7"/>
      <c r="D9386" s="7"/>
    </row>
    <row r="9387" spans="1:4" ht="12.75" customHeight="1" x14ac:dyDescent="0.2">
      <c r="A9387" s="22" t="str">
        <f>HYPERLINK("javascript:void(0)","bronz mokaszin")</f>
        <v>bronz mokaszin</v>
      </c>
      <c r="B9387" s="21"/>
      <c r="C9387" s="21"/>
      <c r="D9387" s="21"/>
    </row>
    <row r="9388" spans="1:4" ht="12.75" customHeight="1" x14ac:dyDescent="0.2">
      <c r="A9388" s="20"/>
      <c r="B9388" s="2"/>
      <c r="C9388" s="7"/>
      <c r="D9388" s="7"/>
    </row>
    <row r="9389" spans="1:4" ht="12.75" customHeight="1" x14ac:dyDescent="0.2">
      <c r="A9389" s="21"/>
      <c r="B9389" s="3" t="s">
        <v>0</v>
      </c>
      <c r="C9389" s="23" t="s">
        <v>728</v>
      </c>
      <c r="D9389" s="21"/>
    </row>
    <row r="9390" spans="1:4" ht="12.75" customHeight="1" x14ac:dyDescent="0.2">
      <c r="A9390" s="21"/>
      <c r="B9390" s="3" t="s">
        <v>2</v>
      </c>
      <c r="C9390" s="23"/>
      <c r="D9390" s="21"/>
    </row>
    <row r="9391" spans="1:4" ht="12.75" customHeight="1" x14ac:dyDescent="0.2">
      <c r="A9391" s="21"/>
      <c r="B9391" s="3" t="s">
        <v>1840</v>
      </c>
      <c r="C9391" s="23" t="s">
        <v>2059</v>
      </c>
      <c r="D9391" s="21"/>
    </row>
    <row r="9392" spans="1:4" ht="12.75" customHeight="1" x14ac:dyDescent="0.2">
      <c r="A9392" s="21"/>
      <c r="B9392" s="3" t="s">
        <v>9</v>
      </c>
      <c r="C9392" s="23" t="s">
        <v>2060</v>
      </c>
      <c r="D9392" s="21"/>
    </row>
    <row r="9393" spans="1:4" ht="12.75" customHeight="1" x14ac:dyDescent="0.2">
      <c r="A9393" s="21"/>
      <c r="B9393" s="3" t="s">
        <v>11</v>
      </c>
      <c r="C9393" s="23" t="s">
        <v>973</v>
      </c>
      <c r="D9393" s="21"/>
    </row>
    <row r="9394" spans="1:4" ht="12.75" customHeight="1" x14ac:dyDescent="0.2">
      <c r="A9394" s="21"/>
      <c r="B9394" s="3" t="s">
        <v>16</v>
      </c>
      <c r="C9394" s="23"/>
      <c r="D9394" s="21"/>
    </row>
    <row r="9395" spans="1:4" ht="12.75" customHeight="1" x14ac:dyDescent="0.2">
      <c r="A9395" s="21"/>
      <c r="B9395" s="3" t="s">
        <v>17</v>
      </c>
      <c r="C9395" s="23" t="s">
        <v>19</v>
      </c>
      <c r="D9395" s="21"/>
    </row>
    <row r="9396" spans="1:4" ht="12.75" customHeight="1" x14ac:dyDescent="0.2">
      <c r="A9396" s="21"/>
      <c r="B9396" s="20" t="s">
        <v>18</v>
      </c>
      <c r="C9396" s="8" t="s">
        <v>44</v>
      </c>
      <c r="D9396" s="1" t="str">
        <f>HYPERLINK("javascript:void(0)","réz mokaszin")</f>
        <v>réz mokaszin</v>
      </c>
    </row>
    <row r="9397" spans="1:4" ht="12.75" customHeight="1" x14ac:dyDescent="0.2">
      <c r="A9397" s="21"/>
      <c r="B9397" s="21"/>
      <c r="C9397" s="8" t="s">
        <v>77</v>
      </c>
      <c r="D9397" s="1" t="str">
        <f>HYPERLINK("javascript:void(0)","bronzrög")</f>
        <v>bronzrög</v>
      </c>
    </row>
    <row r="9398" spans="1:4" ht="12.75" customHeight="1" x14ac:dyDescent="0.2">
      <c r="A9398" s="21"/>
      <c r="B9398" s="21"/>
      <c r="C9398" s="8" t="s">
        <v>77</v>
      </c>
      <c r="D9398" s="1" t="str">
        <f>HYPERLINK("javascript:void(0)","szabo-penge")</f>
        <v>szabo-penge</v>
      </c>
    </row>
    <row r="9399" spans="1:4" ht="12.75" customHeight="1" x14ac:dyDescent="0.2">
      <c r="A9399" s="21"/>
      <c r="B9399" s="2"/>
      <c r="C9399" s="7"/>
      <c r="D9399" s="7"/>
    </row>
    <row r="9400" spans="1:4" ht="12.75" customHeight="1" x14ac:dyDescent="0.2">
      <c r="A9400" s="21"/>
      <c r="B9400" s="2"/>
      <c r="C9400" s="7"/>
      <c r="D9400" s="7"/>
    </row>
    <row r="9401" spans="1:4" ht="12.75" customHeight="1" x14ac:dyDescent="0.2">
      <c r="A9401" s="21"/>
      <c r="B9401" s="2"/>
      <c r="C9401" s="7"/>
      <c r="D9401" s="7"/>
    </row>
    <row r="9402" spans="1:4" ht="12.75" customHeight="1" x14ac:dyDescent="0.2">
      <c r="A9402" s="21"/>
      <c r="B9402" s="2"/>
      <c r="C9402" s="7"/>
      <c r="D9402" s="7"/>
    </row>
    <row r="9403" spans="1:4" ht="12.75" customHeight="1" x14ac:dyDescent="0.2">
      <c r="A9403" s="5"/>
      <c r="B9403" s="2"/>
      <c r="C9403" s="7"/>
      <c r="D9403" s="7"/>
    </row>
    <row r="9404" spans="1:4" ht="12.75" customHeight="1" x14ac:dyDescent="0.2">
      <c r="A9404" s="22" t="str">
        <f>HYPERLINK("javascript:void(0)","hypnoacél pajzs")</f>
        <v>hypnoacél pajzs</v>
      </c>
      <c r="B9404" s="21"/>
      <c r="C9404" s="21"/>
      <c r="D9404" s="21"/>
    </row>
    <row r="9405" spans="1:4" ht="12.75" customHeight="1" x14ac:dyDescent="0.2">
      <c r="A9405" s="20"/>
      <c r="B9405" s="2"/>
      <c r="C9405" s="7"/>
      <c r="D9405" s="7"/>
    </row>
    <row r="9406" spans="1:4" ht="12.75" customHeight="1" x14ac:dyDescent="0.2">
      <c r="A9406" s="21"/>
      <c r="B9406" s="3" t="s">
        <v>0</v>
      </c>
      <c r="C9406" s="23" t="s">
        <v>728</v>
      </c>
      <c r="D9406" s="21"/>
    </row>
    <row r="9407" spans="1:4" ht="12.75" customHeight="1" x14ac:dyDescent="0.2">
      <c r="A9407" s="21"/>
      <c r="B9407" s="3" t="s">
        <v>2</v>
      </c>
      <c r="C9407" s="23" t="s">
        <v>1839</v>
      </c>
      <c r="D9407" s="21"/>
    </row>
    <row r="9408" spans="1:4" ht="12.75" customHeight="1" x14ac:dyDescent="0.2">
      <c r="A9408" s="21"/>
      <c r="B9408" s="3" t="s">
        <v>1840</v>
      </c>
      <c r="C9408" s="23" t="s">
        <v>166</v>
      </c>
      <c r="D9408" s="21"/>
    </row>
    <row r="9409" spans="1:4" ht="12.75" customHeight="1" x14ac:dyDescent="0.2">
      <c r="A9409" s="21"/>
      <c r="B9409" s="3" t="s">
        <v>9</v>
      </c>
      <c r="C9409" s="23" t="s">
        <v>377</v>
      </c>
      <c r="D9409" s="21"/>
    </row>
    <row r="9410" spans="1:4" ht="12.75" customHeight="1" x14ac:dyDescent="0.2">
      <c r="A9410" s="21"/>
      <c r="B9410" s="3" t="s">
        <v>11</v>
      </c>
      <c r="C9410" s="23" t="s">
        <v>1090</v>
      </c>
      <c r="D9410" s="21"/>
    </row>
    <row r="9411" spans="1:4" ht="12.75" customHeight="1" x14ac:dyDescent="0.2">
      <c r="A9411" s="21"/>
      <c r="B9411" s="3" t="s">
        <v>16</v>
      </c>
      <c r="C9411" s="23"/>
      <c r="D9411" s="21"/>
    </row>
    <row r="9412" spans="1:4" ht="12.75" customHeight="1" x14ac:dyDescent="0.2">
      <c r="A9412" s="21"/>
      <c r="B9412" s="3" t="s">
        <v>17</v>
      </c>
      <c r="C9412" s="23" t="s">
        <v>19</v>
      </c>
      <c r="D9412" s="21"/>
    </row>
    <row r="9413" spans="1:4" ht="12.75" customHeight="1" x14ac:dyDescent="0.2">
      <c r="A9413" s="21"/>
      <c r="B9413" s="20" t="s">
        <v>18</v>
      </c>
      <c r="C9413" s="8" t="s">
        <v>44</v>
      </c>
      <c r="D9413" s="1" t="str">
        <f>HYPERLINK("javascript:void(0)","szivárvány pajzs")</f>
        <v>szivárvány pajzs</v>
      </c>
    </row>
    <row r="9414" spans="1:4" ht="12.75" customHeight="1" x14ac:dyDescent="0.2">
      <c r="A9414" s="21"/>
      <c r="B9414" s="21"/>
      <c r="C9414" s="8" t="s">
        <v>67</v>
      </c>
      <c r="D9414" s="1" t="str">
        <f>HYPERLINK("javascript:void(0)","hypnogén")</f>
        <v>hypnogén</v>
      </c>
    </row>
    <row r="9415" spans="1:4" ht="12.75" customHeight="1" x14ac:dyDescent="0.2">
      <c r="A9415" s="21"/>
      <c r="B9415" s="21"/>
      <c r="C9415" s="8" t="s">
        <v>77</v>
      </c>
      <c r="D9415" s="1" t="str">
        <f>HYPERLINK("javascript:void(0)","szabo-penge")</f>
        <v>szabo-penge</v>
      </c>
    </row>
    <row r="9416" spans="1:4" ht="12.75" customHeight="1" x14ac:dyDescent="0.2">
      <c r="A9416" s="21"/>
      <c r="B9416" s="2"/>
      <c r="C9416" s="7"/>
      <c r="D9416" s="7"/>
    </row>
    <row r="9417" spans="1:4" ht="12.75" customHeight="1" x14ac:dyDescent="0.2">
      <c r="A9417" s="21"/>
      <c r="B9417" s="2"/>
      <c r="C9417" s="7"/>
      <c r="D9417" s="7"/>
    </row>
    <row r="9418" spans="1:4" ht="12.75" customHeight="1" x14ac:dyDescent="0.2">
      <c r="A9418" s="21"/>
      <c r="B9418" s="2"/>
      <c r="C9418" s="7"/>
      <c r="D9418" s="7"/>
    </row>
    <row r="9419" spans="1:4" ht="12.75" customHeight="1" x14ac:dyDescent="0.2">
      <c r="A9419" s="21"/>
      <c r="B9419" s="2"/>
      <c r="C9419" s="7"/>
      <c r="D9419" s="7"/>
    </row>
    <row r="9420" spans="1:4" ht="12.75" customHeight="1" x14ac:dyDescent="0.2">
      <c r="A9420" s="5"/>
      <c r="B9420" s="2"/>
      <c r="C9420" s="7"/>
      <c r="D9420" s="7"/>
    </row>
    <row r="9421" spans="1:4" ht="12.75" customHeight="1" x14ac:dyDescent="0.2">
      <c r="A9421" s="22" t="str">
        <f>HYPERLINK("javascript:void(0)","rimföldi illanat")</f>
        <v>rimföldi illanat</v>
      </c>
      <c r="B9421" s="21"/>
      <c r="C9421" s="21"/>
      <c r="D9421" s="21"/>
    </row>
    <row r="9422" spans="1:4" ht="12.75" customHeight="1" x14ac:dyDescent="0.2">
      <c r="A9422" s="20"/>
      <c r="B9422" s="2"/>
      <c r="C9422" s="7"/>
      <c r="D9422" s="7"/>
    </row>
    <row r="9423" spans="1:4" ht="12.75" customHeight="1" x14ac:dyDescent="0.2">
      <c r="A9423" s="21"/>
      <c r="B9423" s="3" t="s">
        <v>0</v>
      </c>
      <c r="C9423" s="23" t="s">
        <v>728</v>
      </c>
      <c r="D9423" s="21"/>
    </row>
    <row r="9424" spans="1:4" ht="12.75" customHeight="1" x14ac:dyDescent="0.2">
      <c r="A9424" s="21"/>
      <c r="B9424" s="3" t="s">
        <v>2</v>
      </c>
      <c r="C9424" s="23" t="s">
        <v>1839</v>
      </c>
      <c r="D9424" s="21"/>
    </row>
    <row r="9425" spans="1:4" ht="12.75" customHeight="1" x14ac:dyDescent="0.2">
      <c r="A9425" s="21"/>
      <c r="B9425" s="3" t="s">
        <v>1840</v>
      </c>
      <c r="C9425" s="23" t="s">
        <v>166</v>
      </c>
      <c r="D9425" s="21"/>
    </row>
    <row r="9426" spans="1:4" ht="12.75" customHeight="1" x14ac:dyDescent="0.2">
      <c r="A9426" s="21"/>
      <c r="B9426" s="3" t="s">
        <v>9</v>
      </c>
      <c r="C9426" s="23" t="s">
        <v>762</v>
      </c>
      <c r="D9426" s="21"/>
    </row>
    <row r="9427" spans="1:4" ht="12.75" customHeight="1" x14ac:dyDescent="0.2">
      <c r="A9427" s="21"/>
      <c r="B9427" s="3" t="s">
        <v>11</v>
      </c>
      <c r="C9427" s="23" t="s">
        <v>1125</v>
      </c>
      <c r="D9427" s="21"/>
    </row>
    <row r="9428" spans="1:4" ht="12.75" customHeight="1" x14ac:dyDescent="0.2">
      <c r="A9428" s="21"/>
      <c r="B9428" s="3" t="s">
        <v>16</v>
      </c>
      <c r="C9428" s="23"/>
      <c r="D9428" s="21"/>
    </row>
    <row r="9429" spans="1:4" ht="12.75" customHeight="1" x14ac:dyDescent="0.2">
      <c r="A9429" s="21"/>
      <c r="B9429" s="3" t="s">
        <v>17</v>
      </c>
      <c r="C9429" s="23" t="s">
        <v>19</v>
      </c>
      <c r="D9429" s="21"/>
    </row>
    <row r="9430" spans="1:4" ht="12.75" customHeight="1" x14ac:dyDescent="0.2">
      <c r="A9430" s="21"/>
      <c r="B9430" s="20" t="s">
        <v>18</v>
      </c>
      <c r="C9430" s="8" t="s">
        <v>44</v>
      </c>
      <c r="D9430" s="1" t="str">
        <f>HYPERLINK("javascript:void(0)","hypnoacél pajzs")</f>
        <v>hypnoacél pajzs</v>
      </c>
    </row>
    <row r="9431" spans="1:4" ht="12.75" customHeight="1" x14ac:dyDescent="0.2">
      <c r="A9431" s="21"/>
      <c r="B9431" s="21"/>
      <c r="C9431" s="8" t="s">
        <v>290</v>
      </c>
      <c r="D9431" s="1" t="str">
        <f>HYPERLINK("javascript:void(0)","bázispár")</f>
        <v>bázispár</v>
      </c>
    </row>
    <row r="9432" spans="1:4" ht="12.75" customHeight="1" x14ac:dyDescent="0.2">
      <c r="A9432" s="21"/>
      <c r="B9432" s="21"/>
      <c r="C9432" s="8" t="s">
        <v>98</v>
      </c>
      <c r="D9432" s="1" t="str">
        <f>HYPERLINK("javascript:void(0)","hőgolyó")</f>
        <v>hőgolyó</v>
      </c>
    </row>
    <row r="9433" spans="1:4" ht="12.75" customHeight="1" x14ac:dyDescent="0.2">
      <c r="A9433" s="21"/>
      <c r="B9433" s="2"/>
      <c r="C9433" s="7"/>
      <c r="D9433" s="7"/>
    </row>
    <row r="9434" spans="1:4" ht="12.75" customHeight="1" x14ac:dyDescent="0.2">
      <c r="A9434" s="21"/>
      <c r="B9434" s="2"/>
      <c r="C9434" s="7"/>
      <c r="D9434" s="7"/>
    </row>
    <row r="9435" spans="1:4" ht="12.75" customHeight="1" x14ac:dyDescent="0.2">
      <c r="A9435" s="21"/>
      <c r="B9435" s="2"/>
      <c r="C9435" s="7"/>
      <c r="D9435" s="7"/>
    </row>
    <row r="9436" spans="1:4" ht="12.75" customHeight="1" x14ac:dyDescent="0.2">
      <c r="A9436" s="21"/>
      <c r="B9436" s="2"/>
      <c r="C9436" s="7"/>
      <c r="D9436" s="7"/>
    </row>
    <row r="9437" spans="1:4" ht="12.75" customHeight="1" x14ac:dyDescent="0.2">
      <c r="A9437" s="5"/>
      <c r="B9437" s="2"/>
      <c r="C9437" s="7"/>
      <c r="D9437" s="7"/>
    </row>
    <row r="9438" spans="1:4" ht="12.75" customHeight="1" x14ac:dyDescent="0.2">
      <c r="A9438" s="22" t="str">
        <f>HYPERLINK("javascript:void(0)","smaragd vállap")</f>
        <v>smaragd vállap</v>
      </c>
      <c r="B9438" s="21"/>
      <c r="C9438" s="21"/>
      <c r="D9438" s="21"/>
    </row>
    <row r="9439" spans="1:4" ht="12.75" customHeight="1" x14ac:dyDescent="0.2">
      <c r="A9439" s="20"/>
      <c r="B9439" s="2"/>
      <c r="C9439" s="7"/>
      <c r="D9439" s="7"/>
    </row>
    <row r="9440" spans="1:4" ht="12.75" customHeight="1" x14ac:dyDescent="0.2">
      <c r="A9440" s="21"/>
      <c r="B9440" s="3" t="s">
        <v>0</v>
      </c>
      <c r="C9440" s="23" t="s">
        <v>728</v>
      </c>
      <c r="D9440" s="21"/>
    </row>
    <row r="9441" spans="1:4" ht="12.75" customHeight="1" x14ac:dyDescent="0.2">
      <c r="A9441" s="21"/>
      <c r="B9441" s="3" t="s">
        <v>2</v>
      </c>
      <c r="C9441" s="23"/>
      <c r="D9441" s="21"/>
    </row>
    <row r="9442" spans="1:4" ht="12.75" customHeight="1" x14ac:dyDescent="0.2">
      <c r="A9442" s="21"/>
      <c r="B9442" s="3" t="s">
        <v>1840</v>
      </c>
      <c r="C9442" s="23" t="s">
        <v>115</v>
      </c>
      <c r="D9442" s="21"/>
    </row>
    <row r="9443" spans="1:4" ht="12.75" customHeight="1" x14ac:dyDescent="0.2">
      <c r="A9443" s="21"/>
      <c r="B9443" s="3" t="s">
        <v>9</v>
      </c>
      <c r="C9443" s="23" t="s">
        <v>42</v>
      </c>
      <c r="D9443" s="21"/>
    </row>
    <row r="9444" spans="1:4" ht="12.75" customHeight="1" x14ac:dyDescent="0.2">
      <c r="A9444" s="21"/>
      <c r="B9444" s="3" t="s">
        <v>11</v>
      </c>
      <c r="C9444" s="23" t="s">
        <v>368</v>
      </c>
      <c r="D9444" s="21"/>
    </row>
    <row r="9445" spans="1:4" ht="12.75" customHeight="1" x14ac:dyDescent="0.2">
      <c r="A9445" s="21"/>
      <c r="B9445" s="3" t="s">
        <v>16</v>
      </c>
      <c r="C9445" s="23"/>
      <c r="D9445" s="21"/>
    </row>
    <row r="9446" spans="1:4" ht="12.75" customHeight="1" x14ac:dyDescent="0.2">
      <c r="A9446" s="21"/>
      <c r="B9446" s="3" t="s">
        <v>17</v>
      </c>
      <c r="C9446" s="23" t="s">
        <v>19</v>
      </c>
      <c r="D9446" s="21"/>
    </row>
    <row r="9447" spans="1:4" ht="12.75" customHeight="1" x14ac:dyDescent="0.2">
      <c r="A9447" s="21"/>
      <c r="B9447" s="20" t="s">
        <v>18</v>
      </c>
      <c r="C9447" s="8" t="s">
        <v>63</v>
      </c>
      <c r="D9447" s="1" t="str">
        <f>HYPERLINK("javascript:void(0)","smaragd")</f>
        <v>smaragd</v>
      </c>
    </row>
    <row r="9448" spans="1:4" ht="12.75" customHeight="1" x14ac:dyDescent="0.2">
      <c r="A9448" s="21"/>
      <c r="B9448" s="21"/>
      <c r="C9448" s="8" t="s">
        <v>244</v>
      </c>
      <c r="D9448" s="1" t="str">
        <f>HYPERLINK("javascript:void(0)","bázispár")</f>
        <v>bázispár</v>
      </c>
    </row>
    <row r="9449" spans="1:4" ht="12.75" customHeight="1" x14ac:dyDescent="0.2">
      <c r="A9449" s="21"/>
      <c r="B9449" s="21"/>
      <c r="C9449" s="8" t="s">
        <v>117</v>
      </c>
      <c r="D9449" s="1" t="str">
        <f>HYPERLINK("javascript:void(0)","gőg")</f>
        <v>gőg</v>
      </c>
    </row>
    <row r="9450" spans="1:4" ht="12.75" customHeight="1" x14ac:dyDescent="0.2">
      <c r="A9450" s="21"/>
      <c r="B9450" s="2"/>
      <c r="C9450" s="7"/>
      <c r="D9450" s="7"/>
    </row>
    <row r="9451" spans="1:4" ht="12.75" customHeight="1" x14ac:dyDescent="0.2">
      <c r="A9451" s="21"/>
      <c r="B9451" s="2"/>
      <c r="C9451" s="7"/>
      <c r="D9451" s="7"/>
    </row>
    <row r="9452" spans="1:4" ht="12.75" customHeight="1" x14ac:dyDescent="0.2">
      <c r="A9452" s="21"/>
      <c r="B9452" s="2"/>
      <c r="C9452" s="7"/>
      <c r="D9452" s="7"/>
    </row>
    <row r="9453" spans="1:4" ht="12.75" customHeight="1" x14ac:dyDescent="0.2">
      <c r="A9453" s="21"/>
      <c r="B9453" s="2"/>
      <c r="C9453" s="7"/>
      <c r="D9453" s="7"/>
    </row>
    <row r="9454" spans="1:4" ht="12.75" customHeight="1" x14ac:dyDescent="0.2">
      <c r="A9454" s="5"/>
      <c r="B9454" s="2"/>
      <c r="C9454" s="7"/>
      <c r="D9454" s="7"/>
    </row>
    <row r="9455" spans="1:4" ht="12.75" customHeight="1" x14ac:dyDescent="0.2">
      <c r="A9455" s="22" t="str">
        <f>HYPERLINK("javascript:void(0)","kentacél manasisak")</f>
        <v>kentacél manasisak</v>
      </c>
      <c r="B9455" s="21"/>
      <c r="C9455" s="21"/>
      <c r="D9455" s="21"/>
    </row>
    <row r="9456" spans="1:4" ht="12.75" customHeight="1" x14ac:dyDescent="0.2">
      <c r="A9456" s="20"/>
      <c r="B9456" s="2"/>
      <c r="C9456" s="7"/>
      <c r="D9456" s="7"/>
    </row>
    <row r="9457" spans="1:4" ht="12.75" customHeight="1" x14ac:dyDescent="0.2">
      <c r="A9457" s="21"/>
      <c r="B9457" s="3" t="s">
        <v>0</v>
      </c>
      <c r="C9457" s="23" t="s">
        <v>728</v>
      </c>
      <c r="D9457" s="21"/>
    </row>
    <row r="9458" spans="1:4" ht="12.75" customHeight="1" x14ac:dyDescent="0.2">
      <c r="A9458" s="21"/>
      <c r="B9458" s="3" t="s">
        <v>2</v>
      </c>
      <c r="C9458" s="23"/>
      <c r="D9458" s="21"/>
    </row>
    <row r="9459" spans="1:4" ht="12.75" customHeight="1" x14ac:dyDescent="0.2">
      <c r="A9459" s="21"/>
      <c r="B9459" s="3" t="s">
        <v>1840</v>
      </c>
      <c r="C9459" s="23" t="s">
        <v>999</v>
      </c>
      <c r="D9459" s="21"/>
    </row>
    <row r="9460" spans="1:4" ht="12.75" customHeight="1" x14ac:dyDescent="0.2">
      <c r="A9460" s="21"/>
      <c r="B9460" s="3" t="s">
        <v>9</v>
      </c>
      <c r="C9460" s="23" t="s">
        <v>343</v>
      </c>
      <c r="D9460" s="21"/>
    </row>
    <row r="9461" spans="1:4" ht="12.75" customHeight="1" x14ac:dyDescent="0.2">
      <c r="A9461" s="21"/>
      <c r="B9461" s="3" t="s">
        <v>11</v>
      </c>
      <c r="C9461" s="23" t="s">
        <v>453</v>
      </c>
      <c r="D9461" s="21"/>
    </row>
    <row r="9462" spans="1:4" ht="12.75" customHeight="1" x14ac:dyDescent="0.2">
      <c r="A9462" s="21"/>
      <c r="B9462" s="3" t="s">
        <v>16</v>
      </c>
      <c r="C9462" s="23"/>
      <c r="D9462" s="21"/>
    </row>
    <row r="9463" spans="1:4" ht="12.75" customHeight="1" x14ac:dyDescent="0.2">
      <c r="A9463" s="21"/>
      <c r="B9463" s="3" t="s">
        <v>17</v>
      </c>
      <c r="C9463" s="23" t="s">
        <v>19</v>
      </c>
      <c r="D9463" s="21"/>
    </row>
    <row r="9464" spans="1:4" ht="12.75" customHeight="1" x14ac:dyDescent="0.2">
      <c r="A9464" s="21"/>
      <c r="B9464" s="20" t="s">
        <v>18</v>
      </c>
      <c r="C9464" s="8" t="s">
        <v>44</v>
      </c>
      <c r="D9464" s="1" t="str">
        <f>HYPERLINK("javascript:void(0)","óriásacél manasisak")</f>
        <v>óriásacél manasisak</v>
      </c>
    </row>
    <row r="9465" spans="1:4" ht="12.75" customHeight="1" x14ac:dyDescent="0.2">
      <c r="A9465" s="21"/>
      <c r="B9465" s="21"/>
      <c r="C9465" s="8" t="s">
        <v>68</v>
      </c>
      <c r="D9465" s="1" t="str">
        <f>HYPERLINK("javascript:void(0)","szabo-penge")</f>
        <v>szabo-penge</v>
      </c>
    </row>
    <row r="9466" spans="1:4" ht="12.75" customHeight="1" x14ac:dyDescent="0.2">
      <c r="A9466" s="21"/>
      <c r="B9466" s="21"/>
      <c r="C9466" s="8" t="s">
        <v>117</v>
      </c>
      <c r="D9466" s="1" t="str">
        <f>HYPERLINK("javascript:void(0)","tincs")</f>
        <v>tincs</v>
      </c>
    </row>
    <row r="9467" spans="1:4" ht="12.75" customHeight="1" x14ac:dyDescent="0.2">
      <c r="A9467" s="21"/>
      <c r="B9467" s="2"/>
      <c r="C9467" s="7"/>
      <c r="D9467" s="7"/>
    </row>
    <row r="9468" spans="1:4" ht="12.75" customHeight="1" x14ac:dyDescent="0.2">
      <c r="A9468" s="21"/>
      <c r="B9468" s="2"/>
      <c r="C9468" s="7"/>
      <c r="D9468" s="7"/>
    </row>
    <row r="9469" spans="1:4" ht="12.75" customHeight="1" x14ac:dyDescent="0.2">
      <c r="A9469" s="21"/>
      <c r="B9469" s="2"/>
      <c r="C9469" s="7"/>
      <c r="D9469" s="7"/>
    </row>
    <row r="9470" spans="1:4" ht="12.75" customHeight="1" x14ac:dyDescent="0.2">
      <c r="A9470" s="21"/>
      <c r="B9470" s="2"/>
      <c r="C9470" s="7"/>
      <c r="D9470" s="7"/>
    </row>
    <row r="9471" spans="1:4" ht="12.75" customHeight="1" x14ac:dyDescent="0.2">
      <c r="A9471" s="5"/>
      <c r="B9471" s="2"/>
      <c r="C9471" s="7"/>
      <c r="D9471" s="7"/>
    </row>
    <row r="9472" spans="1:4" ht="12.75" customHeight="1" x14ac:dyDescent="0.2">
      <c r="A9472" s="22" t="str">
        <f>HYPERLINK("javascript:void(0)","kentacél manafejpánt")</f>
        <v>kentacél manafejpánt</v>
      </c>
      <c r="B9472" s="21"/>
      <c r="C9472" s="21"/>
      <c r="D9472" s="21"/>
    </row>
    <row r="9473" spans="1:4" ht="12.75" customHeight="1" x14ac:dyDescent="0.2">
      <c r="A9473" s="20"/>
      <c r="B9473" s="2"/>
      <c r="C9473" s="7"/>
      <c r="D9473" s="7"/>
    </row>
    <row r="9474" spans="1:4" ht="12.75" customHeight="1" x14ac:dyDescent="0.2">
      <c r="A9474" s="21"/>
      <c r="B9474" s="3" t="s">
        <v>0</v>
      </c>
      <c r="C9474" s="23" t="s">
        <v>728</v>
      </c>
      <c r="D9474" s="21"/>
    </row>
    <row r="9475" spans="1:4" ht="12.75" customHeight="1" x14ac:dyDescent="0.2">
      <c r="A9475" s="21"/>
      <c r="B9475" s="3" t="s">
        <v>2</v>
      </c>
      <c r="C9475" s="23"/>
      <c r="D9475" s="21"/>
    </row>
    <row r="9476" spans="1:4" ht="12.75" customHeight="1" x14ac:dyDescent="0.2">
      <c r="A9476" s="21"/>
      <c r="B9476" s="3" t="s">
        <v>1840</v>
      </c>
      <c r="C9476" s="23" t="s">
        <v>52</v>
      </c>
      <c r="D9476" s="21"/>
    </row>
    <row r="9477" spans="1:4" ht="12.75" customHeight="1" x14ac:dyDescent="0.2">
      <c r="A9477" s="21"/>
      <c r="B9477" s="3" t="s">
        <v>9</v>
      </c>
      <c r="C9477" s="23" t="s">
        <v>172</v>
      </c>
      <c r="D9477" s="21"/>
    </row>
    <row r="9478" spans="1:4" ht="12.75" customHeight="1" x14ac:dyDescent="0.2">
      <c r="A9478" s="21"/>
      <c r="B9478" s="3" t="s">
        <v>11</v>
      </c>
      <c r="C9478" s="23" t="s">
        <v>453</v>
      </c>
      <c r="D9478" s="21"/>
    </row>
    <row r="9479" spans="1:4" ht="12.75" customHeight="1" x14ac:dyDescent="0.2">
      <c r="A9479" s="21"/>
      <c r="B9479" s="3" t="s">
        <v>16</v>
      </c>
      <c r="C9479" s="23"/>
      <c r="D9479" s="21"/>
    </row>
    <row r="9480" spans="1:4" ht="12.75" customHeight="1" x14ac:dyDescent="0.2">
      <c r="A9480" s="21"/>
      <c r="B9480" s="3" t="s">
        <v>17</v>
      </c>
      <c r="C9480" s="23" t="s">
        <v>19</v>
      </c>
      <c r="D9480" s="21"/>
    </row>
    <row r="9481" spans="1:4" ht="25.5" customHeight="1" x14ac:dyDescent="0.2">
      <c r="A9481" s="21"/>
      <c r="B9481" s="20" t="s">
        <v>18</v>
      </c>
      <c r="C9481" s="8" t="s">
        <v>44</v>
      </c>
      <c r="D9481" s="1" t="str">
        <f>HYPERLINK("javascript:void(0)","óriásacél manafejpánt")</f>
        <v>óriásacél manafejpánt</v>
      </c>
    </row>
    <row r="9482" spans="1:4" ht="12.75" customHeight="1" x14ac:dyDescent="0.2">
      <c r="A9482" s="21"/>
      <c r="B9482" s="21"/>
      <c r="C9482" s="8" t="s">
        <v>244</v>
      </c>
      <c r="D9482" s="1" t="str">
        <f>HYPERLINK("javascript:void(0)","bázispár")</f>
        <v>bázispár</v>
      </c>
    </row>
    <row r="9483" spans="1:4" ht="12.75" customHeight="1" x14ac:dyDescent="0.2">
      <c r="A9483" s="21"/>
      <c r="B9483" s="21"/>
      <c r="C9483" s="8" t="s">
        <v>117</v>
      </c>
      <c r="D9483" s="1" t="str">
        <f>HYPERLINK("javascript:void(0)","bajuszkötő")</f>
        <v>bajuszkötő</v>
      </c>
    </row>
    <row r="9484" spans="1:4" ht="12.75" customHeight="1" x14ac:dyDescent="0.2">
      <c r="A9484" s="21"/>
      <c r="B9484" s="2"/>
      <c r="C9484" s="7"/>
      <c r="D9484" s="7"/>
    </row>
    <row r="9485" spans="1:4" ht="12.75" customHeight="1" x14ac:dyDescent="0.2">
      <c r="A9485" s="21"/>
      <c r="B9485" s="2"/>
      <c r="C9485" s="7"/>
      <c r="D9485" s="7"/>
    </row>
    <row r="9486" spans="1:4" ht="12.75" customHeight="1" x14ac:dyDescent="0.2">
      <c r="A9486" s="21"/>
      <c r="B9486" s="2"/>
      <c r="C9486" s="7"/>
      <c r="D9486" s="7"/>
    </row>
    <row r="9487" spans="1:4" ht="12.75" customHeight="1" x14ac:dyDescent="0.2">
      <c r="A9487" s="21"/>
      <c r="B9487" s="2"/>
      <c r="C9487" s="7"/>
      <c r="D9487" s="7"/>
    </row>
    <row r="9488" spans="1:4" ht="12.75" customHeight="1" x14ac:dyDescent="0.2">
      <c r="A9488" s="5"/>
      <c r="B9488" s="2"/>
      <c r="C9488" s="7"/>
      <c r="D9488" s="7"/>
    </row>
    <row r="9489" spans="1:4" ht="12.75" customHeight="1" x14ac:dyDescent="0.2">
      <c r="A9489" s="22" t="str">
        <f>HYPERLINK("javascript:void(0)","teljes rubinvért")</f>
        <v>teljes rubinvért</v>
      </c>
      <c r="B9489" s="21"/>
      <c r="C9489" s="21"/>
      <c r="D9489" s="21"/>
    </row>
    <row r="9490" spans="1:4" ht="12.75" customHeight="1" x14ac:dyDescent="0.2">
      <c r="A9490" s="20"/>
      <c r="B9490" s="2"/>
      <c r="C9490" s="7"/>
      <c r="D9490" s="7"/>
    </row>
    <row r="9491" spans="1:4" ht="12.75" customHeight="1" x14ac:dyDescent="0.2">
      <c r="A9491" s="21"/>
      <c r="B9491" s="3" t="s">
        <v>0</v>
      </c>
      <c r="C9491" s="23" t="s">
        <v>78</v>
      </c>
      <c r="D9491" s="21"/>
    </row>
    <row r="9492" spans="1:4" ht="12.75" customHeight="1" x14ac:dyDescent="0.2">
      <c r="A9492" s="21"/>
      <c r="B9492" s="3" t="s">
        <v>2</v>
      </c>
      <c r="C9492" s="23" t="s">
        <v>2322</v>
      </c>
      <c r="D9492" s="21"/>
    </row>
    <row r="9493" spans="1:4" ht="12.75" customHeight="1" x14ac:dyDescent="0.2">
      <c r="A9493" s="21"/>
      <c r="B9493" s="3" t="s">
        <v>1840</v>
      </c>
      <c r="C9493" s="23" t="s">
        <v>2467</v>
      </c>
      <c r="D9493" s="21"/>
    </row>
    <row r="9494" spans="1:4" ht="12.75" customHeight="1" x14ac:dyDescent="0.2">
      <c r="A9494" s="21"/>
      <c r="B9494" s="3" t="s">
        <v>9</v>
      </c>
      <c r="C9494" s="23" t="s">
        <v>2080</v>
      </c>
      <c r="D9494" s="21"/>
    </row>
    <row r="9495" spans="1:4" ht="12.75" customHeight="1" x14ac:dyDescent="0.2">
      <c r="A9495" s="21"/>
      <c r="B9495" s="3" t="s">
        <v>11</v>
      </c>
      <c r="C9495" s="23" t="s">
        <v>956</v>
      </c>
      <c r="D9495" s="21"/>
    </row>
    <row r="9496" spans="1:4" ht="12.75" customHeight="1" x14ac:dyDescent="0.2">
      <c r="A9496" s="21"/>
      <c r="B9496" s="3" t="s">
        <v>16</v>
      </c>
      <c r="C9496" s="23"/>
      <c r="D9496" s="21"/>
    </row>
    <row r="9497" spans="1:4" ht="12.75" customHeight="1" x14ac:dyDescent="0.2">
      <c r="A9497" s="21"/>
      <c r="B9497" s="3" t="s">
        <v>17</v>
      </c>
      <c r="C9497" s="23" t="s">
        <v>19</v>
      </c>
      <c r="D9497" s="21"/>
    </row>
    <row r="9498" spans="1:4" ht="12.75" customHeight="1" x14ac:dyDescent="0.2">
      <c r="A9498" s="21"/>
      <c r="B9498" s="20" t="s">
        <v>18</v>
      </c>
      <c r="C9498" s="8" t="s">
        <v>44</v>
      </c>
      <c r="D9498" s="1" t="str">
        <f>HYPERLINK("javascript:void(0)","teljes smaragdvért")</f>
        <v>teljes smaragdvért</v>
      </c>
    </row>
    <row r="9499" spans="1:4" ht="12.75" customHeight="1" x14ac:dyDescent="0.2">
      <c r="A9499" s="21"/>
      <c r="B9499" s="21"/>
      <c r="C9499" s="8" t="s">
        <v>68</v>
      </c>
      <c r="D9499" s="1" t="str">
        <f>HYPERLINK("javascript:void(0)","hátszarv")</f>
        <v>hátszarv</v>
      </c>
    </row>
    <row r="9500" spans="1:4" ht="12.75" customHeight="1" x14ac:dyDescent="0.2">
      <c r="A9500" s="21"/>
      <c r="B9500" s="21"/>
      <c r="C9500" s="8" t="s">
        <v>98</v>
      </c>
      <c r="D9500" s="1" t="str">
        <f>HYPERLINK("javascript:void(0)","negatívum")</f>
        <v>negatívum</v>
      </c>
    </row>
    <row r="9501" spans="1:4" ht="12.75" customHeight="1" x14ac:dyDescent="0.2">
      <c r="A9501" s="21"/>
      <c r="B9501" s="2"/>
      <c r="C9501" s="7"/>
      <c r="D9501" s="7"/>
    </row>
    <row r="9502" spans="1:4" ht="12.75" customHeight="1" x14ac:dyDescent="0.2">
      <c r="A9502" s="21"/>
      <c r="B9502" s="2"/>
      <c r="C9502" s="7"/>
      <c r="D9502" s="7"/>
    </row>
    <row r="9503" spans="1:4" ht="12.75" customHeight="1" x14ac:dyDescent="0.2">
      <c r="A9503" s="21"/>
      <c r="B9503" s="2"/>
      <c r="C9503" s="7"/>
      <c r="D9503" s="7"/>
    </row>
    <row r="9504" spans="1:4" ht="12.75" customHeight="1" x14ac:dyDescent="0.2">
      <c r="A9504" s="21"/>
      <c r="B9504" s="2"/>
      <c r="C9504" s="7"/>
      <c r="D9504" s="7"/>
    </row>
    <row r="9505" spans="1:4" ht="12.75" customHeight="1" x14ac:dyDescent="0.2">
      <c r="A9505" s="5"/>
      <c r="B9505" s="2"/>
      <c r="C9505" s="7"/>
      <c r="D9505" s="7"/>
    </row>
    <row r="9506" spans="1:4" ht="12.75" customHeight="1" x14ac:dyDescent="0.2">
      <c r="A9506" s="22" t="str">
        <f>HYPERLINK("javascript:void(0)","sertesisak")</f>
        <v>sertesisak</v>
      </c>
      <c r="B9506" s="21"/>
      <c r="C9506" s="21"/>
      <c r="D9506" s="21"/>
    </row>
    <row r="9507" spans="1:4" ht="12.75" customHeight="1" x14ac:dyDescent="0.2">
      <c r="A9507" s="20"/>
      <c r="B9507" s="2"/>
      <c r="C9507" s="7"/>
      <c r="D9507" s="7"/>
    </row>
    <row r="9508" spans="1:4" ht="12.75" customHeight="1" x14ac:dyDescent="0.2">
      <c r="A9508" s="21"/>
      <c r="B9508" s="3" t="s">
        <v>0</v>
      </c>
      <c r="C9508" s="23" t="s">
        <v>78</v>
      </c>
      <c r="D9508" s="21"/>
    </row>
    <row r="9509" spans="1:4" ht="12.75" customHeight="1" x14ac:dyDescent="0.2">
      <c r="A9509" s="21"/>
      <c r="B9509" s="3" t="s">
        <v>2</v>
      </c>
      <c r="C9509" s="23"/>
      <c r="D9509" s="21"/>
    </row>
    <row r="9510" spans="1:4" ht="12.75" customHeight="1" x14ac:dyDescent="0.2">
      <c r="A9510" s="21"/>
      <c r="B9510" s="3" t="s">
        <v>1840</v>
      </c>
      <c r="C9510" s="23" t="s">
        <v>407</v>
      </c>
      <c r="D9510" s="21"/>
    </row>
    <row r="9511" spans="1:4" ht="12.75" customHeight="1" x14ac:dyDescent="0.2">
      <c r="A9511" s="21"/>
      <c r="B9511" s="3" t="s">
        <v>9</v>
      </c>
      <c r="C9511" s="23" t="s">
        <v>1042</v>
      </c>
      <c r="D9511" s="21"/>
    </row>
    <row r="9512" spans="1:4" ht="12.75" customHeight="1" x14ac:dyDescent="0.2">
      <c r="A9512" s="21"/>
      <c r="B9512" s="3" t="s">
        <v>11</v>
      </c>
      <c r="C9512" s="23" t="s">
        <v>956</v>
      </c>
      <c r="D9512" s="21"/>
    </row>
    <row r="9513" spans="1:4" ht="12.75" customHeight="1" x14ac:dyDescent="0.2">
      <c r="A9513" s="21"/>
      <c r="B9513" s="3" t="s">
        <v>16</v>
      </c>
      <c r="C9513" s="23"/>
      <c r="D9513" s="21"/>
    </row>
    <row r="9514" spans="1:4" ht="12.75" customHeight="1" x14ac:dyDescent="0.2">
      <c r="A9514" s="21"/>
      <c r="B9514" s="3" t="s">
        <v>17</v>
      </c>
      <c r="C9514" s="23" t="s">
        <v>19</v>
      </c>
      <c r="D9514" s="21"/>
    </row>
    <row r="9515" spans="1:4" ht="12.75" customHeight="1" x14ac:dyDescent="0.2">
      <c r="A9515" s="21"/>
      <c r="B9515" s="20" t="s">
        <v>18</v>
      </c>
      <c r="C9515" s="8" t="s">
        <v>44</v>
      </c>
      <c r="D9515" s="1" t="str">
        <f>HYPERLINK("javascript:void(0)","lemezelt sisak")</f>
        <v>lemezelt sisak</v>
      </c>
    </row>
    <row r="9516" spans="1:4" ht="12.75" customHeight="1" x14ac:dyDescent="0.2">
      <c r="A9516" s="21"/>
      <c r="B9516" s="21"/>
      <c r="C9516" s="8" t="s">
        <v>44</v>
      </c>
      <c r="D9516" s="1" t="str">
        <f>HYPERLINK("javascript:void(0)","nukleotid sisak")</f>
        <v>nukleotid sisak</v>
      </c>
    </row>
    <row r="9517" spans="1:4" ht="12.75" customHeight="1" x14ac:dyDescent="0.2">
      <c r="A9517" s="21"/>
      <c r="B9517" s="21"/>
      <c r="C9517" s="8" t="s">
        <v>44</v>
      </c>
      <c r="D9517" s="1" t="str">
        <f>HYPERLINK("javascript:void(0)","serte rostély")</f>
        <v>serte rostély</v>
      </c>
    </row>
    <row r="9518" spans="1:4" ht="12.75" customHeight="1" x14ac:dyDescent="0.2">
      <c r="A9518" s="21"/>
      <c r="B9518" s="2"/>
      <c r="C9518" s="7"/>
      <c r="D9518" s="7"/>
    </row>
    <row r="9519" spans="1:4" ht="12.75" customHeight="1" x14ac:dyDescent="0.2">
      <c r="A9519" s="21"/>
      <c r="B9519" s="2"/>
      <c r="C9519" s="7"/>
      <c r="D9519" s="7"/>
    </row>
    <row r="9520" spans="1:4" ht="12.75" customHeight="1" x14ac:dyDescent="0.2">
      <c r="A9520" s="21"/>
      <c r="B9520" s="2"/>
      <c r="C9520" s="7"/>
      <c r="D9520" s="7"/>
    </row>
    <row r="9521" spans="1:4" ht="12.75" customHeight="1" x14ac:dyDescent="0.2">
      <c r="A9521" s="21"/>
      <c r="B9521" s="2"/>
      <c r="C9521" s="7"/>
      <c r="D9521" s="7"/>
    </row>
    <row r="9522" spans="1:4" ht="12.75" customHeight="1" x14ac:dyDescent="0.2">
      <c r="A9522" s="5"/>
      <c r="B9522" s="2"/>
      <c r="C9522" s="7"/>
      <c r="D9522" s="7"/>
    </row>
    <row r="9523" spans="1:4" ht="12.75" customHeight="1" x14ac:dyDescent="0.2">
      <c r="A9523" s="22" t="str">
        <f>HYPERLINK("javascript:void(0)","vas mokaszin")</f>
        <v>vas mokaszin</v>
      </c>
      <c r="B9523" s="21"/>
      <c r="C9523" s="21"/>
      <c r="D9523" s="21"/>
    </row>
    <row r="9524" spans="1:4" ht="12.75" customHeight="1" x14ac:dyDescent="0.2">
      <c r="A9524" s="20"/>
      <c r="B9524" s="2"/>
      <c r="C9524" s="7"/>
      <c r="D9524" s="7"/>
    </row>
    <row r="9525" spans="1:4" ht="12.75" customHeight="1" x14ac:dyDescent="0.2">
      <c r="A9525" s="21"/>
      <c r="B9525" s="3" t="s">
        <v>0</v>
      </c>
      <c r="C9525" s="23" t="s">
        <v>78</v>
      </c>
      <c r="D9525" s="21"/>
    </row>
    <row r="9526" spans="1:4" ht="12.75" customHeight="1" x14ac:dyDescent="0.2">
      <c r="A9526" s="21"/>
      <c r="B9526" s="3" t="s">
        <v>2</v>
      </c>
      <c r="C9526" s="23"/>
      <c r="D9526" s="21"/>
    </row>
    <row r="9527" spans="1:4" ht="12.75" customHeight="1" x14ac:dyDescent="0.2">
      <c r="A9527" s="21"/>
      <c r="B9527" s="3" t="s">
        <v>1840</v>
      </c>
      <c r="C9527" s="23" t="s">
        <v>2064</v>
      </c>
      <c r="D9527" s="21"/>
    </row>
    <row r="9528" spans="1:4" ht="12.75" customHeight="1" x14ac:dyDescent="0.2">
      <c r="A9528" s="21"/>
      <c r="B9528" s="3" t="s">
        <v>9</v>
      </c>
      <c r="C9528" s="23" t="s">
        <v>2050</v>
      </c>
      <c r="D9528" s="21"/>
    </row>
    <row r="9529" spans="1:4" ht="12.75" customHeight="1" x14ac:dyDescent="0.2">
      <c r="A9529" s="21"/>
      <c r="B9529" s="3" t="s">
        <v>11</v>
      </c>
      <c r="C9529" s="23" t="s">
        <v>993</v>
      </c>
      <c r="D9529" s="21"/>
    </row>
    <row r="9530" spans="1:4" ht="12.75" customHeight="1" x14ac:dyDescent="0.2">
      <c r="A9530" s="21"/>
      <c r="B9530" s="3" t="s">
        <v>16</v>
      </c>
      <c r="C9530" s="23"/>
      <c r="D9530" s="21"/>
    </row>
    <row r="9531" spans="1:4" ht="12.75" customHeight="1" x14ac:dyDescent="0.2">
      <c r="A9531" s="21"/>
      <c r="B9531" s="3" t="s">
        <v>17</v>
      </c>
      <c r="C9531" s="23" t="s">
        <v>19</v>
      </c>
      <c r="D9531" s="21"/>
    </row>
    <row r="9532" spans="1:4" ht="12.75" customHeight="1" x14ac:dyDescent="0.2">
      <c r="A9532" s="21"/>
      <c r="B9532" s="20" t="s">
        <v>18</v>
      </c>
      <c r="C9532" s="8" t="s">
        <v>77</v>
      </c>
      <c r="D9532" s="1" t="str">
        <f>HYPERLINK("javascript:void(0)","vasrög")</f>
        <v>vasrög</v>
      </c>
    </row>
    <row r="9533" spans="1:4" ht="12.75" customHeight="1" x14ac:dyDescent="0.2">
      <c r="A9533" s="21"/>
      <c r="B9533" s="21"/>
      <c r="C9533" s="8" t="s">
        <v>309</v>
      </c>
      <c r="D9533" s="1" t="str">
        <f>HYPERLINK("javascript:void(0)","serte")</f>
        <v>serte</v>
      </c>
    </row>
    <row r="9534" spans="1:4" ht="12.75" customHeight="1" x14ac:dyDescent="0.2">
      <c r="A9534" s="21"/>
      <c r="B9534" s="21"/>
      <c r="C9534" s="8" t="s">
        <v>98</v>
      </c>
      <c r="D9534" s="1" t="str">
        <f>HYPERLINK("javascript:void(0)","tincs")</f>
        <v>tincs</v>
      </c>
    </row>
    <row r="9535" spans="1:4" ht="12.75" customHeight="1" x14ac:dyDescent="0.2">
      <c r="A9535" s="21"/>
      <c r="B9535" s="2"/>
      <c r="C9535" s="7"/>
      <c r="D9535" s="7"/>
    </row>
    <row r="9536" spans="1:4" ht="12.75" customHeight="1" x14ac:dyDescent="0.2">
      <c r="A9536" s="21"/>
      <c r="B9536" s="2"/>
      <c r="C9536" s="7"/>
      <c r="D9536" s="7"/>
    </row>
    <row r="9537" spans="1:4" ht="12.75" customHeight="1" x14ac:dyDescent="0.2">
      <c r="A9537" s="21"/>
      <c r="B9537" s="2"/>
      <c r="C9537" s="7"/>
      <c r="D9537" s="7"/>
    </row>
    <row r="9538" spans="1:4" ht="12.75" customHeight="1" x14ac:dyDescent="0.2">
      <c r="A9538" s="21"/>
      <c r="B9538" s="2"/>
      <c r="C9538" s="7"/>
      <c r="D9538" s="7"/>
    </row>
    <row r="9539" spans="1:4" ht="12.75" customHeight="1" x14ac:dyDescent="0.2">
      <c r="A9539" s="5"/>
      <c r="B9539" s="2"/>
      <c r="C9539" s="7"/>
      <c r="D9539" s="7"/>
    </row>
    <row r="9540" spans="1:4" ht="12.75" customHeight="1" x14ac:dyDescent="0.2">
      <c r="A9540" s="22" t="str">
        <f>HYPERLINK("javascript:void(0)","hypnoacél testpajzs")</f>
        <v>hypnoacél testpajzs</v>
      </c>
      <c r="B9540" s="21"/>
      <c r="C9540" s="21"/>
      <c r="D9540" s="21"/>
    </row>
    <row r="9541" spans="1:4" ht="12.75" customHeight="1" x14ac:dyDescent="0.2">
      <c r="A9541" s="20"/>
      <c r="B9541" s="2"/>
      <c r="C9541" s="7"/>
      <c r="D9541" s="7"/>
    </row>
    <row r="9542" spans="1:4" ht="12.75" customHeight="1" x14ac:dyDescent="0.2">
      <c r="A9542" s="21"/>
      <c r="B9542" s="3" t="s">
        <v>0</v>
      </c>
      <c r="C9542" s="23" t="s">
        <v>78</v>
      </c>
      <c r="D9542" s="21"/>
    </row>
    <row r="9543" spans="1:4" ht="12.75" customHeight="1" x14ac:dyDescent="0.2">
      <c r="A9543" s="21"/>
      <c r="B9543" s="3" t="s">
        <v>2</v>
      </c>
      <c r="C9543" s="23" t="s">
        <v>1839</v>
      </c>
      <c r="D9543" s="21"/>
    </row>
    <row r="9544" spans="1:4" ht="12.75" customHeight="1" x14ac:dyDescent="0.2">
      <c r="A9544" s="21"/>
      <c r="B9544" s="3" t="s">
        <v>1840</v>
      </c>
      <c r="C9544" s="23" t="s">
        <v>489</v>
      </c>
      <c r="D9544" s="21"/>
    </row>
    <row r="9545" spans="1:4" ht="12.75" customHeight="1" x14ac:dyDescent="0.2">
      <c r="A9545" s="21"/>
      <c r="B9545" s="3" t="s">
        <v>9</v>
      </c>
      <c r="C9545" s="23" t="s">
        <v>549</v>
      </c>
      <c r="D9545" s="21"/>
    </row>
    <row r="9546" spans="1:4" ht="12.75" customHeight="1" x14ac:dyDescent="0.2">
      <c r="A9546" s="21"/>
      <c r="B9546" s="3" t="s">
        <v>11</v>
      </c>
      <c r="C9546" s="23" t="s">
        <v>1105</v>
      </c>
      <c r="D9546" s="21"/>
    </row>
    <row r="9547" spans="1:4" ht="12.75" customHeight="1" x14ac:dyDescent="0.2">
      <c r="A9547" s="21"/>
      <c r="B9547" s="3" t="s">
        <v>16</v>
      </c>
      <c r="C9547" s="23"/>
      <c r="D9547" s="21"/>
    </row>
    <row r="9548" spans="1:4" ht="12.75" customHeight="1" x14ac:dyDescent="0.2">
      <c r="A9548" s="21"/>
      <c r="B9548" s="3" t="s">
        <v>17</v>
      </c>
      <c r="C9548" s="23" t="s">
        <v>19</v>
      </c>
      <c r="D9548" s="21"/>
    </row>
    <row r="9549" spans="1:4" ht="12.75" customHeight="1" x14ac:dyDescent="0.2">
      <c r="A9549" s="21"/>
      <c r="B9549" s="20" t="s">
        <v>18</v>
      </c>
      <c r="C9549" s="8" t="s">
        <v>44</v>
      </c>
      <c r="D9549" s="1" t="str">
        <f>HYPERLINK("javascript:void(0)","szivárvány testpajzs")</f>
        <v>szivárvány testpajzs</v>
      </c>
    </row>
    <row r="9550" spans="1:4" ht="12.75" customHeight="1" x14ac:dyDescent="0.2">
      <c r="A9550" s="21"/>
      <c r="B9550" s="21"/>
      <c r="C9550" s="8" t="s">
        <v>139</v>
      </c>
      <c r="D9550" s="1" t="str">
        <f>HYPERLINK("javascript:void(0)","zselatin")</f>
        <v>zselatin</v>
      </c>
    </row>
    <row r="9551" spans="1:4" ht="12.75" customHeight="1" x14ac:dyDescent="0.2">
      <c r="A9551" s="21"/>
      <c r="B9551" s="21"/>
      <c r="C9551" s="8" t="s">
        <v>77</v>
      </c>
      <c r="D9551" s="1" t="str">
        <f>HYPERLINK("javascript:void(0)","hátszarv")</f>
        <v>hátszarv</v>
      </c>
    </row>
    <row r="9552" spans="1:4" ht="12.75" customHeight="1" x14ac:dyDescent="0.2">
      <c r="A9552" s="21"/>
      <c r="B9552" s="2"/>
      <c r="C9552" s="7"/>
      <c r="D9552" s="7"/>
    </row>
    <row r="9553" spans="1:4" ht="12.75" customHeight="1" x14ac:dyDescent="0.2">
      <c r="A9553" s="21"/>
      <c r="B9553" s="2"/>
      <c r="C9553" s="7"/>
      <c r="D9553" s="7"/>
    </row>
    <row r="9554" spans="1:4" ht="12.75" customHeight="1" x14ac:dyDescent="0.2">
      <c r="A9554" s="21"/>
      <c r="B9554" s="2"/>
      <c r="C9554" s="7"/>
      <c r="D9554" s="7"/>
    </row>
    <row r="9555" spans="1:4" ht="12.75" customHeight="1" x14ac:dyDescent="0.2">
      <c r="A9555" s="21"/>
      <c r="B9555" s="2"/>
      <c r="C9555" s="7"/>
      <c r="D9555" s="7"/>
    </row>
    <row r="9556" spans="1:4" ht="12.75" customHeight="1" x14ac:dyDescent="0.2">
      <c r="A9556" s="5"/>
      <c r="B9556" s="2"/>
      <c r="C9556" s="7"/>
      <c r="D9556" s="7"/>
    </row>
    <row r="9557" spans="1:4" ht="12.75" customHeight="1" x14ac:dyDescent="0.2">
      <c r="A9557" s="22" t="str">
        <f>HYPERLINK("javascript:void(0)","hypnoacél illanat")</f>
        <v>hypnoacél illanat</v>
      </c>
      <c r="B9557" s="21"/>
      <c r="C9557" s="21"/>
      <c r="D9557" s="21"/>
    </row>
    <row r="9558" spans="1:4" ht="12.75" customHeight="1" x14ac:dyDescent="0.2">
      <c r="A9558" s="20"/>
      <c r="B9558" s="2"/>
      <c r="C9558" s="7"/>
      <c r="D9558" s="7"/>
    </row>
    <row r="9559" spans="1:4" ht="12.75" customHeight="1" x14ac:dyDescent="0.2">
      <c r="A9559" s="21"/>
      <c r="B9559" s="3" t="s">
        <v>0</v>
      </c>
      <c r="C9559" s="23" t="s">
        <v>78</v>
      </c>
      <c r="D9559" s="21"/>
    </row>
    <row r="9560" spans="1:4" ht="12.75" customHeight="1" x14ac:dyDescent="0.2">
      <c r="A9560" s="21"/>
      <c r="B9560" s="3" t="s">
        <v>2</v>
      </c>
      <c r="C9560" s="23" t="s">
        <v>1839</v>
      </c>
      <c r="D9560" s="21"/>
    </row>
    <row r="9561" spans="1:4" ht="12.75" customHeight="1" x14ac:dyDescent="0.2">
      <c r="A9561" s="21"/>
      <c r="B9561" s="3" t="s">
        <v>1840</v>
      </c>
      <c r="C9561" s="23" t="s">
        <v>489</v>
      </c>
      <c r="D9561" s="21"/>
    </row>
    <row r="9562" spans="1:4" ht="12.75" customHeight="1" x14ac:dyDescent="0.2">
      <c r="A9562" s="21"/>
      <c r="B9562" s="3" t="s">
        <v>9</v>
      </c>
      <c r="C9562" s="23" t="s">
        <v>2244</v>
      </c>
      <c r="D9562" s="21"/>
    </row>
    <row r="9563" spans="1:4" ht="12.75" customHeight="1" x14ac:dyDescent="0.2">
      <c r="A9563" s="21"/>
      <c r="B9563" s="3" t="s">
        <v>11</v>
      </c>
      <c r="C9563" s="23" t="s">
        <v>1145</v>
      </c>
      <c r="D9563" s="21"/>
    </row>
    <row r="9564" spans="1:4" ht="12.75" customHeight="1" x14ac:dyDescent="0.2">
      <c r="A9564" s="21"/>
      <c r="B9564" s="3" t="s">
        <v>16</v>
      </c>
      <c r="C9564" s="23"/>
      <c r="D9564" s="21"/>
    </row>
    <row r="9565" spans="1:4" ht="12.75" customHeight="1" x14ac:dyDescent="0.2">
      <c r="A9565" s="21"/>
      <c r="B9565" s="3" t="s">
        <v>17</v>
      </c>
      <c r="C9565" s="23" t="s">
        <v>19</v>
      </c>
      <c r="D9565" s="21"/>
    </row>
    <row r="9566" spans="1:4" ht="12.75" customHeight="1" x14ac:dyDescent="0.2">
      <c r="A9566" s="21"/>
      <c r="B9566" s="20" t="s">
        <v>18</v>
      </c>
      <c r="C9566" s="8" t="s">
        <v>44</v>
      </c>
      <c r="D9566" s="1" t="str">
        <f>HYPERLINK("javascript:void(0)","hypnoacél testpajzs")</f>
        <v>hypnoacél testpajzs</v>
      </c>
    </row>
    <row r="9567" spans="1:4" ht="12.75" customHeight="1" x14ac:dyDescent="0.2">
      <c r="A9567" s="21"/>
      <c r="B9567" s="21"/>
      <c r="C9567" s="8" t="s">
        <v>382</v>
      </c>
      <c r="D9567" s="1" t="str">
        <f>HYPERLINK("javascript:void(0)","serte")</f>
        <v>serte</v>
      </c>
    </row>
    <row r="9568" spans="1:4" ht="12.75" customHeight="1" x14ac:dyDescent="0.2">
      <c r="A9568" s="21"/>
      <c r="B9568" s="21"/>
      <c r="C9568" s="8" t="s">
        <v>382</v>
      </c>
      <c r="D9568" s="1" t="str">
        <f>HYPERLINK("javascript:void(0)","éjfény")</f>
        <v>éjfény</v>
      </c>
    </row>
    <row r="9569" spans="1:4" ht="12.75" customHeight="1" x14ac:dyDescent="0.2">
      <c r="A9569" s="21"/>
      <c r="B9569" s="2"/>
      <c r="C9569" s="7"/>
      <c r="D9569" s="7"/>
    </row>
    <row r="9570" spans="1:4" ht="12.75" customHeight="1" x14ac:dyDescent="0.2">
      <c r="A9570" s="21"/>
      <c r="B9570" s="2"/>
      <c r="C9570" s="7"/>
      <c r="D9570" s="7"/>
    </row>
    <row r="9571" spans="1:4" ht="12.75" customHeight="1" x14ac:dyDescent="0.2">
      <c r="A9571" s="21"/>
      <c r="B9571" s="2"/>
      <c r="C9571" s="7"/>
      <c r="D9571" s="7"/>
    </row>
    <row r="9572" spans="1:4" ht="12.75" customHeight="1" x14ac:dyDescent="0.2">
      <c r="A9572" s="21"/>
      <c r="B9572" s="2"/>
      <c r="C9572" s="7"/>
      <c r="D9572" s="7"/>
    </row>
    <row r="9573" spans="1:4" ht="12.75" customHeight="1" x14ac:dyDescent="0.2">
      <c r="A9573" s="5"/>
      <c r="B9573" s="2"/>
      <c r="C9573" s="7"/>
      <c r="D9573" s="7"/>
    </row>
    <row r="9574" spans="1:4" ht="12.75" customHeight="1" x14ac:dyDescent="0.2">
      <c r="A9574" s="22" t="str">
        <f>HYPERLINK("javascript:void(0)","serte rostély")</f>
        <v>serte rostély</v>
      </c>
      <c r="B9574" s="21"/>
      <c r="C9574" s="21"/>
      <c r="D9574" s="21"/>
    </row>
    <row r="9575" spans="1:4" ht="12.75" customHeight="1" x14ac:dyDescent="0.2">
      <c r="A9575" s="20"/>
      <c r="B9575" s="2"/>
      <c r="C9575" s="7"/>
      <c r="D9575" s="7"/>
    </row>
    <row r="9576" spans="1:4" ht="12.75" customHeight="1" x14ac:dyDescent="0.2">
      <c r="A9576" s="21"/>
      <c r="B9576" s="3" t="s">
        <v>0</v>
      </c>
      <c r="C9576" s="23" t="s">
        <v>78</v>
      </c>
      <c r="D9576" s="21"/>
    </row>
    <row r="9577" spans="1:4" ht="12.75" customHeight="1" x14ac:dyDescent="0.2">
      <c r="A9577" s="21"/>
      <c r="B9577" s="3" t="s">
        <v>2</v>
      </c>
      <c r="C9577" s="23" t="s">
        <v>2322</v>
      </c>
      <c r="D9577" s="21"/>
    </row>
    <row r="9578" spans="1:4" ht="12.75" customHeight="1" x14ac:dyDescent="0.2">
      <c r="A9578" s="21"/>
      <c r="B9578" s="3" t="s">
        <v>1840</v>
      </c>
      <c r="C9578" s="23" t="s">
        <v>417</v>
      </c>
      <c r="D9578" s="21"/>
    </row>
    <row r="9579" spans="1:4" ht="12.75" customHeight="1" x14ac:dyDescent="0.2">
      <c r="A9579" s="21"/>
      <c r="B9579" s="3" t="s">
        <v>9</v>
      </c>
      <c r="C9579" s="23" t="s">
        <v>42</v>
      </c>
      <c r="D9579" s="21"/>
    </row>
    <row r="9580" spans="1:4" ht="12.75" customHeight="1" x14ac:dyDescent="0.2">
      <c r="A9580" s="21"/>
      <c r="B9580" s="3" t="s">
        <v>11</v>
      </c>
      <c r="C9580" s="23" t="s">
        <v>368</v>
      </c>
      <c r="D9580" s="21"/>
    </row>
    <row r="9581" spans="1:4" ht="12.75" customHeight="1" x14ac:dyDescent="0.2">
      <c r="A9581" s="21"/>
      <c r="B9581" s="3" t="s">
        <v>16</v>
      </c>
      <c r="C9581" s="23"/>
      <c r="D9581" s="21"/>
    </row>
    <row r="9582" spans="1:4" ht="12.75" customHeight="1" x14ac:dyDescent="0.2">
      <c r="A9582" s="21"/>
      <c r="B9582" s="3" t="s">
        <v>17</v>
      </c>
      <c r="C9582" s="23" t="s">
        <v>19</v>
      </c>
      <c r="D9582" s="21"/>
    </row>
    <row r="9583" spans="1:4" ht="12.75" customHeight="1" x14ac:dyDescent="0.2">
      <c r="A9583" s="21"/>
      <c r="B9583" s="20" t="s">
        <v>18</v>
      </c>
      <c r="C9583" s="8" t="s">
        <v>309</v>
      </c>
      <c r="D9583" s="1" t="str">
        <f>HYPERLINK("javascript:void(0)","serte")</f>
        <v>serte</v>
      </c>
    </row>
    <row r="9584" spans="1:4" ht="12.75" customHeight="1" x14ac:dyDescent="0.2">
      <c r="A9584" s="21"/>
      <c r="B9584" s="21"/>
      <c r="C9584" s="8" t="s">
        <v>163</v>
      </c>
      <c r="D9584" s="1" t="str">
        <f>HYPERLINK("javascript:void(0)","pamacsprém")</f>
        <v>pamacsprém</v>
      </c>
    </row>
    <row r="9585" spans="1:4" ht="12.75" customHeight="1" x14ac:dyDescent="0.2">
      <c r="A9585" s="21"/>
      <c r="B9585" s="21"/>
      <c r="C9585" s="8" t="s">
        <v>382</v>
      </c>
      <c r="D9585" s="1" t="str">
        <f>HYPERLINK("javascript:void(0)","kispárna")</f>
        <v>kispárna</v>
      </c>
    </row>
    <row r="9586" spans="1:4" ht="12.75" customHeight="1" x14ac:dyDescent="0.2">
      <c r="A9586" s="21"/>
      <c r="B9586" s="2"/>
      <c r="C9586" s="7"/>
      <c r="D9586" s="7"/>
    </row>
    <row r="9587" spans="1:4" ht="12.75" customHeight="1" x14ac:dyDescent="0.2">
      <c r="A9587" s="21"/>
      <c r="B9587" s="2"/>
      <c r="C9587" s="7"/>
      <c r="D9587" s="7"/>
    </row>
    <row r="9588" spans="1:4" ht="12.75" customHeight="1" x14ac:dyDescent="0.2">
      <c r="A9588" s="21"/>
      <c r="B9588" s="2"/>
      <c r="C9588" s="7"/>
      <c r="D9588" s="7"/>
    </row>
    <row r="9589" spans="1:4" ht="12.75" customHeight="1" x14ac:dyDescent="0.2">
      <c r="A9589" s="21"/>
      <c r="B9589" s="2"/>
      <c r="C9589" s="7"/>
      <c r="D9589" s="7"/>
    </row>
    <row r="9590" spans="1:4" ht="12.75" customHeight="1" x14ac:dyDescent="0.2">
      <c r="A9590" s="5"/>
      <c r="B9590" s="2"/>
      <c r="C9590" s="7"/>
      <c r="D9590" s="7"/>
    </row>
    <row r="9591" spans="1:4" ht="12.75" customHeight="1" x14ac:dyDescent="0.2">
      <c r="A9591" s="22" t="str">
        <f>HYPERLINK("javascript:void(0)","óriásacél antigrav csizma")</f>
        <v>óriásacél antigrav csizma</v>
      </c>
      <c r="B9591" s="21"/>
      <c r="C9591" s="21"/>
      <c r="D9591" s="21"/>
    </row>
    <row r="9592" spans="1:4" ht="12.75" customHeight="1" x14ac:dyDescent="0.2">
      <c r="A9592" s="20"/>
      <c r="B9592" s="2"/>
      <c r="C9592" s="7"/>
      <c r="D9592" s="7"/>
    </row>
    <row r="9593" spans="1:4" ht="12.75" customHeight="1" x14ac:dyDescent="0.2">
      <c r="A9593" s="21"/>
      <c r="B9593" s="3" t="s">
        <v>0</v>
      </c>
      <c r="C9593" s="23" t="s">
        <v>78</v>
      </c>
      <c r="D9593" s="21"/>
    </row>
    <row r="9594" spans="1:4" ht="12.75" customHeight="1" x14ac:dyDescent="0.2">
      <c r="A9594" s="21"/>
      <c r="B9594" s="3" t="s">
        <v>2</v>
      </c>
      <c r="C9594" s="23"/>
      <c r="D9594" s="21"/>
    </row>
    <row r="9595" spans="1:4" ht="12.75" customHeight="1" x14ac:dyDescent="0.2">
      <c r="A9595" s="21"/>
      <c r="B9595" s="3" t="s">
        <v>1840</v>
      </c>
      <c r="C9595" s="23" t="s">
        <v>1373</v>
      </c>
      <c r="D9595" s="21"/>
    </row>
    <row r="9596" spans="1:4" ht="12.75" customHeight="1" x14ac:dyDescent="0.2">
      <c r="A9596" s="21"/>
      <c r="B9596" s="3" t="s">
        <v>9</v>
      </c>
      <c r="C9596" s="23" t="s">
        <v>626</v>
      </c>
      <c r="D9596" s="21"/>
    </row>
    <row r="9597" spans="1:4" ht="12.75" customHeight="1" x14ac:dyDescent="0.2">
      <c r="A9597" s="21"/>
      <c r="B9597" s="3" t="s">
        <v>11</v>
      </c>
      <c r="C9597" s="23" t="s">
        <v>23</v>
      </c>
      <c r="D9597" s="21"/>
    </row>
    <row r="9598" spans="1:4" ht="12.75" customHeight="1" x14ac:dyDescent="0.2">
      <c r="A9598" s="21"/>
      <c r="B9598" s="3" t="s">
        <v>16</v>
      </c>
      <c r="C9598" s="23"/>
      <c r="D9598" s="21"/>
    </row>
    <row r="9599" spans="1:4" ht="12.75" customHeight="1" x14ac:dyDescent="0.2">
      <c r="A9599" s="21"/>
      <c r="B9599" s="3" t="s">
        <v>17</v>
      </c>
      <c r="C9599" s="23" t="s">
        <v>19</v>
      </c>
      <c r="D9599" s="21"/>
    </row>
    <row r="9600" spans="1:4" ht="25.5" customHeight="1" x14ac:dyDescent="0.2">
      <c r="A9600" s="21"/>
      <c r="B9600" s="20" t="s">
        <v>18</v>
      </c>
      <c r="C9600" s="8" t="s">
        <v>44</v>
      </c>
      <c r="D9600" s="1" t="str">
        <f>HYPERLINK("javascript:void(0)","elfacél antigrav csizma")</f>
        <v>elfacél antigrav csizma</v>
      </c>
    </row>
    <row r="9601" spans="1:4" ht="12.75" customHeight="1" x14ac:dyDescent="0.2">
      <c r="A9601" s="21"/>
      <c r="B9601" s="21"/>
      <c r="C9601" s="8" t="s">
        <v>130</v>
      </c>
      <c r="D9601" s="1" t="str">
        <f>HYPERLINK("javascript:void(0)","serte")</f>
        <v>serte</v>
      </c>
    </row>
    <row r="9602" spans="1:4" ht="12.75" customHeight="1" x14ac:dyDescent="0.2">
      <c r="A9602" s="21"/>
      <c r="B9602" s="21"/>
      <c r="C9602" s="8" t="s">
        <v>193</v>
      </c>
      <c r="D9602" s="1" t="str">
        <f>HYPERLINK("javascript:void(0)","szivárványszív")</f>
        <v>szivárványszív</v>
      </c>
    </row>
    <row r="9603" spans="1:4" ht="12.75" customHeight="1" x14ac:dyDescent="0.2">
      <c r="A9603" s="21"/>
      <c r="B9603" s="2"/>
      <c r="C9603" s="7"/>
      <c r="D9603" s="7"/>
    </row>
    <row r="9604" spans="1:4" ht="12.75" customHeight="1" x14ac:dyDescent="0.2">
      <c r="A9604" s="21"/>
      <c r="B9604" s="2"/>
      <c r="C9604" s="7"/>
      <c r="D9604" s="7"/>
    </row>
    <row r="9605" spans="1:4" ht="12.75" customHeight="1" x14ac:dyDescent="0.2">
      <c r="A9605" s="21"/>
      <c r="B9605" s="2"/>
      <c r="C9605" s="7"/>
      <c r="D9605" s="7"/>
    </row>
    <row r="9606" spans="1:4" ht="12.75" customHeight="1" x14ac:dyDescent="0.2">
      <c r="A9606" s="21"/>
      <c r="B9606" s="2"/>
      <c r="C9606" s="7"/>
      <c r="D9606" s="7"/>
    </row>
    <row r="9607" spans="1:4" ht="12.75" customHeight="1" x14ac:dyDescent="0.2">
      <c r="A9607" s="5"/>
      <c r="B9607" s="2"/>
      <c r="C9607" s="7"/>
      <c r="D9607" s="7"/>
    </row>
    <row r="9608" spans="1:4" ht="12.75" customHeight="1" x14ac:dyDescent="0.2">
      <c r="A9608" s="22" t="str">
        <f>HYPERLINK("javascript:void(0)","teljes gyémántvért")</f>
        <v>teljes gyémántvért</v>
      </c>
      <c r="B9608" s="21"/>
      <c r="C9608" s="21"/>
      <c r="D9608" s="21"/>
    </row>
    <row r="9609" spans="1:4" ht="12.75" customHeight="1" x14ac:dyDescent="0.2">
      <c r="A9609" s="20"/>
      <c r="B9609" s="2"/>
      <c r="C9609" s="7"/>
      <c r="D9609" s="7"/>
    </row>
    <row r="9610" spans="1:4" ht="12.75" customHeight="1" x14ac:dyDescent="0.2">
      <c r="A9610" s="21"/>
      <c r="B9610" s="3" t="s">
        <v>0</v>
      </c>
      <c r="C9610" s="23" t="s">
        <v>73</v>
      </c>
      <c r="D9610" s="21"/>
    </row>
    <row r="9611" spans="1:4" ht="12.75" customHeight="1" x14ac:dyDescent="0.2">
      <c r="A9611" s="21"/>
      <c r="B9611" s="3" t="s">
        <v>2</v>
      </c>
      <c r="C9611" s="23" t="s">
        <v>2322</v>
      </c>
      <c r="D9611" s="21"/>
    </row>
    <row r="9612" spans="1:4" ht="12.75" customHeight="1" x14ac:dyDescent="0.2">
      <c r="A9612" s="21"/>
      <c r="B9612" s="3" t="s">
        <v>1840</v>
      </c>
      <c r="C9612" s="23" t="s">
        <v>2468</v>
      </c>
      <c r="D9612" s="21"/>
    </row>
    <row r="9613" spans="1:4" ht="12.75" customHeight="1" x14ac:dyDescent="0.2">
      <c r="A9613" s="21"/>
      <c r="B9613" s="3" t="s">
        <v>9</v>
      </c>
      <c r="C9613" s="23" t="s">
        <v>1503</v>
      </c>
      <c r="D9613" s="21"/>
    </row>
    <row r="9614" spans="1:4" ht="12.75" customHeight="1" x14ac:dyDescent="0.2">
      <c r="A9614" s="21"/>
      <c r="B9614" s="3" t="s">
        <v>11</v>
      </c>
      <c r="C9614" s="23" t="s">
        <v>973</v>
      </c>
      <c r="D9614" s="21"/>
    </row>
    <row r="9615" spans="1:4" ht="12.75" customHeight="1" x14ac:dyDescent="0.2">
      <c r="A9615" s="21"/>
      <c r="B9615" s="3" t="s">
        <v>16</v>
      </c>
      <c r="C9615" s="23"/>
      <c r="D9615" s="21"/>
    </row>
    <row r="9616" spans="1:4" ht="12.75" customHeight="1" x14ac:dyDescent="0.2">
      <c r="A9616" s="21"/>
      <c r="B9616" s="3" t="s">
        <v>17</v>
      </c>
      <c r="C9616" s="23" t="s">
        <v>19</v>
      </c>
      <c r="D9616" s="21"/>
    </row>
    <row r="9617" spans="1:4" ht="12.75" customHeight="1" x14ac:dyDescent="0.2">
      <c r="A9617" s="21"/>
      <c r="B9617" s="20" t="s">
        <v>18</v>
      </c>
      <c r="C9617" s="8" t="s">
        <v>323</v>
      </c>
      <c r="D9617" s="1" t="str">
        <f>HYPERLINK("javascript:void(0)","gyémánt")</f>
        <v>gyémánt</v>
      </c>
    </row>
    <row r="9618" spans="1:4" ht="12.75" customHeight="1" x14ac:dyDescent="0.2">
      <c r="A9618" s="21"/>
      <c r="B9618" s="21"/>
      <c r="C9618" s="8" t="s">
        <v>117</v>
      </c>
      <c r="D9618" s="1" t="str">
        <f>HYPERLINK("javascript:void(0)","nagylemez")</f>
        <v>nagylemez</v>
      </c>
    </row>
    <row r="9619" spans="1:4" ht="12.75" customHeight="1" x14ac:dyDescent="0.2">
      <c r="A9619" s="21"/>
      <c r="B9619" s="21"/>
      <c r="C9619" s="8" t="s">
        <v>420</v>
      </c>
      <c r="D9619" s="1" t="str">
        <f>HYPERLINK("javascript:void(0)","orr")</f>
        <v>orr</v>
      </c>
    </row>
    <row r="9620" spans="1:4" ht="12.75" customHeight="1" x14ac:dyDescent="0.2">
      <c r="A9620" s="21"/>
      <c r="B9620" s="2"/>
      <c r="C9620" s="7"/>
      <c r="D9620" s="7"/>
    </row>
    <row r="9621" spans="1:4" ht="12.75" customHeight="1" x14ac:dyDescent="0.2">
      <c r="A9621" s="21"/>
      <c r="B9621" s="2"/>
      <c r="C9621" s="7"/>
      <c r="D9621" s="7"/>
    </row>
    <row r="9622" spans="1:4" ht="12.75" customHeight="1" x14ac:dyDescent="0.2">
      <c r="A9622" s="21"/>
      <c r="B9622" s="2"/>
      <c r="C9622" s="7"/>
      <c r="D9622" s="7"/>
    </row>
    <row r="9623" spans="1:4" ht="12.75" customHeight="1" x14ac:dyDescent="0.2">
      <c r="A9623" s="21"/>
      <c r="B9623" s="2"/>
      <c r="C9623" s="7"/>
      <c r="D9623" s="7"/>
    </row>
    <row r="9624" spans="1:4" ht="12.75" customHeight="1" x14ac:dyDescent="0.2">
      <c r="A9624" s="5"/>
      <c r="B9624" s="2"/>
      <c r="C9624" s="7"/>
      <c r="D9624" s="7"/>
    </row>
    <row r="9625" spans="1:4" ht="12.75" customHeight="1" x14ac:dyDescent="0.2">
      <c r="A9625" s="22" t="str">
        <f>HYPERLINK("javascript:void(0)","portál sisak")</f>
        <v>portál sisak</v>
      </c>
      <c r="B9625" s="21"/>
      <c r="C9625" s="21"/>
      <c r="D9625" s="21"/>
    </row>
    <row r="9626" spans="1:4" ht="12.75" customHeight="1" x14ac:dyDescent="0.2">
      <c r="A9626" s="20"/>
      <c r="B9626" s="2"/>
      <c r="C9626" s="7"/>
      <c r="D9626" s="7"/>
    </row>
    <row r="9627" spans="1:4" ht="12.75" customHeight="1" x14ac:dyDescent="0.2">
      <c r="A9627" s="21"/>
      <c r="B9627" s="3" t="s">
        <v>0</v>
      </c>
      <c r="C9627" s="23" t="s">
        <v>73</v>
      </c>
      <c r="D9627" s="21"/>
    </row>
    <row r="9628" spans="1:4" ht="12.75" customHeight="1" x14ac:dyDescent="0.2">
      <c r="A9628" s="21"/>
      <c r="B9628" s="3" t="s">
        <v>2</v>
      </c>
      <c r="C9628" s="23"/>
      <c r="D9628" s="21"/>
    </row>
    <row r="9629" spans="1:4" ht="12.75" customHeight="1" x14ac:dyDescent="0.2">
      <c r="A9629" s="21"/>
      <c r="B9629" s="3" t="s">
        <v>1840</v>
      </c>
      <c r="C9629" s="23" t="s">
        <v>175</v>
      </c>
      <c r="D9629" s="21"/>
    </row>
    <row r="9630" spans="1:4" ht="12.75" customHeight="1" x14ac:dyDescent="0.2">
      <c r="A9630" s="21"/>
      <c r="B9630" s="3" t="s">
        <v>9</v>
      </c>
      <c r="C9630" s="23" t="s">
        <v>84</v>
      </c>
      <c r="D9630" s="21"/>
    </row>
    <row r="9631" spans="1:4" ht="12.75" customHeight="1" x14ac:dyDescent="0.2">
      <c r="A9631" s="21"/>
      <c r="B9631" s="3" t="s">
        <v>11</v>
      </c>
      <c r="C9631" s="23" t="s">
        <v>973</v>
      </c>
      <c r="D9631" s="21"/>
    </row>
    <row r="9632" spans="1:4" ht="12.75" customHeight="1" x14ac:dyDescent="0.2">
      <c r="A9632" s="21"/>
      <c r="B9632" s="3" t="s">
        <v>16</v>
      </c>
      <c r="C9632" s="23"/>
      <c r="D9632" s="21"/>
    </row>
    <row r="9633" spans="1:4" ht="12.75" customHeight="1" x14ac:dyDescent="0.2">
      <c r="A9633" s="21"/>
      <c r="B9633" s="3" t="s">
        <v>17</v>
      </c>
      <c r="C9633" s="23" t="s">
        <v>19</v>
      </c>
      <c r="D9633" s="21"/>
    </row>
    <row r="9634" spans="1:4" ht="12.75" customHeight="1" x14ac:dyDescent="0.2">
      <c r="A9634" s="21"/>
      <c r="B9634" s="20" t="s">
        <v>18</v>
      </c>
      <c r="C9634" s="8" t="s">
        <v>44</v>
      </c>
      <c r="D9634" s="1" t="str">
        <f>HYPERLINK("javascript:void(0)","sertesisak")</f>
        <v>sertesisak</v>
      </c>
    </row>
    <row r="9635" spans="1:4" ht="12.75" customHeight="1" x14ac:dyDescent="0.2">
      <c r="A9635" s="21"/>
      <c r="B9635" s="21"/>
      <c r="C9635" s="8" t="s">
        <v>77</v>
      </c>
      <c r="D9635" s="1" t="str">
        <f>HYPERLINK("javascript:void(0)","térszelet")</f>
        <v>térszelet</v>
      </c>
    </row>
    <row r="9636" spans="1:4" ht="12.75" customHeight="1" x14ac:dyDescent="0.2">
      <c r="A9636" s="21"/>
      <c r="B9636" s="21"/>
      <c r="C9636" s="8" t="s">
        <v>98</v>
      </c>
      <c r="D9636" s="1" t="str">
        <f>HYPERLINK("javascript:void(0)","teleportige")</f>
        <v>teleportige</v>
      </c>
    </row>
    <row r="9637" spans="1:4" ht="12.75" customHeight="1" x14ac:dyDescent="0.2">
      <c r="A9637" s="21"/>
      <c r="B9637" s="2"/>
      <c r="C9637" s="7"/>
      <c r="D9637" s="7"/>
    </row>
    <row r="9638" spans="1:4" ht="12.75" customHeight="1" x14ac:dyDescent="0.2">
      <c r="A9638" s="21"/>
      <c r="B9638" s="2"/>
      <c r="C9638" s="7"/>
      <c r="D9638" s="7"/>
    </row>
    <row r="9639" spans="1:4" ht="12.75" customHeight="1" x14ac:dyDescent="0.2">
      <c r="A9639" s="21"/>
      <c r="B9639" s="2"/>
      <c r="C9639" s="7"/>
      <c r="D9639" s="7"/>
    </row>
    <row r="9640" spans="1:4" ht="12.75" customHeight="1" x14ac:dyDescent="0.2">
      <c r="A9640" s="21"/>
      <c r="B9640" s="2"/>
      <c r="C9640" s="7"/>
      <c r="D9640" s="7"/>
    </row>
    <row r="9641" spans="1:4" ht="12.75" customHeight="1" x14ac:dyDescent="0.2">
      <c r="A9641" s="5"/>
      <c r="B9641" s="2"/>
      <c r="C9641" s="7"/>
      <c r="D9641" s="7"/>
    </row>
    <row r="9642" spans="1:4" ht="12.75" customHeight="1" x14ac:dyDescent="0.2">
      <c r="A9642" s="22" t="str">
        <f>HYPERLINK("javascript:void(0)","ezüst mokaszin")</f>
        <v>ezüst mokaszin</v>
      </c>
      <c r="B9642" s="21"/>
      <c r="C9642" s="21"/>
      <c r="D9642" s="21"/>
    </row>
    <row r="9643" spans="1:4" ht="12.75" customHeight="1" x14ac:dyDescent="0.2">
      <c r="A9643" s="20"/>
      <c r="B9643" s="2"/>
      <c r="C9643" s="7"/>
      <c r="D9643" s="7"/>
    </row>
    <row r="9644" spans="1:4" ht="12.75" customHeight="1" x14ac:dyDescent="0.2">
      <c r="A9644" s="21"/>
      <c r="B9644" s="3" t="s">
        <v>0</v>
      </c>
      <c r="C9644" s="23" t="s">
        <v>73</v>
      </c>
      <c r="D9644" s="21"/>
    </row>
    <row r="9645" spans="1:4" ht="12.75" customHeight="1" x14ac:dyDescent="0.2">
      <c r="A9645" s="21"/>
      <c r="B9645" s="3" t="s">
        <v>2</v>
      </c>
      <c r="C9645" s="23"/>
      <c r="D9645" s="21"/>
    </row>
    <row r="9646" spans="1:4" ht="12.75" customHeight="1" x14ac:dyDescent="0.2">
      <c r="A9646" s="21"/>
      <c r="B9646" s="3" t="s">
        <v>1840</v>
      </c>
      <c r="C9646" s="23" t="s">
        <v>455</v>
      </c>
      <c r="D9646" s="21"/>
    </row>
    <row r="9647" spans="1:4" ht="12.75" customHeight="1" x14ac:dyDescent="0.2">
      <c r="A9647" s="21"/>
      <c r="B9647" s="3" t="s">
        <v>9</v>
      </c>
      <c r="C9647" s="23" t="s">
        <v>1532</v>
      </c>
      <c r="D9647" s="21"/>
    </row>
    <row r="9648" spans="1:4" ht="12.75" customHeight="1" x14ac:dyDescent="0.2">
      <c r="A9648" s="21"/>
      <c r="B9648" s="3" t="s">
        <v>11</v>
      </c>
      <c r="C9648" s="23" t="s">
        <v>1015</v>
      </c>
      <c r="D9648" s="21"/>
    </row>
    <row r="9649" spans="1:4" ht="12.75" customHeight="1" x14ac:dyDescent="0.2">
      <c r="A9649" s="21"/>
      <c r="B9649" s="3" t="s">
        <v>16</v>
      </c>
      <c r="C9649" s="23"/>
      <c r="D9649" s="21"/>
    </row>
    <row r="9650" spans="1:4" ht="12.75" customHeight="1" x14ac:dyDescent="0.2">
      <c r="A9650" s="21"/>
      <c r="B9650" s="3" t="s">
        <v>17</v>
      </c>
      <c r="C9650" s="23" t="s">
        <v>19</v>
      </c>
      <c r="D9650" s="21"/>
    </row>
    <row r="9651" spans="1:4" ht="12.75" customHeight="1" x14ac:dyDescent="0.2">
      <c r="A9651" s="21"/>
      <c r="B9651" s="20" t="s">
        <v>18</v>
      </c>
      <c r="C9651" s="8" t="s">
        <v>44</v>
      </c>
      <c r="D9651" s="1" t="str">
        <f>HYPERLINK("javascript:void(0)","bronz mokaszin")</f>
        <v>bronz mokaszin</v>
      </c>
    </row>
    <row r="9652" spans="1:4" ht="12.75" customHeight="1" x14ac:dyDescent="0.2">
      <c r="A9652" s="21"/>
      <c r="B9652" s="21"/>
      <c r="C9652" s="8" t="s">
        <v>44</v>
      </c>
      <c r="D9652" s="1" t="str">
        <f>HYPERLINK("javascript:void(0)","vas mokaszin")</f>
        <v>vas mokaszin</v>
      </c>
    </row>
    <row r="9653" spans="1:4" ht="12.75" customHeight="1" x14ac:dyDescent="0.2">
      <c r="A9653" s="21"/>
      <c r="B9653" s="21"/>
      <c r="C9653" s="8" t="s">
        <v>44</v>
      </c>
      <c r="D9653" s="1" t="str">
        <f>HYPERLINK("javascript:void(0)","ezüst fűző")</f>
        <v>ezüst fűző</v>
      </c>
    </row>
    <row r="9654" spans="1:4" ht="12.75" customHeight="1" x14ac:dyDescent="0.2">
      <c r="A9654" s="21"/>
      <c r="B9654" s="2"/>
      <c r="C9654" s="7"/>
      <c r="D9654" s="7"/>
    </row>
    <row r="9655" spans="1:4" ht="12.75" customHeight="1" x14ac:dyDescent="0.2">
      <c r="A9655" s="21"/>
      <c r="B9655" s="2"/>
      <c r="C9655" s="7"/>
      <c r="D9655" s="7"/>
    </row>
    <row r="9656" spans="1:4" ht="12.75" customHeight="1" x14ac:dyDescent="0.2">
      <c r="A9656" s="21"/>
      <c r="B9656" s="2"/>
      <c r="C9656" s="7"/>
      <c r="D9656" s="7"/>
    </row>
    <row r="9657" spans="1:4" ht="12.75" customHeight="1" x14ac:dyDescent="0.2">
      <c r="A9657" s="21"/>
      <c r="B9657" s="2"/>
      <c r="C9657" s="7"/>
      <c r="D9657" s="7"/>
    </row>
    <row r="9658" spans="1:4" ht="12.75" customHeight="1" x14ac:dyDescent="0.2">
      <c r="A9658" s="5"/>
      <c r="B9658" s="2"/>
      <c r="C9658" s="7"/>
      <c r="D9658" s="7"/>
    </row>
    <row r="9659" spans="1:4" ht="12.75" customHeight="1" x14ac:dyDescent="0.2">
      <c r="A9659" s="22" t="str">
        <f>HYPERLINK("javascript:void(0)","színjátszó pajzs")</f>
        <v>színjátszó pajzs</v>
      </c>
      <c r="B9659" s="21"/>
      <c r="C9659" s="21"/>
      <c r="D9659" s="21"/>
    </row>
    <row r="9660" spans="1:4" ht="12.75" customHeight="1" x14ac:dyDescent="0.2">
      <c r="A9660" s="20"/>
      <c r="B9660" s="2"/>
      <c r="C9660" s="7"/>
      <c r="D9660" s="7"/>
    </row>
    <row r="9661" spans="1:4" ht="12.75" customHeight="1" x14ac:dyDescent="0.2">
      <c r="A9661" s="21"/>
      <c r="B9661" s="3" t="s">
        <v>0</v>
      </c>
      <c r="C9661" s="23" t="s">
        <v>73</v>
      </c>
      <c r="D9661" s="21"/>
    </row>
    <row r="9662" spans="1:4" ht="12.75" customHeight="1" x14ac:dyDescent="0.2">
      <c r="A9662" s="21"/>
      <c r="B9662" s="3" t="s">
        <v>2</v>
      </c>
      <c r="C9662" s="23" t="s">
        <v>1839</v>
      </c>
      <c r="D9662" s="21"/>
    </row>
    <row r="9663" spans="1:4" ht="12.75" customHeight="1" x14ac:dyDescent="0.2">
      <c r="A9663" s="21"/>
      <c r="B9663" s="3" t="s">
        <v>1840</v>
      </c>
      <c r="C9663" s="23" t="s">
        <v>2248</v>
      </c>
      <c r="D9663" s="21"/>
    </row>
    <row r="9664" spans="1:4" ht="12.75" customHeight="1" x14ac:dyDescent="0.2">
      <c r="A9664" s="21"/>
      <c r="B9664" s="3" t="s">
        <v>9</v>
      </c>
      <c r="C9664" s="23" t="s">
        <v>249</v>
      </c>
      <c r="D9664" s="21"/>
    </row>
    <row r="9665" spans="1:4" ht="12.75" customHeight="1" x14ac:dyDescent="0.2">
      <c r="A9665" s="21"/>
      <c r="B9665" s="3" t="s">
        <v>11</v>
      </c>
      <c r="C9665" s="23" t="s">
        <v>1125</v>
      </c>
      <c r="D9665" s="21"/>
    </row>
    <row r="9666" spans="1:4" ht="12.75" customHeight="1" x14ac:dyDescent="0.2">
      <c r="A9666" s="21"/>
      <c r="B9666" s="3" t="s">
        <v>16</v>
      </c>
      <c r="C9666" s="23"/>
      <c r="D9666" s="21"/>
    </row>
    <row r="9667" spans="1:4" ht="12.75" customHeight="1" x14ac:dyDescent="0.2">
      <c r="A9667" s="21"/>
      <c r="B9667" s="3" t="s">
        <v>17</v>
      </c>
      <c r="C9667" s="23" t="s">
        <v>19</v>
      </c>
      <c r="D9667" s="21"/>
    </row>
    <row r="9668" spans="1:4" ht="12.75" customHeight="1" x14ac:dyDescent="0.2">
      <c r="A9668" s="21"/>
      <c r="B9668" s="20" t="s">
        <v>18</v>
      </c>
      <c r="C9668" s="8" t="s">
        <v>44</v>
      </c>
      <c r="D9668" s="1" t="str">
        <f>HYPERLINK("javascript:void(0)","hypnoacél pajzs")</f>
        <v>hypnoacél pajzs</v>
      </c>
    </row>
    <row r="9669" spans="1:4" ht="12.75" customHeight="1" x14ac:dyDescent="0.2">
      <c r="A9669" s="21"/>
      <c r="B9669" s="21"/>
      <c r="C9669" s="8" t="s">
        <v>77</v>
      </c>
      <c r="D9669" s="1" t="str">
        <f>HYPERLINK("javascript:void(0)","térszelet")</f>
        <v>térszelet</v>
      </c>
    </row>
    <row r="9670" spans="1:4" ht="12.75" customHeight="1" x14ac:dyDescent="0.2">
      <c r="A9670" s="21"/>
      <c r="B9670" s="21"/>
      <c r="C9670" s="8" t="s">
        <v>117</v>
      </c>
      <c r="D9670" s="1" t="str">
        <f>HYPERLINK("javascript:void(0)","szivárványszív")</f>
        <v>szivárványszív</v>
      </c>
    </row>
    <row r="9671" spans="1:4" ht="12.75" customHeight="1" x14ac:dyDescent="0.2">
      <c r="A9671" s="21"/>
      <c r="B9671" s="2"/>
      <c r="C9671" s="7"/>
      <c r="D9671" s="7"/>
    </row>
    <row r="9672" spans="1:4" ht="12.75" customHeight="1" x14ac:dyDescent="0.2">
      <c r="A9672" s="21"/>
      <c r="B9672" s="2"/>
      <c r="C9672" s="7"/>
      <c r="D9672" s="7"/>
    </row>
    <row r="9673" spans="1:4" ht="12.75" customHeight="1" x14ac:dyDescent="0.2">
      <c r="A9673" s="21"/>
      <c r="B9673" s="2"/>
      <c r="C9673" s="7"/>
      <c r="D9673" s="7"/>
    </row>
    <row r="9674" spans="1:4" ht="12.75" customHeight="1" x14ac:dyDescent="0.2">
      <c r="A9674" s="21"/>
      <c r="B9674" s="2"/>
      <c r="C9674" s="7"/>
      <c r="D9674" s="7"/>
    </row>
    <row r="9675" spans="1:4" ht="12.75" customHeight="1" x14ac:dyDescent="0.2">
      <c r="A9675" s="5"/>
      <c r="B9675" s="2"/>
      <c r="C9675" s="7"/>
      <c r="D9675" s="7"/>
    </row>
    <row r="9676" spans="1:4" ht="12.75" customHeight="1" x14ac:dyDescent="0.2">
      <c r="A9676" s="22" t="str">
        <f>HYPERLINK("javascript:void(0)","wendír illanat")</f>
        <v>wendír illanat</v>
      </c>
      <c r="B9676" s="21"/>
      <c r="C9676" s="21"/>
      <c r="D9676" s="21"/>
    </row>
    <row r="9677" spans="1:4" ht="12.75" customHeight="1" x14ac:dyDescent="0.2">
      <c r="A9677" s="20"/>
      <c r="B9677" s="2"/>
      <c r="C9677" s="7"/>
      <c r="D9677" s="7"/>
    </row>
    <row r="9678" spans="1:4" ht="12.75" customHeight="1" x14ac:dyDescent="0.2">
      <c r="A9678" s="21"/>
      <c r="B9678" s="3" t="s">
        <v>0</v>
      </c>
      <c r="C9678" s="23" t="s">
        <v>73</v>
      </c>
      <c r="D9678" s="21"/>
    </row>
    <row r="9679" spans="1:4" ht="12.75" customHeight="1" x14ac:dyDescent="0.2">
      <c r="A9679" s="21"/>
      <c r="B9679" s="3" t="s">
        <v>2</v>
      </c>
      <c r="C9679" s="23" t="s">
        <v>1839</v>
      </c>
      <c r="D9679" s="21"/>
    </row>
    <row r="9680" spans="1:4" ht="12.75" customHeight="1" x14ac:dyDescent="0.2">
      <c r="A9680" s="21"/>
      <c r="B9680" s="3" t="s">
        <v>1840</v>
      </c>
      <c r="C9680" s="23" t="s">
        <v>2248</v>
      </c>
      <c r="D9680" s="21"/>
    </row>
    <row r="9681" spans="1:4" ht="12.75" customHeight="1" x14ac:dyDescent="0.2">
      <c r="A9681" s="21"/>
      <c r="B9681" s="3" t="s">
        <v>9</v>
      </c>
      <c r="C9681" s="23" t="s">
        <v>1089</v>
      </c>
      <c r="D9681" s="21"/>
    </row>
    <row r="9682" spans="1:4" ht="12.75" customHeight="1" x14ac:dyDescent="0.2">
      <c r="A9682" s="21"/>
      <c r="B9682" s="3" t="s">
        <v>11</v>
      </c>
      <c r="C9682" s="23" t="s">
        <v>1159</v>
      </c>
      <c r="D9682" s="21"/>
    </row>
    <row r="9683" spans="1:4" ht="12.75" customHeight="1" x14ac:dyDescent="0.2">
      <c r="A9683" s="21"/>
      <c r="B9683" s="3" t="s">
        <v>16</v>
      </c>
      <c r="C9683" s="23"/>
      <c r="D9683" s="21"/>
    </row>
    <row r="9684" spans="1:4" ht="12.75" customHeight="1" x14ac:dyDescent="0.2">
      <c r="A9684" s="21"/>
      <c r="B9684" s="3" t="s">
        <v>17</v>
      </c>
      <c r="C9684" s="23" t="s">
        <v>19</v>
      </c>
      <c r="D9684" s="21"/>
    </row>
    <row r="9685" spans="1:4" ht="12.75" customHeight="1" x14ac:dyDescent="0.2">
      <c r="A9685" s="21"/>
      <c r="B9685" s="20" t="s">
        <v>18</v>
      </c>
      <c r="C9685" s="8" t="s">
        <v>44</v>
      </c>
      <c r="D9685" s="1" t="str">
        <f>HYPERLINK("javascript:void(0)","színjátszó pajzs")</f>
        <v>színjátszó pajzs</v>
      </c>
    </row>
    <row r="9686" spans="1:4" ht="12.75" customHeight="1" x14ac:dyDescent="0.2">
      <c r="A9686" s="21"/>
      <c r="B9686" s="21"/>
      <c r="C9686" s="8" t="s">
        <v>382</v>
      </c>
      <c r="D9686" s="1" t="str">
        <f>HYPERLINK("javascript:void(0)","orr")</f>
        <v>orr</v>
      </c>
    </row>
    <row r="9687" spans="1:4" ht="12.75" customHeight="1" x14ac:dyDescent="0.2">
      <c r="A9687" s="21"/>
      <c r="B9687" s="21"/>
      <c r="C9687" s="8" t="s">
        <v>98</v>
      </c>
      <c r="D9687" s="1" t="str">
        <f>HYPERLINK("javascript:void(0)","nagylemez")</f>
        <v>nagylemez</v>
      </c>
    </row>
    <row r="9688" spans="1:4" ht="12.75" customHeight="1" x14ac:dyDescent="0.2">
      <c r="A9688" s="21"/>
      <c r="B9688" s="2"/>
      <c r="C9688" s="7"/>
      <c r="D9688" s="7"/>
    </row>
    <row r="9689" spans="1:4" ht="12.75" customHeight="1" x14ac:dyDescent="0.2">
      <c r="A9689" s="21"/>
      <c r="B9689" s="2"/>
      <c r="C9689" s="7"/>
      <c r="D9689" s="7"/>
    </row>
    <row r="9690" spans="1:4" ht="12.75" customHeight="1" x14ac:dyDescent="0.2">
      <c r="A9690" s="21"/>
      <c r="B9690" s="2"/>
      <c r="C9690" s="7"/>
      <c r="D9690" s="7"/>
    </row>
    <row r="9691" spans="1:4" ht="12.75" customHeight="1" x14ac:dyDescent="0.2">
      <c r="A9691" s="21"/>
      <c r="B9691" s="2"/>
      <c r="C9691" s="7"/>
      <c r="D9691" s="7"/>
    </row>
    <row r="9692" spans="1:4" ht="12.75" customHeight="1" x14ac:dyDescent="0.2">
      <c r="A9692" s="5"/>
      <c r="B9692" s="2"/>
      <c r="C9692" s="7"/>
      <c r="D9692" s="7"/>
    </row>
    <row r="9693" spans="1:4" ht="12.75" customHeight="1" x14ac:dyDescent="0.2">
      <c r="A9693" s="22" t="str">
        <f>HYPERLINK("javascript:void(0)","ezüst fűző")</f>
        <v>ezüst fűző</v>
      </c>
      <c r="B9693" s="21"/>
      <c r="C9693" s="21"/>
      <c r="D9693" s="21"/>
    </row>
    <row r="9694" spans="1:4" ht="12.75" customHeight="1" x14ac:dyDescent="0.2">
      <c r="A9694" s="20"/>
      <c r="B9694" s="2"/>
      <c r="C9694" s="7"/>
      <c r="D9694" s="7"/>
    </row>
    <row r="9695" spans="1:4" ht="12.75" customHeight="1" x14ac:dyDescent="0.2">
      <c r="A9695" s="21"/>
      <c r="B9695" s="3" t="s">
        <v>0</v>
      </c>
      <c r="C9695" s="23" t="s">
        <v>73</v>
      </c>
      <c r="D9695" s="21"/>
    </row>
    <row r="9696" spans="1:4" ht="12.75" customHeight="1" x14ac:dyDescent="0.2">
      <c r="A9696" s="21"/>
      <c r="B9696" s="3" t="s">
        <v>2</v>
      </c>
      <c r="C9696" s="23"/>
      <c r="D9696" s="21"/>
    </row>
    <row r="9697" spans="1:4" ht="12.75" customHeight="1" x14ac:dyDescent="0.2">
      <c r="A9697" s="21"/>
      <c r="B9697" s="3" t="s">
        <v>1840</v>
      </c>
      <c r="C9697" s="23" t="s">
        <v>115</v>
      </c>
      <c r="D9697" s="21"/>
    </row>
    <row r="9698" spans="1:4" ht="12.75" customHeight="1" x14ac:dyDescent="0.2">
      <c r="A9698" s="21"/>
      <c r="B9698" s="3" t="s">
        <v>9</v>
      </c>
      <c r="C9698" s="23" t="s">
        <v>42</v>
      </c>
      <c r="D9698" s="21"/>
    </row>
    <row r="9699" spans="1:4" ht="12.75" customHeight="1" x14ac:dyDescent="0.2">
      <c r="A9699" s="21"/>
      <c r="B9699" s="3" t="s">
        <v>11</v>
      </c>
      <c r="C9699" s="23" t="s">
        <v>368</v>
      </c>
      <c r="D9699" s="21"/>
    </row>
    <row r="9700" spans="1:4" ht="12.75" customHeight="1" x14ac:dyDescent="0.2">
      <c r="A9700" s="21"/>
      <c r="B9700" s="3" t="s">
        <v>16</v>
      </c>
      <c r="C9700" s="23"/>
      <c r="D9700" s="21"/>
    </row>
    <row r="9701" spans="1:4" ht="12.75" customHeight="1" x14ac:dyDescent="0.2">
      <c r="A9701" s="21"/>
      <c r="B9701" s="3" t="s">
        <v>17</v>
      </c>
      <c r="C9701" s="23" t="s">
        <v>19</v>
      </c>
      <c r="D9701" s="21"/>
    </row>
    <row r="9702" spans="1:4" ht="12.75" customHeight="1" x14ac:dyDescent="0.2">
      <c r="A9702" s="21"/>
      <c r="B9702" s="20" t="s">
        <v>18</v>
      </c>
      <c r="C9702" s="8" t="s">
        <v>77</v>
      </c>
      <c r="D9702" s="1" t="str">
        <f>HYPERLINK("javascript:void(0)","ezüströg")</f>
        <v>ezüströg</v>
      </c>
    </row>
    <row r="9703" spans="1:4" ht="12.75" customHeight="1" x14ac:dyDescent="0.2">
      <c r="A9703" s="21"/>
      <c r="B9703" s="21"/>
      <c r="C9703" s="8" t="s">
        <v>139</v>
      </c>
      <c r="D9703" s="1" t="str">
        <f>HYPERLINK("javascript:void(0)","orr")</f>
        <v>orr</v>
      </c>
    </row>
    <row r="9704" spans="1:4" ht="12.75" customHeight="1" x14ac:dyDescent="0.2">
      <c r="A9704" s="21"/>
      <c r="B9704" s="21"/>
      <c r="C9704" s="8" t="s">
        <v>1085</v>
      </c>
      <c r="D9704" s="1" t="str">
        <f>HYPERLINK("javascript:void(0)","fűrészfog")</f>
        <v>fűrészfog</v>
      </c>
    </row>
    <row r="9705" spans="1:4" ht="12.75" customHeight="1" x14ac:dyDescent="0.2">
      <c r="A9705" s="21"/>
      <c r="B9705" s="2"/>
      <c r="C9705" s="7"/>
      <c r="D9705" s="7"/>
    </row>
    <row r="9706" spans="1:4" ht="12.75" customHeight="1" x14ac:dyDescent="0.2">
      <c r="A9706" s="21"/>
      <c r="B9706" s="2"/>
      <c r="C9706" s="7"/>
      <c r="D9706" s="7"/>
    </row>
    <row r="9707" spans="1:4" ht="12.75" customHeight="1" x14ac:dyDescent="0.2">
      <c r="A9707" s="21"/>
      <c r="B9707" s="2"/>
      <c r="C9707" s="7"/>
      <c r="D9707" s="7"/>
    </row>
    <row r="9708" spans="1:4" ht="12.75" customHeight="1" x14ac:dyDescent="0.2">
      <c r="A9708" s="21"/>
      <c r="B9708" s="2"/>
      <c r="C9708" s="7"/>
      <c r="D9708" s="7"/>
    </row>
    <row r="9709" spans="1:4" ht="12.75" customHeight="1" x14ac:dyDescent="0.2">
      <c r="A9709" s="5"/>
      <c r="B9709" s="2"/>
      <c r="C9709" s="7"/>
      <c r="D9709" s="7"/>
    </row>
    <row r="9710" spans="1:4" ht="12.75" customHeight="1" x14ac:dyDescent="0.2">
      <c r="A9710" s="22" t="str">
        <f>HYPERLINK("javascript:void(0)","teljes diszprovért")</f>
        <v>teljes diszprovért</v>
      </c>
      <c r="B9710" s="21"/>
      <c r="C9710" s="21"/>
      <c r="D9710" s="21"/>
    </row>
    <row r="9711" spans="1:4" ht="12.75" customHeight="1" x14ac:dyDescent="0.2">
      <c r="A9711" s="20"/>
      <c r="B9711" s="2"/>
      <c r="C9711" s="7"/>
      <c r="D9711" s="7"/>
    </row>
    <row r="9712" spans="1:4" ht="12.75" customHeight="1" x14ac:dyDescent="0.2">
      <c r="A9712" s="21"/>
      <c r="B9712" s="3" t="s">
        <v>0</v>
      </c>
      <c r="C9712" s="23" t="s">
        <v>275</v>
      </c>
      <c r="D9712" s="21"/>
    </row>
    <row r="9713" spans="1:4" ht="12.75" customHeight="1" x14ac:dyDescent="0.2">
      <c r="A9713" s="21"/>
      <c r="B9713" s="3" t="s">
        <v>2</v>
      </c>
      <c r="C9713" s="23" t="s">
        <v>2322</v>
      </c>
      <c r="D9713" s="21"/>
    </row>
    <row r="9714" spans="1:4" ht="12.75" customHeight="1" x14ac:dyDescent="0.2">
      <c r="A9714" s="21"/>
      <c r="B9714" s="3" t="s">
        <v>1840</v>
      </c>
      <c r="C9714" s="23" t="s">
        <v>2469</v>
      </c>
      <c r="D9714" s="21"/>
    </row>
    <row r="9715" spans="1:4" ht="12.75" customHeight="1" x14ac:dyDescent="0.2">
      <c r="A9715" s="21"/>
      <c r="B9715" s="3" t="s">
        <v>9</v>
      </c>
      <c r="C9715" s="23" t="s">
        <v>2470</v>
      </c>
      <c r="D9715" s="21"/>
    </row>
    <row r="9716" spans="1:4" ht="12.75" customHeight="1" x14ac:dyDescent="0.2">
      <c r="A9716" s="21"/>
      <c r="B9716" s="3" t="s">
        <v>11</v>
      </c>
      <c r="C9716" s="23" t="s">
        <v>993</v>
      </c>
      <c r="D9716" s="21"/>
    </row>
    <row r="9717" spans="1:4" ht="12.75" customHeight="1" x14ac:dyDescent="0.2">
      <c r="A9717" s="21"/>
      <c r="B9717" s="3" t="s">
        <v>16</v>
      </c>
      <c r="C9717" s="23"/>
      <c r="D9717" s="21"/>
    </row>
    <row r="9718" spans="1:4" ht="12.75" customHeight="1" x14ac:dyDescent="0.2">
      <c r="A9718" s="21"/>
      <c r="B9718" s="3" t="s">
        <v>17</v>
      </c>
      <c r="C9718" s="23" t="s">
        <v>19</v>
      </c>
      <c r="D9718" s="21"/>
    </row>
    <row r="9719" spans="1:4" ht="12.75" customHeight="1" x14ac:dyDescent="0.2">
      <c r="A9719" s="21"/>
      <c r="B9719" s="20" t="s">
        <v>18</v>
      </c>
      <c r="C9719" s="8" t="s">
        <v>44</v>
      </c>
      <c r="D9719" s="1" t="str">
        <f>HYPERLINK("javascript:void(0)","teljes rubinvért")</f>
        <v>teljes rubinvért</v>
      </c>
    </row>
    <row r="9720" spans="1:4" ht="12.75" customHeight="1" x14ac:dyDescent="0.2">
      <c r="A9720" s="21"/>
      <c r="B9720" s="21"/>
      <c r="C9720" s="8" t="s">
        <v>44</v>
      </c>
      <c r="D9720" s="1" t="str">
        <f>HYPERLINK("javascript:void(0)","teljes gyémántvért")</f>
        <v>teljes gyémántvért</v>
      </c>
    </row>
    <row r="9721" spans="1:4" ht="12.75" customHeight="1" x14ac:dyDescent="0.2">
      <c r="A9721" s="21"/>
      <c r="B9721" s="21"/>
      <c r="C9721" s="8" t="s">
        <v>44</v>
      </c>
      <c r="D9721" s="1" t="str">
        <f>HYPERLINK("javascript:void(0)","diszpro vállap")</f>
        <v>diszpro vállap</v>
      </c>
    </row>
    <row r="9722" spans="1:4" ht="12.75" customHeight="1" x14ac:dyDescent="0.2">
      <c r="A9722" s="21"/>
      <c r="B9722" s="2"/>
      <c r="C9722" s="7"/>
      <c r="D9722" s="7"/>
    </row>
    <row r="9723" spans="1:4" ht="12.75" customHeight="1" x14ac:dyDescent="0.2">
      <c r="A9723" s="21"/>
      <c r="B9723" s="2"/>
      <c r="C9723" s="7"/>
      <c r="D9723" s="7"/>
    </row>
    <row r="9724" spans="1:4" ht="12.75" customHeight="1" x14ac:dyDescent="0.2">
      <c r="A9724" s="21"/>
      <c r="B9724" s="2"/>
      <c r="C9724" s="7"/>
      <c r="D9724" s="7"/>
    </row>
    <row r="9725" spans="1:4" ht="12.75" customHeight="1" x14ac:dyDescent="0.2">
      <c r="A9725" s="21"/>
      <c r="B9725" s="2"/>
      <c r="C9725" s="7"/>
      <c r="D9725" s="7"/>
    </row>
    <row r="9726" spans="1:4" ht="12.75" customHeight="1" x14ac:dyDescent="0.2">
      <c r="A9726" s="5"/>
      <c r="B9726" s="2"/>
      <c r="C9726" s="7"/>
      <c r="D9726" s="7"/>
    </row>
    <row r="9727" spans="1:4" ht="12.75" customHeight="1" x14ac:dyDescent="0.2">
      <c r="A9727" s="22" t="str">
        <f>HYPERLINK("javascript:void(0)","hátszarvú sisak")</f>
        <v>hátszarvú sisak</v>
      </c>
      <c r="B9727" s="21"/>
      <c r="C9727" s="21"/>
      <c r="D9727" s="21"/>
    </row>
    <row r="9728" spans="1:4" ht="12.75" customHeight="1" x14ac:dyDescent="0.2">
      <c r="A9728" s="20"/>
      <c r="B9728" s="2"/>
      <c r="C9728" s="7"/>
      <c r="D9728" s="7"/>
    </row>
    <row r="9729" spans="1:4" ht="12.75" customHeight="1" x14ac:dyDescent="0.2">
      <c r="A9729" s="21"/>
      <c r="B9729" s="3" t="s">
        <v>0</v>
      </c>
      <c r="C9729" s="23" t="s">
        <v>275</v>
      </c>
      <c r="D9729" s="21"/>
    </row>
    <row r="9730" spans="1:4" ht="12.75" customHeight="1" x14ac:dyDescent="0.2">
      <c r="A9730" s="21"/>
      <c r="B9730" s="3" t="s">
        <v>2</v>
      </c>
      <c r="C9730" s="23"/>
      <c r="D9730" s="21"/>
    </row>
    <row r="9731" spans="1:4" ht="12.75" customHeight="1" x14ac:dyDescent="0.2">
      <c r="A9731" s="21"/>
      <c r="B9731" s="3" t="s">
        <v>1840</v>
      </c>
      <c r="C9731" s="23" t="s">
        <v>1773</v>
      </c>
      <c r="D9731" s="21"/>
    </row>
    <row r="9732" spans="1:4" ht="12.75" customHeight="1" x14ac:dyDescent="0.2">
      <c r="A9732" s="21"/>
      <c r="B9732" s="3" t="s">
        <v>9</v>
      </c>
      <c r="C9732" s="23" t="s">
        <v>172</v>
      </c>
      <c r="D9732" s="21"/>
    </row>
    <row r="9733" spans="1:4" ht="12.75" customHeight="1" x14ac:dyDescent="0.2">
      <c r="A9733" s="21"/>
      <c r="B9733" s="3" t="s">
        <v>11</v>
      </c>
      <c r="C9733" s="23" t="s">
        <v>993</v>
      </c>
      <c r="D9733" s="21"/>
    </row>
    <row r="9734" spans="1:4" ht="12.75" customHeight="1" x14ac:dyDescent="0.2">
      <c r="A9734" s="21"/>
      <c r="B9734" s="3" t="s">
        <v>16</v>
      </c>
      <c r="C9734" s="23"/>
      <c r="D9734" s="21"/>
    </row>
    <row r="9735" spans="1:4" ht="12.75" customHeight="1" x14ac:dyDescent="0.2">
      <c r="A9735" s="21"/>
      <c r="B9735" s="3" t="s">
        <v>17</v>
      </c>
      <c r="C9735" s="23" t="s">
        <v>19</v>
      </c>
      <c r="D9735" s="21"/>
    </row>
    <row r="9736" spans="1:4" ht="12.75" customHeight="1" x14ac:dyDescent="0.2">
      <c r="A9736" s="21"/>
      <c r="B9736" s="20" t="s">
        <v>18</v>
      </c>
      <c r="C9736" s="8" t="s">
        <v>269</v>
      </c>
      <c r="D9736" s="1" t="str">
        <f>HYPERLINK("javascript:void(0)","ördögpihe")</f>
        <v>ördögpihe</v>
      </c>
    </row>
    <row r="9737" spans="1:4" ht="12.75" customHeight="1" x14ac:dyDescent="0.2">
      <c r="A9737" s="21"/>
      <c r="B9737" s="21"/>
      <c r="C9737" s="8" t="s">
        <v>68</v>
      </c>
      <c r="D9737" s="1" t="str">
        <f>HYPERLINK("javascript:void(0)","hátszarv")</f>
        <v>hátszarv</v>
      </c>
    </row>
    <row r="9738" spans="1:4" ht="12.75" customHeight="1" x14ac:dyDescent="0.2">
      <c r="A9738" s="21"/>
      <c r="B9738" s="21"/>
      <c r="C9738" s="8" t="s">
        <v>139</v>
      </c>
      <c r="D9738" s="1" t="str">
        <f>HYPERLINK("javascript:void(0)","tincs")</f>
        <v>tincs</v>
      </c>
    </row>
    <row r="9739" spans="1:4" ht="12.75" customHeight="1" x14ac:dyDescent="0.2">
      <c r="A9739" s="21"/>
      <c r="B9739" s="2"/>
      <c r="C9739" s="7"/>
      <c r="D9739" s="7"/>
    </row>
    <row r="9740" spans="1:4" ht="12.75" customHeight="1" x14ac:dyDescent="0.2">
      <c r="A9740" s="21"/>
      <c r="B9740" s="2"/>
      <c r="C9740" s="7"/>
      <c r="D9740" s="7"/>
    </row>
    <row r="9741" spans="1:4" ht="12.75" customHeight="1" x14ac:dyDescent="0.2">
      <c r="A9741" s="21"/>
      <c r="B9741" s="2"/>
      <c r="C9741" s="7"/>
      <c r="D9741" s="7"/>
    </row>
    <row r="9742" spans="1:4" ht="12.75" customHeight="1" x14ac:dyDescent="0.2">
      <c r="A9742" s="21"/>
      <c r="B9742" s="2"/>
      <c r="C9742" s="7"/>
      <c r="D9742" s="7"/>
    </row>
    <row r="9743" spans="1:4" ht="12.75" customHeight="1" x14ac:dyDescent="0.2">
      <c r="A9743" s="5"/>
      <c r="B9743" s="2"/>
      <c r="C9743" s="7"/>
      <c r="D9743" s="7"/>
    </row>
    <row r="9744" spans="1:4" ht="12.75" customHeight="1" x14ac:dyDescent="0.2">
      <c r="A9744" s="22" t="str">
        <f>HYPERLINK("javascript:void(0)","arany mokaszin")</f>
        <v>arany mokaszin</v>
      </c>
      <c r="B9744" s="21"/>
      <c r="C9744" s="21"/>
      <c r="D9744" s="21"/>
    </row>
    <row r="9745" spans="1:4" ht="12.75" customHeight="1" x14ac:dyDescent="0.2">
      <c r="A9745" s="20"/>
      <c r="B9745" s="2"/>
      <c r="C9745" s="7"/>
      <c r="D9745" s="7"/>
    </row>
    <row r="9746" spans="1:4" ht="12.75" customHeight="1" x14ac:dyDescent="0.2">
      <c r="A9746" s="21"/>
      <c r="B9746" s="3" t="s">
        <v>0</v>
      </c>
      <c r="C9746" s="23" t="s">
        <v>275</v>
      </c>
      <c r="D9746" s="21"/>
    </row>
    <row r="9747" spans="1:4" ht="12.75" customHeight="1" x14ac:dyDescent="0.2">
      <c r="A9747" s="21"/>
      <c r="B9747" s="3" t="s">
        <v>2</v>
      </c>
      <c r="C9747" s="23"/>
      <c r="D9747" s="21"/>
    </row>
    <row r="9748" spans="1:4" ht="12.75" customHeight="1" x14ac:dyDescent="0.2">
      <c r="A9748" s="21"/>
      <c r="B9748" s="3" t="s">
        <v>1840</v>
      </c>
      <c r="C9748" s="23" t="s">
        <v>2069</v>
      </c>
      <c r="D9748" s="21"/>
    </row>
    <row r="9749" spans="1:4" ht="12.75" customHeight="1" x14ac:dyDescent="0.2">
      <c r="A9749" s="21"/>
      <c r="B9749" s="3" t="s">
        <v>9</v>
      </c>
      <c r="C9749" s="23" t="s">
        <v>1517</v>
      </c>
      <c r="D9749" s="21"/>
    </row>
    <row r="9750" spans="1:4" ht="12.75" customHeight="1" x14ac:dyDescent="0.2">
      <c r="A9750" s="21"/>
      <c r="B9750" s="3" t="s">
        <v>11</v>
      </c>
      <c r="C9750" s="23" t="s">
        <v>1035</v>
      </c>
      <c r="D9750" s="21"/>
    </row>
    <row r="9751" spans="1:4" ht="12.75" customHeight="1" x14ac:dyDescent="0.2">
      <c r="A9751" s="21"/>
      <c r="B9751" s="3" t="s">
        <v>16</v>
      </c>
      <c r="C9751" s="23"/>
      <c r="D9751" s="21"/>
    </row>
    <row r="9752" spans="1:4" ht="12.75" customHeight="1" x14ac:dyDescent="0.2">
      <c r="A9752" s="21"/>
      <c r="B9752" s="3" t="s">
        <v>17</v>
      </c>
      <c r="C9752" s="23" t="s">
        <v>19</v>
      </c>
      <c r="D9752" s="21"/>
    </row>
    <row r="9753" spans="1:4" ht="12.75" customHeight="1" x14ac:dyDescent="0.2">
      <c r="A9753" s="21"/>
      <c r="B9753" s="20" t="s">
        <v>18</v>
      </c>
      <c r="C9753" s="8" t="s">
        <v>44</v>
      </c>
      <c r="D9753" s="1" t="str">
        <f>HYPERLINK("javascript:void(0)","ezüst mokaszin")</f>
        <v>ezüst mokaszin</v>
      </c>
    </row>
    <row r="9754" spans="1:4" ht="12.75" customHeight="1" x14ac:dyDescent="0.2">
      <c r="A9754" s="21"/>
      <c r="B9754" s="21"/>
      <c r="C9754" s="8" t="s">
        <v>98</v>
      </c>
      <c r="D9754" s="1" t="str">
        <f>HYPERLINK("javascript:void(0)","ördögpihe")</f>
        <v>ördögpihe</v>
      </c>
    </row>
    <row r="9755" spans="1:4" ht="12.75" customHeight="1" x14ac:dyDescent="0.2">
      <c r="A9755" s="21"/>
      <c r="B9755" s="21"/>
      <c r="C9755" s="8" t="s">
        <v>309</v>
      </c>
      <c r="D9755" s="1" t="str">
        <f>HYPERLINK("javascript:void(0)","bázispár")</f>
        <v>bázispár</v>
      </c>
    </row>
    <row r="9756" spans="1:4" ht="12.75" customHeight="1" x14ac:dyDescent="0.2">
      <c r="A9756" s="21"/>
      <c r="B9756" s="2"/>
      <c r="C9756" s="7"/>
      <c r="D9756" s="7"/>
    </row>
    <row r="9757" spans="1:4" ht="12.75" customHeight="1" x14ac:dyDescent="0.2">
      <c r="A9757" s="21"/>
      <c r="B9757" s="2"/>
      <c r="C9757" s="7"/>
      <c r="D9757" s="7"/>
    </row>
    <row r="9758" spans="1:4" ht="12.75" customHeight="1" x14ac:dyDescent="0.2">
      <c r="A9758" s="21"/>
      <c r="B9758" s="2"/>
      <c r="C9758" s="7"/>
      <c r="D9758" s="7"/>
    </row>
    <row r="9759" spans="1:4" ht="12.75" customHeight="1" x14ac:dyDescent="0.2">
      <c r="A9759" s="21"/>
      <c r="B9759" s="2"/>
      <c r="C9759" s="7"/>
      <c r="D9759" s="7"/>
    </row>
    <row r="9760" spans="1:4" ht="12.75" customHeight="1" x14ac:dyDescent="0.2">
      <c r="A9760" s="5"/>
      <c r="B9760" s="2"/>
      <c r="C9760" s="7"/>
      <c r="D9760" s="7"/>
    </row>
    <row r="9761" spans="1:4" ht="12.75" customHeight="1" x14ac:dyDescent="0.2">
      <c r="A9761" s="22" t="str">
        <f>HYPERLINK("javascript:void(0)","színjátszó testpajzs")</f>
        <v>színjátszó testpajzs</v>
      </c>
      <c r="B9761" s="21"/>
      <c r="C9761" s="21"/>
      <c r="D9761" s="21"/>
    </row>
    <row r="9762" spans="1:4" ht="12.75" customHeight="1" x14ac:dyDescent="0.2">
      <c r="A9762" s="20"/>
      <c r="B9762" s="2"/>
      <c r="C9762" s="7"/>
      <c r="D9762" s="7"/>
    </row>
    <row r="9763" spans="1:4" ht="12.75" customHeight="1" x14ac:dyDescent="0.2">
      <c r="A9763" s="21"/>
      <c r="B9763" s="3" t="s">
        <v>0</v>
      </c>
      <c r="C9763" s="23" t="s">
        <v>275</v>
      </c>
      <c r="D9763" s="21"/>
    </row>
    <row r="9764" spans="1:4" ht="12.75" customHeight="1" x14ac:dyDescent="0.2">
      <c r="A9764" s="21"/>
      <c r="B9764" s="3" t="s">
        <v>2</v>
      </c>
      <c r="C9764" s="23" t="s">
        <v>1839</v>
      </c>
      <c r="D9764" s="21"/>
    </row>
    <row r="9765" spans="1:4" ht="12.75" customHeight="1" x14ac:dyDescent="0.2">
      <c r="A9765" s="21"/>
      <c r="B9765" s="3" t="s">
        <v>1840</v>
      </c>
      <c r="C9765" s="23" t="s">
        <v>197</v>
      </c>
      <c r="D9765" s="21"/>
    </row>
    <row r="9766" spans="1:4" ht="12.75" customHeight="1" x14ac:dyDescent="0.2">
      <c r="A9766" s="21"/>
      <c r="B9766" s="3" t="s">
        <v>9</v>
      </c>
      <c r="C9766" s="23" t="s">
        <v>262</v>
      </c>
      <c r="D9766" s="21"/>
    </row>
    <row r="9767" spans="1:4" ht="12.75" customHeight="1" x14ac:dyDescent="0.2">
      <c r="A9767" s="21"/>
      <c r="B9767" s="3" t="s">
        <v>11</v>
      </c>
      <c r="C9767" s="23" t="s">
        <v>1145</v>
      </c>
      <c r="D9767" s="21"/>
    </row>
    <row r="9768" spans="1:4" ht="12.75" customHeight="1" x14ac:dyDescent="0.2">
      <c r="A9768" s="21"/>
      <c r="B9768" s="3" t="s">
        <v>16</v>
      </c>
      <c r="C9768" s="23"/>
      <c r="D9768" s="21"/>
    </row>
    <row r="9769" spans="1:4" ht="12.75" customHeight="1" x14ac:dyDescent="0.2">
      <c r="A9769" s="21"/>
      <c r="B9769" s="3" t="s">
        <v>17</v>
      </c>
      <c r="C9769" s="23" t="s">
        <v>19</v>
      </c>
      <c r="D9769" s="21"/>
    </row>
    <row r="9770" spans="1:4" ht="12.75" customHeight="1" x14ac:dyDescent="0.2">
      <c r="A9770" s="21"/>
      <c r="B9770" s="20" t="s">
        <v>18</v>
      </c>
      <c r="C9770" s="8" t="s">
        <v>44</v>
      </c>
      <c r="D9770" s="1" t="str">
        <f>HYPERLINK("javascript:void(0)","hypnoacél testpajzs")</f>
        <v>hypnoacél testpajzs</v>
      </c>
    </row>
    <row r="9771" spans="1:4" ht="12.75" customHeight="1" x14ac:dyDescent="0.2">
      <c r="A9771" s="21"/>
      <c r="B9771" s="21"/>
      <c r="C9771" s="8" t="s">
        <v>117</v>
      </c>
      <c r="D9771" s="1" t="str">
        <f>HYPERLINK("javascript:void(0)","szivárványszív")</f>
        <v>szivárványszív</v>
      </c>
    </row>
    <row r="9772" spans="1:4" ht="12.75" customHeight="1" x14ac:dyDescent="0.2">
      <c r="A9772" s="21"/>
      <c r="B9772" s="21"/>
      <c r="C9772" s="8" t="s">
        <v>77</v>
      </c>
      <c r="D9772" s="1" t="str">
        <f>HYPERLINK("javascript:void(0)","brummogás")</f>
        <v>brummogás</v>
      </c>
    </row>
    <row r="9773" spans="1:4" ht="12.75" customHeight="1" x14ac:dyDescent="0.2">
      <c r="A9773" s="21"/>
      <c r="B9773" s="2"/>
      <c r="C9773" s="7"/>
      <c r="D9773" s="7"/>
    </row>
    <row r="9774" spans="1:4" ht="12.75" customHeight="1" x14ac:dyDescent="0.2">
      <c r="A9774" s="21"/>
      <c r="B9774" s="2"/>
      <c r="C9774" s="7"/>
      <c r="D9774" s="7"/>
    </row>
    <row r="9775" spans="1:4" ht="12.75" customHeight="1" x14ac:dyDescent="0.2">
      <c r="A9775" s="21"/>
      <c r="B9775" s="2"/>
      <c r="C9775" s="7"/>
      <c r="D9775" s="7"/>
    </row>
    <row r="9776" spans="1:4" ht="12.75" customHeight="1" x14ac:dyDescent="0.2">
      <c r="A9776" s="21"/>
      <c r="B9776" s="2"/>
      <c r="C9776" s="7"/>
      <c r="D9776" s="7"/>
    </row>
    <row r="9777" spans="1:4" ht="12.75" customHeight="1" x14ac:dyDescent="0.2">
      <c r="A9777" s="5"/>
      <c r="B9777" s="2"/>
      <c r="C9777" s="7"/>
      <c r="D9777" s="7"/>
    </row>
    <row r="9778" spans="1:4" ht="12.75" customHeight="1" x14ac:dyDescent="0.2">
      <c r="A9778" s="22" t="str">
        <f>HYPERLINK("javascript:void(0)","harmatacél illanat")</f>
        <v>harmatacél illanat</v>
      </c>
      <c r="B9778" s="21"/>
      <c r="C9778" s="21"/>
      <c r="D9778" s="21"/>
    </row>
    <row r="9779" spans="1:4" ht="12.75" customHeight="1" x14ac:dyDescent="0.2">
      <c r="A9779" s="20"/>
      <c r="B9779" s="2"/>
      <c r="C9779" s="7"/>
      <c r="D9779" s="7"/>
    </row>
    <row r="9780" spans="1:4" ht="12.75" customHeight="1" x14ac:dyDescent="0.2">
      <c r="A9780" s="21"/>
      <c r="B9780" s="3" t="s">
        <v>0</v>
      </c>
      <c r="C9780" s="23" t="s">
        <v>275</v>
      </c>
      <c r="D9780" s="21"/>
    </row>
    <row r="9781" spans="1:4" ht="12.75" customHeight="1" x14ac:dyDescent="0.2">
      <c r="A9781" s="21"/>
      <c r="B9781" s="3" t="s">
        <v>2</v>
      </c>
      <c r="C9781" s="23" t="s">
        <v>1839</v>
      </c>
      <c r="D9781" s="21"/>
    </row>
    <row r="9782" spans="1:4" ht="12.75" customHeight="1" x14ac:dyDescent="0.2">
      <c r="A9782" s="21"/>
      <c r="B9782" s="3" t="s">
        <v>1840</v>
      </c>
      <c r="C9782" s="23" t="s">
        <v>197</v>
      </c>
      <c r="D9782" s="21"/>
    </row>
    <row r="9783" spans="1:4" ht="12.75" customHeight="1" x14ac:dyDescent="0.2">
      <c r="A9783" s="21"/>
      <c r="B9783" s="3" t="s">
        <v>9</v>
      </c>
      <c r="C9783" s="23" t="s">
        <v>2228</v>
      </c>
      <c r="D9783" s="21"/>
    </row>
    <row r="9784" spans="1:4" ht="12.75" customHeight="1" x14ac:dyDescent="0.2">
      <c r="A9784" s="21"/>
      <c r="B9784" s="3" t="s">
        <v>11</v>
      </c>
      <c r="C9784" s="23" t="s">
        <v>1177</v>
      </c>
      <c r="D9784" s="21"/>
    </row>
    <row r="9785" spans="1:4" ht="12.75" customHeight="1" x14ac:dyDescent="0.2">
      <c r="A9785" s="21"/>
      <c r="B9785" s="3" t="s">
        <v>16</v>
      </c>
      <c r="C9785" s="23"/>
      <c r="D9785" s="21"/>
    </row>
    <row r="9786" spans="1:4" ht="12.75" customHeight="1" x14ac:dyDescent="0.2">
      <c r="A9786" s="21"/>
      <c r="B9786" s="3" t="s">
        <v>17</v>
      </c>
      <c r="C9786" s="23" t="s">
        <v>19</v>
      </c>
      <c r="D9786" s="21"/>
    </row>
    <row r="9787" spans="1:4" ht="12.75" customHeight="1" x14ac:dyDescent="0.2">
      <c r="A9787" s="21"/>
      <c r="B9787" s="20" t="s">
        <v>18</v>
      </c>
      <c r="C9787" s="8" t="s">
        <v>44</v>
      </c>
      <c r="D9787" s="1" t="str">
        <f>HYPERLINK("javascript:void(0)","színjátszó testpajzs")</f>
        <v>színjátszó testpajzs</v>
      </c>
    </row>
    <row r="9788" spans="1:4" ht="12.75" customHeight="1" x14ac:dyDescent="0.2">
      <c r="A9788" s="21"/>
      <c r="B9788" s="21"/>
      <c r="C9788" s="8" t="s">
        <v>382</v>
      </c>
      <c r="D9788" s="1" t="str">
        <f>HYPERLINK("javascript:void(0)","harmatcsepp")</f>
        <v>harmatcsepp</v>
      </c>
    </row>
    <row r="9789" spans="1:4" ht="12.75" customHeight="1" x14ac:dyDescent="0.2">
      <c r="A9789" s="21"/>
      <c r="B9789" s="21"/>
      <c r="C9789" s="8" t="s">
        <v>369</v>
      </c>
      <c r="D9789" s="1" t="str">
        <f>HYPERLINK("javascript:void(0)","ördögpihe")</f>
        <v>ördögpihe</v>
      </c>
    </row>
    <row r="9790" spans="1:4" ht="12.75" customHeight="1" x14ac:dyDescent="0.2">
      <c r="A9790" s="21"/>
      <c r="B9790" s="2"/>
      <c r="C9790" s="7"/>
      <c r="D9790" s="7"/>
    </row>
    <row r="9791" spans="1:4" ht="12.75" customHeight="1" x14ac:dyDescent="0.2">
      <c r="A9791" s="21"/>
      <c r="B9791" s="2"/>
      <c r="C9791" s="7"/>
      <c r="D9791" s="7"/>
    </row>
    <row r="9792" spans="1:4" ht="12.75" customHeight="1" x14ac:dyDescent="0.2">
      <c r="A9792" s="21"/>
      <c r="B9792" s="2"/>
      <c r="C9792" s="7"/>
      <c r="D9792" s="7"/>
    </row>
    <row r="9793" spans="1:4" ht="12.75" customHeight="1" x14ac:dyDescent="0.2">
      <c r="A9793" s="21"/>
      <c r="B9793" s="2"/>
      <c r="C9793" s="7"/>
      <c r="D9793" s="7"/>
    </row>
    <row r="9794" spans="1:4" ht="12.75" customHeight="1" x14ac:dyDescent="0.2">
      <c r="A9794" s="5"/>
      <c r="B9794" s="2"/>
      <c r="C9794" s="7"/>
      <c r="D9794" s="7"/>
    </row>
    <row r="9795" spans="1:4" ht="12.75" customHeight="1" x14ac:dyDescent="0.2">
      <c r="A9795" s="22" t="str">
        <f>HYPERLINK("javascript:void(0)","diszpro vállap")</f>
        <v>diszpro vállap</v>
      </c>
      <c r="B9795" s="21"/>
      <c r="C9795" s="21"/>
      <c r="D9795" s="21"/>
    </row>
    <row r="9796" spans="1:4" ht="12.75" customHeight="1" x14ac:dyDescent="0.2">
      <c r="A9796" s="20"/>
      <c r="B9796" s="2"/>
      <c r="C9796" s="7"/>
      <c r="D9796" s="7"/>
    </row>
    <row r="9797" spans="1:4" ht="12.75" customHeight="1" x14ac:dyDescent="0.2">
      <c r="A9797" s="21"/>
      <c r="B9797" s="3" t="s">
        <v>0</v>
      </c>
      <c r="C9797" s="23" t="s">
        <v>275</v>
      </c>
      <c r="D9797" s="21"/>
    </row>
    <row r="9798" spans="1:4" ht="12.75" customHeight="1" x14ac:dyDescent="0.2">
      <c r="A9798" s="21"/>
      <c r="B9798" s="3" t="s">
        <v>2</v>
      </c>
      <c r="C9798" s="23" t="s">
        <v>2322</v>
      </c>
      <c r="D9798" s="21"/>
    </row>
    <row r="9799" spans="1:4" ht="12.75" customHeight="1" x14ac:dyDescent="0.2">
      <c r="A9799" s="21"/>
      <c r="B9799" s="3" t="s">
        <v>1840</v>
      </c>
      <c r="C9799" s="23" t="s">
        <v>417</v>
      </c>
      <c r="D9799" s="21"/>
    </row>
    <row r="9800" spans="1:4" ht="12.75" customHeight="1" x14ac:dyDescent="0.2">
      <c r="A9800" s="21"/>
      <c r="B9800" s="3" t="s">
        <v>9</v>
      </c>
      <c r="C9800" s="23" t="s">
        <v>42</v>
      </c>
      <c r="D9800" s="21"/>
    </row>
    <row r="9801" spans="1:4" ht="12.75" customHeight="1" x14ac:dyDescent="0.2">
      <c r="A9801" s="21"/>
      <c r="B9801" s="3" t="s">
        <v>11</v>
      </c>
      <c r="C9801" s="23" t="s">
        <v>368</v>
      </c>
      <c r="D9801" s="21"/>
    </row>
    <row r="9802" spans="1:4" ht="12.75" customHeight="1" x14ac:dyDescent="0.2">
      <c r="A9802" s="21"/>
      <c r="B9802" s="3" t="s">
        <v>16</v>
      </c>
      <c r="C9802" s="23"/>
      <c r="D9802" s="21"/>
    </row>
    <row r="9803" spans="1:4" ht="12.75" customHeight="1" x14ac:dyDescent="0.2">
      <c r="A9803" s="21"/>
      <c r="B9803" s="3" t="s">
        <v>17</v>
      </c>
      <c r="C9803" s="23" t="s">
        <v>19</v>
      </c>
      <c r="D9803" s="21"/>
    </row>
    <row r="9804" spans="1:4" ht="12.75" customHeight="1" x14ac:dyDescent="0.2">
      <c r="A9804" s="21"/>
      <c r="B9804" s="20" t="s">
        <v>18</v>
      </c>
      <c r="C9804" s="8" t="s">
        <v>280</v>
      </c>
      <c r="D9804" s="1" t="str">
        <f>HYPERLINK("javascript:void(0)","diszprózium")</f>
        <v>diszprózium</v>
      </c>
    </row>
    <row r="9805" spans="1:4" ht="12.75" customHeight="1" x14ac:dyDescent="0.2">
      <c r="A9805" s="21"/>
      <c r="B9805" s="21"/>
      <c r="C9805" s="8" t="s">
        <v>117</v>
      </c>
      <c r="D9805" s="1" t="str">
        <f>HYPERLINK("javascript:void(0)","szabo-penge")</f>
        <v>szabo-penge</v>
      </c>
    </row>
    <row r="9806" spans="1:4" ht="12.75" customHeight="1" x14ac:dyDescent="0.2">
      <c r="A9806" s="21"/>
      <c r="B9806" s="21"/>
      <c r="C9806" s="8" t="s">
        <v>68</v>
      </c>
      <c r="D9806" s="1" t="str">
        <f>HYPERLINK("javascript:void(0)","brummogás")</f>
        <v>brummogás</v>
      </c>
    </row>
    <row r="9807" spans="1:4" ht="12.75" customHeight="1" x14ac:dyDescent="0.2">
      <c r="A9807" s="21"/>
      <c r="B9807" s="2"/>
      <c r="C9807" s="7"/>
      <c r="D9807" s="7"/>
    </row>
    <row r="9808" spans="1:4" ht="12.75" customHeight="1" x14ac:dyDescent="0.2">
      <c r="A9808" s="21"/>
      <c r="B9808" s="2"/>
      <c r="C9808" s="7"/>
      <c r="D9808" s="7"/>
    </row>
    <row r="9809" spans="1:4" ht="12.75" customHeight="1" x14ac:dyDescent="0.2">
      <c r="A9809" s="21"/>
      <c r="B9809" s="2"/>
      <c r="C9809" s="7"/>
      <c r="D9809" s="7"/>
    </row>
    <row r="9810" spans="1:4" ht="12.75" customHeight="1" x14ac:dyDescent="0.2">
      <c r="A9810" s="21"/>
      <c r="B9810" s="2"/>
      <c r="C9810" s="7"/>
      <c r="D9810" s="7"/>
    </row>
    <row r="9811" spans="1:4" ht="12.75" customHeight="1" x14ac:dyDescent="0.2">
      <c r="A9811" s="5"/>
      <c r="B9811" s="2"/>
      <c r="C9811" s="7"/>
      <c r="D9811" s="7"/>
    </row>
    <row r="9812" spans="1:4" ht="12.75" customHeight="1" x14ac:dyDescent="0.2">
      <c r="A9812" s="22" t="str">
        <f>HYPERLINK("javascript:void(0)","fotoacél manasisak")</f>
        <v>fotoacél manasisak</v>
      </c>
      <c r="B9812" s="21"/>
      <c r="C9812" s="21"/>
      <c r="D9812" s="21"/>
    </row>
    <row r="9813" spans="1:4" ht="12.75" customHeight="1" x14ac:dyDescent="0.2">
      <c r="A9813" s="20"/>
      <c r="B9813" s="2"/>
      <c r="C9813" s="7"/>
      <c r="D9813" s="7"/>
    </row>
    <row r="9814" spans="1:4" ht="12.75" customHeight="1" x14ac:dyDescent="0.2">
      <c r="A9814" s="21"/>
      <c r="B9814" s="3" t="s">
        <v>0</v>
      </c>
      <c r="C9814" s="23" t="s">
        <v>275</v>
      </c>
      <c r="D9814" s="21"/>
    </row>
    <row r="9815" spans="1:4" ht="12.75" customHeight="1" x14ac:dyDescent="0.2">
      <c r="A9815" s="21"/>
      <c r="B9815" s="3" t="s">
        <v>2</v>
      </c>
      <c r="C9815" s="23"/>
      <c r="D9815" s="21"/>
    </row>
    <row r="9816" spans="1:4" ht="12.75" customHeight="1" x14ac:dyDescent="0.2">
      <c r="A9816" s="21"/>
      <c r="B9816" s="3" t="s">
        <v>1840</v>
      </c>
      <c r="C9816" s="23" t="s">
        <v>1060</v>
      </c>
      <c r="D9816" s="21"/>
    </row>
    <row r="9817" spans="1:4" ht="12.75" customHeight="1" x14ac:dyDescent="0.2">
      <c r="A9817" s="21"/>
      <c r="B9817" s="3" t="s">
        <v>9</v>
      </c>
      <c r="C9817" s="23" t="s">
        <v>343</v>
      </c>
      <c r="D9817" s="21"/>
    </row>
    <row r="9818" spans="1:4" ht="12.75" customHeight="1" x14ac:dyDescent="0.2">
      <c r="A9818" s="21"/>
      <c r="B9818" s="3" t="s">
        <v>11</v>
      </c>
      <c r="C9818" s="23" t="s">
        <v>465</v>
      </c>
      <c r="D9818" s="21"/>
    </row>
    <row r="9819" spans="1:4" ht="12.75" customHeight="1" x14ac:dyDescent="0.2">
      <c r="A9819" s="21"/>
      <c r="B9819" s="3" t="s">
        <v>16</v>
      </c>
      <c r="C9819" s="23"/>
      <c r="D9819" s="21"/>
    </row>
    <row r="9820" spans="1:4" ht="12.75" customHeight="1" x14ac:dyDescent="0.2">
      <c r="A9820" s="21"/>
      <c r="B9820" s="3" t="s">
        <v>17</v>
      </c>
      <c r="C9820" s="23" t="s">
        <v>19</v>
      </c>
      <c r="D9820" s="21"/>
    </row>
    <row r="9821" spans="1:4" ht="12.75" customHeight="1" x14ac:dyDescent="0.2">
      <c r="A9821" s="21"/>
      <c r="B9821" s="20" t="s">
        <v>18</v>
      </c>
      <c r="C9821" s="8" t="s">
        <v>44</v>
      </c>
      <c r="D9821" s="1" t="str">
        <f>HYPERLINK("javascript:void(0)","kentacél manasisak")</f>
        <v>kentacél manasisak</v>
      </c>
    </row>
    <row r="9822" spans="1:4" ht="12.75" customHeight="1" x14ac:dyDescent="0.2">
      <c r="A9822" s="21"/>
      <c r="B9822" s="21"/>
      <c r="C9822" s="8" t="s">
        <v>68</v>
      </c>
      <c r="D9822" s="1" t="str">
        <f>HYPERLINK("javascript:void(0)","brummogás")</f>
        <v>brummogás</v>
      </c>
    </row>
    <row r="9823" spans="1:4" ht="12.75" customHeight="1" x14ac:dyDescent="0.2">
      <c r="A9823" s="21"/>
      <c r="B9823" s="21"/>
      <c r="C9823" s="8" t="s">
        <v>117</v>
      </c>
      <c r="D9823" s="1" t="str">
        <f>HYPERLINK("javascript:void(0)","hőgolyó")</f>
        <v>hőgolyó</v>
      </c>
    </row>
    <row r="9824" spans="1:4" ht="12.75" customHeight="1" x14ac:dyDescent="0.2">
      <c r="A9824" s="21"/>
      <c r="B9824" s="2"/>
      <c r="C9824" s="7"/>
      <c r="D9824" s="7"/>
    </row>
    <row r="9825" spans="1:4" ht="12.75" customHeight="1" x14ac:dyDescent="0.2">
      <c r="A9825" s="21"/>
      <c r="B9825" s="2"/>
      <c r="C9825" s="7"/>
      <c r="D9825" s="7"/>
    </row>
    <row r="9826" spans="1:4" ht="12.75" customHeight="1" x14ac:dyDescent="0.2">
      <c r="A9826" s="21"/>
      <c r="B9826" s="2"/>
      <c r="C9826" s="7"/>
      <c r="D9826" s="7"/>
    </row>
    <row r="9827" spans="1:4" ht="12.75" customHeight="1" x14ac:dyDescent="0.2">
      <c r="A9827" s="21"/>
      <c r="B9827" s="2"/>
      <c r="C9827" s="7"/>
      <c r="D9827" s="7"/>
    </row>
    <row r="9828" spans="1:4" ht="12.75" customHeight="1" x14ac:dyDescent="0.2">
      <c r="A9828" s="5"/>
      <c r="B9828" s="2"/>
      <c r="C9828" s="7"/>
      <c r="D9828" s="7"/>
    </row>
    <row r="9829" spans="1:4" ht="12.75" customHeight="1" x14ac:dyDescent="0.2">
      <c r="A9829" s="22" t="str">
        <f>HYPERLINK("javascript:void(0)","fotoacél manafejpánt")</f>
        <v>fotoacél manafejpánt</v>
      </c>
      <c r="B9829" s="21"/>
      <c r="C9829" s="21"/>
      <c r="D9829" s="21"/>
    </row>
    <row r="9830" spans="1:4" ht="12.75" customHeight="1" x14ac:dyDescent="0.2">
      <c r="A9830" s="20"/>
      <c r="B9830" s="2"/>
      <c r="C9830" s="7"/>
      <c r="D9830" s="7"/>
    </row>
    <row r="9831" spans="1:4" ht="12.75" customHeight="1" x14ac:dyDescent="0.2">
      <c r="A9831" s="21"/>
      <c r="B9831" s="3" t="s">
        <v>0</v>
      </c>
      <c r="C9831" s="23" t="s">
        <v>275</v>
      </c>
      <c r="D9831" s="21"/>
    </row>
    <row r="9832" spans="1:4" ht="12.75" customHeight="1" x14ac:dyDescent="0.2">
      <c r="A9832" s="21"/>
      <c r="B9832" s="3" t="s">
        <v>2</v>
      </c>
      <c r="C9832" s="23"/>
      <c r="D9832" s="21"/>
    </row>
    <row r="9833" spans="1:4" ht="12.75" customHeight="1" x14ac:dyDescent="0.2">
      <c r="A9833" s="21"/>
      <c r="B9833" s="3" t="s">
        <v>1840</v>
      </c>
      <c r="C9833" s="23" t="s">
        <v>192</v>
      </c>
      <c r="D9833" s="21"/>
    </row>
    <row r="9834" spans="1:4" ht="12.75" customHeight="1" x14ac:dyDescent="0.2">
      <c r="A9834" s="21"/>
      <c r="B9834" s="3" t="s">
        <v>9</v>
      </c>
      <c r="C9834" s="23" t="s">
        <v>172</v>
      </c>
      <c r="D9834" s="21"/>
    </row>
    <row r="9835" spans="1:4" ht="12.75" customHeight="1" x14ac:dyDescent="0.2">
      <c r="A9835" s="21"/>
      <c r="B9835" s="3" t="s">
        <v>11</v>
      </c>
      <c r="C9835" s="23" t="s">
        <v>465</v>
      </c>
      <c r="D9835" s="21"/>
    </row>
    <row r="9836" spans="1:4" ht="12.75" customHeight="1" x14ac:dyDescent="0.2">
      <c r="A9836" s="21"/>
      <c r="B9836" s="3" t="s">
        <v>16</v>
      </c>
      <c r="C9836" s="23"/>
      <c r="D9836" s="21"/>
    </row>
    <row r="9837" spans="1:4" ht="12.75" customHeight="1" x14ac:dyDescent="0.2">
      <c r="A9837" s="21"/>
      <c r="B9837" s="3" t="s">
        <v>17</v>
      </c>
      <c r="C9837" s="23" t="s">
        <v>19</v>
      </c>
      <c r="D9837" s="21"/>
    </row>
    <row r="9838" spans="1:4" ht="25.5" customHeight="1" x14ac:dyDescent="0.2">
      <c r="A9838" s="21"/>
      <c r="B9838" s="20" t="s">
        <v>18</v>
      </c>
      <c r="C9838" s="8" t="s">
        <v>44</v>
      </c>
      <c r="D9838" s="1" t="str">
        <f>HYPERLINK("javascript:void(0)","kentacél manafejpánt")</f>
        <v>kentacél manafejpánt</v>
      </c>
    </row>
    <row r="9839" spans="1:4" ht="12.75" customHeight="1" x14ac:dyDescent="0.2">
      <c r="A9839" s="21"/>
      <c r="B9839" s="21"/>
      <c r="C9839" s="8" t="s">
        <v>290</v>
      </c>
      <c r="D9839" s="1" t="str">
        <f>HYPERLINK("javascript:void(0)","ördögpihe")</f>
        <v>ördögpihe</v>
      </c>
    </row>
    <row r="9840" spans="1:4" ht="12.75" customHeight="1" x14ac:dyDescent="0.2">
      <c r="A9840" s="21"/>
      <c r="B9840" s="21"/>
      <c r="C9840" s="8" t="s">
        <v>382</v>
      </c>
      <c r="D9840" s="1" t="str">
        <f>HYPERLINK("javascript:void(0)","fűrészfog")</f>
        <v>fűrészfog</v>
      </c>
    </row>
    <row r="9841" spans="1:4" ht="12.75" customHeight="1" x14ac:dyDescent="0.2">
      <c r="A9841" s="21"/>
      <c r="B9841" s="2"/>
      <c r="C9841" s="7"/>
      <c r="D9841" s="7"/>
    </row>
    <row r="9842" spans="1:4" ht="12.75" customHeight="1" x14ac:dyDescent="0.2">
      <c r="A9842" s="21"/>
      <c r="B9842" s="2"/>
      <c r="C9842" s="7"/>
      <c r="D9842" s="7"/>
    </row>
    <row r="9843" spans="1:4" ht="12.75" customHeight="1" x14ac:dyDescent="0.2">
      <c r="A9843" s="21"/>
      <c r="B9843" s="2"/>
      <c r="C9843" s="7"/>
      <c r="D9843" s="7"/>
    </row>
    <row r="9844" spans="1:4" ht="12.75" customHeight="1" x14ac:dyDescent="0.2">
      <c r="A9844" s="21"/>
      <c r="B9844" s="2"/>
      <c r="C9844" s="7"/>
      <c r="D9844" s="7"/>
    </row>
    <row r="9845" spans="1:4" ht="12.75" customHeight="1" x14ac:dyDescent="0.2">
      <c r="A9845" s="5"/>
      <c r="B9845" s="2"/>
      <c r="C9845" s="7"/>
      <c r="D9845" s="7"/>
    </row>
    <row r="9846" spans="1:4" ht="12.75" customHeight="1" x14ac:dyDescent="0.2">
      <c r="A9846" s="22" t="str">
        <f>HYPERLINK("javascript:void(0)","teljes kithrillvért")</f>
        <v>teljes kithrillvért</v>
      </c>
      <c r="B9846" s="21"/>
      <c r="C9846" s="21"/>
      <c r="D9846" s="21"/>
    </row>
    <row r="9847" spans="1:4" ht="12.75" customHeight="1" x14ac:dyDescent="0.2">
      <c r="A9847" s="20"/>
      <c r="B9847" s="2"/>
      <c r="C9847" s="7"/>
      <c r="D9847" s="7"/>
    </row>
    <row r="9848" spans="1:4" ht="12.75" customHeight="1" x14ac:dyDescent="0.2">
      <c r="A9848" s="21"/>
      <c r="B9848" s="3" t="s">
        <v>0</v>
      </c>
      <c r="C9848" s="23" t="s">
        <v>161</v>
      </c>
      <c r="D9848" s="21"/>
    </row>
    <row r="9849" spans="1:4" ht="12.75" customHeight="1" x14ac:dyDescent="0.2">
      <c r="A9849" s="21"/>
      <c r="B9849" s="3" t="s">
        <v>2</v>
      </c>
      <c r="C9849" s="23" t="s">
        <v>2322</v>
      </c>
      <c r="D9849" s="21"/>
    </row>
    <row r="9850" spans="1:4" ht="12.75" customHeight="1" x14ac:dyDescent="0.2">
      <c r="A9850" s="21"/>
      <c r="B9850" s="3" t="s">
        <v>1840</v>
      </c>
      <c r="C9850" s="23" t="s">
        <v>2471</v>
      </c>
      <c r="D9850" s="21"/>
    </row>
    <row r="9851" spans="1:4" ht="12.75" customHeight="1" x14ac:dyDescent="0.2">
      <c r="A9851" s="21"/>
      <c r="B9851" s="3" t="s">
        <v>9</v>
      </c>
      <c r="C9851" s="23" t="s">
        <v>1152</v>
      </c>
      <c r="D9851" s="21"/>
    </row>
    <row r="9852" spans="1:4" ht="12.75" customHeight="1" x14ac:dyDescent="0.2">
      <c r="A9852" s="21"/>
      <c r="B9852" s="3" t="s">
        <v>11</v>
      </c>
      <c r="C9852" s="23" t="s">
        <v>1015</v>
      </c>
      <c r="D9852" s="21"/>
    </row>
    <row r="9853" spans="1:4" ht="12.75" customHeight="1" x14ac:dyDescent="0.2">
      <c r="A9853" s="21"/>
      <c r="B9853" s="3" t="s">
        <v>16</v>
      </c>
      <c r="C9853" s="23"/>
      <c r="D9853" s="21"/>
    </row>
    <row r="9854" spans="1:4" ht="12.75" customHeight="1" x14ac:dyDescent="0.2">
      <c r="A9854" s="21"/>
      <c r="B9854" s="3" t="s">
        <v>17</v>
      </c>
      <c r="C9854" s="23" t="s">
        <v>19</v>
      </c>
      <c r="D9854" s="21"/>
    </row>
    <row r="9855" spans="1:4" ht="12.75" customHeight="1" x14ac:dyDescent="0.2">
      <c r="A9855" s="21"/>
      <c r="B9855" s="20" t="s">
        <v>18</v>
      </c>
      <c r="C9855" s="8" t="s">
        <v>44</v>
      </c>
      <c r="D9855" s="1" t="str">
        <f>HYPERLINK("javascript:void(0)","teljes diszprovért")</f>
        <v>teljes diszprovért</v>
      </c>
    </row>
    <row r="9856" spans="1:4" ht="12.75" customHeight="1" x14ac:dyDescent="0.2">
      <c r="A9856" s="21"/>
      <c r="B9856" s="21"/>
      <c r="C9856" s="8" t="s">
        <v>68</v>
      </c>
      <c r="D9856" s="1" t="str">
        <f>HYPERLINK("javascript:void(0)","vaskarima")</f>
        <v>vaskarima</v>
      </c>
    </row>
    <row r="9857" spans="1:4" ht="12.75" customHeight="1" x14ac:dyDescent="0.2">
      <c r="A9857" s="21"/>
      <c r="B9857" s="21"/>
      <c r="C9857" s="8" t="s">
        <v>193</v>
      </c>
      <c r="D9857" s="1" t="str">
        <f>HYPERLINK("javascript:void(0)","bázispár")</f>
        <v>bázispár</v>
      </c>
    </row>
    <row r="9858" spans="1:4" ht="12.75" customHeight="1" x14ac:dyDescent="0.2">
      <c r="A9858" s="21"/>
      <c r="B9858" s="2"/>
      <c r="C9858" s="7"/>
      <c r="D9858" s="7"/>
    </row>
    <row r="9859" spans="1:4" ht="12.75" customHeight="1" x14ac:dyDescent="0.2">
      <c r="A9859" s="21"/>
      <c r="B9859" s="2"/>
      <c r="C9859" s="7"/>
      <c r="D9859" s="7"/>
    </row>
    <row r="9860" spans="1:4" ht="12.75" customHeight="1" x14ac:dyDescent="0.2">
      <c r="A9860" s="21"/>
      <c r="B9860" s="2"/>
      <c r="C9860" s="7"/>
      <c r="D9860" s="7"/>
    </row>
    <row r="9861" spans="1:4" ht="12.75" customHeight="1" x14ac:dyDescent="0.2">
      <c r="A9861" s="21"/>
      <c r="B9861" s="2"/>
      <c r="C9861" s="7"/>
      <c r="D9861" s="7"/>
    </row>
    <row r="9862" spans="1:4" ht="12.75" customHeight="1" x14ac:dyDescent="0.2">
      <c r="A9862" s="5"/>
      <c r="B9862" s="2"/>
      <c r="C9862" s="7"/>
      <c r="D9862" s="7"/>
    </row>
    <row r="9863" spans="1:4" ht="12.75" customHeight="1" x14ac:dyDescent="0.2">
      <c r="A9863" s="22" t="str">
        <f>HYPERLINK("javascript:void(0)","karimás sisak")</f>
        <v>karimás sisak</v>
      </c>
      <c r="B9863" s="21"/>
      <c r="C9863" s="21"/>
      <c r="D9863" s="21"/>
    </row>
    <row r="9864" spans="1:4" ht="12.75" customHeight="1" x14ac:dyDescent="0.2">
      <c r="A9864" s="20"/>
      <c r="B9864" s="2"/>
      <c r="C9864" s="7"/>
      <c r="D9864" s="7"/>
    </row>
    <row r="9865" spans="1:4" ht="12.75" customHeight="1" x14ac:dyDescent="0.2">
      <c r="A9865" s="21"/>
      <c r="B9865" s="3" t="s">
        <v>0</v>
      </c>
      <c r="C9865" s="23" t="s">
        <v>161</v>
      </c>
      <c r="D9865" s="21"/>
    </row>
    <row r="9866" spans="1:4" ht="12.75" customHeight="1" x14ac:dyDescent="0.2">
      <c r="A9866" s="21"/>
      <c r="B9866" s="3" t="s">
        <v>2</v>
      </c>
      <c r="C9866" s="23"/>
      <c r="D9866" s="21"/>
    </row>
    <row r="9867" spans="1:4" ht="12.75" customHeight="1" x14ac:dyDescent="0.2">
      <c r="A9867" s="21"/>
      <c r="B9867" s="3" t="s">
        <v>1840</v>
      </c>
      <c r="C9867" s="23" t="s">
        <v>2397</v>
      </c>
      <c r="D9867" s="21"/>
    </row>
    <row r="9868" spans="1:4" ht="12.75" customHeight="1" x14ac:dyDescent="0.2">
      <c r="A9868" s="21"/>
      <c r="B9868" s="3" t="s">
        <v>9</v>
      </c>
      <c r="C9868" s="23" t="s">
        <v>4298</v>
      </c>
      <c r="D9868" s="21"/>
    </row>
    <row r="9869" spans="1:4" ht="12.75" customHeight="1" x14ac:dyDescent="0.2">
      <c r="A9869" s="21"/>
      <c r="B9869" s="3" t="s">
        <v>11</v>
      </c>
      <c r="C9869" s="23" t="s">
        <v>1015</v>
      </c>
      <c r="D9869" s="21"/>
    </row>
    <row r="9870" spans="1:4" ht="12.75" customHeight="1" x14ac:dyDescent="0.2">
      <c r="A9870" s="21"/>
      <c r="B9870" s="3" t="s">
        <v>16</v>
      </c>
      <c r="C9870" s="23"/>
      <c r="D9870" s="21"/>
    </row>
    <row r="9871" spans="1:4" ht="12.75" customHeight="1" x14ac:dyDescent="0.2">
      <c r="A9871" s="21"/>
      <c r="B9871" s="3" t="s">
        <v>17</v>
      </c>
      <c r="C9871" s="23" t="s">
        <v>19</v>
      </c>
      <c r="D9871" s="21"/>
    </row>
    <row r="9872" spans="1:4" ht="12.75" customHeight="1" x14ac:dyDescent="0.2">
      <c r="A9872" s="21"/>
      <c r="B9872" s="20" t="s">
        <v>18</v>
      </c>
      <c r="C9872" s="8" t="s">
        <v>44</v>
      </c>
      <c r="D9872" s="1" t="str">
        <f>HYPERLINK("javascript:void(0)","portál sisak")</f>
        <v>portál sisak</v>
      </c>
    </row>
    <row r="9873" spans="1:4" ht="12.75" customHeight="1" x14ac:dyDescent="0.2">
      <c r="A9873" s="21"/>
      <c r="B9873" s="21"/>
      <c r="C9873" s="8" t="s">
        <v>44</v>
      </c>
      <c r="D9873" s="1" t="str">
        <f>HYPERLINK("javascript:void(0)","hátszarvú sisak")</f>
        <v>hátszarvú sisak</v>
      </c>
    </row>
    <row r="9874" spans="1:4" ht="12.75" customHeight="1" x14ac:dyDescent="0.2">
      <c r="A9874" s="21"/>
      <c r="B9874" s="21"/>
      <c r="C9874" s="8" t="s">
        <v>44</v>
      </c>
      <c r="D9874" s="1" t="str">
        <f>HYPERLINK("javascript:void(0)","karimás rostély")</f>
        <v>karimás rostély</v>
      </c>
    </row>
    <row r="9875" spans="1:4" ht="12.75" customHeight="1" x14ac:dyDescent="0.2">
      <c r="A9875" s="21"/>
      <c r="B9875" s="2"/>
      <c r="C9875" s="7"/>
      <c r="D9875" s="7"/>
    </row>
    <row r="9876" spans="1:4" ht="12.75" customHeight="1" x14ac:dyDescent="0.2">
      <c r="A9876" s="21"/>
      <c r="B9876" s="2"/>
      <c r="C9876" s="7"/>
      <c r="D9876" s="7"/>
    </row>
    <row r="9877" spans="1:4" ht="12.75" customHeight="1" x14ac:dyDescent="0.2">
      <c r="A9877" s="21"/>
      <c r="B9877" s="2"/>
      <c r="C9877" s="7"/>
      <c r="D9877" s="7"/>
    </row>
    <row r="9878" spans="1:4" ht="12.75" customHeight="1" x14ac:dyDescent="0.2">
      <c r="A9878" s="21"/>
      <c r="B9878" s="2"/>
      <c r="C9878" s="7"/>
      <c r="D9878" s="7"/>
    </row>
    <row r="9879" spans="1:4" ht="12.75" customHeight="1" x14ac:dyDescent="0.2">
      <c r="A9879" s="5"/>
      <c r="B9879" s="2"/>
      <c r="C9879" s="7"/>
      <c r="D9879" s="7"/>
    </row>
    <row r="9880" spans="1:4" ht="12.75" customHeight="1" x14ac:dyDescent="0.2">
      <c r="A9880" s="22" t="str">
        <f>HYPERLINK("javascript:void(0)","smaragd mokaszin")</f>
        <v>smaragd mokaszin</v>
      </c>
      <c r="B9880" s="21"/>
      <c r="C9880" s="21"/>
      <c r="D9880" s="21"/>
    </row>
    <row r="9881" spans="1:4" ht="12.75" customHeight="1" x14ac:dyDescent="0.2">
      <c r="A9881" s="20"/>
      <c r="B9881" s="2"/>
      <c r="C9881" s="7"/>
      <c r="D9881" s="7"/>
    </row>
    <row r="9882" spans="1:4" ht="12.75" customHeight="1" x14ac:dyDescent="0.2">
      <c r="A9882" s="21"/>
      <c r="B9882" s="3" t="s">
        <v>0</v>
      </c>
      <c r="C9882" s="23" t="s">
        <v>161</v>
      </c>
      <c r="D9882" s="21"/>
    </row>
    <row r="9883" spans="1:4" ht="12.75" customHeight="1" x14ac:dyDescent="0.2">
      <c r="A9883" s="21"/>
      <c r="B9883" s="3" t="s">
        <v>2</v>
      </c>
      <c r="C9883" s="23"/>
      <c r="D9883" s="21"/>
    </row>
    <row r="9884" spans="1:4" ht="12.75" customHeight="1" x14ac:dyDescent="0.2">
      <c r="A9884" s="21"/>
      <c r="B9884" s="3" t="s">
        <v>1840</v>
      </c>
      <c r="C9884" s="23" t="s">
        <v>399</v>
      </c>
      <c r="D9884" s="21"/>
    </row>
    <row r="9885" spans="1:4" ht="12.75" customHeight="1" x14ac:dyDescent="0.2">
      <c r="A9885" s="21"/>
      <c r="B9885" s="3" t="s">
        <v>9</v>
      </c>
      <c r="C9885" s="23" t="s">
        <v>343</v>
      </c>
      <c r="D9885" s="21"/>
    </row>
    <row r="9886" spans="1:4" ht="12.75" customHeight="1" x14ac:dyDescent="0.2">
      <c r="A9886" s="21"/>
      <c r="B9886" s="3" t="s">
        <v>11</v>
      </c>
      <c r="C9886" s="23" t="s">
        <v>1055</v>
      </c>
      <c r="D9886" s="21"/>
    </row>
    <row r="9887" spans="1:4" ht="12.75" customHeight="1" x14ac:dyDescent="0.2">
      <c r="A9887" s="21"/>
      <c r="B9887" s="3" t="s">
        <v>16</v>
      </c>
      <c r="C9887" s="23"/>
      <c r="D9887" s="21"/>
    </row>
    <row r="9888" spans="1:4" ht="12.75" customHeight="1" x14ac:dyDescent="0.2">
      <c r="A9888" s="21"/>
      <c r="B9888" s="3" t="s">
        <v>17</v>
      </c>
      <c r="C9888" s="23" t="s">
        <v>19</v>
      </c>
      <c r="D9888" s="21"/>
    </row>
    <row r="9889" spans="1:4" ht="12.75" customHeight="1" x14ac:dyDescent="0.2">
      <c r="A9889" s="21"/>
      <c r="B9889" s="20" t="s">
        <v>18</v>
      </c>
      <c r="C9889" s="8" t="s">
        <v>323</v>
      </c>
      <c r="D9889" s="1" t="str">
        <f>HYPERLINK("javascript:void(0)","smaragd")</f>
        <v>smaragd</v>
      </c>
    </row>
    <row r="9890" spans="1:4" ht="12.75" customHeight="1" x14ac:dyDescent="0.2">
      <c r="A9890" s="21"/>
      <c r="B9890" s="21"/>
      <c r="C9890" s="8" t="s">
        <v>67</v>
      </c>
      <c r="D9890" s="1" t="str">
        <f>HYPERLINK("javascript:void(0)","csigaszem")</f>
        <v>csigaszem</v>
      </c>
    </row>
    <row r="9891" spans="1:4" ht="12.75" customHeight="1" x14ac:dyDescent="0.2">
      <c r="A9891" s="21"/>
      <c r="B9891" s="21"/>
      <c r="C9891" s="8" t="s">
        <v>474</v>
      </c>
      <c r="D9891" s="1" t="str">
        <f>HYPERLINK("javascript:void(0)","rémszarv")</f>
        <v>rémszarv</v>
      </c>
    </row>
    <row r="9892" spans="1:4" ht="12.75" customHeight="1" x14ac:dyDescent="0.2">
      <c r="A9892" s="21"/>
      <c r="B9892" s="2"/>
      <c r="C9892" s="7"/>
      <c r="D9892" s="7"/>
    </row>
    <row r="9893" spans="1:4" ht="12.75" customHeight="1" x14ac:dyDescent="0.2">
      <c r="A9893" s="21"/>
      <c r="B9893" s="2"/>
      <c r="C9893" s="7"/>
      <c r="D9893" s="7"/>
    </row>
    <row r="9894" spans="1:4" ht="12.75" customHeight="1" x14ac:dyDescent="0.2">
      <c r="A9894" s="21"/>
      <c r="B9894" s="2"/>
      <c r="C9894" s="7"/>
      <c r="D9894" s="7"/>
    </row>
    <row r="9895" spans="1:4" ht="12.75" customHeight="1" x14ac:dyDescent="0.2">
      <c r="A9895" s="21"/>
      <c r="B9895" s="2"/>
      <c r="C9895" s="7"/>
      <c r="D9895" s="7"/>
    </row>
    <row r="9896" spans="1:4" ht="12.75" customHeight="1" x14ac:dyDescent="0.2">
      <c r="A9896" s="5"/>
      <c r="B9896" s="2"/>
      <c r="C9896" s="7"/>
      <c r="D9896" s="7"/>
    </row>
    <row r="9897" spans="1:4" ht="12.75" customHeight="1" x14ac:dyDescent="0.2">
      <c r="A9897" s="22" t="str">
        <f>HYPERLINK("javascript:void(0)","csiga pajzs")</f>
        <v>csiga pajzs</v>
      </c>
      <c r="B9897" s="21"/>
      <c r="C9897" s="21"/>
      <c r="D9897" s="21"/>
    </row>
    <row r="9898" spans="1:4" ht="12.75" customHeight="1" x14ac:dyDescent="0.2">
      <c r="A9898" s="20"/>
      <c r="B9898" s="2"/>
      <c r="C9898" s="7"/>
      <c r="D9898" s="7"/>
    </row>
    <row r="9899" spans="1:4" ht="12.75" customHeight="1" x14ac:dyDescent="0.2">
      <c r="A9899" s="21"/>
      <c r="B9899" s="3" t="s">
        <v>0</v>
      </c>
      <c r="C9899" s="23" t="s">
        <v>161</v>
      </c>
      <c r="D9899" s="21"/>
    </row>
    <row r="9900" spans="1:4" ht="12.75" customHeight="1" x14ac:dyDescent="0.2">
      <c r="A9900" s="21"/>
      <c r="B9900" s="3" t="s">
        <v>2</v>
      </c>
      <c r="C9900" s="23" t="s">
        <v>1839</v>
      </c>
      <c r="D9900" s="21"/>
    </row>
    <row r="9901" spans="1:4" ht="12.75" customHeight="1" x14ac:dyDescent="0.2">
      <c r="A9901" s="21"/>
      <c r="B9901" s="3" t="s">
        <v>1840</v>
      </c>
      <c r="C9901" s="23" t="s">
        <v>2762</v>
      </c>
      <c r="D9901" s="21"/>
    </row>
    <row r="9902" spans="1:4" ht="12.75" customHeight="1" x14ac:dyDescent="0.2">
      <c r="A9902" s="21"/>
      <c r="B9902" s="3" t="s">
        <v>9</v>
      </c>
      <c r="C9902" s="23" t="s">
        <v>377</v>
      </c>
      <c r="D9902" s="21"/>
    </row>
    <row r="9903" spans="1:4" ht="12.75" customHeight="1" x14ac:dyDescent="0.2">
      <c r="A9903" s="21"/>
      <c r="B9903" s="3" t="s">
        <v>11</v>
      </c>
      <c r="C9903" s="23" t="s">
        <v>1159</v>
      </c>
      <c r="D9903" s="21"/>
    </row>
    <row r="9904" spans="1:4" ht="12.75" customHeight="1" x14ac:dyDescent="0.2">
      <c r="A9904" s="21"/>
      <c r="B9904" s="3" t="s">
        <v>16</v>
      </c>
      <c r="C9904" s="23"/>
      <c r="D9904" s="21"/>
    </row>
    <row r="9905" spans="1:4" ht="12.75" customHeight="1" x14ac:dyDescent="0.2">
      <c r="A9905" s="21"/>
      <c r="B9905" s="3" t="s">
        <v>17</v>
      </c>
      <c r="C9905" s="23" t="s">
        <v>19</v>
      </c>
      <c r="D9905" s="21"/>
    </row>
    <row r="9906" spans="1:4" ht="12.75" customHeight="1" x14ac:dyDescent="0.2">
      <c r="A9906" s="21"/>
      <c r="B9906" s="20" t="s">
        <v>18</v>
      </c>
      <c r="C9906" s="8" t="s">
        <v>44</v>
      </c>
      <c r="D9906" s="1" t="str">
        <f>HYPERLINK("javascript:void(0)","színjátszó pajzs")</f>
        <v>színjátszó pajzs</v>
      </c>
    </row>
    <row r="9907" spans="1:4" ht="12.75" customHeight="1" x14ac:dyDescent="0.2">
      <c r="A9907" s="21"/>
      <c r="B9907" s="21"/>
      <c r="C9907" s="8" t="s">
        <v>67</v>
      </c>
      <c r="D9907" s="1" t="str">
        <f>HYPERLINK("javascript:void(0)","csigaszem")</f>
        <v>csigaszem</v>
      </c>
    </row>
    <row r="9908" spans="1:4" ht="12.75" customHeight="1" x14ac:dyDescent="0.2">
      <c r="A9908" s="21"/>
      <c r="B9908" s="21"/>
      <c r="C9908" s="8" t="s">
        <v>117</v>
      </c>
      <c r="D9908" s="1" t="str">
        <f>HYPERLINK("javascript:void(0)","hátszarv")</f>
        <v>hátszarv</v>
      </c>
    </row>
    <row r="9909" spans="1:4" ht="12.75" customHeight="1" x14ac:dyDescent="0.2">
      <c r="A9909" s="21"/>
      <c r="B9909" s="2"/>
      <c r="C9909" s="7"/>
      <c r="D9909" s="7"/>
    </row>
    <row r="9910" spans="1:4" ht="12.75" customHeight="1" x14ac:dyDescent="0.2">
      <c r="A9910" s="21"/>
      <c r="B9910" s="2"/>
      <c r="C9910" s="7"/>
      <c r="D9910" s="7"/>
    </row>
    <row r="9911" spans="1:4" ht="12.75" customHeight="1" x14ac:dyDescent="0.2">
      <c r="A9911" s="21"/>
      <c r="B9911" s="2"/>
      <c r="C9911" s="7"/>
      <c r="D9911" s="7"/>
    </row>
    <row r="9912" spans="1:4" ht="12.75" customHeight="1" x14ac:dyDescent="0.2">
      <c r="A9912" s="21"/>
      <c r="B9912" s="2"/>
      <c r="C9912" s="7"/>
      <c r="D9912" s="7"/>
    </row>
    <row r="9913" spans="1:4" ht="12.75" customHeight="1" x14ac:dyDescent="0.2">
      <c r="A9913" s="5"/>
      <c r="B9913" s="2"/>
      <c r="C9913" s="7"/>
      <c r="D9913" s="7"/>
    </row>
    <row r="9914" spans="1:4" ht="12.75" customHeight="1" x14ac:dyDescent="0.2">
      <c r="A9914" s="22" t="str">
        <f>HYPERLINK("javascript:void(0)","artini illanat")</f>
        <v>artini illanat</v>
      </c>
      <c r="B9914" s="21"/>
      <c r="C9914" s="21"/>
      <c r="D9914" s="21"/>
    </row>
    <row r="9915" spans="1:4" ht="12.75" customHeight="1" x14ac:dyDescent="0.2">
      <c r="A9915" s="20"/>
      <c r="B9915" s="2"/>
      <c r="C9915" s="7"/>
      <c r="D9915" s="7"/>
    </row>
    <row r="9916" spans="1:4" ht="12.75" customHeight="1" x14ac:dyDescent="0.2">
      <c r="A9916" s="21"/>
      <c r="B9916" s="3" t="s">
        <v>0</v>
      </c>
      <c r="C9916" s="23" t="s">
        <v>161</v>
      </c>
      <c r="D9916" s="21"/>
    </row>
    <row r="9917" spans="1:4" ht="12.75" customHeight="1" x14ac:dyDescent="0.2">
      <c r="A9917" s="21"/>
      <c r="B9917" s="3" t="s">
        <v>2</v>
      </c>
      <c r="C9917" s="23" t="s">
        <v>1839</v>
      </c>
      <c r="D9917" s="21"/>
    </row>
    <row r="9918" spans="1:4" ht="12.75" customHeight="1" x14ac:dyDescent="0.2">
      <c r="A9918" s="21"/>
      <c r="B9918" s="3" t="s">
        <v>1840</v>
      </c>
      <c r="C9918" s="23" t="s">
        <v>2762</v>
      </c>
      <c r="D9918" s="21"/>
    </row>
    <row r="9919" spans="1:4" ht="12.75" customHeight="1" x14ac:dyDescent="0.2">
      <c r="A9919" s="21"/>
      <c r="B9919" s="3" t="s">
        <v>9</v>
      </c>
      <c r="C9919" s="23" t="s">
        <v>27</v>
      </c>
      <c r="D9919" s="21"/>
    </row>
    <row r="9920" spans="1:4" ht="12.75" customHeight="1" x14ac:dyDescent="0.2">
      <c r="A9920" s="21"/>
      <c r="B9920" s="3" t="s">
        <v>11</v>
      </c>
      <c r="C9920" s="23" t="s">
        <v>1354</v>
      </c>
      <c r="D9920" s="21"/>
    </row>
    <row r="9921" spans="1:4" ht="12.75" customHeight="1" x14ac:dyDescent="0.2">
      <c r="A9921" s="21"/>
      <c r="B9921" s="3" t="s">
        <v>16</v>
      </c>
      <c r="C9921" s="23"/>
      <c r="D9921" s="21"/>
    </row>
    <row r="9922" spans="1:4" ht="12.75" customHeight="1" x14ac:dyDescent="0.2">
      <c r="A9922" s="21"/>
      <c r="B9922" s="3" t="s">
        <v>17</v>
      </c>
      <c r="C9922" s="23" t="s">
        <v>19</v>
      </c>
      <c r="D9922" s="21"/>
    </row>
    <row r="9923" spans="1:4" ht="12.75" customHeight="1" x14ac:dyDescent="0.2">
      <c r="A9923" s="21"/>
      <c r="B9923" s="20" t="s">
        <v>18</v>
      </c>
      <c r="C9923" s="8" t="s">
        <v>44</v>
      </c>
      <c r="D9923" s="1" t="str">
        <f>HYPERLINK("javascript:void(0)","csiga pajzs")</f>
        <v>csiga pajzs</v>
      </c>
    </row>
    <row r="9924" spans="1:4" ht="12.75" customHeight="1" x14ac:dyDescent="0.2">
      <c r="A9924" s="21"/>
      <c r="B9924" s="21"/>
      <c r="C9924" s="8" t="s">
        <v>98</v>
      </c>
      <c r="D9924" s="1" t="str">
        <f>HYPERLINK("javascript:void(0)","vaskarima")</f>
        <v>vaskarima</v>
      </c>
    </row>
    <row r="9925" spans="1:4" ht="12.75" customHeight="1" x14ac:dyDescent="0.2">
      <c r="A9925" s="21"/>
      <c r="B9925" s="21"/>
      <c r="C9925" s="8" t="s">
        <v>212</v>
      </c>
      <c r="D9925" s="1" t="str">
        <f>HYPERLINK("javascript:void(0)","kispárna")</f>
        <v>kispárna</v>
      </c>
    </row>
    <row r="9926" spans="1:4" ht="12.75" customHeight="1" x14ac:dyDescent="0.2">
      <c r="A9926" s="21"/>
      <c r="B9926" s="2"/>
      <c r="C9926" s="7"/>
      <c r="D9926" s="7"/>
    </row>
    <row r="9927" spans="1:4" ht="12.75" customHeight="1" x14ac:dyDescent="0.2">
      <c r="A9927" s="21"/>
      <c r="B9927" s="2"/>
      <c r="C9927" s="7"/>
      <c r="D9927" s="7"/>
    </row>
    <row r="9928" spans="1:4" ht="12.75" customHeight="1" x14ac:dyDescent="0.2">
      <c r="A9928" s="21"/>
      <c r="B9928" s="2"/>
      <c r="C9928" s="7"/>
      <c r="D9928" s="7"/>
    </row>
    <row r="9929" spans="1:4" ht="12.75" customHeight="1" x14ac:dyDescent="0.2">
      <c r="A9929" s="21"/>
      <c r="B9929" s="2"/>
      <c r="C9929" s="7"/>
      <c r="D9929" s="7"/>
    </row>
    <row r="9930" spans="1:4" ht="12.75" customHeight="1" x14ac:dyDescent="0.2">
      <c r="A9930" s="5"/>
      <c r="B9930" s="2"/>
      <c r="C9930" s="7"/>
      <c r="D9930" s="7"/>
    </row>
    <row r="9931" spans="1:4" ht="12.75" customHeight="1" x14ac:dyDescent="0.2">
      <c r="A9931" s="22" t="str">
        <f>HYPERLINK("javascript:void(0)","karimás rostély")</f>
        <v>karimás rostély</v>
      </c>
      <c r="B9931" s="21"/>
      <c r="C9931" s="21"/>
      <c r="D9931" s="21"/>
    </row>
    <row r="9932" spans="1:4" ht="12.75" customHeight="1" x14ac:dyDescent="0.2">
      <c r="A9932" s="20"/>
      <c r="B9932" s="2"/>
      <c r="C9932" s="7"/>
      <c r="D9932" s="7"/>
    </row>
    <row r="9933" spans="1:4" ht="12.75" customHeight="1" x14ac:dyDescent="0.2">
      <c r="A9933" s="21"/>
      <c r="B9933" s="3" t="s">
        <v>0</v>
      </c>
      <c r="C9933" s="23" t="s">
        <v>161</v>
      </c>
      <c r="D9933" s="21"/>
    </row>
    <row r="9934" spans="1:4" ht="12.75" customHeight="1" x14ac:dyDescent="0.2">
      <c r="A9934" s="21"/>
      <c r="B9934" s="3" t="s">
        <v>2</v>
      </c>
      <c r="C9934" s="23"/>
      <c r="D9934" s="21"/>
    </row>
    <row r="9935" spans="1:4" ht="12.75" customHeight="1" x14ac:dyDescent="0.2">
      <c r="A9935" s="21"/>
      <c r="B9935" s="3" t="s">
        <v>1840</v>
      </c>
      <c r="C9935" s="23" t="s">
        <v>115</v>
      </c>
      <c r="D9935" s="21"/>
    </row>
    <row r="9936" spans="1:4" ht="12.75" customHeight="1" x14ac:dyDescent="0.2">
      <c r="A9936" s="21"/>
      <c r="B9936" s="3" t="s">
        <v>9</v>
      </c>
      <c r="C9936" s="23" t="s">
        <v>42</v>
      </c>
      <c r="D9936" s="21"/>
    </row>
    <row r="9937" spans="1:4" ht="12.75" customHeight="1" x14ac:dyDescent="0.2">
      <c r="A9937" s="21"/>
      <c r="B9937" s="3" t="s">
        <v>11</v>
      </c>
      <c r="C9937" s="23" t="s">
        <v>368</v>
      </c>
      <c r="D9937" s="21"/>
    </row>
    <row r="9938" spans="1:4" ht="12.75" customHeight="1" x14ac:dyDescent="0.2">
      <c r="A9938" s="21"/>
      <c r="B9938" s="3" t="s">
        <v>16</v>
      </c>
      <c r="C9938" s="23"/>
      <c r="D9938" s="21"/>
    </row>
    <row r="9939" spans="1:4" ht="12.75" customHeight="1" x14ac:dyDescent="0.2">
      <c r="A9939" s="21"/>
      <c r="B9939" s="3" t="s">
        <v>17</v>
      </c>
      <c r="C9939" s="23" t="s">
        <v>19</v>
      </c>
      <c r="D9939" s="21"/>
    </row>
    <row r="9940" spans="1:4" ht="12.75" customHeight="1" x14ac:dyDescent="0.2">
      <c r="A9940" s="21"/>
      <c r="B9940" s="20" t="s">
        <v>18</v>
      </c>
      <c r="C9940" s="8" t="s">
        <v>77</v>
      </c>
      <c r="D9940" s="1" t="str">
        <f>HYPERLINK("javascript:void(0)","vaskarima")</f>
        <v>vaskarima</v>
      </c>
    </row>
    <row r="9941" spans="1:4" ht="12.75" customHeight="1" x14ac:dyDescent="0.2">
      <c r="A9941" s="21"/>
      <c r="B9941" s="21"/>
      <c r="C9941" s="8" t="s">
        <v>117</v>
      </c>
      <c r="D9941" s="1" t="str">
        <f>HYPERLINK("javascript:void(0)","nagylemez")</f>
        <v>nagylemez</v>
      </c>
    </row>
    <row r="9942" spans="1:4" ht="12.75" customHeight="1" x14ac:dyDescent="0.2">
      <c r="A9942" s="21"/>
      <c r="B9942" s="21"/>
      <c r="C9942" s="8" t="s">
        <v>2071</v>
      </c>
      <c r="D9942" s="1" t="str">
        <f>HYPERLINK("javascript:void(0)","ámbra")</f>
        <v>ámbra</v>
      </c>
    </row>
    <row r="9943" spans="1:4" ht="12.75" customHeight="1" x14ac:dyDescent="0.2">
      <c r="A9943" s="21"/>
      <c r="B9943" s="2"/>
      <c r="C9943" s="7"/>
      <c r="D9943" s="7"/>
    </row>
    <row r="9944" spans="1:4" ht="12.75" customHeight="1" x14ac:dyDescent="0.2">
      <c r="A9944" s="21"/>
      <c r="B9944" s="2"/>
      <c r="C9944" s="7"/>
      <c r="D9944" s="7"/>
    </row>
    <row r="9945" spans="1:4" ht="12.75" customHeight="1" x14ac:dyDescent="0.2">
      <c r="A9945" s="21"/>
      <c r="B9945" s="2"/>
      <c r="C9945" s="7"/>
      <c r="D9945" s="7"/>
    </row>
    <row r="9946" spans="1:4" ht="12.75" customHeight="1" x14ac:dyDescent="0.2">
      <c r="A9946" s="21"/>
      <c r="B9946" s="2"/>
      <c r="C9946" s="7"/>
      <c r="D9946" s="7"/>
    </row>
    <row r="9947" spans="1:4" ht="12.75" customHeight="1" x14ac:dyDescent="0.2">
      <c r="A9947" s="5"/>
      <c r="B9947" s="2"/>
      <c r="C9947" s="7"/>
      <c r="D9947" s="7"/>
    </row>
    <row r="9948" spans="1:4" ht="12.75" customHeight="1" x14ac:dyDescent="0.2">
      <c r="A9948" s="22" t="str">
        <f>HYPERLINK("javascript:void(0)","kentacél antigrav csizma")</f>
        <v>kentacél antigrav csizma</v>
      </c>
      <c r="B9948" s="21"/>
      <c r="C9948" s="21"/>
      <c r="D9948" s="21"/>
    </row>
    <row r="9949" spans="1:4" ht="12.75" customHeight="1" x14ac:dyDescent="0.2">
      <c r="A9949" s="20"/>
      <c r="B9949" s="2"/>
      <c r="C9949" s="7"/>
      <c r="D9949" s="7"/>
    </row>
    <row r="9950" spans="1:4" ht="12.75" customHeight="1" x14ac:dyDescent="0.2">
      <c r="A9950" s="21"/>
      <c r="B9950" s="3" t="s">
        <v>0</v>
      </c>
      <c r="C9950" s="23" t="s">
        <v>161</v>
      </c>
      <c r="D9950" s="21"/>
    </row>
    <row r="9951" spans="1:4" ht="12.75" customHeight="1" x14ac:dyDescent="0.2">
      <c r="A9951" s="21"/>
      <c r="B9951" s="3" t="s">
        <v>2</v>
      </c>
      <c r="C9951" s="23"/>
      <c r="D9951" s="21"/>
    </row>
    <row r="9952" spans="1:4" ht="12.75" customHeight="1" x14ac:dyDescent="0.2">
      <c r="A9952" s="21"/>
      <c r="B9952" s="3" t="s">
        <v>1840</v>
      </c>
      <c r="C9952" s="23" t="s">
        <v>1412</v>
      </c>
      <c r="D9952" s="21"/>
    </row>
    <row r="9953" spans="1:4" ht="12.75" customHeight="1" x14ac:dyDescent="0.2">
      <c r="A9953" s="21"/>
      <c r="B9953" s="3" t="s">
        <v>9</v>
      </c>
      <c r="C9953" s="23" t="s">
        <v>626</v>
      </c>
      <c r="D9953" s="21"/>
    </row>
    <row r="9954" spans="1:4" ht="12.75" customHeight="1" x14ac:dyDescent="0.2">
      <c r="A9954" s="21"/>
      <c r="B9954" s="3" t="s">
        <v>11</v>
      </c>
      <c r="C9954" s="23" t="s">
        <v>23</v>
      </c>
      <c r="D9954" s="21"/>
    </row>
    <row r="9955" spans="1:4" ht="12.75" customHeight="1" x14ac:dyDescent="0.2">
      <c r="A9955" s="21"/>
      <c r="B9955" s="3" t="s">
        <v>16</v>
      </c>
      <c r="C9955" s="23"/>
      <c r="D9955" s="21"/>
    </row>
    <row r="9956" spans="1:4" ht="12.75" customHeight="1" x14ac:dyDescent="0.2">
      <c r="A9956" s="21"/>
      <c r="B9956" s="3" t="s">
        <v>17</v>
      </c>
      <c r="C9956" s="23" t="s">
        <v>19</v>
      </c>
      <c r="D9956" s="21"/>
    </row>
    <row r="9957" spans="1:4" ht="25.5" customHeight="1" x14ac:dyDescent="0.2">
      <c r="A9957" s="21"/>
      <c r="B9957" s="20" t="s">
        <v>18</v>
      </c>
      <c r="C9957" s="8" t="s">
        <v>44</v>
      </c>
      <c r="D9957" s="1" t="str">
        <f>HYPERLINK("javascript:void(0)","óriásacél antigrav csizma")</f>
        <v>óriásacél antigrav csizma</v>
      </c>
    </row>
    <row r="9958" spans="1:4" ht="12.75" customHeight="1" x14ac:dyDescent="0.2">
      <c r="A9958" s="21"/>
      <c r="B9958" s="21"/>
      <c r="C9958" s="8" t="s">
        <v>139</v>
      </c>
      <c r="D9958" s="1" t="str">
        <f>HYPERLINK("javascript:void(0)","vaskarima")</f>
        <v>vaskarima</v>
      </c>
    </row>
    <row r="9959" spans="1:4" ht="12.75" customHeight="1" x14ac:dyDescent="0.2">
      <c r="A9959" s="21"/>
      <c r="B9959" s="21"/>
      <c r="C9959" s="8" t="s">
        <v>494</v>
      </c>
      <c r="D9959" s="1" t="str">
        <f>HYPERLINK("javascript:void(0)","teleportige")</f>
        <v>teleportige</v>
      </c>
    </row>
    <row r="9960" spans="1:4" ht="12.75" customHeight="1" x14ac:dyDescent="0.2">
      <c r="A9960" s="21"/>
      <c r="B9960" s="2"/>
      <c r="C9960" s="7"/>
      <c r="D9960" s="7"/>
    </row>
    <row r="9961" spans="1:4" ht="12.75" customHeight="1" x14ac:dyDescent="0.2">
      <c r="A9961" s="21"/>
      <c r="B9961" s="2"/>
      <c r="C9961" s="7"/>
      <c r="D9961" s="7"/>
    </row>
    <row r="9962" spans="1:4" ht="12.75" customHeight="1" x14ac:dyDescent="0.2">
      <c r="A9962" s="21"/>
      <c r="B9962" s="2"/>
      <c r="C9962" s="7"/>
      <c r="D9962" s="7"/>
    </row>
    <row r="9963" spans="1:4" ht="12.75" customHeight="1" x14ac:dyDescent="0.2">
      <c r="A9963" s="21"/>
      <c r="B9963" s="2"/>
      <c r="C9963" s="7"/>
      <c r="D9963" s="7"/>
    </row>
    <row r="9964" spans="1:4" ht="12.75" customHeight="1" x14ac:dyDescent="0.2">
      <c r="A9964" s="5"/>
      <c r="B9964" s="2"/>
      <c r="C9964" s="7"/>
      <c r="D9964" s="7"/>
    </row>
    <row r="9965" spans="1:4" ht="12.75" customHeight="1" x14ac:dyDescent="0.2">
      <c r="A9965" s="22" t="str">
        <f>HYPERLINK("javascript:void(0)","csillámló kristálypajzs")</f>
        <v>csillámló kristálypajzs</v>
      </c>
      <c r="B9965" s="21"/>
      <c r="C9965" s="21"/>
      <c r="D9965" s="21"/>
    </row>
    <row r="9966" spans="1:4" ht="12.75" customHeight="1" x14ac:dyDescent="0.2">
      <c r="A9966" s="20"/>
      <c r="B9966" s="2"/>
      <c r="C9966" s="7"/>
      <c r="D9966" s="7"/>
    </row>
    <row r="9967" spans="1:4" ht="12.75" customHeight="1" x14ac:dyDescent="0.2">
      <c r="A9967" s="21"/>
      <c r="B9967" s="3" t="s">
        <v>0</v>
      </c>
      <c r="C9967" s="23" t="s">
        <v>161</v>
      </c>
      <c r="D9967" s="21"/>
    </row>
    <row r="9968" spans="1:4" ht="12.75" customHeight="1" x14ac:dyDescent="0.2">
      <c r="A9968" s="21"/>
      <c r="B9968" s="3" t="s">
        <v>2</v>
      </c>
      <c r="C9968" s="23" t="s">
        <v>1839</v>
      </c>
      <c r="D9968" s="21"/>
    </row>
    <row r="9969" spans="1:4" ht="12.75" customHeight="1" x14ac:dyDescent="0.2">
      <c r="A9969" s="21"/>
      <c r="B9969" s="3" t="s">
        <v>1840</v>
      </c>
      <c r="C9969" s="23" t="s">
        <v>2101</v>
      </c>
      <c r="D9969" s="21"/>
    </row>
    <row r="9970" spans="1:4" ht="12.75" customHeight="1" x14ac:dyDescent="0.2">
      <c r="A9970" s="21"/>
      <c r="B9970" s="3" t="s">
        <v>9</v>
      </c>
      <c r="C9970" s="23" t="s">
        <v>1461</v>
      </c>
      <c r="D9970" s="21"/>
    </row>
    <row r="9971" spans="1:4" ht="12.75" customHeight="1" x14ac:dyDescent="0.2">
      <c r="A9971" s="21"/>
      <c r="B9971" s="3" t="s">
        <v>11</v>
      </c>
      <c r="C9971" s="23" t="s">
        <v>1159</v>
      </c>
      <c r="D9971" s="21"/>
    </row>
    <row r="9972" spans="1:4" ht="12.75" customHeight="1" x14ac:dyDescent="0.2">
      <c r="A9972" s="21"/>
      <c r="B9972" s="3" t="s">
        <v>16</v>
      </c>
      <c r="C9972" s="23"/>
      <c r="D9972" s="21"/>
    </row>
    <row r="9973" spans="1:4" ht="12.75" customHeight="1" x14ac:dyDescent="0.2">
      <c r="A9973" s="21"/>
      <c r="B9973" s="3" t="s">
        <v>17</v>
      </c>
      <c r="C9973" s="23" t="s">
        <v>19</v>
      </c>
      <c r="D9973" s="21"/>
    </row>
    <row r="9974" spans="1:4" ht="12.75" customHeight="1" x14ac:dyDescent="0.2">
      <c r="A9974" s="21"/>
      <c r="B9974" s="20" t="s">
        <v>18</v>
      </c>
      <c r="C9974" s="8" t="s">
        <v>57</v>
      </c>
      <c r="D9974" s="1" t="str">
        <f>HYPERLINK("javascript:void(0)","csillámgöb")</f>
        <v>csillámgöb</v>
      </c>
    </row>
    <row r="9975" spans="1:4" ht="25.5" customHeight="1" x14ac:dyDescent="0.2">
      <c r="A9975" s="21"/>
      <c r="B9975" s="21"/>
      <c r="C9975" s="8" t="s">
        <v>44</v>
      </c>
      <c r="D9975" s="1" t="str">
        <f>HYPERLINK("javascript:void(0)","csillámló sárkánypajzs")</f>
        <v>csillámló sárkánypajzs</v>
      </c>
    </row>
    <row r="9976" spans="1:4" ht="12.75" customHeight="1" x14ac:dyDescent="0.2">
      <c r="A9976" s="21"/>
      <c r="B9976" s="21"/>
      <c r="C9976" s="8" t="s">
        <v>57</v>
      </c>
      <c r="D9976" s="1" t="str">
        <f>HYPERLINK("javascript:void(0)","rubinpajzs")</f>
        <v>rubinpajzs</v>
      </c>
    </row>
    <row r="9977" spans="1:4" ht="12.75" customHeight="1" x14ac:dyDescent="0.2">
      <c r="A9977" s="21"/>
      <c r="B9977" s="2"/>
      <c r="C9977" s="7"/>
      <c r="D9977" s="7"/>
    </row>
    <row r="9978" spans="1:4" ht="12.75" customHeight="1" x14ac:dyDescent="0.2">
      <c r="A9978" s="21"/>
      <c r="B9978" s="2"/>
      <c r="C9978" s="7"/>
      <c r="D9978" s="7"/>
    </row>
    <row r="9979" spans="1:4" ht="12.75" customHeight="1" x14ac:dyDescent="0.2">
      <c r="A9979" s="21"/>
      <c r="B9979" s="2"/>
      <c r="C9979" s="7"/>
      <c r="D9979" s="7"/>
    </row>
    <row r="9980" spans="1:4" ht="12.75" customHeight="1" x14ac:dyDescent="0.2">
      <c r="A9980" s="21"/>
      <c r="B9980" s="2"/>
      <c r="C9980" s="7"/>
      <c r="D9980" s="7"/>
    </row>
    <row r="9981" spans="1:4" ht="12.75" customHeight="1" x14ac:dyDescent="0.2">
      <c r="A9981" s="5"/>
      <c r="B9981" s="2"/>
      <c r="C9981" s="7"/>
      <c r="D9981" s="7"/>
    </row>
    <row r="9982" spans="1:4" ht="12.75" customHeight="1" x14ac:dyDescent="0.2">
      <c r="A9982" s="22" t="str">
        <f>HYPERLINK("javascript:void(0)","csillámló harmatcsizma")</f>
        <v>csillámló harmatcsizma</v>
      </c>
      <c r="B9982" s="21"/>
      <c r="C9982" s="21"/>
      <c r="D9982" s="21"/>
    </row>
    <row r="9983" spans="1:4" ht="12.75" customHeight="1" x14ac:dyDescent="0.2">
      <c r="A9983" s="20"/>
      <c r="B9983" s="2"/>
      <c r="C9983" s="7"/>
      <c r="D9983" s="7"/>
    </row>
    <row r="9984" spans="1:4" ht="12.75" customHeight="1" x14ac:dyDescent="0.2">
      <c r="A9984" s="21"/>
      <c r="B9984" s="3" t="s">
        <v>0</v>
      </c>
      <c r="C9984" s="23" t="s">
        <v>161</v>
      </c>
      <c r="D9984" s="21"/>
    </row>
    <row r="9985" spans="1:4" ht="12.75" customHeight="1" x14ac:dyDescent="0.2">
      <c r="A9985" s="21"/>
      <c r="B9985" s="3" t="s">
        <v>2</v>
      </c>
      <c r="C9985" s="23"/>
      <c r="D9985" s="21"/>
    </row>
    <row r="9986" spans="1:4" ht="12.75" customHeight="1" x14ac:dyDescent="0.2">
      <c r="A9986" s="21"/>
      <c r="B9986" s="3" t="s">
        <v>1840</v>
      </c>
      <c r="C9986" s="23" t="s">
        <v>304</v>
      </c>
      <c r="D9986" s="21"/>
    </row>
    <row r="9987" spans="1:4" ht="12.75" customHeight="1" x14ac:dyDescent="0.2">
      <c r="A9987" s="21"/>
      <c r="B9987" s="3" t="s">
        <v>9</v>
      </c>
      <c r="C9987" s="23" t="s">
        <v>172</v>
      </c>
      <c r="D9987" s="21"/>
    </row>
    <row r="9988" spans="1:4" ht="12.75" customHeight="1" x14ac:dyDescent="0.2">
      <c r="A9988" s="21"/>
      <c r="B9988" s="3" t="s">
        <v>11</v>
      </c>
      <c r="C9988" s="23" t="s">
        <v>1055</v>
      </c>
      <c r="D9988" s="21"/>
    </row>
    <row r="9989" spans="1:4" ht="12.75" customHeight="1" x14ac:dyDescent="0.2">
      <c r="A9989" s="21"/>
      <c r="B9989" s="3" t="s">
        <v>16</v>
      </c>
      <c r="C9989" s="23"/>
      <c r="D9989" s="21"/>
    </row>
    <row r="9990" spans="1:4" ht="12.75" customHeight="1" x14ac:dyDescent="0.2">
      <c r="A9990" s="21"/>
      <c r="B9990" s="3" t="s">
        <v>17</v>
      </c>
      <c r="C9990" s="23" t="s">
        <v>19</v>
      </c>
      <c r="D9990" s="21"/>
    </row>
    <row r="9991" spans="1:4" ht="12.75" customHeight="1" x14ac:dyDescent="0.2">
      <c r="A9991" s="21"/>
      <c r="B9991" s="20" t="s">
        <v>18</v>
      </c>
      <c r="C9991" s="8" t="s">
        <v>57</v>
      </c>
      <c r="D9991" s="1" t="str">
        <f>HYPERLINK("javascript:void(0)","csillámgöb")</f>
        <v>csillámgöb</v>
      </c>
    </row>
    <row r="9992" spans="1:4" ht="25.5" customHeight="1" x14ac:dyDescent="0.2">
      <c r="A9992" s="21"/>
      <c r="B9992" s="21"/>
      <c r="C9992" s="8" t="s">
        <v>44</v>
      </c>
      <c r="D9992" s="1" t="str">
        <f>HYPERLINK("javascript:void(0)","csillámló sárkánycsizma")</f>
        <v>csillámló sárkánycsizma</v>
      </c>
    </row>
    <row r="9993" spans="1:4" ht="12.75" customHeight="1" x14ac:dyDescent="0.2">
      <c r="A9993" s="21"/>
      <c r="B9993" s="21"/>
      <c r="C9993" s="8" t="s">
        <v>1113</v>
      </c>
      <c r="D9993" s="1" t="str">
        <f>HYPERLINK("javascript:void(0)","harmatcsepp")</f>
        <v>harmatcsepp</v>
      </c>
    </row>
    <row r="9994" spans="1:4" ht="12.75" customHeight="1" x14ac:dyDescent="0.2">
      <c r="A9994" s="21"/>
      <c r="B9994" s="2"/>
      <c r="C9994" s="7"/>
      <c r="D9994" s="7"/>
    </row>
    <row r="9995" spans="1:4" ht="12.75" customHeight="1" x14ac:dyDescent="0.2">
      <c r="A9995" s="21"/>
      <c r="B9995" s="2"/>
      <c r="C9995" s="7"/>
      <c r="D9995" s="7"/>
    </row>
    <row r="9996" spans="1:4" ht="12.75" customHeight="1" x14ac:dyDescent="0.2">
      <c r="A9996" s="21"/>
      <c r="B9996" s="2"/>
      <c r="C9996" s="7"/>
      <c r="D9996" s="7"/>
    </row>
    <row r="9997" spans="1:4" ht="12.75" customHeight="1" x14ac:dyDescent="0.2">
      <c r="A9997" s="21"/>
      <c r="B9997" s="2"/>
      <c r="C9997" s="7"/>
      <c r="D9997" s="7"/>
    </row>
    <row r="9998" spans="1:4" ht="12.75" customHeight="1" x14ac:dyDescent="0.2">
      <c r="A9998" s="5"/>
      <c r="B9998" s="2"/>
      <c r="C9998" s="7"/>
      <c r="D9998" s="7"/>
    </row>
    <row r="9999" spans="1:4" ht="12.75" customHeight="1" x14ac:dyDescent="0.2">
      <c r="A9999" s="22" t="str">
        <f>HYPERLINK("javascript:void(0)","csillámos elfsisak")</f>
        <v>csillámos elfsisak</v>
      </c>
      <c r="B9999" s="21"/>
      <c r="C9999" s="21"/>
      <c r="D9999" s="21"/>
    </row>
    <row r="10000" spans="1:4" ht="12.75" customHeight="1" x14ac:dyDescent="0.2">
      <c r="A10000" s="20"/>
      <c r="B10000" s="2"/>
      <c r="C10000" s="7"/>
      <c r="D10000" s="7"/>
    </row>
    <row r="10001" spans="1:4" ht="12.75" customHeight="1" x14ac:dyDescent="0.2">
      <c r="A10001" s="21"/>
      <c r="B10001" s="3" t="s">
        <v>0</v>
      </c>
      <c r="C10001" s="23" t="s">
        <v>161</v>
      </c>
      <c r="D10001" s="21"/>
    </row>
    <row r="10002" spans="1:4" ht="12.75" customHeight="1" x14ac:dyDescent="0.2">
      <c r="A10002" s="21"/>
      <c r="B10002" s="3" t="s">
        <v>2</v>
      </c>
      <c r="C10002" s="23"/>
      <c r="D10002" s="21"/>
    </row>
    <row r="10003" spans="1:4" ht="12.75" customHeight="1" x14ac:dyDescent="0.2">
      <c r="A10003" s="21"/>
      <c r="B10003" s="3" t="s">
        <v>1840</v>
      </c>
      <c r="C10003" s="23" t="s">
        <v>4339</v>
      </c>
      <c r="D10003" s="21"/>
    </row>
    <row r="10004" spans="1:4" ht="12.75" customHeight="1" x14ac:dyDescent="0.2">
      <c r="A10004" s="21"/>
      <c r="B10004" s="3" t="s">
        <v>9</v>
      </c>
      <c r="C10004" s="23" t="s">
        <v>834</v>
      </c>
      <c r="D10004" s="21"/>
    </row>
    <row r="10005" spans="1:4" ht="12.75" customHeight="1" x14ac:dyDescent="0.2">
      <c r="A10005" s="21"/>
      <c r="B10005" s="3" t="s">
        <v>11</v>
      </c>
      <c r="C10005" s="23" t="s">
        <v>1015</v>
      </c>
      <c r="D10005" s="21"/>
    </row>
    <row r="10006" spans="1:4" ht="12.75" customHeight="1" x14ac:dyDescent="0.2">
      <c r="A10006" s="21"/>
      <c r="B10006" s="3" t="s">
        <v>16</v>
      </c>
      <c r="C10006" s="23"/>
      <c r="D10006" s="21"/>
    </row>
    <row r="10007" spans="1:4" ht="12.75" customHeight="1" x14ac:dyDescent="0.2">
      <c r="A10007" s="21"/>
      <c r="B10007" s="3" t="s">
        <v>17</v>
      </c>
      <c r="C10007" s="23" t="s">
        <v>19</v>
      </c>
      <c r="D10007" s="21"/>
    </row>
    <row r="10008" spans="1:4" ht="12.75" customHeight="1" x14ac:dyDescent="0.2">
      <c r="A10008" s="21"/>
      <c r="B10008" s="20" t="s">
        <v>18</v>
      </c>
      <c r="C10008" s="8" t="s">
        <v>57</v>
      </c>
      <c r="D10008" s="1" t="str">
        <f>HYPERLINK("javascript:void(0)","csillámgöb")</f>
        <v>csillámgöb</v>
      </c>
    </row>
    <row r="10009" spans="1:4" ht="25.5" customHeight="1" x14ac:dyDescent="0.2">
      <c r="A10009" s="21"/>
      <c r="B10009" s="21"/>
      <c r="C10009" s="8" t="s">
        <v>44</v>
      </c>
      <c r="D10009" s="1" t="str">
        <f>HYPERLINK("javascript:void(0)","csillámos sárkánysisak")</f>
        <v>csillámos sárkánysisak</v>
      </c>
    </row>
    <row r="10010" spans="1:4" ht="12.75" customHeight="1" x14ac:dyDescent="0.2">
      <c r="A10010" s="21"/>
      <c r="B10010" s="21"/>
      <c r="C10010" s="8" t="s">
        <v>244</v>
      </c>
      <c r="D10010" s="1" t="str">
        <f>HYPERLINK("javascript:void(0)","ezüströg")</f>
        <v>ezüströg</v>
      </c>
    </row>
    <row r="10011" spans="1:4" ht="12.75" customHeight="1" x14ac:dyDescent="0.2">
      <c r="A10011" s="21"/>
      <c r="B10011" s="2"/>
      <c r="C10011" s="7"/>
      <c r="D10011" s="7"/>
    </row>
    <row r="10012" spans="1:4" ht="12.75" customHeight="1" x14ac:dyDescent="0.2">
      <c r="A10012" s="21"/>
      <c r="B10012" s="2"/>
      <c r="C10012" s="7"/>
      <c r="D10012" s="7"/>
    </row>
    <row r="10013" spans="1:4" ht="12.75" customHeight="1" x14ac:dyDescent="0.2">
      <c r="A10013" s="21"/>
      <c r="B10013" s="2"/>
      <c r="C10013" s="7"/>
      <c r="D10013" s="7"/>
    </row>
    <row r="10014" spans="1:4" ht="12.75" customHeight="1" x14ac:dyDescent="0.2">
      <c r="A10014" s="21"/>
      <c r="B10014" s="2"/>
      <c r="C10014" s="7"/>
      <c r="D10014" s="7"/>
    </row>
    <row r="10015" spans="1:4" ht="12.75" customHeight="1" x14ac:dyDescent="0.2">
      <c r="A10015" s="5"/>
      <c r="B10015" s="2"/>
      <c r="C10015" s="7"/>
      <c r="D10015" s="7"/>
    </row>
    <row r="10016" spans="1:4" ht="12.75" customHeight="1" x14ac:dyDescent="0.2">
      <c r="A10016" s="22" t="str">
        <f>HYPERLINK("javascript:void(0)","csillámló kristálypáncél")</f>
        <v>csillámló kristálypáncél</v>
      </c>
      <c r="B10016" s="21"/>
      <c r="C10016" s="21"/>
      <c r="D10016" s="21"/>
    </row>
    <row r="10017" spans="1:4" ht="12.75" customHeight="1" x14ac:dyDescent="0.2">
      <c r="A10017" s="20"/>
      <c r="B10017" s="2"/>
      <c r="C10017" s="7"/>
      <c r="D10017" s="7"/>
    </row>
    <row r="10018" spans="1:4" ht="12.75" customHeight="1" x14ac:dyDescent="0.2">
      <c r="A10018" s="21"/>
      <c r="B10018" s="3" t="s">
        <v>0</v>
      </c>
      <c r="C10018" s="23" t="s">
        <v>161</v>
      </c>
      <c r="D10018" s="21"/>
    </row>
    <row r="10019" spans="1:4" ht="12.75" customHeight="1" x14ac:dyDescent="0.2">
      <c r="A10019" s="21"/>
      <c r="B10019" s="3" t="s">
        <v>2</v>
      </c>
      <c r="C10019" s="23" t="s">
        <v>2322</v>
      </c>
      <c r="D10019" s="21"/>
    </row>
    <row r="10020" spans="1:4" ht="12.75" customHeight="1" x14ac:dyDescent="0.2">
      <c r="A10020" s="21"/>
      <c r="B10020" s="3" t="s">
        <v>1840</v>
      </c>
      <c r="C10020" s="23" t="s">
        <v>2472</v>
      </c>
      <c r="D10020" s="21"/>
    </row>
    <row r="10021" spans="1:4" ht="12.75" customHeight="1" x14ac:dyDescent="0.2">
      <c r="A10021" s="21"/>
      <c r="B10021" s="3" t="s">
        <v>9</v>
      </c>
      <c r="C10021" s="23" t="s">
        <v>1433</v>
      </c>
      <c r="D10021" s="21"/>
    </row>
    <row r="10022" spans="1:4" ht="12.75" customHeight="1" x14ac:dyDescent="0.2">
      <c r="A10022" s="21"/>
      <c r="B10022" s="3" t="s">
        <v>11</v>
      </c>
      <c r="C10022" s="23" t="s">
        <v>1015</v>
      </c>
      <c r="D10022" s="21"/>
    </row>
    <row r="10023" spans="1:4" ht="12.75" customHeight="1" x14ac:dyDescent="0.2">
      <c r="A10023" s="21"/>
      <c r="B10023" s="3" t="s">
        <v>16</v>
      </c>
      <c r="C10023" s="23"/>
      <c r="D10023" s="21"/>
    </row>
    <row r="10024" spans="1:4" ht="12.75" customHeight="1" x14ac:dyDescent="0.2">
      <c r="A10024" s="21"/>
      <c r="B10024" s="3" t="s">
        <v>17</v>
      </c>
      <c r="C10024" s="23" t="s">
        <v>19</v>
      </c>
      <c r="D10024" s="21"/>
    </row>
    <row r="10025" spans="1:4" ht="12.75" customHeight="1" x14ac:dyDescent="0.2">
      <c r="A10025" s="21"/>
      <c r="B10025" s="20" t="s">
        <v>18</v>
      </c>
      <c r="C10025" s="8" t="s">
        <v>57</v>
      </c>
      <c r="D10025" s="1" t="str">
        <f>HYPERLINK("javascript:void(0)","csillámgöb")</f>
        <v>csillámgöb</v>
      </c>
    </row>
    <row r="10026" spans="1:4" ht="25.5" customHeight="1" x14ac:dyDescent="0.2">
      <c r="A10026" s="21"/>
      <c r="B10026" s="21"/>
      <c r="C10026" s="8" t="s">
        <v>44</v>
      </c>
      <c r="D10026" s="1" t="str">
        <f>HYPERLINK("javascript:void(0)","csillámló sárkánypáncél")</f>
        <v>csillámló sárkánypáncél</v>
      </c>
    </row>
    <row r="10027" spans="1:4" ht="12.75" customHeight="1" x14ac:dyDescent="0.2">
      <c r="A10027" s="21"/>
      <c r="B10027" s="21"/>
      <c r="C10027" s="8" t="s">
        <v>988</v>
      </c>
      <c r="D10027" s="1" t="str">
        <f>HYPERLINK("javascript:void(0)","nekroige")</f>
        <v>nekroige</v>
      </c>
    </row>
    <row r="10028" spans="1:4" ht="12.75" customHeight="1" x14ac:dyDescent="0.2">
      <c r="A10028" s="21"/>
      <c r="B10028" s="2"/>
      <c r="C10028" s="7"/>
      <c r="D10028" s="7"/>
    </row>
    <row r="10029" spans="1:4" ht="12.75" customHeight="1" x14ac:dyDescent="0.2">
      <c r="A10029" s="21"/>
      <c r="B10029" s="2"/>
      <c r="C10029" s="7"/>
      <c r="D10029" s="7"/>
    </row>
    <row r="10030" spans="1:4" ht="12.75" customHeight="1" x14ac:dyDescent="0.2">
      <c r="A10030" s="21"/>
      <c r="B10030" s="2"/>
      <c r="C10030" s="7"/>
      <c r="D10030" s="7"/>
    </row>
    <row r="10031" spans="1:4" ht="12.75" customHeight="1" x14ac:dyDescent="0.2">
      <c r="A10031" s="21"/>
      <c r="B10031" s="2"/>
      <c r="C10031" s="7"/>
      <c r="D10031" s="7"/>
    </row>
    <row r="10032" spans="1:4" ht="12.75" customHeight="1" x14ac:dyDescent="0.2">
      <c r="A10032" s="5"/>
      <c r="B10032" s="2"/>
      <c r="C10032" s="7"/>
      <c r="D10032" s="7"/>
    </row>
    <row r="10033" spans="1:4" ht="12.75" customHeight="1" x14ac:dyDescent="0.2">
      <c r="A10033" s="22" t="str">
        <f>HYPERLINK("javascript:void(0)","teljes centrovért")</f>
        <v>teljes centrovért</v>
      </c>
      <c r="B10033" s="21"/>
      <c r="C10033" s="21"/>
      <c r="D10033" s="21"/>
    </row>
    <row r="10034" spans="1:4" ht="12.75" customHeight="1" x14ac:dyDescent="0.2">
      <c r="A10034" s="20"/>
      <c r="B10034" s="2"/>
      <c r="C10034" s="7"/>
      <c r="D10034" s="7"/>
    </row>
    <row r="10035" spans="1:4" ht="12.75" customHeight="1" x14ac:dyDescent="0.2">
      <c r="A10035" s="21"/>
      <c r="B10035" s="3" t="s">
        <v>0</v>
      </c>
      <c r="C10035" s="23" t="s">
        <v>253</v>
      </c>
      <c r="D10035" s="21"/>
    </row>
    <row r="10036" spans="1:4" ht="12.75" customHeight="1" x14ac:dyDescent="0.2">
      <c r="A10036" s="21"/>
      <c r="B10036" s="3" t="s">
        <v>2</v>
      </c>
      <c r="C10036" s="23" t="s">
        <v>2322</v>
      </c>
      <c r="D10036" s="21"/>
    </row>
    <row r="10037" spans="1:4" ht="12.75" customHeight="1" x14ac:dyDescent="0.2">
      <c r="A10037" s="21"/>
      <c r="B10037" s="3" t="s">
        <v>1840</v>
      </c>
      <c r="C10037" s="23" t="s">
        <v>2473</v>
      </c>
      <c r="D10037" s="21"/>
    </row>
    <row r="10038" spans="1:4" ht="12.75" customHeight="1" x14ac:dyDescent="0.2">
      <c r="A10038" s="21"/>
      <c r="B10038" s="3" t="s">
        <v>9</v>
      </c>
      <c r="C10038" s="23" t="s">
        <v>42</v>
      </c>
      <c r="D10038" s="21"/>
    </row>
    <row r="10039" spans="1:4" ht="12.75" customHeight="1" x14ac:dyDescent="0.2">
      <c r="A10039" s="21"/>
      <c r="B10039" s="3" t="s">
        <v>11</v>
      </c>
      <c r="C10039" s="23" t="s">
        <v>1035</v>
      </c>
      <c r="D10039" s="21"/>
    </row>
    <row r="10040" spans="1:4" ht="12.75" customHeight="1" x14ac:dyDescent="0.2">
      <c r="A10040" s="21"/>
      <c r="B10040" s="3" t="s">
        <v>16</v>
      </c>
      <c r="C10040" s="23"/>
      <c r="D10040" s="21"/>
    </row>
    <row r="10041" spans="1:4" ht="12.75" customHeight="1" x14ac:dyDescent="0.2">
      <c r="A10041" s="21"/>
      <c r="B10041" s="3" t="s">
        <v>17</v>
      </c>
      <c r="C10041" s="23" t="s">
        <v>19</v>
      </c>
      <c r="D10041" s="21"/>
    </row>
    <row r="10042" spans="1:4" ht="12.75" customHeight="1" x14ac:dyDescent="0.2">
      <c r="A10042" s="21"/>
      <c r="B10042" s="20" t="s">
        <v>18</v>
      </c>
      <c r="C10042" s="8" t="s">
        <v>280</v>
      </c>
      <c r="D10042" s="1" t="str">
        <f>HYPERLINK("javascript:void(0)","centrolium")</f>
        <v>centrolium</v>
      </c>
    </row>
    <row r="10043" spans="1:4" ht="12.75" customHeight="1" x14ac:dyDescent="0.2">
      <c r="A10043" s="21"/>
      <c r="B10043" s="21"/>
      <c r="C10043" s="8" t="s">
        <v>163</v>
      </c>
      <c r="D10043" s="1" t="str">
        <f>HYPERLINK("javascript:void(0)","törmelék")</f>
        <v>törmelék</v>
      </c>
    </row>
    <row r="10044" spans="1:4" ht="12.75" customHeight="1" x14ac:dyDescent="0.2">
      <c r="A10044" s="21"/>
      <c r="B10044" s="21"/>
      <c r="C10044" s="8" t="s">
        <v>382</v>
      </c>
      <c r="D10044" s="1" t="str">
        <f>HYPERLINK("javascript:void(0)","orr")</f>
        <v>orr</v>
      </c>
    </row>
    <row r="10045" spans="1:4" ht="12.75" customHeight="1" x14ac:dyDescent="0.2">
      <c r="A10045" s="21"/>
      <c r="B10045" s="2"/>
      <c r="C10045" s="7"/>
      <c r="D10045" s="7"/>
    </row>
    <row r="10046" spans="1:4" ht="12.75" customHeight="1" x14ac:dyDescent="0.2">
      <c r="A10046" s="21"/>
      <c r="B10046" s="2"/>
      <c r="C10046" s="7"/>
      <c r="D10046" s="7"/>
    </row>
    <row r="10047" spans="1:4" ht="12.75" customHeight="1" x14ac:dyDescent="0.2">
      <c r="A10047" s="21"/>
      <c r="B10047" s="2"/>
      <c r="C10047" s="7"/>
      <c r="D10047" s="7"/>
    </row>
    <row r="10048" spans="1:4" ht="12.75" customHeight="1" x14ac:dyDescent="0.2">
      <c r="A10048" s="21"/>
      <c r="B10048" s="2"/>
      <c r="C10048" s="7"/>
      <c r="D10048" s="7"/>
    </row>
    <row r="10049" spans="1:4" ht="12.75" customHeight="1" x14ac:dyDescent="0.2">
      <c r="A10049" s="5"/>
      <c r="B10049" s="2"/>
      <c r="C10049" s="7"/>
      <c r="D10049" s="7"/>
    </row>
    <row r="10050" spans="1:4" ht="12.75" customHeight="1" x14ac:dyDescent="0.2">
      <c r="A10050" s="22" t="str">
        <f>HYPERLINK("javascript:void(0)","vitorlás sisak")</f>
        <v>vitorlás sisak</v>
      </c>
      <c r="B10050" s="21"/>
      <c r="C10050" s="21"/>
      <c r="D10050" s="21"/>
    </row>
    <row r="10051" spans="1:4" ht="12.75" customHeight="1" x14ac:dyDescent="0.2">
      <c r="A10051" s="20"/>
      <c r="B10051" s="2"/>
      <c r="C10051" s="7"/>
      <c r="D10051" s="7"/>
    </row>
    <row r="10052" spans="1:4" ht="12.75" customHeight="1" x14ac:dyDescent="0.2">
      <c r="A10052" s="21"/>
      <c r="B10052" s="3" t="s">
        <v>0</v>
      </c>
      <c r="C10052" s="23" t="s">
        <v>253</v>
      </c>
      <c r="D10052" s="21"/>
    </row>
    <row r="10053" spans="1:4" ht="12.75" customHeight="1" x14ac:dyDescent="0.2">
      <c r="A10053" s="21"/>
      <c r="B10053" s="3" t="s">
        <v>2</v>
      </c>
      <c r="C10053" s="23"/>
      <c r="D10053" s="21"/>
    </row>
    <row r="10054" spans="1:4" ht="12.75" customHeight="1" x14ac:dyDescent="0.2">
      <c r="A10054" s="21"/>
      <c r="B10054" s="3" t="s">
        <v>1840</v>
      </c>
      <c r="C10054" s="23" t="s">
        <v>185</v>
      </c>
      <c r="D10054" s="21"/>
    </row>
    <row r="10055" spans="1:4" ht="12.75" customHeight="1" x14ac:dyDescent="0.2">
      <c r="A10055" s="21"/>
      <c r="B10055" s="3" t="s">
        <v>9</v>
      </c>
      <c r="C10055" s="23" t="s">
        <v>10</v>
      </c>
      <c r="D10055" s="21"/>
    </row>
    <row r="10056" spans="1:4" ht="12.75" customHeight="1" x14ac:dyDescent="0.2">
      <c r="A10056" s="21"/>
      <c r="B10056" s="3" t="s">
        <v>11</v>
      </c>
      <c r="C10056" s="23" t="s">
        <v>1035</v>
      </c>
      <c r="D10056" s="21"/>
    </row>
    <row r="10057" spans="1:4" ht="12.75" customHeight="1" x14ac:dyDescent="0.2">
      <c r="A10057" s="21"/>
      <c r="B10057" s="3" t="s">
        <v>16</v>
      </c>
      <c r="C10057" s="23"/>
      <c r="D10057" s="21"/>
    </row>
    <row r="10058" spans="1:4" ht="12.75" customHeight="1" x14ac:dyDescent="0.2">
      <c r="A10058" s="21"/>
      <c r="B10058" s="3" t="s">
        <v>17</v>
      </c>
      <c r="C10058" s="23" t="s">
        <v>19</v>
      </c>
      <c r="D10058" s="21"/>
    </row>
    <row r="10059" spans="1:4" ht="12.75" customHeight="1" x14ac:dyDescent="0.2">
      <c r="A10059" s="21"/>
      <c r="B10059" s="20" t="s">
        <v>18</v>
      </c>
      <c r="C10059" s="8" t="s">
        <v>44</v>
      </c>
      <c r="D10059" s="1" t="str">
        <f>HYPERLINK("javascript:void(0)","karimás sisak")</f>
        <v>karimás sisak</v>
      </c>
    </row>
    <row r="10060" spans="1:4" ht="12.75" customHeight="1" x14ac:dyDescent="0.2">
      <c r="A10060" s="21"/>
      <c r="B10060" s="21"/>
      <c r="C10060" s="8" t="s">
        <v>139</v>
      </c>
      <c r="D10060" s="1" t="str">
        <f>HYPERLINK("javascript:void(0)","vitorla")</f>
        <v>vitorla</v>
      </c>
    </row>
    <row r="10061" spans="1:4" ht="12.75" customHeight="1" x14ac:dyDescent="0.2">
      <c r="A10061" s="21"/>
      <c r="B10061" s="21"/>
      <c r="C10061" s="8" t="s">
        <v>130</v>
      </c>
      <c r="D10061" s="1" t="str">
        <f>HYPERLINK("javascript:void(0)","fűrészfog")</f>
        <v>fűrészfog</v>
      </c>
    </row>
    <row r="10062" spans="1:4" ht="12.75" customHeight="1" x14ac:dyDescent="0.2">
      <c r="A10062" s="21"/>
      <c r="B10062" s="2"/>
      <c r="C10062" s="7"/>
      <c r="D10062" s="7"/>
    </row>
    <row r="10063" spans="1:4" ht="12.75" customHeight="1" x14ac:dyDescent="0.2">
      <c r="A10063" s="21"/>
      <c r="B10063" s="2"/>
      <c r="C10063" s="7"/>
      <c r="D10063" s="7"/>
    </row>
    <row r="10064" spans="1:4" ht="12.75" customHeight="1" x14ac:dyDescent="0.2">
      <c r="A10064" s="21"/>
      <c r="B10064" s="2"/>
      <c r="C10064" s="7"/>
      <c r="D10064" s="7"/>
    </row>
    <row r="10065" spans="1:4" ht="12.75" customHeight="1" x14ac:dyDescent="0.2">
      <c r="A10065" s="21"/>
      <c r="B10065" s="2"/>
      <c r="C10065" s="7"/>
      <c r="D10065" s="7"/>
    </row>
    <row r="10066" spans="1:4" ht="12.75" customHeight="1" x14ac:dyDescent="0.2">
      <c r="A10066" s="5"/>
      <c r="B10066" s="2"/>
      <c r="C10066" s="7"/>
      <c r="D10066" s="7"/>
    </row>
    <row r="10067" spans="1:4" ht="12.75" customHeight="1" x14ac:dyDescent="0.2">
      <c r="A10067" s="22" t="str">
        <f>HYPERLINK("javascript:void(0)","rubin mokaszin")</f>
        <v>rubin mokaszin</v>
      </c>
      <c r="B10067" s="21"/>
      <c r="C10067" s="21"/>
      <c r="D10067" s="21"/>
    </row>
    <row r="10068" spans="1:4" ht="12.75" customHeight="1" x14ac:dyDescent="0.2">
      <c r="A10068" s="20"/>
      <c r="B10068" s="2"/>
      <c r="C10068" s="7"/>
      <c r="D10068" s="7"/>
    </row>
    <row r="10069" spans="1:4" ht="12.75" customHeight="1" x14ac:dyDescent="0.2">
      <c r="A10069" s="21"/>
      <c r="B10069" s="3" t="s">
        <v>0</v>
      </c>
      <c r="C10069" s="23" t="s">
        <v>253</v>
      </c>
      <c r="D10069" s="21"/>
    </row>
    <row r="10070" spans="1:4" ht="12.75" customHeight="1" x14ac:dyDescent="0.2">
      <c r="A10070" s="21"/>
      <c r="B10070" s="3" t="s">
        <v>2</v>
      </c>
      <c r="C10070" s="23"/>
      <c r="D10070" s="21"/>
    </row>
    <row r="10071" spans="1:4" ht="12.75" customHeight="1" x14ac:dyDescent="0.2">
      <c r="A10071" s="21"/>
      <c r="B10071" s="3" t="s">
        <v>1840</v>
      </c>
      <c r="C10071" s="23" t="s">
        <v>1786</v>
      </c>
      <c r="D10071" s="21"/>
    </row>
    <row r="10072" spans="1:4" ht="12.75" customHeight="1" x14ac:dyDescent="0.2">
      <c r="A10072" s="21"/>
      <c r="B10072" s="3" t="s">
        <v>9</v>
      </c>
      <c r="C10072" s="23" t="s">
        <v>172</v>
      </c>
      <c r="D10072" s="21"/>
    </row>
    <row r="10073" spans="1:4" ht="12.75" customHeight="1" x14ac:dyDescent="0.2">
      <c r="A10073" s="21"/>
      <c r="B10073" s="3" t="s">
        <v>11</v>
      </c>
      <c r="C10073" s="23" t="s">
        <v>1071</v>
      </c>
      <c r="D10073" s="21"/>
    </row>
    <row r="10074" spans="1:4" ht="12.75" customHeight="1" x14ac:dyDescent="0.2">
      <c r="A10074" s="21"/>
      <c r="B10074" s="3" t="s">
        <v>16</v>
      </c>
      <c r="C10074" s="23"/>
      <c r="D10074" s="21"/>
    </row>
    <row r="10075" spans="1:4" ht="12.75" customHeight="1" x14ac:dyDescent="0.2">
      <c r="A10075" s="21"/>
      <c r="B10075" s="3" t="s">
        <v>17</v>
      </c>
      <c r="C10075" s="23" t="s">
        <v>19</v>
      </c>
      <c r="D10075" s="21"/>
    </row>
    <row r="10076" spans="1:4" ht="12.75" customHeight="1" x14ac:dyDescent="0.2">
      <c r="A10076" s="21"/>
      <c r="B10076" s="20" t="s">
        <v>18</v>
      </c>
      <c r="C10076" s="8" t="s">
        <v>44</v>
      </c>
      <c r="D10076" s="1" t="str">
        <f>HYPERLINK("javascript:void(0)","arany mokaszin")</f>
        <v>arany mokaszin</v>
      </c>
    </row>
    <row r="10077" spans="1:4" ht="12.75" customHeight="1" x14ac:dyDescent="0.2">
      <c r="A10077" s="21"/>
      <c r="B10077" s="21"/>
      <c r="C10077" s="8" t="s">
        <v>44</v>
      </c>
      <c r="D10077" s="1" t="str">
        <f>HYPERLINK("javascript:void(0)","smaragd mokaszin")</f>
        <v>smaragd mokaszin</v>
      </c>
    </row>
    <row r="10078" spans="1:4" ht="12.75" customHeight="1" x14ac:dyDescent="0.2">
      <c r="A10078" s="21"/>
      <c r="B10078" s="21"/>
      <c r="C10078" s="8" t="s">
        <v>44</v>
      </c>
      <c r="D10078" s="1" t="str">
        <f>HYPERLINK("javascript:void(0)","rubin fűző")</f>
        <v>rubin fűző</v>
      </c>
    </row>
    <row r="10079" spans="1:4" ht="12.75" customHeight="1" x14ac:dyDescent="0.2">
      <c r="A10079" s="21"/>
      <c r="B10079" s="2"/>
      <c r="C10079" s="7"/>
      <c r="D10079" s="7"/>
    </row>
    <row r="10080" spans="1:4" ht="12.75" customHeight="1" x14ac:dyDescent="0.2">
      <c r="A10080" s="21"/>
      <c r="B10080" s="2"/>
      <c r="C10080" s="7"/>
      <c r="D10080" s="7"/>
    </row>
    <row r="10081" spans="1:4" ht="12.75" customHeight="1" x14ac:dyDescent="0.2">
      <c r="A10081" s="21"/>
      <c r="B10081" s="2"/>
      <c r="C10081" s="7"/>
      <c r="D10081" s="7"/>
    </row>
    <row r="10082" spans="1:4" ht="12.75" customHeight="1" x14ac:dyDescent="0.2">
      <c r="A10082" s="21"/>
      <c r="B10082" s="2"/>
      <c r="C10082" s="7"/>
      <c r="D10082" s="7"/>
    </row>
    <row r="10083" spans="1:4" ht="12.75" customHeight="1" x14ac:dyDescent="0.2">
      <c r="A10083" s="5"/>
      <c r="B10083" s="2"/>
      <c r="C10083" s="7"/>
      <c r="D10083" s="7"/>
    </row>
    <row r="10084" spans="1:4" ht="12.75" customHeight="1" x14ac:dyDescent="0.2">
      <c r="A10084" s="22" t="str">
        <f>HYPERLINK("javascript:void(0)","csiga testpajzs")</f>
        <v>csiga testpajzs</v>
      </c>
      <c r="B10084" s="21"/>
      <c r="C10084" s="21"/>
      <c r="D10084" s="21"/>
    </row>
    <row r="10085" spans="1:4" ht="12.75" customHeight="1" x14ac:dyDescent="0.2">
      <c r="A10085" s="20"/>
      <c r="B10085" s="2"/>
      <c r="C10085" s="7"/>
      <c r="D10085" s="7"/>
    </row>
    <row r="10086" spans="1:4" ht="12.75" customHeight="1" x14ac:dyDescent="0.2">
      <c r="A10086" s="21"/>
      <c r="B10086" s="3" t="s">
        <v>0</v>
      </c>
      <c r="C10086" s="23" t="s">
        <v>253</v>
      </c>
      <c r="D10086" s="21"/>
    </row>
    <row r="10087" spans="1:4" ht="12.75" customHeight="1" x14ac:dyDescent="0.2">
      <c r="A10087" s="21"/>
      <c r="B10087" s="3" t="s">
        <v>2</v>
      </c>
      <c r="C10087" s="23" t="s">
        <v>1839</v>
      </c>
      <c r="D10087" s="21"/>
    </row>
    <row r="10088" spans="1:4" ht="12.75" customHeight="1" x14ac:dyDescent="0.2">
      <c r="A10088" s="21"/>
      <c r="B10088" s="3" t="s">
        <v>1840</v>
      </c>
      <c r="C10088" s="23" t="s">
        <v>4369</v>
      </c>
      <c r="D10088" s="21"/>
    </row>
    <row r="10089" spans="1:4" ht="12.75" customHeight="1" x14ac:dyDescent="0.2">
      <c r="A10089" s="21"/>
      <c r="B10089" s="3" t="s">
        <v>9</v>
      </c>
      <c r="C10089" s="23" t="s">
        <v>549</v>
      </c>
      <c r="D10089" s="21"/>
    </row>
    <row r="10090" spans="1:4" ht="12.75" customHeight="1" x14ac:dyDescent="0.2">
      <c r="A10090" s="21"/>
      <c r="B10090" s="3" t="s">
        <v>11</v>
      </c>
      <c r="C10090" s="23" t="s">
        <v>1177</v>
      </c>
      <c r="D10090" s="21"/>
    </row>
    <row r="10091" spans="1:4" ht="12.75" customHeight="1" x14ac:dyDescent="0.2">
      <c r="A10091" s="21"/>
      <c r="B10091" s="3" t="s">
        <v>16</v>
      </c>
      <c r="C10091" s="23"/>
      <c r="D10091" s="21"/>
    </row>
    <row r="10092" spans="1:4" ht="12.75" customHeight="1" x14ac:dyDescent="0.2">
      <c r="A10092" s="21"/>
      <c r="B10092" s="3" t="s">
        <v>17</v>
      </c>
      <c r="C10092" s="23" t="s">
        <v>19</v>
      </c>
      <c r="D10092" s="21"/>
    </row>
    <row r="10093" spans="1:4" ht="12.75" customHeight="1" x14ac:dyDescent="0.2">
      <c r="A10093" s="21"/>
      <c r="B10093" s="20" t="s">
        <v>18</v>
      </c>
      <c r="C10093" s="8" t="s">
        <v>44</v>
      </c>
      <c r="D10093" s="1" t="str">
        <f>HYPERLINK("javascript:void(0)","színjátszó testpajzs")</f>
        <v>színjátszó testpajzs</v>
      </c>
    </row>
    <row r="10094" spans="1:4" ht="12.75" customHeight="1" x14ac:dyDescent="0.2">
      <c r="A10094" s="21"/>
      <c r="B10094" s="21"/>
      <c r="C10094" s="8" t="s">
        <v>139</v>
      </c>
      <c r="D10094" s="1" t="str">
        <f>HYPERLINK("javascript:void(0)","csigaszem")</f>
        <v>csigaszem</v>
      </c>
    </row>
    <row r="10095" spans="1:4" ht="12.75" customHeight="1" x14ac:dyDescent="0.2">
      <c r="A10095" s="21"/>
      <c r="B10095" s="21"/>
      <c r="C10095" s="8" t="s">
        <v>244</v>
      </c>
      <c r="D10095" s="1" t="str">
        <f>HYPERLINK("javascript:void(0)","térszelet")</f>
        <v>térszelet</v>
      </c>
    </row>
    <row r="10096" spans="1:4" ht="12.75" customHeight="1" x14ac:dyDescent="0.2">
      <c r="A10096" s="21"/>
      <c r="B10096" s="2"/>
      <c r="C10096" s="7"/>
      <c r="D10096" s="7"/>
    </row>
    <row r="10097" spans="1:4" ht="12.75" customHeight="1" x14ac:dyDescent="0.2">
      <c r="A10097" s="21"/>
      <c r="B10097" s="2"/>
      <c r="C10097" s="7"/>
      <c r="D10097" s="7"/>
    </row>
    <row r="10098" spans="1:4" ht="12.75" customHeight="1" x14ac:dyDescent="0.2">
      <c r="A10098" s="21"/>
      <c r="B10098" s="2"/>
      <c r="C10098" s="7"/>
      <c r="D10098" s="7"/>
    </row>
    <row r="10099" spans="1:4" ht="12.75" customHeight="1" x14ac:dyDescent="0.2">
      <c r="A10099" s="21"/>
      <c r="B10099" s="2"/>
      <c r="C10099" s="7"/>
      <c r="D10099" s="7"/>
    </row>
    <row r="10100" spans="1:4" ht="12.75" customHeight="1" x14ac:dyDescent="0.2">
      <c r="A10100" s="5"/>
      <c r="B10100" s="2"/>
      <c r="C10100" s="7"/>
      <c r="D10100" s="7"/>
    </row>
    <row r="10101" spans="1:4" ht="12.75" customHeight="1" x14ac:dyDescent="0.2">
      <c r="A10101" s="22" t="str">
        <f>HYPERLINK("javascript:void(0)","thordi illanat")</f>
        <v>thordi illanat</v>
      </c>
      <c r="B10101" s="21"/>
      <c r="C10101" s="21"/>
      <c r="D10101" s="21"/>
    </row>
    <row r="10102" spans="1:4" ht="12.75" customHeight="1" x14ac:dyDescent="0.2">
      <c r="A10102" s="20"/>
      <c r="B10102" s="2"/>
      <c r="C10102" s="7"/>
      <c r="D10102" s="7"/>
    </row>
    <row r="10103" spans="1:4" ht="12.75" customHeight="1" x14ac:dyDescent="0.2">
      <c r="A10103" s="21"/>
      <c r="B10103" s="3" t="s">
        <v>0</v>
      </c>
      <c r="C10103" s="23" t="s">
        <v>253</v>
      </c>
      <c r="D10103" s="21"/>
    </row>
    <row r="10104" spans="1:4" ht="12.75" customHeight="1" x14ac:dyDescent="0.2">
      <c r="A10104" s="21"/>
      <c r="B10104" s="3" t="s">
        <v>2</v>
      </c>
      <c r="C10104" s="23" t="s">
        <v>1839</v>
      </c>
      <c r="D10104" s="21"/>
    </row>
    <row r="10105" spans="1:4" ht="12.75" customHeight="1" x14ac:dyDescent="0.2">
      <c r="A10105" s="21"/>
      <c r="B10105" s="3" t="s">
        <v>1840</v>
      </c>
      <c r="C10105" s="23" t="s">
        <v>4369</v>
      </c>
      <c r="D10105" s="21"/>
    </row>
    <row r="10106" spans="1:4" ht="12.75" customHeight="1" x14ac:dyDescent="0.2">
      <c r="A10106" s="21"/>
      <c r="B10106" s="3" t="s">
        <v>9</v>
      </c>
      <c r="C10106" s="23" t="s">
        <v>1025</v>
      </c>
      <c r="D10106" s="21"/>
    </row>
    <row r="10107" spans="1:4" ht="12.75" customHeight="1" x14ac:dyDescent="0.2">
      <c r="A10107" s="21"/>
      <c r="B10107" s="3" t="s">
        <v>11</v>
      </c>
      <c r="C10107" s="23" t="s">
        <v>1190</v>
      </c>
      <c r="D10107" s="21"/>
    </row>
    <row r="10108" spans="1:4" ht="12.75" customHeight="1" x14ac:dyDescent="0.2">
      <c r="A10108" s="21"/>
      <c r="B10108" s="3" t="s">
        <v>16</v>
      </c>
      <c r="C10108" s="23"/>
      <c r="D10108" s="21"/>
    </row>
    <row r="10109" spans="1:4" ht="12.75" customHeight="1" x14ac:dyDescent="0.2">
      <c r="A10109" s="21"/>
      <c r="B10109" s="3" t="s">
        <v>17</v>
      </c>
      <c r="C10109" s="23" t="s">
        <v>19</v>
      </c>
      <c r="D10109" s="21"/>
    </row>
    <row r="10110" spans="1:4" ht="12.75" customHeight="1" x14ac:dyDescent="0.2">
      <c r="A10110" s="21"/>
      <c r="B10110" s="20" t="s">
        <v>18</v>
      </c>
      <c r="C10110" s="8" t="s">
        <v>44</v>
      </c>
      <c r="D10110" s="1" t="str">
        <f>HYPERLINK("javascript:void(0)","csiga testpajzs")</f>
        <v>csiga testpajzs</v>
      </c>
    </row>
    <row r="10111" spans="1:4" ht="12.75" customHeight="1" x14ac:dyDescent="0.2">
      <c r="A10111" s="21"/>
      <c r="B10111" s="21"/>
      <c r="C10111" s="8" t="s">
        <v>382</v>
      </c>
      <c r="D10111" s="1" t="str">
        <f>HYPERLINK("javascript:void(0)","vitorla")</f>
        <v>vitorla</v>
      </c>
    </row>
    <row r="10112" spans="1:4" ht="12.75" customHeight="1" x14ac:dyDescent="0.2">
      <c r="A10112" s="21"/>
      <c r="B10112" s="21"/>
      <c r="C10112" s="8" t="s">
        <v>1085</v>
      </c>
      <c r="D10112" s="1" t="str">
        <f>HYPERLINK("javascript:void(0)","serte")</f>
        <v>serte</v>
      </c>
    </row>
    <row r="10113" spans="1:4" ht="12.75" customHeight="1" x14ac:dyDescent="0.2">
      <c r="A10113" s="21"/>
      <c r="B10113" s="2"/>
      <c r="C10113" s="7"/>
      <c r="D10113" s="7"/>
    </row>
    <row r="10114" spans="1:4" ht="12.75" customHeight="1" x14ac:dyDescent="0.2">
      <c r="A10114" s="21"/>
      <c r="B10114" s="2"/>
      <c r="C10114" s="7"/>
      <c r="D10114" s="7"/>
    </row>
    <row r="10115" spans="1:4" ht="12.75" customHeight="1" x14ac:dyDescent="0.2">
      <c r="A10115" s="21"/>
      <c r="B10115" s="2"/>
      <c r="C10115" s="7"/>
      <c r="D10115" s="7"/>
    </row>
    <row r="10116" spans="1:4" ht="12.75" customHeight="1" x14ac:dyDescent="0.2">
      <c r="A10116" s="21"/>
      <c r="B10116" s="2"/>
      <c r="C10116" s="7"/>
      <c r="D10116" s="7"/>
    </row>
    <row r="10117" spans="1:4" ht="12.75" customHeight="1" x14ac:dyDescent="0.2">
      <c r="A10117" s="5"/>
      <c r="B10117" s="2"/>
      <c r="C10117" s="7"/>
      <c r="D10117" s="7"/>
    </row>
    <row r="10118" spans="1:4" ht="12.75" customHeight="1" x14ac:dyDescent="0.2">
      <c r="A10118" s="22" t="str">
        <f>HYPERLINK("javascript:void(0)","rubin fűző")</f>
        <v>rubin fűző</v>
      </c>
      <c r="B10118" s="21"/>
      <c r="C10118" s="21"/>
      <c r="D10118" s="21"/>
    </row>
    <row r="10119" spans="1:4" ht="12.75" customHeight="1" x14ac:dyDescent="0.2">
      <c r="A10119" s="20"/>
      <c r="B10119" s="2"/>
      <c r="C10119" s="7"/>
      <c r="D10119" s="7"/>
    </row>
    <row r="10120" spans="1:4" ht="12.75" customHeight="1" x14ac:dyDescent="0.2">
      <c r="A10120" s="21"/>
      <c r="B10120" s="3" t="s">
        <v>0</v>
      </c>
      <c r="C10120" s="23" t="s">
        <v>253</v>
      </c>
      <c r="D10120" s="21"/>
    </row>
    <row r="10121" spans="1:4" ht="12.75" customHeight="1" x14ac:dyDescent="0.2">
      <c r="A10121" s="21"/>
      <c r="B10121" s="3" t="s">
        <v>2</v>
      </c>
      <c r="C10121" s="23" t="s">
        <v>2322</v>
      </c>
      <c r="D10121" s="21"/>
    </row>
    <row r="10122" spans="1:4" ht="12.75" customHeight="1" x14ac:dyDescent="0.2">
      <c r="A10122" s="21"/>
      <c r="B10122" s="3" t="s">
        <v>1840</v>
      </c>
      <c r="C10122" s="23" t="s">
        <v>417</v>
      </c>
      <c r="D10122" s="21"/>
    </row>
    <row r="10123" spans="1:4" ht="12.75" customHeight="1" x14ac:dyDescent="0.2">
      <c r="A10123" s="21"/>
      <c r="B10123" s="3" t="s">
        <v>9</v>
      </c>
      <c r="C10123" s="23" t="s">
        <v>42</v>
      </c>
      <c r="D10123" s="21"/>
    </row>
    <row r="10124" spans="1:4" ht="12.75" customHeight="1" x14ac:dyDescent="0.2">
      <c r="A10124" s="21"/>
      <c r="B10124" s="3" t="s">
        <v>11</v>
      </c>
      <c r="C10124" s="23" t="s">
        <v>368</v>
      </c>
      <c r="D10124" s="21"/>
    </row>
    <row r="10125" spans="1:4" ht="12.75" customHeight="1" x14ac:dyDescent="0.2">
      <c r="A10125" s="21"/>
      <c r="B10125" s="3" t="s">
        <v>16</v>
      </c>
      <c r="C10125" s="23"/>
      <c r="D10125" s="21"/>
    </row>
    <row r="10126" spans="1:4" ht="12.75" customHeight="1" x14ac:dyDescent="0.2">
      <c r="A10126" s="21"/>
      <c r="B10126" s="3" t="s">
        <v>17</v>
      </c>
      <c r="C10126" s="23" t="s">
        <v>19</v>
      </c>
      <c r="D10126" s="21"/>
    </row>
    <row r="10127" spans="1:4" ht="12.75" customHeight="1" x14ac:dyDescent="0.2">
      <c r="A10127" s="21"/>
      <c r="B10127" s="20" t="s">
        <v>18</v>
      </c>
      <c r="C10127" s="8" t="s">
        <v>323</v>
      </c>
      <c r="D10127" s="1" t="str">
        <f>HYPERLINK("javascript:void(0)","rubin")</f>
        <v>rubin</v>
      </c>
    </row>
    <row r="10128" spans="1:4" ht="12.75" customHeight="1" x14ac:dyDescent="0.2">
      <c r="A10128" s="21"/>
      <c r="B10128" s="21"/>
      <c r="C10128" s="8" t="s">
        <v>139</v>
      </c>
      <c r="D10128" s="1" t="str">
        <f>HYPERLINK("javascript:void(0)","vitorla")</f>
        <v>vitorla</v>
      </c>
    </row>
    <row r="10129" spans="1:4" ht="12.75" customHeight="1" x14ac:dyDescent="0.2">
      <c r="A10129" s="21"/>
      <c r="B10129" s="21"/>
      <c r="C10129" s="8" t="s">
        <v>98</v>
      </c>
      <c r="D10129" s="1" t="str">
        <f>HYPERLINK("javascript:void(0)","fókaprém")</f>
        <v>fókaprém</v>
      </c>
    </row>
    <row r="10130" spans="1:4" ht="12.75" customHeight="1" x14ac:dyDescent="0.2">
      <c r="A10130" s="21"/>
      <c r="B10130" s="2"/>
      <c r="C10130" s="7"/>
      <c r="D10130" s="7"/>
    </row>
    <row r="10131" spans="1:4" ht="12.75" customHeight="1" x14ac:dyDescent="0.2">
      <c r="A10131" s="21"/>
      <c r="B10131" s="2"/>
      <c r="C10131" s="7"/>
      <c r="D10131" s="7"/>
    </row>
    <row r="10132" spans="1:4" ht="12.75" customHeight="1" x14ac:dyDescent="0.2">
      <c r="A10132" s="21"/>
      <c r="B10132" s="2"/>
      <c r="C10132" s="7"/>
      <c r="D10132" s="7"/>
    </row>
    <row r="10133" spans="1:4" ht="12.75" customHeight="1" x14ac:dyDescent="0.2">
      <c r="A10133" s="21"/>
      <c r="B10133" s="2"/>
      <c r="C10133" s="7"/>
      <c r="D10133" s="7"/>
    </row>
    <row r="10134" spans="1:4" ht="12.75" customHeight="1" x14ac:dyDescent="0.2">
      <c r="A10134" s="5"/>
      <c r="B10134" s="2"/>
      <c r="C10134" s="7"/>
      <c r="D10134" s="7"/>
    </row>
    <row r="10135" spans="1:4" ht="12.75" customHeight="1" x14ac:dyDescent="0.2">
      <c r="A10135" s="22" t="str">
        <f>HYPERLINK("javascript:void(0)","teljes hipervért")</f>
        <v>teljes hipervért</v>
      </c>
      <c r="B10135" s="21"/>
      <c r="C10135" s="21"/>
      <c r="D10135" s="21"/>
    </row>
    <row r="10136" spans="1:4" ht="12.75" customHeight="1" x14ac:dyDescent="0.2">
      <c r="A10136" s="20"/>
      <c r="B10136" s="2"/>
      <c r="C10136" s="7"/>
      <c r="D10136" s="7"/>
    </row>
    <row r="10137" spans="1:4" ht="12.75" customHeight="1" x14ac:dyDescent="0.2">
      <c r="A10137" s="21"/>
      <c r="B10137" s="3" t="s">
        <v>0</v>
      </c>
      <c r="C10137" s="23" t="s">
        <v>773</v>
      </c>
      <c r="D10137" s="21"/>
    </row>
    <row r="10138" spans="1:4" ht="12.75" customHeight="1" x14ac:dyDescent="0.2">
      <c r="A10138" s="21"/>
      <c r="B10138" s="3" t="s">
        <v>2</v>
      </c>
      <c r="C10138" s="23" t="s">
        <v>2322</v>
      </c>
      <c r="D10138" s="21"/>
    </row>
    <row r="10139" spans="1:4" ht="12.75" customHeight="1" x14ac:dyDescent="0.2">
      <c r="A10139" s="21"/>
      <c r="B10139" s="3" t="s">
        <v>1840</v>
      </c>
      <c r="C10139" s="23" t="s">
        <v>2474</v>
      </c>
      <c r="D10139" s="21"/>
    </row>
    <row r="10140" spans="1:4" ht="12.75" customHeight="1" x14ac:dyDescent="0.2">
      <c r="A10140" s="21"/>
      <c r="B10140" s="3" t="s">
        <v>9</v>
      </c>
      <c r="C10140" s="23" t="s">
        <v>2475</v>
      </c>
      <c r="D10140" s="21"/>
    </row>
    <row r="10141" spans="1:4" ht="12.75" customHeight="1" x14ac:dyDescent="0.2">
      <c r="A10141" s="21"/>
      <c r="B10141" s="3" t="s">
        <v>11</v>
      </c>
      <c r="C10141" s="23" t="s">
        <v>1055</v>
      </c>
      <c r="D10141" s="21"/>
    </row>
    <row r="10142" spans="1:4" ht="12.75" customHeight="1" x14ac:dyDescent="0.2">
      <c r="A10142" s="21"/>
      <c r="B10142" s="3" t="s">
        <v>16</v>
      </c>
      <c r="C10142" s="23"/>
      <c r="D10142" s="21"/>
    </row>
    <row r="10143" spans="1:4" ht="12.75" customHeight="1" x14ac:dyDescent="0.2">
      <c r="A10143" s="21"/>
      <c r="B10143" s="3" t="s">
        <v>17</v>
      </c>
      <c r="C10143" s="23" t="s">
        <v>19</v>
      </c>
      <c r="D10143" s="21"/>
    </row>
    <row r="10144" spans="1:4" ht="12.75" customHeight="1" x14ac:dyDescent="0.2">
      <c r="A10144" s="21"/>
      <c r="B10144" s="20" t="s">
        <v>18</v>
      </c>
      <c r="C10144" s="8" t="s">
        <v>44</v>
      </c>
      <c r="D10144" s="1" t="str">
        <f>HYPERLINK("javascript:void(0)","teljes centrovért")</f>
        <v>teljes centrovért</v>
      </c>
    </row>
    <row r="10145" spans="1:4" ht="12.75" customHeight="1" x14ac:dyDescent="0.2">
      <c r="A10145" s="21"/>
      <c r="B10145" s="21"/>
      <c r="C10145" s="8" t="s">
        <v>44</v>
      </c>
      <c r="D10145" s="1" t="str">
        <f>HYPERLINK("javascript:void(0)","teljes kithrillvért")</f>
        <v>teljes kithrillvért</v>
      </c>
    </row>
    <row r="10146" spans="1:4" ht="12.75" customHeight="1" x14ac:dyDescent="0.2">
      <c r="A10146" s="21"/>
      <c r="B10146" s="21"/>
      <c r="C10146" s="8" t="s">
        <v>44</v>
      </c>
      <c r="D10146" s="1" t="str">
        <f>HYPERLINK("javascript:void(0)","hiper vállap")</f>
        <v>hiper vállap</v>
      </c>
    </row>
    <row r="10147" spans="1:4" ht="12.75" customHeight="1" x14ac:dyDescent="0.2">
      <c r="A10147" s="21"/>
      <c r="B10147" s="2"/>
      <c r="C10147" s="7"/>
      <c r="D10147" s="7"/>
    </row>
    <row r="10148" spans="1:4" ht="12.75" customHeight="1" x14ac:dyDescent="0.2">
      <c r="A10148" s="21"/>
      <c r="B10148" s="2"/>
      <c r="C10148" s="7"/>
      <c r="D10148" s="7"/>
    </row>
    <row r="10149" spans="1:4" ht="12.75" customHeight="1" x14ac:dyDescent="0.2">
      <c r="A10149" s="21"/>
      <c r="B10149" s="2"/>
      <c r="C10149" s="7"/>
      <c r="D10149" s="7"/>
    </row>
    <row r="10150" spans="1:4" ht="12.75" customHeight="1" x14ac:dyDescent="0.2">
      <c r="A10150" s="21"/>
      <c r="B10150" s="2"/>
      <c r="C10150" s="7"/>
      <c r="D10150" s="7"/>
    </row>
    <row r="10151" spans="1:4" ht="12.75" customHeight="1" x14ac:dyDescent="0.2">
      <c r="A10151" s="5"/>
      <c r="B10151" s="2"/>
      <c r="C10151" s="7"/>
      <c r="D10151" s="7"/>
    </row>
    <row r="10152" spans="1:4" ht="12.75" customHeight="1" x14ac:dyDescent="0.2">
      <c r="A10152" s="22" t="str">
        <f>HYPERLINK("javascript:void(0)","wattasisak")</f>
        <v>wattasisak</v>
      </c>
      <c r="B10152" s="21"/>
      <c r="C10152" s="21"/>
      <c r="D10152" s="21"/>
    </row>
    <row r="10153" spans="1:4" ht="12.75" customHeight="1" x14ac:dyDescent="0.2">
      <c r="A10153" s="20"/>
      <c r="B10153" s="2"/>
      <c r="C10153" s="7"/>
      <c r="D10153" s="7"/>
    </row>
    <row r="10154" spans="1:4" ht="12.75" customHeight="1" x14ac:dyDescent="0.2">
      <c r="A10154" s="21"/>
      <c r="B10154" s="3" t="s">
        <v>0</v>
      </c>
      <c r="C10154" s="23" t="s">
        <v>773</v>
      </c>
      <c r="D10154" s="21"/>
    </row>
    <row r="10155" spans="1:4" ht="12.75" customHeight="1" x14ac:dyDescent="0.2">
      <c r="A10155" s="21"/>
      <c r="B10155" s="3" t="s">
        <v>2</v>
      </c>
      <c r="C10155" s="23"/>
      <c r="D10155" s="21"/>
    </row>
    <row r="10156" spans="1:4" ht="12.75" customHeight="1" x14ac:dyDescent="0.2">
      <c r="A10156" s="21"/>
      <c r="B10156" s="3" t="s">
        <v>1840</v>
      </c>
      <c r="C10156" s="23" t="s">
        <v>432</v>
      </c>
      <c r="D10156" s="21"/>
    </row>
    <row r="10157" spans="1:4" ht="12.75" customHeight="1" x14ac:dyDescent="0.2">
      <c r="A10157" s="21"/>
      <c r="B10157" s="3" t="s">
        <v>9</v>
      </c>
      <c r="C10157" s="23" t="s">
        <v>1737</v>
      </c>
      <c r="D10157" s="21"/>
    </row>
    <row r="10158" spans="1:4" ht="12.75" customHeight="1" x14ac:dyDescent="0.2">
      <c r="A10158" s="21"/>
      <c r="B10158" s="3" t="s">
        <v>11</v>
      </c>
      <c r="C10158" s="23" t="s">
        <v>1055</v>
      </c>
      <c r="D10158" s="21"/>
    </row>
    <row r="10159" spans="1:4" ht="12.75" customHeight="1" x14ac:dyDescent="0.2">
      <c r="A10159" s="21"/>
      <c r="B10159" s="3" t="s">
        <v>16</v>
      </c>
      <c r="C10159" s="23"/>
      <c r="D10159" s="21"/>
    </row>
    <row r="10160" spans="1:4" ht="12.75" customHeight="1" x14ac:dyDescent="0.2">
      <c r="A10160" s="21"/>
      <c r="B10160" s="3" t="s">
        <v>17</v>
      </c>
      <c r="C10160" s="23" t="s">
        <v>19</v>
      </c>
      <c r="D10160" s="21"/>
    </row>
    <row r="10161" spans="1:4" ht="12.75" customHeight="1" x14ac:dyDescent="0.2">
      <c r="A10161" s="21"/>
      <c r="B10161" s="20" t="s">
        <v>18</v>
      </c>
      <c r="C10161" s="8" t="s">
        <v>232</v>
      </c>
      <c r="D10161" s="1" t="str">
        <f>HYPERLINK("javascript:void(0)","wattacsomó")</f>
        <v>wattacsomó</v>
      </c>
    </row>
    <row r="10162" spans="1:4" ht="12.75" customHeight="1" x14ac:dyDescent="0.2">
      <c r="A10162" s="21"/>
      <c r="B10162" s="21"/>
      <c r="C10162" s="8" t="s">
        <v>290</v>
      </c>
      <c r="D10162" s="1" t="str">
        <f>HYPERLINK("javascript:void(0)","teleportige")</f>
        <v>teleportige</v>
      </c>
    </row>
    <row r="10163" spans="1:4" ht="12.75" customHeight="1" x14ac:dyDescent="0.2">
      <c r="A10163" s="21"/>
      <c r="B10163" s="21"/>
      <c r="C10163" s="8" t="s">
        <v>139</v>
      </c>
      <c r="D10163" s="1" t="str">
        <f>HYPERLINK("javascript:void(0)","gőg")</f>
        <v>gőg</v>
      </c>
    </row>
    <row r="10164" spans="1:4" ht="12.75" customHeight="1" x14ac:dyDescent="0.2">
      <c r="A10164" s="21"/>
      <c r="B10164" s="2"/>
      <c r="C10164" s="7"/>
      <c r="D10164" s="7"/>
    </row>
    <row r="10165" spans="1:4" ht="12.75" customHeight="1" x14ac:dyDescent="0.2">
      <c r="A10165" s="21"/>
      <c r="B10165" s="2"/>
      <c r="C10165" s="7"/>
      <c r="D10165" s="7"/>
    </row>
    <row r="10166" spans="1:4" ht="12.75" customHeight="1" x14ac:dyDescent="0.2">
      <c r="A10166" s="21"/>
      <c r="B10166" s="2"/>
      <c r="C10166" s="7"/>
      <c r="D10166" s="7"/>
    </row>
    <row r="10167" spans="1:4" ht="12.75" customHeight="1" x14ac:dyDescent="0.2">
      <c r="A10167" s="21"/>
      <c r="B10167" s="2"/>
      <c r="C10167" s="7"/>
      <c r="D10167" s="7"/>
    </row>
    <row r="10168" spans="1:4" ht="12.75" customHeight="1" x14ac:dyDescent="0.2">
      <c r="A10168" s="5"/>
      <c r="B10168" s="2"/>
      <c r="C10168" s="7"/>
      <c r="D10168" s="7"/>
    </row>
    <row r="10169" spans="1:4" ht="12.75" customHeight="1" x14ac:dyDescent="0.2">
      <c r="A10169" s="22" t="str">
        <f>HYPERLINK("javascript:void(0)","gyémánt mokaszin")</f>
        <v>gyémánt mokaszin</v>
      </c>
      <c r="B10169" s="21"/>
      <c r="C10169" s="21"/>
      <c r="D10169" s="21"/>
    </row>
    <row r="10170" spans="1:4" ht="12.75" customHeight="1" x14ac:dyDescent="0.2">
      <c r="A10170" s="20"/>
      <c r="B10170" s="2"/>
      <c r="C10170" s="7"/>
      <c r="D10170" s="7"/>
    </row>
    <row r="10171" spans="1:4" ht="12.75" customHeight="1" x14ac:dyDescent="0.2">
      <c r="A10171" s="21"/>
      <c r="B10171" s="3" t="s">
        <v>0</v>
      </c>
      <c r="C10171" s="23" t="s">
        <v>773</v>
      </c>
      <c r="D10171" s="21"/>
    </row>
    <row r="10172" spans="1:4" ht="12.75" customHeight="1" x14ac:dyDescent="0.2">
      <c r="A10172" s="21"/>
      <c r="B10172" s="3" t="s">
        <v>2</v>
      </c>
      <c r="C10172" s="23"/>
      <c r="D10172" s="21"/>
    </row>
    <row r="10173" spans="1:4" ht="12.75" customHeight="1" x14ac:dyDescent="0.2">
      <c r="A10173" s="21"/>
      <c r="B10173" s="3" t="s">
        <v>1840</v>
      </c>
      <c r="C10173" s="23" t="s">
        <v>2078</v>
      </c>
      <c r="D10173" s="21"/>
    </row>
    <row r="10174" spans="1:4" ht="12.75" customHeight="1" x14ac:dyDescent="0.2">
      <c r="A10174" s="21"/>
      <c r="B10174" s="3" t="s">
        <v>9</v>
      </c>
      <c r="C10174" s="23" t="s">
        <v>2079</v>
      </c>
      <c r="D10174" s="21"/>
    </row>
    <row r="10175" spans="1:4" ht="12.75" customHeight="1" x14ac:dyDescent="0.2">
      <c r="A10175" s="21"/>
      <c r="B10175" s="3" t="s">
        <v>11</v>
      </c>
      <c r="C10175" s="23" t="s">
        <v>1090</v>
      </c>
      <c r="D10175" s="21"/>
    </row>
    <row r="10176" spans="1:4" ht="12.75" customHeight="1" x14ac:dyDescent="0.2">
      <c r="A10176" s="21"/>
      <c r="B10176" s="3" t="s">
        <v>16</v>
      </c>
      <c r="C10176" s="23"/>
      <c r="D10176" s="21"/>
    </row>
    <row r="10177" spans="1:4" ht="12.75" customHeight="1" x14ac:dyDescent="0.2">
      <c r="A10177" s="21"/>
      <c r="B10177" s="3" t="s">
        <v>17</v>
      </c>
      <c r="C10177" s="23" t="s">
        <v>19</v>
      </c>
      <c r="D10177" s="21"/>
    </row>
    <row r="10178" spans="1:4" ht="12.75" customHeight="1" x14ac:dyDescent="0.2">
      <c r="A10178" s="21"/>
      <c r="B10178" s="20" t="s">
        <v>18</v>
      </c>
      <c r="C10178" s="8" t="s">
        <v>44</v>
      </c>
      <c r="D10178" s="1" t="str">
        <f>HYPERLINK("javascript:void(0)","rubin mokaszin")</f>
        <v>rubin mokaszin</v>
      </c>
    </row>
    <row r="10179" spans="1:4" ht="12.75" customHeight="1" x14ac:dyDescent="0.2">
      <c r="A10179" s="21"/>
      <c r="B10179" s="21"/>
      <c r="C10179" s="8" t="s">
        <v>323</v>
      </c>
      <c r="D10179" s="1" t="str">
        <f>HYPERLINK("javascript:void(0)","gyémánt")</f>
        <v>gyémánt</v>
      </c>
    </row>
    <row r="10180" spans="1:4" ht="12.75" customHeight="1" x14ac:dyDescent="0.2">
      <c r="A10180" s="21"/>
      <c r="B10180" s="21"/>
      <c r="C10180" s="8" t="s">
        <v>55</v>
      </c>
      <c r="D10180" s="1" t="str">
        <f>HYPERLINK("javascript:void(0)","lexikon")</f>
        <v>lexikon</v>
      </c>
    </row>
    <row r="10181" spans="1:4" ht="12.75" customHeight="1" x14ac:dyDescent="0.2">
      <c r="A10181" s="21"/>
      <c r="B10181" s="2"/>
      <c r="C10181" s="7"/>
      <c r="D10181" s="7"/>
    </row>
    <row r="10182" spans="1:4" ht="12.75" customHeight="1" x14ac:dyDescent="0.2">
      <c r="A10182" s="21"/>
      <c r="B10182" s="2"/>
      <c r="C10182" s="7"/>
      <c r="D10182" s="7"/>
    </row>
    <row r="10183" spans="1:4" ht="12.75" customHeight="1" x14ac:dyDescent="0.2">
      <c r="A10183" s="21"/>
      <c r="B10183" s="2"/>
      <c r="C10183" s="7"/>
      <c r="D10183" s="7"/>
    </row>
    <row r="10184" spans="1:4" ht="12.75" customHeight="1" x14ac:dyDescent="0.2">
      <c r="A10184" s="21"/>
      <c r="B10184" s="2"/>
      <c r="C10184" s="7"/>
      <c r="D10184" s="7"/>
    </row>
    <row r="10185" spans="1:4" ht="12.75" customHeight="1" x14ac:dyDescent="0.2">
      <c r="A10185" s="5"/>
      <c r="B10185" s="2"/>
      <c r="C10185" s="7"/>
      <c r="D10185" s="7"/>
    </row>
    <row r="10186" spans="1:4" ht="12.75" customHeight="1" x14ac:dyDescent="0.2">
      <c r="A10186" s="22" t="str">
        <f>HYPERLINK("javascript:void(0)","wattás pajzs")</f>
        <v>wattás pajzs</v>
      </c>
      <c r="B10186" s="21"/>
      <c r="C10186" s="21"/>
      <c r="D10186" s="21"/>
    </row>
    <row r="10187" spans="1:4" ht="12.75" customHeight="1" x14ac:dyDescent="0.2">
      <c r="A10187" s="20"/>
      <c r="B10187" s="2"/>
      <c r="C10187" s="7"/>
      <c r="D10187" s="7"/>
    </row>
    <row r="10188" spans="1:4" ht="12.75" customHeight="1" x14ac:dyDescent="0.2">
      <c r="A10188" s="21"/>
      <c r="B10188" s="3" t="s">
        <v>0</v>
      </c>
      <c r="C10188" s="23" t="s">
        <v>773</v>
      </c>
      <c r="D10188" s="21"/>
    </row>
    <row r="10189" spans="1:4" ht="12.75" customHeight="1" x14ac:dyDescent="0.2">
      <c r="A10189" s="21"/>
      <c r="B10189" s="3" t="s">
        <v>2</v>
      </c>
      <c r="C10189" s="23" t="s">
        <v>1839</v>
      </c>
      <c r="D10189" s="21"/>
    </row>
    <row r="10190" spans="1:4" ht="12.75" customHeight="1" x14ac:dyDescent="0.2">
      <c r="A10190" s="21"/>
      <c r="B10190" s="3" t="s">
        <v>1840</v>
      </c>
      <c r="C10190" s="23" t="s">
        <v>1788</v>
      </c>
      <c r="D10190" s="21"/>
    </row>
    <row r="10191" spans="1:4" ht="12.75" customHeight="1" x14ac:dyDescent="0.2">
      <c r="A10191" s="21"/>
      <c r="B10191" s="3" t="s">
        <v>9</v>
      </c>
      <c r="C10191" s="23" t="s">
        <v>249</v>
      </c>
      <c r="D10191" s="21"/>
    </row>
    <row r="10192" spans="1:4" ht="12.75" customHeight="1" x14ac:dyDescent="0.2">
      <c r="A10192" s="21"/>
      <c r="B10192" s="3" t="s">
        <v>11</v>
      </c>
      <c r="C10192" s="23" t="s">
        <v>1354</v>
      </c>
      <c r="D10192" s="21"/>
    </row>
    <row r="10193" spans="1:4" ht="12.75" customHeight="1" x14ac:dyDescent="0.2">
      <c r="A10193" s="21"/>
      <c r="B10193" s="3" t="s">
        <v>16</v>
      </c>
      <c r="C10193" s="23"/>
      <c r="D10193" s="21"/>
    </row>
    <row r="10194" spans="1:4" ht="12.75" customHeight="1" x14ac:dyDescent="0.2">
      <c r="A10194" s="21"/>
      <c r="B10194" s="3" t="s">
        <v>17</v>
      </c>
      <c r="C10194" s="23" t="s">
        <v>19</v>
      </c>
      <c r="D10194" s="21"/>
    </row>
    <row r="10195" spans="1:4" ht="12.75" customHeight="1" x14ac:dyDescent="0.2">
      <c r="A10195" s="21"/>
      <c r="B10195" s="20" t="s">
        <v>18</v>
      </c>
      <c r="C10195" s="8" t="s">
        <v>44</v>
      </c>
      <c r="D10195" s="1" t="str">
        <f>HYPERLINK("javascript:void(0)","csiga pajzs")</f>
        <v>csiga pajzs</v>
      </c>
    </row>
    <row r="10196" spans="1:4" ht="12.75" customHeight="1" x14ac:dyDescent="0.2">
      <c r="A10196" s="21"/>
      <c r="B10196" s="21"/>
      <c r="C10196" s="8" t="s">
        <v>77</v>
      </c>
      <c r="D10196" s="1" t="str">
        <f>HYPERLINK("javascript:void(0)","wattacsomó")</f>
        <v>wattacsomó</v>
      </c>
    </row>
    <row r="10197" spans="1:4" ht="12.75" customHeight="1" x14ac:dyDescent="0.2">
      <c r="A10197" s="21"/>
      <c r="B10197" s="21"/>
      <c r="C10197" s="8" t="s">
        <v>193</v>
      </c>
      <c r="D10197" s="1" t="str">
        <f>HYPERLINK("javascript:void(0)","ördögpihe")</f>
        <v>ördögpihe</v>
      </c>
    </row>
    <row r="10198" spans="1:4" ht="12.75" customHeight="1" x14ac:dyDescent="0.2">
      <c r="A10198" s="21"/>
      <c r="B10198" s="2"/>
      <c r="C10198" s="7"/>
      <c r="D10198" s="7"/>
    </row>
    <row r="10199" spans="1:4" ht="12.75" customHeight="1" x14ac:dyDescent="0.2">
      <c r="A10199" s="21"/>
      <c r="B10199" s="2"/>
      <c r="C10199" s="7"/>
      <c r="D10199" s="7"/>
    </row>
    <row r="10200" spans="1:4" ht="12.75" customHeight="1" x14ac:dyDescent="0.2">
      <c r="A10200" s="21"/>
      <c r="B10200" s="2"/>
      <c r="C10200" s="7"/>
      <c r="D10200" s="7"/>
    </row>
    <row r="10201" spans="1:4" ht="12.75" customHeight="1" x14ac:dyDescent="0.2">
      <c r="A10201" s="21"/>
      <c r="B10201" s="2"/>
      <c r="C10201" s="7"/>
      <c r="D10201" s="7"/>
    </row>
    <row r="10202" spans="1:4" ht="12.75" customHeight="1" x14ac:dyDescent="0.2">
      <c r="A10202" s="5"/>
      <c r="B10202" s="2"/>
      <c r="C10202" s="7"/>
      <c r="D10202" s="7"/>
    </row>
    <row r="10203" spans="1:4" ht="12.75" customHeight="1" x14ac:dyDescent="0.2">
      <c r="A10203" s="22" t="str">
        <f>HYPERLINK("javascript:void(0)","ezüstös szellempajzs")</f>
        <v>ezüstös szellempajzs</v>
      </c>
      <c r="B10203" s="21"/>
      <c r="C10203" s="21"/>
      <c r="D10203" s="21"/>
    </row>
    <row r="10204" spans="1:4" ht="12.75" customHeight="1" x14ac:dyDescent="0.2">
      <c r="A10204" s="20"/>
      <c r="B10204" s="2"/>
      <c r="C10204" s="7"/>
      <c r="D10204" s="7"/>
    </row>
    <row r="10205" spans="1:4" ht="12.75" customHeight="1" x14ac:dyDescent="0.2">
      <c r="A10205" s="21"/>
      <c r="B10205" s="3" t="s">
        <v>0</v>
      </c>
      <c r="C10205" s="23" t="s">
        <v>773</v>
      </c>
      <c r="D10205" s="21"/>
    </row>
    <row r="10206" spans="1:4" ht="12.75" customHeight="1" x14ac:dyDescent="0.2">
      <c r="A10206" s="21"/>
      <c r="B10206" s="3" t="s">
        <v>2</v>
      </c>
      <c r="C10206" s="23" t="s">
        <v>1839</v>
      </c>
      <c r="D10206" s="21"/>
    </row>
    <row r="10207" spans="1:4" ht="12.75" customHeight="1" x14ac:dyDescent="0.2">
      <c r="A10207" s="21"/>
      <c r="B10207" s="3" t="s">
        <v>1840</v>
      </c>
      <c r="C10207" s="23" t="s">
        <v>1788</v>
      </c>
      <c r="D10207" s="21"/>
    </row>
    <row r="10208" spans="1:4" ht="12.75" customHeight="1" x14ac:dyDescent="0.2">
      <c r="A10208" s="21"/>
      <c r="B10208" s="3" t="s">
        <v>9</v>
      </c>
      <c r="C10208" s="23" t="s">
        <v>4430</v>
      </c>
      <c r="D10208" s="21"/>
    </row>
    <row r="10209" spans="1:4" ht="12.75" customHeight="1" x14ac:dyDescent="0.2">
      <c r="A10209" s="21"/>
      <c r="B10209" s="3" t="s">
        <v>11</v>
      </c>
      <c r="C10209" s="23" t="s">
        <v>1372</v>
      </c>
      <c r="D10209" s="21"/>
    </row>
    <row r="10210" spans="1:4" ht="12.75" customHeight="1" x14ac:dyDescent="0.2">
      <c r="A10210" s="21"/>
      <c r="B10210" s="3" t="s">
        <v>16</v>
      </c>
      <c r="C10210" s="23"/>
      <c r="D10210" s="21"/>
    </row>
    <row r="10211" spans="1:4" ht="12.75" customHeight="1" x14ac:dyDescent="0.2">
      <c r="A10211" s="21"/>
      <c r="B10211" s="3" t="s">
        <v>17</v>
      </c>
      <c r="C10211" s="23" t="s">
        <v>19</v>
      </c>
      <c r="D10211" s="21"/>
    </row>
    <row r="10212" spans="1:4" ht="12.75" customHeight="1" x14ac:dyDescent="0.2">
      <c r="A10212" s="21"/>
      <c r="B10212" s="20" t="s">
        <v>18</v>
      </c>
      <c r="C10212" s="8" t="s">
        <v>44</v>
      </c>
      <c r="D10212" s="1" t="str">
        <f>HYPERLINK("javascript:void(0)","wattás pajzs")</f>
        <v>wattás pajzs</v>
      </c>
    </row>
    <row r="10213" spans="1:4" ht="12.75" customHeight="1" x14ac:dyDescent="0.2">
      <c r="A10213" s="21"/>
      <c r="B10213" s="21"/>
      <c r="C10213" s="8" t="s">
        <v>309</v>
      </c>
      <c r="D10213" s="1" t="str">
        <f>HYPERLINK("javascript:void(0)","ezüströg")</f>
        <v>ezüströg</v>
      </c>
    </row>
    <row r="10214" spans="1:4" ht="12.75" customHeight="1" x14ac:dyDescent="0.2">
      <c r="A10214" s="21"/>
      <c r="B10214" s="21"/>
      <c r="C10214" s="8" t="s">
        <v>142</v>
      </c>
      <c r="D10214" s="1" t="str">
        <f>HYPERLINK("javascript:void(0)","lexikon")</f>
        <v>lexikon</v>
      </c>
    </row>
    <row r="10215" spans="1:4" ht="12.75" customHeight="1" x14ac:dyDescent="0.2">
      <c r="A10215" s="21"/>
      <c r="B10215" s="2"/>
      <c r="C10215" s="7"/>
      <c r="D10215" s="7"/>
    </row>
    <row r="10216" spans="1:4" ht="12.75" customHeight="1" x14ac:dyDescent="0.2">
      <c r="A10216" s="21"/>
      <c r="B10216" s="2"/>
      <c r="C10216" s="7"/>
      <c r="D10216" s="7"/>
    </row>
    <row r="10217" spans="1:4" ht="12.75" customHeight="1" x14ac:dyDescent="0.2">
      <c r="A10217" s="21"/>
      <c r="B10217" s="2"/>
      <c r="C10217" s="7"/>
      <c r="D10217" s="7"/>
    </row>
    <row r="10218" spans="1:4" ht="12.75" customHeight="1" x14ac:dyDescent="0.2">
      <c r="A10218" s="21"/>
      <c r="B10218" s="2"/>
      <c r="C10218" s="7"/>
      <c r="D10218" s="7"/>
    </row>
    <row r="10219" spans="1:4" ht="12.75" customHeight="1" x14ac:dyDescent="0.2">
      <c r="A10219" s="5"/>
      <c r="B10219" s="2"/>
      <c r="C10219" s="7"/>
      <c r="D10219" s="7"/>
    </row>
    <row r="10220" spans="1:4" ht="12.75" customHeight="1" x14ac:dyDescent="0.2">
      <c r="A10220" s="22" t="str">
        <f>HYPERLINK("javascript:void(0)","hiper vállap")</f>
        <v>hiper vállap</v>
      </c>
      <c r="B10220" s="21"/>
      <c r="C10220" s="21"/>
      <c r="D10220" s="21"/>
    </row>
    <row r="10221" spans="1:4" ht="12.75" customHeight="1" x14ac:dyDescent="0.2">
      <c r="A10221" s="20"/>
      <c r="B10221" s="2"/>
      <c r="C10221" s="7"/>
      <c r="D10221" s="7"/>
    </row>
    <row r="10222" spans="1:4" ht="12.75" customHeight="1" x14ac:dyDescent="0.2">
      <c r="A10222" s="21"/>
      <c r="B10222" s="3" t="s">
        <v>0</v>
      </c>
      <c r="C10222" s="23" t="s">
        <v>773</v>
      </c>
      <c r="D10222" s="21"/>
    </row>
    <row r="10223" spans="1:4" ht="12.75" customHeight="1" x14ac:dyDescent="0.2">
      <c r="A10223" s="21"/>
      <c r="B10223" s="3" t="s">
        <v>2</v>
      </c>
      <c r="C10223" s="23"/>
      <c r="D10223" s="21"/>
    </row>
    <row r="10224" spans="1:4" ht="12.75" customHeight="1" x14ac:dyDescent="0.2">
      <c r="A10224" s="21"/>
      <c r="B10224" s="3" t="s">
        <v>1840</v>
      </c>
      <c r="C10224" s="23" t="s">
        <v>115</v>
      </c>
      <c r="D10224" s="21"/>
    </row>
    <row r="10225" spans="1:4" ht="12.75" customHeight="1" x14ac:dyDescent="0.2">
      <c r="A10225" s="21"/>
      <c r="B10225" s="3" t="s">
        <v>9</v>
      </c>
      <c r="C10225" s="23" t="s">
        <v>42</v>
      </c>
      <c r="D10225" s="21"/>
    </row>
    <row r="10226" spans="1:4" ht="12.75" customHeight="1" x14ac:dyDescent="0.2">
      <c r="A10226" s="21"/>
      <c r="B10226" s="3" t="s">
        <v>11</v>
      </c>
      <c r="C10226" s="23" t="s">
        <v>368</v>
      </c>
      <c r="D10226" s="21"/>
    </row>
    <row r="10227" spans="1:4" ht="12.75" customHeight="1" x14ac:dyDescent="0.2">
      <c r="A10227" s="21"/>
      <c r="B10227" s="3" t="s">
        <v>16</v>
      </c>
      <c r="C10227" s="23"/>
      <c r="D10227" s="21"/>
    </row>
    <row r="10228" spans="1:4" ht="12.75" customHeight="1" x14ac:dyDescent="0.2">
      <c r="A10228" s="21"/>
      <c r="B10228" s="3" t="s">
        <v>17</v>
      </c>
      <c r="C10228" s="23" t="s">
        <v>19</v>
      </c>
      <c r="D10228" s="21"/>
    </row>
    <row r="10229" spans="1:4" ht="12.75" customHeight="1" x14ac:dyDescent="0.2">
      <c r="A10229" s="21"/>
      <c r="B10229" s="20" t="s">
        <v>18</v>
      </c>
      <c r="C10229" s="8" t="s">
        <v>323</v>
      </c>
      <c r="D10229" s="1" t="str">
        <f>HYPERLINK("javascript:void(0)","hiperium")</f>
        <v>hiperium</v>
      </c>
    </row>
    <row r="10230" spans="1:4" ht="12.75" customHeight="1" x14ac:dyDescent="0.2">
      <c r="A10230" s="21"/>
      <c r="B10230" s="21"/>
      <c r="C10230" s="8" t="s">
        <v>269</v>
      </c>
      <c r="D10230" s="1" t="str">
        <f>HYPERLINK("javascript:void(0)","éjfény")</f>
        <v>éjfény</v>
      </c>
    </row>
    <row r="10231" spans="1:4" ht="12.75" customHeight="1" x14ac:dyDescent="0.2">
      <c r="A10231" s="21"/>
      <c r="B10231" s="21"/>
      <c r="C10231" s="8" t="s">
        <v>68</v>
      </c>
      <c r="D10231" s="1" t="str">
        <f>HYPERLINK("javascript:void(0)","lexikon")</f>
        <v>lexikon</v>
      </c>
    </row>
    <row r="10232" spans="1:4" ht="12.75" customHeight="1" x14ac:dyDescent="0.2">
      <c r="A10232" s="21"/>
      <c r="B10232" s="2"/>
      <c r="C10232" s="7"/>
      <c r="D10232" s="7"/>
    </row>
    <row r="10233" spans="1:4" ht="12.75" customHeight="1" x14ac:dyDescent="0.2">
      <c r="A10233" s="21"/>
      <c r="B10233" s="2"/>
      <c r="C10233" s="7"/>
      <c r="D10233" s="7"/>
    </row>
    <row r="10234" spans="1:4" ht="12.75" customHeight="1" x14ac:dyDescent="0.2">
      <c r="A10234" s="21"/>
      <c r="B10234" s="2"/>
      <c r="C10234" s="7"/>
      <c r="D10234" s="7"/>
    </row>
    <row r="10235" spans="1:4" ht="12.75" customHeight="1" x14ac:dyDescent="0.2">
      <c r="A10235" s="21"/>
      <c r="B10235" s="2"/>
      <c r="C10235" s="7"/>
      <c r="D10235" s="7"/>
    </row>
    <row r="10236" spans="1:4" ht="12.75" customHeight="1" x14ac:dyDescent="0.2">
      <c r="A10236" s="5"/>
      <c r="B10236" s="2"/>
      <c r="C10236" s="7"/>
      <c r="D10236" s="7"/>
    </row>
    <row r="10237" spans="1:4" ht="12.75" customHeight="1" x14ac:dyDescent="0.2">
      <c r="A10237" s="22" t="str">
        <f>HYPERLINK("javascript:void(0)","magnetoacél manasisak")</f>
        <v>magnetoacél manasisak</v>
      </c>
      <c r="B10237" s="21"/>
      <c r="C10237" s="21"/>
      <c r="D10237" s="21"/>
    </row>
    <row r="10238" spans="1:4" ht="12.75" customHeight="1" x14ac:dyDescent="0.2">
      <c r="A10238" s="20"/>
      <c r="B10238" s="2"/>
      <c r="C10238" s="7"/>
      <c r="D10238" s="7"/>
    </row>
    <row r="10239" spans="1:4" ht="12.75" customHeight="1" x14ac:dyDescent="0.2">
      <c r="A10239" s="21"/>
      <c r="B10239" s="3" t="s">
        <v>0</v>
      </c>
      <c r="C10239" s="23" t="s">
        <v>773</v>
      </c>
      <c r="D10239" s="21"/>
    </row>
    <row r="10240" spans="1:4" ht="12.75" customHeight="1" x14ac:dyDescent="0.2">
      <c r="A10240" s="21"/>
      <c r="B10240" s="3" t="s">
        <v>2</v>
      </c>
      <c r="C10240" s="23"/>
      <c r="D10240" s="21"/>
    </row>
    <row r="10241" spans="1:4" ht="12.75" customHeight="1" x14ac:dyDescent="0.2">
      <c r="A10241" s="21"/>
      <c r="B10241" s="3" t="s">
        <v>1840</v>
      </c>
      <c r="C10241" s="23" t="s">
        <v>1114</v>
      </c>
      <c r="D10241" s="21"/>
    </row>
    <row r="10242" spans="1:4" ht="12.75" customHeight="1" x14ac:dyDescent="0.2">
      <c r="A10242" s="21"/>
      <c r="B10242" s="3" t="s">
        <v>9</v>
      </c>
      <c r="C10242" s="23" t="s">
        <v>4459</v>
      </c>
      <c r="D10242" s="21"/>
    </row>
    <row r="10243" spans="1:4" ht="12.75" customHeight="1" x14ac:dyDescent="0.2">
      <c r="A10243" s="21"/>
      <c r="B10243" s="3" t="s">
        <v>11</v>
      </c>
      <c r="C10243" s="23" t="s">
        <v>497</v>
      </c>
      <c r="D10243" s="21"/>
    </row>
    <row r="10244" spans="1:4" ht="12.75" customHeight="1" x14ac:dyDescent="0.2">
      <c r="A10244" s="21"/>
      <c r="B10244" s="3" t="s">
        <v>16</v>
      </c>
      <c r="C10244" s="23"/>
      <c r="D10244" s="21"/>
    </row>
    <row r="10245" spans="1:4" ht="12.75" customHeight="1" x14ac:dyDescent="0.2">
      <c r="A10245" s="21"/>
      <c r="B10245" s="3" t="s">
        <v>17</v>
      </c>
      <c r="C10245" s="23" t="s">
        <v>19</v>
      </c>
      <c r="D10245" s="21"/>
    </row>
    <row r="10246" spans="1:4" ht="12.75" customHeight="1" x14ac:dyDescent="0.2">
      <c r="A10246" s="21"/>
      <c r="B10246" s="20" t="s">
        <v>18</v>
      </c>
      <c r="C10246" s="8" t="s">
        <v>44</v>
      </c>
      <c r="D10246" s="1" t="str">
        <f>HYPERLINK("javascript:void(0)","fotoacél manasisak")</f>
        <v>fotoacél manasisak</v>
      </c>
    </row>
    <row r="10247" spans="1:4" ht="12.75" customHeight="1" x14ac:dyDescent="0.2">
      <c r="A10247" s="21"/>
      <c r="B10247" s="21"/>
      <c r="C10247" s="8" t="s">
        <v>98</v>
      </c>
      <c r="D10247" s="1" t="str">
        <f>HYPERLINK("javascript:void(0)","bigapata")</f>
        <v>bigapata</v>
      </c>
    </row>
    <row r="10248" spans="1:4" ht="12.75" customHeight="1" x14ac:dyDescent="0.2">
      <c r="A10248" s="21"/>
      <c r="B10248" s="21"/>
      <c r="C10248" s="8" t="s">
        <v>117</v>
      </c>
      <c r="D10248" s="1" t="str">
        <f>HYPERLINK("javascript:void(0)","mágnes")</f>
        <v>mágnes</v>
      </c>
    </row>
    <row r="10249" spans="1:4" ht="12.75" customHeight="1" x14ac:dyDescent="0.2">
      <c r="A10249" s="21"/>
      <c r="B10249" s="2"/>
      <c r="C10249" s="7"/>
      <c r="D10249" s="7"/>
    </row>
    <row r="10250" spans="1:4" ht="12.75" customHeight="1" x14ac:dyDescent="0.2">
      <c r="A10250" s="21"/>
      <c r="B10250" s="2"/>
      <c r="C10250" s="7"/>
      <c r="D10250" s="7"/>
    </row>
    <row r="10251" spans="1:4" ht="12.75" customHeight="1" x14ac:dyDescent="0.2">
      <c r="A10251" s="21"/>
      <c r="B10251" s="2"/>
      <c r="C10251" s="7"/>
      <c r="D10251" s="7"/>
    </row>
    <row r="10252" spans="1:4" ht="12.75" customHeight="1" x14ac:dyDescent="0.2">
      <c r="A10252" s="21"/>
      <c r="B10252" s="2"/>
      <c r="C10252" s="7"/>
      <c r="D10252" s="7"/>
    </row>
    <row r="10253" spans="1:4" ht="12.75" customHeight="1" x14ac:dyDescent="0.2">
      <c r="A10253" s="5"/>
      <c r="B10253" s="2"/>
      <c r="C10253" s="7"/>
      <c r="D10253" s="7"/>
    </row>
    <row r="10254" spans="1:4" ht="12.75" customHeight="1" x14ac:dyDescent="0.2">
      <c r="A10254" s="22" t="str">
        <f>HYPERLINK("javascript:void(0)","magnetoacél manafejpánt")</f>
        <v>magnetoacél manafejpánt</v>
      </c>
      <c r="B10254" s="21"/>
      <c r="C10254" s="21"/>
      <c r="D10254" s="21"/>
    </row>
    <row r="10255" spans="1:4" ht="12.75" customHeight="1" x14ac:dyDescent="0.2">
      <c r="A10255" s="20"/>
      <c r="B10255" s="2"/>
      <c r="C10255" s="7"/>
      <c r="D10255" s="7"/>
    </row>
    <row r="10256" spans="1:4" ht="12.75" customHeight="1" x14ac:dyDescent="0.2">
      <c r="A10256" s="21"/>
      <c r="B10256" s="3" t="s">
        <v>0</v>
      </c>
      <c r="C10256" s="23" t="s">
        <v>773</v>
      </c>
      <c r="D10256" s="21"/>
    </row>
    <row r="10257" spans="1:4" ht="12.75" customHeight="1" x14ac:dyDescent="0.2">
      <c r="A10257" s="21"/>
      <c r="B10257" s="3" t="s">
        <v>2</v>
      </c>
      <c r="C10257" s="23"/>
      <c r="D10257" s="21"/>
    </row>
    <row r="10258" spans="1:4" ht="12.75" customHeight="1" x14ac:dyDescent="0.2">
      <c r="A10258" s="21"/>
      <c r="B10258" s="3" t="s">
        <v>1840</v>
      </c>
      <c r="C10258" s="23" t="s">
        <v>216</v>
      </c>
      <c r="D10258" s="21"/>
    </row>
    <row r="10259" spans="1:4" ht="12.75" customHeight="1" x14ac:dyDescent="0.2">
      <c r="A10259" s="21"/>
      <c r="B10259" s="3" t="s">
        <v>9</v>
      </c>
      <c r="C10259" s="23" t="s">
        <v>2118</v>
      </c>
      <c r="D10259" s="21"/>
    </row>
    <row r="10260" spans="1:4" ht="12.75" customHeight="1" x14ac:dyDescent="0.2">
      <c r="A10260" s="21"/>
      <c r="B10260" s="3" t="s">
        <v>11</v>
      </c>
      <c r="C10260" s="23" t="s">
        <v>497</v>
      </c>
      <c r="D10260" s="21"/>
    </row>
    <row r="10261" spans="1:4" ht="12.75" customHeight="1" x14ac:dyDescent="0.2">
      <c r="A10261" s="21"/>
      <c r="B10261" s="3" t="s">
        <v>16</v>
      </c>
      <c r="C10261" s="23"/>
      <c r="D10261" s="21"/>
    </row>
    <row r="10262" spans="1:4" ht="12.75" customHeight="1" x14ac:dyDescent="0.2">
      <c r="A10262" s="21"/>
      <c r="B10262" s="3" t="s">
        <v>17</v>
      </c>
      <c r="C10262" s="23" t="s">
        <v>19</v>
      </c>
      <c r="D10262" s="21"/>
    </row>
    <row r="10263" spans="1:4" ht="12.75" customHeight="1" x14ac:dyDescent="0.2">
      <c r="A10263" s="21"/>
      <c r="B10263" s="20" t="s">
        <v>18</v>
      </c>
      <c r="C10263" s="8" t="s">
        <v>269</v>
      </c>
      <c r="D10263" s="1" t="str">
        <f>HYPERLINK("javascript:void(0)","mágnes")</f>
        <v>mágnes</v>
      </c>
    </row>
    <row r="10264" spans="1:4" ht="12.75" customHeight="1" x14ac:dyDescent="0.2">
      <c r="A10264" s="21"/>
      <c r="B10264" s="21"/>
      <c r="C10264" s="8" t="s">
        <v>44</v>
      </c>
      <c r="D10264" s="1" t="str">
        <f>HYPERLINK("javascript:void(0)","fotoacél manafejpánt")</f>
        <v>fotoacél manafejpánt</v>
      </c>
    </row>
    <row r="10265" spans="1:4" ht="12.75" customHeight="1" x14ac:dyDescent="0.2">
      <c r="A10265" s="21"/>
      <c r="B10265" s="21"/>
      <c r="C10265" s="8" t="s">
        <v>265</v>
      </c>
      <c r="D10265" s="1" t="str">
        <f>HYPERLINK("javascript:void(0)","wattacsomó")</f>
        <v>wattacsomó</v>
      </c>
    </row>
    <row r="10266" spans="1:4" ht="12.75" customHeight="1" x14ac:dyDescent="0.2">
      <c r="A10266" s="21"/>
      <c r="B10266" s="2"/>
      <c r="C10266" s="7"/>
      <c r="D10266" s="7"/>
    </row>
    <row r="10267" spans="1:4" ht="12.75" customHeight="1" x14ac:dyDescent="0.2">
      <c r="A10267" s="21"/>
      <c r="B10267" s="2"/>
      <c r="C10267" s="7"/>
      <c r="D10267" s="7"/>
    </row>
    <row r="10268" spans="1:4" ht="12.75" customHeight="1" x14ac:dyDescent="0.2">
      <c r="A10268" s="21"/>
      <c r="B10268" s="2"/>
      <c r="C10268" s="7"/>
      <c r="D10268" s="7"/>
    </row>
    <row r="10269" spans="1:4" ht="12.75" customHeight="1" x14ac:dyDescent="0.2">
      <c r="A10269" s="21"/>
      <c r="B10269" s="2"/>
      <c r="C10269" s="7"/>
      <c r="D10269" s="7"/>
    </row>
    <row r="10270" spans="1:4" ht="12.75" customHeight="1" x14ac:dyDescent="0.2">
      <c r="A10270" s="5"/>
      <c r="B10270" s="2"/>
      <c r="C10270" s="7"/>
      <c r="D10270" s="7"/>
    </row>
    <row r="10271" spans="1:4" ht="12.75" customHeight="1" x14ac:dyDescent="0.2">
      <c r="A10271" s="22" t="str">
        <f>HYPERLINK("javascript:void(0)","teljes hidracélvért")</f>
        <v>teljes hidracélvért</v>
      </c>
      <c r="B10271" s="21"/>
      <c r="C10271" s="21"/>
      <c r="D10271" s="21"/>
    </row>
    <row r="10272" spans="1:4" ht="12.75" customHeight="1" x14ac:dyDescent="0.2">
      <c r="A10272" s="20"/>
      <c r="B10272" s="2"/>
      <c r="C10272" s="7"/>
      <c r="D10272" s="7"/>
    </row>
    <row r="10273" spans="1:4" ht="12.75" customHeight="1" x14ac:dyDescent="0.2">
      <c r="A10273" s="21"/>
      <c r="B10273" s="3" t="s">
        <v>0</v>
      </c>
      <c r="C10273" s="23" t="s">
        <v>776</v>
      </c>
      <c r="D10273" s="21"/>
    </row>
    <row r="10274" spans="1:4" ht="12.75" customHeight="1" x14ac:dyDescent="0.2">
      <c r="A10274" s="21"/>
      <c r="B10274" s="3" t="s">
        <v>2</v>
      </c>
      <c r="C10274" s="23" t="s">
        <v>2322</v>
      </c>
      <c r="D10274" s="21"/>
    </row>
    <row r="10275" spans="1:4" ht="12.75" customHeight="1" x14ac:dyDescent="0.2">
      <c r="A10275" s="21"/>
      <c r="B10275" s="3" t="s">
        <v>1840</v>
      </c>
      <c r="C10275" s="23" t="s">
        <v>611</v>
      </c>
      <c r="D10275" s="21"/>
    </row>
    <row r="10276" spans="1:4" ht="12.75" customHeight="1" x14ac:dyDescent="0.2">
      <c r="A10276" s="21"/>
      <c r="B10276" s="3" t="s">
        <v>9</v>
      </c>
      <c r="C10276" s="23" t="s">
        <v>1324</v>
      </c>
      <c r="D10276" s="21"/>
    </row>
    <row r="10277" spans="1:4" ht="12.75" customHeight="1" x14ac:dyDescent="0.2">
      <c r="A10277" s="21"/>
      <c r="B10277" s="3" t="s">
        <v>11</v>
      </c>
      <c r="C10277" s="23" t="s">
        <v>1071</v>
      </c>
      <c r="D10277" s="21"/>
    </row>
    <row r="10278" spans="1:4" ht="12.75" customHeight="1" x14ac:dyDescent="0.2">
      <c r="A10278" s="21"/>
      <c r="B10278" s="3" t="s">
        <v>16</v>
      </c>
      <c r="C10278" s="23"/>
      <c r="D10278" s="21"/>
    </row>
    <row r="10279" spans="1:4" ht="12.75" customHeight="1" x14ac:dyDescent="0.2">
      <c r="A10279" s="21"/>
      <c r="B10279" s="3" t="s">
        <v>17</v>
      </c>
      <c r="C10279" s="23" t="s">
        <v>19</v>
      </c>
      <c r="D10279" s="21"/>
    </row>
    <row r="10280" spans="1:4" ht="12.75" customHeight="1" x14ac:dyDescent="0.2">
      <c r="A10280" s="21"/>
      <c r="B10280" s="20" t="s">
        <v>18</v>
      </c>
      <c r="C10280" s="8" t="s">
        <v>44</v>
      </c>
      <c r="D10280" s="1" t="str">
        <f>HYPERLINK("javascript:void(0)","teljes hipervért")</f>
        <v>teljes hipervért</v>
      </c>
    </row>
    <row r="10281" spans="1:4" ht="12.75" customHeight="1" x14ac:dyDescent="0.2">
      <c r="A10281" s="21"/>
      <c r="B10281" s="21"/>
      <c r="C10281" s="8" t="s">
        <v>163</v>
      </c>
      <c r="D10281" s="1" t="str">
        <f>HYPERLINK("javascript:void(0)","hagymapikkely")</f>
        <v>hagymapikkely</v>
      </c>
    </row>
    <row r="10282" spans="1:4" ht="12.75" customHeight="1" x14ac:dyDescent="0.2">
      <c r="A10282" s="21"/>
      <c r="B10282" s="21"/>
      <c r="C10282" s="8" t="s">
        <v>280</v>
      </c>
      <c r="D10282" s="1" t="str">
        <f>HYPERLINK("javascript:void(0)","szén-hidragén")</f>
        <v>szén-hidragén</v>
      </c>
    </row>
    <row r="10283" spans="1:4" ht="12.75" customHeight="1" x14ac:dyDescent="0.2">
      <c r="A10283" s="21"/>
      <c r="B10283" s="2"/>
      <c r="C10283" s="7"/>
      <c r="D10283" s="7"/>
    </row>
    <row r="10284" spans="1:4" ht="12.75" customHeight="1" x14ac:dyDescent="0.2">
      <c r="A10284" s="21"/>
      <c r="B10284" s="2"/>
      <c r="C10284" s="7"/>
      <c r="D10284" s="7"/>
    </row>
    <row r="10285" spans="1:4" ht="12.75" customHeight="1" x14ac:dyDescent="0.2">
      <c r="A10285" s="21"/>
      <c r="B10285" s="2"/>
      <c r="C10285" s="7"/>
      <c r="D10285" s="7"/>
    </row>
    <row r="10286" spans="1:4" ht="12.75" customHeight="1" x14ac:dyDescent="0.2">
      <c r="A10286" s="21"/>
      <c r="B10286" s="2"/>
      <c r="C10286" s="7"/>
      <c r="D10286" s="7"/>
    </row>
    <row r="10287" spans="1:4" ht="12.75" customHeight="1" x14ac:dyDescent="0.2">
      <c r="A10287" s="5"/>
      <c r="B10287" s="2"/>
      <c r="C10287" s="7"/>
      <c r="D10287" s="7"/>
    </row>
    <row r="10288" spans="1:4" ht="12.75" customHeight="1" x14ac:dyDescent="0.2">
      <c r="A10288" s="22" t="str">
        <f>HYPERLINK("javascript:void(0)","ördögsisak")</f>
        <v>ördögsisak</v>
      </c>
      <c r="B10288" s="21"/>
      <c r="C10288" s="21"/>
      <c r="D10288" s="21"/>
    </row>
    <row r="10289" spans="1:4" ht="12.75" customHeight="1" x14ac:dyDescent="0.2">
      <c r="A10289" s="20"/>
      <c r="B10289" s="2"/>
      <c r="C10289" s="7"/>
      <c r="D10289" s="7"/>
    </row>
    <row r="10290" spans="1:4" ht="12.75" customHeight="1" x14ac:dyDescent="0.2">
      <c r="A10290" s="21"/>
      <c r="B10290" s="3" t="s">
        <v>0</v>
      </c>
      <c r="C10290" s="23" t="s">
        <v>776</v>
      </c>
      <c r="D10290" s="21"/>
    </row>
    <row r="10291" spans="1:4" ht="12.75" customHeight="1" x14ac:dyDescent="0.2">
      <c r="A10291" s="21"/>
      <c r="B10291" s="3" t="s">
        <v>2</v>
      </c>
      <c r="C10291" s="23"/>
      <c r="D10291" s="21"/>
    </row>
    <row r="10292" spans="1:4" ht="12.75" customHeight="1" x14ac:dyDescent="0.2">
      <c r="A10292" s="21"/>
      <c r="B10292" s="3" t="s">
        <v>1840</v>
      </c>
      <c r="C10292" s="23" t="s">
        <v>4339</v>
      </c>
      <c r="D10292" s="21"/>
    </row>
    <row r="10293" spans="1:4" ht="12.75" customHeight="1" x14ac:dyDescent="0.2">
      <c r="A10293" s="21"/>
      <c r="B10293" s="3" t="s">
        <v>9</v>
      </c>
      <c r="C10293" s="23" t="s">
        <v>1089</v>
      </c>
      <c r="D10293" s="21"/>
    </row>
    <row r="10294" spans="1:4" ht="12.75" customHeight="1" x14ac:dyDescent="0.2">
      <c r="A10294" s="21"/>
      <c r="B10294" s="3" t="s">
        <v>11</v>
      </c>
      <c r="C10294" s="23" t="s">
        <v>1071</v>
      </c>
      <c r="D10294" s="21"/>
    </row>
    <row r="10295" spans="1:4" ht="12.75" customHeight="1" x14ac:dyDescent="0.2">
      <c r="A10295" s="21"/>
      <c r="B10295" s="3" t="s">
        <v>16</v>
      </c>
      <c r="C10295" s="23"/>
      <c r="D10295" s="21"/>
    </row>
    <row r="10296" spans="1:4" ht="12.75" customHeight="1" x14ac:dyDescent="0.2">
      <c r="A10296" s="21"/>
      <c r="B10296" s="3" t="s">
        <v>17</v>
      </c>
      <c r="C10296" s="23" t="s">
        <v>19</v>
      </c>
      <c r="D10296" s="21"/>
    </row>
    <row r="10297" spans="1:4" ht="12.75" customHeight="1" x14ac:dyDescent="0.2">
      <c r="A10297" s="21"/>
      <c r="B10297" s="20" t="s">
        <v>18</v>
      </c>
      <c r="C10297" s="8" t="s">
        <v>44</v>
      </c>
      <c r="D10297" s="1" t="str">
        <f>HYPERLINK("javascript:void(0)","wattasisak")</f>
        <v>wattasisak</v>
      </c>
    </row>
    <row r="10298" spans="1:4" ht="12.75" customHeight="1" x14ac:dyDescent="0.2">
      <c r="A10298" s="21"/>
      <c r="B10298" s="21"/>
      <c r="C10298" s="8" t="s">
        <v>44</v>
      </c>
      <c r="D10298" s="1" t="str">
        <f>HYPERLINK("javascript:void(0)","vitorlás sisak")</f>
        <v>vitorlás sisak</v>
      </c>
    </row>
    <row r="10299" spans="1:4" ht="12.75" customHeight="1" x14ac:dyDescent="0.2">
      <c r="A10299" s="21"/>
      <c r="B10299" s="21"/>
      <c r="C10299" s="8" t="s">
        <v>44</v>
      </c>
      <c r="D10299" s="1" t="str">
        <f>HYPERLINK("javascript:void(0)","izzó rostély")</f>
        <v>izzó rostély</v>
      </c>
    </row>
    <row r="10300" spans="1:4" ht="12.75" customHeight="1" x14ac:dyDescent="0.2">
      <c r="A10300" s="21"/>
      <c r="B10300" s="2"/>
      <c r="C10300" s="7"/>
      <c r="D10300" s="7"/>
    </row>
    <row r="10301" spans="1:4" ht="12.75" customHeight="1" x14ac:dyDescent="0.2">
      <c r="A10301" s="21"/>
      <c r="B10301" s="2"/>
      <c r="C10301" s="7"/>
      <c r="D10301" s="7"/>
    </row>
    <row r="10302" spans="1:4" ht="12.75" customHeight="1" x14ac:dyDescent="0.2">
      <c r="A10302" s="21"/>
      <c r="B10302" s="2"/>
      <c r="C10302" s="7"/>
      <c r="D10302" s="7"/>
    </row>
    <row r="10303" spans="1:4" ht="12.75" customHeight="1" x14ac:dyDescent="0.2">
      <c r="A10303" s="21"/>
      <c r="B10303" s="2"/>
      <c r="C10303" s="7"/>
      <c r="D10303" s="7"/>
    </row>
    <row r="10304" spans="1:4" ht="12.75" customHeight="1" x14ac:dyDescent="0.2">
      <c r="A10304" s="5"/>
      <c r="B10304" s="2"/>
      <c r="C10304" s="7"/>
      <c r="D10304" s="7"/>
    </row>
    <row r="10305" spans="1:4" ht="12.75" customHeight="1" x14ac:dyDescent="0.2">
      <c r="A10305" s="22" t="str">
        <f>HYPERLINK("javascript:void(0)","diszpromokaszin")</f>
        <v>diszpromokaszin</v>
      </c>
      <c r="B10305" s="21"/>
      <c r="C10305" s="21"/>
      <c r="D10305" s="21"/>
    </row>
    <row r="10306" spans="1:4" ht="12.75" customHeight="1" x14ac:dyDescent="0.2">
      <c r="A10306" s="20"/>
      <c r="B10306" s="2"/>
      <c r="C10306" s="7"/>
      <c r="D10306" s="7"/>
    </row>
    <row r="10307" spans="1:4" ht="12.75" customHeight="1" x14ac:dyDescent="0.2">
      <c r="A10307" s="21"/>
      <c r="B10307" s="3" t="s">
        <v>0</v>
      </c>
      <c r="C10307" s="23" t="s">
        <v>776</v>
      </c>
      <c r="D10307" s="21"/>
    </row>
    <row r="10308" spans="1:4" ht="12.75" customHeight="1" x14ac:dyDescent="0.2">
      <c r="A10308" s="21"/>
      <c r="B10308" s="3" t="s">
        <v>2</v>
      </c>
      <c r="C10308" s="23"/>
      <c r="D10308" s="21"/>
    </row>
    <row r="10309" spans="1:4" ht="12.75" customHeight="1" x14ac:dyDescent="0.2">
      <c r="A10309" s="21"/>
      <c r="B10309" s="3" t="s">
        <v>1840</v>
      </c>
      <c r="C10309" s="23" t="s">
        <v>304</v>
      </c>
      <c r="D10309" s="21"/>
    </row>
    <row r="10310" spans="1:4" ht="12.75" customHeight="1" x14ac:dyDescent="0.2">
      <c r="A10310" s="21"/>
      <c r="B10310" s="3" t="s">
        <v>9</v>
      </c>
      <c r="C10310" s="23" t="s">
        <v>692</v>
      </c>
      <c r="D10310" s="21"/>
    </row>
    <row r="10311" spans="1:4" ht="12.75" customHeight="1" x14ac:dyDescent="0.2">
      <c r="A10311" s="21"/>
      <c r="B10311" s="3" t="s">
        <v>11</v>
      </c>
      <c r="C10311" s="23" t="s">
        <v>1105</v>
      </c>
      <c r="D10311" s="21"/>
    </row>
    <row r="10312" spans="1:4" ht="12.75" customHeight="1" x14ac:dyDescent="0.2">
      <c r="A10312" s="21"/>
      <c r="B10312" s="3" t="s">
        <v>16</v>
      </c>
      <c r="C10312" s="23"/>
      <c r="D10312" s="21"/>
    </row>
    <row r="10313" spans="1:4" ht="12.75" customHeight="1" x14ac:dyDescent="0.2">
      <c r="A10313" s="21"/>
      <c r="B10313" s="3" t="s">
        <v>17</v>
      </c>
      <c r="C10313" s="23" t="s">
        <v>19</v>
      </c>
      <c r="D10313" s="21"/>
    </row>
    <row r="10314" spans="1:4" ht="12.75" customHeight="1" x14ac:dyDescent="0.2">
      <c r="A10314" s="21"/>
      <c r="B10314" s="20" t="s">
        <v>18</v>
      </c>
      <c r="C10314" s="8" t="s">
        <v>309</v>
      </c>
      <c r="D10314" s="1" t="str">
        <f>HYPERLINK("javascript:void(0)","hagymapikkely")</f>
        <v>hagymapikkely</v>
      </c>
    </row>
    <row r="10315" spans="1:4" ht="12.75" customHeight="1" x14ac:dyDescent="0.2">
      <c r="A10315" s="21"/>
      <c r="B10315" s="21"/>
      <c r="C10315" s="8" t="s">
        <v>280</v>
      </c>
      <c r="D10315" s="1" t="str">
        <f>HYPERLINK("javascript:void(0)","diszprózium")</f>
        <v>diszprózium</v>
      </c>
    </row>
    <row r="10316" spans="1:4" ht="12.75" customHeight="1" x14ac:dyDescent="0.2">
      <c r="A10316" s="21"/>
      <c r="B10316" s="21"/>
      <c r="C10316" s="8" t="s">
        <v>139</v>
      </c>
      <c r="D10316" s="1" t="str">
        <f>HYPERLINK("javascript:void(0)","csigaszem")</f>
        <v>csigaszem</v>
      </c>
    </row>
    <row r="10317" spans="1:4" ht="12.75" customHeight="1" x14ac:dyDescent="0.2">
      <c r="A10317" s="21"/>
      <c r="B10317" s="2"/>
      <c r="C10317" s="7"/>
      <c r="D10317" s="7"/>
    </row>
    <row r="10318" spans="1:4" ht="12.75" customHeight="1" x14ac:dyDescent="0.2">
      <c r="A10318" s="21"/>
      <c r="B10318" s="2"/>
      <c r="C10318" s="7"/>
      <c r="D10318" s="7"/>
    </row>
    <row r="10319" spans="1:4" ht="12.75" customHeight="1" x14ac:dyDescent="0.2">
      <c r="A10319" s="21"/>
      <c r="B10319" s="2"/>
      <c r="C10319" s="7"/>
      <c r="D10319" s="7"/>
    </row>
    <row r="10320" spans="1:4" ht="12.75" customHeight="1" x14ac:dyDescent="0.2">
      <c r="A10320" s="21"/>
      <c r="B10320" s="2"/>
      <c r="C10320" s="7"/>
      <c r="D10320" s="7"/>
    </row>
    <row r="10321" spans="1:4" ht="12.75" customHeight="1" x14ac:dyDescent="0.2">
      <c r="A10321" s="5"/>
      <c r="B10321" s="2"/>
      <c r="C10321" s="7"/>
      <c r="D10321" s="7"/>
    </row>
    <row r="10322" spans="1:4" ht="12.75" customHeight="1" x14ac:dyDescent="0.2">
      <c r="A10322" s="22" t="str">
        <f>HYPERLINK("javascript:void(0)","wattás testpajzs")</f>
        <v>wattás testpajzs</v>
      </c>
      <c r="B10322" s="21"/>
      <c r="C10322" s="21"/>
      <c r="D10322" s="21"/>
    </row>
    <row r="10323" spans="1:4" ht="12.75" customHeight="1" x14ac:dyDescent="0.2">
      <c r="A10323" s="20"/>
      <c r="B10323" s="2"/>
      <c r="C10323" s="7"/>
      <c r="D10323" s="7"/>
    </row>
    <row r="10324" spans="1:4" ht="12.75" customHeight="1" x14ac:dyDescent="0.2">
      <c r="A10324" s="21"/>
      <c r="B10324" s="3" t="s">
        <v>0</v>
      </c>
      <c r="C10324" s="23" t="s">
        <v>776</v>
      </c>
      <c r="D10324" s="21"/>
    </row>
    <row r="10325" spans="1:4" ht="12.75" customHeight="1" x14ac:dyDescent="0.2">
      <c r="A10325" s="21"/>
      <c r="B10325" s="3" t="s">
        <v>2</v>
      </c>
      <c r="C10325" s="23" t="s">
        <v>1839</v>
      </c>
      <c r="D10325" s="21"/>
    </row>
    <row r="10326" spans="1:4" ht="12.75" customHeight="1" x14ac:dyDescent="0.2">
      <c r="A10326" s="21"/>
      <c r="B10326" s="3" t="s">
        <v>1840</v>
      </c>
      <c r="C10326" s="23" t="s">
        <v>500</v>
      </c>
      <c r="D10326" s="21"/>
    </row>
    <row r="10327" spans="1:4" ht="12.75" customHeight="1" x14ac:dyDescent="0.2">
      <c r="A10327" s="21"/>
      <c r="B10327" s="3" t="s">
        <v>9</v>
      </c>
      <c r="C10327" s="23" t="s">
        <v>262</v>
      </c>
      <c r="D10327" s="21"/>
    </row>
    <row r="10328" spans="1:4" ht="12.75" customHeight="1" x14ac:dyDescent="0.2">
      <c r="A10328" s="21"/>
      <c r="B10328" s="3" t="s">
        <v>11</v>
      </c>
      <c r="C10328" s="23" t="s">
        <v>1190</v>
      </c>
      <c r="D10328" s="21"/>
    </row>
    <row r="10329" spans="1:4" ht="12.75" customHeight="1" x14ac:dyDescent="0.2">
      <c r="A10329" s="21"/>
      <c r="B10329" s="3" t="s">
        <v>16</v>
      </c>
      <c r="C10329" s="23"/>
      <c r="D10329" s="21"/>
    </row>
    <row r="10330" spans="1:4" ht="12.75" customHeight="1" x14ac:dyDescent="0.2">
      <c r="A10330" s="21"/>
      <c r="B10330" s="3" t="s">
        <v>17</v>
      </c>
      <c r="C10330" s="23" t="s">
        <v>19</v>
      </c>
      <c r="D10330" s="21"/>
    </row>
    <row r="10331" spans="1:4" ht="12.75" customHeight="1" x14ac:dyDescent="0.2">
      <c r="A10331" s="21"/>
      <c r="B10331" s="20" t="s">
        <v>18</v>
      </c>
      <c r="C10331" s="8" t="s">
        <v>44</v>
      </c>
      <c r="D10331" s="1" t="str">
        <f>HYPERLINK("javascript:void(0)","csiga testpajzs")</f>
        <v>csiga testpajzs</v>
      </c>
    </row>
    <row r="10332" spans="1:4" ht="12.75" customHeight="1" x14ac:dyDescent="0.2">
      <c r="A10332" s="21"/>
      <c r="B10332" s="21"/>
      <c r="C10332" s="8" t="s">
        <v>67</v>
      </c>
      <c r="D10332" s="1" t="str">
        <f>HYPERLINK("javascript:void(0)","wattacsomó")</f>
        <v>wattacsomó</v>
      </c>
    </row>
    <row r="10333" spans="1:4" ht="12.75" customHeight="1" x14ac:dyDescent="0.2">
      <c r="A10333" s="21"/>
      <c r="B10333" s="21"/>
      <c r="C10333" s="8" t="s">
        <v>117</v>
      </c>
      <c r="D10333" s="1" t="str">
        <f>HYPERLINK("javascript:void(0)","vaskarima")</f>
        <v>vaskarima</v>
      </c>
    </row>
    <row r="10334" spans="1:4" ht="12.75" customHeight="1" x14ac:dyDescent="0.2">
      <c r="A10334" s="21"/>
      <c r="B10334" s="2"/>
      <c r="C10334" s="7"/>
      <c r="D10334" s="7"/>
    </row>
    <row r="10335" spans="1:4" ht="12.75" customHeight="1" x14ac:dyDescent="0.2">
      <c r="A10335" s="21"/>
      <c r="B10335" s="2"/>
      <c r="C10335" s="7"/>
      <c r="D10335" s="7"/>
    </row>
    <row r="10336" spans="1:4" ht="12.75" customHeight="1" x14ac:dyDescent="0.2">
      <c r="A10336" s="21"/>
      <c r="B10336" s="2"/>
      <c r="C10336" s="7"/>
      <c r="D10336" s="7"/>
    </row>
    <row r="10337" spans="1:4" ht="12.75" customHeight="1" x14ac:dyDescent="0.2">
      <c r="A10337" s="21"/>
      <c r="B10337" s="2"/>
      <c r="C10337" s="7"/>
      <c r="D10337" s="7"/>
    </row>
    <row r="10338" spans="1:4" ht="12.75" customHeight="1" x14ac:dyDescent="0.2">
      <c r="A10338" s="5"/>
      <c r="B10338" s="2"/>
      <c r="C10338" s="7"/>
      <c r="D10338" s="7"/>
    </row>
    <row r="10339" spans="1:4" ht="12.75" customHeight="1" x14ac:dyDescent="0.2">
      <c r="A10339" s="22" t="str">
        <f>HYPERLINK("javascript:void(0)","aranyos szellempajzs")</f>
        <v>aranyos szellempajzs</v>
      </c>
      <c r="B10339" s="21"/>
      <c r="C10339" s="21"/>
      <c r="D10339" s="21"/>
    </row>
    <row r="10340" spans="1:4" ht="12.75" customHeight="1" x14ac:dyDescent="0.2">
      <c r="A10340" s="20"/>
      <c r="B10340" s="2"/>
      <c r="C10340" s="7"/>
      <c r="D10340" s="7"/>
    </row>
    <row r="10341" spans="1:4" ht="12.75" customHeight="1" x14ac:dyDescent="0.2">
      <c r="A10341" s="21"/>
      <c r="B10341" s="3" t="s">
        <v>0</v>
      </c>
      <c r="C10341" s="23" t="s">
        <v>776</v>
      </c>
      <c r="D10341" s="21"/>
    </row>
    <row r="10342" spans="1:4" ht="12.75" customHeight="1" x14ac:dyDescent="0.2">
      <c r="A10342" s="21"/>
      <c r="B10342" s="3" t="s">
        <v>2</v>
      </c>
      <c r="C10342" s="23" t="s">
        <v>1839</v>
      </c>
      <c r="D10342" s="21"/>
    </row>
    <row r="10343" spans="1:4" ht="12.75" customHeight="1" x14ac:dyDescent="0.2">
      <c r="A10343" s="21"/>
      <c r="B10343" s="3" t="s">
        <v>1840</v>
      </c>
      <c r="C10343" s="23" t="s">
        <v>500</v>
      </c>
      <c r="D10343" s="21"/>
    </row>
    <row r="10344" spans="1:4" ht="12.75" customHeight="1" x14ac:dyDescent="0.2">
      <c r="A10344" s="21"/>
      <c r="B10344" s="3" t="s">
        <v>9</v>
      </c>
      <c r="C10344" s="23" t="s">
        <v>712</v>
      </c>
      <c r="D10344" s="21"/>
    </row>
    <row r="10345" spans="1:4" ht="12.75" customHeight="1" x14ac:dyDescent="0.2">
      <c r="A10345" s="21"/>
      <c r="B10345" s="3" t="s">
        <v>11</v>
      </c>
      <c r="C10345" s="23" t="s">
        <v>1443</v>
      </c>
      <c r="D10345" s="21"/>
    </row>
    <row r="10346" spans="1:4" ht="12.75" customHeight="1" x14ac:dyDescent="0.2">
      <c r="A10346" s="21"/>
      <c r="B10346" s="3" t="s">
        <v>16</v>
      </c>
      <c r="C10346" s="23"/>
      <c r="D10346" s="21"/>
    </row>
    <row r="10347" spans="1:4" ht="12.75" customHeight="1" x14ac:dyDescent="0.2">
      <c r="A10347" s="21"/>
      <c r="B10347" s="3" t="s">
        <v>17</v>
      </c>
      <c r="C10347" s="23" t="s">
        <v>19</v>
      </c>
      <c r="D10347" s="21"/>
    </row>
    <row r="10348" spans="1:4" ht="12.75" customHeight="1" x14ac:dyDescent="0.2">
      <c r="A10348" s="21"/>
      <c r="B10348" s="20" t="s">
        <v>18</v>
      </c>
      <c r="C10348" s="8" t="s">
        <v>44</v>
      </c>
      <c r="D10348" s="1" t="str">
        <f>HYPERLINK("javascript:void(0)","wattás testpajzs")</f>
        <v>wattás testpajzs</v>
      </c>
    </row>
    <row r="10349" spans="1:4" ht="12.75" customHeight="1" x14ac:dyDescent="0.2">
      <c r="A10349" s="21"/>
      <c r="B10349" s="21"/>
      <c r="C10349" s="8" t="s">
        <v>309</v>
      </c>
      <c r="D10349" s="1" t="str">
        <f>HYPERLINK("javascript:void(0)","aranyrög")</f>
        <v>aranyrög</v>
      </c>
    </row>
    <row r="10350" spans="1:4" ht="12.75" customHeight="1" x14ac:dyDescent="0.2">
      <c r="A10350" s="21"/>
      <c r="B10350" s="21"/>
      <c r="C10350" s="8" t="s">
        <v>142</v>
      </c>
      <c r="D10350" s="1" t="str">
        <f>HYPERLINK("javascript:void(0)","sárkányzsák")</f>
        <v>sárkányzsák</v>
      </c>
    </row>
    <row r="10351" spans="1:4" ht="12.75" customHeight="1" x14ac:dyDescent="0.2">
      <c r="A10351" s="21"/>
      <c r="B10351" s="2"/>
      <c r="C10351" s="7"/>
      <c r="D10351" s="7"/>
    </row>
    <row r="10352" spans="1:4" ht="12.75" customHeight="1" x14ac:dyDescent="0.2">
      <c r="A10352" s="21"/>
      <c r="B10352" s="2"/>
      <c r="C10352" s="7"/>
      <c r="D10352" s="7"/>
    </row>
    <row r="10353" spans="1:4" ht="12.75" customHeight="1" x14ac:dyDescent="0.2">
      <c r="A10353" s="21"/>
      <c r="B10353" s="2"/>
      <c r="C10353" s="7"/>
      <c r="D10353" s="7"/>
    </row>
    <row r="10354" spans="1:4" ht="12.75" customHeight="1" x14ac:dyDescent="0.2">
      <c r="A10354" s="21"/>
      <c r="B10354" s="2"/>
      <c r="C10354" s="7"/>
      <c r="D10354" s="7"/>
    </row>
    <row r="10355" spans="1:4" ht="12.75" customHeight="1" x14ac:dyDescent="0.2">
      <c r="A10355" s="5"/>
      <c r="B10355" s="2"/>
      <c r="C10355" s="7"/>
      <c r="D10355" s="7"/>
    </row>
    <row r="10356" spans="1:4" ht="12.75" customHeight="1" x14ac:dyDescent="0.2">
      <c r="A10356" s="22" t="str">
        <f>HYPERLINK("javascript:void(0)","mengorni antigrav csizma")</f>
        <v>mengorni antigrav csizma</v>
      </c>
      <c r="B10356" s="21"/>
      <c r="C10356" s="21"/>
      <c r="D10356" s="21"/>
    </row>
    <row r="10357" spans="1:4" ht="12.75" customHeight="1" x14ac:dyDescent="0.2">
      <c r="A10357" s="20"/>
      <c r="B10357" s="2"/>
      <c r="C10357" s="7"/>
      <c r="D10357" s="7"/>
    </row>
    <row r="10358" spans="1:4" ht="12.75" customHeight="1" x14ac:dyDescent="0.2">
      <c r="A10358" s="21"/>
      <c r="B10358" s="3" t="s">
        <v>0</v>
      </c>
      <c r="C10358" s="23" t="s">
        <v>776</v>
      </c>
      <c r="D10358" s="21"/>
    </row>
    <row r="10359" spans="1:4" ht="12.75" customHeight="1" x14ac:dyDescent="0.2">
      <c r="A10359" s="21"/>
      <c r="B10359" s="3" t="s">
        <v>2</v>
      </c>
      <c r="C10359" s="23"/>
      <c r="D10359" s="21"/>
    </row>
    <row r="10360" spans="1:4" ht="12.75" customHeight="1" x14ac:dyDescent="0.2">
      <c r="A10360" s="21"/>
      <c r="B10360" s="3" t="s">
        <v>1840</v>
      </c>
      <c r="C10360" s="23" t="s">
        <v>287</v>
      </c>
      <c r="D10360" s="21"/>
    </row>
    <row r="10361" spans="1:4" ht="12.75" customHeight="1" x14ac:dyDescent="0.2">
      <c r="A10361" s="21"/>
      <c r="B10361" s="3" t="s">
        <v>9</v>
      </c>
      <c r="C10361" s="23" t="s">
        <v>626</v>
      </c>
      <c r="D10361" s="21"/>
    </row>
    <row r="10362" spans="1:4" ht="12.75" customHeight="1" x14ac:dyDescent="0.2">
      <c r="A10362" s="21"/>
      <c r="B10362" s="3" t="s">
        <v>11</v>
      </c>
      <c r="C10362" s="23" t="s">
        <v>23</v>
      </c>
      <c r="D10362" s="21"/>
    </row>
    <row r="10363" spans="1:4" ht="12.75" customHeight="1" x14ac:dyDescent="0.2">
      <c r="A10363" s="21"/>
      <c r="B10363" s="3" t="s">
        <v>16</v>
      </c>
      <c r="C10363" s="23"/>
      <c r="D10363" s="21"/>
    </row>
    <row r="10364" spans="1:4" ht="12.75" customHeight="1" x14ac:dyDescent="0.2">
      <c r="A10364" s="21"/>
      <c r="B10364" s="3" t="s">
        <v>17</v>
      </c>
      <c r="C10364" s="23" t="s">
        <v>19</v>
      </c>
      <c r="D10364" s="21"/>
    </row>
    <row r="10365" spans="1:4" ht="25.5" customHeight="1" x14ac:dyDescent="0.2">
      <c r="A10365" s="21"/>
      <c r="B10365" s="20" t="s">
        <v>18</v>
      </c>
      <c r="C10365" s="8" t="s">
        <v>44</v>
      </c>
      <c r="D10365" s="1" t="str">
        <f>HYPERLINK("javascript:void(0)","kentacél antigrav csizma")</f>
        <v>kentacél antigrav csizma</v>
      </c>
    </row>
    <row r="10366" spans="1:4" ht="12.75" customHeight="1" x14ac:dyDescent="0.2">
      <c r="A10366" s="21"/>
      <c r="B10366" s="21"/>
      <c r="C10366" s="8" t="s">
        <v>130</v>
      </c>
      <c r="D10366" s="1" t="str">
        <f>HYPERLINK("javascript:void(0)","hagymapikkely")</f>
        <v>hagymapikkely</v>
      </c>
    </row>
    <row r="10367" spans="1:4" ht="12.75" customHeight="1" x14ac:dyDescent="0.2">
      <c r="A10367" s="21"/>
      <c r="B10367" s="21"/>
      <c r="C10367" s="8" t="s">
        <v>163</v>
      </c>
      <c r="D10367" s="1" t="str">
        <f>HYPERLINK("javascript:void(0)","brummogás")</f>
        <v>brummogás</v>
      </c>
    </row>
    <row r="10368" spans="1:4" ht="12.75" customHeight="1" x14ac:dyDescent="0.2">
      <c r="A10368" s="21"/>
      <c r="B10368" s="2"/>
      <c r="C10368" s="7"/>
      <c r="D10368" s="7"/>
    </row>
    <row r="10369" spans="1:4" ht="12.75" customHeight="1" x14ac:dyDescent="0.2">
      <c r="A10369" s="21"/>
      <c r="B10369" s="2"/>
      <c r="C10369" s="7"/>
      <c r="D10369" s="7"/>
    </row>
    <row r="10370" spans="1:4" ht="12.75" customHeight="1" x14ac:dyDescent="0.2">
      <c r="A10370" s="21"/>
      <c r="B10370" s="2"/>
      <c r="C10370" s="7"/>
      <c r="D10370" s="7"/>
    </row>
    <row r="10371" spans="1:4" ht="12.75" customHeight="1" x14ac:dyDescent="0.2">
      <c r="A10371" s="21"/>
      <c r="B10371" s="2"/>
      <c r="C10371" s="7"/>
      <c r="D10371" s="7"/>
    </row>
    <row r="10372" spans="1:4" ht="12.75" customHeight="1" x14ac:dyDescent="0.2">
      <c r="A10372" s="5"/>
      <c r="B10372" s="2"/>
      <c r="C10372" s="7"/>
      <c r="D10372" s="7"/>
    </row>
    <row r="10373" spans="1:4" ht="12.75" customHeight="1" x14ac:dyDescent="0.2">
      <c r="A10373" s="22" t="str">
        <f>HYPERLINK("javascript:void(0)","izzó rostély")</f>
        <v>izzó rostély</v>
      </c>
      <c r="B10373" s="21"/>
      <c r="C10373" s="21"/>
      <c r="D10373" s="21"/>
    </row>
    <row r="10374" spans="1:4" ht="12.75" customHeight="1" x14ac:dyDescent="0.2">
      <c r="A10374" s="20"/>
      <c r="B10374" s="2"/>
      <c r="C10374" s="7"/>
      <c r="D10374" s="7"/>
    </row>
    <row r="10375" spans="1:4" ht="12.75" customHeight="1" x14ac:dyDescent="0.2">
      <c r="A10375" s="21"/>
      <c r="B10375" s="3" t="s">
        <v>0</v>
      </c>
      <c r="C10375" s="23" t="s">
        <v>776</v>
      </c>
      <c r="D10375" s="21"/>
    </row>
    <row r="10376" spans="1:4" ht="12.75" customHeight="1" x14ac:dyDescent="0.2">
      <c r="A10376" s="21"/>
      <c r="B10376" s="3" t="s">
        <v>2</v>
      </c>
      <c r="C10376" s="23" t="s">
        <v>2322</v>
      </c>
      <c r="D10376" s="21"/>
    </row>
    <row r="10377" spans="1:4" ht="12.75" customHeight="1" x14ac:dyDescent="0.2">
      <c r="A10377" s="21"/>
      <c r="B10377" s="3" t="s">
        <v>1840</v>
      </c>
      <c r="C10377" s="23" t="s">
        <v>417</v>
      </c>
      <c r="D10377" s="21"/>
    </row>
    <row r="10378" spans="1:4" ht="12.75" customHeight="1" x14ac:dyDescent="0.2">
      <c r="A10378" s="21"/>
      <c r="B10378" s="3" t="s">
        <v>9</v>
      </c>
      <c r="C10378" s="23" t="s">
        <v>42</v>
      </c>
      <c r="D10378" s="21"/>
    </row>
    <row r="10379" spans="1:4" ht="12.75" customHeight="1" x14ac:dyDescent="0.2">
      <c r="A10379" s="21"/>
      <c r="B10379" s="3" t="s">
        <v>11</v>
      </c>
      <c r="C10379" s="23" t="s">
        <v>368</v>
      </c>
      <c r="D10379" s="21"/>
    </row>
    <row r="10380" spans="1:4" ht="12.75" customHeight="1" x14ac:dyDescent="0.2">
      <c r="A10380" s="21"/>
      <c r="B10380" s="3" t="s">
        <v>16</v>
      </c>
      <c r="C10380" s="23"/>
      <c r="D10380" s="21"/>
    </row>
    <row r="10381" spans="1:4" ht="12.75" customHeight="1" x14ac:dyDescent="0.2">
      <c r="A10381" s="21"/>
      <c r="B10381" s="3" t="s">
        <v>17</v>
      </c>
      <c r="C10381" s="23" t="s">
        <v>19</v>
      </c>
      <c r="D10381" s="21"/>
    </row>
    <row r="10382" spans="1:4" ht="12.75" customHeight="1" x14ac:dyDescent="0.2">
      <c r="A10382" s="21"/>
      <c r="B10382" s="20" t="s">
        <v>18</v>
      </c>
      <c r="C10382" s="8" t="s">
        <v>77</v>
      </c>
      <c r="D10382" s="1" t="str">
        <f>HYPERLINK("javascript:void(0)","sárkányzsák")</f>
        <v>sárkányzsák</v>
      </c>
    </row>
    <row r="10383" spans="1:4" ht="12.75" customHeight="1" x14ac:dyDescent="0.2">
      <c r="A10383" s="21"/>
      <c r="B10383" s="21"/>
      <c r="C10383" s="8" t="s">
        <v>117</v>
      </c>
      <c r="D10383" s="1" t="str">
        <f>HYPERLINK("javascript:void(0)","térszelet")</f>
        <v>térszelet</v>
      </c>
    </row>
    <row r="10384" spans="1:4" ht="12.75" customHeight="1" x14ac:dyDescent="0.2">
      <c r="A10384" s="21"/>
      <c r="B10384" s="21"/>
      <c r="C10384" s="8" t="s">
        <v>106</v>
      </c>
      <c r="D10384" s="1" t="str">
        <f>HYPERLINK("javascript:void(0)","ámbra")</f>
        <v>ámbra</v>
      </c>
    </row>
    <row r="10385" spans="1:4" ht="12.75" customHeight="1" x14ac:dyDescent="0.2">
      <c r="A10385" s="21"/>
      <c r="B10385" s="2"/>
      <c r="C10385" s="7"/>
      <c r="D10385" s="7"/>
    </row>
    <row r="10386" spans="1:4" ht="12.75" customHeight="1" x14ac:dyDescent="0.2">
      <c r="A10386" s="21"/>
      <c r="B10386" s="2"/>
      <c r="C10386" s="7"/>
      <c r="D10386" s="7"/>
    </row>
    <row r="10387" spans="1:4" ht="12.75" customHeight="1" x14ac:dyDescent="0.2">
      <c r="A10387" s="21"/>
      <c r="B10387" s="2"/>
      <c r="C10387" s="7"/>
      <c r="D10387" s="7"/>
    </row>
    <row r="10388" spans="1:4" ht="12.75" customHeight="1" x14ac:dyDescent="0.2">
      <c r="A10388" s="21"/>
      <c r="B10388" s="2"/>
      <c r="C10388" s="7"/>
      <c r="D10388" s="7"/>
    </row>
    <row r="10389" spans="1:4" ht="12.75" customHeight="1" x14ac:dyDescent="0.2">
      <c r="A10389" s="5"/>
      <c r="B10389" s="2"/>
      <c r="C10389" s="7"/>
      <c r="D10389" s="7"/>
    </row>
    <row r="10390" spans="1:4" ht="12.75" customHeight="1" x14ac:dyDescent="0.2">
      <c r="A10390" s="22" t="str">
        <f>HYPERLINK("javascript:void(0)","teljes démonvért")</f>
        <v>teljes démonvért</v>
      </c>
      <c r="B10390" s="21"/>
      <c r="C10390" s="21"/>
      <c r="D10390" s="21"/>
    </row>
    <row r="10391" spans="1:4" ht="12.75" customHeight="1" x14ac:dyDescent="0.2">
      <c r="A10391" s="20"/>
      <c r="B10391" s="2"/>
      <c r="C10391" s="7"/>
      <c r="D10391" s="7"/>
    </row>
    <row r="10392" spans="1:4" ht="12.75" customHeight="1" x14ac:dyDescent="0.2">
      <c r="A10392" s="21"/>
      <c r="B10392" s="3" t="s">
        <v>0</v>
      </c>
      <c r="C10392" s="23" t="s">
        <v>782</v>
      </c>
      <c r="D10392" s="21"/>
    </row>
    <row r="10393" spans="1:4" ht="12.75" customHeight="1" x14ac:dyDescent="0.2">
      <c r="A10393" s="21"/>
      <c r="B10393" s="3" t="s">
        <v>2</v>
      </c>
      <c r="C10393" s="23" t="s">
        <v>2322</v>
      </c>
      <c r="D10393" s="21"/>
    </row>
    <row r="10394" spans="1:4" ht="12.75" customHeight="1" x14ac:dyDescent="0.2">
      <c r="A10394" s="21"/>
      <c r="B10394" s="3" t="s">
        <v>1840</v>
      </c>
      <c r="C10394" s="23" t="s">
        <v>2476</v>
      </c>
      <c r="D10394" s="21"/>
    </row>
    <row r="10395" spans="1:4" ht="12.75" customHeight="1" x14ac:dyDescent="0.2">
      <c r="A10395" s="21"/>
      <c r="B10395" s="3" t="s">
        <v>9</v>
      </c>
      <c r="C10395" s="23" t="s">
        <v>916</v>
      </c>
      <c r="D10395" s="21"/>
    </row>
    <row r="10396" spans="1:4" ht="12.75" customHeight="1" x14ac:dyDescent="0.2">
      <c r="A10396" s="21"/>
      <c r="B10396" s="3" t="s">
        <v>11</v>
      </c>
      <c r="C10396" s="23" t="s">
        <v>1090</v>
      </c>
      <c r="D10396" s="21"/>
    </row>
    <row r="10397" spans="1:4" ht="12.75" customHeight="1" x14ac:dyDescent="0.2">
      <c r="A10397" s="21"/>
      <c r="B10397" s="3" t="s">
        <v>16</v>
      </c>
      <c r="C10397" s="23"/>
      <c r="D10397" s="21"/>
    </row>
    <row r="10398" spans="1:4" ht="12.75" customHeight="1" x14ac:dyDescent="0.2">
      <c r="A10398" s="21"/>
      <c r="B10398" s="3" t="s">
        <v>17</v>
      </c>
      <c r="C10398" s="23" t="s">
        <v>19</v>
      </c>
      <c r="D10398" s="21"/>
    </row>
    <row r="10399" spans="1:4" ht="12.75" customHeight="1" x14ac:dyDescent="0.2">
      <c r="A10399" s="21"/>
      <c r="B10399" s="20" t="s">
        <v>18</v>
      </c>
      <c r="C10399" s="8" t="s">
        <v>212</v>
      </c>
      <c r="D10399" s="1" t="str">
        <f>HYPERLINK("javascript:void(0)","démonzanza")</f>
        <v>démonzanza</v>
      </c>
    </row>
    <row r="10400" spans="1:4" ht="12.75" customHeight="1" x14ac:dyDescent="0.2">
      <c r="A10400" s="21"/>
      <c r="B10400" s="21"/>
      <c r="C10400" s="8" t="s">
        <v>290</v>
      </c>
      <c r="D10400" s="1" t="str">
        <f>HYPERLINK("javascript:void(0)","bigapata")</f>
        <v>bigapata</v>
      </c>
    </row>
    <row r="10401" spans="1:4" ht="12.75" customHeight="1" x14ac:dyDescent="0.2">
      <c r="A10401" s="21"/>
      <c r="B10401" s="21"/>
      <c r="C10401" s="8" t="s">
        <v>184</v>
      </c>
      <c r="D10401" s="1" t="str">
        <f>HYPERLINK("javascript:void(0)","törmelék")</f>
        <v>törmelék</v>
      </c>
    </row>
    <row r="10402" spans="1:4" ht="12.75" customHeight="1" x14ac:dyDescent="0.2">
      <c r="A10402" s="21"/>
      <c r="B10402" s="2"/>
      <c r="C10402" s="7"/>
      <c r="D10402" s="7"/>
    </row>
    <row r="10403" spans="1:4" ht="12.75" customHeight="1" x14ac:dyDescent="0.2">
      <c r="A10403" s="21"/>
      <c r="B10403" s="2"/>
      <c r="C10403" s="7"/>
      <c r="D10403" s="7"/>
    </row>
    <row r="10404" spans="1:4" ht="12.75" customHeight="1" x14ac:dyDescent="0.2">
      <c r="A10404" s="21"/>
      <c r="B10404" s="2"/>
      <c r="C10404" s="7"/>
      <c r="D10404" s="7"/>
    </row>
    <row r="10405" spans="1:4" ht="12.75" customHeight="1" x14ac:dyDescent="0.2">
      <c r="A10405" s="21"/>
      <c r="B10405" s="2"/>
      <c r="C10405" s="7"/>
      <c r="D10405" s="7"/>
    </row>
    <row r="10406" spans="1:4" ht="12.75" customHeight="1" x14ac:dyDescent="0.2">
      <c r="A10406" s="5"/>
      <c r="B10406" s="2"/>
      <c r="C10406" s="7"/>
      <c r="D10406" s="7"/>
    </row>
    <row r="10407" spans="1:4" ht="12.75" customHeight="1" x14ac:dyDescent="0.2">
      <c r="A10407" s="22" t="str">
        <f>HYPERLINK("javascript:void(0)","aszálykorona")</f>
        <v>aszálykorona</v>
      </c>
      <c r="B10407" s="21"/>
      <c r="C10407" s="21"/>
      <c r="D10407" s="21"/>
    </row>
    <row r="10408" spans="1:4" ht="12.75" customHeight="1" x14ac:dyDescent="0.2">
      <c r="A10408" s="20"/>
      <c r="B10408" s="2"/>
      <c r="C10408" s="7"/>
      <c r="D10408" s="7"/>
    </row>
    <row r="10409" spans="1:4" ht="12.75" customHeight="1" x14ac:dyDescent="0.2">
      <c r="A10409" s="21"/>
      <c r="B10409" s="3" t="s">
        <v>0</v>
      </c>
      <c r="C10409" s="23" t="s">
        <v>782</v>
      </c>
      <c r="D10409" s="21"/>
    </row>
    <row r="10410" spans="1:4" ht="12.75" customHeight="1" x14ac:dyDescent="0.2">
      <c r="A10410" s="21"/>
      <c r="B10410" s="3" t="s">
        <v>2</v>
      </c>
      <c r="C10410" s="23"/>
      <c r="D10410" s="21"/>
    </row>
    <row r="10411" spans="1:4" ht="12.75" customHeight="1" x14ac:dyDescent="0.2">
      <c r="A10411" s="21"/>
      <c r="B10411" s="3" t="s">
        <v>1840</v>
      </c>
      <c r="C10411" s="23" t="s">
        <v>426</v>
      </c>
      <c r="D10411" s="21"/>
    </row>
    <row r="10412" spans="1:4" ht="12.75" customHeight="1" x14ac:dyDescent="0.2">
      <c r="A10412" s="21"/>
      <c r="B10412" s="3" t="s">
        <v>9</v>
      </c>
      <c r="C10412" s="23" t="s">
        <v>2110</v>
      </c>
      <c r="D10412" s="21"/>
    </row>
    <row r="10413" spans="1:4" ht="12.75" customHeight="1" x14ac:dyDescent="0.2">
      <c r="A10413" s="21"/>
      <c r="B10413" s="3" t="s">
        <v>11</v>
      </c>
      <c r="C10413" s="23" t="s">
        <v>1090</v>
      </c>
      <c r="D10413" s="21"/>
    </row>
    <row r="10414" spans="1:4" ht="12.75" customHeight="1" x14ac:dyDescent="0.2">
      <c r="A10414" s="21"/>
      <c r="B10414" s="3" t="s">
        <v>16</v>
      </c>
      <c r="C10414" s="23"/>
      <c r="D10414" s="21"/>
    </row>
    <row r="10415" spans="1:4" ht="12.75" customHeight="1" x14ac:dyDescent="0.2">
      <c r="A10415" s="21"/>
      <c r="B10415" s="3" t="s">
        <v>17</v>
      </c>
      <c r="C10415" s="23" t="s">
        <v>19</v>
      </c>
      <c r="D10415" s="21"/>
    </row>
    <row r="10416" spans="1:4" ht="12.75" customHeight="1" x14ac:dyDescent="0.2">
      <c r="A10416" s="21"/>
      <c r="B10416" s="20" t="s">
        <v>18</v>
      </c>
      <c r="C10416" s="8" t="s">
        <v>44</v>
      </c>
      <c r="D10416" s="1" t="str">
        <f>HYPERLINK("javascript:void(0)","ördögsisak")</f>
        <v>ördögsisak</v>
      </c>
    </row>
    <row r="10417" spans="1:4" ht="12.75" customHeight="1" x14ac:dyDescent="0.2">
      <c r="A10417" s="21"/>
      <c r="B10417" s="21"/>
      <c r="C10417" s="8" t="s">
        <v>117</v>
      </c>
      <c r="D10417" s="1" t="str">
        <f>HYPERLINK("javascript:void(0)","aszályige")</f>
        <v>aszályige</v>
      </c>
    </row>
    <row r="10418" spans="1:4" ht="12.75" customHeight="1" x14ac:dyDescent="0.2">
      <c r="A10418" s="21"/>
      <c r="B10418" s="21"/>
      <c r="C10418" s="8" t="s">
        <v>139</v>
      </c>
      <c r="D10418" s="1" t="str">
        <f>HYPERLINK("javascript:void(0)","fókaprém")</f>
        <v>fókaprém</v>
      </c>
    </row>
    <row r="10419" spans="1:4" ht="12.75" customHeight="1" x14ac:dyDescent="0.2">
      <c r="A10419" s="21"/>
      <c r="B10419" s="2"/>
      <c r="C10419" s="7"/>
      <c r="D10419" s="7"/>
    </row>
    <row r="10420" spans="1:4" ht="12.75" customHeight="1" x14ac:dyDescent="0.2">
      <c r="A10420" s="21"/>
      <c r="B10420" s="2"/>
      <c r="C10420" s="7"/>
      <c r="D10420" s="7"/>
    </row>
    <row r="10421" spans="1:4" ht="12.75" customHeight="1" x14ac:dyDescent="0.2">
      <c r="A10421" s="21"/>
      <c r="B10421" s="2"/>
      <c r="C10421" s="7"/>
      <c r="D10421" s="7"/>
    </row>
    <row r="10422" spans="1:4" ht="12.75" customHeight="1" x14ac:dyDescent="0.2">
      <c r="A10422" s="21"/>
      <c r="B10422" s="2"/>
      <c r="C10422" s="7"/>
      <c r="D10422" s="7"/>
    </row>
    <row r="10423" spans="1:4" ht="12.75" customHeight="1" x14ac:dyDescent="0.2">
      <c r="A10423" s="5"/>
      <c r="B10423" s="2"/>
      <c r="C10423" s="7"/>
      <c r="D10423" s="7"/>
    </row>
    <row r="10424" spans="1:4" ht="12.75" customHeight="1" x14ac:dyDescent="0.2">
      <c r="A10424" s="22" t="str">
        <f>HYPERLINK("javascript:void(0)","kithrill mokaszin")</f>
        <v>kithrill mokaszin</v>
      </c>
      <c r="B10424" s="21"/>
      <c r="C10424" s="21"/>
      <c r="D10424" s="21"/>
    </row>
    <row r="10425" spans="1:4" ht="12.75" customHeight="1" x14ac:dyDescent="0.2">
      <c r="A10425" s="20"/>
      <c r="B10425" s="2"/>
      <c r="C10425" s="7"/>
      <c r="D10425" s="7"/>
    </row>
    <row r="10426" spans="1:4" ht="12.75" customHeight="1" x14ac:dyDescent="0.2">
      <c r="A10426" s="21"/>
      <c r="B10426" s="3" t="s">
        <v>0</v>
      </c>
      <c r="C10426" s="23" t="s">
        <v>782</v>
      </c>
      <c r="D10426" s="21"/>
    </row>
    <row r="10427" spans="1:4" ht="12.75" customHeight="1" x14ac:dyDescent="0.2">
      <c r="A10427" s="21"/>
      <c r="B10427" s="3" t="s">
        <v>2</v>
      </c>
      <c r="C10427" s="23"/>
      <c r="D10427" s="21"/>
    </row>
    <row r="10428" spans="1:4" ht="12.75" customHeight="1" x14ac:dyDescent="0.2">
      <c r="A10428" s="21"/>
      <c r="B10428" s="3" t="s">
        <v>1840</v>
      </c>
      <c r="C10428" s="23" t="s">
        <v>476</v>
      </c>
      <c r="D10428" s="21"/>
    </row>
    <row r="10429" spans="1:4" ht="12.75" customHeight="1" x14ac:dyDescent="0.2">
      <c r="A10429" s="21"/>
      <c r="B10429" s="3" t="s">
        <v>9</v>
      </c>
      <c r="C10429" s="23" t="s">
        <v>678</v>
      </c>
      <c r="D10429" s="21"/>
    </row>
    <row r="10430" spans="1:4" ht="12.75" customHeight="1" x14ac:dyDescent="0.2">
      <c r="A10430" s="21"/>
      <c r="B10430" s="3" t="s">
        <v>11</v>
      </c>
      <c r="C10430" s="23" t="s">
        <v>1125</v>
      </c>
      <c r="D10430" s="21"/>
    </row>
    <row r="10431" spans="1:4" ht="12.75" customHeight="1" x14ac:dyDescent="0.2">
      <c r="A10431" s="21"/>
      <c r="B10431" s="3" t="s">
        <v>16</v>
      </c>
      <c r="C10431" s="23"/>
      <c r="D10431" s="21"/>
    </row>
    <row r="10432" spans="1:4" ht="12.75" customHeight="1" x14ac:dyDescent="0.2">
      <c r="A10432" s="21"/>
      <c r="B10432" s="3" t="s">
        <v>17</v>
      </c>
      <c r="C10432" s="23" t="s">
        <v>19</v>
      </c>
      <c r="D10432" s="21"/>
    </row>
    <row r="10433" spans="1:4" ht="12.75" customHeight="1" x14ac:dyDescent="0.2">
      <c r="A10433" s="21"/>
      <c r="B10433" s="20" t="s">
        <v>18</v>
      </c>
      <c r="C10433" s="8" t="s">
        <v>44</v>
      </c>
      <c r="D10433" s="1" t="str">
        <f>HYPERLINK("javascript:void(0)","diszpromokaszin")</f>
        <v>diszpromokaszin</v>
      </c>
    </row>
    <row r="10434" spans="1:4" ht="12.75" customHeight="1" x14ac:dyDescent="0.2">
      <c r="A10434" s="21"/>
      <c r="B10434" s="21"/>
      <c r="C10434" s="8" t="s">
        <v>44</v>
      </c>
      <c r="D10434" s="1" t="str">
        <f>HYPERLINK("javascript:void(0)","gyémánt mokaszin")</f>
        <v>gyémánt mokaszin</v>
      </c>
    </row>
    <row r="10435" spans="1:4" ht="12.75" customHeight="1" x14ac:dyDescent="0.2">
      <c r="A10435" s="21"/>
      <c r="B10435" s="21"/>
      <c r="C10435" s="8" t="s">
        <v>44</v>
      </c>
      <c r="D10435" s="1" t="str">
        <f>HYPERLINK("javascript:void(0)","kithrill fűző")</f>
        <v>kithrill fűző</v>
      </c>
    </row>
    <row r="10436" spans="1:4" ht="12.75" customHeight="1" x14ac:dyDescent="0.2">
      <c r="A10436" s="21"/>
      <c r="B10436" s="2"/>
      <c r="C10436" s="7"/>
      <c r="D10436" s="7"/>
    </row>
    <row r="10437" spans="1:4" ht="12.75" customHeight="1" x14ac:dyDescent="0.2">
      <c r="A10437" s="21"/>
      <c r="B10437" s="2"/>
      <c r="C10437" s="7"/>
      <c r="D10437" s="7"/>
    </row>
    <row r="10438" spans="1:4" ht="12.75" customHeight="1" x14ac:dyDescent="0.2">
      <c r="A10438" s="21"/>
      <c r="B10438" s="2"/>
      <c r="C10438" s="7"/>
      <c r="D10438" s="7"/>
    </row>
    <row r="10439" spans="1:4" ht="12.75" customHeight="1" x14ac:dyDescent="0.2">
      <c r="A10439" s="21"/>
      <c r="B10439" s="2"/>
      <c r="C10439" s="7"/>
      <c r="D10439" s="7"/>
    </row>
    <row r="10440" spans="1:4" ht="12.75" customHeight="1" x14ac:dyDescent="0.2">
      <c r="A10440" s="5"/>
      <c r="B10440" s="2"/>
      <c r="C10440" s="7"/>
      <c r="D10440" s="7"/>
    </row>
    <row r="10441" spans="1:4" ht="12.75" customHeight="1" x14ac:dyDescent="0.2">
      <c r="A10441" s="22" t="str">
        <f>HYPERLINK("javascript:void(0)","aszálypajzs")</f>
        <v>aszálypajzs</v>
      </c>
      <c r="B10441" s="21"/>
      <c r="C10441" s="21"/>
      <c r="D10441" s="21"/>
    </row>
    <row r="10442" spans="1:4" ht="12.75" customHeight="1" x14ac:dyDescent="0.2">
      <c r="A10442" s="20"/>
      <c r="B10442" s="2"/>
      <c r="C10442" s="7"/>
      <c r="D10442" s="7"/>
    </row>
    <row r="10443" spans="1:4" ht="12.75" customHeight="1" x14ac:dyDescent="0.2">
      <c r="A10443" s="21"/>
      <c r="B10443" s="3" t="s">
        <v>0</v>
      </c>
      <c r="C10443" s="23" t="s">
        <v>782</v>
      </c>
      <c r="D10443" s="21"/>
    </row>
    <row r="10444" spans="1:4" ht="12.75" customHeight="1" x14ac:dyDescent="0.2">
      <c r="A10444" s="21"/>
      <c r="B10444" s="3" t="s">
        <v>2</v>
      </c>
      <c r="C10444" s="23" t="s">
        <v>1839</v>
      </c>
      <c r="D10444" s="21"/>
    </row>
    <row r="10445" spans="1:4" ht="12.75" customHeight="1" x14ac:dyDescent="0.2">
      <c r="A10445" s="21"/>
      <c r="B10445" s="3" t="s">
        <v>1840</v>
      </c>
      <c r="C10445" s="23" t="s">
        <v>1802</v>
      </c>
      <c r="D10445" s="21"/>
    </row>
    <row r="10446" spans="1:4" ht="12.75" customHeight="1" x14ac:dyDescent="0.2">
      <c r="A10446" s="21"/>
      <c r="B10446" s="3" t="s">
        <v>9</v>
      </c>
      <c r="C10446" s="23" t="s">
        <v>377</v>
      </c>
      <c r="D10446" s="21"/>
    </row>
    <row r="10447" spans="1:4" ht="12.75" customHeight="1" x14ac:dyDescent="0.2">
      <c r="A10447" s="21"/>
      <c r="B10447" s="3" t="s">
        <v>11</v>
      </c>
      <c r="C10447" s="23" t="s">
        <v>1372</v>
      </c>
      <c r="D10447" s="21"/>
    </row>
    <row r="10448" spans="1:4" ht="12.75" customHeight="1" x14ac:dyDescent="0.2">
      <c r="A10448" s="21"/>
      <c r="B10448" s="3" t="s">
        <v>16</v>
      </c>
      <c r="C10448" s="23"/>
      <c r="D10448" s="21"/>
    </row>
    <row r="10449" spans="1:4" ht="12.75" customHeight="1" x14ac:dyDescent="0.2">
      <c r="A10449" s="21"/>
      <c r="B10449" s="3" t="s">
        <v>17</v>
      </c>
      <c r="C10449" s="23" t="s">
        <v>19</v>
      </c>
      <c r="D10449" s="21"/>
    </row>
    <row r="10450" spans="1:4" ht="12.75" customHeight="1" x14ac:dyDescent="0.2">
      <c r="A10450" s="21"/>
      <c r="B10450" s="20" t="s">
        <v>18</v>
      </c>
      <c r="C10450" s="8" t="s">
        <v>44</v>
      </c>
      <c r="D10450" s="1" t="str">
        <f>HYPERLINK("javascript:void(0)","wattás pajzs")</f>
        <v>wattás pajzs</v>
      </c>
    </row>
    <row r="10451" spans="1:4" ht="12.75" customHeight="1" x14ac:dyDescent="0.2">
      <c r="A10451" s="21"/>
      <c r="B10451" s="21"/>
      <c r="C10451" s="8" t="s">
        <v>67</v>
      </c>
      <c r="D10451" s="1" t="str">
        <f>HYPERLINK("javascript:void(0)","aszályige")</f>
        <v>aszályige</v>
      </c>
    </row>
    <row r="10452" spans="1:4" ht="12.75" customHeight="1" x14ac:dyDescent="0.2">
      <c r="A10452" s="21"/>
      <c r="B10452" s="21"/>
      <c r="C10452" s="8" t="s">
        <v>212</v>
      </c>
      <c r="D10452" s="1" t="str">
        <f>HYPERLINK("javascript:void(0)","törmelék")</f>
        <v>törmelék</v>
      </c>
    </row>
    <row r="10453" spans="1:4" ht="12.75" customHeight="1" x14ac:dyDescent="0.2">
      <c r="A10453" s="21"/>
      <c r="B10453" s="2"/>
      <c r="C10453" s="7"/>
      <c r="D10453" s="7"/>
    </row>
    <row r="10454" spans="1:4" ht="12.75" customHeight="1" x14ac:dyDescent="0.2">
      <c r="A10454" s="21"/>
      <c r="B10454" s="2"/>
      <c r="C10454" s="7"/>
      <c r="D10454" s="7"/>
    </row>
    <row r="10455" spans="1:4" ht="12.75" customHeight="1" x14ac:dyDescent="0.2">
      <c r="A10455" s="21"/>
      <c r="B10455" s="2"/>
      <c r="C10455" s="7"/>
      <c r="D10455" s="7"/>
    </row>
    <row r="10456" spans="1:4" ht="12.75" customHeight="1" x14ac:dyDescent="0.2">
      <c r="A10456" s="21"/>
      <c r="B10456" s="2"/>
      <c r="C10456" s="7"/>
      <c r="D10456" s="7"/>
    </row>
    <row r="10457" spans="1:4" ht="12.75" customHeight="1" x14ac:dyDescent="0.2">
      <c r="A10457" s="5"/>
      <c r="B10457" s="2"/>
      <c r="C10457" s="7"/>
      <c r="D10457" s="7"/>
    </row>
    <row r="10458" spans="1:4" ht="12.75" customHeight="1" x14ac:dyDescent="0.2">
      <c r="A10458" s="22" t="str">
        <f>HYPERLINK("javascript:void(0)","opálos szellempajzs")</f>
        <v>opálos szellempajzs</v>
      </c>
      <c r="B10458" s="21"/>
      <c r="C10458" s="21"/>
      <c r="D10458" s="21"/>
    </row>
    <row r="10459" spans="1:4" ht="12.75" customHeight="1" x14ac:dyDescent="0.2">
      <c r="A10459" s="20"/>
      <c r="B10459" s="2"/>
      <c r="C10459" s="7"/>
      <c r="D10459" s="7"/>
    </row>
    <row r="10460" spans="1:4" ht="12.75" customHeight="1" x14ac:dyDescent="0.2">
      <c r="A10460" s="21"/>
      <c r="B10460" s="3" t="s">
        <v>0</v>
      </c>
      <c r="C10460" s="23" t="s">
        <v>782</v>
      </c>
      <c r="D10460" s="21"/>
    </row>
    <row r="10461" spans="1:4" ht="12.75" customHeight="1" x14ac:dyDescent="0.2">
      <c r="A10461" s="21"/>
      <c r="B10461" s="3" t="s">
        <v>2</v>
      </c>
      <c r="C10461" s="23" t="s">
        <v>1839</v>
      </c>
      <c r="D10461" s="21"/>
    </row>
    <row r="10462" spans="1:4" ht="12.75" customHeight="1" x14ac:dyDescent="0.2">
      <c r="A10462" s="21"/>
      <c r="B10462" s="3" t="s">
        <v>1840</v>
      </c>
      <c r="C10462" s="23" t="s">
        <v>1802</v>
      </c>
      <c r="D10462" s="21"/>
    </row>
    <row r="10463" spans="1:4" ht="12.75" customHeight="1" x14ac:dyDescent="0.2">
      <c r="A10463" s="21"/>
      <c r="B10463" s="3" t="s">
        <v>9</v>
      </c>
      <c r="C10463" s="23" t="s">
        <v>2050</v>
      </c>
      <c r="D10463" s="21"/>
    </row>
    <row r="10464" spans="1:4" ht="12.75" customHeight="1" x14ac:dyDescent="0.2">
      <c r="A10464" s="21"/>
      <c r="B10464" s="3" t="s">
        <v>11</v>
      </c>
      <c r="C10464" s="23" t="s">
        <v>1528</v>
      </c>
      <c r="D10464" s="21"/>
    </row>
    <row r="10465" spans="1:4" ht="12.75" customHeight="1" x14ac:dyDescent="0.2">
      <c r="A10465" s="21"/>
      <c r="B10465" s="3" t="s">
        <v>16</v>
      </c>
      <c r="C10465" s="23"/>
      <c r="D10465" s="21"/>
    </row>
    <row r="10466" spans="1:4" ht="12.75" customHeight="1" x14ac:dyDescent="0.2">
      <c r="A10466" s="21"/>
      <c r="B10466" s="3" t="s">
        <v>17</v>
      </c>
      <c r="C10466" s="23" t="s">
        <v>19</v>
      </c>
      <c r="D10466" s="21"/>
    </row>
    <row r="10467" spans="1:4" ht="12.75" customHeight="1" x14ac:dyDescent="0.2">
      <c r="A10467" s="21"/>
      <c r="B10467" s="20" t="s">
        <v>18</v>
      </c>
      <c r="C10467" s="8" t="s">
        <v>44</v>
      </c>
      <c r="D10467" s="1" t="str">
        <f>HYPERLINK("javascript:void(0)","aszálypajzs")</f>
        <v>aszálypajzs</v>
      </c>
    </row>
    <row r="10468" spans="1:4" ht="12.75" customHeight="1" x14ac:dyDescent="0.2">
      <c r="A10468" s="21"/>
      <c r="B10468" s="21"/>
      <c r="C10468" s="8" t="s">
        <v>370</v>
      </c>
      <c r="D10468" s="1" t="str">
        <f>HYPERLINK("javascript:void(0)","opál")</f>
        <v>opál</v>
      </c>
    </row>
    <row r="10469" spans="1:4" ht="12.75" customHeight="1" x14ac:dyDescent="0.2">
      <c r="A10469" s="21"/>
      <c r="B10469" s="21"/>
      <c r="C10469" s="8" t="s">
        <v>296</v>
      </c>
      <c r="D10469" s="1" t="str">
        <f>HYPERLINK("javascript:void(0)","bigapata")</f>
        <v>bigapata</v>
      </c>
    </row>
    <row r="10470" spans="1:4" ht="12.75" customHeight="1" x14ac:dyDescent="0.2">
      <c r="A10470" s="21"/>
      <c r="B10470" s="2"/>
      <c r="C10470" s="7"/>
      <c r="D10470" s="7"/>
    </row>
    <row r="10471" spans="1:4" ht="12.75" customHeight="1" x14ac:dyDescent="0.2">
      <c r="A10471" s="21"/>
      <c r="B10471" s="2"/>
      <c r="C10471" s="7"/>
      <c r="D10471" s="7"/>
    </row>
    <row r="10472" spans="1:4" ht="12.75" customHeight="1" x14ac:dyDescent="0.2">
      <c r="A10472" s="21"/>
      <c r="B10472" s="2"/>
      <c r="C10472" s="7"/>
      <c r="D10472" s="7"/>
    </row>
    <row r="10473" spans="1:4" ht="12.75" customHeight="1" x14ac:dyDescent="0.2">
      <c r="A10473" s="21"/>
      <c r="B10473" s="2"/>
      <c r="C10473" s="7"/>
      <c r="D10473" s="7"/>
    </row>
    <row r="10474" spans="1:4" ht="12.75" customHeight="1" x14ac:dyDescent="0.2">
      <c r="A10474" s="5"/>
      <c r="B10474" s="2"/>
      <c r="C10474" s="7"/>
      <c r="D10474" s="7"/>
    </row>
    <row r="10475" spans="1:4" ht="12.75" customHeight="1" x14ac:dyDescent="0.2">
      <c r="A10475" s="22" t="str">
        <f>HYPERLINK("javascript:void(0)","kithrill fűző")</f>
        <v>kithrill fűző</v>
      </c>
      <c r="B10475" s="21"/>
      <c r="C10475" s="21"/>
      <c r="D10475" s="21"/>
    </row>
    <row r="10476" spans="1:4" ht="12.75" customHeight="1" x14ac:dyDescent="0.2">
      <c r="A10476" s="20"/>
      <c r="B10476" s="2"/>
      <c r="C10476" s="7"/>
      <c r="D10476" s="7"/>
    </row>
    <row r="10477" spans="1:4" ht="12.75" customHeight="1" x14ac:dyDescent="0.2">
      <c r="A10477" s="21"/>
      <c r="B10477" s="3" t="s">
        <v>0</v>
      </c>
      <c r="C10477" s="23" t="s">
        <v>782</v>
      </c>
      <c r="D10477" s="21"/>
    </row>
    <row r="10478" spans="1:4" ht="12.75" customHeight="1" x14ac:dyDescent="0.2">
      <c r="A10478" s="21"/>
      <c r="B10478" s="3" t="s">
        <v>2</v>
      </c>
      <c r="C10478" s="23" t="s">
        <v>2322</v>
      </c>
      <c r="D10478" s="21"/>
    </row>
    <row r="10479" spans="1:4" ht="12.75" customHeight="1" x14ac:dyDescent="0.2">
      <c r="A10479" s="21"/>
      <c r="B10479" s="3" t="s">
        <v>1840</v>
      </c>
      <c r="C10479" s="23" t="s">
        <v>417</v>
      </c>
      <c r="D10479" s="21"/>
    </row>
    <row r="10480" spans="1:4" ht="12.75" customHeight="1" x14ac:dyDescent="0.2">
      <c r="A10480" s="21"/>
      <c r="B10480" s="3" t="s">
        <v>9</v>
      </c>
      <c r="C10480" s="23" t="s">
        <v>42</v>
      </c>
      <c r="D10480" s="21"/>
    </row>
    <row r="10481" spans="1:4" ht="12.75" customHeight="1" x14ac:dyDescent="0.2">
      <c r="A10481" s="21"/>
      <c r="B10481" s="3" t="s">
        <v>11</v>
      </c>
      <c r="C10481" s="23" t="s">
        <v>368</v>
      </c>
      <c r="D10481" s="21"/>
    </row>
    <row r="10482" spans="1:4" ht="12.75" customHeight="1" x14ac:dyDescent="0.2">
      <c r="A10482" s="21"/>
      <c r="B10482" s="3" t="s">
        <v>16</v>
      </c>
      <c r="C10482" s="23"/>
      <c r="D10482" s="21"/>
    </row>
    <row r="10483" spans="1:4" ht="12.75" customHeight="1" x14ac:dyDescent="0.2">
      <c r="A10483" s="21"/>
      <c r="B10483" s="3" t="s">
        <v>17</v>
      </c>
      <c r="C10483" s="23" t="s">
        <v>19</v>
      </c>
      <c r="D10483" s="21"/>
    </row>
    <row r="10484" spans="1:4" ht="12.75" customHeight="1" x14ac:dyDescent="0.2">
      <c r="A10484" s="21"/>
      <c r="B10484" s="20" t="s">
        <v>18</v>
      </c>
      <c r="C10484" s="8" t="s">
        <v>403</v>
      </c>
      <c r="D10484" s="1" t="str">
        <f>HYPERLINK("javascript:void(0)","kithrill")</f>
        <v>kithrill</v>
      </c>
    </row>
    <row r="10485" spans="1:4" ht="12.75" customHeight="1" x14ac:dyDescent="0.2">
      <c r="A10485" s="21"/>
      <c r="B10485" s="21"/>
      <c r="C10485" s="8" t="s">
        <v>67</v>
      </c>
      <c r="D10485" s="1" t="str">
        <f>HYPERLINK("javascript:void(0)","aszályige")</f>
        <v>aszályige</v>
      </c>
    </row>
    <row r="10486" spans="1:4" ht="12.75" customHeight="1" x14ac:dyDescent="0.2">
      <c r="A10486" s="21"/>
      <c r="B10486" s="21"/>
      <c r="C10486" s="8" t="s">
        <v>280</v>
      </c>
      <c r="D10486" s="1" t="str">
        <f>HYPERLINK("javascript:void(0)","lux")</f>
        <v>lux</v>
      </c>
    </row>
    <row r="10487" spans="1:4" ht="12.75" customHeight="1" x14ac:dyDescent="0.2">
      <c r="A10487" s="21"/>
      <c r="B10487" s="2"/>
      <c r="C10487" s="7"/>
      <c r="D10487" s="7"/>
    </row>
    <row r="10488" spans="1:4" ht="12.75" customHeight="1" x14ac:dyDescent="0.2">
      <c r="A10488" s="21"/>
      <c r="B10488" s="2"/>
      <c r="C10488" s="7"/>
      <c r="D10488" s="7"/>
    </row>
    <row r="10489" spans="1:4" ht="12.75" customHeight="1" x14ac:dyDescent="0.2">
      <c r="A10489" s="21"/>
      <c r="B10489" s="2"/>
      <c r="C10489" s="7"/>
      <c r="D10489" s="7"/>
    </row>
    <row r="10490" spans="1:4" ht="12.75" customHeight="1" x14ac:dyDescent="0.2">
      <c r="A10490" s="21"/>
      <c r="B10490" s="2"/>
      <c r="C10490" s="7"/>
      <c r="D10490" s="7"/>
    </row>
    <row r="10491" spans="1:4" ht="12.75" customHeight="1" x14ac:dyDescent="0.2">
      <c r="A10491" s="5"/>
      <c r="B10491" s="2"/>
      <c r="C10491" s="7"/>
      <c r="D10491" s="7"/>
    </row>
    <row r="10492" spans="1:4" ht="12.75" customHeight="1" x14ac:dyDescent="0.2">
      <c r="A10492" s="22" t="str">
        <f>HYPERLINK("javascript:void(0)","dracoacél vállap")</f>
        <v>dracoacél vállap</v>
      </c>
      <c r="B10492" s="21"/>
      <c r="C10492" s="21"/>
      <c r="D10492" s="21"/>
    </row>
    <row r="10493" spans="1:4" ht="12.75" customHeight="1" x14ac:dyDescent="0.2">
      <c r="A10493" s="20"/>
      <c r="B10493" s="2"/>
      <c r="C10493" s="7"/>
      <c r="D10493" s="7"/>
    </row>
    <row r="10494" spans="1:4" ht="12.75" customHeight="1" x14ac:dyDescent="0.2">
      <c r="A10494" s="21"/>
      <c r="B10494" s="3" t="s">
        <v>0</v>
      </c>
      <c r="C10494" s="23" t="s">
        <v>782</v>
      </c>
      <c r="D10494" s="21"/>
    </row>
    <row r="10495" spans="1:4" ht="12.75" customHeight="1" x14ac:dyDescent="0.2">
      <c r="A10495" s="21"/>
      <c r="B10495" s="3" t="s">
        <v>2</v>
      </c>
      <c r="C10495" s="23" t="s">
        <v>2322</v>
      </c>
      <c r="D10495" s="21"/>
    </row>
    <row r="10496" spans="1:4" ht="12.75" customHeight="1" x14ac:dyDescent="0.2">
      <c r="A10496" s="21"/>
      <c r="B10496" s="3" t="s">
        <v>1840</v>
      </c>
      <c r="C10496" s="23" t="s">
        <v>115</v>
      </c>
      <c r="D10496" s="21"/>
    </row>
    <row r="10497" spans="1:4" ht="12.75" customHeight="1" x14ac:dyDescent="0.2">
      <c r="A10497" s="21"/>
      <c r="B10497" s="3" t="s">
        <v>9</v>
      </c>
      <c r="C10497" s="23" t="s">
        <v>42</v>
      </c>
      <c r="D10497" s="21"/>
    </row>
    <row r="10498" spans="1:4" ht="12.75" customHeight="1" x14ac:dyDescent="0.2">
      <c r="A10498" s="21"/>
      <c r="B10498" s="3" t="s">
        <v>11</v>
      </c>
      <c r="C10498" s="23" t="s">
        <v>2477</v>
      </c>
      <c r="D10498" s="21"/>
    </row>
    <row r="10499" spans="1:4" ht="12.75" customHeight="1" x14ac:dyDescent="0.2">
      <c r="A10499" s="21"/>
      <c r="B10499" s="3" t="s">
        <v>16</v>
      </c>
      <c r="C10499" s="23"/>
      <c r="D10499" s="21"/>
    </row>
    <row r="10500" spans="1:4" ht="12.75" customHeight="1" x14ac:dyDescent="0.2">
      <c r="A10500" s="21"/>
      <c r="B10500" s="3" t="s">
        <v>17</v>
      </c>
      <c r="C10500" s="23" t="s">
        <v>19</v>
      </c>
      <c r="D10500" s="21"/>
    </row>
    <row r="10501" spans="1:4" ht="12.75" customHeight="1" x14ac:dyDescent="0.2">
      <c r="A10501" s="21"/>
      <c r="B10501" s="20" t="s">
        <v>18</v>
      </c>
      <c r="C10501" s="8" t="s">
        <v>139</v>
      </c>
      <c r="D10501" s="1" t="str">
        <f>HYPERLINK("javascript:void(0)","gránitrög")</f>
        <v>gránitrög</v>
      </c>
    </row>
    <row r="10502" spans="1:4" ht="12.75" customHeight="1" x14ac:dyDescent="0.2">
      <c r="A10502" s="21"/>
      <c r="B10502" s="21"/>
      <c r="C10502" s="8" t="s">
        <v>132</v>
      </c>
      <c r="D10502" s="1" t="str">
        <f>HYPERLINK("javascript:void(0)","wattacsomó")</f>
        <v>wattacsomó</v>
      </c>
    </row>
    <row r="10503" spans="1:4" ht="12.75" customHeight="1" x14ac:dyDescent="0.2">
      <c r="A10503" s="21"/>
      <c r="B10503" s="21"/>
      <c r="C10503" s="8" t="s">
        <v>68</v>
      </c>
      <c r="D10503" s="1" t="str">
        <f>HYPERLINK("javascript:void(0)","ikerkristály")</f>
        <v>ikerkristály</v>
      </c>
    </row>
    <row r="10504" spans="1:4" ht="12.75" customHeight="1" x14ac:dyDescent="0.2">
      <c r="A10504" s="21"/>
      <c r="B10504" s="2"/>
      <c r="C10504" s="7"/>
      <c r="D10504" s="7"/>
    </row>
    <row r="10505" spans="1:4" ht="12.75" customHeight="1" x14ac:dyDescent="0.2">
      <c r="A10505" s="21"/>
      <c r="B10505" s="2"/>
      <c r="C10505" s="7"/>
      <c r="D10505" s="7"/>
    </row>
    <row r="10506" spans="1:4" ht="12.75" customHeight="1" x14ac:dyDescent="0.2">
      <c r="A10506" s="21"/>
      <c r="B10506" s="2"/>
      <c r="C10506" s="7"/>
      <c r="D10506" s="7"/>
    </row>
    <row r="10507" spans="1:4" ht="12.75" customHeight="1" x14ac:dyDescent="0.2">
      <c r="A10507" s="21"/>
      <c r="B10507" s="2"/>
      <c r="C10507" s="7"/>
      <c r="D10507" s="7"/>
    </row>
    <row r="10508" spans="1:4" ht="12.75" customHeight="1" x14ac:dyDescent="0.2">
      <c r="A10508" s="5"/>
      <c r="B10508" s="2"/>
      <c r="C10508" s="7"/>
      <c r="D10508" s="7"/>
    </row>
    <row r="10509" spans="1:4" ht="12.75" customHeight="1" x14ac:dyDescent="0.2">
      <c r="A10509" s="22" t="str">
        <f>HYPERLINK("javascript:void(0)","teljes sárkányvért")</f>
        <v>teljes sárkányvért</v>
      </c>
      <c r="B10509" s="21"/>
      <c r="C10509" s="21"/>
      <c r="D10509" s="21"/>
    </row>
    <row r="10510" spans="1:4" ht="12.75" customHeight="1" x14ac:dyDescent="0.2">
      <c r="A10510" s="20"/>
      <c r="B10510" s="2"/>
      <c r="C10510" s="7"/>
      <c r="D10510" s="7"/>
    </row>
    <row r="10511" spans="1:4" ht="12.75" customHeight="1" x14ac:dyDescent="0.2">
      <c r="A10511" s="21"/>
      <c r="B10511" s="3" t="s">
        <v>0</v>
      </c>
      <c r="C10511" s="23" t="s">
        <v>790</v>
      </c>
      <c r="D10511" s="21"/>
    </row>
    <row r="10512" spans="1:4" ht="12.75" customHeight="1" x14ac:dyDescent="0.2">
      <c r="A10512" s="21"/>
      <c r="B10512" s="3" t="s">
        <v>2</v>
      </c>
      <c r="C10512" s="23" t="s">
        <v>2322</v>
      </c>
      <c r="D10512" s="21"/>
    </row>
    <row r="10513" spans="1:4" ht="12.75" customHeight="1" x14ac:dyDescent="0.2">
      <c r="A10513" s="21"/>
      <c r="B10513" s="3" t="s">
        <v>1840</v>
      </c>
      <c r="C10513" s="23" t="s">
        <v>2478</v>
      </c>
      <c r="D10513" s="21"/>
    </row>
    <row r="10514" spans="1:4" ht="12.75" customHeight="1" x14ac:dyDescent="0.2">
      <c r="A10514" s="21"/>
      <c r="B10514" s="3" t="s">
        <v>9</v>
      </c>
      <c r="C10514" s="23" t="s">
        <v>2379</v>
      </c>
      <c r="D10514" s="21"/>
    </row>
    <row r="10515" spans="1:4" ht="12.75" customHeight="1" x14ac:dyDescent="0.2">
      <c r="A10515" s="21"/>
      <c r="B10515" s="3" t="s">
        <v>11</v>
      </c>
      <c r="C10515" s="23" t="s">
        <v>1105</v>
      </c>
      <c r="D10515" s="21"/>
    </row>
    <row r="10516" spans="1:4" ht="12.75" customHeight="1" x14ac:dyDescent="0.2">
      <c r="A10516" s="21"/>
      <c r="B10516" s="3" t="s">
        <v>16</v>
      </c>
      <c r="C10516" s="23"/>
      <c r="D10516" s="21"/>
    </row>
    <row r="10517" spans="1:4" ht="12.75" customHeight="1" x14ac:dyDescent="0.2">
      <c r="A10517" s="21"/>
      <c r="B10517" s="3" t="s">
        <v>17</v>
      </c>
      <c r="C10517" s="23" t="s">
        <v>19</v>
      </c>
      <c r="D10517" s="21"/>
    </row>
    <row r="10518" spans="1:4" ht="12.75" customHeight="1" x14ac:dyDescent="0.2">
      <c r="A10518" s="21"/>
      <c r="B10518" s="20" t="s">
        <v>18</v>
      </c>
      <c r="C10518" s="8" t="s">
        <v>44</v>
      </c>
      <c r="D10518" s="1" t="str">
        <f>HYPERLINK("javascript:void(0)","teljes démonvért")</f>
        <v>teljes démonvért</v>
      </c>
    </row>
    <row r="10519" spans="1:4" ht="12.75" customHeight="1" x14ac:dyDescent="0.2">
      <c r="A10519" s="21"/>
      <c r="B10519" s="21"/>
      <c r="C10519" s="8" t="s">
        <v>44</v>
      </c>
      <c r="D10519" s="1" t="str">
        <f>HYPERLINK("javascript:void(0)","teljes hidracélvért")</f>
        <v>teljes hidracélvért</v>
      </c>
    </row>
    <row r="10520" spans="1:4" ht="12.75" customHeight="1" x14ac:dyDescent="0.2">
      <c r="A10520" s="21"/>
      <c r="B10520" s="21"/>
      <c r="C10520" s="8" t="s">
        <v>44</v>
      </c>
      <c r="D10520" s="1" t="str">
        <f>HYPERLINK("javascript:void(0)","dracoacél vállap")</f>
        <v>dracoacél vállap</v>
      </c>
    </row>
    <row r="10521" spans="1:4" ht="12.75" customHeight="1" x14ac:dyDescent="0.2">
      <c r="A10521" s="21"/>
      <c r="B10521" s="2"/>
      <c r="C10521" s="7"/>
      <c r="D10521" s="7"/>
    </row>
    <row r="10522" spans="1:4" ht="12.75" customHeight="1" x14ac:dyDescent="0.2">
      <c r="A10522" s="21"/>
      <c r="B10522" s="2"/>
      <c r="C10522" s="7"/>
      <c r="D10522" s="7"/>
    </row>
    <row r="10523" spans="1:4" ht="12.75" customHeight="1" x14ac:dyDescent="0.2">
      <c r="A10523" s="21"/>
      <c r="B10523" s="2"/>
      <c r="C10523" s="7"/>
      <c r="D10523" s="7"/>
    </row>
    <row r="10524" spans="1:4" ht="12.75" customHeight="1" x14ac:dyDescent="0.2">
      <c r="A10524" s="21"/>
      <c r="B10524" s="2"/>
      <c r="C10524" s="7"/>
      <c r="D10524" s="7"/>
    </row>
    <row r="10525" spans="1:4" ht="12.75" customHeight="1" x14ac:dyDescent="0.2">
      <c r="A10525" s="5"/>
      <c r="B10525" s="2"/>
      <c r="C10525" s="7"/>
      <c r="D10525" s="7"/>
    </row>
    <row r="10526" spans="1:4" ht="12.75" customHeight="1" x14ac:dyDescent="0.2">
      <c r="A10526" s="22" t="str">
        <f>HYPERLINK("javascript:void(0)","szegecselt sisak")</f>
        <v>szegecselt sisak</v>
      </c>
      <c r="B10526" s="21"/>
      <c r="C10526" s="21"/>
      <c r="D10526" s="21"/>
    </row>
    <row r="10527" spans="1:4" ht="12.75" customHeight="1" x14ac:dyDescent="0.2">
      <c r="A10527" s="20"/>
      <c r="B10527" s="2"/>
      <c r="C10527" s="7"/>
      <c r="D10527" s="7"/>
    </row>
    <row r="10528" spans="1:4" ht="12.75" customHeight="1" x14ac:dyDescent="0.2">
      <c r="A10528" s="21"/>
      <c r="B10528" s="3" t="s">
        <v>0</v>
      </c>
      <c r="C10528" s="23" t="s">
        <v>790</v>
      </c>
      <c r="D10528" s="21"/>
    </row>
    <row r="10529" spans="1:4" ht="12.75" customHeight="1" x14ac:dyDescent="0.2">
      <c r="A10529" s="21"/>
      <c r="B10529" s="3" t="s">
        <v>2</v>
      </c>
      <c r="C10529" s="23"/>
      <c r="D10529" s="21"/>
    </row>
    <row r="10530" spans="1:4" ht="12.75" customHeight="1" x14ac:dyDescent="0.2">
      <c r="A10530" s="21"/>
      <c r="B10530" s="3" t="s">
        <v>1840</v>
      </c>
      <c r="C10530" s="23" t="s">
        <v>459</v>
      </c>
      <c r="D10530" s="21"/>
    </row>
    <row r="10531" spans="1:4" ht="12.75" customHeight="1" x14ac:dyDescent="0.2">
      <c r="A10531" s="21"/>
      <c r="B10531" s="3" t="s">
        <v>9</v>
      </c>
      <c r="C10531" s="23" t="s">
        <v>4551</v>
      </c>
      <c r="D10531" s="21"/>
    </row>
    <row r="10532" spans="1:4" ht="12.75" customHeight="1" x14ac:dyDescent="0.2">
      <c r="A10532" s="21"/>
      <c r="B10532" s="3" t="s">
        <v>11</v>
      </c>
      <c r="C10532" s="23" t="s">
        <v>1105</v>
      </c>
      <c r="D10532" s="21"/>
    </row>
    <row r="10533" spans="1:4" ht="12.75" customHeight="1" x14ac:dyDescent="0.2">
      <c r="A10533" s="21"/>
      <c r="B10533" s="3" t="s">
        <v>16</v>
      </c>
      <c r="C10533" s="23"/>
      <c r="D10533" s="21"/>
    </row>
    <row r="10534" spans="1:4" ht="12.75" customHeight="1" x14ac:dyDescent="0.2">
      <c r="A10534" s="21"/>
      <c r="B10534" s="3" t="s">
        <v>17</v>
      </c>
      <c r="C10534" s="23" t="s">
        <v>19</v>
      </c>
      <c r="D10534" s="21"/>
    </row>
    <row r="10535" spans="1:4" ht="12.75" customHeight="1" x14ac:dyDescent="0.2">
      <c r="A10535" s="21"/>
      <c r="B10535" s="20" t="s">
        <v>18</v>
      </c>
      <c r="C10535" s="8" t="s">
        <v>232</v>
      </c>
      <c r="D10535" s="1" t="str">
        <f>HYPERLINK("javascript:void(0)","csapdaszeg")</f>
        <v>csapdaszeg</v>
      </c>
    </row>
    <row r="10536" spans="1:4" ht="12.75" customHeight="1" x14ac:dyDescent="0.2">
      <c r="A10536" s="21"/>
      <c r="B10536" s="21"/>
      <c r="C10536" s="8" t="s">
        <v>244</v>
      </c>
      <c r="D10536" s="1" t="str">
        <f>HYPERLINK("javascript:void(0)","aszályige")</f>
        <v>aszályige</v>
      </c>
    </row>
    <row r="10537" spans="1:4" ht="12.75" customHeight="1" x14ac:dyDescent="0.2">
      <c r="A10537" s="21"/>
      <c r="B10537" s="21"/>
      <c r="C10537" s="8" t="s">
        <v>98</v>
      </c>
      <c r="D10537" s="1" t="str">
        <f>HYPERLINK("javascript:void(0)","hátszarv")</f>
        <v>hátszarv</v>
      </c>
    </row>
    <row r="10538" spans="1:4" ht="12.75" customHeight="1" x14ac:dyDescent="0.2">
      <c r="A10538" s="21"/>
      <c r="B10538" s="2"/>
      <c r="C10538" s="7"/>
      <c r="D10538" s="7"/>
    </row>
    <row r="10539" spans="1:4" ht="12.75" customHeight="1" x14ac:dyDescent="0.2">
      <c r="A10539" s="21"/>
      <c r="B10539" s="2"/>
      <c r="C10539" s="7"/>
      <c r="D10539" s="7"/>
    </row>
    <row r="10540" spans="1:4" ht="12.75" customHeight="1" x14ac:dyDescent="0.2">
      <c r="A10540" s="21"/>
      <c r="B10540" s="2"/>
      <c r="C10540" s="7"/>
      <c r="D10540" s="7"/>
    </row>
    <row r="10541" spans="1:4" ht="12.75" customHeight="1" x14ac:dyDescent="0.2">
      <c r="A10541" s="21"/>
      <c r="B10541" s="2"/>
      <c r="C10541" s="7"/>
      <c r="D10541" s="7"/>
    </row>
    <row r="10542" spans="1:4" ht="12.75" customHeight="1" x14ac:dyDescent="0.2">
      <c r="A10542" s="5"/>
      <c r="B10542" s="2"/>
      <c r="C10542" s="7"/>
      <c r="D10542" s="7"/>
    </row>
    <row r="10543" spans="1:4" ht="12.75" customHeight="1" x14ac:dyDescent="0.2">
      <c r="A10543" s="22" t="str">
        <f>HYPERLINK("javascript:void(0)","centromokaszin")</f>
        <v>centromokaszin</v>
      </c>
      <c r="B10543" s="21"/>
      <c r="C10543" s="21"/>
      <c r="D10543" s="21"/>
    </row>
    <row r="10544" spans="1:4" ht="12.75" customHeight="1" x14ac:dyDescent="0.2">
      <c r="A10544" s="20"/>
      <c r="B10544" s="2"/>
      <c r="C10544" s="7"/>
      <c r="D10544" s="7"/>
    </row>
    <row r="10545" spans="1:4" ht="12.75" customHeight="1" x14ac:dyDescent="0.2">
      <c r="A10545" s="21"/>
      <c r="B10545" s="3" t="s">
        <v>0</v>
      </c>
      <c r="C10545" s="23" t="s">
        <v>790</v>
      </c>
      <c r="D10545" s="21"/>
    </row>
    <row r="10546" spans="1:4" ht="12.75" customHeight="1" x14ac:dyDescent="0.2">
      <c r="A10546" s="21"/>
      <c r="B10546" s="3" t="s">
        <v>2</v>
      </c>
      <c r="C10546" s="23"/>
      <c r="D10546" s="21"/>
    </row>
    <row r="10547" spans="1:4" ht="12.75" customHeight="1" x14ac:dyDescent="0.2">
      <c r="A10547" s="21"/>
      <c r="B10547" s="3" t="s">
        <v>1840</v>
      </c>
      <c r="C10547" s="23" t="s">
        <v>1782</v>
      </c>
      <c r="D10547" s="21"/>
    </row>
    <row r="10548" spans="1:4" ht="12.75" customHeight="1" x14ac:dyDescent="0.2">
      <c r="A10548" s="21"/>
      <c r="B10548" s="3" t="s">
        <v>9</v>
      </c>
      <c r="C10548" s="23" t="s">
        <v>137</v>
      </c>
      <c r="D10548" s="21"/>
    </row>
    <row r="10549" spans="1:4" ht="12.75" customHeight="1" x14ac:dyDescent="0.2">
      <c r="A10549" s="21"/>
      <c r="B10549" s="3" t="s">
        <v>11</v>
      </c>
      <c r="C10549" s="23" t="s">
        <v>1145</v>
      </c>
      <c r="D10549" s="21"/>
    </row>
    <row r="10550" spans="1:4" ht="12.75" customHeight="1" x14ac:dyDescent="0.2">
      <c r="A10550" s="21"/>
      <c r="B10550" s="3" t="s">
        <v>16</v>
      </c>
      <c r="C10550" s="23"/>
      <c r="D10550" s="21"/>
    </row>
    <row r="10551" spans="1:4" ht="12.75" customHeight="1" x14ac:dyDescent="0.2">
      <c r="A10551" s="21"/>
      <c r="B10551" s="3" t="s">
        <v>17</v>
      </c>
      <c r="C10551" s="23" t="s">
        <v>19</v>
      </c>
      <c r="D10551" s="21"/>
    </row>
    <row r="10552" spans="1:4" ht="12.75" customHeight="1" x14ac:dyDescent="0.2">
      <c r="A10552" s="21"/>
      <c r="B10552" s="20" t="s">
        <v>18</v>
      </c>
      <c r="C10552" s="8" t="s">
        <v>44</v>
      </c>
      <c r="D10552" s="1" t="str">
        <f>HYPERLINK("javascript:void(0)","kithrill mokaszin")</f>
        <v>kithrill mokaszin</v>
      </c>
    </row>
    <row r="10553" spans="1:4" ht="12.75" customHeight="1" x14ac:dyDescent="0.2">
      <c r="A10553" s="21"/>
      <c r="B10553" s="21"/>
      <c r="C10553" s="8" t="s">
        <v>280</v>
      </c>
      <c r="D10553" s="1" t="str">
        <f>HYPERLINK("javascript:void(0)","centrolium")</f>
        <v>centrolium</v>
      </c>
    </row>
    <row r="10554" spans="1:4" ht="12.75" customHeight="1" x14ac:dyDescent="0.2">
      <c r="A10554" s="21"/>
      <c r="B10554" s="21"/>
      <c r="C10554" s="8" t="s">
        <v>55</v>
      </c>
      <c r="D10554" s="1" t="str">
        <f>HYPERLINK("javascript:void(0)","ikerkristály")</f>
        <v>ikerkristály</v>
      </c>
    </row>
    <row r="10555" spans="1:4" ht="12.75" customHeight="1" x14ac:dyDescent="0.2">
      <c r="A10555" s="21"/>
      <c r="B10555" s="2"/>
      <c r="C10555" s="7"/>
      <c r="D10555" s="7"/>
    </row>
    <row r="10556" spans="1:4" ht="12.75" customHeight="1" x14ac:dyDescent="0.2">
      <c r="A10556" s="21"/>
      <c r="B10556" s="2"/>
      <c r="C10556" s="7"/>
      <c r="D10556" s="7"/>
    </row>
    <row r="10557" spans="1:4" ht="12.75" customHeight="1" x14ac:dyDescent="0.2">
      <c r="A10557" s="21"/>
      <c r="B10557" s="2"/>
      <c r="C10557" s="7"/>
      <c r="D10557" s="7"/>
    </row>
    <row r="10558" spans="1:4" ht="12.75" customHeight="1" x14ac:dyDescent="0.2">
      <c r="A10558" s="21"/>
      <c r="B10558" s="2"/>
      <c r="C10558" s="7"/>
      <c r="D10558" s="7"/>
    </row>
    <row r="10559" spans="1:4" ht="12.75" customHeight="1" x14ac:dyDescent="0.2">
      <c r="A10559" s="5"/>
      <c r="B10559" s="2"/>
      <c r="C10559" s="7"/>
      <c r="D10559" s="7"/>
    </row>
    <row r="10560" spans="1:4" ht="12.75" customHeight="1" x14ac:dyDescent="0.2">
      <c r="A10560" s="22" t="str">
        <f>HYPERLINK("javascript:void(0)","aszály testpajzs")</f>
        <v>aszály testpajzs</v>
      </c>
      <c r="B10560" s="21"/>
      <c r="C10560" s="21"/>
      <c r="D10560" s="21"/>
    </row>
    <row r="10561" spans="1:4" ht="12.75" customHeight="1" x14ac:dyDescent="0.2">
      <c r="A10561" s="20"/>
      <c r="B10561" s="2"/>
      <c r="C10561" s="7"/>
      <c r="D10561" s="7"/>
    </row>
    <row r="10562" spans="1:4" ht="12.75" customHeight="1" x14ac:dyDescent="0.2">
      <c r="A10562" s="21"/>
      <c r="B10562" s="3" t="s">
        <v>0</v>
      </c>
      <c r="C10562" s="23" t="s">
        <v>790</v>
      </c>
      <c r="D10562" s="21"/>
    </row>
    <row r="10563" spans="1:4" ht="12.75" customHeight="1" x14ac:dyDescent="0.2">
      <c r="A10563" s="21"/>
      <c r="B10563" s="3" t="s">
        <v>2</v>
      </c>
      <c r="C10563" s="23" t="s">
        <v>1839</v>
      </c>
      <c r="D10563" s="21"/>
    </row>
    <row r="10564" spans="1:4" ht="12.75" customHeight="1" x14ac:dyDescent="0.2">
      <c r="A10564" s="21"/>
      <c r="B10564" s="3" t="s">
        <v>1840</v>
      </c>
      <c r="C10564" s="23" t="s">
        <v>4561</v>
      </c>
      <c r="D10564" s="21"/>
    </row>
    <row r="10565" spans="1:4" ht="12.75" customHeight="1" x14ac:dyDescent="0.2">
      <c r="A10565" s="21"/>
      <c r="B10565" s="3" t="s">
        <v>9</v>
      </c>
      <c r="C10565" s="23" t="s">
        <v>549</v>
      </c>
      <c r="D10565" s="21"/>
    </row>
    <row r="10566" spans="1:4" ht="12.75" customHeight="1" x14ac:dyDescent="0.2">
      <c r="A10566" s="21"/>
      <c r="B10566" s="3" t="s">
        <v>11</v>
      </c>
      <c r="C10566" s="23" t="s">
        <v>1443</v>
      </c>
      <c r="D10566" s="21"/>
    </row>
    <row r="10567" spans="1:4" ht="12.75" customHeight="1" x14ac:dyDescent="0.2">
      <c r="A10567" s="21"/>
      <c r="B10567" s="3" t="s">
        <v>16</v>
      </c>
      <c r="C10567" s="23"/>
      <c r="D10567" s="21"/>
    </row>
    <row r="10568" spans="1:4" ht="12.75" customHeight="1" x14ac:dyDescent="0.2">
      <c r="A10568" s="21"/>
      <c r="B10568" s="3" t="s">
        <v>17</v>
      </c>
      <c r="C10568" s="23" t="s">
        <v>19</v>
      </c>
      <c r="D10568" s="21"/>
    </row>
    <row r="10569" spans="1:4" ht="12.75" customHeight="1" x14ac:dyDescent="0.2">
      <c r="A10569" s="21"/>
      <c r="B10569" s="20" t="s">
        <v>18</v>
      </c>
      <c r="C10569" s="8" t="s">
        <v>44</v>
      </c>
      <c r="D10569" s="1" t="str">
        <f>HYPERLINK("javascript:void(0)","wattás testpajzs")</f>
        <v>wattás testpajzs</v>
      </c>
    </row>
    <row r="10570" spans="1:4" ht="12.75" customHeight="1" x14ac:dyDescent="0.2">
      <c r="A10570" s="21"/>
      <c r="B10570" s="21"/>
      <c r="C10570" s="8" t="s">
        <v>139</v>
      </c>
      <c r="D10570" s="1" t="str">
        <f>HYPERLINK("javascript:void(0)","aszályige")</f>
        <v>aszályige</v>
      </c>
    </row>
    <row r="10571" spans="1:4" ht="12.75" customHeight="1" x14ac:dyDescent="0.2">
      <c r="A10571" s="21"/>
      <c r="B10571" s="21"/>
      <c r="C10571" s="8" t="s">
        <v>309</v>
      </c>
      <c r="D10571" s="1" t="str">
        <f>HYPERLINK("javascript:void(0)","éjfény")</f>
        <v>éjfény</v>
      </c>
    </row>
    <row r="10572" spans="1:4" ht="12.75" customHeight="1" x14ac:dyDescent="0.2">
      <c r="A10572" s="21"/>
      <c r="B10572" s="2"/>
      <c r="C10572" s="7"/>
      <c r="D10572" s="7"/>
    </row>
    <row r="10573" spans="1:4" ht="12.75" customHeight="1" x14ac:dyDescent="0.2">
      <c r="A10573" s="21"/>
      <c r="B10573" s="2"/>
      <c r="C10573" s="7"/>
      <c r="D10573" s="7"/>
    </row>
    <row r="10574" spans="1:4" ht="12.75" customHeight="1" x14ac:dyDescent="0.2">
      <c r="A10574" s="21"/>
      <c r="B10574" s="2"/>
      <c r="C10574" s="7"/>
      <c r="D10574" s="7"/>
    </row>
    <row r="10575" spans="1:4" ht="12.75" customHeight="1" x14ac:dyDescent="0.2">
      <c r="A10575" s="21"/>
      <c r="B10575" s="2"/>
      <c r="C10575" s="7"/>
      <c r="D10575" s="7"/>
    </row>
    <row r="10576" spans="1:4" ht="12.75" customHeight="1" x14ac:dyDescent="0.2">
      <c r="A10576" s="5"/>
      <c r="B10576" s="2"/>
      <c r="C10576" s="7"/>
      <c r="D10576" s="7"/>
    </row>
    <row r="10577" spans="1:4" ht="12.75" customHeight="1" x14ac:dyDescent="0.2">
      <c r="A10577" s="22" t="str">
        <f>HYPERLINK("javascript:void(0)","jáspis szellempajzs")</f>
        <v>jáspis szellempajzs</v>
      </c>
      <c r="B10577" s="21"/>
      <c r="C10577" s="21"/>
      <c r="D10577" s="21"/>
    </row>
    <row r="10578" spans="1:4" ht="12.75" customHeight="1" x14ac:dyDescent="0.2">
      <c r="A10578" s="20"/>
      <c r="B10578" s="2"/>
      <c r="C10578" s="7"/>
      <c r="D10578" s="7"/>
    </row>
    <row r="10579" spans="1:4" ht="12.75" customHeight="1" x14ac:dyDescent="0.2">
      <c r="A10579" s="21"/>
      <c r="B10579" s="3" t="s">
        <v>0</v>
      </c>
      <c r="C10579" s="23" t="s">
        <v>790</v>
      </c>
      <c r="D10579" s="21"/>
    </row>
    <row r="10580" spans="1:4" ht="12.75" customHeight="1" x14ac:dyDescent="0.2">
      <c r="A10580" s="21"/>
      <c r="B10580" s="3" t="s">
        <v>2</v>
      </c>
      <c r="C10580" s="23" t="s">
        <v>1839</v>
      </c>
      <c r="D10580" s="21"/>
    </row>
    <row r="10581" spans="1:4" ht="12.75" customHeight="1" x14ac:dyDescent="0.2">
      <c r="A10581" s="21"/>
      <c r="B10581" s="3" t="s">
        <v>1840</v>
      </c>
      <c r="C10581" s="23" t="s">
        <v>4561</v>
      </c>
      <c r="D10581" s="21"/>
    </row>
    <row r="10582" spans="1:4" ht="12.75" customHeight="1" x14ac:dyDescent="0.2">
      <c r="A10582" s="21"/>
      <c r="B10582" s="3" t="s">
        <v>9</v>
      </c>
      <c r="C10582" s="23" t="s">
        <v>104</v>
      </c>
      <c r="D10582" s="21"/>
    </row>
    <row r="10583" spans="1:4" ht="12.75" customHeight="1" x14ac:dyDescent="0.2">
      <c r="A10583" s="21"/>
      <c r="B10583" s="3" t="s">
        <v>11</v>
      </c>
      <c r="C10583" s="23" t="s">
        <v>1451</v>
      </c>
      <c r="D10583" s="21"/>
    </row>
    <row r="10584" spans="1:4" ht="12.75" customHeight="1" x14ac:dyDescent="0.2">
      <c r="A10584" s="21"/>
      <c r="B10584" s="3" t="s">
        <v>16</v>
      </c>
      <c r="C10584" s="23"/>
      <c r="D10584" s="21"/>
    </row>
    <row r="10585" spans="1:4" ht="12.75" customHeight="1" x14ac:dyDescent="0.2">
      <c r="A10585" s="21"/>
      <c r="B10585" s="3" t="s">
        <v>17</v>
      </c>
      <c r="C10585" s="23" t="s">
        <v>19</v>
      </c>
      <c r="D10585" s="21"/>
    </row>
    <row r="10586" spans="1:4" ht="12.75" customHeight="1" x14ac:dyDescent="0.2">
      <c r="A10586" s="21"/>
      <c r="B10586" s="20" t="s">
        <v>18</v>
      </c>
      <c r="C10586" s="8" t="s">
        <v>44</v>
      </c>
      <c r="D10586" s="1" t="str">
        <f>HYPERLINK("javascript:void(0)","aszály testpajzs")</f>
        <v>aszály testpajzs</v>
      </c>
    </row>
    <row r="10587" spans="1:4" ht="12.75" customHeight="1" x14ac:dyDescent="0.2">
      <c r="A10587" s="21"/>
      <c r="B10587" s="21"/>
      <c r="C10587" s="8" t="s">
        <v>370</v>
      </c>
      <c r="D10587" s="1" t="str">
        <f>HYPERLINK("javascript:void(0)","jáspis")</f>
        <v>jáspis</v>
      </c>
    </row>
    <row r="10588" spans="1:4" ht="12.75" customHeight="1" x14ac:dyDescent="0.2">
      <c r="A10588" s="21"/>
      <c r="B10588" s="21"/>
      <c r="C10588" s="8" t="s">
        <v>142</v>
      </c>
      <c r="D10588" s="1" t="str">
        <f>HYPERLINK("javascript:void(0)","csapdaszeg")</f>
        <v>csapdaszeg</v>
      </c>
    </row>
    <row r="10589" spans="1:4" ht="12.75" customHeight="1" x14ac:dyDescent="0.2">
      <c r="A10589" s="21"/>
      <c r="B10589" s="2"/>
      <c r="C10589" s="7"/>
      <c r="D10589" s="7"/>
    </row>
    <row r="10590" spans="1:4" ht="12.75" customHeight="1" x14ac:dyDescent="0.2">
      <c r="A10590" s="21"/>
      <c r="B10590" s="2"/>
      <c r="C10590" s="7"/>
      <c r="D10590" s="7"/>
    </row>
    <row r="10591" spans="1:4" ht="12.75" customHeight="1" x14ac:dyDescent="0.2">
      <c r="A10591" s="21"/>
      <c r="B10591" s="2"/>
      <c r="C10591" s="7"/>
      <c r="D10591" s="7"/>
    </row>
    <row r="10592" spans="1:4" ht="12.75" customHeight="1" x14ac:dyDescent="0.2">
      <c r="A10592" s="21"/>
      <c r="B10592" s="2"/>
      <c r="C10592" s="7"/>
      <c r="D10592" s="7"/>
    </row>
    <row r="10593" spans="1:4" ht="12.75" customHeight="1" x14ac:dyDescent="0.2">
      <c r="A10593" s="5"/>
      <c r="B10593" s="2"/>
      <c r="C10593" s="7"/>
      <c r="D10593" s="7"/>
    </row>
    <row r="10594" spans="1:4" ht="12.75" customHeight="1" x14ac:dyDescent="0.2">
      <c r="A10594" s="22" t="str">
        <f>HYPERLINK("javascript:void(0)","mechano manasisak")</f>
        <v>mechano manasisak</v>
      </c>
      <c r="B10594" s="21"/>
      <c r="C10594" s="21"/>
      <c r="D10594" s="21"/>
    </row>
    <row r="10595" spans="1:4" ht="12.75" customHeight="1" x14ac:dyDescent="0.2">
      <c r="A10595" s="20"/>
      <c r="B10595" s="2"/>
      <c r="C10595" s="7"/>
      <c r="D10595" s="7"/>
    </row>
    <row r="10596" spans="1:4" ht="12.75" customHeight="1" x14ac:dyDescent="0.2">
      <c r="A10596" s="21"/>
      <c r="B10596" s="3" t="s">
        <v>0</v>
      </c>
      <c r="C10596" s="23" t="s">
        <v>790</v>
      </c>
      <c r="D10596" s="21"/>
    </row>
    <row r="10597" spans="1:4" ht="12.75" customHeight="1" x14ac:dyDescent="0.2">
      <c r="A10597" s="21"/>
      <c r="B10597" s="3" t="s">
        <v>2</v>
      </c>
      <c r="C10597" s="23"/>
      <c r="D10597" s="21"/>
    </row>
    <row r="10598" spans="1:4" ht="12.75" customHeight="1" x14ac:dyDescent="0.2">
      <c r="A10598" s="21"/>
      <c r="B10598" s="3" t="s">
        <v>1840</v>
      </c>
      <c r="C10598" s="23" t="s">
        <v>1165</v>
      </c>
      <c r="D10598" s="21"/>
    </row>
    <row r="10599" spans="1:4" ht="12.75" customHeight="1" x14ac:dyDescent="0.2">
      <c r="A10599" s="21"/>
      <c r="B10599" s="3" t="s">
        <v>9</v>
      </c>
      <c r="C10599" s="23" t="s">
        <v>2119</v>
      </c>
      <c r="D10599" s="21"/>
    </row>
    <row r="10600" spans="1:4" ht="12.75" customHeight="1" x14ac:dyDescent="0.2">
      <c r="A10600" s="21"/>
      <c r="B10600" s="3" t="s">
        <v>11</v>
      </c>
      <c r="C10600" s="23" t="s">
        <v>514</v>
      </c>
      <c r="D10600" s="21"/>
    </row>
    <row r="10601" spans="1:4" ht="12.75" customHeight="1" x14ac:dyDescent="0.2">
      <c r="A10601" s="21"/>
      <c r="B10601" s="3" t="s">
        <v>16</v>
      </c>
      <c r="C10601" s="23"/>
      <c r="D10601" s="21"/>
    </row>
    <row r="10602" spans="1:4" ht="12.75" customHeight="1" x14ac:dyDescent="0.2">
      <c r="A10602" s="21"/>
      <c r="B10602" s="3" t="s">
        <v>17</v>
      </c>
      <c r="C10602" s="23" t="s">
        <v>19</v>
      </c>
      <c r="D10602" s="21"/>
    </row>
    <row r="10603" spans="1:4" ht="25.5" customHeight="1" x14ac:dyDescent="0.2">
      <c r="A10603" s="21"/>
      <c r="B10603" s="20" t="s">
        <v>18</v>
      </c>
      <c r="C10603" s="8" t="s">
        <v>44</v>
      </c>
      <c r="D10603" s="1" t="str">
        <f>HYPERLINK("javascript:void(0)","magnetoacél manasisak")</f>
        <v>magnetoacél manasisak</v>
      </c>
    </row>
    <row r="10604" spans="1:4" ht="12.75" customHeight="1" x14ac:dyDescent="0.2">
      <c r="A10604" s="21"/>
      <c r="B10604" s="21"/>
      <c r="C10604" s="8" t="s">
        <v>117</v>
      </c>
      <c r="D10604" s="1" t="str">
        <f>HYPERLINK("javascript:void(0)","csapdaszeg")</f>
        <v>csapdaszeg</v>
      </c>
    </row>
    <row r="10605" spans="1:4" ht="12.75" customHeight="1" x14ac:dyDescent="0.2">
      <c r="A10605" s="21"/>
      <c r="B10605" s="21"/>
      <c r="C10605" s="8" t="s">
        <v>240</v>
      </c>
      <c r="D10605" s="1" t="str">
        <f>HYPERLINK("javascript:void(0)","mechodron")</f>
        <v>mechodron</v>
      </c>
    </row>
    <row r="10606" spans="1:4" ht="12.75" customHeight="1" x14ac:dyDescent="0.2">
      <c r="A10606" s="21"/>
      <c r="B10606" s="2"/>
      <c r="C10606" s="7"/>
      <c r="D10606" s="7"/>
    </row>
    <row r="10607" spans="1:4" ht="12.75" customHeight="1" x14ac:dyDescent="0.2">
      <c r="A10607" s="21"/>
      <c r="B10607" s="2"/>
      <c r="C10607" s="7"/>
      <c r="D10607" s="7"/>
    </row>
    <row r="10608" spans="1:4" ht="12.75" customHeight="1" x14ac:dyDescent="0.2">
      <c r="A10608" s="21"/>
      <c r="B10608" s="2"/>
      <c r="C10608" s="7"/>
      <c r="D10608" s="7"/>
    </row>
    <row r="10609" spans="1:4" ht="12.75" customHeight="1" x14ac:dyDescent="0.2">
      <c r="A10609" s="21"/>
      <c r="B10609" s="2"/>
      <c r="C10609" s="7"/>
      <c r="D10609" s="7"/>
    </row>
    <row r="10610" spans="1:4" ht="12.75" customHeight="1" x14ac:dyDescent="0.2">
      <c r="A10610" s="5"/>
      <c r="B10610" s="2"/>
      <c r="C10610" s="7"/>
      <c r="D10610" s="7"/>
    </row>
    <row r="10611" spans="1:4" ht="12.75" customHeight="1" x14ac:dyDescent="0.2">
      <c r="A10611" s="22" t="str">
        <f>HYPERLINK("javascript:void(0)","mechano manafejpánt")</f>
        <v>mechano manafejpánt</v>
      </c>
      <c r="B10611" s="21"/>
      <c r="C10611" s="21"/>
      <c r="D10611" s="21"/>
    </row>
    <row r="10612" spans="1:4" ht="12.75" customHeight="1" x14ac:dyDescent="0.2">
      <c r="A10612" s="20"/>
      <c r="B10612" s="2"/>
      <c r="C10612" s="7"/>
      <c r="D10612" s="7"/>
    </row>
    <row r="10613" spans="1:4" ht="12.75" customHeight="1" x14ac:dyDescent="0.2">
      <c r="A10613" s="21"/>
      <c r="B10613" s="3" t="s">
        <v>0</v>
      </c>
      <c r="C10613" s="23" t="s">
        <v>790</v>
      </c>
      <c r="D10613" s="21"/>
    </row>
    <row r="10614" spans="1:4" ht="12.75" customHeight="1" x14ac:dyDescent="0.2">
      <c r="A10614" s="21"/>
      <c r="B10614" s="3" t="s">
        <v>2</v>
      </c>
      <c r="C10614" s="23"/>
      <c r="D10614" s="21"/>
    </row>
    <row r="10615" spans="1:4" ht="12.75" customHeight="1" x14ac:dyDescent="0.2">
      <c r="A10615" s="21"/>
      <c r="B10615" s="3" t="s">
        <v>1840</v>
      </c>
      <c r="C10615" s="23" t="s">
        <v>127</v>
      </c>
      <c r="D10615" s="21"/>
    </row>
    <row r="10616" spans="1:4" ht="12.75" customHeight="1" x14ac:dyDescent="0.2">
      <c r="A10616" s="21"/>
      <c r="B10616" s="3" t="s">
        <v>9</v>
      </c>
      <c r="C10616" s="23" t="s">
        <v>1532</v>
      </c>
      <c r="D10616" s="21"/>
    </row>
    <row r="10617" spans="1:4" ht="12.75" customHeight="1" x14ac:dyDescent="0.2">
      <c r="A10617" s="21"/>
      <c r="B10617" s="3" t="s">
        <v>11</v>
      </c>
      <c r="C10617" s="23" t="s">
        <v>514</v>
      </c>
      <c r="D10617" s="21"/>
    </row>
    <row r="10618" spans="1:4" ht="12.75" customHeight="1" x14ac:dyDescent="0.2">
      <c r="A10618" s="21"/>
      <c r="B10618" s="3" t="s">
        <v>16</v>
      </c>
      <c r="C10618" s="23"/>
      <c r="D10618" s="21"/>
    </row>
    <row r="10619" spans="1:4" ht="12.75" customHeight="1" x14ac:dyDescent="0.2">
      <c r="A10619" s="21"/>
      <c r="B10619" s="3" t="s">
        <v>17</v>
      </c>
      <c r="C10619" s="23" t="s">
        <v>19</v>
      </c>
      <c r="D10619" s="21"/>
    </row>
    <row r="10620" spans="1:4" ht="25.5" customHeight="1" x14ac:dyDescent="0.2">
      <c r="A10620" s="21"/>
      <c r="B10620" s="20" t="s">
        <v>18</v>
      </c>
      <c r="C10620" s="8" t="s">
        <v>44</v>
      </c>
      <c r="D10620" s="1" t="str">
        <f>HYPERLINK("javascript:void(0)","magnetoacél manafejpánt")</f>
        <v>magnetoacél manafejpánt</v>
      </c>
    </row>
    <row r="10621" spans="1:4" ht="12.75" customHeight="1" x14ac:dyDescent="0.2">
      <c r="A10621" s="21"/>
      <c r="B10621" s="21"/>
      <c r="C10621" s="8" t="s">
        <v>228</v>
      </c>
      <c r="D10621" s="1" t="str">
        <f>HYPERLINK("javascript:void(0)","mechodron")</f>
        <v>mechodron</v>
      </c>
    </row>
    <row r="10622" spans="1:4" ht="12.75" customHeight="1" x14ac:dyDescent="0.2">
      <c r="A10622" s="21"/>
      <c r="B10622" s="21"/>
      <c r="C10622" s="8" t="s">
        <v>67</v>
      </c>
      <c r="D10622" s="1" t="str">
        <f>HYPERLINK("javascript:void(0)","ikerkristály")</f>
        <v>ikerkristály</v>
      </c>
    </row>
    <row r="10623" spans="1:4" ht="12.75" customHeight="1" x14ac:dyDescent="0.2">
      <c r="A10623" s="21"/>
      <c r="B10623" s="2"/>
      <c r="C10623" s="7"/>
      <c r="D10623" s="7"/>
    </row>
    <row r="10624" spans="1:4" ht="12.75" customHeight="1" x14ac:dyDescent="0.2">
      <c r="A10624" s="21"/>
      <c r="B10624" s="2"/>
      <c r="C10624" s="7"/>
      <c r="D10624" s="7"/>
    </row>
    <row r="10625" spans="1:4" ht="12.75" customHeight="1" x14ac:dyDescent="0.2">
      <c r="A10625" s="21"/>
      <c r="B10625" s="2"/>
      <c r="C10625" s="7"/>
      <c r="D10625" s="7"/>
    </row>
    <row r="10626" spans="1:4" ht="12.75" customHeight="1" x14ac:dyDescent="0.2">
      <c r="A10626" s="21"/>
      <c r="B10626" s="2"/>
      <c r="C10626" s="7"/>
      <c r="D10626" s="7"/>
    </row>
    <row r="10627" spans="1:4" ht="12.75" customHeight="1" x14ac:dyDescent="0.2">
      <c r="A10627" s="5"/>
      <c r="B10627" s="2"/>
      <c r="C10627" s="7"/>
      <c r="D10627" s="7"/>
    </row>
    <row r="10628" spans="1:4" ht="12.75" customHeight="1" x14ac:dyDescent="0.2">
      <c r="A10628" s="22" t="str">
        <f>HYPERLINK("javascript:void(0)","csillámló orkpajzs")</f>
        <v>csillámló orkpajzs</v>
      </c>
      <c r="B10628" s="21"/>
      <c r="C10628" s="21"/>
      <c r="D10628" s="21"/>
    </row>
    <row r="10629" spans="1:4" ht="12.75" customHeight="1" x14ac:dyDescent="0.2">
      <c r="A10629" s="20"/>
      <c r="B10629" s="2"/>
      <c r="C10629" s="7"/>
      <c r="D10629" s="7"/>
    </row>
    <row r="10630" spans="1:4" ht="12.75" customHeight="1" x14ac:dyDescent="0.2">
      <c r="A10630" s="21"/>
      <c r="B10630" s="3" t="s">
        <v>0</v>
      </c>
      <c r="C10630" s="23" t="s">
        <v>790</v>
      </c>
      <c r="D10630" s="21"/>
    </row>
    <row r="10631" spans="1:4" ht="12.75" customHeight="1" x14ac:dyDescent="0.2">
      <c r="A10631" s="21"/>
      <c r="B10631" s="3" t="s">
        <v>2</v>
      </c>
      <c r="C10631" s="23" t="s">
        <v>1839</v>
      </c>
      <c r="D10631" s="21"/>
    </row>
    <row r="10632" spans="1:4" ht="12.75" customHeight="1" x14ac:dyDescent="0.2">
      <c r="A10632" s="21"/>
      <c r="B10632" s="3" t="s">
        <v>1840</v>
      </c>
      <c r="C10632" s="23" t="s">
        <v>1800</v>
      </c>
      <c r="D10632" s="21"/>
    </row>
    <row r="10633" spans="1:4" ht="12.75" customHeight="1" x14ac:dyDescent="0.2">
      <c r="A10633" s="21"/>
      <c r="B10633" s="3" t="s">
        <v>9</v>
      </c>
      <c r="C10633" s="23" t="s">
        <v>4581</v>
      </c>
      <c r="D10633" s="21"/>
    </row>
    <row r="10634" spans="1:4" ht="12.75" customHeight="1" x14ac:dyDescent="0.2">
      <c r="A10634" s="21"/>
      <c r="B10634" s="3" t="s">
        <v>11</v>
      </c>
      <c r="C10634" s="23" t="s">
        <v>1443</v>
      </c>
      <c r="D10634" s="21"/>
    </row>
    <row r="10635" spans="1:4" ht="12.75" customHeight="1" x14ac:dyDescent="0.2">
      <c r="A10635" s="21"/>
      <c r="B10635" s="3" t="s">
        <v>16</v>
      </c>
      <c r="C10635" s="23"/>
      <c r="D10635" s="21"/>
    </row>
    <row r="10636" spans="1:4" ht="12.75" customHeight="1" x14ac:dyDescent="0.2">
      <c r="A10636" s="21"/>
      <c r="B10636" s="3" t="s">
        <v>17</v>
      </c>
      <c r="C10636" s="23" t="s">
        <v>19</v>
      </c>
      <c r="D10636" s="21"/>
    </row>
    <row r="10637" spans="1:4" ht="12.75" customHeight="1" x14ac:dyDescent="0.2">
      <c r="A10637" s="21"/>
      <c r="B10637" s="20" t="s">
        <v>18</v>
      </c>
      <c r="C10637" s="8" t="s">
        <v>57</v>
      </c>
      <c r="D10637" s="1" t="str">
        <f>HYPERLINK("javascript:void(0)","csillámgöb")</f>
        <v>csillámgöb</v>
      </c>
    </row>
    <row r="10638" spans="1:4" ht="25.5" customHeight="1" x14ac:dyDescent="0.2">
      <c r="A10638" s="21"/>
      <c r="B10638" s="21"/>
      <c r="C10638" s="8" t="s">
        <v>44</v>
      </c>
      <c r="D10638" s="1" t="str">
        <f>HYPERLINK("javascript:void(0)","csillámló kristálypajzs")</f>
        <v>csillámló kristálypajzs</v>
      </c>
    </row>
    <row r="10639" spans="1:4" ht="12.75" customHeight="1" x14ac:dyDescent="0.2">
      <c r="A10639" s="21"/>
      <c r="B10639" s="21"/>
      <c r="C10639" s="8" t="s">
        <v>56</v>
      </c>
      <c r="D10639" s="1" t="str">
        <f>HYPERLINK("javascript:void(0)","wendír testpajzs")</f>
        <v>wendír testpajzs</v>
      </c>
    </row>
    <row r="10640" spans="1:4" ht="12.75" customHeight="1" x14ac:dyDescent="0.2">
      <c r="A10640" s="21"/>
      <c r="B10640" s="2"/>
      <c r="C10640" s="7"/>
      <c r="D10640" s="7"/>
    </row>
    <row r="10641" spans="1:4" ht="12.75" customHeight="1" x14ac:dyDescent="0.2">
      <c r="A10641" s="21"/>
      <c r="B10641" s="2"/>
      <c r="C10641" s="7"/>
      <c r="D10641" s="7"/>
    </row>
    <row r="10642" spans="1:4" ht="12.75" customHeight="1" x14ac:dyDescent="0.2">
      <c r="A10642" s="21"/>
      <c r="B10642" s="2"/>
      <c r="C10642" s="7"/>
      <c r="D10642" s="7"/>
    </row>
    <row r="10643" spans="1:4" ht="12.75" customHeight="1" x14ac:dyDescent="0.2">
      <c r="A10643" s="21"/>
      <c r="B10643" s="2"/>
      <c r="C10643" s="7"/>
      <c r="D10643" s="7"/>
    </row>
    <row r="10644" spans="1:4" ht="12.75" customHeight="1" x14ac:dyDescent="0.2">
      <c r="A10644" s="5"/>
      <c r="B10644" s="2"/>
      <c r="C10644" s="7"/>
      <c r="D10644" s="7"/>
    </row>
    <row r="10645" spans="1:4" ht="12.75" customHeight="1" x14ac:dyDescent="0.2">
      <c r="A10645" s="22" t="str">
        <f>HYPERLINK("javascript:void(0)","csillámló orkcsizma")</f>
        <v>csillámló orkcsizma</v>
      </c>
      <c r="B10645" s="21"/>
      <c r="C10645" s="21"/>
      <c r="D10645" s="21"/>
    </row>
    <row r="10646" spans="1:4" ht="12.75" customHeight="1" x14ac:dyDescent="0.2">
      <c r="A10646" s="20"/>
      <c r="B10646" s="2"/>
      <c r="C10646" s="7"/>
      <c r="D10646" s="7"/>
    </row>
    <row r="10647" spans="1:4" ht="12.75" customHeight="1" x14ac:dyDescent="0.2">
      <c r="A10647" s="21"/>
      <c r="B10647" s="3" t="s">
        <v>0</v>
      </c>
      <c r="C10647" s="23" t="s">
        <v>790</v>
      </c>
      <c r="D10647" s="21"/>
    </row>
    <row r="10648" spans="1:4" ht="12.75" customHeight="1" x14ac:dyDescent="0.2">
      <c r="A10648" s="21"/>
      <c r="B10648" s="3" t="s">
        <v>2</v>
      </c>
      <c r="C10648" s="23"/>
      <c r="D10648" s="21"/>
    </row>
    <row r="10649" spans="1:4" ht="12.75" customHeight="1" x14ac:dyDescent="0.2">
      <c r="A10649" s="21"/>
      <c r="B10649" s="3" t="s">
        <v>1840</v>
      </c>
      <c r="C10649" s="23" t="s">
        <v>2087</v>
      </c>
      <c r="D10649" s="21"/>
    </row>
    <row r="10650" spans="1:4" ht="12.75" customHeight="1" x14ac:dyDescent="0.2">
      <c r="A10650" s="21"/>
      <c r="B10650" s="3" t="s">
        <v>9</v>
      </c>
      <c r="C10650" s="23" t="s">
        <v>2038</v>
      </c>
      <c r="D10650" s="21"/>
    </row>
    <row r="10651" spans="1:4" ht="12.75" customHeight="1" x14ac:dyDescent="0.2">
      <c r="A10651" s="21"/>
      <c r="B10651" s="3" t="s">
        <v>11</v>
      </c>
      <c r="C10651" s="23" t="s">
        <v>1145</v>
      </c>
      <c r="D10651" s="21"/>
    </row>
    <row r="10652" spans="1:4" ht="12.75" customHeight="1" x14ac:dyDescent="0.2">
      <c r="A10652" s="21"/>
      <c r="B10652" s="3" t="s">
        <v>16</v>
      </c>
      <c r="C10652" s="23"/>
      <c r="D10652" s="21"/>
    </row>
    <row r="10653" spans="1:4" ht="12.75" customHeight="1" x14ac:dyDescent="0.2">
      <c r="A10653" s="21"/>
      <c r="B10653" s="3" t="s">
        <v>17</v>
      </c>
      <c r="C10653" s="23" t="s">
        <v>19</v>
      </c>
      <c r="D10653" s="21"/>
    </row>
    <row r="10654" spans="1:4" ht="12.75" customHeight="1" x14ac:dyDescent="0.2">
      <c r="A10654" s="21"/>
      <c r="B10654" s="20" t="s">
        <v>18</v>
      </c>
      <c r="C10654" s="8" t="s">
        <v>57</v>
      </c>
      <c r="D10654" s="1" t="str">
        <f>HYPERLINK("javascript:void(0)","csillámgöb")</f>
        <v>csillámgöb</v>
      </c>
    </row>
    <row r="10655" spans="1:4" ht="25.5" customHeight="1" x14ac:dyDescent="0.2">
      <c r="A10655" s="21"/>
      <c r="B10655" s="21"/>
      <c r="C10655" s="8" t="s">
        <v>44</v>
      </c>
      <c r="D10655" s="1" t="str">
        <f>HYPERLINK("javascript:void(0)","csillámló harmatcsizma")</f>
        <v>csillámló harmatcsizma</v>
      </c>
    </row>
    <row r="10656" spans="1:4" ht="12.75" customHeight="1" x14ac:dyDescent="0.2">
      <c r="A10656" s="21"/>
      <c r="B10656" s="21"/>
      <c r="C10656" s="8" t="s">
        <v>98</v>
      </c>
      <c r="D10656" s="1" t="str">
        <f>HYPERLINK("javascript:void(0)","sodrony boxeralsó")</f>
        <v>sodrony boxeralsó</v>
      </c>
    </row>
    <row r="10657" spans="1:4" ht="12.75" customHeight="1" x14ac:dyDescent="0.2">
      <c r="A10657" s="21"/>
      <c r="B10657" s="2"/>
      <c r="C10657" s="7"/>
      <c r="D10657" s="7"/>
    </row>
    <row r="10658" spans="1:4" ht="12.75" customHeight="1" x14ac:dyDescent="0.2">
      <c r="A10658" s="21"/>
      <c r="B10658" s="2"/>
      <c r="C10658" s="7"/>
      <c r="D10658" s="7"/>
    </row>
    <row r="10659" spans="1:4" ht="12.75" customHeight="1" x14ac:dyDescent="0.2">
      <c r="A10659" s="21"/>
      <c r="B10659" s="2"/>
      <c r="C10659" s="7"/>
      <c r="D10659" s="7"/>
    </row>
    <row r="10660" spans="1:4" ht="12.75" customHeight="1" x14ac:dyDescent="0.2">
      <c r="A10660" s="21"/>
      <c r="B10660" s="2"/>
      <c r="C10660" s="7"/>
      <c r="D10660" s="7"/>
    </row>
    <row r="10661" spans="1:4" ht="12.75" customHeight="1" x14ac:dyDescent="0.2">
      <c r="A10661" s="5"/>
      <c r="B10661" s="2"/>
      <c r="C10661" s="7"/>
      <c r="D10661" s="7"/>
    </row>
    <row r="10662" spans="1:4" ht="12.75" customHeight="1" x14ac:dyDescent="0.2">
      <c r="A10662" s="22" t="str">
        <f>HYPERLINK("javascript:void(0)","csillámos orksisak")</f>
        <v>csillámos orksisak</v>
      </c>
      <c r="B10662" s="21"/>
      <c r="C10662" s="21"/>
      <c r="D10662" s="21"/>
    </row>
    <row r="10663" spans="1:4" ht="12.75" customHeight="1" x14ac:dyDescent="0.2">
      <c r="A10663" s="20"/>
      <c r="B10663" s="2"/>
      <c r="C10663" s="7"/>
      <c r="D10663" s="7"/>
    </row>
    <row r="10664" spans="1:4" ht="12.75" customHeight="1" x14ac:dyDescent="0.2">
      <c r="A10664" s="21"/>
      <c r="B10664" s="3" t="s">
        <v>0</v>
      </c>
      <c r="C10664" s="23" t="s">
        <v>790</v>
      </c>
      <c r="D10664" s="21"/>
    </row>
    <row r="10665" spans="1:4" ht="12.75" customHeight="1" x14ac:dyDescent="0.2">
      <c r="A10665" s="21"/>
      <c r="B10665" s="3" t="s">
        <v>2</v>
      </c>
      <c r="C10665" s="23"/>
      <c r="D10665" s="21"/>
    </row>
    <row r="10666" spans="1:4" ht="12.75" customHeight="1" x14ac:dyDescent="0.2">
      <c r="A10666" s="21"/>
      <c r="B10666" s="3" t="s">
        <v>1840</v>
      </c>
      <c r="C10666" s="23" t="s">
        <v>482</v>
      </c>
      <c r="D10666" s="21"/>
    </row>
    <row r="10667" spans="1:4" ht="12.75" customHeight="1" x14ac:dyDescent="0.2">
      <c r="A10667" s="21"/>
      <c r="B10667" s="3" t="s">
        <v>9</v>
      </c>
      <c r="C10667" s="23" t="s">
        <v>1433</v>
      </c>
      <c r="D10667" s="21"/>
    </row>
    <row r="10668" spans="1:4" ht="12.75" customHeight="1" x14ac:dyDescent="0.2">
      <c r="A10668" s="21"/>
      <c r="B10668" s="3" t="s">
        <v>11</v>
      </c>
      <c r="C10668" s="23" t="s">
        <v>1105</v>
      </c>
      <c r="D10668" s="21"/>
    </row>
    <row r="10669" spans="1:4" ht="12.75" customHeight="1" x14ac:dyDescent="0.2">
      <c r="A10669" s="21"/>
      <c r="B10669" s="3" t="s">
        <v>16</v>
      </c>
      <c r="C10669" s="23"/>
      <c r="D10669" s="21"/>
    </row>
    <row r="10670" spans="1:4" ht="12.75" customHeight="1" x14ac:dyDescent="0.2">
      <c r="A10670" s="21"/>
      <c r="B10670" s="3" t="s">
        <v>17</v>
      </c>
      <c r="C10670" s="23" t="s">
        <v>19</v>
      </c>
      <c r="D10670" s="21"/>
    </row>
    <row r="10671" spans="1:4" ht="12.75" customHeight="1" x14ac:dyDescent="0.2">
      <c r="A10671" s="21"/>
      <c r="B10671" s="20" t="s">
        <v>18</v>
      </c>
      <c r="C10671" s="8" t="s">
        <v>57</v>
      </c>
      <c r="D10671" s="1" t="str">
        <f>HYPERLINK("javascript:void(0)","csillámgöb")</f>
        <v>csillámgöb</v>
      </c>
    </row>
    <row r="10672" spans="1:4" ht="12.75" customHeight="1" x14ac:dyDescent="0.2">
      <c r="A10672" s="21"/>
      <c r="B10672" s="21"/>
      <c r="C10672" s="8" t="s">
        <v>44</v>
      </c>
      <c r="D10672" s="1" t="str">
        <f>HYPERLINK("javascript:void(0)","csillámos elfsisak")</f>
        <v>csillámos elfsisak</v>
      </c>
    </row>
    <row r="10673" spans="1:4" ht="12.75" customHeight="1" x14ac:dyDescent="0.2">
      <c r="A10673" s="21"/>
      <c r="B10673" s="21"/>
      <c r="C10673" s="8" t="s">
        <v>309</v>
      </c>
      <c r="D10673" s="1" t="str">
        <f>HYPERLINK("javascript:void(0)","melegige")</f>
        <v>melegige</v>
      </c>
    </row>
    <row r="10674" spans="1:4" ht="12.75" customHeight="1" x14ac:dyDescent="0.2">
      <c r="A10674" s="21"/>
      <c r="B10674" s="2"/>
      <c r="C10674" s="7"/>
      <c r="D10674" s="7"/>
    </row>
    <row r="10675" spans="1:4" ht="12.75" customHeight="1" x14ac:dyDescent="0.2">
      <c r="A10675" s="21"/>
      <c r="B10675" s="2"/>
      <c r="C10675" s="7"/>
      <c r="D10675" s="7"/>
    </row>
    <row r="10676" spans="1:4" ht="12.75" customHeight="1" x14ac:dyDescent="0.2">
      <c r="A10676" s="21"/>
      <c r="B10676" s="2"/>
      <c r="C10676" s="7"/>
      <c r="D10676" s="7"/>
    </row>
    <row r="10677" spans="1:4" ht="12.75" customHeight="1" x14ac:dyDescent="0.2">
      <c r="A10677" s="21"/>
      <c r="B10677" s="2"/>
      <c r="C10677" s="7"/>
      <c r="D10677" s="7"/>
    </row>
    <row r="10678" spans="1:4" ht="12.75" customHeight="1" x14ac:dyDescent="0.2">
      <c r="A10678" s="5"/>
      <c r="B10678" s="2"/>
      <c r="C10678" s="7"/>
      <c r="D10678" s="7"/>
    </row>
    <row r="10679" spans="1:4" ht="12.75" customHeight="1" x14ac:dyDescent="0.2">
      <c r="A10679" s="22" t="str">
        <f>HYPERLINK("javascript:void(0)","csillámló orkpáncél")</f>
        <v>csillámló orkpáncél</v>
      </c>
      <c r="B10679" s="21"/>
      <c r="C10679" s="21"/>
      <c r="D10679" s="21"/>
    </row>
    <row r="10680" spans="1:4" ht="12.75" customHeight="1" x14ac:dyDescent="0.2">
      <c r="A10680" s="20"/>
      <c r="B10680" s="2"/>
      <c r="C10680" s="7"/>
      <c r="D10680" s="7"/>
    </row>
    <row r="10681" spans="1:4" ht="12.75" customHeight="1" x14ac:dyDescent="0.2">
      <c r="A10681" s="21"/>
      <c r="B10681" s="3" t="s">
        <v>0</v>
      </c>
      <c r="C10681" s="23" t="s">
        <v>790</v>
      </c>
      <c r="D10681" s="21"/>
    </row>
    <row r="10682" spans="1:4" ht="12.75" customHeight="1" x14ac:dyDescent="0.2">
      <c r="A10682" s="21"/>
      <c r="B10682" s="3" t="s">
        <v>2</v>
      </c>
      <c r="C10682" s="23" t="s">
        <v>2322</v>
      </c>
      <c r="D10682" s="21"/>
    </row>
    <row r="10683" spans="1:4" ht="12.75" customHeight="1" x14ac:dyDescent="0.2">
      <c r="A10683" s="21"/>
      <c r="B10683" s="3" t="s">
        <v>1840</v>
      </c>
      <c r="C10683" s="23" t="s">
        <v>2479</v>
      </c>
      <c r="D10683" s="21"/>
    </row>
    <row r="10684" spans="1:4" ht="12.75" customHeight="1" x14ac:dyDescent="0.2">
      <c r="A10684" s="21"/>
      <c r="B10684" s="3" t="s">
        <v>9</v>
      </c>
      <c r="C10684" s="23" t="s">
        <v>2480</v>
      </c>
      <c r="D10684" s="21"/>
    </row>
    <row r="10685" spans="1:4" ht="12.75" customHeight="1" x14ac:dyDescent="0.2">
      <c r="A10685" s="21"/>
      <c r="B10685" s="3" t="s">
        <v>11</v>
      </c>
      <c r="C10685" s="23" t="s">
        <v>1105</v>
      </c>
      <c r="D10685" s="21"/>
    </row>
    <row r="10686" spans="1:4" ht="12.75" customHeight="1" x14ac:dyDescent="0.2">
      <c r="A10686" s="21"/>
      <c r="B10686" s="3" t="s">
        <v>16</v>
      </c>
      <c r="C10686" s="23"/>
      <c r="D10686" s="21"/>
    </row>
    <row r="10687" spans="1:4" ht="12.75" customHeight="1" x14ac:dyDescent="0.2">
      <c r="A10687" s="21"/>
      <c r="B10687" s="3" t="s">
        <v>17</v>
      </c>
      <c r="C10687" s="23" t="s">
        <v>19</v>
      </c>
      <c r="D10687" s="21"/>
    </row>
    <row r="10688" spans="1:4" ht="12.75" customHeight="1" x14ac:dyDescent="0.2">
      <c r="A10688" s="21"/>
      <c r="B10688" s="20" t="s">
        <v>18</v>
      </c>
      <c r="C10688" s="8" t="s">
        <v>57</v>
      </c>
      <c r="D10688" s="1" t="str">
        <f>HYPERLINK("javascript:void(0)","csillámgöb")</f>
        <v>csillámgöb</v>
      </c>
    </row>
    <row r="10689" spans="1:4" ht="25.5" customHeight="1" x14ac:dyDescent="0.2">
      <c r="A10689" s="21"/>
      <c r="B10689" s="21"/>
      <c r="C10689" s="8" t="s">
        <v>44</v>
      </c>
      <c r="D10689" s="1" t="str">
        <f>HYPERLINK("javascript:void(0)","csillámló kristálypáncél")</f>
        <v>csillámló kristálypáncél</v>
      </c>
    </row>
    <row r="10690" spans="1:4" ht="12.75" customHeight="1" x14ac:dyDescent="0.2">
      <c r="A10690" s="21"/>
      <c r="B10690" s="21"/>
      <c r="C10690" s="8" t="s">
        <v>780</v>
      </c>
      <c r="D10690" s="1" t="str">
        <f>HYPERLINK("javascript:void(0)","sejtmag")</f>
        <v>sejtmag</v>
      </c>
    </row>
    <row r="10691" spans="1:4" ht="12.75" customHeight="1" x14ac:dyDescent="0.2">
      <c r="A10691" s="21"/>
      <c r="B10691" s="2"/>
      <c r="C10691" s="7"/>
      <c r="D10691" s="7"/>
    </row>
    <row r="10692" spans="1:4" ht="12.75" customHeight="1" x14ac:dyDescent="0.2">
      <c r="A10692" s="21"/>
      <c r="B10692" s="2"/>
      <c r="C10692" s="7"/>
      <c r="D10692" s="7"/>
    </row>
    <row r="10693" spans="1:4" ht="12.75" customHeight="1" x14ac:dyDescent="0.2">
      <c r="A10693" s="21"/>
      <c r="B10693" s="2"/>
      <c r="C10693" s="7"/>
      <c r="D10693" s="7"/>
    </row>
    <row r="10694" spans="1:4" ht="12.75" customHeight="1" x14ac:dyDescent="0.2">
      <c r="A10694" s="21"/>
      <c r="B10694" s="2"/>
      <c r="C10694" s="7"/>
      <c r="D10694" s="7"/>
    </row>
    <row r="10695" spans="1:4" ht="12.75" customHeight="1" x14ac:dyDescent="0.2">
      <c r="A10695" s="5"/>
      <c r="B10695" s="2"/>
      <c r="C10695" s="7"/>
      <c r="D10695" s="7"/>
    </row>
    <row r="10696" spans="1:4" ht="12.75" customHeight="1" x14ac:dyDescent="0.2">
      <c r="A10696" s="22" t="str">
        <f>HYPERLINK("javascript:void(0)","teljes átokvért")</f>
        <v>teljes átokvért</v>
      </c>
      <c r="B10696" s="21"/>
      <c r="C10696" s="21"/>
      <c r="D10696" s="21"/>
    </row>
    <row r="10697" spans="1:4" ht="12.75" customHeight="1" x14ac:dyDescent="0.2">
      <c r="A10697" s="20"/>
      <c r="B10697" s="2"/>
      <c r="C10697" s="7"/>
      <c r="D10697" s="7"/>
    </row>
    <row r="10698" spans="1:4" ht="12.75" customHeight="1" x14ac:dyDescent="0.2">
      <c r="A10698" s="21"/>
      <c r="B10698" s="3" t="s">
        <v>0</v>
      </c>
      <c r="C10698" s="23" t="s">
        <v>83</v>
      </c>
      <c r="D10698" s="21"/>
    </row>
    <row r="10699" spans="1:4" ht="12.75" customHeight="1" x14ac:dyDescent="0.2">
      <c r="A10699" s="21"/>
      <c r="B10699" s="3" t="s">
        <v>2</v>
      </c>
      <c r="C10699" s="23" t="s">
        <v>2322</v>
      </c>
      <c r="D10699" s="21"/>
    </row>
    <row r="10700" spans="1:4" ht="12.75" customHeight="1" x14ac:dyDescent="0.2">
      <c r="A10700" s="21"/>
      <c r="B10700" s="3" t="s">
        <v>1840</v>
      </c>
      <c r="C10700" s="23" t="s">
        <v>2481</v>
      </c>
      <c r="D10700" s="21"/>
    </row>
    <row r="10701" spans="1:4" ht="12.75" customHeight="1" x14ac:dyDescent="0.2">
      <c r="A10701" s="21"/>
      <c r="B10701" s="3" t="s">
        <v>9</v>
      </c>
      <c r="C10701" s="23" t="s">
        <v>1973</v>
      </c>
      <c r="D10701" s="21"/>
    </row>
    <row r="10702" spans="1:4" ht="12.75" customHeight="1" x14ac:dyDescent="0.2">
      <c r="A10702" s="21"/>
      <c r="B10702" s="3" t="s">
        <v>11</v>
      </c>
      <c r="C10702" s="23" t="s">
        <v>1125</v>
      </c>
      <c r="D10702" s="21"/>
    </row>
    <row r="10703" spans="1:4" ht="12.75" customHeight="1" x14ac:dyDescent="0.2">
      <c r="A10703" s="21"/>
      <c r="B10703" s="3" t="s">
        <v>16</v>
      </c>
      <c r="C10703" s="23"/>
      <c r="D10703" s="21"/>
    </row>
    <row r="10704" spans="1:4" ht="12.75" customHeight="1" x14ac:dyDescent="0.2">
      <c r="A10704" s="21"/>
      <c r="B10704" s="3" t="s">
        <v>17</v>
      </c>
      <c r="C10704" s="23" t="s">
        <v>19</v>
      </c>
      <c r="D10704" s="21"/>
    </row>
    <row r="10705" spans="1:4" ht="12.75" customHeight="1" x14ac:dyDescent="0.2">
      <c r="A10705" s="21"/>
      <c r="B10705" s="20" t="s">
        <v>18</v>
      </c>
      <c r="C10705" s="8" t="s">
        <v>44</v>
      </c>
      <c r="D10705" s="1" t="str">
        <f>HYPERLINK("javascript:void(0)","teljes sárkányvért")</f>
        <v>teljes sárkányvért</v>
      </c>
    </row>
    <row r="10706" spans="1:4" ht="12.75" customHeight="1" x14ac:dyDescent="0.2">
      <c r="A10706" s="21"/>
      <c r="B10706" s="21"/>
      <c r="C10706" s="8" t="s">
        <v>244</v>
      </c>
      <c r="D10706" s="1" t="str">
        <f>HYPERLINK("javascript:void(0)","átokige")</f>
        <v>átokige</v>
      </c>
    </row>
    <row r="10707" spans="1:4" ht="12.75" customHeight="1" x14ac:dyDescent="0.2">
      <c r="A10707" s="21"/>
      <c r="B10707" s="21"/>
      <c r="C10707" s="8" t="s">
        <v>1844</v>
      </c>
      <c r="D10707" s="1" t="str">
        <f>HYPERLINK("javascript:void(0)","kincs")</f>
        <v>kincs</v>
      </c>
    </row>
    <row r="10708" spans="1:4" ht="12.75" customHeight="1" x14ac:dyDescent="0.2">
      <c r="A10708" s="21"/>
      <c r="B10708" s="2"/>
      <c r="C10708" s="7"/>
      <c r="D10708" s="7"/>
    </row>
    <row r="10709" spans="1:4" ht="12.75" customHeight="1" x14ac:dyDescent="0.2">
      <c r="A10709" s="21"/>
      <c r="B10709" s="2"/>
      <c r="C10709" s="7"/>
      <c r="D10709" s="7"/>
    </row>
    <row r="10710" spans="1:4" ht="12.75" customHeight="1" x14ac:dyDescent="0.2">
      <c r="A10710" s="21"/>
      <c r="B10710" s="2"/>
      <c r="C10710" s="7"/>
      <c r="D10710" s="7"/>
    </row>
    <row r="10711" spans="1:4" ht="12.75" customHeight="1" x14ac:dyDescent="0.2">
      <c r="A10711" s="21"/>
      <c r="B10711" s="2"/>
      <c r="C10711" s="7"/>
      <c r="D10711" s="7"/>
    </row>
    <row r="10712" spans="1:4" ht="12.75" customHeight="1" x14ac:dyDescent="0.2">
      <c r="A10712" s="5"/>
      <c r="B10712" s="2"/>
      <c r="C10712" s="7"/>
      <c r="D10712" s="7"/>
    </row>
    <row r="10713" spans="1:4" ht="12.75" customHeight="1" x14ac:dyDescent="0.2">
      <c r="A10713" s="22" t="str">
        <f>HYPERLINK("javascript:void(0)","kupolás sisak")</f>
        <v>kupolás sisak</v>
      </c>
      <c r="B10713" s="21"/>
      <c r="C10713" s="21"/>
      <c r="D10713" s="21"/>
    </row>
    <row r="10714" spans="1:4" ht="12.75" customHeight="1" x14ac:dyDescent="0.2">
      <c r="A10714" s="20"/>
      <c r="B10714" s="2"/>
      <c r="C10714" s="7"/>
      <c r="D10714" s="7"/>
    </row>
    <row r="10715" spans="1:4" ht="12.75" customHeight="1" x14ac:dyDescent="0.2">
      <c r="A10715" s="21"/>
      <c r="B10715" s="3" t="s">
        <v>0</v>
      </c>
      <c r="C10715" s="23" t="s">
        <v>83</v>
      </c>
      <c r="D10715" s="21"/>
    </row>
    <row r="10716" spans="1:4" ht="12.75" customHeight="1" x14ac:dyDescent="0.2">
      <c r="A10716" s="21"/>
      <c r="B10716" s="3" t="s">
        <v>2</v>
      </c>
      <c r="C10716" s="23"/>
      <c r="D10716" s="21"/>
    </row>
    <row r="10717" spans="1:4" ht="12.75" customHeight="1" x14ac:dyDescent="0.2">
      <c r="A10717" s="21"/>
      <c r="B10717" s="3" t="s">
        <v>1840</v>
      </c>
      <c r="C10717" s="23" t="s">
        <v>496</v>
      </c>
      <c r="D10717" s="21"/>
    </row>
    <row r="10718" spans="1:4" ht="12.75" customHeight="1" x14ac:dyDescent="0.2">
      <c r="A10718" s="21"/>
      <c r="B10718" s="3" t="s">
        <v>9</v>
      </c>
      <c r="C10718" s="23" t="s">
        <v>4600</v>
      </c>
      <c r="D10718" s="21"/>
    </row>
    <row r="10719" spans="1:4" ht="12.75" customHeight="1" x14ac:dyDescent="0.2">
      <c r="A10719" s="21"/>
      <c r="B10719" s="3" t="s">
        <v>11</v>
      </c>
      <c r="C10719" s="23" t="s">
        <v>1125</v>
      </c>
      <c r="D10719" s="21"/>
    </row>
    <row r="10720" spans="1:4" ht="12.75" customHeight="1" x14ac:dyDescent="0.2">
      <c r="A10720" s="21"/>
      <c r="B10720" s="3" t="s">
        <v>16</v>
      </c>
      <c r="C10720" s="23"/>
      <c r="D10720" s="21"/>
    </row>
    <row r="10721" spans="1:4" ht="12.75" customHeight="1" x14ac:dyDescent="0.2">
      <c r="A10721" s="21"/>
      <c r="B10721" s="3" t="s">
        <v>17</v>
      </c>
      <c r="C10721" s="23" t="s">
        <v>19</v>
      </c>
      <c r="D10721" s="21"/>
    </row>
    <row r="10722" spans="1:4" ht="12.75" customHeight="1" x14ac:dyDescent="0.2">
      <c r="A10722" s="21"/>
      <c r="B10722" s="20" t="s">
        <v>18</v>
      </c>
      <c r="C10722" s="8" t="s">
        <v>44</v>
      </c>
      <c r="D10722" s="1" t="str">
        <f>HYPERLINK("javascript:void(0)","aszálykorona")</f>
        <v>aszálykorona</v>
      </c>
    </row>
    <row r="10723" spans="1:4" ht="12.75" customHeight="1" x14ac:dyDescent="0.2">
      <c r="A10723" s="21"/>
      <c r="B10723" s="21"/>
      <c r="C10723" s="8" t="s">
        <v>44</v>
      </c>
      <c r="D10723" s="1" t="str">
        <f>HYPERLINK("javascript:void(0)","szegecselt sisak")</f>
        <v>szegecselt sisak</v>
      </c>
    </row>
    <row r="10724" spans="1:4" ht="12.75" customHeight="1" x14ac:dyDescent="0.2">
      <c r="A10724" s="21"/>
      <c r="B10724" s="21"/>
      <c r="C10724" s="8" t="s">
        <v>44</v>
      </c>
      <c r="D10724" s="1" t="str">
        <f>HYPERLINK("javascript:void(0)","szerencsekupola")</f>
        <v>szerencsekupola</v>
      </c>
    </row>
    <row r="10725" spans="1:4" ht="12.75" customHeight="1" x14ac:dyDescent="0.2">
      <c r="A10725" s="21"/>
      <c r="B10725" s="2"/>
      <c r="C10725" s="7"/>
      <c r="D10725" s="7"/>
    </row>
    <row r="10726" spans="1:4" ht="12.75" customHeight="1" x14ac:dyDescent="0.2">
      <c r="A10726" s="21"/>
      <c r="B10726" s="2"/>
      <c r="C10726" s="7"/>
      <c r="D10726" s="7"/>
    </row>
    <row r="10727" spans="1:4" ht="12.75" customHeight="1" x14ac:dyDescent="0.2">
      <c r="A10727" s="21"/>
      <c r="B10727" s="2"/>
      <c r="C10727" s="7"/>
      <c r="D10727" s="7"/>
    </row>
    <row r="10728" spans="1:4" ht="12.75" customHeight="1" x14ac:dyDescent="0.2">
      <c r="A10728" s="21"/>
      <c r="B10728" s="2"/>
      <c r="C10728" s="7"/>
      <c r="D10728" s="7"/>
    </row>
    <row r="10729" spans="1:4" ht="12.75" customHeight="1" x14ac:dyDescent="0.2">
      <c r="A10729" s="5"/>
      <c r="B10729" s="2"/>
      <c r="C10729" s="7"/>
      <c r="D10729" s="7"/>
    </row>
    <row r="10730" spans="1:4" ht="12.75" customHeight="1" x14ac:dyDescent="0.2">
      <c r="A10730" s="22" t="str">
        <f>HYPERLINK("javascript:void(0)","hipermokaszin")</f>
        <v>hipermokaszin</v>
      </c>
      <c r="B10730" s="21"/>
      <c r="C10730" s="21"/>
      <c r="D10730" s="21"/>
    </row>
    <row r="10731" spans="1:4" ht="12.75" customHeight="1" x14ac:dyDescent="0.2">
      <c r="A10731" s="20"/>
      <c r="B10731" s="2"/>
      <c r="C10731" s="7"/>
      <c r="D10731" s="7"/>
    </row>
    <row r="10732" spans="1:4" ht="12.75" customHeight="1" x14ac:dyDescent="0.2">
      <c r="A10732" s="21"/>
      <c r="B10732" s="3" t="s">
        <v>0</v>
      </c>
      <c r="C10732" s="23" t="s">
        <v>83</v>
      </c>
      <c r="D10732" s="21"/>
    </row>
    <row r="10733" spans="1:4" ht="12.75" customHeight="1" x14ac:dyDescent="0.2">
      <c r="A10733" s="21"/>
      <c r="B10733" s="3" t="s">
        <v>2</v>
      </c>
      <c r="C10733" s="23"/>
      <c r="D10733" s="21"/>
    </row>
    <row r="10734" spans="1:4" ht="12.75" customHeight="1" x14ac:dyDescent="0.2">
      <c r="A10734" s="21"/>
      <c r="B10734" s="3" t="s">
        <v>1840</v>
      </c>
      <c r="C10734" s="23" t="s">
        <v>1792</v>
      </c>
      <c r="D10734" s="21"/>
    </row>
    <row r="10735" spans="1:4" ht="12.75" customHeight="1" x14ac:dyDescent="0.2">
      <c r="A10735" s="21"/>
      <c r="B10735" s="3" t="s">
        <v>9</v>
      </c>
      <c r="C10735" s="23" t="s">
        <v>716</v>
      </c>
      <c r="D10735" s="21"/>
    </row>
    <row r="10736" spans="1:4" ht="12.75" customHeight="1" x14ac:dyDescent="0.2">
      <c r="A10736" s="21"/>
      <c r="B10736" s="3" t="s">
        <v>11</v>
      </c>
      <c r="C10736" s="23" t="s">
        <v>1159</v>
      </c>
      <c r="D10736" s="21"/>
    </row>
    <row r="10737" spans="1:4" ht="12.75" customHeight="1" x14ac:dyDescent="0.2">
      <c r="A10737" s="21"/>
      <c r="B10737" s="3" t="s">
        <v>16</v>
      </c>
      <c r="C10737" s="23"/>
      <c r="D10737" s="21"/>
    </row>
    <row r="10738" spans="1:4" ht="12.75" customHeight="1" x14ac:dyDescent="0.2">
      <c r="A10738" s="21"/>
      <c r="B10738" s="3" t="s">
        <v>17</v>
      </c>
      <c r="C10738" s="23" t="s">
        <v>19</v>
      </c>
      <c r="D10738" s="21"/>
    </row>
    <row r="10739" spans="1:4" ht="12.75" customHeight="1" x14ac:dyDescent="0.2">
      <c r="A10739" s="21"/>
      <c r="B10739" s="20" t="s">
        <v>18</v>
      </c>
      <c r="C10739" s="8" t="s">
        <v>67</v>
      </c>
      <c r="D10739" s="1" t="str">
        <f>HYPERLINK("javascript:void(0)","dobókocka")</f>
        <v>dobókocka</v>
      </c>
    </row>
    <row r="10740" spans="1:4" ht="12.75" customHeight="1" x14ac:dyDescent="0.2">
      <c r="A10740" s="21"/>
      <c r="B10740" s="21"/>
      <c r="C10740" s="8" t="s">
        <v>280</v>
      </c>
      <c r="D10740" s="1" t="str">
        <f>HYPERLINK("javascript:void(0)","hiperium")</f>
        <v>hiperium</v>
      </c>
    </row>
    <row r="10741" spans="1:4" ht="12.75" customHeight="1" x14ac:dyDescent="0.2">
      <c r="A10741" s="21"/>
      <c r="B10741" s="21"/>
      <c r="C10741" s="8" t="s">
        <v>382</v>
      </c>
      <c r="D10741" s="1" t="str">
        <f>HYPERLINK("javascript:void(0)","bigapata")</f>
        <v>bigapata</v>
      </c>
    </row>
    <row r="10742" spans="1:4" ht="12.75" customHeight="1" x14ac:dyDescent="0.2">
      <c r="A10742" s="21"/>
      <c r="B10742" s="2"/>
      <c r="C10742" s="7"/>
      <c r="D10742" s="7"/>
    </row>
    <row r="10743" spans="1:4" ht="12.75" customHeight="1" x14ac:dyDescent="0.2">
      <c r="A10743" s="21"/>
      <c r="B10743" s="2"/>
      <c r="C10743" s="7"/>
      <c r="D10743" s="7"/>
    </row>
    <row r="10744" spans="1:4" ht="12.75" customHeight="1" x14ac:dyDescent="0.2">
      <c r="A10744" s="21"/>
      <c r="B10744" s="2"/>
      <c r="C10744" s="7"/>
      <c r="D10744" s="7"/>
    </row>
    <row r="10745" spans="1:4" ht="12.75" customHeight="1" x14ac:dyDescent="0.2">
      <c r="A10745" s="21"/>
      <c r="B10745" s="2"/>
      <c r="C10745" s="7"/>
      <c r="D10745" s="7"/>
    </row>
    <row r="10746" spans="1:4" ht="12.75" customHeight="1" x14ac:dyDescent="0.2">
      <c r="A10746" s="5"/>
      <c r="B10746" s="2"/>
      <c r="C10746" s="7"/>
      <c r="D10746" s="7"/>
    </row>
    <row r="10747" spans="1:4" ht="12.75" customHeight="1" x14ac:dyDescent="0.2">
      <c r="A10747" s="22" t="str">
        <f>HYPERLINK("javascript:void(0)","rulettpajzs")</f>
        <v>rulettpajzs</v>
      </c>
      <c r="B10747" s="21"/>
      <c r="C10747" s="21"/>
      <c r="D10747" s="21"/>
    </row>
    <row r="10748" spans="1:4" ht="12.75" customHeight="1" x14ac:dyDescent="0.2">
      <c r="A10748" s="20"/>
      <c r="B10748" s="2"/>
      <c r="C10748" s="7"/>
      <c r="D10748" s="7"/>
    </row>
    <row r="10749" spans="1:4" ht="12.75" customHeight="1" x14ac:dyDescent="0.2">
      <c r="A10749" s="21"/>
      <c r="B10749" s="3" t="s">
        <v>0</v>
      </c>
      <c r="C10749" s="23" t="s">
        <v>83</v>
      </c>
      <c r="D10749" s="21"/>
    </row>
    <row r="10750" spans="1:4" ht="12.75" customHeight="1" x14ac:dyDescent="0.2">
      <c r="A10750" s="21"/>
      <c r="B10750" s="3" t="s">
        <v>2</v>
      </c>
      <c r="C10750" s="23" t="s">
        <v>1839</v>
      </c>
      <c r="D10750" s="21"/>
    </row>
    <row r="10751" spans="1:4" ht="12.75" customHeight="1" x14ac:dyDescent="0.2">
      <c r="A10751" s="21"/>
      <c r="B10751" s="3" t="s">
        <v>1840</v>
      </c>
      <c r="C10751" s="23" t="s">
        <v>4603</v>
      </c>
      <c r="D10751" s="21"/>
    </row>
    <row r="10752" spans="1:4" ht="12.75" customHeight="1" x14ac:dyDescent="0.2">
      <c r="A10752" s="21"/>
      <c r="B10752" s="3" t="s">
        <v>9</v>
      </c>
      <c r="C10752" s="23" t="s">
        <v>249</v>
      </c>
      <c r="D10752" s="21"/>
    </row>
    <row r="10753" spans="1:4" ht="12.75" customHeight="1" x14ac:dyDescent="0.2">
      <c r="A10753" s="21"/>
      <c r="B10753" s="3" t="s">
        <v>11</v>
      </c>
      <c r="C10753" s="23" t="s">
        <v>1528</v>
      </c>
      <c r="D10753" s="21"/>
    </row>
    <row r="10754" spans="1:4" ht="12.75" customHeight="1" x14ac:dyDescent="0.2">
      <c r="A10754" s="21"/>
      <c r="B10754" s="3" t="s">
        <v>16</v>
      </c>
      <c r="C10754" s="23"/>
      <c r="D10754" s="21"/>
    </row>
    <row r="10755" spans="1:4" ht="12.75" customHeight="1" x14ac:dyDescent="0.2">
      <c r="A10755" s="21"/>
      <c r="B10755" s="3" t="s">
        <v>17</v>
      </c>
      <c r="C10755" s="23" t="s">
        <v>19</v>
      </c>
      <c r="D10755" s="21"/>
    </row>
    <row r="10756" spans="1:4" ht="12.75" customHeight="1" x14ac:dyDescent="0.2">
      <c r="A10756" s="21"/>
      <c r="B10756" s="20" t="s">
        <v>18</v>
      </c>
      <c r="C10756" s="8" t="s">
        <v>44</v>
      </c>
      <c r="D10756" s="1" t="str">
        <f>HYPERLINK("javascript:void(0)","aszálypajzs")</f>
        <v>aszálypajzs</v>
      </c>
    </row>
    <row r="10757" spans="1:4" ht="12.75" customHeight="1" x14ac:dyDescent="0.2">
      <c r="A10757" s="21"/>
      <c r="B10757" s="21"/>
      <c r="C10757" s="8" t="s">
        <v>67</v>
      </c>
      <c r="D10757" s="1" t="str">
        <f>HYPERLINK("javascript:void(0)","dobókocka")</f>
        <v>dobókocka</v>
      </c>
    </row>
    <row r="10758" spans="1:4" ht="12.75" customHeight="1" x14ac:dyDescent="0.2">
      <c r="A10758" s="21"/>
      <c r="B10758" s="21"/>
      <c r="C10758" s="8" t="s">
        <v>382</v>
      </c>
      <c r="D10758" s="1" t="str">
        <f>HYPERLINK("javascript:void(0)","éjfény")</f>
        <v>éjfény</v>
      </c>
    </row>
    <row r="10759" spans="1:4" ht="12.75" customHeight="1" x14ac:dyDescent="0.2">
      <c r="A10759" s="21"/>
      <c r="B10759" s="2"/>
      <c r="C10759" s="7"/>
      <c r="D10759" s="7"/>
    </row>
    <row r="10760" spans="1:4" ht="12.75" customHeight="1" x14ac:dyDescent="0.2">
      <c r="A10760" s="21"/>
      <c r="B10760" s="2"/>
      <c r="C10760" s="7"/>
      <c r="D10760" s="7"/>
    </row>
    <row r="10761" spans="1:4" ht="12.75" customHeight="1" x14ac:dyDescent="0.2">
      <c r="A10761" s="21"/>
      <c r="B10761" s="2"/>
      <c r="C10761" s="7"/>
      <c r="D10761" s="7"/>
    </row>
    <row r="10762" spans="1:4" ht="12.75" customHeight="1" x14ac:dyDescent="0.2">
      <c r="A10762" s="21"/>
      <c r="B10762" s="2"/>
      <c r="C10762" s="7"/>
      <c r="D10762" s="7"/>
    </row>
    <row r="10763" spans="1:4" ht="12.75" customHeight="1" x14ac:dyDescent="0.2">
      <c r="A10763" s="5"/>
      <c r="B10763" s="2"/>
      <c r="C10763" s="7"/>
      <c r="D10763" s="7"/>
    </row>
    <row r="10764" spans="1:4" ht="12.75" customHeight="1" x14ac:dyDescent="0.2">
      <c r="A10764" s="22" t="str">
        <f>HYPERLINK("javascript:void(0)","smaragdos szellempajzs")</f>
        <v>smaragdos szellempajzs</v>
      </c>
      <c r="B10764" s="21"/>
      <c r="C10764" s="21"/>
      <c r="D10764" s="21"/>
    </row>
    <row r="10765" spans="1:4" ht="12.75" customHeight="1" x14ac:dyDescent="0.2">
      <c r="A10765" s="20"/>
      <c r="B10765" s="2"/>
      <c r="C10765" s="7"/>
      <c r="D10765" s="7"/>
    </row>
    <row r="10766" spans="1:4" ht="12.75" customHeight="1" x14ac:dyDescent="0.2">
      <c r="A10766" s="21"/>
      <c r="B10766" s="3" t="s">
        <v>0</v>
      </c>
      <c r="C10766" s="23" t="s">
        <v>83</v>
      </c>
      <c r="D10766" s="21"/>
    </row>
    <row r="10767" spans="1:4" ht="12.75" customHeight="1" x14ac:dyDescent="0.2">
      <c r="A10767" s="21"/>
      <c r="B10767" s="3" t="s">
        <v>2</v>
      </c>
      <c r="C10767" s="23" t="s">
        <v>1839</v>
      </c>
      <c r="D10767" s="21"/>
    </row>
    <row r="10768" spans="1:4" ht="12.75" customHeight="1" x14ac:dyDescent="0.2">
      <c r="A10768" s="21"/>
      <c r="B10768" s="3" t="s">
        <v>1840</v>
      </c>
      <c r="C10768" s="23" t="s">
        <v>4603</v>
      </c>
      <c r="D10768" s="21"/>
    </row>
    <row r="10769" spans="1:4" ht="12.75" customHeight="1" x14ac:dyDescent="0.2">
      <c r="A10769" s="21"/>
      <c r="B10769" s="3" t="s">
        <v>9</v>
      </c>
      <c r="C10769" s="23" t="s">
        <v>762</v>
      </c>
      <c r="D10769" s="21"/>
    </row>
    <row r="10770" spans="1:4" ht="12.75" customHeight="1" x14ac:dyDescent="0.2">
      <c r="A10770" s="21"/>
      <c r="B10770" s="3" t="s">
        <v>11</v>
      </c>
      <c r="C10770" s="23" t="s">
        <v>1628</v>
      </c>
      <c r="D10770" s="21"/>
    </row>
    <row r="10771" spans="1:4" ht="12.75" customHeight="1" x14ac:dyDescent="0.2">
      <c r="A10771" s="21"/>
      <c r="B10771" s="3" t="s">
        <v>16</v>
      </c>
      <c r="C10771" s="23"/>
      <c r="D10771" s="21"/>
    </row>
    <row r="10772" spans="1:4" ht="12.75" customHeight="1" x14ac:dyDescent="0.2">
      <c r="A10772" s="21"/>
      <c r="B10772" s="3" t="s">
        <v>17</v>
      </c>
      <c r="C10772" s="23" t="s">
        <v>19</v>
      </c>
      <c r="D10772" s="21"/>
    </row>
    <row r="10773" spans="1:4" ht="12.75" customHeight="1" x14ac:dyDescent="0.2">
      <c r="A10773" s="21"/>
      <c r="B10773" s="20" t="s">
        <v>18</v>
      </c>
      <c r="C10773" s="8" t="s">
        <v>44</v>
      </c>
      <c r="D10773" s="1" t="str">
        <f>HYPERLINK("javascript:void(0)","rulettpajzs")</f>
        <v>rulettpajzs</v>
      </c>
    </row>
    <row r="10774" spans="1:4" ht="12.75" customHeight="1" x14ac:dyDescent="0.2">
      <c r="A10774" s="21"/>
      <c r="B10774" s="21"/>
      <c r="C10774" s="8" t="s">
        <v>370</v>
      </c>
      <c r="D10774" s="1" t="str">
        <f>HYPERLINK("javascript:void(0)","smaragd")</f>
        <v>smaragd</v>
      </c>
    </row>
    <row r="10775" spans="1:4" ht="12.75" customHeight="1" x14ac:dyDescent="0.2">
      <c r="A10775" s="21"/>
      <c r="B10775" s="21"/>
      <c r="C10775" s="8" t="s">
        <v>132</v>
      </c>
      <c r="D10775" s="1" t="str">
        <f>HYPERLINK("javascript:void(0)","átokige")</f>
        <v>átokige</v>
      </c>
    </row>
    <row r="10776" spans="1:4" ht="12.75" customHeight="1" x14ac:dyDescent="0.2">
      <c r="A10776" s="21"/>
      <c r="B10776" s="2"/>
      <c r="C10776" s="7"/>
      <c r="D10776" s="7"/>
    </row>
    <row r="10777" spans="1:4" ht="12.75" customHeight="1" x14ac:dyDescent="0.2">
      <c r="A10777" s="21"/>
      <c r="B10777" s="2"/>
      <c r="C10777" s="7"/>
      <c r="D10777" s="7"/>
    </row>
    <row r="10778" spans="1:4" ht="12.75" customHeight="1" x14ac:dyDescent="0.2">
      <c r="A10778" s="21"/>
      <c r="B10778" s="2"/>
      <c r="C10778" s="7"/>
      <c r="D10778" s="7"/>
    </row>
    <row r="10779" spans="1:4" ht="12.75" customHeight="1" x14ac:dyDescent="0.2">
      <c r="A10779" s="21"/>
      <c r="B10779" s="2"/>
      <c r="C10779" s="7"/>
      <c r="D10779" s="7"/>
    </row>
    <row r="10780" spans="1:4" ht="12.75" customHeight="1" x14ac:dyDescent="0.2">
      <c r="A10780" s="5"/>
      <c r="B10780" s="2"/>
      <c r="C10780" s="7"/>
      <c r="D10780" s="7"/>
    </row>
    <row r="10781" spans="1:4" ht="12.75" customHeight="1" x14ac:dyDescent="0.2">
      <c r="A10781" s="22" t="str">
        <f>HYPERLINK("javascript:void(0)","szerencsekupola")</f>
        <v>szerencsekupola</v>
      </c>
      <c r="B10781" s="21"/>
      <c r="C10781" s="21"/>
      <c r="D10781" s="21"/>
    </row>
    <row r="10782" spans="1:4" ht="12.75" customHeight="1" x14ac:dyDescent="0.2">
      <c r="A10782" s="20"/>
      <c r="B10782" s="2"/>
      <c r="C10782" s="7"/>
      <c r="D10782" s="7"/>
    </row>
    <row r="10783" spans="1:4" ht="12.75" customHeight="1" x14ac:dyDescent="0.2">
      <c r="A10783" s="21"/>
      <c r="B10783" s="3" t="s">
        <v>0</v>
      </c>
      <c r="C10783" s="23" t="s">
        <v>83</v>
      </c>
      <c r="D10783" s="21"/>
    </row>
    <row r="10784" spans="1:4" ht="12.75" customHeight="1" x14ac:dyDescent="0.2">
      <c r="A10784" s="21"/>
      <c r="B10784" s="3" t="s">
        <v>2</v>
      </c>
      <c r="C10784" s="23"/>
      <c r="D10784" s="21"/>
    </row>
    <row r="10785" spans="1:4" ht="12.75" customHeight="1" x14ac:dyDescent="0.2">
      <c r="A10785" s="21"/>
      <c r="B10785" s="3" t="s">
        <v>1840</v>
      </c>
      <c r="C10785" s="23" t="s">
        <v>115</v>
      </c>
      <c r="D10785" s="21"/>
    </row>
    <row r="10786" spans="1:4" ht="12.75" customHeight="1" x14ac:dyDescent="0.2">
      <c r="A10786" s="21"/>
      <c r="B10786" s="3" t="s">
        <v>9</v>
      </c>
      <c r="C10786" s="23" t="s">
        <v>42</v>
      </c>
      <c r="D10786" s="21"/>
    </row>
    <row r="10787" spans="1:4" ht="12.75" customHeight="1" x14ac:dyDescent="0.2">
      <c r="A10787" s="21"/>
      <c r="B10787" s="3" t="s">
        <v>11</v>
      </c>
      <c r="C10787" s="23" t="s">
        <v>2477</v>
      </c>
      <c r="D10787" s="21"/>
    </row>
    <row r="10788" spans="1:4" ht="12.75" customHeight="1" x14ac:dyDescent="0.2">
      <c r="A10788" s="21"/>
      <c r="B10788" s="3" t="s">
        <v>16</v>
      </c>
      <c r="C10788" s="23"/>
      <c r="D10788" s="21"/>
    </row>
    <row r="10789" spans="1:4" ht="12.75" customHeight="1" x14ac:dyDescent="0.2">
      <c r="A10789" s="21"/>
      <c r="B10789" s="3" t="s">
        <v>17</v>
      </c>
      <c r="C10789" s="23" t="s">
        <v>19</v>
      </c>
      <c r="D10789" s="21"/>
    </row>
    <row r="10790" spans="1:4" ht="12.75" customHeight="1" x14ac:dyDescent="0.2">
      <c r="A10790" s="21"/>
      <c r="B10790" s="20" t="s">
        <v>18</v>
      </c>
      <c r="C10790" s="8" t="s">
        <v>67</v>
      </c>
      <c r="D10790" s="1" t="str">
        <f>HYPERLINK("javascript:void(0)","dobókocka")</f>
        <v>dobókocka</v>
      </c>
    </row>
    <row r="10791" spans="1:4" ht="12.75" customHeight="1" x14ac:dyDescent="0.2">
      <c r="A10791" s="21"/>
      <c r="B10791" s="21"/>
      <c r="C10791" s="8" t="s">
        <v>117</v>
      </c>
      <c r="D10791" s="1" t="str">
        <f>HYPERLINK("javascript:void(0)","lexikon")</f>
        <v>lexikon</v>
      </c>
    </row>
    <row r="10792" spans="1:4" ht="12.75" customHeight="1" x14ac:dyDescent="0.2">
      <c r="A10792" s="21"/>
      <c r="B10792" s="21"/>
      <c r="C10792" s="8" t="s">
        <v>382</v>
      </c>
      <c r="D10792" s="1" t="str">
        <f>HYPERLINK("javascript:void(0)","démonzanza")</f>
        <v>démonzanza</v>
      </c>
    </row>
    <row r="10793" spans="1:4" ht="12.75" customHeight="1" x14ac:dyDescent="0.2">
      <c r="A10793" s="21"/>
      <c r="B10793" s="2"/>
      <c r="C10793" s="7"/>
      <c r="D10793" s="7"/>
    </row>
    <row r="10794" spans="1:4" ht="12.75" customHeight="1" x14ac:dyDescent="0.2">
      <c r="A10794" s="21"/>
      <c r="B10794" s="2"/>
      <c r="C10794" s="7"/>
      <c r="D10794" s="7"/>
    </row>
    <row r="10795" spans="1:4" ht="12.75" customHeight="1" x14ac:dyDescent="0.2">
      <c r="A10795" s="21"/>
      <c r="B10795" s="2"/>
      <c r="C10795" s="7"/>
      <c r="D10795" s="7"/>
    </row>
    <row r="10796" spans="1:4" ht="12.75" customHeight="1" x14ac:dyDescent="0.2">
      <c r="A10796" s="21"/>
      <c r="B10796" s="2"/>
      <c r="C10796" s="7"/>
      <c r="D10796" s="7"/>
    </row>
    <row r="10797" spans="1:4" ht="12.75" customHeight="1" x14ac:dyDescent="0.2">
      <c r="A10797" s="5"/>
      <c r="B10797" s="2"/>
      <c r="C10797" s="7"/>
      <c r="D10797" s="7"/>
    </row>
    <row r="10798" spans="1:4" ht="12.75" customHeight="1" x14ac:dyDescent="0.2">
      <c r="A10798" s="22" t="str">
        <f>HYPERLINK("javascript:void(0)","fotoacél antigrav csizma")</f>
        <v>fotoacél antigrav csizma</v>
      </c>
      <c r="B10798" s="21"/>
      <c r="C10798" s="21"/>
      <c r="D10798" s="21"/>
    </row>
    <row r="10799" spans="1:4" ht="12.75" customHeight="1" x14ac:dyDescent="0.2">
      <c r="A10799" s="20"/>
      <c r="B10799" s="2"/>
      <c r="C10799" s="7"/>
      <c r="D10799" s="7"/>
    </row>
    <row r="10800" spans="1:4" ht="12.75" customHeight="1" x14ac:dyDescent="0.2">
      <c r="A10800" s="21"/>
      <c r="B10800" s="3" t="s">
        <v>0</v>
      </c>
      <c r="C10800" s="23" t="s">
        <v>83</v>
      </c>
      <c r="D10800" s="21"/>
    </row>
    <row r="10801" spans="1:4" ht="12.75" customHeight="1" x14ac:dyDescent="0.2">
      <c r="A10801" s="21"/>
      <c r="B10801" s="3" t="s">
        <v>2</v>
      </c>
      <c r="C10801" s="23"/>
      <c r="D10801" s="21"/>
    </row>
    <row r="10802" spans="1:4" ht="12.75" customHeight="1" x14ac:dyDescent="0.2">
      <c r="A10802" s="21"/>
      <c r="B10802" s="3" t="s">
        <v>1840</v>
      </c>
      <c r="C10802" s="23" t="s">
        <v>2091</v>
      </c>
      <c r="D10802" s="21"/>
    </row>
    <row r="10803" spans="1:4" ht="12.75" customHeight="1" x14ac:dyDescent="0.2">
      <c r="A10803" s="21"/>
      <c r="B10803" s="3" t="s">
        <v>9</v>
      </c>
      <c r="C10803" s="23" t="s">
        <v>626</v>
      </c>
      <c r="D10803" s="21"/>
    </row>
    <row r="10804" spans="1:4" ht="12.75" customHeight="1" x14ac:dyDescent="0.2">
      <c r="A10804" s="21"/>
      <c r="B10804" s="3" t="s">
        <v>11</v>
      </c>
      <c r="C10804" s="23" t="s">
        <v>23</v>
      </c>
      <c r="D10804" s="21"/>
    </row>
    <row r="10805" spans="1:4" ht="12.75" customHeight="1" x14ac:dyDescent="0.2">
      <c r="A10805" s="21"/>
      <c r="B10805" s="3" t="s">
        <v>16</v>
      </c>
      <c r="C10805" s="23"/>
      <c r="D10805" s="21"/>
    </row>
    <row r="10806" spans="1:4" ht="12.75" customHeight="1" x14ac:dyDescent="0.2">
      <c r="A10806" s="21"/>
      <c r="B10806" s="3" t="s">
        <v>17</v>
      </c>
      <c r="C10806" s="23" t="s">
        <v>19</v>
      </c>
      <c r="D10806" s="21"/>
    </row>
    <row r="10807" spans="1:4" ht="25.5" customHeight="1" x14ac:dyDescent="0.2">
      <c r="A10807" s="21"/>
      <c r="B10807" s="20" t="s">
        <v>18</v>
      </c>
      <c r="C10807" s="8" t="s">
        <v>44</v>
      </c>
      <c r="D10807" s="1" t="str">
        <f>HYPERLINK("javascript:void(0)","mengorni antigrav csizma")</f>
        <v>mengorni antigrav csizma</v>
      </c>
    </row>
    <row r="10808" spans="1:4" ht="12.75" customHeight="1" x14ac:dyDescent="0.2">
      <c r="A10808" s="21"/>
      <c r="B10808" s="21"/>
      <c r="C10808" s="8" t="s">
        <v>163</v>
      </c>
      <c r="D10808" s="1" t="str">
        <f>HYPERLINK("javascript:void(0)","dobókocka")</f>
        <v>dobókocka</v>
      </c>
    </row>
    <row r="10809" spans="1:4" ht="12.75" customHeight="1" x14ac:dyDescent="0.2">
      <c r="A10809" s="21"/>
      <c r="B10809" s="21"/>
      <c r="C10809" s="8" t="s">
        <v>382</v>
      </c>
      <c r="D10809" s="1" t="str">
        <f>HYPERLINK("javascript:void(0)","sárkányzsák")</f>
        <v>sárkányzsák</v>
      </c>
    </row>
    <row r="10810" spans="1:4" ht="12.75" customHeight="1" x14ac:dyDescent="0.2">
      <c r="A10810" s="21"/>
      <c r="B10810" s="2"/>
      <c r="C10810" s="7"/>
      <c r="D10810" s="7"/>
    </row>
    <row r="10811" spans="1:4" ht="12.75" customHeight="1" x14ac:dyDescent="0.2">
      <c r="A10811" s="21"/>
      <c r="B10811" s="2"/>
      <c r="C10811" s="7"/>
      <c r="D10811" s="7"/>
    </row>
    <row r="10812" spans="1:4" ht="12.75" customHeight="1" x14ac:dyDescent="0.2">
      <c r="A10812" s="21"/>
      <c r="B10812" s="2"/>
      <c r="C10812" s="7"/>
      <c r="D10812" s="7"/>
    </row>
    <row r="10813" spans="1:4" ht="12.75" customHeight="1" x14ac:dyDescent="0.2">
      <c r="A10813" s="21"/>
      <c r="B10813" s="2"/>
      <c r="C10813" s="7"/>
      <c r="D10813" s="7"/>
    </row>
    <row r="10814" spans="1:4" ht="12.75" customHeight="1" x14ac:dyDescent="0.2">
      <c r="A10814" s="5"/>
      <c r="B10814" s="2"/>
      <c r="C10814" s="7"/>
      <c r="D10814" s="7"/>
    </row>
    <row r="10815" spans="1:4" ht="12.75" customHeight="1" x14ac:dyDescent="0.2">
      <c r="A10815" s="22" t="str">
        <f>HYPERLINK("javascript:void(0)","teljes grafitvért")</f>
        <v>teljes grafitvért</v>
      </c>
      <c r="B10815" s="21"/>
      <c r="C10815" s="21"/>
      <c r="D10815" s="21"/>
    </row>
    <row r="10816" spans="1:4" ht="12.75" customHeight="1" x14ac:dyDescent="0.2">
      <c r="A10816" s="20"/>
      <c r="B10816" s="2"/>
      <c r="C10816" s="7"/>
      <c r="D10816" s="7"/>
    </row>
    <row r="10817" spans="1:4" ht="12.75" customHeight="1" x14ac:dyDescent="0.2">
      <c r="A10817" s="21"/>
      <c r="B10817" s="3" t="s">
        <v>0</v>
      </c>
      <c r="C10817" s="23" t="s">
        <v>302</v>
      </c>
      <c r="D10817" s="21"/>
    </row>
    <row r="10818" spans="1:4" ht="12.75" customHeight="1" x14ac:dyDescent="0.2">
      <c r="A10818" s="21"/>
      <c r="B10818" s="3" t="s">
        <v>2</v>
      </c>
      <c r="C10818" s="23" t="s">
        <v>2322</v>
      </c>
      <c r="D10818" s="21"/>
    </row>
    <row r="10819" spans="1:4" ht="12.75" customHeight="1" x14ac:dyDescent="0.2">
      <c r="A10819" s="21"/>
      <c r="B10819" s="3" t="s">
        <v>1840</v>
      </c>
      <c r="C10819" s="23" t="s">
        <v>2482</v>
      </c>
      <c r="D10819" s="21"/>
    </row>
    <row r="10820" spans="1:4" ht="12.75" customHeight="1" x14ac:dyDescent="0.2">
      <c r="A10820" s="21"/>
      <c r="B10820" s="3" t="s">
        <v>9</v>
      </c>
      <c r="C10820" s="23" t="s">
        <v>306</v>
      </c>
      <c r="D10820" s="21"/>
    </row>
    <row r="10821" spans="1:4" ht="12.75" customHeight="1" x14ac:dyDescent="0.2">
      <c r="A10821" s="21"/>
      <c r="B10821" s="3" t="s">
        <v>11</v>
      </c>
      <c r="C10821" s="23" t="s">
        <v>1145</v>
      </c>
      <c r="D10821" s="21"/>
    </row>
    <row r="10822" spans="1:4" ht="12.75" customHeight="1" x14ac:dyDescent="0.2">
      <c r="A10822" s="21"/>
      <c r="B10822" s="3" t="s">
        <v>16</v>
      </c>
      <c r="C10822" s="23"/>
      <c r="D10822" s="21"/>
    </row>
    <row r="10823" spans="1:4" ht="12.75" customHeight="1" x14ac:dyDescent="0.2">
      <c r="A10823" s="21"/>
      <c r="B10823" s="3" t="s">
        <v>17</v>
      </c>
      <c r="C10823" s="23" t="s">
        <v>19</v>
      </c>
      <c r="D10823" s="21"/>
    </row>
    <row r="10824" spans="1:4" ht="12.75" customHeight="1" x14ac:dyDescent="0.2">
      <c r="A10824" s="21"/>
      <c r="B10824" s="20" t="s">
        <v>18</v>
      </c>
      <c r="C10824" s="8" t="s">
        <v>193</v>
      </c>
      <c r="D10824" s="1" t="str">
        <f>HYPERLINK("javascript:void(0)","gránitrög")</f>
        <v>gránitrög</v>
      </c>
    </row>
    <row r="10825" spans="1:4" ht="12.75" customHeight="1" x14ac:dyDescent="0.2">
      <c r="A10825" s="21"/>
      <c r="B10825" s="21"/>
      <c r="C10825" s="8" t="s">
        <v>244</v>
      </c>
      <c r="D10825" s="1" t="str">
        <f>HYPERLINK("javascript:void(0)","cerka")</f>
        <v>cerka</v>
      </c>
    </row>
    <row r="10826" spans="1:4" ht="12.75" customHeight="1" x14ac:dyDescent="0.2">
      <c r="A10826" s="21"/>
      <c r="B10826" s="21"/>
      <c r="C10826" s="8" t="s">
        <v>772</v>
      </c>
      <c r="D10826" s="1" t="str">
        <f>HYPERLINK("javascript:void(0)","aszályige")</f>
        <v>aszályige</v>
      </c>
    </row>
    <row r="10827" spans="1:4" ht="12.75" customHeight="1" x14ac:dyDescent="0.2">
      <c r="A10827" s="21"/>
      <c r="B10827" s="2"/>
      <c r="C10827" s="7"/>
      <c r="D10827" s="7"/>
    </row>
    <row r="10828" spans="1:4" ht="12.75" customHeight="1" x14ac:dyDescent="0.2">
      <c r="A10828" s="21"/>
      <c r="B10828" s="2"/>
      <c r="C10828" s="7"/>
      <c r="D10828" s="7"/>
    </row>
    <row r="10829" spans="1:4" ht="12.75" customHeight="1" x14ac:dyDescent="0.2">
      <c r="A10829" s="21"/>
      <c r="B10829" s="2"/>
      <c r="C10829" s="7"/>
      <c r="D10829" s="7"/>
    </row>
    <row r="10830" spans="1:4" ht="12.75" customHeight="1" x14ac:dyDescent="0.2">
      <c r="A10830" s="21"/>
      <c r="B10830" s="2"/>
      <c r="C10830" s="7"/>
      <c r="D10830" s="7"/>
    </row>
    <row r="10831" spans="1:4" ht="12.75" customHeight="1" x14ac:dyDescent="0.2">
      <c r="A10831" s="5"/>
      <c r="B10831" s="2"/>
      <c r="C10831" s="7"/>
      <c r="D10831" s="7"/>
    </row>
    <row r="10832" spans="1:4" ht="12.75" customHeight="1" x14ac:dyDescent="0.2">
      <c r="A10832" s="22" t="str">
        <f>HYPERLINK("javascript:void(0)","trösztsisak")</f>
        <v>trösztsisak</v>
      </c>
      <c r="B10832" s="21"/>
      <c r="C10832" s="21"/>
      <c r="D10832" s="21"/>
    </row>
    <row r="10833" spans="1:4" ht="12.75" customHeight="1" x14ac:dyDescent="0.2">
      <c r="A10833" s="20"/>
      <c r="B10833" s="2"/>
      <c r="C10833" s="7"/>
      <c r="D10833" s="7"/>
    </row>
    <row r="10834" spans="1:4" ht="12.75" customHeight="1" x14ac:dyDescent="0.2">
      <c r="A10834" s="21"/>
      <c r="B10834" s="3" t="s">
        <v>0</v>
      </c>
      <c r="C10834" s="23" t="s">
        <v>302</v>
      </c>
      <c r="D10834" s="21"/>
    </row>
    <row r="10835" spans="1:4" ht="12.75" customHeight="1" x14ac:dyDescent="0.2">
      <c r="A10835" s="21"/>
      <c r="B10835" s="3" t="s">
        <v>2</v>
      </c>
      <c r="C10835" s="23"/>
      <c r="D10835" s="21"/>
    </row>
    <row r="10836" spans="1:4" ht="12.75" customHeight="1" x14ac:dyDescent="0.2">
      <c r="A10836" s="21"/>
      <c r="B10836" s="3" t="s">
        <v>1840</v>
      </c>
      <c r="C10836" s="23" t="s">
        <v>471</v>
      </c>
      <c r="D10836" s="21"/>
    </row>
    <row r="10837" spans="1:4" ht="12.75" customHeight="1" x14ac:dyDescent="0.2">
      <c r="A10837" s="21"/>
      <c r="B10837" s="3" t="s">
        <v>9</v>
      </c>
      <c r="C10837" s="23" t="s">
        <v>1991</v>
      </c>
      <c r="D10837" s="21"/>
    </row>
    <row r="10838" spans="1:4" ht="12.75" customHeight="1" x14ac:dyDescent="0.2">
      <c r="A10838" s="21"/>
      <c r="B10838" s="3" t="s">
        <v>11</v>
      </c>
      <c r="C10838" s="23" t="s">
        <v>1145</v>
      </c>
      <c r="D10838" s="21"/>
    </row>
    <row r="10839" spans="1:4" ht="12.75" customHeight="1" x14ac:dyDescent="0.2">
      <c r="A10839" s="21"/>
      <c r="B10839" s="3" t="s">
        <v>16</v>
      </c>
      <c r="C10839" s="23"/>
      <c r="D10839" s="21"/>
    </row>
    <row r="10840" spans="1:4" ht="12.75" customHeight="1" x14ac:dyDescent="0.2">
      <c r="A10840" s="21"/>
      <c r="B10840" s="3" t="s">
        <v>17</v>
      </c>
      <c r="C10840" s="23" t="s">
        <v>19</v>
      </c>
      <c r="D10840" s="21"/>
    </row>
    <row r="10841" spans="1:4" ht="12.75" customHeight="1" x14ac:dyDescent="0.2">
      <c r="A10841" s="21"/>
      <c r="B10841" s="20" t="s">
        <v>18</v>
      </c>
      <c r="C10841" s="8" t="s">
        <v>44</v>
      </c>
      <c r="D10841" s="1" t="str">
        <f>HYPERLINK("javascript:void(0)","kupolás sisak")</f>
        <v>kupolás sisak</v>
      </c>
    </row>
    <row r="10842" spans="1:4" ht="12.75" customHeight="1" x14ac:dyDescent="0.2">
      <c r="A10842" s="21"/>
      <c r="B10842" s="21"/>
      <c r="C10842" s="8" t="s">
        <v>117</v>
      </c>
      <c r="D10842" s="1" t="str">
        <f>HYPERLINK("javascript:void(0)","tekervény")</f>
        <v>tekervény</v>
      </c>
    </row>
    <row r="10843" spans="1:4" ht="12.75" customHeight="1" x14ac:dyDescent="0.2">
      <c r="A10843" s="21"/>
      <c r="B10843" s="21"/>
      <c r="C10843" s="8" t="s">
        <v>139</v>
      </c>
      <c r="D10843" s="1" t="str">
        <f>HYPERLINK("javascript:void(0)","hátszarv")</f>
        <v>hátszarv</v>
      </c>
    </row>
    <row r="10844" spans="1:4" ht="12.75" customHeight="1" x14ac:dyDescent="0.2">
      <c r="A10844" s="21"/>
      <c r="B10844" s="2"/>
      <c r="C10844" s="7"/>
      <c r="D10844" s="7"/>
    </row>
    <row r="10845" spans="1:4" ht="12.75" customHeight="1" x14ac:dyDescent="0.2">
      <c r="A10845" s="21"/>
      <c r="B10845" s="2"/>
      <c r="C10845" s="7"/>
      <c r="D10845" s="7"/>
    </row>
    <row r="10846" spans="1:4" ht="12.75" customHeight="1" x14ac:dyDescent="0.2">
      <c r="A10846" s="21"/>
      <c r="B10846" s="2"/>
      <c r="C10846" s="7"/>
      <c r="D10846" s="7"/>
    </row>
    <row r="10847" spans="1:4" ht="12.75" customHeight="1" x14ac:dyDescent="0.2">
      <c r="A10847" s="21"/>
      <c r="B10847" s="2"/>
      <c r="C10847" s="7"/>
      <c r="D10847" s="7"/>
    </row>
    <row r="10848" spans="1:4" ht="12.75" customHeight="1" x14ac:dyDescent="0.2">
      <c r="A10848" s="5"/>
      <c r="B10848" s="2"/>
      <c r="C10848" s="7"/>
      <c r="D10848" s="7"/>
    </row>
    <row r="10849" spans="1:4" ht="12.75" customHeight="1" x14ac:dyDescent="0.2">
      <c r="A10849" s="22" t="str">
        <f>HYPERLINK("javascript:void(0)","hidracél mokaszin")</f>
        <v>hidracél mokaszin</v>
      </c>
      <c r="B10849" s="21"/>
      <c r="C10849" s="21"/>
      <c r="D10849" s="21"/>
    </row>
    <row r="10850" spans="1:4" ht="12.75" customHeight="1" x14ac:dyDescent="0.2">
      <c r="A10850" s="20"/>
      <c r="B10850" s="2"/>
      <c r="C10850" s="7"/>
      <c r="D10850" s="7"/>
    </row>
    <row r="10851" spans="1:4" ht="12.75" customHeight="1" x14ac:dyDescent="0.2">
      <c r="A10851" s="21"/>
      <c r="B10851" s="3" t="s">
        <v>0</v>
      </c>
      <c r="C10851" s="23" t="s">
        <v>302</v>
      </c>
      <c r="D10851" s="21"/>
    </row>
    <row r="10852" spans="1:4" ht="12.75" customHeight="1" x14ac:dyDescent="0.2">
      <c r="A10852" s="21"/>
      <c r="B10852" s="3" t="s">
        <v>2</v>
      </c>
      <c r="C10852" s="23"/>
      <c r="D10852" s="21"/>
    </row>
    <row r="10853" spans="1:4" ht="12.75" customHeight="1" x14ac:dyDescent="0.2">
      <c r="A10853" s="21"/>
      <c r="B10853" s="3" t="s">
        <v>1840</v>
      </c>
      <c r="C10853" s="23" t="s">
        <v>2093</v>
      </c>
      <c r="D10853" s="21"/>
    </row>
    <row r="10854" spans="1:4" ht="12.75" customHeight="1" x14ac:dyDescent="0.2">
      <c r="A10854" s="21"/>
      <c r="B10854" s="3" t="s">
        <v>9</v>
      </c>
      <c r="C10854" s="23" t="s">
        <v>1532</v>
      </c>
      <c r="D10854" s="21"/>
    </row>
    <row r="10855" spans="1:4" ht="12.75" customHeight="1" x14ac:dyDescent="0.2">
      <c r="A10855" s="21"/>
      <c r="B10855" s="3" t="s">
        <v>11</v>
      </c>
      <c r="C10855" s="23" t="s">
        <v>1177</v>
      </c>
      <c r="D10855" s="21"/>
    </row>
    <row r="10856" spans="1:4" ht="12.75" customHeight="1" x14ac:dyDescent="0.2">
      <c r="A10856" s="21"/>
      <c r="B10856" s="3" t="s">
        <v>16</v>
      </c>
      <c r="C10856" s="23"/>
      <c r="D10856" s="21"/>
    </row>
    <row r="10857" spans="1:4" ht="12.75" customHeight="1" x14ac:dyDescent="0.2">
      <c r="A10857" s="21"/>
      <c r="B10857" s="3" t="s">
        <v>17</v>
      </c>
      <c r="C10857" s="23" t="s">
        <v>19</v>
      </c>
      <c r="D10857" s="21"/>
    </row>
    <row r="10858" spans="1:4" ht="12.75" customHeight="1" x14ac:dyDescent="0.2">
      <c r="A10858" s="21"/>
      <c r="B10858" s="20" t="s">
        <v>18</v>
      </c>
      <c r="C10858" s="8" t="s">
        <v>44</v>
      </c>
      <c r="D10858" s="1" t="str">
        <f>HYPERLINK("javascript:void(0)","hipermokaszin")</f>
        <v>hipermokaszin</v>
      </c>
    </row>
    <row r="10859" spans="1:4" ht="12.75" customHeight="1" x14ac:dyDescent="0.2">
      <c r="A10859" s="21"/>
      <c r="B10859" s="21"/>
      <c r="C10859" s="8" t="s">
        <v>44</v>
      </c>
      <c r="D10859" s="1" t="str">
        <f>HYPERLINK("javascript:void(0)","centromokaszin")</f>
        <v>centromokaszin</v>
      </c>
    </row>
    <row r="10860" spans="1:4" ht="12.75" customHeight="1" x14ac:dyDescent="0.2">
      <c r="A10860" s="21"/>
      <c r="B10860" s="21"/>
      <c r="C10860" s="8" t="s">
        <v>44</v>
      </c>
      <c r="D10860" s="1" t="str">
        <f>HYPERLINK("javascript:void(0)","hidracél fűző")</f>
        <v>hidracél fűző</v>
      </c>
    </row>
    <row r="10861" spans="1:4" ht="12.75" customHeight="1" x14ac:dyDescent="0.2">
      <c r="A10861" s="21"/>
      <c r="B10861" s="2"/>
      <c r="C10861" s="7"/>
      <c r="D10861" s="7"/>
    </row>
    <row r="10862" spans="1:4" ht="12.75" customHeight="1" x14ac:dyDescent="0.2">
      <c r="A10862" s="21"/>
      <c r="B10862" s="2"/>
      <c r="C10862" s="7"/>
      <c r="D10862" s="7"/>
    </row>
    <row r="10863" spans="1:4" ht="12.75" customHeight="1" x14ac:dyDescent="0.2">
      <c r="A10863" s="21"/>
      <c r="B10863" s="2"/>
      <c r="C10863" s="7"/>
      <c r="D10863" s="7"/>
    </row>
    <row r="10864" spans="1:4" ht="12.75" customHeight="1" x14ac:dyDescent="0.2">
      <c r="A10864" s="21"/>
      <c r="B10864" s="2"/>
      <c r="C10864" s="7"/>
      <c r="D10864" s="7"/>
    </row>
    <row r="10865" spans="1:4" ht="12.75" customHeight="1" x14ac:dyDescent="0.2">
      <c r="A10865" s="5"/>
      <c r="B10865" s="2"/>
      <c r="C10865" s="7"/>
      <c r="D10865" s="7"/>
    </row>
    <row r="10866" spans="1:4" ht="12.75" customHeight="1" x14ac:dyDescent="0.2">
      <c r="A10866" s="22" t="str">
        <f>HYPERLINK("javascript:void(0)","rulett testpajzs")</f>
        <v>rulett testpajzs</v>
      </c>
      <c r="B10866" s="21"/>
      <c r="C10866" s="21"/>
      <c r="D10866" s="21"/>
    </row>
    <row r="10867" spans="1:4" ht="12.75" customHeight="1" x14ac:dyDescent="0.2">
      <c r="A10867" s="20"/>
      <c r="B10867" s="2"/>
      <c r="C10867" s="7"/>
      <c r="D10867" s="7"/>
    </row>
    <row r="10868" spans="1:4" ht="12.75" customHeight="1" x14ac:dyDescent="0.2">
      <c r="A10868" s="21"/>
      <c r="B10868" s="3" t="s">
        <v>0</v>
      </c>
      <c r="C10868" s="23" t="s">
        <v>302</v>
      </c>
      <c r="D10868" s="21"/>
    </row>
    <row r="10869" spans="1:4" ht="12.75" customHeight="1" x14ac:dyDescent="0.2">
      <c r="A10869" s="21"/>
      <c r="B10869" s="3" t="s">
        <v>2</v>
      </c>
      <c r="C10869" s="23" t="s">
        <v>1839</v>
      </c>
      <c r="D10869" s="21"/>
    </row>
    <row r="10870" spans="1:4" ht="12.75" customHeight="1" x14ac:dyDescent="0.2">
      <c r="A10870" s="21"/>
      <c r="B10870" s="3" t="s">
        <v>1840</v>
      </c>
      <c r="C10870" s="23" t="s">
        <v>2770</v>
      </c>
      <c r="D10870" s="21"/>
    </row>
    <row r="10871" spans="1:4" ht="12.75" customHeight="1" x14ac:dyDescent="0.2">
      <c r="A10871" s="21"/>
      <c r="B10871" s="3" t="s">
        <v>9</v>
      </c>
      <c r="C10871" s="23" t="s">
        <v>262</v>
      </c>
      <c r="D10871" s="21"/>
    </row>
    <row r="10872" spans="1:4" ht="12.75" customHeight="1" x14ac:dyDescent="0.2">
      <c r="A10872" s="21"/>
      <c r="B10872" s="3" t="s">
        <v>11</v>
      </c>
      <c r="C10872" s="23" t="s">
        <v>1451</v>
      </c>
      <c r="D10872" s="21"/>
    </row>
    <row r="10873" spans="1:4" ht="12.75" customHeight="1" x14ac:dyDescent="0.2">
      <c r="A10873" s="21"/>
      <c r="B10873" s="3" t="s">
        <v>16</v>
      </c>
      <c r="C10873" s="23"/>
      <c r="D10873" s="21"/>
    </row>
    <row r="10874" spans="1:4" ht="12.75" customHeight="1" x14ac:dyDescent="0.2">
      <c r="A10874" s="21"/>
      <c r="B10874" s="3" t="s">
        <v>17</v>
      </c>
      <c r="C10874" s="23" t="s">
        <v>19</v>
      </c>
      <c r="D10874" s="21"/>
    </row>
    <row r="10875" spans="1:4" ht="12.75" customHeight="1" x14ac:dyDescent="0.2">
      <c r="A10875" s="21"/>
      <c r="B10875" s="20" t="s">
        <v>18</v>
      </c>
      <c r="C10875" s="8" t="s">
        <v>44</v>
      </c>
      <c r="D10875" s="1" t="str">
        <f>HYPERLINK("javascript:void(0)","aszály testpajzs")</f>
        <v>aszály testpajzs</v>
      </c>
    </row>
    <row r="10876" spans="1:4" ht="12.75" customHeight="1" x14ac:dyDescent="0.2">
      <c r="A10876" s="21"/>
      <c r="B10876" s="21"/>
      <c r="C10876" s="8" t="s">
        <v>139</v>
      </c>
      <c r="D10876" s="1" t="str">
        <f>HYPERLINK("javascript:void(0)","dobókocka")</f>
        <v>dobókocka</v>
      </c>
    </row>
    <row r="10877" spans="1:4" ht="12.75" customHeight="1" x14ac:dyDescent="0.2">
      <c r="A10877" s="21"/>
      <c r="B10877" s="21"/>
      <c r="C10877" s="8" t="s">
        <v>382</v>
      </c>
      <c r="D10877" s="1" t="str">
        <f>HYPERLINK("javascript:void(0)","törmelék")</f>
        <v>törmelék</v>
      </c>
    </row>
    <row r="10878" spans="1:4" ht="12.75" customHeight="1" x14ac:dyDescent="0.2">
      <c r="A10878" s="21"/>
      <c r="B10878" s="2"/>
      <c r="C10878" s="7"/>
      <c r="D10878" s="7"/>
    </row>
    <row r="10879" spans="1:4" ht="12.75" customHeight="1" x14ac:dyDescent="0.2">
      <c r="A10879" s="21"/>
      <c r="B10879" s="2"/>
      <c r="C10879" s="7"/>
      <c r="D10879" s="7"/>
    </row>
    <row r="10880" spans="1:4" ht="12.75" customHeight="1" x14ac:dyDescent="0.2">
      <c r="A10880" s="21"/>
      <c r="B10880" s="2"/>
      <c r="C10880" s="7"/>
      <c r="D10880" s="7"/>
    </row>
    <row r="10881" spans="1:4" ht="12.75" customHeight="1" x14ac:dyDescent="0.2">
      <c r="A10881" s="21"/>
      <c r="B10881" s="2"/>
      <c r="C10881" s="7"/>
      <c r="D10881" s="7"/>
    </row>
    <row r="10882" spans="1:4" ht="12.75" customHeight="1" x14ac:dyDescent="0.2">
      <c r="A10882" s="5"/>
      <c r="B10882" s="2"/>
      <c r="C10882" s="7"/>
      <c r="D10882" s="7"/>
    </row>
    <row r="10883" spans="1:4" ht="12.75" customHeight="1" x14ac:dyDescent="0.2">
      <c r="A10883" s="22" t="str">
        <f>HYPERLINK("javascript:void(0)","rubintos szellempajzs")</f>
        <v>rubintos szellempajzs</v>
      </c>
      <c r="B10883" s="21"/>
      <c r="C10883" s="21"/>
      <c r="D10883" s="21"/>
    </row>
    <row r="10884" spans="1:4" ht="12.75" customHeight="1" x14ac:dyDescent="0.2">
      <c r="A10884" s="20"/>
      <c r="B10884" s="2"/>
      <c r="C10884" s="7"/>
      <c r="D10884" s="7"/>
    </row>
    <row r="10885" spans="1:4" ht="12.75" customHeight="1" x14ac:dyDescent="0.2">
      <c r="A10885" s="21"/>
      <c r="B10885" s="3" t="s">
        <v>0</v>
      </c>
      <c r="C10885" s="23" t="s">
        <v>302</v>
      </c>
      <c r="D10885" s="21"/>
    </row>
    <row r="10886" spans="1:4" ht="12.75" customHeight="1" x14ac:dyDescent="0.2">
      <c r="A10886" s="21"/>
      <c r="B10886" s="3" t="s">
        <v>2</v>
      </c>
      <c r="C10886" s="23" t="s">
        <v>1839</v>
      </c>
      <c r="D10886" s="21"/>
    </row>
    <row r="10887" spans="1:4" ht="12.75" customHeight="1" x14ac:dyDescent="0.2">
      <c r="A10887" s="21"/>
      <c r="B10887" s="3" t="s">
        <v>1840</v>
      </c>
      <c r="C10887" s="23" t="s">
        <v>2770</v>
      </c>
      <c r="D10887" s="21"/>
    </row>
    <row r="10888" spans="1:4" ht="12.75" customHeight="1" x14ac:dyDescent="0.2">
      <c r="A10888" s="21"/>
      <c r="B10888" s="3" t="s">
        <v>9</v>
      </c>
      <c r="C10888" s="23" t="s">
        <v>2228</v>
      </c>
      <c r="D10888" s="21"/>
    </row>
    <row r="10889" spans="1:4" ht="12.75" customHeight="1" x14ac:dyDescent="0.2">
      <c r="A10889" s="21"/>
      <c r="B10889" s="3" t="s">
        <v>11</v>
      </c>
      <c r="C10889" s="23" t="s">
        <v>1459</v>
      </c>
      <c r="D10889" s="21"/>
    </row>
    <row r="10890" spans="1:4" ht="12.75" customHeight="1" x14ac:dyDescent="0.2">
      <c r="A10890" s="21"/>
      <c r="B10890" s="3" t="s">
        <v>16</v>
      </c>
      <c r="C10890" s="23"/>
      <c r="D10890" s="21"/>
    </row>
    <row r="10891" spans="1:4" ht="12.75" customHeight="1" x14ac:dyDescent="0.2">
      <c r="A10891" s="21"/>
      <c r="B10891" s="3" t="s">
        <v>17</v>
      </c>
      <c r="C10891" s="23" t="s">
        <v>19</v>
      </c>
      <c r="D10891" s="21"/>
    </row>
    <row r="10892" spans="1:4" ht="12.75" customHeight="1" x14ac:dyDescent="0.2">
      <c r="A10892" s="21"/>
      <c r="B10892" s="20" t="s">
        <v>18</v>
      </c>
      <c r="C10892" s="8" t="s">
        <v>44</v>
      </c>
      <c r="D10892" s="1" t="str">
        <f>HYPERLINK("javascript:void(0)","rulett testpajzs")</f>
        <v>rulett testpajzs</v>
      </c>
    </row>
    <row r="10893" spans="1:4" ht="12.75" customHeight="1" x14ac:dyDescent="0.2">
      <c r="A10893" s="21"/>
      <c r="B10893" s="21"/>
      <c r="C10893" s="8" t="s">
        <v>370</v>
      </c>
      <c r="D10893" s="1" t="str">
        <f>HYPERLINK("javascript:void(0)","rubin")</f>
        <v>rubin</v>
      </c>
    </row>
    <row r="10894" spans="1:4" ht="12.75" customHeight="1" x14ac:dyDescent="0.2">
      <c r="A10894" s="21"/>
      <c r="B10894" s="21"/>
      <c r="C10894" s="8" t="s">
        <v>132</v>
      </c>
      <c r="D10894" s="1" t="str">
        <f>HYPERLINK("javascript:void(0)","tekervény")</f>
        <v>tekervény</v>
      </c>
    </row>
    <row r="10895" spans="1:4" ht="12.75" customHeight="1" x14ac:dyDescent="0.2">
      <c r="A10895" s="21"/>
      <c r="B10895" s="2"/>
      <c r="C10895" s="7"/>
      <c r="D10895" s="7"/>
    </row>
    <row r="10896" spans="1:4" ht="12.75" customHeight="1" x14ac:dyDescent="0.2">
      <c r="A10896" s="21"/>
      <c r="B10896" s="2"/>
      <c r="C10896" s="7"/>
      <c r="D10896" s="7"/>
    </row>
    <row r="10897" spans="1:4" ht="12.75" customHeight="1" x14ac:dyDescent="0.2">
      <c r="A10897" s="21"/>
      <c r="B10897" s="2"/>
      <c r="C10897" s="7"/>
      <c r="D10897" s="7"/>
    </row>
    <row r="10898" spans="1:4" ht="12.75" customHeight="1" x14ac:dyDescent="0.2">
      <c r="A10898" s="21"/>
      <c r="B10898" s="2"/>
      <c r="C10898" s="7"/>
      <c r="D10898" s="7"/>
    </row>
    <row r="10899" spans="1:4" ht="12.75" customHeight="1" x14ac:dyDescent="0.2">
      <c r="A10899" s="5"/>
      <c r="B10899" s="2"/>
      <c r="C10899" s="7"/>
      <c r="D10899" s="7"/>
    </row>
    <row r="10900" spans="1:4" ht="12.75" customHeight="1" x14ac:dyDescent="0.2">
      <c r="A10900" s="22" t="str">
        <f>HYPERLINK("javascript:void(0)","hidracél fűző")</f>
        <v>hidracél fűző</v>
      </c>
      <c r="B10900" s="21"/>
      <c r="C10900" s="21"/>
      <c r="D10900" s="21"/>
    </row>
    <row r="10901" spans="1:4" ht="12.75" customHeight="1" x14ac:dyDescent="0.2">
      <c r="A10901" s="20"/>
      <c r="B10901" s="2"/>
      <c r="C10901" s="7"/>
      <c r="D10901" s="7"/>
    </row>
    <row r="10902" spans="1:4" ht="12.75" customHeight="1" x14ac:dyDescent="0.2">
      <c r="A10902" s="21"/>
      <c r="B10902" s="3" t="s">
        <v>0</v>
      </c>
      <c r="C10902" s="23" t="s">
        <v>302</v>
      </c>
      <c r="D10902" s="21"/>
    </row>
    <row r="10903" spans="1:4" ht="12.75" customHeight="1" x14ac:dyDescent="0.2">
      <c r="A10903" s="21"/>
      <c r="B10903" s="3" t="s">
        <v>2</v>
      </c>
      <c r="C10903" s="23"/>
      <c r="D10903" s="21"/>
    </row>
    <row r="10904" spans="1:4" ht="12.75" customHeight="1" x14ac:dyDescent="0.2">
      <c r="A10904" s="21"/>
      <c r="B10904" s="3" t="s">
        <v>1840</v>
      </c>
      <c r="C10904" s="23" t="s">
        <v>417</v>
      </c>
      <c r="D10904" s="21"/>
    </row>
    <row r="10905" spans="1:4" ht="12.75" customHeight="1" x14ac:dyDescent="0.2">
      <c r="A10905" s="21"/>
      <c r="B10905" s="3" t="s">
        <v>9</v>
      </c>
      <c r="C10905" s="23" t="s">
        <v>42</v>
      </c>
      <c r="D10905" s="21"/>
    </row>
    <row r="10906" spans="1:4" ht="12.75" customHeight="1" x14ac:dyDescent="0.2">
      <c r="A10906" s="21"/>
      <c r="B10906" s="3" t="s">
        <v>11</v>
      </c>
      <c r="C10906" s="23" t="s">
        <v>2096</v>
      </c>
      <c r="D10906" s="21"/>
    </row>
    <row r="10907" spans="1:4" ht="12.75" customHeight="1" x14ac:dyDescent="0.2">
      <c r="A10907" s="21"/>
      <c r="B10907" s="3" t="s">
        <v>16</v>
      </c>
      <c r="C10907" s="23"/>
      <c r="D10907" s="21"/>
    </row>
    <row r="10908" spans="1:4" ht="12.75" customHeight="1" x14ac:dyDescent="0.2">
      <c r="A10908" s="21"/>
      <c r="B10908" s="3" t="s">
        <v>17</v>
      </c>
      <c r="C10908" s="23" t="s">
        <v>19</v>
      </c>
      <c r="D10908" s="21"/>
    </row>
    <row r="10909" spans="1:4" ht="12.75" customHeight="1" x14ac:dyDescent="0.2">
      <c r="A10909" s="21"/>
      <c r="B10909" s="20" t="s">
        <v>18</v>
      </c>
      <c r="C10909" s="8" t="s">
        <v>193</v>
      </c>
      <c r="D10909" s="1" t="str">
        <f>HYPERLINK("javascript:void(0)","szén-hidragén")</f>
        <v>szén-hidragén</v>
      </c>
    </row>
    <row r="10910" spans="1:4" ht="12.75" customHeight="1" x14ac:dyDescent="0.2">
      <c r="A10910" s="21"/>
      <c r="B10910" s="21"/>
      <c r="C10910" s="8" t="s">
        <v>67</v>
      </c>
      <c r="D10910" s="1" t="str">
        <f>HYPERLINK("javascript:void(0)","tekervény")</f>
        <v>tekervény</v>
      </c>
    </row>
    <row r="10911" spans="1:4" ht="12.75" customHeight="1" x14ac:dyDescent="0.2">
      <c r="A10911" s="21"/>
      <c r="B10911" s="21"/>
      <c r="C10911" s="8" t="s">
        <v>244</v>
      </c>
      <c r="D10911" s="1" t="str">
        <f>HYPERLINK("javascript:void(0)","vaskarima")</f>
        <v>vaskarima</v>
      </c>
    </row>
    <row r="10912" spans="1:4" ht="12.75" customHeight="1" x14ac:dyDescent="0.2">
      <c r="A10912" s="21"/>
      <c r="B10912" s="2"/>
      <c r="C10912" s="7"/>
      <c r="D10912" s="7"/>
    </row>
    <row r="10913" spans="1:4" ht="12.75" customHeight="1" x14ac:dyDescent="0.2">
      <c r="A10913" s="21"/>
      <c r="B10913" s="2"/>
      <c r="C10913" s="7"/>
      <c r="D10913" s="7"/>
    </row>
    <row r="10914" spans="1:4" ht="12.75" customHeight="1" x14ac:dyDescent="0.2">
      <c r="A10914" s="21"/>
      <c r="B10914" s="2"/>
      <c r="C10914" s="7"/>
      <c r="D10914" s="7"/>
    </row>
    <row r="10915" spans="1:4" ht="12.75" customHeight="1" x14ac:dyDescent="0.2">
      <c r="A10915" s="21"/>
      <c r="B10915" s="2"/>
      <c r="C10915" s="7"/>
      <c r="D10915" s="7"/>
    </row>
    <row r="10916" spans="1:4" ht="12.75" customHeight="1" x14ac:dyDescent="0.2">
      <c r="A10916" s="5"/>
      <c r="B10916" s="2"/>
      <c r="C10916" s="7"/>
      <c r="D10916" s="7"/>
    </row>
    <row r="10917" spans="1:4" ht="12.75" customHeight="1" x14ac:dyDescent="0.2">
      <c r="A10917" s="22" t="str">
        <f>HYPERLINK("javascript:void(0)","teljes húrvért")</f>
        <v>teljes húrvért</v>
      </c>
      <c r="B10917" s="21"/>
      <c r="C10917" s="21"/>
      <c r="D10917" s="21"/>
    </row>
    <row r="10918" spans="1:4" ht="12.75" customHeight="1" x14ac:dyDescent="0.2">
      <c r="A10918" s="20"/>
      <c r="B10918" s="2"/>
      <c r="C10918" s="7"/>
      <c r="D10918" s="7"/>
    </row>
    <row r="10919" spans="1:4" ht="12.75" customHeight="1" x14ac:dyDescent="0.2">
      <c r="A10919" s="21"/>
      <c r="B10919" s="3" t="s">
        <v>0</v>
      </c>
      <c r="C10919" s="23" t="s">
        <v>255</v>
      </c>
      <c r="D10919" s="21"/>
    </row>
    <row r="10920" spans="1:4" ht="12.75" customHeight="1" x14ac:dyDescent="0.2">
      <c r="A10920" s="21"/>
      <c r="B10920" s="3" t="s">
        <v>2</v>
      </c>
      <c r="C10920" s="23" t="s">
        <v>2322</v>
      </c>
      <c r="D10920" s="21"/>
    </row>
    <row r="10921" spans="1:4" ht="12.75" customHeight="1" x14ac:dyDescent="0.2">
      <c r="A10921" s="21"/>
      <c r="B10921" s="3" t="s">
        <v>1840</v>
      </c>
      <c r="C10921" s="23" t="s">
        <v>318</v>
      </c>
      <c r="D10921" s="21"/>
    </row>
    <row r="10922" spans="1:4" ht="12.75" customHeight="1" x14ac:dyDescent="0.2">
      <c r="A10922" s="21"/>
      <c r="B10922" s="3" t="s">
        <v>9</v>
      </c>
      <c r="C10922" s="23" t="s">
        <v>1584</v>
      </c>
      <c r="D10922" s="21"/>
    </row>
    <row r="10923" spans="1:4" ht="12.75" customHeight="1" x14ac:dyDescent="0.2">
      <c r="A10923" s="21"/>
      <c r="B10923" s="3" t="s">
        <v>11</v>
      </c>
      <c r="C10923" s="23" t="s">
        <v>1159</v>
      </c>
      <c r="D10923" s="21"/>
    </row>
    <row r="10924" spans="1:4" ht="12.75" customHeight="1" x14ac:dyDescent="0.2">
      <c r="A10924" s="21"/>
      <c r="B10924" s="3" t="s">
        <v>16</v>
      </c>
      <c r="C10924" s="23"/>
      <c r="D10924" s="21"/>
    </row>
    <row r="10925" spans="1:4" ht="12.75" customHeight="1" x14ac:dyDescent="0.2">
      <c r="A10925" s="21"/>
      <c r="B10925" s="3" t="s">
        <v>17</v>
      </c>
      <c r="C10925" s="23" t="s">
        <v>19</v>
      </c>
      <c r="D10925" s="21"/>
    </row>
    <row r="10926" spans="1:4" ht="12.75" customHeight="1" x14ac:dyDescent="0.2">
      <c r="A10926" s="21"/>
      <c r="B10926" s="20" t="s">
        <v>18</v>
      </c>
      <c r="C10926" s="8" t="s">
        <v>44</v>
      </c>
      <c r="D10926" s="1" t="str">
        <f>HYPERLINK("javascript:void(0)","teljes grafitvért")</f>
        <v>teljes grafitvért</v>
      </c>
    </row>
    <row r="10927" spans="1:4" ht="12.75" customHeight="1" x14ac:dyDescent="0.2">
      <c r="A10927" s="21"/>
      <c r="B10927" s="21"/>
      <c r="C10927" s="8" t="s">
        <v>44</v>
      </c>
      <c r="D10927" s="1" t="str">
        <f>HYPERLINK("javascript:void(0)","húrmellény")</f>
        <v>húrmellény</v>
      </c>
    </row>
    <row r="10928" spans="1:4" ht="12.75" customHeight="1" x14ac:dyDescent="0.2">
      <c r="A10928" s="21"/>
      <c r="B10928" s="21"/>
      <c r="C10928" s="8" t="s">
        <v>44</v>
      </c>
      <c r="D10928" s="1" t="str">
        <f>HYPERLINK("javascript:void(0)","teljes átokvért")</f>
        <v>teljes átokvért</v>
      </c>
    </row>
    <row r="10929" spans="1:4" ht="12.75" customHeight="1" x14ac:dyDescent="0.2">
      <c r="A10929" s="21"/>
      <c r="B10929" s="2"/>
      <c r="C10929" s="7"/>
      <c r="D10929" s="7"/>
    </row>
    <row r="10930" spans="1:4" ht="12.75" customHeight="1" x14ac:dyDescent="0.2">
      <c r="A10930" s="21"/>
      <c r="B10930" s="2"/>
      <c r="C10930" s="7"/>
      <c r="D10930" s="7"/>
    </row>
    <row r="10931" spans="1:4" ht="12.75" customHeight="1" x14ac:dyDescent="0.2">
      <c r="A10931" s="21"/>
      <c r="B10931" s="2"/>
      <c r="C10931" s="7"/>
      <c r="D10931" s="7"/>
    </row>
    <row r="10932" spans="1:4" ht="12.75" customHeight="1" x14ac:dyDescent="0.2">
      <c r="A10932" s="21"/>
      <c r="B10932" s="2"/>
      <c r="C10932" s="7"/>
      <c r="D10932" s="7"/>
    </row>
    <row r="10933" spans="1:4" ht="12.75" customHeight="1" x14ac:dyDescent="0.2">
      <c r="A10933" s="5"/>
      <c r="B10933" s="2"/>
      <c r="C10933" s="7"/>
      <c r="D10933" s="7"/>
    </row>
    <row r="10934" spans="1:4" ht="12.75" customHeight="1" x14ac:dyDescent="0.2">
      <c r="A10934" s="22" t="str">
        <f>HYPERLINK("javascript:void(0)","rémfogó sisak")</f>
        <v>rémfogó sisak</v>
      </c>
      <c r="B10934" s="21"/>
      <c r="C10934" s="21"/>
      <c r="D10934" s="21"/>
    </row>
    <row r="10935" spans="1:4" ht="12.75" customHeight="1" x14ac:dyDescent="0.2">
      <c r="A10935" s="20"/>
      <c r="B10935" s="2"/>
      <c r="C10935" s="7"/>
      <c r="D10935" s="7"/>
    </row>
    <row r="10936" spans="1:4" ht="12.75" customHeight="1" x14ac:dyDescent="0.2">
      <c r="A10936" s="21"/>
      <c r="B10936" s="3" t="s">
        <v>0</v>
      </c>
      <c r="C10936" s="23" t="s">
        <v>255</v>
      </c>
      <c r="D10936" s="21"/>
    </row>
    <row r="10937" spans="1:4" ht="12.75" customHeight="1" x14ac:dyDescent="0.2">
      <c r="A10937" s="21"/>
      <c r="B10937" s="3" t="s">
        <v>2</v>
      </c>
      <c r="C10937" s="23"/>
      <c r="D10937" s="21"/>
    </row>
    <row r="10938" spans="1:4" ht="12.75" customHeight="1" x14ac:dyDescent="0.2">
      <c r="A10938" s="21"/>
      <c r="B10938" s="3" t="s">
        <v>1840</v>
      </c>
      <c r="C10938" s="23" t="s">
        <v>482</v>
      </c>
      <c r="D10938" s="21"/>
    </row>
    <row r="10939" spans="1:4" ht="12.75" customHeight="1" x14ac:dyDescent="0.2">
      <c r="A10939" s="21"/>
      <c r="B10939" s="3" t="s">
        <v>9</v>
      </c>
      <c r="C10939" s="23" t="s">
        <v>1001</v>
      </c>
      <c r="D10939" s="21"/>
    </row>
    <row r="10940" spans="1:4" ht="12.75" customHeight="1" x14ac:dyDescent="0.2">
      <c r="A10940" s="21"/>
      <c r="B10940" s="3" t="s">
        <v>11</v>
      </c>
      <c r="C10940" s="23" t="s">
        <v>1159</v>
      </c>
      <c r="D10940" s="21"/>
    </row>
    <row r="10941" spans="1:4" ht="12.75" customHeight="1" x14ac:dyDescent="0.2">
      <c r="A10941" s="21"/>
      <c r="B10941" s="3" t="s">
        <v>16</v>
      </c>
      <c r="C10941" s="23"/>
      <c r="D10941" s="21"/>
    </row>
    <row r="10942" spans="1:4" ht="12.75" customHeight="1" x14ac:dyDescent="0.2">
      <c r="A10942" s="21"/>
      <c r="B10942" s="3" t="s">
        <v>17</v>
      </c>
      <c r="C10942" s="23" t="s">
        <v>19</v>
      </c>
      <c r="D10942" s="21"/>
    </row>
    <row r="10943" spans="1:4" ht="12.75" customHeight="1" x14ac:dyDescent="0.2">
      <c r="A10943" s="21"/>
      <c r="B10943" s="20" t="s">
        <v>18</v>
      </c>
      <c r="C10943" s="8" t="s">
        <v>117</v>
      </c>
      <c r="D10943" s="1" t="str">
        <f>HYPERLINK("javascript:void(0)","brummogás")</f>
        <v>brummogás</v>
      </c>
    </row>
    <row r="10944" spans="1:4" ht="12.75" customHeight="1" x14ac:dyDescent="0.2">
      <c r="A10944" s="21"/>
      <c r="B10944" s="21"/>
      <c r="C10944" s="8" t="s">
        <v>67</v>
      </c>
      <c r="D10944" s="1" t="str">
        <f>HYPERLINK("javascript:void(0)","tekervény")</f>
        <v>tekervény</v>
      </c>
    </row>
    <row r="10945" spans="1:4" ht="12.75" customHeight="1" x14ac:dyDescent="0.2">
      <c r="A10945" s="21"/>
      <c r="B10945" s="21"/>
      <c r="C10945" s="8" t="s">
        <v>232</v>
      </c>
      <c r="D10945" s="1" t="str">
        <f>HYPERLINK("javascript:void(0)","monsztabéklyó")</f>
        <v>monsztabéklyó</v>
      </c>
    </row>
    <row r="10946" spans="1:4" ht="12.75" customHeight="1" x14ac:dyDescent="0.2">
      <c r="A10946" s="21"/>
      <c r="B10946" s="2"/>
      <c r="C10946" s="7"/>
      <c r="D10946" s="7"/>
    </row>
    <row r="10947" spans="1:4" ht="12.75" customHeight="1" x14ac:dyDescent="0.2">
      <c r="A10947" s="21"/>
      <c r="B10947" s="2"/>
      <c r="C10947" s="7"/>
      <c r="D10947" s="7"/>
    </row>
    <row r="10948" spans="1:4" ht="12.75" customHeight="1" x14ac:dyDescent="0.2">
      <c r="A10948" s="21"/>
      <c r="B10948" s="2"/>
      <c r="C10948" s="7"/>
      <c r="D10948" s="7"/>
    </row>
    <row r="10949" spans="1:4" ht="12.75" customHeight="1" x14ac:dyDescent="0.2">
      <c r="A10949" s="21"/>
      <c r="B10949" s="2"/>
      <c r="C10949" s="7"/>
      <c r="D10949" s="7"/>
    </row>
    <row r="10950" spans="1:4" ht="12.75" customHeight="1" x14ac:dyDescent="0.2">
      <c r="A10950" s="5"/>
      <c r="B10950" s="2"/>
      <c r="C10950" s="7"/>
      <c r="D10950" s="7"/>
    </row>
    <row r="10951" spans="1:4" ht="12.75" customHeight="1" x14ac:dyDescent="0.2">
      <c r="A10951" s="22" t="str">
        <f>HYPERLINK("javascript:void(0)","dracoacél mokaszin")</f>
        <v>dracoacél mokaszin</v>
      </c>
      <c r="B10951" s="21"/>
      <c r="C10951" s="21"/>
      <c r="D10951" s="21"/>
    </row>
    <row r="10952" spans="1:4" ht="12.75" customHeight="1" x14ac:dyDescent="0.2">
      <c r="A10952" s="20"/>
      <c r="B10952" s="2"/>
      <c r="C10952" s="7"/>
      <c r="D10952" s="7"/>
    </row>
    <row r="10953" spans="1:4" ht="12.75" customHeight="1" x14ac:dyDescent="0.2">
      <c r="A10953" s="21"/>
      <c r="B10953" s="3" t="s">
        <v>0</v>
      </c>
      <c r="C10953" s="23" t="s">
        <v>255</v>
      </c>
      <c r="D10953" s="21"/>
    </row>
    <row r="10954" spans="1:4" ht="12.75" customHeight="1" x14ac:dyDescent="0.2">
      <c r="A10954" s="21"/>
      <c r="B10954" s="3" t="s">
        <v>2</v>
      </c>
      <c r="C10954" s="23"/>
      <c r="D10954" s="21"/>
    </row>
    <row r="10955" spans="1:4" ht="12.75" customHeight="1" x14ac:dyDescent="0.2">
      <c r="A10955" s="21"/>
      <c r="B10955" s="3" t="s">
        <v>1840</v>
      </c>
      <c r="C10955" s="23" t="s">
        <v>2087</v>
      </c>
      <c r="D10955" s="21"/>
    </row>
    <row r="10956" spans="1:4" ht="12.75" customHeight="1" x14ac:dyDescent="0.2">
      <c r="A10956" s="21"/>
      <c r="B10956" s="3" t="s">
        <v>9</v>
      </c>
      <c r="C10956" s="23" t="s">
        <v>2060</v>
      </c>
      <c r="D10956" s="21"/>
    </row>
    <row r="10957" spans="1:4" ht="12.75" customHeight="1" x14ac:dyDescent="0.2">
      <c r="A10957" s="21"/>
      <c r="B10957" s="3" t="s">
        <v>11</v>
      </c>
      <c r="C10957" s="23" t="s">
        <v>1354</v>
      </c>
      <c r="D10957" s="21"/>
    </row>
    <row r="10958" spans="1:4" ht="12.75" customHeight="1" x14ac:dyDescent="0.2">
      <c r="A10958" s="21"/>
      <c r="B10958" s="3" t="s">
        <v>16</v>
      </c>
      <c r="C10958" s="23"/>
      <c r="D10958" s="21"/>
    </row>
    <row r="10959" spans="1:4" ht="12.75" customHeight="1" x14ac:dyDescent="0.2">
      <c r="A10959" s="21"/>
      <c r="B10959" s="3" t="s">
        <v>17</v>
      </c>
      <c r="C10959" s="23" t="s">
        <v>19</v>
      </c>
      <c r="D10959" s="21"/>
    </row>
    <row r="10960" spans="1:4" ht="12.75" customHeight="1" x14ac:dyDescent="0.2">
      <c r="A10960" s="21"/>
      <c r="B10960" s="20" t="s">
        <v>18</v>
      </c>
      <c r="C10960" s="8" t="s">
        <v>67</v>
      </c>
      <c r="D10960" s="1" t="str">
        <f>HYPERLINK("javascript:void(0)","monsztabéklyó")</f>
        <v>monsztabéklyó</v>
      </c>
    </row>
    <row r="10961" spans="1:4" ht="12.75" customHeight="1" x14ac:dyDescent="0.2">
      <c r="A10961" s="21"/>
      <c r="B10961" s="21"/>
      <c r="C10961" s="8" t="s">
        <v>139</v>
      </c>
      <c r="D10961" s="1" t="str">
        <f>HYPERLINK("javascript:void(0)","sárkányzsák")</f>
        <v>sárkányzsák</v>
      </c>
    </row>
    <row r="10962" spans="1:4" ht="12.75" customHeight="1" x14ac:dyDescent="0.2">
      <c r="A10962" s="21"/>
      <c r="B10962" s="21"/>
      <c r="C10962" s="8" t="s">
        <v>44</v>
      </c>
      <c r="D10962" s="1" t="str">
        <f>HYPERLINK("javascript:void(0)","hidracél mokaszin")</f>
        <v>hidracél mokaszin</v>
      </c>
    </row>
    <row r="10963" spans="1:4" ht="12.75" customHeight="1" x14ac:dyDescent="0.2">
      <c r="A10963" s="21"/>
      <c r="B10963" s="2"/>
      <c r="C10963" s="7"/>
      <c r="D10963" s="7"/>
    </row>
    <row r="10964" spans="1:4" ht="12.75" customHeight="1" x14ac:dyDescent="0.2">
      <c r="A10964" s="21"/>
      <c r="B10964" s="2"/>
      <c r="C10964" s="7"/>
      <c r="D10964" s="7"/>
    </row>
    <row r="10965" spans="1:4" ht="12.75" customHeight="1" x14ac:dyDescent="0.2">
      <c r="A10965" s="21"/>
      <c r="B10965" s="2"/>
      <c r="C10965" s="7"/>
      <c r="D10965" s="7"/>
    </row>
    <row r="10966" spans="1:4" ht="12.75" customHeight="1" x14ac:dyDescent="0.2">
      <c r="A10966" s="21"/>
      <c r="B10966" s="2"/>
      <c r="C10966" s="7"/>
      <c r="D10966" s="7"/>
    </row>
    <row r="10967" spans="1:4" ht="12.75" customHeight="1" x14ac:dyDescent="0.2">
      <c r="A10967" s="5"/>
      <c r="B10967" s="2"/>
      <c r="C10967" s="7"/>
      <c r="D10967" s="7"/>
    </row>
    <row r="10968" spans="1:4" ht="12.75" customHeight="1" x14ac:dyDescent="0.2">
      <c r="A10968" s="22" t="str">
        <f>HYPERLINK("javascript:void(0)","kerítőpajzs")</f>
        <v>kerítőpajzs</v>
      </c>
      <c r="B10968" s="21"/>
      <c r="C10968" s="21"/>
      <c r="D10968" s="21"/>
    </row>
    <row r="10969" spans="1:4" ht="12.75" customHeight="1" x14ac:dyDescent="0.2">
      <c r="A10969" s="20"/>
      <c r="B10969" s="2"/>
      <c r="C10969" s="7"/>
      <c r="D10969" s="7"/>
    </row>
    <row r="10970" spans="1:4" ht="12.75" customHeight="1" x14ac:dyDescent="0.2">
      <c r="A10970" s="21"/>
      <c r="B10970" s="3" t="s">
        <v>0</v>
      </c>
      <c r="C10970" s="23" t="s">
        <v>255</v>
      </c>
      <c r="D10970" s="21"/>
    </row>
    <row r="10971" spans="1:4" ht="12.75" customHeight="1" x14ac:dyDescent="0.2">
      <c r="A10971" s="21"/>
      <c r="B10971" s="3" t="s">
        <v>2</v>
      </c>
      <c r="C10971" s="23" t="s">
        <v>1839</v>
      </c>
      <c r="D10971" s="21"/>
    </row>
    <row r="10972" spans="1:4" ht="12.75" customHeight="1" x14ac:dyDescent="0.2">
      <c r="A10972" s="21"/>
      <c r="B10972" s="3" t="s">
        <v>1840</v>
      </c>
      <c r="C10972" s="23" t="s">
        <v>4647</v>
      </c>
      <c r="D10972" s="21"/>
    </row>
    <row r="10973" spans="1:4" ht="12.75" customHeight="1" x14ac:dyDescent="0.2">
      <c r="A10973" s="21"/>
      <c r="B10973" s="3" t="s">
        <v>9</v>
      </c>
      <c r="C10973" s="23" t="s">
        <v>377</v>
      </c>
      <c r="D10973" s="21"/>
    </row>
    <row r="10974" spans="1:4" ht="12.75" customHeight="1" x14ac:dyDescent="0.2">
      <c r="A10974" s="21"/>
      <c r="B10974" s="3" t="s">
        <v>11</v>
      </c>
      <c r="C10974" s="23" t="s">
        <v>1628</v>
      </c>
      <c r="D10974" s="21"/>
    </row>
    <row r="10975" spans="1:4" ht="12.75" customHeight="1" x14ac:dyDescent="0.2">
      <c r="A10975" s="21"/>
      <c r="B10975" s="3" t="s">
        <v>16</v>
      </c>
      <c r="C10975" s="23"/>
      <c r="D10975" s="21"/>
    </row>
    <row r="10976" spans="1:4" ht="12.75" customHeight="1" x14ac:dyDescent="0.2">
      <c r="A10976" s="21"/>
      <c r="B10976" s="3" t="s">
        <v>17</v>
      </c>
      <c r="C10976" s="23" t="s">
        <v>19</v>
      </c>
      <c r="D10976" s="21"/>
    </row>
    <row r="10977" spans="1:4" ht="12.75" customHeight="1" x14ac:dyDescent="0.2">
      <c r="A10977" s="21"/>
      <c r="B10977" s="20" t="s">
        <v>18</v>
      </c>
      <c r="C10977" s="8" t="s">
        <v>44</v>
      </c>
      <c r="D10977" s="1" t="str">
        <f>HYPERLINK("javascript:void(0)","rulettpajzs")</f>
        <v>rulettpajzs</v>
      </c>
    </row>
    <row r="10978" spans="1:4" ht="12.75" customHeight="1" x14ac:dyDescent="0.2">
      <c r="A10978" s="21"/>
      <c r="B10978" s="21"/>
      <c r="C10978" s="8" t="s">
        <v>68</v>
      </c>
      <c r="D10978" s="1" t="str">
        <f>HYPERLINK("javascript:void(0)","monsztabéklyó")</f>
        <v>monsztabéklyó</v>
      </c>
    </row>
    <row r="10979" spans="1:4" ht="12.75" customHeight="1" x14ac:dyDescent="0.2">
      <c r="A10979" s="21"/>
      <c r="B10979" s="21"/>
      <c r="C10979" s="8" t="s">
        <v>950</v>
      </c>
      <c r="D10979" s="1" t="str">
        <f>HYPERLINK("javascript:void(0)","ördögpihe")</f>
        <v>ördögpihe</v>
      </c>
    </row>
    <row r="10980" spans="1:4" ht="12.75" customHeight="1" x14ac:dyDescent="0.2">
      <c r="A10980" s="21"/>
      <c r="B10980" s="2"/>
      <c r="C10980" s="7"/>
      <c r="D10980" s="7"/>
    </row>
    <row r="10981" spans="1:4" ht="12.75" customHeight="1" x14ac:dyDescent="0.2">
      <c r="A10981" s="21"/>
      <c r="B10981" s="2"/>
      <c r="C10981" s="7"/>
      <c r="D10981" s="7"/>
    </row>
    <row r="10982" spans="1:4" ht="12.75" customHeight="1" x14ac:dyDescent="0.2">
      <c r="A10982" s="21"/>
      <c r="B10982" s="2"/>
      <c r="C10982" s="7"/>
      <c r="D10982" s="7"/>
    </row>
    <row r="10983" spans="1:4" ht="12.75" customHeight="1" x14ac:dyDescent="0.2">
      <c r="A10983" s="21"/>
      <c r="B10983" s="2"/>
      <c r="C10983" s="7"/>
      <c r="D10983" s="7"/>
    </row>
    <row r="10984" spans="1:4" ht="12.75" customHeight="1" x14ac:dyDescent="0.2">
      <c r="A10984" s="5"/>
      <c r="B10984" s="2"/>
      <c r="C10984" s="7"/>
      <c r="D10984" s="7"/>
    </row>
    <row r="10985" spans="1:4" ht="12.75" customHeight="1" x14ac:dyDescent="0.2">
      <c r="A10985" s="22" t="str">
        <f>HYPERLINK("javascript:void(0)","gyémántos szellempajzs")</f>
        <v>gyémántos szellempajzs</v>
      </c>
      <c r="B10985" s="21"/>
      <c r="C10985" s="21"/>
      <c r="D10985" s="21"/>
    </row>
    <row r="10986" spans="1:4" ht="12.75" customHeight="1" x14ac:dyDescent="0.2">
      <c r="A10986" s="20"/>
      <c r="B10986" s="2"/>
      <c r="C10986" s="7"/>
      <c r="D10986" s="7"/>
    </row>
    <row r="10987" spans="1:4" ht="12.75" customHeight="1" x14ac:dyDescent="0.2">
      <c r="A10987" s="21"/>
      <c r="B10987" s="3" t="s">
        <v>0</v>
      </c>
      <c r="C10987" s="23" t="s">
        <v>255</v>
      </c>
      <c r="D10987" s="21"/>
    </row>
    <row r="10988" spans="1:4" ht="12.75" customHeight="1" x14ac:dyDescent="0.2">
      <c r="A10988" s="21"/>
      <c r="B10988" s="3" t="s">
        <v>2</v>
      </c>
      <c r="C10988" s="23" t="s">
        <v>1839</v>
      </c>
      <c r="D10988" s="21"/>
    </row>
    <row r="10989" spans="1:4" ht="12.75" customHeight="1" x14ac:dyDescent="0.2">
      <c r="A10989" s="21"/>
      <c r="B10989" s="3" t="s">
        <v>1840</v>
      </c>
      <c r="C10989" s="23" t="s">
        <v>4647</v>
      </c>
      <c r="D10989" s="21"/>
    </row>
    <row r="10990" spans="1:4" ht="12.75" customHeight="1" x14ac:dyDescent="0.2">
      <c r="A10990" s="21"/>
      <c r="B10990" s="3" t="s">
        <v>9</v>
      </c>
      <c r="C10990" s="23" t="s">
        <v>701</v>
      </c>
      <c r="D10990" s="21"/>
    </row>
    <row r="10991" spans="1:4" ht="12.75" customHeight="1" x14ac:dyDescent="0.2">
      <c r="A10991" s="21"/>
      <c r="B10991" s="3" t="s">
        <v>11</v>
      </c>
      <c r="C10991" s="23" t="s">
        <v>1199</v>
      </c>
      <c r="D10991" s="21"/>
    </row>
    <row r="10992" spans="1:4" ht="12.75" customHeight="1" x14ac:dyDescent="0.2">
      <c r="A10992" s="21"/>
      <c r="B10992" s="3" t="s">
        <v>16</v>
      </c>
      <c r="C10992" s="23"/>
      <c r="D10992" s="21"/>
    </row>
    <row r="10993" spans="1:4" ht="12.75" customHeight="1" x14ac:dyDescent="0.2">
      <c r="A10993" s="21"/>
      <c r="B10993" s="3" t="s">
        <v>17</v>
      </c>
      <c r="C10993" s="23" t="s">
        <v>19</v>
      </c>
      <c r="D10993" s="21"/>
    </row>
    <row r="10994" spans="1:4" ht="12.75" customHeight="1" x14ac:dyDescent="0.2">
      <c r="A10994" s="21"/>
      <c r="B10994" s="20" t="s">
        <v>18</v>
      </c>
      <c r="C10994" s="8" t="s">
        <v>44</v>
      </c>
      <c r="D10994" s="1" t="str">
        <f>HYPERLINK("javascript:void(0)","kerítőpajzs")</f>
        <v>kerítőpajzs</v>
      </c>
    </row>
    <row r="10995" spans="1:4" ht="12.75" customHeight="1" x14ac:dyDescent="0.2">
      <c r="A10995" s="21"/>
      <c r="B10995" s="21"/>
      <c r="C10995" s="8" t="s">
        <v>370</v>
      </c>
      <c r="D10995" s="1" t="str">
        <f>HYPERLINK("javascript:void(0)","gyémánt")</f>
        <v>gyémánt</v>
      </c>
    </row>
    <row r="10996" spans="1:4" ht="12.75" customHeight="1" x14ac:dyDescent="0.2">
      <c r="A10996" s="21"/>
      <c r="B10996" s="21"/>
      <c r="C10996" s="8" t="s">
        <v>132</v>
      </c>
      <c r="D10996" s="1" t="str">
        <f>HYPERLINK("javascript:void(0)","zanzahúr")</f>
        <v>zanzahúr</v>
      </c>
    </row>
    <row r="10997" spans="1:4" ht="12.75" customHeight="1" x14ac:dyDescent="0.2">
      <c r="A10997" s="21"/>
      <c r="B10997" s="2"/>
      <c r="C10997" s="7"/>
      <c r="D10997" s="7"/>
    </row>
    <row r="10998" spans="1:4" ht="12.75" customHeight="1" x14ac:dyDescent="0.2">
      <c r="A10998" s="21"/>
      <c r="B10998" s="2"/>
      <c r="C10998" s="7"/>
      <c r="D10998" s="7"/>
    </row>
    <row r="10999" spans="1:4" ht="12.75" customHeight="1" x14ac:dyDescent="0.2">
      <c r="A10999" s="21"/>
      <c r="B10999" s="2"/>
      <c r="C10999" s="7"/>
      <c r="D10999" s="7"/>
    </row>
    <row r="11000" spans="1:4" ht="12.75" customHeight="1" x14ac:dyDescent="0.2">
      <c r="A11000" s="21"/>
      <c r="B11000" s="2"/>
      <c r="C11000" s="7"/>
      <c r="D11000" s="7"/>
    </row>
    <row r="11001" spans="1:4" ht="12.75" customHeight="1" x14ac:dyDescent="0.2">
      <c r="A11001" s="5"/>
      <c r="B11001" s="2"/>
      <c r="C11001" s="7"/>
      <c r="D11001" s="7"/>
    </row>
    <row r="11002" spans="1:4" ht="12.75" customHeight="1" x14ac:dyDescent="0.2">
      <c r="A11002" s="22" t="str">
        <f>HYPERLINK("javascript:void(0)","húrmellény")</f>
        <v>húrmellény</v>
      </c>
      <c r="B11002" s="21"/>
      <c r="C11002" s="21"/>
      <c r="D11002" s="21"/>
    </row>
    <row r="11003" spans="1:4" ht="12.75" customHeight="1" x14ac:dyDescent="0.2">
      <c r="A11003" s="20"/>
      <c r="B11003" s="2"/>
      <c r="C11003" s="7"/>
      <c r="D11003" s="7"/>
    </row>
    <row r="11004" spans="1:4" ht="12.75" customHeight="1" x14ac:dyDescent="0.2">
      <c r="A11004" s="21"/>
      <c r="B11004" s="3" t="s">
        <v>0</v>
      </c>
      <c r="C11004" s="23" t="s">
        <v>255</v>
      </c>
      <c r="D11004" s="21"/>
    </row>
    <row r="11005" spans="1:4" ht="12.75" customHeight="1" x14ac:dyDescent="0.2">
      <c r="A11005" s="21"/>
      <c r="B11005" s="3" t="s">
        <v>2</v>
      </c>
      <c r="C11005" s="23" t="s">
        <v>2322</v>
      </c>
      <c r="D11005" s="21"/>
    </row>
    <row r="11006" spans="1:4" ht="12.75" customHeight="1" x14ac:dyDescent="0.2">
      <c r="A11006" s="21"/>
      <c r="B11006" s="3" t="s">
        <v>1840</v>
      </c>
      <c r="C11006" s="23" t="s">
        <v>115</v>
      </c>
      <c r="D11006" s="21"/>
    </row>
    <row r="11007" spans="1:4" ht="12.75" customHeight="1" x14ac:dyDescent="0.2">
      <c r="A11007" s="21"/>
      <c r="B11007" s="3" t="s">
        <v>9</v>
      </c>
      <c r="C11007" s="23" t="s">
        <v>42</v>
      </c>
      <c r="D11007" s="21"/>
    </row>
    <row r="11008" spans="1:4" ht="12.75" customHeight="1" x14ac:dyDescent="0.2">
      <c r="A11008" s="21"/>
      <c r="B11008" s="3" t="s">
        <v>11</v>
      </c>
      <c r="C11008" s="23" t="s">
        <v>2483</v>
      </c>
      <c r="D11008" s="21"/>
    </row>
    <row r="11009" spans="1:4" ht="12.75" customHeight="1" x14ac:dyDescent="0.2">
      <c r="A11009" s="21"/>
      <c r="B11009" s="3" t="s">
        <v>16</v>
      </c>
      <c r="C11009" s="23"/>
      <c r="D11009" s="21"/>
    </row>
    <row r="11010" spans="1:4" ht="12.75" customHeight="1" x14ac:dyDescent="0.2">
      <c r="A11010" s="21"/>
      <c r="B11010" s="3" t="s">
        <v>17</v>
      </c>
      <c r="C11010" s="23" t="s">
        <v>19</v>
      </c>
      <c r="D11010" s="21"/>
    </row>
    <row r="11011" spans="1:4" ht="12.75" customHeight="1" x14ac:dyDescent="0.2">
      <c r="A11011" s="21"/>
      <c r="B11011" s="20" t="s">
        <v>18</v>
      </c>
      <c r="C11011" s="8" t="s">
        <v>67</v>
      </c>
      <c r="D11011" s="1" t="str">
        <f>HYPERLINK("javascript:void(0)","zanzahúr")</f>
        <v>zanzahúr</v>
      </c>
    </row>
    <row r="11012" spans="1:4" ht="12.75" customHeight="1" x14ac:dyDescent="0.2">
      <c r="A11012" s="21"/>
      <c r="B11012" s="21"/>
      <c r="C11012" s="8" t="s">
        <v>132</v>
      </c>
      <c r="D11012" s="1" t="str">
        <f>HYPERLINK("javascript:void(0)","csapdaszeg")</f>
        <v>csapdaszeg</v>
      </c>
    </row>
    <row r="11013" spans="1:4" ht="12.75" customHeight="1" x14ac:dyDescent="0.2">
      <c r="A11013" s="21"/>
      <c r="B11013" s="21"/>
      <c r="C11013" s="8" t="s">
        <v>280</v>
      </c>
      <c r="D11013" s="1" t="str">
        <f>HYPERLINK("javascript:void(0)","hörcsögagyar")</f>
        <v>hörcsögagyar</v>
      </c>
    </row>
    <row r="11014" spans="1:4" ht="12.75" customHeight="1" x14ac:dyDescent="0.2">
      <c r="A11014" s="21"/>
      <c r="B11014" s="2"/>
      <c r="C11014" s="7"/>
      <c r="D11014" s="7"/>
    </row>
    <row r="11015" spans="1:4" ht="12.75" customHeight="1" x14ac:dyDescent="0.2">
      <c r="A11015" s="21"/>
      <c r="B11015" s="2"/>
      <c r="C11015" s="7"/>
      <c r="D11015" s="7"/>
    </row>
    <row r="11016" spans="1:4" ht="12.75" customHeight="1" x14ac:dyDescent="0.2">
      <c r="A11016" s="21"/>
      <c r="B11016" s="2"/>
      <c r="C11016" s="7"/>
      <c r="D11016" s="7"/>
    </row>
    <row r="11017" spans="1:4" ht="12.75" customHeight="1" x14ac:dyDescent="0.2">
      <c r="A11017" s="21"/>
      <c r="B11017" s="2"/>
      <c r="C11017" s="7"/>
      <c r="D11017" s="7"/>
    </row>
    <row r="11018" spans="1:4" ht="12.75" customHeight="1" x14ac:dyDescent="0.2">
      <c r="A11018" s="5"/>
      <c r="B11018" s="2"/>
      <c r="C11018" s="7"/>
      <c r="D11018" s="7"/>
    </row>
    <row r="11019" spans="1:4" ht="12.75" customHeight="1" x14ac:dyDescent="0.2">
      <c r="A11019" s="22" t="str">
        <f>HYPERLINK("javascript:void(0)","helioacél manasisak")</f>
        <v>helioacél manasisak</v>
      </c>
      <c r="B11019" s="21"/>
      <c r="C11019" s="21"/>
      <c r="D11019" s="21"/>
    </row>
    <row r="11020" spans="1:4" ht="12.75" customHeight="1" x14ac:dyDescent="0.2">
      <c r="A11020" s="20"/>
      <c r="B11020" s="2"/>
      <c r="C11020" s="7"/>
      <c r="D11020" s="7"/>
    </row>
    <row r="11021" spans="1:4" ht="12.75" customHeight="1" x14ac:dyDescent="0.2">
      <c r="A11021" s="21"/>
      <c r="B11021" s="3" t="s">
        <v>0</v>
      </c>
      <c r="C11021" s="23" t="s">
        <v>255</v>
      </c>
      <c r="D11021" s="21"/>
    </row>
    <row r="11022" spans="1:4" ht="12.75" customHeight="1" x14ac:dyDescent="0.2">
      <c r="A11022" s="21"/>
      <c r="B11022" s="3" t="s">
        <v>2</v>
      </c>
      <c r="C11022" s="23"/>
      <c r="D11022" s="21"/>
    </row>
    <row r="11023" spans="1:4" ht="12.75" customHeight="1" x14ac:dyDescent="0.2">
      <c r="A11023" s="21"/>
      <c r="B11023" s="3" t="s">
        <v>1840</v>
      </c>
      <c r="C11023" s="23" t="s">
        <v>1114</v>
      </c>
      <c r="D11023" s="21"/>
    </row>
    <row r="11024" spans="1:4" ht="12.75" customHeight="1" x14ac:dyDescent="0.2">
      <c r="A11024" s="21"/>
      <c r="B11024" s="3" t="s">
        <v>9</v>
      </c>
      <c r="C11024" s="23" t="s">
        <v>4459</v>
      </c>
      <c r="D11024" s="21"/>
    </row>
    <row r="11025" spans="1:4" ht="12.75" customHeight="1" x14ac:dyDescent="0.2">
      <c r="A11025" s="21"/>
      <c r="B11025" s="3" t="s">
        <v>11</v>
      </c>
      <c r="C11025" s="23" t="s">
        <v>779</v>
      </c>
      <c r="D11025" s="21"/>
    </row>
    <row r="11026" spans="1:4" ht="12.75" customHeight="1" x14ac:dyDescent="0.2">
      <c r="A11026" s="21"/>
      <c r="B11026" s="3" t="s">
        <v>16</v>
      </c>
      <c r="C11026" s="23"/>
      <c r="D11026" s="21"/>
    </row>
    <row r="11027" spans="1:4" ht="12.75" customHeight="1" x14ac:dyDescent="0.2">
      <c r="A11027" s="21"/>
      <c r="B11027" s="3" t="s">
        <v>17</v>
      </c>
      <c r="C11027" s="23" t="s">
        <v>19</v>
      </c>
      <c r="D11027" s="21"/>
    </row>
    <row r="11028" spans="1:4" ht="12.75" customHeight="1" x14ac:dyDescent="0.2">
      <c r="A11028" s="21"/>
      <c r="B11028" s="20" t="s">
        <v>18</v>
      </c>
      <c r="C11028" s="8" t="s">
        <v>44</v>
      </c>
      <c r="D11028" s="1" t="str">
        <f>HYPERLINK("javascript:void(0)","mechano manasisak")</f>
        <v>mechano manasisak</v>
      </c>
    </row>
    <row r="11029" spans="1:4" ht="12.75" customHeight="1" x14ac:dyDescent="0.2">
      <c r="A11029" s="21"/>
      <c r="B11029" s="21"/>
      <c r="C11029" s="8" t="s">
        <v>132</v>
      </c>
      <c r="D11029" s="1" t="str">
        <f>HYPERLINK("javascript:void(0)","zanzahúr")</f>
        <v>zanzahúr</v>
      </c>
    </row>
    <row r="11030" spans="1:4" ht="12.75" customHeight="1" x14ac:dyDescent="0.2">
      <c r="A11030" s="21"/>
      <c r="B11030" s="21"/>
      <c r="C11030" s="8" t="s">
        <v>269</v>
      </c>
      <c r="D11030" s="1" t="str">
        <f>HYPERLINK("javascript:void(0)","napfolt")</f>
        <v>napfolt</v>
      </c>
    </row>
    <row r="11031" spans="1:4" ht="12.75" customHeight="1" x14ac:dyDescent="0.2">
      <c r="A11031" s="21"/>
      <c r="B11031" s="2"/>
      <c r="C11031" s="7"/>
      <c r="D11031" s="7"/>
    </row>
    <row r="11032" spans="1:4" ht="12.75" customHeight="1" x14ac:dyDescent="0.2">
      <c r="A11032" s="21"/>
      <c r="B11032" s="2"/>
      <c r="C11032" s="7"/>
      <c r="D11032" s="7"/>
    </row>
    <row r="11033" spans="1:4" ht="12.75" customHeight="1" x14ac:dyDescent="0.2">
      <c r="A11033" s="21"/>
      <c r="B11033" s="2"/>
      <c r="C11033" s="7"/>
      <c r="D11033" s="7"/>
    </row>
    <row r="11034" spans="1:4" ht="12.75" customHeight="1" x14ac:dyDescent="0.2">
      <c r="A11034" s="21"/>
      <c r="B11034" s="2"/>
      <c r="C11034" s="7"/>
      <c r="D11034" s="7"/>
    </row>
    <row r="11035" spans="1:4" ht="12.75" customHeight="1" x14ac:dyDescent="0.2">
      <c r="A11035" s="5"/>
      <c r="B11035" s="2"/>
      <c r="C11035" s="7"/>
      <c r="D11035" s="7"/>
    </row>
    <row r="11036" spans="1:4" ht="12.75" customHeight="1" x14ac:dyDescent="0.2">
      <c r="A11036" s="22" t="str">
        <f>HYPERLINK("javascript:void(0)","helioacél manafejpánt")</f>
        <v>helioacél manafejpánt</v>
      </c>
      <c r="B11036" s="21"/>
      <c r="C11036" s="21"/>
      <c r="D11036" s="21"/>
    </row>
    <row r="11037" spans="1:4" ht="12.75" customHeight="1" x14ac:dyDescent="0.2">
      <c r="A11037" s="20"/>
      <c r="B11037" s="2"/>
      <c r="C11037" s="7"/>
      <c r="D11037" s="7"/>
    </row>
    <row r="11038" spans="1:4" ht="12.75" customHeight="1" x14ac:dyDescent="0.2">
      <c r="A11038" s="21"/>
      <c r="B11038" s="3" t="s">
        <v>0</v>
      </c>
      <c r="C11038" s="23" t="s">
        <v>255</v>
      </c>
      <c r="D11038" s="21"/>
    </row>
    <row r="11039" spans="1:4" ht="12.75" customHeight="1" x14ac:dyDescent="0.2">
      <c r="A11039" s="21"/>
      <c r="B11039" s="3" t="s">
        <v>2</v>
      </c>
      <c r="C11039" s="23"/>
      <c r="D11039" s="21"/>
    </row>
    <row r="11040" spans="1:4" ht="12.75" customHeight="1" x14ac:dyDescent="0.2">
      <c r="A11040" s="21"/>
      <c r="B11040" s="3" t="s">
        <v>1840</v>
      </c>
      <c r="C11040" s="23" t="s">
        <v>213</v>
      </c>
      <c r="D11040" s="21"/>
    </row>
    <row r="11041" spans="1:4" ht="12.75" customHeight="1" x14ac:dyDescent="0.2">
      <c r="A11041" s="21"/>
      <c r="B11041" s="3" t="s">
        <v>9</v>
      </c>
      <c r="C11041" s="23" t="s">
        <v>2118</v>
      </c>
      <c r="D11041" s="21"/>
    </row>
    <row r="11042" spans="1:4" ht="12.75" customHeight="1" x14ac:dyDescent="0.2">
      <c r="A11042" s="21"/>
      <c r="B11042" s="3" t="s">
        <v>11</v>
      </c>
      <c r="C11042" s="23" t="s">
        <v>779</v>
      </c>
      <c r="D11042" s="21"/>
    </row>
    <row r="11043" spans="1:4" ht="12.75" customHeight="1" x14ac:dyDescent="0.2">
      <c r="A11043" s="21"/>
      <c r="B11043" s="3" t="s">
        <v>16</v>
      </c>
      <c r="C11043" s="23"/>
      <c r="D11043" s="21"/>
    </row>
    <row r="11044" spans="1:4" ht="12.75" customHeight="1" x14ac:dyDescent="0.2">
      <c r="A11044" s="21"/>
      <c r="B11044" s="3" t="s">
        <v>17</v>
      </c>
      <c r="C11044" s="23" t="s">
        <v>19</v>
      </c>
      <c r="D11044" s="21"/>
    </row>
    <row r="11045" spans="1:4" ht="12.75" customHeight="1" x14ac:dyDescent="0.2">
      <c r="A11045" s="21"/>
      <c r="B11045" s="20" t="s">
        <v>18</v>
      </c>
      <c r="C11045" s="8" t="s">
        <v>290</v>
      </c>
      <c r="D11045" s="1" t="str">
        <f>HYPERLINK("javascript:void(0)","napfolt")</f>
        <v>napfolt</v>
      </c>
    </row>
    <row r="11046" spans="1:4" ht="25.5" customHeight="1" x14ac:dyDescent="0.2">
      <c r="A11046" s="21"/>
      <c r="B11046" s="21"/>
      <c r="C11046" s="8" t="s">
        <v>44</v>
      </c>
      <c r="D11046" s="1" t="str">
        <f>HYPERLINK("javascript:void(0)","mechano manafejpánt")</f>
        <v>mechano manafejpánt</v>
      </c>
    </row>
    <row r="11047" spans="1:4" ht="12.75" customHeight="1" x14ac:dyDescent="0.2">
      <c r="A11047" s="21"/>
      <c r="B11047" s="21"/>
      <c r="C11047" s="8" t="s">
        <v>139</v>
      </c>
      <c r="D11047" s="1" t="str">
        <f>HYPERLINK("javascript:void(0)","monsztabéklyó")</f>
        <v>monsztabéklyó</v>
      </c>
    </row>
    <row r="11048" spans="1:4" ht="12.75" customHeight="1" x14ac:dyDescent="0.2">
      <c r="A11048" s="21"/>
      <c r="B11048" s="2"/>
      <c r="C11048" s="7"/>
      <c r="D11048" s="7"/>
    </row>
    <row r="11049" spans="1:4" ht="12.75" customHeight="1" x14ac:dyDescent="0.2">
      <c r="A11049" s="21"/>
      <c r="B11049" s="2"/>
      <c r="C11049" s="7"/>
      <c r="D11049" s="7"/>
    </row>
    <row r="11050" spans="1:4" ht="12.75" customHeight="1" x14ac:dyDescent="0.2">
      <c r="A11050" s="21"/>
      <c r="B11050" s="2"/>
      <c r="C11050" s="7"/>
      <c r="D11050" s="7"/>
    </row>
    <row r="11051" spans="1:4" ht="12.75" customHeight="1" x14ac:dyDescent="0.2">
      <c r="A11051" s="21"/>
      <c r="B11051" s="2"/>
      <c r="C11051" s="7"/>
      <c r="D11051" s="7"/>
    </row>
    <row r="11052" spans="1:4" ht="12.75" customHeight="1" x14ac:dyDescent="0.2">
      <c r="A11052" s="5"/>
      <c r="B11052" s="2"/>
      <c r="C11052" s="7"/>
      <c r="D11052" s="7"/>
    </row>
    <row r="11053" spans="1:4" ht="12.75" customHeight="1" x14ac:dyDescent="0.2">
      <c r="A11053" s="22" t="str">
        <f>HYPERLINK("javascript:void(0)","teljes elfacélvért")</f>
        <v>teljes elfacélvért</v>
      </c>
      <c r="B11053" s="21"/>
      <c r="C11053" s="21"/>
      <c r="D11053" s="21"/>
    </row>
    <row r="11054" spans="1:4" ht="12.75" customHeight="1" x14ac:dyDescent="0.2">
      <c r="A11054" s="20"/>
      <c r="B11054" s="2"/>
      <c r="C11054" s="7"/>
      <c r="D11054" s="7"/>
    </row>
    <row r="11055" spans="1:4" ht="12.75" customHeight="1" x14ac:dyDescent="0.2">
      <c r="A11055" s="21"/>
      <c r="B11055" s="3" t="s">
        <v>0</v>
      </c>
      <c r="C11055" s="23" t="s">
        <v>281</v>
      </c>
      <c r="D11055" s="21"/>
    </row>
    <row r="11056" spans="1:4" ht="12.75" customHeight="1" x14ac:dyDescent="0.2">
      <c r="A11056" s="21"/>
      <c r="B11056" s="3" t="s">
        <v>2</v>
      </c>
      <c r="C11056" s="23" t="s">
        <v>2322</v>
      </c>
      <c r="D11056" s="21"/>
    </row>
    <row r="11057" spans="1:4" ht="12.75" customHeight="1" x14ac:dyDescent="0.2">
      <c r="A11057" s="21"/>
      <c r="B11057" s="3" t="s">
        <v>1840</v>
      </c>
      <c r="C11057" s="23" t="s">
        <v>2484</v>
      </c>
      <c r="D11057" s="21"/>
    </row>
    <row r="11058" spans="1:4" ht="12.75" customHeight="1" x14ac:dyDescent="0.2">
      <c r="A11058" s="21"/>
      <c r="B11058" s="3" t="s">
        <v>9</v>
      </c>
      <c r="C11058" s="23" t="s">
        <v>1167</v>
      </c>
      <c r="D11058" s="21"/>
    </row>
    <row r="11059" spans="1:4" ht="12.75" customHeight="1" x14ac:dyDescent="0.2">
      <c r="A11059" s="21"/>
      <c r="B11059" s="3" t="s">
        <v>11</v>
      </c>
      <c r="C11059" s="23" t="s">
        <v>1177</v>
      </c>
      <c r="D11059" s="21"/>
    </row>
    <row r="11060" spans="1:4" ht="12.75" customHeight="1" x14ac:dyDescent="0.2">
      <c r="A11060" s="21"/>
      <c r="B11060" s="3" t="s">
        <v>16</v>
      </c>
      <c r="C11060" s="23"/>
      <c r="D11060" s="21"/>
    </row>
    <row r="11061" spans="1:4" ht="12.75" customHeight="1" x14ac:dyDescent="0.2">
      <c r="A11061" s="21"/>
      <c r="B11061" s="3" t="s">
        <v>17</v>
      </c>
      <c r="C11061" s="23" t="s">
        <v>19</v>
      </c>
      <c r="D11061" s="21"/>
    </row>
    <row r="11062" spans="1:4" ht="12.75" customHeight="1" x14ac:dyDescent="0.2">
      <c r="A11062" s="21"/>
      <c r="B11062" s="20" t="s">
        <v>18</v>
      </c>
      <c r="C11062" s="8" t="s">
        <v>67</v>
      </c>
      <c r="D11062" s="1" t="str">
        <f>HYPERLINK("javascript:void(0)","cerka")</f>
        <v>cerka</v>
      </c>
    </row>
    <row r="11063" spans="1:4" ht="12.75" customHeight="1" x14ac:dyDescent="0.2">
      <c r="A11063" s="21"/>
      <c r="B11063" s="21"/>
      <c r="C11063" s="8" t="s">
        <v>244</v>
      </c>
      <c r="D11063" s="1" t="str">
        <f>HYPERLINK("javascript:void(0)","kígyóborda")</f>
        <v>kígyóborda</v>
      </c>
    </row>
    <row r="11064" spans="1:4" ht="12.75" customHeight="1" x14ac:dyDescent="0.2">
      <c r="A11064" s="21"/>
      <c r="B11064" s="21"/>
      <c r="C11064" s="8" t="s">
        <v>44</v>
      </c>
      <c r="D11064" s="1" t="str">
        <f>HYPERLINK("javascript:void(0)","teljes húrvért")</f>
        <v>teljes húrvért</v>
      </c>
    </row>
    <row r="11065" spans="1:4" ht="12.75" customHeight="1" x14ac:dyDescent="0.2">
      <c r="A11065" s="21"/>
      <c r="B11065" s="2"/>
      <c r="C11065" s="7"/>
      <c r="D11065" s="7"/>
    </row>
    <row r="11066" spans="1:4" ht="12.75" customHeight="1" x14ac:dyDescent="0.2">
      <c r="A11066" s="21"/>
      <c r="B11066" s="2"/>
      <c r="C11066" s="7"/>
      <c r="D11066" s="7"/>
    </row>
    <row r="11067" spans="1:4" ht="12.75" customHeight="1" x14ac:dyDescent="0.2">
      <c r="A11067" s="21"/>
      <c r="B11067" s="2"/>
      <c r="C11067" s="7"/>
      <c r="D11067" s="7"/>
    </row>
    <row r="11068" spans="1:4" ht="12.75" customHeight="1" x14ac:dyDescent="0.2">
      <c r="A11068" s="21"/>
      <c r="B11068" s="2"/>
      <c r="C11068" s="7"/>
      <c r="D11068" s="7"/>
    </row>
    <row r="11069" spans="1:4" ht="12.75" customHeight="1" x14ac:dyDescent="0.2">
      <c r="A11069" s="5"/>
      <c r="B11069" s="2"/>
      <c r="C11069" s="7"/>
      <c r="D11069" s="7"/>
    </row>
    <row r="11070" spans="1:4" ht="12.75" customHeight="1" x14ac:dyDescent="0.2">
      <c r="A11070" s="22" t="str">
        <f>HYPERLINK("javascript:void(0)","gyiloksisak")</f>
        <v>gyiloksisak</v>
      </c>
      <c r="B11070" s="21"/>
      <c r="C11070" s="21"/>
      <c r="D11070" s="21"/>
    </row>
    <row r="11071" spans="1:4" ht="12.75" customHeight="1" x14ac:dyDescent="0.2">
      <c r="A11071" s="20"/>
      <c r="B11071" s="2"/>
      <c r="C11071" s="7"/>
      <c r="D11071" s="7"/>
    </row>
    <row r="11072" spans="1:4" ht="12.75" customHeight="1" x14ac:dyDescent="0.2">
      <c r="A11072" s="21"/>
      <c r="B11072" s="3" t="s">
        <v>0</v>
      </c>
      <c r="C11072" s="23" t="s">
        <v>281</v>
      </c>
      <c r="D11072" s="21"/>
    </row>
    <row r="11073" spans="1:4" ht="12.75" customHeight="1" x14ac:dyDescent="0.2">
      <c r="A11073" s="21"/>
      <c r="B11073" s="3" t="s">
        <v>2</v>
      </c>
      <c r="C11073" s="23"/>
      <c r="D11073" s="21"/>
    </row>
    <row r="11074" spans="1:4" ht="12.75" customHeight="1" x14ac:dyDescent="0.2">
      <c r="A11074" s="21"/>
      <c r="B11074" s="3" t="s">
        <v>1840</v>
      </c>
      <c r="C11074" s="23" t="s">
        <v>4675</v>
      </c>
      <c r="D11074" s="21"/>
    </row>
    <row r="11075" spans="1:4" ht="12.75" customHeight="1" x14ac:dyDescent="0.2">
      <c r="A11075" s="21"/>
      <c r="B11075" s="3" t="s">
        <v>9</v>
      </c>
      <c r="C11075" s="23" t="s">
        <v>590</v>
      </c>
      <c r="D11075" s="21"/>
    </row>
    <row r="11076" spans="1:4" ht="12.75" customHeight="1" x14ac:dyDescent="0.2">
      <c r="A11076" s="21"/>
      <c r="B11076" s="3" t="s">
        <v>11</v>
      </c>
      <c r="C11076" s="23" t="s">
        <v>1177</v>
      </c>
      <c r="D11076" s="21"/>
    </row>
    <row r="11077" spans="1:4" ht="12.75" customHeight="1" x14ac:dyDescent="0.2">
      <c r="A11077" s="21"/>
      <c r="B11077" s="3" t="s">
        <v>16</v>
      </c>
      <c r="C11077" s="23"/>
      <c r="D11077" s="21"/>
    </row>
    <row r="11078" spans="1:4" ht="12.75" customHeight="1" x14ac:dyDescent="0.2">
      <c r="A11078" s="21"/>
      <c r="B11078" s="3" t="s">
        <v>17</v>
      </c>
      <c r="C11078" s="23" t="s">
        <v>19</v>
      </c>
      <c r="D11078" s="21"/>
    </row>
    <row r="11079" spans="1:4" ht="12.75" customHeight="1" x14ac:dyDescent="0.2">
      <c r="A11079" s="21"/>
      <c r="B11079" s="20" t="s">
        <v>18</v>
      </c>
      <c r="C11079" s="8" t="s">
        <v>44</v>
      </c>
      <c r="D11079" s="1" t="str">
        <f>HYPERLINK("javascript:void(0)","rémfogó sisak")</f>
        <v>rémfogó sisak</v>
      </c>
    </row>
    <row r="11080" spans="1:4" ht="12.75" customHeight="1" x14ac:dyDescent="0.2">
      <c r="A11080" s="21"/>
      <c r="B11080" s="21"/>
      <c r="C11080" s="8" t="s">
        <v>44</v>
      </c>
      <c r="D11080" s="1" t="str">
        <f>HYPERLINK("javascript:void(0)","pengeálarc")</f>
        <v>pengeálarc</v>
      </c>
    </row>
    <row r="11081" spans="1:4" ht="12.75" customHeight="1" x14ac:dyDescent="0.2">
      <c r="A11081" s="21"/>
      <c r="B11081" s="21"/>
      <c r="C11081" s="8" t="s">
        <v>44</v>
      </c>
      <c r="D11081" s="1" t="str">
        <f>HYPERLINK("javascript:void(0)","trösztsisak")</f>
        <v>trösztsisak</v>
      </c>
    </row>
    <row r="11082" spans="1:4" ht="12.75" customHeight="1" x14ac:dyDescent="0.2">
      <c r="A11082" s="21"/>
      <c r="B11082" s="2"/>
      <c r="C11082" s="7"/>
      <c r="D11082" s="7"/>
    </row>
    <row r="11083" spans="1:4" ht="12.75" customHeight="1" x14ac:dyDescent="0.2">
      <c r="A11083" s="21"/>
      <c r="B11083" s="2"/>
      <c r="C11083" s="7"/>
      <c r="D11083" s="7"/>
    </row>
    <row r="11084" spans="1:4" ht="12.75" customHeight="1" x14ac:dyDescent="0.2">
      <c r="A11084" s="21"/>
      <c r="B11084" s="2"/>
      <c r="C11084" s="7"/>
      <c r="D11084" s="7"/>
    </row>
    <row r="11085" spans="1:4" ht="12.75" customHeight="1" x14ac:dyDescent="0.2">
      <c r="A11085" s="21"/>
      <c r="B11085" s="2"/>
      <c r="C11085" s="7"/>
      <c r="D11085" s="7"/>
    </row>
    <row r="11086" spans="1:4" ht="12.75" customHeight="1" x14ac:dyDescent="0.2">
      <c r="A11086" s="5"/>
      <c r="B11086" s="2"/>
      <c r="C11086" s="7"/>
      <c r="D11086" s="7"/>
    </row>
    <row r="11087" spans="1:4" ht="12.75" customHeight="1" x14ac:dyDescent="0.2">
      <c r="A11087" s="22" t="str">
        <f>HYPERLINK("javascript:void(0)","elfacél mokaszin")</f>
        <v>elfacél mokaszin</v>
      </c>
      <c r="B11087" s="21"/>
      <c r="C11087" s="21"/>
      <c r="D11087" s="21"/>
    </row>
    <row r="11088" spans="1:4" ht="12.75" customHeight="1" x14ac:dyDescent="0.2">
      <c r="A11088" s="20"/>
      <c r="B11088" s="2"/>
      <c r="C11088" s="7"/>
      <c r="D11088" s="7"/>
    </row>
    <row r="11089" spans="1:4" ht="12.75" customHeight="1" x14ac:dyDescent="0.2">
      <c r="A11089" s="21"/>
      <c r="B11089" s="3" t="s">
        <v>0</v>
      </c>
      <c r="C11089" s="23" t="s">
        <v>281</v>
      </c>
      <c r="D11089" s="21"/>
    </row>
    <row r="11090" spans="1:4" ht="12.75" customHeight="1" x14ac:dyDescent="0.2">
      <c r="A11090" s="21"/>
      <c r="B11090" s="3" t="s">
        <v>2</v>
      </c>
      <c r="C11090" s="23"/>
      <c r="D11090" s="21"/>
    </row>
    <row r="11091" spans="1:4" ht="12.75" customHeight="1" x14ac:dyDescent="0.2">
      <c r="A11091" s="21"/>
      <c r="B11091" s="3" t="s">
        <v>1840</v>
      </c>
      <c r="C11091" s="23" t="s">
        <v>207</v>
      </c>
      <c r="D11091" s="21"/>
    </row>
    <row r="11092" spans="1:4" ht="12.75" customHeight="1" x14ac:dyDescent="0.2">
      <c r="A11092" s="21"/>
      <c r="B11092" s="3" t="s">
        <v>9</v>
      </c>
      <c r="C11092" s="23" t="s">
        <v>1001</v>
      </c>
      <c r="D11092" s="21"/>
    </row>
    <row r="11093" spans="1:4" ht="12.75" customHeight="1" x14ac:dyDescent="0.2">
      <c r="A11093" s="21"/>
      <c r="B11093" s="3" t="s">
        <v>11</v>
      </c>
      <c r="C11093" s="23" t="s">
        <v>1190</v>
      </c>
      <c r="D11093" s="21"/>
    </row>
    <row r="11094" spans="1:4" ht="12.75" customHeight="1" x14ac:dyDescent="0.2">
      <c r="A11094" s="21"/>
      <c r="B11094" s="3" t="s">
        <v>16</v>
      </c>
      <c r="C11094" s="23"/>
      <c r="D11094" s="21"/>
    </row>
    <row r="11095" spans="1:4" ht="12.75" customHeight="1" x14ac:dyDescent="0.2">
      <c r="A11095" s="21"/>
      <c r="B11095" s="3" t="s">
        <v>17</v>
      </c>
      <c r="C11095" s="23" t="s">
        <v>19</v>
      </c>
      <c r="D11095" s="21"/>
    </row>
    <row r="11096" spans="1:4" ht="12.75" customHeight="1" x14ac:dyDescent="0.2">
      <c r="A11096" s="21"/>
      <c r="B11096" s="20" t="s">
        <v>18</v>
      </c>
      <c r="C11096" s="8" t="s">
        <v>67</v>
      </c>
      <c r="D11096" s="1" t="str">
        <f>HYPERLINK("javascript:void(0)","kígyóborda")</f>
        <v>kígyóborda</v>
      </c>
    </row>
    <row r="11097" spans="1:4" ht="12.75" customHeight="1" x14ac:dyDescent="0.2">
      <c r="A11097" s="21"/>
      <c r="B11097" s="21"/>
      <c r="C11097" s="8" t="s">
        <v>139</v>
      </c>
      <c r="D11097" s="1" t="str">
        <f>HYPERLINK("javascript:void(0)","serte")</f>
        <v>serte</v>
      </c>
    </row>
    <row r="11098" spans="1:4" ht="12.75" customHeight="1" x14ac:dyDescent="0.2">
      <c r="A11098" s="21"/>
      <c r="B11098" s="21"/>
      <c r="C11098" s="8" t="s">
        <v>117</v>
      </c>
      <c r="D11098" s="1" t="str">
        <f>HYPERLINK("javascript:void(0)","dobókocka")</f>
        <v>dobókocka</v>
      </c>
    </row>
    <row r="11099" spans="1:4" ht="12.75" customHeight="1" x14ac:dyDescent="0.2">
      <c r="A11099" s="21"/>
      <c r="B11099" s="2"/>
      <c r="C11099" s="7"/>
      <c r="D11099" s="7"/>
    </row>
    <row r="11100" spans="1:4" ht="12.75" customHeight="1" x14ac:dyDescent="0.2">
      <c r="A11100" s="21"/>
      <c r="B11100" s="2"/>
      <c r="C11100" s="7"/>
      <c r="D11100" s="7"/>
    </row>
    <row r="11101" spans="1:4" ht="12.75" customHeight="1" x14ac:dyDescent="0.2">
      <c r="A11101" s="21"/>
      <c r="B11101" s="2"/>
      <c r="C11101" s="7"/>
      <c r="D11101" s="7"/>
    </row>
    <row r="11102" spans="1:4" ht="12.75" customHeight="1" x14ac:dyDescent="0.2">
      <c r="A11102" s="21"/>
      <c r="B11102" s="2"/>
      <c r="C11102" s="7"/>
      <c r="D11102" s="7"/>
    </row>
    <row r="11103" spans="1:4" ht="12.75" customHeight="1" x14ac:dyDescent="0.2">
      <c r="A11103" s="5"/>
      <c r="B11103" s="2"/>
      <c r="C11103" s="7"/>
      <c r="D11103" s="7"/>
    </row>
    <row r="11104" spans="1:4" ht="12.75" customHeight="1" x14ac:dyDescent="0.2">
      <c r="A11104" s="22" t="str">
        <f>HYPERLINK("javascript:void(0)","kerítő testpajzs")</f>
        <v>kerítő testpajzs</v>
      </c>
      <c r="B11104" s="21"/>
      <c r="C11104" s="21"/>
      <c r="D11104" s="21"/>
    </row>
    <row r="11105" spans="1:4" ht="12.75" customHeight="1" x14ac:dyDescent="0.2">
      <c r="A11105" s="20"/>
      <c r="B11105" s="2"/>
      <c r="C11105" s="7"/>
      <c r="D11105" s="7"/>
    </row>
    <row r="11106" spans="1:4" ht="12.75" customHeight="1" x14ac:dyDescent="0.2">
      <c r="A11106" s="21"/>
      <c r="B11106" s="3" t="s">
        <v>0</v>
      </c>
      <c r="C11106" s="23" t="s">
        <v>281</v>
      </c>
      <c r="D11106" s="21"/>
    </row>
    <row r="11107" spans="1:4" ht="12.75" customHeight="1" x14ac:dyDescent="0.2">
      <c r="A11107" s="21"/>
      <c r="B11107" s="3" t="s">
        <v>2</v>
      </c>
      <c r="C11107" s="23" t="s">
        <v>1839</v>
      </c>
      <c r="D11107" s="21"/>
    </row>
    <row r="11108" spans="1:4" ht="12.75" customHeight="1" x14ac:dyDescent="0.2">
      <c r="A11108" s="21"/>
      <c r="B11108" s="3" t="s">
        <v>1840</v>
      </c>
      <c r="C11108" s="23" t="s">
        <v>504</v>
      </c>
      <c r="D11108" s="21"/>
    </row>
    <row r="11109" spans="1:4" ht="12.75" customHeight="1" x14ac:dyDescent="0.2">
      <c r="A11109" s="21"/>
      <c r="B11109" s="3" t="s">
        <v>9</v>
      </c>
      <c r="C11109" s="23" t="s">
        <v>549</v>
      </c>
      <c r="D11109" s="21"/>
    </row>
    <row r="11110" spans="1:4" ht="12.75" customHeight="1" x14ac:dyDescent="0.2">
      <c r="A11110" s="21"/>
      <c r="B11110" s="3" t="s">
        <v>11</v>
      </c>
      <c r="C11110" s="23" t="s">
        <v>1459</v>
      </c>
      <c r="D11110" s="21"/>
    </row>
    <row r="11111" spans="1:4" ht="12.75" customHeight="1" x14ac:dyDescent="0.2">
      <c r="A11111" s="21"/>
      <c r="B11111" s="3" t="s">
        <v>16</v>
      </c>
      <c r="C11111" s="23"/>
      <c r="D11111" s="21"/>
    </row>
    <row r="11112" spans="1:4" ht="12.75" customHeight="1" x14ac:dyDescent="0.2">
      <c r="A11112" s="21"/>
      <c r="B11112" s="3" t="s">
        <v>17</v>
      </c>
      <c r="C11112" s="23" t="s">
        <v>19</v>
      </c>
      <c r="D11112" s="21"/>
    </row>
    <row r="11113" spans="1:4" ht="12.75" customHeight="1" x14ac:dyDescent="0.2">
      <c r="A11113" s="21"/>
      <c r="B11113" s="20" t="s">
        <v>18</v>
      </c>
      <c r="C11113" s="8" t="s">
        <v>44</v>
      </c>
      <c r="D11113" s="1" t="str">
        <f>HYPERLINK("javascript:void(0)","rulett testpajzs")</f>
        <v>rulett testpajzs</v>
      </c>
    </row>
    <row r="11114" spans="1:4" ht="12.75" customHeight="1" x14ac:dyDescent="0.2">
      <c r="A11114" s="21"/>
      <c r="B11114" s="21"/>
      <c r="C11114" s="8" t="s">
        <v>382</v>
      </c>
      <c r="D11114" s="1" t="str">
        <f>HYPERLINK("javascript:void(0)","hagymapikkely")</f>
        <v>hagymapikkely</v>
      </c>
    </row>
    <row r="11115" spans="1:4" ht="12.75" customHeight="1" x14ac:dyDescent="0.2">
      <c r="A11115" s="21"/>
      <c r="B11115" s="21"/>
      <c r="C11115" s="8" t="s">
        <v>296</v>
      </c>
      <c r="D11115" s="1" t="str">
        <f>HYPERLINK("javascript:void(0)","monsztabéklyó")</f>
        <v>monsztabéklyó</v>
      </c>
    </row>
    <row r="11116" spans="1:4" ht="12.75" customHeight="1" x14ac:dyDescent="0.2">
      <c r="A11116" s="21"/>
      <c r="B11116" s="2"/>
      <c r="C11116" s="7"/>
      <c r="D11116" s="7"/>
    </row>
    <row r="11117" spans="1:4" ht="12.75" customHeight="1" x14ac:dyDescent="0.2">
      <c r="A11117" s="21"/>
      <c r="B11117" s="2"/>
      <c r="C11117" s="7"/>
      <c r="D11117" s="7"/>
    </row>
    <row r="11118" spans="1:4" ht="12.75" customHeight="1" x14ac:dyDescent="0.2">
      <c r="A11118" s="21"/>
      <c r="B11118" s="2"/>
      <c r="C11118" s="7"/>
      <c r="D11118" s="7"/>
    </row>
    <row r="11119" spans="1:4" ht="12.75" customHeight="1" x14ac:dyDescent="0.2">
      <c r="A11119" s="21"/>
      <c r="B11119" s="2"/>
      <c r="C11119" s="7"/>
      <c r="D11119" s="7"/>
    </row>
    <row r="11120" spans="1:4" ht="12.75" customHeight="1" x14ac:dyDescent="0.2">
      <c r="A11120" s="5"/>
      <c r="B11120" s="2"/>
      <c r="C11120" s="7"/>
      <c r="D11120" s="7"/>
    </row>
    <row r="11121" spans="1:4" ht="12.75" customHeight="1" x14ac:dyDescent="0.2">
      <c r="A11121" s="22" t="str">
        <f>HYPERLINK("javascript:void(0)","bronzos szellempajzs")</f>
        <v>bronzos szellempajzs</v>
      </c>
      <c r="B11121" s="21"/>
      <c r="C11121" s="21"/>
      <c r="D11121" s="21"/>
    </row>
    <row r="11122" spans="1:4" ht="12.75" customHeight="1" x14ac:dyDescent="0.2">
      <c r="A11122" s="20"/>
      <c r="B11122" s="2"/>
      <c r="C11122" s="7"/>
      <c r="D11122" s="7"/>
    </row>
    <row r="11123" spans="1:4" ht="12.75" customHeight="1" x14ac:dyDescent="0.2">
      <c r="A11123" s="21"/>
      <c r="B11123" s="3" t="s">
        <v>0</v>
      </c>
      <c r="C11123" s="23" t="s">
        <v>281</v>
      </c>
      <c r="D11123" s="21"/>
    </row>
    <row r="11124" spans="1:4" ht="12.75" customHeight="1" x14ac:dyDescent="0.2">
      <c r="A11124" s="21"/>
      <c r="B11124" s="3" t="s">
        <v>2</v>
      </c>
      <c r="C11124" s="23" t="s">
        <v>1839</v>
      </c>
      <c r="D11124" s="21"/>
    </row>
    <row r="11125" spans="1:4" ht="12.75" customHeight="1" x14ac:dyDescent="0.2">
      <c r="A11125" s="21"/>
      <c r="B11125" s="3" t="s">
        <v>1840</v>
      </c>
      <c r="C11125" s="23" t="s">
        <v>504</v>
      </c>
      <c r="D11125" s="21"/>
    </row>
    <row r="11126" spans="1:4" ht="12.75" customHeight="1" x14ac:dyDescent="0.2">
      <c r="A11126" s="21"/>
      <c r="B11126" s="3" t="s">
        <v>9</v>
      </c>
      <c r="C11126" s="23" t="s">
        <v>692</v>
      </c>
      <c r="D11126" s="21"/>
    </row>
    <row r="11127" spans="1:4" ht="12.75" customHeight="1" x14ac:dyDescent="0.2">
      <c r="A11127" s="21"/>
      <c r="B11127" s="3" t="s">
        <v>11</v>
      </c>
      <c r="C11127" s="23" t="s">
        <v>1472</v>
      </c>
      <c r="D11127" s="21"/>
    </row>
    <row r="11128" spans="1:4" ht="12.75" customHeight="1" x14ac:dyDescent="0.2">
      <c r="A11128" s="21"/>
      <c r="B11128" s="3" t="s">
        <v>16</v>
      </c>
      <c r="C11128" s="23"/>
      <c r="D11128" s="21"/>
    </row>
    <row r="11129" spans="1:4" ht="12.75" customHeight="1" x14ac:dyDescent="0.2">
      <c r="A11129" s="21"/>
      <c r="B11129" s="3" t="s">
        <v>17</v>
      </c>
      <c r="C11129" s="23" t="s">
        <v>19</v>
      </c>
      <c r="D11129" s="21"/>
    </row>
    <row r="11130" spans="1:4" ht="12.75" customHeight="1" x14ac:dyDescent="0.2">
      <c r="A11130" s="21"/>
      <c r="B11130" s="20" t="s">
        <v>18</v>
      </c>
      <c r="C11130" s="8" t="s">
        <v>44</v>
      </c>
      <c r="D11130" s="1" t="str">
        <f>HYPERLINK("javascript:void(0)","kerítő testpajzs")</f>
        <v>kerítő testpajzs</v>
      </c>
    </row>
    <row r="11131" spans="1:4" ht="12.75" customHeight="1" x14ac:dyDescent="0.2">
      <c r="A11131" s="21"/>
      <c r="B11131" s="21"/>
      <c r="C11131" s="8" t="s">
        <v>139</v>
      </c>
      <c r="D11131" s="1" t="str">
        <f>HYPERLINK("javascript:void(0)","bronzrög")</f>
        <v>bronzrög</v>
      </c>
    </row>
    <row r="11132" spans="1:4" ht="12.75" customHeight="1" x14ac:dyDescent="0.2">
      <c r="A11132" s="21"/>
      <c r="B11132" s="21"/>
      <c r="C11132" s="8" t="s">
        <v>132</v>
      </c>
      <c r="D11132" s="1" t="str">
        <f>HYPERLINK("javascript:void(0)","hídpenge")</f>
        <v>hídpenge</v>
      </c>
    </row>
    <row r="11133" spans="1:4" ht="12.75" customHeight="1" x14ac:dyDescent="0.2">
      <c r="A11133" s="21"/>
      <c r="B11133" s="2"/>
      <c r="C11133" s="7"/>
      <c r="D11133" s="7"/>
    </row>
    <row r="11134" spans="1:4" ht="12.75" customHeight="1" x14ac:dyDescent="0.2">
      <c r="A11134" s="21"/>
      <c r="B11134" s="2"/>
      <c r="C11134" s="7"/>
      <c r="D11134" s="7"/>
    </row>
    <row r="11135" spans="1:4" ht="12.75" customHeight="1" x14ac:dyDescent="0.2">
      <c r="A11135" s="21"/>
      <c r="B11135" s="2"/>
      <c r="C11135" s="7"/>
      <c r="D11135" s="7"/>
    </row>
    <row r="11136" spans="1:4" ht="12.75" customHeight="1" x14ac:dyDescent="0.2">
      <c r="A11136" s="21"/>
      <c r="B11136" s="2"/>
      <c r="C11136" s="7"/>
      <c r="D11136" s="7"/>
    </row>
    <row r="11137" spans="1:4" ht="12.75" customHeight="1" x14ac:dyDescent="0.2">
      <c r="A11137" s="5"/>
      <c r="B11137" s="2"/>
      <c r="C11137" s="7"/>
      <c r="D11137" s="7"/>
    </row>
    <row r="11138" spans="1:4" ht="12.75" customHeight="1" x14ac:dyDescent="0.2">
      <c r="A11138" s="22" t="str">
        <f>HYPERLINK("javascript:void(0)","pengeálarc")</f>
        <v>pengeálarc</v>
      </c>
      <c r="B11138" s="21"/>
      <c r="C11138" s="21"/>
      <c r="D11138" s="21"/>
    </row>
    <row r="11139" spans="1:4" ht="12.75" customHeight="1" x14ac:dyDescent="0.2">
      <c r="A11139" s="20"/>
      <c r="B11139" s="2"/>
      <c r="C11139" s="7"/>
      <c r="D11139" s="7"/>
    </row>
    <row r="11140" spans="1:4" ht="12.75" customHeight="1" x14ac:dyDescent="0.2">
      <c r="A11140" s="21"/>
      <c r="B11140" s="3" t="s">
        <v>0</v>
      </c>
      <c r="C11140" s="23" t="s">
        <v>281</v>
      </c>
      <c r="D11140" s="21"/>
    </row>
    <row r="11141" spans="1:4" ht="12.75" customHeight="1" x14ac:dyDescent="0.2">
      <c r="A11141" s="21"/>
      <c r="B11141" s="3" t="s">
        <v>2</v>
      </c>
      <c r="C11141" s="23"/>
      <c r="D11141" s="21"/>
    </row>
    <row r="11142" spans="1:4" ht="12.75" customHeight="1" x14ac:dyDescent="0.2">
      <c r="A11142" s="21"/>
      <c r="B11142" s="3" t="s">
        <v>1840</v>
      </c>
      <c r="C11142" s="23" t="s">
        <v>417</v>
      </c>
      <c r="D11142" s="21"/>
    </row>
    <row r="11143" spans="1:4" ht="12.75" customHeight="1" x14ac:dyDescent="0.2">
      <c r="A11143" s="21"/>
      <c r="B11143" s="3" t="s">
        <v>9</v>
      </c>
      <c r="C11143" s="23" t="s">
        <v>42</v>
      </c>
      <c r="D11143" s="21"/>
    </row>
    <row r="11144" spans="1:4" ht="12.75" customHeight="1" x14ac:dyDescent="0.2">
      <c r="A11144" s="21"/>
      <c r="B11144" s="3" t="s">
        <v>11</v>
      </c>
      <c r="C11144" s="23" t="s">
        <v>4696</v>
      </c>
      <c r="D11144" s="21"/>
    </row>
    <row r="11145" spans="1:4" ht="12.75" customHeight="1" x14ac:dyDescent="0.2">
      <c r="A11145" s="21"/>
      <c r="B11145" s="3" t="s">
        <v>16</v>
      </c>
      <c r="C11145" s="23"/>
      <c r="D11145" s="21"/>
    </row>
    <row r="11146" spans="1:4" ht="12.75" customHeight="1" x14ac:dyDescent="0.2">
      <c r="A11146" s="21"/>
      <c r="B11146" s="3" t="s">
        <v>17</v>
      </c>
      <c r="C11146" s="23" t="s">
        <v>19</v>
      </c>
      <c r="D11146" s="21"/>
    </row>
    <row r="11147" spans="1:4" ht="12.75" customHeight="1" x14ac:dyDescent="0.2">
      <c r="A11147" s="21"/>
      <c r="B11147" s="20" t="s">
        <v>18</v>
      </c>
      <c r="C11147" s="8" t="s">
        <v>369</v>
      </c>
      <c r="D11147" s="1" t="str">
        <f>HYPERLINK("javascript:void(0)","ámbra")</f>
        <v>ámbra</v>
      </c>
    </row>
    <row r="11148" spans="1:4" ht="12.75" customHeight="1" x14ac:dyDescent="0.2">
      <c r="A11148" s="21"/>
      <c r="B11148" s="21"/>
      <c r="C11148" s="8" t="s">
        <v>67</v>
      </c>
      <c r="D11148" s="1" t="str">
        <f>HYPERLINK("javascript:void(0)","hídpenge")</f>
        <v>hídpenge</v>
      </c>
    </row>
    <row r="11149" spans="1:4" ht="12.75" customHeight="1" x14ac:dyDescent="0.2">
      <c r="A11149" s="21"/>
      <c r="B11149" s="21"/>
      <c r="C11149" s="8" t="s">
        <v>244</v>
      </c>
      <c r="D11149" s="1" t="str">
        <f>HYPERLINK("javascript:void(0)","átokige")</f>
        <v>átokige</v>
      </c>
    </row>
    <row r="11150" spans="1:4" ht="12.75" customHeight="1" x14ac:dyDescent="0.2">
      <c r="A11150" s="21"/>
      <c r="B11150" s="2"/>
      <c r="C11150" s="7"/>
      <c r="D11150" s="7"/>
    </row>
    <row r="11151" spans="1:4" ht="12.75" customHeight="1" x14ac:dyDescent="0.2">
      <c r="A11151" s="21"/>
      <c r="B11151" s="2"/>
      <c r="C11151" s="7"/>
      <c r="D11151" s="7"/>
    </row>
    <row r="11152" spans="1:4" ht="12.75" customHeight="1" x14ac:dyDescent="0.2">
      <c r="A11152" s="21"/>
      <c r="B11152" s="2"/>
      <c r="C11152" s="7"/>
      <c r="D11152" s="7"/>
    </row>
    <row r="11153" spans="1:4" ht="12.75" customHeight="1" x14ac:dyDescent="0.2">
      <c r="A11153" s="21"/>
      <c r="B11153" s="2"/>
      <c r="C11153" s="7"/>
      <c r="D11153" s="7"/>
    </row>
    <row r="11154" spans="1:4" ht="12.75" customHeight="1" x14ac:dyDescent="0.2">
      <c r="A11154" s="5"/>
      <c r="B11154" s="2"/>
      <c r="C11154" s="7"/>
      <c r="D11154" s="7"/>
    </row>
    <row r="11155" spans="1:4" ht="12.75" customHeight="1" x14ac:dyDescent="0.2">
      <c r="A11155" s="22" t="str">
        <f>HYPERLINK("javascript:void(0)","magnetoacél antigrav csizma")</f>
        <v>magnetoacél antigrav csizma</v>
      </c>
      <c r="B11155" s="21"/>
      <c r="C11155" s="21"/>
      <c r="D11155" s="21"/>
    </row>
    <row r="11156" spans="1:4" ht="12.75" customHeight="1" x14ac:dyDescent="0.2">
      <c r="A11156" s="20"/>
      <c r="B11156" s="2"/>
      <c r="C11156" s="7"/>
      <c r="D11156" s="7"/>
    </row>
    <row r="11157" spans="1:4" ht="12.75" customHeight="1" x14ac:dyDescent="0.2">
      <c r="A11157" s="21"/>
      <c r="B11157" s="3" t="s">
        <v>0</v>
      </c>
      <c r="C11157" s="23" t="s">
        <v>281</v>
      </c>
      <c r="D11157" s="21"/>
    </row>
    <row r="11158" spans="1:4" ht="12.75" customHeight="1" x14ac:dyDescent="0.2">
      <c r="A11158" s="21"/>
      <c r="B11158" s="3" t="s">
        <v>2</v>
      </c>
      <c r="C11158" s="23"/>
      <c r="D11158" s="21"/>
    </row>
    <row r="11159" spans="1:4" ht="12.75" customHeight="1" x14ac:dyDescent="0.2">
      <c r="A11159" s="21"/>
      <c r="B11159" s="3" t="s">
        <v>1840</v>
      </c>
      <c r="C11159" s="23" t="s">
        <v>207</v>
      </c>
      <c r="D11159" s="21"/>
    </row>
    <row r="11160" spans="1:4" ht="12.75" customHeight="1" x14ac:dyDescent="0.2">
      <c r="A11160" s="21"/>
      <c r="B11160" s="3" t="s">
        <v>9</v>
      </c>
      <c r="C11160" s="23" t="s">
        <v>626</v>
      </c>
      <c r="D11160" s="21"/>
    </row>
    <row r="11161" spans="1:4" ht="12.75" customHeight="1" x14ac:dyDescent="0.2">
      <c r="A11161" s="21"/>
      <c r="B11161" s="3" t="s">
        <v>11</v>
      </c>
      <c r="C11161" s="23" t="s">
        <v>23</v>
      </c>
      <c r="D11161" s="21"/>
    </row>
    <row r="11162" spans="1:4" ht="12.75" customHeight="1" x14ac:dyDescent="0.2">
      <c r="A11162" s="21"/>
      <c r="B11162" s="3" t="s">
        <v>16</v>
      </c>
      <c r="C11162" s="23"/>
      <c r="D11162" s="21"/>
    </row>
    <row r="11163" spans="1:4" ht="12.75" customHeight="1" x14ac:dyDescent="0.2">
      <c r="A11163" s="21"/>
      <c r="B11163" s="3" t="s">
        <v>17</v>
      </c>
      <c r="C11163" s="23" t="s">
        <v>19</v>
      </c>
      <c r="D11163" s="21"/>
    </row>
    <row r="11164" spans="1:4" ht="25.5" customHeight="1" x14ac:dyDescent="0.2">
      <c r="A11164" s="21"/>
      <c r="B11164" s="20" t="s">
        <v>18</v>
      </c>
      <c r="C11164" s="8" t="s">
        <v>44</v>
      </c>
      <c r="D11164" s="1" t="str">
        <f>HYPERLINK("javascript:void(0)","fotoacél antigrav csizma")</f>
        <v>fotoacél antigrav csizma</v>
      </c>
    </row>
    <row r="11165" spans="1:4" ht="12.75" customHeight="1" x14ac:dyDescent="0.2">
      <c r="A11165" s="21"/>
      <c r="B11165" s="21"/>
      <c r="C11165" s="8" t="s">
        <v>309</v>
      </c>
      <c r="D11165" s="1" t="str">
        <f>HYPERLINK("javascript:void(0)","monsztabéklyó")</f>
        <v>monsztabéklyó</v>
      </c>
    </row>
    <row r="11166" spans="1:4" ht="12.75" customHeight="1" x14ac:dyDescent="0.2">
      <c r="A11166" s="21"/>
      <c r="B11166" s="21"/>
      <c r="C11166" s="8" t="s">
        <v>163</v>
      </c>
      <c r="D11166" s="1" t="str">
        <f>HYPERLINK("javascript:void(0)","ikerkristály")</f>
        <v>ikerkristály</v>
      </c>
    </row>
    <row r="11167" spans="1:4" ht="12.75" customHeight="1" x14ac:dyDescent="0.2">
      <c r="A11167" s="21"/>
      <c r="B11167" s="2"/>
      <c r="C11167" s="7"/>
      <c r="D11167" s="7"/>
    </row>
    <row r="11168" spans="1:4" ht="12.75" customHeight="1" x14ac:dyDescent="0.2">
      <c r="A11168" s="21"/>
      <c r="B11168" s="2"/>
      <c r="C11168" s="7"/>
      <c r="D11168" s="7"/>
    </row>
    <row r="11169" spans="1:4" ht="12.75" customHeight="1" x14ac:dyDescent="0.2">
      <c r="A11169" s="21"/>
      <c r="B11169" s="2"/>
      <c r="C11169" s="7"/>
      <c r="D11169" s="7"/>
    </row>
    <row r="11170" spans="1:4" ht="12.75" customHeight="1" x14ac:dyDescent="0.2">
      <c r="A11170" s="21"/>
      <c r="B11170" s="2"/>
      <c r="C11170" s="7"/>
      <c r="D11170" s="7"/>
    </row>
    <row r="11171" spans="1:4" ht="12.75" customHeight="1" x14ac:dyDescent="0.2">
      <c r="A11171" s="5"/>
      <c r="B11171" s="2"/>
      <c r="C11171" s="7"/>
      <c r="D11171" s="7"/>
    </row>
    <row r="11172" spans="1:4" ht="12.75" customHeight="1" x14ac:dyDescent="0.2">
      <c r="A11172" s="22" t="str">
        <f>HYPERLINK("javascript:void(0)","teljes gránitvért")</f>
        <v>teljes gránitvért</v>
      </c>
      <c r="B11172" s="21"/>
      <c r="C11172" s="21"/>
      <c r="D11172" s="21"/>
    </row>
    <row r="11173" spans="1:4" ht="12.75" customHeight="1" x14ac:dyDescent="0.2">
      <c r="A11173" s="20"/>
      <c r="B11173" s="2"/>
      <c r="C11173" s="7"/>
      <c r="D11173" s="7"/>
    </row>
    <row r="11174" spans="1:4" ht="12.75" customHeight="1" x14ac:dyDescent="0.2">
      <c r="A11174" s="21"/>
      <c r="B11174" s="3" t="s">
        <v>0</v>
      </c>
      <c r="C11174" s="23" t="s">
        <v>181</v>
      </c>
      <c r="D11174" s="21"/>
    </row>
    <row r="11175" spans="1:4" ht="12.75" customHeight="1" x14ac:dyDescent="0.2">
      <c r="A11175" s="21"/>
      <c r="B11175" s="3" t="s">
        <v>2</v>
      </c>
      <c r="C11175" s="23" t="s">
        <v>2322</v>
      </c>
      <c r="D11175" s="21"/>
    </row>
    <row r="11176" spans="1:4" ht="12.75" customHeight="1" x14ac:dyDescent="0.2">
      <c r="A11176" s="21"/>
      <c r="B11176" s="3" t="s">
        <v>1840</v>
      </c>
      <c r="C11176" s="23" t="s">
        <v>2485</v>
      </c>
      <c r="D11176" s="21"/>
    </row>
    <row r="11177" spans="1:4" ht="12.75" customHeight="1" x14ac:dyDescent="0.2">
      <c r="A11177" s="21"/>
      <c r="B11177" s="3" t="s">
        <v>9</v>
      </c>
      <c r="C11177" s="23" t="s">
        <v>2360</v>
      </c>
      <c r="D11177" s="21"/>
    </row>
    <row r="11178" spans="1:4" ht="12.75" customHeight="1" x14ac:dyDescent="0.2">
      <c r="A11178" s="21"/>
      <c r="B11178" s="3" t="s">
        <v>11</v>
      </c>
      <c r="C11178" s="23" t="s">
        <v>1354</v>
      </c>
      <c r="D11178" s="21"/>
    </row>
    <row r="11179" spans="1:4" ht="12.75" customHeight="1" x14ac:dyDescent="0.2">
      <c r="A11179" s="21"/>
      <c r="B11179" s="3" t="s">
        <v>16</v>
      </c>
      <c r="C11179" s="23"/>
      <c r="D11179" s="21"/>
    </row>
    <row r="11180" spans="1:4" ht="12.75" customHeight="1" x14ac:dyDescent="0.2">
      <c r="A11180" s="21"/>
      <c r="B11180" s="3" t="s">
        <v>17</v>
      </c>
      <c r="C11180" s="23" t="s">
        <v>19</v>
      </c>
      <c r="D11180" s="21"/>
    </row>
    <row r="11181" spans="1:4" ht="12.75" customHeight="1" x14ac:dyDescent="0.2">
      <c r="A11181" s="21"/>
      <c r="B11181" s="20" t="s">
        <v>18</v>
      </c>
      <c r="C11181" s="8" t="s">
        <v>139</v>
      </c>
      <c r="D11181" s="1" t="str">
        <f>HYPERLINK("javascript:void(0)","átokige")</f>
        <v>átokige</v>
      </c>
    </row>
    <row r="11182" spans="1:4" ht="12.75" customHeight="1" x14ac:dyDescent="0.2">
      <c r="A11182" s="21"/>
      <c r="B11182" s="21"/>
      <c r="C11182" s="8" t="s">
        <v>132</v>
      </c>
      <c r="D11182" s="1" t="str">
        <f>HYPERLINK("javascript:void(0)","magmacsepp")</f>
        <v>magmacsepp</v>
      </c>
    </row>
    <row r="11183" spans="1:4" ht="12.75" customHeight="1" x14ac:dyDescent="0.2">
      <c r="A11183" s="21"/>
      <c r="B11183" s="21"/>
      <c r="C11183" s="8" t="s">
        <v>240</v>
      </c>
      <c r="D11183" s="1" t="str">
        <f>HYPERLINK("javascript:void(0)","sárkányzsák")</f>
        <v>sárkányzsák</v>
      </c>
    </row>
    <row r="11184" spans="1:4" ht="12.75" customHeight="1" x14ac:dyDescent="0.2">
      <c r="A11184" s="21"/>
      <c r="B11184" s="2"/>
      <c r="C11184" s="7"/>
      <c r="D11184" s="7"/>
    </row>
    <row r="11185" spans="1:4" ht="12.75" customHeight="1" x14ac:dyDescent="0.2">
      <c r="A11185" s="21"/>
      <c r="B11185" s="2"/>
      <c r="C11185" s="7"/>
      <c r="D11185" s="7"/>
    </row>
    <row r="11186" spans="1:4" ht="12.75" customHeight="1" x14ac:dyDescent="0.2">
      <c r="A11186" s="21"/>
      <c r="B11186" s="2"/>
      <c r="C11186" s="7"/>
      <c r="D11186" s="7"/>
    </row>
    <row r="11187" spans="1:4" ht="12.75" customHeight="1" x14ac:dyDescent="0.2">
      <c r="A11187" s="21"/>
      <c r="B11187" s="2"/>
      <c r="C11187" s="7"/>
      <c r="D11187" s="7"/>
    </row>
    <row r="11188" spans="1:4" ht="12.75" customHeight="1" x14ac:dyDescent="0.2">
      <c r="A11188" s="5"/>
      <c r="B11188" s="2"/>
      <c r="C11188" s="7"/>
      <c r="D11188" s="7"/>
    </row>
    <row r="11189" spans="1:4" ht="12.75" customHeight="1" x14ac:dyDescent="0.2">
      <c r="A11189" s="22" t="str">
        <f>HYPERLINK("javascript:void(0)","lidércsisak")</f>
        <v>lidércsisak</v>
      </c>
      <c r="B11189" s="21"/>
      <c r="C11189" s="21"/>
      <c r="D11189" s="21"/>
    </row>
    <row r="11190" spans="1:4" ht="12.75" customHeight="1" x14ac:dyDescent="0.2">
      <c r="A11190" s="20"/>
      <c r="B11190" s="2"/>
      <c r="C11190" s="7"/>
      <c r="D11190" s="7"/>
    </row>
    <row r="11191" spans="1:4" ht="12.75" customHeight="1" x14ac:dyDescent="0.2">
      <c r="A11191" s="21"/>
      <c r="B11191" s="3" t="s">
        <v>0</v>
      </c>
      <c r="C11191" s="23" t="s">
        <v>181</v>
      </c>
      <c r="D11191" s="21"/>
    </row>
    <row r="11192" spans="1:4" ht="12.75" customHeight="1" x14ac:dyDescent="0.2">
      <c r="A11192" s="21"/>
      <c r="B11192" s="3" t="s">
        <v>2</v>
      </c>
      <c r="C11192" s="23"/>
      <c r="D11192" s="21"/>
    </row>
    <row r="11193" spans="1:4" ht="12.75" customHeight="1" x14ac:dyDescent="0.2">
      <c r="A11193" s="21"/>
      <c r="B11193" s="3" t="s">
        <v>1840</v>
      </c>
      <c r="C11193" s="23" t="s">
        <v>2407</v>
      </c>
      <c r="D11193" s="21"/>
    </row>
    <row r="11194" spans="1:4" ht="12.75" customHeight="1" x14ac:dyDescent="0.2">
      <c r="A11194" s="21"/>
      <c r="B11194" s="3" t="s">
        <v>9</v>
      </c>
      <c r="C11194" s="23" t="s">
        <v>2184</v>
      </c>
      <c r="D11194" s="21"/>
    </row>
    <row r="11195" spans="1:4" ht="12.75" customHeight="1" x14ac:dyDescent="0.2">
      <c r="A11195" s="21"/>
      <c r="B11195" s="3" t="s">
        <v>11</v>
      </c>
      <c r="C11195" s="23" t="s">
        <v>1354</v>
      </c>
      <c r="D11195" s="21"/>
    </row>
    <row r="11196" spans="1:4" ht="12.75" customHeight="1" x14ac:dyDescent="0.2">
      <c r="A11196" s="21"/>
      <c r="B11196" s="3" t="s">
        <v>16</v>
      </c>
      <c r="C11196" s="23"/>
      <c r="D11196" s="21"/>
    </row>
    <row r="11197" spans="1:4" ht="12.75" customHeight="1" x14ac:dyDescent="0.2">
      <c r="A11197" s="21"/>
      <c r="B11197" s="3" t="s">
        <v>17</v>
      </c>
      <c r="C11197" s="23" t="s">
        <v>19</v>
      </c>
      <c r="D11197" s="21"/>
    </row>
    <row r="11198" spans="1:4" ht="12.75" customHeight="1" x14ac:dyDescent="0.2">
      <c r="A11198" s="21"/>
      <c r="B11198" s="20" t="s">
        <v>18</v>
      </c>
      <c r="C11198" s="8" t="s">
        <v>44</v>
      </c>
      <c r="D11198" s="1" t="str">
        <f>HYPERLINK("javascript:void(0)","gyiloksisak")</f>
        <v>gyiloksisak</v>
      </c>
    </row>
    <row r="11199" spans="1:4" ht="12.75" customHeight="1" x14ac:dyDescent="0.2">
      <c r="A11199" s="21"/>
      <c r="B11199" s="21"/>
      <c r="C11199" s="8" t="s">
        <v>117</v>
      </c>
      <c r="D11199" s="1" t="str">
        <f>HYPERLINK("javascript:void(0)","zanzahúr")</f>
        <v>zanzahúr</v>
      </c>
    </row>
    <row r="11200" spans="1:4" ht="12.75" customHeight="1" x14ac:dyDescent="0.2">
      <c r="A11200" s="21"/>
      <c r="B11200" s="21"/>
      <c r="C11200" s="8" t="s">
        <v>232</v>
      </c>
      <c r="D11200" s="1" t="str">
        <f>HYPERLINK("javascript:void(0)","lidérclámpás")</f>
        <v>lidérclámpás</v>
      </c>
    </row>
    <row r="11201" spans="1:4" ht="12.75" customHeight="1" x14ac:dyDescent="0.2">
      <c r="A11201" s="21"/>
      <c r="B11201" s="2"/>
      <c r="C11201" s="7"/>
      <c r="D11201" s="7"/>
    </row>
    <row r="11202" spans="1:4" ht="12.75" customHeight="1" x14ac:dyDescent="0.2">
      <c r="A11202" s="21"/>
      <c r="B11202" s="2"/>
      <c r="C11202" s="7"/>
      <c r="D11202" s="7"/>
    </row>
    <row r="11203" spans="1:4" ht="12.75" customHeight="1" x14ac:dyDescent="0.2">
      <c r="A11203" s="21"/>
      <c r="B11203" s="2"/>
      <c r="C11203" s="7"/>
      <c r="D11203" s="7"/>
    </row>
    <row r="11204" spans="1:4" ht="12.75" customHeight="1" x14ac:dyDescent="0.2">
      <c r="A11204" s="21"/>
      <c r="B11204" s="2"/>
      <c r="C11204" s="7"/>
      <c r="D11204" s="7"/>
    </row>
    <row r="11205" spans="1:4" ht="12.75" customHeight="1" x14ac:dyDescent="0.2">
      <c r="A11205" s="5"/>
      <c r="B11205" s="2"/>
      <c r="C11205" s="7"/>
      <c r="D11205" s="7"/>
    </row>
    <row r="11206" spans="1:4" ht="12.75" customHeight="1" x14ac:dyDescent="0.2">
      <c r="A11206" s="22" t="str">
        <f>HYPERLINK("javascript:void(0)","óriásacél mokaszin")</f>
        <v>óriásacél mokaszin</v>
      </c>
      <c r="B11206" s="21"/>
      <c r="C11206" s="21"/>
      <c r="D11206" s="21"/>
    </row>
    <row r="11207" spans="1:4" ht="12.75" customHeight="1" x14ac:dyDescent="0.2">
      <c r="A11207" s="20"/>
      <c r="B11207" s="2"/>
      <c r="C11207" s="7"/>
      <c r="D11207" s="7"/>
    </row>
    <row r="11208" spans="1:4" ht="12.75" customHeight="1" x14ac:dyDescent="0.2">
      <c r="A11208" s="21"/>
      <c r="B11208" s="3" t="s">
        <v>0</v>
      </c>
      <c r="C11208" s="23" t="s">
        <v>181</v>
      </c>
      <c r="D11208" s="21"/>
    </row>
    <row r="11209" spans="1:4" ht="12.75" customHeight="1" x14ac:dyDescent="0.2">
      <c r="A11209" s="21"/>
      <c r="B11209" s="3" t="s">
        <v>2</v>
      </c>
      <c r="C11209" s="23"/>
      <c r="D11209" s="21"/>
    </row>
    <row r="11210" spans="1:4" ht="12.75" customHeight="1" x14ac:dyDescent="0.2">
      <c r="A11210" s="21"/>
      <c r="B11210" s="3" t="s">
        <v>1840</v>
      </c>
      <c r="C11210" s="23" t="s">
        <v>2101</v>
      </c>
      <c r="D11210" s="21"/>
    </row>
    <row r="11211" spans="1:4" ht="12.75" customHeight="1" x14ac:dyDescent="0.2">
      <c r="A11211" s="21"/>
      <c r="B11211" s="3" t="s">
        <v>9</v>
      </c>
      <c r="C11211" s="23" t="s">
        <v>2102</v>
      </c>
      <c r="D11211" s="21"/>
    </row>
    <row r="11212" spans="1:4" ht="12.75" customHeight="1" x14ac:dyDescent="0.2">
      <c r="A11212" s="21"/>
      <c r="B11212" s="3" t="s">
        <v>11</v>
      </c>
      <c r="C11212" s="23" t="s">
        <v>1372</v>
      </c>
      <c r="D11212" s="21"/>
    </row>
    <row r="11213" spans="1:4" ht="12.75" customHeight="1" x14ac:dyDescent="0.2">
      <c r="A11213" s="21"/>
      <c r="B11213" s="3" t="s">
        <v>16</v>
      </c>
      <c r="C11213" s="23"/>
      <c r="D11213" s="21"/>
    </row>
    <row r="11214" spans="1:4" ht="12.75" customHeight="1" x14ac:dyDescent="0.2">
      <c r="A11214" s="21"/>
      <c r="B11214" s="3" t="s">
        <v>17</v>
      </c>
      <c r="C11214" s="23" t="s">
        <v>19</v>
      </c>
      <c r="D11214" s="21"/>
    </row>
    <row r="11215" spans="1:4" ht="12.75" customHeight="1" x14ac:dyDescent="0.2">
      <c r="A11215" s="21"/>
      <c r="B11215" s="20" t="s">
        <v>18</v>
      </c>
      <c r="C11215" s="8" t="s">
        <v>44</v>
      </c>
      <c r="D11215" s="1" t="str">
        <f>HYPERLINK("javascript:void(0)","dracoacél mokaszin")</f>
        <v>dracoacél mokaszin</v>
      </c>
    </row>
    <row r="11216" spans="1:4" ht="12.75" customHeight="1" x14ac:dyDescent="0.2">
      <c r="A11216" s="21"/>
      <c r="B11216" s="21"/>
      <c r="C11216" s="8" t="s">
        <v>44</v>
      </c>
      <c r="D11216" s="1" t="str">
        <f>HYPERLINK("javascript:void(0)","óriásacél fűző")</f>
        <v>óriásacél fűző</v>
      </c>
    </row>
    <row r="11217" spans="1:4" ht="12.75" customHeight="1" x14ac:dyDescent="0.2">
      <c r="A11217" s="21"/>
      <c r="B11217" s="21"/>
      <c r="C11217" s="8" t="s">
        <v>44</v>
      </c>
      <c r="D11217" s="1" t="str">
        <f>HYPERLINK("javascript:void(0)","elfacél mokaszin")</f>
        <v>elfacél mokaszin</v>
      </c>
    </row>
    <row r="11218" spans="1:4" ht="12.75" customHeight="1" x14ac:dyDescent="0.2">
      <c r="A11218" s="21"/>
      <c r="B11218" s="2"/>
      <c r="C11218" s="7"/>
      <c r="D11218" s="7"/>
    </row>
    <row r="11219" spans="1:4" ht="12.75" customHeight="1" x14ac:dyDescent="0.2">
      <c r="A11219" s="21"/>
      <c r="B11219" s="2"/>
      <c r="C11219" s="7"/>
      <c r="D11219" s="7"/>
    </row>
    <row r="11220" spans="1:4" ht="12.75" customHeight="1" x14ac:dyDescent="0.2">
      <c r="A11220" s="21"/>
      <c r="B11220" s="2"/>
      <c r="C11220" s="7"/>
      <c r="D11220" s="7"/>
    </row>
    <row r="11221" spans="1:4" ht="12.75" customHeight="1" x14ac:dyDescent="0.2">
      <c r="A11221" s="21"/>
      <c r="B11221" s="2"/>
      <c r="C11221" s="7"/>
      <c r="D11221" s="7"/>
    </row>
    <row r="11222" spans="1:4" ht="12.75" customHeight="1" x14ac:dyDescent="0.2">
      <c r="A11222" s="5"/>
      <c r="B11222" s="2"/>
      <c r="C11222" s="7"/>
      <c r="D11222" s="7"/>
    </row>
    <row r="11223" spans="1:4" ht="12.75" customHeight="1" x14ac:dyDescent="0.2">
      <c r="A11223" s="22" t="str">
        <f>HYPERLINK("javascript:void(0)","vulkánporpajzs")</f>
        <v>vulkánporpajzs</v>
      </c>
      <c r="B11223" s="21"/>
      <c r="C11223" s="21"/>
      <c r="D11223" s="21"/>
    </row>
    <row r="11224" spans="1:4" ht="12.75" customHeight="1" x14ac:dyDescent="0.2">
      <c r="A11224" s="20"/>
      <c r="B11224" s="2"/>
      <c r="C11224" s="7"/>
      <c r="D11224" s="7"/>
    </row>
    <row r="11225" spans="1:4" ht="12.75" customHeight="1" x14ac:dyDescent="0.2">
      <c r="A11225" s="21"/>
      <c r="B11225" s="3" t="s">
        <v>0</v>
      </c>
      <c r="C11225" s="23" t="s">
        <v>181</v>
      </c>
      <c r="D11225" s="21"/>
    </row>
    <row r="11226" spans="1:4" ht="12.75" customHeight="1" x14ac:dyDescent="0.2">
      <c r="A11226" s="21"/>
      <c r="B11226" s="3" t="s">
        <v>2</v>
      </c>
      <c r="C11226" s="23" t="s">
        <v>1839</v>
      </c>
      <c r="D11226" s="21"/>
    </row>
    <row r="11227" spans="1:4" ht="12.75" customHeight="1" x14ac:dyDescent="0.2">
      <c r="A11227" s="21"/>
      <c r="B11227" s="3" t="s">
        <v>1840</v>
      </c>
      <c r="C11227" s="23" t="s">
        <v>4720</v>
      </c>
      <c r="D11227" s="21"/>
    </row>
    <row r="11228" spans="1:4" ht="12.75" customHeight="1" x14ac:dyDescent="0.2">
      <c r="A11228" s="21"/>
      <c r="B11228" s="3" t="s">
        <v>9</v>
      </c>
      <c r="C11228" s="23" t="s">
        <v>249</v>
      </c>
      <c r="D11228" s="21"/>
    </row>
    <row r="11229" spans="1:4" ht="12.75" customHeight="1" x14ac:dyDescent="0.2">
      <c r="A11229" s="21"/>
      <c r="B11229" s="3" t="s">
        <v>11</v>
      </c>
      <c r="C11229" s="23" t="s">
        <v>1199</v>
      </c>
      <c r="D11229" s="21"/>
    </row>
    <row r="11230" spans="1:4" ht="12.75" customHeight="1" x14ac:dyDescent="0.2">
      <c r="A11230" s="21"/>
      <c r="B11230" s="3" t="s">
        <v>16</v>
      </c>
      <c r="C11230" s="23"/>
      <c r="D11230" s="21"/>
    </row>
    <row r="11231" spans="1:4" ht="12.75" customHeight="1" x14ac:dyDescent="0.2">
      <c r="A11231" s="21"/>
      <c r="B11231" s="3" t="s">
        <v>17</v>
      </c>
      <c r="C11231" s="23" t="s">
        <v>19</v>
      </c>
      <c r="D11231" s="21"/>
    </row>
    <row r="11232" spans="1:4" ht="12.75" customHeight="1" x14ac:dyDescent="0.2">
      <c r="A11232" s="21"/>
      <c r="B11232" s="20" t="s">
        <v>18</v>
      </c>
      <c r="C11232" s="8" t="s">
        <v>44</v>
      </c>
      <c r="D11232" s="1" t="str">
        <f>HYPERLINK("javascript:void(0)","kerítőpajzs")</f>
        <v>kerítőpajzs</v>
      </c>
    </row>
    <row r="11233" spans="1:4" ht="12.75" customHeight="1" x14ac:dyDescent="0.2">
      <c r="A11233" s="21"/>
      <c r="B11233" s="21"/>
      <c r="C11233" s="8" t="s">
        <v>67</v>
      </c>
      <c r="D11233" s="1" t="str">
        <f>HYPERLINK("javascript:void(0)","magmacsepp")</f>
        <v>magmacsepp</v>
      </c>
    </row>
    <row r="11234" spans="1:4" ht="12.75" customHeight="1" x14ac:dyDescent="0.2">
      <c r="A11234" s="21"/>
      <c r="B11234" s="21"/>
      <c r="C11234" s="8" t="s">
        <v>139</v>
      </c>
      <c r="D11234" s="1" t="str">
        <f>HYPERLINK("javascript:void(0)","ikerkristály")</f>
        <v>ikerkristály</v>
      </c>
    </row>
    <row r="11235" spans="1:4" ht="12.75" customHeight="1" x14ac:dyDescent="0.2">
      <c r="A11235" s="21"/>
      <c r="B11235" s="2"/>
      <c r="C11235" s="7"/>
      <c r="D11235" s="7"/>
    </row>
    <row r="11236" spans="1:4" ht="12.75" customHeight="1" x14ac:dyDescent="0.2">
      <c r="A11236" s="21"/>
      <c r="B11236" s="2"/>
      <c r="C11236" s="7"/>
      <c r="D11236" s="7"/>
    </row>
    <row r="11237" spans="1:4" ht="12.75" customHeight="1" x14ac:dyDescent="0.2">
      <c r="A11237" s="21"/>
      <c r="B11237" s="2"/>
      <c r="C11237" s="7"/>
      <c r="D11237" s="7"/>
    </row>
    <row r="11238" spans="1:4" ht="12.75" customHeight="1" x14ac:dyDescent="0.2">
      <c r="A11238" s="21"/>
      <c r="B11238" s="2"/>
      <c r="C11238" s="7"/>
      <c r="D11238" s="7"/>
    </row>
    <row r="11239" spans="1:4" ht="12.75" customHeight="1" x14ac:dyDescent="0.2">
      <c r="A11239" s="5"/>
      <c r="B11239" s="2"/>
      <c r="C11239" s="7"/>
      <c r="D11239" s="7"/>
    </row>
    <row r="11240" spans="1:4" ht="12.75" customHeight="1" x14ac:dyDescent="0.2">
      <c r="A11240" s="22" t="str">
        <f>HYPERLINK("javascript:void(0)","rézcsillámú szellempajzs")</f>
        <v>rézcsillámú szellempajzs</v>
      </c>
      <c r="B11240" s="21"/>
      <c r="C11240" s="21"/>
      <c r="D11240" s="21"/>
    </row>
    <row r="11241" spans="1:4" ht="12.75" customHeight="1" x14ac:dyDescent="0.2">
      <c r="A11241" s="20"/>
      <c r="B11241" s="2"/>
      <c r="C11241" s="7"/>
      <c r="D11241" s="7"/>
    </row>
    <row r="11242" spans="1:4" ht="12.75" customHeight="1" x14ac:dyDescent="0.2">
      <c r="A11242" s="21"/>
      <c r="B11242" s="3" t="s">
        <v>0</v>
      </c>
      <c r="C11242" s="23" t="s">
        <v>181</v>
      </c>
      <c r="D11242" s="21"/>
    </row>
    <row r="11243" spans="1:4" ht="12.75" customHeight="1" x14ac:dyDescent="0.2">
      <c r="A11243" s="21"/>
      <c r="B11243" s="3" t="s">
        <v>2</v>
      </c>
      <c r="C11243" s="23" t="s">
        <v>1839</v>
      </c>
      <c r="D11243" s="21"/>
    </row>
    <row r="11244" spans="1:4" ht="12.75" customHeight="1" x14ac:dyDescent="0.2">
      <c r="A11244" s="21"/>
      <c r="B11244" s="3" t="s">
        <v>1840</v>
      </c>
      <c r="C11244" s="23" t="s">
        <v>4720</v>
      </c>
      <c r="D11244" s="21"/>
    </row>
    <row r="11245" spans="1:4" ht="12.75" customHeight="1" x14ac:dyDescent="0.2">
      <c r="A11245" s="21"/>
      <c r="B11245" s="3" t="s">
        <v>9</v>
      </c>
      <c r="C11245" s="23" t="s">
        <v>84</v>
      </c>
      <c r="D11245" s="21"/>
    </row>
    <row r="11246" spans="1:4" ht="12.75" customHeight="1" x14ac:dyDescent="0.2">
      <c r="A11246" s="21"/>
      <c r="B11246" s="3" t="s">
        <v>11</v>
      </c>
      <c r="C11246" s="23" t="s">
        <v>1560</v>
      </c>
      <c r="D11246" s="21"/>
    </row>
    <row r="11247" spans="1:4" ht="12.75" customHeight="1" x14ac:dyDescent="0.2">
      <c r="A11247" s="21"/>
      <c r="B11247" s="3" t="s">
        <v>16</v>
      </c>
      <c r="C11247" s="23"/>
      <c r="D11247" s="21"/>
    </row>
    <row r="11248" spans="1:4" ht="12.75" customHeight="1" x14ac:dyDescent="0.2">
      <c r="A11248" s="21"/>
      <c r="B11248" s="3" t="s">
        <v>17</v>
      </c>
      <c r="C11248" s="23" t="s">
        <v>19</v>
      </c>
      <c r="D11248" s="21"/>
    </row>
    <row r="11249" spans="1:4" ht="12.75" customHeight="1" x14ac:dyDescent="0.2">
      <c r="A11249" s="21"/>
      <c r="B11249" s="20" t="s">
        <v>18</v>
      </c>
      <c r="C11249" s="8" t="s">
        <v>44</v>
      </c>
      <c r="D11249" s="1" t="str">
        <f>HYPERLINK("javascript:void(0)","vulkánporpajzs")</f>
        <v>vulkánporpajzs</v>
      </c>
    </row>
    <row r="11250" spans="1:4" ht="12.75" customHeight="1" x14ac:dyDescent="0.2">
      <c r="A11250" s="21"/>
      <c r="B11250" s="21"/>
      <c r="C11250" s="8" t="s">
        <v>98</v>
      </c>
      <c r="D11250" s="1" t="str">
        <f>HYPERLINK("javascript:void(0)","rézrög")</f>
        <v>rézrög</v>
      </c>
    </row>
    <row r="11251" spans="1:4" ht="12.75" customHeight="1" x14ac:dyDescent="0.2">
      <c r="A11251" s="21"/>
      <c r="B11251" s="21"/>
      <c r="C11251" s="8" t="s">
        <v>244</v>
      </c>
      <c r="D11251" s="1" t="str">
        <f>HYPERLINK("javascript:void(0)","lidérclámpás")</f>
        <v>lidérclámpás</v>
      </c>
    </row>
    <row r="11252" spans="1:4" ht="12.75" customHeight="1" x14ac:dyDescent="0.2">
      <c r="A11252" s="21"/>
      <c r="B11252" s="2"/>
      <c r="C11252" s="7"/>
      <c r="D11252" s="7"/>
    </row>
    <row r="11253" spans="1:4" ht="12.75" customHeight="1" x14ac:dyDescent="0.2">
      <c r="A11253" s="21"/>
      <c r="B11253" s="2"/>
      <c r="C11253" s="7"/>
      <c r="D11253" s="7"/>
    </row>
    <row r="11254" spans="1:4" ht="12.75" customHeight="1" x14ac:dyDescent="0.2">
      <c r="A11254" s="21"/>
      <c r="B11254" s="2"/>
      <c r="C11254" s="7"/>
      <c r="D11254" s="7"/>
    </row>
    <row r="11255" spans="1:4" ht="12.75" customHeight="1" x14ac:dyDescent="0.2">
      <c r="A11255" s="21"/>
      <c r="B11255" s="2"/>
      <c r="C11255" s="7"/>
      <c r="D11255" s="7"/>
    </row>
    <row r="11256" spans="1:4" ht="12.75" customHeight="1" x14ac:dyDescent="0.2">
      <c r="A11256" s="5"/>
      <c r="B11256" s="2"/>
      <c r="C11256" s="7"/>
      <c r="D11256" s="7"/>
    </row>
    <row r="11257" spans="1:4" ht="12.75" customHeight="1" x14ac:dyDescent="0.2">
      <c r="A11257" s="22" t="str">
        <f>HYPERLINK("javascript:void(0)","óriásacél fűző")</f>
        <v>óriásacél fűző</v>
      </c>
      <c r="B11257" s="21"/>
      <c r="C11257" s="21"/>
      <c r="D11257" s="21"/>
    </row>
    <row r="11258" spans="1:4" ht="12.75" customHeight="1" x14ac:dyDescent="0.2">
      <c r="A11258" s="20"/>
      <c r="B11258" s="2"/>
      <c r="C11258" s="7"/>
      <c r="D11258" s="7"/>
    </row>
    <row r="11259" spans="1:4" ht="12.75" customHeight="1" x14ac:dyDescent="0.2">
      <c r="A11259" s="21"/>
      <c r="B11259" s="3" t="s">
        <v>0</v>
      </c>
      <c r="C11259" s="23" t="s">
        <v>181</v>
      </c>
      <c r="D11259" s="21"/>
    </row>
    <row r="11260" spans="1:4" ht="12.75" customHeight="1" x14ac:dyDescent="0.2">
      <c r="A11260" s="21"/>
      <c r="B11260" s="3" t="s">
        <v>2</v>
      </c>
      <c r="C11260" s="23"/>
      <c r="D11260" s="21"/>
    </row>
    <row r="11261" spans="1:4" ht="12.75" customHeight="1" x14ac:dyDescent="0.2">
      <c r="A11261" s="21"/>
      <c r="B11261" s="3" t="s">
        <v>1840</v>
      </c>
      <c r="C11261" s="23" t="s">
        <v>417</v>
      </c>
      <c r="D11261" s="21"/>
    </row>
    <row r="11262" spans="1:4" ht="12.75" customHeight="1" x14ac:dyDescent="0.2">
      <c r="A11262" s="21"/>
      <c r="B11262" s="3" t="s">
        <v>9</v>
      </c>
      <c r="C11262" s="23" t="s">
        <v>42</v>
      </c>
      <c r="D11262" s="21"/>
    </row>
    <row r="11263" spans="1:4" ht="12.75" customHeight="1" x14ac:dyDescent="0.2">
      <c r="A11263" s="21"/>
      <c r="B11263" s="3" t="s">
        <v>11</v>
      </c>
      <c r="C11263" s="23" t="s">
        <v>2104</v>
      </c>
      <c r="D11263" s="21"/>
    </row>
    <row r="11264" spans="1:4" ht="12.75" customHeight="1" x14ac:dyDescent="0.2">
      <c r="A11264" s="21"/>
      <c r="B11264" s="3" t="s">
        <v>16</v>
      </c>
      <c r="C11264" s="23"/>
      <c r="D11264" s="21"/>
    </row>
    <row r="11265" spans="1:4" ht="12.75" customHeight="1" x14ac:dyDescent="0.2">
      <c r="A11265" s="21"/>
      <c r="B11265" s="3" t="s">
        <v>17</v>
      </c>
      <c r="C11265" s="23" t="s">
        <v>19</v>
      </c>
      <c r="D11265" s="21"/>
    </row>
    <row r="11266" spans="1:4" ht="12.75" customHeight="1" x14ac:dyDescent="0.2">
      <c r="A11266" s="21"/>
      <c r="B11266" s="20" t="s">
        <v>18</v>
      </c>
      <c r="C11266" s="8" t="s">
        <v>309</v>
      </c>
      <c r="D11266" s="1" t="str">
        <f>HYPERLINK("javascript:void(0)","teleportige")</f>
        <v>teleportige</v>
      </c>
    </row>
    <row r="11267" spans="1:4" ht="12.75" customHeight="1" x14ac:dyDescent="0.2">
      <c r="A11267" s="21"/>
      <c r="B11267" s="21"/>
      <c r="C11267" s="8" t="s">
        <v>68</v>
      </c>
      <c r="D11267" s="1" t="str">
        <f>HYPERLINK("javascript:void(0)","magmacsepp")</f>
        <v>magmacsepp</v>
      </c>
    </row>
    <row r="11268" spans="1:4" ht="12.75" customHeight="1" x14ac:dyDescent="0.2">
      <c r="A11268" s="21"/>
      <c r="B11268" s="21"/>
      <c r="C11268" s="8" t="s">
        <v>67</v>
      </c>
      <c r="D11268" s="1" t="str">
        <f>HYPERLINK("javascript:void(0)","sárkányzsák")</f>
        <v>sárkányzsák</v>
      </c>
    </row>
    <row r="11269" spans="1:4" ht="12.75" customHeight="1" x14ac:dyDescent="0.2">
      <c r="A11269" s="21"/>
      <c r="B11269" s="2"/>
      <c r="C11269" s="7"/>
      <c r="D11269" s="7"/>
    </row>
    <row r="11270" spans="1:4" ht="12.75" customHeight="1" x14ac:dyDescent="0.2">
      <c r="A11270" s="21"/>
      <c r="B11270" s="2"/>
      <c r="C11270" s="7"/>
      <c r="D11270" s="7"/>
    </row>
    <row r="11271" spans="1:4" ht="12.75" customHeight="1" x14ac:dyDescent="0.2">
      <c r="A11271" s="21"/>
      <c r="B11271" s="2"/>
      <c r="C11271" s="7"/>
      <c r="D11271" s="7"/>
    </row>
    <row r="11272" spans="1:4" ht="12.75" customHeight="1" x14ac:dyDescent="0.2">
      <c r="A11272" s="21"/>
      <c r="B11272" s="2"/>
      <c r="C11272" s="7"/>
      <c r="D11272" s="7"/>
    </row>
    <row r="11273" spans="1:4" ht="12.75" customHeight="1" x14ac:dyDescent="0.2">
      <c r="A11273" s="5"/>
      <c r="B11273" s="2"/>
      <c r="C11273" s="7"/>
      <c r="D11273" s="7"/>
    </row>
    <row r="11274" spans="1:4" ht="12.75" customHeight="1" x14ac:dyDescent="0.2">
      <c r="A11274" s="22" t="str">
        <f>HYPERLINK("javascript:void(0)","csillámló óriáspajzs")</f>
        <v>csillámló óriáspajzs</v>
      </c>
      <c r="B11274" s="21"/>
      <c r="C11274" s="21"/>
      <c r="D11274" s="21"/>
    </row>
    <row r="11275" spans="1:4" ht="12.75" customHeight="1" x14ac:dyDescent="0.2">
      <c r="A11275" s="20"/>
      <c r="B11275" s="2"/>
      <c r="C11275" s="7"/>
      <c r="D11275" s="7"/>
    </row>
    <row r="11276" spans="1:4" ht="12.75" customHeight="1" x14ac:dyDescent="0.2">
      <c r="A11276" s="21"/>
      <c r="B11276" s="3" t="s">
        <v>0</v>
      </c>
      <c r="C11276" s="23" t="s">
        <v>181</v>
      </c>
      <c r="D11276" s="21"/>
    </row>
    <row r="11277" spans="1:4" ht="12.75" customHeight="1" x14ac:dyDescent="0.2">
      <c r="A11277" s="21"/>
      <c r="B11277" s="3" t="s">
        <v>2</v>
      </c>
      <c r="C11277" s="23" t="s">
        <v>1839</v>
      </c>
      <c r="D11277" s="21"/>
    </row>
    <row r="11278" spans="1:4" ht="12.75" customHeight="1" x14ac:dyDescent="0.2">
      <c r="A11278" s="21"/>
      <c r="B11278" s="3" t="s">
        <v>1840</v>
      </c>
      <c r="C11278" s="23" t="s">
        <v>2135</v>
      </c>
      <c r="D11278" s="21"/>
    </row>
    <row r="11279" spans="1:4" ht="12.75" customHeight="1" x14ac:dyDescent="0.2">
      <c r="A11279" s="21"/>
      <c r="B11279" s="3" t="s">
        <v>9</v>
      </c>
      <c r="C11279" s="23" t="s">
        <v>2520</v>
      </c>
      <c r="D11279" s="21"/>
    </row>
    <row r="11280" spans="1:4" ht="12.75" customHeight="1" x14ac:dyDescent="0.2">
      <c r="A11280" s="21"/>
      <c r="B11280" s="3" t="s">
        <v>11</v>
      </c>
      <c r="C11280" s="23" t="s">
        <v>1199</v>
      </c>
      <c r="D11280" s="21"/>
    </row>
    <row r="11281" spans="1:4" ht="12.75" customHeight="1" x14ac:dyDescent="0.2">
      <c r="A11281" s="21"/>
      <c r="B11281" s="3" t="s">
        <v>16</v>
      </c>
      <c r="C11281" s="23"/>
      <c r="D11281" s="21"/>
    </row>
    <row r="11282" spans="1:4" ht="12.75" customHeight="1" x14ac:dyDescent="0.2">
      <c r="A11282" s="21"/>
      <c r="B11282" s="3" t="s">
        <v>17</v>
      </c>
      <c r="C11282" s="23" t="s">
        <v>19</v>
      </c>
      <c r="D11282" s="21"/>
    </row>
    <row r="11283" spans="1:4" ht="12.75" customHeight="1" x14ac:dyDescent="0.2">
      <c r="A11283" s="21"/>
      <c r="B11283" s="20" t="s">
        <v>18</v>
      </c>
      <c r="C11283" s="8" t="s">
        <v>57</v>
      </c>
      <c r="D11283" s="1" t="str">
        <f>HYPERLINK("javascript:void(0)","csillámgöb")</f>
        <v>csillámgöb</v>
      </c>
    </row>
    <row r="11284" spans="1:4" ht="12.75" customHeight="1" x14ac:dyDescent="0.2">
      <c r="A11284" s="21"/>
      <c r="B11284" s="21"/>
      <c r="C11284" s="8" t="s">
        <v>44</v>
      </c>
      <c r="D11284" s="1" t="str">
        <f>HYPERLINK("javascript:void(0)","csillámló orkpajzs")</f>
        <v>csillámló orkpajzs</v>
      </c>
    </row>
    <row r="11285" spans="1:4" ht="12.75" customHeight="1" x14ac:dyDescent="0.2">
      <c r="A11285" s="21"/>
      <c r="B11285" s="21"/>
      <c r="C11285" s="8" t="s">
        <v>57</v>
      </c>
      <c r="D11285" s="1" t="str">
        <f>HYPERLINK("javascript:void(0)","smaragdpajzs")</f>
        <v>smaragdpajzs</v>
      </c>
    </row>
    <row r="11286" spans="1:4" ht="12.75" customHeight="1" x14ac:dyDescent="0.2">
      <c r="A11286" s="21"/>
      <c r="B11286" s="2"/>
      <c r="C11286" s="7"/>
      <c r="D11286" s="7"/>
    </row>
    <row r="11287" spans="1:4" ht="12.75" customHeight="1" x14ac:dyDescent="0.2">
      <c r="A11287" s="21"/>
      <c r="B11287" s="2"/>
      <c r="C11287" s="7"/>
      <c r="D11287" s="7"/>
    </row>
    <row r="11288" spans="1:4" ht="12.75" customHeight="1" x14ac:dyDescent="0.2">
      <c r="A11288" s="21"/>
      <c r="B11288" s="2"/>
      <c r="C11288" s="7"/>
      <c r="D11288" s="7"/>
    </row>
    <row r="11289" spans="1:4" ht="12.75" customHeight="1" x14ac:dyDescent="0.2">
      <c r="A11289" s="21"/>
      <c r="B11289" s="2"/>
      <c r="C11289" s="7"/>
      <c r="D11289" s="7"/>
    </row>
    <row r="11290" spans="1:4" ht="12.75" customHeight="1" x14ac:dyDescent="0.2">
      <c r="A11290" s="5"/>
      <c r="B11290" s="2"/>
      <c r="C11290" s="7"/>
      <c r="D11290" s="7"/>
    </row>
    <row r="11291" spans="1:4" ht="12.75" customHeight="1" x14ac:dyDescent="0.2">
      <c r="A11291" s="22" t="str">
        <f>HYPERLINK("javascript:void(0)","csillámló óriáscsizma")</f>
        <v>csillámló óriáscsizma</v>
      </c>
      <c r="B11291" s="21"/>
      <c r="C11291" s="21"/>
      <c r="D11291" s="21"/>
    </row>
    <row r="11292" spans="1:4" ht="12.75" customHeight="1" x14ac:dyDescent="0.2">
      <c r="A11292" s="20"/>
      <c r="B11292" s="2"/>
      <c r="C11292" s="7"/>
      <c r="D11292" s="7"/>
    </row>
    <row r="11293" spans="1:4" ht="12.75" customHeight="1" x14ac:dyDescent="0.2">
      <c r="A11293" s="21"/>
      <c r="B11293" s="3" t="s">
        <v>0</v>
      </c>
      <c r="C11293" s="23" t="s">
        <v>181</v>
      </c>
      <c r="D11293" s="21"/>
    </row>
    <row r="11294" spans="1:4" ht="12.75" customHeight="1" x14ac:dyDescent="0.2">
      <c r="A11294" s="21"/>
      <c r="B11294" s="3" t="s">
        <v>2</v>
      </c>
      <c r="C11294" s="23"/>
      <c r="D11294" s="21"/>
    </row>
    <row r="11295" spans="1:4" ht="12.75" customHeight="1" x14ac:dyDescent="0.2">
      <c r="A11295" s="21"/>
      <c r="B11295" s="3" t="s">
        <v>1840</v>
      </c>
      <c r="C11295" s="23" t="s">
        <v>493</v>
      </c>
      <c r="D11295" s="21"/>
    </row>
    <row r="11296" spans="1:4" ht="12.75" customHeight="1" x14ac:dyDescent="0.2">
      <c r="A11296" s="21"/>
      <c r="B11296" s="3" t="s">
        <v>9</v>
      </c>
      <c r="C11296" s="23" t="s">
        <v>2105</v>
      </c>
      <c r="D11296" s="21"/>
    </row>
    <row r="11297" spans="1:4" ht="12.75" customHeight="1" x14ac:dyDescent="0.2">
      <c r="A11297" s="21"/>
      <c r="B11297" s="3" t="s">
        <v>11</v>
      </c>
      <c r="C11297" s="23" t="s">
        <v>1372</v>
      </c>
      <c r="D11297" s="21"/>
    </row>
    <row r="11298" spans="1:4" ht="12.75" customHeight="1" x14ac:dyDescent="0.2">
      <c r="A11298" s="21"/>
      <c r="B11298" s="3" t="s">
        <v>16</v>
      </c>
      <c r="C11298" s="23"/>
      <c r="D11298" s="21"/>
    </row>
    <row r="11299" spans="1:4" ht="12.75" customHeight="1" x14ac:dyDescent="0.2">
      <c r="A11299" s="21"/>
      <c r="B11299" s="3" t="s">
        <v>17</v>
      </c>
      <c r="C11299" s="23" t="s">
        <v>19</v>
      </c>
      <c r="D11299" s="21"/>
    </row>
    <row r="11300" spans="1:4" ht="12.75" customHeight="1" x14ac:dyDescent="0.2">
      <c r="A11300" s="21"/>
      <c r="B11300" s="20" t="s">
        <v>18</v>
      </c>
      <c r="C11300" s="8" t="s">
        <v>57</v>
      </c>
      <c r="D11300" s="1" t="str">
        <f>HYPERLINK("javascript:void(0)","csillámgöb")</f>
        <v>csillámgöb</v>
      </c>
    </row>
    <row r="11301" spans="1:4" ht="12.75" customHeight="1" x14ac:dyDescent="0.2">
      <c r="A11301" s="21"/>
      <c r="B11301" s="21"/>
      <c r="C11301" s="8" t="s">
        <v>44</v>
      </c>
      <c r="D11301" s="1" t="str">
        <f>HYPERLINK("javascript:void(0)","csillámló orkcsizma")</f>
        <v>csillámló orkcsizma</v>
      </c>
    </row>
    <row r="11302" spans="1:4" ht="12.75" customHeight="1" x14ac:dyDescent="0.2">
      <c r="A11302" s="21"/>
      <c r="B11302" s="21"/>
      <c r="C11302" s="8" t="s">
        <v>232</v>
      </c>
      <c r="D11302" s="1" t="str">
        <f>HYPERLINK("javascript:void(0)","kincsgúla")</f>
        <v>kincsgúla</v>
      </c>
    </row>
    <row r="11303" spans="1:4" ht="12.75" customHeight="1" x14ac:dyDescent="0.2">
      <c r="A11303" s="21"/>
      <c r="B11303" s="2"/>
      <c r="C11303" s="7"/>
      <c r="D11303" s="7"/>
    </row>
    <row r="11304" spans="1:4" ht="12.75" customHeight="1" x14ac:dyDescent="0.2">
      <c r="A11304" s="21"/>
      <c r="B11304" s="2"/>
      <c r="C11304" s="7"/>
      <c r="D11304" s="7"/>
    </row>
    <row r="11305" spans="1:4" ht="12.75" customHeight="1" x14ac:dyDescent="0.2">
      <c r="A11305" s="21"/>
      <c r="B11305" s="2"/>
      <c r="C11305" s="7"/>
      <c r="D11305" s="7"/>
    </row>
    <row r="11306" spans="1:4" ht="12.75" customHeight="1" x14ac:dyDescent="0.2">
      <c r="A11306" s="21"/>
      <c r="B11306" s="2"/>
      <c r="C11306" s="7"/>
      <c r="D11306" s="7"/>
    </row>
    <row r="11307" spans="1:4" ht="12.75" customHeight="1" x14ac:dyDescent="0.2">
      <c r="A11307" s="5"/>
      <c r="B11307" s="2"/>
      <c r="C11307" s="7"/>
      <c r="D11307" s="7"/>
    </row>
    <row r="11308" spans="1:4" ht="12.75" customHeight="1" x14ac:dyDescent="0.2">
      <c r="A11308" s="22" t="str">
        <f>HYPERLINK("javascript:void(0)","csillámos óriássisak")</f>
        <v>csillámos óriássisak</v>
      </c>
      <c r="B11308" s="21"/>
      <c r="C11308" s="21"/>
      <c r="D11308" s="21"/>
    </row>
    <row r="11309" spans="1:4" ht="12.75" customHeight="1" x14ac:dyDescent="0.2">
      <c r="A11309" s="20"/>
      <c r="B11309" s="2"/>
      <c r="C11309" s="7"/>
      <c r="D11309" s="7"/>
    </row>
    <row r="11310" spans="1:4" ht="12.75" customHeight="1" x14ac:dyDescent="0.2">
      <c r="A11310" s="21"/>
      <c r="B11310" s="3" t="s">
        <v>0</v>
      </c>
      <c r="C11310" s="23" t="s">
        <v>181</v>
      </c>
      <c r="D11310" s="21"/>
    </row>
    <row r="11311" spans="1:4" ht="12.75" customHeight="1" x14ac:dyDescent="0.2">
      <c r="A11311" s="21"/>
      <c r="B11311" s="3" t="s">
        <v>2</v>
      </c>
      <c r="C11311" s="23"/>
      <c r="D11311" s="21"/>
    </row>
    <row r="11312" spans="1:4" ht="12.75" customHeight="1" x14ac:dyDescent="0.2">
      <c r="A11312" s="21"/>
      <c r="B11312" s="3" t="s">
        <v>1840</v>
      </c>
      <c r="C11312" s="23" t="s">
        <v>3428</v>
      </c>
      <c r="D11312" s="21"/>
    </row>
    <row r="11313" spans="1:4" ht="12.75" customHeight="1" x14ac:dyDescent="0.2">
      <c r="A11313" s="21"/>
      <c r="B11313" s="3" t="s">
        <v>9</v>
      </c>
      <c r="C11313" s="23" t="s">
        <v>1289</v>
      </c>
      <c r="D11313" s="21"/>
    </row>
    <row r="11314" spans="1:4" ht="12.75" customHeight="1" x14ac:dyDescent="0.2">
      <c r="A11314" s="21"/>
      <c r="B11314" s="3" t="s">
        <v>11</v>
      </c>
      <c r="C11314" s="23" t="s">
        <v>1354</v>
      </c>
      <c r="D11314" s="21"/>
    </row>
    <row r="11315" spans="1:4" ht="12.75" customHeight="1" x14ac:dyDescent="0.2">
      <c r="A11315" s="21"/>
      <c r="B11315" s="3" t="s">
        <v>16</v>
      </c>
      <c r="C11315" s="23"/>
      <c r="D11315" s="21"/>
    </row>
    <row r="11316" spans="1:4" ht="12.75" customHeight="1" x14ac:dyDescent="0.2">
      <c r="A11316" s="21"/>
      <c r="B11316" s="3" t="s">
        <v>17</v>
      </c>
      <c r="C11316" s="23" t="s">
        <v>19</v>
      </c>
      <c r="D11316" s="21"/>
    </row>
    <row r="11317" spans="1:4" ht="12.75" customHeight="1" x14ac:dyDescent="0.2">
      <c r="A11317" s="21"/>
      <c r="B11317" s="20" t="s">
        <v>18</v>
      </c>
      <c r="C11317" s="8" t="s">
        <v>57</v>
      </c>
      <c r="D11317" s="1" t="str">
        <f>HYPERLINK("javascript:void(0)","csillámgöb")</f>
        <v>csillámgöb</v>
      </c>
    </row>
    <row r="11318" spans="1:4" ht="12.75" customHeight="1" x14ac:dyDescent="0.2">
      <c r="A11318" s="21"/>
      <c r="B11318" s="21"/>
      <c r="C11318" s="8" t="s">
        <v>44</v>
      </c>
      <c r="D11318" s="1" t="str">
        <f>HYPERLINK("javascript:void(0)","csillámos orksisak")</f>
        <v>csillámos orksisak</v>
      </c>
    </row>
    <row r="11319" spans="1:4" ht="12.75" customHeight="1" x14ac:dyDescent="0.2">
      <c r="A11319" s="21"/>
      <c r="B11319" s="21"/>
      <c r="C11319" s="8" t="s">
        <v>77</v>
      </c>
      <c r="D11319" s="1" t="str">
        <f>HYPERLINK("javascript:void(0)","óriás korona")</f>
        <v>óriás korona</v>
      </c>
    </row>
    <row r="11320" spans="1:4" ht="12.75" customHeight="1" x14ac:dyDescent="0.2">
      <c r="A11320" s="21"/>
      <c r="B11320" s="2"/>
      <c r="C11320" s="7"/>
      <c r="D11320" s="7"/>
    </row>
    <row r="11321" spans="1:4" ht="12.75" customHeight="1" x14ac:dyDescent="0.2">
      <c r="A11321" s="21"/>
      <c r="B11321" s="2"/>
      <c r="C11321" s="7"/>
      <c r="D11321" s="7"/>
    </row>
    <row r="11322" spans="1:4" ht="12.75" customHeight="1" x14ac:dyDescent="0.2">
      <c r="A11322" s="21"/>
      <c r="B11322" s="2"/>
      <c r="C11322" s="7"/>
      <c r="D11322" s="7"/>
    </row>
    <row r="11323" spans="1:4" ht="12.75" customHeight="1" x14ac:dyDescent="0.2">
      <c r="A11323" s="21"/>
      <c r="B11323" s="2"/>
      <c r="C11323" s="7"/>
      <c r="D11323" s="7"/>
    </row>
    <row r="11324" spans="1:4" ht="12.75" customHeight="1" x14ac:dyDescent="0.2">
      <c r="A11324" s="5"/>
      <c r="B11324" s="2"/>
      <c r="C11324" s="7"/>
      <c r="D11324" s="7"/>
    </row>
    <row r="11325" spans="1:4" ht="12.75" customHeight="1" x14ac:dyDescent="0.2">
      <c r="A11325" s="22" t="str">
        <f>HYPERLINK("javascript:void(0)","csillámló óriáspáncél")</f>
        <v>csillámló óriáspáncél</v>
      </c>
      <c r="B11325" s="21"/>
      <c r="C11325" s="21"/>
      <c r="D11325" s="21"/>
    </row>
    <row r="11326" spans="1:4" ht="12.75" customHeight="1" x14ac:dyDescent="0.2">
      <c r="A11326" s="20"/>
      <c r="B11326" s="2"/>
      <c r="C11326" s="7"/>
      <c r="D11326" s="7"/>
    </row>
    <row r="11327" spans="1:4" ht="12.75" customHeight="1" x14ac:dyDescent="0.2">
      <c r="A11327" s="21"/>
      <c r="B11327" s="3" t="s">
        <v>0</v>
      </c>
      <c r="C11327" s="23" t="s">
        <v>181</v>
      </c>
      <c r="D11327" s="21"/>
    </row>
    <row r="11328" spans="1:4" ht="12.75" customHeight="1" x14ac:dyDescent="0.2">
      <c r="A11328" s="21"/>
      <c r="B11328" s="3" t="s">
        <v>2</v>
      </c>
      <c r="C11328" s="23" t="s">
        <v>2322</v>
      </c>
      <c r="D11328" s="21"/>
    </row>
    <row r="11329" spans="1:4" ht="12.75" customHeight="1" x14ac:dyDescent="0.2">
      <c r="A11329" s="21"/>
      <c r="B11329" s="3" t="s">
        <v>1840</v>
      </c>
      <c r="C11329" s="23" t="s">
        <v>325</v>
      </c>
      <c r="D11329" s="21"/>
    </row>
    <row r="11330" spans="1:4" ht="12.75" customHeight="1" x14ac:dyDescent="0.2">
      <c r="A11330" s="21"/>
      <c r="B11330" s="3" t="s">
        <v>9</v>
      </c>
      <c r="C11330" s="23" t="s">
        <v>2486</v>
      </c>
      <c r="D11330" s="21"/>
    </row>
    <row r="11331" spans="1:4" ht="12.75" customHeight="1" x14ac:dyDescent="0.2">
      <c r="A11331" s="21"/>
      <c r="B11331" s="3" t="s">
        <v>11</v>
      </c>
      <c r="C11331" s="23" t="s">
        <v>1354</v>
      </c>
      <c r="D11331" s="21"/>
    </row>
    <row r="11332" spans="1:4" ht="12.75" customHeight="1" x14ac:dyDescent="0.2">
      <c r="A11332" s="21"/>
      <c r="B11332" s="3" t="s">
        <v>16</v>
      </c>
      <c r="C11332" s="23"/>
      <c r="D11332" s="21"/>
    </row>
    <row r="11333" spans="1:4" ht="12.75" customHeight="1" x14ac:dyDescent="0.2">
      <c r="A11333" s="21"/>
      <c r="B11333" s="3" t="s">
        <v>17</v>
      </c>
      <c r="C11333" s="23" t="s">
        <v>19</v>
      </c>
      <c r="D11333" s="21"/>
    </row>
    <row r="11334" spans="1:4" ht="12.75" customHeight="1" x14ac:dyDescent="0.2">
      <c r="A11334" s="21"/>
      <c r="B11334" s="20" t="s">
        <v>18</v>
      </c>
      <c r="C11334" s="8" t="s">
        <v>57</v>
      </c>
      <c r="D11334" s="1" t="str">
        <f>HYPERLINK("javascript:void(0)","csillámgöb")</f>
        <v>csillámgöb</v>
      </c>
    </row>
    <row r="11335" spans="1:4" ht="12.75" customHeight="1" x14ac:dyDescent="0.2">
      <c r="A11335" s="21"/>
      <c r="B11335" s="21"/>
      <c r="C11335" s="8" t="s">
        <v>44</v>
      </c>
      <c r="D11335" s="1" t="str">
        <f>HYPERLINK("javascript:void(0)","csillámló orkpáncél")</f>
        <v>csillámló orkpáncél</v>
      </c>
    </row>
    <row r="11336" spans="1:4" ht="12.75" customHeight="1" x14ac:dyDescent="0.2">
      <c r="A11336" s="21"/>
      <c r="B11336" s="21"/>
      <c r="C11336" s="8" t="s">
        <v>309</v>
      </c>
      <c r="D11336" s="1" t="str">
        <f>HYPERLINK("javascript:void(0)","robbanófej")</f>
        <v>robbanófej</v>
      </c>
    </row>
    <row r="11337" spans="1:4" ht="12.75" customHeight="1" x14ac:dyDescent="0.2">
      <c r="A11337" s="21"/>
      <c r="B11337" s="2"/>
      <c r="C11337" s="7"/>
      <c r="D11337" s="7"/>
    </row>
    <row r="11338" spans="1:4" ht="12.75" customHeight="1" x14ac:dyDescent="0.2">
      <c r="A11338" s="21"/>
      <c r="B11338" s="2"/>
      <c r="C11338" s="7"/>
      <c r="D11338" s="7"/>
    </row>
    <row r="11339" spans="1:4" ht="12.75" customHeight="1" x14ac:dyDescent="0.2">
      <c r="A11339" s="21"/>
      <c r="B11339" s="2"/>
      <c r="C11339" s="7"/>
      <c r="D11339" s="7"/>
    </row>
    <row r="11340" spans="1:4" ht="12.75" customHeight="1" x14ac:dyDescent="0.2">
      <c r="A11340" s="21"/>
      <c r="B11340" s="2"/>
      <c r="C11340" s="7"/>
      <c r="D11340" s="7"/>
    </row>
    <row r="11341" spans="1:4" ht="12.75" customHeight="1" x14ac:dyDescent="0.2">
      <c r="A11341" s="5"/>
      <c r="B11341" s="2"/>
      <c r="C11341" s="7"/>
      <c r="D11341" s="7"/>
    </row>
    <row r="11342" spans="1:4" ht="12.75" customHeight="1" x14ac:dyDescent="0.2">
      <c r="A11342" s="22" t="str">
        <f>HYPERLINK("javascript:void(0)","teljes óriásacélvért")</f>
        <v>teljes óriásacélvért</v>
      </c>
      <c r="B11342" s="21"/>
      <c r="C11342" s="21"/>
      <c r="D11342" s="21"/>
    </row>
    <row r="11343" spans="1:4" ht="12.75" customHeight="1" x14ac:dyDescent="0.2">
      <c r="A11343" s="20"/>
      <c r="B11343" s="2"/>
      <c r="C11343" s="7"/>
      <c r="D11343" s="7"/>
    </row>
    <row r="11344" spans="1:4" ht="12.75" customHeight="1" x14ac:dyDescent="0.2">
      <c r="A11344" s="21"/>
      <c r="B11344" s="3" t="s">
        <v>0</v>
      </c>
      <c r="C11344" s="23" t="s">
        <v>853</v>
      </c>
      <c r="D11344" s="21"/>
    </row>
    <row r="11345" spans="1:4" ht="12.75" customHeight="1" x14ac:dyDescent="0.2">
      <c r="A11345" s="21"/>
      <c r="B11345" s="3" t="s">
        <v>2</v>
      </c>
      <c r="C11345" s="23" t="s">
        <v>2322</v>
      </c>
      <c r="D11345" s="21"/>
    </row>
    <row r="11346" spans="1:4" ht="12.75" customHeight="1" x14ac:dyDescent="0.2">
      <c r="A11346" s="21"/>
      <c r="B11346" s="3" t="s">
        <v>1840</v>
      </c>
      <c r="C11346" s="23" t="s">
        <v>2487</v>
      </c>
      <c r="D11346" s="21"/>
    </row>
    <row r="11347" spans="1:4" ht="12.75" customHeight="1" x14ac:dyDescent="0.2">
      <c r="A11347" s="21"/>
      <c r="B11347" s="3" t="s">
        <v>9</v>
      </c>
      <c r="C11347" s="23" t="s">
        <v>233</v>
      </c>
      <c r="D11347" s="21"/>
    </row>
    <row r="11348" spans="1:4" ht="12.75" customHeight="1" x14ac:dyDescent="0.2">
      <c r="A11348" s="21"/>
      <c r="B11348" s="3" t="s">
        <v>11</v>
      </c>
      <c r="C11348" s="23" t="s">
        <v>1190</v>
      </c>
      <c r="D11348" s="21"/>
    </row>
    <row r="11349" spans="1:4" ht="12.75" customHeight="1" x14ac:dyDescent="0.2">
      <c r="A11349" s="21"/>
      <c r="B11349" s="3" t="s">
        <v>16</v>
      </c>
      <c r="C11349" s="23"/>
      <c r="D11349" s="21"/>
    </row>
    <row r="11350" spans="1:4" ht="12.75" customHeight="1" x14ac:dyDescent="0.2">
      <c r="A11350" s="21"/>
      <c r="B11350" s="3" t="s">
        <v>17</v>
      </c>
      <c r="C11350" s="23" t="s">
        <v>19</v>
      </c>
      <c r="D11350" s="21"/>
    </row>
    <row r="11351" spans="1:4" ht="12.75" customHeight="1" x14ac:dyDescent="0.2">
      <c r="A11351" s="21"/>
      <c r="B11351" s="20" t="s">
        <v>18</v>
      </c>
      <c r="C11351" s="8" t="s">
        <v>44</v>
      </c>
      <c r="D11351" s="1" t="str">
        <f>HYPERLINK("javascript:void(0)","óriáscsatt")</f>
        <v>óriáscsatt</v>
      </c>
    </row>
    <row r="11352" spans="1:4" ht="12.75" customHeight="1" x14ac:dyDescent="0.2">
      <c r="A11352" s="21"/>
      <c r="B11352" s="21"/>
      <c r="C11352" s="8" t="s">
        <v>44</v>
      </c>
      <c r="D11352" s="1" t="str">
        <f>HYPERLINK("javascript:void(0)","teljes elfacélvért")</f>
        <v>teljes elfacélvért</v>
      </c>
    </row>
    <row r="11353" spans="1:4" ht="12.75" customHeight="1" x14ac:dyDescent="0.2">
      <c r="A11353" s="21"/>
      <c r="B11353" s="21"/>
      <c r="C11353" s="8" t="s">
        <v>44</v>
      </c>
      <c r="D11353" s="1" t="str">
        <f>HYPERLINK("javascript:void(0)","teljes gránitvért")</f>
        <v>teljes gránitvért</v>
      </c>
    </row>
    <row r="11354" spans="1:4" ht="12.75" customHeight="1" x14ac:dyDescent="0.2">
      <c r="A11354" s="21"/>
      <c r="B11354" s="2"/>
      <c r="C11354" s="7"/>
      <c r="D11354" s="7"/>
    </row>
    <row r="11355" spans="1:4" ht="12.75" customHeight="1" x14ac:dyDescent="0.2">
      <c r="A11355" s="21"/>
      <c r="B11355" s="2"/>
      <c r="C11355" s="7"/>
      <c r="D11355" s="7"/>
    </row>
    <row r="11356" spans="1:4" ht="12.75" customHeight="1" x14ac:dyDescent="0.2">
      <c r="A11356" s="21"/>
      <c r="B11356" s="2"/>
      <c r="C11356" s="7"/>
      <c r="D11356" s="7"/>
    </row>
    <row r="11357" spans="1:4" ht="12.75" customHeight="1" x14ac:dyDescent="0.2">
      <c r="A11357" s="21"/>
      <c r="B11357" s="2"/>
      <c r="C11357" s="7"/>
      <c r="D11357" s="7"/>
    </row>
    <row r="11358" spans="1:4" ht="12.75" customHeight="1" x14ac:dyDescent="0.2">
      <c r="A11358" s="5"/>
      <c r="B11358" s="2"/>
      <c r="C11358" s="7"/>
      <c r="D11358" s="7"/>
    </row>
    <row r="11359" spans="1:4" ht="12.75" customHeight="1" x14ac:dyDescent="0.2">
      <c r="A11359" s="22" t="str">
        <f>HYPERLINK("javascript:void(0)","porprémkucsma")</f>
        <v>porprémkucsma</v>
      </c>
      <c r="B11359" s="21"/>
      <c r="C11359" s="21"/>
      <c r="D11359" s="21"/>
    </row>
    <row r="11360" spans="1:4" ht="12.75" customHeight="1" x14ac:dyDescent="0.2">
      <c r="A11360" s="20"/>
      <c r="B11360" s="2"/>
      <c r="C11360" s="7"/>
      <c r="D11360" s="7"/>
    </row>
    <row r="11361" spans="1:4" ht="12.75" customHeight="1" x14ac:dyDescent="0.2">
      <c r="A11361" s="21"/>
      <c r="B11361" s="3" t="s">
        <v>0</v>
      </c>
      <c r="C11361" s="23" t="s">
        <v>853</v>
      </c>
      <c r="D11361" s="21"/>
    </row>
    <row r="11362" spans="1:4" ht="12.75" customHeight="1" x14ac:dyDescent="0.2">
      <c r="A11362" s="21"/>
      <c r="B11362" s="3" t="s">
        <v>2</v>
      </c>
      <c r="C11362" s="23"/>
      <c r="D11362" s="21"/>
    </row>
    <row r="11363" spans="1:4" ht="12.75" customHeight="1" x14ac:dyDescent="0.2">
      <c r="A11363" s="21"/>
      <c r="B11363" s="3" t="s">
        <v>1840</v>
      </c>
      <c r="C11363" s="23" t="s">
        <v>4757</v>
      </c>
      <c r="D11363" s="21"/>
    </row>
    <row r="11364" spans="1:4" ht="12.75" customHeight="1" x14ac:dyDescent="0.2">
      <c r="A11364" s="21"/>
      <c r="B11364" s="3" t="s">
        <v>9</v>
      </c>
      <c r="C11364" s="23" t="s">
        <v>877</v>
      </c>
      <c r="D11364" s="21"/>
    </row>
    <row r="11365" spans="1:4" ht="12.75" customHeight="1" x14ac:dyDescent="0.2">
      <c r="A11365" s="21"/>
      <c r="B11365" s="3" t="s">
        <v>11</v>
      </c>
      <c r="C11365" s="23" t="s">
        <v>1190</v>
      </c>
      <c r="D11365" s="21"/>
    </row>
    <row r="11366" spans="1:4" ht="12.75" customHeight="1" x14ac:dyDescent="0.2">
      <c r="A11366" s="21"/>
      <c r="B11366" s="3" t="s">
        <v>16</v>
      </c>
      <c r="C11366" s="23"/>
      <c r="D11366" s="21"/>
    </row>
    <row r="11367" spans="1:4" ht="12.75" customHeight="1" x14ac:dyDescent="0.2">
      <c r="A11367" s="21"/>
      <c r="B11367" s="3" t="s">
        <v>17</v>
      </c>
      <c r="C11367" s="23" t="s">
        <v>19</v>
      </c>
      <c r="D11367" s="21"/>
    </row>
    <row r="11368" spans="1:4" ht="12.75" customHeight="1" x14ac:dyDescent="0.2">
      <c r="A11368" s="21"/>
      <c r="B11368" s="20" t="s">
        <v>18</v>
      </c>
      <c r="C11368" s="8" t="s">
        <v>132</v>
      </c>
      <c r="D11368" s="1" t="str">
        <f>HYPERLINK("javascript:void(0)","vaskarima")</f>
        <v>vaskarima</v>
      </c>
    </row>
    <row r="11369" spans="1:4" ht="12.75" customHeight="1" x14ac:dyDescent="0.2">
      <c r="A11369" s="21"/>
      <c r="B11369" s="21"/>
      <c r="C11369" s="8" t="s">
        <v>232</v>
      </c>
      <c r="D11369" s="1" t="str">
        <f>HYPERLINK("javascript:void(0)","porszőr")</f>
        <v>porszőr</v>
      </c>
    </row>
    <row r="11370" spans="1:4" ht="12.75" customHeight="1" x14ac:dyDescent="0.2">
      <c r="A11370" s="21"/>
      <c r="B11370" s="21"/>
      <c r="C11370" s="8" t="s">
        <v>67</v>
      </c>
      <c r="D11370" s="1" t="str">
        <f>HYPERLINK("javascript:void(0)","kígyóborda")</f>
        <v>kígyóborda</v>
      </c>
    </row>
    <row r="11371" spans="1:4" ht="12.75" customHeight="1" x14ac:dyDescent="0.2">
      <c r="A11371" s="21"/>
      <c r="B11371" s="2"/>
      <c r="C11371" s="7"/>
      <c r="D11371" s="7"/>
    </row>
    <row r="11372" spans="1:4" ht="12.75" customHeight="1" x14ac:dyDescent="0.2">
      <c r="A11372" s="21"/>
      <c r="B11372" s="2"/>
      <c r="C11372" s="7"/>
      <c r="D11372" s="7"/>
    </row>
    <row r="11373" spans="1:4" ht="12.75" customHeight="1" x14ac:dyDescent="0.2">
      <c r="A11373" s="21"/>
      <c r="B11373" s="2"/>
      <c r="C11373" s="7"/>
      <c r="D11373" s="7"/>
    </row>
    <row r="11374" spans="1:4" ht="12.75" customHeight="1" x14ac:dyDescent="0.2">
      <c r="A11374" s="21"/>
      <c r="B11374" s="2"/>
      <c r="C11374" s="7"/>
      <c r="D11374" s="7"/>
    </row>
    <row r="11375" spans="1:4" ht="12.75" customHeight="1" x14ac:dyDescent="0.2">
      <c r="A11375" s="5"/>
      <c r="B11375" s="2"/>
      <c r="C11375" s="7"/>
      <c r="D11375" s="7"/>
    </row>
    <row r="11376" spans="1:4" ht="12.75" customHeight="1" x14ac:dyDescent="0.2">
      <c r="A11376" s="22" t="str">
        <f>HYPERLINK("javascript:void(0)","démonacél mokaszin")</f>
        <v>démonacél mokaszin</v>
      </c>
      <c r="B11376" s="21"/>
      <c r="C11376" s="21"/>
      <c r="D11376" s="21"/>
    </row>
    <row r="11377" spans="1:4" ht="12.75" customHeight="1" x14ac:dyDescent="0.2">
      <c r="A11377" s="20"/>
      <c r="B11377" s="2"/>
      <c r="C11377" s="7"/>
      <c r="D11377" s="7"/>
    </row>
    <row r="11378" spans="1:4" ht="12.75" customHeight="1" x14ac:dyDescent="0.2">
      <c r="A11378" s="21"/>
      <c r="B11378" s="3" t="s">
        <v>0</v>
      </c>
      <c r="C11378" s="23" t="s">
        <v>853</v>
      </c>
      <c r="D11378" s="21"/>
    </row>
    <row r="11379" spans="1:4" ht="12.75" customHeight="1" x14ac:dyDescent="0.2">
      <c r="A11379" s="21"/>
      <c r="B11379" s="3" t="s">
        <v>2</v>
      </c>
      <c r="C11379" s="23"/>
      <c r="D11379" s="21"/>
    </row>
    <row r="11380" spans="1:4" ht="12.75" customHeight="1" x14ac:dyDescent="0.2">
      <c r="A11380" s="21"/>
      <c r="B11380" s="3" t="s">
        <v>1840</v>
      </c>
      <c r="C11380" s="23" t="s">
        <v>2107</v>
      </c>
      <c r="D11380" s="21"/>
    </row>
    <row r="11381" spans="1:4" ht="12.75" customHeight="1" x14ac:dyDescent="0.2">
      <c r="A11381" s="21"/>
      <c r="B11381" s="3" t="s">
        <v>9</v>
      </c>
      <c r="C11381" s="23" t="s">
        <v>2049</v>
      </c>
      <c r="D11381" s="21"/>
    </row>
    <row r="11382" spans="1:4" ht="12.75" customHeight="1" x14ac:dyDescent="0.2">
      <c r="A11382" s="21"/>
      <c r="B11382" s="3" t="s">
        <v>11</v>
      </c>
      <c r="C11382" s="23" t="s">
        <v>1443</v>
      </c>
      <c r="D11382" s="21"/>
    </row>
    <row r="11383" spans="1:4" ht="12.75" customHeight="1" x14ac:dyDescent="0.2">
      <c r="A11383" s="21"/>
      <c r="B11383" s="3" t="s">
        <v>16</v>
      </c>
      <c r="C11383" s="23"/>
      <c r="D11383" s="21"/>
    </row>
    <row r="11384" spans="1:4" ht="12.75" customHeight="1" x14ac:dyDescent="0.2">
      <c r="A11384" s="21"/>
      <c r="B11384" s="3" t="s">
        <v>17</v>
      </c>
      <c r="C11384" s="23" t="s">
        <v>19</v>
      </c>
      <c r="D11384" s="21"/>
    </row>
    <row r="11385" spans="1:4" ht="12.75" customHeight="1" x14ac:dyDescent="0.2">
      <c r="A11385" s="21"/>
      <c r="B11385" s="20" t="s">
        <v>18</v>
      </c>
      <c r="C11385" s="8" t="s">
        <v>44</v>
      </c>
      <c r="D11385" s="1" t="str">
        <f>HYPERLINK("javascript:void(0)","óriásacél mokaszin")</f>
        <v>óriásacél mokaszin</v>
      </c>
    </row>
    <row r="11386" spans="1:4" ht="12.75" customHeight="1" x14ac:dyDescent="0.2">
      <c r="A11386" s="21"/>
      <c r="B11386" s="21"/>
      <c r="C11386" s="8" t="s">
        <v>327</v>
      </c>
      <c r="D11386" s="1" t="str">
        <f>HYPERLINK("javascript:void(0)","hagymapikkely")</f>
        <v>hagymapikkely</v>
      </c>
    </row>
    <row r="11387" spans="1:4" ht="12.75" customHeight="1" x14ac:dyDescent="0.2">
      <c r="A11387" s="21"/>
      <c r="B11387" s="21"/>
      <c r="C11387" s="8" t="s">
        <v>331</v>
      </c>
      <c r="D11387" s="1" t="str">
        <f>HYPERLINK("javascript:void(0)","démonamulett")</f>
        <v>démonamulett</v>
      </c>
    </row>
    <row r="11388" spans="1:4" ht="12.75" customHeight="1" x14ac:dyDescent="0.2">
      <c r="A11388" s="21"/>
      <c r="B11388" s="2"/>
      <c r="C11388" s="7"/>
      <c r="D11388" s="7"/>
    </row>
    <row r="11389" spans="1:4" ht="12.75" customHeight="1" x14ac:dyDescent="0.2">
      <c r="A11389" s="21"/>
      <c r="B11389" s="2"/>
      <c r="C11389" s="7"/>
      <c r="D11389" s="7"/>
    </row>
    <row r="11390" spans="1:4" ht="12.75" customHeight="1" x14ac:dyDescent="0.2">
      <c r="A11390" s="21"/>
      <c r="B11390" s="2"/>
      <c r="C11390" s="7"/>
      <c r="D11390" s="7"/>
    </row>
    <row r="11391" spans="1:4" ht="12.75" customHeight="1" x14ac:dyDescent="0.2">
      <c r="A11391" s="21"/>
      <c r="B11391" s="2"/>
      <c r="C11391" s="7"/>
      <c r="D11391" s="7"/>
    </row>
    <row r="11392" spans="1:4" ht="12.75" customHeight="1" x14ac:dyDescent="0.2">
      <c r="A11392" s="5"/>
      <c r="B11392" s="2"/>
      <c r="C11392" s="7"/>
      <c r="D11392" s="7"/>
    </row>
    <row r="11393" spans="1:4" ht="12.75" customHeight="1" x14ac:dyDescent="0.2">
      <c r="A11393" s="22" t="str">
        <f>HYPERLINK("javascript:void(0)","vulkánpor testpajzs")</f>
        <v>vulkánpor testpajzs</v>
      </c>
      <c r="B11393" s="21"/>
      <c r="C11393" s="21"/>
      <c r="D11393" s="21"/>
    </row>
    <row r="11394" spans="1:4" ht="12.75" customHeight="1" x14ac:dyDescent="0.2">
      <c r="A11394" s="20"/>
      <c r="B11394" s="2"/>
      <c r="C11394" s="7"/>
      <c r="D11394" s="7"/>
    </row>
    <row r="11395" spans="1:4" ht="12.75" customHeight="1" x14ac:dyDescent="0.2">
      <c r="A11395" s="21"/>
      <c r="B11395" s="3" t="s">
        <v>0</v>
      </c>
      <c r="C11395" s="23" t="s">
        <v>853</v>
      </c>
      <c r="D11395" s="21"/>
    </row>
    <row r="11396" spans="1:4" ht="12.75" customHeight="1" x14ac:dyDescent="0.2">
      <c r="A11396" s="21"/>
      <c r="B11396" s="3" t="s">
        <v>2</v>
      </c>
      <c r="C11396" s="23" t="s">
        <v>1839</v>
      </c>
      <c r="D11396" s="21"/>
    </row>
    <row r="11397" spans="1:4" ht="12.75" customHeight="1" x14ac:dyDescent="0.2">
      <c r="A11397" s="21"/>
      <c r="B11397" s="3" t="s">
        <v>1840</v>
      </c>
      <c r="C11397" s="23" t="s">
        <v>4769</v>
      </c>
      <c r="D11397" s="21"/>
    </row>
    <row r="11398" spans="1:4" ht="12.75" customHeight="1" x14ac:dyDescent="0.2">
      <c r="A11398" s="21"/>
      <c r="B11398" s="3" t="s">
        <v>9</v>
      </c>
      <c r="C11398" s="23" t="s">
        <v>262</v>
      </c>
      <c r="D11398" s="21"/>
    </row>
    <row r="11399" spans="1:4" ht="12.75" customHeight="1" x14ac:dyDescent="0.2">
      <c r="A11399" s="21"/>
      <c r="B11399" s="3" t="s">
        <v>11</v>
      </c>
      <c r="C11399" s="23" t="s">
        <v>1472</v>
      </c>
      <c r="D11399" s="21"/>
    </row>
    <row r="11400" spans="1:4" ht="12.75" customHeight="1" x14ac:dyDescent="0.2">
      <c r="A11400" s="21"/>
      <c r="B11400" s="3" t="s">
        <v>16</v>
      </c>
      <c r="C11400" s="23"/>
      <c r="D11400" s="21"/>
    </row>
    <row r="11401" spans="1:4" ht="12.75" customHeight="1" x14ac:dyDescent="0.2">
      <c r="A11401" s="21"/>
      <c r="B11401" s="3" t="s">
        <v>17</v>
      </c>
      <c r="C11401" s="23" t="s">
        <v>19</v>
      </c>
      <c r="D11401" s="21"/>
    </row>
    <row r="11402" spans="1:4" ht="12.75" customHeight="1" x14ac:dyDescent="0.2">
      <c r="A11402" s="21"/>
      <c r="B11402" s="20" t="s">
        <v>18</v>
      </c>
      <c r="C11402" s="8" t="s">
        <v>44</v>
      </c>
      <c r="D11402" s="1" t="str">
        <f>HYPERLINK("javascript:void(0)","kerítő testpajzs")</f>
        <v>kerítő testpajzs</v>
      </c>
    </row>
    <row r="11403" spans="1:4" ht="12.75" customHeight="1" x14ac:dyDescent="0.2">
      <c r="A11403" s="21"/>
      <c r="B11403" s="21"/>
      <c r="C11403" s="8" t="s">
        <v>98</v>
      </c>
      <c r="D11403" s="1" t="str">
        <f>HYPERLINK("javascript:void(0)","cerka")</f>
        <v>cerka</v>
      </c>
    </row>
    <row r="11404" spans="1:4" ht="12.75" customHeight="1" x14ac:dyDescent="0.2">
      <c r="A11404" s="21"/>
      <c r="B11404" s="21"/>
      <c r="C11404" s="8" t="s">
        <v>67</v>
      </c>
      <c r="D11404" s="1" t="str">
        <f>HYPERLINK("javascript:void(0)","porszőr")</f>
        <v>porszőr</v>
      </c>
    </row>
    <row r="11405" spans="1:4" ht="12.75" customHeight="1" x14ac:dyDescent="0.2">
      <c r="A11405" s="21"/>
      <c r="B11405" s="2"/>
      <c r="C11405" s="7"/>
      <c r="D11405" s="7"/>
    </row>
    <row r="11406" spans="1:4" ht="12.75" customHeight="1" x14ac:dyDescent="0.2">
      <c r="A11406" s="21"/>
      <c r="B11406" s="2"/>
      <c r="C11406" s="7"/>
      <c r="D11406" s="7"/>
    </row>
    <row r="11407" spans="1:4" ht="12.75" customHeight="1" x14ac:dyDescent="0.2">
      <c r="A11407" s="21"/>
      <c r="B11407" s="2"/>
      <c r="C11407" s="7"/>
      <c r="D11407" s="7"/>
    </row>
    <row r="11408" spans="1:4" ht="12.75" customHeight="1" x14ac:dyDescent="0.2">
      <c r="A11408" s="21"/>
      <c r="B11408" s="2"/>
      <c r="C11408" s="7"/>
      <c r="D11408" s="7"/>
    </row>
    <row r="11409" spans="1:4" ht="12.75" customHeight="1" x14ac:dyDescent="0.2">
      <c r="A11409" s="5"/>
      <c r="B11409" s="2"/>
      <c r="C11409" s="7"/>
      <c r="D11409" s="7"/>
    </row>
    <row r="11410" spans="1:4" ht="12.75" customHeight="1" x14ac:dyDescent="0.2">
      <c r="A11410" s="22" t="str">
        <f>HYPERLINK("javascript:void(0)","vashálós szellempajzs")</f>
        <v>vashálós szellempajzs</v>
      </c>
      <c r="B11410" s="21"/>
      <c r="C11410" s="21"/>
      <c r="D11410" s="21"/>
    </row>
    <row r="11411" spans="1:4" ht="12.75" customHeight="1" x14ac:dyDescent="0.2">
      <c r="A11411" s="20"/>
      <c r="B11411" s="2"/>
      <c r="C11411" s="7"/>
      <c r="D11411" s="7"/>
    </row>
    <row r="11412" spans="1:4" ht="12.75" customHeight="1" x14ac:dyDescent="0.2">
      <c r="A11412" s="21"/>
      <c r="B11412" s="3" t="s">
        <v>0</v>
      </c>
      <c r="C11412" s="23" t="s">
        <v>853</v>
      </c>
      <c r="D11412" s="21"/>
    </row>
    <row r="11413" spans="1:4" ht="12.75" customHeight="1" x14ac:dyDescent="0.2">
      <c r="A11413" s="21"/>
      <c r="B11413" s="3" t="s">
        <v>2</v>
      </c>
      <c r="C11413" s="23" t="s">
        <v>1839</v>
      </c>
      <c r="D11413" s="21"/>
    </row>
    <row r="11414" spans="1:4" ht="12.75" customHeight="1" x14ac:dyDescent="0.2">
      <c r="A11414" s="21"/>
      <c r="B11414" s="3" t="s">
        <v>1840</v>
      </c>
      <c r="C11414" s="23" t="s">
        <v>4769</v>
      </c>
      <c r="D11414" s="21"/>
    </row>
    <row r="11415" spans="1:4" ht="12.75" customHeight="1" x14ac:dyDescent="0.2">
      <c r="A11415" s="21"/>
      <c r="B11415" s="3" t="s">
        <v>9</v>
      </c>
      <c r="C11415" s="23" t="s">
        <v>678</v>
      </c>
      <c r="D11415" s="21"/>
    </row>
    <row r="11416" spans="1:4" ht="12.75" customHeight="1" x14ac:dyDescent="0.2">
      <c r="A11416" s="21"/>
      <c r="B11416" s="3" t="s">
        <v>11</v>
      </c>
      <c r="C11416" s="23" t="s">
        <v>1477</v>
      </c>
      <c r="D11416" s="21"/>
    </row>
    <row r="11417" spans="1:4" ht="12.75" customHeight="1" x14ac:dyDescent="0.2">
      <c r="A11417" s="21"/>
      <c r="B11417" s="3" t="s">
        <v>16</v>
      </c>
      <c r="C11417" s="23"/>
      <c r="D11417" s="21"/>
    </row>
    <row r="11418" spans="1:4" ht="12.75" customHeight="1" x14ac:dyDescent="0.2">
      <c r="A11418" s="21"/>
      <c r="B11418" s="3" t="s">
        <v>17</v>
      </c>
      <c r="C11418" s="23" t="s">
        <v>19</v>
      </c>
      <c r="D11418" s="21"/>
    </row>
    <row r="11419" spans="1:4" ht="12.75" customHeight="1" x14ac:dyDescent="0.2">
      <c r="A11419" s="21"/>
      <c r="B11419" s="20" t="s">
        <v>18</v>
      </c>
      <c r="C11419" s="8" t="s">
        <v>44</v>
      </c>
      <c r="D11419" s="1" t="str">
        <f>HYPERLINK("javascript:void(0)","vulkánpor testpajzs")</f>
        <v>vulkánpor testpajzs</v>
      </c>
    </row>
    <row r="11420" spans="1:4" ht="12.75" customHeight="1" x14ac:dyDescent="0.2">
      <c r="A11420" s="21"/>
      <c r="B11420" s="21"/>
      <c r="C11420" s="8" t="s">
        <v>228</v>
      </c>
      <c r="D11420" s="1" t="str">
        <f>HYPERLINK("javascript:void(0)","vasrög")</f>
        <v>vasrög</v>
      </c>
    </row>
    <row r="11421" spans="1:4" ht="12.75" customHeight="1" x14ac:dyDescent="0.2">
      <c r="A11421" s="21"/>
      <c r="B11421" s="21"/>
      <c r="C11421" s="8" t="s">
        <v>132</v>
      </c>
      <c r="D11421" s="1" t="str">
        <f>HYPERLINK("javascript:void(0)","démonamulett")</f>
        <v>démonamulett</v>
      </c>
    </row>
    <row r="11422" spans="1:4" ht="12.75" customHeight="1" x14ac:dyDescent="0.2">
      <c r="A11422" s="21"/>
      <c r="B11422" s="2"/>
      <c r="C11422" s="7"/>
      <c r="D11422" s="7"/>
    </row>
    <row r="11423" spans="1:4" ht="12.75" customHeight="1" x14ac:dyDescent="0.2">
      <c r="A11423" s="21"/>
      <c r="B11423" s="2"/>
      <c r="C11423" s="7"/>
      <c r="D11423" s="7"/>
    </row>
    <row r="11424" spans="1:4" ht="12.75" customHeight="1" x14ac:dyDescent="0.2">
      <c r="A11424" s="21"/>
      <c r="B11424" s="2"/>
      <c r="C11424" s="7"/>
      <c r="D11424" s="7"/>
    </row>
    <row r="11425" spans="1:4" ht="12.75" customHeight="1" x14ac:dyDescent="0.2">
      <c r="A11425" s="21"/>
      <c r="B11425" s="2"/>
      <c r="C11425" s="7"/>
      <c r="D11425" s="7"/>
    </row>
    <row r="11426" spans="1:4" ht="12.75" customHeight="1" x14ac:dyDescent="0.2">
      <c r="A11426" s="5"/>
      <c r="B11426" s="2"/>
      <c r="C11426" s="7"/>
      <c r="D11426" s="7"/>
    </row>
    <row r="11427" spans="1:4" ht="12.75" customHeight="1" x14ac:dyDescent="0.2">
      <c r="A11427" s="22" t="str">
        <f>HYPERLINK("javascript:void(0)","óriáscsatt")</f>
        <v>óriáscsatt</v>
      </c>
      <c r="B11427" s="21"/>
      <c r="C11427" s="21"/>
      <c r="D11427" s="21"/>
    </row>
    <row r="11428" spans="1:4" ht="12.75" customHeight="1" x14ac:dyDescent="0.2">
      <c r="A11428" s="20"/>
      <c r="B11428" s="2"/>
      <c r="C11428" s="7"/>
      <c r="D11428" s="7"/>
    </row>
    <row r="11429" spans="1:4" ht="12.75" customHeight="1" x14ac:dyDescent="0.2">
      <c r="A11429" s="21"/>
      <c r="B11429" s="3" t="s">
        <v>0</v>
      </c>
      <c r="C11429" s="23" t="s">
        <v>853</v>
      </c>
      <c r="D11429" s="21"/>
    </row>
    <row r="11430" spans="1:4" ht="12.75" customHeight="1" x14ac:dyDescent="0.2">
      <c r="A11430" s="21"/>
      <c r="B11430" s="3" t="s">
        <v>2</v>
      </c>
      <c r="C11430" s="23" t="s">
        <v>2322</v>
      </c>
      <c r="D11430" s="21"/>
    </row>
    <row r="11431" spans="1:4" ht="12.75" customHeight="1" x14ac:dyDescent="0.2">
      <c r="A11431" s="21"/>
      <c r="B11431" s="3" t="s">
        <v>1840</v>
      </c>
      <c r="C11431" s="23" t="s">
        <v>115</v>
      </c>
      <c r="D11431" s="21"/>
    </row>
    <row r="11432" spans="1:4" ht="12.75" customHeight="1" x14ac:dyDescent="0.2">
      <c r="A11432" s="21"/>
      <c r="B11432" s="3" t="s">
        <v>9</v>
      </c>
      <c r="C11432" s="23" t="s">
        <v>42</v>
      </c>
      <c r="D11432" s="21"/>
    </row>
    <row r="11433" spans="1:4" ht="12.75" customHeight="1" x14ac:dyDescent="0.2">
      <c r="A11433" s="21"/>
      <c r="B11433" s="3" t="s">
        <v>11</v>
      </c>
      <c r="C11433" s="23" t="s">
        <v>2488</v>
      </c>
      <c r="D11433" s="21"/>
    </row>
    <row r="11434" spans="1:4" ht="12.75" customHeight="1" x14ac:dyDescent="0.2">
      <c r="A11434" s="21"/>
      <c r="B11434" s="3" t="s">
        <v>16</v>
      </c>
      <c r="C11434" s="23"/>
      <c r="D11434" s="21"/>
    </row>
    <row r="11435" spans="1:4" ht="12.75" customHeight="1" x14ac:dyDescent="0.2">
      <c r="A11435" s="21"/>
      <c r="B11435" s="3" t="s">
        <v>17</v>
      </c>
      <c r="C11435" s="23" t="s">
        <v>19</v>
      </c>
      <c r="D11435" s="21"/>
    </row>
    <row r="11436" spans="1:4" ht="12.75" customHeight="1" x14ac:dyDescent="0.2">
      <c r="A11436" s="21"/>
      <c r="B11436" s="20" t="s">
        <v>18</v>
      </c>
      <c r="C11436" s="8" t="s">
        <v>67</v>
      </c>
      <c r="D11436" s="1" t="str">
        <f>HYPERLINK("javascript:void(0)","démonamulett")</f>
        <v>démonamulett</v>
      </c>
    </row>
    <row r="11437" spans="1:4" ht="12.75" customHeight="1" x14ac:dyDescent="0.2">
      <c r="A11437" s="21"/>
      <c r="B11437" s="21"/>
      <c r="C11437" s="8" t="s">
        <v>67</v>
      </c>
      <c r="D11437" s="1" t="str">
        <f>HYPERLINK("javascript:void(0)","monsztabéklyó")</f>
        <v>monsztabéklyó</v>
      </c>
    </row>
    <row r="11438" spans="1:4" ht="12.75" customHeight="1" x14ac:dyDescent="0.2">
      <c r="A11438" s="21"/>
      <c r="B11438" s="21"/>
      <c r="C11438" s="8" t="s">
        <v>269</v>
      </c>
      <c r="D11438" s="1" t="str">
        <f>HYPERLINK("javascript:void(0)","csapdaszeg")</f>
        <v>csapdaszeg</v>
      </c>
    </row>
    <row r="11439" spans="1:4" ht="12.75" customHeight="1" x14ac:dyDescent="0.2">
      <c r="A11439" s="21"/>
      <c r="B11439" s="2"/>
      <c r="C11439" s="7"/>
      <c r="D11439" s="7"/>
    </row>
    <row r="11440" spans="1:4" ht="12.75" customHeight="1" x14ac:dyDescent="0.2">
      <c r="A11440" s="21"/>
      <c r="B11440" s="2"/>
      <c r="C11440" s="7"/>
      <c r="D11440" s="7"/>
    </row>
    <row r="11441" spans="1:4" ht="12.75" customHeight="1" x14ac:dyDescent="0.2">
      <c r="A11441" s="21"/>
      <c r="B11441" s="2"/>
      <c r="C11441" s="7"/>
      <c r="D11441" s="7"/>
    </row>
    <row r="11442" spans="1:4" ht="12.75" customHeight="1" x14ac:dyDescent="0.2">
      <c r="A11442" s="21"/>
      <c r="B11442" s="2"/>
      <c r="C11442" s="7"/>
      <c r="D11442" s="7"/>
    </row>
    <row r="11443" spans="1:4" ht="12.75" customHeight="1" x14ac:dyDescent="0.2">
      <c r="A11443" s="5"/>
      <c r="B11443" s="2"/>
      <c r="C11443" s="7"/>
      <c r="D11443" s="7"/>
    </row>
    <row r="11444" spans="1:4" ht="12.75" customHeight="1" x14ac:dyDescent="0.2">
      <c r="A11444" s="22" t="str">
        <f>HYPERLINK("javascript:void(0)","skivei manasisak")</f>
        <v>skivei manasisak</v>
      </c>
      <c r="B11444" s="21"/>
      <c r="C11444" s="21"/>
      <c r="D11444" s="21"/>
    </row>
    <row r="11445" spans="1:4" ht="12.75" customHeight="1" x14ac:dyDescent="0.2">
      <c r="A11445" s="20"/>
      <c r="B11445" s="2"/>
      <c r="C11445" s="7"/>
      <c r="D11445" s="7"/>
    </row>
    <row r="11446" spans="1:4" ht="12.75" customHeight="1" x14ac:dyDescent="0.2">
      <c r="A11446" s="21"/>
      <c r="B11446" s="3" t="s">
        <v>0</v>
      </c>
      <c r="C11446" s="23" t="s">
        <v>853</v>
      </c>
      <c r="D11446" s="21"/>
    </row>
    <row r="11447" spans="1:4" ht="12.75" customHeight="1" x14ac:dyDescent="0.2">
      <c r="A11447" s="21"/>
      <c r="B11447" s="3" t="s">
        <v>2</v>
      </c>
      <c r="C11447" s="23"/>
      <c r="D11447" s="21"/>
    </row>
    <row r="11448" spans="1:4" ht="12.75" customHeight="1" x14ac:dyDescent="0.2">
      <c r="A11448" s="21"/>
      <c r="B11448" s="3" t="s">
        <v>1840</v>
      </c>
      <c r="C11448" s="23" t="s">
        <v>1270</v>
      </c>
      <c r="D11448" s="21"/>
    </row>
    <row r="11449" spans="1:4" ht="12.75" customHeight="1" x14ac:dyDescent="0.2">
      <c r="A11449" s="21"/>
      <c r="B11449" s="3" t="s">
        <v>9</v>
      </c>
      <c r="C11449" s="23" t="s">
        <v>2273</v>
      </c>
      <c r="D11449" s="21"/>
    </row>
    <row r="11450" spans="1:4" ht="12.75" customHeight="1" x14ac:dyDescent="0.2">
      <c r="A11450" s="21"/>
      <c r="B11450" s="3" t="s">
        <v>11</v>
      </c>
      <c r="C11450" s="23" t="s">
        <v>973</v>
      </c>
      <c r="D11450" s="21"/>
    </row>
    <row r="11451" spans="1:4" ht="12.75" customHeight="1" x14ac:dyDescent="0.2">
      <c r="A11451" s="21"/>
      <c r="B11451" s="3" t="s">
        <v>16</v>
      </c>
      <c r="C11451" s="23"/>
      <c r="D11451" s="21"/>
    </row>
    <row r="11452" spans="1:4" ht="12.75" customHeight="1" x14ac:dyDescent="0.2">
      <c r="A11452" s="21"/>
      <c r="B11452" s="3" t="s">
        <v>17</v>
      </c>
      <c r="C11452" s="23" t="s">
        <v>19</v>
      </c>
      <c r="D11452" s="21"/>
    </row>
    <row r="11453" spans="1:4" ht="12.75" customHeight="1" x14ac:dyDescent="0.2">
      <c r="A11453" s="21"/>
      <c r="B11453" s="20" t="s">
        <v>18</v>
      </c>
      <c r="C11453" s="8" t="s">
        <v>44</v>
      </c>
      <c r="D11453" s="1" t="str">
        <f>HYPERLINK("javascript:void(0)","helioacél manasisak")</f>
        <v>helioacél manasisak</v>
      </c>
    </row>
    <row r="11454" spans="1:4" ht="12.75" customHeight="1" x14ac:dyDescent="0.2">
      <c r="A11454" s="21"/>
      <c r="B11454" s="21"/>
      <c r="C11454" s="8" t="s">
        <v>132</v>
      </c>
      <c r="D11454" s="1" t="str">
        <f>HYPERLINK("javascript:void(0)","porszőr")</f>
        <v>porszőr</v>
      </c>
    </row>
    <row r="11455" spans="1:4" ht="12.75" customHeight="1" x14ac:dyDescent="0.2">
      <c r="A11455" s="21"/>
      <c r="B11455" s="21"/>
      <c r="C11455" s="8" t="s">
        <v>139</v>
      </c>
      <c r="D11455" s="1" t="str">
        <f>HYPERLINK("javascript:void(0)","csigaszem")</f>
        <v>csigaszem</v>
      </c>
    </row>
    <row r="11456" spans="1:4" ht="12.75" customHeight="1" x14ac:dyDescent="0.2">
      <c r="A11456" s="21"/>
      <c r="B11456" s="2"/>
      <c r="C11456" s="7"/>
      <c r="D11456" s="7"/>
    </row>
    <row r="11457" spans="1:4" ht="12.75" customHeight="1" x14ac:dyDescent="0.2">
      <c r="A11457" s="21"/>
      <c r="B11457" s="2"/>
      <c r="C11457" s="7"/>
      <c r="D11457" s="7"/>
    </row>
    <row r="11458" spans="1:4" ht="12.75" customHeight="1" x14ac:dyDescent="0.2">
      <c r="A11458" s="21"/>
      <c r="B11458" s="2"/>
      <c r="C11458" s="7"/>
      <c r="D11458" s="7"/>
    </row>
    <row r="11459" spans="1:4" ht="12.75" customHeight="1" x14ac:dyDescent="0.2">
      <c r="A11459" s="21"/>
      <c r="B11459" s="2"/>
      <c r="C11459" s="7"/>
      <c r="D11459" s="7"/>
    </row>
    <row r="11460" spans="1:4" ht="12.75" customHeight="1" x14ac:dyDescent="0.2">
      <c r="A11460" s="5"/>
      <c r="B11460" s="2"/>
      <c r="C11460" s="7"/>
      <c r="D11460" s="7"/>
    </row>
    <row r="11461" spans="1:4" ht="12.75" customHeight="1" x14ac:dyDescent="0.2">
      <c r="A11461" s="22" t="str">
        <f>HYPERLINK("javascript:void(0)","skivei manafejpánt")</f>
        <v>skivei manafejpánt</v>
      </c>
      <c r="B11461" s="21"/>
      <c r="C11461" s="21"/>
      <c r="D11461" s="21"/>
    </row>
    <row r="11462" spans="1:4" ht="12.75" customHeight="1" x14ac:dyDescent="0.2">
      <c r="A11462" s="20"/>
      <c r="B11462" s="2"/>
      <c r="C11462" s="7"/>
      <c r="D11462" s="7"/>
    </row>
    <row r="11463" spans="1:4" ht="12.75" customHeight="1" x14ac:dyDescent="0.2">
      <c r="A11463" s="21"/>
      <c r="B11463" s="3" t="s">
        <v>0</v>
      </c>
      <c r="C11463" s="23" t="s">
        <v>853</v>
      </c>
      <c r="D11463" s="21"/>
    </row>
    <row r="11464" spans="1:4" ht="12.75" customHeight="1" x14ac:dyDescent="0.2">
      <c r="A11464" s="21"/>
      <c r="B11464" s="3" t="s">
        <v>2</v>
      </c>
      <c r="C11464" s="23"/>
      <c r="D11464" s="21"/>
    </row>
    <row r="11465" spans="1:4" ht="12.75" customHeight="1" x14ac:dyDescent="0.2">
      <c r="A11465" s="21"/>
      <c r="B11465" s="3" t="s">
        <v>1840</v>
      </c>
      <c r="C11465" s="23" t="s">
        <v>376</v>
      </c>
      <c r="D11465" s="21"/>
    </row>
    <row r="11466" spans="1:4" ht="12.75" customHeight="1" x14ac:dyDescent="0.2">
      <c r="A11466" s="21"/>
      <c r="B11466" s="3" t="s">
        <v>9</v>
      </c>
      <c r="C11466" s="23" t="s">
        <v>1112</v>
      </c>
      <c r="D11466" s="21"/>
    </row>
    <row r="11467" spans="1:4" ht="12.75" customHeight="1" x14ac:dyDescent="0.2">
      <c r="A11467" s="21"/>
      <c r="B11467" s="3" t="s">
        <v>11</v>
      </c>
      <c r="C11467" s="23" t="s">
        <v>973</v>
      </c>
      <c r="D11467" s="21"/>
    </row>
    <row r="11468" spans="1:4" ht="12.75" customHeight="1" x14ac:dyDescent="0.2">
      <c r="A11468" s="21"/>
      <c r="B11468" s="3" t="s">
        <v>16</v>
      </c>
      <c r="C11468" s="23"/>
      <c r="D11468" s="21"/>
    </row>
    <row r="11469" spans="1:4" ht="12.75" customHeight="1" x14ac:dyDescent="0.2">
      <c r="A11469" s="21"/>
      <c r="B11469" s="3" t="s">
        <v>17</v>
      </c>
      <c r="C11469" s="23" t="s">
        <v>19</v>
      </c>
      <c r="D11469" s="21"/>
    </row>
    <row r="11470" spans="1:4" ht="12.75" customHeight="1" x14ac:dyDescent="0.2">
      <c r="A11470" s="21"/>
      <c r="B11470" s="20" t="s">
        <v>18</v>
      </c>
      <c r="C11470" s="8" t="s">
        <v>2005</v>
      </c>
      <c r="D11470" s="1" t="str">
        <f>HYPERLINK("javascript:void(0)","vitorla")</f>
        <v>vitorla</v>
      </c>
    </row>
    <row r="11471" spans="1:4" ht="25.5" customHeight="1" x14ac:dyDescent="0.2">
      <c r="A11471" s="21"/>
      <c r="B11471" s="21"/>
      <c r="C11471" s="8" t="s">
        <v>44</v>
      </c>
      <c r="D11471" s="1" t="str">
        <f>HYPERLINK("javascript:void(0)","helioacél manafejpánt")</f>
        <v>helioacél manafejpánt</v>
      </c>
    </row>
    <row r="11472" spans="1:4" ht="12.75" customHeight="1" x14ac:dyDescent="0.2">
      <c r="A11472" s="21"/>
      <c r="B11472" s="21"/>
      <c r="C11472" s="8" t="s">
        <v>102</v>
      </c>
      <c r="D11472" s="1" t="str">
        <f>HYPERLINK("javascript:void(0)","démonamulett")</f>
        <v>démonamulett</v>
      </c>
    </row>
    <row r="11473" spans="1:4" ht="12.75" customHeight="1" x14ac:dyDescent="0.2">
      <c r="A11473" s="21"/>
      <c r="B11473" s="2"/>
      <c r="C11473" s="7"/>
      <c r="D11473" s="7"/>
    </row>
    <row r="11474" spans="1:4" ht="12.75" customHeight="1" x14ac:dyDescent="0.2">
      <c r="A11474" s="21"/>
      <c r="B11474" s="2"/>
      <c r="C11474" s="7"/>
      <c r="D11474" s="7"/>
    </row>
    <row r="11475" spans="1:4" ht="12.75" customHeight="1" x14ac:dyDescent="0.2">
      <c r="A11475" s="21"/>
      <c r="B11475" s="2"/>
      <c r="C11475" s="7"/>
      <c r="D11475" s="7"/>
    </row>
    <row r="11476" spans="1:4" ht="12.75" customHeight="1" x14ac:dyDescent="0.2">
      <c r="A11476" s="21"/>
      <c r="B11476" s="2"/>
      <c r="C11476" s="7"/>
      <c r="D11476" s="7"/>
    </row>
    <row r="11477" spans="1:4" ht="12.75" customHeight="1" x14ac:dyDescent="0.2">
      <c r="A11477" s="5"/>
      <c r="B11477" s="2"/>
      <c r="C11477" s="7"/>
      <c r="D11477" s="7"/>
    </row>
    <row r="11478" spans="1:4" ht="12.75" customHeight="1" x14ac:dyDescent="0.2">
      <c r="A11478" s="22" t="str">
        <f>HYPERLINK("javascript:void(0)","teljes kentacélvért")</f>
        <v>teljes kentacélvért</v>
      </c>
      <c r="B11478" s="21"/>
      <c r="C11478" s="21"/>
      <c r="D11478" s="21"/>
    </row>
    <row r="11479" spans="1:4" ht="12.75" customHeight="1" x14ac:dyDescent="0.2">
      <c r="A11479" s="20"/>
      <c r="B11479" s="2"/>
      <c r="C11479" s="7"/>
      <c r="D11479" s="7"/>
    </row>
    <row r="11480" spans="1:4" ht="12.75" customHeight="1" x14ac:dyDescent="0.2">
      <c r="A11480" s="21"/>
      <c r="B11480" s="3" t="s">
        <v>0</v>
      </c>
      <c r="C11480" s="23" t="s">
        <v>862</v>
      </c>
      <c r="D11480" s="21"/>
    </row>
    <row r="11481" spans="1:4" ht="12.75" customHeight="1" x14ac:dyDescent="0.2">
      <c r="A11481" s="21"/>
      <c r="B11481" s="3" t="s">
        <v>2</v>
      </c>
      <c r="C11481" s="23" t="s">
        <v>2322</v>
      </c>
      <c r="D11481" s="21"/>
    </row>
    <row r="11482" spans="1:4" ht="12.75" customHeight="1" x14ac:dyDescent="0.2">
      <c r="A11482" s="21"/>
      <c r="B11482" s="3" t="s">
        <v>1840</v>
      </c>
      <c r="C11482" s="23" t="s">
        <v>2489</v>
      </c>
      <c r="D11482" s="21"/>
    </row>
    <row r="11483" spans="1:4" ht="12.75" customHeight="1" x14ac:dyDescent="0.2">
      <c r="A11483" s="21"/>
      <c r="B11483" s="3" t="s">
        <v>9</v>
      </c>
      <c r="C11483" s="23" t="s">
        <v>2490</v>
      </c>
      <c r="D11483" s="21"/>
    </row>
    <row r="11484" spans="1:4" ht="12.75" customHeight="1" x14ac:dyDescent="0.2">
      <c r="A11484" s="21"/>
      <c r="B11484" s="3" t="s">
        <v>11</v>
      </c>
      <c r="C11484" s="23" t="s">
        <v>1372</v>
      </c>
      <c r="D11484" s="21"/>
    </row>
    <row r="11485" spans="1:4" ht="12.75" customHeight="1" x14ac:dyDescent="0.2">
      <c r="A11485" s="21"/>
      <c r="B11485" s="3" t="s">
        <v>16</v>
      </c>
      <c r="C11485" s="23"/>
      <c r="D11485" s="21"/>
    </row>
    <row r="11486" spans="1:4" ht="12.75" customHeight="1" x14ac:dyDescent="0.2">
      <c r="A11486" s="21"/>
      <c r="B11486" s="3" t="s">
        <v>17</v>
      </c>
      <c r="C11486" s="23" t="s">
        <v>19</v>
      </c>
      <c r="D11486" s="21"/>
    </row>
    <row r="11487" spans="1:4" ht="12.75" customHeight="1" x14ac:dyDescent="0.2">
      <c r="A11487" s="21"/>
      <c r="B11487" s="20" t="s">
        <v>18</v>
      </c>
      <c r="C11487" s="8" t="s">
        <v>44</v>
      </c>
      <c r="D11487" s="1" t="str">
        <f>HYPERLINK("javascript:void(0)","teljes óriásacélvért")</f>
        <v>teljes óriásacélvért</v>
      </c>
    </row>
    <row r="11488" spans="1:4" ht="12.75" customHeight="1" x14ac:dyDescent="0.2">
      <c r="A11488" s="21"/>
      <c r="B11488" s="21"/>
      <c r="C11488" s="8" t="s">
        <v>68</v>
      </c>
      <c r="D11488" s="1" t="str">
        <f>HYPERLINK("javascript:void(0)","managöb")</f>
        <v>managöb</v>
      </c>
    </row>
    <row r="11489" spans="1:4" ht="12.75" customHeight="1" x14ac:dyDescent="0.2">
      <c r="A11489" s="21"/>
      <c r="B11489" s="21"/>
      <c r="C11489" s="8" t="s">
        <v>132</v>
      </c>
      <c r="D11489" s="1" t="str">
        <f>HYPERLINK("javascript:void(0)","bigapata")</f>
        <v>bigapata</v>
      </c>
    </row>
    <row r="11490" spans="1:4" ht="12.75" customHeight="1" x14ac:dyDescent="0.2">
      <c r="A11490" s="21"/>
      <c r="B11490" s="2"/>
      <c r="C11490" s="7"/>
      <c r="D11490" s="7"/>
    </row>
    <row r="11491" spans="1:4" ht="12.75" customHeight="1" x14ac:dyDescent="0.2">
      <c r="A11491" s="21"/>
      <c r="B11491" s="2"/>
      <c r="C11491" s="7"/>
      <c r="D11491" s="7"/>
    </row>
    <row r="11492" spans="1:4" ht="12.75" customHeight="1" x14ac:dyDescent="0.2">
      <c r="A11492" s="21"/>
      <c r="B11492" s="2"/>
      <c r="C11492" s="7"/>
      <c r="D11492" s="7"/>
    </row>
    <row r="11493" spans="1:4" ht="12.75" customHeight="1" x14ac:dyDescent="0.2">
      <c r="A11493" s="21"/>
      <c r="B11493" s="2"/>
      <c r="C11493" s="7"/>
      <c r="D11493" s="7"/>
    </row>
    <row r="11494" spans="1:4" ht="12.75" customHeight="1" x14ac:dyDescent="0.2">
      <c r="A11494" s="5"/>
      <c r="B11494" s="2"/>
      <c r="C11494" s="7"/>
      <c r="D11494" s="7"/>
    </row>
    <row r="11495" spans="1:4" ht="12.75" customHeight="1" x14ac:dyDescent="0.2">
      <c r="A11495" s="22" t="str">
        <f>HYPERLINK("javascript:void(0)","démonbascinet")</f>
        <v>démonbascinet</v>
      </c>
      <c r="B11495" s="21"/>
      <c r="C11495" s="21"/>
      <c r="D11495" s="21"/>
    </row>
    <row r="11496" spans="1:4" ht="12.75" customHeight="1" x14ac:dyDescent="0.2">
      <c r="A11496" s="20"/>
      <c r="B11496" s="2"/>
      <c r="C11496" s="7"/>
      <c r="D11496" s="7"/>
    </row>
    <row r="11497" spans="1:4" ht="12.75" customHeight="1" x14ac:dyDescent="0.2">
      <c r="A11497" s="21"/>
      <c r="B11497" s="3" t="s">
        <v>0</v>
      </c>
      <c r="C11497" s="23" t="s">
        <v>862</v>
      </c>
      <c r="D11497" s="21"/>
    </row>
    <row r="11498" spans="1:4" ht="12.75" customHeight="1" x14ac:dyDescent="0.2">
      <c r="A11498" s="21"/>
      <c r="B11498" s="3" t="s">
        <v>2</v>
      </c>
      <c r="C11498" s="23"/>
      <c r="D11498" s="21"/>
    </row>
    <row r="11499" spans="1:4" ht="12.75" customHeight="1" x14ac:dyDescent="0.2">
      <c r="A11499" s="21"/>
      <c r="B11499" s="3" t="s">
        <v>1840</v>
      </c>
      <c r="C11499" s="23" t="s">
        <v>2409</v>
      </c>
      <c r="D11499" s="21"/>
    </row>
    <row r="11500" spans="1:4" ht="12.75" customHeight="1" x14ac:dyDescent="0.2">
      <c r="A11500" s="21"/>
      <c r="B11500" s="3" t="s">
        <v>9</v>
      </c>
      <c r="C11500" s="23" t="s">
        <v>2157</v>
      </c>
      <c r="D11500" s="21"/>
    </row>
    <row r="11501" spans="1:4" ht="12.75" customHeight="1" x14ac:dyDescent="0.2">
      <c r="A11501" s="21"/>
      <c r="B11501" s="3" t="s">
        <v>11</v>
      </c>
      <c r="C11501" s="23" t="s">
        <v>1372</v>
      </c>
      <c r="D11501" s="21"/>
    </row>
    <row r="11502" spans="1:4" ht="12.75" customHeight="1" x14ac:dyDescent="0.2">
      <c r="A11502" s="21"/>
      <c r="B11502" s="3" t="s">
        <v>16</v>
      </c>
      <c r="C11502" s="23"/>
      <c r="D11502" s="21"/>
    </row>
    <row r="11503" spans="1:4" ht="12.75" customHeight="1" x14ac:dyDescent="0.2">
      <c r="A11503" s="21"/>
      <c r="B11503" s="3" t="s">
        <v>17</v>
      </c>
      <c r="C11503" s="23" t="s">
        <v>19</v>
      </c>
      <c r="D11503" s="21"/>
    </row>
    <row r="11504" spans="1:4" ht="12.75" customHeight="1" x14ac:dyDescent="0.2">
      <c r="A11504" s="21"/>
      <c r="B11504" s="20" t="s">
        <v>18</v>
      </c>
      <c r="C11504" s="8" t="s">
        <v>44</v>
      </c>
      <c r="D11504" s="1" t="str">
        <f>HYPERLINK("javascript:void(0)","lidércsisak")</f>
        <v>lidércsisak</v>
      </c>
    </row>
    <row r="11505" spans="1:4" ht="12.75" customHeight="1" x14ac:dyDescent="0.2">
      <c r="A11505" s="21"/>
      <c r="B11505" s="21"/>
      <c r="C11505" s="8" t="s">
        <v>44</v>
      </c>
      <c r="D11505" s="1" t="str">
        <f>HYPERLINK("javascript:void(0)","iránycsuklya")</f>
        <v>iránycsuklya</v>
      </c>
    </row>
    <row r="11506" spans="1:4" ht="12.75" customHeight="1" x14ac:dyDescent="0.2">
      <c r="A11506" s="21"/>
      <c r="B11506" s="21"/>
      <c r="C11506" s="8" t="s">
        <v>44</v>
      </c>
      <c r="D11506" s="1" t="str">
        <f>HYPERLINK("javascript:void(0)","porprémkucsma")</f>
        <v>porprémkucsma</v>
      </c>
    </row>
    <row r="11507" spans="1:4" ht="12.75" customHeight="1" x14ac:dyDescent="0.2">
      <c r="A11507" s="21"/>
      <c r="B11507" s="2"/>
      <c r="C11507" s="7"/>
      <c r="D11507" s="7"/>
    </row>
    <row r="11508" spans="1:4" ht="12.75" customHeight="1" x14ac:dyDescent="0.2">
      <c r="A11508" s="21"/>
      <c r="B11508" s="2"/>
      <c r="C11508" s="7"/>
      <c r="D11508" s="7"/>
    </row>
    <row r="11509" spans="1:4" ht="12.75" customHeight="1" x14ac:dyDescent="0.2">
      <c r="A11509" s="21"/>
      <c r="B11509" s="2"/>
      <c r="C11509" s="7"/>
      <c r="D11509" s="7"/>
    </row>
    <row r="11510" spans="1:4" ht="12.75" customHeight="1" x14ac:dyDescent="0.2">
      <c r="A11510" s="21"/>
      <c r="B11510" s="2"/>
      <c r="C11510" s="7"/>
      <c r="D11510" s="7"/>
    </row>
    <row r="11511" spans="1:4" ht="12.75" customHeight="1" x14ac:dyDescent="0.2">
      <c r="A11511" s="5"/>
      <c r="B11511" s="2"/>
      <c r="C11511" s="7"/>
      <c r="D11511" s="7"/>
    </row>
    <row r="11512" spans="1:4" ht="12.75" customHeight="1" x14ac:dyDescent="0.2">
      <c r="A11512" s="22" t="str">
        <f>HYPERLINK("javascript:void(0)","kentacél mokaszin")</f>
        <v>kentacél mokaszin</v>
      </c>
      <c r="B11512" s="21"/>
      <c r="C11512" s="21"/>
      <c r="D11512" s="21"/>
    </row>
    <row r="11513" spans="1:4" ht="12.75" customHeight="1" x14ac:dyDescent="0.2">
      <c r="A11513" s="20"/>
      <c r="B11513" s="2"/>
      <c r="C11513" s="7"/>
      <c r="D11513" s="7"/>
    </row>
    <row r="11514" spans="1:4" ht="12.75" customHeight="1" x14ac:dyDescent="0.2">
      <c r="A11514" s="21"/>
      <c r="B11514" s="3" t="s">
        <v>0</v>
      </c>
      <c r="C11514" s="23" t="s">
        <v>862</v>
      </c>
      <c r="D11514" s="21"/>
    </row>
    <row r="11515" spans="1:4" ht="12.75" customHeight="1" x14ac:dyDescent="0.2">
      <c r="A11515" s="21"/>
      <c r="B11515" s="3" t="s">
        <v>2</v>
      </c>
      <c r="C11515" s="23"/>
      <c r="D11515" s="21"/>
    </row>
    <row r="11516" spans="1:4" ht="12.75" customHeight="1" x14ac:dyDescent="0.2">
      <c r="A11516" s="21"/>
      <c r="B11516" s="3" t="s">
        <v>1840</v>
      </c>
      <c r="C11516" s="23" t="s">
        <v>2109</v>
      </c>
      <c r="D11516" s="21"/>
    </row>
    <row r="11517" spans="1:4" ht="12.75" customHeight="1" x14ac:dyDescent="0.2">
      <c r="A11517" s="21"/>
      <c r="B11517" s="3" t="s">
        <v>9</v>
      </c>
      <c r="C11517" s="23" t="s">
        <v>2110</v>
      </c>
      <c r="D11517" s="21"/>
    </row>
    <row r="11518" spans="1:4" ht="12.75" customHeight="1" x14ac:dyDescent="0.2">
      <c r="A11518" s="21"/>
      <c r="B11518" s="3" t="s">
        <v>11</v>
      </c>
      <c r="C11518" s="23" t="s">
        <v>1528</v>
      </c>
      <c r="D11518" s="21"/>
    </row>
    <row r="11519" spans="1:4" ht="12.75" customHeight="1" x14ac:dyDescent="0.2">
      <c r="A11519" s="21"/>
      <c r="B11519" s="3" t="s">
        <v>16</v>
      </c>
      <c r="C11519" s="23"/>
      <c r="D11519" s="21"/>
    </row>
    <row r="11520" spans="1:4" ht="12.75" customHeight="1" x14ac:dyDescent="0.2">
      <c r="A11520" s="21"/>
      <c r="B11520" s="3" t="s">
        <v>17</v>
      </c>
      <c r="C11520" s="23" t="s">
        <v>19</v>
      </c>
      <c r="D11520" s="21"/>
    </row>
    <row r="11521" spans="1:4" ht="12.75" customHeight="1" x14ac:dyDescent="0.2">
      <c r="A11521" s="21"/>
      <c r="B11521" s="20" t="s">
        <v>18</v>
      </c>
      <c r="C11521" s="8" t="s">
        <v>68</v>
      </c>
      <c r="D11521" s="1" t="str">
        <f>HYPERLINK("javascript:void(0)","managöb")</f>
        <v>managöb</v>
      </c>
    </row>
    <row r="11522" spans="1:4" ht="12.75" customHeight="1" x14ac:dyDescent="0.2">
      <c r="A11522" s="21"/>
      <c r="B11522" s="21"/>
      <c r="C11522" s="8" t="s">
        <v>98</v>
      </c>
      <c r="D11522" s="1" t="str">
        <f>HYPERLINK("javascript:void(0)","térszelet")</f>
        <v>térszelet</v>
      </c>
    </row>
    <row r="11523" spans="1:4" ht="12.75" customHeight="1" x14ac:dyDescent="0.2">
      <c r="A11523" s="21"/>
      <c r="B11523" s="21"/>
      <c r="C11523" s="8" t="s">
        <v>290</v>
      </c>
      <c r="D11523" s="1" t="str">
        <f>HYPERLINK("javascript:void(0)","kígyóborda")</f>
        <v>kígyóborda</v>
      </c>
    </row>
    <row r="11524" spans="1:4" ht="12.75" customHeight="1" x14ac:dyDescent="0.2">
      <c r="A11524" s="21"/>
      <c r="B11524" s="2"/>
      <c r="C11524" s="7"/>
      <c r="D11524" s="7"/>
    </row>
    <row r="11525" spans="1:4" ht="12.75" customHeight="1" x14ac:dyDescent="0.2">
      <c r="A11525" s="21"/>
      <c r="B11525" s="2"/>
      <c r="C11525" s="7"/>
      <c r="D11525" s="7"/>
    </row>
    <row r="11526" spans="1:4" ht="12.75" customHeight="1" x14ac:dyDescent="0.2">
      <c r="A11526" s="21"/>
      <c r="B11526" s="2"/>
      <c r="C11526" s="7"/>
      <c r="D11526" s="7"/>
    </row>
    <row r="11527" spans="1:4" ht="12.75" customHeight="1" x14ac:dyDescent="0.2">
      <c r="A11527" s="21"/>
      <c r="B11527" s="2"/>
      <c r="C11527" s="7"/>
      <c r="D11527" s="7"/>
    </row>
    <row r="11528" spans="1:4" ht="12.75" customHeight="1" x14ac:dyDescent="0.2">
      <c r="A11528" s="5"/>
      <c r="B11528" s="2"/>
      <c r="C11528" s="7"/>
      <c r="D11528" s="7"/>
    </row>
    <row r="11529" spans="1:4" ht="12.75" customHeight="1" x14ac:dyDescent="0.2">
      <c r="A11529" s="22" t="str">
        <f>HYPERLINK("javascript:void(0)","tűernyőpajzs")</f>
        <v>tűernyőpajzs</v>
      </c>
      <c r="B11529" s="21"/>
      <c r="C11529" s="21"/>
      <c r="D11529" s="21"/>
    </row>
    <row r="11530" spans="1:4" ht="12.75" customHeight="1" x14ac:dyDescent="0.2">
      <c r="A11530" s="20"/>
      <c r="B11530" s="2"/>
      <c r="C11530" s="7"/>
      <c r="D11530" s="7"/>
    </row>
    <row r="11531" spans="1:4" ht="12.75" customHeight="1" x14ac:dyDescent="0.2">
      <c r="A11531" s="21"/>
      <c r="B11531" s="3" t="s">
        <v>0</v>
      </c>
      <c r="C11531" s="23" t="s">
        <v>862</v>
      </c>
      <c r="D11531" s="21"/>
    </row>
    <row r="11532" spans="1:4" ht="12.75" customHeight="1" x14ac:dyDescent="0.2">
      <c r="A11532" s="21"/>
      <c r="B11532" s="3" t="s">
        <v>2</v>
      </c>
      <c r="C11532" s="23" t="s">
        <v>1839</v>
      </c>
      <c r="D11532" s="21"/>
    </row>
    <row r="11533" spans="1:4" ht="12.75" customHeight="1" x14ac:dyDescent="0.2">
      <c r="A11533" s="21"/>
      <c r="B11533" s="3" t="s">
        <v>1840</v>
      </c>
      <c r="C11533" s="23" t="s">
        <v>2413</v>
      </c>
      <c r="D11533" s="21"/>
    </row>
    <row r="11534" spans="1:4" ht="12.75" customHeight="1" x14ac:dyDescent="0.2">
      <c r="A11534" s="21"/>
      <c r="B11534" s="3" t="s">
        <v>9</v>
      </c>
      <c r="C11534" s="23" t="s">
        <v>377</v>
      </c>
      <c r="D11534" s="21"/>
    </row>
    <row r="11535" spans="1:4" ht="12.75" customHeight="1" x14ac:dyDescent="0.2">
      <c r="A11535" s="21"/>
      <c r="B11535" s="3" t="s">
        <v>11</v>
      </c>
      <c r="C11535" s="23" t="s">
        <v>1560</v>
      </c>
      <c r="D11535" s="21"/>
    </row>
    <row r="11536" spans="1:4" ht="12.75" customHeight="1" x14ac:dyDescent="0.2">
      <c r="A11536" s="21"/>
      <c r="B11536" s="3" t="s">
        <v>16</v>
      </c>
      <c r="C11536" s="23"/>
      <c r="D11536" s="21"/>
    </row>
    <row r="11537" spans="1:4" ht="12.75" customHeight="1" x14ac:dyDescent="0.2">
      <c r="A11537" s="21"/>
      <c r="B11537" s="3" t="s">
        <v>17</v>
      </c>
      <c r="C11537" s="23" t="s">
        <v>19</v>
      </c>
      <c r="D11537" s="21"/>
    </row>
    <row r="11538" spans="1:4" ht="12.75" customHeight="1" x14ac:dyDescent="0.2">
      <c r="A11538" s="21"/>
      <c r="B11538" s="20" t="s">
        <v>18</v>
      </c>
      <c r="C11538" s="8" t="s">
        <v>44</v>
      </c>
      <c r="D11538" s="1" t="str">
        <f>HYPERLINK("javascript:void(0)","vulkánporpajzs")</f>
        <v>vulkánporpajzs</v>
      </c>
    </row>
    <row r="11539" spans="1:4" ht="12.75" customHeight="1" x14ac:dyDescent="0.2">
      <c r="A11539" s="21"/>
      <c r="B11539" s="21"/>
      <c r="C11539" s="8" t="s">
        <v>67</v>
      </c>
      <c r="D11539" s="1" t="str">
        <f>HYPERLINK("javascript:void(0)","iránytű")</f>
        <v>iránytű</v>
      </c>
    </row>
    <row r="11540" spans="1:4" ht="12.75" customHeight="1" x14ac:dyDescent="0.2">
      <c r="A11540" s="21"/>
      <c r="B11540" s="21"/>
      <c r="C11540" s="8" t="s">
        <v>269</v>
      </c>
      <c r="D11540" s="1" t="str">
        <f>HYPERLINK("javascript:void(0)","cerka")</f>
        <v>cerka</v>
      </c>
    </row>
    <row r="11541" spans="1:4" ht="12.75" customHeight="1" x14ac:dyDescent="0.2">
      <c r="A11541" s="21"/>
      <c r="B11541" s="2"/>
      <c r="C11541" s="7"/>
      <c r="D11541" s="7"/>
    </row>
    <row r="11542" spans="1:4" ht="12.75" customHeight="1" x14ac:dyDescent="0.2">
      <c r="A11542" s="21"/>
      <c r="B11542" s="2"/>
      <c r="C11542" s="7"/>
      <c r="D11542" s="7"/>
    </row>
    <row r="11543" spans="1:4" ht="12.75" customHeight="1" x14ac:dyDescent="0.2">
      <c r="A11543" s="21"/>
      <c r="B11543" s="2"/>
      <c r="C11543" s="7"/>
      <c r="D11543" s="7"/>
    </row>
    <row r="11544" spans="1:4" ht="12.75" customHeight="1" x14ac:dyDescent="0.2">
      <c r="A11544" s="21"/>
      <c r="B11544" s="2"/>
      <c r="C11544" s="7"/>
      <c r="D11544" s="7"/>
    </row>
    <row r="11545" spans="1:4" ht="12.75" customHeight="1" x14ac:dyDescent="0.2">
      <c r="A11545" s="5"/>
      <c r="B11545" s="2"/>
      <c r="C11545" s="7"/>
      <c r="D11545" s="7"/>
    </row>
    <row r="11546" spans="1:4" ht="12.75" customHeight="1" x14ac:dyDescent="0.2">
      <c r="A11546" s="22" t="str">
        <f>HYPERLINK("javascript:void(0)","diszprovillám szellempajzs")</f>
        <v>diszprovillám szellempajzs</v>
      </c>
      <c r="B11546" s="21"/>
      <c r="C11546" s="21"/>
      <c r="D11546" s="21"/>
    </row>
    <row r="11547" spans="1:4" ht="12.75" customHeight="1" x14ac:dyDescent="0.2">
      <c r="A11547" s="20"/>
      <c r="B11547" s="2"/>
      <c r="C11547" s="7"/>
      <c r="D11547" s="7"/>
    </row>
    <row r="11548" spans="1:4" ht="12.75" customHeight="1" x14ac:dyDescent="0.2">
      <c r="A11548" s="21"/>
      <c r="B11548" s="3" t="s">
        <v>0</v>
      </c>
      <c r="C11548" s="23" t="s">
        <v>862</v>
      </c>
      <c r="D11548" s="21"/>
    </row>
    <row r="11549" spans="1:4" ht="12.75" customHeight="1" x14ac:dyDescent="0.2">
      <c r="A11549" s="21"/>
      <c r="B11549" s="3" t="s">
        <v>2</v>
      </c>
      <c r="C11549" s="23" t="s">
        <v>1839</v>
      </c>
      <c r="D11549" s="21"/>
    </row>
    <row r="11550" spans="1:4" ht="12.75" customHeight="1" x14ac:dyDescent="0.2">
      <c r="A11550" s="21"/>
      <c r="B11550" s="3" t="s">
        <v>1840</v>
      </c>
      <c r="C11550" s="23" t="s">
        <v>2413</v>
      </c>
      <c r="D11550" s="21"/>
    </row>
    <row r="11551" spans="1:4" ht="12.75" customHeight="1" x14ac:dyDescent="0.2">
      <c r="A11551" s="21"/>
      <c r="B11551" s="3" t="s">
        <v>9</v>
      </c>
      <c r="C11551" s="23" t="s">
        <v>673</v>
      </c>
      <c r="D11551" s="21"/>
    </row>
    <row r="11552" spans="1:4" ht="12.75" customHeight="1" x14ac:dyDescent="0.2">
      <c r="A11552" s="21"/>
      <c r="B11552" s="3" t="s">
        <v>11</v>
      </c>
      <c r="C11552" s="23" t="s">
        <v>1216</v>
      </c>
      <c r="D11552" s="21"/>
    </row>
    <row r="11553" spans="1:4" ht="12.75" customHeight="1" x14ac:dyDescent="0.2">
      <c r="A11553" s="21"/>
      <c r="B11553" s="3" t="s">
        <v>16</v>
      </c>
      <c r="C11553" s="23"/>
      <c r="D11553" s="21"/>
    </row>
    <row r="11554" spans="1:4" ht="12.75" customHeight="1" x14ac:dyDescent="0.2">
      <c r="A11554" s="21"/>
      <c r="B11554" s="3" t="s">
        <v>17</v>
      </c>
      <c r="C11554" s="23" t="s">
        <v>19</v>
      </c>
      <c r="D11554" s="21"/>
    </row>
    <row r="11555" spans="1:4" ht="12.75" customHeight="1" x14ac:dyDescent="0.2">
      <c r="A11555" s="21"/>
      <c r="B11555" s="20" t="s">
        <v>18</v>
      </c>
      <c r="C11555" s="8" t="s">
        <v>44</v>
      </c>
      <c r="D11555" s="1" t="str">
        <f>HYPERLINK("javascript:void(0)","tűernyőpajzs")</f>
        <v>tűernyőpajzs</v>
      </c>
    </row>
    <row r="11556" spans="1:4" ht="12.75" customHeight="1" x14ac:dyDescent="0.2">
      <c r="A11556" s="21"/>
      <c r="B11556" s="21"/>
      <c r="C11556" s="8" t="s">
        <v>193</v>
      </c>
      <c r="D11556" s="1" t="str">
        <f>HYPERLINK("javascript:void(0)","diszprózium")</f>
        <v>diszprózium</v>
      </c>
    </row>
    <row r="11557" spans="1:4" ht="12.75" customHeight="1" x14ac:dyDescent="0.2">
      <c r="A11557" s="21"/>
      <c r="B11557" s="21"/>
      <c r="C11557" s="8" t="s">
        <v>240</v>
      </c>
      <c r="D11557" s="1" t="str">
        <f>HYPERLINK("javascript:void(0)","iránytű")</f>
        <v>iránytű</v>
      </c>
    </row>
    <row r="11558" spans="1:4" ht="12.75" customHeight="1" x14ac:dyDescent="0.2">
      <c r="A11558" s="21"/>
      <c r="B11558" s="2"/>
      <c r="C11558" s="7"/>
      <c r="D11558" s="7"/>
    </row>
    <row r="11559" spans="1:4" ht="12.75" customHeight="1" x14ac:dyDescent="0.2">
      <c r="A11559" s="21"/>
      <c r="B11559" s="2"/>
      <c r="C11559" s="7"/>
      <c r="D11559" s="7"/>
    </row>
    <row r="11560" spans="1:4" ht="12.75" customHeight="1" x14ac:dyDescent="0.2">
      <c r="A11560" s="21"/>
      <c r="B11560" s="2"/>
      <c r="C11560" s="7"/>
      <c r="D11560" s="7"/>
    </row>
    <row r="11561" spans="1:4" ht="12.75" customHeight="1" x14ac:dyDescent="0.2">
      <c r="A11561" s="21"/>
      <c r="B11561" s="2"/>
      <c r="C11561" s="7"/>
      <c r="D11561" s="7"/>
    </row>
    <row r="11562" spans="1:4" ht="12.75" customHeight="1" x14ac:dyDescent="0.2">
      <c r="A11562" s="5"/>
      <c r="B11562" s="2"/>
      <c r="C11562" s="7"/>
      <c r="D11562" s="7"/>
    </row>
    <row r="11563" spans="1:4" ht="12.75" customHeight="1" x14ac:dyDescent="0.2">
      <c r="A11563" s="22" t="str">
        <f>HYPERLINK("javascript:void(0)","iránycsuklya")</f>
        <v>iránycsuklya</v>
      </c>
      <c r="B11563" s="21"/>
      <c r="C11563" s="21"/>
      <c r="D11563" s="21"/>
    </row>
    <row r="11564" spans="1:4" ht="12.75" customHeight="1" x14ac:dyDescent="0.2">
      <c r="A11564" s="20"/>
      <c r="B11564" s="2"/>
      <c r="C11564" s="7"/>
      <c r="D11564" s="7"/>
    </row>
    <row r="11565" spans="1:4" ht="12.75" customHeight="1" x14ac:dyDescent="0.2">
      <c r="A11565" s="21"/>
      <c r="B11565" s="3" t="s">
        <v>0</v>
      </c>
      <c r="C11565" s="23" t="s">
        <v>862</v>
      </c>
      <c r="D11565" s="21"/>
    </row>
    <row r="11566" spans="1:4" ht="12.75" customHeight="1" x14ac:dyDescent="0.2">
      <c r="A11566" s="21"/>
      <c r="B11566" s="3" t="s">
        <v>2</v>
      </c>
      <c r="C11566" s="23"/>
      <c r="D11566" s="21"/>
    </row>
    <row r="11567" spans="1:4" ht="12.75" customHeight="1" x14ac:dyDescent="0.2">
      <c r="A11567" s="21"/>
      <c r="B11567" s="3" t="s">
        <v>1840</v>
      </c>
      <c r="C11567" s="23" t="s">
        <v>115</v>
      </c>
      <c r="D11567" s="21"/>
    </row>
    <row r="11568" spans="1:4" ht="12.75" customHeight="1" x14ac:dyDescent="0.2">
      <c r="A11568" s="21"/>
      <c r="B11568" s="3" t="s">
        <v>9</v>
      </c>
      <c r="C11568" s="23" t="s">
        <v>70</v>
      </c>
      <c r="D11568" s="21"/>
    </row>
    <row r="11569" spans="1:4" ht="12.75" customHeight="1" x14ac:dyDescent="0.2">
      <c r="A11569" s="21"/>
      <c r="B11569" s="3" t="s">
        <v>11</v>
      </c>
      <c r="C11569" s="23" t="s">
        <v>4844</v>
      </c>
      <c r="D11569" s="21"/>
    </row>
    <row r="11570" spans="1:4" ht="12.75" customHeight="1" x14ac:dyDescent="0.2">
      <c r="A11570" s="21"/>
      <c r="B11570" s="3" t="s">
        <v>16</v>
      </c>
      <c r="C11570" s="23"/>
      <c r="D11570" s="21"/>
    </row>
    <row r="11571" spans="1:4" ht="12.75" customHeight="1" x14ac:dyDescent="0.2">
      <c r="A11571" s="21"/>
      <c r="B11571" s="3" t="s">
        <v>17</v>
      </c>
      <c r="C11571" s="23" t="s">
        <v>19</v>
      </c>
      <c r="D11571" s="21"/>
    </row>
    <row r="11572" spans="1:4" ht="12.75" customHeight="1" x14ac:dyDescent="0.2">
      <c r="A11572" s="21"/>
      <c r="B11572" s="20" t="s">
        <v>18</v>
      </c>
      <c r="C11572" s="8" t="s">
        <v>68</v>
      </c>
      <c r="D11572" s="1" t="str">
        <f>HYPERLINK("javascript:void(0)","iránytű")</f>
        <v>iránytű</v>
      </c>
    </row>
    <row r="11573" spans="1:4" ht="12.75" customHeight="1" x14ac:dyDescent="0.2">
      <c r="A11573" s="21"/>
      <c r="B11573" s="21"/>
      <c r="C11573" s="8" t="s">
        <v>244</v>
      </c>
      <c r="D11573" s="1" t="str">
        <f>HYPERLINK("javascript:void(0)","kígyóborda")</f>
        <v>kígyóborda</v>
      </c>
    </row>
    <row r="11574" spans="1:4" ht="12.75" customHeight="1" x14ac:dyDescent="0.2">
      <c r="A11574" s="21"/>
      <c r="B11574" s="21"/>
      <c r="C11574" s="8" t="s">
        <v>67</v>
      </c>
      <c r="D11574" s="1" t="str">
        <f>HYPERLINK("javascript:void(0)","cerka")</f>
        <v>cerka</v>
      </c>
    </row>
    <row r="11575" spans="1:4" ht="12.75" customHeight="1" x14ac:dyDescent="0.2">
      <c r="A11575" s="21"/>
      <c r="B11575" s="2"/>
      <c r="C11575" s="7"/>
      <c r="D11575" s="7"/>
    </row>
    <row r="11576" spans="1:4" ht="12.75" customHeight="1" x14ac:dyDescent="0.2">
      <c r="A11576" s="21"/>
      <c r="B11576" s="2"/>
      <c r="C11576" s="7"/>
      <c r="D11576" s="7"/>
    </row>
    <row r="11577" spans="1:4" ht="12.75" customHeight="1" x14ac:dyDescent="0.2">
      <c r="A11577" s="21"/>
      <c r="B11577" s="2"/>
      <c r="C11577" s="7"/>
      <c r="D11577" s="7"/>
    </row>
    <row r="11578" spans="1:4" ht="12.75" customHeight="1" x14ac:dyDescent="0.2">
      <c r="A11578" s="21"/>
      <c r="B11578" s="2"/>
      <c r="C11578" s="7"/>
      <c r="D11578" s="7"/>
    </row>
    <row r="11579" spans="1:4" ht="12.75" customHeight="1" x14ac:dyDescent="0.2">
      <c r="A11579" s="5"/>
      <c r="B11579" s="2"/>
      <c r="C11579" s="7"/>
      <c r="D11579" s="7"/>
    </row>
    <row r="11580" spans="1:4" ht="12.75" customHeight="1" x14ac:dyDescent="0.2">
      <c r="A11580" s="22" t="str">
        <f>HYPERLINK("javascript:void(0)","helioacél antigrav csizma")</f>
        <v>helioacél antigrav csizma</v>
      </c>
      <c r="B11580" s="21"/>
      <c r="C11580" s="21"/>
      <c r="D11580" s="21"/>
    </row>
    <row r="11581" spans="1:4" ht="12.75" customHeight="1" x14ac:dyDescent="0.2">
      <c r="A11581" s="20"/>
      <c r="B11581" s="2"/>
      <c r="C11581" s="7"/>
      <c r="D11581" s="7"/>
    </row>
    <row r="11582" spans="1:4" ht="12.75" customHeight="1" x14ac:dyDescent="0.2">
      <c r="A11582" s="21"/>
      <c r="B11582" s="3" t="s">
        <v>0</v>
      </c>
      <c r="C11582" s="23" t="s">
        <v>862</v>
      </c>
      <c r="D11582" s="21"/>
    </row>
    <row r="11583" spans="1:4" ht="12.75" customHeight="1" x14ac:dyDescent="0.2">
      <c r="A11583" s="21"/>
      <c r="B11583" s="3" t="s">
        <v>2</v>
      </c>
      <c r="C11583" s="23"/>
      <c r="D11583" s="21"/>
    </row>
    <row r="11584" spans="1:4" ht="12.75" customHeight="1" x14ac:dyDescent="0.2">
      <c r="A11584" s="21"/>
      <c r="B11584" s="3" t="s">
        <v>1840</v>
      </c>
      <c r="C11584" s="23" t="s">
        <v>2109</v>
      </c>
      <c r="D11584" s="21"/>
    </row>
    <row r="11585" spans="1:4" ht="12.75" customHeight="1" x14ac:dyDescent="0.2">
      <c r="A11585" s="21"/>
      <c r="B11585" s="3" t="s">
        <v>9</v>
      </c>
      <c r="C11585" s="23" t="s">
        <v>626</v>
      </c>
      <c r="D11585" s="21"/>
    </row>
    <row r="11586" spans="1:4" ht="12.75" customHeight="1" x14ac:dyDescent="0.2">
      <c r="A11586" s="21"/>
      <c r="B11586" s="3" t="s">
        <v>11</v>
      </c>
      <c r="C11586" s="23" t="s">
        <v>23</v>
      </c>
      <c r="D11586" s="21"/>
    </row>
    <row r="11587" spans="1:4" ht="12.75" customHeight="1" x14ac:dyDescent="0.2">
      <c r="A11587" s="21"/>
      <c r="B11587" s="3" t="s">
        <v>16</v>
      </c>
      <c r="C11587" s="23"/>
      <c r="D11587" s="21"/>
    </row>
    <row r="11588" spans="1:4" ht="12.75" customHeight="1" x14ac:dyDescent="0.2">
      <c r="A11588" s="21"/>
      <c r="B11588" s="3" t="s">
        <v>17</v>
      </c>
      <c r="C11588" s="23" t="s">
        <v>19</v>
      </c>
      <c r="D11588" s="21"/>
    </row>
    <row r="11589" spans="1:4" ht="25.5" customHeight="1" x14ac:dyDescent="0.2">
      <c r="A11589" s="21"/>
      <c r="B11589" s="20" t="s">
        <v>18</v>
      </c>
      <c r="C11589" s="8" t="s">
        <v>44</v>
      </c>
      <c r="D11589" s="1" t="str">
        <f>HYPERLINK("javascript:void(0)","magnetoacél antigrav csizma")</f>
        <v>magnetoacél antigrav csizma</v>
      </c>
    </row>
    <row r="11590" spans="1:4" ht="12.75" customHeight="1" x14ac:dyDescent="0.2">
      <c r="A11590" s="21"/>
      <c r="B11590" s="21"/>
      <c r="C11590" s="8" t="s">
        <v>786</v>
      </c>
      <c r="D11590" s="1" t="str">
        <f>HYPERLINK("javascript:void(0)","iránytű")</f>
        <v>iránytű</v>
      </c>
    </row>
    <row r="11591" spans="1:4" ht="12.75" customHeight="1" x14ac:dyDescent="0.2">
      <c r="A11591" s="21"/>
      <c r="B11591" s="21"/>
      <c r="C11591" s="8" t="s">
        <v>894</v>
      </c>
      <c r="D11591" s="1" t="str">
        <f>HYPERLINK("javascript:void(0)","kígyóborda")</f>
        <v>kígyóborda</v>
      </c>
    </row>
    <row r="11592" spans="1:4" ht="12.75" customHeight="1" x14ac:dyDescent="0.2">
      <c r="A11592" s="21"/>
      <c r="B11592" s="2"/>
      <c r="C11592" s="7"/>
      <c r="D11592" s="7"/>
    </row>
    <row r="11593" spans="1:4" ht="12.75" customHeight="1" x14ac:dyDescent="0.2">
      <c r="A11593" s="21"/>
      <c r="B11593" s="2"/>
      <c r="C11593" s="7"/>
      <c r="D11593" s="7"/>
    </row>
    <row r="11594" spans="1:4" ht="12.75" customHeight="1" x14ac:dyDescent="0.2">
      <c r="A11594" s="21"/>
      <c r="B11594" s="2"/>
      <c r="C11594" s="7"/>
      <c r="D11594" s="7"/>
    </row>
    <row r="11595" spans="1:4" ht="12.75" customHeight="1" x14ac:dyDescent="0.2">
      <c r="A11595" s="21"/>
      <c r="B11595" s="2"/>
      <c r="C11595" s="7"/>
      <c r="D11595" s="7"/>
    </row>
    <row r="11596" spans="1:4" ht="12.75" customHeight="1" x14ac:dyDescent="0.2">
      <c r="A11596" s="5"/>
      <c r="B11596" s="2"/>
      <c r="C11596" s="7"/>
      <c r="D11596" s="7"/>
    </row>
    <row r="11597" spans="1:4" ht="12.75" customHeight="1" x14ac:dyDescent="0.2">
      <c r="A11597" s="22" t="str">
        <f>HYPERLINK("javascript:void(0)","teljes ernyővért")</f>
        <v>teljes ernyővért</v>
      </c>
      <c r="B11597" s="21"/>
      <c r="C11597" s="21"/>
      <c r="D11597" s="21"/>
    </row>
    <row r="11598" spans="1:4" ht="12.75" customHeight="1" x14ac:dyDescent="0.2">
      <c r="A11598" s="20"/>
      <c r="B11598" s="2"/>
      <c r="C11598" s="7"/>
      <c r="D11598" s="7"/>
    </row>
    <row r="11599" spans="1:4" ht="12.75" customHeight="1" x14ac:dyDescent="0.2">
      <c r="A11599" s="21"/>
      <c r="B11599" s="3" t="s">
        <v>0</v>
      </c>
      <c r="C11599" s="23" t="s">
        <v>874</v>
      </c>
      <c r="D11599" s="21"/>
    </row>
    <row r="11600" spans="1:4" ht="12.75" customHeight="1" x14ac:dyDescent="0.2">
      <c r="A11600" s="21"/>
      <c r="B11600" s="3" t="s">
        <v>2</v>
      </c>
      <c r="C11600" s="23" t="s">
        <v>2322</v>
      </c>
      <c r="D11600" s="21"/>
    </row>
    <row r="11601" spans="1:4" ht="12.75" customHeight="1" x14ac:dyDescent="0.2">
      <c r="A11601" s="21"/>
      <c r="B11601" s="3" t="s">
        <v>1840</v>
      </c>
      <c r="C11601" s="23" t="s">
        <v>2491</v>
      </c>
      <c r="D11601" s="21"/>
    </row>
    <row r="11602" spans="1:4" ht="12.75" customHeight="1" x14ac:dyDescent="0.2">
      <c r="A11602" s="21"/>
      <c r="B11602" s="3" t="s">
        <v>9</v>
      </c>
      <c r="C11602" s="23" t="s">
        <v>2492</v>
      </c>
      <c r="D11602" s="21"/>
    </row>
    <row r="11603" spans="1:4" ht="12.75" customHeight="1" x14ac:dyDescent="0.2">
      <c r="A11603" s="21"/>
      <c r="B11603" s="3" t="s">
        <v>11</v>
      </c>
      <c r="C11603" s="23" t="s">
        <v>1443</v>
      </c>
      <c r="D11603" s="21"/>
    </row>
    <row r="11604" spans="1:4" ht="12.75" customHeight="1" x14ac:dyDescent="0.2">
      <c r="A11604" s="21"/>
      <c r="B11604" s="3" t="s">
        <v>16</v>
      </c>
      <c r="C11604" s="23"/>
      <c r="D11604" s="21"/>
    </row>
    <row r="11605" spans="1:4" ht="12.75" customHeight="1" x14ac:dyDescent="0.2">
      <c r="A11605" s="21"/>
      <c r="B11605" s="3" t="s">
        <v>17</v>
      </c>
      <c r="C11605" s="23" t="s">
        <v>19</v>
      </c>
      <c r="D11605" s="21"/>
    </row>
    <row r="11606" spans="1:4" ht="12.75" customHeight="1" x14ac:dyDescent="0.2">
      <c r="A11606" s="21"/>
      <c r="B11606" s="20" t="s">
        <v>18</v>
      </c>
      <c r="C11606" s="8" t="s">
        <v>269</v>
      </c>
      <c r="D11606" s="1" t="str">
        <f>HYPERLINK("javascript:void(0)","porszőr")</f>
        <v>porszőr</v>
      </c>
    </row>
    <row r="11607" spans="1:4" ht="12.75" customHeight="1" x14ac:dyDescent="0.2">
      <c r="A11607" s="21"/>
      <c r="B11607" s="21"/>
      <c r="C11607" s="8" t="s">
        <v>331</v>
      </c>
      <c r="D11607" s="1" t="str">
        <f>HYPERLINK("javascript:void(0)","ejtőernyő")</f>
        <v>ejtőernyő</v>
      </c>
    </row>
    <row r="11608" spans="1:4" ht="12.75" customHeight="1" x14ac:dyDescent="0.2">
      <c r="A11608" s="21"/>
      <c r="B11608" s="21"/>
      <c r="C11608" s="8" t="s">
        <v>228</v>
      </c>
      <c r="D11608" s="1" t="str">
        <f>HYPERLINK("javascript:void(0)","csapdaszeg")</f>
        <v>csapdaszeg</v>
      </c>
    </row>
    <row r="11609" spans="1:4" ht="12.75" customHeight="1" x14ac:dyDescent="0.2">
      <c r="A11609" s="21"/>
      <c r="B11609" s="2"/>
      <c r="C11609" s="7"/>
      <c r="D11609" s="7"/>
    </row>
    <row r="11610" spans="1:4" ht="12.75" customHeight="1" x14ac:dyDescent="0.2">
      <c r="A11610" s="21"/>
      <c r="B11610" s="2"/>
      <c r="C11610" s="7"/>
      <c r="D11610" s="7"/>
    </row>
    <row r="11611" spans="1:4" ht="12.75" customHeight="1" x14ac:dyDescent="0.2">
      <c r="A11611" s="21"/>
      <c r="B11611" s="2"/>
      <c r="C11611" s="7"/>
      <c r="D11611" s="7"/>
    </row>
    <row r="11612" spans="1:4" ht="12.75" customHeight="1" x14ac:dyDescent="0.2">
      <c r="A11612" s="21"/>
      <c r="B11612" s="2"/>
      <c r="C11612" s="7"/>
      <c r="D11612" s="7"/>
    </row>
    <row r="11613" spans="1:4" ht="12.75" customHeight="1" x14ac:dyDescent="0.2">
      <c r="A11613" s="5"/>
      <c r="B11613" s="2"/>
      <c r="C11613" s="7"/>
      <c r="D11613" s="7"/>
    </row>
    <row r="11614" spans="1:4" ht="12.75" customHeight="1" x14ac:dyDescent="0.2">
      <c r="A11614" s="22" t="str">
        <f>HYPERLINK("javascript:void(0)","szárnyas démonsisak")</f>
        <v>szárnyas démonsisak</v>
      </c>
      <c r="B11614" s="21"/>
      <c r="C11614" s="21"/>
      <c r="D11614" s="21"/>
    </row>
    <row r="11615" spans="1:4" ht="12.75" customHeight="1" x14ac:dyDescent="0.2">
      <c r="A11615" s="20"/>
      <c r="B11615" s="2"/>
      <c r="C11615" s="7"/>
      <c r="D11615" s="7"/>
    </row>
    <row r="11616" spans="1:4" ht="12.75" customHeight="1" x14ac:dyDescent="0.2">
      <c r="A11616" s="21"/>
      <c r="B11616" s="3" t="s">
        <v>0</v>
      </c>
      <c r="C11616" s="23" t="s">
        <v>874</v>
      </c>
      <c r="D11616" s="21"/>
    </row>
    <row r="11617" spans="1:4" ht="12.75" customHeight="1" x14ac:dyDescent="0.2">
      <c r="A11617" s="21"/>
      <c r="B11617" s="3" t="s">
        <v>2</v>
      </c>
      <c r="C11617" s="23"/>
      <c r="D11617" s="21"/>
    </row>
    <row r="11618" spans="1:4" ht="12.75" customHeight="1" x14ac:dyDescent="0.2">
      <c r="A11618" s="21"/>
      <c r="B11618" s="3" t="s">
        <v>1840</v>
      </c>
      <c r="C11618" s="23" t="s">
        <v>3428</v>
      </c>
      <c r="D11618" s="21"/>
    </row>
    <row r="11619" spans="1:4" ht="12.75" customHeight="1" x14ac:dyDescent="0.2">
      <c r="A11619" s="21"/>
      <c r="B11619" s="3" t="s">
        <v>9</v>
      </c>
      <c r="C11619" s="23" t="s">
        <v>36</v>
      </c>
      <c r="D11619" s="21"/>
    </row>
    <row r="11620" spans="1:4" ht="12.75" customHeight="1" x14ac:dyDescent="0.2">
      <c r="A11620" s="21"/>
      <c r="B11620" s="3" t="s">
        <v>11</v>
      </c>
      <c r="C11620" s="23" t="s">
        <v>1443</v>
      </c>
      <c r="D11620" s="21"/>
    </row>
    <row r="11621" spans="1:4" ht="12.75" customHeight="1" x14ac:dyDescent="0.2">
      <c r="A11621" s="21"/>
      <c r="B11621" s="3" t="s">
        <v>16</v>
      </c>
      <c r="C11621" s="23"/>
      <c r="D11621" s="21"/>
    </row>
    <row r="11622" spans="1:4" ht="12.75" customHeight="1" x14ac:dyDescent="0.2">
      <c r="A11622" s="21"/>
      <c r="B11622" s="3" t="s">
        <v>17</v>
      </c>
      <c r="C11622" s="23" t="s">
        <v>19</v>
      </c>
      <c r="D11622" s="21"/>
    </row>
    <row r="11623" spans="1:4" ht="12.75" customHeight="1" x14ac:dyDescent="0.2">
      <c r="A11623" s="21"/>
      <c r="B11623" s="20" t="s">
        <v>18</v>
      </c>
      <c r="C11623" s="8" t="s">
        <v>44</v>
      </c>
      <c r="D11623" s="1" t="str">
        <f>HYPERLINK("javascript:void(0)","démonbascinet")</f>
        <v>démonbascinet</v>
      </c>
    </row>
    <row r="11624" spans="1:4" ht="12.75" customHeight="1" x14ac:dyDescent="0.2">
      <c r="A11624" s="21"/>
      <c r="B11624" s="21"/>
      <c r="C11624" s="8" t="s">
        <v>117</v>
      </c>
      <c r="D11624" s="1" t="str">
        <f>HYPERLINK("javascript:void(0)","porszőr")</f>
        <v>porszőr</v>
      </c>
    </row>
    <row r="11625" spans="1:4" ht="12.75" customHeight="1" x14ac:dyDescent="0.2">
      <c r="A11625" s="21"/>
      <c r="B11625" s="21"/>
      <c r="C11625" s="8" t="s">
        <v>232</v>
      </c>
      <c r="D11625" s="1" t="str">
        <f>HYPERLINK("javascript:void(0)","agyagszárny")</f>
        <v>agyagszárny</v>
      </c>
    </row>
    <row r="11626" spans="1:4" ht="12.75" customHeight="1" x14ac:dyDescent="0.2">
      <c r="A11626" s="21"/>
      <c r="B11626" s="2"/>
      <c r="C11626" s="7"/>
      <c r="D11626" s="7"/>
    </row>
    <row r="11627" spans="1:4" ht="12.75" customHeight="1" x14ac:dyDescent="0.2">
      <c r="A11627" s="21"/>
      <c r="B11627" s="2"/>
      <c r="C11627" s="7"/>
      <c r="D11627" s="7"/>
    </row>
    <row r="11628" spans="1:4" ht="12.75" customHeight="1" x14ac:dyDescent="0.2">
      <c r="A11628" s="21"/>
      <c r="B11628" s="2"/>
      <c r="C11628" s="7"/>
      <c r="D11628" s="7"/>
    </row>
    <row r="11629" spans="1:4" ht="12.75" customHeight="1" x14ac:dyDescent="0.2">
      <c r="A11629" s="21"/>
      <c r="B11629" s="2"/>
      <c r="C11629" s="7"/>
      <c r="D11629" s="7"/>
    </row>
    <row r="11630" spans="1:4" ht="12.75" customHeight="1" x14ac:dyDescent="0.2">
      <c r="A11630" s="5"/>
      <c r="B11630" s="2"/>
      <c r="C11630" s="7"/>
      <c r="D11630" s="7"/>
    </row>
    <row r="11631" spans="1:4" ht="12.75" customHeight="1" x14ac:dyDescent="0.2">
      <c r="A11631" s="22" t="str">
        <f>HYPERLINK("javascript:void(0)","kompózium mokaszin")</f>
        <v>kompózium mokaszin</v>
      </c>
      <c r="B11631" s="21"/>
      <c r="C11631" s="21"/>
      <c r="D11631" s="21"/>
    </row>
    <row r="11632" spans="1:4" ht="12.75" customHeight="1" x14ac:dyDescent="0.2">
      <c r="A11632" s="20"/>
      <c r="B11632" s="2"/>
      <c r="C11632" s="7"/>
      <c r="D11632" s="7"/>
    </row>
    <row r="11633" spans="1:4" ht="12.75" customHeight="1" x14ac:dyDescent="0.2">
      <c r="A11633" s="21"/>
      <c r="B11633" s="3" t="s">
        <v>0</v>
      </c>
      <c r="C11633" s="23" t="s">
        <v>874</v>
      </c>
      <c r="D11633" s="21"/>
    </row>
    <row r="11634" spans="1:4" ht="12.75" customHeight="1" x14ac:dyDescent="0.2">
      <c r="A11634" s="21"/>
      <c r="B11634" s="3" t="s">
        <v>2</v>
      </c>
      <c r="C11634" s="23"/>
      <c r="D11634" s="21"/>
    </row>
    <row r="11635" spans="1:4" ht="12.75" customHeight="1" x14ac:dyDescent="0.2">
      <c r="A11635" s="21"/>
      <c r="B11635" s="3" t="s">
        <v>1840</v>
      </c>
      <c r="C11635" s="23" t="s">
        <v>493</v>
      </c>
      <c r="D11635" s="21"/>
    </row>
    <row r="11636" spans="1:4" ht="12.75" customHeight="1" x14ac:dyDescent="0.2">
      <c r="A11636" s="21"/>
      <c r="B11636" s="3" t="s">
        <v>9</v>
      </c>
      <c r="C11636" s="23" t="s">
        <v>792</v>
      </c>
      <c r="D11636" s="21"/>
    </row>
    <row r="11637" spans="1:4" ht="12.75" customHeight="1" x14ac:dyDescent="0.2">
      <c r="A11637" s="21"/>
      <c r="B11637" s="3" t="s">
        <v>11</v>
      </c>
      <c r="C11637" s="23" t="s">
        <v>1451</v>
      </c>
      <c r="D11637" s="21"/>
    </row>
    <row r="11638" spans="1:4" ht="12.75" customHeight="1" x14ac:dyDescent="0.2">
      <c r="A11638" s="21"/>
      <c r="B11638" s="3" t="s">
        <v>16</v>
      </c>
      <c r="C11638" s="23"/>
      <c r="D11638" s="21"/>
    </row>
    <row r="11639" spans="1:4" ht="12.75" customHeight="1" x14ac:dyDescent="0.2">
      <c r="A11639" s="21"/>
      <c r="B11639" s="3" t="s">
        <v>17</v>
      </c>
      <c r="C11639" s="23" t="s">
        <v>19</v>
      </c>
      <c r="D11639" s="21"/>
    </row>
    <row r="11640" spans="1:4" ht="25.5" customHeight="1" x14ac:dyDescent="0.2">
      <c r="A11640" s="21"/>
      <c r="B11640" s="20" t="s">
        <v>18</v>
      </c>
      <c r="C11640" s="8" t="s">
        <v>44</v>
      </c>
      <c r="D11640" s="1" t="str">
        <f>HYPERLINK("javascript:void(0)","démonacél mokaszin")</f>
        <v>démonacél mokaszin</v>
      </c>
    </row>
    <row r="11641" spans="1:4" ht="12.75" customHeight="1" x14ac:dyDescent="0.2">
      <c r="A11641" s="21"/>
      <c r="B11641" s="21"/>
      <c r="C11641" s="8" t="s">
        <v>44</v>
      </c>
      <c r="D11641" s="1" t="str">
        <f>HYPERLINK("javascript:void(0)","kentacél mokaszin")</f>
        <v>kentacél mokaszin</v>
      </c>
    </row>
    <row r="11642" spans="1:4" ht="12.75" customHeight="1" x14ac:dyDescent="0.2">
      <c r="A11642" s="21"/>
      <c r="B11642" s="21"/>
      <c r="C11642" s="8" t="s">
        <v>44</v>
      </c>
      <c r="D11642" s="1" t="str">
        <f>HYPERLINK("javascript:void(0)","kompózium fűző")</f>
        <v>kompózium fűző</v>
      </c>
    </row>
    <row r="11643" spans="1:4" ht="12.75" customHeight="1" x14ac:dyDescent="0.2">
      <c r="A11643" s="21"/>
      <c r="B11643" s="2"/>
      <c r="C11643" s="7"/>
      <c r="D11643" s="7"/>
    </row>
    <row r="11644" spans="1:4" ht="12.75" customHeight="1" x14ac:dyDescent="0.2">
      <c r="A11644" s="21"/>
      <c r="B11644" s="2"/>
      <c r="C11644" s="7"/>
      <c r="D11644" s="7"/>
    </row>
    <row r="11645" spans="1:4" ht="12.75" customHeight="1" x14ac:dyDescent="0.2">
      <c r="A11645" s="21"/>
      <c r="B11645" s="2"/>
      <c r="C11645" s="7"/>
      <c r="D11645" s="7"/>
    </row>
    <row r="11646" spans="1:4" ht="12.75" customHeight="1" x14ac:dyDescent="0.2">
      <c r="A11646" s="21"/>
      <c r="B11646" s="2"/>
      <c r="C11646" s="7"/>
      <c r="D11646" s="7"/>
    </row>
    <row r="11647" spans="1:4" ht="12.75" customHeight="1" x14ac:dyDescent="0.2">
      <c r="A11647" s="5"/>
      <c r="B11647" s="2"/>
      <c r="C11647" s="7"/>
      <c r="D11647" s="7"/>
    </row>
    <row r="11648" spans="1:4" ht="12.75" customHeight="1" x14ac:dyDescent="0.2">
      <c r="A11648" s="22" t="str">
        <f>HYPERLINK("javascript:void(0)","tűernyő testpajzs")</f>
        <v>tűernyő testpajzs</v>
      </c>
      <c r="B11648" s="21"/>
      <c r="C11648" s="21"/>
      <c r="D11648" s="21"/>
    </row>
    <row r="11649" spans="1:4" ht="12.75" customHeight="1" x14ac:dyDescent="0.2">
      <c r="A11649" s="20"/>
      <c r="B11649" s="2"/>
      <c r="C11649" s="7"/>
      <c r="D11649" s="7"/>
    </row>
    <row r="11650" spans="1:4" ht="12.75" customHeight="1" x14ac:dyDescent="0.2">
      <c r="A11650" s="21"/>
      <c r="B11650" s="3" t="s">
        <v>0</v>
      </c>
      <c r="C11650" s="23" t="s">
        <v>874</v>
      </c>
      <c r="D11650" s="21"/>
    </row>
    <row r="11651" spans="1:4" ht="12.75" customHeight="1" x14ac:dyDescent="0.2">
      <c r="A11651" s="21"/>
      <c r="B11651" s="3" t="s">
        <v>2</v>
      </c>
      <c r="C11651" s="23" t="s">
        <v>1839</v>
      </c>
      <c r="D11651" s="21"/>
    </row>
    <row r="11652" spans="1:4" ht="12.75" customHeight="1" x14ac:dyDescent="0.2">
      <c r="A11652" s="21"/>
      <c r="B11652" s="3" t="s">
        <v>1840</v>
      </c>
      <c r="C11652" s="23" t="s">
        <v>3684</v>
      </c>
      <c r="D11652" s="21"/>
    </row>
    <row r="11653" spans="1:4" ht="12.75" customHeight="1" x14ac:dyDescent="0.2">
      <c r="A11653" s="21"/>
      <c r="B11653" s="3" t="s">
        <v>9</v>
      </c>
      <c r="C11653" s="23" t="s">
        <v>549</v>
      </c>
      <c r="D11653" s="21"/>
    </row>
    <row r="11654" spans="1:4" ht="12.75" customHeight="1" x14ac:dyDescent="0.2">
      <c r="A11654" s="21"/>
      <c r="B11654" s="3" t="s">
        <v>11</v>
      </c>
      <c r="C11654" s="23" t="s">
        <v>1477</v>
      </c>
      <c r="D11654" s="21"/>
    </row>
    <row r="11655" spans="1:4" ht="12.75" customHeight="1" x14ac:dyDescent="0.2">
      <c r="A11655" s="21"/>
      <c r="B11655" s="3" t="s">
        <v>16</v>
      </c>
      <c r="C11655" s="23"/>
      <c r="D11655" s="21"/>
    </row>
    <row r="11656" spans="1:4" ht="12.75" customHeight="1" x14ac:dyDescent="0.2">
      <c r="A11656" s="21"/>
      <c r="B11656" s="3" t="s">
        <v>17</v>
      </c>
      <c r="C11656" s="23" t="s">
        <v>19</v>
      </c>
      <c r="D11656" s="21"/>
    </row>
    <row r="11657" spans="1:4" ht="12.75" customHeight="1" x14ac:dyDescent="0.2">
      <c r="A11657" s="21"/>
      <c r="B11657" s="20" t="s">
        <v>18</v>
      </c>
      <c r="C11657" s="8" t="s">
        <v>44</v>
      </c>
      <c r="D11657" s="1" t="str">
        <f>HYPERLINK("javascript:void(0)","vulkánpor testpajzs")</f>
        <v>vulkánpor testpajzs</v>
      </c>
    </row>
    <row r="11658" spans="1:4" ht="12.75" customHeight="1" x14ac:dyDescent="0.2">
      <c r="A11658" s="21"/>
      <c r="B11658" s="21"/>
      <c r="C11658" s="8" t="s">
        <v>244</v>
      </c>
      <c r="D11658" s="1" t="str">
        <f>HYPERLINK("javascript:void(0)","hídpenge")</f>
        <v>hídpenge</v>
      </c>
    </row>
    <row r="11659" spans="1:4" ht="12.75" customHeight="1" x14ac:dyDescent="0.2">
      <c r="A11659" s="21"/>
      <c r="B11659" s="21"/>
      <c r="C11659" s="8" t="s">
        <v>331</v>
      </c>
      <c r="D11659" s="1" t="str">
        <f>HYPERLINK("javascript:void(0)","ejtőernyő")</f>
        <v>ejtőernyő</v>
      </c>
    </row>
    <row r="11660" spans="1:4" ht="12.75" customHeight="1" x14ac:dyDescent="0.2">
      <c r="A11660" s="21"/>
      <c r="B11660" s="2"/>
      <c r="C11660" s="7"/>
      <c r="D11660" s="7"/>
    </row>
    <row r="11661" spans="1:4" ht="12.75" customHeight="1" x14ac:dyDescent="0.2">
      <c r="A11661" s="21"/>
      <c r="B11661" s="2"/>
      <c r="C11661" s="7"/>
      <c r="D11661" s="7"/>
    </row>
    <row r="11662" spans="1:4" ht="12.75" customHeight="1" x14ac:dyDescent="0.2">
      <c r="A11662" s="21"/>
      <c r="B11662" s="2"/>
      <c r="C11662" s="7"/>
      <c r="D11662" s="7"/>
    </row>
    <row r="11663" spans="1:4" ht="12.75" customHeight="1" x14ac:dyDescent="0.2">
      <c r="A11663" s="21"/>
      <c r="B11663" s="2"/>
      <c r="C11663" s="7"/>
      <c r="D11663" s="7"/>
    </row>
    <row r="11664" spans="1:4" ht="12.75" customHeight="1" x14ac:dyDescent="0.2">
      <c r="A11664" s="5"/>
      <c r="B11664" s="2"/>
      <c r="C11664" s="7"/>
      <c r="D11664" s="7"/>
    </row>
    <row r="11665" spans="1:4" ht="12.75" customHeight="1" x14ac:dyDescent="0.2">
      <c r="A11665" s="22" t="str">
        <f>HYPERLINK("javascript:void(0)","kithrillfüstös szellempajzs")</f>
        <v>kithrillfüstös szellempajzs</v>
      </c>
      <c r="B11665" s="21"/>
      <c r="C11665" s="21"/>
      <c r="D11665" s="21"/>
    </row>
    <row r="11666" spans="1:4" ht="12.75" customHeight="1" x14ac:dyDescent="0.2">
      <c r="A11666" s="20"/>
      <c r="B11666" s="2"/>
      <c r="C11666" s="7"/>
      <c r="D11666" s="7"/>
    </row>
    <row r="11667" spans="1:4" ht="12.75" customHeight="1" x14ac:dyDescent="0.2">
      <c r="A11667" s="21"/>
      <c r="B11667" s="3" t="s">
        <v>0</v>
      </c>
      <c r="C11667" s="23" t="s">
        <v>874</v>
      </c>
      <c r="D11667" s="21"/>
    </row>
    <row r="11668" spans="1:4" ht="12.75" customHeight="1" x14ac:dyDescent="0.2">
      <c r="A11668" s="21"/>
      <c r="B11668" s="3" t="s">
        <v>2</v>
      </c>
      <c r="C11668" s="23" t="s">
        <v>1839</v>
      </c>
      <c r="D11668" s="21"/>
    </row>
    <row r="11669" spans="1:4" ht="12.75" customHeight="1" x14ac:dyDescent="0.2">
      <c r="A11669" s="21"/>
      <c r="B11669" s="3" t="s">
        <v>1840</v>
      </c>
      <c r="C11669" s="23" t="s">
        <v>3684</v>
      </c>
      <c r="D11669" s="21"/>
    </row>
    <row r="11670" spans="1:4" ht="12.75" customHeight="1" x14ac:dyDescent="0.2">
      <c r="A11670" s="21"/>
      <c r="B11670" s="3" t="s">
        <v>9</v>
      </c>
      <c r="C11670" s="23" t="s">
        <v>665</v>
      </c>
      <c r="D11670" s="21"/>
    </row>
    <row r="11671" spans="1:4" ht="12.75" customHeight="1" x14ac:dyDescent="0.2">
      <c r="A11671" s="21"/>
      <c r="B11671" s="3" t="s">
        <v>11</v>
      </c>
      <c r="C11671" s="23" t="s">
        <v>1488</v>
      </c>
      <c r="D11671" s="21"/>
    </row>
    <row r="11672" spans="1:4" ht="12.75" customHeight="1" x14ac:dyDescent="0.2">
      <c r="A11672" s="21"/>
      <c r="B11672" s="3" t="s">
        <v>16</v>
      </c>
      <c r="C11672" s="23"/>
      <c r="D11672" s="21"/>
    </row>
    <row r="11673" spans="1:4" ht="12.75" customHeight="1" x14ac:dyDescent="0.2">
      <c r="A11673" s="21"/>
      <c r="B11673" s="3" t="s">
        <v>17</v>
      </c>
      <c r="C11673" s="23" t="s">
        <v>19</v>
      </c>
      <c r="D11673" s="21"/>
    </row>
    <row r="11674" spans="1:4" ht="12.75" customHeight="1" x14ac:dyDescent="0.2">
      <c r="A11674" s="21"/>
      <c r="B11674" s="20" t="s">
        <v>18</v>
      </c>
      <c r="C11674" s="8" t="s">
        <v>44</v>
      </c>
      <c r="D11674" s="1" t="str">
        <f>HYPERLINK("javascript:void(0)","tűernyő testpajzs")</f>
        <v>tűernyő testpajzs</v>
      </c>
    </row>
    <row r="11675" spans="1:4" ht="12.75" customHeight="1" x14ac:dyDescent="0.2">
      <c r="A11675" s="21"/>
      <c r="B11675" s="21"/>
      <c r="C11675" s="8" t="s">
        <v>398</v>
      </c>
      <c r="D11675" s="1" t="str">
        <f>HYPERLINK("javascript:void(0)","kithrill")</f>
        <v>kithrill</v>
      </c>
    </row>
    <row r="11676" spans="1:4" ht="12.75" customHeight="1" x14ac:dyDescent="0.2">
      <c r="A11676" s="21"/>
      <c r="B11676" s="21"/>
      <c r="C11676" s="8" t="s">
        <v>139</v>
      </c>
      <c r="D11676" s="1" t="str">
        <f>HYPERLINK("javascript:void(0)","ejtőernyő")</f>
        <v>ejtőernyő</v>
      </c>
    </row>
    <row r="11677" spans="1:4" ht="12.75" customHeight="1" x14ac:dyDescent="0.2">
      <c r="A11677" s="21"/>
      <c r="B11677" s="2"/>
      <c r="C11677" s="7"/>
      <c r="D11677" s="7"/>
    </row>
    <row r="11678" spans="1:4" ht="12.75" customHeight="1" x14ac:dyDescent="0.2">
      <c r="A11678" s="21"/>
      <c r="B11678" s="2"/>
      <c r="C11678" s="7"/>
      <c r="D11678" s="7"/>
    </row>
    <row r="11679" spans="1:4" ht="12.75" customHeight="1" x14ac:dyDescent="0.2">
      <c r="A11679" s="21"/>
      <c r="B11679" s="2"/>
      <c r="C11679" s="7"/>
      <c r="D11679" s="7"/>
    </row>
    <row r="11680" spans="1:4" ht="12.75" customHeight="1" x14ac:dyDescent="0.2">
      <c r="A11680" s="21"/>
      <c r="B11680" s="2"/>
      <c r="C11680" s="7"/>
      <c r="D11680" s="7"/>
    </row>
    <row r="11681" spans="1:4" ht="12.75" customHeight="1" x14ac:dyDescent="0.2">
      <c r="A11681" s="5"/>
      <c r="B11681" s="2"/>
      <c r="C11681" s="7"/>
      <c r="D11681" s="7"/>
    </row>
    <row r="11682" spans="1:4" ht="12.75" customHeight="1" x14ac:dyDescent="0.2">
      <c r="A11682" s="22" t="str">
        <f>HYPERLINK("javascript:void(0)","kompózium fűző")</f>
        <v>kompózium fűző</v>
      </c>
      <c r="B11682" s="21"/>
      <c r="C11682" s="21"/>
      <c r="D11682" s="21"/>
    </row>
    <row r="11683" spans="1:4" ht="12.75" customHeight="1" x14ac:dyDescent="0.2">
      <c r="A11683" s="20"/>
      <c r="B11683" s="2"/>
      <c r="C11683" s="7"/>
      <c r="D11683" s="7"/>
    </row>
    <row r="11684" spans="1:4" ht="12.75" customHeight="1" x14ac:dyDescent="0.2">
      <c r="A11684" s="21"/>
      <c r="B11684" s="3" t="s">
        <v>0</v>
      </c>
      <c r="C11684" s="23" t="s">
        <v>874</v>
      </c>
      <c r="D11684" s="21"/>
    </row>
    <row r="11685" spans="1:4" ht="12.75" customHeight="1" x14ac:dyDescent="0.2">
      <c r="A11685" s="21"/>
      <c r="B11685" s="3" t="s">
        <v>2</v>
      </c>
      <c r="C11685" s="23"/>
      <c r="D11685" s="21"/>
    </row>
    <row r="11686" spans="1:4" ht="12.75" customHeight="1" x14ac:dyDescent="0.2">
      <c r="A11686" s="21"/>
      <c r="B11686" s="3" t="s">
        <v>1840</v>
      </c>
      <c r="C11686" s="23" t="s">
        <v>417</v>
      </c>
      <c r="D11686" s="21"/>
    </row>
    <row r="11687" spans="1:4" ht="12.75" customHeight="1" x14ac:dyDescent="0.2">
      <c r="A11687" s="21"/>
      <c r="B11687" s="3" t="s">
        <v>9</v>
      </c>
      <c r="C11687" s="23" t="s">
        <v>36</v>
      </c>
      <c r="D11687" s="21"/>
    </row>
    <row r="11688" spans="1:4" ht="12.75" customHeight="1" x14ac:dyDescent="0.2">
      <c r="A11688" s="21"/>
      <c r="B11688" s="3" t="s">
        <v>11</v>
      </c>
      <c r="C11688" s="23" t="s">
        <v>2114</v>
      </c>
      <c r="D11688" s="21"/>
    </row>
    <row r="11689" spans="1:4" ht="12.75" customHeight="1" x14ac:dyDescent="0.2">
      <c r="A11689" s="21"/>
      <c r="B11689" s="3" t="s">
        <v>16</v>
      </c>
      <c r="C11689" s="23"/>
      <c r="D11689" s="21"/>
    </row>
    <row r="11690" spans="1:4" ht="12.75" customHeight="1" x14ac:dyDescent="0.2">
      <c r="A11690" s="21"/>
      <c r="B11690" s="3" t="s">
        <v>17</v>
      </c>
      <c r="C11690" s="23" t="s">
        <v>19</v>
      </c>
      <c r="D11690" s="21"/>
    </row>
    <row r="11691" spans="1:4" ht="12.75" customHeight="1" x14ac:dyDescent="0.2">
      <c r="A11691" s="21"/>
      <c r="B11691" s="20" t="s">
        <v>18</v>
      </c>
      <c r="C11691" s="8" t="s">
        <v>98</v>
      </c>
      <c r="D11691" s="1" t="str">
        <f>HYPERLINK("javascript:void(0)","kompózium")</f>
        <v>kompózium</v>
      </c>
    </row>
    <row r="11692" spans="1:4" ht="12.75" customHeight="1" x14ac:dyDescent="0.2">
      <c r="A11692" s="21"/>
      <c r="B11692" s="21"/>
      <c r="C11692" s="8" t="s">
        <v>68</v>
      </c>
      <c r="D11692" s="1" t="str">
        <f>HYPERLINK("javascript:void(0)","ejtőernyő")</f>
        <v>ejtőernyő</v>
      </c>
    </row>
    <row r="11693" spans="1:4" ht="12.75" customHeight="1" x14ac:dyDescent="0.2">
      <c r="A11693" s="21"/>
      <c r="B11693" s="21"/>
      <c r="C11693" s="8" t="s">
        <v>67</v>
      </c>
      <c r="D11693" s="1" t="str">
        <f>HYPERLINK("javascript:void(0)","zanzahúr")</f>
        <v>zanzahúr</v>
      </c>
    </row>
    <row r="11694" spans="1:4" ht="12.75" customHeight="1" x14ac:dyDescent="0.2">
      <c r="A11694" s="21"/>
      <c r="B11694" s="2"/>
      <c r="C11694" s="7"/>
      <c r="D11694" s="7"/>
    </row>
    <row r="11695" spans="1:4" ht="12.75" customHeight="1" x14ac:dyDescent="0.2">
      <c r="A11695" s="21"/>
      <c r="B11695" s="2"/>
      <c r="C11695" s="7"/>
      <c r="D11695" s="7"/>
    </row>
    <row r="11696" spans="1:4" ht="12.75" customHeight="1" x14ac:dyDescent="0.2">
      <c r="A11696" s="21"/>
      <c r="B11696" s="2"/>
      <c r="C11696" s="7"/>
      <c r="D11696" s="7"/>
    </row>
    <row r="11697" spans="1:4" ht="12.75" customHeight="1" x14ac:dyDescent="0.2">
      <c r="A11697" s="21"/>
      <c r="B11697" s="2"/>
      <c r="C11697" s="7"/>
      <c r="D11697" s="7"/>
    </row>
    <row r="11698" spans="1:4" ht="12.75" customHeight="1" x14ac:dyDescent="0.2">
      <c r="A11698" s="5"/>
      <c r="B11698" s="2"/>
      <c r="C11698" s="7"/>
      <c r="D11698" s="7"/>
    </row>
    <row r="11699" spans="1:4" ht="12.75" customHeight="1" x14ac:dyDescent="0.2">
      <c r="A11699" s="22" t="str">
        <f>HYPERLINK("javascript:void(0)","teljes fotoacélvért")</f>
        <v>teljes fotoacélvért</v>
      </c>
      <c r="B11699" s="21"/>
      <c r="C11699" s="21"/>
      <c r="D11699" s="21"/>
    </row>
    <row r="11700" spans="1:4" ht="12.75" customHeight="1" x14ac:dyDescent="0.2">
      <c r="A11700" s="20"/>
      <c r="B11700" s="2"/>
      <c r="C11700" s="7"/>
      <c r="D11700" s="7"/>
    </row>
    <row r="11701" spans="1:4" ht="12.75" customHeight="1" x14ac:dyDescent="0.2">
      <c r="A11701" s="21"/>
      <c r="B11701" s="3" t="s">
        <v>0</v>
      </c>
      <c r="C11701" s="23" t="s">
        <v>883</v>
      </c>
      <c r="D11701" s="21"/>
    </row>
    <row r="11702" spans="1:4" ht="12.75" customHeight="1" x14ac:dyDescent="0.2">
      <c r="A11702" s="21"/>
      <c r="B11702" s="3" t="s">
        <v>2</v>
      </c>
      <c r="C11702" s="23" t="s">
        <v>2322</v>
      </c>
      <c r="D11702" s="21"/>
    </row>
    <row r="11703" spans="1:4" ht="12.75" customHeight="1" x14ac:dyDescent="0.2">
      <c r="A11703" s="21"/>
      <c r="B11703" s="3" t="s">
        <v>1840</v>
      </c>
      <c r="C11703" s="23" t="s">
        <v>2493</v>
      </c>
      <c r="D11703" s="21"/>
    </row>
    <row r="11704" spans="1:4" ht="12.75" customHeight="1" x14ac:dyDescent="0.2">
      <c r="A11704" s="21"/>
      <c r="B11704" s="3" t="s">
        <v>9</v>
      </c>
      <c r="C11704" s="23" t="s">
        <v>2058</v>
      </c>
      <c r="D11704" s="21"/>
    </row>
    <row r="11705" spans="1:4" ht="12.75" customHeight="1" x14ac:dyDescent="0.2">
      <c r="A11705" s="21"/>
      <c r="B11705" s="3" t="s">
        <v>11</v>
      </c>
      <c r="C11705" s="23" t="s">
        <v>1528</v>
      </c>
      <c r="D11705" s="21"/>
    </row>
    <row r="11706" spans="1:4" ht="12.75" customHeight="1" x14ac:dyDescent="0.2">
      <c r="A11706" s="21"/>
      <c r="B11706" s="3" t="s">
        <v>16</v>
      </c>
      <c r="C11706" s="23"/>
      <c r="D11706" s="21"/>
    </row>
    <row r="11707" spans="1:4" ht="12.75" customHeight="1" x14ac:dyDescent="0.2">
      <c r="A11707" s="21"/>
      <c r="B11707" s="3" t="s">
        <v>17</v>
      </c>
      <c r="C11707" s="23" t="s">
        <v>19</v>
      </c>
      <c r="D11707" s="21"/>
    </row>
    <row r="11708" spans="1:4" ht="12.75" customHeight="1" x14ac:dyDescent="0.2">
      <c r="A11708" s="21"/>
      <c r="B11708" s="20" t="s">
        <v>18</v>
      </c>
      <c r="C11708" s="8" t="s">
        <v>44</v>
      </c>
      <c r="D11708" s="1" t="str">
        <f>HYPERLINK("javascript:void(0)","teljes kentacélvért")</f>
        <v>teljes kentacélvért</v>
      </c>
    </row>
    <row r="11709" spans="1:4" ht="12.75" customHeight="1" x14ac:dyDescent="0.2">
      <c r="A11709" s="21"/>
      <c r="B11709" s="21"/>
      <c r="C11709" s="8" t="s">
        <v>44</v>
      </c>
      <c r="D11709" s="1" t="str">
        <f>HYPERLINK("javascript:void(0)","teljes ernyővért")</f>
        <v>teljes ernyővért</v>
      </c>
    </row>
    <row r="11710" spans="1:4" ht="12.75" customHeight="1" x14ac:dyDescent="0.2">
      <c r="A11710" s="21"/>
      <c r="B11710" s="21"/>
      <c r="C11710" s="8" t="s">
        <v>44</v>
      </c>
      <c r="D11710" s="1" t="str">
        <f>HYPERLINK("javascript:void(0)","fotonbélés")</f>
        <v>fotonbélés</v>
      </c>
    </row>
    <row r="11711" spans="1:4" ht="12.75" customHeight="1" x14ac:dyDescent="0.2">
      <c r="A11711" s="21"/>
      <c r="B11711" s="2"/>
      <c r="C11711" s="7"/>
      <c r="D11711" s="7"/>
    </row>
    <row r="11712" spans="1:4" ht="12.75" customHeight="1" x14ac:dyDescent="0.2">
      <c r="A11712" s="21"/>
      <c r="B11712" s="2"/>
      <c r="C11712" s="7"/>
      <c r="D11712" s="7"/>
    </row>
    <row r="11713" spans="1:4" ht="12.75" customHeight="1" x14ac:dyDescent="0.2">
      <c r="A11713" s="21"/>
      <c r="B11713" s="2"/>
      <c r="C11713" s="7"/>
      <c r="D11713" s="7"/>
    </row>
    <row r="11714" spans="1:4" ht="12.75" customHeight="1" x14ac:dyDescent="0.2">
      <c r="A11714" s="21"/>
      <c r="B11714" s="2"/>
      <c r="C11714" s="7"/>
      <c r="D11714" s="7"/>
    </row>
    <row r="11715" spans="1:4" ht="12.75" customHeight="1" x14ac:dyDescent="0.2">
      <c r="A11715" s="5"/>
      <c r="B11715" s="2"/>
      <c r="C11715" s="7"/>
      <c r="D11715" s="7"/>
    </row>
    <row r="11716" spans="1:4" ht="12.75" customHeight="1" x14ac:dyDescent="0.2">
      <c r="A11716" s="22" t="str">
        <f>HYPERLINK("javascript:void(0)","siklósisak")</f>
        <v>siklósisak</v>
      </c>
      <c r="B11716" s="21"/>
      <c r="C11716" s="21"/>
      <c r="D11716" s="21"/>
    </row>
    <row r="11717" spans="1:4" ht="12.75" customHeight="1" x14ac:dyDescent="0.2">
      <c r="A11717" s="20"/>
      <c r="B11717" s="2"/>
      <c r="C11717" s="7"/>
      <c r="D11717" s="7"/>
    </row>
    <row r="11718" spans="1:4" ht="12.75" customHeight="1" x14ac:dyDescent="0.2">
      <c r="A11718" s="21"/>
      <c r="B11718" s="3" t="s">
        <v>0</v>
      </c>
      <c r="C11718" s="23" t="s">
        <v>883</v>
      </c>
      <c r="D11718" s="21"/>
    </row>
    <row r="11719" spans="1:4" ht="12.75" customHeight="1" x14ac:dyDescent="0.2">
      <c r="A11719" s="21"/>
      <c r="B11719" s="3" t="s">
        <v>2</v>
      </c>
      <c r="C11719" s="23"/>
      <c r="D11719" s="21"/>
    </row>
    <row r="11720" spans="1:4" ht="12.75" customHeight="1" x14ac:dyDescent="0.2">
      <c r="A11720" s="21"/>
      <c r="B11720" s="3" t="s">
        <v>1840</v>
      </c>
      <c r="C11720" s="23" t="s">
        <v>1805</v>
      </c>
      <c r="D11720" s="21"/>
    </row>
    <row r="11721" spans="1:4" ht="12.75" customHeight="1" x14ac:dyDescent="0.2">
      <c r="A11721" s="21"/>
      <c r="B11721" s="3" t="s">
        <v>9</v>
      </c>
      <c r="C11721" s="23" t="s">
        <v>899</v>
      </c>
      <c r="D11721" s="21"/>
    </row>
    <row r="11722" spans="1:4" ht="12.75" customHeight="1" x14ac:dyDescent="0.2">
      <c r="A11722" s="21"/>
      <c r="B11722" s="3" t="s">
        <v>11</v>
      </c>
      <c r="C11722" s="23" t="s">
        <v>1528</v>
      </c>
      <c r="D11722" s="21"/>
    </row>
    <row r="11723" spans="1:4" ht="12.75" customHeight="1" x14ac:dyDescent="0.2">
      <c r="A11723" s="21"/>
      <c r="B11723" s="3" t="s">
        <v>16</v>
      </c>
      <c r="C11723" s="23"/>
      <c r="D11723" s="21"/>
    </row>
    <row r="11724" spans="1:4" ht="12.75" customHeight="1" x14ac:dyDescent="0.2">
      <c r="A11724" s="21"/>
      <c r="B11724" s="3" t="s">
        <v>17</v>
      </c>
      <c r="C11724" s="23" t="s">
        <v>19</v>
      </c>
      <c r="D11724" s="21"/>
    </row>
    <row r="11725" spans="1:4" ht="12.75" customHeight="1" x14ac:dyDescent="0.2">
      <c r="A11725" s="21"/>
      <c r="B11725" s="20" t="s">
        <v>18</v>
      </c>
      <c r="C11725" s="8" t="s">
        <v>98</v>
      </c>
      <c r="D11725" s="1" t="str">
        <f>HYPERLINK("javascript:void(0)","banánhéj")</f>
        <v>banánhéj</v>
      </c>
    </row>
    <row r="11726" spans="1:4" ht="12.75" customHeight="1" x14ac:dyDescent="0.2">
      <c r="A11726" s="21"/>
      <c r="B11726" s="21"/>
      <c r="C11726" s="8" t="s">
        <v>102</v>
      </c>
      <c r="D11726" s="1" t="str">
        <f>HYPERLINK("javascript:void(0)","magmacsepp")</f>
        <v>magmacsepp</v>
      </c>
    </row>
    <row r="11727" spans="1:4" ht="12.75" customHeight="1" x14ac:dyDescent="0.2">
      <c r="A11727" s="21"/>
      <c r="B11727" s="21"/>
      <c r="C11727" s="8" t="s">
        <v>265</v>
      </c>
      <c r="D11727" s="1" t="str">
        <f>HYPERLINK("javascript:void(0)","átokige")</f>
        <v>átokige</v>
      </c>
    </row>
    <row r="11728" spans="1:4" ht="12.75" customHeight="1" x14ac:dyDescent="0.2">
      <c r="A11728" s="21"/>
      <c r="B11728" s="2"/>
      <c r="C11728" s="7"/>
      <c r="D11728" s="7"/>
    </row>
    <row r="11729" spans="1:4" ht="12.75" customHeight="1" x14ac:dyDescent="0.2">
      <c r="A11729" s="21"/>
      <c r="B11729" s="2"/>
      <c r="C11729" s="7"/>
      <c r="D11729" s="7"/>
    </row>
    <row r="11730" spans="1:4" ht="12.75" customHeight="1" x14ac:dyDescent="0.2">
      <c r="A11730" s="21"/>
      <c r="B11730" s="2"/>
      <c r="C11730" s="7"/>
      <c r="D11730" s="7"/>
    </row>
    <row r="11731" spans="1:4" ht="12.75" customHeight="1" x14ac:dyDescent="0.2">
      <c r="A11731" s="21"/>
      <c r="B11731" s="2"/>
      <c r="C11731" s="7"/>
      <c r="D11731" s="7"/>
    </row>
    <row r="11732" spans="1:4" ht="12.75" customHeight="1" x14ac:dyDescent="0.2">
      <c r="A11732" s="5"/>
      <c r="B11732" s="2"/>
      <c r="C11732" s="7"/>
      <c r="D11732" s="7"/>
    </row>
    <row r="11733" spans="1:4" ht="12.75" customHeight="1" x14ac:dyDescent="0.2">
      <c r="A11733" s="22" t="str">
        <f>HYPERLINK("javascript:void(0)","fotoacél habtipró")</f>
        <v>fotoacél habtipró</v>
      </c>
      <c r="B11733" s="21"/>
      <c r="C11733" s="21"/>
      <c r="D11733" s="21"/>
    </row>
    <row r="11734" spans="1:4" ht="12.75" customHeight="1" x14ac:dyDescent="0.2">
      <c r="A11734" s="20"/>
      <c r="B11734" s="2"/>
      <c r="C11734" s="7"/>
      <c r="D11734" s="7"/>
    </row>
    <row r="11735" spans="1:4" ht="12.75" customHeight="1" x14ac:dyDescent="0.2">
      <c r="A11735" s="21"/>
      <c r="B11735" s="3" t="s">
        <v>0</v>
      </c>
      <c r="C11735" s="23" t="s">
        <v>883</v>
      </c>
      <c r="D11735" s="21"/>
    </row>
    <row r="11736" spans="1:4" ht="12.75" customHeight="1" x14ac:dyDescent="0.2">
      <c r="A11736" s="21"/>
      <c r="B11736" s="3" t="s">
        <v>2</v>
      </c>
      <c r="C11736" s="23"/>
      <c r="D11736" s="21"/>
    </row>
    <row r="11737" spans="1:4" ht="12.75" customHeight="1" x14ac:dyDescent="0.2">
      <c r="A11737" s="21"/>
      <c r="B11737" s="3" t="s">
        <v>1840</v>
      </c>
      <c r="C11737" s="23" t="s">
        <v>2117</v>
      </c>
      <c r="D11737" s="21"/>
    </row>
    <row r="11738" spans="1:4" ht="12.75" customHeight="1" x14ac:dyDescent="0.2">
      <c r="A11738" s="21"/>
      <c r="B11738" s="3" t="s">
        <v>9</v>
      </c>
      <c r="C11738" s="23" t="s">
        <v>2118</v>
      </c>
      <c r="D11738" s="21"/>
    </row>
    <row r="11739" spans="1:4" ht="12.75" customHeight="1" x14ac:dyDescent="0.2">
      <c r="A11739" s="21"/>
      <c r="B11739" s="3" t="s">
        <v>11</v>
      </c>
      <c r="C11739" s="23" t="s">
        <v>1628</v>
      </c>
      <c r="D11739" s="21"/>
    </row>
    <row r="11740" spans="1:4" ht="12.75" customHeight="1" x14ac:dyDescent="0.2">
      <c r="A11740" s="21"/>
      <c r="B11740" s="3" t="s">
        <v>16</v>
      </c>
      <c r="C11740" s="23"/>
      <c r="D11740" s="21"/>
    </row>
    <row r="11741" spans="1:4" ht="12.75" customHeight="1" x14ac:dyDescent="0.2">
      <c r="A11741" s="21"/>
      <c r="B11741" s="3" t="s">
        <v>17</v>
      </c>
      <c r="C11741" s="23" t="s">
        <v>19</v>
      </c>
      <c r="D11741" s="21"/>
    </row>
    <row r="11742" spans="1:4" ht="12.75" customHeight="1" x14ac:dyDescent="0.2">
      <c r="A11742" s="21"/>
      <c r="B11742" s="20" t="s">
        <v>18</v>
      </c>
      <c r="C11742" s="8" t="s">
        <v>68</v>
      </c>
      <c r="D11742" s="1" t="str">
        <f>HYPERLINK("javascript:void(0)","habléc")</f>
        <v>habléc</v>
      </c>
    </row>
    <row r="11743" spans="1:4" ht="12.75" customHeight="1" x14ac:dyDescent="0.2">
      <c r="A11743" s="21"/>
      <c r="B11743" s="21"/>
      <c r="C11743" s="8" t="s">
        <v>398</v>
      </c>
      <c r="D11743" s="1" t="str">
        <f>HYPERLINK("javascript:void(0)","ördögpihe")</f>
        <v>ördögpihe</v>
      </c>
    </row>
    <row r="11744" spans="1:4" ht="25.5" customHeight="1" x14ac:dyDescent="0.2">
      <c r="A11744" s="21"/>
      <c r="B11744" s="21"/>
      <c r="C11744" s="8" t="s">
        <v>44</v>
      </c>
      <c r="D11744" s="1" t="str">
        <f>HYPERLINK("javascript:void(0)","kompózium mokaszin")</f>
        <v>kompózium mokaszin</v>
      </c>
    </row>
    <row r="11745" spans="1:4" ht="12.75" customHeight="1" x14ac:dyDescent="0.2">
      <c r="A11745" s="21"/>
      <c r="B11745" s="2"/>
      <c r="C11745" s="7"/>
      <c r="D11745" s="7"/>
    </row>
    <row r="11746" spans="1:4" ht="12.75" customHeight="1" x14ac:dyDescent="0.2">
      <c r="A11746" s="21"/>
      <c r="B11746" s="2"/>
      <c r="C11746" s="7"/>
      <c r="D11746" s="7"/>
    </row>
    <row r="11747" spans="1:4" ht="12.75" customHeight="1" x14ac:dyDescent="0.2">
      <c r="A11747" s="21"/>
      <c r="B11747" s="2"/>
      <c r="C11747" s="7"/>
      <c r="D11747" s="7"/>
    </row>
    <row r="11748" spans="1:4" ht="12.75" customHeight="1" x14ac:dyDescent="0.2">
      <c r="A11748" s="21"/>
      <c r="B11748" s="2"/>
      <c r="C11748" s="7"/>
      <c r="D11748" s="7"/>
    </row>
    <row r="11749" spans="1:4" ht="12.75" customHeight="1" x14ac:dyDescent="0.2">
      <c r="A11749" s="5"/>
      <c r="B11749" s="2"/>
      <c r="C11749" s="7"/>
      <c r="D11749" s="7"/>
    </row>
    <row r="11750" spans="1:4" ht="12.75" customHeight="1" x14ac:dyDescent="0.2">
      <c r="A11750" s="22" t="str">
        <f>HYPERLINK("javascript:void(0)","gólembőrpajzs")</f>
        <v>gólembőrpajzs</v>
      </c>
      <c r="B11750" s="21"/>
      <c r="C11750" s="21"/>
      <c r="D11750" s="21"/>
    </row>
    <row r="11751" spans="1:4" ht="12.75" customHeight="1" x14ac:dyDescent="0.2">
      <c r="A11751" s="20"/>
      <c r="B11751" s="2"/>
      <c r="C11751" s="7"/>
      <c r="D11751" s="7"/>
    </row>
    <row r="11752" spans="1:4" ht="12.75" customHeight="1" x14ac:dyDescent="0.2">
      <c r="A11752" s="21"/>
      <c r="B11752" s="3" t="s">
        <v>0</v>
      </c>
      <c r="C11752" s="23" t="s">
        <v>883</v>
      </c>
      <c r="D11752" s="21"/>
    </row>
    <row r="11753" spans="1:4" ht="12.75" customHeight="1" x14ac:dyDescent="0.2">
      <c r="A11753" s="21"/>
      <c r="B11753" s="3" t="s">
        <v>2</v>
      </c>
      <c r="C11753" s="23" t="s">
        <v>1839</v>
      </c>
      <c r="D11753" s="21"/>
    </row>
    <row r="11754" spans="1:4" ht="12.75" customHeight="1" x14ac:dyDescent="0.2">
      <c r="A11754" s="21"/>
      <c r="B11754" s="3" t="s">
        <v>1840</v>
      </c>
      <c r="C11754" s="23" t="s">
        <v>1811</v>
      </c>
      <c r="D11754" s="21"/>
    </row>
    <row r="11755" spans="1:4" ht="12.75" customHeight="1" x14ac:dyDescent="0.2">
      <c r="A11755" s="21"/>
      <c r="B11755" s="3" t="s">
        <v>9</v>
      </c>
      <c r="C11755" s="23" t="s">
        <v>179</v>
      </c>
      <c r="D11755" s="21"/>
    </row>
    <row r="11756" spans="1:4" ht="12.75" customHeight="1" x14ac:dyDescent="0.2">
      <c r="A11756" s="21"/>
      <c r="B11756" s="3" t="s">
        <v>11</v>
      </c>
      <c r="C11756" s="23" t="s">
        <v>1216</v>
      </c>
      <c r="D11756" s="21"/>
    </row>
    <row r="11757" spans="1:4" ht="12.75" customHeight="1" x14ac:dyDescent="0.2">
      <c r="A11757" s="21"/>
      <c r="B11757" s="3" t="s">
        <v>16</v>
      </c>
      <c r="C11757" s="23"/>
      <c r="D11757" s="21"/>
    </row>
    <row r="11758" spans="1:4" ht="12.75" customHeight="1" x14ac:dyDescent="0.2">
      <c r="A11758" s="21"/>
      <c r="B11758" s="3" t="s">
        <v>17</v>
      </c>
      <c r="C11758" s="23" t="s">
        <v>19</v>
      </c>
      <c r="D11758" s="21"/>
    </row>
    <row r="11759" spans="1:4" ht="12.75" customHeight="1" x14ac:dyDescent="0.2">
      <c r="A11759" s="21"/>
      <c r="B11759" s="20" t="s">
        <v>18</v>
      </c>
      <c r="C11759" s="8" t="s">
        <v>44</v>
      </c>
      <c r="D11759" s="1" t="str">
        <f>HYPERLINK("javascript:void(0)","tűernyőpajzs")</f>
        <v>tűernyőpajzs</v>
      </c>
    </row>
    <row r="11760" spans="1:4" ht="12.75" customHeight="1" x14ac:dyDescent="0.2">
      <c r="A11760" s="21"/>
      <c r="B11760" s="21"/>
      <c r="C11760" s="8" t="s">
        <v>244</v>
      </c>
      <c r="D11760" s="1" t="str">
        <f>HYPERLINK("javascript:void(0)","banánhéj")</f>
        <v>banánhéj</v>
      </c>
    </row>
    <row r="11761" spans="1:4" ht="12.75" customHeight="1" x14ac:dyDescent="0.2">
      <c r="A11761" s="21"/>
      <c r="B11761" s="21"/>
      <c r="C11761" s="8" t="s">
        <v>228</v>
      </c>
      <c r="D11761" s="1" t="str">
        <f>HYPERLINK("javascript:void(0)","porszőr")</f>
        <v>porszőr</v>
      </c>
    </row>
    <row r="11762" spans="1:4" ht="12.75" customHeight="1" x14ac:dyDescent="0.2">
      <c r="A11762" s="21"/>
      <c r="B11762" s="2"/>
      <c r="C11762" s="7"/>
      <c r="D11762" s="7"/>
    </row>
    <row r="11763" spans="1:4" ht="12.75" customHeight="1" x14ac:dyDescent="0.2">
      <c r="A11763" s="21"/>
      <c r="B11763" s="2"/>
      <c r="C11763" s="7"/>
      <c r="D11763" s="7"/>
    </row>
    <row r="11764" spans="1:4" ht="12.75" customHeight="1" x14ac:dyDescent="0.2">
      <c r="A11764" s="21"/>
      <c r="B11764" s="2"/>
      <c r="C11764" s="7"/>
      <c r="D11764" s="7"/>
    </row>
    <row r="11765" spans="1:4" ht="12.75" customHeight="1" x14ac:dyDescent="0.2">
      <c r="A11765" s="21"/>
      <c r="B11765" s="2"/>
      <c r="C11765" s="7"/>
      <c r="D11765" s="7"/>
    </row>
    <row r="11766" spans="1:4" ht="12.75" customHeight="1" x14ac:dyDescent="0.2">
      <c r="A11766" s="5"/>
      <c r="B11766" s="2"/>
      <c r="C11766" s="7"/>
      <c r="D11766" s="7"/>
    </row>
    <row r="11767" spans="1:4" ht="12.75" customHeight="1" x14ac:dyDescent="0.2">
      <c r="A11767" s="22" t="str">
        <f>HYPERLINK("javascript:void(0)","centro szellempajzs")</f>
        <v>centro szellempajzs</v>
      </c>
      <c r="B11767" s="21"/>
      <c r="C11767" s="21"/>
      <c r="D11767" s="21"/>
    </row>
    <row r="11768" spans="1:4" ht="12.75" customHeight="1" x14ac:dyDescent="0.2">
      <c r="A11768" s="20"/>
      <c r="B11768" s="2"/>
      <c r="C11768" s="7"/>
      <c r="D11768" s="7"/>
    </row>
    <row r="11769" spans="1:4" ht="12.75" customHeight="1" x14ac:dyDescent="0.2">
      <c r="A11769" s="21"/>
      <c r="B11769" s="3" t="s">
        <v>0</v>
      </c>
      <c r="C11769" s="23" t="s">
        <v>883</v>
      </c>
      <c r="D11769" s="21"/>
    </row>
    <row r="11770" spans="1:4" ht="12.75" customHeight="1" x14ac:dyDescent="0.2">
      <c r="A11770" s="21"/>
      <c r="B11770" s="3" t="s">
        <v>2</v>
      </c>
      <c r="C11770" s="23" t="s">
        <v>1839</v>
      </c>
      <c r="D11770" s="21"/>
    </row>
    <row r="11771" spans="1:4" ht="12.75" customHeight="1" x14ac:dyDescent="0.2">
      <c r="A11771" s="21"/>
      <c r="B11771" s="3" t="s">
        <v>1840</v>
      </c>
      <c r="C11771" s="23" t="s">
        <v>1811</v>
      </c>
      <c r="D11771" s="21"/>
    </row>
    <row r="11772" spans="1:4" ht="12.75" customHeight="1" x14ac:dyDescent="0.2">
      <c r="A11772" s="21"/>
      <c r="B11772" s="3" t="s">
        <v>9</v>
      </c>
      <c r="C11772" s="23" t="s">
        <v>644</v>
      </c>
      <c r="D11772" s="21"/>
    </row>
    <row r="11773" spans="1:4" ht="12.75" customHeight="1" x14ac:dyDescent="0.2">
      <c r="A11773" s="21"/>
      <c r="B11773" s="3" t="s">
        <v>11</v>
      </c>
      <c r="C11773" s="23" t="s">
        <v>1657</v>
      </c>
      <c r="D11773" s="21"/>
    </row>
    <row r="11774" spans="1:4" ht="12.75" customHeight="1" x14ac:dyDescent="0.2">
      <c r="A11774" s="21"/>
      <c r="B11774" s="3" t="s">
        <v>16</v>
      </c>
      <c r="C11774" s="23"/>
      <c r="D11774" s="21"/>
    </row>
    <row r="11775" spans="1:4" ht="12.75" customHeight="1" x14ac:dyDescent="0.2">
      <c r="A11775" s="21"/>
      <c r="B11775" s="3" t="s">
        <v>17</v>
      </c>
      <c r="C11775" s="23" t="s">
        <v>19</v>
      </c>
      <c r="D11775" s="21"/>
    </row>
    <row r="11776" spans="1:4" ht="12.75" customHeight="1" x14ac:dyDescent="0.2">
      <c r="A11776" s="21"/>
      <c r="B11776" s="20" t="s">
        <v>18</v>
      </c>
      <c r="C11776" s="8" t="s">
        <v>44</v>
      </c>
      <c r="D11776" s="1" t="str">
        <f>HYPERLINK("javascript:void(0)","gólembőrpajzs")</f>
        <v>gólembőrpajzs</v>
      </c>
    </row>
    <row r="11777" spans="1:4" ht="12.75" customHeight="1" x14ac:dyDescent="0.2">
      <c r="A11777" s="21"/>
      <c r="B11777" s="21"/>
      <c r="C11777" s="8" t="s">
        <v>398</v>
      </c>
      <c r="D11777" s="1" t="str">
        <f>HYPERLINK("javascript:void(0)","centrolium")</f>
        <v>centrolium</v>
      </c>
    </row>
    <row r="11778" spans="1:4" ht="12.75" customHeight="1" x14ac:dyDescent="0.2">
      <c r="A11778" s="21"/>
      <c r="B11778" s="21"/>
      <c r="C11778" s="8" t="s">
        <v>240</v>
      </c>
      <c r="D11778" s="1" t="str">
        <f>HYPERLINK("javascript:void(0)","habléc")</f>
        <v>habléc</v>
      </c>
    </row>
    <row r="11779" spans="1:4" ht="12.75" customHeight="1" x14ac:dyDescent="0.2">
      <c r="A11779" s="21"/>
      <c r="B11779" s="2"/>
      <c r="C11779" s="7"/>
      <c r="D11779" s="7"/>
    </row>
    <row r="11780" spans="1:4" ht="12.75" customHeight="1" x14ac:dyDescent="0.2">
      <c r="A11780" s="21"/>
      <c r="B11780" s="2"/>
      <c r="C11780" s="7"/>
      <c r="D11780" s="7"/>
    </row>
    <row r="11781" spans="1:4" ht="12.75" customHeight="1" x14ac:dyDescent="0.2">
      <c r="A11781" s="21"/>
      <c r="B11781" s="2"/>
      <c r="C11781" s="7"/>
      <c r="D11781" s="7"/>
    </row>
    <row r="11782" spans="1:4" ht="12.75" customHeight="1" x14ac:dyDescent="0.2">
      <c r="A11782" s="21"/>
      <c r="B11782" s="2"/>
      <c r="C11782" s="7"/>
      <c r="D11782" s="7"/>
    </row>
    <row r="11783" spans="1:4" ht="12.75" customHeight="1" x14ac:dyDescent="0.2">
      <c r="A11783" s="5"/>
      <c r="B11783" s="2"/>
      <c r="C11783" s="7"/>
      <c r="D11783" s="7"/>
    </row>
    <row r="11784" spans="1:4" ht="12.75" customHeight="1" x14ac:dyDescent="0.2">
      <c r="A11784" s="22" t="str">
        <f>HYPERLINK("javascript:void(0)","fotonbélés")</f>
        <v>fotonbélés</v>
      </c>
      <c r="B11784" s="21"/>
      <c r="C11784" s="21"/>
      <c r="D11784" s="21"/>
    </row>
    <row r="11785" spans="1:4" ht="12.75" customHeight="1" x14ac:dyDescent="0.2">
      <c r="A11785" s="20"/>
      <c r="B11785" s="2"/>
      <c r="C11785" s="7"/>
      <c r="D11785" s="7"/>
    </row>
    <row r="11786" spans="1:4" ht="12.75" customHeight="1" x14ac:dyDescent="0.2">
      <c r="A11786" s="21"/>
      <c r="B11786" s="3" t="s">
        <v>0</v>
      </c>
      <c r="C11786" s="23" t="s">
        <v>883</v>
      </c>
      <c r="D11786" s="21"/>
    </row>
    <row r="11787" spans="1:4" ht="12.75" customHeight="1" x14ac:dyDescent="0.2">
      <c r="A11787" s="21"/>
      <c r="B11787" s="3" t="s">
        <v>2</v>
      </c>
      <c r="C11787" s="23" t="s">
        <v>2322</v>
      </c>
      <c r="D11787" s="21"/>
    </row>
    <row r="11788" spans="1:4" ht="12.75" customHeight="1" x14ac:dyDescent="0.2">
      <c r="A11788" s="21"/>
      <c r="B11788" s="3" t="s">
        <v>1840</v>
      </c>
      <c r="C11788" s="23" t="s">
        <v>115</v>
      </c>
      <c r="D11788" s="21"/>
    </row>
    <row r="11789" spans="1:4" ht="12.75" customHeight="1" x14ac:dyDescent="0.2">
      <c r="A11789" s="21"/>
      <c r="B11789" s="3" t="s">
        <v>9</v>
      </c>
      <c r="C11789" s="23" t="s">
        <v>172</v>
      </c>
      <c r="D11789" s="21"/>
    </row>
    <row r="11790" spans="1:4" ht="12.75" customHeight="1" x14ac:dyDescent="0.2">
      <c r="A11790" s="21"/>
      <c r="B11790" s="3" t="s">
        <v>11</v>
      </c>
      <c r="C11790" s="23" t="s">
        <v>2494</v>
      </c>
      <c r="D11790" s="21"/>
    </row>
    <row r="11791" spans="1:4" ht="12.75" customHeight="1" x14ac:dyDescent="0.2">
      <c r="A11791" s="21"/>
      <c r="B11791" s="3" t="s">
        <v>16</v>
      </c>
      <c r="C11791" s="23"/>
      <c r="D11791" s="21"/>
    </row>
    <row r="11792" spans="1:4" ht="12.75" customHeight="1" x14ac:dyDescent="0.2">
      <c r="A11792" s="21"/>
      <c r="B11792" s="3" t="s">
        <v>17</v>
      </c>
      <c r="C11792" s="23" t="s">
        <v>19</v>
      </c>
      <c r="D11792" s="21"/>
    </row>
    <row r="11793" spans="1:4" ht="12.75" customHeight="1" x14ac:dyDescent="0.2">
      <c r="A11793" s="21"/>
      <c r="B11793" s="20" t="s">
        <v>18</v>
      </c>
      <c r="C11793" s="8" t="s">
        <v>68</v>
      </c>
      <c r="D11793" s="1" t="str">
        <f>HYPERLINK("javascript:void(0)","habléc")</f>
        <v>habléc</v>
      </c>
    </row>
    <row r="11794" spans="1:4" ht="12.75" customHeight="1" x14ac:dyDescent="0.2">
      <c r="A11794" s="21"/>
      <c r="B11794" s="21"/>
      <c r="C11794" s="8" t="s">
        <v>98</v>
      </c>
      <c r="D11794" s="1" t="str">
        <f>HYPERLINK("javascript:void(0)","lidérclámpás")</f>
        <v>lidérclámpás</v>
      </c>
    </row>
    <row r="11795" spans="1:4" ht="12.75" customHeight="1" x14ac:dyDescent="0.2">
      <c r="A11795" s="21"/>
      <c r="B11795" s="21"/>
      <c r="C11795" s="8" t="s">
        <v>244</v>
      </c>
      <c r="D11795" s="1" t="str">
        <f>HYPERLINK("javascript:void(0)","térszelet")</f>
        <v>térszelet</v>
      </c>
    </row>
    <row r="11796" spans="1:4" ht="12.75" customHeight="1" x14ac:dyDescent="0.2">
      <c r="A11796" s="21"/>
      <c r="B11796" s="2"/>
      <c r="C11796" s="7"/>
      <c r="D11796" s="7"/>
    </row>
    <row r="11797" spans="1:4" ht="12.75" customHeight="1" x14ac:dyDescent="0.2">
      <c r="A11797" s="21"/>
      <c r="B11797" s="2"/>
      <c r="C11797" s="7"/>
      <c r="D11797" s="7"/>
    </row>
    <row r="11798" spans="1:4" ht="12.75" customHeight="1" x14ac:dyDescent="0.2">
      <c r="A11798" s="21"/>
      <c r="B11798" s="2"/>
      <c r="C11798" s="7"/>
      <c r="D11798" s="7"/>
    </row>
    <row r="11799" spans="1:4" ht="12.75" customHeight="1" x14ac:dyDescent="0.2">
      <c r="A11799" s="21"/>
      <c r="B11799" s="2"/>
      <c r="C11799" s="7"/>
      <c r="D11799" s="7"/>
    </row>
    <row r="11800" spans="1:4" ht="12.75" customHeight="1" x14ac:dyDescent="0.2">
      <c r="A11800" s="5"/>
      <c r="B11800" s="2"/>
      <c r="C11800" s="7"/>
      <c r="D11800" s="7"/>
    </row>
    <row r="11801" spans="1:4" ht="12.75" customHeight="1" x14ac:dyDescent="0.2">
      <c r="A11801" s="22" t="str">
        <f>HYPERLINK("javascript:void(0)","rimföldi manasisak")</f>
        <v>rimföldi manasisak</v>
      </c>
      <c r="B11801" s="21"/>
      <c r="C11801" s="21"/>
      <c r="D11801" s="21"/>
    </row>
    <row r="11802" spans="1:4" ht="12.75" customHeight="1" x14ac:dyDescent="0.2">
      <c r="A11802" s="20"/>
      <c r="B11802" s="2"/>
      <c r="C11802" s="7"/>
      <c r="D11802" s="7"/>
    </row>
    <row r="11803" spans="1:4" ht="12.75" customHeight="1" x14ac:dyDescent="0.2">
      <c r="A11803" s="21"/>
      <c r="B11803" s="3" t="s">
        <v>0</v>
      </c>
      <c r="C11803" s="23" t="s">
        <v>883</v>
      </c>
      <c r="D11803" s="21"/>
    </row>
    <row r="11804" spans="1:4" ht="12.75" customHeight="1" x14ac:dyDescent="0.2">
      <c r="A11804" s="21"/>
      <c r="B11804" s="3" t="s">
        <v>2</v>
      </c>
      <c r="C11804" s="23"/>
      <c r="D11804" s="21"/>
    </row>
    <row r="11805" spans="1:4" ht="12.75" customHeight="1" x14ac:dyDescent="0.2">
      <c r="A11805" s="21"/>
      <c r="B11805" s="3" t="s">
        <v>1840</v>
      </c>
      <c r="C11805" s="23" t="s">
        <v>361</v>
      </c>
      <c r="D11805" s="21"/>
    </row>
    <row r="11806" spans="1:4" ht="12.75" customHeight="1" x14ac:dyDescent="0.2">
      <c r="A11806" s="21"/>
      <c r="B11806" s="3" t="s">
        <v>9</v>
      </c>
      <c r="C11806" s="23" t="s">
        <v>2273</v>
      </c>
      <c r="D11806" s="21"/>
    </row>
    <row r="11807" spans="1:4" ht="12.75" customHeight="1" x14ac:dyDescent="0.2">
      <c r="A11807" s="21"/>
      <c r="B11807" s="3" t="s">
        <v>11</v>
      </c>
      <c r="C11807" s="23" t="s">
        <v>1035</v>
      </c>
      <c r="D11807" s="21"/>
    </row>
    <row r="11808" spans="1:4" ht="12.75" customHeight="1" x14ac:dyDescent="0.2">
      <c r="A11808" s="21"/>
      <c r="B11808" s="3" t="s">
        <v>16</v>
      </c>
      <c r="C11808" s="23"/>
      <c r="D11808" s="21"/>
    </row>
    <row r="11809" spans="1:4" ht="12.75" customHeight="1" x14ac:dyDescent="0.2">
      <c r="A11809" s="21"/>
      <c r="B11809" s="3" t="s">
        <v>17</v>
      </c>
      <c r="C11809" s="23" t="s">
        <v>19</v>
      </c>
      <c r="D11809" s="21"/>
    </row>
    <row r="11810" spans="1:4" ht="12.75" customHeight="1" x14ac:dyDescent="0.2">
      <c r="A11810" s="21"/>
      <c r="B11810" s="20" t="s">
        <v>18</v>
      </c>
      <c r="C11810" s="8" t="s">
        <v>44</v>
      </c>
      <c r="D11810" s="1" t="str">
        <f>HYPERLINK("javascript:void(0)","skivei manasisak")</f>
        <v>skivei manasisak</v>
      </c>
    </row>
    <row r="11811" spans="1:4" ht="12.75" customHeight="1" x14ac:dyDescent="0.2">
      <c r="A11811" s="21"/>
      <c r="B11811" s="21"/>
      <c r="C11811" s="8" t="s">
        <v>132</v>
      </c>
      <c r="D11811" s="1" t="str">
        <f>HYPERLINK("javascript:void(0)","habléc")</f>
        <v>habléc</v>
      </c>
    </row>
    <row r="11812" spans="1:4" ht="12.75" customHeight="1" x14ac:dyDescent="0.2">
      <c r="A11812" s="21"/>
      <c r="B11812" s="21"/>
      <c r="C11812" s="8" t="s">
        <v>139</v>
      </c>
      <c r="D11812" s="1" t="str">
        <f>HYPERLINK("javascript:void(0)","hídpenge")</f>
        <v>hídpenge</v>
      </c>
    </row>
    <row r="11813" spans="1:4" ht="12.75" customHeight="1" x14ac:dyDescent="0.2">
      <c r="A11813" s="21"/>
      <c r="B11813" s="2"/>
      <c r="C11813" s="7"/>
      <c r="D11813" s="7"/>
    </row>
    <row r="11814" spans="1:4" ht="12.75" customHeight="1" x14ac:dyDescent="0.2">
      <c r="A11814" s="21"/>
      <c r="B11814" s="2"/>
      <c r="C11814" s="7"/>
      <c r="D11814" s="7"/>
    </row>
    <row r="11815" spans="1:4" ht="12.75" customHeight="1" x14ac:dyDescent="0.2">
      <c r="A11815" s="21"/>
      <c r="B11815" s="2"/>
      <c r="C11815" s="7"/>
      <c r="D11815" s="7"/>
    </row>
    <row r="11816" spans="1:4" ht="12.75" customHeight="1" x14ac:dyDescent="0.2">
      <c r="A11816" s="21"/>
      <c r="B11816" s="2"/>
      <c r="C11816" s="7"/>
      <c r="D11816" s="7"/>
    </row>
    <row r="11817" spans="1:4" ht="12.75" customHeight="1" x14ac:dyDescent="0.2">
      <c r="A11817" s="5"/>
      <c r="B11817" s="2"/>
      <c r="C11817" s="7"/>
      <c r="D11817" s="7"/>
    </row>
    <row r="11818" spans="1:4" ht="12.75" customHeight="1" x14ac:dyDescent="0.2">
      <c r="A11818" s="22" t="str">
        <f>HYPERLINK("javascript:void(0)","rimföldi manafejpánt")</f>
        <v>rimföldi manafejpánt</v>
      </c>
      <c r="B11818" s="21"/>
      <c r="C11818" s="21"/>
      <c r="D11818" s="21"/>
    </row>
    <row r="11819" spans="1:4" ht="12.75" customHeight="1" x14ac:dyDescent="0.2">
      <c r="A11819" s="20"/>
      <c r="B11819" s="2"/>
      <c r="C11819" s="7"/>
      <c r="D11819" s="7"/>
    </row>
    <row r="11820" spans="1:4" ht="12.75" customHeight="1" x14ac:dyDescent="0.2">
      <c r="A11820" s="21"/>
      <c r="B11820" s="3" t="s">
        <v>0</v>
      </c>
      <c r="C11820" s="23" t="s">
        <v>883</v>
      </c>
      <c r="D11820" s="21"/>
    </row>
    <row r="11821" spans="1:4" ht="12.75" customHeight="1" x14ac:dyDescent="0.2">
      <c r="A11821" s="21"/>
      <c r="B11821" s="3" t="s">
        <v>2</v>
      </c>
      <c r="C11821" s="23"/>
      <c r="D11821" s="21"/>
    </row>
    <row r="11822" spans="1:4" ht="12.75" customHeight="1" x14ac:dyDescent="0.2">
      <c r="A11822" s="21"/>
      <c r="B11822" s="3" t="s">
        <v>1840</v>
      </c>
      <c r="C11822" s="23" t="s">
        <v>532</v>
      </c>
      <c r="D11822" s="21"/>
    </row>
    <row r="11823" spans="1:4" ht="12.75" customHeight="1" x14ac:dyDescent="0.2">
      <c r="A11823" s="21"/>
      <c r="B11823" s="3" t="s">
        <v>9</v>
      </c>
      <c r="C11823" s="23" t="s">
        <v>1112</v>
      </c>
      <c r="D11823" s="21"/>
    </row>
    <row r="11824" spans="1:4" ht="12.75" customHeight="1" x14ac:dyDescent="0.2">
      <c r="A11824" s="21"/>
      <c r="B11824" s="3" t="s">
        <v>11</v>
      </c>
      <c r="C11824" s="23" t="s">
        <v>1035</v>
      </c>
      <c r="D11824" s="21"/>
    </row>
    <row r="11825" spans="1:4" ht="12.75" customHeight="1" x14ac:dyDescent="0.2">
      <c r="A11825" s="21"/>
      <c r="B11825" s="3" t="s">
        <v>16</v>
      </c>
      <c r="C11825" s="23"/>
      <c r="D11825" s="21"/>
    </row>
    <row r="11826" spans="1:4" ht="12.75" customHeight="1" x14ac:dyDescent="0.2">
      <c r="A11826" s="21"/>
      <c r="B11826" s="3" t="s">
        <v>17</v>
      </c>
      <c r="C11826" s="23" t="s">
        <v>19</v>
      </c>
      <c r="D11826" s="21"/>
    </row>
    <row r="11827" spans="1:4" ht="12.75" customHeight="1" x14ac:dyDescent="0.2">
      <c r="A11827" s="21"/>
      <c r="B11827" s="20" t="s">
        <v>18</v>
      </c>
      <c r="C11827" s="8" t="s">
        <v>780</v>
      </c>
      <c r="D11827" s="1" t="str">
        <f>HYPERLINK("javascript:void(0)","zanzahúr")</f>
        <v>zanzahúr</v>
      </c>
    </row>
    <row r="11828" spans="1:4" ht="12.75" customHeight="1" x14ac:dyDescent="0.2">
      <c r="A11828" s="21"/>
      <c r="B11828" s="21"/>
      <c r="C11828" s="8" t="s">
        <v>44</v>
      </c>
      <c r="D11828" s="1" t="str">
        <f>HYPERLINK("javascript:void(0)","skivei manafejpánt")</f>
        <v>skivei manafejpánt</v>
      </c>
    </row>
    <row r="11829" spans="1:4" ht="12.75" customHeight="1" x14ac:dyDescent="0.2">
      <c r="A11829" s="21"/>
      <c r="B11829" s="21"/>
      <c r="C11829" s="8" t="s">
        <v>780</v>
      </c>
      <c r="D11829" s="1" t="str">
        <f>HYPERLINK("javascript:void(0)","banánhéj")</f>
        <v>banánhéj</v>
      </c>
    </row>
    <row r="11830" spans="1:4" ht="12.75" customHeight="1" x14ac:dyDescent="0.2">
      <c r="A11830" s="21"/>
      <c r="B11830" s="2"/>
      <c r="C11830" s="7"/>
      <c r="D11830" s="7"/>
    </row>
    <row r="11831" spans="1:4" ht="12.75" customHeight="1" x14ac:dyDescent="0.2">
      <c r="A11831" s="21"/>
      <c r="B11831" s="2"/>
      <c r="C11831" s="7"/>
      <c r="D11831" s="7"/>
    </row>
    <row r="11832" spans="1:4" ht="12.75" customHeight="1" x14ac:dyDescent="0.2">
      <c r="A11832" s="21"/>
      <c r="B11832" s="2"/>
      <c r="C11832" s="7"/>
      <c r="D11832" s="7"/>
    </row>
    <row r="11833" spans="1:4" ht="12.75" customHeight="1" x14ac:dyDescent="0.2">
      <c r="A11833" s="21"/>
      <c r="B11833" s="2"/>
      <c r="C11833" s="7"/>
      <c r="D11833" s="7"/>
    </row>
    <row r="11834" spans="1:4" ht="12.75" customHeight="1" x14ac:dyDescent="0.2">
      <c r="A11834" s="5"/>
      <c r="B11834" s="2"/>
      <c r="C11834" s="7"/>
      <c r="D11834" s="7"/>
    </row>
    <row r="11835" spans="1:4" ht="12.75" customHeight="1" x14ac:dyDescent="0.2">
      <c r="A11835" s="22" t="str">
        <f>HYPERLINK("javascript:void(0)","teljes atomvért")</f>
        <v>teljes atomvért</v>
      </c>
      <c r="B11835" s="21"/>
      <c r="C11835" s="21"/>
      <c r="D11835" s="21"/>
    </row>
    <row r="11836" spans="1:4" ht="12.75" customHeight="1" x14ac:dyDescent="0.2">
      <c r="A11836" s="20"/>
      <c r="B11836" s="2"/>
      <c r="C11836" s="7"/>
      <c r="D11836" s="7"/>
    </row>
    <row r="11837" spans="1:4" ht="12.75" customHeight="1" x14ac:dyDescent="0.2">
      <c r="A11837" s="21"/>
      <c r="B11837" s="3" t="s">
        <v>0</v>
      </c>
      <c r="C11837" s="23" t="s">
        <v>896</v>
      </c>
      <c r="D11837" s="21"/>
    </row>
    <row r="11838" spans="1:4" ht="12.75" customHeight="1" x14ac:dyDescent="0.2">
      <c r="A11838" s="21"/>
      <c r="B11838" s="3" t="s">
        <v>2</v>
      </c>
      <c r="C11838" s="23" t="s">
        <v>2322</v>
      </c>
      <c r="D11838" s="21"/>
    </row>
    <row r="11839" spans="1:4" ht="12.75" customHeight="1" x14ac:dyDescent="0.2">
      <c r="A11839" s="21"/>
      <c r="B11839" s="3" t="s">
        <v>1840</v>
      </c>
      <c r="C11839" s="23" t="s">
        <v>2495</v>
      </c>
      <c r="D11839" s="21"/>
    </row>
    <row r="11840" spans="1:4" ht="12.75" customHeight="1" x14ac:dyDescent="0.2">
      <c r="A11840" s="21"/>
      <c r="B11840" s="3" t="s">
        <v>9</v>
      </c>
      <c r="C11840" s="23" t="s">
        <v>1595</v>
      </c>
      <c r="D11840" s="21"/>
    </row>
    <row r="11841" spans="1:4" ht="12.75" customHeight="1" x14ac:dyDescent="0.2">
      <c r="A11841" s="21"/>
      <c r="B11841" s="3" t="s">
        <v>11</v>
      </c>
      <c r="C11841" s="23" t="s">
        <v>1451</v>
      </c>
      <c r="D11841" s="21"/>
    </row>
    <row r="11842" spans="1:4" ht="12.75" customHeight="1" x14ac:dyDescent="0.2">
      <c r="A11842" s="21"/>
      <c r="B11842" s="3" t="s">
        <v>16</v>
      </c>
      <c r="C11842" s="23"/>
      <c r="D11842" s="21"/>
    </row>
    <row r="11843" spans="1:4" ht="12.75" customHeight="1" x14ac:dyDescent="0.2">
      <c r="A11843" s="21"/>
      <c r="B11843" s="3" t="s">
        <v>17</v>
      </c>
      <c r="C11843" s="23" t="s">
        <v>19</v>
      </c>
      <c r="D11843" s="21"/>
    </row>
    <row r="11844" spans="1:4" ht="12.75" customHeight="1" x14ac:dyDescent="0.2">
      <c r="A11844" s="21"/>
      <c r="B11844" s="20" t="s">
        <v>18</v>
      </c>
      <c r="C11844" s="8" t="s">
        <v>68</v>
      </c>
      <c r="D11844" s="1" t="str">
        <f>HYPERLINK("javascript:void(0)","molekula")</f>
        <v>molekula</v>
      </c>
    </row>
    <row r="11845" spans="1:4" ht="12.75" customHeight="1" x14ac:dyDescent="0.2">
      <c r="A11845" s="21"/>
      <c r="B11845" s="21"/>
      <c r="C11845" s="8" t="s">
        <v>44</v>
      </c>
      <c r="D11845" s="1" t="str">
        <f>HYPERLINK("javascript:void(0)","teljes fotoacélvért")</f>
        <v>teljes fotoacélvért</v>
      </c>
    </row>
    <row r="11846" spans="1:4" ht="12.75" customHeight="1" x14ac:dyDescent="0.2">
      <c r="A11846" s="21"/>
      <c r="B11846" s="21"/>
      <c r="C11846" s="8" t="s">
        <v>244</v>
      </c>
      <c r="D11846" s="1" t="str">
        <f>HYPERLINK("javascript:void(0)","zanzahúr")</f>
        <v>zanzahúr</v>
      </c>
    </row>
    <row r="11847" spans="1:4" ht="12.75" customHeight="1" x14ac:dyDescent="0.2">
      <c r="A11847" s="21"/>
      <c r="B11847" s="2"/>
      <c r="C11847" s="7"/>
      <c r="D11847" s="7"/>
    </row>
    <row r="11848" spans="1:4" ht="12.75" customHeight="1" x14ac:dyDescent="0.2">
      <c r="A11848" s="21"/>
      <c r="B11848" s="2"/>
      <c r="C11848" s="7"/>
      <c r="D11848" s="7"/>
    </row>
    <row r="11849" spans="1:4" ht="12.75" customHeight="1" x14ac:dyDescent="0.2">
      <c r="A11849" s="21"/>
      <c r="B11849" s="2"/>
      <c r="C11849" s="7"/>
      <c r="D11849" s="7"/>
    </row>
    <row r="11850" spans="1:4" ht="12.75" customHeight="1" x14ac:dyDescent="0.2">
      <c r="A11850" s="21"/>
      <c r="B11850" s="2"/>
      <c r="C11850" s="7"/>
      <c r="D11850" s="7"/>
    </row>
    <row r="11851" spans="1:4" ht="12.75" customHeight="1" x14ac:dyDescent="0.2">
      <c r="A11851" s="5"/>
      <c r="B11851" s="2"/>
      <c r="C11851" s="7"/>
      <c r="D11851" s="7"/>
    </row>
    <row r="11852" spans="1:4" ht="12.75" customHeight="1" x14ac:dyDescent="0.2">
      <c r="A11852" s="22" t="str">
        <f>HYPERLINK("javascript:void(0)","villámsisak")</f>
        <v>villámsisak</v>
      </c>
      <c r="B11852" s="21"/>
      <c r="C11852" s="21"/>
      <c r="D11852" s="21"/>
    </row>
    <row r="11853" spans="1:4" ht="12.75" customHeight="1" x14ac:dyDescent="0.2">
      <c r="A11853" s="20"/>
      <c r="B11853" s="2"/>
      <c r="C11853" s="7"/>
      <c r="D11853" s="7"/>
    </row>
    <row r="11854" spans="1:4" ht="12.75" customHeight="1" x14ac:dyDescent="0.2">
      <c r="A11854" s="21"/>
      <c r="B11854" s="3" t="s">
        <v>0</v>
      </c>
      <c r="C11854" s="23" t="s">
        <v>896</v>
      </c>
      <c r="D11854" s="21"/>
    </row>
    <row r="11855" spans="1:4" ht="12.75" customHeight="1" x14ac:dyDescent="0.2">
      <c r="A11855" s="21"/>
      <c r="B11855" s="3" t="s">
        <v>2</v>
      </c>
      <c r="C11855" s="23"/>
      <c r="D11855" s="21"/>
    </row>
    <row r="11856" spans="1:4" ht="12.75" customHeight="1" x14ac:dyDescent="0.2">
      <c r="A11856" s="21"/>
      <c r="B11856" s="3" t="s">
        <v>1840</v>
      </c>
      <c r="C11856" s="23" t="s">
        <v>1808</v>
      </c>
      <c r="D11856" s="21"/>
    </row>
    <row r="11857" spans="1:4" ht="12.75" customHeight="1" x14ac:dyDescent="0.2">
      <c r="A11857" s="21"/>
      <c r="B11857" s="3" t="s">
        <v>9</v>
      </c>
      <c r="C11857" s="23" t="s">
        <v>30</v>
      </c>
      <c r="D11857" s="21"/>
    </row>
    <row r="11858" spans="1:4" ht="12.75" customHeight="1" x14ac:dyDescent="0.2">
      <c r="A11858" s="21"/>
      <c r="B11858" s="3" t="s">
        <v>11</v>
      </c>
      <c r="C11858" s="23" t="s">
        <v>1451</v>
      </c>
      <c r="D11858" s="21"/>
    </row>
    <row r="11859" spans="1:4" ht="12.75" customHeight="1" x14ac:dyDescent="0.2">
      <c r="A11859" s="21"/>
      <c r="B11859" s="3" t="s">
        <v>16</v>
      </c>
      <c r="C11859" s="23"/>
      <c r="D11859" s="21"/>
    </row>
    <row r="11860" spans="1:4" ht="12.75" customHeight="1" x14ac:dyDescent="0.2">
      <c r="A11860" s="21"/>
      <c r="B11860" s="3" t="s">
        <v>17</v>
      </c>
      <c r="C11860" s="23" t="s">
        <v>19</v>
      </c>
      <c r="D11860" s="21"/>
    </row>
    <row r="11861" spans="1:4" ht="25.5" customHeight="1" x14ac:dyDescent="0.2">
      <c r="A11861" s="21"/>
      <c r="B11861" s="20" t="s">
        <v>18</v>
      </c>
      <c r="C11861" s="8" t="s">
        <v>44</v>
      </c>
      <c r="D11861" s="1" t="str">
        <f>HYPERLINK("javascript:void(0)","szárnyas démonsisak")</f>
        <v>szárnyas démonsisak</v>
      </c>
    </row>
    <row r="11862" spans="1:4" ht="12.75" customHeight="1" x14ac:dyDescent="0.2">
      <c r="A11862" s="21"/>
      <c r="B11862" s="21"/>
      <c r="C11862" s="8" t="s">
        <v>44</v>
      </c>
      <c r="D11862" s="1" t="str">
        <f>HYPERLINK("javascript:void(0)","dicsfény")</f>
        <v>dicsfény</v>
      </c>
    </row>
    <row r="11863" spans="1:4" ht="12.75" customHeight="1" x14ac:dyDescent="0.2">
      <c r="A11863" s="21"/>
      <c r="B11863" s="21"/>
      <c r="C11863" s="8" t="s">
        <v>44</v>
      </c>
      <c r="D11863" s="1" t="str">
        <f>HYPERLINK("javascript:void(0)","siklósisak")</f>
        <v>siklósisak</v>
      </c>
    </row>
    <row r="11864" spans="1:4" ht="12.75" customHeight="1" x14ac:dyDescent="0.2">
      <c r="A11864" s="21"/>
      <c r="B11864" s="2"/>
      <c r="C11864" s="7"/>
      <c r="D11864" s="7"/>
    </row>
    <row r="11865" spans="1:4" ht="12.75" customHeight="1" x14ac:dyDescent="0.2">
      <c r="A11865" s="21"/>
      <c r="B11865" s="2"/>
      <c r="C11865" s="7"/>
      <c r="D11865" s="7"/>
    </row>
    <row r="11866" spans="1:4" ht="12.75" customHeight="1" x14ac:dyDescent="0.2">
      <c r="A11866" s="21"/>
      <c r="B11866" s="2"/>
      <c r="C11866" s="7"/>
      <c r="D11866" s="7"/>
    </row>
    <row r="11867" spans="1:4" ht="12.75" customHeight="1" x14ac:dyDescent="0.2">
      <c r="A11867" s="21"/>
      <c r="B11867" s="2"/>
      <c r="C11867" s="7"/>
      <c r="D11867" s="7"/>
    </row>
    <row r="11868" spans="1:4" ht="12.75" customHeight="1" x14ac:dyDescent="0.2">
      <c r="A11868" s="5"/>
      <c r="B11868" s="2"/>
      <c r="C11868" s="7"/>
      <c r="D11868" s="7"/>
    </row>
    <row r="11869" spans="1:4" ht="12.75" customHeight="1" x14ac:dyDescent="0.2">
      <c r="A11869" s="22" t="str">
        <f>HYPERLINK("javascript:void(0)","fotoacél mokaszin")</f>
        <v>fotoacél mokaszin</v>
      </c>
      <c r="B11869" s="21"/>
      <c r="C11869" s="21"/>
      <c r="D11869" s="21"/>
    </row>
    <row r="11870" spans="1:4" ht="12.75" customHeight="1" x14ac:dyDescent="0.2">
      <c r="A11870" s="20"/>
      <c r="B11870" s="2"/>
      <c r="C11870" s="7"/>
      <c r="D11870" s="7"/>
    </row>
    <row r="11871" spans="1:4" ht="12.75" customHeight="1" x14ac:dyDescent="0.2">
      <c r="A11871" s="21"/>
      <c r="B11871" s="3" t="s">
        <v>0</v>
      </c>
      <c r="C11871" s="23" t="s">
        <v>896</v>
      </c>
      <c r="D11871" s="21"/>
    </row>
    <row r="11872" spans="1:4" ht="12.75" customHeight="1" x14ac:dyDescent="0.2">
      <c r="A11872" s="21"/>
      <c r="B11872" s="3" t="s">
        <v>2</v>
      </c>
      <c r="C11872" s="23"/>
      <c r="D11872" s="21"/>
    </row>
    <row r="11873" spans="1:4" ht="12.75" customHeight="1" x14ac:dyDescent="0.2">
      <c r="A11873" s="21"/>
      <c r="B11873" s="3" t="s">
        <v>1840</v>
      </c>
      <c r="C11873" s="23" t="s">
        <v>1800</v>
      </c>
      <c r="D11873" s="21"/>
    </row>
    <row r="11874" spans="1:4" ht="12.75" customHeight="1" x14ac:dyDescent="0.2">
      <c r="A11874" s="21"/>
      <c r="B11874" s="3" t="s">
        <v>9</v>
      </c>
      <c r="C11874" s="23" t="s">
        <v>2119</v>
      </c>
      <c r="D11874" s="21"/>
    </row>
    <row r="11875" spans="1:4" ht="12.75" customHeight="1" x14ac:dyDescent="0.2">
      <c r="A11875" s="21"/>
      <c r="B11875" s="3" t="s">
        <v>11</v>
      </c>
      <c r="C11875" s="23" t="s">
        <v>1459</v>
      </c>
      <c r="D11875" s="21"/>
    </row>
    <row r="11876" spans="1:4" ht="12.75" customHeight="1" x14ac:dyDescent="0.2">
      <c r="A11876" s="21"/>
      <c r="B11876" s="3" t="s">
        <v>16</v>
      </c>
      <c r="C11876" s="23"/>
      <c r="D11876" s="21"/>
    </row>
    <row r="11877" spans="1:4" ht="12.75" customHeight="1" x14ac:dyDescent="0.2">
      <c r="A11877" s="21"/>
      <c r="B11877" s="3" t="s">
        <v>17</v>
      </c>
      <c r="C11877" s="23" t="s">
        <v>19</v>
      </c>
      <c r="D11877" s="21"/>
    </row>
    <row r="11878" spans="1:4" ht="12.75" customHeight="1" x14ac:dyDescent="0.2">
      <c r="A11878" s="21"/>
      <c r="B11878" s="20" t="s">
        <v>18</v>
      </c>
      <c r="C11878" s="8" t="s">
        <v>68</v>
      </c>
      <c r="D11878" s="1" t="str">
        <f>HYPERLINK("javascript:void(0)","molekula")</f>
        <v>molekula</v>
      </c>
    </row>
    <row r="11879" spans="1:4" ht="12.75" customHeight="1" x14ac:dyDescent="0.2">
      <c r="A11879" s="21"/>
      <c r="B11879" s="21"/>
      <c r="C11879" s="8" t="s">
        <v>132</v>
      </c>
      <c r="D11879" s="1" t="str">
        <f>HYPERLINK("javascript:void(0)","csapdaszeg")</f>
        <v>csapdaszeg</v>
      </c>
    </row>
    <row r="11880" spans="1:4" ht="12.75" customHeight="1" x14ac:dyDescent="0.2">
      <c r="A11880" s="21"/>
      <c r="B11880" s="21"/>
      <c r="C11880" s="8" t="s">
        <v>265</v>
      </c>
      <c r="D11880" s="1" t="str">
        <f>HYPERLINK("javascript:void(0)","managöb")</f>
        <v>managöb</v>
      </c>
    </row>
    <row r="11881" spans="1:4" ht="12.75" customHeight="1" x14ac:dyDescent="0.2">
      <c r="A11881" s="21"/>
      <c r="B11881" s="2"/>
      <c r="C11881" s="7"/>
      <c r="D11881" s="7"/>
    </row>
    <row r="11882" spans="1:4" ht="12.75" customHeight="1" x14ac:dyDescent="0.2">
      <c r="A11882" s="21"/>
      <c r="B11882" s="2"/>
      <c r="C11882" s="7"/>
      <c r="D11882" s="7"/>
    </row>
    <row r="11883" spans="1:4" ht="12.75" customHeight="1" x14ac:dyDescent="0.2">
      <c r="A11883" s="21"/>
      <c r="B11883" s="2"/>
      <c r="C11883" s="7"/>
      <c r="D11883" s="7"/>
    </row>
    <row r="11884" spans="1:4" ht="12.75" customHeight="1" x14ac:dyDescent="0.2">
      <c r="A11884" s="21"/>
      <c r="B11884" s="2"/>
      <c r="C11884" s="7"/>
      <c r="D11884" s="7"/>
    </row>
    <row r="11885" spans="1:4" ht="12.75" customHeight="1" x14ac:dyDescent="0.2">
      <c r="A11885" s="5"/>
      <c r="B11885" s="2"/>
      <c r="C11885" s="7"/>
      <c r="D11885" s="7"/>
    </row>
    <row r="11886" spans="1:4" ht="12.75" customHeight="1" x14ac:dyDescent="0.2">
      <c r="A11886" s="22" t="str">
        <f>HYPERLINK("javascript:void(0)","gólembőr testpajzs")</f>
        <v>gólembőr testpajzs</v>
      </c>
      <c r="B11886" s="21"/>
      <c r="C11886" s="21"/>
      <c r="D11886" s="21"/>
    </row>
    <row r="11887" spans="1:4" ht="12.75" customHeight="1" x14ac:dyDescent="0.2">
      <c r="A11887" s="20"/>
      <c r="B11887" s="2"/>
      <c r="C11887" s="7"/>
      <c r="D11887" s="7"/>
    </row>
    <row r="11888" spans="1:4" ht="12.75" customHeight="1" x14ac:dyDescent="0.2">
      <c r="A11888" s="21"/>
      <c r="B11888" s="3" t="s">
        <v>0</v>
      </c>
      <c r="C11888" s="23" t="s">
        <v>896</v>
      </c>
      <c r="D11888" s="21"/>
    </row>
    <row r="11889" spans="1:4" ht="12.75" customHeight="1" x14ac:dyDescent="0.2">
      <c r="A11889" s="21"/>
      <c r="B11889" s="3" t="s">
        <v>2</v>
      </c>
      <c r="C11889" s="23" t="s">
        <v>1839</v>
      </c>
      <c r="D11889" s="21"/>
    </row>
    <row r="11890" spans="1:4" ht="12.75" customHeight="1" x14ac:dyDescent="0.2">
      <c r="A11890" s="21"/>
      <c r="B11890" s="3" t="s">
        <v>1840</v>
      </c>
      <c r="C11890" s="23" t="s">
        <v>4913</v>
      </c>
      <c r="D11890" s="21"/>
    </row>
    <row r="11891" spans="1:4" ht="12.75" customHeight="1" x14ac:dyDescent="0.2">
      <c r="A11891" s="21"/>
      <c r="B11891" s="3" t="s">
        <v>9</v>
      </c>
      <c r="C11891" s="23" t="s">
        <v>236</v>
      </c>
      <c r="D11891" s="21"/>
    </row>
    <row r="11892" spans="1:4" ht="12.75" customHeight="1" x14ac:dyDescent="0.2">
      <c r="A11892" s="21"/>
      <c r="B11892" s="3" t="s">
        <v>11</v>
      </c>
      <c r="C11892" s="23" t="s">
        <v>1488</v>
      </c>
      <c r="D11892" s="21"/>
    </row>
    <row r="11893" spans="1:4" ht="12.75" customHeight="1" x14ac:dyDescent="0.2">
      <c r="A11893" s="21"/>
      <c r="B11893" s="3" t="s">
        <v>16</v>
      </c>
      <c r="C11893" s="23"/>
      <c r="D11893" s="21"/>
    </row>
    <row r="11894" spans="1:4" ht="12.75" customHeight="1" x14ac:dyDescent="0.2">
      <c r="A11894" s="21"/>
      <c r="B11894" s="3" t="s">
        <v>17</v>
      </c>
      <c r="C11894" s="23" t="s">
        <v>19</v>
      </c>
      <c r="D11894" s="21"/>
    </row>
    <row r="11895" spans="1:4" ht="12.75" customHeight="1" x14ac:dyDescent="0.2">
      <c r="A11895" s="21"/>
      <c r="B11895" s="20" t="s">
        <v>18</v>
      </c>
      <c r="C11895" s="8" t="s">
        <v>44</v>
      </c>
      <c r="D11895" s="1" t="str">
        <f>HYPERLINK("javascript:void(0)","tűernyő testpajzs")</f>
        <v>tűernyő testpajzs</v>
      </c>
    </row>
    <row r="11896" spans="1:4" ht="12.75" customHeight="1" x14ac:dyDescent="0.2">
      <c r="A11896" s="21"/>
      <c r="B11896" s="21"/>
      <c r="C11896" s="8" t="s">
        <v>98</v>
      </c>
      <c r="D11896" s="1" t="str">
        <f>HYPERLINK("javascript:void(0)","agyagszárny")</f>
        <v>agyagszárny</v>
      </c>
    </row>
    <row r="11897" spans="1:4" ht="12.75" customHeight="1" x14ac:dyDescent="0.2">
      <c r="A11897" s="21"/>
      <c r="B11897" s="21"/>
      <c r="C11897" s="8" t="s">
        <v>196</v>
      </c>
      <c r="D11897" s="1" t="str">
        <f>HYPERLINK("javascript:void(0)","plecsni")</f>
        <v>plecsni</v>
      </c>
    </row>
    <row r="11898" spans="1:4" ht="12.75" customHeight="1" x14ac:dyDescent="0.2">
      <c r="A11898" s="21"/>
      <c r="B11898" s="2"/>
      <c r="C11898" s="7"/>
      <c r="D11898" s="7"/>
    </row>
    <row r="11899" spans="1:4" ht="12.75" customHeight="1" x14ac:dyDescent="0.2">
      <c r="A11899" s="21"/>
      <c r="B11899" s="2"/>
      <c r="C11899" s="7"/>
      <c r="D11899" s="7"/>
    </row>
    <row r="11900" spans="1:4" ht="12.75" customHeight="1" x14ac:dyDescent="0.2">
      <c r="A11900" s="21"/>
      <c r="B11900" s="2"/>
      <c r="C11900" s="7"/>
      <c r="D11900" s="7"/>
    </row>
    <row r="11901" spans="1:4" ht="12.75" customHeight="1" x14ac:dyDescent="0.2">
      <c r="A11901" s="21"/>
      <c r="B11901" s="2"/>
      <c r="C11901" s="7"/>
      <c r="D11901" s="7"/>
    </row>
    <row r="11902" spans="1:4" ht="12.75" customHeight="1" x14ac:dyDescent="0.2">
      <c r="A11902" s="5"/>
      <c r="B11902" s="2"/>
      <c r="C11902" s="7"/>
      <c r="D11902" s="7"/>
    </row>
    <row r="11903" spans="1:4" ht="12.75" customHeight="1" x14ac:dyDescent="0.2">
      <c r="A11903" s="22" t="str">
        <f>HYPERLINK("javascript:void(0)","hiper szellempajzs")</f>
        <v>hiper szellempajzs</v>
      </c>
      <c r="B11903" s="21"/>
      <c r="C11903" s="21"/>
      <c r="D11903" s="21"/>
    </row>
    <row r="11904" spans="1:4" ht="12.75" customHeight="1" x14ac:dyDescent="0.2">
      <c r="A11904" s="20"/>
      <c r="B11904" s="2"/>
      <c r="C11904" s="7"/>
      <c r="D11904" s="7"/>
    </row>
    <row r="11905" spans="1:4" ht="12.75" customHeight="1" x14ac:dyDescent="0.2">
      <c r="A11905" s="21"/>
      <c r="B11905" s="3" t="s">
        <v>0</v>
      </c>
      <c r="C11905" s="23" t="s">
        <v>896</v>
      </c>
      <c r="D11905" s="21"/>
    </row>
    <row r="11906" spans="1:4" ht="12.75" customHeight="1" x14ac:dyDescent="0.2">
      <c r="A11906" s="21"/>
      <c r="B11906" s="3" t="s">
        <v>2</v>
      </c>
      <c r="C11906" s="23" t="s">
        <v>1839</v>
      </c>
      <c r="D11906" s="21"/>
    </row>
    <row r="11907" spans="1:4" ht="12.75" customHeight="1" x14ac:dyDescent="0.2">
      <c r="A11907" s="21"/>
      <c r="B11907" s="3" t="s">
        <v>1840</v>
      </c>
      <c r="C11907" s="23" t="s">
        <v>4913</v>
      </c>
      <c r="D11907" s="21"/>
    </row>
    <row r="11908" spans="1:4" ht="12.75" customHeight="1" x14ac:dyDescent="0.2">
      <c r="A11908" s="21"/>
      <c r="B11908" s="3" t="s">
        <v>9</v>
      </c>
      <c r="C11908" s="23" t="s">
        <v>637</v>
      </c>
      <c r="D11908" s="21"/>
    </row>
    <row r="11909" spans="1:4" ht="12.75" customHeight="1" x14ac:dyDescent="0.2">
      <c r="A11909" s="21"/>
      <c r="B11909" s="3" t="s">
        <v>11</v>
      </c>
      <c r="C11909" s="23" t="s">
        <v>1500</v>
      </c>
      <c r="D11909" s="21"/>
    </row>
    <row r="11910" spans="1:4" ht="12.75" customHeight="1" x14ac:dyDescent="0.2">
      <c r="A11910" s="21"/>
      <c r="B11910" s="3" t="s">
        <v>16</v>
      </c>
      <c r="C11910" s="23"/>
      <c r="D11910" s="21"/>
    </row>
    <row r="11911" spans="1:4" ht="12.75" customHeight="1" x14ac:dyDescent="0.2">
      <c r="A11911" s="21"/>
      <c r="B11911" s="3" t="s">
        <v>17</v>
      </c>
      <c r="C11911" s="23" t="s">
        <v>19</v>
      </c>
      <c r="D11911" s="21"/>
    </row>
    <row r="11912" spans="1:4" ht="12.75" customHeight="1" x14ac:dyDescent="0.2">
      <c r="A11912" s="21"/>
      <c r="B11912" s="20" t="s">
        <v>18</v>
      </c>
      <c r="C11912" s="8" t="s">
        <v>44</v>
      </c>
      <c r="D11912" s="1" t="str">
        <f>HYPERLINK("javascript:void(0)","gólembőr testpajzs")</f>
        <v>gólembőr testpajzs</v>
      </c>
    </row>
    <row r="11913" spans="1:4" ht="12.75" customHeight="1" x14ac:dyDescent="0.2">
      <c r="A11913" s="21"/>
      <c r="B11913" s="21"/>
      <c r="C11913" s="8" t="s">
        <v>369</v>
      </c>
      <c r="D11913" s="1" t="str">
        <f>HYPERLINK("javascript:void(0)","hiperium")</f>
        <v>hiperium</v>
      </c>
    </row>
    <row r="11914" spans="1:4" ht="12.75" customHeight="1" x14ac:dyDescent="0.2">
      <c r="A11914" s="21"/>
      <c r="B11914" s="21"/>
      <c r="C11914" s="8" t="s">
        <v>139</v>
      </c>
      <c r="D11914" s="1" t="str">
        <f>HYPERLINK("javascript:void(0)","molekula")</f>
        <v>molekula</v>
      </c>
    </row>
    <row r="11915" spans="1:4" ht="12.75" customHeight="1" x14ac:dyDescent="0.2">
      <c r="A11915" s="21"/>
      <c r="B11915" s="2"/>
      <c r="C11915" s="7"/>
      <c r="D11915" s="7"/>
    </row>
    <row r="11916" spans="1:4" ht="12.75" customHeight="1" x14ac:dyDescent="0.2">
      <c r="A11916" s="21"/>
      <c r="B11916" s="2"/>
      <c r="C11916" s="7"/>
      <c r="D11916" s="7"/>
    </row>
    <row r="11917" spans="1:4" ht="12.75" customHeight="1" x14ac:dyDescent="0.2">
      <c r="A11917" s="21"/>
      <c r="B11917" s="2"/>
      <c r="C11917" s="7"/>
      <c r="D11917" s="7"/>
    </row>
    <row r="11918" spans="1:4" ht="12.75" customHeight="1" x14ac:dyDescent="0.2">
      <c r="A11918" s="21"/>
      <c r="B11918" s="2"/>
      <c r="C11918" s="7"/>
      <c r="D11918" s="7"/>
    </row>
    <row r="11919" spans="1:4" ht="12.75" customHeight="1" x14ac:dyDescent="0.2">
      <c r="A11919" s="5"/>
      <c r="B11919" s="2"/>
      <c r="C11919" s="7"/>
      <c r="D11919" s="7"/>
    </row>
    <row r="11920" spans="1:4" ht="12.75" customHeight="1" x14ac:dyDescent="0.2">
      <c r="A11920" s="22" t="str">
        <f>HYPERLINK("javascript:void(0)","dicsfény")</f>
        <v>dicsfény</v>
      </c>
      <c r="B11920" s="21"/>
      <c r="C11920" s="21"/>
      <c r="D11920" s="21"/>
    </row>
    <row r="11921" spans="1:4" ht="12.75" customHeight="1" x14ac:dyDescent="0.2">
      <c r="A11921" s="20"/>
      <c r="B11921" s="2"/>
      <c r="C11921" s="7"/>
      <c r="D11921" s="7"/>
    </row>
    <row r="11922" spans="1:4" ht="12.75" customHeight="1" x14ac:dyDescent="0.2">
      <c r="A11922" s="21"/>
      <c r="B11922" s="3" t="s">
        <v>0</v>
      </c>
      <c r="C11922" s="23" t="s">
        <v>896</v>
      </c>
      <c r="D11922" s="21"/>
    </row>
    <row r="11923" spans="1:4" ht="12.75" customHeight="1" x14ac:dyDescent="0.2">
      <c r="A11923" s="21"/>
      <c r="B11923" s="3" t="s">
        <v>2</v>
      </c>
      <c r="C11923" s="23"/>
      <c r="D11923" s="21"/>
    </row>
    <row r="11924" spans="1:4" ht="12.75" customHeight="1" x14ac:dyDescent="0.2">
      <c r="A11924" s="21"/>
      <c r="B11924" s="3" t="s">
        <v>1840</v>
      </c>
      <c r="C11924" s="23" t="s">
        <v>417</v>
      </c>
      <c r="D11924" s="21"/>
    </row>
    <row r="11925" spans="1:4" ht="12.75" customHeight="1" x14ac:dyDescent="0.2">
      <c r="A11925" s="21"/>
      <c r="B11925" s="3" t="s">
        <v>9</v>
      </c>
      <c r="C11925" s="23" t="s">
        <v>70</v>
      </c>
      <c r="D11925" s="21"/>
    </row>
    <row r="11926" spans="1:4" ht="12.75" customHeight="1" x14ac:dyDescent="0.2">
      <c r="A11926" s="21"/>
      <c r="B11926" s="3" t="s">
        <v>11</v>
      </c>
      <c r="C11926" s="23" t="s">
        <v>2124</v>
      </c>
      <c r="D11926" s="21"/>
    </row>
    <row r="11927" spans="1:4" ht="12.75" customHeight="1" x14ac:dyDescent="0.2">
      <c r="A11927" s="21"/>
      <c r="B11927" s="3" t="s">
        <v>16</v>
      </c>
      <c r="C11927" s="23"/>
      <c r="D11927" s="21"/>
    </row>
    <row r="11928" spans="1:4" ht="12.75" customHeight="1" x14ac:dyDescent="0.2">
      <c r="A11928" s="21"/>
      <c r="B11928" s="3" t="s">
        <v>17</v>
      </c>
      <c r="C11928" s="23" t="s">
        <v>19</v>
      </c>
      <c r="D11928" s="21"/>
    </row>
    <row r="11929" spans="1:4" ht="12.75" customHeight="1" x14ac:dyDescent="0.2">
      <c r="A11929" s="21"/>
      <c r="B11929" s="20" t="s">
        <v>18</v>
      </c>
      <c r="C11929" s="8" t="s">
        <v>98</v>
      </c>
      <c r="D11929" s="1" t="str">
        <f>HYPERLINK("javascript:void(0)","ikerkristály")</f>
        <v>ikerkristály</v>
      </c>
    </row>
    <row r="11930" spans="1:4" ht="12.75" customHeight="1" x14ac:dyDescent="0.2">
      <c r="A11930" s="21"/>
      <c r="B11930" s="21"/>
      <c r="C11930" s="8" t="s">
        <v>68</v>
      </c>
      <c r="D11930" s="1" t="str">
        <f>HYPERLINK("javascript:void(0)","plecsni")</f>
        <v>plecsni</v>
      </c>
    </row>
    <row r="11931" spans="1:4" ht="12.75" customHeight="1" x14ac:dyDescent="0.2">
      <c r="A11931" s="21"/>
      <c r="B11931" s="21"/>
      <c r="C11931" s="8" t="s">
        <v>139</v>
      </c>
      <c r="D11931" s="1" t="str">
        <f>HYPERLINK("javascript:void(0)","hídpenge")</f>
        <v>hídpenge</v>
      </c>
    </row>
    <row r="11932" spans="1:4" ht="12.75" customHeight="1" x14ac:dyDescent="0.2">
      <c r="A11932" s="21"/>
      <c r="B11932" s="2"/>
      <c r="C11932" s="7"/>
      <c r="D11932" s="7"/>
    </row>
    <row r="11933" spans="1:4" ht="12.75" customHeight="1" x14ac:dyDescent="0.2">
      <c r="A11933" s="21"/>
      <c r="B11933" s="2"/>
      <c r="C11933" s="7"/>
      <c r="D11933" s="7"/>
    </row>
    <row r="11934" spans="1:4" ht="12.75" customHeight="1" x14ac:dyDescent="0.2">
      <c r="A11934" s="21"/>
      <c r="B11934" s="2"/>
      <c r="C11934" s="7"/>
      <c r="D11934" s="7"/>
    </row>
    <row r="11935" spans="1:4" ht="12.75" customHeight="1" x14ac:dyDescent="0.2">
      <c r="A11935" s="21"/>
      <c r="B11935" s="2"/>
      <c r="C11935" s="7"/>
      <c r="D11935" s="7"/>
    </row>
    <row r="11936" spans="1:4" ht="12.75" customHeight="1" x14ac:dyDescent="0.2">
      <c r="A11936" s="5"/>
      <c r="B11936" s="2"/>
      <c r="C11936" s="7"/>
      <c r="D11936" s="7"/>
    </row>
    <row r="11937" spans="1:4" ht="12.75" customHeight="1" x14ac:dyDescent="0.2">
      <c r="A11937" s="22" t="str">
        <f>HYPERLINK("javascript:void(0)","csúszórámás antigrav csizma")</f>
        <v>csúszórámás antigrav csizma</v>
      </c>
      <c r="B11937" s="21"/>
      <c r="C11937" s="21"/>
      <c r="D11937" s="21"/>
    </row>
    <row r="11938" spans="1:4" ht="12.75" customHeight="1" x14ac:dyDescent="0.2">
      <c r="A11938" s="20"/>
      <c r="B11938" s="2"/>
      <c r="C11938" s="7"/>
      <c r="D11938" s="7"/>
    </row>
    <row r="11939" spans="1:4" ht="12.75" customHeight="1" x14ac:dyDescent="0.2">
      <c r="A11939" s="21"/>
      <c r="B11939" s="3" t="s">
        <v>0</v>
      </c>
      <c r="C11939" s="23" t="s">
        <v>896</v>
      </c>
      <c r="D11939" s="21"/>
    </row>
    <row r="11940" spans="1:4" ht="12.75" customHeight="1" x14ac:dyDescent="0.2">
      <c r="A11940" s="21"/>
      <c r="B11940" s="3" t="s">
        <v>2</v>
      </c>
      <c r="C11940" s="23"/>
      <c r="D11940" s="21"/>
    </row>
    <row r="11941" spans="1:4" ht="12.75" customHeight="1" x14ac:dyDescent="0.2">
      <c r="A11941" s="21"/>
      <c r="B11941" s="3" t="s">
        <v>1840</v>
      </c>
      <c r="C11941" s="23" t="s">
        <v>1800</v>
      </c>
      <c r="D11941" s="21"/>
    </row>
    <row r="11942" spans="1:4" ht="12.75" customHeight="1" x14ac:dyDescent="0.2">
      <c r="A11942" s="21"/>
      <c r="B11942" s="3" t="s">
        <v>9</v>
      </c>
      <c r="C11942" s="23" t="s">
        <v>626</v>
      </c>
      <c r="D11942" s="21"/>
    </row>
    <row r="11943" spans="1:4" ht="12.75" customHeight="1" x14ac:dyDescent="0.2">
      <c r="A11943" s="21"/>
      <c r="B11943" s="3" t="s">
        <v>11</v>
      </c>
      <c r="C11943" s="23" t="s">
        <v>23</v>
      </c>
      <c r="D11943" s="21"/>
    </row>
    <row r="11944" spans="1:4" ht="12.75" customHeight="1" x14ac:dyDescent="0.2">
      <c r="A11944" s="21"/>
      <c r="B11944" s="3" t="s">
        <v>16</v>
      </c>
      <c r="C11944" s="23"/>
      <c r="D11944" s="21"/>
    </row>
    <row r="11945" spans="1:4" ht="12.75" customHeight="1" x14ac:dyDescent="0.2">
      <c r="A11945" s="21"/>
      <c r="B11945" s="3" t="s">
        <v>17</v>
      </c>
      <c r="C11945" s="23" t="s">
        <v>19</v>
      </c>
      <c r="D11945" s="21"/>
    </row>
    <row r="11946" spans="1:4" ht="25.5" customHeight="1" x14ac:dyDescent="0.2">
      <c r="A11946" s="21"/>
      <c r="B11946" s="20" t="s">
        <v>18</v>
      </c>
      <c r="C11946" s="8" t="s">
        <v>44</v>
      </c>
      <c r="D11946" s="1" t="str">
        <f>HYPERLINK("javascript:void(0)","helioacél antigrav csizma")</f>
        <v>helioacél antigrav csizma</v>
      </c>
    </row>
    <row r="11947" spans="1:4" ht="12.75" customHeight="1" x14ac:dyDescent="0.2">
      <c r="A11947" s="21"/>
      <c r="B11947" s="21"/>
      <c r="C11947" s="8" t="s">
        <v>163</v>
      </c>
      <c r="D11947" s="1" t="str">
        <f>HYPERLINK("javascript:void(0)","banánhéj")</f>
        <v>banánhéj</v>
      </c>
    </row>
    <row r="11948" spans="1:4" ht="12.75" customHeight="1" x14ac:dyDescent="0.2">
      <c r="A11948" s="21"/>
      <c r="B11948" s="21"/>
      <c r="C11948" s="8" t="s">
        <v>756</v>
      </c>
      <c r="D11948" s="1" t="str">
        <f>HYPERLINK("javascript:void(0)","porszőr")</f>
        <v>porszőr</v>
      </c>
    </row>
    <row r="11949" spans="1:4" ht="12.75" customHeight="1" x14ac:dyDescent="0.2">
      <c r="A11949" s="21"/>
      <c r="B11949" s="2"/>
      <c r="C11949" s="7"/>
      <c r="D11949" s="7"/>
    </row>
    <row r="11950" spans="1:4" ht="12.75" customHeight="1" x14ac:dyDescent="0.2">
      <c r="A11950" s="21"/>
      <c r="B11950" s="2"/>
      <c r="C11950" s="7"/>
      <c r="D11950" s="7"/>
    </row>
    <row r="11951" spans="1:4" ht="12.75" customHeight="1" x14ac:dyDescent="0.2">
      <c r="A11951" s="21"/>
      <c r="B11951" s="2"/>
      <c r="C11951" s="7"/>
      <c r="D11951" s="7"/>
    </row>
    <row r="11952" spans="1:4" ht="12.75" customHeight="1" x14ac:dyDescent="0.2">
      <c r="A11952" s="21"/>
      <c r="B11952" s="2"/>
      <c r="C11952" s="7"/>
      <c r="D11952" s="7"/>
    </row>
    <row r="11953" spans="1:4" ht="12.75" customHeight="1" x14ac:dyDescent="0.2">
      <c r="A11953" s="5"/>
      <c r="B11953" s="2"/>
      <c r="C11953" s="7"/>
      <c r="D11953" s="7"/>
    </row>
    <row r="11954" spans="1:4" ht="12.75" customHeight="1" x14ac:dyDescent="0.2">
      <c r="A11954" s="22" t="str">
        <f>HYPERLINK("javascript:void(0)","csillámló hegyipajzs")</f>
        <v>csillámló hegyipajzs</v>
      </c>
      <c r="B11954" s="21"/>
      <c r="C11954" s="21"/>
      <c r="D11954" s="21"/>
    </row>
    <row r="11955" spans="1:4" ht="12.75" customHeight="1" x14ac:dyDescent="0.2">
      <c r="A11955" s="20"/>
      <c r="B11955" s="2"/>
      <c r="C11955" s="7"/>
      <c r="D11955" s="7"/>
    </row>
    <row r="11956" spans="1:4" ht="12.75" customHeight="1" x14ac:dyDescent="0.2">
      <c r="A11956" s="21"/>
      <c r="B11956" s="3" t="s">
        <v>0</v>
      </c>
      <c r="C11956" s="23" t="s">
        <v>896</v>
      </c>
      <c r="D11956" s="21"/>
    </row>
    <row r="11957" spans="1:4" ht="12.75" customHeight="1" x14ac:dyDescent="0.2">
      <c r="A11957" s="21"/>
      <c r="B11957" s="3" t="s">
        <v>2</v>
      </c>
      <c r="C11957" s="23" t="s">
        <v>1839</v>
      </c>
      <c r="D11957" s="21"/>
    </row>
    <row r="11958" spans="1:4" ht="12.75" customHeight="1" x14ac:dyDescent="0.2">
      <c r="A11958" s="21"/>
      <c r="B11958" s="3" t="s">
        <v>1840</v>
      </c>
      <c r="C11958" s="23" t="s">
        <v>2149</v>
      </c>
      <c r="D11958" s="21"/>
    </row>
    <row r="11959" spans="1:4" ht="12.75" customHeight="1" x14ac:dyDescent="0.2">
      <c r="A11959" s="21"/>
      <c r="B11959" s="3" t="s">
        <v>9</v>
      </c>
      <c r="C11959" s="23" t="s">
        <v>2237</v>
      </c>
      <c r="D11959" s="21"/>
    </row>
    <row r="11960" spans="1:4" ht="12.75" customHeight="1" x14ac:dyDescent="0.2">
      <c r="A11960" s="21"/>
      <c r="B11960" s="3" t="s">
        <v>11</v>
      </c>
      <c r="C11960" s="23" t="s">
        <v>1488</v>
      </c>
      <c r="D11960" s="21"/>
    </row>
    <row r="11961" spans="1:4" ht="12.75" customHeight="1" x14ac:dyDescent="0.2">
      <c r="A11961" s="21"/>
      <c r="B11961" s="3" t="s">
        <v>16</v>
      </c>
      <c r="C11961" s="23"/>
      <c r="D11961" s="21"/>
    </row>
    <row r="11962" spans="1:4" ht="12.75" customHeight="1" x14ac:dyDescent="0.2">
      <c r="A11962" s="21"/>
      <c r="B11962" s="3" t="s">
        <v>17</v>
      </c>
      <c r="C11962" s="23" t="s">
        <v>19</v>
      </c>
      <c r="D11962" s="21"/>
    </row>
    <row r="11963" spans="1:4" ht="12.75" customHeight="1" x14ac:dyDescent="0.2">
      <c r="A11963" s="21"/>
      <c r="B11963" s="20" t="s">
        <v>18</v>
      </c>
      <c r="C11963" s="8" t="s">
        <v>57</v>
      </c>
      <c r="D11963" s="1" t="str">
        <f>HYPERLINK("javascript:void(0)","csillámgöb")</f>
        <v>csillámgöb</v>
      </c>
    </row>
    <row r="11964" spans="1:4" ht="12.75" customHeight="1" x14ac:dyDescent="0.2">
      <c r="A11964" s="21"/>
      <c r="B11964" s="21"/>
      <c r="C11964" s="8" t="s">
        <v>44</v>
      </c>
      <c r="D11964" s="1" t="str">
        <f>HYPERLINK("javascript:void(0)","csillámló óriáspajzs")</f>
        <v>csillámló óriáspajzs</v>
      </c>
    </row>
    <row r="11965" spans="1:4" ht="12.75" customHeight="1" x14ac:dyDescent="0.2">
      <c r="A11965" s="21"/>
      <c r="B11965" s="21"/>
      <c r="C11965" s="8" t="s">
        <v>56</v>
      </c>
      <c r="D11965" s="1" t="str">
        <f>HYPERLINK("javascript:void(0)","gyémántpajzs")</f>
        <v>gyémántpajzs</v>
      </c>
    </row>
    <row r="11966" spans="1:4" ht="12.75" customHeight="1" x14ac:dyDescent="0.2">
      <c r="A11966" s="21"/>
      <c r="B11966" s="2"/>
      <c r="C11966" s="7"/>
      <c r="D11966" s="7"/>
    </row>
    <row r="11967" spans="1:4" ht="12.75" customHeight="1" x14ac:dyDescent="0.2">
      <c r="A11967" s="21"/>
      <c r="B11967" s="2"/>
      <c r="C11967" s="7"/>
      <c r="D11967" s="7"/>
    </row>
    <row r="11968" spans="1:4" ht="12.75" customHeight="1" x14ac:dyDescent="0.2">
      <c r="A11968" s="21"/>
      <c r="B11968" s="2"/>
      <c r="C11968" s="7"/>
      <c r="D11968" s="7"/>
    </row>
    <row r="11969" spans="1:4" ht="12.75" customHeight="1" x14ac:dyDescent="0.2">
      <c r="A11969" s="21"/>
      <c r="B11969" s="2"/>
      <c r="C11969" s="7"/>
      <c r="D11969" s="7"/>
    </row>
    <row r="11970" spans="1:4" ht="12.75" customHeight="1" x14ac:dyDescent="0.2">
      <c r="A11970" s="5"/>
      <c r="B11970" s="2"/>
      <c r="C11970" s="7"/>
      <c r="D11970" s="7"/>
    </row>
    <row r="11971" spans="1:4" ht="12.75" customHeight="1" x14ac:dyDescent="0.2">
      <c r="A11971" s="22" t="str">
        <f>HYPERLINK("javascript:void(0)","csillámló hegylépő")</f>
        <v>csillámló hegylépő</v>
      </c>
      <c r="B11971" s="21"/>
      <c r="C11971" s="21"/>
      <c r="D11971" s="21"/>
    </row>
    <row r="11972" spans="1:4" ht="12.75" customHeight="1" x14ac:dyDescent="0.2">
      <c r="A11972" s="20"/>
      <c r="B11972" s="2"/>
      <c r="C11972" s="7"/>
      <c r="D11972" s="7"/>
    </row>
    <row r="11973" spans="1:4" ht="12.75" customHeight="1" x14ac:dyDescent="0.2">
      <c r="A11973" s="21"/>
      <c r="B11973" s="3" t="s">
        <v>0</v>
      </c>
      <c r="C11973" s="23" t="s">
        <v>896</v>
      </c>
      <c r="D11973" s="21"/>
    </row>
    <row r="11974" spans="1:4" ht="12.75" customHeight="1" x14ac:dyDescent="0.2">
      <c r="A11974" s="21"/>
      <c r="B11974" s="3" t="s">
        <v>2</v>
      </c>
      <c r="C11974" s="23"/>
      <c r="D11974" s="21"/>
    </row>
    <row r="11975" spans="1:4" ht="12.75" customHeight="1" x14ac:dyDescent="0.2">
      <c r="A11975" s="21"/>
      <c r="B11975" s="3" t="s">
        <v>1840</v>
      </c>
      <c r="C11975" s="23" t="s">
        <v>522</v>
      </c>
      <c r="D11975" s="21"/>
    </row>
    <row r="11976" spans="1:4" ht="12.75" customHeight="1" x14ac:dyDescent="0.2">
      <c r="A11976" s="21"/>
      <c r="B11976" s="3" t="s">
        <v>9</v>
      </c>
      <c r="C11976" s="23" t="s">
        <v>2036</v>
      </c>
      <c r="D11976" s="21"/>
    </row>
    <row r="11977" spans="1:4" ht="12.75" customHeight="1" x14ac:dyDescent="0.2">
      <c r="A11977" s="21"/>
      <c r="B11977" s="3" t="s">
        <v>11</v>
      </c>
      <c r="C11977" s="23" t="s">
        <v>1459</v>
      </c>
      <c r="D11977" s="21"/>
    </row>
    <row r="11978" spans="1:4" ht="12.75" customHeight="1" x14ac:dyDescent="0.2">
      <c r="A11978" s="21"/>
      <c r="B11978" s="3" t="s">
        <v>16</v>
      </c>
      <c r="C11978" s="23"/>
      <c r="D11978" s="21"/>
    </row>
    <row r="11979" spans="1:4" ht="12.75" customHeight="1" x14ac:dyDescent="0.2">
      <c r="A11979" s="21"/>
      <c r="B11979" s="3" t="s">
        <v>17</v>
      </c>
      <c r="C11979" s="23" t="s">
        <v>19</v>
      </c>
      <c r="D11979" s="21"/>
    </row>
    <row r="11980" spans="1:4" ht="12.75" customHeight="1" x14ac:dyDescent="0.2">
      <c r="A11980" s="21"/>
      <c r="B11980" s="20" t="s">
        <v>18</v>
      </c>
      <c r="C11980" s="8" t="s">
        <v>57</v>
      </c>
      <c r="D11980" s="1" t="str">
        <f>HYPERLINK("javascript:void(0)","csillámgöb")</f>
        <v>csillámgöb</v>
      </c>
    </row>
    <row r="11981" spans="1:4" ht="25.5" customHeight="1" x14ac:dyDescent="0.2">
      <c r="A11981" s="21"/>
      <c r="B11981" s="21"/>
      <c r="C11981" s="8" t="s">
        <v>44</v>
      </c>
      <c r="D11981" s="1" t="str">
        <f>HYPERLINK("javascript:void(0)","csillámló óriáscsizma")</f>
        <v>csillámló óriáscsizma</v>
      </c>
    </row>
    <row r="11982" spans="1:4" ht="12.75" customHeight="1" x14ac:dyDescent="0.2">
      <c r="A11982" s="21"/>
      <c r="B11982" s="21"/>
      <c r="C11982" s="8" t="s">
        <v>894</v>
      </c>
      <c r="D11982" s="1" t="str">
        <f>HYPERLINK("javascript:void(0)","rémszem")</f>
        <v>rémszem</v>
      </c>
    </row>
    <row r="11983" spans="1:4" ht="12.75" customHeight="1" x14ac:dyDescent="0.2">
      <c r="A11983" s="21"/>
      <c r="B11983" s="2"/>
      <c r="C11983" s="7"/>
      <c r="D11983" s="7"/>
    </row>
    <row r="11984" spans="1:4" ht="12.75" customHeight="1" x14ac:dyDescent="0.2">
      <c r="A11984" s="21"/>
      <c r="B11984" s="2"/>
      <c r="C11984" s="7"/>
      <c r="D11984" s="7"/>
    </row>
    <row r="11985" spans="1:4" ht="12.75" customHeight="1" x14ac:dyDescent="0.2">
      <c r="A11985" s="21"/>
      <c r="B11985" s="2"/>
      <c r="C11985" s="7"/>
      <c r="D11985" s="7"/>
    </row>
    <row r="11986" spans="1:4" ht="12.75" customHeight="1" x14ac:dyDescent="0.2">
      <c r="A11986" s="21"/>
      <c r="B11986" s="2"/>
      <c r="C11986" s="7"/>
      <c r="D11986" s="7"/>
    </row>
    <row r="11987" spans="1:4" ht="12.75" customHeight="1" x14ac:dyDescent="0.2">
      <c r="A11987" s="5"/>
      <c r="B11987" s="2"/>
      <c r="C11987" s="7"/>
      <c r="D11987" s="7"/>
    </row>
    <row r="11988" spans="1:4" ht="12.75" customHeight="1" x14ac:dyDescent="0.2">
      <c r="A11988" s="22" t="str">
        <f>HYPERLINK("javascript:void(0)","csillámos sziklasisak")</f>
        <v>csillámos sziklasisak</v>
      </c>
      <c r="B11988" s="21"/>
      <c r="C11988" s="21"/>
      <c r="D11988" s="21"/>
    </row>
    <row r="11989" spans="1:4" ht="12.75" customHeight="1" x14ac:dyDescent="0.2">
      <c r="A11989" s="20"/>
      <c r="B11989" s="2"/>
      <c r="C11989" s="7"/>
      <c r="D11989" s="7"/>
    </row>
    <row r="11990" spans="1:4" ht="12.75" customHeight="1" x14ac:dyDescent="0.2">
      <c r="A11990" s="21"/>
      <c r="B11990" s="3" t="s">
        <v>0</v>
      </c>
      <c r="C11990" s="23" t="s">
        <v>896</v>
      </c>
      <c r="D11990" s="21"/>
    </row>
    <row r="11991" spans="1:4" ht="12.75" customHeight="1" x14ac:dyDescent="0.2">
      <c r="A11991" s="21"/>
      <c r="B11991" s="3" t="s">
        <v>2</v>
      </c>
      <c r="C11991" s="23"/>
      <c r="D11991" s="21"/>
    </row>
    <row r="11992" spans="1:4" ht="12.75" customHeight="1" x14ac:dyDescent="0.2">
      <c r="A11992" s="21"/>
      <c r="B11992" s="3" t="s">
        <v>1840</v>
      </c>
      <c r="C11992" s="23" t="s">
        <v>517</v>
      </c>
      <c r="D11992" s="21"/>
    </row>
    <row r="11993" spans="1:4" ht="12.75" customHeight="1" x14ac:dyDescent="0.2">
      <c r="A11993" s="21"/>
      <c r="B11993" s="3" t="s">
        <v>9</v>
      </c>
      <c r="C11993" s="23" t="s">
        <v>1028</v>
      </c>
      <c r="D11993" s="21"/>
    </row>
    <row r="11994" spans="1:4" ht="12.75" customHeight="1" x14ac:dyDescent="0.2">
      <c r="A11994" s="21"/>
      <c r="B11994" s="3" t="s">
        <v>11</v>
      </c>
      <c r="C11994" s="23" t="s">
        <v>1451</v>
      </c>
      <c r="D11994" s="21"/>
    </row>
    <row r="11995" spans="1:4" ht="12.75" customHeight="1" x14ac:dyDescent="0.2">
      <c r="A11995" s="21"/>
      <c r="B11995" s="3" t="s">
        <v>16</v>
      </c>
      <c r="C11995" s="23"/>
      <c r="D11995" s="21"/>
    </row>
    <row r="11996" spans="1:4" ht="12.75" customHeight="1" x14ac:dyDescent="0.2">
      <c r="A11996" s="21"/>
      <c r="B11996" s="3" t="s">
        <v>17</v>
      </c>
      <c r="C11996" s="23" t="s">
        <v>19</v>
      </c>
      <c r="D11996" s="21"/>
    </row>
    <row r="11997" spans="1:4" ht="12.75" customHeight="1" x14ac:dyDescent="0.2">
      <c r="A11997" s="21"/>
      <c r="B11997" s="20" t="s">
        <v>18</v>
      </c>
      <c r="C11997" s="8" t="s">
        <v>57</v>
      </c>
      <c r="D11997" s="1" t="str">
        <f>HYPERLINK("javascript:void(0)","csillámgöb")</f>
        <v>csillámgöb</v>
      </c>
    </row>
    <row r="11998" spans="1:4" ht="12.75" customHeight="1" x14ac:dyDescent="0.2">
      <c r="A11998" s="21"/>
      <c r="B11998" s="21"/>
      <c r="C11998" s="8" t="s">
        <v>44</v>
      </c>
      <c r="D11998" s="1" t="str">
        <f>HYPERLINK("javascript:void(0)","csillámos óriássisak")</f>
        <v>csillámos óriássisak</v>
      </c>
    </row>
    <row r="11999" spans="1:4" ht="12.75" customHeight="1" x14ac:dyDescent="0.2">
      <c r="A11999" s="21"/>
      <c r="B11999" s="21"/>
      <c r="C11999" s="8" t="s">
        <v>309</v>
      </c>
      <c r="D11999" s="1" t="str">
        <f>HYPERLINK("javascript:void(0)","gránitrög")</f>
        <v>gránitrög</v>
      </c>
    </row>
    <row r="12000" spans="1:4" ht="12.75" customHeight="1" x14ac:dyDescent="0.2">
      <c r="A12000" s="21"/>
      <c r="B12000" s="2"/>
      <c r="C12000" s="7"/>
      <c r="D12000" s="7"/>
    </row>
    <row r="12001" spans="1:4" ht="12.75" customHeight="1" x14ac:dyDescent="0.2">
      <c r="A12001" s="21"/>
      <c r="B12001" s="2"/>
      <c r="C12001" s="7"/>
      <c r="D12001" s="7"/>
    </row>
    <row r="12002" spans="1:4" ht="12.75" customHeight="1" x14ac:dyDescent="0.2">
      <c r="A12002" s="21"/>
      <c r="B12002" s="2"/>
      <c r="C12002" s="7"/>
      <c r="D12002" s="7"/>
    </row>
    <row r="12003" spans="1:4" ht="12.75" customHeight="1" x14ac:dyDescent="0.2">
      <c r="A12003" s="21"/>
      <c r="B12003" s="2"/>
      <c r="C12003" s="7"/>
      <c r="D12003" s="7"/>
    </row>
    <row r="12004" spans="1:4" ht="12.75" customHeight="1" x14ac:dyDescent="0.2">
      <c r="A12004" s="5"/>
      <c r="B12004" s="2"/>
      <c r="C12004" s="7"/>
      <c r="D12004" s="7"/>
    </row>
    <row r="12005" spans="1:4" ht="12.75" customHeight="1" x14ac:dyDescent="0.2">
      <c r="A12005" s="22" t="str">
        <f>HYPERLINK("javascript:void(0)","csillámló sziklapáncél")</f>
        <v>csillámló sziklapáncél</v>
      </c>
      <c r="B12005" s="21"/>
      <c r="C12005" s="21"/>
      <c r="D12005" s="21"/>
    </row>
    <row r="12006" spans="1:4" ht="12.75" customHeight="1" x14ac:dyDescent="0.2">
      <c r="A12006" s="20"/>
      <c r="B12006" s="2"/>
      <c r="C12006" s="7"/>
      <c r="D12006" s="7"/>
    </row>
    <row r="12007" spans="1:4" ht="12.75" customHeight="1" x14ac:dyDescent="0.2">
      <c r="A12007" s="21"/>
      <c r="B12007" s="3" t="s">
        <v>0</v>
      </c>
      <c r="C12007" s="23" t="s">
        <v>896</v>
      </c>
      <c r="D12007" s="21"/>
    </row>
    <row r="12008" spans="1:4" ht="12.75" customHeight="1" x14ac:dyDescent="0.2">
      <c r="A12008" s="21"/>
      <c r="B12008" s="3" t="s">
        <v>2</v>
      </c>
      <c r="C12008" s="23" t="s">
        <v>2322</v>
      </c>
      <c r="D12008" s="21"/>
    </row>
    <row r="12009" spans="1:4" ht="12.75" customHeight="1" x14ac:dyDescent="0.2">
      <c r="A12009" s="21"/>
      <c r="B12009" s="3" t="s">
        <v>1840</v>
      </c>
      <c r="C12009" s="23" t="s">
        <v>1850</v>
      </c>
      <c r="D12009" s="21"/>
    </row>
    <row r="12010" spans="1:4" ht="12.75" customHeight="1" x14ac:dyDescent="0.2">
      <c r="A12010" s="21"/>
      <c r="B12010" s="3" t="s">
        <v>9</v>
      </c>
      <c r="C12010" s="23" t="s">
        <v>816</v>
      </c>
      <c r="D12010" s="21"/>
    </row>
    <row r="12011" spans="1:4" ht="12.75" customHeight="1" x14ac:dyDescent="0.2">
      <c r="A12011" s="21"/>
      <c r="B12011" s="3" t="s">
        <v>11</v>
      </c>
      <c r="C12011" s="23" t="s">
        <v>1451</v>
      </c>
      <c r="D12011" s="21"/>
    </row>
    <row r="12012" spans="1:4" ht="12.75" customHeight="1" x14ac:dyDescent="0.2">
      <c r="A12012" s="21"/>
      <c r="B12012" s="3" t="s">
        <v>16</v>
      </c>
      <c r="C12012" s="23"/>
      <c r="D12012" s="21"/>
    </row>
    <row r="12013" spans="1:4" ht="12.75" customHeight="1" x14ac:dyDescent="0.2">
      <c r="A12013" s="21"/>
      <c r="B12013" s="3" t="s">
        <v>17</v>
      </c>
      <c r="C12013" s="23" t="s">
        <v>19</v>
      </c>
      <c r="D12013" s="21"/>
    </row>
    <row r="12014" spans="1:4" ht="12.75" customHeight="1" x14ac:dyDescent="0.2">
      <c r="A12014" s="21"/>
      <c r="B12014" s="20" t="s">
        <v>18</v>
      </c>
      <c r="C12014" s="8" t="s">
        <v>57</v>
      </c>
      <c r="D12014" s="1" t="str">
        <f>HYPERLINK("javascript:void(0)","csillámgöb")</f>
        <v>csillámgöb</v>
      </c>
    </row>
    <row r="12015" spans="1:4" ht="12.75" customHeight="1" x14ac:dyDescent="0.2">
      <c r="A12015" s="21"/>
      <c r="B12015" s="21"/>
      <c r="C12015" s="8" t="s">
        <v>44</v>
      </c>
      <c r="D12015" s="1" t="str">
        <f>HYPERLINK("javascript:void(0)","csillámló óriáspáncél")</f>
        <v>csillámló óriáspáncél</v>
      </c>
    </row>
    <row r="12016" spans="1:4" ht="12.75" customHeight="1" x14ac:dyDescent="0.2">
      <c r="A12016" s="21"/>
      <c r="B12016" s="21"/>
      <c r="C12016" s="8" t="s">
        <v>265</v>
      </c>
      <c r="D12016" s="1" t="str">
        <f>HYPERLINK("javascript:void(0)","földige")</f>
        <v>földige</v>
      </c>
    </row>
    <row r="12017" spans="1:4" ht="12.75" customHeight="1" x14ac:dyDescent="0.2">
      <c r="A12017" s="21"/>
      <c r="B12017" s="2"/>
      <c r="C12017" s="7"/>
      <c r="D12017" s="7"/>
    </row>
    <row r="12018" spans="1:4" ht="12.75" customHeight="1" x14ac:dyDescent="0.2">
      <c r="A12018" s="21"/>
      <c r="B12018" s="2"/>
      <c r="C12018" s="7"/>
      <c r="D12018" s="7"/>
    </row>
    <row r="12019" spans="1:4" ht="12.75" customHeight="1" x14ac:dyDescent="0.2">
      <c r="A12019" s="21"/>
      <c r="B12019" s="2"/>
      <c r="C12019" s="7"/>
      <c r="D12019" s="7"/>
    </row>
    <row r="12020" spans="1:4" ht="12.75" customHeight="1" x14ac:dyDescent="0.2">
      <c r="A12020" s="21"/>
      <c r="B12020" s="2"/>
      <c r="C12020" s="7"/>
      <c r="D12020" s="7"/>
    </row>
    <row r="12021" spans="1:4" ht="12.75" customHeight="1" x14ac:dyDescent="0.2">
      <c r="A12021" s="5"/>
      <c r="B12021" s="2"/>
      <c r="C12021" s="7"/>
      <c r="D12021" s="7"/>
    </row>
    <row r="12022" spans="1:4" ht="12.75" customHeight="1" x14ac:dyDescent="0.2">
      <c r="A12022" s="22" t="str">
        <f>HYPERLINK("javascript:void(0)","pálhacuka")</f>
        <v>pálhacuka</v>
      </c>
      <c r="B12022" s="21"/>
      <c r="C12022" s="21"/>
      <c r="D12022" s="21"/>
    </row>
    <row r="12023" spans="1:4" ht="12.75" customHeight="1" x14ac:dyDescent="0.2">
      <c r="A12023" s="20"/>
      <c r="B12023" s="2"/>
      <c r="C12023" s="7"/>
      <c r="D12023" s="7"/>
    </row>
    <row r="12024" spans="1:4" ht="12.75" customHeight="1" x14ac:dyDescent="0.2">
      <c r="A12024" s="21"/>
      <c r="B12024" s="3" t="s">
        <v>0</v>
      </c>
      <c r="C12024" s="23" t="s">
        <v>905</v>
      </c>
      <c r="D12024" s="21"/>
    </row>
    <row r="12025" spans="1:4" ht="12.75" customHeight="1" x14ac:dyDescent="0.2">
      <c r="A12025" s="21"/>
      <c r="B12025" s="3" t="s">
        <v>2</v>
      </c>
      <c r="C12025" s="23" t="s">
        <v>2322</v>
      </c>
      <c r="D12025" s="21"/>
    </row>
    <row r="12026" spans="1:4" ht="12.75" customHeight="1" x14ac:dyDescent="0.2">
      <c r="A12026" s="21"/>
      <c r="B12026" s="3" t="s">
        <v>1840</v>
      </c>
      <c r="C12026" s="23" t="s">
        <v>2496</v>
      </c>
      <c r="D12026" s="21"/>
    </row>
    <row r="12027" spans="1:4" ht="12.75" customHeight="1" x14ac:dyDescent="0.2">
      <c r="A12027" s="21"/>
      <c r="B12027" s="3" t="s">
        <v>9</v>
      </c>
      <c r="C12027" s="23" t="s">
        <v>2497</v>
      </c>
      <c r="D12027" s="21"/>
    </row>
    <row r="12028" spans="1:4" ht="12.75" customHeight="1" x14ac:dyDescent="0.2">
      <c r="A12028" s="21"/>
      <c r="B12028" s="3" t="s">
        <v>11</v>
      </c>
      <c r="C12028" s="23" t="s">
        <v>1628</v>
      </c>
      <c r="D12028" s="21"/>
    </row>
    <row r="12029" spans="1:4" ht="12.75" customHeight="1" x14ac:dyDescent="0.2">
      <c r="A12029" s="21"/>
      <c r="B12029" s="3" t="s">
        <v>16</v>
      </c>
      <c r="C12029" s="23"/>
      <c r="D12029" s="21"/>
    </row>
    <row r="12030" spans="1:4" ht="12.75" customHeight="1" x14ac:dyDescent="0.2">
      <c r="A12030" s="21"/>
      <c r="B12030" s="3" t="s">
        <v>17</v>
      </c>
      <c r="C12030" s="23" t="s">
        <v>19</v>
      </c>
      <c r="D12030" s="21"/>
    </row>
    <row r="12031" spans="1:4" ht="12.75" customHeight="1" x14ac:dyDescent="0.2">
      <c r="A12031" s="21"/>
      <c r="B12031" s="20" t="s">
        <v>18</v>
      </c>
      <c r="C12031" s="8" t="s">
        <v>117</v>
      </c>
      <c r="D12031" s="1" t="str">
        <f>HYPERLINK("javascript:void(0)","démonamulett")</f>
        <v>démonamulett</v>
      </c>
    </row>
    <row r="12032" spans="1:4" ht="12.75" customHeight="1" x14ac:dyDescent="0.2">
      <c r="A12032" s="21"/>
      <c r="B12032" s="21"/>
      <c r="C12032" s="8" t="s">
        <v>269</v>
      </c>
      <c r="D12032" s="1" t="str">
        <f>HYPERLINK("javascript:void(0)","pálha")</f>
        <v>pálha</v>
      </c>
    </row>
    <row r="12033" spans="1:4" ht="12.75" customHeight="1" x14ac:dyDescent="0.2">
      <c r="A12033" s="21"/>
      <c r="B12033" s="21"/>
      <c r="C12033" s="8" t="s">
        <v>98</v>
      </c>
      <c r="D12033" s="1" t="str">
        <f>HYPERLINK("javascript:void(0)","dobókocka")</f>
        <v>dobókocka</v>
      </c>
    </row>
    <row r="12034" spans="1:4" ht="12.75" customHeight="1" x14ac:dyDescent="0.2">
      <c r="A12034" s="21"/>
      <c r="B12034" s="2"/>
      <c r="C12034" s="7"/>
      <c r="D12034" s="7"/>
    </row>
    <row r="12035" spans="1:4" ht="12.75" customHeight="1" x14ac:dyDescent="0.2">
      <c r="A12035" s="21"/>
      <c r="B12035" s="2"/>
      <c r="C12035" s="7"/>
      <c r="D12035" s="7"/>
    </row>
    <row r="12036" spans="1:4" ht="12.75" customHeight="1" x14ac:dyDescent="0.2">
      <c r="A12036" s="21"/>
      <c r="B12036" s="2"/>
      <c r="C12036" s="7"/>
      <c r="D12036" s="7"/>
    </row>
    <row r="12037" spans="1:4" ht="12.75" customHeight="1" x14ac:dyDescent="0.2">
      <c r="A12037" s="21"/>
      <c r="B12037" s="2"/>
      <c r="C12037" s="7"/>
      <c r="D12037" s="7"/>
    </row>
    <row r="12038" spans="1:4" ht="12.75" customHeight="1" x14ac:dyDescent="0.2">
      <c r="A12038" s="5"/>
      <c r="B12038" s="2"/>
      <c r="C12038" s="7"/>
      <c r="D12038" s="7"/>
    </row>
    <row r="12039" spans="1:4" ht="12.75" customHeight="1" x14ac:dyDescent="0.2">
      <c r="A12039" s="22" t="str">
        <f>HYPERLINK("javascript:void(0)","dracobascinet")</f>
        <v>dracobascinet</v>
      </c>
      <c r="B12039" s="21"/>
      <c r="C12039" s="21"/>
      <c r="D12039" s="21"/>
    </row>
    <row r="12040" spans="1:4" ht="12.75" customHeight="1" x14ac:dyDescent="0.2">
      <c r="A12040" s="20"/>
      <c r="B12040" s="2"/>
      <c r="C12040" s="7"/>
      <c r="D12040" s="7"/>
    </row>
    <row r="12041" spans="1:4" ht="12.75" customHeight="1" x14ac:dyDescent="0.2">
      <c r="A12041" s="21"/>
      <c r="B12041" s="3" t="s">
        <v>0</v>
      </c>
      <c r="C12041" s="23" t="s">
        <v>905</v>
      </c>
      <c r="D12041" s="21"/>
    </row>
    <row r="12042" spans="1:4" ht="12.75" customHeight="1" x14ac:dyDescent="0.2">
      <c r="A12042" s="21"/>
      <c r="B12042" s="3" t="s">
        <v>2</v>
      </c>
      <c r="C12042" s="23"/>
      <c r="D12042" s="21"/>
    </row>
    <row r="12043" spans="1:4" ht="12.75" customHeight="1" x14ac:dyDescent="0.2">
      <c r="A12043" s="21"/>
      <c r="B12043" s="3" t="s">
        <v>1840</v>
      </c>
      <c r="C12043" s="23" t="s">
        <v>2415</v>
      </c>
      <c r="D12043" s="21"/>
    </row>
    <row r="12044" spans="1:4" ht="12.75" customHeight="1" x14ac:dyDescent="0.2">
      <c r="A12044" s="21"/>
      <c r="B12044" s="3" t="s">
        <v>9</v>
      </c>
      <c r="C12044" s="23" t="s">
        <v>2048</v>
      </c>
      <c r="D12044" s="21"/>
    </row>
    <row r="12045" spans="1:4" ht="12.75" customHeight="1" x14ac:dyDescent="0.2">
      <c r="A12045" s="21"/>
      <c r="B12045" s="3" t="s">
        <v>11</v>
      </c>
      <c r="C12045" s="23" t="s">
        <v>1628</v>
      </c>
      <c r="D12045" s="21"/>
    </row>
    <row r="12046" spans="1:4" ht="12.75" customHeight="1" x14ac:dyDescent="0.2">
      <c r="A12046" s="21"/>
      <c r="B12046" s="3" t="s">
        <v>16</v>
      </c>
      <c r="C12046" s="23"/>
      <c r="D12046" s="21"/>
    </row>
    <row r="12047" spans="1:4" ht="12.75" customHeight="1" x14ac:dyDescent="0.2">
      <c r="A12047" s="21"/>
      <c r="B12047" s="3" t="s">
        <v>17</v>
      </c>
      <c r="C12047" s="23" t="s">
        <v>19</v>
      </c>
      <c r="D12047" s="21"/>
    </row>
    <row r="12048" spans="1:4" ht="12.75" customHeight="1" x14ac:dyDescent="0.2">
      <c r="A12048" s="21"/>
      <c r="B12048" s="20" t="s">
        <v>18</v>
      </c>
      <c r="C12048" s="8" t="s">
        <v>44</v>
      </c>
      <c r="D12048" s="1" t="str">
        <f>HYPERLINK("javascript:void(0)","villámsisak")</f>
        <v>villámsisak</v>
      </c>
    </row>
    <row r="12049" spans="1:4" ht="12.75" customHeight="1" x14ac:dyDescent="0.2">
      <c r="A12049" s="21"/>
      <c r="B12049" s="21"/>
      <c r="C12049" s="8" t="s">
        <v>142</v>
      </c>
      <c r="D12049" s="1" t="str">
        <f>HYPERLINK("javascript:void(0)","tépőfog")</f>
        <v>tépőfog</v>
      </c>
    </row>
    <row r="12050" spans="1:4" ht="12.75" customHeight="1" x14ac:dyDescent="0.2">
      <c r="A12050" s="21"/>
      <c r="B12050" s="21"/>
      <c r="C12050" s="8" t="s">
        <v>139</v>
      </c>
      <c r="D12050" s="1" t="str">
        <f>HYPERLINK("javascript:void(0)","porszőr")</f>
        <v>porszőr</v>
      </c>
    </row>
    <row r="12051" spans="1:4" ht="12.75" customHeight="1" x14ac:dyDescent="0.2">
      <c r="A12051" s="21"/>
      <c r="B12051" s="2"/>
      <c r="C12051" s="7"/>
      <c r="D12051" s="7"/>
    </row>
    <row r="12052" spans="1:4" ht="12.75" customHeight="1" x14ac:dyDescent="0.2">
      <c r="A12052" s="21"/>
      <c r="B12052" s="2"/>
      <c r="C12052" s="7"/>
      <c r="D12052" s="7"/>
    </row>
    <row r="12053" spans="1:4" ht="12.75" customHeight="1" x14ac:dyDescent="0.2">
      <c r="A12053" s="21"/>
      <c r="B12053" s="2"/>
      <c r="C12053" s="7"/>
      <c r="D12053" s="7"/>
    </row>
    <row r="12054" spans="1:4" ht="12.75" customHeight="1" x14ac:dyDescent="0.2">
      <c r="A12054" s="21"/>
      <c r="B12054" s="2"/>
      <c r="C12054" s="7"/>
      <c r="D12054" s="7"/>
    </row>
    <row r="12055" spans="1:4" ht="12.75" customHeight="1" x14ac:dyDescent="0.2">
      <c r="A12055" s="5"/>
      <c r="B12055" s="2"/>
      <c r="C12055" s="7"/>
      <c r="D12055" s="7"/>
    </row>
    <row r="12056" spans="1:4" ht="12.75" customHeight="1" x14ac:dyDescent="0.2">
      <c r="A12056" s="22" t="str">
        <f>HYPERLINK("javascript:void(0)","fogastalpú taposó")</f>
        <v>fogastalpú taposó</v>
      </c>
      <c r="B12056" s="21"/>
      <c r="C12056" s="21"/>
      <c r="D12056" s="21"/>
    </row>
    <row r="12057" spans="1:4" ht="12.75" customHeight="1" x14ac:dyDescent="0.2">
      <c r="A12057" s="20"/>
      <c r="B12057" s="2"/>
      <c r="C12057" s="7"/>
      <c r="D12057" s="7"/>
    </row>
    <row r="12058" spans="1:4" ht="12.75" customHeight="1" x14ac:dyDescent="0.2">
      <c r="A12058" s="21"/>
      <c r="B12058" s="3" t="s">
        <v>0</v>
      </c>
      <c r="C12058" s="23" t="s">
        <v>905</v>
      </c>
      <c r="D12058" s="21"/>
    </row>
    <row r="12059" spans="1:4" ht="12.75" customHeight="1" x14ac:dyDescent="0.2">
      <c r="A12059" s="21"/>
      <c r="B12059" s="3" t="s">
        <v>2</v>
      </c>
      <c r="C12059" s="23"/>
      <c r="D12059" s="21"/>
    </row>
    <row r="12060" spans="1:4" ht="12.75" customHeight="1" x14ac:dyDescent="0.2">
      <c r="A12060" s="21"/>
      <c r="B12060" s="3" t="s">
        <v>1840</v>
      </c>
      <c r="C12060" s="23" t="s">
        <v>222</v>
      </c>
      <c r="D12060" s="21"/>
    </row>
    <row r="12061" spans="1:4" ht="12.75" customHeight="1" x14ac:dyDescent="0.2">
      <c r="A12061" s="21"/>
      <c r="B12061" s="3" t="s">
        <v>9</v>
      </c>
      <c r="C12061" s="23" t="s">
        <v>30</v>
      </c>
      <c r="D12061" s="21"/>
    </row>
    <row r="12062" spans="1:4" ht="12.75" customHeight="1" x14ac:dyDescent="0.2">
      <c r="A12062" s="21"/>
      <c r="B12062" s="3" t="s">
        <v>11</v>
      </c>
      <c r="C12062" s="23" t="s">
        <v>1199</v>
      </c>
      <c r="D12062" s="21"/>
    </row>
    <row r="12063" spans="1:4" ht="12.75" customHeight="1" x14ac:dyDescent="0.2">
      <c r="A12063" s="21"/>
      <c r="B12063" s="3" t="s">
        <v>16</v>
      </c>
      <c r="C12063" s="23"/>
      <c r="D12063" s="21"/>
    </row>
    <row r="12064" spans="1:4" ht="12.75" customHeight="1" x14ac:dyDescent="0.2">
      <c r="A12064" s="21"/>
      <c r="B12064" s="3" t="s">
        <v>17</v>
      </c>
      <c r="C12064" s="23" t="s">
        <v>19</v>
      </c>
      <c r="D12064" s="21"/>
    </row>
    <row r="12065" spans="1:4" ht="12.75" customHeight="1" x14ac:dyDescent="0.2">
      <c r="A12065" s="21"/>
      <c r="B12065" s="20" t="s">
        <v>18</v>
      </c>
      <c r="C12065" s="8" t="s">
        <v>44</v>
      </c>
      <c r="D12065" s="1" t="str">
        <f>HYPERLINK("javascript:void(0)","fotoacél habtipró")</f>
        <v>fotoacél habtipró</v>
      </c>
    </row>
    <row r="12066" spans="1:4" ht="12.75" customHeight="1" x14ac:dyDescent="0.2">
      <c r="A12066" s="21"/>
      <c r="B12066" s="21"/>
      <c r="C12066" s="8" t="s">
        <v>44</v>
      </c>
      <c r="D12066" s="1" t="str">
        <f>HYPERLINK("javascript:void(0)","fogastalp")</f>
        <v>fogastalp</v>
      </c>
    </row>
    <row r="12067" spans="1:4" ht="12.75" customHeight="1" x14ac:dyDescent="0.2">
      <c r="A12067" s="21"/>
      <c r="B12067" s="21"/>
      <c r="C12067" s="8" t="s">
        <v>44</v>
      </c>
      <c r="D12067" s="1" t="str">
        <f>HYPERLINK("javascript:void(0)","fotoacél mokaszin")</f>
        <v>fotoacél mokaszin</v>
      </c>
    </row>
    <row r="12068" spans="1:4" ht="12.75" customHeight="1" x14ac:dyDescent="0.2">
      <c r="A12068" s="21"/>
      <c r="B12068" s="2"/>
      <c r="C12068" s="7"/>
      <c r="D12068" s="7"/>
    </row>
    <row r="12069" spans="1:4" ht="12.75" customHeight="1" x14ac:dyDescent="0.2">
      <c r="A12069" s="21"/>
      <c r="B12069" s="2"/>
      <c r="C12069" s="7"/>
      <c r="D12069" s="7"/>
    </row>
    <row r="12070" spans="1:4" ht="12.75" customHeight="1" x14ac:dyDescent="0.2">
      <c r="A12070" s="21"/>
      <c r="B12070" s="2"/>
      <c r="C12070" s="7"/>
      <c r="D12070" s="7"/>
    </row>
    <row r="12071" spans="1:4" ht="12.75" customHeight="1" x14ac:dyDescent="0.2">
      <c r="A12071" s="21"/>
      <c r="B12071" s="2"/>
      <c r="C12071" s="7"/>
      <c r="D12071" s="7"/>
    </row>
    <row r="12072" spans="1:4" ht="12.75" customHeight="1" x14ac:dyDescent="0.2">
      <c r="A12072" s="5"/>
      <c r="B12072" s="2"/>
      <c r="C12072" s="7"/>
      <c r="D12072" s="7"/>
    </row>
    <row r="12073" spans="1:4" ht="12.75" customHeight="1" x14ac:dyDescent="0.2">
      <c r="A12073" s="22" t="str">
        <f>HYPERLINK("javascript:void(0)","pálhapajzs")</f>
        <v>pálhapajzs</v>
      </c>
      <c r="B12073" s="21"/>
      <c r="C12073" s="21"/>
      <c r="D12073" s="21"/>
    </row>
    <row r="12074" spans="1:4" ht="12.75" customHeight="1" x14ac:dyDescent="0.2">
      <c r="A12074" s="20"/>
      <c r="B12074" s="2"/>
      <c r="C12074" s="7"/>
      <c r="D12074" s="7"/>
    </row>
    <row r="12075" spans="1:4" ht="12.75" customHeight="1" x14ac:dyDescent="0.2">
      <c r="A12075" s="21"/>
      <c r="B12075" s="3" t="s">
        <v>0</v>
      </c>
      <c r="C12075" s="23" t="s">
        <v>905</v>
      </c>
      <c r="D12075" s="21"/>
    </row>
    <row r="12076" spans="1:4" ht="12.75" customHeight="1" x14ac:dyDescent="0.2">
      <c r="A12076" s="21"/>
      <c r="B12076" s="3" t="s">
        <v>2</v>
      </c>
      <c r="C12076" s="23" t="s">
        <v>1839</v>
      </c>
      <c r="D12076" s="21"/>
    </row>
    <row r="12077" spans="1:4" ht="12.75" customHeight="1" x14ac:dyDescent="0.2">
      <c r="A12077" s="21"/>
      <c r="B12077" s="3" t="s">
        <v>1840</v>
      </c>
      <c r="C12077" s="23" t="s">
        <v>1812</v>
      </c>
      <c r="D12077" s="21"/>
    </row>
    <row r="12078" spans="1:4" ht="12.75" customHeight="1" x14ac:dyDescent="0.2">
      <c r="A12078" s="21"/>
      <c r="B12078" s="3" t="s">
        <v>9</v>
      </c>
      <c r="C12078" s="23" t="s">
        <v>198</v>
      </c>
      <c r="D12078" s="21"/>
    </row>
    <row r="12079" spans="1:4" ht="12.75" customHeight="1" x14ac:dyDescent="0.2">
      <c r="A12079" s="21"/>
      <c r="B12079" s="3" t="s">
        <v>11</v>
      </c>
      <c r="C12079" s="23" t="s">
        <v>1657</v>
      </c>
      <c r="D12079" s="21"/>
    </row>
    <row r="12080" spans="1:4" ht="12.75" customHeight="1" x14ac:dyDescent="0.2">
      <c r="A12080" s="21"/>
      <c r="B12080" s="3" t="s">
        <v>16</v>
      </c>
      <c r="C12080" s="23"/>
      <c r="D12080" s="21"/>
    </row>
    <row r="12081" spans="1:4" ht="12.75" customHeight="1" x14ac:dyDescent="0.2">
      <c r="A12081" s="21"/>
      <c r="B12081" s="3" t="s">
        <v>17</v>
      </c>
      <c r="C12081" s="23" t="s">
        <v>19</v>
      </c>
      <c r="D12081" s="21"/>
    </row>
    <row r="12082" spans="1:4" ht="12.75" customHeight="1" x14ac:dyDescent="0.2">
      <c r="A12082" s="21"/>
      <c r="B12082" s="20" t="s">
        <v>18</v>
      </c>
      <c r="C12082" s="8" t="s">
        <v>44</v>
      </c>
      <c r="D12082" s="1" t="str">
        <f>HYPERLINK("javascript:void(0)","gólembőrpajzs")</f>
        <v>gólembőrpajzs</v>
      </c>
    </row>
    <row r="12083" spans="1:4" ht="12.75" customHeight="1" x14ac:dyDescent="0.2">
      <c r="A12083" s="21"/>
      <c r="B12083" s="21"/>
      <c r="C12083" s="8" t="s">
        <v>269</v>
      </c>
      <c r="D12083" s="1" t="str">
        <f>HYPERLINK("javascript:void(0)","pálha")</f>
        <v>pálha</v>
      </c>
    </row>
    <row r="12084" spans="1:4" ht="12.75" customHeight="1" x14ac:dyDescent="0.2">
      <c r="A12084" s="21"/>
      <c r="B12084" s="21"/>
      <c r="C12084" s="8" t="s">
        <v>316</v>
      </c>
      <c r="D12084" s="1" t="str">
        <f>HYPERLINK("javascript:void(0)","porszőr")</f>
        <v>porszőr</v>
      </c>
    </row>
    <row r="12085" spans="1:4" ht="12.75" customHeight="1" x14ac:dyDescent="0.2">
      <c r="A12085" s="21"/>
      <c r="B12085" s="2"/>
      <c r="C12085" s="7"/>
      <c r="D12085" s="7"/>
    </row>
    <row r="12086" spans="1:4" ht="12.75" customHeight="1" x14ac:dyDescent="0.2">
      <c r="A12086" s="21"/>
      <c r="B12086" s="2"/>
      <c r="C12086" s="7"/>
      <c r="D12086" s="7"/>
    </row>
    <row r="12087" spans="1:4" ht="12.75" customHeight="1" x14ac:dyDescent="0.2">
      <c r="A12087" s="21"/>
      <c r="B12087" s="2"/>
      <c r="C12087" s="7"/>
      <c r="D12087" s="7"/>
    </row>
    <row r="12088" spans="1:4" ht="12.75" customHeight="1" x14ac:dyDescent="0.2">
      <c r="A12088" s="21"/>
      <c r="B12088" s="2"/>
      <c r="C12088" s="7"/>
      <c r="D12088" s="7"/>
    </row>
    <row r="12089" spans="1:4" ht="12.75" customHeight="1" x14ac:dyDescent="0.2">
      <c r="A12089" s="5"/>
      <c r="B12089" s="2"/>
      <c r="C12089" s="7"/>
      <c r="D12089" s="7"/>
    </row>
    <row r="12090" spans="1:4" ht="12.75" customHeight="1" x14ac:dyDescent="0.2">
      <c r="A12090" s="22" t="str">
        <f>HYPERLINK("javascript:void(0)","démonacél szellempajzs")</f>
        <v>démonacél szellempajzs</v>
      </c>
      <c r="B12090" s="21"/>
      <c r="C12090" s="21"/>
      <c r="D12090" s="21"/>
    </row>
    <row r="12091" spans="1:4" ht="12.75" customHeight="1" x14ac:dyDescent="0.2">
      <c r="A12091" s="20"/>
      <c r="B12091" s="2"/>
      <c r="C12091" s="7"/>
      <c r="D12091" s="7"/>
    </row>
    <row r="12092" spans="1:4" ht="12.75" customHeight="1" x14ac:dyDescent="0.2">
      <c r="A12092" s="21"/>
      <c r="B12092" s="3" t="s">
        <v>0</v>
      </c>
      <c r="C12092" s="23" t="s">
        <v>905</v>
      </c>
      <c r="D12092" s="21"/>
    </row>
    <row r="12093" spans="1:4" ht="12.75" customHeight="1" x14ac:dyDescent="0.2">
      <c r="A12093" s="21"/>
      <c r="B12093" s="3" t="s">
        <v>2</v>
      </c>
      <c r="C12093" s="23" t="s">
        <v>1839</v>
      </c>
      <c r="D12093" s="21"/>
    </row>
    <row r="12094" spans="1:4" ht="12.75" customHeight="1" x14ac:dyDescent="0.2">
      <c r="A12094" s="21"/>
      <c r="B12094" s="3" t="s">
        <v>1840</v>
      </c>
      <c r="C12094" s="23" t="s">
        <v>1812</v>
      </c>
      <c r="D12094" s="21"/>
    </row>
    <row r="12095" spans="1:4" ht="12.75" customHeight="1" x14ac:dyDescent="0.2">
      <c r="A12095" s="21"/>
      <c r="B12095" s="3" t="s">
        <v>9</v>
      </c>
      <c r="C12095" s="23" t="s">
        <v>624</v>
      </c>
      <c r="D12095" s="21"/>
    </row>
    <row r="12096" spans="1:4" ht="12.75" customHeight="1" x14ac:dyDescent="0.2">
      <c r="A12096" s="21"/>
      <c r="B12096" s="3" t="s">
        <v>11</v>
      </c>
      <c r="C12096" s="23" t="s">
        <v>839</v>
      </c>
      <c r="D12096" s="21"/>
    </row>
    <row r="12097" spans="1:4" ht="12.75" customHeight="1" x14ac:dyDescent="0.2">
      <c r="A12097" s="21"/>
      <c r="B12097" s="3" t="s">
        <v>16</v>
      </c>
      <c r="C12097" s="23"/>
      <c r="D12097" s="21"/>
    </row>
    <row r="12098" spans="1:4" ht="12.75" customHeight="1" x14ac:dyDescent="0.2">
      <c r="A12098" s="21"/>
      <c r="B12098" s="3" t="s">
        <v>17</v>
      </c>
      <c r="C12098" s="23" t="s">
        <v>19</v>
      </c>
      <c r="D12098" s="21"/>
    </row>
    <row r="12099" spans="1:4" ht="12.75" customHeight="1" x14ac:dyDescent="0.2">
      <c r="A12099" s="21"/>
      <c r="B12099" s="20" t="s">
        <v>18</v>
      </c>
      <c r="C12099" s="8" t="s">
        <v>44</v>
      </c>
      <c r="D12099" s="1" t="str">
        <f>HYPERLINK("javascript:void(0)","pálhapajzs")</f>
        <v>pálhapajzs</v>
      </c>
    </row>
    <row r="12100" spans="1:4" ht="12.75" customHeight="1" x14ac:dyDescent="0.2">
      <c r="A12100" s="21"/>
      <c r="B12100" s="21"/>
      <c r="C12100" s="8" t="s">
        <v>398</v>
      </c>
      <c r="D12100" s="1" t="str">
        <f>HYPERLINK("javascript:void(0)","szent szimbólum")</f>
        <v>szent szimbólum</v>
      </c>
    </row>
    <row r="12101" spans="1:4" ht="12.75" customHeight="1" x14ac:dyDescent="0.2">
      <c r="A12101" s="21"/>
      <c r="B12101" s="21"/>
      <c r="C12101" s="8" t="s">
        <v>240</v>
      </c>
      <c r="D12101" s="1" t="str">
        <f>HYPERLINK("javascript:void(0)","tépőfog")</f>
        <v>tépőfog</v>
      </c>
    </row>
    <row r="12102" spans="1:4" ht="12.75" customHeight="1" x14ac:dyDescent="0.2">
      <c r="A12102" s="21"/>
      <c r="B12102" s="2"/>
      <c r="C12102" s="7"/>
      <c r="D12102" s="7"/>
    </row>
    <row r="12103" spans="1:4" ht="12.75" customHeight="1" x14ac:dyDescent="0.2">
      <c r="A12103" s="21"/>
      <c r="B12103" s="2"/>
      <c r="C12103" s="7"/>
      <c r="D12103" s="7"/>
    </row>
    <row r="12104" spans="1:4" ht="12.75" customHeight="1" x14ac:dyDescent="0.2">
      <c r="A12104" s="21"/>
      <c r="B12104" s="2"/>
      <c r="C12104" s="7"/>
      <c r="D12104" s="7"/>
    </row>
    <row r="12105" spans="1:4" ht="12.75" customHeight="1" x14ac:dyDescent="0.2">
      <c r="A12105" s="21"/>
      <c r="B12105" s="2"/>
      <c r="C12105" s="7"/>
      <c r="D12105" s="7"/>
    </row>
    <row r="12106" spans="1:4" ht="12.75" customHeight="1" x14ac:dyDescent="0.2">
      <c r="A12106" s="5"/>
      <c r="B12106" s="2"/>
      <c r="C12106" s="7"/>
      <c r="D12106" s="7"/>
    </row>
    <row r="12107" spans="1:4" ht="12.75" customHeight="1" x14ac:dyDescent="0.2">
      <c r="A12107" s="22" t="str">
        <f>HYPERLINK("javascript:void(0)","fogastalp")</f>
        <v>fogastalp</v>
      </c>
      <c r="B12107" s="21"/>
      <c r="C12107" s="21"/>
      <c r="D12107" s="21"/>
    </row>
    <row r="12108" spans="1:4" ht="12.75" customHeight="1" x14ac:dyDescent="0.2">
      <c r="A12108" s="20"/>
      <c r="B12108" s="2"/>
      <c r="C12108" s="7"/>
      <c r="D12108" s="7"/>
    </row>
    <row r="12109" spans="1:4" ht="12.75" customHeight="1" x14ac:dyDescent="0.2">
      <c r="A12109" s="21"/>
      <c r="B12109" s="3" t="s">
        <v>0</v>
      </c>
      <c r="C12109" s="23" t="s">
        <v>905</v>
      </c>
      <c r="D12109" s="21"/>
    </row>
    <row r="12110" spans="1:4" ht="12.75" customHeight="1" x14ac:dyDescent="0.2">
      <c r="A12110" s="21"/>
      <c r="B12110" s="3" t="s">
        <v>2</v>
      </c>
      <c r="C12110" s="23"/>
      <c r="D12110" s="21"/>
    </row>
    <row r="12111" spans="1:4" ht="12.75" customHeight="1" x14ac:dyDescent="0.2">
      <c r="A12111" s="21"/>
      <c r="B12111" s="3" t="s">
        <v>1840</v>
      </c>
      <c r="C12111" s="23" t="s">
        <v>417</v>
      </c>
      <c r="D12111" s="21"/>
    </row>
    <row r="12112" spans="1:4" ht="12.75" customHeight="1" x14ac:dyDescent="0.2">
      <c r="A12112" s="21"/>
      <c r="B12112" s="3" t="s">
        <v>9</v>
      </c>
      <c r="C12112" s="23" t="s">
        <v>70</v>
      </c>
      <c r="D12112" s="21"/>
    </row>
    <row r="12113" spans="1:4" ht="12.75" customHeight="1" x14ac:dyDescent="0.2">
      <c r="A12113" s="21"/>
      <c r="B12113" s="3" t="s">
        <v>11</v>
      </c>
      <c r="C12113" s="23" t="s">
        <v>2124</v>
      </c>
      <c r="D12113" s="21"/>
    </row>
    <row r="12114" spans="1:4" ht="12.75" customHeight="1" x14ac:dyDescent="0.2">
      <c r="A12114" s="21"/>
      <c r="B12114" s="3" t="s">
        <v>16</v>
      </c>
      <c r="C12114" s="23"/>
      <c r="D12114" s="21"/>
    </row>
    <row r="12115" spans="1:4" ht="12.75" customHeight="1" x14ac:dyDescent="0.2">
      <c r="A12115" s="21"/>
      <c r="B12115" s="3" t="s">
        <v>17</v>
      </c>
      <c r="C12115" s="23" t="s">
        <v>19</v>
      </c>
      <c r="D12115" s="21"/>
    </row>
    <row r="12116" spans="1:4" ht="12.75" customHeight="1" x14ac:dyDescent="0.2">
      <c r="A12116" s="21"/>
      <c r="B12116" s="20" t="s">
        <v>18</v>
      </c>
      <c r="C12116" s="8" t="s">
        <v>67</v>
      </c>
      <c r="D12116" s="1" t="str">
        <f>HYPERLINK("javascript:void(0)","cerka")</f>
        <v>cerka</v>
      </c>
    </row>
    <row r="12117" spans="1:4" ht="12.75" customHeight="1" x14ac:dyDescent="0.2">
      <c r="A12117" s="21"/>
      <c r="B12117" s="21"/>
      <c r="C12117" s="8" t="s">
        <v>68</v>
      </c>
      <c r="D12117" s="1" t="str">
        <f>HYPERLINK("javascript:void(0)","tépőfog")</f>
        <v>tépőfog</v>
      </c>
    </row>
    <row r="12118" spans="1:4" ht="12.75" customHeight="1" x14ac:dyDescent="0.2">
      <c r="A12118" s="21"/>
      <c r="B12118" s="21"/>
      <c r="C12118" s="8" t="s">
        <v>331</v>
      </c>
      <c r="D12118" s="1" t="str">
        <f>HYPERLINK("javascript:void(0)","magmacsepp")</f>
        <v>magmacsepp</v>
      </c>
    </row>
    <row r="12119" spans="1:4" ht="12.75" customHeight="1" x14ac:dyDescent="0.2">
      <c r="A12119" s="21"/>
      <c r="B12119" s="2"/>
      <c r="C12119" s="7"/>
      <c r="D12119" s="7"/>
    </row>
    <row r="12120" spans="1:4" ht="12.75" customHeight="1" x14ac:dyDescent="0.2">
      <c r="A12120" s="21"/>
      <c r="B12120" s="2"/>
      <c r="C12120" s="7"/>
      <c r="D12120" s="7"/>
    </row>
    <row r="12121" spans="1:4" ht="12.75" customHeight="1" x14ac:dyDescent="0.2">
      <c r="A12121" s="21"/>
      <c r="B12121" s="2"/>
      <c r="C12121" s="7"/>
      <c r="D12121" s="7"/>
    </row>
    <row r="12122" spans="1:4" ht="12.75" customHeight="1" x14ac:dyDescent="0.2">
      <c r="A12122" s="21"/>
      <c r="B12122" s="2"/>
      <c r="C12122" s="7"/>
      <c r="D12122" s="7"/>
    </row>
    <row r="12123" spans="1:4" ht="12.75" customHeight="1" x14ac:dyDescent="0.2">
      <c r="A12123" s="5"/>
      <c r="B12123" s="2"/>
      <c r="C12123" s="7"/>
      <c r="D12123" s="7"/>
    </row>
    <row r="12124" spans="1:4" ht="12.75" customHeight="1" x14ac:dyDescent="0.2">
      <c r="A12124" s="22" t="str">
        <f>HYPERLINK("javascript:void(0)","teljes kriptonvért")</f>
        <v>teljes kriptonvért</v>
      </c>
      <c r="B12124" s="21"/>
      <c r="C12124" s="21"/>
      <c r="D12124" s="21"/>
    </row>
    <row r="12125" spans="1:4" ht="12.75" customHeight="1" x14ac:dyDescent="0.2">
      <c r="A12125" s="20"/>
      <c r="B12125" s="2"/>
      <c r="C12125" s="7"/>
      <c r="D12125" s="7"/>
    </row>
    <row r="12126" spans="1:4" ht="12.75" customHeight="1" x14ac:dyDescent="0.2">
      <c r="A12126" s="21"/>
      <c r="B12126" s="3" t="s">
        <v>0</v>
      </c>
      <c r="C12126" s="23" t="s">
        <v>319</v>
      </c>
      <c r="D12126" s="21"/>
    </row>
    <row r="12127" spans="1:4" ht="12.75" customHeight="1" x14ac:dyDescent="0.2">
      <c r="A12127" s="21"/>
      <c r="B12127" s="3" t="s">
        <v>2</v>
      </c>
      <c r="C12127" s="23" t="s">
        <v>2322</v>
      </c>
      <c r="D12127" s="21"/>
    </row>
    <row r="12128" spans="1:4" ht="12.75" customHeight="1" x14ac:dyDescent="0.2">
      <c r="A12128" s="21"/>
      <c r="B12128" s="3" t="s">
        <v>1840</v>
      </c>
      <c r="C12128" s="23" t="s">
        <v>2498</v>
      </c>
      <c r="D12128" s="21"/>
    </row>
    <row r="12129" spans="1:4" ht="12.75" customHeight="1" x14ac:dyDescent="0.2">
      <c r="A12129" s="21"/>
      <c r="B12129" s="3" t="s">
        <v>9</v>
      </c>
      <c r="C12129" s="23" t="s">
        <v>2499</v>
      </c>
      <c r="D12129" s="21"/>
    </row>
    <row r="12130" spans="1:4" ht="12.75" customHeight="1" x14ac:dyDescent="0.2">
      <c r="A12130" s="21"/>
      <c r="B12130" s="3" t="s">
        <v>11</v>
      </c>
      <c r="C12130" s="23" t="s">
        <v>1459</v>
      </c>
      <c r="D12130" s="21"/>
    </row>
    <row r="12131" spans="1:4" ht="12.75" customHeight="1" x14ac:dyDescent="0.2">
      <c r="A12131" s="21"/>
      <c r="B12131" s="3" t="s">
        <v>16</v>
      </c>
      <c r="C12131" s="23"/>
      <c r="D12131" s="21"/>
    </row>
    <row r="12132" spans="1:4" ht="12.75" customHeight="1" x14ac:dyDescent="0.2">
      <c r="A12132" s="21"/>
      <c r="B12132" s="3" t="s">
        <v>17</v>
      </c>
      <c r="C12132" s="23" t="s">
        <v>19</v>
      </c>
      <c r="D12132" s="21"/>
    </row>
    <row r="12133" spans="1:4" ht="12.75" customHeight="1" x14ac:dyDescent="0.2">
      <c r="A12133" s="21"/>
      <c r="B12133" s="20" t="s">
        <v>18</v>
      </c>
      <c r="C12133" s="8" t="s">
        <v>44</v>
      </c>
      <c r="D12133" s="1" t="str">
        <f>HYPERLINK("javascript:void(0)","kriptonbélés")</f>
        <v>kriptonbélés</v>
      </c>
    </row>
    <row r="12134" spans="1:4" ht="12.75" customHeight="1" x14ac:dyDescent="0.2">
      <c r="A12134" s="21"/>
      <c r="B12134" s="21"/>
      <c r="C12134" s="8" t="s">
        <v>44</v>
      </c>
      <c r="D12134" s="1" t="str">
        <f>HYPERLINK("javascript:void(0)","pálhacuka")</f>
        <v>pálhacuka</v>
      </c>
    </row>
    <row r="12135" spans="1:4" ht="12.75" customHeight="1" x14ac:dyDescent="0.2">
      <c r="A12135" s="21"/>
      <c r="B12135" s="21"/>
      <c r="C12135" s="8" t="s">
        <v>44</v>
      </c>
      <c r="D12135" s="1" t="str">
        <f>HYPERLINK("javascript:void(0)","teljes atomvért")</f>
        <v>teljes atomvért</v>
      </c>
    </row>
    <row r="12136" spans="1:4" ht="12.75" customHeight="1" x14ac:dyDescent="0.2">
      <c r="A12136" s="21"/>
      <c r="B12136" s="2"/>
      <c r="C12136" s="7"/>
      <c r="D12136" s="7"/>
    </row>
    <row r="12137" spans="1:4" ht="12.75" customHeight="1" x14ac:dyDescent="0.2">
      <c r="A12137" s="21"/>
      <c r="B12137" s="2"/>
      <c r="C12137" s="7"/>
      <c r="D12137" s="7"/>
    </row>
    <row r="12138" spans="1:4" ht="12.75" customHeight="1" x14ac:dyDescent="0.2">
      <c r="A12138" s="21"/>
      <c r="B12138" s="2"/>
      <c r="C12138" s="7"/>
      <c r="D12138" s="7"/>
    </row>
    <row r="12139" spans="1:4" ht="12.75" customHeight="1" x14ac:dyDescent="0.2">
      <c r="A12139" s="21"/>
      <c r="B12139" s="2"/>
      <c r="C12139" s="7"/>
      <c r="D12139" s="7"/>
    </row>
    <row r="12140" spans="1:4" ht="12.75" customHeight="1" x14ac:dyDescent="0.2">
      <c r="A12140" s="5"/>
      <c r="B12140" s="2"/>
      <c r="C12140" s="7"/>
      <c r="D12140" s="7"/>
    </row>
    <row r="12141" spans="1:4" ht="12.75" customHeight="1" x14ac:dyDescent="0.2">
      <c r="A12141" s="22" t="str">
        <f>HYPERLINK("javascript:void(0)","rémálarc")</f>
        <v>rémálarc</v>
      </c>
      <c r="B12141" s="21"/>
      <c r="C12141" s="21"/>
      <c r="D12141" s="21"/>
    </row>
    <row r="12142" spans="1:4" ht="12.75" customHeight="1" x14ac:dyDescent="0.2">
      <c r="A12142" s="20"/>
      <c r="B12142" s="2"/>
      <c r="C12142" s="7"/>
      <c r="D12142" s="7"/>
    </row>
    <row r="12143" spans="1:4" ht="12.75" customHeight="1" x14ac:dyDescent="0.2">
      <c r="A12143" s="21"/>
      <c r="B12143" s="3" t="s">
        <v>0</v>
      </c>
      <c r="C12143" s="23" t="s">
        <v>319</v>
      </c>
      <c r="D12143" s="21"/>
    </row>
    <row r="12144" spans="1:4" ht="12.75" customHeight="1" x14ac:dyDescent="0.2">
      <c r="A12144" s="21"/>
      <c r="B12144" s="3" t="s">
        <v>2</v>
      </c>
      <c r="C12144" s="23"/>
      <c r="D12144" s="21"/>
    </row>
    <row r="12145" spans="1:4" ht="12.75" customHeight="1" x14ac:dyDescent="0.2">
      <c r="A12145" s="21"/>
      <c r="B12145" s="3" t="s">
        <v>1840</v>
      </c>
      <c r="C12145" s="23" t="s">
        <v>4970</v>
      </c>
      <c r="D12145" s="21"/>
    </row>
    <row r="12146" spans="1:4" ht="12.75" customHeight="1" x14ac:dyDescent="0.2">
      <c r="A12146" s="21"/>
      <c r="B12146" s="3" t="s">
        <v>9</v>
      </c>
      <c r="C12146" s="23" t="s">
        <v>4972</v>
      </c>
      <c r="D12146" s="21"/>
    </row>
    <row r="12147" spans="1:4" ht="12.75" customHeight="1" x14ac:dyDescent="0.2">
      <c r="A12147" s="21"/>
      <c r="B12147" s="3" t="s">
        <v>11</v>
      </c>
      <c r="C12147" s="23" t="s">
        <v>1459</v>
      </c>
      <c r="D12147" s="21"/>
    </row>
    <row r="12148" spans="1:4" ht="12.75" customHeight="1" x14ac:dyDescent="0.2">
      <c r="A12148" s="21"/>
      <c r="B12148" s="3" t="s">
        <v>16</v>
      </c>
      <c r="C12148" s="23"/>
      <c r="D12148" s="21"/>
    </row>
    <row r="12149" spans="1:4" ht="12.75" customHeight="1" x14ac:dyDescent="0.2">
      <c r="A12149" s="21"/>
      <c r="B12149" s="3" t="s">
        <v>17</v>
      </c>
      <c r="C12149" s="23" t="s">
        <v>19</v>
      </c>
      <c r="D12149" s="21"/>
    </row>
    <row r="12150" spans="1:4" ht="12.75" customHeight="1" x14ac:dyDescent="0.2">
      <c r="A12150" s="21"/>
      <c r="B12150" s="20" t="s">
        <v>18</v>
      </c>
      <c r="C12150" s="8" t="s">
        <v>232</v>
      </c>
      <c r="D12150" s="1" t="str">
        <f>HYPERLINK("javascript:void(0)","rémláb")</f>
        <v>rémláb</v>
      </c>
    </row>
    <row r="12151" spans="1:4" ht="12.75" customHeight="1" x14ac:dyDescent="0.2">
      <c r="A12151" s="21"/>
      <c r="B12151" s="21"/>
      <c r="C12151" s="8" t="s">
        <v>68</v>
      </c>
      <c r="D12151" s="1" t="str">
        <f>HYPERLINK("javascript:void(0)","ejtőernyő")</f>
        <v>ejtőernyő</v>
      </c>
    </row>
    <row r="12152" spans="1:4" ht="12.75" customHeight="1" x14ac:dyDescent="0.2">
      <c r="A12152" s="21"/>
      <c r="B12152" s="21"/>
      <c r="C12152" s="8" t="s">
        <v>67</v>
      </c>
      <c r="D12152" s="1" t="str">
        <f>HYPERLINK("javascript:void(0)","hídpenge")</f>
        <v>hídpenge</v>
      </c>
    </row>
    <row r="12153" spans="1:4" ht="12.75" customHeight="1" x14ac:dyDescent="0.2">
      <c r="A12153" s="21"/>
      <c r="B12153" s="2"/>
      <c r="C12153" s="7"/>
      <c r="D12153" s="7"/>
    </row>
    <row r="12154" spans="1:4" ht="12.75" customHeight="1" x14ac:dyDescent="0.2">
      <c r="A12154" s="21"/>
      <c r="B12154" s="2"/>
      <c r="C12154" s="7"/>
      <c r="D12154" s="7"/>
    </row>
    <row r="12155" spans="1:4" ht="12.75" customHeight="1" x14ac:dyDescent="0.2">
      <c r="A12155" s="21"/>
      <c r="B12155" s="2"/>
      <c r="C12155" s="7"/>
      <c r="D12155" s="7"/>
    </row>
    <row r="12156" spans="1:4" ht="12.75" customHeight="1" x14ac:dyDescent="0.2">
      <c r="A12156" s="21"/>
      <c r="B12156" s="2"/>
      <c r="C12156" s="7"/>
      <c r="D12156" s="7"/>
    </row>
    <row r="12157" spans="1:4" ht="12.75" customHeight="1" x14ac:dyDescent="0.2">
      <c r="A12157" s="5"/>
      <c r="B12157" s="2"/>
      <c r="C12157" s="7"/>
      <c r="D12157" s="7"/>
    </row>
    <row r="12158" spans="1:4" ht="12.75" customHeight="1" x14ac:dyDescent="0.2">
      <c r="A12158" s="22" t="str">
        <f>HYPERLINK("javascript:void(0)","kriptonacél mokaszin")</f>
        <v>kriptonacél mokaszin</v>
      </c>
      <c r="B12158" s="21"/>
      <c r="C12158" s="21"/>
      <c r="D12158" s="21"/>
    </row>
    <row r="12159" spans="1:4" ht="12.75" customHeight="1" x14ac:dyDescent="0.2">
      <c r="A12159" s="20"/>
      <c r="B12159" s="2"/>
      <c r="C12159" s="7"/>
      <c r="D12159" s="7"/>
    </row>
    <row r="12160" spans="1:4" ht="12.75" customHeight="1" x14ac:dyDescent="0.2">
      <c r="A12160" s="21"/>
      <c r="B12160" s="3" t="s">
        <v>0</v>
      </c>
      <c r="C12160" s="23" t="s">
        <v>319</v>
      </c>
      <c r="D12160" s="21"/>
    </row>
    <row r="12161" spans="1:4" ht="12.75" customHeight="1" x14ac:dyDescent="0.2">
      <c r="A12161" s="21"/>
      <c r="B12161" s="3" t="s">
        <v>2</v>
      </c>
      <c r="C12161" s="23"/>
      <c r="D12161" s="21"/>
    </row>
    <row r="12162" spans="1:4" ht="12.75" customHeight="1" x14ac:dyDescent="0.2">
      <c r="A12162" s="21"/>
      <c r="B12162" s="3" t="s">
        <v>1840</v>
      </c>
      <c r="C12162" s="23" t="s">
        <v>2127</v>
      </c>
      <c r="D12162" s="21"/>
    </row>
    <row r="12163" spans="1:4" ht="12.75" customHeight="1" x14ac:dyDescent="0.2">
      <c r="A12163" s="21"/>
      <c r="B12163" s="3" t="s">
        <v>9</v>
      </c>
      <c r="C12163" s="23" t="s">
        <v>464</v>
      </c>
      <c r="D12163" s="21"/>
    </row>
    <row r="12164" spans="1:4" ht="12.75" customHeight="1" x14ac:dyDescent="0.2">
      <c r="A12164" s="21"/>
      <c r="B12164" s="3" t="s">
        <v>11</v>
      </c>
      <c r="C12164" s="23" t="s">
        <v>1472</v>
      </c>
      <c r="D12164" s="21"/>
    </row>
    <row r="12165" spans="1:4" ht="12.75" customHeight="1" x14ac:dyDescent="0.2">
      <c r="A12165" s="21"/>
      <c r="B12165" s="3" t="s">
        <v>16</v>
      </c>
      <c r="C12165" s="23"/>
      <c r="D12165" s="21"/>
    </row>
    <row r="12166" spans="1:4" ht="12.75" customHeight="1" x14ac:dyDescent="0.2">
      <c r="A12166" s="21"/>
      <c r="B12166" s="3" t="s">
        <v>17</v>
      </c>
      <c r="C12166" s="23" t="s">
        <v>19</v>
      </c>
      <c r="D12166" s="21"/>
    </row>
    <row r="12167" spans="1:4" ht="12.75" customHeight="1" x14ac:dyDescent="0.2">
      <c r="A12167" s="21"/>
      <c r="B12167" s="20" t="s">
        <v>18</v>
      </c>
      <c r="C12167" s="8" t="s">
        <v>68</v>
      </c>
      <c r="D12167" s="1" t="str">
        <f>HYPERLINK("javascript:void(0)","valkript")</f>
        <v>valkript</v>
      </c>
    </row>
    <row r="12168" spans="1:4" ht="12.75" customHeight="1" x14ac:dyDescent="0.2">
      <c r="A12168" s="21"/>
      <c r="B12168" s="21"/>
      <c r="C12168" s="8" t="s">
        <v>132</v>
      </c>
      <c r="D12168" s="1" t="str">
        <f>HYPERLINK("javascript:void(0)","monsztabéklyó")</f>
        <v>monsztabéklyó</v>
      </c>
    </row>
    <row r="12169" spans="1:4" ht="12.75" customHeight="1" x14ac:dyDescent="0.2">
      <c r="A12169" s="21"/>
      <c r="B12169" s="21"/>
      <c r="C12169" s="8" t="s">
        <v>44</v>
      </c>
      <c r="D12169" s="1" t="str">
        <f>HYPERLINK("javascript:void(0)","fogastalpú taposó")</f>
        <v>fogastalpú taposó</v>
      </c>
    </row>
    <row r="12170" spans="1:4" ht="12.75" customHeight="1" x14ac:dyDescent="0.2">
      <c r="A12170" s="21"/>
      <c r="B12170" s="2"/>
      <c r="C12170" s="7"/>
      <c r="D12170" s="7"/>
    </row>
    <row r="12171" spans="1:4" ht="12.75" customHeight="1" x14ac:dyDescent="0.2">
      <c r="A12171" s="21"/>
      <c r="B12171" s="2"/>
      <c r="C12171" s="7"/>
      <c r="D12171" s="7"/>
    </row>
    <row r="12172" spans="1:4" ht="12.75" customHeight="1" x14ac:dyDescent="0.2">
      <c r="A12172" s="21"/>
      <c r="B12172" s="2"/>
      <c r="C12172" s="7"/>
      <c r="D12172" s="7"/>
    </row>
    <row r="12173" spans="1:4" ht="12.75" customHeight="1" x14ac:dyDescent="0.2">
      <c r="A12173" s="21"/>
      <c r="B12173" s="2"/>
      <c r="C12173" s="7"/>
      <c r="D12173" s="7"/>
    </row>
    <row r="12174" spans="1:4" ht="12.75" customHeight="1" x14ac:dyDescent="0.2">
      <c r="A12174" s="5"/>
      <c r="B12174" s="2"/>
      <c r="C12174" s="7"/>
      <c r="D12174" s="7"/>
    </row>
    <row r="12175" spans="1:4" ht="12.75" customHeight="1" x14ac:dyDescent="0.2">
      <c r="A12175" s="22" t="str">
        <f>HYPERLINK("javascript:void(0)","pálhás testpajzs")</f>
        <v>pálhás testpajzs</v>
      </c>
      <c r="B12175" s="21"/>
      <c r="C12175" s="21"/>
      <c r="D12175" s="21"/>
    </row>
    <row r="12176" spans="1:4" ht="12.75" customHeight="1" x14ac:dyDescent="0.2">
      <c r="A12176" s="20"/>
      <c r="B12176" s="2"/>
      <c r="C12176" s="7"/>
      <c r="D12176" s="7"/>
    </row>
    <row r="12177" spans="1:4" ht="12.75" customHeight="1" x14ac:dyDescent="0.2">
      <c r="A12177" s="21"/>
      <c r="B12177" s="3" t="s">
        <v>0</v>
      </c>
      <c r="C12177" s="23" t="s">
        <v>319</v>
      </c>
      <c r="D12177" s="21"/>
    </row>
    <row r="12178" spans="1:4" ht="12.75" customHeight="1" x14ac:dyDescent="0.2">
      <c r="A12178" s="21"/>
      <c r="B12178" s="3" t="s">
        <v>2</v>
      </c>
      <c r="C12178" s="23" t="s">
        <v>1839</v>
      </c>
      <c r="D12178" s="21"/>
    </row>
    <row r="12179" spans="1:4" ht="12.75" customHeight="1" x14ac:dyDescent="0.2">
      <c r="A12179" s="21"/>
      <c r="B12179" s="3" t="s">
        <v>1840</v>
      </c>
      <c r="C12179" s="23" t="s">
        <v>4981</v>
      </c>
      <c r="D12179" s="21"/>
    </row>
    <row r="12180" spans="1:4" ht="12.75" customHeight="1" x14ac:dyDescent="0.2">
      <c r="A12180" s="21"/>
      <c r="B12180" s="3" t="s">
        <v>9</v>
      </c>
      <c r="C12180" s="23" t="s">
        <v>300</v>
      </c>
      <c r="D12180" s="21"/>
    </row>
    <row r="12181" spans="1:4" ht="12.75" customHeight="1" x14ac:dyDescent="0.2">
      <c r="A12181" s="21"/>
      <c r="B12181" s="3" t="s">
        <v>11</v>
      </c>
      <c r="C12181" s="23" t="s">
        <v>1500</v>
      </c>
      <c r="D12181" s="21"/>
    </row>
    <row r="12182" spans="1:4" ht="12.75" customHeight="1" x14ac:dyDescent="0.2">
      <c r="A12182" s="21"/>
      <c r="B12182" s="3" t="s">
        <v>16</v>
      </c>
      <c r="C12182" s="23"/>
      <c r="D12182" s="21"/>
    </row>
    <row r="12183" spans="1:4" ht="12.75" customHeight="1" x14ac:dyDescent="0.2">
      <c r="A12183" s="21"/>
      <c r="B12183" s="3" t="s">
        <v>17</v>
      </c>
      <c r="C12183" s="23" t="s">
        <v>19</v>
      </c>
      <c r="D12183" s="21"/>
    </row>
    <row r="12184" spans="1:4" ht="12.75" customHeight="1" x14ac:dyDescent="0.2">
      <c r="A12184" s="21"/>
      <c r="B12184" s="20" t="s">
        <v>18</v>
      </c>
      <c r="C12184" s="8" t="s">
        <v>44</v>
      </c>
      <c r="D12184" s="1" t="str">
        <f>HYPERLINK("javascript:void(0)","gólembőr testpajzs")</f>
        <v>gólembőr testpajzs</v>
      </c>
    </row>
    <row r="12185" spans="1:4" ht="12.75" customHeight="1" x14ac:dyDescent="0.2">
      <c r="A12185" s="21"/>
      <c r="B12185" s="21"/>
      <c r="C12185" s="8" t="s">
        <v>331</v>
      </c>
      <c r="D12185" s="1" t="str">
        <f>HYPERLINK("javascript:void(0)","valkript")</f>
        <v>valkript</v>
      </c>
    </row>
    <row r="12186" spans="1:4" ht="12.75" customHeight="1" x14ac:dyDescent="0.2">
      <c r="A12186" s="21"/>
      <c r="B12186" s="21"/>
      <c r="C12186" s="8" t="s">
        <v>67</v>
      </c>
      <c r="D12186" s="1" t="str">
        <f>HYPERLINK("javascript:void(0)","démonamulett")</f>
        <v>démonamulett</v>
      </c>
    </row>
    <row r="12187" spans="1:4" ht="12.75" customHeight="1" x14ac:dyDescent="0.2">
      <c r="A12187" s="21"/>
      <c r="B12187" s="2"/>
      <c r="C12187" s="7"/>
      <c r="D12187" s="7"/>
    </row>
    <row r="12188" spans="1:4" ht="12.75" customHeight="1" x14ac:dyDescent="0.2">
      <c r="A12188" s="21"/>
      <c r="B12188" s="2"/>
      <c r="C12188" s="7"/>
      <c r="D12188" s="7"/>
    </row>
    <row r="12189" spans="1:4" ht="12.75" customHeight="1" x14ac:dyDescent="0.2">
      <c r="A12189" s="21"/>
      <c r="B12189" s="2"/>
      <c r="C12189" s="7"/>
      <c r="D12189" s="7"/>
    </row>
    <row r="12190" spans="1:4" ht="12.75" customHeight="1" x14ac:dyDescent="0.2">
      <c r="A12190" s="21"/>
      <c r="B12190" s="2"/>
      <c r="C12190" s="7"/>
      <c r="D12190" s="7"/>
    </row>
    <row r="12191" spans="1:4" ht="12.75" customHeight="1" x14ac:dyDescent="0.2">
      <c r="A12191" s="5"/>
      <c r="B12191" s="2"/>
      <c r="C12191" s="7"/>
      <c r="D12191" s="7"/>
    </row>
    <row r="12192" spans="1:4" ht="12.75" customHeight="1" x14ac:dyDescent="0.2">
      <c r="A12192" s="22" t="str">
        <f>HYPERLINK("javascript:void(0)","dracoacél szellempajzs")</f>
        <v>dracoacél szellempajzs</v>
      </c>
      <c r="B12192" s="21"/>
      <c r="C12192" s="21"/>
      <c r="D12192" s="21"/>
    </row>
    <row r="12193" spans="1:4" ht="12.75" customHeight="1" x14ac:dyDescent="0.2">
      <c r="A12193" s="20"/>
      <c r="B12193" s="2"/>
      <c r="C12193" s="7"/>
      <c r="D12193" s="7"/>
    </row>
    <row r="12194" spans="1:4" ht="12.75" customHeight="1" x14ac:dyDescent="0.2">
      <c r="A12194" s="21"/>
      <c r="B12194" s="3" t="s">
        <v>0</v>
      </c>
      <c r="C12194" s="23" t="s">
        <v>319</v>
      </c>
      <c r="D12194" s="21"/>
    </row>
    <row r="12195" spans="1:4" ht="12.75" customHeight="1" x14ac:dyDescent="0.2">
      <c r="A12195" s="21"/>
      <c r="B12195" s="3" t="s">
        <v>2</v>
      </c>
      <c r="C12195" s="23" t="s">
        <v>1839</v>
      </c>
      <c r="D12195" s="21"/>
    </row>
    <row r="12196" spans="1:4" ht="12.75" customHeight="1" x14ac:dyDescent="0.2">
      <c r="A12196" s="21"/>
      <c r="B12196" s="3" t="s">
        <v>1840</v>
      </c>
      <c r="C12196" s="23" t="s">
        <v>4981</v>
      </c>
      <c r="D12196" s="21"/>
    </row>
    <row r="12197" spans="1:4" ht="12.75" customHeight="1" x14ac:dyDescent="0.2">
      <c r="A12197" s="21"/>
      <c r="B12197" s="3" t="s">
        <v>9</v>
      </c>
      <c r="C12197" s="23" t="s">
        <v>4985</v>
      </c>
      <c r="D12197" s="21"/>
    </row>
    <row r="12198" spans="1:4" ht="12.75" customHeight="1" x14ac:dyDescent="0.2">
      <c r="A12198" s="21"/>
      <c r="B12198" s="3" t="s">
        <v>11</v>
      </c>
      <c r="C12198" s="23" t="s">
        <v>1509</v>
      </c>
      <c r="D12198" s="21"/>
    </row>
    <row r="12199" spans="1:4" ht="12.75" customHeight="1" x14ac:dyDescent="0.2">
      <c r="A12199" s="21"/>
      <c r="B12199" s="3" t="s">
        <v>16</v>
      </c>
      <c r="C12199" s="23"/>
      <c r="D12199" s="21"/>
    </row>
    <row r="12200" spans="1:4" ht="12.75" customHeight="1" x14ac:dyDescent="0.2">
      <c r="A12200" s="21"/>
      <c r="B12200" s="3" t="s">
        <v>17</v>
      </c>
      <c r="C12200" s="23" t="s">
        <v>19</v>
      </c>
      <c r="D12200" s="21"/>
    </row>
    <row r="12201" spans="1:4" ht="12.75" customHeight="1" x14ac:dyDescent="0.2">
      <c r="A12201" s="21"/>
      <c r="B12201" s="20" t="s">
        <v>18</v>
      </c>
      <c r="C12201" s="8" t="s">
        <v>44</v>
      </c>
      <c r="D12201" s="1" t="str">
        <f>HYPERLINK("javascript:void(0)","pálhás testpajzs")</f>
        <v>pálhás testpajzs</v>
      </c>
    </row>
    <row r="12202" spans="1:4" ht="12.75" customHeight="1" x14ac:dyDescent="0.2">
      <c r="A12202" s="21"/>
      <c r="B12202" s="21"/>
      <c r="C12202" s="8" t="s">
        <v>193</v>
      </c>
      <c r="D12202" s="1" t="str">
        <f>HYPERLINK("javascript:void(0)","sárkány izom")</f>
        <v>sárkány izom</v>
      </c>
    </row>
    <row r="12203" spans="1:4" ht="12.75" customHeight="1" x14ac:dyDescent="0.2">
      <c r="A12203" s="21"/>
      <c r="B12203" s="21"/>
      <c r="C12203" s="8" t="s">
        <v>139</v>
      </c>
      <c r="D12203" s="1" t="str">
        <f>HYPERLINK("javascript:void(0)","rémláb")</f>
        <v>rémláb</v>
      </c>
    </row>
    <row r="12204" spans="1:4" ht="12.75" customHeight="1" x14ac:dyDescent="0.2">
      <c r="A12204" s="21"/>
      <c r="B12204" s="2"/>
      <c r="C12204" s="7"/>
      <c r="D12204" s="7"/>
    </row>
    <row r="12205" spans="1:4" ht="12.75" customHeight="1" x14ac:dyDescent="0.2">
      <c r="A12205" s="21"/>
      <c r="B12205" s="2"/>
      <c r="C12205" s="7"/>
      <c r="D12205" s="7"/>
    </row>
    <row r="12206" spans="1:4" ht="12.75" customHeight="1" x14ac:dyDescent="0.2">
      <c r="A12206" s="21"/>
      <c r="B12206" s="2"/>
      <c r="C12206" s="7"/>
      <c r="D12206" s="7"/>
    </row>
    <row r="12207" spans="1:4" ht="12.75" customHeight="1" x14ac:dyDescent="0.2">
      <c r="A12207" s="21"/>
      <c r="B12207" s="2"/>
      <c r="C12207" s="7"/>
      <c r="D12207" s="7"/>
    </row>
    <row r="12208" spans="1:4" ht="12.75" customHeight="1" x14ac:dyDescent="0.2">
      <c r="A12208" s="5"/>
      <c r="B12208" s="2"/>
      <c r="C12208" s="7"/>
      <c r="D12208" s="7"/>
    </row>
    <row r="12209" spans="1:4" ht="12.75" customHeight="1" x14ac:dyDescent="0.2">
      <c r="A12209" s="22" t="str">
        <f>HYPERLINK("javascript:void(0)","kriptonbélés")</f>
        <v>kriptonbélés</v>
      </c>
      <c r="B12209" s="21"/>
      <c r="C12209" s="21"/>
      <c r="D12209" s="21"/>
    </row>
    <row r="12210" spans="1:4" ht="12.75" customHeight="1" x14ac:dyDescent="0.2">
      <c r="A12210" s="20"/>
      <c r="B12210" s="2"/>
      <c r="C12210" s="7"/>
      <c r="D12210" s="7"/>
    </row>
    <row r="12211" spans="1:4" ht="12.75" customHeight="1" x14ac:dyDescent="0.2">
      <c r="A12211" s="21"/>
      <c r="B12211" s="3" t="s">
        <v>0</v>
      </c>
      <c r="C12211" s="23" t="s">
        <v>319</v>
      </c>
      <c r="D12211" s="21"/>
    </row>
    <row r="12212" spans="1:4" ht="12.75" customHeight="1" x14ac:dyDescent="0.2">
      <c r="A12212" s="21"/>
      <c r="B12212" s="3" t="s">
        <v>2</v>
      </c>
      <c r="C12212" s="23" t="s">
        <v>2322</v>
      </c>
      <c r="D12212" s="21"/>
    </row>
    <row r="12213" spans="1:4" ht="12.75" customHeight="1" x14ac:dyDescent="0.2">
      <c r="A12213" s="21"/>
      <c r="B12213" s="3" t="s">
        <v>1840</v>
      </c>
      <c r="C12213" s="23" t="s">
        <v>115</v>
      </c>
      <c r="D12213" s="21"/>
    </row>
    <row r="12214" spans="1:4" ht="12.75" customHeight="1" x14ac:dyDescent="0.2">
      <c r="A12214" s="21"/>
      <c r="B12214" s="3" t="s">
        <v>9</v>
      </c>
      <c r="C12214" s="23" t="s">
        <v>172</v>
      </c>
      <c r="D12214" s="21"/>
    </row>
    <row r="12215" spans="1:4" ht="12.75" customHeight="1" x14ac:dyDescent="0.2">
      <c r="A12215" s="21"/>
      <c r="B12215" s="3" t="s">
        <v>11</v>
      </c>
      <c r="C12215" s="23" t="s">
        <v>2494</v>
      </c>
      <c r="D12215" s="21"/>
    </row>
    <row r="12216" spans="1:4" ht="12.75" customHeight="1" x14ac:dyDescent="0.2">
      <c r="A12216" s="21"/>
      <c r="B12216" s="3" t="s">
        <v>16</v>
      </c>
      <c r="C12216" s="23"/>
      <c r="D12216" s="21"/>
    </row>
    <row r="12217" spans="1:4" ht="12.75" customHeight="1" x14ac:dyDescent="0.2">
      <c r="A12217" s="21"/>
      <c r="B12217" s="3" t="s">
        <v>17</v>
      </c>
      <c r="C12217" s="23" t="s">
        <v>19</v>
      </c>
      <c r="D12217" s="21"/>
    </row>
    <row r="12218" spans="1:4" ht="12.75" customHeight="1" x14ac:dyDescent="0.2">
      <c r="A12218" s="21"/>
      <c r="B12218" s="20" t="s">
        <v>18</v>
      </c>
      <c r="C12218" s="8" t="s">
        <v>68</v>
      </c>
      <c r="D12218" s="1" t="str">
        <f>HYPERLINK("javascript:void(0)","valkript")</f>
        <v>valkript</v>
      </c>
    </row>
    <row r="12219" spans="1:4" ht="12.75" customHeight="1" x14ac:dyDescent="0.2">
      <c r="A12219" s="21"/>
      <c r="B12219" s="21"/>
      <c r="C12219" s="8" t="s">
        <v>132</v>
      </c>
      <c r="D12219" s="1" t="str">
        <f>HYPERLINK("javascript:void(0)","ejtőernyő")</f>
        <v>ejtőernyő</v>
      </c>
    </row>
    <row r="12220" spans="1:4" ht="12.75" customHeight="1" x14ac:dyDescent="0.2">
      <c r="A12220" s="21"/>
      <c r="B12220" s="21"/>
      <c r="C12220" s="8" t="s">
        <v>228</v>
      </c>
      <c r="D12220" s="1" t="str">
        <f>HYPERLINK("javascript:void(0)","brummogás")</f>
        <v>brummogás</v>
      </c>
    </row>
    <row r="12221" spans="1:4" ht="12.75" customHeight="1" x14ac:dyDescent="0.2">
      <c r="A12221" s="21"/>
      <c r="B12221" s="2"/>
      <c r="C12221" s="7"/>
      <c r="D12221" s="7"/>
    </row>
    <row r="12222" spans="1:4" ht="12.75" customHeight="1" x14ac:dyDescent="0.2">
      <c r="A12222" s="21"/>
      <c r="B12222" s="2"/>
      <c r="C12222" s="7"/>
      <c r="D12222" s="7"/>
    </row>
    <row r="12223" spans="1:4" ht="12.75" customHeight="1" x14ac:dyDescent="0.2">
      <c r="A12223" s="21"/>
      <c r="B12223" s="2"/>
      <c r="C12223" s="7"/>
      <c r="D12223" s="7"/>
    </row>
    <row r="12224" spans="1:4" ht="12.75" customHeight="1" x14ac:dyDescent="0.2">
      <c r="A12224" s="21"/>
      <c r="B12224" s="2"/>
      <c r="C12224" s="7"/>
      <c r="D12224" s="7"/>
    </row>
    <row r="12225" spans="1:4" ht="12.75" customHeight="1" x14ac:dyDescent="0.2">
      <c r="A12225" s="5"/>
      <c r="B12225" s="2"/>
      <c r="C12225" s="7"/>
      <c r="D12225" s="7"/>
    </row>
    <row r="12226" spans="1:4" ht="12.75" customHeight="1" x14ac:dyDescent="0.2">
      <c r="A12226" s="22" t="str">
        <f>HYPERLINK("javascript:void(0)","wendír manasisak")</f>
        <v>wendír manasisak</v>
      </c>
      <c r="B12226" s="21"/>
      <c r="C12226" s="21"/>
      <c r="D12226" s="21"/>
    </row>
    <row r="12227" spans="1:4" ht="12.75" customHeight="1" x14ac:dyDescent="0.2">
      <c r="A12227" s="20"/>
      <c r="B12227" s="2"/>
      <c r="C12227" s="7"/>
      <c r="D12227" s="7"/>
    </row>
    <row r="12228" spans="1:4" ht="12.75" customHeight="1" x14ac:dyDescent="0.2">
      <c r="A12228" s="21"/>
      <c r="B12228" s="3" t="s">
        <v>0</v>
      </c>
      <c r="C12228" s="23" t="s">
        <v>319</v>
      </c>
      <c r="D12228" s="21"/>
    </row>
    <row r="12229" spans="1:4" ht="12.75" customHeight="1" x14ac:dyDescent="0.2">
      <c r="A12229" s="21"/>
      <c r="B12229" s="3" t="s">
        <v>2</v>
      </c>
      <c r="C12229" s="23"/>
      <c r="D12229" s="21"/>
    </row>
    <row r="12230" spans="1:4" ht="12.75" customHeight="1" x14ac:dyDescent="0.2">
      <c r="A12230" s="21"/>
      <c r="B12230" s="3" t="s">
        <v>1840</v>
      </c>
      <c r="C12230" s="23" t="s">
        <v>1359</v>
      </c>
      <c r="D12230" s="21"/>
    </row>
    <row r="12231" spans="1:4" ht="12.75" customHeight="1" x14ac:dyDescent="0.2">
      <c r="A12231" s="21"/>
      <c r="B12231" s="3" t="s">
        <v>9</v>
      </c>
      <c r="C12231" s="23" t="s">
        <v>2273</v>
      </c>
      <c r="D12231" s="21"/>
    </row>
    <row r="12232" spans="1:4" ht="12.75" customHeight="1" x14ac:dyDescent="0.2">
      <c r="A12232" s="21"/>
      <c r="B12232" s="3" t="s">
        <v>11</v>
      </c>
      <c r="C12232" s="23" t="s">
        <v>1090</v>
      </c>
      <c r="D12232" s="21"/>
    </row>
    <row r="12233" spans="1:4" ht="12.75" customHeight="1" x14ac:dyDescent="0.2">
      <c r="A12233" s="21"/>
      <c r="B12233" s="3" t="s">
        <v>16</v>
      </c>
      <c r="C12233" s="23"/>
      <c r="D12233" s="21"/>
    </row>
    <row r="12234" spans="1:4" ht="12.75" customHeight="1" x14ac:dyDescent="0.2">
      <c r="A12234" s="21"/>
      <c r="B12234" s="3" t="s">
        <v>17</v>
      </c>
      <c r="C12234" s="23" t="s">
        <v>19</v>
      </c>
      <c r="D12234" s="21"/>
    </row>
    <row r="12235" spans="1:4" ht="12.75" customHeight="1" x14ac:dyDescent="0.2">
      <c r="A12235" s="21"/>
      <c r="B12235" s="20" t="s">
        <v>18</v>
      </c>
      <c r="C12235" s="8" t="s">
        <v>44</v>
      </c>
      <c r="D12235" s="1" t="str">
        <f>HYPERLINK("javascript:void(0)","rimföldi manasisak")</f>
        <v>rimföldi manasisak</v>
      </c>
    </row>
    <row r="12236" spans="1:4" ht="12.75" customHeight="1" x14ac:dyDescent="0.2">
      <c r="A12236" s="21"/>
      <c r="B12236" s="21"/>
      <c r="C12236" s="8" t="s">
        <v>780</v>
      </c>
      <c r="D12236" s="1" t="str">
        <f>HYPERLINK("javascript:void(0)","pálha")</f>
        <v>pálha</v>
      </c>
    </row>
    <row r="12237" spans="1:4" ht="12.75" customHeight="1" x14ac:dyDescent="0.2">
      <c r="A12237" s="21"/>
      <c r="B12237" s="21"/>
      <c r="C12237" s="8" t="s">
        <v>139</v>
      </c>
      <c r="D12237" s="1" t="str">
        <f>HYPERLINK("javascript:void(0)","banánhéj")</f>
        <v>banánhéj</v>
      </c>
    </row>
    <row r="12238" spans="1:4" ht="12.75" customHeight="1" x14ac:dyDescent="0.2">
      <c r="A12238" s="21"/>
      <c r="B12238" s="2"/>
      <c r="C12238" s="7"/>
      <c r="D12238" s="7"/>
    </row>
    <row r="12239" spans="1:4" ht="12.75" customHeight="1" x14ac:dyDescent="0.2">
      <c r="A12239" s="21"/>
      <c r="B12239" s="2"/>
      <c r="C12239" s="7"/>
      <c r="D12239" s="7"/>
    </row>
    <row r="12240" spans="1:4" ht="12.75" customHeight="1" x14ac:dyDescent="0.2">
      <c r="A12240" s="21"/>
      <c r="B12240" s="2"/>
      <c r="C12240" s="7"/>
      <c r="D12240" s="7"/>
    </row>
    <row r="12241" spans="1:4" ht="12.75" customHeight="1" x14ac:dyDescent="0.2">
      <c r="A12241" s="21"/>
      <c r="B12241" s="2"/>
      <c r="C12241" s="7"/>
      <c r="D12241" s="7"/>
    </row>
    <row r="12242" spans="1:4" ht="12.75" customHeight="1" x14ac:dyDescent="0.2">
      <c r="A12242" s="5"/>
      <c r="B12242" s="2"/>
      <c r="C12242" s="7"/>
      <c r="D12242" s="7"/>
    </row>
    <row r="12243" spans="1:4" ht="12.75" customHeight="1" x14ac:dyDescent="0.2">
      <c r="A12243" s="22" t="str">
        <f>HYPERLINK("javascript:void(0)","wendír manafejpánt")</f>
        <v>wendír manafejpánt</v>
      </c>
      <c r="B12243" s="21"/>
      <c r="C12243" s="21"/>
      <c r="D12243" s="21"/>
    </row>
    <row r="12244" spans="1:4" ht="12.75" customHeight="1" x14ac:dyDescent="0.2">
      <c r="A12244" s="20"/>
      <c r="B12244" s="2"/>
      <c r="C12244" s="7"/>
      <c r="D12244" s="7"/>
    </row>
    <row r="12245" spans="1:4" ht="12.75" customHeight="1" x14ac:dyDescent="0.2">
      <c r="A12245" s="21"/>
      <c r="B12245" s="3" t="s">
        <v>0</v>
      </c>
      <c r="C12245" s="23" t="s">
        <v>319</v>
      </c>
      <c r="D12245" s="21"/>
    </row>
    <row r="12246" spans="1:4" ht="12.75" customHeight="1" x14ac:dyDescent="0.2">
      <c r="A12246" s="21"/>
      <c r="B12246" s="3" t="s">
        <v>2</v>
      </c>
      <c r="C12246" s="23"/>
      <c r="D12246" s="21"/>
    </row>
    <row r="12247" spans="1:4" ht="12.75" customHeight="1" x14ac:dyDescent="0.2">
      <c r="A12247" s="21"/>
      <c r="B12247" s="3" t="s">
        <v>1840</v>
      </c>
      <c r="C12247" s="23" t="s">
        <v>562</v>
      </c>
      <c r="D12247" s="21"/>
    </row>
    <row r="12248" spans="1:4" ht="12.75" customHeight="1" x14ac:dyDescent="0.2">
      <c r="A12248" s="21"/>
      <c r="B12248" s="3" t="s">
        <v>9</v>
      </c>
      <c r="C12248" s="23" t="s">
        <v>1112</v>
      </c>
      <c r="D12248" s="21"/>
    </row>
    <row r="12249" spans="1:4" ht="12.75" customHeight="1" x14ac:dyDescent="0.2">
      <c r="A12249" s="21"/>
      <c r="B12249" s="3" t="s">
        <v>11</v>
      </c>
      <c r="C12249" s="23" t="s">
        <v>1090</v>
      </c>
      <c r="D12249" s="21"/>
    </row>
    <row r="12250" spans="1:4" ht="12.75" customHeight="1" x14ac:dyDescent="0.2">
      <c r="A12250" s="21"/>
      <c r="B12250" s="3" t="s">
        <v>16</v>
      </c>
      <c r="C12250" s="23"/>
      <c r="D12250" s="21"/>
    </row>
    <row r="12251" spans="1:4" ht="12.75" customHeight="1" x14ac:dyDescent="0.2">
      <c r="A12251" s="21"/>
      <c r="B12251" s="3" t="s">
        <v>17</v>
      </c>
      <c r="C12251" s="23" t="s">
        <v>19</v>
      </c>
      <c r="D12251" s="21"/>
    </row>
    <row r="12252" spans="1:4" ht="12.75" customHeight="1" x14ac:dyDescent="0.2">
      <c r="A12252" s="21"/>
      <c r="B12252" s="20" t="s">
        <v>18</v>
      </c>
      <c r="C12252" s="8" t="s">
        <v>139</v>
      </c>
      <c r="D12252" s="1" t="str">
        <f>HYPERLINK("javascript:void(0)","agyagszárny")</f>
        <v>agyagszárny</v>
      </c>
    </row>
    <row r="12253" spans="1:4" ht="12.75" customHeight="1" x14ac:dyDescent="0.2">
      <c r="A12253" s="21"/>
      <c r="B12253" s="21"/>
      <c r="C12253" s="8" t="s">
        <v>44</v>
      </c>
      <c r="D12253" s="1" t="str">
        <f>HYPERLINK("javascript:void(0)","rimföldi manafejpánt")</f>
        <v>rimföldi manafejpánt</v>
      </c>
    </row>
    <row r="12254" spans="1:4" ht="12.75" customHeight="1" x14ac:dyDescent="0.2">
      <c r="A12254" s="21"/>
      <c r="B12254" s="21"/>
      <c r="C12254" s="8" t="s">
        <v>244</v>
      </c>
      <c r="D12254" s="1" t="str">
        <f>HYPERLINK("javascript:void(0)","tépőfog")</f>
        <v>tépőfog</v>
      </c>
    </row>
    <row r="12255" spans="1:4" ht="12.75" customHeight="1" x14ac:dyDescent="0.2">
      <c r="A12255" s="21"/>
      <c r="B12255" s="2"/>
      <c r="C12255" s="7"/>
      <c r="D12255" s="7"/>
    </row>
    <row r="12256" spans="1:4" ht="12.75" customHeight="1" x14ac:dyDescent="0.2">
      <c r="A12256" s="21"/>
      <c r="B12256" s="2"/>
      <c r="C12256" s="7"/>
      <c r="D12256" s="7"/>
    </row>
    <row r="12257" spans="1:4" ht="12.75" customHeight="1" x14ac:dyDescent="0.2">
      <c r="A12257" s="21"/>
      <c r="B12257" s="2"/>
      <c r="C12257" s="7"/>
      <c r="D12257" s="7"/>
    </row>
    <row r="12258" spans="1:4" ht="12.75" customHeight="1" x14ac:dyDescent="0.2">
      <c r="A12258" s="21"/>
      <c r="B12258" s="2"/>
      <c r="C12258" s="7"/>
      <c r="D12258" s="7"/>
    </row>
    <row r="12259" spans="1:4" ht="12.75" customHeight="1" x14ac:dyDescent="0.2">
      <c r="A12259" s="5"/>
      <c r="B12259" s="2"/>
      <c r="C12259" s="7"/>
      <c r="D12259" s="7"/>
    </row>
    <row r="12260" spans="1:4" ht="12.75" customHeight="1" x14ac:dyDescent="0.2">
      <c r="A12260" s="22" t="str">
        <f>HYPERLINK("javascript:void(0)","teljes angyalvért")</f>
        <v>teljes angyalvért</v>
      </c>
      <c r="B12260" s="21"/>
      <c r="C12260" s="21"/>
      <c r="D12260" s="21"/>
    </row>
    <row r="12261" spans="1:4" ht="12.75" customHeight="1" x14ac:dyDescent="0.2">
      <c r="A12261" s="20"/>
      <c r="B12261" s="2"/>
      <c r="C12261" s="7"/>
      <c r="D12261" s="7"/>
    </row>
    <row r="12262" spans="1:4" ht="12.75" customHeight="1" x14ac:dyDescent="0.2">
      <c r="A12262" s="21"/>
      <c r="B12262" s="3" t="s">
        <v>0</v>
      </c>
      <c r="C12262" s="23" t="s">
        <v>926</v>
      </c>
      <c r="D12262" s="21"/>
    </row>
    <row r="12263" spans="1:4" ht="12.75" customHeight="1" x14ac:dyDescent="0.2">
      <c r="A12263" s="21"/>
      <c r="B12263" s="3" t="s">
        <v>2</v>
      </c>
      <c r="C12263" s="23" t="s">
        <v>2322</v>
      </c>
      <c r="D12263" s="21"/>
    </row>
    <row r="12264" spans="1:4" ht="12.75" customHeight="1" x14ac:dyDescent="0.2">
      <c r="A12264" s="21"/>
      <c r="B12264" s="3" t="s">
        <v>1840</v>
      </c>
      <c r="C12264" s="23" t="s">
        <v>2500</v>
      </c>
      <c r="D12264" s="21"/>
    </row>
    <row r="12265" spans="1:4" ht="12.75" customHeight="1" x14ac:dyDescent="0.2">
      <c r="A12265" s="21"/>
      <c r="B12265" s="3" t="s">
        <v>9</v>
      </c>
      <c r="C12265" s="23" t="s">
        <v>1524</v>
      </c>
      <c r="D12265" s="21"/>
    </row>
    <row r="12266" spans="1:4" ht="12.75" customHeight="1" x14ac:dyDescent="0.2">
      <c r="A12266" s="21"/>
      <c r="B12266" s="3" t="s">
        <v>11</v>
      </c>
      <c r="C12266" s="23" t="s">
        <v>1199</v>
      </c>
      <c r="D12266" s="21"/>
    </row>
    <row r="12267" spans="1:4" ht="12.75" customHeight="1" x14ac:dyDescent="0.2">
      <c r="A12267" s="21"/>
      <c r="B12267" s="3" t="s">
        <v>16</v>
      </c>
      <c r="C12267" s="23"/>
      <c r="D12267" s="21"/>
    </row>
    <row r="12268" spans="1:4" ht="12.75" customHeight="1" x14ac:dyDescent="0.2">
      <c r="A12268" s="21"/>
      <c r="B12268" s="3" t="s">
        <v>17</v>
      </c>
      <c r="C12268" s="23" t="s">
        <v>19</v>
      </c>
      <c r="D12268" s="21"/>
    </row>
    <row r="12269" spans="1:4" ht="12.75" customHeight="1" x14ac:dyDescent="0.2">
      <c r="A12269" s="21"/>
      <c r="B12269" s="20" t="s">
        <v>18</v>
      </c>
      <c r="C12269" s="8" t="s">
        <v>244</v>
      </c>
      <c r="D12269" s="1" t="str">
        <f>HYPERLINK("javascript:void(0)","angyalhaj")</f>
        <v>angyalhaj</v>
      </c>
    </row>
    <row r="12270" spans="1:4" ht="12.75" customHeight="1" x14ac:dyDescent="0.2">
      <c r="A12270" s="21"/>
      <c r="B12270" s="21"/>
      <c r="C12270" s="8" t="s">
        <v>44</v>
      </c>
      <c r="D12270" s="1" t="str">
        <f>HYPERLINK("javascript:void(0)","teljes kriptonvért")</f>
        <v>teljes kriptonvért</v>
      </c>
    </row>
    <row r="12271" spans="1:4" ht="12.75" customHeight="1" x14ac:dyDescent="0.2">
      <c r="A12271" s="21"/>
      <c r="B12271" s="21"/>
      <c r="C12271" s="8" t="s">
        <v>132</v>
      </c>
      <c r="D12271" s="1" t="str">
        <f>HYPERLINK("javascript:void(0)","lidérclámpás")</f>
        <v>lidérclámpás</v>
      </c>
    </row>
    <row r="12272" spans="1:4" ht="12.75" customHeight="1" x14ac:dyDescent="0.2">
      <c r="A12272" s="21"/>
      <c r="B12272" s="2"/>
      <c r="C12272" s="7"/>
      <c r="D12272" s="7"/>
    </row>
    <row r="12273" spans="1:4" ht="12.75" customHeight="1" x14ac:dyDescent="0.2">
      <c r="A12273" s="21"/>
      <c r="B12273" s="2"/>
      <c r="C12273" s="7"/>
      <c r="D12273" s="7"/>
    </row>
    <row r="12274" spans="1:4" ht="12.75" customHeight="1" x14ac:dyDescent="0.2">
      <c r="A12274" s="21"/>
      <c r="B12274" s="2"/>
      <c r="C12274" s="7"/>
      <c r="D12274" s="7"/>
    </row>
    <row r="12275" spans="1:4" ht="12.75" customHeight="1" x14ac:dyDescent="0.2">
      <c r="A12275" s="21"/>
      <c r="B12275" s="2"/>
      <c r="C12275" s="7"/>
      <c r="D12275" s="7"/>
    </row>
    <row r="12276" spans="1:4" ht="12.75" customHeight="1" x14ac:dyDescent="0.2">
      <c r="A12276" s="5"/>
      <c r="B12276" s="2"/>
      <c r="C12276" s="7"/>
      <c r="D12276" s="7"/>
    </row>
    <row r="12277" spans="1:4" ht="12.75" customHeight="1" x14ac:dyDescent="0.2">
      <c r="A12277" s="22" t="str">
        <f>HYPERLINK("javascript:void(0)","pókerálarc")</f>
        <v>pókerálarc</v>
      </c>
      <c r="B12277" s="21"/>
      <c r="C12277" s="21"/>
      <c r="D12277" s="21"/>
    </row>
    <row r="12278" spans="1:4" ht="12.75" customHeight="1" x14ac:dyDescent="0.2">
      <c r="A12278" s="20"/>
      <c r="B12278" s="2"/>
      <c r="C12278" s="7"/>
      <c r="D12278" s="7"/>
    </row>
    <row r="12279" spans="1:4" ht="12.75" customHeight="1" x14ac:dyDescent="0.2">
      <c r="A12279" s="21"/>
      <c r="B12279" s="3" t="s">
        <v>0</v>
      </c>
      <c r="C12279" s="23" t="s">
        <v>926</v>
      </c>
      <c r="D12279" s="21"/>
    </row>
    <row r="12280" spans="1:4" ht="12.75" customHeight="1" x14ac:dyDescent="0.2">
      <c r="A12280" s="21"/>
      <c r="B12280" s="3" t="s">
        <v>2</v>
      </c>
      <c r="C12280" s="23"/>
      <c r="D12280" s="21"/>
    </row>
    <row r="12281" spans="1:4" ht="12.75" customHeight="1" x14ac:dyDescent="0.2">
      <c r="A12281" s="21"/>
      <c r="B12281" s="3" t="s">
        <v>1840</v>
      </c>
      <c r="C12281" s="23" t="s">
        <v>517</v>
      </c>
      <c r="D12281" s="21"/>
    </row>
    <row r="12282" spans="1:4" ht="12.75" customHeight="1" x14ac:dyDescent="0.2">
      <c r="A12282" s="21"/>
      <c r="B12282" s="3" t="s">
        <v>9</v>
      </c>
      <c r="C12282" s="23" t="s">
        <v>172</v>
      </c>
      <c r="D12282" s="21"/>
    </row>
    <row r="12283" spans="1:4" ht="12.75" customHeight="1" x14ac:dyDescent="0.2">
      <c r="A12283" s="21"/>
      <c r="B12283" s="3" t="s">
        <v>11</v>
      </c>
      <c r="C12283" s="23" t="s">
        <v>1199</v>
      </c>
      <c r="D12283" s="21"/>
    </row>
    <row r="12284" spans="1:4" ht="12.75" customHeight="1" x14ac:dyDescent="0.2">
      <c r="A12284" s="21"/>
      <c r="B12284" s="3" t="s">
        <v>16</v>
      </c>
      <c r="C12284" s="23"/>
      <c r="D12284" s="21"/>
    </row>
    <row r="12285" spans="1:4" ht="12.75" customHeight="1" x14ac:dyDescent="0.2">
      <c r="A12285" s="21"/>
      <c r="B12285" s="3" t="s">
        <v>17</v>
      </c>
      <c r="C12285" s="23" t="s">
        <v>19</v>
      </c>
      <c r="D12285" s="21"/>
    </row>
    <row r="12286" spans="1:4" ht="12.75" customHeight="1" x14ac:dyDescent="0.2">
      <c r="A12286" s="21"/>
      <c r="B12286" s="20" t="s">
        <v>18</v>
      </c>
      <c r="C12286" s="8" t="s">
        <v>44</v>
      </c>
      <c r="D12286" s="1" t="str">
        <f>HYPERLINK("javascript:void(0)","rémálarc")</f>
        <v>rémálarc</v>
      </c>
    </row>
    <row r="12287" spans="1:4" ht="12.75" customHeight="1" x14ac:dyDescent="0.2">
      <c r="A12287" s="21"/>
      <c r="B12287" s="21"/>
      <c r="C12287" s="8" t="s">
        <v>44</v>
      </c>
      <c r="D12287" s="1" t="str">
        <f>HYPERLINK("javascript:void(0)","dracobascinet")</f>
        <v>dracobascinet</v>
      </c>
    </row>
    <row r="12288" spans="1:4" ht="12.75" customHeight="1" x14ac:dyDescent="0.2">
      <c r="A12288" s="21"/>
      <c r="B12288" s="21"/>
      <c r="C12288" s="8" t="s">
        <v>44</v>
      </c>
      <c r="D12288" s="1" t="str">
        <f>HYPERLINK("javascript:void(0)","téválarc")</f>
        <v>téválarc</v>
      </c>
    </row>
    <row r="12289" spans="1:4" ht="12.75" customHeight="1" x14ac:dyDescent="0.2">
      <c r="A12289" s="21"/>
      <c r="B12289" s="2"/>
      <c r="C12289" s="7"/>
      <c r="D12289" s="7"/>
    </row>
    <row r="12290" spans="1:4" ht="12.75" customHeight="1" x14ac:dyDescent="0.2">
      <c r="A12290" s="21"/>
      <c r="B12290" s="2"/>
      <c r="C12290" s="7"/>
      <c r="D12290" s="7"/>
    </row>
    <row r="12291" spans="1:4" ht="12.75" customHeight="1" x14ac:dyDescent="0.2">
      <c r="A12291" s="21"/>
      <c r="B12291" s="2"/>
      <c r="C12291" s="7"/>
      <c r="D12291" s="7"/>
    </row>
    <row r="12292" spans="1:4" ht="12.75" customHeight="1" x14ac:dyDescent="0.2">
      <c r="A12292" s="21"/>
      <c r="B12292" s="2"/>
      <c r="C12292" s="7"/>
      <c r="D12292" s="7"/>
    </row>
    <row r="12293" spans="1:4" ht="12.75" customHeight="1" x14ac:dyDescent="0.2">
      <c r="A12293" s="5"/>
      <c r="B12293" s="2"/>
      <c r="C12293" s="7"/>
      <c r="D12293" s="7"/>
    </row>
    <row r="12294" spans="1:4" ht="12.75" customHeight="1" x14ac:dyDescent="0.2">
      <c r="A12294" s="22" t="str">
        <f>HYPERLINK("javascript:void(0)","felleglépő")</f>
        <v>felleglépő</v>
      </c>
      <c r="B12294" s="21"/>
      <c r="C12294" s="21"/>
      <c r="D12294" s="21"/>
    </row>
    <row r="12295" spans="1:4" ht="12.75" customHeight="1" x14ac:dyDescent="0.2">
      <c r="A12295" s="20"/>
      <c r="B12295" s="2"/>
      <c r="C12295" s="7"/>
      <c r="D12295" s="7"/>
    </row>
    <row r="12296" spans="1:4" ht="12.75" customHeight="1" x14ac:dyDescent="0.2">
      <c r="A12296" s="21"/>
      <c r="B12296" s="3" t="s">
        <v>0</v>
      </c>
      <c r="C12296" s="23" t="s">
        <v>926</v>
      </c>
      <c r="D12296" s="21"/>
    </row>
    <row r="12297" spans="1:4" ht="12.75" customHeight="1" x14ac:dyDescent="0.2">
      <c r="A12297" s="21"/>
      <c r="B12297" s="3" t="s">
        <v>2</v>
      </c>
      <c r="C12297" s="23"/>
      <c r="D12297" s="21"/>
    </row>
    <row r="12298" spans="1:4" ht="12.75" customHeight="1" x14ac:dyDescent="0.2">
      <c r="A12298" s="21"/>
      <c r="B12298" s="3" t="s">
        <v>1840</v>
      </c>
      <c r="C12298" s="23" t="s">
        <v>522</v>
      </c>
      <c r="D12298" s="21"/>
    </row>
    <row r="12299" spans="1:4" ht="12.75" customHeight="1" x14ac:dyDescent="0.2">
      <c r="A12299" s="21"/>
      <c r="B12299" s="3" t="s">
        <v>9</v>
      </c>
      <c r="C12299" s="23" t="s">
        <v>1044</v>
      </c>
      <c r="D12299" s="21"/>
    </row>
    <row r="12300" spans="1:4" ht="12.75" customHeight="1" x14ac:dyDescent="0.2">
      <c r="A12300" s="21"/>
      <c r="B12300" s="3" t="s">
        <v>11</v>
      </c>
      <c r="C12300" s="23" t="s">
        <v>1560</v>
      </c>
      <c r="D12300" s="21"/>
    </row>
    <row r="12301" spans="1:4" ht="12.75" customHeight="1" x14ac:dyDescent="0.2">
      <c r="A12301" s="21"/>
      <c r="B12301" s="3" t="s">
        <v>16</v>
      </c>
      <c r="C12301" s="23"/>
      <c r="D12301" s="21"/>
    </row>
    <row r="12302" spans="1:4" ht="12.75" customHeight="1" x14ac:dyDescent="0.2">
      <c r="A12302" s="21"/>
      <c r="B12302" s="3" t="s">
        <v>17</v>
      </c>
      <c r="C12302" s="23" t="s">
        <v>19</v>
      </c>
      <c r="D12302" s="21"/>
    </row>
    <row r="12303" spans="1:4" ht="12.75" customHeight="1" x14ac:dyDescent="0.2">
      <c r="A12303" s="21"/>
      <c r="B12303" s="20" t="s">
        <v>18</v>
      </c>
      <c r="C12303" s="8" t="s">
        <v>331</v>
      </c>
      <c r="D12303" s="1" t="str">
        <f>HYPERLINK("javascript:void(0)","angyalhaj")</f>
        <v>angyalhaj</v>
      </c>
    </row>
    <row r="12304" spans="1:4" ht="12.75" customHeight="1" x14ac:dyDescent="0.2">
      <c r="A12304" s="21"/>
      <c r="B12304" s="21"/>
      <c r="C12304" s="8" t="s">
        <v>756</v>
      </c>
      <c r="D12304" s="1" t="str">
        <f>HYPERLINK("javascript:void(0)","vitorla")</f>
        <v>vitorla</v>
      </c>
    </row>
    <row r="12305" spans="1:4" ht="12.75" customHeight="1" x14ac:dyDescent="0.2">
      <c r="A12305" s="21"/>
      <c r="B12305" s="21"/>
      <c r="C12305" s="8" t="s">
        <v>117</v>
      </c>
      <c r="D12305" s="1" t="str">
        <f>HYPERLINK("javascript:void(0)","cerka")</f>
        <v>cerka</v>
      </c>
    </row>
    <row r="12306" spans="1:4" ht="12.75" customHeight="1" x14ac:dyDescent="0.2">
      <c r="A12306" s="21"/>
      <c r="B12306" s="2"/>
      <c r="C12306" s="7"/>
      <c r="D12306" s="7"/>
    </row>
    <row r="12307" spans="1:4" ht="12.75" customHeight="1" x14ac:dyDescent="0.2">
      <c r="A12307" s="21"/>
      <c r="B12307" s="2"/>
      <c r="C12307" s="7"/>
      <c r="D12307" s="7"/>
    </row>
    <row r="12308" spans="1:4" ht="12.75" customHeight="1" x14ac:dyDescent="0.2">
      <c r="A12308" s="21"/>
      <c r="B12308" s="2"/>
      <c r="C12308" s="7"/>
      <c r="D12308" s="7"/>
    </row>
    <row r="12309" spans="1:4" ht="12.75" customHeight="1" x14ac:dyDescent="0.2">
      <c r="A12309" s="21"/>
      <c r="B12309" s="2"/>
      <c r="C12309" s="7"/>
      <c r="D12309" s="7"/>
    </row>
    <row r="12310" spans="1:4" ht="12.75" customHeight="1" x14ac:dyDescent="0.2">
      <c r="A12310" s="5"/>
      <c r="B12310" s="2"/>
      <c r="C12310" s="7"/>
      <c r="D12310" s="7"/>
    </row>
    <row r="12311" spans="1:4" ht="12.75" customHeight="1" x14ac:dyDescent="0.2">
      <c r="A12311" s="22" t="str">
        <f>HYPERLINK("javascript:void(0)","lapozott pajzs")</f>
        <v>lapozott pajzs</v>
      </c>
      <c r="B12311" s="21"/>
      <c r="C12311" s="21"/>
      <c r="D12311" s="21"/>
    </row>
    <row r="12312" spans="1:4" ht="12.75" customHeight="1" x14ac:dyDescent="0.2">
      <c r="A12312" s="20"/>
      <c r="B12312" s="2"/>
      <c r="C12312" s="7"/>
      <c r="D12312" s="7"/>
    </row>
    <row r="12313" spans="1:4" ht="12.75" customHeight="1" x14ac:dyDescent="0.2">
      <c r="A12313" s="21"/>
      <c r="B12313" s="3" t="s">
        <v>0</v>
      </c>
      <c r="C12313" s="23" t="s">
        <v>926</v>
      </c>
      <c r="D12313" s="21"/>
    </row>
    <row r="12314" spans="1:4" ht="12.75" customHeight="1" x14ac:dyDescent="0.2">
      <c r="A12314" s="21"/>
      <c r="B12314" s="3" t="s">
        <v>2</v>
      </c>
      <c r="C12314" s="23" t="s">
        <v>1839</v>
      </c>
      <c r="D12314" s="21"/>
    </row>
    <row r="12315" spans="1:4" ht="12.75" customHeight="1" x14ac:dyDescent="0.2">
      <c r="A12315" s="21"/>
      <c r="B12315" s="3" t="s">
        <v>1840</v>
      </c>
      <c r="C12315" s="23" t="s">
        <v>2940</v>
      </c>
      <c r="D12315" s="21"/>
    </row>
    <row r="12316" spans="1:4" ht="12.75" customHeight="1" x14ac:dyDescent="0.2">
      <c r="A12316" s="21"/>
      <c r="B12316" s="3" t="s">
        <v>9</v>
      </c>
      <c r="C12316" s="23" t="s">
        <v>249</v>
      </c>
      <c r="D12316" s="21"/>
    </row>
    <row r="12317" spans="1:4" ht="12.75" customHeight="1" x14ac:dyDescent="0.2">
      <c r="A12317" s="21"/>
      <c r="B12317" s="3" t="s">
        <v>11</v>
      </c>
      <c r="C12317" s="23" t="s">
        <v>839</v>
      </c>
      <c r="D12317" s="21"/>
    </row>
    <row r="12318" spans="1:4" ht="12.75" customHeight="1" x14ac:dyDescent="0.2">
      <c r="A12318" s="21"/>
      <c r="B12318" s="3" t="s">
        <v>16</v>
      </c>
      <c r="C12318" s="23"/>
      <c r="D12318" s="21"/>
    </row>
    <row r="12319" spans="1:4" ht="12.75" customHeight="1" x14ac:dyDescent="0.2">
      <c r="A12319" s="21"/>
      <c r="B12319" s="3" t="s">
        <v>17</v>
      </c>
      <c r="C12319" s="23" t="s">
        <v>19</v>
      </c>
      <c r="D12319" s="21"/>
    </row>
    <row r="12320" spans="1:4" ht="12.75" customHeight="1" x14ac:dyDescent="0.2">
      <c r="A12320" s="21"/>
      <c r="B12320" s="20" t="s">
        <v>18</v>
      </c>
      <c r="C12320" s="8" t="s">
        <v>44</v>
      </c>
      <c r="D12320" s="1" t="str">
        <f>HYPERLINK("javascript:void(0)","pálhapajzs")</f>
        <v>pálhapajzs</v>
      </c>
    </row>
    <row r="12321" spans="1:4" ht="12.75" customHeight="1" x14ac:dyDescent="0.2">
      <c r="A12321" s="21"/>
      <c r="B12321" s="21"/>
      <c r="C12321" s="8" t="s">
        <v>68</v>
      </c>
      <c r="D12321" s="1" t="str">
        <f>HYPERLINK("javascript:void(0)","kártyalap")</f>
        <v>kártyalap</v>
      </c>
    </row>
    <row r="12322" spans="1:4" ht="12.75" customHeight="1" x14ac:dyDescent="0.2">
      <c r="A12322" s="21"/>
      <c r="B12322" s="21"/>
      <c r="C12322" s="8" t="s">
        <v>244</v>
      </c>
      <c r="D12322" s="1" t="str">
        <f>HYPERLINK("javascript:void(0)","démonamulett")</f>
        <v>démonamulett</v>
      </c>
    </row>
    <row r="12323" spans="1:4" ht="12.75" customHeight="1" x14ac:dyDescent="0.2">
      <c r="A12323" s="21"/>
      <c r="B12323" s="2"/>
      <c r="C12323" s="7"/>
      <c r="D12323" s="7"/>
    </row>
    <row r="12324" spans="1:4" ht="12.75" customHeight="1" x14ac:dyDescent="0.2">
      <c r="A12324" s="21"/>
      <c r="B12324" s="2"/>
      <c r="C12324" s="7"/>
      <c r="D12324" s="7"/>
    </row>
    <row r="12325" spans="1:4" ht="12.75" customHeight="1" x14ac:dyDescent="0.2">
      <c r="A12325" s="21"/>
      <c r="B12325" s="2"/>
      <c r="C12325" s="7"/>
      <c r="D12325" s="7"/>
    </row>
    <row r="12326" spans="1:4" ht="12.75" customHeight="1" x14ac:dyDescent="0.2">
      <c r="A12326" s="21"/>
      <c r="B12326" s="2"/>
      <c r="C12326" s="7"/>
      <c r="D12326" s="7"/>
    </row>
    <row r="12327" spans="1:4" ht="12.75" customHeight="1" x14ac:dyDescent="0.2">
      <c r="A12327" s="5"/>
      <c r="B12327" s="2"/>
      <c r="C12327" s="7"/>
      <c r="D12327" s="7"/>
    </row>
    <row r="12328" spans="1:4" ht="12.75" customHeight="1" x14ac:dyDescent="0.2">
      <c r="A12328" s="22" t="str">
        <f>HYPERLINK("javascript:void(0)","elfacél szellempajzs")</f>
        <v>elfacél szellempajzs</v>
      </c>
      <c r="B12328" s="21"/>
      <c r="C12328" s="21"/>
      <c r="D12328" s="21"/>
    </row>
    <row r="12329" spans="1:4" ht="12.75" customHeight="1" x14ac:dyDescent="0.2">
      <c r="A12329" s="20"/>
      <c r="B12329" s="2"/>
      <c r="C12329" s="7"/>
      <c r="D12329" s="7"/>
    </row>
    <row r="12330" spans="1:4" ht="12.75" customHeight="1" x14ac:dyDescent="0.2">
      <c r="A12330" s="21"/>
      <c r="B12330" s="3" t="s">
        <v>0</v>
      </c>
      <c r="C12330" s="23" t="s">
        <v>926</v>
      </c>
      <c r="D12330" s="21"/>
    </row>
    <row r="12331" spans="1:4" ht="12.75" customHeight="1" x14ac:dyDescent="0.2">
      <c r="A12331" s="21"/>
      <c r="B12331" s="3" t="s">
        <v>2</v>
      </c>
      <c r="C12331" s="23" t="s">
        <v>1839</v>
      </c>
      <c r="D12331" s="21"/>
    </row>
    <row r="12332" spans="1:4" ht="12.75" customHeight="1" x14ac:dyDescent="0.2">
      <c r="A12332" s="21"/>
      <c r="B12332" s="3" t="s">
        <v>1840</v>
      </c>
      <c r="C12332" s="23" t="s">
        <v>2940</v>
      </c>
      <c r="D12332" s="21"/>
    </row>
    <row r="12333" spans="1:4" ht="12.75" customHeight="1" x14ac:dyDescent="0.2">
      <c r="A12333" s="21"/>
      <c r="B12333" s="3" t="s">
        <v>9</v>
      </c>
      <c r="C12333" s="23" t="s">
        <v>730</v>
      </c>
      <c r="D12333" s="21"/>
    </row>
    <row r="12334" spans="1:4" ht="12.75" customHeight="1" x14ac:dyDescent="0.2">
      <c r="A12334" s="21"/>
      <c r="B12334" s="3" t="s">
        <v>11</v>
      </c>
      <c r="C12334" s="23" t="s">
        <v>1674</v>
      </c>
      <c r="D12334" s="21"/>
    </row>
    <row r="12335" spans="1:4" ht="12.75" customHeight="1" x14ac:dyDescent="0.2">
      <c r="A12335" s="21"/>
      <c r="B12335" s="3" t="s">
        <v>16</v>
      </c>
      <c r="C12335" s="23"/>
      <c r="D12335" s="21"/>
    </row>
    <row r="12336" spans="1:4" ht="12.75" customHeight="1" x14ac:dyDescent="0.2">
      <c r="A12336" s="21"/>
      <c r="B12336" s="3" t="s">
        <v>17</v>
      </c>
      <c r="C12336" s="23" t="s">
        <v>19</v>
      </c>
      <c r="D12336" s="21"/>
    </row>
    <row r="12337" spans="1:4" ht="12.75" customHeight="1" x14ac:dyDescent="0.2">
      <c r="A12337" s="21"/>
      <c r="B12337" s="20" t="s">
        <v>18</v>
      </c>
      <c r="C12337" s="8" t="s">
        <v>44</v>
      </c>
      <c r="D12337" s="1" t="str">
        <f>HYPERLINK("javascript:void(0)","lapozott pajzs")</f>
        <v>lapozott pajzs</v>
      </c>
    </row>
    <row r="12338" spans="1:4" ht="12.75" customHeight="1" x14ac:dyDescent="0.2">
      <c r="A12338" s="21"/>
      <c r="B12338" s="21"/>
      <c r="C12338" s="8" t="s">
        <v>398</v>
      </c>
      <c r="D12338" s="1" t="str">
        <f>HYPERLINK("javascript:void(0)","rémszarv")</f>
        <v>rémszarv</v>
      </c>
    </row>
    <row r="12339" spans="1:4" ht="12.75" customHeight="1" x14ac:dyDescent="0.2">
      <c r="A12339" s="21"/>
      <c r="B12339" s="21"/>
      <c r="C12339" s="8" t="s">
        <v>780</v>
      </c>
      <c r="D12339" s="1" t="str">
        <f>HYPERLINK("javascript:void(0)","angyalhaj")</f>
        <v>angyalhaj</v>
      </c>
    </row>
    <row r="12340" spans="1:4" ht="12.75" customHeight="1" x14ac:dyDescent="0.2">
      <c r="A12340" s="21"/>
      <c r="B12340" s="2"/>
      <c r="C12340" s="7"/>
      <c r="D12340" s="7"/>
    </row>
    <row r="12341" spans="1:4" ht="12.75" customHeight="1" x14ac:dyDescent="0.2">
      <c r="A12341" s="21"/>
      <c r="B12341" s="2"/>
      <c r="C12341" s="7"/>
      <c r="D12341" s="7"/>
    </row>
    <row r="12342" spans="1:4" ht="12.75" customHeight="1" x14ac:dyDescent="0.2">
      <c r="A12342" s="21"/>
      <c r="B12342" s="2"/>
      <c r="C12342" s="7"/>
      <c r="D12342" s="7"/>
    </row>
    <row r="12343" spans="1:4" ht="12.75" customHeight="1" x14ac:dyDescent="0.2">
      <c r="A12343" s="21"/>
      <c r="B12343" s="2"/>
      <c r="C12343" s="7"/>
      <c r="D12343" s="7"/>
    </row>
    <row r="12344" spans="1:4" ht="12.75" customHeight="1" x14ac:dyDescent="0.2">
      <c r="A12344" s="5"/>
      <c r="B12344" s="2"/>
      <c r="C12344" s="7"/>
      <c r="D12344" s="7"/>
    </row>
    <row r="12345" spans="1:4" ht="12.75" customHeight="1" x14ac:dyDescent="0.2">
      <c r="A12345" s="22" t="str">
        <f>HYPERLINK("javascript:void(0)","téválarc")</f>
        <v>téválarc</v>
      </c>
      <c r="B12345" s="21"/>
      <c r="C12345" s="21"/>
      <c r="D12345" s="21"/>
    </row>
    <row r="12346" spans="1:4" ht="12.75" customHeight="1" x14ac:dyDescent="0.2">
      <c r="A12346" s="20"/>
      <c r="B12346" s="2"/>
      <c r="C12346" s="7"/>
      <c r="D12346" s="7"/>
    </row>
    <row r="12347" spans="1:4" ht="12.75" customHeight="1" x14ac:dyDescent="0.2">
      <c r="A12347" s="21"/>
      <c r="B12347" s="3" t="s">
        <v>0</v>
      </c>
      <c r="C12347" s="23" t="s">
        <v>926</v>
      </c>
      <c r="D12347" s="21"/>
    </row>
    <row r="12348" spans="1:4" ht="12.75" customHeight="1" x14ac:dyDescent="0.2">
      <c r="A12348" s="21"/>
      <c r="B12348" s="3" t="s">
        <v>2</v>
      </c>
      <c r="C12348" s="23"/>
      <c r="D12348" s="21"/>
    </row>
    <row r="12349" spans="1:4" ht="12.75" customHeight="1" x14ac:dyDescent="0.2">
      <c r="A12349" s="21"/>
      <c r="B12349" s="3" t="s">
        <v>1840</v>
      </c>
      <c r="C12349" s="23" t="s">
        <v>216</v>
      </c>
      <c r="D12349" s="21"/>
    </row>
    <row r="12350" spans="1:4" ht="12.75" customHeight="1" x14ac:dyDescent="0.2">
      <c r="A12350" s="21"/>
      <c r="B12350" s="3" t="s">
        <v>9</v>
      </c>
      <c r="C12350" s="23" t="s">
        <v>172</v>
      </c>
      <c r="D12350" s="21"/>
    </row>
    <row r="12351" spans="1:4" ht="12.75" customHeight="1" x14ac:dyDescent="0.2">
      <c r="A12351" s="21"/>
      <c r="B12351" s="3" t="s">
        <v>11</v>
      </c>
      <c r="C12351" s="23" t="s">
        <v>5017</v>
      </c>
      <c r="D12351" s="21"/>
    </row>
    <row r="12352" spans="1:4" ht="12.75" customHeight="1" x14ac:dyDescent="0.2">
      <c r="A12352" s="21"/>
      <c r="B12352" s="3" t="s">
        <v>16</v>
      </c>
      <c r="C12352" s="23"/>
      <c r="D12352" s="21"/>
    </row>
    <row r="12353" spans="1:4" ht="12.75" customHeight="1" x14ac:dyDescent="0.2">
      <c r="A12353" s="21"/>
      <c r="B12353" s="3" t="s">
        <v>17</v>
      </c>
      <c r="C12353" s="23" t="s">
        <v>19</v>
      </c>
      <c r="D12353" s="21"/>
    </row>
    <row r="12354" spans="1:4" ht="12.75" customHeight="1" x14ac:dyDescent="0.2">
      <c r="A12354" s="21"/>
      <c r="B12354" s="20" t="s">
        <v>18</v>
      </c>
      <c r="C12354" s="8" t="s">
        <v>68</v>
      </c>
      <c r="D12354" s="1" t="str">
        <f>HYPERLINK("javascript:void(0)","kártyalap")</f>
        <v>kártyalap</v>
      </c>
    </row>
    <row r="12355" spans="1:4" ht="12.75" customHeight="1" x14ac:dyDescent="0.2">
      <c r="A12355" s="21"/>
      <c r="B12355" s="21"/>
      <c r="C12355" s="8" t="s">
        <v>132</v>
      </c>
      <c r="D12355" s="1" t="str">
        <f>HYPERLINK("javascript:void(0)","managöb")</f>
        <v>managöb</v>
      </c>
    </row>
    <row r="12356" spans="1:4" ht="12.75" customHeight="1" x14ac:dyDescent="0.2">
      <c r="A12356" s="21"/>
      <c r="B12356" s="21"/>
      <c r="C12356" s="8" t="s">
        <v>102</v>
      </c>
      <c r="D12356" s="1" t="str">
        <f>HYPERLINK("javascript:void(0)","dobókocka")</f>
        <v>dobókocka</v>
      </c>
    </row>
    <row r="12357" spans="1:4" ht="12.75" customHeight="1" x14ac:dyDescent="0.2">
      <c r="A12357" s="21"/>
      <c r="B12357" s="2"/>
      <c r="C12357" s="7"/>
      <c r="D12357" s="7"/>
    </row>
    <row r="12358" spans="1:4" ht="12.75" customHeight="1" x14ac:dyDescent="0.2">
      <c r="A12358" s="21"/>
      <c r="B12358" s="2"/>
      <c r="C12358" s="7"/>
      <c r="D12358" s="7"/>
    </row>
    <row r="12359" spans="1:4" ht="12.75" customHeight="1" x14ac:dyDescent="0.2">
      <c r="A12359" s="21"/>
      <c r="B12359" s="2"/>
      <c r="C12359" s="7"/>
      <c r="D12359" s="7"/>
    </row>
    <row r="12360" spans="1:4" ht="12.75" customHeight="1" x14ac:dyDescent="0.2">
      <c r="A12360" s="21"/>
      <c r="B12360" s="2"/>
      <c r="C12360" s="7"/>
      <c r="D12360" s="7"/>
    </row>
    <row r="12361" spans="1:4" ht="12.75" customHeight="1" x14ac:dyDescent="0.2">
      <c r="A12361" s="5"/>
      <c r="B12361" s="2"/>
      <c r="C12361" s="7"/>
      <c r="D12361" s="7"/>
    </row>
    <row r="12362" spans="1:4" ht="12.75" customHeight="1" x14ac:dyDescent="0.2">
      <c r="A12362" s="22" t="str">
        <f>HYPERLINK("javascript:void(0)","hypnoacél antigrav csizma")</f>
        <v>hypnoacél antigrav csizma</v>
      </c>
      <c r="B12362" s="21"/>
      <c r="C12362" s="21"/>
      <c r="D12362" s="21"/>
    </row>
    <row r="12363" spans="1:4" ht="12.75" customHeight="1" x14ac:dyDescent="0.2">
      <c r="A12363" s="20"/>
      <c r="B12363" s="2"/>
      <c r="C12363" s="7"/>
      <c r="D12363" s="7"/>
    </row>
    <row r="12364" spans="1:4" ht="12.75" customHeight="1" x14ac:dyDescent="0.2">
      <c r="A12364" s="21"/>
      <c r="B12364" s="3" t="s">
        <v>0</v>
      </c>
      <c r="C12364" s="23" t="s">
        <v>926</v>
      </c>
      <c r="D12364" s="21"/>
    </row>
    <row r="12365" spans="1:4" ht="12.75" customHeight="1" x14ac:dyDescent="0.2">
      <c r="A12365" s="21"/>
      <c r="B12365" s="3" t="s">
        <v>2</v>
      </c>
      <c r="C12365" s="23"/>
      <c r="D12365" s="21"/>
    </row>
    <row r="12366" spans="1:4" ht="12.75" customHeight="1" x14ac:dyDescent="0.2">
      <c r="A12366" s="21"/>
      <c r="B12366" s="3" t="s">
        <v>1840</v>
      </c>
      <c r="C12366" s="23" t="s">
        <v>522</v>
      </c>
      <c r="D12366" s="21"/>
    </row>
    <row r="12367" spans="1:4" ht="12.75" customHeight="1" x14ac:dyDescent="0.2">
      <c r="A12367" s="21"/>
      <c r="B12367" s="3" t="s">
        <v>9</v>
      </c>
      <c r="C12367" s="23" t="s">
        <v>626</v>
      </c>
      <c r="D12367" s="21"/>
    </row>
    <row r="12368" spans="1:4" ht="12.75" customHeight="1" x14ac:dyDescent="0.2">
      <c r="A12368" s="21"/>
      <c r="B12368" s="3" t="s">
        <v>11</v>
      </c>
      <c r="C12368" s="23" t="s">
        <v>23</v>
      </c>
      <c r="D12368" s="21"/>
    </row>
    <row r="12369" spans="1:4" ht="12.75" customHeight="1" x14ac:dyDescent="0.2">
      <c r="A12369" s="21"/>
      <c r="B12369" s="3" t="s">
        <v>16</v>
      </c>
      <c r="C12369" s="23"/>
      <c r="D12369" s="21"/>
    </row>
    <row r="12370" spans="1:4" ht="12.75" customHeight="1" x14ac:dyDescent="0.2">
      <c r="A12370" s="21"/>
      <c r="B12370" s="3" t="s">
        <v>17</v>
      </c>
      <c r="C12370" s="23" t="s">
        <v>19</v>
      </c>
      <c r="D12370" s="21"/>
    </row>
    <row r="12371" spans="1:4" ht="25.5" customHeight="1" x14ac:dyDescent="0.2">
      <c r="A12371" s="21"/>
      <c r="B12371" s="20" t="s">
        <v>18</v>
      </c>
      <c r="C12371" s="8" t="s">
        <v>44</v>
      </c>
      <c r="D12371" s="1" t="str">
        <f>HYPERLINK("javascript:void(0)","csúszórámás antigrav csizma")</f>
        <v>csúszórámás antigrav csizma</v>
      </c>
    </row>
    <row r="12372" spans="1:4" ht="12.75" customHeight="1" x14ac:dyDescent="0.2">
      <c r="A12372" s="21"/>
      <c r="B12372" s="21"/>
      <c r="C12372" s="8" t="s">
        <v>163</v>
      </c>
      <c r="D12372" s="1" t="str">
        <f>HYPERLINK("javascript:void(0)","angyalhaj")</f>
        <v>angyalhaj</v>
      </c>
    </row>
    <row r="12373" spans="1:4" ht="12.75" customHeight="1" x14ac:dyDescent="0.2">
      <c r="A12373" s="21"/>
      <c r="B12373" s="21"/>
      <c r="C12373" s="8" t="s">
        <v>780</v>
      </c>
      <c r="D12373" s="1" t="str">
        <f>HYPERLINK("javascript:void(0)","ejtőernyő")</f>
        <v>ejtőernyő</v>
      </c>
    </row>
    <row r="12374" spans="1:4" ht="12.75" customHeight="1" x14ac:dyDescent="0.2">
      <c r="A12374" s="21"/>
      <c r="B12374" s="2"/>
      <c r="C12374" s="7"/>
      <c r="D12374" s="7"/>
    </row>
    <row r="12375" spans="1:4" ht="12.75" customHeight="1" x14ac:dyDescent="0.2">
      <c r="A12375" s="21"/>
      <c r="B12375" s="2"/>
      <c r="C12375" s="7"/>
      <c r="D12375" s="7"/>
    </row>
    <row r="12376" spans="1:4" ht="12.75" customHeight="1" x14ac:dyDescent="0.2">
      <c r="A12376" s="21"/>
      <c r="B12376" s="2"/>
      <c r="C12376" s="7"/>
      <c r="D12376" s="7"/>
    </row>
    <row r="12377" spans="1:4" ht="12.75" customHeight="1" x14ac:dyDescent="0.2">
      <c r="A12377" s="21"/>
      <c r="B12377" s="2"/>
      <c r="C12377" s="7"/>
      <c r="D12377" s="7"/>
    </row>
    <row r="12378" spans="1:4" ht="12.75" customHeight="1" x14ac:dyDescent="0.2">
      <c r="A12378" s="5"/>
      <c r="B12378" s="2"/>
      <c r="C12378" s="7"/>
      <c r="D12378" s="7"/>
    </row>
    <row r="12379" spans="1:4" ht="12.75" customHeight="1" x14ac:dyDescent="0.2">
      <c r="A12379" s="22" t="str">
        <f>HYPERLINK("javascript:void(0)","rozmárpáncél")</f>
        <v>rozmárpáncél</v>
      </c>
      <c r="B12379" s="21"/>
      <c r="C12379" s="21"/>
      <c r="D12379" s="21"/>
    </row>
    <row r="12380" spans="1:4" ht="12.75" customHeight="1" x14ac:dyDescent="0.2">
      <c r="A12380" s="20"/>
      <c r="B12380" s="2"/>
      <c r="C12380" s="7"/>
      <c r="D12380" s="7"/>
    </row>
    <row r="12381" spans="1:4" ht="12.75" customHeight="1" x14ac:dyDescent="0.2">
      <c r="A12381" s="21"/>
      <c r="B12381" s="3" t="s">
        <v>0</v>
      </c>
      <c r="C12381" s="23" t="s">
        <v>937</v>
      </c>
      <c r="D12381" s="21"/>
    </row>
    <row r="12382" spans="1:4" ht="12.75" customHeight="1" x14ac:dyDescent="0.2">
      <c r="A12382" s="21"/>
      <c r="B12382" s="3" t="s">
        <v>2</v>
      </c>
      <c r="C12382" s="23" t="s">
        <v>2322</v>
      </c>
      <c r="D12382" s="21"/>
    </row>
    <row r="12383" spans="1:4" ht="12.75" customHeight="1" x14ac:dyDescent="0.2">
      <c r="A12383" s="21"/>
      <c r="B12383" s="3" t="s">
        <v>1840</v>
      </c>
      <c r="C12383" s="23" t="s">
        <v>2501</v>
      </c>
      <c r="D12383" s="21"/>
    </row>
    <row r="12384" spans="1:4" ht="12.75" customHeight="1" x14ac:dyDescent="0.2">
      <c r="A12384" s="21"/>
      <c r="B12384" s="3" t="s">
        <v>9</v>
      </c>
      <c r="C12384" s="23" t="s">
        <v>724</v>
      </c>
      <c r="D12384" s="21"/>
    </row>
    <row r="12385" spans="1:4" ht="12.75" customHeight="1" x14ac:dyDescent="0.2">
      <c r="A12385" s="21"/>
      <c r="B12385" s="3" t="s">
        <v>11</v>
      </c>
      <c r="C12385" s="23" t="s">
        <v>1472</v>
      </c>
      <c r="D12385" s="21"/>
    </row>
    <row r="12386" spans="1:4" ht="12.75" customHeight="1" x14ac:dyDescent="0.2">
      <c r="A12386" s="21"/>
      <c r="B12386" s="3" t="s">
        <v>16</v>
      </c>
      <c r="C12386" s="23"/>
      <c r="D12386" s="21"/>
    </row>
    <row r="12387" spans="1:4" ht="12.75" customHeight="1" x14ac:dyDescent="0.2">
      <c r="A12387" s="21"/>
      <c r="B12387" s="3" t="s">
        <v>17</v>
      </c>
      <c r="C12387" s="23" t="s">
        <v>19</v>
      </c>
      <c r="D12387" s="21"/>
    </row>
    <row r="12388" spans="1:4" ht="12.75" customHeight="1" x14ac:dyDescent="0.2">
      <c r="A12388" s="21"/>
      <c r="B12388" s="20" t="s">
        <v>18</v>
      </c>
      <c r="C12388" s="8" t="s">
        <v>67</v>
      </c>
      <c r="D12388" s="1" t="str">
        <f>HYPERLINK("javascript:void(0)","rozmáragyar")</f>
        <v>rozmáragyar</v>
      </c>
    </row>
    <row r="12389" spans="1:4" ht="12.75" customHeight="1" x14ac:dyDescent="0.2">
      <c r="A12389" s="21"/>
      <c r="B12389" s="21"/>
      <c r="C12389" s="8" t="s">
        <v>139</v>
      </c>
      <c r="D12389" s="1" t="str">
        <f>HYPERLINK("javascript:void(0)","csapdaszeg")</f>
        <v>csapdaszeg</v>
      </c>
    </row>
    <row r="12390" spans="1:4" ht="12.75" customHeight="1" x14ac:dyDescent="0.2">
      <c r="A12390" s="21"/>
      <c r="B12390" s="21"/>
      <c r="C12390" s="8" t="s">
        <v>244</v>
      </c>
      <c r="D12390" s="1" t="str">
        <f>HYPERLINK("javascript:void(0)","banánhéj")</f>
        <v>banánhéj</v>
      </c>
    </row>
    <row r="12391" spans="1:4" ht="12.75" customHeight="1" x14ac:dyDescent="0.2">
      <c r="A12391" s="21"/>
      <c r="B12391" s="2"/>
      <c r="C12391" s="7"/>
      <c r="D12391" s="7"/>
    </row>
    <row r="12392" spans="1:4" ht="12.75" customHeight="1" x14ac:dyDescent="0.2">
      <c r="A12392" s="21"/>
      <c r="B12392" s="2"/>
      <c r="C12392" s="7"/>
      <c r="D12392" s="7"/>
    </row>
    <row r="12393" spans="1:4" ht="12.75" customHeight="1" x14ac:dyDescent="0.2">
      <c r="A12393" s="21"/>
      <c r="B12393" s="2"/>
      <c r="C12393" s="7"/>
      <c r="D12393" s="7"/>
    </row>
    <row r="12394" spans="1:4" ht="12.75" customHeight="1" x14ac:dyDescent="0.2">
      <c r="A12394" s="21"/>
      <c r="B12394" s="2"/>
      <c r="C12394" s="7"/>
      <c r="D12394" s="7"/>
    </row>
    <row r="12395" spans="1:4" ht="12.75" customHeight="1" x14ac:dyDescent="0.2">
      <c r="A12395" s="5"/>
      <c r="B12395" s="2"/>
      <c r="C12395" s="7"/>
      <c r="D12395" s="7"/>
    </row>
    <row r="12396" spans="1:4" ht="12.75" customHeight="1" x14ac:dyDescent="0.2">
      <c r="A12396" s="22" t="str">
        <f>HYPERLINK("javascript:void(0)","elfacél bascinet")</f>
        <v>elfacél bascinet</v>
      </c>
      <c r="B12396" s="21"/>
      <c r="C12396" s="21"/>
      <c r="D12396" s="21"/>
    </row>
    <row r="12397" spans="1:4" ht="12.75" customHeight="1" x14ac:dyDescent="0.2">
      <c r="A12397" s="20"/>
      <c r="B12397" s="2"/>
      <c r="C12397" s="7"/>
      <c r="D12397" s="7"/>
    </row>
    <row r="12398" spans="1:4" ht="12.75" customHeight="1" x14ac:dyDescent="0.2">
      <c r="A12398" s="21"/>
      <c r="B12398" s="3" t="s">
        <v>0</v>
      </c>
      <c r="C12398" s="23" t="s">
        <v>937</v>
      </c>
      <c r="D12398" s="21"/>
    </row>
    <row r="12399" spans="1:4" ht="12.75" customHeight="1" x14ac:dyDescent="0.2">
      <c r="A12399" s="21"/>
      <c r="B12399" s="3" t="s">
        <v>2</v>
      </c>
      <c r="C12399" s="23"/>
      <c r="D12399" s="21"/>
    </row>
    <row r="12400" spans="1:4" ht="12.75" customHeight="1" x14ac:dyDescent="0.2">
      <c r="A12400" s="21"/>
      <c r="B12400" s="3" t="s">
        <v>1840</v>
      </c>
      <c r="C12400" s="23" t="s">
        <v>235</v>
      </c>
      <c r="D12400" s="21"/>
    </row>
    <row r="12401" spans="1:4" ht="12.75" customHeight="1" x14ac:dyDescent="0.2">
      <c r="A12401" s="21"/>
      <c r="B12401" s="3" t="s">
        <v>9</v>
      </c>
      <c r="C12401" s="23" t="s">
        <v>1289</v>
      </c>
      <c r="D12401" s="21"/>
    </row>
    <row r="12402" spans="1:4" ht="12.75" customHeight="1" x14ac:dyDescent="0.2">
      <c r="A12402" s="21"/>
      <c r="B12402" s="3" t="s">
        <v>11</v>
      </c>
      <c r="C12402" s="23" t="s">
        <v>1472</v>
      </c>
      <c r="D12402" s="21"/>
    </row>
    <row r="12403" spans="1:4" ht="12.75" customHeight="1" x14ac:dyDescent="0.2">
      <c r="A12403" s="21"/>
      <c r="B12403" s="3" t="s">
        <v>16</v>
      </c>
      <c r="C12403" s="23"/>
      <c r="D12403" s="21"/>
    </row>
    <row r="12404" spans="1:4" ht="12.75" customHeight="1" x14ac:dyDescent="0.2">
      <c r="A12404" s="21"/>
      <c r="B12404" s="3" t="s">
        <v>17</v>
      </c>
      <c r="C12404" s="23" t="s">
        <v>19</v>
      </c>
      <c r="D12404" s="21"/>
    </row>
    <row r="12405" spans="1:4" ht="12.75" customHeight="1" x14ac:dyDescent="0.2">
      <c r="A12405" s="21"/>
      <c r="B12405" s="20" t="s">
        <v>18</v>
      </c>
      <c r="C12405" s="8" t="s">
        <v>232</v>
      </c>
      <c r="D12405" s="1" t="str">
        <f>HYPERLINK("javascript:void(0)","rozmáragyar")</f>
        <v>rozmáragyar</v>
      </c>
    </row>
    <row r="12406" spans="1:4" ht="12.75" customHeight="1" x14ac:dyDescent="0.2">
      <c r="A12406" s="21"/>
      <c r="B12406" s="21"/>
      <c r="C12406" s="8" t="s">
        <v>244</v>
      </c>
      <c r="D12406" s="1" t="str">
        <f>HYPERLINK("javascript:void(0)","zanzahúr")</f>
        <v>zanzahúr</v>
      </c>
    </row>
    <row r="12407" spans="1:4" ht="12.75" customHeight="1" x14ac:dyDescent="0.2">
      <c r="A12407" s="21"/>
      <c r="B12407" s="21"/>
      <c r="C12407" s="8" t="s">
        <v>44</v>
      </c>
      <c r="D12407" s="1" t="str">
        <f>HYPERLINK("javascript:void(0)","pókerálarc")</f>
        <v>pókerálarc</v>
      </c>
    </row>
    <row r="12408" spans="1:4" ht="12.75" customHeight="1" x14ac:dyDescent="0.2">
      <c r="A12408" s="21"/>
      <c r="B12408" s="2"/>
      <c r="C12408" s="7"/>
      <c r="D12408" s="7"/>
    </row>
    <row r="12409" spans="1:4" ht="12.75" customHeight="1" x14ac:dyDescent="0.2">
      <c r="A12409" s="21"/>
      <c r="B12409" s="2"/>
      <c r="C12409" s="7"/>
      <c r="D12409" s="7"/>
    </row>
    <row r="12410" spans="1:4" ht="12.75" customHeight="1" x14ac:dyDescent="0.2">
      <c r="A12410" s="21"/>
      <c r="B12410" s="2"/>
      <c r="C12410" s="7"/>
      <c r="D12410" s="7"/>
    </row>
    <row r="12411" spans="1:4" ht="12.75" customHeight="1" x14ac:dyDescent="0.2">
      <c r="A12411" s="21"/>
      <c r="B12411" s="2"/>
      <c r="C12411" s="7"/>
      <c r="D12411" s="7"/>
    </row>
    <row r="12412" spans="1:4" ht="12.75" customHeight="1" x14ac:dyDescent="0.2">
      <c r="A12412" s="5"/>
      <c r="B12412" s="2"/>
      <c r="C12412" s="7"/>
      <c r="D12412" s="7"/>
    </row>
    <row r="12413" spans="1:4" ht="12.75" customHeight="1" x14ac:dyDescent="0.2">
      <c r="A12413" s="22" t="str">
        <f>HYPERLINK("javascript:void(0)","magnetoacél mokaszin")</f>
        <v>magnetoacél mokaszin</v>
      </c>
      <c r="B12413" s="21"/>
      <c r="C12413" s="21"/>
      <c r="D12413" s="21"/>
    </row>
    <row r="12414" spans="1:4" ht="12.75" customHeight="1" x14ac:dyDescent="0.2">
      <c r="A12414" s="20"/>
      <c r="B12414" s="2"/>
      <c r="C12414" s="7"/>
      <c r="D12414" s="7"/>
    </row>
    <row r="12415" spans="1:4" ht="12.75" customHeight="1" x14ac:dyDescent="0.2">
      <c r="A12415" s="21"/>
      <c r="B12415" s="3" t="s">
        <v>0</v>
      </c>
      <c r="C12415" s="23" t="s">
        <v>937</v>
      </c>
      <c r="D12415" s="21"/>
    </row>
    <row r="12416" spans="1:4" ht="12.75" customHeight="1" x14ac:dyDescent="0.2">
      <c r="A12416" s="21"/>
      <c r="B12416" s="3" t="s">
        <v>2</v>
      </c>
      <c r="C12416" s="23"/>
      <c r="D12416" s="21"/>
    </row>
    <row r="12417" spans="1:4" ht="12.75" customHeight="1" x14ac:dyDescent="0.2">
      <c r="A12417" s="21"/>
      <c r="B12417" s="3" t="s">
        <v>1840</v>
      </c>
      <c r="C12417" s="23" t="s">
        <v>2130</v>
      </c>
      <c r="D12417" s="21"/>
    </row>
    <row r="12418" spans="1:4" ht="12.75" customHeight="1" x14ac:dyDescent="0.2">
      <c r="A12418" s="21"/>
      <c r="B12418" s="3" t="s">
        <v>9</v>
      </c>
      <c r="C12418" s="23" t="s">
        <v>2070</v>
      </c>
      <c r="D12418" s="21"/>
    </row>
    <row r="12419" spans="1:4" ht="12.75" customHeight="1" x14ac:dyDescent="0.2">
      <c r="A12419" s="21"/>
      <c r="B12419" s="3" t="s">
        <v>11</v>
      </c>
      <c r="C12419" s="23" t="s">
        <v>1477</v>
      </c>
      <c r="D12419" s="21"/>
    </row>
    <row r="12420" spans="1:4" ht="12.75" customHeight="1" x14ac:dyDescent="0.2">
      <c r="A12420" s="21"/>
      <c r="B12420" s="3" t="s">
        <v>16</v>
      </c>
      <c r="C12420" s="23"/>
      <c r="D12420" s="21"/>
    </row>
    <row r="12421" spans="1:4" ht="12.75" customHeight="1" x14ac:dyDescent="0.2">
      <c r="A12421" s="21"/>
      <c r="B12421" s="3" t="s">
        <v>17</v>
      </c>
      <c r="C12421" s="23" t="s">
        <v>19</v>
      </c>
      <c r="D12421" s="21"/>
    </row>
    <row r="12422" spans="1:4" ht="12.75" customHeight="1" x14ac:dyDescent="0.2">
      <c r="A12422" s="21"/>
      <c r="B12422" s="20" t="s">
        <v>18</v>
      </c>
      <c r="C12422" s="8" t="s">
        <v>44</v>
      </c>
      <c r="D12422" s="1" t="str">
        <f>HYPERLINK("javascript:void(0)","felleglépő")</f>
        <v>felleglépő</v>
      </c>
    </row>
    <row r="12423" spans="1:4" ht="25.5" customHeight="1" x14ac:dyDescent="0.2">
      <c r="A12423" s="21"/>
      <c r="B12423" s="21"/>
      <c r="C12423" s="8" t="s">
        <v>44</v>
      </c>
      <c r="D12423" s="1" t="str">
        <f>HYPERLINK("javascript:void(0)","kriptonacél mokaszin")</f>
        <v>kriptonacél mokaszin</v>
      </c>
    </row>
    <row r="12424" spans="1:4" ht="12.75" customHeight="1" x14ac:dyDescent="0.2">
      <c r="A12424" s="21"/>
      <c r="B12424" s="21"/>
      <c r="C12424" s="8" t="s">
        <v>44</v>
      </c>
      <c r="D12424" s="1" t="str">
        <f>HYPERLINK("javascript:void(0)","magnetoacél fűző")</f>
        <v>magnetoacél fűző</v>
      </c>
    </row>
    <row r="12425" spans="1:4" ht="12.75" customHeight="1" x14ac:dyDescent="0.2">
      <c r="A12425" s="21"/>
      <c r="B12425" s="2"/>
      <c r="C12425" s="7"/>
      <c r="D12425" s="7"/>
    </row>
    <row r="12426" spans="1:4" ht="12.75" customHeight="1" x14ac:dyDescent="0.2">
      <c r="A12426" s="21"/>
      <c r="B12426" s="2"/>
      <c r="C12426" s="7"/>
      <c r="D12426" s="7"/>
    </row>
    <row r="12427" spans="1:4" ht="12.75" customHeight="1" x14ac:dyDescent="0.2">
      <c r="A12427" s="21"/>
      <c r="B12427" s="2"/>
      <c r="C12427" s="7"/>
      <c r="D12427" s="7"/>
    </row>
    <row r="12428" spans="1:4" ht="12.75" customHeight="1" x14ac:dyDescent="0.2">
      <c r="A12428" s="21"/>
      <c r="B12428" s="2"/>
      <c r="C12428" s="7"/>
      <c r="D12428" s="7"/>
    </row>
    <row r="12429" spans="1:4" ht="12.75" customHeight="1" x14ac:dyDescent="0.2">
      <c r="A12429" s="5"/>
      <c r="B12429" s="2"/>
      <c r="C12429" s="7"/>
      <c r="D12429" s="7"/>
    </row>
    <row r="12430" spans="1:4" ht="12.75" customHeight="1" x14ac:dyDescent="0.2">
      <c r="A12430" s="22" t="str">
        <f>HYPERLINK("javascript:void(0)","lapozott testpajzs")</f>
        <v>lapozott testpajzs</v>
      </c>
      <c r="B12430" s="21"/>
      <c r="C12430" s="21"/>
      <c r="D12430" s="21"/>
    </row>
    <row r="12431" spans="1:4" ht="12.75" customHeight="1" x14ac:dyDescent="0.2">
      <c r="A12431" s="20"/>
      <c r="B12431" s="2"/>
      <c r="C12431" s="7"/>
      <c r="D12431" s="7"/>
    </row>
    <row r="12432" spans="1:4" ht="12.75" customHeight="1" x14ac:dyDescent="0.2">
      <c r="A12432" s="21"/>
      <c r="B12432" s="3" t="s">
        <v>0</v>
      </c>
      <c r="C12432" s="23" t="s">
        <v>937</v>
      </c>
      <c r="D12432" s="21"/>
    </row>
    <row r="12433" spans="1:4" ht="12.75" customHeight="1" x14ac:dyDescent="0.2">
      <c r="A12433" s="21"/>
      <c r="B12433" s="3" t="s">
        <v>2</v>
      </c>
      <c r="C12433" s="23" t="s">
        <v>1839</v>
      </c>
      <c r="D12433" s="21"/>
    </row>
    <row r="12434" spans="1:4" ht="12.75" customHeight="1" x14ac:dyDescent="0.2">
      <c r="A12434" s="21"/>
      <c r="B12434" s="3" t="s">
        <v>1840</v>
      </c>
      <c r="C12434" s="23" t="s">
        <v>247</v>
      </c>
      <c r="D12434" s="21"/>
    </row>
    <row r="12435" spans="1:4" ht="12.75" customHeight="1" x14ac:dyDescent="0.2">
      <c r="A12435" s="21"/>
      <c r="B12435" s="3" t="s">
        <v>9</v>
      </c>
      <c r="C12435" s="23" t="s">
        <v>262</v>
      </c>
      <c r="D12435" s="21"/>
    </row>
    <row r="12436" spans="1:4" ht="12.75" customHeight="1" x14ac:dyDescent="0.2">
      <c r="A12436" s="21"/>
      <c r="B12436" s="3" t="s">
        <v>11</v>
      </c>
      <c r="C12436" s="23" t="s">
        <v>1509</v>
      </c>
      <c r="D12436" s="21"/>
    </row>
    <row r="12437" spans="1:4" ht="12.75" customHeight="1" x14ac:dyDescent="0.2">
      <c r="A12437" s="21"/>
      <c r="B12437" s="3" t="s">
        <v>16</v>
      </c>
      <c r="C12437" s="23"/>
      <c r="D12437" s="21"/>
    </row>
    <row r="12438" spans="1:4" ht="12.75" customHeight="1" x14ac:dyDescent="0.2">
      <c r="A12438" s="21"/>
      <c r="B12438" s="3" t="s">
        <v>17</v>
      </c>
      <c r="C12438" s="23" t="s">
        <v>19</v>
      </c>
      <c r="D12438" s="21"/>
    </row>
    <row r="12439" spans="1:4" ht="12.75" customHeight="1" x14ac:dyDescent="0.2">
      <c r="A12439" s="21"/>
      <c r="B12439" s="20" t="s">
        <v>18</v>
      </c>
      <c r="C12439" s="8" t="s">
        <v>44</v>
      </c>
      <c r="D12439" s="1" t="str">
        <f>HYPERLINK("javascript:void(0)","pálhás testpajzs")</f>
        <v>pálhás testpajzs</v>
      </c>
    </row>
    <row r="12440" spans="1:4" ht="12.75" customHeight="1" x14ac:dyDescent="0.2">
      <c r="A12440" s="21"/>
      <c r="B12440" s="21"/>
      <c r="C12440" s="8" t="s">
        <v>68</v>
      </c>
      <c r="D12440" s="1" t="str">
        <f>HYPERLINK("javascript:void(0)","zászlórúd")</f>
        <v>zászlórúd</v>
      </c>
    </row>
    <row r="12441" spans="1:4" ht="12.75" customHeight="1" x14ac:dyDescent="0.2">
      <c r="A12441" s="21"/>
      <c r="B12441" s="21"/>
      <c r="C12441" s="8" t="s">
        <v>290</v>
      </c>
      <c r="D12441" s="1" t="str">
        <f>HYPERLINK("javascript:void(0)","porszőr")</f>
        <v>porszőr</v>
      </c>
    </row>
    <row r="12442" spans="1:4" ht="12.75" customHeight="1" x14ac:dyDescent="0.2">
      <c r="A12442" s="21"/>
      <c r="B12442" s="2"/>
      <c r="C12442" s="7"/>
      <c r="D12442" s="7"/>
    </row>
    <row r="12443" spans="1:4" ht="12.75" customHeight="1" x14ac:dyDescent="0.2">
      <c r="A12443" s="21"/>
      <c r="B12443" s="2"/>
      <c r="C12443" s="7"/>
      <c r="D12443" s="7"/>
    </row>
    <row r="12444" spans="1:4" ht="12.75" customHeight="1" x14ac:dyDescent="0.2">
      <c r="A12444" s="21"/>
      <c r="B12444" s="2"/>
      <c r="C12444" s="7"/>
      <c r="D12444" s="7"/>
    </row>
    <row r="12445" spans="1:4" ht="12.75" customHeight="1" x14ac:dyDescent="0.2">
      <c r="A12445" s="21"/>
      <c r="B12445" s="2"/>
      <c r="C12445" s="7"/>
      <c r="D12445" s="7"/>
    </row>
    <row r="12446" spans="1:4" ht="12.75" customHeight="1" x14ac:dyDescent="0.2">
      <c r="A12446" s="5"/>
      <c r="B12446" s="2"/>
      <c r="C12446" s="7"/>
      <c r="D12446" s="7"/>
    </row>
    <row r="12447" spans="1:4" ht="12.75" customHeight="1" x14ac:dyDescent="0.2">
      <c r="A12447" s="22" t="str">
        <f>HYPERLINK("javascript:void(0)","óriásacél szellempajzs")</f>
        <v>óriásacél szellempajzs</v>
      </c>
      <c r="B12447" s="21"/>
      <c r="C12447" s="21"/>
      <c r="D12447" s="21"/>
    </row>
    <row r="12448" spans="1:4" ht="12.75" customHeight="1" x14ac:dyDescent="0.2">
      <c r="A12448" s="20"/>
      <c r="B12448" s="2"/>
      <c r="C12448" s="7"/>
      <c r="D12448" s="7"/>
    </row>
    <row r="12449" spans="1:4" ht="12.75" customHeight="1" x14ac:dyDescent="0.2">
      <c r="A12449" s="21"/>
      <c r="B12449" s="3" t="s">
        <v>0</v>
      </c>
      <c r="C12449" s="23" t="s">
        <v>937</v>
      </c>
      <c r="D12449" s="21"/>
    </row>
    <row r="12450" spans="1:4" ht="12.75" customHeight="1" x14ac:dyDescent="0.2">
      <c r="A12450" s="21"/>
      <c r="B12450" s="3" t="s">
        <v>2</v>
      </c>
      <c r="C12450" s="23" t="s">
        <v>1839</v>
      </c>
      <c r="D12450" s="21"/>
    </row>
    <row r="12451" spans="1:4" ht="12.75" customHeight="1" x14ac:dyDescent="0.2">
      <c r="A12451" s="21"/>
      <c r="B12451" s="3" t="s">
        <v>1840</v>
      </c>
      <c r="C12451" s="23" t="s">
        <v>247</v>
      </c>
      <c r="D12451" s="21"/>
    </row>
    <row r="12452" spans="1:4" ht="12.75" customHeight="1" x14ac:dyDescent="0.2">
      <c r="A12452" s="21"/>
      <c r="B12452" s="3" t="s">
        <v>9</v>
      </c>
      <c r="C12452" s="23" t="s">
        <v>5034</v>
      </c>
      <c r="D12452" s="21"/>
    </row>
    <row r="12453" spans="1:4" ht="12.75" customHeight="1" x14ac:dyDescent="0.2">
      <c r="A12453" s="21"/>
      <c r="B12453" s="3" t="s">
        <v>11</v>
      </c>
      <c r="C12453" s="23" t="s">
        <v>1520</v>
      </c>
      <c r="D12453" s="21"/>
    </row>
    <row r="12454" spans="1:4" ht="12.75" customHeight="1" x14ac:dyDescent="0.2">
      <c r="A12454" s="21"/>
      <c r="B12454" s="3" t="s">
        <v>16</v>
      </c>
      <c r="C12454" s="23"/>
      <c r="D12454" s="21"/>
    </row>
    <row r="12455" spans="1:4" ht="12.75" customHeight="1" x14ac:dyDescent="0.2">
      <c r="A12455" s="21"/>
      <c r="B12455" s="3" t="s">
        <v>17</v>
      </c>
      <c r="C12455" s="23" t="s">
        <v>19</v>
      </c>
      <c r="D12455" s="21"/>
    </row>
    <row r="12456" spans="1:4" ht="12.75" customHeight="1" x14ac:dyDescent="0.2">
      <c r="A12456" s="21"/>
      <c r="B12456" s="20" t="s">
        <v>18</v>
      </c>
      <c r="C12456" s="8" t="s">
        <v>44</v>
      </c>
      <c r="D12456" s="1" t="str">
        <f>HYPERLINK("javascript:void(0)","lapozott testpajzs")</f>
        <v>lapozott testpajzs</v>
      </c>
    </row>
    <row r="12457" spans="1:4" ht="12.75" customHeight="1" x14ac:dyDescent="0.2">
      <c r="A12457" s="21"/>
      <c r="B12457" s="21"/>
      <c r="C12457" s="8" t="s">
        <v>309</v>
      </c>
      <c r="D12457" s="1" t="str">
        <f>HYPERLINK("javascript:void(0)","csigaház")</f>
        <v>csigaház</v>
      </c>
    </row>
    <row r="12458" spans="1:4" ht="12.75" customHeight="1" x14ac:dyDescent="0.2">
      <c r="A12458" s="21"/>
      <c r="B12458" s="21"/>
      <c r="C12458" s="8" t="s">
        <v>269</v>
      </c>
      <c r="D12458" s="1" t="str">
        <f>HYPERLINK("javascript:void(0)","rozmáragyar")</f>
        <v>rozmáragyar</v>
      </c>
    </row>
    <row r="12459" spans="1:4" ht="12.75" customHeight="1" x14ac:dyDescent="0.2">
      <c r="A12459" s="21"/>
      <c r="B12459" s="2"/>
      <c r="C12459" s="7"/>
      <c r="D12459" s="7"/>
    </row>
    <row r="12460" spans="1:4" ht="12.75" customHeight="1" x14ac:dyDescent="0.2">
      <c r="A12460" s="21"/>
      <c r="B12460" s="2"/>
      <c r="C12460" s="7"/>
      <c r="D12460" s="7"/>
    </row>
    <row r="12461" spans="1:4" ht="12.75" customHeight="1" x14ac:dyDescent="0.2">
      <c r="A12461" s="21"/>
      <c r="B12461" s="2"/>
      <c r="C12461" s="7"/>
      <c r="D12461" s="7"/>
    </row>
    <row r="12462" spans="1:4" ht="12.75" customHeight="1" x14ac:dyDescent="0.2">
      <c r="A12462" s="21"/>
      <c r="B12462" s="2"/>
      <c r="C12462" s="7"/>
      <c r="D12462" s="7"/>
    </row>
    <row r="12463" spans="1:4" ht="12.75" customHeight="1" x14ac:dyDescent="0.2">
      <c r="A12463" s="5"/>
      <c r="B12463" s="2"/>
      <c r="C12463" s="7"/>
      <c r="D12463" s="7"/>
    </row>
    <row r="12464" spans="1:4" ht="12.75" customHeight="1" x14ac:dyDescent="0.2">
      <c r="A12464" s="22" t="str">
        <f>HYPERLINK("javascript:void(0)","magnetoacél fűző")</f>
        <v>magnetoacél fűző</v>
      </c>
      <c r="B12464" s="21"/>
      <c r="C12464" s="21"/>
      <c r="D12464" s="21"/>
    </row>
    <row r="12465" spans="1:4" ht="12.75" customHeight="1" x14ac:dyDescent="0.2">
      <c r="A12465" s="20"/>
      <c r="B12465" s="2"/>
      <c r="C12465" s="7"/>
      <c r="D12465" s="7"/>
    </row>
    <row r="12466" spans="1:4" ht="12.75" customHeight="1" x14ac:dyDescent="0.2">
      <c r="A12466" s="21"/>
      <c r="B12466" s="3" t="s">
        <v>0</v>
      </c>
      <c r="C12466" s="23" t="s">
        <v>937</v>
      </c>
      <c r="D12466" s="21"/>
    </row>
    <row r="12467" spans="1:4" ht="12.75" customHeight="1" x14ac:dyDescent="0.2">
      <c r="A12467" s="21"/>
      <c r="B12467" s="3" t="s">
        <v>2</v>
      </c>
      <c r="C12467" s="23"/>
      <c r="D12467" s="21"/>
    </row>
    <row r="12468" spans="1:4" ht="12.75" customHeight="1" x14ac:dyDescent="0.2">
      <c r="A12468" s="21"/>
      <c r="B12468" s="3" t="s">
        <v>1840</v>
      </c>
      <c r="C12468" s="23" t="s">
        <v>47</v>
      </c>
      <c r="D12468" s="21"/>
    </row>
    <row r="12469" spans="1:4" ht="12.75" customHeight="1" x14ac:dyDescent="0.2">
      <c r="A12469" s="21"/>
      <c r="B12469" s="3" t="s">
        <v>9</v>
      </c>
      <c r="C12469" s="23" t="s">
        <v>70</v>
      </c>
      <c r="D12469" s="21"/>
    </row>
    <row r="12470" spans="1:4" ht="12.75" customHeight="1" x14ac:dyDescent="0.2">
      <c r="A12470" s="21"/>
      <c r="B12470" s="3" t="s">
        <v>11</v>
      </c>
      <c r="C12470" s="23" t="s">
        <v>2132</v>
      </c>
      <c r="D12470" s="21"/>
    </row>
    <row r="12471" spans="1:4" ht="12.75" customHeight="1" x14ac:dyDescent="0.2">
      <c r="A12471" s="21"/>
      <c r="B12471" s="3" t="s">
        <v>16</v>
      </c>
      <c r="C12471" s="23"/>
      <c r="D12471" s="21"/>
    </row>
    <row r="12472" spans="1:4" ht="12.75" customHeight="1" x14ac:dyDescent="0.2">
      <c r="A12472" s="21"/>
      <c r="B12472" s="3" t="s">
        <v>17</v>
      </c>
      <c r="C12472" s="23" t="s">
        <v>19</v>
      </c>
      <c r="D12472" s="21"/>
    </row>
    <row r="12473" spans="1:4" ht="12.75" customHeight="1" x14ac:dyDescent="0.2">
      <c r="A12473" s="21"/>
      <c r="B12473" s="20" t="s">
        <v>18</v>
      </c>
      <c r="C12473" s="8" t="s">
        <v>244</v>
      </c>
      <c r="D12473" s="1" t="str">
        <f>HYPERLINK("javascript:void(0)","vaskarima")</f>
        <v>vaskarima</v>
      </c>
    </row>
    <row r="12474" spans="1:4" ht="12.75" customHeight="1" x14ac:dyDescent="0.2">
      <c r="A12474" s="21"/>
      <c r="B12474" s="21"/>
      <c r="C12474" s="8" t="s">
        <v>68</v>
      </c>
      <c r="D12474" s="1" t="str">
        <f>HYPERLINK("javascript:void(0)","rozmáragyar")</f>
        <v>rozmáragyar</v>
      </c>
    </row>
    <row r="12475" spans="1:4" ht="12.75" customHeight="1" x14ac:dyDescent="0.2">
      <c r="A12475" s="21"/>
      <c r="B12475" s="21"/>
      <c r="C12475" s="8" t="s">
        <v>244</v>
      </c>
      <c r="D12475" s="1" t="str">
        <f>HYPERLINK("javascript:void(0)","kígyóborda")</f>
        <v>kígyóborda</v>
      </c>
    </row>
    <row r="12476" spans="1:4" ht="12.75" customHeight="1" x14ac:dyDescent="0.2">
      <c r="A12476" s="21"/>
      <c r="B12476" s="2"/>
      <c r="C12476" s="7"/>
      <c r="D12476" s="7"/>
    </row>
    <row r="12477" spans="1:4" ht="12.75" customHeight="1" x14ac:dyDescent="0.2">
      <c r="A12477" s="21"/>
      <c r="B12477" s="2"/>
      <c r="C12477" s="7"/>
      <c r="D12477" s="7"/>
    </row>
    <row r="12478" spans="1:4" ht="12.75" customHeight="1" x14ac:dyDescent="0.2">
      <c r="A12478" s="21"/>
      <c r="B12478" s="2"/>
      <c r="C12478" s="7"/>
      <c r="D12478" s="7"/>
    </row>
    <row r="12479" spans="1:4" ht="12.75" customHeight="1" x14ac:dyDescent="0.2">
      <c r="A12479" s="21"/>
      <c r="B12479" s="2"/>
      <c r="C12479" s="7"/>
      <c r="D12479" s="7"/>
    </row>
    <row r="12480" spans="1:4" ht="12.75" customHeight="1" x14ac:dyDescent="0.2">
      <c r="A12480" s="5"/>
      <c r="B12480" s="2"/>
      <c r="C12480" s="7"/>
      <c r="D12480" s="7"/>
    </row>
    <row r="12481" spans="1:4" ht="12.75" customHeight="1" x14ac:dyDescent="0.2">
      <c r="A12481" s="22" t="str">
        <f>HYPERLINK("javascript:void(0)","teljes pálhavért")</f>
        <v>teljes pálhavért</v>
      </c>
      <c r="B12481" s="21"/>
      <c r="C12481" s="21"/>
      <c r="D12481" s="21"/>
    </row>
    <row r="12482" spans="1:4" ht="12.75" customHeight="1" x14ac:dyDescent="0.2">
      <c r="A12482" s="20"/>
      <c r="B12482" s="2"/>
      <c r="C12482" s="7"/>
      <c r="D12482" s="7"/>
    </row>
    <row r="12483" spans="1:4" ht="12.75" customHeight="1" x14ac:dyDescent="0.2">
      <c r="A12483" s="21"/>
      <c r="B12483" s="3" t="s">
        <v>0</v>
      </c>
      <c r="C12483" s="23" t="s">
        <v>190</v>
      </c>
      <c r="D12483" s="21"/>
    </row>
    <row r="12484" spans="1:4" ht="12.75" customHeight="1" x14ac:dyDescent="0.2">
      <c r="A12484" s="21"/>
      <c r="B12484" s="3" t="s">
        <v>2</v>
      </c>
      <c r="C12484" s="23" t="s">
        <v>2322</v>
      </c>
      <c r="D12484" s="21"/>
    </row>
    <row r="12485" spans="1:4" ht="12.75" customHeight="1" x14ac:dyDescent="0.2">
      <c r="A12485" s="21"/>
      <c r="B12485" s="3" t="s">
        <v>1840</v>
      </c>
      <c r="C12485" s="23" t="s">
        <v>2502</v>
      </c>
      <c r="D12485" s="21"/>
    </row>
    <row r="12486" spans="1:4" ht="12.75" customHeight="1" x14ac:dyDescent="0.2">
      <c r="A12486" s="21"/>
      <c r="B12486" s="3" t="s">
        <v>9</v>
      </c>
      <c r="C12486" s="23" t="s">
        <v>834</v>
      </c>
      <c r="D12486" s="21"/>
    </row>
    <row r="12487" spans="1:4" ht="12.75" customHeight="1" x14ac:dyDescent="0.2">
      <c r="A12487" s="21"/>
      <c r="B12487" s="3" t="s">
        <v>11</v>
      </c>
      <c r="C12487" s="23" t="s">
        <v>1560</v>
      </c>
      <c r="D12487" s="21"/>
    </row>
    <row r="12488" spans="1:4" ht="12.75" customHeight="1" x14ac:dyDescent="0.2">
      <c r="A12488" s="21"/>
      <c r="B12488" s="3" t="s">
        <v>16</v>
      </c>
      <c r="C12488" s="23"/>
      <c r="D12488" s="21"/>
    </row>
    <row r="12489" spans="1:4" ht="12.75" customHeight="1" x14ac:dyDescent="0.2">
      <c r="A12489" s="21"/>
      <c r="B12489" s="3" t="s">
        <v>17</v>
      </c>
      <c r="C12489" s="23" t="s">
        <v>19</v>
      </c>
      <c r="D12489" s="21"/>
    </row>
    <row r="12490" spans="1:4" ht="12.75" customHeight="1" x14ac:dyDescent="0.2">
      <c r="A12490" s="21"/>
      <c r="B12490" s="20" t="s">
        <v>18</v>
      </c>
      <c r="C12490" s="8" t="s">
        <v>44</v>
      </c>
      <c r="D12490" s="1" t="str">
        <f>HYPERLINK("javascript:void(0)","rozmárpáncél")</f>
        <v>rozmárpáncél</v>
      </c>
    </row>
    <row r="12491" spans="1:4" ht="12.75" customHeight="1" x14ac:dyDescent="0.2">
      <c r="A12491" s="21"/>
      <c r="B12491" s="21"/>
      <c r="C12491" s="8" t="s">
        <v>44</v>
      </c>
      <c r="D12491" s="1" t="str">
        <f>HYPERLINK("javascript:void(0)","teljes angyalvért")</f>
        <v>teljes angyalvért</v>
      </c>
    </row>
    <row r="12492" spans="1:4" ht="12.75" customHeight="1" x14ac:dyDescent="0.2">
      <c r="A12492" s="21"/>
      <c r="B12492" s="21"/>
      <c r="C12492" s="8" t="s">
        <v>44</v>
      </c>
      <c r="D12492" s="1" t="str">
        <f>HYPERLINK("javascript:void(0)","pálhamellény")</f>
        <v>pálhamellény</v>
      </c>
    </row>
    <row r="12493" spans="1:4" ht="12.75" customHeight="1" x14ac:dyDescent="0.2">
      <c r="A12493" s="21"/>
      <c r="B12493" s="2"/>
      <c r="C12493" s="7"/>
      <c r="D12493" s="7"/>
    </row>
    <row r="12494" spans="1:4" ht="12.75" customHeight="1" x14ac:dyDescent="0.2">
      <c r="A12494" s="21"/>
      <c r="B12494" s="2"/>
      <c r="C12494" s="7"/>
      <c r="D12494" s="7"/>
    </row>
    <row r="12495" spans="1:4" ht="12.75" customHeight="1" x14ac:dyDescent="0.2">
      <c r="A12495" s="21"/>
      <c r="B12495" s="2"/>
      <c r="C12495" s="7"/>
      <c r="D12495" s="7"/>
    </row>
    <row r="12496" spans="1:4" ht="12.75" customHeight="1" x14ac:dyDescent="0.2">
      <c r="A12496" s="21"/>
      <c r="B12496" s="2"/>
      <c r="C12496" s="7"/>
      <c r="D12496" s="7"/>
    </row>
    <row r="12497" spans="1:4" ht="12.75" customHeight="1" x14ac:dyDescent="0.2">
      <c r="A12497" s="5"/>
      <c r="B12497" s="2"/>
      <c r="C12497" s="7"/>
      <c r="D12497" s="7"/>
    </row>
    <row r="12498" spans="1:4" ht="12.75" customHeight="1" x14ac:dyDescent="0.2">
      <c r="A12498" s="22" t="str">
        <f>HYPERLINK("javascript:void(0)","gorgósisak")</f>
        <v>gorgósisak</v>
      </c>
      <c r="B12498" s="21"/>
      <c r="C12498" s="21"/>
      <c r="D12498" s="21"/>
    </row>
    <row r="12499" spans="1:4" ht="12.75" customHeight="1" x14ac:dyDescent="0.2">
      <c r="A12499" s="20"/>
      <c r="B12499" s="2"/>
      <c r="C12499" s="7"/>
      <c r="D12499" s="7"/>
    </row>
    <row r="12500" spans="1:4" ht="12.75" customHeight="1" x14ac:dyDescent="0.2">
      <c r="A12500" s="21"/>
      <c r="B12500" s="3" t="s">
        <v>0</v>
      </c>
      <c r="C12500" s="23" t="s">
        <v>190</v>
      </c>
      <c r="D12500" s="21"/>
    </row>
    <row r="12501" spans="1:4" ht="12.75" customHeight="1" x14ac:dyDescent="0.2">
      <c r="A12501" s="21"/>
      <c r="B12501" s="3" t="s">
        <v>2</v>
      </c>
      <c r="C12501" s="23"/>
      <c r="D12501" s="21"/>
    </row>
    <row r="12502" spans="1:4" ht="12.75" customHeight="1" x14ac:dyDescent="0.2">
      <c r="A12502" s="21"/>
      <c r="B12502" s="3" t="s">
        <v>1840</v>
      </c>
      <c r="C12502" s="23" t="s">
        <v>2418</v>
      </c>
      <c r="D12502" s="21"/>
    </row>
    <row r="12503" spans="1:4" ht="12.75" customHeight="1" x14ac:dyDescent="0.2">
      <c r="A12503" s="21"/>
      <c r="B12503" s="3" t="s">
        <v>9</v>
      </c>
      <c r="C12503" s="23" t="s">
        <v>1991</v>
      </c>
      <c r="D12503" s="21"/>
    </row>
    <row r="12504" spans="1:4" ht="12.75" customHeight="1" x14ac:dyDescent="0.2">
      <c r="A12504" s="21"/>
      <c r="B12504" s="3" t="s">
        <v>11</v>
      </c>
      <c r="C12504" s="23" t="s">
        <v>1560</v>
      </c>
      <c r="D12504" s="21"/>
    </row>
    <row r="12505" spans="1:4" ht="12.75" customHeight="1" x14ac:dyDescent="0.2">
      <c r="A12505" s="21"/>
      <c r="B12505" s="3" t="s">
        <v>16</v>
      </c>
      <c r="C12505" s="23"/>
      <c r="D12505" s="21"/>
    </row>
    <row r="12506" spans="1:4" ht="12.75" customHeight="1" x14ac:dyDescent="0.2">
      <c r="A12506" s="21"/>
      <c r="B12506" s="3" t="s">
        <v>17</v>
      </c>
      <c r="C12506" s="23" t="s">
        <v>19</v>
      </c>
      <c r="D12506" s="21"/>
    </row>
    <row r="12507" spans="1:4" ht="12.75" customHeight="1" x14ac:dyDescent="0.2">
      <c r="A12507" s="21"/>
      <c r="B12507" s="20" t="s">
        <v>18</v>
      </c>
      <c r="C12507" s="8" t="s">
        <v>196</v>
      </c>
      <c r="D12507" s="1" t="str">
        <f>HYPERLINK("javascript:void(0)","mogorv")</f>
        <v>mogorv</v>
      </c>
    </row>
    <row r="12508" spans="1:4" ht="12.75" customHeight="1" x14ac:dyDescent="0.2">
      <c r="A12508" s="21"/>
      <c r="B12508" s="21"/>
      <c r="C12508" s="8" t="s">
        <v>117</v>
      </c>
      <c r="D12508" s="1" t="str">
        <f>HYPERLINK("javascript:void(0)","zanzahúr")</f>
        <v>zanzahúr</v>
      </c>
    </row>
    <row r="12509" spans="1:4" ht="12.75" customHeight="1" x14ac:dyDescent="0.2">
      <c r="A12509" s="21"/>
      <c r="B12509" s="21"/>
      <c r="C12509" s="8" t="s">
        <v>244</v>
      </c>
      <c r="D12509" s="1" t="str">
        <f>HYPERLINK("javascript:void(0)","bigapata")</f>
        <v>bigapata</v>
      </c>
    </row>
    <row r="12510" spans="1:4" ht="12.75" customHeight="1" x14ac:dyDescent="0.2">
      <c r="A12510" s="21"/>
      <c r="B12510" s="2"/>
      <c r="C12510" s="7"/>
      <c r="D12510" s="7"/>
    </row>
    <row r="12511" spans="1:4" ht="12.75" customHeight="1" x14ac:dyDescent="0.2">
      <c r="A12511" s="21"/>
      <c r="B12511" s="2"/>
      <c r="C12511" s="7"/>
      <c r="D12511" s="7"/>
    </row>
    <row r="12512" spans="1:4" ht="12.75" customHeight="1" x14ac:dyDescent="0.2">
      <c r="A12512" s="21"/>
      <c r="B12512" s="2"/>
      <c r="C12512" s="7"/>
      <c r="D12512" s="7"/>
    </row>
    <row r="12513" spans="1:4" ht="12.75" customHeight="1" x14ac:dyDescent="0.2">
      <c r="A12513" s="21"/>
      <c r="B12513" s="2"/>
      <c r="C12513" s="7"/>
      <c r="D12513" s="7"/>
    </row>
    <row r="12514" spans="1:4" ht="12.75" customHeight="1" x14ac:dyDescent="0.2">
      <c r="A12514" s="5"/>
      <c r="B12514" s="2"/>
      <c r="C12514" s="7"/>
      <c r="D12514" s="7"/>
    </row>
    <row r="12515" spans="1:4" ht="12.75" customHeight="1" x14ac:dyDescent="0.2">
      <c r="A12515" s="22" t="str">
        <f>HYPERLINK("javascript:void(0)","pikkelysaru")</f>
        <v>pikkelysaru</v>
      </c>
      <c r="B12515" s="21"/>
      <c r="C12515" s="21"/>
      <c r="D12515" s="21"/>
    </row>
    <row r="12516" spans="1:4" ht="12.75" customHeight="1" x14ac:dyDescent="0.2">
      <c r="A12516" s="20"/>
      <c r="B12516" s="2"/>
      <c r="C12516" s="7"/>
      <c r="D12516" s="7"/>
    </row>
    <row r="12517" spans="1:4" ht="12.75" customHeight="1" x14ac:dyDescent="0.2">
      <c r="A12517" s="21"/>
      <c r="B12517" s="3" t="s">
        <v>0</v>
      </c>
      <c r="C12517" s="23" t="s">
        <v>190</v>
      </c>
      <c r="D12517" s="21"/>
    </row>
    <row r="12518" spans="1:4" ht="12.75" customHeight="1" x14ac:dyDescent="0.2">
      <c r="A12518" s="21"/>
      <c r="B12518" s="3" t="s">
        <v>2</v>
      </c>
      <c r="C12518" s="23"/>
      <c r="D12518" s="21"/>
    </row>
    <row r="12519" spans="1:4" ht="12.75" customHeight="1" x14ac:dyDescent="0.2">
      <c r="A12519" s="21"/>
      <c r="B12519" s="3" t="s">
        <v>1840</v>
      </c>
      <c r="C12519" s="23" t="s">
        <v>2135</v>
      </c>
      <c r="D12519" s="21"/>
    </row>
    <row r="12520" spans="1:4" ht="12.75" customHeight="1" x14ac:dyDescent="0.2">
      <c r="A12520" s="21"/>
      <c r="B12520" s="3" t="s">
        <v>9</v>
      </c>
      <c r="C12520" s="23" t="s">
        <v>36</v>
      </c>
      <c r="D12520" s="21"/>
    </row>
    <row r="12521" spans="1:4" ht="12.75" customHeight="1" x14ac:dyDescent="0.2">
      <c r="A12521" s="21"/>
      <c r="B12521" s="3" t="s">
        <v>11</v>
      </c>
      <c r="C12521" s="23" t="s">
        <v>1216</v>
      </c>
      <c r="D12521" s="21"/>
    </row>
    <row r="12522" spans="1:4" ht="12.75" customHeight="1" x14ac:dyDescent="0.2">
      <c r="A12522" s="21"/>
      <c r="B12522" s="3" t="s">
        <v>16</v>
      </c>
      <c r="C12522" s="23"/>
      <c r="D12522" s="21"/>
    </row>
    <row r="12523" spans="1:4" ht="12.75" customHeight="1" x14ac:dyDescent="0.2">
      <c r="A12523" s="21"/>
      <c r="B12523" s="3" t="s">
        <v>17</v>
      </c>
      <c r="C12523" s="23" t="s">
        <v>19</v>
      </c>
      <c r="D12523" s="21"/>
    </row>
    <row r="12524" spans="1:4" ht="12.75" customHeight="1" x14ac:dyDescent="0.2">
      <c r="A12524" s="21"/>
      <c r="B12524" s="20" t="s">
        <v>18</v>
      </c>
      <c r="C12524" s="8" t="s">
        <v>98</v>
      </c>
      <c r="D12524" s="1" t="str">
        <f>HYPERLINK("javascript:void(0)","pillepikkely")</f>
        <v>pillepikkely</v>
      </c>
    </row>
    <row r="12525" spans="1:4" ht="12.75" customHeight="1" x14ac:dyDescent="0.2">
      <c r="A12525" s="21"/>
      <c r="B12525" s="21"/>
      <c r="C12525" s="8" t="s">
        <v>269</v>
      </c>
      <c r="D12525" s="1" t="str">
        <f>HYPERLINK("javascript:void(0)","pálha")</f>
        <v>pálha</v>
      </c>
    </row>
    <row r="12526" spans="1:4" ht="25.5" customHeight="1" x14ac:dyDescent="0.2">
      <c r="A12526" s="21"/>
      <c r="B12526" s="21"/>
      <c r="C12526" s="8" t="s">
        <v>44</v>
      </c>
      <c r="D12526" s="1" t="str">
        <f>HYPERLINK("javascript:void(0)","magnetoacél mokaszin")</f>
        <v>magnetoacél mokaszin</v>
      </c>
    </row>
    <row r="12527" spans="1:4" ht="12.75" customHeight="1" x14ac:dyDescent="0.2">
      <c r="A12527" s="21"/>
      <c r="B12527" s="2"/>
      <c r="C12527" s="7"/>
      <c r="D12527" s="7"/>
    </row>
    <row r="12528" spans="1:4" ht="12.75" customHeight="1" x14ac:dyDescent="0.2">
      <c r="A12528" s="21"/>
      <c r="B12528" s="2"/>
      <c r="C12528" s="7"/>
      <c r="D12528" s="7"/>
    </row>
    <row r="12529" spans="1:4" ht="12.75" customHeight="1" x14ac:dyDescent="0.2">
      <c r="A12529" s="21"/>
      <c r="B12529" s="2"/>
      <c r="C12529" s="7"/>
      <c r="D12529" s="7"/>
    </row>
    <row r="12530" spans="1:4" ht="12.75" customHeight="1" x14ac:dyDescent="0.2">
      <c r="A12530" s="21"/>
      <c r="B12530" s="2"/>
      <c r="C12530" s="7"/>
      <c r="D12530" s="7"/>
    </row>
    <row r="12531" spans="1:4" ht="12.75" customHeight="1" x14ac:dyDescent="0.2">
      <c r="A12531" s="5"/>
      <c r="B12531" s="2"/>
      <c r="C12531" s="7"/>
      <c r="D12531" s="7"/>
    </row>
    <row r="12532" spans="1:4" ht="12.75" customHeight="1" x14ac:dyDescent="0.2">
      <c r="A12532" s="22" t="str">
        <f>HYPERLINK("javascript:void(0)","pikkelypajzs")</f>
        <v>pikkelypajzs</v>
      </c>
      <c r="B12532" s="21"/>
      <c r="C12532" s="21"/>
      <c r="D12532" s="21"/>
    </row>
    <row r="12533" spans="1:4" ht="12.75" customHeight="1" x14ac:dyDescent="0.2">
      <c r="A12533" s="20"/>
      <c r="B12533" s="2"/>
      <c r="C12533" s="7"/>
      <c r="D12533" s="7"/>
    </row>
    <row r="12534" spans="1:4" ht="12.75" customHeight="1" x14ac:dyDescent="0.2">
      <c r="A12534" s="21"/>
      <c r="B12534" s="3" t="s">
        <v>0</v>
      </c>
      <c r="C12534" s="23" t="s">
        <v>190</v>
      </c>
      <c r="D12534" s="21"/>
    </row>
    <row r="12535" spans="1:4" ht="12.75" customHeight="1" x14ac:dyDescent="0.2">
      <c r="A12535" s="21"/>
      <c r="B12535" s="3" t="s">
        <v>2</v>
      </c>
      <c r="C12535" s="23" t="s">
        <v>1839</v>
      </c>
      <c r="D12535" s="21"/>
    </row>
    <row r="12536" spans="1:4" ht="12.75" customHeight="1" x14ac:dyDescent="0.2">
      <c r="A12536" s="21"/>
      <c r="B12536" s="3" t="s">
        <v>1840</v>
      </c>
      <c r="C12536" s="23" t="s">
        <v>1817</v>
      </c>
      <c r="D12536" s="21"/>
    </row>
    <row r="12537" spans="1:4" ht="12.75" customHeight="1" x14ac:dyDescent="0.2">
      <c r="A12537" s="21"/>
      <c r="B12537" s="3" t="s">
        <v>9</v>
      </c>
      <c r="C12537" s="23" t="s">
        <v>179</v>
      </c>
      <c r="D12537" s="21"/>
    </row>
    <row r="12538" spans="1:4" ht="12.75" customHeight="1" x14ac:dyDescent="0.2">
      <c r="A12538" s="21"/>
      <c r="B12538" s="3" t="s">
        <v>11</v>
      </c>
      <c r="C12538" s="23" t="s">
        <v>1674</v>
      </c>
      <c r="D12538" s="21"/>
    </row>
    <row r="12539" spans="1:4" ht="12.75" customHeight="1" x14ac:dyDescent="0.2">
      <c r="A12539" s="21"/>
      <c r="B12539" s="3" t="s">
        <v>16</v>
      </c>
      <c r="C12539" s="23"/>
      <c r="D12539" s="21"/>
    </row>
    <row r="12540" spans="1:4" ht="12.75" customHeight="1" x14ac:dyDescent="0.2">
      <c r="A12540" s="21"/>
      <c r="B12540" s="3" t="s">
        <v>17</v>
      </c>
      <c r="C12540" s="23" t="s">
        <v>19</v>
      </c>
      <c r="D12540" s="21"/>
    </row>
    <row r="12541" spans="1:4" ht="12.75" customHeight="1" x14ac:dyDescent="0.2">
      <c r="A12541" s="21"/>
      <c r="B12541" s="20" t="s">
        <v>18</v>
      </c>
      <c r="C12541" s="8" t="s">
        <v>44</v>
      </c>
      <c r="D12541" s="1" t="str">
        <f>HYPERLINK("javascript:void(0)","lapozott pajzs")</f>
        <v>lapozott pajzs</v>
      </c>
    </row>
    <row r="12542" spans="1:4" ht="12.75" customHeight="1" x14ac:dyDescent="0.2">
      <c r="A12542" s="21"/>
      <c r="B12542" s="21"/>
      <c r="C12542" s="8" t="s">
        <v>244</v>
      </c>
      <c r="D12542" s="1" t="str">
        <f>HYPERLINK("javascript:void(0)","pillepikkely")</f>
        <v>pillepikkely</v>
      </c>
    </row>
    <row r="12543" spans="1:4" ht="12.75" customHeight="1" x14ac:dyDescent="0.2">
      <c r="A12543" s="21"/>
      <c r="B12543" s="21"/>
      <c r="C12543" s="8" t="s">
        <v>269</v>
      </c>
      <c r="D12543" s="1" t="str">
        <f>HYPERLINK("javascript:void(0)","banánhéj")</f>
        <v>banánhéj</v>
      </c>
    </row>
    <row r="12544" spans="1:4" ht="12.75" customHeight="1" x14ac:dyDescent="0.2">
      <c r="A12544" s="21"/>
      <c r="B12544" s="2"/>
      <c r="C12544" s="7"/>
      <c r="D12544" s="7"/>
    </row>
    <row r="12545" spans="1:4" ht="12.75" customHeight="1" x14ac:dyDescent="0.2">
      <c r="A12545" s="21"/>
      <c r="B12545" s="2"/>
      <c r="C12545" s="7"/>
      <c r="D12545" s="7"/>
    </row>
    <row r="12546" spans="1:4" ht="12.75" customHeight="1" x14ac:dyDescent="0.2">
      <c r="A12546" s="21"/>
      <c r="B12546" s="2"/>
      <c r="C12546" s="7"/>
      <c r="D12546" s="7"/>
    </row>
    <row r="12547" spans="1:4" ht="12.75" customHeight="1" x14ac:dyDescent="0.2">
      <c r="A12547" s="21"/>
      <c r="B12547" s="2"/>
      <c r="C12547" s="7"/>
      <c r="D12547" s="7"/>
    </row>
    <row r="12548" spans="1:4" ht="12.75" customHeight="1" x14ac:dyDescent="0.2">
      <c r="A12548" s="5"/>
      <c r="B12548" s="2"/>
      <c r="C12548" s="7"/>
      <c r="D12548" s="7"/>
    </row>
    <row r="12549" spans="1:4" ht="12.75" customHeight="1" x14ac:dyDescent="0.2">
      <c r="A12549" s="22" t="str">
        <f>HYPERLINK("javascript:void(0)","kompozit szellempajzs")</f>
        <v>kompozit szellempajzs</v>
      </c>
      <c r="B12549" s="21"/>
      <c r="C12549" s="21"/>
      <c r="D12549" s="21"/>
    </row>
    <row r="12550" spans="1:4" ht="12.75" customHeight="1" x14ac:dyDescent="0.2">
      <c r="A12550" s="20"/>
      <c r="B12550" s="2"/>
      <c r="C12550" s="7"/>
      <c r="D12550" s="7"/>
    </row>
    <row r="12551" spans="1:4" ht="12.75" customHeight="1" x14ac:dyDescent="0.2">
      <c r="A12551" s="21"/>
      <c r="B12551" s="3" t="s">
        <v>0</v>
      </c>
      <c r="C12551" s="23" t="s">
        <v>190</v>
      </c>
      <c r="D12551" s="21"/>
    </row>
    <row r="12552" spans="1:4" ht="12.75" customHeight="1" x14ac:dyDescent="0.2">
      <c r="A12552" s="21"/>
      <c r="B12552" s="3" t="s">
        <v>2</v>
      </c>
      <c r="C12552" s="23" t="s">
        <v>1839</v>
      </c>
      <c r="D12552" s="21"/>
    </row>
    <row r="12553" spans="1:4" ht="12.75" customHeight="1" x14ac:dyDescent="0.2">
      <c r="A12553" s="21"/>
      <c r="B12553" s="3" t="s">
        <v>1840</v>
      </c>
      <c r="C12553" s="23" t="s">
        <v>1817</v>
      </c>
      <c r="D12553" s="21"/>
    </row>
    <row r="12554" spans="1:4" ht="12.75" customHeight="1" x14ac:dyDescent="0.2">
      <c r="A12554" s="21"/>
      <c r="B12554" s="3" t="s">
        <v>9</v>
      </c>
      <c r="C12554" s="23" t="s">
        <v>30</v>
      </c>
      <c r="D12554" s="21"/>
    </row>
    <row r="12555" spans="1:4" ht="12.75" customHeight="1" x14ac:dyDescent="0.2">
      <c r="A12555" s="21"/>
      <c r="B12555" s="3" t="s">
        <v>11</v>
      </c>
      <c r="C12555" s="23" t="s">
        <v>2160</v>
      </c>
      <c r="D12555" s="21"/>
    </row>
    <row r="12556" spans="1:4" ht="12.75" customHeight="1" x14ac:dyDescent="0.2">
      <c r="A12556" s="21"/>
      <c r="B12556" s="3" t="s">
        <v>16</v>
      </c>
      <c r="C12556" s="23"/>
      <c r="D12556" s="21"/>
    </row>
    <row r="12557" spans="1:4" ht="12.75" customHeight="1" x14ac:dyDescent="0.2">
      <c r="A12557" s="21"/>
      <c r="B12557" s="3" t="s">
        <v>17</v>
      </c>
      <c r="C12557" s="23" t="s">
        <v>19</v>
      </c>
      <c r="D12557" s="21"/>
    </row>
    <row r="12558" spans="1:4" ht="12.75" customHeight="1" x14ac:dyDescent="0.2">
      <c r="A12558" s="21"/>
      <c r="B12558" s="20" t="s">
        <v>18</v>
      </c>
      <c r="C12558" s="8" t="s">
        <v>44</v>
      </c>
      <c r="D12558" s="1" t="str">
        <f>HYPERLINK("javascript:void(0)","pikkelypajzs")</f>
        <v>pikkelypajzs</v>
      </c>
    </row>
    <row r="12559" spans="1:4" ht="12.75" customHeight="1" x14ac:dyDescent="0.2">
      <c r="A12559" s="21"/>
      <c r="B12559" s="21"/>
      <c r="C12559" s="8" t="s">
        <v>163</v>
      </c>
      <c r="D12559" s="1" t="str">
        <f>HYPERLINK("javascript:void(0)","kompózium")</f>
        <v>kompózium</v>
      </c>
    </row>
    <row r="12560" spans="1:4" ht="12.75" customHeight="1" x14ac:dyDescent="0.2">
      <c r="A12560" s="21"/>
      <c r="B12560" s="21"/>
      <c r="C12560" s="8" t="s">
        <v>240</v>
      </c>
      <c r="D12560" s="1" t="str">
        <f>HYPERLINK("javascript:void(0)","mogorv")</f>
        <v>mogorv</v>
      </c>
    </row>
    <row r="12561" spans="1:4" ht="12.75" customHeight="1" x14ac:dyDescent="0.2">
      <c r="A12561" s="21"/>
      <c r="B12561" s="2"/>
      <c r="C12561" s="7"/>
      <c r="D12561" s="7"/>
    </row>
    <row r="12562" spans="1:4" ht="12.75" customHeight="1" x14ac:dyDescent="0.2">
      <c r="A12562" s="21"/>
      <c r="B12562" s="2"/>
      <c r="C12562" s="7"/>
      <c r="D12562" s="7"/>
    </row>
    <row r="12563" spans="1:4" ht="12.75" customHeight="1" x14ac:dyDescent="0.2">
      <c r="A12563" s="21"/>
      <c r="B12563" s="2"/>
      <c r="C12563" s="7"/>
      <c r="D12563" s="7"/>
    </row>
    <row r="12564" spans="1:4" ht="12.75" customHeight="1" x14ac:dyDescent="0.2">
      <c r="A12564" s="21"/>
      <c r="B12564" s="2"/>
      <c r="C12564" s="7"/>
      <c r="D12564" s="7"/>
    </row>
    <row r="12565" spans="1:4" ht="12.75" customHeight="1" x14ac:dyDescent="0.2">
      <c r="A12565" s="5"/>
      <c r="B12565" s="2"/>
      <c r="C12565" s="7"/>
      <c r="D12565" s="7"/>
    </row>
    <row r="12566" spans="1:4" ht="12.75" customHeight="1" x14ac:dyDescent="0.2">
      <c r="A12566" s="22" t="str">
        <f>HYPERLINK("javascript:void(0)","pálhamellény")</f>
        <v>pálhamellény</v>
      </c>
      <c r="B12566" s="21"/>
      <c r="C12566" s="21"/>
      <c r="D12566" s="21"/>
    </row>
    <row r="12567" spans="1:4" ht="12.75" customHeight="1" x14ac:dyDescent="0.2">
      <c r="A12567" s="20"/>
      <c r="B12567" s="2"/>
      <c r="C12567" s="7"/>
      <c r="D12567" s="7"/>
    </row>
    <row r="12568" spans="1:4" ht="12.75" customHeight="1" x14ac:dyDescent="0.2">
      <c r="A12568" s="21"/>
      <c r="B12568" s="3" t="s">
        <v>0</v>
      </c>
      <c r="C12568" s="23" t="s">
        <v>190</v>
      </c>
      <c r="D12568" s="21"/>
    </row>
    <row r="12569" spans="1:4" ht="12.75" customHeight="1" x14ac:dyDescent="0.2">
      <c r="A12569" s="21"/>
      <c r="B12569" s="3" t="s">
        <v>2</v>
      </c>
      <c r="C12569" s="23" t="s">
        <v>2322</v>
      </c>
      <c r="D12569" s="21"/>
    </row>
    <row r="12570" spans="1:4" ht="12.75" customHeight="1" x14ac:dyDescent="0.2">
      <c r="A12570" s="21"/>
      <c r="B12570" s="3" t="s">
        <v>1840</v>
      </c>
      <c r="C12570" s="23" t="s">
        <v>216</v>
      </c>
      <c r="D12570" s="21"/>
    </row>
    <row r="12571" spans="1:4" ht="12.75" customHeight="1" x14ac:dyDescent="0.2">
      <c r="A12571" s="21"/>
      <c r="B12571" s="3" t="s">
        <v>9</v>
      </c>
      <c r="C12571" s="23" t="s">
        <v>172</v>
      </c>
      <c r="D12571" s="21"/>
    </row>
    <row r="12572" spans="1:4" ht="12.75" customHeight="1" x14ac:dyDescent="0.2">
      <c r="A12572" s="21"/>
      <c r="B12572" s="3" t="s">
        <v>11</v>
      </c>
      <c r="C12572" s="23" t="s">
        <v>2503</v>
      </c>
      <c r="D12572" s="21"/>
    </row>
    <row r="12573" spans="1:4" ht="12.75" customHeight="1" x14ac:dyDescent="0.2">
      <c r="A12573" s="21"/>
      <c r="B12573" s="3" t="s">
        <v>16</v>
      </c>
      <c r="C12573" s="23"/>
      <c r="D12573" s="21"/>
    </row>
    <row r="12574" spans="1:4" ht="12.75" customHeight="1" x14ac:dyDescent="0.2">
      <c r="A12574" s="21"/>
      <c r="B12574" s="3" t="s">
        <v>17</v>
      </c>
      <c r="C12574" s="23" t="s">
        <v>19</v>
      </c>
      <c r="D12574" s="21"/>
    </row>
    <row r="12575" spans="1:4" ht="12.75" customHeight="1" x14ac:dyDescent="0.2">
      <c r="A12575" s="21"/>
      <c r="B12575" s="20" t="s">
        <v>18</v>
      </c>
      <c r="C12575" s="8" t="s">
        <v>68</v>
      </c>
      <c r="D12575" s="1" t="str">
        <f>HYPERLINK("javascript:void(0)","mogorv")</f>
        <v>mogorv</v>
      </c>
    </row>
    <row r="12576" spans="1:4" ht="12.75" customHeight="1" x14ac:dyDescent="0.2">
      <c r="A12576" s="21"/>
      <c r="B12576" s="21"/>
      <c r="C12576" s="8" t="s">
        <v>244</v>
      </c>
      <c r="D12576" s="1" t="str">
        <f>HYPERLINK("javascript:void(0)","pálha")</f>
        <v>pálha</v>
      </c>
    </row>
    <row r="12577" spans="1:4" ht="12.75" customHeight="1" x14ac:dyDescent="0.2">
      <c r="A12577" s="21"/>
      <c r="B12577" s="21"/>
      <c r="C12577" s="8" t="s">
        <v>244</v>
      </c>
      <c r="D12577" s="1" t="str">
        <f>HYPERLINK("javascript:void(0)","banánhéj")</f>
        <v>banánhéj</v>
      </c>
    </row>
    <row r="12578" spans="1:4" ht="12.75" customHeight="1" x14ac:dyDescent="0.2">
      <c r="A12578" s="21"/>
      <c r="B12578" s="2"/>
      <c r="C12578" s="7"/>
      <c r="D12578" s="7"/>
    </row>
    <row r="12579" spans="1:4" ht="12.75" customHeight="1" x14ac:dyDescent="0.2">
      <c r="A12579" s="21"/>
      <c r="B12579" s="2"/>
      <c r="C12579" s="7"/>
      <c r="D12579" s="7"/>
    </row>
    <row r="12580" spans="1:4" ht="12.75" customHeight="1" x14ac:dyDescent="0.2">
      <c r="A12580" s="21"/>
      <c r="B12580" s="2"/>
      <c r="C12580" s="7"/>
      <c r="D12580" s="7"/>
    </row>
    <row r="12581" spans="1:4" ht="12.75" customHeight="1" x14ac:dyDescent="0.2">
      <c r="A12581" s="21"/>
      <c r="B12581" s="2"/>
      <c r="C12581" s="7"/>
      <c r="D12581" s="7"/>
    </row>
    <row r="12582" spans="1:4" ht="12.75" customHeight="1" x14ac:dyDescent="0.2">
      <c r="A12582" s="5"/>
      <c r="B12582" s="2"/>
      <c r="C12582" s="7"/>
      <c r="D12582" s="7"/>
    </row>
    <row r="12583" spans="1:4" ht="12.75" customHeight="1" x14ac:dyDescent="0.2">
      <c r="A12583" s="22" t="str">
        <f>HYPERLINK("javascript:void(0)","thordi manasisak")</f>
        <v>thordi manasisak</v>
      </c>
      <c r="B12583" s="21"/>
      <c r="C12583" s="21"/>
      <c r="D12583" s="21"/>
    </row>
    <row r="12584" spans="1:4" ht="12.75" customHeight="1" x14ac:dyDescent="0.2">
      <c r="A12584" s="20"/>
      <c r="B12584" s="2"/>
      <c r="C12584" s="7"/>
      <c r="D12584" s="7"/>
    </row>
    <row r="12585" spans="1:4" ht="12.75" customHeight="1" x14ac:dyDescent="0.2">
      <c r="A12585" s="21"/>
      <c r="B12585" s="3" t="s">
        <v>0</v>
      </c>
      <c r="C12585" s="23" t="s">
        <v>190</v>
      </c>
      <c r="D12585" s="21"/>
    </row>
    <row r="12586" spans="1:4" ht="12.75" customHeight="1" x14ac:dyDescent="0.2">
      <c r="A12586" s="21"/>
      <c r="B12586" s="3" t="s">
        <v>2</v>
      </c>
      <c r="C12586" s="23"/>
      <c r="D12586" s="21"/>
    </row>
    <row r="12587" spans="1:4" ht="12.75" customHeight="1" x14ac:dyDescent="0.2">
      <c r="A12587" s="21"/>
      <c r="B12587" s="3" t="s">
        <v>1840</v>
      </c>
      <c r="C12587" s="23" t="s">
        <v>1385</v>
      </c>
      <c r="D12587" s="21"/>
    </row>
    <row r="12588" spans="1:4" ht="12.75" customHeight="1" x14ac:dyDescent="0.2">
      <c r="A12588" s="21"/>
      <c r="B12588" s="3" t="s">
        <v>9</v>
      </c>
      <c r="C12588" s="23" t="s">
        <v>2273</v>
      </c>
      <c r="D12588" s="21"/>
    </row>
    <row r="12589" spans="1:4" ht="12.75" customHeight="1" x14ac:dyDescent="0.2">
      <c r="A12589" s="21"/>
      <c r="B12589" s="3" t="s">
        <v>11</v>
      </c>
      <c r="C12589" s="23" t="s">
        <v>1090</v>
      </c>
      <c r="D12589" s="21"/>
    </row>
    <row r="12590" spans="1:4" ht="12.75" customHeight="1" x14ac:dyDescent="0.2">
      <c r="A12590" s="21"/>
      <c r="B12590" s="3" t="s">
        <v>16</v>
      </c>
      <c r="C12590" s="23"/>
      <c r="D12590" s="21"/>
    </row>
    <row r="12591" spans="1:4" ht="12.75" customHeight="1" x14ac:dyDescent="0.2">
      <c r="A12591" s="21"/>
      <c r="B12591" s="3" t="s">
        <v>17</v>
      </c>
      <c r="C12591" s="23" t="s">
        <v>19</v>
      </c>
      <c r="D12591" s="21"/>
    </row>
    <row r="12592" spans="1:4" ht="12.75" customHeight="1" x14ac:dyDescent="0.2">
      <c r="A12592" s="21"/>
      <c r="B12592" s="20" t="s">
        <v>18</v>
      </c>
      <c r="C12592" s="8" t="s">
        <v>44</v>
      </c>
      <c r="D12592" s="1" t="str">
        <f>HYPERLINK("javascript:void(0)","wendír manasisak")</f>
        <v>wendír manasisak</v>
      </c>
    </row>
    <row r="12593" spans="1:4" ht="12.75" customHeight="1" x14ac:dyDescent="0.2">
      <c r="A12593" s="21"/>
      <c r="B12593" s="21"/>
      <c r="C12593" s="8" t="s">
        <v>132</v>
      </c>
      <c r="D12593" s="1" t="str">
        <f>HYPERLINK("javascript:void(0)","mogorv")</f>
        <v>mogorv</v>
      </c>
    </row>
    <row r="12594" spans="1:4" ht="12.75" customHeight="1" x14ac:dyDescent="0.2">
      <c r="A12594" s="21"/>
      <c r="B12594" s="21"/>
      <c r="C12594" s="8" t="s">
        <v>139</v>
      </c>
      <c r="D12594" s="1" t="str">
        <f>HYPERLINK("javascript:void(0)","hídpenge")</f>
        <v>hídpenge</v>
      </c>
    </row>
    <row r="12595" spans="1:4" ht="12.75" customHeight="1" x14ac:dyDescent="0.2">
      <c r="A12595" s="21"/>
      <c r="B12595" s="2"/>
      <c r="C12595" s="7"/>
      <c r="D12595" s="7"/>
    </row>
    <row r="12596" spans="1:4" ht="12.75" customHeight="1" x14ac:dyDescent="0.2">
      <c r="A12596" s="21"/>
      <c r="B12596" s="2"/>
      <c r="C12596" s="7"/>
      <c r="D12596" s="7"/>
    </row>
    <row r="12597" spans="1:4" ht="12.75" customHeight="1" x14ac:dyDescent="0.2">
      <c r="A12597" s="21"/>
      <c r="B12597" s="2"/>
      <c r="C12597" s="7"/>
      <c r="D12597" s="7"/>
    </row>
    <row r="12598" spans="1:4" ht="12.75" customHeight="1" x14ac:dyDescent="0.2">
      <c r="A12598" s="21"/>
      <c r="B12598" s="2"/>
      <c r="C12598" s="7"/>
      <c r="D12598" s="7"/>
    </row>
    <row r="12599" spans="1:4" ht="12.75" customHeight="1" x14ac:dyDescent="0.2">
      <c r="A12599" s="5"/>
      <c r="B12599" s="2"/>
      <c r="C12599" s="7"/>
      <c r="D12599" s="7"/>
    </row>
    <row r="12600" spans="1:4" ht="12.75" customHeight="1" x14ac:dyDescent="0.2">
      <c r="A12600" s="22" t="str">
        <f>HYPERLINK("javascript:void(0)","thordi manafejpánt")</f>
        <v>thordi manafejpánt</v>
      </c>
      <c r="B12600" s="21"/>
      <c r="C12600" s="21"/>
      <c r="D12600" s="21"/>
    </row>
    <row r="12601" spans="1:4" ht="12.75" customHeight="1" x14ac:dyDescent="0.2">
      <c r="A12601" s="20"/>
      <c r="B12601" s="2"/>
      <c r="C12601" s="7"/>
      <c r="D12601" s="7"/>
    </row>
    <row r="12602" spans="1:4" ht="12.75" customHeight="1" x14ac:dyDescent="0.2">
      <c r="A12602" s="21"/>
      <c r="B12602" s="3" t="s">
        <v>0</v>
      </c>
      <c r="C12602" s="23" t="s">
        <v>190</v>
      </c>
      <c r="D12602" s="21"/>
    </row>
    <row r="12603" spans="1:4" ht="12.75" customHeight="1" x14ac:dyDescent="0.2">
      <c r="A12603" s="21"/>
      <c r="B12603" s="3" t="s">
        <v>2</v>
      </c>
      <c r="C12603" s="23"/>
      <c r="D12603" s="21"/>
    </row>
    <row r="12604" spans="1:4" ht="12.75" customHeight="1" x14ac:dyDescent="0.2">
      <c r="A12604" s="21"/>
      <c r="B12604" s="3" t="s">
        <v>1840</v>
      </c>
      <c r="C12604" s="23" t="s">
        <v>151</v>
      </c>
      <c r="D12604" s="21"/>
    </row>
    <row r="12605" spans="1:4" ht="12.75" customHeight="1" x14ac:dyDescent="0.2">
      <c r="A12605" s="21"/>
      <c r="B12605" s="3" t="s">
        <v>9</v>
      </c>
      <c r="C12605" s="23" t="s">
        <v>1112</v>
      </c>
      <c r="D12605" s="21"/>
    </row>
    <row r="12606" spans="1:4" ht="12.75" customHeight="1" x14ac:dyDescent="0.2">
      <c r="A12606" s="21"/>
      <c r="B12606" s="3" t="s">
        <v>11</v>
      </c>
      <c r="C12606" s="23" t="s">
        <v>1090</v>
      </c>
      <c r="D12606" s="21"/>
    </row>
    <row r="12607" spans="1:4" ht="12.75" customHeight="1" x14ac:dyDescent="0.2">
      <c r="A12607" s="21"/>
      <c r="B12607" s="3" t="s">
        <v>16</v>
      </c>
      <c r="C12607" s="23"/>
      <c r="D12607" s="21"/>
    </row>
    <row r="12608" spans="1:4" ht="12.75" customHeight="1" x14ac:dyDescent="0.2">
      <c r="A12608" s="21"/>
      <c r="B12608" s="3" t="s">
        <v>17</v>
      </c>
      <c r="C12608" s="23" t="s">
        <v>19</v>
      </c>
      <c r="D12608" s="21"/>
    </row>
    <row r="12609" spans="1:4" ht="12.75" customHeight="1" x14ac:dyDescent="0.2">
      <c r="A12609" s="21"/>
      <c r="B12609" s="20" t="s">
        <v>18</v>
      </c>
      <c r="C12609" s="8" t="s">
        <v>780</v>
      </c>
      <c r="D12609" s="1" t="str">
        <f>HYPERLINK("javascript:void(0)","zanzahúr")</f>
        <v>zanzahúr</v>
      </c>
    </row>
    <row r="12610" spans="1:4" ht="12.75" customHeight="1" x14ac:dyDescent="0.2">
      <c r="A12610" s="21"/>
      <c r="B12610" s="21"/>
      <c r="C12610" s="8" t="s">
        <v>44</v>
      </c>
      <c r="D12610" s="1" t="str">
        <f>HYPERLINK("javascript:void(0)","wendír manafejpánt")</f>
        <v>wendír manafejpánt</v>
      </c>
    </row>
    <row r="12611" spans="1:4" ht="12.75" customHeight="1" x14ac:dyDescent="0.2">
      <c r="A12611" s="21"/>
      <c r="B12611" s="21"/>
      <c r="C12611" s="8" t="s">
        <v>780</v>
      </c>
      <c r="D12611" s="1" t="str">
        <f>HYPERLINK("javascript:void(0)","pillepikkely")</f>
        <v>pillepikkely</v>
      </c>
    </row>
    <row r="12612" spans="1:4" ht="12.75" customHeight="1" x14ac:dyDescent="0.2">
      <c r="A12612" s="21"/>
      <c r="B12612" s="2"/>
      <c r="C12612" s="7"/>
      <c r="D12612" s="7"/>
    </row>
    <row r="12613" spans="1:4" ht="12.75" customHeight="1" x14ac:dyDescent="0.2">
      <c r="A12613" s="21"/>
      <c r="B12613" s="2"/>
      <c r="C12613" s="7"/>
      <c r="D12613" s="7"/>
    </row>
    <row r="12614" spans="1:4" ht="12.75" customHeight="1" x14ac:dyDescent="0.2">
      <c r="A12614" s="21"/>
      <c r="B12614" s="2"/>
      <c r="C12614" s="7"/>
      <c r="D12614" s="7"/>
    </row>
    <row r="12615" spans="1:4" ht="12.75" customHeight="1" x14ac:dyDescent="0.2">
      <c r="A12615" s="21"/>
      <c r="B12615" s="2"/>
      <c r="C12615" s="7"/>
      <c r="D12615" s="7"/>
    </row>
    <row r="12616" spans="1:4" ht="12.75" customHeight="1" x14ac:dyDescent="0.2">
      <c r="A12616" s="5"/>
      <c r="B12616" s="2"/>
      <c r="C12616" s="7"/>
      <c r="D12616" s="7"/>
    </row>
    <row r="12617" spans="1:4" ht="12.75" customHeight="1" x14ac:dyDescent="0.2">
      <c r="A12617" s="22" t="str">
        <f>HYPERLINK("javascript:void(0)","csillámló buborékpajzs")</f>
        <v>csillámló buborékpajzs</v>
      </c>
      <c r="B12617" s="21"/>
      <c r="C12617" s="21"/>
      <c r="D12617" s="21"/>
    </row>
    <row r="12618" spans="1:4" ht="12.75" customHeight="1" x14ac:dyDescent="0.2">
      <c r="A12618" s="20"/>
      <c r="B12618" s="2"/>
      <c r="C12618" s="7"/>
      <c r="D12618" s="7"/>
    </row>
    <row r="12619" spans="1:4" ht="12.75" customHeight="1" x14ac:dyDescent="0.2">
      <c r="A12619" s="21"/>
      <c r="B12619" s="3" t="s">
        <v>0</v>
      </c>
      <c r="C12619" s="23" t="s">
        <v>190</v>
      </c>
      <c r="D12619" s="21"/>
    </row>
    <row r="12620" spans="1:4" ht="12.75" customHeight="1" x14ac:dyDescent="0.2">
      <c r="A12620" s="21"/>
      <c r="B12620" s="3" t="s">
        <v>2</v>
      </c>
      <c r="C12620" s="23" t="s">
        <v>1839</v>
      </c>
      <c r="D12620" s="21"/>
    </row>
    <row r="12621" spans="1:4" ht="12.75" customHeight="1" x14ac:dyDescent="0.2">
      <c r="A12621" s="21"/>
      <c r="B12621" s="3" t="s">
        <v>1840</v>
      </c>
      <c r="C12621" s="23" t="s">
        <v>2163</v>
      </c>
      <c r="D12621" s="21"/>
    </row>
    <row r="12622" spans="1:4" ht="12.75" customHeight="1" x14ac:dyDescent="0.2">
      <c r="A12622" s="21"/>
      <c r="B12622" s="3" t="s">
        <v>9</v>
      </c>
      <c r="C12622" s="23" t="s">
        <v>2360</v>
      </c>
      <c r="D12622" s="21"/>
    </row>
    <row r="12623" spans="1:4" ht="12.75" customHeight="1" x14ac:dyDescent="0.2">
      <c r="A12623" s="21"/>
      <c r="B12623" s="3" t="s">
        <v>11</v>
      </c>
      <c r="C12623" s="23" t="s">
        <v>1674</v>
      </c>
      <c r="D12623" s="21"/>
    </row>
    <row r="12624" spans="1:4" ht="12.75" customHeight="1" x14ac:dyDescent="0.2">
      <c r="A12624" s="21"/>
      <c r="B12624" s="3" t="s">
        <v>16</v>
      </c>
      <c r="C12624" s="23"/>
      <c r="D12624" s="21"/>
    </row>
    <row r="12625" spans="1:4" ht="12.75" customHeight="1" x14ac:dyDescent="0.2">
      <c r="A12625" s="21"/>
      <c r="B12625" s="3" t="s">
        <v>17</v>
      </c>
      <c r="C12625" s="23" t="s">
        <v>19</v>
      </c>
      <c r="D12625" s="21"/>
    </row>
    <row r="12626" spans="1:4" ht="12.75" customHeight="1" x14ac:dyDescent="0.2">
      <c r="A12626" s="21"/>
      <c r="B12626" s="20" t="s">
        <v>18</v>
      </c>
      <c r="C12626" s="8" t="s">
        <v>57</v>
      </c>
      <c r="D12626" s="1" t="str">
        <f>HYPERLINK("javascript:void(0)","csillámgöb")</f>
        <v>csillámgöb</v>
      </c>
    </row>
    <row r="12627" spans="1:4" ht="12.75" customHeight="1" x14ac:dyDescent="0.2">
      <c r="A12627" s="21"/>
      <c r="B12627" s="21"/>
      <c r="C12627" s="8" t="s">
        <v>44</v>
      </c>
      <c r="D12627" s="1" t="str">
        <f>HYPERLINK("javascript:void(0)","csillámló hegyipajzs")</f>
        <v>csillámló hegyipajzs</v>
      </c>
    </row>
    <row r="12628" spans="1:4" ht="12.75" customHeight="1" x14ac:dyDescent="0.2">
      <c r="A12628" s="21"/>
      <c r="B12628" s="21"/>
      <c r="C12628" s="8" t="s">
        <v>382</v>
      </c>
      <c r="D12628" s="1" t="str">
        <f>HYPERLINK("javascript:void(0)","légzsák")</f>
        <v>légzsák</v>
      </c>
    </row>
    <row r="12629" spans="1:4" ht="12.75" customHeight="1" x14ac:dyDescent="0.2">
      <c r="A12629" s="21"/>
      <c r="B12629" s="2"/>
      <c r="C12629" s="7"/>
      <c r="D12629" s="7"/>
    </row>
    <row r="12630" spans="1:4" ht="12.75" customHeight="1" x14ac:dyDescent="0.2">
      <c r="A12630" s="21"/>
      <c r="B12630" s="2"/>
      <c r="C12630" s="7"/>
      <c r="D12630" s="7"/>
    </row>
    <row r="12631" spans="1:4" ht="12.75" customHeight="1" x14ac:dyDescent="0.2">
      <c r="A12631" s="21"/>
      <c r="B12631" s="2"/>
      <c r="C12631" s="7"/>
      <c r="D12631" s="7"/>
    </row>
    <row r="12632" spans="1:4" ht="12.75" customHeight="1" x14ac:dyDescent="0.2">
      <c r="A12632" s="21"/>
      <c r="B12632" s="2"/>
      <c r="C12632" s="7"/>
      <c r="D12632" s="7"/>
    </row>
    <row r="12633" spans="1:4" ht="12.75" customHeight="1" x14ac:dyDescent="0.2">
      <c r="A12633" s="5"/>
      <c r="B12633" s="2"/>
      <c r="C12633" s="7"/>
      <c r="D12633" s="7"/>
    </row>
    <row r="12634" spans="1:4" ht="12.75" customHeight="1" x14ac:dyDescent="0.2">
      <c r="A12634" s="22" t="str">
        <f>HYPERLINK("javascript:void(0)","csillámló légcipő")</f>
        <v>csillámló légcipő</v>
      </c>
      <c r="B12634" s="21"/>
      <c r="C12634" s="21"/>
      <c r="D12634" s="21"/>
    </row>
    <row r="12635" spans="1:4" ht="12.75" customHeight="1" x14ac:dyDescent="0.2">
      <c r="A12635" s="20"/>
      <c r="B12635" s="2"/>
      <c r="C12635" s="7"/>
      <c r="D12635" s="7"/>
    </row>
    <row r="12636" spans="1:4" ht="12.75" customHeight="1" x14ac:dyDescent="0.2">
      <c r="A12636" s="21"/>
      <c r="B12636" s="3" t="s">
        <v>0</v>
      </c>
      <c r="C12636" s="23" t="s">
        <v>190</v>
      </c>
      <c r="D12636" s="21"/>
    </row>
    <row r="12637" spans="1:4" ht="12.75" customHeight="1" x14ac:dyDescent="0.2">
      <c r="A12637" s="21"/>
      <c r="B12637" s="3" t="s">
        <v>2</v>
      </c>
      <c r="C12637" s="23"/>
      <c r="D12637" s="21"/>
    </row>
    <row r="12638" spans="1:4" ht="12.75" customHeight="1" x14ac:dyDescent="0.2">
      <c r="A12638" s="21"/>
      <c r="B12638" s="3" t="s">
        <v>1840</v>
      </c>
      <c r="C12638" s="23" t="s">
        <v>2137</v>
      </c>
      <c r="D12638" s="21"/>
    </row>
    <row r="12639" spans="1:4" ht="12.75" customHeight="1" x14ac:dyDescent="0.2">
      <c r="A12639" s="21"/>
      <c r="B12639" s="3" t="s">
        <v>9</v>
      </c>
      <c r="C12639" s="23" t="s">
        <v>172</v>
      </c>
      <c r="D12639" s="21"/>
    </row>
    <row r="12640" spans="1:4" ht="12.75" customHeight="1" x14ac:dyDescent="0.2">
      <c r="A12640" s="21"/>
      <c r="B12640" s="3" t="s">
        <v>11</v>
      </c>
      <c r="C12640" s="23" t="s">
        <v>1216</v>
      </c>
      <c r="D12640" s="21"/>
    </row>
    <row r="12641" spans="1:4" ht="12.75" customHeight="1" x14ac:dyDescent="0.2">
      <c r="A12641" s="21"/>
      <c r="B12641" s="3" t="s">
        <v>16</v>
      </c>
      <c r="C12641" s="23"/>
      <c r="D12641" s="21"/>
    </row>
    <row r="12642" spans="1:4" ht="12.75" customHeight="1" x14ac:dyDescent="0.2">
      <c r="A12642" s="21"/>
      <c r="B12642" s="3" t="s">
        <v>17</v>
      </c>
      <c r="C12642" s="23" t="s">
        <v>19</v>
      </c>
      <c r="D12642" s="21"/>
    </row>
    <row r="12643" spans="1:4" ht="12.75" customHeight="1" x14ac:dyDescent="0.2">
      <c r="A12643" s="21"/>
      <c r="B12643" s="20" t="s">
        <v>18</v>
      </c>
      <c r="C12643" s="8" t="s">
        <v>57</v>
      </c>
      <c r="D12643" s="1" t="str">
        <f>HYPERLINK("javascript:void(0)","csillámgöb")</f>
        <v>csillámgöb</v>
      </c>
    </row>
    <row r="12644" spans="1:4" ht="12.75" customHeight="1" x14ac:dyDescent="0.2">
      <c r="A12644" s="21"/>
      <c r="B12644" s="21"/>
      <c r="C12644" s="8" t="s">
        <v>44</v>
      </c>
      <c r="D12644" s="1" t="str">
        <f>HYPERLINK("javascript:void(0)","csillámló hegylépő")</f>
        <v>csillámló hegylépő</v>
      </c>
    </row>
    <row r="12645" spans="1:4" ht="12.75" customHeight="1" x14ac:dyDescent="0.2">
      <c r="A12645" s="21"/>
      <c r="B12645" s="21"/>
      <c r="C12645" s="8" t="s">
        <v>772</v>
      </c>
      <c r="D12645" s="1" t="str">
        <f>HYPERLINK("javascript:void(0)","légige")</f>
        <v>légige</v>
      </c>
    </row>
    <row r="12646" spans="1:4" ht="12.75" customHeight="1" x14ac:dyDescent="0.2">
      <c r="A12646" s="21"/>
      <c r="B12646" s="2"/>
      <c r="C12646" s="7"/>
      <c r="D12646" s="7"/>
    </row>
    <row r="12647" spans="1:4" ht="12.75" customHeight="1" x14ac:dyDescent="0.2">
      <c r="A12647" s="21"/>
      <c r="B12647" s="2"/>
      <c r="C12647" s="7"/>
      <c r="D12647" s="7"/>
    </row>
    <row r="12648" spans="1:4" ht="12.75" customHeight="1" x14ac:dyDescent="0.2">
      <c r="A12648" s="21"/>
      <c r="B12648" s="2"/>
      <c r="C12648" s="7"/>
      <c r="D12648" s="7"/>
    </row>
    <row r="12649" spans="1:4" ht="12.75" customHeight="1" x14ac:dyDescent="0.2">
      <c r="A12649" s="21"/>
      <c r="B12649" s="2"/>
      <c r="C12649" s="7"/>
      <c r="D12649" s="7"/>
    </row>
    <row r="12650" spans="1:4" ht="12.75" customHeight="1" x14ac:dyDescent="0.2">
      <c r="A12650" s="5"/>
      <c r="B12650" s="2"/>
      <c r="C12650" s="7"/>
      <c r="D12650" s="7"/>
    </row>
    <row r="12651" spans="1:4" ht="12.75" customHeight="1" x14ac:dyDescent="0.2">
      <c r="A12651" s="22" t="str">
        <f>HYPERLINK("javascript:void(0)","csillámos villámsisak")</f>
        <v>csillámos villámsisak</v>
      </c>
      <c r="B12651" s="21"/>
      <c r="C12651" s="21"/>
      <c r="D12651" s="21"/>
    </row>
    <row r="12652" spans="1:4" ht="12.75" customHeight="1" x14ac:dyDescent="0.2">
      <c r="A12652" s="20"/>
      <c r="B12652" s="2"/>
      <c r="C12652" s="7"/>
      <c r="D12652" s="7"/>
    </row>
    <row r="12653" spans="1:4" ht="12.75" customHeight="1" x14ac:dyDescent="0.2">
      <c r="A12653" s="21"/>
      <c r="B12653" s="3" t="s">
        <v>0</v>
      </c>
      <c r="C12653" s="23" t="s">
        <v>190</v>
      </c>
      <c r="D12653" s="21"/>
    </row>
    <row r="12654" spans="1:4" ht="12.75" customHeight="1" x14ac:dyDescent="0.2">
      <c r="A12654" s="21"/>
      <c r="B12654" s="3" t="s">
        <v>2</v>
      </c>
      <c r="C12654" s="23"/>
      <c r="D12654" s="21"/>
    </row>
    <row r="12655" spans="1:4" ht="12.75" customHeight="1" x14ac:dyDescent="0.2">
      <c r="A12655" s="21"/>
      <c r="B12655" s="3" t="s">
        <v>1840</v>
      </c>
      <c r="C12655" s="23" t="s">
        <v>2778</v>
      </c>
      <c r="D12655" s="21"/>
    </row>
    <row r="12656" spans="1:4" ht="12.75" customHeight="1" x14ac:dyDescent="0.2">
      <c r="A12656" s="21"/>
      <c r="B12656" s="3" t="s">
        <v>9</v>
      </c>
      <c r="C12656" s="23" t="s">
        <v>962</v>
      </c>
      <c r="D12656" s="21"/>
    </row>
    <row r="12657" spans="1:4" ht="12.75" customHeight="1" x14ac:dyDescent="0.2">
      <c r="A12657" s="21"/>
      <c r="B12657" s="3" t="s">
        <v>11</v>
      </c>
      <c r="C12657" s="23" t="s">
        <v>1560</v>
      </c>
      <c r="D12657" s="21"/>
    </row>
    <row r="12658" spans="1:4" ht="12.75" customHeight="1" x14ac:dyDescent="0.2">
      <c r="A12658" s="21"/>
      <c r="B12658" s="3" t="s">
        <v>16</v>
      </c>
      <c r="C12658" s="23"/>
      <c r="D12658" s="21"/>
    </row>
    <row r="12659" spans="1:4" ht="12.75" customHeight="1" x14ac:dyDescent="0.2">
      <c r="A12659" s="21"/>
      <c r="B12659" s="3" t="s">
        <v>17</v>
      </c>
      <c r="C12659" s="23" t="s">
        <v>19</v>
      </c>
      <c r="D12659" s="21"/>
    </row>
    <row r="12660" spans="1:4" ht="12.75" customHeight="1" x14ac:dyDescent="0.2">
      <c r="A12660" s="21"/>
      <c r="B12660" s="20" t="s">
        <v>18</v>
      </c>
      <c r="C12660" s="8" t="s">
        <v>57</v>
      </c>
      <c r="D12660" s="1" t="str">
        <f>HYPERLINK("javascript:void(0)","csillámgöb")</f>
        <v>csillámgöb</v>
      </c>
    </row>
    <row r="12661" spans="1:4" ht="25.5" customHeight="1" x14ac:dyDescent="0.2">
      <c r="A12661" s="21"/>
      <c r="B12661" s="21"/>
      <c r="C12661" s="8" t="s">
        <v>44</v>
      </c>
      <c r="D12661" s="1" t="str">
        <f>HYPERLINK("javascript:void(0)","csillámos sziklasisak")</f>
        <v>csillámos sziklasisak</v>
      </c>
    </row>
    <row r="12662" spans="1:4" ht="12.75" customHeight="1" x14ac:dyDescent="0.2">
      <c r="A12662" s="21"/>
      <c r="B12662" s="21"/>
      <c r="C12662" s="8" t="s">
        <v>309</v>
      </c>
      <c r="D12662" s="1" t="str">
        <f>HYPERLINK("javascript:void(0)","varázsige")</f>
        <v>varázsige</v>
      </c>
    </row>
    <row r="12663" spans="1:4" ht="12.75" customHeight="1" x14ac:dyDescent="0.2">
      <c r="A12663" s="21"/>
      <c r="B12663" s="2"/>
      <c r="C12663" s="7"/>
      <c r="D12663" s="7"/>
    </row>
    <row r="12664" spans="1:4" ht="12.75" customHeight="1" x14ac:dyDescent="0.2">
      <c r="A12664" s="21"/>
      <c r="B12664" s="2"/>
      <c r="C12664" s="7"/>
      <c r="D12664" s="7"/>
    </row>
    <row r="12665" spans="1:4" ht="12.75" customHeight="1" x14ac:dyDescent="0.2">
      <c r="A12665" s="21"/>
      <c r="B12665" s="2"/>
      <c r="C12665" s="7"/>
      <c r="D12665" s="7"/>
    </row>
    <row r="12666" spans="1:4" ht="12.75" customHeight="1" x14ac:dyDescent="0.2">
      <c r="A12666" s="21"/>
      <c r="B12666" s="2"/>
      <c r="C12666" s="7"/>
      <c r="D12666" s="7"/>
    </row>
    <row r="12667" spans="1:4" ht="12.75" customHeight="1" x14ac:dyDescent="0.2">
      <c r="A12667" s="5"/>
      <c r="B12667" s="2"/>
      <c r="C12667" s="7"/>
      <c r="D12667" s="7"/>
    </row>
    <row r="12668" spans="1:4" ht="12.75" customHeight="1" x14ac:dyDescent="0.2">
      <c r="A12668" s="22" t="str">
        <f>HYPERLINK("javascript:void(0)","csillámos légvért")</f>
        <v>csillámos légvért</v>
      </c>
      <c r="B12668" s="21"/>
      <c r="C12668" s="21"/>
      <c r="D12668" s="21"/>
    </row>
    <row r="12669" spans="1:4" ht="12.75" customHeight="1" x14ac:dyDescent="0.2">
      <c r="A12669" s="20"/>
      <c r="B12669" s="2"/>
      <c r="C12669" s="7"/>
      <c r="D12669" s="7"/>
    </row>
    <row r="12670" spans="1:4" ht="12.75" customHeight="1" x14ac:dyDescent="0.2">
      <c r="A12670" s="21"/>
      <c r="B12670" s="3" t="s">
        <v>0</v>
      </c>
      <c r="C12670" s="23" t="s">
        <v>190</v>
      </c>
      <c r="D12670" s="21"/>
    </row>
    <row r="12671" spans="1:4" ht="12.75" customHeight="1" x14ac:dyDescent="0.2">
      <c r="A12671" s="21"/>
      <c r="B12671" s="3" t="s">
        <v>2</v>
      </c>
      <c r="C12671" s="23" t="s">
        <v>2322</v>
      </c>
      <c r="D12671" s="21"/>
    </row>
    <row r="12672" spans="1:4" ht="12.75" customHeight="1" x14ac:dyDescent="0.2">
      <c r="A12672" s="21"/>
      <c r="B12672" s="3" t="s">
        <v>1840</v>
      </c>
      <c r="C12672" s="23" t="s">
        <v>641</v>
      </c>
      <c r="D12672" s="21"/>
    </row>
    <row r="12673" spans="1:4" ht="12.75" customHeight="1" x14ac:dyDescent="0.2">
      <c r="A12673" s="21"/>
      <c r="B12673" s="3" t="s">
        <v>9</v>
      </c>
      <c r="C12673" s="23" t="s">
        <v>1286</v>
      </c>
      <c r="D12673" s="21"/>
    </row>
    <row r="12674" spans="1:4" ht="12.75" customHeight="1" x14ac:dyDescent="0.2">
      <c r="A12674" s="21"/>
      <c r="B12674" s="3" t="s">
        <v>11</v>
      </c>
      <c r="C12674" s="23" t="s">
        <v>1560</v>
      </c>
      <c r="D12674" s="21"/>
    </row>
    <row r="12675" spans="1:4" ht="12.75" customHeight="1" x14ac:dyDescent="0.2">
      <c r="A12675" s="21"/>
      <c r="B12675" s="3" t="s">
        <v>16</v>
      </c>
      <c r="C12675" s="23"/>
      <c r="D12675" s="21"/>
    </row>
    <row r="12676" spans="1:4" ht="12.75" customHeight="1" x14ac:dyDescent="0.2">
      <c r="A12676" s="21"/>
      <c r="B12676" s="3" t="s">
        <v>17</v>
      </c>
      <c r="C12676" s="23" t="s">
        <v>19</v>
      </c>
      <c r="D12676" s="21"/>
    </row>
    <row r="12677" spans="1:4" ht="12.75" customHeight="1" x14ac:dyDescent="0.2">
      <c r="A12677" s="21"/>
      <c r="B12677" s="20" t="s">
        <v>18</v>
      </c>
      <c r="C12677" s="8" t="s">
        <v>57</v>
      </c>
      <c r="D12677" s="1" t="str">
        <f>HYPERLINK("javascript:void(0)","csillámgöb")</f>
        <v>csillámgöb</v>
      </c>
    </row>
    <row r="12678" spans="1:4" ht="25.5" customHeight="1" x14ac:dyDescent="0.2">
      <c r="A12678" s="21"/>
      <c r="B12678" s="21"/>
      <c r="C12678" s="8" t="s">
        <v>44</v>
      </c>
      <c r="D12678" s="1" t="str">
        <f>HYPERLINK("javascript:void(0)","csillámló sziklapáncél")</f>
        <v>csillámló sziklapáncél</v>
      </c>
    </row>
    <row r="12679" spans="1:4" ht="12.75" customHeight="1" x14ac:dyDescent="0.2">
      <c r="A12679" s="21"/>
      <c r="B12679" s="21"/>
      <c r="C12679" s="8" t="s">
        <v>756</v>
      </c>
      <c r="D12679" s="1" t="str">
        <f>HYPERLINK("javascript:void(0)","spiritusz")</f>
        <v>spiritusz</v>
      </c>
    </row>
    <row r="12680" spans="1:4" ht="12.75" customHeight="1" x14ac:dyDescent="0.2">
      <c r="A12680" s="21"/>
      <c r="B12680" s="2"/>
      <c r="C12680" s="7"/>
      <c r="D12680" s="7"/>
    </row>
    <row r="12681" spans="1:4" ht="12.75" customHeight="1" x14ac:dyDescent="0.2">
      <c r="A12681" s="21"/>
      <c r="B12681" s="2"/>
      <c r="C12681" s="7"/>
      <c r="D12681" s="7"/>
    </row>
    <row r="12682" spans="1:4" ht="12.75" customHeight="1" x14ac:dyDescent="0.2">
      <c r="A12682" s="21"/>
      <c r="B12682" s="2"/>
      <c r="C12682" s="7"/>
      <c r="D12682" s="7"/>
    </row>
    <row r="12683" spans="1:4" ht="12.75" customHeight="1" x14ac:dyDescent="0.2">
      <c r="A12683" s="21"/>
      <c r="B12683" s="2"/>
      <c r="C12683" s="7"/>
      <c r="D12683" s="7"/>
    </row>
    <row r="12684" spans="1:4" ht="12.75" customHeight="1" x14ac:dyDescent="0.2">
      <c r="A12684" s="5"/>
      <c r="B12684" s="2"/>
      <c r="C12684" s="7"/>
      <c r="D12684" s="7"/>
    </row>
    <row r="12685" spans="1:4" ht="12.75" customHeight="1" x14ac:dyDescent="0.2">
      <c r="A12685" s="22" t="str">
        <f>HYPERLINK("javascript:void(0)","üvegmellvéd")</f>
        <v>üvegmellvéd</v>
      </c>
      <c r="B12685" s="21"/>
      <c r="C12685" s="21"/>
      <c r="D12685" s="21"/>
    </row>
    <row r="12686" spans="1:4" ht="12.75" customHeight="1" x14ac:dyDescent="0.2">
      <c r="A12686" s="20"/>
      <c r="B12686" s="2"/>
      <c r="C12686" s="7"/>
      <c r="D12686" s="7"/>
    </row>
    <row r="12687" spans="1:4" ht="12.75" customHeight="1" x14ac:dyDescent="0.2">
      <c r="A12687" s="21"/>
      <c r="B12687" s="3" t="s">
        <v>0</v>
      </c>
      <c r="C12687" s="23" t="s">
        <v>953</v>
      </c>
      <c r="D12687" s="21"/>
    </row>
    <row r="12688" spans="1:4" ht="12.75" customHeight="1" x14ac:dyDescent="0.2">
      <c r="A12688" s="21"/>
      <c r="B12688" s="3" t="s">
        <v>2</v>
      </c>
      <c r="C12688" s="23" t="s">
        <v>2322</v>
      </c>
      <c r="D12688" s="21"/>
    </row>
    <row r="12689" spans="1:4" ht="12.75" customHeight="1" x14ac:dyDescent="0.2">
      <c r="A12689" s="21"/>
      <c r="B12689" s="3" t="s">
        <v>1840</v>
      </c>
      <c r="C12689" s="23" t="s">
        <v>338</v>
      </c>
      <c r="D12689" s="21"/>
    </row>
    <row r="12690" spans="1:4" ht="12.75" customHeight="1" x14ac:dyDescent="0.2">
      <c r="A12690" s="21"/>
      <c r="B12690" s="3" t="s">
        <v>9</v>
      </c>
      <c r="C12690" s="23" t="s">
        <v>2455</v>
      </c>
      <c r="D12690" s="21"/>
    </row>
    <row r="12691" spans="1:4" ht="12.75" customHeight="1" x14ac:dyDescent="0.2">
      <c r="A12691" s="21"/>
      <c r="B12691" s="3" t="s">
        <v>11</v>
      </c>
      <c r="C12691" s="23" t="s">
        <v>1477</v>
      </c>
      <c r="D12691" s="21"/>
    </row>
    <row r="12692" spans="1:4" ht="12.75" customHeight="1" x14ac:dyDescent="0.2">
      <c r="A12692" s="21"/>
      <c r="B12692" s="3" t="s">
        <v>16</v>
      </c>
      <c r="C12692" s="23"/>
      <c r="D12692" s="21"/>
    </row>
    <row r="12693" spans="1:4" ht="12.75" customHeight="1" x14ac:dyDescent="0.2">
      <c r="A12693" s="21"/>
      <c r="B12693" s="3" t="s">
        <v>17</v>
      </c>
      <c r="C12693" s="23" t="s">
        <v>19</v>
      </c>
      <c r="D12693" s="21"/>
    </row>
    <row r="12694" spans="1:4" ht="12.75" customHeight="1" x14ac:dyDescent="0.2">
      <c r="A12694" s="21"/>
      <c r="B12694" s="20" t="s">
        <v>18</v>
      </c>
      <c r="C12694" s="8" t="s">
        <v>44</v>
      </c>
      <c r="D12694" s="1" t="str">
        <f>HYPERLINK("javascript:void(0)","teljes pálhavért")</f>
        <v>teljes pálhavért</v>
      </c>
    </row>
    <row r="12695" spans="1:4" ht="12.75" customHeight="1" x14ac:dyDescent="0.2">
      <c r="A12695" s="21"/>
      <c r="B12695" s="21"/>
      <c r="C12695" s="8" t="s">
        <v>98</v>
      </c>
      <c r="D12695" s="1" t="str">
        <f>HYPERLINK("javascript:void(0)","cerka")</f>
        <v>cerka</v>
      </c>
    </row>
    <row r="12696" spans="1:4" ht="12.75" customHeight="1" x14ac:dyDescent="0.2">
      <c r="A12696" s="21"/>
      <c r="B12696" s="21"/>
      <c r="C12696" s="8" t="s">
        <v>331</v>
      </c>
      <c r="D12696" s="1" t="str">
        <f>HYPERLINK("javascript:void(0)","fiola")</f>
        <v>fiola</v>
      </c>
    </row>
    <row r="12697" spans="1:4" ht="12.75" customHeight="1" x14ac:dyDescent="0.2">
      <c r="A12697" s="21"/>
      <c r="B12697" s="2"/>
      <c r="C12697" s="7"/>
      <c r="D12697" s="7"/>
    </row>
    <row r="12698" spans="1:4" ht="12.75" customHeight="1" x14ac:dyDescent="0.2">
      <c r="A12698" s="21"/>
      <c r="B12698" s="2"/>
      <c r="C12698" s="7"/>
      <c r="D12698" s="7"/>
    </row>
    <row r="12699" spans="1:4" ht="12.75" customHeight="1" x14ac:dyDescent="0.2">
      <c r="A12699" s="21"/>
      <c r="B12699" s="2"/>
      <c r="C12699" s="7"/>
      <c r="D12699" s="7"/>
    </row>
    <row r="12700" spans="1:4" ht="12.75" customHeight="1" x14ac:dyDescent="0.2">
      <c r="A12700" s="21"/>
      <c r="B12700" s="2"/>
      <c r="C12700" s="7"/>
      <c r="D12700" s="7"/>
    </row>
    <row r="12701" spans="1:4" ht="12.75" customHeight="1" x14ac:dyDescent="0.2">
      <c r="A12701" s="5"/>
      <c r="B12701" s="2"/>
      <c r="C12701" s="7"/>
      <c r="D12701" s="7"/>
    </row>
    <row r="12702" spans="1:4" ht="12.75" customHeight="1" x14ac:dyDescent="0.2">
      <c r="A12702" s="22" t="str">
        <f>HYPERLINK("javascript:void(0)","óriásacél bascinet")</f>
        <v>óriásacél bascinet</v>
      </c>
      <c r="B12702" s="21"/>
      <c r="C12702" s="21"/>
      <c r="D12702" s="21"/>
    </row>
    <row r="12703" spans="1:4" ht="12.75" customHeight="1" x14ac:dyDescent="0.2">
      <c r="A12703" s="20"/>
      <c r="B12703" s="2"/>
      <c r="C12703" s="7"/>
      <c r="D12703" s="7"/>
    </row>
    <row r="12704" spans="1:4" ht="12.75" customHeight="1" x14ac:dyDescent="0.2">
      <c r="A12704" s="21"/>
      <c r="B12704" s="3" t="s">
        <v>0</v>
      </c>
      <c r="C12704" s="23" t="s">
        <v>953</v>
      </c>
      <c r="D12704" s="21"/>
    </row>
    <row r="12705" spans="1:4" ht="12.75" customHeight="1" x14ac:dyDescent="0.2">
      <c r="A12705" s="21"/>
      <c r="B12705" s="3" t="s">
        <v>2</v>
      </c>
      <c r="C12705" s="23"/>
      <c r="D12705" s="21"/>
    </row>
    <row r="12706" spans="1:4" ht="12.75" customHeight="1" x14ac:dyDescent="0.2">
      <c r="A12706" s="21"/>
      <c r="B12706" s="3" t="s">
        <v>1840</v>
      </c>
      <c r="C12706" s="23" t="s">
        <v>5077</v>
      </c>
      <c r="D12706" s="21"/>
    </row>
    <row r="12707" spans="1:4" ht="12.75" customHeight="1" x14ac:dyDescent="0.2">
      <c r="A12707" s="21"/>
      <c r="B12707" s="3" t="s">
        <v>9</v>
      </c>
      <c r="C12707" s="23" t="s">
        <v>1074</v>
      </c>
      <c r="D12707" s="21"/>
    </row>
    <row r="12708" spans="1:4" ht="12.75" customHeight="1" x14ac:dyDescent="0.2">
      <c r="A12708" s="21"/>
      <c r="B12708" s="3" t="s">
        <v>11</v>
      </c>
      <c r="C12708" s="23" t="s">
        <v>1477</v>
      </c>
      <c r="D12708" s="21"/>
    </row>
    <row r="12709" spans="1:4" ht="12.75" customHeight="1" x14ac:dyDescent="0.2">
      <c r="A12709" s="21"/>
      <c r="B12709" s="3" t="s">
        <v>16</v>
      </c>
      <c r="C12709" s="23"/>
      <c r="D12709" s="21"/>
    </row>
    <row r="12710" spans="1:4" ht="12.75" customHeight="1" x14ac:dyDescent="0.2">
      <c r="A12710" s="21"/>
      <c r="B12710" s="3" t="s">
        <v>17</v>
      </c>
      <c r="C12710" s="23" t="s">
        <v>19</v>
      </c>
      <c r="D12710" s="21"/>
    </row>
    <row r="12711" spans="1:4" ht="12.75" customHeight="1" x14ac:dyDescent="0.2">
      <c r="A12711" s="21"/>
      <c r="B12711" s="20" t="s">
        <v>18</v>
      </c>
      <c r="C12711" s="8" t="s">
        <v>44</v>
      </c>
      <c r="D12711" s="1" t="str">
        <f>HYPERLINK("javascript:void(0)","elfacél bascinet")</f>
        <v>elfacél bascinet</v>
      </c>
    </row>
    <row r="12712" spans="1:4" ht="12.75" customHeight="1" x14ac:dyDescent="0.2">
      <c r="A12712" s="21"/>
      <c r="B12712" s="21"/>
      <c r="C12712" s="8" t="s">
        <v>44</v>
      </c>
      <c r="D12712" s="1" t="str">
        <f>HYPERLINK("javascript:void(0)","óriásacél szemvédő")</f>
        <v>óriásacél szemvédő</v>
      </c>
    </row>
    <row r="12713" spans="1:4" ht="12.75" customHeight="1" x14ac:dyDescent="0.2">
      <c r="A12713" s="21"/>
      <c r="B12713" s="21"/>
      <c r="C12713" s="8" t="s">
        <v>44</v>
      </c>
      <c r="D12713" s="1" t="str">
        <f>HYPERLINK("javascript:void(0)","gorgósisak")</f>
        <v>gorgósisak</v>
      </c>
    </row>
    <row r="12714" spans="1:4" ht="12.75" customHeight="1" x14ac:dyDescent="0.2">
      <c r="A12714" s="21"/>
      <c r="B12714" s="2"/>
      <c r="C12714" s="7"/>
      <c r="D12714" s="7"/>
    </row>
    <row r="12715" spans="1:4" ht="12.75" customHeight="1" x14ac:dyDescent="0.2">
      <c r="A12715" s="21"/>
      <c r="B12715" s="2"/>
      <c r="C12715" s="7"/>
      <c r="D12715" s="7"/>
    </row>
    <row r="12716" spans="1:4" ht="12.75" customHeight="1" x14ac:dyDescent="0.2">
      <c r="A12716" s="21"/>
      <c r="B12716" s="2"/>
      <c r="C12716" s="7"/>
      <c r="D12716" s="7"/>
    </row>
    <row r="12717" spans="1:4" ht="12.75" customHeight="1" x14ac:dyDescent="0.2">
      <c r="A12717" s="21"/>
      <c r="B12717" s="2"/>
      <c r="C12717" s="7"/>
      <c r="D12717" s="7"/>
    </row>
    <row r="12718" spans="1:4" ht="12.75" customHeight="1" x14ac:dyDescent="0.2">
      <c r="A12718" s="5"/>
      <c r="B12718" s="2"/>
      <c r="C12718" s="7"/>
      <c r="D12718" s="7"/>
    </row>
    <row r="12719" spans="1:4" ht="12.75" customHeight="1" x14ac:dyDescent="0.2">
      <c r="A12719" s="22" t="str">
        <f>HYPERLINK("javascript:void(0)","tűtappancs")</f>
        <v>tűtappancs</v>
      </c>
      <c r="B12719" s="21"/>
      <c r="C12719" s="21"/>
      <c r="D12719" s="21"/>
    </row>
    <row r="12720" spans="1:4" ht="12.75" customHeight="1" x14ac:dyDescent="0.2">
      <c r="A12720" s="20"/>
      <c r="B12720" s="2"/>
      <c r="C12720" s="7"/>
      <c r="D12720" s="7"/>
    </row>
    <row r="12721" spans="1:4" ht="12.75" customHeight="1" x14ac:dyDescent="0.2">
      <c r="A12721" s="21"/>
      <c r="B12721" s="3" t="s">
        <v>0</v>
      </c>
      <c r="C12721" s="23" t="s">
        <v>953</v>
      </c>
      <c r="D12721" s="21"/>
    </row>
    <row r="12722" spans="1:4" ht="12.75" customHeight="1" x14ac:dyDescent="0.2">
      <c r="A12722" s="21"/>
      <c r="B12722" s="3" t="s">
        <v>2</v>
      </c>
      <c r="C12722" s="23"/>
      <c r="D12722" s="21"/>
    </row>
    <row r="12723" spans="1:4" ht="12.75" customHeight="1" x14ac:dyDescent="0.2">
      <c r="A12723" s="21"/>
      <c r="B12723" s="3" t="s">
        <v>1840</v>
      </c>
      <c r="C12723" s="23" t="s">
        <v>2139</v>
      </c>
      <c r="D12723" s="21"/>
    </row>
    <row r="12724" spans="1:4" ht="12.75" customHeight="1" x14ac:dyDescent="0.2">
      <c r="A12724" s="21"/>
      <c r="B12724" s="3" t="s">
        <v>9</v>
      </c>
      <c r="C12724" s="23" t="s">
        <v>210</v>
      </c>
      <c r="D12724" s="21"/>
    </row>
    <row r="12725" spans="1:4" ht="12.75" customHeight="1" x14ac:dyDescent="0.2">
      <c r="A12725" s="21"/>
      <c r="B12725" s="3" t="s">
        <v>11</v>
      </c>
      <c r="C12725" s="23" t="s">
        <v>1488</v>
      </c>
      <c r="D12725" s="21"/>
    </row>
    <row r="12726" spans="1:4" ht="12.75" customHeight="1" x14ac:dyDescent="0.2">
      <c r="A12726" s="21"/>
      <c r="B12726" s="3" t="s">
        <v>16</v>
      </c>
      <c r="C12726" s="23"/>
      <c r="D12726" s="21"/>
    </row>
    <row r="12727" spans="1:4" ht="12.75" customHeight="1" x14ac:dyDescent="0.2">
      <c r="A12727" s="21"/>
      <c r="B12727" s="3" t="s">
        <v>17</v>
      </c>
      <c r="C12727" s="23" t="s">
        <v>19</v>
      </c>
      <c r="D12727" s="21"/>
    </row>
    <row r="12728" spans="1:4" ht="12.75" customHeight="1" x14ac:dyDescent="0.2">
      <c r="A12728" s="21"/>
      <c r="B12728" s="20" t="s">
        <v>18</v>
      </c>
      <c r="C12728" s="8" t="s">
        <v>117</v>
      </c>
      <c r="D12728" s="1" t="str">
        <f>HYPERLINK("javascript:void(0)","kalaptű")</f>
        <v>kalaptű</v>
      </c>
    </row>
    <row r="12729" spans="1:4" ht="12.75" customHeight="1" x14ac:dyDescent="0.2">
      <c r="A12729" s="21"/>
      <c r="B12729" s="21"/>
      <c r="C12729" s="8" t="s">
        <v>296</v>
      </c>
      <c r="D12729" s="1" t="str">
        <f>HYPERLINK("javascript:void(0)","porszőr")</f>
        <v>porszőr</v>
      </c>
    </row>
    <row r="12730" spans="1:4" ht="12.75" customHeight="1" x14ac:dyDescent="0.2">
      <c r="A12730" s="21"/>
      <c r="B12730" s="21"/>
      <c r="C12730" s="8" t="s">
        <v>132</v>
      </c>
      <c r="D12730" s="1" t="str">
        <f>HYPERLINK("javascript:void(0)","molekula")</f>
        <v>molekula</v>
      </c>
    </row>
    <row r="12731" spans="1:4" ht="12.75" customHeight="1" x14ac:dyDescent="0.2">
      <c r="A12731" s="21"/>
      <c r="B12731" s="2"/>
      <c r="C12731" s="7"/>
      <c r="D12731" s="7"/>
    </row>
    <row r="12732" spans="1:4" ht="12.75" customHeight="1" x14ac:dyDescent="0.2">
      <c r="A12732" s="21"/>
      <c r="B12732" s="2"/>
      <c r="C12732" s="7"/>
      <c r="D12732" s="7"/>
    </row>
    <row r="12733" spans="1:4" ht="12.75" customHeight="1" x14ac:dyDescent="0.2">
      <c r="A12733" s="21"/>
      <c r="B12733" s="2"/>
      <c r="C12733" s="7"/>
      <c r="D12733" s="7"/>
    </row>
    <row r="12734" spans="1:4" ht="12.75" customHeight="1" x14ac:dyDescent="0.2">
      <c r="A12734" s="21"/>
      <c r="B12734" s="2"/>
      <c r="C12734" s="7"/>
      <c r="D12734" s="7"/>
    </row>
    <row r="12735" spans="1:4" ht="12.75" customHeight="1" x14ac:dyDescent="0.2">
      <c r="A12735" s="5"/>
      <c r="B12735" s="2"/>
      <c r="C12735" s="7"/>
      <c r="D12735" s="7"/>
    </row>
    <row r="12736" spans="1:4" ht="12.75" customHeight="1" x14ac:dyDescent="0.2">
      <c r="A12736" s="22" t="str">
        <f>HYPERLINK("javascript:void(0)","pikkelytestpajzs")</f>
        <v>pikkelytestpajzs</v>
      </c>
      <c r="B12736" s="21"/>
      <c r="C12736" s="21"/>
      <c r="D12736" s="21"/>
    </row>
    <row r="12737" spans="1:4" ht="12.75" customHeight="1" x14ac:dyDescent="0.2">
      <c r="A12737" s="20"/>
      <c r="B12737" s="2"/>
      <c r="C12737" s="7"/>
      <c r="D12737" s="7"/>
    </row>
    <row r="12738" spans="1:4" ht="12.75" customHeight="1" x14ac:dyDescent="0.2">
      <c r="A12738" s="21"/>
      <c r="B12738" s="3" t="s">
        <v>0</v>
      </c>
      <c r="C12738" s="23" t="s">
        <v>953</v>
      </c>
      <c r="D12738" s="21"/>
    </row>
    <row r="12739" spans="1:4" ht="12.75" customHeight="1" x14ac:dyDescent="0.2">
      <c r="A12739" s="21"/>
      <c r="B12739" s="3" t="s">
        <v>2</v>
      </c>
      <c r="C12739" s="23" t="s">
        <v>1839</v>
      </c>
      <c r="D12739" s="21"/>
    </row>
    <row r="12740" spans="1:4" ht="12.75" customHeight="1" x14ac:dyDescent="0.2">
      <c r="A12740" s="21"/>
      <c r="B12740" s="3" t="s">
        <v>1840</v>
      </c>
      <c r="C12740" s="23" t="s">
        <v>1818</v>
      </c>
      <c r="D12740" s="21"/>
    </row>
    <row r="12741" spans="1:4" ht="12.75" customHeight="1" x14ac:dyDescent="0.2">
      <c r="A12741" s="21"/>
      <c r="B12741" s="3" t="s">
        <v>9</v>
      </c>
      <c r="C12741" s="23" t="s">
        <v>236</v>
      </c>
      <c r="D12741" s="21"/>
    </row>
    <row r="12742" spans="1:4" ht="12.75" customHeight="1" x14ac:dyDescent="0.2">
      <c r="A12742" s="21"/>
      <c r="B12742" s="3" t="s">
        <v>11</v>
      </c>
      <c r="C12742" s="23" t="s">
        <v>1520</v>
      </c>
      <c r="D12742" s="21"/>
    </row>
    <row r="12743" spans="1:4" ht="12.75" customHeight="1" x14ac:dyDescent="0.2">
      <c r="A12743" s="21"/>
      <c r="B12743" s="3" t="s">
        <v>16</v>
      </c>
      <c r="C12743" s="23"/>
      <c r="D12743" s="21"/>
    </row>
    <row r="12744" spans="1:4" ht="12.75" customHeight="1" x14ac:dyDescent="0.2">
      <c r="A12744" s="21"/>
      <c r="B12744" s="3" t="s">
        <v>17</v>
      </c>
      <c r="C12744" s="23" t="s">
        <v>19</v>
      </c>
      <c r="D12744" s="21"/>
    </row>
    <row r="12745" spans="1:4" ht="12.75" customHeight="1" x14ac:dyDescent="0.2">
      <c r="A12745" s="21"/>
      <c r="B12745" s="20" t="s">
        <v>18</v>
      </c>
      <c r="C12745" s="8" t="s">
        <v>44</v>
      </c>
      <c r="D12745" s="1" t="str">
        <f>HYPERLINK("javascript:void(0)","lapozott testpajzs")</f>
        <v>lapozott testpajzs</v>
      </c>
    </row>
    <row r="12746" spans="1:4" ht="12.75" customHeight="1" x14ac:dyDescent="0.2">
      <c r="A12746" s="21"/>
      <c r="B12746" s="21"/>
      <c r="C12746" s="8" t="s">
        <v>68</v>
      </c>
      <c r="D12746" s="1" t="str">
        <f>HYPERLINK("javascript:void(0)","fiola")</f>
        <v>fiola</v>
      </c>
    </row>
    <row r="12747" spans="1:4" ht="12.75" customHeight="1" x14ac:dyDescent="0.2">
      <c r="A12747" s="21"/>
      <c r="B12747" s="21"/>
      <c r="C12747" s="8" t="s">
        <v>290</v>
      </c>
      <c r="D12747" s="1" t="str">
        <f>HYPERLINK("javascript:void(0)","pálha")</f>
        <v>pálha</v>
      </c>
    </row>
    <row r="12748" spans="1:4" ht="12.75" customHeight="1" x14ac:dyDescent="0.2">
      <c r="A12748" s="21"/>
      <c r="B12748" s="2"/>
      <c r="C12748" s="7"/>
      <c r="D12748" s="7"/>
    </row>
    <row r="12749" spans="1:4" ht="12.75" customHeight="1" x14ac:dyDescent="0.2">
      <c r="A12749" s="21"/>
      <c r="B12749" s="2"/>
      <c r="C12749" s="7"/>
      <c r="D12749" s="7"/>
    </row>
    <row r="12750" spans="1:4" ht="12.75" customHeight="1" x14ac:dyDescent="0.2">
      <c r="A12750" s="21"/>
      <c r="B12750" s="2"/>
      <c r="C12750" s="7"/>
      <c r="D12750" s="7"/>
    </row>
    <row r="12751" spans="1:4" ht="12.75" customHeight="1" x14ac:dyDescent="0.2">
      <c r="A12751" s="21"/>
      <c r="B12751" s="2"/>
      <c r="C12751" s="7"/>
      <c r="D12751" s="7"/>
    </row>
    <row r="12752" spans="1:4" ht="12.75" customHeight="1" x14ac:dyDescent="0.2">
      <c r="A12752" s="5"/>
      <c r="B12752" s="2"/>
      <c r="C12752" s="7"/>
      <c r="D12752" s="7"/>
    </row>
    <row r="12753" spans="1:4" ht="12.75" customHeight="1" x14ac:dyDescent="0.2">
      <c r="A12753" s="22" t="str">
        <f>HYPERLINK("javascript:void(0)","kentacél szellempajzs")</f>
        <v>kentacél szellempajzs</v>
      </c>
      <c r="B12753" s="21"/>
      <c r="C12753" s="21"/>
      <c r="D12753" s="21"/>
    </row>
    <row r="12754" spans="1:4" ht="12.75" customHeight="1" x14ac:dyDescent="0.2">
      <c r="A12754" s="20"/>
      <c r="B12754" s="2"/>
      <c r="C12754" s="7"/>
      <c r="D12754" s="7"/>
    </row>
    <row r="12755" spans="1:4" ht="12.75" customHeight="1" x14ac:dyDescent="0.2">
      <c r="A12755" s="21"/>
      <c r="B12755" s="3" t="s">
        <v>0</v>
      </c>
      <c r="C12755" s="23" t="s">
        <v>953</v>
      </c>
      <c r="D12755" s="21"/>
    </row>
    <row r="12756" spans="1:4" ht="12.75" customHeight="1" x14ac:dyDescent="0.2">
      <c r="A12756" s="21"/>
      <c r="B12756" s="3" t="s">
        <v>2</v>
      </c>
      <c r="C12756" s="23" t="s">
        <v>1839</v>
      </c>
      <c r="D12756" s="21"/>
    </row>
    <row r="12757" spans="1:4" ht="12.75" customHeight="1" x14ac:dyDescent="0.2">
      <c r="A12757" s="21"/>
      <c r="B12757" s="3" t="s">
        <v>1840</v>
      </c>
      <c r="C12757" s="23" t="s">
        <v>1818</v>
      </c>
      <c r="D12757" s="21"/>
    </row>
    <row r="12758" spans="1:4" ht="12.75" customHeight="1" x14ac:dyDescent="0.2">
      <c r="A12758" s="21"/>
      <c r="B12758" s="3" t="s">
        <v>9</v>
      </c>
      <c r="C12758" s="23" t="s">
        <v>1321</v>
      </c>
      <c r="D12758" s="21"/>
    </row>
    <row r="12759" spans="1:4" ht="12.75" customHeight="1" x14ac:dyDescent="0.2">
      <c r="A12759" s="21"/>
      <c r="B12759" s="3" t="s">
        <v>11</v>
      </c>
      <c r="C12759" s="23" t="s">
        <v>1029</v>
      </c>
      <c r="D12759" s="21"/>
    </row>
    <row r="12760" spans="1:4" ht="12.75" customHeight="1" x14ac:dyDescent="0.2">
      <c r="A12760" s="21"/>
      <c r="B12760" s="3" t="s">
        <v>16</v>
      </c>
      <c r="C12760" s="23"/>
      <c r="D12760" s="21"/>
    </row>
    <row r="12761" spans="1:4" ht="12.75" customHeight="1" x14ac:dyDescent="0.2">
      <c r="A12761" s="21"/>
      <c r="B12761" s="3" t="s">
        <v>17</v>
      </c>
      <c r="C12761" s="23" t="s">
        <v>19</v>
      </c>
      <c r="D12761" s="21"/>
    </row>
    <row r="12762" spans="1:4" ht="12.75" customHeight="1" x14ac:dyDescent="0.2">
      <c r="A12762" s="21"/>
      <c r="B12762" s="20" t="s">
        <v>18</v>
      </c>
      <c r="C12762" s="8" t="s">
        <v>44</v>
      </c>
      <c r="D12762" s="1" t="str">
        <f>HYPERLINK("javascript:void(0)","pikkelytestpajzs")</f>
        <v>pikkelytestpajzs</v>
      </c>
    </row>
    <row r="12763" spans="1:4" ht="12.75" customHeight="1" x14ac:dyDescent="0.2">
      <c r="A12763" s="21"/>
      <c r="B12763" s="21"/>
      <c r="C12763" s="8" t="s">
        <v>309</v>
      </c>
      <c r="D12763" s="1" t="str">
        <f>HYPERLINK("javascript:void(0)","szabo-penge")</f>
        <v>szabo-penge</v>
      </c>
    </row>
    <row r="12764" spans="1:4" ht="12.75" customHeight="1" x14ac:dyDescent="0.2">
      <c r="A12764" s="21"/>
      <c r="B12764" s="21"/>
      <c r="C12764" s="8" t="s">
        <v>139</v>
      </c>
      <c r="D12764" s="1" t="str">
        <f>HYPERLINK("javascript:void(0)","fiola")</f>
        <v>fiola</v>
      </c>
    </row>
    <row r="12765" spans="1:4" ht="12.75" customHeight="1" x14ac:dyDescent="0.2">
      <c r="A12765" s="21"/>
      <c r="B12765" s="2"/>
      <c r="C12765" s="7"/>
      <c r="D12765" s="7"/>
    </row>
    <row r="12766" spans="1:4" ht="12.75" customHeight="1" x14ac:dyDescent="0.2">
      <c r="A12766" s="21"/>
      <c r="B12766" s="2"/>
      <c r="C12766" s="7"/>
      <c r="D12766" s="7"/>
    </row>
    <row r="12767" spans="1:4" ht="12.75" customHeight="1" x14ac:dyDescent="0.2">
      <c r="A12767" s="21"/>
      <c r="B12767" s="2"/>
      <c r="C12767" s="7"/>
      <c r="D12767" s="7"/>
    </row>
    <row r="12768" spans="1:4" ht="12.75" customHeight="1" x14ac:dyDescent="0.2">
      <c r="A12768" s="21"/>
      <c r="B12768" s="2"/>
      <c r="C12768" s="7"/>
      <c r="D12768" s="7"/>
    </row>
    <row r="12769" spans="1:4" ht="12.75" customHeight="1" x14ac:dyDescent="0.2">
      <c r="A12769" s="5"/>
      <c r="B12769" s="2"/>
      <c r="C12769" s="7"/>
      <c r="D12769" s="7"/>
    </row>
    <row r="12770" spans="1:4" ht="12.75" customHeight="1" x14ac:dyDescent="0.2">
      <c r="A12770" s="22" t="str">
        <f>HYPERLINK("javascript:void(0)","óriásacél szemvédő")</f>
        <v>óriásacél szemvédő</v>
      </c>
      <c r="B12770" s="21"/>
      <c r="C12770" s="21"/>
      <c r="D12770" s="21"/>
    </row>
    <row r="12771" spans="1:4" ht="12.75" customHeight="1" x14ac:dyDescent="0.2">
      <c r="A12771" s="20"/>
      <c r="B12771" s="2"/>
      <c r="C12771" s="7"/>
      <c r="D12771" s="7"/>
    </row>
    <row r="12772" spans="1:4" ht="12.75" customHeight="1" x14ac:dyDescent="0.2">
      <c r="A12772" s="21"/>
      <c r="B12772" s="3" t="s">
        <v>0</v>
      </c>
      <c r="C12772" s="23" t="s">
        <v>953</v>
      </c>
      <c r="D12772" s="21"/>
    </row>
    <row r="12773" spans="1:4" ht="12.75" customHeight="1" x14ac:dyDescent="0.2">
      <c r="A12773" s="21"/>
      <c r="B12773" s="3" t="s">
        <v>2</v>
      </c>
      <c r="C12773" s="23"/>
      <c r="D12773" s="21"/>
    </row>
    <row r="12774" spans="1:4" ht="12.75" customHeight="1" x14ac:dyDescent="0.2">
      <c r="A12774" s="21"/>
      <c r="B12774" s="3" t="s">
        <v>1840</v>
      </c>
      <c r="C12774" s="23" t="s">
        <v>47</v>
      </c>
      <c r="D12774" s="21"/>
    </row>
    <row r="12775" spans="1:4" ht="12.75" customHeight="1" x14ac:dyDescent="0.2">
      <c r="A12775" s="21"/>
      <c r="B12775" s="3" t="s">
        <v>9</v>
      </c>
      <c r="C12775" s="23" t="s">
        <v>70</v>
      </c>
      <c r="D12775" s="21"/>
    </row>
    <row r="12776" spans="1:4" ht="12.75" customHeight="1" x14ac:dyDescent="0.2">
      <c r="A12776" s="21"/>
      <c r="B12776" s="3" t="s">
        <v>11</v>
      </c>
      <c r="C12776" s="23" t="s">
        <v>2506</v>
      </c>
      <c r="D12776" s="21"/>
    </row>
    <row r="12777" spans="1:4" ht="12.75" customHeight="1" x14ac:dyDescent="0.2">
      <c r="A12777" s="21"/>
      <c r="B12777" s="3" t="s">
        <v>16</v>
      </c>
      <c r="C12777" s="23"/>
      <c r="D12777" s="21"/>
    </row>
    <row r="12778" spans="1:4" ht="12.75" customHeight="1" x14ac:dyDescent="0.2">
      <c r="A12778" s="21"/>
      <c r="B12778" s="3" t="s">
        <v>17</v>
      </c>
      <c r="C12778" s="23" t="s">
        <v>19</v>
      </c>
      <c r="D12778" s="21"/>
    </row>
    <row r="12779" spans="1:4" ht="12.75" customHeight="1" x14ac:dyDescent="0.2">
      <c r="A12779" s="21"/>
      <c r="B12779" s="20" t="s">
        <v>18</v>
      </c>
      <c r="C12779" s="8" t="s">
        <v>269</v>
      </c>
      <c r="D12779" s="1" t="str">
        <f>HYPERLINK("javascript:void(0)","sárkányzsák")</f>
        <v>sárkányzsák</v>
      </c>
    </row>
    <row r="12780" spans="1:4" ht="12.75" customHeight="1" x14ac:dyDescent="0.2">
      <c r="A12780" s="21"/>
      <c r="B12780" s="21"/>
      <c r="C12780" s="8" t="s">
        <v>68</v>
      </c>
      <c r="D12780" s="1" t="str">
        <f>HYPERLINK("javascript:void(0)","fiola")</f>
        <v>fiola</v>
      </c>
    </row>
    <row r="12781" spans="1:4" ht="12.75" customHeight="1" x14ac:dyDescent="0.2">
      <c r="A12781" s="21"/>
      <c r="B12781" s="21"/>
      <c r="C12781" s="8" t="s">
        <v>132</v>
      </c>
      <c r="D12781" s="1" t="str">
        <f>HYPERLINK("javascript:void(0)","átokige")</f>
        <v>átokige</v>
      </c>
    </row>
    <row r="12782" spans="1:4" ht="12.75" customHeight="1" x14ac:dyDescent="0.2">
      <c r="A12782" s="21"/>
      <c r="B12782" s="2"/>
      <c r="C12782" s="7"/>
      <c r="D12782" s="7"/>
    </row>
    <row r="12783" spans="1:4" ht="12.75" customHeight="1" x14ac:dyDescent="0.2">
      <c r="A12783" s="21"/>
      <c r="B12783" s="2"/>
      <c r="C12783" s="7"/>
      <c r="D12783" s="7"/>
    </row>
    <row r="12784" spans="1:4" ht="12.75" customHeight="1" x14ac:dyDescent="0.2">
      <c r="A12784" s="21"/>
      <c r="B12784" s="2"/>
      <c r="C12784" s="7"/>
      <c r="D12784" s="7"/>
    </row>
    <row r="12785" spans="1:4" ht="12.75" customHeight="1" x14ac:dyDescent="0.2">
      <c r="A12785" s="21"/>
      <c r="B12785" s="2"/>
      <c r="C12785" s="7"/>
      <c r="D12785" s="7"/>
    </row>
    <row r="12786" spans="1:4" ht="12.75" customHeight="1" x14ac:dyDescent="0.2">
      <c r="A12786" s="5"/>
      <c r="B12786" s="2"/>
      <c r="C12786" s="7"/>
      <c r="D12786" s="7"/>
    </row>
    <row r="12787" spans="1:4" ht="12.75" customHeight="1" x14ac:dyDescent="0.2">
      <c r="A12787" s="22" t="str">
        <f>HYPERLINK("javascript:void(0)","harmatacél antigrav csizma")</f>
        <v>harmatacél antigrav csizma</v>
      </c>
      <c r="B12787" s="21"/>
      <c r="C12787" s="21"/>
      <c r="D12787" s="21"/>
    </row>
    <row r="12788" spans="1:4" ht="12.75" customHeight="1" x14ac:dyDescent="0.2">
      <c r="A12788" s="20"/>
      <c r="B12788" s="2"/>
      <c r="C12788" s="7"/>
      <c r="D12788" s="7"/>
    </row>
    <row r="12789" spans="1:4" ht="12.75" customHeight="1" x14ac:dyDescent="0.2">
      <c r="A12789" s="21"/>
      <c r="B12789" s="3" t="s">
        <v>0</v>
      </c>
      <c r="C12789" s="23" t="s">
        <v>953</v>
      </c>
      <c r="D12789" s="21"/>
    </row>
    <row r="12790" spans="1:4" ht="12.75" customHeight="1" x14ac:dyDescent="0.2">
      <c r="A12790" s="21"/>
      <c r="B12790" s="3" t="s">
        <v>2</v>
      </c>
      <c r="C12790" s="23"/>
      <c r="D12790" s="21"/>
    </row>
    <row r="12791" spans="1:4" ht="12.75" customHeight="1" x14ac:dyDescent="0.2">
      <c r="A12791" s="21"/>
      <c r="B12791" s="3" t="s">
        <v>1840</v>
      </c>
      <c r="C12791" s="23" t="s">
        <v>2139</v>
      </c>
      <c r="D12791" s="21"/>
    </row>
    <row r="12792" spans="1:4" ht="12.75" customHeight="1" x14ac:dyDescent="0.2">
      <c r="A12792" s="21"/>
      <c r="B12792" s="3" t="s">
        <v>9</v>
      </c>
      <c r="C12792" s="23" t="s">
        <v>626</v>
      </c>
      <c r="D12792" s="21"/>
    </row>
    <row r="12793" spans="1:4" ht="12.75" customHeight="1" x14ac:dyDescent="0.2">
      <c r="A12793" s="21"/>
      <c r="B12793" s="3" t="s">
        <v>11</v>
      </c>
      <c r="C12793" s="23" t="s">
        <v>23</v>
      </c>
      <c r="D12793" s="21"/>
    </row>
    <row r="12794" spans="1:4" ht="12.75" customHeight="1" x14ac:dyDescent="0.2">
      <c r="A12794" s="21"/>
      <c r="B12794" s="3" t="s">
        <v>16</v>
      </c>
      <c r="C12794" s="23"/>
      <c r="D12794" s="21"/>
    </row>
    <row r="12795" spans="1:4" ht="12.75" customHeight="1" x14ac:dyDescent="0.2">
      <c r="A12795" s="21"/>
      <c r="B12795" s="3" t="s">
        <v>17</v>
      </c>
      <c r="C12795" s="23" t="s">
        <v>19</v>
      </c>
      <c r="D12795" s="21"/>
    </row>
    <row r="12796" spans="1:4" ht="25.5" customHeight="1" x14ac:dyDescent="0.2">
      <c r="A12796" s="21"/>
      <c r="B12796" s="20" t="s">
        <v>18</v>
      </c>
      <c r="C12796" s="8" t="s">
        <v>44</v>
      </c>
      <c r="D12796" s="1" t="str">
        <f>HYPERLINK("javascript:void(0)","hypnoacél antigrav csizma")</f>
        <v>hypnoacél antigrav csizma</v>
      </c>
    </row>
    <row r="12797" spans="1:4" ht="12.75" customHeight="1" x14ac:dyDescent="0.2">
      <c r="A12797" s="21"/>
      <c r="B12797" s="21"/>
      <c r="C12797" s="8" t="s">
        <v>2140</v>
      </c>
      <c r="D12797" s="1" t="str">
        <f>HYPERLINK("javascript:void(0)","pillepikkely")</f>
        <v>pillepikkely</v>
      </c>
    </row>
    <row r="12798" spans="1:4" ht="12.75" customHeight="1" x14ac:dyDescent="0.2">
      <c r="A12798" s="21"/>
      <c r="B12798" s="21"/>
      <c r="C12798" s="8" t="s">
        <v>244</v>
      </c>
      <c r="D12798" s="1" t="str">
        <f>HYPERLINK("javascript:void(0)","habléc")</f>
        <v>habléc</v>
      </c>
    </row>
    <row r="12799" spans="1:4" ht="12.75" customHeight="1" x14ac:dyDescent="0.2">
      <c r="A12799" s="21"/>
      <c r="B12799" s="2"/>
      <c r="C12799" s="7"/>
      <c r="D12799" s="7"/>
    </row>
    <row r="12800" spans="1:4" ht="12.75" customHeight="1" x14ac:dyDescent="0.2">
      <c r="A12800" s="21"/>
      <c r="B12800" s="2"/>
      <c r="C12800" s="7"/>
      <c r="D12800" s="7"/>
    </row>
    <row r="12801" spans="1:4" ht="12.75" customHeight="1" x14ac:dyDescent="0.2">
      <c r="A12801" s="21"/>
      <c r="B12801" s="2"/>
      <c r="C12801" s="7"/>
      <c r="D12801" s="7"/>
    </row>
    <row r="12802" spans="1:4" ht="12.75" customHeight="1" x14ac:dyDescent="0.2">
      <c r="A12802" s="21"/>
      <c r="B12802" s="2"/>
      <c r="C12802" s="7"/>
      <c r="D12802" s="7"/>
    </row>
    <row r="12803" spans="1:4" ht="12.75" customHeight="1" x14ac:dyDescent="0.2">
      <c r="A12803" s="5"/>
      <c r="B12803" s="2"/>
      <c r="C12803" s="7"/>
      <c r="D12803" s="7"/>
    </row>
    <row r="12804" spans="1:4" ht="12.75" customHeight="1" x14ac:dyDescent="0.2">
      <c r="A12804" s="22" t="str">
        <f>HYPERLINK("javascript:void(0)","teljes szélvért")</f>
        <v>teljes szélvért</v>
      </c>
      <c r="B12804" s="21"/>
      <c r="C12804" s="21"/>
      <c r="D12804" s="21"/>
    </row>
    <row r="12805" spans="1:4" ht="12.75" customHeight="1" x14ac:dyDescent="0.2">
      <c r="A12805" s="20"/>
      <c r="B12805" s="2"/>
      <c r="C12805" s="7"/>
      <c r="D12805" s="7"/>
    </row>
    <row r="12806" spans="1:4" ht="12.75" customHeight="1" x14ac:dyDescent="0.2">
      <c r="A12806" s="21"/>
      <c r="B12806" s="3" t="s">
        <v>0</v>
      </c>
      <c r="C12806" s="23" t="s">
        <v>293</v>
      </c>
      <c r="D12806" s="21"/>
    </row>
    <row r="12807" spans="1:4" ht="12.75" customHeight="1" x14ac:dyDescent="0.2">
      <c r="A12807" s="21"/>
      <c r="B12807" s="3" t="s">
        <v>2</v>
      </c>
      <c r="C12807" s="23" t="s">
        <v>2322</v>
      </c>
      <c r="D12807" s="21"/>
    </row>
    <row r="12808" spans="1:4" ht="12.75" customHeight="1" x14ac:dyDescent="0.2">
      <c r="A12808" s="21"/>
      <c r="B12808" s="3" t="s">
        <v>1840</v>
      </c>
      <c r="C12808" s="23" t="s">
        <v>2504</v>
      </c>
      <c r="D12808" s="21"/>
    </row>
    <row r="12809" spans="1:4" ht="12.75" customHeight="1" x14ac:dyDescent="0.2">
      <c r="A12809" s="21"/>
      <c r="B12809" s="3" t="s">
        <v>9</v>
      </c>
      <c r="C12809" s="23" t="s">
        <v>1340</v>
      </c>
      <c r="D12809" s="21"/>
    </row>
    <row r="12810" spans="1:4" ht="12.75" customHeight="1" x14ac:dyDescent="0.2">
      <c r="A12810" s="21"/>
      <c r="B12810" s="3" t="s">
        <v>11</v>
      </c>
      <c r="C12810" s="23" t="s">
        <v>1216</v>
      </c>
      <c r="D12810" s="21"/>
    </row>
    <row r="12811" spans="1:4" ht="12.75" customHeight="1" x14ac:dyDescent="0.2">
      <c r="A12811" s="21"/>
      <c r="B12811" s="3" t="s">
        <v>16</v>
      </c>
      <c r="C12811" s="23"/>
      <c r="D12811" s="21"/>
    </row>
    <row r="12812" spans="1:4" ht="12.75" customHeight="1" x14ac:dyDescent="0.2">
      <c r="A12812" s="21"/>
      <c r="B12812" s="3" t="s">
        <v>17</v>
      </c>
      <c r="C12812" s="23" t="s">
        <v>19</v>
      </c>
      <c r="D12812" s="21"/>
    </row>
    <row r="12813" spans="1:4" ht="12.75" customHeight="1" x14ac:dyDescent="0.2">
      <c r="A12813" s="21"/>
      <c r="B12813" s="20" t="s">
        <v>18</v>
      </c>
      <c r="C12813" s="8" t="s">
        <v>67</v>
      </c>
      <c r="D12813" s="1" t="str">
        <f>HYPERLINK("javascript:void(0)","képszél")</f>
        <v>képszél</v>
      </c>
    </row>
    <row r="12814" spans="1:4" ht="12.75" customHeight="1" x14ac:dyDescent="0.2">
      <c r="A12814" s="21"/>
      <c r="B12814" s="21"/>
      <c r="C12814" s="8" t="s">
        <v>132</v>
      </c>
      <c r="D12814" s="1" t="str">
        <f>HYPERLINK("javascript:void(0)","hídpenge")</f>
        <v>hídpenge</v>
      </c>
    </row>
    <row r="12815" spans="1:4" ht="12.75" customHeight="1" x14ac:dyDescent="0.2">
      <c r="A12815" s="21"/>
      <c r="B12815" s="21"/>
      <c r="C12815" s="8" t="s">
        <v>269</v>
      </c>
      <c r="D12815" s="1" t="str">
        <f>HYPERLINK("javascript:void(0)","pálha")</f>
        <v>pálha</v>
      </c>
    </row>
    <row r="12816" spans="1:4" ht="12.75" customHeight="1" x14ac:dyDescent="0.2">
      <c r="A12816" s="21"/>
      <c r="B12816" s="2"/>
      <c r="C12816" s="7"/>
      <c r="D12816" s="7"/>
    </row>
    <row r="12817" spans="1:4" ht="12.75" customHeight="1" x14ac:dyDescent="0.2">
      <c r="A12817" s="21"/>
      <c r="B12817" s="2"/>
      <c r="C12817" s="7"/>
      <c r="D12817" s="7"/>
    </row>
    <row r="12818" spans="1:4" ht="12.75" customHeight="1" x14ac:dyDescent="0.2">
      <c r="A12818" s="21"/>
      <c r="B12818" s="2"/>
      <c r="C12818" s="7"/>
      <c r="D12818" s="7"/>
    </row>
    <row r="12819" spans="1:4" ht="12.75" customHeight="1" x14ac:dyDescent="0.2">
      <c r="A12819" s="21"/>
      <c r="B12819" s="2"/>
      <c r="C12819" s="7"/>
      <c r="D12819" s="7"/>
    </row>
    <row r="12820" spans="1:4" ht="12.75" customHeight="1" x14ac:dyDescent="0.2">
      <c r="A12820" s="5"/>
      <c r="B12820" s="2"/>
      <c r="C12820" s="7"/>
      <c r="D12820" s="7"/>
    </row>
    <row r="12821" spans="1:4" ht="12.75" customHeight="1" x14ac:dyDescent="0.2">
      <c r="A12821" s="22" t="str">
        <f>HYPERLINK("javascript:void(0)","hálósisak")</f>
        <v>hálósisak</v>
      </c>
      <c r="B12821" s="21"/>
      <c r="C12821" s="21"/>
      <c r="D12821" s="21"/>
    </row>
    <row r="12822" spans="1:4" ht="12.75" customHeight="1" x14ac:dyDescent="0.2">
      <c r="A12822" s="20"/>
      <c r="B12822" s="2"/>
      <c r="C12822" s="7"/>
      <c r="D12822" s="7"/>
    </row>
    <row r="12823" spans="1:4" ht="12.75" customHeight="1" x14ac:dyDescent="0.2">
      <c r="A12823" s="21"/>
      <c r="B12823" s="3" t="s">
        <v>0</v>
      </c>
      <c r="C12823" s="23" t="s">
        <v>293</v>
      </c>
      <c r="D12823" s="21"/>
    </row>
    <row r="12824" spans="1:4" ht="12.75" customHeight="1" x14ac:dyDescent="0.2">
      <c r="A12824" s="21"/>
      <c r="B12824" s="3" t="s">
        <v>2</v>
      </c>
      <c r="C12824" s="23"/>
      <c r="D12824" s="21"/>
    </row>
    <row r="12825" spans="1:4" ht="12.75" customHeight="1" x14ac:dyDescent="0.2">
      <c r="A12825" s="21"/>
      <c r="B12825" s="3" t="s">
        <v>1840</v>
      </c>
      <c r="C12825" s="23" t="s">
        <v>2420</v>
      </c>
      <c r="D12825" s="21"/>
    </row>
    <row r="12826" spans="1:4" ht="12.75" customHeight="1" x14ac:dyDescent="0.2">
      <c r="A12826" s="21"/>
      <c r="B12826" s="3" t="s">
        <v>9</v>
      </c>
      <c r="C12826" s="23" t="s">
        <v>865</v>
      </c>
      <c r="D12826" s="21"/>
    </row>
    <row r="12827" spans="1:4" ht="12.75" customHeight="1" x14ac:dyDescent="0.2">
      <c r="A12827" s="21"/>
      <c r="B12827" s="3" t="s">
        <v>11</v>
      </c>
      <c r="C12827" s="23" t="s">
        <v>1216</v>
      </c>
      <c r="D12827" s="21"/>
    </row>
    <row r="12828" spans="1:4" ht="12.75" customHeight="1" x14ac:dyDescent="0.2">
      <c r="A12828" s="21"/>
      <c r="B12828" s="3" t="s">
        <v>16</v>
      </c>
      <c r="C12828" s="23"/>
      <c r="D12828" s="21"/>
    </row>
    <row r="12829" spans="1:4" ht="12.75" customHeight="1" x14ac:dyDescent="0.2">
      <c r="A12829" s="21"/>
      <c r="B12829" s="3" t="s">
        <v>17</v>
      </c>
      <c r="C12829" s="23" t="s">
        <v>19</v>
      </c>
      <c r="D12829" s="21"/>
    </row>
    <row r="12830" spans="1:4" ht="12.75" customHeight="1" x14ac:dyDescent="0.2">
      <c r="A12830" s="21"/>
      <c r="B12830" s="20" t="s">
        <v>18</v>
      </c>
      <c r="C12830" s="8" t="s">
        <v>196</v>
      </c>
      <c r="D12830" s="1" t="str">
        <f>HYPERLINK("javascript:void(0)","hálószem")</f>
        <v>hálószem</v>
      </c>
    </row>
    <row r="12831" spans="1:4" ht="12.75" customHeight="1" x14ac:dyDescent="0.2">
      <c r="A12831" s="21"/>
      <c r="B12831" s="21"/>
      <c r="C12831" s="8" t="s">
        <v>117</v>
      </c>
      <c r="D12831" s="1" t="str">
        <f>HYPERLINK("javascript:void(0)","plecsni")</f>
        <v>plecsni</v>
      </c>
    </row>
    <row r="12832" spans="1:4" ht="12.75" customHeight="1" x14ac:dyDescent="0.2">
      <c r="A12832" s="21"/>
      <c r="B12832" s="21"/>
      <c r="C12832" s="8" t="s">
        <v>44</v>
      </c>
      <c r="D12832" s="1" t="str">
        <f>HYPERLINK("javascript:void(0)","óriásacél bascinet")</f>
        <v>óriásacél bascinet</v>
      </c>
    </row>
    <row r="12833" spans="1:4" ht="12.75" customHeight="1" x14ac:dyDescent="0.2">
      <c r="A12833" s="21"/>
      <c r="B12833" s="2"/>
      <c r="C12833" s="7"/>
      <c r="D12833" s="7"/>
    </row>
    <row r="12834" spans="1:4" ht="12.75" customHeight="1" x14ac:dyDescent="0.2">
      <c r="A12834" s="21"/>
      <c r="B12834" s="2"/>
      <c r="C12834" s="7"/>
      <c r="D12834" s="7"/>
    </row>
    <row r="12835" spans="1:4" ht="12.75" customHeight="1" x14ac:dyDescent="0.2">
      <c r="A12835" s="21"/>
      <c r="B12835" s="2"/>
      <c r="C12835" s="7"/>
      <c r="D12835" s="7"/>
    </row>
    <row r="12836" spans="1:4" ht="12.75" customHeight="1" x14ac:dyDescent="0.2">
      <c r="A12836" s="21"/>
      <c r="B12836" s="2"/>
      <c r="C12836" s="7"/>
      <c r="D12836" s="7"/>
    </row>
    <row r="12837" spans="1:4" ht="12.75" customHeight="1" x14ac:dyDescent="0.2">
      <c r="A12837" s="5"/>
      <c r="B12837" s="2"/>
      <c r="C12837" s="7"/>
      <c r="D12837" s="7"/>
    </row>
    <row r="12838" spans="1:4" ht="12.75" customHeight="1" x14ac:dyDescent="0.2">
      <c r="A12838" s="22" t="str">
        <f>HYPERLINK("javascript:void(0)","mengorni mokaszin")</f>
        <v>mengorni mokaszin</v>
      </c>
      <c r="B12838" s="21"/>
      <c r="C12838" s="21"/>
      <c r="D12838" s="21"/>
    </row>
    <row r="12839" spans="1:4" ht="12.75" customHeight="1" x14ac:dyDescent="0.2">
      <c r="A12839" s="20"/>
      <c r="B12839" s="2"/>
      <c r="C12839" s="7"/>
      <c r="D12839" s="7"/>
    </row>
    <row r="12840" spans="1:4" ht="12.75" customHeight="1" x14ac:dyDescent="0.2">
      <c r="A12840" s="21"/>
      <c r="B12840" s="3" t="s">
        <v>0</v>
      </c>
      <c r="C12840" s="23" t="s">
        <v>293</v>
      </c>
      <c r="D12840" s="21"/>
    </row>
    <row r="12841" spans="1:4" ht="12.75" customHeight="1" x14ac:dyDescent="0.2">
      <c r="A12841" s="21"/>
      <c r="B12841" s="3" t="s">
        <v>2</v>
      </c>
      <c r="C12841" s="23"/>
      <c r="D12841" s="21"/>
    </row>
    <row r="12842" spans="1:4" ht="12.75" customHeight="1" x14ac:dyDescent="0.2">
      <c r="A12842" s="21"/>
      <c r="B12842" s="3" t="s">
        <v>1840</v>
      </c>
      <c r="C12842" s="23" t="s">
        <v>2141</v>
      </c>
      <c r="D12842" s="21"/>
    </row>
    <row r="12843" spans="1:4" ht="12.75" customHeight="1" x14ac:dyDescent="0.2">
      <c r="A12843" s="21"/>
      <c r="B12843" s="3" t="s">
        <v>9</v>
      </c>
      <c r="C12843" s="23" t="s">
        <v>2056</v>
      </c>
      <c r="D12843" s="21"/>
    </row>
    <row r="12844" spans="1:4" ht="12.75" customHeight="1" x14ac:dyDescent="0.2">
      <c r="A12844" s="21"/>
      <c r="B12844" s="3" t="s">
        <v>11</v>
      </c>
      <c r="C12844" s="23" t="s">
        <v>1657</v>
      </c>
      <c r="D12844" s="21"/>
    </row>
    <row r="12845" spans="1:4" ht="12.75" customHeight="1" x14ac:dyDescent="0.2">
      <c r="A12845" s="21"/>
      <c r="B12845" s="3" t="s">
        <v>16</v>
      </c>
      <c r="C12845" s="23"/>
      <c r="D12845" s="21"/>
    </row>
    <row r="12846" spans="1:4" ht="12.75" customHeight="1" x14ac:dyDescent="0.2">
      <c r="A12846" s="21"/>
      <c r="B12846" s="3" t="s">
        <v>17</v>
      </c>
      <c r="C12846" s="23" t="s">
        <v>19</v>
      </c>
      <c r="D12846" s="21"/>
    </row>
    <row r="12847" spans="1:4" ht="12.75" customHeight="1" x14ac:dyDescent="0.2">
      <c r="A12847" s="21"/>
      <c r="B12847" s="20" t="s">
        <v>18</v>
      </c>
      <c r="C12847" s="8" t="s">
        <v>44</v>
      </c>
      <c r="D12847" s="1" t="str">
        <f>HYPERLINK("javascript:void(0)","pikkelysaru")</f>
        <v>pikkelysaru</v>
      </c>
    </row>
    <row r="12848" spans="1:4" ht="12.75" customHeight="1" x14ac:dyDescent="0.2">
      <c r="A12848" s="21"/>
      <c r="B12848" s="21"/>
      <c r="C12848" s="8" t="s">
        <v>44</v>
      </c>
      <c r="D12848" s="1" t="str">
        <f>HYPERLINK("javascript:void(0)","mengorni fűző")</f>
        <v>mengorni fűző</v>
      </c>
    </row>
    <row r="12849" spans="1:4" ht="12.75" customHeight="1" x14ac:dyDescent="0.2">
      <c r="A12849" s="21"/>
      <c r="B12849" s="21"/>
      <c r="C12849" s="8" t="s">
        <v>44</v>
      </c>
      <c r="D12849" s="1" t="str">
        <f>HYPERLINK("javascript:void(0)","tűtappancs")</f>
        <v>tűtappancs</v>
      </c>
    </row>
    <row r="12850" spans="1:4" ht="12.75" customHeight="1" x14ac:dyDescent="0.2">
      <c r="A12850" s="21"/>
      <c r="B12850" s="2"/>
      <c r="C12850" s="7"/>
      <c r="D12850" s="7"/>
    </row>
    <row r="12851" spans="1:4" ht="12.75" customHeight="1" x14ac:dyDescent="0.2">
      <c r="A12851" s="21"/>
      <c r="B12851" s="2"/>
      <c r="C12851" s="7"/>
      <c r="D12851" s="7"/>
    </row>
    <row r="12852" spans="1:4" ht="12.75" customHeight="1" x14ac:dyDescent="0.2">
      <c r="A12852" s="21"/>
      <c r="B12852" s="2"/>
      <c r="C12852" s="7"/>
      <c r="D12852" s="7"/>
    </row>
    <row r="12853" spans="1:4" ht="12.75" customHeight="1" x14ac:dyDescent="0.2">
      <c r="A12853" s="21"/>
      <c r="B12853" s="2"/>
      <c r="C12853" s="7"/>
      <c r="D12853" s="7"/>
    </row>
    <row r="12854" spans="1:4" ht="12.75" customHeight="1" x14ac:dyDescent="0.2">
      <c r="A12854" s="5"/>
      <c r="B12854" s="2"/>
      <c r="C12854" s="7"/>
      <c r="D12854" s="7"/>
    </row>
    <row r="12855" spans="1:4" ht="12.75" customHeight="1" x14ac:dyDescent="0.2">
      <c r="A12855" s="22" t="str">
        <f>HYPERLINK("javascript:void(0)","képékpajzs")</f>
        <v>képékpajzs</v>
      </c>
      <c r="B12855" s="21"/>
      <c r="C12855" s="21"/>
      <c r="D12855" s="21"/>
    </row>
    <row r="12856" spans="1:4" ht="12.75" customHeight="1" x14ac:dyDescent="0.2">
      <c r="A12856" s="20"/>
      <c r="B12856" s="2"/>
      <c r="C12856" s="7"/>
      <c r="D12856" s="7"/>
    </row>
    <row r="12857" spans="1:4" ht="12.75" customHeight="1" x14ac:dyDescent="0.2">
      <c r="A12857" s="21"/>
      <c r="B12857" s="3" t="s">
        <v>0</v>
      </c>
      <c r="C12857" s="23" t="s">
        <v>293</v>
      </c>
      <c r="D12857" s="21"/>
    </row>
    <row r="12858" spans="1:4" ht="12.75" customHeight="1" x14ac:dyDescent="0.2">
      <c r="A12858" s="21"/>
      <c r="B12858" s="3" t="s">
        <v>2</v>
      </c>
      <c r="C12858" s="23" t="s">
        <v>1839</v>
      </c>
      <c r="D12858" s="21"/>
    </row>
    <row r="12859" spans="1:4" ht="12.75" customHeight="1" x14ac:dyDescent="0.2">
      <c r="A12859" s="21"/>
      <c r="B12859" s="3" t="s">
        <v>1840</v>
      </c>
      <c r="C12859" s="23" t="s">
        <v>2422</v>
      </c>
      <c r="D12859" s="21"/>
    </row>
    <row r="12860" spans="1:4" ht="12.75" customHeight="1" x14ac:dyDescent="0.2">
      <c r="A12860" s="21"/>
      <c r="B12860" s="3" t="s">
        <v>9</v>
      </c>
      <c r="C12860" s="23" t="s">
        <v>249</v>
      </c>
      <c r="D12860" s="21"/>
    </row>
    <row r="12861" spans="1:4" ht="12.75" customHeight="1" x14ac:dyDescent="0.2">
      <c r="A12861" s="21"/>
      <c r="B12861" s="3" t="s">
        <v>11</v>
      </c>
      <c r="C12861" s="23" t="s">
        <v>2160</v>
      </c>
      <c r="D12861" s="21"/>
    </row>
    <row r="12862" spans="1:4" ht="12.75" customHeight="1" x14ac:dyDescent="0.2">
      <c r="A12862" s="21"/>
      <c r="B12862" s="3" t="s">
        <v>16</v>
      </c>
      <c r="C12862" s="23"/>
      <c r="D12862" s="21"/>
    </row>
    <row r="12863" spans="1:4" ht="12.75" customHeight="1" x14ac:dyDescent="0.2">
      <c r="A12863" s="21"/>
      <c r="B12863" s="3" t="s">
        <v>17</v>
      </c>
      <c r="C12863" s="23" t="s">
        <v>19</v>
      </c>
      <c r="D12863" s="21"/>
    </row>
    <row r="12864" spans="1:4" ht="12.75" customHeight="1" x14ac:dyDescent="0.2">
      <c r="A12864" s="21"/>
      <c r="B12864" s="20" t="s">
        <v>18</v>
      </c>
      <c r="C12864" s="8" t="s">
        <v>44</v>
      </c>
      <c r="D12864" s="1" t="str">
        <f>HYPERLINK("javascript:void(0)","pikkelypajzs")</f>
        <v>pikkelypajzs</v>
      </c>
    </row>
    <row r="12865" spans="1:4" ht="12.75" customHeight="1" x14ac:dyDescent="0.2">
      <c r="A12865" s="21"/>
      <c r="B12865" s="21"/>
      <c r="C12865" s="8" t="s">
        <v>244</v>
      </c>
      <c r="D12865" s="1" t="str">
        <f>HYPERLINK("javascript:void(0)","képszél")</f>
        <v>képszél</v>
      </c>
    </row>
    <row r="12866" spans="1:4" ht="12.75" customHeight="1" x14ac:dyDescent="0.2">
      <c r="A12866" s="21"/>
      <c r="B12866" s="21"/>
      <c r="C12866" s="8" t="s">
        <v>780</v>
      </c>
      <c r="D12866" s="1" t="str">
        <f>HYPERLINK("javascript:void(0)","pálha")</f>
        <v>pálha</v>
      </c>
    </row>
    <row r="12867" spans="1:4" ht="12.75" customHeight="1" x14ac:dyDescent="0.2">
      <c r="A12867" s="21"/>
      <c r="B12867" s="2"/>
      <c r="C12867" s="7"/>
      <c r="D12867" s="7"/>
    </row>
    <row r="12868" spans="1:4" ht="12.75" customHeight="1" x14ac:dyDescent="0.2">
      <c r="A12868" s="21"/>
      <c r="B12868" s="2"/>
      <c r="C12868" s="7"/>
      <c r="D12868" s="7"/>
    </row>
    <row r="12869" spans="1:4" ht="12.75" customHeight="1" x14ac:dyDescent="0.2">
      <c r="A12869" s="21"/>
      <c r="B12869" s="2"/>
      <c r="C12869" s="7"/>
      <c r="D12869" s="7"/>
    </row>
    <row r="12870" spans="1:4" ht="12.75" customHeight="1" x14ac:dyDescent="0.2">
      <c r="A12870" s="21"/>
      <c r="B12870" s="2"/>
      <c r="C12870" s="7"/>
      <c r="D12870" s="7"/>
    </row>
    <row r="12871" spans="1:4" ht="12.75" customHeight="1" x14ac:dyDescent="0.2">
      <c r="A12871" s="5"/>
      <c r="B12871" s="2"/>
      <c r="C12871" s="7"/>
      <c r="D12871" s="7"/>
    </row>
    <row r="12872" spans="1:4" ht="12.75" customHeight="1" x14ac:dyDescent="0.2">
      <c r="A12872" s="22" t="str">
        <f>HYPERLINK("javascript:void(0)","mengorni szellempajzs")</f>
        <v>mengorni szellempajzs</v>
      </c>
      <c r="B12872" s="21"/>
      <c r="C12872" s="21"/>
      <c r="D12872" s="21"/>
    </row>
    <row r="12873" spans="1:4" ht="12.75" customHeight="1" x14ac:dyDescent="0.2">
      <c r="A12873" s="20"/>
      <c r="B12873" s="2"/>
      <c r="C12873" s="7"/>
      <c r="D12873" s="7"/>
    </row>
    <row r="12874" spans="1:4" ht="12.75" customHeight="1" x14ac:dyDescent="0.2">
      <c r="A12874" s="21"/>
      <c r="B12874" s="3" t="s">
        <v>0</v>
      </c>
      <c r="C12874" s="23" t="s">
        <v>293</v>
      </c>
      <c r="D12874" s="21"/>
    </row>
    <row r="12875" spans="1:4" ht="12.75" customHeight="1" x14ac:dyDescent="0.2">
      <c r="A12875" s="21"/>
      <c r="B12875" s="3" t="s">
        <v>2</v>
      </c>
      <c r="C12875" s="23" t="s">
        <v>1839</v>
      </c>
      <c r="D12875" s="21"/>
    </row>
    <row r="12876" spans="1:4" ht="12.75" customHeight="1" x14ac:dyDescent="0.2">
      <c r="A12876" s="21"/>
      <c r="B12876" s="3" t="s">
        <v>1840</v>
      </c>
      <c r="C12876" s="23" t="s">
        <v>2422</v>
      </c>
      <c r="D12876" s="21"/>
    </row>
    <row r="12877" spans="1:4" ht="12.75" customHeight="1" x14ac:dyDescent="0.2">
      <c r="A12877" s="21"/>
      <c r="B12877" s="3" t="s">
        <v>9</v>
      </c>
      <c r="C12877" s="23" t="s">
        <v>1790</v>
      </c>
      <c r="D12877" s="21"/>
    </row>
    <row r="12878" spans="1:4" ht="12.75" customHeight="1" x14ac:dyDescent="0.2">
      <c r="A12878" s="21"/>
      <c r="B12878" s="3" t="s">
        <v>11</v>
      </c>
      <c r="C12878" s="23" t="s">
        <v>2164</v>
      </c>
      <c r="D12878" s="21"/>
    </row>
    <row r="12879" spans="1:4" ht="12.75" customHeight="1" x14ac:dyDescent="0.2">
      <c r="A12879" s="21"/>
      <c r="B12879" s="3" t="s">
        <v>16</v>
      </c>
      <c r="C12879" s="23"/>
      <c r="D12879" s="21"/>
    </row>
    <row r="12880" spans="1:4" ht="12.75" customHeight="1" x14ac:dyDescent="0.2">
      <c r="A12880" s="21"/>
      <c r="B12880" s="3" t="s">
        <v>17</v>
      </c>
      <c r="C12880" s="23" t="s">
        <v>19</v>
      </c>
      <c r="D12880" s="21"/>
    </row>
    <row r="12881" spans="1:4" ht="12.75" customHeight="1" x14ac:dyDescent="0.2">
      <c r="A12881" s="21"/>
      <c r="B12881" s="20" t="s">
        <v>18</v>
      </c>
      <c r="C12881" s="8" t="s">
        <v>44</v>
      </c>
      <c r="D12881" s="1" t="str">
        <f>HYPERLINK("javascript:void(0)","képékpajzs")</f>
        <v>képékpajzs</v>
      </c>
    </row>
    <row r="12882" spans="1:4" ht="12.75" customHeight="1" x14ac:dyDescent="0.2">
      <c r="A12882" s="21"/>
      <c r="B12882" s="21"/>
      <c r="C12882" s="8" t="s">
        <v>163</v>
      </c>
      <c r="D12882" s="1" t="str">
        <f>HYPERLINK("javascript:void(0)","pálha")</f>
        <v>pálha</v>
      </c>
    </row>
    <row r="12883" spans="1:4" ht="12.75" customHeight="1" x14ac:dyDescent="0.2">
      <c r="A12883" s="21"/>
      <c r="B12883" s="21"/>
      <c r="C12883" s="8" t="s">
        <v>265</v>
      </c>
      <c r="D12883" s="1" t="str">
        <f>HYPERLINK("javascript:void(0)","hálószem")</f>
        <v>hálószem</v>
      </c>
    </row>
    <row r="12884" spans="1:4" ht="12.75" customHeight="1" x14ac:dyDescent="0.2">
      <c r="A12884" s="21"/>
      <c r="B12884" s="2"/>
      <c r="C12884" s="7"/>
      <c r="D12884" s="7"/>
    </row>
    <row r="12885" spans="1:4" ht="12.75" customHeight="1" x14ac:dyDescent="0.2">
      <c r="A12885" s="21"/>
      <c r="B12885" s="2"/>
      <c r="C12885" s="7"/>
      <c r="D12885" s="7"/>
    </row>
    <row r="12886" spans="1:4" ht="12.75" customHeight="1" x14ac:dyDescent="0.2">
      <c r="A12886" s="21"/>
      <c r="B12886" s="2"/>
      <c r="C12886" s="7"/>
      <c r="D12886" s="7"/>
    </row>
    <row r="12887" spans="1:4" ht="12.75" customHeight="1" x14ac:dyDescent="0.2">
      <c r="A12887" s="21"/>
      <c r="B12887" s="2"/>
      <c r="C12887" s="7"/>
      <c r="D12887" s="7"/>
    </row>
    <row r="12888" spans="1:4" ht="12.75" customHeight="1" x14ac:dyDescent="0.2">
      <c r="A12888" s="5"/>
      <c r="B12888" s="2"/>
      <c r="C12888" s="7"/>
      <c r="D12888" s="7"/>
    </row>
    <row r="12889" spans="1:4" ht="12.75" customHeight="1" x14ac:dyDescent="0.2">
      <c r="A12889" s="22" t="str">
        <f>HYPERLINK("javascript:void(0)","mengorni fűző")</f>
        <v>mengorni fűző</v>
      </c>
      <c r="B12889" s="21"/>
      <c r="C12889" s="21"/>
      <c r="D12889" s="21"/>
    </row>
    <row r="12890" spans="1:4" ht="12.75" customHeight="1" x14ac:dyDescent="0.2">
      <c r="A12890" s="20"/>
      <c r="B12890" s="2"/>
      <c r="C12890" s="7"/>
      <c r="D12890" s="7"/>
    </row>
    <row r="12891" spans="1:4" ht="12.75" customHeight="1" x14ac:dyDescent="0.2">
      <c r="A12891" s="21"/>
      <c r="B12891" s="3" t="s">
        <v>0</v>
      </c>
      <c r="C12891" s="23" t="s">
        <v>293</v>
      </c>
      <c r="D12891" s="21"/>
    </row>
    <row r="12892" spans="1:4" ht="12.75" customHeight="1" x14ac:dyDescent="0.2">
      <c r="A12892" s="21"/>
      <c r="B12892" s="3" t="s">
        <v>2</v>
      </c>
      <c r="C12892" s="23"/>
      <c r="D12892" s="21"/>
    </row>
    <row r="12893" spans="1:4" ht="12.75" customHeight="1" x14ac:dyDescent="0.2">
      <c r="A12893" s="21"/>
      <c r="B12893" s="3" t="s">
        <v>1840</v>
      </c>
      <c r="C12893" s="23" t="s">
        <v>127</v>
      </c>
      <c r="D12893" s="21"/>
    </row>
    <row r="12894" spans="1:4" ht="12.75" customHeight="1" x14ac:dyDescent="0.2">
      <c r="A12894" s="21"/>
      <c r="B12894" s="3" t="s">
        <v>9</v>
      </c>
      <c r="C12894" s="23" t="s">
        <v>70</v>
      </c>
      <c r="D12894" s="21"/>
    </row>
    <row r="12895" spans="1:4" ht="12.75" customHeight="1" x14ac:dyDescent="0.2">
      <c r="A12895" s="21"/>
      <c r="B12895" s="3" t="s">
        <v>11</v>
      </c>
      <c r="C12895" s="23" t="s">
        <v>2144</v>
      </c>
      <c r="D12895" s="21"/>
    </row>
    <row r="12896" spans="1:4" ht="12.75" customHeight="1" x14ac:dyDescent="0.2">
      <c r="A12896" s="21"/>
      <c r="B12896" s="3" t="s">
        <v>16</v>
      </c>
      <c r="C12896" s="23"/>
      <c r="D12896" s="21"/>
    </row>
    <row r="12897" spans="1:4" ht="12.75" customHeight="1" x14ac:dyDescent="0.2">
      <c r="A12897" s="21"/>
      <c r="B12897" s="3" t="s">
        <v>17</v>
      </c>
      <c r="C12897" s="23" t="s">
        <v>19</v>
      </c>
      <c r="D12897" s="21"/>
    </row>
    <row r="12898" spans="1:4" ht="12.75" customHeight="1" x14ac:dyDescent="0.2">
      <c r="A12898" s="21"/>
      <c r="B12898" s="20" t="s">
        <v>18</v>
      </c>
      <c r="C12898" s="8" t="s">
        <v>269</v>
      </c>
      <c r="D12898" s="1" t="str">
        <f>HYPERLINK("javascript:void(0)","vasorr")</f>
        <v>vasorr</v>
      </c>
    </row>
    <row r="12899" spans="1:4" ht="12.75" customHeight="1" x14ac:dyDescent="0.2">
      <c r="A12899" s="21"/>
      <c r="B12899" s="21"/>
      <c r="C12899" s="8" t="s">
        <v>68</v>
      </c>
      <c r="D12899" s="1" t="str">
        <f>HYPERLINK("javascript:void(0)","hálószem")</f>
        <v>hálószem</v>
      </c>
    </row>
    <row r="12900" spans="1:4" ht="12.75" customHeight="1" x14ac:dyDescent="0.2">
      <c r="A12900" s="21"/>
      <c r="B12900" s="21"/>
      <c r="C12900" s="8" t="s">
        <v>132</v>
      </c>
      <c r="D12900" s="1" t="str">
        <f>HYPERLINK("javascript:void(0)","rozmáragyar")</f>
        <v>rozmáragyar</v>
      </c>
    </row>
    <row r="12901" spans="1:4" ht="12.75" customHeight="1" x14ac:dyDescent="0.2">
      <c r="A12901" s="21"/>
      <c r="B12901" s="2"/>
      <c r="C12901" s="7"/>
      <c r="D12901" s="7"/>
    </row>
    <row r="12902" spans="1:4" ht="12.75" customHeight="1" x14ac:dyDescent="0.2">
      <c r="A12902" s="21"/>
      <c r="B12902" s="2"/>
      <c r="C12902" s="7"/>
      <c r="D12902" s="7"/>
    </row>
    <row r="12903" spans="1:4" ht="12.75" customHeight="1" x14ac:dyDescent="0.2">
      <c r="A12903" s="21"/>
      <c r="B12903" s="2"/>
      <c r="C12903" s="7"/>
      <c r="D12903" s="7"/>
    </row>
    <row r="12904" spans="1:4" ht="12.75" customHeight="1" x14ac:dyDescent="0.2">
      <c r="A12904" s="21"/>
      <c r="B12904" s="2"/>
      <c r="C12904" s="7"/>
      <c r="D12904" s="7"/>
    </row>
    <row r="12905" spans="1:4" ht="12.75" customHeight="1" x14ac:dyDescent="0.2">
      <c r="A12905" s="5"/>
      <c r="B12905" s="2"/>
      <c r="C12905" s="7"/>
      <c r="D12905" s="7"/>
    </row>
    <row r="12906" spans="1:4" ht="12.75" customHeight="1" x14ac:dyDescent="0.2">
      <c r="A12906" s="22" t="str">
        <f>HYPERLINK("javascript:void(0)","csillámpáncél")</f>
        <v>csillámpáncél</v>
      </c>
      <c r="B12906" s="21"/>
      <c r="C12906" s="21"/>
      <c r="D12906" s="21"/>
    </row>
    <row r="12907" spans="1:4" ht="12.75" customHeight="1" x14ac:dyDescent="0.2">
      <c r="A12907" s="20"/>
      <c r="B12907" s="2"/>
      <c r="C12907" s="7"/>
      <c r="D12907" s="7"/>
    </row>
    <row r="12908" spans="1:4" ht="12.75" customHeight="1" x14ac:dyDescent="0.2">
      <c r="A12908" s="21"/>
      <c r="B12908" s="3" t="s">
        <v>0</v>
      </c>
      <c r="C12908" s="23" t="s">
        <v>968</v>
      </c>
      <c r="D12908" s="21"/>
    </row>
    <row r="12909" spans="1:4" ht="12.75" customHeight="1" x14ac:dyDescent="0.2">
      <c r="A12909" s="21"/>
      <c r="B12909" s="3" t="s">
        <v>2</v>
      </c>
      <c r="C12909" s="23" t="s">
        <v>2322</v>
      </c>
      <c r="D12909" s="21"/>
    </row>
    <row r="12910" spans="1:4" ht="12.75" customHeight="1" x14ac:dyDescent="0.2">
      <c r="A12910" s="21"/>
      <c r="B12910" s="3" t="s">
        <v>1840</v>
      </c>
      <c r="C12910" s="23" t="s">
        <v>2505</v>
      </c>
      <c r="D12910" s="21"/>
    </row>
    <row r="12911" spans="1:4" ht="12.75" customHeight="1" x14ac:dyDescent="0.2">
      <c r="A12911" s="21"/>
      <c r="B12911" s="3" t="s">
        <v>9</v>
      </c>
      <c r="C12911" s="23" t="s">
        <v>753</v>
      </c>
      <c r="D12911" s="21"/>
    </row>
    <row r="12912" spans="1:4" ht="12.75" customHeight="1" x14ac:dyDescent="0.2">
      <c r="A12912" s="21"/>
      <c r="B12912" s="3" t="s">
        <v>11</v>
      </c>
      <c r="C12912" s="23" t="s">
        <v>1488</v>
      </c>
      <c r="D12912" s="21"/>
    </row>
    <row r="12913" spans="1:4" ht="12.75" customHeight="1" x14ac:dyDescent="0.2">
      <c r="A12913" s="21"/>
      <c r="B12913" s="3" t="s">
        <v>16</v>
      </c>
      <c r="C12913" s="23"/>
      <c r="D12913" s="21"/>
    </row>
    <row r="12914" spans="1:4" ht="12.75" customHeight="1" x14ac:dyDescent="0.2">
      <c r="A12914" s="21"/>
      <c r="B12914" s="3" t="s">
        <v>17</v>
      </c>
      <c r="C12914" s="23" t="s">
        <v>19</v>
      </c>
      <c r="D12914" s="21"/>
    </row>
    <row r="12915" spans="1:4" ht="12.75" customHeight="1" x14ac:dyDescent="0.2">
      <c r="A12915" s="21"/>
      <c r="B12915" s="20" t="s">
        <v>18</v>
      </c>
      <c r="C12915" s="8" t="s">
        <v>44</v>
      </c>
      <c r="D12915" s="1" t="str">
        <f>HYPERLINK("javascript:void(0)","teljes szélvért")</f>
        <v>teljes szélvért</v>
      </c>
    </row>
    <row r="12916" spans="1:4" ht="12.75" customHeight="1" x14ac:dyDescent="0.2">
      <c r="A12916" s="21"/>
      <c r="B12916" s="21"/>
      <c r="C12916" s="8" t="s">
        <v>44</v>
      </c>
      <c r="D12916" s="1" t="str">
        <f>HYPERLINK("javascript:void(0)","üvegmellvéd")</f>
        <v>üvegmellvéd</v>
      </c>
    </row>
    <row r="12917" spans="1:4" ht="12.75" customHeight="1" x14ac:dyDescent="0.2">
      <c r="A12917" s="21"/>
      <c r="B12917" s="21"/>
      <c r="C12917" s="8" t="s">
        <v>44</v>
      </c>
      <c r="D12917" s="1" t="str">
        <f>HYPERLINK("javascript:void(0)","ékes csillámöv")</f>
        <v>ékes csillámöv</v>
      </c>
    </row>
    <row r="12918" spans="1:4" ht="12.75" customHeight="1" x14ac:dyDescent="0.2">
      <c r="A12918" s="21"/>
      <c r="B12918" s="2"/>
      <c r="C12918" s="7"/>
      <c r="D12918" s="7"/>
    </row>
    <row r="12919" spans="1:4" ht="12.75" customHeight="1" x14ac:dyDescent="0.2">
      <c r="A12919" s="21"/>
      <c r="B12919" s="2"/>
      <c r="C12919" s="7"/>
      <c r="D12919" s="7"/>
    </row>
    <row r="12920" spans="1:4" ht="12.75" customHeight="1" x14ac:dyDescent="0.2">
      <c r="A12920" s="21"/>
      <c r="B12920" s="2"/>
      <c r="C12920" s="7"/>
      <c r="D12920" s="7"/>
    </row>
    <row r="12921" spans="1:4" ht="12.75" customHeight="1" x14ac:dyDescent="0.2">
      <c r="A12921" s="21"/>
      <c r="B12921" s="2"/>
      <c r="C12921" s="7"/>
      <c r="D12921" s="7"/>
    </row>
    <row r="12922" spans="1:4" ht="12.75" customHeight="1" x14ac:dyDescent="0.2">
      <c r="A12922" s="5"/>
      <c r="B12922" s="2"/>
      <c r="C12922" s="7"/>
      <c r="D12922" s="7"/>
    </row>
    <row r="12923" spans="1:4" ht="12.75" customHeight="1" x14ac:dyDescent="0.2">
      <c r="A12923" s="22" t="str">
        <f>HYPERLINK("javascript:void(0)","orrburkoló")</f>
        <v>orrburkoló</v>
      </c>
      <c r="B12923" s="21"/>
      <c r="C12923" s="21"/>
      <c r="D12923" s="21"/>
    </row>
    <row r="12924" spans="1:4" ht="12.75" customHeight="1" x14ac:dyDescent="0.2">
      <c r="A12924" s="20"/>
      <c r="B12924" s="2"/>
      <c r="C12924" s="7"/>
      <c r="D12924" s="7"/>
    </row>
    <row r="12925" spans="1:4" ht="12.75" customHeight="1" x14ac:dyDescent="0.2">
      <c r="A12925" s="21"/>
      <c r="B12925" s="3" t="s">
        <v>0</v>
      </c>
      <c r="C12925" s="23" t="s">
        <v>968</v>
      </c>
      <c r="D12925" s="21"/>
    </row>
    <row r="12926" spans="1:4" ht="12.75" customHeight="1" x14ac:dyDescent="0.2">
      <c r="A12926" s="21"/>
      <c r="B12926" s="3" t="s">
        <v>2</v>
      </c>
      <c r="C12926" s="23"/>
      <c r="D12926" s="21"/>
    </row>
    <row r="12927" spans="1:4" ht="12.75" customHeight="1" x14ac:dyDescent="0.2">
      <c r="A12927" s="21"/>
      <c r="B12927" s="3" t="s">
        <v>1840</v>
      </c>
      <c r="C12927" s="23" t="s">
        <v>2778</v>
      </c>
      <c r="D12927" s="21"/>
    </row>
    <row r="12928" spans="1:4" ht="12.75" customHeight="1" x14ac:dyDescent="0.2">
      <c r="A12928" s="21"/>
      <c r="B12928" s="3" t="s">
        <v>9</v>
      </c>
      <c r="C12928" s="23" t="s">
        <v>2511</v>
      </c>
      <c r="D12928" s="21"/>
    </row>
    <row r="12929" spans="1:4" ht="12.75" customHeight="1" x14ac:dyDescent="0.2">
      <c r="A12929" s="21"/>
      <c r="B12929" s="3" t="s">
        <v>11</v>
      </c>
      <c r="C12929" s="23" t="s">
        <v>1488</v>
      </c>
      <c r="D12929" s="21"/>
    </row>
    <row r="12930" spans="1:4" ht="12.75" customHeight="1" x14ac:dyDescent="0.2">
      <c r="A12930" s="21"/>
      <c r="B12930" s="3" t="s">
        <v>16</v>
      </c>
      <c r="C12930" s="23"/>
      <c r="D12930" s="21"/>
    </row>
    <row r="12931" spans="1:4" ht="12.75" customHeight="1" x14ac:dyDescent="0.2">
      <c r="A12931" s="21"/>
      <c r="B12931" s="3" t="s">
        <v>17</v>
      </c>
      <c r="C12931" s="23" t="s">
        <v>19</v>
      </c>
      <c r="D12931" s="21"/>
    </row>
    <row r="12932" spans="1:4" ht="12.75" customHeight="1" x14ac:dyDescent="0.2">
      <c r="A12932" s="21"/>
      <c r="B12932" s="20" t="s">
        <v>18</v>
      </c>
      <c r="C12932" s="8" t="s">
        <v>132</v>
      </c>
      <c r="D12932" s="1" t="str">
        <f>HYPERLINK("javascript:void(0)","orrkarika")</f>
        <v>orrkarika</v>
      </c>
    </row>
    <row r="12933" spans="1:4" ht="12.75" customHeight="1" x14ac:dyDescent="0.2">
      <c r="A12933" s="21"/>
      <c r="B12933" s="21"/>
      <c r="C12933" s="8" t="s">
        <v>132</v>
      </c>
      <c r="D12933" s="1" t="str">
        <f>HYPERLINK("javascript:void(0)","molekula")</f>
        <v>molekula</v>
      </c>
    </row>
    <row r="12934" spans="1:4" ht="12.75" customHeight="1" x14ac:dyDescent="0.2">
      <c r="A12934" s="21"/>
      <c r="B12934" s="21"/>
      <c r="C12934" s="8" t="s">
        <v>296</v>
      </c>
      <c r="D12934" s="1" t="str">
        <f>HYPERLINK("javascript:void(0)","átokige")</f>
        <v>átokige</v>
      </c>
    </row>
    <row r="12935" spans="1:4" ht="12.75" customHeight="1" x14ac:dyDescent="0.2">
      <c r="A12935" s="21"/>
      <c r="B12935" s="2"/>
      <c r="C12935" s="7"/>
      <c r="D12935" s="7"/>
    </row>
    <row r="12936" spans="1:4" ht="12.75" customHeight="1" x14ac:dyDescent="0.2">
      <c r="A12936" s="21"/>
      <c r="B12936" s="2"/>
      <c r="C12936" s="7"/>
      <c r="D12936" s="7"/>
    </row>
    <row r="12937" spans="1:4" ht="12.75" customHeight="1" x14ac:dyDescent="0.2">
      <c r="A12937" s="21"/>
      <c r="B12937" s="2"/>
      <c r="C12937" s="7"/>
      <c r="D12937" s="7"/>
    </row>
    <row r="12938" spans="1:4" ht="12.75" customHeight="1" x14ac:dyDescent="0.2">
      <c r="A12938" s="21"/>
      <c r="B12938" s="2"/>
      <c r="C12938" s="7"/>
      <c r="D12938" s="7"/>
    </row>
    <row r="12939" spans="1:4" ht="12.75" customHeight="1" x14ac:dyDescent="0.2">
      <c r="A12939" s="5"/>
      <c r="B12939" s="2"/>
      <c r="C12939" s="7"/>
      <c r="D12939" s="7"/>
    </row>
    <row r="12940" spans="1:4" ht="12.75" customHeight="1" x14ac:dyDescent="0.2">
      <c r="A12940" s="22" t="str">
        <f>HYPERLINK("javascript:void(0)","angyalsurranó")</f>
        <v>angyalsurranó</v>
      </c>
      <c r="B12940" s="21"/>
      <c r="C12940" s="21"/>
      <c r="D12940" s="21"/>
    </row>
    <row r="12941" spans="1:4" ht="12.75" customHeight="1" x14ac:dyDescent="0.2">
      <c r="A12941" s="20"/>
      <c r="B12941" s="2"/>
      <c r="C12941" s="7"/>
      <c r="D12941" s="7"/>
    </row>
    <row r="12942" spans="1:4" ht="12.75" customHeight="1" x14ac:dyDescent="0.2">
      <c r="A12942" s="21"/>
      <c r="B12942" s="3" t="s">
        <v>0</v>
      </c>
      <c r="C12942" s="23" t="s">
        <v>968</v>
      </c>
      <c r="D12942" s="21"/>
    </row>
    <row r="12943" spans="1:4" ht="12.75" customHeight="1" x14ac:dyDescent="0.2">
      <c r="A12943" s="21"/>
      <c r="B12943" s="3" t="s">
        <v>2</v>
      </c>
      <c r="C12943" s="23"/>
      <c r="D12943" s="21"/>
    </row>
    <row r="12944" spans="1:4" ht="12.75" customHeight="1" x14ac:dyDescent="0.2">
      <c r="A12944" s="21"/>
      <c r="B12944" s="3" t="s">
        <v>1840</v>
      </c>
      <c r="C12944" s="23" t="s">
        <v>2137</v>
      </c>
      <c r="D12944" s="21"/>
    </row>
    <row r="12945" spans="1:4" ht="12.75" customHeight="1" x14ac:dyDescent="0.2">
      <c r="A12945" s="21"/>
      <c r="B12945" s="3" t="s">
        <v>9</v>
      </c>
      <c r="C12945" s="23" t="s">
        <v>210</v>
      </c>
      <c r="D12945" s="21"/>
    </row>
    <row r="12946" spans="1:4" ht="12.75" customHeight="1" x14ac:dyDescent="0.2">
      <c r="A12946" s="21"/>
      <c r="B12946" s="3" t="s">
        <v>11</v>
      </c>
      <c r="C12946" s="23" t="s">
        <v>1500</v>
      </c>
      <c r="D12946" s="21"/>
    </row>
    <row r="12947" spans="1:4" ht="12.75" customHeight="1" x14ac:dyDescent="0.2">
      <c r="A12947" s="21"/>
      <c r="B12947" s="3" t="s">
        <v>16</v>
      </c>
      <c r="C12947" s="23"/>
      <c r="D12947" s="21"/>
    </row>
    <row r="12948" spans="1:4" ht="12.75" customHeight="1" x14ac:dyDescent="0.2">
      <c r="A12948" s="21"/>
      <c r="B12948" s="3" t="s">
        <v>17</v>
      </c>
      <c r="C12948" s="23" t="s">
        <v>19</v>
      </c>
      <c r="D12948" s="21"/>
    </row>
    <row r="12949" spans="1:4" ht="12.75" customHeight="1" x14ac:dyDescent="0.2">
      <c r="A12949" s="21"/>
      <c r="B12949" s="20" t="s">
        <v>18</v>
      </c>
      <c r="C12949" s="8" t="s">
        <v>44</v>
      </c>
      <c r="D12949" s="1" t="str">
        <f>HYPERLINK("javascript:void(0)","mengorni mokaszin")</f>
        <v>mengorni mokaszin</v>
      </c>
    </row>
    <row r="12950" spans="1:4" ht="12.75" customHeight="1" x14ac:dyDescent="0.2">
      <c r="A12950" s="21"/>
      <c r="B12950" s="21"/>
      <c r="C12950" s="8" t="s">
        <v>296</v>
      </c>
      <c r="D12950" s="1" t="str">
        <f>HYPERLINK("javascript:void(0)","angyalhaj")</f>
        <v>angyalhaj</v>
      </c>
    </row>
    <row r="12951" spans="1:4" ht="12.75" customHeight="1" x14ac:dyDescent="0.2">
      <c r="A12951" s="21"/>
      <c r="B12951" s="21"/>
      <c r="C12951" s="8" t="s">
        <v>269</v>
      </c>
      <c r="D12951" s="1" t="str">
        <f>HYPERLINK("javascript:void(0)","orrkarika")</f>
        <v>orrkarika</v>
      </c>
    </row>
    <row r="12952" spans="1:4" ht="12.75" customHeight="1" x14ac:dyDescent="0.2">
      <c r="A12952" s="21"/>
      <c r="B12952" s="2"/>
      <c r="C12952" s="7"/>
      <c r="D12952" s="7"/>
    </row>
    <row r="12953" spans="1:4" ht="12.75" customHeight="1" x14ac:dyDescent="0.2">
      <c r="A12953" s="21"/>
      <c r="B12953" s="2"/>
      <c r="C12953" s="7"/>
      <c r="D12953" s="7"/>
    </row>
    <row r="12954" spans="1:4" ht="12.75" customHeight="1" x14ac:dyDescent="0.2">
      <c r="A12954" s="21"/>
      <c r="B12954" s="2"/>
      <c r="C12954" s="7"/>
      <c r="D12954" s="7"/>
    </row>
    <row r="12955" spans="1:4" ht="12.75" customHeight="1" x14ac:dyDescent="0.2">
      <c r="A12955" s="21"/>
      <c r="B12955" s="2"/>
      <c r="C12955" s="7"/>
      <c r="D12955" s="7"/>
    </row>
    <row r="12956" spans="1:4" ht="12.75" customHeight="1" x14ac:dyDescent="0.2">
      <c r="A12956" s="5"/>
      <c r="B12956" s="2"/>
      <c r="C12956" s="7"/>
      <c r="D12956" s="7"/>
    </row>
    <row r="12957" spans="1:4" ht="12.75" customHeight="1" x14ac:dyDescent="0.2">
      <c r="A12957" s="22" t="str">
        <f>HYPERLINK("javascript:void(0)","képék testpajzs")</f>
        <v>képék testpajzs</v>
      </c>
      <c r="B12957" s="21"/>
      <c r="C12957" s="21"/>
      <c r="D12957" s="21"/>
    </row>
    <row r="12958" spans="1:4" ht="12.75" customHeight="1" x14ac:dyDescent="0.2">
      <c r="A12958" s="20"/>
      <c r="B12958" s="2"/>
      <c r="C12958" s="7"/>
      <c r="D12958" s="7"/>
    </row>
    <row r="12959" spans="1:4" ht="12.75" customHeight="1" x14ac:dyDescent="0.2">
      <c r="A12959" s="21"/>
      <c r="B12959" s="3" t="s">
        <v>0</v>
      </c>
      <c r="C12959" s="23" t="s">
        <v>968</v>
      </c>
      <c r="D12959" s="21"/>
    </row>
    <row r="12960" spans="1:4" ht="12.75" customHeight="1" x14ac:dyDescent="0.2">
      <c r="A12960" s="21"/>
      <c r="B12960" s="3" t="s">
        <v>2</v>
      </c>
      <c r="C12960" s="23" t="s">
        <v>1839</v>
      </c>
      <c r="D12960" s="21"/>
    </row>
    <row r="12961" spans="1:4" ht="12.75" customHeight="1" x14ac:dyDescent="0.2">
      <c r="A12961" s="21"/>
      <c r="B12961" s="3" t="s">
        <v>1840</v>
      </c>
      <c r="C12961" s="23" t="s">
        <v>2168</v>
      </c>
      <c r="D12961" s="21"/>
    </row>
    <row r="12962" spans="1:4" ht="12.75" customHeight="1" x14ac:dyDescent="0.2">
      <c r="A12962" s="21"/>
      <c r="B12962" s="3" t="s">
        <v>9</v>
      </c>
      <c r="C12962" s="23" t="s">
        <v>262</v>
      </c>
      <c r="D12962" s="21"/>
    </row>
    <row r="12963" spans="1:4" ht="12.75" customHeight="1" x14ac:dyDescent="0.2">
      <c r="A12963" s="21"/>
      <c r="B12963" s="3" t="s">
        <v>11</v>
      </c>
      <c r="C12963" s="23" t="s">
        <v>1029</v>
      </c>
      <c r="D12963" s="21"/>
    </row>
    <row r="12964" spans="1:4" ht="12.75" customHeight="1" x14ac:dyDescent="0.2">
      <c r="A12964" s="21"/>
      <c r="B12964" s="3" t="s">
        <v>16</v>
      </c>
      <c r="C12964" s="23"/>
      <c r="D12964" s="21"/>
    </row>
    <row r="12965" spans="1:4" ht="12.75" customHeight="1" x14ac:dyDescent="0.2">
      <c r="A12965" s="21"/>
      <c r="B12965" s="3" t="s">
        <v>17</v>
      </c>
      <c r="C12965" s="23" t="s">
        <v>19</v>
      </c>
      <c r="D12965" s="21"/>
    </row>
    <row r="12966" spans="1:4" ht="12.75" customHeight="1" x14ac:dyDescent="0.2">
      <c r="A12966" s="21"/>
      <c r="B12966" s="20" t="s">
        <v>18</v>
      </c>
      <c r="C12966" s="8" t="s">
        <v>44</v>
      </c>
      <c r="D12966" s="1" t="str">
        <f>HYPERLINK("javascript:void(0)","pikkelytestpajzs")</f>
        <v>pikkelytestpajzs</v>
      </c>
    </row>
    <row r="12967" spans="1:4" ht="12.75" customHeight="1" x14ac:dyDescent="0.2">
      <c r="A12967" s="21"/>
      <c r="B12967" s="21"/>
      <c r="C12967" s="8" t="s">
        <v>244</v>
      </c>
      <c r="D12967" s="1" t="str">
        <f>HYPERLINK("javascript:void(0)","lékék")</f>
        <v>lékék</v>
      </c>
    </row>
    <row r="12968" spans="1:4" ht="12.75" customHeight="1" x14ac:dyDescent="0.2">
      <c r="A12968" s="21"/>
      <c r="B12968" s="21"/>
      <c r="C12968" s="8" t="s">
        <v>117</v>
      </c>
      <c r="D12968" s="1" t="str">
        <f>HYPERLINK("javascript:void(0)","rozmáragyar")</f>
        <v>rozmáragyar</v>
      </c>
    </row>
    <row r="12969" spans="1:4" ht="12.75" customHeight="1" x14ac:dyDescent="0.2">
      <c r="A12969" s="21"/>
      <c r="B12969" s="2"/>
      <c r="C12969" s="7"/>
      <c r="D12969" s="7"/>
    </row>
    <row r="12970" spans="1:4" ht="12.75" customHeight="1" x14ac:dyDescent="0.2">
      <c r="A12970" s="21"/>
      <c r="B12970" s="2"/>
      <c r="C12970" s="7"/>
      <c r="D12970" s="7"/>
    </row>
    <row r="12971" spans="1:4" ht="12.75" customHeight="1" x14ac:dyDescent="0.2">
      <c r="A12971" s="21"/>
      <c r="B12971" s="2"/>
      <c r="C12971" s="7"/>
      <c r="D12971" s="7"/>
    </row>
    <row r="12972" spans="1:4" ht="12.75" customHeight="1" x14ac:dyDescent="0.2">
      <c r="A12972" s="21"/>
      <c r="B12972" s="2"/>
      <c r="C12972" s="7"/>
      <c r="D12972" s="7"/>
    </row>
    <row r="12973" spans="1:4" ht="12.75" customHeight="1" x14ac:dyDescent="0.2">
      <c r="A12973" s="5"/>
      <c r="B12973" s="2"/>
      <c r="C12973" s="7"/>
      <c r="D12973" s="7"/>
    </row>
    <row r="12974" spans="1:4" ht="12.75" customHeight="1" x14ac:dyDescent="0.2">
      <c r="A12974" s="22" t="str">
        <f>HYPERLINK("javascript:void(0)","fotoacél szellempajzs")</f>
        <v>fotoacél szellempajzs</v>
      </c>
      <c r="B12974" s="21"/>
      <c r="C12974" s="21"/>
      <c r="D12974" s="21"/>
    </row>
    <row r="12975" spans="1:4" ht="12.75" customHeight="1" x14ac:dyDescent="0.2">
      <c r="A12975" s="20"/>
      <c r="B12975" s="2"/>
      <c r="C12975" s="7"/>
      <c r="D12975" s="7"/>
    </row>
    <row r="12976" spans="1:4" ht="12.75" customHeight="1" x14ac:dyDescent="0.2">
      <c r="A12976" s="21"/>
      <c r="B12976" s="3" t="s">
        <v>0</v>
      </c>
      <c r="C12976" s="23" t="s">
        <v>968</v>
      </c>
      <c r="D12976" s="21"/>
    </row>
    <row r="12977" spans="1:4" ht="12.75" customHeight="1" x14ac:dyDescent="0.2">
      <c r="A12977" s="21"/>
      <c r="B12977" s="3" t="s">
        <v>2</v>
      </c>
      <c r="C12977" s="23" t="s">
        <v>1839</v>
      </c>
      <c r="D12977" s="21"/>
    </row>
    <row r="12978" spans="1:4" ht="12.75" customHeight="1" x14ac:dyDescent="0.2">
      <c r="A12978" s="21"/>
      <c r="B12978" s="3" t="s">
        <v>1840</v>
      </c>
      <c r="C12978" s="23" t="s">
        <v>2168</v>
      </c>
      <c r="D12978" s="21"/>
    </row>
    <row r="12979" spans="1:4" ht="12.75" customHeight="1" x14ac:dyDescent="0.2">
      <c r="A12979" s="21"/>
      <c r="B12979" s="3" t="s">
        <v>9</v>
      </c>
      <c r="C12979" s="23" t="s">
        <v>2535</v>
      </c>
      <c r="D12979" s="21"/>
    </row>
    <row r="12980" spans="1:4" ht="12.75" customHeight="1" x14ac:dyDescent="0.2">
      <c r="A12980" s="21"/>
      <c r="B12980" s="3" t="s">
        <v>11</v>
      </c>
      <c r="C12980" s="23" t="s">
        <v>1544</v>
      </c>
      <c r="D12980" s="21"/>
    </row>
    <row r="12981" spans="1:4" ht="12.75" customHeight="1" x14ac:dyDescent="0.2">
      <c r="A12981" s="21"/>
      <c r="B12981" s="3" t="s">
        <v>16</v>
      </c>
      <c r="C12981" s="23"/>
      <c r="D12981" s="21"/>
    </row>
    <row r="12982" spans="1:4" ht="12.75" customHeight="1" x14ac:dyDescent="0.2">
      <c r="A12982" s="21"/>
      <c r="B12982" s="3" t="s">
        <v>17</v>
      </c>
      <c r="C12982" s="23" t="s">
        <v>19</v>
      </c>
      <c r="D12982" s="21"/>
    </row>
    <row r="12983" spans="1:4" ht="12.75" customHeight="1" x14ac:dyDescent="0.2">
      <c r="A12983" s="21"/>
      <c r="B12983" s="20" t="s">
        <v>18</v>
      </c>
      <c r="C12983" s="8" t="s">
        <v>44</v>
      </c>
      <c r="D12983" s="1" t="str">
        <f>HYPERLINK("javascript:void(0)","képék testpajzs")</f>
        <v>képék testpajzs</v>
      </c>
    </row>
    <row r="12984" spans="1:4" ht="12.75" customHeight="1" x14ac:dyDescent="0.2">
      <c r="A12984" s="21"/>
      <c r="B12984" s="21"/>
      <c r="C12984" s="8" t="s">
        <v>398</v>
      </c>
      <c r="D12984" s="1" t="str">
        <f>HYPERLINK("javascript:void(0)","angyalhaj")</f>
        <v>angyalhaj</v>
      </c>
    </row>
    <row r="12985" spans="1:4" ht="12.75" customHeight="1" x14ac:dyDescent="0.2">
      <c r="A12985" s="21"/>
      <c r="B12985" s="21"/>
      <c r="C12985" s="8" t="s">
        <v>193</v>
      </c>
      <c r="D12985" s="1" t="str">
        <f>HYPERLINK("javascript:void(0)","orrkarika")</f>
        <v>orrkarika</v>
      </c>
    </row>
    <row r="12986" spans="1:4" ht="12.75" customHeight="1" x14ac:dyDescent="0.2">
      <c r="A12986" s="21"/>
      <c r="B12986" s="2"/>
      <c r="C12986" s="7"/>
      <c r="D12986" s="7"/>
    </row>
    <row r="12987" spans="1:4" ht="12.75" customHeight="1" x14ac:dyDescent="0.2">
      <c r="A12987" s="21"/>
      <c r="B12987" s="2"/>
      <c r="C12987" s="7"/>
      <c r="D12987" s="7"/>
    </row>
    <row r="12988" spans="1:4" ht="12.75" customHeight="1" x14ac:dyDescent="0.2">
      <c r="A12988" s="21"/>
      <c r="B12988" s="2"/>
      <c r="C12988" s="7"/>
      <c r="D12988" s="7"/>
    </row>
    <row r="12989" spans="1:4" ht="12.75" customHeight="1" x14ac:dyDescent="0.2">
      <c r="A12989" s="21"/>
      <c r="B12989" s="2"/>
      <c r="C12989" s="7"/>
      <c r="D12989" s="7"/>
    </row>
    <row r="12990" spans="1:4" ht="12.75" customHeight="1" x14ac:dyDescent="0.2">
      <c r="A12990" s="5"/>
      <c r="B12990" s="2"/>
      <c r="C12990" s="7"/>
      <c r="D12990" s="7"/>
    </row>
    <row r="12991" spans="1:4" ht="12.75" customHeight="1" x14ac:dyDescent="0.2">
      <c r="A12991" s="22" t="str">
        <f>HYPERLINK("javascript:void(0)","ékes csillámöv")</f>
        <v>ékes csillámöv</v>
      </c>
      <c r="B12991" s="21"/>
      <c r="C12991" s="21"/>
      <c r="D12991" s="21"/>
    </row>
    <row r="12992" spans="1:4" ht="12.75" customHeight="1" x14ac:dyDescent="0.2">
      <c r="A12992" s="20"/>
      <c r="B12992" s="2"/>
      <c r="C12992" s="7"/>
      <c r="D12992" s="7"/>
    </row>
    <row r="12993" spans="1:4" ht="12.75" customHeight="1" x14ac:dyDescent="0.2">
      <c r="A12993" s="21"/>
      <c r="B12993" s="3" t="s">
        <v>0</v>
      </c>
      <c r="C12993" s="23" t="s">
        <v>968</v>
      </c>
      <c r="D12993" s="21"/>
    </row>
    <row r="12994" spans="1:4" ht="12.75" customHeight="1" x14ac:dyDescent="0.2">
      <c r="A12994" s="21"/>
      <c r="B12994" s="3" t="s">
        <v>2</v>
      </c>
      <c r="C12994" s="23" t="s">
        <v>2322</v>
      </c>
      <c r="D12994" s="21"/>
    </row>
    <row r="12995" spans="1:4" ht="12.75" customHeight="1" x14ac:dyDescent="0.2">
      <c r="A12995" s="21"/>
      <c r="B12995" s="3" t="s">
        <v>1840</v>
      </c>
      <c r="C12995" s="23" t="s">
        <v>435</v>
      </c>
      <c r="D12995" s="21"/>
    </row>
    <row r="12996" spans="1:4" ht="12.75" customHeight="1" x14ac:dyDescent="0.2">
      <c r="A12996" s="21"/>
      <c r="B12996" s="3" t="s">
        <v>9</v>
      </c>
      <c r="C12996" s="23" t="s">
        <v>172</v>
      </c>
      <c r="D12996" s="21"/>
    </row>
    <row r="12997" spans="1:4" ht="12.75" customHeight="1" x14ac:dyDescent="0.2">
      <c r="A12997" s="21"/>
      <c r="B12997" s="3" t="s">
        <v>11</v>
      </c>
      <c r="C12997" s="23" t="s">
        <v>2506</v>
      </c>
      <c r="D12997" s="21"/>
    </row>
    <row r="12998" spans="1:4" ht="12.75" customHeight="1" x14ac:dyDescent="0.2">
      <c r="A12998" s="21"/>
      <c r="B12998" s="3" t="s">
        <v>16</v>
      </c>
      <c r="C12998" s="23"/>
      <c r="D12998" s="21"/>
    </row>
    <row r="12999" spans="1:4" ht="12.75" customHeight="1" x14ac:dyDescent="0.2">
      <c r="A12999" s="21"/>
      <c r="B12999" s="3" t="s">
        <v>17</v>
      </c>
      <c r="C12999" s="23" t="s">
        <v>19</v>
      </c>
      <c r="D12999" s="21"/>
    </row>
    <row r="13000" spans="1:4" ht="12.75" customHeight="1" x14ac:dyDescent="0.2">
      <c r="A13000" s="21"/>
      <c r="B13000" s="20" t="s">
        <v>18</v>
      </c>
      <c r="C13000" s="8" t="s">
        <v>67</v>
      </c>
      <c r="D13000" s="1" t="str">
        <f>HYPERLINK("javascript:void(0)","lékék")</f>
        <v>lékék</v>
      </c>
    </row>
    <row r="13001" spans="1:4" ht="12.75" customHeight="1" x14ac:dyDescent="0.2">
      <c r="A13001" s="21"/>
      <c r="B13001" s="21"/>
      <c r="C13001" s="8" t="s">
        <v>331</v>
      </c>
      <c r="D13001" s="1" t="str">
        <f>HYPERLINK("javascript:void(0)","dobókocka")</f>
        <v>dobókocka</v>
      </c>
    </row>
    <row r="13002" spans="1:4" ht="12.75" customHeight="1" x14ac:dyDescent="0.2">
      <c r="A13002" s="21"/>
      <c r="B13002" s="21"/>
      <c r="C13002" s="8" t="s">
        <v>102</v>
      </c>
      <c r="D13002" s="1" t="str">
        <f>HYPERLINK("javascript:void(0)","ikerkristály")</f>
        <v>ikerkristály</v>
      </c>
    </row>
    <row r="13003" spans="1:4" ht="12.75" customHeight="1" x14ac:dyDescent="0.2">
      <c r="A13003" s="21"/>
      <c r="B13003" s="2"/>
      <c r="C13003" s="7"/>
      <c r="D13003" s="7"/>
    </row>
    <row r="13004" spans="1:4" ht="12.75" customHeight="1" x14ac:dyDescent="0.2">
      <c r="A13004" s="21"/>
      <c r="B13004" s="2"/>
      <c r="C13004" s="7"/>
      <c r="D13004" s="7"/>
    </row>
    <row r="13005" spans="1:4" ht="12.75" customHeight="1" x14ac:dyDescent="0.2">
      <c r="A13005" s="21"/>
      <c r="B13005" s="2"/>
      <c r="C13005" s="7"/>
      <c r="D13005" s="7"/>
    </row>
    <row r="13006" spans="1:4" ht="12.75" customHeight="1" x14ac:dyDescent="0.2">
      <c r="A13006" s="21"/>
      <c r="B13006" s="2"/>
      <c r="C13006" s="7"/>
      <c r="D13006" s="7"/>
    </row>
    <row r="13007" spans="1:4" ht="12.75" customHeight="1" x14ac:dyDescent="0.2">
      <c r="A13007" s="5"/>
      <c r="B13007" s="2"/>
      <c r="C13007" s="7"/>
      <c r="D13007" s="7"/>
    </row>
    <row r="13008" spans="1:4" ht="12.75" customHeight="1" x14ac:dyDescent="0.2">
      <c r="A13008" s="22" t="str">
        <f>HYPERLINK("javascript:void(0)","artini manasisak")</f>
        <v>artini manasisak</v>
      </c>
      <c r="B13008" s="21"/>
      <c r="C13008" s="21"/>
      <c r="D13008" s="21"/>
    </row>
    <row r="13009" spans="1:4" ht="12.75" customHeight="1" x14ac:dyDescent="0.2">
      <c r="A13009" s="20"/>
      <c r="B13009" s="2"/>
      <c r="C13009" s="7"/>
      <c r="D13009" s="7"/>
    </row>
    <row r="13010" spans="1:4" ht="12.75" customHeight="1" x14ac:dyDescent="0.2">
      <c r="A13010" s="21"/>
      <c r="B13010" s="3" t="s">
        <v>0</v>
      </c>
      <c r="C13010" s="23" t="s">
        <v>968</v>
      </c>
      <c r="D13010" s="21"/>
    </row>
    <row r="13011" spans="1:4" ht="12.75" customHeight="1" x14ac:dyDescent="0.2">
      <c r="A13011" s="21"/>
      <c r="B13011" s="3" t="s">
        <v>2</v>
      </c>
      <c r="C13011" s="23"/>
      <c r="D13011" s="21"/>
    </row>
    <row r="13012" spans="1:4" ht="12.75" customHeight="1" x14ac:dyDescent="0.2">
      <c r="A13012" s="21"/>
      <c r="B13012" s="3" t="s">
        <v>1840</v>
      </c>
      <c r="C13012" s="23" t="s">
        <v>1400</v>
      </c>
      <c r="D13012" s="21"/>
    </row>
    <row r="13013" spans="1:4" ht="12.75" customHeight="1" x14ac:dyDescent="0.2">
      <c r="A13013" s="21"/>
      <c r="B13013" s="3" t="s">
        <v>9</v>
      </c>
      <c r="C13013" s="23" t="s">
        <v>2273</v>
      </c>
      <c r="D13013" s="21"/>
    </row>
    <row r="13014" spans="1:4" ht="12.75" customHeight="1" x14ac:dyDescent="0.2">
      <c r="A13014" s="21"/>
      <c r="B13014" s="3" t="s">
        <v>11</v>
      </c>
      <c r="C13014" s="23" t="s">
        <v>5146</v>
      </c>
      <c r="D13014" s="21"/>
    </row>
    <row r="13015" spans="1:4" ht="12.75" customHeight="1" x14ac:dyDescent="0.2">
      <c r="A13015" s="21"/>
      <c r="B13015" s="3" t="s">
        <v>16</v>
      </c>
      <c r="C13015" s="23"/>
      <c r="D13015" s="21"/>
    </row>
    <row r="13016" spans="1:4" ht="12.75" customHeight="1" x14ac:dyDescent="0.2">
      <c r="A13016" s="21"/>
      <c r="B13016" s="3" t="s">
        <v>17</v>
      </c>
      <c r="C13016" s="23" t="s">
        <v>19</v>
      </c>
      <c r="D13016" s="21"/>
    </row>
    <row r="13017" spans="1:4" ht="12.75" customHeight="1" x14ac:dyDescent="0.2">
      <c r="A13017" s="21"/>
      <c r="B13017" s="20" t="s">
        <v>18</v>
      </c>
      <c r="C13017" s="8" t="s">
        <v>44</v>
      </c>
      <c r="D13017" s="1" t="str">
        <f>HYPERLINK("javascript:void(0)","thordi manasisak")</f>
        <v>thordi manasisak</v>
      </c>
    </row>
    <row r="13018" spans="1:4" ht="12.75" customHeight="1" x14ac:dyDescent="0.2">
      <c r="A13018" s="21"/>
      <c r="B13018" s="21"/>
      <c r="C13018" s="8" t="s">
        <v>244</v>
      </c>
      <c r="D13018" s="1" t="str">
        <f>HYPERLINK("javascript:void(0)","hálószem")</f>
        <v>hálószem</v>
      </c>
    </row>
    <row r="13019" spans="1:4" ht="12.75" customHeight="1" x14ac:dyDescent="0.2">
      <c r="A13019" s="21"/>
      <c r="B13019" s="21"/>
      <c r="C13019" s="8" t="s">
        <v>244</v>
      </c>
      <c r="D13019" s="1" t="str">
        <f>HYPERLINK("javascript:void(0)","démonamulett")</f>
        <v>démonamulett</v>
      </c>
    </row>
    <row r="13020" spans="1:4" ht="12.75" customHeight="1" x14ac:dyDescent="0.2">
      <c r="A13020" s="21"/>
      <c r="B13020" s="2"/>
      <c r="C13020" s="7"/>
      <c r="D13020" s="7"/>
    </row>
    <row r="13021" spans="1:4" ht="12.75" customHeight="1" x14ac:dyDescent="0.2">
      <c r="A13021" s="21"/>
      <c r="B13021" s="2"/>
      <c r="C13021" s="7"/>
      <c r="D13021" s="7"/>
    </row>
    <row r="13022" spans="1:4" ht="12.75" customHeight="1" x14ac:dyDescent="0.2">
      <c r="A13022" s="21"/>
      <c r="B13022" s="2"/>
      <c r="C13022" s="7"/>
      <c r="D13022" s="7"/>
    </row>
    <row r="13023" spans="1:4" ht="12.75" customHeight="1" x14ac:dyDescent="0.2">
      <c r="A13023" s="21"/>
      <c r="B13023" s="2"/>
      <c r="C13023" s="7"/>
      <c r="D13023" s="7"/>
    </row>
    <row r="13024" spans="1:4" ht="12.75" customHeight="1" x14ac:dyDescent="0.2">
      <c r="A13024" s="5"/>
      <c r="B13024" s="2"/>
      <c r="C13024" s="7"/>
      <c r="D13024" s="7"/>
    </row>
    <row r="13025" spans="1:4" ht="12.75" customHeight="1" x14ac:dyDescent="0.2">
      <c r="A13025" s="22" t="str">
        <f>HYPERLINK("javascript:void(0)","artini manafejpánt")</f>
        <v>artini manafejpánt</v>
      </c>
      <c r="B13025" s="21"/>
      <c r="C13025" s="21"/>
      <c r="D13025" s="21"/>
    </row>
    <row r="13026" spans="1:4" ht="12.75" customHeight="1" x14ac:dyDescent="0.2">
      <c r="A13026" s="20"/>
      <c r="B13026" s="2"/>
      <c r="C13026" s="7"/>
      <c r="D13026" s="7"/>
    </row>
    <row r="13027" spans="1:4" ht="12.75" customHeight="1" x14ac:dyDescent="0.2">
      <c r="A13027" s="21"/>
      <c r="B13027" s="3" t="s">
        <v>0</v>
      </c>
      <c r="C13027" s="23" t="s">
        <v>968</v>
      </c>
      <c r="D13027" s="21"/>
    </row>
    <row r="13028" spans="1:4" ht="12.75" customHeight="1" x14ac:dyDescent="0.2">
      <c r="A13028" s="21"/>
      <c r="B13028" s="3" t="s">
        <v>2</v>
      </c>
      <c r="C13028" s="23"/>
      <c r="D13028" s="21"/>
    </row>
    <row r="13029" spans="1:4" ht="12.75" customHeight="1" x14ac:dyDescent="0.2">
      <c r="A13029" s="21"/>
      <c r="B13029" s="3" t="s">
        <v>1840</v>
      </c>
      <c r="C13029" s="23" t="s">
        <v>651</v>
      </c>
      <c r="D13029" s="21"/>
    </row>
    <row r="13030" spans="1:4" ht="12.75" customHeight="1" x14ac:dyDescent="0.2">
      <c r="A13030" s="21"/>
      <c r="B13030" s="3" t="s">
        <v>9</v>
      </c>
      <c r="C13030" s="23" t="s">
        <v>1112</v>
      </c>
      <c r="D13030" s="21"/>
    </row>
    <row r="13031" spans="1:4" ht="12.75" customHeight="1" x14ac:dyDescent="0.2">
      <c r="A13031" s="21"/>
      <c r="B13031" s="3" t="s">
        <v>11</v>
      </c>
      <c r="C13031" s="23" t="s">
        <v>5146</v>
      </c>
      <c r="D13031" s="21"/>
    </row>
    <row r="13032" spans="1:4" ht="12.75" customHeight="1" x14ac:dyDescent="0.2">
      <c r="A13032" s="21"/>
      <c r="B13032" s="3" t="s">
        <v>16</v>
      </c>
      <c r="C13032" s="23"/>
      <c r="D13032" s="21"/>
    </row>
    <row r="13033" spans="1:4" ht="12.75" customHeight="1" x14ac:dyDescent="0.2">
      <c r="A13033" s="21"/>
      <c r="B13033" s="3" t="s">
        <v>17</v>
      </c>
      <c r="C13033" s="23" t="s">
        <v>19</v>
      </c>
      <c r="D13033" s="21"/>
    </row>
    <row r="13034" spans="1:4" ht="12.75" customHeight="1" x14ac:dyDescent="0.2">
      <c r="A13034" s="21"/>
      <c r="B13034" s="20" t="s">
        <v>18</v>
      </c>
      <c r="C13034" s="8" t="s">
        <v>44</v>
      </c>
      <c r="D13034" s="1" t="str">
        <f>HYPERLINK("javascript:void(0)","thordi manafejpánt")</f>
        <v>thordi manafejpánt</v>
      </c>
    </row>
    <row r="13035" spans="1:4" ht="12.75" customHeight="1" x14ac:dyDescent="0.2">
      <c r="A13035" s="21"/>
      <c r="B13035" s="21"/>
      <c r="C13035" s="8" t="s">
        <v>132</v>
      </c>
      <c r="D13035" s="1" t="str">
        <f>HYPERLINK("javascript:void(0)","képszél")</f>
        <v>képszél</v>
      </c>
    </row>
    <row r="13036" spans="1:4" ht="12.75" customHeight="1" x14ac:dyDescent="0.2">
      <c r="A13036" s="21"/>
      <c r="B13036" s="21"/>
      <c r="C13036" s="8" t="s">
        <v>228</v>
      </c>
      <c r="D13036" s="1" t="str">
        <f>HYPERLINK("javascript:void(0)","ejtőernyő")</f>
        <v>ejtőernyő</v>
      </c>
    </row>
    <row r="13037" spans="1:4" ht="12.75" customHeight="1" x14ac:dyDescent="0.2">
      <c r="A13037" s="21"/>
      <c r="B13037" s="2"/>
      <c r="C13037" s="7"/>
      <c r="D13037" s="7"/>
    </row>
    <row r="13038" spans="1:4" ht="12.75" customHeight="1" x14ac:dyDescent="0.2">
      <c r="A13038" s="21"/>
      <c r="B13038" s="2"/>
      <c r="C13038" s="7"/>
      <c r="D13038" s="7"/>
    </row>
    <row r="13039" spans="1:4" ht="12.75" customHeight="1" x14ac:dyDescent="0.2">
      <c r="A13039" s="21"/>
      <c r="B13039" s="2"/>
      <c r="C13039" s="7"/>
      <c r="D13039" s="7"/>
    </row>
    <row r="13040" spans="1:4" ht="12.75" customHeight="1" x14ac:dyDescent="0.2">
      <c r="A13040" s="21"/>
      <c r="B13040" s="2"/>
      <c r="C13040" s="7"/>
      <c r="D13040" s="7"/>
    </row>
    <row r="13041" spans="1:4" ht="12.75" customHeight="1" x14ac:dyDescent="0.2">
      <c r="A13041" s="5"/>
      <c r="B13041" s="2"/>
      <c r="C13041" s="7"/>
      <c r="D13041" s="7"/>
    </row>
    <row r="13042" spans="1:4" ht="12.75" customHeight="1" x14ac:dyDescent="0.2">
      <c r="A13042" s="22" t="str">
        <f>HYPERLINK("javascript:void(0)","csillámvért")</f>
        <v>csillámvért</v>
      </c>
      <c r="B13042" s="21"/>
      <c r="C13042" s="21"/>
      <c r="D13042" s="21"/>
    </row>
    <row r="13043" spans="1:4" ht="12.75" customHeight="1" x14ac:dyDescent="0.2">
      <c r="A13043" s="20"/>
      <c r="B13043" s="2"/>
      <c r="C13043" s="7"/>
      <c r="D13043" s="7"/>
    </row>
    <row r="13044" spans="1:4" ht="12.75" customHeight="1" x14ac:dyDescent="0.2">
      <c r="A13044" s="21"/>
      <c r="B13044" s="3" t="s">
        <v>0</v>
      </c>
      <c r="C13044" s="23" t="s">
        <v>978</v>
      </c>
      <c r="D13044" s="21"/>
    </row>
    <row r="13045" spans="1:4" ht="12.75" customHeight="1" x14ac:dyDescent="0.2">
      <c r="A13045" s="21"/>
      <c r="B13045" s="3" t="s">
        <v>2</v>
      </c>
      <c r="C13045" s="23" t="s">
        <v>2322</v>
      </c>
      <c r="D13045" s="21"/>
    </row>
    <row r="13046" spans="1:4" ht="12.75" customHeight="1" x14ac:dyDescent="0.2">
      <c r="A13046" s="21"/>
      <c r="B13046" s="3" t="s">
        <v>1840</v>
      </c>
      <c r="C13046" s="23" t="s">
        <v>2507</v>
      </c>
      <c r="D13046" s="21"/>
    </row>
    <row r="13047" spans="1:4" ht="12.75" customHeight="1" x14ac:dyDescent="0.2">
      <c r="A13047" s="21"/>
      <c r="B13047" s="3" t="s">
        <v>9</v>
      </c>
      <c r="C13047" s="23" t="s">
        <v>573</v>
      </c>
      <c r="D13047" s="21"/>
    </row>
    <row r="13048" spans="1:4" ht="12.75" customHeight="1" x14ac:dyDescent="0.2">
      <c r="A13048" s="21"/>
      <c r="B13048" s="3" t="s">
        <v>11</v>
      </c>
      <c r="C13048" s="23" t="s">
        <v>1657</v>
      </c>
      <c r="D13048" s="21"/>
    </row>
    <row r="13049" spans="1:4" ht="12.75" customHeight="1" x14ac:dyDescent="0.2">
      <c r="A13049" s="21"/>
      <c r="B13049" s="3" t="s">
        <v>16</v>
      </c>
      <c r="C13049" s="23"/>
      <c r="D13049" s="21"/>
    </row>
    <row r="13050" spans="1:4" ht="12.75" customHeight="1" x14ac:dyDescent="0.2">
      <c r="A13050" s="21"/>
      <c r="B13050" s="3" t="s">
        <v>17</v>
      </c>
      <c r="C13050" s="23" t="s">
        <v>19</v>
      </c>
      <c r="D13050" s="21"/>
    </row>
    <row r="13051" spans="1:4" ht="12.75" customHeight="1" x14ac:dyDescent="0.2">
      <c r="A13051" s="21"/>
      <c r="B13051" s="20" t="s">
        <v>18</v>
      </c>
      <c r="C13051" s="8" t="s">
        <v>331</v>
      </c>
      <c r="D13051" s="1" t="str">
        <f>HYPERLINK("javascript:void(0)","antiige")</f>
        <v>antiige</v>
      </c>
    </row>
    <row r="13052" spans="1:4" ht="12.75" customHeight="1" x14ac:dyDescent="0.2">
      <c r="A13052" s="21"/>
      <c r="B13052" s="21"/>
      <c r="C13052" s="8" t="s">
        <v>44</v>
      </c>
      <c r="D13052" s="1" t="str">
        <f>HYPERLINK("javascript:void(0)","csillámpáncél")</f>
        <v>csillámpáncél</v>
      </c>
    </row>
    <row r="13053" spans="1:4" ht="12.75" customHeight="1" x14ac:dyDescent="0.2">
      <c r="A13053" s="21"/>
      <c r="B13053" s="21"/>
      <c r="C13053" s="8" t="s">
        <v>331</v>
      </c>
      <c r="D13053" s="1" t="str">
        <f>HYPERLINK("javascript:void(0)","valkript")</f>
        <v>valkript</v>
      </c>
    </row>
    <row r="13054" spans="1:4" ht="12.75" customHeight="1" x14ac:dyDescent="0.2">
      <c r="A13054" s="21"/>
      <c r="B13054" s="2"/>
      <c r="C13054" s="7"/>
      <c r="D13054" s="7"/>
    </row>
    <row r="13055" spans="1:4" ht="12.75" customHeight="1" x14ac:dyDescent="0.2">
      <c r="A13055" s="21"/>
      <c r="B13055" s="2"/>
      <c r="C13055" s="7"/>
      <c r="D13055" s="7"/>
    </row>
    <row r="13056" spans="1:4" ht="12.75" customHeight="1" x14ac:dyDescent="0.2">
      <c r="A13056" s="21"/>
      <c r="B13056" s="2"/>
      <c r="C13056" s="7"/>
      <c r="D13056" s="7"/>
    </row>
    <row r="13057" spans="1:4" ht="12.75" customHeight="1" x14ac:dyDescent="0.2">
      <c r="A13057" s="21"/>
      <c r="B13057" s="2"/>
      <c r="C13057" s="7"/>
      <c r="D13057" s="7"/>
    </row>
    <row r="13058" spans="1:4" ht="12.75" customHeight="1" x14ac:dyDescent="0.2">
      <c r="A13058" s="5"/>
      <c r="B13058" s="2"/>
      <c r="C13058" s="7"/>
      <c r="D13058" s="7"/>
    </row>
    <row r="13059" spans="1:4" ht="12.75" customHeight="1" x14ac:dyDescent="0.2">
      <c r="A13059" s="22" t="str">
        <f>HYPERLINK("javascript:void(0)","igesisak")</f>
        <v>igesisak</v>
      </c>
      <c r="B13059" s="21"/>
      <c r="C13059" s="21"/>
      <c r="D13059" s="21"/>
    </row>
    <row r="13060" spans="1:4" ht="12.75" customHeight="1" x14ac:dyDescent="0.2">
      <c r="A13060" s="20"/>
      <c r="B13060" s="2"/>
      <c r="C13060" s="7"/>
      <c r="D13060" s="7"/>
    </row>
    <row r="13061" spans="1:4" ht="12.75" customHeight="1" x14ac:dyDescent="0.2">
      <c r="A13061" s="21"/>
      <c r="B13061" s="3" t="s">
        <v>0</v>
      </c>
      <c r="C13061" s="23" t="s">
        <v>978</v>
      </c>
      <c r="D13061" s="21"/>
    </row>
    <row r="13062" spans="1:4" ht="12.75" customHeight="1" x14ac:dyDescent="0.2">
      <c r="A13062" s="21"/>
      <c r="B13062" s="3" t="s">
        <v>2</v>
      </c>
      <c r="C13062" s="23"/>
      <c r="D13062" s="21"/>
    </row>
    <row r="13063" spans="1:4" ht="12.75" customHeight="1" x14ac:dyDescent="0.2">
      <c r="A13063" s="21"/>
      <c r="B13063" s="3" t="s">
        <v>1840</v>
      </c>
      <c r="C13063" s="23" t="s">
        <v>2423</v>
      </c>
      <c r="D13063" s="21"/>
    </row>
    <row r="13064" spans="1:4" ht="12.75" customHeight="1" x14ac:dyDescent="0.2">
      <c r="A13064" s="21"/>
      <c r="B13064" s="3" t="s">
        <v>9</v>
      </c>
      <c r="C13064" s="23" t="s">
        <v>1324</v>
      </c>
      <c r="D13064" s="21"/>
    </row>
    <row r="13065" spans="1:4" ht="12.75" customHeight="1" x14ac:dyDescent="0.2">
      <c r="A13065" s="21"/>
      <c r="B13065" s="3" t="s">
        <v>11</v>
      </c>
      <c r="C13065" s="23" t="s">
        <v>1657</v>
      </c>
      <c r="D13065" s="21"/>
    </row>
    <row r="13066" spans="1:4" ht="12.75" customHeight="1" x14ac:dyDescent="0.2">
      <c r="A13066" s="21"/>
      <c r="B13066" s="3" t="s">
        <v>16</v>
      </c>
      <c r="C13066" s="23"/>
      <c r="D13066" s="21"/>
    </row>
    <row r="13067" spans="1:4" ht="12.75" customHeight="1" x14ac:dyDescent="0.2">
      <c r="A13067" s="21"/>
      <c r="B13067" s="3" t="s">
        <v>17</v>
      </c>
      <c r="C13067" s="23" t="s">
        <v>19</v>
      </c>
      <c r="D13067" s="21"/>
    </row>
    <row r="13068" spans="1:4" ht="12.75" customHeight="1" x14ac:dyDescent="0.2">
      <c r="A13068" s="21"/>
      <c r="B13068" s="20" t="s">
        <v>18</v>
      </c>
      <c r="C13068" s="8" t="s">
        <v>44</v>
      </c>
      <c r="D13068" s="1" t="str">
        <f>HYPERLINK("javascript:void(0)","hálósisak")</f>
        <v>hálósisak</v>
      </c>
    </row>
    <row r="13069" spans="1:4" ht="12.75" customHeight="1" x14ac:dyDescent="0.2">
      <c r="A13069" s="21"/>
      <c r="B13069" s="21"/>
      <c r="C13069" s="8" t="s">
        <v>44</v>
      </c>
      <c r="D13069" s="1" t="str">
        <f>HYPERLINK("javascript:void(0)","orrburkoló")</f>
        <v>orrburkoló</v>
      </c>
    </row>
    <row r="13070" spans="1:4" ht="12.75" customHeight="1" x14ac:dyDescent="0.2">
      <c r="A13070" s="21"/>
      <c r="B13070" s="21"/>
      <c r="C13070" s="8" t="s">
        <v>44</v>
      </c>
      <c r="D13070" s="1" t="str">
        <f>HYPERLINK("javascript:void(0)","igeálarc")</f>
        <v>igeálarc</v>
      </c>
    </row>
    <row r="13071" spans="1:4" ht="12.75" customHeight="1" x14ac:dyDescent="0.2">
      <c r="A13071" s="21"/>
      <c r="B13071" s="2"/>
      <c r="C13071" s="7"/>
      <c r="D13071" s="7"/>
    </row>
    <row r="13072" spans="1:4" ht="12.75" customHeight="1" x14ac:dyDescent="0.2">
      <c r="A13072" s="21"/>
      <c r="B13072" s="2"/>
      <c r="C13072" s="7"/>
      <c r="D13072" s="7"/>
    </row>
    <row r="13073" spans="1:4" ht="12.75" customHeight="1" x14ac:dyDescent="0.2">
      <c r="A13073" s="21"/>
      <c r="B13073" s="2"/>
      <c r="C13073" s="7"/>
      <c r="D13073" s="7"/>
    </row>
    <row r="13074" spans="1:4" ht="12.75" customHeight="1" x14ac:dyDescent="0.2">
      <c r="A13074" s="21"/>
      <c r="B13074" s="2"/>
      <c r="C13074" s="7"/>
      <c r="D13074" s="7"/>
    </row>
    <row r="13075" spans="1:4" ht="12.75" customHeight="1" x14ac:dyDescent="0.2">
      <c r="A13075" s="5"/>
      <c r="B13075" s="2"/>
      <c r="C13075" s="7"/>
      <c r="D13075" s="7"/>
    </row>
    <row r="13076" spans="1:4" ht="12.75" customHeight="1" x14ac:dyDescent="0.2">
      <c r="A13076" s="22" t="str">
        <f>HYPERLINK("javascript:void(0)","rémes törtető")</f>
        <v>rémes törtető</v>
      </c>
      <c r="B13076" s="21"/>
      <c r="C13076" s="21"/>
      <c r="D13076" s="21"/>
    </row>
    <row r="13077" spans="1:4" ht="12.75" customHeight="1" x14ac:dyDescent="0.2">
      <c r="A13077" s="20"/>
      <c r="B13077" s="2"/>
      <c r="C13077" s="7"/>
      <c r="D13077" s="7"/>
    </row>
    <row r="13078" spans="1:4" ht="12.75" customHeight="1" x14ac:dyDescent="0.2">
      <c r="A13078" s="21"/>
      <c r="B13078" s="3" t="s">
        <v>0</v>
      </c>
      <c r="C13078" s="23" t="s">
        <v>978</v>
      </c>
      <c r="D13078" s="21"/>
    </row>
    <row r="13079" spans="1:4" ht="12.75" customHeight="1" x14ac:dyDescent="0.2">
      <c r="A13079" s="21"/>
      <c r="B13079" s="3" t="s">
        <v>2</v>
      </c>
      <c r="C13079" s="23"/>
      <c r="D13079" s="21"/>
    </row>
    <row r="13080" spans="1:4" ht="12.75" customHeight="1" x14ac:dyDescent="0.2">
      <c r="A13080" s="21"/>
      <c r="B13080" s="3" t="s">
        <v>1840</v>
      </c>
      <c r="C13080" s="23" t="s">
        <v>2145</v>
      </c>
      <c r="D13080" s="21"/>
    </row>
    <row r="13081" spans="1:4" ht="12.75" customHeight="1" x14ac:dyDescent="0.2">
      <c r="A13081" s="21"/>
      <c r="B13081" s="3" t="s">
        <v>9</v>
      </c>
      <c r="C13081" s="23" t="s">
        <v>2146</v>
      </c>
      <c r="D13081" s="21"/>
    </row>
    <row r="13082" spans="1:4" ht="12.75" customHeight="1" x14ac:dyDescent="0.2">
      <c r="A13082" s="21"/>
      <c r="B13082" s="3" t="s">
        <v>11</v>
      </c>
      <c r="C13082" s="23" t="s">
        <v>839</v>
      </c>
      <c r="D13082" s="21"/>
    </row>
    <row r="13083" spans="1:4" ht="12.75" customHeight="1" x14ac:dyDescent="0.2">
      <c r="A13083" s="21"/>
      <c r="B13083" s="3" t="s">
        <v>16</v>
      </c>
      <c r="C13083" s="23"/>
      <c r="D13083" s="21"/>
    </row>
    <row r="13084" spans="1:4" ht="12.75" customHeight="1" x14ac:dyDescent="0.2">
      <c r="A13084" s="21"/>
      <c r="B13084" s="3" t="s">
        <v>17</v>
      </c>
      <c r="C13084" s="23" t="s">
        <v>19</v>
      </c>
      <c r="D13084" s="21"/>
    </row>
    <row r="13085" spans="1:4" ht="12.75" customHeight="1" x14ac:dyDescent="0.2">
      <c r="A13085" s="21"/>
      <c r="B13085" s="20" t="s">
        <v>18</v>
      </c>
      <c r="C13085" s="8" t="s">
        <v>196</v>
      </c>
      <c r="D13085" s="1" t="str">
        <f>HYPERLINK("javascript:void(0)","törtvény")</f>
        <v>törtvény</v>
      </c>
    </row>
    <row r="13086" spans="1:4" ht="12.75" customHeight="1" x14ac:dyDescent="0.2">
      <c r="A13086" s="21"/>
      <c r="B13086" s="21"/>
      <c r="C13086" s="8" t="s">
        <v>117</v>
      </c>
      <c r="D13086" s="1" t="str">
        <f>HYPERLINK("javascript:void(0)","rémláb")</f>
        <v>rémláb</v>
      </c>
    </row>
    <row r="13087" spans="1:4" ht="12.75" customHeight="1" x14ac:dyDescent="0.2">
      <c r="A13087" s="21"/>
      <c r="B13087" s="21"/>
      <c r="C13087" s="8" t="s">
        <v>296</v>
      </c>
      <c r="D13087" s="1" t="str">
        <f>HYPERLINK("javascript:void(0)","csapdaszeg")</f>
        <v>csapdaszeg</v>
      </c>
    </row>
    <row r="13088" spans="1:4" ht="12.75" customHeight="1" x14ac:dyDescent="0.2">
      <c r="A13088" s="21"/>
      <c r="B13088" s="2"/>
      <c r="C13088" s="7"/>
      <c r="D13088" s="7"/>
    </row>
    <row r="13089" spans="1:4" ht="12.75" customHeight="1" x14ac:dyDescent="0.2">
      <c r="A13089" s="21"/>
      <c r="B13089" s="2"/>
      <c r="C13089" s="7"/>
      <c r="D13089" s="7"/>
    </row>
    <row r="13090" spans="1:4" ht="12.75" customHeight="1" x14ac:dyDescent="0.2">
      <c r="A13090" s="21"/>
      <c r="B13090" s="2"/>
      <c r="C13090" s="7"/>
      <c r="D13090" s="7"/>
    </row>
    <row r="13091" spans="1:4" ht="12.75" customHeight="1" x14ac:dyDescent="0.2">
      <c r="A13091" s="21"/>
      <c r="B13091" s="2"/>
      <c r="C13091" s="7"/>
      <c r="D13091" s="7"/>
    </row>
    <row r="13092" spans="1:4" ht="12.75" customHeight="1" x14ac:dyDescent="0.2">
      <c r="A13092" s="5"/>
      <c r="B13092" s="2"/>
      <c r="C13092" s="7"/>
      <c r="D13092" s="7"/>
    </row>
    <row r="13093" spans="1:4" ht="12.75" customHeight="1" x14ac:dyDescent="0.2">
      <c r="A13093" s="22" t="str">
        <f>HYPERLINK("javascript:void(0)","elmepajzs")</f>
        <v>elmepajzs</v>
      </c>
      <c r="B13093" s="21"/>
      <c r="C13093" s="21"/>
      <c r="D13093" s="21"/>
    </row>
    <row r="13094" spans="1:4" ht="12.75" customHeight="1" x14ac:dyDescent="0.2">
      <c r="A13094" s="20"/>
      <c r="B13094" s="2"/>
      <c r="C13094" s="7"/>
      <c r="D13094" s="7"/>
    </row>
    <row r="13095" spans="1:4" ht="12.75" customHeight="1" x14ac:dyDescent="0.2">
      <c r="A13095" s="21"/>
      <c r="B13095" s="3" t="s">
        <v>0</v>
      </c>
      <c r="C13095" s="23" t="s">
        <v>978</v>
      </c>
      <c r="D13095" s="21"/>
    </row>
    <row r="13096" spans="1:4" ht="12.75" customHeight="1" x14ac:dyDescent="0.2">
      <c r="A13096" s="21"/>
      <c r="B13096" s="3" t="s">
        <v>2</v>
      </c>
      <c r="C13096" s="23" t="s">
        <v>1839</v>
      </c>
      <c r="D13096" s="21"/>
    </row>
    <row r="13097" spans="1:4" ht="12.75" customHeight="1" x14ac:dyDescent="0.2">
      <c r="A13097" s="21"/>
      <c r="B13097" s="3" t="s">
        <v>1840</v>
      </c>
      <c r="C13097" s="23" t="s">
        <v>5161</v>
      </c>
      <c r="D13097" s="21"/>
    </row>
    <row r="13098" spans="1:4" ht="12.75" customHeight="1" x14ac:dyDescent="0.2">
      <c r="A13098" s="21"/>
      <c r="B13098" s="3" t="s">
        <v>9</v>
      </c>
      <c r="C13098" s="23" t="s">
        <v>377</v>
      </c>
      <c r="D13098" s="21"/>
    </row>
    <row r="13099" spans="1:4" ht="12.75" customHeight="1" x14ac:dyDescent="0.2">
      <c r="A13099" s="21"/>
      <c r="B13099" s="3" t="s">
        <v>11</v>
      </c>
      <c r="C13099" s="23" t="s">
        <v>2164</v>
      </c>
      <c r="D13099" s="21"/>
    </row>
    <row r="13100" spans="1:4" ht="12.75" customHeight="1" x14ac:dyDescent="0.2">
      <c r="A13100" s="21"/>
      <c r="B13100" s="3" t="s">
        <v>16</v>
      </c>
      <c r="C13100" s="23"/>
      <c r="D13100" s="21"/>
    </row>
    <row r="13101" spans="1:4" ht="12.75" customHeight="1" x14ac:dyDescent="0.2">
      <c r="A13101" s="21"/>
      <c r="B13101" s="3" t="s">
        <v>17</v>
      </c>
      <c r="C13101" s="23" t="s">
        <v>19</v>
      </c>
      <c r="D13101" s="21"/>
    </row>
    <row r="13102" spans="1:4" ht="12.75" customHeight="1" x14ac:dyDescent="0.2">
      <c r="A13102" s="21"/>
      <c r="B13102" s="20" t="s">
        <v>18</v>
      </c>
      <c r="C13102" s="8" t="s">
        <v>44</v>
      </c>
      <c r="D13102" s="1" t="str">
        <f>HYPERLINK("javascript:void(0)","képékpajzs")</f>
        <v>képékpajzs</v>
      </c>
    </row>
    <row r="13103" spans="1:4" ht="12.75" customHeight="1" x14ac:dyDescent="0.2">
      <c r="A13103" s="21"/>
      <c r="B13103" s="21"/>
      <c r="C13103" s="8" t="s">
        <v>102</v>
      </c>
      <c r="D13103" s="1" t="str">
        <f>HYPERLINK("javascript:void(0)","törtvény")</f>
        <v>törtvény</v>
      </c>
    </row>
    <row r="13104" spans="1:4" ht="12.75" customHeight="1" x14ac:dyDescent="0.2">
      <c r="A13104" s="21"/>
      <c r="B13104" s="21"/>
      <c r="C13104" s="8" t="s">
        <v>265</v>
      </c>
      <c r="D13104" s="1" t="str">
        <f>HYPERLINK("javascript:void(0)","angyalhaj")</f>
        <v>angyalhaj</v>
      </c>
    </row>
    <row r="13105" spans="1:4" ht="12.75" customHeight="1" x14ac:dyDescent="0.2">
      <c r="A13105" s="21"/>
      <c r="B13105" s="2"/>
      <c r="C13105" s="7"/>
      <c r="D13105" s="7"/>
    </row>
    <row r="13106" spans="1:4" ht="12.75" customHeight="1" x14ac:dyDescent="0.2">
      <c r="A13106" s="21"/>
      <c r="B13106" s="2"/>
      <c r="C13106" s="7"/>
      <c r="D13106" s="7"/>
    </row>
    <row r="13107" spans="1:4" ht="12.75" customHeight="1" x14ac:dyDescent="0.2">
      <c r="A13107" s="21"/>
      <c r="B13107" s="2"/>
      <c r="C13107" s="7"/>
      <c r="D13107" s="7"/>
    </row>
    <row r="13108" spans="1:4" ht="12.75" customHeight="1" x14ac:dyDescent="0.2">
      <c r="A13108" s="21"/>
      <c r="B13108" s="2"/>
      <c r="C13108" s="7"/>
      <c r="D13108" s="7"/>
    </row>
    <row r="13109" spans="1:4" ht="12.75" customHeight="1" x14ac:dyDescent="0.2">
      <c r="A13109" s="5"/>
      <c r="B13109" s="2"/>
      <c r="C13109" s="7"/>
      <c r="D13109" s="7"/>
    </row>
    <row r="13110" spans="1:4" ht="12.75" customHeight="1" x14ac:dyDescent="0.2">
      <c r="A13110" s="22" t="str">
        <f>HYPERLINK("javascript:void(0)","skívei szellempajzs")</f>
        <v>skívei szellempajzs</v>
      </c>
      <c r="B13110" s="21"/>
      <c r="C13110" s="21"/>
      <c r="D13110" s="21"/>
    </row>
    <row r="13111" spans="1:4" ht="12.75" customHeight="1" x14ac:dyDescent="0.2">
      <c r="A13111" s="20"/>
      <c r="B13111" s="2"/>
      <c r="C13111" s="7"/>
      <c r="D13111" s="7"/>
    </row>
    <row r="13112" spans="1:4" ht="12.75" customHeight="1" x14ac:dyDescent="0.2">
      <c r="A13112" s="21"/>
      <c r="B13112" s="3" t="s">
        <v>0</v>
      </c>
      <c r="C13112" s="23" t="s">
        <v>978</v>
      </c>
      <c r="D13112" s="21"/>
    </row>
    <row r="13113" spans="1:4" ht="12.75" customHeight="1" x14ac:dyDescent="0.2">
      <c r="A13113" s="21"/>
      <c r="B13113" s="3" t="s">
        <v>2</v>
      </c>
      <c r="C13113" s="23" t="s">
        <v>1839</v>
      </c>
      <c r="D13113" s="21"/>
    </row>
    <row r="13114" spans="1:4" ht="12.75" customHeight="1" x14ac:dyDescent="0.2">
      <c r="A13114" s="21"/>
      <c r="B13114" s="3" t="s">
        <v>1840</v>
      </c>
      <c r="C13114" s="23" t="s">
        <v>5161</v>
      </c>
      <c r="D13114" s="21"/>
    </row>
    <row r="13115" spans="1:4" ht="12.75" customHeight="1" x14ac:dyDescent="0.2">
      <c r="A13115" s="21"/>
      <c r="B13115" s="3" t="s">
        <v>9</v>
      </c>
      <c r="C13115" s="23" t="s">
        <v>2535</v>
      </c>
      <c r="D13115" s="21"/>
    </row>
    <row r="13116" spans="1:4" ht="12.75" customHeight="1" x14ac:dyDescent="0.2">
      <c r="A13116" s="21"/>
      <c r="B13116" s="3" t="s">
        <v>11</v>
      </c>
      <c r="C13116" s="23" t="s">
        <v>2175</v>
      </c>
      <c r="D13116" s="21"/>
    </row>
    <row r="13117" spans="1:4" ht="12.75" customHeight="1" x14ac:dyDescent="0.2">
      <c r="A13117" s="21"/>
      <c r="B13117" s="3" t="s">
        <v>16</v>
      </c>
      <c r="C13117" s="23"/>
      <c r="D13117" s="21"/>
    </row>
    <row r="13118" spans="1:4" ht="12.75" customHeight="1" x14ac:dyDescent="0.2">
      <c r="A13118" s="21"/>
      <c r="B13118" s="3" t="s">
        <v>17</v>
      </c>
      <c r="C13118" s="23" t="s">
        <v>19</v>
      </c>
      <c r="D13118" s="21"/>
    </row>
    <row r="13119" spans="1:4" ht="12.75" customHeight="1" x14ac:dyDescent="0.2">
      <c r="A13119" s="21"/>
      <c r="B13119" s="20" t="s">
        <v>18</v>
      </c>
      <c r="C13119" s="8" t="s">
        <v>44</v>
      </c>
      <c r="D13119" s="1" t="str">
        <f>HYPERLINK("javascript:void(0)","elmepajzs")</f>
        <v>elmepajzs</v>
      </c>
    </row>
    <row r="13120" spans="1:4" ht="12.75" customHeight="1" x14ac:dyDescent="0.2">
      <c r="A13120" s="21"/>
      <c r="B13120" s="21"/>
      <c r="C13120" s="8" t="s">
        <v>335</v>
      </c>
      <c r="D13120" s="1" t="str">
        <f>HYPERLINK("javascript:void(0)","banánhéj")</f>
        <v>banánhéj</v>
      </c>
    </row>
    <row r="13121" spans="1:4" ht="12.75" customHeight="1" x14ac:dyDescent="0.2">
      <c r="A13121" s="21"/>
      <c r="B13121" s="21"/>
      <c r="C13121" s="8" t="s">
        <v>244</v>
      </c>
      <c r="D13121" s="1" t="str">
        <f>HYPERLINK("javascript:void(0)","törtvény")</f>
        <v>törtvény</v>
      </c>
    </row>
    <row r="13122" spans="1:4" ht="12.75" customHeight="1" x14ac:dyDescent="0.2">
      <c r="A13122" s="21"/>
      <c r="B13122" s="2"/>
      <c r="C13122" s="7"/>
      <c r="D13122" s="7"/>
    </row>
    <row r="13123" spans="1:4" ht="12.75" customHeight="1" x14ac:dyDescent="0.2">
      <c r="A13123" s="21"/>
      <c r="B13123" s="2"/>
      <c r="C13123" s="7"/>
      <c r="D13123" s="7"/>
    </row>
    <row r="13124" spans="1:4" ht="12.75" customHeight="1" x14ac:dyDescent="0.2">
      <c r="A13124" s="21"/>
      <c r="B13124" s="2"/>
      <c r="C13124" s="7"/>
      <c r="D13124" s="7"/>
    </row>
    <row r="13125" spans="1:4" ht="12.75" customHeight="1" x14ac:dyDescent="0.2">
      <c r="A13125" s="21"/>
      <c r="B13125" s="2"/>
      <c r="C13125" s="7"/>
      <c r="D13125" s="7"/>
    </row>
    <row r="13126" spans="1:4" ht="12.75" customHeight="1" x14ac:dyDescent="0.2">
      <c r="A13126" s="5"/>
      <c r="B13126" s="2"/>
      <c r="C13126" s="7"/>
      <c r="D13126" s="7"/>
    </row>
    <row r="13127" spans="1:4" ht="12.75" customHeight="1" x14ac:dyDescent="0.2">
      <c r="A13127" s="22" t="str">
        <f>HYPERLINK("javascript:void(0)","igeálarc")</f>
        <v>igeálarc</v>
      </c>
      <c r="B13127" s="21"/>
      <c r="C13127" s="21"/>
      <c r="D13127" s="21"/>
    </row>
    <row r="13128" spans="1:4" ht="12.75" customHeight="1" x14ac:dyDescent="0.2">
      <c r="A13128" s="20"/>
      <c r="B13128" s="2"/>
      <c r="C13128" s="7"/>
      <c r="D13128" s="7"/>
    </row>
    <row r="13129" spans="1:4" ht="12.75" customHeight="1" x14ac:dyDescent="0.2">
      <c r="A13129" s="21"/>
      <c r="B13129" s="3" t="s">
        <v>0</v>
      </c>
      <c r="C13129" s="23" t="s">
        <v>978</v>
      </c>
      <c r="D13129" s="21"/>
    </row>
    <row r="13130" spans="1:4" ht="12.75" customHeight="1" x14ac:dyDescent="0.2">
      <c r="A13130" s="21"/>
      <c r="B13130" s="3" t="s">
        <v>2</v>
      </c>
      <c r="C13130" s="23"/>
      <c r="D13130" s="21"/>
    </row>
    <row r="13131" spans="1:4" ht="12.75" customHeight="1" x14ac:dyDescent="0.2">
      <c r="A13131" s="21"/>
      <c r="B13131" s="3" t="s">
        <v>1840</v>
      </c>
      <c r="C13131" s="23" t="s">
        <v>435</v>
      </c>
      <c r="D13131" s="21"/>
    </row>
    <row r="13132" spans="1:4" ht="12.75" customHeight="1" x14ac:dyDescent="0.2">
      <c r="A13132" s="21"/>
      <c r="B13132" s="3" t="s">
        <v>9</v>
      </c>
      <c r="C13132" s="23" t="s">
        <v>172</v>
      </c>
      <c r="D13132" s="21"/>
    </row>
    <row r="13133" spans="1:4" ht="12.75" customHeight="1" x14ac:dyDescent="0.2">
      <c r="A13133" s="21"/>
      <c r="B13133" s="3" t="s">
        <v>11</v>
      </c>
      <c r="C13133" s="23" t="s">
        <v>2506</v>
      </c>
      <c r="D13133" s="21"/>
    </row>
    <row r="13134" spans="1:4" ht="12.75" customHeight="1" x14ac:dyDescent="0.2">
      <c r="A13134" s="21"/>
      <c r="B13134" s="3" t="s">
        <v>16</v>
      </c>
      <c r="C13134" s="23"/>
      <c r="D13134" s="21"/>
    </row>
    <row r="13135" spans="1:4" ht="12.75" customHeight="1" x14ac:dyDescent="0.2">
      <c r="A13135" s="21"/>
      <c r="B13135" s="3" t="s">
        <v>17</v>
      </c>
      <c r="C13135" s="23" t="s">
        <v>19</v>
      </c>
      <c r="D13135" s="21"/>
    </row>
    <row r="13136" spans="1:4" ht="12.75" customHeight="1" x14ac:dyDescent="0.2">
      <c r="A13136" s="21"/>
      <c r="B13136" s="20" t="s">
        <v>18</v>
      </c>
      <c r="C13136" s="8" t="s">
        <v>67</v>
      </c>
      <c r="D13136" s="1" t="str">
        <f>HYPERLINK("javascript:void(0)","antiige")</f>
        <v>antiige</v>
      </c>
    </row>
    <row r="13137" spans="1:4" ht="12.75" customHeight="1" x14ac:dyDescent="0.2">
      <c r="A13137" s="21"/>
      <c r="B13137" s="21"/>
      <c r="C13137" s="8" t="s">
        <v>98</v>
      </c>
      <c r="D13137" s="1" t="str">
        <f>HYPERLINK("javascript:void(0)","aszályige")</f>
        <v>aszályige</v>
      </c>
    </row>
    <row r="13138" spans="1:4" ht="12.75" customHeight="1" x14ac:dyDescent="0.2">
      <c r="A13138" s="21"/>
      <c r="B13138" s="21"/>
      <c r="C13138" s="8" t="s">
        <v>420</v>
      </c>
      <c r="D13138" s="1" t="str">
        <f>HYPERLINK("javascript:void(0)","varázsige")</f>
        <v>varázsige</v>
      </c>
    </row>
    <row r="13139" spans="1:4" ht="12.75" customHeight="1" x14ac:dyDescent="0.2">
      <c r="A13139" s="21"/>
      <c r="B13139" s="2"/>
      <c r="C13139" s="7"/>
      <c r="D13139" s="7"/>
    </row>
    <row r="13140" spans="1:4" ht="12.75" customHeight="1" x14ac:dyDescent="0.2">
      <c r="A13140" s="21"/>
      <c r="B13140" s="2"/>
      <c r="C13140" s="7"/>
      <c r="D13140" s="7"/>
    </row>
    <row r="13141" spans="1:4" ht="12.75" customHeight="1" x14ac:dyDescent="0.2">
      <c r="A13141" s="21"/>
      <c r="B13141" s="2"/>
      <c r="C13141" s="7"/>
      <c r="D13141" s="7"/>
    </row>
    <row r="13142" spans="1:4" ht="12.75" customHeight="1" x14ac:dyDescent="0.2">
      <c r="A13142" s="21"/>
      <c r="B13142" s="2"/>
      <c r="C13142" s="7"/>
      <c r="D13142" s="7"/>
    </row>
    <row r="13143" spans="1:4" ht="12.75" customHeight="1" x14ac:dyDescent="0.2">
      <c r="A13143" s="5"/>
      <c r="B13143" s="2"/>
      <c r="C13143" s="7"/>
      <c r="D13143" s="7"/>
    </row>
    <row r="13144" spans="1:4" ht="12.75" customHeight="1" x14ac:dyDescent="0.2">
      <c r="A13144" s="22" t="str">
        <f>HYPERLINK("javascript:void(0)","skívei antigrav csizma")</f>
        <v>skívei antigrav csizma</v>
      </c>
      <c r="B13144" s="21"/>
      <c r="C13144" s="21"/>
      <c r="D13144" s="21"/>
    </row>
    <row r="13145" spans="1:4" ht="12.75" customHeight="1" x14ac:dyDescent="0.2">
      <c r="A13145" s="20"/>
      <c r="B13145" s="2"/>
      <c r="C13145" s="7"/>
      <c r="D13145" s="7"/>
    </row>
    <row r="13146" spans="1:4" ht="12.75" customHeight="1" x14ac:dyDescent="0.2">
      <c r="A13146" s="21"/>
      <c r="B13146" s="3" t="s">
        <v>0</v>
      </c>
      <c r="C13146" s="23" t="s">
        <v>978</v>
      </c>
      <c r="D13146" s="21"/>
    </row>
    <row r="13147" spans="1:4" ht="12.75" customHeight="1" x14ac:dyDescent="0.2">
      <c r="A13147" s="21"/>
      <c r="B13147" s="3" t="s">
        <v>2</v>
      </c>
      <c r="C13147" s="23"/>
      <c r="D13147" s="21"/>
    </row>
    <row r="13148" spans="1:4" ht="12.75" customHeight="1" x14ac:dyDescent="0.2">
      <c r="A13148" s="21"/>
      <c r="B13148" s="3" t="s">
        <v>1840</v>
      </c>
      <c r="C13148" s="23" t="s">
        <v>2145</v>
      </c>
      <c r="D13148" s="21"/>
    </row>
    <row r="13149" spans="1:4" ht="12.75" customHeight="1" x14ac:dyDescent="0.2">
      <c r="A13149" s="21"/>
      <c r="B13149" s="3" t="s">
        <v>9</v>
      </c>
      <c r="C13149" s="23" t="s">
        <v>626</v>
      </c>
      <c r="D13149" s="21"/>
    </row>
    <row r="13150" spans="1:4" ht="12.75" customHeight="1" x14ac:dyDescent="0.2">
      <c r="A13150" s="21"/>
      <c r="B13150" s="3" t="s">
        <v>11</v>
      </c>
      <c r="C13150" s="23" t="s">
        <v>23</v>
      </c>
      <c r="D13150" s="21"/>
    </row>
    <row r="13151" spans="1:4" ht="12.75" customHeight="1" x14ac:dyDescent="0.2">
      <c r="A13151" s="21"/>
      <c r="B13151" s="3" t="s">
        <v>16</v>
      </c>
      <c r="C13151" s="23"/>
      <c r="D13151" s="21"/>
    </row>
    <row r="13152" spans="1:4" ht="12.75" customHeight="1" x14ac:dyDescent="0.2">
      <c r="A13152" s="21"/>
      <c r="B13152" s="3" t="s">
        <v>17</v>
      </c>
      <c r="C13152" s="23" t="s">
        <v>19</v>
      </c>
      <c r="D13152" s="21"/>
    </row>
    <row r="13153" spans="1:4" ht="25.5" customHeight="1" x14ac:dyDescent="0.2">
      <c r="A13153" s="21"/>
      <c r="B13153" s="20" t="s">
        <v>18</v>
      </c>
      <c r="C13153" s="8" t="s">
        <v>44</v>
      </c>
      <c r="D13153" s="1" t="str">
        <f>HYPERLINK("javascript:void(0)","harmatacél antigrav csizma")</f>
        <v>harmatacél antigrav csizma</v>
      </c>
    </row>
    <row r="13154" spans="1:4" ht="12.75" customHeight="1" x14ac:dyDescent="0.2">
      <c r="A13154" s="21"/>
      <c r="B13154" s="21"/>
      <c r="C13154" s="8" t="s">
        <v>780</v>
      </c>
      <c r="D13154" s="1" t="str">
        <f>HYPERLINK("javascript:void(0)","antiige")</f>
        <v>antiige</v>
      </c>
    </row>
    <row r="13155" spans="1:4" ht="12.75" customHeight="1" x14ac:dyDescent="0.2">
      <c r="A13155" s="21"/>
      <c r="B13155" s="21"/>
      <c r="C13155" s="8" t="s">
        <v>756</v>
      </c>
      <c r="D13155" s="1" t="str">
        <f>HYPERLINK("javascript:void(0)","angyalhaj")</f>
        <v>angyalhaj</v>
      </c>
    </row>
    <row r="13156" spans="1:4" ht="12.75" customHeight="1" x14ac:dyDescent="0.2">
      <c r="A13156" s="21"/>
      <c r="B13156" s="2"/>
      <c r="C13156" s="7"/>
      <c r="D13156" s="7"/>
    </row>
    <row r="13157" spans="1:4" ht="12.75" customHeight="1" x14ac:dyDescent="0.2">
      <c r="A13157" s="21"/>
      <c r="B13157" s="2"/>
      <c r="C13157" s="7"/>
      <c r="D13157" s="7"/>
    </row>
    <row r="13158" spans="1:4" ht="12.75" customHeight="1" x14ac:dyDescent="0.2">
      <c r="A13158" s="21"/>
      <c r="B13158" s="2"/>
      <c r="C13158" s="7"/>
      <c r="D13158" s="7"/>
    </row>
    <row r="13159" spans="1:4" ht="12.75" customHeight="1" x14ac:dyDescent="0.2">
      <c r="A13159" s="21"/>
      <c r="B13159" s="2"/>
      <c r="C13159" s="7"/>
      <c r="D13159" s="7"/>
    </row>
    <row r="13160" spans="1:4" ht="12.75" customHeight="1" x14ac:dyDescent="0.2">
      <c r="A13160" s="5"/>
      <c r="B13160" s="2"/>
      <c r="C13160" s="7"/>
      <c r="D13160" s="7"/>
    </row>
    <row r="13161" spans="1:4" ht="12.75" customHeight="1" x14ac:dyDescent="0.2">
      <c r="A13161" s="22" t="str">
        <f>HYPERLINK("javascript:void(0)","csáppáncél")</f>
        <v>csáppáncél</v>
      </c>
      <c r="B13161" s="21"/>
      <c r="C13161" s="21"/>
      <c r="D13161" s="21"/>
    </row>
    <row r="13162" spans="1:4" ht="12.75" customHeight="1" x14ac:dyDescent="0.2">
      <c r="A13162" s="20"/>
      <c r="B13162" s="2"/>
      <c r="C13162" s="7"/>
      <c r="D13162" s="7"/>
    </row>
    <row r="13163" spans="1:4" ht="12.75" customHeight="1" x14ac:dyDescent="0.2">
      <c r="A13163" s="21"/>
      <c r="B13163" s="3" t="s">
        <v>0</v>
      </c>
      <c r="C13163" s="23" t="s">
        <v>87</v>
      </c>
      <c r="D13163" s="21"/>
    </row>
    <row r="13164" spans="1:4" ht="12.75" customHeight="1" x14ac:dyDescent="0.2">
      <c r="A13164" s="21"/>
      <c r="B13164" s="3" t="s">
        <v>2</v>
      </c>
      <c r="C13164" s="23" t="s">
        <v>2322</v>
      </c>
      <c r="D13164" s="21"/>
    </row>
    <row r="13165" spans="1:4" ht="12.75" customHeight="1" x14ac:dyDescent="0.2">
      <c r="A13165" s="21"/>
      <c r="B13165" s="3" t="s">
        <v>1840</v>
      </c>
      <c r="C13165" s="23" t="s">
        <v>2508</v>
      </c>
      <c r="D13165" s="21"/>
    </row>
    <row r="13166" spans="1:4" ht="12.75" customHeight="1" x14ac:dyDescent="0.2">
      <c r="A13166" s="21"/>
      <c r="B13166" s="3" t="s">
        <v>9</v>
      </c>
      <c r="C13166" s="23" t="s">
        <v>200</v>
      </c>
      <c r="D13166" s="21"/>
    </row>
    <row r="13167" spans="1:4" ht="12.75" customHeight="1" x14ac:dyDescent="0.2">
      <c r="A13167" s="21"/>
      <c r="B13167" s="3" t="s">
        <v>11</v>
      </c>
      <c r="C13167" s="23" t="s">
        <v>1500</v>
      </c>
      <c r="D13167" s="21"/>
    </row>
    <row r="13168" spans="1:4" ht="12.75" customHeight="1" x14ac:dyDescent="0.2">
      <c r="A13168" s="21"/>
      <c r="B13168" s="3" t="s">
        <v>16</v>
      </c>
      <c r="C13168" s="23"/>
      <c r="D13168" s="21"/>
    </row>
    <row r="13169" spans="1:4" ht="12.75" customHeight="1" x14ac:dyDescent="0.2">
      <c r="A13169" s="21"/>
      <c r="B13169" s="3" t="s">
        <v>17</v>
      </c>
      <c r="C13169" s="23" t="s">
        <v>19</v>
      </c>
      <c r="D13169" s="21"/>
    </row>
    <row r="13170" spans="1:4" ht="12.75" customHeight="1" x14ac:dyDescent="0.2">
      <c r="A13170" s="21"/>
      <c r="B13170" s="20" t="s">
        <v>18</v>
      </c>
      <c r="C13170" s="8" t="s">
        <v>117</v>
      </c>
      <c r="D13170" s="1" t="str">
        <f>HYPERLINK("javascript:void(0)","monsztabéklyó")</f>
        <v>monsztabéklyó</v>
      </c>
    </row>
    <row r="13171" spans="1:4" ht="12.75" customHeight="1" x14ac:dyDescent="0.2">
      <c r="A13171" s="21"/>
      <c r="B13171" s="21"/>
      <c r="C13171" s="8" t="s">
        <v>228</v>
      </c>
      <c r="D13171" s="1" t="str">
        <f>HYPERLINK("javascript:void(0)","pálha")</f>
        <v>pálha</v>
      </c>
    </row>
    <row r="13172" spans="1:4" ht="12.75" customHeight="1" x14ac:dyDescent="0.2">
      <c r="A13172" s="21"/>
      <c r="B13172" s="21"/>
      <c r="C13172" s="8" t="s">
        <v>102</v>
      </c>
      <c r="D13172" s="1" t="str">
        <f>HYPERLINK("javascript:void(0)","fülcsáp")</f>
        <v>fülcsáp</v>
      </c>
    </row>
    <row r="13173" spans="1:4" ht="12.75" customHeight="1" x14ac:dyDescent="0.2">
      <c r="A13173" s="21"/>
      <c r="B13173" s="2"/>
      <c r="C13173" s="7"/>
      <c r="D13173" s="7"/>
    </row>
    <row r="13174" spans="1:4" ht="12.75" customHeight="1" x14ac:dyDescent="0.2">
      <c r="A13174" s="21"/>
      <c r="B13174" s="2"/>
      <c r="C13174" s="7"/>
      <c r="D13174" s="7"/>
    </row>
    <row r="13175" spans="1:4" ht="12.75" customHeight="1" x14ac:dyDescent="0.2">
      <c r="A13175" s="21"/>
      <c r="B13175" s="2"/>
      <c r="C13175" s="7"/>
      <c r="D13175" s="7"/>
    </row>
    <row r="13176" spans="1:4" ht="12.75" customHeight="1" x14ac:dyDescent="0.2">
      <c r="A13176" s="21"/>
      <c r="B13176" s="2"/>
      <c r="C13176" s="7"/>
      <c r="D13176" s="7"/>
    </row>
    <row r="13177" spans="1:4" ht="12.75" customHeight="1" x14ac:dyDescent="0.2">
      <c r="A13177" s="5"/>
      <c r="B13177" s="2"/>
      <c r="C13177" s="7"/>
      <c r="D13177" s="7"/>
    </row>
    <row r="13178" spans="1:4" ht="12.75" customHeight="1" x14ac:dyDescent="0.2">
      <c r="A13178" s="22" t="str">
        <f>HYPERLINK("javascript:void(0)","hasítósisak")</f>
        <v>hasítósisak</v>
      </c>
      <c r="B13178" s="21"/>
      <c r="C13178" s="21"/>
      <c r="D13178" s="21"/>
    </row>
    <row r="13179" spans="1:4" ht="12.75" customHeight="1" x14ac:dyDescent="0.2">
      <c r="A13179" s="20"/>
      <c r="B13179" s="2"/>
      <c r="C13179" s="7"/>
      <c r="D13179" s="7"/>
    </row>
    <row r="13180" spans="1:4" ht="12.75" customHeight="1" x14ac:dyDescent="0.2">
      <c r="A13180" s="21"/>
      <c r="B13180" s="3" t="s">
        <v>0</v>
      </c>
      <c r="C13180" s="23" t="s">
        <v>87</v>
      </c>
      <c r="D13180" s="21"/>
    </row>
    <row r="13181" spans="1:4" ht="12.75" customHeight="1" x14ac:dyDescent="0.2">
      <c r="A13181" s="21"/>
      <c r="B13181" s="3" t="s">
        <v>2</v>
      </c>
      <c r="C13181" s="23"/>
      <c r="D13181" s="21"/>
    </row>
    <row r="13182" spans="1:4" ht="12.75" customHeight="1" x14ac:dyDescent="0.2">
      <c r="A13182" s="21"/>
      <c r="B13182" s="3" t="s">
        <v>1840</v>
      </c>
      <c r="C13182" s="23" t="s">
        <v>539</v>
      </c>
      <c r="D13182" s="21"/>
    </row>
    <row r="13183" spans="1:4" ht="12.75" customHeight="1" x14ac:dyDescent="0.2">
      <c r="A13183" s="21"/>
      <c r="B13183" s="3" t="s">
        <v>9</v>
      </c>
      <c r="C13183" s="23" t="s">
        <v>2038</v>
      </c>
      <c r="D13183" s="21"/>
    </row>
    <row r="13184" spans="1:4" ht="12.75" customHeight="1" x14ac:dyDescent="0.2">
      <c r="A13184" s="21"/>
      <c r="B13184" s="3" t="s">
        <v>11</v>
      </c>
      <c r="C13184" s="23" t="s">
        <v>1500</v>
      </c>
      <c r="D13184" s="21"/>
    </row>
    <row r="13185" spans="1:4" ht="12.75" customHeight="1" x14ac:dyDescent="0.2">
      <c r="A13185" s="21"/>
      <c r="B13185" s="3" t="s">
        <v>16</v>
      </c>
      <c r="C13185" s="23"/>
      <c r="D13185" s="21"/>
    </row>
    <row r="13186" spans="1:4" ht="12.75" customHeight="1" x14ac:dyDescent="0.2">
      <c r="A13186" s="21"/>
      <c r="B13186" s="3" t="s">
        <v>17</v>
      </c>
      <c r="C13186" s="23" t="s">
        <v>19</v>
      </c>
      <c r="D13186" s="21"/>
    </row>
    <row r="13187" spans="1:4" ht="12.75" customHeight="1" x14ac:dyDescent="0.2">
      <c r="A13187" s="21"/>
      <c r="B13187" s="20" t="s">
        <v>18</v>
      </c>
      <c r="C13187" s="8" t="s">
        <v>44</v>
      </c>
      <c r="D13187" s="1" t="str">
        <f>HYPERLINK("javascript:void(0)","igesisak")</f>
        <v>igesisak</v>
      </c>
    </row>
    <row r="13188" spans="1:4" ht="12.75" customHeight="1" x14ac:dyDescent="0.2">
      <c r="A13188" s="21"/>
      <c r="B13188" s="21"/>
      <c r="C13188" s="8" t="s">
        <v>102</v>
      </c>
      <c r="D13188" s="1" t="str">
        <f>HYPERLINK("javascript:void(0)","fejlik")</f>
        <v>fejlik</v>
      </c>
    </row>
    <row r="13189" spans="1:4" ht="12.75" customHeight="1" x14ac:dyDescent="0.2">
      <c r="A13189" s="21"/>
      <c r="B13189" s="21"/>
      <c r="C13189" s="8" t="s">
        <v>244</v>
      </c>
      <c r="D13189" s="1" t="str">
        <f>HYPERLINK("javascript:void(0)","glóriahasító")</f>
        <v>glóriahasító</v>
      </c>
    </row>
    <row r="13190" spans="1:4" ht="12.75" customHeight="1" x14ac:dyDescent="0.2">
      <c r="A13190" s="21"/>
      <c r="B13190" s="2"/>
      <c r="C13190" s="7"/>
      <c r="D13190" s="7"/>
    </row>
    <row r="13191" spans="1:4" ht="12.75" customHeight="1" x14ac:dyDescent="0.2">
      <c r="A13191" s="21"/>
      <c r="B13191" s="2"/>
      <c r="C13191" s="7"/>
      <c r="D13191" s="7"/>
    </row>
    <row r="13192" spans="1:4" ht="12.75" customHeight="1" x14ac:dyDescent="0.2">
      <c r="A13192" s="21"/>
      <c r="B13192" s="2"/>
      <c r="C13192" s="7"/>
      <c r="D13192" s="7"/>
    </row>
    <row r="13193" spans="1:4" ht="12.75" customHeight="1" x14ac:dyDescent="0.2">
      <c r="A13193" s="21"/>
      <c r="B13193" s="2"/>
      <c r="C13193" s="7"/>
      <c r="D13193" s="7"/>
    </row>
    <row r="13194" spans="1:4" ht="12.75" customHeight="1" x14ac:dyDescent="0.2">
      <c r="A13194" s="5"/>
      <c r="B13194" s="2"/>
      <c r="C13194" s="7"/>
      <c r="D13194" s="7"/>
    </row>
    <row r="13195" spans="1:4" ht="12.75" customHeight="1" x14ac:dyDescent="0.2">
      <c r="A13195" s="22" t="str">
        <f>HYPERLINK("javascript:void(0)","skívei mokaszin")</f>
        <v>skívei mokaszin</v>
      </c>
      <c r="B13195" s="21"/>
      <c r="C13195" s="21"/>
      <c r="D13195" s="21"/>
    </row>
    <row r="13196" spans="1:4" ht="12.75" customHeight="1" x14ac:dyDescent="0.2">
      <c r="A13196" s="20"/>
      <c r="B13196" s="2"/>
      <c r="C13196" s="7"/>
      <c r="D13196" s="7"/>
    </row>
    <row r="13197" spans="1:4" ht="12.75" customHeight="1" x14ac:dyDescent="0.2">
      <c r="A13197" s="21"/>
      <c r="B13197" s="3" t="s">
        <v>0</v>
      </c>
      <c r="C13197" s="23" t="s">
        <v>87</v>
      </c>
      <c r="D13197" s="21"/>
    </row>
    <row r="13198" spans="1:4" ht="12.75" customHeight="1" x14ac:dyDescent="0.2">
      <c r="A13198" s="21"/>
      <c r="B13198" s="3" t="s">
        <v>2</v>
      </c>
      <c r="C13198" s="23"/>
      <c r="D13198" s="21"/>
    </row>
    <row r="13199" spans="1:4" ht="12.75" customHeight="1" x14ac:dyDescent="0.2">
      <c r="A13199" s="21"/>
      <c r="B13199" s="3" t="s">
        <v>1840</v>
      </c>
      <c r="C13199" s="23" t="s">
        <v>2149</v>
      </c>
      <c r="D13199" s="21"/>
    </row>
    <row r="13200" spans="1:4" ht="12.75" customHeight="1" x14ac:dyDescent="0.2">
      <c r="A13200" s="21"/>
      <c r="B13200" s="3" t="s">
        <v>9</v>
      </c>
      <c r="C13200" s="23" t="s">
        <v>958</v>
      </c>
      <c r="D13200" s="21"/>
    </row>
    <row r="13201" spans="1:4" ht="12.75" customHeight="1" x14ac:dyDescent="0.2">
      <c r="A13201" s="21"/>
      <c r="B13201" s="3" t="s">
        <v>11</v>
      </c>
      <c r="C13201" s="23" t="s">
        <v>1509</v>
      </c>
      <c r="D13201" s="21"/>
    </row>
    <row r="13202" spans="1:4" ht="12.75" customHeight="1" x14ac:dyDescent="0.2">
      <c r="A13202" s="21"/>
      <c r="B13202" s="3" t="s">
        <v>16</v>
      </c>
      <c r="C13202" s="23"/>
      <c r="D13202" s="21"/>
    </row>
    <row r="13203" spans="1:4" ht="12.75" customHeight="1" x14ac:dyDescent="0.2">
      <c r="A13203" s="21"/>
      <c r="B13203" s="3" t="s">
        <v>17</v>
      </c>
      <c r="C13203" s="23" t="s">
        <v>19</v>
      </c>
      <c r="D13203" s="21"/>
    </row>
    <row r="13204" spans="1:4" ht="12.75" customHeight="1" x14ac:dyDescent="0.2">
      <c r="A13204" s="21"/>
      <c r="B13204" s="20" t="s">
        <v>18</v>
      </c>
      <c r="C13204" s="8" t="s">
        <v>44</v>
      </c>
      <c r="D13204" s="1" t="str">
        <f>HYPERLINK("javascript:void(0)","rémes törtető")</f>
        <v>rémes törtető</v>
      </c>
    </row>
    <row r="13205" spans="1:4" ht="12.75" customHeight="1" x14ac:dyDescent="0.2">
      <c r="A13205" s="21"/>
      <c r="B13205" s="21"/>
      <c r="C13205" s="8" t="s">
        <v>44</v>
      </c>
      <c r="D13205" s="1" t="str">
        <f>HYPERLINK("javascript:void(0)","angyalsurranó")</f>
        <v>angyalsurranó</v>
      </c>
    </row>
    <row r="13206" spans="1:4" ht="12.75" customHeight="1" x14ac:dyDescent="0.2">
      <c r="A13206" s="21"/>
      <c r="B13206" s="21"/>
      <c r="C13206" s="8" t="s">
        <v>44</v>
      </c>
      <c r="D13206" s="1" t="str">
        <f>HYPERLINK("javascript:void(0)","skívei fűző")</f>
        <v>skívei fűző</v>
      </c>
    </row>
    <row r="13207" spans="1:4" ht="12.75" customHeight="1" x14ac:dyDescent="0.2">
      <c r="A13207" s="21"/>
      <c r="B13207" s="2"/>
      <c r="C13207" s="7"/>
      <c r="D13207" s="7"/>
    </row>
    <row r="13208" spans="1:4" ht="12.75" customHeight="1" x14ac:dyDescent="0.2">
      <c r="A13208" s="21"/>
      <c r="B13208" s="2"/>
      <c r="C13208" s="7"/>
      <c r="D13208" s="7"/>
    </row>
    <row r="13209" spans="1:4" ht="12.75" customHeight="1" x14ac:dyDescent="0.2">
      <c r="A13209" s="21"/>
      <c r="B13209" s="2"/>
      <c r="C13209" s="7"/>
      <c r="D13209" s="7"/>
    </row>
    <row r="13210" spans="1:4" ht="12.75" customHeight="1" x14ac:dyDescent="0.2">
      <c r="A13210" s="21"/>
      <c r="B13210" s="2"/>
      <c r="C13210" s="7"/>
      <c r="D13210" s="7"/>
    </row>
    <row r="13211" spans="1:4" ht="12.75" customHeight="1" x14ac:dyDescent="0.2">
      <c r="A13211" s="5"/>
      <c r="B13211" s="2"/>
      <c r="C13211" s="7"/>
      <c r="D13211" s="7"/>
    </row>
    <row r="13212" spans="1:4" ht="12.75" customHeight="1" x14ac:dyDescent="0.2">
      <c r="A13212" s="22" t="str">
        <f>HYPERLINK("javascript:void(0)","elmetestpajzs")</f>
        <v>elmetestpajzs</v>
      </c>
      <c r="B13212" s="21"/>
      <c r="C13212" s="21"/>
      <c r="D13212" s="21"/>
    </row>
    <row r="13213" spans="1:4" ht="12.75" customHeight="1" x14ac:dyDescent="0.2">
      <c r="A13213" s="20"/>
      <c r="B13213" s="2"/>
      <c r="C13213" s="7"/>
      <c r="D13213" s="7"/>
    </row>
    <row r="13214" spans="1:4" ht="12.75" customHeight="1" x14ac:dyDescent="0.2">
      <c r="A13214" s="21"/>
      <c r="B13214" s="3" t="s">
        <v>0</v>
      </c>
      <c r="C13214" s="23" t="s">
        <v>87</v>
      </c>
      <c r="D13214" s="21"/>
    </row>
    <row r="13215" spans="1:4" ht="12.75" customHeight="1" x14ac:dyDescent="0.2">
      <c r="A13215" s="21"/>
      <c r="B13215" s="3" t="s">
        <v>2</v>
      </c>
      <c r="C13215" s="23" t="s">
        <v>1839</v>
      </c>
      <c r="D13215" s="21"/>
    </row>
    <row r="13216" spans="1:4" ht="12.75" customHeight="1" x14ac:dyDescent="0.2">
      <c r="A13216" s="21"/>
      <c r="B13216" s="3" t="s">
        <v>1840</v>
      </c>
      <c r="C13216" s="23" t="s">
        <v>2783</v>
      </c>
      <c r="D13216" s="21"/>
    </row>
    <row r="13217" spans="1:4" ht="12.75" customHeight="1" x14ac:dyDescent="0.2">
      <c r="A13217" s="21"/>
      <c r="B13217" s="3" t="s">
        <v>9</v>
      </c>
      <c r="C13217" s="23" t="s">
        <v>549</v>
      </c>
      <c r="D13217" s="21"/>
    </row>
    <row r="13218" spans="1:4" ht="12.75" customHeight="1" x14ac:dyDescent="0.2">
      <c r="A13218" s="21"/>
      <c r="B13218" s="3" t="s">
        <v>11</v>
      </c>
      <c r="C13218" s="23" t="s">
        <v>1544</v>
      </c>
      <c r="D13218" s="21"/>
    </row>
    <row r="13219" spans="1:4" ht="12.75" customHeight="1" x14ac:dyDescent="0.2">
      <c r="A13219" s="21"/>
      <c r="B13219" s="3" t="s">
        <v>16</v>
      </c>
      <c r="C13219" s="23"/>
      <c r="D13219" s="21"/>
    </row>
    <row r="13220" spans="1:4" ht="12.75" customHeight="1" x14ac:dyDescent="0.2">
      <c r="A13220" s="21"/>
      <c r="B13220" s="3" t="s">
        <v>17</v>
      </c>
      <c r="C13220" s="23" t="s">
        <v>19</v>
      </c>
      <c r="D13220" s="21"/>
    </row>
    <row r="13221" spans="1:4" ht="12.75" customHeight="1" x14ac:dyDescent="0.2">
      <c r="A13221" s="21"/>
      <c r="B13221" s="20" t="s">
        <v>18</v>
      </c>
      <c r="C13221" s="8" t="s">
        <v>44</v>
      </c>
      <c r="D13221" s="1" t="str">
        <f>HYPERLINK("javascript:void(0)","képék testpajzs")</f>
        <v>képék testpajzs</v>
      </c>
    </row>
    <row r="13222" spans="1:4" ht="12.75" customHeight="1" x14ac:dyDescent="0.2">
      <c r="A13222" s="21"/>
      <c r="B13222" s="21"/>
      <c r="C13222" s="8" t="s">
        <v>117</v>
      </c>
      <c r="D13222" s="1" t="str">
        <f>HYPERLINK("javascript:void(0)","fejlik")</f>
        <v>fejlik</v>
      </c>
    </row>
    <row r="13223" spans="1:4" ht="12.75" customHeight="1" x14ac:dyDescent="0.2">
      <c r="A13223" s="21"/>
      <c r="B13223" s="21"/>
      <c r="C13223" s="8" t="s">
        <v>244</v>
      </c>
      <c r="D13223" s="1" t="str">
        <f>HYPERLINK("javascript:void(0)","kártyalap")</f>
        <v>kártyalap</v>
      </c>
    </row>
    <row r="13224" spans="1:4" ht="12.75" customHeight="1" x14ac:dyDescent="0.2">
      <c r="A13224" s="21"/>
      <c r="B13224" s="2"/>
      <c r="C13224" s="7"/>
      <c r="D13224" s="7"/>
    </row>
    <row r="13225" spans="1:4" ht="12.75" customHeight="1" x14ac:dyDescent="0.2">
      <c r="A13225" s="21"/>
      <c r="B13225" s="2"/>
      <c r="C13225" s="7"/>
      <c r="D13225" s="7"/>
    </row>
    <row r="13226" spans="1:4" ht="12.75" customHeight="1" x14ac:dyDescent="0.2">
      <c r="A13226" s="21"/>
      <c r="B13226" s="2"/>
      <c r="C13226" s="7"/>
      <c r="D13226" s="7"/>
    </row>
    <row r="13227" spans="1:4" ht="12.75" customHeight="1" x14ac:dyDescent="0.2">
      <c r="A13227" s="21"/>
      <c r="B13227" s="2"/>
      <c r="C13227" s="7"/>
      <c r="D13227" s="7"/>
    </row>
    <row r="13228" spans="1:4" ht="12.75" customHeight="1" x14ac:dyDescent="0.2">
      <c r="A13228" s="5"/>
      <c r="B13228" s="2"/>
      <c r="C13228" s="7"/>
      <c r="D13228" s="7"/>
    </row>
    <row r="13229" spans="1:4" ht="12.75" customHeight="1" x14ac:dyDescent="0.2">
      <c r="A13229" s="22" t="str">
        <f>HYPERLINK("javascript:void(0)","thordi szellempajzs")</f>
        <v>thordi szellempajzs</v>
      </c>
      <c r="B13229" s="21"/>
      <c r="C13229" s="21"/>
      <c r="D13229" s="21"/>
    </row>
    <row r="13230" spans="1:4" ht="12.75" customHeight="1" x14ac:dyDescent="0.2">
      <c r="A13230" s="20"/>
      <c r="B13230" s="2"/>
      <c r="C13230" s="7"/>
      <c r="D13230" s="7"/>
    </row>
    <row r="13231" spans="1:4" ht="12.75" customHeight="1" x14ac:dyDescent="0.2">
      <c r="A13231" s="21"/>
      <c r="B13231" s="3" t="s">
        <v>0</v>
      </c>
      <c r="C13231" s="23" t="s">
        <v>87</v>
      </c>
      <c r="D13231" s="21"/>
    </row>
    <row r="13232" spans="1:4" ht="12.75" customHeight="1" x14ac:dyDescent="0.2">
      <c r="A13232" s="21"/>
      <c r="B13232" s="3" t="s">
        <v>2</v>
      </c>
      <c r="C13232" s="23" t="s">
        <v>1839</v>
      </c>
      <c r="D13232" s="21"/>
    </row>
    <row r="13233" spans="1:4" ht="12.75" customHeight="1" x14ac:dyDescent="0.2">
      <c r="A13233" s="21"/>
      <c r="B13233" s="3" t="s">
        <v>1840</v>
      </c>
      <c r="C13233" s="23" t="s">
        <v>2783</v>
      </c>
      <c r="D13233" s="21"/>
    </row>
    <row r="13234" spans="1:4" ht="12.75" customHeight="1" x14ac:dyDescent="0.2">
      <c r="A13234" s="21"/>
      <c r="B13234" s="3" t="s">
        <v>9</v>
      </c>
      <c r="C13234" s="23" t="s">
        <v>5187</v>
      </c>
      <c r="D13234" s="21"/>
    </row>
    <row r="13235" spans="1:4" ht="12.75" customHeight="1" x14ac:dyDescent="0.2">
      <c r="A13235" s="21"/>
      <c r="B13235" s="3" t="s">
        <v>11</v>
      </c>
      <c r="C13235" s="23" t="s">
        <v>1553</v>
      </c>
      <c r="D13235" s="21"/>
    </row>
    <row r="13236" spans="1:4" ht="12.75" customHeight="1" x14ac:dyDescent="0.2">
      <c r="A13236" s="21"/>
      <c r="B13236" s="3" t="s">
        <v>16</v>
      </c>
      <c r="C13236" s="23"/>
      <c r="D13236" s="21"/>
    </row>
    <row r="13237" spans="1:4" ht="12.75" customHeight="1" x14ac:dyDescent="0.2">
      <c r="A13237" s="21"/>
      <c r="B13237" s="3" t="s">
        <v>17</v>
      </c>
      <c r="C13237" s="23" t="s">
        <v>19</v>
      </c>
      <c r="D13237" s="21"/>
    </row>
    <row r="13238" spans="1:4" ht="12.75" customHeight="1" x14ac:dyDescent="0.2">
      <c r="A13238" s="21"/>
      <c r="B13238" s="20" t="s">
        <v>18</v>
      </c>
      <c r="C13238" s="8" t="s">
        <v>44</v>
      </c>
      <c r="D13238" s="1" t="str">
        <f>HYPERLINK("javascript:void(0)","elmetestpajzs")</f>
        <v>elmetestpajzs</v>
      </c>
    </row>
    <row r="13239" spans="1:4" ht="12.75" customHeight="1" x14ac:dyDescent="0.2">
      <c r="A13239" s="21"/>
      <c r="B13239" s="21"/>
      <c r="C13239" s="8" t="s">
        <v>398</v>
      </c>
      <c r="D13239" s="1" t="str">
        <f>HYPERLINK("javascript:void(0)","angyalhaj")</f>
        <v>angyalhaj</v>
      </c>
    </row>
    <row r="13240" spans="1:4" ht="12.75" customHeight="1" x14ac:dyDescent="0.2">
      <c r="A13240" s="21"/>
      <c r="B13240" s="21"/>
      <c r="C13240" s="8" t="s">
        <v>265</v>
      </c>
      <c r="D13240" s="1" t="str">
        <f>HYPERLINK("javascript:void(0)","fülcsáp")</f>
        <v>fülcsáp</v>
      </c>
    </row>
    <row r="13241" spans="1:4" ht="12.75" customHeight="1" x14ac:dyDescent="0.2">
      <c r="A13241" s="21"/>
      <c r="B13241" s="2"/>
      <c r="C13241" s="7"/>
      <c r="D13241" s="7"/>
    </row>
    <row r="13242" spans="1:4" ht="12.75" customHeight="1" x14ac:dyDescent="0.2">
      <c r="A13242" s="21"/>
      <c r="B13242" s="2"/>
      <c r="C13242" s="7"/>
      <c r="D13242" s="7"/>
    </row>
    <row r="13243" spans="1:4" ht="12.75" customHeight="1" x14ac:dyDescent="0.2">
      <c r="A13243" s="21"/>
      <c r="B13243" s="2"/>
      <c r="C13243" s="7"/>
      <c r="D13243" s="7"/>
    </row>
    <row r="13244" spans="1:4" ht="12.75" customHeight="1" x14ac:dyDescent="0.2">
      <c r="A13244" s="21"/>
      <c r="B13244" s="2"/>
      <c r="C13244" s="7"/>
      <c r="D13244" s="7"/>
    </row>
    <row r="13245" spans="1:4" ht="12.75" customHeight="1" x14ac:dyDescent="0.2">
      <c r="A13245" s="5"/>
      <c r="B13245" s="2"/>
      <c r="C13245" s="7"/>
      <c r="D13245" s="7"/>
    </row>
    <row r="13246" spans="1:4" ht="12.75" customHeight="1" x14ac:dyDescent="0.2">
      <c r="A13246" s="22" t="str">
        <f>HYPERLINK("javascript:void(0)","skívei fűző")</f>
        <v>skívei fűző</v>
      </c>
      <c r="B13246" s="21"/>
      <c r="C13246" s="21"/>
      <c r="D13246" s="21"/>
    </row>
    <row r="13247" spans="1:4" ht="12.75" customHeight="1" x14ac:dyDescent="0.2">
      <c r="A13247" s="20"/>
      <c r="B13247" s="2"/>
      <c r="C13247" s="7"/>
      <c r="D13247" s="7"/>
    </row>
    <row r="13248" spans="1:4" ht="12.75" customHeight="1" x14ac:dyDescent="0.2">
      <c r="A13248" s="21"/>
      <c r="B13248" s="3" t="s">
        <v>0</v>
      </c>
      <c r="C13248" s="23" t="s">
        <v>87</v>
      </c>
      <c r="D13248" s="21"/>
    </row>
    <row r="13249" spans="1:4" ht="12.75" customHeight="1" x14ac:dyDescent="0.2">
      <c r="A13249" s="21"/>
      <c r="B13249" s="3" t="s">
        <v>2</v>
      </c>
      <c r="C13249" s="23"/>
      <c r="D13249" s="21"/>
    </row>
    <row r="13250" spans="1:4" ht="12.75" customHeight="1" x14ac:dyDescent="0.2">
      <c r="A13250" s="21"/>
      <c r="B13250" s="3" t="s">
        <v>1840</v>
      </c>
      <c r="C13250" s="23" t="s">
        <v>127</v>
      </c>
      <c r="D13250" s="21"/>
    </row>
    <row r="13251" spans="1:4" ht="12.75" customHeight="1" x14ac:dyDescent="0.2">
      <c r="A13251" s="21"/>
      <c r="B13251" s="3" t="s">
        <v>9</v>
      </c>
      <c r="C13251" s="23" t="s">
        <v>70</v>
      </c>
      <c r="D13251" s="21"/>
    </row>
    <row r="13252" spans="1:4" ht="12.75" customHeight="1" x14ac:dyDescent="0.2">
      <c r="A13252" s="21"/>
      <c r="B13252" s="3" t="s">
        <v>11</v>
      </c>
      <c r="C13252" s="23" t="s">
        <v>2144</v>
      </c>
      <c r="D13252" s="21"/>
    </row>
    <row r="13253" spans="1:4" ht="12.75" customHeight="1" x14ac:dyDescent="0.2">
      <c r="A13253" s="21"/>
      <c r="B13253" s="3" t="s">
        <v>16</v>
      </c>
      <c r="C13253" s="23"/>
      <c r="D13253" s="21"/>
    </row>
    <row r="13254" spans="1:4" ht="12.75" customHeight="1" x14ac:dyDescent="0.2">
      <c r="A13254" s="21"/>
      <c r="B13254" s="3" t="s">
        <v>17</v>
      </c>
      <c r="C13254" s="23" t="s">
        <v>19</v>
      </c>
      <c r="D13254" s="21"/>
    </row>
    <row r="13255" spans="1:4" ht="12.75" customHeight="1" x14ac:dyDescent="0.2">
      <c r="A13255" s="21"/>
      <c r="B13255" s="20" t="s">
        <v>18</v>
      </c>
      <c r="C13255" s="8" t="s">
        <v>269</v>
      </c>
      <c r="D13255" s="1" t="str">
        <f>HYPERLINK("javascript:void(0)","brummogás")</f>
        <v>brummogás</v>
      </c>
    </row>
    <row r="13256" spans="1:4" ht="12.75" customHeight="1" x14ac:dyDescent="0.2">
      <c r="A13256" s="21"/>
      <c r="B13256" s="21"/>
      <c r="C13256" s="8" t="s">
        <v>67</v>
      </c>
      <c r="D13256" s="1" t="str">
        <f>HYPERLINK("javascript:void(0)","fülcsáp")</f>
        <v>fülcsáp</v>
      </c>
    </row>
    <row r="13257" spans="1:4" ht="12.75" customHeight="1" x14ac:dyDescent="0.2">
      <c r="A13257" s="21"/>
      <c r="B13257" s="21"/>
      <c r="C13257" s="8" t="s">
        <v>98</v>
      </c>
      <c r="D13257" s="1" t="str">
        <f>HYPERLINK("javascript:void(0)","kártyalap")</f>
        <v>kártyalap</v>
      </c>
    </row>
    <row r="13258" spans="1:4" ht="12.75" customHeight="1" x14ac:dyDescent="0.2">
      <c r="A13258" s="21"/>
      <c r="B13258" s="2"/>
      <c r="C13258" s="7"/>
      <c r="D13258" s="7"/>
    </row>
    <row r="13259" spans="1:4" ht="12.75" customHeight="1" x14ac:dyDescent="0.2">
      <c r="A13259" s="21"/>
      <c r="B13259" s="2"/>
      <c r="C13259" s="7"/>
      <c r="D13259" s="7"/>
    </row>
    <row r="13260" spans="1:4" ht="12.75" customHeight="1" x14ac:dyDescent="0.2">
      <c r="A13260" s="21"/>
      <c r="B13260" s="2"/>
      <c r="C13260" s="7"/>
      <c r="D13260" s="7"/>
    </row>
    <row r="13261" spans="1:4" ht="12.75" customHeight="1" x14ac:dyDescent="0.2">
      <c r="A13261" s="21"/>
      <c r="B13261" s="2"/>
      <c r="C13261" s="7"/>
      <c r="D13261" s="7"/>
    </row>
    <row r="13262" spans="1:4" ht="12.75" customHeight="1" x14ac:dyDescent="0.2">
      <c r="A13262" s="5"/>
      <c r="B13262" s="2"/>
      <c r="C13262" s="7"/>
      <c r="D13262" s="7"/>
    </row>
    <row r="13263" spans="1:4" ht="12.75" customHeight="1" x14ac:dyDescent="0.2">
      <c r="A13263" s="22" t="str">
        <f>HYPERLINK("javascript:void(0)","csillámló yetipajzs")</f>
        <v>csillámló yetipajzs</v>
      </c>
      <c r="B13263" s="21"/>
      <c r="C13263" s="21"/>
      <c r="D13263" s="21"/>
    </row>
    <row r="13264" spans="1:4" ht="12.75" customHeight="1" x14ac:dyDescent="0.2">
      <c r="A13264" s="20"/>
      <c r="B13264" s="2"/>
      <c r="C13264" s="7"/>
      <c r="D13264" s="7"/>
    </row>
    <row r="13265" spans="1:4" ht="12.75" customHeight="1" x14ac:dyDescent="0.2">
      <c r="A13265" s="21"/>
      <c r="B13265" s="3" t="s">
        <v>0</v>
      </c>
      <c r="C13265" s="23" t="s">
        <v>87</v>
      </c>
      <c r="D13265" s="21"/>
    </row>
    <row r="13266" spans="1:4" ht="12.75" customHeight="1" x14ac:dyDescent="0.2">
      <c r="A13266" s="21"/>
      <c r="B13266" s="3" t="s">
        <v>2</v>
      </c>
      <c r="C13266" s="23" t="s">
        <v>1839</v>
      </c>
      <c r="D13266" s="21"/>
    </row>
    <row r="13267" spans="1:4" ht="12.75" customHeight="1" x14ac:dyDescent="0.2">
      <c r="A13267" s="21"/>
      <c r="B13267" s="3" t="s">
        <v>1840</v>
      </c>
      <c r="C13267" s="23" t="s">
        <v>2185</v>
      </c>
      <c r="D13267" s="21"/>
    </row>
    <row r="13268" spans="1:4" ht="12.75" customHeight="1" x14ac:dyDescent="0.2">
      <c r="A13268" s="21"/>
      <c r="B13268" s="3" t="s">
        <v>9</v>
      </c>
      <c r="C13268" s="23" t="s">
        <v>343</v>
      </c>
      <c r="D13268" s="21"/>
    </row>
    <row r="13269" spans="1:4" ht="12.75" customHeight="1" x14ac:dyDescent="0.2">
      <c r="A13269" s="21"/>
      <c r="B13269" s="3" t="s">
        <v>11</v>
      </c>
      <c r="C13269" s="23" t="s">
        <v>1544</v>
      </c>
      <c r="D13269" s="21"/>
    </row>
    <row r="13270" spans="1:4" ht="12.75" customHeight="1" x14ac:dyDescent="0.2">
      <c r="A13270" s="21"/>
      <c r="B13270" s="3" t="s">
        <v>16</v>
      </c>
      <c r="C13270" s="23"/>
      <c r="D13270" s="21"/>
    </row>
    <row r="13271" spans="1:4" ht="12.75" customHeight="1" x14ac:dyDescent="0.2">
      <c r="A13271" s="21"/>
      <c r="B13271" s="3" t="s">
        <v>17</v>
      </c>
      <c r="C13271" s="23" t="s">
        <v>19</v>
      </c>
      <c r="D13271" s="21"/>
    </row>
    <row r="13272" spans="1:4" ht="12.75" customHeight="1" x14ac:dyDescent="0.2">
      <c r="A13272" s="21"/>
      <c r="B13272" s="20" t="s">
        <v>18</v>
      </c>
      <c r="C13272" s="8" t="s">
        <v>57</v>
      </c>
      <c r="D13272" s="1" t="str">
        <f>HYPERLINK("javascript:void(0)","csillámgöb")</f>
        <v>csillámgöb</v>
      </c>
    </row>
    <row r="13273" spans="1:4" ht="25.5" customHeight="1" x14ac:dyDescent="0.2">
      <c r="A13273" s="21"/>
      <c r="B13273" s="21"/>
      <c r="C13273" s="8" t="s">
        <v>44</v>
      </c>
      <c r="D13273" s="1" t="str">
        <f>HYPERLINK("javascript:void(0)","csillámló buborékpajzs")</f>
        <v>csillámló buborékpajzs</v>
      </c>
    </row>
    <row r="13274" spans="1:4" ht="12.75" customHeight="1" x14ac:dyDescent="0.2">
      <c r="A13274" s="21"/>
      <c r="B13274" s="21"/>
      <c r="C13274" s="8" t="s">
        <v>309</v>
      </c>
      <c r="D13274" s="1" t="str">
        <f>HYPERLINK("javascript:void(0)","yetiláb")</f>
        <v>yetiláb</v>
      </c>
    </row>
    <row r="13275" spans="1:4" ht="12.75" customHeight="1" x14ac:dyDescent="0.2">
      <c r="A13275" s="21"/>
      <c r="B13275" s="2"/>
      <c r="C13275" s="7"/>
      <c r="D13275" s="7"/>
    </row>
    <row r="13276" spans="1:4" ht="12.75" customHeight="1" x14ac:dyDescent="0.2">
      <c r="A13276" s="21"/>
      <c r="B13276" s="2"/>
      <c r="C13276" s="7"/>
      <c r="D13276" s="7"/>
    </row>
    <row r="13277" spans="1:4" ht="12.75" customHeight="1" x14ac:dyDescent="0.2">
      <c r="A13277" s="21"/>
      <c r="B13277" s="2"/>
      <c r="C13277" s="7"/>
      <c r="D13277" s="7"/>
    </row>
    <row r="13278" spans="1:4" ht="12.75" customHeight="1" x14ac:dyDescent="0.2">
      <c r="A13278" s="21"/>
      <c r="B13278" s="2"/>
      <c r="C13278" s="7"/>
      <c r="D13278" s="7"/>
    </row>
    <row r="13279" spans="1:4" ht="12.75" customHeight="1" x14ac:dyDescent="0.2">
      <c r="A13279" s="5"/>
      <c r="B13279" s="2"/>
      <c r="C13279" s="7"/>
      <c r="D13279" s="7"/>
    </row>
    <row r="13280" spans="1:4" ht="12.75" customHeight="1" x14ac:dyDescent="0.2">
      <c r="A13280" s="22" t="str">
        <f>HYPERLINK("javascript:void(0)","csillámló yeticsizma")</f>
        <v>csillámló yeticsizma</v>
      </c>
      <c r="B13280" s="21"/>
      <c r="C13280" s="21"/>
      <c r="D13280" s="21"/>
    </row>
    <row r="13281" spans="1:4" ht="12.75" customHeight="1" x14ac:dyDescent="0.2">
      <c r="A13281" s="20"/>
      <c r="B13281" s="2"/>
      <c r="C13281" s="7"/>
      <c r="D13281" s="7"/>
    </row>
    <row r="13282" spans="1:4" ht="12.75" customHeight="1" x14ac:dyDescent="0.2">
      <c r="A13282" s="21"/>
      <c r="B13282" s="3" t="s">
        <v>0</v>
      </c>
      <c r="C13282" s="23" t="s">
        <v>87</v>
      </c>
      <c r="D13282" s="21"/>
    </row>
    <row r="13283" spans="1:4" ht="12.75" customHeight="1" x14ac:dyDescent="0.2">
      <c r="A13283" s="21"/>
      <c r="B13283" s="3" t="s">
        <v>2</v>
      </c>
      <c r="C13283" s="23"/>
      <c r="D13283" s="21"/>
    </row>
    <row r="13284" spans="1:4" ht="12.75" customHeight="1" x14ac:dyDescent="0.2">
      <c r="A13284" s="21"/>
      <c r="B13284" s="3" t="s">
        <v>1840</v>
      </c>
      <c r="C13284" s="23" t="s">
        <v>2153</v>
      </c>
      <c r="D13284" s="21"/>
    </row>
    <row r="13285" spans="1:4" ht="12.75" customHeight="1" x14ac:dyDescent="0.2">
      <c r="A13285" s="21"/>
      <c r="B13285" s="3" t="s">
        <v>9</v>
      </c>
      <c r="C13285" s="23" t="s">
        <v>126</v>
      </c>
      <c r="D13285" s="21"/>
    </row>
    <row r="13286" spans="1:4" ht="12.75" customHeight="1" x14ac:dyDescent="0.2">
      <c r="A13286" s="21"/>
      <c r="B13286" s="3" t="s">
        <v>11</v>
      </c>
      <c r="C13286" s="23" t="s">
        <v>1509</v>
      </c>
      <c r="D13286" s="21"/>
    </row>
    <row r="13287" spans="1:4" ht="12.75" customHeight="1" x14ac:dyDescent="0.2">
      <c r="A13287" s="21"/>
      <c r="B13287" s="3" t="s">
        <v>16</v>
      </c>
      <c r="C13287" s="23"/>
      <c r="D13287" s="21"/>
    </row>
    <row r="13288" spans="1:4" ht="12.75" customHeight="1" x14ac:dyDescent="0.2">
      <c r="A13288" s="21"/>
      <c r="B13288" s="3" t="s">
        <v>17</v>
      </c>
      <c r="C13288" s="23" t="s">
        <v>19</v>
      </c>
      <c r="D13288" s="21"/>
    </row>
    <row r="13289" spans="1:4" ht="12.75" customHeight="1" x14ac:dyDescent="0.2">
      <c r="A13289" s="21"/>
      <c r="B13289" s="20" t="s">
        <v>18</v>
      </c>
      <c r="C13289" s="8" t="s">
        <v>57</v>
      </c>
      <c r="D13289" s="1" t="str">
        <f>HYPERLINK("javascript:void(0)","csillámgöb")</f>
        <v>csillámgöb</v>
      </c>
    </row>
    <row r="13290" spans="1:4" ht="12.75" customHeight="1" x14ac:dyDescent="0.2">
      <c r="A13290" s="21"/>
      <c r="B13290" s="21"/>
      <c r="C13290" s="8" t="s">
        <v>44</v>
      </c>
      <c r="D13290" s="1" t="str">
        <f>HYPERLINK("javascript:void(0)","csillámló légcipő")</f>
        <v>csillámló légcipő</v>
      </c>
    </row>
    <row r="13291" spans="1:4" ht="12.75" customHeight="1" x14ac:dyDescent="0.2">
      <c r="A13291" s="21"/>
      <c r="B13291" s="21"/>
      <c r="C13291" s="8" t="s">
        <v>98</v>
      </c>
      <c r="D13291" s="1" t="str">
        <f>HYPERLINK("javascript:void(0)","vasrög")</f>
        <v>vasrög</v>
      </c>
    </row>
    <row r="13292" spans="1:4" ht="12.75" customHeight="1" x14ac:dyDescent="0.2">
      <c r="A13292" s="21"/>
      <c r="B13292" s="2"/>
      <c r="C13292" s="7"/>
      <c r="D13292" s="7"/>
    </row>
    <row r="13293" spans="1:4" ht="12.75" customHeight="1" x14ac:dyDescent="0.2">
      <c r="A13293" s="21"/>
      <c r="B13293" s="2"/>
      <c r="C13293" s="7"/>
      <c r="D13293" s="7"/>
    </row>
    <row r="13294" spans="1:4" ht="12.75" customHeight="1" x14ac:dyDescent="0.2">
      <c r="A13294" s="21"/>
      <c r="B13294" s="2"/>
      <c r="C13294" s="7"/>
      <c r="D13294" s="7"/>
    </row>
    <row r="13295" spans="1:4" ht="12.75" customHeight="1" x14ac:dyDescent="0.2">
      <c r="A13295" s="21"/>
      <c r="B13295" s="2"/>
      <c r="C13295" s="7"/>
      <c r="D13295" s="7"/>
    </row>
    <row r="13296" spans="1:4" ht="12.75" customHeight="1" x14ac:dyDescent="0.2">
      <c r="A13296" s="5"/>
      <c r="B13296" s="2"/>
      <c r="C13296" s="7"/>
      <c r="D13296" s="7"/>
    </row>
    <row r="13297" spans="1:4" ht="12.75" customHeight="1" x14ac:dyDescent="0.2">
      <c r="A13297" s="22" t="str">
        <f>HYPERLINK("javascript:void(0)","csillámos yetisisak")</f>
        <v>csillámos yetisisak</v>
      </c>
      <c r="B13297" s="21"/>
      <c r="C13297" s="21"/>
      <c r="D13297" s="21"/>
    </row>
    <row r="13298" spans="1:4" ht="12.75" customHeight="1" x14ac:dyDescent="0.2">
      <c r="A13298" s="20"/>
      <c r="B13298" s="2"/>
      <c r="C13298" s="7"/>
      <c r="D13298" s="7"/>
    </row>
    <row r="13299" spans="1:4" ht="12.75" customHeight="1" x14ac:dyDescent="0.2">
      <c r="A13299" s="21"/>
      <c r="B13299" s="3" t="s">
        <v>0</v>
      </c>
      <c r="C13299" s="23" t="s">
        <v>87</v>
      </c>
      <c r="D13299" s="21"/>
    </row>
    <row r="13300" spans="1:4" ht="12.75" customHeight="1" x14ac:dyDescent="0.2">
      <c r="A13300" s="21"/>
      <c r="B13300" s="3" t="s">
        <v>2</v>
      </c>
      <c r="C13300" s="23"/>
      <c r="D13300" s="21"/>
    </row>
    <row r="13301" spans="1:4" ht="12.75" customHeight="1" x14ac:dyDescent="0.2">
      <c r="A13301" s="21"/>
      <c r="B13301" s="3" t="s">
        <v>1840</v>
      </c>
      <c r="C13301" s="23" t="s">
        <v>2426</v>
      </c>
      <c r="D13301" s="21"/>
    </row>
    <row r="13302" spans="1:4" ht="12.75" customHeight="1" x14ac:dyDescent="0.2">
      <c r="A13302" s="21"/>
      <c r="B13302" s="3" t="s">
        <v>9</v>
      </c>
      <c r="C13302" s="23" t="s">
        <v>2354</v>
      </c>
      <c r="D13302" s="21"/>
    </row>
    <row r="13303" spans="1:4" ht="12.75" customHeight="1" x14ac:dyDescent="0.2">
      <c r="A13303" s="21"/>
      <c r="B13303" s="3" t="s">
        <v>11</v>
      </c>
      <c r="C13303" s="23" t="s">
        <v>1500</v>
      </c>
      <c r="D13303" s="21"/>
    </row>
    <row r="13304" spans="1:4" ht="12.75" customHeight="1" x14ac:dyDescent="0.2">
      <c r="A13304" s="21"/>
      <c r="B13304" s="3" t="s">
        <v>16</v>
      </c>
      <c r="C13304" s="23"/>
      <c r="D13304" s="21"/>
    </row>
    <row r="13305" spans="1:4" ht="12.75" customHeight="1" x14ac:dyDescent="0.2">
      <c r="A13305" s="21"/>
      <c r="B13305" s="3" t="s">
        <v>17</v>
      </c>
      <c r="C13305" s="23" t="s">
        <v>19</v>
      </c>
      <c r="D13305" s="21"/>
    </row>
    <row r="13306" spans="1:4" ht="12.75" customHeight="1" x14ac:dyDescent="0.2">
      <c r="A13306" s="21"/>
      <c r="B13306" s="20" t="s">
        <v>18</v>
      </c>
      <c r="C13306" s="8" t="s">
        <v>57</v>
      </c>
      <c r="D13306" s="1" t="str">
        <f>HYPERLINK("javascript:void(0)","csillámgöb")</f>
        <v>csillámgöb</v>
      </c>
    </row>
    <row r="13307" spans="1:4" ht="12.75" customHeight="1" x14ac:dyDescent="0.2">
      <c r="A13307" s="21"/>
      <c r="B13307" s="21"/>
      <c r="C13307" s="8" t="s">
        <v>44</v>
      </c>
      <c r="D13307" s="1" t="str">
        <f>HYPERLINK("javascript:void(0)","csillámos villámsisak")</f>
        <v>csillámos villámsisak</v>
      </c>
    </row>
    <row r="13308" spans="1:4" ht="12.75" customHeight="1" x14ac:dyDescent="0.2">
      <c r="A13308" s="21"/>
      <c r="B13308" s="21"/>
      <c r="C13308" s="8" t="s">
        <v>269</v>
      </c>
      <c r="D13308" s="1" t="str">
        <f>HYPERLINK("javascript:void(0)","aranyrög")</f>
        <v>aranyrög</v>
      </c>
    </row>
    <row r="13309" spans="1:4" ht="12.75" customHeight="1" x14ac:dyDescent="0.2">
      <c r="A13309" s="21"/>
      <c r="B13309" s="2"/>
      <c r="C13309" s="7"/>
      <c r="D13309" s="7"/>
    </row>
    <row r="13310" spans="1:4" ht="12.75" customHeight="1" x14ac:dyDescent="0.2">
      <c r="A13310" s="21"/>
      <c r="B13310" s="2"/>
      <c r="C13310" s="7"/>
      <c r="D13310" s="7"/>
    </row>
    <row r="13311" spans="1:4" ht="12.75" customHeight="1" x14ac:dyDescent="0.2">
      <c r="A13311" s="21"/>
      <c r="B13311" s="2"/>
      <c r="C13311" s="7"/>
      <c r="D13311" s="7"/>
    </row>
    <row r="13312" spans="1:4" ht="12.75" customHeight="1" x14ac:dyDescent="0.2">
      <c r="A13312" s="21"/>
      <c r="B13312" s="2"/>
      <c r="C13312" s="7"/>
      <c r="D13312" s="7"/>
    </row>
    <row r="13313" spans="1:4" ht="12.75" customHeight="1" x14ac:dyDescent="0.2">
      <c r="A13313" s="5"/>
      <c r="B13313" s="2"/>
      <c r="C13313" s="7"/>
      <c r="D13313" s="7"/>
    </row>
    <row r="13314" spans="1:4" ht="12.75" customHeight="1" x14ac:dyDescent="0.2">
      <c r="A13314" s="22" t="str">
        <f>HYPERLINK("javascript:void(0)","csillámló yetipáncél")</f>
        <v>csillámló yetipáncél</v>
      </c>
      <c r="B13314" s="21"/>
      <c r="C13314" s="21"/>
      <c r="D13314" s="21"/>
    </row>
    <row r="13315" spans="1:4" ht="12.75" customHeight="1" x14ac:dyDescent="0.2">
      <c r="A13315" s="20"/>
      <c r="B13315" s="2"/>
      <c r="C13315" s="7"/>
      <c r="D13315" s="7"/>
    </row>
    <row r="13316" spans="1:4" ht="12.75" customHeight="1" x14ac:dyDescent="0.2">
      <c r="A13316" s="21"/>
      <c r="B13316" s="3" t="s">
        <v>0</v>
      </c>
      <c r="C13316" s="23" t="s">
        <v>87</v>
      </c>
      <c r="D13316" s="21"/>
    </row>
    <row r="13317" spans="1:4" ht="12.75" customHeight="1" x14ac:dyDescent="0.2">
      <c r="A13317" s="21"/>
      <c r="B13317" s="3" t="s">
        <v>2</v>
      </c>
      <c r="C13317" s="23" t="s">
        <v>2322</v>
      </c>
      <c r="D13317" s="21"/>
    </row>
    <row r="13318" spans="1:4" ht="12.75" customHeight="1" x14ac:dyDescent="0.2">
      <c r="A13318" s="21"/>
      <c r="B13318" s="3" t="s">
        <v>1840</v>
      </c>
      <c r="C13318" s="23" t="s">
        <v>661</v>
      </c>
      <c r="D13318" s="21"/>
    </row>
    <row r="13319" spans="1:4" ht="12.75" customHeight="1" x14ac:dyDescent="0.2">
      <c r="A13319" s="21"/>
      <c r="B13319" s="3" t="s">
        <v>9</v>
      </c>
      <c r="C13319" s="23" t="s">
        <v>2509</v>
      </c>
      <c r="D13319" s="21"/>
    </row>
    <row r="13320" spans="1:4" ht="12.75" customHeight="1" x14ac:dyDescent="0.2">
      <c r="A13320" s="21"/>
      <c r="B13320" s="3" t="s">
        <v>11</v>
      </c>
      <c r="C13320" s="23" t="s">
        <v>1500</v>
      </c>
      <c r="D13320" s="21"/>
    </row>
    <row r="13321" spans="1:4" ht="12.75" customHeight="1" x14ac:dyDescent="0.2">
      <c r="A13321" s="21"/>
      <c r="B13321" s="3" t="s">
        <v>16</v>
      </c>
      <c r="C13321" s="23"/>
      <c r="D13321" s="21"/>
    </row>
    <row r="13322" spans="1:4" ht="12.75" customHeight="1" x14ac:dyDescent="0.2">
      <c r="A13322" s="21"/>
      <c r="B13322" s="3" t="s">
        <v>17</v>
      </c>
      <c r="C13322" s="23" t="s">
        <v>19</v>
      </c>
      <c r="D13322" s="21"/>
    </row>
    <row r="13323" spans="1:4" ht="12.75" customHeight="1" x14ac:dyDescent="0.2">
      <c r="A13323" s="21"/>
      <c r="B13323" s="20" t="s">
        <v>18</v>
      </c>
      <c r="C13323" s="8" t="s">
        <v>57</v>
      </c>
      <c r="D13323" s="1" t="str">
        <f>HYPERLINK("javascript:void(0)","csillámgöb")</f>
        <v>csillámgöb</v>
      </c>
    </row>
    <row r="13324" spans="1:4" ht="12.75" customHeight="1" x14ac:dyDescent="0.2">
      <c r="A13324" s="21"/>
      <c r="B13324" s="21"/>
      <c r="C13324" s="8" t="s">
        <v>44</v>
      </c>
      <c r="D13324" s="1" t="str">
        <f>HYPERLINK("javascript:void(0)","csillámos légvért")</f>
        <v>csillámos légvért</v>
      </c>
    </row>
    <row r="13325" spans="1:4" ht="12.75" customHeight="1" x14ac:dyDescent="0.2">
      <c r="A13325" s="21"/>
      <c r="B13325" s="21"/>
      <c r="C13325" s="8" t="s">
        <v>1536</v>
      </c>
      <c r="D13325" s="1" t="str">
        <f>HYPERLINK("javascript:void(0)","ördögpihe")</f>
        <v>ördögpihe</v>
      </c>
    </row>
    <row r="13326" spans="1:4" ht="12.75" customHeight="1" x14ac:dyDescent="0.2">
      <c r="A13326" s="21"/>
      <c r="B13326" s="2"/>
      <c r="C13326" s="7"/>
      <c r="D13326" s="7"/>
    </row>
    <row r="13327" spans="1:4" ht="12.75" customHeight="1" x14ac:dyDescent="0.2">
      <c r="A13327" s="21"/>
      <c r="B13327" s="2"/>
      <c r="C13327" s="7"/>
      <c r="D13327" s="7"/>
    </row>
    <row r="13328" spans="1:4" ht="12.75" customHeight="1" x14ac:dyDescent="0.2">
      <c r="A13328" s="21"/>
      <c r="B13328" s="2"/>
      <c r="C13328" s="7"/>
      <c r="D13328" s="7"/>
    </row>
    <row r="13329" spans="1:4" ht="12.75" customHeight="1" x14ac:dyDescent="0.2">
      <c r="A13329" s="21"/>
      <c r="B13329" s="2"/>
      <c r="C13329" s="7"/>
      <c r="D13329" s="7"/>
    </row>
    <row r="13330" spans="1:4" ht="12.75" customHeight="1" x14ac:dyDescent="0.2">
      <c r="A13330" s="5"/>
      <c r="B13330" s="2"/>
      <c r="C13330" s="7"/>
      <c r="D13330" s="7"/>
    </row>
    <row r="13331" spans="1:4" ht="12.75" customHeight="1" x14ac:dyDescent="0.2">
      <c r="A13331" s="22" t="str">
        <f>HYPERLINK("javascript:void(0)","teljes élvért")</f>
        <v>teljes élvért</v>
      </c>
      <c r="B13331" s="21"/>
      <c r="C13331" s="21"/>
      <c r="D13331" s="21"/>
    </row>
    <row r="13332" spans="1:4" ht="12.75" customHeight="1" x14ac:dyDescent="0.2">
      <c r="A13332" s="20"/>
      <c r="B13332" s="2"/>
      <c r="C13332" s="7"/>
      <c r="D13332" s="7"/>
    </row>
    <row r="13333" spans="1:4" ht="12.75" customHeight="1" x14ac:dyDescent="0.2">
      <c r="A13333" s="21"/>
      <c r="B13333" s="3" t="s">
        <v>0</v>
      </c>
      <c r="C13333" s="23" t="s">
        <v>999</v>
      </c>
      <c r="D13333" s="21"/>
    </row>
    <row r="13334" spans="1:4" ht="12.75" customHeight="1" x14ac:dyDescent="0.2">
      <c r="A13334" s="21"/>
      <c r="B13334" s="3" t="s">
        <v>2</v>
      </c>
      <c r="C13334" s="23" t="s">
        <v>2322</v>
      </c>
      <c r="D13334" s="21"/>
    </row>
    <row r="13335" spans="1:4" ht="12.75" customHeight="1" x14ac:dyDescent="0.2">
      <c r="A13335" s="21"/>
      <c r="B13335" s="3" t="s">
        <v>1840</v>
      </c>
      <c r="C13335" s="23" t="s">
        <v>2510</v>
      </c>
      <c r="D13335" s="21"/>
    </row>
    <row r="13336" spans="1:4" ht="12.75" customHeight="1" x14ac:dyDescent="0.2">
      <c r="A13336" s="21"/>
      <c r="B13336" s="3" t="s">
        <v>9</v>
      </c>
      <c r="C13336" s="23" t="s">
        <v>1108</v>
      </c>
      <c r="D13336" s="21"/>
    </row>
    <row r="13337" spans="1:4" ht="12.75" customHeight="1" x14ac:dyDescent="0.2">
      <c r="A13337" s="21"/>
      <c r="B13337" s="3" t="s">
        <v>11</v>
      </c>
      <c r="C13337" s="23" t="s">
        <v>839</v>
      </c>
      <c r="D13337" s="21"/>
    </row>
    <row r="13338" spans="1:4" ht="12.75" customHeight="1" x14ac:dyDescent="0.2">
      <c r="A13338" s="21"/>
      <c r="B13338" s="3" t="s">
        <v>16</v>
      </c>
      <c r="C13338" s="23"/>
      <c r="D13338" s="21"/>
    </row>
    <row r="13339" spans="1:4" ht="12.75" customHeight="1" x14ac:dyDescent="0.2">
      <c r="A13339" s="21"/>
      <c r="B13339" s="3" t="s">
        <v>17</v>
      </c>
      <c r="C13339" s="23" t="s">
        <v>19</v>
      </c>
      <c r="D13339" s="21"/>
    </row>
    <row r="13340" spans="1:4" ht="12.75" customHeight="1" x14ac:dyDescent="0.2">
      <c r="A13340" s="21"/>
      <c r="B13340" s="20" t="s">
        <v>18</v>
      </c>
      <c r="C13340" s="8" t="s">
        <v>44</v>
      </c>
      <c r="D13340" s="1" t="str">
        <f>HYPERLINK("javascript:void(0)","csáppáncél")</f>
        <v>csáppáncél</v>
      </c>
    </row>
    <row r="13341" spans="1:4" ht="12.75" customHeight="1" x14ac:dyDescent="0.2">
      <c r="A13341" s="21"/>
      <c r="B13341" s="21"/>
      <c r="C13341" s="8" t="s">
        <v>44</v>
      </c>
      <c r="D13341" s="1" t="str">
        <f>HYPERLINK("javascript:void(0)","csillámvért")</f>
        <v>csillámvért</v>
      </c>
    </row>
    <row r="13342" spans="1:4" ht="12.75" customHeight="1" x14ac:dyDescent="0.2">
      <c r="A13342" s="21"/>
      <c r="B13342" s="21"/>
      <c r="C13342" s="8" t="s">
        <v>44</v>
      </c>
      <c r="D13342" s="1" t="str">
        <f>HYPERLINK("javascript:void(0)","élbélés")</f>
        <v>élbélés</v>
      </c>
    </row>
    <row r="13343" spans="1:4" ht="12.75" customHeight="1" x14ac:dyDescent="0.2">
      <c r="A13343" s="21"/>
      <c r="B13343" s="2"/>
      <c r="C13343" s="7"/>
      <c r="D13343" s="7"/>
    </row>
    <row r="13344" spans="1:4" ht="12.75" customHeight="1" x14ac:dyDescent="0.2">
      <c r="A13344" s="21"/>
      <c r="B13344" s="2"/>
      <c r="C13344" s="7"/>
      <c r="D13344" s="7"/>
    </row>
    <row r="13345" spans="1:4" ht="12.75" customHeight="1" x14ac:dyDescent="0.2">
      <c r="A13345" s="21"/>
      <c r="B13345" s="2"/>
      <c r="C13345" s="7"/>
      <c r="D13345" s="7"/>
    </row>
    <row r="13346" spans="1:4" ht="12.75" customHeight="1" x14ac:dyDescent="0.2">
      <c r="A13346" s="21"/>
      <c r="B13346" s="2"/>
      <c r="C13346" s="7"/>
      <c r="D13346" s="7"/>
    </row>
    <row r="13347" spans="1:4" ht="12.75" customHeight="1" x14ac:dyDescent="0.2">
      <c r="A13347" s="5"/>
      <c r="B13347" s="2"/>
      <c r="C13347" s="7"/>
      <c r="D13347" s="7"/>
    </row>
    <row r="13348" spans="1:4" ht="12.75" customHeight="1" x14ac:dyDescent="0.2">
      <c r="A13348" s="22" t="str">
        <f>HYPERLINK("javascript:void(0)","bombasisak")</f>
        <v>bombasisak</v>
      </c>
      <c r="B13348" s="21"/>
      <c r="C13348" s="21"/>
      <c r="D13348" s="21"/>
    </row>
    <row r="13349" spans="1:4" ht="12.75" customHeight="1" x14ac:dyDescent="0.2">
      <c r="A13349" s="20"/>
      <c r="B13349" s="2"/>
      <c r="C13349" s="7"/>
      <c r="D13349" s="7"/>
    </row>
    <row r="13350" spans="1:4" ht="12.75" customHeight="1" x14ac:dyDescent="0.2">
      <c r="A13350" s="21"/>
      <c r="B13350" s="3" t="s">
        <v>0</v>
      </c>
      <c r="C13350" s="23" t="s">
        <v>999</v>
      </c>
      <c r="D13350" s="21"/>
    </row>
    <row r="13351" spans="1:4" ht="12.75" customHeight="1" x14ac:dyDescent="0.2">
      <c r="A13351" s="21"/>
      <c r="B13351" s="3" t="s">
        <v>2</v>
      </c>
      <c r="C13351" s="23"/>
      <c r="D13351" s="21"/>
    </row>
    <row r="13352" spans="1:4" ht="12.75" customHeight="1" x14ac:dyDescent="0.2">
      <c r="A13352" s="21"/>
      <c r="B13352" s="3" t="s">
        <v>1840</v>
      </c>
      <c r="C13352" s="23" t="s">
        <v>2425</v>
      </c>
      <c r="D13352" s="21"/>
    </row>
    <row r="13353" spans="1:4" ht="12.75" customHeight="1" x14ac:dyDescent="0.2">
      <c r="A13353" s="21"/>
      <c r="B13353" s="3" t="s">
        <v>9</v>
      </c>
      <c r="C13353" s="23" t="s">
        <v>2225</v>
      </c>
      <c r="D13353" s="21"/>
    </row>
    <row r="13354" spans="1:4" ht="12.75" customHeight="1" x14ac:dyDescent="0.2">
      <c r="A13354" s="21"/>
      <c r="B13354" s="3" t="s">
        <v>11</v>
      </c>
      <c r="C13354" s="23" t="s">
        <v>839</v>
      </c>
      <c r="D13354" s="21"/>
    </row>
    <row r="13355" spans="1:4" ht="12.75" customHeight="1" x14ac:dyDescent="0.2">
      <c r="A13355" s="21"/>
      <c r="B13355" s="3" t="s">
        <v>16</v>
      </c>
      <c r="C13355" s="23"/>
      <c r="D13355" s="21"/>
    </row>
    <row r="13356" spans="1:4" ht="12.75" customHeight="1" x14ac:dyDescent="0.2">
      <c r="A13356" s="21"/>
      <c r="B13356" s="3" t="s">
        <v>17</v>
      </c>
      <c r="C13356" s="23" t="s">
        <v>19</v>
      </c>
      <c r="D13356" s="21"/>
    </row>
    <row r="13357" spans="1:4" ht="12.75" customHeight="1" x14ac:dyDescent="0.2">
      <c r="A13357" s="21"/>
      <c r="B13357" s="20" t="s">
        <v>18</v>
      </c>
      <c r="C13357" s="8" t="s">
        <v>316</v>
      </c>
      <c r="D13357" s="1" t="str">
        <f>HYPERLINK("javascript:void(0)","brummogás")</f>
        <v>brummogás</v>
      </c>
    </row>
    <row r="13358" spans="1:4" ht="12.75" customHeight="1" x14ac:dyDescent="0.2">
      <c r="A13358" s="21"/>
      <c r="B13358" s="21"/>
      <c r="C13358" s="8" t="s">
        <v>244</v>
      </c>
      <c r="D13358" s="1" t="str">
        <f>HYPERLINK("javascript:void(0)","kalaptű")</f>
        <v>kalaptű</v>
      </c>
    </row>
    <row r="13359" spans="1:4" ht="12.75" customHeight="1" x14ac:dyDescent="0.2">
      <c r="A13359" s="21"/>
      <c r="B13359" s="21"/>
      <c r="C13359" s="8" t="s">
        <v>331</v>
      </c>
      <c r="D13359" s="1" t="str">
        <f>HYPERLINK("javascript:void(0)","gyutacs")</f>
        <v>gyutacs</v>
      </c>
    </row>
    <row r="13360" spans="1:4" ht="12.75" customHeight="1" x14ac:dyDescent="0.2">
      <c r="A13360" s="21"/>
      <c r="B13360" s="2"/>
      <c r="C13360" s="7"/>
      <c r="D13360" s="7"/>
    </row>
    <row r="13361" spans="1:4" ht="12.75" customHeight="1" x14ac:dyDescent="0.2">
      <c r="A13361" s="21"/>
      <c r="B13361" s="2"/>
      <c r="C13361" s="7"/>
      <c r="D13361" s="7"/>
    </row>
    <row r="13362" spans="1:4" ht="12.75" customHeight="1" x14ac:dyDescent="0.2">
      <c r="A13362" s="21"/>
      <c r="B13362" s="2"/>
      <c r="C13362" s="7"/>
      <c r="D13362" s="7"/>
    </row>
    <row r="13363" spans="1:4" ht="12.75" customHeight="1" x14ac:dyDescent="0.2">
      <c r="A13363" s="21"/>
      <c r="B13363" s="2"/>
      <c r="C13363" s="7"/>
      <c r="D13363" s="7"/>
    </row>
    <row r="13364" spans="1:4" ht="12.75" customHeight="1" x14ac:dyDescent="0.2">
      <c r="A13364" s="5"/>
      <c r="B13364" s="2"/>
      <c r="C13364" s="7"/>
      <c r="D13364" s="7"/>
    </row>
    <row r="13365" spans="1:4" ht="12.75" customHeight="1" x14ac:dyDescent="0.2">
      <c r="A13365" s="22" t="str">
        <f>HYPERLINK("javascript:void(0)","tüzércsizma")</f>
        <v>tüzércsizma</v>
      </c>
      <c r="B13365" s="21"/>
      <c r="C13365" s="21"/>
      <c r="D13365" s="21"/>
    </row>
    <row r="13366" spans="1:4" ht="12.75" customHeight="1" x14ac:dyDescent="0.2">
      <c r="A13366" s="20"/>
      <c r="B13366" s="2"/>
      <c r="C13366" s="7"/>
      <c r="D13366" s="7"/>
    </row>
    <row r="13367" spans="1:4" ht="12.75" customHeight="1" x14ac:dyDescent="0.2">
      <c r="A13367" s="21"/>
      <c r="B13367" s="3" t="s">
        <v>0</v>
      </c>
      <c r="C13367" s="23" t="s">
        <v>999</v>
      </c>
      <c r="D13367" s="21"/>
    </row>
    <row r="13368" spans="1:4" ht="12.75" customHeight="1" x14ac:dyDescent="0.2">
      <c r="A13368" s="21"/>
      <c r="B13368" s="3" t="s">
        <v>2</v>
      </c>
      <c r="C13368" s="23"/>
      <c r="D13368" s="21"/>
    </row>
    <row r="13369" spans="1:4" ht="12.75" customHeight="1" x14ac:dyDescent="0.2">
      <c r="A13369" s="21"/>
      <c r="B13369" s="3" t="s">
        <v>1840</v>
      </c>
      <c r="C13369" s="23" t="s">
        <v>2154</v>
      </c>
      <c r="D13369" s="21"/>
    </row>
    <row r="13370" spans="1:4" ht="12.75" customHeight="1" x14ac:dyDescent="0.2">
      <c r="A13370" s="21"/>
      <c r="B13370" s="3" t="s">
        <v>9</v>
      </c>
      <c r="C13370" s="23" t="s">
        <v>2155</v>
      </c>
      <c r="D13370" s="21"/>
    </row>
    <row r="13371" spans="1:4" ht="12.75" customHeight="1" x14ac:dyDescent="0.2">
      <c r="A13371" s="21"/>
      <c r="B13371" s="3" t="s">
        <v>11</v>
      </c>
      <c r="C13371" s="23" t="s">
        <v>1674</v>
      </c>
      <c r="D13371" s="21"/>
    </row>
    <row r="13372" spans="1:4" ht="12.75" customHeight="1" x14ac:dyDescent="0.2">
      <c r="A13372" s="21"/>
      <c r="B13372" s="3" t="s">
        <v>16</v>
      </c>
      <c r="C13372" s="23"/>
      <c r="D13372" s="21"/>
    </row>
    <row r="13373" spans="1:4" ht="12.75" customHeight="1" x14ac:dyDescent="0.2">
      <c r="A13373" s="21"/>
      <c r="B13373" s="3" t="s">
        <v>17</v>
      </c>
      <c r="C13373" s="23" t="s">
        <v>19</v>
      </c>
      <c r="D13373" s="21"/>
    </row>
    <row r="13374" spans="1:4" ht="12.75" customHeight="1" x14ac:dyDescent="0.2">
      <c r="A13374" s="21"/>
      <c r="B13374" s="20" t="s">
        <v>18</v>
      </c>
      <c r="C13374" s="8" t="s">
        <v>196</v>
      </c>
      <c r="D13374" s="1" t="str">
        <f>HYPERLINK("javascript:void(0)","gyutacs")</f>
        <v>gyutacs</v>
      </c>
    </row>
    <row r="13375" spans="1:4" ht="12.75" customHeight="1" x14ac:dyDescent="0.2">
      <c r="A13375" s="21"/>
      <c r="B13375" s="21"/>
      <c r="C13375" s="8" t="s">
        <v>44</v>
      </c>
      <c r="D13375" s="1" t="str">
        <f>HYPERLINK("javascript:void(0)","skívei mokaszin")</f>
        <v>skívei mokaszin</v>
      </c>
    </row>
    <row r="13376" spans="1:4" ht="12.75" customHeight="1" x14ac:dyDescent="0.2">
      <c r="A13376" s="21"/>
      <c r="B13376" s="21"/>
      <c r="C13376" s="8" t="s">
        <v>139</v>
      </c>
      <c r="D13376" s="1" t="str">
        <f>HYPERLINK("javascript:void(0)","aszályige")</f>
        <v>aszályige</v>
      </c>
    </row>
    <row r="13377" spans="1:4" ht="12.75" customHeight="1" x14ac:dyDescent="0.2">
      <c r="A13377" s="21"/>
      <c r="B13377" s="2"/>
      <c r="C13377" s="7"/>
      <c r="D13377" s="7"/>
    </row>
    <row r="13378" spans="1:4" ht="12.75" customHeight="1" x14ac:dyDescent="0.2">
      <c r="A13378" s="21"/>
      <c r="B13378" s="2"/>
      <c r="C13378" s="7"/>
      <c r="D13378" s="7"/>
    </row>
    <row r="13379" spans="1:4" ht="12.75" customHeight="1" x14ac:dyDescent="0.2">
      <c r="A13379" s="21"/>
      <c r="B13379" s="2"/>
      <c r="C13379" s="7"/>
      <c r="D13379" s="7"/>
    </row>
    <row r="13380" spans="1:4" ht="12.75" customHeight="1" x14ac:dyDescent="0.2">
      <c r="A13380" s="21"/>
      <c r="B13380" s="2"/>
      <c r="C13380" s="7"/>
      <c r="D13380" s="7"/>
    </row>
    <row r="13381" spans="1:4" ht="12.75" customHeight="1" x14ac:dyDescent="0.2">
      <c r="A13381" s="5"/>
      <c r="B13381" s="2"/>
      <c r="C13381" s="7"/>
      <c r="D13381" s="7"/>
    </row>
    <row r="13382" spans="1:4" ht="12.75" customHeight="1" x14ac:dyDescent="0.2">
      <c r="A13382" s="22" t="str">
        <f>HYPERLINK("javascript:void(0)","tüzérpajzs")</f>
        <v>tüzérpajzs</v>
      </c>
      <c r="B13382" s="21"/>
      <c r="C13382" s="21"/>
      <c r="D13382" s="21"/>
    </row>
    <row r="13383" spans="1:4" ht="12.75" customHeight="1" x14ac:dyDescent="0.2">
      <c r="A13383" s="20"/>
      <c r="B13383" s="2"/>
      <c r="C13383" s="7"/>
      <c r="D13383" s="7"/>
    </row>
    <row r="13384" spans="1:4" ht="12.75" customHeight="1" x14ac:dyDescent="0.2">
      <c r="A13384" s="21"/>
      <c r="B13384" s="3" t="s">
        <v>0</v>
      </c>
      <c r="C13384" s="23" t="s">
        <v>999</v>
      </c>
      <c r="D13384" s="21"/>
    </row>
    <row r="13385" spans="1:4" ht="12.75" customHeight="1" x14ac:dyDescent="0.2">
      <c r="A13385" s="21"/>
      <c r="B13385" s="3" t="s">
        <v>2</v>
      </c>
      <c r="C13385" s="23" t="s">
        <v>1839</v>
      </c>
      <c r="D13385" s="21"/>
    </row>
    <row r="13386" spans="1:4" ht="12.75" customHeight="1" x14ac:dyDescent="0.2">
      <c r="A13386" s="21"/>
      <c r="B13386" s="3" t="s">
        <v>1840</v>
      </c>
      <c r="C13386" s="23" t="s">
        <v>3811</v>
      </c>
      <c r="D13386" s="21"/>
    </row>
    <row r="13387" spans="1:4" ht="12.75" customHeight="1" x14ac:dyDescent="0.2">
      <c r="A13387" s="21"/>
      <c r="B13387" s="3" t="s">
        <v>9</v>
      </c>
      <c r="C13387" s="23" t="s">
        <v>249</v>
      </c>
      <c r="D13387" s="21"/>
    </row>
    <row r="13388" spans="1:4" ht="12.75" customHeight="1" x14ac:dyDescent="0.2">
      <c r="A13388" s="21"/>
      <c r="B13388" s="3" t="s">
        <v>11</v>
      </c>
      <c r="C13388" s="23" t="s">
        <v>2175</v>
      </c>
      <c r="D13388" s="21"/>
    </row>
    <row r="13389" spans="1:4" ht="12.75" customHeight="1" x14ac:dyDescent="0.2">
      <c r="A13389" s="21"/>
      <c r="B13389" s="3" t="s">
        <v>16</v>
      </c>
      <c r="C13389" s="23"/>
      <c r="D13389" s="21"/>
    </row>
    <row r="13390" spans="1:4" ht="12.75" customHeight="1" x14ac:dyDescent="0.2">
      <c r="A13390" s="21"/>
      <c r="B13390" s="3" t="s">
        <v>17</v>
      </c>
      <c r="C13390" s="23" t="s">
        <v>19</v>
      </c>
      <c r="D13390" s="21"/>
    </row>
    <row r="13391" spans="1:4" ht="12.75" customHeight="1" x14ac:dyDescent="0.2">
      <c r="A13391" s="21"/>
      <c r="B13391" s="20" t="s">
        <v>18</v>
      </c>
      <c r="C13391" s="8" t="s">
        <v>44</v>
      </c>
      <c r="D13391" s="1" t="str">
        <f>HYPERLINK("javascript:void(0)","elmepajzs")</f>
        <v>elmepajzs</v>
      </c>
    </row>
    <row r="13392" spans="1:4" ht="12.75" customHeight="1" x14ac:dyDescent="0.2">
      <c r="A13392" s="21"/>
      <c r="B13392" s="21"/>
      <c r="C13392" s="8" t="s">
        <v>244</v>
      </c>
      <c r="D13392" s="1" t="str">
        <f>HYPERLINK("javascript:void(0)","gyutacs")</f>
        <v>gyutacs</v>
      </c>
    </row>
    <row r="13393" spans="1:4" ht="12.75" customHeight="1" x14ac:dyDescent="0.2">
      <c r="A13393" s="21"/>
      <c r="B13393" s="21"/>
      <c r="C13393" s="8" t="s">
        <v>316</v>
      </c>
      <c r="D13393" s="1" t="str">
        <f>HYPERLINK("javascript:void(0)","rozmáragyar")</f>
        <v>rozmáragyar</v>
      </c>
    </row>
    <row r="13394" spans="1:4" ht="12.75" customHeight="1" x14ac:dyDescent="0.2">
      <c r="A13394" s="21"/>
      <c r="B13394" s="2"/>
      <c r="C13394" s="7"/>
      <c r="D13394" s="7"/>
    </row>
    <row r="13395" spans="1:4" ht="12.75" customHeight="1" x14ac:dyDescent="0.2">
      <c r="A13395" s="21"/>
      <c r="B13395" s="2"/>
      <c r="C13395" s="7"/>
      <c r="D13395" s="7"/>
    </row>
    <row r="13396" spans="1:4" ht="12.75" customHeight="1" x14ac:dyDescent="0.2">
      <c r="A13396" s="21"/>
      <c r="B13396" s="2"/>
      <c r="C13396" s="7"/>
      <c r="D13396" s="7"/>
    </row>
    <row r="13397" spans="1:4" ht="12.75" customHeight="1" x14ac:dyDescent="0.2">
      <c r="A13397" s="21"/>
      <c r="B13397" s="2"/>
      <c r="C13397" s="7"/>
      <c r="D13397" s="7"/>
    </row>
    <row r="13398" spans="1:4" ht="12.75" customHeight="1" x14ac:dyDescent="0.2">
      <c r="A13398" s="5"/>
      <c r="B13398" s="2"/>
      <c r="C13398" s="7"/>
      <c r="D13398" s="7"/>
    </row>
    <row r="13399" spans="1:4" ht="12.75" customHeight="1" x14ac:dyDescent="0.2">
      <c r="A13399" s="22" t="str">
        <f>HYPERLINK("javascript:void(0)","cordionit szellempajzs")</f>
        <v>cordionit szellempajzs</v>
      </c>
      <c r="B13399" s="21"/>
      <c r="C13399" s="21"/>
      <c r="D13399" s="21"/>
    </row>
    <row r="13400" spans="1:4" ht="12.75" customHeight="1" x14ac:dyDescent="0.2">
      <c r="A13400" s="20"/>
      <c r="B13400" s="2"/>
      <c r="C13400" s="7"/>
      <c r="D13400" s="7"/>
    </row>
    <row r="13401" spans="1:4" ht="12.75" customHeight="1" x14ac:dyDescent="0.2">
      <c r="A13401" s="21"/>
      <c r="B13401" s="3" t="s">
        <v>0</v>
      </c>
      <c r="C13401" s="23" t="s">
        <v>999</v>
      </c>
      <c r="D13401" s="21"/>
    </row>
    <row r="13402" spans="1:4" ht="12.75" customHeight="1" x14ac:dyDescent="0.2">
      <c r="A13402" s="21"/>
      <c r="B13402" s="3" t="s">
        <v>2</v>
      </c>
      <c r="C13402" s="23" t="s">
        <v>1839</v>
      </c>
      <c r="D13402" s="21"/>
    </row>
    <row r="13403" spans="1:4" ht="12.75" customHeight="1" x14ac:dyDescent="0.2">
      <c r="A13403" s="21"/>
      <c r="B13403" s="3" t="s">
        <v>1840</v>
      </c>
      <c r="C13403" s="23" t="s">
        <v>3811</v>
      </c>
      <c r="D13403" s="21"/>
    </row>
    <row r="13404" spans="1:4" ht="12.75" customHeight="1" x14ac:dyDescent="0.2">
      <c r="A13404" s="21"/>
      <c r="B13404" s="3" t="s">
        <v>9</v>
      </c>
      <c r="C13404" s="23" t="s">
        <v>5187</v>
      </c>
      <c r="D13404" s="21"/>
    </row>
    <row r="13405" spans="1:4" ht="12.75" customHeight="1" x14ac:dyDescent="0.2">
      <c r="A13405" s="21"/>
      <c r="B13405" s="3" t="s">
        <v>11</v>
      </c>
      <c r="C13405" s="23" t="s">
        <v>1040</v>
      </c>
      <c r="D13405" s="21"/>
    </row>
    <row r="13406" spans="1:4" ht="12.75" customHeight="1" x14ac:dyDescent="0.2">
      <c r="A13406" s="21"/>
      <c r="B13406" s="3" t="s">
        <v>16</v>
      </c>
      <c r="C13406" s="23"/>
      <c r="D13406" s="21"/>
    </row>
    <row r="13407" spans="1:4" ht="12.75" customHeight="1" x14ac:dyDescent="0.2">
      <c r="A13407" s="21"/>
      <c r="B13407" s="3" t="s">
        <v>17</v>
      </c>
      <c r="C13407" s="23" t="s">
        <v>19</v>
      </c>
      <c r="D13407" s="21"/>
    </row>
    <row r="13408" spans="1:4" ht="12.75" customHeight="1" x14ac:dyDescent="0.2">
      <c r="A13408" s="21"/>
      <c r="B13408" s="20" t="s">
        <v>18</v>
      </c>
      <c r="C13408" s="8" t="s">
        <v>44</v>
      </c>
      <c r="D13408" s="1" t="str">
        <f>HYPERLINK("javascript:void(0)","tüzérpajzs")</f>
        <v>tüzérpajzs</v>
      </c>
    </row>
    <row r="13409" spans="1:4" ht="12.75" customHeight="1" x14ac:dyDescent="0.2">
      <c r="A13409" s="21"/>
      <c r="B13409" s="21"/>
      <c r="C13409" s="8" t="s">
        <v>5226</v>
      </c>
      <c r="D13409" s="1" t="str">
        <f>HYPERLINK("javascript:void(0)","cordionium")</f>
        <v>cordionium</v>
      </c>
    </row>
    <row r="13410" spans="1:4" ht="12.75" customHeight="1" x14ac:dyDescent="0.2">
      <c r="A13410" s="21"/>
      <c r="B13410" s="21"/>
      <c r="C13410" s="8" t="s">
        <v>269</v>
      </c>
      <c r="D13410" s="1" t="str">
        <f>HYPERLINK("javascript:void(0)","négyél")</f>
        <v>négyél</v>
      </c>
    </row>
    <row r="13411" spans="1:4" ht="12.75" customHeight="1" x14ac:dyDescent="0.2">
      <c r="A13411" s="21"/>
      <c r="B13411" s="2"/>
      <c r="C13411" s="7"/>
      <c r="D13411" s="7"/>
    </row>
    <row r="13412" spans="1:4" ht="12.75" customHeight="1" x14ac:dyDescent="0.2">
      <c r="A13412" s="21"/>
      <c r="B13412" s="2"/>
      <c r="C13412" s="7"/>
      <c r="D13412" s="7"/>
    </row>
    <row r="13413" spans="1:4" ht="12.75" customHeight="1" x14ac:dyDescent="0.2">
      <c r="A13413" s="21"/>
      <c r="B13413" s="2"/>
      <c r="C13413" s="7"/>
      <c r="D13413" s="7"/>
    </row>
    <row r="13414" spans="1:4" ht="12.75" customHeight="1" x14ac:dyDescent="0.2">
      <c r="A13414" s="21"/>
      <c r="B13414" s="2"/>
      <c r="C13414" s="7"/>
      <c r="D13414" s="7"/>
    </row>
    <row r="13415" spans="1:4" ht="12.75" customHeight="1" x14ac:dyDescent="0.2">
      <c r="A13415" s="5"/>
      <c r="B13415" s="2"/>
      <c r="C13415" s="7"/>
      <c r="D13415" s="7"/>
    </row>
    <row r="13416" spans="1:4" ht="12.75" customHeight="1" x14ac:dyDescent="0.2">
      <c r="A13416" s="22" t="str">
        <f>HYPERLINK("javascript:void(0)","élbélés")</f>
        <v>élbélés</v>
      </c>
      <c r="B13416" s="21"/>
      <c r="C13416" s="21"/>
      <c r="D13416" s="21"/>
    </row>
    <row r="13417" spans="1:4" ht="12.75" customHeight="1" x14ac:dyDescent="0.2">
      <c r="A13417" s="20"/>
      <c r="B13417" s="2"/>
      <c r="C13417" s="7"/>
      <c r="D13417" s="7"/>
    </row>
    <row r="13418" spans="1:4" ht="12.75" customHeight="1" x14ac:dyDescent="0.2">
      <c r="A13418" s="21"/>
      <c r="B13418" s="3" t="s">
        <v>0</v>
      </c>
      <c r="C13418" s="23" t="s">
        <v>999</v>
      </c>
      <c r="D13418" s="21"/>
    </row>
    <row r="13419" spans="1:4" ht="12.75" customHeight="1" x14ac:dyDescent="0.2">
      <c r="A13419" s="21"/>
      <c r="B13419" s="3" t="s">
        <v>2</v>
      </c>
      <c r="C13419" s="23" t="s">
        <v>2322</v>
      </c>
      <c r="D13419" s="21"/>
    </row>
    <row r="13420" spans="1:4" ht="12.75" customHeight="1" x14ac:dyDescent="0.2">
      <c r="A13420" s="21"/>
      <c r="B13420" s="3" t="s">
        <v>1840</v>
      </c>
      <c r="C13420" s="23" t="s">
        <v>435</v>
      </c>
      <c r="D13420" s="21"/>
    </row>
    <row r="13421" spans="1:4" ht="12.75" customHeight="1" x14ac:dyDescent="0.2">
      <c r="A13421" s="21"/>
      <c r="B13421" s="3" t="s">
        <v>9</v>
      </c>
      <c r="C13421" s="23" t="s">
        <v>172</v>
      </c>
      <c r="D13421" s="21"/>
    </row>
    <row r="13422" spans="1:4" ht="12.75" customHeight="1" x14ac:dyDescent="0.2">
      <c r="A13422" s="21"/>
      <c r="B13422" s="3" t="s">
        <v>11</v>
      </c>
      <c r="C13422" s="23" t="s">
        <v>2506</v>
      </c>
      <c r="D13422" s="21"/>
    </row>
    <row r="13423" spans="1:4" ht="12.75" customHeight="1" x14ac:dyDescent="0.2">
      <c r="A13423" s="21"/>
      <c r="B13423" s="3" t="s">
        <v>16</v>
      </c>
      <c r="C13423" s="23"/>
      <c r="D13423" s="21"/>
    </row>
    <row r="13424" spans="1:4" ht="12.75" customHeight="1" x14ac:dyDescent="0.2">
      <c r="A13424" s="21"/>
      <c r="B13424" s="3" t="s">
        <v>17</v>
      </c>
      <c r="C13424" s="23" t="s">
        <v>19</v>
      </c>
      <c r="D13424" s="21"/>
    </row>
    <row r="13425" spans="1:4" ht="12.75" customHeight="1" x14ac:dyDescent="0.2">
      <c r="A13425" s="21"/>
      <c r="B13425" s="20" t="s">
        <v>18</v>
      </c>
      <c r="C13425" s="8" t="s">
        <v>67</v>
      </c>
      <c r="D13425" s="1" t="str">
        <f>HYPERLINK("javascript:void(0)","négyél")</f>
        <v>négyél</v>
      </c>
    </row>
    <row r="13426" spans="1:4" ht="12.75" customHeight="1" x14ac:dyDescent="0.2">
      <c r="A13426" s="21"/>
      <c r="B13426" s="21"/>
      <c r="C13426" s="8" t="s">
        <v>420</v>
      </c>
      <c r="D13426" s="1" t="str">
        <f>HYPERLINK("javascript:void(0)","angyalhaj")</f>
        <v>angyalhaj</v>
      </c>
    </row>
    <row r="13427" spans="1:4" ht="12.75" customHeight="1" x14ac:dyDescent="0.2">
      <c r="A13427" s="21"/>
      <c r="B13427" s="21"/>
      <c r="C13427" s="8" t="s">
        <v>420</v>
      </c>
      <c r="D13427" s="1" t="str">
        <f>HYPERLINK("javascript:void(0)","ördögpihe")</f>
        <v>ördögpihe</v>
      </c>
    </row>
    <row r="13428" spans="1:4" ht="12.75" customHeight="1" x14ac:dyDescent="0.2">
      <c r="A13428" s="21"/>
      <c r="B13428" s="2"/>
      <c r="C13428" s="7"/>
      <c r="D13428" s="7"/>
    </row>
    <row r="13429" spans="1:4" ht="12.75" customHeight="1" x14ac:dyDescent="0.2">
      <c r="A13429" s="21"/>
      <c r="B13429" s="2"/>
      <c r="C13429" s="7"/>
      <c r="D13429" s="7"/>
    </row>
    <row r="13430" spans="1:4" ht="12.75" customHeight="1" x14ac:dyDescent="0.2">
      <c r="A13430" s="21"/>
      <c r="B13430" s="2"/>
      <c r="C13430" s="7"/>
      <c r="D13430" s="7"/>
    </row>
    <row r="13431" spans="1:4" ht="12.75" customHeight="1" x14ac:dyDescent="0.2">
      <c r="A13431" s="21"/>
      <c r="B13431" s="2"/>
      <c r="C13431" s="7"/>
      <c r="D13431" s="7"/>
    </row>
    <row r="13432" spans="1:4" ht="12.75" customHeight="1" x14ac:dyDescent="0.2">
      <c r="A13432" s="5"/>
      <c r="B13432" s="2"/>
      <c r="C13432" s="7"/>
      <c r="D13432" s="7"/>
    </row>
    <row r="13433" spans="1:4" ht="12.75" customHeight="1" x14ac:dyDescent="0.2">
      <c r="A13433" s="22" t="str">
        <f>HYPERLINK("javascript:void(0)","mengorni manasisak")</f>
        <v>mengorni manasisak</v>
      </c>
      <c r="B13433" s="21"/>
      <c r="C13433" s="21"/>
      <c r="D13433" s="21"/>
    </row>
    <row r="13434" spans="1:4" ht="12.75" customHeight="1" x14ac:dyDescent="0.2">
      <c r="A13434" s="20"/>
      <c r="B13434" s="2"/>
      <c r="C13434" s="7"/>
      <c r="D13434" s="7"/>
    </row>
    <row r="13435" spans="1:4" ht="12.75" customHeight="1" x14ac:dyDescent="0.2">
      <c r="A13435" s="21"/>
      <c r="B13435" s="3" t="s">
        <v>0</v>
      </c>
      <c r="C13435" s="23" t="s">
        <v>999</v>
      </c>
      <c r="D13435" s="21"/>
    </row>
    <row r="13436" spans="1:4" ht="12.75" customHeight="1" x14ac:dyDescent="0.2">
      <c r="A13436" s="21"/>
      <c r="B13436" s="3" t="s">
        <v>2</v>
      </c>
      <c r="C13436" s="23"/>
      <c r="D13436" s="21"/>
    </row>
    <row r="13437" spans="1:4" ht="12.75" customHeight="1" x14ac:dyDescent="0.2">
      <c r="A13437" s="21"/>
      <c r="B13437" s="3" t="s">
        <v>1840</v>
      </c>
      <c r="C13437" s="23" t="s">
        <v>267</v>
      </c>
      <c r="D13437" s="21"/>
    </row>
    <row r="13438" spans="1:4" ht="12.75" customHeight="1" x14ac:dyDescent="0.2">
      <c r="A13438" s="21"/>
      <c r="B13438" s="3" t="s">
        <v>9</v>
      </c>
      <c r="C13438" s="23" t="s">
        <v>2273</v>
      </c>
      <c r="D13438" s="21"/>
    </row>
    <row r="13439" spans="1:4" ht="12.75" customHeight="1" x14ac:dyDescent="0.2">
      <c r="A13439" s="21"/>
      <c r="B13439" s="3" t="s">
        <v>11</v>
      </c>
      <c r="C13439" s="23" t="s">
        <v>5146</v>
      </c>
      <c r="D13439" s="21"/>
    </row>
    <row r="13440" spans="1:4" ht="12.75" customHeight="1" x14ac:dyDescent="0.2">
      <c r="A13440" s="21"/>
      <c r="B13440" s="3" t="s">
        <v>16</v>
      </c>
      <c r="C13440" s="23"/>
      <c r="D13440" s="21"/>
    </row>
    <row r="13441" spans="1:4" ht="12.75" customHeight="1" x14ac:dyDescent="0.2">
      <c r="A13441" s="21"/>
      <c r="B13441" s="3" t="s">
        <v>17</v>
      </c>
      <c r="C13441" s="23" t="s">
        <v>19</v>
      </c>
      <c r="D13441" s="21"/>
    </row>
    <row r="13442" spans="1:4" ht="12.75" customHeight="1" x14ac:dyDescent="0.2">
      <c r="A13442" s="21"/>
      <c r="B13442" s="20" t="s">
        <v>18</v>
      </c>
      <c r="C13442" s="8" t="s">
        <v>44</v>
      </c>
      <c r="D13442" s="1" t="str">
        <f>HYPERLINK("javascript:void(0)","artini manasisak")</f>
        <v>artini manasisak</v>
      </c>
    </row>
    <row r="13443" spans="1:4" ht="12.75" customHeight="1" x14ac:dyDescent="0.2">
      <c r="A13443" s="21"/>
      <c r="B13443" s="21"/>
      <c r="C13443" s="8" t="s">
        <v>244</v>
      </c>
      <c r="D13443" s="1" t="str">
        <f>HYPERLINK("javascript:void(0)","négyél")</f>
        <v>négyél</v>
      </c>
    </row>
    <row r="13444" spans="1:4" ht="12.75" customHeight="1" x14ac:dyDescent="0.2">
      <c r="A13444" s="21"/>
      <c r="B13444" s="21"/>
      <c r="C13444" s="8" t="s">
        <v>780</v>
      </c>
      <c r="D13444" s="1" t="str">
        <f>HYPERLINK("javascript:void(0)","zanzahúr")</f>
        <v>zanzahúr</v>
      </c>
    </row>
    <row r="13445" spans="1:4" ht="12.75" customHeight="1" x14ac:dyDescent="0.2">
      <c r="A13445" s="21"/>
      <c r="B13445" s="2"/>
      <c r="C13445" s="7"/>
      <c r="D13445" s="7"/>
    </row>
    <row r="13446" spans="1:4" ht="12.75" customHeight="1" x14ac:dyDescent="0.2">
      <c r="A13446" s="21"/>
      <c r="B13446" s="2"/>
      <c r="C13446" s="7"/>
      <c r="D13446" s="7"/>
    </row>
    <row r="13447" spans="1:4" ht="12.75" customHeight="1" x14ac:dyDescent="0.2">
      <c r="A13447" s="21"/>
      <c r="B13447" s="2"/>
      <c r="C13447" s="7"/>
      <c r="D13447" s="7"/>
    </row>
    <row r="13448" spans="1:4" ht="12.75" customHeight="1" x14ac:dyDescent="0.2">
      <c r="A13448" s="21"/>
      <c r="B13448" s="2"/>
      <c r="C13448" s="7"/>
      <c r="D13448" s="7"/>
    </row>
    <row r="13449" spans="1:4" ht="12.75" customHeight="1" x14ac:dyDescent="0.2">
      <c r="A13449" s="5"/>
      <c r="B13449" s="2"/>
      <c r="C13449" s="7"/>
      <c r="D13449" s="7"/>
    </row>
    <row r="13450" spans="1:4" ht="12.75" customHeight="1" x14ac:dyDescent="0.2">
      <c r="A13450" s="22" t="str">
        <f>HYPERLINK("javascript:void(0)","mengorni manafejpánt")</f>
        <v>mengorni manafejpánt</v>
      </c>
      <c r="B13450" s="21"/>
      <c r="C13450" s="21"/>
      <c r="D13450" s="21"/>
    </row>
    <row r="13451" spans="1:4" ht="12.75" customHeight="1" x14ac:dyDescent="0.2">
      <c r="A13451" s="20"/>
      <c r="B13451" s="2"/>
      <c r="C13451" s="7"/>
      <c r="D13451" s="7"/>
    </row>
    <row r="13452" spans="1:4" ht="12.75" customHeight="1" x14ac:dyDescent="0.2">
      <c r="A13452" s="21"/>
      <c r="B13452" s="3" t="s">
        <v>0</v>
      </c>
      <c r="C13452" s="23" t="s">
        <v>999</v>
      </c>
      <c r="D13452" s="21"/>
    </row>
    <row r="13453" spans="1:4" ht="12.75" customHeight="1" x14ac:dyDescent="0.2">
      <c r="A13453" s="21"/>
      <c r="B13453" s="3" t="s">
        <v>2</v>
      </c>
      <c r="C13453" s="23"/>
      <c r="D13453" s="21"/>
    </row>
    <row r="13454" spans="1:4" ht="12.75" customHeight="1" x14ac:dyDescent="0.2">
      <c r="A13454" s="21"/>
      <c r="B13454" s="3" t="s">
        <v>1840</v>
      </c>
      <c r="C13454" s="23" t="s">
        <v>690</v>
      </c>
      <c r="D13454" s="21"/>
    </row>
    <row r="13455" spans="1:4" ht="12.75" customHeight="1" x14ac:dyDescent="0.2">
      <c r="A13455" s="21"/>
      <c r="B13455" s="3" t="s">
        <v>9</v>
      </c>
      <c r="C13455" s="23" t="s">
        <v>1112</v>
      </c>
      <c r="D13455" s="21"/>
    </row>
    <row r="13456" spans="1:4" ht="12.75" customHeight="1" x14ac:dyDescent="0.2">
      <c r="A13456" s="21"/>
      <c r="B13456" s="3" t="s">
        <v>11</v>
      </c>
      <c r="C13456" s="23" t="s">
        <v>5146</v>
      </c>
      <c r="D13456" s="21"/>
    </row>
    <row r="13457" spans="1:4" ht="12.75" customHeight="1" x14ac:dyDescent="0.2">
      <c r="A13457" s="21"/>
      <c r="B13457" s="3" t="s">
        <v>16</v>
      </c>
      <c r="C13457" s="23"/>
      <c r="D13457" s="21"/>
    </row>
    <row r="13458" spans="1:4" ht="12.75" customHeight="1" x14ac:dyDescent="0.2">
      <c r="A13458" s="21"/>
      <c r="B13458" s="3" t="s">
        <v>17</v>
      </c>
      <c r="C13458" s="23" t="s">
        <v>19</v>
      </c>
      <c r="D13458" s="21"/>
    </row>
    <row r="13459" spans="1:4" ht="12.75" customHeight="1" x14ac:dyDescent="0.2">
      <c r="A13459" s="21"/>
      <c r="B13459" s="20" t="s">
        <v>18</v>
      </c>
      <c r="C13459" s="8" t="s">
        <v>44</v>
      </c>
      <c r="D13459" s="1" t="str">
        <f>HYPERLINK("javascript:void(0)","artini manafejpánt")</f>
        <v>artini manafejpánt</v>
      </c>
    </row>
    <row r="13460" spans="1:4" ht="12.75" customHeight="1" x14ac:dyDescent="0.2">
      <c r="A13460" s="21"/>
      <c r="B13460" s="21"/>
      <c r="C13460" s="8" t="s">
        <v>132</v>
      </c>
      <c r="D13460" s="1" t="str">
        <f>HYPERLINK("javascript:void(0)","gyutacs")</f>
        <v>gyutacs</v>
      </c>
    </row>
    <row r="13461" spans="1:4" ht="12.75" customHeight="1" x14ac:dyDescent="0.2">
      <c r="A13461" s="21"/>
      <c r="B13461" s="21"/>
      <c r="C13461" s="8" t="s">
        <v>265</v>
      </c>
      <c r="D13461" s="1" t="str">
        <f>HYPERLINK("javascript:void(0)","monsztabéklyó")</f>
        <v>monsztabéklyó</v>
      </c>
    </row>
    <row r="13462" spans="1:4" ht="12.75" customHeight="1" x14ac:dyDescent="0.2">
      <c r="A13462" s="21"/>
      <c r="B13462" s="2"/>
      <c r="C13462" s="7"/>
      <c r="D13462" s="7"/>
    </row>
    <row r="13463" spans="1:4" ht="12.75" customHeight="1" x14ac:dyDescent="0.2">
      <c r="A13463" s="21"/>
      <c r="B13463" s="2"/>
      <c r="C13463" s="7"/>
      <c r="D13463" s="7"/>
    </row>
    <row r="13464" spans="1:4" ht="12.75" customHeight="1" x14ac:dyDescent="0.2">
      <c r="A13464" s="21"/>
      <c r="B13464" s="2"/>
      <c r="C13464" s="7"/>
      <c r="D13464" s="7"/>
    </row>
    <row r="13465" spans="1:4" ht="12.75" customHeight="1" x14ac:dyDescent="0.2">
      <c r="A13465" s="21"/>
      <c r="B13465" s="2"/>
      <c r="C13465" s="7"/>
      <c r="D13465" s="7"/>
    </row>
    <row r="13466" spans="1:4" ht="12.75" customHeight="1" x14ac:dyDescent="0.2">
      <c r="A13466" s="5"/>
      <c r="B13466" s="2"/>
      <c r="C13466" s="7"/>
      <c r="D13466" s="7"/>
    </row>
    <row r="13467" spans="1:4" ht="12.75" customHeight="1" x14ac:dyDescent="0.2">
      <c r="A13467" s="22" t="str">
        <f>HYPERLINK("javascript:void(0)","ködpáncél")</f>
        <v>ködpáncél</v>
      </c>
      <c r="B13467" s="21"/>
      <c r="C13467" s="21"/>
      <c r="D13467" s="21"/>
    </row>
    <row r="13468" spans="1:4" ht="12.75" customHeight="1" x14ac:dyDescent="0.2">
      <c r="A13468" s="20"/>
      <c r="B13468" s="2"/>
      <c r="C13468" s="7"/>
      <c r="D13468" s="7"/>
    </row>
    <row r="13469" spans="1:4" ht="12.75" customHeight="1" x14ac:dyDescent="0.2">
      <c r="A13469" s="21"/>
      <c r="B13469" s="3" t="s">
        <v>0</v>
      </c>
      <c r="C13469" s="23" t="s">
        <v>1012</v>
      </c>
      <c r="D13469" s="21"/>
    </row>
    <row r="13470" spans="1:4" ht="12.75" customHeight="1" x14ac:dyDescent="0.2">
      <c r="A13470" s="21"/>
      <c r="B13470" s="3" t="s">
        <v>2</v>
      </c>
      <c r="C13470" s="23" t="s">
        <v>2322</v>
      </c>
      <c r="D13470" s="21"/>
    </row>
    <row r="13471" spans="1:4" ht="12.75" customHeight="1" x14ac:dyDescent="0.2">
      <c r="A13471" s="21"/>
      <c r="B13471" s="3" t="s">
        <v>1840</v>
      </c>
      <c r="C13471" s="23" t="s">
        <v>348</v>
      </c>
      <c r="D13471" s="21"/>
    </row>
    <row r="13472" spans="1:4" ht="12.75" customHeight="1" x14ac:dyDescent="0.2">
      <c r="A13472" s="21"/>
      <c r="B13472" s="3" t="s">
        <v>9</v>
      </c>
      <c r="C13472" s="23" t="s">
        <v>2511</v>
      </c>
      <c r="D13472" s="21"/>
    </row>
    <row r="13473" spans="1:4" ht="12.75" customHeight="1" x14ac:dyDescent="0.2">
      <c r="A13473" s="21"/>
      <c r="B13473" s="3" t="s">
        <v>11</v>
      </c>
      <c r="C13473" s="23" t="s">
        <v>1509</v>
      </c>
      <c r="D13473" s="21"/>
    </row>
    <row r="13474" spans="1:4" ht="12.75" customHeight="1" x14ac:dyDescent="0.2">
      <c r="A13474" s="21"/>
      <c r="B13474" s="3" t="s">
        <v>16</v>
      </c>
      <c r="C13474" s="23"/>
      <c r="D13474" s="21"/>
    </row>
    <row r="13475" spans="1:4" ht="12.75" customHeight="1" x14ac:dyDescent="0.2">
      <c r="A13475" s="21"/>
      <c r="B13475" s="3" t="s">
        <v>17</v>
      </c>
      <c r="C13475" s="23" t="s">
        <v>19</v>
      </c>
      <c r="D13475" s="21"/>
    </row>
    <row r="13476" spans="1:4" ht="12.75" customHeight="1" x14ac:dyDescent="0.2">
      <c r="A13476" s="21"/>
      <c r="B13476" s="20" t="s">
        <v>18</v>
      </c>
      <c r="C13476" s="8" t="s">
        <v>265</v>
      </c>
      <c r="D13476" s="1" t="str">
        <f>HYPERLINK("javascript:void(0)","ködpikkely")</f>
        <v>ködpikkely</v>
      </c>
    </row>
    <row r="13477" spans="1:4" ht="12.75" customHeight="1" x14ac:dyDescent="0.2">
      <c r="A13477" s="21"/>
      <c r="B13477" s="21"/>
      <c r="C13477" s="8" t="s">
        <v>228</v>
      </c>
      <c r="D13477" s="1" t="str">
        <f>HYPERLINK("javascript:void(0)","kártyalap")</f>
        <v>kártyalap</v>
      </c>
    </row>
    <row r="13478" spans="1:4" ht="12.75" customHeight="1" x14ac:dyDescent="0.2">
      <c r="A13478" s="21"/>
      <c r="B13478" s="21"/>
      <c r="C13478" s="8" t="s">
        <v>44</v>
      </c>
      <c r="D13478" s="1" t="str">
        <f>HYPERLINK("javascript:void(0)","teljes élvért")</f>
        <v>teljes élvért</v>
      </c>
    </row>
    <row r="13479" spans="1:4" ht="12.75" customHeight="1" x14ac:dyDescent="0.2">
      <c r="A13479" s="21"/>
      <c r="B13479" s="2"/>
      <c r="C13479" s="7"/>
      <c r="D13479" s="7"/>
    </row>
    <row r="13480" spans="1:4" ht="12.75" customHeight="1" x14ac:dyDescent="0.2">
      <c r="A13480" s="21"/>
      <c r="B13480" s="2"/>
      <c r="C13480" s="7"/>
      <c r="D13480" s="7"/>
    </row>
    <row r="13481" spans="1:4" ht="12.75" customHeight="1" x14ac:dyDescent="0.2">
      <c r="A13481" s="21"/>
      <c r="B13481" s="2"/>
      <c r="C13481" s="7"/>
      <c r="D13481" s="7"/>
    </row>
    <row r="13482" spans="1:4" ht="12.75" customHeight="1" x14ac:dyDescent="0.2">
      <c r="A13482" s="21"/>
      <c r="B13482" s="2"/>
      <c r="C13482" s="7"/>
      <c r="D13482" s="7"/>
    </row>
    <row r="13483" spans="1:4" ht="12.75" customHeight="1" x14ac:dyDescent="0.2">
      <c r="A13483" s="5"/>
      <c r="B13483" s="2"/>
      <c r="C13483" s="7"/>
      <c r="D13483" s="7"/>
    </row>
    <row r="13484" spans="1:4" ht="12.75" customHeight="1" x14ac:dyDescent="0.2">
      <c r="A13484" s="22" t="str">
        <f>HYPERLINK("javascript:void(0)","kentacél bascinet")</f>
        <v>kentacél bascinet</v>
      </c>
      <c r="B13484" s="21"/>
      <c r="C13484" s="21"/>
      <c r="D13484" s="21"/>
    </row>
    <row r="13485" spans="1:4" ht="12.75" customHeight="1" x14ac:dyDescent="0.2">
      <c r="A13485" s="20"/>
      <c r="B13485" s="2"/>
      <c r="C13485" s="7"/>
      <c r="D13485" s="7"/>
    </row>
    <row r="13486" spans="1:4" ht="12.75" customHeight="1" x14ac:dyDescent="0.2">
      <c r="A13486" s="21"/>
      <c r="B13486" s="3" t="s">
        <v>0</v>
      </c>
      <c r="C13486" s="23" t="s">
        <v>1012</v>
      </c>
      <c r="D13486" s="21"/>
    </row>
    <row r="13487" spans="1:4" ht="12.75" customHeight="1" x14ac:dyDescent="0.2">
      <c r="A13487" s="21"/>
      <c r="B13487" s="3" t="s">
        <v>2</v>
      </c>
      <c r="C13487" s="23"/>
      <c r="D13487" s="21"/>
    </row>
    <row r="13488" spans="1:4" ht="12.75" customHeight="1" x14ac:dyDescent="0.2">
      <c r="A13488" s="21"/>
      <c r="B13488" s="3" t="s">
        <v>1840</v>
      </c>
      <c r="C13488" s="23" t="s">
        <v>2773</v>
      </c>
      <c r="D13488" s="21"/>
    </row>
    <row r="13489" spans="1:4" ht="12.75" customHeight="1" x14ac:dyDescent="0.2">
      <c r="A13489" s="21"/>
      <c r="B13489" s="3" t="s">
        <v>9</v>
      </c>
      <c r="C13489" s="23" t="s">
        <v>1340</v>
      </c>
      <c r="D13489" s="21"/>
    </row>
    <row r="13490" spans="1:4" ht="12.75" customHeight="1" x14ac:dyDescent="0.2">
      <c r="A13490" s="21"/>
      <c r="B13490" s="3" t="s">
        <v>11</v>
      </c>
      <c r="C13490" s="23" t="s">
        <v>1509</v>
      </c>
      <c r="D13490" s="21"/>
    </row>
    <row r="13491" spans="1:4" ht="12.75" customHeight="1" x14ac:dyDescent="0.2">
      <c r="A13491" s="21"/>
      <c r="B13491" s="3" t="s">
        <v>16</v>
      </c>
      <c r="C13491" s="23"/>
      <c r="D13491" s="21"/>
    </row>
    <row r="13492" spans="1:4" ht="12.75" customHeight="1" x14ac:dyDescent="0.2">
      <c r="A13492" s="21"/>
      <c r="B13492" s="3" t="s">
        <v>17</v>
      </c>
      <c r="C13492" s="23" t="s">
        <v>19</v>
      </c>
      <c r="D13492" s="21"/>
    </row>
    <row r="13493" spans="1:4" ht="12.75" customHeight="1" x14ac:dyDescent="0.2">
      <c r="A13493" s="21"/>
      <c r="B13493" s="20" t="s">
        <v>18</v>
      </c>
      <c r="C13493" s="8" t="s">
        <v>44</v>
      </c>
      <c r="D13493" s="1" t="str">
        <f>HYPERLINK("javascript:void(0)","bombasisak")</f>
        <v>bombasisak</v>
      </c>
    </row>
    <row r="13494" spans="1:4" ht="12.75" customHeight="1" x14ac:dyDescent="0.2">
      <c r="A13494" s="21"/>
      <c r="B13494" s="21"/>
      <c r="C13494" s="8" t="s">
        <v>44</v>
      </c>
      <c r="D13494" s="1" t="str">
        <f>HYPERLINK("javascript:void(0)","hasítósisak")</f>
        <v>hasítósisak</v>
      </c>
    </row>
    <row r="13495" spans="1:4" ht="12.75" customHeight="1" x14ac:dyDescent="0.2">
      <c r="A13495" s="21"/>
      <c r="B13495" s="21"/>
      <c r="C13495" s="8" t="s">
        <v>44</v>
      </c>
      <c r="D13495" s="1" t="str">
        <f>HYPERLINK("javascript:void(0)","pattanó álarc")</f>
        <v>pattanó álarc</v>
      </c>
    </row>
    <row r="13496" spans="1:4" ht="12.75" customHeight="1" x14ac:dyDescent="0.2">
      <c r="A13496" s="21"/>
      <c r="B13496" s="2"/>
      <c r="C13496" s="7"/>
      <c r="D13496" s="7"/>
    </row>
    <row r="13497" spans="1:4" ht="12.75" customHeight="1" x14ac:dyDescent="0.2">
      <c r="A13497" s="21"/>
      <c r="B13497" s="2"/>
      <c r="C13497" s="7"/>
      <c r="D13497" s="7"/>
    </row>
    <row r="13498" spans="1:4" ht="12.75" customHeight="1" x14ac:dyDescent="0.2">
      <c r="A13498" s="21"/>
      <c r="B13498" s="2"/>
      <c r="C13498" s="7"/>
      <c r="D13498" s="7"/>
    </row>
    <row r="13499" spans="1:4" ht="12.75" customHeight="1" x14ac:dyDescent="0.2">
      <c r="A13499" s="21"/>
      <c r="B13499" s="2"/>
      <c r="C13499" s="7"/>
      <c r="D13499" s="7"/>
    </row>
    <row r="13500" spans="1:4" ht="12.75" customHeight="1" x14ac:dyDescent="0.2">
      <c r="A13500" s="5"/>
      <c r="B13500" s="2"/>
      <c r="C13500" s="7"/>
      <c r="D13500" s="7"/>
    </row>
    <row r="13501" spans="1:4" ht="12.75" customHeight="1" x14ac:dyDescent="0.2">
      <c r="A13501" s="22" t="str">
        <f>HYPERLINK("javascript:void(0)","pikkelycsizma")</f>
        <v>pikkelycsizma</v>
      </c>
      <c r="B13501" s="21"/>
      <c r="C13501" s="21"/>
      <c r="D13501" s="21"/>
    </row>
    <row r="13502" spans="1:4" ht="12.75" customHeight="1" x14ac:dyDescent="0.2">
      <c r="A13502" s="20"/>
      <c r="B13502" s="2"/>
      <c r="C13502" s="7"/>
      <c r="D13502" s="7"/>
    </row>
    <row r="13503" spans="1:4" ht="12.75" customHeight="1" x14ac:dyDescent="0.2">
      <c r="A13503" s="21"/>
      <c r="B13503" s="3" t="s">
        <v>0</v>
      </c>
      <c r="C13503" s="23" t="s">
        <v>1012</v>
      </c>
      <c r="D13503" s="21"/>
    </row>
    <row r="13504" spans="1:4" ht="12.75" customHeight="1" x14ac:dyDescent="0.2">
      <c r="A13504" s="21"/>
      <c r="B13504" s="3" t="s">
        <v>2</v>
      </c>
      <c r="C13504" s="23"/>
      <c r="D13504" s="21"/>
    </row>
    <row r="13505" spans="1:4" ht="12.75" customHeight="1" x14ac:dyDescent="0.2">
      <c r="A13505" s="21"/>
      <c r="B13505" s="3" t="s">
        <v>1840</v>
      </c>
      <c r="C13505" s="23" t="s">
        <v>2158</v>
      </c>
      <c r="D13505" s="21"/>
    </row>
    <row r="13506" spans="1:4" ht="12.75" customHeight="1" x14ac:dyDescent="0.2">
      <c r="A13506" s="21"/>
      <c r="B13506" s="3" t="s">
        <v>9</v>
      </c>
      <c r="C13506" s="23" t="s">
        <v>2048</v>
      </c>
      <c r="D13506" s="21"/>
    </row>
    <row r="13507" spans="1:4" ht="12.75" customHeight="1" x14ac:dyDescent="0.2">
      <c r="A13507" s="21"/>
      <c r="B13507" s="3" t="s">
        <v>11</v>
      </c>
      <c r="C13507" s="23" t="s">
        <v>1520</v>
      </c>
      <c r="D13507" s="21"/>
    </row>
    <row r="13508" spans="1:4" ht="12.75" customHeight="1" x14ac:dyDescent="0.2">
      <c r="A13508" s="21"/>
      <c r="B13508" s="3" t="s">
        <v>16</v>
      </c>
      <c r="C13508" s="23"/>
      <c r="D13508" s="21"/>
    </row>
    <row r="13509" spans="1:4" ht="12.75" customHeight="1" x14ac:dyDescent="0.2">
      <c r="A13509" s="21"/>
      <c r="B13509" s="3" t="s">
        <v>17</v>
      </c>
      <c r="C13509" s="23" t="s">
        <v>19</v>
      </c>
      <c r="D13509" s="21"/>
    </row>
    <row r="13510" spans="1:4" ht="12.75" customHeight="1" x14ac:dyDescent="0.2">
      <c r="A13510" s="21"/>
      <c r="B13510" s="20" t="s">
        <v>18</v>
      </c>
      <c r="C13510" s="8" t="s">
        <v>780</v>
      </c>
      <c r="D13510" s="1" t="str">
        <f>HYPERLINK("javascript:void(0)","csigaszem")</f>
        <v>csigaszem</v>
      </c>
    </row>
    <row r="13511" spans="1:4" ht="12.75" customHeight="1" x14ac:dyDescent="0.2">
      <c r="A13511" s="21"/>
      <c r="B13511" s="21"/>
      <c r="C13511" s="8" t="s">
        <v>117</v>
      </c>
      <c r="D13511" s="1" t="str">
        <f>HYPERLINK("javascript:void(0)","glóriahasító")</f>
        <v>glóriahasító</v>
      </c>
    </row>
    <row r="13512" spans="1:4" ht="12.75" customHeight="1" x14ac:dyDescent="0.2">
      <c r="A13512" s="21"/>
      <c r="B13512" s="21"/>
      <c r="C13512" s="8" t="s">
        <v>290</v>
      </c>
      <c r="D13512" s="1" t="str">
        <f>HYPERLINK("javascript:void(0)","ködpikkely")</f>
        <v>ködpikkely</v>
      </c>
    </row>
    <row r="13513" spans="1:4" ht="12.75" customHeight="1" x14ac:dyDescent="0.2">
      <c r="A13513" s="21"/>
      <c r="B13513" s="2"/>
      <c r="C13513" s="7"/>
      <c r="D13513" s="7"/>
    </row>
    <row r="13514" spans="1:4" ht="12.75" customHeight="1" x14ac:dyDescent="0.2">
      <c r="A13514" s="21"/>
      <c r="B13514" s="2"/>
      <c r="C13514" s="7"/>
      <c r="D13514" s="7"/>
    </row>
    <row r="13515" spans="1:4" ht="12.75" customHeight="1" x14ac:dyDescent="0.2">
      <c r="A13515" s="21"/>
      <c r="B13515" s="2"/>
      <c r="C13515" s="7"/>
      <c r="D13515" s="7"/>
    </row>
    <row r="13516" spans="1:4" ht="12.75" customHeight="1" x14ac:dyDescent="0.2">
      <c r="A13516" s="21"/>
      <c r="B13516" s="2"/>
      <c r="C13516" s="7"/>
      <c r="D13516" s="7"/>
    </row>
    <row r="13517" spans="1:4" ht="12.75" customHeight="1" x14ac:dyDescent="0.2">
      <c r="A13517" s="5"/>
      <c r="B13517" s="2"/>
      <c r="C13517" s="7"/>
      <c r="D13517" s="7"/>
    </row>
    <row r="13518" spans="1:4" ht="12.75" customHeight="1" x14ac:dyDescent="0.2">
      <c r="A13518" s="22" t="str">
        <f>HYPERLINK("javascript:void(0)","tüzér testpajzs")</f>
        <v>tüzér testpajzs</v>
      </c>
      <c r="B13518" s="21"/>
      <c r="C13518" s="21"/>
      <c r="D13518" s="21"/>
    </row>
    <row r="13519" spans="1:4" ht="12.75" customHeight="1" x14ac:dyDescent="0.2">
      <c r="A13519" s="20"/>
      <c r="B13519" s="2"/>
      <c r="C13519" s="7"/>
      <c r="D13519" s="7"/>
    </row>
    <row r="13520" spans="1:4" ht="12.75" customHeight="1" x14ac:dyDescent="0.2">
      <c r="A13520" s="21"/>
      <c r="B13520" s="3" t="s">
        <v>0</v>
      </c>
      <c r="C13520" s="23" t="s">
        <v>1012</v>
      </c>
      <c r="D13520" s="21"/>
    </row>
    <row r="13521" spans="1:4" ht="12.75" customHeight="1" x14ac:dyDescent="0.2">
      <c r="A13521" s="21"/>
      <c r="B13521" s="3" t="s">
        <v>2</v>
      </c>
      <c r="C13521" s="23" t="s">
        <v>1839</v>
      </c>
      <c r="D13521" s="21"/>
    </row>
    <row r="13522" spans="1:4" ht="12.75" customHeight="1" x14ac:dyDescent="0.2">
      <c r="A13522" s="21"/>
      <c r="B13522" s="3" t="s">
        <v>1840</v>
      </c>
      <c r="C13522" s="23" t="s">
        <v>5248</v>
      </c>
      <c r="D13522" s="21"/>
    </row>
    <row r="13523" spans="1:4" ht="12.75" customHeight="1" x14ac:dyDescent="0.2">
      <c r="A13523" s="21"/>
      <c r="B13523" s="3" t="s">
        <v>9</v>
      </c>
      <c r="C13523" s="23" t="s">
        <v>5250</v>
      </c>
      <c r="D13523" s="21"/>
    </row>
    <row r="13524" spans="1:4" ht="12.75" customHeight="1" x14ac:dyDescent="0.2">
      <c r="A13524" s="21"/>
      <c r="B13524" s="3" t="s">
        <v>11</v>
      </c>
      <c r="C13524" s="23" t="s">
        <v>1553</v>
      </c>
      <c r="D13524" s="21"/>
    </row>
    <row r="13525" spans="1:4" ht="12.75" customHeight="1" x14ac:dyDescent="0.2">
      <c r="A13525" s="21"/>
      <c r="B13525" s="3" t="s">
        <v>16</v>
      </c>
      <c r="C13525" s="23"/>
      <c r="D13525" s="21"/>
    </row>
    <row r="13526" spans="1:4" ht="12.75" customHeight="1" x14ac:dyDescent="0.2">
      <c r="A13526" s="21"/>
      <c r="B13526" s="3" t="s">
        <v>17</v>
      </c>
      <c r="C13526" s="23" t="s">
        <v>19</v>
      </c>
      <c r="D13526" s="21"/>
    </row>
    <row r="13527" spans="1:4" ht="12.75" customHeight="1" x14ac:dyDescent="0.2">
      <c r="A13527" s="21"/>
      <c r="B13527" s="20" t="s">
        <v>18</v>
      </c>
      <c r="C13527" s="8" t="s">
        <v>44</v>
      </c>
      <c r="D13527" s="1" t="str">
        <f>HYPERLINK("javascript:void(0)","elmetestpajzs")</f>
        <v>elmetestpajzs</v>
      </c>
    </row>
    <row r="13528" spans="1:4" ht="12.75" customHeight="1" x14ac:dyDescent="0.2">
      <c r="A13528" s="21"/>
      <c r="B13528" s="21"/>
      <c r="C13528" s="8" t="s">
        <v>102</v>
      </c>
      <c r="D13528" s="1" t="str">
        <f>HYPERLINK("javascript:void(0)","toplaty")</f>
        <v>toplaty</v>
      </c>
    </row>
    <row r="13529" spans="1:4" ht="12.75" customHeight="1" x14ac:dyDescent="0.2">
      <c r="A13529" s="21"/>
      <c r="B13529" s="21"/>
      <c r="C13529" s="8" t="s">
        <v>327</v>
      </c>
      <c r="D13529" s="1" t="str">
        <f>HYPERLINK("javascript:void(0)","pillepikkely")</f>
        <v>pillepikkely</v>
      </c>
    </row>
    <row r="13530" spans="1:4" ht="12.75" customHeight="1" x14ac:dyDescent="0.2">
      <c r="A13530" s="21"/>
      <c r="B13530" s="2"/>
      <c r="C13530" s="7"/>
      <c r="D13530" s="7"/>
    </row>
    <row r="13531" spans="1:4" ht="12.75" customHeight="1" x14ac:dyDescent="0.2">
      <c r="A13531" s="21"/>
      <c r="B13531" s="2"/>
      <c r="C13531" s="7"/>
      <c r="D13531" s="7"/>
    </row>
    <row r="13532" spans="1:4" ht="12.75" customHeight="1" x14ac:dyDescent="0.2">
      <c r="A13532" s="21"/>
      <c r="B13532" s="2"/>
      <c r="C13532" s="7"/>
      <c r="D13532" s="7"/>
    </row>
    <row r="13533" spans="1:4" ht="12.75" customHeight="1" x14ac:dyDescent="0.2">
      <c r="A13533" s="21"/>
      <c r="B13533" s="2"/>
      <c r="C13533" s="7"/>
      <c r="D13533" s="7"/>
    </row>
    <row r="13534" spans="1:4" ht="12.75" customHeight="1" x14ac:dyDescent="0.2">
      <c r="A13534" s="5"/>
      <c r="B13534" s="2"/>
      <c r="C13534" s="7"/>
      <c r="D13534" s="7"/>
    </row>
    <row r="13535" spans="1:4" ht="12.75" customHeight="1" x14ac:dyDescent="0.2">
      <c r="A13535" s="22" t="str">
        <f>HYPERLINK("javascript:void(0)","radionit szellempajzs")</f>
        <v>radionit szellempajzs</v>
      </c>
      <c r="B13535" s="21"/>
      <c r="C13535" s="21"/>
      <c r="D13535" s="21"/>
    </row>
    <row r="13536" spans="1:4" ht="12.75" customHeight="1" x14ac:dyDescent="0.2">
      <c r="A13536" s="20"/>
      <c r="B13536" s="2"/>
      <c r="C13536" s="7"/>
      <c r="D13536" s="7"/>
    </row>
    <row r="13537" spans="1:4" ht="12.75" customHeight="1" x14ac:dyDescent="0.2">
      <c r="A13537" s="21"/>
      <c r="B13537" s="3" t="s">
        <v>0</v>
      </c>
      <c r="C13537" s="23" t="s">
        <v>1012</v>
      </c>
      <c r="D13537" s="21"/>
    </row>
    <row r="13538" spans="1:4" ht="12.75" customHeight="1" x14ac:dyDescent="0.2">
      <c r="A13538" s="21"/>
      <c r="B13538" s="3" t="s">
        <v>2</v>
      </c>
      <c r="C13538" s="23" t="s">
        <v>1839</v>
      </c>
      <c r="D13538" s="21"/>
    </row>
    <row r="13539" spans="1:4" ht="12.75" customHeight="1" x14ac:dyDescent="0.2">
      <c r="A13539" s="21"/>
      <c r="B13539" s="3" t="s">
        <v>1840</v>
      </c>
      <c r="C13539" s="23" t="s">
        <v>5248</v>
      </c>
      <c r="D13539" s="21"/>
    </row>
    <row r="13540" spans="1:4" ht="12.75" customHeight="1" x14ac:dyDescent="0.2">
      <c r="A13540" s="21"/>
      <c r="B13540" s="3" t="s">
        <v>9</v>
      </c>
      <c r="C13540" s="23" t="s">
        <v>1144</v>
      </c>
      <c r="D13540" s="21"/>
    </row>
    <row r="13541" spans="1:4" ht="12.75" customHeight="1" x14ac:dyDescent="0.2">
      <c r="A13541" s="21"/>
      <c r="B13541" s="3" t="s">
        <v>11</v>
      </c>
      <c r="C13541" s="23" t="s">
        <v>1565</v>
      </c>
      <c r="D13541" s="21"/>
    </row>
    <row r="13542" spans="1:4" ht="12.75" customHeight="1" x14ac:dyDescent="0.2">
      <c r="A13542" s="21"/>
      <c r="B13542" s="3" t="s">
        <v>16</v>
      </c>
      <c r="C13542" s="23"/>
      <c r="D13542" s="21"/>
    </row>
    <row r="13543" spans="1:4" ht="12.75" customHeight="1" x14ac:dyDescent="0.2">
      <c r="A13543" s="21"/>
      <c r="B13543" s="3" t="s">
        <v>17</v>
      </c>
      <c r="C13543" s="23" t="s">
        <v>19</v>
      </c>
      <c r="D13543" s="21"/>
    </row>
    <row r="13544" spans="1:4" ht="12.75" customHeight="1" x14ac:dyDescent="0.2">
      <c r="A13544" s="21"/>
      <c r="B13544" s="20" t="s">
        <v>18</v>
      </c>
      <c r="C13544" s="8" t="s">
        <v>44</v>
      </c>
      <c r="D13544" s="1" t="str">
        <f>HYPERLINK("javascript:void(0)","tüzér testpajzs")</f>
        <v>tüzér testpajzs</v>
      </c>
    </row>
    <row r="13545" spans="1:4" ht="12.75" customHeight="1" x14ac:dyDescent="0.2">
      <c r="A13545" s="21"/>
      <c r="B13545" s="21"/>
      <c r="C13545" s="8" t="s">
        <v>5226</v>
      </c>
      <c r="D13545" s="1" t="str">
        <f>HYPERLINK("javascript:void(0)","radiolium")</f>
        <v>radiolium</v>
      </c>
    </row>
    <row r="13546" spans="1:4" ht="12.75" customHeight="1" x14ac:dyDescent="0.2">
      <c r="A13546" s="21"/>
      <c r="B13546" s="21"/>
      <c r="C13546" s="8" t="s">
        <v>988</v>
      </c>
      <c r="D13546" s="1" t="str">
        <f>HYPERLINK("javascript:void(0)","ködpikkely")</f>
        <v>ködpikkely</v>
      </c>
    </row>
    <row r="13547" spans="1:4" ht="12.75" customHeight="1" x14ac:dyDescent="0.2">
      <c r="A13547" s="21"/>
      <c r="B13547" s="2"/>
      <c r="C13547" s="7"/>
      <c r="D13547" s="7"/>
    </row>
    <row r="13548" spans="1:4" ht="12.75" customHeight="1" x14ac:dyDescent="0.2">
      <c r="A13548" s="21"/>
      <c r="B13548" s="2"/>
      <c r="C13548" s="7"/>
      <c r="D13548" s="7"/>
    </row>
    <row r="13549" spans="1:4" ht="12.75" customHeight="1" x14ac:dyDescent="0.2">
      <c r="A13549" s="21"/>
      <c r="B13549" s="2"/>
      <c r="C13549" s="7"/>
      <c r="D13549" s="7"/>
    </row>
    <row r="13550" spans="1:4" ht="12.75" customHeight="1" x14ac:dyDescent="0.2">
      <c r="A13550" s="21"/>
      <c r="B13550" s="2"/>
      <c r="C13550" s="7"/>
      <c r="D13550" s="7"/>
    </row>
    <row r="13551" spans="1:4" ht="12.75" customHeight="1" x14ac:dyDescent="0.2">
      <c r="A13551" s="5"/>
      <c r="B13551" s="2"/>
      <c r="C13551" s="7"/>
      <c r="D13551" s="7"/>
    </row>
    <row r="13552" spans="1:4" ht="12.75" customHeight="1" x14ac:dyDescent="0.2">
      <c r="A13552" s="22" t="str">
        <f>HYPERLINK("javascript:void(0)","pattanó álarc")</f>
        <v>pattanó álarc</v>
      </c>
      <c r="B13552" s="21"/>
      <c r="C13552" s="21"/>
      <c r="D13552" s="21"/>
    </row>
    <row r="13553" spans="1:4" ht="12.75" customHeight="1" x14ac:dyDescent="0.2">
      <c r="A13553" s="20"/>
      <c r="B13553" s="2"/>
      <c r="C13553" s="7"/>
      <c r="D13553" s="7"/>
    </row>
    <row r="13554" spans="1:4" ht="12.75" customHeight="1" x14ac:dyDescent="0.2">
      <c r="A13554" s="21"/>
      <c r="B13554" s="3" t="s">
        <v>0</v>
      </c>
      <c r="C13554" s="23" t="s">
        <v>1012</v>
      </c>
      <c r="D13554" s="21"/>
    </row>
    <row r="13555" spans="1:4" ht="12.75" customHeight="1" x14ac:dyDescent="0.2">
      <c r="A13555" s="21"/>
      <c r="B13555" s="3" t="s">
        <v>2</v>
      </c>
      <c r="C13555" s="23"/>
      <c r="D13555" s="21"/>
    </row>
    <row r="13556" spans="1:4" ht="12.75" customHeight="1" x14ac:dyDescent="0.2">
      <c r="A13556" s="21"/>
      <c r="B13556" s="3" t="s">
        <v>1840</v>
      </c>
      <c r="C13556" s="23" t="s">
        <v>127</v>
      </c>
      <c r="D13556" s="21"/>
    </row>
    <row r="13557" spans="1:4" ht="12.75" customHeight="1" x14ac:dyDescent="0.2">
      <c r="A13557" s="21"/>
      <c r="B13557" s="3" t="s">
        <v>9</v>
      </c>
      <c r="C13557" s="23" t="s">
        <v>70</v>
      </c>
      <c r="D13557" s="21"/>
    </row>
    <row r="13558" spans="1:4" ht="12.75" customHeight="1" x14ac:dyDescent="0.2">
      <c r="A13558" s="21"/>
      <c r="B13558" s="3" t="s">
        <v>11</v>
      </c>
      <c r="C13558" s="23" t="s">
        <v>2144</v>
      </c>
      <c r="D13558" s="21"/>
    </row>
    <row r="13559" spans="1:4" ht="12.75" customHeight="1" x14ac:dyDescent="0.2">
      <c r="A13559" s="21"/>
      <c r="B13559" s="3" t="s">
        <v>16</v>
      </c>
      <c r="C13559" s="23"/>
      <c r="D13559" s="21"/>
    </row>
    <row r="13560" spans="1:4" ht="12.75" customHeight="1" x14ac:dyDescent="0.2">
      <c r="A13560" s="21"/>
      <c r="B13560" s="3" t="s">
        <v>17</v>
      </c>
      <c r="C13560" s="23" t="s">
        <v>19</v>
      </c>
      <c r="D13560" s="21"/>
    </row>
    <row r="13561" spans="1:4" ht="12.75" customHeight="1" x14ac:dyDescent="0.2">
      <c r="A13561" s="21"/>
      <c r="B13561" s="20" t="s">
        <v>18</v>
      </c>
      <c r="C13561" s="8" t="s">
        <v>132</v>
      </c>
      <c r="D13561" s="1" t="str">
        <f>HYPERLINK("javascript:void(0)","rémláb")</f>
        <v>rémláb</v>
      </c>
    </row>
    <row r="13562" spans="1:4" ht="12.75" customHeight="1" x14ac:dyDescent="0.2">
      <c r="A13562" s="21"/>
      <c r="B13562" s="21"/>
      <c r="C13562" s="8" t="s">
        <v>67</v>
      </c>
      <c r="D13562" s="1" t="str">
        <f>HYPERLINK("javascript:void(0)","toplaty")</f>
        <v>toplaty</v>
      </c>
    </row>
    <row r="13563" spans="1:4" ht="12.75" customHeight="1" x14ac:dyDescent="0.2">
      <c r="A13563" s="21"/>
      <c r="B13563" s="21"/>
      <c r="C13563" s="8" t="s">
        <v>316</v>
      </c>
      <c r="D13563" s="1" t="str">
        <f>HYPERLINK("javascript:void(0)","angyalhaj")</f>
        <v>angyalhaj</v>
      </c>
    </row>
    <row r="13564" spans="1:4" ht="12.75" customHeight="1" x14ac:dyDescent="0.2">
      <c r="A13564" s="21"/>
      <c r="B13564" s="2"/>
      <c r="C13564" s="7"/>
      <c r="D13564" s="7"/>
    </row>
    <row r="13565" spans="1:4" ht="12.75" customHeight="1" x14ac:dyDescent="0.2">
      <c r="A13565" s="21"/>
      <c r="B13565" s="2"/>
      <c r="C13565" s="7"/>
      <c r="D13565" s="7"/>
    </row>
    <row r="13566" spans="1:4" ht="12.75" customHeight="1" x14ac:dyDescent="0.2">
      <c r="A13566" s="21"/>
      <c r="B13566" s="2"/>
      <c r="C13566" s="7"/>
      <c r="D13566" s="7"/>
    </row>
    <row r="13567" spans="1:4" ht="12.75" customHeight="1" x14ac:dyDescent="0.2">
      <c r="A13567" s="21"/>
      <c r="B13567" s="2"/>
      <c r="C13567" s="7"/>
      <c r="D13567" s="7"/>
    </row>
    <row r="13568" spans="1:4" ht="12.75" customHeight="1" x14ac:dyDescent="0.2">
      <c r="A13568" s="5"/>
      <c r="B13568" s="2"/>
      <c r="C13568" s="7"/>
      <c r="D13568" s="7"/>
    </row>
    <row r="13569" spans="1:4" ht="12.75" customHeight="1" x14ac:dyDescent="0.2">
      <c r="A13569" s="22" t="str">
        <f>HYPERLINK("javascript:void(0)","pikkelyes antigrav csizma")</f>
        <v>pikkelyes antigrav csizma</v>
      </c>
      <c r="B13569" s="21"/>
      <c r="C13569" s="21"/>
      <c r="D13569" s="21"/>
    </row>
    <row r="13570" spans="1:4" ht="12.75" customHeight="1" x14ac:dyDescent="0.2">
      <c r="A13570" s="20"/>
      <c r="B13570" s="2"/>
      <c r="C13570" s="7"/>
      <c r="D13570" s="7"/>
    </row>
    <row r="13571" spans="1:4" ht="12.75" customHeight="1" x14ac:dyDescent="0.2">
      <c r="A13571" s="21"/>
      <c r="B13571" s="3" t="s">
        <v>0</v>
      </c>
      <c r="C13571" s="23" t="s">
        <v>1012</v>
      </c>
      <c r="D13571" s="21"/>
    </row>
    <row r="13572" spans="1:4" ht="12.75" customHeight="1" x14ac:dyDescent="0.2">
      <c r="A13572" s="21"/>
      <c r="B13572" s="3" t="s">
        <v>2</v>
      </c>
      <c r="C13572" s="23"/>
      <c r="D13572" s="21"/>
    </row>
    <row r="13573" spans="1:4" ht="12.75" customHeight="1" x14ac:dyDescent="0.2">
      <c r="A13573" s="21"/>
      <c r="B13573" s="3" t="s">
        <v>1840</v>
      </c>
      <c r="C13573" s="23" t="s">
        <v>2158</v>
      </c>
      <c r="D13573" s="21"/>
    </row>
    <row r="13574" spans="1:4" ht="12.75" customHeight="1" x14ac:dyDescent="0.2">
      <c r="A13574" s="21"/>
      <c r="B13574" s="3" t="s">
        <v>9</v>
      </c>
      <c r="C13574" s="23" t="s">
        <v>626</v>
      </c>
      <c r="D13574" s="21"/>
    </row>
    <row r="13575" spans="1:4" ht="12.75" customHeight="1" x14ac:dyDescent="0.2">
      <c r="A13575" s="21"/>
      <c r="B13575" s="3" t="s">
        <v>11</v>
      </c>
      <c r="C13575" s="23" t="s">
        <v>23</v>
      </c>
      <c r="D13575" s="21"/>
    </row>
    <row r="13576" spans="1:4" ht="12.75" customHeight="1" x14ac:dyDescent="0.2">
      <c r="A13576" s="21"/>
      <c r="B13576" s="3" t="s">
        <v>16</v>
      </c>
      <c r="C13576" s="23"/>
      <c r="D13576" s="21"/>
    </row>
    <row r="13577" spans="1:4" ht="12.75" customHeight="1" x14ac:dyDescent="0.2">
      <c r="A13577" s="21"/>
      <c r="B13577" s="3" t="s">
        <v>17</v>
      </c>
      <c r="C13577" s="23" t="s">
        <v>19</v>
      </c>
      <c r="D13577" s="21"/>
    </row>
    <row r="13578" spans="1:4" ht="25.5" customHeight="1" x14ac:dyDescent="0.2">
      <c r="A13578" s="21"/>
      <c r="B13578" s="20" t="s">
        <v>18</v>
      </c>
      <c r="C13578" s="8" t="s">
        <v>44</v>
      </c>
      <c r="D13578" s="1" t="str">
        <f>HYPERLINK("javascript:void(0)","skívei antigrav csizma")</f>
        <v>skívei antigrav csizma</v>
      </c>
    </row>
    <row r="13579" spans="1:4" ht="12.75" customHeight="1" x14ac:dyDescent="0.2">
      <c r="A13579" s="21"/>
      <c r="B13579" s="21"/>
      <c r="C13579" s="8" t="s">
        <v>163</v>
      </c>
      <c r="D13579" s="1" t="str">
        <f>HYPERLINK("javascript:void(0)","ködpikkely")</f>
        <v>ködpikkely</v>
      </c>
    </row>
    <row r="13580" spans="1:4" ht="12.75" customHeight="1" x14ac:dyDescent="0.2">
      <c r="A13580" s="21"/>
      <c r="B13580" s="21"/>
      <c r="C13580" s="8" t="s">
        <v>756</v>
      </c>
      <c r="D13580" s="1" t="str">
        <f>HYPERLINK("javascript:void(0)","pillepikkely")</f>
        <v>pillepikkely</v>
      </c>
    </row>
    <row r="13581" spans="1:4" ht="12.75" customHeight="1" x14ac:dyDescent="0.2">
      <c r="A13581" s="21"/>
      <c r="B13581" s="2"/>
      <c r="C13581" s="7"/>
      <c r="D13581" s="7"/>
    </row>
    <row r="13582" spans="1:4" ht="12.75" customHeight="1" x14ac:dyDescent="0.2">
      <c r="A13582" s="21"/>
      <c r="B13582" s="2"/>
      <c r="C13582" s="7"/>
      <c r="D13582" s="7"/>
    </row>
    <row r="13583" spans="1:4" ht="12.75" customHeight="1" x14ac:dyDescent="0.2">
      <c r="A13583" s="21"/>
      <c r="B13583" s="2"/>
      <c r="C13583" s="7"/>
      <c r="D13583" s="7"/>
    </row>
    <row r="13584" spans="1:4" ht="12.75" customHeight="1" x14ac:dyDescent="0.2">
      <c r="A13584" s="21"/>
      <c r="B13584" s="2"/>
      <c r="C13584" s="7"/>
      <c r="D13584" s="7"/>
    </row>
    <row r="13585" spans="1:4" ht="12.75" customHeight="1" x14ac:dyDescent="0.2">
      <c r="A13585" s="5"/>
      <c r="B13585" s="2"/>
      <c r="C13585" s="7"/>
      <c r="D13585" s="7"/>
    </row>
    <row r="13586" spans="1:4" ht="12.75" customHeight="1" x14ac:dyDescent="0.2">
      <c r="A13586" s="22" t="str">
        <f>HYPERLINK("javascript:void(0)","gólempáncél")</f>
        <v>gólempáncél</v>
      </c>
      <c r="B13586" s="21"/>
      <c r="C13586" s="21"/>
      <c r="D13586" s="21"/>
    </row>
    <row r="13587" spans="1:4" ht="12.75" customHeight="1" x14ac:dyDescent="0.2">
      <c r="A13587" s="20"/>
      <c r="B13587" s="2"/>
      <c r="C13587" s="7"/>
      <c r="D13587" s="7"/>
    </row>
    <row r="13588" spans="1:4" ht="12.75" customHeight="1" x14ac:dyDescent="0.2">
      <c r="A13588" s="21"/>
      <c r="B13588" s="3" t="s">
        <v>0</v>
      </c>
      <c r="C13588" s="23" t="s">
        <v>91</v>
      </c>
      <c r="D13588" s="21"/>
    </row>
    <row r="13589" spans="1:4" ht="12.75" customHeight="1" x14ac:dyDescent="0.2">
      <c r="A13589" s="21"/>
      <c r="B13589" s="3" t="s">
        <v>2</v>
      </c>
      <c r="C13589" s="23" t="s">
        <v>2322</v>
      </c>
      <c r="D13589" s="21"/>
    </row>
    <row r="13590" spans="1:4" ht="12.75" customHeight="1" x14ac:dyDescent="0.2">
      <c r="A13590" s="21"/>
      <c r="B13590" s="3" t="s">
        <v>1840</v>
      </c>
      <c r="C13590" s="23" t="s">
        <v>2512</v>
      </c>
      <c r="D13590" s="21"/>
    </row>
    <row r="13591" spans="1:4" ht="12.75" customHeight="1" x14ac:dyDescent="0.2">
      <c r="A13591" s="21"/>
      <c r="B13591" s="3" t="s">
        <v>9</v>
      </c>
      <c r="C13591" s="23" t="s">
        <v>2102</v>
      </c>
      <c r="D13591" s="21"/>
    </row>
    <row r="13592" spans="1:4" ht="12.75" customHeight="1" x14ac:dyDescent="0.2">
      <c r="A13592" s="21"/>
      <c r="B13592" s="3" t="s">
        <v>11</v>
      </c>
      <c r="C13592" s="23" t="s">
        <v>1674</v>
      </c>
      <c r="D13592" s="21"/>
    </row>
    <row r="13593" spans="1:4" ht="12.75" customHeight="1" x14ac:dyDescent="0.2">
      <c r="A13593" s="21"/>
      <c r="B13593" s="3" t="s">
        <v>16</v>
      </c>
      <c r="C13593" s="23"/>
      <c r="D13593" s="21"/>
    </row>
    <row r="13594" spans="1:4" ht="12.75" customHeight="1" x14ac:dyDescent="0.2">
      <c r="A13594" s="21"/>
      <c r="B13594" s="3" t="s">
        <v>17</v>
      </c>
      <c r="C13594" s="23" t="s">
        <v>19</v>
      </c>
      <c r="D13594" s="21"/>
    </row>
    <row r="13595" spans="1:4" ht="12.75" customHeight="1" x14ac:dyDescent="0.2">
      <c r="A13595" s="21"/>
      <c r="B13595" s="20" t="s">
        <v>18</v>
      </c>
      <c r="C13595" s="8" t="s">
        <v>309</v>
      </c>
      <c r="D13595" s="1" t="str">
        <f>HYPERLINK("javascript:void(0)","ködpikkely")</f>
        <v>ködpikkely</v>
      </c>
    </row>
    <row r="13596" spans="1:4" ht="12.75" customHeight="1" x14ac:dyDescent="0.2">
      <c r="A13596" s="21"/>
      <c r="B13596" s="21"/>
      <c r="C13596" s="8" t="s">
        <v>244</v>
      </c>
      <c r="D13596" s="1" t="str">
        <f>HYPERLINK("javascript:void(0)","monsztabéklyó")</f>
        <v>monsztabéklyó</v>
      </c>
    </row>
    <row r="13597" spans="1:4" ht="12.75" customHeight="1" x14ac:dyDescent="0.2">
      <c r="A13597" s="21"/>
      <c r="B13597" s="21"/>
      <c r="C13597" s="8" t="s">
        <v>67</v>
      </c>
      <c r="D13597" s="1" t="str">
        <f>HYPERLINK("javascript:void(0)","gólemamulett")</f>
        <v>gólemamulett</v>
      </c>
    </row>
    <row r="13598" spans="1:4" ht="12.75" customHeight="1" x14ac:dyDescent="0.2">
      <c r="A13598" s="21"/>
      <c r="B13598" s="2"/>
      <c r="C13598" s="7"/>
      <c r="D13598" s="7"/>
    </row>
    <row r="13599" spans="1:4" ht="12.75" customHeight="1" x14ac:dyDescent="0.2">
      <c r="A13599" s="21"/>
      <c r="B13599" s="2"/>
      <c r="C13599" s="7"/>
      <c r="D13599" s="7"/>
    </row>
    <row r="13600" spans="1:4" ht="12.75" customHeight="1" x14ac:dyDescent="0.2">
      <c r="A13600" s="21"/>
      <c r="B13600" s="2"/>
      <c r="C13600" s="7"/>
      <c r="D13600" s="7"/>
    </row>
    <row r="13601" spans="1:4" ht="12.75" customHeight="1" x14ac:dyDescent="0.2">
      <c r="A13601" s="21"/>
      <c r="B13601" s="2"/>
      <c r="C13601" s="7"/>
      <c r="D13601" s="7"/>
    </row>
    <row r="13602" spans="1:4" ht="12.75" customHeight="1" x14ac:dyDescent="0.2">
      <c r="A13602" s="5"/>
      <c r="B13602" s="2"/>
      <c r="C13602" s="7"/>
      <c r="D13602" s="7"/>
    </row>
    <row r="13603" spans="1:4" ht="12.75" customHeight="1" x14ac:dyDescent="0.2">
      <c r="A13603" s="22" t="str">
        <f>HYPERLINK("javascript:void(0)","rojtos védőkalap")</f>
        <v>rojtos védőkalap</v>
      </c>
      <c r="B13603" s="21"/>
      <c r="C13603" s="21"/>
      <c r="D13603" s="21"/>
    </row>
    <row r="13604" spans="1:4" ht="12.75" customHeight="1" x14ac:dyDescent="0.2">
      <c r="A13604" s="20"/>
      <c r="B13604" s="2"/>
      <c r="C13604" s="7"/>
      <c r="D13604" s="7"/>
    </row>
    <row r="13605" spans="1:4" ht="12.75" customHeight="1" x14ac:dyDescent="0.2">
      <c r="A13605" s="21"/>
      <c r="B13605" s="3" t="s">
        <v>0</v>
      </c>
      <c r="C13605" s="23" t="s">
        <v>91</v>
      </c>
      <c r="D13605" s="21"/>
    </row>
    <row r="13606" spans="1:4" ht="12.75" customHeight="1" x14ac:dyDescent="0.2">
      <c r="A13606" s="21"/>
      <c r="B13606" s="3" t="s">
        <v>2</v>
      </c>
      <c r="C13606" s="23"/>
      <c r="D13606" s="21"/>
    </row>
    <row r="13607" spans="1:4" ht="12.75" customHeight="1" x14ac:dyDescent="0.2">
      <c r="A13607" s="21"/>
      <c r="B13607" s="3" t="s">
        <v>1840</v>
      </c>
      <c r="C13607" s="23" t="s">
        <v>2426</v>
      </c>
      <c r="D13607" s="21"/>
    </row>
    <row r="13608" spans="1:4" ht="12.75" customHeight="1" x14ac:dyDescent="0.2">
      <c r="A13608" s="21"/>
      <c r="B13608" s="3" t="s">
        <v>9</v>
      </c>
      <c r="C13608" s="23" t="s">
        <v>1469</v>
      </c>
      <c r="D13608" s="21"/>
    </row>
    <row r="13609" spans="1:4" ht="12.75" customHeight="1" x14ac:dyDescent="0.2">
      <c r="A13609" s="21"/>
      <c r="B13609" s="3" t="s">
        <v>11</v>
      </c>
      <c r="C13609" s="23" t="s">
        <v>1674</v>
      </c>
      <c r="D13609" s="21"/>
    </row>
    <row r="13610" spans="1:4" ht="12.75" customHeight="1" x14ac:dyDescent="0.2">
      <c r="A13610" s="21"/>
      <c r="B13610" s="3" t="s">
        <v>16</v>
      </c>
      <c r="C13610" s="23"/>
      <c r="D13610" s="21"/>
    </row>
    <row r="13611" spans="1:4" ht="12.75" customHeight="1" x14ac:dyDescent="0.2">
      <c r="A13611" s="21"/>
      <c r="B13611" s="3" t="s">
        <v>17</v>
      </c>
      <c r="C13611" s="23" t="s">
        <v>19</v>
      </c>
      <c r="D13611" s="21"/>
    </row>
    <row r="13612" spans="1:4" ht="12.75" customHeight="1" x14ac:dyDescent="0.2">
      <c r="A13612" s="21"/>
      <c r="B13612" s="20" t="s">
        <v>18</v>
      </c>
      <c r="C13612" s="8" t="s">
        <v>316</v>
      </c>
      <c r="D13612" s="1" t="str">
        <f>HYPERLINK("javascript:void(0)","rojt")</f>
        <v>rojt</v>
      </c>
    </row>
    <row r="13613" spans="1:4" ht="12.75" customHeight="1" x14ac:dyDescent="0.2">
      <c r="A13613" s="21"/>
      <c r="B13613" s="21"/>
      <c r="C13613" s="8" t="s">
        <v>228</v>
      </c>
      <c r="D13613" s="1" t="str">
        <f>HYPERLINK("javascript:void(0)","hálószem")</f>
        <v>hálószem</v>
      </c>
    </row>
    <row r="13614" spans="1:4" ht="12.75" customHeight="1" x14ac:dyDescent="0.2">
      <c r="A13614" s="21"/>
      <c r="B13614" s="21"/>
      <c r="C13614" s="8" t="s">
        <v>44</v>
      </c>
      <c r="D13614" s="1" t="str">
        <f>HYPERLINK("javascript:void(0)","kentacél bascinet")</f>
        <v>kentacél bascinet</v>
      </c>
    </row>
    <row r="13615" spans="1:4" ht="12.75" customHeight="1" x14ac:dyDescent="0.2">
      <c r="A13615" s="21"/>
      <c r="B13615" s="2"/>
      <c r="C13615" s="7"/>
      <c r="D13615" s="7"/>
    </row>
    <row r="13616" spans="1:4" ht="12.75" customHeight="1" x14ac:dyDescent="0.2">
      <c r="A13616" s="21"/>
      <c r="B13616" s="2"/>
      <c r="C13616" s="7"/>
      <c r="D13616" s="7"/>
    </row>
    <row r="13617" spans="1:4" ht="12.75" customHeight="1" x14ac:dyDescent="0.2">
      <c r="A13617" s="21"/>
      <c r="B13617" s="2"/>
      <c r="C13617" s="7"/>
      <c r="D13617" s="7"/>
    </row>
    <row r="13618" spans="1:4" ht="12.75" customHeight="1" x14ac:dyDescent="0.2">
      <c r="A13618" s="21"/>
      <c r="B13618" s="2"/>
      <c r="C13618" s="7"/>
      <c r="D13618" s="7"/>
    </row>
    <row r="13619" spans="1:4" ht="12.75" customHeight="1" x14ac:dyDescent="0.2">
      <c r="A13619" s="5"/>
      <c r="B13619" s="2"/>
      <c r="C13619" s="7"/>
      <c r="D13619" s="7"/>
    </row>
    <row r="13620" spans="1:4" ht="12.75" customHeight="1" x14ac:dyDescent="0.2">
      <c r="A13620" s="22" t="str">
        <f>HYPERLINK("javascript:void(0)","rögtipró")</f>
        <v>rögtipró</v>
      </c>
      <c r="B13620" s="21"/>
      <c r="C13620" s="21"/>
      <c r="D13620" s="21"/>
    </row>
    <row r="13621" spans="1:4" ht="12.75" customHeight="1" x14ac:dyDescent="0.2">
      <c r="A13621" s="20"/>
      <c r="B13621" s="2"/>
      <c r="C13621" s="7"/>
      <c r="D13621" s="7"/>
    </row>
    <row r="13622" spans="1:4" ht="12.75" customHeight="1" x14ac:dyDescent="0.2">
      <c r="A13622" s="21"/>
      <c r="B13622" s="3" t="s">
        <v>0</v>
      </c>
      <c r="C13622" s="23" t="s">
        <v>91</v>
      </c>
      <c r="D13622" s="21"/>
    </row>
    <row r="13623" spans="1:4" ht="12.75" customHeight="1" x14ac:dyDescent="0.2">
      <c r="A13623" s="21"/>
      <c r="B13623" s="3" t="s">
        <v>2</v>
      </c>
      <c r="C13623" s="23"/>
      <c r="D13623" s="21"/>
    </row>
    <row r="13624" spans="1:4" ht="12.75" customHeight="1" x14ac:dyDescent="0.2">
      <c r="A13624" s="21"/>
      <c r="B13624" s="3" t="s">
        <v>1840</v>
      </c>
      <c r="C13624" s="23" t="s">
        <v>2153</v>
      </c>
      <c r="D13624" s="21"/>
    </row>
    <row r="13625" spans="1:4" ht="12.75" customHeight="1" x14ac:dyDescent="0.2">
      <c r="A13625" s="21"/>
      <c r="B13625" s="3" t="s">
        <v>9</v>
      </c>
      <c r="C13625" s="23" t="s">
        <v>1428</v>
      </c>
      <c r="D13625" s="21"/>
    </row>
    <row r="13626" spans="1:4" ht="12.75" customHeight="1" x14ac:dyDescent="0.2">
      <c r="A13626" s="21"/>
      <c r="B13626" s="3" t="s">
        <v>11</v>
      </c>
      <c r="C13626" s="23" t="s">
        <v>2160</v>
      </c>
      <c r="D13626" s="21"/>
    </row>
    <row r="13627" spans="1:4" ht="12.75" customHeight="1" x14ac:dyDescent="0.2">
      <c r="A13627" s="21"/>
      <c r="B13627" s="3" t="s">
        <v>16</v>
      </c>
      <c r="C13627" s="23"/>
      <c r="D13627" s="21"/>
    </row>
    <row r="13628" spans="1:4" ht="12.75" customHeight="1" x14ac:dyDescent="0.2">
      <c r="A13628" s="21"/>
      <c r="B13628" s="3" t="s">
        <v>17</v>
      </c>
      <c r="C13628" s="23" t="s">
        <v>19</v>
      </c>
      <c r="D13628" s="21"/>
    </row>
    <row r="13629" spans="1:4" ht="12.75" customHeight="1" x14ac:dyDescent="0.2">
      <c r="A13629" s="21"/>
      <c r="B13629" s="20" t="s">
        <v>18</v>
      </c>
      <c r="C13629" s="8" t="s">
        <v>44</v>
      </c>
      <c r="D13629" s="1" t="str">
        <f>HYPERLINK("javascript:void(0)","pikkelycsizma")</f>
        <v>pikkelycsizma</v>
      </c>
    </row>
    <row r="13630" spans="1:4" ht="12.75" customHeight="1" x14ac:dyDescent="0.2">
      <c r="A13630" s="21"/>
      <c r="B13630" s="21"/>
      <c r="C13630" s="8" t="s">
        <v>44</v>
      </c>
      <c r="D13630" s="1" t="str">
        <f>HYPERLINK("javascript:void(0)","tüzércsizma")</f>
        <v>tüzércsizma</v>
      </c>
    </row>
    <row r="13631" spans="1:4" ht="12.75" customHeight="1" x14ac:dyDescent="0.2">
      <c r="A13631" s="21"/>
      <c r="B13631" s="21"/>
      <c r="C13631" s="8" t="s">
        <v>44</v>
      </c>
      <c r="D13631" s="1" t="str">
        <f>HYPERLINK("javascript:void(0)","szőnyegtalp")</f>
        <v>szőnyegtalp</v>
      </c>
    </row>
    <row r="13632" spans="1:4" ht="12.75" customHeight="1" x14ac:dyDescent="0.2">
      <c r="A13632" s="21"/>
      <c r="B13632" s="2"/>
      <c r="C13632" s="7"/>
      <c r="D13632" s="7"/>
    </row>
    <row r="13633" spans="1:4" ht="12.75" customHeight="1" x14ac:dyDescent="0.2">
      <c r="A13633" s="21"/>
      <c r="B13633" s="2"/>
      <c r="C13633" s="7"/>
      <c r="D13633" s="7"/>
    </row>
    <row r="13634" spans="1:4" ht="12.75" customHeight="1" x14ac:dyDescent="0.2">
      <c r="A13634" s="21"/>
      <c r="B13634" s="2"/>
      <c r="C13634" s="7"/>
      <c r="D13634" s="7"/>
    </row>
    <row r="13635" spans="1:4" ht="12.75" customHeight="1" x14ac:dyDescent="0.2">
      <c r="A13635" s="21"/>
      <c r="B13635" s="2"/>
      <c r="C13635" s="7"/>
      <c r="D13635" s="7"/>
    </row>
    <row r="13636" spans="1:4" ht="12.75" customHeight="1" x14ac:dyDescent="0.2">
      <c r="A13636" s="5"/>
      <c r="B13636" s="2"/>
      <c r="C13636" s="7"/>
      <c r="D13636" s="7"/>
    </row>
    <row r="13637" spans="1:4" ht="12.75" customHeight="1" x14ac:dyDescent="0.2">
      <c r="A13637" s="22" t="str">
        <f>HYPERLINK("javascript:void(0)","gólempajzs")</f>
        <v>gólempajzs</v>
      </c>
      <c r="B13637" s="21"/>
      <c r="C13637" s="21"/>
      <c r="D13637" s="21"/>
    </row>
    <row r="13638" spans="1:4" ht="12.75" customHeight="1" x14ac:dyDescent="0.2">
      <c r="A13638" s="20"/>
      <c r="B13638" s="2"/>
      <c r="C13638" s="7"/>
      <c r="D13638" s="7"/>
    </row>
    <row r="13639" spans="1:4" ht="12.75" customHeight="1" x14ac:dyDescent="0.2">
      <c r="A13639" s="21"/>
      <c r="B13639" s="3" t="s">
        <v>0</v>
      </c>
      <c r="C13639" s="23" t="s">
        <v>91</v>
      </c>
      <c r="D13639" s="21"/>
    </row>
    <row r="13640" spans="1:4" ht="12.75" customHeight="1" x14ac:dyDescent="0.2">
      <c r="A13640" s="21"/>
      <c r="B13640" s="3" t="s">
        <v>2</v>
      </c>
      <c r="C13640" s="23" t="s">
        <v>1839</v>
      </c>
      <c r="D13640" s="21"/>
    </row>
    <row r="13641" spans="1:4" ht="12.75" customHeight="1" x14ac:dyDescent="0.2">
      <c r="A13641" s="21"/>
      <c r="B13641" s="3" t="s">
        <v>1840</v>
      </c>
      <c r="C13641" s="23" t="s">
        <v>2841</v>
      </c>
      <c r="D13641" s="21"/>
    </row>
    <row r="13642" spans="1:4" ht="12.75" customHeight="1" x14ac:dyDescent="0.2">
      <c r="A13642" s="21"/>
      <c r="B13642" s="3" t="s">
        <v>9</v>
      </c>
      <c r="C13642" s="23" t="s">
        <v>377</v>
      </c>
      <c r="D13642" s="21"/>
    </row>
    <row r="13643" spans="1:4" ht="12.75" customHeight="1" x14ac:dyDescent="0.2">
      <c r="A13643" s="21"/>
      <c r="B13643" s="3" t="s">
        <v>11</v>
      </c>
      <c r="C13643" s="23" t="s">
        <v>1040</v>
      </c>
      <c r="D13643" s="21"/>
    </row>
    <row r="13644" spans="1:4" ht="12.75" customHeight="1" x14ac:dyDescent="0.2">
      <c r="A13644" s="21"/>
      <c r="B13644" s="3" t="s">
        <v>16</v>
      </c>
      <c r="C13644" s="23"/>
      <c r="D13644" s="21"/>
    </row>
    <row r="13645" spans="1:4" ht="12.75" customHeight="1" x14ac:dyDescent="0.2">
      <c r="A13645" s="21"/>
      <c r="B13645" s="3" t="s">
        <v>17</v>
      </c>
      <c r="C13645" s="23" t="s">
        <v>19</v>
      </c>
      <c r="D13645" s="21"/>
    </row>
    <row r="13646" spans="1:4" ht="12.75" customHeight="1" x14ac:dyDescent="0.2">
      <c r="A13646" s="21"/>
      <c r="B13646" s="20" t="s">
        <v>18</v>
      </c>
      <c r="C13646" s="8" t="s">
        <v>44</v>
      </c>
      <c r="D13646" s="1" t="str">
        <f>HYPERLINK("javascript:void(0)","tüzérpajzs")</f>
        <v>tüzérpajzs</v>
      </c>
    </row>
    <row r="13647" spans="1:4" ht="12.75" customHeight="1" x14ac:dyDescent="0.2">
      <c r="A13647" s="21"/>
      <c r="B13647" s="21"/>
      <c r="C13647" s="8" t="s">
        <v>269</v>
      </c>
      <c r="D13647" s="1" t="str">
        <f>HYPERLINK("javascript:void(0)","gólemamulett")</f>
        <v>gólemamulett</v>
      </c>
    </row>
    <row r="13648" spans="1:4" ht="12.75" customHeight="1" x14ac:dyDescent="0.2">
      <c r="A13648" s="21"/>
      <c r="B13648" s="21"/>
      <c r="C13648" s="8" t="s">
        <v>265</v>
      </c>
      <c r="D13648" s="1" t="str">
        <f>HYPERLINK("javascript:void(0)","fülcsáp")</f>
        <v>fülcsáp</v>
      </c>
    </row>
    <row r="13649" spans="1:4" ht="12.75" customHeight="1" x14ac:dyDescent="0.2">
      <c r="A13649" s="21"/>
      <c r="B13649" s="2"/>
      <c r="C13649" s="7"/>
      <c r="D13649" s="7"/>
    </row>
    <row r="13650" spans="1:4" ht="12.75" customHeight="1" x14ac:dyDescent="0.2">
      <c r="A13650" s="21"/>
      <c r="B13650" s="2"/>
      <c r="C13650" s="7"/>
      <c r="D13650" s="7"/>
    </row>
    <row r="13651" spans="1:4" ht="12.75" customHeight="1" x14ac:dyDescent="0.2">
      <c r="A13651" s="21"/>
      <c r="B13651" s="2"/>
      <c r="C13651" s="7"/>
      <c r="D13651" s="7"/>
    </row>
    <row r="13652" spans="1:4" ht="12.75" customHeight="1" x14ac:dyDescent="0.2">
      <c r="A13652" s="21"/>
      <c r="B13652" s="2"/>
      <c r="C13652" s="7"/>
      <c r="D13652" s="7"/>
    </row>
    <row r="13653" spans="1:4" ht="12.75" customHeight="1" x14ac:dyDescent="0.2">
      <c r="A13653" s="5"/>
      <c r="B13653" s="2"/>
      <c r="C13653" s="7"/>
      <c r="D13653" s="7"/>
    </row>
    <row r="13654" spans="1:4" ht="12.75" customHeight="1" x14ac:dyDescent="0.2">
      <c r="A13654" s="22" t="str">
        <f>HYPERLINK("javascript:void(0)","diffuzio szellempajzsot")</f>
        <v>diffuzio szellempajzsot</v>
      </c>
      <c r="B13654" s="21"/>
      <c r="C13654" s="21"/>
      <c r="D13654" s="21"/>
    </row>
    <row r="13655" spans="1:4" ht="12.75" customHeight="1" x14ac:dyDescent="0.2">
      <c r="A13655" s="20"/>
      <c r="B13655" s="2"/>
      <c r="C13655" s="7"/>
      <c r="D13655" s="7"/>
    </row>
    <row r="13656" spans="1:4" ht="12.75" customHeight="1" x14ac:dyDescent="0.2">
      <c r="A13656" s="21"/>
      <c r="B13656" s="3" t="s">
        <v>0</v>
      </c>
      <c r="C13656" s="23" t="s">
        <v>91</v>
      </c>
      <c r="D13656" s="21"/>
    </row>
    <row r="13657" spans="1:4" ht="12.75" customHeight="1" x14ac:dyDescent="0.2">
      <c r="A13657" s="21"/>
      <c r="B13657" s="3" t="s">
        <v>2</v>
      </c>
      <c r="C13657" s="23" t="s">
        <v>1839</v>
      </c>
      <c r="D13657" s="21"/>
    </row>
    <row r="13658" spans="1:4" ht="12.75" customHeight="1" x14ac:dyDescent="0.2">
      <c r="A13658" s="21"/>
      <c r="B13658" s="3" t="s">
        <v>1840</v>
      </c>
      <c r="C13658" s="23" t="s">
        <v>2841</v>
      </c>
      <c r="D13658" s="21"/>
    </row>
    <row r="13659" spans="1:4" ht="12.75" customHeight="1" x14ac:dyDescent="0.2">
      <c r="A13659" s="21"/>
      <c r="B13659" s="3" t="s">
        <v>9</v>
      </c>
      <c r="C13659" s="23" t="s">
        <v>1014</v>
      </c>
      <c r="D13659" s="21"/>
    </row>
    <row r="13660" spans="1:4" ht="12.75" customHeight="1" x14ac:dyDescent="0.2">
      <c r="A13660" s="21"/>
      <c r="B13660" s="3" t="s">
        <v>11</v>
      </c>
      <c r="C13660" s="23" t="s">
        <v>2190</v>
      </c>
      <c r="D13660" s="21"/>
    </row>
    <row r="13661" spans="1:4" ht="12.75" customHeight="1" x14ac:dyDescent="0.2">
      <c r="A13661" s="21"/>
      <c r="B13661" s="3" t="s">
        <v>16</v>
      </c>
      <c r="C13661" s="23"/>
      <c r="D13661" s="21"/>
    </row>
    <row r="13662" spans="1:4" ht="12.75" customHeight="1" x14ac:dyDescent="0.2">
      <c r="A13662" s="21"/>
      <c r="B13662" s="3" t="s">
        <v>17</v>
      </c>
      <c r="C13662" s="23" t="s">
        <v>19</v>
      </c>
      <c r="D13662" s="21"/>
    </row>
    <row r="13663" spans="1:4" ht="12.75" customHeight="1" x14ac:dyDescent="0.2">
      <c r="A13663" s="21"/>
      <c r="B13663" s="20" t="s">
        <v>18</v>
      </c>
      <c r="C13663" s="8" t="s">
        <v>44</v>
      </c>
      <c r="D13663" s="1" t="str">
        <f>HYPERLINK("javascript:void(0)","gólempajzs")</f>
        <v>gólempajzs</v>
      </c>
    </row>
    <row r="13664" spans="1:4" ht="12.75" customHeight="1" x14ac:dyDescent="0.2">
      <c r="A13664" s="21"/>
      <c r="B13664" s="21"/>
      <c r="C13664" s="8" t="s">
        <v>5226</v>
      </c>
      <c r="D13664" s="1" t="str">
        <f>HYPERLINK("javascript:void(0)","diffuzionit")</f>
        <v>diffuzionit</v>
      </c>
    </row>
    <row r="13665" spans="1:4" ht="12.75" customHeight="1" x14ac:dyDescent="0.2">
      <c r="A13665" s="21"/>
      <c r="B13665" s="21"/>
      <c r="C13665" s="8" t="s">
        <v>327</v>
      </c>
      <c r="D13665" s="1" t="str">
        <f>HYPERLINK("javascript:void(0)","rojt")</f>
        <v>rojt</v>
      </c>
    </row>
    <row r="13666" spans="1:4" ht="12.75" customHeight="1" x14ac:dyDescent="0.2">
      <c r="A13666" s="21"/>
      <c r="B13666" s="2"/>
      <c r="C13666" s="7"/>
      <c r="D13666" s="7"/>
    </row>
    <row r="13667" spans="1:4" ht="12.75" customHeight="1" x14ac:dyDescent="0.2">
      <c r="A13667" s="21"/>
      <c r="B13667" s="2"/>
      <c r="C13667" s="7"/>
      <c r="D13667" s="7"/>
    </row>
    <row r="13668" spans="1:4" ht="12.75" customHeight="1" x14ac:dyDescent="0.2">
      <c r="A13668" s="21"/>
      <c r="B13668" s="2"/>
      <c r="C13668" s="7"/>
      <c r="D13668" s="7"/>
    </row>
    <row r="13669" spans="1:4" ht="12.75" customHeight="1" x14ac:dyDescent="0.2">
      <c r="A13669" s="21"/>
      <c r="B13669" s="2"/>
      <c r="C13669" s="7"/>
      <c r="D13669" s="7"/>
    </row>
    <row r="13670" spans="1:4" ht="12.75" customHeight="1" x14ac:dyDescent="0.2">
      <c r="A13670" s="5"/>
      <c r="B13670" s="2"/>
      <c r="C13670" s="7"/>
      <c r="D13670" s="7"/>
    </row>
    <row r="13671" spans="1:4" ht="12.75" customHeight="1" x14ac:dyDescent="0.2">
      <c r="A13671" s="22" t="str">
        <f>HYPERLINK("javascript:void(0)","szőnyegtalp")</f>
        <v>szőnyegtalp</v>
      </c>
      <c r="B13671" s="21"/>
      <c r="C13671" s="21"/>
      <c r="D13671" s="21"/>
    </row>
    <row r="13672" spans="1:4" ht="12.75" customHeight="1" x14ac:dyDescent="0.2">
      <c r="A13672" s="20"/>
      <c r="B13672" s="2"/>
      <c r="C13672" s="7"/>
      <c r="D13672" s="7"/>
    </row>
    <row r="13673" spans="1:4" ht="12.75" customHeight="1" x14ac:dyDescent="0.2">
      <c r="A13673" s="21"/>
      <c r="B13673" s="3" t="s">
        <v>0</v>
      </c>
      <c r="C13673" s="23" t="s">
        <v>91</v>
      </c>
      <c r="D13673" s="21"/>
    </row>
    <row r="13674" spans="1:4" ht="12.75" customHeight="1" x14ac:dyDescent="0.2">
      <c r="A13674" s="21"/>
      <c r="B13674" s="3" t="s">
        <v>2</v>
      </c>
      <c r="C13674" s="23"/>
      <c r="D13674" s="21"/>
    </row>
    <row r="13675" spans="1:4" ht="12.75" customHeight="1" x14ac:dyDescent="0.2">
      <c r="A13675" s="21"/>
      <c r="B13675" s="3" t="s">
        <v>1840</v>
      </c>
      <c r="C13675" s="23" t="s">
        <v>204</v>
      </c>
      <c r="D13675" s="21"/>
    </row>
    <row r="13676" spans="1:4" ht="12.75" customHeight="1" x14ac:dyDescent="0.2">
      <c r="A13676" s="21"/>
      <c r="B13676" s="3" t="s">
        <v>9</v>
      </c>
      <c r="C13676" s="23" t="s">
        <v>70</v>
      </c>
      <c r="D13676" s="21"/>
    </row>
    <row r="13677" spans="1:4" ht="12.75" customHeight="1" x14ac:dyDescent="0.2">
      <c r="A13677" s="21"/>
      <c r="B13677" s="3" t="s">
        <v>11</v>
      </c>
      <c r="C13677" s="23" t="s">
        <v>2144</v>
      </c>
      <c r="D13677" s="21"/>
    </row>
    <row r="13678" spans="1:4" ht="12.75" customHeight="1" x14ac:dyDescent="0.2">
      <c r="A13678" s="21"/>
      <c r="B13678" s="3" t="s">
        <v>16</v>
      </c>
      <c r="C13678" s="23"/>
      <c r="D13678" s="21"/>
    </row>
    <row r="13679" spans="1:4" ht="12.75" customHeight="1" x14ac:dyDescent="0.2">
      <c r="A13679" s="21"/>
      <c r="B13679" s="3" t="s">
        <v>17</v>
      </c>
      <c r="C13679" s="23" t="s">
        <v>19</v>
      </c>
      <c r="D13679" s="21"/>
    </row>
    <row r="13680" spans="1:4" ht="12.75" customHeight="1" x14ac:dyDescent="0.2">
      <c r="A13680" s="21"/>
      <c r="B13680" s="20" t="s">
        <v>18</v>
      </c>
      <c r="C13680" s="8" t="s">
        <v>139</v>
      </c>
      <c r="D13680" s="1" t="str">
        <f>HYPERLINK("javascript:void(0)","csapdaszeg")</f>
        <v>csapdaszeg</v>
      </c>
    </row>
    <row r="13681" spans="1:4" ht="12.75" customHeight="1" x14ac:dyDescent="0.2">
      <c r="A13681" s="21"/>
      <c r="B13681" s="21"/>
      <c r="C13681" s="8" t="s">
        <v>269</v>
      </c>
      <c r="D13681" s="1" t="str">
        <f>HYPERLINK("javascript:void(0)","rojt")</f>
        <v>rojt</v>
      </c>
    </row>
    <row r="13682" spans="1:4" ht="12.75" customHeight="1" x14ac:dyDescent="0.2">
      <c r="A13682" s="21"/>
      <c r="B13682" s="21"/>
      <c r="C13682" s="8" t="s">
        <v>117</v>
      </c>
      <c r="D13682" s="1" t="str">
        <f>HYPERLINK("javascript:void(0)","zászlórúd")</f>
        <v>zászlórúd</v>
      </c>
    </row>
    <row r="13683" spans="1:4" ht="12.75" customHeight="1" x14ac:dyDescent="0.2">
      <c r="A13683" s="21"/>
      <c r="B13683" s="2"/>
      <c r="C13683" s="7"/>
      <c r="D13683" s="7"/>
    </row>
    <row r="13684" spans="1:4" ht="12.75" customHeight="1" x14ac:dyDescent="0.2">
      <c r="A13684" s="21"/>
      <c r="B13684" s="2"/>
      <c r="C13684" s="7"/>
      <c r="D13684" s="7"/>
    </row>
    <row r="13685" spans="1:4" ht="12.75" customHeight="1" x14ac:dyDescent="0.2">
      <c r="A13685" s="21"/>
      <c r="B13685" s="2"/>
      <c r="C13685" s="7"/>
      <c r="D13685" s="7"/>
    </row>
    <row r="13686" spans="1:4" ht="12.75" customHeight="1" x14ac:dyDescent="0.2">
      <c r="A13686" s="21"/>
      <c r="B13686" s="2"/>
      <c r="C13686" s="7"/>
      <c r="D13686" s="7"/>
    </row>
    <row r="13687" spans="1:4" ht="12.75" customHeight="1" x14ac:dyDescent="0.2">
      <c r="A13687" s="5"/>
      <c r="B13687" s="2"/>
      <c r="C13687" s="7"/>
      <c r="D13687" s="7"/>
    </row>
    <row r="13688" spans="1:4" ht="12.75" customHeight="1" x14ac:dyDescent="0.2">
      <c r="A13688" s="22" t="str">
        <f>HYPERLINK("javascript:void(0)","teljes gólemvért")</f>
        <v>teljes gólemvért</v>
      </c>
      <c r="B13688" s="21"/>
      <c r="C13688" s="21"/>
      <c r="D13688" s="21"/>
    </row>
    <row r="13689" spans="1:4" ht="12.75" customHeight="1" x14ac:dyDescent="0.2">
      <c r="A13689" s="20"/>
      <c r="B13689" s="2"/>
      <c r="C13689" s="7"/>
      <c r="D13689" s="7"/>
    </row>
    <row r="13690" spans="1:4" ht="12.75" customHeight="1" x14ac:dyDescent="0.2">
      <c r="A13690" s="21"/>
      <c r="B13690" s="3" t="s">
        <v>0</v>
      </c>
      <c r="C13690" s="23" t="s">
        <v>1032</v>
      </c>
      <c r="D13690" s="21"/>
    </row>
    <row r="13691" spans="1:4" ht="12.75" customHeight="1" x14ac:dyDescent="0.2">
      <c r="A13691" s="21"/>
      <c r="B13691" s="3" t="s">
        <v>2</v>
      </c>
      <c r="C13691" s="23" t="s">
        <v>2322</v>
      </c>
      <c r="D13691" s="21"/>
    </row>
    <row r="13692" spans="1:4" ht="12.75" customHeight="1" x14ac:dyDescent="0.2">
      <c r="A13692" s="21"/>
      <c r="B13692" s="3" t="s">
        <v>1840</v>
      </c>
      <c r="C13692" s="23" t="s">
        <v>2513</v>
      </c>
      <c r="D13692" s="21"/>
    </row>
    <row r="13693" spans="1:4" ht="12.75" customHeight="1" x14ac:dyDescent="0.2">
      <c r="A13693" s="21"/>
      <c r="B13693" s="3" t="s">
        <v>9</v>
      </c>
      <c r="C13693" s="23" t="s">
        <v>2287</v>
      </c>
      <c r="D13693" s="21"/>
    </row>
    <row r="13694" spans="1:4" ht="12.75" customHeight="1" x14ac:dyDescent="0.2">
      <c r="A13694" s="21"/>
      <c r="B13694" s="3" t="s">
        <v>11</v>
      </c>
      <c r="C13694" s="23" t="s">
        <v>1520</v>
      </c>
      <c r="D13694" s="21"/>
    </row>
    <row r="13695" spans="1:4" ht="12.75" customHeight="1" x14ac:dyDescent="0.2">
      <c r="A13695" s="21"/>
      <c r="B13695" s="3" t="s">
        <v>16</v>
      </c>
      <c r="C13695" s="23"/>
      <c r="D13695" s="21"/>
    </row>
    <row r="13696" spans="1:4" ht="12.75" customHeight="1" x14ac:dyDescent="0.2">
      <c r="A13696" s="21"/>
      <c r="B13696" s="3" t="s">
        <v>17</v>
      </c>
      <c r="C13696" s="23" t="s">
        <v>19</v>
      </c>
      <c r="D13696" s="21"/>
    </row>
    <row r="13697" spans="1:4" ht="12.75" customHeight="1" x14ac:dyDescent="0.2">
      <c r="A13697" s="21"/>
      <c r="B13697" s="20" t="s">
        <v>18</v>
      </c>
      <c r="C13697" s="8" t="s">
        <v>44</v>
      </c>
      <c r="D13697" s="1" t="str">
        <f>HYPERLINK("javascript:void(0)","ködpáncél")</f>
        <v>ködpáncél</v>
      </c>
    </row>
    <row r="13698" spans="1:4" ht="12.75" customHeight="1" x14ac:dyDescent="0.2">
      <c r="A13698" s="21"/>
      <c r="B13698" s="21"/>
      <c r="C13698" s="8" t="s">
        <v>44</v>
      </c>
      <c r="D13698" s="1" t="str">
        <f>HYPERLINK("javascript:void(0)","jelmellény")</f>
        <v>jelmellény</v>
      </c>
    </row>
    <row r="13699" spans="1:4" ht="12.75" customHeight="1" x14ac:dyDescent="0.2">
      <c r="A13699" s="21"/>
      <c r="B13699" s="21"/>
      <c r="C13699" s="8" t="s">
        <v>44</v>
      </c>
      <c r="D13699" s="1" t="str">
        <f>HYPERLINK("javascript:void(0)","gólempáncél")</f>
        <v>gólempáncél</v>
      </c>
    </row>
    <row r="13700" spans="1:4" ht="12.75" customHeight="1" x14ac:dyDescent="0.2">
      <c r="A13700" s="21"/>
      <c r="B13700" s="2"/>
      <c r="C13700" s="7"/>
      <c r="D13700" s="7"/>
    </row>
    <row r="13701" spans="1:4" ht="12.75" customHeight="1" x14ac:dyDescent="0.2">
      <c r="A13701" s="21"/>
      <c r="B13701" s="2"/>
      <c r="C13701" s="7"/>
      <c r="D13701" s="7"/>
    </row>
    <row r="13702" spans="1:4" ht="12.75" customHeight="1" x14ac:dyDescent="0.2">
      <c r="A13702" s="21"/>
      <c r="B13702" s="2"/>
      <c r="C13702" s="7"/>
      <c r="D13702" s="7"/>
    </row>
    <row r="13703" spans="1:4" ht="12.75" customHeight="1" x14ac:dyDescent="0.2">
      <c r="A13703" s="21"/>
      <c r="B13703" s="2"/>
      <c r="C13703" s="7"/>
      <c r="D13703" s="7"/>
    </row>
    <row r="13704" spans="1:4" ht="12.75" customHeight="1" x14ac:dyDescent="0.2">
      <c r="A13704" s="5"/>
      <c r="B13704" s="2"/>
      <c r="C13704" s="7"/>
      <c r="D13704" s="7"/>
    </row>
    <row r="13705" spans="1:4" ht="12.75" customHeight="1" x14ac:dyDescent="0.2">
      <c r="A13705" s="22" t="str">
        <f>HYPERLINK("javascript:void(0)","kányasisak")</f>
        <v>kányasisak</v>
      </c>
      <c r="B13705" s="21"/>
      <c r="C13705" s="21"/>
      <c r="D13705" s="21"/>
    </row>
    <row r="13706" spans="1:4" ht="12.75" customHeight="1" x14ac:dyDescent="0.2">
      <c r="A13706" s="20"/>
      <c r="B13706" s="2"/>
      <c r="C13706" s="7"/>
      <c r="D13706" s="7"/>
    </row>
    <row r="13707" spans="1:4" ht="12.75" customHeight="1" x14ac:dyDescent="0.2">
      <c r="A13707" s="21"/>
      <c r="B13707" s="3" t="s">
        <v>0</v>
      </c>
      <c r="C13707" s="23" t="s">
        <v>1032</v>
      </c>
      <c r="D13707" s="21"/>
    </row>
    <row r="13708" spans="1:4" ht="12.75" customHeight="1" x14ac:dyDescent="0.2">
      <c r="A13708" s="21"/>
      <c r="B13708" s="3" t="s">
        <v>2</v>
      </c>
      <c r="C13708" s="23"/>
      <c r="D13708" s="21"/>
    </row>
    <row r="13709" spans="1:4" ht="12.75" customHeight="1" x14ac:dyDescent="0.2">
      <c r="A13709" s="21"/>
      <c r="B13709" s="3" t="s">
        <v>1840</v>
      </c>
      <c r="C13709" s="23" t="s">
        <v>5288</v>
      </c>
      <c r="D13709" s="21"/>
    </row>
    <row r="13710" spans="1:4" ht="12.75" customHeight="1" x14ac:dyDescent="0.2">
      <c r="A13710" s="21"/>
      <c r="B13710" s="3" t="s">
        <v>9</v>
      </c>
      <c r="C13710" s="23" t="s">
        <v>834</v>
      </c>
      <c r="D13710" s="21"/>
    </row>
    <row r="13711" spans="1:4" ht="12.75" customHeight="1" x14ac:dyDescent="0.2">
      <c r="A13711" s="21"/>
      <c r="B13711" s="3" t="s">
        <v>11</v>
      </c>
      <c r="C13711" s="23" t="s">
        <v>1520</v>
      </c>
      <c r="D13711" s="21"/>
    </row>
    <row r="13712" spans="1:4" ht="12.75" customHeight="1" x14ac:dyDescent="0.2">
      <c r="A13712" s="21"/>
      <c r="B13712" s="3" t="s">
        <v>16</v>
      </c>
      <c r="C13712" s="23"/>
      <c r="D13712" s="21"/>
    </row>
    <row r="13713" spans="1:4" ht="12.75" customHeight="1" x14ac:dyDescent="0.2">
      <c r="A13713" s="21"/>
      <c r="B13713" s="3" t="s">
        <v>17</v>
      </c>
      <c r="C13713" s="23" t="s">
        <v>19</v>
      </c>
      <c r="D13713" s="21"/>
    </row>
    <row r="13714" spans="1:4" ht="12.75" customHeight="1" x14ac:dyDescent="0.2">
      <c r="A13714" s="21"/>
      <c r="B13714" s="20" t="s">
        <v>18</v>
      </c>
      <c r="C13714" s="8" t="s">
        <v>117</v>
      </c>
      <c r="D13714" s="1" t="str">
        <f>HYPERLINK("javascript:void(0)","kónya")</f>
        <v>kónya</v>
      </c>
    </row>
    <row r="13715" spans="1:4" ht="12.75" customHeight="1" x14ac:dyDescent="0.2">
      <c r="A13715" s="21"/>
      <c r="B13715" s="21"/>
      <c r="C13715" s="8" t="s">
        <v>296</v>
      </c>
      <c r="D13715" s="1" t="str">
        <f>HYPERLINK("javascript:void(0)","pillepikkely")</f>
        <v>pillepikkely</v>
      </c>
    </row>
    <row r="13716" spans="1:4" ht="12.75" customHeight="1" x14ac:dyDescent="0.2">
      <c r="A13716" s="21"/>
      <c r="B13716" s="21"/>
      <c r="C13716" s="8" t="s">
        <v>228</v>
      </c>
      <c r="D13716" s="1" t="str">
        <f>HYPERLINK("javascript:void(0)","rozmáragyar")</f>
        <v>rozmáragyar</v>
      </c>
    </row>
    <row r="13717" spans="1:4" ht="12.75" customHeight="1" x14ac:dyDescent="0.2">
      <c r="A13717" s="21"/>
      <c r="B13717" s="2"/>
      <c r="C13717" s="7"/>
      <c r="D13717" s="7"/>
    </row>
    <row r="13718" spans="1:4" ht="12.75" customHeight="1" x14ac:dyDescent="0.2">
      <c r="A13718" s="21"/>
      <c r="B13718" s="2"/>
      <c r="C13718" s="7"/>
      <c r="D13718" s="7"/>
    </row>
    <row r="13719" spans="1:4" ht="12.75" customHeight="1" x14ac:dyDescent="0.2">
      <c r="A13719" s="21"/>
      <c r="B13719" s="2"/>
      <c r="C13719" s="7"/>
      <c r="D13719" s="7"/>
    </row>
    <row r="13720" spans="1:4" ht="12.75" customHeight="1" x14ac:dyDescent="0.2">
      <c r="A13720" s="21"/>
      <c r="B13720" s="2"/>
      <c r="C13720" s="7"/>
      <c r="D13720" s="7"/>
    </row>
    <row r="13721" spans="1:4" ht="12.75" customHeight="1" x14ac:dyDescent="0.2">
      <c r="A13721" s="5"/>
      <c r="B13721" s="2"/>
      <c r="C13721" s="7"/>
      <c r="D13721" s="7"/>
    </row>
    <row r="13722" spans="1:4" ht="12.75" customHeight="1" x14ac:dyDescent="0.2">
      <c r="A13722" s="22" t="str">
        <f>HYPERLINK("javascript:void(0)","kriptonacél saru")</f>
        <v>kriptonacél saru</v>
      </c>
      <c r="B13722" s="21"/>
      <c r="C13722" s="21"/>
      <c r="D13722" s="21"/>
    </row>
    <row r="13723" spans="1:4" ht="12.75" customHeight="1" x14ac:dyDescent="0.2">
      <c r="A13723" s="20"/>
      <c r="B13723" s="2"/>
      <c r="C13723" s="7"/>
      <c r="D13723" s="7"/>
    </row>
    <row r="13724" spans="1:4" ht="12.75" customHeight="1" x14ac:dyDescent="0.2">
      <c r="A13724" s="21"/>
      <c r="B13724" s="3" t="s">
        <v>0</v>
      </c>
      <c r="C13724" s="23" t="s">
        <v>1032</v>
      </c>
      <c r="D13724" s="21"/>
    </row>
    <row r="13725" spans="1:4" ht="12.75" customHeight="1" x14ac:dyDescent="0.2">
      <c r="A13725" s="21"/>
      <c r="B13725" s="3" t="s">
        <v>2</v>
      </c>
      <c r="C13725" s="23"/>
      <c r="D13725" s="21"/>
    </row>
    <row r="13726" spans="1:4" ht="12.75" customHeight="1" x14ac:dyDescent="0.2">
      <c r="A13726" s="21"/>
      <c r="B13726" s="3" t="s">
        <v>1840</v>
      </c>
      <c r="C13726" s="23" t="s">
        <v>2161</v>
      </c>
      <c r="D13726" s="21"/>
    </row>
    <row r="13727" spans="1:4" ht="12.75" customHeight="1" x14ac:dyDescent="0.2">
      <c r="A13727" s="21"/>
      <c r="B13727" s="3" t="s">
        <v>9</v>
      </c>
      <c r="C13727" s="23" t="s">
        <v>1491</v>
      </c>
      <c r="D13727" s="21"/>
    </row>
    <row r="13728" spans="1:4" ht="12.75" customHeight="1" x14ac:dyDescent="0.2">
      <c r="A13728" s="21"/>
      <c r="B13728" s="3" t="s">
        <v>11</v>
      </c>
      <c r="C13728" s="23" t="s">
        <v>1029</v>
      </c>
      <c r="D13728" s="21"/>
    </row>
    <row r="13729" spans="1:4" ht="12.75" customHeight="1" x14ac:dyDescent="0.2">
      <c r="A13729" s="21"/>
      <c r="B13729" s="3" t="s">
        <v>16</v>
      </c>
      <c r="C13729" s="23"/>
      <c r="D13729" s="21"/>
    </row>
    <row r="13730" spans="1:4" ht="12.75" customHeight="1" x14ac:dyDescent="0.2">
      <c r="A13730" s="21"/>
      <c r="B13730" s="3" t="s">
        <v>17</v>
      </c>
      <c r="C13730" s="23" t="s">
        <v>19</v>
      </c>
      <c r="D13730" s="21"/>
    </row>
    <row r="13731" spans="1:4" ht="12.75" customHeight="1" x14ac:dyDescent="0.2">
      <c r="A13731" s="21"/>
      <c r="B13731" s="20" t="s">
        <v>18</v>
      </c>
      <c r="C13731" s="8" t="s">
        <v>44</v>
      </c>
      <c r="D13731" s="1" t="str">
        <f>HYPERLINK("javascript:void(0)","rögtipró")</f>
        <v>rögtipró</v>
      </c>
    </row>
    <row r="13732" spans="1:4" ht="12.75" customHeight="1" x14ac:dyDescent="0.2">
      <c r="A13732" s="21"/>
      <c r="B13732" s="21"/>
      <c r="C13732" s="8" t="s">
        <v>244</v>
      </c>
      <c r="D13732" s="1" t="str">
        <f>HYPERLINK("javascript:void(0)","valkript")</f>
        <v>valkript</v>
      </c>
    </row>
    <row r="13733" spans="1:4" ht="12.75" customHeight="1" x14ac:dyDescent="0.2">
      <c r="A13733" s="21"/>
      <c r="B13733" s="21"/>
      <c r="C13733" s="8" t="s">
        <v>244</v>
      </c>
      <c r="D13733" s="1" t="str">
        <f>HYPERLINK("javascript:void(0)","kónya")</f>
        <v>kónya</v>
      </c>
    </row>
    <row r="13734" spans="1:4" ht="12.75" customHeight="1" x14ac:dyDescent="0.2">
      <c r="A13734" s="21"/>
      <c r="B13734" s="2"/>
      <c r="C13734" s="7"/>
      <c r="D13734" s="7"/>
    </row>
    <row r="13735" spans="1:4" ht="12.75" customHeight="1" x14ac:dyDescent="0.2">
      <c r="A13735" s="21"/>
      <c r="B13735" s="2"/>
      <c r="C13735" s="7"/>
      <c r="D13735" s="7"/>
    </row>
    <row r="13736" spans="1:4" ht="12.75" customHeight="1" x14ac:dyDescent="0.2">
      <c r="A13736" s="21"/>
      <c r="B13736" s="2"/>
      <c r="C13736" s="7"/>
      <c r="D13736" s="7"/>
    </row>
    <row r="13737" spans="1:4" ht="12.75" customHeight="1" x14ac:dyDescent="0.2">
      <c r="A13737" s="21"/>
      <c r="B13737" s="2"/>
      <c r="C13737" s="7"/>
      <c r="D13737" s="7"/>
    </row>
    <row r="13738" spans="1:4" ht="12.75" customHeight="1" x14ac:dyDescent="0.2">
      <c r="A13738" s="5"/>
      <c r="B13738" s="2"/>
      <c r="C13738" s="7"/>
      <c r="D13738" s="7"/>
    </row>
    <row r="13739" spans="1:4" ht="12.75" customHeight="1" x14ac:dyDescent="0.2">
      <c r="A13739" s="22" t="str">
        <f>HYPERLINK("javascript:void(0)","gólemtestpajzs")</f>
        <v>gólemtestpajzs</v>
      </c>
      <c r="B13739" s="21"/>
      <c r="C13739" s="21"/>
      <c r="D13739" s="21"/>
    </row>
    <row r="13740" spans="1:4" ht="12.75" customHeight="1" x14ac:dyDescent="0.2">
      <c r="A13740" s="20"/>
      <c r="B13740" s="2"/>
      <c r="C13740" s="7"/>
      <c r="D13740" s="7"/>
    </row>
    <row r="13741" spans="1:4" ht="12.75" customHeight="1" x14ac:dyDescent="0.2">
      <c r="A13741" s="21"/>
      <c r="B13741" s="3" t="s">
        <v>0</v>
      </c>
      <c r="C13741" s="23" t="s">
        <v>1032</v>
      </c>
      <c r="D13741" s="21"/>
    </row>
    <row r="13742" spans="1:4" ht="12.75" customHeight="1" x14ac:dyDescent="0.2">
      <c r="A13742" s="21"/>
      <c r="B13742" s="3" t="s">
        <v>2</v>
      </c>
      <c r="C13742" s="23" t="s">
        <v>1839</v>
      </c>
      <c r="D13742" s="21"/>
    </row>
    <row r="13743" spans="1:4" ht="12.75" customHeight="1" x14ac:dyDescent="0.2">
      <c r="A13743" s="21"/>
      <c r="B13743" s="3" t="s">
        <v>1840</v>
      </c>
      <c r="C13743" s="23" t="s">
        <v>2193</v>
      </c>
      <c r="D13743" s="21"/>
    </row>
    <row r="13744" spans="1:4" ht="12.75" customHeight="1" x14ac:dyDescent="0.2">
      <c r="A13744" s="21"/>
      <c r="B13744" s="3" t="s">
        <v>9</v>
      </c>
      <c r="C13744" s="23" t="s">
        <v>549</v>
      </c>
      <c r="D13744" s="21"/>
    </row>
    <row r="13745" spans="1:4" ht="12.75" customHeight="1" x14ac:dyDescent="0.2">
      <c r="A13745" s="21"/>
      <c r="B13745" s="3" t="s">
        <v>11</v>
      </c>
      <c r="C13745" s="23" t="s">
        <v>1565</v>
      </c>
      <c r="D13745" s="21"/>
    </row>
    <row r="13746" spans="1:4" ht="12.75" customHeight="1" x14ac:dyDescent="0.2">
      <c r="A13746" s="21"/>
      <c r="B13746" s="3" t="s">
        <v>16</v>
      </c>
      <c r="C13746" s="23"/>
      <c r="D13746" s="21"/>
    </row>
    <row r="13747" spans="1:4" ht="12.75" customHeight="1" x14ac:dyDescent="0.2">
      <c r="A13747" s="21"/>
      <c r="B13747" s="3" t="s">
        <v>17</v>
      </c>
      <c r="C13747" s="23" t="s">
        <v>19</v>
      </c>
      <c r="D13747" s="21"/>
    </row>
    <row r="13748" spans="1:4" ht="12.75" customHeight="1" x14ac:dyDescent="0.2">
      <c r="A13748" s="21"/>
      <c r="B13748" s="20" t="s">
        <v>18</v>
      </c>
      <c r="C13748" s="8" t="s">
        <v>44</v>
      </c>
      <c r="D13748" s="1" t="str">
        <f>HYPERLINK("javascript:void(0)","tüzér testpajzs")</f>
        <v>tüzér testpajzs</v>
      </c>
    </row>
    <row r="13749" spans="1:4" ht="12.75" customHeight="1" x14ac:dyDescent="0.2">
      <c r="A13749" s="21"/>
      <c r="B13749" s="21"/>
      <c r="C13749" s="8" t="s">
        <v>244</v>
      </c>
      <c r="D13749" s="1" t="str">
        <f>HYPERLINK("javascript:void(0)","kónya")</f>
        <v>kónya</v>
      </c>
    </row>
    <row r="13750" spans="1:4" ht="12.75" customHeight="1" x14ac:dyDescent="0.2">
      <c r="A13750" s="21"/>
      <c r="B13750" s="21"/>
      <c r="C13750" s="8" t="s">
        <v>296</v>
      </c>
      <c r="D13750" s="1" t="str">
        <f>HYPERLINK("javascript:void(0)","gyutacs")</f>
        <v>gyutacs</v>
      </c>
    </row>
    <row r="13751" spans="1:4" ht="12.75" customHeight="1" x14ac:dyDescent="0.2">
      <c r="A13751" s="21"/>
      <c r="B13751" s="2"/>
      <c r="C13751" s="7"/>
      <c r="D13751" s="7"/>
    </row>
    <row r="13752" spans="1:4" ht="12.75" customHeight="1" x14ac:dyDescent="0.2">
      <c r="A13752" s="21"/>
      <c r="B13752" s="2"/>
      <c r="C13752" s="7"/>
      <c r="D13752" s="7"/>
    </row>
    <row r="13753" spans="1:4" ht="12.75" customHeight="1" x14ac:dyDescent="0.2">
      <c r="A13753" s="21"/>
      <c r="B13753" s="2"/>
      <c r="C13753" s="7"/>
      <c r="D13753" s="7"/>
    </row>
    <row r="13754" spans="1:4" ht="12.75" customHeight="1" x14ac:dyDescent="0.2">
      <c r="A13754" s="21"/>
      <c r="B13754" s="2"/>
      <c r="C13754" s="7"/>
      <c r="D13754" s="7"/>
    </row>
    <row r="13755" spans="1:4" ht="12.75" customHeight="1" x14ac:dyDescent="0.2">
      <c r="A13755" s="5"/>
      <c r="B13755" s="2"/>
      <c r="C13755" s="7"/>
      <c r="D13755" s="7"/>
    </row>
    <row r="13756" spans="1:4" ht="12.75" customHeight="1" x14ac:dyDescent="0.2">
      <c r="A13756" s="22" t="str">
        <f>HYPERLINK("javascript:void(0)","kriptonacél szellempajzs")</f>
        <v>kriptonacél szellempajzs</v>
      </c>
      <c r="B13756" s="21"/>
      <c r="C13756" s="21"/>
      <c r="D13756" s="21"/>
    </row>
    <row r="13757" spans="1:4" ht="12.75" customHeight="1" x14ac:dyDescent="0.2">
      <c r="A13757" s="20"/>
      <c r="B13757" s="2"/>
      <c r="C13757" s="7"/>
      <c r="D13757" s="7"/>
    </row>
    <row r="13758" spans="1:4" ht="12.75" customHeight="1" x14ac:dyDescent="0.2">
      <c r="A13758" s="21"/>
      <c r="B13758" s="3" t="s">
        <v>0</v>
      </c>
      <c r="C13758" s="23" t="s">
        <v>1032</v>
      </c>
      <c r="D13758" s="21"/>
    </row>
    <row r="13759" spans="1:4" ht="12.75" customHeight="1" x14ac:dyDescent="0.2">
      <c r="A13759" s="21"/>
      <c r="B13759" s="3" t="s">
        <v>2</v>
      </c>
      <c r="C13759" s="23" t="s">
        <v>1839</v>
      </c>
      <c r="D13759" s="21"/>
    </row>
    <row r="13760" spans="1:4" ht="12.75" customHeight="1" x14ac:dyDescent="0.2">
      <c r="A13760" s="21"/>
      <c r="B13760" s="3" t="s">
        <v>1840</v>
      </c>
      <c r="C13760" s="23" t="s">
        <v>2193</v>
      </c>
      <c r="D13760" s="21"/>
    </row>
    <row r="13761" spans="1:4" ht="12.75" customHeight="1" x14ac:dyDescent="0.2">
      <c r="A13761" s="21"/>
      <c r="B13761" s="3" t="s">
        <v>9</v>
      </c>
      <c r="C13761" s="23" t="s">
        <v>2079</v>
      </c>
      <c r="D13761" s="21"/>
    </row>
    <row r="13762" spans="1:4" ht="12.75" customHeight="1" x14ac:dyDescent="0.2">
      <c r="A13762" s="21"/>
      <c r="B13762" s="3" t="s">
        <v>11</v>
      </c>
      <c r="C13762" s="23" t="s">
        <v>1577</v>
      </c>
      <c r="D13762" s="21"/>
    </row>
    <row r="13763" spans="1:4" ht="12.75" customHeight="1" x14ac:dyDescent="0.2">
      <c r="A13763" s="21"/>
      <c r="B13763" s="3" t="s">
        <v>16</v>
      </c>
      <c r="C13763" s="23"/>
      <c r="D13763" s="21"/>
    </row>
    <row r="13764" spans="1:4" ht="12.75" customHeight="1" x14ac:dyDescent="0.2">
      <c r="A13764" s="21"/>
      <c r="B13764" s="3" t="s">
        <v>17</v>
      </c>
      <c r="C13764" s="23" t="s">
        <v>19</v>
      </c>
      <c r="D13764" s="21"/>
    </row>
    <row r="13765" spans="1:4" ht="12.75" customHeight="1" x14ac:dyDescent="0.2">
      <c r="A13765" s="21"/>
      <c r="B13765" s="20" t="s">
        <v>18</v>
      </c>
      <c r="C13765" s="8" t="s">
        <v>44</v>
      </c>
      <c r="D13765" s="1" t="str">
        <f>HYPERLINK("javascript:void(0)","gólemtestpajzs")</f>
        <v>gólemtestpajzs</v>
      </c>
    </row>
    <row r="13766" spans="1:4" ht="12.75" customHeight="1" x14ac:dyDescent="0.2">
      <c r="A13766" s="21"/>
      <c r="B13766" s="21"/>
      <c r="C13766" s="8" t="s">
        <v>290</v>
      </c>
      <c r="D13766" s="1" t="str">
        <f>HYPERLINK("javascript:void(0)","valkript")</f>
        <v>valkript</v>
      </c>
    </row>
    <row r="13767" spans="1:4" ht="12.75" customHeight="1" x14ac:dyDescent="0.2">
      <c r="A13767" s="21"/>
      <c r="B13767" s="21"/>
      <c r="C13767" s="8" t="s">
        <v>269</v>
      </c>
      <c r="D13767" s="1" t="str">
        <f>HYPERLINK("javascript:void(0)","békítő")</f>
        <v>békítő</v>
      </c>
    </row>
    <row r="13768" spans="1:4" ht="12.75" customHeight="1" x14ac:dyDescent="0.2">
      <c r="A13768" s="21"/>
      <c r="B13768" s="2"/>
      <c r="C13768" s="7"/>
      <c r="D13768" s="7"/>
    </row>
    <row r="13769" spans="1:4" ht="12.75" customHeight="1" x14ac:dyDescent="0.2">
      <c r="A13769" s="21"/>
      <c r="B13769" s="2"/>
      <c r="C13769" s="7"/>
      <c r="D13769" s="7"/>
    </row>
    <row r="13770" spans="1:4" ht="12.75" customHeight="1" x14ac:dyDescent="0.2">
      <c r="A13770" s="21"/>
      <c r="B13770" s="2"/>
      <c r="C13770" s="7"/>
      <c r="D13770" s="7"/>
    </row>
    <row r="13771" spans="1:4" ht="12.75" customHeight="1" x14ac:dyDescent="0.2">
      <c r="A13771" s="21"/>
      <c r="B13771" s="2"/>
      <c r="C13771" s="7"/>
      <c r="D13771" s="7"/>
    </row>
    <row r="13772" spans="1:4" ht="12.75" customHeight="1" x14ac:dyDescent="0.2">
      <c r="A13772" s="5"/>
      <c r="B13772" s="2"/>
      <c r="C13772" s="7"/>
      <c r="D13772" s="7"/>
    </row>
    <row r="13773" spans="1:4" ht="12.75" customHeight="1" x14ac:dyDescent="0.2">
      <c r="A13773" s="22" t="str">
        <f>HYPERLINK("javascript:void(0)","jelmellény")</f>
        <v>jelmellény</v>
      </c>
      <c r="B13773" s="21"/>
      <c r="C13773" s="21"/>
      <c r="D13773" s="21"/>
    </row>
    <row r="13774" spans="1:4" ht="12.75" customHeight="1" x14ac:dyDescent="0.2">
      <c r="A13774" s="20"/>
      <c r="B13774" s="2"/>
      <c r="C13774" s="7"/>
      <c r="D13774" s="7"/>
    </row>
    <row r="13775" spans="1:4" ht="12.75" customHeight="1" x14ac:dyDescent="0.2">
      <c r="A13775" s="21"/>
      <c r="B13775" s="3" t="s">
        <v>0</v>
      </c>
      <c r="C13775" s="23" t="s">
        <v>1032</v>
      </c>
      <c r="D13775" s="21"/>
    </row>
    <row r="13776" spans="1:4" ht="12.75" customHeight="1" x14ac:dyDescent="0.2">
      <c r="A13776" s="21"/>
      <c r="B13776" s="3" t="s">
        <v>2</v>
      </c>
      <c r="C13776" s="23" t="s">
        <v>2322</v>
      </c>
      <c r="D13776" s="21"/>
    </row>
    <row r="13777" spans="1:4" ht="12.75" customHeight="1" x14ac:dyDescent="0.2">
      <c r="A13777" s="21"/>
      <c r="B13777" s="3" t="s">
        <v>1840</v>
      </c>
      <c r="C13777" s="23" t="s">
        <v>213</v>
      </c>
      <c r="D13777" s="21"/>
    </row>
    <row r="13778" spans="1:4" ht="12.75" customHeight="1" x14ac:dyDescent="0.2">
      <c r="A13778" s="21"/>
      <c r="B13778" s="3" t="s">
        <v>9</v>
      </c>
      <c r="C13778" s="23" t="s">
        <v>172</v>
      </c>
      <c r="D13778" s="21"/>
    </row>
    <row r="13779" spans="1:4" ht="12.75" customHeight="1" x14ac:dyDescent="0.2">
      <c r="A13779" s="21"/>
      <c r="B13779" s="3" t="s">
        <v>11</v>
      </c>
      <c r="C13779" s="23" t="s">
        <v>2506</v>
      </c>
      <c r="D13779" s="21"/>
    </row>
    <row r="13780" spans="1:4" ht="12.75" customHeight="1" x14ac:dyDescent="0.2">
      <c r="A13780" s="21"/>
      <c r="B13780" s="3" t="s">
        <v>16</v>
      </c>
      <c r="C13780" s="23"/>
      <c r="D13780" s="21"/>
    </row>
    <row r="13781" spans="1:4" ht="12.75" customHeight="1" x14ac:dyDescent="0.2">
      <c r="A13781" s="21"/>
      <c r="B13781" s="3" t="s">
        <v>17</v>
      </c>
      <c r="C13781" s="23" t="s">
        <v>19</v>
      </c>
      <c r="D13781" s="21"/>
    </row>
    <row r="13782" spans="1:4" ht="12.75" customHeight="1" x14ac:dyDescent="0.2">
      <c r="A13782" s="21"/>
      <c r="B13782" s="20" t="s">
        <v>18</v>
      </c>
      <c r="C13782" s="8" t="s">
        <v>331</v>
      </c>
      <c r="D13782" s="1" t="str">
        <f>HYPERLINK("javascript:void(0)","békítő")</f>
        <v>békítő</v>
      </c>
    </row>
    <row r="13783" spans="1:4" ht="12.75" customHeight="1" x14ac:dyDescent="0.2">
      <c r="A13783" s="21"/>
      <c r="B13783" s="21"/>
      <c r="C13783" s="8" t="s">
        <v>403</v>
      </c>
      <c r="D13783" s="1" t="str">
        <f>HYPERLINK("javascript:void(0)","pálha")</f>
        <v>pálha</v>
      </c>
    </row>
    <row r="13784" spans="1:4" ht="12.75" customHeight="1" x14ac:dyDescent="0.2">
      <c r="A13784" s="21"/>
      <c r="B13784" s="21"/>
      <c r="C13784" s="8" t="s">
        <v>244</v>
      </c>
      <c r="D13784" s="1" t="str">
        <f>HYPERLINK("javascript:void(0)","orrkarika")</f>
        <v>orrkarika</v>
      </c>
    </row>
    <row r="13785" spans="1:4" ht="12.75" customHeight="1" x14ac:dyDescent="0.2">
      <c r="A13785" s="21"/>
      <c r="B13785" s="2"/>
      <c r="C13785" s="7"/>
      <c r="D13785" s="7"/>
    </row>
    <row r="13786" spans="1:4" ht="12.75" customHeight="1" x14ac:dyDescent="0.2">
      <c r="A13786" s="21"/>
      <c r="B13786" s="2"/>
      <c r="C13786" s="7"/>
      <c r="D13786" s="7"/>
    </row>
    <row r="13787" spans="1:4" ht="12.75" customHeight="1" x14ac:dyDescent="0.2">
      <c r="A13787" s="21"/>
      <c r="B13787" s="2"/>
      <c r="C13787" s="7"/>
      <c r="D13787" s="7"/>
    </row>
    <row r="13788" spans="1:4" ht="12.75" customHeight="1" x14ac:dyDescent="0.2">
      <c r="A13788" s="21"/>
      <c r="B13788" s="2"/>
      <c r="C13788" s="7"/>
      <c r="D13788" s="7"/>
    </row>
    <row r="13789" spans="1:4" ht="12.75" customHeight="1" x14ac:dyDescent="0.2">
      <c r="A13789" s="5"/>
      <c r="B13789" s="2"/>
      <c r="C13789" s="7"/>
      <c r="D13789" s="7"/>
    </row>
    <row r="13790" spans="1:4" ht="12.75" customHeight="1" x14ac:dyDescent="0.2">
      <c r="A13790" s="22" t="str">
        <f>HYPERLINK("javascript:void(0)","cordionit manasisak")</f>
        <v>cordionit manasisak</v>
      </c>
      <c r="B13790" s="21"/>
      <c r="C13790" s="21"/>
      <c r="D13790" s="21"/>
    </row>
    <row r="13791" spans="1:4" ht="12.75" customHeight="1" x14ac:dyDescent="0.2">
      <c r="A13791" s="20"/>
      <c r="B13791" s="2"/>
      <c r="C13791" s="7"/>
      <c r="D13791" s="7"/>
    </row>
    <row r="13792" spans="1:4" ht="12.75" customHeight="1" x14ac:dyDescent="0.2">
      <c r="A13792" s="21"/>
      <c r="B13792" s="3" t="s">
        <v>0</v>
      </c>
      <c r="C13792" s="23" t="s">
        <v>1032</v>
      </c>
      <c r="D13792" s="21"/>
    </row>
    <row r="13793" spans="1:4" ht="12.75" customHeight="1" x14ac:dyDescent="0.2">
      <c r="A13793" s="21"/>
      <c r="B13793" s="3" t="s">
        <v>2</v>
      </c>
      <c r="C13793" s="23"/>
      <c r="D13793" s="21"/>
    </row>
    <row r="13794" spans="1:4" ht="12.75" customHeight="1" x14ac:dyDescent="0.2">
      <c r="A13794" s="21"/>
      <c r="B13794" s="3" t="s">
        <v>1840</v>
      </c>
      <c r="C13794" s="23" t="s">
        <v>1768</v>
      </c>
      <c r="D13794" s="21"/>
    </row>
    <row r="13795" spans="1:4" ht="12.75" customHeight="1" x14ac:dyDescent="0.2">
      <c r="A13795" s="21"/>
      <c r="B13795" s="3" t="s">
        <v>9</v>
      </c>
      <c r="C13795" s="23" t="s">
        <v>2273</v>
      </c>
      <c r="D13795" s="21"/>
    </row>
    <row r="13796" spans="1:4" ht="12.75" customHeight="1" x14ac:dyDescent="0.2">
      <c r="A13796" s="21"/>
      <c r="B13796" s="3" t="s">
        <v>11</v>
      </c>
      <c r="C13796" s="23" t="s">
        <v>5146</v>
      </c>
      <c r="D13796" s="21"/>
    </row>
    <row r="13797" spans="1:4" ht="12.75" customHeight="1" x14ac:dyDescent="0.2">
      <c r="A13797" s="21"/>
      <c r="B13797" s="3" t="s">
        <v>16</v>
      </c>
      <c r="C13797" s="23"/>
      <c r="D13797" s="21"/>
    </row>
    <row r="13798" spans="1:4" ht="12.75" customHeight="1" x14ac:dyDescent="0.2">
      <c r="A13798" s="21"/>
      <c r="B13798" s="3" t="s">
        <v>17</v>
      </c>
      <c r="C13798" s="23" t="s">
        <v>19</v>
      </c>
      <c r="D13798" s="21"/>
    </row>
    <row r="13799" spans="1:4" ht="12.75" customHeight="1" x14ac:dyDescent="0.2">
      <c r="A13799" s="21"/>
      <c r="B13799" s="20" t="s">
        <v>18</v>
      </c>
      <c r="C13799" s="8" t="s">
        <v>44</v>
      </c>
      <c r="D13799" s="1" t="str">
        <f>HYPERLINK("javascript:void(0)","mengorni manasisak")</f>
        <v>mengorni manasisak</v>
      </c>
    </row>
    <row r="13800" spans="1:4" ht="12.75" customHeight="1" x14ac:dyDescent="0.2">
      <c r="A13800" s="21"/>
      <c r="B13800" s="21"/>
      <c r="C13800" s="8" t="s">
        <v>269</v>
      </c>
      <c r="D13800" s="1" t="str">
        <f>HYPERLINK("javascript:void(0)","kónya")</f>
        <v>kónya</v>
      </c>
    </row>
    <row r="13801" spans="1:4" ht="12.75" customHeight="1" x14ac:dyDescent="0.2">
      <c r="A13801" s="21"/>
      <c r="B13801" s="21"/>
      <c r="C13801" s="8" t="s">
        <v>323</v>
      </c>
      <c r="D13801" s="1" t="str">
        <f>HYPERLINK("javascript:void(0)","cordionium")</f>
        <v>cordionium</v>
      </c>
    </row>
    <row r="13802" spans="1:4" ht="12.75" customHeight="1" x14ac:dyDescent="0.2">
      <c r="A13802" s="21"/>
      <c r="B13802" s="2"/>
      <c r="C13802" s="7"/>
      <c r="D13802" s="7"/>
    </row>
    <row r="13803" spans="1:4" ht="12.75" customHeight="1" x14ac:dyDescent="0.2">
      <c r="A13803" s="21"/>
      <c r="B13803" s="2"/>
      <c r="C13803" s="7"/>
      <c r="D13803" s="7"/>
    </row>
    <row r="13804" spans="1:4" ht="12.75" customHeight="1" x14ac:dyDescent="0.2">
      <c r="A13804" s="21"/>
      <c r="B13804" s="2"/>
      <c r="C13804" s="7"/>
      <c r="D13804" s="7"/>
    </row>
    <row r="13805" spans="1:4" ht="12.75" customHeight="1" x14ac:dyDescent="0.2">
      <c r="A13805" s="21"/>
      <c r="B13805" s="2"/>
      <c r="C13805" s="7"/>
      <c r="D13805" s="7"/>
    </row>
    <row r="13806" spans="1:4" ht="12.75" customHeight="1" x14ac:dyDescent="0.2">
      <c r="A13806" s="5"/>
      <c r="B13806" s="2"/>
      <c r="C13806" s="7"/>
      <c r="D13806" s="7"/>
    </row>
    <row r="13807" spans="1:4" ht="12.75" customHeight="1" x14ac:dyDescent="0.2">
      <c r="A13807" s="22" t="str">
        <f>HYPERLINK("javascript:void(0)","cordionit manafejpánt")</f>
        <v>cordionit manafejpánt</v>
      </c>
      <c r="B13807" s="21"/>
      <c r="C13807" s="21"/>
      <c r="D13807" s="21"/>
    </row>
    <row r="13808" spans="1:4" ht="12.75" customHeight="1" x14ac:dyDescent="0.2">
      <c r="A13808" s="20"/>
      <c r="B13808" s="2"/>
      <c r="C13808" s="7"/>
      <c r="D13808" s="7"/>
    </row>
    <row r="13809" spans="1:4" ht="12.75" customHeight="1" x14ac:dyDescent="0.2">
      <c r="A13809" s="21"/>
      <c r="B13809" s="3" t="s">
        <v>0</v>
      </c>
      <c r="C13809" s="23" t="s">
        <v>1032</v>
      </c>
      <c r="D13809" s="21"/>
    </row>
    <row r="13810" spans="1:4" ht="12.75" customHeight="1" x14ac:dyDescent="0.2">
      <c r="A13810" s="21"/>
      <c r="B13810" s="3" t="s">
        <v>2</v>
      </c>
      <c r="C13810" s="23"/>
      <c r="D13810" s="21"/>
    </row>
    <row r="13811" spans="1:4" ht="12.75" customHeight="1" x14ac:dyDescent="0.2">
      <c r="A13811" s="21"/>
      <c r="B13811" s="3" t="s">
        <v>1840</v>
      </c>
      <c r="C13811" s="23" t="s">
        <v>73</v>
      </c>
      <c r="D13811" s="21"/>
    </row>
    <row r="13812" spans="1:4" ht="12.75" customHeight="1" x14ac:dyDescent="0.2">
      <c r="A13812" s="21"/>
      <c r="B13812" s="3" t="s">
        <v>9</v>
      </c>
      <c r="C13812" s="23" t="s">
        <v>1112</v>
      </c>
      <c r="D13812" s="21"/>
    </row>
    <row r="13813" spans="1:4" ht="12.75" customHeight="1" x14ac:dyDescent="0.2">
      <c r="A13813" s="21"/>
      <c r="B13813" s="3" t="s">
        <v>11</v>
      </c>
      <c r="C13813" s="23" t="s">
        <v>5146</v>
      </c>
      <c r="D13813" s="21"/>
    </row>
    <row r="13814" spans="1:4" ht="12.75" customHeight="1" x14ac:dyDescent="0.2">
      <c r="A13814" s="21"/>
      <c r="B13814" s="3" t="s">
        <v>16</v>
      </c>
      <c r="C13814" s="23"/>
      <c r="D13814" s="21"/>
    </row>
    <row r="13815" spans="1:4" ht="12.75" customHeight="1" x14ac:dyDescent="0.2">
      <c r="A13815" s="21"/>
      <c r="B13815" s="3" t="s">
        <v>17</v>
      </c>
      <c r="C13815" s="23" t="s">
        <v>19</v>
      </c>
      <c r="D13815" s="21"/>
    </row>
    <row r="13816" spans="1:4" ht="25.5" customHeight="1" x14ac:dyDescent="0.2">
      <c r="A13816" s="21"/>
      <c r="B13816" s="20" t="s">
        <v>18</v>
      </c>
      <c r="C13816" s="8" t="s">
        <v>44</v>
      </c>
      <c r="D13816" s="1" t="str">
        <f>HYPERLINK("javascript:void(0)","mengorni manafejpánt")</f>
        <v>mengorni manafejpánt</v>
      </c>
    </row>
    <row r="13817" spans="1:4" ht="12.75" customHeight="1" x14ac:dyDescent="0.2">
      <c r="A13817" s="21"/>
      <c r="B13817" s="21"/>
      <c r="C13817" s="8" t="s">
        <v>139</v>
      </c>
      <c r="D13817" s="1" t="str">
        <f>HYPERLINK("javascript:void(0)","békítő")</f>
        <v>békítő</v>
      </c>
    </row>
    <row r="13818" spans="1:4" ht="12.75" customHeight="1" x14ac:dyDescent="0.2">
      <c r="A13818" s="21"/>
      <c r="B13818" s="21"/>
      <c r="C13818" s="8" t="s">
        <v>323</v>
      </c>
      <c r="D13818" s="1" t="str">
        <f>HYPERLINK("javascript:void(0)","cordionium")</f>
        <v>cordionium</v>
      </c>
    </row>
    <row r="13819" spans="1:4" ht="12.75" customHeight="1" x14ac:dyDescent="0.2">
      <c r="A13819" s="21"/>
      <c r="B13819" s="2"/>
      <c r="C13819" s="7"/>
      <c r="D13819" s="7"/>
    </row>
    <row r="13820" spans="1:4" ht="12.75" customHeight="1" x14ac:dyDescent="0.2">
      <c r="A13820" s="21"/>
      <c r="B13820" s="2"/>
      <c r="C13820" s="7"/>
      <c r="D13820" s="7"/>
    </row>
    <row r="13821" spans="1:4" ht="12.75" customHeight="1" x14ac:dyDescent="0.2">
      <c r="A13821" s="21"/>
      <c r="B13821" s="2"/>
      <c r="C13821" s="7"/>
      <c r="D13821" s="7"/>
    </row>
    <row r="13822" spans="1:4" ht="12.75" customHeight="1" x14ac:dyDescent="0.2">
      <c r="A13822" s="21"/>
      <c r="B13822" s="2"/>
      <c r="C13822" s="7"/>
      <c r="D13822" s="7"/>
    </row>
    <row r="13823" spans="1:4" ht="12.75" customHeight="1" x14ac:dyDescent="0.2">
      <c r="A13823" s="5"/>
      <c r="B13823" s="2"/>
      <c r="C13823" s="7"/>
      <c r="D13823" s="7"/>
    </row>
    <row r="13824" spans="1:4" ht="12.75" customHeight="1" x14ac:dyDescent="0.2">
      <c r="A13824" s="22" t="str">
        <f>HYPERLINK("javascript:void(0)","dobpáncél")</f>
        <v>dobpáncél</v>
      </c>
      <c r="B13824" s="21"/>
      <c r="C13824" s="21"/>
      <c r="D13824" s="21"/>
    </row>
    <row r="13825" spans="1:4" ht="12.75" customHeight="1" x14ac:dyDescent="0.2">
      <c r="A13825" s="20"/>
      <c r="B13825" s="2"/>
      <c r="C13825" s="7"/>
      <c r="D13825" s="7"/>
    </row>
    <row r="13826" spans="1:4" ht="12.75" customHeight="1" x14ac:dyDescent="0.2">
      <c r="A13826" s="21"/>
      <c r="B13826" s="3" t="s">
        <v>0</v>
      </c>
      <c r="C13826" s="23" t="s">
        <v>99</v>
      </c>
      <c r="D13826" s="21"/>
    </row>
    <row r="13827" spans="1:4" ht="12.75" customHeight="1" x14ac:dyDescent="0.2">
      <c r="A13827" s="21"/>
      <c r="B13827" s="3" t="s">
        <v>2</v>
      </c>
      <c r="C13827" s="23" t="s">
        <v>2322</v>
      </c>
      <c r="D13827" s="21"/>
    </row>
    <row r="13828" spans="1:4" ht="12.75" customHeight="1" x14ac:dyDescent="0.2">
      <c r="A13828" s="21"/>
      <c r="B13828" s="3" t="s">
        <v>1840</v>
      </c>
      <c r="C13828" s="23" t="s">
        <v>2514</v>
      </c>
      <c r="D13828" s="21"/>
    </row>
    <row r="13829" spans="1:4" ht="12.75" customHeight="1" x14ac:dyDescent="0.2">
      <c r="A13829" s="21"/>
      <c r="B13829" s="3" t="s">
        <v>9</v>
      </c>
      <c r="C13829" s="23" t="s">
        <v>113</v>
      </c>
      <c r="D13829" s="21"/>
    </row>
    <row r="13830" spans="1:4" ht="12.75" customHeight="1" x14ac:dyDescent="0.2">
      <c r="A13830" s="21"/>
      <c r="B13830" s="3" t="s">
        <v>11</v>
      </c>
      <c r="C13830" s="23" t="s">
        <v>2160</v>
      </c>
      <c r="D13830" s="21"/>
    </row>
    <row r="13831" spans="1:4" ht="12.75" customHeight="1" x14ac:dyDescent="0.2">
      <c r="A13831" s="21"/>
      <c r="B13831" s="3" t="s">
        <v>16</v>
      </c>
      <c r="C13831" s="23"/>
      <c r="D13831" s="21"/>
    </row>
    <row r="13832" spans="1:4" ht="12.75" customHeight="1" x14ac:dyDescent="0.2">
      <c r="A13832" s="21"/>
      <c r="B13832" s="3" t="s">
        <v>17</v>
      </c>
      <c r="C13832" s="23" t="s">
        <v>19</v>
      </c>
      <c r="D13832" s="21"/>
    </row>
    <row r="13833" spans="1:4" ht="12.75" customHeight="1" x14ac:dyDescent="0.2">
      <c r="A13833" s="21"/>
      <c r="B13833" s="20" t="s">
        <v>18</v>
      </c>
      <c r="C13833" s="8" t="s">
        <v>44</v>
      </c>
      <c r="D13833" s="1" t="str">
        <f>HYPERLINK("javascript:void(0)","teljes gólemvért")</f>
        <v>teljes gólemvért</v>
      </c>
    </row>
    <row r="13834" spans="1:4" ht="12.75" customHeight="1" x14ac:dyDescent="0.2">
      <c r="A13834" s="21"/>
      <c r="B13834" s="21"/>
      <c r="C13834" s="8" t="s">
        <v>98</v>
      </c>
      <c r="D13834" s="1" t="str">
        <f>HYPERLINK("javascript:void(0)","kártyalap")</f>
        <v>kártyalap</v>
      </c>
    </row>
    <row r="13835" spans="1:4" ht="12.75" customHeight="1" x14ac:dyDescent="0.2">
      <c r="A13835" s="21"/>
      <c r="B13835" s="21"/>
      <c r="C13835" s="8" t="s">
        <v>265</v>
      </c>
      <c r="D13835" s="1" t="str">
        <f>HYPERLINK("javascript:void(0)","dobverő")</f>
        <v>dobverő</v>
      </c>
    </row>
    <row r="13836" spans="1:4" ht="12.75" customHeight="1" x14ac:dyDescent="0.2">
      <c r="A13836" s="21"/>
      <c r="B13836" s="2"/>
      <c r="C13836" s="7"/>
      <c r="D13836" s="7"/>
    </row>
    <row r="13837" spans="1:4" ht="12.75" customHeight="1" x14ac:dyDescent="0.2">
      <c r="A13837" s="21"/>
      <c r="B13837" s="2"/>
      <c r="C13837" s="7"/>
      <c r="D13837" s="7"/>
    </row>
    <row r="13838" spans="1:4" ht="12.75" customHeight="1" x14ac:dyDescent="0.2">
      <c r="A13838" s="21"/>
      <c r="B13838" s="2"/>
      <c r="C13838" s="7"/>
      <c r="D13838" s="7"/>
    </row>
    <row r="13839" spans="1:4" ht="12.75" customHeight="1" x14ac:dyDescent="0.2">
      <c r="A13839" s="21"/>
      <c r="B13839" s="2"/>
      <c r="C13839" s="7"/>
      <c r="D13839" s="7"/>
    </row>
    <row r="13840" spans="1:4" ht="12.75" customHeight="1" x14ac:dyDescent="0.2">
      <c r="A13840" s="5"/>
      <c r="B13840" s="2"/>
      <c r="C13840" s="7"/>
      <c r="D13840" s="7"/>
    </row>
    <row r="13841" spans="1:4" ht="12.75" customHeight="1" x14ac:dyDescent="0.2">
      <c r="A13841" s="22" t="str">
        <f>HYPERLINK("javascript:void(0)","szárnyas bascinet")</f>
        <v>szárnyas bascinet</v>
      </c>
      <c r="B13841" s="21"/>
      <c r="C13841" s="21"/>
      <c r="D13841" s="21"/>
    </row>
    <row r="13842" spans="1:4" ht="12.75" customHeight="1" x14ac:dyDescent="0.2">
      <c r="A13842" s="20"/>
      <c r="B13842" s="2"/>
      <c r="C13842" s="7"/>
      <c r="D13842" s="7"/>
    </row>
    <row r="13843" spans="1:4" ht="12.75" customHeight="1" x14ac:dyDescent="0.2">
      <c r="A13843" s="21"/>
      <c r="B13843" s="3" t="s">
        <v>0</v>
      </c>
      <c r="C13843" s="23" t="s">
        <v>99</v>
      </c>
      <c r="D13843" s="21"/>
    </row>
    <row r="13844" spans="1:4" ht="12.75" customHeight="1" x14ac:dyDescent="0.2">
      <c r="A13844" s="21"/>
      <c r="B13844" s="3" t="s">
        <v>2</v>
      </c>
      <c r="C13844" s="23"/>
      <c r="D13844" s="21"/>
    </row>
    <row r="13845" spans="1:4" ht="12.75" customHeight="1" x14ac:dyDescent="0.2">
      <c r="A13845" s="21"/>
      <c r="B13845" s="3" t="s">
        <v>1840</v>
      </c>
      <c r="C13845" s="23" t="s">
        <v>1814</v>
      </c>
      <c r="D13845" s="21"/>
    </row>
    <row r="13846" spans="1:4" ht="12.75" customHeight="1" x14ac:dyDescent="0.2">
      <c r="A13846" s="21"/>
      <c r="B13846" s="3" t="s">
        <v>9</v>
      </c>
      <c r="C13846" s="23" t="s">
        <v>886</v>
      </c>
      <c r="D13846" s="21"/>
    </row>
    <row r="13847" spans="1:4" ht="12.75" customHeight="1" x14ac:dyDescent="0.2">
      <c r="A13847" s="21"/>
      <c r="B13847" s="3" t="s">
        <v>11</v>
      </c>
      <c r="C13847" s="23" t="s">
        <v>2160</v>
      </c>
      <c r="D13847" s="21"/>
    </row>
    <row r="13848" spans="1:4" ht="12.75" customHeight="1" x14ac:dyDescent="0.2">
      <c r="A13848" s="21"/>
      <c r="B13848" s="3" t="s">
        <v>16</v>
      </c>
      <c r="C13848" s="23"/>
      <c r="D13848" s="21"/>
    </row>
    <row r="13849" spans="1:4" ht="12.75" customHeight="1" x14ac:dyDescent="0.2">
      <c r="A13849" s="21"/>
      <c r="B13849" s="3" t="s">
        <v>17</v>
      </c>
      <c r="C13849" s="23" t="s">
        <v>19</v>
      </c>
      <c r="D13849" s="21"/>
    </row>
    <row r="13850" spans="1:4" ht="12.75" customHeight="1" x14ac:dyDescent="0.2">
      <c r="A13850" s="21"/>
      <c r="B13850" s="20" t="s">
        <v>18</v>
      </c>
      <c r="C13850" s="8" t="s">
        <v>44</v>
      </c>
      <c r="D13850" s="1" t="str">
        <f>HYPERLINK("javascript:void(0)","rojtos védőkalap")</f>
        <v>rojtos védőkalap</v>
      </c>
    </row>
    <row r="13851" spans="1:4" ht="12.75" customHeight="1" x14ac:dyDescent="0.2">
      <c r="A13851" s="21"/>
      <c r="B13851" s="21"/>
      <c r="C13851" s="8" t="s">
        <v>44</v>
      </c>
      <c r="D13851" s="1" t="str">
        <f>HYPERLINK("javascript:void(0)","röppánt")</f>
        <v>röppánt</v>
      </c>
    </row>
    <row r="13852" spans="1:4" ht="12.75" customHeight="1" x14ac:dyDescent="0.2">
      <c r="A13852" s="21"/>
      <c r="B13852" s="21"/>
      <c r="C13852" s="8" t="s">
        <v>44</v>
      </c>
      <c r="D13852" s="1" t="str">
        <f>HYPERLINK("javascript:void(0)","kányasisak")</f>
        <v>kányasisak</v>
      </c>
    </row>
    <row r="13853" spans="1:4" ht="12.75" customHeight="1" x14ac:dyDescent="0.2">
      <c r="A13853" s="21"/>
      <c r="B13853" s="2"/>
      <c r="C13853" s="7"/>
      <c r="D13853" s="7"/>
    </row>
    <row r="13854" spans="1:4" ht="12.75" customHeight="1" x14ac:dyDescent="0.2">
      <c r="A13854" s="21"/>
      <c r="B13854" s="2"/>
      <c r="C13854" s="7"/>
      <c r="D13854" s="7"/>
    </row>
    <row r="13855" spans="1:4" ht="12.75" customHeight="1" x14ac:dyDescent="0.2">
      <c r="A13855" s="21"/>
      <c r="B13855" s="2"/>
      <c r="C13855" s="7"/>
      <c r="D13855" s="7"/>
    </row>
    <row r="13856" spans="1:4" ht="12.75" customHeight="1" x14ac:dyDescent="0.2">
      <c r="A13856" s="21"/>
      <c r="B13856" s="2"/>
      <c r="C13856" s="7"/>
      <c r="D13856" s="7"/>
    </row>
    <row r="13857" spans="1:4" ht="12.75" customHeight="1" x14ac:dyDescent="0.2">
      <c r="A13857" s="5"/>
      <c r="B13857" s="2"/>
      <c r="C13857" s="7"/>
      <c r="D13857" s="7"/>
    </row>
    <row r="13858" spans="1:4" ht="12.75" customHeight="1" x14ac:dyDescent="0.2">
      <c r="A13858" s="22" t="str">
        <f>HYPERLINK("javascript:void(0)","dobtaposó")</f>
        <v>dobtaposó</v>
      </c>
      <c r="B13858" s="21"/>
      <c r="C13858" s="21"/>
      <c r="D13858" s="21"/>
    </row>
    <row r="13859" spans="1:4" ht="12.75" customHeight="1" x14ac:dyDescent="0.2">
      <c r="A13859" s="20"/>
      <c r="B13859" s="2"/>
      <c r="C13859" s="7"/>
      <c r="D13859" s="7"/>
    </row>
    <row r="13860" spans="1:4" ht="12.75" customHeight="1" x14ac:dyDescent="0.2">
      <c r="A13860" s="21"/>
      <c r="B13860" s="3" t="s">
        <v>0</v>
      </c>
      <c r="C13860" s="23" t="s">
        <v>99</v>
      </c>
      <c r="D13860" s="21"/>
    </row>
    <row r="13861" spans="1:4" ht="12.75" customHeight="1" x14ac:dyDescent="0.2">
      <c r="A13861" s="21"/>
      <c r="B13861" s="3" t="s">
        <v>2</v>
      </c>
      <c r="C13861" s="23"/>
      <c r="D13861" s="21"/>
    </row>
    <row r="13862" spans="1:4" ht="12.75" customHeight="1" x14ac:dyDescent="0.2">
      <c r="A13862" s="21"/>
      <c r="B13862" s="3" t="s">
        <v>1840</v>
      </c>
      <c r="C13862" s="23" t="s">
        <v>2163</v>
      </c>
      <c r="D13862" s="21"/>
    </row>
    <row r="13863" spans="1:4" ht="12.75" customHeight="1" x14ac:dyDescent="0.2">
      <c r="A13863" s="21"/>
      <c r="B13863" s="3" t="s">
        <v>9</v>
      </c>
      <c r="C13863" s="23" t="s">
        <v>1461</v>
      </c>
      <c r="D13863" s="21"/>
    </row>
    <row r="13864" spans="1:4" ht="12.75" customHeight="1" x14ac:dyDescent="0.2">
      <c r="A13864" s="21"/>
      <c r="B13864" s="3" t="s">
        <v>11</v>
      </c>
      <c r="C13864" s="23" t="s">
        <v>2164</v>
      </c>
      <c r="D13864" s="21"/>
    </row>
    <row r="13865" spans="1:4" ht="12.75" customHeight="1" x14ac:dyDescent="0.2">
      <c r="A13865" s="21"/>
      <c r="B13865" s="3" t="s">
        <v>16</v>
      </c>
      <c r="C13865" s="23"/>
      <c r="D13865" s="21"/>
    </row>
    <row r="13866" spans="1:4" ht="12.75" customHeight="1" x14ac:dyDescent="0.2">
      <c r="A13866" s="21"/>
      <c r="B13866" s="3" t="s">
        <v>17</v>
      </c>
      <c r="C13866" s="23" t="s">
        <v>19</v>
      </c>
      <c r="D13866" s="21"/>
    </row>
    <row r="13867" spans="1:4" ht="12.75" customHeight="1" x14ac:dyDescent="0.2">
      <c r="A13867" s="21"/>
      <c r="B13867" s="20" t="s">
        <v>18</v>
      </c>
      <c r="C13867" s="8" t="s">
        <v>240</v>
      </c>
      <c r="D13867" s="1" t="str">
        <f>HYPERLINK("javascript:void(0)","dobverő")</f>
        <v>dobverő</v>
      </c>
    </row>
    <row r="13868" spans="1:4" ht="12.75" customHeight="1" x14ac:dyDescent="0.2">
      <c r="A13868" s="21"/>
      <c r="B13868" s="21"/>
      <c r="C13868" s="8" t="s">
        <v>772</v>
      </c>
      <c r="D13868" s="1" t="str">
        <f>HYPERLINK("javascript:void(0)","ködpikkely")</f>
        <v>ködpikkely</v>
      </c>
    </row>
    <row r="13869" spans="1:4" ht="12.75" customHeight="1" x14ac:dyDescent="0.2">
      <c r="A13869" s="21"/>
      <c r="B13869" s="21"/>
      <c r="C13869" s="8" t="s">
        <v>1536</v>
      </c>
      <c r="D13869" s="1" t="str">
        <f>HYPERLINK("javascript:void(0)","angyalhaj")</f>
        <v>angyalhaj</v>
      </c>
    </row>
    <row r="13870" spans="1:4" ht="12.75" customHeight="1" x14ac:dyDescent="0.2">
      <c r="A13870" s="21"/>
      <c r="B13870" s="2"/>
      <c r="C13870" s="7"/>
      <c r="D13870" s="7"/>
    </row>
    <row r="13871" spans="1:4" ht="12.75" customHeight="1" x14ac:dyDescent="0.2">
      <c r="A13871" s="21"/>
      <c r="B13871" s="2"/>
      <c r="C13871" s="7"/>
      <c r="D13871" s="7"/>
    </row>
    <row r="13872" spans="1:4" ht="12.75" customHeight="1" x14ac:dyDescent="0.2">
      <c r="A13872" s="21"/>
      <c r="B13872" s="2"/>
      <c r="C13872" s="7"/>
      <c r="D13872" s="7"/>
    </row>
    <row r="13873" spans="1:4" ht="12.75" customHeight="1" x14ac:dyDescent="0.2">
      <c r="A13873" s="21"/>
      <c r="B13873" s="2"/>
      <c r="C13873" s="7"/>
      <c r="D13873" s="7"/>
    </row>
    <row r="13874" spans="1:4" ht="12.75" customHeight="1" x14ac:dyDescent="0.2">
      <c r="A13874" s="5"/>
      <c r="B13874" s="2"/>
      <c r="C13874" s="7"/>
      <c r="D13874" s="7"/>
    </row>
    <row r="13875" spans="1:4" ht="12.75" customHeight="1" x14ac:dyDescent="0.2">
      <c r="A13875" s="22" t="str">
        <f>HYPERLINK("javascript:void(0)","rémpajzs")</f>
        <v>rémpajzs</v>
      </c>
      <c r="B13875" s="21"/>
      <c r="C13875" s="21"/>
      <c r="D13875" s="21"/>
    </row>
    <row r="13876" spans="1:4" ht="12.75" customHeight="1" x14ac:dyDescent="0.2">
      <c r="A13876" s="20"/>
      <c r="B13876" s="2"/>
      <c r="C13876" s="7"/>
      <c r="D13876" s="7"/>
    </row>
    <row r="13877" spans="1:4" ht="12.75" customHeight="1" x14ac:dyDescent="0.2">
      <c r="A13877" s="21"/>
      <c r="B13877" s="3" t="s">
        <v>0</v>
      </c>
      <c r="C13877" s="23" t="s">
        <v>99</v>
      </c>
      <c r="D13877" s="21"/>
    </row>
    <row r="13878" spans="1:4" ht="12.75" customHeight="1" x14ac:dyDescent="0.2">
      <c r="A13878" s="21"/>
      <c r="B13878" s="3" t="s">
        <v>2</v>
      </c>
      <c r="C13878" s="23" t="s">
        <v>1839</v>
      </c>
      <c r="D13878" s="21"/>
    </row>
    <row r="13879" spans="1:4" ht="12.75" customHeight="1" x14ac:dyDescent="0.2">
      <c r="A13879" s="21"/>
      <c r="B13879" s="3" t="s">
        <v>1840</v>
      </c>
      <c r="C13879" s="23" t="s">
        <v>5324</v>
      </c>
      <c r="D13879" s="21"/>
    </row>
    <row r="13880" spans="1:4" ht="12.75" customHeight="1" x14ac:dyDescent="0.2">
      <c r="A13880" s="21"/>
      <c r="B13880" s="3" t="s">
        <v>9</v>
      </c>
      <c r="C13880" s="23" t="s">
        <v>1953</v>
      </c>
      <c r="D13880" s="21"/>
    </row>
    <row r="13881" spans="1:4" ht="12.75" customHeight="1" x14ac:dyDescent="0.2">
      <c r="A13881" s="21"/>
      <c r="B13881" s="3" t="s">
        <v>11</v>
      </c>
      <c r="C13881" s="23" t="s">
        <v>2190</v>
      </c>
      <c r="D13881" s="21"/>
    </row>
    <row r="13882" spans="1:4" ht="12.75" customHeight="1" x14ac:dyDescent="0.2">
      <c r="A13882" s="21"/>
      <c r="B13882" s="3" t="s">
        <v>16</v>
      </c>
      <c r="C13882" s="23"/>
      <c r="D13882" s="21"/>
    </row>
    <row r="13883" spans="1:4" ht="12.75" customHeight="1" x14ac:dyDescent="0.2">
      <c r="A13883" s="21"/>
      <c r="B13883" s="3" t="s">
        <v>17</v>
      </c>
      <c r="C13883" s="23" t="s">
        <v>19</v>
      </c>
      <c r="D13883" s="21"/>
    </row>
    <row r="13884" spans="1:4" ht="12.75" customHeight="1" x14ac:dyDescent="0.2">
      <c r="A13884" s="21"/>
      <c r="B13884" s="20" t="s">
        <v>18</v>
      </c>
      <c r="C13884" s="8" t="s">
        <v>44</v>
      </c>
      <c r="D13884" s="1" t="str">
        <f>HYPERLINK("javascript:void(0)","gólempajzs")</f>
        <v>gólempajzs</v>
      </c>
    </row>
    <row r="13885" spans="1:4" ht="12.75" customHeight="1" x14ac:dyDescent="0.2">
      <c r="A13885" s="21"/>
      <c r="B13885" s="21"/>
      <c r="C13885" s="8" t="s">
        <v>228</v>
      </c>
      <c r="D13885" s="1" t="str">
        <f>HYPERLINK("javascript:void(0)","röpkavics")</f>
        <v>röpkavics</v>
      </c>
    </row>
    <row r="13886" spans="1:4" ht="12.75" customHeight="1" x14ac:dyDescent="0.2">
      <c r="A13886" s="21"/>
      <c r="B13886" s="21"/>
      <c r="C13886" s="8" t="s">
        <v>327</v>
      </c>
      <c r="D13886" s="1" t="str">
        <f>HYPERLINK("javascript:void(0)","ködpikkely")</f>
        <v>ködpikkely</v>
      </c>
    </row>
    <row r="13887" spans="1:4" ht="12.75" customHeight="1" x14ac:dyDescent="0.2">
      <c r="A13887" s="21"/>
      <c r="B13887" s="2"/>
      <c r="C13887" s="7"/>
      <c r="D13887" s="7"/>
    </row>
    <row r="13888" spans="1:4" ht="12.75" customHeight="1" x14ac:dyDescent="0.2">
      <c r="A13888" s="21"/>
      <c r="B13888" s="2"/>
      <c r="C13888" s="7"/>
      <c r="D13888" s="7"/>
    </row>
    <row r="13889" spans="1:4" ht="12.75" customHeight="1" x14ac:dyDescent="0.2">
      <c r="A13889" s="21"/>
      <c r="B13889" s="2"/>
      <c r="C13889" s="7"/>
      <c r="D13889" s="7"/>
    </row>
    <row r="13890" spans="1:4" ht="12.75" customHeight="1" x14ac:dyDescent="0.2">
      <c r="A13890" s="21"/>
      <c r="B13890" s="2"/>
      <c r="C13890" s="7"/>
      <c r="D13890" s="7"/>
    </row>
    <row r="13891" spans="1:4" ht="12.75" customHeight="1" x14ac:dyDescent="0.2">
      <c r="A13891" s="5"/>
      <c r="B13891" s="2"/>
      <c r="C13891" s="7"/>
      <c r="D13891" s="7"/>
    </row>
    <row r="13892" spans="1:4" ht="12.75" customHeight="1" x14ac:dyDescent="0.2">
      <c r="A13892" s="22" t="str">
        <f>HYPERLINK("javascript:void(0)","wendír szellempajzs")</f>
        <v>wendír szellempajzs</v>
      </c>
      <c r="B13892" s="21"/>
      <c r="C13892" s="21"/>
      <c r="D13892" s="21"/>
    </row>
    <row r="13893" spans="1:4" ht="12.75" customHeight="1" x14ac:dyDescent="0.2">
      <c r="A13893" s="20"/>
      <c r="B13893" s="2"/>
      <c r="C13893" s="7"/>
      <c r="D13893" s="7"/>
    </row>
    <row r="13894" spans="1:4" ht="12.75" customHeight="1" x14ac:dyDescent="0.2">
      <c r="A13894" s="21"/>
      <c r="B13894" s="3" t="s">
        <v>0</v>
      </c>
      <c r="C13894" s="23" t="s">
        <v>99</v>
      </c>
      <c r="D13894" s="21"/>
    </row>
    <row r="13895" spans="1:4" ht="12.75" customHeight="1" x14ac:dyDescent="0.2">
      <c r="A13895" s="21"/>
      <c r="B13895" s="3" t="s">
        <v>2</v>
      </c>
      <c r="C13895" s="23" t="s">
        <v>1839</v>
      </c>
      <c r="D13895" s="21"/>
    </row>
    <row r="13896" spans="1:4" ht="12.75" customHeight="1" x14ac:dyDescent="0.2">
      <c r="A13896" s="21"/>
      <c r="B13896" s="3" t="s">
        <v>1840</v>
      </c>
      <c r="C13896" s="23" t="s">
        <v>5324</v>
      </c>
      <c r="D13896" s="21"/>
    </row>
    <row r="13897" spans="1:4" ht="12.75" customHeight="1" x14ac:dyDescent="0.2">
      <c r="A13897" s="21"/>
      <c r="B13897" s="3" t="s">
        <v>9</v>
      </c>
      <c r="C13897" s="23" t="s">
        <v>5187</v>
      </c>
      <c r="D13897" s="21"/>
    </row>
    <row r="13898" spans="1:4" ht="12.75" customHeight="1" x14ac:dyDescent="0.2">
      <c r="A13898" s="21"/>
      <c r="B13898" s="3" t="s">
        <v>11</v>
      </c>
      <c r="C13898" s="23" t="s">
        <v>2201</v>
      </c>
      <c r="D13898" s="21"/>
    </row>
    <row r="13899" spans="1:4" ht="12.75" customHeight="1" x14ac:dyDescent="0.2">
      <c r="A13899" s="21"/>
      <c r="B13899" s="3" t="s">
        <v>16</v>
      </c>
      <c r="C13899" s="23"/>
      <c r="D13899" s="21"/>
    </row>
    <row r="13900" spans="1:4" ht="12.75" customHeight="1" x14ac:dyDescent="0.2">
      <c r="A13900" s="21"/>
      <c r="B13900" s="3" t="s">
        <v>17</v>
      </c>
      <c r="C13900" s="23" t="s">
        <v>19</v>
      </c>
      <c r="D13900" s="21"/>
    </row>
    <row r="13901" spans="1:4" ht="12.75" customHeight="1" x14ac:dyDescent="0.2">
      <c r="A13901" s="21"/>
      <c r="B13901" s="20" t="s">
        <v>18</v>
      </c>
      <c r="C13901" s="8" t="s">
        <v>44</v>
      </c>
      <c r="D13901" s="1" t="str">
        <f>HYPERLINK("javascript:void(0)","rémpajzs")</f>
        <v>rémpajzs</v>
      </c>
    </row>
    <row r="13902" spans="1:4" ht="12.75" customHeight="1" x14ac:dyDescent="0.2">
      <c r="A13902" s="21"/>
      <c r="B13902" s="21"/>
      <c r="C13902" s="8" t="s">
        <v>265</v>
      </c>
      <c r="D13902" s="1" t="str">
        <f>HYPERLINK("javascript:void(0)","rémláb")</f>
        <v>rémláb</v>
      </c>
    </row>
    <row r="13903" spans="1:4" ht="12.75" customHeight="1" x14ac:dyDescent="0.2">
      <c r="A13903" s="21"/>
      <c r="B13903" s="21"/>
      <c r="C13903" s="8" t="s">
        <v>335</v>
      </c>
      <c r="D13903" s="1" t="str">
        <f>HYPERLINK("javascript:void(0)","dobverő")</f>
        <v>dobverő</v>
      </c>
    </row>
    <row r="13904" spans="1:4" ht="12.75" customHeight="1" x14ac:dyDescent="0.2">
      <c r="A13904" s="21"/>
      <c r="B13904" s="2"/>
      <c r="C13904" s="7"/>
      <c r="D13904" s="7"/>
    </row>
    <row r="13905" spans="1:4" ht="12.75" customHeight="1" x14ac:dyDescent="0.2">
      <c r="A13905" s="21"/>
      <c r="B13905" s="2"/>
      <c r="C13905" s="7"/>
      <c r="D13905" s="7"/>
    </row>
    <row r="13906" spans="1:4" ht="12.75" customHeight="1" x14ac:dyDescent="0.2">
      <c r="A13906" s="21"/>
      <c r="B13906" s="2"/>
      <c r="C13906" s="7"/>
      <c r="D13906" s="7"/>
    </row>
    <row r="13907" spans="1:4" ht="12.75" customHeight="1" x14ac:dyDescent="0.2">
      <c r="A13907" s="21"/>
      <c r="B13907" s="2"/>
      <c r="C13907" s="7"/>
      <c r="D13907" s="7"/>
    </row>
    <row r="13908" spans="1:4" ht="12.75" customHeight="1" x14ac:dyDescent="0.2">
      <c r="A13908" s="5"/>
      <c r="B13908" s="2"/>
      <c r="C13908" s="7"/>
      <c r="D13908" s="7"/>
    </row>
    <row r="13909" spans="1:4" ht="12.75" customHeight="1" x14ac:dyDescent="0.2">
      <c r="A13909" s="22" t="str">
        <f>HYPERLINK("javascript:void(0)","röppánt")</f>
        <v>röppánt</v>
      </c>
      <c r="B13909" s="21"/>
      <c r="C13909" s="21"/>
      <c r="D13909" s="21"/>
    </row>
    <row r="13910" spans="1:4" ht="12.75" customHeight="1" x14ac:dyDescent="0.2">
      <c r="A13910" s="20"/>
      <c r="B13910" s="2"/>
      <c r="C13910" s="7"/>
      <c r="D13910" s="7"/>
    </row>
    <row r="13911" spans="1:4" ht="12.75" customHeight="1" x14ac:dyDescent="0.2">
      <c r="A13911" s="21"/>
      <c r="B13911" s="3" t="s">
        <v>0</v>
      </c>
      <c r="C13911" s="23" t="s">
        <v>99</v>
      </c>
      <c r="D13911" s="21"/>
    </row>
    <row r="13912" spans="1:4" ht="12.75" customHeight="1" x14ac:dyDescent="0.2">
      <c r="A13912" s="21"/>
      <c r="B13912" s="3" t="s">
        <v>2</v>
      </c>
      <c r="C13912" s="23"/>
      <c r="D13912" s="21"/>
    </row>
    <row r="13913" spans="1:4" ht="12.75" customHeight="1" x14ac:dyDescent="0.2">
      <c r="A13913" s="21"/>
      <c r="B13913" s="3" t="s">
        <v>1840</v>
      </c>
      <c r="C13913" s="23" t="s">
        <v>213</v>
      </c>
      <c r="D13913" s="21"/>
    </row>
    <row r="13914" spans="1:4" ht="12.75" customHeight="1" x14ac:dyDescent="0.2">
      <c r="A13914" s="21"/>
      <c r="B13914" s="3" t="s">
        <v>9</v>
      </c>
      <c r="C13914" s="23" t="s">
        <v>172</v>
      </c>
      <c r="D13914" s="21"/>
    </row>
    <row r="13915" spans="1:4" ht="12.75" customHeight="1" x14ac:dyDescent="0.2">
      <c r="A13915" s="21"/>
      <c r="B13915" s="3" t="s">
        <v>11</v>
      </c>
      <c r="C13915" s="23" t="s">
        <v>5330</v>
      </c>
      <c r="D13915" s="21"/>
    </row>
    <row r="13916" spans="1:4" ht="12.75" customHeight="1" x14ac:dyDescent="0.2">
      <c r="A13916" s="21"/>
      <c r="B13916" s="3" t="s">
        <v>16</v>
      </c>
      <c r="C13916" s="23"/>
      <c r="D13916" s="21"/>
    </row>
    <row r="13917" spans="1:4" ht="12.75" customHeight="1" x14ac:dyDescent="0.2">
      <c r="A13917" s="21"/>
      <c r="B13917" s="3" t="s">
        <v>17</v>
      </c>
      <c r="C13917" s="23" t="s">
        <v>19</v>
      </c>
      <c r="D13917" s="21"/>
    </row>
    <row r="13918" spans="1:4" ht="12.75" customHeight="1" x14ac:dyDescent="0.2">
      <c r="A13918" s="21"/>
      <c r="B13918" s="20" t="s">
        <v>18</v>
      </c>
      <c r="C13918" s="8" t="s">
        <v>98</v>
      </c>
      <c r="D13918" s="1" t="str">
        <f>HYPERLINK("javascript:void(0)","röpkavics")</f>
        <v>röpkavics</v>
      </c>
    </row>
    <row r="13919" spans="1:4" ht="12.75" customHeight="1" x14ac:dyDescent="0.2">
      <c r="A13919" s="21"/>
      <c r="B13919" s="21"/>
      <c r="C13919" s="8" t="s">
        <v>296</v>
      </c>
      <c r="D13919" s="1" t="str">
        <f>HYPERLINK("javascript:void(0)","rozmáragyar")</f>
        <v>rozmáragyar</v>
      </c>
    </row>
    <row r="13920" spans="1:4" ht="12.75" customHeight="1" x14ac:dyDescent="0.2">
      <c r="A13920" s="21"/>
      <c r="B13920" s="21"/>
      <c r="C13920" s="8" t="s">
        <v>139</v>
      </c>
      <c r="D13920" s="1" t="str">
        <f>HYPERLINK("javascript:void(0)","hálószem")</f>
        <v>hálószem</v>
      </c>
    </row>
    <row r="13921" spans="1:4" ht="12.75" customHeight="1" x14ac:dyDescent="0.2">
      <c r="A13921" s="21"/>
      <c r="B13921" s="2"/>
      <c r="C13921" s="7"/>
      <c r="D13921" s="7"/>
    </row>
    <row r="13922" spans="1:4" ht="12.75" customHeight="1" x14ac:dyDescent="0.2">
      <c r="A13922" s="21"/>
      <c r="B13922" s="2"/>
      <c r="C13922" s="7"/>
      <c r="D13922" s="7"/>
    </row>
    <row r="13923" spans="1:4" ht="12.75" customHeight="1" x14ac:dyDescent="0.2">
      <c r="A13923" s="21"/>
      <c r="B13923" s="2"/>
      <c r="C13923" s="7"/>
      <c r="D13923" s="7"/>
    </row>
    <row r="13924" spans="1:4" ht="12.75" customHeight="1" x14ac:dyDescent="0.2">
      <c r="A13924" s="21"/>
      <c r="B13924" s="2"/>
      <c r="C13924" s="7"/>
      <c r="D13924" s="7"/>
    </row>
    <row r="13925" spans="1:4" ht="12.75" customHeight="1" x14ac:dyDescent="0.2">
      <c r="A13925" s="5"/>
      <c r="B13925" s="2"/>
      <c r="C13925" s="7"/>
      <c r="D13925" s="7"/>
    </row>
    <row r="13926" spans="1:4" ht="12.75" customHeight="1" x14ac:dyDescent="0.2">
      <c r="A13926" s="22" t="str">
        <f>HYPERLINK("javascript:void(0)","röpdíszes antigrav csizma")</f>
        <v>röpdíszes antigrav csizma</v>
      </c>
      <c r="B13926" s="21"/>
      <c r="C13926" s="21"/>
      <c r="D13926" s="21"/>
    </row>
    <row r="13927" spans="1:4" ht="12.75" customHeight="1" x14ac:dyDescent="0.2">
      <c r="A13927" s="20"/>
      <c r="B13927" s="2"/>
      <c r="C13927" s="7"/>
      <c r="D13927" s="7"/>
    </row>
    <row r="13928" spans="1:4" ht="12.75" customHeight="1" x14ac:dyDescent="0.2">
      <c r="A13928" s="21"/>
      <c r="B13928" s="3" t="s">
        <v>0</v>
      </c>
      <c r="C13928" s="23" t="s">
        <v>99</v>
      </c>
      <c r="D13928" s="21"/>
    </row>
    <row r="13929" spans="1:4" ht="12.75" customHeight="1" x14ac:dyDescent="0.2">
      <c r="A13929" s="21"/>
      <c r="B13929" s="3" t="s">
        <v>2</v>
      </c>
      <c r="C13929" s="23"/>
      <c r="D13929" s="21"/>
    </row>
    <row r="13930" spans="1:4" ht="12.75" customHeight="1" x14ac:dyDescent="0.2">
      <c r="A13930" s="21"/>
      <c r="B13930" s="3" t="s">
        <v>1840</v>
      </c>
      <c r="C13930" s="23" t="s">
        <v>2168</v>
      </c>
      <c r="D13930" s="21"/>
    </row>
    <row r="13931" spans="1:4" ht="12.75" customHeight="1" x14ac:dyDescent="0.2">
      <c r="A13931" s="21"/>
      <c r="B13931" s="3" t="s">
        <v>9</v>
      </c>
      <c r="C13931" s="23" t="s">
        <v>626</v>
      </c>
      <c r="D13931" s="21"/>
    </row>
    <row r="13932" spans="1:4" ht="12.75" customHeight="1" x14ac:dyDescent="0.2">
      <c r="A13932" s="21"/>
      <c r="B13932" s="3" t="s">
        <v>11</v>
      </c>
      <c r="C13932" s="23" t="s">
        <v>23</v>
      </c>
      <c r="D13932" s="21"/>
    </row>
    <row r="13933" spans="1:4" ht="12.75" customHeight="1" x14ac:dyDescent="0.2">
      <c r="A13933" s="21"/>
      <c r="B13933" s="3" t="s">
        <v>16</v>
      </c>
      <c r="C13933" s="23"/>
      <c r="D13933" s="21"/>
    </row>
    <row r="13934" spans="1:4" ht="12.75" customHeight="1" x14ac:dyDescent="0.2">
      <c r="A13934" s="21"/>
      <c r="B13934" s="3" t="s">
        <v>17</v>
      </c>
      <c r="C13934" s="23" t="s">
        <v>19</v>
      </c>
      <c r="D13934" s="21"/>
    </row>
    <row r="13935" spans="1:4" ht="25.5" customHeight="1" x14ac:dyDescent="0.2">
      <c r="A13935" s="21"/>
      <c r="B13935" s="20" t="s">
        <v>18</v>
      </c>
      <c r="C13935" s="8" t="s">
        <v>44</v>
      </c>
      <c r="D13935" s="1" t="str">
        <f>HYPERLINK("javascript:void(0)","pikkelyes antigrav csizma")</f>
        <v>pikkelyes antigrav csizma</v>
      </c>
    </row>
    <row r="13936" spans="1:4" ht="12.75" customHeight="1" x14ac:dyDescent="0.2">
      <c r="A13936" s="21"/>
      <c r="B13936" s="21"/>
      <c r="C13936" s="8" t="s">
        <v>756</v>
      </c>
      <c r="D13936" s="1" t="str">
        <f>HYPERLINK("javascript:void(0)","röpkavics")</f>
        <v>röpkavics</v>
      </c>
    </row>
    <row r="13937" spans="1:4" ht="12.75" customHeight="1" x14ac:dyDescent="0.2">
      <c r="A13937" s="21"/>
      <c r="B13937" s="21"/>
      <c r="C13937" s="8" t="s">
        <v>309</v>
      </c>
      <c r="D13937" s="1" t="str">
        <f>HYPERLINK("javascript:void(0)","kincsgúla")</f>
        <v>kincsgúla</v>
      </c>
    </row>
    <row r="13938" spans="1:4" ht="12.75" customHeight="1" x14ac:dyDescent="0.2">
      <c r="A13938" s="21"/>
      <c r="B13938" s="2"/>
      <c r="C13938" s="7"/>
      <c r="D13938" s="7"/>
    </row>
    <row r="13939" spans="1:4" ht="12.75" customHeight="1" x14ac:dyDescent="0.2">
      <c r="A13939" s="21"/>
      <c r="B13939" s="2"/>
      <c r="C13939" s="7"/>
      <c r="D13939" s="7"/>
    </row>
    <row r="13940" spans="1:4" ht="12.75" customHeight="1" x14ac:dyDescent="0.2">
      <c r="A13940" s="21"/>
      <c r="B13940" s="2"/>
      <c r="C13940" s="7"/>
      <c r="D13940" s="7"/>
    </row>
    <row r="13941" spans="1:4" ht="12.75" customHeight="1" x14ac:dyDescent="0.2">
      <c r="A13941" s="21"/>
      <c r="B13941" s="2"/>
      <c r="C13941" s="7"/>
      <c r="D13941" s="7"/>
    </row>
    <row r="13942" spans="1:4" ht="12.75" customHeight="1" x14ac:dyDescent="0.2">
      <c r="A13942" s="5"/>
      <c r="B13942" s="2"/>
      <c r="C13942" s="7"/>
      <c r="D13942" s="7"/>
    </row>
    <row r="13943" spans="1:4" ht="12.75" customHeight="1" x14ac:dyDescent="0.2">
      <c r="A13943" s="22" t="str">
        <f>HYPERLINK("javascript:void(0)","csillámló kompozitpajzs")</f>
        <v>csillámló kompozitpajzs</v>
      </c>
      <c r="B13943" s="21"/>
      <c r="C13943" s="21"/>
      <c r="D13943" s="21"/>
    </row>
    <row r="13944" spans="1:4" ht="12.75" customHeight="1" x14ac:dyDescent="0.2">
      <c r="A13944" s="20"/>
      <c r="B13944" s="2"/>
      <c r="C13944" s="7"/>
      <c r="D13944" s="7"/>
    </row>
    <row r="13945" spans="1:4" ht="12.75" customHeight="1" x14ac:dyDescent="0.2">
      <c r="A13945" s="21"/>
      <c r="B13945" s="3" t="s">
        <v>0</v>
      </c>
      <c r="C13945" s="23" t="s">
        <v>99</v>
      </c>
      <c r="D13945" s="21"/>
    </row>
    <row r="13946" spans="1:4" ht="12.75" customHeight="1" x14ac:dyDescent="0.2">
      <c r="A13946" s="21"/>
      <c r="B13946" s="3" t="s">
        <v>2</v>
      </c>
      <c r="C13946" s="23" t="s">
        <v>1839</v>
      </c>
      <c r="D13946" s="21"/>
    </row>
    <row r="13947" spans="1:4" ht="12.75" customHeight="1" x14ac:dyDescent="0.2">
      <c r="A13947" s="21"/>
      <c r="B13947" s="3" t="s">
        <v>1840</v>
      </c>
      <c r="C13947" s="23" t="s">
        <v>2208</v>
      </c>
      <c r="D13947" s="21"/>
    </row>
    <row r="13948" spans="1:4" ht="12.75" customHeight="1" x14ac:dyDescent="0.2">
      <c r="A13948" s="21"/>
      <c r="B13948" s="3" t="s">
        <v>9</v>
      </c>
      <c r="C13948" s="23" t="s">
        <v>1028</v>
      </c>
      <c r="D13948" s="21"/>
    </row>
    <row r="13949" spans="1:4" ht="12.75" customHeight="1" x14ac:dyDescent="0.2">
      <c r="A13949" s="21"/>
      <c r="B13949" s="3" t="s">
        <v>11</v>
      </c>
      <c r="C13949" s="23" t="s">
        <v>2190</v>
      </c>
      <c r="D13949" s="21"/>
    </row>
    <row r="13950" spans="1:4" ht="12.75" customHeight="1" x14ac:dyDescent="0.2">
      <c r="A13950" s="21"/>
      <c r="B13950" s="3" t="s">
        <v>16</v>
      </c>
      <c r="C13950" s="23"/>
      <c r="D13950" s="21"/>
    </row>
    <row r="13951" spans="1:4" ht="12.75" customHeight="1" x14ac:dyDescent="0.2">
      <c r="A13951" s="21"/>
      <c r="B13951" s="3" t="s">
        <v>17</v>
      </c>
      <c r="C13951" s="23" t="s">
        <v>19</v>
      </c>
      <c r="D13951" s="21"/>
    </row>
    <row r="13952" spans="1:4" ht="12.75" customHeight="1" x14ac:dyDescent="0.2">
      <c r="A13952" s="21"/>
      <c r="B13952" s="20" t="s">
        <v>18</v>
      </c>
      <c r="C13952" s="8" t="s">
        <v>57</v>
      </c>
      <c r="D13952" s="1" t="str">
        <f>HYPERLINK("javascript:void(0)","csillámgöb")</f>
        <v>csillámgöb</v>
      </c>
    </row>
    <row r="13953" spans="1:4" ht="12.75" customHeight="1" x14ac:dyDescent="0.2">
      <c r="A13953" s="21"/>
      <c r="B13953" s="21"/>
      <c r="C13953" s="8" t="s">
        <v>44</v>
      </c>
      <c r="D13953" s="1" t="str">
        <f>HYPERLINK("javascript:void(0)","csillámló yetipajzs")</f>
        <v>csillámló yetipajzs</v>
      </c>
    </row>
    <row r="13954" spans="1:4" ht="12.75" customHeight="1" x14ac:dyDescent="0.2">
      <c r="A13954" s="21"/>
      <c r="B13954" s="21"/>
      <c r="C13954" s="8" t="s">
        <v>309</v>
      </c>
      <c r="D13954" s="1" t="str">
        <f>HYPERLINK("javascript:void(0)","kompózium")</f>
        <v>kompózium</v>
      </c>
    </row>
    <row r="13955" spans="1:4" ht="12.75" customHeight="1" x14ac:dyDescent="0.2">
      <c r="A13955" s="21"/>
      <c r="B13955" s="2"/>
      <c r="C13955" s="7"/>
      <c r="D13955" s="7"/>
    </row>
    <row r="13956" spans="1:4" ht="12.75" customHeight="1" x14ac:dyDescent="0.2">
      <c r="A13956" s="21"/>
      <c r="B13956" s="2"/>
      <c r="C13956" s="7"/>
      <c r="D13956" s="7"/>
    </row>
    <row r="13957" spans="1:4" ht="12.75" customHeight="1" x14ac:dyDescent="0.2">
      <c r="A13957" s="21"/>
      <c r="B13957" s="2"/>
      <c r="C13957" s="7"/>
      <c r="D13957" s="7"/>
    </row>
    <row r="13958" spans="1:4" ht="12.75" customHeight="1" x14ac:dyDescent="0.2">
      <c r="A13958" s="21"/>
      <c r="B13958" s="2"/>
      <c r="C13958" s="7"/>
      <c r="D13958" s="7"/>
    </row>
    <row r="13959" spans="1:4" ht="12.75" customHeight="1" x14ac:dyDescent="0.2">
      <c r="A13959" s="5"/>
      <c r="B13959" s="2"/>
      <c r="C13959" s="7"/>
      <c r="D13959" s="7"/>
    </row>
    <row r="13960" spans="1:4" ht="12.75" customHeight="1" x14ac:dyDescent="0.2">
      <c r="A13960" s="22" t="str">
        <f>HYPERLINK("javascript:void(0)","csillámló kompozitcsizma")</f>
        <v>csillámló kompozitcsizma</v>
      </c>
      <c r="B13960" s="21"/>
      <c r="C13960" s="21"/>
      <c r="D13960" s="21"/>
    </row>
    <row r="13961" spans="1:4" ht="12.75" customHeight="1" x14ac:dyDescent="0.2">
      <c r="A13961" s="20"/>
      <c r="B13961" s="2"/>
      <c r="C13961" s="7"/>
      <c r="D13961" s="7"/>
    </row>
    <row r="13962" spans="1:4" ht="12.75" customHeight="1" x14ac:dyDescent="0.2">
      <c r="A13962" s="21"/>
      <c r="B13962" s="3" t="s">
        <v>0</v>
      </c>
      <c r="C13962" s="23" t="s">
        <v>99</v>
      </c>
      <c r="D13962" s="21"/>
    </row>
    <row r="13963" spans="1:4" ht="12.75" customHeight="1" x14ac:dyDescent="0.2">
      <c r="A13963" s="21"/>
      <c r="B13963" s="3" t="s">
        <v>2</v>
      </c>
      <c r="C13963" s="23"/>
      <c r="D13963" s="21"/>
    </row>
    <row r="13964" spans="1:4" ht="12.75" customHeight="1" x14ac:dyDescent="0.2">
      <c r="A13964" s="21"/>
      <c r="B13964" s="3" t="s">
        <v>1840</v>
      </c>
      <c r="C13964" s="23" t="s">
        <v>533</v>
      </c>
      <c r="D13964" s="21"/>
    </row>
    <row r="13965" spans="1:4" ht="12.75" customHeight="1" x14ac:dyDescent="0.2">
      <c r="A13965" s="21"/>
      <c r="B13965" s="3" t="s">
        <v>9</v>
      </c>
      <c r="C13965" s="23" t="s">
        <v>2170</v>
      </c>
      <c r="D13965" s="21"/>
    </row>
    <row r="13966" spans="1:4" ht="12.75" customHeight="1" x14ac:dyDescent="0.2">
      <c r="A13966" s="21"/>
      <c r="B13966" s="3" t="s">
        <v>11</v>
      </c>
      <c r="C13966" s="23" t="s">
        <v>2164</v>
      </c>
      <c r="D13966" s="21"/>
    </row>
    <row r="13967" spans="1:4" ht="12.75" customHeight="1" x14ac:dyDescent="0.2">
      <c r="A13967" s="21"/>
      <c r="B13967" s="3" t="s">
        <v>16</v>
      </c>
      <c r="C13967" s="23"/>
      <c r="D13967" s="21"/>
    </row>
    <row r="13968" spans="1:4" ht="12.75" customHeight="1" x14ac:dyDescent="0.2">
      <c r="A13968" s="21"/>
      <c r="B13968" s="3" t="s">
        <v>17</v>
      </c>
      <c r="C13968" s="23" t="s">
        <v>19</v>
      </c>
      <c r="D13968" s="21"/>
    </row>
    <row r="13969" spans="1:4" ht="12.75" customHeight="1" x14ac:dyDescent="0.2">
      <c r="A13969" s="21"/>
      <c r="B13969" s="20" t="s">
        <v>18</v>
      </c>
      <c r="C13969" s="8" t="s">
        <v>57</v>
      </c>
      <c r="D13969" s="1" t="str">
        <f>HYPERLINK("javascript:void(0)","csillámgöb")</f>
        <v>csillámgöb</v>
      </c>
    </row>
    <row r="13970" spans="1:4" ht="12.75" customHeight="1" x14ac:dyDescent="0.2">
      <c r="A13970" s="21"/>
      <c r="B13970" s="21"/>
      <c r="C13970" s="8" t="s">
        <v>44</v>
      </c>
      <c r="D13970" s="1" t="str">
        <f>HYPERLINK("javascript:void(0)","csillámló yeticsizma")</f>
        <v>csillámló yeticsizma</v>
      </c>
    </row>
    <row r="13971" spans="1:4" ht="12.75" customHeight="1" x14ac:dyDescent="0.2">
      <c r="A13971" s="21"/>
      <c r="B13971" s="21"/>
      <c r="C13971" s="8" t="s">
        <v>139</v>
      </c>
      <c r="D13971" s="1" t="str">
        <f>HYPERLINK("javascript:void(0)","bronzrög")</f>
        <v>bronzrög</v>
      </c>
    </row>
    <row r="13972" spans="1:4" ht="12.75" customHeight="1" x14ac:dyDescent="0.2">
      <c r="A13972" s="21"/>
      <c r="B13972" s="2"/>
      <c r="C13972" s="7"/>
      <c r="D13972" s="7"/>
    </row>
    <row r="13973" spans="1:4" ht="12.75" customHeight="1" x14ac:dyDescent="0.2">
      <c r="A13973" s="21"/>
      <c r="B13973" s="2"/>
      <c r="C13973" s="7"/>
      <c r="D13973" s="7"/>
    </row>
    <row r="13974" spans="1:4" ht="12.75" customHeight="1" x14ac:dyDescent="0.2">
      <c r="A13974" s="21"/>
      <c r="B13974" s="2"/>
      <c r="C13974" s="7"/>
      <c r="D13974" s="7"/>
    </row>
    <row r="13975" spans="1:4" ht="12.75" customHeight="1" x14ac:dyDescent="0.2">
      <c r="A13975" s="21"/>
      <c r="B13975" s="2"/>
      <c r="C13975" s="7"/>
      <c r="D13975" s="7"/>
    </row>
    <row r="13976" spans="1:4" ht="12.75" customHeight="1" x14ac:dyDescent="0.2">
      <c r="A13976" s="5"/>
      <c r="B13976" s="2"/>
      <c r="C13976" s="7"/>
      <c r="D13976" s="7"/>
    </row>
    <row r="13977" spans="1:4" ht="12.75" customHeight="1" x14ac:dyDescent="0.2">
      <c r="A13977" s="22" t="str">
        <f>HYPERLINK("javascript:void(0)","csillámos kompozitsüveg")</f>
        <v>csillámos kompozitsüveg</v>
      </c>
      <c r="B13977" s="21"/>
      <c r="C13977" s="21"/>
      <c r="D13977" s="21"/>
    </row>
    <row r="13978" spans="1:4" ht="12.75" customHeight="1" x14ac:dyDescent="0.2">
      <c r="A13978" s="20"/>
      <c r="B13978" s="2"/>
      <c r="C13978" s="7"/>
      <c r="D13978" s="7"/>
    </row>
    <row r="13979" spans="1:4" ht="12.75" customHeight="1" x14ac:dyDescent="0.2">
      <c r="A13979" s="21"/>
      <c r="B13979" s="3" t="s">
        <v>0</v>
      </c>
      <c r="C13979" s="23" t="s">
        <v>99</v>
      </c>
      <c r="D13979" s="21"/>
    </row>
    <row r="13980" spans="1:4" ht="12.75" customHeight="1" x14ac:dyDescent="0.2">
      <c r="A13980" s="21"/>
      <c r="B13980" s="3" t="s">
        <v>2</v>
      </c>
      <c r="C13980" s="23"/>
      <c r="D13980" s="21"/>
    </row>
    <row r="13981" spans="1:4" ht="12.75" customHeight="1" x14ac:dyDescent="0.2">
      <c r="A13981" s="21"/>
      <c r="B13981" s="3" t="s">
        <v>1840</v>
      </c>
      <c r="C13981" s="23" t="s">
        <v>261</v>
      </c>
      <c r="D13981" s="21"/>
    </row>
    <row r="13982" spans="1:4" ht="12.75" customHeight="1" x14ac:dyDescent="0.2">
      <c r="A13982" s="21"/>
      <c r="B13982" s="3" t="s">
        <v>9</v>
      </c>
      <c r="C13982" s="23" t="s">
        <v>1986</v>
      </c>
      <c r="D13982" s="21"/>
    </row>
    <row r="13983" spans="1:4" ht="12.75" customHeight="1" x14ac:dyDescent="0.2">
      <c r="A13983" s="21"/>
      <c r="B13983" s="3" t="s">
        <v>11</v>
      </c>
      <c r="C13983" s="23" t="s">
        <v>2160</v>
      </c>
      <c r="D13983" s="21"/>
    </row>
    <row r="13984" spans="1:4" ht="12.75" customHeight="1" x14ac:dyDescent="0.2">
      <c r="A13984" s="21"/>
      <c r="B13984" s="3" t="s">
        <v>16</v>
      </c>
      <c r="C13984" s="23"/>
      <c r="D13984" s="21"/>
    </row>
    <row r="13985" spans="1:4" ht="12.75" customHeight="1" x14ac:dyDescent="0.2">
      <c r="A13985" s="21"/>
      <c r="B13985" s="3" t="s">
        <v>17</v>
      </c>
      <c r="C13985" s="23" t="s">
        <v>19</v>
      </c>
      <c r="D13985" s="21"/>
    </row>
    <row r="13986" spans="1:4" ht="12.75" customHeight="1" x14ac:dyDescent="0.2">
      <c r="A13986" s="21"/>
      <c r="B13986" s="20" t="s">
        <v>18</v>
      </c>
      <c r="C13986" s="8" t="s">
        <v>57</v>
      </c>
      <c r="D13986" s="1" t="str">
        <f>HYPERLINK("javascript:void(0)","csillámgöb")</f>
        <v>csillámgöb</v>
      </c>
    </row>
    <row r="13987" spans="1:4" ht="12.75" customHeight="1" x14ac:dyDescent="0.2">
      <c r="A13987" s="21"/>
      <c r="B13987" s="21"/>
      <c r="C13987" s="8" t="s">
        <v>44</v>
      </c>
      <c r="D13987" s="1" t="str">
        <f>HYPERLINK("javascript:void(0)","csillámos yetisisak")</f>
        <v>csillámos yetisisak</v>
      </c>
    </row>
    <row r="13988" spans="1:4" ht="12.75" customHeight="1" x14ac:dyDescent="0.2">
      <c r="A13988" s="21"/>
      <c r="B13988" s="21"/>
      <c r="C13988" s="8" t="s">
        <v>139</v>
      </c>
      <c r="D13988" s="1" t="str">
        <f>HYPERLINK("javascript:void(0)","vasrög")</f>
        <v>vasrög</v>
      </c>
    </row>
    <row r="13989" spans="1:4" ht="12.75" customHeight="1" x14ac:dyDescent="0.2">
      <c r="A13989" s="21"/>
      <c r="B13989" s="2"/>
      <c r="C13989" s="7"/>
      <c r="D13989" s="7"/>
    </row>
    <row r="13990" spans="1:4" ht="12.75" customHeight="1" x14ac:dyDescent="0.2">
      <c r="A13990" s="21"/>
      <c r="B13990" s="2"/>
      <c r="C13990" s="7"/>
      <c r="D13990" s="7"/>
    </row>
    <row r="13991" spans="1:4" ht="12.75" customHeight="1" x14ac:dyDescent="0.2">
      <c r="A13991" s="21"/>
      <c r="B13991" s="2"/>
      <c r="C13991" s="7"/>
      <c r="D13991" s="7"/>
    </row>
    <row r="13992" spans="1:4" ht="12.75" customHeight="1" x14ac:dyDescent="0.2">
      <c r="A13992" s="21"/>
      <c r="B13992" s="2"/>
      <c r="C13992" s="7"/>
      <c r="D13992" s="7"/>
    </row>
    <row r="13993" spans="1:4" ht="12.75" customHeight="1" x14ac:dyDescent="0.2">
      <c r="A13993" s="5"/>
      <c r="B13993" s="2"/>
      <c r="C13993" s="7"/>
      <c r="D13993" s="7"/>
    </row>
    <row r="13994" spans="1:4" ht="12.75" customHeight="1" x14ac:dyDescent="0.2">
      <c r="A13994" s="22" t="str">
        <f>HYPERLINK("javascript:void(0)","csillámló kompozitpáncél")</f>
        <v>csillámló kompozitpáncél</v>
      </c>
      <c r="B13994" s="21"/>
      <c r="C13994" s="21"/>
      <c r="D13994" s="21"/>
    </row>
    <row r="13995" spans="1:4" ht="12.75" customHeight="1" x14ac:dyDescent="0.2">
      <c r="A13995" s="20"/>
      <c r="B13995" s="2"/>
      <c r="C13995" s="7"/>
      <c r="D13995" s="7"/>
    </row>
    <row r="13996" spans="1:4" ht="12.75" customHeight="1" x14ac:dyDescent="0.2">
      <c r="A13996" s="21"/>
      <c r="B13996" s="3" t="s">
        <v>0</v>
      </c>
      <c r="C13996" s="23" t="s">
        <v>99</v>
      </c>
      <c r="D13996" s="21"/>
    </row>
    <row r="13997" spans="1:4" ht="12.75" customHeight="1" x14ac:dyDescent="0.2">
      <c r="A13997" s="21"/>
      <c r="B13997" s="3" t="s">
        <v>2</v>
      </c>
      <c r="C13997" s="23" t="s">
        <v>2322</v>
      </c>
      <c r="D13997" s="21"/>
    </row>
    <row r="13998" spans="1:4" ht="12.75" customHeight="1" x14ac:dyDescent="0.2">
      <c r="A13998" s="21"/>
      <c r="B13998" s="3" t="s">
        <v>1840</v>
      </c>
      <c r="C13998" s="23" t="s">
        <v>1857</v>
      </c>
      <c r="D13998" s="21"/>
    </row>
    <row r="13999" spans="1:4" ht="12.75" customHeight="1" x14ac:dyDescent="0.2">
      <c r="A13999" s="21"/>
      <c r="B13999" s="3" t="s">
        <v>9</v>
      </c>
      <c r="C13999" s="23" t="s">
        <v>1286</v>
      </c>
      <c r="D13999" s="21"/>
    </row>
    <row r="14000" spans="1:4" ht="12.75" customHeight="1" x14ac:dyDescent="0.2">
      <c r="A14000" s="21"/>
      <c r="B14000" s="3" t="s">
        <v>11</v>
      </c>
      <c r="C14000" s="23" t="s">
        <v>2160</v>
      </c>
      <c r="D14000" s="21"/>
    </row>
    <row r="14001" spans="1:4" ht="12.75" customHeight="1" x14ac:dyDescent="0.2">
      <c r="A14001" s="21"/>
      <c r="B14001" s="3" t="s">
        <v>16</v>
      </c>
      <c r="C14001" s="23"/>
      <c r="D14001" s="21"/>
    </row>
    <row r="14002" spans="1:4" ht="12.75" customHeight="1" x14ac:dyDescent="0.2">
      <c r="A14002" s="21"/>
      <c r="B14002" s="3" t="s">
        <v>17</v>
      </c>
      <c r="C14002" s="23" t="s">
        <v>19</v>
      </c>
      <c r="D14002" s="21"/>
    </row>
    <row r="14003" spans="1:4" ht="12.75" customHeight="1" x14ac:dyDescent="0.2">
      <c r="A14003" s="21"/>
      <c r="B14003" s="20" t="s">
        <v>18</v>
      </c>
      <c r="C14003" s="8" t="s">
        <v>57</v>
      </c>
      <c r="D14003" s="1" t="str">
        <f>HYPERLINK("javascript:void(0)","csillámgöb")</f>
        <v>csillámgöb</v>
      </c>
    </row>
    <row r="14004" spans="1:4" ht="12.75" customHeight="1" x14ac:dyDescent="0.2">
      <c r="A14004" s="21"/>
      <c r="B14004" s="21"/>
      <c r="C14004" s="8" t="s">
        <v>44</v>
      </c>
      <c r="D14004" s="1" t="str">
        <f>HYPERLINK("javascript:void(0)","csillámló yetipáncél")</f>
        <v>csillámló yetipáncél</v>
      </c>
    </row>
    <row r="14005" spans="1:4" ht="12.75" customHeight="1" x14ac:dyDescent="0.2">
      <c r="A14005" s="21"/>
      <c r="B14005" s="21"/>
      <c r="C14005" s="8" t="s">
        <v>193</v>
      </c>
      <c r="D14005" s="1" t="str">
        <f>HYPERLINK("javascript:void(0)","vérrög")</f>
        <v>vérrög</v>
      </c>
    </row>
    <row r="14006" spans="1:4" ht="12.75" customHeight="1" x14ac:dyDescent="0.2">
      <c r="A14006" s="21"/>
      <c r="B14006" s="2"/>
      <c r="C14006" s="7"/>
      <c r="D14006" s="7"/>
    </row>
    <row r="14007" spans="1:4" ht="12.75" customHeight="1" x14ac:dyDescent="0.2">
      <c r="A14007" s="21"/>
      <c r="B14007" s="2"/>
      <c r="C14007" s="7"/>
      <c r="D14007" s="7"/>
    </row>
    <row r="14008" spans="1:4" ht="12.75" customHeight="1" x14ac:dyDescent="0.2">
      <c r="A14008" s="21"/>
      <c r="B14008" s="2"/>
      <c r="C14008" s="7"/>
      <c r="D14008" s="7"/>
    </row>
    <row r="14009" spans="1:4" ht="12.75" customHeight="1" x14ac:dyDescent="0.2">
      <c r="A14009" s="21"/>
      <c r="B14009" s="2"/>
      <c r="C14009" s="7"/>
      <c r="D14009" s="7"/>
    </row>
    <row r="14010" spans="1:4" ht="12.75" customHeight="1" x14ac:dyDescent="0.2">
      <c r="A14010" s="5"/>
      <c r="B14010" s="2"/>
      <c r="C14010" s="7"/>
      <c r="D14010" s="7"/>
    </row>
    <row r="14011" spans="1:4" ht="12.75" customHeight="1" x14ac:dyDescent="0.2">
      <c r="A14011" s="22" t="str">
        <f>HYPERLINK("javascript:void(0)","pántpáncél")</f>
        <v>pántpáncél</v>
      </c>
      <c r="B14011" s="21"/>
      <c r="C14011" s="21"/>
      <c r="D14011" s="21"/>
    </row>
    <row r="14012" spans="1:4" ht="12.75" customHeight="1" x14ac:dyDescent="0.2">
      <c r="A14012" s="20"/>
      <c r="B14012" s="2"/>
      <c r="C14012" s="7"/>
      <c r="D14012" s="7"/>
    </row>
    <row r="14013" spans="1:4" ht="12.75" customHeight="1" x14ac:dyDescent="0.2">
      <c r="A14013" s="21"/>
      <c r="B14013" s="3" t="s">
        <v>0</v>
      </c>
      <c r="C14013" s="23" t="s">
        <v>341</v>
      </c>
      <c r="D14013" s="21"/>
    </row>
    <row r="14014" spans="1:4" ht="12.75" customHeight="1" x14ac:dyDescent="0.2">
      <c r="A14014" s="21"/>
      <c r="B14014" s="3" t="s">
        <v>2</v>
      </c>
      <c r="C14014" s="23" t="s">
        <v>2322</v>
      </c>
      <c r="D14014" s="21"/>
    </row>
    <row r="14015" spans="1:4" ht="12.75" customHeight="1" x14ac:dyDescent="0.2">
      <c r="A14015" s="21"/>
      <c r="B14015" s="3" t="s">
        <v>1840</v>
      </c>
      <c r="C14015" s="23" t="s">
        <v>2515</v>
      </c>
      <c r="D14015" s="21"/>
    </row>
    <row r="14016" spans="1:4" ht="12.75" customHeight="1" x14ac:dyDescent="0.2">
      <c r="A14016" s="21"/>
      <c r="B14016" s="3" t="s">
        <v>9</v>
      </c>
      <c r="C14016" s="23" t="s">
        <v>2049</v>
      </c>
      <c r="D14016" s="21"/>
    </row>
    <row r="14017" spans="1:4" ht="12.75" customHeight="1" x14ac:dyDescent="0.2">
      <c r="A14017" s="21"/>
      <c r="B14017" s="3" t="s">
        <v>11</v>
      </c>
      <c r="C14017" s="23" t="s">
        <v>1029</v>
      </c>
      <c r="D14017" s="21"/>
    </row>
    <row r="14018" spans="1:4" ht="12.75" customHeight="1" x14ac:dyDescent="0.2">
      <c r="A14018" s="21"/>
      <c r="B14018" s="3" t="s">
        <v>16</v>
      </c>
      <c r="C14018" s="23"/>
      <c r="D14018" s="21"/>
    </row>
    <row r="14019" spans="1:4" ht="12.75" customHeight="1" x14ac:dyDescent="0.2">
      <c r="A14019" s="21"/>
      <c r="B14019" s="3" t="s">
        <v>17</v>
      </c>
      <c r="C14019" s="23" t="s">
        <v>19</v>
      </c>
      <c r="D14019" s="21"/>
    </row>
    <row r="14020" spans="1:4" ht="12.75" customHeight="1" x14ac:dyDescent="0.2">
      <c r="A14020" s="21"/>
      <c r="B14020" s="20" t="s">
        <v>18</v>
      </c>
      <c r="C14020" s="8" t="s">
        <v>244</v>
      </c>
      <c r="D14020" s="1" t="str">
        <f>HYPERLINK("javascript:void(0)","cingulum")</f>
        <v>cingulum</v>
      </c>
    </row>
    <row r="14021" spans="1:4" ht="12.75" customHeight="1" x14ac:dyDescent="0.2">
      <c r="A14021" s="21"/>
      <c r="B14021" s="21"/>
      <c r="C14021" s="8" t="s">
        <v>290</v>
      </c>
      <c r="D14021" s="1" t="str">
        <f>HYPERLINK("javascript:void(0)","fülcsáp")</f>
        <v>fülcsáp</v>
      </c>
    </row>
    <row r="14022" spans="1:4" ht="12.75" customHeight="1" x14ac:dyDescent="0.2">
      <c r="A14022" s="21"/>
      <c r="B14022" s="21"/>
      <c r="C14022" s="8" t="s">
        <v>786</v>
      </c>
      <c r="D14022" s="1" t="str">
        <f>HYPERLINK("javascript:void(0)","ködpikkely")</f>
        <v>ködpikkely</v>
      </c>
    </row>
    <row r="14023" spans="1:4" ht="12.75" customHeight="1" x14ac:dyDescent="0.2">
      <c r="A14023" s="21"/>
      <c r="B14023" s="2"/>
      <c r="C14023" s="7"/>
      <c r="D14023" s="7"/>
    </row>
    <row r="14024" spans="1:4" ht="12.75" customHeight="1" x14ac:dyDescent="0.2">
      <c r="A14024" s="21"/>
      <c r="B14024" s="2"/>
      <c r="C14024" s="7"/>
      <c r="D14024" s="7"/>
    </row>
    <row r="14025" spans="1:4" ht="12.75" customHeight="1" x14ac:dyDescent="0.2">
      <c r="A14025" s="21"/>
      <c r="B14025" s="2"/>
      <c r="C14025" s="7"/>
      <c r="D14025" s="7"/>
    </row>
    <row r="14026" spans="1:4" ht="12.75" customHeight="1" x14ac:dyDescent="0.2">
      <c r="A14026" s="21"/>
      <c r="B14026" s="2"/>
      <c r="C14026" s="7"/>
      <c r="D14026" s="7"/>
    </row>
    <row r="14027" spans="1:4" ht="12.75" customHeight="1" x14ac:dyDescent="0.2">
      <c r="A14027" s="5"/>
      <c r="B14027" s="2"/>
      <c r="C14027" s="7"/>
      <c r="D14027" s="7"/>
    </row>
    <row r="14028" spans="1:4" ht="12.75" customHeight="1" x14ac:dyDescent="0.2">
      <c r="A14028" s="22" t="str">
        <f>HYPERLINK("javascript:void(0)","rémbascinet")</f>
        <v>rémbascinet</v>
      </c>
      <c r="B14028" s="21"/>
      <c r="C14028" s="21"/>
      <c r="D14028" s="21"/>
    </row>
    <row r="14029" spans="1:4" ht="12.75" customHeight="1" x14ac:dyDescent="0.2">
      <c r="A14029" s="20"/>
      <c r="B14029" s="2"/>
      <c r="C14029" s="7"/>
      <c r="D14029" s="7"/>
    </row>
    <row r="14030" spans="1:4" ht="12.75" customHeight="1" x14ac:dyDescent="0.2">
      <c r="A14030" s="21"/>
      <c r="B14030" s="3" t="s">
        <v>0</v>
      </c>
      <c r="C14030" s="23" t="s">
        <v>341</v>
      </c>
      <c r="D14030" s="21"/>
    </row>
    <row r="14031" spans="1:4" ht="12.75" customHeight="1" x14ac:dyDescent="0.2">
      <c r="A14031" s="21"/>
      <c r="B14031" s="3" t="s">
        <v>2</v>
      </c>
      <c r="C14031" s="23"/>
      <c r="D14031" s="21"/>
    </row>
    <row r="14032" spans="1:4" ht="12.75" customHeight="1" x14ac:dyDescent="0.2">
      <c r="A14032" s="21"/>
      <c r="B14032" s="3" t="s">
        <v>1840</v>
      </c>
      <c r="C14032" s="23" t="s">
        <v>554</v>
      </c>
      <c r="D14032" s="21"/>
    </row>
    <row r="14033" spans="1:4" ht="12.75" customHeight="1" x14ac:dyDescent="0.2">
      <c r="A14033" s="21"/>
      <c r="B14033" s="3" t="s">
        <v>9</v>
      </c>
      <c r="C14033" s="23" t="s">
        <v>1640</v>
      </c>
      <c r="D14033" s="21"/>
    </row>
    <row r="14034" spans="1:4" ht="12.75" customHeight="1" x14ac:dyDescent="0.2">
      <c r="A14034" s="21"/>
      <c r="B14034" s="3" t="s">
        <v>11</v>
      </c>
      <c r="C14034" s="23" t="s">
        <v>1029</v>
      </c>
      <c r="D14034" s="21"/>
    </row>
    <row r="14035" spans="1:4" ht="12.75" customHeight="1" x14ac:dyDescent="0.2">
      <c r="A14035" s="21"/>
      <c r="B14035" s="3" t="s">
        <v>16</v>
      </c>
      <c r="C14035" s="23"/>
      <c r="D14035" s="21"/>
    </row>
    <row r="14036" spans="1:4" ht="12.75" customHeight="1" x14ac:dyDescent="0.2">
      <c r="A14036" s="21"/>
      <c r="B14036" s="3" t="s">
        <v>17</v>
      </c>
      <c r="C14036" s="23" t="s">
        <v>19</v>
      </c>
      <c r="D14036" s="21"/>
    </row>
    <row r="14037" spans="1:4" ht="12.75" customHeight="1" x14ac:dyDescent="0.2">
      <c r="A14037" s="21"/>
      <c r="B14037" s="20" t="s">
        <v>18</v>
      </c>
      <c r="C14037" s="8" t="s">
        <v>244</v>
      </c>
      <c r="D14037" s="1" t="str">
        <f>HYPERLINK("javascript:void(0)","rémkép")</f>
        <v>rémkép</v>
      </c>
    </row>
    <row r="14038" spans="1:4" ht="12.75" customHeight="1" x14ac:dyDescent="0.2">
      <c r="A14038" s="21"/>
      <c r="B14038" s="21"/>
      <c r="C14038" s="8" t="s">
        <v>44</v>
      </c>
      <c r="D14038" s="1" t="str">
        <f>HYPERLINK("javascript:void(0)","szárnyas bascinet")</f>
        <v>szárnyas bascinet</v>
      </c>
    </row>
    <row r="14039" spans="1:4" ht="12.75" customHeight="1" x14ac:dyDescent="0.2">
      <c r="A14039" s="21"/>
      <c r="B14039" s="21"/>
      <c r="C14039" s="8" t="s">
        <v>244</v>
      </c>
      <c r="D14039" s="1" t="str">
        <f>HYPERLINK("javascript:void(0)","antiige")</f>
        <v>antiige</v>
      </c>
    </row>
    <row r="14040" spans="1:4" ht="12.75" customHeight="1" x14ac:dyDescent="0.2">
      <c r="A14040" s="21"/>
      <c r="B14040" s="2"/>
      <c r="C14040" s="7"/>
      <c r="D14040" s="7"/>
    </row>
    <row r="14041" spans="1:4" ht="12.75" customHeight="1" x14ac:dyDescent="0.2">
      <c r="A14041" s="21"/>
      <c r="B14041" s="2"/>
      <c r="C14041" s="7"/>
      <c r="D14041" s="7"/>
    </row>
    <row r="14042" spans="1:4" ht="12.75" customHeight="1" x14ac:dyDescent="0.2">
      <c r="A14042" s="21"/>
      <c r="B14042" s="2"/>
      <c r="C14042" s="7"/>
      <c r="D14042" s="7"/>
    </row>
    <row r="14043" spans="1:4" ht="12.75" customHeight="1" x14ac:dyDescent="0.2">
      <c r="A14043" s="21"/>
      <c r="B14043" s="2"/>
      <c r="C14043" s="7"/>
      <c r="D14043" s="7"/>
    </row>
    <row r="14044" spans="1:4" ht="12.75" customHeight="1" x14ac:dyDescent="0.2">
      <c r="A14044" s="5"/>
      <c r="B14044" s="2"/>
      <c r="C14044" s="7"/>
      <c r="D14044" s="7"/>
    </row>
    <row r="14045" spans="1:4" ht="12.75" customHeight="1" x14ac:dyDescent="0.2">
      <c r="A14045" s="22" t="str">
        <f>HYPERLINK("javascript:void(0)","cordiomokaszin")</f>
        <v>cordiomokaszin</v>
      </c>
      <c r="B14045" s="21"/>
      <c r="C14045" s="21"/>
      <c r="D14045" s="21"/>
    </row>
    <row r="14046" spans="1:4" ht="12.75" customHeight="1" x14ac:dyDescent="0.2">
      <c r="A14046" s="20"/>
      <c r="B14046" s="2"/>
      <c r="C14046" s="7"/>
      <c r="D14046" s="7"/>
    </row>
    <row r="14047" spans="1:4" ht="12.75" customHeight="1" x14ac:dyDescent="0.2">
      <c r="A14047" s="21"/>
      <c r="B14047" s="3" t="s">
        <v>0</v>
      </c>
      <c r="C14047" s="23" t="s">
        <v>341</v>
      </c>
      <c r="D14047" s="21"/>
    </row>
    <row r="14048" spans="1:4" ht="12.75" customHeight="1" x14ac:dyDescent="0.2">
      <c r="A14048" s="21"/>
      <c r="B14048" s="3" t="s">
        <v>2</v>
      </c>
      <c r="C14048" s="23"/>
      <c r="D14048" s="21"/>
    </row>
    <row r="14049" spans="1:4" ht="12.75" customHeight="1" x14ac:dyDescent="0.2">
      <c r="A14049" s="21"/>
      <c r="B14049" s="3" t="s">
        <v>1840</v>
      </c>
      <c r="C14049" s="23" t="s">
        <v>2171</v>
      </c>
      <c r="D14049" s="21"/>
    </row>
    <row r="14050" spans="1:4" ht="12.75" customHeight="1" x14ac:dyDescent="0.2">
      <c r="A14050" s="21"/>
      <c r="B14050" s="3" t="s">
        <v>9</v>
      </c>
      <c r="C14050" s="23" t="s">
        <v>93</v>
      </c>
      <c r="D14050" s="21"/>
    </row>
    <row r="14051" spans="1:4" ht="12.75" customHeight="1" x14ac:dyDescent="0.2">
      <c r="A14051" s="21"/>
      <c r="B14051" s="3" t="s">
        <v>11</v>
      </c>
      <c r="C14051" s="23" t="s">
        <v>1544</v>
      </c>
      <c r="D14051" s="21"/>
    </row>
    <row r="14052" spans="1:4" ht="12.75" customHeight="1" x14ac:dyDescent="0.2">
      <c r="A14052" s="21"/>
      <c r="B14052" s="3" t="s">
        <v>16</v>
      </c>
      <c r="C14052" s="23"/>
      <c r="D14052" s="21"/>
    </row>
    <row r="14053" spans="1:4" ht="12.75" customHeight="1" x14ac:dyDescent="0.2">
      <c r="A14053" s="21"/>
      <c r="B14053" s="3" t="s">
        <v>17</v>
      </c>
      <c r="C14053" s="23" t="s">
        <v>19</v>
      </c>
      <c r="D14053" s="21"/>
    </row>
    <row r="14054" spans="1:4" ht="12.75" customHeight="1" x14ac:dyDescent="0.2">
      <c r="A14054" s="21"/>
      <c r="B14054" s="20" t="s">
        <v>18</v>
      </c>
      <c r="C14054" s="8" t="s">
        <v>44</v>
      </c>
      <c r="D14054" s="1" t="str">
        <f>HYPERLINK("javascript:void(0)","dobtaposó")</f>
        <v>dobtaposó</v>
      </c>
    </row>
    <row r="14055" spans="1:4" ht="12.75" customHeight="1" x14ac:dyDescent="0.2">
      <c r="A14055" s="21"/>
      <c r="B14055" s="21"/>
      <c r="C14055" s="8" t="s">
        <v>44</v>
      </c>
      <c r="D14055" s="1" t="str">
        <f>HYPERLINK("javascript:void(0)","cordiofűző")</f>
        <v>cordiofűző</v>
      </c>
    </row>
    <row r="14056" spans="1:4" ht="12.75" customHeight="1" x14ac:dyDescent="0.2">
      <c r="A14056" s="21"/>
      <c r="B14056" s="21"/>
      <c r="C14056" s="8" t="s">
        <v>44</v>
      </c>
      <c r="D14056" s="1" t="str">
        <f>HYPERLINK("javascript:void(0)","kriptonacél saru")</f>
        <v>kriptonacél saru</v>
      </c>
    </row>
    <row r="14057" spans="1:4" ht="12.75" customHeight="1" x14ac:dyDescent="0.2">
      <c r="A14057" s="21"/>
      <c r="B14057" s="2"/>
      <c r="C14057" s="7"/>
      <c r="D14057" s="7"/>
    </row>
    <row r="14058" spans="1:4" ht="12.75" customHeight="1" x14ac:dyDescent="0.2">
      <c r="A14058" s="21"/>
      <c r="B14058" s="2"/>
      <c r="C14058" s="7"/>
      <c r="D14058" s="7"/>
    </row>
    <row r="14059" spans="1:4" ht="12.75" customHeight="1" x14ac:dyDescent="0.2">
      <c r="A14059" s="21"/>
      <c r="B14059" s="2"/>
      <c r="C14059" s="7"/>
      <c r="D14059" s="7"/>
    </row>
    <row r="14060" spans="1:4" ht="12.75" customHeight="1" x14ac:dyDescent="0.2">
      <c r="A14060" s="21"/>
      <c r="B14060" s="2"/>
      <c r="C14060" s="7"/>
      <c r="D14060" s="7"/>
    </row>
    <row r="14061" spans="1:4" ht="12.75" customHeight="1" x14ac:dyDescent="0.2">
      <c r="A14061" s="5"/>
      <c r="B14061" s="2"/>
      <c r="C14061" s="7"/>
      <c r="D14061" s="7"/>
    </row>
    <row r="14062" spans="1:4" ht="12.75" customHeight="1" x14ac:dyDescent="0.2">
      <c r="A14062" s="22" t="str">
        <f>HYPERLINK("javascript:void(0)","rémtestpajzs")</f>
        <v>rémtestpajzs</v>
      </c>
      <c r="B14062" s="21"/>
      <c r="C14062" s="21"/>
      <c r="D14062" s="21"/>
    </row>
    <row r="14063" spans="1:4" ht="12.75" customHeight="1" x14ac:dyDescent="0.2">
      <c r="A14063" s="20"/>
      <c r="B14063" s="2"/>
      <c r="C14063" s="7"/>
      <c r="D14063" s="7"/>
    </row>
    <row r="14064" spans="1:4" ht="12.75" customHeight="1" x14ac:dyDescent="0.2">
      <c r="A14064" s="21"/>
      <c r="B14064" s="3" t="s">
        <v>0</v>
      </c>
      <c r="C14064" s="23" t="s">
        <v>341</v>
      </c>
      <c r="D14064" s="21"/>
    </row>
    <row r="14065" spans="1:4" ht="12.75" customHeight="1" x14ac:dyDescent="0.2">
      <c r="A14065" s="21"/>
      <c r="B14065" s="3" t="s">
        <v>2</v>
      </c>
      <c r="C14065" s="23" t="s">
        <v>1839</v>
      </c>
      <c r="D14065" s="21"/>
    </row>
    <row r="14066" spans="1:4" ht="12.75" customHeight="1" x14ac:dyDescent="0.2">
      <c r="A14066" s="21"/>
      <c r="B14066" s="3" t="s">
        <v>1840</v>
      </c>
      <c r="C14066" s="23" t="s">
        <v>5370</v>
      </c>
      <c r="D14066" s="21"/>
    </row>
    <row r="14067" spans="1:4" ht="12.75" customHeight="1" x14ac:dyDescent="0.2">
      <c r="A14067" s="21"/>
      <c r="B14067" s="3" t="s">
        <v>9</v>
      </c>
      <c r="C14067" s="23" t="s">
        <v>5371</v>
      </c>
      <c r="D14067" s="21"/>
    </row>
    <row r="14068" spans="1:4" ht="12.75" customHeight="1" x14ac:dyDescent="0.2">
      <c r="A14068" s="21"/>
      <c r="B14068" s="3" t="s">
        <v>11</v>
      </c>
      <c r="C14068" s="23" t="s">
        <v>1577</v>
      </c>
      <c r="D14068" s="21"/>
    </row>
    <row r="14069" spans="1:4" ht="12.75" customHeight="1" x14ac:dyDescent="0.2">
      <c r="A14069" s="21"/>
      <c r="B14069" s="3" t="s">
        <v>16</v>
      </c>
      <c r="C14069" s="23"/>
      <c r="D14069" s="21"/>
    </row>
    <row r="14070" spans="1:4" ht="12.75" customHeight="1" x14ac:dyDescent="0.2">
      <c r="A14070" s="21"/>
      <c r="B14070" s="3" t="s">
        <v>17</v>
      </c>
      <c r="C14070" s="23" t="s">
        <v>19</v>
      </c>
      <c r="D14070" s="21"/>
    </row>
    <row r="14071" spans="1:4" ht="12.75" customHeight="1" x14ac:dyDescent="0.2">
      <c r="A14071" s="21"/>
      <c r="B14071" s="20" t="s">
        <v>18</v>
      </c>
      <c r="C14071" s="8" t="s">
        <v>44</v>
      </c>
      <c r="D14071" s="1" t="str">
        <f>HYPERLINK("javascript:void(0)","gólemtestpajzs")</f>
        <v>gólemtestpajzs</v>
      </c>
    </row>
    <row r="14072" spans="1:4" ht="12.75" customHeight="1" x14ac:dyDescent="0.2">
      <c r="A14072" s="21"/>
      <c r="B14072" s="21"/>
      <c r="C14072" s="8" t="s">
        <v>240</v>
      </c>
      <c r="D14072" s="1" t="str">
        <f>HYPERLINK("javascript:void(0)","cingulum")</f>
        <v>cingulum</v>
      </c>
    </row>
    <row r="14073" spans="1:4" ht="12.75" customHeight="1" x14ac:dyDescent="0.2">
      <c r="A14073" s="21"/>
      <c r="B14073" s="21"/>
      <c r="C14073" s="8" t="s">
        <v>139</v>
      </c>
      <c r="D14073" s="1" t="str">
        <f>HYPERLINK("javascript:void(0)","rojt")</f>
        <v>rojt</v>
      </c>
    </row>
    <row r="14074" spans="1:4" ht="12.75" customHeight="1" x14ac:dyDescent="0.2">
      <c r="A14074" s="21"/>
      <c r="B14074" s="2"/>
      <c r="C14074" s="7"/>
      <c r="D14074" s="7"/>
    </row>
    <row r="14075" spans="1:4" ht="12.75" customHeight="1" x14ac:dyDescent="0.2">
      <c r="A14075" s="21"/>
      <c r="B14075" s="2"/>
      <c r="C14075" s="7"/>
      <c r="D14075" s="7"/>
    </row>
    <row r="14076" spans="1:4" ht="12.75" customHeight="1" x14ac:dyDescent="0.2">
      <c r="A14076" s="21"/>
      <c r="B14076" s="2"/>
      <c r="C14076" s="7"/>
      <c r="D14076" s="7"/>
    </row>
    <row r="14077" spans="1:4" ht="12.75" customHeight="1" x14ac:dyDescent="0.2">
      <c r="A14077" s="21"/>
      <c r="B14077" s="2"/>
      <c r="C14077" s="7"/>
      <c r="D14077" s="7"/>
    </row>
    <row r="14078" spans="1:4" ht="12.75" customHeight="1" x14ac:dyDescent="0.2">
      <c r="A14078" s="5"/>
      <c r="B14078" s="2"/>
      <c r="C14078" s="7"/>
      <c r="D14078" s="7"/>
    </row>
    <row r="14079" spans="1:4" ht="12.75" customHeight="1" x14ac:dyDescent="0.2">
      <c r="A14079" s="22" t="str">
        <f>HYPERLINK("javascript:void(0)","harmatos szellempajzs")</f>
        <v>harmatos szellempajzs</v>
      </c>
      <c r="B14079" s="21"/>
      <c r="C14079" s="21"/>
      <c r="D14079" s="21"/>
    </row>
    <row r="14080" spans="1:4" ht="12.75" customHeight="1" x14ac:dyDescent="0.2">
      <c r="A14080" s="20"/>
      <c r="B14080" s="2"/>
      <c r="C14080" s="7"/>
      <c r="D14080" s="7"/>
    </row>
    <row r="14081" spans="1:4" ht="12.75" customHeight="1" x14ac:dyDescent="0.2">
      <c r="A14081" s="21"/>
      <c r="B14081" s="3" t="s">
        <v>0</v>
      </c>
      <c r="C14081" s="23" t="s">
        <v>341</v>
      </c>
      <c r="D14081" s="21"/>
    </row>
    <row r="14082" spans="1:4" ht="12.75" customHeight="1" x14ac:dyDescent="0.2">
      <c r="A14082" s="21"/>
      <c r="B14082" s="3" t="s">
        <v>2</v>
      </c>
      <c r="C14082" s="23" t="s">
        <v>1839</v>
      </c>
      <c r="D14082" s="21"/>
    </row>
    <row r="14083" spans="1:4" ht="12.75" customHeight="1" x14ac:dyDescent="0.2">
      <c r="A14083" s="21"/>
      <c r="B14083" s="3" t="s">
        <v>1840</v>
      </c>
      <c r="C14083" s="23" t="s">
        <v>5370</v>
      </c>
      <c r="D14083" s="21"/>
    </row>
    <row r="14084" spans="1:4" ht="12.75" customHeight="1" x14ac:dyDescent="0.2">
      <c r="A14084" s="21"/>
      <c r="B14084" s="3" t="s">
        <v>9</v>
      </c>
      <c r="C14084" s="23" t="s">
        <v>1144</v>
      </c>
      <c r="D14084" s="21"/>
    </row>
    <row r="14085" spans="1:4" ht="12.75" customHeight="1" x14ac:dyDescent="0.2">
      <c r="A14085" s="21"/>
      <c r="B14085" s="3" t="s">
        <v>11</v>
      </c>
      <c r="C14085" s="23" t="s">
        <v>1047</v>
      </c>
      <c r="D14085" s="21"/>
    </row>
    <row r="14086" spans="1:4" ht="12.75" customHeight="1" x14ac:dyDescent="0.2">
      <c r="A14086" s="21"/>
      <c r="B14086" s="3" t="s">
        <v>16</v>
      </c>
      <c r="C14086" s="23"/>
      <c r="D14086" s="21"/>
    </row>
    <row r="14087" spans="1:4" ht="12.75" customHeight="1" x14ac:dyDescent="0.2">
      <c r="A14087" s="21"/>
      <c r="B14087" s="3" t="s">
        <v>17</v>
      </c>
      <c r="C14087" s="23" t="s">
        <v>19</v>
      </c>
      <c r="D14087" s="21"/>
    </row>
    <row r="14088" spans="1:4" ht="12.75" customHeight="1" x14ac:dyDescent="0.2">
      <c r="A14088" s="21"/>
      <c r="B14088" s="20" t="s">
        <v>18</v>
      </c>
      <c r="C14088" s="8" t="s">
        <v>44</v>
      </c>
      <c r="D14088" s="1" t="str">
        <f>HYPERLINK("javascript:void(0)","rémtestpajzs")</f>
        <v>rémtestpajzs</v>
      </c>
    </row>
    <row r="14089" spans="1:4" ht="12.75" customHeight="1" x14ac:dyDescent="0.2">
      <c r="A14089" s="21"/>
      <c r="B14089" s="21"/>
      <c r="C14089" s="8" t="s">
        <v>403</v>
      </c>
      <c r="D14089" s="1" t="str">
        <f>HYPERLINK("javascript:void(0)","ködpikkely")</f>
        <v>ködpikkely</v>
      </c>
    </row>
    <row r="14090" spans="1:4" ht="12.75" customHeight="1" x14ac:dyDescent="0.2">
      <c r="A14090" s="21"/>
      <c r="B14090" s="21"/>
      <c r="C14090" s="8" t="s">
        <v>772</v>
      </c>
      <c r="D14090" s="1" t="str">
        <f>HYPERLINK("javascript:void(0)","cingulum")</f>
        <v>cingulum</v>
      </c>
    </row>
    <row r="14091" spans="1:4" ht="12.75" customHeight="1" x14ac:dyDescent="0.2">
      <c r="A14091" s="21"/>
      <c r="B14091" s="2"/>
      <c r="C14091" s="7"/>
      <c r="D14091" s="7"/>
    </row>
    <row r="14092" spans="1:4" ht="12.75" customHeight="1" x14ac:dyDescent="0.2">
      <c r="A14092" s="21"/>
      <c r="B14092" s="2"/>
      <c r="C14092" s="7"/>
      <c r="D14092" s="7"/>
    </row>
    <row r="14093" spans="1:4" ht="12.75" customHeight="1" x14ac:dyDescent="0.2">
      <c r="A14093" s="21"/>
      <c r="B14093" s="2"/>
      <c r="C14093" s="7"/>
      <c r="D14093" s="7"/>
    </row>
    <row r="14094" spans="1:4" ht="12.75" customHeight="1" x14ac:dyDescent="0.2">
      <c r="A14094" s="21"/>
      <c r="B14094" s="2"/>
      <c r="C14094" s="7"/>
      <c r="D14094" s="7"/>
    </row>
    <row r="14095" spans="1:4" ht="12.75" customHeight="1" x14ac:dyDescent="0.2">
      <c r="A14095" s="5"/>
      <c r="B14095" s="2"/>
      <c r="C14095" s="7"/>
      <c r="D14095" s="7"/>
    </row>
    <row r="14096" spans="1:4" ht="12.75" customHeight="1" x14ac:dyDescent="0.2">
      <c r="A14096" s="22" t="str">
        <f>HYPERLINK("javascript:void(0)","cordiofűző")</f>
        <v>cordiofűző</v>
      </c>
      <c r="B14096" s="21"/>
      <c r="C14096" s="21"/>
      <c r="D14096" s="21"/>
    </row>
    <row r="14097" spans="1:4" ht="12.75" customHeight="1" x14ac:dyDescent="0.2">
      <c r="A14097" s="20"/>
      <c r="B14097" s="2"/>
      <c r="C14097" s="7"/>
      <c r="D14097" s="7"/>
    </row>
    <row r="14098" spans="1:4" ht="12.75" customHeight="1" x14ac:dyDescent="0.2">
      <c r="A14098" s="21"/>
      <c r="B14098" s="3" t="s">
        <v>0</v>
      </c>
      <c r="C14098" s="23" t="s">
        <v>341</v>
      </c>
      <c r="D14098" s="21"/>
    </row>
    <row r="14099" spans="1:4" ht="12.75" customHeight="1" x14ac:dyDescent="0.2">
      <c r="A14099" s="21"/>
      <c r="B14099" s="3" t="s">
        <v>2</v>
      </c>
      <c r="C14099" s="23"/>
      <c r="D14099" s="21"/>
    </row>
    <row r="14100" spans="1:4" ht="12.75" customHeight="1" x14ac:dyDescent="0.2">
      <c r="A14100" s="21"/>
      <c r="B14100" s="3" t="s">
        <v>1840</v>
      </c>
      <c r="C14100" s="23" t="s">
        <v>204</v>
      </c>
      <c r="D14100" s="21"/>
    </row>
    <row r="14101" spans="1:4" ht="12.75" customHeight="1" x14ac:dyDescent="0.2">
      <c r="A14101" s="21"/>
      <c r="B14101" s="3" t="s">
        <v>9</v>
      </c>
      <c r="C14101" s="23" t="s">
        <v>70</v>
      </c>
      <c r="D14101" s="21"/>
    </row>
    <row r="14102" spans="1:4" ht="12.75" customHeight="1" x14ac:dyDescent="0.2">
      <c r="A14102" s="21"/>
      <c r="B14102" s="3" t="s">
        <v>11</v>
      </c>
      <c r="C14102" s="23" t="s">
        <v>2144</v>
      </c>
      <c r="D14102" s="21"/>
    </row>
    <row r="14103" spans="1:4" ht="12.75" customHeight="1" x14ac:dyDescent="0.2">
      <c r="A14103" s="21"/>
      <c r="B14103" s="3" t="s">
        <v>16</v>
      </c>
      <c r="C14103" s="23"/>
      <c r="D14103" s="21"/>
    </row>
    <row r="14104" spans="1:4" ht="12.75" customHeight="1" x14ac:dyDescent="0.2">
      <c r="A14104" s="21"/>
      <c r="B14104" s="3" t="s">
        <v>17</v>
      </c>
      <c r="C14104" s="23" t="s">
        <v>19</v>
      </c>
      <c r="D14104" s="21"/>
    </row>
    <row r="14105" spans="1:4" ht="12.75" customHeight="1" x14ac:dyDescent="0.2">
      <c r="A14105" s="21"/>
      <c r="B14105" s="20" t="s">
        <v>18</v>
      </c>
      <c r="C14105" s="8" t="s">
        <v>323</v>
      </c>
      <c r="D14105" s="1" t="str">
        <f>HYPERLINK("javascript:void(0)","cordionium")</f>
        <v>cordionium</v>
      </c>
    </row>
    <row r="14106" spans="1:4" ht="12.75" customHeight="1" x14ac:dyDescent="0.2">
      <c r="A14106" s="21"/>
      <c r="B14106" s="21"/>
      <c r="C14106" s="8" t="s">
        <v>269</v>
      </c>
      <c r="D14106" s="1" t="str">
        <f>HYPERLINK("javascript:void(0)","cingulum")</f>
        <v>cingulum</v>
      </c>
    </row>
    <row r="14107" spans="1:4" ht="12.75" customHeight="1" x14ac:dyDescent="0.2">
      <c r="A14107" s="21"/>
      <c r="B14107" s="21"/>
      <c r="C14107" s="8" t="s">
        <v>117</v>
      </c>
      <c r="D14107" s="1" t="str">
        <f>HYPERLINK("javascript:void(0)","lékék")</f>
        <v>lékék</v>
      </c>
    </row>
    <row r="14108" spans="1:4" ht="12.75" customHeight="1" x14ac:dyDescent="0.2">
      <c r="A14108" s="21"/>
      <c r="B14108" s="2"/>
      <c r="C14108" s="7"/>
      <c r="D14108" s="7"/>
    </row>
    <row r="14109" spans="1:4" ht="12.75" customHeight="1" x14ac:dyDescent="0.2">
      <c r="A14109" s="21"/>
      <c r="B14109" s="2"/>
      <c r="C14109" s="7"/>
      <c r="D14109" s="7"/>
    </row>
    <row r="14110" spans="1:4" ht="12.75" customHeight="1" x14ac:dyDescent="0.2">
      <c r="A14110" s="21"/>
      <c r="B14110" s="2"/>
      <c r="C14110" s="7"/>
      <c r="D14110" s="7"/>
    </row>
    <row r="14111" spans="1:4" ht="12.75" customHeight="1" x14ac:dyDescent="0.2">
      <c r="A14111" s="21"/>
      <c r="B14111" s="2"/>
      <c r="C14111" s="7"/>
      <c r="D14111" s="7"/>
    </row>
    <row r="14112" spans="1:4" ht="12.75" customHeight="1" x14ac:dyDescent="0.2">
      <c r="A14112" s="5"/>
      <c r="B14112" s="2"/>
      <c r="C14112" s="7"/>
      <c r="D14112" s="7"/>
    </row>
    <row r="14113" spans="1:4" ht="12.75" customHeight="1" x14ac:dyDescent="0.2">
      <c r="A14113" s="22" t="str">
        <f>HYPERLINK("javascript:void(0)","lélekpáncél")</f>
        <v>lélekpáncél</v>
      </c>
      <c r="B14113" s="21"/>
      <c r="C14113" s="21"/>
      <c r="D14113" s="21"/>
    </row>
    <row r="14114" spans="1:4" ht="12.75" customHeight="1" x14ac:dyDescent="0.2">
      <c r="A14114" s="20"/>
      <c r="B14114" s="2"/>
      <c r="C14114" s="7"/>
      <c r="D14114" s="7"/>
    </row>
    <row r="14115" spans="1:4" ht="12.75" customHeight="1" x14ac:dyDescent="0.2">
      <c r="A14115" s="21"/>
      <c r="B14115" s="3" t="s">
        <v>0</v>
      </c>
      <c r="C14115" s="23" t="s">
        <v>1060</v>
      </c>
      <c r="D14115" s="21"/>
    </row>
    <row r="14116" spans="1:4" ht="12.75" customHeight="1" x14ac:dyDescent="0.2">
      <c r="A14116" s="21"/>
      <c r="B14116" s="3" t="s">
        <v>2</v>
      </c>
      <c r="C14116" s="23" t="s">
        <v>2322</v>
      </c>
      <c r="D14116" s="21"/>
    </row>
    <row r="14117" spans="1:4" ht="12.75" customHeight="1" x14ac:dyDescent="0.2">
      <c r="A14117" s="21"/>
      <c r="B14117" s="3" t="s">
        <v>1840</v>
      </c>
      <c r="C14117" s="23" t="s">
        <v>359</v>
      </c>
      <c r="D14117" s="21"/>
    </row>
    <row r="14118" spans="1:4" ht="12.75" customHeight="1" x14ac:dyDescent="0.2">
      <c r="A14118" s="21"/>
      <c r="B14118" s="3" t="s">
        <v>9</v>
      </c>
      <c r="C14118" s="23" t="s">
        <v>210</v>
      </c>
      <c r="D14118" s="21"/>
    </row>
    <row r="14119" spans="1:4" ht="12.75" customHeight="1" x14ac:dyDescent="0.2">
      <c r="A14119" s="21"/>
      <c r="B14119" s="3" t="s">
        <v>11</v>
      </c>
      <c r="C14119" s="23" t="s">
        <v>2164</v>
      </c>
      <c r="D14119" s="21"/>
    </row>
    <row r="14120" spans="1:4" ht="12.75" customHeight="1" x14ac:dyDescent="0.2">
      <c r="A14120" s="21"/>
      <c r="B14120" s="3" t="s">
        <v>16</v>
      </c>
      <c r="C14120" s="23"/>
      <c r="D14120" s="21"/>
    </row>
    <row r="14121" spans="1:4" ht="12.75" customHeight="1" x14ac:dyDescent="0.2">
      <c r="A14121" s="21"/>
      <c r="B14121" s="3" t="s">
        <v>17</v>
      </c>
      <c r="C14121" s="23" t="s">
        <v>19</v>
      </c>
      <c r="D14121" s="21"/>
    </row>
    <row r="14122" spans="1:4" ht="12.75" customHeight="1" x14ac:dyDescent="0.2">
      <c r="A14122" s="21"/>
      <c r="B14122" s="20" t="s">
        <v>18</v>
      </c>
      <c r="C14122" s="8" t="s">
        <v>44</v>
      </c>
      <c r="D14122" s="1" t="str">
        <f>HYPERLINK("javascript:void(0)","pántpáncél")</f>
        <v>pántpáncél</v>
      </c>
    </row>
    <row r="14123" spans="1:4" ht="12.75" customHeight="1" x14ac:dyDescent="0.2">
      <c r="A14123" s="21"/>
      <c r="B14123" s="21"/>
      <c r="C14123" s="8" t="s">
        <v>44</v>
      </c>
      <c r="D14123" s="1" t="str">
        <f>HYPERLINK("javascript:void(0)","dobpáncél")</f>
        <v>dobpáncél</v>
      </c>
    </row>
    <row r="14124" spans="1:4" ht="12.75" customHeight="1" x14ac:dyDescent="0.2">
      <c r="A14124" s="21"/>
      <c r="B14124" s="21"/>
      <c r="C14124" s="8" t="s">
        <v>44</v>
      </c>
      <c r="D14124" s="1" t="str">
        <f>HYPERLINK("javascript:void(0)","lélekmellény")</f>
        <v>lélekmellény</v>
      </c>
    </row>
    <row r="14125" spans="1:4" ht="12.75" customHeight="1" x14ac:dyDescent="0.2">
      <c r="A14125" s="21"/>
      <c r="B14125" s="2"/>
      <c r="C14125" s="7"/>
      <c r="D14125" s="7"/>
    </row>
    <row r="14126" spans="1:4" ht="12.75" customHeight="1" x14ac:dyDescent="0.2">
      <c r="A14126" s="21"/>
      <c r="B14126" s="2"/>
      <c r="C14126" s="7"/>
      <c r="D14126" s="7"/>
    </row>
    <row r="14127" spans="1:4" ht="12.75" customHeight="1" x14ac:dyDescent="0.2">
      <c r="A14127" s="21"/>
      <c r="B14127" s="2"/>
      <c r="C14127" s="7"/>
      <c r="D14127" s="7"/>
    </row>
    <row r="14128" spans="1:4" ht="12.75" customHeight="1" x14ac:dyDescent="0.2">
      <c r="A14128" s="21"/>
      <c r="B14128" s="2"/>
      <c r="C14128" s="7"/>
      <c r="D14128" s="7"/>
    </row>
    <row r="14129" spans="1:4" ht="12.75" customHeight="1" x14ac:dyDescent="0.2">
      <c r="A14129" s="5"/>
      <c r="B14129" s="2"/>
      <c r="C14129" s="7"/>
      <c r="D14129" s="7"/>
    </row>
    <row r="14130" spans="1:4" ht="12.75" customHeight="1" x14ac:dyDescent="0.2">
      <c r="A14130" s="22" t="str">
        <f>HYPERLINK("javascript:void(0)","foglalatsisak")</f>
        <v>foglalatsisak</v>
      </c>
      <c r="B14130" s="21"/>
      <c r="C14130" s="21"/>
      <c r="D14130" s="21"/>
    </row>
    <row r="14131" spans="1:4" ht="12.75" customHeight="1" x14ac:dyDescent="0.2">
      <c r="A14131" s="20"/>
      <c r="B14131" s="2"/>
      <c r="C14131" s="7"/>
      <c r="D14131" s="7"/>
    </row>
    <row r="14132" spans="1:4" ht="12.75" customHeight="1" x14ac:dyDescent="0.2">
      <c r="A14132" s="21"/>
      <c r="B14132" s="3" t="s">
        <v>0</v>
      </c>
      <c r="C14132" s="23" t="s">
        <v>1060</v>
      </c>
      <c r="D14132" s="21"/>
    </row>
    <row r="14133" spans="1:4" ht="12.75" customHeight="1" x14ac:dyDescent="0.2">
      <c r="A14133" s="21"/>
      <c r="B14133" s="3" t="s">
        <v>2</v>
      </c>
      <c r="C14133" s="23"/>
      <c r="D14133" s="21"/>
    </row>
    <row r="14134" spans="1:4" ht="12.75" customHeight="1" x14ac:dyDescent="0.2">
      <c r="A14134" s="21"/>
      <c r="B14134" s="3" t="s">
        <v>1840</v>
      </c>
      <c r="C14134" s="23" t="s">
        <v>2427</v>
      </c>
      <c r="D14134" s="21"/>
    </row>
    <row r="14135" spans="1:4" ht="12.75" customHeight="1" x14ac:dyDescent="0.2">
      <c r="A14135" s="21"/>
      <c r="B14135" s="3" t="s">
        <v>9</v>
      </c>
      <c r="C14135" s="23" t="s">
        <v>692</v>
      </c>
      <c r="D14135" s="21"/>
    </row>
    <row r="14136" spans="1:4" ht="12.75" customHeight="1" x14ac:dyDescent="0.2">
      <c r="A14136" s="21"/>
      <c r="B14136" s="3" t="s">
        <v>11</v>
      </c>
      <c r="C14136" s="23" t="s">
        <v>2164</v>
      </c>
      <c r="D14136" s="21"/>
    </row>
    <row r="14137" spans="1:4" ht="12.75" customHeight="1" x14ac:dyDescent="0.2">
      <c r="A14137" s="21"/>
      <c r="B14137" s="3" t="s">
        <v>16</v>
      </c>
      <c r="C14137" s="23"/>
      <c r="D14137" s="21"/>
    </row>
    <row r="14138" spans="1:4" ht="12.75" customHeight="1" x14ac:dyDescent="0.2">
      <c r="A14138" s="21"/>
      <c r="B14138" s="3" t="s">
        <v>17</v>
      </c>
      <c r="C14138" s="23" t="s">
        <v>19</v>
      </c>
      <c r="D14138" s="21"/>
    </row>
    <row r="14139" spans="1:4" ht="12.75" customHeight="1" x14ac:dyDescent="0.2">
      <c r="A14139" s="21"/>
      <c r="B14139" s="20" t="s">
        <v>18</v>
      </c>
      <c r="C14139" s="8" t="s">
        <v>772</v>
      </c>
      <c r="D14139" s="1" t="str">
        <f>HYPERLINK("javascript:void(0)","rojt")</f>
        <v>rojt</v>
      </c>
    </row>
    <row r="14140" spans="1:4" ht="12.75" customHeight="1" x14ac:dyDescent="0.2">
      <c r="A14140" s="21"/>
      <c r="B14140" s="21"/>
      <c r="C14140" s="8" t="s">
        <v>228</v>
      </c>
      <c r="D14140" s="1" t="str">
        <f>HYPERLINK("javascript:void(0)","toplaty")</f>
        <v>toplaty</v>
      </c>
    </row>
    <row r="14141" spans="1:4" ht="12.75" customHeight="1" x14ac:dyDescent="0.2">
      <c r="A14141" s="21"/>
      <c r="B14141" s="21"/>
      <c r="C14141" s="8" t="s">
        <v>244</v>
      </c>
      <c r="D14141" s="1" t="str">
        <f>HYPERLINK("javascript:void(0)","foglalat")</f>
        <v>foglalat</v>
      </c>
    </row>
    <row r="14142" spans="1:4" ht="12.75" customHeight="1" x14ac:dyDescent="0.2">
      <c r="A14142" s="21"/>
      <c r="B14142" s="2"/>
      <c r="C14142" s="7"/>
      <c r="D14142" s="7"/>
    </row>
    <row r="14143" spans="1:4" ht="12.75" customHeight="1" x14ac:dyDescent="0.2">
      <c r="A14143" s="21"/>
      <c r="B14143" s="2"/>
      <c r="C14143" s="7"/>
      <c r="D14143" s="7"/>
    </row>
    <row r="14144" spans="1:4" ht="12.75" customHeight="1" x14ac:dyDescent="0.2">
      <c r="A14144" s="21"/>
      <c r="B14144" s="2"/>
      <c r="C14144" s="7"/>
      <c r="D14144" s="7"/>
    </row>
    <row r="14145" spans="1:4" ht="12.75" customHeight="1" x14ac:dyDescent="0.2">
      <c r="A14145" s="21"/>
      <c r="B14145" s="2"/>
      <c r="C14145" s="7"/>
      <c r="D14145" s="7"/>
    </row>
    <row r="14146" spans="1:4" ht="12.75" customHeight="1" x14ac:dyDescent="0.2">
      <c r="A14146" s="5"/>
      <c r="B14146" s="2"/>
      <c r="C14146" s="7"/>
      <c r="D14146" s="7"/>
    </row>
    <row r="14147" spans="1:4" ht="12.75" customHeight="1" x14ac:dyDescent="0.2">
      <c r="A14147" s="22" t="str">
        <f>HYPERLINK("javascript:void(0)","léleklépő")</f>
        <v>léleklépő</v>
      </c>
      <c r="B14147" s="21"/>
      <c r="C14147" s="21"/>
      <c r="D14147" s="21"/>
    </row>
    <row r="14148" spans="1:4" ht="12.75" customHeight="1" x14ac:dyDescent="0.2">
      <c r="A14148" s="20"/>
      <c r="B14148" s="2"/>
      <c r="C14148" s="7"/>
      <c r="D14148" s="7"/>
    </row>
    <row r="14149" spans="1:4" ht="12.75" customHeight="1" x14ac:dyDescent="0.2">
      <c r="A14149" s="21"/>
      <c r="B14149" s="3" t="s">
        <v>0</v>
      </c>
      <c r="C14149" s="23" t="s">
        <v>1060</v>
      </c>
      <c r="D14149" s="21"/>
    </row>
    <row r="14150" spans="1:4" ht="12.75" customHeight="1" x14ac:dyDescent="0.2">
      <c r="A14150" s="21"/>
      <c r="B14150" s="3" t="s">
        <v>2</v>
      </c>
      <c r="C14150" s="23"/>
      <c r="D14150" s="21"/>
    </row>
    <row r="14151" spans="1:4" ht="12.75" customHeight="1" x14ac:dyDescent="0.2">
      <c r="A14151" s="21"/>
      <c r="B14151" s="3" t="s">
        <v>1840</v>
      </c>
      <c r="C14151" s="23" t="s">
        <v>2174</v>
      </c>
      <c r="D14151" s="21"/>
    </row>
    <row r="14152" spans="1:4" ht="12.75" customHeight="1" x14ac:dyDescent="0.2">
      <c r="A14152" s="21"/>
      <c r="B14152" s="3" t="s">
        <v>9</v>
      </c>
      <c r="C14152" s="23" t="s">
        <v>886</v>
      </c>
      <c r="D14152" s="21"/>
    </row>
    <row r="14153" spans="1:4" ht="12.75" customHeight="1" x14ac:dyDescent="0.2">
      <c r="A14153" s="21"/>
      <c r="B14153" s="3" t="s">
        <v>11</v>
      </c>
      <c r="C14153" s="23" t="s">
        <v>2175</v>
      </c>
      <c r="D14153" s="21"/>
    </row>
    <row r="14154" spans="1:4" ht="12.75" customHeight="1" x14ac:dyDescent="0.2">
      <c r="A14154" s="21"/>
      <c r="B14154" s="3" t="s">
        <v>16</v>
      </c>
      <c r="C14154" s="23"/>
      <c r="D14154" s="21"/>
    </row>
    <row r="14155" spans="1:4" ht="12.75" customHeight="1" x14ac:dyDescent="0.2">
      <c r="A14155" s="21"/>
      <c r="B14155" s="3" t="s">
        <v>17</v>
      </c>
      <c r="C14155" s="23" t="s">
        <v>19</v>
      </c>
      <c r="D14155" s="21"/>
    </row>
    <row r="14156" spans="1:4" ht="12.75" customHeight="1" x14ac:dyDescent="0.2">
      <c r="A14156" s="21"/>
      <c r="B14156" s="20" t="s">
        <v>18</v>
      </c>
      <c r="C14156" s="8" t="s">
        <v>117</v>
      </c>
      <c r="D14156" s="1" t="str">
        <f>HYPERLINK("javascript:void(0)","lélekfodor")</f>
        <v>lélekfodor</v>
      </c>
    </row>
    <row r="14157" spans="1:4" ht="12.75" customHeight="1" x14ac:dyDescent="0.2">
      <c r="A14157" s="21"/>
      <c r="B14157" s="21"/>
      <c r="C14157" s="8" t="s">
        <v>44</v>
      </c>
      <c r="D14157" s="1" t="str">
        <f>HYPERLINK("javascript:void(0)","cordiomokaszin")</f>
        <v>cordiomokaszin</v>
      </c>
    </row>
    <row r="14158" spans="1:4" ht="12.75" customHeight="1" x14ac:dyDescent="0.2">
      <c r="A14158" s="21"/>
      <c r="B14158" s="21"/>
      <c r="C14158" s="8" t="s">
        <v>309</v>
      </c>
      <c r="D14158" s="1" t="str">
        <f>HYPERLINK("javascript:void(0)","porszőr")</f>
        <v>porszőr</v>
      </c>
    </row>
    <row r="14159" spans="1:4" ht="12.75" customHeight="1" x14ac:dyDescent="0.2">
      <c r="A14159" s="21"/>
      <c r="B14159" s="2"/>
      <c r="C14159" s="7"/>
      <c r="D14159" s="7"/>
    </row>
    <row r="14160" spans="1:4" ht="12.75" customHeight="1" x14ac:dyDescent="0.2">
      <c r="A14160" s="21"/>
      <c r="B14160" s="2"/>
      <c r="C14160" s="7"/>
      <c r="D14160" s="7"/>
    </row>
    <row r="14161" spans="1:4" ht="12.75" customHeight="1" x14ac:dyDescent="0.2">
      <c r="A14161" s="21"/>
      <c r="B14161" s="2"/>
      <c r="C14161" s="7"/>
      <c r="D14161" s="7"/>
    </row>
    <row r="14162" spans="1:4" ht="12.75" customHeight="1" x14ac:dyDescent="0.2">
      <c r="A14162" s="21"/>
      <c r="B14162" s="2"/>
      <c r="C14162" s="7"/>
      <c r="D14162" s="7"/>
    </row>
    <row r="14163" spans="1:4" ht="12.75" customHeight="1" x14ac:dyDescent="0.2">
      <c r="A14163" s="5"/>
      <c r="B14163" s="2"/>
      <c r="C14163" s="7"/>
      <c r="D14163" s="7"/>
    </row>
    <row r="14164" spans="1:4" ht="12.75" customHeight="1" x14ac:dyDescent="0.2">
      <c r="A14164" s="22" t="str">
        <f>HYPERLINK("javascript:void(0)","homokpajzs")</f>
        <v>homokpajzs</v>
      </c>
      <c r="B14164" s="21"/>
      <c r="C14164" s="21"/>
      <c r="D14164" s="21"/>
    </row>
    <row r="14165" spans="1:4" ht="12.75" customHeight="1" x14ac:dyDescent="0.2">
      <c r="A14165" s="20"/>
      <c r="B14165" s="2"/>
      <c r="C14165" s="7"/>
      <c r="D14165" s="7"/>
    </row>
    <row r="14166" spans="1:4" ht="12.75" customHeight="1" x14ac:dyDescent="0.2">
      <c r="A14166" s="21"/>
      <c r="B14166" s="3" t="s">
        <v>0</v>
      </c>
      <c r="C14166" s="23" t="s">
        <v>1060</v>
      </c>
      <c r="D14166" s="21"/>
    </row>
    <row r="14167" spans="1:4" ht="12.75" customHeight="1" x14ac:dyDescent="0.2">
      <c r="A14167" s="21"/>
      <c r="B14167" s="3" t="s">
        <v>2</v>
      </c>
      <c r="C14167" s="23" t="s">
        <v>1839</v>
      </c>
      <c r="D14167" s="21"/>
    </row>
    <row r="14168" spans="1:4" ht="12.75" customHeight="1" x14ac:dyDescent="0.2">
      <c r="A14168" s="21"/>
      <c r="B14168" s="3" t="s">
        <v>1840</v>
      </c>
      <c r="C14168" s="23" t="s">
        <v>2428</v>
      </c>
      <c r="D14168" s="21"/>
    </row>
    <row r="14169" spans="1:4" ht="12.75" customHeight="1" x14ac:dyDescent="0.2">
      <c r="A14169" s="21"/>
      <c r="B14169" s="3" t="s">
        <v>9</v>
      </c>
      <c r="C14169" s="23" t="s">
        <v>198</v>
      </c>
      <c r="D14169" s="21"/>
    </row>
    <row r="14170" spans="1:4" ht="12.75" customHeight="1" x14ac:dyDescent="0.2">
      <c r="A14170" s="21"/>
      <c r="B14170" s="3" t="s">
        <v>11</v>
      </c>
      <c r="C14170" s="23" t="s">
        <v>2201</v>
      </c>
      <c r="D14170" s="21"/>
    </row>
    <row r="14171" spans="1:4" ht="12.75" customHeight="1" x14ac:dyDescent="0.2">
      <c r="A14171" s="21"/>
      <c r="B14171" s="3" t="s">
        <v>16</v>
      </c>
      <c r="C14171" s="23"/>
      <c r="D14171" s="21"/>
    </row>
    <row r="14172" spans="1:4" ht="12.75" customHeight="1" x14ac:dyDescent="0.2">
      <c r="A14172" s="21"/>
      <c r="B14172" s="3" t="s">
        <v>17</v>
      </c>
      <c r="C14172" s="23" t="s">
        <v>19</v>
      </c>
      <c r="D14172" s="21"/>
    </row>
    <row r="14173" spans="1:4" ht="12.75" customHeight="1" x14ac:dyDescent="0.2">
      <c r="A14173" s="21"/>
      <c r="B14173" s="20" t="s">
        <v>18</v>
      </c>
      <c r="C14173" s="8" t="s">
        <v>44</v>
      </c>
      <c r="D14173" s="1" t="str">
        <f>HYPERLINK("javascript:void(0)","rémpajzs")</f>
        <v>rémpajzs</v>
      </c>
    </row>
    <row r="14174" spans="1:4" ht="12.75" customHeight="1" x14ac:dyDescent="0.2">
      <c r="A14174" s="21"/>
      <c r="B14174" s="21"/>
      <c r="C14174" s="8" t="s">
        <v>244</v>
      </c>
      <c r="D14174" s="1" t="str">
        <f>HYPERLINK("javascript:void(0)","foglalat")</f>
        <v>foglalat</v>
      </c>
    </row>
    <row r="14175" spans="1:4" ht="12.75" customHeight="1" x14ac:dyDescent="0.2">
      <c r="A14175" s="21"/>
      <c r="B14175" s="21"/>
      <c r="C14175" s="8" t="s">
        <v>316</v>
      </c>
      <c r="D14175" s="1" t="str">
        <f>HYPERLINK("javascript:void(0)","aszályige")</f>
        <v>aszályige</v>
      </c>
    </row>
    <row r="14176" spans="1:4" ht="12.75" customHeight="1" x14ac:dyDescent="0.2">
      <c r="A14176" s="21"/>
      <c r="B14176" s="2"/>
      <c r="C14176" s="7"/>
      <c r="D14176" s="7"/>
    </row>
    <row r="14177" spans="1:4" ht="12.75" customHeight="1" x14ac:dyDescent="0.2">
      <c r="A14177" s="21"/>
      <c r="B14177" s="2"/>
      <c r="C14177" s="7"/>
      <c r="D14177" s="7"/>
    </row>
    <row r="14178" spans="1:4" ht="12.75" customHeight="1" x14ac:dyDescent="0.2">
      <c r="A14178" s="21"/>
      <c r="B14178" s="2"/>
      <c r="C14178" s="7"/>
      <c r="D14178" s="7"/>
    </row>
    <row r="14179" spans="1:4" ht="12.75" customHeight="1" x14ac:dyDescent="0.2">
      <c r="A14179" s="21"/>
      <c r="B14179" s="2"/>
      <c r="C14179" s="7"/>
      <c r="D14179" s="7"/>
    </row>
    <row r="14180" spans="1:4" ht="12.75" customHeight="1" x14ac:dyDescent="0.2">
      <c r="A14180" s="5"/>
      <c r="B14180" s="2"/>
      <c r="C14180" s="7"/>
      <c r="D14180" s="7"/>
    </row>
    <row r="14181" spans="1:4" ht="12.75" customHeight="1" x14ac:dyDescent="0.2">
      <c r="A14181" s="22" t="str">
        <f>HYPERLINK("javascript:void(0)","artini szellempajzs")</f>
        <v>artini szellempajzs</v>
      </c>
      <c r="B14181" s="21"/>
      <c r="C14181" s="21"/>
      <c r="D14181" s="21"/>
    </row>
    <row r="14182" spans="1:4" ht="12.75" customHeight="1" x14ac:dyDescent="0.2">
      <c r="A14182" s="20"/>
      <c r="B14182" s="2"/>
      <c r="C14182" s="7"/>
      <c r="D14182" s="7"/>
    </row>
    <row r="14183" spans="1:4" ht="12.75" customHeight="1" x14ac:dyDescent="0.2">
      <c r="A14183" s="21"/>
      <c r="B14183" s="3" t="s">
        <v>0</v>
      </c>
      <c r="C14183" s="23" t="s">
        <v>1060</v>
      </c>
      <c r="D14183" s="21"/>
    </row>
    <row r="14184" spans="1:4" ht="12.75" customHeight="1" x14ac:dyDescent="0.2">
      <c r="A14184" s="21"/>
      <c r="B14184" s="3" t="s">
        <v>2</v>
      </c>
      <c r="C14184" s="23" t="s">
        <v>1839</v>
      </c>
      <c r="D14184" s="21"/>
    </row>
    <row r="14185" spans="1:4" ht="12.75" customHeight="1" x14ac:dyDescent="0.2">
      <c r="A14185" s="21"/>
      <c r="B14185" s="3" t="s">
        <v>1840</v>
      </c>
      <c r="C14185" s="23" t="s">
        <v>2428</v>
      </c>
      <c r="D14185" s="21"/>
    </row>
    <row r="14186" spans="1:4" ht="12.75" customHeight="1" x14ac:dyDescent="0.2">
      <c r="A14186" s="21"/>
      <c r="B14186" s="3" t="s">
        <v>9</v>
      </c>
      <c r="C14186" s="23" t="s">
        <v>4551</v>
      </c>
      <c r="D14186" s="21"/>
    </row>
    <row r="14187" spans="1:4" ht="12.75" customHeight="1" x14ac:dyDescent="0.2">
      <c r="A14187" s="21"/>
      <c r="B14187" s="3" t="s">
        <v>11</v>
      </c>
      <c r="C14187" s="23" t="s">
        <v>2210</v>
      </c>
      <c r="D14187" s="21"/>
    </row>
    <row r="14188" spans="1:4" ht="12.75" customHeight="1" x14ac:dyDescent="0.2">
      <c r="A14188" s="21"/>
      <c r="B14188" s="3" t="s">
        <v>16</v>
      </c>
      <c r="C14188" s="23"/>
      <c r="D14188" s="21"/>
    </row>
    <row r="14189" spans="1:4" ht="12.75" customHeight="1" x14ac:dyDescent="0.2">
      <c r="A14189" s="21"/>
      <c r="B14189" s="3" t="s">
        <v>17</v>
      </c>
      <c r="C14189" s="23" t="s">
        <v>19</v>
      </c>
      <c r="D14189" s="21"/>
    </row>
    <row r="14190" spans="1:4" ht="12.75" customHeight="1" x14ac:dyDescent="0.2">
      <c r="A14190" s="21"/>
      <c r="B14190" s="20" t="s">
        <v>18</v>
      </c>
      <c r="C14190" s="8" t="s">
        <v>44</v>
      </c>
      <c r="D14190" s="1" t="str">
        <f>HYPERLINK("javascript:void(0)","homokpajzs")</f>
        <v>homokpajzs</v>
      </c>
    </row>
    <row r="14191" spans="1:4" ht="12.75" customHeight="1" x14ac:dyDescent="0.2">
      <c r="A14191" s="21"/>
      <c r="B14191" s="21"/>
      <c r="C14191" s="8" t="s">
        <v>1554</v>
      </c>
      <c r="D14191" s="1" t="str">
        <f>HYPERLINK("javascript:void(0)","rémszem")</f>
        <v>rémszem</v>
      </c>
    </row>
    <row r="14192" spans="1:4" ht="12.75" customHeight="1" x14ac:dyDescent="0.2">
      <c r="A14192" s="21"/>
      <c r="B14192" s="21"/>
      <c r="C14192" s="8" t="s">
        <v>780</v>
      </c>
      <c r="D14192" s="1" t="str">
        <f>HYPERLINK("javascript:void(0)","lélekfodor")</f>
        <v>lélekfodor</v>
      </c>
    </row>
    <row r="14193" spans="1:4" ht="12.75" customHeight="1" x14ac:dyDescent="0.2">
      <c r="A14193" s="21"/>
      <c r="B14193" s="2"/>
      <c r="C14193" s="7"/>
      <c r="D14193" s="7"/>
    </row>
    <row r="14194" spans="1:4" ht="12.75" customHeight="1" x14ac:dyDescent="0.2">
      <c r="A14194" s="21"/>
      <c r="B14194" s="2"/>
      <c r="C14194" s="7"/>
      <c r="D14194" s="7"/>
    </row>
    <row r="14195" spans="1:4" ht="12.75" customHeight="1" x14ac:dyDescent="0.2">
      <c r="A14195" s="21"/>
      <c r="B14195" s="2"/>
      <c r="C14195" s="7"/>
      <c r="D14195" s="7"/>
    </row>
    <row r="14196" spans="1:4" ht="12.75" customHeight="1" x14ac:dyDescent="0.2">
      <c r="A14196" s="21"/>
      <c r="B14196" s="2"/>
      <c r="C14196" s="7"/>
      <c r="D14196" s="7"/>
    </row>
    <row r="14197" spans="1:4" ht="12.75" customHeight="1" x14ac:dyDescent="0.2">
      <c r="A14197" s="5"/>
      <c r="B14197" s="2"/>
      <c r="C14197" s="7"/>
      <c r="D14197" s="7"/>
    </row>
    <row r="14198" spans="1:4" ht="12.75" customHeight="1" x14ac:dyDescent="0.2">
      <c r="A14198" s="22" t="str">
        <f>HYPERLINK("javascript:void(0)","lélekmellény")</f>
        <v>lélekmellény</v>
      </c>
      <c r="B14198" s="21"/>
      <c r="C14198" s="21"/>
      <c r="D14198" s="21"/>
    </row>
    <row r="14199" spans="1:4" ht="12.75" customHeight="1" x14ac:dyDescent="0.2">
      <c r="A14199" s="20"/>
      <c r="B14199" s="2"/>
      <c r="C14199" s="7"/>
      <c r="D14199" s="7"/>
    </row>
    <row r="14200" spans="1:4" ht="12.75" customHeight="1" x14ac:dyDescent="0.2">
      <c r="A14200" s="21"/>
      <c r="B14200" s="3" t="s">
        <v>0</v>
      </c>
      <c r="C14200" s="23" t="s">
        <v>1060</v>
      </c>
      <c r="D14200" s="21"/>
    </row>
    <row r="14201" spans="1:4" ht="12.75" customHeight="1" x14ac:dyDescent="0.2">
      <c r="A14201" s="21"/>
      <c r="B14201" s="3" t="s">
        <v>2</v>
      </c>
      <c r="C14201" s="23" t="s">
        <v>2322</v>
      </c>
      <c r="D14201" s="21"/>
    </row>
    <row r="14202" spans="1:4" ht="12.75" customHeight="1" x14ac:dyDescent="0.2">
      <c r="A14202" s="21"/>
      <c r="B14202" s="3" t="s">
        <v>1840</v>
      </c>
      <c r="C14202" s="23" t="s">
        <v>223</v>
      </c>
      <c r="D14202" s="21"/>
    </row>
    <row r="14203" spans="1:4" ht="12.75" customHeight="1" x14ac:dyDescent="0.2">
      <c r="A14203" s="21"/>
      <c r="B14203" s="3" t="s">
        <v>9</v>
      </c>
      <c r="C14203" s="23" t="s">
        <v>172</v>
      </c>
      <c r="D14203" s="21"/>
    </row>
    <row r="14204" spans="1:4" ht="12.75" customHeight="1" x14ac:dyDescent="0.2">
      <c r="A14204" s="21"/>
      <c r="B14204" s="3" t="s">
        <v>11</v>
      </c>
      <c r="C14204" s="23" t="s">
        <v>2516</v>
      </c>
      <c r="D14204" s="21"/>
    </row>
    <row r="14205" spans="1:4" ht="12.75" customHeight="1" x14ac:dyDescent="0.2">
      <c r="A14205" s="21"/>
      <c r="B14205" s="3" t="s">
        <v>16</v>
      </c>
      <c r="C14205" s="23"/>
      <c r="D14205" s="21"/>
    </row>
    <row r="14206" spans="1:4" ht="12.75" customHeight="1" x14ac:dyDescent="0.2">
      <c r="A14206" s="21"/>
      <c r="B14206" s="3" t="s">
        <v>17</v>
      </c>
      <c r="C14206" s="23" t="s">
        <v>19</v>
      </c>
      <c r="D14206" s="21"/>
    </row>
    <row r="14207" spans="1:4" ht="12.75" customHeight="1" x14ac:dyDescent="0.2">
      <c r="A14207" s="21"/>
      <c r="B14207" s="20" t="s">
        <v>18</v>
      </c>
      <c r="C14207" s="8" t="s">
        <v>244</v>
      </c>
      <c r="D14207" s="1" t="str">
        <f>HYPERLINK("javascript:void(0)","lélekfodor")</f>
        <v>lélekfodor</v>
      </c>
    </row>
    <row r="14208" spans="1:4" ht="12.75" customHeight="1" x14ac:dyDescent="0.2">
      <c r="A14208" s="21"/>
      <c r="B14208" s="21"/>
      <c r="C14208" s="8" t="s">
        <v>420</v>
      </c>
      <c r="D14208" s="1" t="str">
        <f>HYPERLINK("javascript:void(0)","ködpikkely")</f>
        <v>ködpikkely</v>
      </c>
    </row>
    <row r="14209" spans="1:4" ht="12.75" customHeight="1" x14ac:dyDescent="0.2">
      <c r="A14209" s="21"/>
      <c r="B14209" s="21"/>
      <c r="C14209" s="8" t="s">
        <v>163</v>
      </c>
      <c r="D14209" s="1" t="str">
        <f>HYPERLINK("javascript:void(0)","pálha")</f>
        <v>pálha</v>
      </c>
    </row>
    <row r="14210" spans="1:4" ht="12.75" customHeight="1" x14ac:dyDescent="0.2">
      <c r="A14210" s="21"/>
      <c r="B14210" s="2"/>
      <c r="C14210" s="7"/>
      <c r="D14210" s="7"/>
    </row>
    <row r="14211" spans="1:4" ht="12.75" customHeight="1" x14ac:dyDescent="0.2">
      <c r="A14211" s="21"/>
      <c r="B14211" s="2"/>
      <c r="C14211" s="7"/>
      <c r="D14211" s="7"/>
    </row>
    <row r="14212" spans="1:4" ht="12.75" customHeight="1" x14ac:dyDescent="0.2">
      <c r="A14212" s="21"/>
      <c r="B14212" s="2"/>
      <c r="C14212" s="7"/>
      <c r="D14212" s="7"/>
    </row>
    <row r="14213" spans="1:4" ht="12.75" customHeight="1" x14ac:dyDescent="0.2">
      <c r="A14213" s="21"/>
      <c r="B14213" s="2"/>
      <c r="C14213" s="7"/>
      <c r="D14213" s="7"/>
    </row>
    <row r="14214" spans="1:4" ht="12.75" customHeight="1" x14ac:dyDescent="0.2">
      <c r="A14214" s="5"/>
      <c r="B14214" s="2"/>
      <c r="C14214" s="7"/>
      <c r="D14214" s="7"/>
    </row>
    <row r="14215" spans="1:4" ht="12.75" customHeight="1" x14ac:dyDescent="0.2">
      <c r="A14215" s="22" t="str">
        <f>HYPERLINK("javascript:void(0)","radionit manasisak")</f>
        <v>radionit manasisak</v>
      </c>
      <c r="B14215" s="21"/>
      <c r="C14215" s="21"/>
      <c r="D14215" s="21"/>
    </row>
    <row r="14216" spans="1:4" ht="12.75" customHeight="1" x14ac:dyDescent="0.2">
      <c r="A14216" s="20"/>
      <c r="B14216" s="2"/>
      <c r="C14216" s="7"/>
      <c r="D14216" s="7"/>
    </row>
    <row r="14217" spans="1:4" ht="12.75" customHeight="1" x14ac:dyDescent="0.2">
      <c r="A14217" s="21"/>
      <c r="B14217" s="3" t="s">
        <v>0</v>
      </c>
      <c r="C14217" s="23" t="s">
        <v>1060</v>
      </c>
      <c r="D14217" s="21"/>
    </row>
    <row r="14218" spans="1:4" ht="12.75" customHeight="1" x14ac:dyDescent="0.2">
      <c r="A14218" s="21"/>
      <c r="B14218" s="3" t="s">
        <v>2</v>
      </c>
      <c r="C14218" s="23"/>
      <c r="D14218" s="21"/>
    </row>
    <row r="14219" spans="1:4" ht="12.75" customHeight="1" x14ac:dyDescent="0.2">
      <c r="A14219" s="21"/>
      <c r="B14219" s="3" t="s">
        <v>1840</v>
      </c>
      <c r="C14219" s="23" t="s">
        <v>364</v>
      </c>
      <c r="D14219" s="21"/>
    </row>
    <row r="14220" spans="1:4" ht="12.75" customHeight="1" x14ac:dyDescent="0.2">
      <c r="A14220" s="21"/>
      <c r="B14220" s="3" t="s">
        <v>9</v>
      </c>
      <c r="C14220" s="23" t="s">
        <v>2273</v>
      </c>
      <c r="D14220" s="21"/>
    </row>
    <row r="14221" spans="1:4" ht="12.75" customHeight="1" x14ac:dyDescent="0.2">
      <c r="A14221" s="21"/>
      <c r="B14221" s="3" t="s">
        <v>11</v>
      </c>
      <c r="C14221" s="23" t="s">
        <v>5146</v>
      </c>
      <c r="D14221" s="21"/>
    </row>
    <row r="14222" spans="1:4" ht="12.75" customHeight="1" x14ac:dyDescent="0.2">
      <c r="A14222" s="21"/>
      <c r="B14222" s="3" t="s">
        <v>16</v>
      </c>
      <c r="C14222" s="23"/>
      <c r="D14222" s="21"/>
    </row>
    <row r="14223" spans="1:4" ht="12.75" customHeight="1" x14ac:dyDescent="0.2">
      <c r="A14223" s="21"/>
      <c r="B14223" s="3" t="s">
        <v>17</v>
      </c>
      <c r="C14223" s="23" t="s">
        <v>19</v>
      </c>
      <c r="D14223" s="21"/>
    </row>
    <row r="14224" spans="1:4" ht="12.75" customHeight="1" x14ac:dyDescent="0.2">
      <c r="A14224" s="21"/>
      <c r="B14224" s="20" t="s">
        <v>18</v>
      </c>
      <c r="C14224" s="8" t="s">
        <v>44</v>
      </c>
      <c r="D14224" s="1" t="str">
        <f>HYPERLINK("javascript:void(0)","cordionit manasisak")</f>
        <v>cordionit manasisak</v>
      </c>
    </row>
    <row r="14225" spans="1:4" ht="12.75" customHeight="1" x14ac:dyDescent="0.2">
      <c r="A14225" s="21"/>
      <c r="B14225" s="21"/>
      <c r="C14225" s="8" t="s">
        <v>296</v>
      </c>
      <c r="D14225" s="1" t="str">
        <f>HYPERLINK("javascript:void(0)","lélekfodor")</f>
        <v>lélekfodor</v>
      </c>
    </row>
    <row r="14226" spans="1:4" ht="12.75" customHeight="1" x14ac:dyDescent="0.2">
      <c r="A14226" s="21"/>
      <c r="B14226" s="21"/>
      <c r="C14226" s="8" t="s">
        <v>756</v>
      </c>
      <c r="D14226" s="1" t="str">
        <f>HYPERLINK("javascript:void(0)","banánhéj")</f>
        <v>banánhéj</v>
      </c>
    </row>
    <row r="14227" spans="1:4" ht="12.75" customHeight="1" x14ac:dyDescent="0.2">
      <c r="A14227" s="21"/>
      <c r="B14227" s="2"/>
      <c r="C14227" s="7"/>
      <c r="D14227" s="7"/>
    </row>
    <row r="14228" spans="1:4" ht="12.75" customHeight="1" x14ac:dyDescent="0.2">
      <c r="A14228" s="21"/>
      <c r="B14228" s="2"/>
      <c r="C14228" s="7"/>
      <c r="D14228" s="7"/>
    </row>
    <row r="14229" spans="1:4" ht="12.75" customHeight="1" x14ac:dyDescent="0.2">
      <c r="A14229" s="21"/>
      <c r="B14229" s="2"/>
      <c r="C14229" s="7"/>
      <c r="D14229" s="7"/>
    </row>
    <row r="14230" spans="1:4" ht="12.75" customHeight="1" x14ac:dyDescent="0.2">
      <c r="A14230" s="21"/>
      <c r="B14230" s="2"/>
      <c r="C14230" s="7"/>
      <c r="D14230" s="7"/>
    </row>
    <row r="14231" spans="1:4" ht="12.75" customHeight="1" x14ac:dyDescent="0.2">
      <c r="A14231" s="5"/>
      <c r="B14231" s="2"/>
      <c r="C14231" s="7"/>
      <c r="D14231" s="7"/>
    </row>
    <row r="14232" spans="1:4" ht="12.75" customHeight="1" x14ac:dyDescent="0.2">
      <c r="A14232" s="22" t="str">
        <f>HYPERLINK("javascript:void(0)","radionit manafejpánt")</f>
        <v>radionit manafejpánt</v>
      </c>
      <c r="B14232" s="21"/>
      <c r="C14232" s="21"/>
      <c r="D14232" s="21"/>
    </row>
    <row r="14233" spans="1:4" ht="12.75" customHeight="1" x14ac:dyDescent="0.2">
      <c r="A14233" s="20"/>
      <c r="B14233" s="2"/>
      <c r="C14233" s="7"/>
      <c r="D14233" s="7"/>
    </row>
    <row r="14234" spans="1:4" ht="12.75" customHeight="1" x14ac:dyDescent="0.2">
      <c r="A14234" s="21"/>
      <c r="B14234" s="3" t="s">
        <v>0</v>
      </c>
      <c r="C14234" s="23" t="s">
        <v>1060</v>
      </c>
      <c r="D14234" s="21"/>
    </row>
    <row r="14235" spans="1:4" ht="12.75" customHeight="1" x14ac:dyDescent="0.2">
      <c r="A14235" s="21"/>
      <c r="B14235" s="3" t="s">
        <v>2</v>
      </c>
      <c r="C14235" s="23"/>
      <c r="D14235" s="21"/>
    </row>
    <row r="14236" spans="1:4" ht="12.75" customHeight="1" x14ac:dyDescent="0.2">
      <c r="A14236" s="21"/>
      <c r="B14236" s="3" t="s">
        <v>1840</v>
      </c>
      <c r="C14236" s="23" t="s">
        <v>782</v>
      </c>
      <c r="D14236" s="21"/>
    </row>
    <row r="14237" spans="1:4" ht="12.75" customHeight="1" x14ac:dyDescent="0.2">
      <c r="A14237" s="21"/>
      <c r="B14237" s="3" t="s">
        <v>9</v>
      </c>
      <c r="C14237" s="23" t="s">
        <v>1112</v>
      </c>
      <c r="D14237" s="21"/>
    </row>
    <row r="14238" spans="1:4" ht="12.75" customHeight="1" x14ac:dyDescent="0.2">
      <c r="A14238" s="21"/>
      <c r="B14238" s="3" t="s">
        <v>11</v>
      </c>
      <c r="C14238" s="23" t="s">
        <v>5146</v>
      </c>
      <c r="D14238" s="21"/>
    </row>
    <row r="14239" spans="1:4" ht="12.75" customHeight="1" x14ac:dyDescent="0.2">
      <c r="A14239" s="21"/>
      <c r="B14239" s="3" t="s">
        <v>16</v>
      </c>
      <c r="C14239" s="23"/>
      <c r="D14239" s="21"/>
    </row>
    <row r="14240" spans="1:4" ht="12.75" customHeight="1" x14ac:dyDescent="0.2">
      <c r="A14240" s="21"/>
      <c r="B14240" s="3" t="s">
        <v>17</v>
      </c>
      <c r="C14240" s="23" t="s">
        <v>19</v>
      </c>
      <c r="D14240" s="21"/>
    </row>
    <row r="14241" spans="1:4" ht="25.5" customHeight="1" x14ac:dyDescent="0.2">
      <c r="A14241" s="21"/>
      <c r="B14241" s="20" t="s">
        <v>18</v>
      </c>
      <c r="C14241" s="8" t="s">
        <v>44</v>
      </c>
      <c r="D14241" s="1" t="str">
        <f>HYPERLINK("javascript:void(0)","cordionit manafejpánt")</f>
        <v>cordionit manafejpánt</v>
      </c>
    </row>
    <row r="14242" spans="1:4" ht="12.75" customHeight="1" x14ac:dyDescent="0.2">
      <c r="A14242" s="21"/>
      <c r="B14242" s="21"/>
      <c r="C14242" s="8" t="s">
        <v>265</v>
      </c>
      <c r="D14242" s="1" t="str">
        <f>HYPERLINK("javascript:void(0)","foglalat")</f>
        <v>foglalat</v>
      </c>
    </row>
    <row r="14243" spans="1:4" ht="12.75" customHeight="1" x14ac:dyDescent="0.2">
      <c r="A14243" s="21"/>
      <c r="B14243" s="21"/>
      <c r="C14243" s="8" t="s">
        <v>2140</v>
      </c>
      <c r="D14243" s="1" t="str">
        <f>HYPERLINK("javascript:void(0)","pálha")</f>
        <v>pálha</v>
      </c>
    </row>
    <row r="14244" spans="1:4" ht="12.75" customHeight="1" x14ac:dyDescent="0.2">
      <c r="A14244" s="21"/>
      <c r="B14244" s="2"/>
      <c r="C14244" s="7"/>
      <c r="D14244" s="7"/>
    </row>
    <row r="14245" spans="1:4" ht="12.75" customHeight="1" x14ac:dyDescent="0.2">
      <c r="A14245" s="21"/>
      <c r="B14245" s="2"/>
      <c r="C14245" s="7"/>
      <c r="D14245" s="7"/>
    </row>
    <row r="14246" spans="1:4" ht="12.75" customHeight="1" x14ac:dyDescent="0.2">
      <c r="A14246" s="21"/>
      <c r="B14246" s="2"/>
      <c r="C14246" s="7"/>
      <c r="D14246" s="7"/>
    </row>
    <row r="14247" spans="1:4" ht="12.75" customHeight="1" x14ac:dyDescent="0.2">
      <c r="A14247" s="21"/>
      <c r="B14247" s="2"/>
      <c r="C14247" s="7"/>
      <c r="D14247" s="7"/>
    </row>
    <row r="14248" spans="1:4" ht="12.75" customHeight="1" x14ac:dyDescent="0.2">
      <c r="A14248" s="5"/>
      <c r="B14248" s="2"/>
      <c r="C14248" s="7"/>
      <c r="D14248" s="7"/>
    </row>
    <row r="14249" spans="1:4" ht="12.75" customHeight="1" x14ac:dyDescent="0.2">
      <c r="A14249" s="22" t="str">
        <f>HYPERLINK("javascript:void(0)","lélekvért")</f>
        <v>lélekvért</v>
      </c>
      <c r="B14249" s="21"/>
      <c r="C14249" s="21"/>
      <c r="D14249" s="21"/>
    </row>
    <row r="14250" spans="1:4" ht="12.75" customHeight="1" x14ac:dyDescent="0.2">
      <c r="A14250" s="20"/>
      <c r="B14250" s="2"/>
      <c r="C14250" s="7"/>
      <c r="D14250" s="7"/>
    </row>
    <row r="14251" spans="1:4" ht="12.75" customHeight="1" x14ac:dyDescent="0.2">
      <c r="A14251" s="21"/>
      <c r="B14251" s="3" t="s">
        <v>0</v>
      </c>
      <c r="C14251" s="23" t="s">
        <v>95</v>
      </c>
      <c r="D14251" s="21"/>
    </row>
    <row r="14252" spans="1:4" ht="12.75" customHeight="1" x14ac:dyDescent="0.2">
      <c r="A14252" s="21"/>
      <c r="B14252" s="3" t="s">
        <v>2</v>
      </c>
      <c r="C14252" s="23" t="s">
        <v>2322</v>
      </c>
      <c r="D14252" s="21"/>
    </row>
    <row r="14253" spans="1:4" ht="12.75" customHeight="1" x14ac:dyDescent="0.2">
      <c r="A14253" s="21"/>
      <c r="B14253" s="3" t="s">
        <v>1840</v>
      </c>
      <c r="C14253" s="23" t="s">
        <v>1854</v>
      </c>
      <c r="D14253" s="21"/>
    </row>
    <row r="14254" spans="1:4" ht="12.75" customHeight="1" x14ac:dyDescent="0.2">
      <c r="A14254" s="21"/>
      <c r="B14254" s="3" t="s">
        <v>9</v>
      </c>
      <c r="C14254" s="23" t="s">
        <v>1481</v>
      </c>
      <c r="D14254" s="21"/>
    </row>
    <row r="14255" spans="1:4" ht="12.75" customHeight="1" x14ac:dyDescent="0.2">
      <c r="A14255" s="21"/>
      <c r="B14255" s="3" t="s">
        <v>11</v>
      </c>
      <c r="C14255" s="23" t="s">
        <v>1544</v>
      </c>
      <c r="D14255" s="21"/>
    </row>
    <row r="14256" spans="1:4" ht="12.75" customHeight="1" x14ac:dyDescent="0.2">
      <c r="A14256" s="21"/>
      <c r="B14256" s="3" t="s">
        <v>16</v>
      </c>
      <c r="C14256" s="23"/>
      <c r="D14256" s="21"/>
    </row>
    <row r="14257" spans="1:4" ht="12.75" customHeight="1" x14ac:dyDescent="0.2">
      <c r="A14257" s="21"/>
      <c r="B14257" s="3" t="s">
        <v>17</v>
      </c>
      <c r="C14257" s="23" t="s">
        <v>19</v>
      </c>
      <c r="D14257" s="21"/>
    </row>
    <row r="14258" spans="1:4" ht="12.75" customHeight="1" x14ac:dyDescent="0.2">
      <c r="A14258" s="21"/>
      <c r="B14258" s="20" t="s">
        <v>18</v>
      </c>
      <c r="C14258" s="8" t="s">
        <v>139</v>
      </c>
      <c r="D14258" s="1" t="str">
        <f>HYPERLINK("javascript:void(0)","dobkarika")</f>
        <v>dobkarika</v>
      </c>
    </row>
    <row r="14259" spans="1:4" ht="12.75" customHeight="1" x14ac:dyDescent="0.2">
      <c r="A14259" s="21"/>
      <c r="B14259" s="21"/>
      <c r="C14259" s="8" t="s">
        <v>269</v>
      </c>
      <c r="D14259" s="1" t="str">
        <f>HYPERLINK("javascript:void(0)","zászlórúd")</f>
        <v>zászlórúd</v>
      </c>
    </row>
    <row r="14260" spans="1:4" ht="12.75" customHeight="1" x14ac:dyDescent="0.2">
      <c r="A14260" s="21"/>
      <c r="B14260" s="21"/>
      <c r="C14260" s="8" t="s">
        <v>44</v>
      </c>
      <c r="D14260" s="1" t="str">
        <f>HYPERLINK("javascript:void(0)","lélekpáncél")</f>
        <v>lélekpáncél</v>
      </c>
    </row>
    <row r="14261" spans="1:4" ht="12.75" customHeight="1" x14ac:dyDescent="0.2">
      <c r="A14261" s="21"/>
      <c r="B14261" s="2"/>
      <c r="C14261" s="7"/>
      <c r="D14261" s="7"/>
    </row>
    <row r="14262" spans="1:4" ht="12.75" customHeight="1" x14ac:dyDescent="0.2">
      <c r="A14262" s="21"/>
      <c r="B14262" s="2"/>
      <c r="C14262" s="7"/>
      <c r="D14262" s="7"/>
    </row>
    <row r="14263" spans="1:4" ht="12.75" customHeight="1" x14ac:dyDescent="0.2">
      <c r="A14263" s="21"/>
      <c r="B14263" s="2"/>
      <c r="C14263" s="7"/>
      <c r="D14263" s="7"/>
    </row>
    <row r="14264" spans="1:4" ht="12.75" customHeight="1" x14ac:dyDescent="0.2">
      <c r="A14264" s="21"/>
      <c r="B14264" s="2"/>
      <c r="C14264" s="7"/>
      <c r="D14264" s="7"/>
    </row>
    <row r="14265" spans="1:4" ht="12.75" customHeight="1" x14ac:dyDescent="0.2">
      <c r="A14265" s="5"/>
      <c r="B14265" s="2"/>
      <c r="C14265" s="7"/>
      <c r="D14265" s="7"/>
    </row>
    <row r="14266" spans="1:4" ht="12.75" customHeight="1" x14ac:dyDescent="0.2">
      <c r="A14266" s="22" t="str">
        <f>HYPERLINK("javascript:void(0)","karimás fejvédő")</f>
        <v>karimás fejvédő</v>
      </c>
      <c r="B14266" s="21"/>
      <c r="C14266" s="21"/>
      <c r="D14266" s="21"/>
    </row>
    <row r="14267" spans="1:4" ht="12.75" customHeight="1" x14ac:dyDescent="0.2">
      <c r="A14267" s="20"/>
      <c r="B14267" s="2"/>
      <c r="C14267" s="7"/>
      <c r="D14267" s="7"/>
    </row>
    <row r="14268" spans="1:4" ht="12.75" customHeight="1" x14ac:dyDescent="0.2">
      <c r="A14268" s="21"/>
      <c r="B14268" s="3" t="s">
        <v>0</v>
      </c>
      <c r="C14268" s="23" t="s">
        <v>95</v>
      </c>
      <c r="D14268" s="21"/>
    </row>
    <row r="14269" spans="1:4" ht="12.75" customHeight="1" x14ac:dyDescent="0.2">
      <c r="A14269" s="21"/>
      <c r="B14269" s="3" t="s">
        <v>2</v>
      </c>
      <c r="C14269" s="23"/>
      <c r="D14269" s="21"/>
    </row>
    <row r="14270" spans="1:4" ht="12.75" customHeight="1" x14ac:dyDescent="0.2">
      <c r="A14270" s="21"/>
      <c r="B14270" s="3" t="s">
        <v>1840</v>
      </c>
      <c r="C14270" s="23" t="s">
        <v>261</v>
      </c>
      <c r="D14270" s="21"/>
    </row>
    <row r="14271" spans="1:4" ht="12.75" customHeight="1" x14ac:dyDescent="0.2">
      <c r="A14271" s="21"/>
      <c r="B14271" s="3" t="s">
        <v>9</v>
      </c>
      <c r="C14271" s="23" t="s">
        <v>665</v>
      </c>
      <c r="D14271" s="21"/>
    </row>
    <row r="14272" spans="1:4" ht="12.75" customHeight="1" x14ac:dyDescent="0.2">
      <c r="A14272" s="21"/>
      <c r="B14272" s="3" t="s">
        <v>11</v>
      </c>
      <c r="C14272" s="23" t="s">
        <v>1544</v>
      </c>
      <c r="D14272" s="21"/>
    </row>
    <row r="14273" spans="1:4" ht="12.75" customHeight="1" x14ac:dyDescent="0.2">
      <c r="A14273" s="21"/>
      <c r="B14273" s="3" t="s">
        <v>16</v>
      </c>
      <c r="C14273" s="23"/>
      <c r="D14273" s="21"/>
    </row>
    <row r="14274" spans="1:4" ht="12.75" customHeight="1" x14ac:dyDescent="0.2">
      <c r="A14274" s="21"/>
      <c r="B14274" s="3" t="s">
        <v>17</v>
      </c>
      <c r="C14274" s="23" t="s">
        <v>19</v>
      </c>
      <c r="D14274" s="21"/>
    </row>
    <row r="14275" spans="1:4" ht="12.75" customHeight="1" x14ac:dyDescent="0.2">
      <c r="A14275" s="21"/>
      <c r="B14275" s="20" t="s">
        <v>18</v>
      </c>
      <c r="C14275" s="8" t="s">
        <v>44</v>
      </c>
      <c r="D14275" s="1" t="str">
        <f>HYPERLINK("javascript:void(0)","foglalatsisak")</f>
        <v>foglalatsisak</v>
      </c>
    </row>
    <row r="14276" spans="1:4" ht="12.75" customHeight="1" x14ac:dyDescent="0.2">
      <c r="A14276" s="21"/>
      <c r="B14276" s="21"/>
      <c r="C14276" s="8" t="s">
        <v>44</v>
      </c>
      <c r="D14276" s="1" t="str">
        <f>HYPERLINK("javascript:void(0)","rémbascinet")</f>
        <v>rémbascinet</v>
      </c>
    </row>
    <row r="14277" spans="1:4" ht="12.75" customHeight="1" x14ac:dyDescent="0.2">
      <c r="A14277" s="21"/>
      <c r="B14277" s="21"/>
      <c r="C14277" s="8" t="s">
        <v>44</v>
      </c>
      <c r="D14277" s="1" t="str">
        <f>HYPERLINK("javascript:void(0)","dobkarima")</f>
        <v>dobkarima</v>
      </c>
    </row>
    <row r="14278" spans="1:4" ht="12.75" customHeight="1" x14ac:dyDescent="0.2">
      <c r="A14278" s="21"/>
      <c r="B14278" s="2"/>
      <c r="C14278" s="7"/>
      <c r="D14278" s="7"/>
    </row>
    <row r="14279" spans="1:4" ht="12.75" customHeight="1" x14ac:dyDescent="0.2">
      <c r="A14279" s="21"/>
      <c r="B14279" s="2"/>
      <c r="C14279" s="7"/>
      <c r="D14279" s="7"/>
    </row>
    <row r="14280" spans="1:4" ht="12.75" customHeight="1" x14ac:dyDescent="0.2">
      <c r="A14280" s="21"/>
      <c r="B14280" s="2"/>
      <c r="C14280" s="7"/>
      <c r="D14280" s="7"/>
    </row>
    <row r="14281" spans="1:4" ht="12.75" customHeight="1" x14ac:dyDescent="0.2">
      <c r="A14281" s="21"/>
      <c r="B14281" s="2"/>
      <c r="C14281" s="7"/>
      <c r="D14281" s="7"/>
    </row>
    <row r="14282" spans="1:4" ht="12.75" customHeight="1" x14ac:dyDescent="0.2">
      <c r="A14282" s="5"/>
      <c r="B14282" s="2"/>
      <c r="C14282" s="7"/>
      <c r="D14282" s="7"/>
    </row>
    <row r="14283" spans="1:4" ht="12.75" customHeight="1" x14ac:dyDescent="0.2">
      <c r="A14283" s="22" t="str">
        <f>HYPERLINK("javascript:void(0)","karikasaru")</f>
        <v>karikasaru</v>
      </c>
      <c r="B14283" s="21"/>
      <c r="C14283" s="21"/>
      <c r="D14283" s="21"/>
    </row>
    <row r="14284" spans="1:4" ht="12.75" customHeight="1" x14ac:dyDescent="0.2">
      <c r="A14284" s="20"/>
      <c r="B14284" s="2"/>
      <c r="C14284" s="7"/>
      <c r="D14284" s="7"/>
    </row>
    <row r="14285" spans="1:4" ht="12.75" customHeight="1" x14ac:dyDescent="0.2">
      <c r="A14285" s="21"/>
      <c r="B14285" s="3" t="s">
        <v>0</v>
      </c>
      <c r="C14285" s="23" t="s">
        <v>95</v>
      </c>
      <c r="D14285" s="21"/>
    </row>
    <row r="14286" spans="1:4" ht="12.75" customHeight="1" x14ac:dyDescent="0.2">
      <c r="A14286" s="21"/>
      <c r="B14286" s="3" t="s">
        <v>2</v>
      </c>
      <c r="C14286" s="23"/>
      <c r="D14286" s="21"/>
    </row>
    <row r="14287" spans="1:4" ht="12.75" customHeight="1" x14ac:dyDescent="0.2">
      <c r="A14287" s="21"/>
      <c r="B14287" s="3" t="s">
        <v>1840</v>
      </c>
      <c r="C14287" s="23" t="s">
        <v>533</v>
      </c>
      <c r="D14287" s="21"/>
    </row>
    <row r="14288" spans="1:4" ht="12.75" customHeight="1" x14ac:dyDescent="0.2">
      <c r="A14288" s="21"/>
      <c r="B14288" s="3" t="s">
        <v>9</v>
      </c>
      <c r="C14288" s="23" t="s">
        <v>2177</v>
      </c>
      <c r="D14288" s="21"/>
    </row>
    <row r="14289" spans="1:4" ht="12.75" customHeight="1" x14ac:dyDescent="0.2">
      <c r="A14289" s="21"/>
      <c r="B14289" s="3" t="s">
        <v>11</v>
      </c>
      <c r="C14289" s="23" t="s">
        <v>1553</v>
      </c>
      <c r="D14289" s="21"/>
    </row>
    <row r="14290" spans="1:4" ht="12.75" customHeight="1" x14ac:dyDescent="0.2">
      <c r="A14290" s="21"/>
      <c r="B14290" s="3" t="s">
        <v>16</v>
      </c>
      <c r="C14290" s="23"/>
      <c r="D14290" s="21"/>
    </row>
    <row r="14291" spans="1:4" ht="12.75" customHeight="1" x14ac:dyDescent="0.2">
      <c r="A14291" s="21"/>
      <c r="B14291" s="3" t="s">
        <v>17</v>
      </c>
      <c r="C14291" s="23" t="s">
        <v>19</v>
      </c>
      <c r="D14291" s="21"/>
    </row>
    <row r="14292" spans="1:4" ht="12.75" customHeight="1" x14ac:dyDescent="0.2">
      <c r="A14292" s="21"/>
      <c r="B14292" s="20" t="s">
        <v>18</v>
      </c>
      <c r="C14292" s="8" t="s">
        <v>796</v>
      </c>
      <c r="D14292" s="1" t="str">
        <f>HYPERLINK("javascript:void(0)","ördögpihe")</f>
        <v>ördögpihe</v>
      </c>
    </row>
    <row r="14293" spans="1:4" ht="12.75" customHeight="1" x14ac:dyDescent="0.2">
      <c r="A14293" s="21"/>
      <c r="B14293" s="21"/>
      <c r="C14293" s="8" t="s">
        <v>269</v>
      </c>
      <c r="D14293" s="1" t="str">
        <f>HYPERLINK("javascript:void(0)","rozmáragyar")</f>
        <v>rozmáragyar</v>
      </c>
    </row>
    <row r="14294" spans="1:4" ht="12.75" customHeight="1" x14ac:dyDescent="0.2">
      <c r="A14294" s="21"/>
      <c r="B14294" s="21"/>
      <c r="C14294" s="8" t="s">
        <v>780</v>
      </c>
      <c r="D14294" s="1" t="str">
        <f>HYPERLINK("javascript:void(0)","dobkarika")</f>
        <v>dobkarika</v>
      </c>
    </row>
    <row r="14295" spans="1:4" ht="12.75" customHeight="1" x14ac:dyDescent="0.2">
      <c r="A14295" s="21"/>
      <c r="B14295" s="2"/>
      <c r="C14295" s="7"/>
      <c r="D14295" s="7"/>
    </row>
    <row r="14296" spans="1:4" ht="12.75" customHeight="1" x14ac:dyDescent="0.2">
      <c r="A14296" s="21"/>
      <c r="B14296" s="2"/>
      <c r="C14296" s="7"/>
      <c r="D14296" s="7"/>
    </row>
    <row r="14297" spans="1:4" ht="12.75" customHeight="1" x14ac:dyDescent="0.2">
      <c r="A14297" s="21"/>
      <c r="B14297" s="2"/>
      <c r="C14297" s="7"/>
      <c r="D14297" s="7"/>
    </row>
    <row r="14298" spans="1:4" ht="12.75" customHeight="1" x14ac:dyDescent="0.2">
      <c r="A14298" s="21"/>
      <c r="B14298" s="2"/>
      <c r="C14298" s="7"/>
      <c r="D14298" s="7"/>
    </row>
    <row r="14299" spans="1:4" ht="12.75" customHeight="1" x14ac:dyDescent="0.2">
      <c r="A14299" s="5"/>
      <c r="B14299" s="2"/>
      <c r="C14299" s="7"/>
      <c r="D14299" s="7"/>
    </row>
    <row r="14300" spans="1:4" ht="12.75" customHeight="1" x14ac:dyDescent="0.2">
      <c r="A14300" s="22" t="str">
        <f>HYPERLINK("javascript:void(0)","homoktestpajzs")</f>
        <v>homoktestpajzs</v>
      </c>
      <c r="B14300" s="21"/>
      <c r="C14300" s="21"/>
      <c r="D14300" s="21"/>
    </row>
    <row r="14301" spans="1:4" ht="12.75" customHeight="1" x14ac:dyDescent="0.2">
      <c r="A14301" s="20"/>
      <c r="B14301" s="2"/>
      <c r="C14301" s="7"/>
      <c r="D14301" s="7"/>
    </row>
    <row r="14302" spans="1:4" ht="12.75" customHeight="1" x14ac:dyDescent="0.2">
      <c r="A14302" s="21"/>
      <c r="B14302" s="3" t="s">
        <v>0</v>
      </c>
      <c r="C14302" s="23" t="s">
        <v>95</v>
      </c>
      <c r="D14302" s="21"/>
    </row>
    <row r="14303" spans="1:4" ht="12.75" customHeight="1" x14ac:dyDescent="0.2">
      <c r="A14303" s="21"/>
      <c r="B14303" s="3" t="s">
        <v>2</v>
      </c>
      <c r="C14303" s="23" t="s">
        <v>1839</v>
      </c>
      <c r="D14303" s="21"/>
    </row>
    <row r="14304" spans="1:4" ht="12.75" customHeight="1" x14ac:dyDescent="0.2">
      <c r="A14304" s="21"/>
      <c r="B14304" s="3" t="s">
        <v>1840</v>
      </c>
      <c r="C14304" s="23" t="s">
        <v>5431</v>
      </c>
      <c r="D14304" s="21"/>
    </row>
    <row r="14305" spans="1:4" ht="12.75" customHeight="1" x14ac:dyDescent="0.2">
      <c r="A14305" s="21"/>
      <c r="B14305" s="3" t="s">
        <v>9</v>
      </c>
      <c r="C14305" s="23" t="s">
        <v>1824</v>
      </c>
      <c r="D14305" s="21"/>
    </row>
    <row r="14306" spans="1:4" ht="12.75" customHeight="1" x14ac:dyDescent="0.2">
      <c r="A14306" s="21"/>
      <c r="B14306" s="3" t="s">
        <v>11</v>
      </c>
      <c r="C14306" s="23" t="s">
        <v>1047</v>
      </c>
      <c r="D14306" s="21"/>
    </row>
    <row r="14307" spans="1:4" ht="12.75" customHeight="1" x14ac:dyDescent="0.2">
      <c r="A14307" s="21"/>
      <c r="B14307" s="3" t="s">
        <v>16</v>
      </c>
      <c r="C14307" s="23"/>
      <c r="D14307" s="21"/>
    </row>
    <row r="14308" spans="1:4" ht="12.75" customHeight="1" x14ac:dyDescent="0.2">
      <c r="A14308" s="21"/>
      <c r="B14308" s="3" t="s">
        <v>17</v>
      </c>
      <c r="C14308" s="23" t="s">
        <v>19</v>
      </c>
      <c r="D14308" s="21"/>
    </row>
    <row r="14309" spans="1:4" ht="12.75" customHeight="1" x14ac:dyDescent="0.2">
      <c r="A14309" s="21"/>
      <c r="B14309" s="20" t="s">
        <v>18</v>
      </c>
      <c r="C14309" s="8" t="s">
        <v>44</v>
      </c>
      <c r="D14309" s="1" t="str">
        <f>HYPERLINK("javascript:void(0)","rémtestpajzs")</f>
        <v>rémtestpajzs</v>
      </c>
    </row>
    <row r="14310" spans="1:4" ht="12.75" customHeight="1" x14ac:dyDescent="0.2">
      <c r="A14310" s="21"/>
      <c r="B14310" s="21"/>
      <c r="C14310" s="8" t="s">
        <v>756</v>
      </c>
      <c r="D14310" s="1" t="str">
        <f>HYPERLINK("javascript:void(0)","kvarc")</f>
        <v>kvarc</v>
      </c>
    </row>
    <row r="14311" spans="1:4" ht="12.75" customHeight="1" x14ac:dyDescent="0.2">
      <c r="A14311" s="21"/>
      <c r="B14311" s="21"/>
      <c r="C14311" s="8" t="s">
        <v>139</v>
      </c>
      <c r="D14311" s="1" t="str">
        <f>HYPERLINK("javascript:void(0)","fiola")</f>
        <v>fiola</v>
      </c>
    </row>
    <row r="14312" spans="1:4" ht="12.75" customHeight="1" x14ac:dyDescent="0.2">
      <c r="A14312" s="21"/>
      <c r="B14312" s="2"/>
      <c r="C14312" s="7"/>
      <c r="D14312" s="7"/>
    </row>
    <row r="14313" spans="1:4" ht="12.75" customHeight="1" x14ac:dyDescent="0.2">
      <c r="A14313" s="21"/>
      <c r="B14313" s="2"/>
      <c r="C14313" s="7"/>
      <c r="D14313" s="7"/>
    </row>
    <row r="14314" spans="1:4" ht="12.75" customHeight="1" x14ac:dyDescent="0.2">
      <c r="A14314" s="21"/>
      <c r="B14314" s="2"/>
      <c r="C14314" s="7"/>
      <c r="D14314" s="7"/>
    </row>
    <row r="14315" spans="1:4" ht="12.75" customHeight="1" x14ac:dyDescent="0.2">
      <c r="A14315" s="21"/>
      <c r="B14315" s="2"/>
      <c r="C14315" s="7"/>
      <c r="D14315" s="7"/>
    </row>
    <row r="14316" spans="1:4" ht="12.75" customHeight="1" x14ac:dyDescent="0.2">
      <c r="A14316" s="5"/>
      <c r="B14316" s="2"/>
      <c r="C14316" s="7"/>
      <c r="D14316" s="7"/>
    </row>
    <row r="14317" spans="1:4" ht="12.75" customHeight="1" x14ac:dyDescent="0.2">
      <c r="A14317" s="22" t="str">
        <f>HYPERLINK("javascript:void(0)","mágneses szellempajzs")</f>
        <v>mágneses szellempajzs</v>
      </c>
      <c r="B14317" s="21"/>
      <c r="C14317" s="21"/>
      <c r="D14317" s="21"/>
    </row>
    <row r="14318" spans="1:4" ht="12.75" customHeight="1" x14ac:dyDescent="0.2">
      <c r="A14318" s="20"/>
      <c r="B14318" s="2"/>
      <c r="C14318" s="7"/>
      <c r="D14318" s="7"/>
    </row>
    <row r="14319" spans="1:4" ht="12.75" customHeight="1" x14ac:dyDescent="0.2">
      <c r="A14319" s="21"/>
      <c r="B14319" s="3" t="s">
        <v>0</v>
      </c>
      <c r="C14319" s="23" t="s">
        <v>95</v>
      </c>
      <c r="D14319" s="21"/>
    </row>
    <row r="14320" spans="1:4" ht="12.75" customHeight="1" x14ac:dyDescent="0.2">
      <c r="A14320" s="21"/>
      <c r="B14320" s="3" t="s">
        <v>2</v>
      </c>
      <c r="C14320" s="23" t="s">
        <v>1839</v>
      </c>
      <c r="D14320" s="21"/>
    </row>
    <row r="14321" spans="1:4" ht="12.75" customHeight="1" x14ac:dyDescent="0.2">
      <c r="A14321" s="21"/>
      <c r="B14321" s="3" t="s">
        <v>1840</v>
      </c>
      <c r="C14321" s="23" t="s">
        <v>5431</v>
      </c>
      <c r="D14321" s="21"/>
    </row>
    <row r="14322" spans="1:4" ht="12.75" customHeight="1" x14ac:dyDescent="0.2">
      <c r="A14322" s="21"/>
      <c r="B14322" s="3" t="s">
        <v>9</v>
      </c>
      <c r="C14322" s="23" t="s">
        <v>2095</v>
      </c>
      <c r="D14322" s="21"/>
    </row>
    <row r="14323" spans="1:4" ht="12.75" customHeight="1" x14ac:dyDescent="0.2">
      <c r="A14323" s="21"/>
      <c r="B14323" s="3" t="s">
        <v>11</v>
      </c>
      <c r="C14323" s="23" t="s">
        <v>1607</v>
      </c>
      <c r="D14323" s="21"/>
    </row>
    <row r="14324" spans="1:4" ht="12.75" customHeight="1" x14ac:dyDescent="0.2">
      <c r="A14324" s="21"/>
      <c r="B14324" s="3" t="s">
        <v>16</v>
      </c>
      <c r="C14324" s="23"/>
      <c r="D14324" s="21"/>
    </row>
    <row r="14325" spans="1:4" ht="12.75" customHeight="1" x14ac:dyDescent="0.2">
      <c r="A14325" s="21"/>
      <c r="B14325" s="3" t="s">
        <v>17</v>
      </c>
      <c r="C14325" s="23" t="s">
        <v>19</v>
      </c>
      <c r="D14325" s="21"/>
    </row>
    <row r="14326" spans="1:4" ht="12.75" customHeight="1" x14ac:dyDescent="0.2">
      <c r="A14326" s="21"/>
      <c r="B14326" s="20" t="s">
        <v>18</v>
      </c>
      <c r="C14326" s="8" t="s">
        <v>44</v>
      </c>
      <c r="D14326" s="1" t="str">
        <f>HYPERLINK("javascript:void(0)","homoktestpajzs")</f>
        <v>homoktestpajzs</v>
      </c>
    </row>
    <row r="14327" spans="1:4" ht="12.75" customHeight="1" x14ac:dyDescent="0.2">
      <c r="A14327" s="21"/>
      <c r="B14327" s="21"/>
      <c r="C14327" s="8" t="s">
        <v>950</v>
      </c>
      <c r="D14327" s="1" t="str">
        <f>HYPERLINK("javascript:void(0)","mágnes")</f>
        <v>mágnes</v>
      </c>
    </row>
    <row r="14328" spans="1:4" ht="12.75" customHeight="1" x14ac:dyDescent="0.2">
      <c r="A14328" s="21"/>
      <c r="B14328" s="21"/>
      <c r="C14328" s="8" t="s">
        <v>772</v>
      </c>
      <c r="D14328" s="1" t="str">
        <f>HYPERLINK("javascript:void(0)","dobkarika")</f>
        <v>dobkarika</v>
      </c>
    </row>
    <row r="14329" spans="1:4" ht="12.75" customHeight="1" x14ac:dyDescent="0.2">
      <c r="A14329" s="21"/>
      <c r="B14329" s="2"/>
      <c r="C14329" s="7"/>
      <c r="D14329" s="7"/>
    </row>
    <row r="14330" spans="1:4" ht="12.75" customHeight="1" x14ac:dyDescent="0.2">
      <c r="A14330" s="21"/>
      <c r="B14330" s="2"/>
      <c r="C14330" s="7"/>
      <c r="D14330" s="7"/>
    </row>
    <row r="14331" spans="1:4" ht="12.75" customHeight="1" x14ac:dyDescent="0.2">
      <c r="A14331" s="21"/>
      <c r="B14331" s="2"/>
      <c r="C14331" s="7"/>
      <c r="D14331" s="7"/>
    </row>
    <row r="14332" spans="1:4" ht="12.75" customHeight="1" x14ac:dyDescent="0.2">
      <c r="A14332" s="21"/>
      <c r="B14332" s="2"/>
      <c r="C14332" s="7"/>
      <c r="D14332" s="7"/>
    </row>
    <row r="14333" spans="1:4" ht="12.75" customHeight="1" x14ac:dyDescent="0.2">
      <c r="A14333" s="5"/>
      <c r="B14333" s="2"/>
      <c r="C14333" s="7"/>
      <c r="D14333" s="7"/>
    </row>
    <row r="14334" spans="1:4" ht="12.75" customHeight="1" x14ac:dyDescent="0.2">
      <c r="A14334" s="22" t="str">
        <f>HYPERLINK("javascript:void(0)","dobkarima")</f>
        <v>dobkarima</v>
      </c>
      <c r="B14334" s="21"/>
      <c r="C14334" s="21"/>
      <c r="D14334" s="21"/>
    </row>
    <row r="14335" spans="1:4" ht="12.75" customHeight="1" x14ac:dyDescent="0.2">
      <c r="A14335" s="20"/>
      <c r="B14335" s="2"/>
      <c r="C14335" s="7"/>
      <c r="D14335" s="7"/>
    </row>
    <row r="14336" spans="1:4" ht="12.75" customHeight="1" x14ac:dyDescent="0.2">
      <c r="A14336" s="21"/>
      <c r="B14336" s="3" t="s">
        <v>0</v>
      </c>
      <c r="C14336" s="23" t="s">
        <v>95</v>
      </c>
      <c r="D14336" s="21"/>
    </row>
    <row r="14337" spans="1:4" ht="12.75" customHeight="1" x14ac:dyDescent="0.2">
      <c r="A14337" s="21"/>
      <c r="B14337" s="3" t="s">
        <v>2</v>
      </c>
      <c r="C14337" s="23"/>
      <c r="D14337" s="21"/>
    </row>
    <row r="14338" spans="1:4" ht="12.75" customHeight="1" x14ac:dyDescent="0.2">
      <c r="A14338" s="21"/>
      <c r="B14338" s="3" t="s">
        <v>1840</v>
      </c>
      <c r="C14338" s="23" t="s">
        <v>151</v>
      </c>
      <c r="D14338" s="21"/>
    </row>
    <row r="14339" spans="1:4" ht="12.75" customHeight="1" x14ac:dyDescent="0.2">
      <c r="A14339" s="21"/>
      <c r="B14339" s="3" t="s">
        <v>9</v>
      </c>
      <c r="C14339" s="23" t="s">
        <v>70</v>
      </c>
      <c r="D14339" s="21"/>
    </row>
    <row r="14340" spans="1:4" ht="12.75" customHeight="1" x14ac:dyDescent="0.2">
      <c r="A14340" s="21"/>
      <c r="B14340" s="3" t="s">
        <v>11</v>
      </c>
      <c r="C14340" s="23" t="s">
        <v>5437</v>
      </c>
      <c r="D14340" s="21"/>
    </row>
    <row r="14341" spans="1:4" ht="12.75" customHeight="1" x14ac:dyDescent="0.2">
      <c r="A14341" s="21"/>
      <c r="B14341" s="3" t="s">
        <v>16</v>
      </c>
      <c r="C14341" s="23"/>
      <c r="D14341" s="21"/>
    </row>
    <row r="14342" spans="1:4" ht="12.75" customHeight="1" x14ac:dyDescent="0.2">
      <c r="A14342" s="21"/>
      <c r="B14342" s="3" t="s">
        <v>17</v>
      </c>
      <c r="C14342" s="23" t="s">
        <v>19</v>
      </c>
      <c r="D14342" s="21"/>
    </row>
    <row r="14343" spans="1:4" ht="12.75" customHeight="1" x14ac:dyDescent="0.2">
      <c r="A14343" s="21"/>
      <c r="B14343" s="20" t="s">
        <v>18</v>
      </c>
      <c r="C14343" s="8" t="s">
        <v>244</v>
      </c>
      <c r="D14343" s="1" t="str">
        <f>HYPERLINK("javascript:void(0)","monsztabéklyó")</f>
        <v>monsztabéklyó</v>
      </c>
    </row>
    <row r="14344" spans="1:4" ht="12.75" customHeight="1" x14ac:dyDescent="0.2">
      <c r="A14344" s="21"/>
      <c r="B14344" s="21"/>
      <c r="C14344" s="8" t="s">
        <v>132</v>
      </c>
      <c r="D14344" s="1" t="str">
        <f>HYPERLINK("javascript:void(0)","dobkarika")</f>
        <v>dobkarika</v>
      </c>
    </row>
    <row r="14345" spans="1:4" ht="12.75" customHeight="1" x14ac:dyDescent="0.2">
      <c r="A14345" s="21"/>
      <c r="B14345" s="21"/>
      <c r="C14345" s="8" t="s">
        <v>290</v>
      </c>
      <c r="D14345" s="1" t="str">
        <f>HYPERLINK("javascript:void(0)","pillepikkely")</f>
        <v>pillepikkely</v>
      </c>
    </row>
    <row r="14346" spans="1:4" ht="12.75" customHeight="1" x14ac:dyDescent="0.2">
      <c r="A14346" s="21"/>
      <c r="B14346" s="2"/>
      <c r="C14346" s="7"/>
      <c r="D14346" s="7"/>
    </row>
    <row r="14347" spans="1:4" ht="12.75" customHeight="1" x14ac:dyDescent="0.2">
      <c r="A14347" s="21"/>
      <c r="B14347" s="2"/>
      <c r="C14347" s="7"/>
      <c r="D14347" s="7"/>
    </row>
    <row r="14348" spans="1:4" ht="12.75" customHeight="1" x14ac:dyDescent="0.2">
      <c r="A14348" s="21"/>
      <c r="B14348" s="2"/>
      <c r="C14348" s="7"/>
      <c r="D14348" s="7"/>
    </row>
    <row r="14349" spans="1:4" ht="12.75" customHeight="1" x14ac:dyDescent="0.2">
      <c r="A14349" s="21"/>
      <c r="B14349" s="2"/>
      <c r="C14349" s="7"/>
      <c r="D14349" s="7"/>
    </row>
    <row r="14350" spans="1:4" ht="12.75" customHeight="1" x14ac:dyDescent="0.2">
      <c r="A14350" s="5"/>
      <c r="B14350" s="2"/>
      <c r="C14350" s="7"/>
      <c r="D14350" s="7"/>
    </row>
    <row r="14351" spans="1:4" ht="12.75" customHeight="1" x14ac:dyDescent="0.2">
      <c r="A14351" s="22" t="str">
        <f>HYPERLINK("javascript:void(0)","csillámos antigrav csizma")</f>
        <v>csillámos antigrav csizma</v>
      </c>
      <c r="B14351" s="21"/>
      <c r="C14351" s="21"/>
      <c r="D14351" s="21"/>
    </row>
    <row r="14352" spans="1:4" ht="12.75" customHeight="1" x14ac:dyDescent="0.2">
      <c r="A14352" s="20"/>
      <c r="B14352" s="2"/>
      <c r="C14352" s="7"/>
      <c r="D14352" s="7"/>
    </row>
    <row r="14353" spans="1:4" ht="12.75" customHeight="1" x14ac:dyDescent="0.2">
      <c r="A14353" s="21"/>
      <c r="B14353" s="3" t="s">
        <v>0</v>
      </c>
      <c r="C14353" s="23" t="s">
        <v>95</v>
      </c>
      <c r="D14353" s="21"/>
    </row>
    <row r="14354" spans="1:4" ht="12.75" customHeight="1" x14ac:dyDescent="0.2">
      <c r="A14354" s="21"/>
      <c r="B14354" s="3" t="s">
        <v>2</v>
      </c>
      <c r="C14354" s="23"/>
      <c r="D14354" s="21"/>
    </row>
    <row r="14355" spans="1:4" ht="12.75" customHeight="1" x14ac:dyDescent="0.2">
      <c r="A14355" s="21"/>
      <c r="B14355" s="3" t="s">
        <v>1840</v>
      </c>
      <c r="C14355" s="23" t="s">
        <v>533</v>
      </c>
      <c r="D14355" s="21"/>
    </row>
    <row r="14356" spans="1:4" ht="12.75" customHeight="1" x14ac:dyDescent="0.2">
      <c r="A14356" s="21"/>
      <c r="B14356" s="3" t="s">
        <v>9</v>
      </c>
      <c r="C14356" s="23" t="s">
        <v>626</v>
      </c>
      <c r="D14356" s="21"/>
    </row>
    <row r="14357" spans="1:4" ht="12.75" customHeight="1" x14ac:dyDescent="0.2">
      <c r="A14357" s="21"/>
      <c r="B14357" s="3" t="s">
        <v>11</v>
      </c>
      <c r="C14357" s="23" t="s">
        <v>23</v>
      </c>
      <c r="D14357" s="21"/>
    </row>
    <row r="14358" spans="1:4" ht="12.75" customHeight="1" x14ac:dyDescent="0.2">
      <c r="A14358" s="21"/>
      <c r="B14358" s="3" t="s">
        <v>16</v>
      </c>
      <c r="C14358" s="23"/>
      <c r="D14358" s="21"/>
    </row>
    <row r="14359" spans="1:4" ht="12.75" customHeight="1" x14ac:dyDescent="0.2">
      <c r="A14359" s="21"/>
      <c r="B14359" s="3" t="s">
        <v>17</v>
      </c>
      <c r="C14359" s="23" t="s">
        <v>19</v>
      </c>
      <c r="D14359" s="21"/>
    </row>
    <row r="14360" spans="1:4" ht="25.5" customHeight="1" x14ac:dyDescent="0.2">
      <c r="A14360" s="21"/>
      <c r="B14360" s="20" t="s">
        <v>18</v>
      </c>
      <c r="C14360" s="8" t="s">
        <v>44</v>
      </c>
      <c r="D14360" s="1" t="str">
        <f>HYPERLINK("javascript:void(0)","röpdíszes antigrav csizma")</f>
        <v>röpdíszes antigrav csizma</v>
      </c>
    </row>
    <row r="14361" spans="1:4" ht="12.75" customHeight="1" x14ac:dyDescent="0.2">
      <c r="A14361" s="21"/>
      <c r="B14361" s="21"/>
      <c r="C14361" s="8" t="s">
        <v>358</v>
      </c>
      <c r="D14361" s="1" t="str">
        <f>HYPERLINK("javascript:void(0)","kvarc")</f>
        <v>kvarc</v>
      </c>
    </row>
    <row r="14362" spans="1:4" ht="12.75" customHeight="1" x14ac:dyDescent="0.2">
      <c r="A14362" s="21"/>
      <c r="B14362" s="21"/>
      <c r="C14362" s="8" t="s">
        <v>1113</v>
      </c>
      <c r="D14362" s="1" t="str">
        <f>HYPERLINK("javascript:void(0)","ködpikkely")</f>
        <v>ködpikkely</v>
      </c>
    </row>
    <row r="14363" spans="1:4" ht="12.75" customHeight="1" x14ac:dyDescent="0.2">
      <c r="A14363" s="21"/>
      <c r="B14363" s="2"/>
      <c r="C14363" s="7"/>
      <c r="D14363" s="7"/>
    </row>
    <row r="14364" spans="1:4" ht="12.75" customHeight="1" x14ac:dyDescent="0.2">
      <c r="A14364" s="21"/>
      <c r="B14364" s="2"/>
      <c r="C14364" s="7"/>
      <c r="D14364" s="7"/>
    </row>
    <row r="14365" spans="1:4" ht="12.75" customHeight="1" x14ac:dyDescent="0.2">
      <c r="A14365" s="21"/>
      <c r="B14365" s="2"/>
      <c r="C14365" s="7"/>
      <c r="D14365" s="7"/>
    </row>
    <row r="14366" spans="1:4" ht="12.75" customHeight="1" x14ac:dyDescent="0.2">
      <c r="A14366" s="21"/>
      <c r="B14366" s="2"/>
      <c r="C14366" s="7"/>
      <c r="D14366" s="7"/>
    </row>
    <row r="14367" spans="1:4" ht="12.75" customHeight="1" x14ac:dyDescent="0.2">
      <c r="A14367" s="5"/>
      <c r="B14367" s="2"/>
      <c r="C14367" s="7"/>
      <c r="D14367" s="7"/>
    </row>
    <row r="14368" spans="1:4" ht="12.75" customHeight="1" x14ac:dyDescent="0.2">
      <c r="A14368" s="22" t="str">
        <f>HYPERLINK("javascript:void(0)","suhanóvért")</f>
        <v>suhanóvért</v>
      </c>
      <c r="B14368" s="21"/>
      <c r="C14368" s="21"/>
      <c r="D14368" s="21"/>
    </row>
    <row r="14369" spans="1:4" ht="12.75" customHeight="1" x14ac:dyDescent="0.2">
      <c r="A14369" s="20"/>
      <c r="B14369" s="2"/>
      <c r="C14369" s="7"/>
      <c r="D14369" s="7"/>
    </row>
    <row r="14370" spans="1:4" ht="12.75" customHeight="1" x14ac:dyDescent="0.2">
      <c r="A14370" s="21"/>
      <c r="B14370" s="3" t="s">
        <v>0</v>
      </c>
      <c r="C14370" s="23" t="s">
        <v>336</v>
      </c>
      <c r="D14370" s="21"/>
    </row>
    <row r="14371" spans="1:4" ht="12.75" customHeight="1" x14ac:dyDescent="0.2">
      <c r="A14371" s="21"/>
      <c r="B14371" s="3" t="s">
        <v>2</v>
      </c>
      <c r="C14371" s="23" t="s">
        <v>2322</v>
      </c>
      <c r="D14371" s="21"/>
    </row>
    <row r="14372" spans="1:4" ht="12.75" customHeight="1" x14ac:dyDescent="0.2">
      <c r="A14372" s="21"/>
      <c r="B14372" s="3" t="s">
        <v>1840</v>
      </c>
      <c r="C14372" s="23" t="s">
        <v>2517</v>
      </c>
      <c r="D14372" s="21"/>
    </row>
    <row r="14373" spans="1:4" ht="12.75" customHeight="1" x14ac:dyDescent="0.2">
      <c r="A14373" s="21"/>
      <c r="B14373" s="3" t="s">
        <v>9</v>
      </c>
      <c r="C14373" s="23" t="s">
        <v>1454</v>
      </c>
      <c r="D14373" s="21"/>
    </row>
    <row r="14374" spans="1:4" ht="12.75" customHeight="1" x14ac:dyDescent="0.2">
      <c r="A14374" s="21"/>
      <c r="B14374" s="3" t="s">
        <v>11</v>
      </c>
      <c r="C14374" s="23" t="s">
        <v>2175</v>
      </c>
      <c r="D14374" s="21"/>
    </row>
    <row r="14375" spans="1:4" ht="12.75" customHeight="1" x14ac:dyDescent="0.2">
      <c r="A14375" s="21"/>
      <c r="B14375" s="3" t="s">
        <v>16</v>
      </c>
      <c r="C14375" s="23"/>
      <c r="D14375" s="21"/>
    </row>
    <row r="14376" spans="1:4" ht="12.75" customHeight="1" x14ac:dyDescent="0.2">
      <c r="A14376" s="21"/>
      <c r="B14376" s="3" t="s">
        <v>17</v>
      </c>
      <c r="C14376" s="23" t="s">
        <v>19</v>
      </c>
      <c r="D14376" s="21"/>
    </row>
    <row r="14377" spans="1:4" ht="12.75" customHeight="1" x14ac:dyDescent="0.2">
      <c r="A14377" s="21"/>
      <c r="B14377" s="20" t="s">
        <v>18</v>
      </c>
      <c r="C14377" s="8" t="s">
        <v>244</v>
      </c>
      <c r="D14377" s="1" t="str">
        <f>HYPERLINK("javascript:void(0)","suhanás")</f>
        <v>suhanás</v>
      </c>
    </row>
    <row r="14378" spans="1:4" ht="12.75" customHeight="1" x14ac:dyDescent="0.2">
      <c r="A14378" s="21"/>
      <c r="B14378" s="21"/>
      <c r="C14378" s="8" t="s">
        <v>403</v>
      </c>
      <c r="D14378" s="1" t="str">
        <f>HYPERLINK("javascript:void(0)","nekroige")</f>
        <v>nekroige</v>
      </c>
    </row>
    <row r="14379" spans="1:4" ht="12.75" customHeight="1" x14ac:dyDescent="0.2">
      <c r="A14379" s="21"/>
      <c r="B14379" s="21"/>
      <c r="C14379" s="8" t="s">
        <v>780</v>
      </c>
      <c r="D14379" s="1" t="str">
        <f>HYPERLINK("javascript:void(0)","lélekfodor")</f>
        <v>lélekfodor</v>
      </c>
    </row>
    <row r="14380" spans="1:4" ht="12.75" customHeight="1" x14ac:dyDescent="0.2">
      <c r="A14380" s="21"/>
      <c r="B14380" s="2"/>
      <c r="C14380" s="7"/>
      <c r="D14380" s="7"/>
    </row>
    <row r="14381" spans="1:4" ht="12.75" customHeight="1" x14ac:dyDescent="0.2">
      <c r="A14381" s="21"/>
      <c r="B14381" s="2"/>
      <c r="C14381" s="7"/>
      <c r="D14381" s="7"/>
    </row>
    <row r="14382" spans="1:4" ht="12.75" customHeight="1" x14ac:dyDescent="0.2">
      <c r="A14382" s="21"/>
      <c r="B14382" s="2"/>
      <c r="C14382" s="7"/>
      <c r="D14382" s="7"/>
    </row>
    <row r="14383" spans="1:4" ht="12.75" customHeight="1" x14ac:dyDescent="0.2">
      <c r="A14383" s="21"/>
      <c r="B14383" s="2"/>
      <c r="C14383" s="7"/>
      <c r="D14383" s="7"/>
    </row>
    <row r="14384" spans="1:4" ht="12.75" customHeight="1" x14ac:dyDescent="0.2">
      <c r="A14384" s="5"/>
      <c r="B14384" s="2"/>
      <c r="C14384" s="7"/>
      <c r="D14384" s="7"/>
    </row>
    <row r="14385" spans="1:4" ht="12.75" customHeight="1" x14ac:dyDescent="0.2">
      <c r="A14385" s="22" t="str">
        <f>HYPERLINK("javascript:void(0)","csóvasisak")</f>
        <v>csóvasisak</v>
      </c>
      <c r="B14385" s="21"/>
      <c r="C14385" s="21"/>
      <c r="D14385" s="21"/>
    </row>
    <row r="14386" spans="1:4" ht="12.75" customHeight="1" x14ac:dyDescent="0.2">
      <c r="A14386" s="20"/>
      <c r="B14386" s="2"/>
      <c r="C14386" s="7"/>
      <c r="D14386" s="7"/>
    </row>
    <row r="14387" spans="1:4" ht="12.75" customHeight="1" x14ac:dyDescent="0.2">
      <c r="A14387" s="21"/>
      <c r="B14387" s="3" t="s">
        <v>0</v>
      </c>
      <c r="C14387" s="23" t="s">
        <v>336</v>
      </c>
      <c r="D14387" s="21"/>
    </row>
    <row r="14388" spans="1:4" ht="12.75" customHeight="1" x14ac:dyDescent="0.2">
      <c r="A14388" s="21"/>
      <c r="B14388" s="3" t="s">
        <v>2</v>
      </c>
      <c r="C14388" s="23"/>
      <c r="D14388" s="21"/>
    </row>
    <row r="14389" spans="1:4" ht="12.75" customHeight="1" x14ac:dyDescent="0.2">
      <c r="A14389" s="21"/>
      <c r="B14389" s="3" t="s">
        <v>1840</v>
      </c>
      <c r="C14389" s="23" t="s">
        <v>2429</v>
      </c>
      <c r="D14389" s="21"/>
    </row>
    <row r="14390" spans="1:4" ht="12.75" customHeight="1" x14ac:dyDescent="0.2">
      <c r="A14390" s="21"/>
      <c r="B14390" s="3" t="s">
        <v>9</v>
      </c>
      <c r="C14390" s="23" t="s">
        <v>210</v>
      </c>
      <c r="D14390" s="21"/>
    </row>
    <row r="14391" spans="1:4" ht="12.75" customHeight="1" x14ac:dyDescent="0.2">
      <c r="A14391" s="21"/>
      <c r="B14391" s="3" t="s">
        <v>11</v>
      </c>
      <c r="C14391" s="23" t="s">
        <v>2175</v>
      </c>
      <c r="D14391" s="21"/>
    </row>
    <row r="14392" spans="1:4" ht="12.75" customHeight="1" x14ac:dyDescent="0.2">
      <c r="A14392" s="21"/>
      <c r="B14392" s="3" t="s">
        <v>16</v>
      </c>
      <c r="C14392" s="23"/>
      <c r="D14392" s="21"/>
    </row>
    <row r="14393" spans="1:4" ht="12.75" customHeight="1" x14ac:dyDescent="0.2">
      <c r="A14393" s="21"/>
      <c r="B14393" s="3" t="s">
        <v>17</v>
      </c>
      <c r="C14393" s="23" t="s">
        <v>19</v>
      </c>
      <c r="D14393" s="21"/>
    </row>
    <row r="14394" spans="1:4" ht="12.75" customHeight="1" x14ac:dyDescent="0.2">
      <c r="A14394" s="21"/>
      <c r="B14394" s="20" t="s">
        <v>18</v>
      </c>
      <c r="C14394" s="8" t="s">
        <v>98</v>
      </c>
      <c r="D14394" s="1" t="str">
        <f>HYPERLINK("javascript:void(0)","szikracsóva")</f>
        <v>szikracsóva</v>
      </c>
    </row>
    <row r="14395" spans="1:4" ht="12.75" customHeight="1" x14ac:dyDescent="0.2">
      <c r="A14395" s="21"/>
      <c r="B14395" s="21"/>
      <c r="C14395" s="8" t="s">
        <v>44</v>
      </c>
      <c r="D14395" s="1" t="str">
        <f>HYPERLINK("javascript:void(0)","karimás fejvédő")</f>
        <v>karimás fejvédő</v>
      </c>
    </row>
    <row r="14396" spans="1:4" ht="12.75" customHeight="1" x14ac:dyDescent="0.2">
      <c r="A14396" s="21"/>
      <c r="B14396" s="21"/>
      <c r="C14396" s="8" t="s">
        <v>244</v>
      </c>
      <c r="D14396" s="1" t="str">
        <f>HYPERLINK("javascript:void(0)","négyél")</f>
        <v>négyél</v>
      </c>
    </row>
    <row r="14397" spans="1:4" ht="12.75" customHeight="1" x14ac:dyDescent="0.2">
      <c r="A14397" s="21"/>
      <c r="B14397" s="2"/>
      <c r="C14397" s="7"/>
      <c r="D14397" s="7"/>
    </row>
    <row r="14398" spans="1:4" ht="12.75" customHeight="1" x14ac:dyDescent="0.2">
      <c r="A14398" s="21"/>
      <c r="B14398" s="2"/>
      <c r="C14398" s="7"/>
      <c r="D14398" s="7"/>
    </row>
    <row r="14399" spans="1:4" ht="12.75" customHeight="1" x14ac:dyDescent="0.2">
      <c r="A14399" s="21"/>
      <c r="B14399" s="2"/>
      <c r="C14399" s="7"/>
      <c r="D14399" s="7"/>
    </row>
    <row r="14400" spans="1:4" ht="12.75" customHeight="1" x14ac:dyDescent="0.2">
      <c r="A14400" s="21"/>
      <c r="B14400" s="2"/>
      <c r="C14400" s="7"/>
      <c r="D14400" s="7"/>
    </row>
    <row r="14401" spans="1:4" ht="12.75" customHeight="1" x14ac:dyDescent="0.2">
      <c r="A14401" s="5"/>
      <c r="B14401" s="2"/>
      <c r="C14401" s="7"/>
      <c r="D14401" s="7"/>
    </row>
    <row r="14402" spans="1:4" ht="12.75" customHeight="1" x14ac:dyDescent="0.2">
      <c r="A14402" s="22" t="str">
        <f>HYPERLINK("javascript:void(0)","radionitmokaszin")</f>
        <v>radionitmokaszin</v>
      </c>
      <c r="B14402" s="21"/>
      <c r="C14402" s="21"/>
      <c r="D14402" s="21"/>
    </row>
    <row r="14403" spans="1:4" ht="12.75" customHeight="1" x14ac:dyDescent="0.2">
      <c r="A14403" s="20"/>
      <c r="B14403" s="2"/>
      <c r="C14403" s="7"/>
      <c r="D14403" s="7"/>
    </row>
    <row r="14404" spans="1:4" ht="12.75" customHeight="1" x14ac:dyDescent="0.2">
      <c r="A14404" s="21"/>
      <c r="B14404" s="3" t="s">
        <v>0</v>
      </c>
      <c r="C14404" s="23" t="s">
        <v>336</v>
      </c>
      <c r="D14404" s="21"/>
    </row>
    <row r="14405" spans="1:4" ht="12.75" customHeight="1" x14ac:dyDescent="0.2">
      <c r="A14405" s="21"/>
      <c r="B14405" s="3" t="s">
        <v>2</v>
      </c>
      <c r="C14405" s="23"/>
      <c r="D14405" s="21"/>
    </row>
    <row r="14406" spans="1:4" ht="12.75" customHeight="1" x14ac:dyDescent="0.2">
      <c r="A14406" s="21"/>
      <c r="B14406" s="3" t="s">
        <v>1840</v>
      </c>
      <c r="C14406" s="23" t="s">
        <v>2181</v>
      </c>
      <c r="D14406" s="21"/>
    </row>
    <row r="14407" spans="1:4" ht="12.75" customHeight="1" x14ac:dyDescent="0.2">
      <c r="A14407" s="21"/>
      <c r="B14407" s="3" t="s">
        <v>9</v>
      </c>
      <c r="C14407" s="23" t="s">
        <v>2056</v>
      </c>
      <c r="D14407" s="21"/>
    </row>
    <row r="14408" spans="1:4" ht="12.75" customHeight="1" x14ac:dyDescent="0.2">
      <c r="A14408" s="21"/>
      <c r="B14408" s="3" t="s">
        <v>11</v>
      </c>
      <c r="C14408" s="23" t="s">
        <v>1040</v>
      </c>
      <c r="D14408" s="21"/>
    </row>
    <row r="14409" spans="1:4" ht="12.75" customHeight="1" x14ac:dyDescent="0.2">
      <c r="A14409" s="21"/>
      <c r="B14409" s="3" t="s">
        <v>16</v>
      </c>
      <c r="C14409" s="23"/>
      <c r="D14409" s="21"/>
    </row>
    <row r="14410" spans="1:4" ht="12.75" customHeight="1" x14ac:dyDescent="0.2">
      <c r="A14410" s="21"/>
      <c r="B14410" s="3" t="s">
        <v>17</v>
      </c>
      <c r="C14410" s="23" t="s">
        <v>19</v>
      </c>
      <c r="D14410" s="21"/>
    </row>
    <row r="14411" spans="1:4" ht="12.75" customHeight="1" x14ac:dyDescent="0.2">
      <c r="A14411" s="21"/>
      <c r="B14411" s="20" t="s">
        <v>18</v>
      </c>
      <c r="C14411" s="8" t="s">
        <v>44</v>
      </c>
      <c r="D14411" s="1" t="str">
        <f>HYPERLINK("javascript:void(0)","léleklépő")</f>
        <v>léleklépő</v>
      </c>
    </row>
    <row r="14412" spans="1:4" ht="12.75" customHeight="1" x14ac:dyDescent="0.2">
      <c r="A14412" s="21"/>
      <c r="B14412" s="21"/>
      <c r="C14412" s="8" t="s">
        <v>44</v>
      </c>
      <c r="D14412" s="1" t="str">
        <f>HYPERLINK("javascript:void(0)","karikasaru")</f>
        <v>karikasaru</v>
      </c>
    </row>
    <row r="14413" spans="1:4" ht="12.75" customHeight="1" x14ac:dyDescent="0.2">
      <c r="A14413" s="21"/>
      <c r="B14413" s="21"/>
      <c r="C14413" s="8" t="s">
        <v>44</v>
      </c>
      <c r="D14413" s="1" t="str">
        <f>HYPERLINK("javascript:void(0)","radionitfűző")</f>
        <v>radionitfűző</v>
      </c>
    </row>
    <row r="14414" spans="1:4" ht="12.75" customHeight="1" x14ac:dyDescent="0.2">
      <c r="A14414" s="21"/>
      <c r="B14414" s="2"/>
      <c r="C14414" s="7"/>
      <c r="D14414" s="7"/>
    </row>
    <row r="14415" spans="1:4" ht="12.75" customHeight="1" x14ac:dyDescent="0.2">
      <c r="A14415" s="21"/>
      <c r="B14415" s="2"/>
      <c r="C14415" s="7"/>
      <c r="D14415" s="7"/>
    </row>
    <row r="14416" spans="1:4" ht="12.75" customHeight="1" x14ac:dyDescent="0.2">
      <c r="A14416" s="21"/>
      <c r="B14416" s="2"/>
      <c r="C14416" s="7"/>
      <c r="D14416" s="7"/>
    </row>
    <row r="14417" spans="1:4" ht="12.75" customHeight="1" x14ac:dyDescent="0.2">
      <c r="A14417" s="21"/>
      <c r="B14417" s="2"/>
      <c r="C14417" s="7"/>
      <c r="D14417" s="7"/>
    </row>
    <row r="14418" spans="1:4" ht="12.75" customHeight="1" x14ac:dyDescent="0.2">
      <c r="A14418" s="5"/>
      <c r="B14418" s="2"/>
      <c r="C14418" s="7"/>
      <c r="D14418" s="7"/>
    </row>
    <row r="14419" spans="1:4" ht="12.75" customHeight="1" x14ac:dyDescent="0.2">
      <c r="A14419" s="22" t="str">
        <f>HYPERLINK("javascript:void(0)","szélfogópajzs")</f>
        <v>szélfogópajzs</v>
      </c>
      <c r="B14419" s="21"/>
      <c r="C14419" s="21"/>
      <c r="D14419" s="21"/>
    </row>
    <row r="14420" spans="1:4" ht="12.75" customHeight="1" x14ac:dyDescent="0.2">
      <c r="A14420" s="20"/>
      <c r="B14420" s="2"/>
      <c r="C14420" s="7"/>
      <c r="D14420" s="7"/>
    </row>
    <row r="14421" spans="1:4" ht="12.75" customHeight="1" x14ac:dyDescent="0.2">
      <c r="A14421" s="21"/>
      <c r="B14421" s="3" t="s">
        <v>0</v>
      </c>
      <c r="C14421" s="23" t="s">
        <v>336</v>
      </c>
      <c r="D14421" s="21"/>
    </row>
    <row r="14422" spans="1:4" ht="12.75" customHeight="1" x14ac:dyDescent="0.2">
      <c r="A14422" s="21"/>
      <c r="B14422" s="3" t="s">
        <v>2</v>
      </c>
      <c r="C14422" s="23" t="s">
        <v>1839</v>
      </c>
      <c r="D14422" s="21"/>
    </row>
    <row r="14423" spans="1:4" ht="12.75" customHeight="1" x14ac:dyDescent="0.2">
      <c r="A14423" s="21"/>
      <c r="B14423" s="3" t="s">
        <v>1840</v>
      </c>
      <c r="C14423" s="23" t="s">
        <v>1821</v>
      </c>
      <c r="D14423" s="21"/>
    </row>
    <row r="14424" spans="1:4" ht="12.75" customHeight="1" x14ac:dyDescent="0.2">
      <c r="A14424" s="21"/>
      <c r="B14424" s="3" t="s">
        <v>9</v>
      </c>
      <c r="C14424" s="23" t="s">
        <v>377</v>
      </c>
      <c r="D14424" s="21"/>
    </row>
    <row r="14425" spans="1:4" ht="12.75" customHeight="1" x14ac:dyDescent="0.2">
      <c r="A14425" s="21"/>
      <c r="B14425" s="3" t="s">
        <v>11</v>
      </c>
      <c r="C14425" s="23" t="s">
        <v>2210</v>
      </c>
      <c r="D14425" s="21"/>
    </row>
    <row r="14426" spans="1:4" ht="12.75" customHeight="1" x14ac:dyDescent="0.2">
      <c r="A14426" s="21"/>
      <c r="B14426" s="3" t="s">
        <v>16</v>
      </c>
      <c r="C14426" s="23"/>
      <c r="D14426" s="21"/>
    </row>
    <row r="14427" spans="1:4" ht="12.75" customHeight="1" x14ac:dyDescent="0.2">
      <c r="A14427" s="21"/>
      <c r="B14427" s="3" t="s">
        <v>17</v>
      </c>
      <c r="C14427" s="23" t="s">
        <v>19</v>
      </c>
      <c r="D14427" s="21"/>
    </row>
    <row r="14428" spans="1:4" ht="12.75" customHeight="1" x14ac:dyDescent="0.2">
      <c r="A14428" s="21"/>
      <c r="B14428" s="20" t="s">
        <v>18</v>
      </c>
      <c r="C14428" s="8" t="s">
        <v>44</v>
      </c>
      <c r="D14428" s="1" t="str">
        <f>HYPERLINK("javascript:void(0)","homokpajzs")</f>
        <v>homokpajzs</v>
      </c>
    </row>
    <row r="14429" spans="1:4" ht="12.75" customHeight="1" x14ac:dyDescent="0.2">
      <c r="A14429" s="21"/>
      <c r="B14429" s="21"/>
      <c r="C14429" s="8" t="s">
        <v>269</v>
      </c>
      <c r="D14429" s="1" t="str">
        <f>HYPERLINK("javascript:void(0)","suhanás")</f>
        <v>suhanás</v>
      </c>
    </row>
    <row r="14430" spans="1:4" ht="12.75" customHeight="1" x14ac:dyDescent="0.2">
      <c r="A14430" s="21"/>
      <c r="B14430" s="21"/>
      <c r="C14430" s="8" t="s">
        <v>290</v>
      </c>
      <c r="D14430" s="1" t="str">
        <f>HYPERLINK("javascript:void(0)","rémkép")</f>
        <v>rémkép</v>
      </c>
    </row>
    <row r="14431" spans="1:4" ht="12.75" customHeight="1" x14ac:dyDescent="0.2">
      <c r="A14431" s="21"/>
      <c r="B14431" s="2"/>
      <c r="C14431" s="7"/>
      <c r="D14431" s="7"/>
    </row>
    <row r="14432" spans="1:4" ht="12.75" customHeight="1" x14ac:dyDescent="0.2">
      <c r="A14432" s="21"/>
      <c r="B14432" s="2"/>
      <c r="C14432" s="7"/>
      <c r="D14432" s="7"/>
    </row>
    <row r="14433" spans="1:4" ht="12.75" customHeight="1" x14ac:dyDescent="0.2">
      <c r="A14433" s="21"/>
      <c r="B14433" s="2"/>
      <c r="C14433" s="7"/>
      <c r="D14433" s="7"/>
    </row>
    <row r="14434" spans="1:4" ht="12.75" customHeight="1" x14ac:dyDescent="0.2">
      <c r="A14434" s="21"/>
      <c r="B14434" s="2"/>
      <c r="C14434" s="7"/>
      <c r="D14434" s="7"/>
    </row>
    <row r="14435" spans="1:4" ht="12.75" customHeight="1" x14ac:dyDescent="0.2">
      <c r="A14435" s="5"/>
      <c r="B14435" s="2"/>
      <c r="C14435" s="7"/>
      <c r="D14435" s="7"/>
    </row>
    <row r="14436" spans="1:4" ht="12.75" customHeight="1" x14ac:dyDescent="0.2">
      <c r="A14436" s="22" t="str">
        <f>HYPERLINK("javascript:void(0)","parszi szellempajzs")</f>
        <v>parszi szellempajzs</v>
      </c>
      <c r="B14436" s="21"/>
      <c r="C14436" s="21"/>
      <c r="D14436" s="21"/>
    </row>
    <row r="14437" spans="1:4" ht="12.75" customHeight="1" x14ac:dyDescent="0.2">
      <c r="A14437" s="20"/>
      <c r="B14437" s="2"/>
      <c r="C14437" s="7"/>
      <c r="D14437" s="7"/>
    </row>
    <row r="14438" spans="1:4" ht="12.75" customHeight="1" x14ac:dyDescent="0.2">
      <c r="A14438" s="21"/>
      <c r="B14438" s="3" t="s">
        <v>0</v>
      </c>
      <c r="C14438" s="23" t="s">
        <v>336</v>
      </c>
      <c r="D14438" s="21"/>
    </row>
    <row r="14439" spans="1:4" ht="12.75" customHeight="1" x14ac:dyDescent="0.2">
      <c r="A14439" s="21"/>
      <c r="B14439" s="3" t="s">
        <v>2</v>
      </c>
      <c r="C14439" s="23" t="s">
        <v>1839</v>
      </c>
      <c r="D14439" s="21"/>
    </row>
    <row r="14440" spans="1:4" ht="12.75" customHeight="1" x14ac:dyDescent="0.2">
      <c r="A14440" s="21"/>
      <c r="B14440" s="3" t="s">
        <v>1840</v>
      </c>
      <c r="C14440" s="23" t="s">
        <v>1821</v>
      </c>
      <c r="D14440" s="21"/>
    </row>
    <row r="14441" spans="1:4" ht="12.75" customHeight="1" x14ac:dyDescent="0.2">
      <c r="A14441" s="21"/>
      <c r="B14441" s="3" t="s">
        <v>9</v>
      </c>
      <c r="C14441" s="23" t="s">
        <v>5460</v>
      </c>
      <c r="D14441" s="21"/>
    </row>
    <row r="14442" spans="1:4" ht="12.75" customHeight="1" x14ac:dyDescent="0.2">
      <c r="A14442" s="21"/>
      <c r="B14442" s="3" t="s">
        <v>11</v>
      </c>
      <c r="C14442" s="23" t="s">
        <v>2218</v>
      </c>
      <c r="D14442" s="21"/>
    </row>
    <row r="14443" spans="1:4" ht="12.75" customHeight="1" x14ac:dyDescent="0.2">
      <c r="A14443" s="21"/>
      <c r="B14443" s="3" t="s">
        <v>16</v>
      </c>
      <c r="C14443" s="23"/>
      <c r="D14443" s="21"/>
    </row>
    <row r="14444" spans="1:4" ht="12.75" customHeight="1" x14ac:dyDescent="0.2">
      <c r="A14444" s="21"/>
      <c r="B14444" s="3" t="s">
        <v>17</v>
      </c>
      <c r="C14444" s="23" t="s">
        <v>19</v>
      </c>
      <c r="D14444" s="21"/>
    </row>
    <row r="14445" spans="1:4" ht="12.75" customHeight="1" x14ac:dyDescent="0.2">
      <c r="A14445" s="21"/>
      <c r="B14445" s="20" t="s">
        <v>18</v>
      </c>
      <c r="C14445" s="8" t="s">
        <v>44</v>
      </c>
      <c r="D14445" s="1" t="str">
        <f>HYPERLINK("javascript:void(0)","szélfogópajzs")</f>
        <v>szélfogópajzs</v>
      </c>
    </row>
    <row r="14446" spans="1:4" ht="12.75" customHeight="1" x14ac:dyDescent="0.2">
      <c r="A14446" s="21"/>
      <c r="B14446" s="21"/>
      <c r="C14446" s="8" t="s">
        <v>936</v>
      </c>
      <c r="D14446" s="1" t="str">
        <f>HYPERLINK("javascript:void(0)","spiritusz")</f>
        <v>spiritusz</v>
      </c>
    </row>
    <row r="14447" spans="1:4" ht="12.75" customHeight="1" x14ac:dyDescent="0.2">
      <c r="A14447" s="21"/>
      <c r="B14447" s="21"/>
      <c r="C14447" s="8" t="s">
        <v>772</v>
      </c>
      <c r="D14447" s="1" t="str">
        <f>HYPERLINK("javascript:void(0)","suhanás")</f>
        <v>suhanás</v>
      </c>
    </row>
    <row r="14448" spans="1:4" ht="12.75" customHeight="1" x14ac:dyDescent="0.2">
      <c r="A14448" s="21"/>
      <c r="B14448" s="2"/>
      <c r="C14448" s="7"/>
      <c r="D14448" s="7"/>
    </row>
    <row r="14449" spans="1:4" ht="12.75" customHeight="1" x14ac:dyDescent="0.2">
      <c r="A14449" s="21"/>
      <c r="B14449" s="2"/>
      <c r="C14449" s="7"/>
      <c r="D14449" s="7"/>
    </row>
    <row r="14450" spans="1:4" ht="12.75" customHeight="1" x14ac:dyDescent="0.2">
      <c r="A14450" s="21"/>
      <c r="B14450" s="2"/>
      <c r="C14450" s="7"/>
      <c r="D14450" s="7"/>
    </row>
    <row r="14451" spans="1:4" ht="12.75" customHeight="1" x14ac:dyDescent="0.2">
      <c r="A14451" s="21"/>
      <c r="B14451" s="2"/>
      <c r="C14451" s="7"/>
      <c r="D14451" s="7"/>
    </row>
    <row r="14452" spans="1:4" ht="12.75" customHeight="1" x14ac:dyDescent="0.2">
      <c r="A14452" s="5"/>
      <c r="B14452" s="2"/>
      <c r="C14452" s="7"/>
      <c r="D14452" s="7"/>
    </row>
    <row r="14453" spans="1:4" ht="12.75" customHeight="1" x14ac:dyDescent="0.2">
      <c r="A14453" s="22" t="str">
        <f>HYPERLINK("javascript:void(0)","radionitfűző")</f>
        <v>radionitfűző</v>
      </c>
      <c r="B14453" s="21"/>
      <c r="C14453" s="21"/>
      <c r="D14453" s="21"/>
    </row>
    <row r="14454" spans="1:4" ht="12.75" customHeight="1" x14ac:dyDescent="0.2">
      <c r="A14454" s="20"/>
      <c r="B14454" s="2"/>
      <c r="C14454" s="7"/>
      <c r="D14454" s="7"/>
    </row>
    <row r="14455" spans="1:4" ht="12.75" customHeight="1" x14ac:dyDescent="0.2">
      <c r="A14455" s="21"/>
      <c r="B14455" s="3" t="s">
        <v>0</v>
      </c>
      <c r="C14455" s="23" t="s">
        <v>336</v>
      </c>
      <c r="D14455" s="21"/>
    </row>
    <row r="14456" spans="1:4" ht="12.75" customHeight="1" x14ac:dyDescent="0.2">
      <c r="A14456" s="21"/>
      <c r="B14456" s="3" t="s">
        <v>2</v>
      </c>
      <c r="C14456" s="23"/>
      <c r="D14456" s="21"/>
    </row>
    <row r="14457" spans="1:4" ht="12.75" customHeight="1" x14ac:dyDescent="0.2">
      <c r="A14457" s="21"/>
      <c r="B14457" s="3" t="s">
        <v>1840</v>
      </c>
      <c r="C14457" s="23" t="s">
        <v>613</v>
      </c>
      <c r="D14457" s="21"/>
    </row>
    <row r="14458" spans="1:4" ht="12.75" customHeight="1" x14ac:dyDescent="0.2">
      <c r="A14458" s="21"/>
      <c r="B14458" s="3" t="s">
        <v>9</v>
      </c>
      <c r="C14458" s="23" t="s">
        <v>70</v>
      </c>
      <c r="D14458" s="21"/>
    </row>
    <row r="14459" spans="1:4" ht="12.75" customHeight="1" x14ac:dyDescent="0.2">
      <c r="A14459" s="21"/>
      <c r="B14459" s="3" t="s">
        <v>11</v>
      </c>
      <c r="C14459" s="23" t="s">
        <v>2182</v>
      </c>
      <c r="D14459" s="21"/>
    </row>
    <row r="14460" spans="1:4" ht="12.75" customHeight="1" x14ac:dyDescent="0.2">
      <c r="A14460" s="21"/>
      <c r="B14460" s="3" t="s">
        <v>16</v>
      </c>
      <c r="C14460" s="23"/>
      <c r="D14460" s="21"/>
    </row>
    <row r="14461" spans="1:4" ht="12.75" customHeight="1" x14ac:dyDescent="0.2">
      <c r="A14461" s="21"/>
      <c r="B14461" s="3" t="s">
        <v>17</v>
      </c>
      <c r="C14461" s="23" t="s">
        <v>19</v>
      </c>
      <c r="D14461" s="21"/>
    </row>
    <row r="14462" spans="1:4" ht="12.75" customHeight="1" x14ac:dyDescent="0.2">
      <c r="A14462" s="21"/>
      <c r="B14462" s="20" t="s">
        <v>18</v>
      </c>
      <c r="C14462" s="8" t="s">
        <v>323</v>
      </c>
      <c r="D14462" s="1" t="str">
        <f>HYPERLINK("javascript:void(0)","radiolium")</f>
        <v>radiolium</v>
      </c>
    </row>
    <row r="14463" spans="1:4" ht="12.75" customHeight="1" x14ac:dyDescent="0.2">
      <c r="A14463" s="21"/>
      <c r="B14463" s="21"/>
      <c r="C14463" s="8" t="s">
        <v>240</v>
      </c>
      <c r="D14463" s="1" t="str">
        <f>HYPERLINK("javascript:void(0)","suhanás")</f>
        <v>suhanás</v>
      </c>
    </row>
    <row r="14464" spans="1:4" ht="12.75" customHeight="1" x14ac:dyDescent="0.2">
      <c r="A14464" s="21"/>
      <c r="B14464" s="21"/>
      <c r="C14464" s="8" t="s">
        <v>102</v>
      </c>
      <c r="D14464" s="1" t="str">
        <f>HYPERLINK("javascript:void(0)","törtvény")</f>
        <v>törtvény</v>
      </c>
    </row>
    <row r="14465" spans="1:4" ht="12.75" customHeight="1" x14ac:dyDescent="0.2">
      <c r="A14465" s="21"/>
      <c r="B14465" s="2"/>
      <c r="C14465" s="7"/>
      <c r="D14465" s="7"/>
    </row>
    <row r="14466" spans="1:4" ht="12.75" customHeight="1" x14ac:dyDescent="0.2">
      <c r="A14466" s="21"/>
      <c r="B14466" s="2"/>
      <c r="C14466" s="7"/>
      <c r="D14466" s="7"/>
    </row>
    <row r="14467" spans="1:4" ht="12.75" customHeight="1" x14ac:dyDescent="0.2">
      <c r="A14467" s="21"/>
      <c r="B14467" s="2"/>
      <c r="C14467" s="7"/>
      <c r="D14467" s="7"/>
    </row>
    <row r="14468" spans="1:4" ht="12.75" customHeight="1" x14ac:dyDescent="0.2">
      <c r="A14468" s="21"/>
      <c r="B14468" s="2"/>
      <c r="C14468" s="7"/>
      <c r="D14468" s="7"/>
    </row>
    <row r="14469" spans="1:4" ht="12.75" customHeight="1" x14ac:dyDescent="0.2">
      <c r="A14469" s="5"/>
      <c r="B14469" s="2"/>
      <c r="C14469" s="7"/>
      <c r="D14469" s="7"/>
    </row>
    <row r="14470" spans="1:4" ht="12.75" customHeight="1" x14ac:dyDescent="0.2">
      <c r="A14470" s="22" t="str">
        <f>HYPERLINK("javascript:void(0)","tüskepáncél")</f>
        <v>tüskepáncél</v>
      </c>
      <c r="B14470" s="21"/>
      <c r="C14470" s="21"/>
      <c r="D14470" s="21"/>
    </row>
    <row r="14471" spans="1:4" ht="12.75" customHeight="1" x14ac:dyDescent="0.2">
      <c r="A14471" s="20"/>
      <c r="B14471" s="2"/>
      <c r="C14471" s="7"/>
      <c r="D14471" s="7"/>
    </row>
    <row r="14472" spans="1:4" ht="12.75" customHeight="1" x14ac:dyDescent="0.2">
      <c r="A14472" s="21"/>
      <c r="B14472" s="3" t="s">
        <v>0</v>
      </c>
      <c r="C14472" s="23" t="s">
        <v>347</v>
      </c>
      <c r="D14472" s="21"/>
    </row>
    <row r="14473" spans="1:4" ht="12.75" customHeight="1" x14ac:dyDescent="0.2">
      <c r="A14473" s="21"/>
      <c r="B14473" s="3" t="s">
        <v>2</v>
      </c>
      <c r="C14473" s="23" t="s">
        <v>2322</v>
      </c>
      <c r="D14473" s="21"/>
    </row>
    <row r="14474" spans="1:4" ht="12.75" customHeight="1" x14ac:dyDescent="0.2">
      <c r="A14474" s="21"/>
      <c r="B14474" s="3" t="s">
        <v>1840</v>
      </c>
      <c r="C14474" s="23" t="s">
        <v>2518</v>
      </c>
      <c r="D14474" s="21"/>
    </row>
    <row r="14475" spans="1:4" ht="12.75" customHeight="1" x14ac:dyDescent="0.2">
      <c r="A14475" s="21"/>
      <c r="B14475" s="3" t="s">
        <v>9</v>
      </c>
      <c r="C14475" s="23" t="s">
        <v>2155</v>
      </c>
      <c r="D14475" s="21"/>
    </row>
    <row r="14476" spans="1:4" ht="12.75" customHeight="1" x14ac:dyDescent="0.2">
      <c r="A14476" s="21"/>
      <c r="B14476" s="3" t="s">
        <v>11</v>
      </c>
      <c r="C14476" s="23" t="s">
        <v>1553</v>
      </c>
      <c r="D14476" s="21"/>
    </row>
    <row r="14477" spans="1:4" ht="12.75" customHeight="1" x14ac:dyDescent="0.2">
      <c r="A14477" s="21"/>
      <c r="B14477" s="3" t="s">
        <v>16</v>
      </c>
      <c r="C14477" s="23"/>
      <c r="D14477" s="21"/>
    </row>
    <row r="14478" spans="1:4" ht="12.75" customHeight="1" x14ac:dyDescent="0.2">
      <c r="A14478" s="21"/>
      <c r="B14478" s="3" t="s">
        <v>17</v>
      </c>
      <c r="C14478" s="23" t="s">
        <v>19</v>
      </c>
      <c r="D14478" s="21"/>
    </row>
    <row r="14479" spans="1:4" ht="12.75" customHeight="1" x14ac:dyDescent="0.2">
      <c r="A14479" s="21"/>
      <c r="B14479" s="20" t="s">
        <v>18</v>
      </c>
      <c r="C14479" s="8" t="s">
        <v>44</v>
      </c>
      <c r="D14479" s="1" t="str">
        <f>HYPERLINK("javascript:void(0)","lélekvért")</f>
        <v>lélekvért</v>
      </c>
    </row>
    <row r="14480" spans="1:4" ht="12.75" customHeight="1" x14ac:dyDescent="0.2">
      <c r="A14480" s="21"/>
      <c r="B14480" s="21"/>
      <c r="C14480" s="8" t="s">
        <v>44</v>
      </c>
      <c r="D14480" s="1" t="str">
        <f>HYPERLINK("javascript:void(0)","suhanóvért")</f>
        <v>suhanóvért</v>
      </c>
    </row>
    <row r="14481" spans="1:4" ht="12.75" customHeight="1" x14ac:dyDescent="0.2">
      <c r="A14481" s="21"/>
      <c r="B14481" s="21"/>
      <c r="C14481" s="8" t="s">
        <v>44</v>
      </c>
      <c r="D14481" s="1" t="str">
        <f>HYPERLINK("javascript:void(0)","tüskebélés")</f>
        <v>tüskebélés</v>
      </c>
    </row>
    <row r="14482" spans="1:4" ht="12.75" customHeight="1" x14ac:dyDescent="0.2">
      <c r="A14482" s="21"/>
      <c r="B14482" s="2"/>
      <c r="C14482" s="7"/>
      <c r="D14482" s="7"/>
    </row>
    <row r="14483" spans="1:4" ht="12.75" customHeight="1" x14ac:dyDescent="0.2">
      <c r="A14483" s="21"/>
      <c r="B14483" s="2"/>
      <c r="C14483" s="7"/>
      <c r="D14483" s="7"/>
    </row>
    <row r="14484" spans="1:4" ht="12.75" customHeight="1" x14ac:dyDescent="0.2">
      <c r="A14484" s="21"/>
      <c r="B14484" s="2"/>
      <c r="C14484" s="7"/>
      <c r="D14484" s="7"/>
    </row>
    <row r="14485" spans="1:4" ht="12.75" customHeight="1" x14ac:dyDescent="0.2">
      <c r="A14485" s="21"/>
      <c r="B14485" s="2"/>
      <c r="C14485" s="7"/>
      <c r="D14485" s="7"/>
    </row>
    <row r="14486" spans="1:4" ht="12.75" customHeight="1" x14ac:dyDescent="0.2">
      <c r="A14486" s="5"/>
      <c r="B14486" s="2"/>
      <c r="C14486" s="7"/>
      <c r="D14486" s="7"/>
    </row>
    <row r="14487" spans="1:4" ht="12.75" customHeight="1" x14ac:dyDescent="0.2">
      <c r="A14487" s="22" t="str">
        <f>HYPERLINK("javascript:void(0)","moszkitósisak")</f>
        <v>moszkitósisak</v>
      </c>
      <c r="B14487" s="21"/>
      <c r="C14487" s="21"/>
      <c r="D14487" s="21"/>
    </row>
    <row r="14488" spans="1:4" ht="12.75" customHeight="1" x14ac:dyDescent="0.2">
      <c r="A14488" s="20"/>
      <c r="B14488" s="2"/>
      <c r="C14488" s="7"/>
      <c r="D14488" s="7"/>
    </row>
    <row r="14489" spans="1:4" ht="12.75" customHeight="1" x14ac:dyDescent="0.2">
      <c r="A14489" s="21"/>
      <c r="B14489" s="3" t="s">
        <v>0</v>
      </c>
      <c r="C14489" s="23" t="s">
        <v>347</v>
      </c>
      <c r="D14489" s="21"/>
    </row>
    <row r="14490" spans="1:4" ht="12.75" customHeight="1" x14ac:dyDescent="0.2">
      <c r="A14490" s="21"/>
      <c r="B14490" s="3" t="s">
        <v>2</v>
      </c>
      <c r="C14490" s="23"/>
      <c r="D14490" s="21"/>
    </row>
    <row r="14491" spans="1:4" ht="12.75" customHeight="1" x14ac:dyDescent="0.2">
      <c r="A14491" s="21"/>
      <c r="B14491" s="3" t="s">
        <v>1840</v>
      </c>
      <c r="C14491" s="23" t="s">
        <v>2831</v>
      </c>
      <c r="D14491" s="21"/>
    </row>
    <row r="14492" spans="1:4" ht="12.75" customHeight="1" x14ac:dyDescent="0.2">
      <c r="A14492" s="21"/>
      <c r="B14492" s="3" t="s">
        <v>9</v>
      </c>
      <c r="C14492" s="23" t="s">
        <v>573</v>
      </c>
      <c r="D14492" s="21"/>
    </row>
    <row r="14493" spans="1:4" ht="12.75" customHeight="1" x14ac:dyDescent="0.2">
      <c r="A14493" s="21"/>
      <c r="B14493" s="3" t="s">
        <v>11</v>
      </c>
      <c r="C14493" s="23" t="s">
        <v>1553</v>
      </c>
      <c r="D14493" s="21"/>
    </row>
    <row r="14494" spans="1:4" ht="12.75" customHeight="1" x14ac:dyDescent="0.2">
      <c r="A14494" s="21"/>
      <c r="B14494" s="3" t="s">
        <v>16</v>
      </c>
      <c r="C14494" s="23"/>
      <c r="D14494" s="21"/>
    </row>
    <row r="14495" spans="1:4" ht="12.75" customHeight="1" x14ac:dyDescent="0.2">
      <c r="A14495" s="21"/>
      <c r="B14495" s="3" t="s">
        <v>17</v>
      </c>
      <c r="C14495" s="23" t="s">
        <v>19</v>
      </c>
      <c r="D14495" s="21"/>
    </row>
    <row r="14496" spans="1:4" ht="12.75" customHeight="1" x14ac:dyDescent="0.2">
      <c r="A14496" s="21"/>
      <c r="B14496" s="20" t="s">
        <v>18</v>
      </c>
      <c r="C14496" s="8" t="s">
        <v>139</v>
      </c>
      <c r="D14496" s="1" t="str">
        <f>HYPERLINK("javascript:void(0)","gólemamulett")</f>
        <v>gólemamulett</v>
      </c>
    </row>
    <row r="14497" spans="1:4" ht="12.75" customHeight="1" x14ac:dyDescent="0.2">
      <c r="A14497" s="21"/>
      <c r="B14497" s="21"/>
      <c r="C14497" s="8" t="s">
        <v>309</v>
      </c>
      <c r="D14497" s="1" t="str">
        <f>HYPERLINK("javascript:void(0)","ködpikkely")</f>
        <v>ködpikkely</v>
      </c>
    </row>
    <row r="14498" spans="1:4" ht="12.75" customHeight="1" x14ac:dyDescent="0.2">
      <c r="A14498" s="21"/>
      <c r="B14498" s="21"/>
      <c r="C14498" s="8" t="s">
        <v>228</v>
      </c>
      <c r="D14498" s="1" t="str">
        <f>HYPERLINK("javascript:void(0)","szúnyogcsont")</f>
        <v>szúnyogcsont</v>
      </c>
    </row>
    <row r="14499" spans="1:4" ht="12.75" customHeight="1" x14ac:dyDescent="0.2">
      <c r="A14499" s="21"/>
      <c r="B14499" s="2"/>
      <c r="C14499" s="7"/>
      <c r="D14499" s="7"/>
    </row>
    <row r="14500" spans="1:4" ht="12.75" customHeight="1" x14ac:dyDescent="0.2">
      <c r="A14500" s="21"/>
      <c r="B14500" s="2"/>
      <c r="C14500" s="7"/>
      <c r="D14500" s="7"/>
    </row>
    <row r="14501" spans="1:4" ht="12.75" customHeight="1" x14ac:dyDescent="0.2">
      <c r="A14501" s="21"/>
      <c r="B14501" s="2"/>
      <c r="C14501" s="7"/>
      <c r="D14501" s="7"/>
    </row>
    <row r="14502" spans="1:4" ht="12.75" customHeight="1" x14ac:dyDescent="0.2">
      <c r="A14502" s="21"/>
      <c r="B14502" s="2"/>
      <c r="C14502" s="7"/>
      <c r="D14502" s="7"/>
    </row>
    <row r="14503" spans="1:4" ht="12.75" customHeight="1" x14ac:dyDescent="0.2">
      <c r="A14503" s="5"/>
      <c r="B14503" s="2"/>
      <c r="C14503" s="7"/>
      <c r="D14503" s="7"/>
    </row>
    <row r="14504" spans="1:4" ht="12.75" customHeight="1" x14ac:dyDescent="0.2">
      <c r="A14504" s="22" t="str">
        <f>HYPERLINK("javascript:void(0)","csatasaru")</f>
        <v>csatasaru</v>
      </c>
      <c r="B14504" s="21"/>
      <c r="C14504" s="21"/>
      <c r="D14504" s="21"/>
    </row>
    <row r="14505" spans="1:4" ht="12.75" customHeight="1" x14ac:dyDescent="0.2">
      <c r="A14505" s="20"/>
      <c r="B14505" s="2"/>
      <c r="C14505" s="7"/>
      <c r="D14505" s="7"/>
    </row>
    <row r="14506" spans="1:4" ht="12.75" customHeight="1" x14ac:dyDescent="0.2">
      <c r="A14506" s="21"/>
      <c r="B14506" s="3" t="s">
        <v>0</v>
      </c>
      <c r="C14506" s="23" t="s">
        <v>347</v>
      </c>
      <c r="D14506" s="21"/>
    </row>
    <row r="14507" spans="1:4" ht="12.75" customHeight="1" x14ac:dyDescent="0.2">
      <c r="A14507" s="21"/>
      <c r="B14507" s="3" t="s">
        <v>2</v>
      </c>
      <c r="C14507" s="23"/>
      <c r="D14507" s="21"/>
    </row>
    <row r="14508" spans="1:4" ht="12.75" customHeight="1" x14ac:dyDescent="0.2">
      <c r="A14508" s="21"/>
      <c r="B14508" s="3" t="s">
        <v>1840</v>
      </c>
      <c r="C14508" s="23" t="s">
        <v>2185</v>
      </c>
      <c r="D14508" s="21"/>
    </row>
    <row r="14509" spans="1:4" ht="12.75" customHeight="1" x14ac:dyDescent="0.2">
      <c r="A14509" s="21"/>
      <c r="B14509" s="3" t="s">
        <v>9</v>
      </c>
      <c r="C14509" s="23" t="s">
        <v>712</v>
      </c>
      <c r="D14509" s="21"/>
    </row>
    <row r="14510" spans="1:4" ht="12.75" customHeight="1" x14ac:dyDescent="0.2">
      <c r="A14510" s="21"/>
      <c r="B14510" s="3" t="s">
        <v>11</v>
      </c>
      <c r="C14510" s="23" t="s">
        <v>1565</v>
      </c>
      <c r="D14510" s="21"/>
    </row>
    <row r="14511" spans="1:4" ht="12.75" customHeight="1" x14ac:dyDescent="0.2">
      <c r="A14511" s="21"/>
      <c r="B14511" s="3" t="s">
        <v>16</v>
      </c>
      <c r="C14511" s="23"/>
      <c r="D14511" s="21"/>
    </row>
    <row r="14512" spans="1:4" ht="12.75" customHeight="1" x14ac:dyDescent="0.2">
      <c r="A14512" s="21"/>
      <c r="B14512" s="3" t="s">
        <v>17</v>
      </c>
      <c r="C14512" s="23" t="s">
        <v>19</v>
      </c>
      <c r="D14512" s="21"/>
    </row>
    <row r="14513" spans="1:4" ht="12.75" customHeight="1" x14ac:dyDescent="0.2">
      <c r="A14513" s="21"/>
      <c r="B14513" s="20" t="s">
        <v>18</v>
      </c>
      <c r="C14513" s="8" t="s">
        <v>780</v>
      </c>
      <c r="D14513" s="1" t="str">
        <f>HYPERLINK("javascript:void(0)","csatatüske")</f>
        <v>csatatüske</v>
      </c>
    </row>
    <row r="14514" spans="1:4" ht="12.75" customHeight="1" x14ac:dyDescent="0.2">
      <c r="A14514" s="21"/>
      <c r="B14514" s="21"/>
      <c r="C14514" s="8" t="s">
        <v>44</v>
      </c>
      <c r="D14514" s="1" t="str">
        <f>HYPERLINK("javascript:void(0)","radionitmokaszin")</f>
        <v>radionitmokaszin</v>
      </c>
    </row>
    <row r="14515" spans="1:4" ht="12.75" customHeight="1" x14ac:dyDescent="0.2">
      <c r="A14515" s="21"/>
      <c r="B14515" s="21"/>
      <c r="C14515" s="8" t="s">
        <v>139</v>
      </c>
      <c r="D14515" s="1" t="str">
        <f>HYPERLINK("javascript:void(0)","rozmáragyar")</f>
        <v>rozmáragyar</v>
      </c>
    </row>
    <row r="14516" spans="1:4" ht="12.75" customHeight="1" x14ac:dyDescent="0.2">
      <c r="A14516" s="21"/>
      <c r="B14516" s="2"/>
      <c r="C14516" s="7"/>
      <c r="D14516" s="7"/>
    </row>
    <row r="14517" spans="1:4" ht="12.75" customHeight="1" x14ac:dyDescent="0.2">
      <c r="A14517" s="21"/>
      <c r="B14517" s="2"/>
      <c r="C14517" s="7"/>
      <c r="D14517" s="7"/>
    </row>
    <row r="14518" spans="1:4" ht="12.75" customHeight="1" x14ac:dyDescent="0.2">
      <c r="A14518" s="21"/>
      <c r="B14518" s="2"/>
      <c r="C14518" s="7"/>
      <c r="D14518" s="7"/>
    </row>
    <row r="14519" spans="1:4" ht="12.75" customHeight="1" x14ac:dyDescent="0.2">
      <c r="A14519" s="21"/>
      <c r="B14519" s="2"/>
      <c r="C14519" s="7"/>
      <c r="D14519" s="7"/>
    </row>
    <row r="14520" spans="1:4" ht="12.75" customHeight="1" x14ac:dyDescent="0.2">
      <c r="A14520" s="5"/>
      <c r="B14520" s="2"/>
      <c r="C14520" s="7"/>
      <c r="D14520" s="7"/>
    </row>
    <row r="14521" spans="1:4" ht="12.75" customHeight="1" x14ac:dyDescent="0.2">
      <c r="A14521" s="22" t="str">
        <f>HYPERLINK("javascript:void(0)","szélfogó testpajzs")</f>
        <v>szélfogó testpajzs</v>
      </c>
      <c r="B14521" s="21"/>
      <c r="C14521" s="21"/>
      <c r="D14521" s="21"/>
    </row>
    <row r="14522" spans="1:4" ht="12.75" customHeight="1" x14ac:dyDescent="0.2">
      <c r="A14522" s="20"/>
      <c r="B14522" s="2"/>
      <c r="C14522" s="7"/>
      <c r="D14522" s="7"/>
    </row>
    <row r="14523" spans="1:4" ht="12.75" customHeight="1" x14ac:dyDescent="0.2">
      <c r="A14523" s="21"/>
      <c r="B14523" s="3" t="s">
        <v>0</v>
      </c>
      <c r="C14523" s="23" t="s">
        <v>347</v>
      </c>
      <c r="D14523" s="21"/>
    </row>
    <row r="14524" spans="1:4" ht="12.75" customHeight="1" x14ac:dyDescent="0.2">
      <c r="A14524" s="21"/>
      <c r="B14524" s="3" t="s">
        <v>2</v>
      </c>
      <c r="C14524" s="23" t="s">
        <v>1839</v>
      </c>
      <c r="D14524" s="21"/>
    </row>
    <row r="14525" spans="1:4" ht="12.75" customHeight="1" x14ac:dyDescent="0.2">
      <c r="A14525" s="21"/>
      <c r="B14525" s="3" t="s">
        <v>1840</v>
      </c>
      <c r="C14525" s="23" t="s">
        <v>2819</v>
      </c>
      <c r="D14525" s="21"/>
    </row>
    <row r="14526" spans="1:4" ht="12.75" customHeight="1" x14ac:dyDescent="0.2">
      <c r="A14526" s="21"/>
      <c r="B14526" s="3" t="s">
        <v>9</v>
      </c>
      <c r="C14526" s="23" t="s">
        <v>549</v>
      </c>
      <c r="D14526" s="21"/>
    </row>
    <row r="14527" spans="1:4" ht="12.75" customHeight="1" x14ac:dyDescent="0.2">
      <c r="A14527" s="21"/>
      <c r="B14527" s="3" t="s">
        <v>11</v>
      </c>
      <c r="C14527" s="23" t="s">
        <v>1607</v>
      </c>
      <c r="D14527" s="21"/>
    </row>
    <row r="14528" spans="1:4" ht="12.75" customHeight="1" x14ac:dyDescent="0.2">
      <c r="A14528" s="21"/>
      <c r="B14528" s="3" t="s">
        <v>16</v>
      </c>
      <c r="C14528" s="23"/>
      <c r="D14528" s="21"/>
    </row>
    <row r="14529" spans="1:4" ht="12.75" customHeight="1" x14ac:dyDescent="0.2">
      <c r="A14529" s="21"/>
      <c r="B14529" s="3" t="s">
        <v>17</v>
      </c>
      <c r="C14529" s="23" t="s">
        <v>19</v>
      </c>
      <c r="D14529" s="21"/>
    </row>
    <row r="14530" spans="1:4" ht="12.75" customHeight="1" x14ac:dyDescent="0.2">
      <c r="A14530" s="21"/>
      <c r="B14530" s="20" t="s">
        <v>18</v>
      </c>
      <c r="C14530" s="8" t="s">
        <v>44</v>
      </c>
      <c r="D14530" s="1" t="str">
        <f>HYPERLINK("javascript:void(0)","homoktestpajzs")</f>
        <v>homoktestpajzs</v>
      </c>
    </row>
    <row r="14531" spans="1:4" ht="12.75" customHeight="1" x14ac:dyDescent="0.2">
      <c r="A14531" s="21"/>
      <c r="B14531" s="21"/>
      <c r="C14531" s="8" t="s">
        <v>228</v>
      </c>
      <c r="D14531" s="1" t="str">
        <f>HYPERLINK("javascript:void(0)","szúnyogcsont")</f>
        <v>szúnyogcsont</v>
      </c>
    </row>
    <row r="14532" spans="1:4" ht="12.75" customHeight="1" x14ac:dyDescent="0.2">
      <c r="A14532" s="21"/>
      <c r="B14532" s="21"/>
      <c r="C14532" s="8" t="s">
        <v>780</v>
      </c>
      <c r="D14532" s="1" t="str">
        <f>HYPERLINK("javascript:void(0)","dobverő")</f>
        <v>dobverő</v>
      </c>
    </row>
    <row r="14533" spans="1:4" ht="12.75" customHeight="1" x14ac:dyDescent="0.2">
      <c r="A14533" s="21"/>
      <c r="B14533" s="2"/>
      <c r="C14533" s="7"/>
      <c r="D14533" s="7"/>
    </row>
    <row r="14534" spans="1:4" ht="12.75" customHeight="1" x14ac:dyDescent="0.2">
      <c r="A14534" s="21"/>
      <c r="B14534" s="2"/>
      <c r="C14534" s="7"/>
      <c r="D14534" s="7"/>
    </row>
    <row r="14535" spans="1:4" ht="12.75" customHeight="1" x14ac:dyDescent="0.2">
      <c r="A14535" s="21"/>
      <c r="B14535" s="2"/>
      <c r="C14535" s="7"/>
      <c r="D14535" s="7"/>
    </row>
    <row r="14536" spans="1:4" ht="12.75" customHeight="1" x14ac:dyDescent="0.2">
      <c r="A14536" s="21"/>
      <c r="B14536" s="2"/>
      <c r="C14536" s="7"/>
      <c r="D14536" s="7"/>
    </row>
    <row r="14537" spans="1:4" ht="12.75" customHeight="1" x14ac:dyDescent="0.2">
      <c r="A14537" s="5"/>
      <c r="B14537" s="2"/>
      <c r="C14537" s="7"/>
      <c r="D14537" s="7"/>
    </row>
    <row r="14538" spans="1:4" ht="12.75" customHeight="1" x14ac:dyDescent="0.2">
      <c r="A14538" s="22" t="str">
        <f>HYPERLINK("javascript:void(0)","helioacél szellempajzs")</f>
        <v>helioacél szellempajzs</v>
      </c>
      <c r="B14538" s="21"/>
      <c r="C14538" s="21"/>
      <c r="D14538" s="21"/>
    </row>
    <row r="14539" spans="1:4" ht="12.75" customHeight="1" x14ac:dyDescent="0.2">
      <c r="A14539" s="20"/>
      <c r="B14539" s="2"/>
      <c r="C14539" s="7"/>
      <c r="D14539" s="7"/>
    </row>
    <row r="14540" spans="1:4" ht="12.75" customHeight="1" x14ac:dyDescent="0.2">
      <c r="A14540" s="21"/>
      <c r="B14540" s="3" t="s">
        <v>0</v>
      </c>
      <c r="C14540" s="23" t="s">
        <v>347</v>
      </c>
      <c r="D14540" s="21"/>
    </row>
    <row r="14541" spans="1:4" ht="12.75" customHeight="1" x14ac:dyDescent="0.2">
      <c r="A14541" s="21"/>
      <c r="B14541" s="3" t="s">
        <v>2</v>
      </c>
      <c r="C14541" s="23" t="s">
        <v>1839</v>
      </c>
      <c r="D14541" s="21"/>
    </row>
    <row r="14542" spans="1:4" ht="12.75" customHeight="1" x14ac:dyDescent="0.2">
      <c r="A14542" s="21"/>
      <c r="B14542" s="3" t="s">
        <v>1840</v>
      </c>
      <c r="C14542" s="23" t="s">
        <v>2819</v>
      </c>
      <c r="D14542" s="21"/>
    </row>
    <row r="14543" spans="1:4" ht="12.75" customHeight="1" x14ac:dyDescent="0.2">
      <c r="A14543" s="21"/>
      <c r="B14543" s="3" t="s">
        <v>9</v>
      </c>
      <c r="C14543" s="23" t="s">
        <v>1975</v>
      </c>
      <c r="D14543" s="21"/>
    </row>
    <row r="14544" spans="1:4" ht="12.75" customHeight="1" x14ac:dyDescent="0.2">
      <c r="A14544" s="21"/>
      <c r="B14544" s="3" t="s">
        <v>11</v>
      </c>
      <c r="C14544" s="23" t="s">
        <v>2222</v>
      </c>
      <c r="D14544" s="21"/>
    </row>
    <row r="14545" spans="1:4" ht="12.75" customHeight="1" x14ac:dyDescent="0.2">
      <c r="A14545" s="21"/>
      <c r="B14545" s="3" t="s">
        <v>16</v>
      </c>
      <c r="C14545" s="23"/>
      <c r="D14545" s="21"/>
    </row>
    <row r="14546" spans="1:4" ht="12.75" customHeight="1" x14ac:dyDescent="0.2">
      <c r="A14546" s="21"/>
      <c r="B14546" s="3" t="s">
        <v>17</v>
      </c>
      <c r="C14546" s="23" t="s">
        <v>19</v>
      </c>
      <c r="D14546" s="21"/>
    </row>
    <row r="14547" spans="1:4" ht="12.75" customHeight="1" x14ac:dyDescent="0.2">
      <c r="A14547" s="21"/>
      <c r="B14547" s="20" t="s">
        <v>18</v>
      </c>
      <c r="C14547" s="8" t="s">
        <v>44</v>
      </c>
      <c r="D14547" s="1" t="str">
        <f>HYPERLINK("javascript:void(0)","szélfogó testpajzs")</f>
        <v>szélfogó testpajzs</v>
      </c>
    </row>
    <row r="14548" spans="1:4" ht="12.75" customHeight="1" x14ac:dyDescent="0.2">
      <c r="A14548" s="21"/>
      <c r="B14548" s="21"/>
      <c r="C14548" s="8" t="s">
        <v>756</v>
      </c>
      <c r="D14548" s="1" t="str">
        <f>HYPERLINK("javascript:void(0)","lux")</f>
        <v>lux</v>
      </c>
    </row>
    <row r="14549" spans="1:4" ht="12.75" customHeight="1" x14ac:dyDescent="0.2">
      <c r="A14549" s="21"/>
      <c r="B14549" s="21"/>
      <c r="C14549" s="8" t="s">
        <v>950</v>
      </c>
      <c r="D14549" s="1" t="str">
        <f>HYPERLINK("javascript:void(0)","csatatüske")</f>
        <v>csatatüske</v>
      </c>
    </row>
    <row r="14550" spans="1:4" ht="12.75" customHeight="1" x14ac:dyDescent="0.2">
      <c r="A14550" s="21"/>
      <c r="B14550" s="2"/>
      <c r="C14550" s="7"/>
      <c r="D14550" s="7"/>
    </row>
    <row r="14551" spans="1:4" ht="12.75" customHeight="1" x14ac:dyDescent="0.2">
      <c r="A14551" s="21"/>
      <c r="B14551" s="2"/>
      <c r="C14551" s="7"/>
      <c r="D14551" s="7"/>
    </row>
    <row r="14552" spans="1:4" ht="12.75" customHeight="1" x14ac:dyDescent="0.2">
      <c r="A14552" s="21"/>
      <c r="B14552" s="2"/>
      <c r="C14552" s="7"/>
      <c r="D14552" s="7"/>
    </row>
    <row r="14553" spans="1:4" ht="12.75" customHeight="1" x14ac:dyDescent="0.2">
      <c r="A14553" s="21"/>
      <c r="B14553" s="2"/>
      <c r="C14553" s="7"/>
      <c r="D14553" s="7"/>
    </row>
    <row r="14554" spans="1:4" ht="12.75" customHeight="1" x14ac:dyDescent="0.2">
      <c r="A14554" s="5"/>
      <c r="B14554" s="2"/>
      <c r="C14554" s="7"/>
      <c r="D14554" s="7"/>
    </row>
    <row r="14555" spans="1:4" ht="12.75" customHeight="1" x14ac:dyDescent="0.2">
      <c r="A14555" s="22" t="str">
        <f>HYPERLINK("javascript:void(0)","tüskebélés")</f>
        <v>tüskebélés</v>
      </c>
      <c r="B14555" s="21"/>
      <c r="C14555" s="21"/>
      <c r="D14555" s="21"/>
    </row>
    <row r="14556" spans="1:4" ht="12.75" customHeight="1" x14ac:dyDescent="0.2">
      <c r="A14556" s="20"/>
      <c r="B14556" s="2"/>
      <c r="C14556" s="7"/>
      <c r="D14556" s="7"/>
    </row>
    <row r="14557" spans="1:4" ht="12.75" customHeight="1" x14ac:dyDescent="0.2">
      <c r="A14557" s="21"/>
      <c r="B14557" s="3" t="s">
        <v>0</v>
      </c>
      <c r="C14557" s="23" t="s">
        <v>347</v>
      </c>
      <c r="D14557" s="21"/>
    </row>
    <row r="14558" spans="1:4" ht="12.75" customHeight="1" x14ac:dyDescent="0.2">
      <c r="A14558" s="21"/>
      <c r="B14558" s="3" t="s">
        <v>2</v>
      </c>
      <c r="C14558" s="23" t="s">
        <v>2322</v>
      </c>
      <c r="D14558" s="21"/>
    </row>
    <row r="14559" spans="1:4" ht="12.75" customHeight="1" x14ac:dyDescent="0.2">
      <c r="A14559" s="21"/>
      <c r="B14559" s="3" t="s">
        <v>1840</v>
      </c>
      <c r="C14559" s="23" t="s">
        <v>239</v>
      </c>
      <c r="D14559" s="21"/>
    </row>
    <row r="14560" spans="1:4" ht="12.75" customHeight="1" x14ac:dyDescent="0.2">
      <c r="A14560" s="21"/>
      <c r="B14560" s="3" t="s">
        <v>9</v>
      </c>
      <c r="C14560" s="23" t="s">
        <v>172</v>
      </c>
      <c r="D14560" s="21"/>
    </row>
    <row r="14561" spans="1:4" ht="12.75" customHeight="1" x14ac:dyDescent="0.2">
      <c r="A14561" s="21"/>
      <c r="B14561" s="3" t="s">
        <v>11</v>
      </c>
      <c r="C14561" s="23" t="s">
        <v>2519</v>
      </c>
      <c r="D14561" s="21"/>
    </row>
    <row r="14562" spans="1:4" ht="12.75" customHeight="1" x14ac:dyDescent="0.2">
      <c r="A14562" s="21"/>
      <c r="B14562" s="3" t="s">
        <v>16</v>
      </c>
      <c r="C14562" s="23"/>
      <c r="D14562" s="21"/>
    </row>
    <row r="14563" spans="1:4" ht="12.75" customHeight="1" x14ac:dyDescent="0.2">
      <c r="A14563" s="21"/>
      <c r="B14563" s="3" t="s">
        <v>17</v>
      </c>
      <c r="C14563" s="23" t="s">
        <v>19</v>
      </c>
      <c r="D14563" s="21"/>
    </row>
    <row r="14564" spans="1:4" ht="12.75" customHeight="1" x14ac:dyDescent="0.2">
      <c r="A14564" s="21"/>
      <c r="B14564" s="20" t="s">
        <v>18</v>
      </c>
      <c r="C14564" s="8" t="s">
        <v>327</v>
      </c>
      <c r="D14564" s="1" t="str">
        <f>HYPERLINK("javascript:void(0)","csatatüske")</f>
        <v>csatatüske</v>
      </c>
    </row>
    <row r="14565" spans="1:4" ht="12.75" customHeight="1" x14ac:dyDescent="0.2">
      <c r="A14565" s="21"/>
      <c r="B14565" s="21"/>
      <c r="C14565" s="8" t="s">
        <v>269</v>
      </c>
      <c r="D14565" s="1" t="str">
        <f>HYPERLINK("javascript:void(0)","dobverő")</f>
        <v>dobverő</v>
      </c>
    </row>
    <row r="14566" spans="1:4" ht="12.75" customHeight="1" x14ac:dyDescent="0.2">
      <c r="A14566" s="21"/>
      <c r="B14566" s="21"/>
      <c r="C14566" s="8" t="s">
        <v>244</v>
      </c>
      <c r="D14566" s="1" t="str">
        <f>HYPERLINK("javascript:void(0)","térszelet")</f>
        <v>térszelet</v>
      </c>
    </row>
    <row r="14567" spans="1:4" ht="12.75" customHeight="1" x14ac:dyDescent="0.2">
      <c r="A14567" s="21"/>
      <c r="B14567" s="2"/>
      <c r="C14567" s="7"/>
      <c r="D14567" s="7"/>
    </row>
    <row r="14568" spans="1:4" ht="12.75" customHeight="1" x14ac:dyDescent="0.2">
      <c r="A14568" s="21"/>
      <c r="B14568" s="2"/>
      <c r="C14568" s="7"/>
      <c r="D14568" s="7"/>
    </row>
    <row r="14569" spans="1:4" ht="12.75" customHeight="1" x14ac:dyDescent="0.2">
      <c r="A14569" s="21"/>
      <c r="B14569" s="2"/>
      <c r="C14569" s="7"/>
      <c r="D14569" s="7"/>
    </row>
    <row r="14570" spans="1:4" ht="12.75" customHeight="1" x14ac:dyDescent="0.2">
      <c r="A14570" s="21"/>
      <c r="B14570" s="2"/>
      <c r="C14570" s="7"/>
      <c r="D14570" s="7"/>
    </row>
    <row r="14571" spans="1:4" ht="12.75" customHeight="1" x14ac:dyDescent="0.2">
      <c r="A14571" s="5"/>
      <c r="B14571" s="2"/>
      <c r="C14571" s="7"/>
      <c r="D14571" s="7"/>
    </row>
    <row r="14572" spans="1:4" ht="12.75" customHeight="1" x14ac:dyDescent="0.2">
      <c r="A14572" s="22" t="str">
        <f>HYPERLINK("javascript:void(0)","diffúz manasisak")</f>
        <v>diffúz manasisak</v>
      </c>
      <c r="B14572" s="21"/>
      <c r="C14572" s="21"/>
      <c r="D14572" s="21"/>
    </row>
    <row r="14573" spans="1:4" ht="12.75" customHeight="1" x14ac:dyDescent="0.2">
      <c r="A14573" s="20"/>
      <c r="B14573" s="2"/>
      <c r="C14573" s="7"/>
      <c r="D14573" s="7"/>
    </row>
    <row r="14574" spans="1:4" ht="12.75" customHeight="1" x14ac:dyDescent="0.2">
      <c r="A14574" s="21"/>
      <c r="B14574" s="3" t="s">
        <v>0</v>
      </c>
      <c r="C14574" s="23" t="s">
        <v>347</v>
      </c>
      <c r="D14574" s="21"/>
    </row>
    <row r="14575" spans="1:4" ht="12.75" customHeight="1" x14ac:dyDescent="0.2">
      <c r="A14575" s="21"/>
      <c r="B14575" s="3" t="s">
        <v>2</v>
      </c>
      <c r="C14575" s="23"/>
      <c r="D14575" s="21"/>
    </row>
    <row r="14576" spans="1:4" ht="12.75" customHeight="1" x14ac:dyDescent="0.2">
      <c r="A14576" s="21"/>
      <c r="B14576" s="3" t="s">
        <v>1840</v>
      </c>
      <c r="C14576" s="23" t="s">
        <v>2736</v>
      </c>
      <c r="D14576" s="21"/>
    </row>
    <row r="14577" spans="1:4" ht="12.75" customHeight="1" x14ac:dyDescent="0.2">
      <c r="A14577" s="21"/>
      <c r="B14577" s="3" t="s">
        <v>9</v>
      </c>
      <c r="C14577" s="23" t="s">
        <v>2273</v>
      </c>
      <c r="D14577" s="21"/>
    </row>
    <row r="14578" spans="1:4" ht="12.75" customHeight="1" x14ac:dyDescent="0.2">
      <c r="A14578" s="21"/>
      <c r="B14578" s="3" t="s">
        <v>11</v>
      </c>
      <c r="C14578" s="23" t="s">
        <v>5146</v>
      </c>
      <c r="D14578" s="21"/>
    </row>
    <row r="14579" spans="1:4" ht="12.75" customHeight="1" x14ac:dyDescent="0.2">
      <c r="A14579" s="21"/>
      <c r="B14579" s="3" t="s">
        <v>16</v>
      </c>
      <c r="C14579" s="23"/>
      <c r="D14579" s="21"/>
    </row>
    <row r="14580" spans="1:4" ht="12.75" customHeight="1" x14ac:dyDescent="0.2">
      <c r="A14580" s="21"/>
      <c r="B14580" s="3" t="s">
        <v>17</v>
      </c>
      <c r="C14580" s="23" t="s">
        <v>19</v>
      </c>
      <c r="D14580" s="21"/>
    </row>
    <row r="14581" spans="1:4" ht="12.75" customHeight="1" x14ac:dyDescent="0.2">
      <c r="A14581" s="21"/>
      <c r="B14581" s="20" t="s">
        <v>18</v>
      </c>
      <c r="C14581" s="8" t="s">
        <v>44</v>
      </c>
      <c r="D14581" s="1" t="str">
        <f>HYPERLINK("javascript:void(0)","radionit manasisak")</f>
        <v>radionit manasisak</v>
      </c>
    </row>
    <row r="14582" spans="1:4" ht="12.75" customHeight="1" x14ac:dyDescent="0.2">
      <c r="A14582" s="21"/>
      <c r="B14582" s="21"/>
      <c r="C14582" s="8" t="s">
        <v>296</v>
      </c>
      <c r="D14582" s="1" t="str">
        <f>HYPERLINK("javascript:void(0)","szúnyogcsont")</f>
        <v>szúnyogcsont</v>
      </c>
    </row>
    <row r="14583" spans="1:4" ht="12.75" customHeight="1" x14ac:dyDescent="0.2">
      <c r="A14583" s="21"/>
      <c r="B14583" s="21"/>
      <c r="C14583" s="8" t="s">
        <v>2005</v>
      </c>
      <c r="D14583" s="1" t="str">
        <f>HYPERLINK("javascript:void(0)","kártyalap")</f>
        <v>kártyalap</v>
      </c>
    </row>
    <row r="14584" spans="1:4" ht="12.75" customHeight="1" x14ac:dyDescent="0.2">
      <c r="A14584" s="21"/>
      <c r="B14584" s="2"/>
      <c r="C14584" s="7"/>
      <c r="D14584" s="7"/>
    </row>
    <row r="14585" spans="1:4" ht="12.75" customHeight="1" x14ac:dyDescent="0.2">
      <c r="A14585" s="21"/>
      <c r="B14585" s="2"/>
      <c r="C14585" s="7"/>
      <c r="D14585" s="7"/>
    </row>
    <row r="14586" spans="1:4" ht="12.75" customHeight="1" x14ac:dyDescent="0.2">
      <c r="A14586" s="21"/>
      <c r="B14586" s="2"/>
      <c r="C14586" s="7"/>
      <c r="D14586" s="7"/>
    </row>
    <row r="14587" spans="1:4" ht="12.75" customHeight="1" x14ac:dyDescent="0.2">
      <c r="A14587" s="21"/>
      <c r="B14587" s="2"/>
      <c r="C14587" s="7"/>
      <c r="D14587" s="7"/>
    </row>
    <row r="14588" spans="1:4" ht="12.75" customHeight="1" x14ac:dyDescent="0.2">
      <c r="A14588" s="5"/>
      <c r="B14588" s="2"/>
      <c r="C14588" s="7"/>
      <c r="D14588" s="7"/>
    </row>
    <row r="14589" spans="1:4" ht="12.75" customHeight="1" x14ac:dyDescent="0.2">
      <c r="A14589" s="22" t="str">
        <f>HYPERLINK("javascript:void(0)","diffúz manafejpánt")</f>
        <v>diffúz manafejpánt</v>
      </c>
      <c r="B14589" s="21"/>
      <c r="C14589" s="21"/>
      <c r="D14589" s="21"/>
    </row>
    <row r="14590" spans="1:4" ht="12.75" customHeight="1" x14ac:dyDescent="0.2">
      <c r="A14590" s="20"/>
      <c r="B14590" s="2"/>
      <c r="C14590" s="7"/>
      <c r="D14590" s="7"/>
    </row>
    <row r="14591" spans="1:4" ht="12.75" customHeight="1" x14ac:dyDescent="0.2">
      <c r="A14591" s="21"/>
      <c r="B14591" s="3" t="s">
        <v>0</v>
      </c>
      <c r="C14591" s="23" t="s">
        <v>347</v>
      </c>
      <c r="D14591" s="21"/>
    </row>
    <row r="14592" spans="1:4" ht="12.75" customHeight="1" x14ac:dyDescent="0.2">
      <c r="A14592" s="21"/>
      <c r="B14592" s="3" t="s">
        <v>2</v>
      </c>
      <c r="C14592" s="23"/>
      <c r="D14592" s="21"/>
    </row>
    <row r="14593" spans="1:4" ht="12.75" customHeight="1" x14ac:dyDescent="0.2">
      <c r="A14593" s="21"/>
      <c r="B14593" s="3" t="s">
        <v>1840</v>
      </c>
      <c r="C14593" s="23" t="s">
        <v>181</v>
      </c>
      <c r="D14593" s="21"/>
    </row>
    <row r="14594" spans="1:4" ht="12.75" customHeight="1" x14ac:dyDescent="0.2">
      <c r="A14594" s="21"/>
      <c r="B14594" s="3" t="s">
        <v>9</v>
      </c>
      <c r="C14594" s="23" t="s">
        <v>1112</v>
      </c>
      <c r="D14594" s="21"/>
    </row>
    <row r="14595" spans="1:4" ht="12.75" customHeight="1" x14ac:dyDescent="0.2">
      <c r="A14595" s="21"/>
      <c r="B14595" s="3" t="s">
        <v>11</v>
      </c>
      <c r="C14595" s="23" t="s">
        <v>5146</v>
      </c>
      <c r="D14595" s="21"/>
    </row>
    <row r="14596" spans="1:4" ht="12.75" customHeight="1" x14ac:dyDescent="0.2">
      <c r="A14596" s="21"/>
      <c r="B14596" s="3" t="s">
        <v>16</v>
      </c>
      <c r="C14596" s="23"/>
      <c r="D14596" s="21"/>
    </row>
    <row r="14597" spans="1:4" ht="12.75" customHeight="1" x14ac:dyDescent="0.2">
      <c r="A14597" s="21"/>
      <c r="B14597" s="3" t="s">
        <v>17</v>
      </c>
      <c r="C14597" s="23" t="s">
        <v>19</v>
      </c>
      <c r="D14597" s="21"/>
    </row>
    <row r="14598" spans="1:4" ht="12.75" customHeight="1" x14ac:dyDescent="0.2">
      <c r="A14598" s="21"/>
      <c r="B14598" s="20" t="s">
        <v>18</v>
      </c>
      <c r="C14598" s="8" t="s">
        <v>44</v>
      </c>
      <c r="D14598" s="1" t="str">
        <f>HYPERLINK("javascript:void(0)","radionit manafejpánt")</f>
        <v>radionit manafejpánt</v>
      </c>
    </row>
    <row r="14599" spans="1:4" ht="12.75" customHeight="1" x14ac:dyDescent="0.2">
      <c r="A14599" s="21"/>
      <c r="B14599" s="21"/>
      <c r="C14599" s="8" t="s">
        <v>1545</v>
      </c>
      <c r="D14599" s="1" t="str">
        <f>HYPERLINK("javascript:void(0)","csatatüske")</f>
        <v>csatatüske</v>
      </c>
    </row>
    <row r="14600" spans="1:4" ht="12.75" customHeight="1" x14ac:dyDescent="0.2">
      <c r="A14600" s="21"/>
      <c r="B14600" s="21"/>
      <c r="C14600" s="8" t="s">
        <v>772</v>
      </c>
      <c r="D14600" s="1" t="str">
        <f>HYPERLINK("javascript:void(0)","rozmáragyar")</f>
        <v>rozmáragyar</v>
      </c>
    </row>
    <row r="14601" spans="1:4" ht="12.75" customHeight="1" x14ac:dyDescent="0.2">
      <c r="A14601" s="21"/>
      <c r="B14601" s="2"/>
      <c r="C14601" s="7"/>
      <c r="D14601" s="7"/>
    </row>
    <row r="14602" spans="1:4" ht="12.75" customHeight="1" x14ac:dyDescent="0.2">
      <c r="A14602" s="21"/>
      <c r="B14602" s="2"/>
      <c r="C14602" s="7"/>
      <c r="D14602" s="7"/>
    </row>
    <row r="14603" spans="1:4" ht="12.75" customHeight="1" x14ac:dyDescent="0.2">
      <c r="A14603" s="21"/>
      <c r="B14603" s="2"/>
      <c r="C14603" s="7"/>
      <c r="D14603" s="7"/>
    </row>
    <row r="14604" spans="1:4" ht="12.75" customHeight="1" x14ac:dyDescent="0.2">
      <c r="A14604" s="21"/>
      <c r="B14604" s="2"/>
      <c r="C14604" s="7"/>
      <c r="D14604" s="7"/>
    </row>
    <row r="14605" spans="1:4" ht="12.75" customHeight="1" x14ac:dyDescent="0.2">
      <c r="A14605" s="5"/>
      <c r="B14605" s="2"/>
      <c r="C14605" s="7"/>
      <c r="D14605" s="7"/>
    </row>
    <row r="14606" spans="1:4" ht="12.75" customHeight="1" x14ac:dyDescent="0.2">
      <c r="A14606" s="22" t="str">
        <f>HYPERLINK("javascript:void(0)","csillámló patinapajzs")</f>
        <v>csillámló patinapajzs</v>
      </c>
      <c r="B14606" s="21"/>
      <c r="C14606" s="21"/>
      <c r="D14606" s="21"/>
    </row>
    <row r="14607" spans="1:4" ht="12.75" customHeight="1" x14ac:dyDescent="0.2">
      <c r="A14607" s="20"/>
      <c r="B14607" s="2"/>
      <c r="C14607" s="7"/>
      <c r="D14607" s="7"/>
    </row>
    <row r="14608" spans="1:4" ht="12.75" customHeight="1" x14ac:dyDescent="0.2">
      <c r="A14608" s="21"/>
      <c r="B14608" s="3" t="s">
        <v>0</v>
      </c>
      <c r="C14608" s="23" t="s">
        <v>347</v>
      </c>
      <c r="D14608" s="21"/>
    </row>
    <row r="14609" spans="1:4" ht="12.75" customHeight="1" x14ac:dyDescent="0.2">
      <c r="A14609" s="21"/>
      <c r="B14609" s="3" t="s">
        <v>2</v>
      </c>
      <c r="C14609" s="23" t="s">
        <v>1839</v>
      </c>
      <c r="D14609" s="21"/>
    </row>
    <row r="14610" spans="1:4" ht="12.75" customHeight="1" x14ac:dyDescent="0.2">
      <c r="A14610" s="21"/>
      <c r="B14610" s="3" t="s">
        <v>1840</v>
      </c>
      <c r="C14610" s="23" t="s">
        <v>2234</v>
      </c>
      <c r="D14610" s="21"/>
    </row>
    <row r="14611" spans="1:4" ht="12.75" customHeight="1" x14ac:dyDescent="0.2">
      <c r="A14611" s="21"/>
      <c r="B14611" s="3" t="s">
        <v>9</v>
      </c>
      <c r="C14611" s="23" t="s">
        <v>5492</v>
      </c>
      <c r="D14611" s="21"/>
    </row>
    <row r="14612" spans="1:4" ht="12.75" customHeight="1" x14ac:dyDescent="0.2">
      <c r="A14612" s="21"/>
      <c r="B14612" s="3" t="s">
        <v>11</v>
      </c>
      <c r="C14612" s="23" t="s">
        <v>1607</v>
      </c>
      <c r="D14612" s="21"/>
    </row>
    <row r="14613" spans="1:4" ht="12.75" customHeight="1" x14ac:dyDescent="0.2">
      <c r="A14613" s="21"/>
      <c r="B14613" s="3" t="s">
        <v>16</v>
      </c>
      <c r="C14613" s="23"/>
      <c r="D14613" s="21"/>
    </row>
    <row r="14614" spans="1:4" ht="12.75" customHeight="1" x14ac:dyDescent="0.2">
      <c r="A14614" s="21"/>
      <c r="B14614" s="3" t="s">
        <v>17</v>
      </c>
      <c r="C14614" s="23" t="s">
        <v>19</v>
      </c>
      <c r="D14614" s="21"/>
    </row>
    <row r="14615" spans="1:4" ht="12.75" customHeight="1" x14ac:dyDescent="0.2">
      <c r="A14615" s="21"/>
      <c r="B14615" s="20" t="s">
        <v>18</v>
      </c>
      <c r="C14615" s="8" t="s">
        <v>57</v>
      </c>
      <c r="D14615" s="1" t="str">
        <f>HYPERLINK("javascript:void(0)","csillámgöb")</f>
        <v>csillámgöb</v>
      </c>
    </row>
    <row r="14616" spans="1:4" ht="25.5" customHeight="1" x14ac:dyDescent="0.2">
      <c r="A14616" s="21"/>
      <c r="B14616" s="21"/>
      <c r="C14616" s="8" t="s">
        <v>44</v>
      </c>
      <c r="D14616" s="1" t="str">
        <f>HYPERLINK("javascript:void(0)","csillámló kompozitpajzs")</f>
        <v>csillámló kompozitpajzs</v>
      </c>
    </row>
    <row r="14617" spans="1:4" ht="12.75" customHeight="1" x14ac:dyDescent="0.2">
      <c r="A14617" s="21"/>
      <c r="B14617" s="21"/>
      <c r="C14617" s="8" t="s">
        <v>335</v>
      </c>
      <c r="D14617" s="1" t="str">
        <f>HYPERLINK("javascript:void(0)","törmelék")</f>
        <v>törmelék</v>
      </c>
    </row>
    <row r="14618" spans="1:4" ht="12.75" customHeight="1" x14ac:dyDescent="0.2">
      <c r="A14618" s="21"/>
      <c r="B14618" s="2"/>
      <c r="C14618" s="7"/>
      <c r="D14618" s="7"/>
    </row>
    <row r="14619" spans="1:4" ht="12.75" customHeight="1" x14ac:dyDescent="0.2">
      <c r="A14619" s="21"/>
      <c r="B14619" s="2"/>
      <c r="C14619" s="7"/>
      <c r="D14619" s="7"/>
    </row>
    <row r="14620" spans="1:4" ht="12.75" customHeight="1" x14ac:dyDescent="0.2">
      <c r="A14620" s="21"/>
      <c r="B14620" s="2"/>
      <c r="C14620" s="7"/>
      <c r="D14620" s="7"/>
    </row>
    <row r="14621" spans="1:4" ht="12.75" customHeight="1" x14ac:dyDescent="0.2">
      <c r="A14621" s="21"/>
      <c r="B14621" s="2"/>
      <c r="C14621" s="7"/>
      <c r="D14621" s="7"/>
    </row>
    <row r="14622" spans="1:4" ht="12.75" customHeight="1" x14ac:dyDescent="0.2">
      <c r="A14622" s="5"/>
      <c r="B14622" s="2"/>
      <c r="C14622" s="7"/>
      <c r="D14622" s="7"/>
    </row>
    <row r="14623" spans="1:4" ht="12.75" customHeight="1" x14ac:dyDescent="0.2">
      <c r="A14623" s="22" t="str">
        <f>HYPERLINK("javascript:void(0)","csillámló patinacsizma")</f>
        <v>csillámló patinacsizma</v>
      </c>
      <c r="B14623" s="21"/>
      <c r="C14623" s="21"/>
      <c r="D14623" s="21"/>
    </row>
    <row r="14624" spans="1:4" ht="12.75" customHeight="1" x14ac:dyDescent="0.2">
      <c r="A14624" s="20"/>
      <c r="B14624" s="2"/>
      <c r="C14624" s="7"/>
      <c r="D14624" s="7"/>
    </row>
    <row r="14625" spans="1:4" ht="12.75" customHeight="1" x14ac:dyDescent="0.2">
      <c r="A14625" s="21"/>
      <c r="B14625" s="3" t="s">
        <v>0</v>
      </c>
      <c r="C14625" s="23" t="s">
        <v>347</v>
      </c>
      <c r="D14625" s="21"/>
    </row>
    <row r="14626" spans="1:4" ht="12.75" customHeight="1" x14ac:dyDescent="0.2">
      <c r="A14626" s="21"/>
      <c r="B14626" s="3" t="s">
        <v>2</v>
      </c>
      <c r="C14626" s="23"/>
      <c r="D14626" s="21"/>
    </row>
    <row r="14627" spans="1:4" ht="12.75" customHeight="1" x14ac:dyDescent="0.2">
      <c r="A14627" s="21"/>
      <c r="B14627" s="3" t="s">
        <v>1840</v>
      </c>
      <c r="C14627" s="23" t="s">
        <v>2186</v>
      </c>
      <c r="D14627" s="21"/>
    </row>
    <row r="14628" spans="1:4" ht="12.75" customHeight="1" x14ac:dyDescent="0.2">
      <c r="A14628" s="21"/>
      <c r="B14628" s="3" t="s">
        <v>9</v>
      </c>
      <c r="C14628" s="23" t="s">
        <v>415</v>
      </c>
      <c r="D14628" s="21"/>
    </row>
    <row r="14629" spans="1:4" ht="12.75" customHeight="1" x14ac:dyDescent="0.2">
      <c r="A14629" s="21"/>
      <c r="B14629" s="3" t="s">
        <v>11</v>
      </c>
      <c r="C14629" s="23" t="s">
        <v>1565</v>
      </c>
      <c r="D14629" s="21"/>
    </row>
    <row r="14630" spans="1:4" ht="12.75" customHeight="1" x14ac:dyDescent="0.2">
      <c r="A14630" s="21"/>
      <c r="B14630" s="3" t="s">
        <v>16</v>
      </c>
      <c r="C14630" s="23"/>
      <c r="D14630" s="21"/>
    </row>
    <row r="14631" spans="1:4" ht="12.75" customHeight="1" x14ac:dyDescent="0.2">
      <c r="A14631" s="21"/>
      <c r="B14631" s="3" t="s">
        <v>17</v>
      </c>
      <c r="C14631" s="23" t="s">
        <v>19</v>
      </c>
      <c r="D14631" s="21"/>
    </row>
    <row r="14632" spans="1:4" ht="12.75" customHeight="1" x14ac:dyDescent="0.2">
      <c r="A14632" s="21"/>
      <c r="B14632" s="20" t="s">
        <v>18</v>
      </c>
      <c r="C14632" s="8" t="s">
        <v>57</v>
      </c>
      <c r="D14632" s="1" t="str">
        <f>HYPERLINK("javascript:void(0)","csillámgöb")</f>
        <v>csillámgöb</v>
      </c>
    </row>
    <row r="14633" spans="1:4" ht="25.5" customHeight="1" x14ac:dyDescent="0.2">
      <c r="A14633" s="21"/>
      <c r="B14633" s="21"/>
      <c r="C14633" s="8" t="s">
        <v>44</v>
      </c>
      <c r="D14633" s="1" t="str">
        <f>HYPERLINK("javascript:void(0)","csillámló kompozitcsizma")</f>
        <v>csillámló kompozitcsizma</v>
      </c>
    </row>
    <row r="14634" spans="1:4" ht="12.75" customHeight="1" x14ac:dyDescent="0.2">
      <c r="A14634" s="21"/>
      <c r="B14634" s="21"/>
      <c r="C14634" s="8" t="s">
        <v>988</v>
      </c>
      <c r="D14634" s="1" t="str">
        <f>HYPERLINK("javascript:void(0)","aszályige")</f>
        <v>aszályige</v>
      </c>
    </row>
    <row r="14635" spans="1:4" ht="12.75" customHeight="1" x14ac:dyDescent="0.2">
      <c r="A14635" s="21"/>
      <c r="B14635" s="2"/>
      <c r="C14635" s="7"/>
      <c r="D14635" s="7"/>
    </row>
    <row r="14636" spans="1:4" ht="12.75" customHeight="1" x14ac:dyDescent="0.2">
      <c r="A14636" s="21"/>
      <c r="B14636" s="2"/>
      <c r="C14636" s="7"/>
      <c r="D14636" s="7"/>
    </row>
    <row r="14637" spans="1:4" ht="12.75" customHeight="1" x14ac:dyDescent="0.2">
      <c r="A14637" s="21"/>
      <c r="B14637" s="2"/>
      <c r="C14637" s="7"/>
      <c r="D14637" s="7"/>
    </row>
    <row r="14638" spans="1:4" ht="12.75" customHeight="1" x14ac:dyDescent="0.2">
      <c r="A14638" s="21"/>
      <c r="B14638" s="2"/>
      <c r="C14638" s="7"/>
      <c r="D14638" s="7"/>
    </row>
    <row r="14639" spans="1:4" ht="12.75" customHeight="1" x14ac:dyDescent="0.2">
      <c r="A14639" s="5"/>
      <c r="B14639" s="2"/>
      <c r="C14639" s="7"/>
      <c r="D14639" s="7"/>
    </row>
    <row r="14640" spans="1:4" ht="12.75" customHeight="1" x14ac:dyDescent="0.2">
      <c r="A14640" s="22" t="str">
        <f>HYPERLINK("javascript:void(0)","csillámos patinasisak")</f>
        <v>csillámos patinasisak</v>
      </c>
      <c r="B14640" s="21"/>
      <c r="C14640" s="21"/>
      <c r="D14640" s="21"/>
    </row>
    <row r="14641" spans="1:4" ht="12.75" customHeight="1" x14ac:dyDescent="0.2">
      <c r="A14641" s="20"/>
      <c r="B14641" s="2"/>
      <c r="C14641" s="7"/>
      <c r="D14641" s="7"/>
    </row>
    <row r="14642" spans="1:4" ht="12.75" customHeight="1" x14ac:dyDescent="0.2">
      <c r="A14642" s="21"/>
      <c r="B14642" s="3" t="s">
        <v>0</v>
      </c>
      <c r="C14642" s="23" t="s">
        <v>347</v>
      </c>
      <c r="D14642" s="21"/>
    </row>
    <row r="14643" spans="1:4" ht="12.75" customHeight="1" x14ac:dyDescent="0.2">
      <c r="A14643" s="21"/>
      <c r="B14643" s="3" t="s">
        <v>2</v>
      </c>
      <c r="C14643" s="23"/>
      <c r="D14643" s="21"/>
    </row>
    <row r="14644" spans="1:4" ht="12.75" customHeight="1" x14ac:dyDescent="0.2">
      <c r="A14644" s="21"/>
      <c r="B14644" s="3" t="s">
        <v>1840</v>
      </c>
      <c r="C14644" s="23" t="s">
        <v>543</v>
      </c>
      <c r="D14644" s="21"/>
    </row>
    <row r="14645" spans="1:4" ht="12.75" customHeight="1" x14ac:dyDescent="0.2">
      <c r="A14645" s="21"/>
      <c r="B14645" s="3" t="s">
        <v>9</v>
      </c>
      <c r="C14645" s="23" t="s">
        <v>113</v>
      </c>
      <c r="D14645" s="21"/>
    </row>
    <row r="14646" spans="1:4" ht="12.75" customHeight="1" x14ac:dyDescent="0.2">
      <c r="A14646" s="21"/>
      <c r="B14646" s="3" t="s">
        <v>11</v>
      </c>
      <c r="C14646" s="23" t="s">
        <v>1553</v>
      </c>
      <c r="D14646" s="21"/>
    </row>
    <row r="14647" spans="1:4" ht="12.75" customHeight="1" x14ac:dyDescent="0.2">
      <c r="A14647" s="21"/>
      <c r="B14647" s="3" t="s">
        <v>16</v>
      </c>
      <c r="C14647" s="23"/>
      <c r="D14647" s="21"/>
    </row>
    <row r="14648" spans="1:4" ht="12.75" customHeight="1" x14ac:dyDescent="0.2">
      <c r="A14648" s="21"/>
      <c r="B14648" s="3" t="s">
        <v>17</v>
      </c>
      <c r="C14648" s="23" t="s">
        <v>19</v>
      </c>
      <c r="D14648" s="21"/>
    </row>
    <row r="14649" spans="1:4" ht="12.75" customHeight="1" x14ac:dyDescent="0.2">
      <c r="A14649" s="21"/>
      <c r="B14649" s="20" t="s">
        <v>18</v>
      </c>
      <c r="C14649" s="8" t="s">
        <v>57</v>
      </c>
      <c r="D14649" s="1" t="str">
        <f>HYPERLINK("javascript:void(0)","csillámgöb")</f>
        <v>csillámgöb</v>
      </c>
    </row>
    <row r="14650" spans="1:4" ht="25.5" customHeight="1" x14ac:dyDescent="0.2">
      <c r="A14650" s="21"/>
      <c r="B14650" s="21"/>
      <c r="C14650" s="8" t="s">
        <v>44</v>
      </c>
      <c r="D14650" s="1" t="str">
        <f>HYPERLINK("javascript:void(0)","csillámos kompozitsüveg")</f>
        <v>csillámos kompozitsüveg</v>
      </c>
    </row>
    <row r="14651" spans="1:4" ht="12.75" customHeight="1" x14ac:dyDescent="0.2">
      <c r="A14651" s="21"/>
      <c r="B14651" s="21"/>
      <c r="C14651" s="8" t="s">
        <v>398</v>
      </c>
      <c r="D14651" s="1" t="str">
        <f>HYPERLINK("javascript:void(0)","vaskarima")</f>
        <v>vaskarima</v>
      </c>
    </row>
    <row r="14652" spans="1:4" ht="12.75" customHeight="1" x14ac:dyDescent="0.2">
      <c r="A14652" s="21"/>
      <c r="B14652" s="2"/>
      <c r="C14652" s="7"/>
      <c r="D14652" s="7"/>
    </row>
    <row r="14653" spans="1:4" ht="12.75" customHeight="1" x14ac:dyDescent="0.2">
      <c r="A14653" s="21"/>
      <c r="B14653" s="2"/>
      <c r="C14653" s="7"/>
      <c r="D14653" s="7"/>
    </row>
    <row r="14654" spans="1:4" ht="12.75" customHeight="1" x14ac:dyDescent="0.2">
      <c r="A14654" s="21"/>
      <c r="B14654" s="2"/>
      <c r="C14654" s="7"/>
      <c r="D14654" s="7"/>
    </row>
    <row r="14655" spans="1:4" ht="12.75" customHeight="1" x14ac:dyDescent="0.2">
      <c r="A14655" s="21"/>
      <c r="B14655" s="2"/>
      <c r="C14655" s="7"/>
      <c r="D14655" s="7"/>
    </row>
    <row r="14656" spans="1:4" ht="12.75" customHeight="1" x14ac:dyDescent="0.2">
      <c r="A14656" s="5"/>
      <c r="B14656" s="2"/>
      <c r="C14656" s="7"/>
      <c r="D14656" s="7"/>
    </row>
    <row r="14657" spans="1:4" ht="12.75" customHeight="1" x14ac:dyDescent="0.2">
      <c r="A14657" s="22" t="str">
        <f>HYPERLINK("javascript:void(0)","csillámló patinapáncél")</f>
        <v>csillámló patinapáncél</v>
      </c>
      <c r="B14657" s="21"/>
      <c r="C14657" s="21"/>
      <c r="D14657" s="21"/>
    </row>
    <row r="14658" spans="1:4" ht="12.75" customHeight="1" x14ac:dyDescent="0.2">
      <c r="A14658" s="20"/>
      <c r="B14658" s="2"/>
      <c r="C14658" s="7"/>
      <c r="D14658" s="7"/>
    </row>
    <row r="14659" spans="1:4" ht="12.75" customHeight="1" x14ac:dyDescent="0.2">
      <c r="A14659" s="21"/>
      <c r="B14659" s="3" t="s">
        <v>0</v>
      </c>
      <c r="C14659" s="23" t="s">
        <v>347</v>
      </c>
      <c r="D14659" s="21"/>
    </row>
    <row r="14660" spans="1:4" ht="12.75" customHeight="1" x14ac:dyDescent="0.2">
      <c r="A14660" s="21"/>
      <c r="B14660" s="3" t="s">
        <v>2</v>
      </c>
      <c r="C14660" s="23" t="s">
        <v>2322</v>
      </c>
      <c r="D14660" s="21"/>
    </row>
    <row r="14661" spans="1:4" ht="12.75" customHeight="1" x14ac:dyDescent="0.2">
      <c r="A14661" s="21"/>
      <c r="B14661" s="3" t="s">
        <v>1840</v>
      </c>
      <c r="C14661" s="23" t="s">
        <v>365</v>
      </c>
      <c r="D14661" s="21"/>
    </row>
    <row r="14662" spans="1:4" ht="12.75" customHeight="1" x14ac:dyDescent="0.2">
      <c r="A14662" s="21"/>
      <c r="B14662" s="3" t="s">
        <v>9</v>
      </c>
      <c r="C14662" s="23" t="s">
        <v>2520</v>
      </c>
      <c r="D14662" s="21"/>
    </row>
    <row r="14663" spans="1:4" ht="12.75" customHeight="1" x14ac:dyDescent="0.2">
      <c r="A14663" s="21"/>
      <c r="B14663" s="3" t="s">
        <v>11</v>
      </c>
      <c r="C14663" s="23" t="s">
        <v>1553</v>
      </c>
      <c r="D14663" s="21"/>
    </row>
    <row r="14664" spans="1:4" ht="12.75" customHeight="1" x14ac:dyDescent="0.2">
      <c r="A14664" s="21"/>
      <c r="B14664" s="3" t="s">
        <v>16</v>
      </c>
      <c r="C14664" s="23"/>
      <c r="D14664" s="21"/>
    </row>
    <row r="14665" spans="1:4" ht="12.75" customHeight="1" x14ac:dyDescent="0.2">
      <c r="A14665" s="21"/>
      <c r="B14665" s="3" t="s">
        <v>17</v>
      </c>
      <c r="C14665" s="23" t="s">
        <v>19</v>
      </c>
      <c r="D14665" s="21"/>
    </row>
    <row r="14666" spans="1:4" ht="12.75" customHeight="1" x14ac:dyDescent="0.2">
      <c r="A14666" s="21"/>
      <c r="B14666" s="20" t="s">
        <v>18</v>
      </c>
      <c r="C14666" s="8" t="s">
        <v>57</v>
      </c>
      <c r="D14666" s="1" t="str">
        <f>HYPERLINK("javascript:void(0)","csillámgöb")</f>
        <v>csillámgöb</v>
      </c>
    </row>
    <row r="14667" spans="1:4" ht="25.5" customHeight="1" x14ac:dyDescent="0.2">
      <c r="A14667" s="21"/>
      <c r="B14667" s="21"/>
      <c r="C14667" s="8" t="s">
        <v>44</v>
      </c>
      <c r="D14667" s="1" t="str">
        <f>HYPERLINK("javascript:void(0)","csillámló kompozitpáncél")</f>
        <v>csillámló kompozitpáncél</v>
      </c>
    </row>
    <row r="14668" spans="1:4" ht="12.75" customHeight="1" x14ac:dyDescent="0.2">
      <c r="A14668" s="21"/>
      <c r="B14668" s="21"/>
      <c r="C14668" s="8" t="s">
        <v>327</v>
      </c>
      <c r="D14668" s="1" t="str">
        <f>HYPERLINK("javascript:void(0)","csapdaszeg")</f>
        <v>csapdaszeg</v>
      </c>
    </row>
    <row r="14669" spans="1:4" ht="12.75" customHeight="1" x14ac:dyDescent="0.2">
      <c r="A14669" s="21"/>
      <c r="B14669" s="2"/>
      <c r="C14669" s="7"/>
      <c r="D14669" s="7"/>
    </row>
    <row r="14670" spans="1:4" ht="12.75" customHeight="1" x14ac:dyDescent="0.2">
      <c r="A14670" s="21"/>
      <c r="B14670" s="2"/>
      <c r="C14670" s="7"/>
      <c r="D14670" s="7"/>
    </row>
    <row r="14671" spans="1:4" ht="12.75" customHeight="1" x14ac:dyDescent="0.2">
      <c r="A14671" s="21"/>
      <c r="B14671" s="2"/>
      <c r="C14671" s="7"/>
      <c r="D14671" s="7"/>
    </row>
    <row r="14672" spans="1:4" ht="12.75" customHeight="1" x14ac:dyDescent="0.2">
      <c r="A14672" s="21"/>
      <c r="B14672" s="2"/>
      <c r="C14672" s="7"/>
      <c r="D14672" s="7"/>
    </row>
    <row r="14673" spans="1:4" ht="12.75" customHeight="1" x14ac:dyDescent="0.2">
      <c r="A14673" s="5"/>
      <c r="B14673" s="2"/>
      <c r="C14673" s="7"/>
      <c r="D14673" s="7"/>
    </row>
    <row r="14674" spans="1:4" ht="12.75" customHeight="1" x14ac:dyDescent="0.2">
      <c r="A14674" s="22" t="str">
        <f>HYPERLINK("javascript:void(0)","gyűrüsvért")</f>
        <v>gyűrüsvért</v>
      </c>
      <c r="B14674" s="21"/>
      <c r="C14674" s="21"/>
      <c r="D14674" s="21"/>
    </row>
    <row r="14675" spans="1:4" ht="12.75" customHeight="1" x14ac:dyDescent="0.2">
      <c r="A14675" s="20"/>
      <c r="B14675" s="2"/>
      <c r="C14675" s="7"/>
      <c r="D14675" s="7"/>
    </row>
    <row r="14676" spans="1:4" ht="12.75" customHeight="1" x14ac:dyDescent="0.2">
      <c r="A14676" s="21"/>
      <c r="B14676" s="3" t="s">
        <v>0</v>
      </c>
      <c r="C14676" s="23" t="s">
        <v>312</v>
      </c>
      <c r="D14676" s="21"/>
    </row>
    <row r="14677" spans="1:4" ht="12.75" customHeight="1" x14ac:dyDescent="0.2">
      <c r="A14677" s="21"/>
      <c r="B14677" s="3" t="s">
        <v>2</v>
      </c>
      <c r="C14677" s="23" t="s">
        <v>2322</v>
      </c>
      <c r="D14677" s="21"/>
    </row>
    <row r="14678" spans="1:4" ht="12.75" customHeight="1" x14ac:dyDescent="0.2">
      <c r="A14678" s="21"/>
      <c r="B14678" s="3" t="s">
        <v>1840</v>
      </c>
      <c r="C14678" s="23" t="s">
        <v>2521</v>
      </c>
      <c r="D14678" s="21"/>
    </row>
    <row r="14679" spans="1:4" ht="12.75" customHeight="1" x14ac:dyDescent="0.2">
      <c r="A14679" s="21"/>
      <c r="B14679" s="3" t="s">
        <v>9</v>
      </c>
      <c r="C14679" s="23" t="s">
        <v>958</v>
      </c>
      <c r="D14679" s="21"/>
    </row>
    <row r="14680" spans="1:4" ht="12.75" customHeight="1" x14ac:dyDescent="0.2">
      <c r="A14680" s="21"/>
      <c r="B14680" s="3" t="s">
        <v>11</v>
      </c>
      <c r="C14680" s="23" t="s">
        <v>1040</v>
      </c>
      <c r="D14680" s="21"/>
    </row>
    <row r="14681" spans="1:4" ht="12.75" customHeight="1" x14ac:dyDescent="0.2">
      <c r="A14681" s="21"/>
      <c r="B14681" s="3" t="s">
        <v>16</v>
      </c>
      <c r="C14681" s="23"/>
      <c r="D14681" s="21"/>
    </row>
    <row r="14682" spans="1:4" ht="12.75" customHeight="1" x14ac:dyDescent="0.2">
      <c r="A14682" s="21"/>
      <c r="B14682" s="3" t="s">
        <v>17</v>
      </c>
      <c r="C14682" s="23" t="s">
        <v>19</v>
      </c>
      <c r="D14682" s="21"/>
    </row>
    <row r="14683" spans="1:4" ht="12.75" customHeight="1" x14ac:dyDescent="0.2">
      <c r="A14683" s="21"/>
      <c r="B14683" s="20" t="s">
        <v>18</v>
      </c>
      <c r="C14683" s="8" t="s">
        <v>894</v>
      </c>
      <c r="D14683" s="1" t="str">
        <f>HYPERLINK("javascript:void(0)","patkányfarok")</f>
        <v>patkányfarok</v>
      </c>
    </row>
    <row r="14684" spans="1:4" ht="12.75" customHeight="1" x14ac:dyDescent="0.2">
      <c r="A14684" s="21"/>
      <c r="B14684" s="21"/>
      <c r="C14684" s="8" t="s">
        <v>44</v>
      </c>
      <c r="D14684" s="1" t="str">
        <f>HYPERLINK("javascript:void(0)","tüskepáncél")</f>
        <v>tüskepáncél</v>
      </c>
    </row>
    <row r="14685" spans="1:4" ht="12.75" customHeight="1" x14ac:dyDescent="0.2">
      <c r="A14685" s="21"/>
      <c r="B14685" s="21"/>
      <c r="C14685" s="8" t="s">
        <v>772</v>
      </c>
      <c r="D14685" s="1" t="str">
        <f>HYPERLINK("javascript:void(0)","cingulum")</f>
        <v>cingulum</v>
      </c>
    </row>
    <row r="14686" spans="1:4" ht="12.75" customHeight="1" x14ac:dyDescent="0.2">
      <c r="A14686" s="21"/>
      <c r="B14686" s="2"/>
      <c r="C14686" s="7"/>
      <c r="D14686" s="7"/>
    </row>
    <row r="14687" spans="1:4" ht="12.75" customHeight="1" x14ac:dyDescent="0.2">
      <c r="A14687" s="21"/>
      <c r="B14687" s="2"/>
      <c r="C14687" s="7"/>
      <c r="D14687" s="7"/>
    </row>
    <row r="14688" spans="1:4" ht="12.75" customHeight="1" x14ac:dyDescent="0.2">
      <c r="A14688" s="21"/>
      <c r="B14688" s="2"/>
      <c r="C14688" s="7"/>
      <c r="D14688" s="7"/>
    </row>
    <row r="14689" spans="1:4" ht="12.75" customHeight="1" x14ac:dyDescent="0.2">
      <c r="A14689" s="21"/>
      <c r="B14689" s="2"/>
      <c r="C14689" s="7"/>
      <c r="D14689" s="7"/>
    </row>
    <row r="14690" spans="1:4" ht="12.75" customHeight="1" x14ac:dyDescent="0.2">
      <c r="A14690" s="5"/>
      <c r="B14690" s="2"/>
      <c r="C14690" s="7"/>
      <c r="D14690" s="7"/>
    </row>
    <row r="14691" spans="1:4" ht="12.75" customHeight="1" x14ac:dyDescent="0.2">
      <c r="A14691" s="22" t="str">
        <f>HYPERLINK("javascript:void(0)","gyűrűsisak")</f>
        <v>gyűrűsisak</v>
      </c>
      <c r="B14691" s="21"/>
      <c r="C14691" s="21"/>
      <c r="D14691" s="21"/>
    </row>
    <row r="14692" spans="1:4" ht="12.75" customHeight="1" x14ac:dyDescent="0.2">
      <c r="A14692" s="20"/>
      <c r="B14692" s="2"/>
      <c r="C14692" s="7"/>
      <c r="D14692" s="7"/>
    </row>
    <row r="14693" spans="1:4" ht="12.75" customHeight="1" x14ac:dyDescent="0.2">
      <c r="A14693" s="21"/>
      <c r="B14693" s="3" t="s">
        <v>0</v>
      </c>
      <c r="C14693" s="23" t="s">
        <v>312</v>
      </c>
      <c r="D14693" s="21"/>
    </row>
    <row r="14694" spans="1:4" ht="12.75" customHeight="1" x14ac:dyDescent="0.2">
      <c r="A14694" s="21"/>
      <c r="B14694" s="3" t="s">
        <v>2</v>
      </c>
      <c r="C14694" s="23"/>
      <c r="D14694" s="21"/>
    </row>
    <row r="14695" spans="1:4" ht="12.75" customHeight="1" x14ac:dyDescent="0.2">
      <c r="A14695" s="21"/>
      <c r="B14695" s="3" t="s">
        <v>1840</v>
      </c>
      <c r="C14695" s="23" t="s">
        <v>2430</v>
      </c>
      <c r="D14695" s="21"/>
    </row>
    <row r="14696" spans="1:4" ht="12.75" customHeight="1" x14ac:dyDescent="0.2">
      <c r="A14696" s="21"/>
      <c r="B14696" s="3" t="s">
        <v>9</v>
      </c>
      <c r="C14696" s="23" t="s">
        <v>1025</v>
      </c>
      <c r="D14696" s="21"/>
    </row>
    <row r="14697" spans="1:4" ht="12.75" customHeight="1" x14ac:dyDescent="0.2">
      <c r="A14697" s="21"/>
      <c r="B14697" s="3" t="s">
        <v>11</v>
      </c>
      <c r="C14697" s="23" t="s">
        <v>1040</v>
      </c>
      <c r="D14697" s="21"/>
    </row>
    <row r="14698" spans="1:4" ht="12.75" customHeight="1" x14ac:dyDescent="0.2">
      <c r="A14698" s="21"/>
      <c r="B14698" s="3" t="s">
        <v>16</v>
      </c>
      <c r="C14698" s="23"/>
      <c r="D14698" s="21"/>
    </row>
    <row r="14699" spans="1:4" ht="12.75" customHeight="1" x14ac:dyDescent="0.2">
      <c r="A14699" s="21"/>
      <c r="B14699" s="3" t="s">
        <v>17</v>
      </c>
      <c r="C14699" s="23" t="s">
        <v>19</v>
      </c>
      <c r="D14699" s="21"/>
    </row>
    <row r="14700" spans="1:4" ht="12.75" customHeight="1" x14ac:dyDescent="0.2">
      <c r="A14700" s="21"/>
      <c r="B14700" s="20" t="s">
        <v>18</v>
      </c>
      <c r="C14700" s="8" t="s">
        <v>44</v>
      </c>
      <c r="D14700" s="1" t="str">
        <f>HYPERLINK("javascript:void(0)","moszkitósisak")</f>
        <v>moszkitósisak</v>
      </c>
    </row>
    <row r="14701" spans="1:4" ht="12.75" customHeight="1" x14ac:dyDescent="0.2">
      <c r="A14701" s="21"/>
      <c r="B14701" s="21"/>
      <c r="C14701" s="8" t="s">
        <v>44</v>
      </c>
      <c r="D14701" s="1" t="str">
        <f>HYPERLINK("javascript:void(0)","csóvasisak")</f>
        <v>csóvasisak</v>
      </c>
    </row>
    <row r="14702" spans="1:4" ht="12.75" customHeight="1" x14ac:dyDescent="0.2">
      <c r="A14702" s="21"/>
      <c r="B14702" s="21"/>
      <c r="C14702" s="8" t="s">
        <v>44</v>
      </c>
      <c r="D14702" s="1" t="str">
        <f>HYPERLINK("javascript:void(0)","sisakgyűrű")</f>
        <v>sisakgyűrű</v>
      </c>
    </row>
    <row r="14703" spans="1:4" ht="12.75" customHeight="1" x14ac:dyDescent="0.2">
      <c r="A14703" s="21"/>
      <c r="B14703" s="2"/>
      <c r="C14703" s="7"/>
      <c r="D14703" s="7"/>
    </row>
    <row r="14704" spans="1:4" ht="12.75" customHeight="1" x14ac:dyDescent="0.2">
      <c r="A14704" s="21"/>
      <c r="B14704" s="2"/>
      <c r="C14704" s="7"/>
      <c r="D14704" s="7"/>
    </row>
    <row r="14705" spans="1:4" ht="12.75" customHeight="1" x14ac:dyDescent="0.2">
      <c r="A14705" s="21"/>
      <c r="B14705" s="2"/>
      <c r="C14705" s="7"/>
      <c r="D14705" s="7"/>
    </row>
    <row r="14706" spans="1:4" ht="12.75" customHeight="1" x14ac:dyDescent="0.2">
      <c r="A14706" s="21"/>
      <c r="B14706" s="2"/>
      <c r="C14706" s="7"/>
      <c r="D14706" s="7"/>
    </row>
    <row r="14707" spans="1:4" ht="12.75" customHeight="1" x14ac:dyDescent="0.2">
      <c r="A14707" s="5"/>
      <c r="B14707" s="2"/>
      <c r="C14707" s="7"/>
      <c r="D14707" s="7"/>
    </row>
    <row r="14708" spans="1:4" ht="12.75" customHeight="1" x14ac:dyDescent="0.2">
      <c r="A14708" s="22" t="str">
        <f>HYPERLINK("javascript:void(0)","szarusaru")</f>
        <v>szarusaru</v>
      </c>
      <c r="B14708" s="21"/>
      <c r="C14708" s="21"/>
      <c r="D14708" s="21"/>
    </row>
    <row r="14709" spans="1:4" ht="12.75" customHeight="1" x14ac:dyDescent="0.2">
      <c r="A14709" s="20"/>
      <c r="B14709" s="2"/>
      <c r="C14709" s="7"/>
      <c r="D14709" s="7"/>
    </row>
    <row r="14710" spans="1:4" ht="12.75" customHeight="1" x14ac:dyDescent="0.2">
      <c r="A14710" s="21"/>
      <c r="B14710" s="3" t="s">
        <v>0</v>
      </c>
      <c r="C14710" s="23" t="s">
        <v>312</v>
      </c>
      <c r="D14710" s="21"/>
    </row>
    <row r="14711" spans="1:4" ht="12.75" customHeight="1" x14ac:dyDescent="0.2">
      <c r="A14711" s="21"/>
      <c r="B14711" s="3" t="s">
        <v>2</v>
      </c>
      <c r="C14711" s="23"/>
      <c r="D14711" s="21"/>
    </row>
    <row r="14712" spans="1:4" ht="12.75" customHeight="1" x14ac:dyDescent="0.2">
      <c r="A14712" s="21"/>
      <c r="B14712" s="3" t="s">
        <v>1840</v>
      </c>
      <c r="C14712" s="23" t="s">
        <v>2188</v>
      </c>
      <c r="D14712" s="21"/>
    </row>
    <row r="14713" spans="1:4" ht="12.75" customHeight="1" x14ac:dyDescent="0.2">
      <c r="A14713" s="21"/>
      <c r="B14713" s="3" t="s">
        <v>9</v>
      </c>
      <c r="C14713" s="23" t="s">
        <v>2060</v>
      </c>
      <c r="D14713" s="21"/>
    </row>
    <row r="14714" spans="1:4" ht="12.75" customHeight="1" x14ac:dyDescent="0.2">
      <c r="A14714" s="21"/>
      <c r="B14714" s="3" t="s">
        <v>11</v>
      </c>
      <c r="C14714" s="23" t="s">
        <v>2190</v>
      </c>
      <c r="D14714" s="21"/>
    </row>
    <row r="14715" spans="1:4" ht="12.75" customHeight="1" x14ac:dyDescent="0.2">
      <c r="A14715" s="21"/>
      <c r="B14715" s="3" t="s">
        <v>16</v>
      </c>
      <c r="C14715" s="23"/>
      <c r="D14715" s="21"/>
    </row>
    <row r="14716" spans="1:4" ht="12.75" customHeight="1" x14ac:dyDescent="0.2">
      <c r="A14716" s="21"/>
      <c r="B14716" s="3" t="s">
        <v>17</v>
      </c>
      <c r="C14716" s="23" t="s">
        <v>19</v>
      </c>
      <c r="D14716" s="21"/>
    </row>
    <row r="14717" spans="1:4" ht="12.75" customHeight="1" x14ac:dyDescent="0.2">
      <c r="A14717" s="21"/>
      <c r="B14717" s="20" t="s">
        <v>18</v>
      </c>
      <c r="C14717" s="8" t="s">
        <v>2005</v>
      </c>
      <c r="D14717" s="1" t="str">
        <f>HYPERLINK("javascript:void(0)","dobókocka")</f>
        <v>dobókocka</v>
      </c>
    </row>
    <row r="14718" spans="1:4" ht="12.75" customHeight="1" x14ac:dyDescent="0.2">
      <c r="A14718" s="21"/>
      <c r="B14718" s="21"/>
      <c r="C14718" s="8" t="s">
        <v>772</v>
      </c>
      <c r="D14718" s="1" t="str">
        <f>HYPERLINK("javascript:void(0)","maxilla")</f>
        <v>maxilla</v>
      </c>
    </row>
    <row r="14719" spans="1:4" ht="12.75" customHeight="1" x14ac:dyDescent="0.2">
      <c r="A14719" s="21"/>
      <c r="B14719" s="21"/>
      <c r="C14719" s="8" t="s">
        <v>780</v>
      </c>
      <c r="D14719" s="1" t="str">
        <f>HYPERLINK("javascript:void(0)","kvarc")</f>
        <v>kvarc</v>
      </c>
    </row>
    <row r="14720" spans="1:4" ht="12.75" customHeight="1" x14ac:dyDescent="0.2">
      <c r="A14720" s="21"/>
      <c r="B14720" s="2"/>
      <c r="C14720" s="7"/>
      <c r="D14720" s="7"/>
    </row>
    <row r="14721" spans="1:4" ht="12.75" customHeight="1" x14ac:dyDescent="0.2">
      <c r="A14721" s="21"/>
      <c r="B14721" s="2"/>
      <c r="C14721" s="7"/>
      <c r="D14721" s="7"/>
    </row>
    <row r="14722" spans="1:4" ht="12.75" customHeight="1" x14ac:dyDescent="0.2">
      <c r="A14722" s="21"/>
      <c r="B14722" s="2"/>
      <c r="C14722" s="7"/>
      <c r="D14722" s="7"/>
    </row>
    <row r="14723" spans="1:4" ht="12.75" customHeight="1" x14ac:dyDescent="0.2">
      <c r="A14723" s="21"/>
      <c r="B14723" s="2"/>
      <c r="C14723" s="7"/>
      <c r="D14723" s="7"/>
    </row>
    <row r="14724" spans="1:4" ht="12.75" customHeight="1" x14ac:dyDescent="0.2">
      <c r="A14724" s="5"/>
      <c r="B14724" s="2"/>
      <c r="C14724" s="7"/>
      <c r="D14724" s="7"/>
    </row>
    <row r="14725" spans="1:4" ht="12.75" customHeight="1" x14ac:dyDescent="0.2">
      <c r="A14725" s="22" t="str">
        <f>HYPERLINK("javascript:void(0)","szarupajzs")</f>
        <v>szarupajzs</v>
      </c>
      <c r="B14725" s="21"/>
      <c r="C14725" s="21"/>
      <c r="D14725" s="21"/>
    </row>
    <row r="14726" spans="1:4" ht="12.75" customHeight="1" x14ac:dyDescent="0.2">
      <c r="A14726" s="20"/>
      <c r="B14726" s="2"/>
      <c r="C14726" s="7"/>
      <c r="D14726" s="7"/>
    </row>
    <row r="14727" spans="1:4" ht="12.75" customHeight="1" x14ac:dyDescent="0.2">
      <c r="A14727" s="21"/>
      <c r="B14727" s="3" t="s">
        <v>0</v>
      </c>
      <c r="C14727" s="23" t="s">
        <v>312</v>
      </c>
      <c r="D14727" s="21"/>
    </row>
    <row r="14728" spans="1:4" ht="12.75" customHeight="1" x14ac:dyDescent="0.2">
      <c r="A14728" s="21"/>
      <c r="B14728" s="3" t="s">
        <v>2</v>
      </c>
      <c r="C14728" s="23" t="s">
        <v>1839</v>
      </c>
      <c r="D14728" s="21"/>
    </row>
    <row r="14729" spans="1:4" ht="12.75" customHeight="1" x14ac:dyDescent="0.2">
      <c r="A14729" s="21"/>
      <c r="B14729" s="3" t="s">
        <v>1840</v>
      </c>
      <c r="C14729" s="23" t="s">
        <v>2852</v>
      </c>
      <c r="D14729" s="21"/>
    </row>
    <row r="14730" spans="1:4" ht="12.75" customHeight="1" x14ac:dyDescent="0.2">
      <c r="A14730" s="21"/>
      <c r="B14730" s="3" t="s">
        <v>9</v>
      </c>
      <c r="C14730" s="23" t="s">
        <v>198</v>
      </c>
      <c r="D14730" s="21"/>
    </row>
    <row r="14731" spans="1:4" ht="12.75" customHeight="1" x14ac:dyDescent="0.2">
      <c r="A14731" s="21"/>
      <c r="B14731" s="3" t="s">
        <v>11</v>
      </c>
      <c r="C14731" s="23" t="s">
        <v>2218</v>
      </c>
      <c r="D14731" s="21"/>
    </row>
    <row r="14732" spans="1:4" ht="12.75" customHeight="1" x14ac:dyDescent="0.2">
      <c r="A14732" s="21"/>
      <c r="B14732" s="3" t="s">
        <v>16</v>
      </c>
      <c r="C14732" s="23"/>
      <c r="D14732" s="21"/>
    </row>
    <row r="14733" spans="1:4" ht="12.75" customHeight="1" x14ac:dyDescent="0.2">
      <c r="A14733" s="21"/>
      <c r="B14733" s="3" t="s">
        <v>17</v>
      </c>
      <c r="C14733" s="23" t="s">
        <v>19</v>
      </c>
      <c r="D14733" s="21"/>
    </row>
    <row r="14734" spans="1:4" ht="12.75" customHeight="1" x14ac:dyDescent="0.2">
      <c r="A14734" s="21"/>
      <c r="B14734" s="20" t="s">
        <v>18</v>
      </c>
      <c r="C14734" s="8" t="s">
        <v>44</v>
      </c>
      <c r="D14734" s="1" t="str">
        <f>HYPERLINK("javascript:void(0)","szélfogópajzs")</f>
        <v>szélfogópajzs</v>
      </c>
    </row>
    <row r="14735" spans="1:4" ht="12.75" customHeight="1" x14ac:dyDescent="0.2">
      <c r="A14735" s="21"/>
      <c r="B14735" s="21"/>
      <c r="C14735" s="8" t="s">
        <v>894</v>
      </c>
      <c r="D14735" s="1" t="str">
        <f>HYPERLINK("javascript:void(0)","maxilla")</f>
        <v>maxilla</v>
      </c>
    </row>
    <row r="14736" spans="1:4" ht="12.75" customHeight="1" x14ac:dyDescent="0.2">
      <c r="A14736" s="21"/>
      <c r="B14736" s="21"/>
      <c r="C14736" s="8" t="s">
        <v>193</v>
      </c>
      <c r="D14736" s="1" t="str">
        <f>HYPERLINK("javascript:void(0)","orrkarika")</f>
        <v>orrkarika</v>
      </c>
    </row>
    <row r="14737" spans="1:4" ht="12.75" customHeight="1" x14ac:dyDescent="0.2">
      <c r="A14737" s="21"/>
      <c r="B14737" s="2"/>
      <c r="C14737" s="7"/>
      <c r="D14737" s="7"/>
    </row>
    <row r="14738" spans="1:4" ht="12.75" customHeight="1" x14ac:dyDescent="0.2">
      <c r="A14738" s="21"/>
      <c r="B14738" s="2"/>
      <c r="C14738" s="7"/>
      <c r="D14738" s="7"/>
    </row>
    <row r="14739" spans="1:4" ht="12.75" customHeight="1" x14ac:dyDescent="0.2">
      <c r="A14739" s="21"/>
      <c r="B14739" s="2"/>
      <c r="C14739" s="7"/>
      <c r="D14739" s="7"/>
    </row>
    <row r="14740" spans="1:4" ht="12.75" customHeight="1" x14ac:dyDescent="0.2">
      <c r="A14740" s="21"/>
      <c r="B14740" s="2"/>
      <c r="C14740" s="7"/>
      <c r="D14740" s="7"/>
    </row>
    <row r="14741" spans="1:4" ht="12.75" customHeight="1" x14ac:dyDescent="0.2">
      <c r="A14741" s="5"/>
      <c r="B14741" s="2"/>
      <c r="C14741" s="7"/>
      <c r="D14741" s="7"/>
    </row>
    <row r="14742" spans="1:4" ht="12.75" customHeight="1" x14ac:dyDescent="0.2">
      <c r="A14742" s="22" t="str">
        <f>HYPERLINK("javascript:void(0)","rimföldi szellempajzs")</f>
        <v>rimföldi szellempajzs</v>
      </c>
      <c r="B14742" s="21"/>
      <c r="C14742" s="21"/>
      <c r="D14742" s="21"/>
    </row>
    <row r="14743" spans="1:4" ht="12.75" customHeight="1" x14ac:dyDescent="0.2">
      <c r="A14743" s="20"/>
      <c r="B14743" s="2"/>
      <c r="C14743" s="7"/>
      <c r="D14743" s="7"/>
    </row>
    <row r="14744" spans="1:4" ht="12.75" customHeight="1" x14ac:dyDescent="0.2">
      <c r="A14744" s="21"/>
      <c r="B14744" s="3" t="s">
        <v>0</v>
      </c>
      <c r="C14744" s="23" t="s">
        <v>312</v>
      </c>
      <c r="D14744" s="21"/>
    </row>
    <row r="14745" spans="1:4" ht="12.75" customHeight="1" x14ac:dyDescent="0.2">
      <c r="A14745" s="21"/>
      <c r="B14745" s="3" t="s">
        <v>2</v>
      </c>
      <c r="C14745" s="23" t="s">
        <v>1839</v>
      </c>
      <c r="D14745" s="21"/>
    </row>
    <row r="14746" spans="1:4" ht="12.75" customHeight="1" x14ac:dyDescent="0.2">
      <c r="A14746" s="21"/>
      <c r="B14746" s="3" t="s">
        <v>1840</v>
      </c>
      <c r="C14746" s="23" t="s">
        <v>2852</v>
      </c>
      <c r="D14746" s="21"/>
    </row>
    <row r="14747" spans="1:4" ht="12.75" customHeight="1" x14ac:dyDescent="0.2">
      <c r="A14747" s="21"/>
      <c r="B14747" s="3" t="s">
        <v>9</v>
      </c>
      <c r="C14747" s="23" t="s">
        <v>5523</v>
      </c>
      <c r="D14747" s="21"/>
    </row>
    <row r="14748" spans="1:4" ht="12.75" customHeight="1" x14ac:dyDescent="0.2">
      <c r="A14748" s="21"/>
      <c r="B14748" s="3" t="s">
        <v>11</v>
      </c>
      <c r="C14748" s="23" t="s">
        <v>1059</v>
      </c>
      <c r="D14748" s="21"/>
    </row>
    <row r="14749" spans="1:4" ht="12.75" customHeight="1" x14ac:dyDescent="0.2">
      <c r="A14749" s="21"/>
      <c r="B14749" s="3" t="s">
        <v>16</v>
      </c>
      <c r="C14749" s="23"/>
      <c r="D14749" s="21"/>
    </row>
    <row r="14750" spans="1:4" ht="12.75" customHeight="1" x14ac:dyDescent="0.2">
      <c r="A14750" s="21"/>
      <c r="B14750" s="3" t="s">
        <v>17</v>
      </c>
      <c r="C14750" s="23" t="s">
        <v>19</v>
      </c>
      <c r="D14750" s="21"/>
    </row>
    <row r="14751" spans="1:4" ht="12.75" customHeight="1" x14ac:dyDescent="0.2">
      <c r="A14751" s="21"/>
      <c r="B14751" s="20" t="s">
        <v>18</v>
      </c>
      <c r="C14751" s="8" t="s">
        <v>44</v>
      </c>
      <c r="D14751" s="1" t="str">
        <f>HYPERLINK("javascript:void(0)","szarupajzs")</f>
        <v>szarupajzs</v>
      </c>
    </row>
    <row r="14752" spans="1:4" ht="12.75" customHeight="1" x14ac:dyDescent="0.2">
      <c r="A14752" s="21"/>
      <c r="B14752" s="21"/>
      <c r="C14752" s="8" t="s">
        <v>5526</v>
      </c>
      <c r="D14752" s="1" t="str">
        <f>HYPERLINK("javascript:void(0)","fülpenge")</f>
        <v>fülpenge</v>
      </c>
    </row>
    <row r="14753" spans="1:4" ht="12.75" customHeight="1" x14ac:dyDescent="0.2">
      <c r="A14753" s="21"/>
      <c r="B14753" s="21"/>
      <c r="C14753" s="8" t="s">
        <v>1554</v>
      </c>
      <c r="D14753" s="1" t="str">
        <f>HYPERLINK("javascript:void(0)","patkányfarok")</f>
        <v>patkányfarok</v>
      </c>
    </row>
    <row r="14754" spans="1:4" ht="12.75" customHeight="1" x14ac:dyDescent="0.2">
      <c r="A14754" s="21"/>
      <c r="B14754" s="2"/>
      <c r="C14754" s="7"/>
      <c r="D14754" s="7"/>
    </row>
    <row r="14755" spans="1:4" ht="12.75" customHeight="1" x14ac:dyDescent="0.2">
      <c r="A14755" s="21"/>
      <c r="B14755" s="2"/>
      <c r="C14755" s="7"/>
      <c r="D14755" s="7"/>
    </row>
    <row r="14756" spans="1:4" ht="12.75" customHeight="1" x14ac:dyDescent="0.2">
      <c r="A14756" s="21"/>
      <c r="B14756" s="2"/>
      <c r="C14756" s="7"/>
      <c r="D14756" s="7"/>
    </row>
    <row r="14757" spans="1:4" ht="12.75" customHeight="1" x14ac:dyDescent="0.2">
      <c r="A14757" s="21"/>
      <c r="B14757" s="2"/>
      <c r="C14757" s="7"/>
      <c r="D14757" s="7"/>
    </row>
    <row r="14758" spans="1:4" ht="12.75" customHeight="1" x14ac:dyDescent="0.2">
      <c r="A14758" s="5"/>
      <c r="B14758" s="2"/>
      <c r="C14758" s="7"/>
      <c r="D14758" s="7"/>
    </row>
    <row r="14759" spans="1:4" ht="12.75" customHeight="1" x14ac:dyDescent="0.2">
      <c r="A14759" s="22" t="str">
        <f>HYPERLINK("javascript:void(0)","sisakgyűrű")</f>
        <v>sisakgyűrű</v>
      </c>
      <c r="B14759" s="21"/>
      <c r="C14759" s="21"/>
      <c r="D14759" s="21"/>
    </row>
    <row r="14760" spans="1:4" ht="12.75" customHeight="1" x14ac:dyDescent="0.2">
      <c r="A14760" s="20"/>
      <c r="B14760" s="2"/>
      <c r="C14760" s="7"/>
      <c r="D14760" s="7"/>
    </row>
    <row r="14761" spans="1:4" ht="12.75" customHeight="1" x14ac:dyDescent="0.2">
      <c r="A14761" s="21"/>
      <c r="B14761" s="3" t="s">
        <v>0</v>
      </c>
      <c r="C14761" s="23" t="s">
        <v>312</v>
      </c>
      <c r="D14761" s="21"/>
    </row>
    <row r="14762" spans="1:4" ht="12.75" customHeight="1" x14ac:dyDescent="0.2">
      <c r="A14762" s="21"/>
      <c r="B14762" s="3" t="s">
        <v>2</v>
      </c>
      <c r="C14762" s="23"/>
      <c r="D14762" s="21"/>
    </row>
    <row r="14763" spans="1:4" ht="12.75" customHeight="1" x14ac:dyDescent="0.2">
      <c r="A14763" s="21"/>
      <c r="B14763" s="3" t="s">
        <v>1840</v>
      </c>
      <c r="C14763" s="23" t="s">
        <v>245</v>
      </c>
      <c r="D14763" s="21"/>
    </row>
    <row r="14764" spans="1:4" ht="12.75" customHeight="1" x14ac:dyDescent="0.2">
      <c r="A14764" s="21"/>
      <c r="B14764" s="3" t="s">
        <v>9</v>
      </c>
      <c r="C14764" s="23" t="s">
        <v>172</v>
      </c>
      <c r="D14764" s="21"/>
    </row>
    <row r="14765" spans="1:4" ht="12.75" customHeight="1" x14ac:dyDescent="0.2">
      <c r="A14765" s="21"/>
      <c r="B14765" s="3" t="s">
        <v>11</v>
      </c>
      <c r="C14765" s="23" t="s">
        <v>5529</v>
      </c>
      <c r="D14765" s="21"/>
    </row>
    <row r="14766" spans="1:4" ht="12.75" customHeight="1" x14ac:dyDescent="0.2">
      <c r="A14766" s="21"/>
      <c r="B14766" s="3" t="s">
        <v>16</v>
      </c>
      <c r="C14766" s="23"/>
      <c r="D14766" s="21"/>
    </row>
    <row r="14767" spans="1:4" ht="12.75" customHeight="1" x14ac:dyDescent="0.2">
      <c r="A14767" s="21"/>
      <c r="B14767" s="3" t="s">
        <v>17</v>
      </c>
      <c r="C14767" s="23" t="s">
        <v>19</v>
      </c>
      <c r="D14767" s="21"/>
    </row>
    <row r="14768" spans="1:4" ht="12.75" customHeight="1" x14ac:dyDescent="0.2">
      <c r="A14768" s="21"/>
      <c r="B14768" s="20" t="s">
        <v>18</v>
      </c>
      <c r="C14768" s="8" t="s">
        <v>327</v>
      </c>
      <c r="D14768" s="1" t="str">
        <f>HYPERLINK("javascript:void(0)","patkányfarok")</f>
        <v>patkányfarok</v>
      </c>
    </row>
    <row r="14769" spans="1:4" ht="12.75" customHeight="1" x14ac:dyDescent="0.2">
      <c r="A14769" s="21"/>
      <c r="B14769" s="21"/>
      <c r="C14769" s="8" t="s">
        <v>894</v>
      </c>
      <c r="D14769" s="1" t="str">
        <f>HYPERLINK("javascript:void(0)","rojt")</f>
        <v>rojt</v>
      </c>
    </row>
    <row r="14770" spans="1:4" ht="12.75" customHeight="1" x14ac:dyDescent="0.2">
      <c r="A14770" s="21"/>
      <c r="B14770" s="21"/>
      <c r="C14770" s="8" t="s">
        <v>780</v>
      </c>
      <c r="D14770" s="1" t="str">
        <f>HYPERLINK("javascript:void(0)","rozmáragyar")</f>
        <v>rozmáragyar</v>
      </c>
    </row>
    <row r="14771" spans="1:4" ht="12.75" customHeight="1" x14ac:dyDescent="0.2">
      <c r="A14771" s="21"/>
      <c r="B14771" s="2"/>
      <c r="C14771" s="7"/>
      <c r="D14771" s="7"/>
    </row>
    <row r="14772" spans="1:4" ht="12.75" customHeight="1" x14ac:dyDescent="0.2">
      <c r="A14772" s="21"/>
      <c r="B14772" s="2"/>
      <c r="C14772" s="7"/>
      <c r="D14772" s="7"/>
    </row>
    <row r="14773" spans="1:4" ht="12.75" customHeight="1" x14ac:dyDescent="0.2">
      <c r="A14773" s="21"/>
      <c r="B14773" s="2"/>
      <c r="C14773" s="7"/>
      <c r="D14773" s="7"/>
    </row>
    <row r="14774" spans="1:4" ht="12.75" customHeight="1" x14ac:dyDescent="0.2">
      <c r="A14774" s="21"/>
      <c r="B14774" s="2"/>
      <c r="C14774" s="7"/>
      <c r="D14774" s="7"/>
    </row>
    <row r="14775" spans="1:4" ht="12.75" customHeight="1" x14ac:dyDescent="0.2">
      <c r="A14775" s="5"/>
      <c r="B14775" s="2"/>
      <c r="C14775" s="7"/>
      <c r="D14775" s="7"/>
    </row>
    <row r="14776" spans="1:4" ht="12.75" customHeight="1" x14ac:dyDescent="0.2">
      <c r="A14776" s="22" t="str">
        <f>HYPERLINK("javascript:void(0)","zombitipró antigrav csizma")</f>
        <v>zombitipró antigrav csizma</v>
      </c>
      <c r="B14776" s="21"/>
      <c r="C14776" s="21"/>
      <c r="D14776" s="21"/>
    </row>
    <row r="14777" spans="1:4" ht="12.75" customHeight="1" x14ac:dyDescent="0.2">
      <c r="A14777" s="20"/>
      <c r="B14777" s="2"/>
      <c r="C14777" s="7"/>
      <c r="D14777" s="7"/>
    </row>
    <row r="14778" spans="1:4" ht="12.75" customHeight="1" x14ac:dyDescent="0.2">
      <c r="A14778" s="21"/>
      <c r="B14778" s="3" t="s">
        <v>0</v>
      </c>
      <c r="C14778" s="23" t="s">
        <v>312</v>
      </c>
      <c r="D14778" s="21"/>
    </row>
    <row r="14779" spans="1:4" ht="12.75" customHeight="1" x14ac:dyDescent="0.2">
      <c r="A14779" s="21"/>
      <c r="B14779" s="3" t="s">
        <v>2</v>
      </c>
      <c r="C14779" s="23"/>
      <c r="D14779" s="21"/>
    </row>
    <row r="14780" spans="1:4" ht="12.75" customHeight="1" x14ac:dyDescent="0.2">
      <c r="A14780" s="21"/>
      <c r="B14780" s="3" t="s">
        <v>1840</v>
      </c>
      <c r="C14780" s="23" t="s">
        <v>2193</v>
      </c>
      <c r="D14780" s="21"/>
    </row>
    <row r="14781" spans="1:4" ht="12.75" customHeight="1" x14ac:dyDescent="0.2">
      <c r="A14781" s="21"/>
      <c r="B14781" s="3" t="s">
        <v>9</v>
      </c>
      <c r="C14781" s="23" t="s">
        <v>626</v>
      </c>
      <c r="D14781" s="21"/>
    </row>
    <row r="14782" spans="1:4" ht="12.75" customHeight="1" x14ac:dyDescent="0.2">
      <c r="A14782" s="21"/>
      <c r="B14782" s="3" t="s">
        <v>11</v>
      </c>
      <c r="C14782" s="23" t="s">
        <v>23</v>
      </c>
      <c r="D14782" s="21"/>
    </row>
    <row r="14783" spans="1:4" ht="12.75" customHeight="1" x14ac:dyDescent="0.2">
      <c r="A14783" s="21"/>
      <c r="B14783" s="3" t="s">
        <v>16</v>
      </c>
      <c r="C14783" s="23"/>
      <c r="D14783" s="21"/>
    </row>
    <row r="14784" spans="1:4" ht="12.75" customHeight="1" x14ac:dyDescent="0.2">
      <c r="A14784" s="21"/>
      <c r="B14784" s="3" t="s">
        <v>17</v>
      </c>
      <c r="C14784" s="23" t="s">
        <v>19</v>
      </c>
      <c r="D14784" s="21"/>
    </row>
    <row r="14785" spans="1:4" ht="25.5" customHeight="1" x14ac:dyDescent="0.2">
      <c r="A14785" s="21"/>
      <c r="B14785" s="20" t="s">
        <v>18</v>
      </c>
      <c r="C14785" s="8" t="s">
        <v>44</v>
      </c>
      <c r="D14785" s="1" t="str">
        <f>HYPERLINK("javascript:void(0)","csillámos antigrav csizma")</f>
        <v>csillámos antigrav csizma</v>
      </c>
    </row>
    <row r="14786" spans="1:4" ht="12.75" customHeight="1" x14ac:dyDescent="0.2">
      <c r="A14786" s="21"/>
      <c r="B14786" s="21"/>
      <c r="C14786" s="8" t="s">
        <v>2194</v>
      </c>
      <c r="D14786" s="1" t="str">
        <f>HYPERLINK("javascript:void(0)","patkányfarok")</f>
        <v>patkányfarok</v>
      </c>
    </row>
    <row r="14787" spans="1:4" ht="12.75" customHeight="1" x14ac:dyDescent="0.2">
      <c r="A14787" s="21"/>
      <c r="B14787" s="21"/>
      <c r="C14787" s="8" t="s">
        <v>398</v>
      </c>
      <c r="D14787" s="1" t="str">
        <f>HYPERLINK("javascript:void(0)","csatatüske")</f>
        <v>csatatüske</v>
      </c>
    </row>
    <row r="14788" spans="1:4" ht="12.75" customHeight="1" x14ac:dyDescent="0.2">
      <c r="A14788" s="21"/>
      <c r="B14788" s="2"/>
      <c r="C14788" s="7"/>
      <c r="D14788" s="7"/>
    </row>
    <row r="14789" spans="1:4" ht="12.75" customHeight="1" x14ac:dyDescent="0.2">
      <c r="A14789" s="21"/>
      <c r="B14789" s="2"/>
      <c r="C14789" s="7"/>
      <c r="D14789" s="7"/>
    </row>
    <row r="14790" spans="1:4" ht="12.75" customHeight="1" x14ac:dyDescent="0.2">
      <c r="A14790" s="21"/>
      <c r="B14790" s="2"/>
      <c r="C14790" s="7"/>
      <c r="D14790" s="7"/>
    </row>
    <row r="14791" spans="1:4" ht="12.75" customHeight="1" x14ac:dyDescent="0.2">
      <c r="A14791" s="21"/>
      <c r="B14791" s="2"/>
      <c r="C14791" s="7"/>
      <c r="D14791" s="7"/>
    </row>
    <row r="14792" spans="1:4" ht="12.75" customHeight="1" x14ac:dyDescent="0.2">
      <c r="A14792" s="5"/>
      <c r="B14792" s="2"/>
      <c r="C14792" s="7"/>
      <c r="D14792" s="7"/>
    </row>
    <row r="14793" spans="1:4" ht="12.75" customHeight="1" x14ac:dyDescent="0.2">
      <c r="A14793" s="22" t="str">
        <f>HYPERLINK("javascript:void(0)","méregpáncél")</f>
        <v>méregpáncél</v>
      </c>
      <c r="B14793" s="21"/>
      <c r="C14793" s="21"/>
      <c r="D14793" s="21"/>
    </row>
    <row r="14794" spans="1:4" ht="12.75" customHeight="1" x14ac:dyDescent="0.2">
      <c r="A14794" s="20"/>
      <c r="B14794" s="2"/>
      <c r="C14794" s="7"/>
      <c r="D14794" s="7"/>
    </row>
    <row r="14795" spans="1:4" ht="12.75" customHeight="1" x14ac:dyDescent="0.2">
      <c r="A14795" s="21"/>
      <c r="B14795" s="3" t="s">
        <v>0</v>
      </c>
      <c r="C14795" s="23" t="s">
        <v>305</v>
      </c>
      <c r="D14795" s="21"/>
    </row>
    <row r="14796" spans="1:4" ht="12.75" customHeight="1" x14ac:dyDescent="0.2">
      <c r="A14796" s="21"/>
      <c r="B14796" s="3" t="s">
        <v>2</v>
      </c>
      <c r="C14796" s="23" t="s">
        <v>2322</v>
      </c>
      <c r="D14796" s="21"/>
    </row>
    <row r="14797" spans="1:4" ht="12.75" customHeight="1" x14ac:dyDescent="0.2">
      <c r="A14797" s="21"/>
      <c r="B14797" s="3" t="s">
        <v>1840</v>
      </c>
      <c r="C14797" s="23" t="s">
        <v>2522</v>
      </c>
      <c r="D14797" s="21"/>
    </row>
    <row r="14798" spans="1:4" ht="12.75" customHeight="1" x14ac:dyDescent="0.2">
      <c r="A14798" s="21"/>
      <c r="B14798" s="3" t="s">
        <v>9</v>
      </c>
      <c r="C14798" s="23" t="s">
        <v>2523</v>
      </c>
      <c r="D14798" s="21"/>
    </row>
    <row r="14799" spans="1:4" ht="12.75" customHeight="1" x14ac:dyDescent="0.2">
      <c r="A14799" s="21"/>
      <c r="B14799" s="3" t="s">
        <v>11</v>
      </c>
      <c r="C14799" s="23" t="s">
        <v>1565</v>
      </c>
      <c r="D14799" s="21"/>
    </row>
    <row r="14800" spans="1:4" ht="12.75" customHeight="1" x14ac:dyDescent="0.2">
      <c r="A14800" s="21"/>
      <c r="B14800" s="3" t="s">
        <v>16</v>
      </c>
      <c r="C14800" s="23"/>
      <c r="D14800" s="21"/>
    </row>
    <row r="14801" spans="1:4" ht="12.75" customHeight="1" x14ac:dyDescent="0.2">
      <c r="A14801" s="21"/>
      <c r="B14801" s="3" t="s">
        <v>17</v>
      </c>
      <c r="C14801" s="23" t="s">
        <v>19</v>
      </c>
      <c r="D14801" s="21"/>
    </row>
    <row r="14802" spans="1:4" ht="12.75" customHeight="1" x14ac:dyDescent="0.2">
      <c r="A14802" s="21"/>
      <c r="B14802" s="20" t="s">
        <v>18</v>
      </c>
      <c r="C14802" s="8" t="s">
        <v>296</v>
      </c>
      <c r="D14802" s="1" t="str">
        <f>HYPERLINK("javascript:void(0)","méregcsepp")</f>
        <v>méregcsepp</v>
      </c>
    </row>
    <row r="14803" spans="1:4" ht="12.75" customHeight="1" x14ac:dyDescent="0.2">
      <c r="A14803" s="21"/>
      <c r="B14803" s="21"/>
      <c r="C14803" s="8" t="s">
        <v>296</v>
      </c>
      <c r="D14803" s="1" t="str">
        <f>HYPERLINK("javascript:void(0)","szikracsóva")</f>
        <v>szikracsóva</v>
      </c>
    </row>
    <row r="14804" spans="1:4" ht="12.75" customHeight="1" x14ac:dyDescent="0.2">
      <c r="A14804" s="21"/>
      <c r="B14804" s="21"/>
      <c r="C14804" s="8" t="s">
        <v>1536</v>
      </c>
      <c r="D14804" s="1" t="str">
        <f>HYPERLINK("javascript:void(0)","pillepikkely")</f>
        <v>pillepikkely</v>
      </c>
    </row>
    <row r="14805" spans="1:4" ht="12.75" customHeight="1" x14ac:dyDescent="0.2">
      <c r="A14805" s="21"/>
      <c r="B14805" s="2"/>
      <c r="C14805" s="7"/>
      <c r="D14805" s="7"/>
    </row>
    <row r="14806" spans="1:4" ht="12.75" customHeight="1" x14ac:dyDescent="0.2">
      <c r="A14806" s="21"/>
      <c r="B14806" s="2"/>
      <c r="C14806" s="7"/>
      <c r="D14806" s="7"/>
    </row>
    <row r="14807" spans="1:4" ht="12.75" customHeight="1" x14ac:dyDescent="0.2">
      <c r="A14807" s="21"/>
      <c r="B14807" s="2"/>
      <c r="C14807" s="7"/>
      <c r="D14807" s="7"/>
    </row>
    <row r="14808" spans="1:4" ht="12.75" customHeight="1" x14ac:dyDescent="0.2">
      <c r="A14808" s="21"/>
      <c r="B14808" s="2"/>
      <c r="C14808" s="7"/>
      <c r="D14808" s="7"/>
    </row>
    <row r="14809" spans="1:4" ht="12.75" customHeight="1" x14ac:dyDescent="0.2">
      <c r="A14809" s="5"/>
      <c r="B14809" s="2"/>
      <c r="C14809" s="7"/>
      <c r="D14809" s="7"/>
    </row>
    <row r="14810" spans="1:4" ht="12.75" customHeight="1" x14ac:dyDescent="0.2">
      <c r="A14810" s="22" t="str">
        <f>HYPERLINK("javascript:void(0)","huzalsüveg")</f>
        <v>huzalsüveg</v>
      </c>
      <c r="B14810" s="21"/>
      <c r="C14810" s="21"/>
      <c r="D14810" s="21"/>
    </row>
    <row r="14811" spans="1:4" ht="12.75" customHeight="1" x14ac:dyDescent="0.2">
      <c r="A14811" s="20"/>
      <c r="B14811" s="2"/>
      <c r="C14811" s="7"/>
      <c r="D14811" s="7"/>
    </row>
    <row r="14812" spans="1:4" ht="12.75" customHeight="1" x14ac:dyDescent="0.2">
      <c r="A14812" s="21"/>
      <c r="B14812" s="3" t="s">
        <v>0</v>
      </c>
      <c r="C14812" s="23" t="s">
        <v>305</v>
      </c>
      <c r="D14812" s="21"/>
    </row>
    <row r="14813" spans="1:4" ht="12.75" customHeight="1" x14ac:dyDescent="0.2">
      <c r="A14813" s="21"/>
      <c r="B14813" s="3" t="s">
        <v>2</v>
      </c>
      <c r="C14813" s="23"/>
      <c r="D14813" s="21"/>
    </row>
    <row r="14814" spans="1:4" ht="12.75" customHeight="1" x14ac:dyDescent="0.2">
      <c r="A14814" s="21"/>
      <c r="B14814" s="3" t="s">
        <v>1840</v>
      </c>
      <c r="C14814" s="23" t="s">
        <v>5541</v>
      </c>
      <c r="D14814" s="21"/>
    </row>
    <row r="14815" spans="1:4" ht="12.75" customHeight="1" x14ac:dyDescent="0.2">
      <c r="A14815" s="21"/>
      <c r="B14815" s="3" t="s">
        <v>9</v>
      </c>
      <c r="C14815" s="23" t="s">
        <v>1144</v>
      </c>
      <c r="D14815" s="21"/>
    </row>
    <row r="14816" spans="1:4" ht="12.75" customHeight="1" x14ac:dyDescent="0.2">
      <c r="A14816" s="21"/>
      <c r="B14816" s="3" t="s">
        <v>11</v>
      </c>
      <c r="C14816" s="23" t="s">
        <v>1565</v>
      </c>
      <c r="D14816" s="21"/>
    </row>
    <row r="14817" spans="1:4" ht="12.75" customHeight="1" x14ac:dyDescent="0.2">
      <c r="A14817" s="21"/>
      <c r="B14817" s="3" t="s">
        <v>16</v>
      </c>
      <c r="C14817" s="23"/>
      <c r="D14817" s="21"/>
    </row>
    <row r="14818" spans="1:4" ht="12.75" customHeight="1" x14ac:dyDescent="0.2">
      <c r="A14818" s="21"/>
      <c r="B14818" s="3" t="s">
        <v>17</v>
      </c>
      <c r="C14818" s="23" t="s">
        <v>19</v>
      </c>
      <c r="D14818" s="21"/>
    </row>
    <row r="14819" spans="1:4" ht="12.75" customHeight="1" x14ac:dyDescent="0.2">
      <c r="A14819" s="21"/>
      <c r="B14819" s="20" t="s">
        <v>18</v>
      </c>
      <c r="C14819" s="8" t="s">
        <v>44</v>
      </c>
      <c r="D14819" s="1" t="str">
        <f>HYPERLINK("javascript:void(0)","gyűrűsisak")</f>
        <v>gyűrűsisak</v>
      </c>
    </row>
    <row r="14820" spans="1:4" ht="12.75" customHeight="1" x14ac:dyDescent="0.2">
      <c r="A14820" s="21"/>
      <c r="B14820" s="21"/>
      <c r="C14820" s="8" t="s">
        <v>309</v>
      </c>
      <c r="D14820" s="1" t="str">
        <f>HYPERLINK("javascript:void(0)","monsztabéklyó")</f>
        <v>monsztabéklyó</v>
      </c>
    </row>
    <row r="14821" spans="1:4" ht="12.75" customHeight="1" x14ac:dyDescent="0.2">
      <c r="A14821" s="21"/>
      <c r="B14821" s="21"/>
      <c r="C14821" s="8" t="s">
        <v>240</v>
      </c>
      <c r="D14821" s="1" t="str">
        <f>HYPERLINK("javascript:void(0)","drótkosár")</f>
        <v>drótkosár</v>
      </c>
    </row>
    <row r="14822" spans="1:4" ht="12.75" customHeight="1" x14ac:dyDescent="0.2">
      <c r="A14822" s="21"/>
      <c r="B14822" s="2"/>
      <c r="C14822" s="7"/>
      <c r="D14822" s="7"/>
    </row>
    <row r="14823" spans="1:4" ht="12.75" customHeight="1" x14ac:dyDescent="0.2">
      <c r="A14823" s="21"/>
      <c r="B14823" s="2"/>
      <c r="C14823" s="7"/>
      <c r="D14823" s="7"/>
    </row>
    <row r="14824" spans="1:4" ht="12.75" customHeight="1" x14ac:dyDescent="0.2">
      <c r="A14824" s="21"/>
      <c r="B14824" s="2"/>
      <c r="C14824" s="7"/>
      <c r="D14824" s="7"/>
    </row>
    <row r="14825" spans="1:4" ht="12.75" customHeight="1" x14ac:dyDescent="0.2">
      <c r="A14825" s="21"/>
      <c r="B14825" s="2"/>
      <c r="C14825" s="7"/>
      <c r="D14825" s="7"/>
    </row>
    <row r="14826" spans="1:4" ht="12.75" customHeight="1" x14ac:dyDescent="0.2">
      <c r="A14826" s="5"/>
      <c r="B14826" s="2"/>
      <c r="C14826" s="7"/>
      <c r="D14826" s="7"/>
    </row>
    <row r="14827" spans="1:4" ht="12.75" customHeight="1" x14ac:dyDescent="0.2">
      <c r="A14827" s="22" t="str">
        <f>HYPERLINK("javascript:void(0)","diffuziomokaszin")</f>
        <v>diffuziomokaszin</v>
      </c>
      <c r="B14827" s="21"/>
      <c r="C14827" s="21"/>
      <c r="D14827" s="21"/>
    </row>
    <row r="14828" spans="1:4" ht="12.75" customHeight="1" x14ac:dyDescent="0.2">
      <c r="A14828" s="20"/>
      <c r="B14828" s="2"/>
      <c r="C14828" s="7"/>
      <c r="D14828" s="7"/>
    </row>
    <row r="14829" spans="1:4" ht="12.75" customHeight="1" x14ac:dyDescent="0.2">
      <c r="A14829" s="21"/>
      <c r="B14829" s="3" t="s">
        <v>0</v>
      </c>
      <c r="C14829" s="23" t="s">
        <v>305</v>
      </c>
      <c r="D14829" s="21"/>
    </row>
    <row r="14830" spans="1:4" ht="12.75" customHeight="1" x14ac:dyDescent="0.2">
      <c r="A14830" s="21"/>
      <c r="B14830" s="3" t="s">
        <v>2</v>
      </c>
      <c r="C14830" s="23"/>
      <c r="D14830" s="21"/>
    </row>
    <row r="14831" spans="1:4" ht="12.75" customHeight="1" x14ac:dyDescent="0.2">
      <c r="A14831" s="21"/>
      <c r="B14831" s="3" t="s">
        <v>1840</v>
      </c>
      <c r="C14831" s="23" t="s">
        <v>2197</v>
      </c>
      <c r="D14831" s="21"/>
    </row>
    <row r="14832" spans="1:4" ht="12.75" customHeight="1" x14ac:dyDescent="0.2">
      <c r="A14832" s="21"/>
      <c r="B14832" s="3" t="s">
        <v>9</v>
      </c>
      <c r="C14832" s="23" t="s">
        <v>678</v>
      </c>
      <c r="D14832" s="21"/>
    </row>
    <row r="14833" spans="1:4" ht="12.75" customHeight="1" x14ac:dyDescent="0.2">
      <c r="A14833" s="21"/>
      <c r="B14833" s="3" t="s">
        <v>11</v>
      </c>
      <c r="C14833" s="23" t="s">
        <v>1577</v>
      </c>
      <c r="D14833" s="21"/>
    </row>
    <row r="14834" spans="1:4" ht="12.75" customHeight="1" x14ac:dyDescent="0.2">
      <c r="A14834" s="21"/>
      <c r="B14834" s="3" t="s">
        <v>16</v>
      </c>
      <c r="C14834" s="23"/>
      <c r="D14834" s="21"/>
    </row>
    <row r="14835" spans="1:4" ht="12.75" customHeight="1" x14ac:dyDescent="0.2">
      <c r="A14835" s="21"/>
      <c r="B14835" s="3" t="s">
        <v>17</v>
      </c>
      <c r="C14835" s="23" t="s">
        <v>19</v>
      </c>
      <c r="D14835" s="21"/>
    </row>
    <row r="14836" spans="1:4" ht="12.75" customHeight="1" x14ac:dyDescent="0.2">
      <c r="A14836" s="21"/>
      <c r="B14836" s="20" t="s">
        <v>18</v>
      </c>
      <c r="C14836" s="8" t="s">
        <v>44</v>
      </c>
      <c r="D14836" s="1" t="str">
        <f>HYPERLINK("javascript:void(0)","csatasaru")</f>
        <v>csatasaru</v>
      </c>
    </row>
    <row r="14837" spans="1:4" ht="12.75" customHeight="1" x14ac:dyDescent="0.2">
      <c r="A14837" s="21"/>
      <c r="B14837" s="21"/>
      <c r="C14837" s="8" t="s">
        <v>44</v>
      </c>
      <c r="D14837" s="1" t="str">
        <f>HYPERLINK("javascript:void(0)","szarusaru")</f>
        <v>szarusaru</v>
      </c>
    </row>
    <row r="14838" spans="1:4" ht="12.75" customHeight="1" x14ac:dyDescent="0.2">
      <c r="A14838" s="21"/>
      <c r="B14838" s="21"/>
      <c r="C14838" s="8" t="s">
        <v>44</v>
      </c>
      <c r="D14838" s="1" t="str">
        <f>HYPERLINK("javascript:void(0)","diffuziofűző")</f>
        <v>diffuziofűző</v>
      </c>
    </row>
    <row r="14839" spans="1:4" ht="12.75" customHeight="1" x14ac:dyDescent="0.2">
      <c r="A14839" s="21"/>
      <c r="B14839" s="2"/>
      <c r="C14839" s="7"/>
      <c r="D14839" s="7"/>
    </row>
    <row r="14840" spans="1:4" ht="12.75" customHeight="1" x14ac:dyDescent="0.2">
      <c r="A14840" s="21"/>
      <c r="B14840" s="2"/>
      <c r="C14840" s="7"/>
      <c r="D14840" s="7"/>
    </row>
    <row r="14841" spans="1:4" ht="12.75" customHeight="1" x14ac:dyDescent="0.2">
      <c r="A14841" s="21"/>
      <c r="B14841" s="2"/>
      <c r="C14841" s="7"/>
      <c r="D14841" s="7"/>
    </row>
    <row r="14842" spans="1:4" ht="12.75" customHeight="1" x14ac:dyDescent="0.2">
      <c r="A14842" s="21"/>
      <c r="B14842" s="2"/>
      <c r="C14842" s="7"/>
      <c r="D14842" s="7"/>
    </row>
    <row r="14843" spans="1:4" ht="12.75" customHeight="1" x14ac:dyDescent="0.2">
      <c r="A14843" s="5"/>
      <c r="B14843" s="2"/>
      <c r="C14843" s="7"/>
      <c r="D14843" s="7"/>
    </row>
    <row r="14844" spans="1:4" ht="12.75" customHeight="1" x14ac:dyDescent="0.2">
      <c r="A14844" s="22" t="str">
        <f>HYPERLINK("javascript:void(0)","szaru testpajzs")</f>
        <v>szaru testpajzs</v>
      </c>
      <c r="B14844" s="21"/>
      <c r="C14844" s="21"/>
      <c r="D14844" s="21"/>
    </row>
    <row r="14845" spans="1:4" ht="12.75" customHeight="1" x14ac:dyDescent="0.2">
      <c r="A14845" s="20"/>
      <c r="B14845" s="2"/>
      <c r="C14845" s="7"/>
      <c r="D14845" s="7"/>
    </row>
    <row r="14846" spans="1:4" ht="12.75" customHeight="1" x14ac:dyDescent="0.2">
      <c r="A14846" s="21"/>
      <c r="B14846" s="3" t="s">
        <v>0</v>
      </c>
      <c r="C14846" s="23" t="s">
        <v>305</v>
      </c>
      <c r="D14846" s="21"/>
    </row>
    <row r="14847" spans="1:4" ht="12.75" customHeight="1" x14ac:dyDescent="0.2">
      <c r="A14847" s="21"/>
      <c r="B14847" s="3" t="s">
        <v>2</v>
      </c>
      <c r="C14847" s="23" t="s">
        <v>1839</v>
      </c>
      <c r="D14847" s="21"/>
    </row>
    <row r="14848" spans="1:4" ht="12.75" customHeight="1" x14ac:dyDescent="0.2">
      <c r="A14848" s="21"/>
      <c r="B14848" s="3" t="s">
        <v>1840</v>
      </c>
      <c r="C14848" s="23" t="s">
        <v>5549</v>
      </c>
      <c r="D14848" s="21"/>
    </row>
    <row r="14849" spans="1:4" ht="12.75" customHeight="1" x14ac:dyDescent="0.2">
      <c r="A14849" s="21"/>
      <c r="B14849" s="3" t="s">
        <v>9</v>
      </c>
      <c r="C14849" s="23" t="s">
        <v>300</v>
      </c>
      <c r="D14849" s="21"/>
    </row>
    <row r="14850" spans="1:4" ht="12.75" customHeight="1" x14ac:dyDescent="0.2">
      <c r="A14850" s="21"/>
      <c r="B14850" s="3" t="s">
        <v>11</v>
      </c>
      <c r="C14850" s="23" t="s">
        <v>2222</v>
      </c>
      <c r="D14850" s="21"/>
    </row>
    <row r="14851" spans="1:4" ht="12.75" customHeight="1" x14ac:dyDescent="0.2">
      <c r="A14851" s="21"/>
      <c r="B14851" s="3" t="s">
        <v>16</v>
      </c>
      <c r="C14851" s="23"/>
      <c r="D14851" s="21"/>
    </row>
    <row r="14852" spans="1:4" ht="12.75" customHeight="1" x14ac:dyDescent="0.2">
      <c r="A14852" s="21"/>
      <c r="B14852" s="3" t="s">
        <v>17</v>
      </c>
      <c r="C14852" s="23" t="s">
        <v>19</v>
      </c>
      <c r="D14852" s="21"/>
    </row>
    <row r="14853" spans="1:4" ht="12.75" customHeight="1" x14ac:dyDescent="0.2">
      <c r="A14853" s="21"/>
      <c r="B14853" s="20" t="s">
        <v>18</v>
      </c>
      <c r="C14853" s="8" t="s">
        <v>44</v>
      </c>
      <c r="D14853" s="1" t="str">
        <f>HYPERLINK("javascript:void(0)","szélfogó testpajzs")</f>
        <v>szélfogó testpajzs</v>
      </c>
    </row>
    <row r="14854" spans="1:4" ht="12.75" customHeight="1" x14ac:dyDescent="0.2">
      <c r="A14854" s="21"/>
      <c r="B14854" s="21"/>
      <c r="C14854" s="8" t="s">
        <v>290</v>
      </c>
      <c r="D14854" s="1" t="str">
        <f>HYPERLINK("javascript:void(0)","méregcsepp")</f>
        <v>méregcsepp</v>
      </c>
    </row>
    <row r="14855" spans="1:4" ht="12.75" customHeight="1" x14ac:dyDescent="0.2">
      <c r="A14855" s="21"/>
      <c r="B14855" s="21"/>
      <c r="C14855" s="8" t="s">
        <v>756</v>
      </c>
      <c r="D14855" s="1" t="str">
        <f>HYPERLINK("javascript:void(0)","rojt")</f>
        <v>rojt</v>
      </c>
    </row>
    <row r="14856" spans="1:4" ht="12.75" customHeight="1" x14ac:dyDescent="0.2">
      <c r="A14856" s="21"/>
      <c r="B14856" s="2"/>
      <c r="C14856" s="7"/>
      <c r="D14856" s="7"/>
    </row>
    <row r="14857" spans="1:4" ht="12.75" customHeight="1" x14ac:dyDescent="0.2">
      <c r="A14857" s="21"/>
      <c r="B14857" s="2"/>
      <c r="C14857" s="7"/>
      <c r="D14857" s="7"/>
    </row>
    <row r="14858" spans="1:4" ht="12.75" customHeight="1" x14ac:dyDescent="0.2">
      <c r="A14858" s="21"/>
      <c r="B14858" s="2"/>
      <c r="C14858" s="7"/>
      <c r="D14858" s="7"/>
    </row>
    <row r="14859" spans="1:4" ht="12.75" customHeight="1" x14ac:dyDescent="0.2">
      <c r="A14859" s="21"/>
      <c r="B14859" s="2"/>
      <c r="C14859" s="7"/>
      <c r="D14859" s="7"/>
    </row>
    <row r="14860" spans="1:4" ht="12.75" customHeight="1" x14ac:dyDescent="0.2">
      <c r="A14860" s="5"/>
      <c r="B14860" s="2"/>
      <c r="C14860" s="7"/>
      <c r="D14860" s="7"/>
    </row>
    <row r="14861" spans="1:4" ht="12.75" customHeight="1" x14ac:dyDescent="0.2">
      <c r="A14861" s="22" t="str">
        <f>HYPERLINK("javascript:void(0)","hypnoacél szellempajzs")</f>
        <v>hypnoacél szellempajzs</v>
      </c>
      <c r="B14861" s="21"/>
      <c r="C14861" s="21"/>
      <c r="D14861" s="21"/>
    </row>
    <row r="14862" spans="1:4" ht="12.75" customHeight="1" x14ac:dyDescent="0.2">
      <c r="A14862" s="20"/>
      <c r="B14862" s="2"/>
      <c r="C14862" s="7"/>
      <c r="D14862" s="7"/>
    </row>
    <row r="14863" spans="1:4" ht="12.75" customHeight="1" x14ac:dyDescent="0.2">
      <c r="A14863" s="21"/>
      <c r="B14863" s="3" t="s">
        <v>0</v>
      </c>
      <c r="C14863" s="23" t="s">
        <v>305</v>
      </c>
      <c r="D14863" s="21"/>
    </row>
    <row r="14864" spans="1:4" ht="12.75" customHeight="1" x14ac:dyDescent="0.2">
      <c r="A14864" s="21"/>
      <c r="B14864" s="3" t="s">
        <v>2</v>
      </c>
      <c r="C14864" s="23" t="s">
        <v>1839</v>
      </c>
      <c r="D14864" s="21"/>
    </row>
    <row r="14865" spans="1:4" ht="12.75" customHeight="1" x14ac:dyDescent="0.2">
      <c r="A14865" s="21"/>
      <c r="B14865" s="3" t="s">
        <v>1840</v>
      </c>
      <c r="C14865" s="23" t="s">
        <v>5549</v>
      </c>
      <c r="D14865" s="21"/>
    </row>
    <row r="14866" spans="1:4" ht="12.75" customHeight="1" x14ac:dyDescent="0.2">
      <c r="A14866" s="21"/>
      <c r="B14866" s="3" t="s">
        <v>9</v>
      </c>
      <c r="C14866" s="23" t="s">
        <v>4972</v>
      </c>
      <c r="D14866" s="21"/>
    </row>
    <row r="14867" spans="1:4" ht="12.75" customHeight="1" x14ac:dyDescent="0.2">
      <c r="A14867" s="21"/>
      <c r="B14867" s="3" t="s">
        <v>11</v>
      </c>
      <c r="C14867" s="23" t="s">
        <v>2232</v>
      </c>
      <c r="D14867" s="21"/>
    </row>
    <row r="14868" spans="1:4" ht="12.75" customHeight="1" x14ac:dyDescent="0.2">
      <c r="A14868" s="21"/>
      <c r="B14868" s="3" t="s">
        <v>16</v>
      </c>
      <c r="C14868" s="23"/>
      <c r="D14868" s="21"/>
    </row>
    <row r="14869" spans="1:4" ht="12.75" customHeight="1" x14ac:dyDescent="0.2">
      <c r="A14869" s="21"/>
      <c r="B14869" s="3" t="s">
        <v>17</v>
      </c>
      <c r="C14869" s="23" t="s">
        <v>19</v>
      </c>
      <c r="D14869" s="21"/>
    </row>
    <row r="14870" spans="1:4" ht="12.75" customHeight="1" x14ac:dyDescent="0.2">
      <c r="A14870" s="21"/>
      <c r="B14870" s="20" t="s">
        <v>18</v>
      </c>
      <c r="C14870" s="8" t="s">
        <v>44</v>
      </c>
      <c r="D14870" s="1" t="str">
        <f>HYPERLINK("javascript:void(0)","szaru testpajzs")</f>
        <v>szaru testpajzs</v>
      </c>
    </row>
    <row r="14871" spans="1:4" ht="12.75" customHeight="1" x14ac:dyDescent="0.2">
      <c r="A14871" s="21"/>
      <c r="B14871" s="21"/>
      <c r="C14871" s="8" t="s">
        <v>2140</v>
      </c>
      <c r="D14871" s="1" t="str">
        <f>HYPERLINK("javascript:void(0)","trolltartó")</f>
        <v>trolltartó</v>
      </c>
    </row>
    <row r="14872" spans="1:4" ht="12.75" customHeight="1" x14ac:dyDescent="0.2">
      <c r="A14872" s="21"/>
      <c r="B14872" s="21"/>
      <c r="C14872" s="8" t="s">
        <v>193</v>
      </c>
      <c r="D14872" s="1" t="str">
        <f>HYPERLINK("javascript:void(0)","drótkosár")</f>
        <v>drótkosár</v>
      </c>
    </row>
    <row r="14873" spans="1:4" ht="12.75" customHeight="1" x14ac:dyDescent="0.2">
      <c r="A14873" s="21"/>
      <c r="B14873" s="2"/>
      <c r="C14873" s="7"/>
      <c r="D14873" s="7"/>
    </row>
    <row r="14874" spans="1:4" ht="12.75" customHeight="1" x14ac:dyDescent="0.2">
      <c r="A14874" s="21"/>
      <c r="B14874" s="2"/>
      <c r="C14874" s="7"/>
      <c r="D14874" s="7"/>
    </row>
    <row r="14875" spans="1:4" ht="12.75" customHeight="1" x14ac:dyDescent="0.2">
      <c r="A14875" s="21"/>
      <c r="B14875" s="2"/>
      <c r="C14875" s="7"/>
      <c r="D14875" s="7"/>
    </row>
    <row r="14876" spans="1:4" ht="12.75" customHeight="1" x14ac:dyDescent="0.2">
      <c r="A14876" s="21"/>
      <c r="B14876" s="2"/>
      <c r="C14876" s="7"/>
      <c r="D14876" s="7"/>
    </row>
    <row r="14877" spans="1:4" ht="12.75" customHeight="1" x14ac:dyDescent="0.2">
      <c r="A14877" s="5"/>
      <c r="B14877" s="2"/>
      <c r="C14877" s="7"/>
      <c r="D14877" s="7"/>
    </row>
    <row r="14878" spans="1:4" ht="12.75" customHeight="1" x14ac:dyDescent="0.2">
      <c r="A14878" s="22" t="str">
        <f>HYPERLINK("javascript:void(0)","diffuziofűző")</f>
        <v>diffuziofűző</v>
      </c>
      <c r="B14878" s="21"/>
      <c r="C14878" s="21"/>
      <c r="D14878" s="21"/>
    </row>
    <row r="14879" spans="1:4" ht="12.75" customHeight="1" x14ac:dyDescent="0.2">
      <c r="A14879" s="20"/>
      <c r="B14879" s="2"/>
      <c r="C14879" s="7"/>
      <c r="D14879" s="7"/>
    </row>
    <row r="14880" spans="1:4" ht="12.75" customHeight="1" x14ac:dyDescent="0.2">
      <c r="A14880" s="21"/>
      <c r="B14880" s="3" t="s">
        <v>0</v>
      </c>
      <c r="C14880" s="23" t="s">
        <v>305</v>
      </c>
      <c r="D14880" s="21"/>
    </row>
    <row r="14881" spans="1:4" ht="12.75" customHeight="1" x14ac:dyDescent="0.2">
      <c r="A14881" s="21"/>
      <c r="B14881" s="3" t="s">
        <v>2</v>
      </c>
      <c r="C14881" s="23"/>
      <c r="D14881" s="21"/>
    </row>
    <row r="14882" spans="1:4" ht="12.75" customHeight="1" x14ac:dyDescent="0.2">
      <c r="A14882" s="21"/>
      <c r="B14882" s="3" t="s">
        <v>1840</v>
      </c>
      <c r="C14882" s="23" t="s">
        <v>651</v>
      </c>
      <c r="D14882" s="21"/>
    </row>
    <row r="14883" spans="1:4" ht="12.75" customHeight="1" x14ac:dyDescent="0.2">
      <c r="A14883" s="21"/>
      <c r="B14883" s="3" t="s">
        <v>9</v>
      </c>
      <c r="C14883" s="23" t="s">
        <v>70</v>
      </c>
      <c r="D14883" s="21"/>
    </row>
    <row r="14884" spans="1:4" ht="12.75" customHeight="1" x14ac:dyDescent="0.2">
      <c r="A14884" s="21"/>
      <c r="B14884" s="3" t="s">
        <v>11</v>
      </c>
      <c r="C14884" s="23" t="s">
        <v>2199</v>
      </c>
      <c r="D14884" s="21"/>
    </row>
    <row r="14885" spans="1:4" ht="12.75" customHeight="1" x14ac:dyDescent="0.2">
      <c r="A14885" s="21"/>
      <c r="B14885" s="3" t="s">
        <v>16</v>
      </c>
      <c r="C14885" s="23"/>
      <c r="D14885" s="21"/>
    </row>
    <row r="14886" spans="1:4" ht="12.75" customHeight="1" x14ac:dyDescent="0.2">
      <c r="A14886" s="21"/>
      <c r="B14886" s="3" t="s">
        <v>17</v>
      </c>
      <c r="C14886" s="23" t="s">
        <v>19</v>
      </c>
      <c r="D14886" s="21"/>
    </row>
    <row r="14887" spans="1:4" ht="12.75" customHeight="1" x14ac:dyDescent="0.2">
      <c r="A14887" s="21"/>
      <c r="B14887" s="20" t="s">
        <v>18</v>
      </c>
      <c r="C14887" s="8" t="s">
        <v>63</v>
      </c>
      <c r="D14887" s="1" t="str">
        <f>HYPERLINK("javascript:void(0)","diffuzionit")</f>
        <v>diffuzionit</v>
      </c>
    </row>
    <row r="14888" spans="1:4" ht="12.75" customHeight="1" x14ac:dyDescent="0.2">
      <c r="A14888" s="21"/>
      <c r="B14888" s="21"/>
      <c r="C14888" s="8" t="s">
        <v>296</v>
      </c>
      <c r="D14888" s="1" t="str">
        <f>HYPERLINK("javascript:void(0)","drótkosár")</f>
        <v>drótkosár</v>
      </c>
    </row>
    <row r="14889" spans="1:4" ht="12.75" customHeight="1" x14ac:dyDescent="0.2">
      <c r="A14889" s="21"/>
      <c r="B14889" s="21"/>
      <c r="C14889" s="8" t="s">
        <v>420</v>
      </c>
      <c r="D14889" s="1" t="str">
        <f>HYPERLINK("javascript:void(0)","dobverő")</f>
        <v>dobverő</v>
      </c>
    </row>
    <row r="14890" spans="1:4" ht="12.75" customHeight="1" x14ac:dyDescent="0.2">
      <c r="A14890" s="21"/>
      <c r="B14890" s="2"/>
      <c r="C14890" s="7"/>
      <c r="D14890" s="7"/>
    </row>
    <row r="14891" spans="1:4" ht="12.75" customHeight="1" x14ac:dyDescent="0.2">
      <c r="A14891" s="21"/>
      <c r="B14891" s="2"/>
      <c r="C14891" s="7"/>
      <c r="D14891" s="7"/>
    </row>
    <row r="14892" spans="1:4" ht="12.75" customHeight="1" x14ac:dyDescent="0.2">
      <c r="A14892" s="21"/>
      <c r="B14892" s="2"/>
      <c r="C14892" s="7"/>
      <c r="D14892" s="7"/>
    </row>
    <row r="14893" spans="1:4" ht="12.75" customHeight="1" x14ac:dyDescent="0.2">
      <c r="A14893" s="21"/>
      <c r="B14893" s="2"/>
      <c r="C14893" s="7"/>
      <c r="D14893" s="7"/>
    </row>
    <row r="14894" spans="1:4" ht="12.75" customHeight="1" x14ac:dyDescent="0.2">
      <c r="A14894" s="5"/>
      <c r="B14894" s="2"/>
      <c r="C14894" s="7"/>
      <c r="D14894" s="7"/>
    </row>
    <row r="14895" spans="1:4" ht="12.75" customHeight="1" x14ac:dyDescent="0.2">
      <c r="A14895" s="22" t="str">
        <f>HYPERLINK("javascript:void(0)","csontvért")</f>
        <v>csontvért</v>
      </c>
      <c r="B14895" s="21"/>
      <c r="C14895" s="21"/>
      <c r="D14895" s="21"/>
    </row>
    <row r="14896" spans="1:4" ht="12.75" customHeight="1" x14ac:dyDescent="0.2">
      <c r="A14896" s="20"/>
      <c r="B14896" s="2"/>
      <c r="C14896" s="7"/>
      <c r="D14896" s="7"/>
    </row>
    <row r="14897" spans="1:4" ht="12.75" customHeight="1" x14ac:dyDescent="0.2">
      <c r="A14897" s="21"/>
      <c r="B14897" s="3" t="s">
        <v>0</v>
      </c>
      <c r="C14897" s="23" t="s">
        <v>1114</v>
      </c>
      <c r="D14897" s="21"/>
    </row>
    <row r="14898" spans="1:4" ht="12.75" customHeight="1" x14ac:dyDescent="0.2">
      <c r="A14898" s="21"/>
      <c r="B14898" s="3" t="s">
        <v>2</v>
      </c>
      <c r="C14898" s="23" t="s">
        <v>2322</v>
      </c>
      <c r="D14898" s="21"/>
    </row>
    <row r="14899" spans="1:4" ht="12.75" customHeight="1" x14ac:dyDescent="0.2">
      <c r="A14899" s="21"/>
      <c r="B14899" s="3" t="s">
        <v>1840</v>
      </c>
      <c r="C14899" s="23" t="s">
        <v>2524</v>
      </c>
      <c r="D14899" s="21"/>
    </row>
    <row r="14900" spans="1:4" ht="12.75" customHeight="1" x14ac:dyDescent="0.2">
      <c r="A14900" s="21"/>
      <c r="B14900" s="3" t="s">
        <v>9</v>
      </c>
      <c r="C14900" s="23" t="s">
        <v>2354</v>
      </c>
      <c r="D14900" s="21"/>
    </row>
    <row r="14901" spans="1:4" ht="12.75" customHeight="1" x14ac:dyDescent="0.2">
      <c r="A14901" s="21"/>
      <c r="B14901" s="3" t="s">
        <v>11</v>
      </c>
      <c r="C14901" s="23" t="s">
        <v>2190</v>
      </c>
      <c r="D14901" s="21"/>
    </row>
    <row r="14902" spans="1:4" ht="12.75" customHeight="1" x14ac:dyDescent="0.2">
      <c r="A14902" s="21"/>
      <c r="B14902" s="3" t="s">
        <v>16</v>
      </c>
      <c r="C14902" s="23"/>
      <c r="D14902" s="21"/>
    </row>
    <row r="14903" spans="1:4" ht="12.75" customHeight="1" x14ac:dyDescent="0.2">
      <c r="A14903" s="21"/>
      <c r="B14903" s="3" t="s">
        <v>17</v>
      </c>
      <c r="C14903" s="23" t="s">
        <v>19</v>
      </c>
      <c r="D14903" s="21"/>
    </row>
    <row r="14904" spans="1:4" ht="12.75" customHeight="1" x14ac:dyDescent="0.2">
      <c r="A14904" s="21"/>
      <c r="B14904" s="20" t="s">
        <v>18</v>
      </c>
      <c r="C14904" s="8" t="s">
        <v>44</v>
      </c>
      <c r="D14904" s="1" t="str">
        <f>HYPERLINK("javascript:void(0)","gyűrüsvért")</f>
        <v>gyűrüsvért</v>
      </c>
    </row>
    <row r="14905" spans="1:4" ht="12.75" customHeight="1" x14ac:dyDescent="0.2">
      <c r="A14905" s="21"/>
      <c r="B14905" s="21"/>
      <c r="C14905" s="8" t="s">
        <v>44</v>
      </c>
      <c r="D14905" s="1" t="str">
        <f>HYPERLINK("javascript:void(0)","méregpáncél")</f>
        <v>méregpáncél</v>
      </c>
    </row>
    <row r="14906" spans="1:4" ht="12.75" customHeight="1" x14ac:dyDescent="0.2">
      <c r="A14906" s="21"/>
      <c r="B14906" s="21"/>
      <c r="C14906" s="8" t="s">
        <v>44</v>
      </c>
      <c r="D14906" s="1" t="str">
        <f>HYPERLINK("javascript:void(0)","csontmellény")</f>
        <v>csontmellény</v>
      </c>
    </row>
    <row r="14907" spans="1:4" ht="12.75" customHeight="1" x14ac:dyDescent="0.2">
      <c r="A14907" s="21"/>
      <c r="B14907" s="2"/>
      <c r="C14907" s="7"/>
      <c r="D14907" s="7"/>
    </row>
    <row r="14908" spans="1:4" ht="12.75" customHeight="1" x14ac:dyDescent="0.2">
      <c r="A14908" s="21"/>
      <c r="B14908" s="2"/>
      <c r="C14908" s="7"/>
      <c r="D14908" s="7"/>
    </row>
    <row r="14909" spans="1:4" ht="12.75" customHeight="1" x14ac:dyDescent="0.2">
      <c r="A14909" s="21"/>
      <c r="B14909" s="2"/>
      <c r="C14909" s="7"/>
      <c r="D14909" s="7"/>
    </row>
    <row r="14910" spans="1:4" ht="12.75" customHeight="1" x14ac:dyDescent="0.2">
      <c r="A14910" s="21"/>
      <c r="B14910" s="2"/>
      <c r="C14910" s="7"/>
      <c r="D14910" s="7"/>
    </row>
    <row r="14911" spans="1:4" ht="12.75" customHeight="1" x14ac:dyDescent="0.2">
      <c r="A14911" s="5"/>
      <c r="B14911" s="2"/>
      <c r="C14911" s="7"/>
      <c r="D14911" s="7"/>
    </row>
    <row r="14912" spans="1:4" ht="12.75" customHeight="1" x14ac:dyDescent="0.2">
      <c r="A14912" s="22" t="str">
        <f>HYPERLINK("javascript:void(0)","ostorsüveg")</f>
        <v>ostorsüveg</v>
      </c>
      <c r="B14912" s="21"/>
      <c r="C14912" s="21"/>
      <c r="D14912" s="21"/>
    </row>
    <row r="14913" spans="1:4" ht="12.75" customHeight="1" x14ac:dyDescent="0.2">
      <c r="A14913" s="20"/>
      <c r="B14913" s="2"/>
      <c r="C14913" s="7"/>
      <c r="D14913" s="7"/>
    </row>
    <row r="14914" spans="1:4" ht="12.75" customHeight="1" x14ac:dyDescent="0.2">
      <c r="A14914" s="21"/>
      <c r="B14914" s="3" t="s">
        <v>0</v>
      </c>
      <c r="C14914" s="23" t="s">
        <v>1114</v>
      </c>
      <c r="D14914" s="21"/>
    </row>
    <row r="14915" spans="1:4" ht="12.75" customHeight="1" x14ac:dyDescent="0.2">
      <c r="A14915" s="21"/>
      <c r="B14915" s="3" t="s">
        <v>2</v>
      </c>
      <c r="C14915" s="23"/>
      <c r="D14915" s="21"/>
    </row>
    <row r="14916" spans="1:4" ht="12.75" customHeight="1" x14ac:dyDescent="0.2">
      <c r="A14916" s="21"/>
      <c r="B14916" s="3" t="s">
        <v>1840</v>
      </c>
      <c r="C14916" s="23" t="s">
        <v>543</v>
      </c>
      <c r="D14916" s="21"/>
    </row>
    <row r="14917" spans="1:4" ht="12.75" customHeight="1" x14ac:dyDescent="0.2">
      <c r="A14917" s="21"/>
      <c r="B14917" s="3" t="s">
        <v>9</v>
      </c>
      <c r="C14917" s="23" t="s">
        <v>812</v>
      </c>
      <c r="D14917" s="21"/>
    </row>
    <row r="14918" spans="1:4" ht="12.75" customHeight="1" x14ac:dyDescent="0.2">
      <c r="A14918" s="21"/>
      <c r="B14918" s="3" t="s">
        <v>11</v>
      </c>
      <c r="C14918" s="23" t="s">
        <v>2190</v>
      </c>
      <c r="D14918" s="21"/>
    </row>
    <row r="14919" spans="1:4" ht="12.75" customHeight="1" x14ac:dyDescent="0.2">
      <c r="A14919" s="21"/>
      <c r="B14919" s="3" t="s">
        <v>16</v>
      </c>
      <c r="C14919" s="23"/>
      <c r="D14919" s="21"/>
    </row>
    <row r="14920" spans="1:4" ht="12.75" customHeight="1" x14ac:dyDescent="0.2">
      <c r="A14920" s="21"/>
      <c r="B14920" s="3" t="s">
        <v>17</v>
      </c>
      <c r="C14920" s="23" t="s">
        <v>19</v>
      </c>
      <c r="D14920" s="21"/>
    </row>
    <row r="14921" spans="1:4" ht="12.75" customHeight="1" x14ac:dyDescent="0.2">
      <c r="A14921" s="21"/>
      <c r="B14921" s="20" t="s">
        <v>18</v>
      </c>
      <c r="C14921" s="8" t="s">
        <v>265</v>
      </c>
      <c r="D14921" s="1" t="str">
        <f>HYPERLINK("javascript:void(0)","rozmáragyar")</f>
        <v>rozmáragyar</v>
      </c>
    </row>
    <row r="14922" spans="1:4" ht="12.75" customHeight="1" x14ac:dyDescent="0.2">
      <c r="A14922" s="21"/>
      <c r="B14922" s="21"/>
      <c r="C14922" s="8" t="s">
        <v>265</v>
      </c>
      <c r="D14922" s="1" t="str">
        <f>HYPERLINK("javascript:void(0)","térszelet")</f>
        <v>térszelet</v>
      </c>
    </row>
    <row r="14923" spans="1:4" ht="12.75" customHeight="1" x14ac:dyDescent="0.2">
      <c r="A14923" s="21"/>
      <c r="B14923" s="21"/>
      <c r="C14923" s="8" t="s">
        <v>228</v>
      </c>
      <c r="D14923" s="1" t="str">
        <f>HYPERLINK("javascript:void(0)","ostornyelv")</f>
        <v>ostornyelv</v>
      </c>
    </row>
    <row r="14924" spans="1:4" ht="12.75" customHeight="1" x14ac:dyDescent="0.2">
      <c r="A14924" s="21"/>
      <c r="B14924" s="2"/>
      <c r="C14924" s="7"/>
      <c r="D14924" s="7"/>
    </row>
    <row r="14925" spans="1:4" ht="12.75" customHeight="1" x14ac:dyDescent="0.2">
      <c r="A14925" s="21"/>
      <c r="B14925" s="2"/>
      <c r="C14925" s="7"/>
      <c r="D14925" s="7"/>
    </row>
    <row r="14926" spans="1:4" ht="12.75" customHeight="1" x14ac:dyDescent="0.2">
      <c r="A14926" s="21"/>
      <c r="B14926" s="2"/>
      <c r="C14926" s="7"/>
      <c r="D14926" s="7"/>
    </row>
    <row r="14927" spans="1:4" ht="12.75" customHeight="1" x14ac:dyDescent="0.2">
      <c r="A14927" s="21"/>
      <c r="B14927" s="2"/>
      <c r="C14927" s="7"/>
      <c r="D14927" s="7"/>
    </row>
    <row r="14928" spans="1:4" ht="12.75" customHeight="1" x14ac:dyDescent="0.2">
      <c r="A14928" s="5"/>
      <c r="B14928" s="2"/>
      <c r="C14928" s="7"/>
      <c r="D14928" s="7"/>
    </row>
    <row r="14929" spans="1:4" ht="12.75" customHeight="1" x14ac:dyDescent="0.2">
      <c r="A14929" s="22" t="str">
        <f>HYPERLINK("javascript:void(0)","csontsaru")</f>
        <v>csontsaru</v>
      </c>
      <c r="B14929" s="21"/>
      <c r="C14929" s="21"/>
      <c r="D14929" s="21"/>
    </row>
    <row r="14930" spans="1:4" ht="12.75" customHeight="1" x14ac:dyDescent="0.2">
      <c r="A14930" s="20"/>
      <c r="B14930" s="2"/>
      <c r="C14930" s="7"/>
      <c r="D14930" s="7"/>
    </row>
    <row r="14931" spans="1:4" ht="12.75" customHeight="1" x14ac:dyDescent="0.2">
      <c r="A14931" s="21"/>
      <c r="B14931" s="3" t="s">
        <v>0</v>
      </c>
      <c r="C14931" s="23" t="s">
        <v>1114</v>
      </c>
      <c r="D14931" s="21"/>
    </row>
    <row r="14932" spans="1:4" ht="12.75" customHeight="1" x14ac:dyDescent="0.2">
      <c r="A14932" s="21"/>
      <c r="B14932" s="3" t="s">
        <v>2</v>
      </c>
      <c r="C14932" s="23"/>
      <c r="D14932" s="21"/>
    </row>
    <row r="14933" spans="1:4" ht="12.75" customHeight="1" x14ac:dyDescent="0.2">
      <c r="A14933" s="21"/>
      <c r="B14933" s="3" t="s">
        <v>1840</v>
      </c>
      <c r="C14933" s="23" t="s">
        <v>2186</v>
      </c>
      <c r="D14933" s="21"/>
    </row>
    <row r="14934" spans="1:4" ht="12.75" customHeight="1" x14ac:dyDescent="0.2">
      <c r="A14934" s="21"/>
      <c r="B14934" s="3" t="s">
        <v>9</v>
      </c>
      <c r="C14934" s="23" t="s">
        <v>1042</v>
      </c>
      <c r="D14934" s="21"/>
    </row>
    <row r="14935" spans="1:4" ht="12.75" customHeight="1" x14ac:dyDescent="0.2">
      <c r="A14935" s="21"/>
      <c r="B14935" s="3" t="s">
        <v>11</v>
      </c>
      <c r="C14935" s="23" t="s">
        <v>2201</v>
      </c>
      <c r="D14935" s="21"/>
    </row>
    <row r="14936" spans="1:4" ht="12.75" customHeight="1" x14ac:dyDescent="0.2">
      <c r="A14936" s="21"/>
      <c r="B14936" s="3" t="s">
        <v>16</v>
      </c>
      <c r="C14936" s="23"/>
      <c r="D14936" s="21"/>
    </row>
    <row r="14937" spans="1:4" ht="12.75" customHeight="1" x14ac:dyDescent="0.2">
      <c r="A14937" s="21"/>
      <c r="B14937" s="3" t="s">
        <v>17</v>
      </c>
      <c r="C14937" s="23" t="s">
        <v>19</v>
      </c>
      <c r="D14937" s="21"/>
    </row>
    <row r="14938" spans="1:4" ht="12.75" customHeight="1" x14ac:dyDescent="0.2">
      <c r="A14938" s="21"/>
      <c r="B14938" s="20" t="s">
        <v>18</v>
      </c>
      <c r="C14938" s="8" t="s">
        <v>44</v>
      </c>
      <c r="D14938" s="1" t="str">
        <f>HYPERLINK("javascript:void(0)","diffuziomokaszin")</f>
        <v>diffuziomokaszin</v>
      </c>
    </row>
    <row r="14939" spans="1:4" ht="12.75" customHeight="1" x14ac:dyDescent="0.2">
      <c r="A14939" s="21"/>
      <c r="B14939" s="21"/>
      <c r="C14939" s="8" t="s">
        <v>269</v>
      </c>
      <c r="D14939" s="1" t="str">
        <f>HYPERLINK("javascript:void(0)","bőrcsont")</f>
        <v>bőrcsont</v>
      </c>
    </row>
    <row r="14940" spans="1:4" ht="12.75" customHeight="1" x14ac:dyDescent="0.2">
      <c r="A14940" s="21"/>
      <c r="B14940" s="21"/>
      <c r="C14940" s="8" t="s">
        <v>780</v>
      </c>
      <c r="D14940" s="1" t="str">
        <f>HYPERLINK("javascript:void(0)","maxilla")</f>
        <v>maxilla</v>
      </c>
    </row>
    <row r="14941" spans="1:4" ht="12.75" customHeight="1" x14ac:dyDescent="0.2">
      <c r="A14941" s="21"/>
      <c r="B14941" s="2"/>
      <c r="C14941" s="7"/>
      <c r="D14941" s="7"/>
    </row>
    <row r="14942" spans="1:4" ht="12.75" customHeight="1" x14ac:dyDescent="0.2">
      <c r="A14942" s="21"/>
      <c r="B14942" s="2"/>
      <c r="C14942" s="7"/>
      <c r="D14942" s="7"/>
    </row>
    <row r="14943" spans="1:4" ht="12.75" customHeight="1" x14ac:dyDescent="0.2">
      <c r="A14943" s="21"/>
      <c r="B14943" s="2"/>
      <c r="C14943" s="7"/>
      <c r="D14943" s="7"/>
    </row>
    <row r="14944" spans="1:4" ht="12.75" customHeight="1" x14ac:dyDescent="0.2">
      <c r="A14944" s="21"/>
      <c r="B14944" s="2"/>
      <c r="C14944" s="7"/>
      <c r="D14944" s="7"/>
    </row>
    <row r="14945" spans="1:4" ht="12.75" customHeight="1" x14ac:dyDescent="0.2">
      <c r="A14945" s="5"/>
      <c r="B14945" s="2"/>
      <c r="C14945" s="7"/>
      <c r="D14945" s="7"/>
    </row>
    <row r="14946" spans="1:4" ht="12.75" customHeight="1" x14ac:dyDescent="0.2">
      <c r="A14946" s="22" t="str">
        <f>HYPERLINK("javascript:void(0)","csontlemezes pajzs")</f>
        <v>csontlemezes pajzs</v>
      </c>
      <c r="B14946" s="21"/>
      <c r="C14946" s="21"/>
      <c r="D14946" s="21"/>
    </row>
    <row r="14947" spans="1:4" ht="12.75" customHeight="1" x14ac:dyDescent="0.2">
      <c r="A14947" s="20"/>
      <c r="B14947" s="2"/>
      <c r="C14947" s="7"/>
      <c r="D14947" s="7"/>
    </row>
    <row r="14948" spans="1:4" ht="12.75" customHeight="1" x14ac:dyDescent="0.2">
      <c r="A14948" s="21"/>
      <c r="B14948" s="3" t="s">
        <v>0</v>
      </c>
      <c r="C14948" s="23" t="s">
        <v>1114</v>
      </c>
      <c r="D14948" s="21"/>
    </row>
    <row r="14949" spans="1:4" ht="12.75" customHeight="1" x14ac:dyDescent="0.2">
      <c r="A14949" s="21"/>
      <c r="B14949" s="3" t="s">
        <v>2</v>
      </c>
      <c r="C14949" s="23" t="s">
        <v>1839</v>
      </c>
      <c r="D14949" s="21"/>
    </row>
    <row r="14950" spans="1:4" ht="12.75" customHeight="1" x14ac:dyDescent="0.2">
      <c r="A14950" s="21"/>
      <c r="B14950" s="3" t="s">
        <v>1840</v>
      </c>
      <c r="C14950" s="23" t="s">
        <v>2848</v>
      </c>
      <c r="D14950" s="21"/>
    </row>
    <row r="14951" spans="1:4" ht="12.75" customHeight="1" x14ac:dyDescent="0.2">
      <c r="A14951" s="21"/>
      <c r="B14951" s="3" t="s">
        <v>9</v>
      </c>
      <c r="C14951" s="23" t="s">
        <v>198</v>
      </c>
      <c r="D14951" s="21"/>
    </row>
    <row r="14952" spans="1:4" ht="12.75" customHeight="1" x14ac:dyDescent="0.2">
      <c r="A14952" s="21"/>
      <c r="B14952" s="3" t="s">
        <v>11</v>
      </c>
      <c r="C14952" s="23" t="s">
        <v>1059</v>
      </c>
      <c r="D14952" s="21"/>
    </row>
    <row r="14953" spans="1:4" ht="12.75" customHeight="1" x14ac:dyDescent="0.2">
      <c r="A14953" s="21"/>
      <c r="B14953" s="3" t="s">
        <v>16</v>
      </c>
      <c r="C14953" s="23"/>
      <c r="D14953" s="21"/>
    </row>
    <row r="14954" spans="1:4" ht="12.75" customHeight="1" x14ac:dyDescent="0.2">
      <c r="A14954" s="21"/>
      <c r="B14954" s="3" t="s">
        <v>17</v>
      </c>
      <c r="C14954" s="23" t="s">
        <v>19</v>
      </c>
      <c r="D14954" s="21"/>
    </row>
    <row r="14955" spans="1:4" ht="12.75" customHeight="1" x14ac:dyDescent="0.2">
      <c r="A14955" s="21"/>
      <c r="B14955" s="20" t="s">
        <v>18</v>
      </c>
      <c r="C14955" s="8" t="s">
        <v>44</v>
      </c>
      <c r="D14955" s="1" t="str">
        <f>HYPERLINK("javascript:void(0)","szarupajzs")</f>
        <v>szarupajzs</v>
      </c>
    </row>
    <row r="14956" spans="1:4" ht="12.75" customHeight="1" x14ac:dyDescent="0.2">
      <c r="A14956" s="21"/>
      <c r="B14956" s="21"/>
      <c r="C14956" s="8" t="s">
        <v>316</v>
      </c>
      <c r="D14956" s="1" t="str">
        <f>HYPERLINK("javascript:void(0)","bőrcsont")</f>
        <v>bőrcsont</v>
      </c>
    </row>
    <row r="14957" spans="1:4" ht="12.75" customHeight="1" x14ac:dyDescent="0.2">
      <c r="A14957" s="21"/>
      <c r="B14957" s="21"/>
      <c r="C14957" s="8" t="s">
        <v>163</v>
      </c>
      <c r="D14957" s="1" t="str">
        <f>HYPERLINK("javascript:void(0)","ködpikkely")</f>
        <v>ködpikkely</v>
      </c>
    </row>
    <row r="14958" spans="1:4" ht="12.75" customHeight="1" x14ac:dyDescent="0.2">
      <c r="A14958" s="21"/>
      <c r="B14958" s="2"/>
      <c r="C14958" s="7"/>
      <c r="D14958" s="7"/>
    </row>
    <row r="14959" spans="1:4" ht="12.75" customHeight="1" x14ac:dyDescent="0.2">
      <c r="A14959" s="21"/>
      <c r="B14959" s="2"/>
      <c r="C14959" s="7"/>
      <c r="D14959" s="7"/>
    </row>
    <row r="14960" spans="1:4" ht="12.75" customHeight="1" x14ac:dyDescent="0.2">
      <c r="A14960" s="21"/>
      <c r="B14960" s="2"/>
      <c r="C14960" s="7"/>
      <c r="D14960" s="7"/>
    </row>
    <row r="14961" spans="1:4" ht="12.75" customHeight="1" x14ac:dyDescent="0.2">
      <c r="A14961" s="21"/>
      <c r="B14961" s="2"/>
      <c r="C14961" s="7"/>
      <c r="D14961" s="7"/>
    </row>
    <row r="14962" spans="1:4" ht="12.75" customHeight="1" x14ac:dyDescent="0.2">
      <c r="A14962" s="5"/>
      <c r="B14962" s="2"/>
      <c r="C14962" s="7"/>
      <c r="D14962" s="7"/>
    </row>
    <row r="14963" spans="1:4" ht="12.75" customHeight="1" x14ac:dyDescent="0.2">
      <c r="A14963" s="22" t="str">
        <f>HYPERLINK("javascript:void(0)","hidracél szellempajzs")</f>
        <v>hidracél szellempajzs</v>
      </c>
      <c r="B14963" s="21"/>
      <c r="C14963" s="21"/>
      <c r="D14963" s="21"/>
    </row>
    <row r="14964" spans="1:4" ht="12.75" customHeight="1" x14ac:dyDescent="0.2">
      <c r="A14964" s="20"/>
      <c r="B14964" s="2"/>
      <c r="C14964" s="7"/>
      <c r="D14964" s="7"/>
    </row>
    <row r="14965" spans="1:4" ht="12.75" customHeight="1" x14ac:dyDescent="0.2">
      <c r="A14965" s="21"/>
      <c r="B14965" s="3" t="s">
        <v>0</v>
      </c>
      <c r="C14965" s="23" t="s">
        <v>1114</v>
      </c>
      <c r="D14965" s="21"/>
    </row>
    <row r="14966" spans="1:4" ht="12.75" customHeight="1" x14ac:dyDescent="0.2">
      <c r="A14966" s="21"/>
      <c r="B14966" s="3" t="s">
        <v>2</v>
      </c>
      <c r="C14966" s="23" t="s">
        <v>1839</v>
      </c>
      <c r="D14966" s="21"/>
    </row>
    <row r="14967" spans="1:4" ht="12.75" customHeight="1" x14ac:dyDescent="0.2">
      <c r="A14967" s="21"/>
      <c r="B14967" s="3" t="s">
        <v>1840</v>
      </c>
      <c r="C14967" s="23" t="s">
        <v>2848</v>
      </c>
      <c r="D14967" s="21"/>
    </row>
    <row r="14968" spans="1:4" ht="12.75" customHeight="1" x14ac:dyDescent="0.2">
      <c r="A14968" s="21"/>
      <c r="B14968" s="3" t="s">
        <v>9</v>
      </c>
      <c r="C14968" s="23" t="s">
        <v>2079</v>
      </c>
      <c r="D14968" s="21"/>
    </row>
    <row r="14969" spans="1:4" ht="12.75" customHeight="1" x14ac:dyDescent="0.2">
      <c r="A14969" s="21"/>
      <c r="B14969" s="3" t="s">
        <v>11</v>
      </c>
      <c r="C14969" s="23" t="s">
        <v>5573</v>
      </c>
      <c r="D14969" s="21"/>
    </row>
    <row r="14970" spans="1:4" ht="12.75" customHeight="1" x14ac:dyDescent="0.2">
      <c r="A14970" s="21"/>
      <c r="B14970" s="3" t="s">
        <v>16</v>
      </c>
      <c r="C14970" s="23"/>
      <c r="D14970" s="21"/>
    </row>
    <row r="14971" spans="1:4" ht="12.75" customHeight="1" x14ac:dyDescent="0.2">
      <c r="A14971" s="21"/>
      <c r="B14971" s="3" t="s">
        <v>17</v>
      </c>
      <c r="C14971" s="23" t="s">
        <v>19</v>
      </c>
      <c r="D14971" s="21"/>
    </row>
    <row r="14972" spans="1:4" ht="12.75" customHeight="1" x14ac:dyDescent="0.2">
      <c r="A14972" s="21"/>
      <c r="B14972" s="20" t="s">
        <v>18</v>
      </c>
      <c r="C14972" s="8" t="s">
        <v>44</v>
      </c>
      <c r="D14972" s="1" t="str">
        <f>HYPERLINK("javascript:void(0)","csontlemezes pajzs")</f>
        <v>csontlemezes pajzs</v>
      </c>
    </row>
    <row r="14973" spans="1:4" ht="12.75" customHeight="1" x14ac:dyDescent="0.2">
      <c r="A14973" s="21"/>
      <c r="B14973" s="21"/>
      <c r="C14973" s="8" t="s">
        <v>936</v>
      </c>
      <c r="D14973" s="1" t="str">
        <f>HYPERLINK("javascript:void(0)","varázsige")</f>
        <v>varázsige</v>
      </c>
    </row>
    <row r="14974" spans="1:4" ht="12.75" customHeight="1" x14ac:dyDescent="0.2">
      <c r="A14974" s="21"/>
      <c r="B14974" s="21"/>
      <c r="C14974" s="8" t="s">
        <v>894</v>
      </c>
      <c r="D14974" s="1" t="str">
        <f>HYPERLINK("javascript:void(0)","ostornyelv")</f>
        <v>ostornyelv</v>
      </c>
    </row>
    <row r="14975" spans="1:4" ht="12.75" customHeight="1" x14ac:dyDescent="0.2">
      <c r="A14975" s="21"/>
      <c r="B14975" s="2"/>
      <c r="C14975" s="7"/>
      <c r="D14975" s="7"/>
    </row>
    <row r="14976" spans="1:4" ht="12.75" customHeight="1" x14ac:dyDescent="0.2">
      <c r="A14976" s="21"/>
      <c r="B14976" s="2"/>
      <c r="C14976" s="7"/>
      <c r="D14976" s="7"/>
    </row>
    <row r="14977" spans="1:4" ht="12.75" customHeight="1" x14ac:dyDescent="0.2">
      <c r="A14977" s="21"/>
      <c r="B14977" s="2"/>
      <c r="C14977" s="7"/>
      <c r="D14977" s="7"/>
    </row>
    <row r="14978" spans="1:4" ht="12.75" customHeight="1" x14ac:dyDescent="0.2">
      <c r="A14978" s="21"/>
      <c r="B14978" s="2"/>
      <c r="C14978" s="7"/>
      <c r="D14978" s="7"/>
    </row>
    <row r="14979" spans="1:4" ht="12.75" customHeight="1" x14ac:dyDescent="0.2">
      <c r="A14979" s="5"/>
      <c r="B14979" s="2"/>
      <c r="C14979" s="7"/>
      <c r="D14979" s="7"/>
    </row>
    <row r="14980" spans="1:4" ht="12.75" customHeight="1" x14ac:dyDescent="0.2">
      <c r="A14980" s="22" t="str">
        <f>HYPERLINK("javascript:void(0)","csontmellény")</f>
        <v>csontmellény</v>
      </c>
      <c r="B14980" s="21"/>
      <c r="C14980" s="21"/>
      <c r="D14980" s="21"/>
    </row>
    <row r="14981" spans="1:4" ht="12.75" customHeight="1" x14ac:dyDescent="0.2">
      <c r="A14981" s="20"/>
      <c r="B14981" s="2"/>
      <c r="C14981" s="7"/>
      <c r="D14981" s="7"/>
    </row>
    <row r="14982" spans="1:4" ht="12.75" customHeight="1" x14ac:dyDescent="0.2">
      <c r="A14982" s="21"/>
      <c r="B14982" s="3" t="s">
        <v>0</v>
      </c>
      <c r="C14982" s="23" t="s">
        <v>1114</v>
      </c>
      <c r="D14982" s="21"/>
    </row>
    <row r="14983" spans="1:4" ht="12.75" customHeight="1" x14ac:dyDescent="0.2">
      <c r="A14983" s="21"/>
      <c r="B14983" s="3" t="s">
        <v>2</v>
      </c>
      <c r="C14983" s="23" t="s">
        <v>2322</v>
      </c>
      <c r="D14983" s="21"/>
    </row>
    <row r="14984" spans="1:4" ht="12.75" customHeight="1" x14ac:dyDescent="0.2">
      <c r="A14984" s="21"/>
      <c r="B14984" s="3" t="s">
        <v>1840</v>
      </c>
      <c r="C14984" s="23" t="s">
        <v>671</v>
      </c>
      <c r="D14984" s="21"/>
    </row>
    <row r="14985" spans="1:4" ht="12.75" customHeight="1" x14ac:dyDescent="0.2">
      <c r="A14985" s="21"/>
      <c r="B14985" s="3" t="s">
        <v>9</v>
      </c>
      <c r="C14985" s="23" t="s">
        <v>172</v>
      </c>
      <c r="D14985" s="21"/>
    </row>
    <row r="14986" spans="1:4" ht="12.75" customHeight="1" x14ac:dyDescent="0.2">
      <c r="A14986" s="21"/>
      <c r="B14986" s="3" t="s">
        <v>11</v>
      </c>
      <c r="C14986" s="23" t="s">
        <v>866</v>
      </c>
      <c r="D14986" s="21"/>
    </row>
    <row r="14987" spans="1:4" ht="12.75" customHeight="1" x14ac:dyDescent="0.2">
      <c r="A14987" s="21"/>
      <c r="B14987" s="3" t="s">
        <v>16</v>
      </c>
      <c r="C14987" s="23"/>
      <c r="D14987" s="21"/>
    </row>
    <row r="14988" spans="1:4" ht="12.75" customHeight="1" x14ac:dyDescent="0.2">
      <c r="A14988" s="21"/>
      <c r="B14988" s="3" t="s">
        <v>17</v>
      </c>
      <c r="C14988" s="23" t="s">
        <v>19</v>
      </c>
      <c r="D14988" s="21"/>
    </row>
    <row r="14989" spans="1:4" ht="12.75" customHeight="1" x14ac:dyDescent="0.2">
      <c r="A14989" s="21"/>
      <c r="B14989" s="20" t="s">
        <v>18</v>
      </c>
      <c r="C14989" s="8" t="s">
        <v>228</v>
      </c>
      <c r="D14989" s="1" t="str">
        <f>HYPERLINK("javascript:void(0)","bőrcsont")</f>
        <v>bőrcsont</v>
      </c>
    </row>
    <row r="14990" spans="1:4" ht="12.75" customHeight="1" x14ac:dyDescent="0.2">
      <c r="A14990" s="21"/>
      <c r="B14990" s="21"/>
      <c r="C14990" s="8" t="s">
        <v>894</v>
      </c>
      <c r="D14990" s="1" t="str">
        <f>HYPERLINK("javascript:void(0)","dobverő")</f>
        <v>dobverő</v>
      </c>
    </row>
    <row r="14991" spans="1:4" ht="12.75" customHeight="1" x14ac:dyDescent="0.2">
      <c r="A14991" s="21"/>
      <c r="B14991" s="21"/>
      <c r="C14991" s="8" t="s">
        <v>296</v>
      </c>
      <c r="D14991" s="1" t="str">
        <f>HYPERLINK("javascript:void(0)","fiola")</f>
        <v>fiola</v>
      </c>
    </row>
    <row r="14992" spans="1:4" ht="12.75" customHeight="1" x14ac:dyDescent="0.2">
      <c r="A14992" s="21"/>
      <c r="B14992" s="2"/>
      <c r="C14992" s="7"/>
      <c r="D14992" s="7"/>
    </row>
    <row r="14993" spans="1:4" ht="12.75" customHeight="1" x14ac:dyDescent="0.2">
      <c r="A14993" s="21"/>
      <c r="B14993" s="2"/>
      <c r="C14993" s="7"/>
      <c r="D14993" s="7"/>
    </row>
    <row r="14994" spans="1:4" ht="12.75" customHeight="1" x14ac:dyDescent="0.2">
      <c r="A14994" s="21"/>
      <c r="B14994" s="2"/>
      <c r="C14994" s="7"/>
      <c r="D14994" s="7"/>
    </row>
    <row r="14995" spans="1:4" ht="12.75" customHeight="1" x14ac:dyDescent="0.2">
      <c r="A14995" s="21"/>
      <c r="B14995" s="2"/>
      <c r="C14995" s="7"/>
      <c r="D14995" s="7"/>
    </row>
    <row r="14996" spans="1:4" ht="12.75" customHeight="1" x14ac:dyDescent="0.2">
      <c r="A14996" s="5"/>
      <c r="B14996" s="2"/>
      <c r="C14996" s="7"/>
      <c r="D14996" s="7"/>
    </row>
    <row r="14997" spans="1:4" ht="12.75" customHeight="1" x14ac:dyDescent="0.2">
      <c r="A14997" s="22" t="str">
        <f>HYPERLINK("javascript:void(0)","kriptonacél manasisak")</f>
        <v>kriptonacél manasisak</v>
      </c>
      <c r="B14997" s="21"/>
      <c r="C14997" s="21"/>
      <c r="D14997" s="21"/>
    </row>
    <row r="14998" spans="1:4" ht="12.75" customHeight="1" x14ac:dyDescent="0.2">
      <c r="A14998" s="20"/>
      <c r="B14998" s="2"/>
      <c r="C14998" s="7"/>
      <c r="D14998" s="7"/>
    </row>
    <row r="14999" spans="1:4" ht="12.75" customHeight="1" x14ac:dyDescent="0.2">
      <c r="A14999" s="21"/>
      <c r="B14999" s="3" t="s">
        <v>0</v>
      </c>
      <c r="C14999" s="23" t="s">
        <v>1114</v>
      </c>
      <c r="D14999" s="21"/>
    </row>
    <row r="15000" spans="1:4" ht="12.75" customHeight="1" x14ac:dyDescent="0.2">
      <c r="A15000" s="21"/>
      <c r="B15000" s="3" t="s">
        <v>2</v>
      </c>
      <c r="C15000" s="23"/>
      <c r="D15000" s="21"/>
    </row>
    <row r="15001" spans="1:4" ht="12.75" customHeight="1" x14ac:dyDescent="0.2">
      <c r="A15001" s="21"/>
      <c r="B15001" s="3" t="s">
        <v>1840</v>
      </c>
      <c r="C15001" s="23" t="s">
        <v>2389</v>
      </c>
      <c r="D15001" s="21"/>
    </row>
    <row r="15002" spans="1:4" ht="12.75" customHeight="1" x14ac:dyDescent="0.2">
      <c r="A15002" s="21"/>
      <c r="B15002" s="3" t="s">
        <v>9</v>
      </c>
      <c r="C15002" s="23" t="s">
        <v>2273</v>
      </c>
      <c r="D15002" s="21"/>
    </row>
    <row r="15003" spans="1:4" ht="12.75" customHeight="1" x14ac:dyDescent="0.2">
      <c r="A15003" s="21"/>
      <c r="B15003" s="3" t="s">
        <v>11</v>
      </c>
      <c r="C15003" s="23" t="s">
        <v>5581</v>
      </c>
      <c r="D15003" s="21"/>
    </row>
    <row r="15004" spans="1:4" ht="12.75" customHeight="1" x14ac:dyDescent="0.2">
      <c r="A15004" s="21"/>
      <c r="B15004" s="3" t="s">
        <v>16</v>
      </c>
      <c r="C15004" s="23"/>
      <c r="D15004" s="21"/>
    </row>
    <row r="15005" spans="1:4" ht="12.75" customHeight="1" x14ac:dyDescent="0.2">
      <c r="A15005" s="21"/>
      <c r="B15005" s="3" t="s">
        <v>17</v>
      </c>
      <c r="C15005" s="23" t="s">
        <v>19</v>
      </c>
      <c r="D15005" s="21"/>
    </row>
    <row r="15006" spans="1:4" ht="12.75" customHeight="1" x14ac:dyDescent="0.2">
      <c r="A15006" s="21"/>
      <c r="B15006" s="20" t="s">
        <v>18</v>
      </c>
      <c r="C15006" s="8" t="s">
        <v>44</v>
      </c>
      <c r="D15006" s="1" t="str">
        <f>HYPERLINK("javascript:void(0)","diffúz manasisak")</f>
        <v>diffúz manasisak</v>
      </c>
    </row>
    <row r="15007" spans="1:4" ht="12.75" customHeight="1" x14ac:dyDescent="0.2">
      <c r="A15007" s="21"/>
      <c r="B15007" s="21"/>
      <c r="C15007" s="8" t="s">
        <v>772</v>
      </c>
      <c r="D15007" s="1" t="str">
        <f>HYPERLINK("javascript:void(0)","ostornyelv")</f>
        <v>ostornyelv</v>
      </c>
    </row>
    <row r="15008" spans="1:4" ht="12.75" customHeight="1" x14ac:dyDescent="0.2">
      <c r="A15008" s="21"/>
      <c r="B15008" s="21"/>
      <c r="C15008" s="8" t="s">
        <v>228</v>
      </c>
      <c r="D15008" s="1" t="str">
        <f>HYPERLINK("javascript:void(0)","valkript")</f>
        <v>valkript</v>
      </c>
    </row>
    <row r="15009" spans="1:4" ht="12.75" customHeight="1" x14ac:dyDescent="0.2">
      <c r="A15009" s="21"/>
      <c r="B15009" s="2"/>
      <c r="C15009" s="7"/>
      <c r="D15009" s="7"/>
    </row>
    <row r="15010" spans="1:4" ht="12.75" customHeight="1" x14ac:dyDescent="0.2">
      <c r="A15010" s="21"/>
      <c r="B15010" s="2"/>
      <c r="C15010" s="7"/>
      <c r="D15010" s="7"/>
    </row>
    <row r="15011" spans="1:4" ht="12.75" customHeight="1" x14ac:dyDescent="0.2">
      <c r="A15011" s="21"/>
      <c r="B15011" s="2"/>
      <c r="C15011" s="7"/>
      <c r="D15011" s="7"/>
    </row>
    <row r="15012" spans="1:4" ht="12.75" customHeight="1" x14ac:dyDescent="0.2">
      <c r="A15012" s="21"/>
      <c r="B15012" s="2"/>
      <c r="C15012" s="7"/>
      <c r="D15012" s="7"/>
    </row>
    <row r="15013" spans="1:4" ht="12.75" customHeight="1" x14ac:dyDescent="0.2">
      <c r="A15013" s="5"/>
      <c r="B15013" s="2"/>
      <c r="C15013" s="7"/>
      <c r="D15013" s="7"/>
    </row>
    <row r="15014" spans="1:4" ht="12.75" customHeight="1" x14ac:dyDescent="0.2">
      <c r="A15014" s="22" t="str">
        <f>HYPERLINK("javascript:void(0)","kriptonacél manafejpánt")</f>
        <v>kriptonacél manafejpánt</v>
      </c>
      <c r="B15014" s="21"/>
      <c r="C15014" s="21"/>
      <c r="D15014" s="21"/>
    </row>
    <row r="15015" spans="1:4" ht="12.75" customHeight="1" x14ac:dyDescent="0.2">
      <c r="A15015" s="20"/>
      <c r="B15015" s="2"/>
      <c r="C15015" s="7"/>
      <c r="D15015" s="7"/>
    </row>
    <row r="15016" spans="1:4" ht="12.75" customHeight="1" x14ac:dyDescent="0.2">
      <c r="A15016" s="21"/>
      <c r="B15016" s="3" t="s">
        <v>0</v>
      </c>
      <c r="C15016" s="23" t="s">
        <v>1114</v>
      </c>
      <c r="D15016" s="21"/>
    </row>
    <row r="15017" spans="1:4" ht="12.75" customHeight="1" x14ac:dyDescent="0.2">
      <c r="A15017" s="21"/>
      <c r="B15017" s="3" t="s">
        <v>2</v>
      </c>
      <c r="C15017" s="23"/>
      <c r="D15017" s="21"/>
    </row>
    <row r="15018" spans="1:4" ht="12.75" customHeight="1" x14ac:dyDescent="0.2">
      <c r="A15018" s="21"/>
      <c r="B15018" s="3" t="s">
        <v>1840</v>
      </c>
      <c r="C15018" s="23" t="s">
        <v>905</v>
      </c>
      <c r="D15018" s="21"/>
    </row>
    <row r="15019" spans="1:4" ht="12.75" customHeight="1" x14ac:dyDescent="0.2">
      <c r="A15019" s="21"/>
      <c r="B15019" s="3" t="s">
        <v>9</v>
      </c>
      <c r="C15019" s="23" t="s">
        <v>1112</v>
      </c>
      <c r="D15019" s="21"/>
    </row>
    <row r="15020" spans="1:4" ht="12.75" customHeight="1" x14ac:dyDescent="0.2">
      <c r="A15020" s="21"/>
      <c r="B15020" s="3" t="s">
        <v>11</v>
      </c>
      <c r="C15020" s="23" t="s">
        <v>5581</v>
      </c>
      <c r="D15020" s="21"/>
    </row>
    <row r="15021" spans="1:4" ht="12.75" customHeight="1" x14ac:dyDescent="0.2">
      <c r="A15021" s="21"/>
      <c r="B15021" s="3" t="s">
        <v>16</v>
      </c>
      <c r="C15021" s="23"/>
      <c r="D15021" s="21"/>
    </row>
    <row r="15022" spans="1:4" ht="12.75" customHeight="1" x14ac:dyDescent="0.2">
      <c r="A15022" s="21"/>
      <c r="B15022" s="3" t="s">
        <v>17</v>
      </c>
      <c r="C15022" s="23" t="s">
        <v>19</v>
      </c>
      <c r="D15022" s="21"/>
    </row>
    <row r="15023" spans="1:4" ht="12.75" customHeight="1" x14ac:dyDescent="0.2">
      <c r="A15023" s="21"/>
      <c r="B15023" s="20" t="s">
        <v>18</v>
      </c>
      <c r="C15023" s="8" t="s">
        <v>44</v>
      </c>
      <c r="D15023" s="1" t="str">
        <f>HYPERLINK("javascript:void(0)","diffúz manafejpánt")</f>
        <v>diffúz manafejpánt</v>
      </c>
    </row>
    <row r="15024" spans="1:4" ht="12.75" customHeight="1" x14ac:dyDescent="0.2">
      <c r="A15024" s="21"/>
      <c r="B15024" s="21"/>
      <c r="C15024" s="8" t="s">
        <v>1554</v>
      </c>
      <c r="D15024" s="1" t="str">
        <f>HYPERLINK("javascript:void(0)","fügetövis")</f>
        <v>fügetövis</v>
      </c>
    </row>
    <row r="15025" spans="1:4" ht="12.75" customHeight="1" x14ac:dyDescent="0.2">
      <c r="A15025" s="21"/>
      <c r="B15025" s="21"/>
      <c r="C15025" s="8" t="s">
        <v>786</v>
      </c>
      <c r="D15025" s="1" t="str">
        <f>HYPERLINK("javascript:void(0)","fiola")</f>
        <v>fiola</v>
      </c>
    </row>
    <row r="15026" spans="1:4" ht="12.75" customHeight="1" x14ac:dyDescent="0.2">
      <c r="A15026" s="21"/>
      <c r="B15026" s="2"/>
      <c r="C15026" s="7"/>
      <c r="D15026" s="7"/>
    </row>
    <row r="15027" spans="1:4" ht="12.75" customHeight="1" x14ac:dyDescent="0.2">
      <c r="A15027" s="21"/>
      <c r="B15027" s="2"/>
      <c r="C15027" s="7"/>
      <c r="D15027" s="7"/>
    </row>
    <row r="15028" spans="1:4" ht="12.75" customHeight="1" x14ac:dyDescent="0.2">
      <c r="A15028" s="21"/>
      <c r="B15028" s="2"/>
      <c r="C15028" s="7"/>
      <c r="D15028" s="7"/>
    </row>
    <row r="15029" spans="1:4" ht="12.75" customHeight="1" x14ac:dyDescent="0.2">
      <c r="A15029" s="21"/>
      <c r="B15029" s="2"/>
      <c r="C15029" s="7"/>
      <c r="D15029" s="7"/>
    </row>
    <row r="15030" spans="1:4" ht="12.75" customHeight="1" x14ac:dyDescent="0.2">
      <c r="A15030" s="5"/>
      <c r="B15030" s="2"/>
      <c r="C15030" s="7"/>
      <c r="D15030" s="7"/>
    </row>
    <row r="15031" spans="1:4" ht="12.75" customHeight="1" x14ac:dyDescent="0.2">
      <c r="A15031" s="22" t="str">
        <f>HYPERLINK("javascript:void(0)","tövispáncél")</f>
        <v>tövispáncél</v>
      </c>
      <c r="B15031" s="21"/>
      <c r="C15031" s="21"/>
      <c r="D15031" s="21"/>
    </row>
    <row r="15032" spans="1:4" ht="12.75" customHeight="1" x14ac:dyDescent="0.2">
      <c r="A15032" s="20"/>
      <c r="B15032" s="2"/>
      <c r="C15032" s="7"/>
      <c r="D15032" s="7"/>
    </row>
    <row r="15033" spans="1:4" ht="12.75" customHeight="1" x14ac:dyDescent="0.2">
      <c r="A15033" s="21"/>
      <c r="B15033" s="3" t="s">
        <v>0</v>
      </c>
      <c r="C15033" s="23" t="s">
        <v>356</v>
      </c>
      <c r="D15033" s="21"/>
    </row>
    <row r="15034" spans="1:4" ht="12.75" customHeight="1" x14ac:dyDescent="0.2">
      <c r="A15034" s="21"/>
      <c r="B15034" s="3" t="s">
        <v>2</v>
      </c>
      <c r="C15034" s="23" t="s">
        <v>2322</v>
      </c>
      <c r="D15034" s="21"/>
    </row>
    <row r="15035" spans="1:4" ht="12.75" customHeight="1" x14ac:dyDescent="0.2">
      <c r="A15035" s="21"/>
      <c r="B15035" s="3" t="s">
        <v>1840</v>
      </c>
      <c r="C15035" s="23" t="s">
        <v>2525</v>
      </c>
      <c r="D15035" s="21"/>
    </row>
    <row r="15036" spans="1:4" ht="12.75" customHeight="1" x14ac:dyDescent="0.2">
      <c r="A15036" s="21"/>
      <c r="B15036" s="3" t="s">
        <v>9</v>
      </c>
      <c r="C15036" s="23" t="s">
        <v>2526</v>
      </c>
      <c r="D15036" s="21"/>
    </row>
    <row r="15037" spans="1:4" ht="12.75" customHeight="1" x14ac:dyDescent="0.2">
      <c r="A15037" s="21"/>
      <c r="B15037" s="3" t="s">
        <v>11</v>
      </c>
      <c r="C15037" s="23" t="s">
        <v>1577</v>
      </c>
      <c r="D15037" s="21"/>
    </row>
    <row r="15038" spans="1:4" ht="12.75" customHeight="1" x14ac:dyDescent="0.2">
      <c r="A15038" s="21"/>
      <c r="B15038" s="3" t="s">
        <v>16</v>
      </c>
      <c r="C15038" s="23"/>
      <c r="D15038" s="21"/>
    </row>
    <row r="15039" spans="1:4" ht="12.75" customHeight="1" x14ac:dyDescent="0.2">
      <c r="A15039" s="21"/>
      <c r="B15039" s="3" t="s">
        <v>17</v>
      </c>
      <c r="C15039" s="23" t="s">
        <v>19</v>
      </c>
      <c r="D15039" s="21"/>
    </row>
    <row r="15040" spans="1:4" ht="12.75" customHeight="1" x14ac:dyDescent="0.2">
      <c r="A15040" s="21"/>
      <c r="B15040" s="20" t="s">
        <v>18</v>
      </c>
      <c r="C15040" s="8" t="s">
        <v>936</v>
      </c>
      <c r="D15040" s="1" t="str">
        <f>HYPERLINK("javascript:void(0)","fügetövis")</f>
        <v>fügetövis</v>
      </c>
    </row>
    <row r="15041" spans="1:4" ht="12.75" customHeight="1" x14ac:dyDescent="0.2">
      <c r="A15041" s="21"/>
      <c r="B15041" s="21"/>
      <c r="C15041" s="8" t="s">
        <v>44</v>
      </c>
      <c r="D15041" s="1" t="str">
        <f>HYPERLINK("javascript:void(0)","csontvért")</f>
        <v>csontvért</v>
      </c>
    </row>
    <row r="15042" spans="1:4" ht="12.75" customHeight="1" x14ac:dyDescent="0.2">
      <c r="A15042" s="21"/>
      <c r="B15042" s="21"/>
      <c r="C15042" s="8" t="s">
        <v>98</v>
      </c>
      <c r="D15042" s="1" t="str">
        <f>HYPERLINK("javascript:void(0)","lexikon")</f>
        <v>lexikon</v>
      </c>
    </row>
    <row r="15043" spans="1:4" ht="12.75" customHeight="1" x14ac:dyDescent="0.2">
      <c r="A15043" s="21"/>
      <c r="B15043" s="2"/>
      <c r="C15043" s="7"/>
      <c r="D15043" s="7"/>
    </row>
    <row r="15044" spans="1:4" ht="12.75" customHeight="1" x14ac:dyDescent="0.2">
      <c r="A15044" s="21"/>
      <c r="B15044" s="2"/>
      <c r="C15044" s="7"/>
      <c r="D15044" s="7"/>
    </row>
    <row r="15045" spans="1:4" ht="12.75" customHeight="1" x14ac:dyDescent="0.2">
      <c r="A15045" s="21"/>
      <c r="B15045" s="2"/>
      <c r="C15045" s="7"/>
      <c r="D15045" s="7"/>
    </row>
    <row r="15046" spans="1:4" ht="12.75" customHeight="1" x14ac:dyDescent="0.2">
      <c r="A15046" s="21"/>
      <c r="B15046" s="2"/>
      <c r="C15046" s="7"/>
      <c r="D15046" s="7"/>
    </row>
    <row r="15047" spans="1:4" ht="12.75" customHeight="1" x14ac:dyDescent="0.2">
      <c r="A15047" s="5"/>
      <c r="B15047" s="2"/>
      <c r="C15047" s="7"/>
      <c r="D15047" s="7"/>
    </row>
    <row r="15048" spans="1:4" ht="12.75" customHeight="1" x14ac:dyDescent="0.2">
      <c r="A15048" s="22" t="str">
        <f>HYPERLINK("javascript:void(0)","szemes sisak")</f>
        <v>szemes sisak</v>
      </c>
      <c r="B15048" s="21"/>
      <c r="C15048" s="21"/>
      <c r="D15048" s="21"/>
    </row>
    <row r="15049" spans="1:4" ht="12.75" customHeight="1" x14ac:dyDescent="0.2">
      <c r="A15049" s="20"/>
      <c r="B15049" s="2"/>
      <c r="C15049" s="7"/>
      <c r="D15049" s="7"/>
    </row>
    <row r="15050" spans="1:4" ht="12.75" customHeight="1" x14ac:dyDescent="0.2">
      <c r="A15050" s="21"/>
      <c r="B15050" s="3" t="s">
        <v>0</v>
      </c>
      <c r="C15050" s="23" t="s">
        <v>356</v>
      </c>
      <c r="D15050" s="21"/>
    </row>
    <row r="15051" spans="1:4" ht="12.75" customHeight="1" x14ac:dyDescent="0.2">
      <c r="A15051" s="21"/>
      <c r="B15051" s="3" t="s">
        <v>2</v>
      </c>
      <c r="C15051" s="23"/>
      <c r="D15051" s="21"/>
    </row>
    <row r="15052" spans="1:4" ht="12.75" customHeight="1" x14ac:dyDescent="0.2">
      <c r="A15052" s="21"/>
      <c r="B15052" s="3" t="s">
        <v>1840</v>
      </c>
      <c r="C15052" s="23" t="s">
        <v>5590</v>
      </c>
      <c r="D15052" s="21"/>
    </row>
    <row r="15053" spans="1:4" ht="12.75" customHeight="1" x14ac:dyDescent="0.2">
      <c r="A15053" s="21"/>
      <c r="B15053" s="3" t="s">
        <v>9</v>
      </c>
      <c r="C15053" s="23" t="s">
        <v>834</v>
      </c>
      <c r="D15053" s="21"/>
    </row>
    <row r="15054" spans="1:4" ht="12.75" customHeight="1" x14ac:dyDescent="0.2">
      <c r="A15054" s="21"/>
      <c r="B15054" s="3" t="s">
        <v>11</v>
      </c>
      <c r="C15054" s="23" t="s">
        <v>1577</v>
      </c>
      <c r="D15054" s="21"/>
    </row>
    <row r="15055" spans="1:4" ht="12.75" customHeight="1" x14ac:dyDescent="0.2">
      <c r="A15055" s="21"/>
      <c r="B15055" s="3" t="s">
        <v>16</v>
      </c>
      <c r="C15055" s="23"/>
      <c r="D15055" s="21"/>
    </row>
    <row r="15056" spans="1:4" ht="12.75" customHeight="1" x14ac:dyDescent="0.2">
      <c r="A15056" s="21"/>
      <c r="B15056" s="3" t="s">
        <v>17</v>
      </c>
      <c r="C15056" s="23" t="s">
        <v>19</v>
      </c>
      <c r="D15056" s="21"/>
    </row>
    <row r="15057" spans="1:4" ht="12.75" customHeight="1" x14ac:dyDescent="0.2">
      <c r="A15057" s="21"/>
      <c r="B15057" s="20" t="s">
        <v>18</v>
      </c>
      <c r="C15057" s="8" t="s">
        <v>44</v>
      </c>
      <c r="D15057" s="1" t="str">
        <f>HYPERLINK("javascript:void(0)","zombi nyakvédő")</f>
        <v>zombi nyakvédő</v>
      </c>
    </row>
    <row r="15058" spans="1:4" ht="12.75" customHeight="1" x14ac:dyDescent="0.2">
      <c r="A15058" s="21"/>
      <c r="B15058" s="21"/>
      <c r="C15058" s="8" t="s">
        <v>44</v>
      </c>
      <c r="D15058" s="1" t="str">
        <f>HYPERLINK("javascript:void(0)","ostorsüveg")</f>
        <v>ostorsüveg</v>
      </c>
    </row>
    <row r="15059" spans="1:4" ht="12.75" customHeight="1" x14ac:dyDescent="0.2">
      <c r="A15059" s="21"/>
      <c r="B15059" s="21"/>
      <c r="C15059" s="8" t="s">
        <v>44</v>
      </c>
      <c r="D15059" s="1" t="str">
        <f>HYPERLINK("javascript:void(0)","huzalsüveg")</f>
        <v>huzalsüveg</v>
      </c>
    </row>
    <row r="15060" spans="1:4" ht="12.75" customHeight="1" x14ac:dyDescent="0.2">
      <c r="A15060" s="21"/>
      <c r="B15060" s="2"/>
      <c r="C15060" s="7"/>
      <c r="D15060" s="7"/>
    </row>
    <row r="15061" spans="1:4" ht="12.75" customHeight="1" x14ac:dyDescent="0.2">
      <c r="A15061" s="21"/>
      <c r="B15061" s="2"/>
      <c r="C15061" s="7"/>
      <c r="D15061" s="7"/>
    </row>
    <row r="15062" spans="1:4" ht="12.75" customHeight="1" x14ac:dyDescent="0.2">
      <c r="A15062" s="21"/>
      <c r="B15062" s="2"/>
      <c r="C15062" s="7"/>
      <c r="D15062" s="7"/>
    </row>
    <row r="15063" spans="1:4" ht="12.75" customHeight="1" x14ac:dyDescent="0.2">
      <c r="A15063" s="21"/>
      <c r="B15063" s="2"/>
      <c r="C15063" s="7"/>
      <c r="D15063" s="7"/>
    </row>
    <row r="15064" spans="1:4" ht="12.75" customHeight="1" x14ac:dyDescent="0.2">
      <c r="A15064" s="5"/>
      <c r="B15064" s="2"/>
      <c r="C15064" s="7"/>
      <c r="D15064" s="7"/>
    </row>
    <row r="15065" spans="1:4" ht="12.75" customHeight="1" x14ac:dyDescent="0.2">
      <c r="A15065" s="22" t="str">
        <f>HYPERLINK("javascript:void(0)","tövispárnás csizma")</f>
        <v>tövispárnás csizma</v>
      </c>
      <c r="B15065" s="21"/>
      <c r="C15065" s="21"/>
      <c r="D15065" s="21"/>
    </row>
    <row r="15066" spans="1:4" ht="12.75" customHeight="1" x14ac:dyDescent="0.2">
      <c r="A15066" s="20"/>
      <c r="B15066" s="2"/>
      <c r="C15066" s="7"/>
      <c r="D15066" s="7"/>
    </row>
    <row r="15067" spans="1:4" ht="12.75" customHeight="1" x14ac:dyDescent="0.2">
      <c r="A15067" s="21"/>
      <c r="B15067" s="3" t="s">
        <v>0</v>
      </c>
      <c r="C15067" s="23" t="s">
        <v>356</v>
      </c>
      <c r="D15067" s="21"/>
    </row>
    <row r="15068" spans="1:4" ht="12.75" customHeight="1" x14ac:dyDescent="0.2">
      <c r="A15068" s="21"/>
      <c r="B15068" s="3" t="s">
        <v>2</v>
      </c>
      <c r="C15068" s="23"/>
      <c r="D15068" s="21"/>
    </row>
    <row r="15069" spans="1:4" ht="12.75" customHeight="1" x14ac:dyDescent="0.2">
      <c r="A15069" s="21"/>
      <c r="B15069" s="3" t="s">
        <v>1840</v>
      </c>
      <c r="C15069" s="23" t="s">
        <v>2202</v>
      </c>
      <c r="D15069" s="21"/>
    </row>
    <row r="15070" spans="1:4" ht="12.75" customHeight="1" x14ac:dyDescent="0.2">
      <c r="A15070" s="21"/>
      <c r="B15070" s="3" t="s">
        <v>9</v>
      </c>
      <c r="C15070" s="23" t="s">
        <v>2203</v>
      </c>
      <c r="D15070" s="21"/>
    </row>
    <row r="15071" spans="1:4" ht="12.75" customHeight="1" x14ac:dyDescent="0.2">
      <c r="A15071" s="21"/>
      <c r="B15071" s="3" t="s">
        <v>11</v>
      </c>
      <c r="C15071" s="23" t="s">
        <v>1047</v>
      </c>
      <c r="D15071" s="21"/>
    </row>
    <row r="15072" spans="1:4" ht="12.75" customHeight="1" x14ac:dyDescent="0.2">
      <c r="A15072" s="21"/>
      <c r="B15072" s="3" t="s">
        <v>16</v>
      </c>
      <c r="C15072" s="23"/>
      <c r="D15072" s="21"/>
    </row>
    <row r="15073" spans="1:4" ht="12.75" customHeight="1" x14ac:dyDescent="0.2">
      <c r="A15073" s="21"/>
      <c r="B15073" s="3" t="s">
        <v>17</v>
      </c>
      <c r="C15073" s="23" t="s">
        <v>19</v>
      </c>
      <c r="D15073" s="21"/>
    </row>
    <row r="15074" spans="1:4" ht="12.75" customHeight="1" x14ac:dyDescent="0.2">
      <c r="A15074" s="21"/>
      <c r="B15074" s="20" t="s">
        <v>18</v>
      </c>
      <c r="C15074" s="8" t="s">
        <v>2140</v>
      </c>
      <c r="D15074" s="1" t="str">
        <f>HYPERLINK("javascript:void(0)","kispárna")</f>
        <v>kispárna</v>
      </c>
    </row>
    <row r="15075" spans="1:4" ht="12.75" customHeight="1" x14ac:dyDescent="0.2">
      <c r="A15075" s="21"/>
      <c r="B15075" s="21"/>
      <c r="C15075" s="8" t="s">
        <v>244</v>
      </c>
      <c r="D15075" s="1" t="str">
        <f>HYPERLINK("javascript:void(0)","szikracsóva")</f>
        <v>szikracsóva</v>
      </c>
    </row>
    <row r="15076" spans="1:4" ht="12.75" customHeight="1" x14ac:dyDescent="0.2">
      <c r="A15076" s="21"/>
      <c r="B15076" s="21"/>
      <c r="C15076" s="8" t="s">
        <v>1536</v>
      </c>
      <c r="D15076" s="1" t="str">
        <f>HYPERLINK("javascript:void(0)","fügetövis")</f>
        <v>fügetövis</v>
      </c>
    </row>
    <row r="15077" spans="1:4" ht="12.75" customHeight="1" x14ac:dyDescent="0.2">
      <c r="A15077" s="21"/>
      <c r="B15077" s="2"/>
      <c r="C15077" s="7"/>
      <c r="D15077" s="7"/>
    </row>
    <row r="15078" spans="1:4" ht="12.75" customHeight="1" x14ac:dyDescent="0.2">
      <c r="A15078" s="21"/>
      <c r="B15078" s="2"/>
      <c r="C15078" s="7"/>
      <c r="D15078" s="7"/>
    </row>
    <row r="15079" spans="1:4" ht="12.75" customHeight="1" x14ac:dyDescent="0.2">
      <c r="A15079" s="21"/>
      <c r="B15079" s="2"/>
      <c r="C15079" s="7"/>
      <c r="D15079" s="7"/>
    </row>
    <row r="15080" spans="1:4" ht="12.75" customHeight="1" x14ac:dyDescent="0.2">
      <c r="A15080" s="21"/>
      <c r="B15080" s="2"/>
      <c r="C15080" s="7"/>
      <c r="D15080" s="7"/>
    </row>
    <row r="15081" spans="1:4" ht="12.75" customHeight="1" x14ac:dyDescent="0.2">
      <c r="A15081" s="5"/>
      <c r="B15081" s="2"/>
      <c r="C15081" s="7"/>
      <c r="D15081" s="7"/>
    </row>
    <row r="15082" spans="1:4" ht="12.75" customHeight="1" x14ac:dyDescent="0.2">
      <c r="A15082" s="22" t="str">
        <f>HYPERLINK("javascript:void(0)","csontlemezes testpajzs")</f>
        <v>csontlemezes testpajzs</v>
      </c>
      <c r="B15082" s="21"/>
      <c r="C15082" s="21"/>
      <c r="D15082" s="21"/>
    </row>
    <row r="15083" spans="1:4" ht="12.75" customHeight="1" x14ac:dyDescent="0.2">
      <c r="A15083" s="20"/>
      <c r="B15083" s="2"/>
      <c r="C15083" s="7"/>
      <c r="D15083" s="7"/>
    </row>
    <row r="15084" spans="1:4" ht="12.75" customHeight="1" x14ac:dyDescent="0.2">
      <c r="A15084" s="21"/>
      <c r="B15084" s="3" t="s">
        <v>0</v>
      </c>
      <c r="C15084" s="23" t="s">
        <v>356</v>
      </c>
      <c r="D15084" s="21"/>
    </row>
    <row r="15085" spans="1:4" ht="12.75" customHeight="1" x14ac:dyDescent="0.2">
      <c r="A15085" s="21"/>
      <c r="B15085" s="3" t="s">
        <v>2</v>
      </c>
      <c r="C15085" s="23" t="s">
        <v>1839</v>
      </c>
      <c r="D15085" s="21"/>
    </row>
    <row r="15086" spans="1:4" ht="12.75" customHeight="1" x14ac:dyDescent="0.2">
      <c r="A15086" s="21"/>
      <c r="B15086" s="3" t="s">
        <v>1840</v>
      </c>
      <c r="C15086" s="23" t="s">
        <v>579</v>
      </c>
      <c r="D15086" s="21"/>
    </row>
    <row r="15087" spans="1:4" ht="12.75" customHeight="1" x14ac:dyDescent="0.2">
      <c r="A15087" s="21"/>
      <c r="B15087" s="3" t="s">
        <v>9</v>
      </c>
      <c r="C15087" s="23" t="s">
        <v>300</v>
      </c>
      <c r="D15087" s="21"/>
    </row>
    <row r="15088" spans="1:4" ht="12.75" customHeight="1" x14ac:dyDescent="0.2">
      <c r="A15088" s="21"/>
      <c r="B15088" s="3" t="s">
        <v>11</v>
      </c>
      <c r="C15088" s="23" t="s">
        <v>2232</v>
      </c>
      <c r="D15088" s="21"/>
    </row>
    <row r="15089" spans="1:4" ht="12.75" customHeight="1" x14ac:dyDescent="0.2">
      <c r="A15089" s="21"/>
      <c r="B15089" s="3" t="s">
        <v>16</v>
      </c>
      <c r="C15089" s="23"/>
      <c r="D15089" s="21"/>
    </row>
    <row r="15090" spans="1:4" ht="12.75" customHeight="1" x14ac:dyDescent="0.2">
      <c r="A15090" s="21"/>
      <c r="B15090" s="3" t="s">
        <v>17</v>
      </c>
      <c r="C15090" s="23" t="s">
        <v>19</v>
      </c>
      <c r="D15090" s="21"/>
    </row>
    <row r="15091" spans="1:4" ht="12.75" customHeight="1" x14ac:dyDescent="0.2">
      <c r="A15091" s="21"/>
      <c r="B15091" s="20" t="s">
        <v>18</v>
      </c>
      <c r="C15091" s="8" t="s">
        <v>44</v>
      </c>
      <c r="D15091" s="1" t="str">
        <f>HYPERLINK("javascript:void(0)","szaru testpajzs")</f>
        <v>szaru testpajzs</v>
      </c>
    </row>
    <row r="15092" spans="1:4" ht="12.75" customHeight="1" x14ac:dyDescent="0.2">
      <c r="A15092" s="21"/>
      <c r="B15092" s="21"/>
      <c r="C15092" s="8" t="s">
        <v>786</v>
      </c>
      <c r="D15092" s="1" t="str">
        <f>HYPERLINK("javascript:void(0)","zombiszem")</f>
        <v>zombiszem</v>
      </c>
    </row>
    <row r="15093" spans="1:4" ht="12.75" customHeight="1" x14ac:dyDescent="0.2">
      <c r="A15093" s="21"/>
      <c r="B15093" s="21"/>
      <c r="C15093" s="8" t="s">
        <v>193</v>
      </c>
      <c r="D15093" s="1" t="str">
        <f>HYPERLINK("javascript:void(0)","rojt")</f>
        <v>rojt</v>
      </c>
    </row>
    <row r="15094" spans="1:4" ht="12.75" customHeight="1" x14ac:dyDescent="0.2">
      <c r="A15094" s="21"/>
      <c r="B15094" s="2"/>
      <c r="C15094" s="7"/>
      <c r="D15094" s="7"/>
    </row>
    <row r="15095" spans="1:4" ht="12.75" customHeight="1" x14ac:dyDescent="0.2">
      <c r="A15095" s="21"/>
      <c r="B15095" s="2"/>
      <c r="C15095" s="7"/>
      <c r="D15095" s="7"/>
    </row>
    <row r="15096" spans="1:4" ht="12.75" customHeight="1" x14ac:dyDescent="0.2">
      <c r="A15096" s="21"/>
      <c r="B15096" s="2"/>
      <c r="C15096" s="7"/>
      <c r="D15096" s="7"/>
    </row>
    <row r="15097" spans="1:4" ht="12.75" customHeight="1" x14ac:dyDescent="0.2">
      <c r="A15097" s="21"/>
      <c r="B15097" s="2"/>
      <c r="C15097" s="7"/>
      <c r="D15097" s="7"/>
    </row>
    <row r="15098" spans="1:4" ht="12.75" customHeight="1" x14ac:dyDescent="0.2">
      <c r="A15098" s="5"/>
      <c r="B15098" s="2"/>
      <c r="C15098" s="7"/>
      <c r="D15098" s="7"/>
    </row>
    <row r="15099" spans="1:4" ht="12.75" customHeight="1" x14ac:dyDescent="0.2">
      <c r="A15099" s="22" t="str">
        <f>HYPERLINK("javascript:void(0)","harmatacél szellempajzs")</f>
        <v>harmatacél szellempajzs</v>
      </c>
      <c r="B15099" s="21"/>
      <c r="C15099" s="21"/>
      <c r="D15099" s="21"/>
    </row>
    <row r="15100" spans="1:4" ht="12.75" customHeight="1" x14ac:dyDescent="0.2">
      <c r="A15100" s="20"/>
      <c r="B15100" s="2"/>
      <c r="C15100" s="7"/>
      <c r="D15100" s="7"/>
    </row>
    <row r="15101" spans="1:4" ht="12.75" customHeight="1" x14ac:dyDescent="0.2">
      <c r="A15101" s="21"/>
      <c r="B15101" s="3" t="s">
        <v>0</v>
      </c>
      <c r="C15101" s="23" t="s">
        <v>356</v>
      </c>
      <c r="D15101" s="21"/>
    </row>
    <row r="15102" spans="1:4" ht="12.75" customHeight="1" x14ac:dyDescent="0.2">
      <c r="A15102" s="21"/>
      <c r="B15102" s="3" t="s">
        <v>2</v>
      </c>
      <c r="C15102" s="23" t="s">
        <v>1839</v>
      </c>
      <c r="D15102" s="21"/>
    </row>
    <row r="15103" spans="1:4" ht="12.75" customHeight="1" x14ac:dyDescent="0.2">
      <c r="A15103" s="21"/>
      <c r="B15103" s="3" t="s">
        <v>1840</v>
      </c>
      <c r="C15103" s="23" t="s">
        <v>579</v>
      </c>
      <c r="D15103" s="21"/>
    </row>
    <row r="15104" spans="1:4" ht="12.75" customHeight="1" x14ac:dyDescent="0.2">
      <c r="A15104" s="21"/>
      <c r="B15104" s="3" t="s">
        <v>9</v>
      </c>
      <c r="C15104" s="23" t="s">
        <v>5602</v>
      </c>
      <c r="D15104" s="21"/>
    </row>
    <row r="15105" spans="1:4" ht="12.75" customHeight="1" x14ac:dyDescent="0.2">
      <c r="A15105" s="21"/>
      <c r="B15105" s="3" t="s">
        <v>11</v>
      </c>
      <c r="C15105" s="23" t="s">
        <v>2346</v>
      </c>
      <c r="D15105" s="21"/>
    </row>
    <row r="15106" spans="1:4" ht="12.75" customHeight="1" x14ac:dyDescent="0.2">
      <c r="A15106" s="21"/>
      <c r="B15106" s="3" t="s">
        <v>16</v>
      </c>
      <c r="C15106" s="23"/>
      <c r="D15106" s="21"/>
    </row>
    <row r="15107" spans="1:4" ht="12.75" customHeight="1" x14ac:dyDescent="0.2">
      <c r="A15107" s="21"/>
      <c r="B15107" s="3" t="s">
        <v>17</v>
      </c>
      <c r="C15107" s="23" t="s">
        <v>19</v>
      </c>
      <c r="D15107" s="21"/>
    </row>
    <row r="15108" spans="1:4" ht="25.5" customHeight="1" x14ac:dyDescent="0.2">
      <c r="A15108" s="21"/>
      <c r="B15108" s="20" t="s">
        <v>18</v>
      </c>
      <c r="C15108" s="8" t="s">
        <v>44</v>
      </c>
      <c r="D15108" s="1" t="str">
        <f>HYPERLINK("javascript:void(0)","csontlemezes testpajzs")</f>
        <v>csontlemezes testpajzs</v>
      </c>
    </row>
    <row r="15109" spans="1:4" ht="12.75" customHeight="1" x14ac:dyDescent="0.2">
      <c r="A15109" s="21"/>
      <c r="B15109" s="21"/>
      <c r="C15109" s="8" t="s">
        <v>796</v>
      </c>
      <c r="D15109" s="1" t="str">
        <f>HYPERLINK("javascript:void(0)","rémszem")</f>
        <v>rémszem</v>
      </c>
    </row>
    <row r="15110" spans="1:4" ht="12.75" customHeight="1" x14ac:dyDescent="0.2">
      <c r="A15110" s="21"/>
      <c r="B15110" s="21"/>
      <c r="C15110" s="8" t="s">
        <v>358</v>
      </c>
      <c r="D15110" s="1" t="str">
        <f>HYPERLINK("javascript:void(0)","fügetövis")</f>
        <v>fügetövis</v>
      </c>
    </row>
    <row r="15111" spans="1:4" ht="12.75" customHeight="1" x14ac:dyDescent="0.2">
      <c r="A15111" s="21"/>
      <c r="B15111" s="2"/>
      <c r="C15111" s="7"/>
      <c r="D15111" s="7"/>
    </row>
    <row r="15112" spans="1:4" ht="12.75" customHeight="1" x14ac:dyDescent="0.2">
      <c r="A15112" s="21"/>
      <c r="B15112" s="2"/>
      <c r="C15112" s="7"/>
      <c r="D15112" s="7"/>
    </row>
    <row r="15113" spans="1:4" ht="12.75" customHeight="1" x14ac:dyDescent="0.2">
      <c r="A15113" s="21"/>
      <c r="B15113" s="2"/>
      <c r="C15113" s="7"/>
      <c r="D15113" s="7"/>
    </row>
    <row r="15114" spans="1:4" ht="12.75" customHeight="1" x14ac:dyDescent="0.2">
      <c r="A15114" s="21"/>
      <c r="B15114" s="2"/>
      <c r="C15114" s="7"/>
      <c r="D15114" s="7"/>
    </row>
    <row r="15115" spans="1:4" ht="12.75" customHeight="1" x14ac:dyDescent="0.2">
      <c r="A15115" s="5"/>
      <c r="B15115" s="2"/>
      <c r="C15115" s="7"/>
      <c r="D15115" s="7"/>
    </row>
    <row r="15116" spans="1:4" ht="12.75" customHeight="1" x14ac:dyDescent="0.2">
      <c r="A15116" s="22" t="str">
        <f>HYPERLINK("javascript:void(0)","zombi nyakvédő")</f>
        <v>zombi nyakvédő</v>
      </c>
      <c r="B15116" s="21"/>
      <c r="C15116" s="21"/>
      <c r="D15116" s="21"/>
    </row>
    <row r="15117" spans="1:4" ht="12.75" customHeight="1" x14ac:dyDescent="0.2">
      <c r="A15117" s="20"/>
      <c r="B15117" s="2"/>
      <c r="C15117" s="7"/>
      <c r="D15117" s="7"/>
    </row>
    <row r="15118" spans="1:4" ht="12.75" customHeight="1" x14ac:dyDescent="0.2">
      <c r="A15118" s="21"/>
      <c r="B15118" s="3" t="s">
        <v>0</v>
      </c>
      <c r="C15118" s="23" t="s">
        <v>356</v>
      </c>
      <c r="D15118" s="21"/>
    </row>
    <row r="15119" spans="1:4" ht="12.75" customHeight="1" x14ac:dyDescent="0.2">
      <c r="A15119" s="21"/>
      <c r="B15119" s="3" t="s">
        <v>2</v>
      </c>
      <c r="C15119" s="23"/>
      <c r="D15119" s="21"/>
    </row>
    <row r="15120" spans="1:4" ht="12.75" customHeight="1" x14ac:dyDescent="0.2">
      <c r="A15120" s="21"/>
      <c r="B15120" s="3" t="s">
        <v>1840</v>
      </c>
      <c r="C15120" s="23" t="s">
        <v>69</v>
      </c>
      <c r="D15120" s="21"/>
    </row>
    <row r="15121" spans="1:4" ht="12.75" customHeight="1" x14ac:dyDescent="0.2">
      <c r="A15121" s="21"/>
      <c r="B15121" s="3" t="s">
        <v>9</v>
      </c>
      <c r="C15121" s="23" t="s">
        <v>70</v>
      </c>
      <c r="D15121" s="21"/>
    </row>
    <row r="15122" spans="1:4" ht="12.75" customHeight="1" x14ac:dyDescent="0.2">
      <c r="A15122" s="21"/>
      <c r="B15122" s="3" t="s">
        <v>11</v>
      </c>
      <c r="C15122" s="23" t="s">
        <v>2212</v>
      </c>
      <c r="D15122" s="21"/>
    </row>
    <row r="15123" spans="1:4" ht="12.75" customHeight="1" x14ac:dyDescent="0.2">
      <c r="A15123" s="21"/>
      <c r="B15123" s="3" t="s">
        <v>16</v>
      </c>
      <c r="C15123" s="23"/>
      <c r="D15123" s="21"/>
    </row>
    <row r="15124" spans="1:4" ht="12.75" customHeight="1" x14ac:dyDescent="0.2">
      <c r="A15124" s="21"/>
      <c r="B15124" s="3" t="s">
        <v>17</v>
      </c>
      <c r="C15124" s="23" t="s">
        <v>19</v>
      </c>
      <c r="D15124" s="21"/>
    </row>
    <row r="15125" spans="1:4" ht="12.75" customHeight="1" x14ac:dyDescent="0.2">
      <c r="A15125" s="21"/>
      <c r="B15125" s="20" t="s">
        <v>18</v>
      </c>
      <c r="C15125" s="8" t="s">
        <v>309</v>
      </c>
      <c r="D15125" s="1" t="str">
        <f>HYPERLINK("javascript:void(0)","zanzahúr")</f>
        <v>zanzahúr</v>
      </c>
    </row>
    <row r="15126" spans="1:4" ht="12.75" customHeight="1" x14ac:dyDescent="0.2">
      <c r="A15126" s="21"/>
      <c r="B15126" s="21"/>
      <c r="C15126" s="8" t="s">
        <v>988</v>
      </c>
      <c r="D15126" s="1" t="str">
        <f>HYPERLINK("javascript:void(0)","zombiszem")</f>
        <v>zombiszem</v>
      </c>
    </row>
    <row r="15127" spans="1:4" ht="12.75" customHeight="1" x14ac:dyDescent="0.2">
      <c r="A15127" s="21"/>
      <c r="B15127" s="21"/>
      <c r="C15127" s="8" t="s">
        <v>316</v>
      </c>
      <c r="D15127" s="1" t="str">
        <f>HYPERLINK("javascript:void(0)","rémkép")</f>
        <v>rémkép</v>
      </c>
    </row>
    <row r="15128" spans="1:4" ht="12.75" customHeight="1" x14ac:dyDescent="0.2">
      <c r="A15128" s="21"/>
      <c r="B15128" s="2"/>
      <c r="C15128" s="7"/>
      <c r="D15128" s="7"/>
    </row>
    <row r="15129" spans="1:4" ht="12.75" customHeight="1" x14ac:dyDescent="0.2">
      <c r="A15129" s="21"/>
      <c r="B15129" s="2"/>
      <c r="C15129" s="7"/>
      <c r="D15129" s="7"/>
    </row>
    <row r="15130" spans="1:4" ht="12.75" customHeight="1" x14ac:dyDescent="0.2">
      <c r="A15130" s="21"/>
      <c r="B15130" s="2"/>
      <c r="C15130" s="7"/>
      <c r="D15130" s="7"/>
    </row>
    <row r="15131" spans="1:4" ht="12.75" customHeight="1" x14ac:dyDescent="0.2">
      <c r="A15131" s="21"/>
      <c r="B15131" s="2"/>
      <c r="C15131" s="7"/>
      <c r="D15131" s="7"/>
    </row>
    <row r="15132" spans="1:4" ht="12.75" customHeight="1" x14ac:dyDescent="0.2">
      <c r="A15132" s="5"/>
      <c r="B15132" s="2"/>
      <c r="C15132" s="7"/>
      <c r="D15132" s="7"/>
    </row>
    <row r="15133" spans="1:4" ht="12.75" customHeight="1" x14ac:dyDescent="0.2">
      <c r="A15133" s="22" t="str">
        <f>HYPERLINK("javascript:void(0)","fügemintás antigrav csizma")</f>
        <v>fügemintás antigrav csizma</v>
      </c>
      <c r="B15133" s="21"/>
      <c r="C15133" s="21"/>
      <c r="D15133" s="21"/>
    </row>
    <row r="15134" spans="1:4" ht="12.75" customHeight="1" x14ac:dyDescent="0.2">
      <c r="A15134" s="20"/>
      <c r="B15134" s="2"/>
      <c r="C15134" s="7"/>
      <c r="D15134" s="7"/>
    </row>
    <row r="15135" spans="1:4" ht="12.75" customHeight="1" x14ac:dyDescent="0.2">
      <c r="A15135" s="21"/>
      <c r="B15135" s="3" t="s">
        <v>0</v>
      </c>
      <c r="C15135" s="23" t="s">
        <v>356</v>
      </c>
      <c r="D15135" s="21"/>
    </row>
    <row r="15136" spans="1:4" ht="12.75" customHeight="1" x14ac:dyDescent="0.2">
      <c r="A15136" s="21"/>
      <c r="B15136" s="3" t="s">
        <v>2</v>
      </c>
      <c r="C15136" s="23"/>
      <c r="D15136" s="21"/>
    </row>
    <row r="15137" spans="1:4" ht="12.75" customHeight="1" x14ac:dyDescent="0.2">
      <c r="A15137" s="21"/>
      <c r="B15137" s="3" t="s">
        <v>1840</v>
      </c>
      <c r="C15137" s="23" t="s">
        <v>2202</v>
      </c>
      <c r="D15137" s="21"/>
    </row>
    <row r="15138" spans="1:4" ht="12.75" customHeight="1" x14ac:dyDescent="0.2">
      <c r="A15138" s="21"/>
      <c r="B15138" s="3" t="s">
        <v>9</v>
      </c>
      <c r="C15138" s="23" t="s">
        <v>626</v>
      </c>
      <c r="D15138" s="21"/>
    </row>
    <row r="15139" spans="1:4" ht="12.75" customHeight="1" x14ac:dyDescent="0.2">
      <c r="A15139" s="21"/>
      <c r="B15139" s="3" t="s">
        <v>11</v>
      </c>
      <c r="C15139" s="23" t="s">
        <v>23</v>
      </c>
      <c r="D15139" s="21"/>
    </row>
    <row r="15140" spans="1:4" ht="12.75" customHeight="1" x14ac:dyDescent="0.2">
      <c r="A15140" s="21"/>
      <c r="B15140" s="3" t="s">
        <v>16</v>
      </c>
      <c r="C15140" s="23"/>
      <c r="D15140" s="21"/>
    </row>
    <row r="15141" spans="1:4" ht="12.75" customHeight="1" x14ac:dyDescent="0.2">
      <c r="A15141" s="21"/>
      <c r="B15141" s="3" t="s">
        <v>17</v>
      </c>
      <c r="C15141" s="23" t="s">
        <v>19</v>
      </c>
      <c r="D15141" s="21"/>
    </row>
    <row r="15142" spans="1:4" ht="25.5" customHeight="1" x14ac:dyDescent="0.2">
      <c r="A15142" s="21"/>
      <c r="B15142" s="20" t="s">
        <v>18</v>
      </c>
      <c r="C15142" s="8" t="s">
        <v>44</v>
      </c>
      <c r="D15142" s="1" t="str">
        <f>HYPERLINK("javascript:void(0)","zombitipró antigrav csizma")</f>
        <v>zombitipró antigrav csizma</v>
      </c>
    </row>
    <row r="15143" spans="1:4" ht="12.75" customHeight="1" x14ac:dyDescent="0.2">
      <c r="A15143" s="21"/>
      <c r="B15143" s="21"/>
      <c r="C15143" s="8" t="s">
        <v>2194</v>
      </c>
      <c r="D15143" s="1" t="str">
        <f>HYPERLINK("javascript:void(0)","fügetövis")</f>
        <v>fügetövis</v>
      </c>
    </row>
    <row r="15144" spans="1:4" ht="12.75" customHeight="1" x14ac:dyDescent="0.2">
      <c r="A15144" s="21"/>
      <c r="B15144" s="21"/>
      <c r="C15144" s="8" t="s">
        <v>398</v>
      </c>
      <c r="D15144" s="1" t="str">
        <f>HYPERLINK("javascript:void(0)","csatatüske")</f>
        <v>csatatüske</v>
      </c>
    </row>
    <row r="15145" spans="1:4" ht="12.75" customHeight="1" x14ac:dyDescent="0.2">
      <c r="A15145" s="21"/>
      <c r="B15145" s="2"/>
      <c r="C15145" s="7"/>
      <c r="D15145" s="7"/>
    </row>
    <row r="15146" spans="1:4" ht="12.75" customHeight="1" x14ac:dyDescent="0.2">
      <c r="A15146" s="21"/>
      <c r="B15146" s="2"/>
      <c r="C15146" s="7"/>
      <c r="D15146" s="7"/>
    </row>
    <row r="15147" spans="1:4" ht="12.75" customHeight="1" x14ac:dyDescent="0.2">
      <c r="A15147" s="21"/>
      <c r="B15147" s="2"/>
      <c r="C15147" s="7"/>
      <c r="D15147" s="7"/>
    </row>
    <row r="15148" spans="1:4" ht="12.75" customHeight="1" x14ac:dyDescent="0.2">
      <c r="A15148" s="21"/>
      <c r="B15148" s="2"/>
      <c r="C15148" s="7"/>
      <c r="D15148" s="7"/>
    </row>
    <row r="15149" spans="1:4" ht="12.75" customHeight="1" x14ac:dyDescent="0.2">
      <c r="A15149" s="5"/>
      <c r="B15149" s="2"/>
      <c r="C15149" s="7"/>
      <c r="D15149" s="7"/>
    </row>
    <row r="15150" spans="1:4" ht="12.75" customHeight="1" x14ac:dyDescent="0.2">
      <c r="A15150" s="22" t="str">
        <f>HYPERLINK("javascript:void(0)","tuskóvért")</f>
        <v>tuskóvért</v>
      </c>
      <c r="B15150" s="21"/>
      <c r="C15150" s="21"/>
      <c r="D15150" s="21"/>
    </row>
    <row r="15151" spans="1:4" ht="12.75" customHeight="1" x14ac:dyDescent="0.2">
      <c r="A15151" s="20"/>
      <c r="B15151" s="2"/>
      <c r="C15151" s="7"/>
      <c r="D15151" s="7"/>
    </row>
    <row r="15152" spans="1:4" ht="12.75" customHeight="1" x14ac:dyDescent="0.2">
      <c r="A15152" s="21"/>
      <c r="B15152" s="3" t="s">
        <v>0</v>
      </c>
      <c r="C15152" s="23" t="s">
        <v>110</v>
      </c>
      <c r="D15152" s="21"/>
    </row>
    <row r="15153" spans="1:4" ht="12.75" customHeight="1" x14ac:dyDescent="0.2">
      <c r="A15153" s="21"/>
      <c r="B15153" s="3" t="s">
        <v>2</v>
      </c>
      <c r="C15153" s="23" t="s">
        <v>2322</v>
      </c>
      <c r="D15153" s="21"/>
    </row>
    <row r="15154" spans="1:4" ht="12.75" customHeight="1" x14ac:dyDescent="0.2">
      <c r="A15154" s="21"/>
      <c r="B15154" s="3" t="s">
        <v>1840</v>
      </c>
      <c r="C15154" s="23" t="s">
        <v>372</v>
      </c>
      <c r="D15154" s="21"/>
    </row>
    <row r="15155" spans="1:4" ht="12.75" customHeight="1" x14ac:dyDescent="0.2">
      <c r="A15155" s="21"/>
      <c r="B15155" s="3" t="s">
        <v>9</v>
      </c>
      <c r="C15155" s="23" t="s">
        <v>2527</v>
      </c>
      <c r="D15155" s="21"/>
    </row>
    <row r="15156" spans="1:4" ht="12.75" customHeight="1" x14ac:dyDescent="0.2">
      <c r="A15156" s="21"/>
      <c r="B15156" s="3" t="s">
        <v>11</v>
      </c>
      <c r="C15156" s="23" t="s">
        <v>2201</v>
      </c>
      <c r="D15156" s="21"/>
    </row>
    <row r="15157" spans="1:4" ht="12.75" customHeight="1" x14ac:dyDescent="0.2">
      <c r="A15157" s="21"/>
      <c r="B15157" s="3" t="s">
        <v>16</v>
      </c>
      <c r="C15157" s="23"/>
      <c r="D15157" s="21"/>
    </row>
    <row r="15158" spans="1:4" ht="12.75" customHeight="1" x14ac:dyDescent="0.2">
      <c r="A15158" s="21"/>
      <c r="B15158" s="3" t="s">
        <v>17</v>
      </c>
      <c r="C15158" s="23" t="s">
        <v>19</v>
      </c>
      <c r="D15158" s="21"/>
    </row>
    <row r="15159" spans="1:4" ht="12.75" customHeight="1" x14ac:dyDescent="0.2">
      <c r="A15159" s="21"/>
      <c r="B15159" s="20" t="s">
        <v>18</v>
      </c>
      <c r="C15159" s="8" t="s">
        <v>240</v>
      </c>
      <c r="D15159" s="1" t="str">
        <f>HYPERLINK("javascript:void(0)","tuskójelvény")</f>
        <v>tuskójelvény</v>
      </c>
    </row>
    <row r="15160" spans="1:4" ht="12.75" customHeight="1" x14ac:dyDescent="0.2">
      <c r="A15160" s="21"/>
      <c r="B15160" s="21"/>
      <c r="C15160" s="8" t="s">
        <v>2528</v>
      </c>
      <c r="D15160" s="1" t="str">
        <f>HYPERLINK("javascript:void(0)","vámpírherbium")</f>
        <v>vámpírherbium</v>
      </c>
    </row>
    <row r="15161" spans="1:4" ht="12.75" customHeight="1" x14ac:dyDescent="0.2">
      <c r="A15161" s="21"/>
      <c r="B15161" s="21"/>
      <c r="C15161" s="8" t="s">
        <v>988</v>
      </c>
      <c r="D15161" s="1" t="str">
        <f>HYPERLINK("javascript:void(0)","fügetövis")</f>
        <v>fügetövis</v>
      </c>
    </row>
    <row r="15162" spans="1:4" ht="12.75" customHeight="1" x14ac:dyDescent="0.2">
      <c r="A15162" s="21"/>
      <c r="B15162" s="2"/>
      <c r="C15162" s="7"/>
      <c r="D15162" s="7"/>
    </row>
    <row r="15163" spans="1:4" ht="12.75" customHeight="1" x14ac:dyDescent="0.2">
      <c r="A15163" s="21"/>
      <c r="B15163" s="2"/>
      <c r="C15163" s="7"/>
      <c r="D15163" s="7"/>
    </row>
    <row r="15164" spans="1:4" ht="12.75" customHeight="1" x14ac:dyDescent="0.2">
      <c r="A15164" s="21"/>
      <c r="B15164" s="2"/>
      <c r="C15164" s="7"/>
      <c r="D15164" s="7"/>
    </row>
    <row r="15165" spans="1:4" ht="12.75" customHeight="1" x14ac:dyDescent="0.2">
      <c r="A15165" s="21"/>
      <c r="B15165" s="2"/>
      <c r="C15165" s="7"/>
      <c r="D15165" s="7"/>
    </row>
    <row r="15166" spans="1:4" ht="12.75" customHeight="1" x14ac:dyDescent="0.2">
      <c r="A15166" s="5"/>
      <c r="B15166" s="2"/>
      <c r="C15166" s="7"/>
      <c r="D15166" s="7"/>
    </row>
    <row r="15167" spans="1:4" ht="12.75" customHeight="1" x14ac:dyDescent="0.2">
      <c r="A15167" s="22" t="str">
        <f>HYPERLINK("javascript:void(0)","prizmasisak")</f>
        <v>prizmasisak</v>
      </c>
      <c r="B15167" s="21"/>
      <c r="C15167" s="21"/>
      <c r="D15167" s="21"/>
    </row>
    <row r="15168" spans="1:4" ht="12.75" customHeight="1" x14ac:dyDescent="0.2">
      <c r="A15168" s="20"/>
      <c r="B15168" s="2"/>
      <c r="C15168" s="7"/>
      <c r="D15168" s="7"/>
    </row>
    <row r="15169" spans="1:4" ht="12.75" customHeight="1" x14ac:dyDescent="0.2">
      <c r="A15169" s="21"/>
      <c r="B15169" s="3" t="s">
        <v>0</v>
      </c>
      <c r="C15169" s="23" t="s">
        <v>110</v>
      </c>
      <c r="D15169" s="21"/>
    </row>
    <row r="15170" spans="1:4" ht="12.75" customHeight="1" x14ac:dyDescent="0.2">
      <c r="A15170" s="21"/>
      <c r="B15170" s="3" t="s">
        <v>2</v>
      </c>
      <c r="C15170" s="23"/>
      <c r="D15170" s="21"/>
    </row>
    <row r="15171" spans="1:4" ht="12.75" customHeight="1" x14ac:dyDescent="0.2">
      <c r="A15171" s="21"/>
      <c r="B15171" s="3" t="s">
        <v>1840</v>
      </c>
      <c r="C15171" s="23" t="s">
        <v>2437</v>
      </c>
      <c r="D15171" s="21"/>
    </row>
    <row r="15172" spans="1:4" ht="12.75" customHeight="1" x14ac:dyDescent="0.2">
      <c r="A15172" s="21"/>
      <c r="B15172" s="3" t="s">
        <v>9</v>
      </c>
      <c r="C15172" s="23" t="s">
        <v>1503</v>
      </c>
      <c r="D15172" s="21"/>
    </row>
    <row r="15173" spans="1:4" ht="12.75" customHeight="1" x14ac:dyDescent="0.2">
      <c r="A15173" s="21"/>
      <c r="B15173" s="3" t="s">
        <v>11</v>
      </c>
      <c r="C15173" s="23" t="s">
        <v>2201</v>
      </c>
      <c r="D15173" s="21"/>
    </row>
    <row r="15174" spans="1:4" ht="12.75" customHeight="1" x14ac:dyDescent="0.2">
      <c r="A15174" s="21"/>
      <c r="B15174" s="3" t="s">
        <v>16</v>
      </c>
      <c r="C15174" s="23"/>
      <c r="D15174" s="21"/>
    </row>
    <row r="15175" spans="1:4" ht="12.75" customHeight="1" x14ac:dyDescent="0.2">
      <c r="A15175" s="21"/>
      <c r="B15175" s="3" t="s">
        <v>17</v>
      </c>
      <c r="C15175" s="23" t="s">
        <v>19</v>
      </c>
      <c r="D15175" s="21"/>
    </row>
    <row r="15176" spans="1:4" ht="12.75" customHeight="1" x14ac:dyDescent="0.2">
      <c r="A15176" s="21"/>
      <c r="B15176" s="20" t="s">
        <v>18</v>
      </c>
      <c r="C15176" s="8" t="s">
        <v>44</v>
      </c>
      <c r="D15176" s="1" t="str">
        <f>HYPERLINK("javascript:void(0)","szemes sisak")</f>
        <v>szemes sisak</v>
      </c>
    </row>
    <row r="15177" spans="1:4" ht="12.75" customHeight="1" x14ac:dyDescent="0.2">
      <c r="A15177" s="21"/>
      <c r="B15177" s="21"/>
      <c r="C15177" s="8" t="s">
        <v>327</v>
      </c>
      <c r="D15177" s="1" t="str">
        <f>HYPERLINK("javascript:void(0)","angyalhaj")</f>
        <v>angyalhaj</v>
      </c>
    </row>
    <row r="15178" spans="1:4" ht="12.75" customHeight="1" x14ac:dyDescent="0.2">
      <c r="A15178" s="21"/>
      <c r="B15178" s="21"/>
      <c r="C15178" s="8" t="s">
        <v>772</v>
      </c>
      <c r="D15178" s="1" t="str">
        <f>HYPERLINK("javascript:void(0)","üvegcserép")</f>
        <v>üvegcserép</v>
      </c>
    </row>
    <row r="15179" spans="1:4" ht="12.75" customHeight="1" x14ac:dyDescent="0.2">
      <c r="A15179" s="21"/>
      <c r="B15179" s="2"/>
      <c r="C15179" s="7"/>
      <c r="D15179" s="7"/>
    </row>
    <row r="15180" spans="1:4" ht="12.75" customHeight="1" x14ac:dyDescent="0.2">
      <c r="A15180" s="21"/>
      <c r="B15180" s="2"/>
      <c r="C15180" s="7"/>
      <c r="D15180" s="7"/>
    </row>
    <row r="15181" spans="1:4" ht="12.75" customHeight="1" x14ac:dyDescent="0.2">
      <c r="A15181" s="21"/>
      <c r="B15181" s="2"/>
      <c r="C15181" s="7"/>
      <c r="D15181" s="7"/>
    </row>
    <row r="15182" spans="1:4" ht="12.75" customHeight="1" x14ac:dyDescent="0.2">
      <c r="A15182" s="21"/>
      <c r="B15182" s="2"/>
      <c r="C15182" s="7"/>
      <c r="D15182" s="7"/>
    </row>
    <row r="15183" spans="1:4" ht="12.75" customHeight="1" x14ac:dyDescent="0.2">
      <c r="A15183" s="5"/>
      <c r="B15183" s="2"/>
      <c r="C15183" s="7"/>
      <c r="D15183" s="7"/>
    </row>
    <row r="15184" spans="1:4" ht="12.75" customHeight="1" x14ac:dyDescent="0.2">
      <c r="A15184" s="22" t="str">
        <f>HYPERLINK("javascript:void(0)","tuskócsizma")</f>
        <v>tuskócsizma</v>
      </c>
      <c r="B15184" s="21"/>
      <c r="C15184" s="21"/>
      <c r="D15184" s="21"/>
    </row>
    <row r="15185" spans="1:4" ht="12.75" customHeight="1" x14ac:dyDescent="0.2">
      <c r="A15185" s="20"/>
      <c r="B15185" s="2"/>
      <c r="C15185" s="7"/>
      <c r="D15185" s="7"/>
    </row>
    <row r="15186" spans="1:4" ht="12.75" customHeight="1" x14ac:dyDescent="0.2">
      <c r="A15186" s="21"/>
      <c r="B15186" s="3" t="s">
        <v>0</v>
      </c>
      <c r="C15186" s="23" t="s">
        <v>110</v>
      </c>
      <c r="D15186" s="21"/>
    </row>
    <row r="15187" spans="1:4" ht="12.75" customHeight="1" x14ac:dyDescent="0.2">
      <c r="A15187" s="21"/>
      <c r="B15187" s="3" t="s">
        <v>2</v>
      </c>
      <c r="C15187" s="23"/>
      <c r="D15187" s="21"/>
    </row>
    <row r="15188" spans="1:4" ht="12.75" customHeight="1" x14ac:dyDescent="0.2">
      <c r="A15188" s="21"/>
      <c r="B15188" s="3" t="s">
        <v>1840</v>
      </c>
      <c r="C15188" s="23" t="s">
        <v>2208</v>
      </c>
      <c r="D15188" s="21"/>
    </row>
    <row r="15189" spans="1:4" ht="12.75" customHeight="1" x14ac:dyDescent="0.2">
      <c r="A15189" s="21"/>
      <c r="B15189" s="3" t="s">
        <v>9</v>
      </c>
      <c r="C15189" s="23" t="s">
        <v>2209</v>
      </c>
      <c r="D15189" s="21"/>
    </row>
    <row r="15190" spans="1:4" ht="12.75" customHeight="1" x14ac:dyDescent="0.2">
      <c r="A15190" s="21"/>
      <c r="B15190" s="3" t="s">
        <v>11</v>
      </c>
      <c r="C15190" s="23" t="s">
        <v>2210</v>
      </c>
      <c r="D15190" s="21"/>
    </row>
    <row r="15191" spans="1:4" ht="12.75" customHeight="1" x14ac:dyDescent="0.2">
      <c r="A15191" s="21"/>
      <c r="B15191" s="3" t="s">
        <v>16</v>
      </c>
      <c r="C15191" s="23"/>
      <c r="D15191" s="21"/>
    </row>
    <row r="15192" spans="1:4" ht="12.75" customHeight="1" x14ac:dyDescent="0.2">
      <c r="A15192" s="21"/>
      <c r="B15192" s="3" t="s">
        <v>17</v>
      </c>
      <c r="C15192" s="23" t="s">
        <v>19</v>
      </c>
      <c r="D15192" s="21"/>
    </row>
    <row r="15193" spans="1:4" ht="12.75" customHeight="1" x14ac:dyDescent="0.2">
      <c r="A15193" s="21"/>
      <c r="B15193" s="20" t="s">
        <v>18</v>
      </c>
      <c r="C15193" s="8" t="s">
        <v>44</v>
      </c>
      <c r="D15193" s="1" t="str">
        <f>HYPERLINK("javascript:void(0)","tövispárnás csizma")</f>
        <v>tövispárnás csizma</v>
      </c>
    </row>
    <row r="15194" spans="1:4" ht="12.75" customHeight="1" x14ac:dyDescent="0.2">
      <c r="A15194" s="21"/>
      <c r="B15194" s="21"/>
      <c r="C15194" s="8" t="s">
        <v>44</v>
      </c>
      <c r="D15194" s="1" t="str">
        <f>HYPERLINK("javascript:void(0)","kristálytalp")</f>
        <v>kristálytalp</v>
      </c>
    </row>
    <row r="15195" spans="1:4" ht="12.75" customHeight="1" x14ac:dyDescent="0.2">
      <c r="A15195" s="21"/>
      <c r="B15195" s="21"/>
      <c r="C15195" s="8" t="s">
        <v>44</v>
      </c>
      <c r="D15195" s="1" t="str">
        <f>HYPERLINK("javascript:void(0)","csontsaru")</f>
        <v>csontsaru</v>
      </c>
    </row>
    <row r="15196" spans="1:4" ht="12.75" customHeight="1" x14ac:dyDescent="0.2">
      <c r="A15196" s="21"/>
      <c r="B15196" s="2"/>
      <c r="C15196" s="7"/>
      <c r="D15196" s="7"/>
    </row>
    <row r="15197" spans="1:4" ht="12.75" customHeight="1" x14ac:dyDescent="0.2">
      <c r="A15197" s="21"/>
      <c r="B15197" s="2"/>
      <c r="C15197" s="7"/>
      <c r="D15197" s="7"/>
    </row>
    <row r="15198" spans="1:4" ht="12.75" customHeight="1" x14ac:dyDescent="0.2">
      <c r="A15198" s="21"/>
      <c r="B15198" s="2"/>
      <c r="C15198" s="7"/>
      <c r="D15198" s="7"/>
    </row>
    <row r="15199" spans="1:4" ht="12.75" customHeight="1" x14ac:dyDescent="0.2">
      <c r="A15199" s="21"/>
      <c r="B15199" s="2"/>
      <c r="C15199" s="7"/>
      <c r="D15199" s="7"/>
    </row>
    <row r="15200" spans="1:4" ht="12.75" customHeight="1" x14ac:dyDescent="0.2">
      <c r="A15200" s="5"/>
      <c r="B15200" s="2"/>
      <c r="C15200" s="7"/>
      <c r="D15200" s="7"/>
    </row>
    <row r="15201" spans="1:4" ht="12.75" customHeight="1" x14ac:dyDescent="0.2">
      <c r="A15201" s="22" t="str">
        <f>HYPERLINK("javascript:void(0)","prizmás pajzs")</f>
        <v>prizmás pajzs</v>
      </c>
      <c r="B15201" s="21"/>
      <c r="C15201" s="21"/>
      <c r="D15201" s="21"/>
    </row>
    <row r="15202" spans="1:4" ht="12.75" customHeight="1" x14ac:dyDescent="0.2">
      <c r="A15202" s="20"/>
      <c r="B15202" s="2"/>
      <c r="C15202" s="7"/>
      <c r="D15202" s="7"/>
    </row>
    <row r="15203" spans="1:4" ht="12.75" customHeight="1" x14ac:dyDescent="0.2">
      <c r="A15203" s="21"/>
      <c r="B15203" s="3" t="s">
        <v>0</v>
      </c>
      <c r="C15203" s="23" t="s">
        <v>110</v>
      </c>
      <c r="D15203" s="21"/>
    </row>
    <row r="15204" spans="1:4" ht="12.75" customHeight="1" x14ac:dyDescent="0.2">
      <c r="A15204" s="21"/>
      <c r="B15204" s="3" t="s">
        <v>2</v>
      </c>
      <c r="C15204" s="23" t="s">
        <v>1839</v>
      </c>
      <c r="D15204" s="21"/>
    </row>
    <row r="15205" spans="1:4" ht="12.75" customHeight="1" x14ac:dyDescent="0.2">
      <c r="A15205" s="21"/>
      <c r="B15205" s="3" t="s">
        <v>1840</v>
      </c>
      <c r="C15205" s="23" t="s">
        <v>1558</v>
      </c>
      <c r="D15205" s="21"/>
    </row>
    <row r="15206" spans="1:4" ht="12.75" customHeight="1" x14ac:dyDescent="0.2">
      <c r="A15206" s="21"/>
      <c r="B15206" s="3" t="s">
        <v>9</v>
      </c>
      <c r="C15206" s="23" t="s">
        <v>1734</v>
      </c>
      <c r="D15206" s="21"/>
    </row>
    <row r="15207" spans="1:4" ht="12.75" customHeight="1" x14ac:dyDescent="0.2">
      <c r="A15207" s="21"/>
      <c r="B15207" s="3" t="s">
        <v>11</v>
      </c>
      <c r="C15207" s="23" t="s">
        <v>5573</v>
      </c>
      <c r="D15207" s="21"/>
    </row>
    <row r="15208" spans="1:4" ht="12.75" customHeight="1" x14ac:dyDescent="0.2">
      <c r="A15208" s="21"/>
      <c r="B15208" s="3" t="s">
        <v>16</v>
      </c>
      <c r="C15208" s="23"/>
      <c r="D15208" s="21"/>
    </row>
    <row r="15209" spans="1:4" ht="12.75" customHeight="1" x14ac:dyDescent="0.2">
      <c r="A15209" s="21"/>
      <c r="B15209" s="3" t="s">
        <v>17</v>
      </c>
      <c r="C15209" s="23" t="s">
        <v>19</v>
      </c>
      <c r="D15209" s="21"/>
    </row>
    <row r="15210" spans="1:4" ht="12.75" customHeight="1" x14ac:dyDescent="0.2">
      <c r="A15210" s="21"/>
      <c r="B15210" s="20" t="s">
        <v>18</v>
      </c>
      <c r="C15210" s="8" t="s">
        <v>44</v>
      </c>
      <c r="D15210" s="1" t="str">
        <f>HYPERLINK("javascript:void(0)","csontlemezes pajzs")</f>
        <v>csontlemezes pajzs</v>
      </c>
    </row>
    <row r="15211" spans="1:4" ht="12.75" customHeight="1" x14ac:dyDescent="0.2">
      <c r="A15211" s="21"/>
      <c r="B15211" s="21"/>
      <c r="C15211" s="8" t="s">
        <v>420</v>
      </c>
      <c r="D15211" s="1" t="str">
        <f>HYPERLINK("javascript:void(0)","üvegcserép")</f>
        <v>üvegcserép</v>
      </c>
    </row>
    <row r="15212" spans="1:4" ht="12.75" customHeight="1" x14ac:dyDescent="0.2">
      <c r="A15212" s="21"/>
      <c r="B15212" s="21"/>
      <c r="C15212" s="8" t="s">
        <v>265</v>
      </c>
      <c r="D15212" s="1" t="str">
        <f>HYPERLINK("javascript:void(0)","gólemamulett")</f>
        <v>gólemamulett</v>
      </c>
    </row>
    <row r="15213" spans="1:4" ht="12.75" customHeight="1" x14ac:dyDescent="0.2">
      <c r="A15213" s="21"/>
      <c r="B15213" s="2"/>
      <c r="C15213" s="7"/>
      <c r="D15213" s="7"/>
    </row>
    <row r="15214" spans="1:4" ht="12.75" customHeight="1" x14ac:dyDescent="0.2">
      <c r="A15214" s="21"/>
      <c r="B15214" s="2"/>
      <c r="C15214" s="7"/>
      <c r="D15214" s="7"/>
    </row>
    <row r="15215" spans="1:4" ht="12.75" customHeight="1" x14ac:dyDescent="0.2">
      <c r="A15215" s="21"/>
      <c r="B15215" s="2"/>
      <c r="C15215" s="7"/>
      <c r="D15215" s="7"/>
    </row>
    <row r="15216" spans="1:4" ht="12.75" customHeight="1" x14ac:dyDescent="0.2">
      <c r="A15216" s="21"/>
      <c r="B15216" s="2"/>
      <c r="C15216" s="7"/>
      <c r="D15216" s="7"/>
    </row>
    <row r="15217" spans="1:4" ht="12.75" customHeight="1" x14ac:dyDescent="0.2">
      <c r="A15217" s="5"/>
      <c r="B15217" s="2"/>
      <c r="C15217" s="7"/>
      <c r="D15217" s="7"/>
    </row>
    <row r="15218" spans="1:4" ht="12.75" customHeight="1" x14ac:dyDescent="0.2">
      <c r="A15218" s="22" t="str">
        <f>HYPERLINK("javascript:void(0)","angyalacél szellempajzs")</f>
        <v>angyalacél szellempajzs</v>
      </c>
      <c r="B15218" s="21"/>
      <c r="C15218" s="21"/>
      <c r="D15218" s="21"/>
    </row>
    <row r="15219" spans="1:4" ht="12.75" customHeight="1" x14ac:dyDescent="0.2">
      <c r="A15219" s="20"/>
      <c r="B15219" s="2"/>
      <c r="C15219" s="7"/>
      <c r="D15219" s="7"/>
    </row>
    <row r="15220" spans="1:4" ht="12.75" customHeight="1" x14ac:dyDescent="0.2">
      <c r="A15220" s="21"/>
      <c r="B15220" s="3" t="s">
        <v>0</v>
      </c>
      <c r="C15220" s="23" t="s">
        <v>110</v>
      </c>
      <c r="D15220" s="21"/>
    </row>
    <row r="15221" spans="1:4" ht="12.75" customHeight="1" x14ac:dyDescent="0.2">
      <c r="A15221" s="21"/>
      <c r="B15221" s="3" t="s">
        <v>2</v>
      </c>
      <c r="C15221" s="23" t="s">
        <v>1839</v>
      </c>
      <c r="D15221" s="21"/>
    </row>
    <row r="15222" spans="1:4" ht="12.75" customHeight="1" x14ac:dyDescent="0.2">
      <c r="A15222" s="21"/>
      <c r="B15222" s="3" t="s">
        <v>1840</v>
      </c>
      <c r="C15222" s="23" t="s">
        <v>1558</v>
      </c>
      <c r="D15222" s="21"/>
    </row>
    <row r="15223" spans="1:4" ht="12.75" customHeight="1" x14ac:dyDescent="0.2">
      <c r="A15223" s="21"/>
      <c r="B15223" s="3" t="s">
        <v>9</v>
      </c>
      <c r="C15223" s="23" t="s">
        <v>4972</v>
      </c>
      <c r="D15223" s="21"/>
    </row>
    <row r="15224" spans="1:4" ht="12.75" customHeight="1" x14ac:dyDescent="0.2">
      <c r="A15224" s="21"/>
      <c r="B15224" s="3" t="s">
        <v>11</v>
      </c>
      <c r="C15224" s="23" t="s">
        <v>2542</v>
      </c>
      <c r="D15224" s="21"/>
    </row>
    <row r="15225" spans="1:4" ht="12.75" customHeight="1" x14ac:dyDescent="0.2">
      <c r="A15225" s="21"/>
      <c r="B15225" s="3" t="s">
        <v>16</v>
      </c>
      <c r="C15225" s="23"/>
      <c r="D15225" s="21"/>
    </row>
    <row r="15226" spans="1:4" ht="12.75" customHeight="1" x14ac:dyDescent="0.2">
      <c r="A15226" s="21"/>
      <c r="B15226" s="3" t="s">
        <v>17</v>
      </c>
      <c r="C15226" s="23" t="s">
        <v>19</v>
      </c>
      <c r="D15226" s="21"/>
    </row>
    <row r="15227" spans="1:4" ht="12.75" customHeight="1" x14ac:dyDescent="0.2">
      <c r="A15227" s="21"/>
      <c r="B15227" s="20" t="s">
        <v>18</v>
      </c>
      <c r="C15227" s="8" t="s">
        <v>44</v>
      </c>
      <c r="D15227" s="1" t="str">
        <f>HYPERLINK("javascript:void(0)","prizmás pajzs")</f>
        <v>prizmás pajzs</v>
      </c>
    </row>
    <row r="15228" spans="1:4" ht="12.75" customHeight="1" x14ac:dyDescent="0.2">
      <c r="A15228" s="21"/>
      <c r="B15228" s="21"/>
      <c r="C15228" s="8" t="s">
        <v>2314</v>
      </c>
      <c r="D15228" s="1" t="str">
        <f>HYPERLINK("javascript:void(0)","angyalhaj")</f>
        <v>angyalhaj</v>
      </c>
    </row>
    <row r="15229" spans="1:4" ht="12.75" customHeight="1" x14ac:dyDescent="0.2">
      <c r="A15229" s="21"/>
      <c r="B15229" s="21"/>
      <c r="C15229" s="8" t="s">
        <v>2005</v>
      </c>
      <c r="D15229" s="1" t="str">
        <f>HYPERLINK("javascript:void(0)","tuskójelvény")</f>
        <v>tuskójelvény</v>
      </c>
    </row>
    <row r="15230" spans="1:4" ht="12.75" customHeight="1" x14ac:dyDescent="0.2">
      <c r="A15230" s="21"/>
      <c r="B15230" s="2"/>
      <c r="C15230" s="7"/>
      <c r="D15230" s="7"/>
    </row>
    <row r="15231" spans="1:4" ht="12.75" customHeight="1" x14ac:dyDescent="0.2">
      <c r="A15231" s="21"/>
      <c r="B15231" s="2"/>
      <c r="C15231" s="7"/>
      <c r="D15231" s="7"/>
    </row>
    <row r="15232" spans="1:4" ht="12.75" customHeight="1" x14ac:dyDescent="0.2">
      <c r="A15232" s="21"/>
      <c r="B15232" s="2"/>
      <c r="C15232" s="7"/>
      <c r="D15232" s="7"/>
    </row>
    <row r="15233" spans="1:4" ht="12.75" customHeight="1" x14ac:dyDescent="0.2">
      <c r="A15233" s="21"/>
      <c r="B15233" s="2"/>
      <c r="C15233" s="7"/>
      <c r="D15233" s="7"/>
    </row>
    <row r="15234" spans="1:4" ht="12.75" customHeight="1" x14ac:dyDescent="0.2">
      <c r="A15234" s="5"/>
      <c r="B15234" s="2"/>
      <c r="C15234" s="7"/>
      <c r="D15234" s="7"/>
    </row>
    <row r="15235" spans="1:4" ht="12.75" customHeight="1" x14ac:dyDescent="0.2">
      <c r="A15235" s="22" t="str">
        <f>HYPERLINK("javascript:void(0)","kristálytalp")</f>
        <v>kristálytalp</v>
      </c>
      <c r="B15235" s="21"/>
      <c r="C15235" s="21"/>
      <c r="D15235" s="21"/>
    </row>
    <row r="15236" spans="1:4" ht="12.75" customHeight="1" x14ac:dyDescent="0.2">
      <c r="A15236" s="20"/>
      <c r="B15236" s="2"/>
      <c r="C15236" s="7"/>
      <c r="D15236" s="7"/>
    </row>
    <row r="15237" spans="1:4" ht="12.75" customHeight="1" x14ac:dyDescent="0.2">
      <c r="A15237" s="21"/>
      <c r="B15237" s="3" t="s">
        <v>0</v>
      </c>
      <c r="C15237" s="23" t="s">
        <v>110</v>
      </c>
      <c r="D15237" s="21"/>
    </row>
    <row r="15238" spans="1:4" ht="12.75" customHeight="1" x14ac:dyDescent="0.2">
      <c r="A15238" s="21"/>
      <c r="B15238" s="3" t="s">
        <v>2</v>
      </c>
      <c r="C15238" s="23"/>
      <c r="D15238" s="21"/>
    </row>
    <row r="15239" spans="1:4" ht="12.75" customHeight="1" x14ac:dyDescent="0.2">
      <c r="A15239" s="21"/>
      <c r="B15239" s="3" t="s">
        <v>1840</v>
      </c>
      <c r="C15239" s="23" t="s">
        <v>671</v>
      </c>
      <c r="D15239" s="21"/>
    </row>
    <row r="15240" spans="1:4" ht="12.75" customHeight="1" x14ac:dyDescent="0.2">
      <c r="A15240" s="21"/>
      <c r="B15240" s="3" t="s">
        <v>9</v>
      </c>
      <c r="C15240" s="23" t="s">
        <v>1321</v>
      </c>
      <c r="D15240" s="21"/>
    </row>
    <row r="15241" spans="1:4" ht="12.75" customHeight="1" x14ac:dyDescent="0.2">
      <c r="A15241" s="21"/>
      <c r="B15241" s="3" t="s">
        <v>11</v>
      </c>
      <c r="C15241" s="23" t="s">
        <v>2212</v>
      </c>
      <c r="D15241" s="21"/>
    </row>
    <row r="15242" spans="1:4" ht="12.75" customHeight="1" x14ac:dyDescent="0.2">
      <c r="A15242" s="21"/>
      <c r="B15242" s="3" t="s">
        <v>16</v>
      </c>
      <c r="C15242" s="23"/>
      <c r="D15242" s="21"/>
    </row>
    <row r="15243" spans="1:4" ht="12.75" customHeight="1" x14ac:dyDescent="0.2">
      <c r="A15243" s="21"/>
      <c r="B15243" s="3" t="s">
        <v>17</v>
      </c>
      <c r="C15243" s="23" t="s">
        <v>19</v>
      </c>
      <c r="D15243" s="21"/>
    </row>
    <row r="15244" spans="1:4" ht="12.75" customHeight="1" x14ac:dyDescent="0.2">
      <c r="A15244" s="21"/>
      <c r="B15244" s="20" t="s">
        <v>18</v>
      </c>
      <c r="C15244" s="8" t="s">
        <v>786</v>
      </c>
      <c r="D15244" s="1" t="str">
        <f>HYPERLINK("javascript:void(0)","ikerkristály")</f>
        <v>ikerkristály</v>
      </c>
    </row>
    <row r="15245" spans="1:4" ht="12.75" customHeight="1" x14ac:dyDescent="0.2">
      <c r="A15245" s="21"/>
      <c r="B15245" s="21"/>
      <c r="C15245" s="8" t="s">
        <v>240</v>
      </c>
      <c r="D15245" s="1" t="str">
        <f>HYPERLINK("javascript:void(0)","tuskójelvény")</f>
        <v>tuskójelvény</v>
      </c>
    </row>
    <row r="15246" spans="1:4" ht="12.75" customHeight="1" x14ac:dyDescent="0.2">
      <c r="A15246" s="21"/>
      <c r="B15246" s="21"/>
      <c r="C15246" s="8" t="s">
        <v>265</v>
      </c>
      <c r="D15246" s="1" t="str">
        <f>HYPERLINK("javascript:void(0)","kvarc")</f>
        <v>kvarc</v>
      </c>
    </row>
    <row r="15247" spans="1:4" ht="12.75" customHeight="1" x14ac:dyDescent="0.2">
      <c r="A15247" s="21"/>
      <c r="B15247" s="2"/>
      <c r="C15247" s="7"/>
      <c r="D15247" s="7"/>
    </row>
    <row r="15248" spans="1:4" ht="12.75" customHeight="1" x14ac:dyDescent="0.2">
      <c r="A15248" s="21"/>
      <c r="B15248" s="2"/>
      <c r="C15248" s="7"/>
      <c r="D15248" s="7"/>
    </row>
    <row r="15249" spans="1:4" ht="12.75" customHeight="1" x14ac:dyDescent="0.2">
      <c r="A15249" s="21"/>
      <c r="B15249" s="2"/>
      <c r="C15249" s="7"/>
      <c r="D15249" s="7"/>
    </row>
    <row r="15250" spans="1:4" ht="12.75" customHeight="1" x14ac:dyDescent="0.2">
      <c r="A15250" s="21"/>
      <c r="B15250" s="2"/>
      <c r="C15250" s="7"/>
      <c r="D15250" s="7"/>
    </row>
    <row r="15251" spans="1:4" ht="12.75" customHeight="1" x14ac:dyDescent="0.2">
      <c r="A15251" s="5"/>
      <c r="B15251" s="2"/>
      <c r="C15251" s="7"/>
      <c r="D15251" s="7"/>
    </row>
    <row r="15252" spans="1:4" ht="12.75" customHeight="1" x14ac:dyDescent="0.2">
      <c r="A15252" s="22" t="str">
        <f>HYPERLINK("javascript:void(0)","csillámló trollpajzs")</f>
        <v>csillámló trollpajzs</v>
      </c>
      <c r="B15252" s="21"/>
      <c r="C15252" s="21"/>
      <c r="D15252" s="21"/>
    </row>
    <row r="15253" spans="1:4" ht="12.75" customHeight="1" x14ac:dyDescent="0.2">
      <c r="A15253" s="20"/>
      <c r="B15253" s="2"/>
      <c r="C15253" s="7"/>
      <c r="D15253" s="7"/>
    </row>
    <row r="15254" spans="1:4" ht="12.75" customHeight="1" x14ac:dyDescent="0.2">
      <c r="A15254" s="21"/>
      <c r="B15254" s="3" t="s">
        <v>0</v>
      </c>
      <c r="C15254" s="23" t="s">
        <v>110</v>
      </c>
      <c r="D15254" s="21"/>
    </row>
    <row r="15255" spans="1:4" ht="12.75" customHeight="1" x14ac:dyDescent="0.2">
      <c r="A15255" s="21"/>
      <c r="B15255" s="3" t="s">
        <v>2</v>
      </c>
      <c r="C15255" s="23" t="s">
        <v>1839</v>
      </c>
      <c r="D15255" s="21"/>
    </row>
    <row r="15256" spans="1:4" ht="12.75" customHeight="1" x14ac:dyDescent="0.2">
      <c r="A15256" s="21"/>
      <c r="B15256" s="3" t="s">
        <v>1840</v>
      </c>
      <c r="C15256" s="23" t="s">
        <v>3844</v>
      </c>
      <c r="D15256" s="21"/>
    </row>
    <row r="15257" spans="1:4" ht="12.75" customHeight="1" x14ac:dyDescent="0.2">
      <c r="A15257" s="21"/>
      <c r="B15257" s="3" t="s">
        <v>9</v>
      </c>
      <c r="C15257" s="23" t="s">
        <v>5632</v>
      </c>
      <c r="D15257" s="21"/>
    </row>
    <row r="15258" spans="1:4" ht="12.75" customHeight="1" x14ac:dyDescent="0.2">
      <c r="A15258" s="21"/>
      <c r="B15258" s="3" t="s">
        <v>11</v>
      </c>
      <c r="C15258" s="23" t="s">
        <v>5573</v>
      </c>
      <c r="D15258" s="21"/>
    </row>
    <row r="15259" spans="1:4" ht="12.75" customHeight="1" x14ac:dyDescent="0.2">
      <c r="A15259" s="21"/>
      <c r="B15259" s="3" t="s">
        <v>16</v>
      </c>
      <c r="C15259" s="23"/>
      <c r="D15259" s="21"/>
    </row>
    <row r="15260" spans="1:4" ht="12.75" customHeight="1" x14ac:dyDescent="0.2">
      <c r="A15260" s="21"/>
      <c r="B15260" s="3" t="s">
        <v>17</v>
      </c>
      <c r="C15260" s="23" t="s">
        <v>19</v>
      </c>
      <c r="D15260" s="21"/>
    </row>
    <row r="15261" spans="1:4" ht="12.75" customHeight="1" x14ac:dyDescent="0.2">
      <c r="A15261" s="21"/>
      <c r="B15261" s="20" t="s">
        <v>18</v>
      </c>
      <c r="C15261" s="8" t="s">
        <v>57</v>
      </c>
      <c r="D15261" s="1" t="str">
        <f>HYPERLINK("javascript:void(0)","csillámgöb")</f>
        <v>csillámgöb</v>
      </c>
    </row>
    <row r="15262" spans="1:4" ht="12.75" customHeight="1" x14ac:dyDescent="0.2">
      <c r="A15262" s="21"/>
      <c r="B15262" s="21"/>
      <c r="C15262" s="8" t="s">
        <v>44</v>
      </c>
      <c r="D15262" s="1" t="str">
        <f>HYPERLINK("javascript:void(0)","csillámló patinapajzs")</f>
        <v>csillámló patinapajzs</v>
      </c>
    </row>
    <row r="15263" spans="1:4" ht="12.75" customHeight="1" x14ac:dyDescent="0.2">
      <c r="A15263" s="21"/>
      <c r="B15263" s="21"/>
      <c r="C15263" s="8" t="s">
        <v>57</v>
      </c>
      <c r="D15263" s="1" t="str">
        <f>HYPERLINK("javascript:void(0)","troll pajzs")</f>
        <v>troll pajzs</v>
      </c>
    </row>
    <row r="15264" spans="1:4" ht="12.75" customHeight="1" x14ac:dyDescent="0.2">
      <c r="A15264" s="21"/>
      <c r="B15264" s="2"/>
      <c r="C15264" s="7"/>
      <c r="D15264" s="7"/>
    </row>
    <row r="15265" spans="1:4" ht="12.75" customHeight="1" x14ac:dyDescent="0.2">
      <c r="A15265" s="21"/>
      <c r="B15265" s="2"/>
      <c r="C15265" s="7"/>
      <c r="D15265" s="7"/>
    </row>
    <row r="15266" spans="1:4" ht="12.75" customHeight="1" x14ac:dyDescent="0.2">
      <c r="A15266" s="21"/>
      <c r="B15266" s="2"/>
      <c r="C15266" s="7"/>
      <c r="D15266" s="7"/>
    </row>
    <row r="15267" spans="1:4" ht="12.75" customHeight="1" x14ac:dyDescent="0.2">
      <c r="A15267" s="21"/>
      <c r="B15267" s="2"/>
      <c r="C15267" s="7"/>
      <c r="D15267" s="7"/>
    </row>
    <row r="15268" spans="1:4" ht="12.75" customHeight="1" x14ac:dyDescent="0.2">
      <c r="A15268" s="5"/>
      <c r="B15268" s="2"/>
      <c r="C15268" s="7"/>
      <c r="D15268" s="7"/>
    </row>
    <row r="15269" spans="1:4" ht="12.75" customHeight="1" x14ac:dyDescent="0.2">
      <c r="A15269" s="22" t="str">
        <f>HYPERLINK("javascript:void(0)","csillámló trollcsizma")</f>
        <v>csillámló trollcsizma</v>
      </c>
      <c r="B15269" s="21"/>
      <c r="C15269" s="21"/>
      <c r="D15269" s="21"/>
    </row>
    <row r="15270" spans="1:4" ht="12.75" customHeight="1" x14ac:dyDescent="0.2">
      <c r="A15270" s="20"/>
      <c r="B15270" s="2"/>
      <c r="C15270" s="7"/>
      <c r="D15270" s="7"/>
    </row>
    <row r="15271" spans="1:4" ht="12.75" customHeight="1" x14ac:dyDescent="0.2">
      <c r="A15271" s="21"/>
      <c r="B15271" s="3" t="s">
        <v>0</v>
      </c>
      <c r="C15271" s="23" t="s">
        <v>110</v>
      </c>
      <c r="D15271" s="21"/>
    </row>
    <row r="15272" spans="1:4" ht="12.75" customHeight="1" x14ac:dyDescent="0.2">
      <c r="A15272" s="21"/>
      <c r="B15272" s="3" t="s">
        <v>2</v>
      </c>
      <c r="C15272" s="23"/>
      <c r="D15272" s="21"/>
    </row>
    <row r="15273" spans="1:4" ht="12.75" customHeight="1" x14ac:dyDescent="0.2">
      <c r="A15273" s="21"/>
      <c r="B15273" s="3" t="s">
        <v>1840</v>
      </c>
      <c r="C15273" s="23" t="s">
        <v>548</v>
      </c>
      <c r="D15273" s="21"/>
    </row>
    <row r="15274" spans="1:4" ht="12.75" customHeight="1" x14ac:dyDescent="0.2">
      <c r="A15274" s="21"/>
      <c r="B15274" s="3" t="s">
        <v>9</v>
      </c>
      <c r="C15274" s="23" t="s">
        <v>1414</v>
      </c>
      <c r="D15274" s="21"/>
    </row>
    <row r="15275" spans="1:4" ht="12.75" customHeight="1" x14ac:dyDescent="0.2">
      <c r="A15275" s="21"/>
      <c r="B15275" s="3" t="s">
        <v>11</v>
      </c>
      <c r="C15275" s="23" t="s">
        <v>2210</v>
      </c>
      <c r="D15275" s="21"/>
    </row>
    <row r="15276" spans="1:4" ht="12.75" customHeight="1" x14ac:dyDescent="0.2">
      <c r="A15276" s="21"/>
      <c r="B15276" s="3" t="s">
        <v>16</v>
      </c>
      <c r="C15276" s="23"/>
      <c r="D15276" s="21"/>
    </row>
    <row r="15277" spans="1:4" ht="12.75" customHeight="1" x14ac:dyDescent="0.2">
      <c r="A15277" s="21"/>
      <c r="B15277" s="3" t="s">
        <v>17</v>
      </c>
      <c r="C15277" s="23" t="s">
        <v>19</v>
      </c>
      <c r="D15277" s="21"/>
    </row>
    <row r="15278" spans="1:4" ht="12.75" customHeight="1" x14ac:dyDescent="0.2">
      <c r="A15278" s="21"/>
      <c r="B15278" s="20" t="s">
        <v>18</v>
      </c>
      <c r="C15278" s="8" t="s">
        <v>57</v>
      </c>
      <c r="D15278" s="1" t="str">
        <f>HYPERLINK("javascript:void(0)","csillámgöb")</f>
        <v>csillámgöb</v>
      </c>
    </row>
    <row r="15279" spans="1:4" ht="25.5" customHeight="1" x14ac:dyDescent="0.2">
      <c r="A15279" s="21"/>
      <c r="B15279" s="21"/>
      <c r="C15279" s="8" t="s">
        <v>44</v>
      </c>
      <c r="D15279" s="1" t="str">
        <f>HYPERLINK("javascript:void(0)","csillámló patinacsizma")</f>
        <v>csillámló patinacsizma</v>
      </c>
    </row>
    <row r="15280" spans="1:4" ht="12.75" customHeight="1" x14ac:dyDescent="0.2">
      <c r="A15280" s="21"/>
      <c r="B15280" s="21"/>
      <c r="C15280" s="8" t="s">
        <v>327</v>
      </c>
      <c r="D15280" s="1" t="str">
        <f>HYPERLINK("javascript:void(0)","bigapata")</f>
        <v>bigapata</v>
      </c>
    </row>
    <row r="15281" spans="1:4" ht="12.75" customHeight="1" x14ac:dyDescent="0.2">
      <c r="A15281" s="21"/>
      <c r="B15281" s="2"/>
      <c r="C15281" s="7"/>
      <c r="D15281" s="7"/>
    </row>
    <row r="15282" spans="1:4" ht="12.75" customHeight="1" x14ac:dyDescent="0.2">
      <c r="A15282" s="21"/>
      <c r="B15282" s="2"/>
      <c r="C15282" s="7"/>
      <c r="D15282" s="7"/>
    </row>
    <row r="15283" spans="1:4" ht="12.75" customHeight="1" x14ac:dyDescent="0.2">
      <c r="A15283" s="21"/>
      <c r="B15283" s="2"/>
      <c r="C15283" s="7"/>
      <c r="D15283" s="7"/>
    </row>
    <row r="15284" spans="1:4" ht="12.75" customHeight="1" x14ac:dyDescent="0.2">
      <c r="A15284" s="21"/>
      <c r="B15284" s="2"/>
      <c r="C15284" s="7"/>
      <c r="D15284" s="7"/>
    </row>
    <row r="15285" spans="1:4" ht="12.75" customHeight="1" x14ac:dyDescent="0.2">
      <c r="A15285" s="5"/>
      <c r="B15285" s="2"/>
      <c r="C15285" s="7"/>
      <c r="D15285" s="7"/>
    </row>
    <row r="15286" spans="1:4" ht="12.75" customHeight="1" x14ac:dyDescent="0.2">
      <c r="A15286" s="22" t="str">
        <f>HYPERLINK("javascript:void(0)","csillámos trollsisak")</f>
        <v>csillámos trollsisak</v>
      </c>
      <c r="B15286" s="21"/>
      <c r="C15286" s="21"/>
      <c r="D15286" s="21"/>
    </row>
    <row r="15287" spans="1:4" ht="12.75" customHeight="1" x14ac:dyDescent="0.2">
      <c r="A15287" s="20"/>
      <c r="B15287" s="2"/>
      <c r="C15287" s="7"/>
      <c r="D15287" s="7"/>
    </row>
    <row r="15288" spans="1:4" ht="12.75" customHeight="1" x14ac:dyDescent="0.2">
      <c r="A15288" s="21"/>
      <c r="B15288" s="3" t="s">
        <v>0</v>
      </c>
      <c r="C15288" s="23" t="s">
        <v>110</v>
      </c>
      <c r="D15288" s="21"/>
    </row>
    <row r="15289" spans="1:4" ht="12.75" customHeight="1" x14ac:dyDescent="0.2">
      <c r="A15289" s="21"/>
      <c r="B15289" s="3" t="s">
        <v>2</v>
      </c>
      <c r="C15289" s="23"/>
      <c r="D15289" s="21"/>
    </row>
    <row r="15290" spans="1:4" ht="12.75" customHeight="1" x14ac:dyDescent="0.2">
      <c r="A15290" s="21"/>
      <c r="B15290" s="3" t="s">
        <v>1840</v>
      </c>
      <c r="C15290" s="23" t="s">
        <v>273</v>
      </c>
      <c r="D15290" s="21"/>
    </row>
    <row r="15291" spans="1:4" ht="12.75" customHeight="1" x14ac:dyDescent="0.2">
      <c r="A15291" s="21"/>
      <c r="B15291" s="3" t="s">
        <v>9</v>
      </c>
      <c r="C15291" s="23" t="s">
        <v>934</v>
      </c>
      <c r="D15291" s="21"/>
    </row>
    <row r="15292" spans="1:4" ht="12.75" customHeight="1" x14ac:dyDescent="0.2">
      <c r="A15292" s="21"/>
      <c r="B15292" s="3" t="s">
        <v>11</v>
      </c>
      <c r="C15292" s="23" t="s">
        <v>2201</v>
      </c>
      <c r="D15292" s="21"/>
    </row>
    <row r="15293" spans="1:4" ht="12.75" customHeight="1" x14ac:dyDescent="0.2">
      <c r="A15293" s="21"/>
      <c r="B15293" s="3" t="s">
        <v>16</v>
      </c>
      <c r="C15293" s="23"/>
      <c r="D15293" s="21"/>
    </row>
    <row r="15294" spans="1:4" ht="12.75" customHeight="1" x14ac:dyDescent="0.2">
      <c r="A15294" s="21"/>
      <c r="B15294" s="3" t="s">
        <v>17</v>
      </c>
      <c r="C15294" s="23" t="s">
        <v>19</v>
      </c>
      <c r="D15294" s="21"/>
    </row>
    <row r="15295" spans="1:4" ht="12.75" customHeight="1" x14ac:dyDescent="0.2">
      <c r="A15295" s="21"/>
      <c r="B15295" s="20" t="s">
        <v>18</v>
      </c>
      <c r="C15295" s="8" t="s">
        <v>57</v>
      </c>
      <c r="D15295" s="1" t="str">
        <f>HYPERLINK("javascript:void(0)","csillámgöb")</f>
        <v>csillámgöb</v>
      </c>
    </row>
    <row r="15296" spans="1:4" ht="25.5" customHeight="1" x14ac:dyDescent="0.2">
      <c r="A15296" s="21"/>
      <c r="B15296" s="21"/>
      <c r="C15296" s="8" t="s">
        <v>44</v>
      </c>
      <c r="D15296" s="1" t="str">
        <f>HYPERLINK("javascript:void(0)","csillámos patinasisak")</f>
        <v>csillámos patinasisak</v>
      </c>
    </row>
    <row r="15297" spans="1:4" ht="12.75" customHeight="1" x14ac:dyDescent="0.2">
      <c r="A15297" s="21"/>
      <c r="B15297" s="21"/>
      <c r="C15297" s="8" t="s">
        <v>280</v>
      </c>
      <c r="D15297" s="1" t="str">
        <f>HYPERLINK("javascript:void(0)","porszőr")</f>
        <v>porszőr</v>
      </c>
    </row>
    <row r="15298" spans="1:4" ht="12.75" customHeight="1" x14ac:dyDescent="0.2">
      <c r="A15298" s="21"/>
      <c r="B15298" s="2"/>
      <c r="C15298" s="7"/>
      <c r="D15298" s="7"/>
    </row>
    <row r="15299" spans="1:4" ht="12.75" customHeight="1" x14ac:dyDescent="0.2">
      <c r="A15299" s="21"/>
      <c r="B15299" s="2"/>
      <c r="C15299" s="7"/>
      <c r="D15299" s="7"/>
    </row>
    <row r="15300" spans="1:4" ht="12.75" customHeight="1" x14ac:dyDescent="0.2">
      <c r="A15300" s="21"/>
      <c r="B15300" s="2"/>
      <c r="C15300" s="7"/>
      <c r="D15300" s="7"/>
    </row>
    <row r="15301" spans="1:4" ht="12.75" customHeight="1" x14ac:dyDescent="0.2">
      <c r="A15301" s="21"/>
      <c r="B15301" s="2"/>
      <c r="C15301" s="7"/>
      <c r="D15301" s="7"/>
    </row>
    <row r="15302" spans="1:4" ht="12.75" customHeight="1" x14ac:dyDescent="0.2">
      <c r="A15302" s="5"/>
      <c r="B15302" s="2"/>
      <c r="C15302" s="7"/>
      <c r="D15302" s="7"/>
    </row>
    <row r="15303" spans="1:4" ht="12.75" customHeight="1" x14ac:dyDescent="0.2">
      <c r="A15303" s="22" t="str">
        <f>HYPERLINK("javascript:void(0)","csillámló trollpáncél")</f>
        <v>csillámló trollpáncél</v>
      </c>
      <c r="B15303" s="21"/>
      <c r="C15303" s="21"/>
      <c r="D15303" s="21"/>
    </row>
    <row r="15304" spans="1:4" ht="12.75" customHeight="1" x14ac:dyDescent="0.2">
      <c r="A15304" s="20"/>
      <c r="B15304" s="2"/>
      <c r="C15304" s="7"/>
      <c r="D15304" s="7"/>
    </row>
    <row r="15305" spans="1:4" ht="12.75" customHeight="1" x14ac:dyDescent="0.2">
      <c r="A15305" s="21"/>
      <c r="B15305" s="3" t="s">
        <v>0</v>
      </c>
      <c r="C15305" s="23" t="s">
        <v>110</v>
      </c>
      <c r="D15305" s="21"/>
    </row>
    <row r="15306" spans="1:4" ht="12.75" customHeight="1" x14ac:dyDescent="0.2">
      <c r="A15306" s="21"/>
      <c r="B15306" s="3" t="s">
        <v>2</v>
      </c>
      <c r="C15306" s="23" t="s">
        <v>2322</v>
      </c>
      <c r="D15306" s="21"/>
    </row>
    <row r="15307" spans="1:4" ht="12.75" customHeight="1" x14ac:dyDescent="0.2">
      <c r="A15307" s="21"/>
      <c r="B15307" s="3" t="s">
        <v>1840</v>
      </c>
      <c r="C15307" s="23" t="s">
        <v>2529</v>
      </c>
      <c r="D15307" s="21"/>
    </row>
    <row r="15308" spans="1:4" ht="12.75" customHeight="1" x14ac:dyDescent="0.2">
      <c r="A15308" s="21"/>
      <c r="B15308" s="3" t="s">
        <v>9</v>
      </c>
      <c r="C15308" s="23" t="s">
        <v>2530</v>
      </c>
      <c r="D15308" s="21"/>
    </row>
    <row r="15309" spans="1:4" ht="12.75" customHeight="1" x14ac:dyDescent="0.2">
      <c r="A15309" s="21"/>
      <c r="B15309" s="3" t="s">
        <v>11</v>
      </c>
      <c r="C15309" s="23" t="s">
        <v>2201</v>
      </c>
      <c r="D15309" s="21"/>
    </row>
    <row r="15310" spans="1:4" ht="12.75" customHeight="1" x14ac:dyDescent="0.2">
      <c r="A15310" s="21"/>
      <c r="B15310" s="3" t="s">
        <v>16</v>
      </c>
      <c r="C15310" s="23"/>
      <c r="D15310" s="21"/>
    </row>
    <row r="15311" spans="1:4" ht="12.75" customHeight="1" x14ac:dyDescent="0.2">
      <c r="A15311" s="21"/>
      <c r="B15311" s="3" t="s">
        <v>17</v>
      </c>
      <c r="C15311" s="23" t="s">
        <v>19</v>
      </c>
      <c r="D15311" s="21"/>
    </row>
    <row r="15312" spans="1:4" ht="12.75" customHeight="1" x14ac:dyDescent="0.2">
      <c r="A15312" s="21"/>
      <c r="B15312" s="20" t="s">
        <v>18</v>
      </c>
      <c r="C15312" s="8" t="s">
        <v>57</v>
      </c>
      <c r="D15312" s="1" t="str">
        <f>HYPERLINK("javascript:void(0)","csillámgöb")</f>
        <v>csillámgöb</v>
      </c>
    </row>
    <row r="15313" spans="1:4" ht="25.5" customHeight="1" x14ac:dyDescent="0.2">
      <c r="A15313" s="21"/>
      <c r="B15313" s="21"/>
      <c r="C15313" s="8" t="s">
        <v>44</v>
      </c>
      <c r="D15313" s="1" t="str">
        <f>HYPERLINK("javascript:void(0)","csillámló patinapáncél")</f>
        <v>csillámló patinapáncél</v>
      </c>
    </row>
    <row r="15314" spans="1:4" ht="12.75" customHeight="1" x14ac:dyDescent="0.2">
      <c r="A15314" s="21"/>
      <c r="B15314" s="21"/>
      <c r="C15314" s="8" t="s">
        <v>1494</v>
      </c>
      <c r="D15314" s="1" t="str">
        <f>HYPERLINK("javascript:void(0)","vitorla")</f>
        <v>vitorla</v>
      </c>
    </row>
    <row r="15315" spans="1:4" ht="12.75" customHeight="1" x14ac:dyDescent="0.2">
      <c r="A15315" s="21"/>
      <c r="B15315" s="2"/>
      <c r="C15315" s="7"/>
      <c r="D15315" s="7"/>
    </row>
    <row r="15316" spans="1:4" ht="12.75" customHeight="1" x14ac:dyDescent="0.2">
      <c r="A15316" s="21"/>
      <c r="B15316" s="2"/>
      <c r="C15316" s="7"/>
      <c r="D15316" s="7"/>
    </row>
    <row r="15317" spans="1:4" ht="12.75" customHeight="1" x14ac:dyDescent="0.2">
      <c r="A15317" s="21"/>
      <c r="B15317" s="2"/>
      <c r="C15317" s="7"/>
      <c r="D15317" s="7"/>
    </row>
    <row r="15318" spans="1:4" ht="12.75" customHeight="1" x14ac:dyDescent="0.2">
      <c r="A15318" s="21"/>
      <c r="B15318" s="2"/>
      <c r="C15318" s="7"/>
      <c r="D15318" s="7"/>
    </row>
    <row r="15319" spans="1:4" ht="12.75" customHeight="1" x14ac:dyDescent="0.2">
      <c r="A15319" s="5"/>
      <c r="B15319" s="2"/>
      <c r="C15319" s="7"/>
      <c r="D15319" s="7"/>
    </row>
    <row r="15320" spans="1:4" ht="12.75" customHeight="1" x14ac:dyDescent="0.2">
      <c r="A15320" s="22" t="str">
        <f>HYPERLINK("javascript:void(0)","zombipáncél")</f>
        <v>zombipáncél</v>
      </c>
      <c r="B15320" s="21"/>
      <c r="C15320" s="21"/>
      <c r="D15320" s="21"/>
    </row>
    <row r="15321" spans="1:4" ht="12.75" customHeight="1" x14ac:dyDescent="0.2">
      <c r="A15321" s="20"/>
      <c r="B15321" s="2"/>
      <c r="C15321" s="7"/>
      <c r="D15321" s="7"/>
    </row>
    <row r="15322" spans="1:4" ht="12.75" customHeight="1" x14ac:dyDescent="0.2">
      <c r="A15322" s="21"/>
      <c r="B15322" s="3" t="s">
        <v>0</v>
      </c>
      <c r="C15322" s="23" t="s">
        <v>1142</v>
      </c>
      <c r="D15322" s="21"/>
    </row>
    <row r="15323" spans="1:4" ht="12.75" customHeight="1" x14ac:dyDescent="0.2">
      <c r="A15323" s="21"/>
      <c r="B15323" s="3" t="s">
        <v>2</v>
      </c>
      <c r="C15323" s="23" t="s">
        <v>2322</v>
      </c>
      <c r="D15323" s="21"/>
    </row>
    <row r="15324" spans="1:4" ht="12.75" customHeight="1" x14ac:dyDescent="0.2">
      <c r="A15324" s="21"/>
      <c r="B15324" s="3" t="s">
        <v>1840</v>
      </c>
      <c r="C15324" s="23" t="s">
        <v>2531</v>
      </c>
      <c r="D15324" s="21"/>
    </row>
    <row r="15325" spans="1:4" ht="12.75" customHeight="1" x14ac:dyDescent="0.2">
      <c r="A15325" s="21"/>
      <c r="B15325" s="3" t="s">
        <v>9</v>
      </c>
      <c r="C15325" s="23" t="s">
        <v>707</v>
      </c>
      <c r="D15325" s="21"/>
    </row>
    <row r="15326" spans="1:4" ht="12.75" customHeight="1" x14ac:dyDescent="0.2">
      <c r="A15326" s="21"/>
      <c r="B15326" s="3" t="s">
        <v>11</v>
      </c>
      <c r="C15326" s="23" t="s">
        <v>1047</v>
      </c>
      <c r="D15326" s="21"/>
    </row>
    <row r="15327" spans="1:4" ht="12.75" customHeight="1" x14ac:dyDescent="0.2">
      <c r="A15327" s="21"/>
      <c r="B15327" s="3" t="s">
        <v>16</v>
      </c>
      <c r="C15327" s="23"/>
      <c r="D15327" s="21"/>
    </row>
    <row r="15328" spans="1:4" ht="12.75" customHeight="1" x14ac:dyDescent="0.2">
      <c r="A15328" s="21"/>
      <c r="B15328" s="3" t="s">
        <v>17</v>
      </c>
      <c r="C15328" s="23" t="s">
        <v>19</v>
      </c>
      <c r="D15328" s="21"/>
    </row>
    <row r="15329" spans="1:4" ht="12.75" customHeight="1" x14ac:dyDescent="0.2">
      <c r="A15329" s="21"/>
      <c r="B15329" s="20" t="s">
        <v>18</v>
      </c>
      <c r="C15329" s="8" t="s">
        <v>44</v>
      </c>
      <c r="D15329" s="1" t="str">
        <f>HYPERLINK("javascript:void(0)","tuskóvért")</f>
        <v>tuskóvért</v>
      </c>
    </row>
    <row r="15330" spans="1:4" ht="12.75" customHeight="1" x14ac:dyDescent="0.2">
      <c r="A15330" s="21"/>
      <c r="B15330" s="21"/>
      <c r="C15330" s="8" t="s">
        <v>44</v>
      </c>
      <c r="D15330" s="1" t="str">
        <f>HYPERLINK("javascript:void(0)","tövispáncél")</f>
        <v>tövispáncél</v>
      </c>
    </row>
    <row r="15331" spans="1:4" ht="12.75" customHeight="1" x14ac:dyDescent="0.2">
      <c r="A15331" s="21"/>
      <c r="B15331" s="21"/>
      <c r="C15331" s="8" t="s">
        <v>44</v>
      </c>
      <c r="D15331" s="1" t="str">
        <f>HYPERLINK("javascript:void(0)","életmellény")</f>
        <v>életmellény</v>
      </c>
    </row>
    <row r="15332" spans="1:4" ht="12.75" customHeight="1" x14ac:dyDescent="0.2">
      <c r="A15332" s="21"/>
      <c r="B15332" s="2"/>
      <c r="C15332" s="7"/>
      <c r="D15332" s="7"/>
    </row>
    <row r="15333" spans="1:4" ht="12.75" customHeight="1" x14ac:dyDescent="0.2">
      <c r="A15333" s="21"/>
      <c r="B15333" s="2"/>
      <c r="C15333" s="7"/>
      <c r="D15333" s="7"/>
    </row>
    <row r="15334" spans="1:4" ht="12.75" customHeight="1" x14ac:dyDescent="0.2">
      <c r="A15334" s="21"/>
      <c r="B15334" s="2"/>
      <c r="C15334" s="7"/>
      <c r="D15334" s="7"/>
    </row>
    <row r="15335" spans="1:4" ht="12.75" customHeight="1" x14ac:dyDescent="0.2">
      <c r="A15335" s="21"/>
      <c r="B15335" s="2"/>
      <c r="C15335" s="7"/>
      <c r="D15335" s="7"/>
    </row>
    <row r="15336" spans="1:4" ht="12.75" customHeight="1" x14ac:dyDescent="0.2">
      <c r="A15336" s="5"/>
      <c r="B15336" s="2"/>
      <c r="C15336" s="7"/>
      <c r="D15336" s="7"/>
    </row>
    <row r="15337" spans="1:4" ht="12.75" customHeight="1" x14ac:dyDescent="0.2">
      <c r="A15337" s="22" t="str">
        <f>HYPERLINK("javascript:void(0)","csontsisak")</f>
        <v>csontsisak</v>
      </c>
      <c r="B15337" s="21"/>
      <c r="C15337" s="21"/>
      <c r="D15337" s="21"/>
    </row>
    <row r="15338" spans="1:4" ht="12.75" customHeight="1" x14ac:dyDescent="0.2">
      <c r="A15338" s="20"/>
      <c r="B15338" s="2"/>
      <c r="C15338" s="7"/>
      <c r="D15338" s="7"/>
    </row>
    <row r="15339" spans="1:4" ht="12.75" customHeight="1" x14ac:dyDescent="0.2">
      <c r="A15339" s="21"/>
      <c r="B15339" s="3" t="s">
        <v>0</v>
      </c>
      <c r="C15339" s="23" t="s">
        <v>1142</v>
      </c>
      <c r="D15339" s="21"/>
    </row>
    <row r="15340" spans="1:4" ht="12.75" customHeight="1" x14ac:dyDescent="0.2">
      <c r="A15340" s="21"/>
      <c r="B15340" s="3" t="s">
        <v>2</v>
      </c>
      <c r="C15340" s="23"/>
      <c r="D15340" s="21"/>
    </row>
    <row r="15341" spans="1:4" ht="12.75" customHeight="1" x14ac:dyDescent="0.2">
      <c r="A15341" s="21"/>
      <c r="B15341" s="3" t="s">
        <v>1840</v>
      </c>
      <c r="C15341" s="23" t="s">
        <v>5652</v>
      </c>
      <c r="D15341" s="21"/>
    </row>
    <row r="15342" spans="1:4" ht="12.75" customHeight="1" x14ac:dyDescent="0.2">
      <c r="A15342" s="21"/>
      <c r="B15342" s="3" t="s">
        <v>9</v>
      </c>
      <c r="C15342" s="23" t="s">
        <v>4459</v>
      </c>
      <c r="D15342" s="21"/>
    </row>
    <row r="15343" spans="1:4" ht="12.75" customHeight="1" x14ac:dyDescent="0.2">
      <c r="A15343" s="21"/>
      <c r="B15343" s="3" t="s">
        <v>11</v>
      </c>
      <c r="C15343" s="23" t="s">
        <v>1047</v>
      </c>
      <c r="D15343" s="21"/>
    </row>
    <row r="15344" spans="1:4" ht="12.75" customHeight="1" x14ac:dyDescent="0.2">
      <c r="A15344" s="21"/>
      <c r="B15344" s="3" t="s">
        <v>16</v>
      </c>
      <c r="C15344" s="23"/>
      <c r="D15344" s="21"/>
    </row>
    <row r="15345" spans="1:4" ht="12.75" customHeight="1" x14ac:dyDescent="0.2">
      <c r="A15345" s="21"/>
      <c r="B15345" s="3" t="s">
        <v>17</v>
      </c>
      <c r="C15345" s="23" t="s">
        <v>19</v>
      </c>
      <c r="D15345" s="21"/>
    </row>
    <row r="15346" spans="1:4" ht="12.75" customHeight="1" x14ac:dyDescent="0.2">
      <c r="A15346" s="21"/>
      <c r="B15346" s="20" t="s">
        <v>18</v>
      </c>
      <c r="C15346" s="8" t="s">
        <v>117</v>
      </c>
      <c r="D15346" s="1" t="str">
        <f>HYPERLINK("javascript:void(0)","gránitrög")</f>
        <v>gránitrög</v>
      </c>
    </row>
    <row r="15347" spans="1:4" ht="12.75" customHeight="1" x14ac:dyDescent="0.2">
      <c r="A15347" s="21"/>
      <c r="B15347" s="21"/>
      <c r="C15347" s="8" t="s">
        <v>296</v>
      </c>
      <c r="D15347" s="1" t="str">
        <f>HYPERLINK("javascript:void(0)","dobverő")</f>
        <v>dobverő</v>
      </c>
    </row>
    <row r="15348" spans="1:4" ht="12.75" customHeight="1" x14ac:dyDescent="0.2">
      <c r="A15348" s="21"/>
      <c r="B15348" s="21"/>
      <c r="C15348" s="8" t="s">
        <v>809</v>
      </c>
      <c r="D15348" s="1" t="str">
        <f>HYPERLINK("javascript:void(0)","csonttoll")</f>
        <v>csonttoll</v>
      </c>
    </row>
    <row r="15349" spans="1:4" ht="12.75" customHeight="1" x14ac:dyDescent="0.2">
      <c r="A15349" s="21"/>
      <c r="B15349" s="2"/>
      <c r="C15349" s="7"/>
      <c r="D15349" s="7"/>
    </row>
    <row r="15350" spans="1:4" ht="12.75" customHeight="1" x14ac:dyDescent="0.2">
      <c r="A15350" s="21"/>
      <c r="B15350" s="2"/>
      <c r="C15350" s="7"/>
      <c r="D15350" s="7"/>
    </row>
    <row r="15351" spans="1:4" ht="12.75" customHeight="1" x14ac:dyDescent="0.2">
      <c r="A15351" s="21"/>
      <c r="B15351" s="2"/>
      <c r="C15351" s="7"/>
      <c r="D15351" s="7"/>
    </row>
    <row r="15352" spans="1:4" ht="12.75" customHeight="1" x14ac:dyDescent="0.2">
      <c r="A15352" s="21"/>
      <c r="B15352" s="2"/>
      <c r="C15352" s="7"/>
      <c r="D15352" s="7"/>
    </row>
    <row r="15353" spans="1:4" ht="12.75" customHeight="1" x14ac:dyDescent="0.2">
      <c r="A15353" s="5"/>
      <c r="B15353" s="2"/>
      <c r="C15353" s="7"/>
      <c r="D15353" s="7"/>
    </row>
    <row r="15354" spans="1:4" ht="12.75" customHeight="1" x14ac:dyDescent="0.2">
      <c r="A15354" s="22" t="str">
        <f>HYPERLINK("javascript:void(0)","kristálysaru")</f>
        <v>kristálysaru</v>
      </c>
      <c r="B15354" s="21"/>
      <c r="C15354" s="21"/>
      <c r="D15354" s="21"/>
    </row>
    <row r="15355" spans="1:4" ht="12.75" customHeight="1" x14ac:dyDescent="0.2">
      <c r="A15355" s="20"/>
      <c r="B15355" s="2"/>
      <c r="C15355" s="7"/>
      <c r="D15355" s="7"/>
    </row>
    <row r="15356" spans="1:4" ht="12.75" customHeight="1" x14ac:dyDescent="0.2">
      <c r="A15356" s="21"/>
      <c r="B15356" s="3" t="s">
        <v>0</v>
      </c>
      <c r="C15356" s="23" t="s">
        <v>1142</v>
      </c>
      <c r="D15356" s="21"/>
    </row>
    <row r="15357" spans="1:4" ht="12.75" customHeight="1" x14ac:dyDescent="0.2">
      <c r="A15357" s="21"/>
      <c r="B15357" s="3" t="s">
        <v>2</v>
      </c>
      <c r="C15357" s="23"/>
      <c r="D15357" s="21"/>
    </row>
    <row r="15358" spans="1:4" ht="12.75" customHeight="1" x14ac:dyDescent="0.2">
      <c r="A15358" s="21"/>
      <c r="B15358" s="3" t="s">
        <v>1840</v>
      </c>
      <c r="C15358" s="23" t="s">
        <v>2214</v>
      </c>
      <c r="D15358" s="21"/>
    </row>
    <row r="15359" spans="1:4" ht="12.75" customHeight="1" x14ac:dyDescent="0.2">
      <c r="A15359" s="21"/>
      <c r="B15359" s="3" t="s">
        <v>9</v>
      </c>
      <c r="C15359" s="23" t="s">
        <v>1054</v>
      </c>
      <c r="D15359" s="21"/>
    </row>
    <row r="15360" spans="1:4" ht="12.75" customHeight="1" x14ac:dyDescent="0.2">
      <c r="A15360" s="21"/>
      <c r="B15360" s="3" t="s">
        <v>11</v>
      </c>
      <c r="C15360" s="23" t="s">
        <v>1607</v>
      </c>
      <c r="D15360" s="21"/>
    </row>
    <row r="15361" spans="1:4" ht="12.75" customHeight="1" x14ac:dyDescent="0.2">
      <c r="A15361" s="21"/>
      <c r="B15361" s="3" t="s">
        <v>16</v>
      </c>
      <c r="C15361" s="23"/>
      <c r="D15361" s="21"/>
    </row>
    <row r="15362" spans="1:4" ht="12.75" customHeight="1" x14ac:dyDescent="0.2">
      <c r="A15362" s="21"/>
      <c r="B15362" s="3" t="s">
        <v>17</v>
      </c>
      <c r="C15362" s="23" t="s">
        <v>19</v>
      </c>
      <c r="D15362" s="21"/>
    </row>
    <row r="15363" spans="1:4" ht="12.75" customHeight="1" x14ac:dyDescent="0.2">
      <c r="A15363" s="21"/>
      <c r="B15363" s="20" t="s">
        <v>18</v>
      </c>
      <c r="C15363" s="8" t="s">
        <v>280</v>
      </c>
      <c r="D15363" s="1" t="str">
        <f>HYPERLINK("javascript:void(0)","démonfog")</f>
        <v>démonfog</v>
      </c>
    </row>
    <row r="15364" spans="1:4" ht="12.75" customHeight="1" x14ac:dyDescent="0.2">
      <c r="A15364" s="21"/>
      <c r="B15364" s="21"/>
      <c r="C15364" s="8" t="s">
        <v>44</v>
      </c>
      <c r="D15364" s="1" t="str">
        <f>HYPERLINK("javascript:void(0)","tuskócsizma")</f>
        <v>tuskócsizma</v>
      </c>
    </row>
    <row r="15365" spans="1:4" ht="12.75" customHeight="1" x14ac:dyDescent="0.2">
      <c r="A15365" s="21"/>
      <c r="B15365" s="21"/>
      <c r="C15365" s="8" t="s">
        <v>290</v>
      </c>
      <c r="D15365" s="1" t="str">
        <f>HYPERLINK("javascript:void(0)","életkristály")</f>
        <v>életkristály</v>
      </c>
    </row>
    <row r="15366" spans="1:4" ht="12.75" customHeight="1" x14ac:dyDescent="0.2">
      <c r="A15366" s="21"/>
      <c r="B15366" s="2"/>
      <c r="C15366" s="7"/>
      <c r="D15366" s="7"/>
    </row>
    <row r="15367" spans="1:4" ht="12.75" customHeight="1" x14ac:dyDescent="0.2">
      <c r="A15367" s="21"/>
      <c r="B15367" s="2"/>
      <c r="C15367" s="7"/>
      <c r="D15367" s="7"/>
    </row>
    <row r="15368" spans="1:4" ht="12.75" customHeight="1" x14ac:dyDescent="0.2">
      <c r="A15368" s="21"/>
      <c r="B15368" s="2"/>
      <c r="C15368" s="7"/>
      <c r="D15368" s="7"/>
    </row>
    <row r="15369" spans="1:4" ht="12.75" customHeight="1" x14ac:dyDescent="0.2">
      <c r="A15369" s="21"/>
      <c r="B15369" s="2"/>
      <c r="C15369" s="7"/>
      <c r="D15369" s="7"/>
    </row>
    <row r="15370" spans="1:4" ht="12.75" customHeight="1" x14ac:dyDescent="0.2">
      <c r="A15370" s="5"/>
      <c r="B15370" s="2"/>
      <c r="C15370" s="7"/>
      <c r="D15370" s="7"/>
    </row>
    <row r="15371" spans="1:4" ht="12.75" customHeight="1" x14ac:dyDescent="0.2">
      <c r="A15371" s="22" t="str">
        <f>HYPERLINK("javascript:void(0)","prizmás testpajzs")</f>
        <v>prizmás testpajzs</v>
      </c>
      <c r="B15371" s="21"/>
      <c r="C15371" s="21"/>
      <c r="D15371" s="21"/>
    </row>
    <row r="15372" spans="1:4" ht="12.75" customHeight="1" x14ac:dyDescent="0.2">
      <c r="A15372" s="20"/>
      <c r="B15372" s="2"/>
      <c r="C15372" s="7"/>
      <c r="D15372" s="7"/>
    </row>
    <row r="15373" spans="1:4" ht="12.75" customHeight="1" x14ac:dyDescent="0.2">
      <c r="A15373" s="21"/>
      <c r="B15373" s="3" t="s">
        <v>0</v>
      </c>
      <c r="C15373" s="23" t="s">
        <v>1142</v>
      </c>
      <c r="D15373" s="21"/>
    </row>
    <row r="15374" spans="1:4" ht="12.75" customHeight="1" x14ac:dyDescent="0.2">
      <c r="A15374" s="21"/>
      <c r="B15374" s="3" t="s">
        <v>2</v>
      </c>
      <c r="C15374" s="23" t="s">
        <v>1839</v>
      </c>
      <c r="D15374" s="21"/>
    </row>
    <row r="15375" spans="1:4" ht="12.75" customHeight="1" x14ac:dyDescent="0.2">
      <c r="A15375" s="21"/>
      <c r="B15375" s="3" t="s">
        <v>1840</v>
      </c>
      <c r="C15375" s="23" t="s">
        <v>2251</v>
      </c>
      <c r="D15375" s="21"/>
    </row>
    <row r="15376" spans="1:4" ht="12.75" customHeight="1" x14ac:dyDescent="0.2">
      <c r="A15376" s="21"/>
      <c r="B15376" s="3" t="s">
        <v>9</v>
      </c>
      <c r="C15376" s="23" t="s">
        <v>5658</v>
      </c>
      <c r="D15376" s="21"/>
    </row>
    <row r="15377" spans="1:4" ht="12.75" customHeight="1" x14ac:dyDescent="0.2">
      <c r="A15377" s="21"/>
      <c r="B15377" s="3" t="s">
        <v>11</v>
      </c>
      <c r="C15377" s="23" t="s">
        <v>2346</v>
      </c>
      <c r="D15377" s="21"/>
    </row>
    <row r="15378" spans="1:4" ht="12.75" customHeight="1" x14ac:dyDescent="0.2">
      <c r="A15378" s="21"/>
      <c r="B15378" s="3" t="s">
        <v>16</v>
      </c>
      <c r="C15378" s="23"/>
      <c r="D15378" s="21"/>
    </row>
    <row r="15379" spans="1:4" ht="12.75" customHeight="1" x14ac:dyDescent="0.2">
      <c r="A15379" s="21"/>
      <c r="B15379" s="3" t="s">
        <v>17</v>
      </c>
      <c r="C15379" s="23" t="s">
        <v>19</v>
      </c>
      <c r="D15379" s="21"/>
    </row>
    <row r="15380" spans="1:4" ht="25.5" customHeight="1" x14ac:dyDescent="0.2">
      <c r="A15380" s="21"/>
      <c r="B15380" s="20" t="s">
        <v>18</v>
      </c>
      <c r="C15380" s="8" t="s">
        <v>44</v>
      </c>
      <c r="D15380" s="1" t="str">
        <f>HYPERLINK("javascript:void(0)","csontlemezes testpajzs")</f>
        <v>csontlemezes testpajzs</v>
      </c>
    </row>
    <row r="15381" spans="1:4" ht="12.75" customHeight="1" x14ac:dyDescent="0.2">
      <c r="A15381" s="21"/>
      <c r="B15381" s="21"/>
      <c r="C15381" s="8" t="s">
        <v>290</v>
      </c>
      <c r="D15381" s="1" t="str">
        <f>HYPERLINK("javascript:void(0)","életkristály")</f>
        <v>életkristály</v>
      </c>
    </row>
    <row r="15382" spans="1:4" ht="12.75" customHeight="1" x14ac:dyDescent="0.2">
      <c r="A15382" s="21"/>
      <c r="B15382" s="21"/>
      <c r="C15382" s="8" t="s">
        <v>2005</v>
      </c>
      <c r="D15382" s="1" t="str">
        <f>HYPERLINK("javascript:void(0)","dobverő")</f>
        <v>dobverő</v>
      </c>
    </row>
    <row r="15383" spans="1:4" ht="12.75" customHeight="1" x14ac:dyDescent="0.2">
      <c r="A15383" s="21"/>
      <c r="B15383" s="2"/>
      <c r="C15383" s="7"/>
      <c r="D15383" s="7"/>
    </row>
    <row r="15384" spans="1:4" ht="12.75" customHeight="1" x14ac:dyDescent="0.2">
      <c r="A15384" s="21"/>
      <c r="B15384" s="2"/>
      <c r="C15384" s="7"/>
      <c r="D15384" s="7"/>
    </row>
    <row r="15385" spans="1:4" ht="12.75" customHeight="1" x14ac:dyDescent="0.2">
      <c r="A15385" s="21"/>
      <c r="B15385" s="2"/>
      <c r="C15385" s="7"/>
      <c r="D15385" s="7"/>
    </row>
    <row r="15386" spans="1:4" ht="12.75" customHeight="1" x14ac:dyDescent="0.2">
      <c r="A15386" s="21"/>
      <c r="B15386" s="2"/>
      <c r="C15386" s="7"/>
      <c r="D15386" s="7"/>
    </row>
    <row r="15387" spans="1:4" ht="12.75" customHeight="1" x14ac:dyDescent="0.2">
      <c r="A15387" s="5"/>
      <c r="B15387" s="2"/>
      <c r="C15387" s="7"/>
      <c r="D15387" s="7"/>
    </row>
    <row r="15388" spans="1:4" ht="12.75" customHeight="1" x14ac:dyDescent="0.2">
      <c r="A15388" s="22" t="str">
        <f>HYPERLINK("javascript:void(0)","tollas szellempajzs")</f>
        <v>tollas szellempajzs</v>
      </c>
      <c r="B15388" s="21"/>
      <c r="C15388" s="21"/>
      <c r="D15388" s="21"/>
    </row>
    <row r="15389" spans="1:4" ht="12.75" customHeight="1" x14ac:dyDescent="0.2">
      <c r="A15389" s="20"/>
      <c r="B15389" s="2"/>
      <c r="C15389" s="7"/>
      <c r="D15389" s="7"/>
    </row>
    <row r="15390" spans="1:4" ht="12.75" customHeight="1" x14ac:dyDescent="0.2">
      <c r="A15390" s="21"/>
      <c r="B15390" s="3" t="s">
        <v>0</v>
      </c>
      <c r="C15390" s="23" t="s">
        <v>1142</v>
      </c>
      <c r="D15390" s="21"/>
    </row>
    <row r="15391" spans="1:4" ht="12.75" customHeight="1" x14ac:dyDescent="0.2">
      <c r="A15391" s="21"/>
      <c r="B15391" s="3" t="s">
        <v>2</v>
      </c>
      <c r="C15391" s="23" t="s">
        <v>1839</v>
      </c>
      <c r="D15391" s="21"/>
    </row>
    <row r="15392" spans="1:4" ht="12.75" customHeight="1" x14ac:dyDescent="0.2">
      <c r="A15392" s="21"/>
      <c r="B15392" s="3" t="s">
        <v>1840</v>
      </c>
      <c r="C15392" s="23" t="s">
        <v>2251</v>
      </c>
      <c r="D15392" s="21"/>
    </row>
    <row r="15393" spans="1:4" ht="12.75" customHeight="1" x14ac:dyDescent="0.2">
      <c r="A15393" s="21"/>
      <c r="B15393" s="3" t="s">
        <v>9</v>
      </c>
      <c r="C15393" s="23" t="s">
        <v>678</v>
      </c>
      <c r="D15393" s="21"/>
    </row>
    <row r="15394" spans="1:4" ht="12.75" customHeight="1" x14ac:dyDescent="0.2">
      <c r="A15394" s="21"/>
      <c r="B15394" s="3" t="s">
        <v>11</v>
      </c>
      <c r="C15394" s="23" t="s">
        <v>1066</v>
      </c>
      <c r="D15394" s="21"/>
    </row>
    <row r="15395" spans="1:4" ht="12.75" customHeight="1" x14ac:dyDescent="0.2">
      <c r="A15395" s="21"/>
      <c r="B15395" s="3" t="s">
        <v>16</v>
      </c>
      <c r="C15395" s="23"/>
      <c r="D15395" s="21"/>
    </row>
    <row r="15396" spans="1:4" ht="12.75" customHeight="1" x14ac:dyDescent="0.2">
      <c r="A15396" s="21"/>
      <c r="B15396" s="3" t="s">
        <v>17</v>
      </c>
      <c r="C15396" s="23" t="s">
        <v>19</v>
      </c>
      <c r="D15396" s="21"/>
    </row>
    <row r="15397" spans="1:4" ht="12.75" customHeight="1" x14ac:dyDescent="0.2">
      <c r="A15397" s="21"/>
      <c r="B15397" s="20" t="s">
        <v>18</v>
      </c>
      <c r="C15397" s="8" t="s">
        <v>44</v>
      </c>
      <c r="D15397" s="1" t="str">
        <f>HYPERLINK("javascript:void(0)","prizmás testpajzs")</f>
        <v>prizmás testpajzs</v>
      </c>
    </row>
    <row r="15398" spans="1:4" ht="12.75" customHeight="1" x14ac:dyDescent="0.2">
      <c r="A15398" s="21"/>
      <c r="B15398" s="21"/>
      <c r="C15398" s="8" t="s">
        <v>756</v>
      </c>
      <c r="D15398" s="1" t="str">
        <f>HYPERLINK("javascript:void(0)","vízige")</f>
        <v>vízige</v>
      </c>
    </row>
    <row r="15399" spans="1:4" ht="12.75" customHeight="1" x14ac:dyDescent="0.2">
      <c r="A15399" s="21"/>
      <c r="B15399" s="21"/>
      <c r="C15399" s="8" t="s">
        <v>358</v>
      </c>
      <c r="D15399" s="1" t="str">
        <f>HYPERLINK("javascript:void(0)","csonttoll")</f>
        <v>csonttoll</v>
      </c>
    </row>
    <row r="15400" spans="1:4" ht="12.75" customHeight="1" x14ac:dyDescent="0.2">
      <c r="A15400" s="21"/>
      <c r="B15400" s="2"/>
      <c r="C15400" s="7"/>
      <c r="D15400" s="7"/>
    </row>
    <row r="15401" spans="1:4" ht="12.75" customHeight="1" x14ac:dyDescent="0.2">
      <c r="A15401" s="21"/>
      <c r="B15401" s="2"/>
      <c r="C15401" s="7"/>
      <c r="D15401" s="7"/>
    </row>
    <row r="15402" spans="1:4" ht="12.75" customHeight="1" x14ac:dyDescent="0.2">
      <c r="A15402" s="21"/>
      <c r="B15402" s="2"/>
      <c r="C15402" s="7"/>
      <c r="D15402" s="7"/>
    </row>
    <row r="15403" spans="1:4" ht="12.75" customHeight="1" x14ac:dyDescent="0.2">
      <c r="A15403" s="21"/>
      <c r="B15403" s="2"/>
      <c r="C15403" s="7"/>
      <c r="D15403" s="7"/>
    </row>
    <row r="15404" spans="1:4" ht="12.75" customHeight="1" x14ac:dyDescent="0.2">
      <c r="A15404" s="5"/>
      <c r="B15404" s="2"/>
      <c r="C15404" s="7"/>
      <c r="D15404" s="7"/>
    </row>
    <row r="15405" spans="1:4" ht="12.75" customHeight="1" x14ac:dyDescent="0.2">
      <c r="A15405" s="22" t="str">
        <f>HYPERLINK("javascript:void(0)","életmellény")</f>
        <v>életmellény</v>
      </c>
      <c r="B15405" s="21"/>
      <c r="C15405" s="21"/>
      <c r="D15405" s="21"/>
    </row>
    <row r="15406" spans="1:4" ht="12.75" customHeight="1" x14ac:dyDescent="0.2">
      <c r="A15406" s="20"/>
      <c r="B15406" s="2"/>
      <c r="C15406" s="7"/>
      <c r="D15406" s="7"/>
    </row>
    <row r="15407" spans="1:4" ht="12.75" customHeight="1" x14ac:dyDescent="0.2">
      <c r="A15407" s="21"/>
      <c r="B15407" s="3" t="s">
        <v>0</v>
      </c>
      <c r="C15407" s="23" t="s">
        <v>1142</v>
      </c>
      <c r="D15407" s="21"/>
    </row>
    <row r="15408" spans="1:4" ht="12.75" customHeight="1" x14ac:dyDescent="0.2">
      <c r="A15408" s="21"/>
      <c r="B15408" s="3" t="s">
        <v>2</v>
      </c>
      <c r="C15408" s="23" t="s">
        <v>2322</v>
      </c>
      <c r="D15408" s="21"/>
    </row>
    <row r="15409" spans="1:4" ht="12.75" customHeight="1" x14ac:dyDescent="0.2">
      <c r="A15409" s="21"/>
      <c r="B15409" s="3" t="s">
        <v>1840</v>
      </c>
      <c r="C15409" s="23" t="s">
        <v>690</v>
      </c>
      <c r="D15409" s="21"/>
    </row>
    <row r="15410" spans="1:4" ht="12.75" customHeight="1" x14ac:dyDescent="0.2">
      <c r="A15410" s="21"/>
      <c r="B15410" s="3" t="s">
        <v>9</v>
      </c>
      <c r="C15410" s="23" t="s">
        <v>2464</v>
      </c>
      <c r="D15410" s="21"/>
    </row>
    <row r="15411" spans="1:4" ht="12.75" customHeight="1" x14ac:dyDescent="0.2">
      <c r="A15411" s="21"/>
      <c r="B15411" s="3" t="s">
        <v>11</v>
      </c>
      <c r="C15411" s="23" t="s">
        <v>866</v>
      </c>
      <c r="D15411" s="21"/>
    </row>
    <row r="15412" spans="1:4" ht="12.75" customHeight="1" x14ac:dyDescent="0.2">
      <c r="A15412" s="21"/>
      <c r="B15412" s="3" t="s">
        <v>16</v>
      </c>
      <c r="C15412" s="23"/>
      <c r="D15412" s="21"/>
    </row>
    <row r="15413" spans="1:4" ht="12.75" customHeight="1" x14ac:dyDescent="0.2">
      <c r="A15413" s="21"/>
      <c r="B15413" s="3" t="s">
        <v>17</v>
      </c>
      <c r="C15413" s="23" t="s">
        <v>19</v>
      </c>
      <c r="D15413" s="21"/>
    </row>
    <row r="15414" spans="1:4" ht="12.75" customHeight="1" x14ac:dyDescent="0.2">
      <c r="A15414" s="21"/>
      <c r="B15414" s="20" t="s">
        <v>18</v>
      </c>
      <c r="C15414" s="8" t="s">
        <v>269</v>
      </c>
      <c r="D15414" s="1" t="str">
        <f>HYPERLINK("javascript:void(0)","életkristály")</f>
        <v>életkristály</v>
      </c>
    </row>
    <row r="15415" spans="1:4" ht="12.75" customHeight="1" x14ac:dyDescent="0.2">
      <c r="A15415" s="21"/>
      <c r="B15415" s="21"/>
      <c r="C15415" s="8" t="s">
        <v>894</v>
      </c>
      <c r="D15415" s="1" t="str">
        <f>HYPERLINK("javascript:void(0)","cingulum")</f>
        <v>cingulum</v>
      </c>
    </row>
    <row r="15416" spans="1:4" ht="12.75" customHeight="1" x14ac:dyDescent="0.2">
      <c r="A15416" s="21"/>
      <c r="B15416" s="21"/>
      <c r="C15416" s="8" t="s">
        <v>988</v>
      </c>
      <c r="D15416" s="1" t="str">
        <f>HYPERLINK("javascript:void(0)","rozmáragyar")</f>
        <v>rozmáragyar</v>
      </c>
    </row>
    <row r="15417" spans="1:4" ht="12.75" customHeight="1" x14ac:dyDescent="0.2">
      <c r="A15417" s="21"/>
      <c r="B15417" s="2"/>
      <c r="C15417" s="7"/>
      <c r="D15417" s="7"/>
    </row>
    <row r="15418" spans="1:4" ht="12.75" customHeight="1" x14ac:dyDescent="0.2">
      <c r="A15418" s="21"/>
      <c r="B15418" s="2"/>
      <c r="C15418" s="7"/>
      <c r="D15418" s="7"/>
    </row>
    <row r="15419" spans="1:4" ht="12.75" customHeight="1" x14ac:dyDescent="0.2">
      <c r="A15419" s="21"/>
      <c r="B15419" s="2"/>
      <c r="C15419" s="7"/>
      <c r="D15419" s="7"/>
    </row>
    <row r="15420" spans="1:4" ht="12.75" customHeight="1" x14ac:dyDescent="0.2">
      <c r="A15420" s="21"/>
      <c r="B15420" s="2"/>
      <c r="C15420" s="7"/>
      <c r="D15420" s="7"/>
    </row>
    <row r="15421" spans="1:4" ht="12.75" customHeight="1" x14ac:dyDescent="0.2">
      <c r="A15421" s="5"/>
      <c r="B15421" s="2"/>
      <c r="C15421" s="7"/>
      <c r="D15421" s="7"/>
    </row>
    <row r="15422" spans="1:4" ht="12.75" customHeight="1" x14ac:dyDescent="0.2">
      <c r="A15422" s="22" t="str">
        <f>HYPERLINK("javascript:void(0)","kristályos manasisak")</f>
        <v>kristályos manasisak</v>
      </c>
      <c r="B15422" s="21"/>
      <c r="C15422" s="21"/>
      <c r="D15422" s="21"/>
    </row>
    <row r="15423" spans="1:4" ht="12.75" customHeight="1" x14ac:dyDescent="0.2">
      <c r="A15423" s="20"/>
      <c r="B15423" s="2"/>
      <c r="C15423" s="7"/>
      <c r="D15423" s="7"/>
    </row>
    <row r="15424" spans="1:4" ht="12.75" customHeight="1" x14ac:dyDescent="0.2">
      <c r="A15424" s="21"/>
      <c r="B15424" s="3" t="s">
        <v>0</v>
      </c>
      <c r="C15424" s="23" t="s">
        <v>1142</v>
      </c>
      <c r="D15424" s="21"/>
    </row>
    <row r="15425" spans="1:4" ht="12.75" customHeight="1" x14ac:dyDescent="0.2">
      <c r="A15425" s="21"/>
      <c r="B15425" s="3" t="s">
        <v>2</v>
      </c>
      <c r="C15425" s="23"/>
      <c r="D15425" s="21"/>
    </row>
    <row r="15426" spans="1:4" ht="12.75" customHeight="1" x14ac:dyDescent="0.2">
      <c r="A15426" s="21"/>
      <c r="B15426" s="3" t="s">
        <v>1840</v>
      </c>
      <c r="C15426" s="23" t="s">
        <v>4016</v>
      </c>
      <c r="D15426" s="21"/>
    </row>
    <row r="15427" spans="1:4" ht="12.75" customHeight="1" x14ac:dyDescent="0.2">
      <c r="A15427" s="21"/>
      <c r="B15427" s="3" t="s">
        <v>9</v>
      </c>
      <c r="C15427" s="23" t="s">
        <v>2273</v>
      </c>
      <c r="D15427" s="21"/>
    </row>
    <row r="15428" spans="1:4" ht="12.75" customHeight="1" x14ac:dyDescent="0.2">
      <c r="A15428" s="21"/>
      <c r="B15428" s="3" t="s">
        <v>11</v>
      </c>
      <c r="C15428" s="23" t="s">
        <v>5581</v>
      </c>
      <c r="D15428" s="21"/>
    </row>
    <row r="15429" spans="1:4" ht="12.75" customHeight="1" x14ac:dyDescent="0.2">
      <c r="A15429" s="21"/>
      <c r="B15429" s="3" t="s">
        <v>16</v>
      </c>
      <c r="C15429" s="23"/>
      <c r="D15429" s="21"/>
    </row>
    <row r="15430" spans="1:4" ht="12.75" customHeight="1" x14ac:dyDescent="0.2">
      <c r="A15430" s="21"/>
      <c r="B15430" s="3" t="s">
        <v>17</v>
      </c>
      <c r="C15430" s="23" t="s">
        <v>19</v>
      </c>
      <c r="D15430" s="21"/>
    </row>
    <row r="15431" spans="1:4" ht="25.5" customHeight="1" x14ac:dyDescent="0.2">
      <c r="A15431" s="21"/>
      <c r="B15431" s="20" t="s">
        <v>18</v>
      </c>
      <c r="C15431" s="8" t="s">
        <v>44</v>
      </c>
      <c r="D15431" s="1" t="str">
        <f>HYPERLINK("javascript:void(0)","kriptonacél manasisak")</f>
        <v>kriptonacél manasisak</v>
      </c>
    </row>
    <row r="15432" spans="1:4" ht="12.75" customHeight="1" x14ac:dyDescent="0.2">
      <c r="A15432" s="21"/>
      <c r="B15432" s="21"/>
      <c r="C15432" s="8" t="s">
        <v>950</v>
      </c>
      <c r="D15432" s="1" t="str">
        <f>HYPERLINK("javascript:void(0)","üvegcserép")</f>
        <v>üvegcserép</v>
      </c>
    </row>
    <row r="15433" spans="1:4" ht="12.75" customHeight="1" x14ac:dyDescent="0.2">
      <c r="A15433" s="21"/>
      <c r="B15433" s="21"/>
      <c r="C15433" s="8" t="s">
        <v>786</v>
      </c>
      <c r="D15433" s="1" t="str">
        <f>HYPERLINK("javascript:void(0)","fiola")</f>
        <v>fiola</v>
      </c>
    </row>
    <row r="15434" spans="1:4" ht="12.75" customHeight="1" x14ac:dyDescent="0.2">
      <c r="A15434" s="21"/>
      <c r="B15434" s="2"/>
      <c r="C15434" s="7"/>
      <c r="D15434" s="7"/>
    </row>
    <row r="15435" spans="1:4" ht="12.75" customHeight="1" x14ac:dyDescent="0.2">
      <c r="A15435" s="21"/>
      <c r="B15435" s="2"/>
      <c r="C15435" s="7"/>
      <c r="D15435" s="7"/>
    </row>
    <row r="15436" spans="1:4" ht="12.75" customHeight="1" x14ac:dyDescent="0.2">
      <c r="A15436" s="21"/>
      <c r="B15436" s="2"/>
      <c r="C15436" s="7"/>
      <c r="D15436" s="7"/>
    </row>
    <row r="15437" spans="1:4" ht="12.75" customHeight="1" x14ac:dyDescent="0.2">
      <c r="A15437" s="21"/>
      <c r="B15437" s="2"/>
      <c r="C15437" s="7"/>
      <c r="D15437" s="7"/>
    </row>
    <row r="15438" spans="1:4" ht="12.75" customHeight="1" x14ac:dyDescent="0.2">
      <c r="A15438" s="5"/>
      <c r="B15438" s="2"/>
      <c r="C15438" s="7"/>
      <c r="D15438" s="7"/>
    </row>
    <row r="15439" spans="1:4" ht="12.75" customHeight="1" x14ac:dyDescent="0.2">
      <c r="A15439" s="22" t="str">
        <f>HYPERLINK("javascript:void(0)","kristályos manafejpánt")</f>
        <v>kristályos manafejpánt</v>
      </c>
      <c r="B15439" s="21"/>
      <c r="C15439" s="21"/>
      <c r="D15439" s="21"/>
    </row>
    <row r="15440" spans="1:4" ht="12.75" customHeight="1" x14ac:dyDescent="0.2">
      <c r="A15440" s="20"/>
      <c r="B15440" s="2"/>
      <c r="C15440" s="7"/>
      <c r="D15440" s="7"/>
    </row>
    <row r="15441" spans="1:4" ht="12.75" customHeight="1" x14ac:dyDescent="0.2">
      <c r="A15441" s="21"/>
      <c r="B15441" s="3" t="s">
        <v>0</v>
      </c>
      <c r="C15441" s="23" t="s">
        <v>1142</v>
      </c>
      <c r="D15441" s="21"/>
    </row>
    <row r="15442" spans="1:4" ht="12.75" customHeight="1" x14ac:dyDescent="0.2">
      <c r="A15442" s="21"/>
      <c r="B15442" s="3" t="s">
        <v>2</v>
      </c>
      <c r="C15442" s="23"/>
      <c r="D15442" s="21"/>
    </row>
    <row r="15443" spans="1:4" ht="12.75" customHeight="1" x14ac:dyDescent="0.2">
      <c r="A15443" s="21"/>
      <c r="B15443" s="3" t="s">
        <v>1840</v>
      </c>
      <c r="C15443" s="23" t="s">
        <v>293</v>
      </c>
      <c r="D15443" s="21"/>
    </row>
    <row r="15444" spans="1:4" ht="12.75" customHeight="1" x14ac:dyDescent="0.2">
      <c r="A15444" s="21"/>
      <c r="B15444" s="3" t="s">
        <v>9</v>
      </c>
      <c r="C15444" s="23" t="s">
        <v>1112</v>
      </c>
      <c r="D15444" s="21"/>
    </row>
    <row r="15445" spans="1:4" ht="12.75" customHeight="1" x14ac:dyDescent="0.2">
      <c r="A15445" s="21"/>
      <c r="B15445" s="3" t="s">
        <v>11</v>
      </c>
      <c r="C15445" s="23" t="s">
        <v>5581</v>
      </c>
      <c r="D15445" s="21"/>
    </row>
    <row r="15446" spans="1:4" ht="12.75" customHeight="1" x14ac:dyDescent="0.2">
      <c r="A15446" s="21"/>
      <c r="B15446" s="3" t="s">
        <v>16</v>
      </c>
      <c r="C15446" s="23"/>
      <c r="D15446" s="21"/>
    </row>
    <row r="15447" spans="1:4" ht="12.75" customHeight="1" x14ac:dyDescent="0.2">
      <c r="A15447" s="21"/>
      <c r="B15447" s="3" t="s">
        <v>17</v>
      </c>
      <c r="C15447" s="23" t="s">
        <v>19</v>
      </c>
      <c r="D15447" s="21"/>
    </row>
    <row r="15448" spans="1:4" ht="25.5" customHeight="1" x14ac:dyDescent="0.2">
      <c r="A15448" s="21"/>
      <c r="B15448" s="20" t="s">
        <v>18</v>
      </c>
      <c r="C15448" s="8" t="s">
        <v>44</v>
      </c>
      <c r="D15448" s="1" t="str">
        <f>HYPERLINK("javascript:void(0)","kriptonacél manafejpánt")</f>
        <v>kriptonacél manafejpánt</v>
      </c>
    </row>
    <row r="15449" spans="1:4" ht="12.75" customHeight="1" x14ac:dyDescent="0.2">
      <c r="A15449" s="21"/>
      <c r="B15449" s="21"/>
      <c r="C15449" s="8" t="s">
        <v>772</v>
      </c>
      <c r="D15449" s="1" t="str">
        <f>HYPERLINK("javascript:void(0)","életkristály")</f>
        <v>életkristály</v>
      </c>
    </row>
    <row r="15450" spans="1:4" ht="12.75" customHeight="1" x14ac:dyDescent="0.2">
      <c r="A15450" s="21"/>
      <c r="B15450" s="21"/>
      <c r="C15450" s="8" t="s">
        <v>244</v>
      </c>
      <c r="D15450" s="1" t="str">
        <f>HYPERLINK("javascript:void(0)","gólemamulett")</f>
        <v>gólemamulett</v>
      </c>
    </row>
    <row r="15451" spans="1:4" ht="12.75" customHeight="1" x14ac:dyDescent="0.2">
      <c r="A15451" s="21"/>
      <c r="B15451" s="2"/>
      <c r="C15451" s="7"/>
      <c r="D15451" s="7"/>
    </row>
    <row r="15452" spans="1:4" ht="12.75" customHeight="1" x14ac:dyDescent="0.2">
      <c r="A15452" s="21"/>
      <c r="B15452" s="2"/>
      <c r="C15452" s="7"/>
      <c r="D15452" s="7"/>
    </row>
    <row r="15453" spans="1:4" ht="12.75" customHeight="1" x14ac:dyDescent="0.2">
      <c r="A15453" s="21"/>
      <c r="B15453" s="2"/>
      <c r="C15453" s="7"/>
      <c r="D15453" s="7"/>
    </row>
    <row r="15454" spans="1:4" ht="12.75" customHeight="1" x14ac:dyDescent="0.2">
      <c r="A15454" s="21"/>
      <c r="B15454" s="2"/>
      <c r="C15454" s="7"/>
      <c r="D15454" s="7"/>
    </row>
    <row r="15455" spans="1:4" ht="12.75" customHeight="1" x14ac:dyDescent="0.2">
      <c r="A15455" s="5"/>
      <c r="B15455" s="2"/>
      <c r="C15455" s="7"/>
      <c r="D15455" s="7"/>
    </row>
    <row r="15456" spans="1:4" ht="12.75" customHeight="1" x14ac:dyDescent="0.2">
      <c r="A15456" s="22" t="str">
        <f>HYPERLINK("javascript:void(0)","kitinvért")</f>
        <v>kitinvért</v>
      </c>
      <c r="B15456" s="21"/>
      <c r="C15456" s="21"/>
      <c r="D15456" s="21"/>
    </row>
    <row r="15457" spans="1:4" ht="12.75" customHeight="1" x14ac:dyDescent="0.2">
      <c r="A15457" s="20"/>
      <c r="B15457" s="2"/>
      <c r="C15457" s="7"/>
      <c r="D15457" s="7"/>
    </row>
    <row r="15458" spans="1:4" ht="12.75" customHeight="1" x14ac:dyDescent="0.2">
      <c r="A15458" s="21"/>
      <c r="B15458" s="3" t="s">
        <v>0</v>
      </c>
      <c r="C15458" s="23" t="s">
        <v>103</v>
      </c>
      <c r="D15458" s="21"/>
    </row>
    <row r="15459" spans="1:4" ht="12.75" customHeight="1" x14ac:dyDescent="0.2">
      <c r="A15459" s="21"/>
      <c r="B15459" s="3" t="s">
        <v>2</v>
      </c>
      <c r="C15459" s="23" t="s">
        <v>2322</v>
      </c>
      <c r="D15459" s="21"/>
    </row>
    <row r="15460" spans="1:4" ht="12.75" customHeight="1" x14ac:dyDescent="0.2">
      <c r="A15460" s="21"/>
      <c r="B15460" s="3" t="s">
        <v>1840</v>
      </c>
      <c r="C15460" s="23" t="s">
        <v>2532</v>
      </c>
      <c r="D15460" s="21"/>
    </row>
    <row r="15461" spans="1:4" ht="12.75" customHeight="1" x14ac:dyDescent="0.2">
      <c r="A15461" s="21"/>
      <c r="B15461" s="3" t="s">
        <v>9</v>
      </c>
      <c r="C15461" s="23" t="s">
        <v>573</v>
      </c>
      <c r="D15461" s="21"/>
    </row>
    <row r="15462" spans="1:4" ht="12.75" customHeight="1" x14ac:dyDescent="0.2">
      <c r="A15462" s="21"/>
      <c r="B15462" s="3" t="s">
        <v>11</v>
      </c>
      <c r="C15462" s="23" t="s">
        <v>2210</v>
      </c>
      <c r="D15462" s="21"/>
    </row>
    <row r="15463" spans="1:4" ht="12.75" customHeight="1" x14ac:dyDescent="0.2">
      <c r="A15463" s="21"/>
      <c r="B15463" s="3" t="s">
        <v>16</v>
      </c>
      <c r="C15463" s="23"/>
      <c r="D15463" s="21"/>
    </row>
    <row r="15464" spans="1:4" ht="12.75" customHeight="1" x14ac:dyDescent="0.2">
      <c r="A15464" s="21"/>
      <c r="B15464" s="3" t="s">
        <v>17</v>
      </c>
      <c r="C15464" s="23" t="s">
        <v>19</v>
      </c>
      <c r="D15464" s="21"/>
    </row>
    <row r="15465" spans="1:4" ht="12.75" customHeight="1" x14ac:dyDescent="0.2">
      <c r="A15465" s="21"/>
      <c r="B15465" s="20" t="s">
        <v>18</v>
      </c>
      <c r="C15465" s="8" t="s">
        <v>1113</v>
      </c>
      <c r="D15465" s="1" t="str">
        <f>HYPERLINK("javascript:void(0)","kitintüske")</f>
        <v>kitintüske</v>
      </c>
    </row>
    <row r="15466" spans="1:4" ht="12.75" customHeight="1" x14ac:dyDescent="0.2">
      <c r="A15466" s="21"/>
      <c r="B15466" s="21"/>
      <c r="C15466" s="8" t="s">
        <v>988</v>
      </c>
      <c r="D15466" s="1" t="str">
        <f>HYPERLINK("javascript:void(0)","kispárna")</f>
        <v>kispárna</v>
      </c>
    </row>
    <row r="15467" spans="1:4" ht="12.75" customHeight="1" x14ac:dyDescent="0.2">
      <c r="A15467" s="21"/>
      <c r="B15467" s="21"/>
      <c r="C15467" s="8" t="s">
        <v>44</v>
      </c>
      <c r="D15467" s="1" t="str">
        <f>HYPERLINK("javascript:void(0)","zombipáncél")</f>
        <v>zombipáncél</v>
      </c>
    </row>
    <row r="15468" spans="1:4" ht="12.75" customHeight="1" x14ac:dyDescent="0.2">
      <c r="A15468" s="21"/>
      <c r="B15468" s="2"/>
      <c r="C15468" s="7"/>
      <c r="D15468" s="7"/>
    </row>
    <row r="15469" spans="1:4" ht="12.75" customHeight="1" x14ac:dyDescent="0.2">
      <c r="A15469" s="21"/>
      <c r="B15469" s="2"/>
      <c r="C15469" s="7"/>
      <c r="D15469" s="7"/>
    </row>
    <row r="15470" spans="1:4" ht="12.75" customHeight="1" x14ac:dyDescent="0.2">
      <c r="A15470" s="21"/>
      <c r="B15470" s="2"/>
      <c r="C15470" s="7"/>
      <c r="D15470" s="7"/>
    </row>
    <row r="15471" spans="1:4" ht="12.75" customHeight="1" x14ac:dyDescent="0.2">
      <c r="A15471" s="21"/>
      <c r="B15471" s="2"/>
      <c r="C15471" s="7"/>
      <c r="D15471" s="7"/>
    </row>
    <row r="15472" spans="1:4" ht="12.75" customHeight="1" x14ac:dyDescent="0.2">
      <c r="A15472" s="5"/>
      <c r="B15472" s="2"/>
      <c r="C15472" s="7"/>
      <c r="D15472" s="7"/>
    </row>
    <row r="15473" spans="1:4" ht="12.75" customHeight="1" x14ac:dyDescent="0.2">
      <c r="A15473" s="22" t="str">
        <f>HYPERLINK("javascript:void(0)","pókkepi")</f>
        <v>pókkepi</v>
      </c>
      <c r="B15473" s="21"/>
      <c r="C15473" s="21"/>
      <c r="D15473" s="21"/>
    </row>
    <row r="15474" spans="1:4" ht="12.75" customHeight="1" x14ac:dyDescent="0.2">
      <c r="A15474" s="20"/>
      <c r="B15474" s="2"/>
      <c r="C15474" s="7"/>
      <c r="D15474" s="7"/>
    </row>
    <row r="15475" spans="1:4" ht="12.75" customHeight="1" x14ac:dyDescent="0.2">
      <c r="A15475" s="21"/>
      <c r="B15475" s="3" t="s">
        <v>0</v>
      </c>
      <c r="C15475" s="23" t="s">
        <v>103</v>
      </c>
      <c r="D15475" s="21"/>
    </row>
    <row r="15476" spans="1:4" ht="12.75" customHeight="1" x14ac:dyDescent="0.2">
      <c r="A15476" s="21"/>
      <c r="B15476" s="3" t="s">
        <v>2</v>
      </c>
      <c r="C15476" s="23"/>
      <c r="D15476" s="21"/>
    </row>
    <row r="15477" spans="1:4" ht="12.75" customHeight="1" x14ac:dyDescent="0.2">
      <c r="A15477" s="21"/>
      <c r="B15477" s="3" t="s">
        <v>1840</v>
      </c>
      <c r="C15477" s="23" t="s">
        <v>2453</v>
      </c>
      <c r="D15477" s="21"/>
    </row>
    <row r="15478" spans="1:4" ht="12.75" customHeight="1" x14ac:dyDescent="0.2">
      <c r="A15478" s="21"/>
      <c r="B15478" s="3" t="s">
        <v>9</v>
      </c>
      <c r="C15478" s="23" t="s">
        <v>2527</v>
      </c>
      <c r="D15478" s="21"/>
    </row>
    <row r="15479" spans="1:4" ht="12.75" customHeight="1" x14ac:dyDescent="0.2">
      <c r="A15479" s="21"/>
      <c r="B15479" s="3" t="s">
        <v>11</v>
      </c>
      <c r="C15479" s="23" t="s">
        <v>2210</v>
      </c>
      <c r="D15479" s="21"/>
    </row>
    <row r="15480" spans="1:4" ht="12.75" customHeight="1" x14ac:dyDescent="0.2">
      <c r="A15480" s="21"/>
      <c r="B15480" s="3" t="s">
        <v>16</v>
      </c>
      <c r="C15480" s="23"/>
      <c r="D15480" s="21"/>
    </row>
    <row r="15481" spans="1:4" ht="12.75" customHeight="1" x14ac:dyDescent="0.2">
      <c r="A15481" s="21"/>
      <c r="B15481" s="3" t="s">
        <v>17</v>
      </c>
      <c r="C15481" s="23" t="s">
        <v>19</v>
      </c>
      <c r="D15481" s="21"/>
    </row>
    <row r="15482" spans="1:4" ht="12.75" customHeight="1" x14ac:dyDescent="0.2">
      <c r="A15482" s="21"/>
      <c r="B15482" s="20" t="s">
        <v>18</v>
      </c>
      <c r="C15482" s="8" t="s">
        <v>44</v>
      </c>
      <c r="D15482" s="1" t="str">
        <f>HYPERLINK("javascript:void(0)","prizmasisak")</f>
        <v>prizmasisak</v>
      </c>
    </row>
    <row r="15483" spans="1:4" ht="12.75" customHeight="1" x14ac:dyDescent="0.2">
      <c r="A15483" s="21"/>
      <c r="B15483" s="21"/>
      <c r="C15483" s="8" t="s">
        <v>44</v>
      </c>
      <c r="D15483" s="1" t="str">
        <f>HYPERLINK("javascript:void(0)","csontsisak")</f>
        <v>csontsisak</v>
      </c>
    </row>
    <row r="15484" spans="1:4" ht="12.75" customHeight="1" x14ac:dyDescent="0.2">
      <c r="A15484" s="21"/>
      <c r="B15484" s="21"/>
      <c r="C15484" s="8" t="s">
        <v>44</v>
      </c>
      <c r="D15484" s="1" t="str">
        <f>HYPERLINK("javascript:void(0)","pókálarc")</f>
        <v>pókálarc</v>
      </c>
    </row>
    <row r="15485" spans="1:4" ht="12.75" customHeight="1" x14ac:dyDescent="0.2">
      <c r="A15485" s="21"/>
      <c r="B15485" s="2"/>
      <c r="C15485" s="7"/>
      <c r="D15485" s="7"/>
    </row>
    <row r="15486" spans="1:4" ht="12.75" customHeight="1" x14ac:dyDescent="0.2">
      <c r="A15486" s="21"/>
      <c r="B15486" s="2"/>
      <c r="C15486" s="7"/>
      <c r="D15486" s="7"/>
    </row>
    <row r="15487" spans="1:4" ht="12.75" customHeight="1" x14ac:dyDescent="0.2">
      <c r="A15487" s="21"/>
      <c r="B15487" s="2"/>
      <c r="C15487" s="7"/>
      <c r="D15487" s="7"/>
    </row>
    <row r="15488" spans="1:4" ht="12.75" customHeight="1" x14ac:dyDescent="0.2">
      <c r="A15488" s="21"/>
      <c r="B15488" s="2"/>
      <c r="C15488" s="7"/>
      <c r="D15488" s="7"/>
    </row>
    <row r="15489" spans="1:4" ht="12.75" customHeight="1" x14ac:dyDescent="0.2">
      <c r="A15489" s="5"/>
      <c r="B15489" s="2"/>
      <c r="C15489" s="7"/>
      <c r="D15489" s="7"/>
    </row>
    <row r="15490" spans="1:4" ht="12.75" customHeight="1" x14ac:dyDescent="0.2">
      <c r="A15490" s="22" t="str">
        <f>HYPERLINK("javascript:void(0)","kitinsaru")</f>
        <v>kitinsaru</v>
      </c>
      <c r="B15490" s="21"/>
      <c r="C15490" s="21"/>
      <c r="D15490" s="21"/>
    </row>
    <row r="15491" spans="1:4" ht="12.75" customHeight="1" x14ac:dyDescent="0.2">
      <c r="A15491" s="20"/>
      <c r="B15491" s="2"/>
      <c r="C15491" s="7"/>
      <c r="D15491" s="7"/>
    </row>
    <row r="15492" spans="1:4" ht="12.75" customHeight="1" x14ac:dyDescent="0.2">
      <c r="A15492" s="21"/>
      <c r="B15492" s="3" t="s">
        <v>0</v>
      </c>
      <c r="C15492" s="23" t="s">
        <v>103</v>
      </c>
      <c r="D15492" s="21"/>
    </row>
    <row r="15493" spans="1:4" ht="12.75" customHeight="1" x14ac:dyDescent="0.2">
      <c r="A15493" s="21"/>
      <c r="B15493" s="3" t="s">
        <v>2</v>
      </c>
      <c r="C15493" s="23"/>
      <c r="D15493" s="21"/>
    </row>
    <row r="15494" spans="1:4" ht="12.75" customHeight="1" x14ac:dyDescent="0.2">
      <c r="A15494" s="21"/>
      <c r="B15494" s="3" t="s">
        <v>1840</v>
      </c>
      <c r="C15494" s="23" t="s">
        <v>2217</v>
      </c>
      <c r="D15494" s="21"/>
    </row>
    <row r="15495" spans="1:4" ht="12.75" customHeight="1" x14ac:dyDescent="0.2">
      <c r="A15495" s="21"/>
      <c r="B15495" s="3" t="s">
        <v>9</v>
      </c>
      <c r="C15495" s="23" t="s">
        <v>374</v>
      </c>
      <c r="D15495" s="21"/>
    </row>
    <row r="15496" spans="1:4" ht="12.75" customHeight="1" x14ac:dyDescent="0.2">
      <c r="A15496" s="21"/>
      <c r="B15496" s="3" t="s">
        <v>11</v>
      </c>
      <c r="C15496" s="23" t="s">
        <v>2218</v>
      </c>
      <c r="D15496" s="21"/>
    </row>
    <row r="15497" spans="1:4" ht="12.75" customHeight="1" x14ac:dyDescent="0.2">
      <c r="A15497" s="21"/>
      <c r="B15497" s="3" t="s">
        <v>16</v>
      </c>
      <c r="C15497" s="23"/>
      <c r="D15497" s="21"/>
    </row>
    <row r="15498" spans="1:4" ht="12.75" customHeight="1" x14ac:dyDescent="0.2">
      <c r="A15498" s="21"/>
      <c r="B15498" s="3" t="s">
        <v>17</v>
      </c>
      <c r="C15498" s="23" t="s">
        <v>19</v>
      </c>
      <c r="D15498" s="21"/>
    </row>
    <row r="15499" spans="1:4" ht="12.75" customHeight="1" x14ac:dyDescent="0.2">
      <c r="A15499" s="21"/>
      <c r="B15499" s="20" t="s">
        <v>18</v>
      </c>
      <c r="C15499" s="8" t="s">
        <v>780</v>
      </c>
      <c r="D15499" s="1" t="str">
        <f>HYPERLINK("javascript:void(0)","lélekfodor")</f>
        <v>lélekfodor</v>
      </c>
    </row>
    <row r="15500" spans="1:4" ht="12.75" customHeight="1" x14ac:dyDescent="0.2">
      <c r="A15500" s="21"/>
      <c r="B15500" s="21"/>
      <c r="C15500" s="8" t="s">
        <v>2219</v>
      </c>
      <c r="D15500" s="1" t="str">
        <f>HYPERLINK("javascript:void(0)","harmatcsepp")</f>
        <v>harmatcsepp</v>
      </c>
    </row>
    <row r="15501" spans="1:4" ht="12.75" customHeight="1" x14ac:dyDescent="0.2">
      <c r="A15501" s="21"/>
      <c r="B15501" s="21"/>
      <c r="C15501" s="8" t="s">
        <v>936</v>
      </c>
      <c r="D15501" s="1" t="str">
        <f>HYPERLINK("javascript:void(0)","kitintüske")</f>
        <v>kitintüske</v>
      </c>
    </row>
    <row r="15502" spans="1:4" ht="12.75" customHeight="1" x14ac:dyDescent="0.2">
      <c r="A15502" s="21"/>
      <c r="B15502" s="2"/>
      <c r="C15502" s="7"/>
      <c r="D15502" s="7"/>
    </row>
    <row r="15503" spans="1:4" ht="12.75" customHeight="1" x14ac:dyDescent="0.2">
      <c r="A15503" s="21"/>
      <c r="B15503" s="2"/>
      <c r="C15503" s="7"/>
      <c r="D15503" s="7"/>
    </row>
    <row r="15504" spans="1:4" ht="12.75" customHeight="1" x14ac:dyDescent="0.2">
      <c r="A15504" s="21"/>
      <c r="B15504" s="2"/>
      <c r="C15504" s="7"/>
      <c r="D15504" s="7"/>
    </row>
    <row r="15505" spans="1:4" ht="12.75" customHeight="1" x14ac:dyDescent="0.2">
      <c r="A15505" s="21"/>
      <c r="B15505" s="2"/>
      <c r="C15505" s="7"/>
      <c r="D15505" s="7"/>
    </row>
    <row r="15506" spans="1:4" ht="12.75" customHeight="1" x14ac:dyDescent="0.2">
      <c r="A15506" s="5"/>
      <c r="B15506" s="2"/>
      <c r="C15506" s="7"/>
      <c r="D15506" s="7"/>
    </row>
    <row r="15507" spans="1:4" ht="12.75" customHeight="1" x14ac:dyDescent="0.2">
      <c r="A15507" s="22" t="str">
        <f>HYPERLINK("javascript:void(0)","ízelt pajzs")</f>
        <v>ízelt pajzs</v>
      </c>
      <c r="B15507" s="21"/>
      <c r="C15507" s="21"/>
      <c r="D15507" s="21"/>
    </row>
    <row r="15508" spans="1:4" ht="12.75" customHeight="1" x14ac:dyDescent="0.2">
      <c r="A15508" s="20"/>
      <c r="B15508" s="2"/>
      <c r="C15508" s="7"/>
      <c r="D15508" s="7"/>
    </row>
    <row r="15509" spans="1:4" ht="12.75" customHeight="1" x14ac:dyDescent="0.2">
      <c r="A15509" s="21"/>
      <c r="B15509" s="3" t="s">
        <v>0</v>
      </c>
      <c r="C15509" s="23" t="s">
        <v>103</v>
      </c>
      <c r="D15509" s="21"/>
    </row>
    <row r="15510" spans="1:4" ht="12.75" customHeight="1" x14ac:dyDescent="0.2">
      <c r="A15510" s="21"/>
      <c r="B15510" s="3" t="s">
        <v>2</v>
      </c>
      <c r="C15510" s="23" t="s">
        <v>1839</v>
      </c>
      <c r="D15510" s="21"/>
    </row>
    <row r="15511" spans="1:4" ht="12.75" customHeight="1" x14ac:dyDescent="0.2">
      <c r="A15511" s="21"/>
      <c r="B15511" s="3" t="s">
        <v>1840</v>
      </c>
      <c r="C15511" s="23" t="s">
        <v>2454</v>
      </c>
      <c r="D15511" s="21"/>
    </row>
    <row r="15512" spans="1:4" ht="12.75" customHeight="1" x14ac:dyDescent="0.2">
      <c r="A15512" s="21"/>
      <c r="B15512" s="3" t="s">
        <v>9</v>
      </c>
      <c r="C15512" s="23" t="s">
        <v>377</v>
      </c>
      <c r="D15512" s="21"/>
    </row>
    <row r="15513" spans="1:4" ht="12.75" customHeight="1" x14ac:dyDescent="0.2">
      <c r="A15513" s="21"/>
      <c r="B15513" s="3" t="s">
        <v>11</v>
      </c>
      <c r="C15513" s="23" t="s">
        <v>2542</v>
      </c>
      <c r="D15513" s="21"/>
    </row>
    <row r="15514" spans="1:4" ht="12.75" customHeight="1" x14ac:dyDescent="0.2">
      <c r="A15514" s="21"/>
      <c r="B15514" s="3" t="s">
        <v>16</v>
      </c>
      <c r="C15514" s="23"/>
      <c r="D15514" s="21"/>
    </row>
    <row r="15515" spans="1:4" ht="12.75" customHeight="1" x14ac:dyDescent="0.2">
      <c r="A15515" s="21"/>
      <c r="B15515" s="3" t="s">
        <v>17</v>
      </c>
      <c r="C15515" s="23" t="s">
        <v>19</v>
      </c>
      <c r="D15515" s="21"/>
    </row>
    <row r="15516" spans="1:4" ht="12.75" customHeight="1" x14ac:dyDescent="0.2">
      <c r="A15516" s="21"/>
      <c r="B15516" s="20" t="s">
        <v>18</v>
      </c>
      <c r="C15516" s="8" t="s">
        <v>44</v>
      </c>
      <c r="D15516" s="1" t="str">
        <f>HYPERLINK("javascript:void(0)","prizmás pajzs")</f>
        <v>prizmás pajzs</v>
      </c>
    </row>
    <row r="15517" spans="1:4" ht="12.75" customHeight="1" x14ac:dyDescent="0.2">
      <c r="A15517" s="21"/>
      <c r="B15517" s="21"/>
      <c r="C15517" s="8" t="s">
        <v>5694</v>
      </c>
      <c r="D15517" s="1" t="str">
        <f>HYPERLINK("javascript:void(0)","tarsus")</f>
        <v>tarsus</v>
      </c>
    </row>
    <row r="15518" spans="1:4" ht="12.75" customHeight="1" x14ac:dyDescent="0.2">
      <c r="A15518" s="21"/>
      <c r="B15518" s="21"/>
      <c r="C15518" s="8" t="s">
        <v>265</v>
      </c>
      <c r="D15518" s="1" t="str">
        <f>HYPERLINK("javascript:void(0)","méregcsepp")</f>
        <v>méregcsepp</v>
      </c>
    </row>
    <row r="15519" spans="1:4" ht="12.75" customHeight="1" x14ac:dyDescent="0.2">
      <c r="A15519" s="21"/>
      <c r="B15519" s="2"/>
      <c r="C15519" s="7"/>
      <c r="D15519" s="7"/>
    </row>
    <row r="15520" spans="1:4" ht="12.75" customHeight="1" x14ac:dyDescent="0.2">
      <c r="A15520" s="21"/>
      <c r="B15520" s="2"/>
      <c r="C15520" s="7"/>
      <c r="D15520" s="7"/>
    </row>
    <row r="15521" spans="1:4" ht="12.75" customHeight="1" x14ac:dyDescent="0.2">
      <c r="A15521" s="21"/>
      <c r="B15521" s="2"/>
      <c r="C15521" s="7"/>
      <c r="D15521" s="7"/>
    </row>
    <row r="15522" spans="1:4" ht="12.75" customHeight="1" x14ac:dyDescent="0.2">
      <c r="A15522" s="21"/>
      <c r="B15522" s="2"/>
      <c r="C15522" s="7"/>
      <c r="D15522" s="7"/>
    </row>
    <row r="15523" spans="1:4" ht="12.75" customHeight="1" x14ac:dyDescent="0.2">
      <c r="A15523" s="5"/>
      <c r="B15523" s="2"/>
      <c r="C15523" s="7"/>
      <c r="D15523" s="7"/>
    </row>
    <row r="15524" spans="1:4" ht="12.75" customHeight="1" x14ac:dyDescent="0.2">
      <c r="A15524" s="22" t="str">
        <f>HYPERLINK("javascript:void(0)","tüskés szellempajzs")</f>
        <v>tüskés szellempajzs</v>
      </c>
      <c r="B15524" s="21"/>
      <c r="C15524" s="21"/>
      <c r="D15524" s="21"/>
    </row>
    <row r="15525" spans="1:4" ht="12.75" customHeight="1" x14ac:dyDescent="0.2">
      <c r="A15525" s="20"/>
      <c r="B15525" s="2"/>
      <c r="C15525" s="7"/>
      <c r="D15525" s="7"/>
    </row>
    <row r="15526" spans="1:4" ht="12.75" customHeight="1" x14ac:dyDescent="0.2">
      <c r="A15526" s="21"/>
      <c r="B15526" s="3" t="s">
        <v>0</v>
      </c>
      <c r="C15526" s="23" t="s">
        <v>103</v>
      </c>
      <c r="D15526" s="21"/>
    </row>
    <row r="15527" spans="1:4" ht="12.75" customHeight="1" x14ac:dyDescent="0.2">
      <c r="A15527" s="21"/>
      <c r="B15527" s="3" t="s">
        <v>2</v>
      </c>
      <c r="C15527" s="23" t="s">
        <v>1839</v>
      </c>
      <c r="D15527" s="21"/>
    </row>
    <row r="15528" spans="1:4" ht="12.75" customHeight="1" x14ac:dyDescent="0.2">
      <c r="A15528" s="21"/>
      <c r="B15528" s="3" t="s">
        <v>1840</v>
      </c>
      <c r="C15528" s="23" t="s">
        <v>2454</v>
      </c>
      <c r="D15528" s="21"/>
    </row>
    <row r="15529" spans="1:4" ht="12.75" customHeight="1" x14ac:dyDescent="0.2">
      <c r="A15529" s="21"/>
      <c r="B15529" s="3" t="s">
        <v>9</v>
      </c>
      <c r="C15529" s="23" t="s">
        <v>5698</v>
      </c>
      <c r="D15529" s="21"/>
    </row>
    <row r="15530" spans="1:4" ht="12.75" customHeight="1" x14ac:dyDescent="0.2">
      <c r="A15530" s="21"/>
      <c r="B15530" s="3" t="s">
        <v>11</v>
      </c>
      <c r="C15530" s="23" t="s">
        <v>2245</v>
      </c>
      <c r="D15530" s="21"/>
    </row>
    <row r="15531" spans="1:4" ht="12.75" customHeight="1" x14ac:dyDescent="0.2">
      <c r="A15531" s="21"/>
      <c r="B15531" s="3" t="s">
        <v>16</v>
      </c>
      <c r="C15531" s="23"/>
      <c r="D15531" s="21"/>
    </row>
    <row r="15532" spans="1:4" ht="12.75" customHeight="1" x14ac:dyDescent="0.2">
      <c r="A15532" s="21"/>
      <c r="B15532" s="3" t="s">
        <v>17</v>
      </c>
      <c r="C15532" s="23" t="s">
        <v>19</v>
      </c>
      <c r="D15532" s="21"/>
    </row>
    <row r="15533" spans="1:4" ht="12.75" customHeight="1" x14ac:dyDescent="0.2">
      <c r="A15533" s="21"/>
      <c r="B15533" s="20" t="s">
        <v>18</v>
      </c>
      <c r="C15533" s="8" t="s">
        <v>44</v>
      </c>
      <c r="D15533" s="1" t="str">
        <f>HYPERLINK("javascript:void(0)","ízelt pajzs")</f>
        <v>ízelt pajzs</v>
      </c>
    </row>
    <row r="15534" spans="1:4" ht="12.75" customHeight="1" x14ac:dyDescent="0.2">
      <c r="A15534" s="21"/>
      <c r="B15534" s="21"/>
      <c r="C15534" s="8" t="s">
        <v>2314</v>
      </c>
      <c r="D15534" s="1" t="str">
        <f>HYPERLINK("javascript:void(0)","pálha")</f>
        <v>pálha</v>
      </c>
    </row>
    <row r="15535" spans="1:4" ht="12.75" customHeight="1" x14ac:dyDescent="0.2">
      <c r="A15535" s="21"/>
      <c r="B15535" s="21"/>
      <c r="C15535" s="8" t="s">
        <v>2314</v>
      </c>
      <c r="D15535" s="1" t="str">
        <f>HYPERLINK("javascript:void(0)","kitintüske")</f>
        <v>kitintüske</v>
      </c>
    </row>
    <row r="15536" spans="1:4" ht="12.75" customHeight="1" x14ac:dyDescent="0.2">
      <c r="A15536" s="21"/>
      <c r="B15536" s="2"/>
      <c r="C15536" s="7"/>
      <c r="D15536" s="7"/>
    </row>
    <row r="15537" spans="1:4" ht="12.75" customHeight="1" x14ac:dyDescent="0.2">
      <c r="A15537" s="21"/>
      <c r="B15537" s="2"/>
      <c r="C15537" s="7"/>
      <c r="D15537" s="7"/>
    </row>
    <row r="15538" spans="1:4" ht="12.75" customHeight="1" x14ac:dyDescent="0.2">
      <c r="A15538" s="21"/>
      <c r="B15538" s="2"/>
      <c r="C15538" s="7"/>
      <c r="D15538" s="7"/>
    </row>
    <row r="15539" spans="1:4" ht="12.75" customHeight="1" x14ac:dyDescent="0.2">
      <c r="A15539" s="21"/>
      <c r="B15539" s="2"/>
      <c r="C15539" s="7"/>
      <c r="D15539" s="7"/>
    </row>
    <row r="15540" spans="1:4" ht="12.75" customHeight="1" x14ac:dyDescent="0.2">
      <c r="A15540" s="5"/>
      <c r="B15540" s="2"/>
      <c r="C15540" s="7"/>
      <c r="D15540" s="7"/>
    </row>
    <row r="15541" spans="1:4" ht="12.75" customHeight="1" x14ac:dyDescent="0.2">
      <c r="A15541" s="22" t="str">
        <f>HYPERLINK("javascript:void(0)","pókálarc")</f>
        <v>pókálarc</v>
      </c>
      <c r="B15541" s="21"/>
      <c r="C15541" s="21"/>
      <c r="D15541" s="21"/>
    </row>
    <row r="15542" spans="1:4" ht="12.75" customHeight="1" x14ac:dyDescent="0.2">
      <c r="A15542" s="20"/>
      <c r="B15542" s="2"/>
      <c r="C15542" s="7"/>
      <c r="D15542" s="7"/>
    </row>
    <row r="15543" spans="1:4" ht="12.75" customHeight="1" x14ac:dyDescent="0.2">
      <c r="A15543" s="21"/>
      <c r="B15543" s="3" t="s">
        <v>0</v>
      </c>
      <c r="C15543" s="23" t="s">
        <v>103</v>
      </c>
      <c r="D15543" s="21"/>
    </row>
    <row r="15544" spans="1:4" ht="12.75" customHeight="1" x14ac:dyDescent="0.2">
      <c r="A15544" s="21"/>
      <c r="B15544" s="3" t="s">
        <v>2</v>
      </c>
      <c r="C15544" s="23"/>
      <c r="D15544" s="21"/>
    </row>
    <row r="15545" spans="1:4" ht="12.75" customHeight="1" x14ac:dyDescent="0.2">
      <c r="A15545" s="21"/>
      <c r="B15545" s="3" t="s">
        <v>1840</v>
      </c>
      <c r="C15545" s="23" t="s">
        <v>680</v>
      </c>
      <c r="D15545" s="21"/>
    </row>
    <row r="15546" spans="1:4" ht="12.75" customHeight="1" x14ac:dyDescent="0.2">
      <c r="A15546" s="21"/>
      <c r="B15546" s="3" t="s">
        <v>9</v>
      </c>
      <c r="C15546" s="23" t="s">
        <v>1584</v>
      </c>
      <c r="D15546" s="21"/>
    </row>
    <row r="15547" spans="1:4" ht="12.75" customHeight="1" x14ac:dyDescent="0.2">
      <c r="A15547" s="21"/>
      <c r="B15547" s="3" t="s">
        <v>11</v>
      </c>
      <c r="C15547" s="23" t="s">
        <v>5704</v>
      </c>
      <c r="D15547" s="21"/>
    </row>
    <row r="15548" spans="1:4" ht="12.75" customHeight="1" x14ac:dyDescent="0.2">
      <c r="A15548" s="21"/>
      <c r="B15548" s="3" t="s">
        <v>16</v>
      </c>
      <c r="C15548" s="23"/>
      <c r="D15548" s="21"/>
    </row>
    <row r="15549" spans="1:4" ht="12.75" customHeight="1" x14ac:dyDescent="0.2">
      <c r="A15549" s="21"/>
      <c r="B15549" s="3" t="s">
        <v>17</v>
      </c>
      <c r="C15549" s="23" t="s">
        <v>19</v>
      </c>
      <c r="D15549" s="21"/>
    </row>
    <row r="15550" spans="1:4" ht="12.75" customHeight="1" x14ac:dyDescent="0.2">
      <c r="A15550" s="21"/>
      <c r="B15550" s="20" t="s">
        <v>18</v>
      </c>
      <c r="C15550" s="8" t="s">
        <v>772</v>
      </c>
      <c r="D15550" s="1" t="str">
        <f>HYPERLINK("javascript:void(0)","dobverő")</f>
        <v>dobverő</v>
      </c>
    </row>
    <row r="15551" spans="1:4" ht="12.75" customHeight="1" x14ac:dyDescent="0.2">
      <c r="A15551" s="21"/>
      <c r="B15551" s="21"/>
      <c r="C15551" s="8" t="s">
        <v>936</v>
      </c>
      <c r="D15551" s="1" t="str">
        <f>HYPERLINK("javascript:void(0)","tarsus")</f>
        <v>tarsus</v>
      </c>
    </row>
    <row r="15552" spans="1:4" ht="12.75" customHeight="1" x14ac:dyDescent="0.2">
      <c r="A15552" s="21"/>
      <c r="B15552" s="21"/>
      <c r="C15552" s="8" t="s">
        <v>327</v>
      </c>
      <c r="D15552" s="1" t="str">
        <f>HYPERLINK("javascript:void(0)","fűrészfog")</f>
        <v>fűrészfog</v>
      </c>
    </row>
    <row r="15553" spans="1:4" ht="12.75" customHeight="1" x14ac:dyDescent="0.2">
      <c r="A15553" s="21"/>
      <c r="B15553" s="2"/>
      <c r="C15553" s="7"/>
      <c r="D15553" s="7"/>
    </row>
    <row r="15554" spans="1:4" ht="12.75" customHeight="1" x14ac:dyDescent="0.2">
      <c r="A15554" s="21"/>
      <c r="B15554" s="2"/>
      <c r="C15554" s="7"/>
      <c r="D15554" s="7"/>
    </row>
    <row r="15555" spans="1:4" ht="12.75" customHeight="1" x14ac:dyDescent="0.2">
      <c r="A15555" s="21"/>
      <c r="B15555" s="2"/>
      <c r="C15555" s="7"/>
      <c r="D15555" s="7"/>
    </row>
    <row r="15556" spans="1:4" ht="12.75" customHeight="1" x14ac:dyDescent="0.2">
      <c r="A15556" s="21"/>
      <c r="B15556" s="2"/>
      <c r="C15556" s="7"/>
      <c r="D15556" s="7"/>
    </row>
    <row r="15557" spans="1:4" ht="12.75" customHeight="1" x14ac:dyDescent="0.2">
      <c r="A15557" s="5"/>
      <c r="B15557" s="2"/>
      <c r="C15557" s="7"/>
      <c r="D15557" s="7"/>
    </row>
    <row r="15558" spans="1:4" ht="12.75" customHeight="1" x14ac:dyDescent="0.2">
      <c r="A15558" s="22" t="str">
        <f>HYPERLINK("javascript:void(0)","pókhálós antigrav csizma")</f>
        <v>pókhálós antigrav csizma</v>
      </c>
      <c r="B15558" s="21"/>
      <c r="C15558" s="21"/>
      <c r="D15558" s="21"/>
    </row>
    <row r="15559" spans="1:4" ht="12.75" customHeight="1" x14ac:dyDescent="0.2">
      <c r="A15559" s="20"/>
      <c r="B15559" s="2"/>
      <c r="C15559" s="7"/>
      <c r="D15559" s="7"/>
    </row>
    <row r="15560" spans="1:4" ht="12.75" customHeight="1" x14ac:dyDescent="0.2">
      <c r="A15560" s="21"/>
      <c r="B15560" s="3" t="s">
        <v>0</v>
      </c>
      <c r="C15560" s="23" t="s">
        <v>103</v>
      </c>
      <c r="D15560" s="21"/>
    </row>
    <row r="15561" spans="1:4" ht="12.75" customHeight="1" x14ac:dyDescent="0.2">
      <c r="A15561" s="21"/>
      <c r="B15561" s="3" t="s">
        <v>2</v>
      </c>
      <c r="C15561" s="23"/>
      <c r="D15561" s="21"/>
    </row>
    <row r="15562" spans="1:4" ht="12.75" customHeight="1" x14ac:dyDescent="0.2">
      <c r="A15562" s="21"/>
      <c r="B15562" s="3" t="s">
        <v>1840</v>
      </c>
      <c r="C15562" s="23" t="s">
        <v>2217</v>
      </c>
      <c r="D15562" s="21"/>
    </row>
    <row r="15563" spans="1:4" ht="12.75" customHeight="1" x14ac:dyDescent="0.2">
      <c r="A15563" s="21"/>
      <c r="B15563" s="3" t="s">
        <v>9</v>
      </c>
      <c r="C15563" s="23" t="s">
        <v>626</v>
      </c>
      <c r="D15563" s="21"/>
    </row>
    <row r="15564" spans="1:4" ht="12.75" customHeight="1" x14ac:dyDescent="0.2">
      <c r="A15564" s="21"/>
      <c r="B15564" s="3" t="s">
        <v>11</v>
      </c>
      <c r="C15564" s="23" t="s">
        <v>23</v>
      </c>
      <c r="D15564" s="21"/>
    </row>
    <row r="15565" spans="1:4" ht="12.75" customHeight="1" x14ac:dyDescent="0.2">
      <c r="A15565" s="21"/>
      <c r="B15565" s="3" t="s">
        <v>16</v>
      </c>
      <c r="C15565" s="23"/>
      <c r="D15565" s="21"/>
    </row>
    <row r="15566" spans="1:4" ht="12.75" customHeight="1" x14ac:dyDescent="0.2">
      <c r="A15566" s="21"/>
      <c r="B15566" s="3" t="s">
        <v>17</v>
      </c>
      <c r="C15566" s="23" t="s">
        <v>19</v>
      </c>
      <c r="D15566" s="21"/>
    </row>
    <row r="15567" spans="1:4" ht="25.5" customHeight="1" x14ac:dyDescent="0.2">
      <c r="A15567" s="21"/>
      <c r="B15567" s="20" t="s">
        <v>18</v>
      </c>
      <c r="C15567" s="8" t="s">
        <v>44</v>
      </c>
      <c r="D15567" s="1" t="str">
        <f>HYPERLINK("javascript:void(0)","fügemintás antigrav csizma")</f>
        <v>fügemintás antigrav csizma</v>
      </c>
    </row>
    <row r="15568" spans="1:4" ht="12.75" customHeight="1" x14ac:dyDescent="0.2">
      <c r="A15568" s="21"/>
      <c r="B15568" s="21"/>
      <c r="C15568" s="8" t="s">
        <v>2194</v>
      </c>
      <c r="D15568" s="1" t="str">
        <f>HYPERLINK("javascript:void(0)","tarsus")</f>
        <v>tarsus</v>
      </c>
    </row>
    <row r="15569" spans="1:4" ht="12.75" customHeight="1" x14ac:dyDescent="0.2">
      <c r="A15569" s="21"/>
      <c r="B15569" s="21"/>
      <c r="C15569" s="8" t="s">
        <v>936</v>
      </c>
      <c r="D15569" s="1" t="str">
        <f>HYPERLINK("javascript:void(0)","maxilla")</f>
        <v>maxilla</v>
      </c>
    </row>
    <row r="15570" spans="1:4" ht="12.75" customHeight="1" x14ac:dyDescent="0.2">
      <c r="A15570" s="21"/>
      <c r="B15570" s="2"/>
      <c r="C15570" s="7"/>
      <c r="D15570" s="7"/>
    </row>
    <row r="15571" spans="1:4" ht="12.75" customHeight="1" x14ac:dyDescent="0.2">
      <c r="A15571" s="21"/>
      <c r="B15571" s="2"/>
      <c r="C15571" s="7"/>
      <c r="D15571" s="7"/>
    </row>
    <row r="15572" spans="1:4" ht="12.75" customHeight="1" x14ac:dyDescent="0.2">
      <c r="A15572" s="21"/>
      <c r="B15572" s="2"/>
      <c r="C15572" s="7"/>
      <c r="D15572" s="7"/>
    </row>
    <row r="15573" spans="1:4" ht="12.75" customHeight="1" x14ac:dyDescent="0.2">
      <c r="A15573" s="21"/>
      <c r="B15573" s="2"/>
      <c r="C15573" s="7"/>
      <c r="D15573" s="7"/>
    </row>
    <row r="15574" spans="1:4" ht="12.75" customHeight="1" x14ac:dyDescent="0.2">
      <c r="A15574" s="5"/>
      <c r="B15574" s="2"/>
      <c r="C15574" s="7"/>
      <c r="D15574" s="7"/>
    </row>
    <row r="15575" spans="1:4" ht="12.75" customHeight="1" x14ac:dyDescent="0.2">
      <c r="A15575" s="22" t="str">
        <f>HYPERLINK("javascript:void(0)","kalmárpáncél")</f>
        <v>kalmárpáncél</v>
      </c>
      <c r="B15575" s="21"/>
      <c r="C15575" s="21"/>
      <c r="D15575" s="21"/>
    </row>
    <row r="15576" spans="1:4" ht="12.75" customHeight="1" x14ac:dyDescent="0.2">
      <c r="A15576" s="20"/>
      <c r="B15576" s="2"/>
      <c r="C15576" s="7"/>
      <c r="D15576" s="7"/>
    </row>
    <row r="15577" spans="1:4" ht="12.75" customHeight="1" x14ac:dyDescent="0.2">
      <c r="A15577" s="21"/>
      <c r="B15577" s="3" t="s">
        <v>0</v>
      </c>
      <c r="C15577" s="23" t="s">
        <v>112</v>
      </c>
      <c r="D15577" s="21"/>
    </row>
    <row r="15578" spans="1:4" ht="12.75" customHeight="1" x14ac:dyDescent="0.2">
      <c r="A15578" s="21"/>
      <c r="B15578" s="3" t="s">
        <v>2</v>
      </c>
      <c r="C15578" s="23" t="s">
        <v>2322</v>
      </c>
      <c r="D15578" s="21"/>
    </row>
    <row r="15579" spans="1:4" ht="12.75" customHeight="1" x14ac:dyDescent="0.2">
      <c r="A15579" s="21"/>
      <c r="B15579" s="3" t="s">
        <v>1840</v>
      </c>
      <c r="C15579" s="23" t="s">
        <v>2533</v>
      </c>
      <c r="D15579" s="21"/>
    </row>
    <row r="15580" spans="1:4" ht="12.75" customHeight="1" x14ac:dyDescent="0.2">
      <c r="A15580" s="21"/>
      <c r="B15580" s="3" t="s">
        <v>9</v>
      </c>
      <c r="C15580" s="23" t="s">
        <v>36</v>
      </c>
      <c r="D15580" s="21"/>
    </row>
    <row r="15581" spans="1:4" ht="12.75" customHeight="1" x14ac:dyDescent="0.2">
      <c r="A15581" s="21"/>
      <c r="B15581" s="3" t="s">
        <v>11</v>
      </c>
      <c r="C15581" s="23" t="s">
        <v>1607</v>
      </c>
      <c r="D15581" s="21"/>
    </row>
    <row r="15582" spans="1:4" ht="12.75" customHeight="1" x14ac:dyDescent="0.2">
      <c r="A15582" s="21"/>
      <c r="B15582" s="3" t="s">
        <v>16</v>
      </c>
      <c r="C15582" s="23"/>
      <c r="D15582" s="21"/>
    </row>
    <row r="15583" spans="1:4" ht="12.75" customHeight="1" x14ac:dyDescent="0.2">
      <c r="A15583" s="21"/>
      <c r="B15583" s="3" t="s">
        <v>17</v>
      </c>
      <c r="C15583" s="23" t="s">
        <v>19</v>
      </c>
      <c r="D15583" s="21"/>
    </row>
    <row r="15584" spans="1:4" ht="12.75" customHeight="1" x14ac:dyDescent="0.2">
      <c r="A15584" s="21"/>
      <c r="B15584" s="20" t="s">
        <v>18</v>
      </c>
      <c r="C15584" s="8" t="s">
        <v>780</v>
      </c>
      <c r="D15584" s="1" t="str">
        <f>HYPERLINK("javascript:void(0)","merkantid")</f>
        <v>merkantid</v>
      </c>
    </row>
    <row r="15585" spans="1:4" ht="12.75" customHeight="1" x14ac:dyDescent="0.2">
      <c r="A15585" s="21"/>
      <c r="B15585" s="21"/>
      <c r="C15585" s="8" t="s">
        <v>163</v>
      </c>
      <c r="D15585" s="1" t="str">
        <f>HYPERLINK("javascript:void(0)","mágusköpeny")</f>
        <v>mágusköpeny</v>
      </c>
    </row>
    <row r="15586" spans="1:4" ht="12.75" customHeight="1" x14ac:dyDescent="0.2">
      <c r="A15586" s="21"/>
      <c r="B15586" s="21"/>
      <c r="C15586" s="8" t="s">
        <v>780</v>
      </c>
      <c r="D15586" s="1" t="str">
        <f>HYPERLINK("javascript:void(0)","méregcsepp")</f>
        <v>méregcsepp</v>
      </c>
    </row>
    <row r="15587" spans="1:4" ht="12.75" customHeight="1" x14ac:dyDescent="0.2">
      <c r="A15587" s="21"/>
      <c r="B15587" s="2"/>
      <c r="C15587" s="7"/>
      <c r="D15587" s="7"/>
    </row>
    <row r="15588" spans="1:4" ht="12.75" customHeight="1" x14ac:dyDescent="0.2">
      <c r="A15588" s="21"/>
      <c r="B15588" s="2"/>
      <c r="C15588" s="7"/>
      <c r="D15588" s="7"/>
    </row>
    <row r="15589" spans="1:4" ht="12.75" customHeight="1" x14ac:dyDescent="0.2">
      <c r="A15589" s="21"/>
      <c r="B15589" s="2"/>
      <c r="C15589" s="7"/>
      <c r="D15589" s="7"/>
    </row>
    <row r="15590" spans="1:4" ht="12.75" customHeight="1" x14ac:dyDescent="0.2">
      <c r="A15590" s="21"/>
      <c r="B15590" s="2"/>
      <c r="C15590" s="7"/>
      <c r="D15590" s="7"/>
    </row>
    <row r="15591" spans="1:4" ht="12.75" customHeight="1" x14ac:dyDescent="0.2">
      <c r="A15591" s="5"/>
      <c r="B15591" s="2"/>
      <c r="C15591" s="7"/>
      <c r="D15591" s="7"/>
    </row>
    <row r="15592" spans="1:4" ht="12.75" customHeight="1" x14ac:dyDescent="0.2">
      <c r="A15592" s="22" t="str">
        <f>HYPERLINK("javascript:void(0)","pillekepi")</f>
        <v>pillekepi</v>
      </c>
      <c r="B15592" s="21"/>
      <c r="C15592" s="21"/>
      <c r="D15592" s="21"/>
    </row>
    <row r="15593" spans="1:4" ht="12.75" customHeight="1" x14ac:dyDescent="0.2">
      <c r="A15593" s="20"/>
      <c r="B15593" s="2"/>
      <c r="C15593" s="7"/>
      <c r="D15593" s="7"/>
    </row>
    <row r="15594" spans="1:4" ht="12.75" customHeight="1" x14ac:dyDescent="0.2">
      <c r="A15594" s="21"/>
      <c r="B15594" s="3" t="s">
        <v>0</v>
      </c>
      <c r="C15594" s="23" t="s">
        <v>112</v>
      </c>
      <c r="D15594" s="21"/>
    </row>
    <row r="15595" spans="1:4" ht="12.75" customHeight="1" x14ac:dyDescent="0.2">
      <c r="A15595" s="21"/>
      <c r="B15595" s="3" t="s">
        <v>2</v>
      </c>
      <c r="C15595" s="23"/>
      <c r="D15595" s="21"/>
    </row>
    <row r="15596" spans="1:4" ht="12.75" customHeight="1" x14ac:dyDescent="0.2">
      <c r="A15596" s="21"/>
      <c r="B15596" s="3" t="s">
        <v>1840</v>
      </c>
      <c r="C15596" s="23" t="s">
        <v>273</v>
      </c>
      <c r="D15596" s="21"/>
    </row>
    <row r="15597" spans="1:4" ht="12.75" customHeight="1" x14ac:dyDescent="0.2">
      <c r="A15597" s="21"/>
      <c r="B15597" s="3" t="s">
        <v>9</v>
      </c>
      <c r="C15597" s="23" t="s">
        <v>5717</v>
      </c>
      <c r="D15597" s="21"/>
    </row>
    <row r="15598" spans="1:4" ht="12.75" customHeight="1" x14ac:dyDescent="0.2">
      <c r="A15598" s="21"/>
      <c r="B15598" s="3" t="s">
        <v>11</v>
      </c>
      <c r="C15598" s="23" t="s">
        <v>1607</v>
      </c>
      <c r="D15598" s="21"/>
    </row>
    <row r="15599" spans="1:4" ht="12.75" customHeight="1" x14ac:dyDescent="0.2">
      <c r="A15599" s="21"/>
      <c r="B15599" s="3" t="s">
        <v>16</v>
      </c>
      <c r="C15599" s="23"/>
      <c r="D15599" s="21"/>
    </row>
    <row r="15600" spans="1:4" ht="12.75" customHeight="1" x14ac:dyDescent="0.2">
      <c r="A15600" s="21"/>
      <c r="B15600" s="3" t="s">
        <v>17</v>
      </c>
      <c r="C15600" s="23" t="s">
        <v>19</v>
      </c>
      <c r="D15600" s="21"/>
    </row>
    <row r="15601" spans="1:4" ht="12.75" customHeight="1" x14ac:dyDescent="0.2">
      <c r="A15601" s="21"/>
      <c r="B15601" s="20" t="s">
        <v>18</v>
      </c>
      <c r="C15601" s="8" t="s">
        <v>44</v>
      </c>
      <c r="D15601" s="1" t="str">
        <f>HYPERLINK("javascript:void(0)","pókkepi")</f>
        <v>pókkepi</v>
      </c>
    </row>
    <row r="15602" spans="1:4" ht="12.75" customHeight="1" x14ac:dyDescent="0.2">
      <c r="A15602" s="21"/>
      <c r="B15602" s="21"/>
      <c r="C15602" s="8" t="s">
        <v>316</v>
      </c>
      <c r="D15602" s="1" t="str">
        <f>HYPERLINK("javascript:void(0)","rémkép")</f>
        <v>rémkép</v>
      </c>
    </row>
    <row r="15603" spans="1:4" ht="12.75" customHeight="1" x14ac:dyDescent="0.2">
      <c r="A15603" s="21"/>
      <c r="B15603" s="21"/>
      <c r="C15603" s="8" t="s">
        <v>809</v>
      </c>
      <c r="D15603" s="1" t="str">
        <f>HYPERLINK("javascript:void(0)","vanesszin")</f>
        <v>vanesszin</v>
      </c>
    </row>
    <row r="15604" spans="1:4" ht="12.75" customHeight="1" x14ac:dyDescent="0.2">
      <c r="A15604" s="21"/>
      <c r="B15604" s="2"/>
      <c r="C15604" s="7"/>
      <c r="D15604" s="7"/>
    </row>
    <row r="15605" spans="1:4" ht="12.75" customHeight="1" x14ac:dyDescent="0.2">
      <c r="A15605" s="21"/>
      <c r="B15605" s="2"/>
      <c r="C15605" s="7"/>
      <c r="D15605" s="7"/>
    </row>
    <row r="15606" spans="1:4" ht="12.75" customHeight="1" x14ac:dyDescent="0.2">
      <c r="A15606" s="21"/>
      <c r="B15606" s="2"/>
      <c r="C15606" s="7"/>
      <c r="D15606" s="7"/>
    </row>
    <row r="15607" spans="1:4" ht="12.75" customHeight="1" x14ac:dyDescent="0.2">
      <c r="A15607" s="21"/>
      <c r="B15607" s="2"/>
      <c r="C15607" s="7"/>
      <c r="D15607" s="7"/>
    </row>
    <row r="15608" spans="1:4" ht="12.75" customHeight="1" x14ac:dyDescent="0.2">
      <c r="A15608" s="5"/>
      <c r="B15608" s="2"/>
      <c r="C15608" s="7"/>
      <c r="D15608" s="7"/>
    </row>
    <row r="15609" spans="1:4" ht="12.75" customHeight="1" x14ac:dyDescent="0.2">
      <c r="A15609" s="22" t="str">
        <f>HYPERLINK("javascript:void(0)","piacpapucs")</f>
        <v>piacpapucs</v>
      </c>
      <c r="B15609" s="21"/>
      <c r="C15609" s="21"/>
      <c r="D15609" s="21"/>
    </row>
    <row r="15610" spans="1:4" ht="12.75" customHeight="1" x14ac:dyDescent="0.2">
      <c r="A15610" s="20"/>
      <c r="B15610" s="2"/>
      <c r="C15610" s="7"/>
      <c r="D15610" s="7"/>
    </row>
    <row r="15611" spans="1:4" ht="12.75" customHeight="1" x14ac:dyDescent="0.2">
      <c r="A15611" s="21"/>
      <c r="B15611" s="3" t="s">
        <v>0</v>
      </c>
      <c r="C15611" s="23" t="s">
        <v>112</v>
      </c>
      <c r="D15611" s="21"/>
    </row>
    <row r="15612" spans="1:4" ht="12.75" customHeight="1" x14ac:dyDescent="0.2">
      <c r="A15612" s="21"/>
      <c r="B15612" s="3" t="s">
        <v>2</v>
      </c>
      <c r="C15612" s="23"/>
      <c r="D15612" s="21"/>
    </row>
    <row r="15613" spans="1:4" ht="12.75" customHeight="1" x14ac:dyDescent="0.2">
      <c r="A15613" s="21"/>
      <c r="B15613" s="3" t="s">
        <v>1840</v>
      </c>
      <c r="C15613" s="23" t="s">
        <v>548</v>
      </c>
      <c r="D15613" s="21"/>
    </row>
    <row r="15614" spans="1:4" ht="12.75" customHeight="1" x14ac:dyDescent="0.2">
      <c r="A15614" s="21"/>
      <c r="B15614" s="3" t="s">
        <v>9</v>
      </c>
      <c r="C15614" s="23" t="s">
        <v>343</v>
      </c>
      <c r="D15614" s="21"/>
    </row>
    <row r="15615" spans="1:4" ht="12.75" customHeight="1" x14ac:dyDescent="0.2">
      <c r="A15615" s="21"/>
      <c r="B15615" s="3" t="s">
        <v>11</v>
      </c>
      <c r="C15615" s="23" t="s">
        <v>2222</v>
      </c>
      <c r="D15615" s="21"/>
    </row>
    <row r="15616" spans="1:4" ht="12.75" customHeight="1" x14ac:dyDescent="0.2">
      <c r="A15616" s="21"/>
      <c r="B15616" s="3" t="s">
        <v>16</v>
      </c>
      <c r="C15616" s="23"/>
      <c r="D15616" s="21"/>
    </row>
    <row r="15617" spans="1:4" ht="12.75" customHeight="1" x14ac:dyDescent="0.2">
      <c r="A15617" s="21"/>
      <c r="B15617" s="3" t="s">
        <v>17</v>
      </c>
      <c r="C15617" s="23" t="s">
        <v>19</v>
      </c>
      <c r="D15617" s="21"/>
    </row>
    <row r="15618" spans="1:4" ht="12.75" customHeight="1" x14ac:dyDescent="0.2">
      <c r="A15618" s="21"/>
      <c r="B15618" s="20" t="s">
        <v>18</v>
      </c>
      <c r="C15618" s="8" t="s">
        <v>44</v>
      </c>
      <c r="D15618" s="1" t="str">
        <f>HYPERLINK("javascript:void(0)","kitinsaru")</f>
        <v>kitinsaru</v>
      </c>
    </row>
    <row r="15619" spans="1:4" ht="12.75" customHeight="1" x14ac:dyDescent="0.2">
      <c r="A15619" s="21"/>
      <c r="B15619" s="21"/>
      <c r="C15619" s="8" t="s">
        <v>44</v>
      </c>
      <c r="D15619" s="1" t="str">
        <f>HYPERLINK("javascript:void(0)","húrfűző")</f>
        <v>húrfűző</v>
      </c>
    </row>
    <row r="15620" spans="1:4" ht="12.75" customHeight="1" x14ac:dyDescent="0.2">
      <c r="A15620" s="21"/>
      <c r="B15620" s="21"/>
      <c r="C15620" s="8" t="s">
        <v>44</v>
      </c>
      <c r="D15620" s="1" t="str">
        <f>HYPERLINK("javascript:void(0)","kristálysaru")</f>
        <v>kristálysaru</v>
      </c>
    </row>
    <row r="15621" spans="1:4" ht="12.75" customHeight="1" x14ac:dyDescent="0.2">
      <c r="A15621" s="21"/>
      <c r="B15621" s="2"/>
      <c r="C15621" s="7"/>
      <c r="D15621" s="7"/>
    </row>
    <row r="15622" spans="1:4" ht="12.75" customHeight="1" x14ac:dyDescent="0.2">
      <c r="A15622" s="21"/>
      <c r="B15622" s="2"/>
      <c r="C15622" s="7"/>
      <c r="D15622" s="7"/>
    </row>
    <row r="15623" spans="1:4" ht="12.75" customHeight="1" x14ac:dyDescent="0.2">
      <c r="A15623" s="21"/>
      <c r="B15623" s="2"/>
      <c r="C15623" s="7"/>
      <c r="D15623" s="7"/>
    </row>
    <row r="15624" spans="1:4" ht="12.75" customHeight="1" x14ac:dyDescent="0.2">
      <c r="A15624" s="21"/>
      <c r="B15624" s="2"/>
      <c r="C15624" s="7"/>
      <c r="D15624" s="7"/>
    </row>
    <row r="15625" spans="1:4" ht="12.75" customHeight="1" x14ac:dyDescent="0.2">
      <c r="A15625" s="5"/>
      <c r="B15625" s="2"/>
      <c r="C15625" s="7"/>
      <c r="D15625" s="7"/>
    </row>
    <row r="15626" spans="1:4" ht="12.75" customHeight="1" x14ac:dyDescent="0.2">
      <c r="A15626" s="22" t="str">
        <f>HYPERLINK("javascript:void(0)","ízelt testpajzs")</f>
        <v>ízelt testpajzs</v>
      </c>
      <c r="B15626" s="21"/>
      <c r="C15626" s="21"/>
      <c r="D15626" s="21"/>
    </row>
    <row r="15627" spans="1:4" ht="12.75" customHeight="1" x14ac:dyDescent="0.2">
      <c r="A15627" s="20"/>
      <c r="B15627" s="2"/>
      <c r="C15627" s="7"/>
      <c r="D15627" s="7"/>
    </row>
    <row r="15628" spans="1:4" ht="12.75" customHeight="1" x14ac:dyDescent="0.2">
      <c r="A15628" s="21"/>
      <c r="B15628" s="3" t="s">
        <v>0</v>
      </c>
      <c r="C15628" s="23" t="s">
        <v>112</v>
      </c>
      <c r="D15628" s="21"/>
    </row>
    <row r="15629" spans="1:4" ht="12.75" customHeight="1" x14ac:dyDescent="0.2">
      <c r="A15629" s="21"/>
      <c r="B15629" s="3" t="s">
        <v>2</v>
      </c>
      <c r="C15629" s="23" t="s">
        <v>1839</v>
      </c>
      <c r="D15629" s="21"/>
    </row>
    <row r="15630" spans="1:4" ht="12.75" customHeight="1" x14ac:dyDescent="0.2">
      <c r="A15630" s="21"/>
      <c r="B15630" s="3" t="s">
        <v>1840</v>
      </c>
      <c r="C15630" s="23" t="s">
        <v>2256</v>
      </c>
      <c r="D15630" s="21"/>
    </row>
    <row r="15631" spans="1:4" ht="12.75" customHeight="1" x14ac:dyDescent="0.2">
      <c r="A15631" s="21"/>
      <c r="B15631" s="3" t="s">
        <v>9</v>
      </c>
      <c r="C15631" s="23" t="s">
        <v>549</v>
      </c>
      <c r="D15631" s="21"/>
    </row>
    <row r="15632" spans="1:4" ht="12.75" customHeight="1" x14ac:dyDescent="0.2">
      <c r="A15632" s="21"/>
      <c r="B15632" s="3" t="s">
        <v>11</v>
      </c>
      <c r="C15632" s="23" t="s">
        <v>1066</v>
      </c>
      <c r="D15632" s="21"/>
    </row>
    <row r="15633" spans="1:4" ht="12.75" customHeight="1" x14ac:dyDescent="0.2">
      <c r="A15633" s="21"/>
      <c r="B15633" s="3" t="s">
        <v>16</v>
      </c>
      <c r="C15633" s="23"/>
      <c r="D15633" s="21"/>
    </row>
    <row r="15634" spans="1:4" ht="12.75" customHeight="1" x14ac:dyDescent="0.2">
      <c r="A15634" s="21"/>
      <c r="B15634" s="3" t="s">
        <v>17</v>
      </c>
      <c r="C15634" s="23" t="s">
        <v>19</v>
      </c>
      <c r="D15634" s="21"/>
    </row>
    <row r="15635" spans="1:4" ht="12.75" customHeight="1" x14ac:dyDescent="0.2">
      <c r="A15635" s="21"/>
      <c r="B15635" s="20" t="s">
        <v>18</v>
      </c>
      <c r="C15635" s="8" t="s">
        <v>44</v>
      </c>
      <c r="D15635" s="1" t="str">
        <f>HYPERLINK("javascript:void(0)","prizmás testpajzs")</f>
        <v>prizmás testpajzs</v>
      </c>
    </row>
    <row r="15636" spans="1:4" ht="12.75" customHeight="1" x14ac:dyDescent="0.2">
      <c r="A15636" s="21"/>
      <c r="B15636" s="21"/>
      <c r="C15636" s="8" t="s">
        <v>290</v>
      </c>
      <c r="D15636" s="1" t="str">
        <f>HYPERLINK("javascript:void(0)","merkantid")</f>
        <v>merkantid</v>
      </c>
    </row>
    <row r="15637" spans="1:4" ht="12.75" customHeight="1" x14ac:dyDescent="0.2">
      <c r="A15637" s="21"/>
      <c r="B15637" s="21"/>
      <c r="C15637" s="8" t="s">
        <v>2314</v>
      </c>
      <c r="D15637" s="1" t="str">
        <f>HYPERLINK("javascript:void(0)","fügetövis")</f>
        <v>fügetövis</v>
      </c>
    </row>
    <row r="15638" spans="1:4" ht="12.75" customHeight="1" x14ac:dyDescent="0.2">
      <c r="A15638" s="21"/>
      <c r="B15638" s="2"/>
      <c r="C15638" s="7"/>
      <c r="D15638" s="7"/>
    </row>
    <row r="15639" spans="1:4" ht="12.75" customHeight="1" x14ac:dyDescent="0.2">
      <c r="A15639" s="21"/>
      <c r="B15639" s="2"/>
      <c r="C15639" s="7"/>
      <c r="D15639" s="7"/>
    </row>
    <row r="15640" spans="1:4" ht="12.75" customHeight="1" x14ac:dyDescent="0.2">
      <c r="A15640" s="21"/>
      <c r="B15640" s="2"/>
      <c r="C15640" s="7"/>
      <c r="D15640" s="7"/>
    </row>
    <row r="15641" spans="1:4" ht="12.75" customHeight="1" x14ac:dyDescent="0.2">
      <c r="A15641" s="21"/>
      <c r="B15641" s="2"/>
      <c r="C15641" s="7"/>
      <c r="D15641" s="7"/>
    </row>
    <row r="15642" spans="1:4" ht="12.75" customHeight="1" x14ac:dyDescent="0.2">
      <c r="A15642" s="5"/>
      <c r="B15642" s="2"/>
      <c r="C15642" s="7"/>
      <c r="D15642" s="7"/>
    </row>
    <row r="15643" spans="1:4" ht="12.75" customHeight="1" x14ac:dyDescent="0.2">
      <c r="A15643" s="22" t="str">
        <f>HYPERLINK("javascript:void(0)","pillangós szellempajzs")</f>
        <v>pillangós szellempajzs</v>
      </c>
      <c r="B15643" s="21"/>
      <c r="C15643" s="21"/>
      <c r="D15643" s="21"/>
    </row>
    <row r="15644" spans="1:4" ht="12.75" customHeight="1" x14ac:dyDescent="0.2">
      <c r="A15644" s="20"/>
      <c r="B15644" s="2"/>
      <c r="C15644" s="7"/>
      <c r="D15644" s="7"/>
    </row>
    <row r="15645" spans="1:4" ht="12.75" customHeight="1" x14ac:dyDescent="0.2">
      <c r="A15645" s="21"/>
      <c r="B15645" s="3" t="s">
        <v>0</v>
      </c>
      <c r="C15645" s="23" t="s">
        <v>112</v>
      </c>
      <c r="D15645" s="21"/>
    </row>
    <row r="15646" spans="1:4" ht="12.75" customHeight="1" x14ac:dyDescent="0.2">
      <c r="A15646" s="21"/>
      <c r="B15646" s="3" t="s">
        <v>2</v>
      </c>
      <c r="C15646" s="23" t="s">
        <v>1839</v>
      </c>
      <c r="D15646" s="21"/>
    </row>
    <row r="15647" spans="1:4" ht="12.75" customHeight="1" x14ac:dyDescent="0.2">
      <c r="A15647" s="21"/>
      <c r="B15647" s="3" t="s">
        <v>1840</v>
      </c>
      <c r="C15647" s="23" t="s">
        <v>2256</v>
      </c>
      <c r="D15647" s="21"/>
    </row>
    <row r="15648" spans="1:4" ht="12.75" customHeight="1" x14ac:dyDescent="0.2">
      <c r="A15648" s="21"/>
      <c r="B15648" s="3" t="s">
        <v>9</v>
      </c>
      <c r="C15648" s="23" t="s">
        <v>4600</v>
      </c>
      <c r="D15648" s="21"/>
    </row>
    <row r="15649" spans="1:4" ht="12.75" customHeight="1" x14ac:dyDescent="0.2">
      <c r="A15649" s="21"/>
      <c r="B15649" s="3" t="s">
        <v>11</v>
      </c>
      <c r="C15649" s="23" t="s">
        <v>2252</v>
      </c>
      <c r="D15649" s="21"/>
    </row>
    <row r="15650" spans="1:4" ht="12.75" customHeight="1" x14ac:dyDescent="0.2">
      <c r="A15650" s="21"/>
      <c r="B15650" s="3" t="s">
        <v>16</v>
      </c>
      <c r="C15650" s="23"/>
      <c r="D15650" s="21"/>
    </row>
    <row r="15651" spans="1:4" ht="12.75" customHeight="1" x14ac:dyDescent="0.2">
      <c r="A15651" s="21"/>
      <c r="B15651" s="3" t="s">
        <v>17</v>
      </c>
      <c r="C15651" s="23" t="s">
        <v>19</v>
      </c>
      <c r="D15651" s="21"/>
    </row>
    <row r="15652" spans="1:4" ht="12.75" customHeight="1" x14ac:dyDescent="0.2">
      <c r="A15652" s="21"/>
      <c r="B15652" s="20" t="s">
        <v>18</v>
      </c>
      <c r="C15652" s="8" t="s">
        <v>44</v>
      </c>
      <c r="D15652" s="1" t="str">
        <f>HYPERLINK("javascript:void(0)","ízelt testpajzs")</f>
        <v>ízelt testpajzs</v>
      </c>
    </row>
    <row r="15653" spans="1:4" ht="12.75" customHeight="1" x14ac:dyDescent="0.2">
      <c r="A15653" s="21"/>
      <c r="B15653" s="21"/>
      <c r="C15653" s="8" t="s">
        <v>796</v>
      </c>
      <c r="D15653" s="1" t="str">
        <f>HYPERLINK("javascript:void(0)","démonzanza")</f>
        <v>démonzanza</v>
      </c>
    </row>
    <row r="15654" spans="1:4" ht="12.75" customHeight="1" x14ac:dyDescent="0.2">
      <c r="A15654" s="21"/>
      <c r="B15654" s="21"/>
      <c r="C15654" s="8" t="s">
        <v>327</v>
      </c>
      <c r="D15654" s="1" t="str">
        <f>HYPERLINK("javascript:void(0)","vanesszin")</f>
        <v>vanesszin</v>
      </c>
    </row>
    <row r="15655" spans="1:4" ht="12.75" customHeight="1" x14ac:dyDescent="0.2">
      <c r="A15655" s="21"/>
      <c r="B15655" s="2"/>
      <c r="C15655" s="7"/>
      <c r="D15655" s="7"/>
    </row>
    <row r="15656" spans="1:4" ht="12.75" customHeight="1" x14ac:dyDescent="0.2">
      <c r="A15656" s="21"/>
      <c r="B15656" s="2"/>
      <c r="C15656" s="7"/>
      <c r="D15656" s="7"/>
    </row>
    <row r="15657" spans="1:4" ht="12.75" customHeight="1" x14ac:dyDescent="0.2">
      <c r="A15657" s="21"/>
      <c r="B15657" s="2"/>
      <c r="C15657" s="7"/>
      <c r="D15657" s="7"/>
    </row>
    <row r="15658" spans="1:4" ht="12.75" customHeight="1" x14ac:dyDescent="0.2">
      <c r="A15658" s="21"/>
      <c r="B15658" s="2"/>
      <c r="C15658" s="7"/>
      <c r="D15658" s="7"/>
    </row>
    <row r="15659" spans="1:4" ht="12.75" customHeight="1" x14ac:dyDescent="0.2">
      <c r="A15659" s="5"/>
      <c r="B15659" s="2"/>
      <c r="C15659" s="7"/>
      <c r="D15659" s="7"/>
    </row>
    <row r="15660" spans="1:4" ht="12.75" customHeight="1" x14ac:dyDescent="0.2">
      <c r="A15660" s="22" t="str">
        <f>HYPERLINK("javascript:void(0)","húrfűző")</f>
        <v>húrfűző</v>
      </c>
      <c r="B15660" s="21"/>
      <c r="C15660" s="21"/>
      <c r="D15660" s="21"/>
    </row>
    <row r="15661" spans="1:4" ht="12.75" customHeight="1" x14ac:dyDescent="0.2">
      <c r="A15661" s="20"/>
      <c r="B15661" s="2"/>
      <c r="C15661" s="7"/>
      <c r="D15661" s="7"/>
    </row>
    <row r="15662" spans="1:4" ht="12.75" customHeight="1" x14ac:dyDescent="0.2">
      <c r="A15662" s="21"/>
      <c r="B15662" s="3" t="s">
        <v>0</v>
      </c>
      <c r="C15662" s="23" t="s">
        <v>112</v>
      </c>
      <c r="D15662" s="21"/>
    </row>
    <row r="15663" spans="1:4" ht="12.75" customHeight="1" x14ac:dyDescent="0.2">
      <c r="A15663" s="21"/>
      <c r="B15663" s="3" t="s">
        <v>2</v>
      </c>
      <c r="C15663" s="23"/>
      <c r="D15663" s="21"/>
    </row>
    <row r="15664" spans="1:4" ht="12.75" customHeight="1" x14ac:dyDescent="0.2">
      <c r="A15664" s="21"/>
      <c r="B15664" s="3" t="s">
        <v>1840</v>
      </c>
      <c r="C15664" s="23" t="s">
        <v>699</v>
      </c>
      <c r="D15664" s="21"/>
    </row>
    <row r="15665" spans="1:4" ht="12.75" customHeight="1" x14ac:dyDescent="0.2">
      <c r="A15665" s="21"/>
      <c r="B15665" s="3" t="s">
        <v>9</v>
      </c>
      <c r="C15665" s="23" t="s">
        <v>2225</v>
      </c>
      <c r="D15665" s="21"/>
    </row>
    <row r="15666" spans="1:4" ht="12.75" customHeight="1" x14ac:dyDescent="0.2">
      <c r="A15666" s="21"/>
      <c r="B15666" s="3" t="s">
        <v>11</v>
      </c>
      <c r="C15666" s="23" t="s">
        <v>2226</v>
      </c>
      <c r="D15666" s="21"/>
    </row>
    <row r="15667" spans="1:4" ht="12.75" customHeight="1" x14ac:dyDescent="0.2">
      <c r="A15667" s="21"/>
      <c r="B15667" s="3" t="s">
        <v>16</v>
      </c>
      <c r="C15667" s="23"/>
      <c r="D15667" s="21"/>
    </row>
    <row r="15668" spans="1:4" ht="12.75" customHeight="1" x14ac:dyDescent="0.2">
      <c r="A15668" s="21"/>
      <c r="B15668" s="3" t="s">
        <v>17</v>
      </c>
      <c r="C15668" s="23" t="s">
        <v>19</v>
      </c>
      <c r="D15668" s="21"/>
    </row>
    <row r="15669" spans="1:4" ht="12.75" customHeight="1" x14ac:dyDescent="0.2">
      <c r="A15669" s="21"/>
      <c r="B15669" s="20" t="s">
        <v>18</v>
      </c>
      <c r="C15669" s="8" t="s">
        <v>780</v>
      </c>
      <c r="D15669" s="1" t="str">
        <f>HYPERLINK("javascript:void(0)","merkantid")</f>
        <v>merkantid</v>
      </c>
    </row>
    <row r="15670" spans="1:4" ht="12.75" customHeight="1" x14ac:dyDescent="0.2">
      <c r="A15670" s="21"/>
      <c r="B15670" s="21"/>
      <c r="C15670" s="8" t="s">
        <v>772</v>
      </c>
      <c r="D15670" s="1" t="str">
        <f>HYPERLINK("javascript:void(0)","méregcsepp")</f>
        <v>méregcsepp</v>
      </c>
    </row>
    <row r="15671" spans="1:4" ht="12.75" customHeight="1" x14ac:dyDescent="0.2">
      <c r="A15671" s="21"/>
      <c r="B15671" s="21"/>
      <c r="C15671" s="8" t="s">
        <v>1536</v>
      </c>
      <c r="D15671" s="1" t="str">
        <f>HYPERLINK("javascript:void(0)","zanzahúr")</f>
        <v>zanzahúr</v>
      </c>
    </row>
    <row r="15672" spans="1:4" ht="12.75" customHeight="1" x14ac:dyDescent="0.2">
      <c r="A15672" s="21"/>
      <c r="B15672" s="2"/>
      <c r="C15672" s="7"/>
      <c r="D15672" s="7"/>
    </row>
    <row r="15673" spans="1:4" ht="12.75" customHeight="1" x14ac:dyDescent="0.2">
      <c r="A15673" s="21"/>
      <c r="B15673" s="2"/>
      <c r="C15673" s="7"/>
      <c r="D15673" s="7"/>
    </row>
    <row r="15674" spans="1:4" ht="12.75" customHeight="1" x14ac:dyDescent="0.2">
      <c r="A15674" s="21"/>
      <c r="B15674" s="2"/>
      <c r="C15674" s="7"/>
      <c r="D15674" s="7"/>
    </row>
    <row r="15675" spans="1:4" ht="12.75" customHeight="1" x14ac:dyDescent="0.2">
      <c r="A15675" s="21"/>
      <c r="B15675" s="2"/>
      <c r="C15675" s="7"/>
      <c r="D15675" s="7"/>
    </row>
    <row r="15676" spans="1:4" ht="12.75" customHeight="1" x14ac:dyDescent="0.2">
      <c r="A15676" s="5"/>
      <c r="B15676" s="2"/>
      <c r="C15676" s="7"/>
      <c r="D15676" s="7"/>
    </row>
    <row r="15677" spans="1:4" ht="12.75" customHeight="1" x14ac:dyDescent="0.2">
      <c r="A15677" s="22" t="str">
        <f>HYPERLINK("javascript:void(0)","légpáncél")</f>
        <v>légpáncél</v>
      </c>
      <c r="B15677" s="21"/>
      <c r="C15677" s="21"/>
      <c r="D15677" s="21"/>
    </row>
    <row r="15678" spans="1:4" ht="12.75" customHeight="1" x14ac:dyDescent="0.2">
      <c r="A15678" s="20"/>
      <c r="B15678" s="2"/>
      <c r="C15678" s="7"/>
      <c r="D15678" s="7"/>
    </row>
    <row r="15679" spans="1:4" ht="12.75" customHeight="1" x14ac:dyDescent="0.2">
      <c r="A15679" s="21"/>
      <c r="B15679" s="3" t="s">
        <v>0</v>
      </c>
      <c r="C15679" s="23" t="s">
        <v>1165</v>
      </c>
      <c r="D15679" s="21"/>
    </row>
    <row r="15680" spans="1:4" ht="12.75" customHeight="1" x14ac:dyDescent="0.2">
      <c r="A15680" s="21"/>
      <c r="B15680" s="3" t="s">
        <v>2</v>
      </c>
      <c r="C15680" s="23" t="s">
        <v>2322</v>
      </c>
      <c r="D15680" s="21"/>
    </row>
    <row r="15681" spans="1:4" ht="12.75" customHeight="1" x14ac:dyDescent="0.2">
      <c r="A15681" s="21"/>
      <c r="B15681" s="3" t="s">
        <v>1840</v>
      </c>
      <c r="C15681" s="23" t="s">
        <v>2534</v>
      </c>
      <c r="D15681" s="21"/>
    </row>
    <row r="15682" spans="1:4" ht="12.75" customHeight="1" x14ac:dyDescent="0.2">
      <c r="A15682" s="21"/>
      <c r="B15682" s="3" t="s">
        <v>9</v>
      </c>
      <c r="C15682" s="23" t="s">
        <v>665</v>
      </c>
      <c r="D15682" s="21"/>
    </row>
    <row r="15683" spans="1:4" ht="12.75" customHeight="1" x14ac:dyDescent="0.2">
      <c r="A15683" s="21"/>
      <c r="B15683" s="3" t="s">
        <v>11</v>
      </c>
      <c r="C15683" s="23" t="s">
        <v>2218</v>
      </c>
      <c r="D15683" s="21"/>
    </row>
    <row r="15684" spans="1:4" ht="12.75" customHeight="1" x14ac:dyDescent="0.2">
      <c r="A15684" s="21"/>
      <c r="B15684" s="3" t="s">
        <v>16</v>
      </c>
      <c r="C15684" s="23"/>
      <c r="D15684" s="21"/>
    </row>
    <row r="15685" spans="1:4" ht="12.75" customHeight="1" x14ac:dyDescent="0.2">
      <c r="A15685" s="21"/>
      <c r="B15685" s="3" t="s">
        <v>17</v>
      </c>
      <c r="C15685" s="23" t="s">
        <v>19</v>
      </c>
      <c r="D15685" s="21"/>
    </row>
    <row r="15686" spans="1:4" ht="12.75" customHeight="1" x14ac:dyDescent="0.2">
      <c r="A15686" s="21"/>
      <c r="B15686" s="20" t="s">
        <v>18</v>
      </c>
      <c r="C15686" s="8" t="s">
        <v>44</v>
      </c>
      <c r="D15686" s="1" t="str">
        <f>HYPERLINK("javascript:void(0)","kitinvért")</f>
        <v>kitinvért</v>
      </c>
    </row>
    <row r="15687" spans="1:4" ht="12.75" customHeight="1" x14ac:dyDescent="0.2">
      <c r="A15687" s="21"/>
      <c r="B15687" s="21"/>
      <c r="C15687" s="8" t="s">
        <v>44</v>
      </c>
      <c r="D15687" s="1" t="str">
        <f>HYPERLINK("javascript:void(0)","légmellény")</f>
        <v>légmellény</v>
      </c>
    </row>
    <row r="15688" spans="1:4" ht="12.75" customHeight="1" x14ac:dyDescent="0.2">
      <c r="A15688" s="21"/>
      <c r="B15688" s="21"/>
      <c r="C15688" s="8" t="s">
        <v>44</v>
      </c>
      <c r="D15688" s="1" t="str">
        <f>HYPERLINK("javascript:void(0)","kalmárpáncél")</f>
        <v>kalmárpáncél</v>
      </c>
    </row>
    <row r="15689" spans="1:4" ht="12.75" customHeight="1" x14ac:dyDescent="0.2">
      <c r="A15689" s="21"/>
      <c r="B15689" s="2"/>
      <c r="C15689" s="7"/>
      <c r="D15689" s="7"/>
    </row>
    <row r="15690" spans="1:4" ht="12.75" customHeight="1" x14ac:dyDescent="0.2">
      <c r="A15690" s="21"/>
      <c r="B15690" s="2"/>
      <c r="C15690" s="7"/>
      <c r="D15690" s="7"/>
    </row>
    <row r="15691" spans="1:4" ht="12.75" customHeight="1" x14ac:dyDescent="0.2">
      <c r="A15691" s="21"/>
      <c r="B15691" s="2"/>
      <c r="C15691" s="7"/>
      <c r="D15691" s="7"/>
    </row>
    <row r="15692" spans="1:4" ht="12.75" customHeight="1" x14ac:dyDescent="0.2">
      <c r="A15692" s="21"/>
      <c r="B15692" s="2"/>
      <c r="C15692" s="7"/>
      <c r="D15692" s="7"/>
    </row>
    <row r="15693" spans="1:4" ht="12.75" customHeight="1" x14ac:dyDescent="0.2">
      <c r="A15693" s="5"/>
      <c r="B15693" s="2"/>
      <c r="C15693" s="7"/>
      <c r="D15693" s="7"/>
    </row>
    <row r="15694" spans="1:4" ht="12.75" customHeight="1" x14ac:dyDescent="0.2">
      <c r="A15694" s="22" t="str">
        <f>HYPERLINK("javascript:void(0)","wendír bascinet")</f>
        <v>wendír bascinet</v>
      </c>
      <c r="B15694" s="21"/>
      <c r="C15694" s="21"/>
      <c r="D15694" s="21"/>
    </row>
    <row r="15695" spans="1:4" ht="12.75" customHeight="1" x14ac:dyDescent="0.2">
      <c r="A15695" s="20"/>
      <c r="B15695" s="2"/>
      <c r="C15695" s="7"/>
      <c r="D15695" s="7"/>
    </row>
    <row r="15696" spans="1:4" ht="12.75" customHeight="1" x14ac:dyDescent="0.2">
      <c r="A15696" s="21"/>
      <c r="B15696" s="3" t="s">
        <v>0</v>
      </c>
      <c r="C15696" s="23" t="s">
        <v>1165</v>
      </c>
      <c r="D15696" s="21"/>
    </row>
    <row r="15697" spans="1:4" ht="12.75" customHeight="1" x14ac:dyDescent="0.2">
      <c r="A15697" s="21"/>
      <c r="B15697" s="3" t="s">
        <v>2</v>
      </c>
      <c r="C15697" s="23"/>
      <c r="D15697" s="21"/>
    </row>
    <row r="15698" spans="1:4" ht="12.75" customHeight="1" x14ac:dyDescent="0.2">
      <c r="A15698" s="21"/>
      <c r="B15698" s="3" t="s">
        <v>1840</v>
      </c>
      <c r="C15698" s="23" t="s">
        <v>2457</v>
      </c>
      <c r="D15698" s="21"/>
    </row>
    <row r="15699" spans="1:4" ht="12.75" customHeight="1" x14ac:dyDescent="0.2">
      <c r="A15699" s="21"/>
      <c r="B15699" s="3" t="s">
        <v>9</v>
      </c>
      <c r="C15699" s="23" t="s">
        <v>962</v>
      </c>
      <c r="D15699" s="21"/>
    </row>
    <row r="15700" spans="1:4" ht="12.75" customHeight="1" x14ac:dyDescent="0.2">
      <c r="A15700" s="21"/>
      <c r="B15700" s="3" t="s">
        <v>11</v>
      </c>
      <c r="C15700" s="23" t="s">
        <v>2218</v>
      </c>
      <c r="D15700" s="21"/>
    </row>
    <row r="15701" spans="1:4" ht="12.75" customHeight="1" x14ac:dyDescent="0.2">
      <c r="A15701" s="21"/>
      <c r="B15701" s="3" t="s">
        <v>16</v>
      </c>
      <c r="C15701" s="23"/>
      <c r="D15701" s="21"/>
    </row>
    <row r="15702" spans="1:4" ht="12.75" customHeight="1" x14ac:dyDescent="0.2">
      <c r="A15702" s="21"/>
      <c r="B15702" s="3" t="s">
        <v>17</v>
      </c>
      <c r="C15702" s="23" t="s">
        <v>19</v>
      </c>
      <c r="D15702" s="21"/>
    </row>
    <row r="15703" spans="1:4" ht="12.75" customHeight="1" x14ac:dyDescent="0.2">
      <c r="A15703" s="21"/>
      <c r="B15703" s="20" t="s">
        <v>18</v>
      </c>
      <c r="C15703" s="8" t="s">
        <v>193</v>
      </c>
      <c r="D15703" s="1" t="str">
        <f>HYPERLINK("javascript:void(0)","dobverő")</f>
        <v>dobverő</v>
      </c>
    </row>
    <row r="15704" spans="1:4" ht="12.75" customHeight="1" x14ac:dyDescent="0.2">
      <c r="A15704" s="21"/>
      <c r="B15704" s="21"/>
      <c r="C15704" s="8" t="s">
        <v>139</v>
      </c>
      <c r="D15704" s="1" t="str">
        <f>HYPERLINK("javascript:void(0)","szellemláng")</f>
        <v>szellemláng</v>
      </c>
    </row>
    <row r="15705" spans="1:4" ht="12.75" customHeight="1" x14ac:dyDescent="0.2">
      <c r="A15705" s="21"/>
      <c r="B15705" s="21"/>
      <c r="C15705" s="8" t="s">
        <v>632</v>
      </c>
      <c r="D15705" s="1" t="str">
        <f>HYPERLINK("javascript:void(0)","harmatcsepp")</f>
        <v>harmatcsepp</v>
      </c>
    </row>
    <row r="15706" spans="1:4" ht="12.75" customHeight="1" x14ac:dyDescent="0.2">
      <c r="A15706" s="21"/>
      <c r="B15706" s="2"/>
      <c r="C15706" s="7"/>
      <c r="D15706" s="7"/>
    </row>
    <row r="15707" spans="1:4" ht="12.75" customHeight="1" x14ac:dyDescent="0.2">
      <c r="A15707" s="21"/>
      <c r="B15707" s="2"/>
      <c r="C15707" s="7"/>
      <c r="D15707" s="7"/>
    </row>
    <row r="15708" spans="1:4" ht="12.75" customHeight="1" x14ac:dyDescent="0.2">
      <c r="A15708" s="21"/>
      <c r="B15708" s="2"/>
      <c r="C15708" s="7"/>
      <c r="D15708" s="7"/>
    </row>
    <row r="15709" spans="1:4" ht="12.75" customHeight="1" x14ac:dyDescent="0.2">
      <c r="A15709" s="21"/>
      <c r="B15709" s="2"/>
      <c r="C15709" s="7"/>
      <c r="D15709" s="7"/>
    </row>
    <row r="15710" spans="1:4" ht="12.75" customHeight="1" x14ac:dyDescent="0.2">
      <c r="A15710" s="5"/>
      <c r="B15710" s="2"/>
      <c r="C15710" s="7"/>
      <c r="D15710" s="7"/>
    </row>
    <row r="15711" spans="1:4" ht="12.75" customHeight="1" x14ac:dyDescent="0.2">
      <c r="A15711" s="22" t="str">
        <f>HYPERLINK("javascript:void(0)","szellemmokaszin")</f>
        <v>szellemmokaszin</v>
      </c>
      <c r="B15711" s="21"/>
      <c r="C15711" s="21"/>
      <c r="D15711" s="21"/>
    </row>
    <row r="15712" spans="1:4" ht="12.75" customHeight="1" x14ac:dyDescent="0.2">
      <c r="A15712" s="20"/>
      <c r="B15712" s="2"/>
      <c r="C15712" s="7"/>
      <c r="D15712" s="7"/>
    </row>
    <row r="15713" spans="1:4" ht="12.75" customHeight="1" x14ac:dyDescent="0.2">
      <c r="A15713" s="21"/>
      <c r="B15713" s="3" t="s">
        <v>0</v>
      </c>
      <c r="C15713" s="23" t="s">
        <v>1165</v>
      </c>
      <c r="D15713" s="21"/>
    </row>
    <row r="15714" spans="1:4" ht="12.75" customHeight="1" x14ac:dyDescent="0.2">
      <c r="A15714" s="21"/>
      <c r="B15714" s="3" t="s">
        <v>2</v>
      </c>
      <c r="C15714" s="23"/>
      <c r="D15714" s="21"/>
    </row>
    <row r="15715" spans="1:4" ht="12.75" customHeight="1" x14ac:dyDescent="0.2">
      <c r="A15715" s="21"/>
      <c r="B15715" s="3" t="s">
        <v>1840</v>
      </c>
      <c r="C15715" s="23" t="s">
        <v>1452</v>
      </c>
      <c r="D15715" s="21"/>
    </row>
    <row r="15716" spans="1:4" ht="12.75" customHeight="1" x14ac:dyDescent="0.2">
      <c r="A15716" s="21"/>
      <c r="B15716" s="3" t="s">
        <v>9</v>
      </c>
      <c r="C15716" s="23" t="s">
        <v>2229</v>
      </c>
      <c r="D15716" s="21"/>
    </row>
    <row r="15717" spans="1:4" ht="12.75" customHeight="1" x14ac:dyDescent="0.2">
      <c r="A15717" s="21"/>
      <c r="B15717" s="3" t="s">
        <v>11</v>
      </c>
      <c r="C15717" s="23" t="s">
        <v>1059</v>
      </c>
      <c r="D15717" s="21"/>
    </row>
    <row r="15718" spans="1:4" ht="12.75" customHeight="1" x14ac:dyDescent="0.2">
      <c r="A15718" s="21"/>
      <c r="B15718" s="3" t="s">
        <v>16</v>
      </c>
      <c r="C15718" s="23"/>
      <c r="D15718" s="21"/>
    </row>
    <row r="15719" spans="1:4" ht="12.75" customHeight="1" x14ac:dyDescent="0.2">
      <c r="A15719" s="21"/>
      <c r="B15719" s="3" t="s">
        <v>17</v>
      </c>
      <c r="C15719" s="23" t="s">
        <v>19</v>
      </c>
      <c r="D15719" s="21"/>
    </row>
    <row r="15720" spans="1:4" ht="12.75" customHeight="1" x14ac:dyDescent="0.2">
      <c r="A15720" s="21"/>
      <c r="B15720" s="20" t="s">
        <v>18</v>
      </c>
      <c r="C15720" s="8" t="s">
        <v>44</v>
      </c>
      <c r="D15720" s="1" t="str">
        <f>HYPERLINK("javascript:void(0)","piacpapucs")</f>
        <v>piacpapucs</v>
      </c>
    </row>
    <row r="15721" spans="1:4" ht="12.75" customHeight="1" x14ac:dyDescent="0.2">
      <c r="A15721" s="21"/>
      <c r="B15721" s="21"/>
      <c r="C15721" s="8" t="s">
        <v>269</v>
      </c>
      <c r="D15721" s="1" t="str">
        <f>HYPERLINK("javascript:void(0)","egoplazma")</f>
        <v>egoplazma</v>
      </c>
    </row>
    <row r="15722" spans="1:4" ht="12.75" customHeight="1" x14ac:dyDescent="0.2">
      <c r="A15722" s="21"/>
      <c r="B15722" s="21"/>
      <c r="C15722" s="8" t="s">
        <v>290</v>
      </c>
      <c r="D15722" s="1" t="str">
        <f>HYPERLINK("javascript:void(0)","szellemláng")</f>
        <v>szellemláng</v>
      </c>
    </row>
    <row r="15723" spans="1:4" ht="12.75" customHeight="1" x14ac:dyDescent="0.2">
      <c r="A15723" s="21"/>
      <c r="B15723" s="2"/>
      <c r="C15723" s="7"/>
      <c r="D15723" s="7"/>
    </row>
    <row r="15724" spans="1:4" ht="12.75" customHeight="1" x14ac:dyDescent="0.2">
      <c r="A15724" s="21"/>
      <c r="B15724" s="2"/>
      <c r="C15724" s="7"/>
      <c r="D15724" s="7"/>
    </row>
    <row r="15725" spans="1:4" ht="12.75" customHeight="1" x14ac:dyDescent="0.2">
      <c r="A15725" s="21"/>
      <c r="B15725" s="2"/>
      <c r="C15725" s="7"/>
      <c r="D15725" s="7"/>
    </row>
    <row r="15726" spans="1:4" ht="12.75" customHeight="1" x14ac:dyDescent="0.2">
      <c r="A15726" s="21"/>
      <c r="B15726" s="2"/>
      <c r="C15726" s="7"/>
      <c r="D15726" s="7"/>
    </row>
    <row r="15727" spans="1:4" ht="12.75" customHeight="1" x14ac:dyDescent="0.2">
      <c r="A15727" s="5"/>
      <c r="B15727" s="2"/>
      <c r="C15727" s="7"/>
      <c r="D15727" s="7"/>
    </row>
    <row r="15728" spans="1:4" ht="12.75" customHeight="1" x14ac:dyDescent="0.2">
      <c r="A15728" s="22" t="str">
        <f>HYPERLINK("javascript:void(0)","csavarodó pajzs")</f>
        <v>csavarodó pajzs</v>
      </c>
      <c r="B15728" s="21"/>
      <c r="C15728" s="21"/>
      <c r="D15728" s="21"/>
    </row>
    <row r="15729" spans="1:4" ht="12.75" customHeight="1" x14ac:dyDescent="0.2">
      <c r="A15729" s="20"/>
      <c r="B15729" s="2"/>
      <c r="C15729" s="7"/>
      <c r="D15729" s="7"/>
    </row>
    <row r="15730" spans="1:4" ht="12.75" customHeight="1" x14ac:dyDescent="0.2">
      <c r="A15730" s="21"/>
      <c r="B15730" s="3" t="s">
        <v>0</v>
      </c>
      <c r="C15730" s="23" t="s">
        <v>1165</v>
      </c>
      <c r="D15730" s="21"/>
    </row>
    <row r="15731" spans="1:4" ht="12.75" customHeight="1" x14ac:dyDescent="0.2">
      <c r="A15731" s="21"/>
      <c r="B15731" s="3" t="s">
        <v>2</v>
      </c>
      <c r="C15731" s="23" t="s">
        <v>1839</v>
      </c>
      <c r="D15731" s="21"/>
    </row>
    <row r="15732" spans="1:4" ht="12.75" customHeight="1" x14ac:dyDescent="0.2">
      <c r="A15732" s="21"/>
      <c r="B15732" s="3" t="s">
        <v>1840</v>
      </c>
      <c r="C15732" s="23" t="s">
        <v>572</v>
      </c>
      <c r="D15732" s="21"/>
    </row>
    <row r="15733" spans="1:4" ht="12.75" customHeight="1" x14ac:dyDescent="0.2">
      <c r="A15733" s="21"/>
      <c r="B15733" s="3" t="s">
        <v>9</v>
      </c>
      <c r="C15733" s="23" t="s">
        <v>384</v>
      </c>
      <c r="D15733" s="21"/>
    </row>
    <row r="15734" spans="1:4" ht="12.75" customHeight="1" x14ac:dyDescent="0.2">
      <c r="A15734" s="21"/>
      <c r="B15734" s="3" t="s">
        <v>11</v>
      </c>
      <c r="C15734" s="23" t="s">
        <v>2245</v>
      </c>
      <c r="D15734" s="21"/>
    </row>
    <row r="15735" spans="1:4" ht="12.75" customHeight="1" x14ac:dyDescent="0.2">
      <c r="A15735" s="21"/>
      <c r="B15735" s="3" t="s">
        <v>16</v>
      </c>
      <c r="C15735" s="23"/>
      <c r="D15735" s="21"/>
    </row>
    <row r="15736" spans="1:4" ht="12.75" customHeight="1" x14ac:dyDescent="0.2">
      <c r="A15736" s="21"/>
      <c r="B15736" s="3" t="s">
        <v>17</v>
      </c>
      <c r="C15736" s="23" t="s">
        <v>19</v>
      </c>
      <c r="D15736" s="21"/>
    </row>
    <row r="15737" spans="1:4" ht="12.75" customHeight="1" x14ac:dyDescent="0.2">
      <c r="A15737" s="21"/>
      <c r="B15737" s="20" t="s">
        <v>18</v>
      </c>
      <c r="C15737" s="8" t="s">
        <v>44</v>
      </c>
      <c r="D15737" s="1" t="str">
        <f>HYPERLINK("javascript:void(0)","ízelt pajzs")</f>
        <v>ízelt pajzs</v>
      </c>
    </row>
    <row r="15738" spans="1:4" ht="12.75" customHeight="1" x14ac:dyDescent="0.2">
      <c r="A15738" s="21"/>
      <c r="B15738" s="21"/>
      <c r="C15738" s="8" t="s">
        <v>163</v>
      </c>
      <c r="D15738" s="1" t="str">
        <f>HYPERLINK("javascript:void(0)","légpatkó")</f>
        <v>légpatkó</v>
      </c>
    </row>
    <row r="15739" spans="1:4" ht="12.75" customHeight="1" x14ac:dyDescent="0.2">
      <c r="A15739" s="21"/>
      <c r="B15739" s="21"/>
      <c r="C15739" s="8" t="s">
        <v>327</v>
      </c>
      <c r="D15739" s="1" t="str">
        <f>HYPERLINK("javascript:void(0)","fügetövis")</f>
        <v>fügetövis</v>
      </c>
    </row>
    <row r="15740" spans="1:4" ht="12.75" customHeight="1" x14ac:dyDescent="0.2">
      <c r="A15740" s="21"/>
      <c r="B15740" s="2"/>
      <c r="C15740" s="7"/>
      <c r="D15740" s="7"/>
    </row>
    <row r="15741" spans="1:4" ht="12.75" customHeight="1" x14ac:dyDescent="0.2">
      <c r="A15741" s="21"/>
      <c r="B15741" s="2"/>
      <c r="C15741" s="7"/>
      <c r="D15741" s="7"/>
    </row>
    <row r="15742" spans="1:4" ht="12.75" customHeight="1" x14ac:dyDescent="0.2">
      <c r="A15742" s="21"/>
      <c r="B15742" s="2"/>
      <c r="C15742" s="7"/>
      <c r="D15742" s="7"/>
    </row>
    <row r="15743" spans="1:4" ht="12.75" customHeight="1" x14ac:dyDescent="0.2">
      <c r="A15743" s="21"/>
      <c r="B15743" s="2"/>
      <c r="C15743" s="7"/>
      <c r="D15743" s="7"/>
    </row>
    <row r="15744" spans="1:4" ht="12.75" customHeight="1" x14ac:dyDescent="0.2">
      <c r="A15744" s="5"/>
      <c r="B15744" s="2"/>
      <c r="C15744" s="7"/>
      <c r="D15744" s="7"/>
    </row>
    <row r="15745" spans="1:4" ht="12.75" customHeight="1" x14ac:dyDescent="0.2">
      <c r="A15745" s="22" t="str">
        <f>HYPERLINK("javascript:void(0)","patkós szellempajzs")</f>
        <v>patkós szellempajzs</v>
      </c>
      <c r="B15745" s="21"/>
      <c r="C15745" s="21"/>
      <c r="D15745" s="21"/>
    </row>
    <row r="15746" spans="1:4" ht="12.75" customHeight="1" x14ac:dyDescent="0.2">
      <c r="A15746" s="20"/>
      <c r="B15746" s="2"/>
      <c r="C15746" s="7"/>
      <c r="D15746" s="7"/>
    </row>
    <row r="15747" spans="1:4" ht="12.75" customHeight="1" x14ac:dyDescent="0.2">
      <c r="A15747" s="21"/>
      <c r="B15747" s="3" t="s">
        <v>0</v>
      </c>
      <c r="C15747" s="23" t="s">
        <v>1165</v>
      </c>
      <c r="D15747" s="21"/>
    </row>
    <row r="15748" spans="1:4" ht="12.75" customHeight="1" x14ac:dyDescent="0.2">
      <c r="A15748" s="21"/>
      <c r="B15748" s="3" t="s">
        <v>2</v>
      </c>
      <c r="C15748" s="23" t="s">
        <v>1839</v>
      </c>
      <c r="D15748" s="21"/>
    </row>
    <row r="15749" spans="1:4" ht="12.75" customHeight="1" x14ac:dyDescent="0.2">
      <c r="A15749" s="21"/>
      <c r="B15749" s="3" t="s">
        <v>1840</v>
      </c>
      <c r="C15749" s="23" t="s">
        <v>572</v>
      </c>
      <c r="D15749" s="21"/>
    </row>
    <row r="15750" spans="1:4" ht="12.75" customHeight="1" x14ac:dyDescent="0.2">
      <c r="A15750" s="21"/>
      <c r="B15750" s="3" t="s">
        <v>9</v>
      </c>
      <c r="C15750" s="23" t="s">
        <v>792</v>
      </c>
      <c r="D15750" s="21"/>
    </row>
    <row r="15751" spans="1:4" ht="12.75" customHeight="1" x14ac:dyDescent="0.2">
      <c r="A15751" s="21"/>
      <c r="B15751" s="3" t="s">
        <v>11</v>
      </c>
      <c r="C15751" s="23" t="s">
        <v>2544</v>
      </c>
      <c r="D15751" s="21"/>
    </row>
    <row r="15752" spans="1:4" ht="12.75" customHeight="1" x14ac:dyDescent="0.2">
      <c r="A15752" s="21"/>
      <c r="B15752" s="3" t="s">
        <v>16</v>
      </c>
      <c r="C15752" s="23"/>
      <c r="D15752" s="21"/>
    </row>
    <row r="15753" spans="1:4" ht="12.75" customHeight="1" x14ac:dyDescent="0.2">
      <c r="A15753" s="21"/>
      <c r="B15753" s="3" t="s">
        <v>17</v>
      </c>
      <c r="C15753" s="23" t="s">
        <v>19</v>
      </c>
      <c r="D15753" s="21"/>
    </row>
    <row r="15754" spans="1:4" ht="12.75" customHeight="1" x14ac:dyDescent="0.2">
      <c r="A15754" s="21"/>
      <c r="B15754" s="20" t="s">
        <v>18</v>
      </c>
      <c r="C15754" s="8" t="s">
        <v>44</v>
      </c>
      <c r="D15754" s="1" t="str">
        <f>HYPERLINK("javascript:void(0)","csavarodó pajzs")</f>
        <v>csavarodó pajzs</v>
      </c>
    </row>
    <row r="15755" spans="1:4" ht="12.75" customHeight="1" x14ac:dyDescent="0.2">
      <c r="A15755" s="21"/>
      <c r="B15755" s="21"/>
      <c r="C15755" s="8" t="s">
        <v>280</v>
      </c>
      <c r="D15755" s="1" t="str">
        <f>HYPERLINK("javascript:void(0)","ezüst patkó")</f>
        <v>ezüst patkó</v>
      </c>
    </row>
    <row r="15756" spans="1:4" ht="12.75" customHeight="1" x14ac:dyDescent="0.2">
      <c r="A15756" s="21"/>
      <c r="B15756" s="21"/>
      <c r="C15756" s="8" t="s">
        <v>280</v>
      </c>
      <c r="D15756" s="1" t="str">
        <f>HYPERLINK("javascript:void(0)","légpatkó")</f>
        <v>légpatkó</v>
      </c>
    </row>
    <row r="15757" spans="1:4" ht="12.75" customHeight="1" x14ac:dyDescent="0.2">
      <c r="A15757" s="21"/>
      <c r="B15757" s="2"/>
      <c r="C15757" s="7"/>
      <c r="D15757" s="7"/>
    </row>
    <row r="15758" spans="1:4" ht="12.75" customHeight="1" x14ac:dyDescent="0.2">
      <c r="A15758" s="21"/>
      <c r="B15758" s="2"/>
      <c r="C15758" s="7"/>
      <c r="D15758" s="7"/>
    </row>
    <row r="15759" spans="1:4" ht="12.75" customHeight="1" x14ac:dyDescent="0.2">
      <c r="A15759" s="21"/>
      <c r="B15759" s="2"/>
      <c r="C15759" s="7"/>
      <c r="D15759" s="7"/>
    </row>
    <row r="15760" spans="1:4" ht="12.75" customHeight="1" x14ac:dyDescent="0.2">
      <c r="A15760" s="21"/>
      <c r="B15760" s="2"/>
      <c r="C15760" s="7"/>
      <c r="D15760" s="7"/>
    </row>
    <row r="15761" spans="1:4" ht="12.75" customHeight="1" x14ac:dyDescent="0.2">
      <c r="A15761" s="5"/>
      <c r="B15761" s="2"/>
      <c r="C15761" s="7"/>
      <c r="D15761" s="7"/>
    </row>
    <row r="15762" spans="1:4" ht="12.75" customHeight="1" x14ac:dyDescent="0.2">
      <c r="A15762" s="22" t="str">
        <f>HYPERLINK("javascript:void(0)","légmellény")</f>
        <v>légmellény</v>
      </c>
      <c r="B15762" s="21"/>
      <c r="C15762" s="21"/>
      <c r="D15762" s="21"/>
    </row>
    <row r="15763" spans="1:4" ht="12.75" customHeight="1" x14ac:dyDescent="0.2">
      <c r="A15763" s="20"/>
      <c r="B15763" s="2"/>
      <c r="C15763" s="7"/>
      <c r="D15763" s="7"/>
    </row>
    <row r="15764" spans="1:4" ht="12.75" customHeight="1" x14ac:dyDescent="0.2">
      <c r="A15764" s="21"/>
      <c r="B15764" s="3" t="s">
        <v>0</v>
      </c>
      <c r="C15764" s="23" t="s">
        <v>1165</v>
      </c>
      <c r="D15764" s="21"/>
    </row>
    <row r="15765" spans="1:4" ht="12.75" customHeight="1" x14ac:dyDescent="0.2">
      <c r="A15765" s="21"/>
      <c r="B15765" s="3" t="s">
        <v>2</v>
      </c>
      <c r="C15765" s="23" t="s">
        <v>2322</v>
      </c>
      <c r="D15765" s="21"/>
    </row>
    <row r="15766" spans="1:4" ht="12.75" customHeight="1" x14ac:dyDescent="0.2">
      <c r="A15766" s="21"/>
      <c r="B15766" s="3" t="s">
        <v>1840</v>
      </c>
      <c r="C15766" s="23" t="s">
        <v>253</v>
      </c>
      <c r="D15766" s="21"/>
    </row>
    <row r="15767" spans="1:4" ht="12.75" customHeight="1" x14ac:dyDescent="0.2">
      <c r="A15767" s="21"/>
      <c r="B15767" s="3" t="s">
        <v>9</v>
      </c>
      <c r="C15767" s="23" t="s">
        <v>2535</v>
      </c>
      <c r="D15767" s="21"/>
    </row>
    <row r="15768" spans="1:4" ht="12.75" customHeight="1" x14ac:dyDescent="0.2">
      <c r="A15768" s="21"/>
      <c r="B15768" s="3" t="s">
        <v>11</v>
      </c>
      <c r="C15768" s="23" t="s">
        <v>2536</v>
      </c>
      <c r="D15768" s="21"/>
    </row>
    <row r="15769" spans="1:4" ht="12.75" customHeight="1" x14ac:dyDescent="0.2">
      <c r="A15769" s="21"/>
      <c r="B15769" s="3" t="s">
        <v>16</v>
      </c>
      <c r="C15769" s="23"/>
      <c r="D15769" s="21"/>
    </row>
    <row r="15770" spans="1:4" ht="12.75" customHeight="1" x14ac:dyDescent="0.2">
      <c r="A15770" s="21"/>
      <c r="B15770" s="3" t="s">
        <v>17</v>
      </c>
      <c r="C15770" s="23" t="s">
        <v>19</v>
      </c>
      <c r="D15770" s="21"/>
    </row>
    <row r="15771" spans="1:4" ht="12.75" customHeight="1" x14ac:dyDescent="0.2">
      <c r="A15771" s="21"/>
      <c r="B15771" s="20" t="s">
        <v>18</v>
      </c>
      <c r="C15771" s="8" t="s">
        <v>756</v>
      </c>
      <c r="D15771" s="1" t="str">
        <f>HYPERLINK("javascript:void(0)","légpatkó")</f>
        <v>légpatkó</v>
      </c>
    </row>
    <row r="15772" spans="1:4" ht="12.75" customHeight="1" x14ac:dyDescent="0.2">
      <c r="A15772" s="21"/>
      <c r="B15772" s="21"/>
      <c r="C15772" s="8" t="s">
        <v>809</v>
      </c>
      <c r="D15772" s="1" t="str">
        <f>HYPERLINK("javascript:void(0)","patkányfarok")</f>
        <v>patkányfarok</v>
      </c>
    </row>
    <row r="15773" spans="1:4" ht="12.75" customHeight="1" x14ac:dyDescent="0.2">
      <c r="A15773" s="21"/>
      <c r="B15773" s="21"/>
      <c r="C15773" s="8" t="s">
        <v>296</v>
      </c>
      <c r="D15773" s="1" t="str">
        <f>HYPERLINK("javascript:void(0)","hidegige")</f>
        <v>hidegige</v>
      </c>
    </row>
    <row r="15774" spans="1:4" ht="12.75" customHeight="1" x14ac:dyDescent="0.2">
      <c r="A15774" s="21"/>
      <c r="B15774" s="2"/>
      <c r="C15774" s="7"/>
      <c r="D15774" s="7"/>
    </row>
    <row r="15775" spans="1:4" ht="12.75" customHeight="1" x14ac:dyDescent="0.2">
      <c r="A15775" s="21"/>
      <c r="B15775" s="2"/>
      <c r="C15775" s="7"/>
      <c r="D15775" s="7"/>
    </row>
    <row r="15776" spans="1:4" ht="12.75" customHeight="1" x14ac:dyDescent="0.2">
      <c r="A15776" s="21"/>
      <c r="B15776" s="2"/>
      <c r="C15776" s="7"/>
      <c r="D15776" s="7"/>
    </row>
    <row r="15777" spans="1:4" ht="12.75" customHeight="1" x14ac:dyDescent="0.2">
      <c r="A15777" s="21"/>
      <c r="B15777" s="2"/>
      <c r="C15777" s="7"/>
      <c r="D15777" s="7"/>
    </row>
    <row r="15778" spans="1:4" ht="12.75" customHeight="1" x14ac:dyDescent="0.2">
      <c r="A15778" s="5"/>
      <c r="B15778" s="2"/>
      <c r="C15778" s="7"/>
      <c r="D15778" s="7"/>
    </row>
    <row r="15779" spans="1:4" ht="12.75" customHeight="1" x14ac:dyDescent="0.2">
      <c r="A15779" s="22" t="str">
        <f>HYPERLINK("javascript:void(0)","lángmintás manasisak")</f>
        <v>lángmintás manasisak</v>
      </c>
      <c r="B15779" s="21"/>
      <c r="C15779" s="21"/>
      <c r="D15779" s="21"/>
    </row>
    <row r="15780" spans="1:4" ht="12.75" customHeight="1" x14ac:dyDescent="0.2">
      <c r="A15780" s="20"/>
      <c r="B15780" s="2"/>
      <c r="C15780" s="7"/>
      <c r="D15780" s="7"/>
    </row>
    <row r="15781" spans="1:4" ht="12.75" customHeight="1" x14ac:dyDescent="0.2">
      <c r="A15781" s="21"/>
      <c r="B15781" s="3" t="s">
        <v>0</v>
      </c>
      <c r="C15781" s="23" t="s">
        <v>1165</v>
      </c>
      <c r="D15781" s="21"/>
    </row>
    <row r="15782" spans="1:4" ht="12.75" customHeight="1" x14ac:dyDescent="0.2">
      <c r="A15782" s="21"/>
      <c r="B15782" s="3" t="s">
        <v>2</v>
      </c>
      <c r="C15782" s="23"/>
      <c r="D15782" s="21"/>
    </row>
    <row r="15783" spans="1:4" ht="12.75" customHeight="1" x14ac:dyDescent="0.2">
      <c r="A15783" s="21"/>
      <c r="B15783" s="3" t="s">
        <v>1840</v>
      </c>
      <c r="C15783" s="23" t="s">
        <v>2395</v>
      </c>
      <c r="D15783" s="21"/>
    </row>
    <row r="15784" spans="1:4" ht="12.75" customHeight="1" x14ac:dyDescent="0.2">
      <c r="A15784" s="21"/>
      <c r="B15784" s="3" t="s">
        <v>9</v>
      </c>
      <c r="C15784" s="23" t="s">
        <v>2273</v>
      </c>
      <c r="D15784" s="21"/>
    </row>
    <row r="15785" spans="1:4" ht="12.75" customHeight="1" x14ac:dyDescent="0.2">
      <c r="A15785" s="21"/>
      <c r="B15785" s="3" t="s">
        <v>11</v>
      </c>
      <c r="C15785" s="23" t="s">
        <v>5762</v>
      </c>
      <c r="D15785" s="21"/>
    </row>
    <row r="15786" spans="1:4" ht="12.75" customHeight="1" x14ac:dyDescent="0.2">
      <c r="A15786" s="21"/>
      <c r="B15786" s="3" t="s">
        <v>16</v>
      </c>
      <c r="C15786" s="23"/>
      <c r="D15786" s="21"/>
    </row>
    <row r="15787" spans="1:4" ht="12.75" customHeight="1" x14ac:dyDescent="0.2">
      <c r="A15787" s="21"/>
      <c r="B15787" s="3" t="s">
        <v>17</v>
      </c>
      <c r="C15787" s="23" t="s">
        <v>19</v>
      </c>
      <c r="D15787" s="21"/>
    </row>
    <row r="15788" spans="1:4" ht="25.5" customHeight="1" x14ac:dyDescent="0.2">
      <c r="A15788" s="21"/>
      <c r="B15788" s="20" t="s">
        <v>18</v>
      </c>
      <c r="C15788" s="8" t="s">
        <v>44</v>
      </c>
      <c r="D15788" s="1" t="str">
        <f>HYPERLINK("javascript:void(0)","kristályos manasisak")</f>
        <v>kristályos manasisak</v>
      </c>
    </row>
    <row r="15789" spans="1:4" ht="12.75" customHeight="1" x14ac:dyDescent="0.2">
      <c r="A15789" s="21"/>
      <c r="B15789" s="21"/>
      <c r="C15789" s="8" t="s">
        <v>772</v>
      </c>
      <c r="D15789" s="1" t="str">
        <f>HYPERLINK("javascript:void(0)","szellemláng")</f>
        <v>szellemláng</v>
      </c>
    </row>
    <row r="15790" spans="1:4" ht="12.75" customHeight="1" x14ac:dyDescent="0.2">
      <c r="A15790" s="21"/>
      <c r="B15790" s="21"/>
      <c r="C15790" s="8" t="s">
        <v>786</v>
      </c>
      <c r="D15790" s="1" t="str">
        <f>HYPERLINK("javascript:void(0)","rojt")</f>
        <v>rojt</v>
      </c>
    </row>
    <row r="15791" spans="1:4" ht="12.75" customHeight="1" x14ac:dyDescent="0.2">
      <c r="A15791" s="21"/>
      <c r="B15791" s="2"/>
      <c r="C15791" s="7"/>
      <c r="D15791" s="7"/>
    </row>
    <row r="15792" spans="1:4" ht="12.75" customHeight="1" x14ac:dyDescent="0.2">
      <c r="A15792" s="21"/>
      <c r="B15792" s="2"/>
      <c r="C15792" s="7"/>
      <c r="D15792" s="7"/>
    </row>
    <row r="15793" spans="1:4" ht="12.75" customHeight="1" x14ac:dyDescent="0.2">
      <c r="A15793" s="21"/>
      <c r="B15793" s="2"/>
      <c r="C15793" s="7"/>
      <c r="D15793" s="7"/>
    </row>
    <row r="15794" spans="1:4" ht="12.75" customHeight="1" x14ac:dyDescent="0.2">
      <c r="A15794" s="21"/>
      <c r="B15794" s="2"/>
      <c r="C15794" s="7"/>
      <c r="D15794" s="7"/>
    </row>
    <row r="15795" spans="1:4" ht="12.75" customHeight="1" x14ac:dyDescent="0.2">
      <c r="A15795" s="5"/>
      <c r="B15795" s="2"/>
      <c r="C15795" s="7"/>
      <c r="D15795" s="7"/>
    </row>
    <row r="15796" spans="1:4" ht="12.75" customHeight="1" x14ac:dyDescent="0.2">
      <c r="A15796" s="22" t="str">
        <f>HYPERLINK("javascript:void(0)","lángmintás manafejpánt")</f>
        <v>lángmintás manafejpánt</v>
      </c>
      <c r="B15796" s="21"/>
      <c r="C15796" s="21"/>
      <c r="D15796" s="21"/>
    </row>
    <row r="15797" spans="1:4" ht="12.75" customHeight="1" x14ac:dyDescent="0.2">
      <c r="A15797" s="20"/>
      <c r="B15797" s="2"/>
      <c r="C15797" s="7"/>
      <c r="D15797" s="7"/>
    </row>
    <row r="15798" spans="1:4" ht="12.75" customHeight="1" x14ac:dyDescent="0.2">
      <c r="A15798" s="21"/>
      <c r="B15798" s="3" t="s">
        <v>0</v>
      </c>
      <c r="C15798" s="23" t="s">
        <v>1165</v>
      </c>
      <c r="D15798" s="21"/>
    </row>
    <row r="15799" spans="1:4" ht="12.75" customHeight="1" x14ac:dyDescent="0.2">
      <c r="A15799" s="21"/>
      <c r="B15799" s="3" t="s">
        <v>2</v>
      </c>
      <c r="C15799" s="23"/>
      <c r="D15799" s="21"/>
    </row>
    <row r="15800" spans="1:4" ht="12.75" customHeight="1" x14ac:dyDescent="0.2">
      <c r="A15800" s="21"/>
      <c r="B15800" s="3" t="s">
        <v>1840</v>
      </c>
      <c r="C15800" s="23" t="s">
        <v>91</v>
      </c>
      <c r="D15800" s="21"/>
    </row>
    <row r="15801" spans="1:4" ht="12.75" customHeight="1" x14ac:dyDescent="0.2">
      <c r="A15801" s="21"/>
      <c r="B15801" s="3" t="s">
        <v>9</v>
      </c>
      <c r="C15801" s="23" t="s">
        <v>1112</v>
      </c>
      <c r="D15801" s="21"/>
    </row>
    <row r="15802" spans="1:4" ht="12.75" customHeight="1" x14ac:dyDescent="0.2">
      <c r="A15802" s="21"/>
      <c r="B15802" s="3" t="s">
        <v>11</v>
      </c>
      <c r="C15802" s="23" t="s">
        <v>5762</v>
      </c>
      <c r="D15802" s="21"/>
    </row>
    <row r="15803" spans="1:4" ht="12.75" customHeight="1" x14ac:dyDescent="0.2">
      <c r="A15803" s="21"/>
      <c r="B15803" s="3" t="s">
        <v>16</v>
      </c>
      <c r="C15803" s="23"/>
      <c r="D15803" s="21"/>
    </row>
    <row r="15804" spans="1:4" ht="12.75" customHeight="1" x14ac:dyDescent="0.2">
      <c r="A15804" s="21"/>
      <c r="B15804" s="3" t="s">
        <v>17</v>
      </c>
      <c r="C15804" s="23" t="s">
        <v>19</v>
      </c>
      <c r="D15804" s="21"/>
    </row>
    <row r="15805" spans="1:4" ht="25.5" customHeight="1" x14ac:dyDescent="0.2">
      <c r="A15805" s="21"/>
      <c r="B15805" s="20" t="s">
        <v>18</v>
      </c>
      <c r="C15805" s="8" t="s">
        <v>44</v>
      </c>
      <c r="D15805" s="1" t="str">
        <f>HYPERLINK("javascript:void(0)","kristályos manafejpánt")</f>
        <v>kristályos manafejpánt</v>
      </c>
    </row>
    <row r="15806" spans="1:4" ht="12.75" customHeight="1" x14ac:dyDescent="0.2">
      <c r="A15806" s="21"/>
      <c r="B15806" s="21"/>
      <c r="C15806" s="8" t="s">
        <v>950</v>
      </c>
      <c r="D15806" s="1" t="str">
        <f>HYPERLINK("javascript:void(0)","kutyasíp")</f>
        <v>kutyasíp</v>
      </c>
    </row>
    <row r="15807" spans="1:4" ht="12.75" customHeight="1" x14ac:dyDescent="0.2">
      <c r="A15807" s="21"/>
      <c r="B15807" s="21"/>
      <c r="C15807" s="8" t="s">
        <v>420</v>
      </c>
      <c r="D15807" s="1" t="str">
        <f>HYPERLINK("javascript:void(0)","ködpikkely")</f>
        <v>ködpikkely</v>
      </c>
    </row>
    <row r="15808" spans="1:4" ht="12.75" customHeight="1" x14ac:dyDescent="0.2">
      <c r="A15808" s="21"/>
      <c r="B15808" s="2"/>
      <c r="C15808" s="7"/>
      <c r="D15808" s="7"/>
    </row>
    <row r="15809" spans="1:4" ht="12.75" customHeight="1" x14ac:dyDescent="0.2">
      <c r="A15809" s="21"/>
      <c r="B15809" s="2"/>
      <c r="C15809" s="7"/>
      <c r="D15809" s="7"/>
    </row>
    <row r="15810" spans="1:4" ht="12.75" customHeight="1" x14ac:dyDescent="0.2">
      <c r="A15810" s="21"/>
      <c r="B15810" s="2"/>
      <c r="C15810" s="7"/>
      <c r="D15810" s="7"/>
    </row>
    <row r="15811" spans="1:4" ht="12.75" customHeight="1" x14ac:dyDescent="0.2">
      <c r="A15811" s="21"/>
      <c r="B15811" s="2"/>
      <c r="C15811" s="7"/>
      <c r="D15811" s="7"/>
    </row>
    <row r="15812" spans="1:4" ht="12.75" customHeight="1" x14ac:dyDescent="0.2">
      <c r="A15812" s="5"/>
      <c r="B15812" s="2"/>
      <c r="C15812" s="7"/>
      <c r="D15812" s="7"/>
    </row>
    <row r="15813" spans="1:4" ht="12.75" customHeight="1" x14ac:dyDescent="0.2">
      <c r="A15813" s="22" t="str">
        <f>HYPERLINK("javascript:void(0)","csillámló pengepajzs")</f>
        <v>csillámló pengepajzs</v>
      </c>
      <c r="B15813" s="21"/>
      <c r="C15813" s="21"/>
      <c r="D15813" s="21"/>
    </row>
    <row r="15814" spans="1:4" ht="12.75" customHeight="1" x14ac:dyDescent="0.2">
      <c r="A15814" s="20"/>
      <c r="B15814" s="2"/>
      <c r="C15814" s="7"/>
      <c r="D15814" s="7"/>
    </row>
    <row r="15815" spans="1:4" ht="12.75" customHeight="1" x14ac:dyDescent="0.2">
      <c r="A15815" s="21"/>
      <c r="B15815" s="3" t="s">
        <v>0</v>
      </c>
      <c r="C15815" s="23" t="s">
        <v>1174</v>
      </c>
      <c r="D15815" s="21"/>
    </row>
    <row r="15816" spans="1:4" ht="12.75" customHeight="1" x14ac:dyDescent="0.2">
      <c r="A15816" s="21"/>
      <c r="B15816" s="3" t="s">
        <v>2</v>
      </c>
      <c r="C15816" s="23" t="s">
        <v>1839</v>
      </c>
      <c r="D15816" s="21"/>
    </row>
    <row r="15817" spans="1:4" ht="12.75" customHeight="1" x14ac:dyDescent="0.2">
      <c r="A15817" s="21"/>
      <c r="B15817" s="3" t="s">
        <v>1840</v>
      </c>
      <c r="C15817" s="23" t="s">
        <v>3302</v>
      </c>
      <c r="D15817" s="21"/>
    </row>
    <row r="15818" spans="1:4" ht="12.75" customHeight="1" x14ac:dyDescent="0.2">
      <c r="A15818" s="21"/>
      <c r="B15818" s="3" t="s">
        <v>9</v>
      </c>
      <c r="C15818" s="23" t="s">
        <v>2492</v>
      </c>
      <c r="D15818" s="21"/>
    </row>
    <row r="15819" spans="1:4" ht="12.75" customHeight="1" x14ac:dyDescent="0.2">
      <c r="A15819" s="21"/>
      <c r="B15819" s="3" t="s">
        <v>11</v>
      </c>
      <c r="C15819" s="23" t="s">
        <v>2252</v>
      </c>
      <c r="D15819" s="21"/>
    </row>
    <row r="15820" spans="1:4" ht="12.75" customHeight="1" x14ac:dyDescent="0.2">
      <c r="A15820" s="21"/>
      <c r="B15820" s="3" t="s">
        <v>16</v>
      </c>
      <c r="C15820" s="23"/>
      <c r="D15820" s="21"/>
    </row>
    <row r="15821" spans="1:4" ht="12.75" customHeight="1" x14ac:dyDescent="0.2">
      <c r="A15821" s="21"/>
      <c r="B15821" s="3" t="s">
        <v>17</v>
      </c>
      <c r="C15821" s="23" t="s">
        <v>19</v>
      </c>
      <c r="D15821" s="21"/>
    </row>
    <row r="15822" spans="1:4" ht="12.75" customHeight="1" x14ac:dyDescent="0.2">
      <c r="A15822" s="21"/>
      <c r="B15822" s="20" t="s">
        <v>18</v>
      </c>
      <c r="C15822" s="8" t="s">
        <v>57</v>
      </c>
      <c r="D15822" s="1" t="str">
        <f>HYPERLINK("javascript:void(0)","csillámgöb")</f>
        <v>csillámgöb</v>
      </c>
    </row>
    <row r="15823" spans="1:4" ht="12.75" customHeight="1" x14ac:dyDescent="0.2">
      <c r="A15823" s="21"/>
      <c r="B15823" s="21"/>
      <c r="C15823" s="8" t="s">
        <v>44</v>
      </c>
      <c r="D15823" s="1" t="str">
        <f>HYPERLINK("javascript:void(0)","csillámló trollpajzs")</f>
        <v>csillámló trollpajzs</v>
      </c>
    </row>
    <row r="15824" spans="1:4" ht="12.75" customHeight="1" x14ac:dyDescent="0.2">
      <c r="A15824" s="21"/>
      <c r="B15824" s="21"/>
      <c r="C15824" s="8" t="s">
        <v>786</v>
      </c>
      <c r="D15824" s="1" t="str">
        <f>HYPERLINK("javascript:void(0)","glóriahasító")</f>
        <v>glóriahasító</v>
      </c>
    </row>
    <row r="15825" spans="1:4" ht="12.75" customHeight="1" x14ac:dyDescent="0.2">
      <c r="A15825" s="21"/>
      <c r="B15825" s="2"/>
      <c r="C15825" s="7"/>
      <c r="D15825" s="7"/>
    </row>
    <row r="15826" spans="1:4" ht="12.75" customHeight="1" x14ac:dyDescent="0.2">
      <c r="A15826" s="21"/>
      <c r="B15826" s="2"/>
      <c r="C15826" s="7"/>
      <c r="D15826" s="7"/>
    </row>
    <row r="15827" spans="1:4" ht="12.75" customHeight="1" x14ac:dyDescent="0.2">
      <c r="A15827" s="21"/>
      <c r="B15827" s="2"/>
      <c r="C15827" s="7"/>
      <c r="D15827" s="7"/>
    </row>
    <row r="15828" spans="1:4" ht="12.75" customHeight="1" x14ac:dyDescent="0.2">
      <c r="A15828" s="21"/>
      <c r="B15828" s="2"/>
      <c r="C15828" s="7"/>
      <c r="D15828" s="7"/>
    </row>
    <row r="15829" spans="1:4" ht="12.75" customHeight="1" x14ac:dyDescent="0.2">
      <c r="A15829" s="5"/>
      <c r="B15829" s="2"/>
      <c r="C15829" s="7"/>
      <c r="D15829" s="7"/>
    </row>
    <row r="15830" spans="1:4" ht="12.75" customHeight="1" x14ac:dyDescent="0.2">
      <c r="A15830" s="22" t="str">
        <f>HYPERLINK("javascript:void(0)","csillámló pengecsizma")</f>
        <v>csillámló pengecsizma</v>
      </c>
      <c r="B15830" s="21"/>
      <c r="C15830" s="21"/>
      <c r="D15830" s="21"/>
    </row>
    <row r="15831" spans="1:4" ht="12.75" customHeight="1" x14ac:dyDescent="0.2">
      <c r="A15831" s="20"/>
      <c r="B15831" s="2"/>
      <c r="C15831" s="7"/>
      <c r="D15831" s="7"/>
    </row>
    <row r="15832" spans="1:4" ht="12.75" customHeight="1" x14ac:dyDescent="0.2">
      <c r="A15832" s="21"/>
      <c r="B15832" s="3" t="s">
        <v>0</v>
      </c>
      <c r="C15832" s="23" t="s">
        <v>1174</v>
      </c>
      <c r="D15832" s="21"/>
    </row>
    <row r="15833" spans="1:4" ht="12.75" customHeight="1" x14ac:dyDescent="0.2">
      <c r="A15833" s="21"/>
      <c r="B15833" s="3" t="s">
        <v>2</v>
      </c>
      <c r="C15833" s="23"/>
      <c r="D15833" s="21"/>
    </row>
    <row r="15834" spans="1:4" ht="12.75" customHeight="1" x14ac:dyDescent="0.2">
      <c r="A15834" s="21"/>
      <c r="B15834" s="3" t="s">
        <v>1840</v>
      </c>
      <c r="C15834" s="23" t="s">
        <v>2231</v>
      </c>
      <c r="D15834" s="21"/>
    </row>
    <row r="15835" spans="1:4" ht="12.75" customHeight="1" x14ac:dyDescent="0.2">
      <c r="A15835" s="21"/>
      <c r="B15835" s="3" t="s">
        <v>9</v>
      </c>
      <c r="C15835" s="23" t="s">
        <v>169</v>
      </c>
      <c r="D15835" s="21"/>
    </row>
    <row r="15836" spans="1:4" ht="12.75" customHeight="1" x14ac:dyDescent="0.2">
      <c r="A15836" s="21"/>
      <c r="B15836" s="3" t="s">
        <v>11</v>
      </c>
      <c r="C15836" s="23" t="s">
        <v>2232</v>
      </c>
      <c r="D15836" s="21"/>
    </row>
    <row r="15837" spans="1:4" ht="12.75" customHeight="1" x14ac:dyDescent="0.2">
      <c r="A15837" s="21"/>
      <c r="B15837" s="3" t="s">
        <v>16</v>
      </c>
      <c r="C15837" s="23"/>
      <c r="D15837" s="21"/>
    </row>
    <row r="15838" spans="1:4" ht="12.75" customHeight="1" x14ac:dyDescent="0.2">
      <c r="A15838" s="21"/>
      <c r="B15838" s="3" t="s">
        <v>17</v>
      </c>
      <c r="C15838" s="23" t="s">
        <v>19</v>
      </c>
      <c r="D15838" s="21"/>
    </row>
    <row r="15839" spans="1:4" ht="12.75" customHeight="1" x14ac:dyDescent="0.2">
      <c r="A15839" s="21"/>
      <c r="B15839" s="20" t="s">
        <v>18</v>
      </c>
      <c r="C15839" s="8" t="s">
        <v>57</v>
      </c>
      <c r="D15839" s="1" t="str">
        <f>HYPERLINK("javascript:void(0)","csillámgöb")</f>
        <v>csillámgöb</v>
      </c>
    </row>
    <row r="15840" spans="1:4" ht="12.75" customHeight="1" x14ac:dyDescent="0.2">
      <c r="A15840" s="21"/>
      <c r="B15840" s="21"/>
      <c r="C15840" s="8" t="s">
        <v>44</v>
      </c>
      <c r="D15840" s="1" t="str">
        <f>HYPERLINK("javascript:void(0)","csillámló trollcsizma")</f>
        <v>csillámló trollcsizma</v>
      </c>
    </row>
    <row r="15841" spans="1:4" ht="12.75" customHeight="1" x14ac:dyDescent="0.2">
      <c r="A15841" s="21"/>
      <c r="B15841" s="21"/>
      <c r="C15841" s="8" t="s">
        <v>280</v>
      </c>
      <c r="D15841" s="1" t="str">
        <f>HYPERLINK("javascript:void(0)","fülpenge")</f>
        <v>fülpenge</v>
      </c>
    </row>
    <row r="15842" spans="1:4" ht="12.75" customHeight="1" x14ac:dyDescent="0.2">
      <c r="A15842" s="21"/>
      <c r="B15842" s="2"/>
      <c r="C15842" s="7"/>
      <c r="D15842" s="7"/>
    </row>
    <row r="15843" spans="1:4" ht="12.75" customHeight="1" x14ac:dyDescent="0.2">
      <c r="A15843" s="21"/>
      <c r="B15843" s="2"/>
      <c r="C15843" s="7"/>
      <c r="D15843" s="7"/>
    </row>
    <row r="15844" spans="1:4" ht="12.75" customHeight="1" x14ac:dyDescent="0.2">
      <c r="A15844" s="21"/>
      <c r="B15844" s="2"/>
      <c r="C15844" s="7"/>
      <c r="D15844" s="7"/>
    </row>
    <row r="15845" spans="1:4" ht="12.75" customHeight="1" x14ac:dyDescent="0.2">
      <c r="A15845" s="21"/>
      <c r="B15845" s="2"/>
      <c r="C15845" s="7"/>
      <c r="D15845" s="7"/>
    </row>
    <row r="15846" spans="1:4" ht="12.75" customHeight="1" x14ac:dyDescent="0.2">
      <c r="A15846" s="5"/>
      <c r="B15846" s="2"/>
      <c r="C15846" s="7"/>
      <c r="D15846" s="7"/>
    </row>
    <row r="15847" spans="1:4" ht="12.75" customHeight="1" x14ac:dyDescent="0.2">
      <c r="A15847" s="22" t="str">
        <f>HYPERLINK("javascript:void(0)","csillámos pengesisak")</f>
        <v>csillámos pengesisak</v>
      </c>
      <c r="B15847" s="21"/>
      <c r="C15847" s="21"/>
      <c r="D15847" s="21"/>
    </row>
    <row r="15848" spans="1:4" ht="12.75" customHeight="1" x14ac:dyDescent="0.2">
      <c r="A15848" s="20"/>
      <c r="B15848" s="2"/>
      <c r="C15848" s="7"/>
      <c r="D15848" s="7"/>
    </row>
    <row r="15849" spans="1:4" ht="12.75" customHeight="1" x14ac:dyDescent="0.2">
      <c r="A15849" s="21"/>
      <c r="B15849" s="3" t="s">
        <v>0</v>
      </c>
      <c r="C15849" s="23" t="s">
        <v>1174</v>
      </c>
      <c r="D15849" s="21"/>
    </row>
    <row r="15850" spans="1:4" ht="12.75" customHeight="1" x14ac:dyDescent="0.2">
      <c r="A15850" s="21"/>
      <c r="B15850" s="3" t="s">
        <v>2</v>
      </c>
      <c r="C15850" s="23"/>
      <c r="D15850" s="21"/>
    </row>
    <row r="15851" spans="1:4" ht="12.75" customHeight="1" x14ac:dyDescent="0.2">
      <c r="A15851" s="21"/>
      <c r="B15851" s="3" t="s">
        <v>1840</v>
      </c>
      <c r="C15851" s="23" t="s">
        <v>285</v>
      </c>
      <c r="D15851" s="21"/>
    </row>
    <row r="15852" spans="1:4" ht="12.75" customHeight="1" x14ac:dyDescent="0.2">
      <c r="A15852" s="21"/>
      <c r="B15852" s="3" t="s">
        <v>9</v>
      </c>
      <c r="C15852" s="23" t="s">
        <v>4581</v>
      </c>
      <c r="D15852" s="21"/>
    </row>
    <row r="15853" spans="1:4" ht="12.75" customHeight="1" x14ac:dyDescent="0.2">
      <c r="A15853" s="21"/>
      <c r="B15853" s="3" t="s">
        <v>11</v>
      </c>
      <c r="C15853" s="23" t="s">
        <v>2222</v>
      </c>
      <c r="D15853" s="21"/>
    </row>
    <row r="15854" spans="1:4" ht="12.75" customHeight="1" x14ac:dyDescent="0.2">
      <c r="A15854" s="21"/>
      <c r="B15854" s="3" t="s">
        <v>16</v>
      </c>
      <c r="C15854" s="23"/>
      <c r="D15854" s="21"/>
    </row>
    <row r="15855" spans="1:4" ht="12.75" customHeight="1" x14ac:dyDescent="0.2">
      <c r="A15855" s="21"/>
      <c r="B15855" s="3" t="s">
        <v>17</v>
      </c>
      <c r="C15855" s="23" t="s">
        <v>19</v>
      </c>
      <c r="D15855" s="21"/>
    </row>
    <row r="15856" spans="1:4" ht="12.75" customHeight="1" x14ac:dyDescent="0.2">
      <c r="A15856" s="21"/>
      <c r="B15856" s="20" t="s">
        <v>18</v>
      </c>
      <c r="C15856" s="8" t="s">
        <v>57</v>
      </c>
      <c r="D15856" s="1" t="str">
        <f>HYPERLINK("javascript:void(0)","csillámgöb")</f>
        <v>csillámgöb</v>
      </c>
    </row>
    <row r="15857" spans="1:4" ht="12.75" customHeight="1" x14ac:dyDescent="0.2">
      <c r="A15857" s="21"/>
      <c r="B15857" s="21"/>
      <c r="C15857" s="8" t="s">
        <v>44</v>
      </c>
      <c r="D15857" s="1" t="str">
        <f>HYPERLINK("javascript:void(0)","csillámos trollsisak")</f>
        <v>csillámos trollsisak</v>
      </c>
    </row>
    <row r="15858" spans="1:4" ht="12.75" customHeight="1" x14ac:dyDescent="0.2">
      <c r="A15858" s="21"/>
      <c r="B15858" s="21"/>
      <c r="C15858" s="8" t="s">
        <v>2140</v>
      </c>
      <c r="D15858" s="1" t="str">
        <f>HYPERLINK("javascript:void(0)","fülcsáp")</f>
        <v>fülcsáp</v>
      </c>
    </row>
    <row r="15859" spans="1:4" ht="12.75" customHeight="1" x14ac:dyDescent="0.2">
      <c r="A15859" s="21"/>
      <c r="B15859" s="2"/>
      <c r="C15859" s="7"/>
      <c r="D15859" s="7"/>
    </row>
    <row r="15860" spans="1:4" ht="12.75" customHeight="1" x14ac:dyDescent="0.2">
      <c r="A15860" s="21"/>
      <c r="B15860" s="2"/>
      <c r="C15860" s="7"/>
      <c r="D15860" s="7"/>
    </row>
    <row r="15861" spans="1:4" ht="12.75" customHeight="1" x14ac:dyDescent="0.2">
      <c r="A15861" s="21"/>
      <c r="B15861" s="2"/>
      <c r="C15861" s="7"/>
      <c r="D15861" s="7"/>
    </row>
    <row r="15862" spans="1:4" ht="12.75" customHeight="1" x14ac:dyDescent="0.2">
      <c r="A15862" s="21"/>
      <c r="B15862" s="2"/>
      <c r="C15862" s="7"/>
      <c r="D15862" s="7"/>
    </row>
    <row r="15863" spans="1:4" ht="12.75" customHeight="1" x14ac:dyDescent="0.2">
      <c r="A15863" s="5"/>
      <c r="B15863" s="2"/>
      <c r="C15863" s="7"/>
      <c r="D15863" s="7"/>
    </row>
    <row r="15864" spans="1:4" ht="12.75" customHeight="1" x14ac:dyDescent="0.2">
      <c r="A15864" s="22" t="str">
        <f>HYPERLINK("javascript:void(0)","csillámló pengepáncél")</f>
        <v>csillámló pengepáncél</v>
      </c>
      <c r="B15864" s="21"/>
      <c r="C15864" s="21"/>
      <c r="D15864" s="21"/>
    </row>
    <row r="15865" spans="1:4" ht="12.75" customHeight="1" x14ac:dyDescent="0.2">
      <c r="A15865" s="20"/>
      <c r="B15865" s="2"/>
      <c r="C15865" s="7"/>
      <c r="D15865" s="7"/>
    </row>
    <row r="15866" spans="1:4" ht="12.75" customHeight="1" x14ac:dyDescent="0.2">
      <c r="A15866" s="21"/>
      <c r="B15866" s="3" t="s">
        <v>0</v>
      </c>
      <c r="C15866" s="23" t="s">
        <v>1174</v>
      </c>
      <c r="D15866" s="21"/>
    </row>
    <row r="15867" spans="1:4" ht="12.75" customHeight="1" x14ac:dyDescent="0.2">
      <c r="A15867" s="21"/>
      <c r="B15867" s="3" t="s">
        <v>2</v>
      </c>
      <c r="C15867" s="23" t="s">
        <v>2322</v>
      </c>
      <c r="D15867" s="21"/>
    </row>
    <row r="15868" spans="1:4" ht="12.75" customHeight="1" x14ac:dyDescent="0.2">
      <c r="A15868" s="21"/>
      <c r="B15868" s="3" t="s">
        <v>1840</v>
      </c>
      <c r="C15868" s="23" t="s">
        <v>2537</v>
      </c>
      <c r="D15868" s="21"/>
    </row>
    <row r="15869" spans="1:4" ht="12.75" customHeight="1" x14ac:dyDescent="0.2">
      <c r="A15869" s="21"/>
      <c r="B15869" s="3" t="s">
        <v>9</v>
      </c>
      <c r="C15869" s="23" t="s">
        <v>113</v>
      </c>
      <c r="D15869" s="21"/>
    </row>
    <row r="15870" spans="1:4" ht="12.75" customHeight="1" x14ac:dyDescent="0.2">
      <c r="A15870" s="21"/>
      <c r="B15870" s="3" t="s">
        <v>11</v>
      </c>
      <c r="C15870" s="23" t="s">
        <v>2222</v>
      </c>
      <c r="D15870" s="21"/>
    </row>
    <row r="15871" spans="1:4" ht="12.75" customHeight="1" x14ac:dyDescent="0.2">
      <c r="A15871" s="21"/>
      <c r="B15871" s="3" t="s">
        <v>16</v>
      </c>
      <c r="C15871" s="23"/>
      <c r="D15871" s="21"/>
    </row>
    <row r="15872" spans="1:4" ht="12.75" customHeight="1" x14ac:dyDescent="0.2">
      <c r="A15872" s="21"/>
      <c r="B15872" s="3" t="s">
        <v>17</v>
      </c>
      <c r="C15872" s="23" t="s">
        <v>19</v>
      </c>
      <c r="D15872" s="21"/>
    </row>
    <row r="15873" spans="1:4" ht="12.75" customHeight="1" x14ac:dyDescent="0.2">
      <c r="A15873" s="21"/>
      <c r="B15873" s="20" t="s">
        <v>18</v>
      </c>
      <c r="C15873" s="8" t="s">
        <v>57</v>
      </c>
      <c r="D15873" s="1" t="str">
        <f>HYPERLINK("javascript:void(0)","csillámgöb")</f>
        <v>csillámgöb</v>
      </c>
    </row>
    <row r="15874" spans="1:4" ht="12.75" customHeight="1" x14ac:dyDescent="0.2">
      <c r="A15874" s="21"/>
      <c r="B15874" s="21"/>
      <c r="C15874" s="8" t="s">
        <v>44</v>
      </c>
      <c r="D15874" s="1" t="str">
        <f>HYPERLINK("javascript:void(0)","csillámló trollpáncél")</f>
        <v>csillámló trollpáncél</v>
      </c>
    </row>
    <row r="15875" spans="1:4" ht="12.75" customHeight="1" x14ac:dyDescent="0.2">
      <c r="A15875" s="21"/>
      <c r="B15875" s="21"/>
      <c r="C15875" s="8" t="s">
        <v>163</v>
      </c>
      <c r="D15875" s="1" t="str">
        <f>HYPERLINK("javascript:void(0)","hídpenge")</f>
        <v>hídpenge</v>
      </c>
    </row>
    <row r="15876" spans="1:4" ht="12.75" customHeight="1" x14ac:dyDescent="0.2">
      <c r="A15876" s="21"/>
      <c r="B15876" s="2"/>
      <c r="C15876" s="7"/>
      <c r="D15876" s="7"/>
    </row>
    <row r="15877" spans="1:4" ht="12.75" customHeight="1" x14ac:dyDescent="0.2">
      <c r="A15877" s="21"/>
      <c r="B15877" s="2"/>
      <c r="C15877" s="7"/>
      <c r="D15877" s="7"/>
    </row>
    <row r="15878" spans="1:4" ht="12.75" customHeight="1" x14ac:dyDescent="0.2">
      <c r="A15878" s="21"/>
      <c r="B15878" s="2"/>
      <c r="C15878" s="7"/>
      <c r="D15878" s="7"/>
    </row>
    <row r="15879" spans="1:4" ht="12.75" customHeight="1" x14ac:dyDescent="0.2">
      <c r="A15879" s="21"/>
      <c r="B15879" s="2"/>
      <c r="C15879" s="7"/>
      <c r="D15879" s="7"/>
    </row>
    <row r="15880" spans="1:4" ht="12.75" customHeight="1" x14ac:dyDescent="0.2">
      <c r="A15880" s="5"/>
      <c r="B15880" s="2"/>
      <c r="C15880" s="7"/>
      <c r="D15880" s="7"/>
    </row>
    <row r="15881" spans="1:4" ht="12.75" customHeight="1" x14ac:dyDescent="0.2">
      <c r="A15881" s="22" t="str">
        <f>HYPERLINK("javascript:void(0)","légvért")</f>
        <v>légvért</v>
      </c>
      <c r="B15881" s="21"/>
      <c r="C15881" s="21"/>
      <c r="D15881" s="21"/>
    </row>
    <row r="15882" spans="1:4" ht="12.75" customHeight="1" x14ac:dyDescent="0.2">
      <c r="A15882" s="20"/>
      <c r="B15882" s="2"/>
      <c r="C15882" s="7"/>
      <c r="D15882" s="7"/>
    </row>
    <row r="15883" spans="1:4" ht="12.75" customHeight="1" x14ac:dyDescent="0.2">
      <c r="A15883" s="21"/>
      <c r="B15883" s="3" t="s">
        <v>0</v>
      </c>
      <c r="C15883" s="23" t="s">
        <v>1174</v>
      </c>
      <c r="D15883" s="21"/>
    </row>
    <row r="15884" spans="1:4" ht="12.75" customHeight="1" x14ac:dyDescent="0.2">
      <c r="A15884" s="21"/>
      <c r="B15884" s="3" t="s">
        <v>2</v>
      </c>
      <c r="C15884" s="23" t="s">
        <v>2322</v>
      </c>
      <c r="D15884" s="21"/>
    </row>
    <row r="15885" spans="1:4" ht="12.75" customHeight="1" x14ac:dyDescent="0.2">
      <c r="A15885" s="21"/>
      <c r="B15885" s="3" t="s">
        <v>1840</v>
      </c>
      <c r="C15885" s="23" t="s">
        <v>2538</v>
      </c>
      <c r="D15885" s="21"/>
    </row>
    <row r="15886" spans="1:4" ht="12.75" customHeight="1" x14ac:dyDescent="0.2">
      <c r="A15886" s="21"/>
      <c r="B15886" s="3" t="s">
        <v>9</v>
      </c>
      <c r="C15886" s="23" t="s">
        <v>2229</v>
      </c>
      <c r="D15886" s="21"/>
    </row>
    <row r="15887" spans="1:4" ht="12.75" customHeight="1" x14ac:dyDescent="0.2">
      <c r="A15887" s="21"/>
      <c r="B15887" s="3" t="s">
        <v>11</v>
      </c>
      <c r="C15887" s="23" t="s">
        <v>2222</v>
      </c>
      <c r="D15887" s="21"/>
    </row>
    <row r="15888" spans="1:4" ht="12.75" customHeight="1" x14ac:dyDescent="0.2">
      <c r="A15888" s="21"/>
      <c r="B15888" s="3" t="s">
        <v>16</v>
      </c>
      <c r="C15888" s="23"/>
      <c r="D15888" s="21"/>
    </row>
    <row r="15889" spans="1:4" ht="12.75" customHeight="1" x14ac:dyDescent="0.2">
      <c r="A15889" s="21"/>
      <c r="B15889" s="3" t="s">
        <v>17</v>
      </c>
      <c r="C15889" s="23" t="s">
        <v>19</v>
      </c>
      <c r="D15889" s="21"/>
    </row>
    <row r="15890" spans="1:4" ht="12.75" customHeight="1" x14ac:dyDescent="0.2">
      <c r="A15890" s="21"/>
      <c r="B15890" s="20" t="s">
        <v>18</v>
      </c>
      <c r="C15890" s="8" t="s">
        <v>780</v>
      </c>
      <c r="D15890" s="1" t="str">
        <f>HYPERLINK("javascript:void(0)","faunszarv")</f>
        <v>faunszarv</v>
      </c>
    </row>
    <row r="15891" spans="1:4" ht="12.75" customHeight="1" x14ac:dyDescent="0.2">
      <c r="A15891" s="21"/>
      <c r="B15891" s="21"/>
      <c r="C15891" s="8" t="s">
        <v>44</v>
      </c>
      <c r="D15891" s="1" t="str">
        <f>HYPERLINK("javascript:void(0)","légpáncél")</f>
        <v>légpáncél</v>
      </c>
    </row>
    <row r="15892" spans="1:4" ht="12.75" customHeight="1" x14ac:dyDescent="0.2">
      <c r="A15892" s="21"/>
      <c r="B15892" s="21"/>
      <c r="C15892" s="8" t="s">
        <v>809</v>
      </c>
      <c r="D15892" s="1" t="str">
        <f>HYPERLINK("javascript:void(0)","zombiszem")</f>
        <v>zombiszem</v>
      </c>
    </row>
    <row r="15893" spans="1:4" ht="12.75" customHeight="1" x14ac:dyDescent="0.2">
      <c r="A15893" s="21"/>
      <c r="B15893" s="2"/>
      <c r="C15893" s="7"/>
      <c r="D15893" s="7"/>
    </row>
    <row r="15894" spans="1:4" ht="12.75" customHeight="1" x14ac:dyDescent="0.2">
      <c r="A15894" s="21"/>
      <c r="B15894" s="2"/>
      <c r="C15894" s="7"/>
      <c r="D15894" s="7"/>
    </row>
    <row r="15895" spans="1:4" ht="12.75" customHeight="1" x14ac:dyDescent="0.2">
      <c r="A15895" s="21"/>
      <c r="B15895" s="2"/>
      <c r="C15895" s="7"/>
      <c r="D15895" s="7"/>
    </row>
    <row r="15896" spans="1:4" ht="12.75" customHeight="1" x14ac:dyDescent="0.2">
      <c r="A15896" s="21"/>
      <c r="B15896" s="2"/>
      <c r="C15896" s="7"/>
      <c r="D15896" s="7"/>
    </row>
    <row r="15897" spans="1:4" ht="12.75" customHeight="1" x14ac:dyDescent="0.2">
      <c r="A15897" s="5"/>
      <c r="B15897" s="2"/>
      <c r="C15897" s="7"/>
      <c r="D15897" s="7"/>
    </row>
    <row r="15898" spans="1:4" ht="12.75" customHeight="1" x14ac:dyDescent="0.2">
      <c r="A15898" s="22" t="str">
        <f>HYPERLINK("javascript:void(0)","parszi bascinet")</f>
        <v>parszi bascinet</v>
      </c>
      <c r="B15898" s="21"/>
      <c r="C15898" s="21"/>
      <c r="D15898" s="21"/>
    </row>
    <row r="15899" spans="1:4" ht="12.75" customHeight="1" x14ac:dyDescent="0.2">
      <c r="A15899" s="20"/>
      <c r="B15899" s="2"/>
      <c r="C15899" s="7"/>
      <c r="D15899" s="7"/>
    </row>
    <row r="15900" spans="1:4" ht="12.75" customHeight="1" x14ac:dyDescent="0.2">
      <c r="A15900" s="21"/>
      <c r="B15900" s="3" t="s">
        <v>0</v>
      </c>
      <c r="C15900" s="23" t="s">
        <v>1174</v>
      </c>
      <c r="D15900" s="21"/>
    </row>
    <row r="15901" spans="1:4" ht="12.75" customHeight="1" x14ac:dyDescent="0.2">
      <c r="A15901" s="21"/>
      <c r="B15901" s="3" t="s">
        <v>2</v>
      </c>
      <c r="C15901" s="23"/>
      <c r="D15901" s="21"/>
    </row>
    <row r="15902" spans="1:4" ht="12.75" customHeight="1" x14ac:dyDescent="0.2">
      <c r="A15902" s="21"/>
      <c r="B15902" s="3" t="s">
        <v>1840</v>
      </c>
      <c r="C15902" s="23" t="s">
        <v>1478</v>
      </c>
      <c r="D15902" s="21"/>
    </row>
    <row r="15903" spans="1:4" ht="12.75" customHeight="1" x14ac:dyDescent="0.2">
      <c r="A15903" s="21"/>
      <c r="B15903" s="3" t="s">
        <v>9</v>
      </c>
      <c r="C15903" s="23" t="s">
        <v>899</v>
      </c>
      <c r="D15903" s="21"/>
    </row>
    <row r="15904" spans="1:4" ht="12.75" customHeight="1" x14ac:dyDescent="0.2">
      <c r="A15904" s="21"/>
      <c r="B15904" s="3" t="s">
        <v>11</v>
      </c>
      <c r="C15904" s="23" t="s">
        <v>2222</v>
      </c>
      <c r="D15904" s="21"/>
    </row>
    <row r="15905" spans="1:4" ht="12.75" customHeight="1" x14ac:dyDescent="0.2">
      <c r="A15905" s="21"/>
      <c r="B15905" s="3" t="s">
        <v>16</v>
      </c>
      <c r="C15905" s="23"/>
      <c r="D15905" s="21"/>
    </row>
    <row r="15906" spans="1:4" ht="12.75" customHeight="1" x14ac:dyDescent="0.2">
      <c r="A15906" s="21"/>
      <c r="B15906" s="3" t="s">
        <v>17</v>
      </c>
      <c r="C15906" s="23" t="s">
        <v>19</v>
      </c>
      <c r="D15906" s="21"/>
    </row>
    <row r="15907" spans="1:4" ht="12.75" customHeight="1" x14ac:dyDescent="0.2">
      <c r="A15907" s="21"/>
      <c r="B15907" s="20" t="s">
        <v>18</v>
      </c>
      <c r="C15907" s="8" t="s">
        <v>44</v>
      </c>
      <c r="D15907" s="1" t="str">
        <f>HYPERLINK("javascript:void(0)","wendír bascinet")</f>
        <v>wendír bascinet</v>
      </c>
    </row>
    <row r="15908" spans="1:4" ht="12.75" customHeight="1" x14ac:dyDescent="0.2">
      <c r="A15908" s="21"/>
      <c r="B15908" s="21"/>
      <c r="C15908" s="8" t="s">
        <v>44</v>
      </c>
      <c r="D15908" s="1" t="str">
        <f>HYPERLINK("javascript:void(0)","pántaréj")</f>
        <v>pántaréj</v>
      </c>
    </row>
    <row r="15909" spans="1:4" ht="12.75" customHeight="1" x14ac:dyDescent="0.2">
      <c r="A15909" s="21"/>
      <c r="B15909" s="21"/>
      <c r="C15909" s="8" t="s">
        <v>44</v>
      </c>
      <c r="D15909" s="1" t="str">
        <f>HYPERLINK("javascript:void(0)","pillekepi")</f>
        <v>pillekepi</v>
      </c>
    </row>
    <row r="15910" spans="1:4" ht="12.75" customHeight="1" x14ac:dyDescent="0.2">
      <c r="A15910" s="21"/>
      <c r="B15910" s="2"/>
      <c r="C15910" s="7"/>
      <c r="D15910" s="7"/>
    </row>
    <row r="15911" spans="1:4" ht="12.75" customHeight="1" x14ac:dyDescent="0.2">
      <c r="A15911" s="21"/>
      <c r="B15911" s="2"/>
      <c r="C15911" s="7"/>
      <c r="D15911" s="7"/>
    </row>
    <row r="15912" spans="1:4" ht="12.75" customHeight="1" x14ac:dyDescent="0.2">
      <c r="A15912" s="21"/>
      <c r="B15912" s="2"/>
      <c r="C15912" s="7"/>
      <c r="D15912" s="7"/>
    </row>
    <row r="15913" spans="1:4" ht="12.75" customHeight="1" x14ac:dyDescent="0.2">
      <c r="A15913" s="21"/>
      <c r="B15913" s="2"/>
      <c r="C15913" s="7"/>
      <c r="D15913" s="7"/>
    </row>
    <row r="15914" spans="1:4" ht="12.75" customHeight="1" x14ac:dyDescent="0.2">
      <c r="A15914" s="5"/>
      <c r="B15914" s="2"/>
      <c r="C15914" s="7"/>
      <c r="D15914" s="7"/>
    </row>
    <row r="15915" spans="1:4" ht="12.75" customHeight="1" x14ac:dyDescent="0.2">
      <c r="A15915" s="22" t="str">
        <f>HYPERLINK("javascript:void(0)","ezüstös sziklamászó")</f>
        <v>ezüstös sziklamászó</v>
      </c>
      <c r="B15915" s="21"/>
      <c r="C15915" s="21"/>
      <c r="D15915" s="21"/>
    </row>
    <row r="15916" spans="1:4" ht="12.75" customHeight="1" x14ac:dyDescent="0.2">
      <c r="A15916" s="20"/>
      <c r="B15916" s="2"/>
      <c r="C15916" s="7"/>
      <c r="D15916" s="7"/>
    </row>
    <row r="15917" spans="1:4" ht="12.75" customHeight="1" x14ac:dyDescent="0.2">
      <c r="A15917" s="21"/>
      <c r="B15917" s="3" t="s">
        <v>0</v>
      </c>
      <c r="C15917" s="23" t="s">
        <v>1174</v>
      </c>
      <c r="D15917" s="21"/>
    </row>
    <row r="15918" spans="1:4" ht="12.75" customHeight="1" x14ac:dyDescent="0.2">
      <c r="A15918" s="21"/>
      <c r="B15918" s="3" t="s">
        <v>2</v>
      </c>
      <c r="C15918" s="23"/>
      <c r="D15918" s="21"/>
    </row>
    <row r="15919" spans="1:4" ht="12.75" customHeight="1" x14ac:dyDescent="0.2">
      <c r="A15919" s="21"/>
      <c r="B15919" s="3" t="s">
        <v>1840</v>
      </c>
      <c r="C15919" s="23" t="s">
        <v>2234</v>
      </c>
      <c r="D15919" s="21"/>
    </row>
    <row r="15920" spans="1:4" ht="12.75" customHeight="1" x14ac:dyDescent="0.2">
      <c r="A15920" s="21"/>
      <c r="B15920" s="3" t="s">
        <v>9</v>
      </c>
      <c r="C15920" s="23" t="s">
        <v>2235</v>
      </c>
      <c r="D15920" s="21"/>
    </row>
    <row r="15921" spans="1:4" ht="12.75" customHeight="1" x14ac:dyDescent="0.2">
      <c r="A15921" s="21"/>
      <c r="B15921" s="3" t="s">
        <v>11</v>
      </c>
      <c r="C15921" s="23" t="s">
        <v>2232</v>
      </c>
      <c r="D15921" s="21"/>
    </row>
    <row r="15922" spans="1:4" ht="12.75" customHeight="1" x14ac:dyDescent="0.2">
      <c r="A15922" s="21"/>
      <c r="B15922" s="3" t="s">
        <v>16</v>
      </c>
      <c r="C15922" s="23"/>
      <c r="D15922" s="21"/>
    </row>
    <row r="15923" spans="1:4" ht="12.75" customHeight="1" x14ac:dyDescent="0.2">
      <c r="A15923" s="21"/>
      <c r="B15923" s="3" t="s">
        <v>17</v>
      </c>
      <c r="C15923" s="23" t="s">
        <v>19</v>
      </c>
      <c r="D15923" s="21"/>
    </row>
    <row r="15924" spans="1:4" ht="12.75" customHeight="1" x14ac:dyDescent="0.2">
      <c r="A15924" s="21"/>
      <c r="B15924" s="20" t="s">
        <v>18</v>
      </c>
      <c r="C15924" s="8" t="s">
        <v>780</v>
      </c>
      <c r="D15924" s="1" t="str">
        <f>HYPERLINK("javascript:void(0)","méregcsepp")</f>
        <v>méregcsepp</v>
      </c>
    </row>
    <row r="15925" spans="1:4" ht="12.75" customHeight="1" x14ac:dyDescent="0.2">
      <c r="A15925" s="21"/>
      <c r="B15925" s="21"/>
      <c r="C15925" s="8" t="s">
        <v>1536</v>
      </c>
      <c r="D15925" s="1" t="str">
        <f>HYPERLINK("javascript:void(0)","banánhéj")</f>
        <v>banánhéj</v>
      </c>
    </row>
    <row r="15926" spans="1:4" ht="12.75" customHeight="1" x14ac:dyDescent="0.2">
      <c r="A15926" s="21"/>
      <c r="B15926" s="21"/>
      <c r="C15926" s="8" t="s">
        <v>240</v>
      </c>
      <c r="D15926" s="1" t="str">
        <f>HYPERLINK("javascript:void(0)","kutyasíp")</f>
        <v>kutyasíp</v>
      </c>
    </row>
    <row r="15927" spans="1:4" ht="12.75" customHeight="1" x14ac:dyDescent="0.2">
      <c r="A15927" s="21"/>
      <c r="B15927" s="2"/>
      <c r="C15927" s="7"/>
      <c r="D15927" s="7"/>
    </row>
    <row r="15928" spans="1:4" ht="12.75" customHeight="1" x14ac:dyDescent="0.2">
      <c r="A15928" s="21"/>
      <c r="B15928" s="2"/>
      <c r="C15928" s="7"/>
      <c r="D15928" s="7"/>
    </row>
    <row r="15929" spans="1:4" ht="12.75" customHeight="1" x14ac:dyDescent="0.2">
      <c r="A15929" s="21"/>
      <c r="B15929" s="2"/>
      <c r="C15929" s="7"/>
      <c r="D15929" s="7"/>
    </row>
    <row r="15930" spans="1:4" ht="12.75" customHeight="1" x14ac:dyDescent="0.2">
      <c r="A15930" s="21"/>
      <c r="B15930" s="2"/>
      <c r="C15930" s="7"/>
      <c r="D15930" s="7"/>
    </row>
    <row r="15931" spans="1:4" ht="12.75" customHeight="1" x14ac:dyDescent="0.2">
      <c r="A15931" s="5"/>
      <c r="B15931" s="2"/>
      <c r="C15931" s="7"/>
      <c r="D15931" s="7"/>
    </row>
    <row r="15932" spans="1:4" ht="12.75" customHeight="1" x14ac:dyDescent="0.2">
      <c r="A15932" s="22" t="str">
        <f>HYPERLINK("javascript:void(0)","csavarodó testpajzs")</f>
        <v>csavarodó testpajzs</v>
      </c>
      <c r="B15932" s="21"/>
      <c r="C15932" s="21"/>
      <c r="D15932" s="21"/>
    </row>
    <row r="15933" spans="1:4" ht="12.75" customHeight="1" x14ac:dyDescent="0.2">
      <c r="A15933" s="20"/>
      <c r="B15933" s="2"/>
      <c r="C15933" s="7"/>
      <c r="D15933" s="7"/>
    </row>
    <row r="15934" spans="1:4" ht="12.75" customHeight="1" x14ac:dyDescent="0.2">
      <c r="A15934" s="21"/>
      <c r="B15934" s="3" t="s">
        <v>0</v>
      </c>
      <c r="C15934" s="23" t="s">
        <v>1174</v>
      </c>
      <c r="D15934" s="21"/>
    </row>
    <row r="15935" spans="1:4" ht="12.75" customHeight="1" x14ac:dyDescent="0.2">
      <c r="A15935" s="21"/>
      <c r="B15935" s="3" t="s">
        <v>2</v>
      </c>
      <c r="C15935" s="23" t="s">
        <v>1839</v>
      </c>
      <c r="D15935" s="21"/>
    </row>
    <row r="15936" spans="1:4" ht="12.75" customHeight="1" x14ac:dyDescent="0.2">
      <c r="A15936" s="21"/>
      <c r="B15936" s="3" t="s">
        <v>1840</v>
      </c>
      <c r="C15936" s="23" t="s">
        <v>2260</v>
      </c>
      <c r="D15936" s="21"/>
    </row>
    <row r="15937" spans="1:4" ht="12.75" customHeight="1" x14ac:dyDescent="0.2">
      <c r="A15937" s="21"/>
      <c r="B15937" s="3" t="s">
        <v>9</v>
      </c>
      <c r="C15937" s="23" t="s">
        <v>5792</v>
      </c>
      <c r="D15937" s="21"/>
    </row>
    <row r="15938" spans="1:4" ht="12.75" customHeight="1" x14ac:dyDescent="0.2">
      <c r="A15938" s="21"/>
      <c r="B15938" s="3" t="s">
        <v>11</v>
      </c>
      <c r="C15938" s="23" t="s">
        <v>2252</v>
      </c>
      <c r="D15938" s="21"/>
    </row>
    <row r="15939" spans="1:4" ht="12.75" customHeight="1" x14ac:dyDescent="0.2">
      <c r="A15939" s="21"/>
      <c r="B15939" s="3" t="s">
        <v>16</v>
      </c>
      <c r="C15939" s="23"/>
      <c r="D15939" s="21"/>
    </row>
    <row r="15940" spans="1:4" ht="12.75" customHeight="1" x14ac:dyDescent="0.2">
      <c r="A15940" s="21"/>
      <c r="B15940" s="3" t="s">
        <v>17</v>
      </c>
      <c r="C15940" s="23" t="s">
        <v>19</v>
      </c>
      <c r="D15940" s="21"/>
    </row>
    <row r="15941" spans="1:4" ht="12.75" customHeight="1" x14ac:dyDescent="0.2">
      <c r="A15941" s="21"/>
      <c r="B15941" s="20" t="s">
        <v>18</v>
      </c>
      <c r="C15941" s="8" t="s">
        <v>44</v>
      </c>
      <c r="D15941" s="1" t="str">
        <f>HYPERLINK("javascript:void(0)","ízelt testpajzs")</f>
        <v>ízelt testpajzs</v>
      </c>
    </row>
    <row r="15942" spans="1:4" ht="12.75" customHeight="1" x14ac:dyDescent="0.2">
      <c r="A15942" s="21"/>
      <c r="B15942" s="21"/>
      <c r="C15942" s="8" t="s">
        <v>420</v>
      </c>
      <c r="D15942" s="1" t="str">
        <f>HYPERLINK("javascript:void(0)","faunszarv")</f>
        <v>faunszarv</v>
      </c>
    </row>
    <row r="15943" spans="1:4" ht="12.75" customHeight="1" x14ac:dyDescent="0.2">
      <c r="A15943" s="21"/>
      <c r="B15943" s="21"/>
      <c r="C15943" s="8" t="s">
        <v>780</v>
      </c>
      <c r="D15943" s="1" t="str">
        <f>HYPERLINK("javascript:void(0)","tuskójelvény")</f>
        <v>tuskójelvény</v>
      </c>
    </row>
    <row r="15944" spans="1:4" ht="12.75" customHeight="1" x14ac:dyDescent="0.2">
      <c r="A15944" s="21"/>
      <c r="B15944" s="2"/>
      <c r="C15944" s="7"/>
      <c r="D15944" s="7"/>
    </row>
    <row r="15945" spans="1:4" ht="12.75" customHeight="1" x14ac:dyDescent="0.2">
      <c r="A15945" s="21"/>
      <c r="B15945" s="2"/>
      <c r="C15945" s="7"/>
      <c r="D15945" s="7"/>
    </row>
    <row r="15946" spans="1:4" ht="12.75" customHeight="1" x14ac:dyDescent="0.2">
      <c r="A15946" s="21"/>
      <c r="B15946" s="2"/>
      <c r="C15946" s="7"/>
      <c r="D15946" s="7"/>
    </row>
    <row r="15947" spans="1:4" ht="12.75" customHeight="1" x14ac:dyDescent="0.2">
      <c r="A15947" s="21"/>
      <c r="B15947" s="2"/>
      <c r="C15947" s="7"/>
      <c r="D15947" s="7"/>
    </row>
    <row r="15948" spans="1:4" ht="12.75" customHeight="1" x14ac:dyDescent="0.2">
      <c r="A15948" s="5"/>
      <c r="B15948" s="2"/>
      <c r="C15948" s="7"/>
      <c r="D15948" s="7"/>
    </row>
    <row r="15949" spans="1:4" ht="12.75" customHeight="1" x14ac:dyDescent="0.2">
      <c r="A15949" s="22" t="str">
        <f>HYPERLINK("javascript:void(0)","ízelt szellempajzs")</f>
        <v>ízelt szellempajzs</v>
      </c>
      <c r="B15949" s="21"/>
      <c r="C15949" s="21"/>
      <c r="D15949" s="21"/>
    </row>
    <row r="15950" spans="1:4" ht="12.75" customHeight="1" x14ac:dyDescent="0.2">
      <c r="A15950" s="20"/>
      <c r="B15950" s="2"/>
      <c r="C15950" s="7"/>
      <c r="D15950" s="7"/>
    </row>
    <row r="15951" spans="1:4" ht="12.75" customHeight="1" x14ac:dyDescent="0.2">
      <c r="A15951" s="21"/>
      <c r="B15951" s="3" t="s">
        <v>0</v>
      </c>
      <c r="C15951" s="23" t="s">
        <v>1174</v>
      </c>
      <c r="D15951" s="21"/>
    </row>
    <row r="15952" spans="1:4" ht="12.75" customHeight="1" x14ac:dyDescent="0.2">
      <c r="A15952" s="21"/>
      <c r="B15952" s="3" t="s">
        <v>2</v>
      </c>
      <c r="C15952" s="23" t="s">
        <v>1839</v>
      </c>
      <c r="D15952" s="21"/>
    </row>
    <row r="15953" spans="1:4" ht="12.75" customHeight="1" x14ac:dyDescent="0.2">
      <c r="A15953" s="21"/>
      <c r="B15953" s="3" t="s">
        <v>1840</v>
      </c>
      <c r="C15953" s="23" t="s">
        <v>2260</v>
      </c>
      <c r="D15953" s="21"/>
    </row>
    <row r="15954" spans="1:4" ht="12.75" customHeight="1" x14ac:dyDescent="0.2">
      <c r="A15954" s="21"/>
      <c r="B15954" s="3" t="s">
        <v>9</v>
      </c>
      <c r="C15954" s="23" t="s">
        <v>4600</v>
      </c>
      <c r="D15954" s="21"/>
    </row>
    <row r="15955" spans="1:4" ht="12.75" customHeight="1" x14ac:dyDescent="0.2">
      <c r="A15955" s="21"/>
      <c r="B15955" s="3" t="s">
        <v>11</v>
      </c>
      <c r="C15955" s="23" t="s">
        <v>5798</v>
      </c>
      <c r="D15955" s="21"/>
    </row>
    <row r="15956" spans="1:4" ht="12.75" customHeight="1" x14ac:dyDescent="0.2">
      <c r="A15956" s="21"/>
      <c r="B15956" s="3" t="s">
        <v>16</v>
      </c>
      <c r="C15956" s="23"/>
      <c r="D15956" s="21"/>
    </row>
    <row r="15957" spans="1:4" ht="12.75" customHeight="1" x14ac:dyDescent="0.2">
      <c r="A15957" s="21"/>
      <c r="B15957" s="3" t="s">
        <v>17</v>
      </c>
      <c r="C15957" s="23" t="s">
        <v>19</v>
      </c>
      <c r="D15957" s="21"/>
    </row>
    <row r="15958" spans="1:4" ht="12.75" customHeight="1" x14ac:dyDescent="0.2">
      <c r="A15958" s="21"/>
      <c r="B15958" s="20" t="s">
        <v>18</v>
      </c>
      <c r="C15958" s="8" t="s">
        <v>44</v>
      </c>
      <c r="D15958" s="1" t="str">
        <f>HYPERLINK("javascript:void(0)","csavarodó testpajzs")</f>
        <v>csavarodó testpajzs</v>
      </c>
    </row>
    <row r="15959" spans="1:4" ht="12.75" customHeight="1" x14ac:dyDescent="0.2">
      <c r="A15959" s="21"/>
      <c r="B15959" s="21"/>
      <c r="C15959" s="8" t="s">
        <v>756</v>
      </c>
      <c r="D15959" s="1" t="str">
        <f>HYPERLINK("javascript:void(0)","tarsus")</f>
        <v>tarsus</v>
      </c>
    </row>
    <row r="15960" spans="1:4" ht="12.75" customHeight="1" x14ac:dyDescent="0.2">
      <c r="A15960" s="21"/>
      <c r="B15960" s="21"/>
      <c r="C15960" s="8" t="s">
        <v>398</v>
      </c>
      <c r="D15960" s="1" t="str">
        <f>HYPERLINK("javascript:void(0)","faunszarv")</f>
        <v>faunszarv</v>
      </c>
    </row>
    <row r="15961" spans="1:4" ht="12.75" customHeight="1" x14ac:dyDescent="0.2">
      <c r="A15961" s="21"/>
      <c r="B15961" s="2"/>
      <c r="C15961" s="7"/>
      <c r="D15961" s="7"/>
    </row>
    <row r="15962" spans="1:4" ht="12.75" customHeight="1" x14ac:dyDescent="0.2">
      <c r="A15962" s="21"/>
      <c r="B15962" s="2"/>
      <c r="C15962" s="7"/>
      <c r="D15962" s="7"/>
    </row>
    <row r="15963" spans="1:4" ht="12.75" customHeight="1" x14ac:dyDescent="0.2">
      <c r="A15963" s="21"/>
      <c r="B15963" s="2"/>
      <c r="C15963" s="7"/>
      <c r="D15963" s="7"/>
    </row>
    <row r="15964" spans="1:4" ht="12.75" customHeight="1" x14ac:dyDescent="0.2">
      <c r="A15964" s="21"/>
      <c r="B15964" s="2"/>
      <c r="C15964" s="7"/>
      <c r="D15964" s="7"/>
    </row>
    <row r="15965" spans="1:4" ht="12.75" customHeight="1" x14ac:dyDescent="0.2">
      <c r="A15965" s="5"/>
      <c r="B15965" s="2"/>
      <c r="C15965" s="7"/>
      <c r="D15965" s="7"/>
    </row>
    <row r="15966" spans="1:4" ht="12.75" customHeight="1" x14ac:dyDescent="0.2">
      <c r="A15966" s="22" t="str">
        <f>HYPERLINK("javascript:void(0)","pántaréj")</f>
        <v>pántaréj</v>
      </c>
      <c r="B15966" s="21"/>
      <c r="C15966" s="21"/>
      <c r="D15966" s="21"/>
    </row>
    <row r="15967" spans="1:4" ht="12.75" customHeight="1" x14ac:dyDescent="0.2">
      <c r="A15967" s="20"/>
      <c r="B15967" s="2"/>
      <c r="C15967" s="7"/>
      <c r="D15967" s="7"/>
    </row>
    <row r="15968" spans="1:4" ht="12.75" customHeight="1" x14ac:dyDescent="0.2">
      <c r="A15968" s="21"/>
      <c r="B15968" s="3" t="s">
        <v>0</v>
      </c>
      <c r="C15968" s="23" t="s">
        <v>1174</v>
      </c>
      <c r="D15968" s="21"/>
    </row>
    <row r="15969" spans="1:4" ht="12.75" customHeight="1" x14ac:dyDescent="0.2">
      <c r="A15969" s="21"/>
      <c r="B15969" s="3" t="s">
        <v>2</v>
      </c>
      <c r="C15969" s="23"/>
      <c r="D15969" s="21"/>
    </row>
    <row r="15970" spans="1:4" ht="12.75" customHeight="1" x14ac:dyDescent="0.2">
      <c r="A15970" s="21"/>
      <c r="B15970" s="3" t="s">
        <v>1840</v>
      </c>
      <c r="C15970" s="23" t="s">
        <v>728</v>
      </c>
      <c r="D15970" s="21"/>
    </row>
    <row r="15971" spans="1:4" ht="12.75" customHeight="1" x14ac:dyDescent="0.2">
      <c r="A15971" s="21"/>
      <c r="B15971" s="3" t="s">
        <v>9</v>
      </c>
      <c r="C15971" s="23" t="s">
        <v>799</v>
      </c>
      <c r="D15971" s="21"/>
    </row>
    <row r="15972" spans="1:4" ht="12.75" customHeight="1" x14ac:dyDescent="0.2">
      <c r="A15972" s="21"/>
      <c r="B15972" s="3" t="s">
        <v>11</v>
      </c>
      <c r="C15972" s="23" t="s">
        <v>5803</v>
      </c>
      <c r="D15972" s="21"/>
    </row>
    <row r="15973" spans="1:4" ht="12.75" customHeight="1" x14ac:dyDescent="0.2">
      <c r="A15973" s="21"/>
      <c r="B15973" s="3" t="s">
        <v>16</v>
      </c>
      <c r="C15973" s="23"/>
      <c r="D15973" s="21"/>
    </row>
    <row r="15974" spans="1:4" ht="12.75" customHeight="1" x14ac:dyDescent="0.2">
      <c r="A15974" s="21"/>
      <c r="B15974" s="3" t="s">
        <v>17</v>
      </c>
      <c r="C15974" s="23" t="s">
        <v>19</v>
      </c>
      <c r="D15974" s="21"/>
    </row>
    <row r="15975" spans="1:4" ht="12.75" customHeight="1" x14ac:dyDescent="0.2">
      <c r="A15975" s="21"/>
      <c r="B15975" s="20" t="s">
        <v>18</v>
      </c>
      <c r="C15975" s="8" t="s">
        <v>772</v>
      </c>
      <c r="D15975" s="1" t="str">
        <f>HYPERLINK("javascript:void(0)","csatatüske")</f>
        <v>csatatüske</v>
      </c>
    </row>
    <row r="15976" spans="1:4" ht="12.75" customHeight="1" x14ac:dyDescent="0.2">
      <c r="A15976" s="21"/>
      <c r="B15976" s="21"/>
      <c r="C15976" s="8" t="s">
        <v>193</v>
      </c>
      <c r="D15976" s="1" t="str">
        <f>HYPERLINK("javascript:void(0)","faunszarv")</f>
        <v>faunszarv</v>
      </c>
    </row>
    <row r="15977" spans="1:4" ht="12.75" customHeight="1" x14ac:dyDescent="0.2">
      <c r="A15977" s="21"/>
      <c r="B15977" s="21"/>
      <c r="C15977" s="8" t="s">
        <v>327</v>
      </c>
      <c r="D15977" s="1" t="str">
        <f>HYPERLINK("javascript:void(0)","bajuszkötő")</f>
        <v>bajuszkötő</v>
      </c>
    </row>
    <row r="15978" spans="1:4" ht="12.75" customHeight="1" x14ac:dyDescent="0.2">
      <c r="A15978" s="21"/>
      <c r="B15978" s="2"/>
      <c r="C15978" s="7"/>
      <c r="D15978" s="7"/>
    </row>
    <row r="15979" spans="1:4" ht="12.75" customHeight="1" x14ac:dyDescent="0.2">
      <c r="A15979" s="21"/>
      <c r="B15979" s="2"/>
      <c r="C15979" s="7"/>
      <c r="D15979" s="7"/>
    </row>
    <row r="15980" spans="1:4" ht="12.75" customHeight="1" x14ac:dyDescent="0.2">
      <c r="A15980" s="21"/>
      <c r="B15980" s="2"/>
      <c r="C15980" s="7"/>
      <c r="D15980" s="7"/>
    </row>
    <row r="15981" spans="1:4" ht="12.75" customHeight="1" x14ac:dyDescent="0.2">
      <c r="A15981" s="21"/>
      <c r="B15981" s="2"/>
      <c r="C15981" s="7"/>
      <c r="D15981" s="7"/>
    </row>
    <row r="15982" spans="1:4" ht="12.75" customHeight="1" x14ac:dyDescent="0.2">
      <c r="A15982" s="5"/>
      <c r="B15982" s="2"/>
      <c r="C15982" s="7"/>
      <c r="D15982" s="7"/>
    </row>
    <row r="15983" spans="1:4" ht="12.75" customHeight="1" x14ac:dyDescent="0.2">
      <c r="A15983" s="22" t="str">
        <f>HYPERLINK("javascript:void(0)","hangfogó antigrav csizma")</f>
        <v>hangfogó antigrav csizma</v>
      </c>
      <c r="B15983" s="21"/>
      <c r="C15983" s="21"/>
      <c r="D15983" s="21"/>
    </row>
    <row r="15984" spans="1:4" ht="12.75" customHeight="1" x14ac:dyDescent="0.2">
      <c r="A15984" s="20"/>
      <c r="B15984" s="2"/>
      <c r="C15984" s="7"/>
      <c r="D15984" s="7"/>
    </row>
    <row r="15985" spans="1:4" ht="12.75" customHeight="1" x14ac:dyDescent="0.2">
      <c r="A15985" s="21"/>
      <c r="B15985" s="3" t="s">
        <v>0</v>
      </c>
      <c r="C15985" s="23" t="s">
        <v>1174</v>
      </c>
      <c r="D15985" s="21"/>
    </row>
    <row r="15986" spans="1:4" ht="12.75" customHeight="1" x14ac:dyDescent="0.2">
      <c r="A15986" s="21"/>
      <c r="B15986" s="3" t="s">
        <v>2</v>
      </c>
      <c r="C15986" s="23"/>
      <c r="D15986" s="21"/>
    </row>
    <row r="15987" spans="1:4" ht="12.75" customHeight="1" x14ac:dyDescent="0.2">
      <c r="A15987" s="21"/>
      <c r="B15987" s="3" t="s">
        <v>1840</v>
      </c>
      <c r="C15987" s="23" t="s">
        <v>2234</v>
      </c>
      <c r="D15987" s="21"/>
    </row>
    <row r="15988" spans="1:4" ht="12.75" customHeight="1" x14ac:dyDescent="0.2">
      <c r="A15988" s="21"/>
      <c r="B15988" s="3" t="s">
        <v>9</v>
      </c>
      <c r="C15988" s="23" t="s">
        <v>626</v>
      </c>
      <c r="D15988" s="21"/>
    </row>
    <row r="15989" spans="1:4" ht="12.75" customHeight="1" x14ac:dyDescent="0.2">
      <c r="A15989" s="21"/>
      <c r="B15989" s="3" t="s">
        <v>11</v>
      </c>
      <c r="C15989" s="23" t="s">
        <v>23</v>
      </c>
      <c r="D15989" s="21"/>
    </row>
    <row r="15990" spans="1:4" ht="12.75" customHeight="1" x14ac:dyDescent="0.2">
      <c r="A15990" s="21"/>
      <c r="B15990" s="3" t="s">
        <v>16</v>
      </c>
      <c r="C15990" s="23"/>
      <c r="D15990" s="21"/>
    </row>
    <row r="15991" spans="1:4" ht="12.75" customHeight="1" x14ac:dyDescent="0.2">
      <c r="A15991" s="21"/>
      <c r="B15991" s="3" t="s">
        <v>17</v>
      </c>
      <c r="C15991" s="23" t="s">
        <v>19</v>
      </c>
      <c r="D15991" s="21"/>
    </row>
    <row r="15992" spans="1:4" ht="25.5" customHeight="1" x14ac:dyDescent="0.2">
      <c r="A15992" s="21"/>
      <c r="B15992" s="20" t="s">
        <v>18</v>
      </c>
      <c r="C15992" s="8" t="s">
        <v>44</v>
      </c>
      <c r="D15992" s="1" t="str">
        <f>HYPERLINK("javascript:void(0)","pókhálós antigrav csizma")</f>
        <v>pókhálós antigrav csizma</v>
      </c>
    </row>
    <row r="15993" spans="1:4" ht="12.75" customHeight="1" x14ac:dyDescent="0.2">
      <c r="A15993" s="21"/>
      <c r="B15993" s="21"/>
      <c r="C15993" s="8" t="s">
        <v>772</v>
      </c>
      <c r="D15993" s="1" t="str">
        <f>HYPERLINK("javascript:void(0)","kutyasíp")</f>
        <v>kutyasíp</v>
      </c>
    </row>
    <row r="15994" spans="1:4" ht="12.75" customHeight="1" x14ac:dyDescent="0.2">
      <c r="A15994" s="21"/>
      <c r="B15994" s="21"/>
      <c r="C15994" s="8" t="s">
        <v>936</v>
      </c>
      <c r="D15994" s="1" t="str">
        <f>HYPERLINK("javascript:void(0)","csonttoll")</f>
        <v>csonttoll</v>
      </c>
    </row>
    <row r="15995" spans="1:4" ht="12.75" customHeight="1" x14ac:dyDescent="0.2">
      <c r="A15995" s="21"/>
      <c r="B15995" s="2"/>
      <c r="C15995" s="7"/>
      <c r="D15995" s="7"/>
    </row>
    <row r="15996" spans="1:4" ht="12.75" customHeight="1" x14ac:dyDescent="0.2">
      <c r="A15996" s="21"/>
      <c r="B15996" s="2"/>
      <c r="C15996" s="7"/>
      <c r="D15996" s="7"/>
    </row>
    <row r="15997" spans="1:4" ht="12.75" customHeight="1" x14ac:dyDescent="0.2">
      <c r="A15997" s="21"/>
      <c r="B15997" s="2"/>
      <c r="C15997" s="7"/>
      <c r="D15997" s="7"/>
    </row>
    <row r="15998" spans="1:4" ht="12.75" customHeight="1" x14ac:dyDescent="0.2">
      <c r="A15998" s="21"/>
      <c r="B15998" s="2"/>
      <c r="C15998" s="7"/>
      <c r="D15998" s="7"/>
    </row>
    <row r="15999" spans="1:4" ht="12.75" customHeight="1" x14ac:dyDescent="0.2">
      <c r="A15999" s="5"/>
      <c r="B15999" s="2"/>
      <c r="C15999" s="7"/>
      <c r="D15999" s="7"/>
    </row>
    <row r="16000" spans="1:4" ht="12.75" customHeight="1" x14ac:dyDescent="0.2">
      <c r="A16000" s="22" t="str">
        <f>HYPERLINK("javascript:void(0)","démontollas sipka")</f>
        <v>démontollas sipka</v>
      </c>
      <c r="B16000" s="21"/>
      <c r="C16000" s="21"/>
      <c r="D16000" s="21"/>
    </row>
    <row r="16001" spans="1:4" ht="12.75" customHeight="1" x14ac:dyDescent="0.2">
      <c r="A16001" s="20"/>
      <c r="B16001" s="2"/>
      <c r="C16001" s="7"/>
      <c r="D16001" s="7"/>
    </row>
    <row r="16002" spans="1:4" ht="12.75" customHeight="1" x14ac:dyDescent="0.2">
      <c r="A16002" s="21"/>
      <c r="B16002" s="3" t="s">
        <v>0</v>
      </c>
      <c r="C16002" s="23" t="s">
        <v>119</v>
      </c>
      <c r="D16002" s="21"/>
    </row>
    <row r="16003" spans="1:4" ht="12.75" customHeight="1" x14ac:dyDescent="0.2">
      <c r="A16003" s="21"/>
      <c r="B16003" s="3" t="s">
        <v>2</v>
      </c>
      <c r="C16003" s="23"/>
      <c r="D16003" s="21"/>
    </row>
    <row r="16004" spans="1:4" ht="12.75" customHeight="1" x14ac:dyDescent="0.2">
      <c r="A16004" s="21"/>
      <c r="B16004" s="3" t="s">
        <v>1840</v>
      </c>
      <c r="C16004" s="23" t="s">
        <v>2231</v>
      </c>
      <c r="D16004" s="21"/>
    </row>
    <row r="16005" spans="1:4" ht="12.75" customHeight="1" x14ac:dyDescent="0.2">
      <c r="A16005" s="21"/>
      <c r="B16005" s="3" t="s">
        <v>9</v>
      </c>
      <c r="C16005" s="23" t="s">
        <v>2157</v>
      </c>
      <c r="D16005" s="21"/>
    </row>
    <row r="16006" spans="1:4" ht="12.75" customHeight="1" x14ac:dyDescent="0.2">
      <c r="A16006" s="21"/>
      <c r="B16006" s="3" t="s">
        <v>11</v>
      </c>
      <c r="C16006" s="23" t="s">
        <v>2232</v>
      </c>
      <c r="D16006" s="21"/>
    </row>
    <row r="16007" spans="1:4" ht="12.75" customHeight="1" x14ac:dyDescent="0.2">
      <c r="A16007" s="21"/>
      <c r="B16007" s="3" t="s">
        <v>16</v>
      </c>
      <c r="C16007" s="23"/>
      <c r="D16007" s="21"/>
    </row>
    <row r="16008" spans="1:4" ht="12.75" customHeight="1" x14ac:dyDescent="0.2">
      <c r="A16008" s="21"/>
      <c r="B16008" s="3" t="s">
        <v>17</v>
      </c>
      <c r="C16008" s="23" t="s">
        <v>19</v>
      </c>
      <c r="D16008" s="21"/>
    </row>
    <row r="16009" spans="1:4" ht="12.75" customHeight="1" x14ac:dyDescent="0.2">
      <c r="A16009" s="21"/>
      <c r="B16009" s="20" t="s">
        <v>18</v>
      </c>
      <c r="C16009" s="8" t="s">
        <v>44</v>
      </c>
      <c r="D16009" s="1" t="str">
        <f>HYPERLINK("javascript:void(0)","parszi bascinet")</f>
        <v>parszi bascinet</v>
      </c>
    </row>
    <row r="16010" spans="1:4" ht="12.75" customHeight="1" x14ac:dyDescent="0.2">
      <c r="A16010" s="21"/>
      <c r="B16010" s="21"/>
      <c r="C16010" s="8" t="s">
        <v>117</v>
      </c>
      <c r="D16010" s="1" t="str">
        <f>HYPERLINK("javascript:void(0)","démontoll")</f>
        <v>démontoll</v>
      </c>
    </row>
    <row r="16011" spans="1:4" ht="12.75" customHeight="1" x14ac:dyDescent="0.2">
      <c r="A16011" s="21"/>
      <c r="B16011" s="21"/>
      <c r="C16011" s="8" t="s">
        <v>67</v>
      </c>
      <c r="D16011" s="1" t="str">
        <f>HYPERLINK("javascript:void(0)","tuskójelvény")</f>
        <v>tuskójelvény</v>
      </c>
    </row>
    <row r="16012" spans="1:4" ht="12.75" customHeight="1" x14ac:dyDescent="0.2">
      <c r="A16012" s="21"/>
      <c r="B16012" s="2"/>
      <c r="C16012" s="7"/>
      <c r="D16012" s="7"/>
    </row>
    <row r="16013" spans="1:4" ht="12.75" customHeight="1" x14ac:dyDescent="0.2">
      <c r="A16013" s="21"/>
      <c r="B16013" s="2"/>
      <c r="C16013" s="7"/>
      <c r="D16013" s="7"/>
    </row>
    <row r="16014" spans="1:4" ht="12.75" customHeight="1" x14ac:dyDescent="0.2">
      <c r="A16014" s="21"/>
      <c r="B16014" s="2"/>
      <c r="C16014" s="7"/>
      <c r="D16014" s="7"/>
    </row>
    <row r="16015" spans="1:4" ht="12.75" customHeight="1" x14ac:dyDescent="0.2">
      <c r="A16015" s="21"/>
      <c r="B16015" s="2"/>
      <c r="C16015" s="7"/>
      <c r="D16015" s="7"/>
    </row>
    <row r="16016" spans="1:4" ht="12.75" customHeight="1" x14ac:dyDescent="0.2">
      <c r="A16016" s="5"/>
      <c r="B16016" s="2"/>
      <c r="C16016" s="7"/>
      <c r="D16016" s="7"/>
    </row>
    <row r="16017" spans="1:4" ht="12.75" customHeight="1" x14ac:dyDescent="0.2">
      <c r="A16017" s="22" t="str">
        <f>HYPERLINK("javascript:void(0)","lángvért")</f>
        <v>lángvért</v>
      </c>
      <c r="B16017" s="21"/>
      <c r="C16017" s="21"/>
      <c r="D16017" s="21"/>
    </row>
    <row r="16018" spans="1:4" ht="12.75" customHeight="1" x14ac:dyDescent="0.2">
      <c r="A16018" s="20"/>
      <c r="B16018" s="2"/>
      <c r="C16018" s="7"/>
      <c r="D16018" s="7"/>
    </row>
    <row r="16019" spans="1:4" ht="12.75" customHeight="1" x14ac:dyDescent="0.2">
      <c r="A16019" s="21"/>
      <c r="B16019" s="3" t="s">
        <v>0</v>
      </c>
      <c r="C16019" s="23" t="s">
        <v>119</v>
      </c>
      <c r="D16019" s="21"/>
    </row>
    <row r="16020" spans="1:4" ht="12.75" customHeight="1" x14ac:dyDescent="0.2">
      <c r="A16020" s="21"/>
      <c r="B16020" s="3" t="s">
        <v>2</v>
      </c>
      <c r="C16020" s="23" t="s">
        <v>2322</v>
      </c>
      <c r="D16020" s="21"/>
    </row>
    <row r="16021" spans="1:4" ht="12.75" customHeight="1" x14ac:dyDescent="0.2">
      <c r="A16021" s="21"/>
      <c r="B16021" s="3" t="s">
        <v>1840</v>
      </c>
      <c r="C16021" s="23" t="s">
        <v>2539</v>
      </c>
      <c r="D16021" s="21"/>
    </row>
    <row r="16022" spans="1:4" ht="12.75" customHeight="1" x14ac:dyDescent="0.2">
      <c r="A16022" s="21"/>
      <c r="B16022" s="3" t="s">
        <v>9</v>
      </c>
      <c r="C16022" s="23" t="s">
        <v>42</v>
      </c>
      <c r="D16022" s="21"/>
    </row>
    <row r="16023" spans="1:4" ht="12.75" customHeight="1" x14ac:dyDescent="0.2">
      <c r="A16023" s="21"/>
      <c r="B16023" s="3" t="s">
        <v>11</v>
      </c>
      <c r="C16023" s="23" t="s">
        <v>2540</v>
      </c>
      <c r="D16023" s="21"/>
    </row>
    <row r="16024" spans="1:4" ht="12.75" customHeight="1" x14ac:dyDescent="0.2">
      <c r="A16024" s="21"/>
      <c r="B16024" s="3" t="s">
        <v>16</v>
      </c>
      <c r="C16024" s="23"/>
      <c r="D16024" s="21"/>
    </row>
    <row r="16025" spans="1:4" ht="12.75" customHeight="1" x14ac:dyDescent="0.2">
      <c r="A16025" s="21"/>
      <c r="B16025" s="3" t="s">
        <v>17</v>
      </c>
      <c r="C16025" s="23" t="s">
        <v>19</v>
      </c>
      <c r="D16025" s="21"/>
    </row>
    <row r="16026" spans="1:4" ht="12.75" customHeight="1" x14ac:dyDescent="0.2">
      <c r="A16026" s="21"/>
      <c r="B16026" s="20" t="s">
        <v>18</v>
      </c>
      <c r="C16026" s="8" t="s">
        <v>68</v>
      </c>
      <c r="D16026" s="1" t="str">
        <f>HYPERLINK("javascript:void(0)","szellemláng")</f>
        <v>szellemláng</v>
      </c>
    </row>
    <row r="16027" spans="1:4" ht="12.75" customHeight="1" x14ac:dyDescent="0.2">
      <c r="A16027" s="21"/>
      <c r="B16027" s="21"/>
      <c r="C16027" s="8" t="s">
        <v>44</v>
      </c>
      <c r="D16027" s="1" t="str">
        <f>HYPERLINK("javascript:void(0)","légvért")</f>
        <v>légvért</v>
      </c>
    </row>
    <row r="16028" spans="1:4" ht="12.75" customHeight="1" x14ac:dyDescent="0.2">
      <c r="A16028" s="21"/>
      <c r="B16028" s="21"/>
      <c r="C16028" s="8" t="s">
        <v>57</v>
      </c>
      <c r="D16028" s="1" t="str">
        <f>HYPERLINK("javascript:void(0)","kéreg")</f>
        <v>kéreg</v>
      </c>
    </row>
    <row r="16029" spans="1:4" ht="12.75" customHeight="1" x14ac:dyDescent="0.2">
      <c r="A16029" s="21"/>
      <c r="B16029" s="2"/>
      <c r="C16029" s="7"/>
      <c r="D16029" s="7"/>
    </row>
    <row r="16030" spans="1:4" ht="12.75" customHeight="1" x14ac:dyDescent="0.2">
      <c r="A16030" s="21"/>
      <c r="B16030" s="2"/>
      <c r="C16030" s="7"/>
      <c r="D16030" s="7"/>
    </row>
    <row r="16031" spans="1:4" ht="12.75" customHeight="1" x14ac:dyDescent="0.2">
      <c r="A16031" s="21"/>
      <c r="B16031" s="2"/>
      <c r="C16031" s="7"/>
      <c r="D16031" s="7"/>
    </row>
    <row r="16032" spans="1:4" ht="12.75" customHeight="1" x14ac:dyDescent="0.2">
      <c r="A16032" s="21"/>
      <c r="B16032" s="2"/>
      <c r="C16032" s="7"/>
      <c r="D16032" s="7"/>
    </row>
    <row r="16033" spans="1:4" ht="12.75" customHeight="1" x14ac:dyDescent="0.2">
      <c r="A16033" s="5"/>
      <c r="B16033" s="2"/>
      <c r="C16033" s="7"/>
      <c r="D16033" s="7"/>
    </row>
    <row r="16034" spans="1:4" ht="12.75" customHeight="1" x14ac:dyDescent="0.2">
      <c r="A16034" s="22" t="str">
        <f>HYPERLINK("javascript:void(0)","áztatott sziklamászó")</f>
        <v>áztatott sziklamászó</v>
      </c>
      <c r="B16034" s="21"/>
      <c r="C16034" s="21"/>
      <c r="D16034" s="21"/>
    </row>
    <row r="16035" spans="1:4" ht="12.75" customHeight="1" x14ac:dyDescent="0.2">
      <c r="A16035" s="20"/>
      <c r="B16035" s="2"/>
      <c r="C16035" s="7"/>
      <c r="D16035" s="7"/>
    </row>
    <row r="16036" spans="1:4" ht="12.75" customHeight="1" x14ac:dyDescent="0.2">
      <c r="A16036" s="21"/>
      <c r="B16036" s="3" t="s">
        <v>0</v>
      </c>
      <c r="C16036" s="23" t="s">
        <v>119</v>
      </c>
      <c r="D16036" s="21"/>
    </row>
    <row r="16037" spans="1:4" ht="12.75" customHeight="1" x14ac:dyDescent="0.2">
      <c r="A16037" s="21"/>
      <c r="B16037" s="3" t="s">
        <v>2</v>
      </c>
      <c r="C16037" s="23"/>
      <c r="D16037" s="21"/>
    </row>
    <row r="16038" spans="1:4" ht="12.75" customHeight="1" x14ac:dyDescent="0.2">
      <c r="A16038" s="21"/>
      <c r="B16038" s="3" t="s">
        <v>1840</v>
      </c>
      <c r="C16038" s="23" t="s">
        <v>2239</v>
      </c>
      <c r="D16038" s="21"/>
    </row>
    <row r="16039" spans="1:4" ht="12.75" customHeight="1" x14ac:dyDescent="0.2">
      <c r="A16039" s="21"/>
      <c r="B16039" s="3" t="s">
        <v>9</v>
      </c>
      <c r="C16039" s="23" t="s">
        <v>1481</v>
      </c>
      <c r="D16039" s="21"/>
    </row>
    <row r="16040" spans="1:4" ht="12.75" customHeight="1" x14ac:dyDescent="0.2">
      <c r="A16040" s="21"/>
      <c r="B16040" s="3" t="s">
        <v>11</v>
      </c>
      <c r="C16040" s="23" t="s">
        <v>2240</v>
      </c>
      <c r="D16040" s="21"/>
    </row>
    <row r="16041" spans="1:4" ht="12.75" customHeight="1" x14ac:dyDescent="0.2">
      <c r="A16041" s="21"/>
      <c r="B16041" s="3" t="s">
        <v>16</v>
      </c>
      <c r="C16041" s="23"/>
      <c r="D16041" s="21"/>
    </row>
    <row r="16042" spans="1:4" ht="12.75" customHeight="1" x14ac:dyDescent="0.2">
      <c r="A16042" s="21"/>
      <c r="B16042" s="3" t="s">
        <v>17</v>
      </c>
      <c r="C16042" s="23" t="s">
        <v>19</v>
      </c>
      <c r="D16042" s="21"/>
    </row>
    <row r="16043" spans="1:4" ht="25.5" customHeight="1" x14ac:dyDescent="0.2">
      <c r="A16043" s="21"/>
      <c r="B16043" s="20" t="s">
        <v>18</v>
      </c>
      <c r="C16043" s="8" t="s">
        <v>44</v>
      </c>
      <c r="D16043" s="1" t="str">
        <f>HYPERLINK("javascript:void(0)","ezüstös sziklamászó")</f>
        <v>ezüstös sziklamászó</v>
      </c>
    </row>
    <row r="16044" spans="1:4" ht="12.75" customHeight="1" x14ac:dyDescent="0.2">
      <c r="A16044" s="21"/>
      <c r="B16044" s="21"/>
      <c r="C16044" s="8" t="s">
        <v>132</v>
      </c>
      <c r="D16044" s="1" t="str">
        <f>HYPERLINK("javascript:void(0)","tarsus")</f>
        <v>tarsus</v>
      </c>
    </row>
    <row r="16045" spans="1:4" ht="12.75" customHeight="1" x14ac:dyDescent="0.2">
      <c r="A16045" s="21"/>
      <c r="B16045" s="21"/>
      <c r="C16045" s="8" t="s">
        <v>67</v>
      </c>
      <c r="D16045" s="1" t="str">
        <f>HYPERLINK("javascript:void(0)","aquaakta")</f>
        <v>aquaakta</v>
      </c>
    </row>
    <row r="16046" spans="1:4" ht="12.75" customHeight="1" x14ac:dyDescent="0.2">
      <c r="A16046" s="21"/>
      <c r="B16046" s="2"/>
      <c r="C16046" s="7"/>
      <c r="D16046" s="7"/>
    </row>
    <row r="16047" spans="1:4" ht="12.75" customHeight="1" x14ac:dyDescent="0.2">
      <c r="A16047" s="21"/>
      <c r="B16047" s="2"/>
      <c r="C16047" s="7"/>
      <c r="D16047" s="7"/>
    </row>
    <row r="16048" spans="1:4" ht="12.75" customHeight="1" x14ac:dyDescent="0.2">
      <c r="A16048" s="21"/>
      <c r="B16048" s="2"/>
      <c r="C16048" s="7"/>
      <c r="D16048" s="7"/>
    </row>
    <row r="16049" spans="1:4" ht="12.75" customHeight="1" x14ac:dyDescent="0.2">
      <c r="A16049" s="21"/>
      <c r="B16049" s="2"/>
      <c r="C16049" s="7"/>
      <c r="D16049" s="7"/>
    </row>
    <row r="16050" spans="1:4" ht="12.75" customHeight="1" x14ac:dyDescent="0.2">
      <c r="A16050" s="5"/>
      <c r="B16050" s="2"/>
      <c r="C16050" s="7"/>
      <c r="D16050" s="7"/>
    </row>
    <row r="16051" spans="1:4" ht="12.75" customHeight="1" x14ac:dyDescent="0.2">
      <c r="A16051" s="22" t="str">
        <f>HYPERLINK("javascript:void(0)","kérges pajzs")</f>
        <v>kérges pajzs</v>
      </c>
      <c r="B16051" s="21"/>
      <c r="C16051" s="21"/>
      <c r="D16051" s="21"/>
    </row>
    <row r="16052" spans="1:4" ht="12.75" customHeight="1" x14ac:dyDescent="0.2">
      <c r="A16052" s="20"/>
      <c r="B16052" s="2"/>
      <c r="C16052" s="7"/>
      <c r="D16052" s="7"/>
    </row>
    <row r="16053" spans="1:4" ht="12.75" customHeight="1" x14ac:dyDescent="0.2">
      <c r="A16053" s="21"/>
      <c r="B16053" s="3" t="s">
        <v>0</v>
      </c>
      <c r="C16053" s="23" t="s">
        <v>119</v>
      </c>
      <c r="D16053" s="21"/>
    </row>
    <row r="16054" spans="1:4" ht="12.75" customHeight="1" x14ac:dyDescent="0.2">
      <c r="A16054" s="21"/>
      <c r="B16054" s="3" t="s">
        <v>2</v>
      </c>
      <c r="C16054" s="23" t="s">
        <v>1839</v>
      </c>
      <c r="D16054" s="21"/>
    </row>
    <row r="16055" spans="1:4" ht="12.75" customHeight="1" x14ac:dyDescent="0.2">
      <c r="A16055" s="21"/>
      <c r="B16055" s="3" t="s">
        <v>1840</v>
      </c>
      <c r="C16055" s="23" t="s">
        <v>2263</v>
      </c>
      <c r="D16055" s="21"/>
    </row>
    <row r="16056" spans="1:4" ht="12.75" customHeight="1" x14ac:dyDescent="0.2">
      <c r="A16056" s="21"/>
      <c r="B16056" s="3" t="s">
        <v>9</v>
      </c>
      <c r="C16056" s="23" t="s">
        <v>5822</v>
      </c>
      <c r="D16056" s="21"/>
    </row>
    <row r="16057" spans="1:4" ht="12.75" customHeight="1" x14ac:dyDescent="0.2">
      <c r="A16057" s="21"/>
      <c r="B16057" s="3" t="s">
        <v>11</v>
      </c>
      <c r="C16057" s="23" t="s">
        <v>2544</v>
      </c>
      <c r="D16057" s="21"/>
    </row>
    <row r="16058" spans="1:4" ht="12.75" customHeight="1" x14ac:dyDescent="0.2">
      <c r="A16058" s="21"/>
      <c r="B16058" s="3" t="s">
        <v>16</v>
      </c>
      <c r="C16058" s="23"/>
      <c r="D16058" s="21"/>
    </row>
    <row r="16059" spans="1:4" ht="12.75" customHeight="1" x14ac:dyDescent="0.2">
      <c r="A16059" s="21"/>
      <c r="B16059" s="3" t="s">
        <v>17</v>
      </c>
      <c r="C16059" s="23" t="s">
        <v>19</v>
      </c>
      <c r="D16059" s="21"/>
    </row>
    <row r="16060" spans="1:4" ht="12.75" customHeight="1" x14ac:dyDescent="0.2">
      <c r="A16060" s="21"/>
      <c r="B16060" s="20" t="s">
        <v>18</v>
      </c>
      <c r="C16060" s="8" t="s">
        <v>44</v>
      </c>
      <c r="D16060" s="1" t="str">
        <f>HYPERLINK("javascript:void(0)","csavarodó pajzs")</f>
        <v>csavarodó pajzs</v>
      </c>
    </row>
    <row r="16061" spans="1:4" ht="12.75" customHeight="1" x14ac:dyDescent="0.2">
      <c r="A16061" s="21"/>
      <c r="B16061" s="21"/>
      <c r="C16061" s="8" t="s">
        <v>68</v>
      </c>
      <c r="D16061" s="1" t="str">
        <f>HYPERLINK("javascript:void(0)","kéreg")</f>
        <v>kéreg</v>
      </c>
    </row>
    <row r="16062" spans="1:4" ht="12.75" customHeight="1" x14ac:dyDescent="0.2">
      <c r="A16062" s="21"/>
      <c r="B16062" s="21"/>
      <c r="C16062" s="8" t="s">
        <v>228</v>
      </c>
      <c r="D16062" s="1" t="str">
        <f>HYPERLINK("javascript:void(0)","lombik")</f>
        <v>lombik</v>
      </c>
    </row>
    <row r="16063" spans="1:4" ht="12.75" customHeight="1" x14ac:dyDescent="0.2">
      <c r="A16063" s="21"/>
      <c r="B16063" s="2"/>
      <c r="C16063" s="7"/>
      <c r="D16063" s="7"/>
    </row>
    <row r="16064" spans="1:4" ht="12.75" customHeight="1" x14ac:dyDescent="0.2">
      <c r="A16064" s="21"/>
      <c r="B16064" s="2"/>
      <c r="C16064" s="7"/>
      <c r="D16064" s="7"/>
    </row>
    <row r="16065" spans="1:4" ht="12.75" customHeight="1" x14ac:dyDescent="0.2">
      <c r="A16065" s="21"/>
      <c r="B16065" s="2"/>
      <c r="C16065" s="7"/>
      <c r="D16065" s="7"/>
    </row>
    <row r="16066" spans="1:4" ht="12.75" customHeight="1" x14ac:dyDescent="0.2">
      <c r="A16066" s="21"/>
      <c r="B16066" s="2"/>
      <c r="C16066" s="7"/>
      <c r="D16066" s="7"/>
    </row>
    <row r="16067" spans="1:4" ht="12.75" customHeight="1" x14ac:dyDescent="0.2">
      <c r="A16067" s="5"/>
      <c r="B16067" s="2"/>
      <c r="C16067" s="7"/>
      <c r="D16067" s="7"/>
    </row>
    <row r="16068" spans="1:4" ht="12.75" customHeight="1" x14ac:dyDescent="0.2">
      <c r="A16068" s="22" t="str">
        <f>HYPERLINK("javascript:void(0)","nehézvért")</f>
        <v>nehézvért</v>
      </c>
      <c r="B16068" s="21"/>
      <c r="C16068" s="21"/>
      <c r="D16068" s="21"/>
    </row>
    <row r="16069" spans="1:4" ht="12.75" customHeight="1" x14ac:dyDescent="0.2">
      <c r="A16069" s="20"/>
      <c r="B16069" s="2"/>
      <c r="C16069" s="7"/>
      <c r="D16069" s="7"/>
    </row>
    <row r="16070" spans="1:4" ht="12.75" customHeight="1" x14ac:dyDescent="0.2">
      <c r="A16070" s="21"/>
      <c r="B16070" s="3" t="s">
        <v>0</v>
      </c>
      <c r="C16070" s="23" t="s">
        <v>1196</v>
      </c>
      <c r="D16070" s="21"/>
    </row>
    <row r="16071" spans="1:4" ht="12.75" customHeight="1" x14ac:dyDescent="0.2">
      <c r="A16071" s="21"/>
      <c r="B16071" s="3" t="s">
        <v>2</v>
      </c>
      <c r="C16071" s="23" t="s">
        <v>2322</v>
      </c>
      <c r="D16071" s="21"/>
    </row>
    <row r="16072" spans="1:4" ht="12.75" customHeight="1" x14ac:dyDescent="0.2">
      <c r="A16072" s="21"/>
      <c r="B16072" s="3" t="s">
        <v>1840</v>
      </c>
      <c r="C16072" s="23" t="s">
        <v>2541</v>
      </c>
      <c r="D16072" s="21"/>
    </row>
    <row r="16073" spans="1:4" ht="12.75" customHeight="1" x14ac:dyDescent="0.2">
      <c r="A16073" s="21"/>
      <c r="B16073" s="3" t="s">
        <v>9</v>
      </c>
      <c r="C16073" s="23" t="s">
        <v>1255</v>
      </c>
      <c r="D16073" s="21"/>
    </row>
    <row r="16074" spans="1:4" ht="12.75" customHeight="1" x14ac:dyDescent="0.2">
      <c r="A16074" s="21"/>
      <c r="B16074" s="3" t="s">
        <v>11</v>
      </c>
      <c r="C16074" s="23" t="s">
        <v>2542</v>
      </c>
      <c r="D16074" s="21"/>
    </row>
    <row r="16075" spans="1:4" ht="12.75" customHeight="1" x14ac:dyDescent="0.2">
      <c r="A16075" s="21"/>
      <c r="B16075" s="3" t="s">
        <v>16</v>
      </c>
      <c r="C16075" s="23"/>
      <c r="D16075" s="21"/>
    </row>
    <row r="16076" spans="1:4" ht="12.75" customHeight="1" x14ac:dyDescent="0.2">
      <c r="A16076" s="21"/>
      <c r="B16076" s="3" t="s">
        <v>17</v>
      </c>
      <c r="C16076" s="23" t="s">
        <v>19</v>
      </c>
      <c r="D16076" s="21"/>
    </row>
    <row r="16077" spans="1:4" ht="12.75" customHeight="1" x14ac:dyDescent="0.2">
      <c r="A16077" s="21"/>
      <c r="B16077" s="20" t="s">
        <v>18</v>
      </c>
      <c r="C16077" s="8" t="s">
        <v>117</v>
      </c>
      <c r="D16077" s="1" t="str">
        <f>HYPERLINK("javascript:void(0)","nehézvíz")</f>
        <v>nehézvíz</v>
      </c>
    </row>
    <row r="16078" spans="1:4" ht="12.75" customHeight="1" x14ac:dyDescent="0.2">
      <c r="A16078" s="21"/>
      <c r="B16078" s="21"/>
      <c r="C16078" s="8" t="s">
        <v>68</v>
      </c>
      <c r="D16078" s="1" t="str">
        <f>HYPERLINK("javascript:void(0)","kígyópikkely")</f>
        <v>kígyópikkely</v>
      </c>
    </row>
    <row r="16079" spans="1:4" ht="12.75" customHeight="1" x14ac:dyDescent="0.2">
      <c r="A16079" s="21"/>
      <c r="B16079" s="21"/>
      <c r="C16079" s="8" t="s">
        <v>67</v>
      </c>
      <c r="D16079" s="1" t="str">
        <f>HYPERLINK("javascript:void(0)","lombik")</f>
        <v>lombik</v>
      </c>
    </row>
    <row r="16080" spans="1:4" ht="12.75" customHeight="1" x14ac:dyDescent="0.2">
      <c r="A16080" s="21"/>
      <c r="B16080" s="2"/>
      <c r="C16080" s="7"/>
      <c r="D16080" s="7"/>
    </row>
    <row r="16081" spans="1:4" ht="12.75" customHeight="1" x14ac:dyDescent="0.2">
      <c r="A16081" s="21"/>
      <c r="B16081" s="2"/>
      <c r="C16081" s="7"/>
      <c r="D16081" s="7"/>
    </row>
    <row r="16082" spans="1:4" ht="12.75" customHeight="1" x14ac:dyDescent="0.2">
      <c r="A16082" s="21"/>
      <c r="B16082" s="2"/>
      <c r="C16082" s="7"/>
      <c r="D16082" s="7"/>
    </row>
    <row r="16083" spans="1:4" ht="12.75" customHeight="1" x14ac:dyDescent="0.2">
      <c r="A16083" s="21"/>
      <c r="B16083" s="2"/>
      <c r="C16083" s="7"/>
      <c r="D16083" s="7"/>
    </row>
    <row r="16084" spans="1:4" ht="12.75" customHeight="1" x14ac:dyDescent="0.2">
      <c r="A16084" s="5"/>
      <c r="B16084" s="2"/>
      <c r="C16084" s="7"/>
      <c r="D16084" s="7"/>
    </row>
    <row r="16085" spans="1:4" ht="12.75" customHeight="1" x14ac:dyDescent="0.2">
      <c r="A16085" s="22" t="str">
        <f>HYPERLINK("javascript:void(0)","kéregcsizma")</f>
        <v>kéregcsizma</v>
      </c>
      <c r="B16085" s="21"/>
      <c r="C16085" s="21"/>
      <c r="D16085" s="21"/>
    </row>
    <row r="16086" spans="1:4" ht="12.75" customHeight="1" x14ac:dyDescent="0.2">
      <c r="A16086" s="20"/>
      <c r="B16086" s="2"/>
      <c r="C16086" s="7"/>
      <c r="D16086" s="7"/>
    </row>
    <row r="16087" spans="1:4" ht="12.75" customHeight="1" x14ac:dyDescent="0.2">
      <c r="A16087" s="21"/>
      <c r="B16087" s="3" t="s">
        <v>0</v>
      </c>
      <c r="C16087" s="23" t="s">
        <v>1196</v>
      </c>
      <c r="D16087" s="21"/>
    </row>
    <row r="16088" spans="1:4" ht="12.75" customHeight="1" x14ac:dyDescent="0.2">
      <c r="A16088" s="21"/>
      <c r="B16088" s="3" t="s">
        <v>2</v>
      </c>
      <c r="C16088" s="23"/>
      <c r="D16088" s="21"/>
    </row>
    <row r="16089" spans="1:4" ht="12.75" customHeight="1" x14ac:dyDescent="0.2">
      <c r="A16089" s="21"/>
      <c r="B16089" s="3" t="s">
        <v>1840</v>
      </c>
      <c r="C16089" s="23" t="s">
        <v>1478</v>
      </c>
      <c r="D16089" s="21"/>
    </row>
    <row r="16090" spans="1:4" ht="12.75" customHeight="1" x14ac:dyDescent="0.2">
      <c r="A16090" s="21"/>
      <c r="B16090" s="3" t="s">
        <v>9</v>
      </c>
      <c r="C16090" s="23" t="s">
        <v>2121</v>
      </c>
      <c r="D16090" s="21"/>
    </row>
    <row r="16091" spans="1:4" ht="12.75" customHeight="1" x14ac:dyDescent="0.2">
      <c r="A16091" s="21"/>
      <c r="B16091" s="3" t="s">
        <v>11</v>
      </c>
      <c r="C16091" s="23" t="s">
        <v>2242</v>
      </c>
      <c r="D16091" s="21"/>
    </row>
    <row r="16092" spans="1:4" ht="12.75" customHeight="1" x14ac:dyDescent="0.2">
      <c r="A16092" s="21"/>
      <c r="B16092" s="3" t="s">
        <v>16</v>
      </c>
      <c r="C16092" s="23"/>
      <c r="D16092" s="21"/>
    </row>
    <row r="16093" spans="1:4" ht="12.75" customHeight="1" x14ac:dyDescent="0.2">
      <c r="A16093" s="21"/>
      <c r="B16093" s="3" t="s">
        <v>17</v>
      </c>
      <c r="C16093" s="23" t="s">
        <v>19</v>
      </c>
      <c r="D16093" s="21"/>
    </row>
    <row r="16094" spans="1:4" ht="12.75" customHeight="1" x14ac:dyDescent="0.2">
      <c r="A16094" s="21"/>
      <c r="B16094" s="20" t="s">
        <v>18</v>
      </c>
      <c r="C16094" s="8" t="s">
        <v>44</v>
      </c>
      <c r="D16094" s="1" t="str">
        <f>HYPERLINK("javascript:void(0)","áztatott sziklamászó")</f>
        <v>áztatott sziklamászó</v>
      </c>
    </row>
    <row r="16095" spans="1:4" ht="12.75" customHeight="1" x14ac:dyDescent="0.2">
      <c r="A16095" s="21"/>
      <c r="B16095" s="21"/>
      <c r="C16095" s="8" t="s">
        <v>196</v>
      </c>
      <c r="D16095" s="1" t="str">
        <f>HYPERLINK("javascript:void(0)","kéreg")</f>
        <v>kéreg</v>
      </c>
    </row>
    <row r="16096" spans="1:4" ht="12.75" customHeight="1" x14ac:dyDescent="0.2">
      <c r="A16096" s="21"/>
      <c r="B16096" s="21"/>
      <c r="C16096" s="8" t="s">
        <v>67</v>
      </c>
      <c r="D16096" s="1" t="str">
        <f>HYPERLINK("javascript:void(0)","raszta")</f>
        <v>raszta</v>
      </c>
    </row>
    <row r="16097" spans="1:4" ht="12.75" customHeight="1" x14ac:dyDescent="0.2">
      <c r="A16097" s="21"/>
      <c r="B16097" s="2"/>
      <c r="C16097" s="7"/>
      <c r="D16097" s="7"/>
    </row>
    <row r="16098" spans="1:4" ht="12.75" customHeight="1" x14ac:dyDescent="0.2">
      <c r="A16098" s="21"/>
      <c r="B16098" s="2"/>
      <c r="C16098" s="7"/>
      <c r="D16098" s="7"/>
    </row>
    <row r="16099" spans="1:4" ht="12.75" customHeight="1" x14ac:dyDescent="0.2">
      <c r="A16099" s="21"/>
      <c r="B16099" s="2"/>
      <c r="C16099" s="7"/>
      <c r="D16099" s="7"/>
    </row>
    <row r="16100" spans="1:4" ht="12.75" customHeight="1" x14ac:dyDescent="0.2">
      <c r="A16100" s="21"/>
      <c r="B16100" s="2"/>
      <c r="C16100" s="7"/>
      <c r="D16100" s="7"/>
    </row>
    <row r="16101" spans="1:4" ht="12.75" customHeight="1" x14ac:dyDescent="0.2">
      <c r="A16101" s="5"/>
      <c r="B16101" s="2"/>
      <c r="C16101" s="7"/>
      <c r="D16101" s="7"/>
    </row>
    <row r="16102" spans="1:4" ht="12.75" customHeight="1" x14ac:dyDescent="0.2">
      <c r="A16102" s="22" t="str">
        <f>HYPERLINK("javascript:void(0)","fánksapka")</f>
        <v>fánksapka</v>
      </c>
      <c r="B16102" s="21"/>
      <c r="C16102" s="21"/>
      <c r="D16102" s="21"/>
    </row>
    <row r="16103" spans="1:4" ht="12.75" customHeight="1" x14ac:dyDescent="0.2">
      <c r="A16103" s="20"/>
      <c r="B16103" s="2"/>
      <c r="C16103" s="7"/>
      <c r="D16103" s="7"/>
    </row>
    <row r="16104" spans="1:4" ht="12.75" customHeight="1" x14ac:dyDescent="0.2">
      <c r="A16104" s="21"/>
      <c r="B16104" s="3" t="s">
        <v>0</v>
      </c>
      <c r="C16104" s="23" t="s">
        <v>1196</v>
      </c>
      <c r="D16104" s="21"/>
    </row>
    <row r="16105" spans="1:4" ht="12.75" customHeight="1" x14ac:dyDescent="0.2">
      <c r="A16105" s="21"/>
      <c r="B16105" s="3" t="s">
        <v>2</v>
      </c>
      <c r="C16105" s="23"/>
      <c r="D16105" s="21"/>
    </row>
    <row r="16106" spans="1:4" ht="12.75" customHeight="1" x14ac:dyDescent="0.2">
      <c r="A16106" s="21"/>
      <c r="B16106" s="3" t="s">
        <v>1840</v>
      </c>
      <c r="C16106" s="23" t="s">
        <v>2266</v>
      </c>
      <c r="D16106" s="21"/>
    </row>
    <row r="16107" spans="1:4" ht="12.75" customHeight="1" x14ac:dyDescent="0.2">
      <c r="A16107" s="21"/>
      <c r="B16107" s="3" t="s">
        <v>9</v>
      </c>
      <c r="C16107" s="23" t="s">
        <v>1042</v>
      </c>
      <c r="D16107" s="21"/>
    </row>
    <row r="16108" spans="1:4" ht="12.75" customHeight="1" x14ac:dyDescent="0.2">
      <c r="A16108" s="21"/>
      <c r="B16108" s="3" t="s">
        <v>11</v>
      </c>
      <c r="C16108" s="23" t="s">
        <v>5836</v>
      </c>
      <c r="D16108" s="21"/>
    </row>
    <row r="16109" spans="1:4" ht="12.75" customHeight="1" x14ac:dyDescent="0.2">
      <c r="A16109" s="21"/>
      <c r="B16109" s="3" t="s">
        <v>16</v>
      </c>
      <c r="C16109" s="23"/>
      <c r="D16109" s="21"/>
    </row>
    <row r="16110" spans="1:4" ht="12.75" customHeight="1" x14ac:dyDescent="0.2">
      <c r="A16110" s="21"/>
      <c r="B16110" s="3" t="s">
        <v>17</v>
      </c>
      <c r="C16110" s="23" t="s">
        <v>19</v>
      </c>
      <c r="D16110" s="21"/>
    </row>
    <row r="16111" spans="1:4" ht="12.75" customHeight="1" x14ac:dyDescent="0.2">
      <c r="A16111" s="21"/>
      <c r="B16111" s="20" t="s">
        <v>18</v>
      </c>
      <c r="C16111" s="8" t="s">
        <v>44</v>
      </c>
      <c r="D16111" s="1" t="str">
        <f>HYPERLINK("javascript:void(0)","démontollas sipka")</f>
        <v>démontollas sipka</v>
      </c>
    </row>
    <row r="16112" spans="1:4" ht="12.75" customHeight="1" x14ac:dyDescent="0.2">
      <c r="A16112" s="21"/>
      <c r="B16112" s="21"/>
      <c r="C16112" s="8" t="s">
        <v>117</v>
      </c>
      <c r="D16112" s="1" t="str">
        <f>HYPERLINK("javascript:void(0)","eledel")</f>
        <v>eledel</v>
      </c>
    </row>
    <row r="16113" spans="1:4" ht="12.75" customHeight="1" x14ac:dyDescent="0.2">
      <c r="A16113" s="21"/>
      <c r="B16113" s="21"/>
      <c r="C16113" s="8" t="s">
        <v>132</v>
      </c>
      <c r="D16113" s="1" t="str">
        <f>HYPERLINK("javascript:void(0)","felhőgyapjú")</f>
        <v>felhőgyapjú</v>
      </c>
    </row>
    <row r="16114" spans="1:4" ht="12.75" customHeight="1" x14ac:dyDescent="0.2">
      <c r="A16114" s="21"/>
      <c r="B16114" s="2"/>
      <c r="C16114" s="7"/>
      <c r="D16114" s="7"/>
    </row>
    <row r="16115" spans="1:4" ht="12.75" customHeight="1" x14ac:dyDescent="0.2">
      <c r="A16115" s="21"/>
      <c r="B16115" s="2"/>
      <c r="C16115" s="7"/>
      <c r="D16115" s="7"/>
    </row>
    <row r="16116" spans="1:4" ht="12.75" customHeight="1" x14ac:dyDescent="0.2">
      <c r="A16116" s="21"/>
      <c r="B16116" s="2"/>
      <c r="C16116" s="7"/>
      <c r="D16116" s="7"/>
    </row>
    <row r="16117" spans="1:4" ht="12.75" customHeight="1" x14ac:dyDescent="0.2">
      <c r="A16117" s="21"/>
      <c r="B16117" s="2"/>
      <c r="C16117" s="7"/>
      <c r="D16117" s="7"/>
    </row>
    <row r="16118" spans="1:4" ht="12.75" customHeight="1" x14ac:dyDescent="0.2">
      <c r="A16118" s="5"/>
      <c r="B16118" s="2"/>
      <c r="C16118" s="7"/>
      <c r="D16118" s="7"/>
    </row>
    <row r="16119" spans="1:4" ht="12.75" customHeight="1" x14ac:dyDescent="0.2">
      <c r="A16119" s="22" t="str">
        <f>HYPERLINK("javascript:void(0)","nehéz pajzs")</f>
        <v>nehéz pajzs</v>
      </c>
      <c r="B16119" s="21"/>
      <c r="C16119" s="21"/>
      <c r="D16119" s="21"/>
    </row>
    <row r="16120" spans="1:4" ht="12.75" customHeight="1" x14ac:dyDescent="0.2">
      <c r="A16120" s="20"/>
      <c r="B16120" s="2"/>
      <c r="C16120" s="7"/>
      <c r="D16120" s="7"/>
    </row>
    <row r="16121" spans="1:4" ht="12.75" customHeight="1" x14ac:dyDescent="0.2">
      <c r="A16121" s="21"/>
      <c r="B16121" s="3" t="s">
        <v>0</v>
      </c>
      <c r="C16121" s="23" t="s">
        <v>1196</v>
      </c>
      <c r="D16121" s="21"/>
    </row>
    <row r="16122" spans="1:4" ht="12.75" customHeight="1" x14ac:dyDescent="0.2">
      <c r="A16122" s="21"/>
      <c r="B16122" s="3" t="s">
        <v>2</v>
      </c>
      <c r="C16122" s="23" t="s">
        <v>1839</v>
      </c>
      <c r="D16122" s="21"/>
    </row>
    <row r="16123" spans="1:4" ht="12.75" customHeight="1" x14ac:dyDescent="0.2">
      <c r="A16123" s="21"/>
      <c r="B16123" s="3" t="s">
        <v>1840</v>
      </c>
      <c r="C16123" s="23" t="s">
        <v>2880</v>
      </c>
      <c r="D16123" s="21"/>
    </row>
    <row r="16124" spans="1:4" ht="12.75" customHeight="1" x14ac:dyDescent="0.2">
      <c r="A16124" s="21"/>
      <c r="B16124" s="3" t="s">
        <v>9</v>
      </c>
      <c r="C16124" s="23" t="s">
        <v>1726</v>
      </c>
      <c r="D16124" s="21"/>
    </row>
    <row r="16125" spans="1:4" ht="12.75" customHeight="1" x14ac:dyDescent="0.2">
      <c r="A16125" s="21"/>
      <c r="B16125" s="3" t="s">
        <v>11</v>
      </c>
      <c r="C16125" s="23" t="s">
        <v>1075</v>
      </c>
      <c r="D16125" s="21"/>
    </row>
    <row r="16126" spans="1:4" ht="12.75" customHeight="1" x14ac:dyDescent="0.2">
      <c r="A16126" s="21"/>
      <c r="B16126" s="3" t="s">
        <v>16</v>
      </c>
      <c r="C16126" s="23"/>
      <c r="D16126" s="21"/>
    </row>
    <row r="16127" spans="1:4" ht="12.75" customHeight="1" x14ac:dyDescent="0.2">
      <c r="A16127" s="21"/>
      <c r="B16127" s="3" t="s">
        <v>17</v>
      </c>
      <c r="C16127" s="23" t="s">
        <v>19</v>
      </c>
      <c r="D16127" s="21"/>
    </row>
    <row r="16128" spans="1:4" ht="12.75" customHeight="1" x14ac:dyDescent="0.2">
      <c r="A16128" s="21"/>
      <c r="B16128" s="20" t="s">
        <v>18</v>
      </c>
      <c r="C16128" s="8" t="s">
        <v>44</v>
      </c>
      <c r="D16128" s="1" t="str">
        <f>HYPERLINK("javascript:void(0)","kérges pajzs")</f>
        <v>kérges pajzs</v>
      </c>
    </row>
    <row r="16129" spans="1:4" ht="12.75" customHeight="1" x14ac:dyDescent="0.2">
      <c r="A16129" s="21"/>
      <c r="B16129" s="21"/>
      <c r="C16129" s="8" t="s">
        <v>331</v>
      </c>
      <c r="D16129" s="1" t="str">
        <f>HYPERLINK("javascript:void(0)","nehézvíz")</f>
        <v>nehézvíz</v>
      </c>
    </row>
    <row r="16130" spans="1:4" ht="12.75" customHeight="1" x14ac:dyDescent="0.2">
      <c r="A16130" s="21"/>
      <c r="B16130" s="21"/>
      <c r="C16130" s="8" t="s">
        <v>232</v>
      </c>
      <c r="D16130" s="1" t="str">
        <f>HYPERLINK("javascript:void(0)","lombik")</f>
        <v>lombik</v>
      </c>
    </row>
    <row r="16131" spans="1:4" ht="12.75" customHeight="1" x14ac:dyDescent="0.2">
      <c r="A16131" s="21"/>
      <c r="B16131" s="2"/>
      <c r="C16131" s="7"/>
      <c r="D16131" s="7"/>
    </row>
    <row r="16132" spans="1:4" ht="12.75" customHeight="1" x14ac:dyDescent="0.2">
      <c r="A16132" s="21"/>
      <c r="B16132" s="2"/>
      <c r="C16132" s="7"/>
      <c r="D16132" s="7"/>
    </row>
    <row r="16133" spans="1:4" ht="12.75" customHeight="1" x14ac:dyDescent="0.2">
      <c r="A16133" s="21"/>
      <c r="B16133" s="2"/>
      <c r="C16133" s="7"/>
      <c r="D16133" s="7"/>
    </row>
    <row r="16134" spans="1:4" ht="12.75" customHeight="1" x14ac:dyDescent="0.2">
      <c r="A16134" s="21"/>
      <c r="B16134" s="2"/>
      <c r="C16134" s="7"/>
      <c r="D16134" s="7"/>
    </row>
    <row r="16135" spans="1:4" ht="12.75" customHeight="1" x14ac:dyDescent="0.2">
      <c r="A16135" s="5"/>
      <c r="B16135" s="2"/>
      <c r="C16135" s="7"/>
      <c r="D16135" s="7"/>
    </row>
    <row r="16136" spans="1:4" ht="12.75" customHeight="1" x14ac:dyDescent="0.2">
      <c r="A16136" s="22" t="str">
        <f>HYPERLINK("javascript:void(0)","idegen előlap")</f>
        <v>idegen előlap</v>
      </c>
      <c r="B16136" s="21"/>
      <c r="C16136" s="21"/>
      <c r="D16136" s="21"/>
    </row>
    <row r="16137" spans="1:4" ht="12.75" customHeight="1" x14ac:dyDescent="0.2">
      <c r="A16137" s="20"/>
      <c r="B16137" s="2"/>
      <c r="C16137" s="7"/>
      <c r="D16137" s="7"/>
    </row>
    <row r="16138" spans="1:4" ht="12.75" customHeight="1" x14ac:dyDescent="0.2">
      <c r="A16138" s="21"/>
      <c r="B16138" s="3" t="s">
        <v>0</v>
      </c>
      <c r="C16138" s="23" t="s">
        <v>1207</v>
      </c>
      <c r="D16138" s="21"/>
    </row>
    <row r="16139" spans="1:4" ht="12.75" customHeight="1" x14ac:dyDescent="0.2">
      <c r="A16139" s="21"/>
      <c r="B16139" s="3" t="s">
        <v>2</v>
      </c>
      <c r="C16139" s="23" t="s">
        <v>2322</v>
      </c>
      <c r="D16139" s="21"/>
    </row>
    <row r="16140" spans="1:4" ht="12.75" customHeight="1" x14ac:dyDescent="0.2">
      <c r="A16140" s="21"/>
      <c r="B16140" s="3" t="s">
        <v>1840</v>
      </c>
      <c r="C16140" s="23" t="s">
        <v>151</v>
      </c>
      <c r="D16140" s="21"/>
    </row>
    <row r="16141" spans="1:4" ht="12.75" customHeight="1" x14ac:dyDescent="0.2">
      <c r="A16141" s="21"/>
      <c r="B16141" s="3" t="s">
        <v>9</v>
      </c>
      <c r="C16141" s="23" t="s">
        <v>53</v>
      </c>
      <c r="D16141" s="21"/>
    </row>
    <row r="16142" spans="1:4" ht="12.75" customHeight="1" x14ac:dyDescent="0.2">
      <c r="A16142" s="21"/>
      <c r="B16142" s="3" t="s">
        <v>11</v>
      </c>
      <c r="C16142" s="23" t="s">
        <v>1075</v>
      </c>
      <c r="D16142" s="21"/>
    </row>
    <row r="16143" spans="1:4" ht="12.75" customHeight="1" x14ac:dyDescent="0.2">
      <c r="A16143" s="21"/>
      <c r="B16143" s="3" t="s">
        <v>16</v>
      </c>
      <c r="C16143" s="23"/>
      <c r="D16143" s="21"/>
    </row>
    <row r="16144" spans="1:4" ht="12.75" customHeight="1" x14ac:dyDescent="0.2">
      <c r="A16144" s="21"/>
      <c r="B16144" s="3" t="s">
        <v>17</v>
      </c>
      <c r="C16144" s="23" t="s">
        <v>19</v>
      </c>
      <c r="D16144" s="21"/>
    </row>
    <row r="16145" spans="1:4" ht="12.75" customHeight="1" x14ac:dyDescent="0.2">
      <c r="A16145" s="21"/>
      <c r="B16145" s="20" t="s">
        <v>18</v>
      </c>
      <c r="C16145" s="8" t="s">
        <v>117</v>
      </c>
      <c r="D16145" s="1" t="str">
        <f>HYPERLINK("javascript:void(0)","idegen herkentyű")</f>
        <v>idegen herkentyű</v>
      </c>
    </row>
    <row r="16146" spans="1:4" ht="12.75" customHeight="1" x14ac:dyDescent="0.2">
      <c r="A16146" s="21"/>
      <c r="B16146" s="21"/>
      <c r="C16146" s="8" t="s">
        <v>132</v>
      </c>
      <c r="D16146" s="1" t="str">
        <f>HYPERLINK("javascript:void(0)","idegen ketyere")</f>
        <v>idegen ketyere</v>
      </c>
    </row>
    <row r="16147" spans="1:4" ht="12.75" customHeight="1" x14ac:dyDescent="0.2">
      <c r="A16147" s="21"/>
      <c r="B16147" s="21"/>
      <c r="C16147" s="8" t="s">
        <v>67</v>
      </c>
      <c r="D16147" s="1" t="str">
        <f>HYPERLINK("javascript:void(0)","méregfog")</f>
        <v>méregfog</v>
      </c>
    </row>
    <row r="16148" spans="1:4" ht="12.75" customHeight="1" x14ac:dyDescent="0.2">
      <c r="A16148" s="21"/>
      <c r="B16148" s="2"/>
      <c r="C16148" s="7"/>
      <c r="D16148" s="7"/>
    </row>
    <row r="16149" spans="1:4" ht="12.75" customHeight="1" x14ac:dyDescent="0.2">
      <c r="A16149" s="21"/>
      <c r="B16149" s="2"/>
      <c r="C16149" s="7"/>
      <c r="D16149" s="7"/>
    </row>
    <row r="16150" spans="1:4" ht="12.75" customHeight="1" x14ac:dyDescent="0.2">
      <c r="A16150" s="21"/>
      <c r="B16150" s="2"/>
      <c r="C16150" s="7"/>
      <c r="D16150" s="7"/>
    </row>
    <row r="16151" spans="1:4" ht="12.75" customHeight="1" x14ac:dyDescent="0.2">
      <c r="A16151" s="21"/>
      <c r="B16151" s="2"/>
      <c r="C16151" s="7"/>
      <c r="D16151" s="7"/>
    </row>
    <row r="16152" spans="1:4" ht="12.75" customHeight="1" x14ac:dyDescent="0.2">
      <c r="A16152" s="5"/>
      <c r="B16152" s="2"/>
      <c r="C16152" s="7"/>
      <c r="D16152" s="7"/>
    </row>
    <row r="16153" spans="1:4" ht="12.75" customHeight="1" x14ac:dyDescent="0.2">
      <c r="A16153" s="22" t="str">
        <f>HYPERLINK("javascript:void(0)","idegen teljes vért")</f>
        <v>idegen teljes vért</v>
      </c>
      <c r="B16153" s="21"/>
      <c r="C16153" s="21"/>
      <c r="D16153" s="21"/>
    </row>
    <row r="16154" spans="1:4" ht="12.75" customHeight="1" x14ac:dyDescent="0.2">
      <c r="A16154" s="20"/>
      <c r="B16154" s="2"/>
      <c r="C16154" s="7"/>
      <c r="D16154" s="7"/>
    </row>
    <row r="16155" spans="1:4" ht="12.75" customHeight="1" x14ac:dyDescent="0.2">
      <c r="A16155" s="21"/>
      <c r="B16155" s="3" t="s">
        <v>0</v>
      </c>
      <c r="C16155" s="23" t="s">
        <v>1207</v>
      </c>
      <c r="D16155" s="21"/>
    </row>
    <row r="16156" spans="1:4" ht="12.75" customHeight="1" x14ac:dyDescent="0.2">
      <c r="A16156" s="21"/>
      <c r="B16156" s="3" t="s">
        <v>2</v>
      </c>
      <c r="C16156" s="23" t="s">
        <v>2322</v>
      </c>
      <c r="D16156" s="21"/>
    </row>
    <row r="16157" spans="1:4" ht="12.75" customHeight="1" x14ac:dyDescent="0.2">
      <c r="A16157" s="21"/>
      <c r="B16157" s="3" t="s">
        <v>1840</v>
      </c>
      <c r="C16157" s="23" t="s">
        <v>2543</v>
      </c>
      <c r="D16157" s="21"/>
    </row>
    <row r="16158" spans="1:4" ht="12.75" customHeight="1" x14ac:dyDescent="0.2">
      <c r="A16158" s="21"/>
      <c r="B16158" s="3" t="s">
        <v>9</v>
      </c>
      <c r="C16158" s="23" t="s">
        <v>93</v>
      </c>
      <c r="D16158" s="21"/>
    </row>
    <row r="16159" spans="1:4" ht="12.75" customHeight="1" x14ac:dyDescent="0.2">
      <c r="A16159" s="21"/>
      <c r="B16159" s="3" t="s">
        <v>11</v>
      </c>
      <c r="C16159" s="23" t="s">
        <v>2544</v>
      </c>
      <c r="D16159" s="21"/>
    </row>
    <row r="16160" spans="1:4" ht="12.75" customHeight="1" x14ac:dyDescent="0.2">
      <c r="A16160" s="21"/>
      <c r="B16160" s="3" t="s">
        <v>16</v>
      </c>
      <c r="C16160" s="23"/>
      <c r="D16160" s="21"/>
    </row>
    <row r="16161" spans="1:4" ht="12.75" customHeight="1" x14ac:dyDescent="0.2">
      <c r="A16161" s="21"/>
      <c r="B16161" s="3" t="s">
        <v>17</v>
      </c>
      <c r="C16161" s="23" t="s">
        <v>19</v>
      </c>
      <c r="D16161" s="21"/>
    </row>
    <row r="16162" spans="1:4" ht="12.75" customHeight="1" x14ac:dyDescent="0.2">
      <c r="A16162" s="21"/>
      <c r="B16162" s="20" t="s">
        <v>18</v>
      </c>
      <c r="C16162" s="8" t="s">
        <v>44</v>
      </c>
      <c r="D16162" s="1" t="str">
        <f>HYPERLINK("javascript:void(0)","idegen előlap")</f>
        <v>idegen előlap</v>
      </c>
    </row>
    <row r="16163" spans="1:4" ht="12.75" customHeight="1" x14ac:dyDescent="0.2">
      <c r="A16163" s="21"/>
      <c r="B16163" s="21"/>
      <c r="C16163" s="8" t="s">
        <v>44</v>
      </c>
      <c r="D16163" s="1" t="str">
        <f>HYPERLINK("javascript:void(0)","nehézvért")</f>
        <v>nehézvért</v>
      </c>
    </row>
    <row r="16164" spans="1:4" ht="12.75" customHeight="1" x14ac:dyDescent="0.2">
      <c r="A16164" s="21"/>
      <c r="B16164" s="21"/>
      <c r="C16164" s="8" t="s">
        <v>232</v>
      </c>
      <c r="D16164" s="1" t="str">
        <f>HYPERLINK("javascript:void(0)","fatális hiba")</f>
        <v>fatális hiba</v>
      </c>
    </row>
    <row r="16165" spans="1:4" ht="12.75" customHeight="1" x14ac:dyDescent="0.2">
      <c r="A16165" s="21"/>
      <c r="B16165" s="2"/>
      <c r="C16165" s="7"/>
      <c r="D16165" s="7"/>
    </row>
    <row r="16166" spans="1:4" ht="12.75" customHeight="1" x14ac:dyDescent="0.2">
      <c r="A16166" s="21"/>
      <c r="B16166" s="2"/>
      <c r="C16166" s="7"/>
      <c r="D16166" s="7"/>
    </row>
    <row r="16167" spans="1:4" ht="12.75" customHeight="1" x14ac:dyDescent="0.2">
      <c r="A16167" s="21"/>
      <c r="B16167" s="2"/>
      <c r="C16167" s="7"/>
      <c r="D16167" s="7"/>
    </row>
    <row r="16168" spans="1:4" ht="12.75" customHeight="1" x14ac:dyDescent="0.2">
      <c r="A16168" s="21"/>
      <c r="B16168" s="2"/>
      <c r="C16168" s="7"/>
      <c r="D16168" s="7"/>
    </row>
    <row r="16169" spans="1:4" ht="12.75" customHeight="1" x14ac:dyDescent="0.2">
      <c r="A16169" s="5"/>
      <c r="B16169" s="2"/>
      <c r="C16169" s="7"/>
      <c r="D16169" s="7"/>
    </row>
    <row r="16170" spans="1:4" ht="12.75" customHeight="1" x14ac:dyDescent="0.2">
      <c r="A16170" s="22" t="str">
        <f>HYPERLINK("javascript:void(0)","kígyócsizma")</f>
        <v>kígyócsizma</v>
      </c>
      <c r="B16170" s="21"/>
      <c r="C16170" s="21"/>
      <c r="D16170" s="21"/>
    </row>
    <row r="16171" spans="1:4" ht="12.75" customHeight="1" x14ac:dyDescent="0.2">
      <c r="A16171" s="20"/>
      <c r="B16171" s="2"/>
      <c r="C16171" s="7"/>
      <c r="D16171" s="7"/>
    </row>
    <row r="16172" spans="1:4" ht="12.75" customHeight="1" x14ac:dyDescent="0.2">
      <c r="A16172" s="21"/>
      <c r="B16172" s="3" t="s">
        <v>0</v>
      </c>
      <c r="C16172" s="23" t="s">
        <v>1207</v>
      </c>
      <c r="D16172" s="21"/>
    </row>
    <row r="16173" spans="1:4" ht="12.75" customHeight="1" x14ac:dyDescent="0.2">
      <c r="A16173" s="21"/>
      <c r="B16173" s="3" t="s">
        <v>2</v>
      </c>
      <c r="C16173" s="23"/>
      <c r="D16173" s="21"/>
    </row>
    <row r="16174" spans="1:4" ht="12.75" customHeight="1" x14ac:dyDescent="0.2">
      <c r="A16174" s="21"/>
      <c r="B16174" s="3" t="s">
        <v>1840</v>
      </c>
      <c r="C16174" s="23" t="s">
        <v>2243</v>
      </c>
      <c r="D16174" s="21"/>
    </row>
    <row r="16175" spans="1:4" ht="12.75" customHeight="1" x14ac:dyDescent="0.2">
      <c r="A16175" s="21"/>
      <c r="B16175" s="3" t="s">
        <v>9</v>
      </c>
      <c r="C16175" s="23" t="s">
        <v>36</v>
      </c>
      <c r="D16175" s="21"/>
    </row>
    <row r="16176" spans="1:4" ht="12.75" customHeight="1" x14ac:dyDescent="0.2">
      <c r="A16176" s="21"/>
      <c r="B16176" s="3" t="s">
        <v>11</v>
      </c>
      <c r="C16176" s="23" t="s">
        <v>2245</v>
      </c>
      <c r="D16176" s="21"/>
    </row>
    <row r="16177" spans="1:4" ht="12.75" customHeight="1" x14ac:dyDescent="0.2">
      <c r="A16177" s="21"/>
      <c r="B16177" s="3" t="s">
        <v>16</v>
      </c>
      <c r="C16177" s="23"/>
      <c r="D16177" s="21"/>
    </row>
    <row r="16178" spans="1:4" ht="12.75" customHeight="1" x14ac:dyDescent="0.2">
      <c r="A16178" s="21"/>
      <c r="B16178" s="3" t="s">
        <v>17</v>
      </c>
      <c r="C16178" s="23" t="s">
        <v>19</v>
      </c>
      <c r="D16178" s="21"/>
    </row>
    <row r="16179" spans="1:4" ht="12.75" customHeight="1" x14ac:dyDescent="0.2">
      <c r="A16179" s="21"/>
      <c r="B16179" s="20" t="s">
        <v>18</v>
      </c>
      <c r="C16179" s="8" t="s">
        <v>44</v>
      </c>
      <c r="D16179" s="1" t="str">
        <f>HYPERLINK("javascript:void(0)","kéregcsizma")</f>
        <v>kéregcsizma</v>
      </c>
    </row>
    <row r="16180" spans="1:4" ht="12.75" customHeight="1" x14ac:dyDescent="0.2">
      <c r="A16180" s="21"/>
      <c r="B16180" s="21"/>
      <c r="C16180" s="8" t="s">
        <v>240</v>
      </c>
      <c r="D16180" s="1" t="str">
        <f>HYPERLINK("javascript:void(0)","kígyópikkely")</f>
        <v>kígyópikkely</v>
      </c>
    </row>
    <row r="16181" spans="1:4" ht="12.75" customHeight="1" x14ac:dyDescent="0.2">
      <c r="A16181" s="21"/>
      <c r="B16181" s="21"/>
      <c r="C16181" s="8" t="s">
        <v>67</v>
      </c>
      <c r="D16181" s="1" t="str">
        <f>HYPERLINK("javascript:void(0)","ectokinézis")</f>
        <v>ectokinézis</v>
      </c>
    </row>
    <row r="16182" spans="1:4" ht="12.75" customHeight="1" x14ac:dyDescent="0.2">
      <c r="A16182" s="21"/>
      <c r="B16182" s="2"/>
      <c r="C16182" s="7"/>
      <c r="D16182" s="7"/>
    </row>
    <row r="16183" spans="1:4" ht="12.75" customHeight="1" x14ac:dyDescent="0.2">
      <c r="A16183" s="21"/>
      <c r="B16183" s="2"/>
      <c r="C16183" s="7"/>
      <c r="D16183" s="7"/>
    </row>
    <row r="16184" spans="1:4" ht="12.75" customHeight="1" x14ac:dyDescent="0.2">
      <c r="A16184" s="21"/>
      <c r="B16184" s="2"/>
      <c r="C16184" s="7"/>
      <c r="D16184" s="7"/>
    </row>
    <row r="16185" spans="1:4" ht="12.75" customHeight="1" x14ac:dyDescent="0.2">
      <c r="A16185" s="21"/>
      <c r="B16185" s="2"/>
      <c r="C16185" s="7"/>
      <c r="D16185" s="7"/>
    </row>
    <row r="16186" spans="1:4" ht="12.75" customHeight="1" x14ac:dyDescent="0.2">
      <c r="A16186" s="5"/>
      <c r="B16186" s="2"/>
      <c r="C16186" s="7"/>
      <c r="D16186" s="7"/>
    </row>
    <row r="16187" spans="1:4" ht="12.75" customHeight="1" x14ac:dyDescent="0.2">
      <c r="A16187" s="22" t="str">
        <f>HYPERLINK("javascript:void(0)","rikító sisak")</f>
        <v>rikító sisak</v>
      </c>
      <c r="B16187" s="21"/>
      <c r="C16187" s="21"/>
      <c r="D16187" s="21"/>
    </row>
    <row r="16188" spans="1:4" ht="12.75" customHeight="1" x14ac:dyDescent="0.2">
      <c r="A16188" s="20"/>
      <c r="B16188" s="2"/>
      <c r="C16188" s="7"/>
      <c r="D16188" s="7"/>
    </row>
    <row r="16189" spans="1:4" ht="12.75" customHeight="1" x14ac:dyDescent="0.2">
      <c r="A16189" s="21"/>
      <c r="B16189" s="3" t="s">
        <v>0</v>
      </c>
      <c r="C16189" s="23" t="s">
        <v>1207</v>
      </c>
      <c r="D16189" s="21"/>
    </row>
    <row r="16190" spans="1:4" ht="12.75" customHeight="1" x14ac:dyDescent="0.2">
      <c r="A16190" s="21"/>
      <c r="B16190" s="3" t="s">
        <v>2</v>
      </c>
      <c r="C16190" s="23"/>
      <c r="D16190" s="21"/>
    </row>
    <row r="16191" spans="1:4" ht="12.75" customHeight="1" x14ac:dyDescent="0.2">
      <c r="A16191" s="21"/>
      <c r="B16191" s="3" t="s">
        <v>1840</v>
      </c>
      <c r="C16191" s="23" t="s">
        <v>285</v>
      </c>
      <c r="D16191" s="21"/>
    </row>
    <row r="16192" spans="1:4" ht="12.75" customHeight="1" x14ac:dyDescent="0.2">
      <c r="A16192" s="21"/>
      <c r="B16192" s="3" t="s">
        <v>9</v>
      </c>
      <c r="C16192" s="23" t="s">
        <v>573</v>
      </c>
      <c r="D16192" s="21"/>
    </row>
    <row r="16193" spans="1:4" ht="12.75" customHeight="1" x14ac:dyDescent="0.2">
      <c r="A16193" s="21"/>
      <c r="B16193" s="3" t="s">
        <v>11</v>
      </c>
      <c r="C16193" s="23" t="s">
        <v>2545</v>
      </c>
      <c r="D16193" s="21"/>
    </row>
    <row r="16194" spans="1:4" ht="12.75" customHeight="1" x14ac:dyDescent="0.2">
      <c r="A16194" s="21"/>
      <c r="B16194" s="3" t="s">
        <v>16</v>
      </c>
      <c r="C16194" s="23"/>
      <c r="D16194" s="21"/>
    </row>
    <row r="16195" spans="1:4" ht="12.75" customHeight="1" x14ac:dyDescent="0.2">
      <c r="A16195" s="21"/>
      <c r="B16195" s="3" t="s">
        <v>17</v>
      </c>
      <c r="C16195" s="23" t="s">
        <v>19</v>
      </c>
      <c r="D16195" s="21"/>
    </row>
    <row r="16196" spans="1:4" ht="12.75" customHeight="1" x14ac:dyDescent="0.2">
      <c r="A16196" s="21"/>
      <c r="B16196" s="20" t="s">
        <v>18</v>
      </c>
      <c r="C16196" s="8" t="s">
        <v>44</v>
      </c>
      <c r="D16196" s="1" t="str">
        <f>HYPERLINK("javascript:void(0)","fánksapka")</f>
        <v>fánksapka</v>
      </c>
    </row>
    <row r="16197" spans="1:4" ht="12.75" customHeight="1" x14ac:dyDescent="0.2">
      <c r="A16197" s="21"/>
      <c r="B16197" s="21"/>
      <c r="C16197" s="8" t="s">
        <v>296</v>
      </c>
      <c r="D16197" s="1" t="str">
        <f>HYPERLINK("javascript:void(0)","kikelet")</f>
        <v>kikelet</v>
      </c>
    </row>
    <row r="16198" spans="1:4" ht="12.75" customHeight="1" x14ac:dyDescent="0.2">
      <c r="A16198" s="21"/>
      <c r="B16198" s="21"/>
      <c r="C16198" s="8" t="s">
        <v>196</v>
      </c>
      <c r="D16198" s="1" t="str">
        <f>HYPERLINK("javascript:void(0)","démonszárny")</f>
        <v>démonszárny</v>
      </c>
    </row>
    <row r="16199" spans="1:4" ht="12.75" customHeight="1" x14ac:dyDescent="0.2">
      <c r="A16199" s="21"/>
      <c r="B16199" s="2"/>
      <c r="C16199" s="7"/>
      <c r="D16199" s="7"/>
    </row>
    <row r="16200" spans="1:4" ht="12.75" customHeight="1" x14ac:dyDescent="0.2">
      <c r="A16200" s="21"/>
      <c r="B16200" s="2"/>
      <c r="C16200" s="7"/>
      <c r="D16200" s="7"/>
    </row>
    <row r="16201" spans="1:4" ht="12.75" customHeight="1" x14ac:dyDescent="0.2">
      <c r="A16201" s="21"/>
      <c r="B16201" s="2"/>
      <c r="C16201" s="7"/>
      <c r="D16201" s="7"/>
    </row>
    <row r="16202" spans="1:4" ht="12.75" customHeight="1" x14ac:dyDescent="0.2">
      <c r="A16202" s="21"/>
      <c r="B16202" s="2"/>
      <c r="C16202" s="7"/>
      <c r="D16202" s="7"/>
    </row>
    <row r="16203" spans="1:4" ht="12.75" customHeight="1" x14ac:dyDescent="0.2">
      <c r="A16203" s="5"/>
      <c r="B16203" s="2"/>
      <c r="C16203" s="7"/>
      <c r="D16203" s="7"/>
    </row>
    <row r="16204" spans="1:4" ht="12.75" customHeight="1" x14ac:dyDescent="0.2">
      <c r="A16204" s="22" t="str">
        <f>HYPERLINK("javascript:void(0)","idegen pajzs")</f>
        <v>idegen pajzs</v>
      </c>
      <c r="B16204" s="21"/>
      <c r="C16204" s="21"/>
      <c r="D16204" s="21"/>
    </row>
    <row r="16205" spans="1:4" ht="12.75" customHeight="1" x14ac:dyDescent="0.2">
      <c r="A16205" s="20"/>
      <c r="B16205" s="2"/>
      <c r="C16205" s="7"/>
      <c r="D16205" s="7"/>
    </row>
    <row r="16206" spans="1:4" ht="12.75" customHeight="1" x14ac:dyDescent="0.2">
      <c r="A16206" s="21"/>
      <c r="B16206" s="3" t="s">
        <v>0</v>
      </c>
      <c r="C16206" s="23" t="s">
        <v>1207</v>
      </c>
      <c r="D16206" s="21"/>
    </row>
    <row r="16207" spans="1:4" ht="12.75" customHeight="1" x14ac:dyDescent="0.2">
      <c r="A16207" s="21"/>
      <c r="B16207" s="3" t="s">
        <v>2</v>
      </c>
      <c r="C16207" s="23" t="s">
        <v>1839</v>
      </c>
      <c r="D16207" s="21"/>
    </row>
    <row r="16208" spans="1:4" ht="12.75" customHeight="1" x14ac:dyDescent="0.2">
      <c r="A16208" s="21"/>
      <c r="B16208" s="3" t="s">
        <v>1840</v>
      </c>
      <c r="C16208" s="23" t="s">
        <v>3302</v>
      </c>
      <c r="D16208" s="21"/>
    </row>
    <row r="16209" spans="1:4" ht="12.75" customHeight="1" x14ac:dyDescent="0.2">
      <c r="A16209" s="21"/>
      <c r="B16209" s="3" t="s">
        <v>9</v>
      </c>
      <c r="C16209" s="23" t="s">
        <v>374</v>
      </c>
      <c r="D16209" s="21"/>
    </row>
    <row r="16210" spans="1:4" ht="12.75" customHeight="1" x14ac:dyDescent="0.2">
      <c r="A16210" s="21"/>
      <c r="B16210" s="3" t="s">
        <v>11</v>
      </c>
      <c r="C16210" s="23" t="s">
        <v>2261</v>
      </c>
      <c r="D16210" s="21"/>
    </row>
    <row r="16211" spans="1:4" ht="12.75" customHeight="1" x14ac:dyDescent="0.2">
      <c r="A16211" s="21"/>
      <c r="B16211" s="3" t="s">
        <v>16</v>
      </c>
      <c r="C16211" s="23"/>
      <c r="D16211" s="21"/>
    </row>
    <row r="16212" spans="1:4" ht="12.75" customHeight="1" x14ac:dyDescent="0.2">
      <c r="A16212" s="21"/>
      <c r="B16212" s="3" t="s">
        <v>17</v>
      </c>
      <c r="C16212" s="23" t="s">
        <v>19</v>
      </c>
      <c r="D16212" s="21"/>
    </row>
    <row r="16213" spans="1:4" ht="12.75" customHeight="1" x14ac:dyDescent="0.2">
      <c r="A16213" s="21"/>
      <c r="B16213" s="20" t="s">
        <v>18</v>
      </c>
      <c r="C16213" s="8" t="s">
        <v>44</v>
      </c>
      <c r="D16213" s="1" t="str">
        <f>HYPERLINK("javascript:void(0)","nehéz pajzs")</f>
        <v>nehéz pajzs</v>
      </c>
    </row>
    <row r="16214" spans="1:4" ht="12.75" customHeight="1" x14ac:dyDescent="0.2">
      <c r="A16214" s="21"/>
      <c r="B16214" s="21"/>
      <c r="C16214" s="8" t="s">
        <v>98</v>
      </c>
      <c r="D16214" s="1" t="str">
        <f>HYPERLINK("javascript:void(0)","idegen ketyere")</f>
        <v>idegen ketyere</v>
      </c>
    </row>
    <row r="16215" spans="1:4" ht="12.75" customHeight="1" x14ac:dyDescent="0.2">
      <c r="A16215" s="21"/>
      <c r="B16215" s="21"/>
      <c r="C16215" s="8" t="s">
        <v>316</v>
      </c>
      <c r="D16215" s="1" t="str">
        <f>HYPERLINK("javascript:void(0)","idegen herkentyű")</f>
        <v>idegen herkentyű</v>
      </c>
    </row>
    <row r="16216" spans="1:4" ht="12.75" customHeight="1" x14ac:dyDescent="0.2">
      <c r="A16216" s="21"/>
      <c r="B16216" s="2"/>
      <c r="C16216" s="7"/>
      <c r="D16216" s="7"/>
    </row>
    <row r="16217" spans="1:4" ht="12.75" customHeight="1" x14ac:dyDescent="0.2">
      <c r="A16217" s="21"/>
      <c r="B16217" s="2"/>
      <c r="C16217" s="7"/>
      <c r="D16217" s="7"/>
    </row>
    <row r="16218" spans="1:4" ht="12.75" customHeight="1" x14ac:dyDescent="0.2">
      <c r="A16218" s="21"/>
      <c r="B16218" s="2"/>
      <c r="C16218" s="7"/>
      <c r="D16218" s="7"/>
    </row>
    <row r="16219" spans="1:4" ht="12.75" customHeight="1" x14ac:dyDescent="0.2">
      <c r="A16219" s="21"/>
      <c r="B16219" s="2"/>
      <c r="C16219" s="7"/>
      <c r="D16219" s="7"/>
    </row>
    <row r="16220" spans="1:4" ht="12.75" customHeight="1" x14ac:dyDescent="0.2">
      <c r="A16220" s="5"/>
      <c r="B16220" s="2"/>
      <c r="C16220" s="7"/>
      <c r="D16220" s="7"/>
    </row>
    <row r="16221" spans="1:4" ht="12.75" customHeight="1" x14ac:dyDescent="0.2">
      <c r="A16221" s="22" t="str">
        <f>HYPERLINK("javascript:void(0)","démonjárta antigrav csizma")</f>
        <v>démonjárta antigrav csizma</v>
      </c>
      <c r="B16221" s="21"/>
      <c r="C16221" s="21"/>
      <c r="D16221" s="21"/>
    </row>
    <row r="16222" spans="1:4" ht="12.75" customHeight="1" x14ac:dyDescent="0.2">
      <c r="A16222" s="20"/>
      <c r="B16222" s="2"/>
      <c r="C16222" s="7"/>
      <c r="D16222" s="7"/>
    </row>
    <row r="16223" spans="1:4" ht="12.75" customHeight="1" x14ac:dyDescent="0.2">
      <c r="A16223" s="21"/>
      <c r="B16223" s="3" t="s">
        <v>0</v>
      </c>
      <c r="C16223" s="23" t="s">
        <v>1207</v>
      </c>
      <c r="D16223" s="21"/>
    </row>
    <row r="16224" spans="1:4" ht="12.75" customHeight="1" x14ac:dyDescent="0.2">
      <c r="A16224" s="21"/>
      <c r="B16224" s="3" t="s">
        <v>2</v>
      </c>
      <c r="C16224" s="23"/>
      <c r="D16224" s="21"/>
    </row>
    <row r="16225" spans="1:4" ht="12.75" customHeight="1" x14ac:dyDescent="0.2">
      <c r="A16225" s="21"/>
      <c r="B16225" s="3" t="s">
        <v>1840</v>
      </c>
      <c r="C16225" s="23" t="s">
        <v>579</v>
      </c>
      <c r="D16225" s="21"/>
    </row>
    <row r="16226" spans="1:4" ht="12.75" customHeight="1" x14ac:dyDescent="0.2">
      <c r="A16226" s="21"/>
      <c r="B16226" s="3" t="s">
        <v>9</v>
      </c>
      <c r="C16226" s="23" t="s">
        <v>626</v>
      </c>
      <c r="D16226" s="21"/>
    </row>
    <row r="16227" spans="1:4" ht="12.75" customHeight="1" x14ac:dyDescent="0.2">
      <c r="A16227" s="21"/>
      <c r="B16227" s="3" t="s">
        <v>11</v>
      </c>
      <c r="C16227" s="23" t="s">
        <v>23</v>
      </c>
      <c r="D16227" s="21"/>
    </row>
    <row r="16228" spans="1:4" ht="12.75" customHeight="1" x14ac:dyDescent="0.2">
      <c r="A16228" s="21"/>
      <c r="B16228" s="3" t="s">
        <v>16</v>
      </c>
      <c r="C16228" s="23"/>
      <c r="D16228" s="21"/>
    </row>
    <row r="16229" spans="1:4" ht="12.75" customHeight="1" x14ac:dyDescent="0.2">
      <c r="A16229" s="21"/>
      <c r="B16229" s="3" t="s">
        <v>17</v>
      </c>
      <c r="C16229" s="23" t="s">
        <v>19</v>
      </c>
      <c r="D16229" s="21"/>
    </row>
    <row r="16230" spans="1:4" ht="25.5" customHeight="1" x14ac:dyDescent="0.2">
      <c r="A16230" s="21"/>
      <c r="B16230" s="20" t="s">
        <v>18</v>
      </c>
      <c r="C16230" s="8" t="s">
        <v>44</v>
      </c>
      <c r="D16230" s="1" t="str">
        <f>HYPERLINK("javascript:void(0)","hangfogó antigrav csizma")</f>
        <v>hangfogó antigrav csizma</v>
      </c>
    </row>
    <row r="16231" spans="1:4" ht="12.75" customHeight="1" x14ac:dyDescent="0.2">
      <c r="A16231" s="21"/>
      <c r="B16231" s="21"/>
      <c r="C16231" s="8" t="s">
        <v>309</v>
      </c>
      <c r="D16231" s="1" t="str">
        <f>HYPERLINK("javascript:void(0)","felhőgyapjú")</f>
        <v>felhőgyapjú</v>
      </c>
    </row>
    <row r="16232" spans="1:4" ht="12.75" customHeight="1" x14ac:dyDescent="0.2">
      <c r="A16232" s="21"/>
      <c r="B16232" s="21"/>
      <c r="C16232" s="8" t="s">
        <v>280</v>
      </c>
      <c r="D16232" s="1" t="str">
        <f>HYPERLINK("javascript:void(0)","démontoll")</f>
        <v>démontoll</v>
      </c>
    </row>
    <row r="16233" spans="1:4" ht="12.75" customHeight="1" x14ac:dyDescent="0.2">
      <c r="A16233" s="21"/>
      <c r="B16233" s="2"/>
      <c r="C16233" s="7"/>
      <c r="D16233" s="7"/>
    </row>
    <row r="16234" spans="1:4" ht="12.75" customHeight="1" x14ac:dyDescent="0.2">
      <c r="A16234" s="21"/>
      <c r="B16234" s="2"/>
      <c r="C16234" s="7"/>
      <c r="D16234" s="7"/>
    </row>
    <row r="16235" spans="1:4" ht="12.75" customHeight="1" x14ac:dyDescent="0.2">
      <c r="A16235" s="21"/>
      <c r="B16235" s="2"/>
      <c r="C16235" s="7"/>
      <c r="D16235" s="7"/>
    </row>
    <row r="16236" spans="1:4" ht="12.75" customHeight="1" x14ac:dyDescent="0.2">
      <c r="A16236" s="21"/>
      <c r="B16236" s="2"/>
      <c r="C16236" s="7"/>
      <c r="D16236" s="7"/>
    </row>
    <row r="16237" spans="1:4" ht="12.75" customHeight="1" x14ac:dyDescent="0.2">
      <c r="A16237" s="5"/>
      <c r="B16237" s="2"/>
      <c r="C16237" s="7"/>
      <c r="D16237" s="7"/>
    </row>
    <row r="16238" spans="1:4" ht="12.75" customHeight="1" x14ac:dyDescent="0.2">
      <c r="A16238" s="22" t="str">
        <f>HYPERLINK("javascript:void(0)","elefántvért")</f>
        <v>elefántvért</v>
      </c>
      <c r="B16238" s="21"/>
      <c r="C16238" s="21"/>
      <c r="D16238" s="21"/>
    </row>
    <row r="16239" spans="1:4" ht="12.75" customHeight="1" x14ac:dyDescent="0.2">
      <c r="A16239" s="20"/>
      <c r="B16239" s="2"/>
      <c r="C16239" s="7"/>
      <c r="D16239" s="7"/>
    </row>
    <row r="16240" spans="1:4" ht="12.75" customHeight="1" x14ac:dyDescent="0.2">
      <c r="A16240" s="21"/>
      <c r="B16240" s="3" t="s">
        <v>0</v>
      </c>
      <c r="C16240" s="23" t="s">
        <v>1213</v>
      </c>
      <c r="D16240" s="21"/>
    </row>
    <row r="16241" spans="1:4" ht="12.75" customHeight="1" x14ac:dyDescent="0.2">
      <c r="A16241" s="21"/>
      <c r="B16241" s="3" t="s">
        <v>2</v>
      </c>
      <c r="C16241" s="23" t="s">
        <v>2322</v>
      </c>
      <c r="D16241" s="21"/>
    </row>
    <row r="16242" spans="1:4" ht="12.75" customHeight="1" x14ac:dyDescent="0.2">
      <c r="A16242" s="21"/>
      <c r="B16242" s="3" t="s">
        <v>1840</v>
      </c>
      <c r="C16242" s="23" t="s">
        <v>2543</v>
      </c>
      <c r="D16242" s="21"/>
    </row>
    <row r="16243" spans="1:4" ht="12.75" customHeight="1" x14ac:dyDescent="0.2">
      <c r="A16243" s="21"/>
      <c r="B16243" s="3" t="s">
        <v>9</v>
      </c>
      <c r="C16243" s="23" t="s">
        <v>366</v>
      </c>
      <c r="D16243" s="21"/>
    </row>
    <row r="16244" spans="1:4" ht="12.75" customHeight="1" x14ac:dyDescent="0.2">
      <c r="A16244" s="21"/>
      <c r="B16244" s="3" t="s">
        <v>11</v>
      </c>
      <c r="C16244" s="23" t="s">
        <v>2545</v>
      </c>
      <c r="D16244" s="21"/>
    </row>
    <row r="16245" spans="1:4" ht="12.75" customHeight="1" x14ac:dyDescent="0.2">
      <c r="A16245" s="21"/>
      <c r="B16245" s="3" t="s">
        <v>16</v>
      </c>
      <c r="C16245" s="23"/>
      <c r="D16245" s="21"/>
    </row>
    <row r="16246" spans="1:4" ht="12.75" customHeight="1" x14ac:dyDescent="0.2">
      <c r="A16246" s="21"/>
      <c r="B16246" s="3" t="s">
        <v>17</v>
      </c>
      <c r="C16246" s="23" t="s">
        <v>19</v>
      </c>
      <c r="D16246" s="21"/>
    </row>
    <row r="16247" spans="1:4" ht="12.75" customHeight="1" x14ac:dyDescent="0.2">
      <c r="A16247" s="21"/>
      <c r="B16247" s="20" t="s">
        <v>18</v>
      </c>
      <c r="C16247" s="8" t="s">
        <v>55</v>
      </c>
      <c r="D16247" s="1" t="str">
        <f>HYPERLINK("javascript:void(0)","elefántcsont")</f>
        <v>elefántcsont</v>
      </c>
    </row>
    <row r="16248" spans="1:4" ht="12.75" customHeight="1" x14ac:dyDescent="0.2">
      <c r="A16248" s="21"/>
      <c r="B16248" s="21"/>
      <c r="C16248" s="8" t="s">
        <v>44</v>
      </c>
      <c r="D16248" s="1" t="str">
        <f>HYPERLINK("javascript:void(0)","idegen teljes vért")</f>
        <v>idegen teljes vért</v>
      </c>
    </row>
    <row r="16249" spans="1:4" ht="12.75" customHeight="1" x14ac:dyDescent="0.2">
      <c r="A16249" s="21"/>
      <c r="B16249" s="21"/>
      <c r="C16249" s="8" t="s">
        <v>68</v>
      </c>
      <c r="D16249" s="1" t="str">
        <f>HYPERLINK("javascript:void(0)","píszkereszt")</f>
        <v>píszkereszt</v>
      </c>
    </row>
    <row r="16250" spans="1:4" ht="12.75" customHeight="1" x14ac:dyDescent="0.2">
      <c r="A16250" s="21"/>
      <c r="B16250" s="2"/>
      <c r="C16250" s="7"/>
      <c r="D16250" s="7"/>
    </row>
    <row r="16251" spans="1:4" ht="12.75" customHeight="1" x14ac:dyDescent="0.2">
      <c r="A16251" s="21"/>
      <c r="B16251" s="2"/>
      <c r="C16251" s="7"/>
      <c r="D16251" s="7"/>
    </row>
    <row r="16252" spans="1:4" ht="12.75" customHeight="1" x14ac:dyDescent="0.2">
      <c r="A16252" s="21"/>
      <c r="B16252" s="2"/>
      <c r="C16252" s="7"/>
      <c r="D16252" s="7"/>
    </row>
    <row r="16253" spans="1:4" ht="12.75" customHeight="1" x14ac:dyDescent="0.2">
      <c r="A16253" s="21"/>
      <c r="B16253" s="2"/>
      <c r="C16253" s="7"/>
      <c r="D16253" s="7"/>
    </row>
    <row r="16254" spans="1:4" ht="12.75" customHeight="1" x14ac:dyDescent="0.2">
      <c r="A16254" s="5"/>
      <c r="B16254" s="2"/>
      <c r="C16254" s="7"/>
      <c r="D16254" s="7"/>
    </row>
    <row r="16255" spans="1:4" ht="12.75" customHeight="1" x14ac:dyDescent="0.2">
      <c r="A16255" s="22" t="str">
        <f>HYPERLINK("javascript:void(0)","lombkorona")</f>
        <v>lombkorona</v>
      </c>
      <c r="B16255" s="21"/>
      <c r="C16255" s="21"/>
      <c r="D16255" s="21"/>
    </row>
    <row r="16256" spans="1:4" ht="12.75" customHeight="1" x14ac:dyDescent="0.2">
      <c r="A16256" s="20"/>
      <c r="B16256" s="2"/>
      <c r="C16256" s="7"/>
      <c r="D16256" s="7"/>
    </row>
    <row r="16257" spans="1:4" ht="12.75" customHeight="1" x14ac:dyDescent="0.2">
      <c r="A16257" s="21"/>
      <c r="B16257" s="3" t="s">
        <v>0</v>
      </c>
      <c r="C16257" s="23" t="s">
        <v>1213</v>
      </c>
      <c r="D16257" s="21"/>
    </row>
    <row r="16258" spans="1:4" ht="12.75" customHeight="1" x14ac:dyDescent="0.2">
      <c r="A16258" s="21"/>
      <c r="B16258" s="3" t="s">
        <v>2</v>
      </c>
      <c r="C16258" s="23"/>
      <c r="D16258" s="21"/>
    </row>
    <row r="16259" spans="1:4" ht="12.75" customHeight="1" x14ac:dyDescent="0.2">
      <c r="A16259" s="21"/>
      <c r="B16259" s="3" t="s">
        <v>1840</v>
      </c>
      <c r="C16259" s="23" t="s">
        <v>3844</v>
      </c>
      <c r="D16259" s="21"/>
    </row>
    <row r="16260" spans="1:4" ht="12.75" customHeight="1" x14ac:dyDescent="0.2">
      <c r="A16260" s="21"/>
      <c r="B16260" s="3" t="s">
        <v>9</v>
      </c>
      <c r="C16260" s="23" t="s">
        <v>374</v>
      </c>
      <c r="D16260" s="21"/>
    </row>
    <row r="16261" spans="1:4" ht="12.75" customHeight="1" x14ac:dyDescent="0.2">
      <c r="A16261" s="21"/>
      <c r="B16261" s="3" t="s">
        <v>11</v>
      </c>
      <c r="C16261" s="23" t="s">
        <v>5878</v>
      </c>
      <c r="D16261" s="21"/>
    </row>
    <row r="16262" spans="1:4" ht="12.75" customHeight="1" x14ac:dyDescent="0.2">
      <c r="A16262" s="21"/>
      <c r="B16262" s="3" t="s">
        <v>16</v>
      </c>
      <c r="C16262" s="23"/>
      <c r="D16262" s="21"/>
    </row>
    <row r="16263" spans="1:4" ht="12.75" customHeight="1" x14ac:dyDescent="0.2">
      <c r="A16263" s="21"/>
      <c r="B16263" s="3" t="s">
        <v>17</v>
      </c>
      <c r="C16263" s="23" t="s">
        <v>19</v>
      </c>
      <c r="D16263" s="21"/>
    </row>
    <row r="16264" spans="1:4" ht="12.75" customHeight="1" x14ac:dyDescent="0.2">
      <c r="A16264" s="21"/>
      <c r="B16264" s="20" t="s">
        <v>18</v>
      </c>
      <c r="C16264" s="8" t="s">
        <v>44</v>
      </c>
      <c r="D16264" s="1" t="str">
        <f>HYPERLINK("javascript:void(0)","rikító sisak")</f>
        <v>rikító sisak</v>
      </c>
    </row>
    <row r="16265" spans="1:4" ht="12.75" customHeight="1" x14ac:dyDescent="0.2">
      <c r="A16265" s="21"/>
      <c r="B16265" s="21"/>
      <c r="C16265" s="8" t="s">
        <v>228</v>
      </c>
      <c r="D16265" s="1" t="str">
        <f>HYPERLINK("javascript:void(0)","lomb")</f>
        <v>lomb</v>
      </c>
    </row>
    <row r="16266" spans="1:4" ht="12.75" customHeight="1" x14ac:dyDescent="0.2">
      <c r="A16266" s="21"/>
      <c r="B16266" s="21"/>
      <c r="C16266" s="8" t="s">
        <v>57</v>
      </c>
      <c r="D16266" s="1" t="str">
        <f>HYPERLINK("javascript:void(0)","elefántcsont")</f>
        <v>elefántcsont</v>
      </c>
    </row>
    <row r="16267" spans="1:4" ht="12.75" customHeight="1" x14ac:dyDescent="0.2">
      <c r="A16267" s="21"/>
      <c r="B16267" s="2"/>
      <c r="C16267" s="7"/>
      <c r="D16267" s="7"/>
    </row>
    <row r="16268" spans="1:4" ht="12.75" customHeight="1" x14ac:dyDescent="0.2">
      <c r="A16268" s="21"/>
      <c r="B16268" s="2"/>
      <c r="C16268" s="7"/>
      <c r="D16268" s="7"/>
    </row>
    <row r="16269" spans="1:4" ht="12.75" customHeight="1" x14ac:dyDescent="0.2">
      <c r="A16269" s="21"/>
      <c r="B16269" s="2"/>
      <c r="C16269" s="7"/>
      <c r="D16269" s="7"/>
    </row>
    <row r="16270" spans="1:4" ht="12.75" customHeight="1" x14ac:dyDescent="0.2">
      <c r="A16270" s="21"/>
      <c r="B16270" s="2"/>
      <c r="C16270" s="7"/>
      <c r="D16270" s="7"/>
    </row>
    <row r="16271" spans="1:4" ht="12.75" customHeight="1" x14ac:dyDescent="0.2">
      <c r="A16271" s="5"/>
      <c r="B16271" s="2"/>
      <c r="C16271" s="7"/>
      <c r="D16271" s="7"/>
    </row>
    <row r="16272" spans="1:4" ht="12.75" customHeight="1" x14ac:dyDescent="0.2">
      <c r="A16272" s="22" t="str">
        <f>HYPERLINK("javascript:void(0)","pékcsizma")</f>
        <v>pékcsizma</v>
      </c>
      <c r="B16272" s="21"/>
      <c r="C16272" s="21"/>
      <c r="D16272" s="21"/>
    </row>
    <row r="16273" spans="1:4" ht="12.75" customHeight="1" x14ac:dyDescent="0.2">
      <c r="A16273" s="20"/>
      <c r="B16273" s="2"/>
      <c r="C16273" s="7"/>
      <c r="D16273" s="7"/>
    </row>
    <row r="16274" spans="1:4" ht="12.75" customHeight="1" x14ac:dyDescent="0.2">
      <c r="A16274" s="21"/>
      <c r="B16274" s="3" t="s">
        <v>0</v>
      </c>
      <c r="C16274" s="23" t="s">
        <v>1213</v>
      </c>
      <c r="D16274" s="21"/>
    </row>
    <row r="16275" spans="1:4" ht="12.75" customHeight="1" x14ac:dyDescent="0.2">
      <c r="A16275" s="21"/>
      <c r="B16275" s="3" t="s">
        <v>2</v>
      </c>
      <c r="C16275" s="23"/>
      <c r="D16275" s="21"/>
    </row>
    <row r="16276" spans="1:4" ht="12.75" customHeight="1" x14ac:dyDescent="0.2">
      <c r="A16276" s="21"/>
      <c r="B16276" s="3" t="s">
        <v>1840</v>
      </c>
      <c r="C16276" s="23" t="s">
        <v>2251</v>
      </c>
      <c r="D16276" s="21"/>
    </row>
    <row r="16277" spans="1:4" ht="12.75" customHeight="1" x14ac:dyDescent="0.2">
      <c r="A16277" s="21"/>
      <c r="B16277" s="3" t="s">
        <v>9</v>
      </c>
      <c r="C16277" s="23" t="s">
        <v>962</v>
      </c>
      <c r="D16277" s="21"/>
    </row>
    <row r="16278" spans="1:4" ht="12.75" customHeight="1" x14ac:dyDescent="0.2">
      <c r="A16278" s="21"/>
      <c r="B16278" s="3" t="s">
        <v>11</v>
      </c>
      <c r="C16278" s="23" t="s">
        <v>2252</v>
      </c>
      <c r="D16278" s="21"/>
    </row>
    <row r="16279" spans="1:4" ht="12.75" customHeight="1" x14ac:dyDescent="0.2">
      <c r="A16279" s="21"/>
      <c r="B16279" s="3" t="s">
        <v>16</v>
      </c>
      <c r="C16279" s="23"/>
      <c r="D16279" s="21"/>
    </row>
    <row r="16280" spans="1:4" ht="12.75" customHeight="1" x14ac:dyDescent="0.2">
      <c r="A16280" s="21"/>
      <c r="B16280" s="3" t="s">
        <v>17</v>
      </c>
      <c r="C16280" s="23" t="s">
        <v>19</v>
      </c>
      <c r="D16280" s="21"/>
    </row>
    <row r="16281" spans="1:4" ht="12.75" customHeight="1" x14ac:dyDescent="0.2">
      <c r="A16281" s="21"/>
      <c r="B16281" s="20" t="s">
        <v>18</v>
      </c>
      <c r="C16281" s="8" t="s">
        <v>77</v>
      </c>
      <c r="D16281" s="1" t="str">
        <f>HYPERLINK("javascript:void(0)","fatális hiba")</f>
        <v>fatális hiba</v>
      </c>
    </row>
    <row r="16282" spans="1:4" ht="12.75" customHeight="1" x14ac:dyDescent="0.2">
      <c r="A16282" s="21"/>
      <c r="B16282" s="21"/>
      <c r="C16282" s="8" t="s">
        <v>44</v>
      </c>
      <c r="D16282" s="1" t="str">
        <f>HYPERLINK("javascript:void(0)","kígyócsizma")</f>
        <v>kígyócsizma</v>
      </c>
    </row>
    <row r="16283" spans="1:4" ht="12.75" customHeight="1" x14ac:dyDescent="0.2">
      <c r="A16283" s="21"/>
      <c r="B16283" s="21"/>
      <c r="C16283" s="8" t="s">
        <v>240</v>
      </c>
      <c r="D16283" s="1" t="str">
        <f>HYPERLINK("javascript:void(0)","kenyérhéj")</f>
        <v>kenyérhéj</v>
      </c>
    </row>
    <row r="16284" spans="1:4" ht="12.75" customHeight="1" x14ac:dyDescent="0.2">
      <c r="A16284" s="21"/>
      <c r="B16284" s="2"/>
      <c r="C16284" s="7"/>
      <c r="D16284" s="7"/>
    </row>
    <row r="16285" spans="1:4" ht="12.75" customHeight="1" x14ac:dyDescent="0.2">
      <c r="A16285" s="21"/>
      <c r="B16285" s="2"/>
      <c r="C16285" s="7"/>
      <c r="D16285" s="7"/>
    </row>
    <row r="16286" spans="1:4" ht="12.75" customHeight="1" x14ac:dyDescent="0.2">
      <c r="A16286" s="21"/>
      <c r="B16286" s="2"/>
      <c r="C16286" s="7"/>
      <c r="D16286" s="7"/>
    </row>
    <row r="16287" spans="1:4" ht="12.75" customHeight="1" x14ac:dyDescent="0.2">
      <c r="A16287" s="21"/>
      <c r="B16287" s="2"/>
      <c r="C16287" s="7"/>
      <c r="D16287" s="7"/>
    </row>
    <row r="16288" spans="1:4" ht="12.75" customHeight="1" x14ac:dyDescent="0.2">
      <c r="A16288" s="5"/>
      <c r="B16288" s="2"/>
      <c r="C16288" s="7"/>
      <c r="D16288" s="7"/>
    </row>
    <row r="16289" spans="1:4" ht="12.75" customHeight="1" x14ac:dyDescent="0.2">
      <c r="A16289" s="22" t="str">
        <f>HYPERLINK("javascript:void(0)","csontos kispajzs")</f>
        <v>csontos kispajzs</v>
      </c>
      <c r="B16289" s="21"/>
      <c r="C16289" s="21"/>
      <c r="D16289" s="21"/>
    </row>
    <row r="16290" spans="1:4" ht="12.75" customHeight="1" x14ac:dyDescent="0.2">
      <c r="A16290" s="20"/>
      <c r="B16290" s="2"/>
      <c r="C16290" s="7"/>
      <c r="D16290" s="7"/>
    </row>
    <row r="16291" spans="1:4" ht="12.75" customHeight="1" x14ac:dyDescent="0.2">
      <c r="A16291" s="21"/>
      <c r="B16291" s="3" t="s">
        <v>0</v>
      </c>
      <c r="C16291" s="23" t="s">
        <v>1213</v>
      </c>
      <c r="D16291" s="21"/>
    </row>
    <row r="16292" spans="1:4" ht="12.75" customHeight="1" x14ac:dyDescent="0.2">
      <c r="A16292" s="21"/>
      <c r="B16292" s="3" t="s">
        <v>2</v>
      </c>
      <c r="C16292" s="23" t="s">
        <v>1839</v>
      </c>
      <c r="D16292" s="21"/>
    </row>
    <row r="16293" spans="1:4" ht="12.75" customHeight="1" x14ac:dyDescent="0.2">
      <c r="A16293" s="21"/>
      <c r="B16293" s="3" t="s">
        <v>1840</v>
      </c>
      <c r="C16293" s="23" t="s">
        <v>5885</v>
      </c>
      <c r="D16293" s="21"/>
    </row>
    <row r="16294" spans="1:4" ht="12.75" customHeight="1" x14ac:dyDescent="0.2">
      <c r="A16294" s="21"/>
      <c r="B16294" s="3" t="s">
        <v>9</v>
      </c>
      <c r="C16294" s="23" t="s">
        <v>169</v>
      </c>
      <c r="D16294" s="21"/>
    </row>
    <row r="16295" spans="1:4" ht="12.75" customHeight="1" x14ac:dyDescent="0.2">
      <c r="A16295" s="21"/>
      <c r="B16295" s="3" t="s">
        <v>11</v>
      </c>
      <c r="C16295" s="23" t="s">
        <v>5886</v>
      </c>
      <c r="D16295" s="21"/>
    </row>
    <row r="16296" spans="1:4" ht="12.75" customHeight="1" x14ac:dyDescent="0.2">
      <c r="A16296" s="21"/>
      <c r="B16296" s="3" t="s">
        <v>16</v>
      </c>
      <c r="C16296" s="23"/>
      <c r="D16296" s="21"/>
    </row>
    <row r="16297" spans="1:4" ht="12.75" customHeight="1" x14ac:dyDescent="0.2">
      <c r="A16297" s="21"/>
      <c r="B16297" s="3" t="s">
        <v>17</v>
      </c>
      <c r="C16297" s="23" t="s">
        <v>19</v>
      </c>
      <c r="D16297" s="21"/>
    </row>
    <row r="16298" spans="1:4" ht="12.75" customHeight="1" x14ac:dyDescent="0.2">
      <c r="A16298" s="21"/>
      <c r="B16298" s="20" t="s">
        <v>18</v>
      </c>
      <c r="C16298" s="8" t="s">
        <v>44</v>
      </c>
      <c r="D16298" s="1" t="str">
        <f>HYPERLINK("javascript:void(0)","idegen pajzs")</f>
        <v>idegen pajzs</v>
      </c>
    </row>
    <row r="16299" spans="1:4" ht="12.75" customHeight="1" x14ac:dyDescent="0.2">
      <c r="A16299" s="21"/>
      <c r="B16299" s="21"/>
      <c r="C16299" s="8" t="s">
        <v>232</v>
      </c>
      <c r="D16299" s="1" t="str">
        <f>HYPERLINK("javascript:void(0)","elefántcsont")</f>
        <v>elefántcsont</v>
      </c>
    </row>
    <row r="16300" spans="1:4" ht="12.75" customHeight="1" x14ac:dyDescent="0.2">
      <c r="A16300" s="21"/>
      <c r="B16300" s="21"/>
      <c r="C16300" s="8" t="s">
        <v>102</v>
      </c>
      <c r="D16300" s="1" t="str">
        <f>HYPERLINK("javascript:void(0)","píszkereszt")</f>
        <v>píszkereszt</v>
      </c>
    </row>
    <row r="16301" spans="1:4" ht="12.75" customHeight="1" x14ac:dyDescent="0.2">
      <c r="A16301" s="21"/>
      <c r="B16301" s="2"/>
      <c r="C16301" s="7"/>
      <c r="D16301" s="7"/>
    </row>
    <row r="16302" spans="1:4" ht="12.75" customHeight="1" x14ac:dyDescent="0.2">
      <c r="A16302" s="21"/>
      <c r="B16302" s="2"/>
      <c r="C16302" s="7"/>
      <c r="D16302" s="7"/>
    </row>
    <row r="16303" spans="1:4" ht="12.75" customHeight="1" x14ac:dyDescent="0.2">
      <c r="A16303" s="21"/>
      <c r="B16303" s="2"/>
      <c r="C16303" s="7"/>
      <c r="D16303" s="7"/>
    </row>
    <row r="16304" spans="1:4" ht="12.75" customHeight="1" x14ac:dyDescent="0.2">
      <c r="A16304" s="21"/>
      <c r="B16304" s="2"/>
      <c r="C16304" s="7"/>
      <c r="D16304" s="7"/>
    </row>
    <row r="16305" spans="1:4" ht="12.75" customHeight="1" x14ac:dyDescent="0.2">
      <c r="A16305" s="5"/>
      <c r="B16305" s="2"/>
      <c r="C16305" s="7"/>
      <c r="D16305" s="7"/>
    </row>
    <row r="16306" spans="1:4" ht="12.75" customHeight="1" x14ac:dyDescent="0.2">
      <c r="A16306" s="22" t="str">
        <f>HYPERLINK("javascript:void(0)","csillámló manópajzs")</f>
        <v>csillámló manópajzs</v>
      </c>
      <c r="B16306" s="21"/>
      <c r="C16306" s="21"/>
      <c r="D16306" s="21"/>
    </row>
    <row r="16307" spans="1:4" ht="12.75" customHeight="1" x14ac:dyDescent="0.2">
      <c r="A16307" s="20"/>
      <c r="B16307" s="2"/>
      <c r="C16307" s="7"/>
      <c r="D16307" s="7"/>
    </row>
    <row r="16308" spans="1:4" ht="12.75" customHeight="1" x14ac:dyDescent="0.2">
      <c r="A16308" s="21"/>
      <c r="B16308" s="3" t="s">
        <v>0</v>
      </c>
      <c r="C16308" s="23" t="s">
        <v>230</v>
      </c>
      <c r="D16308" s="21"/>
    </row>
    <row r="16309" spans="1:4" ht="12.75" customHeight="1" x14ac:dyDescent="0.2">
      <c r="A16309" s="21"/>
      <c r="B16309" s="3" t="s">
        <v>2</v>
      </c>
      <c r="C16309" s="23" t="s">
        <v>1839</v>
      </c>
      <c r="D16309" s="21"/>
    </row>
    <row r="16310" spans="1:4" ht="12.75" customHeight="1" x14ac:dyDescent="0.2">
      <c r="A16310" s="21"/>
      <c r="B16310" s="3" t="s">
        <v>1840</v>
      </c>
      <c r="C16310" s="23" t="s">
        <v>2923</v>
      </c>
      <c r="D16310" s="21"/>
    </row>
    <row r="16311" spans="1:4" ht="12.75" customHeight="1" x14ac:dyDescent="0.2">
      <c r="A16311" s="21"/>
      <c r="B16311" s="3" t="s">
        <v>9</v>
      </c>
      <c r="C16311" s="23" t="s">
        <v>5892</v>
      </c>
      <c r="D16311" s="21"/>
    </row>
    <row r="16312" spans="1:4" ht="12.75" customHeight="1" x14ac:dyDescent="0.2">
      <c r="A16312" s="21"/>
      <c r="B16312" s="3" t="s">
        <v>11</v>
      </c>
      <c r="C16312" s="23" t="s">
        <v>2261</v>
      </c>
      <c r="D16312" s="21"/>
    </row>
    <row r="16313" spans="1:4" ht="12.75" customHeight="1" x14ac:dyDescent="0.2">
      <c r="A16313" s="21"/>
      <c r="B16313" s="3" t="s">
        <v>16</v>
      </c>
      <c r="C16313" s="23"/>
      <c r="D16313" s="21"/>
    </row>
    <row r="16314" spans="1:4" ht="12.75" customHeight="1" x14ac:dyDescent="0.2">
      <c r="A16314" s="21"/>
      <c r="B16314" s="3" t="s">
        <v>17</v>
      </c>
      <c r="C16314" s="23" t="s">
        <v>19</v>
      </c>
      <c r="D16314" s="21"/>
    </row>
    <row r="16315" spans="1:4" ht="12.75" customHeight="1" x14ac:dyDescent="0.2">
      <c r="A16315" s="21"/>
      <c r="B16315" s="20" t="s">
        <v>18</v>
      </c>
      <c r="C16315" s="8" t="s">
        <v>57</v>
      </c>
      <c r="D16315" s="1" t="str">
        <f>HYPERLINK("javascript:void(0)","csillámgöb")</f>
        <v>csillámgöb</v>
      </c>
    </row>
    <row r="16316" spans="1:4" ht="12.75" customHeight="1" x14ac:dyDescent="0.2">
      <c r="A16316" s="21"/>
      <c r="B16316" s="21"/>
      <c r="C16316" s="8" t="s">
        <v>44</v>
      </c>
      <c r="D16316" s="1" t="str">
        <f>HYPERLINK("javascript:void(0)","csillámló pengepajzs")</f>
        <v>csillámló pengepajzs</v>
      </c>
    </row>
    <row r="16317" spans="1:4" ht="12.75" customHeight="1" x14ac:dyDescent="0.2">
      <c r="A16317" s="21"/>
      <c r="B16317" s="21"/>
      <c r="C16317" s="8" t="s">
        <v>1389</v>
      </c>
      <c r="D16317" s="1" t="str">
        <f>HYPERLINK("javascript:void(0)","goblinbatka")</f>
        <v>goblinbatka</v>
      </c>
    </row>
    <row r="16318" spans="1:4" ht="12.75" customHeight="1" x14ac:dyDescent="0.2">
      <c r="A16318" s="21"/>
      <c r="B16318" s="2"/>
      <c r="C16318" s="7"/>
      <c r="D16318" s="7"/>
    </row>
    <row r="16319" spans="1:4" ht="12.75" customHeight="1" x14ac:dyDescent="0.2">
      <c r="A16319" s="21"/>
      <c r="B16319" s="2"/>
      <c r="C16319" s="7"/>
      <c r="D16319" s="7"/>
    </row>
    <row r="16320" spans="1:4" ht="12.75" customHeight="1" x14ac:dyDescent="0.2">
      <c r="A16320" s="21"/>
      <c r="B16320" s="2"/>
      <c r="C16320" s="7"/>
      <c r="D16320" s="7"/>
    </row>
    <row r="16321" spans="1:4" ht="12.75" customHeight="1" x14ac:dyDescent="0.2">
      <c r="A16321" s="21"/>
      <c r="B16321" s="2"/>
      <c r="C16321" s="7"/>
      <c r="D16321" s="7"/>
    </row>
    <row r="16322" spans="1:4" ht="12.75" customHeight="1" x14ac:dyDescent="0.2">
      <c r="A16322" s="5"/>
      <c r="B16322" s="2"/>
      <c r="C16322" s="7"/>
      <c r="D16322" s="7"/>
    </row>
    <row r="16323" spans="1:4" ht="12.75" customHeight="1" x14ac:dyDescent="0.2">
      <c r="A16323" s="22" t="str">
        <f>HYPERLINK("javascript:void(0)","csillámló manócsizma")</f>
        <v>csillámló manócsizma</v>
      </c>
      <c r="B16323" s="21"/>
      <c r="C16323" s="21"/>
      <c r="D16323" s="21"/>
    </row>
    <row r="16324" spans="1:4" ht="12.75" customHeight="1" x14ac:dyDescent="0.2">
      <c r="A16324" s="20"/>
      <c r="B16324" s="2"/>
      <c r="C16324" s="7"/>
      <c r="D16324" s="7"/>
    </row>
    <row r="16325" spans="1:4" ht="12.75" customHeight="1" x14ac:dyDescent="0.2">
      <c r="A16325" s="21"/>
      <c r="B16325" s="3" t="s">
        <v>0</v>
      </c>
      <c r="C16325" s="23" t="s">
        <v>230</v>
      </c>
      <c r="D16325" s="21"/>
    </row>
    <row r="16326" spans="1:4" ht="12.75" customHeight="1" x14ac:dyDescent="0.2">
      <c r="A16326" s="21"/>
      <c r="B16326" s="3" t="s">
        <v>2</v>
      </c>
      <c r="C16326" s="23"/>
      <c r="D16326" s="21"/>
    </row>
    <row r="16327" spans="1:4" ht="12.75" customHeight="1" x14ac:dyDescent="0.2">
      <c r="A16327" s="21"/>
      <c r="B16327" s="3" t="s">
        <v>1840</v>
      </c>
      <c r="C16327" s="23" t="s">
        <v>1823</v>
      </c>
      <c r="D16327" s="21"/>
    </row>
    <row r="16328" spans="1:4" ht="12.75" customHeight="1" x14ac:dyDescent="0.2">
      <c r="A16328" s="21"/>
      <c r="B16328" s="3" t="s">
        <v>9</v>
      </c>
      <c r="C16328" s="23" t="s">
        <v>2253</v>
      </c>
      <c r="D16328" s="21"/>
    </row>
    <row r="16329" spans="1:4" ht="12.75" customHeight="1" x14ac:dyDescent="0.2">
      <c r="A16329" s="21"/>
      <c r="B16329" s="3" t="s">
        <v>11</v>
      </c>
      <c r="C16329" s="23" t="s">
        <v>2245</v>
      </c>
      <c r="D16329" s="21"/>
    </row>
    <row r="16330" spans="1:4" ht="12.75" customHeight="1" x14ac:dyDescent="0.2">
      <c r="A16330" s="21"/>
      <c r="B16330" s="3" t="s">
        <v>16</v>
      </c>
      <c r="C16330" s="23"/>
      <c r="D16330" s="21"/>
    </row>
    <row r="16331" spans="1:4" ht="12.75" customHeight="1" x14ac:dyDescent="0.2">
      <c r="A16331" s="21"/>
      <c r="B16331" s="3" t="s">
        <v>17</v>
      </c>
      <c r="C16331" s="23" t="s">
        <v>19</v>
      </c>
      <c r="D16331" s="21"/>
    </row>
    <row r="16332" spans="1:4" ht="12.75" customHeight="1" x14ac:dyDescent="0.2">
      <c r="A16332" s="21"/>
      <c r="B16332" s="20" t="s">
        <v>18</v>
      </c>
      <c r="C16332" s="8" t="s">
        <v>57</v>
      </c>
      <c r="D16332" s="1" t="str">
        <f>HYPERLINK("javascript:void(0)","csillámgöb")</f>
        <v>csillámgöb</v>
      </c>
    </row>
    <row r="16333" spans="1:4" ht="25.5" customHeight="1" x14ac:dyDescent="0.2">
      <c r="A16333" s="21"/>
      <c r="B16333" s="21"/>
      <c r="C16333" s="8" t="s">
        <v>44</v>
      </c>
      <c r="D16333" s="1" t="str">
        <f>HYPERLINK("javascript:void(0)","csillámló pengecsizma")</f>
        <v>csillámló pengecsizma</v>
      </c>
    </row>
    <row r="16334" spans="1:4" ht="12.75" customHeight="1" x14ac:dyDescent="0.2">
      <c r="A16334" s="21"/>
      <c r="B16334" s="21"/>
      <c r="C16334" s="8" t="s">
        <v>398</v>
      </c>
      <c r="D16334" s="1" t="str">
        <f>HYPERLINK("javascript:void(0)","melegige")</f>
        <v>melegige</v>
      </c>
    </row>
    <row r="16335" spans="1:4" ht="12.75" customHeight="1" x14ac:dyDescent="0.2">
      <c r="A16335" s="21"/>
      <c r="B16335" s="2"/>
      <c r="C16335" s="7"/>
      <c r="D16335" s="7"/>
    </row>
    <row r="16336" spans="1:4" ht="12.75" customHeight="1" x14ac:dyDescent="0.2">
      <c r="A16336" s="21"/>
      <c r="B16336" s="2"/>
      <c r="C16336" s="7"/>
      <c r="D16336" s="7"/>
    </row>
    <row r="16337" spans="1:4" ht="12.75" customHeight="1" x14ac:dyDescent="0.2">
      <c r="A16337" s="21"/>
      <c r="B16337" s="2"/>
      <c r="C16337" s="7"/>
      <c r="D16337" s="7"/>
    </row>
    <row r="16338" spans="1:4" ht="12.75" customHeight="1" x14ac:dyDescent="0.2">
      <c r="A16338" s="21"/>
      <c r="B16338" s="2"/>
      <c r="C16338" s="7"/>
      <c r="D16338" s="7"/>
    </row>
    <row r="16339" spans="1:4" ht="12.75" customHeight="1" x14ac:dyDescent="0.2">
      <c r="A16339" s="5"/>
      <c r="B16339" s="2"/>
      <c r="C16339" s="7"/>
      <c r="D16339" s="7"/>
    </row>
    <row r="16340" spans="1:4" ht="12.75" customHeight="1" x14ac:dyDescent="0.2">
      <c r="A16340" s="22" t="str">
        <f>HYPERLINK("javascript:void(0)","csillámos manósisak")</f>
        <v>csillámos manósisak</v>
      </c>
      <c r="B16340" s="21"/>
      <c r="C16340" s="21"/>
      <c r="D16340" s="21"/>
    </row>
    <row r="16341" spans="1:4" ht="12.75" customHeight="1" x14ac:dyDescent="0.2">
      <c r="A16341" s="20"/>
      <c r="B16341" s="2"/>
      <c r="C16341" s="7"/>
      <c r="D16341" s="7"/>
    </row>
    <row r="16342" spans="1:4" ht="12.75" customHeight="1" x14ac:dyDescent="0.2">
      <c r="A16342" s="21"/>
      <c r="B16342" s="3" t="s">
        <v>0</v>
      </c>
      <c r="C16342" s="23" t="s">
        <v>230</v>
      </c>
      <c r="D16342" s="21"/>
    </row>
    <row r="16343" spans="1:4" ht="12.75" customHeight="1" x14ac:dyDescent="0.2">
      <c r="A16343" s="21"/>
      <c r="B16343" s="3" t="s">
        <v>2</v>
      </c>
      <c r="C16343" s="23"/>
      <c r="D16343" s="21"/>
    </row>
    <row r="16344" spans="1:4" ht="12.75" customHeight="1" x14ac:dyDescent="0.2">
      <c r="A16344" s="21"/>
      <c r="B16344" s="3" t="s">
        <v>1840</v>
      </c>
      <c r="C16344" s="23" t="s">
        <v>558</v>
      </c>
      <c r="D16344" s="21"/>
    </row>
    <row r="16345" spans="1:4" ht="12.75" customHeight="1" x14ac:dyDescent="0.2">
      <c r="A16345" s="21"/>
      <c r="B16345" s="3" t="s">
        <v>9</v>
      </c>
      <c r="C16345" s="23" t="s">
        <v>943</v>
      </c>
      <c r="D16345" s="21"/>
    </row>
    <row r="16346" spans="1:4" ht="12.75" customHeight="1" x14ac:dyDescent="0.2">
      <c r="A16346" s="21"/>
      <c r="B16346" s="3" t="s">
        <v>11</v>
      </c>
      <c r="C16346" s="23" t="s">
        <v>2542</v>
      </c>
      <c r="D16346" s="21"/>
    </row>
    <row r="16347" spans="1:4" ht="12.75" customHeight="1" x14ac:dyDescent="0.2">
      <c r="A16347" s="21"/>
      <c r="B16347" s="3" t="s">
        <v>16</v>
      </c>
      <c r="C16347" s="23"/>
      <c r="D16347" s="21"/>
    </row>
    <row r="16348" spans="1:4" ht="12.75" customHeight="1" x14ac:dyDescent="0.2">
      <c r="A16348" s="21"/>
      <c r="B16348" s="3" t="s">
        <v>17</v>
      </c>
      <c r="C16348" s="23" t="s">
        <v>19</v>
      </c>
      <c r="D16348" s="21"/>
    </row>
    <row r="16349" spans="1:4" ht="12.75" customHeight="1" x14ac:dyDescent="0.2">
      <c r="A16349" s="21"/>
      <c r="B16349" s="20" t="s">
        <v>18</v>
      </c>
      <c r="C16349" s="8" t="s">
        <v>57</v>
      </c>
      <c r="D16349" s="1" t="str">
        <f>HYPERLINK("javascript:void(0)","csillámgöb")</f>
        <v>csillámgöb</v>
      </c>
    </row>
    <row r="16350" spans="1:4" ht="25.5" customHeight="1" x14ac:dyDescent="0.2">
      <c r="A16350" s="21"/>
      <c r="B16350" s="21"/>
      <c r="C16350" s="8" t="s">
        <v>44</v>
      </c>
      <c r="D16350" s="1" t="str">
        <f>HYPERLINK("javascript:void(0)","csillámos pengesisak")</f>
        <v>csillámos pengesisak</v>
      </c>
    </row>
    <row r="16351" spans="1:4" ht="12.75" customHeight="1" x14ac:dyDescent="0.2">
      <c r="A16351" s="21"/>
      <c r="B16351" s="21"/>
      <c r="C16351" s="8" t="s">
        <v>382</v>
      </c>
      <c r="D16351" s="1" t="str">
        <f>HYPERLINK("javascript:void(0)","negatívum")</f>
        <v>negatívum</v>
      </c>
    </row>
    <row r="16352" spans="1:4" ht="12.75" customHeight="1" x14ac:dyDescent="0.2">
      <c r="A16352" s="21"/>
      <c r="B16352" s="2"/>
      <c r="C16352" s="7"/>
      <c r="D16352" s="7"/>
    </row>
    <row r="16353" spans="1:4" ht="12.75" customHeight="1" x14ac:dyDescent="0.2">
      <c r="A16353" s="21"/>
      <c r="B16353" s="2"/>
      <c r="C16353" s="7"/>
      <c r="D16353" s="7"/>
    </row>
    <row r="16354" spans="1:4" ht="12.75" customHeight="1" x14ac:dyDescent="0.2">
      <c r="A16354" s="21"/>
      <c r="B16354" s="2"/>
      <c r="C16354" s="7"/>
      <c r="D16354" s="7"/>
    </row>
    <row r="16355" spans="1:4" ht="12.75" customHeight="1" x14ac:dyDescent="0.2">
      <c r="A16355" s="21"/>
      <c r="B16355" s="2"/>
      <c r="C16355" s="7"/>
      <c r="D16355" s="7"/>
    </row>
    <row r="16356" spans="1:4" ht="12.75" customHeight="1" x14ac:dyDescent="0.2">
      <c r="A16356" s="5"/>
      <c r="B16356" s="2"/>
      <c r="C16356" s="7"/>
      <c r="D16356" s="7"/>
    </row>
    <row r="16357" spans="1:4" ht="12.75" customHeight="1" x14ac:dyDescent="0.2">
      <c r="A16357" s="22" t="str">
        <f>HYPERLINK("javascript:void(0)","csillámló manópáncél")</f>
        <v>csillámló manópáncél</v>
      </c>
      <c r="B16357" s="21"/>
      <c r="C16357" s="21"/>
      <c r="D16357" s="21"/>
    </row>
    <row r="16358" spans="1:4" ht="12.75" customHeight="1" x14ac:dyDescent="0.2">
      <c r="A16358" s="20"/>
      <c r="B16358" s="2"/>
      <c r="C16358" s="7"/>
      <c r="D16358" s="7"/>
    </row>
    <row r="16359" spans="1:4" ht="12.75" customHeight="1" x14ac:dyDescent="0.2">
      <c r="A16359" s="21"/>
      <c r="B16359" s="3" t="s">
        <v>0</v>
      </c>
      <c r="C16359" s="23" t="s">
        <v>230</v>
      </c>
      <c r="D16359" s="21"/>
    </row>
    <row r="16360" spans="1:4" ht="12.75" customHeight="1" x14ac:dyDescent="0.2">
      <c r="A16360" s="21"/>
      <c r="B16360" s="3" t="s">
        <v>2</v>
      </c>
      <c r="C16360" s="23" t="s">
        <v>2322</v>
      </c>
      <c r="D16360" s="21"/>
    </row>
    <row r="16361" spans="1:4" ht="12.75" customHeight="1" x14ac:dyDescent="0.2">
      <c r="A16361" s="21"/>
      <c r="B16361" s="3" t="s">
        <v>1840</v>
      </c>
      <c r="C16361" s="23" t="s">
        <v>2546</v>
      </c>
      <c r="D16361" s="21"/>
    </row>
    <row r="16362" spans="1:4" ht="12.75" customHeight="1" x14ac:dyDescent="0.2">
      <c r="A16362" s="21"/>
      <c r="B16362" s="3" t="s">
        <v>9</v>
      </c>
      <c r="C16362" s="23" t="s">
        <v>2547</v>
      </c>
      <c r="D16362" s="21"/>
    </row>
    <row r="16363" spans="1:4" ht="12.75" customHeight="1" x14ac:dyDescent="0.2">
      <c r="A16363" s="21"/>
      <c r="B16363" s="3" t="s">
        <v>11</v>
      </c>
      <c r="C16363" s="23" t="s">
        <v>2542</v>
      </c>
      <c r="D16363" s="21"/>
    </row>
    <row r="16364" spans="1:4" ht="12.75" customHeight="1" x14ac:dyDescent="0.2">
      <c r="A16364" s="21"/>
      <c r="B16364" s="3" t="s">
        <v>16</v>
      </c>
      <c r="C16364" s="23"/>
      <c r="D16364" s="21"/>
    </row>
    <row r="16365" spans="1:4" ht="12.75" customHeight="1" x14ac:dyDescent="0.2">
      <c r="A16365" s="21"/>
      <c r="B16365" s="3" t="s">
        <v>17</v>
      </c>
      <c r="C16365" s="23" t="s">
        <v>19</v>
      </c>
      <c r="D16365" s="21"/>
    </row>
    <row r="16366" spans="1:4" ht="12.75" customHeight="1" x14ac:dyDescent="0.2">
      <c r="A16366" s="21"/>
      <c r="B16366" s="20" t="s">
        <v>18</v>
      </c>
      <c r="C16366" s="8" t="s">
        <v>57</v>
      </c>
      <c r="D16366" s="1" t="str">
        <f>HYPERLINK("javascript:void(0)","csillámgöb")</f>
        <v>csillámgöb</v>
      </c>
    </row>
    <row r="16367" spans="1:4" ht="25.5" customHeight="1" x14ac:dyDescent="0.2">
      <c r="A16367" s="21"/>
      <c r="B16367" s="21"/>
      <c r="C16367" s="8" t="s">
        <v>44</v>
      </c>
      <c r="D16367" s="1" t="str">
        <f>HYPERLINK("javascript:void(0)","csillámló pengepáncél")</f>
        <v>csillámló pengepáncél</v>
      </c>
    </row>
    <row r="16368" spans="1:4" ht="12.75" customHeight="1" x14ac:dyDescent="0.2">
      <c r="A16368" s="21"/>
      <c r="B16368" s="21"/>
      <c r="C16368" s="8" t="s">
        <v>2140</v>
      </c>
      <c r="D16368" s="1" t="str">
        <f>HYPERLINK("javascript:void(0)","uszony")</f>
        <v>uszony</v>
      </c>
    </row>
    <row r="16369" spans="1:4" ht="12.75" customHeight="1" x14ac:dyDescent="0.2">
      <c r="A16369" s="21"/>
      <c r="B16369" s="2"/>
      <c r="C16369" s="7"/>
      <c r="D16369" s="7"/>
    </row>
    <row r="16370" spans="1:4" ht="12.75" customHeight="1" x14ac:dyDescent="0.2">
      <c r="A16370" s="21"/>
      <c r="B16370" s="2"/>
      <c r="C16370" s="7"/>
      <c r="D16370" s="7"/>
    </row>
    <row r="16371" spans="1:4" ht="12.75" customHeight="1" x14ac:dyDescent="0.2">
      <c r="A16371" s="21"/>
      <c r="B16371" s="2"/>
      <c r="C16371" s="7"/>
      <c r="D16371" s="7"/>
    </row>
    <row r="16372" spans="1:4" ht="12.75" customHeight="1" x14ac:dyDescent="0.2">
      <c r="A16372" s="21"/>
      <c r="B16372" s="2"/>
      <c r="C16372" s="7"/>
      <c r="D16372" s="7"/>
    </row>
    <row r="16373" spans="1:4" ht="12.75" customHeight="1" x14ac:dyDescent="0.2">
      <c r="A16373" s="5"/>
      <c r="B16373" s="2"/>
      <c r="C16373" s="7"/>
      <c r="D16373" s="7"/>
    </row>
    <row r="16374" spans="1:4" ht="12.75" customHeight="1" x14ac:dyDescent="0.2">
      <c r="A16374" s="22" t="str">
        <f>HYPERLINK("javascript:void(0)","lombos páncél")</f>
        <v>lombos páncél</v>
      </c>
      <c r="B16374" s="21"/>
      <c r="C16374" s="21"/>
      <c r="D16374" s="21"/>
    </row>
    <row r="16375" spans="1:4" ht="12.75" customHeight="1" x14ac:dyDescent="0.2">
      <c r="A16375" s="20"/>
      <c r="B16375" s="2"/>
      <c r="C16375" s="7"/>
      <c r="D16375" s="7"/>
    </row>
    <row r="16376" spans="1:4" ht="12.75" customHeight="1" x14ac:dyDescent="0.2">
      <c r="A16376" s="21"/>
      <c r="B16376" s="3" t="s">
        <v>0</v>
      </c>
      <c r="C16376" s="23" t="s">
        <v>230</v>
      </c>
      <c r="D16376" s="21"/>
    </row>
    <row r="16377" spans="1:4" ht="12.75" customHeight="1" x14ac:dyDescent="0.2">
      <c r="A16377" s="21"/>
      <c r="B16377" s="3" t="s">
        <v>2</v>
      </c>
      <c r="C16377" s="23" t="s">
        <v>2322</v>
      </c>
      <c r="D16377" s="21"/>
    </row>
    <row r="16378" spans="1:4" ht="12.75" customHeight="1" x14ac:dyDescent="0.2">
      <c r="A16378" s="21"/>
      <c r="B16378" s="3" t="s">
        <v>1840</v>
      </c>
      <c r="C16378" s="23" t="s">
        <v>2548</v>
      </c>
      <c r="D16378" s="21"/>
    </row>
    <row r="16379" spans="1:4" ht="12.75" customHeight="1" x14ac:dyDescent="0.2">
      <c r="A16379" s="21"/>
      <c r="B16379" s="3" t="s">
        <v>9</v>
      </c>
      <c r="C16379" s="23" t="s">
        <v>2549</v>
      </c>
      <c r="D16379" s="21"/>
    </row>
    <row r="16380" spans="1:4" ht="12.75" customHeight="1" x14ac:dyDescent="0.2">
      <c r="A16380" s="21"/>
      <c r="B16380" s="3" t="s">
        <v>11</v>
      </c>
      <c r="C16380" s="23" t="s">
        <v>2252</v>
      </c>
      <c r="D16380" s="21"/>
    </row>
    <row r="16381" spans="1:4" ht="12.75" customHeight="1" x14ac:dyDescent="0.2">
      <c r="A16381" s="21"/>
      <c r="B16381" s="3" t="s">
        <v>16</v>
      </c>
      <c r="C16381" s="23"/>
      <c r="D16381" s="21"/>
    </row>
    <row r="16382" spans="1:4" ht="12.75" customHeight="1" x14ac:dyDescent="0.2">
      <c r="A16382" s="21"/>
      <c r="B16382" s="3" t="s">
        <v>17</v>
      </c>
      <c r="C16382" s="23" t="s">
        <v>19</v>
      </c>
      <c r="D16382" s="21"/>
    </row>
    <row r="16383" spans="1:4" ht="12.75" customHeight="1" x14ac:dyDescent="0.2">
      <c r="A16383" s="21"/>
      <c r="B16383" s="20" t="s">
        <v>18</v>
      </c>
      <c r="C16383" s="8" t="s">
        <v>269</v>
      </c>
      <c r="D16383" s="1" t="str">
        <f>HYPERLINK("javascript:void(0)","lomb")</f>
        <v>lomb</v>
      </c>
    </row>
    <row r="16384" spans="1:4" ht="12.75" customHeight="1" x14ac:dyDescent="0.2">
      <c r="A16384" s="21"/>
      <c r="B16384" s="21"/>
      <c r="C16384" s="8" t="s">
        <v>265</v>
      </c>
      <c r="D16384" s="1" t="str">
        <f>HYPERLINK("javascript:void(0)","patron")</f>
        <v>patron</v>
      </c>
    </row>
    <row r="16385" spans="1:4" ht="12.75" customHeight="1" x14ac:dyDescent="0.2">
      <c r="A16385" s="21"/>
      <c r="B16385" s="21"/>
      <c r="C16385" s="8" t="s">
        <v>44</v>
      </c>
      <c r="D16385" s="1" t="str">
        <f>HYPERLINK("javascript:void(0)","elefántvért")</f>
        <v>elefántvért</v>
      </c>
    </row>
    <row r="16386" spans="1:4" ht="12.75" customHeight="1" x14ac:dyDescent="0.2">
      <c r="A16386" s="21"/>
      <c r="B16386" s="2"/>
      <c r="C16386" s="7"/>
      <c r="D16386" s="7"/>
    </row>
    <row r="16387" spans="1:4" ht="12.75" customHeight="1" x14ac:dyDescent="0.2">
      <c r="A16387" s="21"/>
      <c r="B16387" s="2"/>
      <c r="C16387" s="7"/>
      <c r="D16387" s="7"/>
    </row>
    <row r="16388" spans="1:4" ht="12.75" customHeight="1" x14ac:dyDescent="0.2">
      <c r="A16388" s="21"/>
      <c r="B16388" s="2"/>
      <c r="C16388" s="7"/>
      <c r="D16388" s="7"/>
    </row>
    <row r="16389" spans="1:4" ht="12.75" customHeight="1" x14ac:dyDescent="0.2">
      <c r="A16389" s="21"/>
      <c r="B16389" s="2"/>
      <c r="C16389" s="7"/>
      <c r="D16389" s="7"/>
    </row>
    <row r="16390" spans="1:4" ht="12.75" customHeight="1" x14ac:dyDescent="0.2">
      <c r="A16390" s="5"/>
      <c r="B16390" s="2"/>
      <c r="C16390" s="7"/>
      <c r="D16390" s="7"/>
    </row>
    <row r="16391" spans="1:4" ht="12.75" customHeight="1" x14ac:dyDescent="0.2">
      <c r="A16391" s="22" t="str">
        <f>HYPERLINK("javascript:void(0)","napkorona")</f>
        <v>napkorona</v>
      </c>
      <c r="B16391" s="21"/>
      <c r="C16391" s="21"/>
      <c r="D16391" s="21"/>
    </row>
    <row r="16392" spans="1:4" ht="12.75" customHeight="1" x14ac:dyDescent="0.2">
      <c r="A16392" s="20"/>
      <c r="B16392" s="2"/>
      <c r="C16392" s="7"/>
      <c r="D16392" s="7"/>
    </row>
    <row r="16393" spans="1:4" ht="12.75" customHeight="1" x14ac:dyDescent="0.2">
      <c r="A16393" s="21"/>
      <c r="B16393" s="3" t="s">
        <v>0</v>
      </c>
      <c r="C16393" s="23" t="s">
        <v>230</v>
      </c>
      <c r="D16393" s="21"/>
    </row>
    <row r="16394" spans="1:4" ht="12.75" customHeight="1" x14ac:dyDescent="0.2">
      <c r="A16394" s="21"/>
      <c r="B16394" s="3" t="s">
        <v>2</v>
      </c>
      <c r="C16394" s="23"/>
      <c r="D16394" s="21"/>
    </row>
    <row r="16395" spans="1:4" ht="12.75" customHeight="1" x14ac:dyDescent="0.2">
      <c r="A16395" s="21"/>
      <c r="B16395" s="3" t="s">
        <v>1840</v>
      </c>
      <c r="C16395" s="23" t="s">
        <v>5911</v>
      </c>
      <c r="D16395" s="21"/>
    </row>
    <row r="16396" spans="1:4" ht="12.75" customHeight="1" x14ac:dyDescent="0.2">
      <c r="A16396" s="21"/>
      <c r="B16396" s="3" t="s">
        <v>9</v>
      </c>
      <c r="C16396" s="23" t="s">
        <v>5912</v>
      </c>
      <c r="D16396" s="21"/>
    </row>
    <row r="16397" spans="1:4" ht="12.75" customHeight="1" x14ac:dyDescent="0.2">
      <c r="A16397" s="21"/>
      <c r="B16397" s="3" t="s">
        <v>11</v>
      </c>
      <c r="C16397" s="23" t="s">
        <v>1334</v>
      </c>
      <c r="D16397" s="21"/>
    </row>
    <row r="16398" spans="1:4" ht="12.75" customHeight="1" x14ac:dyDescent="0.2">
      <c r="A16398" s="21"/>
      <c r="B16398" s="3" t="s">
        <v>16</v>
      </c>
      <c r="C16398" s="23"/>
      <c r="D16398" s="21"/>
    </row>
    <row r="16399" spans="1:4" ht="12.75" customHeight="1" x14ac:dyDescent="0.2">
      <c r="A16399" s="21"/>
      <c r="B16399" s="3" t="s">
        <v>17</v>
      </c>
      <c r="C16399" s="23" t="s">
        <v>19</v>
      </c>
      <c r="D16399" s="21"/>
    </row>
    <row r="16400" spans="1:4" ht="12.75" customHeight="1" x14ac:dyDescent="0.2">
      <c r="A16400" s="21"/>
      <c r="B16400" s="20" t="s">
        <v>18</v>
      </c>
      <c r="C16400" s="8" t="s">
        <v>44</v>
      </c>
      <c r="D16400" s="1" t="str">
        <f>HYPERLINK("javascript:void(0)","lombkorona")</f>
        <v>lombkorona</v>
      </c>
    </row>
    <row r="16401" spans="1:4" ht="12.75" customHeight="1" x14ac:dyDescent="0.2">
      <c r="A16401" s="21"/>
      <c r="B16401" s="21"/>
      <c r="C16401" s="8" t="s">
        <v>331</v>
      </c>
      <c r="D16401" s="1" t="str">
        <f>HYPERLINK("javascript:void(0)","napenergia")</f>
        <v>napenergia</v>
      </c>
    </row>
    <row r="16402" spans="1:4" ht="12.75" customHeight="1" x14ac:dyDescent="0.2">
      <c r="A16402" s="21"/>
      <c r="B16402" s="21"/>
      <c r="C16402" s="8" t="s">
        <v>232</v>
      </c>
      <c r="D16402" s="1" t="str">
        <f>HYPERLINK("javascript:void(0)","semmiség")</f>
        <v>semmiség</v>
      </c>
    </row>
    <row r="16403" spans="1:4" ht="12.75" customHeight="1" x14ac:dyDescent="0.2">
      <c r="A16403" s="21"/>
      <c r="B16403" s="2"/>
      <c r="C16403" s="7"/>
      <c r="D16403" s="7"/>
    </row>
    <row r="16404" spans="1:4" ht="12.75" customHeight="1" x14ac:dyDescent="0.2">
      <c r="A16404" s="21"/>
      <c r="B16404" s="2"/>
      <c r="C16404" s="7"/>
      <c r="D16404" s="7"/>
    </row>
    <row r="16405" spans="1:4" ht="12.75" customHeight="1" x14ac:dyDescent="0.2">
      <c r="A16405" s="21"/>
      <c r="B16405" s="2"/>
      <c r="C16405" s="7"/>
      <c r="D16405" s="7"/>
    </row>
    <row r="16406" spans="1:4" ht="12.75" customHeight="1" x14ac:dyDescent="0.2">
      <c r="A16406" s="21"/>
      <c r="B16406" s="2"/>
      <c r="C16406" s="7"/>
      <c r="D16406" s="7"/>
    </row>
    <row r="16407" spans="1:4" ht="12.75" customHeight="1" x14ac:dyDescent="0.2">
      <c r="A16407" s="5"/>
      <c r="B16407" s="2"/>
      <c r="C16407" s="7"/>
      <c r="D16407" s="7"/>
    </row>
    <row r="16408" spans="1:4" ht="12.75" customHeight="1" x14ac:dyDescent="0.2">
      <c r="A16408" s="22" t="str">
        <f>HYPERLINK("javascript:void(0)","földrengető")</f>
        <v>földrengető</v>
      </c>
      <c r="B16408" s="21"/>
      <c r="C16408" s="21"/>
      <c r="D16408" s="21"/>
    </row>
    <row r="16409" spans="1:4" ht="12.75" customHeight="1" x14ac:dyDescent="0.2">
      <c r="A16409" s="20"/>
      <c r="B16409" s="2"/>
      <c r="C16409" s="7"/>
      <c r="D16409" s="7"/>
    </row>
    <row r="16410" spans="1:4" ht="12.75" customHeight="1" x14ac:dyDescent="0.2">
      <c r="A16410" s="21"/>
      <c r="B16410" s="3" t="s">
        <v>0</v>
      </c>
      <c r="C16410" s="23" t="s">
        <v>230</v>
      </c>
      <c r="D16410" s="21"/>
    </row>
    <row r="16411" spans="1:4" ht="12.75" customHeight="1" x14ac:dyDescent="0.2">
      <c r="A16411" s="21"/>
      <c r="B16411" s="3" t="s">
        <v>2</v>
      </c>
      <c r="C16411" s="23"/>
      <c r="D16411" s="21"/>
    </row>
    <row r="16412" spans="1:4" ht="12.75" customHeight="1" x14ac:dyDescent="0.2">
      <c r="A16412" s="21"/>
      <c r="B16412" s="3" t="s">
        <v>1840</v>
      </c>
      <c r="C16412" s="23" t="s">
        <v>285</v>
      </c>
      <c r="D16412" s="21"/>
    </row>
    <row r="16413" spans="1:4" ht="12.75" customHeight="1" x14ac:dyDescent="0.2">
      <c r="A16413" s="21"/>
      <c r="B16413" s="3" t="s">
        <v>9</v>
      </c>
      <c r="C16413" s="23" t="s">
        <v>61</v>
      </c>
      <c r="D16413" s="21"/>
    </row>
    <row r="16414" spans="1:4" ht="12.75" customHeight="1" x14ac:dyDescent="0.2">
      <c r="A16414" s="21"/>
      <c r="B16414" s="3" t="s">
        <v>11</v>
      </c>
      <c r="C16414" s="23" t="s">
        <v>1334</v>
      </c>
      <c r="D16414" s="21"/>
    </row>
    <row r="16415" spans="1:4" ht="12.75" customHeight="1" x14ac:dyDescent="0.2">
      <c r="A16415" s="21"/>
      <c r="B16415" s="3" t="s">
        <v>16</v>
      </c>
      <c r="C16415" s="23"/>
      <c r="D16415" s="21"/>
    </row>
    <row r="16416" spans="1:4" ht="12.75" customHeight="1" x14ac:dyDescent="0.2">
      <c r="A16416" s="21"/>
      <c r="B16416" s="3" t="s">
        <v>17</v>
      </c>
      <c r="C16416" s="23" t="s">
        <v>19</v>
      </c>
      <c r="D16416" s="21"/>
    </row>
    <row r="16417" spans="1:4" ht="12.75" customHeight="1" x14ac:dyDescent="0.2">
      <c r="A16417" s="21"/>
      <c r="B16417" s="20" t="s">
        <v>18</v>
      </c>
      <c r="C16417" s="8" t="s">
        <v>98</v>
      </c>
      <c r="D16417" s="1" t="str">
        <f>HYPERLINK("javascript:void(0)","epicentrum")</f>
        <v>epicentrum</v>
      </c>
    </row>
    <row r="16418" spans="1:4" ht="12.75" customHeight="1" x14ac:dyDescent="0.2">
      <c r="A16418" s="21"/>
      <c r="B16418" s="21"/>
      <c r="C16418" s="8" t="s">
        <v>44</v>
      </c>
      <c r="D16418" s="1" t="str">
        <f>HYPERLINK("javascript:void(0)","pékcsizma")</f>
        <v>pékcsizma</v>
      </c>
    </row>
    <row r="16419" spans="1:4" ht="12.75" customHeight="1" x14ac:dyDescent="0.2">
      <c r="A16419" s="21"/>
      <c r="B16419" s="21"/>
      <c r="C16419" s="8" t="s">
        <v>196</v>
      </c>
      <c r="D16419" s="1" t="str">
        <f>HYPERLINK("javascript:void(0)","úszó")</f>
        <v>úszó</v>
      </c>
    </row>
    <row r="16420" spans="1:4" ht="12.75" customHeight="1" x14ac:dyDescent="0.2">
      <c r="A16420" s="21"/>
      <c r="B16420" s="2"/>
      <c r="C16420" s="7"/>
      <c r="D16420" s="7"/>
    </row>
    <row r="16421" spans="1:4" ht="12.75" customHeight="1" x14ac:dyDescent="0.2">
      <c r="A16421" s="21"/>
      <c r="B16421" s="2"/>
      <c r="C16421" s="7"/>
      <c r="D16421" s="7"/>
    </row>
    <row r="16422" spans="1:4" ht="12.75" customHeight="1" x14ac:dyDescent="0.2">
      <c r="A16422" s="21"/>
      <c r="B16422" s="2"/>
      <c r="C16422" s="7"/>
      <c r="D16422" s="7"/>
    </row>
    <row r="16423" spans="1:4" ht="12.75" customHeight="1" x14ac:dyDescent="0.2">
      <c r="A16423" s="21"/>
      <c r="B16423" s="2"/>
      <c r="C16423" s="7"/>
      <c r="D16423" s="7"/>
    </row>
    <row r="16424" spans="1:4" ht="12.75" customHeight="1" x14ac:dyDescent="0.2">
      <c r="A16424" s="5"/>
      <c r="B16424" s="2"/>
      <c r="C16424" s="7"/>
      <c r="D16424" s="7"/>
    </row>
    <row r="16425" spans="1:4" ht="12.75" customHeight="1" x14ac:dyDescent="0.2">
      <c r="A16425" s="22" t="str">
        <f>HYPERLINK("javascript:void(0)","csontos éjpajzs")</f>
        <v>csontos éjpajzs</v>
      </c>
      <c r="B16425" s="21"/>
      <c r="C16425" s="21"/>
      <c r="D16425" s="21"/>
    </row>
    <row r="16426" spans="1:4" ht="12.75" customHeight="1" x14ac:dyDescent="0.2">
      <c r="A16426" s="20"/>
      <c r="B16426" s="2"/>
      <c r="C16426" s="7"/>
      <c r="D16426" s="7"/>
    </row>
    <row r="16427" spans="1:4" ht="12.75" customHeight="1" x14ac:dyDescent="0.2">
      <c r="A16427" s="21"/>
      <c r="B16427" s="3" t="s">
        <v>0</v>
      </c>
      <c r="C16427" s="23" t="s">
        <v>230</v>
      </c>
      <c r="D16427" s="21"/>
    </row>
    <row r="16428" spans="1:4" ht="12.75" customHeight="1" x14ac:dyDescent="0.2">
      <c r="A16428" s="21"/>
      <c r="B16428" s="3" t="s">
        <v>2</v>
      </c>
      <c r="C16428" s="23" t="s">
        <v>1839</v>
      </c>
      <c r="D16428" s="21"/>
    </row>
    <row r="16429" spans="1:4" ht="12.75" customHeight="1" x14ac:dyDescent="0.2">
      <c r="A16429" s="21"/>
      <c r="B16429" s="3" t="s">
        <v>1840</v>
      </c>
      <c r="C16429" s="23" t="s">
        <v>2926</v>
      </c>
      <c r="D16429" s="21"/>
    </row>
    <row r="16430" spans="1:4" ht="12.75" customHeight="1" x14ac:dyDescent="0.2">
      <c r="A16430" s="21"/>
      <c r="B16430" s="3" t="s">
        <v>9</v>
      </c>
      <c r="C16430" s="23" t="s">
        <v>2551</v>
      </c>
      <c r="D16430" s="21"/>
    </row>
    <row r="16431" spans="1:4" ht="12.75" customHeight="1" x14ac:dyDescent="0.2">
      <c r="A16431" s="21"/>
      <c r="B16431" s="3" t="s">
        <v>11</v>
      </c>
      <c r="C16431" s="23" t="s">
        <v>5920</v>
      </c>
      <c r="D16431" s="21"/>
    </row>
    <row r="16432" spans="1:4" ht="12.75" customHeight="1" x14ac:dyDescent="0.2">
      <c r="A16432" s="21"/>
      <c r="B16432" s="3" t="s">
        <v>16</v>
      </c>
      <c r="C16432" s="23"/>
      <c r="D16432" s="21"/>
    </row>
    <row r="16433" spans="1:4" ht="12.75" customHeight="1" x14ac:dyDescent="0.2">
      <c r="A16433" s="21"/>
      <c r="B16433" s="3" t="s">
        <v>17</v>
      </c>
      <c r="C16433" s="23" t="s">
        <v>19</v>
      </c>
      <c r="D16433" s="21"/>
    </row>
    <row r="16434" spans="1:4" ht="12.75" customHeight="1" x14ac:dyDescent="0.2">
      <c r="A16434" s="21"/>
      <c r="B16434" s="20" t="s">
        <v>18</v>
      </c>
      <c r="C16434" s="8" t="s">
        <v>44</v>
      </c>
      <c r="D16434" s="1" t="str">
        <f>HYPERLINK("javascript:void(0)","csontos kispajzs")</f>
        <v>csontos kispajzs</v>
      </c>
    </row>
    <row r="16435" spans="1:4" ht="12.75" customHeight="1" x14ac:dyDescent="0.2">
      <c r="A16435" s="21"/>
      <c r="B16435" s="21"/>
      <c r="C16435" s="8" t="s">
        <v>67</v>
      </c>
      <c r="D16435" s="1" t="str">
        <f>HYPERLINK("javascript:void(0)","semmiség")</f>
        <v>semmiség</v>
      </c>
    </row>
    <row r="16436" spans="1:4" ht="12.75" customHeight="1" x14ac:dyDescent="0.2">
      <c r="A16436" s="21"/>
      <c r="B16436" s="21"/>
      <c r="C16436" s="8" t="s">
        <v>132</v>
      </c>
      <c r="D16436" s="1" t="str">
        <f>HYPERLINK("javascript:void(0)","epicentrum")</f>
        <v>epicentrum</v>
      </c>
    </row>
    <row r="16437" spans="1:4" ht="12.75" customHeight="1" x14ac:dyDescent="0.2">
      <c r="A16437" s="21"/>
      <c r="B16437" s="2"/>
      <c r="C16437" s="7"/>
      <c r="D16437" s="7"/>
    </row>
    <row r="16438" spans="1:4" ht="12.75" customHeight="1" x14ac:dyDescent="0.2">
      <c r="A16438" s="21"/>
      <c r="B16438" s="2"/>
      <c r="C16438" s="7"/>
      <c r="D16438" s="7"/>
    </row>
    <row r="16439" spans="1:4" ht="12.75" customHeight="1" x14ac:dyDescent="0.2">
      <c r="A16439" s="21"/>
      <c r="B16439" s="2"/>
      <c r="C16439" s="7"/>
      <c r="D16439" s="7"/>
    </row>
    <row r="16440" spans="1:4" ht="12.75" customHeight="1" x14ac:dyDescent="0.2">
      <c r="A16440" s="21"/>
      <c r="B16440" s="2"/>
      <c r="C16440" s="7"/>
      <c r="D16440" s="7"/>
    </row>
    <row r="16441" spans="1:4" ht="12.75" customHeight="1" x14ac:dyDescent="0.2">
      <c r="A16441" s="5"/>
      <c r="B16441" s="2"/>
      <c r="C16441" s="7"/>
      <c r="D16441" s="7"/>
    </row>
    <row r="16442" spans="1:4" ht="12.75" customHeight="1" x14ac:dyDescent="0.2">
      <c r="A16442" s="22" t="str">
        <f>HYPERLINK("javascript:void(0)","haragmellény")</f>
        <v>haragmellény</v>
      </c>
      <c r="B16442" s="21"/>
      <c r="C16442" s="21"/>
      <c r="D16442" s="21"/>
    </row>
    <row r="16443" spans="1:4" ht="12.75" customHeight="1" x14ac:dyDescent="0.2">
      <c r="A16443" s="20"/>
      <c r="B16443" s="2"/>
      <c r="C16443" s="7"/>
      <c r="D16443" s="7"/>
    </row>
    <row r="16444" spans="1:4" ht="12.75" customHeight="1" x14ac:dyDescent="0.2">
      <c r="A16444" s="21"/>
      <c r="B16444" s="3" t="s">
        <v>0</v>
      </c>
      <c r="C16444" s="23" t="s">
        <v>1230</v>
      </c>
      <c r="D16444" s="21"/>
    </row>
    <row r="16445" spans="1:4" ht="12.75" customHeight="1" x14ac:dyDescent="0.2">
      <c r="A16445" s="21"/>
      <c r="B16445" s="3" t="s">
        <v>2</v>
      </c>
      <c r="C16445" s="23" t="s">
        <v>2322</v>
      </c>
      <c r="D16445" s="21"/>
    </row>
    <row r="16446" spans="1:4" ht="12.75" customHeight="1" x14ac:dyDescent="0.2">
      <c r="A16446" s="21"/>
      <c r="B16446" s="3" t="s">
        <v>1840</v>
      </c>
      <c r="C16446" s="23" t="s">
        <v>697</v>
      </c>
      <c r="D16446" s="21"/>
    </row>
    <row r="16447" spans="1:4" ht="12.75" customHeight="1" x14ac:dyDescent="0.2">
      <c r="A16447" s="21"/>
      <c r="B16447" s="3" t="s">
        <v>9</v>
      </c>
      <c r="C16447" s="23" t="s">
        <v>2549</v>
      </c>
      <c r="D16447" s="21"/>
    </row>
    <row r="16448" spans="1:4" ht="12.75" customHeight="1" x14ac:dyDescent="0.2">
      <c r="A16448" s="21"/>
      <c r="B16448" s="3" t="s">
        <v>11</v>
      </c>
      <c r="C16448" s="23" t="s">
        <v>1075</v>
      </c>
      <c r="D16448" s="21"/>
    </row>
    <row r="16449" spans="1:4" ht="12.75" customHeight="1" x14ac:dyDescent="0.2">
      <c r="A16449" s="21"/>
      <c r="B16449" s="3" t="s">
        <v>16</v>
      </c>
      <c r="C16449" s="23"/>
      <c r="D16449" s="21"/>
    </row>
    <row r="16450" spans="1:4" ht="12.75" customHeight="1" x14ac:dyDescent="0.2">
      <c r="A16450" s="21"/>
      <c r="B16450" s="3" t="s">
        <v>17</v>
      </c>
      <c r="C16450" s="23" t="s">
        <v>19</v>
      </c>
      <c r="D16450" s="21"/>
    </row>
    <row r="16451" spans="1:4" ht="12.75" customHeight="1" x14ac:dyDescent="0.2">
      <c r="A16451" s="21"/>
      <c r="B16451" s="20" t="s">
        <v>18</v>
      </c>
      <c r="C16451" s="8" t="s">
        <v>44</v>
      </c>
      <c r="D16451" s="1" t="str">
        <f>HYPERLINK("javascript:void(0)","lombos páncél")</f>
        <v>lombos páncél</v>
      </c>
    </row>
    <row r="16452" spans="1:4" ht="12.75" customHeight="1" x14ac:dyDescent="0.2">
      <c r="A16452" s="21"/>
      <c r="B16452" s="21"/>
      <c r="C16452" s="8" t="s">
        <v>55</v>
      </c>
      <c r="D16452" s="1" t="str">
        <f>HYPERLINK("javascript:void(0)","roncogás")</f>
        <v>roncogás</v>
      </c>
    </row>
    <row r="16453" spans="1:4" ht="12.75" customHeight="1" x14ac:dyDescent="0.2">
      <c r="A16453" s="21"/>
      <c r="B16453" s="21"/>
      <c r="C16453" s="8" t="s">
        <v>68</v>
      </c>
      <c r="D16453" s="1" t="str">
        <f>HYPERLINK("javascript:void(0)","bőrszárny")</f>
        <v>bőrszárny</v>
      </c>
    </row>
    <row r="16454" spans="1:4" ht="12.75" customHeight="1" x14ac:dyDescent="0.2">
      <c r="A16454" s="21"/>
      <c r="B16454" s="2"/>
      <c r="C16454" s="7"/>
      <c r="D16454" s="7"/>
    </row>
    <row r="16455" spans="1:4" ht="12.75" customHeight="1" x14ac:dyDescent="0.2">
      <c r="A16455" s="21"/>
      <c r="B16455" s="2"/>
      <c r="C16455" s="7"/>
      <c r="D16455" s="7"/>
    </row>
    <row r="16456" spans="1:4" ht="12.75" customHeight="1" x14ac:dyDescent="0.2">
      <c r="A16456" s="21"/>
      <c r="B16456" s="2"/>
      <c r="C16456" s="7"/>
      <c r="D16456" s="7"/>
    </row>
    <row r="16457" spans="1:4" ht="12.75" customHeight="1" x14ac:dyDescent="0.2">
      <c r="A16457" s="21"/>
      <c r="B16457" s="2"/>
      <c r="C16457" s="7"/>
      <c r="D16457" s="7"/>
    </row>
    <row r="16458" spans="1:4" ht="12.75" customHeight="1" x14ac:dyDescent="0.2">
      <c r="A16458" s="5"/>
      <c r="B16458" s="2"/>
      <c r="C16458" s="7"/>
      <c r="D16458" s="7"/>
    </row>
    <row r="16459" spans="1:4" ht="12.75" customHeight="1" x14ac:dyDescent="0.2">
      <c r="A16459" s="22" t="str">
        <f>HYPERLINK("javascript:void(0)","gutasisak")</f>
        <v>gutasisak</v>
      </c>
      <c r="B16459" s="21"/>
      <c r="C16459" s="21"/>
      <c r="D16459" s="21"/>
    </row>
    <row r="16460" spans="1:4" ht="12.75" customHeight="1" x14ac:dyDescent="0.2">
      <c r="A16460" s="20"/>
      <c r="B16460" s="2"/>
      <c r="C16460" s="7"/>
      <c r="D16460" s="7"/>
    </row>
    <row r="16461" spans="1:4" ht="12.75" customHeight="1" x14ac:dyDescent="0.2">
      <c r="A16461" s="21"/>
      <c r="B16461" s="3" t="s">
        <v>0</v>
      </c>
      <c r="C16461" s="23" t="s">
        <v>1230</v>
      </c>
      <c r="D16461" s="21"/>
    </row>
    <row r="16462" spans="1:4" ht="12.75" customHeight="1" x14ac:dyDescent="0.2">
      <c r="A16462" s="21"/>
      <c r="B16462" s="3" t="s">
        <v>2</v>
      </c>
      <c r="C16462" s="23"/>
      <c r="D16462" s="21"/>
    </row>
    <row r="16463" spans="1:4" ht="12.75" customHeight="1" x14ac:dyDescent="0.2">
      <c r="A16463" s="21"/>
      <c r="B16463" s="3" t="s">
        <v>1840</v>
      </c>
      <c r="C16463" s="23" t="s">
        <v>2283</v>
      </c>
      <c r="D16463" s="21"/>
    </row>
    <row r="16464" spans="1:4" ht="12.75" customHeight="1" x14ac:dyDescent="0.2">
      <c r="A16464" s="21"/>
      <c r="B16464" s="3" t="s">
        <v>9</v>
      </c>
      <c r="C16464" s="23" t="s">
        <v>415</v>
      </c>
      <c r="D16464" s="21"/>
    </row>
    <row r="16465" spans="1:4" ht="12.75" customHeight="1" x14ac:dyDescent="0.2">
      <c r="A16465" s="21"/>
      <c r="B16465" s="3" t="s">
        <v>11</v>
      </c>
      <c r="C16465" s="23" t="s">
        <v>2544</v>
      </c>
      <c r="D16465" s="21"/>
    </row>
    <row r="16466" spans="1:4" ht="12.75" customHeight="1" x14ac:dyDescent="0.2">
      <c r="A16466" s="21"/>
      <c r="B16466" s="3" t="s">
        <v>16</v>
      </c>
      <c r="C16466" s="23"/>
      <c r="D16466" s="21"/>
    </row>
    <row r="16467" spans="1:4" ht="12.75" customHeight="1" x14ac:dyDescent="0.2">
      <c r="A16467" s="21"/>
      <c r="B16467" s="3" t="s">
        <v>17</v>
      </c>
      <c r="C16467" s="23" t="s">
        <v>19</v>
      </c>
      <c r="D16467" s="21"/>
    </row>
    <row r="16468" spans="1:4" ht="12.75" customHeight="1" x14ac:dyDescent="0.2">
      <c r="A16468" s="21"/>
      <c r="B16468" s="20" t="s">
        <v>18</v>
      </c>
      <c r="C16468" s="8" t="s">
        <v>44</v>
      </c>
      <c r="D16468" s="1" t="str">
        <f>HYPERLINK("javascript:void(0)","napkorona")</f>
        <v>napkorona</v>
      </c>
    </row>
    <row r="16469" spans="1:4" ht="12.75" customHeight="1" x14ac:dyDescent="0.2">
      <c r="A16469" s="21"/>
      <c r="B16469" s="21"/>
      <c r="C16469" s="8" t="s">
        <v>67</v>
      </c>
      <c r="D16469" s="1" t="str">
        <f>HYPERLINK("javascript:void(0)","utóguta")</f>
        <v>utóguta</v>
      </c>
    </row>
    <row r="16470" spans="1:4" ht="12.75" customHeight="1" x14ac:dyDescent="0.2">
      <c r="A16470" s="21"/>
      <c r="B16470" s="21"/>
      <c r="C16470" s="8" t="s">
        <v>77</v>
      </c>
      <c r="D16470" s="1" t="str">
        <f>HYPERLINK("javascript:void(0)","úszó")</f>
        <v>úszó</v>
      </c>
    </row>
    <row r="16471" spans="1:4" ht="12.75" customHeight="1" x14ac:dyDescent="0.2">
      <c r="A16471" s="21"/>
      <c r="B16471" s="2"/>
      <c r="C16471" s="7"/>
      <c r="D16471" s="7"/>
    </row>
    <row r="16472" spans="1:4" ht="12.75" customHeight="1" x14ac:dyDescent="0.2">
      <c r="A16472" s="21"/>
      <c r="B16472" s="2"/>
      <c r="C16472" s="7"/>
      <c r="D16472" s="7"/>
    </row>
    <row r="16473" spans="1:4" ht="12.75" customHeight="1" x14ac:dyDescent="0.2">
      <c r="A16473" s="21"/>
      <c r="B16473" s="2"/>
      <c r="C16473" s="7"/>
      <c r="D16473" s="7"/>
    </row>
    <row r="16474" spans="1:4" ht="12.75" customHeight="1" x14ac:dyDescent="0.2">
      <c r="A16474" s="21"/>
      <c r="B16474" s="2"/>
      <c r="C16474" s="7"/>
      <c r="D16474" s="7"/>
    </row>
    <row r="16475" spans="1:4" ht="12.75" customHeight="1" x14ac:dyDescent="0.2">
      <c r="A16475" s="5"/>
      <c r="B16475" s="2"/>
      <c r="C16475" s="7"/>
      <c r="D16475" s="7"/>
    </row>
    <row r="16476" spans="1:4" ht="12.75" customHeight="1" x14ac:dyDescent="0.2">
      <c r="A16476" s="22" t="str">
        <f>HYPERLINK("javascript:void(0)","haragos bakancs")</f>
        <v>haragos bakancs</v>
      </c>
      <c r="B16476" s="21"/>
      <c r="C16476" s="21"/>
      <c r="D16476" s="21"/>
    </row>
    <row r="16477" spans="1:4" ht="12.75" customHeight="1" x14ac:dyDescent="0.2">
      <c r="A16477" s="20"/>
      <c r="B16477" s="2"/>
      <c r="C16477" s="7"/>
      <c r="D16477" s="7"/>
    </row>
    <row r="16478" spans="1:4" ht="12.75" customHeight="1" x14ac:dyDescent="0.2">
      <c r="A16478" s="21"/>
      <c r="B16478" s="3" t="s">
        <v>0</v>
      </c>
      <c r="C16478" s="23" t="s">
        <v>1230</v>
      </c>
      <c r="D16478" s="21"/>
    </row>
    <row r="16479" spans="1:4" ht="12.75" customHeight="1" x14ac:dyDescent="0.2">
      <c r="A16479" s="21"/>
      <c r="B16479" s="3" t="s">
        <v>2</v>
      </c>
      <c r="C16479" s="23"/>
      <c r="D16479" s="21"/>
    </row>
    <row r="16480" spans="1:4" ht="12.75" customHeight="1" x14ac:dyDescent="0.2">
      <c r="A16480" s="21"/>
      <c r="B16480" s="3" t="s">
        <v>1840</v>
      </c>
      <c r="C16480" s="23" t="s">
        <v>2256</v>
      </c>
      <c r="D16480" s="21"/>
    </row>
    <row r="16481" spans="1:4" ht="12.75" customHeight="1" x14ac:dyDescent="0.2">
      <c r="A16481" s="21"/>
      <c r="B16481" s="3" t="s">
        <v>9</v>
      </c>
      <c r="C16481" s="23" t="s">
        <v>2257</v>
      </c>
      <c r="D16481" s="21"/>
    </row>
    <row r="16482" spans="1:4" ht="12.75" customHeight="1" x14ac:dyDescent="0.2">
      <c r="A16482" s="21"/>
      <c r="B16482" s="3" t="s">
        <v>11</v>
      </c>
      <c r="C16482" s="23" t="s">
        <v>2258</v>
      </c>
      <c r="D16482" s="21"/>
    </row>
    <row r="16483" spans="1:4" ht="12.75" customHeight="1" x14ac:dyDescent="0.2">
      <c r="A16483" s="21"/>
      <c r="B16483" s="3" t="s">
        <v>16</v>
      </c>
      <c r="C16483" s="23"/>
      <c r="D16483" s="21"/>
    </row>
    <row r="16484" spans="1:4" ht="12.75" customHeight="1" x14ac:dyDescent="0.2">
      <c r="A16484" s="21"/>
      <c r="B16484" s="3" t="s">
        <v>17</v>
      </c>
      <c r="C16484" s="23" t="s">
        <v>19</v>
      </c>
      <c r="D16484" s="21"/>
    </row>
    <row r="16485" spans="1:4" ht="12.75" customHeight="1" x14ac:dyDescent="0.2">
      <c r="A16485" s="21"/>
      <c r="B16485" s="20" t="s">
        <v>18</v>
      </c>
      <c r="C16485" s="8" t="s">
        <v>77</v>
      </c>
      <c r="D16485" s="1" t="str">
        <f>HYPERLINK("javascript:void(0)","roncogás")</f>
        <v>roncogás</v>
      </c>
    </row>
    <row r="16486" spans="1:4" ht="12.75" customHeight="1" x14ac:dyDescent="0.2">
      <c r="A16486" s="21"/>
      <c r="B16486" s="21"/>
      <c r="C16486" s="8" t="s">
        <v>44</v>
      </c>
      <c r="D16486" s="1" t="str">
        <f>HYPERLINK("javascript:void(0)","földrengető")</f>
        <v>földrengető</v>
      </c>
    </row>
    <row r="16487" spans="1:4" ht="12.75" customHeight="1" x14ac:dyDescent="0.2">
      <c r="A16487" s="21"/>
      <c r="B16487" s="21"/>
      <c r="C16487" s="8" t="s">
        <v>117</v>
      </c>
      <c r="D16487" s="1" t="str">
        <f>HYPERLINK("javascript:void(0)","epicentrum")</f>
        <v>epicentrum</v>
      </c>
    </row>
    <row r="16488" spans="1:4" ht="12.75" customHeight="1" x14ac:dyDescent="0.2">
      <c r="A16488" s="21"/>
      <c r="B16488" s="2"/>
      <c r="C16488" s="7"/>
      <c r="D16488" s="7"/>
    </row>
    <row r="16489" spans="1:4" ht="12.75" customHeight="1" x14ac:dyDescent="0.2">
      <c r="A16489" s="21"/>
      <c r="B16489" s="2"/>
      <c r="C16489" s="7"/>
      <c r="D16489" s="7"/>
    </row>
    <row r="16490" spans="1:4" ht="12.75" customHeight="1" x14ac:dyDescent="0.2">
      <c r="A16490" s="21"/>
      <c r="B16490" s="2"/>
      <c r="C16490" s="7"/>
      <c r="D16490" s="7"/>
    </row>
    <row r="16491" spans="1:4" ht="12.75" customHeight="1" x14ac:dyDescent="0.2">
      <c r="A16491" s="21"/>
      <c r="B16491" s="2"/>
      <c r="C16491" s="7"/>
      <c r="D16491" s="7"/>
    </row>
    <row r="16492" spans="1:4" ht="12.75" customHeight="1" x14ac:dyDescent="0.2">
      <c r="A16492" s="5"/>
      <c r="B16492" s="2"/>
      <c r="C16492" s="7"/>
      <c r="D16492" s="7"/>
    </row>
    <row r="16493" spans="1:4" ht="12.75" customHeight="1" x14ac:dyDescent="0.2">
      <c r="A16493" s="22" t="str">
        <f>HYPERLINK("javascript:void(0)","villanyos kispajzs")</f>
        <v>villanyos kispajzs</v>
      </c>
      <c r="B16493" s="21"/>
      <c r="C16493" s="21"/>
      <c r="D16493" s="21"/>
    </row>
    <row r="16494" spans="1:4" ht="12.75" customHeight="1" x14ac:dyDescent="0.2">
      <c r="A16494" s="20"/>
      <c r="B16494" s="2"/>
      <c r="C16494" s="7"/>
      <c r="D16494" s="7"/>
    </row>
    <row r="16495" spans="1:4" ht="12.75" customHeight="1" x14ac:dyDescent="0.2">
      <c r="A16495" s="21"/>
      <c r="B16495" s="3" t="s">
        <v>0</v>
      </c>
      <c r="C16495" s="23" t="s">
        <v>1230</v>
      </c>
      <c r="D16495" s="21"/>
    </row>
    <row r="16496" spans="1:4" ht="12.75" customHeight="1" x14ac:dyDescent="0.2">
      <c r="A16496" s="21"/>
      <c r="B16496" s="3" t="s">
        <v>2</v>
      </c>
      <c r="C16496" s="23" t="s">
        <v>1839</v>
      </c>
      <c r="D16496" s="21"/>
    </row>
    <row r="16497" spans="1:4" ht="12.75" customHeight="1" x14ac:dyDescent="0.2">
      <c r="A16497" s="21"/>
      <c r="B16497" s="3" t="s">
        <v>1840</v>
      </c>
      <c r="C16497" s="23" t="s">
        <v>2467</v>
      </c>
      <c r="D16497" s="21"/>
    </row>
    <row r="16498" spans="1:4" ht="12.75" customHeight="1" x14ac:dyDescent="0.2">
      <c r="A16498" s="21"/>
      <c r="B16498" s="3" t="s">
        <v>9</v>
      </c>
      <c r="C16498" s="23" t="s">
        <v>1729</v>
      </c>
      <c r="D16498" s="21"/>
    </row>
    <row r="16499" spans="1:4" ht="12.75" customHeight="1" x14ac:dyDescent="0.2">
      <c r="A16499" s="21"/>
      <c r="B16499" s="3" t="s">
        <v>11</v>
      </c>
      <c r="C16499" s="23" t="s">
        <v>1083</v>
      </c>
      <c r="D16499" s="21"/>
    </row>
    <row r="16500" spans="1:4" ht="12.75" customHeight="1" x14ac:dyDescent="0.2">
      <c r="A16500" s="21"/>
      <c r="B16500" s="3" t="s">
        <v>16</v>
      </c>
      <c r="C16500" s="23"/>
      <c r="D16500" s="21"/>
    </row>
    <row r="16501" spans="1:4" ht="12.75" customHeight="1" x14ac:dyDescent="0.2">
      <c r="A16501" s="21"/>
      <c r="B16501" s="3" t="s">
        <v>17</v>
      </c>
      <c r="C16501" s="23" t="s">
        <v>19</v>
      </c>
      <c r="D16501" s="21"/>
    </row>
    <row r="16502" spans="1:4" ht="12.75" customHeight="1" x14ac:dyDescent="0.2">
      <c r="A16502" s="21"/>
      <c r="B16502" s="20" t="s">
        <v>18</v>
      </c>
      <c r="C16502" s="8" t="s">
        <v>44</v>
      </c>
      <c r="D16502" s="1" t="str">
        <f>HYPERLINK("javascript:void(0)","csontos éjpajzs")</f>
        <v>csontos éjpajzs</v>
      </c>
    </row>
    <row r="16503" spans="1:4" ht="12.75" customHeight="1" x14ac:dyDescent="0.2">
      <c r="A16503" s="21"/>
      <c r="B16503" s="21"/>
      <c r="C16503" s="8" t="s">
        <v>232</v>
      </c>
      <c r="D16503" s="1" t="str">
        <f>HYPERLINK("javascript:void(0)","napenergia")</f>
        <v>napenergia</v>
      </c>
    </row>
    <row r="16504" spans="1:4" ht="12.75" customHeight="1" x14ac:dyDescent="0.2">
      <c r="A16504" s="21"/>
      <c r="B16504" s="21"/>
      <c r="C16504" s="8" t="s">
        <v>98</v>
      </c>
      <c r="D16504" s="1" t="str">
        <f>HYPERLINK("javascript:void(0)","villanyóra")</f>
        <v>villanyóra</v>
      </c>
    </row>
    <row r="16505" spans="1:4" ht="12.75" customHeight="1" x14ac:dyDescent="0.2">
      <c r="A16505" s="21"/>
      <c r="B16505" s="2"/>
      <c r="C16505" s="7"/>
      <c r="D16505" s="7"/>
    </row>
    <row r="16506" spans="1:4" ht="12.75" customHeight="1" x14ac:dyDescent="0.2">
      <c r="A16506" s="21"/>
      <c r="B16506" s="2"/>
      <c r="C16506" s="7"/>
      <c r="D16506" s="7"/>
    </row>
    <row r="16507" spans="1:4" ht="12.75" customHeight="1" x14ac:dyDescent="0.2">
      <c r="A16507" s="21"/>
      <c r="B16507" s="2"/>
      <c r="C16507" s="7"/>
      <c r="D16507" s="7"/>
    </row>
    <row r="16508" spans="1:4" ht="12.75" customHeight="1" x14ac:dyDescent="0.2">
      <c r="A16508" s="21"/>
      <c r="B16508" s="2"/>
      <c r="C16508" s="7"/>
      <c r="D16508" s="7"/>
    </row>
    <row r="16509" spans="1:4" ht="12.75" customHeight="1" x14ac:dyDescent="0.2">
      <c r="A16509" s="5"/>
      <c r="B16509" s="2"/>
      <c r="C16509" s="7"/>
      <c r="D16509" s="7"/>
    </row>
    <row r="16510" spans="1:4" ht="12.75" customHeight="1" x14ac:dyDescent="0.2">
      <c r="A16510" s="22" t="str">
        <f>HYPERLINK("javascript:void(0)","csomós antigrav csizma")</f>
        <v>csomós antigrav csizma</v>
      </c>
      <c r="B16510" s="21"/>
      <c r="C16510" s="21"/>
      <c r="D16510" s="21"/>
    </row>
    <row r="16511" spans="1:4" ht="12.75" customHeight="1" x14ac:dyDescent="0.2">
      <c r="A16511" s="20"/>
      <c r="B16511" s="2"/>
      <c r="C16511" s="7"/>
      <c r="D16511" s="7"/>
    </row>
    <row r="16512" spans="1:4" ht="12.75" customHeight="1" x14ac:dyDescent="0.2">
      <c r="A16512" s="21"/>
      <c r="B16512" s="3" t="s">
        <v>0</v>
      </c>
      <c r="C16512" s="23" t="s">
        <v>1230</v>
      </c>
      <c r="D16512" s="21"/>
    </row>
    <row r="16513" spans="1:4" ht="12.75" customHeight="1" x14ac:dyDescent="0.2">
      <c r="A16513" s="21"/>
      <c r="B16513" s="3" t="s">
        <v>2</v>
      </c>
      <c r="C16513" s="23"/>
      <c r="D16513" s="21"/>
    </row>
    <row r="16514" spans="1:4" ht="12.75" customHeight="1" x14ac:dyDescent="0.2">
      <c r="A16514" s="21"/>
      <c r="B16514" s="3" t="s">
        <v>1840</v>
      </c>
      <c r="C16514" s="23" t="s">
        <v>2243</v>
      </c>
      <c r="D16514" s="21"/>
    </row>
    <row r="16515" spans="1:4" ht="12.75" customHeight="1" x14ac:dyDescent="0.2">
      <c r="A16515" s="21"/>
      <c r="B16515" s="3" t="s">
        <v>9</v>
      </c>
      <c r="C16515" s="23" t="s">
        <v>626</v>
      </c>
      <c r="D16515" s="21"/>
    </row>
    <row r="16516" spans="1:4" ht="12.75" customHeight="1" x14ac:dyDescent="0.2">
      <c r="A16516" s="21"/>
      <c r="B16516" s="3" t="s">
        <v>11</v>
      </c>
      <c r="C16516" s="23" t="s">
        <v>23</v>
      </c>
      <c r="D16516" s="21"/>
    </row>
    <row r="16517" spans="1:4" ht="12.75" customHeight="1" x14ac:dyDescent="0.2">
      <c r="A16517" s="21"/>
      <c r="B16517" s="3" t="s">
        <v>16</v>
      </c>
      <c r="C16517" s="23"/>
      <c r="D16517" s="21"/>
    </row>
    <row r="16518" spans="1:4" ht="12.75" customHeight="1" x14ac:dyDescent="0.2">
      <c r="A16518" s="21"/>
      <c r="B16518" s="3" t="s">
        <v>17</v>
      </c>
      <c r="C16518" s="23" t="s">
        <v>19</v>
      </c>
      <c r="D16518" s="21"/>
    </row>
    <row r="16519" spans="1:4" ht="25.5" customHeight="1" x14ac:dyDescent="0.2">
      <c r="A16519" s="21"/>
      <c r="B16519" s="20" t="s">
        <v>18</v>
      </c>
      <c r="C16519" s="8" t="s">
        <v>44</v>
      </c>
      <c r="D16519" s="1" t="str">
        <f>HYPERLINK("javascript:void(0)","démonjárta antigrav csizma")</f>
        <v>démonjárta antigrav csizma</v>
      </c>
    </row>
    <row r="16520" spans="1:4" ht="12.75" customHeight="1" x14ac:dyDescent="0.2">
      <c r="A16520" s="21"/>
      <c r="B16520" s="21"/>
      <c r="C16520" s="8" t="s">
        <v>193</v>
      </c>
      <c r="D16520" s="1" t="str">
        <f>HYPERLINK("javascript:void(0)","tollcsomó")</f>
        <v>tollcsomó</v>
      </c>
    </row>
    <row r="16521" spans="1:4" ht="12.75" customHeight="1" x14ac:dyDescent="0.2">
      <c r="A16521" s="21"/>
      <c r="B16521" s="21"/>
      <c r="C16521" s="8" t="s">
        <v>98</v>
      </c>
      <c r="D16521" s="1" t="str">
        <f>HYPERLINK("javascript:void(0)","bőrszárny")</f>
        <v>bőrszárny</v>
      </c>
    </row>
    <row r="16522" spans="1:4" ht="12.75" customHeight="1" x14ac:dyDescent="0.2">
      <c r="A16522" s="21"/>
      <c r="B16522" s="2"/>
      <c r="C16522" s="7"/>
      <c r="D16522" s="7"/>
    </row>
    <row r="16523" spans="1:4" ht="12.75" customHeight="1" x14ac:dyDescent="0.2">
      <c r="A16523" s="21"/>
      <c r="B16523" s="2"/>
      <c r="C16523" s="7"/>
      <c r="D16523" s="7"/>
    </row>
    <row r="16524" spans="1:4" ht="12.75" customHeight="1" x14ac:dyDescent="0.2">
      <c r="A16524" s="21"/>
      <c r="B16524" s="2"/>
      <c r="C16524" s="7"/>
      <c r="D16524" s="7"/>
    </row>
    <row r="16525" spans="1:4" ht="12.75" customHeight="1" x14ac:dyDescent="0.2">
      <c r="A16525" s="21"/>
      <c r="B16525" s="2"/>
      <c r="C16525" s="7"/>
      <c r="D16525" s="7"/>
    </row>
    <row r="16526" spans="1:4" ht="12.75" customHeight="1" x14ac:dyDescent="0.2">
      <c r="A16526" s="5"/>
      <c r="B16526" s="2"/>
      <c r="C16526" s="7"/>
      <c r="D16526" s="7"/>
    </row>
    <row r="16527" spans="1:4" ht="12.75" customHeight="1" x14ac:dyDescent="0.2">
      <c r="A16527" s="22" t="str">
        <f>HYPERLINK("javascript:void(0)","szines prémzeke")</f>
        <v>szines prémzeke</v>
      </c>
      <c r="B16527" s="21"/>
      <c r="C16527" s="21"/>
      <c r="D16527" s="21"/>
    </row>
    <row r="16528" spans="1:4" ht="12.75" customHeight="1" x14ac:dyDescent="0.2">
      <c r="A16528" s="20"/>
      <c r="B16528" s="2"/>
      <c r="C16528" s="7"/>
      <c r="D16528" s="7"/>
    </row>
    <row r="16529" spans="1:4" ht="12.75" customHeight="1" x14ac:dyDescent="0.2">
      <c r="A16529" s="21"/>
      <c r="B16529" s="3" t="s">
        <v>0</v>
      </c>
      <c r="C16529" s="23" t="s">
        <v>330</v>
      </c>
      <c r="D16529" s="21"/>
    </row>
    <row r="16530" spans="1:4" ht="12.75" customHeight="1" x14ac:dyDescent="0.2">
      <c r="A16530" s="21"/>
      <c r="B16530" s="3" t="s">
        <v>2</v>
      </c>
      <c r="C16530" s="23" t="s">
        <v>2322</v>
      </c>
      <c r="D16530" s="21"/>
    </row>
    <row r="16531" spans="1:4" ht="12.75" customHeight="1" x14ac:dyDescent="0.2">
      <c r="A16531" s="21"/>
      <c r="B16531" s="3" t="s">
        <v>1840</v>
      </c>
      <c r="C16531" s="23" t="s">
        <v>2550</v>
      </c>
      <c r="D16531" s="21"/>
    </row>
    <row r="16532" spans="1:4" ht="12.75" customHeight="1" x14ac:dyDescent="0.2">
      <c r="A16532" s="21"/>
      <c r="B16532" s="3" t="s">
        <v>9</v>
      </c>
      <c r="C16532" s="23" t="s">
        <v>2551</v>
      </c>
      <c r="D16532" s="21"/>
    </row>
    <row r="16533" spans="1:4" ht="12.75" customHeight="1" x14ac:dyDescent="0.2">
      <c r="A16533" s="21"/>
      <c r="B16533" s="3" t="s">
        <v>11</v>
      </c>
      <c r="C16533" s="23" t="s">
        <v>1083</v>
      </c>
      <c r="D16533" s="21"/>
    </row>
    <row r="16534" spans="1:4" ht="12.75" customHeight="1" x14ac:dyDescent="0.2">
      <c r="A16534" s="21"/>
      <c r="B16534" s="3" t="s">
        <v>16</v>
      </c>
      <c r="C16534" s="23"/>
      <c r="D16534" s="21"/>
    </row>
    <row r="16535" spans="1:4" ht="12.75" customHeight="1" x14ac:dyDescent="0.2">
      <c r="A16535" s="21"/>
      <c r="B16535" s="3" t="s">
        <v>17</v>
      </c>
      <c r="C16535" s="23" t="s">
        <v>19</v>
      </c>
      <c r="D16535" s="21"/>
    </row>
    <row r="16536" spans="1:4" ht="12.75" customHeight="1" x14ac:dyDescent="0.2">
      <c r="A16536" s="21"/>
      <c r="B16536" s="20" t="s">
        <v>18</v>
      </c>
      <c r="C16536" s="8" t="s">
        <v>67</v>
      </c>
      <c r="D16536" s="1" t="str">
        <f>HYPERLINK("javascript:void(0)","szinapszis")</f>
        <v>szinapszis</v>
      </c>
    </row>
    <row r="16537" spans="1:4" ht="12.75" customHeight="1" x14ac:dyDescent="0.2">
      <c r="A16537" s="21"/>
      <c r="B16537" s="21"/>
      <c r="C16537" s="8" t="s">
        <v>228</v>
      </c>
      <c r="D16537" s="1" t="str">
        <f>HYPERLINK("javascript:void(0)","orrmányprém")</f>
        <v>orrmányprém</v>
      </c>
    </row>
    <row r="16538" spans="1:4" ht="12.75" customHeight="1" x14ac:dyDescent="0.2">
      <c r="A16538" s="21"/>
      <c r="B16538" s="21"/>
      <c r="C16538" s="8" t="s">
        <v>44</v>
      </c>
      <c r="D16538" s="1" t="str">
        <f>HYPERLINK("javascript:void(0)","haragmellény")</f>
        <v>haragmellény</v>
      </c>
    </row>
    <row r="16539" spans="1:4" ht="12.75" customHeight="1" x14ac:dyDescent="0.2">
      <c r="A16539" s="21"/>
      <c r="B16539" s="2"/>
      <c r="C16539" s="7"/>
      <c r="D16539" s="7"/>
    </row>
    <row r="16540" spans="1:4" ht="12.75" customHeight="1" x14ac:dyDescent="0.2">
      <c r="A16540" s="21"/>
      <c r="B16540" s="2"/>
      <c r="C16540" s="7"/>
      <c r="D16540" s="7"/>
    </row>
    <row r="16541" spans="1:4" ht="12.75" customHeight="1" x14ac:dyDescent="0.2">
      <c r="A16541" s="21"/>
      <c r="B16541" s="2"/>
      <c r="C16541" s="7"/>
      <c r="D16541" s="7"/>
    </row>
    <row r="16542" spans="1:4" ht="12.75" customHeight="1" x14ac:dyDescent="0.2">
      <c r="A16542" s="21"/>
      <c r="B16542" s="2"/>
      <c r="C16542" s="7"/>
      <c r="D16542" s="7"/>
    </row>
    <row r="16543" spans="1:4" ht="12.75" customHeight="1" x14ac:dyDescent="0.2">
      <c r="A16543" s="5"/>
      <c r="B16543" s="2"/>
      <c r="C16543" s="7"/>
      <c r="D16543" s="7"/>
    </row>
    <row r="16544" spans="1:4" ht="12.75" customHeight="1" x14ac:dyDescent="0.2">
      <c r="A16544" s="22" t="str">
        <f>HYPERLINK("javascript:void(0)","csomósisak")</f>
        <v>csomósisak</v>
      </c>
      <c r="B16544" s="21"/>
      <c r="C16544" s="21"/>
      <c r="D16544" s="21"/>
    </row>
    <row r="16545" spans="1:4" ht="12.75" customHeight="1" x14ac:dyDescent="0.2">
      <c r="A16545" s="20"/>
      <c r="B16545" s="2"/>
      <c r="C16545" s="7"/>
      <c r="D16545" s="7"/>
    </row>
    <row r="16546" spans="1:4" ht="12.75" customHeight="1" x14ac:dyDescent="0.2">
      <c r="A16546" s="21"/>
      <c r="B16546" s="3" t="s">
        <v>0</v>
      </c>
      <c r="C16546" s="23" t="s">
        <v>330</v>
      </c>
      <c r="D16546" s="21"/>
    </row>
    <row r="16547" spans="1:4" ht="12.75" customHeight="1" x14ac:dyDescent="0.2">
      <c r="A16547" s="21"/>
      <c r="B16547" s="3" t="s">
        <v>2</v>
      </c>
      <c r="C16547" s="23"/>
      <c r="D16547" s="21"/>
    </row>
    <row r="16548" spans="1:4" ht="12.75" customHeight="1" x14ac:dyDescent="0.2">
      <c r="A16548" s="21"/>
      <c r="B16548" s="3" t="s">
        <v>1840</v>
      </c>
      <c r="C16548" s="23" t="s">
        <v>1823</v>
      </c>
      <c r="D16548" s="21"/>
    </row>
    <row r="16549" spans="1:4" ht="12.75" customHeight="1" x14ac:dyDescent="0.2">
      <c r="A16549" s="21"/>
      <c r="B16549" s="3" t="s">
        <v>9</v>
      </c>
      <c r="C16549" s="23" t="s">
        <v>5939</v>
      </c>
      <c r="D16549" s="21"/>
    </row>
    <row r="16550" spans="1:4" ht="12.75" customHeight="1" x14ac:dyDescent="0.2">
      <c r="A16550" s="21"/>
      <c r="B16550" s="3" t="s">
        <v>11</v>
      </c>
      <c r="C16550" s="23" t="s">
        <v>1075</v>
      </c>
      <c r="D16550" s="21"/>
    </row>
    <row r="16551" spans="1:4" ht="12.75" customHeight="1" x14ac:dyDescent="0.2">
      <c r="A16551" s="21"/>
      <c r="B16551" s="3" t="s">
        <v>16</v>
      </c>
      <c r="C16551" s="23"/>
      <c r="D16551" s="21"/>
    </row>
    <row r="16552" spans="1:4" ht="12.75" customHeight="1" x14ac:dyDescent="0.2">
      <c r="A16552" s="21"/>
      <c r="B16552" s="3" t="s">
        <v>17</v>
      </c>
      <c r="C16552" s="23" t="s">
        <v>19</v>
      </c>
      <c r="D16552" s="21"/>
    </row>
    <row r="16553" spans="1:4" ht="12.75" customHeight="1" x14ac:dyDescent="0.2">
      <c r="A16553" s="21"/>
      <c r="B16553" s="20" t="s">
        <v>18</v>
      </c>
      <c r="C16553" s="8" t="s">
        <v>44</v>
      </c>
      <c r="D16553" s="1" t="str">
        <f>HYPERLINK("javascript:void(0)","gutasisak")</f>
        <v>gutasisak</v>
      </c>
    </row>
    <row r="16554" spans="1:4" ht="12.75" customHeight="1" x14ac:dyDescent="0.2">
      <c r="A16554" s="21"/>
      <c r="B16554" s="21"/>
      <c r="C16554" s="8" t="s">
        <v>102</v>
      </c>
      <c r="D16554" s="1" t="str">
        <f>HYPERLINK("javascript:void(0)","tollcsomó")</f>
        <v>tollcsomó</v>
      </c>
    </row>
    <row r="16555" spans="1:4" ht="12.75" customHeight="1" x14ac:dyDescent="0.2">
      <c r="A16555" s="21"/>
      <c r="B16555" s="21"/>
      <c r="C16555" s="8" t="s">
        <v>196</v>
      </c>
      <c r="D16555" s="1" t="str">
        <f>HYPERLINK("javascript:void(0)","villanyóra")</f>
        <v>villanyóra</v>
      </c>
    </row>
    <row r="16556" spans="1:4" ht="12.75" customHeight="1" x14ac:dyDescent="0.2">
      <c r="A16556" s="21"/>
      <c r="B16556" s="2"/>
      <c r="C16556" s="7"/>
      <c r="D16556" s="7"/>
    </row>
    <row r="16557" spans="1:4" ht="12.75" customHeight="1" x14ac:dyDescent="0.2">
      <c r="A16557" s="21"/>
      <c r="B16557" s="2"/>
      <c r="C16557" s="7"/>
      <c r="D16557" s="7"/>
    </row>
    <row r="16558" spans="1:4" ht="12.75" customHeight="1" x14ac:dyDescent="0.2">
      <c r="A16558" s="21"/>
      <c r="B16558" s="2"/>
      <c r="C16558" s="7"/>
      <c r="D16558" s="7"/>
    </row>
    <row r="16559" spans="1:4" ht="12.75" customHeight="1" x14ac:dyDescent="0.2">
      <c r="A16559" s="21"/>
      <c r="B16559" s="2"/>
      <c r="C16559" s="7"/>
      <c r="D16559" s="7"/>
    </row>
    <row r="16560" spans="1:4" ht="12.75" customHeight="1" x14ac:dyDescent="0.2">
      <c r="A16560" s="5"/>
      <c r="B16560" s="2"/>
      <c r="C16560" s="7"/>
      <c r="D16560" s="7"/>
    </row>
    <row r="16561" spans="1:4" ht="12.75" customHeight="1" x14ac:dyDescent="0.2">
      <c r="A16561" s="22" t="str">
        <f>HYPERLINK("javascript:void(0)","prémes tolltaposó")</f>
        <v>prémes tolltaposó</v>
      </c>
      <c r="B16561" s="21"/>
      <c r="C16561" s="21"/>
      <c r="D16561" s="21"/>
    </row>
    <row r="16562" spans="1:4" ht="12.75" customHeight="1" x14ac:dyDescent="0.2">
      <c r="A16562" s="20"/>
      <c r="B16562" s="2"/>
      <c r="C16562" s="7"/>
      <c r="D16562" s="7"/>
    </row>
    <row r="16563" spans="1:4" ht="12.75" customHeight="1" x14ac:dyDescent="0.2">
      <c r="A16563" s="21"/>
      <c r="B16563" s="3" t="s">
        <v>0</v>
      </c>
      <c r="C16563" s="23" t="s">
        <v>330</v>
      </c>
      <c r="D16563" s="21"/>
    </row>
    <row r="16564" spans="1:4" ht="12.75" customHeight="1" x14ac:dyDescent="0.2">
      <c r="A16564" s="21"/>
      <c r="B16564" s="3" t="s">
        <v>2</v>
      </c>
      <c r="C16564" s="23"/>
      <c r="D16564" s="21"/>
    </row>
    <row r="16565" spans="1:4" ht="12.75" customHeight="1" x14ac:dyDescent="0.2">
      <c r="A16565" s="21"/>
      <c r="B16565" s="3" t="s">
        <v>1840</v>
      </c>
      <c r="C16565" s="23" t="s">
        <v>572</v>
      </c>
      <c r="D16565" s="21"/>
    </row>
    <row r="16566" spans="1:4" ht="12.75" customHeight="1" x14ac:dyDescent="0.2">
      <c r="A16566" s="21"/>
      <c r="B16566" s="3" t="s">
        <v>9</v>
      </c>
      <c r="C16566" s="23" t="s">
        <v>169</v>
      </c>
      <c r="D16566" s="21"/>
    </row>
    <row r="16567" spans="1:4" ht="12.75" customHeight="1" x14ac:dyDescent="0.2">
      <c r="A16567" s="21"/>
      <c r="B16567" s="3" t="s">
        <v>11</v>
      </c>
      <c r="C16567" s="23" t="s">
        <v>1075</v>
      </c>
      <c r="D16567" s="21"/>
    </row>
    <row r="16568" spans="1:4" ht="12.75" customHeight="1" x14ac:dyDescent="0.2">
      <c r="A16568" s="21"/>
      <c r="B16568" s="3" t="s">
        <v>16</v>
      </c>
      <c r="C16568" s="23"/>
      <c r="D16568" s="21"/>
    </row>
    <row r="16569" spans="1:4" ht="12.75" customHeight="1" x14ac:dyDescent="0.2">
      <c r="A16569" s="21"/>
      <c r="B16569" s="3" t="s">
        <v>17</v>
      </c>
      <c r="C16569" s="23" t="s">
        <v>19</v>
      </c>
      <c r="D16569" s="21"/>
    </row>
    <row r="16570" spans="1:4" ht="12.75" customHeight="1" x14ac:dyDescent="0.2">
      <c r="A16570" s="21"/>
      <c r="B16570" s="20" t="s">
        <v>18</v>
      </c>
      <c r="C16570" s="8" t="s">
        <v>68</v>
      </c>
      <c r="D16570" s="1" t="str">
        <f>HYPERLINK("javascript:void(0)","orrmányprém")</f>
        <v>orrmányprém</v>
      </c>
    </row>
    <row r="16571" spans="1:4" ht="12.75" customHeight="1" x14ac:dyDescent="0.2">
      <c r="A16571" s="21"/>
      <c r="B16571" s="21"/>
      <c r="C16571" s="8" t="s">
        <v>44</v>
      </c>
      <c r="D16571" s="1" t="str">
        <f>HYPERLINK("javascript:void(0)","haragos bakancs")</f>
        <v>haragos bakancs</v>
      </c>
    </row>
    <row r="16572" spans="1:4" ht="12.75" customHeight="1" x14ac:dyDescent="0.2">
      <c r="A16572" s="21"/>
      <c r="B16572" s="21"/>
      <c r="C16572" s="8" t="s">
        <v>55</v>
      </c>
      <c r="D16572" s="1" t="str">
        <f>HYPERLINK("javascript:void(0)","szinapszis")</f>
        <v>szinapszis</v>
      </c>
    </row>
    <row r="16573" spans="1:4" ht="12.75" customHeight="1" x14ac:dyDescent="0.2">
      <c r="A16573" s="21"/>
      <c r="B16573" s="2"/>
      <c r="C16573" s="7"/>
      <c r="D16573" s="7"/>
    </row>
    <row r="16574" spans="1:4" ht="12.75" customHeight="1" x14ac:dyDescent="0.2">
      <c r="A16574" s="21"/>
      <c r="B16574" s="2"/>
      <c r="C16574" s="7"/>
      <c r="D16574" s="7"/>
    </row>
    <row r="16575" spans="1:4" ht="12.75" customHeight="1" x14ac:dyDescent="0.2">
      <c r="A16575" s="21"/>
      <c r="B16575" s="2"/>
      <c r="C16575" s="7"/>
      <c r="D16575" s="7"/>
    </row>
    <row r="16576" spans="1:4" ht="12.75" customHeight="1" x14ac:dyDescent="0.2">
      <c r="A16576" s="21"/>
      <c r="B16576" s="2"/>
      <c r="C16576" s="7"/>
      <c r="D16576" s="7"/>
    </row>
    <row r="16577" spans="1:4" ht="12.75" customHeight="1" x14ac:dyDescent="0.2">
      <c r="A16577" s="5"/>
      <c r="B16577" s="2"/>
      <c r="C16577" s="7"/>
      <c r="D16577" s="7"/>
    </row>
    <row r="16578" spans="1:4" ht="12.75" customHeight="1" x14ac:dyDescent="0.2">
      <c r="A16578" s="22" t="str">
        <f>HYPERLINK("javascript:void(0)","villanyos haragpajzs")</f>
        <v>villanyos haragpajzs</v>
      </c>
      <c r="B16578" s="21"/>
      <c r="C16578" s="21"/>
      <c r="D16578" s="21"/>
    </row>
    <row r="16579" spans="1:4" ht="12.75" customHeight="1" x14ac:dyDescent="0.2">
      <c r="A16579" s="20"/>
      <c r="B16579" s="2"/>
      <c r="C16579" s="7"/>
      <c r="D16579" s="7"/>
    </row>
    <row r="16580" spans="1:4" ht="12.75" customHeight="1" x14ac:dyDescent="0.2">
      <c r="A16580" s="21"/>
      <c r="B16580" s="3" t="s">
        <v>0</v>
      </c>
      <c r="C16580" s="23" t="s">
        <v>330</v>
      </c>
      <c r="D16580" s="21"/>
    </row>
    <row r="16581" spans="1:4" ht="12.75" customHeight="1" x14ac:dyDescent="0.2">
      <c r="A16581" s="21"/>
      <c r="B16581" s="3" t="s">
        <v>2</v>
      </c>
      <c r="C16581" s="23" t="s">
        <v>1839</v>
      </c>
      <c r="D16581" s="21"/>
    </row>
    <row r="16582" spans="1:4" ht="12.75" customHeight="1" x14ac:dyDescent="0.2">
      <c r="A16582" s="21"/>
      <c r="B16582" s="3" t="s">
        <v>1840</v>
      </c>
      <c r="C16582" s="23" t="s">
        <v>5942</v>
      </c>
      <c r="D16582" s="21"/>
    </row>
    <row r="16583" spans="1:4" ht="12.75" customHeight="1" x14ac:dyDescent="0.2">
      <c r="A16583" s="21"/>
      <c r="B16583" s="3" t="s">
        <v>9</v>
      </c>
      <c r="C16583" s="23" t="s">
        <v>5943</v>
      </c>
      <c r="D16583" s="21"/>
    </row>
    <row r="16584" spans="1:4" ht="12.75" customHeight="1" x14ac:dyDescent="0.2">
      <c r="A16584" s="21"/>
      <c r="B16584" s="3" t="s">
        <v>11</v>
      </c>
      <c r="C16584" s="23" t="s">
        <v>2267</v>
      </c>
      <c r="D16584" s="21"/>
    </row>
    <row r="16585" spans="1:4" ht="12.75" customHeight="1" x14ac:dyDescent="0.2">
      <c r="A16585" s="21"/>
      <c r="B16585" s="3" t="s">
        <v>16</v>
      </c>
      <c r="C16585" s="23"/>
      <c r="D16585" s="21"/>
    </row>
    <row r="16586" spans="1:4" ht="12.75" customHeight="1" x14ac:dyDescent="0.2">
      <c r="A16586" s="21"/>
      <c r="B16586" s="3" t="s">
        <v>17</v>
      </c>
      <c r="C16586" s="23" t="s">
        <v>19</v>
      </c>
      <c r="D16586" s="21"/>
    </row>
    <row r="16587" spans="1:4" ht="12.75" customHeight="1" x14ac:dyDescent="0.2">
      <c r="A16587" s="21"/>
      <c r="B16587" s="20" t="s">
        <v>18</v>
      </c>
      <c r="C16587" s="8" t="s">
        <v>44</v>
      </c>
      <c r="D16587" s="1" t="str">
        <f>HYPERLINK("javascript:void(0)","villanyos kispajzs")</f>
        <v>villanyos kispajzs</v>
      </c>
    </row>
    <row r="16588" spans="1:4" ht="12.75" customHeight="1" x14ac:dyDescent="0.2">
      <c r="A16588" s="21"/>
      <c r="B16588" s="21"/>
      <c r="C16588" s="8" t="s">
        <v>196</v>
      </c>
      <c r="D16588" s="1" t="str">
        <f>HYPERLINK("javascript:void(0)","utóguta")</f>
        <v>utóguta</v>
      </c>
    </row>
    <row r="16589" spans="1:4" ht="12.75" customHeight="1" x14ac:dyDescent="0.2">
      <c r="A16589" s="21"/>
      <c r="B16589" s="21"/>
      <c r="C16589" s="8" t="s">
        <v>67</v>
      </c>
      <c r="D16589" s="1" t="str">
        <f>HYPERLINK("javascript:void(0)","epicentrum")</f>
        <v>epicentrum</v>
      </c>
    </row>
    <row r="16590" spans="1:4" ht="12.75" customHeight="1" x14ac:dyDescent="0.2">
      <c r="A16590" s="21"/>
      <c r="B16590" s="2"/>
      <c r="C16590" s="7"/>
      <c r="D16590" s="7"/>
    </row>
    <row r="16591" spans="1:4" ht="12.75" customHeight="1" x14ac:dyDescent="0.2">
      <c r="A16591" s="21"/>
      <c r="B16591" s="2"/>
      <c r="C16591" s="7"/>
      <c r="D16591" s="7"/>
    </row>
    <row r="16592" spans="1:4" ht="12.75" customHeight="1" x14ac:dyDescent="0.2">
      <c r="A16592" s="21"/>
      <c r="B16592" s="2"/>
      <c r="C16592" s="7"/>
      <c r="D16592" s="7"/>
    </row>
    <row r="16593" spans="1:4" ht="12.75" customHeight="1" x14ac:dyDescent="0.2">
      <c r="A16593" s="21"/>
      <c r="B16593" s="2"/>
      <c r="C16593" s="7"/>
      <c r="D16593" s="7"/>
    </row>
    <row r="16594" spans="1:4" ht="12.75" customHeight="1" x14ac:dyDescent="0.2">
      <c r="A16594" s="5"/>
      <c r="B16594" s="2"/>
      <c r="C16594" s="7"/>
      <c r="D16594" s="7"/>
    </row>
    <row r="16595" spans="1:4" ht="12.75" customHeight="1" x14ac:dyDescent="0.2">
      <c r="A16595" s="22" t="str">
        <f>HYPERLINK("javascript:void(0)","gutasaru")</f>
        <v>gutasaru</v>
      </c>
      <c r="B16595" s="21"/>
      <c r="C16595" s="21"/>
      <c r="D16595" s="21"/>
    </row>
    <row r="16596" spans="1:4" ht="12.75" customHeight="1" x14ac:dyDescent="0.2">
      <c r="A16596" s="20"/>
      <c r="B16596" s="2"/>
      <c r="C16596" s="7"/>
      <c r="D16596" s="7"/>
    </row>
    <row r="16597" spans="1:4" ht="12.75" customHeight="1" x14ac:dyDescent="0.2">
      <c r="A16597" s="21"/>
      <c r="B16597" s="3" t="s">
        <v>0</v>
      </c>
      <c r="C16597" s="23" t="s">
        <v>345</v>
      </c>
      <c r="D16597" s="21"/>
    </row>
    <row r="16598" spans="1:4" ht="12.75" customHeight="1" x14ac:dyDescent="0.2">
      <c r="A16598" s="21"/>
      <c r="B16598" s="3" t="s">
        <v>2</v>
      </c>
      <c r="C16598" s="23"/>
      <c r="D16598" s="21"/>
    </row>
    <row r="16599" spans="1:4" ht="12.75" customHeight="1" x14ac:dyDescent="0.2">
      <c r="A16599" s="21"/>
      <c r="B16599" s="3" t="s">
        <v>1840</v>
      </c>
      <c r="C16599" s="23" t="s">
        <v>2260</v>
      </c>
      <c r="D16599" s="21"/>
    </row>
    <row r="16600" spans="1:4" ht="12.75" customHeight="1" x14ac:dyDescent="0.2">
      <c r="A16600" s="21"/>
      <c r="B16600" s="3" t="s">
        <v>9</v>
      </c>
      <c r="C16600" s="23" t="s">
        <v>343</v>
      </c>
      <c r="D16600" s="21"/>
    </row>
    <row r="16601" spans="1:4" ht="12.75" customHeight="1" x14ac:dyDescent="0.2">
      <c r="A16601" s="21"/>
      <c r="B16601" s="3" t="s">
        <v>11</v>
      </c>
      <c r="C16601" s="23" t="s">
        <v>2261</v>
      </c>
      <c r="D16601" s="21"/>
    </row>
    <row r="16602" spans="1:4" ht="12.75" customHeight="1" x14ac:dyDescent="0.2">
      <c r="A16602" s="21"/>
      <c r="B16602" s="3" t="s">
        <v>16</v>
      </c>
      <c r="C16602" s="23"/>
      <c r="D16602" s="21"/>
    </row>
    <row r="16603" spans="1:4" ht="12.75" customHeight="1" x14ac:dyDescent="0.2">
      <c r="A16603" s="21"/>
      <c r="B16603" s="3" t="s">
        <v>17</v>
      </c>
      <c r="C16603" s="23" t="s">
        <v>19</v>
      </c>
      <c r="D16603" s="21"/>
    </row>
    <row r="16604" spans="1:4" ht="12.75" customHeight="1" x14ac:dyDescent="0.2">
      <c r="A16604" s="21"/>
      <c r="B16604" s="20" t="s">
        <v>18</v>
      </c>
      <c r="C16604" s="8" t="s">
        <v>44</v>
      </c>
      <c r="D16604" s="1" t="str">
        <f>HYPERLINK("javascript:void(0)","prémes tolltaposó")</f>
        <v>prémes tolltaposó</v>
      </c>
    </row>
    <row r="16605" spans="1:4" ht="12.75" customHeight="1" x14ac:dyDescent="0.2">
      <c r="A16605" s="21"/>
      <c r="B16605" s="21"/>
      <c r="C16605" s="8" t="s">
        <v>98</v>
      </c>
      <c r="D16605" s="1" t="str">
        <f>HYPERLINK("javascript:void(0)","utóguta")</f>
        <v>utóguta</v>
      </c>
    </row>
    <row r="16606" spans="1:4" ht="12.75" customHeight="1" x14ac:dyDescent="0.2">
      <c r="A16606" s="21"/>
      <c r="B16606" s="21"/>
      <c r="C16606" s="8" t="s">
        <v>196</v>
      </c>
      <c r="D16606" s="1" t="str">
        <f>HYPERLINK("javascript:void(0)","szimbiótahártya")</f>
        <v>szimbiótahártya</v>
      </c>
    </row>
    <row r="16607" spans="1:4" ht="12.75" customHeight="1" x14ac:dyDescent="0.2">
      <c r="A16607" s="21"/>
      <c r="B16607" s="2"/>
      <c r="C16607" s="7"/>
      <c r="D16607" s="7"/>
    </row>
    <row r="16608" spans="1:4" ht="12.75" customHeight="1" x14ac:dyDescent="0.2">
      <c r="A16608" s="21"/>
      <c r="B16608" s="2"/>
      <c r="C16608" s="7"/>
      <c r="D16608" s="7"/>
    </row>
    <row r="16609" spans="1:4" ht="12.75" customHeight="1" x14ac:dyDescent="0.2">
      <c r="A16609" s="21"/>
      <c r="B16609" s="2"/>
      <c r="C16609" s="7"/>
      <c r="D16609" s="7"/>
    </row>
    <row r="16610" spans="1:4" ht="12.75" customHeight="1" x14ac:dyDescent="0.2">
      <c r="A16610" s="21"/>
      <c r="B16610" s="2"/>
      <c r="C16610" s="7"/>
      <c r="D16610" s="7"/>
    </row>
    <row r="16611" spans="1:4" ht="12.75" customHeight="1" x14ac:dyDescent="0.2">
      <c r="A16611" s="5"/>
      <c r="B16611" s="2"/>
      <c r="C16611" s="7"/>
      <c r="D16611" s="7"/>
    </row>
    <row r="16612" spans="1:4" ht="12.75" customHeight="1" x14ac:dyDescent="0.2">
      <c r="A16612" s="22" t="str">
        <f>HYPERLINK("javascript:void(0)","pandamaszk")</f>
        <v>pandamaszk</v>
      </c>
      <c r="B16612" s="21"/>
      <c r="C16612" s="21"/>
      <c r="D16612" s="21"/>
    </row>
    <row r="16613" spans="1:4" ht="12.75" customHeight="1" x14ac:dyDescent="0.2">
      <c r="A16613" s="20"/>
      <c r="B16613" s="2"/>
      <c r="C16613" s="7"/>
      <c r="D16613" s="7"/>
    </row>
    <row r="16614" spans="1:4" ht="12.75" customHeight="1" x14ac:dyDescent="0.2">
      <c r="A16614" s="21"/>
      <c r="B16614" s="3" t="s">
        <v>0</v>
      </c>
      <c r="C16614" s="23" t="s">
        <v>345</v>
      </c>
      <c r="D16614" s="21"/>
    </row>
    <row r="16615" spans="1:4" ht="12.75" customHeight="1" x14ac:dyDescent="0.2">
      <c r="A16615" s="21"/>
      <c r="B16615" s="3" t="s">
        <v>2</v>
      </c>
      <c r="C16615" s="23"/>
      <c r="D16615" s="21"/>
    </row>
    <row r="16616" spans="1:4" ht="12.75" customHeight="1" x14ac:dyDescent="0.2">
      <c r="A16616" s="21"/>
      <c r="B16616" s="3" t="s">
        <v>1840</v>
      </c>
      <c r="C16616" s="23" t="s">
        <v>2880</v>
      </c>
      <c r="D16616" s="21"/>
    </row>
    <row r="16617" spans="1:4" ht="12.75" customHeight="1" x14ac:dyDescent="0.2">
      <c r="A16617" s="21"/>
      <c r="B16617" s="3" t="s">
        <v>9</v>
      </c>
      <c r="C16617" s="23" t="s">
        <v>42</v>
      </c>
      <c r="D16617" s="21"/>
    </row>
    <row r="16618" spans="1:4" ht="12.75" customHeight="1" x14ac:dyDescent="0.2">
      <c r="A16618" s="21"/>
      <c r="B16618" s="3" t="s">
        <v>11</v>
      </c>
      <c r="C16618" s="23" t="s">
        <v>2261</v>
      </c>
      <c r="D16618" s="21"/>
    </row>
    <row r="16619" spans="1:4" ht="12.75" customHeight="1" x14ac:dyDescent="0.2">
      <c r="A16619" s="21"/>
      <c r="B16619" s="3" t="s">
        <v>16</v>
      </c>
      <c r="C16619" s="23"/>
      <c r="D16619" s="21"/>
    </row>
    <row r="16620" spans="1:4" ht="12.75" customHeight="1" x14ac:dyDescent="0.2">
      <c r="A16620" s="21"/>
      <c r="B16620" s="3" t="s">
        <v>17</v>
      </c>
      <c r="C16620" s="23" t="s">
        <v>19</v>
      </c>
      <c r="D16620" s="21"/>
    </row>
    <row r="16621" spans="1:4" ht="12.75" customHeight="1" x14ac:dyDescent="0.2">
      <c r="A16621" s="21"/>
      <c r="B16621" s="20" t="s">
        <v>18</v>
      </c>
      <c r="C16621" s="8" t="s">
        <v>44</v>
      </c>
      <c r="D16621" s="1" t="str">
        <f>HYPERLINK("javascript:void(0)","csomósisak")</f>
        <v>csomósisak</v>
      </c>
    </row>
    <row r="16622" spans="1:4" ht="12.75" customHeight="1" x14ac:dyDescent="0.2">
      <c r="A16622" s="21"/>
      <c r="B16622" s="21"/>
      <c r="C16622" s="8" t="s">
        <v>117</v>
      </c>
      <c r="D16622" s="1" t="str">
        <f>HYPERLINK("javascript:void(0)","szimbiótahártya")</f>
        <v>szimbiótahártya</v>
      </c>
    </row>
    <row r="16623" spans="1:4" ht="12.75" customHeight="1" x14ac:dyDescent="0.2">
      <c r="A16623" s="21"/>
      <c r="B16623" s="21"/>
      <c r="C16623" s="8" t="s">
        <v>196</v>
      </c>
      <c r="D16623" s="1" t="str">
        <f>HYPERLINK("javascript:void(0)","semmiség")</f>
        <v>semmiség</v>
      </c>
    </row>
    <row r="16624" spans="1:4" ht="12.75" customHeight="1" x14ac:dyDescent="0.2">
      <c r="A16624" s="21"/>
      <c r="B16624" s="2"/>
      <c r="C16624" s="7"/>
      <c r="D16624" s="7"/>
    </row>
    <row r="16625" spans="1:4" ht="12.75" customHeight="1" x14ac:dyDescent="0.2">
      <c r="A16625" s="21"/>
      <c r="B16625" s="2"/>
      <c r="C16625" s="7"/>
      <c r="D16625" s="7"/>
    </row>
    <row r="16626" spans="1:4" ht="12.75" customHeight="1" x14ac:dyDescent="0.2">
      <c r="A16626" s="21"/>
      <c r="B16626" s="2"/>
      <c r="C16626" s="7"/>
      <c r="D16626" s="7"/>
    </row>
    <row r="16627" spans="1:4" ht="12.75" customHeight="1" x14ac:dyDescent="0.2">
      <c r="A16627" s="21"/>
      <c r="B16627" s="2"/>
      <c r="C16627" s="7"/>
      <c r="D16627" s="7"/>
    </row>
    <row r="16628" spans="1:4" ht="12.75" customHeight="1" x14ac:dyDescent="0.2">
      <c r="A16628" s="5"/>
      <c r="B16628" s="2"/>
      <c r="C16628" s="7"/>
      <c r="D16628" s="7"/>
    </row>
    <row r="16629" spans="1:4" ht="12.75" customHeight="1" x14ac:dyDescent="0.2">
      <c r="A16629" s="22" t="str">
        <f>HYPERLINK("javascript:void(0)","párnázott mellvért")</f>
        <v>párnázott mellvért</v>
      </c>
      <c r="B16629" s="21"/>
      <c r="C16629" s="21"/>
      <c r="D16629" s="21"/>
    </row>
    <row r="16630" spans="1:4" ht="12.75" customHeight="1" x14ac:dyDescent="0.2">
      <c r="A16630" s="20"/>
      <c r="B16630" s="2"/>
      <c r="C16630" s="7"/>
      <c r="D16630" s="7"/>
    </row>
    <row r="16631" spans="1:4" ht="12.75" customHeight="1" x14ac:dyDescent="0.2">
      <c r="A16631" s="21"/>
      <c r="B16631" s="3" t="s">
        <v>0</v>
      </c>
      <c r="C16631" s="23" t="s">
        <v>345</v>
      </c>
      <c r="D16631" s="21"/>
    </row>
    <row r="16632" spans="1:4" ht="12.75" customHeight="1" x14ac:dyDescent="0.2">
      <c r="A16632" s="21"/>
      <c r="B16632" s="3" t="s">
        <v>2</v>
      </c>
      <c r="C16632" s="23" t="s">
        <v>2322</v>
      </c>
      <c r="D16632" s="21"/>
    </row>
    <row r="16633" spans="1:4" ht="12.75" customHeight="1" x14ac:dyDescent="0.2">
      <c r="A16633" s="21"/>
      <c r="B16633" s="3" t="s">
        <v>1840</v>
      </c>
      <c r="C16633" s="23" t="s">
        <v>703</v>
      </c>
      <c r="D16633" s="21"/>
    </row>
    <row r="16634" spans="1:4" ht="12.75" customHeight="1" x14ac:dyDescent="0.2">
      <c r="A16634" s="21"/>
      <c r="B16634" s="3" t="s">
        <v>9</v>
      </c>
      <c r="C16634" s="23" t="s">
        <v>169</v>
      </c>
      <c r="D16634" s="21"/>
    </row>
    <row r="16635" spans="1:4" ht="12.75" customHeight="1" x14ac:dyDescent="0.2">
      <c r="A16635" s="21"/>
      <c r="B16635" s="3" t="s">
        <v>11</v>
      </c>
      <c r="C16635" s="23" t="s">
        <v>2270</v>
      </c>
      <c r="D16635" s="21"/>
    </row>
    <row r="16636" spans="1:4" ht="12.75" customHeight="1" x14ac:dyDescent="0.2">
      <c r="A16636" s="21"/>
      <c r="B16636" s="3" t="s">
        <v>16</v>
      </c>
      <c r="C16636" s="23"/>
      <c r="D16636" s="21"/>
    </row>
    <row r="16637" spans="1:4" ht="12.75" customHeight="1" x14ac:dyDescent="0.2">
      <c r="A16637" s="21"/>
      <c r="B16637" s="3" t="s">
        <v>17</v>
      </c>
      <c r="C16637" s="23" t="s">
        <v>19</v>
      </c>
      <c r="D16637" s="21"/>
    </row>
    <row r="16638" spans="1:4" ht="12.75" customHeight="1" x14ac:dyDescent="0.2">
      <c r="A16638" s="21"/>
      <c r="B16638" s="20" t="s">
        <v>18</v>
      </c>
      <c r="C16638" s="8" t="s">
        <v>44</v>
      </c>
      <c r="D16638" s="1" t="str">
        <f>HYPERLINK("javascript:void(0)","szines prémzeke")</f>
        <v>szines prémzeke</v>
      </c>
    </row>
    <row r="16639" spans="1:4" ht="12.75" customHeight="1" x14ac:dyDescent="0.2">
      <c r="A16639" s="21"/>
      <c r="B16639" s="21"/>
      <c r="C16639" s="8" t="s">
        <v>894</v>
      </c>
      <c r="D16639" s="1" t="str">
        <f>HYPERLINK("javascript:void(0)","tollcsomó")</f>
        <v>tollcsomó</v>
      </c>
    </row>
    <row r="16640" spans="1:4" ht="12.75" customHeight="1" x14ac:dyDescent="0.2">
      <c r="A16640" s="21"/>
      <c r="B16640" s="21"/>
      <c r="C16640" s="8" t="s">
        <v>196</v>
      </c>
      <c r="D16640" s="1" t="str">
        <f>HYPERLINK("javascript:void(0)","orrmányprém")</f>
        <v>orrmányprém</v>
      </c>
    </row>
    <row r="16641" spans="1:4" ht="12.75" customHeight="1" x14ac:dyDescent="0.2">
      <c r="A16641" s="21"/>
      <c r="B16641" s="2"/>
      <c r="C16641" s="7"/>
      <c r="D16641" s="7"/>
    </row>
    <row r="16642" spans="1:4" ht="12.75" customHeight="1" x14ac:dyDescent="0.2">
      <c r="A16642" s="21"/>
      <c r="B16642" s="2"/>
      <c r="C16642" s="7"/>
      <c r="D16642" s="7"/>
    </row>
    <row r="16643" spans="1:4" ht="12.75" customHeight="1" x14ac:dyDescent="0.2">
      <c r="A16643" s="21"/>
      <c r="B16643" s="2"/>
      <c r="C16643" s="7"/>
      <c r="D16643" s="7"/>
    </row>
    <row r="16644" spans="1:4" ht="12.75" customHeight="1" x14ac:dyDescent="0.2">
      <c r="A16644" s="21"/>
      <c r="B16644" s="2"/>
      <c r="C16644" s="7"/>
      <c r="D16644" s="7"/>
    </row>
    <row r="16645" spans="1:4" ht="12.75" customHeight="1" x14ac:dyDescent="0.2">
      <c r="A16645" s="5"/>
      <c r="B16645" s="2"/>
      <c r="C16645" s="7"/>
      <c r="D16645" s="7"/>
    </row>
    <row r="16646" spans="1:4" ht="12.75" customHeight="1" x14ac:dyDescent="0.2">
      <c r="A16646" s="22" t="str">
        <f>HYPERLINK("javascript:void(0)","villanyos haragtestpajzs")</f>
        <v>villanyos haragtestpajzs</v>
      </c>
      <c r="B16646" s="21"/>
      <c r="C16646" s="21"/>
      <c r="D16646" s="21"/>
    </row>
    <row r="16647" spans="1:4" ht="12.75" customHeight="1" x14ac:dyDescent="0.2">
      <c r="A16647" s="20"/>
      <c r="B16647" s="2"/>
      <c r="C16647" s="7"/>
      <c r="D16647" s="7"/>
    </row>
    <row r="16648" spans="1:4" ht="12.75" customHeight="1" x14ac:dyDescent="0.2">
      <c r="A16648" s="21"/>
      <c r="B16648" s="3" t="s">
        <v>0</v>
      </c>
      <c r="C16648" s="23" t="s">
        <v>345</v>
      </c>
      <c r="D16648" s="21"/>
    </row>
    <row r="16649" spans="1:4" ht="12.75" customHeight="1" x14ac:dyDescent="0.2">
      <c r="A16649" s="21"/>
      <c r="B16649" s="3" t="s">
        <v>2</v>
      </c>
      <c r="C16649" s="23" t="s">
        <v>1839</v>
      </c>
      <c r="D16649" s="21"/>
    </row>
    <row r="16650" spans="1:4" ht="12.75" customHeight="1" x14ac:dyDescent="0.2">
      <c r="A16650" s="21"/>
      <c r="B16650" s="3" t="s">
        <v>1840</v>
      </c>
      <c r="C16650" s="23" t="s">
        <v>2468</v>
      </c>
      <c r="D16650" s="21"/>
    </row>
    <row r="16651" spans="1:4" ht="12.75" customHeight="1" x14ac:dyDescent="0.2">
      <c r="A16651" s="21"/>
      <c r="B16651" s="3" t="s">
        <v>9</v>
      </c>
      <c r="C16651" s="23" t="s">
        <v>934</v>
      </c>
      <c r="D16651" s="21"/>
    </row>
    <row r="16652" spans="1:4" ht="12.75" customHeight="1" x14ac:dyDescent="0.2">
      <c r="A16652" s="21"/>
      <c r="B16652" s="3" t="s">
        <v>11</v>
      </c>
      <c r="C16652" s="23" t="s">
        <v>5953</v>
      </c>
      <c r="D16652" s="21"/>
    </row>
    <row r="16653" spans="1:4" ht="12.75" customHeight="1" x14ac:dyDescent="0.2">
      <c r="A16653" s="21"/>
      <c r="B16653" s="3" t="s">
        <v>16</v>
      </c>
      <c r="C16653" s="23"/>
      <c r="D16653" s="21"/>
    </row>
    <row r="16654" spans="1:4" ht="12.75" customHeight="1" x14ac:dyDescent="0.2">
      <c r="A16654" s="21"/>
      <c r="B16654" s="3" t="s">
        <v>17</v>
      </c>
      <c r="C16654" s="23" t="s">
        <v>19</v>
      </c>
      <c r="D16654" s="21"/>
    </row>
    <row r="16655" spans="1:4" ht="12.75" customHeight="1" x14ac:dyDescent="0.2">
      <c r="A16655" s="21"/>
      <c r="B16655" s="20" t="s">
        <v>18</v>
      </c>
      <c r="C16655" s="8" t="s">
        <v>44</v>
      </c>
      <c r="D16655" s="1" t="str">
        <f>HYPERLINK("javascript:void(0)","csavarodó testpajzs")</f>
        <v>csavarodó testpajzs</v>
      </c>
    </row>
    <row r="16656" spans="1:4" ht="12.75" customHeight="1" x14ac:dyDescent="0.2">
      <c r="A16656" s="21"/>
      <c r="B16656" s="21"/>
      <c r="C16656" s="8" t="s">
        <v>68</v>
      </c>
      <c r="D16656" s="1" t="str">
        <f>HYPERLINK("javascript:void(0)","villanyóra")</f>
        <v>villanyóra</v>
      </c>
    </row>
    <row r="16657" spans="1:4" ht="12.75" customHeight="1" x14ac:dyDescent="0.2">
      <c r="A16657" s="21"/>
      <c r="B16657" s="21"/>
      <c r="C16657" s="8" t="s">
        <v>77</v>
      </c>
      <c r="D16657" s="1" t="str">
        <f>HYPERLINK("javascript:void(0)","rémkép")</f>
        <v>rémkép</v>
      </c>
    </row>
    <row r="16658" spans="1:4" ht="12.75" customHeight="1" x14ac:dyDescent="0.2">
      <c r="A16658" s="21"/>
      <c r="B16658" s="2"/>
      <c r="C16658" s="7"/>
      <c r="D16658" s="7"/>
    </row>
    <row r="16659" spans="1:4" ht="12.75" customHeight="1" x14ac:dyDescent="0.2">
      <c r="A16659" s="21"/>
      <c r="B16659" s="2"/>
      <c r="C16659" s="7"/>
      <c r="D16659" s="7"/>
    </row>
    <row r="16660" spans="1:4" ht="12.75" customHeight="1" x14ac:dyDescent="0.2">
      <c r="A16660" s="21"/>
      <c r="B16660" s="2"/>
      <c r="C16660" s="7"/>
      <c r="D16660" s="7"/>
    </row>
    <row r="16661" spans="1:4" ht="12.75" customHeight="1" x14ac:dyDescent="0.2">
      <c r="A16661" s="21"/>
      <c r="B16661" s="2"/>
      <c r="C16661" s="7"/>
      <c r="D16661" s="7"/>
    </row>
    <row r="16662" spans="1:4" ht="12.75" customHeight="1" x14ac:dyDescent="0.2">
      <c r="A16662" s="5"/>
      <c r="B16662" s="2"/>
      <c r="C16662" s="7"/>
      <c r="D16662" s="7"/>
    </row>
    <row r="16663" spans="1:4" ht="12.75" customHeight="1" x14ac:dyDescent="0.2">
      <c r="A16663" s="22" t="str">
        <f>HYPERLINK("javascript:void(0)","rémcsizma")</f>
        <v>rémcsizma</v>
      </c>
      <c r="B16663" s="21"/>
      <c r="C16663" s="21"/>
      <c r="D16663" s="21"/>
    </row>
    <row r="16664" spans="1:4" ht="12.75" customHeight="1" x14ac:dyDescent="0.2">
      <c r="A16664" s="20"/>
      <c r="B16664" s="2"/>
      <c r="C16664" s="7"/>
      <c r="D16664" s="7"/>
    </row>
    <row r="16665" spans="1:4" ht="12.75" customHeight="1" x14ac:dyDescent="0.2">
      <c r="A16665" s="21"/>
      <c r="B16665" s="3" t="s">
        <v>0</v>
      </c>
      <c r="C16665" s="23" t="s">
        <v>1252</v>
      </c>
      <c r="D16665" s="21"/>
    </row>
    <row r="16666" spans="1:4" ht="12.75" customHeight="1" x14ac:dyDescent="0.2">
      <c r="A16666" s="21"/>
      <c r="B16666" s="3" t="s">
        <v>2</v>
      </c>
      <c r="C16666" s="23"/>
      <c r="D16666" s="21"/>
    </row>
    <row r="16667" spans="1:4" ht="12.75" customHeight="1" x14ac:dyDescent="0.2">
      <c r="A16667" s="21"/>
      <c r="B16667" s="3" t="s">
        <v>1840</v>
      </c>
      <c r="C16667" s="23" t="s">
        <v>2263</v>
      </c>
      <c r="D16667" s="21"/>
    </row>
    <row r="16668" spans="1:4" ht="12.75" customHeight="1" x14ac:dyDescent="0.2">
      <c r="A16668" s="21"/>
      <c r="B16668" s="3" t="s">
        <v>9</v>
      </c>
      <c r="C16668" s="23" t="s">
        <v>135</v>
      </c>
      <c r="D16668" s="21"/>
    </row>
    <row r="16669" spans="1:4" ht="12.75" customHeight="1" x14ac:dyDescent="0.2">
      <c r="A16669" s="21"/>
      <c r="B16669" s="3" t="s">
        <v>11</v>
      </c>
      <c r="C16669" s="23" t="s">
        <v>2265</v>
      </c>
      <c r="D16669" s="21"/>
    </row>
    <row r="16670" spans="1:4" ht="12.75" customHeight="1" x14ac:dyDescent="0.2">
      <c r="A16670" s="21"/>
      <c r="B16670" s="3" t="s">
        <v>16</v>
      </c>
      <c r="C16670" s="23"/>
      <c r="D16670" s="21"/>
    </row>
    <row r="16671" spans="1:4" ht="12.75" customHeight="1" x14ac:dyDescent="0.2">
      <c r="A16671" s="21"/>
      <c r="B16671" s="3" t="s">
        <v>17</v>
      </c>
      <c r="C16671" s="23" t="s">
        <v>19</v>
      </c>
      <c r="D16671" s="21"/>
    </row>
    <row r="16672" spans="1:4" ht="12.75" customHeight="1" x14ac:dyDescent="0.2">
      <c r="A16672" s="21"/>
      <c r="B16672" s="20" t="s">
        <v>18</v>
      </c>
      <c r="C16672" s="8" t="s">
        <v>331</v>
      </c>
      <c r="D16672" s="1" t="str">
        <f>HYPERLINK("javascript:void(0)","rémkép")</f>
        <v>rémkép</v>
      </c>
    </row>
    <row r="16673" spans="1:4" ht="12.75" customHeight="1" x14ac:dyDescent="0.2">
      <c r="A16673" s="21"/>
      <c r="B16673" s="21"/>
      <c r="C16673" s="8" t="s">
        <v>57</v>
      </c>
      <c r="D16673" s="1" t="str">
        <f>HYPERLINK("javascript:void(0)","okuláré")</f>
        <v>okuláré</v>
      </c>
    </row>
    <row r="16674" spans="1:4" ht="12.75" customHeight="1" x14ac:dyDescent="0.2">
      <c r="A16674" s="21"/>
      <c r="B16674" s="21"/>
      <c r="C16674" s="8" t="s">
        <v>296</v>
      </c>
      <c r="D16674" s="1" t="str">
        <f>HYPERLINK("javascript:void(0)","tollcsomó")</f>
        <v>tollcsomó</v>
      </c>
    </row>
    <row r="16675" spans="1:4" ht="12.75" customHeight="1" x14ac:dyDescent="0.2">
      <c r="A16675" s="21"/>
      <c r="B16675" s="2"/>
      <c r="C16675" s="7"/>
      <c r="D16675" s="7"/>
    </row>
    <row r="16676" spans="1:4" ht="12.75" customHeight="1" x14ac:dyDescent="0.2">
      <c r="A16676" s="21"/>
      <c r="B16676" s="2"/>
      <c r="C16676" s="7"/>
      <c r="D16676" s="7"/>
    </row>
    <row r="16677" spans="1:4" ht="12.75" customHeight="1" x14ac:dyDescent="0.2">
      <c r="A16677" s="21"/>
      <c r="B16677" s="2"/>
      <c r="C16677" s="7"/>
      <c r="D16677" s="7"/>
    </row>
    <row r="16678" spans="1:4" ht="12.75" customHeight="1" x14ac:dyDescent="0.2">
      <c r="A16678" s="21"/>
      <c r="B16678" s="2"/>
      <c r="C16678" s="7"/>
      <c r="D16678" s="7"/>
    </row>
    <row r="16679" spans="1:4" ht="12.75" customHeight="1" x14ac:dyDescent="0.2">
      <c r="A16679" s="5"/>
      <c r="B16679" s="2"/>
      <c r="C16679" s="7"/>
      <c r="D16679" s="7"/>
    </row>
    <row r="16680" spans="1:4" ht="12.75" customHeight="1" x14ac:dyDescent="0.2">
      <c r="A16680" s="22" t="str">
        <f>HYPERLINK("javascript:void(0)","rémpánt")</f>
        <v>rémpánt</v>
      </c>
      <c r="B16680" s="21"/>
      <c r="C16680" s="21"/>
      <c r="D16680" s="21"/>
    </row>
    <row r="16681" spans="1:4" ht="12.75" customHeight="1" x14ac:dyDescent="0.2">
      <c r="A16681" s="20"/>
      <c r="B16681" s="2"/>
      <c r="C16681" s="7"/>
      <c r="D16681" s="7"/>
    </row>
    <row r="16682" spans="1:4" ht="12.75" customHeight="1" x14ac:dyDescent="0.2">
      <c r="A16682" s="21"/>
      <c r="B16682" s="3" t="s">
        <v>0</v>
      </c>
      <c r="C16682" s="23" t="s">
        <v>1252</v>
      </c>
      <c r="D16682" s="21"/>
    </row>
    <row r="16683" spans="1:4" ht="12.75" customHeight="1" x14ac:dyDescent="0.2">
      <c r="A16683" s="21"/>
      <c r="B16683" s="3" t="s">
        <v>2</v>
      </c>
      <c r="C16683" s="23"/>
      <c r="D16683" s="21"/>
    </row>
    <row r="16684" spans="1:4" ht="12.75" customHeight="1" x14ac:dyDescent="0.2">
      <c r="A16684" s="21"/>
      <c r="B16684" s="3" t="s">
        <v>1840</v>
      </c>
      <c r="C16684" s="23" t="s">
        <v>3302</v>
      </c>
      <c r="D16684" s="21"/>
    </row>
    <row r="16685" spans="1:4" ht="12.75" customHeight="1" x14ac:dyDescent="0.2">
      <c r="A16685" s="21"/>
      <c r="B16685" s="3" t="s">
        <v>9</v>
      </c>
      <c r="C16685" s="23" t="s">
        <v>53</v>
      </c>
      <c r="D16685" s="21"/>
    </row>
    <row r="16686" spans="1:4" ht="12.75" customHeight="1" x14ac:dyDescent="0.2">
      <c r="A16686" s="21"/>
      <c r="B16686" s="3" t="s">
        <v>11</v>
      </c>
      <c r="C16686" s="23" t="s">
        <v>2265</v>
      </c>
      <c r="D16686" s="21"/>
    </row>
    <row r="16687" spans="1:4" ht="12.75" customHeight="1" x14ac:dyDescent="0.2">
      <c r="A16687" s="21"/>
      <c r="B16687" s="3" t="s">
        <v>16</v>
      </c>
      <c r="C16687" s="23"/>
      <c r="D16687" s="21"/>
    </row>
    <row r="16688" spans="1:4" ht="12.75" customHeight="1" x14ac:dyDescent="0.2">
      <c r="A16688" s="21"/>
      <c r="B16688" s="3" t="s">
        <v>17</v>
      </c>
      <c r="C16688" s="23" t="s">
        <v>19</v>
      </c>
      <c r="D16688" s="21"/>
    </row>
    <row r="16689" spans="1:4" ht="12.75" customHeight="1" x14ac:dyDescent="0.2">
      <c r="A16689" s="21"/>
      <c r="B16689" s="20" t="s">
        <v>18</v>
      </c>
      <c r="C16689" s="8" t="s">
        <v>44</v>
      </c>
      <c r="D16689" s="1" t="str">
        <f>HYPERLINK("javascript:void(0)","pandamaszk")</f>
        <v>pandamaszk</v>
      </c>
    </row>
    <row r="16690" spans="1:4" ht="12.75" customHeight="1" x14ac:dyDescent="0.2">
      <c r="A16690" s="21"/>
      <c r="B16690" s="21"/>
      <c r="C16690" s="8" t="s">
        <v>196</v>
      </c>
      <c r="D16690" s="1" t="str">
        <f>HYPERLINK("javascript:void(0)","rémkép")</f>
        <v>rémkép</v>
      </c>
    </row>
    <row r="16691" spans="1:4" ht="12.75" customHeight="1" x14ac:dyDescent="0.2">
      <c r="A16691" s="21"/>
      <c r="B16691" s="21"/>
      <c r="C16691" s="8" t="s">
        <v>98</v>
      </c>
      <c r="D16691" s="1" t="str">
        <f>HYPERLINK("javascript:void(0)","epicentrum")</f>
        <v>epicentrum</v>
      </c>
    </row>
    <row r="16692" spans="1:4" ht="12.75" customHeight="1" x14ac:dyDescent="0.2">
      <c r="A16692" s="21"/>
      <c r="B16692" s="2"/>
      <c r="C16692" s="7"/>
      <c r="D16692" s="7"/>
    </row>
    <row r="16693" spans="1:4" ht="12.75" customHeight="1" x14ac:dyDescent="0.2">
      <c r="A16693" s="21"/>
      <c r="B16693" s="2"/>
      <c r="C16693" s="7"/>
      <c r="D16693" s="7"/>
    </row>
    <row r="16694" spans="1:4" ht="12.75" customHeight="1" x14ac:dyDescent="0.2">
      <c r="A16694" s="21"/>
      <c r="B16694" s="2"/>
      <c r="C16694" s="7"/>
      <c r="D16694" s="7"/>
    </row>
    <row r="16695" spans="1:4" ht="12.75" customHeight="1" x14ac:dyDescent="0.2">
      <c r="A16695" s="21"/>
      <c r="B16695" s="2"/>
      <c r="C16695" s="7"/>
      <c r="D16695" s="7"/>
    </row>
    <row r="16696" spans="1:4" ht="12.75" customHeight="1" x14ac:dyDescent="0.2">
      <c r="A16696" s="5"/>
      <c r="B16696" s="2"/>
      <c r="C16696" s="7"/>
      <c r="D16696" s="7"/>
    </row>
    <row r="16697" spans="1:4" ht="12.75" customHeight="1" x14ac:dyDescent="0.2">
      <c r="A16697" s="22" t="str">
        <f>HYPERLINK("javascript:void(0)","bélelt mellvért")</f>
        <v>bélelt mellvért</v>
      </c>
      <c r="B16697" s="21"/>
      <c r="C16697" s="21"/>
      <c r="D16697" s="21"/>
    </row>
    <row r="16698" spans="1:4" ht="12.75" customHeight="1" x14ac:dyDescent="0.2">
      <c r="A16698" s="20"/>
      <c r="B16698" s="2"/>
      <c r="C16698" s="7"/>
      <c r="D16698" s="7"/>
    </row>
    <row r="16699" spans="1:4" ht="12.75" customHeight="1" x14ac:dyDescent="0.2">
      <c r="A16699" s="21"/>
      <c r="B16699" s="3" t="s">
        <v>0</v>
      </c>
      <c r="C16699" s="23" t="s">
        <v>1252</v>
      </c>
      <c r="D16699" s="21"/>
    </row>
    <row r="16700" spans="1:4" ht="12.75" customHeight="1" x14ac:dyDescent="0.2">
      <c r="A16700" s="21"/>
      <c r="B16700" s="3" t="s">
        <v>2</v>
      </c>
      <c r="C16700" s="23" t="s">
        <v>2322</v>
      </c>
      <c r="D16700" s="21"/>
    </row>
    <row r="16701" spans="1:4" ht="12.75" customHeight="1" x14ac:dyDescent="0.2">
      <c r="A16701" s="21"/>
      <c r="B16701" s="3" t="s">
        <v>1840</v>
      </c>
      <c r="C16701" s="23" t="s">
        <v>2552</v>
      </c>
      <c r="D16701" s="21"/>
    </row>
    <row r="16702" spans="1:4" ht="12.75" customHeight="1" x14ac:dyDescent="0.2">
      <c r="A16702" s="21"/>
      <c r="B16702" s="3" t="s">
        <v>9</v>
      </c>
      <c r="C16702" s="23" t="s">
        <v>200</v>
      </c>
      <c r="D16702" s="21"/>
    </row>
    <row r="16703" spans="1:4" ht="12.75" customHeight="1" x14ac:dyDescent="0.2">
      <c r="A16703" s="21"/>
      <c r="B16703" s="3" t="s">
        <v>11</v>
      </c>
      <c r="C16703" s="23" t="s">
        <v>2553</v>
      </c>
      <c r="D16703" s="21"/>
    </row>
    <row r="16704" spans="1:4" ht="12.75" customHeight="1" x14ac:dyDescent="0.2">
      <c r="A16704" s="21"/>
      <c r="B16704" s="3" t="s">
        <v>16</v>
      </c>
      <c r="C16704" s="23"/>
      <c r="D16704" s="21"/>
    </row>
    <row r="16705" spans="1:4" ht="12.75" customHeight="1" x14ac:dyDescent="0.2">
      <c r="A16705" s="21"/>
      <c r="B16705" s="3" t="s">
        <v>17</v>
      </c>
      <c r="C16705" s="23" t="s">
        <v>19</v>
      </c>
      <c r="D16705" s="21"/>
    </row>
    <row r="16706" spans="1:4" ht="12.75" customHeight="1" x14ac:dyDescent="0.2">
      <c r="A16706" s="21"/>
      <c r="B16706" s="20" t="s">
        <v>18</v>
      </c>
      <c r="C16706" s="8" t="s">
        <v>44</v>
      </c>
      <c r="D16706" s="1" t="str">
        <f>HYPERLINK("javascript:void(0)","párnázott mellvért")</f>
        <v>párnázott mellvért</v>
      </c>
    </row>
    <row r="16707" spans="1:4" ht="12.75" customHeight="1" x14ac:dyDescent="0.2">
      <c r="A16707" s="21"/>
      <c r="B16707" s="21"/>
      <c r="C16707" s="8" t="s">
        <v>196</v>
      </c>
      <c r="D16707" s="1" t="str">
        <f>HYPERLINK("javascript:void(0)","szőrpenge")</f>
        <v>szőrpenge</v>
      </c>
    </row>
    <row r="16708" spans="1:4" ht="12.75" customHeight="1" x14ac:dyDescent="0.2">
      <c r="A16708" s="21"/>
      <c r="B16708" s="21"/>
      <c r="C16708" s="8" t="s">
        <v>98</v>
      </c>
      <c r="D16708" s="1" t="str">
        <f>HYPERLINK("javascript:void(0)","raszta")</f>
        <v>raszta</v>
      </c>
    </row>
    <row r="16709" spans="1:4" ht="12.75" customHeight="1" x14ac:dyDescent="0.2">
      <c r="A16709" s="21"/>
      <c r="B16709" s="2"/>
      <c r="C16709" s="7"/>
      <c r="D16709" s="7"/>
    </row>
    <row r="16710" spans="1:4" ht="12.75" customHeight="1" x14ac:dyDescent="0.2">
      <c r="A16710" s="21"/>
      <c r="B16710" s="2"/>
      <c r="C16710" s="7"/>
      <c r="D16710" s="7"/>
    </row>
    <row r="16711" spans="1:4" ht="12.75" customHeight="1" x14ac:dyDescent="0.2">
      <c r="A16711" s="21"/>
      <c r="B16711" s="2"/>
      <c r="C16711" s="7"/>
      <c r="D16711" s="7"/>
    </row>
    <row r="16712" spans="1:4" ht="12.75" customHeight="1" x14ac:dyDescent="0.2">
      <c r="A16712" s="21"/>
      <c r="B16712" s="2"/>
      <c r="C16712" s="7"/>
      <c r="D16712" s="7"/>
    </row>
    <row r="16713" spans="1:4" ht="12.75" customHeight="1" x14ac:dyDescent="0.2">
      <c r="A16713" s="5"/>
      <c r="B16713" s="2"/>
      <c r="C16713" s="7"/>
      <c r="D16713" s="7"/>
    </row>
    <row r="16714" spans="1:4" ht="12.75" customHeight="1" x14ac:dyDescent="0.2">
      <c r="A16714" s="22" t="str">
        <f>HYPERLINK("javascript:void(0)","szőrpajzs")</f>
        <v>szőrpajzs</v>
      </c>
      <c r="B16714" s="21"/>
      <c r="C16714" s="21"/>
      <c r="D16714" s="21"/>
    </row>
    <row r="16715" spans="1:4" ht="12.75" customHeight="1" x14ac:dyDescent="0.2">
      <c r="A16715" s="20"/>
      <c r="B16715" s="2"/>
      <c r="C16715" s="7"/>
      <c r="D16715" s="7"/>
    </row>
    <row r="16716" spans="1:4" ht="12.75" customHeight="1" x14ac:dyDescent="0.2">
      <c r="A16716" s="21"/>
      <c r="B16716" s="3" t="s">
        <v>0</v>
      </c>
      <c r="C16716" s="23" t="s">
        <v>1252</v>
      </c>
      <c r="D16716" s="21"/>
    </row>
    <row r="16717" spans="1:4" ht="12.75" customHeight="1" x14ac:dyDescent="0.2">
      <c r="A16717" s="21"/>
      <c r="B16717" s="3" t="s">
        <v>2</v>
      </c>
      <c r="C16717" s="23" t="s">
        <v>1839</v>
      </c>
      <c r="D16717" s="21"/>
    </row>
    <row r="16718" spans="1:4" ht="12.75" customHeight="1" x14ac:dyDescent="0.2">
      <c r="A16718" s="21"/>
      <c r="B16718" s="3" t="s">
        <v>1840</v>
      </c>
      <c r="C16718" s="23" t="s">
        <v>5972</v>
      </c>
      <c r="D16718" s="21"/>
    </row>
    <row r="16719" spans="1:4" ht="12.75" customHeight="1" x14ac:dyDescent="0.2">
      <c r="A16719" s="21"/>
      <c r="B16719" s="3" t="s">
        <v>9</v>
      </c>
      <c r="C16719" s="23" t="s">
        <v>2492</v>
      </c>
      <c r="D16719" s="21"/>
    </row>
    <row r="16720" spans="1:4" ht="12.75" customHeight="1" x14ac:dyDescent="0.2">
      <c r="A16720" s="21"/>
      <c r="B16720" s="3" t="s">
        <v>11</v>
      </c>
      <c r="C16720" s="23" t="s">
        <v>2553</v>
      </c>
      <c r="D16720" s="21"/>
    </row>
    <row r="16721" spans="1:4" ht="12.75" customHeight="1" x14ac:dyDescent="0.2">
      <c r="A16721" s="21"/>
      <c r="B16721" s="3" t="s">
        <v>16</v>
      </c>
      <c r="C16721" s="23"/>
      <c r="D16721" s="21"/>
    </row>
    <row r="16722" spans="1:4" ht="12.75" customHeight="1" x14ac:dyDescent="0.2">
      <c r="A16722" s="21"/>
      <c r="B16722" s="3" t="s">
        <v>17</v>
      </c>
      <c r="C16722" s="23" t="s">
        <v>19</v>
      </c>
      <c r="D16722" s="21"/>
    </row>
    <row r="16723" spans="1:4" ht="12.75" customHeight="1" x14ac:dyDescent="0.2">
      <c r="A16723" s="21"/>
      <c r="B16723" s="20" t="s">
        <v>18</v>
      </c>
      <c r="C16723" s="8" t="s">
        <v>44</v>
      </c>
      <c r="D16723" s="1" t="str">
        <f>HYPERLINK("javascript:void(0)","villanyos haragpajzs")</f>
        <v>villanyos haragpajzs</v>
      </c>
    </row>
    <row r="16724" spans="1:4" ht="12.75" customHeight="1" x14ac:dyDescent="0.2">
      <c r="A16724" s="21"/>
      <c r="B16724" s="21"/>
      <c r="C16724" s="8" t="s">
        <v>68</v>
      </c>
      <c r="D16724" s="1" t="str">
        <f>HYPERLINK("javascript:void(0)","szőrpenge")</f>
        <v>szőrpenge</v>
      </c>
    </row>
    <row r="16725" spans="1:4" ht="12.75" customHeight="1" x14ac:dyDescent="0.2">
      <c r="A16725" s="21"/>
      <c r="B16725" s="21"/>
      <c r="C16725" s="8" t="s">
        <v>77</v>
      </c>
      <c r="D16725" s="1" t="str">
        <f>HYPERLINK("javascript:void(0)","rémkép")</f>
        <v>rémkép</v>
      </c>
    </row>
    <row r="16726" spans="1:4" ht="12.75" customHeight="1" x14ac:dyDescent="0.2">
      <c r="A16726" s="21"/>
      <c r="B16726" s="2"/>
      <c r="C16726" s="7"/>
      <c r="D16726" s="7"/>
    </row>
    <row r="16727" spans="1:4" ht="12.75" customHeight="1" x14ac:dyDescent="0.2">
      <c r="A16727" s="21"/>
      <c r="B16727" s="2"/>
      <c r="C16727" s="7"/>
      <c r="D16727" s="7"/>
    </row>
    <row r="16728" spans="1:4" ht="12.75" customHeight="1" x14ac:dyDescent="0.2">
      <c r="A16728" s="21"/>
      <c r="B16728" s="2"/>
      <c r="C16728" s="7"/>
      <c r="D16728" s="7"/>
    </row>
    <row r="16729" spans="1:4" ht="12.75" customHeight="1" x14ac:dyDescent="0.2">
      <c r="A16729" s="21"/>
      <c r="B16729" s="2"/>
      <c r="C16729" s="7"/>
      <c r="D16729" s="7"/>
    </row>
    <row r="16730" spans="1:4" ht="12.75" customHeight="1" x14ac:dyDescent="0.2">
      <c r="A16730" s="5"/>
      <c r="B16730" s="2"/>
      <c r="C16730" s="7"/>
      <c r="D16730" s="7"/>
    </row>
    <row r="16731" spans="1:4" ht="12.75" customHeight="1" x14ac:dyDescent="0.2">
      <c r="A16731" s="22" t="str">
        <f>HYPERLINK("javascript:void(0)","okkult antigrav csizma")</f>
        <v>okkult antigrav csizma</v>
      </c>
      <c r="B16731" s="21"/>
      <c r="C16731" s="21"/>
      <c r="D16731" s="21"/>
    </row>
    <row r="16732" spans="1:4" ht="12.75" customHeight="1" x14ac:dyDescent="0.2">
      <c r="A16732" s="20"/>
      <c r="B16732" s="2"/>
      <c r="C16732" s="7"/>
      <c r="D16732" s="7"/>
    </row>
    <row r="16733" spans="1:4" ht="12.75" customHeight="1" x14ac:dyDescent="0.2">
      <c r="A16733" s="21"/>
      <c r="B16733" s="3" t="s">
        <v>0</v>
      </c>
      <c r="C16733" s="23" t="s">
        <v>1252</v>
      </c>
      <c r="D16733" s="21"/>
    </row>
    <row r="16734" spans="1:4" ht="12.75" customHeight="1" x14ac:dyDescent="0.2">
      <c r="A16734" s="21"/>
      <c r="B16734" s="3" t="s">
        <v>2</v>
      </c>
      <c r="C16734" s="23"/>
      <c r="D16734" s="21"/>
    </row>
    <row r="16735" spans="1:4" ht="12.75" customHeight="1" x14ac:dyDescent="0.2">
      <c r="A16735" s="21"/>
      <c r="B16735" s="3" t="s">
        <v>1840</v>
      </c>
      <c r="C16735" s="23" t="s">
        <v>2266</v>
      </c>
      <c r="D16735" s="21"/>
    </row>
    <row r="16736" spans="1:4" ht="12.75" customHeight="1" x14ac:dyDescent="0.2">
      <c r="A16736" s="21"/>
      <c r="B16736" s="3" t="s">
        <v>9</v>
      </c>
      <c r="C16736" s="23" t="s">
        <v>626</v>
      </c>
      <c r="D16736" s="21"/>
    </row>
    <row r="16737" spans="1:4" ht="12.75" customHeight="1" x14ac:dyDescent="0.2">
      <c r="A16737" s="21"/>
      <c r="B16737" s="3" t="s">
        <v>11</v>
      </c>
      <c r="C16737" s="23" t="s">
        <v>23</v>
      </c>
      <c r="D16737" s="21"/>
    </row>
    <row r="16738" spans="1:4" ht="12.75" customHeight="1" x14ac:dyDescent="0.2">
      <c r="A16738" s="21"/>
      <c r="B16738" s="3" t="s">
        <v>16</v>
      </c>
      <c r="C16738" s="23"/>
      <c r="D16738" s="21"/>
    </row>
    <row r="16739" spans="1:4" ht="12.75" customHeight="1" x14ac:dyDescent="0.2">
      <c r="A16739" s="21"/>
      <c r="B16739" s="3" t="s">
        <v>17</v>
      </c>
      <c r="C16739" s="23" t="s">
        <v>19</v>
      </c>
      <c r="D16739" s="21"/>
    </row>
    <row r="16740" spans="1:4" ht="25.5" customHeight="1" x14ac:dyDescent="0.2">
      <c r="A16740" s="21"/>
      <c r="B16740" s="20" t="s">
        <v>18</v>
      </c>
      <c r="C16740" s="8" t="s">
        <v>44</v>
      </c>
      <c r="D16740" s="1" t="str">
        <f>HYPERLINK("javascript:void(0)","csomós antigrav csizma")</f>
        <v>csomós antigrav csizma</v>
      </c>
    </row>
    <row r="16741" spans="1:4" ht="12.75" customHeight="1" x14ac:dyDescent="0.2">
      <c r="A16741" s="21"/>
      <c r="B16741" s="21"/>
      <c r="C16741" s="8" t="s">
        <v>130</v>
      </c>
      <c r="D16741" s="1" t="str">
        <f>HYPERLINK("javascript:void(0)","tollcsomó")</f>
        <v>tollcsomó</v>
      </c>
    </row>
    <row r="16742" spans="1:4" ht="12.75" customHeight="1" x14ac:dyDescent="0.2">
      <c r="A16742" s="21"/>
      <c r="B16742" s="21"/>
      <c r="C16742" s="8" t="s">
        <v>98</v>
      </c>
      <c r="D16742" s="1" t="str">
        <f>HYPERLINK("javascript:void(0)","okuláré")</f>
        <v>okuláré</v>
      </c>
    </row>
    <row r="16743" spans="1:4" ht="12.75" customHeight="1" x14ac:dyDescent="0.2">
      <c r="A16743" s="21"/>
      <c r="B16743" s="2"/>
      <c r="C16743" s="7"/>
      <c r="D16743" s="7"/>
    </row>
    <row r="16744" spans="1:4" ht="12.75" customHeight="1" x14ac:dyDescent="0.2">
      <c r="A16744" s="21"/>
      <c r="B16744" s="2"/>
      <c r="C16744" s="7"/>
      <c r="D16744" s="7"/>
    </row>
    <row r="16745" spans="1:4" ht="12.75" customHeight="1" x14ac:dyDescent="0.2">
      <c r="A16745" s="21"/>
      <c r="B16745" s="2"/>
      <c r="C16745" s="7"/>
      <c r="D16745" s="7"/>
    </row>
    <row r="16746" spans="1:4" ht="12.75" customHeight="1" x14ac:dyDescent="0.2">
      <c r="A16746" s="21"/>
      <c r="B16746" s="2"/>
      <c r="C16746" s="7"/>
      <c r="D16746" s="7"/>
    </row>
    <row r="16747" spans="1:4" ht="12.75" customHeight="1" x14ac:dyDescent="0.2">
      <c r="A16747" s="5"/>
      <c r="B16747" s="2"/>
      <c r="C16747" s="7"/>
      <c r="D16747" s="7"/>
    </row>
    <row r="16748" spans="1:4" ht="12.75" customHeight="1" x14ac:dyDescent="0.2">
      <c r="A16748" s="22" t="str">
        <f>HYPERLINK("javascript:void(0)","rozsdacipő")</f>
        <v>rozsdacipő</v>
      </c>
      <c r="B16748" s="21"/>
      <c r="C16748" s="21"/>
      <c r="D16748" s="21"/>
    </row>
    <row r="16749" spans="1:4" ht="12.75" customHeight="1" x14ac:dyDescent="0.2">
      <c r="A16749" s="20"/>
      <c r="B16749" s="2"/>
      <c r="C16749" s="7"/>
      <c r="D16749" s="7"/>
    </row>
    <row r="16750" spans="1:4" ht="12.75" customHeight="1" x14ac:dyDescent="0.2">
      <c r="A16750" s="21"/>
      <c r="B16750" s="3" t="s">
        <v>0</v>
      </c>
      <c r="C16750" s="23" t="s">
        <v>1263</v>
      </c>
      <c r="D16750" s="21"/>
    </row>
    <row r="16751" spans="1:4" ht="12.75" customHeight="1" x14ac:dyDescent="0.2">
      <c r="A16751" s="21"/>
      <c r="B16751" s="3" t="s">
        <v>2</v>
      </c>
      <c r="C16751" s="23"/>
      <c r="D16751" s="21"/>
    </row>
    <row r="16752" spans="1:4" ht="12.75" customHeight="1" x14ac:dyDescent="0.2">
      <c r="A16752" s="21"/>
      <c r="B16752" s="3" t="s">
        <v>1840</v>
      </c>
      <c r="C16752" s="23" t="s">
        <v>292</v>
      </c>
      <c r="D16752" s="21"/>
    </row>
    <row r="16753" spans="1:4" ht="12.75" customHeight="1" x14ac:dyDescent="0.2">
      <c r="A16753" s="21"/>
      <c r="B16753" s="3" t="s">
        <v>9</v>
      </c>
      <c r="C16753" s="23" t="s">
        <v>1255</v>
      </c>
      <c r="D16753" s="21"/>
    </row>
    <row r="16754" spans="1:4" ht="12.75" customHeight="1" x14ac:dyDescent="0.2">
      <c r="A16754" s="21"/>
      <c r="B16754" s="3" t="s">
        <v>11</v>
      </c>
      <c r="C16754" s="23" t="s">
        <v>2267</v>
      </c>
      <c r="D16754" s="21"/>
    </row>
    <row r="16755" spans="1:4" ht="12.75" customHeight="1" x14ac:dyDescent="0.2">
      <c r="A16755" s="21"/>
      <c r="B16755" s="3" t="s">
        <v>16</v>
      </c>
      <c r="C16755" s="23"/>
      <c r="D16755" s="21"/>
    </row>
    <row r="16756" spans="1:4" ht="12.75" customHeight="1" x14ac:dyDescent="0.2">
      <c r="A16756" s="21"/>
      <c r="B16756" s="3" t="s">
        <v>17</v>
      </c>
      <c r="C16756" s="23" t="s">
        <v>19</v>
      </c>
      <c r="D16756" s="21"/>
    </row>
    <row r="16757" spans="1:4" ht="12.75" customHeight="1" x14ac:dyDescent="0.2">
      <c r="A16757" s="21"/>
      <c r="B16757" s="20" t="s">
        <v>18</v>
      </c>
      <c r="C16757" s="8" t="s">
        <v>44</v>
      </c>
      <c r="D16757" s="1" t="str">
        <f>HYPERLINK("javascript:void(0)","gutasaru")</f>
        <v>gutasaru</v>
      </c>
    </row>
    <row r="16758" spans="1:4" ht="12.75" customHeight="1" x14ac:dyDescent="0.2">
      <c r="A16758" s="21"/>
      <c r="B16758" s="21"/>
      <c r="C16758" s="8" t="s">
        <v>44</v>
      </c>
      <c r="D16758" s="1" t="str">
        <f>HYPERLINK("javascript:void(0)","rémcsizma")</f>
        <v>rémcsizma</v>
      </c>
    </row>
    <row r="16759" spans="1:4" ht="12.75" customHeight="1" x14ac:dyDescent="0.2">
      <c r="A16759" s="21"/>
      <c r="B16759" s="21"/>
      <c r="C16759" s="8" t="s">
        <v>77</v>
      </c>
      <c r="D16759" s="1" t="str">
        <f>HYPERLINK("javascript:void(0)","ércrozsda")</f>
        <v>ércrozsda</v>
      </c>
    </row>
    <row r="16760" spans="1:4" ht="12.75" customHeight="1" x14ac:dyDescent="0.2">
      <c r="A16760" s="21"/>
      <c r="B16760" s="2"/>
      <c r="C16760" s="7"/>
      <c r="D16760" s="7"/>
    </row>
    <row r="16761" spans="1:4" ht="12.75" customHeight="1" x14ac:dyDescent="0.2">
      <c r="A16761" s="21"/>
      <c r="B16761" s="2"/>
      <c r="C16761" s="7"/>
      <c r="D16761" s="7"/>
    </row>
    <row r="16762" spans="1:4" ht="12.75" customHeight="1" x14ac:dyDescent="0.2">
      <c r="A16762" s="21"/>
      <c r="B16762" s="2"/>
      <c r="C16762" s="7"/>
      <c r="D16762" s="7"/>
    </row>
    <row r="16763" spans="1:4" ht="12.75" customHeight="1" x14ac:dyDescent="0.2">
      <c r="A16763" s="21"/>
      <c r="B16763" s="2"/>
      <c r="C16763" s="7"/>
      <c r="D16763" s="7"/>
    </row>
    <row r="16764" spans="1:4" ht="12.75" customHeight="1" x14ac:dyDescent="0.2">
      <c r="A16764" s="5"/>
      <c r="B16764" s="2"/>
      <c r="C16764" s="7"/>
      <c r="D16764" s="7"/>
    </row>
    <row r="16765" spans="1:4" ht="12.75" customHeight="1" x14ac:dyDescent="0.2">
      <c r="A16765" s="22" t="str">
        <f>HYPERLINK("javascript:void(0)","berzerkarima")</f>
        <v>berzerkarima</v>
      </c>
      <c r="B16765" s="21"/>
      <c r="C16765" s="21"/>
      <c r="D16765" s="21"/>
    </row>
    <row r="16766" spans="1:4" ht="12.75" customHeight="1" x14ac:dyDescent="0.2">
      <c r="A16766" s="20"/>
      <c r="B16766" s="2"/>
      <c r="C16766" s="7"/>
      <c r="D16766" s="7"/>
    </row>
    <row r="16767" spans="1:4" ht="12.75" customHeight="1" x14ac:dyDescent="0.2">
      <c r="A16767" s="21"/>
      <c r="B16767" s="3" t="s">
        <v>0</v>
      </c>
      <c r="C16767" s="23" t="s">
        <v>1263</v>
      </c>
      <c r="D16767" s="21"/>
    </row>
    <row r="16768" spans="1:4" ht="12.75" customHeight="1" x14ac:dyDescent="0.2">
      <c r="A16768" s="21"/>
      <c r="B16768" s="3" t="s">
        <v>2</v>
      </c>
      <c r="C16768" s="23"/>
      <c r="D16768" s="21"/>
    </row>
    <row r="16769" spans="1:4" ht="12.75" customHeight="1" x14ac:dyDescent="0.2">
      <c r="A16769" s="21"/>
      <c r="B16769" s="3" t="s">
        <v>1840</v>
      </c>
      <c r="C16769" s="23" t="s">
        <v>5885</v>
      </c>
      <c r="D16769" s="21"/>
    </row>
    <row r="16770" spans="1:4" ht="12.75" customHeight="1" x14ac:dyDescent="0.2">
      <c r="A16770" s="21"/>
      <c r="B16770" s="3" t="s">
        <v>9</v>
      </c>
      <c r="C16770" s="23" t="s">
        <v>124</v>
      </c>
      <c r="D16770" s="21"/>
    </row>
    <row r="16771" spans="1:4" ht="12.75" customHeight="1" x14ac:dyDescent="0.2">
      <c r="A16771" s="21"/>
      <c r="B16771" s="3" t="s">
        <v>11</v>
      </c>
      <c r="C16771" s="23" t="s">
        <v>2267</v>
      </c>
      <c r="D16771" s="21"/>
    </row>
    <row r="16772" spans="1:4" ht="12.75" customHeight="1" x14ac:dyDescent="0.2">
      <c r="A16772" s="21"/>
      <c r="B16772" s="3" t="s">
        <v>16</v>
      </c>
      <c r="C16772" s="23"/>
      <c r="D16772" s="21"/>
    </row>
    <row r="16773" spans="1:4" ht="12.75" customHeight="1" x14ac:dyDescent="0.2">
      <c r="A16773" s="21"/>
      <c r="B16773" s="3" t="s">
        <v>17</v>
      </c>
      <c r="C16773" s="23" t="s">
        <v>19</v>
      </c>
      <c r="D16773" s="21"/>
    </row>
    <row r="16774" spans="1:4" ht="12.75" customHeight="1" x14ac:dyDescent="0.2">
      <c r="A16774" s="21"/>
      <c r="B16774" s="20" t="s">
        <v>18</v>
      </c>
      <c r="C16774" s="8" t="s">
        <v>44</v>
      </c>
      <c r="D16774" s="1" t="str">
        <f>HYPERLINK("javascript:void(0)","rémpánt")</f>
        <v>rémpánt</v>
      </c>
    </row>
    <row r="16775" spans="1:4" ht="12.75" customHeight="1" x14ac:dyDescent="0.2">
      <c r="A16775" s="21"/>
      <c r="B16775" s="21"/>
      <c r="C16775" s="8" t="s">
        <v>142</v>
      </c>
      <c r="D16775" s="1" t="str">
        <f>HYPERLINK("javascript:void(0)","őrjöngés")</f>
        <v>őrjöngés</v>
      </c>
    </row>
    <row r="16776" spans="1:4" ht="12.75" customHeight="1" x14ac:dyDescent="0.2">
      <c r="A16776" s="21"/>
      <c r="B16776" s="21"/>
      <c r="C16776" s="8" t="s">
        <v>77</v>
      </c>
      <c r="D16776" s="1" t="str">
        <f>HYPERLINK("javascript:void(0)","keljfeljancsi")</f>
        <v>keljfeljancsi</v>
      </c>
    </row>
    <row r="16777" spans="1:4" ht="12.75" customHeight="1" x14ac:dyDescent="0.2">
      <c r="A16777" s="21"/>
      <c r="B16777" s="2"/>
      <c r="C16777" s="7"/>
      <c r="D16777" s="7"/>
    </row>
    <row r="16778" spans="1:4" ht="12.75" customHeight="1" x14ac:dyDescent="0.2">
      <c r="A16778" s="21"/>
      <c r="B16778" s="2"/>
      <c r="C16778" s="7"/>
      <c r="D16778" s="7"/>
    </row>
    <row r="16779" spans="1:4" ht="12.75" customHeight="1" x14ac:dyDescent="0.2">
      <c r="A16779" s="21"/>
      <c r="B16779" s="2"/>
      <c r="C16779" s="7"/>
      <c r="D16779" s="7"/>
    </row>
    <row r="16780" spans="1:4" ht="12.75" customHeight="1" x14ac:dyDescent="0.2">
      <c r="A16780" s="21"/>
      <c r="B16780" s="2"/>
      <c r="C16780" s="7"/>
      <c r="D16780" s="7"/>
    </row>
    <row r="16781" spans="1:4" ht="12.75" customHeight="1" x14ac:dyDescent="0.2">
      <c r="A16781" s="5"/>
      <c r="B16781" s="2"/>
      <c r="C16781" s="7"/>
      <c r="D16781" s="7"/>
    </row>
    <row r="16782" spans="1:4" ht="12.75" customHeight="1" x14ac:dyDescent="0.2">
      <c r="A16782" s="22" t="str">
        <f>HYPERLINK("javascript:void(0)","animált mellvért")</f>
        <v>animált mellvért</v>
      </c>
      <c r="B16782" s="21"/>
      <c r="C16782" s="21"/>
      <c r="D16782" s="21"/>
    </row>
    <row r="16783" spans="1:4" ht="12.75" customHeight="1" x14ac:dyDescent="0.2">
      <c r="A16783" s="20"/>
      <c r="B16783" s="2"/>
      <c r="C16783" s="7"/>
      <c r="D16783" s="7"/>
    </row>
    <row r="16784" spans="1:4" ht="12.75" customHeight="1" x14ac:dyDescent="0.2">
      <c r="A16784" s="21"/>
      <c r="B16784" s="3" t="s">
        <v>0</v>
      </c>
      <c r="C16784" s="23" t="s">
        <v>1263</v>
      </c>
      <c r="D16784" s="21"/>
    </row>
    <row r="16785" spans="1:4" ht="12.75" customHeight="1" x14ac:dyDescent="0.2">
      <c r="A16785" s="21"/>
      <c r="B16785" s="3" t="s">
        <v>2</v>
      </c>
      <c r="C16785" s="23" t="s">
        <v>2322</v>
      </c>
      <c r="D16785" s="21"/>
    </row>
    <row r="16786" spans="1:4" ht="12.75" customHeight="1" x14ac:dyDescent="0.2">
      <c r="A16786" s="21"/>
      <c r="B16786" s="3" t="s">
        <v>1840</v>
      </c>
      <c r="C16786" s="23" t="s">
        <v>2554</v>
      </c>
      <c r="D16786" s="21"/>
    </row>
    <row r="16787" spans="1:4" ht="12.75" customHeight="1" x14ac:dyDescent="0.2">
      <c r="A16787" s="21"/>
      <c r="B16787" s="3" t="s">
        <v>9</v>
      </c>
      <c r="C16787" s="23" t="s">
        <v>75</v>
      </c>
      <c r="D16787" s="21"/>
    </row>
    <row r="16788" spans="1:4" ht="12.75" customHeight="1" x14ac:dyDescent="0.2">
      <c r="A16788" s="21"/>
      <c r="B16788" s="3" t="s">
        <v>11</v>
      </c>
      <c r="C16788" s="23" t="s">
        <v>2278</v>
      </c>
      <c r="D16788" s="21"/>
    </row>
    <row r="16789" spans="1:4" ht="12.75" customHeight="1" x14ac:dyDescent="0.2">
      <c r="A16789" s="21"/>
      <c r="B16789" s="3" t="s">
        <v>16</v>
      </c>
      <c r="C16789" s="23"/>
      <c r="D16789" s="21"/>
    </row>
    <row r="16790" spans="1:4" ht="12.75" customHeight="1" x14ac:dyDescent="0.2">
      <c r="A16790" s="21"/>
      <c r="B16790" s="3" t="s">
        <v>17</v>
      </c>
      <c r="C16790" s="23" t="s">
        <v>19</v>
      </c>
      <c r="D16790" s="21"/>
    </row>
    <row r="16791" spans="1:4" ht="12.75" customHeight="1" x14ac:dyDescent="0.2">
      <c r="A16791" s="21"/>
      <c r="B16791" s="20" t="s">
        <v>18</v>
      </c>
      <c r="C16791" s="8" t="s">
        <v>77</v>
      </c>
      <c r="D16791" s="1" t="str">
        <f>HYPERLINK("javascript:void(0)","animátum")</f>
        <v>animátum</v>
      </c>
    </row>
    <row r="16792" spans="1:4" ht="12.75" customHeight="1" x14ac:dyDescent="0.2">
      <c r="A16792" s="21"/>
      <c r="B16792" s="21"/>
      <c r="C16792" s="8" t="s">
        <v>331</v>
      </c>
      <c r="D16792" s="1" t="str">
        <f>HYPERLINK("javascript:void(0)","ármánylat")</f>
        <v>ármánylat</v>
      </c>
    </row>
    <row r="16793" spans="1:4" ht="12.75" customHeight="1" x14ac:dyDescent="0.2">
      <c r="A16793" s="21"/>
      <c r="B16793" s="21"/>
      <c r="C16793" s="8" t="s">
        <v>296</v>
      </c>
      <c r="D16793" s="1" t="str">
        <f>HYPERLINK("javascript:void(0)","rémkép")</f>
        <v>rémkép</v>
      </c>
    </row>
    <row r="16794" spans="1:4" ht="12.75" customHeight="1" x14ac:dyDescent="0.2">
      <c r="A16794" s="21"/>
      <c r="B16794" s="2"/>
      <c r="C16794" s="7"/>
      <c r="D16794" s="7"/>
    </row>
    <row r="16795" spans="1:4" ht="12.75" customHeight="1" x14ac:dyDescent="0.2">
      <c r="A16795" s="21"/>
      <c r="B16795" s="2"/>
      <c r="C16795" s="7"/>
      <c r="D16795" s="7"/>
    </row>
    <row r="16796" spans="1:4" ht="12.75" customHeight="1" x14ac:dyDescent="0.2">
      <c r="A16796" s="21"/>
      <c r="B16796" s="2"/>
      <c r="C16796" s="7"/>
      <c r="D16796" s="7"/>
    </row>
    <row r="16797" spans="1:4" ht="12.75" customHeight="1" x14ac:dyDescent="0.2">
      <c r="A16797" s="21"/>
      <c r="B16797" s="2"/>
      <c r="C16797" s="7"/>
      <c r="D16797" s="7"/>
    </row>
    <row r="16798" spans="1:4" ht="12.75" customHeight="1" x14ac:dyDescent="0.2">
      <c r="A16798" s="5"/>
      <c r="B16798" s="2"/>
      <c r="C16798" s="7"/>
      <c r="D16798" s="7"/>
    </row>
    <row r="16799" spans="1:4" ht="12.75" customHeight="1" x14ac:dyDescent="0.2">
      <c r="A16799" s="22" t="str">
        <f>HYPERLINK("javascript:void(0)","szőrös testpajzs")</f>
        <v>szőrös testpajzs</v>
      </c>
      <c r="B16799" s="21"/>
      <c r="C16799" s="21"/>
      <c r="D16799" s="21"/>
    </row>
    <row r="16800" spans="1:4" ht="12.75" customHeight="1" x14ac:dyDescent="0.2">
      <c r="A16800" s="20"/>
      <c r="B16800" s="2"/>
      <c r="C16800" s="7"/>
      <c r="D16800" s="7"/>
    </row>
    <row r="16801" spans="1:4" ht="12.75" customHeight="1" x14ac:dyDescent="0.2">
      <c r="A16801" s="21"/>
      <c r="B16801" s="3" t="s">
        <v>0</v>
      </c>
      <c r="C16801" s="23" t="s">
        <v>1263</v>
      </c>
      <c r="D16801" s="21"/>
    </row>
    <row r="16802" spans="1:4" ht="12.75" customHeight="1" x14ac:dyDescent="0.2">
      <c r="A16802" s="21"/>
      <c r="B16802" s="3" t="s">
        <v>2</v>
      </c>
      <c r="C16802" s="23" t="s">
        <v>1839</v>
      </c>
      <c r="D16802" s="21"/>
    </row>
    <row r="16803" spans="1:4" ht="12.75" customHeight="1" x14ac:dyDescent="0.2">
      <c r="A16803" s="21"/>
      <c r="B16803" s="3" t="s">
        <v>1840</v>
      </c>
      <c r="C16803" s="23" t="s">
        <v>2469</v>
      </c>
      <c r="D16803" s="21"/>
    </row>
    <row r="16804" spans="1:4" ht="12.75" customHeight="1" x14ac:dyDescent="0.2">
      <c r="A16804" s="21"/>
      <c r="B16804" s="3" t="s">
        <v>9</v>
      </c>
      <c r="C16804" s="23" t="s">
        <v>5991</v>
      </c>
      <c r="D16804" s="21"/>
    </row>
    <row r="16805" spans="1:4" ht="12.75" customHeight="1" x14ac:dyDescent="0.2">
      <c r="A16805" s="21"/>
      <c r="B16805" s="3" t="s">
        <v>11</v>
      </c>
      <c r="C16805" s="23" t="s">
        <v>5992</v>
      </c>
      <c r="D16805" s="21"/>
    </row>
    <row r="16806" spans="1:4" ht="12.75" customHeight="1" x14ac:dyDescent="0.2">
      <c r="A16806" s="21"/>
      <c r="B16806" s="3" t="s">
        <v>16</v>
      </c>
      <c r="C16806" s="23"/>
      <c r="D16806" s="21"/>
    </row>
    <row r="16807" spans="1:4" ht="12.75" customHeight="1" x14ac:dyDescent="0.2">
      <c r="A16807" s="21"/>
      <c r="B16807" s="3" t="s">
        <v>17</v>
      </c>
      <c r="C16807" s="23" t="s">
        <v>19</v>
      </c>
      <c r="D16807" s="21"/>
    </row>
    <row r="16808" spans="1:4" ht="25.5" customHeight="1" x14ac:dyDescent="0.2">
      <c r="A16808" s="21"/>
      <c r="B16808" s="20" t="s">
        <v>18</v>
      </c>
      <c r="C16808" s="8" t="s">
        <v>44</v>
      </c>
      <c r="D16808" s="1" t="str">
        <f>HYPERLINK("javascript:void(0)","villanyos haragtestpajzs")</f>
        <v>villanyos haragtestpajzs</v>
      </c>
    </row>
    <row r="16809" spans="1:4" ht="12.75" customHeight="1" x14ac:dyDescent="0.2">
      <c r="A16809" s="21"/>
      <c r="B16809" s="21"/>
      <c r="C16809" s="8" t="s">
        <v>142</v>
      </c>
      <c r="D16809" s="1" t="str">
        <f>HYPERLINK("javascript:void(0)","animátum")</f>
        <v>animátum</v>
      </c>
    </row>
    <row r="16810" spans="1:4" ht="12.75" customHeight="1" x14ac:dyDescent="0.2">
      <c r="A16810" s="21"/>
      <c r="B16810" s="21"/>
      <c r="C16810" s="8" t="s">
        <v>117</v>
      </c>
      <c r="D16810" s="1" t="str">
        <f>HYPERLINK("javascript:void(0)","szőrpenge")</f>
        <v>szőrpenge</v>
      </c>
    </row>
    <row r="16811" spans="1:4" ht="12.75" customHeight="1" x14ac:dyDescent="0.2">
      <c r="A16811" s="21"/>
      <c r="B16811" s="2"/>
      <c r="C16811" s="7"/>
      <c r="D16811" s="7"/>
    </row>
    <row r="16812" spans="1:4" ht="12.75" customHeight="1" x14ac:dyDescent="0.2">
      <c r="A16812" s="21"/>
      <c r="B16812" s="2"/>
      <c r="C16812" s="7"/>
      <c r="D16812" s="7"/>
    </row>
    <row r="16813" spans="1:4" ht="12.75" customHeight="1" x14ac:dyDescent="0.2">
      <c r="A16813" s="21"/>
      <c r="B16813" s="2"/>
      <c r="C16813" s="7"/>
      <c r="D16813" s="7"/>
    </row>
    <row r="16814" spans="1:4" ht="12.75" customHeight="1" x14ac:dyDescent="0.2">
      <c r="A16814" s="21"/>
      <c r="B16814" s="2"/>
      <c r="C16814" s="7"/>
      <c r="D16814" s="7"/>
    </row>
    <row r="16815" spans="1:4" ht="12.75" customHeight="1" x14ac:dyDescent="0.2">
      <c r="A16815" s="5"/>
      <c r="B16815" s="2"/>
      <c r="C16815" s="7"/>
      <c r="D16815" s="7"/>
    </row>
    <row r="16816" spans="1:4" ht="12.75" customHeight="1" x14ac:dyDescent="0.2">
      <c r="A16816" s="22" t="str">
        <f>HYPERLINK("javascript:void(0)","félcipő")</f>
        <v>félcipő</v>
      </c>
      <c r="B16816" s="21"/>
      <c r="C16816" s="21"/>
      <c r="D16816" s="21"/>
    </row>
    <row r="16817" spans="1:4" ht="12.75" customHeight="1" x14ac:dyDescent="0.2">
      <c r="A16817" s="20"/>
      <c r="B16817" s="2"/>
      <c r="C16817" s="7"/>
      <c r="D16817" s="7"/>
    </row>
    <row r="16818" spans="1:4" ht="12.75" customHeight="1" x14ac:dyDescent="0.2">
      <c r="A16818" s="21"/>
      <c r="B16818" s="3" t="s">
        <v>0</v>
      </c>
      <c r="C16818" s="23" t="s">
        <v>1270</v>
      </c>
      <c r="D16818" s="21"/>
    </row>
    <row r="16819" spans="1:4" ht="12.75" customHeight="1" x14ac:dyDescent="0.2">
      <c r="A16819" s="21"/>
      <c r="B16819" s="3" t="s">
        <v>2</v>
      </c>
      <c r="C16819" s="23"/>
      <c r="D16819" s="21"/>
    </row>
    <row r="16820" spans="1:4" ht="12.75" customHeight="1" x14ac:dyDescent="0.2">
      <c r="A16820" s="21"/>
      <c r="B16820" s="3" t="s">
        <v>1840</v>
      </c>
      <c r="C16820" s="23" t="s">
        <v>2269</v>
      </c>
      <c r="D16820" s="21"/>
    </row>
    <row r="16821" spans="1:4" ht="12.75" customHeight="1" x14ac:dyDescent="0.2">
      <c r="A16821" s="21"/>
      <c r="B16821" s="3" t="s">
        <v>9</v>
      </c>
      <c r="C16821" s="23" t="s">
        <v>53</v>
      </c>
      <c r="D16821" s="21"/>
    </row>
    <row r="16822" spans="1:4" ht="12.75" customHeight="1" x14ac:dyDescent="0.2">
      <c r="A16822" s="21"/>
      <c r="B16822" s="3" t="s">
        <v>11</v>
      </c>
      <c r="C16822" s="23" t="s">
        <v>2270</v>
      </c>
      <c r="D16822" s="21"/>
    </row>
    <row r="16823" spans="1:4" ht="12.75" customHeight="1" x14ac:dyDescent="0.2">
      <c r="A16823" s="21"/>
      <c r="B16823" s="3" t="s">
        <v>16</v>
      </c>
      <c r="C16823" s="23"/>
      <c r="D16823" s="21"/>
    </row>
    <row r="16824" spans="1:4" ht="12.75" customHeight="1" x14ac:dyDescent="0.2">
      <c r="A16824" s="21"/>
      <c r="B16824" s="3" t="s">
        <v>17</v>
      </c>
      <c r="C16824" s="23" t="s">
        <v>19</v>
      </c>
      <c r="D16824" s="21"/>
    </row>
    <row r="16825" spans="1:4" ht="12.75" customHeight="1" x14ac:dyDescent="0.2">
      <c r="A16825" s="21"/>
      <c r="B16825" s="20" t="s">
        <v>18</v>
      </c>
      <c r="C16825" s="8" t="s">
        <v>44</v>
      </c>
      <c r="D16825" s="1" t="str">
        <f>HYPERLINK("javascript:void(0)","rozsdacipő")</f>
        <v>rozsdacipő</v>
      </c>
    </row>
    <row r="16826" spans="1:4" ht="12.75" customHeight="1" x14ac:dyDescent="0.2">
      <c r="A16826" s="21"/>
      <c r="B16826" s="21"/>
      <c r="C16826" s="8" t="s">
        <v>68</v>
      </c>
      <c r="D16826" s="1" t="str">
        <f>HYPERLINK("javascript:void(0)","hullahó")</f>
        <v>hullahó</v>
      </c>
    </row>
    <row r="16827" spans="1:4" ht="12.75" customHeight="1" x14ac:dyDescent="0.2">
      <c r="A16827" s="21"/>
      <c r="B16827" s="21"/>
      <c r="C16827" s="8" t="s">
        <v>132</v>
      </c>
      <c r="D16827" s="1" t="str">
        <f>HYPERLINK("javascript:void(0)","animátum")</f>
        <v>animátum</v>
      </c>
    </row>
    <row r="16828" spans="1:4" ht="12.75" customHeight="1" x14ac:dyDescent="0.2">
      <c r="A16828" s="21"/>
      <c r="B16828" s="2"/>
      <c r="C16828" s="7"/>
      <c r="D16828" s="7"/>
    </row>
    <row r="16829" spans="1:4" ht="12.75" customHeight="1" x14ac:dyDescent="0.2">
      <c r="A16829" s="21"/>
      <c r="B16829" s="2"/>
      <c r="C16829" s="7"/>
      <c r="D16829" s="7"/>
    </row>
    <row r="16830" spans="1:4" ht="12.75" customHeight="1" x14ac:dyDescent="0.2">
      <c r="A16830" s="21"/>
      <c r="B16830" s="2"/>
      <c r="C16830" s="7"/>
      <c r="D16830" s="7"/>
    </row>
    <row r="16831" spans="1:4" ht="12.75" customHeight="1" x14ac:dyDescent="0.2">
      <c r="A16831" s="21"/>
      <c r="B16831" s="2"/>
      <c r="C16831" s="7"/>
      <c r="D16831" s="7"/>
    </row>
    <row r="16832" spans="1:4" ht="12.75" customHeight="1" x14ac:dyDescent="0.2">
      <c r="A16832" s="5"/>
      <c r="B16832" s="2"/>
      <c r="C16832" s="7"/>
      <c r="D16832" s="7"/>
    </row>
    <row r="16833" spans="1:4" ht="12.75" customHeight="1" x14ac:dyDescent="0.2">
      <c r="A16833" s="22" t="str">
        <f>HYPERLINK("javascript:void(0)","hódmaszk")</f>
        <v>hódmaszk</v>
      </c>
      <c r="B16833" s="21"/>
      <c r="C16833" s="21"/>
      <c r="D16833" s="21"/>
    </row>
    <row r="16834" spans="1:4" ht="12.75" customHeight="1" x14ac:dyDescent="0.2">
      <c r="A16834" s="20"/>
      <c r="B16834" s="2"/>
      <c r="C16834" s="7"/>
      <c r="D16834" s="7"/>
    </row>
    <row r="16835" spans="1:4" ht="12.75" customHeight="1" x14ac:dyDescent="0.2">
      <c r="A16835" s="21"/>
      <c r="B16835" s="3" t="s">
        <v>0</v>
      </c>
      <c r="C16835" s="23" t="s">
        <v>1270</v>
      </c>
      <c r="D16835" s="21"/>
    </row>
    <row r="16836" spans="1:4" ht="12.75" customHeight="1" x14ac:dyDescent="0.2">
      <c r="A16836" s="21"/>
      <c r="B16836" s="3" t="s">
        <v>2</v>
      </c>
      <c r="C16836" s="23"/>
      <c r="D16836" s="21"/>
    </row>
    <row r="16837" spans="1:4" ht="12.75" customHeight="1" x14ac:dyDescent="0.2">
      <c r="A16837" s="21"/>
      <c r="B16837" s="3" t="s">
        <v>1840</v>
      </c>
      <c r="C16837" s="23" t="s">
        <v>2926</v>
      </c>
      <c r="D16837" s="21"/>
    </row>
    <row r="16838" spans="1:4" ht="12.75" customHeight="1" x14ac:dyDescent="0.2">
      <c r="A16838" s="21"/>
      <c r="B16838" s="3" t="s">
        <v>9</v>
      </c>
      <c r="C16838" s="23" t="s">
        <v>53</v>
      </c>
      <c r="D16838" s="21"/>
    </row>
    <row r="16839" spans="1:4" ht="12.75" customHeight="1" x14ac:dyDescent="0.2">
      <c r="A16839" s="21"/>
      <c r="B16839" s="3" t="s">
        <v>11</v>
      </c>
      <c r="C16839" s="23" t="s">
        <v>2270</v>
      </c>
      <c r="D16839" s="21"/>
    </row>
    <row r="16840" spans="1:4" ht="12.75" customHeight="1" x14ac:dyDescent="0.2">
      <c r="A16840" s="21"/>
      <c r="B16840" s="3" t="s">
        <v>16</v>
      </c>
      <c r="C16840" s="23"/>
      <c r="D16840" s="21"/>
    </row>
    <row r="16841" spans="1:4" ht="12.75" customHeight="1" x14ac:dyDescent="0.2">
      <c r="A16841" s="21"/>
      <c r="B16841" s="3" t="s">
        <v>17</v>
      </c>
      <c r="C16841" s="23" t="s">
        <v>19</v>
      </c>
      <c r="D16841" s="21"/>
    </row>
    <row r="16842" spans="1:4" ht="12.75" customHeight="1" x14ac:dyDescent="0.2">
      <c r="A16842" s="21"/>
      <c r="B16842" s="20" t="s">
        <v>18</v>
      </c>
      <c r="C16842" s="8" t="s">
        <v>68</v>
      </c>
      <c r="D16842" s="1" t="str">
        <f>HYPERLINK("javascript:void(0)","hódprizma")</f>
        <v>hódprizma</v>
      </c>
    </row>
    <row r="16843" spans="1:4" ht="12.75" customHeight="1" x14ac:dyDescent="0.2">
      <c r="A16843" s="21"/>
      <c r="B16843" s="21"/>
      <c r="C16843" s="8" t="s">
        <v>77</v>
      </c>
      <c r="D16843" s="1" t="str">
        <f>HYPERLINK("javascript:void(0)","regnum")</f>
        <v>regnum</v>
      </c>
    </row>
    <row r="16844" spans="1:4" ht="12.75" customHeight="1" x14ac:dyDescent="0.2">
      <c r="A16844" s="21"/>
      <c r="B16844" s="21"/>
      <c r="C16844" s="8" t="s">
        <v>296</v>
      </c>
      <c r="D16844" s="1" t="str">
        <f>HYPERLINK("javascript:void(0)","szimbiótahártya")</f>
        <v>szimbiótahártya</v>
      </c>
    </row>
    <row r="16845" spans="1:4" ht="12.75" customHeight="1" x14ac:dyDescent="0.2">
      <c r="A16845" s="21"/>
      <c r="B16845" s="2"/>
      <c r="C16845" s="7"/>
      <c r="D16845" s="7"/>
    </row>
    <row r="16846" spans="1:4" ht="12.75" customHeight="1" x14ac:dyDescent="0.2">
      <c r="A16846" s="21"/>
      <c r="B16846" s="2"/>
      <c r="C16846" s="7"/>
      <c r="D16846" s="7"/>
    </row>
    <row r="16847" spans="1:4" ht="12.75" customHeight="1" x14ac:dyDescent="0.2">
      <c r="A16847" s="21"/>
      <c r="B16847" s="2"/>
      <c r="C16847" s="7"/>
      <c r="D16847" s="7"/>
    </row>
    <row r="16848" spans="1:4" ht="12.75" customHeight="1" x14ac:dyDescent="0.2">
      <c r="A16848" s="21"/>
      <c r="B16848" s="2"/>
      <c r="C16848" s="7"/>
      <c r="D16848" s="7"/>
    </row>
    <row r="16849" spans="1:4" ht="12.75" customHeight="1" x14ac:dyDescent="0.2">
      <c r="A16849" s="5"/>
      <c r="B16849" s="2"/>
      <c r="C16849" s="7"/>
      <c r="D16849" s="7"/>
    </row>
    <row r="16850" spans="1:4" ht="12.75" customHeight="1" x14ac:dyDescent="0.2">
      <c r="A16850" s="22" t="str">
        <f>HYPERLINK("javascript:void(0)","szellempáncél")</f>
        <v>szellempáncél</v>
      </c>
      <c r="B16850" s="21"/>
      <c r="C16850" s="21"/>
      <c r="D16850" s="21"/>
    </row>
    <row r="16851" spans="1:4" ht="12.75" customHeight="1" x14ac:dyDescent="0.2">
      <c r="A16851" s="20"/>
      <c r="B16851" s="2"/>
      <c r="C16851" s="7"/>
      <c r="D16851" s="7"/>
    </row>
    <row r="16852" spans="1:4" ht="12.75" customHeight="1" x14ac:dyDescent="0.2">
      <c r="A16852" s="21"/>
      <c r="B16852" s="3" t="s">
        <v>0</v>
      </c>
      <c r="C16852" s="23" t="s">
        <v>1270</v>
      </c>
      <c r="D16852" s="21"/>
    </row>
    <row r="16853" spans="1:4" ht="12.75" customHeight="1" x14ac:dyDescent="0.2">
      <c r="A16853" s="21"/>
      <c r="B16853" s="3" t="s">
        <v>2</v>
      </c>
      <c r="C16853" s="23" t="s">
        <v>2322</v>
      </c>
      <c r="D16853" s="21"/>
    </row>
    <row r="16854" spans="1:4" ht="12.75" customHeight="1" x14ac:dyDescent="0.2">
      <c r="A16854" s="21"/>
      <c r="B16854" s="3" t="s">
        <v>1840</v>
      </c>
      <c r="C16854" s="23" t="s">
        <v>2555</v>
      </c>
      <c r="D16854" s="21"/>
    </row>
    <row r="16855" spans="1:4" ht="12.75" customHeight="1" x14ac:dyDescent="0.2">
      <c r="A16855" s="21"/>
      <c r="B16855" s="3" t="s">
        <v>9</v>
      </c>
      <c r="C16855" s="23" t="s">
        <v>135</v>
      </c>
      <c r="D16855" s="21"/>
    </row>
    <row r="16856" spans="1:4" ht="12.75" customHeight="1" x14ac:dyDescent="0.2">
      <c r="A16856" s="21"/>
      <c r="B16856" s="3" t="s">
        <v>11</v>
      </c>
      <c r="C16856" s="23" t="s">
        <v>2556</v>
      </c>
      <c r="D16856" s="21"/>
    </row>
    <row r="16857" spans="1:4" ht="12.75" customHeight="1" x14ac:dyDescent="0.2">
      <c r="A16857" s="21"/>
      <c r="B16857" s="3" t="s">
        <v>16</v>
      </c>
      <c r="C16857" s="23"/>
      <c r="D16857" s="21"/>
    </row>
    <row r="16858" spans="1:4" ht="12.75" customHeight="1" x14ac:dyDescent="0.2">
      <c r="A16858" s="21"/>
      <c r="B16858" s="3" t="s">
        <v>17</v>
      </c>
      <c r="C16858" s="23" t="s">
        <v>19</v>
      </c>
      <c r="D16858" s="21"/>
    </row>
    <row r="16859" spans="1:4" ht="12.75" customHeight="1" x14ac:dyDescent="0.2">
      <c r="A16859" s="21"/>
      <c r="B16859" s="20" t="s">
        <v>18</v>
      </c>
      <c r="C16859" s="8" t="s">
        <v>44</v>
      </c>
      <c r="D16859" s="1" t="str">
        <f>HYPERLINK("javascript:void(0)","bélelt mellvért")</f>
        <v>bélelt mellvért</v>
      </c>
    </row>
    <row r="16860" spans="1:4" ht="12.75" customHeight="1" x14ac:dyDescent="0.2">
      <c r="A16860" s="21"/>
      <c r="B16860" s="21"/>
      <c r="C16860" s="8" t="s">
        <v>44</v>
      </c>
      <c r="D16860" s="1" t="str">
        <f>HYPERLINK("javascript:void(0)","animált mellvért")</f>
        <v>animált mellvért</v>
      </c>
    </row>
    <row r="16861" spans="1:4" ht="12.75" customHeight="1" x14ac:dyDescent="0.2">
      <c r="A16861" s="21"/>
      <c r="B16861" s="21"/>
      <c r="C16861" s="8" t="s">
        <v>269</v>
      </c>
      <c r="D16861" s="1" t="str">
        <f>HYPERLINK("javascript:void(0)","faunszarv")</f>
        <v>faunszarv</v>
      </c>
    </row>
    <row r="16862" spans="1:4" ht="12.75" customHeight="1" x14ac:dyDescent="0.2">
      <c r="A16862" s="21"/>
      <c r="B16862" s="2"/>
      <c r="C16862" s="7"/>
      <c r="D16862" s="7"/>
    </row>
    <row r="16863" spans="1:4" ht="12.75" customHeight="1" x14ac:dyDescent="0.2">
      <c r="A16863" s="21"/>
      <c r="B16863" s="2"/>
      <c r="C16863" s="7"/>
      <c r="D16863" s="7"/>
    </row>
    <row r="16864" spans="1:4" ht="12.75" customHeight="1" x14ac:dyDescent="0.2">
      <c r="A16864" s="21"/>
      <c r="B16864" s="2"/>
      <c r="C16864" s="7"/>
      <c r="D16864" s="7"/>
    </row>
    <row r="16865" spans="1:4" ht="12.75" customHeight="1" x14ac:dyDescent="0.2">
      <c r="A16865" s="21"/>
      <c r="B16865" s="2"/>
      <c r="C16865" s="7"/>
      <c r="D16865" s="7"/>
    </row>
    <row r="16866" spans="1:4" ht="12.75" customHeight="1" x14ac:dyDescent="0.2">
      <c r="A16866" s="5"/>
      <c r="B16866" s="2"/>
      <c r="C16866" s="7"/>
      <c r="D16866" s="7"/>
    </row>
    <row r="16867" spans="1:4" ht="12.75" customHeight="1" x14ac:dyDescent="0.2">
      <c r="A16867" s="22" t="str">
        <f>HYPERLINK("javascript:void(0)","őrült pajzs")</f>
        <v>őrült pajzs</v>
      </c>
      <c r="B16867" s="21"/>
      <c r="C16867" s="21"/>
      <c r="D16867" s="21"/>
    </row>
    <row r="16868" spans="1:4" ht="12.75" customHeight="1" x14ac:dyDescent="0.2">
      <c r="A16868" s="20"/>
      <c r="B16868" s="2"/>
      <c r="C16868" s="7"/>
      <c r="D16868" s="7"/>
    </row>
    <row r="16869" spans="1:4" ht="12.75" customHeight="1" x14ac:dyDescent="0.2">
      <c r="A16869" s="21"/>
      <c r="B16869" s="3" t="s">
        <v>0</v>
      </c>
      <c r="C16869" s="23" t="s">
        <v>1270</v>
      </c>
      <c r="D16869" s="21"/>
    </row>
    <row r="16870" spans="1:4" ht="12.75" customHeight="1" x14ac:dyDescent="0.2">
      <c r="A16870" s="21"/>
      <c r="B16870" s="3" t="s">
        <v>2</v>
      </c>
      <c r="C16870" s="23" t="s">
        <v>1839</v>
      </c>
      <c r="D16870" s="21"/>
    </row>
    <row r="16871" spans="1:4" ht="12.75" customHeight="1" x14ac:dyDescent="0.2">
      <c r="A16871" s="21"/>
      <c r="B16871" s="3" t="s">
        <v>1840</v>
      </c>
      <c r="C16871" s="23" t="s">
        <v>2657</v>
      </c>
      <c r="D16871" s="21"/>
    </row>
    <row r="16872" spans="1:4" ht="12.75" customHeight="1" x14ac:dyDescent="0.2">
      <c r="A16872" s="21"/>
      <c r="B16872" s="3" t="s">
        <v>9</v>
      </c>
      <c r="C16872" s="23" t="s">
        <v>6003</v>
      </c>
      <c r="D16872" s="21"/>
    </row>
    <row r="16873" spans="1:4" ht="12.75" customHeight="1" x14ac:dyDescent="0.2">
      <c r="A16873" s="21"/>
      <c r="B16873" s="3" t="s">
        <v>11</v>
      </c>
      <c r="C16873" s="23" t="s">
        <v>2281</v>
      </c>
      <c r="D16873" s="21"/>
    </row>
    <row r="16874" spans="1:4" ht="12.75" customHeight="1" x14ac:dyDescent="0.2">
      <c r="A16874" s="21"/>
      <c r="B16874" s="3" t="s">
        <v>16</v>
      </c>
      <c r="C16874" s="23"/>
      <c r="D16874" s="21"/>
    </row>
    <row r="16875" spans="1:4" ht="12.75" customHeight="1" x14ac:dyDescent="0.2">
      <c r="A16875" s="21"/>
      <c r="B16875" s="3" t="s">
        <v>17</v>
      </c>
      <c r="C16875" s="23" t="s">
        <v>19</v>
      </c>
      <c r="D16875" s="21"/>
    </row>
    <row r="16876" spans="1:4" ht="12.75" customHeight="1" x14ac:dyDescent="0.2">
      <c r="A16876" s="21"/>
      <c r="B16876" s="20" t="s">
        <v>18</v>
      </c>
      <c r="C16876" s="8" t="s">
        <v>44</v>
      </c>
      <c r="D16876" s="1" t="str">
        <f>HYPERLINK("javascript:void(0)","szőrpajzs")</f>
        <v>szőrpajzs</v>
      </c>
    </row>
    <row r="16877" spans="1:4" ht="12.75" customHeight="1" x14ac:dyDescent="0.2">
      <c r="A16877" s="21"/>
      <c r="B16877" s="21"/>
      <c r="C16877" s="8" t="s">
        <v>232</v>
      </c>
      <c r="D16877" s="1" t="str">
        <f>HYPERLINK("javascript:void(0)","őrjöngés")</f>
        <v>őrjöngés</v>
      </c>
    </row>
    <row r="16878" spans="1:4" ht="12.75" customHeight="1" x14ac:dyDescent="0.2">
      <c r="A16878" s="21"/>
      <c r="B16878" s="21"/>
      <c r="C16878" s="8" t="s">
        <v>196</v>
      </c>
      <c r="D16878" s="1" t="str">
        <f>HYPERLINK("javascript:void(0)","rémkép")</f>
        <v>rémkép</v>
      </c>
    </row>
    <row r="16879" spans="1:4" ht="12.75" customHeight="1" x14ac:dyDescent="0.2">
      <c r="A16879" s="21"/>
      <c r="B16879" s="2"/>
      <c r="C16879" s="7"/>
      <c r="D16879" s="7"/>
    </row>
    <row r="16880" spans="1:4" ht="12.75" customHeight="1" x14ac:dyDescent="0.2">
      <c r="A16880" s="21"/>
      <c r="B16880" s="2"/>
      <c r="C16880" s="7"/>
      <c r="D16880" s="7"/>
    </row>
    <row r="16881" spans="1:4" ht="12.75" customHeight="1" x14ac:dyDescent="0.2">
      <c r="A16881" s="21"/>
      <c r="B16881" s="2"/>
      <c r="C16881" s="7"/>
      <c r="D16881" s="7"/>
    </row>
    <row r="16882" spans="1:4" ht="12.75" customHeight="1" x14ac:dyDescent="0.2">
      <c r="A16882" s="21"/>
      <c r="B16882" s="2"/>
      <c r="C16882" s="7"/>
      <c r="D16882" s="7"/>
    </row>
    <row r="16883" spans="1:4" ht="12.75" customHeight="1" x14ac:dyDescent="0.2">
      <c r="A16883" s="5"/>
      <c r="B16883" s="2"/>
      <c r="C16883" s="7"/>
      <c r="D16883" s="7"/>
    </row>
    <row r="16884" spans="1:4" ht="12.75" customHeight="1" x14ac:dyDescent="0.2">
      <c r="A16884" s="22" t="str">
        <f>HYPERLINK("javascript:void(0)","hódjáró")</f>
        <v>hódjáró</v>
      </c>
      <c r="B16884" s="21"/>
      <c r="C16884" s="21"/>
      <c r="D16884" s="21"/>
    </row>
    <row r="16885" spans="1:4" ht="12.75" customHeight="1" x14ac:dyDescent="0.2">
      <c r="A16885" s="20"/>
      <c r="B16885" s="2"/>
      <c r="C16885" s="7"/>
      <c r="D16885" s="7"/>
    </row>
    <row r="16886" spans="1:4" ht="12.75" customHeight="1" x14ac:dyDescent="0.2">
      <c r="A16886" s="21"/>
      <c r="B16886" s="3" t="s">
        <v>0</v>
      </c>
      <c r="C16886" s="23" t="s">
        <v>143</v>
      </c>
      <c r="D16886" s="21"/>
    </row>
    <row r="16887" spans="1:4" ht="12.75" customHeight="1" x14ac:dyDescent="0.2">
      <c r="A16887" s="21"/>
      <c r="B16887" s="3" t="s">
        <v>2</v>
      </c>
      <c r="C16887" s="23"/>
      <c r="D16887" s="21"/>
    </row>
    <row r="16888" spans="1:4" ht="12.75" customHeight="1" x14ac:dyDescent="0.2">
      <c r="A16888" s="21"/>
      <c r="B16888" s="3" t="s">
        <v>1840</v>
      </c>
      <c r="C16888" s="23" t="s">
        <v>593</v>
      </c>
      <c r="D16888" s="21"/>
    </row>
    <row r="16889" spans="1:4" ht="12.75" customHeight="1" x14ac:dyDescent="0.2">
      <c r="A16889" s="21"/>
      <c r="B16889" s="3" t="s">
        <v>9</v>
      </c>
      <c r="C16889" s="23" t="s">
        <v>1414</v>
      </c>
      <c r="D16889" s="21"/>
    </row>
    <row r="16890" spans="1:4" ht="12.75" customHeight="1" x14ac:dyDescent="0.2">
      <c r="A16890" s="21"/>
      <c r="B16890" s="3" t="s">
        <v>11</v>
      </c>
      <c r="C16890" s="23" t="s">
        <v>1093</v>
      </c>
      <c r="D16890" s="21"/>
    </row>
    <row r="16891" spans="1:4" ht="12.75" customHeight="1" x14ac:dyDescent="0.2">
      <c r="A16891" s="21"/>
      <c r="B16891" s="3" t="s">
        <v>16</v>
      </c>
      <c r="C16891" s="23"/>
      <c r="D16891" s="21"/>
    </row>
    <row r="16892" spans="1:4" ht="12.75" customHeight="1" x14ac:dyDescent="0.2">
      <c r="A16892" s="21"/>
      <c r="B16892" s="3" t="s">
        <v>17</v>
      </c>
      <c r="C16892" s="23" t="s">
        <v>19</v>
      </c>
      <c r="D16892" s="21"/>
    </row>
    <row r="16893" spans="1:4" ht="12.75" customHeight="1" x14ac:dyDescent="0.2">
      <c r="A16893" s="21"/>
      <c r="B16893" s="20" t="s">
        <v>18</v>
      </c>
      <c r="C16893" s="8" t="s">
        <v>142</v>
      </c>
      <c r="D16893" s="1" t="str">
        <f>HYPERLINK("javascript:void(0)","félhód")</f>
        <v>félhód</v>
      </c>
    </row>
    <row r="16894" spans="1:4" ht="12.75" customHeight="1" x14ac:dyDescent="0.2">
      <c r="A16894" s="21"/>
      <c r="B16894" s="21"/>
      <c r="C16894" s="8" t="s">
        <v>196</v>
      </c>
      <c r="D16894" s="1" t="str">
        <f>HYPERLINK("javascript:void(0)","hódprizma")</f>
        <v>hódprizma</v>
      </c>
    </row>
    <row r="16895" spans="1:4" ht="12.75" customHeight="1" x14ac:dyDescent="0.2">
      <c r="A16895" s="21"/>
      <c r="B16895" s="21"/>
      <c r="C16895" s="8" t="s">
        <v>98</v>
      </c>
      <c r="D16895" s="1" t="str">
        <f>HYPERLINK("javascript:void(0)","roncogás")</f>
        <v>roncogás</v>
      </c>
    </row>
    <row r="16896" spans="1:4" ht="12.75" customHeight="1" x14ac:dyDescent="0.2">
      <c r="A16896" s="21"/>
      <c r="B16896" s="2"/>
      <c r="C16896" s="7"/>
      <c r="D16896" s="7"/>
    </row>
    <row r="16897" spans="1:4" ht="12.75" customHeight="1" x14ac:dyDescent="0.2">
      <c r="A16897" s="21"/>
      <c r="B16897" s="2"/>
      <c r="C16897" s="7"/>
      <c r="D16897" s="7"/>
    </row>
    <row r="16898" spans="1:4" ht="12.75" customHeight="1" x14ac:dyDescent="0.2">
      <c r="A16898" s="21"/>
      <c r="B16898" s="2"/>
      <c r="C16898" s="7"/>
      <c r="D16898" s="7"/>
    </row>
    <row r="16899" spans="1:4" ht="12.75" customHeight="1" x14ac:dyDescent="0.2">
      <c r="A16899" s="21"/>
      <c r="B16899" s="2"/>
      <c r="C16899" s="7"/>
      <c r="D16899" s="7"/>
    </row>
    <row r="16900" spans="1:4" ht="12.75" customHeight="1" x14ac:dyDescent="0.2">
      <c r="A16900" s="5"/>
      <c r="B16900" s="2"/>
      <c r="C16900" s="7"/>
      <c r="D16900" s="7"/>
    </row>
    <row r="16901" spans="1:4" ht="12.75" customHeight="1" x14ac:dyDescent="0.2">
      <c r="A16901" s="22" t="str">
        <f>HYPERLINK("javascript:void(0)","kézfejvédő")</f>
        <v>kézfejvédő</v>
      </c>
      <c r="B16901" s="21"/>
      <c r="C16901" s="21"/>
      <c r="D16901" s="21"/>
    </row>
    <row r="16902" spans="1:4" ht="12.75" customHeight="1" x14ac:dyDescent="0.2">
      <c r="A16902" s="20"/>
      <c r="B16902" s="2"/>
      <c r="C16902" s="7"/>
      <c r="D16902" s="7"/>
    </row>
    <row r="16903" spans="1:4" ht="12.75" customHeight="1" x14ac:dyDescent="0.2">
      <c r="A16903" s="21"/>
      <c r="B16903" s="3" t="s">
        <v>0</v>
      </c>
      <c r="C16903" s="23" t="s">
        <v>143</v>
      </c>
      <c r="D16903" s="21"/>
    </row>
    <row r="16904" spans="1:4" ht="12.75" customHeight="1" x14ac:dyDescent="0.2">
      <c r="A16904" s="21"/>
      <c r="B16904" s="3" t="s">
        <v>2</v>
      </c>
      <c r="C16904" s="23"/>
      <c r="D16904" s="21"/>
    </row>
    <row r="16905" spans="1:4" ht="12.75" customHeight="1" x14ac:dyDescent="0.2">
      <c r="A16905" s="21"/>
      <c r="B16905" s="3" t="s">
        <v>1840</v>
      </c>
      <c r="C16905" s="23" t="s">
        <v>2869</v>
      </c>
      <c r="D16905" s="21"/>
    </row>
    <row r="16906" spans="1:4" ht="12.75" customHeight="1" x14ac:dyDescent="0.2">
      <c r="A16906" s="21"/>
      <c r="B16906" s="3" t="s">
        <v>9</v>
      </c>
      <c r="C16906" s="23" t="s">
        <v>129</v>
      </c>
      <c r="D16906" s="21"/>
    </row>
    <row r="16907" spans="1:4" ht="12.75" customHeight="1" x14ac:dyDescent="0.2">
      <c r="A16907" s="21"/>
      <c r="B16907" s="3" t="s">
        <v>11</v>
      </c>
      <c r="C16907" s="23" t="s">
        <v>1093</v>
      </c>
      <c r="D16907" s="21"/>
    </row>
    <row r="16908" spans="1:4" ht="12.75" customHeight="1" x14ac:dyDescent="0.2">
      <c r="A16908" s="21"/>
      <c r="B16908" s="3" t="s">
        <v>16</v>
      </c>
      <c r="C16908" s="23"/>
      <c r="D16908" s="21"/>
    </row>
    <row r="16909" spans="1:4" ht="12.75" customHeight="1" x14ac:dyDescent="0.2">
      <c r="A16909" s="21"/>
      <c r="B16909" s="3" t="s">
        <v>17</v>
      </c>
      <c r="C16909" s="23" t="s">
        <v>19</v>
      </c>
      <c r="D16909" s="21"/>
    </row>
    <row r="16910" spans="1:4" ht="12.75" customHeight="1" x14ac:dyDescent="0.2">
      <c r="A16910" s="21"/>
      <c r="B16910" s="20" t="s">
        <v>18</v>
      </c>
      <c r="C16910" s="8" t="s">
        <v>44</v>
      </c>
      <c r="D16910" s="1" t="str">
        <f>HYPERLINK("javascript:void(0)","berzerkarima")</f>
        <v>berzerkarima</v>
      </c>
    </row>
    <row r="16911" spans="1:4" ht="12.75" customHeight="1" x14ac:dyDescent="0.2">
      <c r="A16911" s="21"/>
      <c r="B16911" s="21"/>
      <c r="C16911" s="8" t="s">
        <v>44</v>
      </c>
      <c r="D16911" s="1" t="str">
        <f>HYPERLINK("javascript:void(0)","hódmaszk")</f>
        <v>hódmaszk</v>
      </c>
    </row>
    <row r="16912" spans="1:4" ht="12.75" customHeight="1" x14ac:dyDescent="0.2">
      <c r="A16912" s="21"/>
      <c r="B16912" s="21"/>
      <c r="C16912" s="8" t="s">
        <v>331</v>
      </c>
      <c r="D16912" s="1" t="str">
        <f>HYPERLINK("javascript:void(0)","körömszem")</f>
        <v>körömszem</v>
      </c>
    </row>
    <row r="16913" spans="1:4" ht="12.75" customHeight="1" x14ac:dyDescent="0.2">
      <c r="A16913" s="21"/>
      <c r="B16913" s="2"/>
      <c r="C16913" s="7"/>
      <c r="D16913" s="7"/>
    </row>
    <row r="16914" spans="1:4" ht="12.75" customHeight="1" x14ac:dyDescent="0.2">
      <c r="A16914" s="21"/>
      <c r="B16914" s="2"/>
      <c r="C16914" s="7"/>
      <c r="D16914" s="7"/>
    </row>
    <row r="16915" spans="1:4" ht="12.75" customHeight="1" x14ac:dyDescent="0.2">
      <c r="A16915" s="21"/>
      <c r="B16915" s="2"/>
      <c r="C16915" s="7"/>
      <c r="D16915" s="7"/>
    </row>
    <row r="16916" spans="1:4" ht="12.75" customHeight="1" x14ac:dyDescent="0.2">
      <c r="A16916" s="21"/>
      <c r="B16916" s="2"/>
      <c r="C16916" s="7"/>
      <c r="D16916" s="7"/>
    </row>
    <row r="16917" spans="1:4" ht="12.75" customHeight="1" x14ac:dyDescent="0.2">
      <c r="A16917" s="5"/>
      <c r="B16917" s="2"/>
      <c r="C16917" s="7"/>
      <c r="D16917" s="7"/>
    </row>
    <row r="16918" spans="1:4" ht="12.75" customHeight="1" x14ac:dyDescent="0.2">
      <c r="A16918" s="22" t="str">
        <f>HYPERLINK("javascript:void(0)","hódaljpánt")</f>
        <v>hódaljpánt</v>
      </c>
      <c r="B16918" s="21"/>
      <c r="C16918" s="21"/>
      <c r="D16918" s="21"/>
    </row>
    <row r="16919" spans="1:4" ht="12.75" customHeight="1" x14ac:dyDescent="0.2">
      <c r="A16919" s="20"/>
      <c r="B16919" s="2"/>
      <c r="C16919" s="7"/>
      <c r="D16919" s="7"/>
    </row>
    <row r="16920" spans="1:4" ht="12.75" customHeight="1" x14ac:dyDescent="0.2">
      <c r="A16920" s="21"/>
      <c r="B16920" s="3" t="s">
        <v>0</v>
      </c>
      <c r="C16920" s="23" t="s">
        <v>143</v>
      </c>
      <c r="D16920" s="21"/>
    </row>
    <row r="16921" spans="1:4" ht="12.75" customHeight="1" x14ac:dyDescent="0.2">
      <c r="A16921" s="21"/>
      <c r="B16921" s="3" t="s">
        <v>2</v>
      </c>
      <c r="C16921" s="23" t="s">
        <v>2322</v>
      </c>
      <c r="D16921" s="21"/>
    </row>
    <row r="16922" spans="1:4" ht="12.75" customHeight="1" x14ac:dyDescent="0.2">
      <c r="A16922" s="21"/>
      <c r="B16922" s="3" t="s">
        <v>1840</v>
      </c>
      <c r="C16922" s="23" t="s">
        <v>2557</v>
      </c>
      <c r="D16922" s="21"/>
    </row>
    <row r="16923" spans="1:4" ht="12.75" customHeight="1" x14ac:dyDescent="0.2">
      <c r="A16923" s="21"/>
      <c r="B16923" s="3" t="s">
        <v>9</v>
      </c>
      <c r="C16923" s="23" t="s">
        <v>1670</v>
      </c>
      <c r="D16923" s="21"/>
    </row>
    <row r="16924" spans="1:4" ht="12.75" customHeight="1" x14ac:dyDescent="0.2">
      <c r="A16924" s="21"/>
      <c r="B16924" s="3" t="s">
        <v>11</v>
      </c>
      <c r="C16924" s="23" t="s">
        <v>1109</v>
      </c>
      <c r="D16924" s="21"/>
    </row>
    <row r="16925" spans="1:4" ht="12.75" customHeight="1" x14ac:dyDescent="0.2">
      <c r="A16925" s="21"/>
      <c r="B16925" s="3" t="s">
        <v>16</v>
      </c>
      <c r="C16925" s="23"/>
      <c r="D16925" s="21"/>
    </row>
    <row r="16926" spans="1:4" ht="12.75" customHeight="1" x14ac:dyDescent="0.2">
      <c r="A16926" s="21"/>
      <c r="B16926" s="3" t="s">
        <v>17</v>
      </c>
      <c r="C16926" s="23" t="s">
        <v>19</v>
      </c>
      <c r="D16926" s="21"/>
    </row>
    <row r="16927" spans="1:4" ht="12.75" customHeight="1" x14ac:dyDescent="0.2">
      <c r="A16927" s="21"/>
      <c r="B16927" s="20" t="s">
        <v>18</v>
      </c>
      <c r="C16927" s="8" t="s">
        <v>44</v>
      </c>
      <c r="D16927" s="1" t="str">
        <f>HYPERLINK("javascript:void(0)","szellempáncél")</f>
        <v>szellempáncél</v>
      </c>
    </row>
    <row r="16928" spans="1:4" ht="12.75" customHeight="1" x14ac:dyDescent="0.2">
      <c r="A16928" s="21"/>
      <c r="B16928" s="21"/>
      <c r="C16928" s="8" t="s">
        <v>331</v>
      </c>
      <c r="D16928" s="1" t="str">
        <f>HYPERLINK("javascript:void(0)","félhód")</f>
        <v>félhód</v>
      </c>
    </row>
    <row r="16929" spans="1:4" ht="12.75" customHeight="1" x14ac:dyDescent="0.2">
      <c r="A16929" s="21"/>
      <c r="B16929" s="21"/>
      <c r="C16929" s="8" t="s">
        <v>68</v>
      </c>
      <c r="D16929" s="1" t="str">
        <f>HYPERLINK("javascript:void(0)","igazolvány")</f>
        <v>igazolvány</v>
      </c>
    </row>
    <row r="16930" spans="1:4" ht="12.75" customHeight="1" x14ac:dyDescent="0.2">
      <c r="A16930" s="21"/>
      <c r="B16930" s="2"/>
      <c r="C16930" s="7"/>
      <c r="D16930" s="7"/>
    </row>
    <row r="16931" spans="1:4" ht="12.75" customHeight="1" x14ac:dyDescent="0.2">
      <c r="A16931" s="21"/>
      <c r="B16931" s="2"/>
      <c r="C16931" s="7"/>
      <c r="D16931" s="7"/>
    </row>
    <row r="16932" spans="1:4" ht="12.75" customHeight="1" x14ac:dyDescent="0.2">
      <c r="A16932" s="21"/>
      <c r="B16932" s="2"/>
      <c r="C16932" s="7"/>
      <c r="D16932" s="7"/>
    </row>
    <row r="16933" spans="1:4" ht="12.75" customHeight="1" x14ac:dyDescent="0.2">
      <c r="A16933" s="21"/>
      <c r="B16933" s="2"/>
      <c r="C16933" s="7"/>
      <c r="D16933" s="7"/>
    </row>
    <row r="16934" spans="1:4" ht="12.75" customHeight="1" x14ac:dyDescent="0.2">
      <c r="A16934" s="5"/>
      <c r="B16934" s="2"/>
      <c r="C16934" s="7"/>
      <c r="D16934" s="7"/>
    </row>
    <row r="16935" spans="1:4" ht="12.75" customHeight="1" x14ac:dyDescent="0.2">
      <c r="A16935" s="22" t="str">
        <f>HYPERLINK("javascript:void(0)","őrült testpajzsot")</f>
        <v>őrült testpajzsot</v>
      </c>
      <c r="B16935" s="21"/>
      <c r="C16935" s="21"/>
      <c r="D16935" s="21"/>
    </row>
    <row r="16936" spans="1:4" ht="12.75" customHeight="1" x14ac:dyDescent="0.2">
      <c r="A16936" s="20"/>
      <c r="B16936" s="2"/>
      <c r="C16936" s="7"/>
      <c r="D16936" s="7"/>
    </row>
    <row r="16937" spans="1:4" ht="12.75" customHeight="1" x14ac:dyDescent="0.2">
      <c r="A16937" s="21"/>
      <c r="B16937" s="3" t="s">
        <v>0</v>
      </c>
      <c r="C16937" s="23" t="s">
        <v>143</v>
      </c>
      <c r="D16937" s="21"/>
    </row>
    <row r="16938" spans="1:4" ht="12.75" customHeight="1" x14ac:dyDescent="0.2">
      <c r="A16938" s="21"/>
      <c r="B16938" s="3" t="s">
        <v>2</v>
      </c>
      <c r="C16938" s="23" t="s">
        <v>1839</v>
      </c>
      <c r="D16938" s="21"/>
    </row>
    <row r="16939" spans="1:4" ht="12.75" customHeight="1" x14ac:dyDescent="0.2">
      <c r="A16939" s="21"/>
      <c r="B16939" s="3" t="s">
        <v>1840</v>
      </c>
      <c r="C16939" s="23" t="s">
        <v>2471</v>
      </c>
      <c r="D16939" s="21"/>
    </row>
    <row r="16940" spans="1:4" ht="12.75" customHeight="1" x14ac:dyDescent="0.2">
      <c r="A16940" s="21"/>
      <c r="B16940" s="3" t="s">
        <v>9</v>
      </c>
      <c r="C16940" s="23" t="s">
        <v>6012</v>
      </c>
      <c r="D16940" s="21"/>
    </row>
    <row r="16941" spans="1:4" ht="12.75" customHeight="1" x14ac:dyDescent="0.2">
      <c r="A16941" s="21"/>
      <c r="B16941" s="3" t="s">
        <v>11</v>
      </c>
      <c r="C16941" s="23" t="s">
        <v>6014</v>
      </c>
      <c r="D16941" s="21"/>
    </row>
    <row r="16942" spans="1:4" ht="12.75" customHeight="1" x14ac:dyDescent="0.2">
      <c r="A16942" s="21"/>
      <c r="B16942" s="3" t="s">
        <v>16</v>
      </c>
      <c r="C16942" s="23"/>
      <c r="D16942" s="21"/>
    </row>
    <row r="16943" spans="1:4" ht="12.75" customHeight="1" x14ac:dyDescent="0.2">
      <c r="A16943" s="21"/>
      <c r="B16943" s="3" t="s">
        <v>17</v>
      </c>
      <c r="C16943" s="23" t="s">
        <v>19</v>
      </c>
      <c r="D16943" s="21"/>
    </row>
    <row r="16944" spans="1:4" ht="12.75" customHeight="1" x14ac:dyDescent="0.2">
      <c r="A16944" s="21"/>
      <c r="B16944" s="20" t="s">
        <v>18</v>
      </c>
      <c r="C16944" s="8" t="s">
        <v>44</v>
      </c>
      <c r="D16944" s="1" t="str">
        <f>HYPERLINK("javascript:void(0)","szőrös testpajzs")</f>
        <v>szőrös testpajzs</v>
      </c>
    </row>
    <row r="16945" spans="1:4" ht="12.75" customHeight="1" x14ac:dyDescent="0.2">
      <c r="A16945" s="21"/>
      <c r="B16945" s="21"/>
      <c r="C16945" s="8" t="s">
        <v>196</v>
      </c>
      <c r="D16945" s="1" t="str">
        <f>HYPERLINK("javascript:void(0)","körömszem")</f>
        <v>körömszem</v>
      </c>
    </row>
    <row r="16946" spans="1:4" ht="12.75" customHeight="1" x14ac:dyDescent="0.2">
      <c r="A16946" s="21"/>
      <c r="B16946" s="21"/>
      <c r="C16946" s="8" t="s">
        <v>117</v>
      </c>
      <c r="D16946" s="1" t="str">
        <f>HYPERLINK("javascript:void(0)","őrjöngés")</f>
        <v>őrjöngés</v>
      </c>
    </row>
    <row r="16947" spans="1:4" ht="12.75" customHeight="1" x14ac:dyDescent="0.2">
      <c r="A16947" s="21"/>
      <c r="B16947" s="2"/>
      <c r="C16947" s="7"/>
      <c r="D16947" s="7"/>
    </row>
    <row r="16948" spans="1:4" ht="12.75" customHeight="1" x14ac:dyDescent="0.2">
      <c r="A16948" s="21"/>
      <c r="B16948" s="2"/>
      <c r="C16948" s="7"/>
      <c r="D16948" s="7"/>
    </row>
    <row r="16949" spans="1:4" ht="12.75" customHeight="1" x14ac:dyDescent="0.2">
      <c r="A16949" s="21"/>
      <c r="B16949" s="2"/>
      <c r="C16949" s="7"/>
      <c r="D16949" s="7"/>
    </row>
    <row r="16950" spans="1:4" ht="12.75" customHeight="1" x14ac:dyDescent="0.2">
      <c r="A16950" s="21"/>
      <c r="B16950" s="2"/>
      <c r="C16950" s="7"/>
      <c r="D16950" s="7"/>
    </row>
    <row r="16951" spans="1:4" ht="12.75" customHeight="1" x14ac:dyDescent="0.2">
      <c r="A16951" s="5"/>
      <c r="B16951" s="2"/>
      <c r="C16951" s="7"/>
      <c r="D16951" s="7"/>
    </row>
    <row r="16952" spans="1:4" ht="12.75" customHeight="1" x14ac:dyDescent="0.2">
      <c r="A16952" s="22" t="str">
        <f>HYPERLINK("javascript:void(0)","falánk antigrav csizma")</f>
        <v>falánk antigrav csizma</v>
      </c>
      <c r="B16952" s="21"/>
      <c r="C16952" s="21"/>
      <c r="D16952" s="21"/>
    </row>
    <row r="16953" spans="1:4" ht="12.75" customHeight="1" x14ac:dyDescent="0.2">
      <c r="A16953" s="20"/>
      <c r="B16953" s="2"/>
      <c r="C16953" s="7"/>
      <c r="D16953" s="7"/>
    </row>
    <row r="16954" spans="1:4" ht="12.75" customHeight="1" x14ac:dyDescent="0.2">
      <c r="A16954" s="21"/>
      <c r="B16954" s="3" t="s">
        <v>0</v>
      </c>
      <c r="C16954" s="23" t="s">
        <v>143</v>
      </c>
      <c r="D16954" s="21"/>
    </row>
    <row r="16955" spans="1:4" ht="12.75" customHeight="1" x14ac:dyDescent="0.2">
      <c r="A16955" s="21"/>
      <c r="B16955" s="3" t="s">
        <v>2</v>
      </c>
      <c r="C16955" s="23"/>
      <c r="D16955" s="21"/>
    </row>
    <row r="16956" spans="1:4" ht="12.75" customHeight="1" x14ac:dyDescent="0.2">
      <c r="A16956" s="21"/>
      <c r="B16956" s="3" t="s">
        <v>1840</v>
      </c>
      <c r="C16956" s="23" t="s">
        <v>2256</v>
      </c>
      <c r="D16956" s="21"/>
    </row>
    <row r="16957" spans="1:4" ht="12.75" customHeight="1" x14ac:dyDescent="0.2">
      <c r="A16957" s="21"/>
      <c r="B16957" s="3" t="s">
        <v>9</v>
      </c>
      <c r="C16957" s="23" t="s">
        <v>626</v>
      </c>
      <c r="D16957" s="21"/>
    </row>
    <row r="16958" spans="1:4" ht="12.75" customHeight="1" x14ac:dyDescent="0.2">
      <c r="A16958" s="21"/>
      <c r="B16958" s="3" t="s">
        <v>11</v>
      </c>
      <c r="C16958" s="23" t="s">
        <v>23</v>
      </c>
      <c r="D16958" s="21"/>
    </row>
    <row r="16959" spans="1:4" ht="12.75" customHeight="1" x14ac:dyDescent="0.2">
      <c r="A16959" s="21"/>
      <c r="B16959" s="3" t="s">
        <v>16</v>
      </c>
      <c r="C16959" s="23"/>
      <c r="D16959" s="21"/>
    </row>
    <row r="16960" spans="1:4" ht="12.75" customHeight="1" x14ac:dyDescent="0.2">
      <c r="A16960" s="21"/>
      <c r="B16960" s="3" t="s">
        <v>17</v>
      </c>
      <c r="C16960" s="23" t="s">
        <v>19</v>
      </c>
      <c r="D16960" s="21"/>
    </row>
    <row r="16961" spans="1:4" ht="25.5" customHeight="1" x14ac:dyDescent="0.2">
      <c r="A16961" s="21"/>
      <c r="B16961" s="20" t="s">
        <v>18</v>
      </c>
      <c r="C16961" s="8" t="s">
        <v>44</v>
      </c>
      <c r="D16961" s="1" t="str">
        <f>HYPERLINK("javascript:void(0)","okkult antigrav csizma")</f>
        <v>okkult antigrav csizma</v>
      </c>
    </row>
    <row r="16962" spans="1:4" ht="12.75" customHeight="1" x14ac:dyDescent="0.2">
      <c r="A16962" s="21"/>
      <c r="B16962" s="21"/>
      <c r="C16962" s="8" t="s">
        <v>309</v>
      </c>
      <c r="D16962" s="1" t="str">
        <f>HYPERLINK("javascript:void(0)","mananektár")</f>
        <v>mananektár</v>
      </c>
    </row>
    <row r="16963" spans="1:4" ht="12.75" customHeight="1" x14ac:dyDescent="0.2">
      <c r="A16963" s="21"/>
      <c r="B16963" s="21"/>
      <c r="C16963" s="8" t="s">
        <v>280</v>
      </c>
      <c r="D16963" s="1" t="str">
        <f>HYPERLINK("javascript:void(0)","eledel")</f>
        <v>eledel</v>
      </c>
    </row>
    <row r="16964" spans="1:4" ht="12.75" customHeight="1" x14ac:dyDescent="0.2">
      <c r="A16964" s="21"/>
      <c r="B16964" s="2"/>
      <c r="C16964" s="7"/>
      <c r="D16964" s="7"/>
    </row>
    <row r="16965" spans="1:4" ht="12.75" customHeight="1" x14ac:dyDescent="0.2">
      <c r="A16965" s="21"/>
      <c r="B16965" s="2"/>
      <c r="C16965" s="7"/>
      <c r="D16965" s="7"/>
    </row>
    <row r="16966" spans="1:4" ht="12.75" customHeight="1" x14ac:dyDescent="0.2">
      <c r="A16966" s="21"/>
      <c r="B16966" s="2"/>
      <c r="C16966" s="7"/>
      <c r="D16966" s="7"/>
    </row>
    <row r="16967" spans="1:4" ht="12.75" customHeight="1" x14ac:dyDescent="0.2">
      <c r="A16967" s="21"/>
      <c r="B16967" s="2"/>
      <c r="C16967" s="7"/>
      <c r="D16967" s="7"/>
    </row>
    <row r="16968" spans="1:4" ht="12.75" customHeight="1" x14ac:dyDescent="0.2">
      <c r="A16968" s="5"/>
      <c r="B16968" s="2"/>
      <c r="C16968" s="7"/>
      <c r="D16968" s="7"/>
    </row>
    <row r="16969" spans="1:4" ht="12.75" customHeight="1" x14ac:dyDescent="0.2">
      <c r="A16969" s="22" t="str">
        <f>HYPERLINK("javascript:void(0)","felhőtaposó")</f>
        <v>felhőtaposó</v>
      </c>
      <c r="B16969" s="21"/>
      <c r="C16969" s="21"/>
      <c r="D16969" s="21"/>
    </row>
    <row r="16970" spans="1:4" ht="12.75" customHeight="1" x14ac:dyDescent="0.2">
      <c r="A16970" s="20"/>
      <c r="B16970" s="2"/>
      <c r="C16970" s="7"/>
      <c r="D16970" s="7"/>
    </row>
    <row r="16971" spans="1:4" ht="12.75" customHeight="1" x14ac:dyDescent="0.2">
      <c r="A16971" s="21"/>
      <c r="B16971" s="3" t="s">
        <v>0</v>
      </c>
      <c r="C16971" s="23" t="s">
        <v>1284</v>
      </c>
      <c r="D16971" s="21"/>
    </row>
    <row r="16972" spans="1:4" ht="12.75" customHeight="1" x14ac:dyDescent="0.2">
      <c r="A16972" s="21"/>
      <c r="B16972" s="3" t="s">
        <v>2</v>
      </c>
      <c r="C16972" s="23"/>
      <c r="D16972" s="21"/>
    </row>
    <row r="16973" spans="1:4" ht="12.75" customHeight="1" x14ac:dyDescent="0.2">
      <c r="A16973" s="21"/>
      <c r="B16973" s="3" t="s">
        <v>1840</v>
      </c>
      <c r="C16973" s="23" t="s">
        <v>588</v>
      </c>
      <c r="D16973" s="21"/>
    </row>
    <row r="16974" spans="1:4" ht="12.75" customHeight="1" x14ac:dyDescent="0.2">
      <c r="A16974" s="21"/>
      <c r="B16974" s="3" t="s">
        <v>9</v>
      </c>
      <c r="C16974" s="23" t="s">
        <v>1336</v>
      </c>
      <c r="D16974" s="21"/>
    </row>
    <row r="16975" spans="1:4" ht="12.75" customHeight="1" x14ac:dyDescent="0.2">
      <c r="A16975" s="21"/>
      <c r="B16975" s="3" t="s">
        <v>11</v>
      </c>
      <c r="C16975" s="23" t="s">
        <v>2274</v>
      </c>
      <c r="D16975" s="21"/>
    </row>
    <row r="16976" spans="1:4" ht="12.75" customHeight="1" x14ac:dyDescent="0.2">
      <c r="A16976" s="21"/>
      <c r="B16976" s="3" t="s">
        <v>16</v>
      </c>
      <c r="C16976" s="23"/>
      <c r="D16976" s="21"/>
    </row>
    <row r="16977" spans="1:4" ht="12.75" customHeight="1" x14ac:dyDescent="0.2">
      <c r="A16977" s="21"/>
      <c r="B16977" s="3" t="s">
        <v>17</v>
      </c>
      <c r="C16977" s="23" t="s">
        <v>19</v>
      </c>
      <c r="D16977" s="21"/>
    </row>
    <row r="16978" spans="1:4" ht="12.75" customHeight="1" x14ac:dyDescent="0.2">
      <c r="A16978" s="21"/>
      <c r="B16978" s="20" t="s">
        <v>18</v>
      </c>
      <c r="C16978" s="8" t="s">
        <v>44</v>
      </c>
      <c r="D16978" s="1" t="str">
        <f>HYPERLINK("javascript:void(0)","félcipő")</f>
        <v>félcipő</v>
      </c>
    </row>
    <row r="16979" spans="1:4" ht="12.75" customHeight="1" x14ac:dyDescent="0.2">
      <c r="A16979" s="21"/>
      <c r="B16979" s="21"/>
      <c r="C16979" s="8" t="s">
        <v>44</v>
      </c>
      <c r="D16979" s="1" t="str">
        <f>HYPERLINK("javascript:void(0)","hódjáró")</f>
        <v>hódjáró</v>
      </c>
    </row>
    <row r="16980" spans="1:4" ht="12.75" customHeight="1" x14ac:dyDescent="0.2">
      <c r="A16980" s="21"/>
      <c r="B16980" s="21"/>
      <c r="C16980" s="8" t="s">
        <v>142</v>
      </c>
      <c r="D16980" s="1" t="str">
        <f>HYPERLINK("javascript:void(0)","felhő-szkóp")</f>
        <v>felhő-szkóp</v>
      </c>
    </row>
    <row r="16981" spans="1:4" ht="12.75" customHeight="1" x14ac:dyDescent="0.2">
      <c r="A16981" s="21"/>
      <c r="B16981" s="2"/>
      <c r="C16981" s="7"/>
      <c r="D16981" s="7"/>
    </row>
    <row r="16982" spans="1:4" ht="12.75" customHeight="1" x14ac:dyDescent="0.2">
      <c r="A16982" s="21"/>
      <c r="B16982" s="2"/>
      <c r="C16982" s="7"/>
      <c r="D16982" s="7"/>
    </row>
    <row r="16983" spans="1:4" ht="12.75" customHeight="1" x14ac:dyDescent="0.2">
      <c r="A16983" s="21"/>
      <c r="B16983" s="2"/>
      <c r="C16983" s="7"/>
      <c r="D16983" s="7"/>
    </row>
    <row r="16984" spans="1:4" ht="12.75" customHeight="1" x14ac:dyDescent="0.2">
      <c r="A16984" s="21"/>
      <c r="B16984" s="2"/>
      <c r="C16984" s="7"/>
      <c r="D16984" s="7"/>
    </row>
    <row r="16985" spans="1:4" ht="12.75" customHeight="1" x14ac:dyDescent="0.2">
      <c r="A16985" s="5"/>
      <c r="B16985" s="2"/>
      <c r="C16985" s="7"/>
      <c r="D16985" s="7"/>
    </row>
    <row r="16986" spans="1:4" ht="12.75" customHeight="1" x14ac:dyDescent="0.2">
      <c r="A16986" s="22" t="str">
        <f>HYPERLINK("javascript:void(0)","ócskalap")</f>
        <v>ócskalap</v>
      </c>
      <c r="B16986" s="21"/>
      <c r="C16986" s="21"/>
      <c r="D16986" s="21"/>
    </row>
    <row r="16987" spans="1:4" ht="12.75" customHeight="1" x14ac:dyDescent="0.2">
      <c r="A16987" s="20"/>
      <c r="B16987" s="2"/>
      <c r="C16987" s="7"/>
      <c r="D16987" s="7"/>
    </row>
    <row r="16988" spans="1:4" ht="12.75" customHeight="1" x14ac:dyDescent="0.2">
      <c r="A16988" s="21"/>
      <c r="B16988" s="3" t="s">
        <v>0</v>
      </c>
      <c r="C16988" s="23" t="s">
        <v>1284</v>
      </c>
      <c r="D16988" s="21"/>
    </row>
    <row r="16989" spans="1:4" ht="12.75" customHeight="1" x14ac:dyDescent="0.2">
      <c r="A16989" s="21"/>
      <c r="B16989" s="3" t="s">
        <v>2</v>
      </c>
      <c r="C16989" s="23"/>
      <c r="D16989" s="21"/>
    </row>
    <row r="16990" spans="1:4" ht="12.75" customHeight="1" x14ac:dyDescent="0.2">
      <c r="A16990" s="21"/>
      <c r="B16990" s="3" t="s">
        <v>1840</v>
      </c>
      <c r="C16990" s="23" t="s">
        <v>6021</v>
      </c>
      <c r="D16990" s="21"/>
    </row>
    <row r="16991" spans="1:4" ht="12.75" customHeight="1" x14ac:dyDescent="0.2">
      <c r="A16991" s="21"/>
      <c r="B16991" s="3" t="s">
        <v>9</v>
      </c>
      <c r="C16991" s="23" t="s">
        <v>126</v>
      </c>
      <c r="D16991" s="21"/>
    </row>
    <row r="16992" spans="1:4" ht="12.75" customHeight="1" x14ac:dyDescent="0.2">
      <c r="A16992" s="21"/>
      <c r="B16992" s="3" t="s">
        <v>11</v>
      </c>
      <c r="C16992" s="23" t="s">
        <v>2274</v>
      </c>
      <c r="D16992" s="21"/>
    </row>
    <row r="16993" spans="1:4" ht="12.75" customHeight="1" x14ac:dyDescent="0.2">
      <c r="A16993" s="21"/>
      <c r="B16993" s="3" t="s">
        <v>16</v>
      </c>
      <c r="C16993" s="23"/>
      <c r="D16993" s="21"/>
    </row>
    <row r="16994" spans="1:4" ht="12.75" customHeight="1" x14ac:dyDescent="0.2">
      <c r="A16994" s="21"/>
      <c r="B16994" s="3" t="s">
        <v>17</v>
      </c>
      <c r="C16994" s="23" t="s">
        <v>19</v>
      </c>
      <c r="D16994" s="21"/>
    </row>
    <row r="16995" spans="1:4" ht="12.75" customHeight="1" x14ac:dyDescent="0.2">
      <c r="A16995" s="21"/>
      <c r="B16995" s="20" t="s">
        <v>18</v>
      </c>
      <c r="C16995" s="8" t="s">
        <v>44</v>
      </c>
      <c r="D16995" s="1" t="str">
        <f>HYPERLINK("javascript:void(0)","kézfejvédő")</f>
        <v>kézfejvédő</v>
      </c>
    </row>
    <row r="16996" spans="1:4" ht="12.75" customHeight="1" x14ac:dyDescent="0.2">
      <c r="A16996" s="21"/>
      <c r="B16996" s="21"/>
      <c r="C16996" s="8" t="s">
        <v>77</v>
      </c>
      <c r="D16996" s="1" t="str">
        <f>HYPERLINK("javascript:void(0)","ócska nóta")</f>
        <v>ócska nóta</v>
      </c>
    </row>
    <row r="16997" spans="1:4" ht="12.75" customHeight="1" x14ac:dyDescent="0.2">
      <c r="A16997" s="21"/>
      <c r="B16997" s="21"/>
      <c r="C16997" s="8" t="s">
        <v>55</v>
      </c>
      <c r="D16997" s="1" t="str">
        <f>HYPERLINK("javascript:void(0)","hódeszencia")</f>
        <v>hódeszencia</v>
      </c>
    </row>
    <row r="16998" spans="1:4" ht="12.75" customHeight="1" x14ac:dyDescent="0.2">
      <c r="A16998" s="21"/>
      <c r="B16998" s="2"/>
      <c r="C16998" s="7"/>
      <c r="D16998" s="7"/>
    </row>
    <row r="16999" spans="1:4" ht="12.75" customHeight="1" x14ac:dyDescent="0.2">
      <c r="A16999" s="21"/>
      <c r="B16999" s="2"/>
      <c r="C16999" s="7"/>
      <c r="D16999" s="7"/>
    </row>
    <row r="17000" spans="1:4" ht="12.75" customHeight="1" x14ac:dyDescent="0.2">
      <c r="A17000" s="21"/>
      <c r="B17000" s="2"/>
      <c r="C17000" s="7"/>
      <c r="D17000" s="7"/>
    </row>
    <row r="17001" spans="1:4" ht="12.75" customHeight="1" x14ac:dyDescent="0.2">
      <c r="A17001" s="21"/>
      <c r="B17001" s="2"/>
      <c r="C17001" s="7"/>
      <c r="D17001" s="7"/>
    </row>
    <row r="17002" spans="1:4" ht="12.75" customHeight="1" x14ac:dyDescent="0.2">
      <c r="A17002" s="5"/>
      <c r="B17002" s="2"/>
      <c r="C17002" s="7"/>
      <c r="D17002" s="7"/>
    </row>
    <row r="17003" spans="1:4" ht="12.75" customHeight="1" x14ac:dyDescent="0.2">
      <c r="A17003" s="22" t="str">
        <f>HYPERLINK("javascript:void(0)","kockás hasfal")</f>
        <v>kockás hasfal</v>
      </c>
      <c r="B17003" s="21"/>
      <c r="C17003" s="21"/>
      <c r="D17003" s="21"/>
    </row>
    <row r="17004" spans="1:4" ht="12.75" customHeight="1" x14ac:dyDescent="0.2">
      <c r="A17004" s="20"/>
      <c r="B17004" s="2"/>
      <c r="C17004" s="7"/>
      <c r="D17004" s="7"/>
    </row>
    <row r="17005" spans="1:4" ht="12.75" customHeight="1" x14ac:dyDescent="0.2">
      <c r="A17005" s="21"/>
      <c r="B17005" s="3" t="s">
        <v>0</v>
      </c>
      <c r="C17005" s="23" t="s">
        <v>1284</v>
      </c>
      <c r="D17005" s="21"/>
    </row>
    <row r="17006" spans="1:4" ht="12.75" customHeight="1" x14ac:dyDescent="0.2">
      <c r="A17006" s="21"/>
      <c r="B17006" s="3" t="s">
        <v>2</v>
      </c>
      <c r="C17006" s="23" t="s">
        <v>2322</v>
      </c>
      <c r="D17006" s="21"/>
    </row>
    <row r="17007" spans="1:4" ht="12.75" customHeight="1" x14ac:dyDescent="0.2">
      <c r="A17007" s="21"/>
      <c r="B17007" s="3" t="s">
        <v>1840</v>
      </c>
      <c r="C17007" s="23" t="s">
        <v>2558</v>
      </c>
      <c r="D17007" s="21"/>
    </row>
    <row r="17008" spans="1:4" ht="12.75" customHeight="1" x14ac:dyDescent="0.2">
      <c r="A17008" s="21"/>
      <c r="B17008" s="3" t="s">
        <v>9</v>
      </c>
      <c r="C17008" s="23" t="s">
        <v>131</v>
      </c>
      <c r="D17008" s="21"/>
    </row>
    <row r="17009" spans="1:4" ht="12.75" customHeight="1" x14ac:dyDescent="0.2">
      <c r="A17009" s="21"/>
      <c r="B17009" s="3" t="s">
        <v>11</v>
      </c>
      <c r="C17009" s="23" t="s">
        <v>2559</v>
      </c>
      <c r="D17009" s="21"/>
    </row>
    <row r="17010" spans="1:4" ht="12.75" customHeight="1" x14ac:dyDescent="0.2">
      <c r="A17010" s="21"/>
      <c r="B17010" s="3" t="s">
        <v>16</v>
      </c>
      <c r="C17010" s="23"/>
      <c r="D17010" s="21"/>
    </row>
    <row r="17011" spans="1:4" ht="12.75" customHeight="1" x14ac:dyDescent="0.2">
      <c r="A17011" s="21"/>
      <c r="B17011" s="3" t="s">
        <v>17</v>
      </c>
      <c r="C17011" s="23" t="s">
        <v>19</v>
      </c>
      <c r="D17011" s="21"/>
    </row>
    <row r="17012" spans="1:4" ht="12.75" customHeight="1" x14ac:dyDescent="0.2">
      <c r="A17012" s="21"/>
      <c r="B17012" s="20" t="s">
        <v>18</v>
      </c>
      <c r="C17012" s="8" t="s">
        <v>67</v>
      </c>
      <c r="D17012" s="1" t="str">
        <f>HYPERLINK("javascript:void(0)","gyomorgörcs")</f>
        <v>gyomorgörcs</v>
      </c>
    </row>
    <row r="17013" spans="1:4" ht="12.75" customHeight="1" x14ac:dyDescent="0.2">
      <c r="A17013" s="21"/>
      <c r="B17013" s="21"/>
      <c r="C17013" s="8" t="s">
        <v>296</v>
      </c>
      <c r="D17013" s="1" t="str">
        <f>HYPERLINK("javascript:void(0)","kocka")</f>
        <v>kocka</v>
      </c>
    </row>
    <row r="17014" spans="1:4" ht="12.75" customHeight="1" x14ac:dyDescent="0.2">
      <c r="A17014" s="21"/>
      <c r="B17014" s="21"/>
      <c r="C17014" s="8" t="s">
        <v>142</v>
      </c>
      <c r="D17014" s="1" t="str">
        <f>HYPERLINK("javascript:void(0)","melegige")</f>
        <v>melegige</v>
      </c>
    </row>
    <row r="17015" spans="1:4" ht="12.75" customHeight="1" x14ac:dyDescent="0.2">
      <c r="A17015" s="21"/>
      <c r="B17015" s="2"/>
      <c r="C17015" s="7"/>
      <c r="D17015" s="7"/>
    </row>
    <row r="17016" spans="1:4" ht="12.75" customHeight="1" x14ac:dyDescent="0.2">
      <c r="A17016" s="21"/>
      <c r="B17016" s="2"/>
      <c r="C17016" s="7"/>
      <c r="D17016" s="7"/>
    </row>
    <row r="17017" spans="1:4" ht="12.75" customHeight="1" x14ac:dyDescent="0.2">
      <c r="A17017" s="21"/>
      <c r="B17017" s="2"/>
      <c r="C17017" s="7"/>
      <c r="D17017" s="7"/>
    </row>
    <row r="17018" spans="1:4" ht="12.75" customHeight="1" x14ac:dyDescent="0.2">
      <c r="A17018" s="21"/>
      <c r="B17018" s="2"/>
      <c r="C17018" s="7"/>
      <c r="D17018" s="7"/>
    </row>
    <row r="17019" spans="1:4" ht="12.75" customHeight="1" x14ac:dyDescent="0.2">
      <c r="A17019" s="5"/>
      <c r="B17019" s="2"/>
      <c r="C17019" s="7"/>
      <c r="D17019" s="7"/>
    </row>
    <row r="17020" spans="1:4" ht="12.75" customHeight="1" x14ac:dyDescent="0.2">
      <c r="A17020" s="22" t="str">
        <f>HYPERLINK("javascript:void(0)","hódpajzs")</f>
        <v>hódpajzs</v>
      </c>
      <c r="B17020" s="21"/>
      <c r="C17020" s="21"/>
      <c r="D17020" s="21"/>
    </row>
    <row r="17021" spans="1:4" ht="12.75" customHeight="1" x14ac:dyDescent="0.2">
      <c r="A17021" s="20"/>
      <c r="B17021" s="2"/>
      <c r="C17021" s="7"/>
      <c r="D17021" s="7"/>
    </row>
    <row r="17022" spans="1:4" ht="12.75" customHeight="1" x14ac:dyDescent="0.2">
      <c r="A17022" s="21"/>
      <c r="B17022" s="3" t="s">
        <v>0</v>
      </c>
      <c r="C17022" s="23" t="s">
        <v>1284</v>
      </c>
      <c r="D17022" s="21"/>
    </row>
    <row r="17023" spans="1:4" ht="12.75" customHeight="1" x14ac:dyDescent="0.2">
      <c r="A17023" s="21"/>
      <c r="B17023" s="3" t="s">
        <v>2</v>
      </c>
      <c r="C17023" s="23" t="s">
        <v>1839</v>
      </c>
      <c r="D17023" s="21"/>
    </row>
    <row r="17024" spans="1:4" ht="12.75" customHeight="1" x14ac:dyDescent="0.2">
      <c r="A17024" s="21"/>
      <c r="B17024" s="3" t="s">
        <v>1840</v>
      </c>
      <c r="C17024" s="23" t="s">
        <v>3233</v>
      </c>
      <c r="D17024" s="21"/>
    </row>
    <row r="17025" spans="1:4" ht="12.75" customHeight="1" x14ac:dyDescent="0.2">
      <c r="A17025" s="21"/>
      <c r="B17025" s="3" t="s">
        <v>9</v>
      </c>
      <c r="C17025" s="23" t="s">
        <v>6028</v>
      </c>
      <c r="D17025" s="21"/>
    </row>
    <row r="17026" spans="1:4" ht="12.75" customHeight="1" x14ac:dyDescent="0.2">
      <c r="A17026" s="21"/>
      <c r="B17026" s="3" t="s">
        <v>11</v>
      </c>
      <c r="C17026" s="23" t="s">
        <v>6029</v>
      </c>
      <c r="D17026" s="21"/>
    </row>
    <row r="17027" spans="1:4" ht="12.75" customHeight="1" x14ac:dyDescent="0.2">
      <c r="A17027" s="21"/>
      <c r="B17027" s="3" t="s">
        <v>16</v>
      </c>
      <c r="C17027" s="23"/>
      <c r="D17027" s="21"/>
    </row>
    <row r="17028" spans="1:4" ht="12.75" customHeight="1" x14ac:dyDescent="0.2">
      <c r="A17028" s="21"/>
      <c r="B17028" s="3" t="s">
        <v>17</v>
      </c>
      <c r="C17028" s="23" t="s">
        <v>19</v>
      </c>
      <c r="D17028" s="21"/>
    </row>
    <row r="17029" spans="1:4" ht="12.75" customHeight="1" x14ac:dyDescent="0.2">
      <c r="A17029" s="21"/>
      <c r="B17029" s="20" t="s">
        <v>18</v>
      </c>
      <c r="C17029" s="8" t="s">
        <v>44</v>
      </c>
      <c r="D17029" s="1" t="str">
        <f>HYPERLINK("javascript:void(0)","őrült pajzs")</f>
        <v>őrült pajzs</v>
      </c>
    </row>
    <row r="17030" spans="1:4" ht="12.75" customHeight="1" x14ac:dyDescent="0.2">
      <c r="A17030" s="21"/>
      <c r="B17030" s="21"/>
      <c r="C17030" s="8" t="s">
        <v>196</v>
      </c>
      <c r="D17030" s="1" t="str">
        <f>HYPERLINK("javascript:void(0)","hódprizma")</f>
        <v>hódprizma</v>
      </c>
    </row>
    <row r="17031" spans="1:4" ht="12.75" customHeight="1" x14ac:dyDescent="0.2">
      <c r="A17031" s="21"/>
      <c r="B17031" s="21"/>
      <c r="C17031" s="8" t="s">
        <v>232</v>
      </c>
      <c r="D17031" s="1" t="str">
        <f>HYPERLINK("javascript:void(0)","gyomorgörcs")</f>
        <v>gyomorgörcs</v>
      </c>
    </row>
    <row r="17032" spans="1:4" ht="12.75" customHeight="1" x14ac:dyDescent="0.2">
      <c r="A17032" s="21"/>
      <c r="B17032" s="2"/>
      <c r="C17032" s="7"/>
      <c r="D17032" s="7"/>
    </row>
    <row r="17033" spans="1:4" ht="12.75" customHeight="1" x14ac:dyDescent="0.2">
      <c r="A17033" s="21"/>
      <c r="B17033" s="2"/>
      <c r="C17033" s="7"/>
      <c r="D17033" s="7"/>
    </row>
    <row r="17034" spans="1:4" ht="12.75" customHeight="1" x14ac:dyDescent="0.2">
      <c r="A17034" s="21"/>
      <c r="B17034" s="2"/>
      <c r="C17034" s="7"/>
      <c r="D17034" s="7"/>
    </row>
    <row r="17035" spans="1:4" ht="12.75" customHeight="1" x14ac:dyDescent="0.2">
      <c r="A17035" s="21"/>
      <c r="B17035" s="2"/>
      <c r="C17035" s="7"/>
      <c r="D17035" s="7"/>
    </row>
    <row r="17036" spans="1:4" ht="12.75" customHeight="1" x14ac:dyDescent="0.2">
      <c r="A17036" s="5"/>
      <c r="B17036" s="2"/>
      <c r="C17036" s="7"/>
      <c r="D17036" s="7"/>
    </row>
    <row r="17037" spans="1:4" ht="12.75" customHeight="1" x14ac:dyDescent="0.2">
      <c r="A17037" s="22" t="str">
        <f>HYPERLINK("javascript:void(0)","tyúkláb")</f>
        <v>tyúkláb</v>
      </c>
      <c r="B17037" s="21"/>
      <c r="C17037" s="21"/>
      <c r="D17037" s="21"/>
    </row>
    <row r="17038" spans="1:4" ht="12.75" customHeight="1" x14ac:dyDescent="0.2">
      <c r="A17038" s="20"/>
      <c r="B17038" s="2"/>
      <c r="C17038" s="7"/>
      <c r="D17038" s="7"/>
    </row>
    <row r="17039" spans="1:4" ht="12.75" customHeight="1" x14ac:dyDescent="0.2">
      <c r="A17039" s="21"/>
      <c r="B17039" s="3" t="s">
        <v>0</v>
      </c>
      <c r="C17039" s="23" t="s">
        <v>1294</v>
      </c>
      <c r="D17039" s="21"/>
    </row>
    <row r="17040" spans="1:4" ht="12.75" customHeight="1" x14ac:dyDescent="0.2">
      <c r="A17040" s="21"/>
      <c r="B17040" s="3" t="s">
        <v>2</v>
      </c>
      <c r="C17040" s="23"/>
      <c r="D17040" s="21"/>
    </row>
    <row r="17041" spans="1:4" ht="12.75" customHeight="1" x14ac:dyDescent="0.2">
      <c r="A17041" s="21"/>
      <c r="B17041" s="3" t="s">
        <v>1840</v>
      </c>
      <c r="C17041" s="23" t="s">
        <v>2277</v>
      </c>
      <c r="D17041" s="21"/>
    </row>
    <row r="17042" spans="1:4" ht="12.75" customHeight="1" x14ac:dyDescent="0.2">
      <c r="A17042" s="21"/>
      <c r="B17042" s="3" t="s">
        <v>9</v>
      </c>
      <c r="C17042" s="23" t="s">
        <v>124</v>
      </c>
      <c r="D17042" s="21"/>
    </row>
    <row r="17043" spans="1:4" ht="12.75" customHeight="1" x14ac:dyDescent="0.2">
      <c r="A17043" s="21"/>
      <c r="B17043" s="3" t="s">
        <v>11</v>
      </c>
      <c r="C17043" s="23" t="s">
        <v>2278</v>
      </c>
      <c r="D17043" s="21"/>
    </row>
    <row r="17044" spans="1:4" ht="12.75" customHeight="1" x14ac:dyDescent="0.2">
      <c r="A17044" s="21"/>
      <c r="B17044" s="3" t="s">
        <v>16</v>
      </c>
      <c r="C17044" s="23"/>
      <c r="D17044" s="21"/>
    </row>
    <row r="17045" spans="1:4" ht="12.75" customHeight="1" x14ac:dyDescent="0.2">
      <c r="A17045" s="21"/>
      <c r="B17045" s="3" t="s">
        <v>17</v>
      </c>
      <c r="C17045" s="23" t="s">
        <v>19</v>
      </c>
      <c r="D17045" s="21"/>
    </row>
    <row r="17046" spans="1:4" ht="12.75" customHeight="1" x14ac:dyDescent="0.2">
      <c r="A17046" s="21"/>
      <c r="B17046" s="20" t="s">
        <v>18</v>
      </c>
      <c r="C17046" s="8" t="s">
        <v>44</v>
      </c>
      <c r="D17046" s="1" t="str">
        <f>HYPERLINK("javascript:void(0)","felhőtaposó")</f>
        <v>felhőtaposó</v>
      </c>
    </row>
    <row r="17047" spans="1:4" ht="12.75" customHeight="1" x14ac:dyDescent="0.2">
      <c r="A17047" s="21"/>
      <c r="B17047" s="21"/>
      <c r="C17047" s="8" t="s">
        <v>331</v>
      </c>
      <c r="D17047" s="1" t="str">
        <f>HYPERLINK("javascript:void(0)","tyúkszem")</f>
        <v>tyúkszem</v>
      </c>
    </row>
    <row r="17048" spans="1:4" ht="12.75" customHeight="1" x14ac:dyDescent="0.2">
      <c r="A17048" s="21"/>
      <c r="B17048" s="21"/>
      <c r="C17048" s="8" t="s">
        <v>55</v>
      </c>
      <c r="D17048" s="1" t="str">
        <f>HYPERLINK("javascript:void(0)","lélekkristály")</f>
        <v>lélekkristály</v>
      </c>
    </row>
    <row r="17049" spans="1:4" ht="12.75" customHeight="1" x14ac:dyDescent="0.2">
      <c r="A17049" s="21"/>
      <c r="B17049" s="2"/>
      <c r="C17049" s="7"/>
      <c r="D17049" s="7"/>
    </row>
    <row r="17050" spans="1:4" ht="12.75" customHeight="1" x14ac:dyDescent="0.2">
      <c r="A17050" s="21"/>
      <c r="B17050" s="2"/>
      <c r="C17050" s="7"/>
      <c r="D17050" s="7"/>
    </row>
    <row r="17051" spans="1:4" ht="12.75" customHeight="1" x14ac:dyDescent="0.2">
      <c r="A17051" s="21"/>
      <c r="B17051" s="2"/>
      <c r="C17051" s="7"/>
      <c r="D17051" s="7"/>
    </row>
    <row r="17052" spans="1:4" ht="12.75" customHeight="1" x14ac:dyDescent="0.2">
      <c r="A17052" s="21"/>
      <c r="B17052" s="2"/>
      <c r="C17052" s="7"/>
      <c r="D17052" s="7"/>
    </row>
    <row r="17053" spans="1:4" ht="12.75" customHeight="1" x14ac:dyDescent="0.2">
      <c r="A17053" s="5"/>
      <c r="B17053" s="2"/>
      <c r="C17053" s="7"/>
      <c r="D17053" s="7"/>
    </row>
    <row r="17054" spans="1:4" ht="12.75" customHeight="1" x14ac:dyDescent="0.2">
      <c r="A17054" s="22" t="str">
        <f>HYPERLINK("javascript:void(0)","arcvédő")</f>
        <v>arcvédő</v>
      </c>
      <c r="B17054" s="21"/>
      <c r="C17054" s="21"/>
      <c r="D17054" s="21"/>
    </row>
    <row r="17055" spans="1:4" ht="12.75" customHeight="1" x14ac:dyDescent="0.2">
      <c r="A17055" s="20"/>
      <c r="B17055" s="2"/>
      <c r="C17055" s="7"/>
      <c r="D17055" s="7"/>
    </row>
    <row r="17056" spans="1:4" ht="12.75" customHeight="1" x14ac:dyDescent="0.2">
      <c r="A17056" s="21"/>
      <c r="B17056" s="3" t="s">
        <v>0</v>
      </c>
      <c r="C17056" s="23" t="s">
        <v>1294</v>
      </c>
      <c r="D17056" s="21"/>
    </row>
    <row r="17057" spans="1:4" ht="12.75" customHeight="1" x14ac:dyDescent="0.2">
      <c r="A17057" s="21"/>
      <c r="B17057" s="3" t="s">
        <v>2</v>
      </c>
      <c r="C17057" s="23"/>
      <c r="D17057" s="21"/>
    </row>
    <row r="17058" spans="1:4" ht="12.75" customHeight="1" x14ac:dyDescent="0.2">
      <c r="A17058" s="21"/>
      <c r="B17058" s="3" t="s">
        <v>1840</v>
      </c>
      <c r="C17058" s="23" t="s">
        <v>2923</v>
      </c>
      <c r="D17058" s="21"/>
    </row>
    <row r="17059" spans="1:4" ht="12.75" customHeight="1" x14ac:dyDescent="0.2">
      <c r="A17059" s="21"/>
      <c r="B17059" s="3" t="s">
        <v>9</v>
      </c>
      <c r="C17059" s="23" t="s">
        <v>1279</v>
      </c>
      <c r="D17059" s="21"/>
    </row>
    <row r="17060" spans="1:4" ht="12.75" customHeight="1" x14ac:dyDescent="0.2">
      <c r="A17060" s="21"/>
      <c r="B17060" s="3" t="s">
        <v>11</v>
      </c>
      <c r="C17060" s="23" t="s">
        <v>2278</v>
      </c>
      <c r="D17060" s="21"/>
    </row>
    <row r="17061" spans="1:4" ht="12.75" customHeight="1" x14ac:dyDescent="0.2">
      <c r="A17061" s="21"/>
      <c r="B17061" s="3" t="s">
        <v>16</v>
      </c>
      <c r="C17061" s="23"/>
      <c r="D17061" s="21"/>
    </row>
    <row r="17062" spans="1:4" ht="12.75" customHeight="1" x14ac:dyDescent="0.2">
      <c r="A17062" s="21"/>
      <c r="B17062" s="3" t="s">
        <v>17</v>
      </c>
      <c r="C17062" s="23" t="s">
        <v>19</v>
      </c>
      <c r="D17062" s="21"/>
    </row>
    <row r="17063" spans="1:4" ht="12.75" customHeight="1" x14ac:dyDescent="0.2">
      <c r="A17063" s="21"/>
      <c r="B17063" s="20" t="s">
        <v>18</v>
      </c>
      <c r="C17063" s="8" t="s">
        <v>331</v>
      </c>
      <c r="D17063" s="1" t="str">
        <f>HYPERLINK("javascript:void(0)","pajzskeret")</f>
        <v>pajzskeret</v>
      </c>
    </row>
    <row r="17064" spans="1:4" ht="12.75" customHeight="1" x14ac:dyDescent="0.2">
      <c r="A17064" s="21"/>
      <c r="B17064" s="21"/>
      <c r="C17064" s="8" t="s">
        <v>142</v>
      </c>
      <c r="D17064" s="1" t="str">
        <f>HYPERLINK("javascript:void(0)","lélekkristály")</f>
        <v>lélekkristály</v>
      </c>
    </row>
    <row r="17065" spans="1:4" ht="12.75" customHeight="1" x14ac:dyDescent="0.2">
      <c r="A17065" s="21"/>
      <c r="B17065" s="21"/>
      <c r="C17065" s="8" t="s">
        <v>296</v>
      </c>
      <c r="D17065" s="1" t="str">
        <f>HYPERLINK("javascript:void(0)","regnum")</f>
        <v>regnum</v>
      </c>
    </row>
    <row r="17066" spans="1:4" ht="12.75" customHeight="1" x14ac:dyDescent="0.2">
      <c r="A17066" s="21"/>
      <c r="B17066" s="2"/>
      <c r="C17066" s="7"/>
      <c r="D17066" s="7"/>
    </row>
    <row r="17067" spans="1:4" ht="12.75" customHeight="1" x14ac:dyDescent="0.2">
      <c r="A17067" s="21"/>
      <c r="B17067" s="2"/>
      <c r="C17067" s="7"/>
      <c r="D17067" s="7"/>
    </row>
    <row r="17068" spans="1:4" ht="12.75" customHeight="1" x14ac:dyDescent="0.2">
      <c r="A17068" s="21"/>
      <c r="B17068" s="2"/>
      <c r="C17068" s="7"/>
      <c r="D17068" s="7"/>
    </row>
    <row r="17069" spans="1:4" ht="12.75" customHeight="1" x14ac:dyDescent="0.2">
      <c r="A17069" s="21"/>
      <c r="B17069" s="2"/>
      <c r="C17069" s="7"/>
      <c r="D17069" s="7"/>
    </row>
    <row r="17070" spans="1:4" ht="12.75" customHeight="1" x14ac:dyDescent="0.2">
      <c r="A17070" s="5"/>
      <c r="B17070" s="2"/>
      <c r="C17070" s="7"/>
      <c r="D17070" s="7"/>
    </row>
    <row r="17071" spans="1:4" ht="12.75" customHeight="1" x14ac:dyDescent="0.2">
      <c r="A17071" s="22" t="str">
        <f>HYPERLINK("javascript:void(0)","vértmell")</f>
        <v>vértmell</v>
      </c>
      <c r="B17071" s="21"/>
      <c r="C17071" s="21"/>
      <c r="D17071" s="21"/>
    </row>
    <row r="17072" spans="1:4" ht="12.75" customHeight="1" x14ac:dyDescent="0.2">
      <c r="A17072" s="20"/>
      <c r="B17072" s="2"/>
      <c r="C17072" s="7"/>
      <c r="D17072" s="7"/>
    </row>
    <row r="17073" spans="1:4" ht="12.75" customHeight="1" x14ac:dyDescent="0.2">
      <c r="A17073" s="21"/>
      <c r="B17073" s="3" t="s">
        <v>0</v>
      </c>
      <c r="C17073" s="23" t="s">
        <v>1294</v>
      </c>
      <c r="D17073" s="21"/>
    </row>
    <row r="17074" spans="1:4" ht="12.75" customHeight="1" x14ac:dyDescent="0.2">
      <c r="A17074" s="21"/>
      <c r="B17074" s="3" t="s">
        <v>2</v>
      </c>
      <c r="C17074" s="23" t="s">
        <v>2322</v>
      </c>
      <c r="D17074" s="21"/>
    </row>
    <row r="17075" spans="1:4" ht="12.75" customHeight="1" x14ac:dyDescent="0.2">
      <c r="A17075" s="21"/>
      <c r="B17075" s="3" t="s">
        <v>1840</v>
      </c>
      <c r="C17075" s="23" t="s">
        <v>2560</v>
      </c>
      <c r="D17075" s="21"/>
    </row>
    <row r="17076" spans="1:4" ht="12.75" customHeight="1" x14ac:dyDescent="0.2">
      <c r="A17076" s="21"/>
      <c r="B17076" s="3" t="s">
        <v>9</v>
      </c>
      <c r="C17076" s="23" t="s">
        <v>1689</v>
      </c>
      <c r="D17076" s="21"/>
    </row>
    <row r="17077" spans="1:4" ht="12.75" customHeight="1" x14ac:dyDescent="0.2">
      <c r="A17077" s="21"/>
      <c r="B17077" s="3" t="s">
        <v>11</v>
      </c>
      <c r="C17077" s="23" t="s">
        <v>2561</v>
      </c>
      <c r="D17077" s="21"/>
    </row>
    <row r="17078" spans="1:4" ht="12.75" customHeight="1" x14ac:dyDescent="0.2">
      <c r="A17078" s="21"/>
      <c r="B17078" s="3" t="s">
        <v>16</v>
      </c>
      <c r="C17078" s="23"/>
      <c r="D17078" s="21"/>
    </row>
    <row r="17079" spans="1:4" ht="12.75" customHeight="1" x14ac:dyDescent="0.2">
      <c r="A17079" s="21"/>
      <c r="B17079" s="3" t="s">
        <v>17</v>
      </c>
      <c r="C17079" s="23" t="s">
        <v>19</v>
      </c>
      <c r="D17079" s="21"/>
    </row>
    <row r="17080" spans="1:4" ht="12.75" customHeight="1" x14ac:dyDescent="0.2">
      <c r="A17080" s="21"/>
      <c r="B17080" s="20" t="s">
        <v>18</v>
      </c>
      <c r="C17080" s="8" t="s">
        <v>44</v>
      </c>
      <c r="D17080" s="1" t="str">
        <f>HYPERLINK("javascript:void(0)","hódaljpánt")</f>
        <v>hódaljpánt</v>
      </c>
    </row>
    <row r="17081" spans="1:4" ht="12.75" customHeight="1" x14ac:dyDescent="0.2">
      <c r="A17081" s="21"/>
      <c r="B17081" s="21"/>
      <c r="C17081" s="8" t="s">
        <v>44</v>
      </c>
      <c r="D17081" s="1" t="str">
        <f>HYPERLINK("javascript:void(0)","kockás hasfal")</f>
        <v>kockás hasfal</v>
      </c>
    </row>
    <row r="17082" spans="1:4" ht="12.75" customHeight="1" x14ac:dyDescent="0.2">
      <c r="A17082" s="21"/>
      <c r="B17082" s="21"/>
      <c r="C17082" s="8" t="s">
        <v>68</v>
      </c>
      <c r="D17082" s="1" t="str">
        <f>HYPERLINK("javascript:void(0)","lábkarcsont")</f>
        <v>lábkarcsont</v>
      </c>
    </row>
    <row r="17083" spans="1:4" ht="12.75" customHeight="1" x14ac:dyDescent="0.2">
      <c r="A17083" s="21"/>
      <c r="B17083" s="2"/>
      <c r="C17083" s="7"/>
      <c r="D17083" s="7"/>
    </row>
    <row r="17084" spans="1:4" ht="12.75" customHeight="1" x14ac:dyDescent="0.2">
      <c r="A17084" s="21"/>
      <c r="B17084" s="2"/>
      <c r="C17084" s="7"/>
      <c r="D17084" s="7"/>
    </row>
    <row r="17085" spans="1:4" ht="12.75" customHeight="1" x14ac:dyDescent="0.2">
      <c r="A17085" s="21"/>
      <c r="B17085" s="2"/>
      <c r="C17085" s="7"/>
      <c r="D17085" s="7"/>
    </row>
    <row r="17086" spans="1:4" ht="12.75" customHeight="1" x14ac:dyDescent="0.2">
      <c r="A17086" s="21"/>
      <c r="B17086" s="2"/>
      <c r="C17086" s="7"/>
      <c r="D17086" s="7"/>
    </row>
    <row r="17087" spans="1:4" ht="12.75" customHeight="1" x14ac:dyDescent="0.2">
      <c r="A17087" s="5"/>
      <c r="B17087" s="2"/>
      <c r="C17087" s="7"/>
      <c r="D17087" s="7"/>
    </row>
    <row r="17088" spans="1:4" ht="12.75" customHeight="1" x14ac:dyDescent="0.2">
      <c r="A17088" s="22" t="str">
        <f>HYPERLINK("javascript:void(0)","hódtestpajzs")</f>
        <v>hódtestpajzs</v>
      </c>
      <c r="B17088" s="21"/>
      <c r="C17088" s="21"/>
      <c r="D17088" s="21"/>
    </row>
    <row r="17089" spans="1:4" ht="12.75" customHeight="1" x14ac:dyDescent="0.2">
      <c r="A17089" s="20"/>
      <c r="B17089" s="2"/>
      <c r="C17089" s="7"/>
      <c r="D17089" s="7"/>
    </row>
    <row r="17090" spans="1:4" ht="12.75" customHeight="1" x14ac:dyDescent="0.2">
      <c r="A17090" s="21"/>
      <c r="B17090" s="3" t="s">
        <v>0</v>
      </c>
      <c r="C17090" s="23" t="s">
        <v>1294</v>
      </c>
      <c r="D17090" s="21"/>
    </row>
    <row r="17091" spans="1:4" ht="12.75" customHeight="1" x14ac:dyDescent="0.2">
      <c r="A17091" s="21"/>
      <c r="B17091" s="3" t="s">
        <v>2</v>
      </c>
      <c r="C17091" s="23" t="s">
        <v>1839</v>
      </c>
      <c r="D17091" s="21"/>
    </row>
    <row r="17092" spans="1:4" ht="12.75" customHeight="1" x14ac:dyDescent="0.2">
      <c r="A17092" s="21"/>
      <c r="B17092" s="3" t="s">
        <v>1840</v>
      </c>
      <c r="C17092" s="23" t="s">
        <v>2473</v>
      </c>
      <c r="D17092" s="21"/>
    </row>
    <row r="17093" spans="1:4" ht="12.75" customHeight="1" x14ac:dyDescent="0.2">
      <c r="A17093" s="21"/>
      <c r="B17093" s="3" t="s">
        <v>9</v>
      </c>
      <c r="C17093" s="23" t="s">
        <v>198</v>
      </c>
      <c r="D17093" s="21"/>
    </row>
    <row r="17094" spans="1:4" ht="12.75" customHeight="1" x14ac:dyDescent="0.2">
      <c r="A17094" s="21"/>
      <c r="B17094" s="3" t="s">
        <v>11</v>
      </c>
      <c r="C17094" s="23" t="s">
        <v>6043</v>
      </c>
      <c r="D17094" s="21"/>
    </row>
    <row r="17095" spans="1:4" ht="12.75" customHeight="1" x14ac:dyDescent="0.2">
      <c r="A17095" s="21"/>
      <c r="B17095" s="3" t="s">
        <v>16</v>
      </c>
      <c r="C17095" s="23"/>
      <c r="D17095" s="21"/>
    </row>
    <row r="17096" spans="1:4" ht="12.75" customHeight="1" x14ac:dyDescent="0.2">
      <c r="A17096" s="21"/>
      <c r="B17096" s="3" t="s">
        <v>17</v>
      </c>
      <c r="C17096" s="23" t="s">
        <v>19</v>
      </c>
      <c r="D17096" s="21"/>
    </row>
    <row r="17097" spans="1:4" ht="12.75" customHeight="1" x14ac:dyDescent="0.2">
      <c r="A17097" s="21"/>
      <c r="B17097" s="20" t="s">
        <v>18</v>
      </c>
      <c r="C17097" s="8" t="s">
        <v>44</v>
      </c>
      <c r="D17097" s="1" t="str">
        <f>HYPERLINK("javascript:void(0)","őrült testpajzsot")</f>
        <v>őrült testpajzsot</v>
      </c>
    </row>
    <row r="17098" spans="1:4" ht="12.75" customHeight="1" x14ac:dyDescent="0.2">
      <c r="A17098" s="21"/>
      <c r="B17098" s="21"/>
      <c r="C17098" s="8" t="s">
        <v>142</v>
      </c>
      <c r="D17098" s="1" t="str">
        <f>HYPERLINK("javascript:void(0)","regnum")</f>
        <v>regnum</v>
      </c>
    </row>
    <row r="17099" spans="1:4" ht="12.75" customHeight="1" x14ac:dyDescent="0.2">
      <c r="A17099" s="21"/>
      <c r="B17099" s="21"/>
      <c r="C17099" s="8" t="s">
        <v>232</v>
      </c>
      <c r="D17099" s="1" t="str">
        <f>HYPERLINK("javascript:void(0)","lábkarcsont")</f>
        <v>lábkarcsont</v>
      </c>
    </row>
    <row r="17100" spans="1:4" ht="12.75" customHeight="1" x14ac:dyDescent="0.2">
      <c r="A17100" s="21"/>
      <c r="B17100" s="2"/>
      <c r="C17100" s="7"/>
      <c r="D17100" s="7"/>
    </row>
    <row r="17101" spans="1:4" ht="12.75" customHeight="1" x14ac:dyDescent="0.2">
      <c r="A17101" s="21"/>
      <c r="B17101" s="2"/>
      <c r="C17101" s="7"/>
      <c r="D17101" s="7"/>
    </row>
    <row r="17102" spans="1:4" ht="12.75" customHeight="1" x14ac:dyDescent="0.2">
      <c r="A17102" s="21"/>
      <c r="B17102" s="2"/>
      <c r="C17102" s="7"/>
      <c r="D17102" s="7"/>
    </row>
    <row r="17103" spans="1:4" ht="12.75" customHeight="1" x14ac:dyDescent="0.2">
      <c r="A17103" s="21"/>
      <c r="B17103" s="2"/>
      <c r="C17103" s="7"/>
      <c r="D17103" s="7"/>
    </row>
    <row r="17104" spans="1:4" ht="12.75" customHeight="1" x14ac:dyDescent="0.2">
      <c r="A17104" s="5"/>
      <c r="B17104" s="2"/>
      <c r="C17104" s="7"/>
      <c r="D17104" s="7"/>
    </row>
    <row r="17105" spans="1:4" ht="12.75" customHeight="1" x14ac:dyDescent="0.2">
      <c r="A17105" s="22" t="str">
        <f>HYPERLINK("javascript:void(0)","vértapicskoló")</f>
        <v>vértapicskoló</v>
      </c>
      <c r="B17105" s="21"/>
      <c r="C17105" s="21"/>
      <c r="D17105" s="21"/>
    </row>
    <row r="17106" spans="1:4" ht="12.75" customHeight="1" x14ac:dyDescent="0.2">
      <c r="A17106" s="20"/>
      <c r="B17106" s="2"/>
      <c r="C17106" s="7"/>
      <c r="D17106" s="7"/>
    </row>
    <row r="17107" spans="1:4" ht="12.75" customHeight="1" x14ac:dyDescent="0.2">
      <c r="A17107" s="21"/>
      <c r="B17107" s="3" t="s">
        <v>0</v>
      </c>
      <c r="C17107" s="23" t="s">
        <v>242</v>
      </c>
      <c r="D17107" s="21"/>
    </row>
    <row r="17108" spans="1:4" ht="12.75" customHeight="1" x14ac:dyDescent="0.2">
      <c r="A17108" s="21"/>
      <c r="B17108" s="3" t="s">
        <v>2</v>
      </c>
      <c r="C17108" s="23"/>
      <c r="D17108" s="21"/>
    </row>
    <row r="17109" spans="1:4" ht="12.75" customHeight="1" x14ac:dyDescent="0.2">
      <c r="A17109" s="21"/>
      <c r="B17109" s="3" t="s">
        <v>1840</v>
      </c>
      <c r="C17109" s="23" t="s">
        <v>2280</v>
      </c>
      <c r="D17109" s="21"/>
    </row>
    <row r="17110" spans="1:4" ht="12.75" customHeight="1" x14ac:dyDescent="0.2">
      <c r="A17110" s="21"/>
      <c r="B17110" s="3" t="s">
        <v>9</v>
      </c>
      <c r="C17110" s="23" t="s">
        <v>49</v>
      </c>
      <c r="D17110" s="21"/>
    </row>
    <row r="17111" spans="1:4" ht="12.75" customHeight="1" x14ac:dyDescent="0.2">
      <c r="A17111" s="21"/>
      <c r="B17111" s="3" t="s">
        <v>11</v>
      </c>
      <c r="C17111" s="23" t="s">
        <v>2281</v>
      </c>
      <c r="D17111" s="21"/>
    </row>
    <row r="17112" spans="1:4" ht="12.75" customHeight="1" x14ac:dyDescent="0.2">
      <c r="A17112" s="21"/>
      <c r="B17112" s="3" t="s">
        <v>16</v>
      </c>
      <c r="C17112" s="23"/>
      <c r="D17112" s="21"/>
    </row>
    <row r="17113" spans="1:4" ht="12.75" customHeight="1" x14ac:dyDescent="0.2">
      <c r="A17113" s="21"/>
      <c r="B17113" s="3" t="s">
        <v>17</v>
      </c>
      <c r="C17113" s="23" t="s">
        <v>19</v>
      </c>
      <c r="D17113" s="21"/>
    </row>
    <row r="17114" spans="1:4" ht="12.75" customHeight="1" x14ac:dyDescent="0.2">
      <c r="A17114" s="21"/>
      <c r="B17114" s="20" t="s">
        <v>18</v>
      </c>
      <c r="C17114" s="8" t="s">
        <v>68</v>
      </c>
      <c r="D17114" s="1" t="str">
        <f>HYPERLINK("javascript:void(0)","vértócsa")</f>
        <v>vértócsa</v>
      </c>
    </row>
    <row r="17115" spans="1:4" ht="12.75" customHeight="1" x14ac:dyDescent="0.2">
      <c r="A17115" s="21"/>
      <c r="B17115" s="21"/>
      <c r="C17115" s="8" t="s">
        <v>142</v>
      </c>
      <c r="D17115" s="1" t="str">
        <f>HYPERLINK("javascript:void(0)","lábkarcsont")</f>
        <v>lábkarcsont</v>
      </c>
    </row>
    <row r="17116" spans="1:4" ht="12.75" customHeight="1" x14ac:dyDescent="0.2">
      <c r="A17116" s="21"/>
      <c r="B17116" s="21"/>
      <c r="C17116" s="8" t="s">
        <v>55</v>
      </c>
      <c r="D17116" s="1" t="str">
        <f>HYPERLINK("javascript:void(0)","idegen mütyüge")</f>
        <v>idegen mütyüge</v>
      </c>
    </row>
    <row r="17117" spans="1:4" ht="12.75" customHeight="1" x14ac:dyDescent="0.2">
      <c r="A17117" s="21"/>
      <c r="B17117" s="2"/>
      <c r="C17117" s="7"/>
      <c r="D17117" s="7"/>
    </row>
    <row r="17118" spans="1:4" ht="12.75" customHeight="1" x14ac:dyDescent="0.2">
      <c r="A17118" s="21"/>
      <c r="B17118" s="2"/>
      <c r="C17118" s="7"/>
      <c r="D17118" s="7"/>
    </row>
    <row r="17119" spans="1:4" ht="12.75" customHeight="1" x14ac:dyDescent="0.2">
      <c r="A17119" s="21"/>
      <c r="B17119" s="2"/>
      <c r="C17119" s="7"/>
      <c r="D17119" s="7"/>
    </row>
    <row r="17120" spans="1:4" ht="12.75" customHeight="1" x14ac:dyDescent="0.2">
      <c r="A17120" s="21"/>
      <c r="B17120" s="2"/>
      <c r="C17120" s="7"/>
      <c r="D17120" s="7"/>
    </row>
    <row r="17121" spans="1:4" ht="12.75" customHeight="1" x14ac:dyDescent="0.2">
      <c r="A17121" s="5"/>
      <c r="B17121" s="2"/>
      <c r="C17121" s="7"/>
      <c r="D17121" s="7"/>
    </row>
    <row r="17122" spans="1:4" ht="12.75" customHeight="1" x14ac:dyDescent="0.2">
      <c r="A17122" s="22" t="str">
        <f>HYPERLINK("javascript:void(0)","sárkánymaszk")</f>
        <v>sárkánymaszk</v>
      </c>
      <c r="B17122" s="21"/>
      <c r="C17122" s="21"/>
      <c r="D17122" s="21"/>
    </row>
    <row r="17123" spans="1:4" ht="12.75" customHeight="1" x14ac:dyDescent="0.2">
      <c r="A17123" s="20"/>
      <c r="B17123" s="2"/>
      <c r="C17123" s="7"/>
      <c r="D17123" s="7"/>
    </row>
    <row r="17124" spans="1:4" ht="12.75" customHeight="1" x14ac:dyDescent="0.2">
      <c r="A17124" s="21"/>
      <c r="B17124" s="3" t="s">
        <v>0</v>
      </c>
      <c r="C17124" s="23" t="s">
        <v>242</v>
      </c>
      <c r="D17124" s="21"/>
    </row>
    <row r="17125" spans="1:4" ht="12.75" customHeight="1" x14ac:dyDescent="0.2">
      <c r="A17125" s="21"/>
      <c r="B17125" s="3" t="s">
        <v>2</v>
      </c>
      <c r="C17125" s="23"/>
      <c r="D17125" s="21"/>
    </row>
    <row r="17126" spans="1:4" ht="12.75" customHeight="1" x14ac:dyDescent="0.2">
      <c r="A17126" s="21"/>
      <c r="B17126" s="3" t="s">
        <v>1840</v>
      </c>
      <c r="C17126" s="23" t="s">
        <v>2918</v>
      </c>
      <c r="D17126" s="21"/>
    </row>
    <row r="17127" spans="1:4" ht="12.75" customHeight="1" x14ac:dyDescent="0.2">
      <c r="A17127" s="21"/>
      <c r="B17127" s="3" t="s">
        <v>9</v>
      </c>
      <c r="C17127" s="23" t="s">
        <v>2119</v>
      </c>
      <c r="D17127" s="21"/>
    </row>
    <row r="17128" spans="1:4" ht="12.75" customHeight="1" x14ac:dyDescent="0.2">
      <c r="A17128" s="21"/>
      <c r="B17128" s="3" t="s">
        <v>11</v>
      </c>
      <c r="C17128" s="23" t="s">
        <v>2281</v>
      </c>
      <c r="D17128" s="21"/>
    </row>
    <row r="17129" spans="1:4" ht="12.75" customHeight="1" x14ac:dyDescent="0.2">
      <c r="A17129" s="21"/>
      <c r="B17129" s="3" t="s">
        <v>16</v>
      </c>
      <c r="C17129" s="23"/>
      <c r="D17129" s="21"/>
    </row>
    <row r="17130" spans="1:4" ht="12.75" customHeight="1" x14ac:dyDescent="0.2">
      <c r="A17130" s="21"/>
      <c r="B17130" s="3" t="s">
        <v>17</v>
      </c>
      <c r="C17130" s="23" t="s">
        <v>19</v>
      </c>
      <c r="D17130" s="21"/>
    </row>
    <row r="17131" spans="1:4" ht="12.75" customHeight="1" x14ac:dyDescent="0.2">
      <c r="A17131" s="21"/>
      <c r="B17131" s="20" t="s">
        <v>18</v>
      </c>
      <c r="C17131" s="8" t="s">
        <v>44</v>
      </c>
      <c r="D17131" s="1" t="str">
        <f>HYPERLINK("javascript:void(0)","ócskalap")</f>
        <v>ócskalap</v>
      </c>
    </row>
    <row r="17132" spans="1:4" ht="12.75" customHeight="1" x14ac:dyDescent="0.2">
      <c r="A17132" s="21"/>
      <c r="B17132" s="21"/>
      <c r="C17132" s="8" t="s">
        <v>44</v>
      </c>
      <c r="D17132" s="1" t="str">
        <f>HYPERLINK("javascript:void(0)","arcvédő")</f>
        <v>arcvédő</v>
      </c>
    </row>
    <row r="17133" spans="1:4" ht="12.75" customHeight="1" x14ac:dyDescent="0.2">
      <c r="A17133" s="21"/>
      <c r="B17133" s="21"/>
      <c r="C17133" s="8" t="s">
        <v>55</v>
      </c>
      <c r="D17133" s="1" t="str">
        <f>HYPERLINK("javascript:void(0)","exorcium draconum")</f>
        <v>exorcium draconum</v>
      </c>
    </row>
    <row r="17134" spans="1:4" ht="12.75" customHeight="1" x14ac:dyDescent="0.2">
      <c r="A17134" s="21"/>
      <c r="B17134" s="2"/>
      <c r="C17134" s="7"/>
      <c r="D17134" s="7"/>
    </row>
    <row r="17135" spans="1:4" ht="12.75" customHeight="1" x14ac:dyDescent="0.2">
      <c r="A17135" s="21"/>
      <c r="B17135" s="2"/>
      <c r="C17135" s="7"/>
      <c r="D17135" s="7"/>
    </row>
    <row r="17136" spans="1:4" ht="12.75" customHeight="1" x14ac:dyDescent="0.2">
      <c r="A17136" s="21"/>
      <c r="B17136" s="2"/>
      <c r="C17136" s="7"/>
      <c r="D17136" s="7"/>
    </row>
    <row r="17137" spans="1:4" ht="12.75" customHeight="1" x14ac:dyDescent="0.2">
      <c r="A17137" s="21"/>
      <c r="B17137" s="2"/>
      <c r="C17137" s="7"/>
      <c r="D17137" s="7"/>
    </row>
    <row r="17138" spans="1:4" ht="12.75" customHeight="1" x14ac:dyDescent="0.2">
      <c r="A17138" s="5"/>
      <c r="B17138" s="2"/>
      <c r="C17138" s="7"/>
      <c r="D17138" s="7"/>
    </row>
    <row r="17139" spans="1:4" ht="12.75" customHeight="1" x14ac:dyDescent="0.2">
      <c r="A17139" s="22" t="str">
        <f>HYPERLINK("javascript:void(0)","tolvajpáncél")</f>
        <v>tolvajpáncél</v>
      </c>
      <c r="B17139" s="21"/>
      <c r="C17139" s="21"/>
      <c r="D17139" s="21"/>
    </row>
    <row r="17140" spans="1:4" ht="12.75" customHeight="1" x14ac:dyDescent="0.2">
      <c r="A17140" s="20"/>
      <c r="B17140" s="2"/>
      <c r="C17140" s="7"/>
      <c r="D17140" s="7"/>
    </row>
    <row r="17141" spans="1:4" ht="12.75" customHeight="1" x14ac:dyDescent="0.2">
      <c r="A17141" s="21"/>
      <c r="B17141" s="3" t="s">
        <v>0</v>
      </c>
      <c r="C17141" s="23" t="s">
        <v>242</v>
      </c>
      <c r="D17141" s="21"/>
    </row>
    <row r="17142" spans="1:4" ht="12.75" customHeight="1" x14ac:dyDescent="0.2">
      <c r="A17142" s="21"/>
      <c r="B17142" s="3" t="s">
        <v>2</v>
      </c>
      <c r="C17142" s="23" t="s">
        <v>2322</v>
      </c>
      <c r="D17142" s="21"/>
    </row>
    <row r="17143" spans="1:4" ht="12.75" customHeight="1" x14ac:dyDescent="0.2">
      <c r="A17143" s="21"/>
      <c r="B17143" s="3" t="s">
        <v>1840</v>
      </c>
      <c r="C17143" s="23" t="s">
        <v>1870</v>
      </c>
      <c r="D17143" s="21"/>
    </row>
    <row r="17144" spans="1:4" ht="12.75" customHeight="1" x14ac:dyDescent="0.2">
      <c r="A17144" s="21"/>
      <c r="B17144" s="3" t="s">
        <v>9</v>
      </c>
      <c r="C17144" s="23" t="s">
        <v>2562</v>
      </c>
      <c r="D17144" s="21"/>
    </row>
    <row r="17145" spans="1:4" ht="12.75" customHeight="1" x14ac:dyDescent="0.2">
      <c r="A17145" s="21"/>
      <c r="B17145" s="3" t="s">
        <v>11</v>
      </c>
      <c r="C17145" s="23" t="s">
        <v>2563</v>
      </c>
      <c r="D17145" s="21"/>
    </row>
    <row r="17146" spans="1:4" ht="12.75" customHeight="1" x14ac:dyDescent="0.2">
      <c r="A17146" s="21"/>
      <c r="B17146" s="3" t="s">
        <v>16</v>
      </c>
      <c r="C17146" s="23"/>
      <c r="D17146" s="21"/>
    </row>
    <row r="17147" spans="1:4" ht="12.75" customHeight="1" x14ac:dyDescent="0.2">
      <c r="A17147" s="21"/>
      <c r="B17147" s="3" t="s">
        <v>17</v>
      </c>
      <c r="C17147" s="23" t="s">
        <v>19</v>
      </c>
      <c r="D17147" s="21"/>
    </row>
    <row r="17148" spans="1:4" ht="12.75" customHeight="1" x14ac:dyDescent="0.2">
      <c r="A17148" s="21"/>
      <c r="B17148" s="20" t="s">
        <v>18</v>
      </c>
      <c r="C17148" s="8" t="s">
        <v>44</v>
      </c>
      <c r="D17148" s="1" t="str">
        <f>HYPERLINK("javascript:void(0)","vértmell")</f>
        <v>vértmell</v>
      </c>
    </row>
    <row r="17149" spans="1:4" ht="12.75" customHeight="1" x14ac:dyDescent="0.2">
      <c r="A17149" s="21"/>
      <c r="B17149" s="21"/>
      <c r="C17149" s="8" t="s">
        <v>67</v>
      </c>
      <c r="D17149" s="1" t="str">
        <f>HYPERLINK("javascript:void(0)","idegen mütyüge")</f>
        <v>idegen mütyüge</v>
      </c>
    </row>
    <row r="17150" spans="1:4" ht="12.75" customHeight="1" x14ac:dyDescent="0.2">
      <c r="A17150" s="21"/>
      <c r="B17150" s="21"/>
      <c r="C17150" s="8" t="s">
        <v>98</v>
      </c>
      <c r="D17150" s="1" t="str">
        <f>HYPERLINK("javascript:void(0)","ármánylat")</f>
        <v>ármánylat</v>
      </c>
    </row>
    <row r="17151" spans="1:4" ht="12.75" customHeight="1" x14ac:dyDescent="0.2">
      <c r="A17151" s="21"/>
      <c r="B17151" s="2"/>
      <c r="C17151" s="7"/>
      <c r="D17151" s="7"/>
    </row>
    <row r="17152" spans="1:4" ht="12.75" customHeight="1" x14ac:dyDescent="0.2">
      <c r="A17152" s="21"/>
      <c r="B17152" s="2"/>
      <c r="C17152" s="7"/>
      <c r="D17152" s="7"/>
    </row>
    <row r="17153" spans="1:4" ht="12.75" customHeight="1" x14ac:dyDescent="0.2">
      <c r="A17153" s="21"/>
      <c r="B17153" s="2"/>
      <c r="C17153" s="7"/>
      <c r="D17153" s="7"/>
    </row>
    <row r="17154" spans="1:4" ht="12.75" customHeight="1" x14ac:dyDescent="0.2">
      <c r="A17154" s="21"/>
      <c r="B17154" s="2"/>
      <c r="C17154" s="7"/>
      <c r="D17154" s="7"/>
    </row>
    <row r="17155" spans="1:4" ht="12.75" customHeight="1" x14ac:dyDescent="0.2">
      <c r="A17155" s="5"/>
      <c r="B17155" s="2"/>
      <c r="C17155" s="7"/>
      <c r="D17155" s="7"/>
    </row>
    <row r="17156" spans="1:4" ht="12.75" customHeight="1" x14ac:dyDescent="0.2">
      <c r="A17156" s="22" t="str">
        <f>HYPERLINK("javascript:void(0)","sárkányvér pajzs")</f>
        <v>sárkányvér pajzs</v>
      </c>
      <c r="B17156" s="21"/>
      <c r="C17156" s="21"/>
      <c r="D17156" s="21"/>
    </row>
    <row r="17157" spans="1:4" ht="12.75" customHeight="1" x14ac:dyDescent="0.2">
      <c r="A17157" s="20"/>
      <c r="B17157" s="2"/>
      <c r="C17157" s="7"/>
      <c r="D17157" s="7"/>
    </row>
    <row r="17158" spans="1:4" ht="12.75" customHeight="1" x14ac:dyDescent="0.2">
      <c r="A17158" s="21"/>
      <c r="B17158" s="3" t="s">
        <v>0</v>
      </c>
      <c r="C17158" s="23" t="s">
        <v>242</v>
      </c>
      <c r="D17158" s="21"/>
    </row>
    <row r="17159" spans="1:4" ht="12.75" customHeight="1" x14ac:dyDescent="0.2">
      <c r="A17159" s="21"/>
      <c r="B17159" s="3" t="s">
        <v>2</v>
      </c>
      <c r="C17159" s="23" t="s">
        <v>1839</v>
      </c>
      <c r="D17159" s="21"/>
    </row>
    <row r="17160" spans="1:4" ht="12.75" customHeight="1" x14ac:dyDescent="0.2">
      <c r="A17160" s="21"/>
      <c r="B17160" s="3" t="s">
        <v>1840</v>
      </c>
      <c r="C17160" s="23" t="s">
        <v>2947</v>
      </c>
      <c r="D17160" s="21"/>
    </row>
    <row r="17161" spans="1:4" ht="12.75" customHeight="1" x14ac:dyDescent="0.2">
      <c r="A17161" s="21"/>
      <c r="B17161" s="3" t="s">
        <v>9</v>
      </c>
      <c r="C17161" s="23" t="s">
        <v>2551</v>
      </c>
      <c r="D17161" s="21"/>
    </row>
    <row r="17162" spans="1:4" ht="12.75" customHeight="1" x14ac:dyDescent="0.2">
      <c r="A17162" s="21"/>
      <c r="B17162" s="3" t="s">
        <v>11</v>
      </c>
      <c r="C17162" s="23" t="s">
        <v>2561</v>
      </c>
      <c r="D17162" s="21"/>
    </row>
    <row r="17163" spans="1:4" ht="12.75" customHeight="1" x14ac:dyDescent="0.2">
      <c r="A17163" s="21"/>
      <c r="B17163" s="3" t="s">
        <v>16</v>
      </c>
      <c r="C17163" s="23"/>
      <c r="D17163" s="21"/>
    </row>
    <row r="17164" spans="1:4" ht="12.75" customHeight="1" x14ac:dyDescent="0.2">
      <c r="A17164" s="21"/>
      <c r="B17164" s="3" t="s">
        <v>17</v>
      </c>
      <c r="C17164" s="23" t="s">
        <v>19</v>
      </c>
      <c r="D17164" s="21"/>
    </row>
    <row r="17165" spans="1:4" ht="12.75" customHeight="1" x14ac:dyDescent="0.2">
      <c r="A17165" s="21"/>
      <c r="B17165" s="20" t="s">
        <v>18</v>
      </c>
      <c r="C17165" s="8" t="s">
        <v>44</v>
      </c>
      <c r="D17165" s="1" t="str">
        <f>HYPERLINK("javascript:void(0)","hódpajzs")</f>
        <v>hódpajzs</v>
      </c>
    </row>
    <row r="17166" spans="1:4" ht="12.75" customHeight="1" x14ac:dyDescent="0.2">
      <c r="A17166" s="21"/>
      <c r="B17166" s="21"/>
      <c r="C17166" s="8" t="s">
        <v>232</v>
      </c>
      <c r="D17166" s="1" t="str">
        <f>HYPERLINK("javascript:void(0)","exorcium draconum")</f>
        <v>exorcium draconum</v>
      </c>
    </row>
    <row r="17167" spans="1:4" ht="12.75" customHeight="1" x14ac:dyDescent="0.2">
      <c r="A17167" s="21"/>
      <c r="B17167" s="21"/>
      <c r="C17167" s="8" t="s">
        <v>232</v>
      </c>
      <c r="D17167" s="1" t="str">
        <f>HYPERLINK("javascript:void(0)","adattekercs")</f>
        <v>adattekercs</v>
      </c>
    </row>
    <row r="17168" spans="1:4" ht="12.75" customHeight="1" x14ac:dyDescent="0.2">
      <c r="A17168" s="21"/>
      <c r="B17168" s="2"/>
      <c r="C17168" s="7"/>
      <c r="D17168" s="7"/>
    </row>
    <row r="17169" spans="1:4" ht="12.75" customHeight="1" x14ac:dyDescent="0.2">
      <c r="A17169" s="21"/>
      <c r="B17169" s="2"/>
      <c r="C17169" s="7"/>
      <c r="D17169" s="7"/>
    </row>
    <row r="17170" spans="1:4" ht="12.75" customHeight="1" x14ac:dyDescent="0.2">
      <c r="A17170" s="21"/>
      <c r="B17170" s="2"/>
      <c r="C17170" s="7"/>
      <c r="D17170" s="7"/>
    </row>
    <row r="17171" spans="1:4" ht="12.75" customHeight="1" x14ac:dyDescent="0.2">
      <c r="A17171" s="21"/>
      <c r="B17171" s="2"/>
      <c r="C17171" s="7"/>
      <c r="D17171" s="7"/>
    </row>
    <row r="17172" spans="1:4" ht="12.75" customHeight="1" x14ac:dyDescent="0.2">
      <c r="A17172" s="5"/>
      <c r="B17172" s="2"/>
      <c r="C17172" s="7"/>
      <c r="D17172" s="7"/>
    </row>
    <row r="17173" spans="1:4" ht="12.75" customHeight="1" x14ac:dyDescent="0.2">
      <c r="A17173" s="22" t="str">
        <f>HYPERLINK("javascript:void(0)","regnáló antigrav csizma")</f>
        <v>regnáló antigrav csizma</v>
      </c>
      <c r="B17173" s="21"/>
      <c r="C17173" s="21"/>
      <c r="D17173" s="21"/>
    </row>
    <row r="17174" spans="1:4" ht="12.75" customHeight="1" x14ac:dyDescent="0.2">
      <c r="A17174" s="20"/>
      <c r="B17174" s="2"/>
      <c r="C17174" s="7"/>
      <c r="D17174" s="7"/>
    </row>
    <row r="17175" spans="1:4" ht="12.75" customHeight="1" x14ac:dyDescent="0.2">
      <c r="A17175" s="21"/>
      <c r="B17175" s="3" t="s">
        <v>0</v>
      </c>
      <c r="C17175" s="23" t="s">
        <v>242</v>
      </c>
      <c r="D17175" s="21"/>
    </row>
    <row r="17176" spans="1:4" ht="12.75" customHeight="1" x14ac:dyDescent="0.2">
      <c r="A17176" s="21"/>
      <c r="B17176" s="3" t="s">
        <v>2</v>
      </c>
      <c r="C17176" s="23"/>
      <c r="D17176" s="21"/>
    </row>
    <row r="17177" spans="1:4" ht="12.75" customHeight="1" x14ac:dyDescent="0.2">
      <c r="A17177" s="21"/>
      <c r="B17177" s="3" t="s">
        <v>1840</v>
      </c>
      <c r="C17177" s="23" t="s">
        <v>2283</v>
      </c>
      <c r="D17177" s="21"/>
    </row>
    <row r="17178" spans="1:4" ht="12.75" customHeight="1" x14ac:dyDescent="0.2">
      <c r="A17178" s="21"/>
      <c r="B17178" s="3" t="s">
        <v>9</v>
      </c>
      <c r="C17178" s="23" t="s">
        <v>626</v>
      </c>
      <c r="D17178" s="21"/>
    </row>
    <row r="17179" spans="1:4" ht="12.75" customHeight="1" x14ac:dyDescent="0.2">
      <c r="A17179" s="21"/>
      <c r="B17179" s="3" t="s">
        <v>11</v>
      </c>
      <c r="C17179" s="23" t="s">
        <v>23</v>
      </c>
      <c r="D17179" s="21"/>
    </row>
    <row r="17180" spans="1:4" ht="12.75" customHeight="1" x14ac:dyDescent="0.2">
      <c r="A17180" s="21"/>
      <c r="B17180" s="3" t="s">
        <v>16</v>
      </c>
      <c r="C17180" s="23"/>
      <c r="D17180" s="21"/>
    </row>
    <row r="17181" spans="1:4" ht="12.75" customHeight="1" x14ac:dyDescent="0.2">
      <c r="A17181" s="21"/>
      <c r="B17181" s="3" t="s">
        <v>17</v>
      </c>
      <c r="C17181" s="23" t="s">
        <v>19</v>
      </c>
      <c r="D17181" s="21"/>
    </row>
    <row r="17182" spans="1:4" ht="25.5" customHeight="1" x14ac:dyDescent="0.2">
      <c r="A17182" s="21"/>
      <c r="B17182" s="20" t="s">
        <v>18</v>
      </c>
      <c r="C17182" s="8" t="s">
        <v>44</v>
      </c>
      <c r="D17182" s="1" t="str">
        <f>HYPERLINK("javascript:void(0)","falánk antigrav csizma")</f>
        <v>falánk antigrav csizma</v>
      </c>
    </row>
    <row r="17183" spans="1:4" ht="12.75" customHeight="1" x14ac:dyDescent="0.2">
      <c r="A17183" s="21"/>
      <c r="B17183" s="21"/>
      <c r="C17183" s="8" t="s">
        <v>474</v>
      </c>
      <c r="D17183" s="1" t="str">
        <f>HYPERLINK("javascript:void(0)","regnum")</f>
        <v>regnum</v>
      </c>
    </row>
    <row r="17184" spans="1:4" ht="12.75" customHeight="1" x14ac:dyDescent="0.2">
      <c r="A17184" s="21"/>
      <c r="B17184" s="21"/>
      <c r="C17184" s="8" t="s">
        <v>139</v>
      </c>
      <c r="D17184" s="1" t="str">
        <f>HYPERLINK("javascript:void(0)","vértócsa")</f>
        <v>vértócsa</v>
      </c>
    </row>
    <row r="17185" spans="1:4" ht="12.75" customHeight="1" x14ac:dyDescent="0.2">
      <c r="A17185" s="21"/>
      <c r="B17185" s="2"/>
      <c r="C17185" s="7"/>
      <c r="D17185" s="7"/>
    </row>
    <row r="17186" spans="1:4" ht="12.75" customHeight="1" x14ac:dyDescent="0.2">
      <c r="A17186" s="21"/>
      <c r="B17186" s="2"/>
      <c r="C17186" s="7"/>
      <c r="D17186" s="7"/>
    </row>
    <row r="17187" spans="1:4" ht="12.75" customHeight="1" x14ac:dyDescent="0.2">
      <c r="A17187" s="21"/>
      <c r="B17187" s="2"/>
      <c r="C17187" s="7"/>
      <c r="D17187" s="7"/>
    </row>
    <row r="17188" spans="1:4" ht="12.75" customHeight="1" x14ac:dyDescent="0.2">
      <c r="A17188" s="21"/>
      <c r="B17188" s="2"/>
      <c r="C17188" s="7"/>
      <c r="D17188" s="7"/>
    </row>
    <row r="17189" spans="1:4" ht="12.75" customHeight="1" x14ac:dyDescent="0.2">
      <c r="A17189" s="5"/>
      <c r="B17189" s="2"/>
      <c r="C17189" s="7"/>
      <c r="D17189" s="7"/>
    </row>
    <row r="17190" spans="1:4" ht="12.75" customHeight="1" x14ac:dyDescent="0.2">
      <c r="A17190" s="22" t="str">
        <f>HYPERLINK("javascript:void(0)","lángnyelves csizma")</f>
        <v>lángnyelves csizma</v>
      </c>
      <c r="B17190" s="21"/>
      <c r="C17190" s="21"/>
      <c r="D17190" s="21"/>
    </row>
    <row r="17191" spans="1:4" ht="12.75" customHeight="1" x14ac:dyDescent="0.2">
      <c r="A17191" s="20"/>
      <c r="B17191" s="2"/>
      <c r="C17191" s="7"/>
      <c r="D17191" s="7"/>
    </row>
    <row r="17192" spans="1:4" ht="12.75" customHeight="1" x14ac:dyDescent="0.2">
      <c r="A17192" s="21"/>
      <c r="B17192" s="3" t="s">
        <v>0</v>
      </c>
      <c r="C17192" s="23" t="s">
        <v>1308</v>
      </c>
      <c r="D17192" s="21"/>
    </row>
    <row r="17193" spans="1:4" ht="12.75" customHeight="1" x14ac:dyDescent="0.2">
      <c r="A17193" s="21"/>
      <c r="B17193" s="3" t="s">
        <v>2</v>
      </c>
      <c r="C17193" s="23"/>
      <c r="D17193" s="21"/>
    </row>
    <row r="17194" spans="1:4" ht="12.75" customHeight="1" x14ac:dyDescent="0.2">
      <c r="A17194" s="21"/>
      <c r="B17194" s="3" t="s">
        <v>1840</v>
      </c>
      <c r="C17194" s="23" t="s">
        <v>2284</v>
      </c>
      <c r="D17194" s="21"/>
    </row>
    <row r="17195" spans="1:4" ht="12.75" customHeight="1" x14ac:dyDescent="0.2">
      <c r="A17195" s="21"/>
      <c r="B17195" s="3" t="s">
        <v>9</v>
      </c>
      <c r="C17195" s="23" t="s">
        <v>129</v>
      </c>
      <c r="D17195" s="21"/>
    </row>
    <row r="17196" spans="1:4" ht="12.75" customHeight="1" x14ac:dyDescent="0.2">
      <c r="A17196" s="21"/>
      <c r="B17196" s="3" t="s">
        <v>11</v>
      </c>
      <c r="C17196" s="23" t="s">
        <v>2285</v>
      </c>
      <c r="D17196" s="21"/>
    </row>
    <row r="17197" spans="1:4" ht="12.75" customHeight="1" x14ac:dyDescent="0.2">
      <c r="A17197" s="21"/>
      <c r="B17197" s="3" t="s">
        <v>16</v>
      </c>
      <c r="C17197" s="23"/>
      <c r="D17197" s="21"/>
    </row>
    <row r="17198" spans="1:4" ht="12.75" customHeight="1" x14ac:dyDescent="0.2">
      <c r="A17198" s="21"/>
      <c r="B17198" s="3" t="s">
        <v>17</v>
      </c>
      <c r="C17198" s="23" t="s">
        <v>19</v>
      </c>
      <c r="D17198" s="21"/>
    </row>
    <row r="17199" spans="1:4" ht="12.75" customHeight="1" x14ac:dyDescent="0.2">
      <c r="A17199" s="21"/>
      <c r="B17199" s="20" t="s">
        <v>18</v>
      </c>
      <c r="C17199" s="8" t="s">
        <v>44</v>
      </c>
      <c r="D17199" s="1" t="str">
        <f>HYPERLINK("javascript:void(0)","tyúkláb")</f>
        <v>tyúkláb</v>
      </c>
    </row>
    <row r="17200" spans="1:4" ht="12.75" customHeight="1" x14ac:dyDescent="0.2">
      <c r="A17200" s="21"/>
      <c r="B17200" s="21"/>
      <c r="C17200" s="8" t="s">
        <v>44</v>
      </c>
      <c r="D17200" s="1" t="str">
        <f>HYPERLINK("javascript:void(0)","vértapicskoló")</f>
        <v>vértapicskoló</v>
      </c>
    </row>
    <row r="17201" spans="1:4" ht="12.75" customHeight="1" x14ac:dyDescent="0.2">
      <c r="A17201" s="21"/>
      <c r="B17201" s="21"/>
      <c r="C17201" s="8" t="s">
        <v>68</v>
      </c>
      <c r="D17201" s="1" t="str">
        <f>HYPERLINK("javascript:void(0)","lángpehely")</f>
        <v>lángpehely</v>
      </c>
    </row>
    <row r="17202" spans="1:4" ht="12.75" customHeight="1" x14ac:dyDescent="0.2">
      <c r="A17202" s="21"/>
      <c r="B17202" s="2"/>
      <c r="C17202" s="7"/>
      <c r="D17202" s="7"/>
    </row>
    <row r="17203" spans="1:4" ht="12.75" customHeight="1" x14ac:dyDescent="0.2">
      <c r="A17203" s="21"/>
      <c r="B17203" s="2"/>
      <c r="C17203" s="7"/>
      <c r="D17203" s="7"/>
    </row>
    <row r="17204" spans="1:4" ht="12.75" customHeight="1" x14ac:dyDescent="0.2">
      <c r="A17204" s="21"/>
      <c r="B17204" s="2"/>
      <c r="C17204" s="7"/>
      <c r="D17204" s="7"/>
    </row>
    <row r="17205" spans="1:4" ht="12.75" customHeight="1" x14ac:dyDescent="0.2">
      <c r="A17205" s="21"/>
      <c r="B17205" s="2"/>
      <c r="C17205" s="7"/>
      <c r="D17205" s="7"/>
    </row>
    <row r="17206" spans="1:4" ht="12.75" customHeight="1" x14ac:dyDescent="0.2">
      <c r="A17206" s="5"/>
      <c r="B17206" s="2"/>
      <c r="C17206" s="7"/>
      <c r="D17206" s="7"/>
    </row>
    <row r="17207" spans="1:4" ht="12.75" customHeight="1" x14ac:dyDescent="0.2">
      <c r="A17207" s="22" t="str">
        <f>HYPERLINK("javascript:void(0)","lángnyelv")</f>
        <v>lángnyelv</v>
      </c>
      <c r="B17207" s="21"/>
      <c r="C17207" s="21"/>
      <c r="D17207" s="21"/>
    </row>
    <row r="17208" spans="1:4" ht="12.75" customHeight="1" x14ac:dyDescent="0.2">
      <c r="A17208" s="20"/>
      <c r="B17208" s="2"/>
      <c r="C17208" s="7"/>
      <c r="D17208" s="7"/>
    </row>
    <row r="17209" spans="1:4" ht="12.75" customHeight="1" x14ac:dyDescent="0.2">
      <c r="A17209" s="21"/>
      <c r="B17209" s="3" t="s">
        <v>0</v>
      </c>
      <c r="C17209" s="23" t="s">
        <v>1308</v>
      </c>
      <c r="D17209" s="21"/>
    </row>
    <row r="17210" spans="1:4" ht="12.75" customHeight="1" x14ac:dyDescent="0.2">
      <c r="A17210" s="21"/>
      <c r="B17210" s="3" t="s">
        <v>2</v>
      </c>
      <c r="C17210" s="23"/>
      <c r="D17210" s="21"/>
    </row>
    <row r="17211" spans="1:4" ht="12.75" customHeight="1" x14ac:dyDescent="0.2">
      <c r="A17211" s="21"/>
      <c r="B17211" s="3" t="s">
        <v>1840</v>
      </c>
      <c r="C17211" s="23" t="s">
        <v>3330</v>
      </c>
      <c r="D17211" s="21"/>
    </row>
    <row r="17212" spans="1:4" ht="12.75" customHeight="1" x14ac:dyDescent="0.2">
      <c r="A17212" s="21"/>
      <c r="B17212" s="3" t="s">
        <v>9</v>
      </c>
      <c r="C17212" s="23" t="s">
        <v>42</v>
      </c>
      <c r="D17212" s="21"/>
    </row>
    <row r="17213" spans="1:4" ht="12.75" customHeight="1" x14ac:dyDescent="0.2">
      <c r="A17213" s="21"/>
      <c r="B17213" s="3" t="s">
        <v>11</v>
      </c>
      <c r="C17213" s="23" t="s">
        <v>2285</v>
      </c>
      <c r="D17213" s="21"/>
    </row>
    <row r="17214" spans="1:4" ht="12.75" customHeight="1" x14ac:dyDescent="0.2">
      <c r="A17214" s="21"/>
      <c r="B17214" s="3" t="s">
        <v>16</v>
      </c>
      <c r="C17214" s="23"/>
      <c r="D17214" s="21"/>
    </row>
    <row r="17215" spans="1:4" ht="12.75" customHeight="1" x14ac:dyDescent="0.2">
      <c r="A17215" s="21"/>
      <c r="B17215" s="3" t="s">
        <v>17</v>
      </c>
      <c r="C17215" s="23" t="s">
        <v>19</v>
      </c>
      <c r="D17215" s="21"/>
    </row>
    <row r="17216" spans="1:4" ht="12.75" customHeight="1" x14ac:dyDescent="0.2">
      <c r="A17216" s="21"/>
      <c r="B17216" s="20" t="s">
        <v>18</v>
      </c>
      <c r="C17216" s="8" t="s">
        <v>44</v>
      </c>
      <c r="D17216" s="1" t="str">
        <f>HYPERLINK("javascript:void(0)","sárkánymaszk")</f>
        <v>sárkánymaszk</v>
      </c>
    </row>
    <row r="17217" spans="1:4" ht="12.75" customHeight="1" x14ac:dyDescent="0.2">
      <c r="A17217" s="21"/>
      <c r="B17217" s="21"/>
      <c r="C17217" s="8" t="s">
        <v>142</v>
      </c>
      <c r="D17217" s="1" t="str">
        <f>HYPERLINK("javascript:void(0)","lángpehely")</f>
        <v>lángpehely</v>
      </c>
    </row>
    <row r="17218" spans="1:4" ht="12.75" customHeight="1" x14ac:dyDescent="0.2">
      <c r="A17218" s="21"/>
      <c r="B17218" s="21"/>
      <c r="C17218" s="8" t="s">
        <v>196</v>
      </c>
      <c r="D17218" s="1" t="str">
        <f>HYPERLINK("javascript:void(0)","pánszarv")</f>
        <v>pánszarv</v>
      </c>
    </row>
    <row r="17219" spans="1:4" ht="12.75" customHeight="1" x14ac:dyDescent="0.2">
      <c r="A17219" s="21"/>
      <c r="B17219" s="2"/>
      <c r="C17219" s="7"/>
      <c r="D17219" s="7"/>
    </row>
    <row r="17220" spans="1:4" ht="12.75" customHeight="1" x14ac:dyDescent="0.2">
      <c r="A17220" s="21"/>
      <c r="B17220" s="2"/>
      <c r="C17220" s="7"/>
      <c r="D17220" s="7"/>
    </row>
    <row r="17221" spans="1:4" ht="12.75" customHeight="1" x14ac:dyDescent="0.2">
      <c r="A17221" s="21"/>
      <c r="B17221" s="2"/>
      <c r="C17221" s="7"/>
      <c r="D17221" s="7"/>
    </row>
    <row r="17222" spans="1:4" ht="12.75" customHeight="1" x14ac:dyDescent="0.2">
      <c r="A17222" s="21"/>
      <c r="B17222" s="2"/>
      <c r="C17222" s="7"/>
      <c r="D17222" s="7"/>
    </row>
    <row r="17223" spans="1:4" ht="12.75" customHeight="1" x14ac:dyDescent="0.2">
      <c r="A17223" s="5"/>
      <c r="B17223" s="2"/>
      <c r="C17223" s="7"/>
      <c r="D17223" s="7"/>
    </row>
    <row r="17224" spans="1:4" ht="12.75" customHeight="1" x14ac:dyDescent="0.2">
      <c r="A17224" s="22" t="str">
        <f>HYPERLINK("javascript:void(0)","teljes hasvért")</f>
        <v>teljes hasvért</v>
      </c>
      <c r="B17224" s="21"/>
      <c r="C17224" s="21"/>
      <c r="D17224" s="21"/>
    </row>
    <row r="17225" spans="1:4" ht="12.75" customHeight="1" x14ac:dyDescent="0.2">
      <c r="A17225" s="20"/>
      <c r="B17225" s="2"/>
      <c r="C17225" s="7"/>
      <c r="D17225" s="7"/>
    </row>
    <row r="17226" spans="1:4" ht="12.75" customHeight="1" x14ac:dyDescent="0.2">
      <c r="A17226" s="21"/>
      <c r="B17226" s="3" t="s">
        <v>0</v>
      </c>
      <c r="C17226" s="23" t="s">
        <v>1308</v>
      </c>
      <c r="D17226" s="21"/>
    </row>
    <row r="17227" spans="1:4" ht="12.75" customHeight="1" x14ac:dyDescent="0.2">
      <c r="A17227" s="21"/>
      <c r="B17227" s="3" t="s">
        <v>2</v>
      </c>
      <c r="C17227" s="23" t="s">
        <v>2322</v>
      </c>
      <c r="D17227" s="21"/>
    </row>
    <row r="17228" spans="1:4" ht="12.75" customHeight="1" x14ac:dyDescent="0.2">
      <c r="A17228" s="21"/>
      <c r="B17228" s="3" t="s">
        <v>1840</v>
      </c>
      <c r="C17228" s="23" t="s">
        <v>2564</v>
      </c>
      <c r="D17228" s="21"/>
    </row>
    <row r="17229" spans="1:4" ht="12.75" customHeight="1" x14ac:dyDescent="0.2">
      <c r="A17229" s="21"/>
      <c r="B17229" s="3" t="s">
        <v>9</v>
      </c>
      <c r="C17229" s="23" t="s">
        <v>1693</v>
      </c>
      <c r="D17229" s="21"/>
    </row>
    <row r="17230" spans="1:4" ht="12.75" customHeight="1" x14ac:dyDescent="0.2">
      <c r="A17230" s="21"/>
      <c r="B17230" s="3" t="s">
        <v>11</v>
      </c>
      <c r="C17230" s="23" t="s">
        <v>2565</v>
      </c>
      <c r="D17230" s="21"/>
    </row>
    <row r="17231" spans="1:4" ht="12.75" customHeight="1" x14ac:dyDescent="0.2">
      <c r="A17231" s="21"/>
      <c r="B17231" s="3" t="s">
        <v>16</v>
      </c>
      <c r="C17231" s="23"/>
      <c r="D17231" s="21"/>
    </row>
    <row r="17232" spans="1:4" ht="12.75" customHeight="1" x14ac:dyDescent="0.2">
      <c r="A17232" s="21"/>
      <c r="B17232" s="3" t="s">
        <v>17</v>
      </c>
      <c r="C17232" s="23" t="s">
        <v>19</v>
      </c>
      <c r="D17232" s="21"/>
    </row>
    <row r="17233" spans="1:4" ht="12.75" customHeight="1" x14ac:dyDescent="0.2">
      <c r="A17233" s="21"/>
      <c r="B17233" s="20" t="s">
        <v>18</v>
      </c>
      <c r="C17233" s="8" t="s">
        <v>117</v>
      </c>
      <c r="D17233" s="1" t="str">
        <f>HYPERLINK("javascript:void(0)","gyomorgörcs")</f>
        <v>gyomorgörcs</v>
      </c>
    </row>
    <row r="17234" spans="1:4" ht="12.75" customHeight="1" x14ac:dyDescent="0.2">
      <c r="A17234" s="21"/>
      <c r="B17234" s="21"/>
      <c r="C17234" s="8" t="s">
        <v>68</v>
      </c>
      <c r="D17234" s="1" t="str">
        <f>HYPERLINK("javascript:void(0)","zsiger")</f>
        <v>zsiger</v>
      </c>
    </row>
    <row r="17235" spans="1:4" ht="12.75" customHeight="1" x14ac:dyDescent="0.2">
      <c r="A17235" s="21"/>
      <c r="B17235" s="21"/>
      <c r="C17235" s="8" t="s">
        <v>132</v>
      </c>
      <c r="D17235" s="1" t="str">
        <f>HYPERLINK("javascript:void(0)","lábkarcsont")</f>
        <v>lábkarcsont</v>
      </c>
    </row>
    <row r="17236" spans="1:4" ht="12.75" customHeight="1" x14ac:dyDescent="0.2">
      <c r="A17236" s="21"/>
      <c r="B17236" s="2"/>
      <c r="C17236" s="7"/>
      <c r="D17236" s="7"/>
    </row>
    <row r="17237" spans="1:4" ht="12.75" customHeight="1" x14ac:dyDescent="0.2">
      <c r="A17237" s="21"/>
      <c r="B17237" s="2"/>
      <c r="C17237" s="7"/>
      <c r="D17237" s="7"/>
    </row>
    <row r="17238" spans="1:4" ht="12.75" customHeight="1" x14ac:dyDescent="0.2">
      <c r="A17238" s="21"/>
      <c r="B17238" s="2"/>
      <c r="C17238" s="7"/>
      <c r="D17238" s="7"/>
    </row>
    <row r="17239" spans="1:4" ht="12.75" customHeight="1" x14ac:dyDescent="0.2">
      <c r="A17239" s="21"/>
      <c r="B17239" s="2"/>
      <c r="C17239" s="7"/>
      <c r="D17239" s="7"/>
    </row>
    <row r="17240" spans="1:4" ht="12.75" customHeight="1" x14ac:dyDescent="0.2">
      <c r="A17240" s="5"/>
      <c r="B17240" s="2"/>
      <c r="C17240" s="7"/>
      <c r="D17240" s="7"/>
    </row>
    <row r="17241" spans="1:4" ht="12.75" customHeight="1" x14ac:dyDescent="0.2">
      <c r="A17241" s="22" t="str">
        <f>HYPERLINK("javascript:void(0)","sárkányvér testpajzs")</f>
        <v>sárkányvér testpajzs</v>
      </c>
      <c r="B17241" s="21"/>
      <c r="C17241" s="21"/>
      <c r="D17241" s="21"/>
    </row>
    <row r="17242" spans="1:4" ht="12.75" customHeight="1" x14ac:dyDescent="0.2">
      <c r="A17242" s="20"/>
      <c r="B17242" s="2"/>
      <c r="C17242" s="7"/>
      <c r="D17242" s="7"/>
    </row>
    <row r="17243" spans="1:4" ht="12.75" customHeight="1" x14ac:dyDescent="0.2">
      <c r="A17243" s="21"/>
      <c r="B17243" s="3" t="s">
        <v>0</v>
      </c>
      <c r="C17243" s="23" t="s">
        <v>1308</v>
      </c>
      <c r="D17243" s="21"/>
    </row>
    <row r="17244" spans="1:4" ht="12.75" customHeight="1" x14ac:dyDescent="0.2">
      <c r="A17244" s="21"/>
      <c r="B17244" s="3" t="s">
        <v>2</v>
      </c>
      <c r="C17244" s="23" t="s">
        <v>1839</v>
      </c>
      <c r="D17244" s="21"/>
    </row>
    <row r="17245" spans="1:4" ht="12.75" customHeight="1" x14ac:dyDescent="0.2">
      <c r="A17245" s="21"/>
      <c r="B17245" s="3" t="s">
        <v>1840</v>
      </c>
      <c r="C17245" s="23" t="s">
        <v>1829</v>
      </c>
      <c r="D17245" s="21"/>
    </row>
    <row r="17246" spans="1:4" ht="12.75" customHeight="1" x14ac:dyDescent="0.2">
      <c r="A17246" s="21"/>
      <c r="B17246" s="3" t="s">
        <v>9</v>
      </c>
      <c r="C17246" s="23" t="s">
        <v>131</v>
      </c>
      <c r="D17246" s="21"/>
    </row>
    <row r="17247" spans="1:4" ht="12.75" customHeight="1" x14ac:dyDescent="0.2">
      <c r="A17247" s="21"/>
      <c r="B17247" s="3" t="s">
        <v>11</v>
      </c>
      <c r="C17247" s="23" t="s">
        <v>6073</v>
      </c>
      <c r="D17247" s="21"/>
    </row>
    <row r="17248" spans="1:4" ht="12.75" customHeight="1" x14ac:dyDescent="0.2">
      <c r="A17248" s="21"/>
      <c r="B17248" s="3" t="s">
        <v>16</v>
      </c>
      <c r="C17248" s="23"/>
      <c r="D17248" s="21"/>
    </row>
    <row r="17249" spans="1:4" ht="12.75" customHeight="1" x14ac:dyDescent="0.2">
      <c r="A17249" s="21"/>
      <c r="B17249" s="3" t="s">
        <v>17</v>
      </c>
      <c r="C17249" s="23" t="s">
        <v>19</v>
      </c>
      <c r="D17249" s="21"/>
    </row>
    <row r="17250" spans="1:4" ht="12.75" customHeight="1" x14ac:dyDescent="0.2">
      <c r="A17250" s="21"/>
      <c r="B17250" s="20" t="s">
        <v>18</v>
      </c>
      <c r="C17250" s="8" t="s">
        <v>44</v>
      </c>
      <c r="D17250" s="1" t="str">
        <f>HYPERLINK("javascript:void(0)","hódtestpajzs")</f>
        <v>hódtestpajzs</v>
      </c>
    </row>
    <row r="17251" spans="1:4" ht="12.75" customHeight="1" x14ac:dyDescent="0.2">
      <c r="A17251" s="21"/>
      <c r="B17251" s="21"/>
      <c r="C17251" s="8" t="s">
        <v>102</v>
      </c>
      <c r="D17251" s="1" t="str">
        <f>HYPERLINK("javascript:void(0)","exorcium draconum")</f>
        <v>exorcium draconum</v>
      </c>
    </row>
    <row r="17252" spans="1:4" ht="12.75" customHeight="1" x14ac:dyDescent="0.2">
      <c r="A17252" s="21"/>
      <c r="B17252" s="21"/>
      <c r="C17252" s="8" t="s">
        <v>68</v>
      </c>
      <c r="D17252" s="1" t="str">
        <f>HYPERLINK("javascript:void(0)","homlokránc")</f>
        <v>homlokránc</v>
      </c>
    </row>
    <row r="17253" spans="1:4" ht="12.75" customHeight="1" x14ac:dyDescent="0.2">
      <c r="A17253" s="21"/>
      <c r="B17253" s="2"/>
      <c r="C17253" s="7"/>
      <c r="D17253" s="7"/>
    </row>
    <row r="17254" spans="1:4" ht="12.75" customHeight="1" x14ac:dyDescent="0.2">
      <c r="A17254" s="21"/>
      <c r="B17254" s="2"/>
      <c r="C17254" s="7"/>
      <c r="D17254" s="7"/>
    </row>
    <row r="17255" spans="1:4" ht="12.75" customHeight="1" x14ac:dyDescent="0.2">
      <c r="A17255" s="21"/>
      <c r="B17255" s="2"/>
      <c r="C17255" s="7"/>
      <c r="D17255" s="7"/>
    </row>
    <row r="17256" spans="1:4" ht="12.75" customHeight="1" x14ac:dyDescent="0.2">
      <c r="A17256" s="21"/>
      <c r="B17256" s="2"/>
      <c r="C17256" s="7"/>
      <c r="D17256" s="7"/>
    </row>
    <row r="17257" spans="1:4" ht="12.75" customHeight="1" x14ac:dyDescent="0.2">
      <c r="A17257" s="5"/>
      <c r="B17257" s="2"/>
      <c r="C17257" s="7"/>
      <c r="D17257" s="7"/>
    </row>
    <row r="17258" spans="1:4" ht="12.75" customHeight="1" x14ac:dyDescent="0.2">
      <c r="A17258" s="22" t="str">
        <f>HYPERLINK("javascript:void(0)","agytaposó")</f>
        <v>agytaposó</v>
      </c>
      <c r="B17258" s="21"/>
      <c r="C17258" s="21"/>
      <c r="D17258" s="21"/>
    </row>
    <row r="17259" spans="1:4" ht="12.75" customHeight="1" x14ac:dyDescent="0.2">
      <c r="A17259" s="20"/>
      <c r="B17259" s="2"/>
      <c r="C17259" s="7"/>
      <c r="D17259" s="7"/>
    </row>
    <row r="17260" spans="1:4" ht="12.75" customHeight="1" x14ac:dyDescent="0.2">
      <c r="A17260" s="21"/>
      <c r="B17260" s="3" t="s">
        <v>0</v>
      </c>
      <c r="C17260" s="23" t="s">
        <v>361</v>
      </c>
      <c r="D17260" s="21"/>
    </row>
    <row r="17261" spans="1:4" ht="12.75" customHeight="1" x14ac:dyDescent="0.2">
      <c r="A17261" s="21"/>
      <c r="B17261" s="3" t="s">
        <v>2</v>
      </c>
      <c r="C17261" s="23"/>
      <c r="D17261" s="21"/>
    </row>
    <row r="17262" spans="1:4" ht="12.75" customHeight="1" x14ac:dyDescent="0.2">
      <c r="A17262" s="21"/>
      <c r="B17262" s="3" t="s">
        <v>1840</v>
      </c>
      <c r="C17262" s="23" t="s">
        <v>2286</v>
      </c>
      <c r="D17262" s="21"/>
    </row>
    <row r="17263" spans="1:4" ht="12.75" customHeight="1" x14ac:dyDescent="0.2">
      <c r="A17263" s="21"/>
      <c r="B17263" s="3" t="s">
        <v>9</v>
      </c>
      <c r="C17263" s="23" t="s">
        <v>2287</v>
      </c>
      <c r="D17263" s="21"/>
    </row>
    <row r="17264" spans="1:4" ht="12.75" customHeight="1" x14ac:dyDescent="0.2">
      <c r="A17264" s="21"/>
      <c r="B17264" s="3" t="s">
        <v>11</v>
      </c>
      <c r="C17264" s="23" t="s">
        <v>1109</v>
      </c>
      <c r="D17264" s="21"/>
    </row>
    <row r="17265" spans="1:4" ht="12.75" customHeight="1" x14ac:dyDescent="0.2">
      <c r="A17265" s="21"/>
      <c r="B17265" s="3" t="s">
        <v>16</v>
      </c>
      <c r="C17265" s="23"/>
      <c r="D17265" s="21"/>
    </row>
    <row r="17266" spans="1:4" ht="12.75" customHeight="1" x14ac:dyDescent="0.2">
      <c r="A17266" s="21"/>
      <c r="B17266" s="3" t="s">
        <v>17</v>
      </c>
      <c r="C17266" s="23" t="s">
        <v>19</v>
      </c>
      <c r="D17266" s="21"/>
    </row>
    <row r="17267" spans="1:4" ht="12.75" customHeight="1" x14ac:dyDescent="0.2">
      <c r="A17267" s="21"/>
      <c r="B17267" s="20" t="s">
        <v>18</v>
      </c>
      <c r="C17267" s="8" t="s">
        <v>44</v>
      </c>
      <c r="D17267" s="1" t="str">
        <f>HYPERLINK("javascript:void(0)","lángnyelves csizma")</f>
        <v>lángnyelves csizma</v>
      </c>
    </row>
    <row r="17268" spans="1:4" ht="12.75" customHeight="1" x14ac:dyDescent="0.2">
      <c r="A17268" s="21"/>
      <c r="B17268" s="21"/>
      <c r="C17268" s="8" t="s">
        <v>102</v>
      </c>
      <c r="D17268" s="1" t="str">
        <f>HYPERLINK("javascript:void(0)","bolondgomba")</f>
        <v>bolondgomba</v>
      </c>
    </row>
    <row r="17269" spans="1:4" ht="12.75" customHeight="1" x14ac:dyDescent="0.2">
      <c r="A17269" s="21"/>
      <c r="B17269" s="21"/>
      <c r="C17269" s="8" t="s">
        <v>196</v>
      </c>
      <c r="D17269" s="1" t="str">
        <f>HYPERLINK("javascript:void(0)","adattekercs")</f>
        <v>adattekercs</v>
      </c>
    </row>
    <row r="17270" spans="1:4" ht="12.75" customHeight="1" x14ac:dyDescent="0.2">
      <c r="A17270" s="21"/>
      <c r="B17270" s="2"/>
      <c r="C17270" s="7"/>
      <c r="D17270" s="7"/>
    </row>
    <row r="17271" spans="1:4" ht="12.75" customHeight="1" x14ac:dyDescent="0.2">
      <c r="A17271" s="21"/>
      <c r="B17271" s="2"/>
      <c r="C17271" s="7"/>
      <c r="D17271" s="7"/>
    </row>
    <row r="17272" spans="1:4" ht="12.75" customHeight="1" x14ac:dyDescent="0.2">
      <c r="A17272" s="21"/>
      <c r="B17272" s="2"/>
      <c r="C17272" s="7"/>
      <c r="D17272" s="7"/>
    </row>
    <row r="17273" spans="1:4" ht="12.75" customHeight="1" x14ac:dyDescent="0.2">
      <c r="A17273" s="21"/>
      <c r="B17273" s="2"/>
      <c r="C17273" s="7"/>
      <c r="D17273" s="7"/>
    </row>
    <row r="17274" spans="1:4" ht="12.75" customHeight="1" x14ac:dyDescent="0.2">
      <c r="A17274" s="5"/>
      <c r="B17274" s="2"/>
      <c r="C17274" s="7"/>
      <c r="D17274" s="7"/>
    </row>
    <row r="17275" spans="1:4" ht="12.75" customHeight="1" x14ac:dyDescent="0.2">
      <c r="A17275" s="22" t="str">
        <f>HYPERLINK("javascript:void(0)","príma sisak")</f>
        <v>príma sisak</v>
      </c>
      <c r="B17275" s="21"/>
      <c r="C17275" s="21"/>
      <c r="D17275" s="21"/>
    </row>
    <row r="17276" spans="1:4" ht="12.75" customHeight="1" x14ac:dyDescent="0.2">
      <c r="A17276" s="20"/>
      <c r="B17276" s="2"/>
      <c r="C17276" s="7"/>
      <c r="D17276" s="7"/>
    </row>
    <row r="17277" spans="1:4" ht="12.75" customHeight="1" x14ac:dyDescent="0.2">
      <c r="A17277" s="21"/>
      <c r="B17277" s="3" t="s">
        <v>0</v>
      </c>
      <c r="C17277" s="23" t="s">
        <v>361</v>
      </c>
      <c r="D17277" s="21"/>
    </row>
    <row r="17278" spans="1:4" ht="12.75" customHeight="1" x14ac:dyDescent="0.2">
      <c r="A17278" s="21"/>
      <c r="B17278" s="3" t="s">
        <v>2</v>
      </c>
      <c r="C17278" s="23"/>
      <c r="D17278" s="21"/>
    </row>
    <row r="17279" spans="1:4" ht="12.75" customHeight="1" x14ac:dyDescent="0.2">
      <c r="A17279" s="21"/>
      <c r="B17279" s="3" t="s">
        <v>1840</v>
      </c>
      <c r="C17279" s="23" t="s">
        <v>568</v>
      </c>
      <c r="D17279" s="21"/>
    </row>
    <row r="17280" spans="1:4" ht="12.75" customHeight="1" x14ac:dyDescent="0.2">
      <c r="A17280" s="21"/>
      <c r="B17280" s="3" t="s">
        <v>9</v>
      </c>
      <c r="C17280" s="23" t="s">
        <v>233</v>
      </c>
      <c r="D17280" s="21"/>
    </row>
    <row r="17281" spans="1:4" ht="12.75" customHeight="1" x14ac:dyDescent="0.2">
      <c r="A17281" s="21"/>
      <c r="B17281" s="3" t="s">
        <v>11</v>
      </c>
      <c r="C17281" s="23" t="s">
        <v>1109</v>
      </c>
      <c r="D17281" s="21"/>
    </row>
    <row r="17282" spans="1:4" ht="12.75" customHeight="1" x14ac:dyDescent="0.2">
      <c r="A17282" s="21"/>
      <c r="B17282" s="3" t="s">
        <v>16</v>
      </c>
      <c r="C17282" s="23"/>
      <c r="D17282" s="21"/>
    </row>
    <row r="17283" spans="1:4" ht="12.75" customHeight="1" x14ac:dyDescent="0.2">
      <c r="A17283" s="21"/>
      <c r="B17283" s="3" t="s">
        <v>17</v>
      </c>
      <c r="C17283" s="23" t="s">
        <v>19</v>
      </c>
      <c r="D17283" s="21"/>
    </row>
    <row r="17284" spans="1:4" ht="12.75" customHeight="1" x14ac:dyDescent="0.2">
      <c r="A17284" s="21"/>
      <c r="B17284" s="20" t="s">
        <v>18</v>
      </c>
      <c r="C17284" s="8" t="s">
        <v>98</v>
      </c>
      <c r="D17284" s="1" t="str">
        <f>HYPERLINK("javascript:void(0)","exorcium draconum")</f>
        <v>exorcium draconum</v>
      </c>
    </row>
    <row r="17285" spans="1:4" ht="12.75" customHeight="1" x14ac:dyDescent="0.2">
      <c r="A17285" s="21"/>
      <c r="B17285" s="21"/>
      <c r="C17285" s="8" t="s">
        <v>68</v>
      </c>
      <c r="D17285" s="1" t="str">
        <f>HYPERLINK("javascript:void(0)","bolondgomba")</f>
        <v>bolondgomba</v>
      </c>
    </row>
    <row r="17286" spans="1:4" ht="12.75" customHeight="1" x14ac:dyDescent="0.2">
      <c r="A17286" s="21"/>
      <c r="B17286" s="21"/>
      <c r="C17286" s="8" t="s">
        <v>196</v>
      </c>
      <c r="D17286" s="1" t="str">
        <f>HYPERLINK("javascript:void(0)","príma enyv")</f>
        <v>príma enyv</v>
      </c>
    </row>
    <row r="17287" spans="1:4" ht="12.75" customHeight="1" x14ac:dyDescent="0.2">
      <c r="A17287" s="21"/>
      <c r="B17287" s="2"/>
      <c r="C17287" s="7"/>
      <c r="D17287" s="7"/>
    </row>
    <row r="17288" spans="1:4" ht="12.75" customHeight="1" x14ac:dyDescent="0.2">
      <c r="A17288" s="21"/>
      <c r="B17288" s="2"/>
      <c r="C17288" s="7"/>
      <c r="D17288" s="7"/>
    </row>
    <row r="17289" spans="1:4" ht="12.75" customHeight="1" x14ac:dyDescent="0.2">
      <c r="A17289" s="21"/>
      <c r="B17289" s="2"/>
      <c r="C17289" s="7"/>
      <c r="D17289" s="7"/>
    </row>
    <row r="17290" spans="1:4" ht="12.75" customHeight="1" x14ac:dyDescent="0.2">
      <c r="A17290" s="21"/>
      <c r="B17290" s="2"/>
      <c r="C17290" s="7"/>
      <c r="D17290" s="7"/>
    </row>
    <row r="17291" spans="1:4" ht="12.75" customHeight="1" x14ac:dyDescent="0.2">
      <c r="A17291" s="5"/>
      <c r="B17291" s="2"/>
      <c r="C17291" s="7"/>
      <c r="D17291" s="7"/>
    </row>
    <row r="17292" spans="1:4" ht="12.75" customHeight="1" x14ac:dyDescent="0.2">
      <c r="A17292" s="22" t="str">
        <f>HYPERLINK("javascript:void(0)","felfújt hólyagvért")</f>
        <v>felfújt hólyagvért</v>
      </c>
      <c r="B17292" s="21"/>
      <c r="C17292" s="21"/>
      <c r="D17292" s="21"/>
    </row>
    <row r="17293" spans="1:4" ht="12.75" customHeight="1" x14ac:dyDescent="0.2">
      <c r="A17293" s="20"/>
      <c r="B17293" s="2"/>
      <c r="C17293" s="7"/>
      <c r="D17293" s="7"/>
    </row>
    <row r="17294" spans="1:4" ht="12.75" customHeight="1" x14ac:dyDescent="0.2">
      <c r="A17294" s="21"/>
      <c r="B17294" s="3" t="s">
        <v>0</v>
      </c>
      <c r="C17294" s="23" t="s">
        <v>361</v>
      </c>
      <c r="D17294" s="21"/>
    </row>
    <row r="17295" spans="1:4" ht="12.75" customHeight="1" x14ac:dyDescent="0.2">
      <c r="A17295" s="21"/>
      <c r="B17295" s="3" t="s">
        <v>2</v>
      </c>
      <c r="C17295" s="23" t="s">
        <v>2322</v>
      </c>
      <c r="D17295" s="21"/>
    </row>
    <row r="17296" spans="1:4" ht="12.75" customHeight="1" x14ac:dyDescent="0.2">
      <c r="A17296" s="21"/>
      <c r="B17296" s="3" t="s">
        <v>1840</v>
      </c>
      <c r="C17296" s="23" t="s">
        <v>2566</v>
      </c>
      <c r="D17296" s="21"/>
    </row>
    <row r="17297" spans="1:4" ht="12.75" customHeight="1" x14ac:dyDescent="0.2">
      <c r="A17297" s="21"/>
      <c r="B17297" s="3" t="s">
        <v>9</v>
      </c>
      <c r="C17297" s="23" t="s">
        <v>2567</v>
      </c>
      <c r="D17297" s="21"/>
    </row>
    <row r="17298" spans="1:4" ht="12.75" customHeight="1" x14ac:dyDescent="0.2">
      <c r="A17298" s="21"/>
      <c r="B17298" s="3" t="s">
        <v>11</v>
      </c>
      <c r="C17298" s="23" t="s">
        <v>1141</v>
      </c>
      <c r="D17298" s="21"/>
    </row>
    <row r="17299" spans="1:4" ht="12.75" customHeight="1" x14ac:dyDescent="0.2">
      <c r="A17299" s="21"/>
      <c r="B17299" s="3" t="s">
        <v>16</v>
      </c>
      <c r="C17299" s="23"/>
      <c r="D17299" s="21"/>
    </row>
    <row r="17300" spans="1:4" ht="12.75" customHeight="1" x14ac:dyDescent="0.2">
      <c r="A17300" s="21"/>
      <c r="B17300" s="3" t="s">
        <v>17</v>
      </c>
      <c r="C17300" s="23" t="s">
        <v>19</v>
      </c>
      <c r="D17300" s="21"/>
    </row>
    <row r="17301" spans="1:4" ht="12.75" customHeight="1" x14ac:dyDescent="0.2">
      <c r="A17301" s="21"/>
      <c r="B17301" s="20" t="s">
        <v>18</v>
      </c>
      <c r="C17301" s="8" t="s">
        <v>44</v>
      </c>
      <c r="D17301" s="1" t="str">
        <f>HYPERLINK("javascript:void(0)","tolvajpáncél")</f>
        <v>tolvajpáncél</v>
      </c>
    </row>
    <row r="17302" spans="1:4" ht="12.75" customHeight="1" x14ac:dyDescent="0.2">
      <c r="A17302" s="21"/>
      <c r="B17302" s="21"/>
      <c r="C17302" s="8" t="s">
        <v>44</v>
      </c>
      <c r="D17302" s="1" t="str">
        <f>HYPERLINK("javascript:void(0)","teljes hasvért")</f>
        <v>teljes hasvért</v>
      </c>
    </row>
    <row r="17303" spans="1:4" ht="12.75" customHeight="1" x14ac:dyDescent="0.2">
      <c r="A17303" s="21"/>
      <c r="B17303" s="21"/>
      <c r="C17303" s="8" t="s">
        <v>196</v>
      </c>
      <c r="D17303" s="1" t="str">
        <f>HYPERLINK("javascript:void(0)","kokszkeksz")</f>
        <v>kokszkeksz</v>
      </c>
    </row>
    <row r="17304" spans="1:4" ht="12.75" customHeight="1" x14ac:dyDescent="0.2">
      <c r="A17304" s="21"/>
      <c r="B17304" s="2"/>
      <c r="C17304" s="7"/>
      <c r="D17304" s="7"/>
    </row>
    <row r="17305" spans="1:4" ht="12.75" customHeight="1" x14ac:dyDescent="0.2">
      <c r="A17305" s="21"/>
      <c r="B17305" s="2"/>
      <c r="C17305" s="7"/>
      <c r="D17305" s="7"/>
    </row>
    <row r="17306" spans="1:4" ht="12.75" customHeight="1" x14ac:dyDescent="0.2">
      <c r="A17306" s="21"/>
      <c r="B17306" s="2"/>
      <c r="C17306" s="7"/>
      <c r="D17306" s="7"/>
    </row>
    <row r="17307" spans="1:4" ht="12.75" customHeight="1" x14ac:dyDescent="0.2">
      <c r="A17307" s="21"/>
      <c r="B17307" s="2"/>
      <c r="C17307" s="7"/>
      <c r="D17307" s="7"/>
    </row>
    <row r="17308" spans="1:4" ht="12.75" customHeight="1" x14ac:dyDescent="0.2">
      <c r="A17308" s="5"/>
      <c r="B17308" s="2"/>
      <c r="C17308" s="7"/>
      <c r="D17308" s="7"/>
    </row>
    <row r="17309" spans="1:4" ht="12.75" customHeight="1" x14ac:dyDescent="0.2">
      <c r="A17309" s="22" t="str">
        <f>HYPERLINK("javascript:void(0)","kokszpajzs")</f>
        <v>kokszpajzs</v>
      </c>
      <c r="B17309" s="21"/>
      <c r="C17309" s="21"/>
      <c r="D17309" s="21"/>
    </row>
    <row r="17310" spans="1:4" ht="12.75" customHeight="1" x14ac:dyDescent="0.2">
      <c r="A17310" s="20"/>
      <c r="B17310" s="2"/>
      <c r="C17310" s="7"/>
      <c r="D17310" s="7"/>
    </row>
    <row r="17311" spans="1:4" ht="12.75" customHeight="1" x14ac:dyDescent="0.2">
      <c r="A17311" s="21"/>
      <c r="B17311" s="3" t="s">
        <v>0</v>
      </c>
      <c r="C17311" s="23" t="s">
        <v>361</v>
      </c>
      <c r="D17311" s="21"/>
    </row>
    <row r="17312" spans="1:4" ht="12.75" customHeight="1" x14ac:dyDescent="0.2">
      <c r="A17312" s="21"/>
      <c r="B17312" s="3" t="s">
        <v>2</v>
      </c>
      <c r="C17312" s="23" t="s">
        <v>1839</v>
      </c>
      <c r="D17312" s="21"/>
    </row>
    <row r="17313" spans="1:4" ht="12.75" customHeight="1" x14ac:dyDescent="0.2">
      <c r="A17313" s="21"/>
      <c r="B17313" s="3" t="s">
        <v>1840</v>
      </c>
      <c r="C17313" s="23" t="s">
        <v>4132</v>
      </c>
      <c r="D17313" s="21"/>
    </row>
    <row r="17314" spans="1:4" ht="12.75" customHeight="1" x14ac:dyDescent="0.2">
      <c r="A17314" s="21"/>
      <c r="B17314" s="3" t="s">
        <v>9</v>
      </c>
      <c r="C17314" s="23" t="s">
        <v>408</v>
      </c>
      <c r="D17314" s="21"/>
    </row>
    <row r="17315" spans="1:4" ht="12.75" customHeight="1" x14ac:dyDescent="0.2">
      <c r="A17315" s="21"/>
      <c r="B17315" s="3" t="s">
        <v>11</v>
      </c>
      <c r="C17315" s="23" t="s">
        <v>6081</v>
      </c>
      <c r="D17315" s="21"/>
    </row>
    <row r="17316" spans="1:4" ht="12.75" customHeight="1" x14ac:dyDescent="0.2">
      <c r="A17316" s="21"/>
      <c r="B17316" s="3" t="s">
        <v>16</v>
      </c>
      <c r="C17316" s="23"/>
      <c r="D17316" s="21"/>
    </row>
    <row r="17317" spans="1:4" ht="12.75" customHeight="1" x14ac:dyDescent="0.2">
      <c r="A17317" s="21"/>
      <c r="B17317" s="3" t="s">
        <v>17</v>
      </c>
      <c r="C17317" s="23" t="s">
        <v>19</v>
      </c>
      <c r="D17317" s="21"/>
    </row>
    <row r="17318" spans="1:4" ht="12.75" customHeight="1" x14ac:dyDescent="0.2">
      <c r="A17318" s="21"/>
      <c r="B17318" s="20" t="s">
        <v>18</v>
      </c>
      <c r="C17318" s="8" t="s">
        <v>44</v>
      </c>
      <c r="D17318" s="1" t="str">
        <f>HYPERLINK("javascript:void(0)","sárkányvér pajzs")</f>
        <v>sárkányvér pajzs</v>
      </c>
    </row>
    <row r="17319" spans="1:4" ht="12.75" customHeight="1" x14ac:dyDescent="0.2">
      <c r="A17319" s="21"/>
      <c r="B17319" s="21"/>
      <c r="C17319" s="8" t="s">
        <v>68</v>
      </c>
      <c r="D17319" s="1" t="str">
        <f>HYPERLINK("javascript:void(0)","kokszkeksz")</f>
        <v>kokszkeksz</v>
      </c>
    </row>
    <row r="17320" spans="1:4" ht="12.75" customHeight="1" x14ac:dyDescent="0.2">
      <c r="A17320" s="21"/>
      <c r="B17320" s="21"/>
      <c r="C17320" s="8" t="s">
        <v>296</v>
      </c>
      <c r="D17320" s="1" t="str">
        <f>HYPERLINK("javascript:void(0)","regnum")</f>
        <v>regnum</v>
      </c>
    </row>
    <row r="17321" spans="1:4" ht="12.75" customHeight="1" x14ac:dyDescent="0.2">
      <c r="A17321" s="21"/>
      <c r="B17321" s="2"/>
      <c r="C17321" s="7"/>
      <c r="D17321" s="7"/>
    </row>
    <row r="17322" spans="1:4" ht="12.75" customHeight="1" x14ac:dyDescent="0.2">
      <c r="A17322" s="21"/>
      <c r="B17322" s="2"/>
      <c r="C17322" s="7"/>
      <c r="D17322" s="7"/>
    </row>
    <row r="17323" spans="1:4" ht="12.75" customHeight="1" x14ac:dyDescent="0.2">
      <c r="A17323" s="21"/>
      <c r="B17323" s="2"/>
      <c r="C17323" s="7"/>
      <c r="D17323" s="7"/>
    </row>
    <row r="17324" spans="1:4" ht="12.75" customHeight="1" x14ac:dyDescent="0.2">
      <c r="A17324" s="21"/>
      <c r="B17324" s="2"/>
      <c r="C17324" s="7"/>
      <c r="D17324" s="7"/>
    </row>
    <row r="17325" spans="1:4" ht="12.75" customHeight="1" x14ac:dyDescent="0.2">
      <c r="A17325" s="5"/>
      <c r="B17325" s="2"/>
      <c r="C17325" s="7"/>
      <c r="D17325" s="7"/>
    </row>
    <row r="17326" spans="1:4" ht="12.75" customHeight="1" x14ac:dyDescent="0.2">
      <c r="A17326" s="22" t="str">
        <f>HYPERLINK("javascript:void(0)","tenyeres talp")</f>
        <v>tenyeres talp</v>
      </c>
      <c r="B17326" s="21"/>
      <c r="C17326" s="21"/>
      <c r="D17326" s="21"/>
    </row>
    <row r="17327" spans="1:4" ht="12.75" customHeight="1" x14ac:dyDescent="0.2">
      <c r="A17327" s="20"/>
      <c r="B17327" s="2"/>
      <c r="C17327" s="7"/>
      <c r="D17327" s="7"/>
    </row>
    <row r="17328" spans="1:4" ht="12.75" customHeight="1" x14ac:dyDescent="0.2">
      <c r="A17328" s="21"/>
      <c r="B17328" s="3" t="s">
        <v>0</v>
      </c>
      <c r="C17328" s="23" t="s">
        <v>1322</v>
      </c>
      <c r="D17328" s="21"/>
    </row>
    <row r="17329" spans="1:4" ht="12.75" customHeight="1" x14ac:dyDescent="0.2">
      <c r="A17329" s="21"/>
      <c r="B17329" s="3" t="s">
        <v>2</v>
      </c>
      <c r="C17329" s="23"/>
      <c r="D17329" s="21"/>
    </row>
    <row r="17330" spans="1:4" ht="12.75" customHeight="1" x14ac:dyDescent="0.2">
      <c r="A17330" s="21"/>
      <c r="B17330" s="3" t="s">
        <v>1840</v>
      </c>
      <c r="C17330" s="23" t="s">
        <v>2289</v>
      </c>
      <c r="D17330" s="21"/>
    </row>
    <row r="17331" spans="1:4" ht="12.75" customHeight="1" x14ac:dyDescent="0.2">
      <c r="A17331" s="21"/>
      <c r="B17331" s="3" t="s">
        <v>9</v>
      </c>
      <c r="C17331" s="23" t="s">
        <v>135</v>
      </c>
      <c r="D17331" s="21"/>
    </row>
    <row r="17332" spans="1:4" ht="12.75" customHeight="1" x14ac:dyDescent="0.2">
      <c r="A17332" s="21"/>
      <c r="B17332" s="3" t="s">
        <v>11</v>
      </c>
      <c r="C17332" s="23" t="s">
        <v>2290</v>
      </c>
      <c r="D17332" s="21"/>
    </row>
    <row r="17333" spans="1:4" ht="12.75" customHeight="1" x14ac:dyDescent="0.2">
      <c r="A17333" s="21"/>
      <c r="B17333" s="3" t="s">
        <v>16</v>
      </c>
      <c r="C17333" s="23"/>
      <c r="D17333" s="21"/>
    </row>
    <row r="17334" spans="1:4" ht="12.75" customHeight="1" x14ac:dyDescent="0.2">
      <c r="A17334" s="21"/>
      <c r="B17334" s="3" t="s">
        <v>17</v>
      </c>
      <c r="C17334" s="23" t="s">
        <v>19</v>
      </c>
      <c r="D17334" s="21"/>
    </row>
    <row r="17335" spans="1:4" ht="12.75" customHeight="1" x14ac:dyDescent="0.2">
      <c r="A17335" s="21"/>
      <c r="B17335" s="20" t="s">
        <v>18</v>
      </c>
      <c r="C17335" s="8" t="s">
        <v>117</v>
      </c>
      <c r="D17335" s="1" t="str">
        <f>HYPERLINK("javascript:void(0)","vérüreg")</f>
        <v>vérüreg</v>
      </c>
    </row>
    <row r="17336" spans="1:4" ht="12.75" customHeight="1" x14ac:dyDescent="0.2">
      <c r="A17336" s="21"/>
      <c r="B17336" s="21"/>
      <c r="C17336" s="8" t="s">
        <v>77</v>
      </c>
      <c r="D17336" s="1" t="str">
        <f>HYPERLINK("javascript:void(0)","kopoltyú")</f>
        <v>kopoltyú</v>
      </c>
    </row>
    <row r="17337" spans="1:4" ht="12.75" customHeight="1" x14ac:dyDescent="0.2">
      <c r="A17337" s="21"/>
      <c r="B17337" s="21"/>
      <c r="C17337" s="8" t="s">
        <v>139</v>
      </c>
      <c r="D17337" s="1" t="str">
        <f>HYPERLINK("javascript:void(0)","príma enyv")</f>
        <v>príma enyv</v>
      </c>
    </row>
    <row r="17338" spans="1:4" ht="12.75" customHeight="1" x14ac:dyDescent="0.2">
      <c r="A17338" s="21"/>
      <c r="B17338" s="2"/>
      <c r="C17338" s="7"/>
      <c r="D17338" s="7"/>
    </row>
    <row r="17339" spans="1:4" ht="12.75" customHeight="1" x14ac:dyDescent="0.2">
      <c r="A17339" s="21"/>
      <c r="B17339" s="2"/>
      <c r="C17339" s="7"/>
      <c r="D17339" s="7"/>
    </row>
    <row r="17340" spans="1:4" ht="12.75" customHeight="1" x14ac:dyDescent="0.2">
      <c r="A17340" s="21"/>
      <c r="B17340" s="2"/>
      <c r="C17340" s="7"/>
      <c r="D17340" s="7"/>
    </row>
    <row r="17341" spans="1:4" ht="12.75" customHeight="1" x14ac:dyDescent="0.2">
      <c r="A17341" s="21"/>
      <c r="B17341" s="2"/>
      <c r="C17341" s="7"/>
      <c r="D17341" s="7"/>
    </row>
    <row r="17342" spans="1:4" ht="12.75" customHeight="1" x14ac:dyDescent="0.2">
      <c r="A17342" s="5"/>
      <c r="B17342" s="2"/>
      <c r="C17342" s="7"/>
      <c r="D17342" s="7"/>
    </row>
    <row r="17343" spans="1:4" ht="12.75" customHeight="1" x14ac:dyDescent="0.2">
      <c r="A17343" s="22" t="str">
        <f>HYPERLINK("javascript:void(0)","vasalt fejbőr")</f>
        <v>vasalt fejbőr</v>
      </c>
      <c r="B17343" s="21"/>
      <c r="C17343" s="21"/>
      <c r="D17343" s="21"/>
    </row>
    <row r="17344" spans="1:4" ht="12.75" customHeight="1" x14ac:dyDescent="0.2">
      <c r="A17344" s="20"/>
      <c r="B17344" s="2"/>
      <c r="C17344" s="7"/>
      <c r="D17344" s="7"/>
    </row>
    <row r="17345" spans="1:4" ht="12.75" customHeight="1" x14ac:dyDescent="0.2">
      <c r="A17345" s="21"/>
      <c r="B17345" s="3" t="s">
        <v>0</v>
      </c>
      <c r="C17345" s="23" t="s">
        <v>1322</v>
      </c>
      <c r="D17345" s="21"/>
    </row>
    <row r="17346" spans="1:4" ht="12.75" customHeight="1" x14ac:dyDescent="0.2">
      <c r="A17346" s="21"/>
      <c r="B17346" s="3" t="s">
        <v>2</v>
      </c>
      <c r="C17346" s="23"/>
      <c r="D17346" s="21"/>
    </row>
    <row r="17347" spans="1:4" ht="12.75" customHeight="1" x14ac:dyDescent="0.2">
      <c r="A17347" s="21"/>
      <c r="B17347" s="3" t="s">
        <v>1840</v>
      </c>
      <c r="C17347" s="23" t="s">
        <v>4080</v>
      </c>
      <c r="D17347" s="21"/>
    </row>
    <row r="17348" spans="1:4" ht="12.75" customHeight="1" x14ac:dyDescent="0.2">
      <c r="A17348" s="21"/>
      <c r="B17348" s="3" t="s">
        <v>9</v>
      </c>
      <c r="C17348" s="23" t="s">
        <v>6087</v>
      </c>
      <c r="D17348" s="21"/>
    </row>
    <row r="17349" spans="1:4" ht="12.75" customHeight="1" x14ac:dyDescent="0.2">
      <c r="A17349" s="21"/>
      <c r="B17349" s="3" t="s">
        <v>11</v>
      </c>
      <c r="C17349" s="23" t="s">
        <v>2290</v>
      </c>
      <c r="D17349" s="21"/>
    </row>
    <row r="17350" spans="1:4" ht="12.75" customHeight="1" x14ac:dyDescent="0.2">
      <c r="A17350" s="21"/>
      <c r="B17350" s="3" t="s">
        <v>16</v>
      </c>
      <c r="C17350" s="23"/>
      <c r="D17350" s="21"/>
    </row>
    <row r="17351" spans="1:4" ht="12.75" customHeight="1" x14ac:dyDescent="0.2">
      <c r="A17351" s="21"/>
      <c r="B17351" s="3" t="s">
        <v>17</v>
      </c>
      <c r="C17351" s="23" t="s">
        <v>19</v>
      </c>
      <c r="D17351" s="21"/>
    </row>
    <row r="17352" spans="1:4" ht="12.75" customHeight="1" x14ac:dyDescent="0.2">
      <c r="A17352" s="21"/>
      <c r="B17352" s="20" t="s">
        <v>18</v>
      </c>
      <c r="C17352" s="8" t="s">
        <v>44</v>
      </c>
      <c r="D17352" s="1" t="str">
        <f>HYPERLINK("javascript:void(0)","lángnyelv")</f>
        <v>lángnyelv</v>
      </c>
    </row>
    <row r="17353" spans="1:4" ht="12.75" customHeight="1" x14ac:dyDescent="0.2">
      <c r="A17353" s="21"/>
      <c r="B17353" s="21"/>
      <c r="C17353" s="8" t="s">
        <v>44</v>
      </c>
      <c r="D17353" s="1" t="str">
        <f>HYPERLINK("javascript:void(0)","príma sisak")</f>
        <v>príma sisak</v>
      </c>
    </row>
    <row r="17354" spans="1:4" ht="12.75" customHeight="1" x14ac:dyDescent="0.2">
      <c r="A17354" s="21"/>
      <c r="B17354" s="21"/>
      <c r="C17354" s="8" t="s">
        <v>196</v>
      </c>
      <c r="D17354" s="1" t="str">
        <f>HYPERLINK("javascript:void(0)","skalp")</f>
        <v>skalp</v>
      </c>
    </row>
    <row r="17355" spans="1:4" ht="12.75" customHeight="1" x14ac:dyDescent="0.2">
      <c r="A17355" s="21"/>
      <c r="B17355" s="2"/>
      <c r="C17355" s="7"/>
      <c r="D17355" s="7"/>
    </row>
    <row r="17356" spans="1:4" ht="12.75" customHeight="1" x14ac:dyDescent="0.2">
      <c r="A17356" s="21"/>
      <c r="B17356" s="2"/>
      <c r="C17356" s="7"/>
      <c r="D17356" s="7"/>
    </row>
    <row r="17357" spans="1:4" ht="12.75" customHeight="1" x14ac:dyDescent="0.2">
      <c r="A17357" s="21"/>
      <c r="B17357" s="2"/>
      <c r="C17357" s="7"/>
      <c r="D17357" s="7"/>
    </row>
    <row r="17358" spans="1:4" ht="12.75" customHeight="1" x14ac:dyDescent="0.2">
      <c r="A17358" s="21"/>
      <c r="B17358" s="2"/>
      <c r="C17358" s="7"/>
      <c r="D17358" s="7"/>
    </row>
    <row r="17359" spans="1:4" ht="12.75" customHeight="1" x14ac:dyDescent="0.2">
      <c r="A17359" s="5"/>
      <c r="B17359" s="2"/>
      <c r="C17359" s="7"/>
      <c r="D17359" s="7"/>
    </row>
    <row r="17360" spans="1:4" ht="12.75" customHeight="1" x14ac:dyDescent="0.2">
      <c r="A17360" s="22" t="str">
        <f>HYPERLINK("javascript:void(0)","kétéltű páncél")</f>
        <v>kétéltű páncél</v>
      </c>
      <c r="B17360" s="21"/>
      <c r="C17360" s="21"/>
      <c r="D17360" s="21"/>
    </row>
    <row r="17361" spans="1:4" ht="12.75" customHeight="1" x14ac:dyDescent="0.2">
      <c r="A17361" s="20"/>
      <c r="B17361" s="2"/>
      <c r="C17361" s="7"/>
      <c r="D17361" s="7"/>
    </row>
    <row r="17362" spans="1:4" ht="12.75" customHeight="1" x14ac:dyDescent="0.2">
      <c r="A17362" s="21"/>
      <c r="B17362" s="3" t="s">
        <v>0</v>
      </c>
      <c r="C17362" s="23" t="s">
        <v>1322</v>
      </c>
      <c r="D17362" s="21"/>
    </row>
    <row r="17363" spans="1:4" ht="12.75" customHeight="1" x14ac:dyDescent="0.2">
      <c r="A17363" s="21"/>
      <c r="B17363" s="3" t="s">
        <v>2</v>
      </c>
      <c r="C17363" s="23" t="s">
        <v>2322</v>
      </c>
      <c r="D17363" s="21"/>
    </row>
    <row r="17364" spans="1:4" ht="12.75" customHeight="1" x14ac:dyDescent="0.2">
      <c r="A17364" s="21"/>
      <c r="B17364" s="3" t="s">
        <v>1840</v>
      </c>
      <c r="C17364" s="23" t="s">
        <v>717</v>
      </c>
      <c r="D17364" s="21"/>
    </row>
    <row r="17365" spans="1:4" ht="12.75" customHeight="1" x14ac:dyDescent="0.2">
      <c r="A17365" s="21"/>
      <c r="B17365" s="3" t="s">
        <v>9</v>
      </c>
      <c r="C17365" s="23" t="s">
        <v>2568</v>
      </c>
      <c r="D17365" s="21"/>
    </row>
    <row r="17366" spans="1:4" ht="12.75" customHeight="1" x14ac:dyDescent="0.2">
      <c r="A17366" s="21"/>
      <c r="B17366" s="3" t="s">
        <v>11</v>
      </c>
      <c r="C17366" s="23" t="s">
        <v>2569</v>
      </c>
      <c r="D17366" s="21"/>
    </row>
    <row r="17367" spans="1:4" ht="12.75" customHeight="1" x14ac:dyDescent="0.2">
      <c r="A17367" s="21"/>
      <c r="B17367" s="3" t="s">
        <v>16</v>
      </c>
      <c r="C17367" s="23"/>
      <c r="D17367" s="21"/>
    </row>
    <row r="17368" spans="1:4" ht="12.75" customHeight="1" x14ac:dyDescent="0.2">
      <c r="A17368" s="21"/>
      <c r="B17368" s="3" t="s">
        <v>17</v>
      </c>
      <c r="C17368" s="23" t="s">
        <v>19</v>
      </c>
      <c r="D17368" s="21"/>
    </row>
    <row r="17369" spans="1:4" ht="12.75" customHeight="1" x14ac:dyDescent="0.2">
      <c r="A17369" s="21"/>
      <c r="B17369" s="20" t="s">
        <v>18</v>
      </c>
      <c r="C17369" s="8" t="s">
        <v>44</v>
      </c>
      <c r="D17369" s="1" t="str">
        <f>HYPERLINK("javascript:void(0)","felfújt hólyagvért")</f>
        <v>felfújt hólyagvért</v>
      </c>
    </row>
    <row r="17370" spans="1:4" ht="12.75" customHeight="1" x14ac:dyDescent="0.2">
      <c r="A17370" s="21"/>
      <c r="B17370" s="21"/>
      <c r="C17370" s="8" t="s">
        <v>102</v>
      </c>
      <c r="D17370" s="1" t="str">
        <f>HYPERLINK("javascript:void(0)","vérüreg")</f>
        <v>vérüreg</v>
      </c>
    </row>
    <row r="17371" spans="1:4" ht="12.75" customHeight="1" x14ac:dyDescent="0.2">
      <c r="A17371" s="21"/>
      <c r="B17371" s="21"/>
      <c r="C17371" s="8" t="s">
        <v>196</v>
      </c>
      <c r="D17371" s="1" t="str">
        <f>HYPERLINK("javascript:void(0)","kopoltyú")</f>
        <v>kopoltyú</v>
      </c>
    </row>
    <row r="17372" spans="1:4" ht="12.75" customHeight="1" x14ac:dyDescent="0.2">
      <c r="A17372" s="21"/>
      <c r="B17372" s="2"/>
      <c r="C17372" s="7"/>
      <c r="D17372" s="7"/>
    </row>
    <row r="17373" spans="1:4" ht="12.75" customHeight="1" x14ac:dyDescent="0.2">
      <c r="A17373" s="21"/>
      <c r="B17373" s="2"/>
      <c r="C17373" s="7"/>
      <c r="D17373" s="7"/>
    </row>
    <row r="17374" spans="1:4" ht="12.75" customHeight="1" x14ac:dyDescent="0.2">
      <c r="A17374" s="21"/>
      <c r="B17374" s="2"/>
      <c r="C17374" s="7"/>
      <c r="D17374" s="7"/>
    </row>
    <row r="17375" spans="1:4" ht="12.75" customHeight="1" x14ac:dyDescent="0.2">
      <c r="A17375" s="21"/>
      <c r="B17375" s="2"/>
      <c r="C17375" s="7"/>
      <c r="D17375" s="7"/>
    </row>
    <row r="17376" spans="1:4" ht="12.75" customHeight="1" x14ac:dyDescent="0.2">
      <c r="A17376" s="5"/>
      <c r="B17376" s="2"/>
      <c r="C17376" s="7"/>
      <c r="D17376" s="7"/>
    </row>
    <row r="17377" spans="1:4" ht="12.75" customHeight="1" x14ac:dyDescent="0.2">
      <c r="A17377" s="22" t="str">
        <f>HYPERLINK("javascript:void(0)","koksztestpajzs")</f>
        <v>koksztestpajzs</v>
      </c>
      <c r="B17377" s="21"/>
      <c r="C17377" s="21"/>
      <c r="D17377" s="21"/>
    </row>
    <row r="17378" spans="1:4" ht="12.75" customHeight="1" x14ac:dyDescent="0.2">
      <c r="A17378" s="20"/>
      <c r="B17378" s="2"/>
      <c r="C17378" s="7"/>
      <c r="D17378" s="7"/>
    </row>
    <row r="17379" spans="1:4" ht="12.75" customHeight="1" x14ac:dyDescent="0.2">
      <c r="A17379" s="21"/>
      <c r="B17379" s="3" t="s">
        <v>0</v>
      </c>
      <c r="C17379" s="23" t="s">
        <v>1322</v>
      </c>
      <c r="D17379" s="21"/>
    </row>
    <row r="17380" spans="1:4" ht="12.75" customHeight="1" x14ac:dyDescent="0.2">
      <c r="A17380" s="21"/>
      <c r="B17380" s="3" t="s">
        <v>2</v>
      </c>
      <c r="C17380" s="23" t="s">
        <v>1839</v>
      </c>
      <c r="D17380" s="21"/>
    </row>
    <row r="17381" spans="1:4" ht="12.75" customHeight="1" x14ac:dyDescent="0.2">
      <c r="A17381" s="21"/>
      <c r="B17381" s="3" t="s">
        <v>1840</v>
      </c>
      <c r="C17381" s="23" t="s">
        <v>6091</v>
      </c>
      <c r="D17381" s="21"/>
    </row>
    <row r="17382" spans="1:4" ht="12.75" customHeight="1" x14ac:dyDescent="0.2">
      <c r="A17382" s="21"/>
      <c r="B17382" s="3" t="s">
        <v>9</v>
      </c>
      <c r="C17382" s="23" t="s">
        <v>6092</v>
      </c>
      <c r="D17382" s="21"/>
    </row>
    <row r="17383" spans="1:4" ht="12.75" customHeight="1" x14ac:dyDescent="0.2">
      <c r="A17383" s="21"/>
      <c r="B17383" s="3" t="s">
        <v>11</v>
      </c>
      <c r="C17383" s="23" t="s">
        <v>6093</v>
      </c>
      <c r="D17383" s="21"/>
    </row>
    <row r="17384" spans="1:4" ht="12.75" customHeight="1" x14ac:dyDescent="0.2">
      <c r="A17384" s="21"/>
      <c r="B17384" s="3" t="s">
        <v>16</v>
      </c>
      <c r="C17384" s="23"/>
      <c r="D17384" s="21"/>
    </row>
    <row r="17385" spans="1:4" ht="12.75" customHeight="1" x14ac:dyDescent="0.2">
      <c r="A17385" s="21"/>
      <c r="B17385" s="3" t="s">
        <v>17</v>
      </c>
      <c r="C17385" s="23" t="s">
        <v>19</v>
      </c>
      <c r="D17385" s="21"/>
    </row>
    <row r="17386" spans="1:4" ht="12.75" customHeight="1" x14ac:dyDescent="0.2">
      <c r="A17386" s="21"/>
      <c r="B17386" s="20" t="s">
        <v>18</v>
      </c>
      <c r="C17386" s="8" t="s">
        <v>44</v>
      </c>
      <c r="D17386" s="1" t="str">
        <f>HYPERLINK("javascript:void(0)","sárkányvér testpajzs")</f>
        <v>sárkányvér testpajzs</v>
      </c>
    </row>
    <row r="17387" spans="1:4" ht="12.75" customHeight="1" x14ac:dyDescent="0.2">
      <c r="A17387" s="21"/>
      <c r="B17387" s="21"/>
      <c r="C17387" s="8" t="s">
        <v>68</v>
      </c>
      <c r="D17387" s="1" t="str">
        <f>HYPERLINK("javascript:void(0)","tükörgömb")</f>
        <v>tükörgömb</v>
      </c>
    </row>
    <row r="17388" spans="1:4" ht="12.75" customHeight="1" x14ac:dyDescent="0.2">
      <c r="A17388" s="21"/>
      <c r="B17388" s="21"/>
      <c r="C17388" s="8" t="s">
        <v>232</v>
      </c>
      <c r="D17388" s="1" t="str">
        <f>HYPERLINK("javascript:void(0)","skalp")</f>
        <v>skalp</v>
      </c>
    </row>
    <row r="17389" spans="1:4" ht="12.75" customHeight="1" x14ac:dyDescent="0.2">
      <c r="A17389" s="21"/>
      <c r="B17389" s="2"/>
      <c r="C17389" s="7"/>
      <c r="D17389" s="7"/>
    </row>
    <row r="17390" spans="1:4" ht="12.75" customHeight="1" x14ac:dyDescent="0.2">
      <c r="A17390" s="21"/>
      <c r="B17390" s="2"/>
      <c r="C17390" s="7"/>
      <c r="D17390" s="7"/>
    </row>
    <row r="17391" spans="1:4" ht="12.75" customHeight="1" x14ac:dyDescent="0.2">
      <c r="A17391" s="21"/>
      <c r="B17391" s="2"/>
      <c r="C17391" s="7"/>
      <c r="D17391" s="7"/>
    </row>
    <row r="17392" spans="1:4" ht="12.75" customHeight="1" x14ac:dyDescent="0.2">
      <c r="A17392" s="21"/>
      <c r="B17392" s="2"/>
      <c r="C17392" s="7"/>
      <c r="D17392" s="7"/>
    </row>
    <row r="17393" spans="1:4" ht="12.75" customHeight="1" x14ac:dyDescent="0.2">
      <c r="A17393" s="5"/>
      <c r="B17393" s="2"/>
      <c r="C17393" s="7"/>
      <c r="D17393" s="7"/>
    </row>
    <row r="17394" spans="1:4" ht="12.75" customHeight="1" x14ac:dyDescent="0.2">
      <c r="A17394" s="22" t="str">
        <f>HYPERLINK("javascript:void(0)","príma antigrav csizma")</f>
        <v>príma antigrav csizma</v>
      </c>
      <c r="B17394" s="21"/>
      <c r="C17394" s="21"/>
      <c r="D17394" s="21"/>
    </row>
    <row r="17395" spans="1:4" ht="12.75" customHeight="1" x14ac:dyDescent="0.2">
      <c r="A17395" s="20"/>
      <c r="B17395" s="2"/>
      <c r="C17395" s="7"/>
      <c r="D17395" s="7"/>
    </row>
    <row r="17396" spans="1:4" ht="12.75" customHeight="1" x14ac:dyDescent="0.2">
      <c r="A17396" s="21"/>
      <c r="B17396" s="3" t="s">
        <v>0</v>
      </c>
      <c r="C17396" s="23" t="s">
        <v>1322</v>
      </c>
      <c r="D17396" s="21"/>
    </row>
    <row r="17397" spans="1:4" ht="12.75" customHeight="1" x14ac:dyDescent="0.2">
      <c r="A17397" s="21"/>
      <c r="B17397" s="3" t="s">
        <v>2</v>
      </c>
      <c r="C17397" s="23"/>
      <c r="D17397" s="21"/>
    </row>
    <row r="17398" spans="1:4" ht="12.75" customHeight="1" x14ac:dyDescent="0.2">
      <c r="A17398" s="21"/>
      <c r="B17398" s="3" t="s">
        <v>1840</v>
      </c>
      <c r="C17398" s="23" t="s">
        <v>1823</v>
      </c>
      <c r="D17398" s="21"/>
    </row>
    <row r="17399" spans="1:4" ht="12.75" customHeight="1" x14ac:dyDescent="0.2">
      <c r="A17399" s="21"/>
      <c r="B17399" s="3" t="s">
        <v>9</v>
      </c>
      <c r="C17399" s="23" t="s">
        <v>626</v>
      </c>
      <c r="D17399" s="21"/>
    </row>
    <row r="17400" spans="1:4" ht="12.75" customHeight="1" x14ac:dyDescent="0.2">
      <c r="A17400" s="21"/>
      <c r="B17400" s="3" t="s">
        <v>11</v>
      </c>
      <c r="C17400" s="23" t="s">
        <v>23</v>
      </c>
      <c r="D17400" s="21"/>
    </row>
    <row r="17401" spans="1:4" ht="12.75" customHeight="1" x14ac:dyDescent="0.2">
      <c r="A17401" s="21"/>
      <c r="B17401" s="3" t="s">
        <v>16</v>
      </c>
      <c r="C17401" s="23"/>
      <c r="D17401" s="21"/>
    </row>
    <row r="17402" spans="1:4" ht="12.75" customHeight="1" x14ac:dyDescent="0.2">
      <c r="A17402" s="21"/>
      <c r="B17402" s="3" t="s">
        <v>17</v>
      </c>
      <c r="C17402" s="23" t="s">
        <v>19</v>
      </c>
      <c r="D17402" s="21"/>
    </row>
    <row r="17403" spans="1:4" ht="25.5" customHeight="1" x14ac:dyDescent="0.2">
      <c r="A17403" s="21"/>
      <c r="B17403" s="20" t="s">
        <v>18</v>
      </c>
      <c r="C17403" s="8" t="s">
        <v>44</v>
      </c>
      <c r="D17403" s="1" t="str">
        <f>HYPERLINK("javascript:void(0)","regnáló antigrav csizma")</f>
        <v>regnáló antigrav csizma</v>
      </c>
    </row>
    <row r="17404" spans="1:4" ht="12.75" customHeight="1" x14ac:dyDescent="0.2">
      <c r="A17404" s="21"/>
      <c r="B17404" s="21"/>
      <c r="C17404" s="8" t="s">
        <v>309</v>
      </c>
      <c r="D17404" s="1" t="str">
        <f>HYPERLINK("javascript:void(0)","féreggyűrű")</f>
        <v>féreggyűrű</v>
      </c>
    </row>
    <row r="17405" spans="1:4" ht="12.75" customHeight="1" x14ac:dyDescent="0.2">
      <c r="A17405" s="21"/>
      <c r="B17405" s="21"/>
      <c r="C17405" s="8" t="s">
        <v>163</v>
      </c>
      <c r="D17405" s="1" t="str">
        <f>HYPERLINK("javascript:void(0)","príma enyv")</f>
        <v>príma enyv</v>
      </c>
    </row>
    <row r="17406" spans="1:4" ht="12.75" customHeight="1" x14ac:dyDescent="0.2">
      <c r="A17406" s="21"/>
      <c r="B17406" s="2"/>
      <c r="C17406" s="7"/>
      <c r="D17406" s="7"/>
    </row>
    <row r="17407" spans="1:4" ht="12.75" customHeight="1" x14ac:dyDescent="0.2">
      <c r="A17407" s="21"/>
      <c r="B17407" s="2"/>
      <c r="C17407" s="7"/>
      <c r="D17407" s="7"/>
    </row>
    <row r="17408" spans="1:4" ht="12.75" customHeight="1" x14ac:dyDescent="0.2">
      <c r="A17408" s="21"/>
      <c r="B17408" s="2"/>
      <c r="C17408" s="7"/>
      <c r="D17408" s="7"/>
    </row>
    <row r="17409" spans="1:4" ht="12.75" customHeight="1" x14ac:dyDescent="0.2">
      <c r="A17409" s="21"/>
      <c r="B17409" s="2"/>
      <c r="C17409" s="7"/>
      <c r="D17409" s="7"/>
    </row>
    <row r="17410" spans="1:4" ht="12.75" customHeight="1" x14ac:dyDescent="0.2">
      <c r="A17410" s="5"/>
      <c r="B17410" s="2"/>
      <c r="C17410" s="7"/>
      <c r="D17410" s="7"/>
    </row>
    <row r="17411" spans="1:4" ht="12.75" customHeight="1" x14ac:dyDescent="0.2">
      <c r="A17411" s="22" t="str">
        <f>HYPERLINK("javascript:void(0)","lidérccsizma")</f>
        <v>lidérccsizma</v>
      </c>
      <c r="B17411" s="21"/>
      <c r="C17411" s="21"/>
      <c r="D17411" s="21"/>
    </row>
    <row r="17412" spans="1:4" ht="12.75" customHeight="1" x14ac:dyDescent="0.2">
      <c r="A17412" s="20"/>
      <c r="B17412" s="2"/>
      <c r="C17412" s="7"/>
      <c r="D17412" s="7"/>
    </row>
    <row r="17413" spans="1:4" ht="12.75" customHeight="1" x14ac:dyDescent="0.2">
      <c r="A17413" s="21"/>
      <c r="B17413" s="3" t="s">
        <v>0</v>
      </c>
      <c r="C17413" s="23" t="s">
        <v>371</v>
      </c>
      <c r="D17413" s="21"/>
    </row>
    <row r="17414" spans="1:4" ht="12.75" customHeight="1" x14ac:dyDescent="0.2">
      <c r="A17414" s="21"/>
      <c r="B17414" s="3" t="s">
        <v>2</v>
      </c>
      <c r="C17414" s="23"/>
      <c r="D17414" s="21"/>
    </row>
    <row r="17415" spans="1:4" ht="12.75" customHeight="1" x14ac:dyDescent="0.2">
      <c r="A17415" s="21"/>
      <c r="B17415" s="3" t="s">
        <v>1840</v>
      </c>
      <c r="C17415" s="23" t="s">
        <v>1796</v>
      </c>
      <c r="D17415" s="21"/>
    </row>
    <row r="17416" spans="1:4" ht="12.75" customHeight="1" x14ac:dyDescent="0.2">
      <c r="A17416" s="21"/>
      <c r="B17416" s="3" t="s">
        <v>9</v>
      </c>
      <c r="C17416" s="23" t="s">
        <v>200</v>
      </c>
      <c r="D17416" s="21"/>
    </row>
    <row r="17417" spans="1:4" ht="12.75" customHeight="1" x14ac:dyDescent="0.2">
      <c r="A17417" s="21"/>
      <c r="B17417" s="3" t="s">
        <v>11</v>
      </c>
      <c r="C17417" s="23" t="s">
        <v>2294</v>
      </c>
      <c r="D17417" s="21"/>
    </row>
    <row r="17418" spans="1:4" ht="12.75" customHeight="1" x14ac:dyDescent="0.2">
      <c r="A17418" s="21"/>
      <c r="B17418" s="3" t="s">
        <v>16</v>
      </c>
      <c r="C17418" s="23"/>
      <c r="D17418" s="21"/>
    </row>
    <row r="17419" spans="1:4" ht="12.75" customHeight="1" x14ac:dyDescent="0.2">
      <c r="A17419" s="21"/>
      <c r="B17419" s="3" t="s">
        <v>17</v>
      </c>
      <c r="C17419" s="23" t="s">
        <v>19</v>
      </c>
      <c r="D17419" s="21"/>
    </row>
    <row r="17420" spans="1:4" ht="12.75" customHeight="1" x14ac:dyDescent="0.2">
      <c r="A17420" s="21"/>
      <c r="B17420" s="20" t="s">
        <v>18</v>
      </c>
      <c r="C17420" s="8" t="s">
        <v>44</v>
      </c>
      <c r="D17420" s="1" t="str">
        <f>HYPERLINK("javascript:void(0)","agytaposó")</f>
        <v>agytaposó</v>
      </c>
    </row>
    <row r="17421" spans="1:4" ht="12.75" customHeight="1" x14ac:dyDescent="0.2">
      <c r="A17421" s="21"/>
      <c r="B17421" s="21"/>
      <c r="C17421" s="8" t="s">
        <v>44</v>
      </c>
      <c r="D17421" s="1" t="str">
        <f>HYPERLINK("javascript:void(0)","tenyeres talp")</f>
        <v>tenyeres talp</v>
      </c>
    </row>
    <row r="17422" spans="1:4" ht="12.75" customHeight="1" x14ac:dyDescent="0.2">
      <c r="A17422" s="21"/>
      <c r="B17422" s="21"/>
      <c r="C17422" s="8" t="s">
        <v>68</v>
      </c>
      <c r="D17422" s="1" t="str">
        <f>HYPERLINK("javascript:void(0)","lidérc érc")</f>
        <v>lidérc érc</v>
      </c>
    </row>
    <row r="17423" spans="1:4" ht="12.75" customHeight="1" x14ac:dyDescent="0.2">
      <c r="A17423" s="21"/>
      <c r="B17423" s="2"/>
      <c r="C17423" s="7"/>
      <c r="D17423" s="7"/>
    </row>
    <row r="17424" spans="1:4" ht="12.75" customHeight="1" x14ac:dyDescent="0.2">
      <c r="A17424" s="21"/>
      <c r="B17424" s="2"/>
      <c r="C17424" s="7"/>
      <c r="D17424" s="7"/>
    </row>
    <row r="17425" spans="1:4" ht="12.75" customHeight="1" x14ac:dyDescent="0.2">
      <c r="A17425" s="21"/>
      <c r="B17425" s="2"/>
      <c r="C17425" s="7"/>
      <c r="D17425" s="7"/>
    </row>
    <row r="17426" spans="1:4" ht="12.75" customHeight="1" x14ac:dyDescent="0.2">
      <c r="A17426" s="21"/>
      <c r="B17426" s="2"/>
      <c r="C17426" s="7"/>
      <c r="D17426" s="7"/>
    </row>
    <row r="17427" spans="1:4" ht="12.75" customHeight="1" x14ac:dyDescent="0.2">
      <c r="A17427" s="5"/>
      <c r="B17427" s="2"/>
      <c r="C17427" s="7"/>
      <c r="D17427" s="7"/>
    </row>
    <row r="17428" spans="1:4" ht="12.75" customHeight="1" x14ac:dyDescent="0.2">
      <c r="A17428" s="22" t="str">
        <f>HYPERLINK("javascript:void(0)","kígyósisak")</f>
        <v>kígyósisak</v>
      </c>
      <c r="B17428" s="21"/>
      <c r="C17428" s="21"/>
      <c r="D17428" s="21"/>
    </row>
    <row r="17429" spans="1:4" ht="12.75" customHeight="1" x14ac:dyDescent="0.2">
      <c r="A17429" s="20"/>
      <c r="B17429" s="2"/>
      <c r="C17429" s="7"/>
      <c r="D17429" s="7"/>
    </row>
    <row r="17430" spans="1:4" ht="12.75" customHeight="1" x14ac:dyDescent="0.2">
      <c r="A17430" s="21"/>
      <c r="B17430" s="3" t="s">
        <v>0</v>
      </c>
      <c r="C17430" s="23" t="s">
        <v>371</v>
      </c>
      <c r="D17430" s="21"/>
    </row>
    <row r="17431" spans="1:4" ht="12.75" customHeight="1" x14ac:dyDescent="0.2">
      <c r="A17431" s="21"/>
      <c r="B17431" s="3" t="s">
        <v>2</v>
      </c>
      <c r="C17431" s="23"/>
      <c r="D17431" s="21"/>
    </row>
    <row r="17432" spans="1:4" ht="12.75" customHeight="1" x14ac:dyDescent="0.2">
      <c r="A17432" s="21"/>
      <c r="B17432" s="3" t="s">
        <v>1840</v>
      </c>
      <c r="C17432" s="23" t="s">
        <v>2295</v>
      </c>
      <c r="D17432" s="21"/>
    </row>
    <row r="17433" spans="1:4" ht="12.75" customHeight="1" x14ac:dyDescent="0.2">
      <c r="A17433" s="21"/>
      <c r="B17433" s="3" t="s">
        <v>9</v>
      </c>
      <c r="C17433" s="23" t="s">
        <v>343</v>
      </c>
      <c r="D17433" s="21"/>
    </row>
    <row r="17434" spans="1:4" ht="12.75" customHeight="1" x14ac:dyDescent="0.2">
      <c r="A17434" s="21"/>
      <c r="B17434" s="3" t="s">
        <v>11</v>
      </c>
      <c r="C17434" s="23" t="s">
        <v>2294</v>
      </c>
      <c r="D17434" s="21"/>
    </row>
    <row r="17435" spans="1:4" ht="12.75" customHeight="1" x14ac:dyDescent="0.2">
      <c r="A17435" s="21"/>
      <c r="B17435" s="3" t="s">
        <v>16</v>
      </c>
      <c r="C17435" s="23"/>
      <c r="D17435" s="21"/>
    </row>
    <row r="17436" spans="1:4" ht="12.75" customHeight="1" x14ac:dyDescent="0.2">
      <c r="A17436" s="21"/>
      <c r="B17436" s="3" t="s">
        <v>17</v>
      </c>
      <c r="C17436" s="23" t="s">
        <v>19</v>
      </c>
      <c r="D17436" s="21"/>
    </row>
    <row r="17437" spans="1:4" ht="12.75" customHeight="1" x14ac:dyDescent="0.2">
      <c r="A17437" s="21"/>
      <c r="B17437" s="20" t="s">
        <v>18</v>
      </c>
      <c r="C17437" s="8" t="s">
        <v>44</v>
      </c>
      <c r="D17437" s="1" t="str">
        <f>HYPERLINK("javascript:void(0)","vasalt fejbőr")</f>
        <v>vasalt fejbőr</v>
      </c>
    </row>
    <row r="17438" spans="1:4" ht="12.75" customHeight="1" x14ac:dyDescent="0.2">
      <c r="A17438" s="21"/>
      <c r="B17438" s="21"/>
      <c r="C17438" s="8" t="s">
        <v>132</v>
      </c>
      <c r="D17438" s="1" t="str">
        <f>HYPERLINK("javascript:void(0)","hőzöngcsörgő")</f>
        <v>hőzöngcsörgő</v>
      </c>
    </row>
    <row r="17439" spans="1:4" ht="12.75" customHeight="1" x14ac:dyDescent="0.2">
      <c r="A17439" s="21"/>
      <c r="B17439" s="21"/>
      <c r="C17439" s="8" t="s">
        <v>77</v>
      </c>
      <c r="D17439" s="1" t="str">
        <f>HYPERLINK("javascript:void(0)","hamvadt tetem")</f>
        <v>hamvadt tetem</v>
      </c>
    </row>
    <row r="17440" spans="1:4" ht="12.75" customHeight="1" x14ac:dyDescent="0.2">
      <c r="A17440" s="21"/>
      <c r="B17440" s="2"/>
      <c r="C17440" s="7"/>
      <c r="D17440" s="7"/>
    </row>
    <row r="17441" spans="1:4" ht="12.75" customHeight="1" x14ac:dyDescent="0.2">
      <c r="A17441" s="21"/>
      <c r="B17441" s="2"/>
      <c r="C17441" s="7"/>
      <c r="D17441" s="7"/>
    </row>
    <row r="17442" spans="1:4" ht="12.75" customHeight="1" x14ac:dyDescent="0.2">
      <c r="A17442" s="21"/>
      <c r="B17442" s="2"/>
      <c r="C17442" s="7"/>
      <c r="D17442" s="7"/>
    </row>
    <row r="17443" spans="1:4" ht="12.75" customHeight="1" x14ac:dyDescent="0.2">
      <c r="A17443" s="21"/>
      <c r="B17443" s="2"/>
      <c r="C17443" s="7"/>
      <c r="D17443" s="7"/>
    </row>
    <row r="17444" spans="1:4" ht="12.75" customHeight="1" x14ac:dyDescent="0.2">
      <c r="A17444" s="5"/>
      <c r="B17444" s="2"/>
      <c r="C17444" s="7"/>
      <c r="D17444" s="7"/>
    </row>
    <row r="17445" spans="1:4" ht="12.75" customHeight="1" x14ac:dyDescent="0.2">
      <c r="A17445" s="22" t="str">
        <f>HYPERLINK("javascript:void(0)","barbárpáncél")</f>
        <v>barbárpáncél</v>
      </c>
      <c r="B17445" s="21"/>
      <c r="C17445" s="21"/>
      <c r="D17445" s="21"/>
    </row>
    <row r="17446" spans="1:4" ht="12.75" customHeight="1" x14ac:dyDescent="0.2">
      <c r="A17446" s="20"/>
      <c r="B17446" s="2"/>
      <c r="C17446" s="7"/>
      <c r="D17446" s="7"/>
    </row>
    <row r="17447" spans="1:4" ht="12.75" customHeight="1" x14ac:dyDescent="0.2">
      <c r="A17447" s="21"/>
      <c r="B17447" s="3" t="s">
        <v>0</v>
      </c>
      <c r="C17447" s="23" t="s">
        <v>371</v>
      </c>
      <c r="D17447" s="21"/>
    </row>
    <row r="17448" spans="1:4" ht="12.75" customHeight="1" x14ac:dyDescent="0.2">
      <c r="A17448" s="21"/>
      <c r="B17448" s="3" t="s">
        <v>2</v>
      </c>
      <c r="C17448" s="23" t="s">
        <v>2322</v>
      </c>
      <c r="D17448" s="21"/>
    </row>
    <row r="17449" spans="1:4" ht="12.75" customHeight="1" x14ac:dyDescent="0.2">
      <c r="A17449" s="21"/>
      <c r="B17449" s="3" t="s">
        <v>1840</v>
      </c>
      <c r="C17449" s="23" t="s">
        <v>2570</v>
      </c>
      <c r="D17449" s="21"/>
    </row>
    <row r="17450" spans="1:4" ht="12.75" customHeight="1" x14ac:dyDescent="0.2">
      <c r="A17450" s="21"/>
      <c r="B17450" s="3" t="s">
        <v>9</v>
      </c>
      <c r="C17450" s="23" t="s">
        <v>1729</v>
      </c>
      <c r="D17450" s="21"/>
    </row>
    <row r="17451" spans="1:4" ht="12.75" customHeight="1" x14ac:dyDescent="0.2">
      <c r="A17451" s="21"/>
      <c r="B17451" s="3" t="s">
        <v>11</v>
      </c>
      <c r="C17451" s="23" t="s">
        <v>2571</v>
      </c>
      <c r="D17451" s="21"/>
    </row>
    <row r="17452" spans="1:4" ht="12.75" customHeight="1" x14ac:dyDescent="0.2">
      <c r="A17452" s="21"/>
      <c r="B17452" s="3" t="s">
        <v>16</v>
      </c>
      <c r="C17452" s="23"/>
      <c r="D17452" s="21"/>
    </row>
    <row r="17453" spans="1:4" ht="12.75" customHeight="1" x14ac:dyDescent="0.2">
      <c r="A17453" s="21"/>
      <c r="B17453" s="3" t="s">
        <v>17</v>
      </c>
      <c r="C17453" s="23" t="s">
        <v>19</v>
      </c>
      <c r="D17453" s="21"/>
    </row>
    <row r="17454" spans="1:4" ht="12.75" customHeight="1" x14ac:dyDescent="0.2">
      <c r="A17454" s="21"/>
      <c r="B17454" s="20" t="s">
        <v>18</v>
      </c>
      <c r="C17454" s="8" t="s">
        <v>68</v>
      </c>
      <c r="D17454" s="1" t="str">
        <f>HYPERLINK("javascript:void(0)","barbár firka")</f>
        <v>barbár firka</v>
      </c>
    </row>
    <row r="17455" spans="1:4" ht="12.75" customHeight="1" x14ac:dyDescent="0.2">
      <c r="A17455" s="21"/>
      <c r="B17455" s="21"/>
      <c r="C17455" s="8" t="s">
        <v>77</v>
      </c>
      <c r="D17455" s="1" t="str">
        <f>HYPERLINK("javascript:void(0)","hőzöngcsörgő")</f>
        <v>hőzöngcsörgő</v>
      </c>
    </row>
    <row r="17456" spans="1:4" ht="12.75" customHeight="1" x14ac:dyDescent="0.2">
      <c r="A17456" s="21"/>
      <c r="B17456" s="21"/>
      <c r="C17456" s="8" t="s">
        <v>102</v>
      </c>
      <c r="D17456" s="1" t="str">
        <f>HYPERLINK("javascript:void(0)","hamvadt tetem")</f>
        <v>hamvadt tetem</v>
      </c>
    </row>
    <row r="17457" spans="1:4" ht="12.75" customHeight="1" x14ac:dyDescent="0.2">
      <c r="A17457" s="21"/>
      <c r="B17457" s="2"/>
      <c r="C17457" s="7"/>
      <c r="D17457" s="7"/>
    </row>
    <row r="17458" spans="1:4" ht="12.75" customHeight="1" x14ac:dyDescent="0.2">
      <c r="A17458" s="21"/>
      <c r="B17458" s="2"/>
      <c r="C17458" s="7"/>
      <c r="D17458" s="7"/>
    </row>
    <row r="17459" spans="1:4" ht="12.75" customHeight="1" x14ac:dyDescent="0.2">
      <c r="A17459" s="21"/>
      <c r="B17459" s="2"/>
      <c r="C17459" s="7"/>
      <c r="D17459" s="7"/>
    </row>
    <row r="17460" spans="1:4" ht="12.75" customHeight="1" x14ac:dyDescent="0.2">
      <c r="A17460" s="21"/>
      <c r="B17460" s="2"/>
      <c r="C17460" s="7"/>
      <c r="D17460" s="7"/>
    </row>
    <row r="17461" spans="1:4" ht="12.75" customHeight="1" x14ac:dyDescent="0.2">
      <c r="A17461" s="5"/>
      <c r="B17461" s="2"/>
      <c r="C17461" s="7"/>
      <c r="D17461" s="7"/>
    </row>
    <row r="17462" spans="1:4" ht="12.75" customHeight="1" x14ac:dyDescent="0.2">
      <c r="A17462" s="22" t="str">
        <f>HYPERLINK("javascript:void(0)","vászonpajzs")</f>
        <v>vászonpajzs</v>
      </c>
      <c r="B17462" s="21"/>
      <c r="C17462" s="21"/>
      <c r="D17462" s="21"/>
    </row>
    <row r="17463" spans="1:4" ht="12.75" customHeight="1" x14ac:dyDescent="0.2">
      <c r="A17463" s="20"/>
      <c r="B17463" s="2"/>
      <c r="C17463" s="7"/>
      <c r="D17463" s="7"/>
    </row>
    <row r="17464" spans="1:4" ht="12.75" customHeight="1" x14ac:dyDescent="0.2">
      <c r="A17464" s="21"/>
      <c r="B17464" s="3" t="s">
        <v>0</v>
      </c>
      <c r="C17464" s="23" t="s">
        <v>371</v>
      </c>
      <c r="D17464" s="21"/>
    </row>
    <row r="17465" spans="1:4" ht="12.75" customHeight="1" x14ac:dyDescent="0.2">
      <c r="A17465" s="21"/>
      <c r="B17465" s="3" t="s">
        <v>2</v>
      </c>
      <c r="C17465" s="23" t="s">
        <v>1839</v>
      </c>
      <c r="D17465" s="21"/>
    </row>
    <row r="17466" spans="1:4" ht="12.75" customHeight="1" x14ac:dyDescent="0.2">
      <c r="A17466" s="21"/>
      <c r="B17466" s="3" t="s">
        <v>1840</v>
      </c>
      <c r="C17466" s="23" t="s">
        <v>6107</v>
      </c>
      <c r="D17466" s="21"/>
    </row>
    <row r="17467" spans="1:4" ht="12.75" customHeight="1" x14ac:dyDescent="0.2">
      <c r="A17467" s="21"/>
      <c r="B17467" s="3" t="s">
        <v>9</v>
      </c>
      <c r="C17467" s="23" t="s">
        <v>6109</v>
      </c>
      <c r="D17467" s="21"/>
    </row>
    <row r="17468" spans="1:4" ht="12.75" customHeight="1" x14ac:dyDescent="0.2">
      <c r="A17468" s="21"/>
      <c r="B17468" s="3" t="s">
        <v>11</v>
      </c>
      <c r="C17468" s="23" t="s">
        <v>6110</v>
      </c>
      <c r="D17468" s="21"/>
    </row>
    <row r="17469" spans="1:4" ht="12.75" customHeight="1" x14ac:dyDescent="0.2">
      <c r="A17469" s="21"/>
      <c r="B17469" s="3" t="s">
        <v>16</v>
      </c>
      <c r="C17469" s="23"/>
      <c r="D17469" s="21"/>
    </row>
    <row r="17470" spans="1:4" ht="12.75" customHeight="1" x14ac:dyDescent="0.2">
      <c r="A17470" s="21"/>
      <c r="B17470" s="3" t="s">
        <v>17</v>
      </c>
      <c r="C17470" s="23" t="s">
        <v>19</v>
      </c>
      <c r="D17470" s="21"/>
    </row>
    <row r="17471" spans="1:4" ht="12.75" customHeight="1" x14ac:dyDescent="0.2">
      <c r="A17471" s="21"/>
      <c r="B17471" s="20" t="s">
        <v>18</v>
      </c>
      <c r="C17471" s="8" t="s">
        <v>44</v>
      </c>
      <c r="D17471" s="1" t="str">
        <f>HYPERLINK("javascript:void(0)","kokszpajzs")</f>
        <v>kokszpajzs</v>
      </c>
    </row>
    <row r="17472" spans="1:4" ht="12.75" customHeight="1" x14ac:dyDescent="0.2">
      <c r="A17472" s="21"/>
      <c r="B17472" s="21"/>
      <c r="C17472" s="8" t="s">
        <v>232</v>
      </c>
      <c r="D17472" s="1" t="str">
        <f>HYPERLINK("javascript:void(0)","léghajóvászon")</f>
        <v>léghajóvászon</v>
      </c>
    </row>
    <row r="17473" spans="1:4" ht="12.75" customHeight="1" x14ac:dyDescent="0.2">
      <c r="A17473" s="21"/>
      <c r="B17473" s="21"/>
      <c r="C17473" s="8" t="s">
        <v>68</v>
      </c>
      <c r="D17473" s="1" t="str">
        <f>HYPERLINK("javascript:void(0)","skalp")</f>
        <v>skalp</v>
      </c>
    </row>
    <row r="17474" spans="1:4" ht="12.75" customHeight="1" x14ac:dyDescent="0.2">
      <c r="A17474" s="21"/>
      <c r="B17474" s="2"/>
      <c r="C17474" s="7"/>
      <c r="D17474" s="7"/>
    </row>
    <row r="17475" spans="1:4" ht="12.75" customHeight="1" x14ac:dyDescent="0.2">
      <c r="A17475" s="21"/>
      <c r="B17475" s="2"/>
      <c r="C17475" s="7"/>
      <c r="D17475" s="7"/>
    </row>
    <row r="17476" spans="1:4" ht="12.75" customHeight="1" x14ac:dyDescent="0.2">
      <c r="A17476" s="21"/>
      <c r="B17476" s="2"/>
      <c r="C17476" s="7"/>
      <c r="D17476" s="7"/>
    </row>
    <row r="17477" spans="1:4" ht="12.75" customHeight="1" x14ac:dyDescent="0.2">
      <c r="A17477" s="21"/>
      <c r="B17477" s="2"/>
      <c r="C17477" s="7"/>
      <c r="D17477" s="7"/>
    </row>
    <row r="17478" spans="1:4" ht="12.75" customHeight="1" x14ac:dyDescent="0.2">
      <c r="A17478" s="5"/>
      <c r="B17478" s="2"/>
      <c r="C17478" s="7"/>
      <c r="D17478" s="7"/>
    </row>
    <row r="17479" spans="1:4" ht="12.75" customHeight="1" x14ac:dyDescent="0.2">
      <c r="A17479" s="22" t="str">
        <f>HYPERLINK("javascript:void(0)","tejbekötő")</f>
        <v>tejbekötő</v>
      </c>
      <c r="B17479" s="21"/>
      <c r="C17479" s="21"/>
      <c r="D17479" s="21"/>
    </row>
    <row r="17480" spans="1:4" ht="12.75" customHeight="1" x14ac:dyDescent="0.2">
      <c r="A17480" s="20"/>
      <c r="B17480" s="2"/>
      <c r="C17480" s="7"/>
      <c r="D17480" s="7"/>
    </row>
    <row r="17481" spans="1:4" ht="12.75" customHeight="1" x14ac:dyDescent="0.2">
      <c r="A17481" s="21"/>
      <c r="B17481" s="3" t="s">
        <v>0</v>
      </c>
      <c r="C17481" s="23" t="s">
        <v>1342</v>
      </c>
      <c r="D17481" s="21"/>
    </row>
    <row r="17482" spans="1:4" ht="12.75" customHeight="1" x14ac:dyDescent="0.2">
      <c r="A17482" s="21"/>
      <c r="B17482" s="3" t="s">
        <v>2</v>
      </c>
      <c r="C17482" s="23"/>
      <c r="D17482" s="21"/>
    </row>
    <row r="17483" spans="1:4" ht="12.75" customHeight="1" x14ac:dyDescent="0.2">
      <c r="A17483" s="21"/>
      <c r="B17483" s="3" t="s">
        <v>1840</v>
      </c>
      <c r="C17483" s="23" t="s">
        <v>6114</v>
      </c>
      <c r="D17483" s="21"/>
    </row>
    <row r="17484" spans="1:4" ht="12.75" customHeight="1" x14ac:dyDescent="0.2">
      <c r="A17484" s="21"/>
      <c r="B17484" s="3" t="s">
        <v>9</v>
      </c>
      <c r="C17484" s="23" t="s">
        <v>2229</v>
      </c>
      <c r="D17484" s="21"/>
    </row>
    <row r="17485" spans="1:4" ht="12.75" customHeight="1" x14ac:dyDescent="0.2">
      <c r="A17485" s="21"/>
      <c r="B17485" s="3" t="s">
        <v>11</v>
      </c>
      <c r="C17485" s="23" t="s">
        <v>1131</v>
      </c>
      <c r="D17485" s="21"/>
    </row>
    <row r="17486" spans="1:4" ht="12.75" customHeight="1" x14ac:dyDescent="0.2">
      <c r="A17486" s="21"/>
      <c r="B17486" s="3" t="s">
        <v>16</v>
      </c>
      <c r="C17486" s="23"/>
      <c r="D17486" s="21"/>
    </row>
    <row r="17487" spans="1:4" ht="12.75" customHeight="1" x14ac:dyDescent="0.2">
      <c r="A17487" s="21"/>
      <c r="B17487" s="3" t="s">
        <v>17</v>
      </c>
      <c r="C17487" s="23" t="s">
        <v>19</v>
      </c>
      <c r="D17487" s="21"/>
    </row>
    <row r="17488" spans="1:4" ht="12.75" customHeight="1" x14ac:dyDescent="0.2">
      <c r="A17488" s="21"/>
      <c r="B17488" s="20" t="s">
        <v>18</v>
      </c>
      <c r="C17488" s="8" t="s">
        <v>117</v>
      </c>
      <c r="D17488" s="1" t="str">
        <f>HYPERLINK("javascript:void(0)","tejbeaprítás")</f>
        <v>tejbeaprítás</v>
      </c>
    </row>
    <row r="17489" spans="1:4" ht="12.75" customHeight="1" x14ac:dyDescent="0.2">
      <c r="A17489" s="21"/>
      <c r="B17489" s="21"/>
      <c r="C17489" s="8" t="s">
        <v>139</v>
      </c>
      <c r="D17489" s="1" t="str">
        <f>HYPERLINK("javascript:void(0)","lábkarcsont")</f>
        <v>lábkarcsont</v>
      </c>
    </row>
    <row r="17490" spans="1:4" ht="12.75" customHeight="1" x14ac:dyDescent="0.2">
      <c r="A17490" s="21"/>
      <c r="B17490" s="21"/>
      <c r="C17490" s="8" t="s">
        <v>232</v>
      </c>
      <c r="D17490" s="1" t="str">
        <f>HYPERLINK("javascript:void(0)","rémláb")</f>
        <v>rémláb</v>
      </c>
    </row>
    <row r="17491" spans="1:4" ht="12.75" customHeight="1" x14ac:dyDescent="0.2">
      <c r="A17491" s="21"/>
      <c r="B17491" s="2"/>
      <c r="C17491" s="7"/>
      <c r="D17491" s="7"/>
    </row>
    <row r="17492" spans="1:4" ht="12.75" customHeight="1" x14ac:dyDescent="0.2">
      <c r="A17492" s="21"/>
      <c r="B17492" s="2"/>
      <c r="C17492" s="7"/>
      <c r="D17492" s="7"/>
    </row>
    <row r="17493" spans="1:4" ht="12.75" customHeight="1" x14ac:dyDescent="0.2">
      <c r="A17493" s="21"/>
      <c r="B17493" s="2"/>
      <c r="C17493" s="7"/>
      <c r="D17493" s="7"/>
    </row>
    <row r="17494" spans="1:4" ht="12.75" customHeight="1" x14ac:dyDescent="0.2">
      <c r="A17494" s="21"/>
      <c r="B17494" s="2"/>
      <c r="C17494" s="7"/>
      <c r="D17494" s="7"/>
    </row>
    <row r="17495" spans="1:4" ht="12.75" customHeight="1" x14ac:dyDescent="0.2">
      <c r="A17495" s="5"/>
      <c r="B17495" s="2"/>
      <c r="C17495" s="7"/>
      <c r="D17495" s="7"/>
    </row>
    <row r="17496" spans="1:4" ht="12.75" customHeight="1" x14ac:dyDescent="0.2">
      <c r="A17496" s="22" t="str">
        <f>HYPERLINK("javascript:void(0)","piros mellvért")</f>
        <v>piros mellvért</v>
      </c>
      <c r="B17496" s="21"/>
      <c r="C17496" s="21"/>
      <c r="D17496" s="21"/>
    </row>
    <row r="17497" spans="1:4" ht="12.75" customHeight="1" x14ac:dyDescent="0.2">
      <c r="A17497" s="20"/>
      <c r="B17497" s="2"/>
      <c r="C17497" s="7"/>
      <c r="D17497" s="7"/>
    </row>
    <row r="17498" spans="1:4" ht="12.75" customHeight="1" x14ac:dyDescent="0.2">
      <c r="A17498" s="21"/>
      <c r="B17498" s="3" t="s">
        <v>0</v>
      </c>
      <c r="C17498" s="23" t="s">
        <v>1342</v>
      </c>
      <c r="D17498" s="21"/>
    </row>
    <row r="17499" spans="1:4" ht="12.75" customHeight="1" x14ac:dyDescent="0.2">
      <c r="A17499" s="21"/>
      <c r="B17499" s="3" t="s">
        <v>2</v>
      </c>
      <c r="C17499" s="23" t="s">
        <v>2322</v>
      </c>
      <c r="D17499" s="21"/>
    </row>
    <row r="17500" spans="1:4" ht="12.75" customHeight="1" x14ac:dyDescent="0.2">
      <c r="A17500" s="21"/>
      <c r="B17500" s="3" t="s">
        <v>1840</v>
      </c>
      <c r="C17500" s="23" t="s">
        <v>726</v>
      </c>
      <c r="D17500" s="21"/>
    </row>
    <row r="17501" spans="1:4" ht="12.75" customHeight="1" x14ac:dyDescent="0.2">
      <c r="A17501" s="21"/>
      <c r="B17501" s="3" t="s">
        <v>9</v>
      </c>
      <c r="C17501" s="23" t="s">
        <v>2572</v>
      </c>
      <c r="D17501" s="21"/>
    </row>
    <row r="17502" spans="1:4" ht="12.75" customHeight="1" x14ac:dyDescent="0.2">
      <c r="A17502" s="21"/>
      <c r="B17502" s="3" t="s">
        <v>11</v>
      </c>
      <c r="C17502" s="23" t="s">
        <v>1163</v>
      </c>
      <c r="D17502" s="21"/>
    </row>
    <row r="17503" spans="1:4" ht="12.75" customHeight="1" x14ac:dyDescent="0.2">
      <c r="A17503" s="21"/>
      <c r="B17503" s="3" t="s">
        <v>16</v>
      </c>
      <c r="C17503" s="23"/>
      <c r="D17503" s="21"/>
    </row>
    <row r="17504" spans="1:4" ht="12.75" customHeight="1" x14ac:dyDescent="0.2">
      <c r="A17504" s="21"/>
      <c r="B17504" s="3" t="s">
        <v>17</v>
      </c>
      <c r="C17504" s="23" t="s">
        <v>19</v>
      </c>
      <c r="D17504" s="21"/>
    </row>
    <row r="17505" spans="1:4" ht="12.75" customHeight="1" x14ac:dyDescent="0.2">
      <c r="A17505" s="21"/>
      <c r="B17505" s="20" t="s">
        <v>18</v>
      </c>
      <c r="C17505" s="8" t="s">
        <v>44</v>
      </c>
      <c r="D17505" s="1" t="str">
        <f>HYPERLINK("javascript:void(0)","kétéltű páncél")</f>
        <v>kétéltű páncél</v>
      </c>
    </row>
    <row r="17506" spans="1:4" ht="12.75" customHeight="1" x14ac:dyDescent="0.2">
      <c r="A17506" s="21"/>
      <c r="B17506" s="21"/>
      <c r="C17506" s="8" t="s">
        <v>44</v>
      </c>
      <c r="D17506" s="1" t="str">
        <f>HYPERLINK("javascript:void(0)","barbárpáncél")</f>
        <v>barbárpáncél</v>
      </c>
    </row>
    <row r="17507" spans="1:4" ht="25.5" customHeight="1" x14ac:dyDescent="0.2">
      <c r="A17507" s="21"/>
      <c r="B17507" s="21"/>
      <c r="C17507" s="8" t="s">
        <v>67</v>
      </c>
      <c r="D17507" s="1" t="str">
        <f>HYPERLINK("javascript:void(0)","kommunikációképtelenség")</f>
        <v>kommunikációképtelenség</v>
      </c>
    </row>
    <row r="17508" spans="1:4" ht="12.75" customHeight="1" x14ac:dyDescent="0.2">
      <c r="A17508" s="21"/>
      <c r="B17508" s="2"/>
      <c r="C17508" s="7"/>
      <c r="D17508" s="7"/>
    </row>
    <row r="17509" spans="1:4" ht="12.75" customHeight="1" x14ac:dyDescent="0.2">
      <c r="A17509" s="21"/>
      <c r="B17509" s="2"/>
      <c r="C17509" s="7"/>
      <c r="D17509" s="7"/>
    </row>
    <row r="17510" spans="1:4" ht="12.75" customHeight="1" x14ac:dyDescent="0.2">
      <c r="A17510" s="21"/>
      <c r="B17510" s="2"/>
      <c r="C17510" s="7"/>
      <c r="D17510" s="7"/>
    </row>
    <row r="17511" spans="1:4" ht="12.75" customHeight="1" x14ac:dyDescent="0.2">
      <c r="A17511" s="21"/>
      <c r="B17511" s="2"/>
      <c r="C17511" s="7"/>
      <c r="D17511" s="7"/>
    </row>
    <row r="17512" spans="1:4" ht="12.75" customHeight="1" x14ac:dyDescent="0.2">
      <c r="A17512" s="5"/>
      <c r="B17512" s="2"/>
      <c r="C17512" s="7"/>
      <c r="D17512" s="7"/>
    </row>
    <row r="17513" spans="1:4" ht="12.75" customHeight="1" x14ac:dyDescent="0.2">
      <c r="A17513" s="22" t="str">
        <f>HYPERLINK("javascript:void(0)","árnycsizma")</f>
        <v>árnycsizma</v>
      </c>
      <c r="B17513" s="21"/>
      <c r="C17513" s="21"/>
      <c r="D17513" s="21"/>
    </row>
    <row r="17514" spans="1:4" ht="12.75" customHeight="1" x14ac:dyDescent="0.2">
      <c r="A17514" s="20"/>
      <c r="B17514" s="2"/>
      <c r="C17514" s="7"/>
      <c r="D17514" s="7"/>
    </row>
    <row r="17515" spans="1:4" ht="12.75" customHeight="1" x14ac:dyDescent="0.2">
      <c r="A17515" s="21"/>
      <c r="B17515" s="3" t="s">
        <v>0</v>
      </c>
      <c r="C17515" s="23" t="s">
        <v>1342</v>
      </c>
      <c r="D17515" s="21"/>
    </row>
    <row r="17516" spans="1:4" ht="12.75" customHeight="1" x14ac:dyDescent="0.2">
      <c r="A17516" s="21"/>
      <c r="B17516" s="3" t="s">
        <v>2</v>
      </c>
      <c r="C17516" s="23"/>
      <c r="D17516" s="21"/>
    </row>
    <row r="17517" spans="1:4" ht="12.75" customHeight="1" x14ac:dyDescent="0.2">
      <c r="A17517" s="21"/>
      <c r="B17517" s="3" t="s">
        <v>1840</v>
      </c>
      <c r="C17517" s="23" t="s">
        <v>2295</v>
      </c>
      <c r="D17517" s="21"/>
    </row>
    <row r="17518" spans="1:4" ht="12.75" customHeight="1" x14ac:dyDescent="0.2">
      <c r="A17518" s="21"/>
      <c r="B17518" s="3" t="s">
        <v>9</v>
      </c>
      <c r="C17518" s="23" t="s">
        <v>753</v>
      </c>
      <c r="D17518" s="21"/>
    </row>
    <row r="17519" spans="1:4" ht="12.75" customHeight="1" x14ac:dyDescent="0.2">
      <c r="A17519" s="21"/>
      <c r="B17519" s="3" t="s">
        <v>11</v>
      </c>
      <c r="C17519" s="23" t="s">
        <v>1131</v>
      </c>
      <c r="D17519" s="21"/>
    </row>
    <row r="17520" spans="1:4" ht="12.75" customHeight="1" x14ac:dyDescent="0.2">
      <c r="A17520" s="21"/>
      <c r="B17520" s="3" t="s">
        <v>16</v>
      </c>
      <c r="C17520" s="23"/>
      <c r="D17520" s="21"/>
    </row>
    <row r="17521" spans="1:4" ht="12.75" customHeight="1" x14ac:dyDescent="0.2">
      <c r="A17521" s="21"/>
      <c r="B17521" s="3" t="s">
        <v>17</v>
      </c>
      <c r="C17521" s="23" t="s">
        <v>19</v>
      </c>
      <c r="D17521" s="21"/>
    </row>
    <row r="17522" spans="1:4" ht="12.75" customHeight="1" x14ac:dyDescent="0.2">
      <c r="A17522" s="21"/>
      <c r="B17522" s="20" t="s">
        <v>18</v>
      </c>
      <c r="C17522" s="8" t="s">
        <v>44</v>
      </c>
      <c r="D17522" s="1" t="str">
        <f>HYPERLINK("javascript:void(0)","lidérccsizma")</f>
        <v>lidérccsizma</v>
      </c>
    </row>
    <row r="17523" spans="1:4" ht="12.75" customHeight="1" x14ac:dyDescent="0.2">
      <c r="A17523" s="21"/>
      <c r="B17523" s="21"/>
      <c r="C17523" s="8" t="s">
        <v>265</v>
      </c>
      <c r="D17523" s="1" t="str">
        <f>HYPERLINK("javascript:void(0)","árnyékláb")</f>
        <v>árnyékláb</v>
      </c>
    </row>
    <row r="17524" spans="1:4" ht="12.75" customHeight="1" x14ac:dyDescent="0.2">
      <c r="A17524" s="21"/>
      <c r="B17524" s="21"/>
      <c r="C17524" s="8" t="s">
        <v>163</v>
      </c>
      <c r="D17524" s="1" t="str">
        <f>HYPERLINK("javascript:void(0)","szemgyöngy")</f>
        <v>szemgyöngy</v>
      </c>
    </row>
    <row r="17525" spans="1:4" ht="12.75" customHeight="1" x14ac:dyDescent="0.2">
      <c r="A17525" s="21"/>
      <c r="B17525" s="2"/>
      <c r="C17525" s="7"/>
      <c r="D17525" s="7"/>
    </row>
    <row r="17526" spans="1:4" ht="12.75" customHeight="1" x14ac:dyDescent="0.2">
      <c r="A17526" s="21"/>
      <c r="B17526" s="2"/>
      <c r="C17526" s="7"/>
      <c r="D17526" s="7"/>
    </row>
    <row r="17527" spans="1:4" ht="12.75" customHeight="1" x14ac:dyDescent="0.2">
      <c r="A17527" s="21"/>
      <c r="B17527" s="2"/>
      <c r="C17527" s="7"/>
      <c r="D17527" s="7"/>
    </row>
    <row r="17528" spans="1:4" ht="12.75" customHeight="1" x14ac:dyDescent="0.2">
      <c r="A17528" s="21"/>
      <c r="B17528" s="2"/>
      <c r="C17528" s="7"/>
      <c r="D17528" s="7"/>
    </row>
    <row r="17529" spans="1:4" ht="12.75" customHeight="1" x14ac:dyDescent="0.2">
      <c r="A17529" s="5"/>
      <c r="B17529" s="2"/>
      <c r="C17529" s="7"/>
      <c r="D17529" s="7"/>
    </row>
    <row r="17530" spans="1:4" ht="12.75" customHeight="1" x14ac:dyDescent="0.2">
      <c r="A17530" s="22" t="str">
        <f>HYPERLINK("javascript:void(0)","vászon testpajzs")</f>
        <v>vászon testpajzs</v>
      </c>
      <c r="B17530" s="21"/>
      <c r="C17530" s="21"/>
      <c r="D17530" s="21"/>
    </row>
    <row r="17531" spans="1:4" ht="12.75" customHeight="1" x14ac:dyDescent="0.2">
      <c r="A17531" s="20"/>
      <c r="B17531" s="2"/>
      <c r="C17531" s="7"/>
      <c r="D17531" s="7"/>
    </row>
    <row r="17532" spans="1:4" ht="12.75" customHeight="1" x14ac:dyDescent="0.2">
      <c r="A17532" s="21"/>
      <c r="B17532" s="3" t="s">
        <v>0</v>
      </c>
      <c r="C17532" s="23" t="s">
        <v>1342</v>
      </c>
      <c r="D17532" s="21"/>
    </row>
    <row r="17533" spans="1:4" ht="12.75" customHeight="1" x14ac:dyDescent="0.2">
      <c r="A17533" s="21"/>
      <c r="B17533" s="3" t="s">
        <v>2</v>
      </c>
      <c r="C17533" s="23" t="s">
        <v>1839</v>
      </c>
      <c r="D17533" s="21"/>
    </row>
    <row r="17534" spans="1:4" ht="12.75" customHeight="1" x14ac:dyDescent="0.2">
      <c r="A17534" s="21"/>
      <c r="B17534" s="3" t="s">
        <v>1840</v>
      </c>
      <c r="C17534" s="23" t="s">
        <v>4191</v>
      </c>
      <c r="D17534" s="21"/>
    </row>
    <row r="17535" spans="1:4" ht="12.75" customHeight="1" x14ac:dyDescent="0.2">
      <c r="A17535" s="21"/>
      <c r="B17535" s="3" t="s">
        <v>9</v>
      </c>
      <c r="C17535" s="23" t="s">
        <v>236</v>
      </c>
      <c r="D17535" s="21"/>
    </row>
    <row r="17536" spans="1:4" ht="12.75" customHeight="1" x14ac:dyDescent="0.2">
      <c r="A17536" s="21"/>
      <c r="B17536" s="3" t="s">
        <v>11</v>
      </c>
      <c r="C17536" s="23" t="s">
        <v>1148</v>
      </c>
      <c r="D17536" s="21"/>
    </row>
    <row r="17537" spans="1:4" ht="12.75" customHeight="1" x14ac:dyDescent="0.2">
      <c r="A17537" s="21"/>
      <c r="B17537" s="3" t="s">
        <v>16</v>
      </c>
      <c r="C17537" s="23"/>
      <c r="D17537" s="21"/>
    </row>
    <row r="17538" spans="1:4" ht="12.75" customHeight="1" x14ac:dyDescent="0.2">
      <c r="A17538" s="21"/>
      <c r="B17538" s="3" t="s">
        <v>17</v>
      </c>
      <c r="C17538" s="23" t="s">
        <v>19</v>
      </c>
      <c r="D17538" s="21"/>
    </row>
    <row r="17539" spans="1:4" ht="12.75" customHeight="1" x14ac:dyDescent="0.2">
      <c r="A17539" s="21"/>
      <c r="B17539" s="20" t="s">
        <v>18</v>
      </c>
      <c r="C17539" s="8" t="s">
        <v>44</v>
      </c>
      <c r="D17539" s="1" t="str">
        <f>HYPERLINK("javascript:void(0)","koksztestpajzs")</f>
        <v>koksztestpajzs</v>
      </c>
    </row>
    <row r="17540" spans="1:4" ht="12.75" customHeight="1" x14ac:dyDescent="0.2">
      <c r="A17540" s="21"/>
      <c r="B17540" s="21"/>
      <c r="C17540" s="8" t="s">
        <v>232</v>
      </c>
      <c r="D17540" s="1" t="str">
        <f>HYPERLINK("javascript:void(0)","kifordultság")</f>
        <v>kifordultság</v>
      </c>
    </row>
    <row r="17541" spans="1:4" ht="12.75" customHeight="1" x14ac:dyDescent="0.2">
      <c r="A17541" s="21"/>
      <c r="B17541" s="21"/>
      <c r="C17541" s="8" t="s">
        <v>68</v>
      </c>
      <c r="D17541" s="1" t="str">
        <f>HYPERLINK("javascript:void(0)","tejbeaprítás")</f>
        <v>tejbeaprítás</v>
      </c>
    </row>
    <row r="17542" spans="1:4" ht="12.75" customHeight="1" x14ac:dyDescent="0.2">
      <c r="A17542" s="21"/>
      <c r="B17542" s="2"/>
      <c r="C17542" s="7"/>
      <c r="D17542" s="7"/>
    </row>
    <row r="17543" spans="1:4" ht="12.75" customHeight="1" x14ac:dyDescent="0.2">
      <c r="A17543" s="21"/>
      <c r="B17543" s="2"/>
      <c r="C17543" s="7"/>
      <c r="D17543" s="7"/>
    </row>
    <row r="17544" spans="1:4" ht="12.75" customHeight="1" x14ac:dyDescent="0.2">
      <c r="A17544" s="21"/>
      <c r="B17544" s="2"/>
      <c r="C17544" s="7"/>
      <c r="D17544" s="7"/>
    </row>
    <row r="17545" spans="1:4" ht="12.75" customHeight="1" x14ac:dyDescent="0.2">
      <c r="A17545" s="21"/>
      <c r="B17545" s="2"/>
      <c r="C17545" s="7"/>
      <c r="D17545" s="7"/>
    </row>
    <row r="17546" spans="1:4" ht="12.75" customHeight="1" x14ac:dyDescent="0.2">
      <c r="A17546" s="5"/>
      <c r="B17546" s="2"/>
      <c r="C17546" s="7"/>
      <c r="D17546" s="7"/>
    </row>
    <row r="17547" spans="1:4" ht="12.75" customHeight="1" x14ac:dyDescent="0.2">
      <c r="A17547" s="22" t="str">
        <f>HYPERLINK("javascript:void(0)","ezüst pihepajzs")</f>
        <v>ezüst pihepajzs</v>
      </c>
      <c r="B17547" s="21"/>
      <c r="C17547" s="21"/>
      <c r="D17547" s="21"/>
    </row>
    <row r="17548" spans="1:4" ht="12.75" customHeight="1" x14ac:dyDescent="0.2">
      <c r="A17548" s="20"/>
      <c r="B17548" s="2"/>
      <c r="C17548" s="7"/>
      <c r="D17548" s="7"/>
    </row>
    <row r="17549" spans="1:4" ht="12.75" customHeight="1" x14ac:dyDescent="0.2">
      <c r="A17549" s="21"/>
      <c r="B17549" s="3" t="s">
        <v>0</v>
      </c>
      <c r="C17549" s="23" t="s">
        <v>1342</v>
      </c>
      <c r="D17549" s="21"/>
    </row>
    <row r="17550" spans="1:4" ht="12.75" customHeight="1" x14ac:dyDescent="0.2">
      <c r="A17550" s="21"/>
      <c r="B17550" s="3" t="s">
        <v>2</v>
      </c>
      <c r="C17550" s="23" t="s">
        <v>1839</v>
      </c>
      <c r="D17550" s="21"/>
    </row>
    <row r="17551" spans="1:4" ht="12.75" customHeight="1" x14ac:dyDescent="0.2">
      <c r="A17551" s="21"/>
      <c r="B17551" s="3" t="s">
        <v>1840</v>
      </c>
      <c r="C17551" s="23" t="s">
        <v>4191</v>
      </c>
      <c r="D17551" s="21"/>
    </row>
    <row r="17552" spans="1:4" ht="12.75" customHeight="1" x14ac:dyDescent="0.2">
      <c r="A17552" s="21"/>
      <c r="B17552" s="3" t="s">
        <v>9</v>
      </c>
      <c r="C17552" s="23" t="s">
        <v>637</v>
      </c>
      <c r="D17552" s="21"/>
    </row>
    <row r="17553" spans="1:4" ht="12.75" customHeight="1" x14ac:dyDescent="0.2">
      <c r="A17553" s="21"/>
      <c r="B17553" s="3" t="s">
        <v>11</v>
      </c>
      <c r="C17553" s="23" t="s">
        <v>1203</v>
      </c>
      <c r="D17553" s="21"/>
    </row>
    <row r="17554" spans="1:4" ht="12.75" customHeight="1" x14ac:dyDescent="0.2">
      <c r="A17554" s="21"/>
      <c r="B17554" s="3" t="s">
        <v>16</v>
      </c>
      <c r="C17554" s="23"/>
      <c r="D17554" s="21"/>
    </row>
    <row r="17555" spans="1:4" ht="12.75" customHeight="1" x14ac:dyDescent="0.2">
      <c r="A17555" s="21"/>
      <c r="B17555" s="3" t="s">
        <v>17</v>
      </c>
      <c r="C17555" s="23" t="s">
        <v>19</v>
      </c>
      <c r="D17555" s="21"/>
    </row>
    <row r="17556" spans="1:4" ht="12.75" customHeight="1" x14ac:dyDescent="0.2">
      <c r="A17556" s="21"/>
      <c r="B17556" s="20" t="s">
        <v>18</v>
      </c>
      <c r="C17556" s="8" t="s">
        <v>44</v>
      </c>
      <c r="D17556" s="1" t="str">
        <f>HYPERLINK("javascript:void(0)","vászon testpajzs")</f>
        <v>vászon testpajzs</v>
      </c>
    </row>
    <row r="17557" spans="1:4" ht="25.5" customHeight="1" x14ac:dyDescent="0.2">
      <c r="A17557" s="21"/>
      <c r="B17557" s="21"/>
      <c r="C17557" s="8" t="s">
        <v>142</v>
      </c>
      <c r="D17557" s="1" t="str">
        <f>HYPERLINK("javascript:void(0)","kommunikációképtelenség")</f>
        <v>kommunikációképtelenség</v>
      </c>
    </row>
    <row r="17558" spans="1:4" ht="12.75" customHeight="1" x14ac:dyDescent="0.2">
      <c r="A17558" s="21"/>
      <c r="B17558" s="21"/>
      <c r="C17558" s="8" t="s">
        <v>102</v>
      </c>
      <c r="D17558" s="1" t="str">
        <f>HYPERLINK("javascript:void(0)","árnyékláb")</f>
        <v>árnyékláb</v>
      </c>
    </row>
    <row r="17559" spans="1:4" ht="12.75" customHeight="1" x14ac:dyDescent="0.2">
      <c r="A17559" s="21"/>
      <c r="B17559" s="2"/>
      <c r="C17559" s="7"/>
      <c r="D17559" s="7"/>
    </row>
    <row r="17560" spans="1:4" ht="12.75" customHeight="1" x14ac:dyDescent="0.2">
      <c r="A17560" s="21"/>
      <c r="B17560" s="2"/>
      <c r="C17560" s="7"/>
      <c r="D17560" s="7"/>
    </row>
    <row r="17561" spans="1:4" ht="12.75" customHeight="1" x14ac:dyDescent="0.2">
      <c r="A17561" s="21"/>
      <c r="B17561" s="2"/>
      <c r="C17561" s="7"/>
      <c r="D17561" s="7"/>
    </row>
    <row r="17562" spans="1:4" ht="12.75" customHeight="1" x14ac:dyDescent="0.2">
      <c r="A17562" s="21"/>
      <c r="B17562" s="2"/>
      <c r="C17562" s="7"/>
      <c r="D17562" s="7"/>
    </row>
    <row r="17563" spans="1:4" ht="12.75" customHeight="1" x14ac:dyDescent="0.2">
      <c r="A17563" s="5"/>
      <c r="B17563" s="2"/>
      <c r="C17563" s="7"/>
      <c r="D17563" s="7"/>
    </row>
    <row r="17564" spans="1:4" ht="12.75" customHeight="1" x14ac:dyDescent="0.2">
      <c r="A17564" s="22" t="str">
        <f>HYPERLINK("javascript:void(0)","forgó sisak")</f>
        <v>forgó sisak</v>
      </c>
      <c r="B17564" s="21"/>
      <c r="C17564" s="21"/>
      <c r="D17564" s="21"/>
    </row>
    <row r="17565" spans="1:4" ht="12.75" customHeight="1" x14ac:dyDescent="0.2">
      <c r="A17565" s="20"/>
      <c r="B17565" s="2"/>
      <c r="C17565" s="7"/>
      <c r="D17565" s="7"/>
    </row>
    <row r="17566" spans="1:4" ht="12.75" customHeight="1" x14ac:dyDescent="0.2">
      <c r="A17566" s="21"/>
      <c r="B17566" s="3" t="s">
        <v>0</v>
      </c>
      <c r="C17566" s="23" t="s">
        <v>351</v>
      </c>
      <c r="D17566" s="21"/>
    </row>
    <row r="17567" spans="1:4" ht="12.75" customHeight="1" x14ac:dyDescent="0.2">
      <c r="A17567" s="21"/>
      <c r="B17567" s="3" t="s">
        <v>2</v>
      </c>
      <c r="C17567" s="23"/>
      <c r="D17567" s="21"/>
    </row>
    <row r="17568" spans="1:4" ht="12.75" customHeight="1" x14ac:dyDescent="0.2">
      <c r="A17568" s="21"/>
      <c r="B17568" s="3" t="s">
        <v>1840</v>
      </c>
      <c r="C17568" s="23" t="s">
        <v>2474</v>
      </c>
      <c r="D17568" s="21"/>
    </row>
    <row r="17569" spans="1:4" ht="12.75" customHeight="1" x14ac:dyDescent="0.2">
      <c r="A17569" s="21"/>
      <c r="B17569" s="3" t="s">
        <v>9</v>
      </c>
      <c r="C17569" s="23" t="s">
        <v>6123</v>
      </c>
      <c r="D17569" s="21"/>
    </row>
    <row r="17570" spans="1:4" ht="12.75" customHeight="1" x14ac:dyDescent="0.2">
      <c r="A17570" s="21"/>
      <c r="B17570" s="3" t="s">
        <v>11</v>
      </c>
      <c r="C17570" s="23" t="s">
        <v>1148</v>
      </c>
      <c r="D17570" s="21"/>
    </row>
    <row r="17571" spans="1:4" ht="12.75" customHeight="1" x14ac:dyDescent="0.2">
      <c r="A17571" s="21"/>
      <c r="B17571" s="3" t="s">
        <v>16</v>
      </c>
      <c r="C17571" s="23"/>
      <c r="D17571" s="21"/>
    </row>
    <row r="17572" spans="1:4" ht="12.75" customHeight="1" x14ac:dyDescent="0.2">
      <c r="A17572" s="21"/>
      <c r="B17572" s="3" t="s">
        <v>17</v>
      </c>
      <c r="C17572" s="23" t="s">
        <v>19</v>
      </c>
      <c r="D17572" s="21"/>
    </row>
    <row r="17573" spans="1:4" ht="12.75" customHeight="1" x14ac:dyDescent="0.2">
      <c r="A17573" s="21"/>
      <c r="B17573" s="20" t="s">
        <v>18</v>
      </c>
      <c r="C17573" s="8" t="s">
        <v>44</v>
      </c>
      <c r="D17573" s="1" t="str">
        <f>HYPERLINK("javascript:void(0)","kígyósisak")</f>
        <v>kígyósisak</v>
      </c>
    </row>
    <row r="17574" spans="1:4" ht="12.75" customHeight="1" x14ac:dyDescent="0.2">
      <c r="A17574" s="21"/>
      <c r="B17574" s="21"/>
      <c r="C17574" s="8" t="s">
        <v>44</v>
      </c>
      <c r="D17574" s="1" t="str">
        <f>HYPERLINK("javascript:void(0)","tejbekötő")</f>
        <v>tejbekötő</v>
      </c>
    </row>
    <row r="17575" spans="1:4" ht="12.75" customHeight="1" x14ac:dyDescent="0.2">
      <c r="A17575" s="21"/>
      <c r="B17575" s="21"/>
      <c r="C17575" s="8" t="s">
        <v>244</v>
      </c>
      <c r="D17575" s="1" t="str">
        <f>HYPERLINK("javascript:void(0)","kifordultság")</f>
        <v>kifordultság</v>
      </c>
    </row>
    <row r="17576" spans="1:4" ht="12.75" customHeight="1" x14ac:dyDescent="0.2">
      <c r="A17576" s="21"/>
      <c r="B17576" s="2"/>
      <c r="C17576" s="7"/>
      <c r="D17576" s="7"/>
    </row>
    <row r="17577" spans="1:4" ht="12.75" customHeight="1" x14ac:dyDescent="0.2">
      <c r="A17577" s="21"/>
      <c r="B17577" s="2"/>
      <c r="C17577" s="7"/>
      <c r="D17577" s="7"/>
    </row>
    <row r="17578" spans="1:4" ht="12.75" customHeight="1" x14ac:dyDescent="0.2">
      <c r="A17578" s="21"/>
      <c r="B17578" s="2"/>
      <c r="C17578" s="7"/>
      <c r="D17578" s="7"/>
    </row>
    <row r="17579" spans="1:4" ht="12.75" customHeight="1" x14ac:dyDescent="0.2">
      <c r="A17579" s="21"/>
      <c r="B17579" s="2"/>
      <c r="C17579" s="7"/>
      <c r="D17579" s="7"/>
    </row>
    <row r="17580" spans="1:4" ht="12.75" customHeight="1" x14ac:dyDescent="0.2">
      <c r="A17580" s="5"/>
      <c r="B17580" s="2"/>
      <c r="C17580" s="7"/>
      <c r="D17580" s="7"/>
    </row>
    <row r="17581" spans="1:4" ht="12.75" customHeight="1" x14ac:dyDescent="0.2">
      <c r="A17581" s="22" t="str">
        <f>HYPERLINK("javascript:void(0)","savas esőkabát")</f>
        <v>savas esőkabát</v>
      </c>
      <c r="B17581" s="21"/>
      <c r="C17581" s="21"/>
      <c r="D17581" s="21"/>
    </row>
    <row r="17582" spans="1:4" ht="12.75" customHeight="1" x14ac:dyDescent="0.2">
      <c r="A17582" s="20"/>
      <c r="B17582" s="2"/>
      <c r="C17582" s="7"/>
      <c r="D17582" s="7"/>
    </row>
    <row r="17583" spans="1:4" ht="12.75" customHeight="1" x14ac:dyDescent="0.2">
      <c r="A17583" s="21"/>
      <c r="B17583" s="3" t="s">
        <v>0</v>
      </c>
      <c r="C17583" s="23" t="s">
        <v>351</v>
      </c>
      <c r="D17583" s="21"/>
    </row>
    <row r="17584" spans="1:4" ht="12.75" customHeight="1" x14ac:dyDescent="0.2">
      <c r="A17584" s="21"/>
      <c r="B17584" s="3" t="s">
        <v>2</v>
      </c>
      <c r="C17584" s="23" t="s">
        <v>2322</v>
      </c>
      <c r="D17584" s="21"/>
    </row>
    <row r="17585" spans="1:4" ht="12.75" customHeight="1" x14ac:dyDescent="0.2">
      <c r="A17585" s="21"/>
      <c r="B17585" s="3" t="s">
        <v>1840</v>
      </c>
      <c r="C17585" s="23" t="s">
        <v>2573</v>
      </c>
      <c r="D17585" s="21"/>
    </row>
    <row r="17586" spans="1:4" ht="12.75" customHeight="1" x14ac:dyDescent="0.2">
      <c r="A17586" s="21"/>
      <c r="B17586" s="3" t="s">
        <v>9</v>
      </c>
      <c r="C17586" s="23" t="s">
        <v>2568</v>
      </c>
      <c r="D17586" s="21"/>
    </row>
    <row r="17587" spans="1:4" ht="12.75" customHeight="1" x14ac:dyDescent="0.2">
      <c r="A17587" s="21"/>
      <c r="B17587" s="3" t="s">
        <v>11</v>
      </c>
      <c r="C17587" s="23" t="s">
        <v>1180</v>
      </c>
      <c r="D17587" s="21"/>
    </row>
    <row r="17588" spans="1:4" ht="12.75" customHeight="1" x14ac:dyDescent="0.2">
      <c r="A17588" s="21"/>
      <c r="B17588" s="3" t="s">
        <v>16</v>
      </c>
      <c r="C17588" s="23"/>
      <c r="D17588" s="21"/>
    </row>
    <row r="17589" spans="1:4" ht="12.75" customHeight="1" x14ac:dyDescent="0.2">
      <c r="A17589" s="21"/>
      <c r="B17589" s="3" t="s">
        <v>17</v>
      </c>
      <c r="C17589" s="23" t="s">
        <v>19</v>
      </c>
      <c r="D17589" s="21"/>
    </row>
    <row r="17590" spans="1:4" ht="12.75" customHeight="1" x14ac:dyDescent="0.2">
      <c r="A17590" s="21"/>
      <c r="B17590" s="20" t="s">
        <v>18</v>
      </c>
      <c r="C17590" s="8" t="s">
        <v>44</v>
      </c>
      <c r="D17590" s="1" t="str">
        <f>HYPERLINK("javascript:void(0)","piros mellvért")</f>
        <v>piros mellvért</v>
      </c>
    </row>
    <row r="17591" spans="1:4" ht="12.75" customHeight="1" x14ac:dyDescent="0.2">
      <c r="A17591" s="21"/>
      <c r="B17591" s="21"/>
      <c r="C17591" s="8" t="s">
        <v>67</v>
      </c>
      <c r="D17591" s="1" t="str">
        <f>HYPERLINK("javascript:void(0)","savige")</f>
        <v>savige</v>
      </c>
    </row>
    <row r="17592" spans="1:4" ht="12.75" customHeight="1" x14ac:dyDescent="0.2">
      <c r="A17592" s="21"/>
      <c r="B17592" s="21"/>
      <c r="C17592" s="8" t="s">
        <v>77</v>
      </c>
      <c r="D17592" s="1" t="str">
        <f>HYPERLINK("javascript:void(0)","dobogás")</f>
        <v>dobogás</v>
      </c>
    </row>
    <row r="17593" spans="1:4" ht="12.75" customHeight="1" x14ac:dyDescent="0.2">
      <c r="A17593" s="21"/>
      <c r="B17593" s="2"/>
      <c r="C17593" s="7"/>
      <c r="D17593" s="7"/>
    </row>
    <row r="17594" spans="1:4" ht="12.75" customHeight="1" x14ac:dyDescent="0.2">
      <c r="A17594" s="21"/>
      <c r="B17594" s="2"/>
      <c r="C17594" s="7"/>
      <c r="D17594" s="7"/>
    </row>
    <row r="17595" spans="1:4" ht="12.75" customHeight="1" x14ac:dyDescent="0.2">
      <c r="A17595" s="21"/>
      <c r="B17595" s="2"/>
      <c r="C17595" s="7"/>
      <c r="D17595" s="7"/>
    </row>
    <row r="17596" spans="1:4" ht="12.75" customHeight="1" x14ac:dyDescent="0.2">
      <c r="A17596" s="21"/>
      <c r="B17596" s="2"/>
      <c r="C17596" s="7"/>
      <c r="D17596" s="7"/>
    </row>
    <row r="17597" spans="1:4" ht="12.75" customHeight="1" x14ac:dyDescent="0.2">
      <c r="A17597" s="5"/>
      <c r="B17597" s="2"/>
      <c r="C17597" s="7"/>
      <c r="D17597" s="7"/>
    </row>
    <row r="17598" spans="1:4" ht="12.75" customHeight="1" x14ac:dyDescent="0.2">
      <c r="A17598" s="22" t="str">
        <f>HYPERLINK("javascript:void(0)","dínótalp")</f>
        <v>dínótalp</v>
      </c>
      <c r="B17598" s="21"/>
      <c r="C17598" s="21"/>
      <c r="D17598" s="21"/>
    </row>
    <row r="17599" spans="1:4" ht="12.75" customHeight="1" x14ac:dyDescent="0.2">
      <c r="A17599" s="20"/>
      <c r="B17599" s="2"/>
      <c r="C17599" s="7"/>
      <c r="D17599" s="7"/>
    </row>
    <row r="17600" spans="1:4" ht="12.75" customHeight="1" x14ac:dyDescent="0.2">
      <c r="A17600" s="21"/>
      <c r="B17600" s="3" t="s">
        <v>0</v>
      </c>
      <c r="C17600" s="23" t="s">
        <v>351</v>
      </c>
      <c r="D17600" s="21"/>
    </row>
    <row r="17601" spans="1:4" ht="12.75" customHeight="1" x14ac:dyDescent="0.2">
      <c r="A17601" s="21"/>
      <c r="B17601" s="3" t="s">
        <v>2</v>
      </c>
      <c r="C17601" s="23"/>
      <c r="D17601" s="21"/>
    </row>
    <row r="17602" spans="1:4" ht="12.75" customHeight="1" x14ac:dyDescent="0.2">
      <c r="A17602" s="21"/>
      <c r="B17602" s="3" t="s">
        <v>1840</v>
      </c>
      <c r="C17602" s="23" t="s">
        <v>2969</v>
      </c>
      <c r="D17602" s="21"/>
    </row>
    <row r="17603" spans="1:4" ht="12.75" customHeight="1" x14ac:dyDescent="0.2">
      <c r="A17603" s="21"/>
      <c r="B17603" s="3" t="s">
        <v>9</v>
      </c>
      <c r="C17603" s="23" t="s">
        <v>1108</v>
      </c>
      <c r="D17603" s="21"/>
    </row>
    <row r="17604" spans="1:4" ht="12.75" customHeight="1" x14ac:dyDescent="0.2">
      <c r="A17604" s="21"/>
      <c r="B17604" s="3" t="s">
        <v>11</v>
      </c>
      <c r="C17604" s="23" t="s">
        <v>1148</v>
      </c>
      <c r="D17604" s="21"/>
    </row>
    <row r="17605" spans="1:4" ht="12.75" customHeight="1" x14ac:dyDescent="0.2">
      <c r="A17605" s="21"/>
      <c r="B17605" s="3" t="s">
        <v>16</v>
      </c>
      <c r="C17605" s="23"/>
      <c r="D17605" s="21"/>
    </row>
    <row r="17606" spans="1:4" ht="12.75" customHeight="1" x14ac:dyDescent="0.2">
      <c r="A17606" s="21"/>
      <c r="B17606" s="3" t="s">
        <v>17</v>
      </c>
      <c r="C17606" s="23" t="s">
        <v>19</v>
      </c>
      <c r="D17606" s="21"/>
    </row>
    <row r="17607" spans="1:4" ht="12.75" customHeight="1" x14ac:dyDescent="0.2">
      <c r="A17607" s="21"/>
      <c r="B17607" s="20" t="s">
        <v>18</v>
      </c>
      <c r="C17607" s="8" t="s">
        <v>67</v>
      </c>
      <c r="D17607" s="1" t="str">
        <f>HYPERLINK("javascript:void(0)","dínófog")</f>
        <v>dínófog</v>
      </c>
    </row>
    <row r="17608" spans="1:4" ht="12.75" customHeight="1" x14ac:dyDescent="0.2">
      <c r="A17608" s="21"/>
      <c r="B17608" s="21"/>
      <c r="C17608" s="8" t="s">
        <v>139</v>
      </c>
      <c r="D17608" s="1" t="str">
        <f>HYPERLINK("javascript:void(0)","bajuszkötő")</f>
        <v>bajuszkötő</v>
      </c>
    </row>
    <row r="17609" spans="1:4" ht="12.75" customHeight="1" x14ac:dyDescent="0.2">
      <c r="A17609" s="21"/>
      <c r="B17609" s="21"/>
      <c r="C17609" s="8" t="s">
        <v>280</v>
      </c>
      <c r="D17609" s="1" t="str">
        <f>HYPERLINK("javascript:void(0)","melegige")</f>
        <v>melegige</v>
      </c>
    </row>
    <row r="17610" spans="1:4" ht="12.75" customHeight="1" x14ac:dyDescent="0.2">
      <c r="A17610" s="21"/>
      <c r="B17610" s="2"/>
      <c r="C17610" s="7"/>
      <c r="D17610" s="7"/>
    </row>
    <row r="17611" spans="1:4" ht="12.75" customHeight="1" x14ac:dyDescent="0.2">
      <c r="A17611" s="21"/>
      <c r="B17611" s="2"/>
      <c r="C17611" s="7"/>
      <c r="D17611" s="7"/>
    </row>
    <row r="17612" spans="1:4" ht="12.75" customHeight="1" x14ac:dyDescent="0.2">
      <c r="A17612" s="21"/>
      <c r="B17612" s="2"/>
      <c r="C17612" s="7"/>
      <c r="D17612" s="7"/>
    </row>
    <row r="17613" spans="1:4" ht="12.75" customHeight="1" x14ac:dyDescent="0.2">
      <c r="A17613" s="21"/>
      <c r="B17613" s="2"/>
      <c r="C17613" s="7"/>
      <c r="D17613" s="7"/>
    </row>
    <row r="17614" spans="1:4" ht="12.75" customHeight="1" x14ac:dyDescent="0.2">
      <c r="A17614" s="5"/>
      <c r="B17614" s="2"/>
      <c r="C17614" s="7"/>
      <c r="D17614" s="7"/>
    </row>
    <row r="17615" spans="1:4" ht="12.75" customHeight="1" x14ac:dyDescent="0.2">
      <c r="A17615" s="22" t="str">
        <f>HYPERLINK("javascript:void(0)","véracél pajzs")</f>
        <v>véracél pajzs</v>
      </c>
      <c r="B17615" s="21"/>
      <c r="C17615" s="21"/>
      <c r="D17615" s="21"/>
    </row>
    <row r="17616" spans="1:4" ht="12.75" customHeight="1" x14ac:dyDescent="0.2">
      <c r="A17616" s="20"/>
      <c r="B17616" s="2"/>
      <c r="C17616" s="7"/>
      <c r="D17616" s="7"/>
    </row>
    <row r="17617" spans="1:4" ht="12.75" customHeight="1" x14ac:dyDescent="0.2">
      <c r="A17617" s="21"/>
      <c r="B17617" s="3" t="s">
        <v>0</v>
      </c>
      <c r="C17617" s="23" t="s">
        <v>351</v>
      </c>
      <c r="D17617" s="21"/>
    </row>
    <row r="17618" spans="1:4" ht="12.75" customHeight="1" x14ac:dyDescent="0.2">
      <c r="A17618" s="21"/>
      <c r="B17618" s="3" t="s">
        <v>2</v>
      </c>
      <c r="C17618" s="23" t="s">
        <v>1839</v>
      </c>
      <c r="D17618" s="21"/>
    </row>
    <row r="17619" spans="1:4" ht="12.75" customHeight="1" x14ac:dyDescent="0.2">
      <c r="A17619" s="21"/>
      <c r="B17619" s="3" t="s">
        <v>1840</v>
      </c>
      <c r="C17619" s="23" t="s">
        <v>6133</v>
      </c>
      <c r="D17619" s="21"/>
    </row>
    <row r="17620" spans="1:4" ht="12.75" customHeight="1" x14ac:dyDescent="0.2">
      <c r="A17620" s="21"/>
      <c r="B17620" s="3" t="s">
        <v>9</v>
      </c>
      <c r="C17620" s="23" t="s">
        <v>249</v>
      </c>
      <c r="D17620" s="21"/>
    </row>
    <row r="17621" spans="1:4" ht="12.75" customHeight="1" x14ac:dyDescent="0.2">
      <c r="A17621" s="21"/>
      <c r="B17621" s="3" t="s">
        <v>11</v>
      </c>
      <c r="C17621" s="23" t="s">
        <v>1163</v>
      </c>
      <c r="D17621" s="21"/>
    </row>
    <row r="17622" spans="1:4" ht="12.75" customHeight="1" x14ac:dyDescent="0.2">
      <c r="A17622" s="21"/>
      <c r="B17622" s="3" t="s">
        <v>16</v>
      </c>
      <c r="C17622" s="23"/>
      <c r="D17622" s="21"/>
    </row>
    <row r="17623" spans="1:4" ht="12.75" customHeight="1" x14ac:dyDescent="0.2">
      <c r="A17623" s="21"/>
      <c r="B17623" s="3" t="s">
        <v>17</v>
      </c>
      <c r="C17623" s="23" t="s">
        <v>19</v>
      </c>
      <c r="D17623" s="21"/>
    </row>
    <row r="17624" spans="1:4" ht="12.75" customHeight="1" x14ac:dyDescent="0.2">
      <c r="A17624" s="21"/>
      <c r="B17624" s="20" t="s">
        <v>18</v>
      </c>
      <c r="C17624" s="8" t="s">
        <v>44</v>
      </c>
      <c r="D17624" s="1" t="str">
        <f>HYPERLINK("javascript:void(0)","vászonpajzs")</f>
        <v>vászonpajzs</v>
      </c>
    </row>
    <row r="17625" spans="1:4" ht="12.75" customHeight="1" x14ac:dyDescent="0.2">
      <c r="A17625" s="21"/>
      <c r="B17625" s="21"/>
      <c r="C17625" s="8" t="s">
        <v>142</v>
      </c>
      <c r="D17625" s="1" t="str">
        <f>HYPERLINK("javascript:void(0)","dobogás")</f>
        <v>dobogás</v>
      </c>
    </row>
    <row r="17626" spans="1:4" ht="12.75" customHeight="1" x14ac:dyDescent="0.2">
      <c r="A17626" s="21"/>
      <c r="B17626" s="21"/>
      <c r="C17626" s="8" t="s">
        <v>142</v>
      </c>
      <c r="D17626" s="1" t="str">
        <f>HYPERLINK("javascript:void(0)","vérrög")</f>
        <v>vérrög</v>
      </c>
    </row>
    <row r="17627" spans="1:4" ht="12.75" customHeight="1" x14ac:dyDescent="0.2">
      <c r="A17627" s="21"/>
      <c r="B17627" s="2"/>
      <c r="C17627" s="7"/>
      <c r="D17627" s="7"/>
    </row>
    <row r="17628" spans="1:4" ht="12.75" customHeight="1" x14ac:dyDescent="0.2">
      <c r="A17628" s="21"/>
      <c r="B17628" s="2"/>
      <c r="C17628" s="7"/>
      <c r="D17628" s="7"/>
    </row>
    <row r="17629" spans="1:4" ht="12.75" customHeight="1" x14ac:dyDescent="0.2">
      <c r="A17629" s="21"/>
      <c r="B17629" s="2"/>
      <c r="C17629" s="7"/>
      <c r="D17629" s="7"/>
    </row>
    <row r="17630" spans="1:4" ht="12.75" customHeight="1" x14ac:dyDescent="0.2">
      <c r="A17630" s="21"/>
      <c r="B17630" s="2"/>
      <c r="C17630" s="7"/>
      <c r="D17630" s="7"/>
    </row>
    <row r="17631" spans="1:4" ht="12.75" customHeight="1" x14ac:dyDescent="0.2">
      <c r="A17631" s="5"/>
      <c r="B17631" s="2"/>
      <c r="C17631" s="7"/>
      <c r="D17631" s="7"/>
    </row>
    <row r="17632" spans="1:4" ht="12.75" customHeight="1" x14ac:dyDescent="0.2">
      <c r="A17632" s="22" t="str">
        <f>HYPERLINK("javascript:void(0)","arany pihepajzs")</f>
        <v>arany pihepajzs</v>
      </c>
      <c r="B17632" s="21"/>
      <c r="C17632" s="21"/>
      <c r="D17632" s="21"/>
    </row>
    <row r="17633" spans="1:4" ht="12.75" customHeight="1" x14ac:dyDescent="0.2">
      <c r="A17633" s="20"/>
      <c r="B17633" s="2"/>
      <c r="C17633" s="7"/>
      <c r="D17633" s="7"/>
    </row>
    <row r="17634" spans="1:4" ht="12.75" customHeight="1" x14ac:dyDescent="0.2">
      <c r="A17634" s="21"/>
      <c r="B17634" s="3" t="s">
        <v>0</v>
      </c>
      <c r="C17634" s="23" t="s">
        <v>351</v>
      </c>
      <c r="D17634" s="21"/>
    </row>
    <row r="17635" spans="1:4" ht="12.75" customHeight="1" x14ac:dyDescent="0.2">
      <c r="A17635" s="21"/>
      <c r="B17635" s="3" t="s">
        <v>2</v>
      </c>
      <c r="C17635" s="23" t="s">
        <v>1839</v>
      </c>
      <c r="D17635" s="21"/>
    </row>
    <row r="17636" spans="1:4" ht="12.75" customHeight="1" x14ac:dyDescent="0.2">
      <c r="A17636" s="21"/>
      <c r="B17636" s="3" t="s">
        <v>1840</v>
      </c>
      <c r="C17636" s="23" t="s">
        <v>6133</v>
      </c>
      <c r="D17636" s="21"/>
    </row>
    <row r="17637" spans="1:4" ht="12.75" customHeight="1" x14ac:dyDescent="0.2">
      <c r="A17637" s="21"/>
      <c r="B17637" s="3" t="s">
        <v>9</v>
      </c>
      <c r="C17637" s="23" t="s">
        <v>30</v>
      </c>
      <c r="D17637" s="21"/>
    </row>
    <row r="17638" spans="1:4" ht="12.75" customHeight="1" x14ac:dyDescent="0.2">
      <c r="A17638" s="21"/>
      <c r="B17638" s="3" t="s">
        <v>11</v>
      </c>
      <c r="C17638" s="23" t="s">
        <v>1235</v>
      </c>
      <c r="D17638" s="21"/>
    </row>
    <row r="17639" spans="1:4" ht="12.75" customHeight="1" x14ac:dyDescent="0.2">
      <c r="A17639" s="21"/>
      <c r="B17639" s="3" t="s">
        <v>16</v>
      </c>
      <c r="C17639" s="23"/>
      <c r="D17639" s="21"/>
    </row>
    <row r="17640" spans="1:4" ht="12.75" customHeight="1" x14ac:dyDescent="0.2">
      <c r="A17640" s="21"/>
      <c r="B17640" s="3" t="s">
        <v>17</v>
      </c>
      <c r="C17640" s="23" t="s">
        <v>19</v>
      </c>
      <c r="D17640" s="21"/>
    </row>
    <row r="17641" spans="1:4" ht="12.75" customHeight="1" x14ac:dyDescent="0.2">
      <c r="A17641" s="21"/>
      <c r="B17641" s="20" t="s">
        <v>18</v>
      </c>
      <c r="C17641" s="8" t="s">
        <v>44</v>
      </c>
      <c r="D17641" s="1" t="str">
        <f>HYPERLINK("javascript:void(0)","véracél pajzs")</f>
        <v>véracél pajzs</v>
      </c>
    </row>
    <row r="17642" spans="1:4" ht="12.75" customHeight="1" x14ac:dyDescent="0.2">
      <c r="A17642" s="21"/>
      <c r="B17642" s="21"/>
      <c r="C17642" s="8" t="s">
        <v>142</v>
      </c>
      <c r="D17642" s="1" t="str">
        <f>HYPERLINK("javascript:void(0)","savige")</f>
        <v>savige</v>
      </c>
    </row>
    <row r="17643" spans="1:4" ht="12.75" customHeight="1" x14ac:dyDescent="0.2">
      <c r="A17643" s="21"/>
      <c r="B17643" s="21"/>
      <c r="C17643" s="8" t="s">
        <v>232</v>
      </c>
      <c r="D17643" s="1" t="str">
        <f>HYPERLINK("javascript:void(0)","dínófog")</f>
        <v>dínófog</v>
      </c>
    </row>
    <row r="17644" spans="1:4" ht="12.75" customHeight="1" x14ac:dyDescent="0.2">
      <c r="A17644" s="21"/>
      <c r="B17644" s="2"/>
      <c r="C17644" s="7"/>
      <c r="D17644" s="7"/>
    </row>
    <row r="17645" spans="1:4" ht="12.75" customHeight="1" x14ac:dyDescent="0.2">
      <c r="A17645" s="21"/>
      <c r="B17645" s="2"/>
      <c r="C17645" s="7"/>
      <c r="D17645" s="7"/>
    </row>
    <row r="17646" spans="1:4" ht="12.75" customHeight="1" x14ac:dyDescent="0.2">
      <c r="A17646" s="21"/>
      <c r="B17646" s="2"/>
      <c r="C17646" s="7"/>
      <c r="D17646" s="7"/>
    </row>
    <row r="17647" spans="1:4" ht="12.75" customHeight="1" x14ac:dyDescent="0.2">
      <c r="A17647" s="21"/>
      <c r="B17647" s="2"/>
      <c r="C17647" s="7"/>
      <c r="D17647" s="7"/>
    </row>
    <row r="17648" spans="1:4" ht="12.75" customHeight="1" x14ac:dyDescent="0.2">
      <c r="A17648" s="5"/>
      <c r="B17648" s="2"/>
      <c r="C17648" s="7"/>
      <c r="D17648" s="7"/>
    </row>
    <row r="17649" spans="1:4" ht="12.75" customHeight="1" x14ac:dyDescent="0.2">
      <c r="A17649" s="22" t="str">
        <f>HYPERLINK("javascript:void(0)","forgó antigrav csizma")</f>
        <v>forgó antigrav csizma</v>
      </c>
      <c r="B17649" s="21"/>
      <c r="C17649" s="21"/>
      <c r="D17649" s="21"/>
    </row>
    <row r="17650" spans="1:4" ht="12.75" customHeight="1" x14ac:dyDescent="0.2">
      <c r="A17650" s="20"/>
      <c r="B17650" s="2"/>
      <c r="C17650" s="7"/>
      <c r="D17650" s="7"/>
    </row>
    <row r="17651" spans="1:4" ht="12.75" customHeight="1" x14ac:dyDescent="0.2">
      <c r="A17651" s="21"/>
      <c r="B17651" s="3" t="s">
        <v>0</v>
      </c>
      <c r="C17651" s="23" t="s">
        <v>351</v>
      </c>
      <c r="D17651" s="21"/>
    </row>
    <row r="17652" spans="1:4" ht="12.75" customHeight="1" x14ac:dyDescent="0.2">
      <c r="A17652" s="21"/>
      <c r="B17652" s="3" t="s">
        <v>2</v>
      </c>
      <c r="C17652" s="23"/>
      <c r="D17652" s="21"/>
    </row>
    <row r="17653" spans="1:4" ht="12.75" customHeight="1" x14ac:dyDescent="0.2">
      <c r="A17653" s="21"/>
      <c r="B17653" s="3" t="s">
        <v>1840</v>
      </c>
      <c r="C17653" s="23" t="s">
        <v>2969</v>
      </c>
      <c r="D17653" s="21"/>
    </row>
    <row r="17654" spans="1:4" ht="12.75" customHeight="1" x14ac:dyDescent="0.2">
      <c r="A17654" s="21"/>
      <c r="B17654" s="3" t="s">
        <v>9</v>
      </c>
      <c r="C17654" s="23" t="s">
        <v>626</v>
      </c>
      <c r="D17654" s="21"/>
    </row>
    <row r="17655" spans="1:4" ht="12.75" customHeight="1" x14ac:dyDescent="0.2">
      <c r="A17655" s="21"/>
      <c r="B17655" s="3" t="s">
        <v>11</v>
      </c>
      <c r="C17655" s="23" t="s">
        <v>23</v>
      </c>
      <c r="D17655" s="21"/>
    </row>
    <row r="17656" spans="1:4" ht="12.75" customHeight="1" x14ac:dyDescent="0.2">
      <c r="A17656" s="21"/>
      <c r="B17656" s="3" t="s">
        <v>16</v>
      </c>
      <c r="C17656" s="23"/>
      <c r="D17656" s="21"/>
    </row>
    <row r="17657" spans="1:4" ht="12.75" customHeight="1" x14ac:dyDescent="0.2">
      <c r="A17657" s="21"/>
      <c r="B17657" s="3" t="s">
        <v>17</v>
      </c>
      <c r="C17657" s="23" t="s">
        <v>19</v>
      </c>
      <c r="D17657" s="21"/>
    </row>
    <row r="17658" spans="1:4" ht="25.5" customHeight="1" x14ac:dyDescent="0.2">
      <c r="A17658" s="21"/>
      <c r="B17658" s="20" t="s">
        <v>18</v>
      </c>
      <c r="C17658" s="8" t="s">
        <v>44</v>
      </c>
      <c r="D17658" s="1" t="str">
        <f>HYPERLINK("javascript:void(0)","príma antigrav csizma")</f>
        <v>príma antigrav csizma</v>
      </c>
    </row>
    <row r="17659" spans="1:4" ht="25.5" customHeight="1" x14ac:dyDescent="0.2">
      <c r="A17659" s="21"/>
      <c r="B17659" s="21"/>
      <c r="C17659" s="8" t="s">
        <v>280</v>
      </c>
      <c r="D17659" s="1" t="str">
        <f>HYPERLINK("javascript:void(0)","kommunikációképtelenség")</f>
        <v>kommunikációképtelenség</v>
      </c>
    </row>
    <row r="17660" spans="1:4" ht="12.75" customHeight="1" x14ac:dyDescent="0.2">
      <c r="A17660" s="21"/>
      <c r="B17660" s="21"/>
      <c r="C17660" s="8" t="s">
        <v>139</v>
      </c>
      <c r="D17660" s="1" t="str">
        <f>HYPERLINK("javascript:void(0)","dobogás")</f>
        <v>dobogás</v>
      </c>
    </row>
    <row r="17661" spans="1:4" ht="12.75" customHeight="1" x14ac:dyDescent="0.2">
      <c r="A17661" s="21"/>
      <c r="B17661" s="2"/>
      <c r="C17661" s="7"/>
      <c r="D17661" s="7"/>
    </row>
    <row r="17662" spans="1:4" ht="12.75" customHeight="1" x14ac:dyDescent="0.2">
      <c r="A17662" s="21"/>
      <c r="B17662" s="2"/>
      <c r="C17662" s="7"/>
      <c r="D17662" s="7"/>
    </row>
    <row r="17663" spans="1:4" ht="12.75" customHeight="1" x14ac:dyDescent="0.2">
      <c r="A17663" s="21"/>
      <c r="B17663" s="2"/>
      <c r="C17663" s="7"/>
      <c r="D17663" s="7"/>
    </row>
    <row r="17664" spans="1:4" ht="12.75" customHeight="1" x14ac:dyDescent="0.2">
      <c r="A17664" s="21"/>
      <c r="B17664" s="2"/>
      <c r="C17664" s="7"/>
      <c r="D17664" s="7"/>
    </row>
    <row r="17665" spans="1:4" ht="12.75" customHeight="1" x14ac:dyDescent="0.2">
      <c r="A17665" s="5"/>
      <c r="B17665" s="2"/>
      <c r="C17665" s="7"/>
      <c r="D17665" s="7"/>
    </row>
    <row r="17666" spans="1:4" ht="12.75" customHeight="1" x14ac:dyDescent="0.2">
      <c r="A17666" s="22" t="str">
        <f>HYPERLINK("javascript:void(0)","zombiprotkó")</f>
        <v>zombiprotkó</v>
      </c>
      <c r="B17666" s="21"/>
      <c r="C17666" s="21"/>
      <c r="D17666" s="21"/>
    </row>
    <row r="17667" spans="1:4" ht="12.75" customHeight="1" x14ac:dyDescent="0.2">
      <c r="A17667" s="20"/>
      <c r="B17667" s="2"/>
      <c r="C17667" s="7"/>
      <c r="D17667" s="7"/>
    </row>
    <row r="17668" spans="1:4" ht="12.75" customHeight="1" x14ac:dyDescent="0.2">
      <c r="A17668" s="21"/>
      <c r="B17668" s="3" t="s">
        <v>0</v>
      </c>
      <c r="C17668" s="23" t="s">
        <v>1355</v>
      </c>
      <c r="D17668" s="21"/>
    </row>
    <row r="17669" spans="1:4" ht="12.75" customHeight="1" x14ac:dyDescent="0.2">
      <c r="A17669" s="21"/>
      <c r="B17669" s="3" t="s">
        <v>2</v>
      </c>
      <c r="C17669" s="23"/>
      <c r="D17669" s="21"/>
    </row>
    <row r="17670" spans="1:4" ht="12.75" customHeight="1" x14ac:dyDescent="0.2">
      <c r="A17670" s="21"/>
      <c r="B17670" s="3" t="s">
        <v>1840</v>
      </c>
      <c r="C17670" s="23" t="s">
        <v>6143</v>
      </c>
      <c r="D17670" s="21"/>
    </row>
    <row r="17671" spans="1:4" ht="12.75" customHeight="1" x14ac:dyDescent="0.2">
      <c r="A17671" s="21"/>
      <c r="B17671" s="3" t="s">
        <v>9</v>
      </c>
      <c r="C17671" s="23" t="s">
        <v>1975</v>
      </c>
      <c r="D17671" s="21"/>
    </row>
    <row r="17672" spans="1:4" ht="12.75" customHeight="1" x14ac:dyDescent="0.2">
      <c r="A17672" s="21"/>
      <c r="B17672" s="3" t="s">
        <v>11</v>
      </c>
      <c r="C17672" s="23" t="s">
        <v>1163</v>
      </c>
      <c r="D17672" s="21"/>
    </row>
    <row r="17673" spans="1:4" ht="12.75" customHeight="1" x14ac:dyDescent="0.2">
      <c r="A17673" s="21"/>
      <c r="B17673" s="3" t="s">
        <v>16</v>
      </c>
      <c r="C17673" s="23"/>
      <c r="D17673" s="21"/>
    </row>
    <row r="17674" spans="1:4" ht="12.75" customHeight="1" x14ac:dyDescent="0.2">
      <c r="A17674" s="21"/>
      <c r="B17674" s="3" t="s">
        <v>17</v>
      </c>
      <c r="C17674" s="23" t="s">
        <v>19</v>
      </c>
      <c r="D17674" s="21"/>
    </row>
    <row r="17675" spans="1:4" ht="12.75" customHeight="1" x14ac:dyDescent="0.2">
      <c r="A17675" s="21"/>
      <c r="B17675" s="20" t="s">
        <v>18</v>
      </c>
      <c r="C17675" s="8" t="s">
        <v>44</v>
      </c>
      <c r="D17675" s="1" t="str">
        <f>HYPERLINK("javascript:void(0)","forgó sisak")</f>
        <v>forgó sisak</v>
      </c>
    </row>
    <row r="17676" spans="1:4" ht="12.75" customHeight="1" x14ac:dyDescent="0.2">
      <c r="A17676" s="21"/>
      <c r="B17676" s="21"/>
      <c r="C17676" s="8" t="s">
        <v>77</v>
      </c>
      <c r="D17676" s="1" t="str">
        <f>HYPERLINK("javascript:void(0)","szórioff")</f>
        <v>szórioff</v>
      </c>
    </row>
    <row r="17677" spans="1:4" ht="25.5" customHeight="1" x14ac:dyDescent="0.2">
      <c r="A17677" s="21"/>
      <c r="B17677" s="21"/>
      <c r="C17677" s="8" t="s">
        <v>316</v>
      </c>
      <c r="D17677" s="1" t="str">
        <f>HYPERLINK("javascript:void(0)","kommunikációképtelenség")</f>
        <v>kommunikációképtelenség</v>
      </c>
    </row>
    <row r="17678" spans="1:4" ht="12.75" customHeight="1" x14ac:dyDescent="0.2">
      <c r="A17678" s="21"/>
      <c r="B17678" s="2"/>
      <c r="C17678" s="7"/>
      <c r="D17678" s="7"/>
    </row>
    <row r="17679" spans="1:4" ht="12.75" customHeight="1" x14ac:dyDescent="0.2">
      <c r="A17679" s="21"/>
      <c r="B17679" s="2"/>
      <c r="C17679" s="7"/>
      <c r="D17679" s="7"/>
    </row>
    <row r="17680" spans="1:4" ht="12.75" customHeight="1" x14ac:dyDescent="0.2">
      <c r="A17680" s="21"/>
      <c r="B17680" s="2"/>
      <c r="C17680" s="7"/>
      <c r="D17680" s="7"/>
    </row>
    <row r="17681" spans="1:4" ht="12.75" customHeight="1" x14ac:dyDescent="0.2">
      <c r="A17681" s="21"/>
      <c r="B17681" s="2"/>
      <c r="C17681" s="7"/>
      <c r="D17681" s="7"/>
    </row>
    <row r="17682" spans="1:4" ht="12.75" customHeight="1" x14ac:dyDescent="0.2">
      <c r="A17682" s="5"/>
      <c r="B17682" s="2"/>
      <c r="C17682" s="7"/>
      <c r="D17682" s="7"/>
    </row>
    <row r="17683" spans="1:4" ht="12.75" customHeight="1" x14ac:dyDescent="0.2">
      <c r="A17683" s="22" t="str">
        <f>HYPERLINK("javascript:void(0)","viharpáncél")</f>
        <v>viharpáncél</v>
      </c>
      <c r="B17683" s="21"/>
      <c r="C17683" s="21"/>
      <c r="D17683" s="21"/>
    </row>
    <row r="17684" spans="1:4" ht="12.75" customHeight="1" x14ac:dyDescent="0.2">
      <c r="A17684" s="20"/>
      <c r="B17684" s="2"/>
      <c r="C17684" s="7"/>
      <c r="D17684" s="7"/>
    </row>
    <row r="17685" spans="1:4" ht="12.75" customHeight="1" x14ac:dyDescent="0.2">
      <c r="A17685" s="21"/>
      <c r="B17685" s="3" t="s">
        <v>0</v>
      </c>
      <c r="C17685" s="23" t="s">
        <v>1355</v>
      </c>
      <c r="D17685" s="21"/>
    </row>
    <row r="17686" spans="1:4" ht="12.75" customHeight="1" x14ac:dyDescent="0.2">
      <c r="A17686" s="21"/>
      <c r="B17686" s="3" t="s">
        <v>2</v>
      </c>
      <c r="C17686" s="23" t="s">
        <v>2322</v>
      </c>
      <c r="D17686" s="21"/>
    </row>
    <row r="17687" spans="1:4" ht="12.75" customHeight="1" x14ac:dyDescent="0.2">
      <c r="A17687" s="21"/>
      <c r="B17687" s="3" t="s">
        <v>1840</v>
      </c>
      <c r="C17687" s="23" t="s">
        <v>2574</v>
      </c>
      <c r="D17687" s="21"/>
    </row>
    <row r="17688" spans="1:4" ht="12.75" customHeight="1" x14ac:dyDescent="0.2">
      <c r="A17688" s="21"/>
      <c r="B17688" s="3" t="s">
        <v>9</v>
      </c>
      <c r="C17688" s="23" t="s">
        <v>2492</v>
      </c>
      <c r="D17688" s="21"/>
    </row>
    <row r="17689" spans="1:4" ht="12.75" customHeight="1" x14ac:dyDescent="0.2">
      <c r="A17689" s="21"/>
      <c r="B17689" s="3" t="s">
        <v>11</v>
      </c>
      <c r="C17689" s="23" t="s">
        <v>1203</v>
      </c>
      <c r="D17689" s="21"/>
    </row>
    <row r="17690" spans="1:4" ht="12.75" customHeight="1" x14ac:dyDescent="0.2">
      <c r="A17690" s="21"/>
      <c r="B17690" s="3" t="s">
        <v>16</v>
      </c>
      <c r="C17690" s="23"/>
      <c r="D17690" s="21"/>
    </row>
    <row r="17691" spans="1:4" ht="12.75" customHeight="1" x14ac:dyDescent="0.2">
      <c r="A17691" s="21"/>
      <c r="B17691" s="3" t="s">
        <v>17</v>
      </c>
      <c r="C17691" s="23" t="s">
        <v>19</v>
      </c>
      <c r="D17691" s="21"/>
    </row>
    <row r="17692" spans="1:4" ht="12.75" customHeight="1" x14ac:dyDescent="0.2">
      <c r="A17692" s="21"/>
      <c r="B17692" s="20" t="s">
        <v>18</v>
      </c>
      <c r="C17692" s="8" t="s">
        <v>232</v>
      </c>
      <c r="D17692" s="1" t="str">
        <f>HYPERLINK("javascript:void(0)","agyvihar")</f>
        <v>agyvihar</v>
      </c>
    </row>
    <row r="17693" spans="1:4" ht="12.75" customHeight="1" x14ac:dyDescent="0.2">
      <c r="A17693" s="21"/>
      <c r="B17693" s="21"/>
      <c r="C17693" s="8" t="s">
        <v>132</v>
      </c>
      <c r="D17693" s="1" t="str">
        <f>HYPERLINK("javascript:void(0)","savige")</f>
        <v>savige</v>
      </c>
    </row>
    <row r="17694" spans="1:4" ht="12.75" customHeight="1" x14ac:dyDescent="0.2">
      <c r="A17694" s="21"/>
      <c r="B17694" s="21"/>
      <c r="C17694" s="8" t="s">
        <v>68</v>
      </c>
      <c r="D17694" s="1" t="str">
        <f>HYPERLINK("javascript:void(0)","kártyalap")</f>
        <v>kártyalap</v>
      </c>
    </row>
    <row r="17695" spans="1:4" ht="12.75" customHeight="1" x14ac:dyDescent="0.2">
      <c r="A17695" s="21"/>
      <c r="B17695" s="2"/>
      <c r="C17695" s="7"/>
      <c r="D17695" s="7"/>
    </row>
    <row r="17696" spans="1:4" ht="12.75" customHeight="1" x14ac:dyDescent="0.2">
      <c r="A17696" s="21"/>
      <c r="B17696" s="2"/>
      <c r="C17696" s="7"/>
      <c r="D17696" s="7"/>
    </row>
    <row r="17697" spans="1:4" ht="12.75" customHeight="1" x14ac:dyDescent="0.2">
      <c r="A17697" s="21"/>
      <c r="B17697" s="2"/>
      <c r="C17697" s="7"/>
      <c r="D17697" s="7"/>
    </row>
    <row r="17698" spans="1:4" ht="12.75" customHeight="1" x14ac:dyDescent="0.2">
      <c r="A17698" s="21"/>
      <c r="B17698" s="2"/>
      <c r="C17698" s="7"/>
      <c r="D17698" s="7"/>
    </row>
    <row r="17699" spans="1:4" ht="12.75" customHeight="1" x14ac:dyDescent="0.2">
      <c r="A17699" s="5"/>
      <c r="B17699" s="2"/>
      <c r="C17699" s="7"/>
      <c r="D17699" s="7"/>
    </row>
    <row r="17700" spans="1:4" ht="12.75" customHeight="1" x14ac:dyDescent="0.2">
      <c r="A17700" s="22" t="str">
        <f>HYPERLINK("javascript:void(0)","piros cipő")</f>
        <v>piros cipő</v>
      </c>
      <c r="B17700" s="21"/>
      <c r="C17700" s="21"/>
      <c r="D17700" s="21"/>
    </row>
    <row r="17701" spans="1:4" ht="12.75" customHeight="1" x14ac:dyDescent="0.2">
      <c r="A17701" s="20"/>
      <c r="B17701" s="2"/>
      <c r="C17701" s="7"/>
      <c r="D17701" s="7"/>
    </row>
    <row r="17702" spans="1:4" ht="12.75" customHeight="1" x14ac:dyDescent="0.2">
      <c r="A17702" s="21"/>
      <c r="B17702" s="3" t="s">
        <v>0</v>
      </c>
      <c r="C17702" s="23" t="s">
        <v>1355</v>
      </c>
      <c r="D17702" s="21"/>
    </row>
    <row r="17703" spans="1:4" ht="12.75" customHeight="1" x14ac:dyDescent="0.2">
      <c r="A17703" s="21"/>
      <c r="B17703" s="3" t="s">
        <v>2</v>
      </c>
      <c r="C17703" s="23"/>
      <c r="D17703" s="21"/>
    </row>
    <row r="17704" spans="1:4" ht="12.75" customHeight="1" x14ac:dyDescent="0.2">
      <c r="A17704" s="21"/>
      <c r="B17704" s="3" t="s">
        <v>1840</v>
      </c>
      <c r="C17704" s="23" t="s">
        <v>2947</v>
      </c>
      <c r="D17704" s="21"/>
    </row>
    <row r="17705" spans="1:4" ht="12.75" customHeight="1" x14ac:dyDescent="0.2">
      <c r="A17705" s="21"/>
      <c r="B17705" s="3" t="s">
        <v>9</v>
      </c>
      <c r="C17705" s="23" t="s">
        <v>6150</v>
      </c>
      <c r="D17705" s="21"/>
    </row>
    <row r="17706" spans="1:4" ht="12.75" customHeight="1" x14ac:dyDescent="0.2">
      <c r="A17706" s="21"/>
      <c r="B17706" s="3" t="s">
        <v>11</v>
      </c>
      <c r="C17706" s="23" t="s">
        <v>1163</v>
      </c>
      <c r="D17706" s="21"/>
    </row>
    <row r="17707" spans="1:4" ht="12.75" customHeight="1" x14ac:dyDescent="0.2">
      <c r="A17707" s="21"/>
      <c r="B17707" s="3" t="s">
        <v>16</v>
      </c>
      <c r="C17707" s="23"/>
      <c r="D17707" s="21"/>
    </row>
    <row r="17708" spans="1:4" ht="12.75" customHeight="1" x14ac:dyDescent="0.2">
      <c r="A17708" s="21"/>
      <c r="B17708" s="3" t="s">
        <v>17</v>
      </c>
      <c r="C17708" s="23" t="s">
        <v>19</v>
      </c>
      <c r="D17708" s="21"/>
    </row>
    <row r="17709" spans="1:4" ht="12.75" customHeight="1" x14ac:dyDescent="0.2">
      <c r="A17709" s="21"/>
      <c r="B17709" s="20" t="s">
        <v>18</v>
      </c>
      <c r="C17709" s="8" t="s">
        <v>44</v>
      </c>
      <c r="D17709" s="1" t="str">
        <f>HYPERLINK("javascript:void(0)","árnycsizma")</f>
        <v>árnycsizma</v>
      </c>
    </row>
    <row r="17710" spans="1:4" ht="12.75" customHeight="1" x14ac:dyDescent="0.2">
      <c r="A17710" s="21"/>
      <c r="B17710" s="21"/>
      <c r="C17710" s="8" t="s">
        <v>44</v>
      </c>
      <c r="D17710" s="1" t="str">
        <f>HYPERLINK("javascript:void(0)","dínótalp")</f>
        <v>dínótalp</v>
      </c>
    </row>
    <row r="17711" spans="1:4" ht="25.5" customHeight="1" x14ac:dyDescent="0.2">
      <c r="A17711" s="21"/>
      <c r="B17711" s="21"/>
      <c r="C17711" s="8" t="s">
        <v>280</v>
      </c>
      <c r="D17711" s="1" t="str">
        <f>HYPERLINK("javascript:void(0)","kommunikációképtelenség")</f>
        <v>kommunikációképtelenség</v>
      </c>
    </row>
    <row r="17712" spans="1:4" ht="12.75" customHeight="1" x14ac:dyDescent="0.2">
      <c r="A17712" s="21"/>
      <c r="B17712" s="2"/>
      <c r="C17712" s="7"/>
      <c r="D17712" s="7"/>
    </row>
    <row r="17713" spans="1:4" ht="12.75" customHeight="1" x14ac:dyDescent="0.2">
      <c r="A17713" s="21"/>
      <c r="B17713" s="2"/>
      <c r="C17713" s="7"/>
      <c r="D17713" s="7"/>
    </row>
    <row r="17714" spans="1:4" ht="12.75" customHeight="1" x14ac:dyDescent="0.2">
      <c r="A17714" s="21"/>
      <c r="B17714" s="2"/>
      <c r="C17714" s="7"/>
      <c r="D17714" s="7"/>
    </row>
    <row r="17715" spans="1:4" ht="12.75" customHeight="1" x14ac:dyDescent="0.2">
      <c r="A17715" s="21"/>
      <c r="B17715" s="2"/>
      <c r="C17715" s="7"/>
      <c r="D17715" s="7"/>
    </row>
    <row r="17716" spans="1:4" ht="12.75" customHeight="1" x14ac:dyDescent="0.2">
      <c r="A17716" s="5"/>
      <c r="B17716" s="2"/>
      <c r="C17716" s="7"/>
      <c r="D17716" s="7"/>
    </row>
    <row r="17717" spans="1:4" ht="12.75" customHeight="1" x14ac:dyDescent="0.2">
      <c r="A17717" s="22" t="str">
        <f>HYPERLINK("javascript:void(0)","véracél testpajzs")</f>
        <v>véracél testpajzs</v>
      </c>
      <c r="B17717" s="21"/>
      <c r="C17717" s="21"/>
      <c r="D17717" s="21"/>
    </row>
    <row r="17718" spans="1:4" ht="12.75" customHeight="1" x14ac:dyDescent="0.2">
      <c r="A17718" s="20"/>
      <c r="B17718" s="2"/>
      <c r="C17718" s="7"/>
      <c r="D17718" s="7"/>
    </row>
    <row r="17719" spans="1:4" ht="12.75" customHeight="1" x14ac:dyDescent="0.2">
      <c r="A17719" s="21"/>
      <c r="B17719" s="3" t="s">
        <v>0</v>
      </c>
      <c r="C17719" s="23" t="s">
        <v>1355</v>
      </c>
      <c r="D17719" s="21"/>
    </row>
    <row r="17720" spans="1:4" ht="12.75" customHeight="1" x14ac:dyDescent="0.2">
      <c r="A17720" s="21"/>
      <c r="B17720" s="3" t="s">
        <v>2</v>
      </c>
      <c r="C17720" s="23" t="s">
        <v>1839</v>
      </c>
      <c r="D17720" s="21"/>
    </row>
    <row r="17721" spans="1:4" ht="12.75" customHeight="1" x14ac:dyDescent="0.2">
      <c r="A17721" s="21"/>
      <c r="B17721" s="3" t="s">
        <v>1840</v>
      </c>
      <c r="C17721" s="23" t="s">
        <v>606</v>
      </c>
      <c r="D17721" s="21"/>
    </row>
    <row r="17722" spans="1:4" ht="12.75" customHeight="1" x14ac:dyDescent="0.2">
      <c r="A17722" s="21"/>
      <c r="B17722" s="3" t="s">
        <v>9</v>
      </c>
      <c r="C17722" s="23" t="s">
        <v>262</v>
      </c>
      <c r="D17722" s="21"/>
    </row>
    <row r="17723" spans="1:4" ht="12.75" customHeight="1" x14ac:dyDescent="0.2">
      <c r="A17723" s="21"/>
      <c r="B17723" s="3" t="s">
        <v>11</v>
      </c>
      <c r="C17723" s="23" t="s">
        <v>1180</v>
      </c>
      <c r="D17723" s="21"/>
    </row>
    <row r="17724" spans="1:4" ht="12.75" customHeight="1" x14ac:dyDescent="0.2">
      <c r="A17724" s="21"/>
      <c r="B17724" s="3" t="s">
        <v>16</v>
      </c>
      <c r="C17724" s="23"/>
      <c r="D17724" s="21"/>
    </row>
    <row r="17725" spans="1:4" ht="12.75" customHeight="1" x14ac:dyDescent="0.2">
      <c r="A17725" s="21"/>
      <c r="B17725" s="3" t="s">
        <v>17</v>
      </c>
      <c r="C17725" s="23" t="s">
        <v>19</v>
      </c>
      <c r="D17725" s="21"/>
    </row>
    <row r="17726" spans="1:4" ht="12.75" customHeight="1" x14ac:dyDescent="0.2">
      <c r="A17726" s="21"/>
      <c r="B17726" s="20" t="s">
        <v>18</v>
      </c>
      <c r="C17726" s="8" t="s">
        <v>44</v>
      </c>
      <c r="D17726" s="1" t="str">
        <f>HYPERLINK("javascript:void(0)","vászon testpajzs")</f>
        <v>vászon testpajzs</v>
      </c>
    </row>
    <row r="17727" spans="1:4" ht="12.75" customHeight="1" x14ac:dyDescent="0.2">
      <c r="A17727" s="21"/>
      <c r="B17727" s="21"/>
      <c r="C17727" s="8" t="s">
        <v>786</v>
      </c>
      <c r="D17727" s="1" t="str">
        <f>HYPERLINK("javascript:void(0)","sztetoszkóp")</f>
        <v>sztetoszkóp</v>
      </c>
    </row>
    <row r="17728" spans="1:4" ht="12.75" customHeight="1" x14ac:dyDescent="0.2">
      <c r="A17728" s="21"/>
      <c r="B17728" s="21"/>
      <c r="C17728" s="8" t="s">
        <v>163</v>
      </c>
      <c r="D17728" s="1" t="str">
        <f>HYPERLINK("javascript:void(0)","feketetem")</f>
        <v>feketetem</v>
      </c>
    </row>
    <row r="17729" spans="1:4" ht="12.75" customHeight="1" x14ac:dyDescent="0.2">
      <c r="A17729" s="21"/>
      <c r="B17729" s="2"/>
      <c r="C17729" s="7"/>
      <c r="D17729" s="7"/>
    </row>
    <row r="17730" spans="1:4" ht="12.75" customHeight="1" x14ac:dyDescent="0.2">
      <c r="A17730" s="21"/>
      <c r="B17730" s="2"/>
      <c r="C17730" s="7"/>
      <c r="D17730" s="7"/>
    </row>
    <row r="17731" spans="1:4" ht="12.75" customHeight="1" x14ac:dyDescent="0.2">
      <c r="A17731" s="21"/>
      <c r="B17731" s="2"/>
      <c r="C17731" s="7"/>
      <c r="D17731" s="7"/>
    </row>
    <row r="17732" spans="1:4" ht="12.75" customHeight="1" x14ac:dyDescent="0.2">
      <c r="A17732" s="21"/>
      <c r="B17732" s="2"/>
      <c r="C17732" s="7"/>
      <c r="D17732" s="7"/>
    </row>
    <row r="17733" spans="1:4" ht="12.75" customHeight="1" x14ac:dyDescent="0.2">
      <c r="A17733" s="5"/>
      <c r="B17733" s="2"/>
      <c r="C17733" s="7"/>
      <c r="D17733" s="7"/>
    </row>
    <row r="17734" spans="1:4" ht="12.75" customHeight="1" x14ac:dyDescent="0.2">
      <c r="A17734" s="22" t="str">
        <f>HYPERLINK("javascript:void(0)","opál pihepajzs")</f>
        <v>opál pihepajzs</v>
      </c>
      <c r="B17734" s="21"/>
      <c r="C17734" s="21"/>
      <c r="D17734" s="21"/>
    </row>
    <row r="17735" spans="1:4" ht="12.75" customHeight="1" x14ac:dyDescent="0.2">
      <c r="A17735" s="20"/>
      <c r="B17735" s="2"/>
      <c r="C17735" s="7"/>
      <c r="D17735" s="7"/>
    </row>
    <row r="17736" spans="1:4" ht="12.75" customHeight="1" x14ac:dyDescent="0.2">
      <c r="A17736" s="21"/>
      <c r="B17736" s="3" t="s">
        <v>0</v>
      </c>
      <c r="C17736" s="23" t="s">
        <v>1355</v>
      </c>
      <c r="D17736" s="21"/>
    </row>
    <row r="17737" spans="1:4" ht="12.75" customHeight="1" x14ac:dyDescent="0.2">
      <c r="A17737" s="21"/>
      <c r="B17737" s="3" t="s">
        <v>2</v>
      </c>
      <c r="C17737" s="23" t="s">
        <v>1839</v>
      </c>
      <c r="D17737" s="21"/>
    </row>
    <row r="17738" spans="1:4" ht="12.75" customHeight="1" x14ac:dyDescent="0.2">
      <c r="A17738" s="21"/>
      <c r="B17738" s="3" t="s">
        <v>1840</v>
      </c>
      <c r="C17738" s="23" t="s">
        <v>606</v>
      </c>
      <c r="D17738" s="21"/>
    </row>
    <row r="17739" spans="1:4" ht="12.75" customHeight="1" x14ac:dyDescent="0.2">
      <c r="A17739" s="21"/>
      <c r="B17739" s="3" t="s">
        <v>9</v>
      </c>
      <c r="C17739" s="23" t="s">
        <v>84</v>
      </c>
      <c r="D17739" s="21"/>
    </row>
    <row r="17740" spans="1:4" ht="12.75" customHeight="1" x14ac:dyDescent="0.2">
      <c r="A17740" s="21"/>
      <c r="B17740" s="3" t="s">
        <v>11</v>
      </c>
      <c r="C17740" s="23" t="s">
        <v>1248</v>
      </c>
      <c r="D17740" s="21"/>
    </row>
    <row r="17741" spans="1:4" ht="12.75" customHeight="1" x14ac:dyDescent="0.2">
      <c r="A17741" s="21"/>
      <c r="B17741" s="3" t="s">
        <v>16</v>
      </c>
      <c r="C17741" s="23"/>
      <c r="D17741" s="21"/>
    </row>
    <row r="17742" spans="1:4" ht="12.75" customHeight="1" x14ac:dyDescent="0.2">
      <c r="A17742" s="21"/>
      <c r="B17742" s="3" t="s">
        <v>17</v>
      </c>
      <c r="C17742" s="23" t="s">
        <v>19</v>
      </c>
      <c r="D17742" s="21"/>
    </row>
    <row r="17743" spans="1:4" ht="12.75" customHeight="1" x14ac:dyDescent="0.2">
      <c r="A17743" s="21"/>
      <c r="B17743" s="20" t="s">
        <v>18</v>
      </c>
      <c r="C17743" s="8" t="s">
        <v>44</v>
      </c>
      <c r="D17743" s="1" t="str">
        <f>HYPERLINK("javascript:void(0)","véracél testpajzs")</f>
        <v>véracél testpajzs</v>
      </c>
    </row>
    <row r="17744" spans="1:4" ht="12.75" customHeight="1" x14ac:dyDescent="0.2">
      <c r="A17744" s="21"/>
      <c r="B17744" s="21"/>
      <c r="C17744" s="8" t="s">
        <v>142</v>
      </c>
      <c r="D17744" s="1" t="str">
        <f>HYPERLINK("javascript:void(0)","szórioff")</f>
        <v>szórioff</v>
      </c>
    </row>
    <row r="17745" spans="1:4" ht="12.75" customHeight="1" x14ac:dyDescent="0.2">
      <c r="A17745" s="21"/>
      <c r="B17745" s="21"/>
      <c r="C17745" s="8" t="s">
        <v>68</v>
      </c>
      <c r="D17745" s="1" t="str">
        <f>HYPERLINK("javascript:void(0)","agyvihar")</f>
        <v>agyvihar</v>
      </c>
    </row>
    <row r="17746" spans="1:4" ht="12.75" customHeight="1" x14ac:dyDescent="0.2">
      <c r="A17746" s="21"/>
      <c r="B17746" s="2"/>
      <c r="C17746" s="7"/>
      <c r="D17746" s="7"/>
    </row>
    <row r="17747" spans="1:4" ht="12.75" customHeight="1" x14ac:dyDescent="0.2">
      <c r="A17747" s="21"/>
      <c r="B17747" s="2"/>
      <c r="C17747" s="7"/>
      <c r="D17747" s="7"/>
    </row>
    <row r="17748" spans="1:4" ht="12.75" customHeight="1" x14ac:dyDescent="0.2">
      <c r="A17748" s="21"/>
      <c r="B17748" s="2"/>
      <c r="C17748" s="7"/>
      <c r="D17748" s="7"/>
    </row>
    <row r="17749" spans="1:4" ht="12.75" customHeight="1" x14ac:dyDescent="0.2">
      <c r="A17749" s="21"/>
      <c r="B17749" s="2"/>
      <c r="C17749" s="7"/>
      <c r="D17749" s="7"/>
    </row>
    <row r="17750" spans="1:4" ht="12.75" customHeight="1" x14ac:dyDescent="0.2">
      <c r="A17750" s="5"/>
      <c r="B17750" s="2"/>
      <c r="C17750" s="7"/>
      <c r="D17750" s="7"/>
    </row>
    <row r="17751" spans="1:4" ht="12.75" customHeight="1" x14ac:dyDescent="0.2">
      <c r="A17751" s="22" t="str">
        <f>HYPERLINK("javascript:void(0)","körfejvédő")</f>
        <v>körfejvédő</v>
      </c>
      <c r="B17751" s="21"/>
      <c r="C17751" s="21"/>
      <c r="D17751" s="21"/>
    </row>
    <row r="17752" spans="1:4" ht="12.75" customHeight="1" x14ac:dyDescent="0.2">
      <c r="A17752" s="20"/>
      <c r="B17752" s="2"/>
      <c r="C17752" s="7"/>
      <c r="D17752" s="7"/>
    </row>
    <row r="17753" spans="1:4" ht="12.75" customHeight="1" x14ac:dyDescent="0.2">
      <c r="A17753" s="21"/>
      <c r="B17753" s="3" t="s">
        <v>0</v>
      </c>
      <c r="C17753" s="23" t="s">
        <v>1359</v>
      </c>
      <c r="D17753" s="21"/>
    </row>
    <row r="17754" spans="1:4" ht="12.75" customHeight="1" x14ac:dyDescent="0.2">
      <c r="A17754" s="21"/>
      <c r="B17754" s="3" t="s">
        <v>2</v>
      </c>
      <c r="C17754" s="23"/>
      <c r="D17754" s="21"/>
    </row>
    <row r="17755" spans="1:4" ht="12.75" customHeight="1" x14ac:dyDescent="0.2">
      <c r="A17755" s="21"/>
      <c r="B17755" s="3" t="s">
        <v>1840</v>
      </c>
      <c r="C17755" s="23" t="s">
        <v>611</v>
      </c>
      <c r="D17755" s="21"/>
    </row>
    <row r="17756" spans="1:4" ht="12.75" customHeight="1" x14ac:dyDescent="0.2">
      <c r="A17756" s="21"/>
      <c r="B17756" s="3" t="s">
        <v>9</v>
      </c>
      <c r="C17756" s="23" t="s">
        <v>784</v>
      </c>
      <c r="D17756" s="21"/>
    </row>
    <row r="17757" spans="1:4" ht="12.75" customHeight="1" x14ac:dyDescent="0.2">
      <c r="A17757" s="21"/>
      <c r="B17757" s="3" t="s">
        <v>11</v>
      </c>
      <c r="C17757" s="23" t="s">
        <v>1180</v>
      </c>
      <c r="D17757" s="21"/>
    </row>
    <row r="17758" spans="1:4" ht="12.75" customHeight="1" x14ac:dyDescent="0.2">
      <c r="A17758" s="21"/>
      <c r="B17758" s="3" t="s">
        <v>16</v>
      </c>
      <c r="C17758" s="23"/>
      <c r="D17758" s="21"/>
    </row>
    <row r="17759" spans="1:4" ht="12.75" customHeight="1" x14ac:dyDescent="0.2">
      <c r="A17759" s="21"/>
      <c r="B17759" s="3" t="s">
        <v>17</v>
      </c>
      <c r="C17759" s="23" t="s">
        <v>19</v>
      </c>
      <c r="D17759" s="21"/>
    </row>
    <row r="17760" spans="1:4" ht="12.75" customHeight="1" x14ac:dyDescent="0.2">
      <c r="A17760" s="21"/>
      <c r="B17760" s="20" t="s">
        <v>18</v>
      </c>
      <c r="C17760" s="8" t="s">
        <v>132</v>
      </c>
      <c r="D17760" s="1" t="str">
        <f>HYPERLINK("javascript:void(0)","körhallgató")</f>
        <v>körhallgató</v>
      </c>
    </row>
    <row r="17761" spans="1:4" ht="12.75" customHeight="1" x14ac:dyDescent="0.2">
      <c r="A17761" s="21"/>
      <c r="B17761" s="21"/>
      <c r="C17761" s="8" t="s">
        <v>193</v>
      </c>
      <c r="D17761" s="1" t="str">
        <f>HYPERLINK("javascript:void(0)","dínófog")</f>
        <v>dínófog</v>
      </c>
    </row>
    <row r="17762" spans="1:4" ht="12.75" customHeight="1" x14ac:dyDescent="0.2">
      <c r="A17762" s="21"/>
      <c r="B17762" s="21"/>
      <c r="C17762" s="8" t="s">
        <v>68</v>
      </c>
      <c r="D17762" s="1" t="str">
        <f>HYPERLINK("javascript:void(0)","kártyalap")</f>
        <v>kártyalap</v>
      </c>
    </row>
    <row r="17763" spans="1:4" ht="12.75" customHeight="1" x14ac:dyDescent="0.2">
      <c r="A17763" s="21"/>
      <c r="B17763" s="2"/>
      <c r="C17763" s="7"/>
      <c r="D17763" s="7"/>
    </row>
    <row r="17764" spans="1:4" ht="12.75" customHeight="1" x14ac:dyDescent="0.2">
      <c r="A17764" s="21"/>
      <c r="B17764" s="2"/>
      <c r="C17764" s="7"/>
      <c r="D17764" s="7"/>
    </row>
    <row r="17765" spans="1:4" ht="12.75" customHeight="1" x14ac:dyDescent="0.2">
      <c r="A17765" s="21"/>
      <c r="B17765" s="2"/>
      <c r="C17765" s="7"/>
      <c r="D17765" s="7"/>
    </row>
    <row r="17766" spans="1:4" ht="12.75" customHeight="1" x14ac:dyDescent="0.2">
      <c r="A17766" s="21"/>
      <c r="B17766" s="2"/>
      <c r="C17766" s="7"/>
      <c r="D17766" s="7"/>
    </row>
    <row r="17767" spans="1:4" ht="12.75" customHeight="1" x14ac:dyDescent="0.2">
      <c r="A17767" s="5"/>
      <c r="B17767" s="2"/>
      <c r="C17767" s="7"/>
      <c r="D17767" s="7"/>
    </row>
    <row r="17768" spans="1:4" ht="12.75" customHeight="1" x14ac:dyDescent="0.2">
      <c r="A17768" s="22" t="str">
        <f>HYPERLINK("javascript:void(0)","felhősuba")</f>
        <v>felhősuba</v>
      </c>
      <c r="B17768" s="21"/>
      <c r="C17768" s="21"/>
      <c r="D17768" s="21"/>
    </row>
    <row r="17769" spans="1:4" ht="12.75" customHeight="1" x14ac:dyDescent="0.2">
      <c r="A17769" s="20"/>
      <c r="B17769" s="2"/>
      <c r="C17769" s="7"/>
      <c r="D17769" s="7"/>
    </row>
    <row r="17770" spans="1:4" ht="12.75" customHeight="1" x14ac:dyDescent="0.2">
      <c r="A17770" s="21"/>
      <c r="B17770" s="3" t="s">
        <v>0</v>
      </c>
      <c r="C17770" s="23" t="s">
        <v>1359</v>
      </c>
      <c r="D17770" s="21"/>
    </row>
    <row r="17771" spans="1:4" ht="12.75" customHeight="1" x14ac:dyDescent="0.2">
      <c r="A17771" s="21"/>
      <c r="B17771" s="3" t="s">
        <v>2</v>
      </c>
      <c r="C17771" s="23" t="s">
        <v>2322</v>
      </c>
      <c r="D17771" s="21"/>
    </row>
    <row r="17772" spans="1:4" ht="12.75" customHeight="1" x14ac:dyDescent="0.2">
      <c r="A17772" s="21"/>
      <c r="B17772" s="3" t="s">
        <v>1840</v>
      </c>
      <c r="C17772" s="23" t="s">
        <v>2575</v>
      </c>
      <c r="D17772" s="21"/>
    </row>
    <row r="17773" spans="1:4" ht="12.75" customHeight="1" x14ac:dyDescent="0.2">
      <c r="A17773" s="21"/>
      <c r="B17773" s="3" t="s">
        <v>9</v>
      </c>
      <c r="C17773" s="23" t="s">
        <v>2576</v>
      </c>
      <c r="D17773" s="21"/>
    </row>
    <row r="17774" spans="1:4" ht="12.75" customHeight="1" x14ac:dyDescent="0.2">
      <c r="A17774" s="21"/>
      <c r="B17774" s="3" t="s">
        <v>11</v>
      </c>
      <c r="C17774" s="23" t="s">
        <v>1235</v>
      </c>
      <c r="D17774" s="21"/>
    </row>
    <row r="17775" spans="1:4" ht="12.75" customHeight="1" x14ac:dyDescent="0.2">
      <c r="A17775" s="21"/>
      <c r="B17775" s="3" t="s">
        <v>16</v>
      </c>
      <c r="C17775" s="23"/>
      <c r="D17775" s="21"/>
    </row>
    <row r="17776" spans="1:4" ht="12.75" customHeight="1" x14ac:dyDescent="0.2">
      <c r="A17776" s="21"/>
      <c r="B17776" s="3" t="s">
        <v>17</v>
      </c>
      <c r="C17776" s="23" t="s">
        <v>19</v>
      </c>
      <c r="D17776" s="21"/>
    </row>
    <row r="17777" spans="1:4" ht="12.75" customHeight="1" x14ac:dyDescent="0.2">
      <c r="A17777" s="21"/>
      <c r="B17777" s="20" t="s">
        <v>18</v>
      </c>
      <c r="C17777" s="8" t="s">
        <v>44</v>
      </c>
      <c r="D17777" s="1" t="str">
        <f>HYPERLINK("javascript:void(0)","savas esőkabát")</f>
        <v>savas esőkabát</v>
      </c>
    </row>
    <row r="17778" spans="1:4" ht="12.75" customHeight="1" x14ac:dyDescent="0.2">
      <c r="A17778" s="21"/>
      <c r="B17778" s="21"/>
      <c r="C17778" s="8" t="s">
        <v>44</v>
      </c>
      <c r="D17778" s="1" t="str">
        <f>HYPERLINK("javascript:void(0)","viharpáncél")</f>
        <v>viharpáncél</v>
      </c>
    </row>
    <row r="17779" spans="1:4" ht="12.75" customHeight="1" x14ac:dyDescent="0.2">
      <c r="A17779" s="21"/>
      <c r="B17779" s="21"/>
      <c r="C17779" s="8" t="s">
        <v>67</v>
      </c>
      <c r="D17779" s="1" t="str">
        <f>HYPERLINK("javascript:void(0)","felhőszelet")</f>
        <v>felhőszelet</v>
      </c>
    </row>
    <row r="17780" spans="1:4" ht="12.75" customHeight="1" x14ac:dyDescent="0.2">
      <c r="A17780" s="21"/>
      <c r="B17780" s="2"/>
      <c r="C17780" s="7"/>
      <c r="D17780" s="7"/>
    </row>
    <row r="17781" spans="1:4" ht="12.75" customHeight="1" x14ac:dyDescent="0.2">
      <c r="A17781" s="21"/>
      <c r="B17781" s="2"/>
      <c r="C17781" s="7"/>
      <c r="D17781" s="7"/>
    </row>
    <row r="17782" spans="1:4" ht="12.75" customHeight="1" x14ac:dyDescent="0.2">
      <c r="A17782" s="21"/>
      <c r="B17782" s="2"/>
      <c r="C17782" s="7"/>
      <c r="D17782" s="7"/>
    </row>
    <row r="17783" spans="1:4" ht="12.75" customHeight="1" x14ac:dyDescent="0.2">
      <c r="A17783" s="21"/>
      <c r="B17783" s="2"/>
      <c r="C17783" s="7"/>
      <c r="D17783" s="7"/>
    </row>
    <row r="17784" spans="1:4" ht="12.75" customHeight="1" x14ac:dyDescent="0.2">
      <c r="A17784" s="5"/>
      <c r="B17784" s="2"/>
      <c r="C17784" s="7"/>
      <c r="D17784" s="7"/>
    </row>
    <row r="17785" spans="1:4" ht="12.75" customHeight="1" x14ac:dyDescent="0.2">
      <c r="A17785" s="22" t="str">
        <f>HYPERLINK("javascript:void(0)","kockamokaszin")</f>
        <v>kockamokaszin</v>
      </c>
      <c r="B17785" s="21"/>
      <c r="C17785" s="21"/>
      <c r="D17785" s="21"/>
    </row>
    <row r="17786" spans="1:4" ht="12.75" customHeight="1" x14ac:dyDescent="0.2">
      <c r="A17786" s="20"/>
      <c r="B17786" s="2"/>
      <c r="C17786" s="7"/>
      <c r="D17786" s="7"/>
    </row>
    <row r="17787" spans="1:4" ht="12.75" customHeight="1" x14ac:dyDescent="0.2">
      <c r="A17787" s="21"/>
      <c r="B17787" s="3" t="s">
        <v>0</v>
      </c>
      <c r="C17787" s="23" t="s">
        <v>1359</v>
      </c>
      <c r="D17787" s="21"/>
    </row>
    <row r="17788" spans="1:4" ht="12.75" customHeight="1" x14ac:dyDescent="0.2">
      <c r="A17788" s="21"/>
      <c r="B17788" s="3" t="s">
        <v>2</v>
      </c>
      <c r="C17788" s="23"/>
      <c r="D17788" s="21"/>
    </row>
    <row r="17789" spans="1:4" ht="12.75" customHeight="1" x14ac:dyDescent="0.2">
      <c r="A17789" s="21"/>
      <c r="B17789" s="3" t="s">
        <v>1840</v>
      </c>
      <c r="C17789" s="23" t="s">
        <v>1829</v>
      </c>
      <c r="D17789" s="21"/>
    </row>
    <row r="17790" spans="1:4" ht="12.75" customHeight="1" x14ac:dyDescent="0.2">
      <c r="A17790" s="21"/>
      <c r="B17790" s="3" t="s">
        <v>9</v>
      </c>
      <c r="C17790" s="23" t="s">
        <v>2118</v>
      </c>
      <c r="D17790" s="21"/>
    </row>
    <row r="17791" spans="1:4" ht="12.75" customHeight="1" x14ac:dyDescent="0.2">
      <c r="A17791" s="21"/>
      <c r="B17791" s="3" t="s">
        <v>11</v>
      </c>
      <c r="C17791" s="23" t="s">
        <v>1180</v>
      </c>
      <c r="D17791" s="21"/>
    </row>
    <row r="17792" spans="1:4" ht="12.75" customHeight="1" x14ac:dyDescent="0.2">
      <c r="A17792" s="21"/>
      <c r="B17792" s="3" t="s">
        <v>16</v>
      </c>
      <c r="C17792" s="23"/>
      <c r="D17792" s="21"/>
    </row>
    <row r="17793" spans="1:4" ht="12.75" customHeight="1" x14ac:dyDescent="0.2">
      <c r="A17793" s="21"/>
      <c r="B17793" s="3" t="s">
        <v>17</v>
      </c>
      <c r="C17793" s="23" t="s">
        <v>19</v>
      </c>
      <c r="D17793" s="21"/>
    </row>
    <row r="17794" spans="1:4" ht="12.75" customHeight="1" x14ac:dyDescent="0.2">
      <c r="A17794" s="21"/>
      <c r="B17794" s="20" t="s">
        <v>18</v>
      </c>
      <c r="C17794" s="8" t="s">
        <v>44</v>
      </c>
      <c r="D17794" s="1" t="str">
        <f>HYPERLINK("javascript:void(0)","piros cipő")</f>
        <v>piros cipő</v>
      </c>
    </row>
    <row r="17795" spans="1:4" ht="12.75" customHeight="1" x14ac:dyDescent="0.2">
      <c r="A17795" s="21"/>
      <c r="B17795" s="21"/>
      <c r="C17795" s="8" t="s">
        <v>232</v>
      </c>
      <c r="D17795" s="1" t="str">
        <f>HYPERLINK("javascript:void(0)","jégige")</f>
        <v>jégige</v>
      </c>
    </row>
    <row r="17796" spans="1:4" ht="12.75" customHeight="1" x14ac:dyDescent="0.2">
      <c r="A17796" s="21"/>
      <c r="B17796" s="21"/>
      <c r="C17796" s="8" t="s">
        <v>67</v>
      </c>
      <c r="D17796" s="1" t="str">
        <f>HYPERLINK("javascript:void(0)","kocka")</f>
        <v>kocka</v>
      </c>
    </row>
    <row r="17797" spans="1:4" ht="12.75" customHeight="1" x14ac:dyDescent="0.2">
      <c r="A17797" s="21"/>
      <c r="B17797" s="2"/>
      <c r="C17797" s="7"/>
      <c r="D17797" s="7"/>
    </row>
    <row r="17798" spans="1:4" ht="12.75" customHeight="1" x14ac:dyDescent="0.2">
      <c r="A17798" s="21"/>
      <c r="B17798" s="2"/>
      <c r="C17798" s="7"/>
      <c r="D17798" s="7"/>
    </row>
    <row r="17799" spans="1:4" ht="12.75" customHeight="1" x14ac:dyDescent="0.2">
      <c r="A17799" s="21"/>
      <c r="B17799" s="2"/>
      <c r="C17799" s="7"/>
      <c r="D17799" s="7"/>
    </row>
    <row r="17800" spans="1:4" ht="12.75" customHeight="1" x14ac:dyDescent="0.2">
      <c r="A17800" s="21"/>
      <c r="B17800" s="2"/>
      <c r="C17800" s="7"/>
      <c r="D17800" s="7"/>
    </row>
    <row r="17801" spans="1:4" ht="12.75" customHeight="1" x14ac:dyDescent="0.2">
      <c r="A17801" s="5"/>
      <c r="B17801" s="2"/>
      <c r="C17801" s="7"/>
      <c r="D17801" s="7"/>
    </row>
    <row r="17802" spans="1:4" ht="12.75" customHeight="1" x14ac:dyDescent="0.2">
      <c r="A17802" s="22" t="str">
        <f>HYPERLINK("javascript:void(0)","jégacél pajzs")</f>
        <v>jégacél pajzs</v>
      </c>
      <c r="B17802" s="21"/>
      <c r="C17802" s="21"/>
      <c r="D17802" s="21"/>
    </row>
    <row r="17803" spans="1:4" ht="12.75" customHeight="1" x14ac:dyDescent="0.2">
      <c r="A17803" s="20"/>
      <c r="B17803" s="2"/>
      <c r="C17803" s="7"/>
      <c r="D17803" s="7"/>
    </row>
    <row r="17804" spans="1:4" ht="12.75" customHeight="1" x14ac:dyDescent="0.2">
      <c r="A17804" s="21"/>
      <c r="B17804" s="3" t="s">
        <v>0</v>
      </c>
      <c r="C17804" s="23" t="s">
        <v>1359</v>
      </c>
      <c r="D17804" s="21"/>
    </row>
    <row r="17805" spans="1:4" ht="12.75" customHeight="1" x14ac:dyDescent="0.2">
      <c r="A17805" s="21"/>
      <c r="B17805" s="3" t="s">
        <v>2</v>
      </c>
      <c r="C17805" s="23" t="s">
        <v>1839</v>
      </c>
      <c r="D17805" s="21"/>
    </row>
    <row r="17806" spans="1:4" ht="12.75" customHeight="1" x14ac:dyDescent="0.2">
      <c r="A17806" s="21"/>
      <c r="B17806" s="3" t="s">
        <v>1840</v>
      </c>
      <c r="C17806" s="23" t="s">
        <v>2933</v>
      </c>
      <c r="D17806" s="21"/>
    </row>
    <row r="17807" spans="1:4" ht="12.75" customHeight="1" x14ac:dyDescent="0.2">
      <c r="A17807" s="21"/>
      <c r="B17807" s="3" t="s">
        <v>9</v>
      </c>
      <c r="C17807" s="23" t="s">
        <v>377</v>
      </c>
      <c r="D17807" s="21"/>
    </row>
    <row r="17808" spans="1:4" ht="12.75" customHeight="1" x14ac:dyDescent="0.2">
      <c r="A17808" s="21"/>
      <c r="B17808" s="3" t="s">
        <v>11</v>
      </c>
      <c r="C17808" s="23" t="s">
        <v>1203</v>
      </c>
      <c r="D17808" s="21"/>
    </row>
    <row r="17809" spans="1:4" ht="12.75" customHeight="1" x14ac:dyDescent="0.2">
      <c r="A17809" s="21"/>
      <c r="B17809" s="3" t="s">
        <v>16</v>
      </c>
      <c r="C17809" s="23"/>
      <c r="D17809" s="21"/>
    </row>
    <row r="17810" spans="1:4" ht="12.75" customHeight="1" x14ac:dyDescent="0.2">
      <c r="A17810" s="21"/>
      <c r="B17810" s="3" t="s">
        <v>17</v>
      </c>
      <c r="C17810" s="23" t="s">
        <v>19</v>
      </c>
      <c r="D17810" s="21"/>
    </row>
    <row r="17811" spans="1:4" ht="12.75" customHeight="1" x14ac:dyDescent="0.2">
      <c r="A17811" s="21"/>
      <c r="B17811" s="20" t="s">
        <v>18</v>
      </c>
      <c r="C17811" s="8" t="s">
        <v>44</v>
      </c>
      <c r="D17811" s="1" t="str">
        <f>HYPERLINK("javascript:void(0)","véracél pajzs")</f>
        <v>véracél pajzs</v>
      </c>
    </row>
    <row r="17812" spans="1:4" ht="12.75" customHeight="1" x14ac:dyDescent="0.2">
      <c r="A17812" s="21"/>
      <c r="B17812" s="21"/>
      <c r="C17812" s="8" t="s">
        <v>142</v>
      </c>
      <c r="D17812" s="1" t="str">
        <f>HYPERLINK("javascript:void(0)","jégige")</f>
        <v>jégige</v>
      </c>
    </row>
    <row r="17813" spans="1:4" ht="12.75" customHeight="1" x14ac:dyDescent="0.2">
      <c r="A17813" s="21"/>
      <c r="B17813" s="21"/>
      <c r="C17813" s="8" t="s">
        <v>163</v>
      </c>
      <c r="D17813" s="1" t="str">
        <f>HYPERLINK("javascript:void(0)","árnyékláb")</f>
        <v>árnyékláb</v>
      </c>
    </row>
    <row r="17814" spans="1:4" ht="12.75" customHeight="1" x14ac:dyDescent="0.2">
      <c r="A17814" s="21"/>
      <c r="B17814" s="2"/>
      <c r="C17814" s="7"/>
      <c r="D17814" s="7"/>
    </row>
    <row r="17815" spans="1:4" ht="12.75" customHeight="1" x14ac:dyDescent="0.2">
      <c r="A17815" s="21"/>
      <c r="B17815" s="2"/>
      <c r="C17815" s="7"/>
      <c r="D17815" s="7"/>
    </row>
    <row r="17816" spans="1:4" ht="12.75" customHeight="1" x14ac:dyDescent="0.2">
      <c r="A17816" s="21"/>
      <c r="B17816" s="2"/>
      <c r="C17816" s="7"/>
      <c r="D17816" s="7"/>
    </row>
    <row r="17817" spans="1:4" ht="12.75" customHeight="1" x14ac:dyDescent="0.2">
      <c r="A17817" s="21"/>
      <c r="B17817" s="2"/>
      <c r="C17817" s="7"/>
      <c r="D17817" s="7"/>
    </row>
    <row r="17818" spans="1:4" ht="12.75" customHeight="1" x14ac:dyDescent="0.2">
      <c r="A17818" s="5"/>
      <c r="B17818" s="2"/>
      <c r="C17818" s="7"/>
      <c r="D17818" s="7"/>
    </row>
    <row r="17819" spans="1:4" ht="12.75" customHeight="1" x14ac:dyDescent="0.2">
      <c r="A17819" s="22" t="str">
        <f>HYPERLINK("javascript:void(0)","jáspis pihepajzs")</f>
        <v>jáspis pihepajzs</v>
      </c>
      <c r="B17819" s="21"/>
      <c r="C17819" s="21"/>
      <c r="D17819" s="21"/>
    </row>
    <row r="17820" spans="1:4" ht="12.75" customHeight="1" x14ac:dyDescent="0.2">
      <c r="A17820" s="20"/>
      <c r="B17820" s="2"/>
      <c r="C17820" s="7"/>
      <c r="D17820" s="7"/>
    </row>
    <row r="17821" spans="1:4" ht="12.75" customHeight="1" x14ac:dyDescent="0.2">
      <c r="A17821" s="21"/>
      <c r="B17821" s="3" t="s">
        <v>0</v>
      </c>
      <c r="C17821" s="23" t="s">
        <v>1359</v>
      </c>
      <c r="D17821" s="21"/>
    </row>
    <row r="17822" spans="1:4" ht="12.75" customHeight="1" x14ac:dyDescent="0.2">
      <c r="A17822" s="21"/>
      <c r="B17822" s="3" t="s">
        <v>2</v>
      </c>
      <c r="C17822" s="23" t="s">
        <v>1839</v>
      </c>
      <c r="D17822" s="21"/>
    </row>
    <row r="17823" spans="1:4" ht="12.75" customHeight="1" x14ac:dyDescent="0.2">
      <c r="A17823" s="21"/>
      <c r="B17823" s="3" t="s">
        <v>1840</v>
      </c>
      <c r="C17823" s="23" t="s">
        <v>2933</v>
      </c>
      <c r="D17823" s="21"/>
    </row>
    <row r="17824" spans="1:4" ht="12.75" customHeight="1" x14ac:dyDescent="0.2">
      <c r="A17824" s="21"/>
      <c r="B17824" s="3" t="s">
        <v>9</v>
      </c>
      <c r="C17824" s="23" t="s">
        <v>79</v>
      </c>
      <c r="D17824" s="21"/>
    </row>
    <row r="17825" spans="1:4" ht="12.75" customHeight="1" x14ac:dyDescent="0.2">
      <c r="A17825" s="21"/>
      <c r="B17825" s="3" t="s">
        <v>11</v>
      </c>
      <c r="C17825" s="23" t="s">
        <v>1269</v>
      </c>
      <c r="D17825" s="21"/>
    </row>
    <row r="17826" spans="1:4" ht="12.75" customHeight="1" x14ac:dyDescent="0.2">
      <c r="A17826" s="21"/>
      <c r="B17826" s="3" t="s">
        <v>16</v>
      </c>
      <c r="C17826" s="23"/>
      <c r="D17826" s="21"/>
    </row>
    <row r="17827" spans="1:4" ht="12.75" customHeight="1" x14ac:dyDescent="0.2">
      <c r="A17827" s="21"/>
      <c r="B17827" s="3" t="s">
        <v>17</v>
      </c>
      <c r="C17827" s="23" t="s">
        <v>19</v>
      </c>
      <c r="D17827" s="21"/>
    </row>
    <row r="17828" spans="1:4" ht="12.75" customHeight="1" x14ac:dyDescent="0.2">
      <c r="A17828" s="21"/>
      <c r="B17828" s="20" t="s">
        <v>18</v>
      </c>
      <c r="C17828" s="8" t="s">
        <v>44</v>
      </c>
      <c r="D17828" s="1" t="str">
        <f>HYPERLINK("javascript:void(0)","jégacél pajzs")</f>
        <v>jégacél pajzs</v>
      </c>
    </row>
    <row r="17829" spans="1:4" ht="12.75" customHeight="1" x14ac:dyDescent="0.2">
      <c r="A17829" s="21"/>
      <c r="B17829" s="21"/>
      <c r="C17829" s="8" t="s">
        <v>68</v>
      </c>
      <c r="D17829" s="1" t="str">
        <f>HYPERLINK("javascript:void(0)","körhallgató")</f>
        <v>körhallgató</v>
      </c>
    </row>
    <row r="17830" spans="1:4" ht="12.75" customHeight="1" x14ac:dyDescent="0.2">
      <c r="A17830" s="21"/>
      <c r="B17830" s="21"/>
      <c r="C17830" s="8" t="s">
        <v>232</v>
      </c>
      <c r="D17830" s="1" t="str">
        <f>HYPERLINK("javascript:void(0)","tábla")</f>
        <v>tábla</v>
      </c>
    </row>
    <row r="17831" spans="1:4" ht="12.75" customHeight="1" x14ac:dyDescent="0.2">
      <c r="A17831" s="21"/>
      <c r="B17831" s="2"/>
      <c r="C17831" s="7"/>
      <c r="D17831" s="7"/>
    </row>
    <row r="17832" spans="1:4" ht="12.75" customHeight="1" x14ac:dyDescent="0.2">
      <c r="A17832" s="21"/>
      <c r="B17832" s="2"/>
      <c r="C17832" s="7"/>
      <c r="D17832" s="7"/>
    </row>
    <row r="17833" spans="1:4" ht="12.75" customHeight="1" x14ac:dyDescent="0.2">
      <c r="A17833" s="21"/>
      <c r="B17833" s="2"/>
      <c r="C17833" s="7"/>
      <c r="D17833" s="7"/>
    </row>
    <row r="17834" spans="1:4" ht="12.75" customHeight="1" x14ac:dyDescent="0.2">
      <c r="A17834" s="21"/>
      <c r="B17834" s="2"/>
      <c r="C17834" s="7"/>
      <c r="D17834" s="7"/>
    </row>
    <row r="17835" spans="1:4" ht="12.75" customHeight="1" x14ac:dyDescent="0.2">
      <c r="A17835" s="5"/>
      <c r="B17835" s="2"/>
      <c r="C17835" s="7"/>
      <c r="D17835" s="7"/>
    </row>
    <row r="17836" spans="1:4" ht="12.75" customHeight="1" x14ac:dyDescent="0.2">
      <c r="A17836" s="22" t="str">
        <f>HYPERLINK("javascript:void(0)","zsíros kalap")</f>
        <v>zsíros kalap</v>
      </c>
      <c r="B17836" s="21"/>
      <c r="C17836" s="21"/>
      <c r="D17836" s="21"/>
    </row>
    <row r="17837" spans="1:4" ht="12.75" customHeight="1" x14ac:dyDescent="0.2">
      <c r="A17837" s="20"/>
      <c r="B17837" s="2"/>
      <c r="C17837" s="7"/>
      <c r="D17837" s="7"/>
    </row>
    <row r="17838" spans="1:4" ht="12.75" customHeight="1" x14ac:dyDescent="0.2">
      <c r="A17838" s="21"/>
      <c r="B17838" s="3" t="s">
        <v>0</v>
      </c>
      <c r="C17838" s="23" t="s">
        <v>1362</v>
      </c>
      <c r="D17838" s="21"/>
    </row>
    <row r="17839" spans="1:4" ht="12.75" customHeight="1" x14ac:dyDescent="0.2">
      <c r="A17839" s="21"/>
      <c r="B17839" s="3" t="s">
        <v>2</v>
      </c>
      <c r="C17839" s="23"/>
      <c r="D17839" s="21"/>
    </row>
    <row r="17840" spans="1:4" ht="12.75" customHeight="1" x14ac:dyDescent="0.2">
      <c r="A17840" s="21"/>
      <c r="B17840" s="3" t="s">
        <v>1840</v>
      </c>
      <c r="C17840" s="23" t="s">
        <v>4167</v>
      </c>
      <c r="D17840" s="21"/>
    </row>
    <row r="17841" spans="1:4" ht="12.75" customHeight="1" x14ac:dyDescent="0.2">
      <c r="A17841" s="21"/>
      <c r="B17841" s="3" t="s">
        <v>9</v>
      </c>
      <c r="C17841" s="23" t="s">
        <v>2196</v>
      </c>
      <c r="D17841" s="21"/>
    </row>
    <row r="17842" spans="1:4" ht="12.75" customHeight="1" x14ac:dyDescent="0.2">
      <c r="A17842" s="21"/>
      <c r="B17842" s="3" t="s">
        <v>11</v>
      </c>
      <c r="C17842" s="23" t="s">
        <v>1203</v>
      </c>
      <c r="D17842" s="21"/>
    </row>
    <row r="17843" spans="1:4" ht="12.75" customHeight="1" x14ac:dyDescent="0.2">
      <c r="A17843" s="21"/>
      <c r="B17843" s="3" t="s">
        <v>16</v>
      </c>
      <c r="C17843" s="23"/>
      <c r="D17843" s="21"/>
    </row>
    <row r="17844" spans="1:4" ht="12.75" customHeight="1" x14ac:dyDescent="0.2">
      <c r="A17844" s="21"/>
      <c r="B17844" s="3" t="s">
        <v>17</v>
      </c>
      <c r="C17844" s="23" t="s">
        <v>19</v>
      </c>
      <c r="D17844" s="21"/>
    </row>
    <row r="17845" spans="1:4" ht="12.75" customHeight="1" x14ac:dyDescent="0.2">
      <c r="A17845" s="21"/>
      <c r="B17845" s="20" t="s">
        <v>18</v>
      </c>
      <c r="C17845" s="8" t="s">
        <v>44</v>
      </c>
      <c r="D17845" s="1" t="str">
        <f>HYPERLINK("javascript:void(0)","zombiprotkó")</f>
        <v>zombiprotkó</v>
      </c>
    </row>
    <row r="17846" spans="1:4" ht="12.75" customHeight="1" x14ac:dyDescent="0.2">
      <c r="A17846" s="21"/>
      <c r="B17846" s="21"/>
      <c r="C17846" s="8" t="s">
        <v>44</v>
      </c>
      <c r="D17846" s="1" t="str">
        <f>HYPERLINK("javascript:void(0)","körfejvédő")</f>
        <v>körfejvédő</v>
      </c>
    </row>
    <row r="17847" spans="1:4" ht="12.75" customHeight="1" x14ac:dyDescent="0.2">
      <c r="A17847" s="21"/>
      <c r="B17847" s="21"/>
      <c r="C17847" s="8" t="s">
        <v>55</v>
      </c>
      <c r="D17847" s="1" t="str">
        <f>HYPERLINK("javascript:void(0)","védjegy")</f>
        <v>védjegy</v>
      </c>
    </row>
    <row r="17848" spans="1:4" ht="12.75" customHeight="1" x14ac:dyDescent="0.2">
      <c r="A17848" s="21"/>
      <c r="B17848" s="2"/>
      <c r="C17848" s="7"/>
      <c r="D17848" s="7"/>
    </row>
    <row r="17849" spans="1:4" ht="12.75" customHeight="1" x14ac:dyDescent="0.2">
      <c r="A17849" s="21"/>
      <c r="B17849" s="2"/>
      <c r="C17849" s="7"/>
      <c r="D17849" s="7"/>
    </row>
    <row r="17850" spans="1:4" ht="12.75" customHeight="1" x14ac:dyDescent="0.2">
      <c r="A17850" s="21"/>
      <c r="B17850" s="2"/>
      <c r="C17850" s="7"/>
      <c r="D17850" s="7"/>
    </row>
    <row r="17851" spans="1:4" ht="12.75" customHeight="1" x14ac:dyDescent="0.2">
      <c r="A17851" s="21"/>
      <c r="B17851" s="2"/>
      <c r="C17851" s="7"/>
      <c r="D17851" s="7"/>
    </row>
    <row r="17852" spans="1:4" ht="12.75" customHeight="1" x14ac:dyDescent="0.2">
      <c r="A17852" s="5"/>
      <c r="B17852" s="2"/>
      <c r="C17852" s="7"/>
      <c r="D17852" s="7"/>
    </row>
    <row r="17853" spans="1:4" ht="12.75" customHeight="1" x14ac:dyDescent="0.2">
      <c r="A17853" s="22" t="str">
        <f>HYPERLINK("javascript:void(0)","védett mellvéd")</f>
        <v>védett mellvéd</v>
      </c>
      <c r="B17853" s="21"/>
      <c r="C17853" s="21"/>
      <c r="D17853" s="21"/>
    </row>
    <row r="17854" spans="1:4" ht="12.75" customHeight="1" x14ac:dyDescent="0.2">
      <c r="A17854" s="20"/>
      <c r="B17854" s="2"/>
      <c r="C17854" s="7"/>
      <c r="D17854" s="7"/>
    </row>
    <row r="17855" spans="1:4" ht="12.75" customHeight="1" x14ac:dyDescent="0.2">
      <c r="A17855" s="21"/>
      <c r="B17855" s="3" t="s">
        <v>0</v>
      </c>
      <c r="C17855" s="23" t="s">
        <v>1362</v>
      </c>
      <c r="D17855" s="21"/>
    </row>
    <row r="17856" spans="1:4" ht="12.75" customHeight="1" x14ac:dyDescent="0.2">
      <c r="A17856" s="21"/>
      <c r="B17856" s="3" t="s">
        <v>2</v>
      </c>
      <c r="C17856" s="23" t="s">
        <v>2322</v>
      </c>
      <c r="D17856" s="21"/>
    </row>
    <row r="17857" spans="1:4" ht="12.75" customHeight="1" x14ac:dyDescent="0.2">
      <c r="A17857" s="21"/>
      <c r="B17857" s="3" t="s">
        <v>1840</v>
      </c>
      <c r="C17857" s="23" t="s">
        <v>2577</v>
      </c>
      <c r="D17857" s="21"/>
    </row>
    <row r="17858" spans="1:4" ht="12.75" customHeight="1" x14ac:dyDescent="0.2">
      <c r="A17858" s="21"/>
      <c r="B17858" s="3" t="s">
        <v>9</v>
      </c>
      <c r="C17858" s="23" t="s">
        <v>2490</v>
      </c>
      <c r="D17858" s="21"/>
    </row>
    <row r="17859" spans="1:4" ht="12.75" customHeight="1" x14ac:dyDescent="0.2">
      <c r="A17859" s="21"/>
      <c r="B17859" s="3" t="s">
        <v>11</v>
      </c>
      <c r="C17859" s="23" t="s">
        <v>1248</v>
      </c>
      <c r="D17859" s="21"/>
    </row>
    <row r="17860" spans="1:4" ht="12.75" customHeight="1" x14ac:dyDescent="0.2">
      <c r="A17860" s="21"/>
      <c r="B17860" s="3" t="s">
        <v>16</v>
      </c>
      <c r="C17860" s="23"/>
      <c r="D17860" s="21"/>
    </row>
    <row r="17861" spans="1:4" ht="12.75" customHeight="1" x14ac:dyDescent="0.2">
      <c r="A17861" s="21"/>
      <c r="B17861" s="3" t="s">
        <v>17</v>
      </c>
      <c r="C17861" s="23" t="s">
        <v>19</v>
      </c>
      <c r="D17861" s="21"/>
    </row>
    <row r="17862" spans="1:4" ht="12.75" customHeight="1" x14ac:dyDescent="0.2">
      <c r="A17862" s="21"/>
      <c r="B17862" s="20" t="s">
        <v>18</v>
      </c>
      <c r="C17862" s="8" t="s">
        <v>44</v>
      </c>
      <c r="D17862" s="1" t="str">
        <f>HYPERLINK("javascript:void(0)","felhősuba")</f>
        <v>felhősuba</v>
      </c>
    </row>
    <row r="17863" spans="1:4" ht="12.75" customHeight="1" x14ac:dyDescent="0.2">
      <c r="A17863" s="21"/>
      <c r="B17863" s="21"/>
      <c r="C17863" s="8" t="s">
        <v>232</v>
      </c>
      <c r="D17863" s="1" t="str">
        <f>HYPERLINK("javascript:void(0)","védjegy")</f>
        <v>védjegy</v>
      </c>
    </row>
    <row r="17864" spans="1:4" ht="12.75" customHeight="1" x14ac:dyDescent="0.2">
      <c r="A17864" s="21"/>
      <c r="B17864" s="21"/>
      <c r="C17864" s="8" t="s">
        <v>382</v>
      </c>
      <c r="D17864" s="1" t="str">
        <f>HYPERLINK("javascript:void(0)","jégige")</f>
        <v>jégige</v>
      </c>
    </row>
    <row r="17865" spans="1:4" ht="12.75" customHeight="1" x14ac:dyDescent="0.2">
      <c r="A17865" s="21"/>
      <c r="B17865" s="2"/>
      <c r="C17865" s="7"/>
      <c r="D17865" s="7"/>
    </row>
    <row r="17866" spans="1:4" ht="12.75" customHeight="1" x14ac:dyDescent="0.2">
      <c r="A17866" s="21"/>
      <c r="B17866" s="2"/>
      <c r="C17866" s="7"/>
      <c r="D17866" s="7"/>
    </row>
    <row r="17867" spans="1:4" ht="12.75" customHeight="1" x14ac:dyDescent="0.2">
      <c r="A17867" s="21"/>
      <c r="B17867" s="2"/>
      <c r="C17867" s="7"/>
      <c r="D17867" s="7"/>
    </row>
    <row r="17868" spans="1:4" ht="12.75" customHeight="1" x14ac:dyDescent="0.2">
      <c r="A17868" s="21"/>
      <c r="B17868" s="2"/>
      <c r="C17868" s="7"/>
      <c r="D17868" s="7"/>
    </row>
    <row r="17869" spans="1:4" ht="12.75" customHeight="1" x14ac:dyDescent="0.2">
      <c r="A17869" s="5"/>
      <c r="B17869" s="2"/>
      <c r="C17869" s="7"/>
      <c r="D17869" s="7"/>
    </row>
    <row r="17870" spans="1:4" ht="12.75" customHeight="1" x14ac:dyDescent="0.2">
      <c r="A17870" s="22" t="str">
        <f>HYPERLINK("javascript:void(0)","jégacél korcsolya")</f>
        <v>jégacél korcsolya</v>
      </c>
      <c r="B17870" s="21"/>
      <c r="C17870" s="21"/>
      <c r="D17870" s="21"/>
    </row>
    <row r="17871" spans="1:4" ht="12.75" customHeight="1" x14ac:dyDescent="0.2">
      <c r="A17871" s="20"/>
      <c r="B17871" s="2"/>
      <c r="C17871" s="7"/>
      <c r="D17871" s="7"/>
    </row>
    <row r="17872" spans="1:4" ht="12.75" customHeight="1" x14ac:dyDescent="0.2">
      <c r="A17872" s="21"/>
      <c r="B17872" s="3" t="s">
        <v>0</v>
      </c>
      <c r="C17872" s="23" t="s">
        <v>1362</v>
      </c>
      <c r="D17872" s="21"/>
    </row>
    <row r="17873" spans="1:4" ht="12.75" customHeight="1" x14ac:dyDescent="0.2">
      <c r="A17873" s="21"/>
      <c r="B17873" s="3" t="s">
        <v>2</v>
      </c>
      <c r="C17873" s="23"/>
      <c r="D17873" s="21"/>
    </row>
    <row r="17874" spans="1:4" ht="12.75" customHeight="1" x14ac:dyDescent="0.2">
      <c r="A17874" s="21"/>
      <c r="B17874" s="3" t="s">
        <v>1840</v>
      </c>
      <c r="C17874" s="23" t="s">
        <v>4132</v>
      </c>
      <c r="D17874" s="21"/>
    </row>
    <row r="17875" spans="1:4" ht="12.75" customHeight="1" x14ac:dyDescent="0.2">
      <c r="A17875" s="21"/>
      <c r="B17875" s="3" t="s">
        <v>9</v>
      </c>
      <c r="C17875" s="23" t="s">
        <v>2579</v>
      </c>
      <c r="D17875" s="21"/>
    </row>
    <row r="17876" spans="1:4" ht="12.75" customHeight="1" x14ac:dyDescent="0.2">
      <c r="A17876" s="21"/>
      <c r="B17876" s="3" t="s">
        <v>11</v>
      </c>
      <c r="C17876" s="23" t="s">
        <v>1203</v>
      </c>
      <c r="D17876" s="21"/>
    </row>
    <row r="17877" spans="1:4" ht="12.75" customHeight="1" x14ac:dyDescent="0.2">
      <c r="A17877" s="21"/>
      <c r="B17877" s="3" t="s">
        <v>16</v>
      </c>
      <c r="C17877" s="23"/>
      <c r="D17877" s="21"/>
    </row>
    <row r="17878" spans="1:4" ht="12.75" customHeight="1" x14ac:dyDescent="0.2">
      <c r="A17878" s="21"/>
      <c r="B17878" s="3" t="s">
        <v>17</v>
      </c>
      <c r="C17878" s="23" t="s">
        <v>19</v>
      </c>
      <c r="D17878" s="21"/>
    </row>
    <row r="17879" spans="1:4" ht="12.75" customHeight="1" x14ac:dyDescent="0.2">
      <c r="A17879" s="21"/>
      <c r="B17879" s="20" t="s">
        <v>18</v>
      </c>
      <c r="C17879" s="8" t="s">
        <v>139</v>
      </c>
      <c r="D17879" s="1" t="str">
        <f>HYPERLINK("javascript:void(0)","jégige")</f>
        <v>jégige</v>
      </c>
    </row>
    <row r="17880" spans="1:4" ht="12.75" customHeight="1" x14ac:dyDescent="0.2">
      <c r="A17880" s="21"/>
      <c r="B17880" s="21"/>
      <c r="C17880" s="8" t="s">
        <v>55</v>
      </c>
      <c r="D17880" s="1" t="str">
        <f>HYPERLINK("javascript:void(0)","olvadás")</f>
        <v>olvadás</v>
      </c>
    </row>
    <row r="17881" spans="1:4" ht="12.75" customHeight="1" x14ac:dyDescent="0.2">
      <c r="A17881" s="21"/>
      <c r="B17881" s="21"/>
      <c r="C17881" s="8" t="s">
        <v>67</v>
      </c>
      <c r="D17881" s="1" t="str">
        <f>HYPERLINK("javascript:void(0)","hiperzsír")</f>
        <v>hiperzsír</v>
      </c>
    </row>
    <row r="17882" spans="1:4" ht="12.75" customHeight="1" x14ac:dyDescent="0.2">
      <c r="A17882" s="21"/>
      <c r="B17882" s="2"/>
      <c r="C17882" s="7"/>
      <c r="D17882" s="7"/>
    </row>
    <row r="17883" spans="1:4" ht="12.75" customHeight="1" x14ac:dyDescent="0.2">
      <c r="A17883" s="21"/>
      <c r="B17883" s="2"/>
      <c r="C17883" s="7"/>
      <c r="D17883" s="7"/>
    </row>
    <row r="17884" spans="1:4" ht="12.75" customHeight="1" x14ac:dyDescent="0.2">
      <c r="A17884" s="21"/>
      <c r="B17884" s="2"/>
      <c r="C17884" s="7"/>
      <c r="D17884" s="7"/>
    </row>
    <row r="17885" spans="1:4" ht="12.75" customHeight="1" x14ac:dyDescent="0.2">
      <c r="A17885" s="21"/>
      <c r="B17885" s="2"/>
      <c r="C17885" s="7"/>
      <c r="D17885" s="7"/>
    </row>
    <row r="17886" spans="1:4" ht="12.75" customHeight="1" x14ac:dyDescent="0.2">
      <c r="A17886" s="5"/>
      <c r="B17886" s="2"/>
      <c r="C17886" s="7"/>
      <c r="D17886" s="7"/>
    </row>
    <row r="17887" spans="1:4" ht="12.75" customHeight="1" x14ac:dyDescent="0.2">
      <c r="A17887" s="22" t="str">
        <f>HYPERLINK("javascript:void(0)","jégacél testpajzs")</f>
        <v>jégacél testpajzs</v>
      </c>
      <c r="B17887" s="21"/>
      <c r="C17887" s="21"/>
      <c r="D17887" s="21"/>
    </row>
    <row r="17888" spans="1:4" ht="12.75" customHeight="1" x14ac:dyDescent="0.2">
      <c r="A17888" s="20"/>
      <c r="B17888" s="2"/>
      <c r="C17888" s="7"/>
      <c r="D17888" s="7"/>
    </row>
    <row r="17889" spans="1:4" ht="12.75" customHeight="1" x14ac:dyDescent="0.2">
      <c r="A17889" s="21"/>
      <c r="B17889" s="3" t="s">
        <v>0</v>
      </c>
      <c r="C17889" s="23" t="s">
        <v>1362</v>
      </c>
      <c r="D17889" s="21"/>
    </row>
    <row r="17890" spans="1:4" ht="12.75" customHeight="1" x14ac:dyDescent="0.2">
      <c r="A17890" s="21"/>
      <c r="B17890" s="3" t="s">
        <v>2</v>
      </c>
      <c r="C17890" s="23" t="s">
        <v>1839</v>
      </c>
      <c r="D17890" s="21"/>
    </row>
    <row r="17891" spans="1:4" ht="12.75" customHeight="1" x14ac:dyDescent="0.2">
      <c r="A17891" s="21"/>
      <c r="B17891" s="3" t="s">
        <v>1840</v>
      </c>
      <c r="C17891" s="23" t="s">
        <v>3399</v>
      </c>
      <c r="D17891" s="21"/>
    </row>
    <row r="17892" spans="1:4" ht="12.75" customHeight="1" x14ac:dyDescent="0.2">
      <c r="A17892" s="21"/>
      <c r="B17892" s="3" t="s">
        <v>9</v>
      </c>
      <c r="C17892" s="23" t="s">
        <v>549</v>
      </c>
      <c r="D17892" s="21"/>
    </row>
    <row r="17893" spans="1:4" ht="12.75" customHeight="1" x14ac:dyDescent="0.2">
      <c r="A17893" s="21"/>
      <c r="B17893" s="3" t="s">
        <v>11</v>
      </c>
      <c r="C17893" s="23" t="s">
        <v>1235</v>
      </c>
      <c r="D17893" s="21"/>
    </row>
    <row r="17894" spans="1:4" ht="12.75" customHeight="1" x14ac:dyDescent="0.2">
      <c r="A17894" s="21"/>
      <c r="B17894" s="3" t="s">
        <v>16</v>
      </c>
      <c r="C17894" s="23"/>
      <c r="D17894" s="21"/>
    </row>
    <row r="17895" spans="1:4" ht="12.75" customHeight="1" x14ac:dyDescent="0.2">
      <c r="A17895" s="21"/>
      <c r="B17895" s="3" t="s">
        <v>17</v>
      </c>
      <c r="C17895" s="23" t="s">
        <v>19</v>
      </c>
      <c r="D17895" s="21"/>
    </row>
    <row r="17896" spans="1:4" ht="12.75" customHeight="1" x14ac:dyDescent="0.2">
      <c r="A17896" s="21"/>
      <c r="B17896" s="20" t="s">
        <v>18</v>
      </c>
      <c r="C17896" s="8" t="s">
        <v>44</v>
      </c>
      <c r="D17896" s="1" t="str">
        <f>HYPERLINK("javascript:void(0)","véracél testpajzs")</f>
        <v>véracél testpajzs</v>
      </c>
    </row>
    <row r="17897" spans="1:4" ht="12.75" customHeight="1" x14ac:dyDescent="0.2">
      <c r="A17897" s="21"/>
      <c r="B17897" s="21"/>
      <c r="C17897" s="8" t="s">
        <v>327</v>
      </c>
      <c r="D17897" s="1" t="str">
        <f>HYPERLINK("javascript:void(0)","jégige")</f>
        <v>jégige</v>
      </c>
    </row>
    <row r="17898" spans="1:4" ht="12.75" customHeight="1" x14ac:dyDescent="0.2">
      <c r="A17898" s="21"/>
      <c r="B17898" s="21"/>
      <c r="C17898" s="8" t="s">
        <v>55</v>
      </c>
      <c r="D17898" s="1" t="str">
        <f>HYPERLINK("javascript:void(0)","pásztorbot")</f>
        <v>pásztorbot</v>
      </c>
    </row>
    <row r="17899" spans="1:4" ht="12.75" customHeight="1" x14ac:dyDescent="0.2">
      <c r="A17899" s="21"/>
      <c r="B17899" s="2"/>
      <c r="C17899" s="7"/>
      <c r="D17899" s="7"/>
    </row>
    <row r="17900" spans="1:4" ht="12.75" customHeight="1" x14ac:dyDescent="0.2">
      <c r="A17900" s="21"/>
      <c r="B17900" s="2"/>
      <c r="C17900" s="7"/>
      <c r="D17900" s="7"/>
    </row>
    <row r="17901" spans="1:4" ht="12.75" customHeight="1" x14ac:dyDescent="0.2">
      <c r="A17901" s="21"/>
      <c r="B17901" s="2"/>
      <c r="C17901" s="7"/>
      <c r="D17901" s="7"/>
    </row>
    <row r="17902" spans="1:4" ht="12.75" customHeight="1" x14ac:dyDescent="0.2">
      <c r="A17902" s="21"/>
      <c r="B17902" s="2"/>
      <c r="C17902" s="7"/>
      <c r="D17902" s="7"/>
    </row>
    <row r="17903" spans="1:4" ht="12.75" customHeight="1" x14ac:dyDescent="0.2">
      <c r="A17903" s="5"/>
      <c r="B17903" s="2"/>
      <c r="C17903" s="7"/>
      <c r="D17903" s="7"/>
    </row>
    <row r="17904" spans="1:4" ht="12.75" customHeight="1" x14ac:dyDescent="0.2">
      <c r="A17904" s="22" t="str">
        <f>HYPERLINK("javascript:void(0)","smaragd pihepajzs")</f>
        <v>smaragd pihepajzs</v>
      </c>
      <c r="B17904" s="21"/>
      <c r="C17904" s="21"/>
      <c r="D17904" s="21"/>
    </row>
    <row r="17905" spans="1:4" ht="12.75" customHeight="1" x14ac:dyDescent="0.2">
      <c r="A17905" s="20"/>
      <c r="B17905" s="2"/>
      <c r="C17905" s="7"/>
      <c r="D17905" s="7"/>
    </row>
    <row r="17906" spans="1:4" ht="12.75" customHeight="1" x14ac:dyDescent="0.2">
      <c r="A17906" s="21"/>
      <c r="B17906" s="3" t="s">
        <v>0</v>
      </c>
      <c r="C17906" s="23" t="s">
        <v>1362</v>
      </c>
      <c r="D17906" s="21"/>
    </row>
    <row r="17907" spans="1:4" ht="12.75" customHeight="1" x14ac:dyDescent="0.2">
      <c r="A17907" s="21"/>
      <c r="B17907" s="3" t="s">
        <v>2</v>
      </c>
      <c r="C17907" s="23" t="s">
        <v>1839</v>
      </c>
      <c r="D17907" s="21"/>
    </row>
    <row r="17908" spans="1:4" ht="12.75" customHeight="1" x14ac:dyDescent="0.2">
      <c r="A17908" s="21"/>
      <c r="B17908" s="3" t="s">
        <v>1840</v>
      </c>
      <c r="C17908" s="23" t="s">
        <v>3399</v>
      </c>
      <c r="D17908" s="21"/>
    </row>
    <row r="17909" spans="1:4" ht="12.75" customHeight="1" x14ac:dyDescent="0.2">
      <c r="A17909" s="21"/>
      <c r="B17909" s="3" t="s">
        <v>9</v>
      </c>
      <c r="C17909" s="23" t="s">
        <v>30</v>
      </c>
      <c r="D17909" s="21"/>
    </row>
    <row r="17910" spans="1:4" ht="12.75" customHeight="1" x14ac:dyDescent="0.2">
      <c r="A17910" s="21"/>
      <c r="B17910" s="3" t="s">
        <v>11</v>
      </c>
      <c r="C17910" s="23" t="s">
        <v>1283</v>
      </c>
      <c r="D17910" s="21"/>
    </row>
    <row r="17911" spans="1:4" ht="12.75" customHeight="1" x14ac:dyDescent="0.2">
      <c r="A17911" s="21"/>
      <c r="B17911" s="3" t="s">
        <v>16</v>
      </c>
      <c r="C17911" s="23"/>
      <c r="D17911" s="21"/>
    </row>
    <row r="17912" spans="1:4" ht="12.75" customHeight="1" x14ac:dyDescent="0.2">
      <c r="A17912" s="21"/>
      <c r="B17912" s="3" t="s">
        <v>17</v>
      </c>
      <c r="C17912" s="23" t="s">
        <v>19</v>
      </c>
      <c r="D17912" s="21"/>
    </row>
    <row r="17913" spans="1:4" ht="12.75" customHeight="1" x14ac:dyDescent="0.2">
      <c r="A17913" s="21"/>
      <c r="B17913" s="20" t="s">
        <v>18</v>
      </c>
      <c r="C17913" s="8" t="s">
        <v>44</v>
      </c>
      <c r="D17913" s="1" t="str">
        <f>HYPERLINK("javascript:void(0)","jégacél testpajzs")</f>
        <v>jégacél testpajzs</v>
      </c>
    </row>
    <row r="17914" spans="1:4" ht="12.75" customHeight="1" x14ac:dyDescent="0.2">
      <c r="A17914" s="21"/>
      <c r="B17914" s="21"/>
      <c r="C17914" s="8" t="s">
        <v>55</v>
      </c>
      <c r="D17914" s="1" t="str">
        <f>HYPERLINK("javascript:void(0)","védjegy")</f>
        <v>védjegy</v>
      </c>
    </row>
    <row r="17915" spans="1:4" ht="12.75" customHeight="1" x14ac:dyDescent="0.2">
      <c r="A17915" s="21"/>
      <c r="B17915" s="21"/>
      <c r="C17915" s="8" t="s">
        <v>68</v>
      </c>
      <c r="D17915" s="1" t="str">
        <f>HYPERLINK("javascript:void(0)","sarok")</f>
        <v>sarok</v>
      </c>
    </row>
    <row r="17916" spans="1:4" ht="12.75" customHeight="1" x14ac:dyDescent="0.2">
      <c r="A17916" s="21"/>
      <c r="B17916" s="2"/>
      <c r="C17916" s="7"/>
      <c r="D17916" s="7"/>
    </row>
    <row r="17917" spans="1:4" ht="12.75" customHeight="1" x14ac:dyDescent="0.2">
      <c r="A17917" s="21"/>
      <c r="B17917" s="2"/>
      <c r="C17917" s="7"/>
      <c r="D17917" s="7"/>
    </row>
    <row r="17918" spans="1:4" ht="12.75" customHeight="1" x14ac:dyDescent="0.2">
      <c r="A17918" s="21"/>
      <c r="B17918" s="2"/>
      <c r="C17918" s="7"/>
      <c r="D17918" s="7"/>
    </row>
    <row r="17919" spans="1:4" ht="12.75" customHeight="1" x14ac:dyDescent="0.2">
      <c r="A17919" s="21"/>
      <c r="B17919" s="2"/>
      <c r="C17919" s="7"/>
      <c r="D17919" s="7"/>
    </row>
    <row r="17920" spans="1:4" ht="12.75" customHeight="1" x14ac:dyDescent="0.2">
      <c r="A17920" s="5"/>
      <c r="B17920" s="2"/>
      <c r="C17920" s="7"/>
      <c r="D17920" s="7"/>
    </row>
    <row r="17921" spans="1:4" ht="12.75" customHeight="1" x14ac:dyDescent="0.2">
      <c r="A17921" s="22" t="str">
        <f>HYPERLINK("javascript:void(0)","nikacél antigrav csizma")</f>
        <v>nikacél antigrav csizma</v>
      </c>
      <c r="B17921" s="21"/>
      <c r="C17921" s="21"/>
      <c r="D17921" s="21"/>
    </row>
    <row r="17922" spans="1:4" ht="12.75" customHeight="1" x14ac:dyDescent="0.2">
      <c r="A17922" s="20"/>
      <c r="B17922" s="2"/>
      <c r="C17922" s="7"/>
      <c r="D17922" s="7"/>
    </row>
    <row r="17923" spans="1:4" ht="12.75" customHeight="1" x14ac:dyDescent="0.2">
      <c r="A17923" s="21"/>
      <c r="B17923" s="3" t="s">
        <v>0</v>
      </c>
      <c r="C17923" s="23" t="s">
        <v>1362</v>
      </c>
      <c r="D17923" s="21"/>
    </row>
    <row r="17924" spans="1:4" ht="12.75" customHeight="1" x14ac:dyDescent="0.2">
      <c r="A17924" s="21"/>
      <c r="B17924" s="3" t="s">
        <v>2</v>
      </c>
      <c r="C17924" s="23"/>
      <c r="D17924" s="21"/>
    </row>
    <row r="17925" spans="1:4" ht="12.75" customHeight="1" x14ac:dyDescent="0.2">
      <c r="A17925" s="21"/>
      <c r="B17925" s="3" t="s">
        <v>1840</v>
      </c>
      <c r="C17925" s="23" t="s">
        <v>4132</v>
      </c>
      <c r="D17925" s="21"/>
    </row>
    <row r="17926" spans="1:4" ht="12.75" customHeight="1" x14ac:dyDescent="0.2">
      <c r="A17926" s="21"/>
      <c r="B17926" s="3" t="s">
        <v>9</v>
      </c>
      <c r="C17926" s="23" t="s">
        <v>626</v>
      </c>
      <c r="D17926" s="21"/>
    </row>
    <row r="17927" spans="1:4" ht="12.75" customHeight="1" x14ac:dyDescent="0.2">
      <c r="A17927" s="21"/>
      <c r="B17927" s="3" t="s">
        <v>11</v>
      </c>
      <c r="C17927" s="23" t="s">
        <v>23</v>
      </c>
      <c r="D17927" s="21"/>
    </row>
    <row r="17928" spans="1:4" ht="12.75" customHeight="1" x14ac:dyDescent="0.2">
      <c r="A17928" s="21"/>
      <c r="B17928" s="3" t="s">
        <v>16</v>
      </c>
      <c r="C17928" s="23"/>
      <c r="D17928" s="21"/>
    </row>
    <row r="17929" spans="1:4" ht="12.75" customHeight="1" x14ac:dyDescent="0.2">
      <c r="A17929" s="21"/>
      <c r="B17929" s="3" t="s">
        <v>17</v>
      </c>
      <c r="C17929" s="23" t="s">
        <v>19</v>
      </c>
      <c r="D17929" s="21"/>
    </row>
    <row r="17930" spans="1:4" ht="12.75" customHeight="1" x14ac:dyDescent="0.2">
      <c r="A17930" s="21"/>
      <c r="B17930" s="20" t="s">
        <v>18</v>
      </c>
      <c r="C17930" s="8" t="s">
        <v>44</v>
      </c>
      <c r="D17930" s="1" t="str">
        <f>HYPERLINK("javascript:void(0)","forgó antigrav csizma")</f>
        <v>forgó antigrav csizma</v>
      </c>
    </row>
    <row r="17931" spans="1:4" ht="12.75" customHeight="1" x14ac:dyDescent="0.2">
      <c r="A17931" s="21"/>
      <c r="B17931" s="21"/>
      <c r="C17931" s="8" t="s">
        <v>139</v>
      </c>
      <c r="D17931" s="1" t="str">
        <f>HYPERLINK("javascript:void(0)","védjegy")</f>
        <v>védjegy</v>
      </c>
    </row>
    <row r="17932" spans="1:4" ht="12.75" customHeight="1" x14ac:dyDescent="0.2">
      <c r="A17932" s="21"/>
      <c r="B17932" s="21"/>
      <c r="C17932" s="8" t="s">
        <v>323</v>
      </c>
      <c r="D17932" s="1" t="str">
        <f>HYPERLINK("javascript:void(0)","árnyékláb")</f>
        <v>árnyékláb</v>
      </c>
    </row>
    <row r="17933" spans="1:4" ht="12.75" customHeight="1" x14ac:dyDescent="0.2">
      <c r="A17933" s="21"/>
      <c r="B17933" s="2"/>
      <c r="C17933" s="7"/>
      <c r="D17933" s="7"/>
    </row>
    <row r="17934" spans="1:4" ht="12.75" customHeight="1" x14ac:dyDescent="0.2">
      <c r="A17934" s="21"/>
      <c r="B17934" s="2"/>
      <c r="C17934" s="7"/>
      <c r="D17934" s="7"/>
    </row>
    <row r="17935" spans="1:4" ht="12.75" customHeight="1" x14ac:dyDescent="0.2">
      <c r="A17935" s="21"/>
      <c r="B17935" s="2"/>
      <c r="C17935" s="7"/>
      <c r="D17935" s="7"/>
    </row>
    <row r="17936" spans="1:4" ht="12.75" customHeight="1" x14ac:dyDescent="0.2">
      <c r="A17936" s="21"/>
      <c r="B17936" s="2"/>
      <c r="C17936" s="7"/>
      <c r="D17936" s="7"/>
    </row>
    <row r="17937" spans="1:4" ht="12.75" customHeight="1" x14ac:dyDescent="0.2">
      <c r="A17937" s="5"/>
      <c r="B17937" s="2"/>
      <c r="C17937" s="7"/>
      <c r="D17937" s="7"/>
    </row>
    <row r="17938" spans="1:4" ht="12.75" customHeight="1" x14ac:dyDescent="0.2">
      <c r="A17938" s="22" t="str">
        <f>HYPERLINK("javascript:void(0)","rétes sisak")</f>
        <v>rétes sisak</v>
      </c>
      <c r="B17938" s="21"/>
      <c r="C17938" s="21"/>
      <c r="D17938" s="21"/>
    </row>
    <row r="17939" spans="1:4" ht="12.75" customHeight="1" x14ac:dyDescent="0.2">
      <c r="A17939" s="20"/>
      <c r="B17939" s="2"/>
      <c r="C17939" s="7"/>
      <c r="D17939" s="7"/>
    </row>
    <row r="17940" spans="1:4" ht="12.75" customHeight="1" x14ac:dyDescent="0.2">
      <c r="A17940" s="21"/>
      <c r="B17940" s="3" t="s">
        <v>0</v>
      </c>
      <c r="C17940" s="23" t="s">
        <v>256</v>
      </c>
      <c r="D17940" s="21"/>
    </row>
    <row r="17941" spans="1:4" ht="12.75" customHeight="1" x14ac:dyDescent="0.2">
      <c r="A17941" s="21"/>
      <c r="B17941" s="3" t="s">
        <v>2</v>
      </c>
      <c r="C17941" s="23"/>
      <c r="D17941" s="21"/>
    </row>
    <row r="17942" spans="1:4" ht="12.75" customHeight="1" x14ac:dyDescent="0.2">
      <c r="A17942" s="21"/>
      <c r="B17942" s="3" t="s">
        <v>1840</v>
      </c>
      <c r="C17942" s="23" t="s">
        <v>2476</v>
      </c>
      <c r="D17942" s="21"/>
    </row>
    <row r="17943" spans="1:4" ht="12.75" customHeight="1" x14ac:dyDescent="0.2">
      <c r="A17943" s="21"/>
      <c r="B17943" s="3" t="s">
        <v>9</v>
      </c>
      <c r="C17943" s="23" t="s">
        <v>2480</v>
      </c>
      <c r="D17943" s="21"/>
    </row>
    <row r="17944" spans="1:4" ht="12.75" customHeight="1" x14ac:dyDescent="0.2">
      <c r="A17944" s="21"/>
      <c r="B17944" s="3" t="s">
        <v>11</v>
      </c>
      <c r="C17944" s="23" t="s">
        <v>1235</v>
      </c>
      <c r="D17944" s="21"/>
    </row>
    <row r="17945" spans="1:4" ht="12.75" customHeight="1" x14ac:dyDescent="0.2">
      <c r="A17945" s="21"/>
      <c r="B17945" s="3" t="s">
        <v>16</v>
      </c>
      <c r="C17945" s="23"/>
      <c r="D17945" s="21"/>
    </row>
    <row r="17946" spans="1:4" ht="12.75" customHeight="1" x14ac:dyDescent="0.2">
      <c r="A17946" s="21"/>
      <c r="B17946" s="3" t="s">
        <v>17</v>
      </c>
      <c r="C17946" s="23" t="s">
        <v>19</v>
      </c>
      <c r="D17946" s="21"/>
    </row>
    <row r="17947" spans="1:4" ht="12.75" customHeight="1" x14ac:dyDescent="0.2">
      <c r="A17947" s="21"/>
      <c r="B17947" s="20" t="s">
        <v>18</v>
      </c>
      <c r="C17947" s="8" t="s">
        <v>44</v>
      </c>
      <c r="D17947" s="1" t="str">
        <f>HYPERLINK("javascript:void(0)","zsíros kalap")</f>
        <v>zsíros kalap</v>
      </c>
    </row>
    <row r="17948" spans="1:4" ht="12.75" customHeight="1" x14ac:dyDescent="0.2">
      <c r="A17948" s="21"/>
      <c r="B17948" s="21"/>
      <c r="C17948" s="8" t="s">
        <v>132</v>
      </c>
      <c r="D17948" s="1" t="str">
        <f>HYPERLINK("javascript:void(0)","nyújtózás")</f>
        <v>nyújtózás</v>
      </c>
    </row>
    <row r="17949" spans="1:4" ht="12.75" customHeight="1" x14ac:dyDescent="0.2">
      <c r="A17949" s="21"/>
      <c r="B17949" s="21"/>
      <c r="C17949" s="8" t="s">
        <v>193</v>
      </c>
      <c r="D17949" s="1" t="str">
        <f>HYPERLINK("javascript:void(0)","istenköröm")</f>
        <v>istenköröm</v>
      </c>
    </row>
    <row r="17950" spans="1:4" ht="12.75" customHeight="1" x14ac:dyDescent="0.2">
      <c r="A17950" s="21"/>
      <c r="B17950" s="2"/>
      <c r="C17950" s="7"/>
      <c r="D17950" s="7"/>
    </row>
    <row r="17951" spans="1:4" ht="12.75" customHeight="1" x14ac:dyDescent="0.2">
      <c r="A17951" s="21"/>
      <c r="B17951" s="2"/>
      <c r="C17951" s="7"/>
      <c r="D17951" s="7"/>
    </row>
    <row r="17952" spans="1:4" ht="12.75" customHeight="1" x14ac:dyDescent="0.2">
      <c r="A17952" s="21"/>
      <c r="B17952" s="2"/>
      <c r="C17952" s="7"/>
      <c r="D17952" s="7"/>
    </row>
    <row r="17953" spans="1:4" ht="12.75" customHeight="1" x14ac:dyDescent="0.2">
      <c r="A17953" s="21"/>
      <c r="B17953" s="2"/>
      <c r="C17953" s="7"/>
      <c r="D17953" s="7"/>
    </row>
    <row r="17954" spans="1:4" ht="12.75" customHeight="1" x14ac:dyDescent="0.2">
      <c r="A17954" s="5"/>
      <c r="B17954" s="2"/>
      <c r="C17954" s="7"/>
      <c r="D17954" s="7"/>
    </row>
    <row r="17955" spans="1:4" ht="12.75" customHeight="1" x14ac:dyDescent="0.2">
      <c r="A17955" s="22" t="str">
        <f>HYPERLINK("javascript:void(0)","nyálláncing")</f>
        <v>nyálláncing</v>
      </c>
      <c r="B17955" s="21"/>
      <c r="C17955" s="21"/>
      <c r="D17955" s="21"/>
    </row>
    <row r="17956" spans="1:4" ht="12.75" customHeight="1" x14ac:dyDescent="0.2">
      <c r="A17956" s="20"/>
      <c r="B17956" s="2"/>
      <c r="C17956" s="7"/>
      <c r="D17956" s="7"/>
    </row>
    <row r="17957" spans="1:4" ht="12.75" customHeight="1" x14ac:dyDescent="0.2">
      <c r="A17957" s="21"/>
      <c r="B17957" s="3" t="s">
        <v>0</v>
      </c>
      <c r="C17957" s="23" t="s">
        <v>256</v>
      </c>
      <c r="D17957" s="21"/>
    </row>
    <row r="17958" spans="1:4" ht="12.75" customHeight="1" x14ac:dyDescent="0.2">
      <c r="A17958" s="21"/>
      <c r="B17958" s="3" t="s">
        <v>2</v>
      </c>
      <c r="C17958" s="23" t="s">
        <v>2322</v>
      </c>
      <c r="D17958" s="21"/>
    </row>
    <row r="17959" spans="1:4" ht="12.75" customHeight="1" x14ac:dyDescent="0.2">
      <c r="A17959" s="21"/>
      <c r="B17959" s="3" t="s">
        <v>1840</v>
      </c>
      <c r="C17959" s="23" t="s">
        <v>2578</v>
      </c>
      <c r="D17959" s="21"/>
    </row>
    <row r="17960" spans="1:4" ht="12.75" customHeight="1" x14ac:dyDescent="0.2">
      <c r="A17960" s="21"/>
      <c r="B17960" s="3" t="s">
        <v>9</v>
      </c>
      <c r="C17960" s="23" t="s">
        <v>2579</v>
      </c>
      <c r="D17960" s="21"/>
    </row>
    <row r="17961" spans="1:4" ht="12.75" customHeight="1" x14ac:dyDescent="0.2">
      <c r="A17961" s="21"/>
      <c r="B17961" s="3" t="s">
        <v>11</v>
      </c>
      <c r="C17961" s="23" t="s">
        <v>1269</v>
      </c>
      <c r="D17961" s="21"/>
    </row>
    <row r="17962" spans="1:4" ht="12.75" customHeight="1" x14ac:dyDescent="0.2">
      <c r="A17962" s="21"/>
      <c r="B17962" s="3" t="s">
        <v>16</v>
      </c>
      <c r="C17962" s="23"/>
      <c r="D17962" s="21"/>
    </row>
    <row r="17963" spans="1:4" ht="12.75" customHeight="1" x14ac:dyDescent="0.2">
      <c r="A17963" s="21"/>
      <c r="B17963" s="3" t="s">
        <v>17</v>
      </c>
      <c r="C17963" s="23" t="s">
        <v>19</v>
      </c>
      <c r="D17963" s="21"/>
    </row>
    <row r="17964" spans="1:4" ht="12.75" customHeight="1" x14ac:dyDescent="0.2">
      <c r="A17964" s="21"/>
      <c r="B17964" s="20" t="s">
        <v>18</v>
      </c>
      <c r="C17964" s="8" t="s">
        <v>280</v>
      </c>
      <c r="D17964" s="1" t="str">
        <f>HYPERLINK("javascript:void(0)","dadacsiganyál")</f>
        <v>dadacsiganyál</v>
      </c>
    </row>
    <row r="17965" spans="1:4" ht="12.75" customHeight="1" x14ac:dyDescent="0.2">
      <c r="A17965" s="21"/>
      <c r="B17965" s="21"/>
      <c r="C17965" s="8" t="s">
        <v>142</v>
      </c>
      <c r="D17965" s="1" t="str">
        <f>HYPERLINK("javascript:void(0)","gumilepedő")</f>
        <v>gumilepedő</v>
      </c>
    </row>
    <row r="17966" spans="1:4" ht="12.75" customHeight="1" x14ac:dyDescent="0.2">
      <c r="A17966" s="21"/>
      <c r="B17966" s="21"/>
      <c r="C17966" s="8" t="s">
        <v>68</v>
      </c>
      <c r="D17966" s="1" t="str">
        <f>HYPERLINK("javascript:void(0)","fiola")</f>
        <v>fiola</v>
      </c>
    </row>
    <row r="17967" spans="1:4" ht="12.75" customHeight="1" x14ac:dyDescent="0.2">
      <c r="A17967" s="21"/>
      <c r="B17967" s="2"/>
      <c r="C17967" s="7"/>
      <c r="D17967" s="7"/>
    </row>
    <row r="17968" spans="1:4" ht="12.75" customHeight="1" x14ac:dyDescent="0.2">
      <c r="A17968" s="21"/>
      <c r="B17968" s="2"/>
      <c r="C17968" s="7"/>
      <c r="D17968" s="7"/>
    </row>
    <row r="17969" spans="1:4" ht="12.75" customHeight="1" x14ac:dyDescent="0.2">
      <c r="A17969" s="21"/>
      <c r="B17969" s="2"/>
      <c r="C17969" s="7"/>
      <c r="D17969" s="7"/>
    </row>
    <row r="17970" spans="1:4" ht="12.75" customHeight="1" x14ac:dyDescent="0.2">
      <c r="A17970" s="21"/>
      <c r="B17970" s="2"/>
      <c r="C17970" s="7"/>
      <c r="D17970" s="7"/>
    </row>
    <row r="17971" spans="1:4" ht="12.75" customHeight="1" x14ac:dyDescent="0.2">
      <c r="A17971" s="5"/>
      <c r="B17971" s="2"/>
      <c r="C17971" s="7"/>
      <c r="D17971" s="7"/>
    </row>
    <row r="17972" spans="1:4" ht="12.75" customHeight="1" x14ac:dyDescent="0.2">
      <c r="A17972" s="22" t="str">
        <f>HYPERLINK("javascript:void(0)","körömcsizma")</f>
        <v>körömcsizma</v>
      </c>
      <c r="B17972" s="21"/>
      <c r="C17972" s="21"/>
      <c r="D17972" s="21"/>
    </row>
    <row r="17973" spans="1:4" ht="12.75" customHeight="1" x14ac:dyDescent="0.2">
      <c r="A17973" s="20"/>
      <c r="B17973" s="2"/>
      <c r="C17973" s="7"/>
      <c r="D17973" s="7"/>
    </row>
    <row r="17974" spans="1:4" ht="12.75" customHeight="1" x14ac:dyDescent="0.2">
      <c r="A17974" s="21"/>
      <c r="B17974" s="3" t="s">
        <v>0</v>
      </c>
      <c r="C17974" s="23" t="s">
        <v>256</v>
      </c>
      <c r="D17974" s="21"/>
    </row>
    <row r="17975" spans="1:4" ht="12.75" customHeight="1" x14ac:dyDescent="0.2">
      <c r="A17975" s="21"/>
      <c r="B17975" s="3" t="s">
        <v>2</v>
      </c>
      <c r="C17975" s="23"/>
      <c r="D17975" s="21"/>
    </row>
    <row r="17976" spans="1:4" ht="12.75" customHeight="1" x14ac:dyDescent="0.2">
      <c r="A17976" s="21"/>
      <c r="B17976" s="3" t="s">
        <v>1840</v>
      </c>
      <c r="C17976" s="23" t="s">
        <v>6091</v>
      </c>
      <c r="D17976" s="21"/>
    </row>
    <row r="17977" spans="1:4" ht="12.75" customHeight="1" x14ac:dyDescent="0.2">
      <c r="A17977" s="21"/>
      <c r="B17977" s="3" t="s">
        <v>9</v>
      </c>
      <c r="C17977" s="23" t="s">
        <v>6197</v>
      </c>
      <c r="D17977" s="21"/>
    </row>
    <row r="17978" spans="1:4" ht="12.75" customHeight="1" x14ac:dyDescent="0.2">
      <c r="A17978" s="21"/>
      <c r="B17978" s="3" t="s">
        <v>11</v>
      </c>
      <c r="C17978" s="23" t="s">
        <v>1235</v>
      </c>
      <c r="D17978" s="21"/>
    </row>
    <row r="17979" spans="1:4" ht="12.75" customHeight="1" x14ac:dyDescent="0.2">
      <c r="A17979" s="21"/>
      <c r="B17979" s="3" t="s">
        <v>16</v>
      </c>
      <c r="C17979" s="23"/>
      <c r="D17979" s="21"/>
    </row>
    <row r="17980" spans="1:4" ht="12.75" customHeight="1" x14ac:dyDescent="0.2">
      <c r="A17980" s="21"/>
      <c r="B17980" s="3" t="s">
        <v>17</v>
      </c>
      <c r="C17980" s="23" t="s">
        <v>19</v>
      </c>
      <c r="D17980" s="21"/>
    </row>
    <row r="17981" spans="1:4" ht="12.75" customHeight="1" x14ac:dyDescent="0.2">
      <c r="A17981" s="21"/>
      <c r="B17981" s="20" t="s">
        <v>18</v>
      </c>
      <c r="C17981" s="8" t="s">
        <v>44</v>
      </c>
      <c r="D17981" s="1" t="str">
        <f>HYPERLINK("javascript:void(0)","kockamokaszin")</f>
        <v>kockamokaszin</v>
      </c>
    </row>
    <row r="17982" spans="1:4" ht="12.75" customHeight="1" x14ac:dyDescent="0.2">
      <c r="A17982" s="21"/>
      <c r="B17982" s="21"/>
      <c r="C17982" s="8" t="s">
        <v>44</v>
      </c>
      <c r="D17982" s="1" t="str">
        <f>HYPERLINK("javascript:void(0)","jégacél korcsolya")</f>
        <v>jégacél korcsolya</v>
      </c>
    </row>
    <row r="17983" spans="1:4" ht="12.75" customHeight="1" x14ac:dyDescent="0.2">
      <c r="A17983" s="21"/>
      <c r="B17983" s="21"/>
      <c r="C17983" s="8" t="s">
        <v>67</v>
      </c>
      <c r="D17983" s="1" t="str">
        <f>HYPERLINK("javascript:void(0)","gumilepedő")</f>
        <v>gumilepedő</v>
      </c>
    </row>
    <row r="17984" spans="1:4" ht="12.75" customHeight="1" x14ac:dyDescent="0.2">
      <c r="A17984" s="21"/>
      <c r="B17984" s="2"/>
      <c r="C17984" s="7"/>
      <c r="D17984" s="7"/>
    </row>
    <row r="17985" spans="1:4" ht="12.75" customHeight="1" x14ac:dyDescent="0.2">
      <c r="A17985" s="21"/>
      <c r="B17985" s="2"/>
      <c r="C17985" s="7"/>
      <c r="D17985" s="7"/>
    </row>
    <row r="17986" spans="1:4" ht="12.75" customHeight="1" x14ac:dyDescent="0.2">
      <c r="A17986" s="21"/>
      <c r="B17986" s="2"/>
      <c r="C17986" s="7"/>
      <c r="D17986" s="7"/>
    </row>
    <row r="17987" spans="1:4" ht="12.75" customHeight="1" x14ac:dyDescent="0.2">
      <c r="A17987" s="21"/>
      <c r="B17987" s="2"/>
      <c r="C17987" s="7"/>
      <c r="D17987" s="7"/>
    </row>
    <row r="17988" spans="1:4" ht="12.75" customHeight="1" x14ac:dyDescent="0.2">
      <c r="A17988" s="5"/>
      <c r="B17988" s="2"/>
      <c r="C17988" s="7"/>
      <c r="D17988" s="7"/>
    </row>
    <row r="17989" spans="1:4" ht="12.75" customHeight="1" x14ac:dyDescent="0.2">
      <c r="A17989" s="22" t="str">
        <f>HYPERLINK("javascript:void(0)","árnypajzs")</f>
        <v>árnypajzs</v>
      </c>
      <c r="B17989" s="21"/>
      <c r="C17989" s="21"/>
      <c r="D17989" s="21"/>
    </row>
    <row r="17990" spans="1:4" ht="12.75" customHeight="1" x14ac:dyDescent="0.2">
      <c r="A17990" s="20"/>
      <c r="B17990" s="2"/>
      <c r="C17990" s="7"/>
      <c r="D17990" s="7"/>
    </row>
    <row r="17991" spans="1:4" ht="12.75" customHeight="1" x14ac:dyDescent="0.2">
      <c r="A17991" s="21"/>
      <c r="B17991" s="3" t="s">
        <v>0</v>
      </c>
      <c r="C17991" s="23" t="s">
        <v>256</v>
      </c>
      <c r="D17991" s="21"/>
    </row>
    <row r="17992" spans="1:4" ht="12.75" customHeight="1" x14ac:dyDescent="0.2">
      <c r="A17992" s="21"/>
      <c r="B17992" s="3" t="s">
        <v>2</v>
      </c>
      <c r="C17992" s="23" t="s">
        <v>1839</v>
      </c>
      <c r="D17992" s="21"/>
    </row>
    <row r="17993" spans="1:4" ht="12.75" customHeight="1" x14ac:dyDescent="0.2">
      <c r="A17993" s="21"/>
      <c r="B17993" s="3" t="s">
        <v>1840</v>
      </c>
      <c r="C17993" s="23" t="s">
        <v>599</v>
      </c>
      <c r="D17993" s="21"/>
    </row>
    <row r="17994" spans="1:4" ht="12.75" customHeight="1" x14ac:dyDescent="0.2">
      <c r="A17994" s="21"/>
      <c r="B17994" s="3" t="s">
        <v>9</v>
      </c>
      <c r="C17994" s="23" t="s">
        <v>179</v>
      </c>
      <c r="D17994" s="21"/>
    </row>
    <row r="17995" spans="1:4" ht="12.75" customHeight="1" x14ac:dyDescent="0.2">
      <c r="A17995" s="21"/>
      <c r="B17995" s="3" t="s">
        <v>11</v>
      </c>
      <c r="C17995" s="23" t="s">
        <v>1248</v>
      </c>
      <c r="D17995" s="21"/>
    </row>
    <row r="17996" spans="1:4" ht="12.75" customHeight="1" x14ac:dyDescent="0.2">
      <c r="A17996" s="21"/>
      <c r="B17996" s="3" t="s">
        <v>16</v>
      </c>
      <c r="C17996" s="23"/>
      <c r="D17996" s="21"/>
    </row>
    <row r="17997" spans="1:4" ht="12.75" customHeight="1" x14ac:dyDescent="0.2">
      <c r="A17997" s="21"/>
      <c r="B17997" s="3" t="s">
        <v>17</v>
      </c>
      <c r="C17997" s="23" t="s">
        <v>19</v>
      </c>
      <c r="D17997" s="21"/>
    </row>
    <row r="17998" spans="1:4" ht="12.75" customHeight="1" x14ac:dyDescent="0.2">
      <c r="A17998" s="21"/>
      <c r="B17998" s="20" t="s">
        <v>18</v>
      </c>
      <c r="C17998" s="8" t="s">
        <v>44</v>
      </c>
      <c r="D17998" s="1" t="str">
        <f>HYPERLINK("javascript:void(0)","jégacél pajzs")</f>
        <v>jégacél pajzs</v>
      </c>
    </row>
    <row r="17999" spans="1:4" ht="12.75" customHeight="1" x14ac:dyDescent="0.2">
      <c r="A17999" s="21"/>
      <c r="B17999" s="21"/>
      <c r="C17999" s="8" t="s">
        <v>142</v>
      </c>
      <c r="D17999" s="1" t="str">
        <f>HYPERLINK("javascript:void(0)","árnyige")</f>
        <v>árnyige</v>
      </c>
    </row>
    <row r="18000" spans="1:4" ht="12.75" customHeight="1" x14ac:dyDescent="0.2">
      <c r="A18000" s="21"/>
      <c r="B18000" s="21"/>
      <c r="C18000" s="8" t="s">
        <v>68</v>
      </c>
      <c r="D18000" s="1" t="str">
        <f>HYPERLINK("javascript:void(0)","nyújtózás")</f>
        <v>nyújtózás</v>
      </c>
    </row>
    <row r="18001" spans="1:4" ht="12.75" customHeight="1" x14ac:dyDescent="0.2">
      <c r="A18001" s="21"/>
      <c r="B18001" s="2"/>
      <c r="C18001" s="7"/>
      <c r="D18001" s="7"/>
    </row>
    <row r="18002" spans="1:4" ht="12.75" customHeight="1" x14ac:dyDescent="0.2">
      <c r="A18002" s="21"/>
      <c r="B18002" s="2"/>
      <c r="C18002" s="7"/>
      <c r="D18002" s="7"/>
    </row>
    <row r="18003" spans="1:4" ht="12.75" customHeight="1" x14ac:dyDescent="0.2">
      <c r="A18003" s="21"/>
      <c r="B18003" s="2"/>
      <c r="C18003" s="7"/>
      <c r="D18003" s="7"/>
    </row>
    <row r="18004" spans="1:4" ht="12.75" customHeight="1" x14ac:dyDescent="0.2">
      <c r="A18004" s="21"/>
      <c r="B18004" s="2"/>
      <c r="C18004" s="7"/>
      <c r="D18004" s="7"/>
    </row>
    <row r="18005" spans="1:4" ht="12.75" customHeight="1" x14ac:dyDescent="0.2">
      <c r="A18005" s="5"/>
      <c r="B18005" s="2"/>
      <c r="C18005" s="7"/>
      <c r="D18005" s="7"/>
    </row>
    <row r="18006" spans="1:4" ht="12.75" customHeight="1" x14ac:dyDescent="0.2">
      <c r="A18006" s="22" t="str">
        <f>HYPERLINK("javascript:void(0)","rubin pihepajzs")</f>
        <v>rubin pihepajzs</v>
      </c>
      <c r="B18006" s="21"/>
      <c r="C18006" s="21"/>
      <c r="D18006" s="21"/>
    </row>
    <row r="18007" spans="1:4" ht="12.75" customHeight="1" x14ac:dyDescent="0.2">
      <c r="A18007" s="20"/>
      <c r="B18007" s="2"/>
      <c r="C18007" s="7"/>
      <c r="D18007" s="7"/>
    </row>
    <row r="18008" spans="1:4" ht="12.75" customHeight="1" x14ac:dyDescent="0.2">
      <c r="A18008" s="21"/>
      <c r="B18008" s="3" t="s">
        <v>0</v>
      </c>
      <c r="C18008" s="23" t="s">
        <v>256</v>
      </c>
      <c r="D18008" s="21"/>
    </row>
    <row r="18009" spans="1:4" ht="12.75" customHeight="1" x14ac:dyDescent="0.2">
      <c r="A18009" s="21"/>
      <c r="B18009" s="3" t="s">
        <v>2</v>
      </c>
      <c r="C18009" s="23" t="s">
        <v>1839</v>
      </c>
      <c r="D18009" s="21"/>
    </row>
    <row r="18010" spans="1:4" ht="12.75" customHeight="1" x14ac:dyDescent="0.2">
      <c r="A18010" s="21"/>
      <c r="B18010" s="3" t="s">
        <v>1840</v>
      </c>
      <c r="C18010" s="23" t="s">
        <v>599</v>
      </c>
      <c r="D18010" s="21"/>
    </row>
    <row r="18011" spans="1:4" ht="12.75" customHeight="1" x14ac:dyDescent="0.2">
      <c r="A18011" s="21"/>
      <c r="B18011" s="3" t="s">
        <v>9</v>
      </c>
      <c r="C18011" s="23" t="s">
        <v>84</v>
      </c>
      <c r="D18011" s="21"/>
    </row>
    <row r="18012" spans="1:4" ht="12.75" customHeight="1" x14ac:dyDescent="0.2">
      <c r="A18012" s="21"/>
      <c r="B18012" s="3" t="s">
        <v>11</v>
      </c>
      <c r="C18012" s="23" t="s">
        <v>1298</v>
      </c>
      <c r="D18012" s="21"/>
    </row>
    <row r="18013" spans="1:4" ht="12.75" customHeight="1" x14ac:dyDescent="0.2">
      <c r="A18013" s="21"/>
      <c r="B18013" s="3" t="s">
        <v>16</v>
      </c>
      <c r="C18013" s="23"/>
      <c r="D18013" s="21"/>
    </row>
    <row r="18014" spans="1:4" ht="12.75" customHeight="1" x14ac:dyDescent="0.2">
      <c r="A18014" s="21"/>
      <c r="B18014" s="3" t="s">
        <v>17</v>
      </c>
      <c r="C18014" s="23" t="s">
        <v>19</v>
      </c>
      <c r="D18014" s="21"/>
    </row>
    <row r="18015" spans="1:4" ht="12.75" customHeight="1" x14ac:dyDescent="0.2">
      <c r="A18015" s="21"/>
      <c r="B18015" s="20" t="s">
        <v>18</v>
      </c>
      <c r="C18015" s="8" t="s">
        <v>44</v>
      </c>
      <c r="D18015" s="1" t="str">
        <f>HYPERLINK("javascript:void(0)","árnypajzs")</f>
        <v>árnypajzs</v>
      </c>
    </row>
    <row r="18016" spans="1:4" ht="12.75" customHeight="1" x14ac:dyDescent="0.2">
      <c r="A18016" s="21"/>
      <c r="B18016" s="21"/>
      <c r="C18016" s="8" t="s">
        <v>68</v>
      </c>
      <c r="D18016" s="1" t="str">
        <f>HYPERLINK("javascript:void(0)","gumilepedő")</f>
        <v>gumilepedő</v>
      </c>
    </row>
    <row r="18017" spans="1:4" ht="12.75" customHeight="1" x14ac:dyDescent="0.2">
      <c r="A18017" s="21"/>
      <c r="B18017" s="21"/>
      <c r="C18017" s="8" t="s">
        <v>77</v>
      </c>
      <c r="D18017" s="1" t="str">
        <f>HYPERLINK("javascript:void(0)","gyűrű")</f>
        <v>gyűrű</v>
      </c>
    </row>
    <row r="18018" spans="1:4" ht="12.75" customHeight="1" x14ac:dyDescent="0.2">
      <c r="A18018" s="21"/>
      <c r="B18018" s="2"/>
      <c r="C18018" s="7"/>
      <c r="D18018" s="7"/>
    </row>
    <row r="18019" spans="1:4" ht="12.75" customHeight="1" x14ac:dyDescent="0.2">
      <c r="A18019" s="21"/>
      <c r="B18019" s="2"/>
      <c r="C18019" s="7"/>
      <c r="D18019" s="7"/>
    </row>
    <row r="18020" spans="1:4" ht="12.75" customHeight="1" x14ac:dyDescent="0.2">
      <c r="A18020" s="21"/>
      <c r="B18020" s="2"/>
      <c r="C18020" s="7"/>
      <c r="D18020" s="7"/>
    </row>
    <row r="18021" spans="1:4" ht="12.75" customHeight="1" x14ac:dyDescent="0.2">
      <c r="A18021" s="21"/>
      <c r="B18021" s="2"/>
      <c r="C18021" s="7"/>
      <c r="D18021" s="7"/>
    </row>
    <row r="18022" spans="1:4" ht="12.75" customHeight="1" x14ac:dyDescent="0.2">
      <c r="A18022" s="5"/>
      <c r="B18022" s="2"/>
      <c r="C18022" s="7"/>
      <c r="D18022" s="7"/>
    </row>
    <row r="18023" spans="1:4" ht="12.75" customHeight="1" x14ac:dyDescent="0.2">
      <c r="A18023" s="22" t="str">
        <f>HYPERLINK("javascript:void(0)","semmisisak")</f>
        <v>semmisisak</v>
      </c>
      <c r="B18023" s="21"/>
      <c r="C18023" s="21"/>
      <c r="D18023" s="21"/>
    </row>
    <row r="18024" spans="1:4" ht="12.75" customHeight="1" x14ac:dyDescent="0.2">
      <c r="A18024" s="20"/>
      <c r="B18024" s="2"/>
      <c r="C18024" s="7"/>
      <c r="D18024" s="7"/>
    </row>
    <row r="18025" spans="1:4" ht="12.75" customHeight="1" x14ac:dyDescent="0.2">
      <c r="A18025" s="21"/>
      <c r="B18025" s="3" t="s">
        <v>0</v>
      </c>
      <c r="C18025" s="23" t="s">
        <v>146</v>
      </c>
      <c r="D18025" s="21"/>
    </row>
    <row r="18026" spans="1:4" ht="12.75" customHeight="1" x14ac:dyDescent="0.2">
      <c r="A18026" s="21"/>
      <c r="B18026" s="3" t="s">
        <v>2</v>
      </c>
      <c r="C18026" s="23"/>
      <c r="D18026" s="21"/>
    </row>
    <row r="18027" spans="1:4" ht="12.75" customHeight="1" x14ac:dyDescent="0.2">
      <c r="A18027" s="21"/>
      <c r="B18027" s="3" t="s">
        <v>1840</v>
      </c>
      <c r="C18027" s="23" t="s">
        <v>311</v>
      </c>
      <c r="D18027" s="21"/>
    </row>
    <row r="18028" spans="1:4" ht="12.75" customHeight="1" x14ac:dyDescent="0.2">
      <c r="A18028" s="21"/>
      <c r="B18028" s="3" t="s">
        <v>9</v>
      </c>
      <c r="C18028" s="23" t="s">
        <v>573</v>
      </c>
      <c r="D18028" s="21"/>
    </row>
    <row r="18029" spans="1:4" ht="12.75" customHeight="1" x14ac:dyDescent="0.2">
      <c r="A18029" s="21"/>
      <c r="B18029" s="3" t="s">
        <v>11</v>
      </c>
      <c r="C18029" s="23" t="s">
        <v>1248</v>
      </c>
      <c r="D18029" s="21"/>
    </row>
    <row r="18030" spans="1:4" ht="12.75" customHeight="1" x14ac:dyDescent="0.2">
      <c r="A18030" s="21"/>
      <c r="B18030" s="3" t="s">
        <v>16</v>
      </c>
      <c r="C18030" s="23"/>
      <c r="D18030" s="21"/>
    </row>
    <row r="18031" spans="1:4" ht="12.75" customHeight="1" x14ac:dyDescent="0.2">
      <c r="A18031" s="21"/>
      <c r="B18031" s="3" t="s">
        <v>17</v>
      </c>
      <c r="C18031" s="23" t="s">
        <v>19</v>
      </c>
      <c r="D18031" s="21"/>
    </row>
    <row r="18032" spans="1:4" ht="12.75" customHeight="1" x14ac:dyDescent="0.2">
      <c r="A18032" s="21"/>
      <c r="B18032" s="20" t="s">
        <v>18</v>
      </c>
      <c r="C18032" s="8" t="s">
        <v>232</v>
      </c>
      <c r="D18032" s="1" t="str">
        <f>HYPERLINK("javascript:void(0)","reménytelenség")</f>
        <v>reménytelenség</v>
      </c>
    </row>
    <row r="18033" spans="1:4" ht="12.75" customHeight="1" x14ac:dyDescent="0.2">
      <c r="A18033" s="21"/>
      <c r="B18033" s="21"/>
      <c r="C18033" s="8" t="s">
        <v>130</v>
      </c>
      <c r="D18033" s="1" t="str">
        <f>HYPERLINK("javascript:void(0)","árnyige")</f>
        <v>árnyige</v>
      </c>
    </row>
    <row r="18034" spans="1:4" ht="12.75" customHeight="1" x14ac:dyDescent="0.2">
      <c r="A18034" s="21"/>
      <c r="B18034" s="21"/>
      <c r="C18034" s="8" t="s">
        <v>67</v>
      </c>
      <c r="D18034" s="1" t="str">
        <f>HYPERLINK("javascript:void(0)","képcső")</f>
        <v>képcső</v>
      </c>
    </row>
    <row r="18035" spans="1:4" ht="12.75" customHeight="1" x14ac:dyDescent="0.2">
      <c r="A18035" s="21"/>
      <c r="B18035" s="2"/>
      <c r="C18035" s="7"/>
      <c r="D18035" s="7"/>
    </row>
    <row r="18036" spans="1:4" ht="12.75" customHeight="1" x14ac:dyDescent="0.2">
      <c r="A18036" s="21"/>
      <c r="B18036" s="2"/>
      <c r="C18036" s="7"/>
      <c r="D18036" s="7"/>
    </row>
    <row r="18037" spans="1:4" ht="12.75" customHeight="1" x14ac:dyDescent="0.2">
      <c r="A18037" s="21"/>
      <c r="B18037" s="2"/>
      <c r="C18037" s="7"/>
      <c r="D18037" s="7"/>
    </row>
    <row r="18038" spans="1:4" ht="12.75" customHeight="1" x14ac:dyDescent="0.2">
      <c r="A18038" s="21"/>
      <c r="B18038" s="2"/>
      <c r="C18038" s="7"/>
      <c r="D18038" s="7"/>
    </row>
    <row r="18039" spans="1:4" ht="12.75" customHeight="1" x14ac:dyDescent="0.2">
      <c r="A18039" s="5"/>
      <c r="B18039" s="2"/>
      <c r="C18039" s="7"/>
      <c r="D18039" s="7"/>
    </row>
    <row r="18040" spans="1:4" ht="12.75" customHeight="1" x14ac:dyDescent="0.2">
      <c r="A18040" s="22" t="str">
        <f>HYPERLINK("javascript:void(0)","függő láncing")</f>
        <v>függő láncing</v>
      </c>
      <c r="B18040" s="21"/>
      <c r="C18040" s="21"/>
      <c r="D18040" s="21"/>
    </row>
    <row r="18041" spans="1:4" ht="12.75" customHeight="1" x14ac:dyDescent="0.2">
      <c r="A18041" s="20"/>
      <c r="B18041" s="2"/>
      <c r="C18041" s="7"/>
      <c r="D18041" s="7"/>
    </row>
    <row r="18042" spans="1:4" ht="12.75" customHeight="1" x14ac:dyDescent="0.2">
      <c r="A18042" s="21"/>
      <c r="B18042" s="3" t="s">
        <v>0</v>
      </c>
      <c r="C18042" s="23" t="s">
        <v>146</v>
      </c>
      <c r="D18042" s="21"/>
    </row>
    <row r="18043" spans="1:4" ht="12.75" customHeight="1" x14ac:dyDescent="0.2">
      <c r="A18043" s="21"/>
      <c r="B18043" s="3" t="s">
        <v>2</v>
      </c>
      <c r="C18043" s="23" t="s">
        <v>2322</v>
      </c>
      <c r="D18043" s="21"/>
    </row>
    <row r="18044" spans="1:4" ht="12.75" customHeight="1" x14ac:dyDescent="0.2">
      <c r="A18044" s="21"/>
      <c r="B18044" s="3" t="s">
        <v>1840</v>
      </c>
      <c r="C18044" s="23" t="s">
        <v>2580</v>
      </c>
      <c r="D18044" s="21"/>
    </row>
    <row r="18045" spans="1:4" ht="12.75" customHeight="1" x14ac:dyDescent="0.2">
      <c r="A18045" s="21"/>
      <c r="B18045" s="3" t="s">
        <v>9</v>
      </c>
      <c r="C18045" s="23" t="s">
        <v>343</v>
      </c>
      <c r="D18045" s="21"/>
    </row>
    <row r="18046" spans="1:4" ht="12.75" customHeight="1" x14ac:dyDescent="0.2">
      <c r="A18046" s="21"/>
      <c r="B18046" s="3" t="s">
        <v>11</v>
      </c>
      <c r="C18046" s="23" t="s">
        <v>1283</v>
      </c>
      <c r="D18046" s="21"/>
    </row>
    <row r="18047" spans="1:4" ht="12.75" customHeight="1" x14ac:dyDescent="0.2">
      <c r="A18047" s="21"/>
      <c r="B18047" s="3" t="s">
        <v>16</v>
      </c>
      <c r="C18047" s="23"/>
      <c r="D18047" s="21"/>
    </row>
    <row r="18048" spans="1:4" ht="12.75" customHeight="1" x14ac:dyDescent="0.2">
      <c r="A18048" s="21"/>
      <c r="B18048" s="3" t="s">
        <v>17</v>
      </c>
      <c r="C18048" s="23" t="s">
        <v>19</v>
      </c>
      <c r="D18048" s="21"/>
    </row>
    <row r="18049" spans="1:4" ht="12.75" customHeight="1" x14ac:dyDescent="0.2">
      <c r="A18049" s="21"/>
      <c r="B18049" s="20" t="s">
        <v>18</v>
      </c>
      <c r="C18049" s="8" t="s">
        <v>44</v>
      </c>
      <c r="D18049" s="1" t="str">
        <f>HYPERLINK("javascript:void(0)","védett mellvéd")</f>
        <v>védett mellvéd</v>
      </c>
    </row>
    <row r="18050" spans="1:4" ht="12.75" customHeight="1" x14ac:dyDescent="0.2">
      <c r="A18050" s="21"/>
      <c r="B18050" s="21"/>
      <c r="C18050" s="8" t="s">
        <v>44</v>
      </c>
      <c r="D18050" s="1" t="str">
        <f>HYPERLINK("javascript:void(0)","nyálláncing")</f>
        <v>nyálláncing</v>
      </c>
    </row>
    <row r="18051" spans="1:4" ht="12.75" customHeight="1" x14ac:dyDescent="0.2">
      <c r="A18051" s="21"/>
      <c r="B18051" s="21"/>
      <c r="C18051" s="8" t="s">
        <v>193</v>
      </c>
      <c r="D18051" s="1" t="str">
        <f>HYPERLINK("javascript:void(0)","függérték")</f>
        <v>függérték</v>
      </c>
    </row>
    <row r="18052" spans="1:4" ht="12.75" customHeight="1" x14ac:dyDescent="0.2">
      <c r="A18052" s="21"/>
      <c r="B18052" s="2"/>
      <c r="C18052" s="7"/>
      <c r="D18052" s="7"/>
    </row>
    <row r="18053" spans="1:4" ht="12.75" customHeight="1" x14ac:dyDescent="0.2">
      <c r="A18053" s="21"/>
      <c r="B18053" s="2"/>
      <c r="C18053" s="7"/>
      <c r="D18053" s="7"/>
    </row>
    <row r="18054" spans="1:4" ht="12.75" customHeight="1" x14ac:dyDescent="0.2">
      <c r="A18054" s="21"/>
      <c r="B18054" s="2"/>
      <c r="C18054" s="7"/>
      <c r="D18054" s="7"/>
    </row>
    <row r="18055" spans="1:4" ht="12.75" customHeight="1" x14ac:dyDescent="0.2">
      <c r="A18055" s="21"/>
      <c r="B18055" s="2"/>
      <c r="C18055" s="7"/>
      <c r="D18055" s="7"/>
    </row>
    <row r="18056" spans="1:4" ht="12.75" customHeight="1" x14ac:dyDescent="0.2">
      <c r="A18056" s="5"/>
      <c r="B18056" s="2"/>
      <c r="C18056" s="7"/>
      <c r="D18056" s="7"/>
    </row>
    <row r="18057" spans="1:4" ht="12.75" customHeight="1" x14ac:dyDescent="0.2">
      <c r="A18057" s="22" t="str">
        <f>HYPERLINK("javascript:void(0)","plazmabakancs")</f>
        <v>plazmabakancs</v>
      </c>
      <c r="B18057" s="21"/>
      <c r="C18057" s="21"/>
      <c r="D18057" s="21"/>
    </row>
    <row r="18058" spans="1:4" ht="12.75" customHeight="1" x14ac:dyDescent="0.2">
      <c r="A18058" s="20"/>
      <c r="B18058" s="2"/>
      <c r="C18058" s="7"/>
      <c r="D18058" s="7"/>
    </row>
    <row r="18059" spans="1:4" ht="12.75" customHeight="1" x14ac:dyDescent="0.2">
      <c r="A18059" s="21"/>
      <c r="B18059" s="3" t="s">
        <v>0</v>
      </c>
      <c r="C18059" s="23" t="s">
        <v>146</v>
      </c>
      <c r="D18059" s="21"/>
    </row>
    <row r="18060" spans="1:4" ht="12.75" customHeight="1" x14ac:dyDescent="0.2">
      <c r="A18060" s="21"/>
      <c r="B18060" s="3" t="s">
        <v>2</v>
      </c>
      <c r="C18060" s="23"/>
      <c r="D18060" s="21"/>
    </row>
    <row r="18061" spans="1:4" ht="12.75" customHeight="1" x14ac:dyDescent="0.2">
      <c r="A18061" s="21"/>
      <c r="B18061" s="3" t="s">
        <v>1840</v>
      </c>
      <c r="C18061" s="23" t="s">
        <v>6107</v>
      </c>
      <c r="D18061" s="21"/>
    </row>
    <row r="18062" spans="1:4" ht="12.75" customHeight="1" x14ac:dyDescent="0.2">
      <c r="A18062" s="21"/>
      <c r="B18062" s="3" t="s">
        <v>9</v>
      </c>
      <c r="C18062" s="23" t="s">
        <v>4551</v>
      </c>
      <c r="D18062" s="21"/>
    </row>
    <row r="18063" spans="1:4" ht="12.75" customHeight="1" x14ac:dyDescent="0.2">
      <c r="A18063" s="21"/>
      <c r="B18063" s="3" t="s">
        <v>11</v>
      </c>
      <c r="C18063" s="23" t="s">
        <v>1248</v>
      </c>
      <c r="D18063" s="21"/>
    </row>
    <row r="18064" spans="1:4" ht="12.75" customHeight="1" x14ac:dyDescent="0.2">
      <c r="A18064" s="21"/>
      <c r="B18064" s="3" t="s">
        <v>16</v>
      </c>
      <c r="C18064" s="23"/>
      <c r="D18064" s="21"/>
    </row>
    <row r="18065" spans="1:4" ht="12.75" customHeight="1" x14ac:dyDescent="0.2">
      <c r="A18065" s="21"/>
      <c r="B18065" s="3" t="s">
        <v>17</v>
      </c>
      <c r="C18065" s="23" t="s">
        <v>19</v>
      </c>
      <c r="D18065" s="21"/>
    </row>
    <row r="18066" spans="1:4" ht="12.75" customHeight="1" x14ac:dyDescent="0.2">
      <c r="A18066" s="21"/>
      <c r="B18066" s="20" t="s">
        <v>18</v>
      </c>
      <c r="C18066" s="8" t="s">
        <v>44</v>
      </c>
      <c r="D18066" s="1" t="str">
        <f>HYPERLINK("javascript:void(0)","körömcsizma")</f>
        <v>körömcsizma</v>
      </c>
    </row>
    <row r="18067" spans="1:4" ht="12.75" customHeight="1" x14ac:dyDescent="0.2">
      <c r="A18067" s="21"/>
      <c r="B18067" s="21"/>
      <c r="C18067" s="8" t="s">
        <v>56</v>
      </c>
      <c r="D18067" s="1" t="str">
        <f>HYPERLINK("javascript:void(0)","reménytelenség")</f>
        <v>reménytelenség</v>
      </c>
    </row>
    <row r="18068" spans="1:4" ht="12.75" customHeight="1" x14ac:dyDescent="0.2">
      <c r="A18068" s="21"/>
      <c r="B18068" s="21"/>
      <c r="C18068" s="8" t="s">
        <v>55</v>
      </c>
      <c r="D18068" s="1" t="str">
        <f>HYPERLINK("javascript:void(0)","minta")</f>
        <v>minta</v>
      </c>
    </row>
    <row r="18069" spans="1:4" ht="12.75" customHeight="1" x14ac:dyDescent="0.2">
      <c r="A18069" s="21"/>
      <c r="B18069" s="2"/>
      <c r="C18069" s="7"/>
      <c r="D18069" s="7"/>
    </row>
    <row r="18070" spans="1:4" ht="12.75" customHeight="1" x14ac:dyDescent="0.2">
      <c r="A18070" s="21"/>
      <c r="B18070" s="2"/>
      <c r="C18070" s="7"/>
      <c r="D18070" s="7"/>
    </row>
    <row r="18071" spans="1:4" ht="12.75" customHeight="1" x14ac:dyDescent="0.2">
      <c r="A18071" s="21"/>
      <c r="B18071" s="2"/>
      <c r="C18071" s="7"/>
      <c r="D18071" s="7"/>
    </row>
    <row r="18072" spans="1:4" ht="12.75" customHeight="1" x14ac:dyDescent="0.2">
      <c r="A18072" s="21"/>
      <c r="B18072" s="2"/>
      <c r="C18072" s="7"/>
      <c r="D18072" s="7"/>
    </row>
    <row r="18073" spans="1:4" ht="12.75" customHeight="1" x14ac:dyDescent="0.2">
      <c r="A18073" s="5"/>
      <c r="B18073" s="2"/>
      <c r="C18073" s="7"/>
      <c r="D18073" s="7"/>
    </row>
    <row r="18074" spans="1:4" ht="12.75" customHeight="1" x14ac:dyDescent="0.2">
      <c r="A18074" s="22" t="str">
        <f>HYPERLINK("javascript:void(0)","árnytestpajzs")</f>
        <v>árnytestpajzs</v>
      </c>
      <c r="B18074" s="21"/>
      <c r="C18074" s="21"/>
      <c r="D18074" s="21"/>
    </row>
    <row r="18075" spans="1:4" ht="12.75" customHeight="1" x14ac:dyDescent="0.2">
      <c r="A18075" s="20"/>
      <c r="B18075" s="2"/>
      <c r="C18075" s="7"/>
      <c r="D18075" s="7"/>
    </row>
    <row r="18076" spans="1:4" ht="12.75" customHeight="1" x14ac:dyDescent="0.2">
      <c r="A18076" s="21"/>
      <c r="B18076" s="3" t="s">
        <v>0</v>
      </c>
      <c r="C18076" s="23" t="s">
        <v>146</v>
      </c>
      <c r="D18076" s="21"/>
    </row>
    <row r="18077" spans="1:4" ht="12.75" customHeight="1" x14ac:dyDescent="0.2">
      <c r="A18077" s="21"/>
      <c r="B18077" s="3" t="s">
        <v>2</v>
      </c>
      <c r="C18077" s="23" t="s">
        <v>1839</v>
      </c>
      <c r="D18077" s="21"/>
    </row>
    <row r="18078" spans="1:4" ht="12.75" customHeight="1" x14ac:dyDescent="0.2">
      <c r="A18078" s="21"/>
      <c r="B18078" s="3" t="s">
        <v>1840</v>
      </c>
      <c r="C18078" s="23" t="s">
        <v>6221</v>
      </c>
      <c r="D18078" s="21"/>
    </row>
    <row r="18079" spans="1:4" ht="12.75" customHeight="1" x14ac:dyDescent="0.2">
      <c r="A18079" s="21"/>
      <c r="B18079" s="3" t="s">
        <v>9</v>
      </c>
      <c r="C18079" s="23" t="s">
        <v>236</v>
      </c>
      <c r="D18079" s="21"/>
    </row>
    <row r="18080" spans="1:4" ht="12.75" customHeight="1" x14ac:dyDescent="0.2">
      <c r="A18080" s="21"/>
      <c r="B18080" s="3" t="s">
        <v>11</v>
      </c>
      <c r="C18080" s="23" t="s">
        <v>1269</v>
      </c>
      <c r="D18080" s="21"/>
    </row>
    <row r="18081" spans="1:4" ht="12.75" customHeight="1" x14ac:dyDescent="0.2">
      <c r="A18081" s="21"/>
      <c r="B18081" s="3" t="s">
        <v>16</v>
      </c>
      <c r="C18081" s="23"/>
      <c r="D18081" s="21"/>
    </row>
    <row r="18082" spans="1:4" ht="12.75" customHeight="1" x14ac:dyDescent="0.2">
      <c r="A18082" s="21"/>
      <c r="B18082" s="3" t="s">
        <v>17</v>
      </c>
      <c r="C18082" s="23" t="s">
        <v>19</v>
      </c>
      <c r="D18082" s="21"/>
    </row>
    <row r="18083" spans="1:4" ht="12.75" customHeight="1" x14ac:dyDescent="0.2">
      <c r="A18083" s="21"/>
      <c r="B18083" s="20" t="s">
        <v>18</v>
      </c>
      <c r="C18083" s="8" t="s">
        <v>44</v>
      </c>
      <c r="D18083" s="1" t="str">
        <f>HYPERLINK("javascript:void(0)","jégacél testpajzs")</f>
        <v>jégacél testpajzs</v>
      </c>
    </row>
    <row r="18084" spans="1:4" ht="12.75" customHeight="1" x14ac:dyDescent="0.2">
      <c r="A18084" s="21"/>
      <c r="B18084" s="21"/>
      <c r="C18084" s="8" t="s">
        <v>780</v>
      </c>
      <c r="D18084" s="1" t="str">
        <f>HYPERLINK("javascript:void(0)","árnyige")</f>
        <v>árnyige</v>
      </c>
    </row>
    <row r="18085" spans="1:4" ht="12.75" customHeight="1" x14ac:dyDescent="0.2">
      <c r="A18085" s="21"/>
      <c r="B18085" s="21"/>
      <c r="C18085" s="8" t="s">
        <v>196</v>
      </c>
      <c r="D18085" s="1" t="str">
        <f>HYPERLINK("javascript:void(0)","koporsó")</f>
        <v>koporsó</v>
      </c>
    </row>
    <row r="18086" spans="1:4" ht="12.75" customHeight="1" x14ac:dyDescent="0.2">
      <c r="A18086" s="21"/>
      <c r="B18086" s="2"/>
      <c r="C18086" s="7"/>
      <c r="D18086" s="7"/>
    </row>
    <row r="18087" spans="1:4" ht="12.75" customHeight="1" x14ac:dyDescent="0.2">
      <c r="A18087" s="21"/>
      <c r="B18087" s="2"/>
      <c r="C18087" s="7"/>
      <c r="D18087" s="7"/>
    </row>
    <row r="18088" spans="1:4" ht="12.75" customHeight="1" x14ac:dyDescent="0.2">
      <c r="A18088" s="21"/>
      <c r="B18088" s="2"/>
      <c r="C18088" s="7"/>
      <c r="D18088" s="7"/>
    </row>
    <row r="18089" spans="1:4" ht="12.75" customHeight="1" x14ac:dyDescent="0.2">
      <c r="A18089" s="21"/>
      <c r="B18089" s="2"/>
      <c r="C18089" s="7"/>
      <c r="D18089" s="7"/>
    </row>
    <row r="18090" spans="1:4" ht="12.75" customHeight="1" x14ac:dyDescent="0.2">
      <c r="A18090" s="5"/>
      <c r="B18090" s="2"/>
      <c r="C18090" s="7"/>
      <c r="D18090" s="7"/>
    </row>
    <row r="18091" spans="1:4" ht="12.75" customHeight="1" x14ac:dyDescent="0.2">
      <c r="A18091" s="22" t="str">
        <f>HYPERLINK("javascript:void(0)","gyöngy pihepajzs")</f>
        <v>gyöngy pihepajzs</v>
      </c>
      <c r="B18091" s="21"/>
      <c r="C18091" s="21"/>
      <c r="D18091" s="21"/>
    </row>
    <row r="18092" spans="1:4" ht="12.75" customHeight="1" x14ac:dyDescent="0.2">
      <c r="A18092" s="20"/>
      <c r="B18092" s="2"/>
      <c r="C18092" s="7"/>
      <c r="D18092" s="7"/>
    </row>
    <row r="18093" spans="1:4" ht="12.75" customHeight="1" x14ac:dyDescent="0.2">
      <c r="A18093" s="21"/>
      <c r="B18093" s="3" t="s">
        <v>0</v>
      </c>
      <c r="C18093" s="23" t="s">
        <v>146</v>
      </c>
      <c r="D18093" s="21"/>
    </row>
    <row r="18094" spans="1:4" ht="12.75" customHeight="1" x14ac:dyDescent="0.2">
      <c r="A18094" s="21"/>
      <c r="B18094" s="3" t="s">
        <v>2</v>
      </c>
      <c r="C18094" s="23" t="s">
        <v>1839</v>
      </c>
      <c r="D18094" s="21"/>
    </row>
    <row r="18095" spans="1:4" ht="12.75" customHeight="1" x14ac:dyDescent="0.2">
      <c r="A18095" s="21"/>
      <c r="B18095" s="3" t="s">
        <v>1840</v>
      </c>
      <c r="C18095" s="23" t="s">
        <v>6221</v>
      </c>
      <c r="D18095" s="21"/>
    </row>
    <row r="18096" spans="1:4" ht="12.75" customHeight="1" x14ac:dyDescent="0.2">
      <c r="A18096" s="21"/>
      <c r="B18096" s="3" t="s">
        <v>9</v>
      </c>
      <c r="C18096" s="23" t="s">
        <v>637</v>
      </c>
      <c r="D18096" s="21"/>
    </row>
    <row r="18097" spans="1:4" ht="12.75" customHeight="1" x14ac:dyDescent="0.2">
      <c r="A18097" s="21"/>
      <c r="B18097" s="3" t="s">
        <v>11</v>
      </c>
      <c r="C18097" s="23" t="s">
        <v>1312</v>
      </c>
      <c r="D18097" s="21"/>
    </row>
    <row r="18098" spans="1:4" ht="12.75" customHeight="1" x14ac:dyDescent="0.2">
      <c r="A18098" s="21"/>
      <c r="B18098" s="3" t="s">
        <v>16</v>
      </c>
      <c r="C18098" s="23"/>
      <c r="D18098" s="21"/>
    </row>
    <row r="18099" spans="1:4" ht="12.75" customHeight="1" x14ac:dyDescent="0.2">
      <c r="A18099" s="21"/>
      <c r="B18099" s="3" t="s">
        <v>17</v>
      </c>
      <c r="C18099" s="23" t="s">
        <v>19</v>
      </c>
      <c r="D18099" s="21"/>
    </row>
    <row r="18100" spans="1:4" ht="12.75" customHeight="1" x14ac:dyDescent="0.2">
      <c r="A18100" s="21"/>
      <c r="B18100" s="20" t="s">
        <v>18</v>
      </c>
      <c r="C18100" s="8" t="s">
        <v>44</v>
      </c>
      <c r="D18100" s="1" t="str">
        <f>HYPERLINK("javascript:void(0)","árnytestpajzs")</f>
        <v>árnytestpajzs</v>
      </c>
    </row>
    <row r="18101" spans="1:4" ht="12.75" customHeight="1" x14ac:dyDescent="0.2">
      <c r="A18101" s="21"/>
      <c r="B18101" s="21"/>
      <c r="C18101" s="8" t="s">
        <v>102</v>
      </c>
      <c r="D18101" s="1" t="str">
        <f>HYPERLINK("javascript:void(0)","reménytelenség")</f>
        <v>reménytelenség</v>
      </c>
    </row>
    <row r="18102" spans="1:4" ht="12.75" customHeight="1" x14ac:dyDescent="0.2">
      <c r="A18102" s="21"/>
      <c r="B18102" s="21"/>
      <c r="C18102" s="8" t="s">
        <v>142</v>
      </c>
      <c r="D18102" s="1" t="str">
        <f>HYPERLINK("javascript:void(0)","cseppkő")</f>
        <v>cseppkő</v>
      </c>
    </row>
    <row r="18103" spans="1:4" ht="12.75" customHeight="1" x14ac:dyDescent="0.2">
      <c r="A18103" s="21"/>
      <c r="B18103" s="2"/>
      <c r="C18103" s="7"/>
      <c r="D18103" s="7"/>
    </row>
    <row r="18104" spans="1:4" ht="12.75" customHeight="1" x14ac:dyDescent="0.2">
      <c r="A18104" s="21"/>
      <c r="B18104" s="2"/>
      <c r="C18104" s="7"/>
      <c r="D18104" s="7"/>
    </row>
    <row r="18105" spans="1:4" ht="12.75" customHeight="1" x14ac:dyDescent="0.2">
      <c r="A18105" s="21"/>
      <c r="B18105" s="2"/>
      <c r="C18105" s="7"/>
      <c r="D18105" s="7"/>
    </row>
    <row r="18106" spans="1:4" ht="12.75" customHeight="1" x14ac:dyDescent="0.2">
      <c r="A18106" s="21"/>
      <c r="B18106" s="2"/>
      <c r="C18106" s="7"/>
      <c r="D18106" s="7"/>
    </row>
    <row r="18107" spans="1:4" ht="12.75" customHeight="1" x14ac:dyDescent="0.2">
      <c r="A18107" s="5"/>
      <c r="B18107" s="2"/>
      <c r="C18107" s="7"/>
      <c r="D18107" s="7"/>
    </row>
    <row r="18108" spans="1:4" ht="12.75" customHeight="1" x14ac:dyDescent="0.2">
      <c r="A18108" s="22" t="str">
        <f>HYPERLINK("javascript:void(0)","szigonysisak")</f>
        <v>szigonysisak</v>
      </c>
      <c r="B18108" s="21"/>
      <c r="C18108" s="21"/>
      <c r="D18108" s="21"/>
    </row>
    <row r="18109" spans="1:4" ht="12.75" customHeight="1" x14ac:dyDescent="0.2">
      <c r="A18109" s="20"/>
      <c r="B18109" s="2"/>
      <c r="C18109" s="7"/>
      <c r="D18109" s="7"/>
    </row>
    <row r="18110" spans="1:4" ht="12.75" customHeight="1" x14ac:dyDescent="0.2">
      <c r="A18110" s="21"/>
      <c r="B18110" s="3" t="s">
        <v>0</v>
      </c>
      <c r="C18110" s="23" t="s">
        <v>1373</v>
      </c>
      <c r="D18110" s="21"/>
    </row>
    <row r="18111" spans="1:4" ht="12.75" customHeight="1" x14ac:dyDescent="0.2">
      <c r="A18111" s="21"/>
      <c r="B18111" s="3" t="s">
        <v>2</v>
      </c>
      <c r="C18111" s="23"/>
      <c r="D18111" s="21"/>
    </row>
    <row r="18112" spans="1:4" ht="12.75" customHeight="1" x14ac:dyDescent="0.2">
      <c r="A18112" s="21"/>
      <c r="B18112" s="3" t="s">
        <v>1840</v>
      </c>
      <c r="C18112" s="23" t="s">
        <v>2478</v>
      </c>
      <c r="D18112" s="21"/>
    </row>
    <row r="18113" spans="1:4" ht="12.75" customHeight="1" x14ac:dyDescent="0.2">
      <c r="A18113" s="21"/>
      <c r="B18113" s="3" t="s">
        <v>9</v>
      </c>
      <c r="C18113" s="23" t="s">
        <v>2121</v>
      </c>
      <c r="D18113" s="21"/>
    </row>
    <row r="18114" spans="1:4" ht="12.75" customHeight="1" x14ac:dyDescent="0.2">
      <c r="A18114" s="21"/>
      <c r="B18114" s="3" t="s">
        <v>11</v>
      </c>
      <c r="C18114" s="23" t="s">
        <v>1269</v>
      </c>
      <c r="D18114" s="21"/>
    </row>
    <row r="18115" spans="1:4" ht="12.75" customHeight="1" x14ac:dyDescent="0.2">
      <c r="A18115" s="21"/>
      <c r="B18115" s="3" t="s">
        <v>16</v>
      </c>
      <c r="C18115" s="23"/>
      <c r="D18115" s="21"/>
    </row>
    <row r="18116" spans="1:4" ht="12.75" customHeight="1" x14ac:dyDescent="0.2">
      <c r="A18116" s="21"/>
      <c r="B18116" s="3" t="s">
        <v>17</v>
      </c>
      <c r="C18116" s="23" t="s">
        <v>19</v>
      </c>
      <c r="D18116" s="21"/>
    </row>
    <row r="18117" spans="1:4" ht="12.75" customHeight="1" x14ac:dyDescent="0.2">
      <c r="A18117" s="21"/>
      <c r="B18117" s="20" t="s">
        <v>18</v>
      </c>
      <c r="C18117" s="8" t="s">
        <v>44</v>
      </c>
      <c r="D18117" s="1" t="str">
        <f>HYPERLINK("javascript:void(0)","rétes sisak")</f>
        <v>rétes sisak</v>
      </c>
    </row>
    <row r="18118" spans="1:4" ht="12.75" customHeight="1" x14ac:dyDescent="0.2">
      <c r="A18118" s="21"/>
      <c r="B18118" s="21"/>
      <c r="C18118" s="8" t="s">
        <v>44</v>
      </c>
      <c r="D18118" s="1" t="str">
        <f>HYPERLINK("javascript:void(0)","semmisisak")</f>
        <v>semmisisak</v>
      </c>
    </row>
    <row r="18119" spans="1:4" ht="12.75" customHeight="1" x14ac:dyDescent="0.2">
      <c r="A18119" s="21"/>
      <c r="B18119" s="21"/>
      <c r="C18119" s="8" t="s">
        <v>331</v>
      </c>
      <c r="D18119" s="1" t="str">
        <f>HYPERLINK("javascript:void(0)","szigony")</f>
        <v>szigony</v>
      </c>
    </row>
    <row r="18120" spans="1:4" ht="12.75" customHeight="1" x14ac:dyDescent="0.2">
      <c r="A18120" s="21"/>
      <c r="B18120" s="2"/>
      <c r="C18120" s="7"/>
      <c r="D18120" s="7"/>
    </row>
    <row r="18121" spans="1:4" ht="12.75" customHeight="1" x14ac:dyDescent="0.2">
      <c r="A18121" s="21"/>
      <c r="B18121" s="2"/>
      <c r="C18121" s="7"/>
      <c r="D18121" s="7"/>
    </row>
    <row r="18122" spans="1:4" ht="12.75" customHeight="1" x14ac:dyDescent="0.2">
      <c r="A18122" s="21"/>
      <c r="B18122" s="2"/>
      <c r="C18122" s="7"/>
      <c r="D18122" s="7"/>
    </row>
    <row r="18123" spans="1:4" ht="12.75" customHeight="1" x14ac:dyDescent="0.2">
      <c r="A18123" s="21"/>
      <c r="B18123" s="2"/>
      <c r="C18123" s="7"/>
      <c r="D18123" s="7"/>
    </row>
    <row r="18124" spans="1:4" ht="12.75" customHeight="1" x14ac:dyDescent="0.2">
      <c r="A18124" s="5"/>
      <c r="B18124" s="2"/>
      <c r="C18124" s="7"/>
      <c r="D18124" s="7"/>
    </row>
    <row r="18125" spans="1:4" ht="12.75" customHeight="1" x14ac:dyDescent="0.2">
      <c r="A18125" s="22" t="str">
        <f>HYPERLINK("javascript:void(0)","ezüst zeke")</f>
        <v>ezüst zeke</v>
      </c>
      <c r="B18125" s="21"/>
      <c r="C18125" s="21"/>
      <c r="D18125" s="21"/>
    </row>
    <row r="18126" spans="1:4" ht="12.75" customHeight="1" x14ac:dyDescent="0.2">
      <c r="A18126" s="20"/>
      <c r="B18126" s="2"/>
      <c r="C18126" s="7"/>
      <c r="D18126" s="7"/>
    </row>
    <row r="18127" spans="1:4" ht="12.75" customHeight="1" x14ac:dyDescent="0.2">
      <c r="A18127" s="21"/>
      <c r="B18127" s="3" t="s">
        <v>0</v>
      </c>
      <c r="C18127" s="23" t="s">
        <v>1373</v>
      </c>
      <c r="D18127" s="21"/>
    </row>
    <row r="18128" spans="1:4" ht="12.75" customHeight="1" x14ac:dyDescent="0.2">
      <c r="A18128" s="21"/>
      <c r="B18128" s="3" t="s">
        <v>2</v>
      </c>
      <c r="C18128" s="23" t="s">
        <v>2322</v>
      </c>
      <c r="D18128" s="21"/>
    </row>
    <row r="18129" spans="1:4" ht="12.75" customHeight="1" x14ac:dyDescent="0.2">
      <c r="A18129" s="21"/>
      <c r="B18129" s="3" t="s">
        <v>1840</v>
      </c>
      <c r="C18129" s="23" t="s">
        <v>2581</v>
      </c>
      <c r="D18129" s="21"/>
    </row>
    <row r="18130" spans="1:4" ht="12.75" customHeight="1" x14ac:dyDescent="0.2">
      <c r="A18130" s="21"/>
      <c r="B18130" s="3" t="s">
        <v>9</v>
      </c>
      <c r="C18130" s="23" t="s">
        <v>1612</v>
      </c>
      <c r="D18130" s="21"/>
    </row>
    <row r="18131" spans="1:4" ht="12.75" customHeight="1" x14ac:dyDescent="0.2">
      <c r="A18131" s="21"/>
      <c r="B18131" s="3" t="s">
        <v>11</v>
      </c>
      <c r="C18131" s="23" t="s">
        <v>1298</v>
      </c>
      <c r="D18131" s="21"/>
    </row>
    <row r="18132" spans="1:4" ht="12.75" customHeight="1" x14ac:dyDescent="0.2">
      <c r="A18132" s="21"/>
      <c r="B18132" s="3" t="s">
        <v>16</v>
      </c>
      <c r="C18132" s="23"/>
      <c r="D18132" s="21"/>
    </row>
    <row r="18133" spans="1:4" ht="12.75" customHeight="1" x14ac:dyDescent="0.2">
      <c r="A18133" s="21"/>
      <c r="B18133" s="3" t="s">
        <v>17</v>
      </c>
      <c r="C18133" s="23" t="s">
        <v>19</v>
      </c>
      <c r="D18133" s="21"/>
    </row>
    <row r="18134" spans="1:4" ht="12.75" customHeight="1" x14ac:dyDescent="0.2">
      <c r="A18134" s="21"/>
      <c r="B18134" s="20" t="s">
        <v>18</v>
      </c>
      <c r="C18134" s="8" t="s">
        <v>44</v>
      </c>
      <c r="D18134" s="1" t="str">
        <f>HYPERLINK("javascript:void(0)","függő láncing")</f>
        <v>függő láncing</v>
      </c>
    </row>
    <row r="18135" spans="1:4" ht="12.75" customHeight="1" x14ac:dyDescent="0.2">
      <c r="A18135" s="21"/>
      <c r="B18135" s="21"/>
      <c r="C18135" s="8" t="s">
        <v>331</v>
      </c>
      <c r="D18135" s="1" t="str">
        <f>HYPERLINK("javascript:void(0)","állásfoglalás")</f>
        <v>állásfoglalás</v>
      </c>
    </row>
    <row r="18136" spans="1:4" ht="25.5" customHeight="1" x14ac:dyDescent="0.2">
      <c r="A18136" s="21"/>
      <c r="B18136" s="21"/>
      <c r="C18136" s="8" t="s">
        <v>280</v>
      </c>
      <c r="D18136" s="1" t="str">
        <f>HYPERLINK("javascript:void(0)","kommunikációképtelenség")</f>
        <v>kommunikációképtelenség</v>
      </c>
    </row>
    <row r="18137" spans="1:4" ht="12.75" customHeight="1" x14ac:dyDescent="0.2">
      <c r="A18137" s="21"/>
      <c r="B18137" s="2"/>
      <c r="C18137" s="7"/>
      <c r="D18137" s="7"/>
    </row>
    <row r="18138" spans="1:4" ht="12.75" customHeight="1" x14ac:dyDescent="0.2">
      <c r="A18138" s="21"/>
      <c r="B18138" s="2"/>
      <c r="C18138" s="7"/>
      <c r="D18138" s="7"/>
    </row>
    <row r="18139" spans="1:4" ht="12.75" customHeight="1" x14ac:dyDescent="0.2">
      <c r="A18139" s="21"/>
      <c r="B18139" s="2"/>
      <c r="C18139" s="7"/>
      <c r="D18139" s="7"/>
    </row>
    <row r="18140" spans="1:4" ht="12.75" customHeight="1" x14ac:dyDescent="0.2">
      <c r="A18140" s="21"/>
      <c r="B18140" s="2"/>
      <c r="C18140" s="7"/>
      <c r="D18140" s="7"/>
    </row>
    <row r="18141" spans="1:4" ht="12.75" customHeight="1" x14ac:dyDescent="0.2">
      <c r="A18141" s="5"/>
      <c r="B18141" s="2"/>
      <c r="C18141" s="7"/>
      <c r="D18141" s="7"/>
    </row>
    <row r="18142" spans="1:4" ht="12.75" customHeight="1" x14ac:dyDescent="0.2">
      <c r="A18142" s="22" t="str">
        <f>HYPERLINK("javascript:void(0)","ultramokaszin")</f>
        <v>ultramokaszin</v>
      </c>
      <c r="B18142" s="21"/>
      <c r="C18142" s="21"/>
      <c r="D18142" s="21"/>
    </row>
    <row r="18143" spans="1:4" ht="12.75" customHeight="1" x14ac:dyDescent="0.2">
      <c r="A18143" s="20"/>
      <c r="B18143" s="2"/>
      <c r="C18143" s="7"/>
      <c r="D18143" s="7"/>
    </row>
    <row r="18144" spans="1:4" ht="12.75" customHeight="1" x14ac:dyDescent="0.2">
      <c r="A18144" s="21"/>
      <c r="B18144" s="3" t="s">
        <v>0</v>
      </c>
      <c r="C18144" s="23" t="s">
        <v>1373</v>
      </c>
      <c r="D18144" s="21"/>
    </row>
    <row r="18145" spans="1:4" ht="12.75" customHeight="1" x14ac:dyDescent="0.2">
      <c r="A18145" s="21"/>
      <c r="B18145" s="3" t="s">
        <v>2</v>
      </c>
      <c r="C18145" s="23"/>
      <c r="D18145" s="21"/>
    </row>
    <row r="18146" spans="1:4" ht="12.75" customHeight="1" x14ac:dyDescent="0.2">
      <c r="A18146" s="21"/>
      <c r="B18146" s="3" t="s">
        <v>1840</v>
      </c>
      <c r="C18146" s="23" t="s">
        <v>6247</v>
      </c>
      <c r="D18146" s="21"/>
    </row>
    <row r="18147" spans="1:4" ht="12.75" customHeight="1" x14ac:dyDescent="0.2">
      <c r="A18147" s="21"/>
      <c r="B18147" s="3" t="s">
        <v>9</v>
      </c>
      <c r="C18147" s="23" t="s">
        <v>1517</v>
      </c>
      <c r="D18147" s="21"/>
    </row>
    <row r="18148" spans="1:4" ht="12.75" customHeight="1" x14ac:dyDescent="0.2">
      <c r="A18148" s="21"/>
      <c r="B18148" s="3" t="s">
        <v>11</v>
      </c>
      <c r="C18148" s="23" t="s">
        <v>1269</v>
      </c>
      <c r="D18148" s="21"/>
    </row>
    <row r="18149" spans="1:4" ht="12.75" customHeight="1" x14ac:dyDescent="0.2">
      <c r="A18149" s="21"/>
      <c r="B18149" s="3" t="s">
        <v>16</v>
      </c>
      <c r="C18149" s="23"/>
      <c r="D18149" s="21"/>
    </row>
    <row r="18150" spans="1:4" ht="12.75" customHeight="1" x14ac:dyDescent="0.2">
      <c r="A18150" s="21"/>
      <c r="B18150" s="3" t="s">
        <v>17</v>
      </c>
      <c r="C18150" s="23" t="s">
        <v>19</v>
      </c>
      <c r="D18150" s="21"/>
    </row>
    <row r="18151" spans="1:4" ht="12.75" customHeight="1" x14ac:dyDescent="0.2">
      <c r="A18151" s="21"/>
      <c r="B18151" s="20" t="s">
        <v>18</v>
      </c>
      <c r="C18151" s="8" t="s">
        <v>68</v>
      </c>
      <c r="D18151" s="1" t="str">
        <f>HYPERLINK("javascript:void(0)","mütyür")</f>
        <v>mütyür</v>
      </c>
    </row>
    <row r="18152" spans="1:4" ht="12.75" customHeight="1" x14ac:dyDescent="0.2">
      <c r="A18152" s="21"/>
      <c r="B18152" s="21"/>
      <c r="C18152" s="8" t="s">
        <v>296</v>
      </c>
      <c r="D18152" s="1" t="str">
        <f>HYPERLINK("javascript:void(0)","lábkarcsont")</f>
        <v>lábkarcsont</v>
      </c>
    </row>
    <row r="18153" spans="1:4" ht="12.75" customHeight="1" x14ac:dyDescent="0.2">
      <c r="A18153" s="21"/>
      <c r="B18153" s="21"/>
      <c r="C18153" s="8" t="s">
        <v>68</v>
      </c>
      <c r="D18153" s="1" t="str">
        <f>HYPERLINK("javascript:void(0)","hiperzsír")</f>
        <v>hiperzsír</v>
      </c>
    </row>
    <row r="18154" spans="1:4" ht="12.75" customHeight="1" x14ac:dyDescent="0.2">
      <c r="A18154" s="21"/>
      <c r="B18154" s="2"/>
      <c r="C18154" s="7"/>
      <c r="D18154" s="7"/>
    </row>
    <row r="18155" spans="1:4" ht="12.75" customHeight="1" x14ac:dyDescent="0.2">
      <c r="A18155" s="21"/>
      <c r="B18155" s="2"/>
      <c r="C18155" s="7"/>
      <c r="D18155" s="7"/>
    </row>
    <row r="18156" spans="1:4" ht="12.75" customHeight="1" x14ac:dyDescent="0.2">
      <c r="A18156" s="21"/>
      <c r="B18156" s="2"/>
      <c r="C18156" s="7"/>
      <c r="D18156" s="7"/>
    </row>
    <row r="18157" spans="1:4" ht="12.75" customHeight="1" x14ac:dyDescent="0.2">
      <c r="A18157" s="21"/>
      <c r="B18157" s="2"/>
      <c r="C18157" s="7"/>
      <c r="D18157" s="7"/>
    </row>
    <row r="18158" spans="1:4" ht="12.75" customHeight="1" x14ac:dyDescent="0.2">
      <c r="A18158" s="5"/>
      <c r="B18158" s="2"/>
      <c r="C18158" s="7"/>
      <c r="D18158" s="7"/>
    </row>
    <row r="18159" spans="1:4" ht="12.75" customHeight="1" x14ac:dyDescent="0.2">
      <c r="A18159" s="22" t="str">
        <f>HYPERLINK("javascript:void(0)","szentelt antigrav csizma")</f>
        <v>szentelt antigrav csizma</v>
      </c>
      <c r="B18159" s="21"/>
      <c r="C18159" s="21"/>
      <c r="D18159" s="21"/>
    </row>
    <row r="18160" spans="1:4" ht="12.75" customHeight="1" x14ac:dyDescent="0.2">
      <c r="A18160" s="20"/>
      <c r="B18160" s="2"/>
      <c r="C18160" s="7"/>
      <c r="D18160" s="7"/>
    </row>
    <row r="18161" spans="1:4" ht="12.75" customHeight="1" x14ac:dyDescent="0.2">
      <c r="A18161" s="21"/>
      <c r="B18161" s="3" t="s">
        <v>0</v>
      </c>
      <c r="C18161" s="23" t="s">
        <v>1373</v>
      </c>
      <c r="D18161" s="21"/>
    </row>
    <row r="18162" spans="1:4" ht="12.75" customHeight="1" x14ac:dyDescent="0.2">
      <c r="A18162" s="21"/>
      <c r="B18162" s="3" t="s">
        <v>2</v>
      </c>
      <c r="C18162" s="23"/>
      <c r="D18162" s="21"/>
    </row>
    <row r="18163" spans="1:4" ht="12.75" customHeight="1" x14ac:dyDescent="0.2">
      <c r="A18163" s="21"/>
      <c r="B18163" s="3" t="s">
        <v>1840</v>
      </c>
      <c r="C18163" s="23" t="s">
        <v>6247</v>
      </c>
      <c r="D18163" s="21"/>
    </row>
    <row r="18164" spans="1:4" ht="12.75" customHeight="1" x14ac:dyDescent="0.2">
      <c r="A18164" s="21"/>
      <c r="B18164" s="3" t="s">
        <v>9</v>
      </c>
      <c r="C18164" s="23" t="s">
        <v>626</v>
      </c>
      <c r="D18164" s="21"/>
    </row>
    <row r="18165" spans="1:4" ht="12.75" customHeight="1" x14ac:dyDescent="0.2">
      <c r="A18165" s="21"/>
      <c r="B18165" s="3" t="s">
        <v>11</v>
      </c>
      <c r="C18165" s="23" t="s">
        <v>23</v>
      </c>
      <c r="D18165" s="21"/>
    </row>
    <row r="18166" spans="1:4" ht="12.75" customHeight="1" x14ac:dyDescent="0.2">
      <c r="A18166" s="21"/>
      <c r="B18166" s="3" t="s">
        <v>16</v>
      </c>
      <c r="C18166" s="23"/>
      <c r="D18166" s="21"/>
    </row>
    <row r="18167" spans="1:4" ht="12.75" customHeight="1" x14ac:dyDescent="0.2">
      <c r="A18167" s="21"/>
      <c r="B18167" s="3" t="s">
        <v>17</v>
      </c>
      <c r="C18167" s="23" t="s">
        <v>19</v>
      </c>
      <c r="D18167" s="21"/>
    </row>
    <row r="18168" spans="1:4" ht="25.5" customHeight="1" x14ac:dyDescent="0.2">
      <c r="A18168" s="21"/>
      <c r="B18168" s="20" t="s">
        <v>18</v>
      </c>
      <c r="C18168" s="8" t="s">
        <v>44</v>
      </c>
      <c r="D18168" s="1" t="str">
        <f>HYPERLINK("javascript:void(0)","nikacél antigrav csizma")</f>
        <v>nikacél antigrav csizma</v>
      </c>
    </row>
    <row r="18169" spans="1:4" ht="12.75" customHeight="1" x14ac:dyDescent="0.2">
      <c r="A18169" s="21"/>
      <c r="B18169" s="21"/>
      <c r="C18169" s="8" t="s">
        <v>193</v>
      </c>
      <c r="D18169" s="1" t="str">
        <f>HYPERLINK("javascript:void(0)","állásfoglalás")</f>
        <v>állásfoglalás</v>
      </c>
    </row>
    <row r="18170" spans="1:4" ht="12.75" customHeight="1" x14ac:dyDescent="0.2">
      <c r="A18170" s="21"/>
      <c r="B18170" s="21"/>
      <c r="C18170" s="8" t="s">
        <v>130</v>
      </c>
      <c r="D18170" s="1" t="str">
        <f>HYPERLINK("javascript:void(0)","bajuszkötő")</f>
        <v>bajuszkötő</v>
      </c>
    </row>
    <row r="18171" spans="1:4" ht="12.75" customHeight="1" x14ac:dyDescent="0.2">
      <c r="A18171" s="21"/>
      <c r="B18171" s="2"/>
      <c r="C18171" s="7"/>
      <c r="D18171" s="7"/>
    </row>
    <row r="18172" spans="1:4" ht="12.75" customHeight="1" x14ac:dyDescent="0.2">
      <c r="A18172" s="21"/>
      <c r="B18172" s="2"/>
      <c r="C18172" s="7"/>
      <c r="D18172" s="7"/>
    </row>
    <row r="18173" spans="1:4" ht="12.75" customHeight="1" x14ac:dyDescent="0.2">
      <c r="A18173" s="21"/>
      <c r="B18173" s="2"/>
      <c r="C18173" s="7"/>
      <c r="D18173" s="7"/>
    </row>
    <row r="18174" spans="1:4" ht="12.75" customHeight="1" x14ac:dyDescent="0.2">
      <c r="A18174" s="21"/>
      <c r="B18174" s="2"/>
      <c r="C18174" s="7"/>
      <c r="D18174" s="7"/>
    </row>
    <row r="18175" spans="1:4" ht="12.75" customHeight="1" x14ac:dyDescent="0.2">
      <c r="A18175" s="5"/>
      <c r="B18175" s="2"/>
      <c r="C18175" s="7"/>
      <c r="D18175" s="7"/>
    </row>
    <row r="18176" spans="1:4" ht="12.75" customHeight="1" x14ac:dyDescent="0.2">
      <c r="A18176" s="22" t="str">
        <f>HYPERLINK("javascript:void(0)","fénypajzs")</f>
        <v>fénypajzs</v>
      </c>
      <c r="B18176" s="21"/>
      <c r="C18176" s="21"/>
      <c r="D18176" s="21"/>
    </row>
    <row r="18177" spans="1:4" ht="12.75" customHeight="1" x14ac:dyDescent="0.2">
      <c r="A18177" s="20"/>
      <c r="B18177" s="2"/>
      <c r="C18177" s="7"/>
      <c r="D18177" s="7"/>
    </row>
    <row r="18178" spans="1:4" ht="12.75" customHeight="1" x14ac:dyDescent="0.2">
      <c r="A18178" s="21"/>
      <c r="B18178" s="3" t="s">
        <v>0</v>
      </c>
      <c r="C18178" s="23" t="s">
        <v>1373</v>
      </c>
      <c r="D18178" s="21"/>
    </row>
    <row r="18179" spans="1:4" ht="12.75" customHeight="1" x14ac:dyDescent="0.2">
      <c r="A18179" s="21"/>
      <c r="B18179" s="3" t="s">
        <v>2</v>
      </c>
      <c r="C18179" s="23" t="s">
        <v>1839</v>
      </c>
      <c r="D18179" s="21"/>
    </row>
    <row r="18180" spans="1:4" ht="12.75" customHeight="1" x14ac:dyDescent="0.2">
      <c r="A18180" s="21"/>
      <c r="B18180" s="3" t="s">
        <v>1840</v>
      </c>
      <c r="C18180" s="23" t="s">
        <v>2479</v>
      </c>
      <c r="D18180" s="21"/>
    </row>
    <row r="18181" spans="1:4" ht="12.75" customHeight="1" x14ac:dyDescent="0.2">
      <c r="A18181" s="21"/>
      <c r="B18181" s="3" t="s">
        <v>9</v>
      </c>
      <c r="C18181" s="23" t="s">
        <v>249</v>
      </c>
      <c r="D18181" s="21"/>
    </row>
    <row r="18182" spans="1:4" ht="12.75" customHeight="1" x14ac:dyDescent="0.2">
      <c r="A18182" s="21"/>
      <c r="B18182" s="3" t="s">
        <v>11</v>
      </c>
      <c r="C18182" s="23" t="s">
        <v>1283</v>
      </c>
      <c r="D18182" s="21"/>
    </row>
    <row r="18183" spans="1:4" ht="12.75" customHeight="1" x14ac:dyDescent="0.2">
      <c r="A18183" s="21"/>
      <c r="B18183" s="3" t="s">
        <v>16</v>
      </c>
      <c r="C18183" s="23"/>
      <c r="D18183" s="21"/>
    </row>
    <row r="18184" spans="1:4" ht="12.75" customHeight="1" x14ac:dyDescent="0.2">
      <c r="A18184" s="21"/>
      <c r="B18184" s="3" t="s">
        <v>17</v>
      </c>
      <c r="C18184" s="23" t="s">
        <v>19</v>
      </c>
      <c r="D18184" s="21"/>
    </row>
    <row r="18185" spans="1:4" ht="12.75" customHeight="1" x14ac:dyDescent="0.2">
      <c r="A18185" s="21"/>
      <c r="B18185" s="20" t="s">
        <v>18</v>
      </c>
      <c r="C18185" s="8" t="s">
        <v>44</v>
      </c>
      <c r="D18185" s="1" t="str">
        <f>HYPERLINK("javascript:void(0)","árnypajzs")</f>
        <v>árnypajzs</v>
      </c>
    </row>
    <row r="18186" spans="1:4" ht="12.75" customHeight="1" x14ac:dyDescent="0.2">
      <c r="A18186" s="21"/>
      <c r="B18186" s="21"/>
      <c r="C18186" s="8" t="s">
        <v>68</v>
      </c>
      <c r="D18186" s="1" t="str">
        <f>HYPERLINK("javascript:void(0)","fényige")</f>
        <v>fényige</v>
      </c>
    </row>
    <row r="18187" spans="1:4" ht="12.75" customHeight="1" x14ac:dyDescent="0.2">
      <c r="A18187" s="21"/>
      <c r="B18187" s="21"/>
      <c r="C18187" s="8" t="s">
        <v>331</v>
      </c>
      <c r="D18187" s="1" t="str">
        <f>HYPERLINK("javascript:void(0)","olvadás")</f>
        <v>olvadás</v>
      </c>
    </row>
    <row r="18188" spans="1:4" ht="12.75" customHeight="1" x14ac:dyDescent="0.2">
      <c r="A18188" s="21"/>
      <c r="B18188" s="2"/>
      <c r="C18188" s="7"/>
      <c r="D18188" s="7"/>
    </row>
    <row r="18189" spans="1:4" ht="12.75" customHeight="1" x14ac:dyDescent="0.2">
      <c r="A18189" s="21"/>
      <c r="B18189" s="2"/>
      <c r="C18189" s="7"/>
      <c r="D18189" s="7"/>
    </row>
    <row r="18190" spans="1:4" ht="12.75" customHeight="1" x14ac:dyDescent="0.2">
      <c r="A18190" s="21"/>
      <c r="B18190" s="2"/>
      <c r="C18190" s="7"/>
      <c r="D18190" s="7"/>
    </row>
    <row r="18191" spans="1:4" ht="12.75" customHeight="1" x14ac:dyDescent="0.2">
      <c r="A18191" s="21"/>
      <c r="B18191" s="2"/>
      <c r="C18191" s="7"/>
      <c r="D18191" s="7"/>
    </row>
    <row r="18192" spans="1:4" ht="12.75" customHeight="1" x14ac:dyDescent="0.2">
      <c r="A18192" s="5"/>
      <c r="B18192" s="2"/>
      <c r="C18192" s="7"/>
      <c r="D18192" s="7"/>
    </row>
    <row r="18193" spans="1:4" ht="12.75" customHeight="1" x14ac:dyDescent="0.2">
      <c r="A18193" s="22" t="str">
        <f>HYPERLINK("javascript:void(0)","gyémánt pihepajzs")</f>
        <v>gyémánt pihepajzs</v>
      </c>
      <c r="B18193" s="21"/>
      <c r="C18193" s="21"/>
      <c r="D18193" s="21"/>
    </row>
    <row r="18194" spans="1:4" ht="12.75" customHeight="1" x14ac:dyDescent="0.2">
      <c r="A18194" s="20"/>
      <c r="B18194" s="2"/>
      <c r="C18194" s="7"/>
      <c r="D18194" s="7"/>
    </row>
    <row r="18195" spans="1:4" ht="12.75" customHeight="1" x14ac:dyDescent="0.2">
      <c r="A18195" s="21"/>
      <c r="B18195" s="3" t="s">
        <v>0</v>
      </c>
      <c r="C18195" s="23" t="s">
        <v>1373</v>
      </c>
      <c r="D18195" s="21"/>
    </row>
    <row r="18196" spans="1:4" ht="12.75" customHeight="1" x14ac:dyDescent="0.2">
      <c r="A18196" s="21"/>
      <c r="B18196" s="3" t="s">
        <v>2</v>
      </c>
      <c r="C18196" s="23" t="s">
        <v>1839</v>
      </c>
      <c r="D18196" s="21"/>
    </row>
    <row r="18197" spans="1:4" ht="12.75" customHeight="1" x14ac:dyDescent="0.2">
      <c r="A18197" s="21"/>
      <c r="B18197" s="3" t="s">
        <v>1840</v>
      </c>
      <c r="C18197" s="23" t="s">
        <v>2479</v>
      </c>
      <c r="D18197" s="21"/>
    </row>
    <row r="18198" spans="1:4" ht="12.75" customHeight="1" x14ac:dyDescent="0.2">
      <c r="A18198" s="21"/>
      <c r="B18198" s="3" t="s">
        <v>9</v>
      </c>
      <c r="C18198" s="23" t="s">
        <v>30</v>
      </c>
      <c r="D18198" s="21"/>
    </row>
    <row r="18199" spans="1:4" ht="12.75" customHeight="1" x14ac:dyDescent="0.2">
      <c r="A18199" s="21"/>
      <c r="B18199" s="3" t="s">
        <v>11</v>
      </c>
      <c r="C18199" s="23" t="s">
        <v>1329</v>
      </c>
      <c r="D18199" s="21"/>
    </row>
    <row r="18200" spans="1:4" ht="12.75" customHeight="1" x14ac:dyDescent="0.2">
      <c r="A18200" s="21"/>
      <c r="B18200" s="3" t="s">
        <v>16</v>
      </c>
      <c r="C18200" s="23"/>
      <c r="D18200" s="21"/>
    </row>
    <row r="18201" spans="1:4" ht="12.75" customHeight="1" x14ac:dyDescent="0.2">
      <c r="A18201" s="21"/>
      <c r="B18201" s="3" t="s">
        <v>17</v>
      </c>
      <c r="C18201" s="23" t="s">
        <v>19</v>
      </c>
      <c r="D18201" s="21"/>
    </row>
    <row r="18202" spans="1:4" ht="12.75" customHeight="1" x14ac:dyDescent="0.2">
      <c r="A18202" s="21"/>
      <c r="B18202" s="20" t="s">
        <v>18</v>
      </c>
      <c r="C18202" s="8" t="s">
        <v>44</v>
      </c>
      <c r="D18202" s="1" t="str">
        <f>HYPERLINK("javascript:void(0)","fénypajzs")</f>
        <v>fénypajzs</v>
      </c>
    </row>
    <row r="18203" spans="1:4" ht="12.75" customHeight="1" x14ac:dyDescent="0.2">
      <c r="A18203" s="21"/>
      <c r="B18203" s="21"/>
      <c r="C18203" s="8" t="s">
        <v>196</v>
      </c>
      <c r="D18203" s="1" t="str">
        <f>HYPERLINK("javascript:void(0)","állásfoglalás")</f>
        <v>állásfoglalás</v>
      </c>
    </row>
    <row r="18204" spans="1:4" ht="12.75" customHeight="1" x14ac:dyDescent="0.2">
      <c r="A18204" s="21"/>
      <c r="B18204" s="21"/>
      <c r="C18204" s="8" t="s">
        <v>196</v>
      </c>
      <c r="D18204" s="1" t="str">
        <f>HYPERLINK("javascript:void(0)","szigony")</f>
        <v>szigony</v>
      </c>
    </row>
    <row r="18205" spans="1:4" ht="12.75" customHeight="1" x14ac:dyDescent="0.2">
      <c r="A18205" s="21"/>
      <c r="B18205" s="2"/>
      <c r="C18205" s="7"/>
      <c r="D18205" s="7"/>
    </row>
    <row r="18206" spans="1:4" ht="12.75" customHeight="1" x14ac:dyDescent="0.2">
      <c r="A18206" s="21"/>
      <c r="B18206" s="2"/>
      <c r="C18206" s="7"/>
      <c r="D18206" s="7"/>
    </row>
    <row r="18207" spans="1:4" ht="12.75" customHeight="1" x14ac:dyDescent="0.2">
      <c r="A18207" s="21"/>
      <c r="B18207" s="2"/>
      <c r="C18207" s="7"/>
      <c r="D18207" s="7"/>
    </row>
    <row r="18208" spans="1:4" ht="12.75" customHeight="1" x14ac:dyDescent="0.2">
      <c r="A18208" s="21"/>
      <c r="B18208" s="2"/>
      <c r="C18208" s="7"/>
      <c r="D18208" s="7"/>
    </row>
    <row r="18209" spans="1:4" ht="12.75" customHeight="1" x14ac:dyDescent="0.2">
      <c r="A18209" s="5"/>
      <c r="B18209" s="2"/>
      <c r="C18209" s="7"/>
      <c r="D18209" s="7"/>
    </row>
    <row r="18210" spans="1:4" ht="12.75" customHeight="1" x14ac:dyDescent="0.2">
      <c r="A18210" s="22" t="str">
        <f>HYPERLINK("javascript:void(0)","szálkorona")</f>
        <v>szálkorona</v>
      </c>
      <c r="B18210" s="21"/>
      <c r="C18210" s="21"/>
      <c r="D18210" s="21"/>
    </row>
    <row r="18211" spans="1:4" ht="12.75" customHeight="1" x14ac:dyDescent="0.2">
      <c r="A18211" s="20"/>
      <c r="B18211" s="2"/>
      <c r="C18211" s="7"/>
      <c r="D18211" s="7"/>
    </row>
    <row r="18212" spans="1:4" ht="12.75" customHeight="1" x14ac:dyDescent="0.2">
      <c r="A18212" s="21"/>
      <c r="B18212" s="3" t="s">
        <v>0</v>
      </c>
      <c r="C18212" s="23" t="s">
        <v>1381</v>
      </c>
      <c r="D18212" s="21"/>
    </row>
    <row r="18213" spans="1:4" ht="12.75" customHeight="1" x14ac:dyDescent="0.2">
      <c r="A18213" s="21"/>
      <c r="B18213" s="3" t="s">
        <v>2</v>
      </c>
      <c r="C18213" s="23"/>
      <c r="D18213" s="21"/>
    </row>
    <row r="18214" spans="1:4" ht="12.75" customHeight="1" x14ac:dyDescent="0.2">
      <c r="A18214" s="21"/>
      <c r="B18214" s="3" t="s">
        <v>1840</v>
      </c>
      <c r="C18214" s="23" t="s">
        <v>3479</v>
      </c>
      <c r="D18214" s="21"/>
    </row>
    <row r="18215" spans="1:4" ht="12.75" customHeight="1" x14ac:dyDescent="0.2">
      <c r="A18215" s="21"/>
      <c r="B18215" s="3" t="s">
        <v>9</v>
      </c>
      <c r="C18215" s="23" t="s">
        <v>959</v>
      </c>
      <c r="D18215" s="21"/>
    </row>
    <row r="18216" spans="1:4" ht="12.75" customHeight="1" x14ac:dyDescent="0.2">
      <c r="A18216" s="21"/>
      <c r="B18216" s="3" t="s">
        <v>11</v>
      </c>
      <c r="C18216" s="23" t="s">
        <v>1283</v>
      </c>
      <c r="D18216" s="21"/>
    </row>
    <row r="18217" spans="1:4" ht="12.75" customHeight="1" x14ac:dyDescent="0.2">
      <c r="A18217" s="21"/>
      <c r="B18217" s="3" t="s">
        <v>16</v>
      </c>
      <c r="C18217" s="23"/>
      <c r="D18217" s="21"/>
    </row>
    <row r="18218" spans="1:4" ht="12.75" customHeight="1" x14ac:dyDescent="0.2">
      <c r="A18218" s="21"/>
      <c r="B18218" s="3" t="s">
        <v>17</v>
      </c>
      <c r="C18218" s="23" t="s">
        <v>19</v>
      </c>
      <c r="D18218" s="21"/>
    </row>
    <row r="18219" spans="1:4" ht="12.75" customHeight="1" x14ac:dyDescent="0.2">
      <c r="A18219" s="21"/>
      <c r="B18219" s="20" t="s">
        <v>18</v>
      </c>
      <c r="C18219" s="8" t="s">
        <v>44</v>
      </c>
      <c r="D18219" s="1" t="str">
        <f>HYPERLINK("javascript:void(0)","szigonysisak")</f>
        <v>szigonysisak</v>
      </c>
    </row>
    <row r="18220" spans="1:4" ht="12.75" customHeight="1" x14ac:dyDescent="0.2">
      <c r="A18220" s="21"/>
      <c r="B18220" s="21"/>
      <c r="C18220" s="8" t="s">
        <v>77</v>
      </c>
      <c r="D18220" s="1" t="str">
        <f>HYPERLINK("javascript:void(0)","pengeszálka")</f>
        <v>pengeszálka</v>
      </c>
    </row>
    <row r="18221" spans="1:4" ht="12.75" customHeight="1" x14ac:dyDescent="0.2">
      <c r="A18221" s="21"/>
      <c r="B18221" s="21"/>
      <c r="C18221" s="8" t="s">
        <v>132</v>
      </c>
      <c r="D18221" s="1" t="str">
        <f>HYPERLINK("javascript:void(0)","banánhéj")</f>
        <v>banánhéj</v>
      </c>
    </row>
    <row r="18222" spans="1:4" ht="12.75" customHeight="1" x14ac:dyDescent="0.2">
      <c r="A18222" s="21"/>
      <c r="B18222" s="2"/>
      <c r="C18222" s="7"/>
      <c r="D18222" s="7"/>
    </row>
    <row r="18223" spans="1:4" ht="12.75" customHeight="1" x14ac:dyDescent="0.2">
      <c r="A18223" s="21"/>
      <c r="B18223" s="2"/>
      <c r="C18223" s="7"/>
      <c r="D18223" s="7"/>
    </row>
    <row r="18224" spans="1:4" ht="12.75" customHeight="1" x14ac:dyDescent="0.2">
      <c r="A18224" s="21"/>
      <c r="B18224" s="2"/>
      <c r="C18224" s="7"/>
      <c r="D18224" s="7"/>
    </row>
    <row r="18225" spans="1:4" ht="12.75" customHeight="1" x14ac:dyDescent="0.2">
      <c r="A18225" s="21"/>
      <c r="B18225" s="2"/>
      <c r="C18225" s="7"/>
      <c r="D18225" s="7"/>
    </row>
    <row r="18226" spans="1:4" ht="12.75" customHeight="1" x14ac:dyDescent="0.2">
      <c r="A18226" s="5"/>
      <c r="B18226" s="2"/>
      <c r="C18226" s="7"/>
      <c r="D18226" s="7"/>
    </row>
    <row r="18227" spans="1:4" ht="12.75" customHeight="1" x14ac:dyDescent="0.2">
      <c r="A18227" s="22" t="str">
        <f>HYPERLINK("javascript:void(0)","arany zeke")</f>
        <v>arany zeke</v>
      </c>
      <c r="B18227" s="21"/>
      <c r="C18227" s="21"/>
      <c r="D18227" s="21"/>
    </row>
    <row r="18228" spans="1:4" ht="12.75" customHeight="1" x14ac:dyDescent="0.2">
      <c r="A18228" s="20"/>
      <c r="B18228" s="2"/>
      <c r="C18228" s="7"/>
      <c r="D18228" s="7"/>
    </row>
    <row r="18229" spans="1:4" ht="12.75" customHeight="1" x14ac:dyDescent="0.2">
      <c r="A18229" s="21"/>
      <c r="B18229" s="3" t="s">
        <v>0</v>
      </c>
      <c r="C18229" s="23" t="s">
        <v>1381</v>
      </c>
      <c r="D18229" s="21"/>
    </row>
    <row r="18230" spans="1:4" ht="12.75" customHeight="1" x14ac:dyDescent="0.2">
      <c r="A18230" s="21"/>
      <c r="B18230" s="3" t="s">
        <v>2</v>
      </c>
      <c r="C18230" s="23" t="s">
        <v>2322</v>
      </c>
      <c r="D18230" s="21"/>
    </row>
    <row r="18231" spans="1:4" ht="12.75" customHeight="1" x14ac:dyDescent="0.2">
      <c r="A18231" s="21"/>
      <c r="B18231" s="3" t="s">
        <v>1840</v>
      </c>
      <c r="C18231" s="23" t="s">
        <v>2582</v>
      </c>
      <c r="D18231" s="21"/>
    </row>
    <row r="18232" spans="1:4" ht="12.75" customHeight="1" x14ac:dyDescent="0.2">
      <c r="A18232" s="21"/>
      <c r="B18232" s="3" t="s">
        <v>9</v>
      </c>
      <c r="C18232" s="23" t="s">
        <v>2583</v>
      </c>
      <c r="D18232" s="21"/>
    </row>
    <row r="18233" spans="1:4" ht="12.75" customHeight="1" x14ac:dyDescent="0.2">
      <c r="A18233" s="21"/>
      <c r="B18233" s="3" t="s">
        <v>11</v>
      </c>
      <c r="C18233" s="23" t="s">
        <v>1312</v>
      </c>
      <c r="D18233" s="21"/>
    </row>
    <row r="18234" spans="1:4" ht="12.75" customHeight="1" x14ac:dyDescent="0.2">
      <c r="A18234" s="21"/>
      <c r="B18234" s="3" t="s">
        <v>16</v>
      </c>
      <c r="C18234" s="23"/>
      <c r="D18234" s="21"/>
    </row>
    <row r="18235" spans="1:4" ht="12.75" customHeight="1" x14ac:dyDescent="0.2">
      <c r="A18235" s="21"/>
      <c r="B18235" s="3" t="s">
        <v>17</v>
      </c>
      <c r="C18235" s="23" t="s">
        <v>19</v>
      </c>
      <c r="D18235" s="21"/>
    </row>
    <row r="18236" spans="1:4" ht="12.75" customHeight="1" x14ac:dyDescent="0.2">
      <c r="A18236" s="21"/>
      <c r="B18236" s="20" t="s">
        <v>18</v>
      </c>
      <c r="C18236" s="8" t="s">
        <v>331</v>
      </c>
      <c r="D18236" s="1" t="str">
        <f>HYPERLINK("javascript:void(0)","átokhordozó")</f>
        <v>átokhordozó</v>
      </c>
    </row>
    <row r="18237" spans="1:4" ht="12.75" customHeight="1" x14ac:dyDescent="0.2">
      <c r="A18237" s="21"/>
      <c r="B18237" s="21"/>
      <c r="C18237" s="8" t="s">
        <v>132</v>
      </c>
      <c r="D18237" s="1" t="str">
        <f>HYPERLINK("javascript:void(0)","dobogás")</f>
        <v>dobogás</v>
      </c>
    </row>
    <row r="18238" spans="1:4" ht="12.75" customHeight="1" x14ac:dyDescent="0.2">
      <c r="A18238" s="21"/>
      <c r="B18238" s="21"/>
      <c r="C18238" s="8" t="s">
        <v>296</v>
      </c>
      <c r="D18238" s="1" t="str">
        <f>HYPERLINK("javascript:void(0)","bajuszkötő")</f>
        <v>bajuszkötő</v>
      </c>
    </row>
    <row r="18239" spans="1:4" ht="12.75" customHeight="1" x14ac:dyDescent="0.2">
      <c r="A18239" s="21"/>
      <c r="B18239" s="2"/>
      <c r="C18239" s="7"/>
      <c r="D18239" s="7"/>
    </row>
    <row r="18240" spans="1:4" ht="12.75" customHeight="1" x14ac:dyDescent="0.2">
      <c r="A18240" s="21"/>
      <c r="B18240" s="2"/>
      <c r="C18240" s="7"/>
      <c r="D18240" s="7"/>
    </row>
    <row r="18241" spans="1:4" ht="12.75" customHeight="1" x14ac:dyDescent="0.2">
      <c r="A18241" s="21"/>
      <c r="B18241" s="2"/>
      <c r="C18241" s="7"/>
      <c r="D18241" s="7"/>
    </row>
    <row r="18242" spans="1:4" ht="12.75" customHeight="1" x14ac:dyDescent="0.2">
      <c r="A18242" s="21"/>
      <c r="B18242" s="2"/>
      <c r="C18242" s="7"/>
      <c r="D18242" s="7"/>
    </row>
    <row r="18243" spans="1:4" ht="12.75" customHeight="1" x14ac:dyDescent="0.2">
      <c r="A18243" s="5"/>
      <c r="B18243" s="2"/>
      <c r="C18243" s="7"/>
      <c r="D18243" s="7"/>
    </row>
    <row r="18244" spans="1:4" ht="12.75" customHeight="1" x14ac:dyDescent="0.2">
      <c r="A18244" s="22" t="str">
        <f>HYPERLINK("javascript:void(0)","tomporvédő")</f>
        <v>tomporvédő</v>
      </c>
      <c r="B18244" s="21"/>
      <c r="C18244" s="21"/>
      <c r="D18244" s="21"/>
    </row>
    <row r="18245" spans="1:4" ht="12.75" customHeight="1" x14ac:dyDescent="0.2">
      <c r="A18245" s="20"/>
      <c r="B18245" s="2"/>
      <c r="C18245" s="7"/>
      <c r="D18245" s="7"/>
    </row>
    <row r="18246" spans="1:4" ht="12.75" customHeight="1" x14ac:dyDescent="0.2">
      <c r="A18246" s="21"/>
      <c r="B18246" s="3" t="s">
        <v>0</v>
      </c>
      <c r="C18246" s="23" t="s">
        <v>1381</v>
      </c>
      <c r="D18246" s="21"/>
    </row>
    <row r="18247" spans="1:4" ht="12.75" customHeight="1" x14ac:dyDescent="0.2">
      <c r="A18247" s="21"/>
      <c r="B18247" s="3" t="s">
        <v>2</v>
      </c>
      <c r="C18247" s="23"/>
      <c r="D18247" s="21"/>
    </row>
    <row r="18248" spans="1:4" ht="12.75" customHeight="1" x14ac:dyDescent="0.2">
      <c r="A18248" s="21"/>
      <c r="B18248" s="3" t="s">
        <v>1840</v>
      </c>
      <c r="C18248" s="23" t="s">
        <v>1832</v>
      </c>
      <c r="D18248" s="21"/>
    </row>
    <row r="18249" spans="1:4" ht="12.75" customHeight="1" x14ac:dyDescent="0.2">
      <c r="A18249" s="21"/>
      <c r="B18249" s="3" t="s">
        <v>9</v>
      </c>
      <c r="C18249" s="23" t="s">
        <v>210</v>
      </c>
      <c r="D18249" s="21"/>
    </row>
    <row r="18250" spans="1:4" ht="12.75" customHeight="1" x14ac:dyDescent="0.2">
      <c r="A18250" s="21"/>
      <c r="B18250" s="3" t="s">
        <v>11</v>
      </c>
      <c r="C18250" s="23" t="s">
        <v>1283</v>
      </c>
      <c r="D18250" s="21"/>
    </row>
    <row r="18251" spans="1:4" ht="12.75" customHeight="1" x14ac:dyDescent="0.2">
      <c r="A18251" s="21"/>
      <c r="B18251" s="3" t="s">
        <v>16</v>
      </c>
      <c r="C18251" s="23"/>
      <c r="D18251" s="21"/>
    </row>
    <row r="18252" spans="1:4" ht="12.75" customHeight="1" x14ac:dyDescent="0.2">
      <c r="A18252" s="21"/>
      <c r="B18252" s="3" t="s">
        <v>17</v>
      </c>
      <c r="C18252" s="23" t="s">
        <v>19</v>
      </c>
      <c r="D18252" s="21"/>
    </row>
    <row r="18253" spans="1:4" ht="12.75" customHeight="1" x14ac:dyDescent="0.2">
      <c r="A18253" s="21"/>
      <c r="B18253" s="20" t="s">
        <v>18</v>
      </c>
      <c r="C18253" s="8" t="s">
        <v>44</v>
      </c>
      <c r="D18253" s="1" t="str">
        <f>HYPERLINK("javascript:void(0)","plazmabakancs")</f>
        <v>plazmabakancs</v>
      </c>
    </row>
    <row r="18254" spans="1:4" ht="12.75" customHeight="1" x14ac:dyDescent="0.2">
      <c r="A18254" s="21"/>
      <c r="B18254" s="21"/>
      <c r="C18254" s="8" t="s">
        <v>44</v>
      </c>
      <c r="D18254" s="1" t="str">
        <f>HYPERLINK("javascript:void(0)","ultramokaszin")</f>
        <v>ultramokaszin</v>
      </c>
    </row>
    <row r="18255" spans="1:4" ht="12.75" customHeight="1" x14ac:dyDescent="0.2">
      <c r="A18255" s="21"/>
      <c r="B18255" s="21"/>
      <c r="C18255" s="8" t="s">
        <v>68</v>
      </c>
      <c r="D18255" s="1" t="str">
        <f>HYPERLINK("javascript:void(0)","tompor")</f>
        <v>tompor</v>
      </c>
    </row>
    <row r="18256" spans="1:4" ht="12.75" customHeight="1" x14ac:dyDescent="0.2">
      <c r="A18256" s="21"/>
      <c r="B18256" s="2"/>
      <c r="C18256" s="7"/>
      <c r="D18256" s="7"/>
    </row>
    <row r="18257" spans="1:4" ht="12.75" customHeight="1" x14ac:dyDescent="0.2">
      <c r="A18257" s="21"/>
      <c r="B18257" s="2"/>
      <c r="C18257" s="7"/>
      <c r="D18257" s="7"/>
    </row>
    <row r="18258" spans="1:4" ht="12.75" customHeight="1" x14ac:dyDescent="0.2">
      <c r="A18258" s="21"/>
      <c r="B18258" s="2"/>
      <c r="C18258" s="7"/>
      <c r="D18258" s="7"/>
    </row>
    <row r="18259" spans="1:4" ht="12.75" customHeight="1" x14ac:dyDescent="0.2">
      <c r="A18259" s="21"/>
      <c r="B18259" s="2"/>
      <c r="C18259" s="7"/>
      <c r="D18259" s="7"/>
    </row>
    <row r="18260" spans="1:4" ht="12.75" customHeight="1" x14ac:dyDescent="0.2">
      <c r="A18260" s="5"/>
      <c r="B18260" s="2"/>
      <c r="C18260" s="7"/>
      <c r="D18260" s="7"/>
    </row>
    <row r="18261" spans="1:4" ht="12.75" customHeight="1" x14ac:dyDescent="0.2">
      <c r="A18261" s="22" t="str">
        <f>HYPERLINK("javascript:void(0)","fény testpajzs")</f>
        <v>fény testpajzs</v>
      </c>
      <c r="B18261" s="21"/>
      <c r="C18261" s="21"/>
      <c r="D18261" s="21"/>
    </row>
    <row r="18262" spans="1:4" ht="12.75" customHeight="1" x14ac:dyDescent="0.2">
      <c r="A18262" s="20"/>
      <c r="B18262" s="2"/>
      <c r="C18262" s="7"/>
      <c r="D18262" s="7"/>
    </row>
    <row r="18263" spans="1:4" ht="12.75" customHeight="1" x14ac:dyDescent="0.2">
      <c r="A18263" s="21"/>
      <c r="B18263" s="3" t="s">
        <v>0</v>
      </c>
      <c r="C18263" s="23" t="s">
        <v>1381</v>
      </c>
      <c r="D18263" s="21"/>
    </row>
    <row r="18264" spans="1:4" ht="12.75" customHeight="1" x14ac:dyDescent="0.2">
      <c r="A18264" s="21"/>
      <c r="B18264" s="3" t="s">
        <v>2</v>
      </c>
      <c r="C18264" s="23" t="s">
        <v>1839</v>
      </c>
      <c r="D18264" s="21"/>
    </row>
    <row r="18265" spans="1:4" ht="12.75" customHeight="1" x14ac:dyDescent="0.2">
      <c r="A18265" s="21"/>
      <c r="B18265" s="3" t="s">
        <v>1840</v>
      </c>
      <c r="C18265" s="23" t="s">
        <v>6280</v>
      </c>
      <c r="D18265" s="21"/>
    </row>
    <row r="18266" spans="1:4" ht="12.75" customHeight="1" x14ac:dyDescent="0.2">
      <c r="A18266" s="21"/>
      <c r="B18266" s="3" t="s">
        <v>9</v>
      </c>
      <c r="C18266" s="23" t="s">
        <v>262</v>
      </c>
      <c r="D18266" s="21"/>
    </row>
    <row r="18267" spans="1:4" ht="12.75" customHeight="1" x14ac:dyDescent="0.2">
      <c r="A18267" s="21"/>
      <c r="B18267" s="3" t="s">
        <v>11</v>
      </c>
      <c r="C18267" s="23" t="s">
        <v>1298</v>
      </c>
      <c r="D18267" s="21"/>
    </row>
    <row r="18268" spans="1:4" ht="12.75" customHeight="1" x14ac:dyDescent="0.2">
      <c r="A18268" s="21"/>
      <c r="B18268" s="3" t="s">
        <v>16</v>
      </c>
      <c r="C18268" s="23"/>
      <c r="D18268" s="21"/>
    </row>
    <row r="18269" spans="1:4" ht="12.75" customHeight="1" x14ac:dyDescent="0.2">
      <c r="A18269" s="21"/>
      <c r="B18269" s="3" t="s">
        <v>17</v>
      </c>
      <c r="C18269" s="23" t="s">
        <v>19</v>
      </c>
      <c r="D18269" s="21"/>
    </row>
    <row r="18270" spans="1:4" ht="12.75" customHeight="1" x14ac:dyDescent="0.2">
      <c r="A18270" s="21"/>
      <c r="B18270" s="20" t="s">
        <v>18</v>
      </c>
      <c r="C18270" s="8" t="s">
        <v>44</v>
      </c>
      <c r="D18270" s="1" t="str">
        <f>HYPERLINK("javascript:void(0)","árnytestpajzs")</f>
        <v>árnytestpajzs</v>
      </c>
    </row>
    <row r="18271" spans="1:4" ht="12.75" customHeight="1" x14ac:dyDescent="0.2">
      <c r="A18271" s="21"/>
      <c r="B18271" s="21"/>
      <c r="C18271" s="8" t="s">
        <v>142</v>
      </c>
      <c r="D18271" s="1" t="str">
        <f>HYPERLINK("javascript:void(0)","pengeszálka")</f>
        <v>pengeszálka</v>
      </c>
    </row>
    <row r="18272" spans="1:4" ht="12.75" customHeight="1" x14ac:dyDescent="0.2">
      <c r="A18272" s="21"/>
      <c r="B18272" s="21"/>
      <c r="C18272" s="8" t="s">
        <v>244</v>
      </c>
      <c r="D18272" s="1" t="str">
        <f>HYPERLINK("javascript:void(0)","gyűrű")</f>
        <v>gyűrű</v>
      </c>
    </row>
    <row r="18273" spans="1:4" ht="12.75" customHeight="1" x14ac:dyDescent="0.2">
      <c r="A18273" s="21"/>
      <c r="B18273" s="2"/>
      <c r="C18273" s="7"/>
      <c r="D18273" s="7"/>
    </row>
    <row r="18274" spans="1:4" ht="12.75" customHeight="1" x14ac:dyDescent="0.2">
      <c r="A18274" s="21"/>
      <c r="B18274" s="2"/>
      <c r="C18274" s="7"/>
      <c r="D18274" s="7"/>
    </row>
    <row r="18275" spans="1:4" ht="12.75" customHeight="1" x14ac:dyDescent="0.2">
      <c r="A18275" s="21"/>
      <c r="B18275" s="2"/>
      <c r="C18275" s="7"/>
      <c r="D18275" s="7"/>
    </row>
    <row r="18276" spans="1:4" ht="12.75" customHeight="1" x14ac:dyDescent="0.2">
      <c r="A18276" s="21"/>
      <c r="B18276" s="2"/>
      <c r="C18276" s="7"/>
      <c r="D18276" s="7"/>
    </row>
    <row r="18277" spans="1:4" ht="12.75" customHeight="1" x14ac:dyDescent="0.2">
      <c r="A18277" s="5"/>
      <c r="B18277" s="2"/>
      <c r="C18277" s="7"/>
      <c r="D18277" s="7"/>
    </row>
    <row r="18278" spans="1:4" ht="12.75" customHeight="1" x14ac:dyDescent="0.2">
      <c r="A18278" s="22" t="str">
        <f>HYPERLINK("javascript:void(0)","bronz pihepajzs")</f>
        <v>bronz pihepajzs</v>
      </c>
      <c r="B18278" s="21"/>
      <c r="C18278" s="21"/>
      <c r="D18278" s="21"/>
    </row>
    <row r="18279" spans="1:4" ht="12.75" customHeight="1" x14ac:dyDescent="0.2">
      <c r="A18279" s="20"/>
      <c r="B18279" s="2"/>
      <c r="C18279" s="7"/>
      <c r="D18279" s="7"/>
    </row>
    <row r="18280" spans="1:4" ht="12.75" customHeight="1" x14ac:dyDescent="0.2">
      <c r="A18280" s="21"/>
      <c r="B18280" s="3" t="s">
        <v>0</v>
      </c>
      <c r="C18280" s="23" t="s">
        <v>1381</v>
      </c>
      <c r="D18280" s="21"/>
    </row>
    <row r="18281" spans="1:4" ht="12.75" customHeight="1" x14ac:dyDescent="0.2">
      <c r="A18281" s="21"/>
      <c r="B18281" s="3" t="s">
        <v>2</v>
      </c>
      <c r="C18281" s="23" t="s">
        <v>1839</v>
      </c>
      <c r="D18281" s="21"/>
    </row>
    <row r="18282" spans="1:4" ht="12.75" customHeight="1" x14ac:dyDescent="0.2">
      <c r="A18282" s="21"/>
      <c r="B18282" s="3" t="s">
        <v>1840</v>
      </c>
      <c r="C18282" s="23" t="s">
        <v>6280</v>
      </c>
      <c r="D18282" s="21"/>
    </row>
    <row r="18283" spans="1:4" ht="12.75" customHeight="1" x14ac:dyDescent="0.2">
      <c r="A18283" s="21"/>
      <c r="B18283" s="3" t="s">
        <v>9</v>
      </c>
      <c r="C18283" s="23" t="s">
        <v>84</v>
      </c>
      <c r="D18283" s="21"/>
    </row>
    <row r="18284" spans="1:4" ht="12.75" customHeight="1" x14ac:dyDescent="0.2">
      <c r="A18284" s="21"/>
      <c r="B18284" s="3" t="s">
        <v>11</v>
      </c>
      <c r="C18284" s="23" t="s">
        <v>1347</v>
      </c>
      <c r="D18284" s="21"/>
    </row>
    <row r="18285" spans="1:4" ht="12.75" customHeight="1" x14ac:dyDescent="0.2">
      <c r="A18285" s="21"/>
      <c r="B18285" s="3" t="s">
        <v>16</v>
      </c>
      <c r="C18285" s="23"/>
      <c r="D18285" s="21"/>
    </row>
    <row r="18286" spans="1:4" ht="12.75" customHeight="1" x14ac:dyDescent="0.2">
      <c r="A18286" s="21"/>
      <c r="B18286" s="3" t="s">
        <v>17</v>
      </c>
      <c r="C18286" s="23" t="s">
        <v>19</v>
      </c>
      <c r="D18286" s="21"/>
    </row>
    <row r="18287" spans="1:4" ht="12.75" customHeight="1" x14ac:dyDescent="0.2">
      <c r="A18287" s="21"/>
      <c r="B18287" s="20" t="s">
        <v>18</v>
      </c>
      <c r="C18287" s="8" t="s">
        <v>44</v>
      </c>
      <c r="D18287" s="1" t="str">
        <f>HYPERLINK("javascript:void(0)","fény testpajzs")</f>
        <v>fény testpajzs</v>
      </c>
    </row>
    <row r="18288" spans="1:4" ht="12.75" customHeight="1" x14ac:dyDescent="0.2">
      <c r="A18288" s="21"/>
      <c r="B18288" s="21"/>
      <c r="C18288" s="8" t="s">
        <v>142</v>
      </c>
      <c r="D18288" s="1" t="str">
        <f>HYPERLINK("javascript:void(0)","pengeszálka")</f>
        <v>pengeszálka</v>
      </c>
    </row>
    <row r="18289" spans="1:4" ht="12.75" customHeight="1" x14ac:dyDescent="0.2">
      <c r="A18289" s="21"/>
      <c r="B18289" s="21"/>
      <c r="C18289" s="8" t="s">
        <v>68</v>
      </c>
      <c r="D18289" s="1" t="str">
        <f>HYPERLINK("javascript:void(0)","tompor")</f>
        <v>tompor</v>
      </c>
    </row>
    <row r="18290" spans="1:4" ht="12.75" customHeight="1" x14ac:dyDescent="0.2">
      <c r="A18290" s="21"/>
      <c r="B18290" s="2"/>
      <c r="C18290" s="7"/>
      <c r="D18290" s="7"/>
    </row>
    <row r="18291" spans="1:4" ht="12.75" customHeight="1" x14ac:dyDescent="0.2">
      <c r="A18291" s="21"/>
      <c r="B18291" s="2"/>
      <c r="C18291" s="7"/>
      <c r="D18291" s="7"/>
    </row>
    <row r="18292" spans="1:4" ht="12.75" customHeight="1" x14ac:dyDescent="0.2">
      <c r="A18292" s="21"/>
      <c r="B18292" s="2"/>
      <c r="C18292" s="7"/>
      <c r="D18292" s="7"/>
    </row>
    <row r="18293" spans="1:4" ht="12.75" customHeight="1" x14ac:dyDescent="0.2">
      <c r="A18293" s="21"/>
      <c r="B18293" s="2"/>
      <c r="C18293" s="7"/>
      <c r="D18293" s="7"/>
    </row>
    <row r="18294" spans="1:4" ht="12.75" customHeight="1" x14ac:dyDescent="0.2">
      <c r="A18294" s="5"/>
      <c r="B18294" s="2"/>
      <c r="C18294" s="7"/>
      <c r="D18294" s="7"/>
    </row>
    <row r="18295" spans="1:4" ht="12.75" customHeight="1" x14ac:dyDescent="0.2">
      <c r="A18295" s="22" t="str">
        <f>HYPERLINK("javascript:void(0)","masszív kalap")</f>
        <v>masszív kalap</v>
      </c>
      <c r="B18295" s="21"/>
      <c r="C18295" s="21"/>
      <c r="D18295" s="21"/>
    </row>
    <row r="18296" spans="1:4" ht="12.75" customHeight="1" x14ac:dyDescent="0.2">
      <c r="A18296" s="20"/>
      <c r="B18296" s="2"/>
      <c r="C18296" s="7"/>
      <c r="D18296" s="7"/>
    </row>
    <row r="18297" spans="1:4" ht="12.75" customHeight="1" x14ac:dyDescent="0.2">
      <c r="A18297" s="21"/>
      <c r="B18297" s="3" t="s">
        <v>0</v>
      </c>
      <c r="C18297" s="23" t="s">
        <v>1385</v>
      </c>
      <c r="D18297" s="21"/>
    </row>
    <row r="18298" spans="1:4" ht="12.75" customHeight="1" x14ac:dyDescent="0.2">
      <c r="A18298" s="21"/>
      <c r="B18298" s="3" t="s">
        <v>2</v>
      </c>
      <c r="C18298" s="23"/>
      <c r="D18298" s="21"/>
    </row>
    <row r="18299" spans="1:4" ht="12.75" customHeight="1" x14ac:dyDescent="0.2">
      <c r="A18299" s="21"/>
      <c r="B18299" s="3" t="s">
        <v>1840</v>
      </c>
      <c r="C18299" s="23" t="s">
        <v>2481</v>
      </c>
      <c r="D18299" s="21"/>
    </row>
    <row r="18300" spans="1:4" ht="12.75" customHeight="1" x14ac:dyDescent="0.2">
      <c r="A18300" s="21"/>
      <c r="B18300" s="3" t="s">
        <v>9</v>
      </c>
      <c r="C18300" s="23" t="s">
        <v>6290</v>
      </c>
      <c r="D18300" s="21"/>
    </row>
    <row r="18301" spans="1:4" ht="12.75" customHeight="1" x14ac:dyDescent="0.2">
      <c r="A18301" s="21"/>
      <c r="B18301" s="3" t="s">
        <v>11</v>
      </c>
      <c r="C18301" s="23" t="s">
        <v>1298</v>
      </c>
      <c r="D18301" s="21"/>
    </row>
    <row r="18302" spans="1:4" ht="12.75" customHeight="1" x14ac:dyDescent="0.2">
      <c r="A18302" s="21"/>
      <c r="B18302" s="3" t="s">
        <v>16</v>
      </c>
      <c r="C18302" s="23"/>
      <c r="D18302" s="21"/>
    </row>
    <row r="18303" spans="1:4" ht="12.75" customHeight="1" x14ac:dyDescent="0.2">
      <c r="A18303" s="21"/>
      <c r="B18303" s="3" t="s">
        <v>17</v>
      </c>
      <c r="C18303" s="23" t="s">
        <v>19</v>
      </c>
      <c r="D18303" s="21"/>
    </row>
    <row r="18304" spans="1:4" ht="12.75" customHeight="1" x14ac:dyDescent="0.2">
      <c r="A18304" s="21"/>
      <c r="B18304" s="20" t="s">
        <v>18</v>
      </c>
      <c r="C18304" s="8" t="s">
        <v>196</v>
      </c>
      <c r="D18304" s="1" t="str">
        <f>HYPERLINK("javascript:void(0)","tartás")</f>
        <v>tartás</v>
      </c>
    </row>
    <row r="18305" spans="1:4" ht="12.75" customHeight="1" x14ac:dyDescent="0.2">
      <c r="A18305" s="21"/>
      <c r="B18305" s="21"/>
      <c r="C18305" s="8" t="s">
        <v>296</v>
      </c>
      <c r="D18305" s="1" t="str">
        <f>HYPERLINK("javascript:void(0)","savige")</f>
        <v>savige</v>
      </c>
    </row>
    <row r="18306" spans="1:4" ht="12.75" customHeight="1" x14ac:dyDescent="0.2">
      <c r="A18306" s="21"/>
      <c r="B18306" s="21"/>
      <c r="C18306" s="8" t="s">
        <v>296</v>
      </c>
      <c r="D18306" s="1" t="str">
        <f>HYPERLINK("javascript:void(0)","jégige")</f>
        <v>jégige</v>
      </c>
    </row>
    <row r="18307" spans="1:4" ht="12.75" customHeight="1" x14ac:dyDescent="0.2">
      <c r="A18307" s="21"/>
      <c r="B18307" s="2"/>
      <c r="C18307" s="7"/>
      <c r="D18307" s="7"/>
    </row>
    <row r="18308" spans="1:4" ht="12.75" customHeight="1" x14ac:dyDescent="0.2">
      <c r="A18308" s="21"/>
      <c r="B18308" s="2"/>
      <c r="C18308" s="7"/>
      <c r="D18308" s="7"/>
    </row>
    <row r="18309" spans="1:4" ht="12.75" customHeight="1" x14ac:dyDescent="0.2">
      <c r="A18309" s="21"/>
      <c r="B18309" s="2"/>
      <c r="C18309" s="7"/>
      <c r="D18309" s="7"/>
    </row>
    <row r="18310" spans="1:4" ht="12.75" customHeight="1" x14ac:dyDescent="0.2">
      <c r="A18310" s="21"/>
      <c r="B18310" s="2"/>
      <c r="C18310" s="7"/>
      <c r="D18310" s="7"/>
    </row>
    <row r="18311" spans="1:4" ht="12.75" customHeight="1" x14ac:dyDescent="0.2">
      <c r="A18311" s="5"/>
      <c r="B18311" s="2"/>
      <c r="C18311" s="7"/>
      <c r="D18311" s="7"/>
    </row>
    <row r="18312" spans="1:4" ht="12.75" customHeight="1" x14ac:dyDescent="0.2">
      <c r="A18312" s="22" t="str">
        <f>HYPERLINK("javascript:void(0)","opál zeke")</f>
        <v>opál zeke</v>
      </c>
      <c r="B18312" s="21"/>
      <c r="C18312" s="21"/>
      <c r="D18312" s="21"/>
    </row>
    <row r="18313" spans="1:4" ht="12.75" customHeight="1" x14ac:dyDescent="0.2">
      <c r="A18313" s="20"/>
      <c r="B18313" s="2"/>
      <c r="C18313" s="7"/>
      <c r="D18313" s="7"/>
    </row>
    <row r="18314" spans="1:4" ht="12.75" customHeight="1" x14ac:dyDescent="0.2">
      <c r="A18314" s="21"/>
      <c r="B18314" s="3" t="s">
        <v>0</v>
      </c>
      <c r="C18314" s="23" t="s">
        <v>1385</v>
      </c>
      <c r="D18314" s="21"/>
    </row>
    <row r="18315" spans="1:4" ht="12.75" customHeight="1" x14ac:dyDescent="0.2">
      <c r="A18315" s="21"/>
      <c r="B18315" s="3" t="s">
        <v>2</v>
      </c>
      <c r="C18315" s="23" t="s">
        <v>2322</v>
      </c>
      <c r="D18315" s="21"/>
    </row>
    <row r="18316" spans="1:4" ht="12.75" customHeight="1" x14ac:dyDescent="0.2">
      <c r="A18316" s="21"/>
      <c r="B18316" s="3" t="s">
        <v>1840</v>
      </c>
      <c r="C18316" s="23" t="s">
        <v>2584</v>
      </c>
      <c r="D18316" s="21"/>
    </row>
    <row r="18317" spans="1:4" ht="12.75" customHeight="1" x14ac:dyDescent="0.2">
      <c r="A18317" s="21"/>
      <c r="B18317" s="3" t="s">
        <v>9</v>
      </c>
      <c r="C18317" s="23" t="s">
        <v>1454</v>
      </c>
      <c r="D18317" s="21"/>
    </row>
    <row r="18318" spans="1:4" ht="12.75" customHeight="1" x14ac:dyDescent="0.2">
      <c r="A18318" s="21"/>
      <c r="B18318" s="3" t="s">
        <v>11</v>
      </c>
      <c r="C18318" s="23" t="s">
        <v>1329</v>
      </c>
      <c r="D18318" s="21"/>
    </row>
    <row r="18319" spans="1:4" ht="12.75" customHeight="1" x14ac:dyDescent="0.2">
      <c r="A18319" s="21"/>
      <c r="B18319" s="3" t="s">
        <v>16</v>
      </c>
      <c r="C18319" s="23"/>
      <c r="D18319" s="21"/>
    </row>
    <row r="18320" spans="1:4" ht="12.75" customHeight="1" x14ac:dyDescent="0.2">
      <c r="A18320" s="21"/>
      <c r="B18320" s="3" t="s">
        <v>17</v>
      </c>
      <c r="C18320" s="23" t="s">
        <v>19</v>
      </c>
      <c r="D18320" s="21"/>
    </row>
    <row r="18321" spans="1:4" ht="12.75" customHeight="1" x14ac:dyDescent="0.2">
      <c r="A18321" s="21"/>
      <c r="B18321" s="20" t="s">
        <v>18</v>
      </c>
      <c r="C18321" s="8" t="s">
        <v>44</v>
      </c>
      <c r="D18321" s="1" t="str">
        <f>HYPERLINK("javascript:void(0)","ezüst zeke")</f>
        <v>ezüst zeke</v>
      </c>
    </row>
    <row r="18322" spans="1:4" ht="12.75" customHeight="1" x14ac:dyDescent="0.2">
      <c r="A18322" s="21"/>
      <c r="B18322" s="21"/>
      <c r="C18322" s="8" t="s">
        <v>44</v>
      </c>
      <c r="D18322" s="1" t="str">
        <f>HYPERLINK("javascript:void(0)","arany zeke")</f>
        <v>arany zeke</v>
      </c>
    </row>
    <row r="18323" spans="1:4" ht="12.75" customHeight="1" x14ac:dyDescent="0.2">
      <c r="A18323" s="21"/>
      <c r="B18323" s="21"/>
      <c r="C18323" s="8" t="s">
        <v>98</v>
      </c>
      <c r="D18323" s="1" t="str">
        <f>HYPERLINK("javascript:void(0)","ködige")</f>
        <v>ködige</v>
      </c>
    </row>
    <row r="18324" spans="1:4" ht="12.75" customHeight="1" x14ac:dyDescent="0.2">
      <c r="A18324" s="21"/>
      <c r="B18324" s="2"/>
      <c r="C18324" s="7"/>
      <c r="D18324" s="7"/>
    </row>
    <row r="18325" spans="1:4" ht="12.75" customHeight="1" x14ac:dyDescent="0.2">
      <c r="A18325" s="21"/>
      <c r="B18325" s="2"/>
      <c r="C18325" s="7"/>
      <c r="D18325" s="7"/>
    </row>
    <row r="18326" spans="1:4" ht="12.75" customHeight="1" x14ac:dyDescent="0.2">
      <c r="A18326" s="21"/>
      <c r="B18326" s="2"/>
      <c r="C18326" s="7"/>
      <c r="D18326" s="7"/>
    </row>
    <row r="18327" spans="1:4" ht="12.75" customHeight="1" x14ac:dyDescent="0.2">
      <c r="A18327" s="21"/>
      <c r="B18327" s="2"/>
      <c r="C18327" s="7"/>
      <c r="D18327" s="7"/>
    </row>
    <row r="18328" spans="1:4" ht="12.75" customHeight="1" x14ac:dyDescent="0.2">
      <c r="A18328" s="5"/>
      <c r="B18328" s="2"/>
      <c r="C18328" s="7"/>
      <c r="D18328" s="7"/>
    </row>
    <row r="18329" spans="1:4" ht="12.75" customHeight="1" x14ac:dyDescent="0.2">
      <c r="A18329" s="22" t="str">
        <f>HYPERLINK("javascript:void(0)","faragványcsizma")</f>
        <v>faragványcsizma</v>
      </c>
      <c r="B18329" s="21"/>
      <c r="C18329" s="21"/>
      <c r="D18329" s="21"/>
    </row>
    <row r="18330" spans="1:4" ht="12.75" customHeight="1" x14ac:dyDescent="0.2">
      <c r="A18330" s="20"/>
      <c r="B18330" s="2"/>
      <c r="C18330" s="7"/>
      <c r="D18330" s="7"/>
    </row>
    <row r="18331" spans="1:4" ht="12.75" customHeight="1" x14ac:dyDescent="0.2">
      <c r="A18331" s="21"/>
      <c r="B18331" s="3" t="s">
        <v>0</v>
      </c>
      <c r="C18331" s="23" t="s">
        <v>1385</v>
      </c>
      <c r="D18331" s="21"/>
    </row>
    <row r="18332" spans="1:4" ht="12.75" customHeight="1" x14ac:dyDescent="0.2">
      <c r="A18332" s="21"/>
      <c r="B18332" s="3" t="s">
        <v>2</v>
      </c>
      <c r="C18332" s="23"/>
      <c r="D18332" s="21"/>
    </row>
    <row r="18333" spans="1:4" ht="12.75" customHeight="1" x14ac:dyDescent="0.2">
      <c r="A18333" s="21"/>
      <c r="B18333" s="3" t="s">
        <v>1840</v>
      </c>
      <c r="C18333" s="23" t="s">
        <v>6298</v>
      </c>
      <c r="D18333" s="21"/>
    </row>
    <row r="18334" spans="1:4" ht="12.75" customHeight="1" x14ac:dyDescent="0.2">
      <c r="A18334" s="21"/>
      <c r="B18334" s="3" t="s">
        <v>9</v>
      </c>
      <c r="C18334" s="23" t="s">
        <v>845</v>
      </c>
      <c r="D18334" s="21"/>
    </row>
    <row r="18335" spans="1:4" ht="12.75" customHeight="1" x14ac:dyDescent="0.2">
      <c r="A18335" s="21"/>
      <c r="B18335" s="3" t="s">
        <v>11</v>
      </c>
      <c r="C18335" s="23" t="s">
        <v>1298</v>
      </c>
      <c r="D18335" s="21"/>
    </row>
    <row r="18336" spans="1:4" ht="12.75" customHeight="1" x14ac:dyDescent="0.2">
      <c r="A18336" s="21"/>
      <c r="B18336" s="3" t="s">
        <v>16</v>
      </c>
      <c r="C18336" s="23"/>
      <c r="D18336" s="21"/>
    </row>
    <row r="18337" spans="1:4" ht="12.75" customHeight="1" x14ac:dyDescent="0.2">
      <c r="A18337" s="21"/>
      <c r="B18337" s="3" t="s">
        <v>17</v>
      </c>
      <c r="C18337" s="23" t="s">
        <v>19</v>
      </c>
      <c r="D18337" s="21"/>
    </row>
    <row r="18338" spans="1:4" ht="12.75" customHeight="1" x14ac:dyDescent="0.2">
      <c r="A18338" s="21"/>
      <c r="B18338" s="20" t="s">
        <v>18</v>
      </c>
      <c r="C18338" s="8" t="s">
        <v>44</v>
      </c>
      <c r="D18338" s="1" t="str">
        <f>HYPERLINK("javascript:void(0)","tomporvédő")</f>
        <v>tomporvédő</v>
      </c>
    </row>
    <row r="18339" spans="1:4" ht="12.75" customHeight="1" x14ac:dyDescent="0.2">
      <c r="A18339" s="21"/>
      <c r="B18339" s="21"/>
      <c r="C18339" s="8" t="s">
        <v>327</v>
      </c>
      <c r="D18339" s="1" t="str">
        <f>HYPERLINK("javascript:void(0)","kőfaragvány")</f>
        <v>kőfaragvány</v>
      </c>
    </row>
    <row r="18340" spans="1:4" ht="12.75" customHeight="1" x14ac:dyDescent="0.2">
      <c r="A18340" s="21"/>
      <c r="B18340" s="21"/>
      <c r="C18340" s="8" t="s">
        <v>193</v>
      </c>
      <c r="D18340" s="1" t="str">
        <f>HYPERLINK("javascript:void(0)","sztetoszkóp")</f>
        <v>sztetoszkóp</v>
      </c>
    </row>
    <row r="18341" spans="1:4" ht="12.75" customHeight="1" x14ac:dyDescent="0.2">
      <c r="A18341" s="21"/>
      <c r="B18341" s="2"/>
      <c r="C18341" s="7"/>
      <c r="D18341" s="7"/>
    </row>
    <row r="18342" spans="1:4" ht="12.75" customHeight="1" x14ac:dyDescent="0.2">
      <c r="A18342" s="21"/>
      <c r="B18342" s="2"/>
      <c r="C18342" s="7"/>
      <c r="D18342" s="7"/>
    </row>
    <row r="18343" spans="1:4" ht="12.75" customHeight="1" x14ac:dyDescent="0.2">
      <c r="A18343" s="21"/>
      <c r="B18343" s="2"/>
      <c r="C18343" s="7"/>
      <c r="D18343" s="7"/>
    </row>
    <row r="18344" spans="1:4" ht="12.75" customHeight="1" x14ac:dyDescent="0.2">
      <c r="A18344" s="21"/>
      <c r="B18344" s="2"/>
      <c r="C18344" s="7"/>
      <c r="D18344" s="7"/>
    </row>
    <row r="18345" spans="1:4" ht="12.75" customHeight="1" x14ac:dyDescent="0.2">
      <c r="A18345" s="5"/>
      <c r="B18345" s="2"/>
      <c r="C18345" s="7"/>
      <c r="D18345" s="7"/>
    </row>
    <row r="18346" spans="1:4" ht="12.75" customHeight="1" x14ac:dyDescent="0.2">
      <c r="A18346" s="22" t="str">
        <f>HYPERLINK("javascript:void(0)","ködpajzs")</f>
        <v>ködpajzs</v>
      </c>
      <c r="B18346" s="21"/>
      <c r="C18346" s="21"/>
      <c r="D18346" s="21"/>
    </row>
    <row r="18347" spans="1:4" ht="12.75" customHeight="1" x14ac:dyDescent="0.2">
      <c r="A18347" s="20"/>
      <c r="B18347" s="2"/>
      <c r="C18347" s="7"/>
      <c r="D18347" s="7"/>
    </row>
    <row r="18348" spans="1:4" ht="12.75" customHeight="1" x14ac:dyDescent="0.2">
      <c r="A18348" s="21"/>
      <c r="B18348" s="3" t="s">
        <v>0</v>
      </c>
      <c r="C18348" s="23" t="s">
        <v>1385</v>
      </c>
      <c r="D18348" s="21"/>
    </row>
    <row r="18349" spans="1:4" ht="12.75" customHeight="1" x14ac:dyDescent="0.2">
      <c r="A18349" s="21"/>
      <c r="B18349" s="3" t="s">
        <v>2</v>
      </c>
      <c r="C18349" s="23" t="s">
        <v>1839</v>
      </c>
      <c r="D18349" s="21"/>
    </row>
    <row r="18350" spans="1:4" ht="12.75" customHeight="1" x14ac:dyDescent="0.2">
      <c r="A18350" s="21"/>
      <c r="B18350" s="3" t="s">
        <v>1840</v>
      </c>
      <c r="C18350" s="23" t="s">
        <v>6303</v>
      </c>
      <c r="D18350" s="21"/>
    </row>
    <row r="18351" spans="1:4" ht="12.75" customHeight="1" x14ac:dyDescent="0.2">
      <c r="A18351" s="21"/>
      <c r="B18351" s="3" t="s">
        <v>9</v>
      </c>
      <c r="C18351" s="23" t="s">
        <v>377</v>
      </c>
      <c r="D18351" s="21"/>
    </row>
    <row r="18352" spans="1:4" ht="12.75" customHeight="1" x14ac:dyDescent="0.2">
      <c r="A18352" s="21"/>
      <c r="B18352" s="3" t="s">
        <v>11</v>
      </c>
      <c r="C18352" s="23" t="s">
        <v>1312</v>
      </c>
      <c r="D18352" s="21"/>
    </row>
    <row r="18353" spans="1:4" ht="12.75" customHeight="1" x14ac:dyDescent="0.2">
      <c r="A18353" s="21"/>
      <c r="B18353" s="3" t="s">
        <v>16</v>
      </c>
      <c r="C18353" s="23"/>
      <c r="D18353" s="21"/>
    </row>
    <row r="18354" spans="1:4" ht="12.75" customHeight="1" x14ac:dyDescent="0.2">
      <c r="A18354" s="21"/>
      <c r="B18354" s="3" t="s">
        <v>17</v>
      </c>
      <c r="C18354" s="23" t="s">
        <v>19</v>
      </c>
      <c r="D18354" s="21"/>
    </row>
    <row r="18355" spans="1:4" ht="12.75" customHeight="1" x14ac:dyDescent="0.2">
      <c r="A18355" s="21"/>
      <c r="B18355" s="20" t="s">
        <v>18</v>
      </c>
      <c r="C18355" s="8" t="s">
        <v>44</v>
      </c>
      <c r="D18355" s="1" t="str">
        <f>HYPERLINK("javascript:void(0)","fénypajzs")</f>
        <v>fénypajzs</v>
      </c>
    </row>
    <row r="18356" spans="1:4" ht="12.75" customHeight="1" x14ac:dyDescent="0.2">
      <c r="A18356" s="21"/>
      <c r="B18356" s="21"/>
      <c r="C18356" s="8" t="s">
        <v>244</v>
      </c>
      <c r="D18356" s="1" t="str">
        <f>HYPERLINK("javascript:void(0)","akasztó")</f>
        <v>akasztó</v>
      </c>
    </row>
    <row r="18357" spans="1:4" ht="12.75" customHeight="1" x14ac:dyDescent="0.2">
      <c r="A18357" s="21"/>
      <c r="B18357" s="21"/>
      <c r="C18357" s="8" t="s">
        <v>196</v>
      </c>
      <c r="D18357" s="1" t="str">
        <f>HYPERLINK("javascript:void(0)","koporsó")</f>
        <v>koporsó</v>
      </c>
    </row>
    <row r="18358" spans="1:4" ht="12.75" customHeight="1" x14ac:dyDescent="0.2">
      <c r="A18358" s="21"/>
      <c r="B18358" s="2"/>
      <c r="C18358" s="7"/>
      <c r="D18358" s="7"/>
    </row>
    <row r="18359" spans="1:4" ht="12.75" customHeight="1" x14ac:dyDescent="0.2">
      <c r="A18359" s="21"/>
      <c r="B18359" s="2"/>
      <c r="C18359" s="7"/>
      <c r="D18359" s="7"/>
    </row>
    <row r="18360" spans="1:4" ht="12.75" customHeight="1" x14ac:dyDescent="0.2">
      <c r="A18360" s="21"/>
      <c r="B18360" s="2"/>
      <c r="C18360" s="7"/>
      <c r="D18360" s="7"/>
    </row>
    <row r="18361" spans="1:4" ht="12.75" customHeight="1" x14ac:dyDescent="0.2">
      <c r="A18361" s="21"/>
      <c r="B18361" s="2"/>
      <c r="C18361" s="7"/>
      <c r="D18361" s="7"/>
    </row>
    <row r="18362" spans="1:4" ht="12.75" customHeight="1" x14ac:dyDescent="0.2">
      <c r="A18362" s="5"/>
      <c r="B18362" s="2"/>
      <c r="C18362" s="7"/>
      <c r="D18362" s="7"/>
    </row>
    <row r="18363" spans="1:4" ht="12.75" customHeight="1" x14ac:dyDescent="0.2">
      <c r="A18363" s="22" t="str">
        <f>HYPERLINK("javascript:void(0)","réz pihepajzs")</f>
        <v>réz pihepajzs</v>
      </c>
      <c r="B18363" s="21"/>
      <c r="C18363" s="21"/>
      <c r="D18363" s="21"/>
    </row>
    <row r="18364" spans="1:4" ht="12.75" customHeight="1" x14ac:dyDescent="0.2">
      <c r="A18364" s="20"/>
      <c r="B18364" s="2"/>
      <c r="C18364" s="7"/>
      <c r="D18364" s="7"/>
    </row>
    <row r="18365" spans="1:4" ht="12.75" customHeight="1" x14ac:dyDescent="0.2">
      <c r="A18365" s="21"/>
      <c r="B18365" s="3" t="s">
        <v>0</v>
      </c>
      <c r="C18365" s="23" t="s">
        <v>1385</v>
      </c>
      <c r="D18365" s="21"/>
    </row>
    <row r="18366" spans="1:4" ht="12.75" customHeight="1" x14ac:dyDescent="0.2">
      <c r="A18366" s="21"/>
      <c r="B18366" s="3" t="s">
        <v>2</v>
      </c>
      <c r="C18366" s="23" t="s">
        <v>1839</v>
      </c>
      <c r="D18366" s="21"/>
    </row>
    <row r="18367" spans="1:4" ht="12.75" customHeight="1" x14ac:dyDescent="0.2">
      <c r="A18367" s="21"/>
      <c r="B18367" s="3" t="s">
        <v>1840</v>
      </c>
      <c r="C18367" s="23" t="s">
        <v>6303</v>
      </c>
      <c r="D18367" s="21"/>
    </row>
    <row r="18368" spans="1:4" ht="12.75" customHeight="1" x14ac:dyDescent="0.2">
      <c r="A18368" s="21"/>
      <c r="B18368" s="3" t="s">
        <v>9</v>
      </c>
      <c r="C18368" s="23" t="s">
        <v>79</v>
      </c>
      <c r="D18368" s="21"/>
    </row>
    <row r="18369" spans="1:4" ht="12.75" customHeight="1" x14ac:dyDescent="0.2">
      <c r="A18369" s="21"/>
      <c r="B18369" s="3" t="s">
        <v>11</v>
      </c>
      <c r="C18369" s="23" t="s">
        <v>1425</v>
      </c>
      <c r="D18369" s="21"/>
    </row>
    <row r="18370" spans="1:4" ht="12.75" customHeight="1" x14ac:dyDescent="0.2">
      <c r="A18370" s="21"/>
      <c r="B18370" s="3" t="s">
        <v>16</v>
      </c>
      <c r="C18370" s="23"/>
      <c r="D18370" s="21"/>
    </row>
    <row r="18371" spans="1:4" ht="12.75" customHeight="1" x14ac:dyDescent="0.2">
      <c r="A18371" s="21"/>
      <c r="B18371" s="3" t="s">
        <v>17</v>
      </c>
      <c r="C18371" s="23" t="s">
        <v>19</v>
      </c>
      <c r="D18371" s="21"/>
    </row>
    <row r="18372" spans="1:4" ht="12.75" customHeight="1" x14ac:dyDescent="0.2">
      <c r="A18372" s="21"/>
      <c r="B18372" s="20" t="s">
        <v>18</v>
      </c>
      <c r="C18372" s="8" t="s">
        <v>44</v>
      </c>
      <c r="D18372" s="1" t="str">
        <f>HYPERLINK("javascript:void(0)","ködpajzs")</f>
        <v>ködpajzs</v>
      </c>
    </row>
    <row r="18373" spans="1:4" ht="12.75" customHeight="1" x14ac:dyDescent="0.2">
      <c r="A18373" s="21"/>
      <c r="B18373" s="21"/>
      <c r="C18373" s="8" t="s">
        <v>163</v>
      </c>
      <c r="D18373" s="1" t="str">
        <f>HYPERLINK("javascript:void(0)","kőfaragvány")</f>
        <v>kőfaragvány</v>
      </c>
    </row>
    <row r="18374" spans="1:4" ht="12.75" customHeight="1" x14ac:dyDescent="0.2">
      <c r="A18374" s="21"/>
      <c r="B18374" s="21"/>
      <c r="C18374" s="8" t="s">
        <v>331</v>
      </c>
      <c r="D18374" s="1" t="str">
        <f>HYPERLINK("javascript:void(0)","tartás")</f>
        <v>tartás</v>
      </c>
    </row>
    <row r="18375" spans="1:4" ht="12.75" customHeight="1" x14ac:dyDescent="0.2">
      <c r="A18375" s="21"/>
      <c r="B18375" s="2"/>
      <c r="C18375" s="7"/>
      <c r="D18375" s="7"/>
    </row>
    <row r="18376" spans="1:4" ht="12.75" customHeight="1" x14ac:dyDescent="0.2">
      <c r="A18376" s="21"/>
      <c r="B18376" s="2"/>
      <c r="C18376" s="7"/>
      <c r="D18376" s="7"/>
    </row>
    <row r="18377" spans="1:4" ht="12.75" customHeight="1" x14ac:dyDescent="0.2">
      <c r="A18377" s="21"/>
      <c r="B18377" s="2"/>
      <c r="C18377" s="7"/>
      <c r="D18377" s="7"/>
    </row>
    <row r="18378" spans="1:4" ht="12.75" customHeight="1" x14ac:dyDescent="0.2">
      <c r="A18378" s="21"/>
      <c r="B18378" s="2"/>
      <c r="C18378" s="7"/>
      <c r="D18378" s="7"/>
    </row>
    <row r="18379" spans="1:4" ht="12.75" customHeight="1" x14ac:dyDescent="0.2">
      <c r="A18379" s="5"/>
      <c r="B18379" s="2"/>
      <c r="C18379" s="7"/>
      <c r="D18379" s="7"/>
    </row>
    <row r="18380" spans="1:4" ht="12.75" customHeight="1" x14ac:dyDescent="0.2">
      <c r="A18380" s="22" t="str">
        <f>HYPERLINK("javascript:void(0)","hukkötő")</f>
        <v>hukkötő</v>
      </c>
      <c r="B18380" s="21"/>
      <c r="C18380" s="21"/>
      <c r="D18380" s="21"/>
    </row>
    <row r="18381" spans="1:4" ht="12.75" customHeight="1" x14ac:dyDescent="0.2">
      <c r="A18381" s="20"/>
      <c r="B18381" s="2"/>
      <c r="C18381" s="7"/>
      <c r="D18381" s="7"/>
    </row>
    <row r="18382" spans="1:4" ht="12.75" customHeight="1" x14ac:dyDescent="0.2">
      <c r="A18382" s="21"/>
      <c r="B18382" s="3" t="s">
        <v>0</v>
      </c>
      <c r="C18382" s="23" t="s">
        <v>1390</v>
      </c>
      <c r="D18382" s="21"/>
    </row>
    <row r="18383" spans="1:4" ht="12.75" customHeight="1" x14ac:dyDescent="0.2">
      <c r="A18383" s="21"/>
      <c r="B18383" s="3" t="s">
        <v>2</v>
      </c>
      <c r="C18383" s="23"/>
      <c r="D18383" s="21"/>
    </row>
    <row r="18384" spans="1:4" ht="12.75" customHeight="1" x14ac:dyDescent="0.2">
      <c r="A18384" s="21"/>
      <c r="B18384" s="3" t="s">
        <v>1840</v>
      </c>
      <c r="C18384" s="23" t="s">
        <v>4241</v>
      </c>
      <c r="D18384" s="21"/>
    </row>
    <row r="18385" spans="1:4" ht="12.75" customHeight="1" x14ac:dyDescent="0.2">
      <c r="A18385" s="21"/>
      <c r="B18385" s="3" t="s">
        <v>9</v>
      </c>
      <c r="C18385" s="23" t="s">
        <v>2237</v>
      </c>
      <c r="D18385" s="21"/>
    </row>
    <row r="18386" spans="1:4" ht="12.75" customHeight="1" x14ac:dyDescent="0.2">
      <c r="A18386" s="21"/>
      <c r="B18386" s="3" t="s">
        <v>11</v>
      </c>
      <c r="C18386" s="23" t="s">
        <v>1312</v>
      </c>
      <c r="D18386" s="21"/>
    </row>
    <row r="18387" spans="1:4" ht="12.75" customHeight="1" x14ac:dyDescent="0.2">
      <c r="A18387" s="21"/>
      <c r="B18387" s="3" t="s">
        <v>16</v>
      </c>
      <c r="C18387" s="23"/>
      <c r="D18387" s="21"/>
    </row>
    <row r="18388" spans="1:4" ht="12.75" customHeight="1" x14ac:dyDescent="0.2">
      <c r="A18388" s="21"/>
      <c r="B18388" s="3" t="s">
        <v>17</v>
      </c>
      <c r="C18388" s="23" t="s">
        <v>19</v>
      </c>
      <c r="D18388" s="21"/>
    </row>
    <row r="18389" spans="1:4" ht="12.75" customHeight="1" x14ac:dyDescent="0.2">
      <c r="A18389" s="21"/>
      <c r="B18389" s="20" t="s">
        <v>18</v>
      </c>
      <c r="C18389" s="8" t="s">
        <v>44</v>
      </c>
      <c r="D18389" s="1" t="str">
        <f>HYPERLINK("javascript:void(0)","szálkorona")</f>
        <v>szálkorona</v>
      </c>
    </row>
    <row r="18390" spans="1:4" ht="12.75" customHeight="1" x14ac:dyDescent="0.2">
      <c r="A18390" s="21"/>
      <c r="B18390" s="21"/>
      <c r="C18390" s="8" t="s">
        <v>44</v>
      </c>
      <c r="D18390" s="1" t="str">
        <f>HYPERLINK("javascript:void(0)","masszív kalap")</f>
        <v>masszív kalap</v>
      </c>
    </row>
    <row r="18391" spans="1:4" ht="12.75" customHeight="1" x14ac:dyDescent="0.2">
      <c r="A18391" s="21"/>
      <c r="B18391" s="21"/>
      <c r="C18391" s="8" t="s">
        <v>67</v>
      </c>
      <c r="D18391" s="1" t="str">
        <f>HYPERLINK("javascript:void(0)","hukkantás")</f>
        <v>hukkantás</v>
      </c>
    </row>
    <row r="18392" spans="1:4" ht="12.75" customHeight="1" x14ac:dyDescent="0.2">
      <c r="A18392" s="21"/>
      <c r="B18392" s="2"/>
      <c r="C18392" s="7"/>
      <c r="D18392" s="7"/>
    </row>
    <row r="18393" spans="1:4" ht="12.75" customHeight="1" x14ac:dyDescent="0.2">
      <c r="A18393" s="21"/>
      <c r="B18393" s="2"/>
      <c r="C18393" s="7"/>
      <c r="D18393" s="7"/>
    </row>
    <row r="18394" spans="1:4" ht="12.75" customHeight="1" x14ac:dyDescent="0.2">
      <c r="A18394" s="21"/>
      <c r="B18394" s="2"/>
      <c r="C18394" s="7"/>
      <c r="D18394" s="7"/>
    </row>
    <row r="18395" spans="1:4" ht="12.75" customHeight="1" x14ac:dyDescent="0.2">
      <c r="A18395" s="21"/>
      <c r="B18395" s="2"/>
      <c r="C18395" s="7"/>
      <c r="D18395" s="7"/>
    </row>
    <row r="18396" spans="1:4" ht="12.75" customHeight="1" x14ac:dyDescent="0.2">
      <c r="A18396" s="5"/>
      <c r="B18396" s="2"/>
      <c r="C18396" s="7"/>
      <c r="D18396" s="7"/>
    </row>
    <row r="18397" spans="1:4" ht="12.75" customHeight="1" x14ac:dyDescent="0.2">
      <c r="A18397" s="22" t="str">
        <f>HYPERLINK("javascript:void(0)","jáspis zeke")</f>
        <v>jáspis zeke</v>
      </c>
      <c r="B18397" s="21"/>
      <c r="C18397" s="21"/>
      <c r="D18397" s="21"/>
    </row>
    <row r="18398" spans="1:4" ht="12.75" customHeight="1" x14ac:dyDescent="0.2">
      <c r="A18398" s="20"/>
      <c r="B18398" s="2"/>
      <c r="C18398" s="7"/>
      <c r="D18398" s="7"/>
    </row>
    <row r="18399" spans="1:4" ht="12.75" customHeight="1" x14ac:dyDescent="0.2">
      <c r="A18399" s="21"/>
      <c r="B18399" s="3" t="s">
        <v>0</v>
      </c>
      <c r="C18399" s="23" t="s">
        <v>1390</v>
      </c>
      <c r="D18399" s="21"/>
    </row>
    <row r="18400" spans="1:4" ht="12.75" customHeight="1" x14ac:dyDescent="0.2">
      <c r="A18400" s="21"/>
      <c r="B18400" s="3" t="s">
        <v>2</v>
      </c>
      <c r="C18400" s="23" t="s">
        <v>2322</v>
      </c>
      <c r="D18400" s="21"/>
    </row>
    <row r="18401" spans="1:4" ht="12.75" customHeight="1" x14ac:dyDescent="0.2">
      <c r="A18401" s="21"/>
      <c r="B18401" s="3" t="s">
        <v>1840</v>
      </c>
      <c r="C18401" s="23" t="s">
        <v>2585</v>
      </c>
      <c r="D18401" s="21"/>
    </row>
    <row r="18402" spans="1:4" ht="12.75" customHeight="1" x14ac:dyDescent="0.2">
      <c r="A18402" s="21"/>
      <c r="B18402" s="3" t="s">
        <v>9</v>
      </c>
      <c r="C18402" s="23" t="s">
        <v>1324</v>
      </c>
      <c r="D18402" s="21"/>
    </row>
    <row r="18403" spans="1:4" ht="12.75" customHeight="1" x14ac:dyDescent="0.2">
      <c r="A18403" s="21"/>
      <c r="B18403" s="3" t="s">
        <v>11</v>
      </c>
      <c r="C18403" s="23" t="s">
        <v>1347</v>
      </c>
      <c r="D18403" s="21"/>
    </row>
    <row r="18404" spans="1:4" ht="12.75" customHeight="1" x14ac:dyDescent="0.2">
      <c r="A18404" s="21"/>
      <c r="B18404" s="3" t="s">
        <v>16</v>
      </c>
      <c r="C18404" s="23"/>
      <c r="D18404" s="21"/>
    </row>
    <row r="18405" spans="1:4" ht="12.75" customHeight="1" x14ac:dyDescent="0.2">
      <c r="A18405" s="21"/>
      <c r="B18405" s="3" t="s">
        <v>17</v>
      </c>
      <c r="C18405" s="23" t="s">
        <v>19</v>
      </c>
      <c r="D18405" s="21"/>
    </row>
    <row r="18406" spans="1:4" ht="12.75" customHeight="1" x14ac:dyDescent="0.2">
      <c r="A18406" s="21"/>
      <c r="B18406" s="20" t="s">
        <v>18</v>
      </c>
      <c r="C18406" s="8" t="s">
        <v>44</v>
      </c>
      <c r="D18406" s="1" t="str">
        <f>HYPERLINK("javascript:void(0)","opál zeke")</f>
        <v>opál zeke</v>
      </c>
    </row>
    <row r="18407" spans="1:4" ht="12.75" customHeight="1" x14ac:dyDescent="0.2">
      <c r="A18407" s="21"/>
      <c r="B18407" s="21"/>
      <c r="C18407" s="8" t="s">
        <v>98</v>
      </c>
      <c r="D18407" s="1" t="str">
        <f>HYPERLINK("javascript:void(0)","pala")</f>
        <v>pala</v>
      </c>
    </row>
    <row r="18408" spans="1:4" ht="12.75" customHeight="1" x14ac:dyDescent="0.2">
      <c r="A18408" s="21"/>
      <c r="B18408" s="21"/>
      <c r="C18408" s="8" t="s">
        <v>163</v>
      </c>
      <c r="D18408" s="1" t="str">
        <f>HYPERLINK("javascript:void(0)","kocka")</f>
        <v>kocka</v>
      </c>
    </row>
    <row r="18409" spans="1:4" ht="12.75" customHeight="1" x14ac:dyDescent="0.2">
      <c r="A18409" s="21"/>
      <c r="B18409" s="2"/>
      <c r="C18409" s="7"/>
      <c r="D18409" s="7"/>
    </row>
    <row r="18410" spans="1:4" ht="12.75" customHeight="1" x14ac:dyDescent="0.2">
      <c r="A18410" s="21"/>
      <c r="B18410" s="2"/>
      <c r="C18410" s="7"/>
      <c r="D18410" s="7"/>
    </row>
    <row r="18411" spans="1:4" ht="12.75" customHeight="1" x14ac:dyDescent="0.2">
      <c r="A18411" s="21"/>
      <c r="B18411" s="2"/>
      <c r="C18411" s="7"/>
      <c r="D18411" s="7"/>
    </row>
    <row r="18412" spans="1:4" ht="12.75" customHeight="1" x14ac:dyDescent="0.2">
      <c r="A18412" s="21"/>
      <c r="B18412" s="2"/>
      <c r="C18412" s="7"/>
      <c r="D18412" s="7"/>
    </row>
    <row r="18413" spans="1:4" ht="12.75" customHeight="1" x14ac:dyDescent="0.2">
      <c r="A18413" s="5"/>
      <c r="B18413" s="2"/>
      <c r="C18413" s="7"/>
      <c r="D18413" s="7"/>
    </row>
    <row r="18414" spans="1:4" ht="12.75" customHeight="1" x14ac:dyDescent="0.2">
      <c r="A18414" s="22" t="str">
        <f>HYPERLINK("javascript:void(0)","bukófűző")</f>
        <v>bukófűző</v>
      </c>
      <c r="B18414" s="21"/>
      <c r="C18414" s="21"/>
      <c r="D18414" s="21"/>
    </row>
    <row r="18415" spans="1:4" ht="12.75" customHeight="1" x14ac:dyDescent="0.2">
      <c r="A18415" s="20"/>
      <c r="B18415" s="2"/>
      <c r="C18415" s="7"/>
      <c r="D18415" s="7"/>
    </row>
    <row r="18416" spans="1:4" ht="12.75" customHeight="1" x14ac:dyDescent="0.2">
      <c r="A18416" s="21"/>
      <c r="B18416" s="3" t="s">
        <v>0</v>
      </c>
      <c r="C18416" s="23" t="s">
        <v>1390</v>
      </c>
      <c r="D18416" s="21"/>
    </row>
    <row r="18417" spans="1:4" ht="12.75" customHeight="1" x14ac:dyDescent="0.2">
      <c r="A18417" s="21"/>
      <c r="B18417" s="3" t="s">
        <v>2</v>
      </c>
      <c r="C18417" s="23"/>
      <c r="D18417" s="21"/>
    </row>
    <row r="18418" spans="1:4" ht="12.75" customHeight="1" x14ac:dyDescent="0.2">
      <c r="A18418" s="21"/>
      <c r="B18418" s="3" t="s">
        <v>1840</v>
      </c>
      <c r="C18418" s="23" t="s">
        <v>6319</v>
      </c>
      <c r="D18418" s="21"/>
    </row>
    <row r="18419" spans="1:4" ht="12.75" customHeight="1" x14ac:dyDescent="0.2">
      <c r="A18419" s="21"/>
      <c r="B18419" s="3" t="s">
        <v>9</v>
      </c>
      <c r="C18419" s="23" t="s">
        <v>1496</v>
      </c>
      <c r="D18419" s="21"/>
    </row>
    <row r="18420" spans="1:4" ht="12.75" customHeight="1" x14ac:dyDescent="0.2">
      <c r="A18420" s="21"/>
      <c r="B18420" s="3" t="s">
        <v>11</v>
      </c>
      <c r="C18420" s="23" t="s">
        <v>1312</v>
      </c>
      <c r="D18420" s="21"/>
    </row>
    <row r="18421" spans="1:4" ht="12.75" customHeight="1" x14ac:dyDescent="0.2">
      <c r="A18421" s="21"/>
      <c r="B18421" s="3" t="s">
        <v>16</v>
      </c>
      <c r="C18421" s="23"/>
      <c r="D18421" s="21"/>
    </row>
    <row r="18422" spans="1:4" ht="12.75" customHeight="1" x14ac:dyDescent="0.2">
      <c r="A18422" s="21"/>
      <c r="B18422" s="3" t="s">
        <v>17</v>
      </c>
      <c r="C18422" s="23" t="s">
        <v>19</v>
      </c>
      <c r="D18422" s="21"/>
    </row>
    <row r="18423" spans="1:4" ht="12.75" customHeight="1" x14ac:dyDescent="0.2">
      <c r="A18423" s="21"/>
      <c r="B18423" s="20" t="s">
        <v>18</v>
      </c>
      <c r="C18423" s="8" t="s">
        <v>142</v>
      </c>
      <c r="D18423" s="1" t="str">
        <f>HYPERLINK("javascript:void(0)","sötét kereszt")</f>
        <v>sötét kereszt</v>
      </c>
    </row>
    <row r="18424" spans="1:4" ht="12.75" customHeight="1" x14ac:dyDescent="0.2">
      <c r="A18424" s="21"/>
      <c r="B18424" s="21"/>
      <c r="C18424" s="8" t="s">
        <v>228</v>
      </c>
      <c r="D18424" s="1" t="str">
        <f>HYPERLINK("javascript:void(0)","tábla")</f>
        <v>tábla</v>
      </c>
    </row>
    <row r="18425" spans="1:4" ht="12.75" customHeight="1" x14ac:dyDescent="0.2">
      <c r="A18425" s="21"/>
      <c r="B18425" s="21"/>
      <c r="C18425" s="8" t="s">
        <v>296</v>
      </c>
      <c r="D18425" s="1" t="str">
        <f>HYPERLINK("javascript:void(0)","kifordultság")</f>
        <v>kifordultság</v>
      </c>
    </row>
    <row r="18426" spans="1:4" ht="12.75" customHeight="1" x14ac:dyDescent="0.2">
      <c r="A18426" s="21"/>
      <c r="B18426" s="2"/>
      <c r="C18426" s="7"/>
      <c r="D18426" s="7"/>
    </row>
    <row r="18427" spans="1:4" ht="12.75" customHeight="1" x14ac:dyDescent="0.2">
      <c r="A18427" s="21"/>
      <c r="B18427" s="2"/>
      <c r="C18427" s="7"/>
      <c r="D18427" s="7"/>
    </row>
    <row r="18428" spans="1:4" ht="12.75" customHeight="1" x14ac:dyDescent="0.2">
      <c r="A18428" s="21"/>
      <c r="B18428" s="2"/>
      <c r="C18428" s="7"/>
      <c r="D18428" s="7"/>
    </row>
    <row r="18429" spans="1:4" ht="12.75" customHeight="1" x14ac:dyDescent="0.2">
      <c r="A18429" s="21"/>
      <c r="B18429" s="2"/>
      <c r="C18429" s="7"/>
      <c r="D18429" s="7"/>
    </row>
    <row r="18430" spans="1:4" ht="12.75" customHeight="1" x14ac:dyDescent="0.2">
      <c r="A18430" s="5"/>
      <c r="B18430" s="2"/>
      <c r="C18430" s="7"/>
      <c r="D18430" s="7"/>
    </row>
    <row r="18431" spans="1:4" ht="12.75" customHeight="1" x14ac:dyDescent="0.2">
      <c r="A18431" s="22" t="str">
        <f>HYPERLINK("javascript:void(0)","homályos antigrav csizma")</f>
        <v>homályos antigrav csizma</v>
      </c>
      <c r="B18431" s="21"/>
      <c r="C18431" s="21"/>
      <c r="D18431" s="21"/>
    </row>
    <row r="18432" spans="1:4" ht="12.75" customHeight="1" x14ac:dyDescent="0.2">
      <c r="A18432" s="20"/>
      <c r="B18432" s="2"/>
      <c r="C18432" s="7"/>
      <c r="D18432" s="7"/>
    </row>
    <row r="18433" spans="1:4" ht="12.75" customHeight="1" x14ac:dyDescent="0.2">
      <c r="A18433" s="21"/>
      <c r="B18433" s="3" t="s">
        <v>0</v>
      </c>
      <c r="C18433" s="23" t="s">
        <v>1390</v>
      </c>
      <c r="D18433" s="21"/>
    </row>
    <row r="18434" spans="1:4" ht="12.75" customHeight="1" x14ac:dyDescent="0.2">
      <c r="A18434" s="21"/>
      <c r="B18434" s="3" t="s">
        <v>2</v>
      </c>
      <c r="C18434" s="23"/>
      <c r="D18434" s="21"/>
    </row>
    <row r="18435" spans="1:4" ht="12.75" customHeight="1" x14ac:dyDescent="0.2">
      <c r="A18435" s="21"/>
      <c r="B18435" s="3" t="s">
        <v>1840</v>
      </c>
      <c r="C18435" s="23" t="s">
        <v>6319</v>
      </c>
      <c r="D18435" s="21"/>
    </row>
    <row r="18436" spans="1:4" ht="12.75" customHeight="1" x14ac:dyDescent="0.2">
      <c r="A18436" s="21"/>
      <c r="B18436" s="3" t="s">
        <v>9</v>
      </c>
      <c r="C18436" s="23" t="s">
        <v>626</v>
      </c>
      <c r="D18436" s="21"/>
    </row>
    <row r="18437" spans="1:4" ht="12.75" customHeight="1" x14ac:dyDescent="0.2">
      <c r="A18437" s="21"/>
      <c r="B18437" s="3" t="s">
        <v>11</v>
      </c>
      <c r="C18437" s="23" t="s">
        <v>23</v>
      </c>
      <c r="D18437" s="21"/>
    </row>
    <row r="18438" spans="1:4" ht="12.75" customHeight="1" x14ac:dyDescent="0.2">
      <c r="A18438" s="21"/>
      <c r="B18438" s="3" t="s">
        <v>16</v>
      </c>
      <c r="C18438" s="23"/>
      <c r="D18438" s="21"/>
    </row>
    <row r="18439" spans="1:4" ht="12.75" customHeight="1" x14ac:dyDescent="0.2">
      <c r="A18439" s="21"/>
      <c r="B18439" s="3" t="s">
        <v>17</v>
      </c>
      <c r="C18439" s="23" t="s">
        <v>19</v>
      </c>
      <c r="D18439" s="21"/>
    </row>
    <row r="18440" spans="1:4" ht="25.5" customHeight="1" x14ac:dyDescent="0.2">
      <c r="A18440" s="21"/>
      <c r="B18440" s="20" t="s">
        <v>18</v>
      </c>
      <c r="C18440" s="8" t="s">
        <v>44</v>
      </c>
      <c r="D18440" s="1" t="str">
        <f>HYPERLINK("javascript:void(0)","szentelt antigrav csizma")</f>
        <v>szentelt antigrav csizma</v>
      </c>
    </row>
    <row r="18441" spans="1:4" ht="12.75" customHeight="1" x14ac:dyDescent="0.2">
      <c r="A18441" s="21"/>
      <c r="B18441" s="21"/>
      <c r="C18441" s="8" t="s">
        <v>474</v>
      </c>
      <c r="D18441" s="1" t="str">
        <f>HYPERLINK("javascript:void(0)","ködige")</f>
        <v>ködige</v>
      </c>
    </row>
    <row r="18442" spans="1:4" ht="12.75" customHeight="1" x14ac:dyDescent="0.2">
      <c r="A18442" s="21"/>
      <c r="B18442" s="21"/>
      <c r="C18442" s="8" t="s">
        <v>139</v>
      </c>
      <c r="D18442" s="1" t="str">
        <f>HYPERLINK("javascript:void(0)","pala")</f>
        <v>pala</v>
      </c>
    </row>
    <row r="18443" spans="1:4" ht="12.75" customHeight="1" x14ac:dyDescent="0.2">
      <c r="A18443" s="21"/>
      <c r="B18443" s="2"/>
      <c r="C18443" s="7"/>
      <c r="D18443" s="7"/>
    </row>
    <row r="18444" spans="1:4" ht="12.75" customHeight="1" x14ac:dyDescent="0.2">
      <c r="A18444" s="21"/>
      <c r="B18444" s="2"/>
      <c r="C18444" s="7"/>
      <c r="D18444" s="7"/>
    </row>
    <row r="18445" spans="1:4" ht="12.75" customHeight="1" x14ac:dyDescent="0.2">
      <c r="A18445" s="21"/>
      <c r="B18445" s="2"/>
      <c r="C18445" s="7"/>
      <c r="D18445" s="7"/>
    </row>
    <row r="18446" spans="1:4" ht="12.75" customHeight="1" x14ac:dyDescent="0.2">
      <c r="A18446" s="21"/>
      <c r="B18446" s="2"/>
      <c r="C18446" s="7"/>
      <c r="D18446" s="7"/>
    </row>
    <row r="18447" spans="1:4" ht="12.75" customHeight="1" x14ac:dyDescent="0.2">
      <c r="A18447" s="5"/>
      <c r="B18447" s="2"/>
      <c r="C18447" s="7"/>
      <c r="D18447" s="7"/>
    </row>
    <row r="18448" spans="1:4" ht="12.75" customHeight="1" x14ac:dyDescent="0.2">
      <c r="A18448" s="22" t="str">
        <f>HYPERLINK("javascript:void(0)","köd testpajzs")</f>
        <v>köd testpajzs</v>
      </c>
      <c r="B18448" s="21"/>
      <c r="C18448" s="21"/>
      <c r="D18448" s="21"/>
    </row>
    <row r="18449" spans="1:4" ht="12.75" customHeight="1" x14ac:dyDescent="0.2">
      <c r="A18449" s="20"/>
      <c r="B18449" s="2"/>
      <c r="C18449" s="7"/>
      <c r="D18449" s="7"/>
    </row>
    <row r="18450" spans="1:4" ht="12.75" customHeight="1" x14ac:dyDescent="0.2">
      <c r="A18450" s="21"/>
      <c r="B18450" s="3" t="s">
        <v>0</v>
      </c>
      <c r="C18450" s="23" t="s">
        <v>1390</v>
      </c>
      <c r="D18450" s="21"/>
    </row>
    <row r="18451" spans="1:4" ht="12.75" customHeight="1" x14ac:dyDescent="0.2">
      <c r="A18451" s="21"/>
      <c r="B18451" s="3" t="s">
        <v>2</v>
      </c>
      <c r="C18451" s="23" t="s">
        <v>1839</v>
      </c>
      <c r="D18451" s="21"/>
    </row>
    <row r="18452" spans="1:4" ht="12.75" customHeight="1" x14ac:dyDescent="0.2">
      <c r="A18452" s="21"/>
      <c r="B18452" s="3" t="s">
        <v>1840</v>
      </c>
      <c r="C18452" s="23" t="s">
        <v>6329</v>
      </c>
      <c r="D18452" s="21"/>
    </row>
    <row r="18453" spans="1:4" ht="12.75" customHeight="1" x14ac:dyDescent="0.2">
      <c r="A18453" s="21"/>
      <c r="B18453" s="3" t="s">
        <v>9</v>
      </c>
      <c r="C18453" s="23" t="s">
        <v>549</v>
      </c>
      <c r="D18453" s="21"/>
    </row>
    <row r="18454" spans="1:4" ht="12.75" customHeight="1" x14ac:dyDescent="0.2">
      <c r="A18454" s="21"/>
      <c r="B18454" s="3" t="s">
        <v>11</v>
      </c>
      <c r="C18454" s="23" t="s">
        <v>1329</v>
      </c>
      <c r="D18454" s="21"/>
    </row>
    <row r="18455" spans="1:4" ht="12.75" customHeight="1" x14ac:dyDescent="0.2">
      <c r="A18455" s="21"/>
      <c r="B18455" s="3" t="s">
        <v>16</v>
      </c>
      <c r="C18455" s="23"/>
      <c r="D18455" s="21"/>
    </row>
    <row r="18456" spans="1:4" ht="12.75" customHeight="1" x14ac:dyDescent="0.2">
      <c r="A18456" s="21"/>
      <c r="B18456" s="3" t="s">
        <v>17</v>
      </c>
      <c r="C18456" s="23" t="s">
        <v>19</v>
      </c>
      <c r="D18456" s="21"/>
    </row>
    <row r="18457" spans="1:4" ht="12.75" customHeight="1" x14ac:dyDescent="0.2">
      <c r="A18457" s="21"/>
      <c r="B18457" s="20" t="s">
        <v>18</v>
      </c>
      <c r="C18457" s="8" t="s">
        <v>44</v>
      </c>
      <c r="D18457" s="1" t="str">
        <f>HYPERLINK("javascript:void(0)","fény testpajzs")</f>
        <v>fény testpajzs</v>
      </c>
    </row>
    <row r="18458" spans="1:4" ht="12.75" customHeight="1" x14ac:dyDescent="0.2">
      <c r="A18458" s="21"/>
      <c r="B18458" s="21"/>
      <c r="C18458" s="8" t="s">
        <v>68</v>
      </c>
      <c r="D18458" s="1" t="str">
        <f>HYPERLINK("javascript:void(0)","sötét kereszt")</f>
        <v>sötét kereszt</v>
      </c>
    </row>
    <row r="18459" spans="1:4" ht="12.75" customHeight="1" x14ac:dyDescent="0.2">
      <c r="A18459" s="21"/>
      <c r="B18459" s="21"/>
      <c r="C18459" s="8" t="s">
        <v>193</v>
      </c>
      <c r="D18459" s="1" t="str">
        <f>HYPERLINK("javascript:void(0)","ködige")</f>
        <v>ködige</v>
      </c>
    </row>
    <row r="18460" spans="1:4" ht="12.75" customHeight="1" x14ac:dyDescent="0.2">
      <c r="A18460" s="21"/>
      <c r="B18460" s="2"/>
      <c r="C18460" s="7"/>
      <c r="D18460" s="7"/>
    </row>
    <row r="18461" spans="1:4" ht="12.75" customHeight="1" x14ac:dyDescent="0.2">
      <c r="A18461" s="21"/>
      <c r="B18461" s="2"/>
      <c r="C18461" s="7"/>
      <c r="D18461" s="7"/>
    </row>
    <row r="18462" spans="1:4" ht="12.75" customHeight="1" x14ac:dyDescent="0.2">
      <c r="A18462" s="21"/>
      <c r="B18462" s="2"/>
      <c r="C18462" s="7"/>
      <c r="D18462" s="7"/>
    </row>
    <row r="18463" spans="1:4" ht="12.75" customHeight="1" x14ac:dyDescent="0.2">
      <c r="A18463" s="21"/>
      <c r="B18463" s="2"/>
      <c r="C18463" s="7"/>
      <c r="D18463" s="7"/>
    </row>
    <row r="18464" spans="1:4" ht="12.75" customHeight="1" x14ac:dyDescent="0.2">
      <c r="A18464" s="5"/>
      <c r="B18464" s="2"/>
      <c r="C18464" s="7"/>
      <c r="D18464" s="7"/>
    </row>
    <row r="18465" spans="1:4" ht="12.75" customHeight="1" x14ac:dyDescent="0.2">
      <c r="A18465" s="22" t="str">
        <f>HYPERLINK("javascript:void(0)","vas pihepajzs")</f>
        <v>vas pihepajzs</v>
      </c>
      <c r="B18465" s="21"/>
      <c r="C18465" s="21"/>
      <c r="D18465" s="21"/>
    </row>
    <row r="18466" spans="1:4" ht="12.75" customHeight="1" x14ac:dyDescent="0.2">
      <c r="A18466" s="20"/>
      <c r="B18466" s="2"/>
      <c r="C18466" s="7"/>
      <c r="D18466" s="7"/>
    </row>
    <row r="18467" spans="1:4" ht="12.75" customHeight="1" x14ac:dyDescent="0.2">
      <c r="A18467" s="21"/>
      <c r="B18467" s="3" t="s">
        <v>0</v>
      </c>
      <c r="C18467" s="23" t="s">
        <v>1390</v>
      </c>
      <c r="D18467" s="21"/>
    </row>
    <row r="18468" spans="1:4" ht="12.75" customHeight="1" x14ac:dyDescent="0.2">
      <c r="A18468" s="21"/>
      <c r="B18468" s="3" t="s">
        <v>2</v>
      </c>
      <c r="C18468" s="23" t="s">
        <v>1839</v>
      </c>
      <c r="D18468" s="21"/>
    </row>
    <row r="18469" spans="1:4" ht="12.75" customHeight="1" x14ac:dyDescent="0.2">
      <c r="A18469" s="21"/>
      <c r="B18469" s="3" t="s">
        <v>1840</v>
      </c>
      <c r="C18469" s="23" t="s">
        <v>6329</v>
      </c>
      <c r="D18469" s="21"/>
    </row>
    <row r="18470" spans="1:4" ht="12.75" customHeight="1" x14ac:dyDescent="0.2">
      <c r="A18470" s="21"/>
      <c r="B18470" s="3" t="s">
        <v>9</v>
      </c>
      <c r="C18470" s="23" t="s">
        <v>30</v>
      </c>
      <c r="D18470" s="21"/>
    </row>
    <row r="18471" spans="1:4" ht="12.75" customHeight="1" x14ac:dyDescent="0.2">
      <c r="A18471" s="21"/>
      <c r="B18471" s="3" t="s">
        <v>11</v>
      </c>
      <c r="C18471" s="23" t="s">
        <v>2587</v>
      </c>
      <c r="D18471" s="21"/>
    </row>
    <row r="18472" spans="1:4" ht="12.75" customHeight="1" x14ac:dyDescent="0.2">
      <c r="A18472" s="21"/>
      <c r="B18472" s="3" t="s">
        <v>16</v>
      </c>
      <c r="C18472" s="23"/>
      <c r="D18472" s="21"/>
    </row>
    <row r="18473" spans="1:4" ht="12.75" customHeight="1" x14ac:dyDescent="0.2">
      <c r="A18473" s="21"/>
      <c r="B18473" s="3" t="s">
        <v>17</v>
      </c>
      <c r="C18473" s="23" t="s">
        <v>19</v>
      </c>
      <c r="D18473" s="21"/>
    </row>
    <row r="18474" spans="1:4" ht="12.75" customHeight="1" x14ac:dyDescent="0.2">
      <c r="A18474" s="21"/>
      <c r="B18474" s="20" t="s">
        <v>18</v>
      </c>
      <c r="C18474" s="8" t="s">
        <v>44</v>
      </c>
      <c r="D18474" s="1" t="str">
        <f>HYPERLINK("javascript:void(0)","köd testpajzs")</f>
        <v>köd testpajzs</v>
      </c>
    </row>
    <row r="18475" spans="1:4" ht="12.75" customHeight="1" x14ac:dyDescent="0.2">
      <c r="A18475" s="21"/>
      <c r="B18475" s="21"/>
      <c r="C18475" s="8" t="s">
        <v>142</v>
      </c>
      <c r="D18475" s="1" t="str">
        <f>HYPERLINK("javascript:void(0)","nullgravita")</f>
        <v>nullgravita</v>
      </c>
    </row>
    <row r="18476" spans="1:4" ht="12.75" customHeight="1" x14ac:dyDescent="0.2">
      <c r="A18476" s="21"/>
      <c r="B18476" s="21"/>
      <c r="C18476" s="8" t="s">
        <v>67</v>
      </c>
      <c r="D18476" s="1" t="str">
        <f>HYPERLINK("javascript:void(0)","pala")</f>
        <v>pala</v>
      </c>
    </row>
    <row r="18477" spans="1:4" ht="12.75" customHeight="1" x14ac:dyDescent="0.2">
      <c r="A18477" s="21"/>
      <c r="B18477" s="2"/>
      <c r="C18477" s="7"/>
      <c r="D18477" s="7"/>
    </row>
    <row r="18478" spans="1:4" ht="12.75" customHeight="1" x14ac:dyDescent="0.2">
      <c r="A18478" s="21"/>
      <c r="B18478" s="2"/>
      <c r="C18478" s="7"/>
      <c r="D18478" s="7"/>
    </row>
    <row r="18479" spans="1:4" ht="12.75" customHeight="1" x14ac:dyDescent="0.2">
      <c r="A18479" s="21"/>
      <c r="B18479" s="2"/>
      <c r="C18479" s="7"/>
      <c r="D18479" s="7"/>
    </row>
    <row r="18480" spans="1:4" ht="12.75" customHeight="1" x14ac:dyDescent="0.2">
      <c r="A18480" s="21"/>
      <c r="B18480" s="2"/>
      <c r="C18480" s="7"/>
      <c r="D18480" s="7"/>
    </row>
    <row r="18481" spans="1:4" ht="12.75" customHeight="1" x14ac:dyDescent="0.2">
      <c r="A18481" s="5"/>
      <c r="B18481" s="2"/>
      <c r="C18481" s="7"/>
      <c r="D18481" s="7"/>
    </row>
    <row r="18482" spans="1:4" ht="12.75" customHeight="1" x14ac:dyDescent="0.2">
      <c r="A18482" s="22" t="str">
        <f>HYPERLINK("javascript:void(0)","tarajsapka")</f>
        <v>tarajsapka</v>
      </c>
      <c r="B18482" s="21"/>
      <c r="C18482" s="21"/>
      <c r="D18482" s="21"/>
    </row>
    <row r="18483" spans="1:4" ht="12.75" customHeight="1" x14ac:dyDescent="0.2">
      <c r="A18483" s="20"/>
      <c r="B18483" s="2"/>
      <c r="C18483" s="7"/>
      <c r="D18483" s="7"/>
    </row>
    <row r="18484" spans="1:4" ht="12.75" customHeight="1" x14ac:dyDescent="0.2">
      <c r="A18484" s="21"/>
      <c r="B18484" s="3" t="s">
        <v>0</v>
      </c>
      <c r="C18484" s="23" t="s">
        <v>411</v>
      </c>
      <c r="D18484" s="21"/>
    </row>
    <row r="18485" spans="1:4" ht="12.75" customHeight="1" x14ac:dyDescent="0.2">
      <c r="A18485" s="21"/>
      <c r="B18485" s="3" t="s">
        <v>2</v>
      </c>
      <c r="C18485" s="23"/>
      <c r="D18485" s="21"/>
    </row>
    <row r="18486" spans="1:4" ht="12.75" customHeight="1" x14ac:dyDescent="0.2">
      <c r="A18486" s="21"/>
      <c r="B18486" s="3" t="s">
        <v>1840</v>
      </c>
      <c r="C18486" s="23" t="s">
        <v>2482</v>
      </c>
      <c r="D18486" s="21"/>
    </row>
    <row r="18487" spans="1:4" ht="12.75" customHeight="1" x14ac:dyDescent="0.2">
      <c r="A18487" s="21"/>
      <c r="B18487" s="3" t="s">
        <v>9</v>
      </c>
      <c r="C18487" s="23" t="s">
        <v>2116</v>
      </c>
      <c r="D18487" s="21"/>
    </row>
    <row r="18488" spans="1:4" ht="12.75" customHeight="1" x14ac:dyDescent="0.2">
      <c r="A18488" s="21"/>
      <c r="B18488" s="3" t="s">
        <v>11</v>
      </c>
      <c r="C18488" s="23" t="s">
        <v>1329</v>
      </c>
      <c r="D18488" s="21"/>
    </row>
    <row r="18489" spans="1:4" ht="12.75" customHeight="1" x14ac:dyDescent="0.2">
      <c r="A18489" s="21"/>
      <c r="B18489" s="3" t="s">
        <v>16</v>
      </c>
      <c r="C18489" s="23"/>
      <c r="D18489" s="21"/>
    </row>
    <row r="18490" spans="1:4" ht="12.75" customHeight="1" x14ac:dyDescent="0.2">
      <c r="A18490" s="21"/>
      <c r="B18490" s="3" t="s">
        <v>17</v>
      </c>
      <c r="C18490" s="23" t="s">
        <v>19</v>
      </c>
      <c r="D18490" s="21"/>
    </row>
    <row r="18491" spans="1:4" ht="12.75" customHeight="1" x14ac:dyDescent="0.2">
      <c r="A18491" s="21"/>
      <c r="B18491" s="20" t="s">
        <v>18</v>
      </c>
      <c r="C18491" s="8" t="s">
        <v>44</v>
      </c>
      <c r="D18491" s="1" t="str">
        <f>HYPERLINK("javascript:void(0)","hukkötő")</f>
        <v>hukkötő</v>
      </c>
    </row>
    <row r="18492" spans="1:4" ht="12.75" customHeight="1" x14ac:dyDescent="0.2">
      <c r="A18492" s="21"/>
      <c r="B18492" s="21"/>
      <c r="C18492" s="8" t="s">
        <v>68</v>
      </c>
      <c r="D18492" s="1" t="str">
        <f>HYPERLINK("javascript:void(0)","taraj")</f>
        <v>taraj</v>
      </c>
    </row>
    <row r="18493" spans="1:4" ht="12.75" customHeight="1" x14ac:dyDescent="0.2">
      <c r="A18493" s="21"/>
      <c r="B18493" s="21"/>
      <c r="C18493" s="8" t="s">
        <v>139</v>
      </c>
      <c r="D18493" s="1" t="str">
        <f>HYPERLINK("javascript:void(0)","uszony")</f>
        <v>uszony</v>
      </c>
    </row>
    <row r="18494" spans="1:4" ht="12.75" customHeight="1" x14ac:dyDescent="0.2">
      <c r="A18494" s="21"/>
      <c r="B18494" s="2"/>
      <c r="C18494" s="7"/>
      <c r="D18494" s="7"/>
    </row>
    <row r="18495" spans="1:4" ht="12.75" customHeight="1" x14ac:dyDescent="0.2">
      <c r="A18495" s="21"/>
      <c r="B18495" s="2"/>
      <c r="C18495" s="7"/>
      <c r="D18495" s="7"/>
    </row>
    <row r="18496" spans="1:4" ht="12.75" customHeight="1" x14ac:dyDescent="0.2">
      <c r="A18496" s="21"/>
      <c r="B18496" s="2"/>
      <c r="C18496" s="7"/>
      <c r="D18496" s="7"/>
    </row>
    <row r="18497" spans="1:4" ht="12.75" customHeight="1" x14ac:dyDescent="0.2">
      <c r="A18497" s="21"/>
      <c r="B18497" s="2"/>
      <c r="C18497" s="7"/>
      <c r="D18497" s="7"/>
    </row>
    <row r="18498" spans="1:4" ht="12.75" customHeight="1" x14ac:dyDescent="0.2">
      <c r="A18498" s="5"/>
      <c r="B18498" s="2"/>
      <c r="C18498" s="7"/>
      <c r="D18498" s="7"/>
    </row>
    <row r="18499" spans="1:4" ht="12.75" customHeight="1" x14ac:dyDescent="0.2">
      <c r="A18499" s="22" t="str">
        <f>HYPERLINK("javascript:void(0)","smaragd zeke")</f>
        <v>smaragd zeke</v>
      </c>
      <c r="B18499" s="21"/>
      <c r="C18499" s="21"/>
      <c r="D18499" s="21"/>
    </row>
    <row r="18500" spans="1:4" ht="12.75" customHeight="1" x14ac:dyDescent="0.2">
      <c r="A18500" s="20"/>
      <c r="B18500" s="2"/>
      <c r="C18500" s="7"/>
      <c r="D18500" s="7"/>
    </row>
    <row r="18501" spans="1:4" ht="12.75" customHeight="1" x14ac:dyDescent="0.2">
      <c r="A18501" s="21"/>
      <c r="B18501" s="3" t="s">
        <v>0</v>
      </c>
      <c r="C18501" s="23" t="s">
        <v>411</v>
      </c>
      <c r="D18501" s="21"/>
    </row>
    <row r="18502" spans="1:4" ht="12.75" customHeight="1" x14ac:dyDescent="0.2">
      <c r="A18502" s="21"/>
      <c r="B18502" s="3" t="s">
        <v>2</v>
      </c>
      <c r="C18502" s="23" t="s">
        <v>2322</v>
      </c>
      <c r="D18502" s="21"/>
    </row>
    <row r="18503" spans="1:4" ht="12.75" customHeight="1" x14ac:dyDescent="0.2">
      <c r="A18503" s="21"/>
      <c r="B18503" s="3" t="s">
        <v>1840</v>
      </c>
      <c r="C18503" s="23" t="s">
        <v>1881</v>
      </c>
      <c r="D18503" s="21"/>
    </row>
    <row r="18504" spans="1:4" ht="12.75" customHeight="1" x14ac:dyDescent="0.2">
      <c r="A18504" s="21"/>
      <c r="B18504" s="3" t="s">
        <v>9</v>
      </c>
      <c r="C18504" s="23" t="s">
        <v>1562</v>
      </c>
      <c r="D18504" s="21"/>
    </row>
    <row r="18505" spans="1:4" ht="12.75" customHeight="1" x14ac:dyDescent="0.2">
      <c r="A18505" s="21"/>
      <c r="B18505" s="3" t="s">
        <v>11</v>
      </c>
      <c r="C18505" s="23" t="s">
        <v>1425</v>
      </c>
      <c r="D18505" s="21"/>
    </row>
    <row r="18506" spans="1:4" ht="12.75" customHeight="1" x14ac:dyDescent="0.2">
      <c r="A18506" s="21"/>
      <c r="B18506" s="3" t="s">
        <v>16</v>
      </c>
      <c r="C18506" s="23"/>
      <c r="D18506" s="21"/>
    </row>
    <row r="18507" spans="1:4" ht="12.75" customHeight="1" x14ac:dyDescent="0.2">
      <c r="A18507" s="21"/>
      <c r="B18507" s="3" t="s">
        <v>17</v>
      </c>
      <c r="C18507" s="23" t="s">
        <v>19</v>
      </c>
      <c r="D18507" s="21"/>
    </row>
    <row r="18508" spans="1:4" ht="12.75" customHeight="1" x14ac:dyDescent="0.2">
      <c r="A18508" s="21"/>
      <c r="B18508" s="20" t="s">
        <v>18</v>
      </c>
      <c r="C18508" s="8" t="s">
        <v>67</v>
      </c>
      <c r="D18508" s="1" t="str">
        <f>HYPERLINK("javascript:void(0)","kolomp")</f>
        <v>kolomp</v>
      </c>
    </row>
    <row r="18509" spans="1:4" ht="12.75" customHeight="1" x14ac:dyDescent="0.2">
      <c r="A18509" s="21"/>
      <c r="B18509" s="21"/>
      <c r="C18509" s="8" t="s">
        <v>142</v>
      </c>
      <c r="D18509" s="1" t="str">
        <f>HYPERLINK("javascript:void(0)","pásztorbot")</f>
        <v>pásztorbot</v>
      </c>
    </row>
    <row r="18510" spans="1:4" ht="12.75" customHeight="1" x14ac:dyDescent="0.2">
      <c r="A18510" s="21"/>
      <c r="B18510" s="21"/>
      <c r="C18510" s="8" t="s">
        <v>280</v>
      </c>
      <c r="D18510" s="1" t="str">
        <f>HYPERLINK("javascript:void(0)","jégige")</f>
        <v>jégige</v>
      </c>
    </row>
    <row r="18511" spans="1:4" ht="12.75" customHeight="1" x14ac:dyDescent="0.2">
      <c r="A18511" s="21"/>
      <c r="B18511" s="2"/>
      <c r="C18511" s="7"/>
      <c r="D18511" s="7"/>
    </row>
    <row r="18512" spans="1:4" ht="12.75" customHeight="1" x14ac:dyDescent="0.2">
      <c r="A18512" s="21"/>
      <c r="B18512" s="2"/>
      <c r="C18512" s="7"/>
      <c r="D18512" s="7"/>
    </row>
    <row r="18513" spans="1:4" ht="12.75" customHeight="1" x14ac:dyDescent="0.2">
      <c r="A18513" s="21"/>
      <c r="B18513" s="2"/>
      <c r="C18513" s="7"/>
      <c r="D18513" s="7"/>
    </row>
    <row r="18514" spans="1:4" ht="12.75" customHeight="1" x14ac:dyDescent="0.2">
      <c r="A18514" s="21"/>
      <c r="B18514" s="2"/>
      <c r="C18514" s="7"/>
      <c r="D18514" s="7"/>
    </row>
    <row r="18515" spans="1:4" ht="12.75" customHeight="1" x14ac:dyDescent="0.2">
      <c r="A18515" s="5"/>
      <c r="B18515" s="2"/>
      <c r="C18515" s="7"/>
      <c r="D18515" s="7"/>
    </row>
    <row r="18516" spans="1:4" ht="12.75" customHeight="1" x14ac:dyDescent="0.2">
      <c r="A18516" s="22" t="str">
        <f>HYPERLINK("javascript:void(0)","bélelt bakancs")</f>
        <v>bélelt bakancs</v>
      </c>
      <c r="B18516" s="21"/>
      <c r="C18516" s="21"/>
      <c r="D18516" s="21"/>
    </row>
    <row r="18517" spans="1:4" ht="12.75" customHeight="1" x14ac:dyDescent="0.2">
      <c r="A18517" s="20"/>
      <c r="B18517" s="2"/>
      <c r="C18517" s="7"/>
      <c r="D18517" s="7"/>
    </row>
    <row r="18518" spans="1:4" ht="12.75" customHeight="1" x14ac:dyDescent="0.2">
      <c r="A18518" s="21"/>
      <c r="B18518" s="3" t="s">
        <v>0</v>
      </c>
      <c r="C18518" s="23" t="s">
        <v>411</v>
      </c>
      <c r="D18518" s="21"/>
    </row>
    <row r="18519" spans="1:4" ht="12.75" customHeight="1" x14ac:dyDescent="0.2">
      <c r="A18519" s="21"/>
      <c r="B18519" s="3" t="s">
        <v>2</v>
      </c>
      <c r="C18519" s="23"/>
      <c r="D18519" s="21"/>
    </row>
    <row r="18520" spans="1:4" ht="12.75" customHeight="1" x14ac:dyDescent="0.2">
      <c r="A18520" s="21"/>
      <c r="B18520" s="3" t="s">
        <v>1840</v>
      </c>
      <c r="C18520" s="23" t="s">
        <v>6350</v>
      </c>
      <c r="D18520" s="21"/>
    </row>
    <row r="18521" spans="1:4" ht="12.75" customHeight="1" x14ac:dyDescent="0.2">
      <c r="A18521" s="21"/>
      <c r="B18521" s="3" t="s">
        <v>9</v>
      </c>
      <c r="C18521" s="23" t="s">
        <v>5602</v>
      </c>
      <c r="D18521" s="21"/>
    </row>
    <row r="18522" spans="1:4" ht="12.75" customHeight="1" x14ac:dyDescent="0.2">
      <c r="A18522" s="21"/>
      <c r="B18522" s="3" t="s">
        <v>11</v>
      </c>
      <c r="C18522" s="23" t="s">
        <v>1329</v>
      </c>
      <c r="D18522" s="21"/>
    </row>
    <row r="18523" spans="1:4" ht="12.75" customHeight="1" x14ac:dyDescent="0.2">
      <c r="A18523" s="21"/>
      <c r="B18523" s="3" t="s">
        <v>16</v>
      </c>
      <c r="C18523" s="23"/>
      <c r="D18523" s="21"/>
    </row>
    <row r="18524" spans="1:4" ht="12.75" customHeight="1" x14ac:dyDescent="0.2">
      <c r="A18524" s="21"/>
      <c r="B18524" s="3" t="s">
        <v>17</v>
      </c>
      <c r="C18524" s="23" t="s">
        <v>19</v>
      </c>
      <c r="D18524" s="21"/>
    </row>
    <row r="18525" spans="1:4" ht="12.75" customHeight="1" x14ac:dyDescent="0.2">
      <c r="A18525" s="21"/>
      <c r="B18525" s="20" t="s">
        <v>18</v>
      </c>
      <c r="C18525" s="8" t="s">
        <v>44</v>
      </c>
      <c r="D18525" s="1" t="str">
        <f>HYPERLINK("javascript:void(0)","faragványcsizma")</f>
        <v>faragványcsizma</v>
      </c>
    </row>
    <row r="18526" spans="1:4" ht="12.75" customHeight="1" x14ac:dyDescent="0.2">
      <c r="A18526" s="21"/>
      <c r="B18526" s="21"/>
      <c r="C18526" s="8" t="s">
        <v>44</v>
      </c>
      <c r="D18526" s="1" t="str">
        <f>HYPERLINK("javascript:void(0)","bukófűző")</f>
        <v>bukófűző</v>
      </c>
    </row>
    <row r="18527" spans="1:4" ht="12.75" customHeight="1" x14ac:dyDescent="0.2">
      <c r="A18527" s="21"/>
      <c r="B18527" s="21"/>
      <c r="C18527" s="8" t="s">
        <v>244</v>
      </c>
      <c r="D18527" s="1" t="str">
        <f>HYPERLINK("javascript:void(0)","tőrpenge")</f>
        <v>tőrpenge</v>
      </c>
    </row>
    <row r="18528" spans="1:4" ht="12.75" customHeight="1" x14ac:dyDescent="0.2">
      <c r="A18528" s="21"/>
      <c r="B18528" s="2"/>
      <c r="C18528" s="7"/>
      <c r="D18528" s="7"/>
    </row>
    <row r="18529" spans="1:4" ht="12.75" customHeight="1" x14ac:dyDescent="0.2">
      <c r="A18529" s="21"/>
      <c r="B18529" s="2"/>
      <c r="C18529" s="7"/>
      <c r="D18529" s="7"/>
    </row>
    <row r="18530" spans="1:4" ht="12.75" customHeight="1" x14ac:dyDescent="0.2">
      <c r="A18530" s="21"/>
      <c r="B18530" s="2"/>
      <c r="C18530" s="7"/>
      <c r="D18530" s="7"/>
    </row>
    <row r="18531" spans="1:4" ht="12.75" customHeight="1" x14ac:dyDescent="0.2">
      <c r="A18531" s="21"/>
      <c r="B18531" s="2"/>
      <c r="C18531" s="7"/>
      <c r="D18531" s="7"/>
    </row>
    <row r="18532" spans="1:4" ht="12.75" customHeight="1" x14ac:dyDescent="0.2">
      <c r="A18532" s="5"/>
      <c r="B18532" s="2"/>
      <c r="C18532" s="7"/>
      <c r="D18532" s="7"/>
    </row>
    <row r="18533" spans="1:4" ht="12.75" customHeight="1" x14ac:dyDescent="0.2">
      <c r="A18533" s="22" t="str">
        <f>HYPERLINK("javascript:void(0)","antipajzs")</f>
        <v>antipajzs</v>
      </c>
      <c r="B18533" s="21"/>
      <c r="C18533" s="21"/>
      <c r="D18533" s="21"/>
    </row>
    <row r="18534" spans="1:4" ht="12.75" customHeight="1" x14ac:dyDescent="0.2">
      <c r="A18534" s="20"/>
      <c r="B18534" s="2"/>
      <c r="C18534" s="7"/>
      <c r="D18534" s="7"/>
    </row>
    <row r="18535" spans="1:4" ht="12.75" customHeight="1" x14ac:dyDescent="0.2">
      <c r="A18535" s="21"/>
      <c r="B18535" s="3" t="s">
        <v>0</v>
      </c>
      <c r="C18535" s="23" t="s">
        <v>411</v>
      </c>
      <c r="D18535" s="21"/>
    </row>
    <row r="18536" spans="1:4" ht="12.75" customHeight="1" x14ac:dyDescent="0.2">
      <c r="A18536" s="21"/>
      <c r="B18536" s="3" t="s">
        <v>2</v>
      </c>
      <c r="C18536" s="23" t="s">
        <v>1839</v>
      </c>
      <c r="D18536" s="21"/>
    </row>
    <row r="18537" spans="1:4" ht="12.75" customHeight="1" x14ac:dyDescent="0.2">
      <c r="A18537" s="21"/>
      <c r="B18537" s="3" t="s">
        <v>1840</v>
      </c>
      <c r="C18537" s="23" t="s">
        <v>6359</v>
      </c>
      <c r="D18537" s="21"/>
    </row>
    <row r="18538" spans="1:4" ht="12.75" customHeight="1" x14ac:dyDescent="0.2">
      <c r="A18538" s="21"/>
      <c r="B18538" s="3" t="s">
        <v>9</v>
      </c>
      <c r="C18538" s="23" t="s">
        <v>179</v>
      </c>
      <c r="D18538" s="21"/>
    </row>
    <row r="18539" spans="1:4" ht="12.75" customHeight="1" x14ac:dyDescent="0.2">
      <c r="A18539" s="21"/>
      <c r="B18539" s="3" t="s">
        <v>11</v>
      </c>
      <c r="C18539" s="23" t="s">
        <v>1347</v>
      </c>
      <c r="D18539" s="21"/>
    </row>
    <row r="18540" spans="1:4" ht="12.75" customHeight="1" x14ac:dyDescent="0.2">
      <c r="A18540" s="21"/>
      <c r="B18540" s="3" t="s">
        <v>16</v>
      </c>
      <c r="C18540" s="23"/>
      <c r="D18540" s="21"/>
    </row>
    <row r="18541" spans="1:4" ht="12.75" customHeight="1" x14ac:dyDescent="0.2">
      <c r="A18541" s="21"/>
      <c r="B18541" s="3" t="s">
        <v>17</v>
      </c>
      <c r="C18541" s="23" t="s">
        <v>19</v>
      </c>
      <c r="D18541" s="21"/>
    </row>
    <row r="18542" spans="1:4" ht="12.75" customHeight="1" x14ac:dyDescent="0.2">
      <c r="A18542" s="21"/>
      <c r="B18542" s="20" t="s">
        <v>18</v>
      </c>
      <c r="C18542" s="8" t="s">
        <v>44</v>
      </c>
      <c r="D18542" s="1" t="str">
        <f>HYPERLINK("javascript:void(0)","ködpajzs")</f>
        <v>ködpajzs</v>
      </c>
    </row>
    <row r="18543" spans="1:4" ht="12.75" customHeight="1" x14ac:dyDescent="0.2">
      <c r="A18543" s="21"/>
      <c r="B18543" s="21"/>
      <c r="C18543" s="8" t="s">
        <v>331</v>
      </c>
      <c r="D18543" s="1" t="str">
        <f>HYPERLINK("javascript:void(0)","ellenige")</f>
        <v>ellenige</v>
      </c>
    </row>
    <row r="18544" spans="1:4" ht="12.75" customHeight="1" x14ac:dyDescent="0.2">
      <c r="A18544" s="21"/>
      <c r="B18544" s="21"/>
      <c r="C18544" s="8" t="s">
        <v>228</v>
      </c>
      <c r="D18544" s="1" t="str">
        <f>HYPERLINK("javascript:void(0)","állásfoglalás")</f>
        <v>állásfoglalás</v>
      </c>
    </row>
    <row r="18545" spans="1:4" ht="12.75" customHeight="1" x14ac:dyDescent="0.2">
      <c r="A18545" s="21"/>
      <c r="B18545" s="2"/>
      <c r="C18545" s="7"/>
      <c r="D18545" s="7"/>
    </row>
    <row r="18546" spans="1:4" ht="12.75" customHeight="1" x14ac:dyDescent="0.2">
      <c r="A18546" s="21"/>
      <c r="B18546" s="2"/>
      <c r="C18546" s="7"/>
      <c r="D18546" s="7"/>
    </row>
    <row r="18547" spans="1:4" ht="12.75" customHeight="1" x14ac:dyDescent="0.2">
      <c r="A18547" s="21"/>
      <c r="B18547" s="2"/>
      <c r="C18547" s="7"/>
      <c r="D18547" s="7"/>
    </row>
    <row r="18548" spans="1:4" ht="12.75" customHeight="1" x14ac:dyDescent="0.2">
      <c r="A18548" s="21"/>
      <c r="B18548" s="2"/>
      <c r="C18548" s="7"/>
      <c r="D18548" s="7"/>
    </row>
    <row r="18549" spans="1:4" ht="12.75" customHeight="1" x14ac:dyDescent="0.2">
      <c r="A18549" s="5"/>
      <c r="B18549" s="2"/>
      <c r="C18549" s="7"/>
      <c r="D18549" s="7"/>
    </row>
    <row r="18550" spans="1:4" ht="12.75" customHeight="1" x14ac:dyDescent="0.2">
      <c r="A18550" s="22" t="str">
        <f>HYPERLINK("javascript:void(0)","diszpro pihepajzs")</f>
        <v>diszpro pihepajzs</v>
      </c>
      <c r="B18550" s="21"/>
      <c r="C18550" s="21"/>
      <c r="D18550" s="21"/>
    </row>
    <row r="18551" spans="1:4" ht="12.75" customHeight="1" x14ac:dyDescent="0.2">
      <c r="A18551" s="20"/>
      <c r="B18551" s="2"/>
      <c r="C18551" s="7"/>
      <c r="D18551" s="7"/>
    </row>
    <row r="18552" spans="1:4" ht="12.75" customHeight="1" x14ac:dyDescent="0.2">
      <c r="A18552" s="21"/>
      <c r="B18552" s="3" t="s">
        <v>0</v>
      </c>
      <c r="C18552" s="23" t="s">
        <v>411</v>
      </c>
      <c r="D18552" s="21"/>
    </row>
    <row r="18553" spans="1:4" ht="12.75" customHeight="1" x14ac:dyDescent="0.2">
      <c r="A18553" s="21"/>
      <c r="B18553" s="3" t="s">
        <v>2</v>
      </c>
      <c r="C18553" s="23" t="s">
        <v>1839</v>
      </c>
      <c r="D18553" s="21"/>
    </row>
    <row r="18554" spans="1:4" ht="12.75" customHeight="1" x14ac:dyDescent="0.2">
      <c r="A18554" s="21"/>
      <c r="B18554" s="3" t="s">
        <v>1840</v>
      </c>
      <c r="C18554" s="23" t="s">
        <v>6359</v>
      </c>
      <c r="D18554" s="21"/>
    </row>
    <row r="18555" spans="1:4" ht="12.75" customHeight="1" x14ac:dyDescent="0.2">
      <c r="A18555" s="21"/>
      <c r="B18555" s="3" t="s">
        <v>9</v>
      </c>
      <c r="C18555" s="23" t="s">
        <v>84</v>
      </c>
      <c r="D18555" s="21"/>
    </row>
    <row r="18556" spans="1:4" ht="12.75" customHeight="1" x14ac:dyDescent="0.2">
      <c r="A18556" s="21"/>
      <c r="B18556" s="3" t="s">
        <v>11</v>
      </c>
      <c r="C18556" s="23" t="s">
        <v>2588</v>
      </c>
      <c r="D18556" s="21"/>
    </row>
    <row r="18557" spans="1:4" ht="12.75" customHeight="1" x14ac:dyDescent="0.2">
      <c r="A18557" s="21"/>
      <c r="B18557" s="3" t="s">
        <v>16</v>
      </c>
      <c r="C18557" s="23"/>
      <c r="D18557" s="21"/>
    </row>
    <row r="18558" spans="1:4" ht="12.75" customHeight="1" x14ac:dyDescent="0.2">
      <c r="A18558" s="21"/>
      <c r="B18558" s="3" t="s">
        <v>17</v>
      </c>
      <c r="C18558" s="23" t="s">
        <v>19</v>
      </c>
      <c r="D18558" s="21"/>
    </row>
    <row r="18559" spans="1:4" ht="12.75" customHeight="1" x14ac:dyDescent="0.2">
      <c r="A18559" s="21"/>
      <c r="B18559" s="20" t="s">
        <v>18</v>
      </c>
      <c r="C18559" s="8" t="s">
        <v>44</v>
      </c>
      <c r="D18559" s="1" t="str">
        <f>HYPERLINK("javascript:void(0)","antipajzs")</f>
        <v>antipajzs</v>
      </c>
    </row>
    <row r="18560" spans="1:4" ht="12.75" customHeight="1" x14ac:dyDescent="0.2">
      <c r="A18560" s="21"/>
      <c r="B18560" s="21"/>
      <c r="C18560" s="8" t="s">
        <v>67</v>
      </c>
      <c r="D18560" s="1" t="str">
        <f>HYPERLINK("javascript:void(0)","kolomp")</f>
        <v>kolomp</v>
      </c>
    </row>
    <row r="18561" spans="1:4" ht="12.75" customHeight="1" x14ac:dyDescent="0.2">
      <c r="A18561" s="21"/>
      <c r="B18561" s="21"/>
      <c r="C18561" s="8" t="s">
        <v>98</v>
      </c>
      <c r="D18561" s="1" t="str">
        <f>HYPERLINK("javascript:void(0)","tőrpenge")</f>
        <v>tőrpenge</v>
      </c>
    </row>
    <row r="18562" spans="1:4" ht="12.75" customHeight="1" x14ac:dyDescent="0.2">
      <c r="A18562" s="21"/>
      <c r="B18562" s="2"/>
      <c r="C18562" s="7"/>
      <c r="D18562" s="7"/>
    </row>
    <row r="18563" spans="1:4" ht="12.75" customHeight="1" x14ac:dyDescent="0.2">
      <c r="A18563" s="21"/>
      <c r="B18563" s="2"/>
      <c r="C18563" s="7"/>
      <c r="D18563" s="7"/>
    </row>
    <row r="18564" spans="1:4" ht="12.75" customHeight="1" x14ac:dyDescent="0.2">
      <c r="A18564" s="21"/>
      <c r="B18564" s="2"/>
      <c r="C18564" s="7"/>
      <c r="D18564" s="7"/>
    </row>
    <row r="18565" spans="1:4" ht="12.75" customHeight="1" x14ac:dyDescent="0.2">
      <c r="A18565" s="21"/>
      <c r="B18565" s="2"/>
      <c r="C18565" s="7"/>
      <c r="D18565" s="7"/>
    </row>
    <row r="18566" spans="1:4" ht="12.75" customHeight="1" x14ac:dyDescent="0.2">
      <c r="A18566" s="5"/>
      <c r="B18566" s="2"/>
      <c r="C18566" s="7"/>
      <c r="D18566" s="7"/>
    </row>
    <row r="18567" spans="1:4" ht="12.75" customHeight="1" x14ac:dyDescent="0.2">
      <c r="A18567" s="22" t="str">
        <f>HYPERLINK("javascript:void(0)","díszsisak")</f>
        <v>díszsisak</v>
      </c>
      <c r="B18567" s="21"/>
      <c r="C18567" s="21"/>
      <c r="D18567" s="21"/>
    </row>
    <row r="18568" spans="1:4" ht="12.75" customHeight="1" x14ac:dyDescent="0.2">
      <c r="A18568" s="20"/>
      <c r="B18568" s="2"/>
      <c r="C18568" s="7"/>
      <c r="D18568" s="7"/>
    </row>
    <row r="18569" spans="1:4" ht="12.75" customHeight="1" x14ac:dyDescent="0.2">
      <c r="A18569" s="21"/>
      <c r="B18569" s="3" t="s">
        <v>0</v>
      </c>
      <c r="C18569" s="23" t="s">
        <v>1400</v>
      </c>
      <c r="D18569" s="21"/>
    </row>
    <row r="18570" spans="1:4" ht="12.75" customHeight="1" x14ac:dyDescent="0.2">
      <c r="A18570" s="21"/>
      <c r="B18570" s="3" t="s">
        <v>2</v>
      </c>
      <c r="C18570" s="23"/>
      <c r="D18570" s="21"/>
    </row>
    <row r="18571" spans="1:4" ht="12.75" customHeight="1" x14ac:dyDescent="0.2">
      <c r="A18571" s="21"/>
      <c r="B18571" s="3" t="s">
        <v>1840</v>
      </c>
      <c r="C18571" s="23" t="s">
        <v>6371</v>
      </c>
      <c r="D18571" s="21"/>
    </row>
    <row r="18572" spans="1:4" ht="12.75" customHeight="1" x14ac:dyDescent="0.2">
      <c r="A18572" s="21"/>
      <c r="B18572" s="3" t="s">
        <v>9</v>
      </c>
      <c r="C18572" s="23" t="s">
        <v>4298</v>
      </c>
      <c r="D18572" s="21"/>
    </row>
    <row r="18573" spans="1:4" ht="12.75" customHeight="1" x14ac:dyDescent="0.2">
      <c r="A18573" s="21"/>
      <c r="B18573" s="3" t="s">
        <v>11</v>
      </c>
      <c r="C18573" s="23" t="s">
        <v>1347</v>
      </c>
      <c r="D18573" s="21"/>
    </row>
    <row r="18574" spans="1:4" ht="12.75" customHeight="1" x14ac:dyDescent="0.2">
      <c r="A18574" s="21"/>
      <c r="B18574" s="3" t="s">
        <v>16</v>
      </c>
      <c r="C18574" s="23"/>
      <c r="D18574" s="21"/>
    </row>
    <row r="18575" spans="1:4" ht="12.75" customHeight="1" x14ac:dyDescent="0.2">
      <c r="A18575" s="21"/>
      <c r="B18575" s="3" t="s">
        <v>17</v>
      </c>
      <c r="C18575" s="23" t="s">
        <v>19</v>
      </c>
      <c r="D18575" s="21"/>
    </row>
    <row r="18576" spans="1:4" ht="12.75" customHeight="1" x14ac:dyDescent="0.2">
      <c r="A18576" s="21"/>
      <c r="B18576" s="20" t="s">
        <v>18</v>
      </c>
      <c r="C18576" s="8" t="s">
        <v>142</v>
      </c>
      <c r="D18576" s="1" t="str">
        <f>HYPERLINK("javascript:void(0)","rangjel")</f>
        <v>rangjel</v>
      </c>
    </row>
    <row r="18577" spans="1:4" ht="12.75" customHeight="1" x14ac:dyDescent="0.2">
      <c r="A18577" s="21"/>
      <c r="B18577" s="21"/>
      <c r="C18577" s="8" t="s">
        <v>382</v>
      </c>
      <c r="D18577" s="1" t="str">
        <f>HYPERLINK("javascript:void(0)","lámpás")</f>
        <v>lámpás</v>
      </c>
    </row>
    <row r="18578" spans="1:4" ht="12.75" customHeight="1" x14ac:dyDescent="0.2">
      <c r="A18578" s="21"/>
      <c r="B18578" s="21"/>
      <c r="C18578" s="8" t="s">
        <v>382</v>
      </c>
      <c r="D18578" s="1" t="str">
        <f>HYPERLINK("javascript:void(0)","bajuszkötő")</f>
        <v>bajuszkötő</v>
      </c>
    </row>
    <row r="18579" spans="1:4" ht="12.75" customHeight="1" x14ac:dyDescent="0.2">
      <c r="A18579" s="21"/>
      <c r="B18579" s="2"/>
      <c r="C18579" s="7"/>
      <c r="D18579" s="7"/>
    </row>
    <row r="18580" spans="1:4" ht="12.75" customHeight="1" x14ac:dyDescent="0.2">
      <c r="A18580" s="21"/>
      <c r="B18580" s="2"/>
      <c r="C18580" s="7"/>
      <c r="D18580" s="7"/>
    </row>
    <row r="18581" spans="1:4" ht="12.75" customHeight="1" x14ac:dyDescent="0.2">
      <c r="A18581" s="21"/>
      <c r="B18581" s="2"/>
      <c r="C18581" s="7"/>
      <c r="D18581" s="7"/>
    </row>
    <row r="18582" spans="1:4" ht="12.75" customHeight="1" x14ac:dyDescent="0.2">
      <c r="A18582" s="21"/>
      <c r="B18582" s="2"/>
      <c r="C18582" s="7"/>
      <c r="D18582" s="7"/>
    </row>
    <row r="18583" spans="1:4" ht="12.75" customHeight="1" x14ac:dyDescent="0.2">
      <c r="A18583" s="5"/>
      <c r="B18583" s="2"/>
      <c r="C18583" s="7"/>
      <c r="D18583" s="7"/>
    </row>
    <row r="18584" spans="1:4" ht="12.75" customHeight="1" x14ac:dyDescent="0.2">
      <c r="A18584" s="22" t="str">
        <f>HYPERLINK("javascript:void(0)","rubin zeke")</f>
        <v>rubin zeke</v>
      </c>
      <c r="B18584" s="21"/>
      <c r="C18584" s="21"/>
      <c r="D18584" s="21"/>
    </row>
    <row r="18585" spans="1:4" ht="12.75" customHeight="1" x14ac:dyDescent="0.2">
      <c r="A18585" s="20"/>
      <c r="B18585" s="2"/>
      <c r="C18585" s="7"/>
      <c r="D18585" s="7"/>
    </row>
    <row r="18586" spans="1:4" ht="12.75" customHeight="1" x14ac:dyDescent="0.2">
      <c r="A18586" s="21"/>
      <c r="B18586" s="3" t="s">
        <v>0</v>
      </c>
      <c r="C18586" s="23" t="s">
        <v>1400</v>
      </c>
      <c r="D18586" s="21"/>
    </row>
    <row r="18587" spans="1:4" ht="12.75" customHeight="1" x14ac:dyDescent="0.2">
      <c r="A18587" s="21"/>
      <c r="B18587" s="3" t="s">
        <v>2</v>
      </c>
      <c r="C18587" s="23" t="s">
        <v>2322</v>
      </c>
      <c r="D18587" s="21"/>
    </row>
    <row r="18588" spans="1:4" ht="12.75" customHeight="1" x14ac:dyDescent="0.2">
      <c r="A18588" s="21"/>
      <c r="B18588" s="3" t="s">
        <v>1840</v>
      </c>
      <c r="C18588" s="23" t="s">
        <v>2586</v>
      </c>
      <c r="D18588" s="21"/>
    </row>
    <row r="18589" spans="1:4" ht="12.75" customHeight="1" x14ac:dyDescent="0.2">
      <c r="A18589" s="21"/>
      <c r="B18589" s="3" t="s">
        <v>9</v>
      </c>
      <c r="C18589" s="23" t="s">
        <v>2118</v>
      </c>
      <c r="D18589" s="21"/>
    </row>
    <row r="18590" spans="1:4" ht="12.75" customHeight="1" x14ac:dyDescent="0.2">
      <c r="A18590" s="21"/>
      <c r="B18590" s="3" t="s">
        <v>11</v>
      </c>
      <c r="C18590" s="23" t="s">
        <v>2587</v>
      </c>
      <c r="D18590" s="21"/>
    </row>
    <row r="18591" spans="1:4" ht="12.75" customHeight="1" x14ac:dyDescent="0.2">
      <c r="A18591" s="21"/>
      <c r="B18591" s="3" t="s">
        <v>16</v>
      </c>
      <c r="C18591" s="23"/>
      <c r="D18591" s="21"/>
    </row>
    <row r="18592" spans="1:4" ht="12.75" customHeight="1" x14ac:dyDescent="0.2">
      <c r="A18592" s="21"/>
      <c r="B18592" s="3" t="s">
        <v>17</v>
      </c>
      <c r="C18592" s="23" t="s">
        <v>19</v>
      </c>
      <c r="D18592" s="21"/>
    </row>
    <row r="18593" spans="1:4" ht="12.75" customHeight="1" x14ac:dyDescent="0.2">
      <c r="A18593" s="21"/>
      <c r="B18593" s="20" t="s">
        <v>18</v>
      </c>
      <c r="C18593" s="8" t="s">
        <v>44</v>
      </c>
      <c r="D18593" s="1" t="str">
        <f>HYPERLINK("javascript:void(0)","jáspis zeke")</f>
        <v>jáspis zeke</v>
      </c>
    </row>
    <row r="18594" spans="1:4" ht="12.75" customHeight="1" x14ac:dyDescent="0.2">
      <c r="A18594" s="21"/>
      <c r="B18594" s="21"/>
      <c r="C18594" s="8" t="s">
        <v>44</v>
      </c>
      <c r="D18594" s="1" t="str">
        <f>HYPERLINK("javascript:void(0)","smaragd zeke")</f>
        <v>smaragd zeke</v>
      </c>
    </row>
    <row r="18595" spans="1:4" ht="12.75" customHeight="1" x14ac:dyDescent="0.2">
      <c r="A18595" s="21"/>
      <c r="B18595" s="21"/>
      <c r="C18595" s="8" t="s">
        <v>139</v>
      </c>
      <c r="D18595" s="1" t="str">
        <f>HYPERLINK("javascript:void(0)","hangfogó")</f>
        <v>hangfogó</v>
      </c>
    </row>
    <row r="18596" spans="1:4" ht="12.75" customHeight="1" x14ac:dyDescent="0.2">
      <c r="A18596" s="21"/>
      <c r="B18596" s="2"/>
      <c r="C18596" s="7"/>
      <c r="D18596" s="7"/>
    </row>
    <row r="18597" spans="1:4" ht="12.75" customHeight="1" x14ac:dyDescent="0.2">
      <c r="A18597" s="21"/>
      <c r="B18597" s="2"/>
      <c r="C18597" s="7"/>
      <c r="D18597" s="7"/>
    </row>
    <row r="18598" spans="1:4" ht="12.75" customHeight="1" x14ac:dyDescent="0.2">
      <c r="A18598" s="21"/>
      <c r="B18598" s="2"/>
      <c r="C18598" s="7"/>
      <c r="D18598" s="7"/>
    </row>
    <row r="18599" spans="1:4" ht="12.75" customHeight="1" x14ac:dyDescent="0.2">
      <c r="A18599" s="21"/>
      <c r="B18599" s="2"/>
      <c r="C18599" s="7"/>
      <c r="D18599" s="7"/>
    </row>
    <row r="18600" spans="1:4" ht="12.75" customHeight="1" x14ac:dyDescent="0.2">
      <c r="A18600" s="5"/>
      <c r="B18600" s="2"/>
      <c r="C18600" s="7"/>
      <c r="D18600" s="7"/>
    </row>
    <row r="18601" spans="1:4" ht="12.75" customHeight="1" x14ac:dyDescent="0.2">
      <c r="A18601" s="22" t="str">
        <f>HYPERLINK("javascript:void(0)","darutalp")</f>
        <v>darutalp</v>
      </c>
      <c r="B18601" s="21"/>
      <c r="C18601" s="21"/>
      <c r="D18601" s="21"/>
    </row>
    <row r="18602" spans="1:4" ht="12.75" customHeight="1" x14ac:dyDescent="0.2">
      <c r="A18602" s="20"/>
      <c r="B18602" s="2"/>
      <c r="C18602" s="7"/>
      <c r="D18602" s="7"/>
    </row>
    <row r="18603" spans="1:4" ht="12.75" customHeight="1" x14ac:dyDescent="0.2">
      <c r="A18603" s="21"/>
      <c r="B18603" s="3" t="s">
        <v>0</v>
      </c>
      <c r="C18603" s="23" t="s">
        <v>1400</v>
      </c>
      <c r="D18603" s="21"/>
    </row>
    <row r="18604" spans="1:4" ht="12.75" customHeight="1" x14ac:dyDescent="0.2">
      <c r="A18604" s="21"/>
      <c r="B18604" s="3" t="s">
        <v>2</v>
      </c>
      <c r="C18604" s="23"/>
      <c r="D18604" s="21"/>
    </row>
    <row r="18605" spans="1:4" ht="12.75" customHeight="1" x14ac:dyDescent="0.2">
      <c r="A18605" s="21"/>
      <c r="B18605" s="3" t="s">
        <v>1840</v>
      </c>
      <c r="C18605" s="23" t="s">
        <v>1846</v>
      </c>
      <c r="D18605" s="21"/>
    </row>
    <row r="18606" spans="1:4" ht="12.75" customHeight="1" x14ac:dyDescent="0.2">
      <c r="A18606" s="21"/>
      <c r="B18606" s="3" t="s">
        <v>9</v>
      </c>
      <c r="C18606" s="23" t="s">
        <v>2225</v>
      </c>
      <c r="D18606" s="21"/>
    </row>
    <row r="18607" spans="1:4" ht="12.75" customHeight="1" x14ac:dyDescent="0.2">
      <c r="A18607" s="21"/>
      <c r="B18607" s="3" t="s">
        <v>11</v>
      </c>
      <c r="C18607" s="23" t="s">
        <v>1347</v>
      </c>
      <c r="D18607" s="21"/>
    </row>
    <row r="18608" spans="1:4" ht="12.75" customHeight="1" x14ac:dyDescent="0.2">
      <c r="A18608" s="21"/>
      <c r="B18608" s="3" t="s">
        <v>16</v>
      </c>
      <c r="C18608" s="23"/>
      <c r="D18608" s="21"/>
    </row>
    <row r="18609" spans="1:4" ht="12.75" customHeight="1" x14ac:dyDescent="0.2">
      <c r="A18609" s="21"/>
      <c r="B18609" s="3" t="s">
        <v>17</v>
      </c>
      <c r="C18609" s="23" t="s">
        <v>19</v>
      </c>
      <c r="D18609" s="21"/>
    </row>
    <row r="18610" spans="1:4" ht="12.75" customHeight="1" x14ac:dyDescent="0.2">
      <c r="A18610" s="21"/>
      <c r="B18610" s="20" t="s">
        <v>18</v>
      </c>
      <c r="C18610" s="8" t="s">
        <v>44</v>
      </c>
      <c r="D18610" s="1" t="str">
        <f>HYPERLINK("javascript:void(0)","bélelt bakancs")</f>
        <v>bélelt bakancs</v>
      </c>
    </row>
    <row r="18611" spans="1:4" ht="12.75" customHeight="1" x14ac:dyDescent="0.2">
      <c r="A18611" s="21"/>
      <c r="B18611" s="21"/>
      <c r="C18611" s="8" t="s">
        <v>196</v>
      </c>
      <c r="D18611" s="1" t="str">
        <f>HYPERLINK("javascript:void(0)","darunyak")</f>
        <v>darunyak</v>
      </c>
    </row>
    <row r="18612" spans="1:4" ht="12.75" customHeight="1" x14ac:dyDescent="0.2">
      <c r="A18612" s="21"/>
      <c r="B18612" s="21"/>
      <c r="C18612" s="8" t="s">
        <v>163</v>
      </c>
      <c r="D18612" s="1" t="str">
        <f>HYPERLINK("javascript:void(0)","nyújtózás")</f>
        <v>nyújtózás</v>
      </c>
    </row>
    <row r="18613" spans="1:4" ht="12.75" customHeight="1" x14ac:dyDescent="0.2">
      <c r="A18613" s="21"/>
      <c r="B18613" s="2"/>
      <c r="C18613" s="7"/>
      <c r="D18613" s="7"/>
    </row>
    <row r="18614" spans="1:4" ht="12.75" customHeight="1" x14ac:dyDescent="0.2">
      <c r="A18614" s="21"/>
      <c r="B18614" s="2"/>
      <c r="C18614" s="7"/>
      <c r="D18614" s="7"/>
    </row>
    <row r="18615" spans="1:4" ht="12.75" customHeight="1" x14ac:dyDescent="0.2">
      <c r="A18615" s="21"/>
      <c r="B18615" s="2"/>
      <c r="C18615" s="7"/>
      <c r="D18615" s="7"/>
    </row>
    <row r="18616" spans="1:4" ht="12.75" customHeight="1" x14ac:dyDescent="0.2">
      <c r="A18616" s="21"/>
      <c r="B18616" s="2"/>
      <c r="C18616" s="7"/>
      <c r="D18616" s="7"/>
    </row>
    <row r="18617" spans="1:4" ht="12.75" customHeight="1" x14ac:dyDescent="0.2">
      <c r="A18617" s="5"/>
      <c r="B18617" s="2"/>
      <c r="C18617" s="7"/>
      <c r="D18617" s="7"/>
    </row>
    <row r="18618" spans="1:4" ht="12.75" customHeight="1" x14ac:dyDescent="0.2">
      <c r="A18618" s="22" t="str">
        <f>HYPERLINK("javascript:void(0)","anti testpajzs")</f>
        <v>anti testpajzs</v>
      </c>
      <c r="B18618" s="21"/>
      <c r="C18618" s="21"/>
      <c r="D18618" s="21"/>
    </row>
    <row r="18619" spans="1:4" ht="12.75" customHeight="1" x14ac:dyDescent="0.2">
      <c r="A18619" s="20"/>
      <c r="B18619" s="2"/>
      <c r="C18619" s="7"/>
      <c r="D18619" s="7"/>
    </row>
    <row r="18620" spans="1:4" ht="12.75" customHeight="1" x14ac:dyDescent="0.2">
      <c r="A18620" s="21"/>
      <c r="B18620" s="3" t="s">
        <v>0</v>
      </c>
      <c r="C18620" s="23" t="s">
        <v>1400</v>
      </c>
      <c r="D18620" s="21"/>
    </row>
    <row r="18621" spans="1:4" ht="12.75" customHeight="1" x14ac:dyDescent="0.2">
      <c r="A18621" s="21"/>
      <c r="B18621" s="3" t="s">
        <v>2</v>
      </c>
      <c r="C18621" s="23" t="s">
        <v>1839</v>
      </c>
      <c r="D18621" s="21"/>
    </row>
    <row r="18622" spans="1:4" ht="12.75" customHeight="1" x14ac:dyDescent="0.2">
      <c r="A18622" s="21"/>
      <c r="B18622" s="3" t="s">
        <v>1840</v>
      </c>
      <c r="C18622" s="23" t="s">
        <v>6384</v>
      </c>
      <c r="D18622" s="21"/>
    </row>
    <row r="18623" spans="1:4" ht="12.75" customHeight="1" x14ac:dyDescent="0.2">
      <c r="A18623" s="21"/>
      <c r="B18623" s="3" t="s">
        <v>9</v>
      </c>
      <c r="C18623" s="23" t="s">
        <v>236</v>
      </c>
      <c r="D18623" s="21"/>
    </row>
    <row r="18624" spans="1:4" ht="12.75" customHeight="1" x14ac:dyDescent="0.2">
      <c r="A18624" s="21"/>
      <c r="B18624" s="3" t="s">
        <v>11</v>
      </c>
      <c r="C18624" s="23" t="s">
        <v>1425</v>
      </c>
      <c r="D18624" s="21"/>
    </row>
    <row r="18625" spans="1:4" ht="12.75" customHeight="1" x14ac:dyDescent="0.2">
      <c r="A18625" s="21"/>
      <c r="B18625" s="3" t="s">
        <v>16</v>
      </c>
      <c r="C18625" s="23"/>
      <c r="D18625" s="21"/>
    </row>
    <row r="18626" spans="1:4" ht="12.75" customHeight="1" x14ac:dyDescent="0.2">
      <c r="A18626" s="21"/>
      <c r="B18626" s="3" t="s">
        <v>17</v>
      </c>
      <c r="C18626" s="23" t="s">
        <v>19</v>
      </c>
      <c r="D18626" s="21"/>
    </row>
    <row r="18627" spans="1:4" ht="12.75" customHeight="1" x14ac:dyDescent="0.2">
      <c r="A18627" s="21"/>
      <c r="B18627" s="20" t="s">
        <v>18</v>
      </c>
      <c r="C18627" s="8" t="s">
        <v>44</v>
      </c>
      <c r="D18627" s="1" t="str">
        <f>HYPERLINK("javascript:void(0)","köd testpajzs")</f>
        <v>köd testpajzs</v>
      </c>
    </row>
    <row r="18628" spans="1:4" ht="12.75" customHeight="1" x14ac:dyDescent="0.2">
      <c r="A18628" s="21"/>
      <c r="B18628" s="21"/>
      <c r="C18628" s="8" t="s">
        <v>196</v>
      </c>
      <c r="D18628" s="1" t="str">
        <f>HYPERLINK("javascript:void(0)","rangjel")</f>
        <v>rangjel</v>
      </c>
    </row>
    <row r="18629" spans="1:4" ht="12.75" customHeight="1" x14ac:dyDescent="0.2">
      <c r="A18629" s="21"/>
      <c r="B18629" s="21"/>
      <c r="C18629" s="8" t="s">
        <v>296</v>
      </c>
      <c r="D18629" s="1" t="str">
        <f>HYPERLINK("javascript:void(0)","pengeszálka")</f>
        <v>pengeszálka</v>
      </c>
    </row>
    <row r="18630" spans="1:4" ht="12.75" customHeight="1" x14ac:dyDescent="0.2">
      <c r="A18630" s="21"/>
      <c r="B18630" s="2"/>
      <c r="C18630" s="7"/>
      <c r="D18630" s="7"/>
    </row>
    <row r="18631" spans="1:4" ht="12.75" customHeight="1" x14ac:dyDescent="0.2">
      <c r="A18631" s="21"/>
      <c r="B18631" s="2"/>
      <c r="C18631" s="7"/>
      <c r="D18631" s="7"/>
    </row>
    <row r="18632" spans="1:4" ht="12.75" customHeight="1" x14ac:dyDescent="0.2">
      <c r="A18632" s="21"/>
      <c r="B18632" s="2"/>
      <c r="C18632" s="7"/>
      <c r="D18632" s="7"/>
    </row>
    <row r="18633" spans="1:4" ht="12.75" customHeight="1" x14ac:dyDescent="0.2">
      <c r="A18633" s="21"/>
      <c r="B18633" s="2"/>
      <c r="C18633" s="7"/>
      <c r="D18633" s="7"/>
    </row>
    <row r="18634" spans="1:4" ht="12.75" customHeight="1" x14ac:dyDescent="0.2">
      <c r="A18634" s="5"/>
      <c r="B18634" s="2"/>
      <c r="C18634" s="7"/>
      <c r="D18634" s="7"/>
    </row>
    <row r="18635" spans="1:4" ht="12.75" customHeight="1" x14ac:dyDescent="0.2">
      <c r="A18635" s="22" t="str">
        <f>HYPERLINK("javascript:void(0)","kithrill pihepajzs")</f>
        <v>kithrill pihepajzs</v>
      </c>
      <c r="B18635" s="21"/>
      <c r="C18635" s="21"/>
      <c r="D18635" s="21"/>
    </row>
    <row r="18636" spans="1:4" ht="12.75" customHeight="1" x14ac:dyDescent="0.2">
      <c r="A18636" s="20"/>
      <c r="B18636" s="2"/>
      <c r="C18636" s="7"/>
      <c r="D18636" s="7"/>
    </row>
    <row r="18637" spans="1:4" ht="12.75" customHeight="1" x14ac:dyDescent="0.2">
      <c r="A18637" s="21"/>
      <c r="B18637" s="3" t="s">
        <v>0</v>
      </c>
      <c r="C18637" s="23" t="s">
        <v>1400</v>
      </c>
      <c r="D18637" s="21"/>
    </row>
    <row r="18638" spans="1:4" ht="12.75" customHeight="1" x14ac:dyDescent="0.2">
      <c r="A18638" s="21"/>
      <c r="B18638" s="3" t="s">
        <v>2</v>
      </c>
      <c r="C18638" s="23" t="s">
        <v>1839</v>
      </c>
      <c r="D18638" s="21"/>
    </row>
    <row r="18639" spans="1:4" ht="12.75" customHeight="1" x14ac:dyDescent="0.2">
      <c r="A18639" s="21"/>
      <c r="B18639" s="3" t="s">
        <v>1840</v>
      </c>
      <c r="C18639" s="23" t="s">
        <v>6384</v>
      </c>
      <c r="D18639" s="21"/>
    </row>
    <row r="18640" spans="1:4" ht="12.75" customHeight="1" x14ac:dyDescent="0.2">
      <c r="A18640" s="21"/>
      <c r="B18640" s="3" t="s">
        <v>9</v>
      </c>
      <c r="C18640" s="23" t="s">
        <v>637</v>
      </c>
      <c r="D18640" s="21"/>
    </row>
    <row r="18641" spans="1:4" ht="12.75" customHeight="1" x14ac:dyDescent="0.2">
      <c r="A18641" s="21"/>
      <c r="B18641" s="3" t="s">
        <v>11</v>
      </c>
      <c r="C18641" s="23" t="s">
        <v>2590</v>
      </c>
      <c r="D18641" s="21"/>
    </row>
    <row r="18642" spans="1:4" ht="12.75" customHeight="1" x14ac:dyDescent="0.2">
      <c r="A18642" s="21"/>
      <c r="B18642" s="3" t="s">
        <v>16</v>
      </c>
      <c r="C18642" s="23"/>
      <c r="D18642" s="21"/>
    </row>
    <row r="18643" spans="1:4" ht="12.75" customHeight="1" x14ac:dyDescent="0.2">
      <c r="A18643" s="21"/>
      <c r="B18643" s="3" t="s">
        <v>17</v>
      </c>
      <c r="C18643" s="23" t="s">
        <v>19</v>
      </c>
      <c r="D18643" s="21"/>
    </row>
    <row r="18644" spans="1:4" ht="12.75" customHeight="1" x14ac:dyDescent="0.2">
      <c r="A18644" s="21"/>
      <c r="B18644" s="20" t="s">
        <v>18</v>
      </c>
      <c r="C18644" s="8" t="s">
        <v>44</v>
      </c>
      <c r="D18644" s="1" t="str">
        <f>HYPERLINK("javascript:void(0)","anti testpajzs")</f>
        <v>anti testpajzs</v>
      </c>
    </row>
    <row r="18645" spans="1:4" ht="12.75" customHeight="1" x14ac:dyDescent="0.2">
      <c r="A18645" s="21"/>
      <c r="B18645" s="21"/>
      <c r="C18645" s="8" t="s">
        <v>331</v>
      </c>
      <c r="D18645" s="1" t="str">
        <f>HYPERLINK("javascript:void(0)","kívánság")</f>
        <v>kívánság</v>
      </c>
    </row>
    <row r="18646" spans="1:4" ht="12.75" customHeight="1" x14ac:dyDescent="0.2">
      <c r="A18646" s="21"/>
      <c r="B18646" s="21"/>
      <c r="C18646" s="8" t="s">
        <v>68</v>
      </c>
      <c r="D18646" s="1" t="str">
        <f>HYPERLINK("javascript:void(0)","darunyak")</f>
        <v>darunyak</v>
      </c>
    </row>
    <row r="18647" spans="1:4" ht="12.75" customHeight="1" x14ac:dyDescent="0.2">
      <c r="A18647" s="21"/>
      <c r="B18647" s="2"/>
      <c r="C18647" s="7"/>
      <c r="D18647" s="7"/>
    </row>
    <row r="18648" spans="1:4" ht="12.75" customHeight="1" x14ac:dyDescent="0.2">
      <c r="A18648" s="21"/>
      <c r="B18648" s="2"/>
      <c r="C18648" s="7"/>
      <c r="D18648" s="7"/>
    </row>
    <row r="18649" spans="1:4" ht="12.75" customHeight="1" x14ac:dyDescent="0.2">
      <c r="A18649" s="21"/>
      <c r="B18649" s="2"/>
      <c r="C18649" s="7"/>
      <c r="D18649" s="7"/>
    </row>
    <row r="18650" spans="1:4" ht="12.75" customHeight="1" x14ac:dyDescent="0.2">
      <c r="A18650" s="21"/>
      <c r="B18650" s="2"/>
      <c r="C18650" s="7"/>
      <c r="D18650" s="7"/>
    </row>
    <row r="18651" spans="1:4" ht="12.75" customHeight="1" x14ac:dyDescent="0.2">
      <c r="A18651" s="5"/>
      <c r="B18651" s="2"/>
      <c r="C18651" s="7"/>
      <c r="D18651" s="7"/>
    </row>
    <row r="18652" spans="1:4" ht="12.75" customHeight="1" x14ac:dyDescent="0.2">
      <c r="A18652" s="22" t="str">
        <f>HYPERLINK("javascript:void(0)","mechakorona")</f>
        <v>mechakorona</v>
      </c>
      <c r="B18652" s="21"/>
      <c r="C18652" s="21"/>
      <c r="D18652" s="21"/>
    </row>
    <row r="18653" spans="1:4" ht="12.75" customHeight="1" x14ac:dyDescent="0.2">
      <c r="A18653" s="20"/>
      <c r="B18653" s="2"/>
      <c r="C18653" s="7"/>
      <c r="D18653" s="7"/>
    </row>
    <row r="18654" spans="1:4" ht="12.75" customHeight="1" x14ac:dyDescent="0.2">
      <c r="A18654" s="21"/>
      <c r="B18654" s="3" t="s">
        <v>0</v>
      </c>
      <c r="C18654" s="23" t="s">
        <v>1406</v>
      </c>
      <c r="D18654" s="21"/>
    </row>
    <row r="18655" spans="1:4" ht="12.75" customHeight="1" x14ac:dyDescent="0.2">
      <c r="A18655" s="21"/>
      <c r="B18655" s="3" t="s">
        <v>2</v>
      </c>
      <c r="C18655" s="23"/>
      <c r="D18655" s="21"/>
    </row>
    <row r="18656" spans="1:4" ht="12.75" customHeight="1" x14ac:dyDescent="0.2">
      <c r="A18656" s="21"/>
      <c r="B18656" s="3" t="s">
        <v>1840</v>
      </c>
      <c r="C18656" s="23" t="s">
        <v>318</v>
      </c>
      <c r="D18656" s="21"/>
    </row>
    <row r="18657" spans="1:4" ht="12.75" customHeight="1" x14ac:dyDescent="0.2">
      <c r="A18657" s="21"/>
      <c r="B18657" s="3" t="s">
        <v>9</v>
      </c>
      <c r="C18657" s="23" t="s">
        <v>2079</v>
      </c>
      <c r="D18657" s="21"/>
    </row>
    <row r="18658" spans="1:4" ht="12.75" customHeight="1" x14ac:dyDescent="0.2">
      <c r="A18658" s="21"/>
      <c r="B18658" s="3" t="s">
        <v>11</v>
      </c>
      <c r="C18658" s="23" t="s">
        <v>1425</v>
      </c>
      <c r="D18658" s="21"/>
    </row>
    <row r="18659" spans="1:4" ht="12.75" customHeight="1" x14ac:dyDescent="0.2">
      <c r="A18659" s="21"/>
      <c r="B18659" s="3" t="s">
        <v>16</v>
      </c>
      <c r="C18659" s="23"/>
      <c r="D18659" s="21"/>
    </row>
    <row r="18660" spans="1:4" ht="12.75" customHeight="1" x14ac:dyDescent="0.2">
      <c r="A18660" s="21"/>
      <c r="B18660" s="3" t="s">
        <v>17</v>
      </c>
      <c r="C18660" s="23" t="s">
        <v>19</v>
      </c>
      <c r="D18660" s="21"/>
    </row>
    <row r="18661" spans="1:4" ht="12.75" customHeight="1" x14ac:dyDescent="0.2">
      <c r="A18661" s="21"/>
      <c r="B18661" s="20" t="s">
        <v>18</v>
      </c>
      <c r="C18661" s="8" t="s">
        <v>44</v>
      </c>
      <c r="D18661" s="1" t="str">
        <f>HYPERLINK("javascript:void(0)","tarajsapka")</f>
        <v>tarajsapka</v>
      </c>
    </row>
    <row r="18662" spans="1:4" ht="12.75" customHeight="1" x14ac:dyDescent="0.2">
      <c r="A18662" s="21"/>
      <c r="B18662" s="21"/>
      <c r="C18662" s="8" t="s">
        <v>44</v>
      </c>
      <c r="D18662" s="1" t="str">
        <f>HYPERLINK("javascript:void(0)","díszsisak")</f>
        <v>díszsisak</v>
      </c>
    </row>
    <row r="18663" spans="1:4" ht="12.75" customHeight="1" x14ac:dyDescent="0.2">
      <c r="A18663" s="21"/>
      <c r="B18663" s="21"/>
      <c r="C18663" s="8" t="s">
        <v>77</v>
      </c>
      <c r="D18663" s="1" t="str">
        <f>HYPERLINK("javascript:void(0)","animált ige")</f>
        <v>animált ige</v>
      </c>
    </row>
    <row r="18664" spans="1:4" ht="12.75" customHeight="1" x14ac:dyDescent="0.2">
      <c r="A18664" s="21"/>
      <c r="B18664" s="2"/>
      <c r="C18664" s="7"/>
      <c r="D18664" s="7"/>
    </row>
    <row r="18665" spans="1:4" ht="12.75" customHeight="1" x14ac:dyDescent="0.2">
      <c r="A18665" s="21"/>
      <c r="B18665" s="2"/>
      <c r="C18665" s="7"/>
      <c r="D18665" s="7"/>
    </row>
    <row r="18666" spans="1:4" ht="12.75" customHeight="1" x14ac:dyDescent="0.2">
      <c r="A18666" s="21"/>
      <c r="B18666" s="2"/>
      <c r="C18666" s="7"/>
      <c r="D18666" s="7"/>
    </row>
    <row r="18667" spans="1:4" ht="12.75" customHeight="1" x14ac:dyDescent="0.2">
      <c r="A18667" s="21"/>
      <c r="B18667" s="2"/>
      <c r="C18667" s="7"/>
      <c r="D18667" s="7"/>
    </row>
    <row r="18668" spans="1:4" ht="12.75" customHeight="1" x14ac:dyDescent="0.2">
      <c r="A18668" s="5"/>
      <c r="B18668" s="2"/>
      <c r="C18668" s="7"/>
      <c r="D18668" s="7"/>
    </row>
    <row r="18669" spans="1:4" ht="12.75" customHeight="1" x14ac:dyDescent="0.2">
      <c r="A18669" s="22" t="str">
        <f>HYPERLINK("javascript:void(0)","gyöngy zeke")</f>
        <v>gyöngy zeke</v>
      </c>
      <c r="B18669" s="21"/>
      <c r="C18669" s="21"/>
      <c r="D18669" s="21"/>
    </row>
    <row r="18670" spans="1:4" ht="12.75" customHeight="1" x14ac:dyDescent="0.2">
      <c r="A18670" s="20"/>
      <c r="B18670" s="2"/>
      <c r="C18670" s="7"/>
      <c r="D18670" s="7"/>
    </row>
    <row r="18671" spans="1:4" ht="12.75" customHeight="1" x14ac:dyDescent="0.2">
      <c r="A18671" s="21"/>
      <c r="B18671" s="3" t="s">
        <v>0</v>
      </c>
      <c r="C18671" s="23" t="s">
        <v>1406</v>
      </c>
      <c r="D18671" s="21"/>
    </row>
    <row r="18672" spans="1:4" ht="12.75" customHeight="1" x14ac:dyDescent="0.2">
      <c r="A18672" s="21"/>
      <c r="B18672" s="3" t="s">
        <v>2</v>
      </c>
      <c r="C18672" s="23" t="s">
        <v>2322</v>
      </c>
      <c r="D18672" s="21"/>
    </row>
    <row r="18673" spans="1:4" ht="12.75" customHeight="1" x14ac:dyDescent="0.2">
      <c r="A18673" s="21"/>
      <c r="B18673" s="3" t="s">
        <v>1840</v>
      </c>
      <c r="C18673" s="23" t="s">
        <v>747</v>
      </c>
      <c r="D18673" s="21"/>
    </row>
    <row r="18674" spans="1:4" ht="12.75" customHeight="1" x14ac:dyDescent="0.2">
      <c r="A18674" s="21"/>
      <c r="B18674" s="3" t="s">
        <v>9</v>
      </c>
      <c r="C18674" s="23" t="s">
        <v>913</v>
      </c>
      <c r="D18674" s="21"/>
    </row>
    <row r="18675" spans="1:4" ht="12.75" customHeight="1" x14ac:dyDescent="0.2">
      <c r="A18675" s="21"/>
      <c r="B18675" s="3" t="s">
        <v>11</v>
      </c>
      <c r="C18675" s="23" t="s">
        <v>2588</v>
      </c>
      <c r="D18675" s="21"/>
    </row>
    <row r="18676" spans="1:4" ht="12.75" customHeight="1" x14ac:dyDescent="0.2">
      <c r="A18676" s="21"/>
      <c r="B18676" s="3" t="s">
        <v>16</v>
      </c>
      <c r="C18676" s="23"/>
      <c r="D18676" s="21"/>
    </row>
    <row r="18677" spans="1:4" ht="12.75" customHeight="1" x14ac:dyDescent="0.2">
      <c r="A18677" s="21"/>
      <c r="B18677" s="3" t="s">
        <v>17</v>
      </c>
      <c r="C18677" s="23" t="s">
        <v>19</v>
      </c>
      <c r="D18677" s="21"/>
    </row>
    <row r="18678" spans="1:4" ht="12.75" customHeight="1" x14ac:dyDescent="0.2">
      <c r="A18678" s="21"/>
      <c r="B18678" s="20" t="s">
        <v>18</v>
      </c>
      <c r="C18678" s="8" t="s">
        <v>44</v>
      </c>
      <c r="D18678" s="1" t="str">
        <f>HYPERLINK("javascript:void(0)","rubin zeke")</f>
        <v>rubin zeke</v>
      </c>
    </row>
    <row r="18679" spans="1:4" ht="12.75" customHeight="1" x14ac:dyDescent="0.2">
      <c r="A18679" s="21"/>
      <c r="B18679" s="21"/>
      <c r="C18679" s="8" t="s">
        <v>117</v>
      </c>
      <c r="D18679" s="1" t="str">
        <f>HYPERLINK("javascript:void(0)","animált ige")</f>
        <v>animált ige</v>
      </c>
    </row>
    <row r="18680" spans="1:4" ht="12.75" customHeight="1" x14ac:dyDescent="0.2">
      <c r="A18680" s="21"/>
      <c r="B18680" s="21"/>
      <c r="C18680" s="8" t="s">
        <v>193</v>
      </c>
      <c r="D18680" s="1" t="str">
        <f>HYPERLINK("javascript:void(0)","gumilepedő")</f>
        <v>gumilepedő</v>
      </c>
    </row>
    <row r="18681" spans="1:4" ht="12.75" customHeight="1" x14ac:dyDescent="0.2">
      <c r="A18681" s="21"/>
      <c r="B18681" s="2"/>
      <c r="C18681" s="7"/>
      <c r="D18681" s="7"/>
    </row>
    <row r="18682" spans="1:4" ht="12.75" customHeight="1" x14ac:dyDescent="0.2">
      <c r="A18682" s="21"/>
      <c r="B18682" s="2"/>
      <c r="C18682" s="7"/>
      <c r="D18682" s="7"/>
    </row>
    <row r="18683" spans="1:4" ht="12.75" customHeight="1" x14ac:dyDescent="0.2">
      <c r="A18683" s="21"/>
      <c r="B18683" s="2"/>
      <c r="C18683" s="7"/>
      <c r="D18683" s="7"/>
    </row>
    <row r="18684" spans="1:4" ht="12.75" customHeight="1" x14ac:dyDescent="0.2">
      <c r="A18684" s="21"/>
      <c r="B18684" s="2"/>
      <c r="C18684" s="7"/>
      <c r="D18684" s="7"/>
    </row>
    <row r="18685" spans="1:4" ht="12.75" customHeight="1" x14ac:dyDescent="0.2">
      <c r="A18685" s="5"/>
      <c r="B18685" s="2"/>
      <c r="C18685" s="7"/>
      <c r="D18685" s="7"/>
    </row>
    <row r="18686" spans="1:4" ht="12.75" customHeight="1" x14ac:dyDescent="0.2">
      <c r="A18686" s="22" t="str">
        <f>HYPERLINK("javascript:void(0)","idegen önjáró")</f>
        <v>idegen önjáró</v>
      </c>
      <c r="B18686" s="21"/>
      <c r="C18686" s="21"/>
      <c r="D18686" s="21"/>
    </row>
    <row r="18687" spans="1:4" ht="12.75" customHeight="1" x14ac:dyDescent="0.2">
      <c r="A18687" s="20"/>
      <c r="B18687" s="2"/>
      <c r="C18687" s="7"/>
      <c r="D18687" s="7"/>
    </row>
    <row r="18688" spans="1:4" ht="12.75" customHeight="1" x14ac:dyDescent="0.2">
      <c r="A18688" s="21"/>
      <c r="B18688" s="3" t="s">
        <v>0</v>
      </c>
      <c r="C18688" s="23" t="s">
        <v>1406</v>
      </c>
      <c r="D18688" s="21"/>
    </row>
    <row r="18689" spans="1:4" ht="12.75" customHeight="1" x14ac:dyDescent="0.2">
      <c r="A18689" s="21"/>
      <c r="B18689" s="3" t="s">
        <v>2</v>
      </c>
      <c r="C18689" s="23"/>
      <c r="D18689" s="21"/>
    </row>
    <row r="18690" spans="1:4" ht="12.75" customHeight="1" x14ac:dyDescent="0.2">
      <c r="A18690" s="21"/>
      <c r="B18690" s="3" t="s">
        <v>1840</v>
      </c>
      <c r="C18690" s="23" t="s">
        <v>1842</v>
      </c>
      <c r="D18690" s="21"/>
    </row>
    <row r="18691" spans="1:4" ht="12.75" customHeight="1" x14ac:dyDescent="0.2">
      <c r="A18691" s="21"/>
      <c r="B18691" s="3" t="s">
        <v>9</v>
      </c>
      <c r="C18691" s="23" t="s">
        <v>962</v>
      </c>
      <c r="D18691" s="21"/>
    </row>
    <row r="18692" spans="1:4" ht="12.75" customHeight="1" x14ac:dyDescent="0.2">
      <c r="A18692" s="21"/>
      <c r="B18692" s="3" t="s">
        <v>11</v>
      </c>
      <c r="C18692" s="23" t="s">
        <v>1425</v>
      </c>
      <c r="D18692" s="21"/>
    </row>
    <row r="18693" spans="1:4" ht="12.75" customHeight="1" x14ac:dyDescent="0.2">
      <c r="A18693" s="21"/>
      <c r="B18693" s="3" t="s">
        <v>16</v>
      </c>
      <c r="C18693" s="23"/>
      <c r="D18693" s="21"/>
    </row>
    <row r="18694" spans="1:4" ht="12.75" customHeight="1" x14ac:dyDescent="0.2">
      <c r="A18694" s="21"/>
      <c r="B18694" s="3" t="s">
        <v>17</v>
      </c>
      <c r="C18694" s="23" t="s">
        <v>19</v>
      </c>
      <c r="D18694" s="21"/>
    </row>
    <row r="18695" spans="1:4" ht="12.75" customHeight="1" x14ac:dyDescent="0.2">
      <c r="A18695" s="21"/>
      <c r="B18695" s="20" t="s">
        <v>18</v>
      </c>
      <c r="C18695" s="8" t="s">
        <v>232</v>
      </c>
      <c r="D18695" s="1" t="str">
        <f>HYPERLINK("javascript:void(0)","izébizé")</f>
        <v>izébizé</v>
      </c>
    </row>
    <row r="18696" spans="1:4" ht="12.75" customHeight="1" x14ac:dyDescent="0.2">
      <c r="A18696" s="21"/>
      <c r="B18696" s="21"/>
      <c r="C18696" s="8" t="s">
        <v>117</v>
      </c>
      <c r="D18696" s="1" t="str">
        <f>HYPERLINK("javascript:void(0)","idegen herkentyű")</f>
        <v>idegen herkentyű</v>
      </c>
    </row>
    <row r="18697" spans="1:4" ht="12.75" customHeight="1" x14ac:dyDescent="0.2">
      <c r="A18697" s="21"/>
      <c r="B18697" s="21"/>
      <c r="C18697" s="8" t="s">
        <v>117</v>
      </c>
      <c r="D18697" s="1" t="str">
        <f>HYPERLINK("javascript:void(0)","idegen ketyere")</f>
        <v>idegen ketyere</v>
      </c>
    </row>
    <row r="18698" spans="1:4" ht="12.75" customHeight="1" x14ac:dyDescent="0.2">
      <c r="A18698" s="21"/>
      <c r="B18698" s="2"/>
      <c r="C18698" s="7"/>
      <c r="D18698" s="7"/>
    </row>
    <row r="18699" spans="1:4" ht="12.75" customHeight="1" x14ac:dyDescent="0.2">
      <c r="A18699" s="21"/>
      <c r="B18699" s="2"/>
      <c r="C18699" s="7"/>
      <c r="D18699" s="7"/>
    </row>
    <row r="18700" spans="1:4" ht="12.75" customHeight="1" x14ac:dyDescent="0.2">
      <c r="A18700" s="21"/>
      <c r="B18700" s="2"/>
      <c r="C18700" s="7"/>
      <c r="D18700" s="7"/>
    </row>
    <row r="18701" spans="1:4" ht="12.75" customHeight="1" x14ac:dyDescent="0.2">
      <c r="A18701" s="21"/>
      <c r="B18701" s="2"/>
      <c r="C18701" s="7"/>
      <c r="D18701" s="7"/>
    </row>
    <row r="18702" spans="1:4" ht="12.75" customHeight="1" x14ac:dyDescent="0.2">
      <c r="A18702" s="5"/>
      <c r="B18702" s="2"/>
      <c r="C18702" s="7"/>
      <c r="D18702" s="7"/>
    </row>
    <row r="18703" spans="1:4" ht="12.75" customHeight="1" x14ac:dyDescent="0.2">
      <c r="A18703" s="22" t="str">
        <f>HYPERLINK("javascript:void(0)","mechano antigrav csizma")</f>
        <v>mechano antigrav csizma</v>
      </c>
      <c r="B18703" s="21"/>
      <c r="C18703" s="21"/>
      <c r="D18703" s="21"/>
    </row>
    <row r="18704" spans="1:4" ht="12.75" customHeight="1" x14ac:dyDescent="0.2">
      <c r="A18704" s="20"/>
      <c r="B18704" s="2"/>
      <c r="C18704" s="7"/>
      <c r="D18704" s="7"/>
    </row>
    <row r="18705" spans="1:4" ht="12.75" customHeight="1" x14ac:dyDescent="0.2">
      <c r="A18705" s="21"/>
      <c r="B18705" s="3" t="s">
        <v>0</v>
      </c>
      <c r="C18705" s="23" t="s">
        <v>1406</v>
      </c>
      <c r="D18705" s="21"/>
    </row>
    <row r="18706" spans="1:4" ht="12.75" customHeight="1" x14ac:dyDescent="0.2">
      <c r="A18706" s="21"/>
      <c r="B18706" s="3" t="s">
        <v>2</v>
      </c>
      <c r="C18706" s="23"/>
      <c r="D18706" s="21"/>
    </row>
    <row r="18707" spans="1:4" ht="12.75" customHeight="1" x14ac:dyDescent="0.2">
      <c r="A18707" s="21"/>
      <c r="B18707" s="3" t="s">
        <v>1840</v>
      </c>
      <c r="C18707" s="23" t="s">
        <v>1842</v>
      </c>
      <c r="D18707" s="21"/>
    </row>
    <row r="18708" spans="1:4" ht="12.75" customHeight="1" x14ac:dyDescent="0.2">
      <c r="A18708" s="21"/>
      <c r="B18708" s="3" t="s">
        <v>9</v>
      </c>
      <c r="C18708" s="23" t="s">
        <v>626</v>
      </c>
      <c r="D18708" s="21"/>
    </row>
    <row r="18709" spans="1:4" ht="12.75" customHeight="1" x14ac:dyDescent="0.2">
      <c r="A18709" s="21"/>
      <c r="B18709" s="3" t="s">
        <v>11</v>
      </c>
      <c r="C18709" s="23" t="s">
        <v>23</v>
      </c>
      <c r="D18709" s="21"/>
    </row>
    <row r="18710" spans="1:4" ht="12.75" customHeight="1" x14ac:dyDescent="0.2">
      <c r="A18710" s="21"/>
      <c r="B18710" s="3" t="s">
        <v>16</v>
      </c>
      <c r="C18710" s="23"/>
      <c r="D18710" s="21"/>
    </row>
    <row r="18711" spans="1:4" ht="12.75" customHeight="1" x14ac:dyDescent="0.2">
      <c r="A18711" s="21"/>
      <c r="B18711" s="3" t="s">
        <v>17</v>
      </c>
      <c r="C18711" s="23" t="s">
        <v>19</v>
      </c>
      <c r="D18711" s="21"/>
    </row>
    <row r="18712" spans="1:4" ht="25.5" customHeight="1" x14ac:dyDescent="0.2">
      <c r="A18712" s="21"/>
      <c r="B18712" s="20" t="s">
        <v>18</v>
      </c>
      <c r="C18712" s="8" t="s">
        <v>44</v>
      </c>
      <c r="D18712" s="1" t="str">
        <f>HYPERLINK("javascript:void(0)","homályos antigrav csizma")</f>
        <v>homályos antigrav csizma</v>
      </c>
    </row>
    <row r="18713" spans="1:4" ht="12.75" customHeight="1" x14ac:dyDescent="0.2">
      <c r="A18713" s="21"/>
      <c r="B18713" s="21"/>
      <c r="C18713" s="8" t="s">
        <v>280</v>
      </c>
      <c r="D18713" s="1" t="str">
        <f>HYPERLINK("javascript:void(0)","mechodron")</f>
        <v>mechodron</v>
      </c>
    </row>
    <row r="18714" spans="1:4" ht="12.75" customHeight="1" x14ac:dyDescent="0.2">
      <c r="A18714" s="21"/>
      <c r="B18714" s="21"/>
      <c r="C18714" s="8" t="s">
        <v>139</v>
      </c>
      <c r="D18714" s="1" t="str">
        <f>HYPERLINK("javascript:void(0)","izébizé")</f>
        <v>izébizé</v>
      </c>
    </row>
    <row r="18715" spans="1:4" ht="12.75" customHeight="1" x14ac:dyDescent="0.2">
      <c r="A18715" s="21"/>
      <c r="B18715" s="2"/>
      <c r="C18715" s="7"/>
      <c r="D18715" s="7"/>
    </row>
    <row r="18716" spans="1:4" ht="12.75" customHeight="1" x14ac:dyDescent="0.2">
      <c r="A18716" s="21"/>
      <c r="B18716" s="2"/>
      <c r="C18716" s="7"/>
      <c r="D18716" s="7"/>
    </row>
    <row r="18717" spans="1:4" ht="12.75" customHeight="1" x14ac:dyDescent="0.2">
      <c r="A18717" s="21"/>
      <c r="B18717" s="2"/>
      <c r="C18717" s="7"/>
      <c r="D18717" s="7"/>
    </row>
    <row r="18718" spans="1:4" ht="12.75" customHeight="1" x14ac:dyDescent="0.2">
      <c r="A18718" s="21"/>
      <c r="B18718" s="2"/>
      <c r="C18718" s="7"/>
      <c r="D18718" s="7"/>
    </row>
    <row r="18719" spans="1:4" ht="12.75" customHeight="1" x14ac:dyDescent="0.2">
      <c r="A18719" s="5"/>
      <c r="B18719" s="2"/>
      <c r="C18719" s="7"/>
      <c r="D18719" s="7"/>
    </row>
    <row r="18720" spans="1:4" ht="12.75" customHeight="1" x14ac:dyDescent="0.2">
      <c r="A18720" s="22" t="str">
        <f>HYPERLINK("javascript:void(0)","animált pajzs")</f>
        <v>animált pajzs</v>
      </c>
      <c r="B18720" s="21"/>
      <c r="C18720" s="21"/>
      <c r="D18720" s="21"/>
    </row>
    <row r="18721" spans="1:4" ht="12.75" customHeight="1" x14ac:dyDescent="0.2">
      <c r="A18721" s="20"/>
      <c r="B18721" s="2"/>
      <c r="C18721" s="7"/>
      <c r="D18721" s="7"/>
    </row>
    <row r="18722" spans="1:4" ht="12.75" customHeight="1" x14ac:dyDescent="0.2">
      <c r="A18722" s="21"/>
      <c r="B18722" s="3" t="s">
        <v>0</v>
      </c>
      <c r="C18722" s="23" t="s">
        <v>1406</v>
      </c>
      <c r="D18722" s="21"/>
    </row>
    <row r="18723" spans="1:4" ht="12.75" customHeight="1" x14ac:dyDescent="0.2">
      <c r="A18723" s="21"/>
      <c r="B18723" s="3" t="s">
        <v>2</v>
      </c>
      <c r="C18723" s="23" t="s">
        <v>1839</v>
      </c>
      <c r="D18723" s="21"/>
    </row>
    <row r="18724" spans="1:4" ht="12.75" customHeight="1" x14ac:dyDescent="0.2">
      <c r="A18724" s="21"/>
      <c r="B18724" s="3" t="s">
        <v>1840</v>
      </c>
      <c r="C18724" s="23" t="s">
        <v>6402</v>
      </c>
      <c r="D18724" s="21"/>
    </row>
    <row r="18725" spans="1:4" ht="12.75" customHeight="1" x14ac:dyDescent="0.2">
      <c r="A18725" s="21"/>
      <c r="B18725" s="3" t="s">
        <v>9</v>
      </c>
      <c r="C18725" s="23" t="s">
        <v>249</v>
      </c>
      <c r="D18725" s="21"/>
    </row>
    <row r="18726" spans="1:4" ht="12.75" customHeight="1" x14ac:dyDescent="0.2">
      <c r="A18726" s="21"/>
      <c r="B18726" s="3" t="s">
        <v>11</v>
      </c>
      <c r="C18726" s="23" t="s">
        <v>2587</v>
      </c>
      <c r="D18726" s="21"/>
    </row>
    <row r="18727" spans="1:4" ht="12.75" customHeight="1" x14ac:dyDescent="0.2">
      <c r="A18727" s="21"/>
      <c r="B18727" s="3" t="s">
        <v>16</v>
      </c>
      <c r="C18727" s="23"/>
      <c r="D18727" s="21"/>
    </row>
    <row r="18728" spans="1:4" ht="12.75" customHeight="1" x14ac:dyDescent="0.2">
      <c r="A18728" s="21"/>
      <c r="B18728" s="3" t="s">
        <v>17</v>
      </c>
      <c r="C18728" s="23" t="s">
        <v>19</v>
      </c>
      <c r="D18728" s="21"/>
    </row>
    <row r="18729" spans="1:4" ht="12.75" customHeight="1" x14ac:dyDescent="0.2">
      <c r="A18729" s="21"/>
      <c r="B18729" s="20" t="s">
        <v>18</v>
      </c>
      <c r="C18729" s="8" t="s">
        <v>44</v>
      </c>
      <c r="D18729" s="1" t="str">
        <f>HYPERLINK("javascript:void(0)","antipajzs")</f>
        <v>antipajzs</v>
      </c>
    </row>
    <row r="18730" spans="1:4" ht="12.75" customHeight="1" x14ac:dyDescent="0.2">
      <c r="A18730" s="21"/>
      <c r="B18730" s="21"/>
      <c r="C18730" s="8" t="s">
        <v>196</v>
      </c>
      <c r="D18730" s="1" t="str">
        <f>HYPERLINK("javascript:void(0)","izébizé")</f>
        <v>izébizé</v>
      </c>
    </row>
    <row r="18731" spans="1:4" ht="12.75" customHeight="1" x14ac:dyDescent="0.2">
      <c r="A18731" s="21"/>
      <c r="B18731" s="21"/>
      <c r="C18731" s="8" t="s">
        <v>244</v>
      </c>
      <c r="D18731" s="1" t="str">
        <f>HYPERLINK("javascript:void(0)","akasztó")</f>
        <v>akasztó</v>
      </c>
    </row>
    <row r="18732" spans="1:4" ht="12.75" customHeight="1" x14ac:dyDescent="0.2">
      <c r="A18732" s="21"/>
      <c r="B18732" s="2"/>
      <c r="C18732" s="7"/>
      <c r="D18732" s="7"/>
    </row>
    <row r="18733" spans="1:4" ht="12.75" customHeight="1" x14ac:dyDescent="0.2">
      <c r="A18733" s="21"/>
      <c r="B18733" s="2"/>
      <c r="C18733" s="7"/>
      <c r="D18733" s="7"/>
    </row>
    <row r="18734" spans="1:4" ht="12.75" customHeight="1" x14ac:dyDescent="0.2">
      <c r="A18734" s="21"/>
      <c r="B18734" s="2"/>
      <c r="C18734" s="7"/>
      <c r="D18734" s="7"/>
    </row>
    <row r="18735" spans="1:4" ht="12.75" customHeight="1" x14ac:dyDescent="0.2">
      <c r="A18735" s="21"/>
      <c r="B18735" s="2"/>
      <c r="C18735" s="7"/>
      <c r="D18735" s="7"/>
    </row>
    <row r="18736" spans="1:4" ht="12.75" customHeight="1" x14ac:dyDescent="0.2">
      <c r="A18736" s="5"/>
      <c r="B18736" s="2"/>
      <c r="C18736" s="7"/>
      <c r="D18736" s="7"/>
    </row>
    <row r="18737" spans="1:4" ht="12.75" customHeight="1" x14ac:dyDescent="0.2">
      <c r="A18737" s="22" t="str">
        <f>HYPERLINK("javascript:void(0)","centro pihepajzs")</f>
        <v>centro pihepajzs</v>
      </c>
      <c r="B18737" s="21"/>
      <c r="C18737" s="21"/>
      <c r="D18737" s="21"/>
    </row>
    <row r="18738" spans="1:4" ht="12.75" customHeight="1" x14ac:dyDescent="0.2">
      <c r="A18738" s="20"/>
      <c r="B18738" s="2"/>
      <c r="C18738" s="7"/>
      <c r="D18738" s="7"/>
    </row>
    <row r="18739" spans="1:4" ht="12.75" customHeight="1" x14ac:dyDescent="0.2">
      <c r="A18739" s="21"/>
      <c r="B18739" s="3" t="s">
        <v>0</v>
      </c>
      <c r="C18739" s="23" t="s">
        <v>1406</v>
      </c>
      <c r="D18739" s="21"/>
    </row>
    <row r="18740" spans="1:4" ht="12.75" customHeight="1" x14ac:dyDescent="0.2">
      <c r="A18740" s="21"/>
      <c r="B18740" s="3" t="s">
        <v>2</v>
      </c>
      <c r="C18740" s="23" t="s">
        <v>1839</v>
      </c>
      <c r="D18740" s="21"/>
    </row>
    <row r="18741" spans="1:4" ht="12.75" customHeight="1" x14ac:dyDescent="0.2">
      <c r="A18741" s="21"/>
      <c r="B18741" s="3" t="s">
        <v>1840</v>
      </c>
      <c r="C18741" s="23" t="s">
        <v>6402</v>
      </c>
      <c r="D18741" s="21"/>
    </row>
    <row r="18742" spans="1:4" ht="12.75" customHeight="1" x14ac:dyDescent="0.2">
      <c r="A18742" s="21"/>
      <c r="B18742" s="3" t="s">
        <v>9</v>
      </c>
      <c r="C18742" s="23" t="s">
        <v>30</v>
      </c>
      <c r="D18742" s="21"/>
    </row>
    <row r="18743" spans="1:4" ht="12.75" customHeight="1" x14ac:dyDescent="0.2">
      <c r="A18743" s="21"/>
      <c r="B18743" s="3" t="s">
        <v>11</v>
      </c>
      <c r="C18743" s="23" t="s">
        <v>2591</v>
      </c>
      <c r="D18743" s="21"/>
    </row>
    <row r="18744" spans="1:4" ht="12.75" customHeight="1" x14ac:dyDescent="0.2">
      <c r="A18744" s="21"/>
      <c r="B18744" s="3" t="s">
        <v>16</v>
      </c>
      <c r="C18744" s="23"/>
      <c r="D18744" s="21"/>
    </row>
    <row r="18745" spans="1:4" ht="12.75" customHeight="1" x14ac:dyDescent="0.2">
      <c r="A18745" s="21"/>
      <c r="B18745" s="3" t="s">
        <v>17</v>
      </c>
      <c r="C18745" s="23" t="s">
        <v>19</v>
      </c>
      <c r="D18745" s="21"/>
    </row>
    <row r="18746" spans="1:4" ht="12.75" customHeight="1" x14ac:dyDescent="0.2">
      <c r="A18746" s="21"/>
      <c r="B18746" s="20" t="s">
        <v>18</v>
      </c>
      <c r="C18746" s="8" t="s">
        <v>44</v>
      </c>
      <c r="D18746" s="1" t="str">
        <f>HYPERLINK("javascript:void(0)","animált pajzs")</f>
        <v>animált pajzs</v>
      </c>
    </row>
    <row r="18747" spans="1:4" ht="12.75" customHeight="1" x14ac:dyDescent="0.2">
      <c r="A18747" s="21"/>
      <c r="B18747" s="21"/>
      <c r="C18747" s="8" t="s">
        <v>98</v>
      </c>
      <c r="D18747" s="1" t="str">
        <f>HYPERLINK("javascript:void(0)","gépelés")</f>
        <v>gépelés</v>
      </c>
    </row>
    <row r="18748" spans="1:4" ht="12.75" customHeight="1" x14ac:dyDescent="0.2">
      <c r="A18748" s="21"/>
      <c r="B18748" s="21"/>
      <c r="C18748" s="8" t="s">
        <v>117</v>
      </c>
      <c r="D18748" s="1" t="str">
        <f>HYPERLINK("javascript:void(0)","eretnekség")</f>
        <v>eretnekség</v>
      </c>
    </row>
    <row r="18749" spans="1:4" ht="12.75" customHeight="1" x14ac:dyDescent="0.2">
      <c r="A18749" s="21"/>
      <c r="B18749" s="2"/>
      <c r="C18749" s="7"/>
      <c r="D18749" s="7"/>
    </row>
    <row r="18750" spans="1:4" ht="12.75" customHeight="1" x14ac:dyDescent="0.2">
      <c r="A18750" s="21"/>
      <c r="B18750" s="2"/>
      <c r="C18750" s="7"/>
      <c r="D18750" s="7"/>
    </row>
    <row r="18751" spans="1:4" ht="12.75" customHeight="1" x14ac:dyDescent="0.2">
      <c r="A18751" s="21"/>
      <c r="B18751" s="2"/>
      <c r="C18751" s="7"/>
      <c r="D18751" s="7"/>
    </row>
    <row r="18752" spans="1:4" ht="12.75" customHeight="1" x14ac:dyDescent="0.2">
      <c r="A18752" s="21"/>
      <c r="B18752" s="2"/>
      <c r="C18752" s="7"/>
      <c r="D18752" s="7"/>
    </row>
    <row r="18753" spans="1:4" ht="12.75" customHeight="1" x14ac:dyDescent="0.2">
      <c r="A18753" s="5"/>
      <c r="B18753" s="2"/>
      <c r="C18753" s="7"/>
      <c r="D18753" s="7"/>
    </row>
    <row r="18754" spans="1:4" ht="12.75" customHeight="1" x14ac:dyDescent="0.2">
      <c r="A18754" s="22" t="str">
        <f>HYPERLINK("javascript:void(0)","rejtekfejfedő")</f>
        <v>rejtekfejfedő</v>
      </c>
      <c r="B18754" s="21"/>
      <c r="C18754" s="21"/>
      <c r="D18754" s="21"/>
    </row>
    <row r="18755" spans="1:4" ht="12.75" customHeight="1" x14ac:dyDescent="0.2">
      <c r="A18755" s="20"/>
      <c r="B18755" s="2"/>
      <c r="C18755" s="7"/>
      <c r="D18755" s="7"/>
    </row>
    <row r="18756" spans="1:4" ht="12.75" customHeight="1" x14ac:dyDescent="0.2">
      <c r="A18756" s="21"/>
      <c r="B18756" s="3" t="s">
        <v>0</v>
      </c>
      <c r="C18756" s="23" t="s">
        <v>1412</v>
      </c>
      <c r="D18756" s="21"/>
    </row>
    <row r="18757" spans="1:4" ht="12.75" customHeight="1" x14ac:dyDescent="0.2">
      <c r="A18757" s="21"/>
      <c r="B18757" s="3" t="s">
        <v>2</v>
      </c>
      <c r="C18757" s="23"/>
      <c r="D18757" s="21"/>
    </row>
    <row r="18758" spans="1:4" ht="12.75" customHeight="1" x14ac:dyDescent="0.2">
      <c r="A18758" s="21"/>
      <c r="B18758" s="3" t="s">
        <v>1840</v>
      </c>
      <c r="C18758" s="23" t="s">
        <v>6411</v>
      </c>
      <c r="D18758" s="21"/>
    </row>
    <row r="18759" spans="1:4" ht="12.75" customHeight="1" x14ac:dyDescent="0.2">
      <c r="A18759" s="21"/>
      <c r="B18759" s="3" t="s">
        <v>9</v>
      </c>
      <c r="C18759" s="23" t="s">
        <v>804</v>
      </c>
      <c r="D18759" s="21"/>
    </row>
    <row r="18760" spans="1:4" ht="12.75" customHeight="1" x14ac:dyDescent="0.2">
      <c r="A18760" s="21"/>
      <c r="B18760" s="3" t="s">
        <v>11</v>
      </c>
      <c r="C18760" s="23" t="s">
        <v>2587</v>
      </c>
      <c r="D18760" s="21"/>
    </row>
    <row r="18761" spans="1:4" ht="12.75" customHeight="1" x14ac:dyDescent="0.2">
      <c r="A18761" s="21"/>
      <c r="B18761" s="3" t="s">
        <v>16</v>
      </c>
      <c r="C18761" s="23"/>
      <c r="D18761" s="21"/>
    </row>
    <row r="18762" spans="1:4" ht="12.75" customHeight="1" x14ac:dyDescent="0.2">
      <c r="A18762" s="21"/>
      <c r="B18762" s="3" t="s">
        <v>17</v>
      </c>
      <c r="C18762" s="23" t="s">
        <v>19</v>
      </c>
      <c r="D18762" s="21"/>
    </row>
    <row r="18763" spans="1:4" ht="12.75" customHeight="1" x14ac:dyDescent="0.2">
      <c r="A18763" s="21"/>
      <c r="B18763" s="20" t="s">
        <v>18</v>
      </c>
      <c r="C18763" s="8" t="s">
        <v>44</v>
      </c>
      <c r="D18763" s="1" t="str">
        <f>HYPERLINK("javascript:void(0)","mechakorona")</f>
        <v>mechakorona</v>
      </c>
    </row>
    <row r="18764" spans="1:4" ht="12.75" customHeight="1" x14ac:dyDescent="0.2">
      <c r="A18764" s="21"/>
      <c r="B18764" s="21"/>
      <c r="C18764" s="8" t="s">
        <v>68</v>
      </c>
      <c r="D18764" s="1" t="str">
        <f>HYPERLINK("javascript:void(0)","rejtelem")</f>
        <v>rejtelem</v>
      </c>
    </row>
    <row r="18765" spans="1:4" ht="12.75" customHeight="1" x14ac:dyDescent="0.2">
      <c r="A18765" s="21"/>
      <c r="B18765" s="21"/>
      <c r="C18765" s="8" t="s">
        <v>988</v>
      </c>
      <c r="D18765" s="1" t="str">
        <f>HYPERLINK("javascript:void(0)","hangjegy")</f>
        <v>hangjegy</v>
      </c>
    </row>
    <row r="18766" spans="1:4" ht="12.75" customHeight="1" x14ac:dyDescent="0.2">
      <c r="A18766" s="21"/>
      <c r="B18766" s="2"/>
      <c r="C18766" s="7"/>
      <c r="D18766" s="7"/>
    </row>
    <row r="18767" spans="1:4" ht="12.75" customHeight="1" x14ac:dyDescent="0.2">
      <c r="A18767" s="21"/>
      <c r="B18767" s="2"/>
      <c r="C18767" s="7"/>
      <c r="D18767" s="7"/>
    </row>
    <row r="18768" spans="1:4" ht="12.75" customHeight="1" x14ac:dyDescent="0.2">
      <c r="A18768" s="21"/>
      <c r="B18768" s="2"/>
      <c r="C18768" s="7"/>
      <c r="D18768" s="7"/>
    </row>
    <row r="18769" spans="1:4" ht="12.75" customHeight="1" x14ac:dyDescent="0.2">
      <c r="A18769" s="21"/>
      <c r="B18769" s="2"/>
      <c r="C18769" s="7"/>
      <c r="D18769" s="7"/>
    </row>
    <row r="18770" spans="1:4" ht="12.75" customHeight="1" x14ac:dyDescent="0.2">
      <c r="A18770" s="5"/>
      <c r="B18770" s="2"/>
      <c r="C18770" s="7"/>
      <c r="D18770" s="7"/>
    </row>
    <row r="18771" spans="1:4" ht="12.75" customHeight="1" x14ac:dyDescent="0.2">
      <c r="A18771" s="22" t="str">
        <f>HYPERLINK("javascript:void(0)","bronz zeke")</f>
        <v>bronz zeke</v>
      </c>
      <c r="B18771" s="21"/>
      <c r="C18771" s="21"/>
      <c r="D18771" s="21"/>
    </row>
    <row r="18772" spans="1:4" ht="12.75" customHeight="1" x14ac:dyDescent="0.2">
      <c r="A18772" s="20"/>
      <c r="B18772" s="2"/>
      <c r="C18772" s="7"/>
      <c r="D18772" s="7"/>
    </row>
    <row r="18773" spans="1:4" ht="12.75" customHeight="1" x14ac:dyDescent="0.2">
      <c r="A18773" s="21"/>
      <c r="B18773" s="3" t="s">
        <v>0</v>
      </c>
      <c r="C18773" s="23" t="s">
        <v>1412</v>
      </c>
      <c r="D18773" s="21"/>
    </row>
    <row r="18774" spans="1:4" ht="12.75" customHeight="1" x14ac:dyDescent="0.2">
      <c r="A18774" s="21"/>
      <c r="B18774" s="3" t="s">
        <v>2</v>
      </c>
      <c r="C18774" s="23" t="s">
        <v>2322</v>
      </c>
      <c r="D18774" s="21"/>
    </row>
    <row r="18775" spans="1:4" ht="12.75" customHeight="1" x14ac:dyDescent="0.2">
      <c r="A18775" s="21"/>
      <c r="B18775" s="3" t="s">
        <v>1840</v>
      </c>
      <c r="C18775" s="23" t="s">
        <v>2589</v>
      </c>
      <c r="D18775" s="21"/>
    </row>
    <row r="18776" spans="1:4" ht="12.75" customHeight="1" x14ac:dyDescent="0.2">
      <c r="A18776" s="21"/>
      <c r="B18776" s="3" t="s">
        <v>9</v>
      </c>
      <c r="C18776" s="23" t="s">
        <v>1279</v>
      </c>
      <c r="D18776" s="21"/>
    </row>
    <row r="18777" spans="1:4" ht="12.75" customHeight="1" x14ac:dyDescent="0.2">
      <c r="A18777" s="21"/>
      <c r="B18777" s="3" t="s">
        <v>11</v>
      </c>
      <c r="C18777" s="23" t="s">
        <v>2590</v>
      </c>
      <c r="D18777" s="21"/>
    </row>
    <row r="18778" spans="1:4" ht="12.75" customHeight="1" x14ac:dyDescent="0.2">
      <c r="A18778" s="21"/>
      <c r="B18778" s="3" t="s">
        <v>16</v>
      </c>
      <c r="C18778" s="23"/>
      <c r="D18778" s="21"/>
    </row>
    <row r="18779" spans="1:4" ht="12.75" customHeight="1" x14ac:dyDescent="0.2">
      <c r="A18779" s="21"/>
      <c r="B18779" s="3" t="s">
        <v>17</v>
      </c>
      <c r="C18779" s="23" t="s">
        <v>19</v>
      </c>
      <c r="D18779" s="21"/>
    </row>
    <row r="18780" spans="1:4" ht="12.75" customHeight="1" x14ac:dyDescent="0.2">
      <c r="A18780" s="21"/>
      <c r="B18780" s="20" t="s">
        <v>18</v>
      </c>
      <c r="C18780" s="8" t="s">
        <v>117</v>
      </c>
      <c r="D18780" s="1" t="str">
        <f>HYPERLINK("javascript:void(0)","torzító")</f>
        <v>torzító</v>
      </c>
    </row>
    <row r="18781" spans="1:4" ht="12.75" customHeight="1" x14ac:dyDescent="0.2">
      <c r="A18781" s="21"/>
      <c r="B18781" s="21"/>
      <c r="C18781" s="8" t="s">
        <v>398</v>
      </c>
      <c r="D18781" s="1" t="str">
        <f>HYPERLINK("javascript:void(0)","pengeszálka")</f>
        <v>pengeszálka</v>
      </c>
    </row>
    <row r="18782" spans="1:4" ht="12.75" customHeight="1" x14ac:dyDescent="0.2">
      <c r="A18782" s="21"/>
      <c r="B18782" s="21"/>
      <c r="C18782" s="8" t="s">
        <v>130</v>
      </c>
      <c r="D18782" s="1" t="str">
        <f>HYPERLINK("javascript:void(0)","függérték")</f>
        <v>függérték</v>
      </c>
    </row>
    <row r="18783" spans="1:4" ht="12.75" customHeight="1" x14ac:dyDescent="0.2">
      <c r="A18783" s="21"/>
      <c r="B18783" s="2"/>
      <c r="C18783" s="7"/>
      <c r="D18783" s="7"/>
    </row>
    <row r="18784" spans="1:4" ht="12.75" customHeight="1" x14ac:dyDescent="0.2">
      <c r="A18784" s="21"/>
      <c r="B18784" s="2"/>
      <c r="C18784" s="7"/>
      <c r="D18784" s="7"/>
    </row>
    <row r="18785" spans="1:4" ht="12.75" customHeight="1" x14ac:dyDescent="0.2">
      <c r="A18785" s="21"/>
      <c r="B18785" s="2"/>
      <c r="C18785" s="7"/>
      <c r="D18785" s="7"/>
    </row>
    <row r="18786" spans="1:4" ht="12.75" customHeight="1" x14ac:dyDescent="0.2">
      <c r="A18786" s="21"/>
      <c r="B18786" s="2"/>
      <c r="C18786" s="7"/>
      <c r="D18786" s="7"/>
    </row>
    <row r="18787" spans="1:4" ht="12.75" customHeight="1" x14ac:dyDescent="0.2">
      <c r="A18787" s="5"/>
      <c r="B18787" s="2"/>
      <c r="C18787" s="7"/>
      <c r="D18787" s="7"/>
    </row>
    <row r="18788" spans="1:4" ht="12.75" customHeight="1" x14ac:dyDescent="0.2">
      <c r="A18788" s="22" t="str">
        <f>HYPERLINK("javascript:void(0)","tértorzító")</f>
        <v>tértorzító</v>
      </c>
      <c r="B18788" s="21"/>
      <c r="C18788" s="21"/>
      <c r="D18788" s="21"/>
    </row>
    <row r="18789" spans="1:4" ht="12.75" customHeight="1" x14ac:dyDescent="0.2">
      <c r="A18789" s="20"/>
      <c r="B18789" s="2"/>
      <c r="C18789" s="7"/>
      <c r="D18789" s="7"/>
    </row>
    <row r="18790" spans="1:4" ht="12.75" customHeight="1" x14ac:dyDescent="0.2">
      <c r="A18790" s="21"/>
      <c r="B18790" s="3" t="s">
        <v>0</v>
      </c>
      <c r="C18790" s="23" t="s">
        <v>1412</v>
      </c>
      <c r="D18790" s="21"/>
    </row>
    <row r="18791" spans="1:4" ht="12.75" customHeight="1" x14ac:dyDescent="0.2">
      <c r="A18791" s="21"/>
      <c r="B18791" s="3" t="s">
        <v>2</v>
      </c>
      <c r="C18791" s="23"/>
      <c r="D18791" s="21"/>
    </row>
    <row r="18792" spans="1:4" ht="12.75" customHeight="1" x14ac:dyDescent="0.2">
      <c r="A18792" s="21"/>
      <c r="B18792" s="3" t="s">
        <v>1840</v>
      </c>
      <c r="C18792" s="23" t="s">
        <v>3175</v>
      </c>
      <c r="D18792" s="21"/>
    </row>
    <row r="18793" spans="1:4" ht="12.75" customHeight="1" x14ac:dyDescent="0.2">
      <c r="A18793" s="21"/>
      <c r="B18793" s="3" t="s">
        <v>9</v>
      </c>
      <c r="C18793" s="23" t="s">
        <v>2121</v>
      </c>
      <c r="D18793" s="21"/>
    </row>
    <row r="18794" spans="1:4" ht="12.75" customHeight="1" x14ac:dyDescent="0.2">
      <c r="A18794" s="21"/>
      <c r="B18794" s="3" t="s">
        <v>11</v>
      </c>
      <c r="C18794" s="23" t="s">
        <v>2587</v>
      </c>
      <c r="D18794" s="21"/>
    </row>
    <row r="18795" spans="1:4" ht="12.75" customHeight="1" x14ac:dyDescent="0.2">
      <c r="A18795" s="21"/>
      <c r="B18795" s="3" t="s">
        <v>16</v>
      </c>
      <c r="C18795" s="23"/>
      <c r="D18795" s="21"/>
    </row>
    <row r="18796" spans="1:4" ht="12.75" customHeight="1" x14ac:dyDescent="0.2">
      <c r="A18796" s="21"/>
      <c r="B18796" s="3" t="s">
        <v>17</v>
      </c>
      <c r="C18796" s="23" t="s">
        <v>19</v>
      </c>
      <c r="D18796" s="21"/>
    </row>
    <row r="18797" spans="1:4" ht="12.75" customHeight="1" x14ac:dyDescent="0.2">
      <c r="A18797" s="21"/>
      <c r="B18797" s="20" t="s">
        <v>18</v>
      </c>
      <c r="C18797" s="8" t="s">
        <v>44</v>
      </c>
      <c r="D18797" s="1" t="str">
        <f>HYPERLINK("javascript:void(0)","darutalp")</f>
        <v>darutalp</v>
      </c>
    </row>
    <row r="18798" spans="1:4" ht="12.75" customHeight="1" x14ac:dyDescent="0.2">
      <c r="A18798" s="21"/>
      <c r="B18798" s="21"/>
      <c r="C18798" s="8" t="s">
        <v>44</v>
      </c>
      <c r="D18798" s="1" t="str">
        <f>HYPERLINK("javascript:void(0)","idegen önjáró")</f>
        <v>idegen önjáró</v>
      </c>
    </row>
    <row r="18799" spans="1:4" ht="12.75" customHeight="1" x14ac:dyDescent="0.2">
      <c r="A18799" s="21"/>
      <c r="B18799" s="21"/>
      <c r="C18799" s="8" t="s">
        <v>77</v>
      </c>
      <c r="D18799" s="1" t="str">
        <f>HYPERLINK("javascript:void(0)","torzító")</f>
        <v>torzító</v>
      </c>
    </row>
    <row r="18800" spans="1:4" ht="12.75" customHeight="1" x14ac:dyDescent="0.2">
      <c r="A18800" s="21"/>
      <c r="B18800" s="2"/>
      <c r="C18800" s="7"/>
      <c r="D18800" s="7"/>
    </row>
    <row r="18801" spans="1:4" ht="12.75" customHeight="1" x14ac:dyDescent="0.2">
      <c r="A18801" s="21"/>
      <c r="B18801" s="2"/>
      <c r="C18801" s="7"/>
      <c r="D18801" s="7"/>
    </row>
    <row r="18802" spans="1:4" ht="12.75" customHeight="1" x14ac:dyDescent="0.2">
      <c r="A18802" s="21"/>
      <c r="B18802" s="2"/>
      <c r="C18802" s="7"/>
      <c r="D18802" s="7"/>
    </row>
    <row r="18803" spans="1:4" ht="12.75" customHeight="1" x14ac:dyDescent="0.2">
      <c r="A18803" s="21"/>
      <c r="B18803" s="2"/>
      <c r="C18803" s="7"/>
      <c r="D18803" s="7"/>
    </row>
    <row r="18804" spans="1:4" ht="12.75" customHeight="1" x14ac:dyDescent="0.2">
      <c r="A18804" s="5"/>
      <c r="B18804" s="2"/>
      <c r="C18804" s="7"/>
      <c r="D18804" s="7"/>
    </row>
    <row r="18805" spans="1:4" ht="12.75" customHeight="1" x14ac:dyDescent="0.2">
      <c r="A18805" s="22" t="str">
        <f>HYPERLINK("javascript:void(0)","animált testpajzs")</f>
        <v>animált testpajzs</v>
      </c>
      <c r="B18805" s="21"/>
      <c r="C18805" s="21"/>
      <c r="D18805" s="21"/>
    </row>
    <row r="18806" spans="1:4" ht="12.75" customHeight="1" x14ac:dyDescent="0.2">
      <c r="A18806" s="20"/>
      <c r="B18806" s="2"/>
      <c r="C18806" s="7"/>
      <c r="D18806" s="7"/>
    </row>
    <row r="18807" spans="1:4" ht="12.75" customHeight="1" x14ac:dyDescent="0.2">
      <c r="A18807" s="21"/>
      <c r="B18807" s="3" t="s">
        <v>0</v>
      </c>
      <c r="C18807" s="23" t="s">
        <v>1412</v>
      </c>
      <c r="D18807" s="21"/>
    </row>
    <row r="18808" spans="1:4" ht="12.75" customHeight="1" x14ac:dyDescent="0.2">
      <c r="A18808" s="21"/>
      <c r="B18808" s="3" t="s">
        <v>2</v>
      </c>
      <c r="C18808" s="23" t="s">
        <v>1839</v>
      </c>
      <c r="D18808" s="21"/>
    </row>
    <row r="18809" spans="1:4" ht="12.75" customHeight="1" x14ac:dyDescent="0.2">
      <c r="A18809" s="21"/>
      <c r="B18809" s="3" t="s">
        <v>1840</v>
      </c>
      <c r="C18809" s="23" t="s">
        <v>633</v>
      </c>
      <c r="D18809" s="21"/>
    </row>
    <row r="18810" spans="1:4" ht="12.75" customHeight="1" x14ac:dyDescent="0.2">
      <c r="A18810" s="21"/>
      <c r="B18810" s="3" t="s">
        <v>9</v>
      </c>
      <c r="C18810" s="23" t="s">
        <v>262</v>
      </c>
      <c r="D18810" s="21"/>
    </row>
    <row r="18811" spans="1:4" ht="12.75" customHeight="1" x14ac:dyDescent="0.2">
      <c r="A18811" s="21"/>
      <c r="B18811" s="3" t="s">
        <v>11</v>
      </c>
      <c r="C18811" s="23" t="s">
        <v>2588</v>
      </c>
      <c r="D18811" s="21"/>
    </row>
    <row r="18812" spans="1:4" ht="12.75" customHeight="1" x14ac:dyDescent="0.2">
      <c r="A18812" s="21"/>
      <c r="B18812" s="3" t="s">
        <v>16</v>
      </c>
      <c r="C18812" s="23"/>
      <c r="D18812" s="21"/>
    </row>
    <row r="18813" spans="1:4" ht="12.75" customHeight="1" x14ac:dyDescent="0.2">
      <c r="A18813" s="21"/>
      <c r="B18813" s="3" t="s">
        <v>17</v>
      </c>
      <c r="C18813" s="23" t="s">
        <v>19</v>
      </c>
      <c r="D18813" s="21"/>
    </row>
    <row r="18814" spans="1:4" ht="12.75" customHeight="1" x14ac:dyDescent="0.2">
      <c r="A18814" s="21"/>
      <c r="B18814" s="20" t="s">
        <v>18</v>
      </c>
      <c r="C18814" s="8" t="s">
        <v>44</v>
      </c>
      <c r="D18814" s="1" t="str">
        <f>HYPERLINK("javascript:void(0)","anti testpajzs")</f>
        <v>anti testpajzs</v>
      </c>
    </row>
    <row r="18815" spans="1:4" ht="12.75" customHeight="1" x14ac:dyDescent="0.2">
      <c r="A18815" s="21"/>
      <c r="B18815" s="21"/>
      <c r="C18815" s="8" t="s">
        <v>142</v>
      </c>
      <c r="D18815" s="1" t="str">
        <f>HYPERLINK("javascript:void(0)","csillagszirom")</f>
        <v>csillagszirom</v>
      </c>
    </row>
    <row r="18816" spans="1:4" ht="12.75" customHeight="1" x14ac:dyDescent="0.2">
      <c r="A18816" s="21"/>
      <c r="B18816" s="21"/>
      <c r="C18816" s="8" t="s">
        <v>102</v>
      </c>
      <c r="D18816" s="1" t="str">
        <f>HYPERLINK("javascript:void(0)","pala")</f>
        <v>pala</v>
      </c>
    </row>
    <row r="18817" spans="1:4" ht="12.75" customHeight="1" x14ac:dyDescent="0.2">
      <c r="A18817" s="21"/>
      <c r="B18817" s="2"/>
      <c r="C18817" s="7"/>
      <c r="D18817" s="7"/>
    </row>
    <row r="18818" spans="1:4" ht="12.75" customHeight="1" x14ac:dyDescent="0.2">
      <c r="A18818" s="21"/>
      <c r="B18818" s="2"/>
      <c r="C18818" s="7"/>
      <c r="D18818" s="7"/>
    </row>
    <row r="18819" spans="1:4" ht="12.75" customHeight="1" x14ac:dyDescent="0.2">
      <c r="A18819" s="21"/>
      <c r="B18819" s="2"/>
      <c r="C18819" s="7"/>
      <c r="D18819" s="7"/>
    </row>
    <row r="18820" spans="1:4" ht="12.75" customHeight="1" x14ac:dyDescent="0.2">
      <c r="A18820" s="21"/>
      <c r="B18820" s="2"/>
      <c r="C18820" s="7"/>
      <c r="D18820" s="7"/>
    </row>
    <row r="18821" spans="1:4" ht="12.75" customHeight="1" x14ac:dyDescent="0.2">
      <c r="A18821" s="5"/>
      <c r="B18821" s="2"/>
      <c r="C18821" s="7"/>
      <c r="D18821" s="7"/>
    </row>
    <row r="18822" spans="1:4" ht="12.75" customHeight="1" x14ac:dyDescent="0.2">
      <c r="A18822" s="22" t="str">
        <f>HYPERLINK("javascript:void(0)","hiper pihepajzs")</f>
        <v>hiper pihepajzs</v>
      </c>
      <c r="B18822" s="21"/>
      <c r="C18822" s="21"/>
      <c r="D18822" s="21"/>
    </row>
    <row r="18823" spans="1:4" ht="12.75" customHeight="1" x14ac:dyDescent="0.2">
      <c r="A18823" s="20"/>
      <c r="B18823" s="2"/>
      <c r="C18823" s="7"/>
      <c r="D18823" s="7"/>
    </row>
    <row r="18824" spans="1:4" ht="12.75" customHeight="1" x14ac:dyDescent="0.2">
      <c r="A18824" s="21"/>
      <c r="B18824" s="3" t="s">
        <v>0</v>
      </c>
      <c r="C18824" s="23" t="s">
        <v>1412</v>
      </c>
      <c r="D18824" s="21"/>
    </row>
    <row r="18825" spans="1:4" ht="12.75" customHeight="1" x14ac:dyDescent="0.2">
      <c r="A18825" s="21"/>
      <c r="B18825" s="3" t="s">
        <v>2</v>
      </c>
      <c r="C18825" s="23" t="s">
        <v>1839</v>
      </c>
      <c r="D18825" s="21"/>
    </row>
    <row r="18826" spans="1:4" ht="12.75" customHeight="1" x14ac:dyDescent="0.2">
      <c r="A18826" s="21"/>
      <c r="B18826" s="3" t="s">
        <v>1840</v>
      </c>
      <c r="C18826" s="23" t="s">
        <v>633</v>
      </c>
      <c r="D18826" s="21"/>
    </row>
    <row r="18827" spans="1:4" ht="12.75" customHeight="1" x14ac:dyDescent="0.2">
      <c r="A18827" s="21"/>
      <c r="B18827" s="3" t="s">
        <v>9</v>
      </c>
      <c r="C18827" s="23" t="s">
        <v>84</v>
      </c>
      <c r="D18827" s="21"/>
    </row>
    <row r="18828" spans="1:4" ht="12.75" customHeight="1" x14ac:dyDescent="0.2">
      <c r="A18828" s="21"/>
      <c r="B18828" s="3" t="s">
        <v>11</v>
      </c>
      <c r="C18828" s="23" t="s">
        <v>2593</v>
      </c>
      <c r="D18828" s="21"/>
    </row>
    <row r="18829" spans="1:4" ht="12.75" customHeight="1" x14ac:dyDescent="0.2">
      <c r="A18829" s="21"/>
      <c r="B18829" s="3" t="s">
        <v>16</v>
      </c>
      <c r="C18829" s="23"/>
      <c r="D18829" s="21"/>
    </row>
    <row r="18830" spans="1:4" ht="12.75" customHeight="1" x14ac:dyDescent="0.2">
      <c r="A18830" s="21"/>
      <c r="B18830" s="3" t="s">
        <v>17</v>
      </c>
      <c r="C18830" s="23" t="s">
        <v>19</v>
      </c>
      <c r="D18830" s="21"/>
    </row>
    <row r="18831" spans="1:4" ht="12.75" customHeight="1" x14ac:dyDescent="0.2">
      <c r="A18831" s="21"/>
      <c r="B18831" s="20" t="s">
        <v>18</v>
      </c>
      <c r="C18831" s="8" t="s">
        <v>44</v>
      </c>
      <c r="D18831" s="1" t="str">
        <f>HYPERLINK("javascript:void(0)","animált testpajzs")</f>
        <v>animált testpajzs</v>
      </c>
    </row>
    <row r="18832" spans="1:4" ht="12.75" customHeight="1" x14ac:dyDescent="0.2">
      <c r="A18832" s="21"/>
      <c r="B18832" s="21"/>
      <c r="C18832" s="8" t="s">
        <v>142</v>
      </c>
      <c r="D18832" s="1" t="str">
        <f>HYPERLINK("javascript:void(0)","rejtelem")</f>
        <v>rejtelem</v>
      </c>
    </row>
    <row r="18833" spans="1:4" ht="12.75" customHeight="1" x14ac:dyDescent="0.2">
      <c r="A18833" s="21"/>
      <c r="B18833" s="21"/>
      <c r="C18833" s="8" t="s">
        <v>68</v>
      </c>
      <c r="D18833" s="1" t="str">
        <f>HYPERLINK("javascript:void(0)","torzító")</f>
        <v>torzító</v>
      </c>
    </row>
    <row r="18834" spans="1:4" ht="12.75" customHeight="1" x14ac:dyDescent="0.2">
      <c r="A18834" s="21"/>
      <c r="B18834" s="2"/>
      <c r="C18834" s="7"/>
      <c r="D18834" s="7"/>
    </row>
    <row r="18835" spans="1:4" ht="12.75" customHeight="1" x14ac:dyDescent="0.2">
      <c r="A18835" s="21"/>
      <c r="B18835" s="2"/>
      <c r="C18835" s="7"/>
      <c r="D18835" s="7"/>
    </row>
    <row r="18836" spans="1:4" ht="12.75" customHeight="1" x14ac:dyDescent="0.2">
      <c r="A18836" s="21"/>
      <c r="B18836" s="2"/>
      <c r="C18836" s="7"/>
      <c r="D18836" s="7"/>
    </row>
    <row r="18837" spans="1:4" ht="12.75" customHeight="1" x14ac:dyDescent="0.2">
      <c r="A18837" s="21"/>
      <c r="B18837" s="2"/>
      <c r="C18837" s="7"/>
      <c r="D18837" s="7"/>
    </row>
    <row r="18838" spans="1:4" ht="12.75" customHeight="1" x14ac:dyDescent="0.2">
      <c r="A18838" s="5"/>
      <c r="B18838" s="2"/>
      <c r="C18838" s="7"/>
      <c r="D18838" s="7"/>
    </row>
    <row r="18839" spans="1:4" ht="12.75" customHeight="1" x14ac:dyDescent="0.2">
      <c r="A18839" s="22" t="str">
        <f>HYPERLINK("javascript:void(0)","korallaggancs")</f>
        <v>korallaggancs</v>
      </c>
      <c r="B18839" s="21"/>
      <c r="C18839" s="21"/>
      <c r="D18839" s="21"/>
    </row>
    <row r="18840" spans="1:4" ht="12.75" customHeight="1" x14ac:dyDescent="0.2">
      <c r="A18840" s="20"/>
      <c r="B18840" s="2"/>
      <c r="C18840" s="7"/>
      <c r="D18840" s="7"/>
    </row>
    <row r="18841" spans="1:4" ht="12.75" customHeight="1" x14ac:dyDescent="0.2">
      <c r="A18841" s="21"/>
      <c r="B18841" s="3" t="s">
        <v>0</v>
      </c>
      <c r="C18841" s="23" t="s">
        <v>267</v>
      </c>
      <c r="D18841" s="21"/>
    </row>
    <row r="18842" spans="1:4" ht="12.75" customHeight="1" x14ac:dyDescent="0.2">
      <c r="A18842" s="21"/>
      <c r="B18842" s="3" t="s">
        <v>2</v>
      </c>
      <c r="C18842" s="23"/>
      <c r="D18842" s="21"/>
    </row>
    <row r="18843" spans="1:4" ht="12.75" customHeight="1" x14ac:dyDescent="0.2">
      <c r="A18843" s="21"/>
      <c r="B18843" s="3" t="s">
        <v>1840</v>
      </c>
      <c r="C18843" s="23" t="s">
        <v>2484</v>
      </c>
      <c r="D18843" s="21"/>
    </row>
    <row r="18844" spans="1:4" ht="12.75" customHeight="1" x14ac:dyDescent="0.2">
      <c r="A18844" s="21"/>
      <c r="B18844" s="3" t="s">
        <v>9</v>
      </c>
      <c r="C18844" s="23" t="s">
        <v>1321</v>
      </c>
      <c r="D18844" s="21"/>
    </row>
    <row r="18845" spans="1:4" ht="12.75" customHeight="1" x14ac:dyDescent="0.2">
      <c r="A18845" s="21"/>
      <c r="B18845" s="3" t="s">
        <v>11</v>
      </c>
      <c r="C18845" s="23" t="s">
        <v>2588</v>
      </c>
      <c r="D18845" s="21"/>
    </row>
    <row r="18846" spans="1:4" ht="12.75" customHeight="1" x14ac:dyDescent="0.2">
      <c r="A18846" s="21"/>
      <c r="B18846" s="3" t="s">
        <v>16</v>
      </c>
      <c r="C18846" s="23"/>
      <c r="D18846" s="21"/>
    </row>
    <row r="18847" spans="1:4" ht="12.75" customHeight="1" x14ac:dyDescent="0.2">
      <c r="A18847" s="21"/>
      <c r="B18847" s="3" t="s">
        <v>17</v>
      </c>
      <c r="C18847" s="23" t="s">
        <v>19</v>
      </c>
      <c r="D18847" s="21"/>
    </row>
    <row r="18848" spans="1:4" ht="12.75" customHeight="1" x14ac:dyDescent="0.2">
      <c r="A18848" s="21"/>
      <c r="B18848" s="20" t="s">
        <v>18</v>
      </c>
      <c r="C18848" s="8" t="s">
        <v>382</v>
      </c>
      <c r="D18848" s="1" t="str">
        <f>HYPERLINK("javascript:void(0)","korallág")</f>
        <v>korallág</v>
      </c>
    </row>
    <row r="18849" spans="1:4" ht="12.75" customHeight="1" x14ac:dyDescent="0.2">
      <c r="A18849" s="21"/>
      <c r="B18849" s="21"/>
      <c r="C18849" s="8" t="s">
        <v>193</v>
      </c>
      <c r="D18849" s="1" t="str">
        <f>HYPERLINK("javascript:void(0)","rémszarv")</f>
        <v>rémszarv</v>
      </c>
    </row>
    <row r="18850" spans="1:4" ht="12.75" customHeight="1" x14ac:dyDescent="0.2">
      <c r="A18850" s="21"/>
      <c r="B18850" s="21"/>
      <c r="C18850" s="8" t="s">
        <v>132</v>
      </c>
      <c r="D18850" s="1" t="str">
        <f>HYPERLINK("javascript:void(0)","tompor")</f>
        <v>tompor</v>
      </c>
    </row>
    <row r="18851" spans="1:4" ht="12.75" customHeight="1" x14ac:dyDescent="0.2">
      <c r="A18851" s="21"/>
      <c r="B18851" s="2"/>
      <c r="C18851" s="7"/>
      <c r="D18851" s="7"/>
    </row>
    <row r="18852" spans="1:4" ht="12.75" customHeight="1" x14ac:dyDescent="0.2">
      <c r="A18852" s="21"/>
      <c r="B18852" s="2"/>
      <c r="C18852" s="7"/>
      <c r="D18852" s="7"/>
    </row>
    <row r="18853" spans="1:4" ht="12.75" customHeight="1" x14ac:dyDescent="0.2">
      <c r="A18853" s="21"/>
      <c r="B18853" s="2"/>
      <c r="C18853" s="7"/>
      <c r="D18853" s="7"/>
    </row>
    <row r="18854" spans="1:4" ht="12.75" customHeight="1" x14ac:dyDescent="0.2">
      <c r="A18854" s="21"/>
      <c r="B18854" s="2"/>
      <c r="C18854" s="7"/>
      <c r="D18854" s="7"/>
    </row>
    <row r="18855" spans="1:4" ht="12.75" customHeight="1" x14ac:dyDescent="0.2">
      <c r="A18855" s="5"/>
      <c r="B18855" s="2"/>
      <c r="C18855" s="7"/>
      <c r="D18855" s="7"/>
    </row>
    <row r="18856" spans="1:4" ht="12.75" customHeight="1" x14ac:dyDescent="0.2">
      <c r="A18856" s="22" t="str">
        <f>HYPERLINK("javascript:void(0)","réz zeke")</f>
        <v>réz zeke</v>
      </c>
      <c r="B18856" s="21"/>
      <c r="C18856" s="21"/>
      <c r="D18856" s="21"/>
    </row>
    <row r="18857" spans="1:4" ht="12.75" customHeight="1" x14ac:dyDescent="0.2">
      <c r="A18857" s="20"/>
      <c r="B18857" s="2"/>
      <c r="C18857" s="7"/>
      <c r="D18857" s="7"/>
    </row>
    <row r="18858" spans="1:4" ht="12.75" customHeight="1" x14ac:dyDescent="0.2">
      <c r="A18858" s="21"/>
      <c r="B18858" s="3" t="s">
        <v>0</v>
      </c>
      <c r="C18858" s="23" t="s">
        <v>267</v>
      </c>
      <c r="D18858" s="21"/>
    </row>
    <row r="18859" spans="1:4" ht="12.75" customHeight="1" x14ac:dyDescent="0.2">
      <c r="A18859" s="21"/>
      <c r="B18859" s="3" t="s">
        <v>2</v>
      </c>
      <c r="C18859" s="23" t="s">
        <v>2322</v>
      </c>
      <c r="D18859" s="21"/>
    </row>
    <row r="18860" spans="1:4" ht="12.75" customHeight="1" x14ac:dyDescent="0.2">
      <c r="A18860" s="21"/>
      <c r="B18860" s="3" t="s">
        <v>1840</v>
      </c>
      <c r="C18860" s="23" t="s">
        <v>1892</v>
      </c>
      <c r="D18860" s="21"/>
    </row>
    <row r="18861" spans="1:4" ht="12.75" customHeight="1" x14ac:dyDescent="0.2">
      <c r="A18861" s="21"/>
      <c r="B18861" s="3" t="s">
        <v>9</v>
      </c>
      <c r="C18861" s="23" t="s">
        <v>985</v>
      </c>
      <c r="D18861" s="21"/>
    </row>
    <row r="18862" spans="1:4" ht="12.75" customHeight="1" x14ac:dyDescent="0.2">
      <c r="A18862" s="21"/>
      <c r="B18862" s="3" t="s">
        <v>11</v>
      </c>
      <c r="C18862" s="23" t="s">
        <v>2591</v>
      </c>
      <c r="D18862" s="21"/>
    </row>
    <row r="18863" spans="1:4" ht="12.75" customHeight="1" x14ac:dyDescent="0.2">
      <c r="A18863" s="21"/>
      <c r="B18863" s="3" t="s">
        <v>16</v>
      </c>
      <c r="C18863" s="23"/>
      <c r="D18863" s="21"/>
    </row>
    <row r="18864" spans="1:4" ht="12.75" customHeight="1" x14ac:dyDescent="0.2">
      <c r="A18864" s="21"/>
      <c r="B18864" s="3" t="s">
        <v>17</v>
      </c>
      <c r="C18864" s="23" t="s">
        <v>19</v>
      </c>
      <c r="D18864" s="21"/>
    </row>
    <row r="18865" spans="1:4" ht="12.75" customHeight="1" x14ac:dyDescent="0.2">
      <c r="A18865" s="21"/>
      <c r="B18865" s="20" t="s">
        <v>18</v>
      </c>
      <c r="C18865" s="8" t="s">
        <v>44</v>
      </c>
      <c r="D18865" s="1" t="str">
        <f>HYPERLINK("javascript:void(0)","gyöngy zeke")</f>
        <v>gyöngy zeke</v>
      </c>
    </row>
    <row r="18866" spans="1:4" ht="12.75" customHeight="1" x14ac:dyDescent="0.2">
      <c r="A18866" s="21"/>
      <c r="B18866" s="21"/>
      <c r="C18866" s="8" t="s">
        <v>44</v>
      </c>
      <c r="D18866" s="1" t="str">
        <f>HYPERLINK("javascript:void(0)","bronz zeke")</f>
        <v>bronz zeke</v>
      </c>
    </row>
    <row r="18867" spans="1:4" ht="12.75" customHeight="1" x14ac:dyDescent="0.2">
      <c r="A18867" s="21"/>
      <c r="B18867" s="21"/>
      <c r="C18867" s="8" t="s">
        <v>196</v>
      </c>
      <c r="D18867" s="1" t="str">
        <f>HYPERLINK("javascript:void(0)","massza")</f>
        <v>massza</v>
      </c>
    </row>
    <row r="18868" spans="1:4" ht="12.75" customHeight="1" x14ac:dyDescent="0.2">
      <c r="A18868" s="21"/>
      <c r="B18868" s="2"/>
      <c r="C18868" s="7"/>
      <c r="D18868" s="7"/>
    </row>
    <row r="18869" spans="1:4" ht="12.75" customHeight="1" x14ac:dyDescent="0.2">
      <c r="A18869" s="21"/>
      <c r="B18869" s="2"/>
      <c r="C18869" s="7"/>
      <c r="D18869" s="7"/>
    </row>
    <row r="18870" spans="1:4" ht="12.75" customHeight="1" x14ac:dyDescent="0.2">
      <c r="A18870" s="21"/>
      <c r="B18870" s="2"/>
      <c r="C18870" s="7"/>
      <c r="D18870" s="7"/>
    </row>
    <row r="18871" spans="1:4" ht="12.75" customHeight="1" x14ac:dyDescent="0.2">
      <c r="A18871" s="21"/>
      <c r="B18871" s="2"/>
      <c r="C18871" s="7"/>
      <c r="D18871" s="7"/>
    </row>
    <row r="18872" spans="1:4" ht="12.75" customHeight="1" x14ac:dyDescent="0.2">
      <c r="A18872" s="5"/>
      <c r="B18872" s="2"/>
      <c r="C18872" s="7"/>
      <c r="D18872" s="7"/>
    </row>
    <row r="18873" spans="1:4" ht="12.75" customHeight="1" x14ac:dyDescent="0.2">
      <c r="A18873" s="22" t="str">
        <f>HYPERLINK("javascript:void(0)","aknalépő")</f>
        <v>aknalépő</v>
      </c>
      <c r="B18873" s="21"/>
      <c r="C18873" s="21"/>
      <c r="D18873" s="21"/>
    </row>
    <row r="18874" spans="1:4" ht="12.75" customHeight="1" x14ac:dyDescent="0.2">
      <c r="A18874" s="20"/>
      <c r="B18874" s="2"/>
      <c r="C18874" s="7"/>
      <c r="D18874" s="7"/>
    </row>
    <row r="18875" spans="1:4" ht="12.75" customHeight="1" x14ac:dyDescent="0.2">
      <c r="A18875" s="21"/>
      <c r="B18875" s="3" t="s">
        <v>0</v>
      </c>
      <c r="C18875" s="23" t="s">
        <v>267</v>
      </c>
      <c r="D18875" s="21"/>
    </row>
    <row r="18876" spans="1:4" ht="12.75" customHeight="1" x14ac:dyDescent="0.2">
      <c r="A18876" s="21"/>
      <c r="B18876" s="3" t="s">
        <v>2</v>
      </c>
      <c r="C18876" s="23"/>
      <c r="D18876" s="21"/>
    </row>
    <row r="18877" spans="1:4" ht="12.75" customHeight="1" x14ac:dyDescent="0.2">
      <c r="A18877" s="21"/>
      <c r="B18877" s="3" t="s">
        <v>1840</v>
      </c>
      <c r="C18877" s="23" t="s">
        <v>6430</v>
      </c>
      <c r="D18877" s="21"/>
    </row>
    <row r="18878" spans="1:4" ht="12.75" customHeight="1" x14ac:dyDescent="0.2">
      <c r="A18878" s="21"/>
      <c r="B18878" s="3" t="s">
        <v>9</v>
      </c>
      <c r="C18878" s="23" t="s">
        <v>959</v>
      </c>
      <c r="D18878" s="21"/>
    </row>
    <row r="18879" spans="1:4" ht="12.75" customHeight="1" x14ac:dyDescent="0.2">
      <c r="A18879" s="21"/>
      <c r="B18879" s="3" t="s">
        <v>11</v>
      </c>
      <c r="C18879" s="23" t="s">
        <v>2588</v>
      </c>
      <c r="D18879" s="21"/>
    </row>
    <row r="18880" spans="1:4" ht="12.75" customHeight="1" x14ac:dyDescent="0.2">
      <c r="A18880" s="21"/>
      <c r="B18880" s="3" t="s">
        <v>16</v>
      </c>
      <c r="C18880" s="23"/>
      <c r="D18880" s="21"/>
    </row>
    <row r="18881" spans="1:4" ht="12.75" customHeight="1" x14ac:dyDescent="0.2">
      <c r="A18881" s="21"/>
      <c r="B18881" s="3" t="s">
        <v>17</v>
      </c>
      <c r="C18881" s="23" t="s">
        <v>19</v>
      </c>
      <c r="D18881" s="21"/>
    </row>
    <row r="18882" spans="1:4" ht="12.75" customHeight="1" x14ac:dyDescent="0.2">
      <c r="A18882" s="21"/>
      <c r="B18882" s="20" t="s">
        <v>18</v>
      </c>
      <c r="C18882" s="8" t="s">
        <v>44</v>
      </c>
      <c r="D18882" s="1" t="str">
        <f>HYPERLINK("javascript:void(0)","tértorzító")</f>
        <v>tértorzító</v>
      </c>
    </row>
    <row r="18883" spans="1:4" ht="12.75" customHeight="1" x14ac:dyDescent="0.2">
      <c r="A18883" s="21"/>
      <c r="B18883" s="21"/>
      <c r="C18883" s="8" t="s">
        <v>232</v>
      </c>
      <c r="D18883" s="1" t="str">
        <f>HYPERLINK("javascript:void(0)","akna")</f>
        <v>akna</v>
      </c>
    </row>
    <row r="18884" spans="1:4" ht="12.75" customHeight="1" x14ac:dyDescent="0.2">
      <c r="A18884" s="21"/>
      <c r="B18884" s="21"/>
      <c r="C18884" s="8" t="s">
        <v>296</v>
      </c>
      <c r="D18884" s="1" t="str">
        <f>HYPERLINK("javascript:void(0)","dadacsiganyál")</f>
        <v>dadacsiganyál</v>
      </c>
    </row>
    <row r="18885" spans="1:4" ht="12.75" customHeight="1" x14ac:dyDescent="0.2">
      <c r="A18885" s="21"/>
      <c r="B18885" s="2"/>
      <c r="C18885" s="7"/>
      <c r="D18885" s="7"/>
    </row>
    <row r="18886" spans="1:4" ht="12.75" customHeight="1" x14ac:dyDescent="0.2">
      <c r="A18886" s="21"/>
      <c r="B18886" s="2"/>
      <c r="C18886" s="7"/>
      <c r="D18886" s="7"/>
    </row>
    <row r="18887" spans="1:4" ht="12.75" customHeight="1" x14ac:dyDescent="0.2">
      <c r="A18887" s="21"/>
      <c r="B18887" s="2"/>
      <c r="C18887" s="7"/>
      <c r="D18887" s="7"/>
    </row>
    <row r="18888" spans="1:4" ht="12.75" customHeight="1" x14ac:dyDescent="0.2">
      <c r="A18888" s="21"/>
      <c r="B18888" s="2"/>
      <c r="C18888" s="7"/>
      <c r="D18888" s="7"/>
    </row>
    <row r="18889" spans="1:4" ht="12.75" customHeight="1" x14ac:dyDescent="0.2">
      <c r="A18889" s="5"/>
      <c r="B18889" s="2"/>
      <c r="C18889" s="7"/>
      <c r="D18889" s="7"/>
    </row>
    <row r="18890" spans="1:4" ht="12.75" customHeight="1" x14ac:dyDescent="0.2">
      <c r="A18890" s="22" t="str">
        <f>HYPERLINK("javascript:void(0)","hálópajzs")</f>
        <v>hálópajzs</v>
      </c>
      <c r="B18890" s="21"/>
      <c r="C18890" s="21"/>
      <c r="D18890" s="21"/>
    </row>
    <row r="18891" spans="1:4" ht="12.75" customHeight="1" x14ac:dyDescent="0.2">
      <c r="A18891" s="20"/>
      <c r="B18891" s="2"/>
      <c r="C18891" s="7"/>
      <c r="D18891" s="7"/>
    </row>
    <row r="18892" spans="1:4" ht="12.75" customHeight="1" x14ac:dyDescent="0.2">
      <c r="A18892" s="21"/>
      <c r="B18892" s="3" t="s">
        <v>0</v>
      </c>
      <c r="C18892" s="23" t="s">
        <v>267</v>
      </c>
      <c r="D18892" s="21"/>
    </row>
    <row r="18893" spans="1:4" ht="12.75" customHeight="1" x14ac:dyDescent="0.2">
      <c r="A18893" s="21"/>
      <c r="B18893" s="3" t="s">
        <v>2</v>
      </c>
      <c r="C18893" s="23" t="s">
        <v>1839</v>
      </c>
      <c r="D18893" s="21"/>
    </row>
    <row r="18894" spans="1:4" ht="12.75" customHeight="1" x14ac:dyDescent="0.2">
      <c r="A18894" s="21"/>
      <c r="B18894" s="3" t="s">
        <v>1840</v>
      </c>
      <c r="C18894" s="23" t="s">
        <v>6435</v>
      </c>
      <c r="D18894" s="21"/>
    </row>
    <row r="18895" spans="1:4" ht="12.75" customHeight="1" x14ac:dyDescent="0.2">
      <c r="A18895" s="21"/>
      <c r="B18895" s="3" t="s">
        <v>9</v>
      </c>
      <c r="C18895" s="23" t="s">
        <v>377</v>
      </c>
      <c r="D18895" s="21"/>
    </row>
    <row r="18896" spans="1:4" ht="12.75" customHeight="1" x14ac:dyDescent="0.2">
      <c r="A18896" s="21"/>
      <c r="B18896" s="3" t="s">
        <v>11</v>
      </c>
      <c r="C18896" s="23" t="s">
        <v>2590</v>
      </c>
      <c r="D18896" s="21"/>
    </row>
    <row r="18897" spans="1:4" ht="12.75" customHeight="1" x14ac:dyDescent="0.2">
      <c r="A18897" s="21"/>
      <c r="B18897" s="3" t="s">
        <v>16</v>
      </c>
      <c r="C18897" s="23"/>
      <c r="D18897" s="21"/>
    </row>
    <row r="18898" spans="1:4" ht="12.75" customHeight="1" x14ac:dyDescent="0.2">
      <c r="A18898" s="21"/>
      <c r="B18898" s="3" t="s">
        <v>17</v>
      </c>
      <c r="C18898" s="23" t="s">
        <v>19</v>
      </c>
      <c r="D18898" s="21"/>
    </row>
    <row r="18899" spans="1:4" ht="12.75" customHeight="1" x14ac:dyDescent="0.2">
      <c r="A18899" s="21"/>
      <c r="B18899" s="20" t="s">
        <v>18</v>
      </c>
      <c r="C18899" s="8" t="s">
        <v>44</v>
      </c>
      <c r="D18899" s="1" t="str">
        <f>HYPERLINK("javascript:void(0)","animált pajzs")</f>
        <v>animált pajzs</v>
      </c>
    </row>
    <row r="18900" spans="1:4" ht="12.75" customHeight="1" x14ac:dyDescent="0.2">
      <c r="A18900" s="21"/>
      <c r="B18900" s="21"/>
      <c r="C18900" s="8" t="s">
        <v>68</v>
      </c>
      <c r="D18900" s="1" t="str">
        <f>HYPERLINK("javascript:void(0)","monsztaige")</f>
        <v>monsztaige</v>
      </c>
    </row>
    <row r="18901" spans="1:4" ht="12.75" customHeight="1" x14ac:dyDescent="0.2">
      <c r="A18901" s="21"/>
      <c r="B18901" s="21"/>
      <c r="C18901" s="8" t="s">
        <v>98</v>
      </c>
      <c r="D18901" s="1" t="str">
        <f>HYPERLINK("javascript:void(0)","kolomp")</f>
        <v>kolomp</v>
      </c>
    </row>
    <row r="18902" spans="1:4" ht="12.75" customHeight="1" x14ac:dyDescent="0.2">
      <c r="A18902" s="21"/>
      <c r="B18902" s="2"/>
      <c r="C18902" s="7"/>
      <c r="D18902" s="7"/>
    </row>
    <row r="18903" spans="1:4" ht="12.75" customHeight="1" x14ac:dyDescent="0.2">
      <c r="A18903" s="21"/>
      <c r="B18903" s="2"/>
      <c r="C18903" s="7"/>
      <c r="D18903" s="7"/>
    </row>
    <row r="18904" spans="1:4" ht="12.75" customHeight="1" x14ac:dyDescent="0.2">
      <c r="A18904" s="21"/>
      <c r="B18904" s="2"/>
      <c r="C18904" s="7"/>
      <c r="D18904" s="7"/>
    </row>
    <row r="18905" spans="1:4" ht="12.75" customHeight="1" x14ac:dyDescent="0.2">
      <c r="A18905" s="21"/>
      <c r="B18905" s="2"/>
      <c r="C18905" s="7"/>
      <c r="D18905" s="7"/>
    </row>
    <row r="18906" spans="1:4" ht="12.75" customHeight="1" x14ac:dyDescent="0.2">
      <c r="A18906" s="5"/>
      <c r="B18906" s="2"/>
      <c r="C18906" s="7"/>
      <c r="D18906" s="7"/>
    </row>
    <row r="18907" spans="1:4" ht="12.75" customHeight="1" x14ac:dyDescent="0.2">
      <c r="A18907" s="22" t="str">
        <f>HYPERLINK("javascript:void(0)","hidracél pihepajzs")</f>
        <v>hidracél pihepajzs</v>
      </c>
      <c r="B18907" s="21"/>
      <c r="C18907" s="21"/>
      <c r="D18907" s="21"/>
    </row>
    <row r="18908" spans="1:4" ht="12.75" customHeight="1" x14ac:dyDescent="0.2">
      <c r="A18908" s="20"/>
      <c r="B18908" s="2"/>
      <c r="C18908" s="7"/>
      <c r="D18908" s="7"/>
    </row>
    <row r="18909" spans="1:4" ht="12.75" customHeight="1" x14ac:dyDescent="0.2">
      <c r="A18909" s="21"/>
      <c r="B18909" s="3" t="s">
        <v>0</v>
      </c>
      <c r="C18909" s="23" t="s">
        <v>267</v>
      </c>
      <c r="D18909" s="21"/>
    </row>
    <row r="18910" spans="1:4" ht="12.75" customHeight="1" x14ac:dyDescent="0.2">
      <c r="A18910" s="21"/>
      <c r="B18910" s="3" t="s">
        <v>2</v>
      </c>
      <c r="C18910" s="23" t="s">
        <v>1839</v>
      </c>
      <c r="D18910" s="21"/>
    </row>
    <row r="18911" spans="1:4" ht="12.75" customHeight="1" x14ac:dyDescent="0.2">
      <c r="A18911" s="21"/>
      <c r="B18911" s="3" t="s">
        <v>1840</v>
      </c>
      <c r="C18911" s="23" t="s">
        <v>6435</v>
      </c>
      <c r="D18911" s="21"/>
    </row>
    <row r="18912" spans="1:4" ht="12.75" customHeight="1" x14ac:dyDescent="0.2">
      <c r="A18912" s="21"/>
      <c r="B18912" s="3" t="s">
        <v>9</v>
      </c>
      <c r="C18912" s="23" t="s">
        <v>79</v>
      </c>
      <c r="D18912" s="21"/>
    </row>
    <row r="18913" spans="1:4" ht="12.75" customHeight="1" x14ac:dyDescent="0.2">
      <c r="A18913" s="21"/>
      <c r="B18913" s="3" t="s">
        <v>11</v>
      </c>
      <c r="C18913" s="23" t="s">
        <v>6439</v>
      </c>
      <c r="D18913" s="21"/>
    </row>
    <row r="18914" spans="1:4" ht="12.75" customHeight="1" x14ac:dyDescent="0.2">
      <c r="A18914" s="21"/>
      <c r="B18914" s="3" t="s">
        <v>16</v>
      </c>
      <c r="C18914" s="23"/>
      <c r="D18914" s="21"/>
    </row>
    <row r="18915" spans="1:4" ht="12.75" customHeight="1" x14ac:dyDescent="0.2">
      <c r="A18915" s="21"/>
      <c r="B18915" s="3" t="s">
        <v>17</v>
      </c>
      <c r="C18915" s="23" t="s">
        <v>19</v>
      </c>
      <c r="D18915" s="21"/>
    </row>
    <row r="18916" spans="1:4" ht="12.75" customHeight="1" x14ac:dyDescent="0.2">
      <c r="A18916" s="21"/>
      <c r="B18916" s="20" t="s">
        <v>18</v>
      </c>
      <c r="C18916" s="8" t="s">
        <v>44</v>
      </c>
      <c r="D18916" s="1" t="str">
        <f>HYPERLINK("javascript:void(0)","hálópajzs")</f>
        <v>hálópajzs</v>
      </c>
    </row>
    <row r="18917" spans="1:4" ht="12.75" customHeight="1" x14ac:dyDescent="0.2">
      <c r="A18917" s="21"/>
      <c r="B18917" s="21"/>
      <c r="C18917" s="8" t="s">
        <v>117</v>
      </c>
      <c r="D18917" s="1" t="str">
        <f>HYPERLINK("javascript:void(0)","titkos jelszó")</f>
        <v>titkos jelszó</v>
      </c>
    </row>
    <row r="18918" spans="1:4" ht="12.75" customHeight="1" x14ac:dyDescent="0.2">
      <c r="A18918" s="21"/>
      <c r="B18918" s="21"/>
      <c r="C18918" s="8" t="s">
        <v>196</v>
      </c>
      <c r="D18918" s="1" t="str">
        <f>HYPERLINK("javascript:void(0)","akna")</f>
        <v>akna</v>
      </c>
    </row>
    <row r="18919" spans="1:4" ht="12.75" customHeight="1" x14ac:dyDescent="0.2">
      <c r="A18919" s="21"/>
      <c r="B18919" s="2"/>
      <c r="C18919" s="7"/>
      <c r="D18919" s="7"/>
    </row>
    <row r="18920" spans="1:4" ht="12.75" customHeight="1" x14ac:dyDescent="0.2">
      <c r="A18920" s="21"/>
      <c r="B18920" s="2"/>
      <c r="C18920" s="7"/>
      <c r="D18920" s="7"/>
    </row>
    <row r="18921" spans="1:4" ht="12.75" customHeight="1" x14ac:dyDescent="0.2">
      <c r="A18921" s="21"/>
      <c r="B18921" s="2"/>
      <c r="C18921" s="7"/>
      <c r="D18921" s="7"/>
    </row>
    <row r="18922" spans="1:4" ht="12.75" customHeight="1" x14ac:dyDescent="0.2">
      <c r="A18922" s="21"/>
      <c r="B18922" s="2"/>
      <c r="C18922" s="7"/>
      <c r="D18922" s="7"/>
    </row>
    <row r="18923" spans="1:4" ht="12.75" customHeight="1" x14ac:dyDescent="0.2">
      <c r="A18923" s="5"/>
      <c r="B18923" s="2"/>
      <c r="C18923" s="7"/>
      <c r="D18923" s="7"/>
    </row>
    <row r="18924" spans="1:4" ht="12.75" customHeight="1" x14ac:dyDescent="0.2">
      <c r="A18924" s="22" t="str">
        <f>HYPERLINK("javascript:void(0)","körtekalap")</f>
        <v>körtekalap</v>
      </c>
      <c r="B18924" s="21"/>
      <c r="C18924" s="21"/>
      <c r="D18924" s="21"/>
    </row>
    <row r="18925" spans="1:4" ht="12.75" customHeight="1" x14ac:dyDescent="0.2">
      <c r="A18925" s="20"/>
      <c r="B18925" s="2"/>
      <c r="C18925" s="7"/>
      <c r="D18925" s="7"/>
    </row>
    <row r="18926" spans="1:4" ht="12.75" customHeight="1" x14ac:dyDescent="0.2">
      <c r="A18926" s="21"/>
      <c r="B18926" s="3" t="s">
        <v>0</v>
      </c>
      <c r="C18926" s="23" t="s">
        <v>1422</v>
      </c>
      <c r="D18926" s="21"/>
    </row>
    <row r="18927" spans="1:4" ht="12.75" customHeight="1" x14ac:dyDescent="0.2">
      <c r="A18927" s="21"/>
      <c r="B18927" s="3" t="s">
        <v>2</v>
      </c>
      <c r="C18927" s="23"/>
      <c r="D18927" s="21"/>
    </row>
    <row r="18928" spans="1:4" ht="12.75" customHeight="1" x14ac:dyDescent="0.2">
      <c r="A18928" s="21"/>
      <c r="B18928" s="3" t="s">
        <v>1840</v>
      </c>
      <c r="C18928" s="23" t="s">
        <v>6440</v>
      </c>
      <c r="D18928" s="21"/>
    </row>
    <row r="18929" spans="1:4" ht="12.75" customHeight="1" x14ac:dyDescent="0.2">
      <c r="A18929" s="21"/>
      <c r="B18929" s="3" t="s">
        <v>9</v>
      </c>
      <c r="C18929" s="23" t="s">
        <v>2229</v>
      </c>
      <c r="D18929" s="21"/>
    </row>
    <row r="18930" spans="1:4" ht="12.75" customHeight="1" x14ac:dyDescent="0.2">
      <c r="A18930" s="21"/>
      <c r="B18930" s="3" t="s">
        <v>11</v>
      </c>
      <c r="C18930" s="23" t="s">
        <v>2590</v>
      </c>
      <c r="D18930" s="21"/>
    </row>
    <row r="18931" spans="1:4" ht="12.75" customHeight="1" x14ac:dyDescent="0.2">
      <c r="A18931" s="21"/>
      <c r="B18931" s="3" t="s">
        <v>16</v>
      </c>
      <c r="C18931" s="23"/>
      <c r="D18931" s="21"/>
    </row>
    <row r="18932" spans="1:4" ht="12.75" customHeight="1" x14ac:dyDescent="0.2">
      <c r="A18932" s="21"/>
      <c r="B18932" s="3" t="s">
        <v>17</v>
      </c>
      <c r="C18932" s="23" t="s">
        <v>19</v>
      </c>
      <c r="D18932" s="21"/>
    </row>
    <row r="18933" spans="1:4" ht="12.75" customHeight="1" x14ac:dyDescent="0.2">
      <c r="A18933" s="21"/>
      <c r="B18933" s="20" t="s">
        <v>18</v>
      </c>
      <c r="C18933" s="8" t="s">
        <v>44</v>
      </c>
      <c r="D18933" s="1" t="str">
        <f>HYPERLINK("javascript:void(0)","rejtekfejfedő")</f>
        <v>rejtekfejfedő</v>
      </c>
    </row>
    <row r="18934" spans="1:4" ht="12.75" customHeight="1" x14ac:dyDescent="0.2">
      <c r="A18934" s="21"/>
      <c r="B18934" s="21"/>
      <c r="C18934" s="8" t="s">
        <v>44</v>
      </c>
      <c r="D18934" s="1" t="str">
        <f>HYPERLINK("javascript:void(0)","korallaggancs")</f>
        <v>korallaggancs</v>
      </c>
    </row>
    <row r="18935" spans="1:4" ht="12.75" customHeight="1" x14ac:dyDescent="0.2">
      <c r="A18935" s="21"/>
      <c r="B18935" s="21"/>
      <c r="C18935" s="8" t="s">
        <v>68</v>
      </c>
      <c r="D18935" s="1" t="str">
        <f>HYPERLINK("javascript:void(0)","ágyaskörtye")</f>
        <v>ágyaskörtye</v>
      </c>
    </row>
    <row r="18936" spans="1:4" ht="12.75" customHeight="1" x14ac:dyDescent="0.2">
      <c r="A18936" s="21"/>
      <c r="B18936" s="2"/>
      <c r="C18936" s="7"/>
      <c r="D18936" s="7"/>
    </row>
    <row r="18937" spans="1:4" ht="12.75" customHeight="1" x14ac:dyDescent="0.2">
      <c r="A18937" s="21"/>
      <c r="B18937" s="2"/>
      <c r="C18937" s="7"/>
      <c r="D18937" s="7"/>
    </row>
    <row r="18938" spans="1:4" ht="12.75" customHeight="1" x14ac:dyDescent="0.2">
      <c r="A18938" s="21"/>
      <c r="B18938" s="2"/>
      <c r="C18938" s="7"/>
      <c r="D18938" s="7"/>
    </row>
    <row r="18939" spans="1:4" ht="12.75" customHeight="1" x14ac:dyDescent="0.2">
      <c r="A18939" s="21"/>
      <c r="B18939" s="2"/>
      <c r="C18939" s="7"/>
      <c r="D18939" s="7"/>
    </row>
    <row r="18940" spans="1:4" ht="12.75" customHeight="1" x14ac:dyDescent="0.2">
      <c r="A18940" s="5"/>
      <c r="B18940" s="2"/>
      <c r="C18940" s="7"/>
      <c r="D18940" s="7"/>
    </row>
    <row r="18941" spans="1:4" ht="12.75" customHeight="1" x14ac:dyDescent="0.2">
      <c r="A18941" s="22" t="str">
        <f>HYPERLINK("javascript:void(0)","vas zeke")</f>
        <v>vas zeke</v>
      </c>
      <c r="B18941" s="21"/>
      <c r="C18941" s="21"/>
      <c r="D18941" s="21"/>
    </row>
    <row r="18942" spans="1:4" ht="12.75" customHeight="1" x14ac:dyDescent="0.2">
      <c r="A18942" s="20"/>
      <c r="B18942" s="2"/>
      <c r="C18942" s="7"/>
      <c r="D18942" s="7"/>
    </row>
    <row r="18943" spans="1:4" ht="12.75" customHeight="1" x14ac:dyDescent="0.2">
      <c r="A18943" s="21"/>
      <c r="B18943" s="3" t="s">
        <v>0</v>
      </c>
      <c r="C18943" s="23" t="s">
        <v>1422</v>
      </c>
      <c r="D18943" s="21"/>
    </row>
    <row r="18944" spans="1:4" ht="12.75" customHeight="1" x14ac:dyDescent="0.2">
      <c r="A18944" s="21"/>
      <c r="B18944" s="3" t="s">
        <v>2</v>
      </c>
      <c r="C18944" s="23" t="s">
        <v>2322</v>
      </c>
      <c r="D18944" s="21"/>
    </row>
    <row r="18945" spans="1:4" ht="12.75" customHeight="1" x14ac:dyDescent="0.2">
      <c r="A18945" s="21"/>
      <c r="B18945" s="3" t="s">
        <v>1840</v>
      </c>
      <c r="C18945" s="23" t="s">
        <v>2592</v>
      </c>
      <c r="D18945" s="21"/>
    </row>
    <row r="18946" spans="1:4" ht="12.75" customHeight="1" x14ac:dyDescent="0.2">
      <c r="A18946" s="21"/>
      <c r="B18946" s="3" t="s">
        <v>9</v>
      </c>
      <c r="C18946" s="23" t="s">
        <v>2572</v>
      </c>
      <c r="D18946" s="21"/>
    </row>
    <row r="18947" spans="1:4" ht="12.75" customHeight="1" x14ac:dyDescent="0.2">
      <c r="A18947" s="21"/>
      <c r="B18947" s="3" t="s">
        <v>11</v>
      </c>
      <c r="C18947" s="23" t="s">
        <v>2593</v>
      </c>
      <c r="D18947" s="21"/>
    </row>
    <row r="18948" spans="1:4" ht="12.75" customHeight="1" x14ac:dyDescent="0.2">
      <c r="A18948" s="21"/>
      <c r="B18948" s="3" t="s">
        <v>16</v>
      </c>
      <c r="C18948" s="23"/>
      <c r="D18948" s="21"/>
    </row>
    <row r="18949" spans="1:4" ht="12.75" customHeight="1" x14ac:dyDescent="0.2">
      <c r="A18949" s="21"/>
      <c r="B18949" s="3" t="s">
        <v>17</v>
      </c>
      <c r="C18949" s="23" t="s">
        <v>19</v>
      </c>
      <c r="D18949" s="21"/>
    </row>
    <row r="18950" spans="1:4" ht="12.75" customHeight="1" x14ac:dyDescent="0.2">
      <c r="A18950" s="21"/>
      <c r="B18950" s="20" t="s">
        <v>18</v>
      </c>
      <c r="C18950" s="8" t="s">
        <v>44</v>
      </c>
      <c r="D18950" s="1" t="str">
        <f>HYPERLINK("javascript:void(0)","réz zeke")</f>
        <v>réz zeke</v>
      </c>
    </row>
    <row r="18951" spans="1:4" ht="12.75" customHeight="1" x14ac:dyDescent="0.2">
      <c r="A18951" s="21"/>
      <c r="B18951" s="21"/>
      <c r="C18951" s="8" t="s">
        <v>196</v>
      </c>
      <c r="D18951" s="1" t="str">
        <f>HYPERLINK("javascript:void(0)","szívóka")</f>
        <v>szívóka</v>
      </c>
    </row>
    <row r="18952" spans="1:4" ht="12.75" customHeight="1" x14ac:dyDescent="0.2">
      <c r="A18952" s="21"/>
      <c r="B18952" s="21"/>
      <c r="C18952" s="8" t="s">
        <v>398</v>
      </c>
      <c r="D18952" s="1" t="str">
        <f>HYPERLINK("javascript:void(0)","monsztaige")</f>
        <v>monsztaige</v>
      </c>
    </row>
    <row r="18953" spans="1:4" ht="12.75" customHeight="1" x14ac:dyDescent="0.2">
      <c r="A18953" s="21"/>
      <c r="B18953" s="2"/>
      <c r="C18953" s="7"/>
      <c r="D18953" s="7"/>
    </row>
    <row r="18954" spans="1:4" ht="12.75" customHeight="1" x14ac:dyDescent="0.2">
      <c r="A18954" s="21"/>
      <c r="B18954" s="2"/>
      <c r="C18954" s="7"/>
      <c r="D18954" s="7"/>
    </row>
    <row r="18955" spans="1:4" ht="12.75" customHeight="1" x14ac:dyDescent="0.2">
      <c r="A18955" s="21"/>
      <c r="B18955" s="2"/>
      <c r="C18955" s="7"/>
      <c r="D18955" s="7"/>
    </row>
    <row r="18956" spans="1:4" ht="12.75" customHeight="1" x14ac:dyDescent="0.2">
      <c r="A18956" s="21"/>
      <c r="B18956" s="2"/>
      <c r="C18956" s="7"/>
      <c r="D18956" s="7"/>
    </row>
    <row r="18957" spans="1:4" ht="12.75" customHeight="1" x14ac:dyDescent="0.2">
      <c r="A18957" s="5"/>
      <c r="B18957" s="2"/>
      <c r="C18957" s="7"/>
      <c r="D18957" s="7"/>
    </row>
    <row r="18958" spans="1:4" ht="12.75" customHeight="1" x14ac:dyDescent="0.2">
      <c r="A18958" s="22" t="str">
        <f>HYPERLINK("javascript:void(0)","üvegtopán")</f>
        <v>üvegtopán</v>
      </c>
      <c r="B18958" s="21"/>
      <c r="C18958" s="21"/>
      <c r="D18958" s="21"/>
    </row>
    <row r="18959" spans="1:4" ht="12.75" customHeight="1" x14ac:dyDescent="0.2">
      <c r="A18959" s="20"/>
      <c r="B18959" s="2"/>
      <c r="C18959" s="7"/>
      <c r="D18959" s="7"/>
    </row>
    <row r="18960" spans="1:4" ht="12.75" customHeight="1" x14ac:dyDescent="0.2">
      <c r="A18960" s="21"/>
      <c r="B18960" s="3" t="s">
        <v>0</v>
      </c>
      <c r="C18960" s="23" t="s">
        <v>1422</v>
      </c>
      <c r="D18960" s="21"/>
    </row>
    <row r="18961" spans="1:4" ht="12.75" customHeight="1" x14ac:dyDescent="0.2">
      <c r="A18961" s="21"/>
      <c r="B18961" s="3" t="s">
        <v>2</v>
      </c>
      <c r="C18961" s="23"/>
      <c r="D18961" s="21"/>
    </row>
    <row r="18962" spans="1:4" ht="12.75" customHeight="1" x14ac:dyDescent="0.2">
      <c r="A18962" s="21"/>
      <c r="B18962" s="3" t="s">
        <v>1840</v>
      </c>
      <c r="C18962" s="23" t="s">
        <v>3594</v>
      </c>
      <c r="D18962" s="21"/>
    </row>
    <row r="18963" spans="1:4" ht="12.75" customHeight="1" x14ac:dyDescent="0.2">
      <c r="A18963" s="21"/>
      <c r="B18963" s="3" t="s">
        <v>9</v>
      </c>
      <c r="C18963" s="23" t="s">
        <v>753</v>
      </c>
      <c r="D18963" s="21"/>
    </row>
    <row r="18964" spans="1:4" ht="12.75" customHeight="1" x14ac:dyDescent="0.2">
      <c r="A18964" s="21"/>
      <c r="B18964" s="3" t="s">
        <v>11</v>
      </c>
      <c r="C18964" s="23" t="s">
        <v>2590</v>
      </c>
      <c r="D18964" s="21"/>
    </row>
    <row r="18965" spans="1:4" ht="12.75" customHeight="1" x14ac:dyDescent="0.2">
      <c r="A18965" s="21"/>
      <c r="B18965" s="3" t="s">
        <v>16</v>
      </c>
      <c r="C18965" s="23"/>
      <c r="D18965" s="21"/>
    </row>
    <row r="18966" spans="1:4" ht="12.75" customHeight="1" x14ac:dyDescent="0.2">
      <c r="A18966" s="21"/>
      <c r="B18966" s="3" t="s">
        <v>17</v>
      </c>
      <c r="C18966" s="23" t="s">
        <v>19</v>
      </c>
      <c r="D18966" s="21"/>
    </row>
    <row r="18967" spans="1:4" ht="12.75" customHeight="1" x14ac:dyDescent="0.2">
      <c r="A18967" s="21"/>
      <c r="B18967" s="20" t="s">
        <v>18</v>
      </c>
      <c r="C18967" s="8" t="s">
        <v>57</v>
      </c>
      <c r="D18967" s="1" t="str">
        <f>HYPERLINK("javascript:void(0)","ágyaskörtye")</f>
        <v>ágyaskörtye</v>
      </c>
    </row>
    <row r="18968" spans="1:4" ht="12.75" customHeight="1" x14ac:dyDescent="0.2">
      <c r="A18968" s="21"/>
      <c r="B18968" s="21"/>
      <c r="C18968" s="8" t="s">
        <v>228</v>
      </c>
      <c r="D18968" s="1" t="str">
        <f>HYPERLINK("javascript:void(0)","tartás")</f>
        <v>tartás</v>
      </c>
    </row>
    <row r="18969" spans="1:4" ht="12.75" customHeight="1" x14ac:dyDescent="0.2">
      <c r="A18969" s="21"/>
      <c r="B18969" s="21"/>
      <c r="C18969" s="8" t="s">
        <v>327</v>
      </c>
      <c r="D18969" s="1" t="str">
        <f>HYPERLINK("javascript:void(0)","trolltartó")</f>
        <v>trolltartó</v>
      </c>
    </row>
    <row r="18970" spans="1:4" ht="12.75" customHeight="1" x14ac:dyDescent="0.2">
      <c r="A18970" s="21"/>
      <c r="B18970" s="2"/>
      <c r="C18970" s="7"/>
      <c r="D18970" s="7"/>
    </row>
    <row r="18971" spans="1:4" ht="12.75" customHeight="1" x14ac:dyDescent="0.2">
      <c r="A18971" s="21"/>
      <c r="B18971" s="2"/>
      <c r="C18971" s="7"/>
      <c r="D18971" s="7"/>
    </row>
    <row r="18972" spans="1:4" ht="12.75" customHeight="1" x14ac:dyDescent="0.2">
      <c r="A18972" s="21"/>
      <c r="B18972" s="2"/>
      <c r="C18972" s="7"/>
      <c r="D18972" s="7"/>
    </row>
    <row r="18973" spans="1:4" ht="12.75" customHeight="1" x14ac:dyDescent="0.2">
      <c r="A18973" s="21"/>
      <c r="B18973" s="2"/>
      <c r="C18973" s="7"/>
      <c r="D18973" s="7"/>
    </row>
    <row r="18974" spans="1:4" ht="12.75" customHeight="1" x14ac:dyDescent="0.2">
      <c r="A18974" s="5"/>
      <c r="B18974" s="2"/>
      <c r="C18974" s="7"/>
      <c r="D18974" s="7"/>
    </row>
    <row r="18975" spans="1:4" ht="12.75" customHeight="1" x14ac:dyDescent="0.2">
      <c r="A18975" s="22" t="str">
        <f>HYPERLINK("javascript:void(0)","háló testpajzs")</f>
        <v>háló testpajzs</v>
      </c>
      <c r="B18975" s="21"/>
      <c r="C18975" s="21"/>
      <c r="D18975" s="21"/>
    </row>
    <row r="18976" spans="1:4" ht="12.75" customHeight="1" x14ac:dyDescent="0.2">
      <c r="A18976" s="20"/>
      <c r="B18976" s="2"/>
      <c r="C18976" s="7"/>
      <c r="D18976" s="7"/>
    </row>
    <row r="18977" spans="1:4" ht="12.75" customHeight="1" x14ac:dyDescent="0.2">
      <c r="A18977" s="21"/>
      <c r="B18977" s="3" t="s">
        <v>0</v>
      </c>
      <c r="C18977" s="23" t="s">
        <v>1422</v>
      </c>
      <c r="D18977" s="21"/>
    </row>
    <row r="18978" spans="1:4" ht="12.75" customHeight="1" x14ac:dyDescent="0.2">
      <c r="A18978" s="21"/>
      <c r="B18978" s="3" t="s">
        <v>2</v>
      </c>
      <c r="C18978" s="23" t="s">
        <v>1839</v>
      </c>
      <c r="D18978" s="21"/>
    </row>
    <row r="18979" spans="1:4" ht="12.75" customHeight="1" x14ac:dyDescent="0.2">
      <c r="A18979" s="21"/>
      <c r="B18979" s="3" t="s">
        <v>1840</v>
      </c>
      <c r="C18979" s="23" t="s">
        <v>6452</v>
      </c>
      <c r="D18979" s="21"/>
    </row>
    <row r="18980" spans="1:4" ht="12.75" customHeight="1" x14ac:dyDescent="0.2">
      <c r="A18980" s="21"/>
      <c r="B18980" s="3" t="s">
        <v>9</v>
      </c>
      <c r="C18980" s="23" t="s">
        <v>549</v>
      </c>
      <c r="D18980" s="21"/>
    </row>
    <row r="18981" spans="1:4" ht="12.75" customHeight="1" x14ac:dyDescent="0.2">
      <c r="A18981" s="21"/>
      <c r="B18981" s="3" t="s">
        <v>11</v>
      </c>
      <c r="C18981" s="23" t="s">
        <v>2591</v>
      </c>
      <c r="D18981" s="21"/>
    </row>
    <row r="18982" spans="1:4" ht="12.75" customHeight="1" x14ac:dyDescent="0.2">
      <c r="A18982" s="21"/>
      <c r="B18982" s="3" t="s">
        <v>16</v>
      </c>
      <c r="C18982" s="23"/>
      <c r="D18982" s="21"/>
    </row>
    <row r="18983" spans="1:4" ht="12.75" customHeight="1" x14ac:dyDescent="0.2">
      <c r="A18983" s="21"/>
      <c r="B18983" s="3" t="s">
        <v>17</v>
      </c>
      <c r="C18983" s="23" t="s">
        <v>19</v>
      </c>
      <c r="D18983" s="21"/>
    </row>
    <row r="18984" spans="1:4" ht="12.75" customHeight="1" x14ac:dyDescent="0.2">
      <c r="A18984" s="21"/>
      <c r="B18984" s="20" t="s">
        <v>18</v>
      </c>
      <c r="C18984" s="8" t="s">
        <v>44</v>
      </c>
      <c r="D18984" s="1" t="str">
        <f>HYPERLINK("javascript:void(0)","animált testpajzs")</f>
        <v>animált testpajzs</v>
      </c>
    </row>
    <row r="18985" spans="1:4" ht="12.75" customHeight="1" x14ac:dyDescent="0.2">
      <c r="A18985" s="21"/>
      <c r="B18985" s="21"/>
      <c r="C18985" s="8" t="s">
        <v>2005</v>
      </c>
      <c r="D18985" s="1" t="str">
        <f>HYPERLINK("javascript:void(0)","levél")</f>
        <v>levél</v>
      </c>
    </row>
    <row r="18986" spans="1:4" ht="12.75" customHeight="1" x14ac:dyDescent="0.2">
      <c r="A18986" s="21"/>
      <c r="B18986" s="21"/>
      <c r="C18986" s="8" t="s">
        <v>98</v>
      </c>
      <c r="D18986" s="1" t="str">
        <f>HYPERLINK("javascript:void(0)","fiola")</f>
        <v>fiola</v>
      </c>
    </row>
    <row r="18987" spans="1:4" ht="12.75" customHeight="1" x14ac:dyDescent="0.2">
      <c r="A18987" s="21"/>
      <c r="B18987" s="2"/>
      <c r="C18987" s="7"/>
      <c r="D18987" s="7"/>
    </row>
    <row r="18988" spans="1:4" ht="12.75" customHeight="1" x14ac:dyDescent="0.2">
      <c r="A18988" s="21"/>
      <c r="B18988" s="2"/>
      <c r="C18988" s="7"/>
      <c r="D18988" s="7"/>
    </row>
    <row r="18989" spans="1:4" ht="12.75" customHeight="1" x14ac:dyDescent="0.2">
      <c r="A18989" s="21"/>
      <c r="B18989" s="2"/>
      <c r="C18989" s="7"/>
      <c r="D18989" s="7"/>
    </row>
    <row r="18990" spans="1:4" ht="12.75" customHeight="1" x14ac:dyDescent="0.2">
      <c r="A18990" s="21"/>
      <c r="B18990" s="2"/>
      <c r="C18990" s="7"/>
      <c r="D18990" s="7"/>
    </row>
    <row r="18991" spans="1:4" ht="12.75" customHeight="1" x14ac:dyDescent="0.2">
      <c r="A18991" s="5"/>
      <c r="B18991" s="2"/>
      <c r="C18991" s="7"/>
      <c r="D18991" s="7"/>
    </row>
    <row r="18992" spans="1:4" ht="12.75" customHeight="1" x14ac:dyDescent="0.2">
      <c r="A18992" s="22" t="str">
        <f>HYPERLINK("javascript:void(0)","démonacél pihepajzs")</f>
        <v>démonacél pihepajzs</v>
      </c>
      <c r="B18992" s="21"/>
      <c r="C18992" s="21"/>
      <c r="D18992" s="21"/>
    </row>
    <row r="18993" spans="1:4" ht="12.75" customHeight="1" x14ac:dyDescent="0.2">
      <c r="A18993" s="20"/>
      <c r="B18993" s="2"/>
      <c r="C18993" s="7"/>
      <c r="D18993" s="7"/>
    </row>
    <row r="18994" spans="1:4" ht="12.75" customHeight="1" x14ac:dyDescent="0.2">
      <c r="A18994" s="21"/>
      <c r="B18994" s="3" t="s">
        <v>0</v>
      </c>
      <c r="C18994" s="23" t="s">
        <v>1422</v>
      </c>
      <c r="D18994" s="21"/>
    </row>
    <row r="18995" spans="1:4" ht="12.75" customHeight="1" x14ac:dyDescent="0.2">
      <c r="A18995" s="21"/>
      <c r="B18995" s="3" t="s">
        <v>2</v>
      </c>
      <c r="C18995" s="23" t="s">
        <v>1839</v>
      </c>
      <c r="D18995" s="21"/>
    </row>
    <row r="18996" spans="1:4" ht="12.75" customHeight="1" x14ac:dyDescent="0.2">
      <c r="A18996" s="21"/>
      <c r="B18996" s="3" t="s">
        <v>1840</v>
      </c>
      <c r="C18996" s="23" t="s">
        <v>6452</v>
      </c>
      <c r="D18996" s="21"/>
    </row>
    <row r="18997" spans="1:4" ht="12.75" customHeight="1" x14ac:dyDescent="0.2">
      <c r="A18997" s="21"/>
      <c r="B18997" s="3" t="s">
        <v>9</v>
      </c>
      <c r="C18997" s="23" t="s">
        <v>30</v>
      </c>
      <c r="D18997" s="21"/>
    </row>
    <row r="18998" spans="1:4" ht="12.75" customHeight="1" x14ac:dyDescent="0.2">
      <c r="A18998" s="21"/>
      <c r="B18998" s="3" t="s">
        <v>11</v>
      </c>
      <c r="C18998" s="23" t="s">
        <v>6458</v>
      </c>
      <c r="D18998" s="21"/>
    </row>
    <row r="18999" spans="1:4" ht="12.75" customHeight="1" x14ac:dyDescent="0.2">
      <c r="A18999" s="21"/>
      <c r="B18999" s="3" t="s">
        <v>16</v>
      </c>
      <c r="C18999" s="23"/>
      <c r="D18999" s="21"/>
    </row>
    <row r="19000" spans="1:4" ht="12.75" customHeight="1" x14ac:dyDescent="0.2">
      <c r="A19000" s="21"/>
      <c r="B19000" s="3" t="s">
        <v>17</v>
      </c>
      <c r="C19000" s="23" t="s">
        <v>19</v>
      </c>
      <c r="D19000" s="21"/>
    </row>
    <row r="19001" spans="1:4" ht="12.75" customHeight="1" x14ac:dyDescent="0.2">
      <c r="A19001" s="21"/>
      <c r="B19001" s="20" t="s">
        <v>18</v>
      </c>
      <c r="C19001" s="8" t="s">
        <v>44</v>
      </c>
      <c r="D19001" s="1" t="str">
        <f>HYPERLINK("javascript:void(0)","háló testpajzs")</f>
        <v>háló testpajzs</v>
      </c>
    </row>
    <row r="19002" spans="1:4" ht="12.75" customHeight="1" x14ac:dyDescent="0.2">
      <c r="A19002" s="21"/>
      <c r="B19002" s="21"/>
      <c r="C19002" s="8" t="s">
        <v>142</v>
      </c>
      <c r="D19002" s="1" t="str">
        <f>HYPERLINK("javascript:void(0)","szívóka")</f>
        <v>szívóka</v>
      </c>
    </row>
    <row r="19003" spans="1:4" ht="12.75" customHeight="1" x14ac:dyDescent="0.2">
      <c r="A19003" s="21"/>
      <c r="B19003" s="21"/>
      <c r="C19003" s="8" t="s">
        <v>772</v>
      </c>
      <c r="D19003" s="1" t="str">
        <f>HYPERLINK("javascript:void(0)","levél")</f>
        <v>levél</v>
      </c>
    </row>
    <row r="19004" spans="1:4" ht="12.75" customHeight="1" x14ac:dyDescent="0.2">
      <c r="A19004" s="21"/>
      <c r="B19004" s="2"/>
      <c r="C19004" s="7"/>
      <c r="D19004" s="7"/>
    </row>
    <row r="19005" spans="1:4" ht="12.75" customHeight="1" x14ac:dyDescent="0.2">
      <c r="A19005" s="21"/>
      <c r="B19005" s="2"/>
      <c r="C19005" s="7"/>
      <c r="D19005" s="7"/>
    </row>
    <row r="19006" spans="1:4" ht="12.75" customHeight="1" x14ac:dyDescent="0.2">
      <c r="A19006" s="21"/>
      <c r="B19006" s="2"/>
      <c r="C19006" s="7"/>
      <c r="D19006" s="7"/>
    </row>
    <row r="19007" spans="1:4" ht="12.75" customHeight="1" x14ac:dyDescent="0.2">
      <c r="A19007" s="21"/>
      <c r="B19007" s="2"/>
      <c r="C19007" s="7"/>
      <c r="D19007" s="7"/>
    </row>
    <row r="19008" spans="1:4" ht="12.75" customHeight="1" x14ac:dyDescent="0.2">
      <c r="A19008" s="5"/>
      <c r="B19008" s="2"/>
      <c r="C19008" s="7"/>
      <c r="D19008" s="7"/>
    </row>
    <row r="19009" spans="1:4" ht="12.75" customHeight="1" x14ac:dyDescent="0.2">
      <c r="A19009" s="22" t="str">
        <f>HYPERLINK("javascript:void(0)","ágyas antigrav csizma")</f>
        <v>ágyas antigrav csizma</v>
      </c>
      <c r="B19009" s="21"/>
      <c r="C19009" s="21"/>
      <c r="D19009" s="21"/>
    </row>
    <row r="19010" spans="1:4" ht="12.75" customHeight="1" x14ac:dyDescent="0.2">
      <c r="A19010" s="20"/>
      <c r="B19010" s="2"/>
      <c r="C19010" s="7"/>
      <c r="D19010" s="7"/>
    </row>
    <row r="19011" spans="1:4" ht="12.75" customHeight="1" x14ac:dyDescent="0.2">
      <c r="A19011" s="21"/>
      <c r="B19011" s="3" t="s">
        <v>0</v>
      </c>
      <c r="C19011" s="23" t="s">
        <v>1422</v>
      </c>
      <c r="D19011" s="21"/>
    </row>
    <row r="19012" spans="1:4" ht="12.75" customHeight="1" x14ac:dyDescent="0.2">
      <c r="A19012" s="21"/>
      <c r="B19012" s="3" t="s">
        <v>2</v>
      </c>
      <c r="C19012" s="23"/>
      <c r="D19012" s="21"/>
    </row>
    <row r="19013" spans="1:4" ht="12.75" customHeight="1" x14ac:dyDescent="0.2">
      <c r="A19013" s="21"/>
      <c r="B19013" s="3" t="s">
        <v>1840</v>
      </c>
      <c r="C19013" s="23" t="s">
        <v>3594</v>
      </c>
      <c r="D19013" s="21"/>
    </row>
    <row r="19014" spans="1:4" ht="12.75" customHeight="1" x14ac:dyDescent="0.2">
      <c r="A19014" s="21"/>
      <c r="B19014" s="3" t="s">
        <v>9</v>
      </c>
      <c r="C19014" s="23" t="s">
        <v>626</v>
      </c>
      <c r="D19014" s="21"/>
    </row>
    <row r="19015" spans="1:4" ht="12.75" customHeight="1" x14ac:dyDescent="0.2">
      <c r="A19015" s="21"/>
      <c r="B19015" s="3" t="s">
        <v>11</v>
      </c>
      <c r="C19015" s="23" t="s">
        <v>23</v>
      </c>
      <c r="D19015" s="21"/>
    </row>
    <row r="19016" spans="1:4" ht="12.75" customHeight="1" x14ac:dyDescent="0.2">
      <c r="A19016" s="21"/>
      <c r="B19016" s="3" t="s">
        <v>16</v>
      </c>
      <c r="C19016" s="23"/>
      <c r="D19016" s="21"/>
    </row>
    <row r="19017" spans="1:4" ht="12.75" customHeight="1" x14ac:dyDescent="0.2">
      <c r="A19017" s="21"/>
      <c r="B19017" s="3" t="s">
        <v>17</v>
      </c>
      <c r="C19017" s="23" t="s">
        <v>19</v>
      </c>
      <c r="D19017" s="21"/>
    </row>
    <row r="19018" spans="1:4" ht="25.5" customHeight="1" x14ac:dyDescent="0.2">
      <c r="A19018" s="21"/>
      <c r="B19018" s="20" t="s">
        <v>18</v>
      </c>
      <c r="C19018" s="8" t="s">
        <v>44</v>
      </c>
      <c r="D19018" s="1" t="str">
        <f>HYPERLINK("javascript:void(0)","mechano antigrav csizma")</f>
        <v>mechano antigrav csizma</v>
      </c>
    </row>
    <row r="19019" spans="1:4" ht="12.75" customHeight="1" x14ac:dyDescent="0.2">
      <c r="A19019" s="21"/>
      <c r="B19019" s="21"/>
      <c r="C19019" s="8" t="s">
        <v>296</v>
      </c>
      <c r="D19019" s="1" t="str">
        <f>HYPERLINK("javascript:void(0)","ágyaskörtye")</f>
        <v>ágyaskörtye</v>
      </c>
    </row>
    <row r="19020" spans="1:4" ht="12.75" customHeight="1" x14ac:dyDescent="0.2">
      <c r="A19020" s="21"/>
      <c r="B19020" s="21"/>
      <c r="C19020" s="8" t="s">
        <v>3611</v>
      </c>
      <c r="D19020" s="1" t="str">
        <f>HYPERLINK("javascript:void(0)","akna")</f>
        <v>akna</v>
      </c>
    </row>
    <row r="19021" spans="1:4" ht="12.75" customHeight="1" x14ac:dyDescent="0.2">
      <c r="A19021" s="21"/>
      <c r="B19021" s="2"/>
      <c r="C19021" s="7"/>
      <c r="D19021" s="7"/>
    </row>
  </sheetData>
  <mergeCells count="10966">
    <mergeCell ref="A18499:D18499"/>
    <mergeCell ref="C18400:D18400"/>
    <mergeCell ref="C18401:D18401"/>
    <mergeCell ref="C18416:D18416"/>
    <mergeCell ref="C18417:D18417"/>
    <mergeCell ref="B18406:B18408"/>
    <mergeCell ref="A18414:D18414"/>
    <mergeCell ref="A18398:A18412"/>
    <mergeCell ref="A18397:D18397"/>
    <mergeCell ref="C18399:D18399"/>
    <mergeCell ref="C18030:D18030"/>
    <mergeCell ref="C18079:D18079"/>
    <mergeCell ref="C17995:D17995"/>
    <mergeCell ref="C17991:D17991"/>
    <mergeCell ref="C17992:D17992"/>
    <mergeCell ref="C17993:D17993"/>
    <mergeCell ref="C17994:D17994"/>
    <mergeCell ref="C18218:D18218"/>
    <mergeCell ref="C18212:D18212"/>
    <mergeCell ref="B18440:B18442"/>
    <mergeCell ref="A18448:D18448"/>
    <mergeCell ref="A18432:A18446"/>
    <mergeCell ref="C18437:D18437"/>
    <mergeCell ref="C18452:D18452"/>
    <mergeCell ref="C18453:D18453"/>
    <mergeCell ref="B18457:B18459"/>
    <mergeCell ref="A18465:D18465"/>
    <mergeCell ref="A18449:A18463"/>
    <mergeCell ref="C18467:D18467"/>
    <mergeCell ref="C18468:D18468"/>
    <mergeCell ref="B18372:B18374"/>
    <mergeCell ref="A18364:A18378"/>
    <mergeCell ref="C18369:D18369"/>
    <mergeCell ref="C18365:D18365"/>
    <mergeCell ref="C18366:D18366"/>
    <mergeCell ref="C18367:D18367"/>
    <mergeCell ref="C18368:D18368"/>
    <mergeCell ref="C18384:D18384"/>
    <mergeCell ref="A18380:D18380"/>
    <mergeCell ref="C18405:D18405"/>
    <mergeCell ref="C18403:D18403"/>
    <mergeCell ref="C18404:D18404"/>
    <mergeCell ref="C18385:D18385"/>
    <mergeCell ref="C18454:D18454"/>
    <mergeCell ref="C18455:D18455"/>
    <mergeCell ref="C18450:D18450"/>
    <mergeCell ref="C18451:D18451"/>
    <mergeCell ref="C18434:D18434"/>
    <mergeCell ref="C18456:D18456"/>
    <mergeCell ref="C18402:D18402"/>
    <mergeCell ref="C18418:D18418"/>
    <mergeCell ref="C18419:D18419"/>
    <mergeCell ref="B18423:B18425"/>
    <mergeCell ref="C18420:D18420"/>
    <mergeCell ref="C18421:D18421"/>
    <mergeCell ref="A18415:A18429"/>
    <mergeCell ref="C18388:D18388"/>
    <mergeCell ref="C18387:D18387"/>
    <mergeCell ref="A18381:A18395"/>
    <mergeCell ref="C18386:D18386"/>
    <mergeCell ref="B18389:B18391"/>
    <mergeCell ref="C18435:D18435"/>
    <mergeCell ref="C18436:D18436"/>
    <mergeCell ref="C18438:D18438"/>
    <mergeCell ref="C18439:D18439"/>
    <mergeCell ref="C18230:D18230"/>
    <mergeCell ref="C18231:D18231"/>
    <mergeCell ref="C18233:D18233"/>
    <mergeCell ref="C18232:D18232"/>
    <mergeCell ref="C18234:D18234"/>
    <mergeCell ref="C18302:D18302"/>
    <mergeCell ref="B18304:B18306"/>
    <mergeCell ref="C18303:D18303"/>
    <mergeCell ref="C18297:D18297"/>
    <mergeCell ref="A18295:D18295"/>
    <mergeCell ref="C18298:D18298"/>
    <mergeCell ref="C18299:D18299"/>
    <mergeCell ref="C18300:D18300"/>
    <mergeCell ref="C18301:D18301"/>
    <mergeCell ref="A18279:A18293"/>
    <mergeCell ref="A18296:A18310"/>
    <mergeCell ref="B18287:B18289"/>
    <mergeCell ref="B18219:B18221"/>
    <mergeCell ref="A18211:A18225"/>
    <mergeCell ref="A18194:A18208"/>
    <mergeCell ref="A18228:A18242"/>
    <mergeCell ref="C18246:D18246"/>
    <mergeCell ref="A18244:D18244"/>
    <mergeCell ref="C18247:D18247"/>
    <mergeCell ref="B18185:B18187"/>
    <mergeCell ref="A18193:D18193"/>
    <mergeCell ref="B18202:B18204"/>
    <mergeCell ref="A18210:D18210"/>
    <mergeCell ref="A18227:D18227"/>
    <mergeCell ref="B18236:B18238"/>
    <mergeCell ref="C18422:D18422"/>
    <mergeCell ref="C18433:D18433"/>
    <mergeCell ref="A18431:D18431"/>
    <mergeCell ref="C18269:D18269"/>
    <mergeCell ref="C18267:D18267"/>
    <mergeCell ref="A18278:D18278"/>
    <mergeCell ref="B18270:B18272"/>
    <mergeCell ref="A18261:D18261"/>
    <mergeCell ref="A18262:A18276"/>
    <mergeCell ref="C18252:D18252"/>
    <mergeCell ref="C18250:D18250"/>
    <mergeCell ref="C18251:D18251"/>
    <mergeCell ref="B18253:B18255"/>
    <mergeCell ref="A18245:A18259"/>
    <mergeCell ref="C18317:D18317"/>
    <mergeCell ref="C18320:D18320"/>
    <mergeCell ref="C18286:D18286"/>
    <mergeCell ref="B18338:B18340"/>
    <mergeCell ref="A18346:D18346"/>
    <mergeCell ref="C18349:D18349"/>
    <mergeCell ref="C18350:D18350"/>
    <mergeCell ref="C18351:D18351"/>
    <mergeCell ref="C18354:D18354"/>
    <mergeCell ref="C18352:D18352"/>
    <mergeCell ref="C18353:D18353"/>
    <mergeCell ref="C18314:D18314"/>
    <mergeCell ref="C18315:D18315"/>
    <mergeCell ref="C18316:D18316"/>
    <mergeCell ref="A18312:D18312"/>
    <mergeCell ref="A18313:A18327"/>
    <mergeCell ref="C18198:D18198"/>
    <mergeCell ref="C18200:D18200"/>
    <mergeCell ref="C18201:D18201"/>
    <mergeCell ref="C18248:D18248"/>
    <mergeCell ref="C18249:D18249"/>
    <mergeCell ref="C18216:D18216"/>
    <mergeCell ref="C18217:D18217"/>
    <mergeCell ref="C18214:D18214"/>
    <mergeCell ref="C18215:D18215"/>
    <mergeCell ref="C18213:D18213"/>
    <mergeCell ref="C18196:D18196"/>
    <mergeCell ref="C18197:D18197"/>
    <mergeCell ref="C18184:D18184"/>
    <mergeCell ref="C18182:D18182"/>
    <mergeCell ref="C18183:D18183"/>
    <mergeCell ref="C18166:D18166"/>
    <mergeCell ref="C18167:D18167"/>
    <mergeCell ref="C18199:D18199"/>
    <mergeCell ref="C18195:D18195"/>
    <mergeCell ref="C18285:D18285"/>
    <mergeCell ref="C18282:D18282"/>
    <mergeCell ref="C18283:D18283"/>
    <mergeCell ref="C18284:D18284"/>
    <mergeCell ref="C18280:D18280"/>
    <mergeCell ref="C18281:D18281"/>
    <mergeCell ref="C18268:D18268"/>
    <mergeCell ref="C18263:D18263"/>
    <mergeCell ref="C18264:D18264"/>
    <mergeCell ref="C18265:D18265"/>
    <mergeCell ref="C18266:D18266"/>
    <mergeCell ref="C18097:D18097"/>
    <mergeCell ref="C18096:D18096"/>
    <mergeCell ref="C18081:D18081"/>
    <mergeCell ref="C18095:D18095"/>
    <mergeCell ref="C18235:D18235"/>
    <mergeCell ref="C18229:D18229"/>
    <mergeCell ref="C18094:D18094"/>
    <mergeCell ref="C18110:D18110"/>
    <mergeCell ref="C18111:D18111"/>
    <mergeCell ref="C18082:D18082"/>
    <mergeCell ref="C18113:D18113"/>
    <mergeCell ref="C18116:D18116"/>
    <mergeCell ref="C18114:D18114"/>
    <mergeCell ref="C18115:D18115"/>
    <mergeCell ref="C18129:D18129"/>
    <mergeCell ref="C18130:D18130"/>
    <mergeCell ref="C18146:D18146"/>
    <mergeCell ref="C18144:D18144"/>
    <mergeCell ref="C18145:D18145"/>
    <mergeCell ref="C18147:D18147"/>
    <mergeCell ref="C18148:D18148"/>
    <mergeCell ref="C18132:D18132"/>
    <mergeCell ref="C18133:D18133"/>
    <mergeCell ref="C18131:D18131"/>
    <mergeCell ref="C18127:D18127"/>
    <mergeCell ref="C18128:D18128"/>
    <mergeCell ref="C18180:D18180"/>
    <mergeCell ref="C18181:D18181"/>
    <mergeCell ref="C18163:D18163"/>
    <mergeCell ref="C18165:D18165"/>
    <mergeCell ref="C18164:D18164"/>
    <mergeCell ref="C18150:D18150"/>
    <mergeCell ref="B18151:B18153"/>
    <mergeCell ref="A18159:D18159"/>
    <mergeCell ref="C18161:D18161"/>
    <mergeCell ref="C18162:D18162"/>
    <mergeCell ref="C18149:D18149"/>
    <mergeCell ref="B18168:B18170"/>
    <mergeCell ref="A18176:D18176"/>
    <mergeCell ref="A18143:A18157"/>
    <mergeCell ref="A18160:A18174"/>
    <mergeCell ref="A18177:A18191"/>
    <mergeCell ref="B18134:B18136"/>
    <mergeCell ref="A18126:A18140"/>
    <mergeCell ref="A18142:D18142"/>
    <mergeCell ref="A18024:A18038"/>
    <mergeCell ref="B18032:B18034"/>
    <mergeCell ref="A18057:D18057"/>
    <mergeCell ref="C18059:D18059"/>
    <mergeCell ref="C18012:D18012"/>
    <mergeCell ref="C18013:D18013"/>
    <mergeCell ref="C18014:D18014"/>
    <mergeCell ref="A18023:D18023"/>
    <mergeCell ref="B18083:B18085"/>
    <mergeCell ref="A18075:A18089"/>
    <mergeCell ref="C18112:D18112"/>
    <mergeCell ref="C18098:D18098"/>
    <mergeCell ref="C18099:D18099"/>
    <mergeCell ref="A18108:D18108"/>
    <mergeCell ref="A18092:A18106"/>
    <mergeCell ref="A18109:A18123"/>
    <mergeCell ref="A18125:D18125"/>
    <mergeCell ref="C18178:D18178"/>
    <mergeCell ref="C18179:D18179"/>
    <mergeCell ref="C18078:D18078"/>
    <mergeCell ref="C18076:D18076"/>
    <mergeCell ref="C18077:D18077"/>
    <mergeCell ref="B18100:B18102"/>
    <mergeCell ref="C18080:D18080"/>
    <mergeCell ref="B18117:B18119"/>
    <mergeCell ref="A17989:D17989"/>
    <mergeCell ref="A18006:D18006"/>
    <mergeCell ref="B17998:B18000"/>
    <mergeCell ref="C17996:D17996"/>
    <mergeCell ref="A17990:A18004"/>
    <mergeCell ref="C18065:D18065"/>
    <mergeCell ref="B18066:B18068"/>
    <mergeCell ref="A18074:D18074"/>
    <mergeCell ref="C18064:D18064"/>
    <mergeCell ref="B18049:B18051"/>
    <mergeCell ref="C18060:D18060"/>
    <mergeCell ref="B18015:B18017"/>
    <mergeCell ref="A18007:A18021"/>
    <mergeCell ref="A18041:A18055"/>
    <mergeCell ref="A18091:D18091"/>
    <mergeCell ref="C18093:D18093"/>
    <mergeCell ref="A18040:D18040"/>
    <mergeCell ref="A18058:A18072"/>
    <mergeCell ref="C18061:D18061"/>
    <mergeCell ref="C18029:D18029"/>
    <mergeCell ref="C18031:D18031"/>
    <mergeCell ref="C18027:D18027"/>
    <mergeCell ref="C18028:D18028"/>
    <mergeCell ref="C18042:D18042"/>
    <mergeCell ref="C18043:D18043"/>
    <mergeCell ref="C18044:D18044"/>
    <mergeCell ref="C18048:D18048"/>
    <mergeCell ref="C18047:D18047"/>
    <mergeCell ref="C18025:D18025"/>
    <mergeCell ref="C18026:D18026"/>
    <mergeCell ref="C18045:D18045"/>
    <mergeCell ref="C18046:D18046"/>
    <mergeCell ref="C18063:D18063"/>
    <mergeCell ref="C18062:D18062"/>
    <mergeCell ref="C18011:D18011"/>
    <mergeCell ref="C18010:D18010"/>
    <mergeCell ref="C18008:D18008"/>
    <mergeCell ref="C18009:D18009"/>
    <mergeCell ref="C17997:D17997"/>
    <mergeCell ref="C18962:D18962"/>
    <mergeCell ref="C18960:D18960"/>
    <mergeCell ref="C18961:D18961"/>
    <mergeCell ref="C18932:D18932"/>
    <mergeCell ref="C18947:D18947"/>
    <mergeCell ref="C18943:D18943"/>
    <mergeCell ref="C18944:D18944"/>
    <mergeCell ref="C18945:D18945"/>
    <mergeCell ref="C18946:D18946"/>
    <mergeCell ref="C18926:D18926"/>
    <mergeCell ref="C18927:D18927"/>
    <mergeCell ref="C18928:D18928"/>
    <mergeCell ref="C18929:D18929"/>
    <mergeCell ref="C18930:D18930"/>
    <mergeCell ref="C18931:D18931"/>
    <mergeCell ref="C18913:D18913"/>
    <mergeCell ref="C18914:D18914"/>
    <mergeCell ref="C18912:D18912"/>
    <mergeCell ref="C18963:D18963"/>
    <mergeCell ref="C18964:D18964"/>
    <mergeCell ref="C18966:D18966"/>
    <mergeCell ref="C18965:D18965"/>
    <mergeCell ref="C19011:D19011"/>
    <mergeCell ref="A19009:D19009"/>
    <mergeCell ref="C18998:D18998"/>
    <mergeCell ref="C18999:D18999"/>
    <mergeCell ref="A19010:A19021"/>
    <mergeCell ref="A18993:A19007"/>
    <mergeCell ref="C18995:D18995"/>
    <mergeCell ref="C18996:D18996"/>
    <mergeCell ref="B19018:B19020"/>
    <mergeCell ref="C19017:D19017"/>
    <mergeCell ref="C19016:D19016"/>
    <mergeCell ref="C19015:D19015"/>
    <mergeCell ref="C18978:D18978"/>
    <mergeCell ref="C18983:D18983"/>
    <mergeCell ref="C18979:D18979"/>
    <mergeCell ref="C18981:D18981"/>
    <mergeCell ref="C18982:D18982"/>
    <mergeCell ref="C18980:D18980"/>
    <mergeCell ref="C18997:D18997"/>
    <mergeCell ref="A18992:D18992"/>
    <mergeCell ref="C18994:D18994"/>
    <mergeCell ref="B18967:B18969"/>
    <mergeCell ref="A18975:D18975"/>
    <mergeCell ref="C18977:D18977"/>
    <mergeCell ref="C19012:D19012"/>
    <mergeCell ref="B19001:B19003"/>
    <mergeCell ref="C19000:D19000"/>
    <mergeCell ref="B18984:B18986"/>
    <mergeCell ref="A18976:A18990"/>
    <mergeCell ref="A18924:D18924"/>
    <mergeCell ref="C18915:D18915"/>
    <mergeCell ref="B18916:B18918"/>
    <mergeCell ref="A18908:A18922"/>
    <mergeCell ref="C18892:D18892"/>
    <mergeCell ref="C18893:D18893"/>
    <mergeCell ref="C18859:D18859"/>
    <mergeCell ref="C18881:D18881"/>
    <mergeCell ref="B18712:B18714"/>
    <mergeCell ref="A18772:A18786"/>
    <mergeCell ref="B18780:B18782"/>
    <mergeCell ref="C18470:D18470"/>
    <mergeCell ref="C18484:D18484"/>
    <mergeCell ref="C18473:D18473"/>
    <mergeCell ref="C18469:D18469"/>
    <mergeCell ref="A18483:A18497"/>
    <mergeCell ref="C18505:D18505"/>
    <mergeCell ref="C18501:D18501"/>
    <mergeCell ref="C18504:D18504"/>
    <mergeCell ref="C18507:D18507"/>
    <mergeCell ref="B18491:B18493"/>
    <mergeCell ref="C18506:D18506"/>
    <mergeCell ref="C18604:D18604"/>
    <mergeCell ref="C18605:D18605"/>
    <mergeCell ref="C18607:D18607"/>
    <mergeCell ref="C18606:D18606"/>
    <mergeCell ref="A18602:A18616"/>
    <mergeCell ref="A18619:A18633"/>
    <mergeCell ref="C18658:D18658"/>
    <mergeCell ref="C18659:D18659"/>
    <mergeCell ref="C18656:D18656"/>
    <mergeCell ref="C18654:D18654"/>
    <mergeCell ref="C18655:D18655"/>
    <mergeCell ref="C18620:D18620"/>
    <mergeCell ref="C18621:D18621"/>
    <mergeCell ref="C18622:D18622"/>
    <mergeCell ref="C18623:D18623"/>
    <mergeCell ref="B18627:B18629"/>
    <mergeCell ref="A18635:D18635"/>
    <mergeCell ref="C18637:D18637"/>
    <mergeCell ref="C18608:D18608"/>
    <mergeCell ref="C18603:D18603"/>
    <mergeCell ref="C18626:D18626"/>
    <mergeCell ref="C18624:D18624"/>
    <mergeCell ref="C18625:D18625"/>
    <mergeCell ref="C18609:D18609"/>
    <mergeCell ref="B18610:B18612"/>
    <mergeCell ref="C18471:D18471"/>
    <mergeCell ref="C18472:D18472"/>
    <mergeCell ref="C18518:D18518"/>
    <mergeCell ref="C18519:D18519"/>
    <mergeCell ref="B18508:B18510"/>
    <mergeCell ref="A18500:A18514"/>
    <mergeCell ref="C18485:D18485"/>
    <mergeCell ref="C18486:D18486"/>
    <mergeCell ref="C18487:D18487"/>
    <mergeCell ref="C18490:D18490"/>
    <mergeCell ref="C18488:D18488"/>
    <mergeCell ref="C18489:D18489"/>
    <mergeCell ref="A18466:A18480"/>
    <mergeCell ref="B18474:B18476"/>
    <mergeCell ref="B18661:B18663"/>
    <mergeCell ref="A18653:A18667"/>
    <mergeCell ref="C18590:D18590"/>
    <mergeCell ref="C18591:D18591"/>
    <mergeCell ref="C18502:D18502"/>
    <mergeCell ref="C18503:D18503"/>
    <mergeCell ref="A18482:D18482"/>
    <mergeCell ref="C18860:D18860"/>
    <mergeCell ref="C18861:D18861"/>
    <mergeCell ref="A18856:D18856"/>
    <mergeCell ref="A18840:A18854"/>
    <mergeCell ref="A18857:A18871"/>
    <mergeCell ref="C18724:D18724"/>
    <mergeCell ref="C18725:D18725"/>
    <mergeCell ref="C18741:D18741"/>
    <mergeCell ref="C18743:D18743"/>
    <mergeCell ref="C18742:D18742"/>
    <mergeCell ref="C18740:D18740"/>
    <mergeCell ref="A18737:D18737"/>
    <mergeCell ref="C18739:D18739"/>
    <mergeCell ref="C18728:D18728"/>
    <mergeCell ref="B18729:B18731"/>
    <mergeCell ref="A18721:A18735"/>
    <mergeCell ref="A18738:A18752"/>
    <mergeCell ref="C18726:D18726"/>
    <mergeCell ref="C18727:D18727"/>
    <mergeCell ref="C18723:D18723"/>
    <mergeCell ref="C18858:D18858"/>
    <mergeCell ref="C18830:D18830"/>
    <mergeCell ref="C18773:D18773"/>
    <mergeCell ref="C18774:D18774"/>
    <mergeCell ref="C18826:D18826"/>
    <mergeCell ref="C18811:D18811"/>
    <mergeCell ref="C18812:D18812"/>
    <mergeCell ref="C18760:D18760"/>
    <mergeCell ref="C18761:D18761"/>
    <mergeCell ref="C18758:D18758"/>
    <mergeCell ref="C18756:D18756"/>
    <mergeCell ref="C18757:D18757"/>
    <mergeCell ref="C18862:D18862"/>
    <mergeCell ref="C18863:D18863"/>
    <mergeCell ref="B18797:B18799"/>
    <mergeCell ref="A18805:D18805"/>
    <mergeCell ref="C18775:D18775"/>
    <mergeCell ref="C18777:D18777"/>
    <mergeCell ref="C18776:D18776"/>
    <mergeCell ref="A18789:A18803"/>
    <mergeCell ref="C18790:D18790"/>
    <mergeCell ref="C18791:D18791"/>
    <mergeCell ref="A18788:D18788"/>
    <mergeCell ref="C18552:D18552"/>
    <mergeCell ref="C18553:D18553"/>
    <mergeCell ref="C18554:D18554"/>
    <mergeCell ref="C18555:D18555"/>
    <mergeCell ref="C18558:D18558"/>
    <mergeCell ref="B18559:B18561"/>
    <mergeCell ref="C18521:D18521"/>
    <mergeCell ref="C18520:D18520"/>
    <mergeCell ref="C18657:D18657"/>
    <mergeCell ref="C18660:D18660"/>
    <mergeCell ref="A18669:D18669"/>
    <mergeCell ref="C18671:D18671"/>
    <mergeCell ref="A18551:A18565"/>
    <mergeCell ref="A18652:D18652"/>
    <mergeCell ref="A18636:A18650"/>
    <mergeCell ref="C18539:D18539"/>
    <mergeCell ref="C18540:D18540"/>
    <mergeCell ref="C18538:D18538"/>
    <mergeCell ref="C18556:D18556"/>
    <mergeCell ref="C18541:D18541"/>
    <mergeCell ref="C18557:D18557"/>
    <mergeCell ref="A18534:A18548"/>
    <mergeCell ref="B18542:B18544"/>
    <mergeCell ref="C18573:D18573"/>
    <mergeCell ref="A18567:D18567"/>
    <mergeCell ref="C18569:D18569"/>
    <mergeCell ref="C18570:D18570"/>
    <mergeCell ref="C18571:D18571"/>
    <mergeCell ref="C18572:D18572"/>
    <mergeCell ref="C18589:D18589"/>
    <mergeCell ref="A18584:D18584"/>
    <mergeCell ref="A18585:A18599"/>
    <mergeCell ref="A18568:A18582"/>
    <mergeCell ref="C18641:D18641"/>
    <mergeCell ref="B18644:B18646"/>
    <mergeCell ref="C18642:D18642"/>
    <mergeCell ref="C18706:D18706"/>
    <mergeCell ref="C18707:D18707"/>
    <mergeCell ref="C18708:D18708"/>
    <mergeCell ref="C18709:D18709"/>
    <mergeCell ref="C18676:D18676"/>
    <mergeCell ref="C18688:D18688"/>
    <mergeCell ref="C18677:D18677"/>
    <mergeCell ref="C18689:D18689"/>
    <mergeCell ref="C18690:D18690"/>
    <mergeCell ref="C18691:D18691"/>
    <mergeCell ref="C18694:D18694"/>
    <mergeCell ref="C18692:D18692"/>
    <mergeCell ref="C18693:D18693"/>
    <mergeCell ref="C18672:D18672"/>
    <mergeCell ref="C18673:D18673"/>
    <mergeCell ref="C18675:D18675"/>
    <mergeCell ref="C18674:D18674"/>
    <mergeCell ref="C18575:D18575"/>
    <mergeCell ref="C18638:D18638"/>
    <mergeCell ref="C18639:D18639"/>
    <mergeCell ref="C18640:D18640"/>
    <mergeCell ref="C18643:D18643"/>
    <mergeCell ref="C18710:D18710"/>
    <mergeCell ref="C18705:D18705"/>
    <mergeCell ref="A18771:D18771"/>
    <mergeCell ref="B18865:B18867"/>
    <mergeCell ref="C18896:D18896"/>
    <mergeCell ref="C18897:D18897"/>
    <mergeCell ref="C18828:D18828"/>
    <mergeCell ref="C18829:D18829"/>
    <mergeCell ref="C18809:D18809"/>
    <mergeCell ref="C18810:D18810"/>
    <mergeCell ref="C18827:D18827"/>
    <mergeCell ref="C18824:D18824"/>
    <mergeCell ref="C18825:D18825"/>
    <mergeCell ref="B18814:B18816"/>
    <mergeCell ref="C18807:D18807"/>
    <mergeCell ref="C18808:D18808"/>
    <mergeCell ref="C18813:D18813"/>
    <mergeCell ref="C18877:D18877"/>
    <mergeCell ref="C18878:D18878"/>
    <mergeCell ref="B18831:B18833"/>
    <mergeCell ref="A18822:D18822"/>
    <mergeCell ref="C18846:D18846"/>
    <mergeCell ref="C18847:D18847"/>
    <mergeCell ref="A18806:A18820"/>
    <mergeCell ref="A18839:D18839"/>
    <mergeCell ref="C18841:D18841"/>
    <mergeCell ref="C18842:D18842"/>
    <mergeCell ref="C18843:D18843"/>
    <mergeCell ref="A18823:A18837"/>
    <mergeCell ref="A18891:A18905"/>
    <mergeCell ref="C18876:D18876"/>
    <mergeCell ref="A18890:D18890"/>
    <mergeCell ref="C18795:D18795"/>
    <mergeCell ref="C18778:D18778"/>
    <mergeCell ref="C18779:D18779"/>
    <mergeCell ref="C18864:D18864"/>
    <mergeCell ref="A18618:D18618"/>
    <mergeCell ref="C18592:D18592"/>
    <mergeCell ref="C18588:D18588"/>
    <mergeCell ref="C18586:D18586"/>
    <mergeCell ref="C18587:D18587"/>
    <mergeCell ref="A18755:A18769"/>
    <mergeCell ref="A18907:D18907"/>
    <mergeCell ref="C18909:D18909"/>
    <mergeCell ref="C18910:D18910"/>
    <mergeCell ref="C18911:D18911"/>
    <mergeCell ref="C18524:D18524"/>
    <mergeCell ref="B18525:B18527"/>
    <mergeCell ref="A18533:D18533"/>
    <mergeCell ref="C18535:D18535"/>
    <mergeCell ref="A18517:A18531"/>
    <mergeCell ref="C18522:D18522"/>
    <mergeCell ref="C18523:D18523"/>
    <mergeCell ref="A18516:D18516"/>
    <mergeCell ref="C19013:D19013"/>
    <mergeCell ref="C19014:D19014"/>
    <mergeCell ref="A18942:A18956"/>
    <mergeCell ref="A18925:A18939"/>
    <mergeCell ref="B18933:B18935"/>
    <mergeCell ref="A18941:D18941"/>
    <mergeCell ref="B18950:B18952"/>
    <mergeCell ref="A18958:D18958"/>
    <mergeCell ref="C18948:D18948"/>
    <mergeCell ref="C18949:D18949"/>
    <mergeCell ref="A18959:A18973"/>
    <mergeCell ref="C18536:D18536"/>
    <mergeCell ref="C18537:D18537"/>
    <mergeCell ref="B18593:B18595"/>
    <mergeCell ref="A18601:D18601"/>
    <mergeCell ref="A18550:D18550"/>
    <mergeCell ref="B18576:B18578"/>
    <mergeCell ref="C18574:D18574"/>
    <mergeCell ref="C18711:D18711"/>
    <mergeCell ref="A18670:A18684"/>
    <mergeCell ref="A18687:A18701"/>
    <mergeCell ref="A18704:A18718"/>
    <mergeCell ref="B18695:B18697"/>
    <mergeCell ref="B18678:B18680"/>
    <mergeCell ref="A18686:D18686"/>
    <mergeCell ref="A18703:D18703"/>
    <mergeCell ref="C18880:D18880"/>
    <mergeCell ref="C18894:D18894"/>
    <mergeCell ref="C18895:D18895"/>
    <mergeCell ref="C18898:D18898"/>
    <mergeCell ref="B18899:B18901"/>
    <mergeCell ref="C18875:D18875"/>
    <mergeCell ref="A18873:D18873"/>
    <mergeCell ref="A18874:A18888"/>
    <mergeCell ref="C18879:D18879"/>
    <mergeCell ref="B18882:B18884"/>
    <mergeCell ref="C18845:D18845"/>
    <mergeCell ref="C18844:D18844"/>
    <mergeCell ref="B18848:B18850"/>
    <mergeCell ref="C18722:D18722"/>
    <mergeCell ref="A18720:D18720"/>
    <mergeCell ref="C18759:D18759"/>
    <mergeCell ref="A18754:D18754"/>
    <mergeCell ref="C18744:D18744"/>
    <mergeCell ref="B18746:B18748"/>
    <mergeCell ref="C18745:D18745"/>
    <mergeCell ref="C18762:D18762"/>
    <mergeCell ref="B18763:B18765"/>
    <mergeCell ref="C18792:D18792"/>
    <mergeCell ref="C18793:D18793"/>
    <mergeCell ref="C18796:D18796"/>
    <mergeCell ref="C18794:D18794"/>
    <mergeCell ref="A18330:A18344"/>
    <mergeCell ref="A18347:A18361"/>
    <mergeCell ref="B18355:B18357"/>
    <mergeCell ref="B18321:B18323"/>
    <mergeCell ref="A18329:D18329"/>
    <mergeCell ref="C18331:D18331"/>
    <mergeCell ref="C18332:D18332"/>
    <mergeCell ref="C18318:D18318"/>
    <mergeCell ref="C18319:D18319"/>
    <mergeCell ref="C18333:D18333"/>
    <mergeCell ref="C18335:D18335"/>
    <mergeCell ref="C18334:D18334"/>
    <mergeCell ref="C18370:D18370"/>
    <mergeCell ref="C18371:D18371"/>
    <mergeCell ref="A18363:D18363"/>
    <mergeCell ref="C18383:D18383"/>
    <mergeCell ref="C18382:D18382"/>
    <mergeCell ref="C18336:D18336"/>
    <mergeCell ref="C18348:D18348"/>
    <mergeCell ref="C18337:D18337"/>
    <mergeCell ref="B11861:B11863"/>
    <mergeCell ref="A11869:D11869"/>
    <mergeCell ref="A11819:A11833"/>
    <mergeCell ref="A11836:A11850"/>
    <mergeCell ref="A11853:A11867"/>
    <mergeCell ref="B11878:B11880"/>
    <mergeCell ref="A11886:D11886"/>
    <mergeCell ref="B11844:B11846"/>
    <mergeCell ref="A11852:D11852"/>
    <mergeCell ref="A12142:A12156"/>
    <mergeCell ref="A12159:A12173"/>
    <mergeCell ref="B12167:B12169"/>
    <mergeCell ref="B12150:B12152"/>
    <mergeCell ref="B12184:B12186"/>
    <mergeCell ref="A12176:A12190"/>
    <mergeCell ref="B12201:B12203"/>
    <mergeCell ref="A12158:D12158"/>
    <mergeCell ref="A12175:D12175"/>
    <mergeCell ref="B12133:B12135"/>
    <mergeCell ref="A12141:D12141"/>
    <mergeCell ref="A11937:D11937"/>
    <mergeCell ref="A11920:D11920"/>
    <mergeCell ref="B11929:B11931"/>
    <mergeCell ref="B11912:B11914"/>
    <mergeCell ref="B11963:B11965"/>
    <mergeCell ref="B11980:B11982"/>
    <mergeCell ref="A12023:A12037"/>
    <mergeCell ref="A12006:A12020"/>
    <mergeCell ref="B12048:B12050"/>
    <mergeCell ref="A12040:A12054"/>
    <mergeCell ref="B11946:B11948"/>
    <mergeCell ref="B12014:B12016"/>
    <mergeCell ref="B11997:B11999"/>
    <mergeCell ref="A12125:A12139"/>
    <mergeCell ref="A12108:A12122"/>
    <mergeCell ref="A12074:A12088"/>
    <mergeCell ref="A12073:D12073"/>
    <mergeCell ref="B12082:B12084"/>
    <mergeCell ref="A12091:A12105"/>
    <mergeCell ref="B12099:B12101"/>
    <mergeCell ref="A12124:D12124"/>
    <mergeCell ref="B12116:B12118"/>
    <mergeCell ref="A12056:D12056"/>
    <mergeCell ref="A12039:D12039"/>
    <mergeCell ref="A11326:A11340"/>
    <mergeCell ref="A11343:A11357"/>
    <mergeCell ref="B11351:B11353"/>
    <mergeCell ref="B11334:B11336"/>
    <mergeCell ref="A11342:D11342"/>
    <mergeCell ref="A11359:D11359"/>
    <mergeCell ref="B11368:B11370"/>
    <mergeCell ref="A11376:D11376"/>
    <mergeCell ref="A11360:A11374"/>
    <mergeCell ref="B11453:B11455"/>
    <mergeCell ref="B11436:B11438"/>
    <mergeCell ref="B11385:B11387"/>
    <mergeCell ref="A11393:D11393"/>
    <mergeCell ref="A11377:A11391"/>
    <mergeCell ref="A11394:A11408"/>
    <mergeCell ref="A11461:D11461"/>
    <mergeCell ref="A11445:A11459"/>
    <mergeCell ref="B11402:B11404"/>
    <mergeCell ref="A11444:D11444"/>
    <mergeCell ref="B11742:B11744"/>
    <mergeCell ref="A11734:A11748"/>
    <mergeCell ref="A11802:A11816"/>
    <mergeCell ref="A11801:D11801"/>
    <mergeCell ref="B11759:B11761"/>
    <mergeCell ref="A11767:D11767"/>
    <mergeCell ref="A11411:A11425"/>
    <mergeCell ref="B11419:B11421"/>
    <mergeCell ref="B11589:B11591"/>
    <mergeCell ref="A11597:D11597"/>
    <mergeCell ref="A11581:A11595"/>
    <mergeCell ref="A11785:A11799"/>
    <mergeCell ref="A11784:D11784"/>
    <mergeCell ref="A11750:D11750"/>
    <mergeCell ref="C11739:D11739"/>
    <mergeCell ref="C11740:D11740"/>
    <mergeCell ref="A11717:A11731"/>
    <mergeCell ref="B11725:B11727"/>
    <mergeCell ref="A11733:D11733"/>
    <mergeCell ref="B11793:B11795"/>
    <mergeCell ref="C11775:D11775"/>
    <mergeCell ref="C11498:D11498"/>
    <mergeCell ref="A11512:D11512"/>
    <mergeCell ref="A11513:A11527"/>
    <mergeCell ref="A11496:A11510"/>
    <mergeCell ref="B11521:B11523"/>
    <mergeCell ref="A11529:D11529"/>
    <mergeCell ref="B11504:B11506"/>
    <mergeCell ref="A11648:D11648"/>
    <mergeCell ref="B11640:B11642"/>
    <mergeCell ref="A11631:D11631"/>
    <mergeCell ref="C11466:D11466"/>
    <mergeCell ref="C11484:D11484"/>
    <mergeCell ref="C11480:D11480"/>
    <mergeCell ref="C11481:D11481"/>
    <mergeCell ref="C11482:D11482"/>
    <mergeCell ref="C11483:D11483"/>
    <mergeCell ref="C11500:D11500"/>
    <mergeCell ref="C11517:D11517"/>
    <mergeCell ref="C11502:D11502"/>
    <mergeCell ref="C11503:D11503"/>
    <mergeCell ref="C11516:D11516"/>
    <mergeCell ref="C11514:D11514"/>
    <mergeCell ref="C11349:D11349"/>
    <mergeCell ref="C11361:D11361"/>
    <mergeCell ref="A11207:A11221"/>
    <mergeCell ref="B11215:B11217"/>
    <mergeCell ref="C11230:D11230"/>
    <mergeCell ref="C11231:D11231"/>
    <mergeCell ref="C11196:D11196"/>
    <mergeCell ref="C11191:D11191"/>
    <mergeCell ref="A11122:A11136"/>
    <mergeCell ref="A11156:A11170"/>
    <mergeCell ref="B11147:B11149"/>
    <mergeCell ref="C11140:D11140"/>
    <mergeCell ref="B11113:B11115"/>
    <mergeCell ref="A11121:D11121"/>
    <mergeCell ref="B11130:B11132"/>
    <mergeCell ref="A11138:D11138"/>
    <mergeCell ref="A11155:D11155"/>
    <mergeCell ref="A11139:A11153"/>
    <mergeCell ref="A11309:A11323"/>
    <mergeCell ref="A11308:D11308"/>
    <mergeCell ref="B11317:B11319"/>
    <mergeCell ref="B11300:B11302"/>
    <mergeCell ref="A11292:A11306"/>
    <mergeCell ref="A11291:D11291"/>
    <mergeCell ref="A11325:D11325"/>
    <mergeCell ref="B11266:B11268"/>
    <mergeCell ref="A11274:D11274"/>
    <mergeCell ref="C11157:D11157"/>
    <mergeCell ref="C11158:D11158"/>
    <mergeCell ref="A11241:A11255"/>
    <mergeCell ref="A11258:A11272"/>
    <mergeCell ref="A11275:A11289"/>
    <mergeCell ref="B11249:B11251"/>
    <mergeCell ref="A11257:D11257"/>
    <mergeCell ref="B11283:B11285"/>
    <mergeCell ref="C11144:D11144"/>
    <mergeCell ref="C11145:D11145"/>
    <mergeCell ref="C11242:D11242"/>
    <mergeCell ref="A11240:D11240"/>
    <mergeCell ref="A11206:D11206"/>
    <mergeCell ref="A11223:D11223"/>
    <mergeCell ref="A11189:D11189"/>
    <mergeCell ref="C11229:D11229"/>
    <mergeCell ref="A11224:A11238"/>
    <mergeCell ref="B11232:B11234"/>
    <mergeCell ref="C11243:D11243"/>
    <mergeCell ref="C11244:D11244"/>
    <mergeCell ref="C11245:D11245"/>
    <mergeCell ref="A11088:A11102"/>
    <mergeCell ref="A11105:A11119"/>
    <mergeCell ref="C11159:D11159"/>
    <mergeCell ref="C11161:D11161"/>
    <mergeCell ref="C11160:D11160"/>
    <mergeCell ref="C11075:D11075"/>
    <mergeCell ref="C11076:D11076"/>
    <mergeCell ref="B11096:B11098"/>
    <mergeCell ref="A11104:D11104"/>
    <mergeCell ref="B10943:B10945"/>
    <mergeCell ref="A10935:A10949"/>
    <mergeCell ref="C10920:D10920"/>
    <mergeCell ref="C10921:D10921"/>
    <mergeCell ref="C10923:D10923"/>
    <mergeCell ref="C10925:D10925"/>
    <mergeCell ref="C10942:D10942"/>
    <mergeCell ref="A10951:D10951"/>
    <mergeCell ref="C10922:D10922"/>
    <mergeCell ref="C11197:D11197"/>
    <mergeCell ref="C11195:D11195"/>
    <mergeCell ref="C11073:D11073"/>
    <mergeCell ref="C11078:D11078"/>
    <mergeCell ref="C11089:D11089"/>
    <mergeCell ref="C11090:D11090"/>
    <mergeCell ref="C11077:D11077"/>
    <mergeCell ref="C11213:D11213"/>
    <mergeCell ref="C11214:D11214"/>
    <mergeCell ref="C10806:D10806"/>
    <mergeCell ref="C10817:D10817"/>
    <mergeCell ref="C10818:D10818"/>
    <mergeCell ref="C11060:D11060"/>
    <mergeCell ref="B10739:B10741"/>
    <mergeCell ref="B10722:B10724"/>
    <mergeCell ref="C11044:D11044"/>
    <mergeCell ref="C10802:D10802"/>
    <mergeCell ref="C10800:D10800"/>
    <mergeCell ref="C10801:D10801"/>
    <mergeCell ref="B11062:B11064"/>
    <mergeCell ref="B11079:B11081"/>
    <mergeCell ref="A11087:D11087"/>
    <mergeCell ref="A11070:D11070"/>
    <mergeCell ref="A11071:A11085"/>
    <mergeCell ref="A11003:A11017"/>
    <mergeCell ref="A11020:A11034"/>
    <mergeCell ref="A11037:A11051"/>
    <mergeCell ref="A11054:A11068"/>
    <mergeCell ref="C10834:D10834"/>
    <mergeCell ref="A10815:D10815"/>
    <mergeCell ref="A10799:A10813"/>
    <mergeCell ref="A10798:D10798"/>
    <mergeCell ref="A10833:A10847"/>
    <mergeCell ref="A10832:D10832"/>
    <mergeCell ref="C11208:D11208"/>
    <mergeCell ref="C11209:D11209"/>
    <mergeCell ref="B11198:B11200"/>
    <mergeCell ref="B11181:B11183"/>
    <mergeCell ref="A11173:A11187"/>
    <mergeCell ref="A11190:A11204"/>
    <mergeCell ref="B11164:B11166"/>
    <mergeCell ref="A11172:D11172"/>
    <mergeCell ref="C11163:D11163"/>
    <mergeCell ref="C10805:D10805"/>
    <mergeCell ref="B10926:B10928"/>
    <mergeCell ref="A10918:A10932"/>
    <mergeCell ref="A10969:A10983"/>
    <mergeCell ref="A11019:D11019"/>
    <mergeCell ref="A10985:D10985"/>
    <mergeCell ref="A10986:A11000"/>
    <mergeCell ref="A11036:D11036"/>
    <mergeCell ref="A11053:D11053"/>
    <mergeCell ref="B10841:B10843"/>
    <mergeCell ref="A10849:D10849"/>
    <mergeCell ref="C10835:D10835"/>
    <mergeCell ref="A10884:A10898"/>
    <mergeCell ref="A10866:D10866"/>
    <mergeCell ref="B10892:B10894"/>
    <mergeCell ref="A10900:D10900"/>
    <mergeCell ref="A10934:D10934"/>
    <mergeCell ref="A10917:D10917"/>
    <mergeCell ref="C10750:D10750"/>
    <mergeCell ref="C10751:D10751"/>
    <mergeCell ref="C10752:D10752"/>
    <mergeCell ref="C10803:D10803"/>
    <mergeCell ref="C10804:D10804"/>
    <mergeCell ref="C10868:D10868"/>
    <mergeCell ref="C10869:D10869"/>
    <mergeCell ref="A10952:A10966"/>
    <mergeCell ref="B10960:B10962"/>
    <mergeCell ref="B10977:B10979"/>
    <mergeCell ref="A10968:D10968"/>
    <mergeCell ref="B10994:B10996"/>
    <mergeCell ref="A11002:D11002"/>
    <mergeCell ref="B11011:B11013"/>
    <mergeCell ref="B11045:B11047"/>
    <mergeCell ref="B11028:B11030"/>
    <mergeCell ref="B10756:B10758"/>
    <mergeCell ref="C10568:D10568"/>
    <mergeCell ref="C10989:D10989"/>
    <mergeCell ref="C10953:D10953"/>
    <mergeCell ref="C10954:D10954"/>
    <mergeCell ref="C10955:D10955"/>
    <mergeCell ref="C10957:D10957"/>
    <mergeCell ref="C10956:D10956"/>
    <mergeCell ref="C10958:D10958"/>
    <mergeCell ref="C10959:D10959"/>
    <mergeCell ref="C11042:D11042"/>
    <mergeCell ref="C11043:D11043"/>
    <mergeCell ref="C11026:D11026"/>
    <mergeCell ref="C11027:D11027"/>
    <mergeCell ref="C11022:D11022"/>
    <mergeCell ref="C11023:D11023"/>
    <mergeCell ref="C11025:D11025"/>
    <mergeCell ref="C11024:D11024"/>
    <mergeCell ref="C11038:D11038"/>
    <mergeCell ref="C11039:D11039"/>
    <mergeCell ref="C11010:D11010"/>
    <mergeCell ref="C11021:D11021"/>
    <mergeCell ref="C11008:D11008"/>
    <mergeCell ref="C11009:D11009"/>
    <mergeCell ref="C11040:D11040"/>
    <mergeCell ref="C11041:D11041"/>
    <mergeCell ref="C10704:D10704"/>
    <mergeCell ref="C10784:D10784"/>
    <mergeCell ref="C10785:D10785"/>
    <mergeCell ref="C10786:D10786"/>
    <mergeCell ref="C10789:D10789"/>
    <mergeCell ref="C10732:D10732"/>
    <mergeCell ref="A10730:D10730"/>
    <mergeCell ref="C10549:D10549"/>
    <mergeCell ref="C10551:D10551"/>
    <mergeCell ref="C10511:D10511"/>
    <mergeCell ref="C10512:D10512"/>
    <mergeCell ref="C10513:D10513"/>
    <mergeCell ref="C10515:D10515"/>
    <mergeCell ref="C10516:D10516"/>
    <mergeCell ref="C10514:D10514"/>
    <mergeCell ref="C10564:D10564"/>
    <mergeCell ref="C10562:D10562"/>
    <mergeCell ref="C10517:D10517"/>
    <mergeCell ref="C10447:D10447"/>
    <mergeCell ref="C10446:D10446"/>
    <mergeCell ref="A10408:A10422"/>
    <mergeCell ref="A10527:A10541"/>
    <mergeCell ref="A10578:A10592"/>
    <mergeCell ref="A10595:A10609"/>
    <mergeCell ref="B10603:B10605"/>
    <mergeCell ref="B10586:B10588"/>
    <mergeCell ref="C10601:D10601"/>
    <mergeCell ref="C10528:D10528"/>
    <mergeCell ref="B10552:B10554"/>
    <mergeCell ref="A10560:D10560"/>
    <mergeCell ref="C10545:D10545"/>
    <mergeCell ref="C10546:D10546"/>
    <mergeCell ref="B10569:B10571"/>
    <mergeCell ref="A10577:D10577"/>
    <mergeCell ref="A10561:A10575"/>
    <mergeCell ref="B10535:B10537"/>
    <mergeCell ref="A10543:D10543"/>
    <mergeCell ref="A10544:A10558"/>
    <mergeCell ref="C10580:D10580"/>
    <mergeCell ref="C10581:D10581"/>
    <mergeCell ref="C10534:D10534"/>
    <mergeCell ref="C10547:D10547"/>
    <mergeCell ref="C10548:D10548"/>
    <mergeCell ref="C10566:D10566"/>
    <mergeCell ref="C10567:D10567"/>
    <mergeCell ref="C10550:D10550"/>
    <mergeCell ref="C10579:D10579"/>
    <mergeCell ref="C10412:D10412"/>
    <mergeCell ref="C10448:D10448"/>
    <mergeCell ref="C10449:D10449"/>
    <mergeCell ref="C10462:D10462"/>
    <mergeCell ref="C11112:D11112"/>
    <mergeCell ref="C11110:D11110"/>
    <mergeCell ref="C11111:D11111"/>
    <mergeCell ref="C11094:D11094"/>
    <mergeCell ref="C11095:D11095"/>
    <mergeCell ref="C11127:D11127"/>
    <mergeCell ref="C11123:D11123"/>
    <mergeCell ref="C11124:D11124"/>
    <mergeCell ref="C11125:D11125"/>
    <mergeCell ref="C11126:D11126"/>
    <mergeCell ref="C11091:D11091"/>
    <mergeCell ref="C11093:D11093"/>
    <mergeCell ref="C11092:D11092"/>
    <mergeCell ref="C11142:D11142"/>
    <mergeCell ref="C11143:D11143"/>
    <mergeCell ref="C11074:D11074"/>
    <mergeCell ref="C11072:D11072"/>
    <mergeCell ref="C10991:D10991"/>
    <mergeCell ref="C11007:D11007"/>
    <mergeCell ref="C10993:D10993"/>
    <mergeCell ref="C11006:D11006"/>
    <mergeCell ref="C11004:D11004"/>
    <mergeCell ref="C11005:D11005"/>
    <mergeCell ref="C10992:D10992"/>
    <mergeCell ref="C11141:D11141"/>
    <mergeCell ref="C11128:D11128"/>
    <mergeCell ref="C11129:D11129"/>
    <mergeCell ref="C11106:D11106"/>
    <mergeCell ref="C10432:D10432"/>
    <mergeCell ref="B10433:B10435"/>
    <mergeCell ref="C10443:D10443"/>
    <mergeCell ref="C10444:D10444"/>
    <mergeCell ref="C10410:D10410"/>
    <mergeCell ref="C10463:D10463"/>
    <mergeCell ref="C10466:D10466"/>
    <mergeCell ref="B10467:B10469"/>
    <mergeCell ref="C10464:D10464"/>
    <mergeCell ref="C10465:D10465"/>
    <mergeCell ref="B10450:B10452"/>
    <mergeCell ref="C10445:D10445"/>
    <mergeCell ref="C10664:D10664"/>
    <mergeCell ref="C10653:D10653"/>
    <mergeCell ref="C10617:D10617"/>
    <mergeCell ref="C10616:D10616"/>
    <mergeCell ref="C10633:D10633"/>
    <mergeCell ref="C10636:D10636"/>
    <mergeCell ref="C10634:D10634"/>
    <mergeCell ref="C10635:D10635"/>
    <mergeCell ref="B10637:B10639"/>
    <mergeCell ref="A10645:D10645"/>
    <mergeCell ref="A10628:D10628"/>
    <mergeCell ref="C10632:D10632"/>
    <mergeCell ref="C10630:D10630"/>
    <mergeCell ref="C10631:D10631"/>
    <mergeCell ref="C10613:D10613"/>
    <mergeCell ref="B10620:B10622"/>
    <mergeCell ref="C10614:D10614"/>
    <mergeCell ref="C10615:D10615"/>
    <mergeCell ref="B10654:B10656"/>
    <mergeCell ref="C10647:D10647"/>
    <mergeCell ref="C10619:D10619"/>
    <mergeCell ref="A10612:A10626"/>
    <mergeCell ref="A10629:A10643"/>
    <mergeCell ref="C10565:D10565"/>
    <mergeCell ref="C11061:D11061"/>
    <mergeCell ref="C11059:D11059"/>
    <mergeCell ref="C11055:D11055"/>
    <mergeCell ref="C11056:D11056"/>
    <mergeCell ref="C11057:D11057"/>
    <mergeCell ref="C11058:D11058"/>
    <mergeCell ref="C11107:D11107"/>
    <mergeCell ref="C11108:D11108"/>
    <mergeCell ref="C11109:D11109"/>
    <mergeCell ref="C10681:D10681"/>
    <mergeCell ref="C10682:D10682"/>
    <mergeCell ref="C10787:D10787"/>
    <mergeCell ref="C10788:D10788"/>
    <mergeCell ref="C10783:D10783"/>
    <mergeCell ref="C10718:D10718"/>
    <mergeCell ref="C10703:D10703"/>
    <mergeCell ref="C10885:D10885"/>
    <mergeCell ref="C10886:D10886"/>
    <mergeCell ref="C10887:D10887"/>
    <mergeCell ref="C10889:D10889"/>
    <mergeCell ref="C10939:D10939"/>
    <mergeCell ref="C10940:D10940"/>
    <mergeCell ref="C10941:D10941"/>
    <mergeCell ref="C10938:D10938"/>
    <mergeCell ref="C10836:D10836"/>
    <mergeCell ref="C10837:D10837"/>
    <mergeCell ref="C10840:D10840"/>
    <mergeCell ref="C10838:D10838"/>
    <mergeCell ref="C10839:D10839"/>
    <mergeCell ref="C10822:D10822"/>
    <mergeCell ref="C10823:D10823"/>
    <mergeCell ref="C10855:D10855"/>
    <mergeCell ref="C10851:D10851"/>
    <mergeCell ref="C10852:D10852"/>
    <mergeCell ref="C10853:D10853"/>
    <mergeCell ref="C10854:D10854"/>
    <mergeCell ref="C10819:D10819"/>
    <mergeCell ref="C10821:D10821"/>
    <mergeCell ref="C10820:D10820"/>
    <mergeCell ref="C10870:D10870"/>
    <mergeCell ref="C10871:D10871"/>
    <mergeCell ref="C10874:D10874"/>
    <mergeCell ref="C10856:D10856"/>
    <mergeCell ref="C10872:D10872"/>
    <mergeCell ref="C10873:D10873"/>
    <mergeCell ref="C10902:D10902"/>
    <mergeCell ref="C10891:D10891"/>
    <mergeCell ref="C10924:D10924"/>
    <mergeCell ref="C10919:D10919"/>
    <mergeCell ref="C10936:D10936"/>
    <mergeCell ref="C10937:D10937"/>
    <mergeCell ref="C10903:D10903"/>
    <mergeCell ref="C10904:D10904"/>
    <mergeCell ref="C10905:D10905"/>
    <mergeCell ref="C10906:D10906"/>
    <mergeCell ref="C10907:D10907"/>
    <mergeCell ref="C10755:D10755"/>
    <mergeCell ref="C10772:D10772"/>
    <mergeCell ref="C10753:D10753"/>
    <mergeCell ref="C10701:D10701"/>
    <mergeCell ref="C10702:D10702"/>
    <mergeCell ref="C10700:D10700"/>
    <mergeCell ref="C10698:D10698"/>
    <mergeCell ref="C10699:D10699"/>
    <mergeCell ref="A10747:D10747"/>
    <mergeCell ref="C10733:D10733"/>
    <mergeCell ref="B10858:B10860"/>
    <mergeCell ref="A10867:A10881"/>
    <mergeCell ref="A10850:A10864"/>
    <mergeCell ref="C10908:D10908"/>
    <mergeCell ref="B10909:B10911"/>
    <mergeCell ref="A10901:A10915"/>
    <mergeCell ref="C10771:D10771"/>
    <mergeCell ref="C10734:D10734"/>
    <mergeCell ref="C10735:D10735"/>
    <mergeCell ref="C10738:D10738"/>
    <mergeCell ref="C10736:D10736"/>
    <mergeCell ref="C10737:D10737"/>
    <mergeCell ref="C10769:D10769"/>
    <mergeCell ref="B10773:B10775"/>
    <mergeCell ref="A10782:A10796"/>
    <mergeCell ref="B10790:B10792"/>
    <mergeCell ref="B10807:B10809"/>
    <mergeCell ref="A10816:A10830"/>
    <mergeCell ref="B10824:B10826"/>
    <mergeCell ref="C14339:D14339"/>
    <mergeCell ref="C14342:D14342"/>
    <mergeCell ref="C14340:D14340"/>
    <mergeCell ref="C14341:D14341"/>
    <mergeCell ref="C14338:D14338"/>
    <mergeCell ref="C14325:D14325"/>
    <mergeCell ref="A14317:D14317"/>
    <mergeCell ref="C14319:D14319"/>
    <mergeCell ref="C14322:D14322"/>
    <mergeCell ref="C14302:D14302"/>
    <mergeCell ref="A14334:D14334"/>
    <mergeCell ref="B14326:B14328"/>
    <mergeCell ref="C14168:D14168"/>
    <mergeCell ref="C14166:D14166"/>
    <mergeCell ref="C14167:D14167"/>
    <mergeCell ref="A14079:D14079"/>
    <mergeCell ref="C14086:D14086"/>
    <mergeCell ref="A14130:D14130"/>
    <mergeCell ref="C14132:D14132"/>
    <mergeCell ref="C14133:D14133"/>
    <mergeCell ref="C14134:D14134"/>
    <mergeCell ref="C14135:D14135"/>
    <mergeCell ref="C14138:D14138"/>
    <mergeCell ref="C14116:D14116"/>
    <mergeCell ref="A14062:D14062"/>
    <mergeCell ref="A14114:A14128"/>
    <mergeCell ref="B14122:B14124"/>
    <mergeCell ref="A14147:D14147"/>
    <mergeCell ref="A14131:A14145"/>
    <mergeCell ref="A14080:A14094"/>
    <mergeCell ref="B14139:B14141"/>
    <mergeCell ref="C14256:D14256"/>
    <mergeCell ref="C14268:D14268"/>
    <mergeCell ref="C14257:D14257"/>
    <mergeCell ref="A14250:A14264"/>
    <mergeCell ref="C10970:D10970"/>
    <mergeCell ref="C10971:D10971"/>
    <mergeCell ref="C10972:D10972"/>
    <mergeCell ref="C10973:D10973"/>
    <mergeCell ref="C10976:D10976"/>
    <mergeCell ref="C10974:D10974"/>
    <mergeCell ref="C10975:D10975"/>
    <mergeCell ref="C10990:D10990"/>
    <mergeCell ref="C10987:D10987"/>
    <mergeCell ref="C10988:D10988"/>
    <mergeCell ref="A14351:D14351"/>
    <mergeCell ref="A14318:A14332"/>
    <mergeCell ref="C14307:D14307"/>
    <mergeCell ref="C14303:D14303"/>
    <mergeCell ref="C14644:D14644"/>
    <mergeCell ref="C14645:D14645"/>
    <mergeCell ref="A14623:D14623"/>
    <mergeCell ref="C14677:D14677"/>
    <mergeCell ref="C14663:D14663"/>
    <mergeCell ref="C14664:D14664"/>
    <mergeCell ref="C14665:D14665"/>
    <mergeCell ref="C14642:D14642"/>
    <mergeCell ref="C14643:D14643"/>
    <mergeCell ref="C10411:D10411"/>
    <mergeCell ref="C10430:D10430"/>
    <mergeCell ref="C10428:D10428"/>
    <mergeCell ref="C10414:D10414"/>
    <mergeCell ref="C10415:D10415"/>
    <mergeCell ref="B10416:B10418"/>
    <mergeCell ref="C10426:D10426"/>
    <mergeCell ref="C10427:D10427"/>
    <mergeCell ref="A10424:D10424"/>
    <mergeCell ref="A11988:D11988"/>
    <mergeCell ref="A12005:D12005"/>
    <mergeCell ref="A11955:A11969"/>
    <mergeCell ref="A11938:A11952"/>
    <mergeCell ref="A11971:D11971"/>
    <mergeCell ref="A11954:D11954"/>
    <mergeCell ref="A12057:A12071"/>
    <mergeCell ref="B12031:B12033"/>
    <mergeCell ref="A12022:D12022"/>
    <mergeCell ref="C10481:D10481"/>
    <mergeCell ref="B10484:B10486"/>
    <mergeCell ref="C10482:D10482"/>
    <mergeCell ref="C10477:D10477"/>
    <mergeCell ref="C10478:D10478"/>
    <mergeCell ref="C10479:D10479"/>
    <mergeCell ref="C10480:D10480"/>
    <mergeCell ref="C10483:D10483"/>
    <mergeCell ref="C10496:D10496"/>
    <mergeCell ref="C10497:D10497"/>
    <mergeCell ref="C10500:D10500"/>
    <mergeCell ref="B10501:B10503"/>
    <mergeCell ref="A10611:D10611"/>
    <mergeCell ref="A10594:D10594"/>
    <mergeCell ref="C10648:D10648"/>
    <mergeCell ref="C10649:D10649"/>
    <mergeCell ref="C10651:D10651"/>
    <mergeCell ref="C10652:D10652"/>
    <mergeCell ref="C10650:D10650"/>
    <mergeCell ref="A10646:A10660"/>
    <mergeCell ref="A10663:A10677"/>
    <mergeCell ref="C14336:D14336"/>
    <mergeCell ref="C14337:D14337"/>
    <mergeCell ref="C10460:D10460"/>
    <mergeCell ref="C10461:D10461"/>
    <mergeCell ref="C10529:D10529"/>
    <mergeCell ref="C10530:D10530"/>
    <mergeCell ref="C10531:D10531"/>
    <mergeCell ref="C10532:D10532"/>
    <mergeCell ref="C10533:D10533"/>
    <mergeCell ref="A14164:D14164"/>
    <mergeCell ref="C14218:D14218"/>
    <mergeCell ref="C14219:D14219"/>
    <mergeCell ref="C14220:D14220"/>
    <mergeCell ref="C14223:D14223"/>
    <mergeCell ref="C14290:D14290"/>
    <mergeCell ref="C14285:D14285"/>
    <mergeCell ref="C14291:D14291"/>
    <mergeCell ref="A14284:A14298"/>
    <mergeCell ref="A14300:D14300"/>
    <mergeCell ref="B14292:B14294"/>
    <mergeCell ref="C14271:D14271"/>
    <mergeCell ref="C14274:D14274"/>
    <mergeCell ref="C14272:D14272"/>
    <mergeCell ref="C14273:D14273"/>
    <mergeCell ref="A14267:A14281"/>
    <mergeCell ref="B14275:B14277"/>
    <mergeCell ref="A14283:D14283"/>
    <mergeCell ref="C14305:D14305"/>
    <mergeCell ref="C14308:D14308"/>
    <mergeCell ref="C14320:D14320"/>
    <mergeCell ref="C14321:D14321"/>
    <mergeCell ref="C14288:D14288"/>
    <mergeCell ref="A12397:A12411"/>
    <mergeCell ref="A12567:A12581"/>
    <mergeCell ref="A12584:A12598"/>
    <mergeCell ref="B12575:B12577"/>
    <mergeCell ref="A12583:D12583"/>
    <mergeCell ref="B12677:B12679"/>
    <mergeCell ref="B12626:B12628"/>
    <mergeCell ref="A12720:A12734"/>
    <mergeCell ref="A12737:A12751"/>
    <mergeCell ref="B12745:B12747"/>
    <mergeCell ref="B12728:B12730"/>
    <mergeCell ref="A12685:D12685"/>
    <mergeCell ref="B12694:B12696"/>
    <mergeCell ref="A12702:D12702"/>
    <mergeCell ref="A12686:A12700"/>
    <mergeCell ref="B12711:B12713"/>
    <mergeCell ref="A12719:D12719"/>
    <mergeCell ref="A12703:A12717"/>
    <mergeCell ref="C14153:D14153"/>
    <mergeCell ref="C14154:D14154"/>
    <mergeCell ref="C14136:D14136"/>
    <mergeCell ref="C14137:D14137"/>
    <mergeCell ref="C14149:D14149"/>
    <mergeCell ref="C14150:D14150"/>
    <mergeCell ref="C14151:D14151"/>
    <mergeCell ref="C14152:D14152"/>
    <mergeCell ref="A12533:A12547"/>
    <mergeCell ref="A12550:A12564"/>
    <mergeCell ref="B12558:B12560"/>
    <mergeCell ref="A12566:D12566"/>
    <mergeCell ref="A12532:D12532"/>
    <mergeCell ref="A12549:D12549"/>
    <mergeCell ref="B12660:B12662"/>
    <mergeCell ref="A12668:D12668"/>
    <mergeCell ref="A12635:A12649"/>
    <mergeCell ref="B12609:B12611"/>
    <mergeCell ref="A12617:D12617"/>
    <mergeCell ref="A12652:A12666"/>
    <mergeCell ref="A12651:D12651"/>
    <mergeCell ref="A12992:A13006"/>
    <mergeCell ref="A13026:A13040"/>
    <mergeCell ref="A13043:A13057"/>
    <mergeCell ref="C10719:D10719"/>
    <mergeCell ref="A10713:D10713"/>
    <mergeCell ref="A10680:A10694"/>
    <mergeCell ref="A10697:A10711"/>
    <mergeCell ref="A10714:A10728"/>
    <mergeCell ref="A10731:A10745"/>
    <mergeCell ref="A10748:A10762"/>
    <mergeCell ref="C10669:D10669"/>
    <mergeCell ref="C10683:D10683"/>
    <mergeCell ref="C10684:D10684"/>
    <mergeCell ref="C10685:D10685"/>
    <mergeCell ref="B10688:B10690"/>
    <mergeCell ref="C10686:D10686"/>
    <mergeCell ref="C10687:D10687"/>
    <mergeCell ref="A10696:D10696"/>
    <mergeCell ref="C10768:D10768"/>
    <mergeCell ref="B12473:B12475"/>
    <mergeCell ref="B12524:B12526"/>
    <mergeCell ref="B12507:B12509"/>
    <mergeCell ref="B12490:B12492"/>
    <mergeCell ref="B12439:B12441"/>
    <mergeCell ref="A12447:D12447"/>
    <mergeCell ref="A12431:A12445"/>
    <mergeCell ref="B12456:B12458"/>
    <mergeCell ref="A12464:D12464"/>
    <mergeCell ref="A12448:A12462"/>
    <mergeCell ref="A12481:D12481"/>
    <mergeCell ref="A12465:A12479"/>
    <mergeCell ref="A12482:A12496"/>
    <mergeCell ref="A12498:D12498"/>
    <mergeCell ref="B12422:B12424"/>
    <mergeCell ref="A12430:D12430"/>
    <mergeCell ref="A12413:D12413"/>
    <mergeCell ref="A12414:A12428"/>
    <mergeCell ref="A12499:A12513"/>
    <mergeCell ref="A12516:A12530"/>
    <mergeCell ref="A12515:D12515"/>
    <mergeCell ref="B11810:B11812"/>
    <mergeCell ref="C11803:D11803"/>
    <mergeCell ref="C11804:D11804"/>
    <mergeCell ref="A11751:A11765"/>
    <mergeCell ref="A11768:A11782"/>
    <mergeCell ref="A12210:A12224"/>
    <mergeCell ref="A12261:A12275"/>
    <mergeCell ref="A12244:A12258"/>
    <mergeCell ref="A12227:A12241"/>
    <mergeCell ref="B11895:B11897"/>
    <mergeCell ref="A11903:D11903"/>
    <mergeCell ref="C11905:D11905"/>
    <mergeCell ref="C11906:D11906"/>
    <mergeCell ref="C11893:D11893"/>
    <mergeCell ref="A11887:A11901"/>
    <mergeCell ref="C11754:D11754"/>
    <mergeCell ref="C11774:D11774"/>
    <mergeCell ref="B10705:B10707"/>
    <mergeCell ref="C10715:D10715"/>
    <mergeCell ref="C10716:D10716"/>
    <mergeCell ref="C10754:D10754"/>
    <mergeCell ref="C10749:D10749"/>
    <mergeCell ref="B10875:B10877"/>
    <mergeCell ref="A10883:D10883"/>
    <mergeCell ref="C10890:D10890"/>
    <mergeCell ref="C10888:D10888"/>
    <mergeCell ref="C10857:D10857"/>
    <mergeCell ref="B13051:B13053"/>
    <mergeCell ref="B13034:B13036"/>
    <mergeCell ref="A12974:D12974"/>
    <mergeCell ref="A13008:D13008"/>
    <mergeCell ref="B13000:B13002"/>
    <mergeCell ref="B13017:B13019"/>
    <mergeCell ref="A13009:A13023"/>
    <mergeCell ref="B12983:B12985"/>
    <mergeCell ref="A12991:D12991"/>
    <mergeCell ref="A14165:A14179"/>
    <mergeCell ref="A14148:A14162"/>
    <mergeCell ref="B14173:B14175"/>
    <mergeCell ref="A14181:D14181"/>
    <mergeCell ref="C10665:D10665"/>
    <mergeCell ref="A10662:D10662"/>
    <mergeCell ref="B10671:B10673"/>
    <mergeCell ref="B10518:B10520"/>
    <mergeCell ref="A10526:D10526"/>
    <mergeCell ref="C10431:D10431"/>
    <mergeCell ref="C10429:D10429"/>
    <mergeCell ref="A10441:D10441"/>
    <mergeCell ref="A10492:D10492"/>
    <mergeCell ref="A10458:D10458"/>
    <mergeCell ref="A10475:D10475"/>
    <mergeCell ref="A10509:D10509"/>
    <mergeCell ref="A10425:A10439"/>
    <mergeCell ref="A10442:A10456"/>
    <mergeCell ref="A10459:A10473"/>
    <mergeCell ref="A10493:A10507"/>
    <mergeCell ref="A10476:A10490"/>
    <mergeCell ref="A10510:A10524"/>
    <mergeCell ref="B12762:B12764"/>
    <mergeCell ref="A12770:D12770"/>
    <mergeCell ref="A13025:D13025"/>
    <mergeCell ref="A13042:D13042"/>
    <mergeCell ref="A13059:D13059"/>
    <mergeCell ref="B13136:B13138"/>
    <mergeCell ref="B13153:B13155"/>
    <mergeCell ref="B13102:B13104"/>
    <mergeCell ref="C11807:D11807"/>
    <mergeCell ref="C11808:D11808"/>
    <mergeCell ref="C11773:D11773"/>
    <mergeCell ref="C11772:D11772"/>
    <mergeCell ref="B11776:B11778"/>
    <mergeCell ref="C11786:D11786"/>
    <mergeCell ref="C11787:D11787"/>
    <mergeCell ref="C11788:D11788"/>
    <mergeCell ref="C11789:D11789"/>
    <mergeCell ref="C11792:D11792"/>
    <mergeCell ref="C11790:D11790"/>
    <mergeCell ref="C11791:D11791"/>
    <mergeCell ref="A10679:D10679"/>
    <mergeCell ref="C10766:D10766"/>
    <mergeCell ref="C10767:D10767"/>
    <mergeCell ref="A10764:D10764"/>
    <mergeCell ref="A10781:D10781"/>
    <mergeCell ref="A10765:A10779"/>
    <mergeCell ref="B12898:B12900"/>
    <mergeCell ref="A12906:D12906"/>
    <mergeCell ref="A12771:A12785"/>
    <mergeCell ref="A12788:A12802"/>
    <mergeCell ref="B12796:B12798"/>
    <mergeCell ref="B12864:B12866"/>
    <mergeCell ref="A12924:A12938"/>
    <mergeCell ref="A12941:A12955"/>
    <mergeCell ref="A12958:A12972"/>
    <mergeCell ref="B12932:B12934"/>
    <mergeCell ref="A12940:D12940"/>
    <mergeCell ref="B12966:B12968"/>
    <mergeCell ref="A12975:A12989"/>
    <mergeCell ref="A12736:D12736"/>
    <mergeCell ref="A12753:D12753"/>
    <mergeCell ref="B12779:B12781"/>
    <mergeCell ref="A12787:D12787"/>
    <mergeCell ref="A12754:A12768"/>
    <mergeCell ref="B12881:B12883"/>
    <mergeCell ref="A12872:D12872"/>
    <mergeCell ref="C12913:D12913"/>
    <mergeCell ref="C12875:D12875"/>
    <mergeCell ref="C12876:D12876"/>
    <mergeCell ref="C12892:D12892"/>
    <mergeCell ref="C12893:D12893"/>
    <mergeCell ref="C12895:D12895"/>
    <mergeCell ref="C12897:D12897"/>
    <mergeCell ref="C12827:D12827"/>
    <mergeCell ref="C12823:D12823"/>
    <mergeCell ref="C12824:D12824"/>
    <mergeCell ref="C12825:D12825"/>
    <mergeCell ref="C12877:D12877"/>
    <mergeCell ref="C12880:D12880"/>
    <mergeCell ref="C12862:D12862"/>
    <mergeCell ref="C12911:D12911"/>
    <mergeCell ref="C12910:D12910"/>
    <mergeCell ref="C12908:D12908"/>
    <mergeCell ref="C12909:D12909"/>
    <mergeCell ref="C12874:D12874"/>
    <mergeCell ref="C12894:D12894"/>
    <mergeCell ref="C12914:D12914"/>
    <mergeCell ref="C12925:D12925"/>
    <mergeCell ref="C12857:D12857"/>
    <mergeCell ref="C12858:D12858"/>
    <mergeCell ref="C12775:D12775"/>
    <mergeCell ref="C12778:D12778"/>
    <mergeCell ref="C12776:D12776"/>
    <mergeCell ref="C12777:D12777"/>
    <mergeCell ref="C12789:D12789"/>
    <mergeCell ref="C12738:D12738"/>
    <mergeCell ref="C12739:D12739"/>
    <mergeCell ref="C12740:D12740"/>
    <mergeCell ref="C12741:D12741"/>
    <mergeCell ref="C12744:D12744"/>
    <mergeCell ref="C12742:D12742"/>
    <mergeCell ref="C12759:D12759"/>
    <mergeCell ref="C12755:D12755"/>
    <mergeCell ref="C12756:D12756"/>
    <mergeCell ref="C12757:D12757"/>
    <mergeCell ref="C12758:D12758"/>
    <mergeCell ref="A12838:D12838"/>
    <mergeCell ref="A12855:D12855"/>
    <mergeCell ref="B12949:B12951"/>
    <mergeCell ref="A12957:D12957"/>
    <mergeCell ref="A12856:A12870"/>
    <mergeCell ref="A12328:D12328"/>
    <mergeCell ref="B12388:B12390"/>
    <mergeCell ref="B12405:B12407"/>
    <mergeCell ref="B12371:B12373"/>
    <mergeCell ref="B12354:B12356"/>
    <mergeCell ref="A11649:A11663"/>
    <mergeCell ref="C11687:D11687"/>
    <mergeCell ref="C11688:D11688"/>
    <mergeCell ref="C11689:D11689"/>
    <mergeCell ref="C11686:D11686"/>
    <mergeCell ref="C11684:D11684"/>
    <mergeCell ref="C11685:D11685"/>
    <mergeCell ref="C11668:D11668"/>
    <mergeCell ref="C11669:D11669"/>
    <mergeCell ref="A11665:D11665"/>
    <mergeCell ref="C11667:D11667"/>
    <mergeCell ref="A11682:D11682"/>
    <mergeCell ref="C11672:D11672"/>
    <mergeCell ref="B11674:B11676"/>
    <mergeCell ref="C11673:D11673"/>
    <mergeCell ref="A11666:A11680"/>
    <mergeCell ref="C11671:D11671"/>
    <mergeCell ref="C11670:D11670"/>
    <mergeCell ref="C11706:D11706"/>
    <mergeCell ref="C11707:D11707"/>
    <mergeCell ref="C11701:D11701"/>
    <mergeCell ref="C11702:D11702"/>
    <mergeCell ref="C11703:D11703"/>
    <mergeCell ref="C11705:D11705"/>
    <mergeCell ref="C11704:D11704"/>
    <mergeCell ref="C11720:D11720"/>
    <mergeCell ref="C11718:D11718"/>
    <mergeCell ref="C11719:D11719"/>
    <mergeCell ref="C11721:D11721"/>
    <mergeCell ref="A11716:D11716"/>
    <mergeCell ref="A11699:D11699"/>
    <mergeCell ref="A11683:A11697"/>
    <mergeCell ref="A11700:A11714"/>
    <mergeCell ref="B11708:B11710"/>
    <mergeCell ref="A12107:D12107"/>
    <mergeCell ref="A12090:D12090"/>
    <mergeCell ref="B11827:B11829"/>
    <mergeCell ref="C11821:D11821"/>
    <mergeCell ref="C11824:D11824"/>
    <mergeCell ref="C11825:D11825"/>
    <mergeCell ref="C11891:D11891"/>
    <mergeCell ref="C11892:D11892"/>
    <mergeCell ref="C11890:D11890"/>
    <mergeCell ref="A11870:A11884"/>
    <mergeCell ref="A11835:D11835"/>
    <mergeCell ref="C11837:D11837"/>
    <mergeCell ref="C11838:D11838"/>
    <mergeCell ref="A12209:D12209"/>
    <mergeCell ref="A12193:A12207"/>
    <mergeCell ref="B12252:B12254"/>
    <mergeCell ref="B12235:B12237"/>
    <mergeCell ref="A11972:A11986"/>
    <mergeCell ref="A11989:A12003"/>
    <mergeCell ref="B12065:B12067"/>
    <mergeCell ref="A12243:D12243"/>
    <mergeCell ref="A12260:D12260"/>
    <mergeCell ref="B12269:B12271"/>
    <mergeCell ref="A12192:D12192"/>
    <mergeCell ref="C11975:D11975"/>
    <mergeCell ref="C10770:D10770"/>
    <mergeCell ref="C10720:D10720"/>
    <mergeCell ref="C10721:D10721"/>
    <mergeCell ref="C10717:D10717"/>
    <mergeCell ref="A11904:A11918"/>
    <mergeCell ref="A11921:A11935"/>
    <mergeCell ref="C11894:D11894"/>
    <mergeCell ref="C12721:D12721"/>
    <mergeCell ref="C12722:D12722"/>
    <mergeCell ref="C12723:D12723"/>
    <mergeCell ref="C12536:D12536"/>
    <mergeCell ref="C12489:D12489"/>
    <mergeCell ref="C12534:D12534"/>
    <mergeCell ref="C12535:D12535"/>
    <mergeCell ref="C12483:D12483"/>
    <mergeCell ref="C12484:D12484"/>
    <mergeCell ref="C12401:D12401"/>
    <mergeCell ref="C12402:D12402"/>
    <mergeCell ref="C12386:D12386"/>
    <mergeCell ref="C12387:D12387"/>
    <mergeCell ref="C12400:D12400"/>
    <mergeCell ref="C12398:D12398"/>
    <mergeCell ref="C12399:D12399"/>
    <mergeCell ref="C12415:D12415"/>
    <mergeCell ref="C12416:D12416"/>
    <mergeCell ref="C12348:D12348"/>
    <mergeCell ref="C12349:D12349"/>
    <mergeCell ref="C12351:D12351"/>
    <mergeCell ref="C12350:D12350"/>
    <mergeCell ref="C12385:D12385"/>
    <mergeCell ref="C12381:D12381"/>
    <mergeCell ref="C12382:D12382"/>
    <mergeCell ref="C12383:D12383"/>
    <mergeCell ref="C12384:D12384"/>
    <mergeCell ref="C12364:D12364"/>
    <mergeCell ref="C12365:D12365"/>
    <mergeCell ref="C12470:D12470"/>
    <mergeCell ref="C12471:D12471"/>
    <mergeCell ref="C12455:D12455"/>
    <mergeCell ref="C12466:D12466"/>
    <mergeCell ref="C12432:D12432"/>
    <mergeCell ref="B12303:B12305"/>
    <mergeCell ref="A12311:D12311"/>
    <mergeCell ref="B12337:B12339"/>
    <mergeCell ref="B12320:B12322"/>
    <mergeCell ref="A12329:A12343"/>
    <mergeCell ref="A12312:A12326"/>
    <mergeCell ref="A12277:D12277"/>
    <mergeCell ref="A12278:A12292"/>
    <mergeCell ref="A12295:A12309"/>
    <mergeCell ref="A12345:D12345"/>
    <mergeCell ref="B12286:B12288"/>
    <mergeCell ref="A12294:D12294"/>
    <mergeCell ref="C12587:D12587"/>
    <mergeCell ref="C12589:D12589"/>
    <mergeCell ref="C12588:D12588"/>
    <mergeCell ref="C12590:D12590"/>
    <mergeCell ref="C12602:D12602"/>
    <mergeCell ref="C12591:D12591"/>
    <mergeCell ref="C12557:D12557"/>
    <mergeCell ref="C12486:D12486"/>
    <mergeCell ref="C12488:D12488"/>
    <mergeCell ref="B12592:B12594"/>
    <mergeCell ref="A12600:D12600"/>
    <mergeCell ref="C12551:D12551"/>
    <mergeCell ref="C12552:D12552"/>
    <mergeCell ref="C12553:D12553"/>
    <mergeCell ref="C12554:D12554"/>
    <mergeCell ref="C12284:D12284"/>
    <mergeCell ref="C12333:D12333"/>
    <mergeCell ref="C12319:D12319"/>
    <mergeCell ref="C12332:D12332"/>
    <mergeCell ref="C12330:D12330"/>
    <mergeCell ref="C12331:D12331"/>
    <mergeCell ref="C11534:D11534"/>
    <mergeCell ref="C11586:D11586"/>
    <mergeCell ref="C11587:D11587"/>
    <mergeCell ref="C11584:D11584"/>
    <mergeCell ref="C11583:D11583"/>
    <mergeCell ref="C11537:D11537"/>
    <mergeCell ref="C11690:D11690"/>
    <mergeCell ref="B11691:B11693"/>
    <mergeCell ref="C11650:D11650"/>
    <mergeCell ref="C11656:D11656"/>
    <mergeCell ref="C11654:D11654"/>
    <mergeCell ref="C11655:D11655"/>
    <mergeCell ref="C11651:D11651"/>
    <mergeCell ref="B11657:B11659"/>
    <mergeCell ref="C11724:D11724"/>
    <mergeCell ref="C11722:D11722"/>
    <mergeCell ref="C11723:D11723"/>
    <mergeCell ref="C11820:D11820"/>
    <mergeCell ref="A11818:D11818"/>
    <mergeCell ref="C11822:D11822"/>
    <mergeCell ref="C11823:D11823"/>
    <mergeCell ref="C11826:D11826"/>
    <mergeCell ref="C12555:D12555"/>
    <mergeCell ref="C12433:D12433"/>
    <mergeCell ref="C12404:D12404"/>
    <mergeCell ref="C12403:D12403"/>
    <mergeCell ref="A12362:D12362"/>
    <mergeCell ref="A12346:A12360"/>
    <mergeCell ref="A12363:A12377"/>
    <mergeCell ref="A12379:D12379"/>
    <mergeCell ref="A12380:A12394"/>
    <mergeCell ref="A12396:D12396"/>
    <mergeCell ref="B12541:B12543"/>
    <mergeCell ref="C12366:D12366"/>
    <mergeCell ref="C12367:D12367"/>
    <mergeCell ref="C12370:D12370"/>
    <mergeCell ref="C12368:D12368"/>
    <mergeCell ref="C12369:D12369"/>
    <mergeCell ref="C12352:D12352"/>
    <mergeCell ref="C12353:D12353"/>
    <mergeCell ref="C12434:D12434"/>
    <mergeCell ref="C12435:D12435"/>
    <mergeCell ref="C12438:D12438"/>
    <mergeCell ref="C12436:D12436"/>
    <mergeCell ref="C12437:D12437"/>
    <mergeCell ref="C12420:D12420"/>
    <mergeCell ref="C12421:D12421"/>
    <mergeCell ref="C12453:D12453"/>
    <mergeCell ref="C12449:D12449"/>
    <mergeCell ref="C12450:D12450"/>
    <mergeCell ref="C12451:D12451"/>
    <mergeCell ref="C12452:D12452"/>
    <mergeCell ref="C12417:D12417"/>
    <mergeCell ref="C12419:D12419"/>
    <mergeCell ref="C12556:D12556"/>
    <mergeCell ref="C12568:D12568"/>
    <mergeCell ref="C12569:D12569"/>
    <mergeCell ref="C12570:D12570"/>
    <mergeCell ref="C12571:D12571"/>
    <mergeCell ref="C12485:D12485"/>
    <mergeCell ref="C12487:D12487"/>
    <mergeCell ref="C12472:D12472"/>
    <mergeCell ref="C11839:D11839"/>
    <mergeCell ref="C11841:D11841"/>
    <mergeCell ref="C11842:D11842"/>
    <mergeCell ref="C11840:D11840"/>
    <mergeCell ref="A11598:A11612"/>
    <mergeCell ref="A11615:A11629"/>
    <mergeCell ref="A11632:A11646"/>
    <mergeCell ref="B11623:B11625"/>
    <mergeCell ref="C11565:D11565"/>
    <mergeCell ref="C11570:D11570"/>
    <mergeCell ref="B12218:B12220"/>
    <mergeCell ref="A12226:D12226"/>
    <mergeCell ref="C12726:D12726"/>
    <mergeCell ref="C12743:D12743"/>
    <mergeCell ref="C12727:D12727"/>
    <mergeCell ref="C12708:D12708"/>
    <mergeCell ref="C12706:D12706"/>
    <mergeCell ref="C12704:D12704"/>
    <mergeCell ref="C12705:D12705"/>
    <mergeCell ref="C12670:D12670"/>
    <mergeCell ref="C12671:D12671"/>
    <mergeCell ref="C12620:D12620"/>
    <mergeCell ref="C12621:D12621"/>
    <mergeCell ref="C12622:D12622"/>
    <mergeCell ref="C12638:D12638"/>
    <mergeCell ref="C12639:D12639"/>
    <mergeCell ref="C12636:D12636"/>
    <mergeCell ref="C12604:D12604"/>
    <mergeCell ref="C12605:D12605"/>
    <mergeCell ref="C12608:D12608"/>
    <mergeCell ref="C12606:D12606"/>
    <mergeCell ref="C12607:D12607"/>
    <mergeCell ref="C12687:D12687"/>
    <mergeCell ref="C12688:D12688"/>
    <mergeCell ref="C12692:D12692"/>
    <mergeCell ref="C12689:D12689"/>
    <mergeCell ref="C12707:D12707"/>
    <mergeCell ref="C12672:D12672"/>
    <mergeCell ref="C12673:D12673"/>
    <mergeCell ref="C12674:D12674"/>
    <mergeCell ref="C12675:D12675"/>
    <mergeCell ref="C12690:D12690"/>
    <mergeCell ref="C12691:D12691"/>
    <mergeCell ref="C12625:D12625"/>
    <mergeCell ref="A12634:D12634"/>
    <mergeCell ref="B12643:B12645"/>
    <mergeCell ref="A12601:A12615"/>
    <mergeCell ref="A12618:A12632"/>
    <mergeCell ref="A12669:A12683"/>
    <mergeCell ref="C12725:D12725"/>
    <mergeCell ref="C12657:D12657"/>
    <mergeCell ref="C12658:D12658"/>
    <mergeCell ref="C12642:D12642"/>
    <mergeCell ref="C12637:D12637"/>
    <mergeCell ref="C12641:D12641"/>
    <mergeCell ref="C12640:D12640"/>
    <mergeCell ref="C12653:D12653"/>
    <mergeCell ref="C12654:D12654"/>
    <mergeCell ref="C12655:D12655"/>
    <mergeCell ref="C12656:D12656"/>
    <mergeCell ref="C12724:D12724"/>
    <mergeCell ref="C13047:D13047"/>
    <mergeCell ref="C13050:D13050"/>
    <mergeCell ref="C12997:D12997"/>
    <mergeCell ref="C12996:D12996"/>
    <mergeCell ref="C12976:D12976"/>
    <mergeCell ref="C13013:D13013"/>
    <mergeCell ref="C12998:D12998"/>
    <mergeCell ref="C12999:D12999"/>
    <mergeCell ref="C12981:D12981"/>
    <mergeCell ref="C12977:D12977"/>
    <mergeCell ref="C12993:D12993"/>
    <mergeCell ref="C12965:D12965"/>
    <mergeCell ref="C12760:D12760"/>
    <mergeCell ref="C12841:D12841"/>
    <mergeCell ref="C12806:D12806"/>
    <mergeCell ref="C12807:D12807"/>
    <mergeCell ref="C12808:D12808"/>
    <mergeCell ref="C12809:D12809"/>
    <mergeCell ref="C12812:D12812"/>
    <mergeCell ref="C12928:D12928"/>
    <mergeCell ref="C12978:D12978"/>
    <mergeCell ref="C12979:D12979"/>
    <mergeCell ref="C12842:D12842"/>
    <mergeCell ref="C12840:D12840"/>
    <mergeCell ref="C12896:D12896"/>
    <mergeCell ref="C12790:D12790"/>
    <mergeCell ref="C12791:D12791"/>
    <mergeCell ref="C12793:D12793"/>
    <mergeCell ref="C12792:D12792"/>
    <mergeCell ref="C12810:D12810"/>
    <mergeCell ref="C12846:D12846"/>
    <mergeCell ref="C12878:D12878"/>
    <mergeCell ref="C12879:D12879"/>
    <mergeCell ref="C12863:D12863"/>
    <mergeCell ref="C12891:D12891"/>
    <mergeCell ref="C12844:D12844"/>
    <mergeCell ref="C12845:D12845"/>
    <mergeCell ref="C12794:D12794"/>
    <mergeCell ref="C12795:D12795"/>
    <mergeCell ref="C12860:D12860"/>
    <mergeCell ref="C12912:D12912"/>
    <mergeCell ref="C12761:D12761"/>
    <mergeCell ref="C12774:D12774"/>
    <mergeCell ref="C12772:D12772"/>
    <mergeCell ref="C12773:D12773"/>
    <mergeCell ref="A12821:D12821"/>
    <mergeCell ref="A12805:A12819"/>
    <mergeCell ref="A12804:D12804"/>
    <mergeCell ref="B12813:B12815"/>
    <mergeCell ref="A12873:A12887"/>
    <mergeCell ref="A12839:A12853"/>
    <mergeCell ref="A12822:A12836"/>
    <mergeCell ref="B12847:B12849"/>
    <mergeCell ref="B12830:B12832"/>
    <mergeCell ref="B12915:B12917"/>
    <mergeCell ref="A12923:D12923"/>
    <mergeCell ref="A12907:A12921"/>
    <mergeCell ref="A12889:D12889"/>
    <mergeCell ref="A12890:A12904"/>
    <mergeCell ref="C13048:D13048"/>
    <mergeCell ref="C13049:D13049"/>
    <mergeCell ref="C13032:D13032"/>
    <mergeCell ref="C13033:D13033"/>
    <mergeCell ref="C13027:D13027"/>
    <mergeCell ref="C13028:D13028"/>
    <mergeCell ref="C13029:D13029"/>
    <mergeCell ref="C13031:D13031"/>
    <mergeCell ref="C13030:D13030"/>
    <mergeCell ref="C13080:D13080"/>
    <mergeCell ref="C13065:D13065"/>
    <mergeCell ref="C13066:D13066"/>
    <mergeCell ref="C12982:D12982"/>
    <mergeCell ref="C13014:D13014"/>
    <mergeCell ref="C13012:D13012"/>
    <mergeCell ref="C13010:D13010"/>
    <mergeCell ref="C13011:D13011"/>
    <mergeCell ref="C12994:D12994"/>
    <mergeCell ref="C12995:D12995"/>
    <mergeCell ref="C13015:D13015"/>
    <mergeCell ref="C12980:D12980"/>
    <mergeCell ref="C12574:D12574"/>
    <mergeCell ref="C12585:D12585"/>
    <mergeCell ref="C12586:D12586"/>
    <mergeCell ref="C12572:D12572"/>
    <mergeCell ref="C12573:D12573"/>
    <mergeCell ref="C12623:D12623"/>
    <mergeCell ref="C12624:D12624"/>
    <mergeCell ref="C12619:D12619"/>
    <mergeCell ref="C12826:D12826"/>
    <mergeCell ref="C12843:D12843"/>
    <mergeCell ref="C12829:D12829"/>
    <mergeCell ref="C12811:D12811"/>
    <mergeCell ref="C12828:D12828"/>
    <mergeCell ref="C12964:D12964"/>
    <mergeCell ref="C12959:D12959"/>
    <mergeCell ref="C12960:D12960"/>
    <mergeCell ref="C12961:D12961"/>
    <mergeCell ref="C12962:D12962"/>
    <mergeCell ref="C12963:D12963"/>
    <mergeCell ref="C12930:D12930"/>
    <mergeCell ref="C12942:D12942"/>
    <mergeCell ref="C12931:D12931"/>
    <mergeCell ref="C12943:D12943"/>
    <mergeCell ref="C12944:D12944"/>
    <mergeCell ref="C12945:D12945"/>
    <mergeCell ref="C12948:D12948"/>
    <mergeCell ref="C12946:D12946"/>
    <mergeCell ref="C12947:D12947"/>
    <mergeCell ref="C12926:D12926"/>
    <mergeCell ref="C12927:D12927"/>
    <mergeCell ref="C12929:D12929"/>
    <mergeCell ref="C12603:D12603"/>
    <mergeCell ref="C12659:D12659"/>
    <mergeCell ref="C12710:D12710"/>
    <mergeCell ref="C12693:D12693"/>
    <mergeCell ref="C12709:D12709"/>
    <mergeCell ref="C12676:D12676"/>
    <mergeCell ref="C12859:D12859"/>
    <mergeCell ref="C12861:D12861"/>
    <mergeCell ref="C13016:D13016"/>
    <mergeCell ref="C13046:D13046"/>
    <mergeCell ref="C13044:D13044"/>
    <mergeCell ref="C13045:D13045"/>
    <mergeCell ref="C12418:D12418"/>
    <mergeCell ref="C12468:D12468"/>
    <mergeCell ref="C12469:D12469"/>
    <mergeCell ref="C12467:D12467"/>
    <mergeCell ref="C12454:D12454"/>
    <mergeCell ref="C12539:D12539"/>
    <mergeCell ref="C12540:D12540"/>
    <mergeCell ref="C12523:D12523"/>
    <mergeCell ref="C12521:D12521"/>
    <mergeCell ref="C12522:D12522"/>
    <mergeCell ref="C12517:D12517"/>
    <mergeCell ref="C12518:D12518"/>
    <mergeCell ref="C12519:D12519"/>
    <mergeCell ref="C12520:D12520"/>
    <mergeCell ref="C12500:D12500"/>
    <mergeCell ref="C12501:D12501"/>
    <mergeCell ref="C12502:D12502"/>
    <mergeCell ref="C12503:D12503"/>
    <mergeCell ref="C12506:D12506"/>
    <mergeCell ref="C12504:D12504"/>
    <mergeCell ref="C12505:D12505"/>
    <mergeCell ref="C12265:D12265"/>
    <mergeCell ref="C12268:D12268"/>
    <mergeCell ref="C12296:D12296"/>
    <mergeCell ref="C12318:D12318"/>
    <mergeCell ref="C12537:D12537"/>
    <mergeCell ref="C12538:D12538"/>
    <mergeCell ref="C12250:D12250"/>
    <mergeCell ref="C12251:D12251"/>
    <mergeCell ref="C11877:D11877"/>
    <mergeCell ref="C12211:D12211"/>
    <mergeCell ref="C12228:D12228"/>
    <mergeCell ref="C12229:D12229"/>
    <mergeCell ref="C12230:D12230"/>
    <mergeCell ref="C12231:D12231"/>
    <mergeCell ref="C12234:D12234"/>
    <mergeCell ref="C12279:D12279"/>
    <mergeCell ref="C12280:D12280"/>
    <mergeCell ref="C12264:D12264"/>
    <mergeCell ref="C12262:D12262"/>
    <mergeCell ref="C12263:D12263"/>
    <mergeCell ref="C12281:D12281"/>
    <mergeCell ref="C12283:D12283"/>
    <mergeCell ref="C12282:D12282"/>
    <mergeCell ref="C12317:D12317"/>
    <mergeCell ref="C12316:D12316"/>
    <mergeCell ref="C12314:D12314"/>
    <mergeCell ref="C12315:D12315"/>
    <mergeCell ref="C12336:D12336"/>
    <mergeCell ref="C12347:D12347"/>
    <mergeCell ref="C12334:D12334"/>
    <mergeCell ref="C12335:D12335"/>
    <mergeCell ref="C12297:D12297"/>
    <mergeCell ref="C12298:D12298"/>
    <mergeCell ref="C12299:D12299"/>
    <mergeCell ref="C12302:D12302"/>
    <mergeCell ref="C12300:D12300"/>
    <mergeCell ref="C12301:D12301"/>
    <mergeCell ref="C12285:D12285"/>
    <mergeCell ref="C12313:D12313"/>
    <mergeCell ref="C12266:D12266"/>
    <mergeCell ref="C12267:D12267"/>
    <mergeCell ref="C12029:D12029"/>
    <mergeCell ref="C11974:D11974"/>
    <mergeCell ref="C11977:D11977"/>
    <mergeCell ref="C11978:D11978"/>
    <mergeCell ref="C11976:D11976"/>
    <mergeCell ref="C12026:D12026"/>
    <mergeCell ref="C12024:D12024"/>
    <mergeCell ref="C12025:D12025"/>
    <mergeCell ref="C12143:D12143"/>
    <mergeCell ref="C12144:D12144"/>
    <mergeCell ref="C11943:D11943"/>
    <mergeCell ref="C11944:D11944"/>
    <mergeCell ref="C12131:D12131"/>
    <mergeCell ref="C11958:D11958"/>
    <mergeCell ref="C11990:D11990"/>
    <mergeCell ref="C11991:D11991"/>
    <mergeCell ref="C11992:D11992"/>
    <mergeCell ref="C11993:D11993"/>
    <mergeCell ref="C11996:D11996"/>
    <mergeCell ref="C12212:D12212"/>
    <mergeCell ref="C12213:D12213"/>
    <mergeCell ref="C12215:D12215"/>
    <mergeCell ref="C12216:D12216"/>
    <mergeCell ref="C12214:D12214"/>
    <mergeCell ref="C12232:D12232"/>
    <mergeCell ref="C12217:D12217"/>
    <mergeCell ref="C12233:D12233"/>
    <mergeCell ref="C12249:D12249"/>
    <mergeCell ref="C12245:D12245"/>
    <mergeCell ref="C12246:D12246"/>
    <mergeCell ref="C12247:D12247"/>
    <mergeCell ref="C12248:D12248"/>
    <mergeCell ref="C11752:D11752"/>
    <mergeCell ref="C11753:D11753"/>
    <mergeCell ref="C11735:D11735"/>
    <mergeCell ref="C11736:D11736"/>
    <mergeCell ref="C11741:D11741"/>
    <mergeCell ref="C11805:D11805"/>
    <mergeCell ref="C11758:D11758"/>
    <mergeCell ref="C11769:D11769"/>
    <mergeCell ref="C11770:D11770"/>
    <mergeCell ref="C11771:D11771"/>
    <mergeCell ref="C11806:D11806"/>
    <mergeCell ref="C11809:D11809"/>
    <mergeCell ref="C11855:D11855"/>
    <mergeCell ref="C11856:D11856"/>
    <mergeCell ref="C11854:D11854"/>
    <mergeCell ref="C12160:D12160"/>
    <mergeCell ref="C12149:D12149"/>
    <mergeCell ref="C12161:D12161"/>
    <mergeCell ref="C12162:D12162"/>
    <mergeCell ref="C12163:D12163"/>
    <mergeCell ref="C12166:D12166"/>
    <mergeCell ref="C12164:D12164"/>
    <mergeCell ref="C12165:D12165"/>
    <mergeCell ref="C12181:D12181"/>
    <mergeCell ref="C12182:D12182"/>
    <mergeCell ref="C12177:D12177"/>
    <mergeCell ref="C12178:D12178"/>
    <mergeCell ref="C12179:D12179"/>
    <mergeCell ref="C12180:D12180"/>
    <mergeCell ref="C12145:D12145"/>
    <mergeCell ref="C12147:D12147"/>
    <mergeCell ref="C12130:D12130"/>
    <mergeCell ref="C12132:D12132"/>
    <mergeCell ref="C12094:D12094"/>
    <mergeCell ref="C12075:D12075"/>
    <mergeCell ref="C12079:D12079"/>
    <mergeCell ref="C12113:D12113"/>
    <mergeCell ref="C12110:D12110"/>
    <mergeCell ref="C12111:D12111"/>
    <mergeCell ref="C12112:D12112"/>
    <mergeCell ref="C12095:D12095"/>
    <mergeCell ref="C12096:D12096"/>
    <mergeCell ref="C12126:D12126"/>
    <mergeCell ref="C12114:D12114"/>
    <mergeCell ref="C12027:D12027"/>
    <mergeCell ref="C12148:D12148"/>
    <mergeCell ref="C12146:D12146"/>
    <mergeCell ref="C12129:D12129"/>
    <mergeCell ref="C12128:D12128"/>
    <mergeCell ref="C12127:D12127"/>
    <mergeCell ref="C12097:D12097"/>
    <mergeCell ref="C12047:D12047"/>
    <mergeCell ref="C11857:D11857"/>
    <mergeCell ref="C11860:D11860"/>
    <mergeCell ref="C11843:D11843"/>
    <mergeCell ref="C11959:D11959"/>
    <mergeCell ref="C11928:D11928"/>
    <mergeCell ref="C11926:D11926"/>
    <mergeCell ref="C11927:D11927"/>
    <mergeCell ref="C11910:D11910"/>
    <mergeCell ref="C12044:D12044"/>
    <mergeCell ref="C12058:D12058"/>
    <mergeCell ref="C12059:D12059"/>
    <mergeCell ref="C12060:D12060"/>
    <mergeCell ref="C12061:D12061"/>
    <mergeCell ref="C12064:D12064"/>
    <mergeCell ref="C12062:D12062"/>
    <mergeCell ref="C12063:D12063"/>
    <mergeCell ref="C12109:D12109"/>
    <mergeCell ref="C12115:D12115"/>
    <mergeCell ref="C12030:D12030"/>
    <mergeCell ref="C12041:D12041"/>
    <mergeCell ref="C12042:D12042"/>
    <mergeCell ref="C12043:D12043"/>
    <mergeCell ref="C12092:D12092"/>
    <mergeCell ref="C11858:D11858"/>
    <mergeCell ref="C11859:D11859"/>
    <mergeCell ref="C11875:D11875"/>
    <mergeCell ref="C11876:D11876"/>
    <mergeCell ref="C11871:D11871"/>
    <mergeCell ref="C11872:D11872"/>
    <mergeCell ref="C11873:D11873"/>
    <mergeCell ref="C11874:D11874"/>
    <mergeCell ref="C11907:D11907"/>
    <mergeCell ref="C11909:D11909"/>
    <mergeCell ref="C11908:D11908"/>
    <mergeCell ref="C11888:D11888"/>
    <mergeCell ref="C11889:D11889"/>
    <mergeCell ref="C11994:D11994"/>
    <mergeCell ref="C11995:D11995"/>
    <mergeCell ref="C12011:D12011"/>
    <mergeCell ref="C12007:D12007"/>
    <mergeCell ref="C12008:D12008"/>
    <mergeCell ref="C12009:D12009"/>
    <mergeCell ref="C12010:D12010"/>
    <mergeCell ref="C11956:D11956"/>
    <mergeCell ref="C11957:D11957"/>
    <mergeCell ref="C11979:D11979"/>
    <mergeCell ref="C10618:D10618"/>
    <mergeCell ref="C10494:D10494"/>
    <mergeCell ref="C10495:D10495"/>
    <mergeCell ref="C10499:D10499"/>
    <mergeCell ref="C10498:D10498"/>
    <mergeCell ref="C10563:D10563"/>
    <mergeCell ref="C12196:D12196"/>
    <mergeCell ref="C12197:D12197"/>
    <mergeCell ref="C11448:D11448"/>
    <mergeCell ref="C11536:D11536"/>
    <mergeCell ref="C11535:D11535"/>
    <mergeCell ref="C11585:D11585"/>
    <mergeCell ref="C11588:D11588"/>
    <mergeCell ref="C11599:D11599"/>
    <mergeCell ref="C11569:D11569"/>
    <mergeCell ref="C11531:D11531"/>
    <mergeCell ref="C11532:D11532"/>
    <mergeCell ref="C11533:D11533"/>
    <mergeCell ref="C11328:D11328"/>
    <mergeCell ref="C11329:D11329"/>
    <mergeCell ref="C11331:D11331"/>
    <mergeCell ref="C11332:D11332"/>
    <mergeCell ref="C11330:D11330"/>
    <mergeCell ref="C11312:D11312"/>
    <mergeCell ref="C11313:D11313"/>
    <mergeCell ref="C11311:D11311"/>
    <mergeCell ref="C11299:D11299"/>
    <mergeCell ref="C11383:D11383"/>
    <mergeCell ref="C11315:D11315"/>
    <mergeCell ref="C11314:D11314"/>
    <mergeCell ref="C11310:D11310"/>
    <mergeCell ref="C11380:D11380"/>
    <mergeCell ref="C11378:D11378"/>
    <mergeCell ref="C11379:D11379"/>
    <mergeCell ref="C11344:D11344"/>
    <mergeCell ref="C11345:D11345"/>
    <mergeCell ref="C11346:D11346"/>
    <mergeCell ref="C11347:D11347"/>
    <mergeCell ref="C11350:D11350"/>
    <mergeCell ref="C11639:D11639"/>
    <mergeCell ref="C11582:D11582"/>
    <mergeCell ref="C11348:D11348"/>
    <mergeCell ref="C11362:D11362"/>
    <mergeCell ref="C11366:D11366"/>
    <mergeCell ref="C11363:D11363"/>
    <mergeCell ref="C11364:D11364"/>
    <mergeCell ref="C11174:D11174"/>
    <mergeCell ref="C11175:D11175"/>
    <mergeCell ref="C11176:D11176"/>
    <mergeCell ref="C11177:D11177"/>
    <mergeCell ref="C11180:D11180"/>
    <mergeCell ref="C11178:D11178"/>
    <mergeCell ref="C11179:D11179"/>
    <mergeCell ref="C11225:D11225"/>
    <mergeCell ref="C11226:D11226"/>
    <mergeCell ref="C11227:D11227"/>
    <mergeCell ref="C11228:D11228"/>
    <mergeCell ref="C11146:D11146"/>
    <mergeCell ref="C11210:D11210"/>
    <mergeCell ref="C11211:D11211"/>
    <mergeCell ref="C11212:D11212"/>
    <mergeCell ref="C11756:D11756"/>
    <mergeCell ref="C11757:D11757"/>
    <mergeCell ref="C11737:D11737"/>
    <mergeCell ref="C11738:D11738"/>
    <mergeCell ref="C11755:D11755"/>
    <mergeCell ref="C11395:D11395"/>
    <mergeCell ref="C11396:D11396"/>
    <mergeCell ref="C11397:D11397"/>
    <mergeCell ref="C11398:D11398"/>
    <mergeCell ref="C11412:D11412"/>
    <mergeCell ref="C11413:D11413"/>
    <mergeCell ref="C11414:D11414"/>
    <mergeCell ref="C11415:D11415"/>
    <mergeCell ref="C11418:D11418"/>
    <mergeCell ref="C11416:D11416"/>
    <mergeCell ref="C11417:D11417"/>
    <mergeCell ref="C11399:D11399"/>
    <mergeCell ref="C11433:D11433"/>
    <mergeCell ref="C11429:D11429"/>
    <mergeCell ref="C11430:D11430"/>
    <mergeCell ref="C11431:D11431"/>
    <mergeCell ref="C11432:D11432"/>
    <mergeCell ref="C11400:D11400"/>
    <mergeCell ref="C11401:D11401"/>
    <mergeCell ref="C11446:D11446"/>
    <mergeCell ref="C11447:D11447"/>
    <mergeCell ref="C11449:D11449"/>
    <mergeCell ref="C11452:D11452"/>
    <mergeCell ref="C11463:D11463"/>
    <mergeCell ref="C11435:D11435"/>
    <mergeCell ref="C11450:D11450"/>
    <mergeCell ref="C11451:D11451"/>
    <mergeCell ref="C11382:D11382"/>
    <mergeCell ref="C11381:D11381"/>
    <mergeCell ref="C11384:D11384"/>
    <mergeCell ref="C11365:D11365"/>
    <mergeCell ref="C11367:D11367"/>
    <mergeCell ref="C11638:D11638"/>
    <mergeCell ref="C11633:D11633"/>
    <mergeCell ref="C11634:D11634"/>
    <mergeCell ref="C11635:D11635"/>
    <mergeCell ref="C11636:D11636"/>
    <mergeCell ref="C11637:D11637"/>
    <mergeCell ref="A11614:D11614"/>
    <mergeCell ref="C11652:D11652"/>
    <mergeCell ref="C11653:D11653"/>
    <mergeCell ref="C15294:D15294"/>
    <mergeCell ref="B15295:B15297"/>
    <mergeCell ref="A15253:A15267"/>
    <mergeCell ref="A15287:A15301"/>
    <mergeCell ref="B15363:B15365"/>
    <mergeCell ref="A15371:D15371"/>
    <mergeCell ref="A15355:A15369"/>
    <mergeCell ref="A15320:D15320"/>
    <mergeCell ref="C15361:D15361"/>
    <mergeCell ref="C15854:D15854"/>
    <mergeCell ref="C15849:D15849"/>
    <mergeCell ref="C15850:D15850"/>
    <mergeCell ref="C15851:D15851"/>
    <mergeCell ref="C15852:D15852"/>
    <mergeCell ref="C15819:D15819"/>
    <mergeCell ref="C15820:D15820"/>
    <mergeCell ref="C15870:D15870"/>
    <mergeCell ref="C15855:D15855"/>
    <mergeCell ref="C15868:D15868"/>
    <mergeCell ref="C15869:D15869"/>
    <mergeCell ref="B15856:B15858"/>
    <mergeCell ref="C15835:D15835"/>
    <mergeCell ref="C15838:D15838"/>
    <mergeCell ref="C15360:D15360"/>
    <mergeCell ref="C15358:D15358"/>
    <mergeCell ref="C15886:D15886"/>
    <mergeCell ref="C15888:D15888"/>
    <mergeCell ref="C15866:D15866"/>
    <mergeCell ref="C15867:D15867"/>
    <mergeCell ref="C15832:D15832"/>
    <mergeCell ref="C15359:D15359"/>
    <mergeCell ref="C15362:D15362"/>
    <mergeCell ref="C15441:D15441"/>
    <mergeCell ref="C15442:D15442"/>
    <mergeCell ref="C15307:D15307"/>
    <mergeCell ref="C15306:D15306"/>
    <mergeCell ref="C15309:D15309"/>
    <mergeCell ref="C15310:D15310"/>
    <mergeCell ref="C15308:D15308"/>
    <mergeCell ref="C15356:D15356"/>
    <mergeCell ref="C15357:D15357"/>
    <mergeCell ref="B15788:B15790"/>
    <mergeCell ref="B15822:B15824"/>
    <mergeCell ref="C15781:D15781"/>
    <mergeCell ref="C15782:D15782"/>
    <mergeCell ref="C15783:D15783"/>
    <mergeCell ref="C15784:D15784"/>
    <mergeCell ref="C15821:D15821"/>
    <mergeCell ref="C15747:D15747"/>
    <mergeCell ref="C15748:D15748"/>
    <mergeCell ref="C15749:D15749"/>
    <mergeCell ref="C15753:D15753"/>
    <mergeCell ref="B15754:B15756"/>
    <mergeCell ref="C15786:D15786"/>
    <mergeCell ref="C15787:D15787"/>
    <mergeCell ref="C15751:D15751"/>
    <mergeCell ref="C15752:D15752"/>
    <mergeCell ref="C15818:D15818"/>
    <mergeCell ref="B15771:B15773"/>
    <mergeCell ref="C15785:D15785"/>
    <mergeCell ref="C15769:D15769"/>
    <mergeCell ref="C15768:D15768"/>
    <mergeCell ref="A15779:D15779"/>
    <mergeCell ref="A15797:A15811"/>
    <mergeCell ref="C16258:D16258"/>
    <mergeCell ref="C16259:D16259"/>
    <mergeCell ref="C16244:D16244"/>
    <mergeCell ref="C16245:D16245"/>
    <mergeCell ref="C16240:D16240"/>
    <mergeCell ref="C16241:D16241"/>
    <mergeCell ref="C16212:D16212"/>
    <mergeCell ref="C16227:D16227"/>
    <mergeCell ref="A16086:A16100"/>
    <mergeCell ref="C16106:D16106"/>
    <mergeCell ref="C16107:D16107"/>
    <mergeCell ref="C16110:D16110"/>
    <mergeCell ref="C16108:D16108"/>
    <mergeCell ref="C16109:D16109"/>
    <mergeCell ref="B16111:B16113"/>
    <mergeCell ref="C16125:D16125"/>
    <mergeCell ref="B16604:B16606"/>
    <mergeCell ref="A16596:A16610"/>
    <mergeCell ref="C16569:D16569"/>
    <mergeCell ref="B16570:B16572"/>
    <mergeCell ref="C16580:D16580"/>
    <mergeCell ref="C16581:D16581"/>
    <mergeCell ref="C16582:D16582"/>
    <mergeCell ref="C16600:D16600"/>
    <mergeCell ref="B16655:B16657"/>
    <mergeCell ref="A16647:A16661"/>
    <mergeCell ref="C16669:D16669"/>
    <mergeCell ref="B16672:B16674"/>
    <mergeCell ref="C16670:D16670"/>
    <mergeCell ref="C16671:D16671"/>
    <mergeCell ref="C16648:D16648"/>
    <mergeCell ref="C16649:D16649"/>
    <mergeCell ref="A16663:D16663"/>
    <mergeCell ref="C16615:D16615"/>
    <mergeCell ref="A16612:D16612"/>
    <mergeCell ref="C16650:D16650"/>
    <mergeCell ref="C16653:D16653"/>
    <mergeCell ref="C16651:D16651"/>
    <mergeCell ref="C16652:D16652"/>
    <mergeCell ref="C16637:D16637"/>
    <mergeCell ref="A16646:D16646"/>
    <mergeCell ref="C16634:D16634"/>
    <mergeCell ref="B16230:B16232"/>
    <mergeCell ref="B16213:B16215"/>
    <mergeCell ref="C16279:D16279"/>
    <mergeCell ref="C16364:D16364"/>
    <mergeCell ref="A16510:D16510"/>
    <mergeCell ref="C16512:D16512"/>
    <mergeCell ref="A16511:A16525"/>
    <mergeCell ref="A16527:D16527"/>
    <mergeCell ref="C16517:D16517"/>
    <mergeCell ref="C16360:D16360"/>
    <mergeCell ref="C16361:D16361"/>
    <mergeCell ref="C16362:D16362"/>
    <mergeCell ref="A16307:A16321"/>
    <mergeCell ref="A16290:A16304"/>
    <mergeCell ref="A16358:A16372"/>
    <mergeCell ref="A16306:D16306"/>
    <mergeCell ref="C16260:D16260"/>
    <mergeCell ref="C16311:D16311"/>
    <mergeCell ref="B16315:B16317"/>
    <mergeCell ref="C16382:D16382"/>
    <mergeCell ref="B16383:B16385"/>
    <mergeCell ref="A16391:D16391"/>
    <mergeCell ref="C16021:D16021"/>
    <mergeCell ref="C16006:D16006"/>
    <mergeCell ref="C16007:D16007"/>
    <mergeCell ref="C16023:D16023"/>
    <mergeCell ref="A15865:A15879"/>
    <mergeCell ref="A15864:D15864"/>
    <mergeCell ref="B15839:B15841"/>
    <mergeCell ref="C16024:D16024"/>
    <mergeCell ref="A16595:D16595"/>
    <mergeCell ref="C16602:D16602"/>
    <mergeCell ref="C16603:D16603"/>
    <mergeCell ref="C15443:D15443"/>
    <mergeCell ref="A16578:D16578"/>
    <mergeCell ref="C16138:D16138"/>
    <mergeCell ref="C16139:D16139"/>
    <mergeCell ref="C15871:D15871"/>
    <mergeCell ref="C15887:D15887"/>
    <mergeCell ref="C16175:D16175"/>
    <mergeCell ref="C16178:D16178"/>
    <mergeCell ref="C16176:D16176"/>
    <mergeCell ref="C16177:D16177"/>
    <mergeCell ref="B16179:B16181"/>
    <mergeCell ref="C16601:D16601"/>
    <mergeCell ref="C16599:D16599"/>
    <mergeCell ref="C15801:D15801"/>
    <mergeCell ref="C15804:D15804"/>
    <mergeCell ref="C15802:D15802"/>
    <mergeCell ref="C15803:D15803"/>
    <mergeCell ref="B15805:B15807"/>
    <mergeCell ref="C15815:D15815"/>
    <mergeCell ref="C15816:D15816"/>
    <mergeCell ref="C15817:D15817"/>
    <mergeCell ref="C15767:D15767"/>
    <mergeCell ref="C15770:D15770"/>
    <mergeCell ref="C15750:D15750"/>
    <mergeCell ref="C15800:D15800"/>
    <mergeCell ref="C15798:D15798"/>
    <mergeCell ref="C15799:D15799"/>
    <mergeCell ref="C15764:D15764"/>
    <mergeCell ref="C15765:D15765"/>
    <mergeCell ref="C15766:D15766"/>
    <mergeCell ref="C16261:D16261"/>
    <mergeCell ref="C16262:D16262"/>
    <mergeCell ref="C16583:D16583"/>
    <mergeCell ref="C16584:D16584"/>
    <mergeCell ref="C16189:D16189"/>
    <mergeCell ref="C16190:D16190"/>
    <mergeCell ref="C16191:D16191"/>
    <mergeCell ref="C16193:D16193"/>
    <mergeCell ref="C16194:D16194"/>
    <mergeCell ref="B16247:B16249"/>
    <mergeCell ref="C16257:D16257"/>
    <mergeCell ref="C16192:D16192"/>
    <mergeCell ref="A15746:A15760"/>
    <mergeCell ref="A15763:A15777"/>
    <mergeCell ref="A15813:D15813"/>
    <mergeCell ref="A15762:D15762"/>
    <mergeCell ref="A15796:D15796"/>
    <mergeCell ref="A15899:A15913"/>
    <mergeCell ref="A15950:A15964"/>
    <mergeCell ref="A15967:A15981"/>
    <mergeCell ref="A16069:A16083"/>
    <mergeCell ref="A15984:A15998"/>
    <mergeCell ref="A16018:A16032"/>
    <mergeCell ref="B15992:B15994"/>
    <mergeCell ref="C15990:D15990"/>
    <mergeCell ref="C15991:D15991"/>
    <mergeCell ref="C15985:D15985"/>
    <mergeCell ref="C15986:D15986"/>
    <mergeCell ref="C15833:D15833"/>
    <mergeCell ref="C15834:D15834"/>
    <mergeCell ref="C15917:D15917"/>
    <mergeCell ref="C15918:D15918"/>
    <mergeCell ref="C15919:D15919"/>
    <mergeCell ref="C15889:D15889"/>
    <mergeCell ref="B15890:B15892"/>
    <mergeCell ref="C15920:D15920"/>
    <mergeCell ref="B15924:B15926"/>
    <mergeCell ref="C15922:D15922"/>
    <mergeCell ref="C15923:D15923"/>
    <mergeCell ref="C16008:D16008"/>
    <mergeCell ref="B16009:B16011"/>
    <mergeCell ref="C15972:D15972"/>
    <mergeCell ref="C15968:D15968"/>
    <mergeCell ref="C15969:D15969"/>
    <mergeCell ref="C15957:D15957"/>
    <mergeCell ref="B15958:B15960"/>
    <mergeCell ref="C15970:D15970"/>
    <mergeCell ref="B15975:B15977"/>
    <mergeCell ref="C15973:D15973"/>
    <mergeCell ref="C15901:D15901"/>
    <mergeCell ref="C15902:D15902"/>
    <mergeCell ref="C15903:D15903"/>
    <mergeCell ref="C15906:D15906"/>
    <mergeCell ref="C15904:D15904"/>
    <mergeCell ref="C15905:D15905"/>
    <mergeCell ref="B15907:B15909"/>
    <mergeCell ref="C15921:D15921"/>
    <mergeCell ref="C15987:D15987"/>
    <mergeCell ref="C15988:D15988"/>
    <mergeCell ref="C15974:D15974"/>
    <mergeCell ref="C15989:D15989"/>
    <mergeCell ref="C15954:D15954"/>
    <mergeCell ref="C15971:D15971"/>
    <mergeCell ref="A15966:D15966"/>
    <mergeCell ref="A16000:D16000"/>
    <mergeCell ref="A15983:D15983"/>
    <mergeCell ref="A15881:D15881"/>
    <mergeCell ref="C15836:D15836"/>
    <mergeCell ref="C15837:D15837"/>
    <mergeCell ref="C15853:D15853"/>
    <mergeCell ref="C15872:D15872"/>
    <mergeCell ref="C15883:D15883"/>
    <mergeCell ref="C15936:D15936"/>
    <mergeCell ref="C15937:D15937"/>
    <mergeCell ref="C15940:D15940"/>
    <mergeCell ref="B15941:B15943"/>
    <mergeCell ref="C15951:D15951"/>
    <mergeCell ref="C15952:D15952"/>
    <mergeCell ref="C15953:D15953"/>
    <mergeCell ref="C15938:D15938"/>
    <mergeCell ref="C15939:D15939"/>
    <mergeCell ref="C15934:D15934"/>
    <mergeCell ref="C15935:D15935"/>
    <mergeCell ref="B15873:B15875"/>
    <mergeCell ref="C15900:D15900"/>
    <mergeCell ref="A16034:D16034"/>
    <mergeCell ref="C16036:D16036"/>
    <mergeCell ref="B16162:B16164"/>
    <mergeCell ref="B16196:B16198"/>
    <mergeCell ref="B16145:B16147"/>
    <mergeCell ref="B16128:B16130"/>
    <mergeCell ref="B16349:B16351"/>
    <mergeCell ref="C16058:D16058"/>
    <mergeCell ref="C16053:D16053"/>
    <mergeCell ref="C16054:D16054"/>
    <mergeCell ref="C16055:D16055"/>
    <mergeCell ref="C16056:D16056"/>
    <mergeCell ref="C16057:D16057"/>
    <mergeCell ref="B16060:B16062"/>
    <mergeCell ref="B16043:B16045"/>
    <mergeCell ref="C16040:D16040"/>
    <mergeCell ref="C16041:D16041"/>
    <mergeCell ref="B16026:B16028"/>
    <mergeCell ref="C16088:D16088"/>
    <mergeCell ref="C16089:D16089"/>
    <mergeCell ref="C16090:D16090"/>
    <mergeCell ref="C16038:D16038"/>
    <mergeCell ref="C16092:D16092"/>
    <mergeCell ref="C16070:D16070"/>
    <mergeCell ref="C16071:D16071"/>
    <mergeCell ref="C16059:D16059"/>
    <mergeCell ref="C16039:D16039"/>
    <mergeCell ref="C16042:D16042"/>
    <mergeCell ref="C16093:D16093"/>
    <mergeCell ref="C16174:D16174"/>
    <mergeCell ref="C16004:D16004"/>
    <mergeCell ref="C16005:D16005"/>
    <mergeCell ref="C16121:D16121"/>
    <mergeCell ref="C16122:D16122"/>
    <mergeCell ref="C16123:D16123"/>
    <mergeCell ref="C16126:D16126"/>
    <mergeCell ref="C16037:D16037"/>
    <mergeCell ref="C16025:D16025"/>
    <mergeCell ref="A16017:D16017"/>
    <mergeCell ref="A16001:A16015"/>
    <mergeCell ref="A16051:D16051"/>
    <mergeCell ref="C16104:D16104"/>
    <mergeCell ref="C16105:D16105"/>
    <mergeCell ref="C16124:D16124"/>
    <mergeCell ref="C16022:D16022"/>
    <mergeCell ref="C16072:D16072"/>
    <mergeCell ref="C16140:D16140"/>
    <mergeCell ref="C16141:D16141"/>
    <mergeCell ref="C16142:D16142"/>
    <mergeCell ref="C16143:D16143"/>
    <mergeCell ref="C16242:D16242"/>
    <mergeCell ref="C16195:D16195"/>
    <mergeCell ref="C16223:D16223"/>
    <mergeCell ref="C16226:D16226"/>
    <mergeCell ref="C16172:D16172"/>
    <mergeCell ref="C16173:D16173"/>
    <mergeCell ref="C16144:D16144"/>
    <mergeCell ref="C16159:D16159"/>
    <mergeCell ref="C16155:D16155"/>
    <mergeCell ref="C16156:D16156"/>
    <mergeCell ref="C16157:D16157"/>
    <mergeCell ref="C16158:D16158"/>
    <mergeCell ref="C16127:D16127"/>
    <mergeCell ref="C16160:D16160"/>
    <mergeCell ref="A15780:A15794"/>
    <mergeCell ref="A15814:A15828"/>
    <mergeCell ref="A15831:A15845"/>
    <mergeCell ref="A15848:A15862"/>
    <mergeCell ref="A15830:D15830"/>
    <mergeCell ref="A15847:D15847"/>
    <mergeCell ref="A15933:A15947"/>
    <mergeCell ref="A15916:A15930"/>
    <mergeCell ref="A15949:D15949"/>
    <mergeCell ref="A15898:D15898"/>
    <mergeCell ref="A15915:D15915"/>
    <mergeCell ref="A15932:D15932"/>
    <mergeCell ref="A15882:A15896"/>
    <mergeCell ref="C15715:D15715"/>
    <mergeCell ref="C15716:D15716"/>
    <mergeCell ref="C15730:D15730"/>
    <mergeCell ref="C15719:D15719"/>
    <mergeCell ref="C15717:D15717"/>
    <mergeCell ref="C15685:D15685"/>
    <mergeCell ref="C15648:D15648"/>
    <mergeCell ref="C15651:D15651"/>
    <mergeCell ref="A15660:D15660"/>
    <mergeCell ref="A15728:D15728"/>
    <mergeCell ref="C15736:D15736"/>
    <mergeCell ref="B15737:B15739"/>
    <mergeCell ref="C15731:D15731"/>
    <mergeCell ref="A15745:D15745"/>
    <mergeCell ref="C15734:D15734"/>
    <mergeCell ref="C15735:D15735"/>
    <mergeCell ref="A15729:A15743"/>
    <mergeCell ref="C15732:D15732"/>
    <mergeCell ref="C15733:D15733"/>
    <mergeCell ref="C15696:D15696"/>
    <mergeCell ref="C15697:D15697"/>
    <mergeCell ref="C15698:D15698"/>
    <mergeCell ref="C15699:D15699"/>
    <mergeCell ref="C15702:D15702"/>
    <mergeCell ref="B15703:B15705"/>
    <mergeCell ref="C15700:D15700"/>
    <mergeCell ref="C15701:D15701"/>
    <mergeCell ref="B15686:B15688"/>
    <mergeCell ref="A15694:D15694"/>
    <mergeCell ref="B15720:B15722"/>
    <mergeCell ref="A15711:D15711"/>
    <mergeCell ref="C15718:D15718"/>
    <mergeCell ref="A15661:A15675"/>
    <mergeCell ref="C15666:D15666"/>
    <mergeCell ref="C15662:D15662"/>
    <mergeCell ref="C15663:D15663"/>
    <mergeCell ref="C15667:D15667"/>
    <mergeCell ref="C15683:D15683"/>
    <mergeCell ref="C15684:D15684"/>
    <mergeCell ref="C15682:D15682"/>
    <mergeCell ref="C15713:D15713"/>
    <mergeCell ref="B15652:B15654"/>
    <mergeCell ref="A15678:A15692"/>
    <mergeCell ref="C15679:D15679"/>
    <mergeCell ref="C15680:D15680"/>
    <mergeCell ref="A15695:A15709"/>
    <mergeCell ref="A15712:A15726"/>
    <mergeCell ref="C15322:D15322"/>
    <mergeCell ref="C15323:D15323"/>
    <mergeCell ref="C15324:D15324"/>
    <mergeCell ref="C15325:D15325"/>
    <mergeCell ref="C15328:D15328"/>
    <mergeCell ref="B15329:B15331"/>
    <mergeCell ref="C15326:D15326"/>
    <mergeCell ref="C15327:D15327"/>
    <mergeCell ref="A15304:A15318"/>
    <mergeCell ref="C15311:D15311"/>
    <mergeCell ref="B15312:B15314"/>
    <mergeCell ref="B15346:B15348"/>
    <mergeCell ref="C15344:D15344"/>
    <mergeCell ref="A15338:A15352"/>
    <mergeCell ref="C15339:D15339"/>
    <mergeCell ref="C15376:D15376"/>
    <mergeCell ref="A15372:A15386"/>
    <mergeCell ref="A15389:A15403"/>
    <mergeCell ref="C15426:D15426"/>
    <mergeCell ref="C15427:D15427"/>
    <mergeCell ref="C15373:D15373"/>
    <mergeCell ref="C15374:D15374"/>
    <mergeCell ref="C15375:D15375"/>
    <mergeCell ref="C15377:D15377"/>
    <mergeCell ref="C15378:D15378"/>
    <mergeCell ref="C15428:D15428"/>
    <mergeCell ref="C15429:D15429"/>
    <mergeCell ref="C15594:D15594"/>
    <mergeCell ref="C15583:D15583"/>
    <mergeCell ref="B15584:B15586"/>
    <mergeCell ref="A15592:D15592"/>
    <mergeCell ref="C15646:D15646"/>
    <mergeCell ref="C15647:D15647"/>
    <mergeCell ref="C15595:D15595"/>
    <mergeCell ref="C15596:D15596"/>
    <mergeCell ref="A15456:D15456"/>
    <mergeCell ref="B15465:B15467"/>
    <mergeCell ref="C15446:D15446"/>
    <mergeCell ref="C15447:D15447"/>
    <mergeCell ref="C15343:D15343"/>
    <mergeCell ref="A15337:D15337"/>
    <mergeCell ref="A15321:A15335"/>
    <mergeCell ref="C15340:D15340"/>
    <mergeCell ref="C15341:D15341"/>
    <mergeCell ref="C15342:D15342"/>
    <mergeCell ref="A15354:D15354"/>
    <mergeCell ref="C15630:D15630"/>
    <mergeCell ref="C15631:D15631"/>
    <mergeCell ref="A15559:A15573"/>
    <mergeCell ref="C15546:D15546"/>
    <mergeCell ref="A15644:A15658"/>
    <mergeCell ref="A15575:D15575"/>
    <mergeCell ref="C15577:D15577"/>
    <mergeCell ref="C15578:D15578"/>
    <mergeCell ref="C15579:D15579"/>
    <mergeCell ref="C15581:D15581"/>
    <mergeCell ref="C15582:D15582"/>
    <mergeCell ref="C15345:D15345"/>
    <mergeCell ref="A15439:D15439"/>
    <mergeCell ref="B15448:B15450"/>
    <mergeCell ref="A15610:A15624"/>
    <mergeCell ref="C15580:D15580"/>
    <mergeCell ref="C15649:D15649"/>
    <mergeCell ref="C15650:D15650"/>
    <mergeCell ref="C16020:D16020"/>
    <mergeCell ref="C15714:D15714"/>
    <mergeCell ref="C16002:D16002"/>
    <mergeCell ref="C16003:D16003"/>
    <mergeCell ref="C16073:D16073"/>
    <mergeCell ref="C16074:D16074"/>
    <mergeCell ref="C16075:D16075"/>
    <mergeCell ref="C16091:D16091"/>
    <mergeCell ref="C16161:D16161"/>
    <mergeCell ref="C16243:D16243"/>
    <mergeCell ref="C16224:D16224"/>
    <mergeCell ref="C16225:D16225"/>
    <mergeCell ref="C16228:D16228"/>
    <mergeCell ref="C16229:D16229"/>
    <mergeCell ref="C16246:D16246"/>
    <mergeCell ref="C16342:D16342"/>
    <mergeCell ref="C16310:D16310"/>
    <mergeCell ref="C16308:D16308"/>
    <mergeCell ref="C16309:D16309"/>
    <mergeCell ref="C16274:D16274"/>
    <mergeCell ref="C16275:D16275"/>
    <mergeCell ref="C16276:D16276"/>
    <mergeCell ref="C16343:D16343"/>
    <mergeCell ref="C16344:D16344"/>
    <mergeCell ref="C16345:D16345"/>
    <mergeCell ref="C16346:D16346"/>
    <mergeCell ref="C16347:D16347"/>
    <mergeCell ref="C16348:D16348"/>
    <mergeCell ref="C16586:D16586"/>
    <mergeCell ref="C16585:D16585"/>
    <mergeCell ref="C16546:D16546"/>
    <mergeCell ref="C16547:D16547"/>
    <mergeCell ref="C16566:D16566"/>
    <mergeCell ref="C16535:D16535"/>
    <mergeCell ref="C16551:D16551"/>
    <mergeCell ref="C16499:D16499"/>
    <mergeCell ref="C16464:D16464"/>
    <mergeCell ref="C16478:D16478"/>
    <mergeCell ref="C16479:D16479"/>
    <mergeCell ref="C16567:D16567"/>
    <mergeCell ref="C16568:D16568"/>
    <mergeCell ref="C16330:D16330"/>
    <mergeCell ref="C16331:D16331"/>
    <mergeCell ref="A16340:D16340"/>
    <mergeCell ref="A16323:D16323"/>
    <mergeCell ref="C16326:D16326"/>
    <mergeCell ref="C16327:D16327"/>
    <mergeCell ref="C16329:D16329"/>
    <mergeCell ref="C16328:D16328"/>
    <mergeCell ref="B16332:B16334"/>
    <mergeCell ref="A16324:A16338"/>
    <mergeCell ref="A16341:A16355"/>
    <mergeCell ref="C16278:D16278"/>
    <mergeCell ref="A16272:D16272"/>
    <mergeCell ref="C16295:D16295"/>
    <mergeCell ref="B16298:B16300"/>
    <mergeCell ref="C16296:D16296"/>
    <mergeCell ref="C16297:D16297"/>
    <mergeCell ref="C16291:D16291"/>
    <mergeCell ref="C16292:D16292"/>
    <mergeCell ref="C16293:D16293"/>
    <mergeCell ref="C16294:D16294"/>
    <mergeCell ref="A16256:A16270"/>
    <mergeCell ref="A16239:A16253"/>
    <mergeCell ref="C15204:D15204"/>
    <mergeCell ref="C15206:D15206"/>
    <mergeCell ref="C14880:D14880"/>
    <mergeCell ref="A14878:D14878"/>
    <mergeCell ref="C14949:D14949"/>
    <mergeCell ref="C14950:D14950"/>
    <mergeCell ref="C14898:D14898"/>
    <mergeCell ref="C14897:D14897"/>
    <mergeCell ref="C14965:D14965"/>
    <mergeCell ref="C14966:D14966"/>
    <mergeCell ref="C14967:D14967"/>
    <mergeCell ref="C14968:D14968"/>
    <mergeCell ref="C15000:D15000"/>
    <mergeCell ref="C15001:D15001"/>
    <mergeCell ref="A14981:A14995"/>
    <mergeCell ref="C14984:D14984"/>
    <mergeCell ref="C14970:D14970"/>
    <mergeCell ref="C14971:D14971"/>
    <mergeCell ref="A14963:D14963"/>
    <mergeCell ref="A14980:D14980"/>
    <mergeCell ref="C14937:D14937"/>
    <mergeCell ref="C14931:D14931"/>
    <mergeCell ref="C14932:D14932"/>
    <mergeCell ref="C14933:D14933"/>
    <mergeCell ref="A14946:D14946"/>
    <mergeCell ref="C14918:D14918"/>
    <mergeCell ref="C14917:D14917"/>
    <mergeCell ref="C14900:D14900"/>
    <mergeCell ref="C14903:D14903"/>
    <mergeCell ref="C14914:D14914"/>
    <mergeCell ref="C14901:D14901"/>
    <mergeCell ref="C14902:D14902"/>
    <mergeCell ref="C14916:D14916"/>
    <mergeCell ref="A14913:A14927"/>
    <mergeCell ref="C14934:D14934"/>
    <mergeCell ref="A14896:A14910"/>
    <mergeCell ref="C15003:D15003"/>
    <mergeCell ref="C15002:D15002"/>
    <mergeCell ref="A15083:A15097"/>
    <mergeCell ref="A15082:D15082"/>
    <mergeCell ref="A15099:D15099"/>
    <mergeCell ref="C15087:D15087"/>
    <mergeCell ref="C15090:D15090"/>
    <mergeCell ref="C15084:D15084"/>
    <mergeCell ref="C15085:D15085"/>
    <mergeCell ref="C15086:D15086"/>
    <mergeCell ref="B15091:B15093"/>
    <mergeCell ref="C15056:D15056"/>
    <mergeCell ref="B15057:B15059"/>
    <mergeCell ref="C15067:D15067"/>
    <mergeCell ref="C15068:D15068"/>
    <mergeCell ref="C15055:D15055"/>
    <mergeCell ref="C15071:D15071"/>
    <mergeCell ref="C15004:D15004"/>
    <mergeCell ref="C15054:D15054"/>
    <mergeCell ref="C15050:D15050"/>
    <mergeCell ref="C15051:D15051"/>
    <mergeCell ref="C15022:D15022"/>
    <mergeCell ref="C15037:D15037"/>
    <mergeCell ref="C15033:D15033"/>
    <mergeCell ref="C15039:D15039"/>
    <mergeCell ref="C15088:D15088"/>
    <mergeCell ref="C15089:D15089"/>
    <mergeCell ref="C15105:D15105"/>
    <mergeCell ref="C14999:D14999"/>
    <mergeCell ref="A15117:A15131"/>
    <mergeCell ref="A15100:A15114"/>
    <mergeCell ref="C15122:D15122"/>
    <mergeCell ref="C15123:D15123"/>
    <mergeCell ref="C15139:D15139"/>
    <mergeCell ref="C15138:D15138"/>
    <mergeCell ref="C15140:D15140"/>
    <mergeCell ref="C15292:D15292"/>
    <mergeCell ref="C15293:D15293"/>
    <mergeCell ref="A15235:D15235"/>
    <mergeCell ref="B15176:B15178"/>
    <mergeCell ref="B15193:B15195"/>
    <mergeCell ref="A14368:D14368"/>
    <mergeCell ref="A15303:D15303"/>
    <mergeCell ref="C15305:D15305"/>
    <mergeCell ref="A14436:D14436"/>
    <mergeCell ref="A14454:A14468"/>
    <mergeCell ref="A15048:D15048"/>
    <mergeCell ref="A15286:D15286"/>
    <mergeCell ref="C15237:D15237"/>
    <mergeCell ref="C15238:D15238"/>
    <mergeCell ref="C15239:D15239"/>
    <mergeCell ref="C15241:D15241"/>
    <mergeCell ref="C15240:D15240"/>
    <mergeCell ref="A15150:D15150"/>
    <mergeCell ref="C15154:D15154"/>
    <mergeCell ref="C15288:D15288"/>
    <mergeCell ref="C15289:D15289"/>
    <mergeCell ref="C15254:D15254"/>
    <mergeCell ref="C15255:D15255"/>
    <mergeCell ref="C15256:D15256"/>
    <mergeCell ref="C15257:D15257"/>
    <mergeCell ref="C15260:D15260"/>
    <mergeCell ref="B15261:B15263"/>
    <mergeCell ref="C15224:D15224"/>
    <mergeCell ref="C15225:D15225"/>
    <mergeCell ref="A15219:A15233"/>
    <mergeCell ref="C15222:D15222"/>
    <mergeCell ref="C15220:D15220"/>
    <mergeCell ref="C15221:D15221"/>
    <mergeCell ref="C15223:D15223"/>
    <mergeCell ref="C15226:D15226"/>
    <mergeCell ref="B15227:B15229"/>
    <mergeCell ref="C14915:D14915"/>
    <mergeCell ref="A14912:D14912"/>
    <mergeCell ref="B14955:B14957"/>
    <mergeCell ref="C14969:D14969"/>
    <mergeCell ref="C14951:D14951"/>
    <mergeCell ref="C14954:D14954"/>
    <mergeCell ref="C14952:D14952"/>
    <mergeCell ref="C14953:D14953"/>
    <mergeCell ref="B15023:B15025"/>
    <mergeCell ref="C15005:D15005"/>
    <mergeCell ref="B15006:B15008"/>
    <mergeCell ref="C15069:D15069"/>
    <mergeCell ref="C15070:D15070"/>
    <mergeCell ref="A15151:A15165"/>
    <mergeCell ref="A15168:A15182"/>
    <mergeCell ref="A15218:D15218"/>
    <mergeCell ref="C15173:D15173"/>
    <mergeCell ref="A15167:D15167"/>
    <mergeCell ref="C14884:D14884"/>
    <mergeCell ref="C14885:D14885"/>
    <mergeCell ref="C14866:D14866"/>
    <mergeCell ref="C14881:D14881"/>
    <mergeCell ref="C14882:D14882"/>
    <mergeCell ref="C14869:D14869"/>
    <mergeCell ref="B14870:B14872"/>
    <mergeCell ref="C14883:D14883"/>
    <mergeCell ref="C14886:D14886"/>
    <mergeCell ref="C14920:D14920"/>
    <mergeCell ref="B14921:B14923"/>
    <mergeCell ref="A14929:D14929"/>
    <mergeCell ref="A14930:A14944"/>
    <mergeCell ref="B14989:B14991"/>
    <mergeCell ref="B14938:B14940"/>
    <mergeCell ref="B14972:B14974"/>
    <mergeCell ref="A14964:A14978"/>
    <mergeCell ref="A14997:D14997"/>
    <mergeCell ref="B14904:B14906"/>
    <mergeCell ref="C15052:D15052"/>
    <mergeCell ref="C15053:D15053"/>
    <mergeCell ref="A14998:A15012"/>
    <mergeCell ref="A15015:A15029"/>
    <mergeCell ref="C15034:D15034"/>
    <mergeCell ref="C15035:D15035"/>
    <mergeCell ref="C15258:D15258"/>
    <mergeCell ref="C15016:D15016"/>
    <mergeCell ref="C15017:D15017"/>
    <mergeCell ref="C15018:D15018"/>
    <mergeCell ref="C15019:D15019"/>
    <mergeCell ref="C15020:D15020"/>
    <mergeCell ref="C15021:D15021"/>
    <mergeCell ref="C15072:D15072"/>
    <mergeCell ref="C15073:D15073"/>
    <mergeCell ref="B15074:B15076"/>
    <mergeCell ref="A15065:D15065"/>
    <mergeCell ref="A15014:D15014"/>
    <mergeCell ref="A15031:D15031"/>
    <mergeCell ref="A15049:A15063"/>
    <mergeCell ref="A15032:A15046"/>
    <mergeCell ref="B15040:B15042"/>
    <mergeCell ref="A15066:A15080"/>
    <mergeCell ref="C14982:D14982"/>
    <mergeCell ref="C14983:D14983"/>
    <mergeCell ref="A14947:A14961"/>
    <mergeCell ref="C14948:D14948"/>
    <mergeCell ref="C14985:D14985"/>
    <mergeCell ref="C14988:D14988"/>
    <mergeCell ref="C14986:D14986"/>
    <mergeCell ref="C14987:D14987"/>
    <mergeCell ref="C14935:D14935"/>
    <mergeCell ref="C14936:D14936"/>
    <mergeCell ref="C14919:D14919"/>
    <mergeCell ref="A14862:A14876"/>
    <mergeCell ref="A14879:A14893"/>
    <mergeCell ref="B14887:B14889"/>
    <mergeCell ref="A14895:D14895"/>
    <mergeCell ref="C14899:D14899"/>
    <mergeCell ref="C15106:D15106"/>
    <mergeCell ref="C15107:D15107"/>
    <mergeCell ref="C15036:D15036"/>
    <mergeCell ref="C15038:D15038"/>
    <mergeCell ref="C15259:D15259"/>
    <mergeCell ref="C15242:D15242"/>
    <mergeCell ref="C15243:D15243"/>
    <mergeCell ref="C15275:D15275"/>
    <mergeCell ref="B15278:B15280"/>
    <mergeCell ref="C15276:D15276"/>
    <mergeCell ref="C15277:D15277"/>
    <mergeCell ref="A15270:A15284"/>
    <mergeCell ref="C15271:D15271"/>
    <mergeCell ref="C15272:D15272"/>
    <mergeCell ref="C15273:D15273"/>
    <mergeCell ref="C15274:D15274"/>
    <mergeCell ref="C15120:D15120"/>
    <mergeCell ref="B15244:B15246"/>
    <mergeCell ref="A15252:D15252"/>
    <mergeCell ref="C15169:D15169"/>
    <mergeCell ref="C15170:D15170"/>
    <mergeCell ref="A15201:D15201"/>
    <mergeCell ref="A15202:A15216"/>
    <mergeCell ref="A15236:A15250"/>
    <mergeCell ref="C15121:D15121"/>
    <mergeCell ref="A15116:D15116"/>
    <mergeCell ref="C15118:D15118"/>
    <mergeCell ref="C15119:D15119"/>
    <mergeCell ref="B15142:B15144"/>
    <mergeCell ref="B15108:B15110"/>
    <mergeCell ref="C15101:D15101"/>
    <mergeCell ref="C15102:D15102"/>
    <mergeCell ref="C15103:D15103"/>
    <mergeCell ref="C15104:D15104"/>
    <mergeCell ref="B15125:B15127"/>
    <mergeCell ref="C15136:D15136"/>
    <mergeCell ref="C15137:D15137"/>
    <mergeCell ref="C15141:D15141"/>
    <mergeCell ref="C15124:D15124"/>
    <mergeCell ref="A15133:D15133"/>
    <mergeCell ref="C15135:D15135"/>
    <mergeCell ref="C15188:D15188"/>
    <mergeCell ref="C15186:D15186"/>
    <mergeCell ref="C15187:D15187"/>
    <mergeCell ref="C15174:D15174"/>
    <mergeCell ref="C15171:D15171"/>
    <mergeCell ref="C15172:D15172"/>
    <mergeCell ref="C15175:D15175"/>
    <mergeCell ref="C15209:D15209"/>
    <mergeCell ref="B15210:B15212"/>
    <mergeCell ref="A15185:A15199"/>
    <mergeCell ref="A15134:A15148"/>
    <mergeCell ref="A15184:D15184"/>
    <mergeCell ref="C15205:D15205"/>
    <mergeCell ref="C15208:D15208"/>
    <mergeCell ref="C15189:D15189"/>
    <mergeCell ref="C15190:D15190"/>
    <mergeCell ref="C15191:D15191"/>
    <mergeCell ref="C15207:D15207"/>
    <mergeCell ref="C15192:D15192"/>
    <mergeCell ref="C15203:D15203"/>
    <mergeCell ref="C15152:D15152"/>
    <mergeCell ref="C15153:D15153"/>
    <mergeCell ref="C15155:D15155"/>
    <mergeCell ref="B15159:B15161"/>
    <mergeCell ref="C15156:D15156"/>
    <mergeCell ref="C15157:D15157"/>
    <mergeCell ref="C15158:D15158"/>
    <mergeCell ref="C14867:D14867"/>
    <mergeCell ref="C14868:D14868"/>
    <mergeCell ref="C14846:D14846"/>
    <mergeCell ref="C14847:D14847"/>
    <mergeCell ref="C14818:D14818"/>
    <mergeCell ref="C14833:D14833"/>
    <mergeCell ref="C14829:D14829"/>
    <mergeCell ref="C14830:D14830"/>
    <mergeCell ref="C14831:D14831"/>
    <mergeCell ref="C14832:D14832"/>
    <mergeCell ref="B14819:B14821"/>
    <mergeCell ref="C14801:D14801"/>
    <mergeCell ref="B14700:B14702"/>
    <mergeCell ref="A14692:A14706"/>
    <mergeCell ref="C14693:D14693"/>
    <mergeCell ref="C14694:D14694"/>
    <mergeCell ref="C14695:D14695"/>
    <mergeCell ref="C14697:D14697"/>
    <mergeCell ref="C14698:D14698"/>
    <mergeCell ref="C14696:D14696"/>
    <mergeCell ref="A14505:A14519"/>
    <mergeCell ref="A14504:D14504"/>
    <mergeCell ref="B14513:B14515"/>
    <mergeCell ref="C14610:D14610"/>
    <mergeCell ref="C14611:D14611"/>
    <mergeCell ref="C14612:D14612"/>
    <mergeCell ref="C14613:D14613"/>
    <mergeCell ref="C14614:D14614"/>
    <mergeCell ref="B14615:B14617"/>
    <mergeCell ref="C14625:D14625"/>
    <mergeCell ref="C14626:D14626"/>
    <mergeCell ref="C14627:D14627"/>
    <mergeCell ref="C14646:D14646"/>
    <mergeCell ref="C14748:D14748"/>
    <mergeCell ref="C14713:D14713"/>
    <mergeCell ref="C14714:D14714"/>
    <mergeCell ref="C14852:D14852"/>
    <mergeCell ref="B14853:B14855"/>
    <mergeCell ref="A14861:D14861"/>
    <mergeCell ref="C14863:D14863"/>
    <mergeCell ref="C14864:D14864"/>
    <mergeCell ref="C14865:D14865"/>
    <mergeCell ref="A14811:A14825"/>
    <mergeCell ref="A14810:D14810"/>
    <mergeCell ref="A14793:D14793"/>
    <mergeCell ref="C14796:D14796"/>
    <mergeCell ref="C14797:D14797"/>
    <mergeCell ref="A14777:A14791"/>
    <mergeCell ref="A14794:A14808"/>
    <mergeCell ref="A14845:A14859"/>
    <mergeCell ref="A14828:A14842"/>
    <mergeCell ref="A14827:D14827"/>
    <mergeCell ref="C14798:D14798"/>
    <mergeCell ref="C14441:D14441"/>
    <mergeCell ref="C14459:D14459"/>
    <mergeCell ref="C14456:D14456"/>
    <mergeCell ref="C14457:D14457"/>
    <mergeCell ref="C14458:D14458"/>
    <mergeCell ref="C14461:D14461"/>
    <mergeCell ref="C14460:D14460"/>
    <mergeCell ref="B14445:B14447"/>
    <mergeCell ref="B14428:B14430"/>
    <mergeCell ref="C14510:D14510"/>
    <mergeCell ref="C14511:D14511"/>
    <mergeCell ref="C14527:D14527"/>
    <mergeCell ref="C14528:D14528"/>
    <mergeCell ref="C14373:D14373"/>
    <mergeCell ref="C14389:D14389"/>
    <mergeCell ref="C14390:D14390"/>
    <mergeCell ref="C14404:D14404"/>
    <mergeCell ref="C14405:D14405"/>
    <mergeCell ref="B14394:B14396"/>
    <mergeCell ref="C14442:D14442"/>
    <mergeCell ref="C14408:D14408"/>
    <mergeCell ref="C14407:D14407"/>
    <mergeCell ref="C14387:D14387"/>
    <mergeCell ref="C14388:D14388"/>
    <mergeCell ref="A14386:A14400"/>
    <mergeCell ref="C14393:D14393"/>
    <mergeCell ref="A14403:A14417"/>
    <mergeCell ref="A14420:A14434"/>
    <mergeCell ref="C14392:D14392"/>
    <mergeCell ref="A14453:D14453"/>
    <mergeCell ref="C14438:D14438"/>
    <mergeCell ref="C14427:D14427"/>
    <mergeCell ref="C14409:D14409"/>
    <mergeCell ref="C14439:D14439"/>
    <mergeCell ref="C14443:D14443"/>
    <mergeCell ref="C14406:D14406"/>
    <mergeCell ref="A14437:A14451"/>
    <mergeCell ref="C14440:D14440"/>
    <mergeCell ref="C14444:D14444"/>
    <mergeCell ref="A14419:D14419"/>
    <mergeCell ref="C14421:D14421"/>
    <mergeCell ref="C14422:D14422"/>
    <mergeCell ref="C14423:D14423"/>
    <mergeCell ref="C14426:D14426"/>
    <mergeCell ref="C14750:D14750"/>
    <mergeCell ref="A14708:D14708"/>
    <mergeCell ref="C14512:D14512"/>
    <mergeCell ref="C14577:D14577"/>
    <mergeCell ref="C14574:D14574"/>
    <mergeCell ref="C14580:D14580"/>
    <mergeCell ref="C14578:D14578"/>
    <mergeCell ref="C14579:D14579"/>
    <mergeCell ref="C14699:D14699"/>
    <mergeCell ref="C14715:D14715"/>
    <mergeCell ref="C14710:D14710"/>
    <mergeCell ref="C14711:D14711"/>
    <mergeCell ref="C14712:D14712"/>
    <mergeCell ref="C14370:D14370"/>
    <mergeCell ref="C14376:D14376"/>
    <mergeCell ref="C14374:D14374"/>
    <mergeCell ref="C14375:D14375"/>
    <mergeCell ref="B14462:B14464"/>
    <mergeCell ref="A14470:D14470"/>
    <mergeCell ref="A14521:D14521"/>
    <mergeCell ref="C14546:D14546"/>
    <mergeCell ref="B14547:B14549"/>
    <mergeCell ref="C14557:D14557"/>
    <mergeCell ref="C14544:D14544"/>
    <mergeCell ref="C14540:D14540"/>
    <mergeCell ref="C14541:D14541"/>
    <mergeCell ref="C14493:D14493"/>
    <mergeCell ref="C14494:D14494"/>
    <mergeCell ref="C14558:D14558"/>
    <mergeCell ref="C14559:D14559"/>
    <mergeCell ref="C14545:D14545"/>
    <mergeCell ref="C14561:D14561"/>
    <mergeCell ref="C14562:D14562"/>
    <mergeCell ref="C14523:D14523"/>
    <mergeCell ref="C14524:D14524"/>
    <mergeCell ref="C14525:D14525"/>
    <mergeCell ref="C14526:D14526"/>
    <mergeCell ref="C14542:D14542"/>
    <mergeCell ref="C14543:D14543"/>
    <mergeCell ref="A14555:D14555"/>
    <mergeCell ref="B14530:B14532"/>
    <mergeCell ref="A14538:D14538"/>
    <mergeCell ref="A14522:A14536"/>
    <mergeCell ref="C14529:D14529"/>
    <mergeCell ref="C14560:D14560"/>
    <mergeCell ref="C14506:D14506"/>
    <mergeCell ref="C14507:D14507"/>
    <mergeCell ref="C14508:D14508"/>
    <mergeCell ref="C14509:D14509"/>
    <mergeCell ref="A14471:A14485"/>
    <mergeCell ref="C14410:D14410"/>
    <mergeCell ref="B14411:B14413"/>
    <mergeCell ref="C14489:D14489"/>
    <mergeCell ref="C14476:D14476"/>
    <mergeCell ref="C14455:D14455"/>
    <mergeCell ref="A14488:A14502"/>
    <mergeCell ref="B14496:B14498"/>
    <mergeCell ref="C14764:D14764"/>
    <mergeCell ref="C14745:D14745"/>
    <mergeCell ref="C14746:D14746"/>
    <mergeCell ref="C14747:D14747"/>
    <mergeCell ref="C14781:D14781"/>
    <mergeCell ref="C14782:D14782"/>
    <mergeCell ref="C14778:D14778"/>
    <mergeCell ref="C14779:D14779"/>
    <mergeCell ref="B14768:B14770"/>
    <mergeCell ref="C14780:D14780"/>
    <mergeCell ref="C14766:D14766"/>
    <mergeCell ref="A14743:A14757"/>
    <mergeCell ref="C14744:D14744"/>
    <mergeCell ref="B14751:B14753"/>
    <mergeCell ref="A14759:D14759"/>
    <mergeCell ref="C14680:D14680"/>
    <mergeCell ref="C14676:D14676"/>
    <mergeCell ref="C14592:D14592"/>
    <mergeCell ref="A14589:D14589"/>
    <mergeCell ref="C14591:D14591"/>
    <mergeCell ref="A14590:A14604"/>
    <mergeCell ref="A14624:A14638"/>
    <mergeCell ref="C14593:D14593"/>
    <mergeCell ref="A14691:D14691"/>
    <mergeCell ref="A14675:A14689"/>
    <mergeCell ref="A14658:A14672"/>
    <mergeCell ref="B14598:B14600"/>
    <mergeCell ref="C14596:D14596"/>
    <mergeCell ref="C14597:D14597"/>
    <mergeCell ref="C14628:D14628"/>
    <mergeCell ref="C14608:D14608"/>
    <mergeCell ref="C14609:D14609"/>
    <mergeCell ref="C14475:D14475"/>
    <mergeCell ref="C14478:D14478"/>
    <mergeCell ref="B14479:B14481"/>
    <mergeCell ref="A14487:D14487"/>
    <mergeCell ref="C14490:D14490"/>
    <mergeCell ref="C14491:D14491"/>
    <mergeCell ref="C14492:D14492"/>
    <mergeCell ref="C14495:D14495"/>
    <mergeCell ref="C14477:D14477"/>
    <mergeCell ref="C13849:D13849"/>
    <mergeCell ref="C13847:D13847"/>
    <mergeCell ref="C13828:D13828"/>
    <mergeCell ref="C13829:D13829"/>
    <mergeCell ref="C13832:D13832"/>
    <mergeCell ref="C13133:D13133"/>
    <mergeCell ref="C13134:D13134"/>
    <mergeCell ref="C13099:D13099"/>
    <mergeCell ref="C13098:D13098"/>
    <mergeCell ref="C13148:D13148"/>
    <mergeCell ref="C13149:D13149"/>
    <mergeCell ref="B14258:B14260"/>
    <mergeCell ref="A14266:D14266"/>
    <mergeCell ref="C14252:D14252"/>
    <mergeCell ref="C14253:D14253"/>
    <mergeCell ref="C14255:D14255"/>
    <mergeCell ref="C14254:D14254"/>
    <mergeCell ref="C14169:D14169"/>
    <mergeCell ref="C14117:D14117"/>
    <mergeCell ref="C14119:D14119"/>
    <mergeCell ref="C14118:D14118"/>
    <mergeCell ref="C14784:D14784"/>
    <mergeCell ref="B14785:B14787"/>
    <mergeCell ref="C14795:D14795"/>
    <mergeCell ref="C14783:D14783"/>
    <mergeCell ref="C14767:D14767"/>
    <mergeCell ref="C14850:D14850"/>
    <mergeCell ref="C14849:D14849"/>
    <mergeCell ref="A14844:D14844"/>
    <mergeCell ref="C14851:D14851"/>
    <mergeCell ref="C14834:D14834"/>
    <mergeCell ref="C14835:D14835"/>
    <mergeCell ref="C14848:D14848"/>
    <mergeCell ref="B14836:B14838"/>
    <mergeCell ref="C14812:D14812"/>
    <mergeCell ref="C14813:D14813"/>
    <mergeCell ref="C14814:D14814"/>
    <mergeCell ref="C14815:D14815"/>
    <mergeCell ref="C14816:D14816"/>
    <mergeCell ref="C14817:D14817"/>
    <mergeCell ref="C14749:D14749"/>
    <mergeCell ref="A14742:D14742"/>
    <mergeCell ref="A14760:A14774"/>
    <mergeCell ref="A14776:D14776"/>
    <mergeCell ref="C14799:D14799"/>
    <mergeCell ref="C14800:D14800"/>
    <mergeCell ref="B14802:B14804"/>
    <mergeCell ref="C14728:D14728"/>
    <mergeCell ref="C14729:D14729"/>
    <mergeCell ref="C14730:D14730"/>
    <mergeCell ref="C14733:D14733"/>
    <mergeCell ref="C14731:D14731"/>
    <mergeCell ref="C14732:D14732"/>
    <mergeCell ref="A14709:A14723"/>
    <mergeCell ref="C14716:D14716"/>
    <mergeCell ref="B14717:B14719"/>
    <mergeCell ref="A14726:A14740"/>
    <mergeCell ref="B14734:B14736"/>
    <mergeCell ref="A14725:D14725"/>
    <mergeCell ref="C14727:D14727"/>
    <mergeCell ref="C14765:D14765"/>
    <mergeCell ref="C14761:D14761"/>
    <mergeCell ref="C14762:D14762"/>
    <mergeCell ref="C14763:D14763"/>
    <mergeCell ref="C11501:D11501"/>
    <mergeCell ref="A11428:A11442"/>
    <mergeCell ref="C11604:D11604"/>
    <mergeCell ref="C11616:D11616"/>
    <mergeCell ref="C11605:D11605"/>
    <mergeCell ref="C11617:D11617"/>
    <mergeCell ref="C11618:D11618"/>
    <mergeCell ref="C11619:D11619"/>
    <mergeCell ref="C11622:D11622"/>
    <mergeCell ref="C11620:D11620"/>
    <mergeCell ref="C11621:D11621"/>
    <mergeCell ref="C11600:D11600"/>
    <mergeCell ref="C11601:D11601"/>
    <mergeCell ref="C11603:D11603"/>
    <mergeCell ref="C11602:D11602"/>
    <mergeCell ref="C11499:D11499"/>
    <mergeCell ref="C11515:D11515"/>
    <mergeCell ref="C11520:D11520"/>
    <mergeCell ref="C11434:D11434"/>
    <mergeCell ref="C11486:D11486"/>
    <mergeCell ref="B11606:B11608"/>
    <mergeCell ref="C11960:D11960"/>
    <mergeCell ref="C11961:D11961"/>
    <mergeCell ref="C12012:D12012"/>
    <mergeCell ref="C12013:D12013"/>
    <mergeCell ref="C12098:D12098"/>
    <mergeCell ref="C12093:D12093"/>
    <mergeCell ref="C12078:D12078"/>
    <mergeCell ref="C12076:D12076"/>
    <mergeCell ref="C13203:D13203"/>
    <mergeCell ref="C13316:D13316"/>
    <mergeCell ref="C13265:D13265"/>
    <mergeCell ref="C13266:D13266"/>
    <mergeCell ref="C13267:D13267"/>
    <mergeCell ref="C13268:D13268"/>
    <mergeCell ref="C13063:D13063"/>
    <mergeCell ref="C13061:D13061"/>
    <mergeCell ref="C13062:D13062"/>
    <mergeCell ref="C12200:D12200"/>
    <mergeCell ref="C12195:D12195"/>
    <mergeCell ref="C12198:D12198"/>
    <mergeCell ref="C12199:D12199"/>
    <mergeCell ref="C12183:D12183"/>
    <mergeCell ref="C12194:D12194"/>
    <mergeCell ref="C11922:D11922"/>
    <mergeCell ref="C11923:D11923"/>
    <mergeCell ref="C11924:D11924"/>
    <mergeCell ref="C11925:D11925"/>
    <mergeCell ref="C11939:D11939"/>
    <mergeCell ref="C11940:D11940"/>
    <mergeCell ref="C11941:D11941"/>
    <mergeCell ref="C11942:D11942"/>
    <mergeCell ref="C11945:D11945"/>
    <mergeCell ref="C12045:D12045"/>
    <mergeCell ref="C12046:D12046"/>
    <mergeCell ref="C13084:D13084"/>
    <mergeCell ref="B13068:B13070"/>
    <mergeCell ref="A13076:D13076"/>
    <mergeCell ref="C13064:D13064"/>
    <mergeCell ref="A13060:A13074"/>
    <mergeCell ref="C13067:D13067"/>
    <mergeCell ref="C13271:D13271"/>
    <mergeCell ref="C13305:D13305"/>
    <mergeCell ref="C13286:D13286"/>
    <mergeCell ref="C10413:D10413"/>
    <mergeCell ref="A10407:D10407"/>
    <mergeCell ref="C10394:D10394"/>
    <mergeCell ref="C10395:D10395"/>
    <mergeCell ref="C10398:D10398"/>
    <mergeCell ref="C10396:D10396"/>
    <mergeCell ref="C10397:D10397"/>
    <mergeCell ref="C10409:D10409"/>
    <mergeCell ref="B10399:B10401"/>
    <mergeCell ref="A11547:A11561"/>
    <mergeCell ref="A11564:A11578"/>
    <mergeCell ref="C11566:D11566"/>
    <mergeCell ref="C11567:D11567"/>
    <mergeCell ref="C11568:D11568"/>
    <mergeCell ref="C11571:D11571"/>
    <mergeCell ref="A11530:A11544"/>
    <mergeCell ref="B11555:B11557"/>
    <mergeCell ref="B11538:B11540"/>
    <mergeCell ref="A11563:D11563"/>
    <mergeCell ref="A11546:D11546"/>
    <mergeCell ref="B11572:B11574"/>
    <mergeCell ref="A11580:D11580"/>
    <mergeCell ref="C11548:D11548"/>
    <mergeCell ref="C11549:D11549"/>
    <mergeCell ref="C11550:D11550"/>
    <mergeCell ref="C11551:D11551"/>
    <mergeCell ref="C11554:D11554"/>
    <mergeCell ref="C11552:D11552"/>
    <mergeCell ref="C11553:D11553"/>
    <mergeCell ref="C11246:D11246"/>
    <mergeCell ref="C11247:D11247"/>
    <mergeCell ref="C11192:D11192"/>
    <mergeCell ref="C11193:D11193"/>
    <mergeCell ref="C11194:D11194"/>
    <mergeCell ref="C11162:D11162"/>
    <mergeCell ref="C11248:D11248"/>
    <mergeCell ref="C11259:D11259"/>
    <mergeCell ref="C11260:D11260"/>
    <mergeCell ref="C11263:D11263"/>
    <mergeCell ref="C11262:D11262"/>
    <mergeCell ref="C11264:D11264"/>
    <mergeCell ref="C11276:D11276"/>
    <mergeCell ref="C11265:D11265"/>
    <mergeCell ref="C11277:D11277"/>
    <mergeCell ref="C11278:D11278"/>
    <mergeCell ref="C11279:D11279"/>
    <mergeCell ref="C11282:D11282"/>
    <mergeCell ref="C11280:D11280"/>
    <mergeCell ref="C11281:D11281"/>
    <mergeCell ref="C11297:D11297"/>
    <mergeCell ref="C11298:D11298"/>
    <mergeCell ref="C11293:D11293"/>
    <mergeCell ref="C11294:D11294"/>
    <mergeCell ref="C11295:D11295"/>
    <mergeCell ref="C11296:D11296"/>
    <mergeCell ref="C11261:D11261"/>
    <mergeCell ref="C11316:D11316"/>
    <mergeCell ref="C11333:D11333"/>
    <mergeCell ref="C11327:D11327"/>
    <mergeCell ref="A10391:A10405"/>
    <mergeCell ref="C11518:D11518"/>
    <mergeCell ref="C11519:D11519"/>
    <mergeCell ref="C11464:D11464"/>
    <mergeCell ref="C11465:D11465"/>
    <mergeCell ref="A17429:A17443"/>
    <mergeCell ref="A16834:A16848"/>
    <mergeCell ref="A16851:A16865"/>
    <mergeCell ref="A17259:A17273"/>
    <mergeCell ref="B16808:B16810"/>
    <mergeCell ref="C16806:D16806"/>
    <mergeCell ref="C16807:D16807"/>
    <mergeCell ref="B16825:B16827"/>
    <mergeCell ref="A16833:D16833"/>
    <mergeCell ref="C16737:D16737"/>
    <mergeCell ref="C16769:D16769"/>
    <mergeCell ref="C16738:D16738"/>
    <mergeCell ref="C16784:D16784"/>
    <mergeCell ref="C16785:D16785"/>
    <mergeCell ref="C16786:D16786"/>
    <mergeCell ref="C16787:D16787"/>
    <mergeCell ref="C16892:D16892"/>
    <mergeCell ref="B16893:B16895"/>
    <mergeCell ref="A16901:D16901"/>
    <mergeCell ref="C16903:D16903"/>
    <mergeCell ref="C16904:D16904"/>
    <mergeCell ref="C16905:D16905"/>
    <mergeCell ref="C17226:D17226"/>
    <mergeCell ref="C17227:D17227"/>
    <mergeCell ref="C17228:D17228"/>
    <mergeCell ref="C17229:D17229"/>
    <mergeCell ref="C17230:D17230"/>
    <mergeCell ref="C17231:D17231"/>
    <mergeCell ref="A17241:D17241"/>
    <mergeCell ref="A17326:D17326"/>
    <mergeCell ref="C10583:D10583"/>
    <mergeCell ref="C10582:D10582"/>
    <mergeCell ref="C10584:D10584"/>
    <mergeCell ref="C10596:D10596"/>
    <mergeCell ref="C10585:D10585"/>
    <mergeCell ref="C10597:D10597"/>
    <mergeCell ref="C10598:D10598"/>
    <mergeCell ref="C10599:D10599"/>
    <mergeCell ref="C10602:D10602"/>
    <mergeCell ref="C10600:D10600"/>
    <mergeCell ref="C10666:D10666"/>
    <mergeCell ref="C10667:D10667"/>
    <mergeCell ref="C10670:D10670"/>
    <mergeCell ref="C10668:D10668"/>
    <mergeCell ref="C11911:D11911"/>
    <mergeCell ref="C11962:D11962"/>
    <mergeCell ref="C11973:D11973"/>
    <mergeCell ref="C12028:D12028"/>
    <mergeCell ref="C12077:D12077"/>
    <mergeCell ref="C12080:D12080"/>
    <mergeCell ref="C12081:D12081"/>
    <mergeCell ref="C11467:D11467"/>
    <mergeCell ref="C11468:D11468"/>
    <mergeCell ref="A11495:D11495"/>
    <mergeCell ref="C11497:D11497"/>
    <mergeCell ref="C11485:D11485"/>
    <mergeCell ref="A11478:D11478"/>
    <mergeCell ref="A11479:A11493"/>
    <mergeCell ref="B11487:B11489"/>
    <mergeCell ref="A11410:D11410"/>
    <mergeCell ref="A11427:D11427"/>
    <mergeCell ref="A11462:A11476"/>
    <mergeCell ref="C11469:D11469"/>
    <mergeCell ref="B11470:B11472"/>
    <mergeCell ref="C10392:D10392"/>
    <mergeCell ref="C10393:D10393"/>
    <mergeCell ref="C9716:D9716"/>
    <mergeCell ref="C9717:D9717"/>
    <mergeCell ref="B9719:B9721"/>
    <mergeCell ref="A9727:D9727"/>
    <mergeCell ref="C9700:D9700"/>
    <mergeCell ref="C9699:D9699"/>
    <mergeCell ref="B9702:B9704"/>
    <mergeCell ref="A9710:D9710"/>
    <mergeCell ref="A9693:D9693"/>
    <mergeCell ref="C9695:D9695"/>
    <mergeCell ref="C9696:D9696"/>
    <mergeCell ref="C9712:D9712"/>
    <mergeCell ref="C9701:D9701"/>
    <mergeCell ref="C9713:D9713"/>
    <mergeCell ref="C9714:D9714"/>
    <mergeCell ref="C9715:D9715"/>
    <mergeCell ref="C9718:D9718"/>
    <mergeCell ref="C9697:D9697"/>
    <mergeCell ref="C9698:D9698"/>
    <mergeCell ref="C9833:D9833"/>
    <mergeCell ref="A9829:D9829"/>
    <mergeCell ref="C9746:D9746"/>
    <mergeCell ref="A9744:D9744"/>
    <mergeCell ref="C9782:D9782"/>
    <mergeCell ref="C9783:D9783"/>
    <mergeCell ref="C10019:D10019"/>
    <mergeCell ref="C10020:D10020"/>
    <mergeCell ref="C10088:D10088"/>
    <mergeCell ref="A10085:A10099"/>
    <mergeCell ref="B10008:B10010"/>
    <mergeCell ref="A10017:A10031"/>
    <mergeCell ref="C10004:D10004"/>
    <mergeCell ref="A10000:A10014"/>
    <mergeCell ref="B10025:B10027"/>
    <mergeCell ref="C10007:D10007"/>
    <mergeCell ref="A10101:D10101"/>
    <mergeCell ref="A10084:D10084"/>
    <mergeCell ref="C10107:D10107"/>
    <mergeCell ref="C10108:D10108"/>
    <mergeCell ref="C10103:D10103"/>
    <mergeCell ref="C10104:D10104"/>
    <mergeCell ref="C10105:D10105"/>
    <mergeCell ref="C10106:D10106"/>
    <mergeCell ref="C10123:D10123"/>
    <mergeCell ref="A10118:D10118"/>
    <mergeCell ref="B10110:B10112"/>
    <mergeCell ref="C10109:D10109"/>
    <mergeCell ref="C10211:D10211"/>
    <mergeCell ref="B10212:B10214"/>
    <mergeCell ref="A10204:A10218"/>
    <mergeCell ref="C10174:D10174"/>
    <mergeCell ref="C10171:D10171"/>
    <mergeCell ref="C10191:D10191"/>
    <mergeCell ref="C10194:D10194"/>
    <mergeCell ref="A10255:A10269"/>
    <mergeCell ref="C10005:D10005"/>
    <mergeCell ref="C10006:D10006"/>
    <mergeCell ref="C10074:D10074"/>
    <mergeCell ref="C10075:D10075"/>
    <mergeCell ref="A10068:A10082"/>
    <mergeCell ref="B10076:B10078"/>
    <mergeCell ref="A10119:A10133"/>
    <mergeCell ref="A9847:A9861"/>
    <mergeCell ref="C9831:D9831"/>
    <mergeCell ref="C9848:D9848"/>
    <mergeCell ref="B10195:B10197"/>
    <mergeCell ref="A10203:D10203"/>
    <mergeCell ref="C10205:D10205"/>
    <mergeCell ref="A10187:A10201"/>
    <mergeCell ref="A10169:D10169"/>
    <mergeCell ref="A10170:A10184"/>
    <mergeCell ref="C10158:D10158"/>
    <mergeCell ref="C10159:D10159"/>
    <mergeCell ref="C10143:D10143"/>
    <mergeCell ref="B10144:B10146"/>
    <mergeCell ref="A10152:D10152"/>
    <mergeCell ref="C10126:D10126"/>
    <mergeCell ref="C10154:D10154"/>
    <mergeCell ref="C10155:D10155"/>
    <mergeCell ref="C10156:D10156"/>
    <mergeCell ref="C10157:D10157"/>
    <mergeCell ref="C10160:D10160"/>
    <mergeCell ref="B10161:B10163"/>
    <mergeCell ref="A10016:D10016"/>
    <mergeCell ref="C10018:D10018"/>
    <mergeCell ref="C10021:D10021"/>
    <mergeCell ref="C10024:D10024"/>
    <mergeCell ref="C10022:D10022"/>
    <mergeCell ref="C10023:D10023"/>
    <mergeCell ref="A9999:D9999"/>
    <mergeCell ref="B10382:B10384"/>
    <mergeCell ref="A10390:D10390"/>
    <mergeCell ref="C10328:D10328"/>
    <mergeCell ref="C10361:D10361"/>
    <mergeCell ref="C10346:D10346"/>
    <mergeCell ref="C10364:D10364"/>
    <mergeCell ref="C10347:D10347"/>
    <mergeCell ref="A10102:A10116"/>
    <mergeCell ref="B10127:B10129"/>
    <mergeCell ref="A10135:D10135"/>
    <mergeCell ref="C10124:D10124"/>
    <mergeCell ref="C10125:D10125"/>
    <mergeCell ref="C10087:D10087"/>
    <mergeCell ref="C10070:D10070"/>
    <mergeCell ref="C10071:D10071"/>
    <mergeCell ref="C10073:D10073"/>
    <mergeCell ref="C10072:D10072"/>
    <mergeCell ref="C10090:D10090"/>
    <mergeCell ref="C10091:D10091"/>
    <mergeCell ref="B9855:B9857"/>
    <mergeCell ref="C9871:D9871"/>
    <mergeCell ref="C13950:D13950"/>
    <mergeCell ref="C13945:D13945"/>
    <mergeCell ref="C9836:D9836"/>
    <mergeCell ref="B9838:B9840"/>
    <mergeCell ref="A9846:D9846"/>
    <mergeCell ref="C9865:D9865"/>
    <mergeCell ref="A9863:D9863"/>
    <mergeCell ref="C9870:D9870"/>
    <mergeCell ref="C9866:D9866"/>
    <mergeCell ref="C9867:D9867"/>
    <mergeCell ref="C9868:D9868"/>
    <mergeCell ref="C9884:D9884"/>
    <mergeCell ref="A9880:D9880"/>
    <mergeCell ref="B9940:B9942"/>
    <mergeCell ref="A9948:D9948"/>
    <mergeCell ref="C9919:D9919"/>
    <mergeCell ref="A9914:D9914"/>
    <mergeCell ref="A9931:D9931"/>
    <mergeCell ref="A9915:A9929"/>
    <mergeCell ref="A9898:A9912"/>
    <mergeCell ref="A9932:A9946"/>
    <mergeCell ref="A9949:A9963"/>
    <mergeCell ref="A9965:D9965"/>
    <mergeCell ref="C9968:D9968"/>
    <mergeCell ref="C9967:D9967"/>
    <mergeCell ref="C9971:D9971"/>
    <mergeCell ref="C9970:D9970"/>
    <mergeCell ref="C9955:D9955"/>
    <mergeCell ref="C9969:D9969"/>
    <mergeCell ref="C9956:D9956"/>
    <mergeCell ref="B9974:B9976"/>
    <mergeCell ref="C9972:D9972"/>
    <mergeCell ref="A9966:A9980"/>
    <mergeCell ref="C9973:D9973"/>
    <mergeCell ref="C9918:D9918"/>
    <mergeCell ref="C9869:D9869"/>
    <mergeCell ref="C9950:D9950"/>
    <mergeCell ref="C9951:D9951"/>
    <mergeCell ref="C9933:D9933"/>
    <mergeCell ref="C9934:D9934"/>
    <mergeCell ref="C9935:D9935"/>
    <mergeCell ref="C9937:D9937"/>
    <mergeCell ref="C9936:D9936"/>
    <mergeCell ref="C9938:D9938"/>
    <mergeCell ref="C9939:D9939"/>
    <mergeCell ref="C9952:D9952"/>
    <mergeCell ref="C9953:D9953"/>
    <mergeCell ref="B9957:B9959"/>
    <mergeCell ref="C9954:D9954"/>
    <mergeCell ref="A9864:A9878"/>
    <mergeCell ref="B9872:B9874"/>
    <mergeCell ref="C9888:D9888"/>
    <mergeCell ref="A9897:D9897"/>
    <mergeCell ref="C9900:D9900"/>
    <mergeCell ref="C9887:D9887"/>
    <mergeCell ref="C9899:D9899"/>
    <mergeCell ref="C9885:D9885"/>
    <mergeCell ref="C9886:D9886"/>
    <mergeCell ref="C9882:D9882"/>
    <mergeCell ref="C9883:D9883"/>
    <mergeCell ref="B9889:B9891"/>
    <mergeCell ref="A9881:A9895"/>
    <mergeCell ref="C14425:D14425"/>
    <mergeCell ref="C14424:D14424"/>
    <mergeCell ref="C14474:D14474"/>
    <mergeCell ref="C13146:D13146"/>
    <mergeCell ref="C13112:D13112"/>
    <mergeCell ref="C13113:D13113"/>
    <mergeCell ref="C13114:D13114"/>
    <mergeCell ref="C13115:D13115"/>
    <mergeCell ref="C13135:D13135"/>
    <mergeCell ref="C13946:D13946"/>
    <mergeCell ref="C13947:D13947"/>
    <mergeCell ref="C13948:D13948"/>
    <mergeCell ref="C13913:D13913"/>
    <mergeCell ref="C13915:D13915"/>
    <mergeCell ref="B13187:B13189"/>
    <mergeCell ref="A13195:D13195"/>
    <mergeCell ref="C13129:D13129"/>
    <mergeCell ref="C13130:D13130"/>
    <mergeCell ref="A13128:A13142"/>
    <mergeCell ref="A13127:D13127"/>
    <mergeCell ref="A13212:D13212"/>
    <mergeCell ref="B13170:B13172"/>
    <mergeCell ref="A13178:D13178"/>
    <mergeCell ref="C13201:D13201"/>
    <mergeCell ref="C13197:D13197"/>
    <mergeCell ref="C13200:D13200"/>
    <mergeCell ref="C13198:D13198"/>
    <mergeCell ref="C13199:D13199"/>
    <mergeCell ref="C13233:D13233"/>
    <mergeCell ref="C13235:D13235"/>
    <mergeCell ref="C13234:D13234"/>
    <mergeCell ref="C13214:D13214"/>
    <mergeCell ref="C13215:D13215"/>
    <mergeCell ref="C13202:D13202"/>
    <mergeCell ref="C14015:D14015"/>
    <mergeCell ref="C14184:D14184"/>
    <mergeCell ref="C14170:D14170"/>
    <mergeCell ref="C14171:D14171"/>
    <mergeCell ref="A14232:D14232"/>
    <mergeCell ref="C14222:D14222"/>
    <mergeCell ref="A14216:A14230"/>
    <mergeCell ref="C14236:D14236"/>
    <mergeCell ref="C14234:D14234"/>
    <mergeCell ref="C14235:D14235"/>
    <mergeCell ref="C14200:D14200"/>
    <mergeCell ref="C14201:D14201"/>
    <mergeCell ref="C14202:D14202"/>
    <mergeCell ref="C14203:D14203"/>
    <mergeCell ref="C14206:D14206"/>
    <mergeCell ref="B14207:B14209"/>
    <mergeCell ref="C14204:D14204"/>
    <mergeCell ref="C14205:D14205"/>
    <mergeCell ref="C14189:D14189"/>
    <mergeCell ref="B14190:B14192"/>
    <mergeCell ref="C14120:D14120"/>
    <mergeCell ref="C14121:D14121"/>
    <mergeCell ref="C14155:D14155"/>
    <mergeCell ref="C14286:D14286"/>
    <mergeCell ref="C14287:D14287"/>
    <mergeCell ref="C14269:D14269"/>
    <mergeCell ref="C14270:D14270"/>
    <mergeCell ref="B13340:B13342"/>
    <mergeCell ref="B13357:B13359"/>
    <mergeCell ref="C13373:D13373"/>
    <mergeCell ref="B15601:B15603"/>
    <mergeCell ref="C15598:D15598"/>
    <mergeCell ref="C15599:D15599"/>
    <mergeCell ref="A15609:D15609"/>
    <mergeCell ref="C15615:D15615"/>
    <mergeCell ref="C15510:D15510"/>
    <mergeCell ref="C15511:D15511"/>
    <mergeCell ref="C15513:D15513"/>
    <mergeCell ref="C15514:D15514"/>
    <mergeCell ref="C15530:D15530"/>
    <mergeCell ref="C15531:D15531"/>
    <mergeCell ref="C15512:D15512"/>
    <mergeCell ref="C15515:D15515"/>
    <mergeCell ref="C15544:D15544"/>
    <mergeCell ref="C15545:D15545"/>
    <mergeCell ref="A15541:D15541"/>
    <mergeCell ref="A15558:D15558"/>
    <mergeCell ref="C15547:D15547"/>
    <mergeCell ref="B15550:B15552"/>
    <mergeCell ref="C15548:D15548"/>
    <mergeCell ref="A15542:A15556"/>
    <mergeCell ref="C15543:D15543"/>
    <mergeCell ref="A15576:A15590"/>
    <mergeCell ref="A15593:A15607"/>
    <mergeCell ref="C15529:D15529"/>
    <mergeCell ref="C15532:D15532"/>
    <mergeCell ref="C9837:D9837"/>
    <mergeCell ref="C9816:D9816"/>
    <mergeCell ref="C9849:D9849"/>
    <mergeCell ref="C9850:D9850"/>
    <mergeCell ref="C9854:D9854"/>
    <mergeCell ref="C9853:D9853"/>
    <mergeCell ref="B9991:B9993"/>
    <mergeCell ref="A9983:A9997"/>
    <mergeCell ref="C9988:D9988"/>
    <mergeCell ref="C9989:D9989"/>
    <mergeCell ref="C9984:D9984"/>
    <mergeCell ref="C9985:D9985"/>
    <mergeCell ref="C9987:D9987"/>
    <mergeCell ref="A9982:D9982"/>
    <mergeCell ref="C9990:D9990"/>
    <mergeCell ref="C9904:D9904"/>
    <mergeCell ref="B9906:B9908"/>
    <mergeCell ref="C9905:D9905"/>
    <mergeCell ref="C9922:D9922"/>
    <mergeCell ref="B9923:B9925"/>
    <mergeCell ref="C9901:D9901"/>
    <mergeCell ref="C9903:D9903"/>
    <mergeCell ref="C9902:D9902"/>
    <mergeCell ref="C9920:D9920"/>
    <mergeCell ref="C9921:D9921"/>
    <mergeCell ref="C9916:D9916"/>
    <mergeCell ref="C9917:D9917"/>
    <mergeCell ref="C9851:D9851"/>
    <mergeCell ref="C9852:D9852"/>
    <mergeCell ref="C10001:D10001"/>
    <mergeCell ref="C10002:D10002"/>
    <mergeCell ref="C10003:D10003"/>
    <mergeCell ref="C9986:D9986"/>
    <mergeCell ref="C14371:D14371"/>
    <mergeCell ref="C14372:D14372"/>
    <mergeCell ref="A14385:D14385"/>
    <mergeCell ref="C14391:D14391"/>
    <mergeCell ref="A14402:D14402"/>
    <mergeCell ref="C15460:D15460"/>
    <mergeCell ref="C15461:D15461"/>
    <mergeCell ref="C15464:D15464"/>
    <mergeCell ref="C15462:D15462"/>
    <mergeCell ref="C15463:D15463"/>
    <mergeCell ref="C15562:D15562"/>
    <mergeCell ref="C15560:D15560"/>
    <mergeCell ref="C15561:D15561"/>
    <mergeCell ref="A15524:D15524"/>
    <mergeCell ref="A16392:A16406"/>
    <mergeCell ref="A16409:A16423"/>
    <mergeCell ref="A16137:A16151"/>
    <mergeCell ref="A16103:A16117"/>
    <mergeCell ref="A16120:A16134"/>
    <mergeCell ref="A16460:A16474"/>
    <mergeCell ref="A16477:A16491"/>
    <mergeCell ref="A16528:A16542"/>
    <mergeCell ref="A16443:A16457"/>
    <mergeCell ref="A16545:A16559"/>
    <mergeCell ref="C16415:D16415"/>
    <mergeCell ref="C16416:D16416"/>
    <mergeCell ref="B16417:B16419"/>
    <mergeCell ref="C16393:D16393"/>
    <mergeCell ref="C16394:D16394"/>
    <mergeCell ref="C16395:D16395"/>
    <mergeCell ref="C16396:D16396"/>
    <mergeCell ref="C16398:D16398"/>
    <mergeCell ref="C16399:D16399"/>
    <mergeCell ref="A16408:D16408"/>
    <mergeCell ref="C16414:D16414"/>
    <mergeCell ref="C16410:D16410"/>
    <mergeCell ref="C16411:D16411"/>
    <mergeCell ref="C16412:D16412"/>
    <mergeCell ref="C16413:D16413"/>
    <mergeCell ref="C16397:D16397"/>
    <mergeCell ref="B16400:B16402"/>
    <mergeCell ref="C16450:D16450"/>
    <mergeCell ref="C16448:D16448"/>
    <mergeCell ref="A16544:D16544"/>
    <mergeCell ref="C16533:D16533"/>
    <mergeCell ref="C16530:D16530"/>
    <mergeCell ref="C16534:D16534"/>
    <mergeCell ref="C16548:D16548"/>
    <mergeCell ref="C16549:D16549"/>
    <mergeCell ref="C16514:D16514"/>
    <mergeCell ref="C16515:D16515"/>
    <mergeCell ref="C16531:D16531"/>
    <mergeCell ref="C16532:D16532"/>
    <mergeCell ref="C16513:D16513"/>
    <mergeCell ref="C16518:D16518"/>
    <mergeCell ref="B16519:B16521"/>
    <mergeCell ref="C16529:D16529"/>
    <mergeCell ref="B16536:B16538"/>
    <mergeCell ref="C16516:D16516"/>
    <mergeCell ref="B16366:B16368"/>
    <mergeCell ref="C16363:D16363"/>
    <mergeCell ref="C16365:D16365"/>
    <mergeCell ref="C16359:D16359"/>
    <mergeCell ref="C15617:D15617"/>
    <mergeCell ref="B15635:B15637"/>
    <mergeCell ref="C15566:D15566"/>
    <mergeCell ref="B15567:B15569"/>
    <mergeCell ref="C15565:D15565"/>
    <mergeCell ref="C15563:D15563"/>
    <mergeCell ref="C16380:D16380"/>
    <mergeCell ref="C16381:D16381"/>
    <mergeCell ref="A16562:A16576"/>
    <mergeCell ref="A16579:A16593"/>
    <mergeCell ref="A16561:D16561"/>
    <mergeCell ref="B16553:B16555"/>
    <mergeCell ref="C16563:D16563"/>
    <mergeCell ref="C16564:D16564"/>
    <mergeCell ref="C16565:D16565"/>
    <mergeCell ref="A16459:D16459"/>
    <mergeCell ref="C16467:D16467"/>
    <mergeCell ref="C16465:D16465"/>
    <mergeCell ref="C16466:D16466"/>
    <mergeCell ref="A16442:D16442"/>
    <mergeCell ref="C16444:D16444"/>
    <mergeCell ref="A16476:D16476"/>
    <mergeCell ref="C16481:D16481"/>
    <mergeCell ref="A16494:A16508"/>
    <mergeCell ref="A16425:D16425"/>
    <mergeCell ref="A16426:A16440"/>
    <mergeCell ref="B16468:B16470"/>
    <mergeCell ref="B16502:B16504"/>
    <mergeCell ref="C16449:D16449"/>
    <mergeCell ref="C16445:D16445"/>
    <mergeCell ref="C16482:D16482"/>
    <mergeCell ref="C16446:D16446"/>
    <mergeCell ref="C16447:D16447"/>
    <mergeCell ref="C16431:D16431"/>
    <mergeCell ref="C16427:D16427"/>
    <mergeCell ref="C16428:D16428"/>
    <mergeCell ref="C16429:D16429"/>
    <mergeCell ref="C16430:D16430"/>
    <mergeCell ref="B16434:B16436"/>
    <mergeCell ref="C16432:D16432"/>
    <mergeCell ref="C16433:D16433"/>
    <mergeCell ref="A16493:D16493"/>
    <mergeCell ref="C16495:D16495"/>
    <mergeCell ref="C16496:D16496"/>
    <mergeCell ref="C16497:D16497"/>
    <mergeCell ref="C16500:D16500"/>
    <mergeCell ref="C16501:D16501"/>
    <mergeCell ref="C16498:D16498"/>
    <mergeCell ref="C16484:D16484"/>
    <mergeCell ref="C16480:D16480"/>
    <mergeCell ref="B16485:B16487"/>
    <mergeCell ref="C16483:D16483"/>
    <mergeCell ref="B16451:B16453"/>
    <mergeCell ref="C16461:D16461"/>
    <mergeCell ref="C16462:D16462"/>
    <mergeCell ref="C16463:D16463"/>
    <mergeCell ref="C16552:D16552"/>
    <mergeCell ref="C16550:D16550"/>
    <mergeCell ref="B16587:B16589"/>
    <mergeCell ref="A16375:A16389"/>
    <mergeCell ref="C16376:D16376"/>
    <mergeCell ref="C16377:D16377"/>
    <mergeCell ref="A16374:D16374"/>
    <mergeCell ref="C15632:D15632"/>
    <mergeCell ref="C15634:D15634"/>
    <mergeCell ref="C15884:D15884"/>
    <mergeCell ref="C15885:D15885"/>
    <mergeCell ref="C15616:D15616"/>
    <mergeCell ref="C15611:D15611"/>
    <mergeCell ref="C15612:D15612"/>
    <mergeCell ref="C15613:D15613"/>
    <mergeCell ref="C15614:D15614"/>
    <mergeCell ref="A16205:A16219"/>
    <mergeCell ref="A16221:D16221"/>
    <mergeCell ref="C16206:D16206"/>
    <mergeCell ref="C16207:D16207"/>
    <mergeCell ref="C16208:D16208"/>
    <mergeCell ref="C16209:D16209"/>
    <mergeCell ref="C16210:D16210"/>
    <mergeCell ref="C16211:D16211"/>
    <mergeCell ref="B16094:B16096"/>
    <mergeCell ref="A16102:D16102"/>
    <mergeCell ref="A16035:A16049"/>
    <mergeCell ref="A16052:A16066"/>
    <mergeCell ref="A16068:D16068"/>
    <mergeCell ref="C16076:D16076"/>
    <mergeCell ref="B16077:B16079"/>
    <mergeCell ref="A16085:D16085"/>
    <mergeCell ref="C16087:D16087"/>
    <mergeCell ref="C16312:D16312"/>
    <mergeCell ref="C16313:D16313"/>
    <mergeCell ref="C16378:D16378"/>
    <mergeCell ref="C16379:D16379"/>
    <mergeCell ref="A15626:D15626"/>
    <mergeCell ref="A15643:D15643"/>
    <mergeCell ref="C15681:D15681"/>
    <mergeCell ref="C15664:D15664"/>
    <mergeCell ref="C15665:D15665"/>
    <mergeCell ref="C15668:D15668"/>
    <mergeCell ref="B15669:B15671"/>
    <mergeCell ref="A15677:D15677"/>
    <mergeCell ref="C15955:D15955"/>
    <mergeCell ref="C15956:D15956"/>
    <mergeCell ref="C16019:D16019"/>
    <mergeCell ref="A16154:A16168"/>
    <mergeCell ref="A16153:D16153"/>
    <mergeCell ref="A16136:D16136"/>
    <mergeCell ref="A16171:A16185"/>
    <mergeCell ref="A16170:D16170"/>
    <mergeCell ref="A16188:A16202"/>
    <mergeCell ref="A16204:D16204"/>
    <mergeCell ref="A16119:D16119"/>
    <mergeCell ref="A16187:D16187"/>
    <mergeCell ref="C16277:D16277"/>
    <mergeCell ref="C16280:D16280"/>
    <mergeCell ref="A16222:A16236"/>
    <mergeCell ref="A16273:A16287"/>
    <mergeCell ref="C16263:D16263"/>
    <mergeCell ref="A16357:D16357"/>
    <mergeCell ref="C16325:D16325"/>
    <mergeCell ref="C15645:D15645"/>
    <mergeCell ref="C15633:D15633"/>
    <mergeCell ref="C15628:D15628"/>
    <mergeCell ref="C15629:D15629"/>
    <mergeCell ref="A15627:A15641"/>
    <mergeCell ref="B15618:B15620"/>
    <mergeCell ref="A13825:A13839"/>
    <mergeCell ref="A13893:A13907"/>
    <mergeCell ref="A13910:A13924"/>
    <mergeCell ref="A13927:A13941"/>
    <mergeCell ref="C13813:D13813"/>
    <mergeCell ref="B13816:B13818"/>
    <mergeCell ref="A13842:A13856"/>
    <mergeCell ref="B13901:B13903"/>
    <mergeCell ref="A13875:D13875"/>
    <mergeCell ref="C13792:D13792"/>
    <mergeCell ref="A13773:D13773"/>
    <mergeCell ref="A13790:D13790"/>
    <mergeCell ref="C13812:D13812"/>
    <mergeCell ref="A13841:D13841"/>
    <mergeCell ref="A13824:D13824"/>
    <mergeCell ref="A13909:D13909"/>
    <mergeCell ref="C13406:D13406"/>
    <mergeCell ref="C13407:D13407"/>
    <mergeCell ref="C13420:D13420"/>
    <mergeCell ref="C13401:D13401"/>
    <mergeCell ref="C13405:D13405"/>
    <mergeCell ref="C13419:D13419"/>
    <mergeCell ref="C13404:D13404"/>
    <mergeCell ref="C13402:D13402"/>
    <mergeCell ref="C13403:D13403"/>
    <mergeCell ref="A13807:D13807"/>
    <mergeCell ref="C13809:D13809"/>
    <mergeCell ref="C13810:D13810"/>
    <mergeCell ref="C13811:D13811"/>
    <mergeCell ref="B13765:B13767"/>
    <mergeCell ref="C13727:D13727"/>
    <mergeCell ref="C13728:D13728"/>
    <mergeCell ref="B13748:B13750"/>
    <mergeCell ref="A13756:D13756"/>
    <mergeCell ref="A13723:A13737"/>
    <mergeCell ref="A13740:A13754"/>
    <mergeCell ref="A13757:A13771"/>
    <mergeCell ref="C13848:D13848"/>
    <mergeCell ref="C13843:D13843"/>
    <mergeCell ref="C13844:D13844"/>
    <mergeCell ref="C13845:D13845"/>
    <mergeCell ref="C13846:D13846"/>
    <mergeCell ref="B13850:B13852"/>
    <mergeCell ref="B13833:B13835"/>
    <mergeCell ref="A13926:D13926"/>
    <mergeCell ref="C13929:D13929"/>
    <mergeCell ref="B13629:B13631"/>
    <mergeCell ref="C13626:D13626"/>
    <mergeCell ref="C13627:D13627"/>
    <mergeCell ref="A13637:D13637"/>
    <mergeCell ref="C13639:D13639"/>
    <mergeCell ref="C13691:D13691"/>
    <mergeCell ref="C13695:D13695"/>
    <mergeCell ref="A13688:D13688"/>
    <mergeCell ref="C13674:D13674"/>
    <mergeCell ref="C13675:D13675"/>
    <mergeCell ref="C13677:D13677"/>
    <mergeCell ref="C13676:D13676"/>
    <mergeCell ref="C13644:D13644"/>
    <mergeCell ref="C13898:D13898"/>
    <mergeCell ref="C13899:D13899"/>
    <mergeCell ref="C13911:D13911"/>
    <mergeCell ref="C13912:D13912"/>
    <mergeCell ref="C13830:D13830"/>
    <mergeCell ref="C13949:D13949"/>
    <mergeCell ref="C15411:D15411"/>
    <mergeCell ref="C15390:D15390"/>
    <mergeCell ref="C15391:D15391"/>
    <mergeCell ref="C15392:D15392"/>
    <mergeCell ref="B13374:B13376"/>
    <mergeCell ref="A13365:D13365"/>
    <mergeCell ref="A13349:A13363"/>
    <mergeCell ref="A13348:D13348"/>
    <mergeCell ref="C13320:D13320"/>
    <mergeCell ref="A13314:D13314"/>
    <mergeCell ref="A13332:A13346"/>
    <mergeCell ref="A13366:A13380"/>
    <mergeCell ref="A13383:A13397"/>
    <mergeCell ref="A13382:D13382"/>
    <mergeCell ref="A13331:D13331"/>
    <mergeCell ref="B13391:B13393"/>
    <mergeCell ref="C13456:D13456"/>
    <mergeCell ref="C13454:D13454"/>
    <mergeCell ref="C13452:D13452"/>
    <mergeCell ref="C13453:D13453"/>
    <mergeCell ref="C13439:D13439"/>
    <mergeCell ref="C13436:D13436"/>
    <mergeCell ref="C13437:D13437"/>
    <mergeCell ref="C13438:D13438"/>
    <mergeCell ref="C13421:D13421"/>
    <mergeCell ref="C13422:D13422"/>
    <mergeCell ref="C13423:D13423"/>
    <mergeCell ref="C13440:D13440"/>
    <mergeCell ref="C13424:D13424"/>
    <mergeCell ref="C13435:D13435"/>
    <mergeCell ref="C13711:D13711"/>
    <mergeCell ref="B13714:B13716"/>
    <mergeCell ref="C13793:D13793"/>
    <mergeCell ref="C13780:D13780"/>
    <mergeCell ref="C13781:D13781"/>
    <mergeCell ref="C14358:D14358"/>
    <mergeCell ref="C14359:D14359"/>
    <mergeCell ref="B14088:B14090"/>
    <mergeCell ref="A14096:D14096"/>
    <mergeCell ref="C14033:D14033"/>
    <mergeCell ref="C14036:D14036"/>
    <mergeCell ref="B14105:B14107"/>
    <mergeCell ref="A14113:D14113"/>
    <mergeCell ref="C14115:D14115"/>
    <mergeCell ref="A14097:A14111"/>
    <mergeCell ref="C14087:D14087"/>
    <mergeCell ref="C13934:D13934"/>
    <mergeCell ref="B13935:B13937"/>
    <mergeCell ref="C13916:D13916"/>
    <mergeCell ref="C13914:D13914"/>
    <mergeCell ref="C13962:D13962"/>
    <mergeCell ref="C13928:D13928"/>
    <mergeCell ref="C13917:D13917"/>
    <mergeCell ref="B13918:B13920"/>
    <mergeCell ref="B13799:B13801"/>
    <mergeCell ref="A13791:A13805"/>
    <mergeCell ref="B13782:B13784"/>
    <mergeCell ref="A13774:A13788"/>
    <mergeCell ref="A13808:A13822"/>
    <mergeCell ref="C14188:D14188"/>
    <mergeCell ref="C14183:D14183"/>
    <mergeCell ref="C14104:D14104"/>
    <mergeCell ref="C14102:D14102"/>
    <mergeCell ref="C14101:D14101"/>
    <mergeCell ref="A16289:D16289"/>
    <mergeCell ref="C16314:D16314"/>
    <mergeCell ref="B15431:B15433"/>
    <mergeCell ref="B15397:B15399"/>
    <mergeCell ref="B15414:B15416"/>
    <mergeCell ref="C15379:D15379"/>
    <mergeCell ref="B15380:B15382"/>
    <mergeCell ref="C15445:D15445"/>
    <mergeCell ref="C15444:D15444"/>
    <mergeCell ref="C15412:D15412"/>
    <mergeCell ref="C15413:D15413"/>
    <mergeCell ref="C15407:D15407"/>
    <mergeCell ref="C15408:D15408"/>
    <mergeCell ref="C15409:D15409"/>
    <mergeCell ref="C15410:D15410"/>
    <mergeCell ref="C15479:D15479"/>
    <mergeCell ref="B15482:B15484"/>
    <mergeCell ref="C15475:D15475"/>
    <mergeCell ref="C15476:D15476"/>
    <mergeCell ref="C15477:D15477"/>
    <mergeCell ref="C15478:D15478"/>
    <mergeCell ref="C15480:D15480"/>
    <mergeCell ref="C15481:D15481"/>
    <mergeCell ref="C15495:D15495"/>
    <mergeCell ref="C15498:D15498"/>
    <mergeCell ref="C15494:D15494"/>
    <mergeCell ref="C15492:D15492"/>
    <mergeCell ref="C15496:D15496"/>
    <mergeCell ref="A15490:D15490"/>
    <mergeCell ref="B15499:B15501"/>
    <mergeCell ref="A15507:D15507"/>
    <mergeCell ref="C15509:D15509"/>
    <mergeCell ref="A15491:A15505"/>
    <mergeCell ref="C15430:D15430"/>
    <mergeCell ref="C15424:D15424"/>
    <mergeCell ref="A16255:D16255"/>
    <mergeCell ref="A16238:D16238"/>
    <mergeCell ref="B16264:B16266"/>
    <mergeCell ref="B16281:B16283"/>
    <mergeCell ref="C15393:D15393"/>
    <mergeCell ref="C15396:D15396"/>
    <mergeCell ref="C15394:D15394"/>
    <mergeCell ref="C15395:D15395"/>
    <mergeCell ref="A15388:D15388"/>
    <mergeCell ref="A15405:D15405"/>
    <mergeCell ref="C15425:D15425"/>
    <mergeCell ref="A15422:D15422"/>
    <mergeCell ref="A15423:A15437"/>
    <mergeCell ref="A15406:A15420"/>
    <mergeCell ref="C15526:D15526"/>
    <mergeCell ref="C15527:D15527"/>
    <mergeCell ref="C15528:D15528"/>
    <mergeCell ref="C14357:D14357"/>
    <mergeCell ref="A15473:D15473"/>
    <mergeCell ref="A15440:A15454"/>
    <mergeCell ref="A15457:A15471"/>
    <mergeCell ref="B15516:B15518"/>
    <mergeCell ref="A15508:A15522"/>
    <mergeCell ref="C15497:D15497"/>
    <mergeCell ref="A15474:A15488"/>
    <mergeCell ref="C15493:D15493"/>
    <mergeCell ref="C15458:D15458"/>
    <mergeCell ref="C15459:D15459"/>
    <mergeCell ref="A15525:A15539"/>
    <mergeCell ref="C15564:D15564"/>
    <mergeCell ref="C15549:D15549"/>
    <mergeCell ref="B15533:B15535"/>
    <mergeCell ref="C15597:D15597"/>
    <mergeCell ref="C15600:D15600"/>
    <mergeCell ref="A14029:A14043"/>
    <mergeCell ref="B14054:B14056"/>
    <mergeCell ref="C13982:D13982"/>
    <mergeCell ref="A14198:D14198"/>
    <mergeCell ref="C14289:D14289"/>
    <mergeCell ref="B13612:B13614"/>
    <mergeCell ref="C13643:D13643"/>
    <mergeCell ref="C13642:D13642"/>
    <mergeCell ref="C13662:D13662"/>
    <mergeCell ref="B13663:B13665"/>
    <mergeCell ref="C13645:D13645"/>
    <mergeCell ref="C13979:D13979"/>
    <mergeCell ref="C13985:D13985"/>
    <mergeCell ref="C13996:D13996"/>
    <mergeCell ref="A13994:D13994"/>
    <mergeCell ref="A13977:D13977"/>
    <mergeCell ref="C13964:D13964"/>
    <mergeCell ref="C13965:D13965"/>
    <mergeCell ref="C13968:D13968"/>
    <mergeCell ref="C13963:D13963"/>
    <mergeCell ref="C13967:D13967"/>
    <mergeCell ref="B13986:B13988"/>
    <mergeCell ref="C14067:D14067"/>
    <mergeCell ref="C14068:D14068"/>
    <mergeCell ref="B14071:B14073"/>
    <mergeCell ref="C14069:D14069"/>
    <mergeCell ref="A13961:A13975"/>
    <mergeCell ref="B13969:B13971"/>
    <mergeCell ref="B13952:B13954"/>
    <mergeCell ref="A13944:A13958"/>
    <mergeCell ref="C13930:D13930"/>
    <mergeCell ref="C13931:D13931"/>
    <mergeCell ref="C13932:D13932"/>
    <mergeCell ref="C13933:D13933"/>
    <mergeCell ref="A13978:A13992"/>
    <mergeCell ref="A13995:A14009"/>
    <mergeCell ref="A14063:A14077"/>
    <mergeCell ref="C14085:D14085"/>
    <mergeCell ref="C14081:D14081"/>
    <mergeCell ref="C14082:D14082"/>
    <mergeCell ref="C14083:D14083"/>
    <mergeCell ref="C14099:D14099"/>
    <mergeCell ref="C14064:D14064"/>
    <mergeCell ref="C14065:D14065"/>
    <mergeCell ref="C14066:D14066"/>
    <mergeCell ref="C14070:D14070"/>
    <mergeCell ref="C14053:D14053"/>
    <mergeCell ref="C13980:D13980"/>
    <mergeCell ref="C13981:D13981"/>
    <mergeCell ref="C13983:D13983"/>
    <mergeCell ref="C13984:D13984"/>
    <mergeCell ref="C14185:D14185"/>
    <mergeCell ref="C14187:D14187"/>
    <mergeCell ref="C14186:D14186"/>
    <mergeCell ref="A14182:A14196"/>
    <mergeCell ref="A14199:A14213"/>
    <mergeCell ref="A14215:D14215"/>
    <mergeCell ref="A14011:D14011"/>
    <mergeCell ref="C13831:D13831"/>
    <mergeCell ref="C13865:D13865"/>
    <mergeCell ref="C13862:D13862"/>
    <mergeCell ref="C14172:D14172"/>
    <mergeCell ref="B14156:B14158"/>
    <mergeCell ref="C14084:D14084"/>
    <mergeCell ref="C13826:D13826"/>
    <mergeCell ref="C13827:D13827"/>
    <mergeCell ref="C13878:D13878"/>
    <mergeCell ref="C13879:D13879"/>
    <mergeCell ref="C13880:D13880"/>
    <mergeCell ref="C13881:D13881"/>
    <mergeCell ref="C13882:D13882"/>
    <mergeCell ref="C13692:D13692"/>
    <mergeCell ref="C13678:D13678"/>
    <mergeCell ref="C13679:D13679"/>
    <mergeCell ref="A13689:A13703"/>
    <mergeCell ref="A13706:A13720"/>
    <mergeCell ref="C13796:D13796"/>
    <mergeCell ref="C13797:D13797"/>
    <mergeCell ref="C13758:D13758"/>
    <mergeCell ref="C13759:D13759"/>
    <mergeCell ref="C13760:D13760"/>
    <mergeCell ref="C13761:D13761"/>
    <mergeCell ref="C13764:D13764"/>
    <mergeCell ref="C13762:D13762"/>
    <mergeCell ref="C13763:D13763"/>
    <mergeCell ref="C13779:D13779"/>
    <mergeCell ref="C13775:D13775"/>
    <mergeCell ref="C13776:D13776"/>
    <mergeCell ref="C13777:D13777"/>
    <mergeCell ref="C13778:D13778"/>
    <mergeCell ref="C13743:D13743"/>
    <mergeCell ref="B14037:B14039"/>
    <mergeCell ref="A14045:D14045"/>
    <mergeCell ref="C14016:D14016"/>
    <mergeCell ref="C14017:D14017"/>
    <mergeCell ref="B14020:B14022"/>
    <mergeCell ref="A14028:D14028"/>
    <mergeCell ref="C14018:D14018"/>
    <mergeCell ref="C14019:D14019"/>
    <mergeCell ref="C14047:D14047"/>
    <mergeCell ref="C14034:D14034"/>
    <mergeCell ref="C14035:D14035"/>
    <mergeCell ref="C14032:D14032"/>
    <mergeCell ref="C14030:D14030"/>
    <mergeCell ref="C14031:D14031"/>
    <mergeCell ref="C13745:D13745"/>
    <mergeCell ref="C13744:D13744"/>
    <mergeCell ref="C13794:D13794"/>
    <mergeCell ref="C13795:D13795"/>
    <mergeCell ref="C13726:D13726"/>
    <mergeCell ref="C13724:D13724"/>
    <mergeCell ref="C13725:D13725"/>
    <mergeCell ref="C13730:D13730"/>
    <mergeCell ref="B13731:B13733"/>
    <mergeCell ref="A13739:D13739"/>
    <mergeCell ref="A14046:A14060"/>
    <mergeCell ref="C13690:D13690"/>
    <mergeCell ref="C14103:D14103"/>
    <mergeCell ref="A14012:A14026"/>
    <mergeCell ref="C14013:D14013"/>
    <mergeCell ref="C14014:D14014"/>
    <mergeCell ref="C14052:D14052"/>
    <mergeCell ref="C15290:D15290"/>
    <mergeCell ref="C15291:D15291"/>
    <mergeCell ref="A15269:D15269"/>
    <mergeCell ref="C14353:D14353"/>
    <mergeCell ref="C14354:D14354"/>
    <mergeCell ref="C14355:D14355"/>
    <mergeCell ref="C14356:D14356"/>
    <mergeCell ref="B14343:B14345"/>
    <mergeCell ref="A14335:A14349"/>
    <mergeCell ref="A14352:A14366"/>
    <mergeCell ref="A14369:A14383"/>
    <mergeCell ref="B14377:B14379"/>
    <mergeCell ref="B14360:B14362"/>
    <mergeCell ref="A14539:A14553"/>
    <mergeCell ref="A14556:A14570"/>
    <mergeCell ref="A14573:A14587"/>
    <mergeCell ref="A14607:A14621"/>
    <mergeCell ref="B14581:B14583"/>
    <mergeCell ref="B14564:B14566"/>
    <mergeCell ref="A14572:D14572"/>
    <mergeCell ref="A14606:D14606"/>
    <mergeCell ref="A14249:D14249"/>
    <mergeCell ref="C14251:D14251"/>
    <mergeCell ref="A14233:A14247"/>
    <mergeCell ref="C14100:D14100"/>
    <mergeCell ref="C14098:D14098"/>
    <mergeCell ref="C14576:D14576"/>
    <mergeCell ref="C14595:D14595"/>
    <mergeCell ref="C14594:D14594"/>
    <mergeCell ref="C14237:D14237"/>
    <mergeCell ref="C14240:D14240"/>
    <mergeCell ref="B14241:B14243"/>
    <mergeCell ref="C14221:D14221"/>
    <mergeCell ref="C14304:D14304"/>
    <mergeCell ref="C14306:D14306"/>
    <mergeCell ref="C14324:D14324"/>
    <mergeCell ref="C14323:D14323"/>
    <mergeCell ref="C14217:D14217"/>
    <mergeCell ref="C14238:D14238"/>
    <mergeCell ref="C14239:D14239"/>
    <mergeCell ref="B14309:B14311"/>
    <mergeCell ref="B14224:B14226"/>
    <mergeCell ref="A14301:A14315"/>
    <mergeCell ref="A14640:D14640"/>
    <mergeCell ref="A14657:D14657"/>
    <mergeCell ref="A14641:A14655"/>
    <mergeCell ref="C14629:D14629"/>
    <mergeCell ref="C14630:D14630"/>
    <mergeCell ref="C14648:D14648"/>
    <mergeCell ref="C14647:D14647"/>
    <mergeCell ref="B14649:B14651"/>
    <mergeCell ref="C14631:D14631"/>
    <mergeCell ref="B14632:B14634"/>
    <mergeCell ref="C14682:D14682"/>
    <mergeCell ref="B14683:B14685"/>
    <mergeCell ref="C14681:D14681"/>
    <mergeCell ref="C14679:D14679"/>
    <mergeCell ref="C14678:D14678"/>
    <mergeCell ref="A14674:D14674"/>
    <mergeCell ref="B14666:B14668"/>
    <mergeCell ref="C14659:D14659"/>
    <mergeCell ref="C14660:D14660"/>
    <mergeCell ref="C14661:D14661"/>
    <mergeCell ref="C14662:D14662"/>
    <mergeCell ref="C13640:D13640"/>
    <mergeCell ref="C13641:D13641"/>
    <mergeCell ref="B13646:B13648"/>
    <mergeCell ref="A13654:D13654"/>
    <mergeCell ref="A13638:A13652"/>
    <mergeCell ref="C13696:D13696"/>
    <mergeCell ref="B13697:B13699"/>
    <mergeCell ref="B13680:B13682"/>
    <mergeCell ref="A13672:A13686"/>
    <mergeCell ref="C13707:D13707"/>
    <mergeCell ref="C13708:D13708"/>
    <mergeCell ref="C13709:D13709"/>
    <mergeCell ref="C13710:D13710"/>
    <mergeCell ref="C13693:D13693"/>
    <mergeCell ref="C13694:D13694"/>
    <mergeCell ref="A13705:D13705"/>
    <mergeCell ref="C13712:D13712"/>
    <mergeCell ref="C13713:D13713"/>
    <mergeCell ref="C13997:D13997"/>
    <mergeCell ref="C13998:D13998"/>
    <mergeCell ref="C13999:D13999"/>
    <mergeCell ref="C14002:D14002"/>
    <mergeCell ref="B14003:B14005"/>
    <mergeCell ref="C14000:D14000"/>
    <mergeCell ref="C14001:D14001"/>
    <mergeCell ref="A13671:D13671"/>
    <mergeCell ref="C13673:D13673"/>
    <mergeCell ref="C13659:D13659"/>
    <mergeCell ref="C13660:D13660"/>
    <mergeCell ref="C13661:D13661"/>
    <mergeCell ref="C13658:D13658"/>
    <mergeCell ref="C13656:D13656"/>
    <mergeCell ref="C13657:D13657"/>
    <mergeCell ref="C13741:D13741"/>
    <mergeCell ref="C13746:D13746"/>
    <mergeCell ref="C13747:D13747"/>
    <mergeCell ref="C13742:D13742"/>
    <mergeCell ref="C13729:D13729"/>
    <mergeCell ref="A13722:D13722"/>
    <mergeCell ref="C13798:D13798"/>
    <mergeCell ref="C13815:D13815"/>
    <mergeCell ref="C13863:D13863"/>
    <mergeCell ref="C13864:D13864"/>
    <mergeCell ref="C13866:D13866"/>
    <mergeCell ref="C13860:D13860"/>
    <mergeCell ref="C13861:D13861"/>
    <mergeCell ref="A13858:D13858"/>
    <mergeCell ref="A13859:A13873"/>
    <mergeCell ref="B13867:B13869"/>
    <mergeCell ref="C13877:D13877"/>
    <mergeCell ref="A13876:A13890"/>
    <mergeCell ref="B13884:B13886"/>
    <mergeCell ref="C13894:D13894"/>
    <mergeCell ref="C13895:D13895"/>
    <mergeCell ref="C13896:D13896"/>
    <mergeCell ref="A13892:D13892"/>
    <mergeCell ref="A13960:D13960"/>
    <mergeCell ref="C13966:D13966"/>
    <mergeCell ref="A13943:D13943"/>
    <mergeCell ref="C13951:D13951"/>
    <mergeCell ref="C13897:D13897"/>
    <mergeCell ref="C13883:D13883"/>
    <mergeCell ref="C13814:D13814"/>
    <mergeCell ref="C13900:D13900"/>
    <mergeCell ref="B13527:B13529"/>
    <mergeCell ref="C13520:D13520"/>
    <mergeCell ref="A13484:D13484"/>
    <mergeCell ref="A13501:D13501"/>
    <mergeCell ref="C13458:D13458"/>
    <mergeCell ref="C13254:D13254"/>
    <mergeCell ref="B13255:B13257"/>
    <mergeCell ref="C13237:D13237"/>
    <mergeCell ref="B13238:B13240"/>
    <mergeCell ref="C13252:D13252"/>
    <mergeCell ref="C13253:D13253"/>
    <mergeCell ref="C13284:D13284"/>
    <mergeCell ref="C13282:D13282"/>
    <mergeCell ref="C13283:D13283"/>
    <mergeCell ref="C13248:D13248"/>
    <mergeCell ref="C13249:D13249"/>
    <mergeCell ref="C13250:D13250"/>
    <mergeCell ref="C13251:D13251"/>
    <mergeCell ref="A13587:A13601"/>
    <mergeCell ref="A13570:A13584"/>
    <mergeCell ref="A13553:A13567"/>
    <mergeCell ref="A13604:A13618"/>
    <mergeCell ref="A13621:A13635"/>
    <mergeCell ref="A13655:A13669"/>
    <mergeCell ref="C13574:D13574"/>
    <mergeCell ref="B13578:B13580"/>
    <mergeCell ref="C13576:D13576"/>
    <mergeCell ref="C13577:D13577"/>
    <mergeCell ref="A13569:D13569"/>
    <mergeCell ref="C13571:D13571"/>
    <mergeCell ref="C13572:D13572"/>
    <mergeCell ref="C13573:D13573"/>
    <mergeCell ref="C13591:D13591"/>
    <mergeCell ref="A13586:D13586"/>
    <mergeCell ref="A13552:D13552"/>
    <mergeCell ref="C13594:D13594"/>
    <mergeCell ref="B13595:B13597"/>
    <mergeCell ref="A13603:D13603"/>
    <mergeCell ref="C13605:D13605"/>
    <mergeCell ref="C13606:D13606"/>
    <mergeCell ref="C13607:D13607"/>
    <mergeCell ref="C13608:D13608"/>
    <mergeCell ref="C13609:D13609"/>
    <mergeCell ref="C13610:D13610"/>
    <mergeCell ref="A13468:A13482"/>
    <mergeCell ref="B13476:B13478"/>
    <mergeCell ref="A13434:A13448"/>
    <mergeCell ref="A13417:A13431"/>
    <mergeCell ref="B13425:B13427"/>
    <mergeCell ref="B13442:B13444"/>
    <mergeCell ref="A13535:D13535"/>
    <mergeCell ref="A13519:A13533"/>
    <mergeCell ref="C13590:D13590"/>
    <mergeCell ref="C13588:D13588"/>
    <mergeCell ref="C13589:D13589"/>
    <mergeCell ref="A13536:A13550"/>
    <mergeCell ref="B13544:B13546"/>
    <mergeCell ref="C13592:D13592"/>
    <mergeCell ref="C13593:D13593"/>
    <mergeCell ref="A13620:D13620"/>
    <mergeCell ref="B13561:B13563"/>
    <mergeCell ref="C13441:D13441"/>
    <mergeCell ref="C13371:D13371"/>
    <mergeCell ref="C13370:D13370"/>
    <mergeCell ref="A13485:A13499"/>
    <mergeCell ref="A13502:A13516"/>
    <mergeCell ref="C13522:D13522"/>
    <mergeCell ref="C13523:D13523"/>
    <mergeCell ref="C13526:D13526"/>
    <mergeCell ref="C13521:D13521"/>
    <mergeCell ref="A13451:A13465"/>
    <mergeCell ref="B13493:B13495"/>
    <mergeCell ref="B13510:B13512"/>
    <mergeCell ref="A13518:D13518"/>
    <mergeCell ref="A13229:D13229"/>
    <mergeCell ref="C13236:D13236"/>
    <mergeCell ref="C13150:D13150"/>
    <mergeCell ref="C13151:D13151"/>
    <mergeCell ref="A13144:D13144"/>
    <mergeCell ref="A13161:D13161"/>
    <mergeCell ref="B13221:B13223"/>
    <mergeCell ref="A13196:A13210"/>
    <mergeCell ref="A13246:D13246"/>
    <mergeCell ref="A13145:A13159"/>
    <mergeCell ref="A13162:A13176"/>
    <mergeCell ref="B13459:B13461"/>
    <mergeCell ref="A13467:D13467"/>
    <mergeCell ref="C13469:D13469"/>
    <mergeCell ref="C13470:D13470"/>
    <mergeCell ref="C13457:D13457"/>
    <mergeCell ref="A13450:D13450"/>
    <mergeCell ref="C13524:D13524"/>
    <mergeCell ref="C13525:D13525"/>
    <mergeCell ref="C13350:D13350"/>
    <mergeCell ref="C13351:D13351"/>
    <mergeCell ref="C13356:D13356"/>
    <mergeCell ref="C13367:D13367"/>
    <mergeCell ref="C13368:D13368"/>
    <mergeCell ref="C13369:D13369"/>
    <mergeCell ref="C13372:D13372"/>
    <mergeCell ref="C13183:D13183"/>
    <mergeCell ref="C13186:D13186"/>
    <mergeCell ref="A13400:A13414"/>
    <mergeCell ref="A13399:D13399"/>
    <mergeCell ref="A13433:D13433"/>
    <mergeCell ref="B13408:B13410"/>
    <mergeCell ref="A13416:D13416"/>
    <mergeCell ref="C13337:D13337"/>
    <mergeCell ref="C13338:D13338"/>
    <mergeCell ref="C13339:D13339"/>
    <mergeCell ref="C13333:D13333"/>
    <mergeCell ref="C13334:D13334"/>
    <mergeCell ref="C13335:D13335"/>
    <mergeCell ref="C13336:D13336"/>
    <mergeCell ref="C13418:D13418"/>
    <mergeCell ref="C13384:D13384"/>
    <mergeCell ref="C13385:D13385"/>
    <mergeCell ref="C13386:D13386"/>
    <mergeCell ref="C13387:D13387"/>
    <mergeCell ref="C13390:D13390"/>
    <mergeCell ref="C13388:D13388"/>
    <mergeCell ref="C13389:D13389"/>
    <mergeCell ref="C13147:D13147"/>
    <mergeCell ref="C13285:D13285"/>
    <mergeCell ref="C13269:D13269"/>
    <mergeCell ref="C13270:D13270"/>
    <mergeCell ref="C13184:D13184"/>
    <mergeCell ref="C13185:D13185"/>
    <mergeCell ref="C13354:D13354"/>
    <mergeCell ref="C13355:D13355"/>
    <mergeCell ref="C13300:D13300"/>
    <mergeCell ref="C13301:D13301"/>
    <mergeCell ref="C13302:D13302"/>
    <mergeCell ref="C13352:D13352"/>
    <mergeCell ref="C13353:D13353"/>
    <mergeCell ref="C13474:D13474"/>
    <mergeCell ref="C13486:D13486"/>
    <mergeCell ref="C17963:D17963"/>
    <mergeCell ref="C17787:D17787"/>
    <mergeCell ref="C17788:D17788"/>
    <mergeCell ref="C17838:D17838"/>
    <mergeCell ref="C17839:D17839"/>
    <mergeCell ref="C13475:D13475"/>
    <mergeCell ref="C13487:D13487"/>
    <mergeCell ref="C13488:D13488"/>
    <mergeCell ref="C13489:D13489"/>
    <mergeCell ref="C13492:D13492"/>
    <mergeCell ref="C13490:D13490"/>
    <mergeCell ref="C13491:D13491"/>
    <mergeCell ref="C13507:D13507"/>
    <mergeCell ref="C13508:D13508"/>
    <mergeCell ref="C13503:D13503"/>
    <mergeCell ref="C13504:D13504"/>
    <mergeCell ref="C13471:D13471"/>
    <mergeCell ref="C13455:D13455"/>
    <mergeCell ref="C13116:D13116"/>
    <mergeCell ref="C13117:D13117"/>
    <mergeCell ref="C13505:D13505"/>
    <mergeCell ref="C13506:D13506"/>
    <mergeCell ref="C13473:D13473"/>
    <mergeCell ref="C13472:D13472"/>
    <mergeCell ref="C13509:D13509"/>
    <mergeCell ref="C14048:D14048"/>
    <mergeCell ref="C14049:D14049"/>
    <mergeCell ref="C14051:D14051"/>
    <mergeCell ref="C14050:D14050"/>
    <mergeCell ref="C13622:D13622"/>
    <mergeCell ref="C13623:D13623"/>
    <mergeCell ref="C13624:D13624"/>
    <mergeCell ref="C13625:D13625"/>
    <mergeCell ref="C13628:D13628"/>
    <mergeCell ref="C13611:D13611"/>
    <mergeCell ref="C13118:D13118"/>
    <mergeCell ref="C13537:D13537"/>
    <mergeCell ref="C13538:D13538"/>
    <mergeCell ref="C13539:D13539"/>
    <mergeCell ref="C13541:D13541"/>
    <mergeCell ref="C13540:D13540"/>
    <mergeCell ref="C13542:D13542"/>
    <mergeCell ref="C13558:D13558"/>
    <mergeCell ref="C13543:D13543"/>
    <mergeCell ref="C13554:D13554"/>
    <mergeCell ref="C13555:D13555"/>
    <mergeCell ref="C13556:D13556"/>
    <mergeCell ref="C13557:D13557"/>
    <mergeCell ref="C13559:D13559"/>
    <mergeCell ref="C13575:D13575"/>
    <mergeCell ref="C13560:D13560"/>
    <mergeCell ref="C14575:D14575"/>
    <mergeCell ref="C14472:D14472"/>
    <mergeCell ref="C14473:D14473"/>
    <mergeCell ref="C14563:D14563"/>
    <mergeCell ref="B13085:B13087"/>
    <mergeCell ref="A13093:D13093"/>
    <mergeCell ref="C13095:D13095"/>
    <mergeCell ref="C13096:D13096"/>
    <mergeCell ref="C13097:D13097"/>
    <mergeCell ref="C13100:D13100"/>
    <mergeCell ref="C13101:D13101"/>
    <mergeCell ref="A13077:A13091"/>
    <mergeCell ref="A13094:A13108"/>
    <mergeCell ref="C13082:D13082"/>
    <mergeCell ref="C13083:D13083"/>
    <mergeCell ref="C13081:D13081"/>
    <mergeCell ref="A13281:A13295"/>
    <mergeCell ref="A13264:A13278"/>
    <mergeCell ref="A13213:A13227"/>
    <mergeCell ref="A13230:A13244"/>
    <mergeCell ref="A13247:A13261"/>
    <mergeCell ref="A13298:A13312"/>
    <mergeCell ref="A13315:A13329"/>
    <mergeCell ref="A13179:A13193"/>
    <mergeCell ref="B13204:B13206"/>
    <mergeCell ref="B13289:B13291"/>
    <mergeCell ref="C13163:D13163"/>
    <mergeCell ref="C13164:D13164"/>
    <mergeCell ref="C13165:D13165"/>
    <mergeCell ref="C13167:D13167"/>
    <mergeCell ref="C13166:D13166"/>
    <mergeCell ref="C13168:D13168"/>
    <mergeCell ref="C13217:D13217"/>
    <mergeCell ref="C13216:D13216"/>
    <mergeCell ref="C13181:D13181"/>
    <mergeCell ref="C13182:D13182"/>
    <mergeCell ref="C13169:D13169"/>
    <mergeCell ref="C13218:D13218"/>
    <mergeCell ref="C13220:D13220"/>
    <mergeCell ref="C13219:D13219"/>
    <mergeCell ref="C13231:D13231"/>
    <mergeCell ref="C13232:D13232"/>
    <mergeCell ref="C13131:D13131"/>
    <mergeCell ref="C13132:D13132"/>
    <mergeCell ref="C13288:D13288"/>
    <mergeCell ref="C13299:D13299"/>
    <mergeCell ref="C13303:D13303"/>
    <mergeCell ref="C13304:D13304"/>
    <mergeCell ref="A13297:D13297"/>
    <mergeCell ref="A13263:D13263"/>
    <mergeCell ref="A13280:D13280"/>
    <mergeCell ref="B13119:B13121"/>
    <mergeCell ref="A13111:A13125"/>
    <mergeCell ref="A13110:D13110"/>
    <mergeCell ref="C13078:D13078"/>
    <mergeCell ref="C13079:D13079"/>
    <mergeCell ref="C13180:D13180"/>
    <mergeCell ref="C13317:D13317"/>
    <mergeCell ref="C13318:D13318"/>
    <mergeCell ref="C13319:D13319"/>
    <mergeCell ref="B13272:B13274"/>
    <mergeCell ref="C13152:D13152"/>
    <mergeCell ref="C13322:D13322"/>
    <mergeCell ref="C13321:D13321"/>
    <mergeCell ref="C13287:D13287"/>
    <mergeCell ref="B13306:B13308"/>
    <mergeCell ref="B13323:B13325"/>
    <mergeCell ref="C17979:D17979"/>
    <mergeCell ref="C17980:D17980"/>
    <mergeCell ref="C17978:D17978"/>
    <mergeCell ref="B17964:B17966"/>
    <mergeCell ref="A17972:D17972"/>
    <mergeCell ref="A17956:A17970"/>
    <mergeCell ref="A17973:A17987"/>
    <mergeCell ref="C17974:D17974"/>
    <mergeCell ref="C17977:D17977"/>
    <mergeCell ref="B17981:B17983"/>
    <mergeCell ref="C17927:D17927"/>
    <mergeCell ref="C17923:D17923"/>
    <mergeCell ref="C17924:D17924"/>
    <mergeCell ref="C17925:D17925"/>
    <mergeCell ref="C17926:D17926"/>
    <mergeCell ref="C17940:D17940"/>
    <mergeCell ref="C17941:D17941"/>
    <mergeCell ref="C17942:D17942"/>
    <mergeCell ref="C17946:D17946"/>
    <mergeCell ref="C17945:D17945"/>
    <mergeCell ref="C17943:D17943"/>
    <mergeCell ref="C17944:D17944"/>
    <mergeCell ref="C17928:D17928"/>
    <mergeCell ref="C17929:D17929"/>
    <mergeCell ref="C17907:D17907"/>
    <mergeCell ref="C17908:D17908"/>
    <mergeCell ref="C17893:D17893"/>
    <mergeCell ref="C17892:D17892"/>
    <mergeCell ref="C17909:D17909"/>
    <mergeCell ref="C17912:D17912"/>
    <mergeCell ref="C17910:D17910"/>
    <mergeCell ref="C17911:D17911"/>
    <mergeCell ref="C17906:D17906"/>
    <mergeCell ref="C17895:D17895"/>
    <mergeCell ref="B17930:B17932"/>
    <mergeCell ref="A17938:D17938"/>
    <mergeCell ref="A17904:D17904"/>
    <mergeCell ref="C17975:D17975"/>
    <mergeCell ref="C17976:D17976"/>
    <mergeCell ref="C17805:D17805"/>
    <mergeCell ref="C17806:D17806"/>
    <mergeCell ref="B17811:B17813"/>
    <mergeCell ref="C17809:D17809"/>
    <mergeCell ref="A17837:A17851"/>
    <mergeCell ref="A17820:A17834"/>
    <mergeCell ref="A17836:D17836"/>
    <mergeCell ref="C17840:D17840"/>
    <mergeCell ref="C17844:D17844"/>
    <mergeCell ref="B17845:B17847"/>
    <mergeCell ref="C17841:D17841"/>
    <mergeCell ref="C17842:D17842"/>
    <mergeCell ref="C17843:D17843"/>
    <mergeCell ref="C17821:D17821"/>
    <mergeCell ref="C17826:D17826"/>
    <mergeCell ref="C17825:D17825"/>
    <mergeCell ref="A17819:D17819"/>
    <mergeCell ref="C17789:D17789"/>
    <mergeCell ref="C17791:D17791"/>
    <mergeCell ref="C17790:D17790"/>
    <mergeCell ref="C17807:D17807"/>
    <mergeCell ref="C17808:D17808"/>
    <mergeCell ref="C17804:D17804"/>
    <mergeCell ref="C17810:D17810"/>
    <mergeCell ref="C17959:D17959"/>
    <mergeCell ref="C17961:D17961"/>
    <mergeCell ref="C17962:D17962"/>
    <mergeCell ref="C17960:D17960"/>
    <mergeCell ref="C17957:D17957"/>
    <mergeCell ref="C17958:D17958"/>
    <mergeCell ref="C17855:D17855"/>
    <mergeCell ref="C17856:D17856"/>
    <mergeCell ref="C17857:D17857"/>
    <mergeCell ref="C17858:D17858"/>
    <mergeCell ref="C17872:D17872"/>
    <mergeCell ref="A17870:D17870"/>
    <mergeCell ref="B17862:B17864"/>
    <mergeCell ref="A17854:A17868"/>
    <mergeCell ref="A17853:D17853"/>
    <mergeCell ref="C17859:D17859"/>
    <mergeCell ref="C17876:D17876"/>
    <mergeCell ref="C17877:D17877"/>
    <mergeCell ref="C17860:D17860"/>
    <mergeCell ref="C17861:D17861"/>
    <mergeCell ref="C17873:D17873"/>
    <mergeCell ref="C17874:D17874"/>
    <mergeCell ref="C17875:D17875"/>
    <mergeCell ref="C17878:D17878"/>
    <mergeCell ref="B17879:B17881"/>
    <mergeCell ref="A17887:D17887"/>
    <mergeCell ref="C17889:D17889"/>
    <mergeCell ref="C17890:D17890"/>
    <mergeCell ref="C17891:D17891"/>
    <mergeCell ref="C17894:D17894"/>
    <mergeCell ref="A17888:A17902"/>
    <mergeCell ref="B17896:B17898"/>
    <mergeCell ref="B17913:B17915"/>
    <mergeCell ref="A17921:D17921"/>
    <mergeCell ref="B17947:B17949"/>
    <mergeCell ref="A17955:D17955"/>
    <mergeCell ref="A17871:A17885"/>
    <mergeCell ref="A17905:A17919"/>
    <mergeCell ref="A17939:A17953"/>
    <mergeCell ref="A17922:A17936"/>
    <mergeCell ref="C17721:D17721"/>
    <mergeCell ref="C17723:D17723"/>
    <mergeCell ref="C17722:D17722"/>
    <mergeCell ref="C17724:D17724"/>
    <mergeCell ref="C17742:D17742"/>
    <mergeCell ref="C17740:D17740"/>
    <mergeCell ref="C17741:D17741"/>
    <mergeCell ref="C17725:D17725"/>
    <mergeCell ref="C17757:D17757"/>
    <mergeCell ref="C17753:D17753"/>
    <mergeCell ref="C17754:D17754"/>
    <mergeCell ref="C17755:D17755"/>
    <mergeCell ref="C17756:D17756"/>
    <mergeCell ref="C17704:D17704"/>
    <mergeCell ref="C17689:D17689"/>
    <mergeCell ref="C17690:D17690"/>
    <mergeCell ref="C17691:D17691"/>
    <mergeCell ref="C17702:D17702"/>
    <mergeCell ref="C17703:D17703"/>
    <mergeCell ref="C17774:D17774"/>
    <mergeCell ref="C17773:D17773"/>
    <mergeCell ref="C17776:D17776"/>
    <mergeCell ref="B17777:B17779"/>
    <mergeCell ref="C17775:D17775"/>
    <mergeCell ref="C17822:D17822"/>
    <mergeCell ref="C17823:D17823"/>
    <mergeCell ref="C17824:D17824"/>
    <mergeCell ref="C17827:D17827"/>
    <mergeCell ref="B17828:B17830"/>
    <mergeCell ref="C17792:D17792"/>
    <mergeCell ref="A17752:A17766"/>
    <mergeCell ref="A17735:A17749"/>
    <mergeCell ref="C17758:D17758"/>
    <mergeCell ref="C17759:D17759"/>
    <mergeCell ref="C17772:D17772"/>
    <mergeCell ref="C17770:D17770"/>
    <mergeCell ref="C17771:D17771"/>
    <mergeCell ref="C17736:D17736"/>
    <mergeCell ref="C17737:D17737"/>
    <mergeCell ref="C17738:D17738"/>
    <mergeCell ref="C17739:D17739"/>
    <mergeCell ref="C17719:D17719"/>
    <mergeCell ref="C17720:D17720"/>
    <mergeCell ref="B17726:B17728"/>
    <mergeCell ref="A17751:D17751"/>
    <mergeCell ref="A17768:D17768"/>
    <mergeCell ref="A17785:D17785"/>
    <mergeCell ref="A17734:D17734"/>
    <mergeCell ref="C17705:D17705"/>
    <mergeCell ref="C17706:D17706"/>
    <mergeCell ref="C17707:D17707"/>
    <mergeCell ref="B17709:B17711"/>
    <mergeCell ref="A17717:D17717"/>
    <mergeCell ref="C17708:D17708"/>
    <mergeCell ref="A17701:A17715"/>
    <mergeCell ref="A17786:A17800"/>
    <mergeCell ref="A17803:A17817"/>
    <mergeCell ref="A17718:A17732"/>
    <mergeCell ref="A17769:A17783"/>
    <mergeCell ref="B17743:B17745"/>
    <mergeCell ref="B17760:B17762"/>
    <mergeCell ref="C17793:D17793"/>
    <mergeCell ref="B17794:B17796"/>
    <mergeCell ref="A17802:D17802"/>
    <mergeCell ref="C17685:D17685"/>
    <mergeCell ref="C17686:D17686"/>
    <mergeCell ref="C17687:D17687"/>
    <mergeCell ref="C17688:D17688"/>
    <mergeCell ref="C17653:D17653"/>
    <mergeCell ref="C17655:D17655"/>
    <mergeCell ref="C17656:D17656"/>
    <mergeCell ref="C17657:D17657"/>
    <mergeCell ref="C17640:D17640"/>
    <mergeCell ref="C17638:D17638"/>
    <mergeCell ref="C17639:D17639"/>
    <mergeCell ref="A17700:D17700"/>
    <mergeCell ref="A17684:A17698"/>
    <mergeCell ref="C17654:D17654"/>
    <mergeCell ref="B17692:B17694"/>
    <mergeCell ref="C17588:D17588"/>
    <mergeCell ref="C17606:D17606"/>
    <mergeCell ref="C17604:D17604"/>
    <mergeCell ref="C17605:D17605"/>
    <mergeCell ref="C17587:D17587"/>
    <mergeCell ref="A17649:D17649"/>
    <mergeCell ref="C17651:D17651"/>
    <mergeCell ref="C17652:D17652"/>
    <mergeCell ref="A17632:D17632"/>
    <mergeCell ref="A17666:D17666"/>
    <mergeCell ref="A17616:A17630"/>
    <mergeCell ref="A17598:D17598"/>
    <mergeCell ref="C17602:D17602"/>
    <mergeCell ref="C17603:D17603"/>
    <mergeCell ref="C17584:D17584"/>
    <mergeCell ref="C17583:D17583"/>
    <mergeCell ref="C17601:D17601"/>
    <mergeCell ref="C17589:D17589"/>
    <mergeCell ref="B17590:B17592"/>
    <mergeCell ref="B17607:B17609"/>
    <mergeCell ref="C17600:D17600"/>
    <mergeCell ref="C17623:D17623"/>
    <mergeCell ref="B17624:B17626"/>
    <mergeCell ref="C17622:D17622"/>
    <mergeCell ref="C17621:D17621"/>
    <mergeCell ref="C17619:D17619"/>
    <mergeCell ref="C17620:D17620"/>
    <mergeCell ref="A17615:D17615"/>
    <mergeCell ref="A17582:A17596"/>
    <mergeCell ref="A17599:A17613"/>
    <mergeCell ref="C17668:D17668"/>
    <mergeCell ref="C17669:D17669"/>
    <mergeCell ref="C17670:D17670"/>
    <mergeCell ref="C17671:D17671"/>
    <mergeCell ref="C17674:D17674"/>
    <mergeCell ref="B17675:B17677"/>
    <mergeCell ref="A17683:D17683"/>
    <mergeCell ref="C17672:D17672"/>
    <mergeCell ref="C17673:D17673"/>
    <mergeCell ref="A17667:A17681"/>
    <mergeCell ref="A17650:A17664"/>
    <mergeCell ref="C17519:D17519"/>
    <mergeCell ref="C17533:D17533"/>
    <mergeCell ref="C17517:D17517"/>
    <mergeCell ref="C17518:D17518"/>
    <mergeCell ref="C17585:D17585"/>
    <mergeCell ref="C17570:D17570"/>
    <mergeCell ref="C17571:D17571"/>
    <mergeCell ref="C17572:D17572"/>
    <mergeCell ref="C17586:D17586"/>
    <mergeCell ref="C17538:D17538"/>
    <mergeCell ref="B17539:B17541"/>
    <mergeCell ref="C17550:D17550"/>
    <mergeCell ref="C17549:D17549"/>
    <mergeCell ref="C17536:D17536"/>
    <mergeCell ref="C17537:D17537"/>
    <mergeCell ref="B17522:B17524"/>
    <mergeCell ref="C17521:D17521"/>
    <mergeCell ref="A17514:A17528"/>
    <mergeCell ref="C17551:D17551"/>
    <mergeCell ref="A17531:A17545"/>
    <mergeCell ref="C17520:D17520"/>
    <mergeCell ref="A17547:D17547"/>
    <mergeCell ref="B17641:B17643"/>
    <mergeCell ref="A17633:A17647"/>
    <mergeCell ref="B17658:B17660"/>
    <mergeCell ref="C17634:D17634"/>
    <mergeCell ref="C17635:D17635"/>
    <mergeCell ref="C17617:D17617"/>
    <mergeCell ref="C17618:D17618"/>
    <mergeCell ref="C17636:D17636"/>
    <mergeCell ref="C17637:D17637"/>
    <mergeCell ref="C17568:D17568"/>
    <mergeCell ref="C17569:D17569"/>
    <mergeCell ref="B17573:B17575"/>
    <mergeCell ref="A17581:D17581"/>
    <mergeCell ref="A17565:A17579"/>
    <mergeCell ref="C17566:D17566"/>
    <mergeCell ref="C17567:D17567"/>
    <mergeCell ref="A17564:D17564"/>
    <mergeCell ref="A17530:D17530"/>
    <mergeCell ref="C17532:D17532"/>
    <mergeCell ref="C17534:D17534"/>
    <mergeCell ref="C17535:D17535"/>
    <mergeCell ref="C17554:D17554"/>
    <mergeCell ref="C17555:D17555"/>
    <mergeCell ref="C17553:D17553"/>
    <mergeCell ref="B17556:B17558"/>
    <mergeCell ref="A17548:A17562"/>
    <mergeCell ref="C17552:D17552"/>
    <mergeCell ref="C17515:D17515"/>
    <mergeCell ref="C17516:D17516"/>
    <mergeCell ref="C16620:D16620"/>
    <mergeCell ref="C16631:D16631"/>
    <mergeCell ref="C16632:D16632"/>
    <mergeCell ref="C16633:D16633"/>
    <mergeCell ref="C16618:D16618"/>
    <mergeCell ref="C16619:D16619"/>
    <mergeCell ref="C16635:D16635"/>
    <mergeCell ref="C16636:D16636"/>
    <mergeCell ref="C16597:D16597"/>
    <mergeCell ref="C16598:D16598"/>
    <mergeCell ref="C16654:D16654"/>
    <mergeCell ref="C16665:D16665"/>
    <mergeCell ref="C16666:D16666"/>
    <mergeCell ref="C16667:D16667"/>
    <mergeCell ref="C16668:D16668"/>
    <mergeCell ref="A16681:A16695"/>
    <mergeCell ref="A16664:A16678"/>
    <mergeCell ref="A16715:A16729"/>
    <mergeCell ref="A16749:A16763"/>
    <mergeCell ref="A16732:A16746"/>
    <mergeCell ref="A16698:A16712"/>
    <mergeCell ref="C16701:D16701"/>
    <mergeCell ref="B16706:B16708"/>
    <mergeCell ref="C16702:D16702"/>
    <mergeCell ref="C16705:D16705"/>
    <mergeCell ref="C16703:D16703"/>
    <mergeCell ref="C16704:D16704"/>
    <mergeCell ref="C16801:D16801"/>
    <mergeCell ref="C16802:D16802"/>
    <mergeCell ref="C16790:D16790"/>
    <mergeCell ref="C16788:D16788"/>
    <mergeCell ref="C16789:D16789"/>
    <mergeCell ref="B16791:B16793"/>
    <mergeCell ref="B16774:B16776"/>
    <mergeCell ref="A16782:D16782"/>
    <mergeCell ref="C16733:D16733"/>
    <mergeCell ref="C16752:D16752"/>
    <mergeCell ref="C16750:D16750"/>
    <mergeCell ref="C16751:D16751"/>
    <mergeCell ref="C16734:D16734"/>
    <mergeCell ref="C16735:D16735"/>
    <mergeCell ref="C16736:D16736"/>
    <mergeCell ref="C16739:D16739"/>
    <mergeCell ref="C16616:D16616"/>
    <mergeCell ref="C16617:D16617"/>
    <mergeCell ref="B16621:B16623"/>
    <mergeCell ref="A16629:D16629"/>
    <mergeCell ref="B16638:B16640"/>
    <mergeCell ref="A16613:A16627"/>
    <mergeCell ref="A16630:A16644"/>
    <mergeCell ref="C16614:D16614"/>
    <mergeCell ref="C16699:D16699"/>
    <mergeCell ref="A16697:D16697"/>
    <mergeCell ref="C16700:D16700"/>
    <mergeCell ref="C16687:D16687"/>
    <mergeCell ref="C16682:D16682"/>
    <mergeCell ref="C16683:D16683"/>
    <mergeCell ref="A16680:D16680"/>
    <mergeCell ref="B16689:B16691"/>
    <mergeCell ref="C16688:D16688"/>
    <mergeCell ref="C16684:D16684"/>
    <mergeCell ref="B16723:B16725"/>
    <mergeCell ref="A16714:D16714"/>
    <mergeCell ref="A16731:D16731"/>
    <mergeCell ref="C16686:D16686"/>
    <mergeCell ref="C16685:D16685"/>
    <mergeCell ref="C17058:D17058"/>
    <mergeCell ref="C17059:D17059"/>
    <mergeCell ref="C17062:D17062"/>
    <mergeCell ref="C17060:D17060"/>
    <mergeCell ref="C17061:D17061"/>
    <mergeCell ref="C17056:D17056"/>
    <mergeCell ref="C17057:D17057"/>
    <mergeCell ref="C17074:D17074"/>
    <mergeCell ref="C17075:D17075"/>
    <mergeCell ref="C16852:D16852"/>
    <mergeCell ref="C16853:D16853"/>
    <mergeCell ref="B16859:B16861"/>
    <mergeCell ref="B16876:B16878"/>
    <mergeCell ref="C16771:D16771"/>
    <mergeCell ref="A16766:A16780"/>
    <mergeCell ref="C16772:D16772"/>
    <mergeCell ref="C16773:D16773"/>
    <mergeCell ref="C16767:D16767"/>
    <mergeCell ref="C16768:D16768"/>
    <mergeCell ref="C16770:D16770"/>
    <mergeCell ref="A16748:D16748"/>
    <mergeCell ref="C16753:D16753"/>
    <mergeCell ref="C16756:D16756"/>
    <mergeCell ref="C16754:D16754"/>
    <mergeCell ref="C16755:D16755"/>
    <mergeCell ref="B16757:B16759"/>
    <mergeCell ref="A16765:D16765"/>
    <mergeCell ref="A16935:D16935"/>
    <mergeCell ref="C16992:D16992"/>
    <mergeCell ref="C16835:D16835"/>
    <mergeCell ref="C16836:D16836"/>
    <mergeCell ref="C16837:D16837"/>
    <mergeCell ref="C16838:D16838"/>
    <mergeCell ref="B16842:B16844"/>
    <mergeCell ref="C16923:D16923"/>
    <mergeCell ref="C16926:D16926"/>
    <mergeCell ref="C16924:D16924"/>
    <mergeCell ref="C16925:D16925"/>
    <mergeCell ref="C16921:D16921"/>
    <mergeCell ref="C16909:D16909"/>
    <mergeCell ref="C16920:D16920"/>
    <mergeCell ref="A16884:D16884"/>
    <mergeCell ref="A16918:D16918"/>
    <mergeCell ref="C16716:D16716"/>
    <mergeCell ref="C16717:D16717"/>
    <mergeCell ref="C16719:D16719"/>
    <mergeCell ref="C16722:D16722"/>
    <mergeCell ref="C16720:D16720"/>
    <mergeCell ref="C16721:D16721"/>
    <mergeCell ref="A16783:A16797"/>
    <mergeCell ref="A16800:A16814"/>
    <mergeCell ref="A16817:A16831"/>
    <mergeCell ref="C16718:D16718"/>
    <mergeCell ref="C17162:D17162"/>
    <mergeCell ref="C17163:D17163"/>
    <mergeCell ref="A17105:D17105"/>
    <mergeCell ref="A17071:D17071"/>
    <mergeCell ref="A17139:D17139"/>
    <mergeCell ref="C17073:D17073"/>
    <mergeCell ref="C17076:D17076"/>
    <mergeCell ref="C17111:D17111"/>
    <mergeCell ref="C17079:D17079"/>
    <mergeCell ref="C17077:D17077"/>
    <mergeCell ref="C17078:D17078"/>
    <mergeCell ref="A17122:D17122"/>
    <mergeCell ref="C17130:D17130"/>
    <mergeCell ref="C17126:D17126"/>
    <mergeCell ref="C17127:D17127"/>
    <mergeCell ref="C17128:D17128"/>
    <mergeCell ref="C17129:D17129"/>
    <mergeCell ref="C17124:D17124"/>
    <mergeCell ref="C17125:D17125"/>
    <mergeCell ref="C17112:D17112"/>
    <mergeCell ref="C17113:D17113"/>
    <mergeCell ref="C17107:D17107"/>
    <mergeCell ref="C17108:D17108"/>
    <mergeCell ref="C17109:D17109"/>
    <mergeCell ref="C17110:D17110"/>
    <mergeCell ref="C17141:D17141"/>
    <mergeCell ref="C17142:D17142"/>
    <mergeCell ref="C17143:D17143"/>
    <mergeCell ref="C17145:D17145"/>
    <mergeCell ref="C16993:D16993"/>
    <mergeCell ref="A16986:D16986"/>
    <mergeCell ref="B16740:B16742"/>
    <mergeCell ref="C16822:D16822"/>
    <mergeCell ref="C16820:D16820"/>
    <mergeCell ref="A16799:D16799"/>
    <mergeCell ref="C16821:D16821"/>
    <mergeCell ref="A16816:D16816"/>
    <mergeCell ref="C16805:D16805"/>
    <mergeCell ref="C16873:D16873"/>
    <mergeCell ref="C16874:D16874"/>
    <mergeCell ref="C16875:D16875"/>
    <mergeCell ref="C16803:D16803"/>
    <mergeCell ref="C16804:D16804"/>
    <mergeCell ref="C16854:D16854"/>
    <mergeCell ref="C16855:D16855"/>
    <mergeCell ref="A16850:D16850"/>
    <mergeCell ref="C16858:D16858"/>
    <mergeCell ref="C16856:D16856"/>
    <mergeCell ref="C16857:D16857"/>
    <mergeCell ref="C16888:D16888"/>
    <mergeCell ref="C16887:D16887"/>
    <mergeCell ref="C16869:D16869"/>
    <mergeCell ref="C16870:D16870"/>
    <mergeCell ref="A16867:D16867"/>
    <mergeCell ref="A16868:A16882"/>
    <mergeCell ref="C16871:D16871"/>
    <mergeCell ref="C16872:D16872"/>
    <mergeCell ref="C16823:D16823"/>
    <mergeCell ref="C16824:D16824"/>
    <mergeCell ref="C16839:D16839"/>
    <mergeCell ref="C16840:D16840"/>
    <mergeCell ref="C16889:D16889"/>
    <mergeCell ref="C16890:D16890"/>
    <mergeCell ref="C17005:D17005"/>
    <mergeCell ref="C17006:D17006"/>
    <mergeCell ref="C17007:D17007"/>
    <mergeCell ref="C17010:D17010"/>
    <mergeCell ref="C17011:D17011"/>
    <mergeCell ref="C17045:D17045"/>
    <mergeCell ref="A17156:D17156"/>
    <mergeCell ref="C17158:D17158"/>
    <mergeCell ref="C16841:D16841"/>
    <mergeCell ref="C16818:D16818"/>
    <mergeCell ref="C16819:D16819"/>
    <mergeCell ref="C16886:D16886"/>
    <mergeCell ref="B16927:B16929"/>
    <mergeCell ref="C16959:D16959"/>
    <mergeCell ref="C16976:D16976"/>
    <mergeCell ref="C16994:D16994"/>
    <mergeCell ref="A16970:A16984"/>
    <mergeCell ref="C16957:D16957"/>
    <mergeCell ref="C16958:D16958"/>
    <mergeCell ref="C16971:D16971"/>
    <mergeCell ref="C16975:D16975"/>
    <mergeCell ref="C16972:D16972"/>
    <mergeCell ref="C16973:D16973"/>
    <mergeCell ref="C16974:D16974"/>
    <mergeCell ref="C16988:D16988"/>
    <mergeCell ref="C16990:D16990"/>
    <mergeCell ref="C16989:D16989"/>
    <mergeCell ref="B16961:B16963"/>
    <mergeCell ref="A16953:A16967"/>
    <mergeCell ref="A16936:A16950"/>
    <mergeCell ref="B16944:B16946"/>
    <mergeCell ref="C16943:D16943"/>
    <mergeCell ref="C16942:D16942"/>
    <mergeCell ref="C16955:D16955"/>
    <mergeCell ref="C16941:D16941"/>
    <mergeCell ref="C16937:D16937"/>
    <mergeCell ref="C16938:D16938"/>
    <mergeCell ref="C16939:D16939"/>
    <mergeCell ref="C16940:D16940"/>
    <mergeCell ref="C16954:D16954"/>
    <mergeCell ref="C16956:D16956"/>
    <mergeCell ref="A16952:D16952"/>
    <mergeCell ref="A16987:A17001"/>
    <mergeCell ref="C16922:D16922"/>
    <mergeCell ref="B16910:B16912"/>
    <mergeCell ref="A16902:A16916"/>
    <mergeCell ref="A16919:A16933"/>
    <mergeCell ref="C16891:D16891"/>
    <mergeCell ref="A16885:A16899"/>
    <mergeCell ref="C16907:D16907"/>
    <mergeCell ref="C16906:D16906"/>
    <mergeCell ref="C16908:D16908"/>
    <mergeCell ref="C16977:D16977"/>
    <mergeCell ref="C16991:D16991"/>
    <mergeCell ref="C16960:D16960"/>
    <mergeCell ref="A16969:D16969"/>
    <mergeCell ref="B17148:B17150"/>
    <mergeCell ref="A17021:A17035"/>
    <mergeCell ref="A17038:A17052"/>
    <mergeCell ref="B17063:B17065"/>
    <mergeCell ref="B17029:B17031"/>
    <mergeCell ref="B17046:B17048"/>
    <mergeCell ref="B17080:B17082"/>
    <mergeCell ref="B17131:B17133"/>
    <mergeCell ref="C17090:D17090"/>
    <mergeCell ref="C17091:D17091"/>
    <mergeCell ref="C17092:D17092"/>
    <mergeCell ref="C17093:D17093"/>
    <mergeCell ref="C17094:D17094"/>
    <mergeCell ref="C17095:D17095"/>
    <mergeCell ref="C17146:D17146"/>
    <mergeCell ref="C17144:D17144"/>
    <mergeCell ref="C17147:D17147"/>
    <mergeCell ref="C17009:D17009"/>
    <mergeCell ref="C17008:D17008"/>
    <mergeCell ref="C17022:D17022"/>
    <mergeCell ref="C17023:D17023"/>
    <mergeCell ref="C17024:D17024"/>
    <mergeCell ref="C17025:D17025"/>
    <mergeCell ref="C17028:D17028"/>
    <mergeCell ref="C17026:D17026"/>
    <mergeCell ref="C17027:D17027"/>
    <mergeCell ref="C17043:D17043"/>
    <mergeCell ref="C17039:D17039"/>
    <mergeCell ref="C17040:D17040"/>
    <mergeCell ref="C17041:D17041"/>
    <mergeCell ref="C17042:D17042"/>
    <mergeCell ref="A17037:D17037"/>
    <mergeCell ref="C17044:D17044"/>
    <mergeCell ref="A17020:D17020"/>
    <mergeCell ref="A17054:D17054"/>
    <mergeCell ref="C17364:D17364"/>
    <mergeCell ref="C17311:D17311"/>
    <mergeCell ref="C17312:D17312"/>
    <mergeCell ref="C17313:D17313"/>
    <mergeCell ref="C17314:D17314"/>
    <mergeCell ref="C17317:D17317"/>
    <mergeCell ref="A17190:D17190"/>
    <mergeCell ref="C17194:D17194"/>
    <mergeCell ref="C17192:D17192"/>
    <mergeCell ref="C17193:D17193"/>
    <mergeCell ref="C17195:D17195"/>
    <mergeCell ref="C17198:D17198"/>
    <mergeCell ref="C17196:D17196"/>
    <mergeCell ref="C17197:D17197"/>
    <mergeCell ref="A17207:D17207"/>
    <mergeCell ref="C17209:D17209"/>
    <mergeCell ref="C17210:D17210"/>
    <mergeCell ref="C17211:D17211"/>
    <mergeCell ref="C17213:D17213"/>
    <mergeCell ref="A17327:A17341"/>
    <mergeCell ref="A17310:A17324"/>
    <mergeCell ref="C17159:D17159"/>
    <mergeCell ref="C17160:D17160"/>
    <mergeCell ref="C17161:D17161"/>
    <mergeCell ref="C17164:D17164"/>
    <mergeCell ref="C17365:D17365"/>
    <mergeCell ref="C17366:D17366"/>
    <mergeCell ref="B17352:B17354"/>
    <mergeCell ref="A17344:A17358"/>
    <mergeCell ref="C17368:D17368"/>
    <mergeCell ref="C17384:D17384"/>
    <mergeCell ref="A17275:D17275"/>
    <mergeCell ref="C17277:D17277"/>
    <mergeCell ref="C17278:D17278"/>
    <mergeCell ref="C17264:D17264"/>
    <mergeCell ref="C17265:D17265"/>
    <mergeCell ref="C17279:D17279"/>
    <mergeCell ref="C17281:D17281"/>
    <mergeCell ref="C17280:D17280"/>
    <mergeCell ref="B17335:B17337"/>
    <mergeCell ref="A17343:D17343"/>
    <mergeCell ref="C17297:D17297"/>
    <mergeCell ref="C17298:D17298"/>
    <mergeCell ref="C17315:D17315"/>
    <mergeCell ref="C17299:D17299"/>
    <mergeCell ref="C17283:D17283"/>
    <mergeCell ref="B17284:B17286"/>
    <mergeCell ref="A17276:A17290"/>
    <mergeCell ref="A17292:D17292"/>
    <mergeCell ref="A17004:A17018"/>
    <mergeCell ref="B16978:B16980"/>
    <mergeCell ref="B16995:B16997"/>
    <mergeCell ref="B17012:B17014"/>
    <mergeCell ref="C17214:D17214"/>
    <mergeCell ref="C17215:D17215"/>
    <mergeCell ref="B17216:B17218"/>
    <mergeCell ref="A17224:D17224"/>
    <mergeCell ref="A17191:A17205"/>
    <mergeCell ref="A17208:A17222"/>
    <mergeCell ref="A17225:A17239"/>
    <mergeCell ref="B17199:B17201"/>
    <mergeCell ref="C17212:D17212"/>
    <mergeCell ref="C17179:D17179"/>
    <mergeCell ref="C17180:D17180"/>
    <mergeCell ref="A17174:A17188"/>
    <mergeCell ref="A17173:D17173"/>
    <mergeCell ref="C17175:D17175"/>
    <mergeCell ref="C17176:D17176"/>
    <mergeCell ref="C17177:D17177"/>
    <mergeCell ref="C17178:D17178"/>
    <mergeCell ref="B17182:B17184"/>
    <mergeCell ref="C17181:D17181"/>
    <mergeCell ref="A17003:D17003"/>
    <mergeCell ref="A17055:A17069"/>
    <mergeCell ref="A17072:A17086"/>
    <mergeCell ref="A17089:A17103"/>
    <mergeCell ref="A17106:A17120"/>
    <mergeCell ref="A17140:A17154"/>
    <mergeCell ref="A17157:A17171"/>
    <mergeCell ref="A17123:A17137"/>
    <mergeCell ref="B17114:B17116"/>
    <mergeCell ref="B17097:B17099"/>
    <mergeCell ref="B17165:B17167"/>
    <mergeCell ref="A17088:D17088"/>
    <mergeCell ref="C17096:D17096"/>
    <mergeCell ref="C10039:D10039"/>
    <mergeCell ref="C10040:D10040"/>
    <mergeCell ref="A10033:D10033"/>
    <mergeCell ref="A10034:A10048"/>
    <mergeCell ref="C10035:D10035"/>
    <mergeCell ref="C10036:D10036"/>
    <mergeCell ref="C10037:D10037"/>
    <mergeCell ref="C10038:D10038"/>
    <mergeCell ref="B10042:B10044"/>
    <mergeCell ref="C10041:D10041"/>
    <mergeCell ref="C10052:D10052"/>
    <mergeCell ref="C10053:D10053"/>
    <mergeCell ref="A10067:D10067"/>
    <mergeCell ref="C10069:D10069"/>
    <mergeCell ref="B10059:B10061"/>
    <mergeCell ref="A10051:A10065"/>
    <mergeCell ref="C10137:D10137"/>
    <mergeCell ref="C10122:D10122"/>
    <mergeCell ref="C10120:D10120"/>
    <mergeCell ref="C10121:D10121"/>
    <mergeCell ref="B10263:B10265"/>
    <mergeCell ref="B10246:B10248"/>
    <mergeCell ref="C10239:D10239"/>
    <mergeCell ref="C10240:D10240"/>
    <mergeCell ref="C10224:D10224"/>
    <mergeCell ref="C10222:D10222"/>
    <mergeCell ref="C10223:D10223"/>
    <mergeCell ref="C10256:D10256"/>
    <mergeCell ref="C10257:D10257"/>
    <mergeCell ref="C10243:D10243"/>
    <mergeCell ref="C10262:D10262"/>
    <mergeCell ref="C10242:D10242"/>
    <mergeCell ref="A10237:D10237"/>
    <mergeCell ref="C10241:D10241"/>
    <mergeCell ref="A10254:D10254"/>
    <mergeCell ref="C10260:D10260"/>
    <mergeCell ref="A10238:A10252"/>
    <mergeCell ref="C10175:D10175"/>
    <mergeCell ref="C10177:D10177"/>
    <mergeCell ref="C10172:D10172"/>
    <mergeCell ref="C10173:D10173"/>
    <mergeCell ref="B10178:B10180"/>
    <mergeCell ref="C10176:D10176"/>
    <mergeCell ref="C10206:D10206"/>
    <mergeCell ref="C10207:D10207"/>
    <mergeCell ref="C10209:D10209"/>
    <mergeCell ref="C10210:D10210"/>
    <mergeCell ref="C10208:D10208"/>
    <mergeCell ref="C10225:D10225"/>
    <mergeCell ref="C10228:D10228"/>
    <mergeCell ref="B10229:B10231"/>
    <mergeCell ref="C10226:D10226"/>
    <mergeCell ref="C10227:D10227"/>
    <mergeCell ref="A10221:A10235"/>
    <mergeCell ref="A10220:D10220"/>
    <mergeCell ref="C10244:D10244"/>
    <mergeCell ref="C10245:D10245"/>
    <mergeCell ref="C10192:D10192"/>
    <mergeCell ref="C10193:D10193"/>
    <mergeCell ref="C10190:D10190"/>
    <mergeCell ref="C10188:D10188"/>
    <mergeCell ref="C10189:D10189"/>
    <mergeCell ref="A10186:D10186"/>
    <mergeCell ref="B17267:B17269"/>
    <mergeCell ref="B17369:B17371"/>
    <mergeCell ref="C17351:D17351"/>
    <mergeCell ref="A17361:A17375"/>
    <mergeCell ref="A17378:A17392"/>
    <mergeCell ref="C17383:D17383"/>
    <mergeCell ref="A17377:D17377"/>
    <mergeCell ref="C17379:D17379"/>
    <mergeCell ref="C17380:D17380"/>
    <mergeCell ref="C17381:D17381"/>
    <mergeCell ref="C17382:D17382"/>
    <mergeCell ref="A17360:D17360"/>
    <mergeCell ref="C17362:D17362"/>
    <mergeCell ref="C17363:D17363"/>
    <mergeCell ref="B17403:B17405"/>
    <mergeCell ref="A17411:D17411"/>
    <mergeCell ref="A17258:D17258"/>
    <mergeCell ref="A17242:A17256"/>
    <mergeCell ref="A17395:A17409"/>
    <mergeCell ref="A17309:D17309"/>
    <mergeCell ref="B17318:B17320"/>
    <mergeCell ref="C17367:D17367"/>
    <mergeCell ref="C17385:D17385"/>
    <mergeCell ref="C17396:D17396"/>
    <mergeCell ref="C17397:D17397"/>
    <mergeCell ref="C17398:D17398"/>
    <mergeCell ref="C17330:D17330"/>
    <mergeCell ref="C17331:D17331"/>
    <mergeCell ref="C17347:D17347"/>
    <mergeCell ref="C17345:D17345"/>
    <mergeCell ref="C17346:D17346"/>
    <mergeCell ref="C17332:D17332"/>
    <mergeCell ref="C17333:D17333"/>
    <mergeCell ref="C17349:D17349"/>
    <mergeCell ref="C17350:D17350"/>
    <mergeCell ref="C17328:D17328"/>
    <mergeCell ref="C17329:D17329"/>
    <mergeCell ref="C17334:D17334"/>
    <mergeCell ref="C17348:D17348"/>
    <mergeCell ref="C17417:D17417"/>
    <mergeCell ref="C17418:D17418"/>
    <mergeCell ref="C17414:D17414"/>
    <mergeCell ref="C17415:D17415"/>
    <mergeCell ref="C17430:D17430"/>
    <mergeCell ref="C17431:D17431"/>
    <mergeCell ref="A17428:D17428"/>
    <mergeCell ref="C17416:D17416"/>
    <mergeCell ref="C17419:D17419"/>
    <mergeCell ref="C17467:D17467"/>
    <mergeCell ref="C17468:D17468"/>
    <mergeCell ref="C17469:D17469"/>
    <mergeCell ref="B17471:B17473"/>
    <mergeCell ref="C17453:D17453"/>
    <mergeCell ref="C17399:D17399"/>
    <mergeCell ref="C17400:D17400"/>
    <mergeCell ref="C10274:D10274"/>
    <mergeCell ref="C10275:D10275"/>
    <mergeCell ref="A10289:A10303"/>
    <mergeCell ref="A10306:A10320"/>
    <mergeCell ref="A10305:D10305"/>
    <mergeCell ref="B10297:B10299"/>
    <mergeCell ref="A10288:D10288"/>
    <mergeCell ref="B10331:B10333"/>
    <mergeCell ref="A10323:A10337"/>
    <mergeCell ref="B10365:B10367"/>
    <mergeCell ref="C10362:D10362"/>
    <mergeCell ref="C10363:D10363"/>
    <mergeCell ref="C10360:D10360"/>
    <mergeCell ref="C10358:D10358"/>
    <mergeCell ref="C10359:D10359"/>
    <mergeCell ref="C10342:D10342"/>
    <mergeCell ref="C10343:D10343"/>
    <mergeCell ref="B10348:B10350"/>
    <mergeCell ref="C10345:D10345"/>
    <mergeCell ref="C10324:D10324"/>
    <mergeCell ref="C10325:D10325"/>
    <mergeCell ref="A17293:A17307"/>
    <mergeCell ref="C17296:D17296"/>
    <mergeCell ref="C17294:D17294"/>
    <mergeCell ref="C17295:D17295"/>
    <mergeCell ref="B17301:B17303"/>
    <mergeCell ref="C17300:D17300"/>
    <mergeCell ref="A17394:D17394"/>
    <mergeCell ref="C17402:D17402"/>
    <mergeCell ref="C17260:D17260"/>
    <mergeCell ref="C17261:D17261"/>
    <mergeCell ref="C17232:D17232"/>
    <mergeCell ref="B17233:B17235"/>
    <mergeCell ref="C17244:D17244"/>
    <mergeCell ref="C17243:D17243"/>
    <mergeCell ref="C17316:D17316"/>
    <mergeCell ref="C17282:D17282"/>
    <mergeCell ref="C17245:D17245"/>
    <mergeCell ref="C17246:D17246"/>
    <mergeCell ref="C17247:D17247"/>
    <mergeCell ref="C17248:D17248"/>
    <mergeCell ref="B17250:B17252"/>
    <mergeCell ref="C17249:D17249"/>
    <mergeCell ref="C17401:D17401"/>
    <mergeCell ref="B17386:B17388"/>
    <mergeCell ref="C17262:D17262"/>
    <mergeCell ref="C17263:D17263"/>
    <mergeCell ref="C17266:D17266"/>
    <mergeCell ref="C10086:D10086"/>
    <mergeCell ref="B10093:B10095"/>
    <mergeCell ref="A10050:D10050"/>
    <mergeCell ref="C10138:D10138"/>
    <mergeCell ref="C10139:D10139"/>
    <mergeCell ref="C10141:D10141"/>
    <mergeCell ref="C10140:D10140"/>
    <mergeCell ref="A10136:A10150"/>
    <mergeCell ref="A10153:A10167"/>
    <mergeCell ref="C10142:D10142"/>
    <mergeCell ref="C10089:D10089"/>
    <mergeCell ref="C10092:D10092"/>
    <mergeCell ref="C10058:D10058"/>
    <mergeCell ref="C10054:D10054"/>
    <mergeCell ref="C10055:D10055"/>
    <mergeCell ref="C10056:D10056"/>
    <mergeCell ref="C10057:D10057"/>
    <mergeCell ref="C10258:D10258"/>
    <mergeCell ref="C10259:D10259"/>
    <mergeCell ref="A17513:D17513"/>
    <mergeCell ref="B17454:B17456"/>
    <mergeCell ref="A17496:D17496"/>
    <mergeCell ref="C17450:D17450"/>
    <mergeCell ref="C17470:D17470"/>
    <mergeCell ref="A17446:A17460"/>
    <mergeCell ref="A17463:A17477"/>
    <mergeCell ref="B17505:B17507"/>
    <mergeCell ref="A17480:A17494"/>
    <mergeCell ref="C17501:D17501"/>
    <mergeCell ref="C17504:D17504"/>
    <mergeCell ref="C17502:D17502"/>
    <mergeCell ref="C17503:D17503"/>
    <mergeCell ref="C17484:D17484"/>
    <mergeCell ref="C17485:D17485"/>
    <mergeCell ref="B17488:B17490"/>
    <mergeCell ref="A17479:D17479"/>
    <mergeCell ref="C17486:D17486"/>
    <mergeCell ref="C17481:D17481"/>
    <mergeCell ref="C17482:D17482"/>
    <mergeCell ref="C17483:D17483"/>
    <mergeCell ref="C17487:D17487"/>
    <mergeCell ref="A17462:D17462"/>
    <mergeCell ref="C17464:D17464"/>
    <mergeCell ref="C17465:D17465"/>
    <mergeCell ref="C17466:D17466"/>
    <mergeCell ref="C17447:D17447"/>
    <mergeCell ref="C17448:D17448"/>
    <mergeCell ref="C17413:D17413"/>
    <mergeCell ref="B17420:B17422"/>
    <mergeCell ref="C17432:D17432"/>
    <mergeCell ref="C17433:D17433"/>
    <mergeCell ref="C17436:D17436"/>
    <mergeCell ref="B17437:B17439"/>
    <mergeCell ref="A17445:D17445"/>
    <mergeCell ref="A17412:A17426"/>
    <mergeCell ref="C17500:D17500"/>
    <mergeCell ref="A17497:A17511"/>
    <mergeCell ref="C17498:D17498"/>
    <mergeCell ref="C17499:D17499"/>
    <mergeCell ref="C17449:D17449"/>
    <mergeCell ref="C17434:D17434"/>
    <mergeCell ref="C17435:D17435"/>
    <mergeCell ref="C17451:D17451"/>
    <mergeCell ref="C17452:D17452"/>
    <mergeCell ref="A10271:D10271"/>
    <mergeCell ref="C10273:D10273"/>
    <mergeCell ref="C10261:D10261"/>
    <mergeCell ref="C10277:D10277"/>
    <mergeCell ref="C10276:D10276"/>
    <mergeCell ref="C10308:D10308"/>
    <mergeCell ref="C10309:D10309"/>
    <mergeCell ref="C10291:D10291"/>
    <mergeCell ref="C10292:D10292"/>
    <mergeCell ref="C10278:D10278"/>
    <mergeCell ref="C10290:D10290"/>
    <mergeCell ref="C10279:D10279"/>
    <mergeCell ref="C10293:D10293"/>
    <mergeCell ref="C10296:D10296"/>
    <mergeCell ref="C10294:D10294"/>
    <mergeCell ref="C10295:D10295"/>
    <mergeCell ref="C10380:D10380"/>
    <mergeCell ref="C10381:D10381"/>
    <mergeCell ref="C10375:D10375"/>
    <mergeCell ref="C10376:D10376"/>
    <mergeCell ref="C10378:D10378"/>
    <mergeCell ref="C10341:D10341"/>
    <mergeCell ref="C10344:D10344"/>
    <mergeCell ref="C10326:D10326"/>
    <mergeCell ref="C10327:D10327"/>
    <mergeCell ref="C10313:D10313"/>
    <mergeCell ref="C10311:D10311"/>
    <mergeCell ref="C10312:D10312"/>
    <mergeCell ref="C10307:D10307"/>
    <mergeCell ref="C10310:D10310"/>
    <mergeCell ref="C10330:D10330"/>
    <mergeCell ref="A10339:D10339"/>
    <mergeCell ref="B10314:B10316"/>
    <mergeCell ref="A10356:D10356"/>
    <mergeCell ref="A10373:D10373"/>
    <mergeCell ref="A10357:A10371"/>
    <mergeCell ref="A10340:A10354"/>
    <mergeCell ref="C10329:D10329"/>
    <mergeCell ref="A10322:D10322"/>
    <mergeCell ref="C10377:D10377"/>
    <mergeCell ref="C10379:D10379"/>
    <mergeCell ref="A10374:A10388"/>
    <mergeCell ref="A10272:A10286"/>
    <mergeCell ref="B10280:B10282"/>
    <mergeCell ref="C9544:D9544"/>
    <mergeCell ref="C9542:D9542"/>
    <mergeCell ref="C9543:D9543"/>
    <mergeCell ref="C9749:D9749"/>
    <mergeCell ref="C9752:D9752"/>
    <mergeCell ref="C9750:D9750"/>
    <mergeCell ref="C9751:D9751"/>
    <mergeCell ref="B9753:B9755"/>
    <mergeCell ref="A9761:D9761"/>
    <mergeCell ref="C9763:D9763"/>
    <mergeCell ref="C9764:D9764"/>
    <mergeCell ref="C9765:D9765"/>
    <mergeCell ref="C9767:D9767"/>
    <mergeCell ref="C9768:D9768"/>
    <mergeCell ref="C9766:D9766"/>
    <mergeCell ref="C9786:D9786"/>
    <mergeCell ref="C9784:D9784"/>
    <mergeCell ref="C9785:D9785"/>
    <mergeCell ref="C9769:D9769"/>
    <mergeCell ref="C9801:D9801"/>
    <mergeCell ref="A9795:D9795"/>
    <mergeCell ref="C9797:D9797"/>
    <mergeCell ref="C9798:D9798"/>
    <mergeCell ref="C9799:D9799"/>
    <mergeCell ref="C9800:D9800"/>
    <mergeCell ref="C9817:D9817"/>
    <mergeCell ref="A9812:D9812"/>
    <mergeCell ref="A9796:A9810"/>
    <mergeCell ref="B9804:B9806"/>
    <mergeCell ref="C9835:D9835"/>
    <mergeCell ref="C9834:D9834"/>
    <mergeCell ref="A9813:A9827"/>
    <mergeCell ref="A9779:A9793"/>
    <mergeCell ref="C9820:D9820"/>
    <mergeCell ref="B9821:B9823"/>
    <mergeCell ref="A9778:D9778"/>
    <mergeCell ref="A9745:A9759"/>
    <mergeCell ref="C9802:D9802"/>
    <mergeCell ref="C9803:D9803"/>
    <mergeCell ref="C9832:D9832"/>
    <mergeCell ref="C9814:D9814"/>
    <mergeCell ref="C9815:D9815"/>
    <mergeCell ref="C9780:D9780"/>
    <mergeCell ref="C9781:D9781"/>
    <mergeCell ref="A9694:A9708"/>
    <mergeCell ref="A9711:A9725"/>
    <mergeCell ref="A9728:A9742"/>
    <mergeCell ref="C9734:D9734"/>
    <mergeCell ref="C9735:D9735"/>
    <mergeCell ref="B9736:B9738"/>
    <mergeCell ref="C9733:D9733"/>
    <mergeCell ref="C9729:D9729"/>
    <mergeCell ref="C9730:D9730"/>
    <mergeCell ref="C9731:D9731"/>
    <mergeCell ref="C9732:D9732"/>
    <mergeCell ref="C9747:D9747"/>
    <mergeCell ref="C9748:D9748"/>
    <mergeCell ref="B9787:B9789"/>
    <mergeCell ref="A9762:A9776"/>
    <mergeCell ref="B9770:B9772"/>
    <mergeCell ref="C9818:D9818"/>
    <mergeCell ref="C9819:D9819"/>
    <mergeCell ref="A9830:A9844"/>
    <mergeCell ref="C9661:D9661"/>
    <mergeCell ref="A9659:D9659"/>
    <mergeCell ref="C9681:D9681"/>
    <mergeCell ref="C9682:D9682"/>
    <mergeCell ref="C9680:D9680"/>
    <mergeCell ref="C9678:D9678"/>
    <mergeCell ref="C9679:D9679"/>
    <mergeCell ref="C9684:D9684"/>
    <mergeCell ref="B9685:B9687"/>
    <mergeCell ref="C9683:D9683"/>
    <mergeCell ref="C9664:D9664"/>
    <mergeCell ref="C9665:D9665"/>
    <mergeCell ref="B9668:B9670"/>
    <mergeCell ref="C9666:D9666"/>
    <mergeCell ref="A9660:A9674"/>
    <mergeCell ref="C9662:D9662"/>
    <mergeCell ref="C9646:D9646"/>
    <mergeCell ref="C9647:D9647"/>
    <mergeCell ref="B9651:B9653"/>
    <mergeCell ref="C9648:D9648"/>
    <mergeCell ref="C9649:D9649"/>
    <mergeCell ref="C9663:D9663"/>
    <mergeCell ref="C9650:D9650"/>
    <mergeCell ref="C9582:D9582"/>
    <mergeCell ref="B9583:B9585"/>
    <mergeCell ref="C9562:D9562"/>
    <mergeCell ref="C9559:D9559"/>
    <mergeCell ref="C9560:D9560"/>
    <mergeCell ref="C9561:D9561"/>
    <mergeCell ref="C9597:D9597"/>
    <mergeCell ref="B9600:B9602"/>
    <mergeCell ref="C9563:D9563"/>
    <mergeCell ref="B9566:B9568"/>
    <mergeCell ref="C9564:D9564"/>
    <mergeCell ref="C9565:D9565"/>
    <mergeCell ref="C9598:D9598"/>
    <mergeCell ref="C9599:D9599"/>
    <mergeCell ref="C9593:D9593"/>
    <mergeCell ref="C9594:D9594"/>
    <mergeCell ref="C9595:D9595"/>
    <mergeCell ref="C9596:D9596"/>
    <mergeCell ref="C9667:D9667"/>
    <mergeCell ref="A9676:D9676"/>
    <mergeCell ref="A9677:A9691"/>
    <mergeCell ref="A9558:A9572"/>
    <mergeCell ref="A9575:A9589"/>
    <mergeCell ref="A9609:A9623"/>
    <mergeCell ref="A9592:A9606"/>
    <mergeCell ref="A9625:D9625"/>
    <mergeCell ref="C9627:D9627"/>
    <mergeCell ref="C9628:D9628"/>
    <mergeCell ref="C9629:D9629"/>
    <mergeCell ref="C9631:D9631"/>
    <mergeCell ref="C9632:D9632"/>
    <mergeCell ref="C9612:D9612"/>
    <mergeCell ref="C9610:D9610"/>
    <mergeCell ref="C9611:D9611"/>
    <mergeCell ref="A9608:D9608"/>
    <mergeCell ref="C9633:D9633"/>
    <mergeCell ref="B9634:B9636"/>
    <mergeCell ref="A9642:D9642"/>
    <mergeCell ref="C9630:D9630"/>
    <mergeCell ref="C9576:D9576"/>
    <mergeCell ref="C9577:D9577"/>
    <mergeCell ref="C9613:D9613"/>
    <mergeCell ref="C9616:D9616"/>
    <mergeCell ref="B9617:B9619"/>
    <mergeCell ref="C9614:D9614"/>
    <mergeCell ref="C9615:D9615"/>
    <mergeCell ref="C9644:D9644"/>
    <mergeCell ref="C9645:D9645"/>
    <mergeCell ref="C9529:D9529"/>
    <mergeCell ref="B9532:B9534"/>
    <mergeCell ref="A9626:A9640"/>
    <mergeCell ref="A9643:A9657"/>
    <mergeCell ref="C9478:D9478"/>
    <mergeCell ref="C9479:D9479"/>
    <mergeCell ref="C9476:D9476"/>
    <mergeCell ref="C9474:D9474"/>
    <mergeCell ref="C9475:D9475"/>
    <mergeCell ref="C9512:D9512"/>
    <mergeCell ref="C9513:D9513"/>
    <mergeCell ref="C9510:D9510"/>
    <mergeCell ref="C9511:D9511"/>
    <mergeCell ref="C9497:D9497"/>
    <mergeCell ref="B9498:B9500"/>
    <mergeCell ref="C9491:D9491"/>
    <mergeCell ref="C9492:D9492"/>
    <mergeCell ref="C9493:D9493"/>
    <mergeCell ref="C9495:D9495"/>
    <mergeCell ref="C9496:D9496"/>
    <mergeCell ref="C9494:D9494"/>
    <mergeCell ref="C9426:D9426"/>
    <mergeCell ref="C9427:D9427"/>
    <mergeCell ref="B9413:B9415"/>
    <mergeCell ref="A9421:D9421"/>
    <mergeCell ref="A9438:D9438"/>
    <mergeCell ref="A9405:A9419"/>
    <mergeCell ref="A9422:A9436"/>
    <mergeCell ref="A9490:A9504"/>
    <mergeCell ref="A9507:A9521"/>
    <mergeCell ref="A9524:A9538"/>
    <mergeCell ref="A9541:A9555"/>
    <mergeCell ref="A9574:D9574"/>
    <mergeCell ref="A9557:D9557"/>
    <mergeCell ref="C9578:D9578"/>
    <mergeCell ref="C9579:D9579"/>
    <mergeCell ref="C9580:D9580"/>
    <mergeCell ref="C9581:D9581"/>
    <mergeCell ref="A9591:D9591"/>
    <mergeCell ref="A9523:D9523"/>
    <mergeCell ref="C9530:D9530"/>
    <mergeCell ref="C9525:D9525"/>
    <mergeCell ref="C9526:D9526"/>
    <mergeCell ref="C9527:D9527"/>
    <mergeCell ref="C9528:D9528"/>
    <mergeCell ref="C9531:D9531"/>
    <mergeCell ref="A9540:D9540"/>
    <mergeCell ref="C9508:D9508"/>
    <mergeCell ref="A9506:D9506"/>
    <mergeCell ref="C9509:D9509"/>
    <mergeCell ref="C9514:D9514"/>
    <mergeCell ref="B9515:B9517"/>
    <mergeCell ref="C9545:D9545"/>
    <mergeCell ref="B9549:B9551"/>
    <mergeCell ref="C9548:D9548"/>
    <mergeCell ref="C9546:D9546"/>
    <mergeCell ref="C9547:D9547"/>
    <mergeCell ref="C9171:D9171"/>
    <mergeCell ref="C9174:D9174"/>
    <mergeCell ref="C9172:D9172"/>
    <mergeCell ref="C9173:D9173"/>
    <mergeCell ref="C9238:D9238"/>
    <mergeCell ref="C9219:D9219"/>
    <mergeCell ref="C9220:D9220"/>
    <mergeCell ref="C9134:D9134"/>
    <mergeCell ref="C9135:D9135"/>
    <mergeCell ref="C9106:D9106"/>
    <mergeCell ref="C9102:D9102"/>
    <mergeCell ref="C9103:D9103"/>
    <mergeCell ref="C9100:D9100"/>
    <mergeCell ref="C9101:D9101"/>
    <mergeCell ref="A9234:D9234"/>
    <mergeCell ref="C9223:D9223"/>
    <mergeCell ref="B9226:B9228"/>
    <mergeCell ref="C9224:D9224"/>
    <mergeCell ref="C9225:D9225"/>
    <mergeCell ref="C9203:D9203"/>
    <mergeCell ref="C9204:D9204"/>
    <mergeCell ref="C9205:D9205"/>
    <mergeCell ref="C9208:D9208"/>
    <mergeCell ref="A9217:D9217"/>
    <mergeCell ref="C9104:D9104"/>
    <mergeCell ref="C9105:D9105"/>
    <mergeCell ref="C9477:D9477"/>
    <mergeCell ref="A9472:D9472"/>
    <mergeCell ref="B9464:B9466"/>
    <mergeCell ref="C9480:D9480"/>
    <mergeCell ref="B9481:B9483"/>
    <mergeCell ref="A9489:D9489"/>
    <mergeCell ref="A9473:A9487"/>
    <mergeCell ref="C9458:D9458"/>
    <mergeCell ref="C9457:D9457"/>
    <mergeCell ref="C9462:D9462"/>
    <mergeCell ref="C9463:D9463"/>
    <mergeCell ref="A9439:A9453"/>
    <mergeCell ref="A9456:A9470"/>
    <mergeCell ref="C9459:D9459"/>
    <mergeCell ref="C9461:D9461"/>
    <mergeCell ref="A9455:D9455"/>
    <mergeCell ref="C9460:D9460"/>
    <mergeCell ref="C9359:D9359"/>
    <mergeCell ref="C9361:D9361"/>
    <mergeCell ref="C9356:D9356"/>
    <mergeCell ref="C9357:D9357"/>
    <mergeCell ref="C9358:D9358"/>
    <mergeCell ref="C9375:D9375"/>
    <mergeCell ref="C9378:D9378"/>
    <mergeCell ref="B9379:B9381"/>
    <mergeCell ref="A9371:A9385"/>
    <mergeCell ref="A9388:A9402"/>
    <mergeCell ref="B9396:B9398"/>
    <mergeCell ref="A9404:D9404"/>
    <mergeCell ref="A9370:D9370"/>
    <mergeCell ref="C9340:D9340"/>
    <mergeCell ref="C9341:D9341"/>
    <mergeCell ref="C9344:D9344"/>
    <mergeCell ref="C9342:D9342"/>
    <mergeCell ref="C9343:D9343"/>
    <mergeCell ref="A9320:A9334"/>
    <mergeCell ref="B9328:B9330"/>
    <mergeCell ref="C9321:D9321"/>
    <mergeCell ref="C9322:D9322"/>
    <mergeCell ref="C9323:D9323"/>
    <mergeCell ref="C9325:D9325"/>
    <mergeCell ref="C9324:D9324"/>
    <mergeCell ref="A9337:A9351"/>
    <mergeCell ref="B9345:B9347"/>
    <mergeCell ref="A9336:D9336"/>
    <mergeCell ref="C9308:D9308"/>
    <mergeCell ref="C9309:D9309"/>
    <mergeCell ref="C9306:D9306"/>
    <mergeCell ref="C9304:D9304"/>
    <mergeCell ref="C9305:D9305"/>
    <mergeCell ref="C9291:D9291"/>
    <mergeCell ref="C9307:D9307"/>
    <mergeCell ref="A9302:D9302"/>
    <mergeCell ref="A9303:A9317"/>
    <mergeCell ref="C9310:D9310"/>
    <mergeCell ref="C9258:D9258"/>
    <mergeCell ref="C9259:D9259"/>
    <mergeCell ref="A9251:D9251"/>
    <mergeCell ref="C9253:D9253"/>
    <mergeCell ref="C9254:D9254"/>
    <mergeCell ref="C9255:D9255"/>
    <mergeCell ref="C9257:D9257"/>
    <mergeCell ref="C9256:D9256"/>
    <mergeCell ref="A9252:A9266"/>
    <mergeCell ref="B9260:B9262"/>
    <mergeCell ref="C9274:D9274"/>
    <mergeCell ref="A9268:D9268"/>
    <mergeCell ref="C9270:D9270"/>
    <mergeCell ref="C9271:D9271"/>
    <mergeCell ref="C9272:D9272"/>
    <mergeCell ref="C9273:D9273"/>
    <mergeCell ref="C9276:D9276"/>
    <mergeCell ref="B9277:B9279"/>
    <mergeCell ref="C9275:D9275"/>
    <mergeCell ref="A9285:D9285"/>
    <mergeCell ref="C9037:D9037"/>
    <mergeCell ref="C9038:D9038"/>
    <mergeCell ref="C8936:D8936"/>
    <mergeCell ref="C8947:D8947"/>
    <mergeCell ref="C9326:D9326"/>
    <mergeCell ref="C9338:D9338"/>
    <mergeCell ref="C9327:D9327"/>
    <mergeCell ref="C9339:D9339"/>
    <mergeCell ref="B9175:B9177"/>
    <mergeCell ref="C9136:D9136"/>
    <mergeCell ref="C9137:D9137"/>
    <mergeCell ref="C9140:D9140"/>
    <mergeCell ref="B9141:B9143"/>
    <mergeCell ref="C9138:D9138"/>
    <mergeCell ref="C9139:D9139"/>
    <mergeCell ref="A9115:D9115"/>
    <mergeCell ref="C9123:D9123"/>
    <mergeCell ref="C9153:D9153"/>
    <mergeCell ref="C9154:D9154"/>
    <mergeCell ref="C9189:D9189"/>
    <mergeCell ref="C9188:D9188"/>
    <mergeCell ref="C9239:D9239"/>
    <mergeCell ref="C9240:D9240"/>
    <mergeCell ref="C9241:D9241"/>
    <mergeCell ref="C9236:D9236"/>
    <mergeCell ref="C9237:D9237"/>
    <mergeCell ref="C9287:D9287"/>
    <mergeCell ref="C9288:D9288"/>
    <mergeCell ref="C9289:D9289"/>
    <mergeCell ref="C9290:D9290"/>
    <mergeCell ref="A9269:A9283"/>
    <mergeCell ref="A9167:A9181"/>
    <mergeCell ref="B9447:B9449"/>
    <mergeCell ref="B9430:B9432"/>
    <mergeCell ref="C9428:D9428"/>
    <mergeCell ref="C9423:D9423"/>
    <mergeCell ref="C9424:D9424"/>
    <mergeCell ref="C9425:D9425"/>
    <mergeCell ref="C9429:D9429"/>
    <mergeCell ref="C9409:D9409"/>
    <mergeCell ref="C9410:D9410"/>
    <mergeCell ref="C9389:D9389"/>
    <mergeCell ref="C9390:D9390"/>
    <mergeCell ref="C9391:D9391"/>
    <mergeCell ref="C9393:D9393"/>
    <mergeCell ref="C9392:D9392"/>
    <mergeCell ref="C9394:D9394"/>
    <mergeCell ref="C9406:D9406"/>
    <mergeCell ref="C9395:D9395"/>
    <mergeCell ref="C9407:D9407"/>
    <mergeCell ref="C9408:D9408"/>
    <mergeCell ref="C9412:D9412"/>
    <mergeCell ref="C9411:D9411"/>
    <mergeCell ref="A9353:D9353"/>
    <mergeCell ref="C9355:D9355"/>
    <mergeCell ref="B9362:B9364"/>
    <mergeCell ref="C9360:D9360"/>
    <mergeCell ref="A9354:A9368"/>
    <mergeCell ref="A9387:D9387"/>
    <mergeCell ref="C9376:D9376"/>
    <mergeCell ref="C9377:D9377"/>
    <mergeCell ref="C9374:D9374"/>
    <mergeCell ref="C9372:D9372"/>
    <mergeCell ref="C9373:D9373"/>
    <mergeCell ref="C9089:D9089"/>
    <mergeCell ref="C9170:D9170"/>
    <mergeCell ref="C9168:D9168"/>
    <mergeCell ref="C9169:D9169"/>
    <mergeCell ref="C9190:D9190"/>
    <mergeCell ref="C9191:D9191"/>
    <mergeCell ref="B9124:B9126"/>
    <mergeCell ref="A9132:D9132"/>
    <mergeCell ref="C9155:D9155"/>
    <mergeCell ref="B9158:B9160"/>
    <mergeCell ref="A9116:A9130"/>
    <mergeCell ref="A9150:A9164"/>
    <mergeCell ref="B9107:B9109"/>
    <mergeCell ref="B9090:B9092"/>
    <mergeCell ref="A9099:A9113"/>
    <mergeCell ref="A9183:D9183"/>
    <mergeCell ref="C9185:D9185"/>
    <mergeCell ref="A9149:D9149"/>
    <mergeCell ref="A9166:D9166"/>
    <mergeCell ref="C8984:D8984"/>
    <mergeCell ref="C8983:D8983"/>
    <mergeCell ref="B8971:B8973"/>
    <mergeCell ref="B8954:B8956"/>
    <mergeCell ref="A8979:D8979"/>
    <mergeCell ref="C8794:D8794"/>
    <mergeCell ref="C8795:D8795"/>
    <mergeCell ref="B9311:B9313"/>
    <mergeCell ref="A9319:D9319"/>
    <mergeCell ref="C9446:D9446"/>
    <mergeCell ref="C9444:D9444"/>
    <mergeCell ref="C9445:D9445"/>
    <mergeCell ref="C9442:D9442"/>
    <mergeCell ref="C9443:D9443"/>
    <mergeCell ref="C9441:D9441"/>
    <mergeCell ref="C9440:D9440"/>
    <mergeCell ref="A9286:A9300"/>
    <mergeCell ref="B9294:B9296"/>
    <mergeCell ref="C9292:D9292"/>
    <mergeCell ref="C9293:D9293"/>
    <mergeCell ref="B9243:B9245"/>
    <mergeCell ref="A9235:A9249"/>
    <mergeCell ref="C9242:D9242"/>
    <mergeCell ref="C9019:D9019"/>
    <mergeCell ref="C8987:D8987"/>
    <mergeCell ref="C9015:D9015"/>
    <mergeCell ref="C8932:D8932"/>
    <mergeCell ref="C8933:D8933"/>
    <mergeCell ref="C8918:D8918"/>
    <mergeCell ref="C8919:D8919"/>
    <mergeCell ref="C9053:D9053"/>
    <mergeCell ref="C9052:D9052"/>
    <mergeCell ref="C9055:D9055"/>
    <mergeCell ref="C9003:D9003"/>
    <mergeCell ref="C9004:D9004"/>
    <mergeCell ref="C8934:D8934"/>
    <mergeCell ref="C8935:D8935"/>
    <mergeCell ref="C9001:D9001"/>
    <mergeCell ref="C9002:D9002"/>
    <mergeCell ref="C9020:D9020"/>
    <mergeCell ref="C9034:D9034"/>
    <mergeCell ref="C9032:D9032"/>
    <mergeCell ref="C9033:D9033"/>
    <mergeCell ref="C9035:D9035"/>
    <mergeCell ref="C9036:D9036"/>
    <mergeCell ref="B8784:B8786"/>
    <mergeCell ref="C8783:D8783"/>
    <mergeCell ref="A8793:A8807"/>
    <mergeCell ref="A8792:D8792"/>
    <mergeCell ref="C8797:D8797"/>
    <mergeCell ref="C8712:D8712"/>
    <mergeCell ref="B8716:B8718"/>
    <mergeCell ref="C8714:D8714"/>
    <mergeCell ref="C8679:D8679"/>
    <mergeCell ref="C8715:D8715"/>
    <mergeCell ref="B9056:B9058"/>
    <mergeCell ref="A9064:D9064"/>
    <mergeCell ref="B9039:B9041"/>
    <mergeCell ref="A9047:D9047"/>
    <mergeCell ref="C9049:D9049"/>
    <mergeCell ref="C9050:D9050"/>
    <mergeCell ref="C9051:D9051"/>
    <mergeCell ref="A9030:D9030"/>
    <mergeCell ref="B9073:B9075"/>
    <mergeCell ref="C9186:D9186"/>
    <mergeCell ref="C9187:D9187"/>
    <mergeCell ref="B9192:B9194"/>
    <mergeCell ref="A9200:D9200"/>
    <mergeCell ref="A9201:A9215"/>
    <mergeCell ref="A9218:A9232"/>
    <mergeCell ref="A9184:A9198"/>
    <mergeCell ref="B9209:B9211"/>
    <mergeCell ref="C8969:D8969"/>
    <mergeCell ref="A8962:D8962"/>
    <mergeCell ref="A8945:D8945"/>
    <mergeCell ref="B8937:B8939"/>
    <mergeCell ref="C8970:D8970"/>
    <mergeCell ref="A8877:D8877"/>
    <mergeCell ref="C8879:D8879"/>
    <mergeCell ref="A8843:D8843"/>
    <mergeCell ref="C8849:D8849"/>
    <mergeCell ref="C8850:D8850"/>
    <mergeCell ref="C8851:D8851"/>
    <mergeCell ref="C8780:D8780"/>
    <mergeCell ref="A9065:A9079"/>
    <mergeCell ref="A9133:A9147"/>
    <mergeCell ref="A8997:A9011"/>
    <mergeCell ref="A9031:A9045"/>
    <mergeCell ref="A9048:A9062"/>
    <mergeCell ref="A9082:A9096"/>
    <mergeCell ref="A9081:D9081"/>
    <mergeCell ref="A9098:D9098"/>
    <mergeCell ref="C8998:D8998"/>
    <mergeCell ref="A8996:D8996"/>
    <mergeCell ref="B9022:B9024"/>
    <mergeCell ref="C9018:D9018"/>
    <mergeCell ref="A9013:D9013"/>
    <mergeCell ref="C9016:D9016"/>
    <mergeCell ref="C9017:D9017"/>
    <mergeCell ref="C9221:D9221"/>
    <mergeCell ref="C9222:D9222"/>
    <mergeCell ref="C9202:D9202"/>
    <mergeCell ref="C9066:D9066"/>
    <mergeCell ref="C9067:D9067"/>
    <mergeCell ref="C9068:D9068"/>
    <mergeCell ref="C9069:D9069"/>
    <mergeCell ref="C9118:D9118"/>
    <mergeCell ref="C9117:D9117"/>
    <mergeCell ref="C9088:D9088"/>
    <mergeCell ref="C8661:D8661"/>
    <mergeCell ref="C8658:D8658"/>
    <mergeCell ref="A8691:A8705"/>
    <mergeCell ref="A8707:D8707"/>
    <mergeCell ref="C8728:D8728"/>
    <mergeCell ref="C8729:D8729"/>
    <mergeCell ref="C8732:D8732"/>
    <mergeCell ref="B8733:B8735"/>
    <mergeCell ref="A8657:A8671"/>
    <mergeCell ref="A8674:A8688"/>
    <mergeCell ref="A8690:D8690"/>
    <mergeCell ref="A8673:D8673"/>
    <mergeCell ref="C8881:D8881"/>
    <mergeCell ref="C8883:D8883"/>
    <mergeCell ref="C8882:D8882"/>
    <mergeCell ref="C8915:D8915"/>
    <mergeCell ref="C8914:D8914"/>
    <mergeCell ref="A8878:A8892"/>
    <mergeCell ref="B8886:B8888"/>
    <mergeCell ref="A8895:A8909"/>
    <mergeCell ref="C8917:D8917"/>
    <mergeCell ref="C8913:D8913"/>
    <mergeCell ref="C8916:D8916"/>
    <mergeCell ref="C8880:D8880"/>
    <mergeCell ref="A8911:D8911"/>
    <mergeCell ref="B8903:B8905"/>
    <mergeCell ref="A8894:D8894"/>
    <mergeCell ref="C8492:D8492"/>
    <mergeCell ref="C8493:D8493"/>
    <mergeCell ref="C8490:D8490"/>
    <mergeCell ref="C8488:D8488"/>
    <mergeCell ref="C8489:D8489"/>
    <mergeCell ref="A8453:A8467"/>
    <mergeCell ref="A8571:D8571"/>
    <mergeCell ref="A8588:D8588"/>
    <mergeCell ref="A8589:A8603"/>
    <mergeCell ref="A8504:A8518"/>
    <mergeCell ref="A8521:A8535"/>
    <mergeCell ref="A8537:D8537"/>
    <mergeCell ref="A8520:D8520"/>
    <mergeCell ref="B8767:B8769"/>
    <mergeCell ref="A8775:D8775"/>
    <mergeCell ref="C8777:D8777"/>
    <mergeCell ref="C8778:D8778"/>
    <mergeCell ref="C8779:D8779"/>
    <mergeCell ref="A8776:A8790"/>
    <mergeCell ref="C8761:D8761"/>
    <mergeCell ref="C8762:D8762"/>
    <mergeCell ref="A8758:D8758"/>
    <mergeCell ref="C8760:D8760"/>
    <mergeCell ref="C8744:D8744"/>
    <mergeCell ref="C8745:D8745"/>
    <mergeCell ref="C8747:D8747"/>
    <mergeCell ref="C8748:D8748"/>
    <mergeCell ref="C8746:D8746"/>
    <mergeCell ref="C8726:D8726"/>
    <mergeCell ref="C8727:D8727"/>
    <mergeCell ref="C8730:D8730"/>
    <mergeCell ref="C8731:D8731"/>
    <mergeCell ref="A8724:D8724"/>
    <mergeCell ref="A8741:D8741"/>
    <mergeCell ref="C8743:D8743"/>
    <mergeCell ref="C8473:D8473"/>
    <mergeCell ref="C8474:D8474"/>
    <mergeCell ref="A8436:A8450"/>
    <mergeCell ref="A8385:A8399"/>
    <mergeCell ref="A8368:A8382"/>
    <mergeCell ref="A8419:A8433"/>
    <mergeCell ref="A8402:A8416"/>
    <mergeCell ref="A8487:A8501"/>
    <mergeCell ref="A8470:A8484"/>
    <mergeCell ref="A8334:A8348"/>
    <mergeCell ref="B8988:B8990"/>
    <mergeCell ref="C9021:D9021"/>
    <mergeCell ref="C9000:D9000"/>
    <mergeCell ref="C8999:D8999"/>
    <mergeCell ref="B9005:B9007"/>
    <mergeCell ref="C8662:D8662"/>
    <mergeCell ref="C8663:D8663"/>
    <mergeCell ref="A8640:A8654"/>
    <mergeCell ref="C8641:D8641"/>
    <mergeCell ref="A8656:D8656"/>
    <mergeCell ref="C8749:D8749"/>
    <mergeCell ref="B8750:B8752"/>
    <mergeCell ref="A8725:A8739"/>
    <mergeCell ref="A8708:A8722"/>
    <mergeCell ref="A8742:A8756"/>
    <mergeCell ref="A8759:A8773"/>
    <mergeCell ref="A8912:A8926"/>
    <mergeCell ref="A8946:A8960"/>
    <mergeCell ref="A8963:A8977"/>
    <mergeCell ref="A8929:A8943"/>
    <mergeCell ref="A8980:A8994"/>
    <mergeCell ref="A9014:A9028"/>
    <mergeCell ref="B8920:B8922"/>
    <mergeCell ref="A8928:D8928"/>
    <mergeCell ref="C8930:D8930"/>
    <mergeCell ref="C8931:D8931"/>
    <mergeCell ref="C8896:D8896"/>
    <mergeCell ref="C8897:D8897"/>
    <mergeCell ref="C8898:D8898"/>
    <mergeCell ref="C8899:D8899"/>
    <mergeCell ref="C8902:D8902"/>
    <mergeCell ref="C8900:D8900"/>
    <mergeCell ref="C8901:D8901"/>
    <mergeCell ref="C8884:D8884"/>
    <mergeCell ref="C8885:D8885"/>
    <mergeCell ref="A8810:A8824"/>
    <mergeCell ref="A8827:A8841"/>
    <mergeCell ref="C8948:D8948"/>
    <mergeCell ref="C8949:D8949"/>
    <mergeCell ref="C8951:D8951"/>
    <mergeCell ref="C8952:D8952"/>
    <mergeCell ref="C8950:D8950"/>
    <mergeCell ref="C8981:D8981"/>
    <mergeCell ref="C8982:D8982"/>
    <mergeCell ref="C8967:D8967"/>
    <mergeCell ref="C8964:D8964"/>
    <mergeCell ref="C8965:D8965"/>
    <mergeCell ref="C8966:D8966"/>
    <mergeCell ref="C8968:D8968"/>
    <mergeCell ref="C8953:D8953"/>
    <mergeCell ref="A8572:A8586"/>
    <mergeCell ref="A8606:A8620"/>
    <mergeCell ref="A8623:A8637"/>
    <mergeCell ref="A8605:D8605"/>
    <mergeCell ref="A8622:D8622"/>
    <mergeCell ref="A8639:D8639"/>
    <mergeCell ref="C6588:D6588"/>
    <mergeCell ref="C6589:D6589"/>
    <mergeCell ref="C6601:D6601"/>
    <mergeCell ref="C6602:D6602"/>
    <mergeCell ref="C6603:D6603"/>
    <mergeCell ref="C6656:D6656"/>
    <mergeCell ref="C6657:D6657"/>
    <mergeCell ref="C6687:D6687"/>
    <mergeCell ref="C6688:D6688"/>
    <mergeCell ref="C6689:D6689"/>
    <mergeCell ref="C6692:D6692"/>
    <mergeCell ref="C6690:D6690"/>
    <mergeCell ref="C6691:D6691"/>
    <mergeCell ref="C8865:D8865"/>
    <mergeCell ref="A8860:D8860"/>
    <mergeCell ref="C8864:D8864"/>
    <mergeCell ref="C8862:D8862"/>
    <mergeCell ref="C8863:D8863"/>
    <mergeCell ref="C8832:D8832"/>
    <mergeCell ref="C8833:D8833"/>
    <mergeCell ref="C8828:D8828"/>
    <mergeCell ref="C8829:D8829"/>
    <mergeCell ref="A8826:D8826"/>
    <mergeCell ref="C8830:D8830"/>
    <mergeCell ref="C8831:D8831"/>
    <mergeCell ref="C8834:D8834"/>
    <mergeCell ref="B8835:B8837"/>
    <mergeCell ref="A8844:A8858"/>
    <mergeCell ref="B8852:B8854"/>
    <mergeCell ref="C8868:D8868"/>
    <mergeCell ref="C8866:D8866"/>
    <mergeCell ref="C8867:D8867"/>
    <mergeCell ref="C8845:D8845"/>
    <mergeCell ref="C8846:D8846"/>
    <mergeCell ref="C8847:D8847"/>
    <mergeCell ref="C8848:D8848"/>
    <mergeCell ref="A8861:A8875"/>
    <mergeCell ref="B8869:B8871"/>
    <mergeCell ref="C8798:D8798"/>
    <mergeCell ref="C8796:D8796"/>
    <mergeCell ref="C8800:D8800"/>
    <mergeCell ref="C8799:D8799"/>
    <mergeCell ref="C8763:D8763"/>
    <mergeCell ref="C8766:D8766"/>
    <mergeCell ref="C8764:D8764"/>
    <mergeCell ref="C8765:D8765"/>
    <mergeCell ref="C8781:D8781"/>
    <mergeCell ref="C8782:D8782"/>
    <mergeCell ref="C8816:D8816"/>
    <mergeCell ref="C8815:D8815"/>
    <mergeCell ref="B8801:B8803"/>
    <mergeCell ref="A8809:D8809"/>
    <mergeCell ref="C8811:D8811"/>
    <mergeCell ref="C8812:D8812"/>
    <mergeCell ref="C8817:D8817"/>
    <mergeCell ref="B8818:B8820"/>
    <mergeCell ref="C8813:D8813"/>
    <mergeCell ref="C8814:D8814"/>
    <mergeCell ref="C7333:D7333"/>
    <mergeCell ref="C7321:D7321"/>
    <mergeCell ref="B7322:B7324"/>
    <mergeCell ref="A7314:A7328"/>
    <mergeCell ref="B7458:B7460"/>
    <mergeCell ref="A7466:D7466"/>
    <mergeCell ref="A7483:D7483"/>
    <mergeCell ref="C6652:D6652"/>
    <mergeCell ref="C6653:D6653"/>
    <mergeCell ref="C6606:D6606"/>
    <mergeCell ref="C6618:D6618"/>
    <mergeCell ref="C6607:D6607"/>
    <mergeCell ref="C6619:D6619"/>
    <mergeCell ref="C6620:D6620"/>
    <mergeCell ref="C6621:D6621"/>
    <mergeCell ref="C6624:D6624"/>
    <mergeCell ref="C6622:D6622"/>
    <mergeCell ref="C6623:D6623"/>
    <mergeCell ref="C6639:D6639"/>
    <mergeCell ref="C6640:D6640"/>
    <mergeCell ref="C6635:D6635"/>
    <mergeCell ref="C6636:D6636"/>
    <mergeCell ref="C6605:D6605"/>
    <mergeCell ref="C6604:D6604"/>
    <mergeCell ref="C6654:D6654"/>
    <mergeCell ref="C6655:D6655"/>
    <mergeCell ref="C6637:D6637"/>
    <mergeCell ref="C6638:D6638"/>
    <mergeCell ref="C6641:D6641"/>
    <mergeCell ref="C6674:D6674"/>
    <mergeCell ref="C6675:D6675"/>
    <mergeCell ref="C6658:D6658"/>
    <mergeCell ref="C6669:D6669"/>
    <mergeCell ref="C6670:D6670"/>
    <mergeCell ref="C6671:D6671"/>
    <mergeCell ref="C6673:D6673"/>
    <mergeCell ref="C6686:D6686"/>
    <mergeCell ref="C6672:D6672"/>
    <mergeCell ref="A7280:A7294"/>
    <mergeCell ref="C7184:D7184"/>
    <mergeCell ref="A7177:D7177"/>
    <mergeCell ref="C7196:D7196"/>
    <mergeCell ref="A7194:D7194"/>
    <mergeCell ref="A7178:A7192"/>
    <mergeCell ref="A7195:A7209"/>
    <mergeCell ref="C7198:D7198"/>
    <mergeCell ref="B7203:B7205"/>
    <mergeCell ref="A7211:D7211"/>
    <mergeCell ref="C7252:D7252"/>
    <mergeCell ref="B7254:B7256"/>
    <mergeCell ref="C7253:D7253"/>
    <mergeCell ref="C7334:D7334"/>
    <mergeCell ref="C7319:D7319"/>
    <mergeCell ref="C7320:D7320"/>
    <mergeCell ref="B7237:B7239"/>
    <mergeCell ref="A7229:A7243"/>
    <mergeCell ref="A7246:A7260"/>
    <mergeCell ref="C7236:D7236"/>
    <mergeCell ref="A7245:D7245"/>
    <mergeCell ref="C7248:D7248"/>
    <mergeCell ref="C7400:D7400"/>
    <mergeCell ref="C7401:D7401"/>
    <mergeCell ref="C7366:D7366"/>
    <mergeCell ref="C7367:D7367"/>
    <mergeCell ref="C7368:D7368"/>
    <mergeCell ref="C7369:D7369"/>
    <mergeCell ref="C7372:D7372"/>
    <mergeCell ref="C7370:D7370"/>
    <mergeCell ref="C7371:D7371"/>
    <mergeCell ref="C7354:D7354"/>
    <mergeCell ref="C7355:D7355"/>
    <mergeCell ref="C7383:D7383"/>
    <mergeCell ref="C7384:D7384"/>
    <mergeCell ref="C7385:D7385"/>
    <mergeCell ref="C7386:D7386"/>
    <mergeCell ref="C7389:D7389"/>
    <mergeCell ref="C7404:D7404"/>
    <mergeCell ref="C7405:D7405"/>
    <mergeCell ref="C7402:D7402"/>
    <mergeCell ref="C7591:D7591"/>
    <mergeCell ref="C7587:D7587"/>
    <mergeCell ref="C7554:D7554"/>
    <mergeCell ref="C7555:D7555"/>
    <mergeCell ref="C7556:D7556"/>
    <mergeCell ref="C7592:D7592"/>
    <mergeCell ref="C7557:D7557"/>
    <mergeCell ref="C7570:D7570"/>
    <mergeCell ref="C7558:D7558"/>
    <mergeCell ref="C7559:D7559"/>
    <mergeCell ref="C7388:D7388"/>
    <mergeCell ref="C7403:D7403"/>
    <mergeCell ref="C7406:D7406"/>
    <mergeCell ref="C7471:D7471"/>
    <mergeCell ref="C7472:D7472"/>
    <mergeCell ref="C7470:D7470"/>
    <mergeCell ref="C7474:D7474"/>
    <mergeCell ref="C7473:D7473"/>
    <mergeCell ref="C7485:D7485"/>
    <mergeCell ref="C7486:D7486"/>
    <mergeCell ref="A7449:D7449"/>
    <mergeCell ref="B7543:B7545"/>
    <mergeCell ref="A7551:D7551"/>
    <mergeCell ref="B7492:B7494"/>
    <mergeCell ref="C7437:D7437"/>
    <mergeCell ref="C7434:D7434"/>
    <mergeCell ref="C7488:D7488"/>
    <mergeCell ref="C7540:D7540"/>
    <mergeCell ref="C7519:D7519"/>
    <mergeCell ref="C7520:D7520"/>
    <mergeCell ref="C7521:D7521"/>
    <mergeCell ref="C7522:D7522"/>
    <mergeCell ref="C7525:D7525"/>
    <mergeCell ref="C7435:D7435"/>
    <mergeCell ref="C7436:D7436"/>
    <mergeCell ref="A7382:A7396"/>
    <mergeCell ref="A7381:D7381"/>
    <mergeCell ref="A7398:D7398"/>
    <mergeCell ref="A7415:D7415"/>
    <mergeCell ref="C7418:D7418"/>
    <mergeCell ref="C7419:D7419"/>
    <mergeCell ref="C7421:D7421"/>
    <mergeCell ref="C7422:D7422"/>
    <mergeCell ref="C7420:D7420"/>
    <mergeCell ref="B7475:B7477"/>
    <mergeCell ref="C7487:D7487"/>
    <mergeCell ref="C7489:D7489"/>
    <mergeCell ref="A7552:A7566"/>
    <mergeCell ref="A7569:A7583"/>
    <mergeCell ref="A7534:D7534"/>
    <mergeCell ref="A7500:D7500"/>
    <mergeCell ref="C7455:D7455"/>
    <mergeCell ref="C7451:D7451"/>
    <mergeCell ref="C7452:D7452"/>
    <mergeCell ref="C7453:D7453"/>
    <mergeCell ref="A7297:A7311"/>
    <mergeCell ref="B7305:B7307"/>
    <mergeCell ref="A7926:A7940"/>
    <mergeCell ref="A7943:A7957"/>
    <mergeCell ref="A7960:A7974"/>
    <mergeCell ref="A8113:A8127"/>
    <mergeCell ref="A8130:A8144"/>
    <mergeCell ref="C7352:D7352"/>
    <mergeCell ref="C7338:D7338"/>
    <mergeCell ref="C7349:D7349"/>
    <mergeCell ref="C7350:D7350"/>
    <mergeCell ref="C7351:D7351"/>
    <mergeCell ref="C7353:D7353"/>
    <mergeCell ref="C7336:D7336"/>
    <mergeCell ref="C7337:D7337"/>
    <mergeCell ref="B7339:B7341"/>
    <mergeCell ref="A7347:D7347"/>
    <mergeCell ref="B7288:B7290"/>
    <mergeCell ref="A7296:D7296"/>
    <mergeCell ref="C7417:D7417"/>
    <mergeCell ref="A7365:A7379"/>
    <mergeCell ref="A7364:D7364"/>
    <mergeCell ref="A7330:D7330"/>
    <mergeCell ref="C7387:D7387"/>
    <mergeCell ref="B7390:B7392"/>
    <mergeCell ref="B7373:B7375"/>
    <mergeCell ref="B7356:B7358"/>
    <mergeCell ref="A7331:A7345"/>
    <mergeCell ref="A7348:A7362"/>
    <mergeCell ref="B7407:B7409"/>
    <mergeCell ref="A7399:A7413"/>
    <mergeCell ref="A7313:D7313"/>
    <mergeCell ref="C7317:D7317"/>
    <mergeCell ref="C7315:D7315"/>
    <mergeCell ref="C7316:D7316"/>
    <mergeCell ref="C7318:D7318"/>
    <mergeCell ref="C7335:D7335"/>
    <mergeCell ref="C7332:D7332"/>
    <mergeCell ref="C8132:D8132"/>
    <mergeCell ref="C8133:D8133"/>
    <mergeCell ref="C8134:D8134"/>
    <mergeCell ref="A8112:D8112"/>
    <mergeCell ref="C8116:D8116"/>
    <mergeCell ref="A8095:D8095"/>
    <mergeCell ref="A8096:A8110"/>
    <mergeCell ref="A8078:D8078"/>
    <mergeCell ref="A8061:D8061"/>
    <mergeCell ref="C8117:D8117"/>
    <mergeCell ref="C8118:D8118"/>
    <mergeCell ref="A8062:A8076"/>
    <mergeCell ref="A8045:A8059"/>
    <mergeCell ref="A7892:A7906"/>
    <mergeCell ref="A7773:A7787"/>
    <mergeCell ref="A7977:A7991"/>
    <mergeCell ref="A7994:A8008"/>
    <mergeCell ref="A8011:A8025"/>
    <mergeCell ref="A8028:A8042"/>
    <mergeCell ref="A8079:A8093"/>
    <mergeCell ref="A7416:A7430"/>
    <mergeCell ref="A7433:A7447"/>
    <mergeCell ref="A7467:A7481"/>
    <mergeCell ref="A7450:A7464"/>
    <mergeCell ref="A7484:A7498"/>
    <mergeCell ref="A7501:A7515"/>
    <mergeCell ref="C7146:D7146"/>
    <mergeCell ref="C7147:D7147"/>
    <mergeCell ref="C7148:D7148"/>
    <mergeCell ref="C7165:D7165"/>
    <mergeCell ref="C7150:D7150"/>
    <mergeCell ref="C7151:D7151"/>
    <mergeCell ref="C7164:D7164"/>
    <mergeCell ref="C7162:D7162"/>
    <mergeCell ref="C7163:D7163"/>
    <mergeCell ref="C7130:D7130"/>
    <mergeCell ref="C7131:D7131"/>
    <mergeCell ref="C7116:D7116"/>
    <mergeCell ref="C7134:D7134"/>
    <mergeCell ref="C7132:D7132"/>
    <mergeCell ref="C7133:D7133"/>
    <mergeCell ref="C7117:D7117"/>
    <mergeCell ref="C7128:D7128"/>
    <mergeCell ref="C7129:D7129"/>
    <mergeCell ref="C7214:D7214"/>
    <mergeCell ref="C7213:D7213"/>
    <mergeCell ref="C7249:D7249"/>
    <mergeCell ref="C7251:D7251"/>
    <mergeCell ref="C7250:D7250"/>
    <mergeCell ref="C7268:D7268"/>
    <mergeCell ref="C7269:D7269"/>
    <mergeCell ref="C7264:D7264"/>
    <mergeCell ref="C7265:D7265"/>
    <mergeCell ref="C7266:D7266"/>
    <mergeCell ref="C7267:D7267"/>
    <mergeCell ref="A7262:D7262"/>
    <mergeCell ref="B7271:B7273"/>
    <mergeCell ref="A7279:D7279"/>
    <mergeCell ref="A7263:A7277"/>
    <mergeCell ref="C7233:D7233"/>
    <mergeCell ref="C7234:D7234"/>
    <mergeCell ref="C7235:D7235"/>
    <mergeCell ref="C7247:D7247"/>
    <mergeCell ref="C6945:D6945"/>
    <mergeCell ref="C6844:D6844"/>
    <mergeCell ref="C6723:D6723"/>
    <mergeCell ref="C6724:D6724"/>
    <mergeCell ref="C6725:D6725"/>
    <mergeCell ref="C6741:D6741"/>
    <mergeCell ref="C6722:D6722"/>
    <mergeCell ref="C6720:D6720"/>
    <mergeCell ref="C6721:D6721"/>
    <mergeCell ref="C6790:D6790"/>
    <mergeCell ref="C6776:D6776"/>
    <mergeCell ref="C6771:D6771"/>
    <mergeCell ref="C7230:D7230"/>
    <mergeCell ref="C7231:D7231"/>
    <mergeCell ref="C7217:D7217"/>
    <mergeCell ref="C7218:D7218"/>
    <mergeCell ref="C7215:D7215"/>
    <mergeCell ref="C7216:D7216"/>
    <mergeCell ref="C7219:D7219"/>
    <mergeCell ref="B7220:B7222"/>
    <mergeCell ref="A7228:D7228"/>
    <mergeCell ref="C7232:D7232"/>
    <mergeCell ref="A7212:A7226"/>
    <mergeCell ref="C7199:D7199"/>
    <mergeCell ref="C7202:D7202"/>
    <mergeCell ref="C7200:D7200"/>
    <mergeCell ref="C7201:D7201"/>
    <mergeCell ref="C7179:D7179"/>
    <mergeCell ref="C7180:D7180"/>
    <mergeCell ref="C7181:D7181"/>
    <mergeCell ref="C7183:D7183"/>
    <mergeCell ref="C7182:D7182"/>
    <mergeCell ref="C7185:D7185"/>
    <mergeCell ref="B7186:B7188"/>
    <mergeCell ref="A7144:A7158"/>
    <mergeCell ref="A7127:A7141"/>
    <mergeCell ref="B7118:B7120"/>
    <mergeCell ref="A7126:D7126"/>
    <mergeCell ref="B7101:B7103"/>
    <mergeCell ref="B7135:B7137"/>
    <mergeCell ref="A7110:A7124"/>
    <mergeCell ref="A7143:D7143"/>
    <mergeCell ref="A7160:D7160"/>
    <mergeCell ref="A7161:A7175"/>
    <mergeCell ref="B7169:B7171"/>
    <mergeCell ref="B7152:B7154"/>
    <mergeCell ref="C7111:D7111"/>
    <mergeCell ref="C7112:D7112"/>
    <mergeCell ref="C7096:D7096"/>
    <mergeCell ref="C7097:D7097"/>
    <mergeCell ref="C7098:D7098"/>
    <mergeCell ref="C7099:D7099"/>
    <mergeCell ref="C7094:D7094"/>
    <mergeCell ref="C7095:D7095"/>
    <mergeCell ref="C7100:D7100"/>
    <mergeCell ref="C7197:D7197"/>
    <mergeCell ref="C7166:D7166"/>
    <mergeCell ref="C7167:D7167"/>
    <mergeCell ref="C7168:D7168"/>
    <mergeCell ref="C7113:D7113"/>
    <mergeCell ref="C7115:D7115"/>
    <mergeCell ref="C7114:D7114"/>
    <mergeCell ref="C7149:D7149"/>
    <mergeCell ref="C7145:D7145"/>
    <mergeCell ref="A5869:A5883"/>
    <mergeCell ref="C6482:D6482"/>
    <mergeCell ref="C6454:D6454"/>
    <mergeCell ref="C6465:D6465"/>
    <mergeCell ref="C6466:D6466"/>
    <mergeCell ref="C6467:D6467"/>
    <mergeCell ref="C6469:D6469"/>
    <mergeCell ref="C6470:D6470"/>
    <mergeCell ref="C6416:D6416"/>
    <mergeCell ref="C6417:D6417"/>
    <mergeCell ref="C6418:D6418"/>
    <mergeCell ref="C6419:D6419"/>
    <mergeCell ref="C6516:D6516"/>
    <mergeCell ref="C6505:D6505"/>
    <mergeCell ref="C6534:D6534"/>
    <mergeCell ref="C6535:D6535"/>
    <mergeCell ref="C6517:D6517"/>
    <mergeCell ref="C6385:D6385"/>
    <mergeCell ref="C6402:D6402"/>
    <mergeCell ref="C6400:D6400"/>
    <mergeCell ref="C6403:D6403"/>
    <mergeCell ref="C6384:D6384"/>
    <mergeCell ref="C6380:D6380"/>
    <mergeCell ref="C6381:D6381"/>
    <mergeCell ref="C6436:D6436"/>
    <mergeCell ref="C6437:D6437"/>
    <mergeCell ref="C6450:D6450"/>
    <mergeCell ref="C6451:D6451"/>
    <mergeCell ref="C6431:D6431"/>
    <mergeCell ref="C6432:D6432"/>
    <mergeCell ref="C6433:D6433"/>
    <mergeCell ref="C6434:D6434"/>
    <mergeCell ref="C6452:D6452"/>
    <mergeCell ref="C6453:D6453"/>
    <mergeCell ref="C6448:D6448"/>
    <mergeCell ref="C6449:D6449"/>
    <mergeCell ref="C6414:D6414"/>
    <mergeCell ref="C6415:D6415"/>
    <mergeCell ref="C6399:D6399"/>
    <mergeCell ref="C6401:D6401"/>
    <mergeCell ref="B6404:B6406"/>
    <mergeCell ref="C6369:D6369"/>
    <mergeCell ref="B6438:B6440"/>
    <mergeCell ref="C6420:D6420"/>
    <mergeCell ref="C6435:D6435"/>
    <mergeCell ref="B6421:B6423"/>
    <mergeCell ref="A6311:A6325"/>
    <mergeCell ref="A6362:A6376"/>
    <mergeCell ref="A6328:A6342"/>
    <mergeCell ref="A6345:A6359"/>
    <mergeCell ref="A6294:A6308"/>
    <mergeCell ref="A6293:D6293"/>
    <mergeCell ref="A6327:D6327"/>
    <mergeCell ref="A6310:D6310"/>
    <mergeCell ref="A6395:D6395"/>
    <mergeCell ref="A6412:D6412"/>
    <mergeCell ref="B6455:B6457"/>
    <mergeCell ref="A6446:D6446"/>
    <mergeCell ref="B6251:B6253"/>
    <mergeCell ref="C6027:D6027"/>
    <mergeCell ref="C6026:D6026"/>
    <mergeCell ref="C6095:D6095"/>
    <mergeCell ref="A6055:D6055"/>
    <mergeCell ref="B6064:B6066"/>
    <mergeCell ref="C6142:D6142"/>
    <mergeCell ref="C6143:D6143"/>
    <mergeCell ref="C6010:D6010"/>
    <mergeCell ref="C6011:D6011"/>
    <mergeCell ref="C6006:D6006"/>
    <mergeCell ref="C6007:D6007"/>
    <mergeCell ref="A6021:D6021"/>
    <mergeCell ref="C6023:D6023"/>
    <mergeCell ref="A6038:D6038"/>
    <mergeCell ref="C6079:D6079"/>
    <mergeCell ref="B6217:B6219"/>
    <mergeCell ref="C6367:D6367"/>
    <mergeCell ref="C6364:D6364"/>
    <mergeCell ref="C6365:D6365"/>
    <mergeCell ref="C6366:D6366"/>
    <mergeCell ref="B6302:B6304"/>
    <mergeCell ref="C6368:D6368"/>
    <mergeCell ref="B6319:B6321"/>
    <mergeCell ref="C6244:D6244"/>
    <mergeCell ref="C6245:D6245"/>
    <mergeCell ref="C6246:D6246"/>
    <mergeCell ref="C6247:D6247"/>
    <mergeCell ref="C6250:D6250"/>
    <mergeCell ref="C6248:D6248"/>
    <mergeCell ref="C6249:D6249"/>
    <mergeCell ref="C6316:D6316"/>
    <mergeCell ref="C6317:D6317"/>
    <mergeCell ref="C6349:D6349"/>
    <mergeCell ref="C6346:D6346"/>
    <mergeCell ref="C6347:D6347"/>
    <mergeCell ref="C6314:D6314"/>
    <mergeCell ref="C6315:D6315"/>
    <mergeCell ref="C6318:D6318"/>
    <mergeCell ref="C6333:D6333"/>
    <mergeCell ref="C6284:D6284"/>
    <mergeCell ref="B6285:B6287"/>
    <mergeCell ref="C6295:D6295"/>
    <mergeCell ref="C6296:D6296"/>
    <mergeCell ref="C6297:D6297"/>
    <mergeCell ref="C6282:D6282"/>
    <mergeCell ref="C6283:D6283"/>
    <mergeCell ref="C6278:D6278"/>
    <mergeCell ref="C6279:D6279"/>
    <mergeCell ref="C6263:D6263"/>
    <mergeCell ref="C6264:D6264"/>
    <mergeCell ref="B6234:B6236"/>
    <mergeCell ref="B6268:B6270"/>
    <mergeCell ref="C6266:D6266"/>
    <mergeCell ref="C6267:D6267"/>
    <mergeCell ref="C6298:D6298"/>
    <mergeCell ref="C6261:D6261"/>
    <mergeCell ref="C6262:D6262"/>
    <mergeCell ref="C6312:D6312"/>
    <mergeCell ref="C6313:D6313"/>
    <mergeCell ref="C6299:D6299"/>
    <mergeCell ref="C6300:D6300"/>
    <mergeCell ref="C6280:D6280"/>
    <mergeCell ref="C6281:D6281"/>
    <mergeCell ref="C6335:D6335"/>
    <mergeCell ref="B6336:B6338"/>
    <mergeCell ref="C6351:D6351"/>
    <mergeCell ref="C6301:D6301"/>
    <mergeCell ref="C6265:D6265"/>
    <mergeCell ref="A6242:D6242"/>
    <mergeCell ref="C6739:D6739"/>
    <mergeCell ref="C6742:D6742"/>
    <mergeCell ref="C6518:D6518"/>
    <mergeCell ref="C5978:D5978"/>
    <mergeCell ref="C6012:D6012"/>
    <mergeCell ref="C6093:D6093"/>
    <mergeCell ref="C6080:D6080"/>
    <mergeCell ref="C6091:D6091"/>
    <mergeCell ref="C6092:D6092"/>
    <mergeCell ref="B6081:B6083"/>
    <mergeCell ref="A6073:A6087"/>
    <mergeCell ref="C6096:D6096"/>
    <mergeCell ref="A6106:D6106"/>
    <mergeCell ref="C6097:D6097"/>
    <mergeCell ref="B6098:B6100"/>
    <mergeCell ref="A6123:D6123"/>
    <mergeCell ref="A6140:D6140"/>
    <mergeCell ref="C6130:D6130"/>
    <mergeCell ref="A6124:A6138"/>
    <mergeCell ref="C6125:D6125"/>
    <mergeCell ref="C6126:D6126"/>
    <mergeCell ref="C6129:D6129"/>
    <mergeCell ref="B6132:B6134"/>
    <mergeCell ref="A6225:D6225"/>
    <mergeCell ref="C6227:D6227"/>
    <mergeCell ref="C6228:D6228"/>
    <mergeCell ref="C6229:D6229"/>
    <mergeCell ref="B6115:B6117"/>
    <mergeCell ref="C6112:D6112"/>
    <mergeCell ref="C6113:D6113"/>
    <mergeCell ref="C6127:D6127"/>
    <mergeCell ref="C6128:D6128"/>
    <mergeCell ref="A6158:A6172"/>
    <mergeCell ref="A6175:A6189"/>
    <mergeCell ref="B6047:B6049"/>
    <mergeCell ref="A6056:A6070"/>
    <mergeCell ref="A6072:D6072"/>
    <mergeCell ref="A6090:A6104"/>
    <mergeCell ref="A6107:A6121"/>
    <mergeCell ref="C6108:D6108"/>
    <mergeCell ref="C6109:D6109"/>
    <mergeCell ref="C6110:D6110"/>
    <mergeCell ref="C6111:D6111"/>
    <mergeCell ref="C6114:D6114"/>
    <mergeCell ref="B6183:B6185"/>
    <mergeCell ref="B6200:B6202"/>
    <mergeCell ref="C6165:D6165"/>
    <mergeCell ref="B6166:B6168"/>
    <mergeCell ref="A6191:D6191"/>
    <mergeCell ref="A6208:D6208"/>
    <mergeCell ref="C6193:D6193"/>
    <mergeCell ref="C6194:D6194"/>
    <mergeCell ref="A6174:D6174"/>
    <mergeCell ref="A6192:A6206"/>
    <mergeCell ref="C5995:D5995"/>
    <mergeCell ref="C5993:D5993"/>
    <mergeCell ref="C6008:D6008"/>
    <mergeCell ref="C6009:D6009"/>
    <mergeCell ref="C6159:D6159"/>
    <mergeCell ref="C6160:D6160"/>
    <mergeCell ref="B6149:B6151"/>
    <mergeCell ref="C6211:D6211"/>
    <mergeCell ref="C6230:D6230"/>
    <mergeCell ref="A6209:A6223"/>
    <mergeCell ref="C7282:D7282"/>
    <mergeCell ref="C7283:D7283"/>
    <mergeCell ref="C7285:D7285"/>
    <mergeCell ref="C7284:D7284"/>
    <mergeCell ref="C7298:D7298"/>
    <mergeCell ref="C7299:D7299"/>
    <mergeCell ref="C7270:D7270"/>
    <mergeCell ref="C7300:D7300"/>
    <mergeCell ref="C7301:D7301"/>
    <mergeCell ref="C7304:D7304"/>
    <mergeCell ref="C7302:D7302"/>
    <mergeCell ref="C7303:D7303"/>
    <mergeCell ref="C7287:D7287"/>
    <mergeCell ref="C6161:D6161"/>
    <mergeCell ref="C6163:D6163"/>
    <mergeCell ref="C6162:D6162"/>
    <mergeCell ref="C6040:D6040"/>
    <mergeCell ref="C6041:D6041"/>
    <mergeCell ref="C6042:D6042"/>
    <mergeCell ref="C6043:D6043"/>
    <mergeCell ref="C6176:D6176"/>
    <mergeCell ref="C6178:D6178"/>
    <mergeCell ref="C6177:D6177"/>
    <mergeCell ref="C6179:D6179"/>
    <mergeCell ref="C6182:D6182"/>
    <mergeCell ref="C6180:D6180"/>
    <mergeCell ref="C6181:D6181"/>
    <mergeCell ref="C6197:D6197"/>
    <mergeCell ref="C6198:D6198"/>
    <mergeCell ref="C6024:D6024"/>
    <mergeCell ref="C6025:D6025"/>
    <mergeCell ref="C6145:D6145"/>
    <mergeCell ref="C6148:D6148"/>
    <mergeCell ref="C6210:D6210"/>
    <mergeCell ref="C6164:D6164"/>
    <mergeCell ref="C6144:D6144"/>
    <mergeCell ref="C6231:D6231"/>
    <mergeCell ref="C6232:D6232"/>
    <mergeCell ref="C6397:D6397"/>
    <mergeCell ref="C6398:D6398"/>
    <mergeCell ref="A6378:D6378"/>
    <mergeCell ref="A6447:A6461"/>
    <mergeCell ref="A6430:A6444"/>
    <mergeCell ref="C6806:D6806"/>
    <mergeCell ref="C6707:D6707"/>
    <mergeCell ref="C6807:D6807"/>
    <mergeCell ref="C6586:D6586"/>
    <mergeCell ref="C6585:D6585"/>
    <mergeCell ref="C6550:D6550"/>
    <mergeCell ref="C6551:D6551"/>
    <mergeCell ref="C6552:D6552"/>
    <mergeCell ref="C6555:D6555"/>
    <mergeCell ref="C6947:D6947"/>
    <mergeCell ref="C6519:D6519"/>
    <mergeCell ref="C6522:D6522"/>
    <mergeCell ref="B6523:B6525"/>
    <mergeCell ref="C6533:D6533"/>
    <mergeCell ref="C6536:D6536"/>
    <mergeCell ref="C6708:D6708"/>
    <mergeCell ref="C6709:D6709"/>
    <mergeCell ref="C6794:D6794"/>
    <mergeCell ref="C6726:D6726"/>
    <mergeCell ref="C6737:D6737"/>
    <mergeCell ref="C6738:D6738"/>
    <mergeCell ref="C6587:D6587"/>
    <mergeCell ref="C6590:D6590"/>
    <mergeCell ref="C6754:D6754"/>
    <mergeCell ref="C6755:D6755"/>
    <mergeCell ref="C6756:D6756"/>
    <mergeCell ref="C6924:D6924"/>
    <mergeCell ref="A6923:A6937"/>
    <mergeCell ref="C6944:D6944"/>
    <mergeCell ref="C6941:D6941"/>
    <mergeCell ref="C6911:D6911"/>
    <mergeCell ref="C6912:D6912"/>
    <mergeCell ref="C6910:D6910"/>
    <mergeCell ref="C6913:D6913"/>
    <mergeCell ref="A6922:D6922"/>
    <mergeCell ref="A6906:A6920"/>
    <mergeCell ref="A6939:D6939"/>
    <mergeCell ref="C5904:D5904"/>
    <mergeCell ref="A5902:D5902"/>
    <mergeCell ref="C5893:D5893"/>
    <mergeCell ref="C5890:D5890"/>
    <mergeCell ref="C5891:D5891"/>
    <mergeCell ref="C5887:D5887"/>
    <mergeCell ref="C5888:D5888"/>
    <mergeCell ref="B5894:B5896"/>
    <mergeCell ref="C5905:D5905"/>
    <mergeCell ref="C5908:D5908"/>
    <mergeCell ref="C5909:D5909"/>
    <mergeCell ref="C5906:D5906"/>
    <mergeCell ref="A5886:A5900"/>
    <mergeCell ref="C5910:D5910"/>
    <mergeCell ref="C5889:D5889"/>
    <mergeCell ref="C7728:D7728"/>
    <mergeCell ref="C7727:D7727"/>
    <mergeCell ref="C7724:D7724"/>
    <mergeCell ref="C7711:D7711"/>
    <mergeCell ref="A7704:D7704"/>
    <mergeCell ref="C7725:D7725"/>
    <mergeCell ref="C7726:D7726"/>
    <mergeCell ref="B6353:B6355"/>
    <mergeCell ref="C6348:D6348"/>
    <mergeCell ref="C6334:D6334"/>
    <mergeCell ref="C6329:D6329"/>
    <mergeCell ref="C6330:D6330"/>
    <mergeCell ref="C6331:D6331"/>
    <mergeCell ref="C6332:D6332"/>
    <mergeCell ref="C6352:D6352"/>
    <mergeCell ref="C6363:D6363"/>
    <mergeCell ref="B6370:B6372"/>
    <mergeCell ref="C6382:D6382"/>
    <mergeCell ref="C6383:D6383"/>
    <mergeCell ref="C6386:D6386"/>
    <mergeCell ref="B6387:B6389"/>
    <mergeCell ref="C7082:D7082"/>
    <mergeCell ref="C7080:D7080"/>
    <mergeCell ref="C7083:D7083"/>
    <mergeCell ref="A7093:A7107"/>
    <mergeCell ref="B7084:B7086"/>
    <mergeCell ref="A7092:D7092"/>
    <mergeCell ref="A7076:A7090"/>
    <mergeCell ref="C7077:D7077"/>
    <mergeCell ref="A7109:D7109"/>
    <mergeCell ref="A7075:D7075"/>
    <mergeCell ref="C7286:D7286"/>
    <mergeCell ref="C7281:D7281"/>
    <mergeCell ref="B6795:B6797"/>
    <mergeCell ref="C6216:D6216"/>
    <mergeCell ref="C6233:D6233"/>
    <mergeCell ref="C6213:D6213"/>
    <mergeCell ref="C6214:D6214"/>
    <mergeCell ref="C6215:D6215"/>
    <mergeCell ref="C6350:D6350"/>
    <mergeCell ref="A6889:A6903"/>
    <mergeCell ref="B6863:B6865"/>
    <mergeCell ref="B6880:B6882"/>
    <mergeCell ref="A6871:D6871"/>
    <mergeCell ref="C6873:D6873"/>
    <mergeCell ref="A6888:D6888"/>
    <mergeCell ref="A6872:A6886"/>
    <mergeCell ref="C6892:D6892"/>
    <mergeCell ref="C6893:D6893"/>
    <mergeCell ref="C6894:D6894"/>
    <mergeCell ref="C6890:D6890"/>
    <mergeCell ref="C6891:D6891"/>
    <mergeCell ref="C6907:D6907"/>
    <mergeCell ref="C6908:D6908"/>
    <mergeCell ref="C6909:D6909"/>
    <mergeCell ref="C6895:D6895"/>
    <mergeCell ref="C6874:D6874"/>
    <mergeCell ref="C6877:D6877"/>
    <mergeCell ref="C6808:D6808"/>
    <mergeCell ref="C6811:D6811"/>
    <mergeCell ref="A6753:A6767"/>
    <mergeCell ref="A6770:A6784"/>
    <mergeCell ref="A6804:A6818"/>
    <mergeCell ref="A6702:A6716"/>
    <mergeCell ref="A6736:A6750"/>
    <mergeCell ref="A6838:A6852"/>
    <mergeCell ref="A6855:A6869"/>
    <mergeCell ref="A6651:A6665"/>
    <mergeCell ref="A6634:A6648"/>
    <mergeCell ref="A6668:A6682"/>
    <mergeCell ref="A6685:A6699"/>
    <mergeCell ref="A6787:A6801"/>
    <mergeCell ref="A6379:A6393"/>
    <mergeCell ref="C6484:D6484"/>
    <mergeCell ref="C6485:D6485"/>
    <mergeCell ref="C6488:D6488"/>
    <mergeCell ref="C6876:D6876"/>
    <mergeCell ref="C6501:D6501"/>
    <mergeCell ref="C6502:D6502"/>
    <mergeCell ref="C6483:D6483"/>
    <mergeCell ref="C6471:D6471"/>
    <mergeCell ref="C6486:D6486"/>
    <mergeCell ref="C6487:D6487"/>
    <mergeCell ref="C6503:D6503"/>
    <mergeCell ref="C6499:D6499"/>
    <mergeCell ref="C6500:D6500"/>
    <mergeCell ref="C6504:D6504"/>
    <mergeCell ref="C6553:D6553"/>
    <mergeCell ref="C6556:D6556"/>
    <mergeCell ref="C6554:D6554"/>
    <mergeCell ref="C6539:D6539"/>
    <mergeCell ref="C6584:D6584"/>
    <mergeCell ref="C6571:D6571"/>
    <mergeCell ref="C6573:D6573"/>
    <mergeCell ref="C6572:D6572"/>
    <mergeCell ref="C6569:D6569"/>
    <mergeCell ref="C6570:D6570"/>
    <mergeCell ref="A865:A879"/>
    <mergeCell ref="A831:A845"/>
    <mergeCell ref="C834:D834"/>
    <mergeCell ref="C835:D835"/>
    <mergeCell ref="C836:D836"/>
    <mergeCell ref="C837:D837"/>
    <mergeCell ref="C838:D838"/>
    <mergeCell ref="B839:B841"/>
    <mergeCell ref="C849:D849"/>
    <mergeCell ref="C850:D850"/>
    <mergeCell ref="C851:D851"/>
    <mergeCell ref="C852:D852"/>
    <mergeCell ref="C853:D853"/>
    <mergeCell ref="C854:D854"/>
    <mergeCell ref="B805:B807"/>
    <mergeCell ref="A814:A828"/>
    <mergeCell ref="A6022:A6036"/>
    <mergeCell ref="A6039:A6053"/>
    <mergeCell ref="A5988:A6002"/>
    <mergeCell ref="A6005:A6019"/>
    <mergeCell ref="B5928:B5930"/>
    <mergeCell ref="B5911:B5913"/>
    <mergeCell ref="B5962:B5964"/>
    <mergeCell ref="B5979:B5981"/>
    <mergeCell ref="B5996:B5998"/>
    <mergeCell ref="B6030:B6032"/>
    <mergeCell ref="B6013:B6015"/>
    <mergeCell ref="C5956:D5956"/>
    <mergeCell ref="C5957:D5957"/>
    <mergeCell ref="C5975:D5975"/>
    <mergeCell ref="C5976:D5976"/>
    <mergeCell ref="C5991:D5991"/>
    <mergeCell ref="C5992:D5992"/>
    <mergeCell ref="C5972:D5972"/>
    <mergeCell ref="C5973:D5973"/>
    <mergeCell ref="C5974:D5974"/>
    <mergeCell ref="C5955:D5955"/>
    <mergeCell ref="C5958:D5958"/>
    <mergeCell ref="C5977:D5977"/>
    <mergeCell ref="C5938:D5938"/>
    <mergeCell ref="A5936:D5936"/>
    <mergeCell ref="C5926:D5926"/>
    <mergeCell ref="C5927:D5927"/>
    <mergeCell ref="C5939:D5939"/>
    <mergeCell ref="C5940:D5940"/>
    <mergeCell ref="A5953:D5953"/>
    <mergeCell ref="B5945:B5947"/>
    <mergeCell ref="A5937:A5951"/>
    <mergeCell ref="C5925:D5925"/>
    <mergeCell ref="C5921:D5921"/>
    <mergeCell ref="C5922:D5922"/>
    <mergeCell ref="C5923:D5923"/>
    <mergeCell ref="C5924:D5924"/>
    <mergeCell ref="C5876:D5876"/>
    <mergeCell ref="C5874:D5874"/>
    <mergeCell ref="C5875:D5875"/>
    <mergeCell ref="C5870:D5870"/>
    <mergeCell ref="C5871:D5871"/>
    <mergeCell ref="C5859:D5859"/>
    <mergeCell ref="B5860:B5862"/>
    <mergeCell ref="A5868:D5868"/>
    <mergeCell ref="A5852:A5866"/>
    <mergeCell ref="B5877:B5879"/>
    <mergeCell ref="A5885:D5885"/>
    <mergeCell ref="C39:D39"/>
    <mergeCell ref="A48:D48"/>
    <mergeCell ref="C50:D50"/>
    <mergeCell ref="C51:D51"/>
    <mergeCell ref="C72:D72"/>
    <mergeCell ref="C73:D73"/>
    <mergeCell ref="C56:D56"/>
    <mergeCell ref="C105:D105"/>
    <mergeCell ref="C106:D106"/>
    <mergeCell ref="C102:D102"/>
    <mergeCell ref="A99:D99"/>
    <mergeCell ref="C101:D101"/>
    <mergeCell ref="C87:D87"/>
    <mergeCell ref="C88:D88"/>
    <mergeCell ref="C103:D103"/>
    <mergeCell ref="C104:D104"/>
    <mergeCell ref="C378:D378"/>
    <mergeCell ref="C379:D379"/>
    <mergeCell ref="A372:D372"/>
    <mergeCell ref="C374:D374"/>
    <mergeCell ref="C375:D375"/>
    <mergeCell ref="C376:D376"/>
    <mergeCell ref="C377:D377"/>
    <mergeCell ref="A355:D355"/>
    <mergeCell ref="C357:D357"/>
    <mergeCell ref="C358:D358"/>
    <mergeCell ref="C359:D359"/>
    <mergeCell ref="C360:D360"/>
    <mergeCell ref="C361:D361"/>
    <mergeCell ref="C362:D362"/>
    <mergeCell ref="C363:D363"/>
    <mergeCell ref="C422:D422"/>
    <mergeCell ref="C423:D423"/>
    <mergeCell ref="C157:D157"/>
    <mergeCell ref="C155:D155"/>
    <mergeCell ref="A167:D167"/>
    <mergeCell ref="C169:D169"/>
    <mergeCell ref="C170:D170"/>
    <mergeCell ref="C171:D171"/>
    <mergeCell ref="C172:D172"/>
    <mergeCell ref="C173:D173"/>
    <mergeCell ref="C158:D158"/>
    <mergeCell ref="C140:D140"/>
    <mergeCell ref="C141:D141"/>
    <mergeCell ref="A133:D133"/>
    <mergeCell ref="C135:D135"/>
    <mergeCell ref="C136:D136"/>
    <mergeCell ref="C137:D137"/>
    <mergeCell ref="C138:D138"/>
    <mergeCell ref="C139:D139"/>
    <mergeCell ref="C154:D154"/>
    <mergeCell ref="A150:D150"/>
    <mergeCell ref="C85:D85"/>
    <mergeCell ref="C86:D86"/>
    <mergeCell ref="C52:D52"/>
    <mergeCell ref="C53:D53"/>
    <mergeCell ref="A65:D65"/>
    <mergeCell ref="C89:D89"/>
    <mergeCell ref="C90:D90"/>
    <mergeCell ref="A82:D82"/>
    <mergeCell ref="C84:D84"/>
    <mergeCell ref="A325:C325"/>
    <mergeCell ref="A295:C295"/>
    <mergeCell ref="A310:C310"/>
    <mergeCell ref="C1638:D1638"/>
    <mergeCell ref="C1639:D1639"/>
    <mergeCell ref="C1640:D1640"/>
    <mergeCell ref="B1641:B1643"/>
    <mergeCell ref="A1649:D1649"/>
    <mergeCell ref="C868:D868"/>
    <mergeCell ref="B856:B858"/>
    <mergeCell ref="C866:D866"/>
    <mergeCell ref="C782:D782"/>
    <mergeCell ref="C817:D817"/>
    <mergeCell ref="C820:D820"/>
    <mergeCell ref="C821:D821"/>
    <mergeCell ref="C1099:D1099"/>
    <mergeCell ref="C1100:D1100"/>
    <mergeCell ref="B1054:B1056"/>
    <mergeCell ref="B988:B990"/>
    <mergeCell ref="B1005:B1007"/>
    <mergeCell ref="C769:D769"/>
    <mergeCell ref="C770:D770"/>
    <mergeCell ref="A1248:A1262"/>
    <mergeCell ref="A1265:A1279"/>
    <mergeCell ref="A1097:A1111"/>
    <mergeCell ref="A980:A994"/>
    <mergeCell ref="A997:A1011"/>
    <mergeCell ref="A1282:A1296"/>
    <mergeCell ref="A1314:A1328"/>
    <mergeCell ref="B1256:B1258"/>
    <mergeCell ref="B1273:B1275"/>
    <mergeCell ref="B1339:B1341"/>
    <mergeCell ref="B1239:B1241"/>
    <mergeCell ref="B1222:B1224"/>
    <mergeCell ref="B1322:B1324"/>
    <mergeCell ref="C1353:D1353"/>
    <mergeCell ref="C1354:D1354"/>
    <mergeCell ref="C1319:D1319"/>
    <mergeCell ref="C1320:D1320"/>
    <mergeCell ref="C1321:D1321"/>
    <mergeCell ref="C1318:D1318"/>
    <mergeCell ref="A779:D779"/>
    <mergeCell ref="C818:D818"/>
    <mergeCell ref="C819:D819"/>
    <mergeCell ref="B920:B922"/>
    <mergeCell ref="A928:D928"/>
    <mergeCell ref="A896:C896"/>
    <mergeCell ref="A979:D979"/>
    <mergeCell ref="A912:A926"/>
    <mergeCell ref="C948:D948"/>
    <mergeCell ref="C949:D949"/>
    <mergeCell ref="C950:D950"/>
    <mergeCell ref="A897:A909"/>
    <mergeCell ref="C781:D781"/>
    <mergeCell ref="C1421:D1421"/>
    <mergeCell ref="B1422:B1424"/>
    <mergeCell ref="A1397:A1411"/>
    <mergeCell ref="A1414:A1428"/>
    <mergeCell ref="C1418:D1418"/>
    <mergeCell ref="C1419:D1419"/>
    <mergeCell ref="C1420:D1420"/>
    <mergeCell ref="C1404:D1404"/>
    <mergeCell ref="B1405:B1407"/>
    <mergeCell ref="C855:D855"/>
    <mergeCell ref="A848:A862"/>
    <mergeCell ref="B788:B790"/>
    <mergeCell ref="C804:D804"/>
    <mergeCell ref="A1632:D1632"/>
    <mergeCell ref="C1634:D1634"/>
    <mergeCell ref="C1635:D1635"/>
    <mergeCell ref="C1636:D1636"/>
    <mergeCell ref="C1637:D1637"/>
    <mergeCell ref="C764:D764"/>
    <mergeCell ref="C765:D765"/>
    <mergeCell ref="C766:D766"/>
    <mergeCell ref="C767:D767"/>
    <mergeCell ref="C768:D768"/>
    <mergeCell ref="C753:D753"/>
    <mergeCell ref="C476:D476"/>
    <mergeCell ref="C477:D477"/>
    <mergeCell ref="C478:D478"/>
    <mergeCell ref="A488:A500"/>
    <mergeCell ref="A471:A485"/>
    <mergeCell ref="B479:B481"/>
    <mergeCell ref="C443:D443"/>
    <mergeCell ref="C444:D444"/>
    <mergeCell ref="C681:D681"/>
    <mergeCell ref="C682:D682"/>
    <mergeCell ref="C666:D666"/>
    <mergeCell ref="C667:D667"/>
    <mergeCell ref="C663:D663"/>
    <mergeCell ref="C664:D664"/>
    <mergeCell ref="A660:D660"/>
    <mergeCell ref="A646:A658"/>
    <mergeCell ref="C668:D668"/>
    <mergeCell ref="C679:D679"/>
    <mergeCell ref="C680:D680"/>
    <mergeCell ref="C662:D662"/>
    <mergeCell ref="A677:D677"/>
    <mergeCell ref="C665:D665"/>
    <mergeCell ref="C456:D456"/>
    <mergeCell ref="C457:D457"/>
    <mergeCell ref="C521:D521"/>
    <mergeCell ref="C522:D522"/>
    <mergeCell ref="C460:D460"/>
    <mergeCell ref="C461:D461"/>
    <mergeCell ref="C459:D459"/>
    <mergeCell ref="A453:D453"/>
    <mergeCell ref="C455:D455"/>
    <mergeCell ref="C458:D458"/>
    <mergeCell ref="A597:A609"/>
    <mergeCell ref="C615:D615"/>
    <mergeCell ref="C616:D616"/>
    <mergeCell ref="C635:D635"/>
    <mergeCell ref="C636:D636"/>
    <mergeCell ref="B620:B622"/>
    <mergeCell ref="B637:B639"/>
    <mergeCell ref="A629:A643"/>
    <mergeCell ref="C567:D567"/>
    <mergeCell ref="C568:D568"/>
    <mergeCell ref="C523:D523"/>
    <mergeCell ref="C524:D524"/>
    <mergeCell ref="A517:D517"/>
    <mergeCell ref="C519:D519"/>
    <mergeCell ref="C520:D520"/>
    <mergeCell ref="A813:D813"/>
    <mergeCell ref="A830:D830"/>
    <mergeCell ref="C832:D832"/>
    <mergeCell ref="A847:D847"/>
    <mergeCell ref="A864:D864"/>
    <mergeCell ref="C833:D833"/>
    <mergeCell ref="C4074:D4074"/>
    <mergeCell ref="C4087:D4087"/>
    <mergeCell ref="C4088:D4088"/>
    <mergeCell ref="C4089:D4089"/>
    <mergeCell ref="B4298:B4300"/>
    <mergeCell ref="C4297:D4297"/>
    <mergeCell ref="C4293:D4293"/>
    <mergeCell ref="C4294:D4294"/>
    <mergeCell ref="C4463:D4463"/>
    <mergeCell ref="C4464:D4464"/>
    <mergeCell ref="A4443:A4457"/>
    <mergeCell ref="A4494:A4508"/>
    <mergeCell ref="A4528:A4542"/>
    <mergeCell ref="A4561:D4561"/>
    <mergeCell ref="A4544:D4544"/>
    <mergeCell ref="B4451:B4453"/>
    <mergeCell ref="A4442:D4442"/>
    <mergeCell ref="A4459:D4459"/>
    <mergeCell ref="C4461:D4461"/>
    <mergeCell ref="C4462:D4462"/>
    <mergeCell ref="A4493:D4493"/>
    <mergeCell ref="A4511:A4525"/>
    <mergeCell ref="C4295:D4295"/>
    <mergeCell ref="C4296:D4296"/>
    <mergeCell ref="C4277:D4277"/>
    <mergeCell ref="C4278:D4278"/>
    <mergeCell ref="C4291:D4291"/>
    <mergeCell ref="C4292:D4292"/>
    <mergeCell ref="C4343:D4343"/>
    <mergeCell ref="C4344:D4344"/>
    <mergeCell ref="C4345:D4345"/>
    <mergeCell ref="C4346:D4346"/>
    <mergeCell ref="A4324:A4338"/>
    <mergeCell ref="A4341:A4355"/>
    <mergeCell ref="C4330:D4330"/>
    <mergeCell ref="C4342:D4342"/>
    <mergeCell ref="C4331:D4331"/>
    <mergeCell ref="A4323:D4323"/>
    <mergeCell ref="C4327:D4327"/>
    <mergeCell ref="C4328:D4328"/>
    <mergeCell ref="C4329:D4329"/>
    <mergeCell ref="A4340:D4340"/>
    <mergeCell ref="C4465:D4465"/>
    <mergeCell ref="C4484:D4484"/>
    <mergeCell ref="C4515:D4515"/>
    <mergeCell ref="C4498:D4498"/>
    <mergeCell ref="C4499:D4499"/>
    <mergeCell ref="C4500:D4500"/>
    <mergeCell ref="B4128:B4130"/>
    <mergeCell ref="C4176:D4176"/>
    <mergeCell ref="C4212:D4212"/>
    <mergeCell ref="C4211:D4211"/>
    <mergeCell ref="C4513:D4513"/>
    <mergeCell ref="B4264:B4266"/>
    <mergeCell ref="B4383:B4385"/>
    <mergeCell ref="C4548:D4548"/>
    <mergeCell ref="C4549:D4549"/>
    <mergeCell ref="C4550:D4550"/>
    <mergeCell ref="C4551:D4551"/>
    <mergeCell ref="C4514:D4514"/>
    <mergeCell ref="C4512:D4512"/>
    <mergeCell ref="B4536:B4538"/>
    <mergeCell ref="C4518:D4518"/>
    <mergeCell ref="C4495:D4495"/>
    <mergeCell ref="A4578:D4578"/>
    <mergeCell ref="C4582:D4582"/>
    <mergeCell ref="A4902:A4916"/>
    <mergeCell ref="A4919:A4933"/>
    <mergeCell ref="C4785:D4785"/>
    <mergeCell ref="C4786:D4786"/>
    <mergeCell ref="C4756:D4756"/>
    <mergeCell ref="C4141:D4141"/>
    <mergeCell ref="A4153:D4153"/>
    <mergeCell ref="C4142:D4142"/>
    <mergeCell ref="C4143:D4143"/>
    <mergeCell ref="C4195:D4195"/>
    <mergeCell ref="B4196:B4198"/>
    <mergeCell ref="C4138:D4138"/>
    <mergeCell ref="C4160:D4160"/>
    <mergeCell ref="A4171:A4185"/>
    <mergeCell ref="A4188:A4202"/>
    <mergeCell ref="C4172:D4172"/>
    <mergeCell ref="C4173:D4173"/>
    <mergeCell ref="C4174:D4174"/>
    <mergeCell ref="C4175:D4175"/>
    <mergeCell ref="C4192:D4192"/>
    <mergeCell ref="C4193:D4193"/>
    <mergeCell ref="C4178:D4178"/>
    <mergeCell ref="B4179:B4181"/>
    <mergeCell ref="C4177:D4177"/>
    <mergeCell ref="A4187:D4187"/>
    <mergeCell ref="C4189:D4189"/>
    <mergeCell ref="C4190:D4190"/>
    <mergeCell ref="C4191:D4191"/>
    <mergeCell ref="A4154:A4168"/>
    <mergeCell ref="A4170:D4170"/>
    <mergeCell ref="C4161:D4161"/>
    <mergeCell ref="B4162:B4164"/>
    <mergeCell ref="C4194:D4194"/>
    <mergeCell ref="A4204:D4204"/>
    <mergeCell ref="C4206:D4206"/>
    <mergeCell ref="C4207:D4207"/>
    <mergeCell ref="C4208:D4208"/>
    <mergeCell ref="C4209:D4209"/>
    <mergeCell ref="C4210:D4210"/>
    <mergeCell ref="A4221:D4221"/>
    <mergeCell ref="B4213:B4215"/>
    <mergeCell ref="C4223:D4223"/>
    <mergeCell ref="C4224:D4224"/>
    <mergeCell ref="C4227:D4227"/>
    <mergeCell ref="C4228:D4228"/>
    <mergeCell ref="C4258:D4258"/>
    <mergeCell ref="C4259:D4259"/>
    <mergeCell ref="C4260:D4260"/>
    <mergeCell ref="C4261:D4261"/>
    <mergeCell ref="C4262:D4262"/>
    <mergeCell ref="C4263:D4263"/>
    <mergeCell ref="C4565:D4565"/>
    <mergeCell ref="C4665:D4665"/>
    <mergeCell ref="C4666:D4666"/>
    <mergeCell ref="C4719:D4719"/>
    <mergeCell ref="C4720:D4720"/>
    <mergeCell ref="C4563:D4563"/>
    <mergeCell ref="C4564:D4564"/>
    <mergeCell ref="B4570:B4572"/>
    <mergeCell ref="C4614:D4614"/>
    <mergeCell ref="C4615:D4615"/>
    <mergeCell ref="A4613:A4627"/>
    <mergeCell ref="A5766:D5766"/>
    <mergeCell ref="C5773:D5773"/>
    <mergeCell ref="C5757:D5757"/>
    <mergeCell ref="C5774:D5774"/>
    <mergeCell ref="C5670:D5670"/>
    <mergeCell ref="C5671:D5671"/>
    <mergeCell ref="A5750:A5764"/>
    <mergeCell ref="B5758:B5760"/>
    <mergeCell ref="A5767:A5781"/>
    <mergeCell ref="C5755:D5755"/>
    <mergeCell ref="C5756:D5756"/>
    <mergeCell ref="A5801:A5815"/>
    <mergeCell ref="A5818:A5832"/>
    <mergeCell ref="C5825:D5825"/>
    <mergeCell ref="B5826:B5828"/>
    <mergeCell ref="A5817:D5817"/>
    <mergeCell ref="C5819:D5819"/>
    <mergeCell ref="C5820:D5820"/>
    <mergeCell ref="C5821:D5821"/>
    <mergeCell ref="C5823:D5823"/>
    <mergeCell ref="C5824:D5824"/>
    <mergeCell ref="C5808:D5808"/>
    <mergeCell ref="C5822:D5822"/>
    <mergeCell ref="B5775:B5777"/>
    <mergeCell ref="C5805:D5805"/>
    <mergeCell ref="C5806:D5806"/>
    <mergeCell ref="C5807:D5807"/>
    <mergeCell ref="B5809:B5811"/>
    <mergeCell ref="C5686:D5686"/>
    <mergeCell ref="A5749:D5749"/>
    <mergeCell ref="A5698:D5698"/>
    <mergeCell ref="A5682:A5696"/>
    <mergeCell ref="B5690:B5692"/>
    <mergeCell ref="A5715:D5715"/>
    <mergeCell ref="C5687:D5687"/>
    <mergeCell ref="C5717:D5717"/>
    <mergeCell ref="C5718:D5718"/>
    <mergeCell ref="C5719:D5719"/>
    <mergeCell ref="C5720:D5720"/>
    <mergeCell ref="C5706:D5706"/>
    <mergeCell ref="B5707:B5709"/>
    <mergeCell ref="A5699:A5713"/>
    <mergeCell ref="A5716:A5730"/>
    <mergeCell ref="A5733:A5747"/>
    <mergeCell ref="B5741:B5743"/>
    <mergeCell ref="C5685:D5685"/>
    <mergeCell ref="A5681:D5681"/>
    <mergeCell ref="C5738:D5738"/>
    <mergeCell ref="C5739:D5739"/>
    <mergeCell ref="A5732:D5732"/>
    <mergeCell ref="B5724:B5726"/>
    <mergeCell ref="C5838:D5838"/>
    <mergeCell ref="C5839:D5839"/>
    <mergeCell ref="C5840:D5840"/>
    <mergeCell ref="C5842:D5842"/>
    <mergeCell ref="C5841:D5841"/>
    <mergeCell ref="C5837:D5837"/>
    <mergeCell ref="A5835:A5849"/>
    <mergeCell ref="C5856:D5856"/>
    <mergeCell ref="C5853:D5853"/>
    <mergeCell ref="C5854:D5854"/>
    <mergeCell ref="C5855:D5855"/>
    <mergeCell ref="A5851:D5851"/>
    <mergeCell ref="B5843:B5845"/>
    <mergeCell ref="A6157:D6157"/>
    <mergeCell ref="A6141:A6155"/>
    <mergeCell ref="C6146:D6146"/>
    <mergeCell ref="C6147:D6147"/>
    <mergeCell ref="C6094:D6094"/>
    <mergeCell ref="A6089:D6089"/>
    <mergeCell ref="C6131:D6131"/>
    <mergeCell ref="C6212:D6212"/>
    <mergeCell ref="C6195:D6195"/>
    <mergeCell ref="C6196:D6196"/>
    <mergeCell ref="C6199:D6199"/>
    <mergeCell ref="B6540:B6542"/>
    <mergeCell ref="B6659:B6661"/>
    <mergeCell ref="B6625:B6627"/>
    <mergeCell ref="B6608:B6610"/>
    <mergeCell ref="B6642:B6644"/>
    <mergeCell ref="C5791:D5791"/>
    <mergeCell ref="B5792:B5794"/>
    <mergeCell ref="C5804:D5804"/>
    <mergeCell ref="C5768:D5768"/>
    <mergeCell ref="C5769:D5769"/>
    <mergeCell ref="C5770:D5770"/>
    <mergeCell ref="C5771:D5771"/>
    <mergeCell ref="C6062:D6062"/>
    <mergeCell ref="C6063:D6063"/>
    <mergeCell ref="C6057:D6057"/>
    <mergeCell ref="C6061:D6061"/>
    <mergeCell ref="C6058:D6058"/>
    <mergeCell ref="C6059:D6059"/>
    <mergeCell ref="C6060:D6060"/>
    <mergeCell ref="C6045:D6045"/>
    <mergeCell ref="C6046:D6046"/>
    <mergeCell ref="C6076:D6076"/>
    <mergeCell ref="C6074:D6074"/>
    <mergeCell ref="C6075:D6075"/>
    <mergeCell ref="C5960:D5960"/>
    <mergeCell ref="C5961:D5961"/>
    <mergeCell ref="C6029:D6029"/>
    <mergeCell ref="C6044:D6044"/>
    <mergeCell ref="C6077:D6077"/>
    <mergeCell ref="C6078:D6078"/>
    <mergeCell ref="C6028:D6028"/>
    <mergeCell ref="C6520:D6520"/>
    <mergeCell ref="C6521:D6521"/>
    <mergeCell ref="C6537:D6537"/>
    <mergeCell ref="C6538:D6538"/>
    <mergeCell ref="B6591:B6593"/>
    <mergeCell ref="B6557:B6559"/>
    <mergeCell ref="B6574:B6576"/>
    <mergeCell ref="C6567:D6567"/>
    <mergeCell ref="C6568:D6568"/>
    <mergeCell ref="B7016:B7018"/>
    <mergeCell ref="C6998:D6998"/>
    <mergeCell ref="C6996:D6996"/>
    <mergeCell ref="C6997:D6997"/>
    <mergeCell ref="C6993:D6993"/>
    <mergeCell ref="B7441:B7443"/>
    <mergeCell ref="B7424:B7426"/>
    <mergeCell ref="A7432:D7432"/>
    <mergeCell ref="A5954:A5968"/>
    <mergeCell ref="A5971:A5985"/>
    <mergeCell ref="A5987:D5987"/>
    <mergeCell ref="C5994:D5994"/>
    <mergeCell ref="C5989:D5989"/>
    <mergeCell ref="C5990:D5990"/>
    <mergeCell ref="A6004:D6004"/>
    <mergeCell ref="C5857:D5857"/>
    <mergeCell ref="C5858:D5858"/>
    <mergeCell ref="A6396:A6410"/>
    <mergeCell ref="A6413:A6427"/>
    <mergeCell ref="A6464:A6478"/>
    <mergeCell ref="A6481:A6495"/>
    <mergeCell ref="A6226:A6240"/>
    <mergeCell ref="C6703:D6703"/>
    <mergeCell ref="C6704:D6704"/>
    <mergeCell ref="C5944:D5944"/>
    <mergeCell ref="C5959:D5959"/>
    <mergeCell ref="A5919:D5919"/>
    <mergeCell ref="A5903:A5917"/>
    <mergeCell ref="A5920:A5934"/>
    <mergeCell ref="C5942:D5942"/>
    <mergeCell ref="C5943:D5943"/>
    <mergeCell ref="C5941:D5941"/>
    <mergeCell ref="A5970:D5970"/>
    <mergeCell ref="A6990:D6990"/>
    <mergeCell ref="C6964:D6964"/>
    <mergeCell ref="B6965:B6967"/>
    <mergeCell ref="A6973:D6973"/>
    <mergeCell ref="A6957:A6971"/>
    <mergeCell ref="A7007:D7007"/>
    <mergeCell ref="C6981:D6981"/>
    <mergeCell ref="C7013:D7013"/>
    <mergeCell ref="C7014:D7014"/>
    <mergeCell ref="C6946:D6946"/>
    <mergeCell ref="C6896:D6896"/>
    <mergeCell ref="C6925:D6925"/>
    <mergeCell ref="C6926:D6926"/>
    <mergeCell ref="C6930:D6930"/>
    <mergeCell ref="C6929:D6929"/>
    <mergeCell ref="B6897:B6899"/>
    <mergeCell ref="B6931:B6933"/>
    <mergeCell ref="B6914:B6916"/>
    <mergeCell ref="B6727:B6729"/>
    <mergeCell ref="B6693:B6695"/>
    <mergeCell ref="B6710:B6712"/>
    <mergeCell ref="B6676:B6678"/>
    <mergeCell ref="B6778:B6780"/>
    <mergeCell ref="B6812:B6814"/>
    <mergeCell ref="B6829:B6831"/>
    <mergeCell ref="C6878:D6878"/>
    <mergeCell ref="C6879:D6879"/>
    <mergeCell ref="B6846:B6848"/>
    <mergeCell ref="A6854:D6854"/>
    <mergeCell ref="B6761:B6763"/>
    <mergeCell ref="B6744:B6746"/>
    <mergeCell ref="A7976:D7976"/>
    <mergeCell ref="C7998:D7998"/>
    <mergeCell ref="C8048:D8048"/>
    <mergeCell ref="C8047:D8047"/>
    <mergeCell ref="C8034:D8034"/>
    <mergeCell ref="C8035:D8035"/>
    <mergeCell ref="C8049:D8049"/>
    <mergeCell ref="C7980:D7980"/>
    <mergeCell ref="C6760:D6760"/>
    <mergeCell ref="C6759:D6759"/>
    <mergeCell ref="C6856:D6856"/>
    <mergeCell ref="C6845:D6845"/>
    <mergeCell ref="C6773:D6773"/>
    <mergeCell ref="C6774:D6774"/>
    <mergeCell ref="C6775:D6775"/>
    <mergeCell ref="C6810:D6810"/>
    <mergeCell ref="C6789:D6789"/>
    <mergeCell ref="A7518:A7532"/>
    <mergeCell ref="A7517:D7517"/>
    <mergeCell ref="B7526:B7528"/>
    <mergeCell ref="A7535:A7549"/>
    <mergeCell ref="A7603:A7617"/>
    <mergeCell ref="A6344:D6344"/>
    <mergeCell ref="A6361:D6361"/>
    <mergeCell ref="C6468:D6468"/>
    <mergeCell ref="A6277:A6291"/>
    <mergeCell ref="A6260:A6274"/>
    <mergeCell ref="A6243:A6257"/>
    <mergeCell ref="A6259:D6259"/>
    <mergeCell ref="A6276:D6276"/>
    <mergeCell ref="A6429:D6429"/>
    <mergeCell ref="A6956:D6956"/>
    <mergeCell ref="C6962:D6962"/>
    <mergeCell ref="C6963:D6963"/>
    <mergeCell ref="C6960:D6960"/>
    <mergeCell ref="C6958:D6958"/>
    <mergeCell ref="C6959:D6959"/>
    <mergeCell ref="C6961:D6961"/>
    <mergeCell ref="C6994:D6994"/>
    <mergeCell ref="C6995:D6995"/>
    <mergeCell ref="C6705:D6705"/>
    <mergeCell ref="C6706:D6706"/>
    <mergeCell ref="C6805:D6805"/>
    <mergeCell ref="C6824:D6824"/>
    <mergeCell ref="C6822:D6822"/>
    <mergeCell ref="C6823:D6823"/>
    <mergeCell ref="C6825:D6825"/>
    <mergeCell ref="C6828:D6828"/>
    <mergeCell ref="C6826:D6826"/>
    <mergeCell ref="C6827:D6827"/>
    <mergeCell ref="C6839:D6839"/>
    <mergeCell ref="C6840:D6840"/>
    <mergeCell ref="C6841:D6841"/>
    <mergeCell ref="C6843:D6843"/>
    <mergeCell ref="C6842:D6842"/>
    <mergeCell ref="C6927:D6927"/>
    <mergeCell ref="C6928:D6928"/>
    <mergeCell ref="B6948:B6950"/>
    <mergeCell ref="A6940:A6954"/>
    <mergeCell ref="A6991:A7005"/>
    <mergeCell ref="A7008:A7022"/>
    <mergeCell ref="A6974:A6988"/>
    <mergeCell ref="B6999:B7001"/>
    <mergeCell ref="B6982:B6984"/>
    <mergeCell ref="B8648:B8650"/>
    <mergeCell ref="C8642:D8642"/>
    <mergeCell ref="B8461:B8463"/>
    <mergeCell ref="C8475:D8475"/>
    <mergeCell ref="B8478:B8480"/>
    <mergeCell ref="C8476:D8476"/>
    <mergeCell ref="C8477:D8477"/>
    <mergeCell ref="B8495:B8497"/>
    <mergeCell ref="C8441:D8441"/>
    <mergeCell ref="C8440:D8440"/>
    <mergeCell ref="C8643:D8643"/>
    <mergeCell ref="C8491:D8491"/>
    <mergeCell ref="C8494:D8494"/>
    <mergeCell ref="C8437:D8437"/>
    <mergeCell ref="C8438:D8438"/>
    <mergeCell ref="C8439:D8439"/>
    <mergeCell ref="C8442:D8442"/>
    <mergeCell ref="C8352:D8352"/>
    <mergeCell ref="C8353:D8353"/>
    <mergeCell ref="C8290:D8290"/>
    <mergeCell ref="B8291:B8293"/>
    <mergeCell ref="C8271:D8271"/>
    <mergeCell ref="B8274:B8276"/>
    <mergeCell ref="C8273:D8273"/>
    <mergeCell ref="A8249:A8263"/>
    <mergeCell ref="C8272:D8272"/>
    <mergeCell ref="A8283:A8297"/>
    <mergeCell ref="A8266:A8280"/>
    <mergeCell ref="A8265:D8265"/>
    <mergeCell ref="C8287:D8287"/>
    <mergeCell ref="A8282:D8282"/>
    <mergeCell ref="C8267:D8267"/>
    <mergeCell ref="C8268:D8268"/>
    <mergeCell ref="C8269:D8269"/>
    <mergeCell ref="C8270:D8270"/>
    <mergeCell ref="A8300:A8314"/>
    <mergeCell ref="A8351:A8365"/>
    <mergeCell ref="C8454:D8454"/>
    <mergeCell ref="A8452:D8452"/>
    <mergeCell ref="A8469:D8469"/>
    <mergeCell ref="A8486:D8486"/>
    <mergeCell ref="C8455:D8455"/>
    <mergeCell ref="C8456:D8456"/>
    <mergeCell ref="C8457:D8457"/>
    <mergeCell ref="C8458:D8458"/>
    <mergeCell ref="C8459:D8459"/>
    <mergeCell ref="A8503:D8503"/>
    <mergeCell ref="A8350:D8350"/>
    <mergeCell ref="C8301:D8301"/>
    <mergeCell ref="A8316:D8316"/>
    <mergeCell ref="A8333:D8333"/>
    <mergeCell ref="A8317:A8331"/>
    <mergeCell ref="A8367:D8367"/>
    <mergeCell ref="A8384:D8384"/>
    <mergeCell ref="A8401:D8401"/>
    <mergeCell ref="A8418:D8418"/>
    <mergeCell ref="A8435:D8435"/>
    <mergeCell ref="C8443:D8443"/>
    <mergeCell ref="A8299:D8299"/>
    <mergeCell ref="A8538:A8552"/>
    <mergeCell ref="A8554:D8554"/>
    <mergeCell ref="A8555:A8569"/>
    <mergeCell ref="C8340:D8340"/>
    <mergeCell ref="C8335:D8335"/>
    <mergeCell ref="C6875:D6875"/>
    <mergeCell ref="C6857:D6857"/>
    <mergeCell ref="C6858:D6858"/>
    <mergeCell ref="C6861:D6861"/>
    <mergeCell ref="C6859:D6859"/>
    <mergeCell ref="C6860:D6860"/>
    <mergeCell ref="C6862:D6862"/>
    <mergeCell ref="C7604:D7604"/>
    <mergeCell ref="C7605:D7605"/>
    <mergeCell ref="C7573:D7573"/>
    <mergeCell ref="C7576:D7576"/>
    <mergeCell ref="C7589:D7589"/>
    <mergeCell ref="C7590:D7590"/>
    <mergeCell ref="C6791:D6791"/>
    <mergeCell ref="C6792:D6792"/>
    <mergeCell ref="C8033:D8033"/>
    <mergeCell ref="C8029:D8029"/>
    <mergeCell ref="C8030:D8030"/>
    <mergeCell ref="C8031:D8031"/>
    <mergeCell ref="C8032:D8032"/>
    <mergeCell ref="C8471:D8471"/>
    <mergeCell ref="C8472:D8472"/>
    <mergeCell ref="C7539:D7539"/>
    <mergeCell ref="C7538:D7538"/>
    <mergeCell ref="C7846:D7846"/>
    <mergeCell ref="C7847:D7847"/>
    <mergeCell ref="C7844:D7844"/>
    <mergeCell ref="C7842:D7842"/>
    <mergeCell ref="C7843:D7843"/>
    <mergeCell ref="C7808:D7808"/>
    <mergeCell ref="C7809:D7809"/>
    <mergeCell ref="C7810:D7810"/>
    <mergeCell ref="C7811:D7811"/>
    <mergeCell ref="C7814:D7814"/>
    <mergeCell ref="C7608:D7608"/>
    <mergeCell ref="C7609:D7609"/>
    <mergeCell ref="C7880:D7880"/>
    <mergeCell ref="C7881:D7881"/>
    <mergeCell ref="C7865:D7865"/>
    <mergeCell ref="C7898:D7898"/>
    <mergeCell ref="C7946:D7946"/>
    <mergeCell ref="C7947:D7947"/>
    <mergeCell ref="C7950:D7950"/>
    <mergeCell ref="C8103:D8103"/>
    <mergeCell ref="C8101:D8101"/>
    <mergeCell ref="A8129:D8129"/>
    <mergeCell ref="C8131:D8131"/>
    <mergeCell ref="A8180:D8180"/>
    <mergeCell ref="A8214:D8214"/>
    <mergeCell ref="A8215:A8229"/>
    <mergeCell ref="A8198:A8212"/>
    <mergeCell ref="A8232:A8246"/>
    <mergeCell ref="A8197:D8197"/>
    <mergeCell ref="A8248:D8248"/>
    <mergeCell ref="A8231:D8231"/>
    <mergeCell ref="A8164:A8178"/>
    <mergeCell ref="A8181:A8195"/>
    <mergeCell ref="A7586:A7600"/>
    <mergeCell ref="A7620:A7634"/>
    <mergeCell ref="A7637:A7651"/>
    <mergeCell ref="A7654:A7668"/>
    <mergeCell ref="B7951:B7953"/>
    <mergeCell ref="C7948:D7948"/>
    <mergeCell ref="C7949:D7949"/>
    <mergeCell ref="C7984:D7984"/>
    <mergeCell ref="C7995:D7995"/>
    <mergeCell ref="C7996:D7996"/>
    <mergeCell ref="C7983:D7983"/>
    <mergeCell ref="C7978:D7978"/>
    <mergeCell ref="C7979:D7979"/>
    <mergeCell ref="C8114:D8114"/>
    <mergeCell ref="C8115:D8115"/>
    <mergeCell ref="C8150:D8150"/>
    <mergeCell ref="C8151:D8151"/>
    <mergeCell ref="C8119:D8119"/>
    <mergeCell ref="C8120:D8120"/>
    <mergeCell ref="C8678:D8678"/>
    <mergeCell ref="C8644:D8644"/>
    <mergeCell ref="C8647:D8647"/>
    <mergeCell ref="C8664:D8664"/>
    <mergeCell ref="C8675:D8675"/>
    <mergeCell ref="C8676:D8676"/>
    <mergeCell ref="C8677:D8677"/>
    <mergeCell ref="B7815:B7817"/>
    <mergeCell ref="B7883:B7885"/>
    <mergeCell ref="C7423:D7423"/>
    <mergeCell ref="C7542:D7542"/>
    <mergeCell ref="C7553:D7553"/>
    <mergeCell ref="C7932:D7932"/>
    <mergeCell ref="C7933:D7933"/>
    <mergeCell ref="B7934:B7936"/>
    <mergeCell ref="C7928:D7928"/>
    <mergeCell ref="C7929:D7929"/>
    <mergeCell ref="C7931:D7931"/>
    <mergeCell ref="C7930:D7930"/>
    <mergeCell ref="C7966:D7966"/>
    <mergeCell ref="C7967:D7967"/>
    <mergeCell ref="C8014:D8014"/>
    <mergeCell ref="C8015:D8015"/>
    <mergeCell ref="C7961:D7961"/>
    <mergeCell ref="C7944:D7944"/>
    <mergeCell ref="C7945:D7945"/>
    <mergeCell ref="C8050:D8050"/>
    <mergeCell ref="C8051:D8051"/>
    <mergeCell ref="C8012:D8012"/>
    <mergeCell ref="C8013:D8013"/>
    <mergeCell ref="C8000:D8000"/>
    <mergeCell ref="C7999:D7999"/>
    <mergeCell ref="C7882:D7882"/>
    <mergeCell ref="C7893:D7893"/>
    <mergeCell ref="C8018:D8018"/>
    <mergeCell ref="C8016:D8016"/>
    <mergeCell ref="C8017:D8017"/>
    <mergeCell ref="C8001:D8001"/>
    <mergeCell ref="C7997:D7997"/>
    <mergeCell ref="C8086:D8086"/>
    <mergeCell ref="C8084:D8084"/>
    <mergeCell ref="C8371:D8371"/>
    <mergeCell ref="B8325:B8327"/>
    <mergeCell ref="B8342:B8344"/>
    <mergeCell ref="C8318:D8318"/>
    <mergeCell ref="C8319:D8319"/>
    <mergeCell ref="C8320:D8320"/>
    <mergeCell ref="C8321:D8321"/>
    <mergeCell ref="C8324:D8324"/>
    <mergeCell ref="C8322:D8322"/>
    <mergeCell ref="C8323:D8323"/>
    <mergeCell ref="C8339:D8339"/>
    <mergeCell ref="C8336:D8336"/>
    <mergeCell ref="C8337:D8337"/>
    <mergeCell ref="C8338:D8338"/>
    <mergeCell ref="C8426:D8426"/>
    <mergeCell ref="B8427:B8429"/>
    <mergeCell ref="C8375:D8375"/>
    <mergeCell ref="C8403:D8403"/>
    <mergeCell ref="C8404:D8404"/>
    <mergeCell ref="C8405:D8405"/>
    <mergeCell ref="C8406:D8406"/>
    <mergeCell ref="C8422:D8422"/>
    <mergeCell ref="C8423:D8423"/>
    <mergeCell ref="C8137:D8137"/>
    <mergeCell ref="B8240:B8242"/>
    <mergeCell ref="C8222:D8222"/>
    <mergeCell ref="B8223:B8225"/>
    <mergeCell ref="B8206:B8208"/>
    <mergeCell ref="C7675:D7675"/>
    <mergeCell ref="C7676:D7676"/>
    <mergeCell ref="C8713:D8713"/>
    <mergeCell ref="C7912:D7912"/>
    <mergeCell ref="C7910:D7910"/>
    <mergeCell ref="C7911:D7911"/>
    <mergeCell ref="C8080:D8080"/>
    <mergeCell ref="C8081:D8081"/>
    <mergeCell ref="C8046:D8046"/>
    <mergeCell ref="B8019:B8021"/>
    <mergeCell ref="B8036:B8038"/>
    <mergeCell ref="A7959:D7959"/>
    <mergeCell ref="A7993:D7993"/>
    <mergeCell ref="C8085:D8085"/>
    <mergeCell ref="C8069:D8069"/>
    <mergeCell ref="C7982:D7982"/>
    <mergeCell ref="A7891:D7891"/>
    <mergeCell ref="A7908:D7908"/>
    <mergeCell ref="A7942:D7942"/>
    <mergeCell ref="C7965:D7965"/>
    <mergeCell ref="B7968:B7970"/>
    <mergeCell ref="C7962:D7962"/>
    <mergeCell ref="C7963:D7963"/>
    <mergeCell ref="C7964:D7964"/>
    <mergeCell ref="C7913:D7913"/>
    <mergeCell ref="C7897:D7897"/>
    <mergeCell ref="C7981:D7981"/>
    <mergeCell ref="C8052:D8052"/>
    <mergeCell ref="B8053:B8055"/>
    <mergeCell ref="A8027:D8027"/>
    <mergeCell ref="A8044:D8044"/>
    <mergeCell ref="B8002:B8004"/>
    <mergeCell ref="A8010:D8010"/>
    <mergeCell ref="C8148:D8148"/>
    <mergeCell ref="C8102:D8102"/>
    <mergeCell ref="C8097:D8097"/>
    <mergeCell ref="C8098:D8098"/>
    <mergeCell ref="C8099:D8099"/>
    <mergeCell ref="C8100:D8100"/>
    <mergeCell ref="C8068:D8068"/>
    <mergeCell ref="C8063:D8063"/>
    <mergeCell ref="C8064:D8064"/>
    <mergeCell ref="C8065:D8065"/>
    <mergeCell ref="C8067:D8067"/>
    <mergeCell ref="C8066:D8066"/>
    <mergeCell ref="C8220:D8220"/>
    <mergeCell ref="C8221:D8221"/>
    <mergeCell ref="C8233:D8233"/>
    <mergeCell ref="C8218:D8218"/>
    <mergeCell ref="C8216:D8216"/>
    <mergeCell ref="C8217:D8217"/>
    <mergeCell ref="C8182:D8182"/>
    <mergeCell ref="C8183:D8183"/>
    <mergeCell ref="C8184:D8184"/>
    <mergeCell ref="C8171:D8171"/>
    <mergeCell ref="C8082:D8082"/>
    <mergeCell ref="C8083:D8083"/>
    <mergeCell ref="C8185:D8185"/>
    <mergeCell ref="C8188:D8188"/>
    <mergeCell ref="C8186:D8186"/>
    <mergeCell ref="C8187:D8187"/>
    <mergeCell ref="C8219:D8219"/>
    <mergeCell ref="C8199:D8199"/>
    <mergeCell ref="C8200:D8200"/>
    <mergeCell ref="C8201:D8201"/>
    <mergeCell ref="C8202:D8202"/>
    <mergeCell ref="C8203:D8203"/>
    <mergeCell ref="C8204:D8204"/>
    <mergeCell ref="C8205:D8205"/>
    <mergeCell ref="C8167:D8167"/>
    <mergeCell ref="C8169:D8169"/>
    <mergeCell ref="A8146:D8146"/>
    <mergeCell ref="C8135:D8135"/>
    <mergeCell ref="C8136:D8136"/>
    <mergeCell ref="C8152:D8152"/>
    <mergeCell ref="C8149:D8149"/>
    <mergeCell ref="C8154:D8154"/>
    <mergeCell ref="B8155:B8157"/>
    <mergeCell ref="C8153:D8153"/>
    <mergeCell ref="A8147:A8161"/>
    <mergeCell ref="A8163:D8163"/>
    <mergeCell ref="C8165:D8165"/>
    <mergeCell ref="C8166:D8166"/>
    <mergeCell ref="B8529:B8531"/>
    <mergeCell ref="B8512:B8514"/>
    <mergeCell ref="C8660:D8660"/>
    <mergeCell ref="C8645:D8645"/>
    <mergeCell ref="C8646:D8646"/>
    <mergeCell ref="C8694:D8694"/>
    <mergeCell ref="C8695:D8695"/>
    <mergeCell ref="C8698:D8698"/>
    <mergeCell ref="C8696:D8696"/>
    <mergeCell ref="C8697:D8697"/>
    <mergeCell ref="C8680:D8680"/>
    <mergeCell ref="C8681:D8681"/>
    <mergeCell ref="C8709:D8709"/>
    <mergeCell ref="C8710:D8710"/>
    <mergeCell ref="C8711:D8711"/>
    <mergeCell ref="B8189:B8191"/>
    <mergeCell ref="B7985:B7987"/>
    <mergeCell ref="B8138:B8140"/>
    <mergeCell ref="B8121:B8123"/>
    <mergeCell ref="B8104:B8106"/>
    <mergeCell ref="B8087:B8089"/>
    <mergeCell ref="B8070:B8072"/>
    <mergeCell ref="C8168:D8168"/>
    <mergeCell ref="C8302:D8302"/>
    <mergeCell ref="C8303:D8303"/>
    <mergeCell ref="C8305:D8305"/>
    <mergeCell ref="C8306:D8306"/>
    <mergeCell ref="C8304:D8304"/>
    <mergeCell ref="C8288:D8288"/>
    <mergeCell ref="C8289:D8289"/>
    <mergeCell ref="C8250:D8250"/>
    <mergeCell ref="C8251:D8251"/>
    <mergeCell ref="C8355:D8355"/>
    <mergeCell ref="C8358:D8358"/>
    <mergeCell ref="C8357:D8357"/>
    <mergeCell ref="C8356:D8356"/>
    <mergeCell ref="C8252:D8252"/>
    <mergeCell ref="C8239:D8239"/>
    <mergeCell ref="C8286:D8286"/>
    <mergeCell ref="C8307:D8307"/>
    <mergeCell ref="C8284:D8284"/>
    <mergeCell ref="C8285:D8285"/>
    <mergeCell ref="C8354:D8354"/>
    <mergeCell ref="C8341:D8341"/>
    <mergeCell ref="B8359:B8361"/>
    <mergeCell ref="B8308:B8310"/>
    <mergeCell ref="C8407:D8407"/>
    <mergeCell ref="C8409:D8409"/>
    <mergeCell ref="C8408:D8408"/>
    <mergeCell ref="C8369:D8369"/>
    <mergeCell ref="C8370:D8370"/>
    <mergeCell ref="C8594:D8594"/>
    <mergeCell ref="C8595:D8595"/>
    <mergeCell ref="C8592:D8592"/>
    <mergeCell ref="C8593:D8593"/>
    <mergeCell ref="C8596:D8596"/>
    <mergeCell ref="C8626:D8626"/>
    <mergeCell ref="C8627:D8627"/>
    <mergeCell ref="C8630:D8630"/>
    <mergeCell ref="C8234:D8234"/>
    <mergeCell ref="C8235:D8235"/>
    <mergeCell ref="C8237:D8237"/>
    <mergeCell ref="C8238:D8238"/>
    <mergeCell ref="C8236:D8236"/>
    <mergeCell ref="B8631:B8633"/>
    <mergeCell ref="B8614:B8616"/>
    <mergeCell ref="B8682:B8684"/>
    <mergeCell ref="B8665:B8667"/>
    <mergeCell ref="B8444:B8446"/>
    <mergeCell ref="B8580:B8582"/>
    <mergeCell ref="B8597:B8599"/>
    <mergeCell ref="B8546:B8548"/>
    <mergeCell ref="B8563:B8565"/>
    <mergeCell ref="B8699:B8701"/>
    <mergeCell ref="C7896:D7896"/>
    <mergeCell ref="C7899:D7899"/>
    <mergeCell ref="C7894:D7894"/>
    <mergeCell ref="C7895:D7895"/>
    <mergeCell ref="C7876:D7876"/>
    <mergeCell ref="C7877:D7877"/>
    <mergeCell ref="C7878:D7878"/>
    <mergeCell ref="C8373:D8373"/>
    <mergeCell ref="C8372:D8372"/>
    <mergeCell ref="C8389:D8389"/>
    <mergeCell ref="C8392:D8392"/>
    <mergeCell ref="C8390:D8390"/>
    <mergeCell ref="C8391:D8391"/>
    <mergeCell ref="C8374:D8374"/>
    <mergeCell ref="C8424:D8424"/>
    <mergeCell ref="C8420:D8420"/>
    <mergeCell ref="C8421:D8421"/>
    <mergeCell ref="C8386:D8386"/>
    <mergeCell ref="C8387:D8387"/>
    <mergeCell ref="C8388:D8388"/>
    <mergeCell ref="C8425:D8425"/>
    <mergeCell ref="B8393:B8395"/>
    <mergeCell ref="B8410:B8412"/>
    <mergeCell ref="B8376:B8378"/>
    <mergeCell ref="C8460:D8460"/>
    <mergeCell ref="C8577:D8577"/>
    <mergeCell ref="C8576:D8576"/>
    <mergeCell ref="C8561:D8561"/>
    <mergeCell ref="C8562:D8562"/>
    <mergeCell ref="C8574:D8574"/>
    <mergeCell ref="C8575:D8575"/>
    <mergeCell ref="C8559:D8559"/>
    <mergeCell ref="C8560:D8560"/>
    <mergeCell ref="C8557:D8557"/>
    <mergeCell ref="C8573:D8573"/>
    <mergeCell ref="C8558:D8558"/>
    <mergeCell ref="C8525:D8525"/>
    <mergeCell ref="C8526:D8526"/>
    <mergeCell ref="C8528:D8528"/>
    <mergeCell ref="C8545:D8545"/>
    <mergeCell ref="C8543:D8543"/>
    <mergeCell ref="C8544:D8544"/>
    <mergeCell ref="B8172:B8174"/>
    <mergeCell ref="C8170:D8170"/>
    <mergeCell ref="C8253:D8253"/>
    <mergeCell ref="C8256:D8256"/>
    <mergeCell ref="B8257:B8259"/>
    <mergeCell ref="C8254:D8254"/>
    <mergeCell ref="C8255:D8255"/>
    <mergeCell ref="C8505:D8505"/>
    <mergeCell ref="C8506:D8506"/>
    <mergeCell ref="C8507:D8507"/>
    <mergeCell ref="C8509:D8509"/>
    <mergeCell ref="C8508:D8508"/>
    <mergeCell ref="C7454:D7454"/>
    <mergeCell ref="C7468:D7468"/>
    <mergeCell ref="C7469:D7469"/>
    <mergeCell ref="B7509:B7511"/>
    <mergeCell ref="C9072:D9072"/>
    <mergeCell ref="C9070:D9070"/>
    <mergeCell ref="C9071:D9071"/>
    <mergeCell ref="C9087:D9087"/>
    <mergeCell ref="C9083:D9083"/>
    <mergeCell ref="C9084:D9084"/>
    <mergeCell ref="C9085:D9085"/>
    <mergeCell ref="C9086:D9086"/>
    <mergeCell ref="C9151:D9151"/>
    <mergeCell ref="C9152:D9152"/>
    <mergeCell ref="C9054:D9054"/>
    <mergeCell ref="C9119:D9119"/>
    <mergeCell ref="C9121:D9121"/>
    <mergeCell ref="C9122:D9122"/>
    <mergeCell ref="C9120:D9120"/>
    <mergeCell ref="C9157:D9157"/>
    <mergeCell ref="C9156:D9156"/>
    <mergeCell ref="C9206:D9206"/>
    <mergeCell ref="C9207:D9207"/>
    <mergeCell ref="C8539:D8539"/>
    <mergeCell ref="C8540:D8540"/>
    <mergeCell ref="C8541:D8541"/>
    <mergeCell ref="C8542:D8542"/>
    <mergeCell ref="C8522:D8522"/>
    <mergeCell ref="C8523:D8523"/>
    <mergeCell ref="C8590:D8590"/>
    <mergeCell ref="C8578:D8578"/>
    <mergeCell ref="C8579:D8579"/>
    <mergeCell ref="C8591:D8591"/>
    <mergeCell ref="C8628:D8628"/>
    <mergeCell ref="C8629:D8629"/>
    <mergeCell ref="C8612:D8612"/>
    <mergeCell ref="C8613:D8613"/>
    <mergeCell ref="C8607:D8607"/>
    <mergeCell ref="C8608:D8608"/>
    <mergeCell ref="C8609:D8609"/>
    <mergeCell ref="C8611:D8611"/>
    <mergeCell ref="C8610:D8610"/>
    <mergeCell ref="C8624:D8624"/>
    <mergeCell ref="C8625:D8625"/>
    <mergeCell ref="C8692:D8692"/>
    <mergeCell ref="C8693:D8693"/>
    <mergeCell ref="C8985:D8985"/>
    <mergeCell ref="C8986:D8986"/>
    <mergeCell ref="C8659:D8659"/>
    <mergeCell ref="C8510:D8510"/>
    <mergeCell ref="C8511:D8511"/>
    <mergeCell ref="C8527:D8527"/>
    <mergeCell ref="C8556:D8556"/>
    <mergeCell ref="C8524:D8524"/>
    <mergeCell ref="B7577:B7579"/>
    <mergeCell ref="B7560:B7562"/>
    <mergeCell ref="A7568:D7568"/>
    <mergeCell ref="B7594:B7596"/>
    <mergeCell ref="A7602:D7602"/>
    <mergeCell ref="C7593:D7593"/>
    <mergeCell ref="A7585:D7585"/>
    <mergeCell ref="C7623:D7623"/>
    <mergeCell ref="C7625:D7625"/>
    <mergeCell ref="C7624:D7624"/>
    <mergeCell ref="B7662:B7664"/>
    <mergeCell ref="C7677:D7677"/>
    <mergeCell ref="C7536:D7536"/>
    <mergeCell ref="C7537:D7537"/>
    <mergeCell ref="C7502:D7502"/>
    <mergeCell ref="C7503:D7503"/>
    <mergeCell ref="C7504:D7504"/>
    <mergeCell ref="C7505:D7505"/>
    <mergeCell ref="C7508:D7508"/>
    <mergeCell ref="C7506:D7506"/>
    <mergeCell ref="C7507:D7507"/>
    <mergeCell ref="C7490:D7490"/>
    <mergeCell ref="C7491:D7491"/>
    <mergeCell ref="C7523:D7523"/>
    <mergeCell ref="C7524:D7524"/>
    <mergeCell ref="C7571:D7571"/>
    <mergeCell ref="C7572:D7572"/>
    <mergeCell ref="B7611:B7613"/>
    <mergeCell ref="C7574:D7574"/>
    <mergeCell ref="C7575:D7575"/>
    <mergeCell ref="A7671:A7685"/>
    <mergeCell ref="C7678:D7678"/>
    <mergeCell ref="B7628:B7630"/>
    <mergeCell ref="C7638:D7638"/>
    <mergeCell ref="C7639:D7639"/>
    <mergeCell ref="A7636:D7636"/>
    <mergeCell ref="A7875:A7889"/>
    <mergeCell ref="C7828:D7828"/>
    <mergeCell ref="C7830:D7830"/>
    <mergeCell ref="C7916:D7916"/>
    <mergeCell ref="B7917:B7919"/>
    <mergeCell ref="A7925:D7925"/>
    <mergeCell ref="C7709:D7709"/>
    <mergeCell ref="C7710:D7710"/>
    <mergeCell ref="C7708:D7708"/>
    <mergeCell ref="C7706:D7706"/>
    <mergeCell ref="C7707:D7707"/>
    <mergeCell ref="A7857:D7857"/>
    <mergeCell ref="C7864:D7864"/>
    <mergeCell ref="C7859:D7859"/>
    <mergeCell ref="C7860:D7860"/>
    <mergeCell ref="C7861:D7861"/>
    <mergeCell ref="C7863:D7863"/>
    <mergeCell ref="C7862:D7862"/>
    <mergeCell ref="C7827:D7827"/>
    <mergeCell ref="C7845:D7845"/>
    <mergeCell ref="A7840:D7840"/>
    <mergeCell ref="A7841:A7855"/>
    <mergeCell ref="A7824:A7838"/>
    <mergeCell ref="C7848:D7848"/>
    <mergeCell ref="B7832:B7834"/>
    <mergeCell ref="C7831:D7831"/>
    <mergeCell ref="A7858:A7872"/>
    <mergeCell ref="C7927:D7927"/>
    <mergeCell ref="A7909:A7923"/>
    <mergeCell ref="C7743:D7743"/>
    <mergeCell ref="C7744:D7744"/>
    <mergeCell ref="B7747:B7749"/>
    <mergeCell ref="A7738:D7738"/>
    <mergeCell ref="A7755:D7755"/>
    <mergeCell ref="C7746:D7746"/>
    <mergeCell ref="C7761:D7761"/>
    <mergeCell ref="C7762:D7762"/>
    <mergeCell ref="C7757:D7757"/>
    <mergeCell ref="C7758:D7758"/>
    <mergeCell ref="C7759:D7759"/>
    <mergeCell ref="C7760:D7760"/>
    <mergeCell ref="C7763:D7763"/>
    <mergeCell ref="A7722:A7736"/>
    <mergeCell ref="A7739:A7753"/>
    <mergeCell ref="B7730:B7732"/>
    <mergeCell ref="B7764:B7766"/>
    <mergeCell ref="A7756:A7770"/>
    <mergeCell ref="A7790:A7804"/>
    <mergeCell ref="B7798:B7800"/>
    <mergeCell ref="C7712:D7712"/>
    <mergeCell ref="B7713:B7715"/>
    <mergeCell ref="A7721:D7721"/>
    <mergeCell ref="C7723:D7723"/>
    <mergeCell ref="C7812:D7812"/>
    <mergeCell ref="A7806:D7806"/>
    <mergeCell ref="C7813:D7813"/>
    <mergeCell ref="C7797:D7797"/>
    <mergeCell ref="C7829:D7829"/>
    <mergeCell ref="A7823:D7823"/>
    <mergeCell ref="C7825:D7825"/>
    <mergeCell ref="C7826:D7826"/>
    <mergeCell ref="A7807:A7821"/>
    <mergeCell ref="C7879:D7879"/>
    <mergeCell ref="C7914:D7914"/>
    <mergeCell ref="C7915:D7915"/>
    <mergeCell ref="B7866:B7868"/>
    <mergeCell ref="B7900:B7902"/>
    <mergeCell ref="A7874:D7874"/>
    <mergeCell ref="A7772:D7772"/>
    <mergeCell ref="C7741:D7741"/>
    <mergeCell ref="C7742:D7742"/>
    <mergeCell ref="C7745:D7745"/>
    <mergeCell ref="C7740:D7740"/>
    <mergeCell ref="C7729:D7729"/>
    <mergeCell ref="A7705:A7719"/>
    <mergeCell ref="B7781:B7783"/>
    <mergeCell ref="A7789:D7789"/>
    <mergeCell ref="C7791:D7791"/>
    <mergeCell ref="C7792:D7792"/>
    <mergeCell ref="C7793:D7793"/>
    <mergeCell ref="C7795:D7795"/>
    <mergeCell ref="C7796:D7796"/>
    <mergeCell ref="C7794:D7794"/>
    <mergeCell ref="C7776:D7776"/>
    <mergeCell ref="C7777:D7777"/>
    <mergeCell ref="C7780:D7780"/>
    <mergeCell ref="C7775:D7775"/>
    <mergeCell ref="C7778:D7778"/>
    <mergeCell ref="C7779:D7779"/>
    <mergeCell ref="C7774:D7774"/>
    <mergeCell ref="B7849:B7851"/>
    <mergeCell ref="C4705:D4705"/>
    <mergeCell ref="C4704:D4704"/>
    <mergeCell ref="C4620:D4620"/>
    <mergeCell ref="C4616:D4616"/>
    <mergeCell ref="B4876:B4878"/>
    <mergeCell ref="C4856:D4856"/>
    <mergeCell ref="C4841:D4841"/>
    <mergeCell ref="B4842:B4844"/>
    <mergeCell ref="C4835:D4835"/>
    <mergeCell ref="C4836:D4836"/>
    <mergeCell ref="A4850:D4850"/>
    <mergeCell ref="B4859:B4861"/>
    <mergeCell ref="B4893:B4895"/>
    <mergeCell ref="A4885:A4899"/>
    <mergeCell ref="A4970:A4984"/>
    <mergeCell ref="A4884:D4884"/>
    <mergeCell ref="B4910:B4912"/>
    <mergeCell ref="A4867:D4867"/>
    <mergeCell ref="A4936:A4950"/>
    <mergeCell ref="C4924:D4924"/>
    <mergeCell ref="A7688:A7702"/>
    <mergeCell ref="C7689:D7689"/>
    <mergeCell ref="B7696:B7698"/>
    <mergeCell ref="C7690:D7690"/>
    <mergeCell ref="C7691:D7691"/>
    <mergeCell ref="C7693:D7693"/>
    <mergeCell ref="C7694:D7694"/>
    <mergeCell ref="C7695:D7695"/>
    <mergeCell ref="C7610:D7610"/>
    <mergeCell ref="A7619:D7619"/>
    <mergeCell ref="C7640:D7640"/>
    <mergeCell ref="C7641:D7641"/>
    <mergeCell ref="B7645:B7647"/>
    <mergeCell ref="C7642:D7642"/>
    <mergeCell ref="C7643:D7643"/>
    <mergeCell ref="C7644:D7644"/>
    <mergeCell ref="C7658:D7658"/>
    <mergeCell ref="C7659:D7659"/>
    <mergeCell ref="C7657:D7657"/>
    <mergeCell ref="C7607:D7607"/>
    <mergeCell ref="C7626:D7626"/>
    <mergeCell ref="C7627:D7627"/>
    <mergeCell ref="A7653:D7653"/>
    <mergeCell ref="C7655:D7655"/>
    <mergeCell ref="C7656:D7656"/>
    <mergeCell ref="C7692:D7692"/>
    <mergeCell ref="C7674:D7674"/>
    <mergeCell ref="C7673:D7673"/>
    <mergeCell ref="A7687:D7687"/>
    <mergeCell ref="A7670:D7670"/>
    <mergeCell ref="B7679:B7681"/>
    <mergeCell ref="C7660:D7660"/>
    <mergeCell ref="C7661:D7661"/>
    <mergeCell ref="C7621:D7621"/>
    <mergeCell ref="C7588:D7588"/>
    <mergeCell ref="C7622:D7622"/>
    <mergeCell ref="C7440:D7440"/>
    <mergeCell ref="C7438:D7438"/>
    <mergeCell ref="C7439:D7439"/>
    <mergeCell ref="C7456:D7456"/>
    <mergeCell ref="C7457:D7457"/>
    <mergeCell ref="C7541:D7541"/>
    <mergeCell ref="C7606:D7606"/>
    <mergeCell ref="C7672:D7672"/>
    <mergeCell ref="C5129:D5129"/>
    <mergeCell ref="C5146:D5146"/>
    <mergeCell ref="C5162:D5162"/>
    <mergeCell ref="C5147:D5147"/>
    <mergeCell ref="C5158:D5158"/>
    <mergeCell ref="C5159:D5159"/>
    <mergeCell ref="C5160:D5160"/>
    <mergeCell ref="C5161:D5161"/>
    <mergeCell ref="C5142:D5142"/>
    <mergeCell ref="C5143:D5143"/>
    <mergeCell ref="C5144:D5144"/>
    <mergeCell ref="C5145:D5145"/>
    <mergeCell ref="C5163:D5163"/>
    <mergeCell ref="C5164:D5164"/>
    <mergeCell ref="C5177:D5177"/>
    <mergeCell ref="C5178:D5178"/>
    <mergeCell ref="A4935:D4935"/>
    <mergeCell ref="C4926:D4926"/>
    <mergeCell ref="B4927:B4929"/>
    <mergeCell ref="C4938:D4938"/>
    <mergeCell ref="C4939:D4939"/>
    <mergeCell ref="C4940:D4940"/>
    <mergeCell ref="C4941:D4941"/>
    <mergeCell ref="C4942:D4942"/>
    <mergeCell ref="A4952:D4952"/>
    <mergeCell ref="C4954:D4954"/>
    <mergeCell ref="C4955:D4955"/>
    <mergeCell ref="C4956:D4956"/>
    <mergeCell ref="C4957:D4957"/>
    <mergeCell ref="C5059:D5059"/>
    <mergeCell ref="C5060:D5060"/>
    <mergeCell ref="A5088:D5088"/>
    <mergeCell ref="C5092:D5092"/>
    <mergeCell ref="C5093:D5093"/>
    <mergeCell ref="A5106:A5120"/>
    <mergeCell ref="A5123:A5137"/>
    <mergeCell ref="B5148:B5150"/>
    <mergeCell ref="A5140:A5154"/>
    <mergeCell ref="A5139:D5139"/>
    <mergeCell ref="A5156:D5156"/>
    <mergeCell ref="C5310:D5310"/>
    <mergeCell ref="C5311:D5311"/>
    <mergeCell ref="C5312:D5312"/>
    <mergeCell ref="C5296:D5296"/>
    <mergeCell ref="C5297:D5297"/>
    <mergeCell ref="C5280:D5280"/>
    <mergeCell ref="C5279:D5279"/>
    <mergeCell ref="C5446:D5446"/>
    <mergeCell ref="C5447:D5447"/>
    <mergeCell ref="C5295:D5295"/>
    <mergeCell ref="C5292:D5292"/>
    <mergeCell ref="C5276:D5276"/>
    <mergeCell ref="C5277:D5277"/>
    <mergeCell ref="C5278:D5278"/>
    <mergeCell ref="C5330:D5330"/>
    <mergeCell ref="C5315:D5315"/>
    <mergeCell ref="C5326:D5326"/>
    <mergeCell ref="C5329:D5329"/>
    <mergeCell ref="C5331:D5331"/>
    <mergeCell ref="C5332:D5332"/>
    <mergeCell ref="B5165:B5167"/>
    <mergeCell ref="C5181:D5181"/>
    <mergeCell ref="A5122:D5122"/>
    <mergeCell ref="C5113:D5113"/>
    <mergeCell ref="B5114:B5116"/>
    <mergeCell ref="A5089:A5103"/>
    <mergeCell ref="B5097:B5099"/>
    <mergeCell ref="B5131:B5133"/>
    <mergeCell ref="B5063:B5065"/>
    <mergeCell ref="A5071:D5071"/>
    <mergeCell ref="A5072:A5086"/>
    <mergeCell ref="A5055:A5069"/>
    <mergeCell ref="C5061:D5061"/>
    <mergeCell ref="C5112:D5112"/>
    <mergeCell ref="C5361:D5361"/>
    <mergeCell ref="C5362:D5362"/>
    <mergeCell ref="C5381:D5381"/>
    <mergeCell ref="C5377:D5377"/>
    <mergeCell ref="C5378:D5378"/>
    <mergeCell ref="C5379:D5379"/>
    <mergeCell ref="C5380:D5380"/>
    <mergeCell ref="C5429:D5429"/>
    <mergeCell ref="C5430:D5430"/>
    <mergeCell ref="B5350:B5352"/>
    <mergeCell ref="A5290:D5290"/>
    <mergeCell ref="C5275:D5275"/>
    <mergeCell ref="A5157:A5171"/>
    <mergeCell ref="A5174:A5188"/>
    <mergeCell ref="A5191:A5205"/>
    <mergeCell ref="B5182:B5184"/>
    <mergeCell ref="A5239:D5239"/>
    <mergeCell ref="C5230:D5230"/>
    <mergeCell ref="A5291:A5305"/>
    <mergeCell ref="A5308:A5322"/>
    <mergeCell ref="A5325:A5339"/>
    <mergeCell ref="A5307:D5307"/>
    <mergeCell ref="B5199:B5201"/>
    <mergeCell ref="A5208:A5220"/>
    <mergeCell ref="A5223:A5237"/>
    <mergeCell ref="B5316:B5318"/>
    <mergeCell ref="A5324:D5324"/>
    <mergeCell ref="C5225:D5225"/>
    <mergeCell ref="C5226:D5226"/>
    <mergeCell ref="C5227:D5227"/>
    <mergeCell ref="C5892:D5892"/>
    <mergeCell ref="C5872:D5872"/>
    <mergeCell ref="C5873:D5873"/>
    <mergeCell ref="C5636:D5636"/>
    <mergeCell ref="C5434:D5434"/>
    <mergeCell ref="C5445:D5445"/>
    <mergeCell ref="C5723:D5723"/>
    <mergeCell ref="C5907:D5907"/>
    <mergeCell ref="C5735:D5735"/>
    <mergeCell ref="C5736:D5736"/>
    <mergeCell ref="C5496:D5496"/>
    <mergeCell ref="C5484:D5484"/>
    <mergeCell ref="C5536:D5536"/>
    <mergeCell ref="C5547:D5547"/>
    <mergeCell ref="C5548:D5548"/>
    <mergeCell ref="C5549:D5549"/>
    <mergeCell ref="C5550:D5550"/>
    <mergeCell ref="C5553:D5553"/>
    <mergeCell ref="C5653:D5653"/>
    <mergeCell ref="C5654:D5654"/>
    <mergeCell ref="C5651:D5651"/>
    <mergeCell ref="C5734:D5734"/>
    <mergeCell ref="C5700:D5700"/>
    <mergeCell ref="C5668:D5668"/>
    <mergeCell ref="C5669:D5669"/>
    <mergeCell ref="C5701:D5701"/>
    <mergeCell ref="C5689:D5689"/>
    <mergeCell ref="C5598:D5598"/>
    <mergeCell ref="C5599:D5599"/>
    <mergeCell ref="C5702:D5702"/>
    <mergeCell ref="C5703:D5703"/>
    <mergeCell ref="C5704:D5704"/>
    <mergeCell ref="C5705:D5705"/>
    <mergeCell ref="C5721:D5721"/>
    <mergeCell ref="C5722:D5722"/>
    <mergeCell ref="C5502:D5502"/>
    <mergeCell ref="C5516:D5516"/>
    <mergeCell ref="C5513:D5513"/>
    <mergeCell ref="C5514:D5514"/>
    <mergeCell ref="C5515:D5515"/>
    <mergeCell ref="C5530:D5530"/>
    <mergeCell ref="C5531:D5531"/>
    <mergeCell ref="C5532:D5532"/>
    <mergeCell ref="C5533:D5533"/>
    <mergeCell ref="C5787:D5787"/>
    <mergeCell ref="C5785:D5785"/>
    <mergeCell ref="C5786:D5786"/>
    <mergeCell ref="A5783:D5783"/>
    <mergeCell ref="A5784:A5798"/>
    <mergeCell ref="C5803:D5803"/>
    <mergeCell ref="C5790:D5790"/>
    <mergeCell ref="C5751:D5751"/>
    <mergeCell ref="C5752:D5752"/>
    <mergeCell ref="C5753:D5753"/>
    <mergeCell ref="C5754:D5754"/>
    <mergeCell ref="C5772:D5772"/>
    <mergeCell ref="C5737:D5737"/>
    <mergeCell ref="C5740:D5740"/>
    <mergeCell ref="C5788:D5788"/>
    <mergeCell ref="C5789:D5789"/>
    <mergeCell ref="C5802:D5802"/>
    <mergeCell ref="A5800:D5800"/>
    <mergeCell ref="A5834:D5834"/>
    <mergeCell ref="C5836:D5836"/>
    <mergeCell ref="C7081:D7081"/>
    <mergeCell ref="B7067:B7069"/>
    <mergeCell ref="C7011:D7011"/>
    <mergeCell ref="C7012:D7012"/>
    <mergeCell ref="C6977:D6977"/>
    <mergeCell ref="C6979:D6979"/>
    <mergeCell ref="C6978:D6978"/>
    <mergeCell ref="C6942:D6942"/>
    <mergeCell ref="C6943:D6943"/>
    <mergeCell ref="C7026:D7026"/>
    <mergeCell ref="C6992:D6992"/>
    <mergeCell ref="C7009:D7009"/>
    <mergeCell ref="C7010:D7010"/>
    <mergeCell ref="C7015:D7015"/>
    <mergeCell ref="C6980:D6980"/>
    <mergeCell ref="C7027:D7027"/>
    <mergeCell ref="A7024:D7024"/>
    <mergeCell ref="C7029:D7029"/>
    <mergeCell ref="C7032:D7032"/>
    <mergeCell ref="C7030:D7030"/>
    <mergeCell ref="C7031:D7031"/>
    <mergeCell ref="B7033:B7035"/>
    <mergeCell ref="C7028:D7028"/>
    <mergeCell ref="A6821:A6835"/>
    <mergeCell ref="A6820:D6820"/>
    <mergeCell ref="A6837:D6837"/>
    <mergeCell ref="A6905:D6905"/>
    <mergeCell ref="A6583:A6597"/>
    <mergeCell ref="A6582:D6582"/>
    <mergeCell ref="A6514:D6514"/>
    <mergeCell ref="A6515:A6529"/>
    <mergeCell ref="A6532:A6546"/>
    <mergeCell ref="A6566:A6580"/>
    <mergeCell ref="A6565:D6565"/>
    <mergeCell ref="A6531:D6531"/>
    <mergeCell ref="A6616:D6616"/>
    <mergeCell ref="A6786:D6786"/>
    <mergeCell ref="A6803:D6803"/>
    <mergeCell ref="A6549:A6563"/>
    <mergeCell ref="A6548:D6548"/>
    <mergeCell ref="A6684:D6684"/>
    <mergeCell ref="A6701:D6701"/>
    <mergeCell ref="A6667:D6667"/>
    <mergeCell ref="C6975:D6975"/>
    <mergeCell ref="C6976:D6976"/>
    <mergeCell ref="A6752:D6752"/>
    <mergeCell ref="A6769:D6769"/>
    <mergeCell ref="A6735:D6735"/>
    <mergeCell ref="A6719:A6733"/>
    <mergeCell ref="A6718:D6718"/>
    <mergeCell ref="A6600:A6614"/>
    <mergeCell ref="A6599:D6599"/>
    <mergeCell ref="A6617:A6631"/>
    <mergeCell ref="A6633:D6633"/>
    <mergeCell ref="A6650:D6650"/>
    <mergeCell ref="C6793:D6793"/>
    <mergeCell ref="C6809:D6809"/>
    <mergeCell ref="C6777:D6777"/>
    <mergeCell ref="C6788:D6788"/>
    <mergeCell ref="C6757:D6757"/>
    <mergeCell ref="C6758:D6758"/>
    <mergeCell ref="C6772:D6772"/>
    <mergeCell ref="C6740:D6740"/>
    <mergeCell ref="C6743:D6743"/>
    <mergeCell ref="C1669:D1669"/>
    <mergeCell ref="C1670:D1670"/>
    <mergeCell ref="C2784:D2784"/>
    <mergeCell ref="B2785:B2787"/>
    <mergeCell ref="C1673:D1673"/>
    <mergeCell ref="C1691:D1691"/>
    <mergeCell ref="C1685:D1685"/>
    <mergeCell ref="C1686:D1686"/>
    <mergeCell ref="C1960:D1960"/>
    <mergeCell ref="C1961:D1961"/>
    <mergeCell ref="A1954:A1968"/>
    <mergeCell ref="C2378:D2378"/>
    <mergeCell ref="B2379:B2381"/>
    <mergeCell ref="B7050:B7052"/>
    <mergeCell ref="A7058:D7058"/>
    <mergeCell ref="C7047:D7047"/>
    <mergeCell ref="C7046:D7046"/>
    <mergeCell ref="A7042:A7056"/>
    <mergeCell ref="A7059:A7073"/>
    <mergeCell ref="C7045:D7045"/>
    <mergeCell ref="C7060:D7060"/>
    <mergeCell ref="C7048:D7048"/>
    <mergeCell ref="C7049:D7049"/>
    <mergeCell ref="C7061:D7061"/>
    <mergeCell ref="C7062:D7062"/>
    <mergeCell ref="C7063:D7063"/>
    <mergeCell ref="C7066:D7066"/>
    <mergeCell ref="C7064:D7064"/>
    <mergeCell ref="C7065:D7065"/>
    <mergeCell ref="C7078:D7078"/>
    <mergeCell ref="C7079:D7079"/>
    <mergeCell ref="A7041:D7041"/>
    <mergeCell ref="C7043:D7043"/>
    <mergeCell ref="C7044:D7044"/>
    <mergeCell ref="A7025:A7039"/>
    <mergeCell ref="B6506:B6508"/>
    <mergeCell ref="A6463:D6463"/>
    <mergeCell ref="B6489:B6491"/>
    <mergeCell ref="B6472:B6474"/>
    <mergeCell ref="A6480:D6480"/>
    <mergeCell ref="A6497:D6497"/>
    <mergeCell ref="A6498:A6512"/>
    <mergeCell ref="A5427:A5441"/>
    <mergeCell ref="A5444:A5458"/>
    <mergeCell ref="C5666:D5666"/>
    <mergeCell ref="A5664:D5664"/>
    <mergeCell ref="A5647:D5647"/>
    <mergeCell ref="A5648:A5662"/>
    <mergeCell ref="C5652:D5652"/>
    <mergeCell ref="C5655:D5655"/>
    <mergeCell ref="C5688:D5688"/>
    <mergeCell ref="C5667:D5667"/>
    <mergeCell ref="C5672:D5672"/>
    <mergeCell ref="B5673:B5675"/>
    <mergeCell ref="C5683:D5683"/>
    <mergeCell ref="C5684:D5684"/>
    <mergeCell ref="B5656:B5658"/>
    <mergeCell ref="A5665:A5679"/>
    <mergeCell ref="C5615:D5615"/>
    <mergeCell ref="A5613:D5613"/>
    <mergeCell ref="C5604:D5604"/>
    <mergeCell ref="C5619:D5619"/>
    <mergeCell ref="C5616:D5616"/>
    <mergeCell ref="C5617:D5617"/>
    <mergeCell ref="C1923:D1923"/>
    <mergeCell ref="A1987:C1987"/>
    <mergeCell ref="C1926:D1926"/>
    <mergeCell ref="C1927:D1927"/>
    <mergeCell ref="B1928:B1930"/>
    <mergeCell ref="A1936:D1936"/>
    <mergeCell ref="C1938:D1938"/>
    <mergeCell ref="C1725:D1725"/>
    <mergeCell ref="C1704:D1704"/>
    <mergeCell ref="C1724:D1724"/>
    <mergeCell ref="C1891:D1891"/>
    <mergeCell ref="C1892:D1892"/>
    <mergeCell ref="A2522:A2536"/>
    <mergeCell ref="B2211:B2213"/>
    <mergeCell ref="C1738:D1738"/>
    <mergeCell ref="C1739:D1739"/>
    <mergeCell ref="C1740:D1740"/>
    <mergeCell ref="C1741:D1741"/>
    <mergeCell ref="C1742:D1742"/>
    <mergeCell ref="B1743:B1745"/>
    <mergeCell ref="A1751:D1751"/>
    <mergeCell ref="A1735:A1749"/>
    <mergeCell ref="C5618:D5618"/>
    <mergeCell ref="B5605:B5607"/>
    <mergeCell ref="B5622:B5624"/>
    <mergeCell ref="A5597:A5611"/>
    <mergeCell ref="A5614:A5628"/>
    <mergeCell ref="A5631:A5645"/>
    <mergeCell ref="A5461:A5475"/>
    <mergeCell ref="A5478:A5492"/>
    <mergeCell ref="A5495:A5509"/>
    <mergeCell ref="A5546:A5560"/>
    <mergeCell ref="A5563:A5577"/>
    <mergeCell ref="A5512:A5526"/>
    <mergeCell ref="A5529:A5543"/>
    <mergeCell ref="C5500:D5500"/>
    <mergeCell ref="C5501:D5501"/>
    <mergeCell ref="C5467:D5467"/>
    <mergeCell ref="C5519:D5519"/>
    <mergeCell ref="C5517:D5517"/>
    <mergeCell ref="C5518:D5518"/>
    <mergeCell ref="C4909:D4909"/>
    <mergeCell ref="C4925:D4925"/>
    <mergeCell ref="C4937:D4937"/>
    <mergeCell ref="B4944:B4946"/>
    <mergeCell ref="C4921:D4921"/>
    <mergeCell ref="A4953:A4967"/>
    <mergeCell ref="B4961:B4963"/>
    <mergeCell ref="A5054:D5054"/>
    <mergeCell ref="C5058:D5058"/>
    <mergeCell ref="A5038:A5052"/>
    <mergeCell ref="B5080:B5082"/>
    <mergeCell ref="C5095:D5095"/>
    <mergeCell ref="C5090:D5090"/>
    <mergeCell ref="C5091:D5091"/>
    <mergeCell ref="C5107:D5107"/>
    <mergeCell ref="C5096:D5096"/>
    <mergeCell ref="C5110:D5110"/>
    <mergeCell ref="C5111:D5111"/>
    <mergeCell ref="C5128:D5128"/>
    <mergeCell ref="C5497:D5497"/>
    <mergeCell ref="C5498:D5498"/>
    <mergeCell ref="C5499:D5499"/>
    <mergeCell ref="C5534:D5534"/>
    <mergeCell ref="A5460:D5460"/>
    <mergeCell ref="C5468:D5468"/>
    <mergeCell ref="B5469:B5471"/>
    <mergeCell ref="A5477:D5477"/>
    <mergeCell ref="B5435:B5437"/>
    <mergeCell ref="B5418:B5420"/>
    <mergeCell ref="A5426:D5426"/>
    <mergeCell ref="A5443:D5443"/>
    <mergeCell ref="B5486:B5488"/>
    <mergeCell ref="C5433:D5433"/>
    <mergeCell ref="C5448:D5448"/>
    <mergeCell ref="C5382:D5382"/>
    <mergeCell ref="C5383:D5383"/>
    <mergeCell ref="A5342:A5356"/>
    <mergeCell ref="B5367:B5369"/>
    <mergeCell ref="C5364:D5364"/>
    <mergeCell ref="C5365:D5365"/>
    <mergeCell ref="C5366:D5366"/>
    <mergeCell ref="A5358:D5358"/>
    <mergeCell ref="C5360:D5360"/>
    <mergeCell ref="A5375:D5375"/>
    <mergeCell ref="A5359:A5373"/>
    <mergeCell ref="C5327:D5327"/>
    <mergeCell ref="C5328:D5328"/>
    <mergeCell ref="C5347:D5347"/>
    <mergeCell ref="C5348:D5348"/>
    <mergeCell ref="C5349:D5349"/>
    <mergeCell ref="C5363:D5363"/>
    <mergeCell ref="C5396:D5396"/>
    <mergeCell ref="C5395:D5395"/>
    <mergeCell ref="C5411:D5411"/>
    <mergeCell ref="C5412:D5412"/>
    <mergeCell ref="C5413:D5413"/>
    <mergeCell ref="C5482:D5482"/>
    <mergeCell ref="A5393:A5407"/>
    <mergeCell ref="C5633:D5633"/>
    <mergeCell ref="C5632:D5632"/>
    <mergeCell ref="C5637:D5637"/>
    <mergeCell ref="C5638:D5638"/>
    <mergeCell ref="C5649:D5649"/>
    <mergeCell ref="C5650:D5650"/>
    <mergeCell ref="C5583:D5583"/>
    <mergeCell ref="C5584:D5584"/>
    <mergeCell ref="C5634:D5634"/>
    <mergeCell ref="C5621:D5621"/>
    <mergeCell ref="C5635:D5635"/>
    <mergeCell ref="C5602:D5602"/>
    <mergeCell ref="C5601:D5601"/>
    <mergeCell ref="C5603:D5603"/>
    <mergeCell ref="A5630:D5630"/>
    <mergeCell ref="B5639:B5641"/>
    <mergeCell ref="C5586:D5586"/>
    <mergeCell ref="C5587:D5587"/>
    <mergeCell ref="B5571:B5573"/>
    <mergeCell ref="A5579:D5579"/>
    <mergeCell ref="B5588:B5590"/>
    <mergeCell ref="A5596:D5596"/>
    <mergeCell ref="A5580:A5594"/>
    <mergeCell ref="B5537:B5539"/>
    <mergeCell ref="A5545:D5545"/>
    <mergeCell ref="C5485:D5485"/>
    <mergeCell ref="C5483:D5483"/>
    <mergeCell ref="A5494:D5494"/>
    <mergeCell ref="B5520:B5522"/>
    <mergeCell ref="A5528:D5528"/>
    <mergeCell ref="B5503:B5505"/>
    <mergeCell ref="A5511:D5511"/>
    <mergeCell ref="B5384:B5386"/>
    <mergeCell ref="A5392:D5392"/>
    <mergeCell ref="C5394:D5394"/>
    <mergeCell ref="A5376:A5390"/>
    <mergeCell ref="C5535:D5535"/>
    <mergeCell ref="C5551:D5551"/>
    <mergeCell ref="C5552:D5552"/>
    <mergeCell ref="B5554:B5556"/>
    <mergeCell ref="C5564:D5564"/>
    <mergeCell ref="C5565:D5565"/>
    <mergeCell ref="A5562:D5562"/>
    <mergeCell ref="C5581:D5581"/>
    <mergeCell ref="C5582:D5582"/>
    <mergeCell ref="C5620:D5620"/>
    <mergeCell ref="C5566:D5566"/>
    <mergeCell ref="C5569:D5569"/>
    <mergeCell ref="C5570:D5570"/>
    <mergeCell ref="C5568:D5568"/>
    <mergeCell ref="C5567:D5567"/>
    <mergeCell ref="C5585:D5585"/>
    <mergeCell ref="C5600:D5600"/>
    <mergeCell ref="C5400:D5400"/>
    <mergeCell ref="B5401:B5403"/>
    <mergeCell ref="C5398:D5398"/>
    <mergeCell ref="C5397:D5397"/>
    <mergeCell ref="C5399:D5399"/>
    <mergeCell ref="C5451:D5451"/>
    <mergeCell ref="C5462:D5462"/>
    <mergeCell ref="C5463:D5463"/>
    <mergeCell ref="C5464:D5464"/>
    <mergeCell ref="C5465:D5465"/>
    <mergeCell ref="C5449:D5449"/>
    <mergeCell ref="C5294:D5294"/>
    <mergeCell ref="C5415:D5415"/>
    <mergeCell ref="C5416:D5416"/>
    <mergeCell ref="C5414:D5414"/>
    <mergeCell ref="C5481:D5481"/>
    <mergeCell ref="A5409:D5409"/>
    <mergeCell ref="A5410:A5424"/>
    <mergeCell ref="C5431:D5431"/>
    <mergeCell ref="C5432:D5432"/>
    <mergeCell ref="C5417:D5417"/>
    <mergeCell ref="C5428:D5428"/>
    <mergeCell ref="C5345:D5345"/>
    <mergeCell ref="C5346:D5346"/>
    <mergeCell ref="C5314:D5314"/>
    <mergeCell ref="C5479:D5479"/>
    <mergeCell ref="C5480:D5480"/>
    <mergeCell ref="C5450:D5450"/>
    <mergeCell ref="C5466:D5466"/>
    <mergeCell ref="A5256:D5256"/>
    <mergeCell ref="B5265:B5267"/>
    <mergeCell ref="A5273:D5273"/>
    <mergeCell ref="C5293:D5293"/>
    <mergeCell ref="C5192:D5192"/>
    <mergeCell ref="C5193:D5193"/>
    <mergeCell ref="A5173:D5173"/>
    <mergeCell ref="A5207:C5207"/>
    <mergeCell ref="C5198:D5198"/>
    <mergeCell ref="C5175:D5175"/>
    <mergeCell ref="C5176:D5176"/>
    <mergeCell ref="A5190:D5190"/>
    <mergeCell ref="C5197:D5197"/>
    <mergeCell ref="C5180:D5180"/>
    <mergeCell ref="C5194:D5194"/>
    <mergeCell ref="C5179:D5179"/>
    <mergeCell ref="C5228:D5228"/>
    <mergeCell ref="C5229:D5229"/>
    <mergeCell ref="A5240:A5254"/>
    <mergeCell ref="B5248:B5250"/>
    <mergeCell ref="C5343:D5343"/>
    <mergeCell ref="C5344:D5344"/>
    <mergeCell ref="B5333:B5335"/>
    <mergeCell ref="A5341:D5341"/>
    <mergeCell ref="B5299:B5301"/>
    <mergeCell ref="B5282:B5284"/>
    <mergeCell ref="C5246:D5246"/>
    <mergeCell ref="C5247:D5247"/>
    <mergeCell ref="C5243:D5243"/>
    <mergeCell ref="C5313:D5313"/>
    <mergeCell ref="C5298:D5298"/>
    <mergeCell ref="C5309:D5309"/>
    <mergeCell ref="B5452:B5454"/>
    <mergeCell ref="C5262:D5262"/>
    <mergeCell ref="C5259:D5259"/>
    <mergeCell ref="C5260:D5260"/>
    <mergeCell ref="C5261:D5261"/>
    <mergeCell ref="C5245:D5245"/>
    <mergeCell ref="C5244:D5244"/>
    <mergeCell ref="C5195:D5195"/>
    <mergeCell ref="C5196:D5196"/>
    <mergeCell ref="C5241:D5241"/>
    <mergeCell ref="C5242:D5242"/>
    <mergeCell ref="B5231:B5233"/>
    <mergeCell ref="A5222:D5222"/>
    <mergeCell ref="C5258:D5258"/>
    <mergeCell ref="C5263:D5263"/>
    <mergeCell ref="C5264:D5264"/>
    <mergeCell ref="C5281:D5281"/>
    <mergeCell ref="C5224:D5224"/>
    <mergeCell ref="C5027:D5027"/>
    <mergeCell ref="C4989:D4989"/>
    <mergeCell ref="C4993:D4993"/>
    <mergeCell ref="C4992:D4992"/>
    <mergeCell ref="C4988:D4988"/>
    <mergeCell ref="A4986:D4986"/>
    <mergeCell ref="C4994:D4994"/>
    <mergeCell ref="B4995:B4997"/>
    <mergeCell ref="C5009:D5009"/>
    <mergeCell ref="C5010:D5010"/>
    <mergeCell ref="A5004:A5018"/>
    <mergeCell ref="A5021:A5035"/>
    <mergeCell ref="C5023:D5023"/>
    <mergeCell ref="C5024:D5024"/>
    <mergeCell ref="C5025:D5025"/>
    <mergeCell ref="C5026:D5026"/>
    <mergeCell ref="C4990:D4990"/>
    <mergeCell ref="C4991:D4991"/>
    <mergeCell ref="C5056:D5056"/>
    <mergeCell ref="C5057:D5057"/>
    <mergeCell ref="C5075:D5075"/>
    <mergeCell ref="C5076:D5076"/>
    <mergeCell ref="C5007:D5007"/>
    <mergeCell ref="C5008:D5008"/>
    <mergeCell ref="C5108:D5108"/>
    <mergeCell ref="C5109:D5109"/>
    <mergeCell ref="C5126:D5126"/>
    <mergeCell ref="C5127:D5127"/>
    <mergeCell ref="C5141:D5141"/>
    <mergeCell ref="C5124:D5124"/>
    <mergeCell ref="C5125:D5125"/>
    <mergeCell ref="C5130:D5130"/>
    <mergeCell ref="C5062:D5062"/>
    <mergeCell ref="C5078:D5078"/>
    <mergeCell ref="C5079:D5079"/>
    <mergeCell ref="C5077:D5077"/>
    <mergeCell ref="C5073:D5073"/>
    <mergeCell ref="C5074:D5074"/>
    <mergeCell ref="C5044:D5044"/>
    <mergeCell ref="A5037:D5037"/>
    <mergeCell ref="C5039:D5039"/>
    <mergeCell ref="C5040:D5040"/>
    <mergeCell ref="C5006:D5006"/>
    <mergeCell ref="A5257:A5271"/>
    <mergeCell ref="A5274:A5288"/>
    <mergeCell ref="C5094:D5094"/>
    <mergeCell ref="A5105:D5105"/>
    <mergeCell ref="C5041:D5041"/>
    <mergeCell ref="C5042:D5042"/>
    <mergeCell ref="C5043:D5043"/>
    <mergeCell ref="C5028:D5028"/>
    <mergeCell ref="B5029:B5031"/>
    <mergeCell ref="C5011:D5011"/>
    <mergeCell ref="B5012:B5014"/>
    <mergeCell ref="C5045:D5045"/>
    <mergeCell ref="B5046:B5048"/>
    <mergeCell ref="A5020:D5020"/>
    <mergeCell ref="A4987:A5001"/>
    <mergeCell ref="A5003:D5003"/>
    <mergeCell ref="C5022:D5022"/>
    <mergeCell ref="C4837:D4837"/>
    <mergeCell ref="C4838:D4838"/>
    <mergeCell ref="A4834:A4848"/>
    <mergeCell ref="A4851:A4865"/>
    <mergeCell ref="A4868:A4882"/>
    <mergeCell ref="C4852:D4852"/>
    <mergeCell ref="C4853:D4853"/>
    <mergeCell ref="A4901:D4901"/>
    <mergeCell ref="C4872:D4872"/>
    <mergeCell ref="C4890:D4890"/>
    <mergeCell ref="C4891:D4891"/>
    <mergeCell ref="C4886:D4886"/>
    <mergeCell ref="C4887:D4887"/>
    <mergeCell ref="C4888:D4888"/>
    <mergeCell ref="C4889:D4889"/>
    <mergeCell ref="C4857:D4857"/>
    <mergeCell ref="C4858:D4858"/>
    <mergeCell ref="B4978:B4980"/>
    <mergeCell ref="A4969:D4969"/>
    <mergeCell ref="C4958:D4958"/>
    <mergeCell ref="C4977:D4977"/>
    <mergeCell ref="C4976:D4976"/>
    <mergeCell ref="C4904:D4904"/>
    <mergeCell ref="C4905:D4905"/>
    <mergeCell ref="C4875:D4875"/>
    <mergeCell ref="C4873:D4873"/>
    <mergeCell ref="C4874:D4874"/>
    <mergeCell ref="C4529:D4529"/>
    <mergeCell ref="C4530:D4530"/>
    <mergeCell ref="C4531:D4531"/>
    <mergeCell ref="C4532:D4532"/>
    <mergeCell ref="C4533:D4533"/>
    <mergeCell ref="C4534:D4534"/>
    <mergeCell ref="C4822:D4822"/>
    <mergeCell ref="C4807:D4807"/>
    <mergeCell ref="A4799:D4799"/>
    <mergeCell ref="A4816:D4816"/>
    <mergeCell ref="A4833:D4833"/>
    <mergeCell ref="A4782:D4782"/>
    <mergeCell ref="C4617:D4617"/>
    <mergeCell ref="C4823:D4823"/>
    <mergeCell ref="C4790:D4790"/>
    <mergeCell ref="C4789:D4789"/>
    <mergeCell ref="C4824:D4824"/>
    <mergeCell ref="C4839:D4839"/>
    <mergeCell ref="C4840:D4840"/>
    <mergeCell ref="C4854:D4854"/>
    <mergeCell ref="C4855:D4855"/>
    <mergeCell ref="C4870:D4870"/>
    <mergeCell ref="C4871:D4871"/>
    <mergeCell ref="C4717:D4717"/>
    <mergeCell ref="C4718:D4718"/>
    <mergeCell ref="C4721:D4721"/>
    <mergeCell ref="C4733:D4733"/>
    <mergeCell ref="C4734:D4734"/>
    <mergeCell ref="C4735:D4735"/>
    <mergeCell ref="C4736:D4736"/>
    <mergeCell ref="C4752:D4752"/>
    <mergeCell ref="C4753:D4753"/>
    <mergeCell ref="C4892:D4892"/>
    <mergeCell ref="C4907:D4907"/>
    <mergeCell ref="C4908:D4908"/>
    <mergeCell ref="C4903:D4903"/>
    <mergeCell ref="C4637:D4637"/>
    <mergeCell ref="C4583:D4583"/>
    <mergeCell ref="C4584:D4584"/>
    <mergeCell ref="A4681:A4695"/>
    <mergeCell ref="B4689:B4691"/>
    <mergeCell ref="B4655:B4657"/>
    <mergeCell ref="A4663:D4663"/>
    <mergeCell ref="A4680:D4680"/>
    <mergeCell ref="A4749:A4763"/>
    <mergeCell ref="B4757:B4759"/>
    <mergeCell ref="B4706:B4708"/>
    <mergeCell ref="C4805:D4805"/>
    <mergeCell ref="C4806:D4806"/>
    <mergeCell ref="C4820:D4820"/>
    <mergeCell ref="C4818:D4818"/>
    <mergeCell ref="C4448:D4448"/>
    <mergeCell ref="A4612:D4612"/>
    <mergeCell ref="A4596:A4610"/>
    <mergeCell ref="B4723:B4725"/>
    <mergeCell ref="A4715:A4729"/>
    <mergeCell ref="B4740:B4742"/>
    <mergeCell ref="A4732:A4746"/>
    <mergeCell ref="A4766:A4780"/>
    <mergeCell ref="B4791:B4793"/>
    <mergeCell ref="B4774:B4776"/>
    <mergeCell ref="A4731:D4731"/>
    <mergeCell ref="A4748:D4748"/>
    <mergeCell ref="B4808:B4810"/>
    <mergeCell ref="A4800:A4814"/>
    <mergeCell ref="C4943:D4943"/>
    <mergeCell ref="C4960:D4960"/>
    <mergeCell ref="C4959:D4959"/>
    <mergeCell ref="C5005:D5005"/>
    <mergeCell ref="C4906:D4906"/>
    <mergeCell ref="C4971:D4971"/>
    <mergeCell ref="C4972:D4972"/>
    <mergeCell ref="C4973:D4973"/>
    <mergeCell ref="C4974:D4974"/>
    <mergeCell ref="C4975:D4975"/>
    <mergeCell ref="C4869:D4869"/>
    <mergeCell ref="C4920:D4920"/>
    <mergeCell ref="A4918:D4918"/>
    <mergeCell ref="C4922:D4922"/>
    <mergeCell ref="C4923:D4923"/>
    <mergeCell ref="C4569:D4569"/>
    <mergeCell ref="A4460:A4474"/>
    <mergeCell ref="A4477:A4491"/>
    <mergeCell ref="C4450:D4450"/>
    <mergeCell ref="C4449:D4449"/>
    <mergeCell ref="B4468:B4470"/>
    <mergeCell ref="B4485:B4487"/>
    <mergeCell ref="B4502:B4504"/>
    <mergeCell ref="B4519:B4521"/>
    <mergeCell ref="C4516:D4516"/>
    <mergeCell ref="C4517:D4517"/>
    <mergeCell ref="B4621:B4623"/>
    <mergeCell ref="B4638:B4640"/>
    <mergeCell ref="A4630:A4644"/>
    <mergeCell ref="B4672:B4674"/>
    <mergeCell ref="C4671:D4671"/>
    <mergeCell ref="A4664:A4678"/>
    <mergeCell ref="A4647:A4661"/>
    <mergeCell ref="C4703:D4703"/>
    <mergeCell ref="A4697:D4697"/>
    <mergeCell ref="B4825:B4827"/>
    <mergeCell ref="C4308:D4308"/>
    <mergeCell ref="C4309:D4309"/>
    <mergeCell ref="C4310:D4310"/>
    <mergeCell ref="C4311:D4311"/>
    <mergeCell ref="A4290:A4304"/>
    <mergeCell ref="A4289:D4289"/>
    <mergeCell ref="C4158:D4158"/>
    <mergeCell ref="C4159:D4159"/>
    <mergeCell ref="C4347:D4347"/>
    <mergeCell ref="A4357:D4357"/>
    <mergeCell ref="C4348:D4348"/>
    <mergeCell ref="B4349:B4351"/>
    <mergeCell ref="C4399:D4399"/>
    <mergeCell ref="B4604:B4606"/>
    <mergeCell ref="A4595:D4595"/>
    <mergeCell ref="C4597:D4597"/>
    <mergeCell ref="A4579:A4593"/>
    <mergeCell ref="B4587:B4589"/>
    <mergeCell ref="C4585:D4585"/>
    <mergeCell ref="C4586:D4586"/>
    <mergeCell ref="C4580:D4580"/>
    <mergeCell ref="C4581:D4581"/>
    <mergeCell ref="C4313:D4313"/>
    <mergeCell ref="C4314:D4314"/>
    <mergeCell ref="B4315:B4317"/>
    <mergeCell ref="C4312:D4312"/>
    <mergeCell ref="A4306:D4306"/>
    <mergeCell ref="A4307:A4321"/>
    <mergeCell ref="B4230:B4232"/>
    <mergeCell ref="C4242:D4242"/>
    <mergeCell ref="C4361:D4361"/>
    <mergeCell ref="C4362:D4362"/>
    <mergeCell ref="B4332:B4334"/>
    <mergeCell ref="C4325:D4325"/>
    <mergeCell ref="C4326:D4326"/>
    <mergeCell ref="B4400:B4402"/>
    <mergeCell ref="C4412:D4412"/>
    <mergeCell ref="B4553:B4555"/>
    <mergeCell ref="C4567:D4567"/>
    <mergeCell ref="C4566:D4566"/>
    <mergeCell ref="A4545:A4559"/>
    <mergeCell ref="A4562:A4576"/>
    <mergeCell ref="C4568:D4568"/>
    <mergeCell ref="C4552:D4552"/>
    <mergeCell ref="C4497:D4497"/>
    <mergeCell ref="C4598:D4598"/>
    <mergeCell ref="C4599:D4599"/>
    <mergeCell ref="C4602:D4602"/>
    <mergeCell ref="C4603:D4603"/>
    <mergeCell ref="C4243:D4243"/>
    <mergeCell ref="C4244:D4244"/>
    <mergeCell ref="C4240:D4240"/>
    <mergeCell ref="C4241:D4241"/>
    <mergeCell ref="A4238:D4238"/>
    <mergeCell ref="A4239:A4253"/>
    <mergeCell ref="A4256:A4270"/>
    <mergeCell ref="A4222:A4236"/>
    <mergeCell ref="C4496:D4496"/>
    <mergeCell ref="C4501:D4501"/>
    <mergeCell ref="A4510:D4510"/>
    <mergeCell ref="A4527:D4527"/>
    <mergeCell ref="A4391:D4391"/>
    <mergeCell ref="A4408:D4408"/>
    <mergeCell ref="C4393:D4393"/>
    <mergeCell ref="A4817:A4831"/>
    <mergeCell ref="A4783:A4797"/>
    <mergeCell ref="A4714:D4714"/>
    <mergeCell ref="A4765:D4765"/>
    <mergeCell ref="C4701:D4701"/>
    <mergeCell ref="C4702:D4702"/>
    <mergeCell ref="C4684:D4684"/>
    <mergeCell ref="C4685:D4685"/>
    <mergeCell ref="C4686:D4686"/>
    <mergeCell ref="C4687:D4687"/>
    <mergeCell ref="C4699:D4699"/>
    <mergeCell ref="C4688:D4688"/>
    <mergeCell ref="C4700:D4700"/>
    <mergeCell ref="C4716:D4716"/>
    <mergeCell ref="C4722:D4722"/>
    <mergeCell ref="C4738:D4738"/>
    <mergeCell ref="C4739:D4739"/>
    <mergeCell ref="C4772:D4772"/>
    <mergeCell ref="C4767:D4767"/>
    <mergeCell ref="C4768:D4768"/>
    <mergeCell ref="C4769:D4769"/>
    <mergeCell ref="C4770:D4770"/>
    <mergeCell ref="C4771:D4771"/>
    <mergeCell ref="C4737:D4737"/>
    <mergeCell ref="C4819:D4819"/>
    <mergeCell ref="C4803:D4803"/>
    <mergeCell ref="C4804:D4804"/>
    <mergeCell ref="C4618:D4618"/>
    <mergeCell ref="C4600:D4600"/>
    <mergeCell ref="C4601:D4601"/>
    <mergeCell ref="C4649:D4649"/>
    <mergeCell ref="C4650:D4650"/>
    <mergeCell ref="C4619:D4619"/>
    <mergeCell ref="C4635:D4635"/>
    <mergeCell ref="C4636:D4636"/>
    <mergeCell ref="C4631:D4631"/>
    <mergeCell ref="C4632:D4632"/>
    <mergeCell ref="C4648:D4648"/>
    <mergeCell ref="C4651:D4651"/>
    <mergeCell ref="C4652:D4652"/>
    <mergeCell ref="C4654:D4654"/>
    <mergeCell ref="C4667:D4667"/>
    <mergeCell ref="C4668:D4668"/>
    <mergeCell ref="C4669:D4669"/>
    <mergeCell ref="C4670:D4670"/>
    <mergeCell ref="C4682:D4682"/>
    <mergeCell ref="C4750:D4750"/>
    <mergeCell ref="C4751:D4751"/>
    <mergeCell ref="C4754:D4754"/>
    <mergeCell ref="C4755:D4755"/>
    <mergeCell ref="C4784:D4784"/>
    <mergeCell ref="C4773:D4773"/>
    <mergeCell ref="C4787:D4787"/>
    <mergeCell ref="C4788:D4788"/>
    <mergeCell ref="C4801:D4801"/>
    <mergeCell ref="C4802:D4802"/>
    <mergeCell ref="C4821:D4821"/>
    <mergeCell ref="C4683:D4683"/>
    <mergeCell ref="C4653:D4653"/>
    <mergeCell ref="A4629:D4629"/>
    <mergeCell ref="A4646:D4646"/>
    <mergeCell ref="C4633:D4633"/>
    <mergeCell ref="C4634:D4634"/>
    <mergeCell ref="A4698:A4712"/>
    <mergeCell ref="C4394:D4394"/>
    <mergeCell ref="C4395:D4395"/>
    <mergeCell ref="C4396:D4396"/>
    <mergeCell ref="C4359:D4359"/>
    <mergeCell ref="C4360:D4360"/>
    <mergeCell ref="A4426:A4440"/>
    <mergeCell ref="C4427:D4427"/>
    <mergeCell ref="C4428:D4428"/>
    <mergeCell ref="A4425:D4425"/>
    <mergeCell ref="C4363:D4363"/>
    <mergeCell ref="C4416:D4416"/>
    <mergeCell ref="B4417:B4419"/>
    <mergeCell ref="A4409:A4423"/>
    <mergeCell ref="A4358:A4372"/>
    <mergeCell ref="A4375:A4389"/>
    <mergeCell ref="A4392:A4406"/>
    <mergeCell ref="C4397:D4397"/>
    <mergeCell ref="C4398:D4398"/>
    <mergeCell ref="C4365:D4365"/>
    <mergeCell ref="B4366:B4368"/>
    <mergeCell ref="C4364:D4364"/>
    <mergeCell ref="A4374:D4374"/>
    <mergeCell ref="C4376:D4376"/>
    <mergeCell ref="C4377:D4377"/>
    <mergeCell ref="C4378:D4378"/>
    <mergeCell ref="C4379:D4379"/>
    <mergeCell ref="C4546:D4546"/>
    <mergeCell ref="C4547:D4547"/>
    <mergeCell ref="C4478:D4478"/>
    <mergeCell ref="C4479:D4479"/>
    <mergeCell ref="C4480:D4480"/>
    <mergeCell ref="C4481:D4481"/>
    <mergeCell ref="C4535:D4535"/>
    <mergeCell ref="C4482:D4482"/>
    <mergeCell ref="C4483:D4483"/>
    <mergeCell ref="C4467:D4467"/>
    <mergeCell ref="A4476:D4476"/>
    <mergeCell ref="C4466:D4466"/>
    <mergeCell ref="C4382:D4382"/>
    <mergeCell ref="C4380:D4380"/>
    <mergeCell ref="C4381:D4381"/>
    <mergeCell ref="C4447:D4447"/>
    <mergeCell ref="C4430:D4430"/>
    <mergeCell ref="C4431:D4431"/>
    <mergeCell ref="C4433:D4433"/>
    <mergeCell ref="B4434:B4436"/>
    <mergeCell ref="C4410:D4410"/>
    <mergeCell ref="C4411:D4411"/>
    <mergeCell ref="C4429:D4429"/>
    <mergeCell ref="C4432:D4432"/>
    <mergeCell ref="C4444:D4444"/>
    <mergeCell ref="C4445:D4445"/>
    <mergeCell ref="C4446:D4446"/>
    <mergeCell ref="C4415:D4415"/>
    <mergeCell ref="C4413:D4413"/>
    <mergeCell ref="C4414:D4414"/>
    <mergeCell ref="C2026:D2026"/>
    <mergeCell ref="C2027:D2027"/>
    <mergeCell ref="B2028:B2030"/>
    <mergeCell ref="C2042:D2042"/>
    <mergeCell ref="C2009:D2009"/>
    <mergeCell ref="A2003:A2017"/>
    <mergeCell ref="C2004:D2004"/>
    <mergeCell ref="C2005:D2005"/>
    <mergeCell ref="C2008:D2008"/>
    <mergeCell ref="C2043:D2043"/>
    <mergeCell ref="A2036:D2036"/>
    <mergeCell ref="A2020:A2034"/>
    <mergeCell ref="A2037:A2051"/>
    <mergeCell ref="A2071:A2085"/>
    <mergeCell ref="A2105:A2117"/>
    <mergeCell ref="B2079:B2081"/>
    <mergeCell ref="A2811:A2825"/>
    <mergeCell ref="A2828:A2842"/>
    <mergeCell ref="A2827:D2827"/>
    <mergeCell ref="A2538:D2538"/>
    <mergeCell ref="C1943:D1943"/>
    <mergeCell ref="C1944:D1944"/>
    <mergeCell ref="B1945:B1947"/>
    <mergeCell ref="C2075:D2075"/>
    <mergeCell ref="C2172:D2172"/>
    <mergeCell ref="C2173:D2173"/>
    <mergeCell ref="A2087:D2087"/>
    <mergeCell ref="C2204:D2204"/>
    <mergeCell ref="C2205:D2205"/>
    <mergeCell ref="C2206:D2206"/>
    <mergeCell ref="A2286:A2300"/>
    <mergeCell ref="A2303:A2317"/>
    <mergeCell ref="A2203:A2217"/>
    <mergeCell ref="B2294:B2296"/>
    <mergeCell ref="A2220:A2234"/>
    <mergeCell ref="A2237:A2249"/>
    <mergeCell ref="A2252:A2266"/>
    <mergeCell ref="A2269:A2283"/>
    <mergeCell ref="C2208:D2208"/>
    <mergeCell ref="C2223:D2223"/>
    <mergeCell ref="C2209:D2209"/>
    <mergeCell ref="C2210:D2210"/>
    <mergeCell ref="C2224:D2224"/>
    <mergeCell ref="C2225:D2225"/>
    <mergeCell ref="C2226:D2226"/>
    <mergeCell ref="C2227:D2227"/>
    <mergeCell ref="A2219:D2219"/>
    <mergeCell ref="C2394:D2394"/>
    <mergeCell ref="C2395:D2395"/>
    <mergeCell ref="B2396:B2398"/>
    <mergeCell ref="C2412:D2412"/>
    <mergeCell ref="C2406:D2406"/>
    <mergeCell ref="C2407:D2407"/>
    <mergeCell ref="C2408:D2408"/>
    <mergeCell ref="C2409:D2409"/>
    <mergeCell ref="C2410:D2410"/>
    <mergeCell ref="C2411:D2411"/>
    <mergeCell ref="B2413:B2415"/>
    <mergeCell ref="A2421:D2421"/>
    <mergeCell ref="C2423:D2423"/>
    <mergeCell ref="C2424:D2424"/>
    <mergeCell ref="C2425:D2425"/>
    <mergeCell ref="C2426:D2426"/>
    <mergeCell ref="A2405:A2419"/>
    <mergeCell ref="A3236:A3250"/>
    <mergeCell ref="A3167:D3167"/>
    <mergeCell ref="C3292:D3292"/>
    <mergeCell ref="A3286:D3286"/>
    <mergeCell ref="A3287:A3301"/>
    <mergeCell ref="C3288:D3288"/>
    <mergeCell ref="C3289:D3289"/>
    <mergeCell ref="C3290:D3290"/>
    <mergeCell ref="C3291:D3291"/>
    <mergeCell ref="A3253:A3267"/>
    <mergeCell ref="A3252:D3252"/>
    <mergeCell ref="C3254:D3254"/>
    <mergeCell ref="C3255:D3255"/>
    <mergeCell ref="C3256:D3256"/>
    <mergeCell ref="C3257:D3257"/>
    <mergeCell ref="C3258:D3258"/>
    <mergeCell ref="A1971:A1985"/>
    <mergeCell ref="B1979:B1981"/>
    <mergeCell ref="C1959:D1959"/>
    <mergeCell ref="A1953:D1953"/>
    <mergeCell ref="C1955:D1955"/>
    <mergeCell ref="C1956:D1956"/>
    <mergeCell ref="C1957:D1957"/>
    <mergeCell ref="C1958:D1958"/>
    <mergeCell ref="A1970:D1970"/>
    <mergeCell ref="C1972:D1972"/>
    <mergeCell ref="C1973:D1973"/>
    <mergeCell ref="C1974:D1974"/>
    <mergeCell ref="C1975:D1975"/>
    <mergeCell ref="C1976:D1976"/>
    <mergeCell ref="C1977:D1977"/>
    <mergeCell ref="C1978:D1978"/>
    <mergeCell ref="C2059:D2059"/>
    <mergeCell ref="C2060:D2060"/>
    <mergeCell ref="B1962:B1964"/>
    <mergeCell ref="C2056:D2056"/>
    <mergeCell ref="C2057:D2057"/>
    <mergeCell ref="C2055:D2055"/>
    <mergeCell ref="C2044:D2044"/>
    <mergeCell ref="C2058:D2058"/>
    <mergeCell ref="C2528:D2528"/>
    <mergeCell ref="A2506:C2506"/>
    <mergeCell ref="A2507:A2519"/>
    <mergeCell ref="A2521:D2521"/>
    <mergeCell ref="C2523:D2523"/>
    <mergeCell ref="C2524:D2524"/>
    <mergeCell ref="C2525:D2525"/>
    <mergeCell ref="A1988:A2000"/>
    <mergeCell ref="C2006:D2006"/>
    <mergeCell ref="C2061:D2061"/>
    <mergeCell ref="B2062:B2064"/>
    <mergeCell ref="A2054:A2068"/>
    <mergeCell ref="B2045:B2047"/>
    <mergeCell ref="C2077:D2077"/>
    <mergeCell ref="C2076:D2076"/>
    <mergeCell ref="A2053:D2053"/>
    <mergeCell ref="C2089:D2089"/>
    <mergeCell ref="C2078:D2078"/>
    <mergeCell ref="A2070:D2070"/>
    <mergeCell ref="C2072:D2072"/>
    <mergeCell ref="C2073:D2073"/>
    <mergeCell ref="C2074:D2074"/>
    <mergeCell ref="C2090:D2090"/>
    <mergeCell ref="C2024:D2024"/>
    <mergeCell ref="C3904:D3904"/>
    <mergeCell ref="A3932:D3932"/>
    <mergeCell ref="C3853:D3853"/>
    <mergeCell ref="C3905:D3905"/>
    <mergeCell ref="C3598:D3598"/>
    <mergeCell ref="C3817:D3817"/>
    <mergeCell ref="C3328:D3328"/>
    <mergeCell ref="C3307:D3307"/>
    <mergeCell ref="C3308:D3308"/>
    <mergeCell ref="C3309:D3309"/>
    <mergeCell ref="C3343:D3343"/>
    <mergeCell ref="C3360:D3360"/>
    <mergeCell ref="C3356:D3356"/>
    <mergeCell ref="C3357:D3357"/>
    <mergeCell ref="C3361:D3361"/>
    <mergeCell ref="C3379:D3379"/>
    <mergeCell ref="C4225:D4225"/>
    <mergeCell ref="C4229:D4229"/>
    <mergeCell ref="C4226:D4226"/>
    <mergeCell ref="C3120:D3120"/>
    <mergeCell ref="C3121:D3121"/>
    <mergeCell ref="C3122:D3122"/>
    <mergeCell ref="C3123:D3123"/>
    <mergeCell ref="C3936:D3936"/>
    <mergeCell ref="C3937:D3937"/>
    <mergeCell ref="C3938:D3938"/>
    <mergeCell ref="C3906:D3906"/>
    <mergeCell ref="C3923:D3923"/>
    <mergeCell ref="C3900:D3900"/>
    <mergeCell ref="C3901:D3901"/>
    <mergeCell ref="C3972:D3972"/>
    <mergeCell ref="C3973:D3973"/>
    <mergeCell ref="C3954:D3954"/>
    <mergeCell ref="C3955:D3955"/>
    <mergeCell ref="C3940:D3940"/>
    <mergeCell ref="C3939:D3939"/>
    <mergeCell ref="C3951:D3951"/>
    <mergeCell ref="C3952:D3952"/>
    <mergeCell ref="C4022:D4022"/>
    <mergeCell ref="C4023:D4023"/>
    <mergeCell ref="C4042:D4042"/>
    <mergeCell ref="C4036:D4036"/>
    <mergeCell ref="C4037:D4037"/>
    <mergeCell ref="C4038:D4038"/>
    <mergeCell ref="C4039:D4039"/>
    <mergeCell ref="C4024:D4024"/>
    <mergeCell ref="C4019:D4019"/>
    <mergeCell ref="C3271:D3271"/>
    <mergeCell ref="C3260:D3260"/>
    <mergeCell ref="B3261:B3263"/>
    <mergeCell ref="B3244:B3246"/>
    <mergeCell ref="A3235:D3235"/>
    <mergeCell ref="C3259:D3259"/>
    <mergeCell ref="C3243:D3243"/>
    <mergeCell ref="B3227:B3229"/>
    <mergeCell ref="C3272:D3272"/>
    <mergeCell ref="C3273:D3273"/>
    <mergeCell ref="C3274:D3274"/>
    <mergeCell ref="C3275:D3275"/>
    <mergeCell ref="C3276:D3276"/>
    <mergeCell ref="A3270:A3284"/>
    <mergeCell ref="A3728:D3728"/>
    <mergeCell ref="C3732:D3732"/>
    <mergeCell ref="A3219:A3233"/>
    <mergeCell ref="A3694:D3694"/>
    <mergeCell ref="C3733:D3733"/>
    <mergeCell ref="A3779:D3779"/>
    <mergeCell ref="A3745:D3745"/>
    <mergeCell ref="B3771:B3773"/>
    <mergeCell ref="B3890:B3892"/>
    <mergeCell ref="B3907:B3909"/>
    <mergeCell ref="B3924:B3926"/>
    <mergeCell ref="A3915:D3915"/>
    <mergeCell ref="A3950:A3964"/>
    <mergeCell ref="A3949:D3949"/>
    <mergeCell ref="C4126:D4126"/>
    <mergeCell ref="C4090:D4090"/>
    <mergeCell ref="C4091:D4091"/>
    <mergeCell ref="A3780:A3794"/>
    <mergeCell ref="A3797:A3811"/>
    <mergeCell ref="A3610:A3624"/>
    <mergeCell ref="B3788:B3790"/>
    <mergeCell ref="B3805:B3807"/>
    <mergeCell ref="C3715:D3715"/>
    <mergeCell ref="B3703:B3705"/>
    <mergeCell ref="A3796:D3796"/>
    <mergeCell ref="A3813:D3813"/>
    <mergeCell ref="A4034:D4034"/>
    <mergeCell ref="A4051:D4051"/>
    <mergeCell ref="C3869:D3869"/>
    <mergeCell ref="C3870:D3870"/>
    <mergeCell ref="A3865:A3879"/>
    <mergeCell ref="C3887:D3887"/>
    <mergeCell ref="C3872:D3872"/>
    <mergeCell ref="A3881:D3881"/>
    <mergeCell ref="C3866:D3866"/>
    <mergeCell ref="C3867:D3867"/>
    <mergeCell ref="C3868:D3868"/>
    <mergeCell ref="A3864:D3864"/>
    <mergeCell ref="A3882:A3896"/>
    <mergeCell ref="A3898:D3898"/>
    <mergeCell ref="C3902:D3902"/>
    <mergeCell ref="C3922:D3922"/>
    <mergeCell ref="C3917:D3917"/>
    <mergeCell ref="C3918:D3918"/>
    <mergeCell ref="C3919:D3919"/>
    <mergeCell ref="C3920:D3920"/>
    <mergeCell ref="C3921:D3921"/>
    <mergeCell ref="C3701:D3701"/>
    <mergeCell ref="C3716:D3716"/>
    <mergeCell ref="C4121:D4121"/>
    <mergeCell ref="C4122:D4122"/>
    <mergeCell ref="C4123:D4123"/>
    <mergeCell ref="C3989:D3989"/>
    <mergeCell ref="C3990:D3990"/>
    <mergeCell ref="C4003:D4003"/>
    <mergeCell ref="C3971:D3971"/>
    <mergeCell ref="C3974:D3974"/>
    <mergeCell ref="C4004:D4004"/>
    <mergeCell ref="C4005:D4005"/>
    <mergeCell ref="C4007:D4007"/>
    <mergeCell ref="C4008:D4008"/>
    <mergeCell ref="C3820:D3820"/>
    <mergeCell ref="C3832:D3832"/>
    <mergeCell ref="C3833:D3833"/>
    <mergeCell ref="C3834:D3834"/>
    <mergeCell ref="A3678:A3692"/>
    <mergeCell ref="C3903:D3903"/>
    <mergeCell ref="C4139:D4139"/>
    <mergeCell ref="C4140:D4140"/>
    <mergeCell ref="C4144:D4144"/>
    <mergeCell ref="B4145:B4147"/>
    <mergeCell ref="C4157:D4157"/>
    <mergeCell ref="C4155:D4155"/>
    <mergeCell ref="C4156:D4156"/>
    <mergeCell ref="C4075:D4075"/>
    <mergeCell ref="C4076:D4076"/>
    <mergeCell ref="C4127:D4127"/>
    <mergeCell ref="C4072:D4072"/>
    <mergeCell ref="C4073:D4073"/>
    <mergeCell ref="B1658:B1660"/>
    <mergeCell ref="A1650:A1664"/>
    <mergeCell ref="A1667:A1681"/>
    <mergeCell ref="C1687:D1687"/>
    <mergeCell ref="C1688:D1688"/>
    <mergeCell ref="C1770:D1770"/>
    <mergeCell ref="A1768:D1768"/>
    <mergeCell ref="B1777:B1779"/>
    <mergeCell ref="A1785:D1785"/>
    <mergeCell ref="A1769:A1783"/>
    <mergeCell ref="C1771:D1771"/>
    <mergeCell ref="C1772:D1772"/>
    <mergeCell ref="C1773:D1773"/>
    <mergeCell ref="C1776:D1776"/>
    <mergeCell ref="C1909:D1909"/>
    <mergeCell ref="C1910:D1910"/>
    <mergeCell ref="B1911:B1913"/>
    <mergeCell ref="A1919:D1919"/>
    <mergeCell ref="C1921:D1921"/>
    <mergeCell ref="A1871:A1883"/>
    <mergeCell ref="A1886:A1900"/>
    <mergeCell ref="A1903:A1917"/>
    <mergeCell ref="C1843:D1843"/>
    <mergeCell ref="B1845:B1847"/>
    <mergeCell ref="A1853:D1853"/>
    <mergeCell ref="C1855:D1855"/>
    <mergeCell ref="B1894:B1896"/>
    <mergeCell ref="A1902:D1902"/>
    <mergeCell ref="C1904:D1904"/>
    <mergeCell ref="C1905:D1905"/>
    <mergeCell ref="C1906:D1906"/>
    <mergeCell ref="C1907:D1907"/>
    <mergeCell ref="C1908:D1908"/>
    <mergeCell ref="B1709:B1711"/>
    <mergeCell ref="A1700:D1700"/>
    <mergeCell ref="C1702:D1702"/>
    <mergeCell ref="C1703:D1703"/>
    <mergeCell ref="B1726:B1728"/>
    <mergeCell ref="A1734:D1734"/>
    <mergeCell ref="C1736:D1736"/>
    <mergeCell ref="C1737:D1737"/>
    <mergeCell ref="A1684:A1698"/>
    <mergeCell ref="B1692:B1694"/>
    <mergeCell ref="A1683:D1683"/>
    <mergeCell ref="C1689:D1689"/>
    <mergeCell ref="C1690:D1690"/>
    <mergeCell ref="C1705:D1705"/>
    <mergeCell ref="C1706:D1706"/>
    <mergeCell ref="C1707:D1707"/>
    <mergeCell ref="C1708:D1708"/>
    <mergeCell ref="A1701:A1715"/>
    <mergeCell ref="A1718:A1732"/>
    <mergeCell ref="A1014:A1028"/>
    <mergeCell ref="A1031:A1043"/>
    <mergeCell ref="A1046:A1060"/>
    <mergeCell ref="A1063:A1077"/>
    <mergeCell ref="C1182:D1182"/>
    <mergeCell ref="C1183:D1183"/>
    <mergeCell ref="C1184:D1184"/>
    <mergeCell ref="C1185:D1185"/>
    <mergeCell ref="C1115:D1115"/>
    <mergeCell ref="C1116:D1116"/>
    <mergeCell ref="A1114:A1128"/>
    <mergeCell ref="A1131:A1145"/>
    <mergeCell ref="A1148:A1160"/>
    <mergeCell ref="A1163:A1177"/>
    <mergeCell ref="B1122:B1124"/>
    <mergeCell ref="A1130:D1130"/>
    <mergeCell ref="B1171:B1173"/>
    <mergeCell ref="A1162:D1162"/>
    <mergeCell ref="C1081:D1081"/>
    <mergeCell ref="C1047:D1047"/>
    <mergeCell ref="C869:D869"/>
    <mergeCell ref="C1200:D1200"/>
    <mergeCell ref="C1186:D1186"/>
    <mergeCell ref="C1187:D1187"/>
    <mergeCell ref="C1102:D1102"/>
    <mergeCell ref="C1098:D1098"/>
    <mergeCell ref="C1101:D1101"/>
    <mergeCell ref="B1541:B1543"/>
    <mergeCell ref="C1553:D1553"/>
    <mergeCell ref="C1554:D1554"/>
    <mergeCell ref="A1533:A1547"/>
    <mergeCell ref="A1516:A1530"/>
    <mergeCell ref="A1515:D1515"/>
    <mergeCell ref="A1549:D1549"/>
    <mergeCell ref="C1540:D1540"/>
    <mergeCell ref="C1538:D1538"/>
    <mergeCell ref="C1503:D1503"/>
    <mergeCell ref="C1504:D1504"/>
    <mergeCell ref="C1268:D1268"/>
    <mergeCell ref="C1269:D1269"/>
    <mergeCell ref="C1270:D1270"/>
    <mergeCell ref="C1271:D1271"/>
    <mergeCell ref="C1332:D1332"/>
    <mergeCell ref="C1333:D1333"/>
    <mergeCell ref="A1347:D1347"/>
    <mergeCell ref="C1349:D1349"/>
    <mergeCell ref="C1337:D1337"/>
    <mergeCell ref="C1338:D1338"/>
    <mergeCell ref="C1434:D1434"/>
    <mergeCell ref="C1451:D1451"/>
    <mergeCell ref="C1368:D1368"/>
    <mergeCell ref="C1369:D1369"/>
    <mergeCell ref="B1439:B1441"/>
    <mergeCell ref="C1449:D1449"/>
    <mergeCell ref="C1450:D1450"/>
    <mergeCell ref="C1436:D1436"/>
    <mergeCell ref="C1437:D1437"/>
    <mergeCell ref="C1468:D1468"/>
    <mergeCell ref="C1469:D1469"/>
    <mergeCell ref="C1470:D1470"/>
    <mergeCell ref="C1471:D1471"/>
    <mergeCell ref="C1432:D1432"/>
    <mergeCell ref="C1433:D1433"/>
    <mergeCell ref="A1430:D1430"/>
    <mergeCell ref="A1582:A1596"/>
    <mergeCell ref="A1599:A1613"/>
    <mergeCell ref="A1717:D1717"/>
    <mergeCell ref="C1719:D1719"/>
    <mergeCell ref="C1720:D1720"/>
    <mergeCell ref="C1721:D1721"/>
    <mergeCell ref="C1722:D1722"/>
    <mergeCell ref="C1723:D1723"/>
    <mergeCell ref="C1671:D1671"/>
    <mergeCell ref="C1672:D1672"/>
    <mergeCell ref="C1674:D1674"/>
    <mergeCell ref="B1675:B1677"/>
    <mergeCell ref="A1666:D1666"/>
    <mergeCell ref="C1668:D1668"/>
    <mergeCell ref="C2176:D2176"/>
    <mergeCell ref="B2177:B2179"/>
    <mergeCell ref="A2168:D2168"/>
    <mergeCell ref="A2152:A2166"/>
    <mergeCell ref="A2169:A2183"/>
    <mergeCell ref="C2783:D2783"/>
    <mergeCell ref="A2793:D2793"/>
    <mergeCell ref="C3154:D3154"/>
    <mergeCell ref="C3155:D3155"/>
    <mergeCell ref="C2780:D2780"/>
    <mergeCell ref="C2781:D2781"/>
    <mergeCell ref="C2782:D2782"/>
    <mergeCell ref="A2776:D2776"/>
    <mergeCell ref="A2777:A2791"/>
    <mergeCell ref="C2174:D2174"/>
    <mergeCell ref="C2175:D2175"/>
    <mergeCell ref="A2088:A2102"/>
    <mergeCell ref="A2120:A2132"/>
    <mergeCell ref="A2135:A2149"/>
    <mergeCell ref="C2193:D2193"/>
    <mergeCell ref="B2194:B2196"/>
    <mergeCell ref="A2236:C2236"/>
    <mergeCell ref="A2251:D2251"/>
    <mergeCell ref="C2253:D2253"/>
    <mergeCell ref="C2254:D2254"/>
    <mergeCell ref="C2292:D2292"/>
    <mergeCell ref="C2293:D2293"/>
    <mergeCell ref="A2302:D2302"/>
    <mergeCell ref="C2287:D2287"/>
    <mergeCell ref="C2255:D2255"/>
    <mergeCell ref="C2256:D2256"/>
    <mergeCell ref="C2257:D2257"/>
    <mergeCell ref="B2853:B2855"/>
    <mergeCell ref="C1939:D1939"/>
    <mergeCell ref="C1940:D1940"/>
    <mergeCell ref="C1941:D1941"/>
    <mergeCell ref="C1942:D1942"/>
    <mergeCell ref="C2007:D2007"/>
    <mergeCell ref="C2010:D2010"/>
    <mergeCell ref="A2002:D2002"/>
    <mergeCell ref="C2038:D2038"/>
    <mergeCell ref="C2039:D2039"/>
    <mergeCell ref="B2011:B2013"/>
    <mergeCell ref="A2019:D2019"/>
    <mergeCell ref="C2025:D2025"/>
    <mergeCell ref="C2021:D2021"/>
    <mergeCell ref="C2022:D2022"/>
    <mergeCell ref="C2023:D2023"/>
    <mergeCell ref="C2040:D2040"/>
    <mergeCell ref="C2041:D2041"/>
    <mergeCell ref="A1616:A1630"/>
    <mergeCell ref="A1633:A1647"/>
    <mergeCell ref="A1567:A1579"/>
    <mergeCell ref="C1505:D1505"/>
    <mergeCell ref="C1506:D1506"/>
    <mergeCell ref="B1507:B1509"/>
    <mergeCell ref="C934:D934"/>
    <mergeCell ref="C935:D935"/>
    <mergeCell ref="C1402:D1402"/>
    <mergeCell ref="C1403:D1403"/>
    <mergeCell ref="A1413:D1413"/>
    <mergeCell ref="C1489:D1489"/>
    <mergeCell ref="C1502:D1502"/>
    <mergeCell ref="A1499:A1513"/>
    <mergeCell ref="A1581:D1581"/>
    <mergeCell ref="C1583:D1583"/>
    <mergeCell ref="C1584:D1584"/>
    <mergeCell ref="C1585:D1585"/>
    <mergeCell ref="C1586:D1586"/>
    <mergeCell ref="C1523:D1523"/>
    <mergeCell ref="C1534:D1534"/>
    <mergeCell ref="B1524:B1526"/>
    <mergeCell ref="A1532:D1532"/>
    <mergeCell ref="A1566:C1566"/>
    <mergeCell ref="A1550:A1564"/>
    <mergeCell ref="B1558:B1560"/>
    <mergeCell ref="B2904:B2906"/>
    <mergeCell ref="C2920:D2920"/>
    <mergeCell ref="C2919:D2919"/>
    <mergeCell ref="C2914:D2914"/>
    <mergeCell ref="C2915:D2915"/>
    <mergeCell ref="C2916:D2916"/>
    <mergeCell ref="C2917:D2917"/>
    <mergeCell ref="C2918:D2918"/>
    <mergeCell ref="C2850:D2850"/>
    <mergeCell ref="C2851:D2851"/>
    <mergeCell ref="A2861:D2861"/>
    <mergeCell ref="C2863:D2863"/>
    <mergeCell ref="C2864:D2864"/>
    <mergeCell ref="C2865:D2865"/>
    <mergeCell ref="A2845:A2859"/>
    <mergeCell ref="C2867:D2867"/>
    <mergeCell ref="C2852:D2852"/>
    <mergeCell ref="C2846:D2846"/>
    <mergeCell ref="C2847:D2847"/>
    <mergeCell ref="C2848:D2848"/>
    <mergeCell ref="C2849:D2849"/>
    <mergeCell ref="C2866:D2866"/>
    <mergeCell ref="C2882:D2882"/>
    <mergeCell ref="C2883:D2883"/>
    <mergeCell ref="C2884:D2884"/>
    <mergeCell ref="C2885:D2885"/>
    <mergeCell ref="A2879:A2893"/>
    <mergeCell ref="A2896:A2910"/>
    <mergeCell ref="A2895:D2895"/>
    <mergeCell ref="C2902:D2902"/>
    <mergeCell ref="C2903:D2903"/>
    <mergeCell ref="A2912:D2912"/>
    <mergeCell ref="A2862:A2876"/>
    <mergeCell ref="A2913:A2927"/>
    <mergeCell ref="B2887:B2889"/>
    <mergeCell ref="C2813:D2813"/>
    <mergeCell ref="C1500:D1500"/>
    <mergeCell ref="C1501:D1501"/>
    <mergeCell ref="B1071:B1073"/>
    <mergeCell ref="A1079:D1079"/>
    <mergeCell ref="C1082:D1082"/>
    <mergeCell ref="C1083:D1083"/>
    <mergeCell ref="C1084:D1084"/>
    <mergeCell ref="C1085:D1085"/>
    <mergeCell ref="C1086:D1086"/>
    <mergeCell ref="C1087:D1087"/>
    <mergeCell ref="C1103:D1103"/>
    <mergeCell ref="C1104:D1104"/>
    <mergeCell ref="C1170:D1170"/>
    <mergeCell ref="C1181:D1181"/>
    <mergeCell ref="C1604:D1604"/>
    <mergeCell ref="C1617:D1617"/>
    <mergeCell ref="C1606:D1606"/>
    <mergeCell ref="C1605:D1605"/>
    <mergeCell ref="C1618:D1618"/>
    <mergeCell ref="C1619:D1619"/>
    <mergeCell ref="C1620:D1620"/>
    <mergeCell ref="C1621:D1621"/>
    <mergeCell ref="C1657:D1657"/>
    <mergeCell ref="C1652:D1652"/>
    <mergeCell ref="C1653:D1653"/>
    <mergeCell ref="C1654:D1654"/>
    <mergeCell ref="C1655:D1655"/>
    <mergeCell ref="C1656:D1656"/>
    <mergeCell ref="C1603:D1603"/>
    <mergeCell ref="C1589:D1589"/>
    <mergeCell ref="B1590:B1592"/>
    <mergeCell ref="C1587:D1587"/>
    <mergeCell ref="C1588:D1588"/>
    <mergeCell ref="C1600:D1600"/>
    <mergeCell ref="C1601:D1601"/>
    <mergeCell ref="C1602:D1602"/>
    <mergeCell ref="B1607:B1609"/>
    <mergeCell ref="A1615:D1615"/>
    <mergeCell ref="A1598:D1598"/>
    <mergeCell ref="C1556:D1556"/>
    <mergeCell ref="C1557:D1557"/>
    <mergeCell ref="C1551:D1551"/>
    <mergeCell ref="C1552:D1552"/>
    <mergeCell ref="C1535:D1535"/>
    <mergeCell ref="C1522:D1522"/>
    <mergeCell ref="C1521:D1521"/>
    <mergeCell ref="C1536:D1536"/>
    <mergeCell ref="C1537:D1537"/>
    <mergeCell ref="C1539:D1539"/>
    <mergeCell ref="C1555:D1555"/>
    <mergeCell ref="A1080:A1094"/>
    <mergeCell ref="B1105:B1107"/>
    <mergeCell ref="C1517:D1517"/>
    <mergeCell ref="C1518:D1518"/>
    <mergeCell ref="C1519:D1519"/>
    <mergeCell ref="C1520:D1520"/>
    <mergeCell ref="A1213:D1213"/>
    <mergeCell ref="B1473:B1475"/>
    <mergeCell ref="C1472:D1472"/>
    <mergeCell ref="C1487:D1487"/>
    <mergeCell ref="C1488:D1488"/>
    <mergeCell ref="C1485:D1485"/>
    <mergeCell ref="C1483:D1483"/>
    <mergeCell ref="C1484:D1484"/>
    <mergeCell ref="C1486:D1486"/>
    <mergeCell ref="A1481:D1481"/>
    <mergeCell ref="C1774:D1774"/>
    <mergeCell ref="C1775:D1775"/>
    <mergeCell ref="C1755:D1755"/>
    <mergeCell ref="C1756:D1756"/>
    <mergeCell ref="C1757:D1757"/>
    <mergeCell ref="B4043:B4045"/>
    <mergeCell ref="B4060:B4062"/>
    <mergeCell ref="B3873:B3875"/>
    <mergeCell ref="B3856:B3858"/>
    <mergeCell ref="C4058:D4058"/>
    <mergeCell ref="C4059:D4059"/>
    <mergeCell ref="A4068:D4068"/>
    <mergeCell ref="C4108:D4108"/>
    <mergeCell ref="A4102:D4102"/>
    <mergeCell ref="C4104:D4104"/>
    <mergeCell ref="C4105:D4105"/>
    <mergeCell ref="C4106:D4106"/>
    <mergeCell ref="C4107:D4107"/>
    <mergeCell ref="B4077:B4079"/>
    <mergeCell ref="C4093:D4093"/>
    <mergeCell ref="B4094:B4096"/>
    <mergeCell ref="C4070:D4070"/>
    <mergeCell ref="C4071:D4071"/>
    <mergeCell ref="C4109:D4109"/>
    <mergeCell ref="A4085:D4085"/>
    <mergeCell ref="C4092:D4092"/>
    <mergeCell ref="A4035:A4049"/>
    <mergeCell ref="A3899:A3913"/>
    <mergeCell ref="A3304:A3318"/>
    <mergeCell ref="A3525:A3539"/>
    <mergeCell ref="A3508:A3522"/>
    <mergeCell ref="A3338:A3352"/>
    <mergeCell ref="A4120:A4134"/>
    <mergeCell ref="C3854:D3854"/>
    <mergeCell ref="C3889:D3889"/>
    <mergeCell ref="C3953:D3953"/>
    <mergeCell ref="C3956:D3956"/>
    <mergeCell ref="C3968:D3968"/>
    <mergeCell ref="C3969:D3969"/>
    <mergeCell ref="C3970:D3970"/>
    <mergeCell ref="C3614:D3614"/>
    <mergeCell ref="C3611:D3611"/>
    <mergeCell ref="C3615:D3615"/>
    <mergeCell ref="C3632:D3632"/>
    <mergeCell ref="C3633:D3633"/>
    <mergeCell ref="C3600:D3600"/>
    <mergeCell ref="C3617:D3617"/>
    <mergeCell ref="C3599:D3599"/>
    <mergeCell ref="C3634:D3634"/>
    <mergeCell ref="A4000:D4000"/>
    <mergeCell ref="A3983:D3983"/>
    <mergeCell ref="A3916:A3930"/>
    <mergeCell ref="A3933:A3947"/>
    <mergeCell ref="A3966:D3966"/>
    <mergeCell ref="A4017:D4017"/>
    <mergeCell ref="A3337:D3337"/>
    <mergeCell ref="B3329:B3331"/>
    <mergeCell ref="A3321:A3335"/>
    <mergeCell ref="A3320:D3320"/>
    <mergeCell ref="B3363:B3365"/>
    <mergeCell ref="A3354:D3354"/>
    <mergeCell ref="A3371:D3371"/>
    <mergeCell ref="A3423:A3437"/>
    <mergeCell ref="A3440:A3454"/>
    <mergeCell ref="A4273:A4287"/>
    <mergeCell ref="A3117:A3131"/>
    <mergeCell ref="A3185:A3199"/>
    <mergeCell ref="A3542:A3556"/>
    <mergeCell ref="A3967:A3981"/>
    <mergeCell ref="A3984:A3998"/>
    <mergeCell ref="A4001:A4015"/>
    <mergeCell ref="A4018:A4032"/>
    <mergeCell ref="A4069:A4083"/>
    <mergeCell ref="A4052:A4066"/>
    <mergeCell ref="A4086:A4100"/>
    <mergeCell ref="A4103:A4117"/>
    <mergeCell ref="A3729:A3743"/>
    <mergeCell ref="A3746:A3760"/>
    <mergeCell ref="B3618:B3620"/>
    <mergeCell ref="B3601:B3603"/>
    <mergeCell ref="B3312:B3314"/>
    <mergeCell ref="B3533:B3535"/>
    <mergeCell ref="B3550:B3552"/>
    <mergeCell ref="B3346:B3348"/>
    <mergeCell ref="A3763:A3777"/>
    <mergeCell ref="A3814:A3828"/>
    <mergeCell ref="A3831:A3845"/>
    <mergeCell ref="A3848:A3862"/>
    <mergeCell ref="C4124:D4124"/>
    <mergeCell ref="C4125:D4125"/>
    <mergeCell ref="C4280:D4280"/>
    <mergeCell ref="B4281:B4283"/>
    <mergeCell ref="C4279:D4279"/>
    <mergeCell ref="C4110:D4110"/>
    <mergeCell ref="B4111:B4113"/>
    <mergeCell ref="A4119:D4119"/>
    <mergeCell ref="A4136:D4136"/>
    <mergeCell ref="B3992:B3994"/>
    <mergeCell ref="B4009:B4011"/>
    <mergeCell ref="B4026:B4028"/>
    <mergeCell ref="C3957:D3957"/>
    <mergeCell ref="C4006:D4006"/>
    <mergeCell ref="C3888:D3888"/>
    <mergeCell ref="C3855:D3855"/>
    <mergeCell ref="C3871:D3871"/>
    <mergeCell ref="C3883:D3883"/>
    <mergeCell ref="C3884:D3884"/>
    <mergeCell ref="C3885:D3885"/>
    <mergeCell ref="C3886:D3886"/>
    <mergeCell ref="C3310:D3310"/>
    <mergeCell ref="C3322:D3322"/>
    <mergeCell ref="C3311:D3311"/>
    <mergeCell ref="C3325:D3325"/>
    <mergeCell ref="C3326:D3326"/>
    <mergeCell ref="C3305:D3305"/>
    <mergeCell ref="C3306:D3306"/>
    <mergeCell ref="A3388:D3388"/>
    <mergeCell ref="A3422:D3422"/>
    <mergeCell ref="A3405:D3405"/>
    <mergeCell ref="A3439:D3439"/>
    <mergeCell ref="A3456:D3456"/>
    <mergeCell ref="C3344:D3344"/>
    <mergeCell ref="C3358:D3358"/>
    <mergeCell ref="C3359:D3359"/>
    <mergeCell ref="A3473:D3473"/>
    <mergeCell ref="A3490:D3490"/>
    <mergeCell ref="B3380:B3382"/>
    <mergeCell ref="A3372:A3386"/>
    <mergeCell ref="C1889:D1889"/>
    <mergeCell ref="C1890:D1890"/>
    <mergeCell ref="C1841:D1841"/>
    <mergeCell ref="C1842:D1842"/>
    <mergeCell ref="C1893:D1893"/>
    <mergeCell ref="C1859:D1859"/>
    <mergeCell ref="C1860:D1860"/>
    <mergeCell ref="C1861:D1861"/>
    <mergeCell ref="A1854:A1868"/>
    <mergeCell ref="C3985:D3985"/>
    <mergeCell ref="C3986:D3986"/>
    <mergeCell ref="B3958:B3960"/>
    <mergeCell ref="B3975:B3977"/>
    <mergeCell ref="C3935:D3935"/>
    <mergeCell ref="B3941:B3943"/>
    <mergeCell ref="C3934:D3934"/>
    <mergeCell ref="C2982:D2982"/>
    <mergeCell ref="C2983:D2983"/>
    <mergeCell ref="C2984:D2984"/>
    <mergeCell ref="C2985:D2985"/>
    <mergeCell ref="B2955:B2957"/>
    <mergeCell ref="B2972:B2974"/>
    <mergeCell ref="B2921:B2923"/>
    <mergeCell ref="C2933:D2933"/>
    <mergeCell ref="C2934:D2934"/>
    <mergeCell ref="C2935:D2935"/>
    <mergeCell ref="C2986:D2986"/>
    <mergeCell ref="C2987:D2987"/>
    <mergeCell ref="B2989:B2991"/>
    <mergeCell ref="A2930:A2944"/>
    <mergeCell ref="A2946:D2946"/>
    <mergeCell ref="A3014:D3014"/>
    <mergeCell ref="A2929:D2929"/>
    <mergeCell ref="C2969:D2969"/>
    <mergeCell ref="C2970:D2970"/>
    <mergeCell ref="B3006:B3008"/>
    <mergeCell ref="A2947:A2961"/>
    <mergeCell ref="A2998:A3012"/>
    <mergeCell ref="C2833:D2833"/>
    <mergeCell ref="C2818:D2818"/>
    <mergeCell ref="A2997:D2997"/>
    <mergeCell ref="C3005:D3005"/>
    <mergeCell ref="C3004:D3004"/>
    <mergeCell ref="B2819:B2821"/>
    <mergeCell ref="C3068:D3068"/>
    <mergeCell ref="C3069:D3069"/>
    <mergeCell ref="C3085:D3085"/>
    <mergeCell ref="C3086:D3086"/>
    <mergeCell ref="C3038:D3038"/>
    <mergeCell ref="C3039:D3039"/>
    <mergeCell ref="C3054:D3054"/>
    <mergeCell ref="C3055:D3055"/>
    <mergeCell ref="C3067:D3067"/>
    <mergeCell ref="B3108:B3110"/>
    <mergeCell ref="A3100:A3114"/>
    <mergeCell ref="C2971:D2971"/>
    <mergeCell ref="A2980:D2980"/>
    <mergeCell ref="B3125:B3127"/>
    <mergeCell ref="A3133:D3133"/>
    <mergeCell ref="B3159:B3161"/>
    <mergeCell ref="C3102:D3102"/>
    <mergeCell ref="C3103:D3103"/>
    <mergeCell ref="B3142:B3144"/>
    <mergeCell ref="A3150:D3150"/>
    <mergeCell ref="C1753:D1753"/>
    <mergeCell ref="C1754:D1754"/>
    <mergeCell ref="A1752:A1766"/>
    <mergeCell ref="B1794:B1796"/>
    <mergeCell ref="A1786:A1800"/>
    <mergeCell ref="C1792:D1792"/>
    <mergeCell ref="C1793:D1793"/>
    <mergeCell ref="C1791:D1791"/>
    <mergeCell ref="A1837:A1851"/>
    <mergeCell ref="B1862:B1864"/>
    <mergeCell ref="C1787:D1787"/>
    <mergeCell ref="C1788:D1788"/>
    <mergeCell ref="A1820:A1834"/>
    <mergeCell ref="C1838:D1838"/>
    <mergeCell ref="C1839:D1839"/>
    <mergeCell ref="C1840:D1840"/>
    <mergeCell ref="C1844:D1844"/>
    <mergeCell ref="C2931:D2931"/>
    <mergeCell ref="C2932:D2932"/>
    <mergeCell ref="B2938:B2940"/>
    <mergeCell ref="C2937:D2937"/>
    <mergeCell ref="C2953:D2953"/>
    <mergeCell ref="C2948:D2948"/>
    <mergeCell ref="C2949:D2949"/>
    <mergeCell ref="C2950:D2950"/>
    <mergeCell ref="C2951:D2951"/>
    <mergeCell ref="C2897:D2897"/>
    <mergeCell ref="C2898:D2898"/>
    <mergeCell ref="C2899:D2899"/>
    <mergeCell ref="C2900:D2900"/>
    <mergeCell ref="C2886:D2886"/>
    <mergeCell ref="C2901:D2901"/>
    <mergeCell ref="C2360:D2360"/>
    <mergeCell ref="C2361:D2361"/>
    <mergeCell ref="B2362:B2364"/>
    <mergeCell ref="A2370:D2370"/>
    <mergeCell ref="C2372:D2372"/>
    <mergeCell ref="C2373:D2373"/>
    <mergeCell ref="C2374:D2374"/>
    <mergeCell ref="A2354:A2368"/>
    <mergeCell ref="C2309:D2309"/>
    <mergeCell ref="B2430:B2432"/>
    <mergeCell ref="A2438:D2438"/>
    <mergeCell ref="C2392:D2392"/>
    <mergeCell ref="C2393:D2393"/>
    <mergeCell ref="A2439:A2453"/>
    <mergeCell ref="A2422:A2436"/>
    <mergeCell ref="C2427:D2427"/>
    <mergeCell ref="C2428:D2428"/>
    <mergeCell ref="C2429:D2429"/>
    <mergeCell ref="C2273:D2273"/>
    <mergeCell ref="C2274:D2274"/>
    <mergeCell ref="C2344:D2344"/>
    <mergeCell ref="C2159:D2159"/>
    <mergeCell ref="C2221:D2221"/>
    <mergeCell ref="C2222:D2222"/>
    <mergeCell ref="C2259:D2259"/>
    <mergeCell ref="C2271:D2271"/>
    <mergeCell ref="C2272:D2272"/>
    <mergeCell ref="C2480:D2480"/>
    <mergeCell ref="B2481:B2483"/>
    <mergeCell ref="A2489:D2489"/>
    <mergeCell ref="C2491:D2491"/>
    <mergeCell ref="C2880:D2880"/>
    <mergeCell ref="C3850:D3850"/>
    <mergeCell ref="C3851:D3851"/>
    <mergeCell ref="C3852:D3852"/>
    <mergeCell ref="C3838:D3838"/>
    <mergeCell ref="C4040:D4040"/>
    <mergeCell ref="C4041:D4041"/>
    <mergeCell ref="C3991:D3991"/>
    <mergeCell ref="C4002:D4002"/>
    <mergeCell ref="C4020:D4020"/>
    <mergeCell ref="C4021:D4021"/>
    <mergeCell ref="C4025:D4025"/>
    <mergeCell ref="C3987:D3987"/>
    <mergeCell ref="C3988:D3988"/>
    <mergeCell ref="B2836:B2838"/>
    <mergeCell ref="B3465:B3467"/>
    <mergeCell ref="C3770:D3770"/>
    <mergeCell ref="C3787:D3787"/>
    <mergeCell ref="C3781:D3781"/>
    <mergeCell ref="C3786:D3786"/>
    <mergeCell ref="C3769:D3769"/>
    <mergeCell ref="C3804:D3804"/>
    <mergeCell ref="C3752:D3752"/>
    <mergeCell ref="C3753:D3753"/>
    <mergeCell ref="C3750:D3750"/>
    <mergeCell ref="C3751:D3751"/>
    <mergeCell ref="C3764:D3764"/>
    <mergeCell ref="C3765:D3765"/>
    <mergeCell ref="C3224:D3224"/>
    <mergeCell ref="C3225:D3225"/>
    <mergeCell ref="C3237:D3237"/>
    <mergeCell ref="C3226:D3226"/>
    <mergeCell ref="C3238:D3238"/>
    <mergeCell ref="C3239:D3239"/>
    <mergeCell ref="C3662:D3662"/>
    <mergeCell ref="C3663:D3663"/>
    <mergeCell ref="C3664:D3664"/>
    <mergeCell ref="C3665:D3665"/>
    <mergeCell ref="C3646:D3646"/>
    <mergeCell ref="C3647:D3647"/>
    <mergeCell ref="C3597:D3597"/>
    <mergeCell ref="C3666:D3666"/>
    <mergeCell ref="C3645:D3645"/>
    <mergeCell ref="C3612:D3612"/>
    <mergeCell ref="C3613:D3613"/>
    <mergeCell ref="C3628:D3628"/>
    <mergeCell ref="C3088:D3088"/>
    <mergeCell ref="C3070:D3070"/>
    <mergeCell ref="C3071:D3071"/>
    <mergeCell ref="C3072:D3072"/>
    <mergeCell ref="A3082:D3082"/>
    <mergeCell ref="C3084:D3084"/>
    <mergeCell ref="A3066:A3080"/>
    <mergeCell ref="A2964:A2978"/>
    <mergeCell ref="A2981:A2995"/>
    <mergeCell ref="A3049:A3063"/>
    <mergeCell ref="A3083:A3097"/>
    <mergeCell ref="C3000:D3000"/>
    <mergeCell ref="C3001:D3001"/>
    <mergeCell ref="C3002:D3002"/>
    <mergeCell ref="C3003:D3003"/>
    <mergeCell ref="C2965:D2965"/>
    <mergeCell ref="A3134:A3148"/>
    <mergeCell ref="A3151:A3165"/>
    <mergeCell ref="A3660:D3660"/>
    <mergeCell ref="B4247:B4249"/>
    <mergeCell ref="C4245:D4245"/>
    <mergeCell ref="C4257:D4257"/>
    <mergeCell ref="A4255:D4255"/>
    <mergeCell ref="A4272:D4272"/>
    <mergeCell ref="C4274:D4274"/>
    <mergeCell ref="C4275:D4275"/>
    <mergeCell ref="C4276:D4276"/>
    <mergeCell ref="C4057:D4057"/>
    <mergeCell ref="C4053:D4053"/>
    <mergeCell ref="C4054:D4054"/>
    <mergeCell ref="C4055:D4055"/>
    <mergeCell ref="C4056:D4056"/>
    <mergeCell ref="A3830:D3830"/>
    <mergeCell ref="A3847:D3847"/>
    <mergeCell ref="B3839:B3841"/>
    <mergeCell ref="C3685:D3685"/>
    <mergeCell ref="B3686:B3688"/>
    <mergeCell ref="A3626:D3626"/>
    <mergeCell ref="B3737:B3739"/>
    <mergeCell ref="B3754:B3756"/>
    <mergeCell ref="A3762:D3762"/>
    <mergeCell ref="B3822:B3824"/>
    <mergeCell ref="A2794:A2808"/>
    <mergeCell ref="C3493:D3493"/>
    <mergeCell ref="A3303:D3303"/>
    <mergeCell ref="A3474:A3488"/>
    <mergeCell ref="A3491:A3505"/>
    <mergeCell ref="B3516:B3518"/>
    <mergeCell ref="B3482:B3484"/>
    <mergeCell ref="B3499:B3501"/>
    <mergeCell ref="A3355:A3369"/>
    <mergeCell ref="A3389:A3403"/>
    <mergeCell ref="A3406:A3420"/>
    <mergeCell ref="B3397:B3399"/>
    <mergeCell ref="B3414:B3416"/>
    <mergeCell ref="B3431:B3433"/>
    <mergeCell ref="B3448:B3450"/>
    <mergeCell ref="C3327:D3327"/>
    <mergeCell ref="C3802:D3802"/>
    <mergeCell ref="C3798:D3798"/>
    <mergeCell ref="C3799:D3799"/>
    <mergeCell ref="C3800:D3800"/>
    <mergeCell ref="C3801:D3801"/>
    <mergeCell ref="C3803:D3803"/>
    <mergeCell ref="C4246:D4246"/>
    <mergeCell ref="C3513:D3513"/>
    <mergeCell ref="C3498:D3498"/>
    <mergeCell ref="C3464:D3464"/>
    <mergeCell ref="C3460:D3460"/>
    <mergeCell ref="C3461:D3461"/>
    <mergeCell ref="C3477:D3477"/>
    <mergeCell ref="C3478:D3478"/>
    <mergeCell ref="C3141:D3141"/>
    <mergeCell ref="C3192:D3192"/>
    <mergeCell ref="C3174:D3174"/>
    <mergeCell ref="C3702:D3702"/>
    <mergeCell ref="C3684:D3684"/>
    <mergeCell ref="C3730:D3730"/>
    <mergeCell ref="C3731:D3731"/>
    <mergeCell ref="C3815:D3815"/>
    <mergeCell ref="C3816:D3816"/>
    <mergeCell ref="C3821:D3821"/>
    <mergeCell ref="C3849:D3849"/>
    <mergeCell ref="C1922:D1922"/>
    <mergeCell ref="A1920:A1934"/>
    <mergeCell ref="A1937:A1951"/>
    <mergeCell ref="C1924:D1924"/>
    <mergeCell ref="C1925:D1925"/>
    <mergeCell ref="C1887:D1887"/>
    <mergeCell ref="C1888:D1888"/>
    <mergeCell ref="C1789:D1789"/>
    <mergeCell ref="C1790:D1790"/>
    <mergeCell ref="C2968:D2968"/>
    <mergeCell ref="C3073:D3073"/>
    <mergeCell ref="B3074:B3076"/>
    <mergeCell ref="C3050:D3050"/>
    <mergeCell ref="C3051:D3051"/>
    <mergeCell ref="A3031:D3031"/>
    <mergeCell ref="C3037:D3037"/>
    <mergeCell ref="C3033:D3033"/>
    <mergeCell ref="C3034:D3034"/>
    <mergeCell ref="C3035:D3035"/>
    <mergeCell ref="C3036:D3036"/>
    <mergeCell ref="C3022:D3022"/>
    <mergeCell ref="B3040:B3042"/>
    <mergeCell ref="B3023:B3025"/>
    <mergeCell ref="A3032:A3046"/>
    <mergeCell ref="A3048:D3048"/>
    <mergeCell ref="C3052:D3052"/>
    <mergeCell ref="C3053:D3053"/>
    <mergeCell ref="C3089:D3089"/>
    <mergeCell ref="C3107:D3107"/>
    <mergeCell ref="B3193:B3195"/>
    <mergeCell ref="B3278:B3280"/>
    <mergeCell ref="C3016:D3016"/>
    <mergeCell ref="C3017:D3017"/>
    <mergeCell ref="C3018:D3018"/>
    <mergeCell ref="C3021:D3021"/>
    <mergeCell ref="A3065:D3065"/>
    <mergeCell ref="C2988:D2988"/>
    <mergeCell ref="C2999:D2999"/>
    <mergeCell ref="C3019:D3019"/>
    <mergeCell ref="A3269:D3269"/>
    <mergeCell ref="C3171:D3171"/>
    <mergeCell ref="C3172:D3172"/>
    <mergeCell ref="C3173:D3173"/>
    <mergeCell ref="C3207:D3207"/>
    <mergeCell ref="C3208:D3208"/>
    <mergeCell ref="C3220:D3220"/>
    <mergeCell ref="C3221:D3221"/>
    <mergeCell ref="C3277:D3277"/>
    <mergeCell ref="C2357:D2357"/>
    <mergeCell ref="C2358:D2358"/>
    <mergeCell ref="C2359:D2359"/>
    <mergeCell ref="A2387:D2387"/>
    <mergeCell ref="C2389:D2389"/>
    <mergeCell ref="C2390:D2390"/>
    <mergeCell ref="A2202:D2202"/>
    <mergeCell ref="A2186:A2200"/>
    <mergeCell ref="C2191:D2191"/>
    <mergeCell ref="C2192:D2192"/>
    <mergeCell ref="A2185:D2185"/>
    <mergeCell ref="C2187:D2187"/>
    <mergeCell ref="C2188:D2188"/>
    <mergeCell ref="C2189:D2189"/>
    <mergeCell ref="C2190:D2190"/>
    <mergeCell ref="C2207:D2207"/>
    <mergeCell ref="C1623:D1623"/>
    <mergeCell ref="B1624:B1626"/>
    <mergeCell ref="C951:D951"/>
    <mergeCell ref="C952:D952"/>
    <mergeCell ref="A780:A794"/>
    <mergeCell ref="C783:D783"/>
    <mergeCell ref="C784:D784"/>
    <mergeCell ref="C785:D785"/>
    <mergeCell ref="C786:D786"/>
    <mergeCell ref="C787:D787"/>
    <mergeCell ref="A796:D796"/>
    <mergeCell ref="C815:D815"/>
    <mergeCell ref="C816:D816"/>
    <mergeCell ref="C798:D798"/>
    <mergeCell ref="C799:D799"/>
    <mergeCell ref="C800:D800"/>
    <mergeCell ref="C801:D801"/>
    <mergeCell ref="C802:D802"/>
    <mergeCell ref="C803:D803"/>
    <mergeCell ref="A797:A811"/>
    <mergeCell ref="C3104:D3104"/>
    <mergeCell ref="C3105:D3105"/>
    <mergeCell ref="C3106:D3106"/>
    <mergeCell ref="C3090:D3090"/>
    <mergeCell ref="B3091:B3093"/>
    <mergeCell ref="C3175:D3175"/>
    <mergeCell ref="C3169:D3169"/>
    <mergeCell ref="C3170:D3170"/>
    <mergeCell ref="B3176:B3178"/>
    <mergeCell ref="A3168:A3182"/>
    <mergeCell ref="C3294:D3294"/>
    <mergeCell ref="B3295:B3297"/>
    <mergeCell ref="A3099:D3099"/>
    <mergeCell ref="A3116:D3116"/>
    <mergeCell ref="C3101:D3101"/>
    <mergeCell ref="C3124:D3124"/>
    <mergeCell ref="C3152:D3152"/>
    <mergeCell ref="A3184:D3184"/>
    <mergeCell ref="C3186:D3186"/>
    <mergeCell ref="C3293:D3293"/>
    <mergeCell ref="A3218:D3218"/>
    <mergeCell ref="C3240:D3240"/>
    <mergeCell ref="C3241:D3241"/>
    <mergeCell ref="C1048:D1048"/>
    <mergeCell ref="C1049:D1049"/>
    <mergeCell ref="C970:D970"/>
    <mergeCell ref="B971:B973"/>
    <mergeCell ref="C986:D986"/>
    <mergeCell ref="C981:D981"/>
    <mergeCell ref="C982:D982"/>
    <mergeCell ref="C1117:D1117"/>
    <mergeCell ref="C1118:D1118"/>
    <mergeCell ref="C1119:D1119"/>
    <mergeCell ref="C1120:D1120"/>
    <mergeCell ref="C1121:D1121"/>
    <mergeCell ref="C1136:D1136"/>
    <mergeCell ref="C1132:D1132"/>
    <mergeCell ref="C1133:D1133"/>
    <mergeCell ref="C1134:D1134"/>
    <mergeCell ref="C1135:D1135"/>
    <mergeCell ref="C1137:D1137"/>
    <mergeCell ref="C1138:D1138"/>
    <mergeCell ref="C1164:D1164"/>
    <mergeCell ref="C1165:D1165"/>
    <mergeCell ref="C1066:D1066"/>
    <mergeCell ref="C1067:D1067"/>
    <mergeCell ref="C1050:D1050"/>
    <mergeCell ref="C1051:D1051"/>
    <mergeCell ref="C1069:D1069"/>
    <mergeCell ref="C1070:D1070"/>
    <mergeCell ref="A1062:D1062"/>
    <mergeCell ref="C1064:D1064"/>
    <mergeCell ref="C1065:D1065"/>
    <mergeCell ref="C1068:D1068"/>
    <mergeCell ref="C1466:D1466"/>
    <mergeCell ref="C1467:D1467"/>
    <mergeCell ref="A1464:D1464"/>
    <mergeCell ref="C983:D983"/>
    <mergeCell ref="C984:D984"/>
    <mergeCell ref="C985:D985"/>
    <mergeCell ref="C1004:D1004"/>
    <mergeCell ref="A1013:D1013"/>
    <mergeCell ref="C1017:D1017"/>
    <mergeCell ref="C1018:D1018"/>
    <mergeCell ref="C2967:D2967"/>
    <mergeCell ref="C1758:D1758"/>
    <mergeCell ref="C1759:D1759"/>
    <mergeCell ref="B1760:B1762"/>
    <mergeCell ref="C2812:D2812"/>
    <mergeCell ref="C2835:D2835"/>
    <mergeCell ref="C2834:D2834"/>
    <mergeCell ref="A2844:D2844"/>
    <mergeCell ref="C2869:D2869"/>
    <mergeCell ref="B2870:B2872"/>
    <mergeCell ref="C2868:D2868"/>
    <mergeCell ref="A2878:D2878"/>
    <mergeCell ref="A2963:D2963"/>
    <mergeCell ref="C2829:D2829"/>
    <mergeCell ref="C2830:D2830"/>
    <mergeCell ref="C2831:D2831"/>
    <mergeCell ref="C2832:D2832"/>
    <mergeCell ref="C2814:D2814"/>
    <mergeCell ref="C2815:D2815"/>
    <mergeCell ref="C2816:D2816"/>
    <mergeCell ref="C2817:D2817"/>
    <mergeCell ref="C1052:D1052"/>
    <mergeCell ref="C1053:D1053"/>
    <mergeCell ref="C1021:D1021"/>
    <mergeCell ref="C1015:D1015"/>
    <mergeCell ref="C1016:D1016"/>
    <mergeCell ref="C1019:D1019"/>
    <mergeCell ref="C1020:D1020"/>
    <mergeCell ref="A1431:A1445"/>
    <mergeCell ref="A1448:A1462"/>
    <mergeCell ref="A1465:A1479"/>
    <mergeCell ref="A1482:A1496"/>
    <mergeCell ref="C1203:D1203"/>
    <mergeCell ref="B1188:B1190"/>
    <mergeCell ref="C1198:D1198"/>
    <mergeCell ref="C1199:D1199"/>
    <mergeCell ref="C1249:D1249"/>
    <mergeCell ref="C1250:D1250"/>
    <mergeCell ref="C1251:D1251"/>
    <mergeCell ref="C1417:D1417"/>
    <mergeCell ref="C1415:D1415"/>
    <mergeCell ref="C1416:D1416"/>
    <mergeCell ref="C1266:D1266"/>
    <mergeCell ref="C1267:D1267"/>
    <mergeCell ref="A963:A977"/>
    <mergeCell ref="A1045:D1045"/>
    <mergeCell ref="B1022:B1024"/>
    <mergeCell ref="A1030:C1030"/>
    <mergeCell ref="B1088:B1090"/>
    <mergeCell ref="A1096:D1096"/>
    <mergeCell ref="C1289:D1289"/>
    <mergeCell ref="B1290:B1292"/>
    <mergeCell ref="A1298:C1298"/>
    <mergeCell ref="A1313:D1313"/>
    <mergeCell ref="A1299:A1311"/>
    <mergeCell ref="C1315:D1315"/>
    <mergeCell ref="C1316:D1316"/>
    <mergeCell ref="C1355:D1355"/>
    <mergeCell ref="B1356:B1358"/>
    <mergeCell ref="C1352:D1352"/>
    <mergeCell ref="C918:D918"/>
    <mergeCell ref="C919:D919"/>
    <mergeCell ref="C867:D867"/>
    <mergeCell ref="C871:D871"/>
    <mergeCell ref="C872:D872"/>
    <mergeCell ref="B873:B875"/>
    <mergeCell ref="A881:C881"/>
    <mergeCell ref="A882:A894"/>
    <mergeCell ref="C932:D932"/>
    <mergeCell ref="C930:D930"/>
    <mergeCell ref="C931:D931"/>
    <mergeCell ref="C936:D936"/>
    <mergeCell ref="B937:B939"/>
    <mergeCell ref="A929:A943"/>
    <mergeCell ref="A911:D911"/>
    <mergeCell ref="C913:D913"/>
    <mergeCell ref="C914:D914"/>
    <mergeCell ref="C915:D915"/>
    <mergeCell ref="C916:D916"/>
    <mergeCell ref="C917:D917"/>
    <mergeCell ref="C947:D947"/>
    <mergeCell ref="C966:D966"/>
    <mergeCell ref="C953:D953"/>
    <mergeCell ref="C964:D964"/>
    <mergeCell ref="C965:D965"/>
    <mergeCell ref="C1003:D1003"/>
    <mergeCell ref="C998:D998"/>
    <mergeCell ref="C999:D999"/>
    <mergeCell ref="C1000:D1000"/>
    <mergeCell ref="C1001:D1001"/>
    <mergeCell ref="C1002:D1002"/>
    <mergeCell ref="A946:A960"/>
    <mergeCell ref="C987:D987"/>
    <mergeCell ref="A996:D996"/>
    <mergeCell ref="C967:D967"/>
    <mergeCell ref="C968:D968"/>
    <mergeCell ref="C969:D969"/>
    <mergeCell ref="C870:D870"/>
    <mergeCell ref="C933:D933"/>
    <mergeCell ref="A945:D945"/>
    <mergeCell ref="C1219:D1219"/>
    <mergeCell ref="C1252:D1252"/>
    <mergeCell ref="C1253:D1253"/>
    <mergeCell ref="C1254:D1254"/>
    <mergeCell ref="C1286:D1286"/>
    <mergeCell ref="C1287:D1287"/>
    <mergeCell ref="C1288:D1288"/>
    <mergeCell ref="C1255:D1255"/>
    <mergeCell ref="C1167:D1167"/>
    <mergeCell ref="C1168:D1168"/>
    <mergeCell ref="C1220:D1220"/>
    <mergeCell ref="A1230:D1230"/>
    <mergeCell ref="A1247:D1247"/>
    <mergeCell ref="C1204:D1204"/>
    <mergeCell ref="A1264:D1264"/>
    <mergeCell ref="C1334:D1334"/>
    <mergeCell ref="C1335:D1335"/>
    <mergeCell ref="C1272:D1272"/>
    <mergeCell ref="A1281:D1281"/>
    <mergeCell ref="C1283:D1283"/>
    <mergeCell ref="C1284:D1284"/>
    <mergeCell ref="C1336:D1336"/>
    <mergeCell ref="A1330:D1330"/>
    <mergeCell ref="C1317:D1317"/>
    <mergeCell ref="A1396:D1396"/>
    <mergeCell ref="A1348:A1362"/>
    <mergeCell ref="A1365:A1379"/>
    <mergeCell ref="A1331:A1345"/>
    <mergeCell ref="A1364:D1364"/>
    <mergeCell ref="C1366:D1366"/>
    <mergeCell ref="C1350:D1350"/>
    <mergeCell ref="C1351:D1351"/>
    <mergeCell ref="B1373:B1375"/>
    <mergeCell ref="C1370:D1370"/>
    <mergeCell ref="C1367:D1367"/>
    <mergeCell ref="A1381:C1381"/>
    <mergeCell ref="A1382:A1394"/>
    <mergeCell ref="C1452:D1452"/>
    <mergeCell ref="C1453:D1453"/>
    <mergeCell ref="C1454:D1454"/>
    <mergeCell ref="C1455:D1455"/>
    <mergeCell ref="B1456:B1458"/>
    <mergeCell ref="A1447:D1447"/>
    <mergeCell ref="C1371:D1371"/>
    <mergeCell ref="C1372:D1372"/>
    <mergeCell ref="C1398:D1398"/>
    <mergeCell ref="C1399:D1399"/>
    <mergeCell ref="C1400:D1400"/>
    <mergeCell ref="C1401:D1401"/>
    <mergeCell ref="C1435:D1435"/>
    <mergeCell ref="C1438:D1438"/>
    <mergeCell ref="A341:A353"/>
    <mergeCell ref="B364:B366"/>
    <mergeCell ref="B381:B383"/>
    <mergeCell ref="A405:A417"/>
    <mergeCell ref="A420:A434"/>
    <mergeCell ref="C472:D472"/>
    <mergeCell ref="C440:D440"/>
    <mergeCell ref="C426:D426"/>
    <mergeCell ref="C427:D427"/>
    <mergeCell ref="B428:B430"/>
    <mergeCell ref="C442:D442"/>
    <mergeCell ref="C441:D441"/>
    <mergeCell ref="C698:D698"/>
    <mergeCell ref="A711:D711"/>
    <mergeCell ref="A678:A692"/>
    <mergeCell ref="A661:A675"/>
    <mergeCell ref="C1201:D1201"/>
    <mergeCell ref="C1202:D1202"/>
    <mergeCell ref="B1205:B1207"/>
    <mergeCell ref="C1221:D1221"/>
    <mergeCell ref="C1216:D1216"/>
    <mergeCell ref="C1217:D1217"/>
    <mergeCell ref="C1218:D1218"/>
    <mergeCell ref="C1236:D1236"/>
    <mergeCell ref="C1232:D1232"/>
    <mergeCell ref="C1233:D1233"/>
    <mergeCell ref="C1234:D1234"/>
    <mergeCell ref="C1235:D1235"/>
    <mergeCell ref="C1237:D1237"/>
    <mergeCell ref="C1238:D1238"/>
    <mergeCell ref="A1231:A1245"/>
    <mergeCell ref="A1113:D1113"/>
    <mergeCell ref="A1179:D1179"/>
    <mergeCell ref="B1139:B1141"/>
    <mergeCell ref="A1147:C1147"/>
    <mergeCell ref="C1166:D1166"/>
    <mergeCell ref="C1169:D1169"/>
    <mergeCell ref="A1196:D1196"/>
    <mergeCell ref="A1180:A1194"/>
    <mergeCell ref="A1197:A1211"/>
    <mergeCell ref="A1214:A1228"/>
    <mergeCell ref="B954:B956"/>
    <mergeCell ref="A962:D962"/>
    <mergeCell ref="C570:D570"/>
    <mergeCell ref="C569:D569"/>
    <mergeCell ref="C617:D617"/>
    <mergeCell ref="C618:D618"/>
    <mergeCell ref="A564:D564"/>
    <mergeCell ref="C566:D566"/>
    <mergeCell ref="C525:D525"/>
    <mergeCell ref="C631:D631"/>
    <mergeCell ref="C632:D632"/>
    <mergeCell ref="C571:D571"/>
    <mergeCell ref="C572:D572"/>
    <mergeCell ref="C152:D152"/>
    <mergeCell ref="C153:D153"/>
    <mergeCell ref="C233:D233"/>
    <mergeCell ref="C234:D234"/>
    <mergeCell ref="C235:D235"/>
    <mergeCell ref="C236:D236"/>
    <mergeCell ref="C237:D237"/>
    <mergeCell ref="C250:D250"/>
    <mergeCell ref="A246:D246"/>
    <mergeCell ref="C248:D248"/>
    <mergeCell ref="C249:D249"/>
    <mergeCell ref="B238:B240"/>
    <mergeCell ref="B445:B447"/>
    <mergeCell ref="C630:D630"/>
    <mergeCell ref="B720:B722"/>
    <mergeCell ref="A763:A777"/>
    <mergeCell ref="A645:C645"/>
    <mergeCell ref="B771:B773"/>
    <mergeCell ref="B754:B756"/>
    <mergeCell ref="B669:B671"/>
    <mergeCell ref="B737:B739"/>
    <mergeCell ref="A745:D745"/>
    <mergeCell ref="A762:D762"/>
    <mergeCell ref="A729:A743"/>
    <mergeCell ref="A728:D728"/>
    <mergeCell ref="C734:D734"/>
    <mergeCell ref="A694:D694"/>
    <mergeCell ref="C696:D696"/>
    <mergeCell ref="C697:D697"/>
    <mergeCell ref="A712:A726"/>
    <mergeCell ref="A550:A562"/>
    <mergeCell ref="A565:A579"/>
    <mergeCell ref="B573:B575"/>
    <mergeCell ref="A581:C581"/>
    <mergeCell ref="A582:A594"/>
    <mergeCell ref="A596:C596"/>
    <mergeCell ref="C619:D619"/>
    <mergeCell ref="A611:D611"/>
    <mergeCell ref="C613:D613"/>
    <mergeCell ref="C614:D614"/>
    <mergeCell ref="A628:D628"/>
    <mergeCell ref="A612:A626"/>
    <mergeCell ref="C752:D752"/>
    <mergeCell ref="C719:D719"/>
    <mergeCell ref="C715:D715"/>
    <mergeCell ref="C716:D716"/>
    <mergeCell ref="C717:D717"/>
    <mergeCell ref="C718:D718"/>
    <mergeCell ref="C700:D700"/>
    <mergeCell ref="C701:D701"/>
    <mergeCell ref="C702:D702"/>
    <mergeCell ref="C713:D713"/>
    <mergeCell ref="C735:D735"/>
    <mergeCell ref="C732:D732"/>
    <mergeCell ref="C733:D733"/>
    <mergeCell ref="C730:D730"/>
    <mergeCell ref="C731:D731"/>
    <mergeCell ref="C633:D633"/>
    <mergeCell ref="C634:D634"/>
    <mergeCell ref="C699:D699"/>
    <mergeCell ref="C683:D683"/>
    <mergeCell ref="C684:D684"/>
    <mergeCell ref="C685:D685"/>
    <mergeCell ref="C714:D714"/>
    <mergeCell ref="A296:A308"/>
    <mergeCell ref="A487:C487"/>
    <mergeCell ref="A502:C502"/>
    <mergeCell ref="B686:B688"/>
    <mergeCell ref="B703:B705"/>
    <mergeCell ref="C736:D736"/>
    <mergeCell ref="C747:D747"/>
    <mergeCell ref="C748:D748"/>
    <mergeCell ref="C749:D749"/>
    <mergeCell ref="C750:D750"/>
    <mergeCell ref="C751:D751"/>
    <mergeCell ref="A503:A515"/>
    <mergeCell ref="A518:A532"/>
    <mergeCell ref="B526:B528"/>
    <mergeCell ref="A549:C549"/>
    <mergeCell ref="A470:D470"/>
    <mergeCell ref="A534:C534"/>
    <mergeCell ref="A535:A547"/>
    <mergeCell ref="C473:D473"/>
    <mergeCell ref="C474:D474"/>
    <mergeCell ref="A695:A709"/>
    <mergeCell ref="A746:A760"/>
    <mergeCell ref="C438:D438"/>
    <mergeCell ref="A436:D436"/>
    <mergeCell ref="C380:D380"/>
    <mergeCell ref="A389:C389"/>
    <mergeCell ref="C439:D439"/>
    <mergeCell ref="C425:D425"/>
    <mergeCell ref="A419:D419"/>
    <mergeCell ref="C421:D421"/>
    <mergeCell ref="C424:D424"/>
    <mergeCell ref="A404:C404"/>
    <mergeCell ref="C251:D251"/>
    <mergeCell ref="C252:D252"/>
    <mergeCell ref="A437:A451"/>
    <mergeCell ref="A184:C184"/>
    <mergeCell ref="A199:C199"/>
    <mergeCell ref="B159:B161"/>
    <mergeCell ref="A168:A182"/>
    <mergeCell ref="A185:A197"/>
    <mergeCell ref="B462:B464"/>
    <mergeCell ref="C475:D475"/>
    <mergeCell ref="A454:A468"/>
    <mergeCell ref="A373:A387"/>
    <mergeCell ref="A390:A402"/>
    <mergeCell ref="C54:D54"/>
    <mergeCell ref="C55:D55"/>
    <mergeCell ref="C71:D71"/>
    <mergeCell ref="C67:D67"/>
    <mergeCell ref="C68:D68"/>
    <mergeCell ref="C69:D69"/>
    <mergeCell ref="C70:D70"/>
    <mergeCell ref="C2391:D2391"/>
    <mergeCell ref="C2443:D2443"/>
    <mergeCell ref="C2444:D2444"/>
    <mergeCell ref="C2445:D2445"/>
    <mergeCell ref="C2446:D2446"/>
    <mergeCell ref="B2447:B2449"/>
    <mergeCell ref="A2455:D2455"/>
    <mergeCell ref="C2457:D2457"/>
    <mergeCell ref="C2325:D2325"/>
    <mergeCell ref="C2326:D2326"/>
    <mergeCell ref="B2277:B2279"/>
    <mergeCell ref="B2311:B2313"/>
    <mergeCell ref="A2319:D2319"/>
    <mergeCell ref="C2321:D2321"/>
    <mergeCell ref="C2324:D2324"/>
    <mergeCell ref="C2322:D2322"/>
    <mergeCell ref="C2323:D2323"/>
    <mergeCell ref="C2258:D2258"/>
    <mergeCell ref="C2288:D2288"/>
    <mergeCell ref="C2289:D2289"/>
    <mergeCell ref="C2290:D2290"/>
    <mergeCell ref="C2291:D2291"/>
    <mergeCell ref="C2375:D2375"/>
    <mergeCell ref="C2376:D2376"/>
    <mergeCell ref="C2377:D2377"/>
    <mergeCell ref="C2137:D2137"/>
    <mergeCell ref="C2138:D2138"/>
    <mergeCell ref="C2139:D2139"/>
    <mergeCell ref="C2140:D2140"/>
    <mergeCell ref="C2141:D2141"/>
    <mergeCell ref="B2143:B2145"/>
    <mergeCell ref="C2142:D2142"/>
    <mergeCell ref="C2155:D2155"/>
    <mergeCell ref="C2153:D2153"/>
    <mergeCell ref="C2154:D2154"/>
    <mergeCell ref="C2095:D2095"/>
    <mergeCell ref="C2170:D2170"/>
    <mergeCell ref="C2156:D2156"/>
    <mergeCell ref="C2157:D2157"/>
    <mergeCell ref="C2158:D2158"/>
    <mergeCell ref="B2345:B2347"/>
    <mergeCell ref="A2353:D2353"/>
    <mergeCell ref="C2355:D2355"/>
    <mergeCell ref="C2356:D2356"/>
    <mergeCell ref="C284:D284"/>
    <mergeCell ref="C285:D285"/>
    <mergeCell ref="B2228:B2230"/>
    <mergeCell ref="A1:C1"/>
    <mergeCell ref="B125:B127"/>
    <mergeCell ref="B108:B110"/>
    <mergeCell ref="A214:C214"/>
    <mergeCell ref="B142:B144"/>
    <mergeCell ref="B40:B42"/>
    <mergeCell ref="B74:B76"/>
    <mergeCell ref="B57:B59"/>
    <mergeCell ref="A49:A63"/>
    <mergeCell ref="A66:A80"/>
    <mergeCell ref="A83:A97"/>
    <mergeCell ref="B91:B93"/>
    <mergeCell ref="B255:B257"/>
    <mergeCell ref="A263:C263"/>
    <mergeCell ref="A200:A212"/>
    <mergeCell ref="A215:A227"/>
    <mergeCell ref="A100:A114"/>
    <mergeCell ref="A264:A276"/>
    <mergeCell ref="A117:A131"/>
    <mergeCell ref="A134:A148"/>
    <mergeCell ref="A151:A165"/>
    <mergeCell ref="A230:A244"/>
    <mergeCell ref="A247:A261"/>
    <mergeCell ref="A311:A323"/>
    <mergeCell ref="A356:A370"/>
    <mergeCell ref="C123:D123"/>
    <mergeCell ref="C124:D124"/>
    <mergeCell ref="C107:D107"/>
    <mergeCell ref="C122:D122"/>
    <mergeCell ref="A116:D116"/>
    <mergeCell ref="C118:D118"/>
    <mergeCell ref="C119:D119"/>
    <mergeCell ref="C120:D120"/>
    <mergeCell ref="C121:D121"/>
    <mergeCell ref="C253:D253"/>
    <mergeCell ref="C254:D254"/>
    <mergeCell ref="C282:D282"/>
    <mergeCell ref="C280:D280"/>
    <mergeCell ref="C281:D281"/>
    <mergeCell ref="A279:A293"/>
    <mergeCell ref="B287:B289"/>
    <mergeCell ref="C231:D231"/>
    <mergeCell ref="C232:D232"/>
    <mergeCell ref="C283:D283"/>
    <mergeCell ref="C286:D286"/>
    <mergeCell ref="A278:D278"/>
    <mergeCell ref="C156:D156"/>
    <mergeCell ref="A326:A338"/>
    <mergeCell ref="A340:C340"/>
    <mergeCell ref="A2:A14"/>
    <mergeCell ref="A16:C16"/>
    <mergeCell ref="A17:A29"/>
    <mergeCell ref="A32:A46"/>
    <mergeCell ref="C174:D174"/>
    <mergeCell ref="C175:D175"/>
    <mergeCell ref="A229:D229"/>
    <mergeCell ref="C34:D34"/>
    <mergeCell ref="C35:D35"/>
    <mergeCell ref="C36:D36"/>
    <mergeCell ref="C37:D37"/>
    <mergeCell ref="C38:D38"/>
    <mergeCell ref="A31:D31"/>
    <mergeCell ref="C33:D33"/>
    <mergeCell ref="B176:B178"/>
    <mergeCell ref="A2404:D2404"/>
    <mergeCell ref="C2628:D2628"/>
    <mergeCell ref="C2625:D2625"/>
    <mergeCell ref="C2626:D2626"/>
    <mergeCell ref="C2591:D2591"/>
    <mergeCell ref="C2592:D2592"/>
    <mergeCell ref="C2593:D2593"/>
    <mergeCell ref="C2594:D2594"/>
    <mergeCell ref="C2610:D2610"/>
    <mergeCell ref="C2611:D2611"/>
    <mergeCell ref="C2559:D2559"/>
    <mergeCell ref="C2560:D2560"/>
    <mergeCell ref="C2540:D2540"/>
    <mergeCell ref="C2541:D2541"/>
    <mergeCell ref="C2612:D2612"/>
    <mergeCell ref="C2613:D2613"/>
    <mergeCell ref="C2614:D2614"/>
    <mergeCell ref="C2627:D2627"/>
    <mergeCell ref="C2492:D2492"/>
    <mergeCell ref="C2493:D2493"/>
    <mergeCell ref="C2440:D2440"/>
    <mergeCell ref="C2441:D2441"/>
    <mergeCell ref="C2475:D2475"/>
    <mergeCell ref="C2476:D2476"/>
    <mergeCell ref="C2477:D2477"/>
    <mergeCell ref="C2478:D2478"/>
    <mergeCell ref="C2479:D2479"/>
    <mergeCell ref="A2472:D2472"/>
    <mergeCell ref="C2474:D2474"/>
    <mergeCell ref="C3668:D3668"/>
    <mergeCell ref="C3362:D3362"/>
    <mergeCell ref="C3341:D3341"/>
    <mergeCell ref="C3342:D3342"/>
    <mergeCell ref="C3496:D3496"/>
    <mergeCell ref="C3497:D3497"/>
    <mergeCell ref="C3509:D3509"/>
    <mergeCell ref="C3510:D3510"/>
    <mergeCell ref="A3559:A3573"/>
    <mergeCell ref="A3576:A3590"/>
    <mergeCell ref="C3564:D3564"/>
    <mergeCell ref="C3565:D3565"/>
    <mergeCell ref="C3547:D3547"/>
    <mergeCell ref="C3548:D3548"/>
    <mergeCell ref="C3549:D3549"/>
    <mergeCell ref="C3581:D3581"/>
    <mergeCell ref="C3583:D3583"/>
    <mergeCell ref="C2778:D2778"/>
    <mergeCell ref="C2779:D2779"/>
    <mergeCell ref="C2763:D2763"/>
    <mergeCell ref="C2764:D2764"/>
    <mergeCell ref="C2765:D2765"/>
    <mergeCell ref="B2768:B2770"/>
    <mergeCell ref="A2760:A2774"/>
    <mergeCell ref="C2767:D2767"/>
    <mergeCell ref="C2766:D2766"/>
    <mergeCell ref="B3584:B3586"/>
    <mergeCell ref="C3560:D3560"/>
    <mergeCell ref="C3561:D3561"/>
    <mergeCell ref="C3562:D3562"/>
    <mergeCell ref="C3563:D3563"/>
    <mergeCell ref="C3532:D3532"/>
    <mergeCell ref="A3524:D3524"/>
    <mergeCell ref="A3541:D3541"/>
    <mergeCell ref="A3558:D3558"/>
    <mergeCell ref="B3669:B3671"/>
    <mergeCell ref="C3696:D3696"/>
    <mergeCell ref="B3720:B3722"/>
    <mergeCell ref="C3713:D3713"/>
    <mergeCell ref="C3714:D3714"/>
    <mergeCell ref="C3719:D3719"/>
    <mergeCell ref="A3609:D3609"/>
    <mergeCell ref="C3616:D3616"/>
    <mergeCell ref="B3635:B3637"/>
    <mergeCell ref="A3627:A3641"/>
    <mergeCell ref="A3643:D3643"/>
    <mergeCell ref="A3661:A3675"/>
    <mergeCell ref="C2645:D2645"/>
    <mergeCell ref="C2642:D2642"/>
    <mergeCell ref="C2643:D2643"/>
    <mergeCell ref="C2644:D2644"/>
    <mergeCell ref="C3697:D3697"/>
    <mergeCell ref="C3698:D3698"/>
    <mergeCell ref="A3507:D3507"/>
    <mergeCell ref="C3594:D3594"/>
    <mergeCell ref="A3575:D3575"/>
    <mergeCell ref="A3695:A3709"/>
    <mergeCell ref="A3711:D3711"/>
    <mergeCell ref="C2648:D2648"/>
    <mergeCell ref="B3210:B3212"/>
    <mergeCell ref="A3202:A3216"/>
    <mergeCell ref="C3203:D3203"/>
    <mergeCell ref="C3204:D3204"/>
    <mergeCell ref="C3209:D3209"/>
    <mergeCell ref="C3187:D3187"/>
    <mergeCell ref="C3188:D3188"/>
    <mergeCell ref="C3189:D3189"/>
    <mergeCell ref="C3190:D3190"/>
    <mergeCell ref="C3191:D3191"/>
    <mergeCell ref="C3206:D3206"/>
    <mergeCell ref="C3205:D3205"/>
    <mergeCell ref="A3201:D3201"/>
    <mergeCell ref="C3222:D3222"/>
    <mergeCell ref="C3223:D3223"/>
    <mergeCell ref="A3457:A3471"/>
    <mergeCell ref="C3020:D3020"/>
    <mergeCell ref="C2881:D2881"/>
    <mergeCell ref="C2954:D2954"/>
    <mergeCell ref="C2952:D2952"/>
    <mergeCell ref="C2936:D2936"/>
    <mergeCell ref="C2797:D2797"/>
    <mergeCell ref="C2798:D2798"/>
    <mergeCell ref="C2799:D2799"/>
    <mergeCell ref="C2800:D2800"/>
    <mergeCell ref="C3056:D3056"/>
    <mergeCell ref="B3057:B3059"/>
    <mergeCell ref="C3631:D3631"/>
    <mergeCell ref="C2748:D2748"/>
    <mergeCell ref="C2749:D2749"/>
    <mergeCell ref="C2712:D2712"/>
    <mergeCell ref="C2713:D2713"/>
    <mergeCell ref="B2751:B2753"/>
    <mergeCell ref="A2759:D2759"/>
    <mergeCell ref="C2761:D2761"/>
    <mergeCell ref="C2762:D2762"/>
    <mergeCell ref="A2742:D2742"/>
    <mergeCell ref="C3494:D3494"/>
    <mergeCell ref="C3495:D3495"/>
    <mergeCell ref="C3345:D3345"/>
    <mergeCell ref="A4137:A4151"/>
    <mergeCell ref="A3712:A3726"/>
    <mergeCell ref="C2665:D2665"/>
    <mergeCell ref="B2666:B2668"/>
    <mergeCell ref="C2664:D2664"/>
    <mergeCell ref="A2624:A2638"/>
    <mergeCell ref="A2641:A2655"/>
    <mergeCell ref="A2658:A2672"/>
    <mergeCell ref="A2640:D2640"/>
    <mergeCell ref="C3242:D3242"/>
    <mergeCell ref="C3373:D3373"/>
    <mergeCell ref="C3339:D3339"/>
    <mergeCell ref="C3340:D3340"/>
    <mergeCell ref="C3374:D3374"/>
    <mergeCell ref="C3375:D3375"/>
    <mergeCell ref="C3376:D3376"/>
    <mergeCell ref="C3392:D3392"/>
    <mergeCell ref="C3390:D3390"/>
    <mergeCell ref="C3391:D3391"/>
    <mergeCell ref="C3393:D3393"/>
    <mergeCell ref="C3394:D3394"/>
    <mergeCell ref="C3395:D3395"/>
    <mergeCell ref="C3407:D3407"/>
    <mergeCell ref="C3408:D3408"/>
    <mergeCell ref="C3409:D3409"/>
    <mergeCell ref="C3410:D3410"/>
    <mergeCell ref="C3411:D3411"/>
    <mergeCell ref="C3412:D3412"/>
    <mergeCell ref="C3424:D3424"/>
    <mergeCell ref="C3543:D3543"/>
    <mergeCell ref="C3544:D3544"/>
    <mergeCell ref="C3545:D3545"/>
    <mergeCell ref="C3546:D3546"/>
    <mergeCell ref="C3783:D3783"/>
    <mergeCell ref="C3784:D3784"/>
    <mergeCell ref="C3735:D3735"/>
    <mergeCell ref="C3736:D3736"/>
    <mergeCell ref="C3785:D3785"/>
    <mergeCell ref="C3717:D3717"/>
    <mergeCell ref="C3718:D3718"/>
    <mergeCell ref="C3734:D3734"/>
    <mergeCell ref="C3747:D3747"/>
    <mergeCell ref="C3748:D3748"/>
    <mergeCell ref="C3749:D3749"/>
    <mergeCell ref="C3836:D3836"/>
    <mergeCell ref="C3837:D3837"/>
    <mergeCell ref="C3818:D3818"/>
    <mergeCell ref="C3819:D3819"/>
    <mergeCell ref="C3699:D3699"/>
    <mergeCell ref="C3700:D3700"/>
    <mergeCell ref="A3644:A3658"/>
    <mergeCell ref="A3677:D3677"/>
    <mergeCell ref="C3679:D3679"/>
    <mergeCell ref="C3680:D3680"/>
    <mergeCell ref="C3681:D3681"/>
    <mergeCell ref="C3682:D3682"/>
    <mergeCell ref="C3683:D3683"/>
    <mergeCell ref="C3650:D3650"/>
    <mergeCell ref="C3651:D3651"/>
    <mergeCell ref="B3652:B3654"/>
    <mergeCell ref="C3667:D3667"/>
    <mergeCell ref="C3648:D3648"/>
    <mergeCell ref="C3649:D3649"/>
    <mergeCell ref="C2629:D2629"/>
    <mergeCell ref="A4205:A4219"/>
    <mergeCell ref="A1498:D1498"/>
    <mergeCell ref="C1285:D1285"/>
    <mergeCell ref="C1651:D1651"/>
    <mergeCell ref="C1215:D1215"/>
    <mergeCell ref="B822:B824"/>
    <mergeCell ref="A1836:D1836"/>
    <mergeCell ref="A2692:A2706"/>
    <mergeCell ref="A2709:A2723"/>
    <mergeCell ref="A2726:A2740"/>
    <mergeCell ref="A2743:A2757"/>
    <mergeCell ref="A2539:A2553"/>
    <mergeCell ref="A2556:A2570"/>
    <mergeCell ref="C2561:D2561"/>
    <mergeCell ref="C2562:D2562"/>
    <mergeCell ref="A2572:D2572"/>
    <mergeCell ref="C2574:D2574"/>
    <mergeCell ref="C2575:D2575"/>
    <mergeCell ref="C2576:D2576"/>
    <mergeCell ref="A2657:D2657"/>
    <mergeCell ref="C2659:D2659"/>
    <mergeCell ref="C2660:D2660"/>
    <mergeCell ref="C2661:D2661"/>
    <mergeCell ref="C2662:D2662"/>
    <mergeCell ref="C2663:D2663"/>
    <mergeCell ref="B2328:B2330"/>
    <mergeCell ref="A2336:D2336"/>
    <mergeCell ref="A2320:A2334"/>
    <mergeCell ref="C2338:D2338"/>
    <mergeCell ref="C2339:D2339"/>
    <mergeCell ref="C2340:D2340"/>
    <mergeCell ref="C2341:D2341"/>
    <mergeCell ref="C2342:D2342"/>
    <mergeCell ref="C2343:D2343"/>
    <mergeCell ref="B2160:B2162"/>
    <mergeCell ref="C2136:D2136"/>
    <mergeCell ref="A2151:D2151"/>
    <mergeCell ref="A2268:D2268"/>
    <mergeCell ref="C2270:D2270"/>
    <mergeCell ref="C2310:D2310"/>
    <mergeCell ref="C2304:D2304"/>
    <mergeCell ref="C2305:D2305"/>
    <mergeCell ref="C2306:D2306"/>
    <mergeCell ref="C2307:D2307"/>
    <mergeCell ref="C2308:D2308"/>
    <mergeCell ref="B2260:B2262"/>
    <mergeCell ref="C2497:D2497"/>
    <mergeCell ref="B2498:B2500"/>
    <mergeCell ref="A2456:A2470"/>
    <mergeCell ref="A2473:A2487"/>
    <mergeCell ref="A2490:A2504"/>
    <mergeCell ref="A2337:A2351"/>
    <mergeCell ref="A2371:A2385"/>
    <mergeCell ref="A2388:A2402"/>
    <mergeCell ref="C2529:D2529"/>
    <mergeCell ref="B2530:B2532"/>
    <mergeCell ref="C1810:D1810"/>
    <mergeCell ref="B1811:B1813"/>
    <mergeCell ref="C1823:D1823"/>
    <mergeCell ref="C1824:D1824"/>
    <mergeCell ref="C1858:D1858"/>
    <mergeCell ref="A1870:C1870"/>
    <mergeCell ref="A1885:D1885"/>
    <mergeCell ref="C2091:D2091"/>
    <mergeCell ref="B1490:B1492"/>
    <mergeCell ref="C1622:D1622"/>
    <mergeCell ref="C2275:D2275"/>
    <mergeCell ref="C2276:D2276"/>
    <mergeCell ref="A2285:D2285"/>
    <mergeCell ref="C2442:D2442"/>
    <mergeCell ref="C2327:D2327"/>
    <mergeCell ref="C2463:D2463"/>
    <mergeCell ref="C2494:D2494"/>
    <mergeCell ref="C2458:D2458"/>
    <mergeCell ref="C2459:D2459"/>
    <mergeCell ref="C2460:D2460"/>
    <mergeCell ref="C2461:D2461"/>
    <mergeCell ref="C2462:D2462"/>
    <mergeCell ref="C2526:D2526"/>
    <mergeCell ref="C2527:D2527"/>
    <mergeCell ref="C3835:D3835"/>
    <mergeCell ref="C3135:D3135"/>
    <mergeCell ref="C3136:D3136"/>
    <mergeCell ref="C3323:D3323"/>
    <mergeCell ref="C3324:D3324"/>
    <mergeCell ref="C2093:D2093"/>
    <mergeCell ref="C2092:D2092"/>
    <mergeCell ref="C2094:D2094"/>
    <mergeCell ref="B2096:B2098"/>
    <mergeCell ref="A2104:C2104"/>
    <mergeCell ref="A2119:C2119"/>
    <mergeCell ref="A2134:D2134"/>
    <mergeCell ref="C1809:D1809"/>
    <mergeCell ref="A1802:D1802"/>
    <mergeCell ref="C2171:D2171"/>
    <mergeCell ref="B2464:B2466"/>
    <mergeCell ref="C1804:D1804"/>
    <mergeCell ref="C1805:D1805"/>
    <mergeCell ref="C1806:D1806"/>
    <mergeCell ref="C1807:D1807"/>
    <mergeCell ref="C1808:D1808"/>
    <mergeCell ref="A1819:D1819"/>
    <mergeCell ref="C1821:D1821"/>
    <mergeCell ref="C1827:D1827"/>
    <mergeCell ref="C1822:D1822"/>
    <mergeCell ref="C1825:D1825"/>
    <mergeCell ref="C1826:D1826"/>
    <mergeCell ref="B1828:B1830"/>
    <mergeCell ref="A1803:A1817"/>
    <mergeCell ref="C1856:D1856"/>
    <mergeCell ref="C1857:D1857"/>
    <mergeCell ref="C2546:D2546"/>
    <mergeCell ref="A3592:D3592"/>
    <mergeCell ref="C3595:D3595"/>
    <mergeCell ref="C3596:D3596"/>
    <mergeCell ref="A3593:A3607"/>
    <mergeCell ref="C3566:D3566"/>
    <mergeCell ref="B3567:B3569"/>
    <mergeCell ref="C3577:D3577"/>
    <mergeCell ref="C3578:D3578"/>
    <mergeCell ref="C3579:D3579"/>
    <mergeCell ref="C3580:D3580"/>
    <mergeCell ref="C3629:D3629"/>
    <mergeCell ref="C3630:D3630"/>
    <mergeCell ref="C3766:D3766"/>
    <mergeCell ref="C3767:D3767"/>
    <mergeCell ref="C3768:D3768"/>
    <mergeCell ref="C3782:D3782"/>
    <mergeCell ref="C3582:D3582"/>
    <mergeCell ref="C3458:D3458"/>
    <mergeCell ref="C3459:D3459"/>
    <mergeCell ref="C3481:D3481"/>
    <mergeCell ref="C3475:D3475"/>
    <mergeCell ref="C3476:D3476"/>
    <mergeCell ref="C3447:D3447"/>
    <mergeCell ref="C3441:D3441"/>
    <mergeCell ref="C3442:D3442"/>
    <mergeCell ref="C3443:D3443"/>
    <mergeCell ref="C3444:D3444"/>
    <mergeCell ref="C3445:D3445"/>
    <mergeCell ref="C3446:D3446"/>
    <mergeCell ref="C3526:D3526"/>
    <mergeCell ref="C3527:D3527"/>
    <mergeCell ref="C3462:D3462"/>
    <mergeCell ref="C3463:D3463"/>
    <mergeCell ref="C3492:D3492"/>
    <mergeCell ref="C3413:D3413"/>
    <mergeCell ref="C3377:D3377"/>
    <mergeCell ref="C3378:D3378"/>
    <mergeCell ref="C3396:D3396"/>
    <mergeCell ref="C3425:D3425"/>
    <mergeCell ref="C3426:D3426"/>
    <mergeCell ref="C3427:D3427"/>
    <mergeCell ref="C3428:D3428"/>
    <mergeCell ref="C3430:D3430"/>
    <mergeCell ref="C3429:D3429"/>
    <mergeCell ref="C3528:D3528"/>
    <mergeCell ref="C3529:D3529"/>
    <mergeCell ref="C3511:D3511"/>
    <mergeCell ref="C3512:D3512"/>
    <mergeCell ref="C3515:D3515"/>
    <mergeCell ref="C3514:D3514"/>
    <mergeCell ref="C3530:D3530"/>
    <mergeCell ref="C3531:D3531"/>
    <mergeCell ref="C3479:D3479"/>
    <mergeCell ref="C3480:D3480"/>
    <mergeCell ref="B2802:B2804"/>
    <mergeCell ref="C2795:D2795"/>
    <mergeCell ref="C2796:D2796"/>
    <mergeCell ref="C2966:D2966"/>
    <mergeCell ref="C3118:D3118"/>
    <mergeCell ref="C3119:D3119"/>
    <mergeCell ref="C3158:D3158"/>
    <mergeCell ref="C3137:D3137"/>
    <mergeCell ref="C3138:D3138"/>
    <mergeCell ref="C3140:D3140"/>
    <mergeCell ref="C3153:D3153"/>
    <mergeCell ref="C3156:D3156"/>
    <mergeCell ref="C3157:D3157"/>
    <mergeCell ref="C3139:D3139"/>
    <mergeCell ref="C2646:D2646"/>
    <mergeCell ref="C2647:D2647"/>
    <mergeCell ref="C2495:D2495"/>
    <mergeCell ref="C2496:D2496"/>
    <mergeCell ref="C2682:D2682"/>
    <mergeCell ref="A2674:D2674"/>
    <mergeCell ref="C2677:D2677"/>
    <mergeCell ref="C2678:D2678"/>
    <mergeCell ref="C2681:D2681"/>
    <mergeCell ref="B2683:B2685"/>
    <mergeCell ref="B2700:B2702"/>
    <mergeCell ref="C2679:D2679"/>
    <mergeCell ref="C2680:D2680"/>
    <mergeCell ref="C2693:D2693"/>
    <mergeCell ref="C2694:D2694"/>
    <mergeCell ref="C2695:D2695"/>
    <mergeCell ref="A2675:A2689"/>
    <mergeCell ref="A2691:D2691"/>
    <mergeCell ref="C2714:D2714"/>
    <mergeCell ref="C2715:D2715"/>
    <mergeCell ref="C2716:D2716"/>
    <mergeCell ref="B2717:B2719"/>
    <mergeCell ref="C2710:D2710"/>
    <mergeCell ref="C2711:D2711"/>
    <mergeCell ref="C2696:D2696"/>
    <mergeCell ref="C2697:D2697"/>
    <mergeCell ref="C2698:D2698"/>
    <mergeCell ref="C2727:D2727"/>
    <mergeCell ref="C2728:D2728"/>
    <mergeCell ref="C2699:D2699"/>
    <mergeCell ref="A2708:D2708"/>
    <mergeCell ref="A2725:D2725"/>
    <mergeCell ref="B2547:B2549"/>
    <mergeCell ref="C2563:D2563"/>
    <mergeCell ref="B2564:B2566"/>
    <mergeCell ref="C2558:D2558"/>
    <mergeCell ref="C2580:D2580"/>
    <mergeCell ref="A3015:A3029"/>
    <mergeCell ref="A2810:D2810"/>
    <mergeCell ref="C3087:D3087"/>
    <mergeCell ref="C2579:D2579"/>
    <mergeCell ref="C2542:D2542"/>
    <mergeCell ref="C2543:D2543"/>
    <mergeCell ref="C2544:D2544"/>
    <mergeCell ref="C2545:D2545"/>
    <mergeCell ref="A2573:A2587"/>
    <mergeCell ref="C2557:D2557"/>
    <mergeCell ref="B2581:B2583"/>
    <mergeCell ref="A2555:D2555"/>
    <mergeCell ref="B2598:B2600"/>
    <mergeCell ref="C2595:D2595"/>
    <mergeCell ref="C2596:D2596"/>
    <mergeCell ref="C2577:D2577"/>
    <mergeCell ref="C2578:D2578"/>
    <mergeCell ref="C2597:D2597"/>
    <mergeCell ref="B2649:B2651"/>
    <mergeCell ref="C2630:D2630"/>
    <mergeCell ref="A2590:A2604"/>
    <mergeCell ref="A2589:D2589"/>
    <mergeCell ref="C2631:D2631"/>
    <mergeCell ref="B2632:B2634"/>
    <mergeCell ref="C2608:D2608"/>
    <mergeCell ref="C2609:D2609"/>
    <mergeCell ref="A2606:D2606"/>
    <mergeCell ref="B2615:B2617"/>
    <mergeCell ref="A2607:A2621"/>
    <mergeCell ref="A2623:D2623"/>
    <mergeCell ref="C2744:D2744"/>
    <mergeCell ref="C2745:D2745"/>
    <mergeCell ref="C2746:D2746"/>
    <mergeCell ref="C2747:D2747"/>
    <mergeCell ref="C2733:D2733"/>
    <mergeCell ref="B2734:B2736"/>
    <mergeCell ref="C2729:D2729"/>
    <mergeCell ref="C2730:D2730"/>
    <mergeCell ref="C2731:D2731"/>
    <mergeCell ref="C2732:D2732"/>
    <mergeCell ref="C2750:D2750"/>
    <mergeCell ref="C2676:D2676"/>
    <mergeCell ref="C2801:D28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</vt:i4>
      </vt:variant>
    </vt:vector>
  </HeadingPairs>
  <TitlesOfParts>
    <vt:vector size="10" baseType="lpstr">
      <vt:lpstr>Egyéb tárgyak</vt:lpstr>
      <vt:lpstr>Ütő-zúzó fegyverk</vt:lpstr>
      <vt:lpstr>Távolsági fegyverek</vt:lpstr>
      <vt:lpstr>Szúró-vágó fegyverek</vt:lpstr>
      <vt:lpstr>Pajzsok</vt:lpstr>
      <vt:lpstr>Csizmák</vt:lpstr>
      <vt:lpstr>Páncélok</vt:lpstr>
      <vt:lpstr>Szörnyek</vt:lpstr>
      <vt:lpstr>Páncélok kompakt</vt:lpstr>
      <vt:lpstr>Összes vért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Patesz</dc:creator>
  <cp:lastModifiedBy>Patesz</cp:lastModifiedBy>
  <dcterms:modified xsi:type="dcterms:W3CDTF">2019-06-07T23:00:12Z</dcterms:modified>
</cp:coreProperties>
</file>